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tables/table3.xml" ContentType="application/vnd.openxmlformats-officedocument.spreadsheetml.table+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codeName="ThisWorkbook"/>
  <bookViews>
    <workbookView xWindow="-120" yWindow="-120" windowWidth="20640" windowHeight="11160" tabRatio="737" firstSheet="14" activeTab="15"/>
  </bookViews>
  <sheets>
    <sheet name="pile data ( M20 grade)" sheetId="21" state="hidden" r:id="rId1"/>
    <sheet name="Elec.abs" sheetId="25" state="hidden" r:id="rId2"/>
    <sheet name="Water supply Data" sheetId="42" state="hidden" r:id="rId3"/>
    <sheet name="Sheet2" sheetId="43" state="hidden" r:id="rId4"/>
    <sheet name="Data water" sheetId="44" state="hidden" r:id="rId5"/>
    <sheet name="Data water (2)" sheetId="45" state="hidden" r:id="rId6"/>
    <sheet name="cub data" sheetId="47" state="hidden" r:id="rId7"/>
    <sheet name="Sliding and french window" sheetId="23" state="hidden" r:id="rId8"/>
    <sheet name="  Coastal  Elec.Data " sheetId="22" state="hidden" r:id="rId9"/>
    <sheet name="pile data ( M30 grade) (2)" sheetId="18" state="hidden" r:id="rId10"/>
    <sheet name="electrical" sheetId="16" state="hidden" r:id="rId11"/>
    <sheet name="Sullage Drain" sheetId="9" state="hidden" r:id="rId12"/>
    <sheet name="Design of septic tank" sheetId="8" state="hidden" r:id="rId13"/>
    <sheet name="Septic tank" sheetId="7" state="hidden" r:id="rId14"/>
    <sheet name="det -detail" sheetId="12" r:id="rId15"/>
    <sheet name="Sheet1" sheetId="96" r:id="rId16"/>
    <sheet name="1 (2)" sheetId="99" r:id="rId17"/>
    <sheet name="doors" sheetId="100" r:id="rId18"/>
    <sheet name="Main Building Details" sheetId="13" r:id="rId19"/>
  </sheets>
  <externalReferences>
    <externalReference r:id="rId20"/>
    <externalReference r:id="rId21"/>
    <externalReference r:id="rId22"/>
    <externalReference r:id="rId23"/>
    <externalReference r:id="rId24"/>
    <externalReference r:id="rId25"/>
    <externalReference r:id="rId26"/>
    <externalReference r:id="rId27"/>
  </externalReferences>
  <definedNames>
    <definedName name="______________________________________________________add1157">#REF!</definedName>
    <definedName name="_____________________________________________________add1157">#REF!</definedName>
    <definedName name="_____________________________________________________kk232">#REF!</definedName>
    <definedName name="_____________________________________________________xx559">#REF!</definedName>
    <definedName name="____________________________________________________add1157">#REF!</definedName>
    <definedName name="____________________________________________________kk232">#REF!</definedName>
    <definedName name="____________________________________________________xx559">#REF!</definedName>
    <definedName name="___________________________________________________add1157">#REF!</definedName>
    <definedName name="___________________________________________________kK1312">#REF!</definedName>
    <definedName name="___________________________________________________kk232">#REF!</definedName>
    <definedName name="___________________________________________________xx559">#REF!</definedName>
    <definedName name="__________________________________________________add1157">#REF!</definedName>
    <definedName name="__________________________________________________kK1312">#REF!</definedName>
    <definedName name="__________________________________________________kk232">#REF!</definedName>
    <definedName name="__________________________________________________xx559">#REF!</definedName>
    <definedName name="_________________________________________________add1157">#REF!</definedName>
    <definedName name="_________________________________________________kK1312">#REF!</definedName>
    <definedName name="_________________________________________________kk232">#REF!</definedName>
    <definedName name="_________________________________________________xx559">#REF!</definedName>
    <definedName name="________________________________________________add1157">#REF!</definedName>
    <definedName name="________________________________________________kK1312">#REF!</definedName>
    <definedName name="________________________________________________kk232">#REF!</definedName>
    <definedName name="________________________________________________xx559">#REF!</definedName>
    <definedName name="_______________________________________________add1157">#REF!</definedName>
    <definedName name="_______________________________________________kK1312">#REF!</definedName>
    <definedName name="_______________________________________________kk232">#REF!</definedName>
    <definedName name="_______________________________________________xx559">#REF!</definedName>
    <definedName name="______________________________________________add1157">#REF!</definedName>
    <definedName name="______________________________________________kK1312">#REF!</definedName>
    <definedName name="______________________________________________kk232">#REF!</definedName>
    <definedName name="______________________________________________xx559">#REF!</definedName>
    <definedName name="_____________________________________________add1157">#REF!</definedName>
    <definedName name="_____________________________________________kK1312">#REF!</definedName>
    <definedName name="_____________________________________________kk232">#REF!</definedName>
    <definedName name="_____________________________________________xx559">#REF!</definedName>
    <definedName name="____________________________________________add1157">#REF!</definedName>
    <definedName name="____________________________________________kK1312">#REF!</definedName>
    <definedName name="____________________________________________kk232">#REF!</definedName>
    <definedName name="____________________________________________xx559">#REF!</definedName>
    <definedName name="___________________________________________add1157">#REF!</definedName>
    <definedName name="___________________________________________kK1312">#REF!</definedName>
    <definedName name="___________________________________________kk232">#REF!</definedName>
    <definedName name="___________________________________________xx559">#REF!</definedName>
    <definedName name="__________________________________________add1157">#REF!</definedName>
    <definedName name="__________________________________________kK1312">#REF!</definedName>
    <definedName name="__________________________________________kk232">#REF!</definedName>
    <definedName name="__________________________________________xx559">#REF!</definedName>
    <definedName name="_________________________________________add1157">#REF!</definedName>
    <definedName name="_________________________________________kK1312">#REF!</definedName>
    <definedName name="_________________________________________kk232">#REF!</definedName>
    <definedName name="_________________________________________xx559">#REF!</definedName>
    <definedName name="________________________________________add1157">#REF!</definedName>
    <definedName name="________________________________________kK1312">#REF!</definedName>
    <definedName name="________________________________________kk232">#REF!</definedName>
    <definedName name="________________________________________xx559">#REF!</definedName>
    <definedName name="_______________________________________add1157">#REF!</definedName>
    <definedName name="_______________________________________kK1312">#REF!</definedName>
    <definedName name="_______________________________________kk232">#REF!</definedName>
    <definedName name="_______________________________________xx559">#REF!</definedName>
    <definedName name="______________________________________add1157">#REF!</definedName>
    <definedName name="______________________________________kK1312">#REF!</definedName>
    <definedName name="______________________________________kk232">#REF!</definedName>
    <definedName name="______________________________________xx559">#REF!</definedName>
    <definedName name="_____________________________________add1157">#REF!</definedName>
    <definedName name="_____________________________________kK1312">#REF!</definedName>
    <definedName name="_____________________________________kk232">#REF!</definedName>
    <definedName name="_____________________________________xx559">#REF!</definedName>
    <definedName name="____________________________________add1157">#REF!</definedName>
    <definedName name="____________________________________kK1312">#REF!</definedName>
    <definedName name="____________________________________kk232">#REF!</definedName>
    <definedName name="____________________________________xx559">#REF!</definedName>
    <definedName name="___________________________________add1157">#REF!</definedName>
    <definedName name="___________________________________kK1312">#REF!</definedName>
    <definedName name="___________________________________kk232">#REF!</definedName>
    <definedName name="___________________________________xx559">#REF!</definedName>
    <definedName name="__________________________________add1157">#REF!</definedName>
    <definedName name="__________________________________kK1312">#REF!</definedName>
    <definedName name="__________________________________kk232">#REF!</definedName>
    <definedName name="__________________________________xx559">#REF!</definedName>
    <definedName name="_________________________________add1157">#REF!</definedName>
    <definedName name="_________________________________kK1312">#REF!</definedName>
    <definedName name="_________________________________kk232">#REF!</definedName>
    <definedName name="_________________________________xx559">#REF!</definedName>
    <definedName name="________________________________add1157">#REF!</definedName>
    <definedName name="________________________________kK1312">#REF!</definedName>
    <definedName name="________________________________kk232">#REF!</definedName>
    <definedName name="________________________________xx559">#REF!</definedName>
    <definedName name="_______________________________add1157">#REF!</definedName>
    <definedName name="_______________________________kK1312">#REF!</definedName>
    <definedName name="_______________________________kk232">#REF!</definedName>
    <definedName name="_______________________________xx559">#REF!</definedName>
    <definedName name="______________________________add1157">#REF!</definedName>
    <definedName name="______________________________kK1312">#REF!</definedName>
    <definedName name="______________________________kk232">#REF!</definedName>
    <definedName name="______________________________xx559">#REF!</definedName>
    <definedName name="_____________________________add1157">#REF!</definedName>
    <definedName name="_____________________________kK1312">#REF!</definedName>
    <definedName name="_____________________________kk232">#REF!</definedName>
    <definedName name="_____________________________xx559">#REF!</definedName>
    <definedName name="____________________________add1157">#REF!</definedName>
    <definedName name="____________________________kK1312">#REF!</definedName>
    <definedName name="____________________________kk232">#REF!</definedName>
    <definedName name="____________________________xx559">#REF!</definedName>
    <definedName name="___________________________add1157">#REF!</definedName>
    <definedName name="___________________________kK1312">#REF!</definedName>
    <definedName name="___________________________kk232">#REF!</definedName>
    <definedName name="___________________________xx559">#REF!</definedName>
    <definedName name="__________________________add1157">#REF!</definedName>
    <definedName name="__________________________kK1312">#REF!</definedName>
    <definedName name="__________________________kk232">#REF!</definedName>
    <definedName name="__________________________xx559">#REF!</definedName>
    <definedName name="_________________________add1157">#REF!</definedName>
    <definedName name="_________________________kK1312">#REF!</definedName>
    <definedName name="_________________________kk232">#REF!</definedName>
    <definedName name="_________________________xx559">#REF!</definedName>
    <definedName name="________________________add1157">#REF!</definedName>
    <definedName name="________________________kK1312">#REF!</definedName>
    <definedName name="________________________kk232">#REF!</definedName>
    <definedName name="________________________xx559">#REF!</definedName>
    <definedName name="_______________________add1157">#REF!</definedName>
    <definedName name="_______________________kK1312">#REF!</definedName>
    <definedName name="_______________________kk232">#REF!</definedName>
    <definedName name="_______________________xx559">#REF!</definedName>
    <definedName name="______________________add1157">#REF!</definedName>
    <definedName name="______________________kK1312">#REF!</definedName>
    <definedName name="______________________kk232">#REF!</definedName>
    <definedName name="______________________xx559">#REF!</definedName>
    <definedName name="_____________________add1157">#REF!</definedName>
    <definedName name="_____________________kK1312">#REF!</definedName>
    <definedName name="_____________________kk232">#REF!</definedName>
    <definedName name="_____________________xx559">#REF!</definedName>
    <definedName name="____________________add1157">#REF!</definedName>
    <definedName name="____________________kK1312">#REF!</definedName>
    <definedName name="____________________kk232">#REF!</definedName>
    <definedName name="____________________xx559">#REF!</definedName>
    <definedName name="___________________add1157">#REF!</definedName>
    <definedName name="___________________kK1312">#REF!</definedName>
    <definedName name="___________________kk232">#REF!</definedName>
    <definedName name="___________________xx559">#REF!</definedName>
    <definedName name="__________________add1157">#REF!</definedName>
    <definedName name="__________________kK1312">#REF!</definedName>
    <definedName name="__________________kk232">#REF!</definedName>
    <definedName name="__________________xx559">#REF!</definedName>
    <definedName name="_________________add1157">#REF!</definedName>
    <definedName name="_________________kK1312">#REF!</definedName>
    <definedName name="_________________kk232">#REF!</definedName>
    <definedName name="_________________xx559">#REF!</definedName>
    <definedName name="________________add1157">#REF!</definedName>
    <definedName name="________________kK1312">#REF!</definedName>
    <definedName name="________________kk232">#REF!</definedName>
    <definedName name="________________xx559">#REF!</definedName>
    <definedName name="_______________add1157">#REF!</definedName>
    <definedName name="_______________kK1312">#REF!</definedName>
    <definedName name="_______________kk232">#REF!</definedName>
    <definedName name="_______________xx559">#REF!</definedName>
    <definedName name="______________add1157">#REF!</definedName>
    <definedName name="______________kK1312">#REF!</definedName>
    <definedName name="______________kk232">#REF!</definedName>
    <definedName name="______________xx559">#REF!</definedName>
    <definedName name="_____________add1157">#REF!</definedName>
    <definedName name="_____________kK1312">#REF!</definedName>
    <definedName name="_____________kk232">#REF!</definedName>
    <definedName name="_____________xx559">#REF!</definedName>
    <definedName name="____________add1157">#REF!</definedName>
    <definedName name="____________kK1312">#REF!</definedName>
    <definedName name="____________kk232">#REF!</definedName>
    <definedName name="____________xx559">#REF!</definedName>
    <definedName name="___________add1157" localSheetId="10">#REF!</definedName>
    <definedName name="___________add1157">#REF!</definedName>
    <definedName name="___________kK1312">#REF!</definedName>
    <definedName name="___________kk232">#REF!</definedName>
    <definedName name="___________xx559">#REF!</definedName>
    <definedName name="__________add1157" localSheetId="12">#REF!</definedName>
    <definedName name="__________add1157" localSheetId="14">#REF!</definedName>
    <definedName name="__________add1157" localSheetId="10">#REF!</definedName>
    <definedName name="__________add1157" localSheetId="18">#REF!</definedName>
    <definedName name="__________add1157" localSheetId="13">#REF!</definedName>
    <definedName name="__________add1157" localSheetId="11">#REF!</definedName>
    <definedName name="__________add1157">#REF!</definedName>
    <definedName name="__________kK1312">#REF!</definedName>
    <definedName name="__________kk232" localSheetId="10">#REF!</definedName>
    <definedName name="__________kk232">#REF!</definedName>
    <definedName name="__________xx559" localSheetId="10">#REF!</definedName>
    <definedName name="__________xx559">#REF!</definedName>
    <definedName name="_________add1157" localSheetId="8">#REF!</definedName>
    <definedName name="_________add1157" localSheetId="6">#REF!</definedName>
    <definedName name="_________add1157" localSheetId="4">#REF!</definedName>
    <definedName name="_________add1157" localSheetId="5">#REF!</definedName>
    <definedName name="_________add1157" localSheetId="12">#REF!</definedName>
    <definedName name="_________add1157" localSheetId="14">#REF!</definedName>
    <definedName name="_________add1157" localSheetId="1">#REF!</definedName>
    <definedName name="_________add1157" localSheetId="10">#REF!</definedName>
    <definedName name="_________add1157" localSheetId="18">#REF!</definedName>
    <definedName name="_________add1157" localSheetId="0">#REF!</definedName>
    <definedName name="_________add1157" localSheetId="9">#REF!</definedName>
    <definedName name="_________add1157" localSheetId="13">#REF!</definedName>
    <definedName name="_________add1157" localSheetId="3">#REF!</definedName>
    <definedName name="_________add1157" localSheetId="7">#REF!</definedName>
    <definedName name="_________add1157" localSheetId="11">#REF!</definedName>
    <definedName name="_________add1157" localSheetId="2">#REF!</definedName>
    <definedName name="_________add1157">#REF!</definedName>
    <definedName name="_________kK1312">#REF!</definedName>
    <definedName name="_________kk232" localSheetId="12">#REF!</definedName>
    <definedName name="_________kk232" localSheetId="14">#REF!</definedName>
    <definedName name="_________kk232" localSheetId="10">#REF!</definedName>
    <definedName name="_________kk232" localSheetId="18">#REF!</definedName>
    <definedName name="_________kk232" localSheetId="13">#REF!</definedName>
    <definedName name="_________kk232" localSheetId="11">#REF!</definedName>
    <definedName name="_________kk232">#REF!</definedName>
    <definedName name="_________xx559" localSheetId="12">#REF!</definedName>
    <definedName name="_________xx559" localSheetId="14">#REF!</definedName>
    <definedName name="_________xx559" localSheetId="10">#REF!</definedName>
    <definedName name="_________xx559" localSheetId="18">#REF!</definedName>
    <definedName name="_________xx559" localSheetId="13">#REF!</definedName>
    <definedName name="_________xx559" localSheetId="11">#REF!</definedName>
    <definedName name="_________xx559">#REF!</definedName>
    <definedName name="________add1157" localSheetId="8">#REF!</definedName>
    <definedName name="________add1157" localSheetId="6">#REF!</definedName>
    <definedName name="________add1157" localSheetId="4">#REF!</definedName>
    <definedName name="________add1157" localSheetId="5">#REF!</definedName>
    <definedName name="________add1157" localSheetId="12">#REF!</definedName>
    <definedName name="________add1157" localSheetId="14">#REF!</definedName>
    <definedName name="________add1157" localSheetId="1">#REF!</definedName>
    <definedName name="________add1157" localSheetId="10">#REF!</definedName>
    <definedName name="________add1157" localSheetId="18">#REF!</definedName>
    <definedName name="________add1157" localSheetId="0">#REF!</definedName>
    <definedName name="________add1157" localSheetId="9">#REF!</definedName>
    <definedName name="________add1157" localSheetId="13">#REF!</definedName>
    <definedName name="________add1157" localSheetId="3">#REF!</definedName>
    <definedName name="________add1157" localSheetId="7">#REF!</definedName>
    <definedName name="________add1157" localSheetId="11">#REF!</definedName>
    <definedName name="________add1157" localSheetId="2">#REF!</definedName>
    <definedName name="________add1157">#REF!</definedName>
    <definedName name="________kK1312">#REF!</definedName>
    <definedName name="________kk232" localSheetId="8">#REF!</definedName>
    <definedName name="________kk232" localSheetId="6">#REF!</definedName>
    <definedName name="________kk232" localSheetId="4">#REF!</definedName>
    <definedName name="________kk232" localSheetId="5">#REF!</definedName>
    <definedName name="________kk232" localSheetId="12">#REF!</definedName>
    <definedName name="________kk232" localSheetId="14">#REF!</definedName>
    <definedName name="________kk232" localSheetId="1">#REF!</definedName>
    <definedName name="________kk232" localSheetId="10">#REF!</definedName>
    <definedName name="________kk232" localSheetId="18">#REF!</definedName>
    <definedName name="________kk232" localSheetId="0">#REF!</definedName>
    <definedName name="________kk232" localSheetId="9">#REF!</definedName>
    <definedName name="________kk232" localSheetId="13">#REF!</definedName>
    <definedName name="________kk232" localSheetId="3">#REF!</definedName>
    <definedName name="________kk232" localSheetId="7">#REF!</definedName>
    <definedName name="________kk232" localSheetId="11">#REF!</definedName>
    <definedName name="________kk232" localSheetId="2">#REF!</definedName>
    <definedName name="________kk232">#REF!</definedName>
    <definedName name="________xx559" localSheetId="8">#REF!</definedName>
    <definedName name="________xx559" localSheetId="6">#REF!</definedName>
    <definedName name="________xx559" localSheetId="4">#REF!</definedName>
    <definedName name="________xx559" localSheetId="5">#REF!</definedName>
    <definedName name="________xx559" localSheetId="12">#REF!</definedName>
    <definedName name="________xx559" localSheetId="14">#REF!</definedName>
    <definedName name="________xx559" localSheetId="1">#REF!</definedName>
    <definedName name="________xx559" localSheetId="10">#REF!</definedName>
    <definedName name="________xx559" localSheetId="18">#REF!</definedName>
    <definedName name="________xx559" localSheetId="0">#REF!</definedName>
    <definedName name="________xx559" localSheetId="9">#REF!</definedName>
    <definedName name="________xx559" localSheetId="13">#REF!</definedName>
    <definedName name="________xx559" localSheetId="3">#REF!</definedName>
    <definedName name="________xx559" localSheetId="7">#REF!</definedName>
    <definedName name="________xx559" localSheetId="11">#REF!</definedName>
    <definedName name="________xx559" localSheetId="2">#REF!</definedName>
    <definedName name="________xx559">#REF!</definedName>
    <definedName name="_______add1157" localSheetId="8">#REF!</definedName>
    <definedName name="_______add1157" localSheetId="6">#REF!</definedName>
    <definedName name="_______add1157" localSheetId="4">#REF!</definedName>
    <definedName name="_______add1157" localSheetId="5">#REF!</definedName>
    <definedName name="_______add1157" localSheetId="12">#REF!</definedName>
    <definedName name="_______add1157" localSheetId="14">#REF!</definedName>
    <definedName name="_______add1157" localSheetId="1">#REF!</definedName>
    <definedName name="_______add1157" localSheetId="10">#REF!</definedName>
    <definedName name="_______add1157" localSheetId="18">#REF!</definedName>
    <definedName name="_______add1157" localSheetId="0">#REF!</definedName>
    <definedName name="_______add1157" localSheetId="9">#REF!</definedName>
    <definedName name="_______add1157" localSheetId="13">#REF!</definedName>
    <definedName name="_______add1157" localSheetId="3">#REF!</definedName>
    <definedName name="_______add1157" localSheetId="7">#REF!</definedName>
    <definedName name="_______add1157" localSheetId="11">#REF!</definedName>
    <definedName name="_______add1157" localSheetId="2">#REF!</definedName>
    <definedName name="_______add1157">#REF!</definedName>
    <definedName name="_______kK1312">#REF!</definedName>
    <definedName name="_______kk232" localSheetId="8">#REF!</definedName>
    <definedName name="_______kk232" localSheetId="6">#REF!</definedName>
    <definedName name="_______kk232" localSheetId="4">#REF!</definedName>
    <definedName name="_______kk232" localSheetId="5">#REF!</definedName>
    <definedName name="_______kk232" localSheetId="12">#REF!</definedName>
    <definedName name="_______kk232" localSheetId="14">#REF!</definedName>
    <definedName name="_______kk232" localSheetId="1">#REF!</definedName>
    <definedName name="_______kk232" localSheetId="10">#REF!</definedName>
    <definedName name="_______kk232" localSheetId="18">#REF!</definedName>
    <definedName name="_______kk232" localSheetId="0">#REF!</definedName>
    <definedName name="_______kk232" localSheetId="9">#REF!</definedName>
    <definedName name="_______kk232" localSheetId="13">#REF!</definedName>
    <definedName name="_______kk232" localSheetId="3">#REF!</definedName>
    <definedName name="_______kk232" localSheetId="7">#REF!</definedName>
    <definedName name="_______kk232" localSheetId="11">#REF!</definedName>
    <definedName name="_______kk232" localSheetId="2">#REF!</definedName>
    <definedName name="_______kk232">#REF!</definedName>
    <definedName name="_______xx559" localSheetId="8">#REF!</definedName>
    <definedName name="_______xx559" localSheetId="6">#REF!</definedName>
    <definedName name="_______xx559" localSheetId="4">#REF!</definedName>
    <definedName name="_______xx559" localSheetId="5">#REF!</definedName>
    <definedName name="_______xx559" localSheetId="12">#REF!</definedName>
    <definedName name="_______xx559" localSheetId="14">#REF!</definedName>
    <definedName name="_______xx559" localSheetId="1">#REF!</definedName>
    <definedName name="_______xx559" localSheetId="10">#REF!</definedName>
    <definedName name="_______xx559" localSheetId="18">#REF!</definedName>
    <definedName name="_______xx559" localSheetId="0">#REF!</definedName>
    <definedName name="_______xx559" localSheetId="9">#REF!</definedName>
    <definedName name="_______xx559" localSheetId="13">#REF!</definedName>
    <definedName name="_______xx559" localSheetId="3">#REF!</definedName>
    <definedName name="_______xx559" localSheetId="7">#REF!</definedName>
    <definedName name="_______xx559" localSheetId="11">#REF!</definedName>
    <definedName name="_______xx559" localSheetId="2">#REF!</definedName>
    <definedName name="_______xx559">#REF!</definedName>
    <definedName name="______add1157" localSheetId="8">#REF!</definedName>
    <definedName name="______add1157" localSheetId="6">#REF!</definedName>
    <definedName name="______add1157" localSheetId="4">#REF!</definedName>
    <definedName name="______add1157" localSheetId="5">#REF!</definedName>
    <definedName name="______add1157" localSheetId="12">#REF!</definedName>
    <definedName name="______add1157" localSheetId="14">#REF!</definedName>
    <definedName name="______add1157" localSheetId="1">#REF!</definedName>
    <definedName name="______add1157" localSheetId="10">#REF!</definedName>
    <definedName name="______add1157" localSheetId="18">#REF!</definedName>
    <definedName name="______add1157" localSheetId="0">#REF!</definedName>
    <definedName name="______add1157" localSheetId="9">#REF!</definedName>
    <definedName name="______add1157" localSheetId="13">#REF!</definedName>
    <definedName name="______add1157" localSheetId="3">#REF!</definedName>
    <definedName name="______add1157" localSheetId="7">#REF!</definedName>
    <definedName name="______add1157" localSheetId="11">#REF!</definedName>
    <definedName name="______add1157" localSheetId="2">#REF!</definedName>
    <definedName name="______add1157">#REF!</definedName>
    <definedName name="______kK1312" localSheetId="10">#REF!</definedName>
    <definedName name="______kK1312">#REF!</definedName>
    <definedName name="______kk232" localSheetId="8">#REF!</definedName>
    <definedName name="______kk232" localSheetId="6">#REF!</definedName>
    <definedName name="______kk232" localSheetId="4">#REF!</definedName>
    <definedName name="______kk232" localSheetId="5">#REF!</definedName>
    <definedName name="______kk232" localSheetId="12">#REF!</definedName>
    <definedName name="______kk232" localSheetId="14">#REF!</definedName>
    <definedName name="______kk232" localSheetId="1">#REF!</definedName>
    <definedName name="______kk232" localSheetId="10">#REF!</definedName>
    <definedName name="______kk232" localSheetId="18">#REF!</definedName>
    <definedName name="______kk232" localSheetId="0">#REF!</definedName>
    <definedName name="______kk232" localSheetId="9">#REF!</definedName>
    <definedName name="______kk232" localSheetId="13">#REF!</definedName>
    <definedName name="______kk232" localSheetId="3">#REF!</definedName>
    <definedName name="______kk232" localSheetId="7">#REF!</definedName>
    <definedName name="______kk232" localSheetId="11">#REF!</definedName>
    <definedName name="______kk232" localSheetId="2">#REF!</definedName>
    <definedName name="______kk232">#REF!</definedName>
    <definedName name="______xx559" localSheetId="8">#REF!</definedName>
    <definedName name="______xx559" localSheetId="6">#REF!</definedName>
    <definedName name="______xx559" localSheetId="4">#REF!</definedName>
    <definedName name="______xx559" localSheetId="5">#REF!</definedName>
    <definedName name="______xx559" localSheetId="12">#REF!</definedName>
    <definedName name="______xx559" localSheetId="14">#REF!</definedName>
    <definedName name="______xx559" localSheetId="1">#REF!</definedName>
    <definedName name="______xx559" localSheetId="10">#REF!</definedName>
    <definedName name="______xx559" localSheetId="18">#REF!</definedName>
    <definedName name="______xx559" localSheetId="0">#REF!</definedName>
    <definedName name="______xx559" localSheetId="9">#REF!</definedName>
    <definedName name="______xx559" localSheetId="13">#REF!</definedName>
    <definedName name="______xx559" localSheetId="3">#REF!</definedName>
    <definedName name="______xx559" localSheetId="7">#REF!</definedName>
    <definedName name="______xx559" localSheetId="11">#REF!</definedName>
    <definedName name="______xx559" localSheetId="2">#REF!</definedName>
    <definedName name="______xx559">#REF!</definedName>
    <definedName name="_____add1157" localSheetId="8">#REF!</definedName>
    <definedName name="_____add1157" localSheetId="6">#REF!</definedName>
    <definedName name="_____add1157" localSheetId="4">#REF!</definedName>
    <definedName name="_____add1157" localSheetId="5">#REF!</definedName>
    <definedName name="_____add1157" localSheetId="12">#REF!</definedName>
    <definedName name="_____add1157" localSheetId="14">#REF!</definedName>
    <definedName name="_____add1157" localSheetId="1">#REF!</definedName>
    <definedName name="_____add1157" localSheetId="10">#REF!</definedName>
    <definedName name="_____add1157" localSheetId="18">#REF!</definedName>
    <definedName name="_____add1157" localSheetId="0">#REF!</definedName>
    <definedName name="_____add1157" localSheetId="9">#REF!</definedName>
    <definedName name="_____add1157" localSheetId="13">#REF!</definedName>
    <definedName name="_____add1157" localSheetId="3">#REF!</definedName>
    <definedName name="_____add1157" localSheetId="7">#REF!</definedName>
    <definedName name="_____add1157" localSheetId="11">#REF!</definedName>
    <definedName name="_____add1157" localSheetId="2">#REF!</definedName>
    <definedName name="_____add1157">#REF!</definedName>
    <definedName name="_____kK1312" localSheetId="12">#REF!</definedName>
    <definedName name="_____kK1312" localSheetId="14">#REF!</definedName>
    <definedName name="_____kK1312" localSheetId="10">#REF!</definedName>
    <definedName name="_____kK1312" localSheetId="18">#REF!</definedName>
    <definedName name="_____kK1312" localSheetId="13">#REF!</definedName>
    <definedName name="_____kK1312" localSheetId="11">#REF!</definedName>
    <definedName name="_____kK1312">#REF!</definedName>
    <definedName name="_____kk232" localSheetId="8">#REF!</definedName>
    <definedName name="_____kk232" localSheetId="6">#REF!</definedName>
    <definedName name="_____kk232" localSheetId="4">#REF!</definedName>
    <definedName name="_____kk232" localSheetId="5">#REF!</definedName>
    <definedName name="_____kk232" localSheetId="12">#REF!</definedName>
    <definedName name="_____kk232" localSheetId="14">#REF!</definedName>
    <definedName name="_____kk232" localSheetId="1">#REF!</definedName>
    <definedName name="_____kk232" localSheetId="10">#REF!</definedName>
    <definedName name="_____kk232" localSheetId="18">#REF!</definedName>
    <definedName name="_____kk232" localSheetId="0">#REF!</definedName>
    <definedName name="_____kk232" localSheetId="9">#REF!</definedName>
    <definedName name="_____kk232" localSheetId="13">#REF!</definedName>
    <definedName name="_____kk232" localSheetId="3">#REF!</definedName>
    <definedName name="_____kk232" localSheetId="7">#REF!</definedName>
    <definedName name="_____kk232" localSheetId="11">#REF!</definedName>
    <definedName name="_____kk232" localSheetId="2">#REF!</definedName>
    <definedName name="_____kk232">#REF!</definedName>
    <definedName name="_____xx559" localSheetId="8">#REF!</definedName>
    <definedName name="_____xx559" localSheetId="6">#REF!</definedName>
    <definedName name="_____xx559" localSheetId="4">#REF!</definedName>
    <definedName name="_____xx559" localSheetId="5">#REF!</definedName>
    <definedName name="_____xx559" localSheetId="12">#REF!</definedName>
    <definedName name="_____xx559" localSheetId="14">#REF!</definedName>
    <definedName name="_____xx559" localSheetId="1">#REF!</definedName>
    <definedName name="_____xx559" localSheetId="10">#REF!</definedName>
    <definedName name="_____xx559" localSheetId="18">#REF!</definedName>
    <definedName name="_____xx559" localSheetId="0">#REF!</definedName>
    <definedName name="_____xx559" localSheetId="9">#REF!</definedName>
    <definedName name="_____xx559" localSheetId="13">#REF!</definedName>
    <definedName name="_____xx559" localSheetId="3">#REF!</definedName>
    <definedName name="_____xx559" localSheetId="7">#REF!</definedName>
    <definedName name="_____xx559" localSheetId="11">#REF!</definedName>
    <definedName name="_____xx559" localSheetId="2">#REF!</definedName>
    <definedName name="_____xx559">#REF!</definedName>
    <definedName name="____A65539" localSheetId="10">#REF!</definedName>
    <definedName name="____A65539">#REF!</definedName>
    <definedName name="____add1157" localSheetId="8">#REF!</definedName>
    <definedName name="____add1157" localSheetId="6">#REF!</definedName>
    <definedName name="____add1157" localSheetId="4">#REF!</definedName>
    <definedName name="____add1157" localSheetId="5">#REF!</definedName>
    <definedName name="____add1157" localSheetId="12">#REF!</definedName>
    <definedName name="____add1157" localSheetId="14">#REF!</definedName>
    <definedName name="____add1157" localSheetId="1">#REF!</definedName>
    <definedName name="____add1157" localSheetId="10">#REF!</definedName>
    <definedName name="____add1157" localSheetId="18">#REF!</definedName>
    <definedName name="____add1157" localSheetId="0">#REF!</definedName>
    <definedName name="____add1157" localSheetId="9">#REF!</definedName>
    <definedName name="____add1157" localSheetId="13">#REF!</definedName>
    <definedName name="____add1157" localSheetId="3">#REF!</definedName>
    <definedName name="____add1157" localSheetId="7">#REF!</definedName>
    <definedName name="____add1157" localSheetId="11">#REF!</definedName>
    <definedName name="____add1157" localSheetId="2">#REF!</definedName>
    <definedName name="____add1157">#REF!</definedName>
    <definedName name="____kK1312" localSheetId="8">#REF!</definedName>
    <definedName name="____kK1312" localSheetId="6">#REF!</definedName>
    <definedName name="____kK1312" localSheetId="4">#REF!</definedName>
    <definedName name="____kK1312" localSheetId="5">#REF!</definedName>
    <definedName name="____kK1312" localSheetId="12">#REF!</definedName>
    <definedName name="____kK1312" localSheetId="14">#REF!</definedName>
    <definedName name="____kK1312" localSheetId="1">#REF!</definedName>
    <definedName name="____kK1312" localSheetId="10">#REF!</definedName>
    <definedName name="____kK1312" localSheetId="18">#REF!</definedName>
    <definedName name="____kK1312" localSheetId="0">#REF!</definedName>
    <definedName name="____kK1312" localSheetId="9">#REF!</definedName>
    <definedName name="____kK1312" localSheetId="13">#REF!</definedName>
    <definedName name="____kK1312" localSheetId="3">#REF!</definedName>
    <definedName name="____kK1312" localSheetId="7">#REF!</definedName>
    <definedName name="____kK1312" localSheetId="11">#REF!</definedName>
    <definedName name="____kK1312" localSheetId="2">#REF!</definedName>
    <definedName name="____kK1312">#REF!</definedName>
    <definedName name="____kk232" localSheetId="8">#REF!</definedName>
    <definedName name="____kk232" localSheetId="6">#REF!</definedName>
    <definedName name="____kk232" localSheetId="4">#REF!</definedName>
    <definedName name="____kk232" localSheetId="5">#REF!</definedName>
    <definedName name="____kk232" localSheetId="12">#REF!</definedName>
    <definedName name="____kk232" localSheetId="14">#REF!</definedName>
    <definedName name="____kk232" localSheetId="1">#REF!</definedName>
    <definedName name="____kk232" localSheetId="10">#REF!</definedName>
    <definedName name="____kk232" localSheetId="18">#REF!</definedName>
    <definedName name="____kk232" localSheetId="0">#REF!</definedName>
    <definedName name="____kk232" localSheetId="9">#REF!</definedName>
    <definedName name="____kk232" localSheetId="13">#REF!</definedName>
    <definedName name="____kk232" localSheetId="3">#REF!</definedName>
    <definedName name="____kk232" localSheetId="7">#REF!</definedName>
    <definedName name="____kk232" localSheetId="11">#REF!</definedName>
    <definedName name="____kk232" localSheetId="2">#REF!</definedName>
    <definedName name="____kk232">#REF!</definedName>
    <definedName name="____xx559" localSheetId="8">#REF!</definedName>
    <definedName name="____xx559" localSheetId="6">#REF!</definedName>
    <definedName name="____xx559" localSheetId="4">#REF!</definedName>
    <definedName name="____xx559" localSheetId="5">#REF!</definedName>
    <definedName name="____xx559" localSheetId="12">#REF!</definedName>
    <definedName name="____xx559" localSheetId="14">#REF!</definedName>
    <definedName name="____xx559" localSheetId="1">#REF!</definedName>
    <definedName name="____xx559" localSheetId="10">#REF!</definedName>
    <definedName name="____xx559" localSheetId="18">#REF!</definedName>
    <definedName name="____xx559" localSheetId="0">#REF!</definedName>
    <definedName name="____xx559" localSheetId="9">#REF!</definedName>
    <definedName name="____xx559" localSheetId="13">#REF!</definedName>
    <definedName name="____xx559" localSheetId="3">#REF!</definedName>
    <definedName name="____xx559" localSheetId="7">#REF!</definedName>
    <definedName name="____xx559" localSheetId="11">#REF!</definedName>
    <definedName name="____xx559" localSheetId="2">#REF!</definedName>
    <definedName name="____xx559">#REF!</definedName>
    <definedName name="___A65539" localSheetId="10">#REF!</definedName>
    <definedName name="___A65539">#REF!</definedName>
    <definedName name="___add1157" localSheetId="8">#REF!</definedName>
    <definedName name="___add1157" localSheetId="6">#REF!</definedName>
    <definedName name="___add1157" localSheetId="4">#REF!</definedName>
    <definedName name="___add1157" localSheetId="5">#REF!</definedName>
    <definedName name="___add1157" localSheetId="12">#REF!</definedName>
    <definedName name="___add1157" localSheetId="14">#REF!</definedName>
    <definedName name="___add1157" localSheetId="1">#REF!</definedName>
    <definedName name="___add1157" localSheetId="10">#REF!</definedName>
    <definedName name="___add1157" localSheetId="18">#REF!</definedName>
    <definedName name="___add1157" localSheetId="0">#REF!</definedName>
    <definedName name="___add1157" localSheetId="9">#REF!</definedName>
    <definedName name="___add1157" localSheetId="13">#REF!</definedName>
    <definedName name="___add1157" localSheetId="3">#REF!</definedName>
    <definedName name="___add1157" localSheetId="7">#REF!</definedName>
    <definedName name="___add1157" localSheetId="11">#REF!</definedName>
    <definedName name="___add1157" localSheetId="2">#REF!</definedName>
    <definedName name="___add1157">#REF!</definedName>
    <definedName name="___kK1312" localSheetId="8">#REF!</definedName>
    <definedName name="___kK1312" localSheetId="6">#REF!</definedName>
    <definedName name="___kK1312" localSheetId="4">#REF!</definedName>
    <definedName name="___kK1312" localSheetId="5">#REF!</definedName>
    <definedName name="___kK1312" localSheetId="12">#REF!</definedName>
    <definedName name="___kK1312" localSheetId="14">#REF!</definedName>
    <definedName name="___kK1312" localSheetId="1">#REF!</definedName>
    <definedName name="___kK1312" localSheetId="10">#REF!</definedName>
    <definedName name="___kK1312" localSheetId="18">#REF!</definedName>
    <definedName name="___kK1312" localSheetId="0">#REF!</definedName>
    <definedName name="___kK1312" localSheetId="9">#REF!</definedName>
    <definedName name="___kK1312" localSheetId="13">#REF!</definedName>
    <definedName name="___kK1312" localSheetId="3">#REF!</definedName>
    <definedName name="___kK1312" localSheetId="7">#REF!</definedName>
    <definedName name="___kK1312" localSheetId="11">#REF!</definedName>
    <definedName name="___kK1312" localSheetId="2">#REF!</definedName>
    <definedName name="___kK1312">#REF!</definedName>
    <definedName name="___kk232" localSheetId="8">#REF!</definedName>
    <definedName name="___kk232" localSheetId="6">#REF!</definedName>
    <definedName name="___kk232" localSheetId="4">#REF!</definedName>
    <definedName name="___kk232" localSheetId="5">#REF!</definedName>
    <definedName name="___kk232" localSheetId="12">#REF!</definedName>
    <definedName name="___kk232" localSheetId="14">#REF!</definedName>
    <definedName name="___kk232" localSheetId="1">#REF!</definedName>
    <definedName name="___kk232" localSheetId="10">#REF!</definedName>
    <definedName name="___kk232" localSheetId="18">#REF!</definedName>
    <definedName name="___kk232" localSheetId="0">#REF!</definedName>
    <definedName name="___kk232" localSheetId="9">#REF!</definedName>
    <definedName name="___kk232" localSheetId="13">#REF!</definedName>
    <definedName name="___kk232" localSheetId="3">#REF!</definedName>
    <definedName name="___kk232" localSheetId="7">#REF!</definedName>
    <definedName name="___kk232" localSheetId="11">#REF!</definedName>
    <definedName name="___kk232" localSheetId="2">#REF!</definedName>
    <definedName name="___kk232">#REF!</definedName>
    <definedName name="___xx559" localSheetId="8">#REF!</definedName>
    <definedName name="___xx559" localSheetId="6">#REF!</definedName>
    <definedName name="___xx559" localSheetId="4">#REF!</definedName>
    <definedName name="___xx559" localSheetId="5">#REF!</definedName>
    <definedName name="___xx559" localSheetId="12">#REF!</definedName>
    <definedName name="___xx559" localSheetId="14">#REF!</definedName>
    <definedName name="___xx559" localSheetId="1">#REF!</definedName>
    <definedName name="___xx559" localSheetId="10">#REF!</definedName>
    <definedName name="___xx559" localSheetId="18">#REF!</definedName>
    <definedName name="___xx559" localSheetId="0">#REF!</definedName>
    <definedName name="___xx559" localSheetId="9">#REF!</definedName>
    <definedName name="___xx559" localSheetId="13">#REF!</definedName>
    <definedName name="___xx559" localSheetId="3">#REF!</definedName>
    <definedName name="___xx559" localSheetId="7">#REF!</definedName>
    <definedName name="___xx559" localSheetId="11">#REF!</definedName>
    <definedName name="___xx559" localSheetId="2">#REF!</definedName>
    <definedName name="___xx559">#REF!</definedName>
    <definedName name="__A65539" localSheetId="10">#REF!</definedName>
    <definedName name="__A65539">#REF!</definedName>
    <definedName name="__add1157" localSheetId="8">#REF!</definedName>
    <definedName name="__add1157" localSheetId="6">#REF!</definedName>
    <definedName name="__add1157" localSheetId="4">#REF!</definedName>
    <definedName name="__add1157" localSheetId="5">#REF!</definedName>
    <definedName name="__add1157" localSheetId="12">#REF!</definedName>
    <definedName name="__add1157" localSheetId="14">#REF!</definedName>
    <definedName name="__add1157" localSheetId="1">#REF!</definedName>
    <definedName name="__add1157" localSheetId="10">#REF!</definedName>
    <definedName name="__add1157" localSheetId="18">#REF!</definedName>
    <definedName name="__add1157" localSheetId="0">#REF!</definedName>
    <definedName name="__add1157" localSheetId="9">#REF!</definedName>
    <definedName name="__add1157" localSheetId="13">#REF!</definedName>
    <definedName name="__add1157" localSheetId="3">#REF!</definedName>
    <definedName name="__add1157" localSheetId="7">#REF!</definedName>
    <definedName name="__add1157" localSheetId="11">#REF!</definedName>
    <definedName name="__add1157" localSheetId="2">#REF!</definedName>
    <definedName name="__add1157">#REF!</definedName>
    <definedName name="__kK1312" localSheetId="8">#REF!</definedName>
    <definedName name="__kK1312" localSheetId="6">#REF!</definedName>
    <definedName name="__kK1312" localSheetId="4">#REF!</definedName>
    <definedName name="__kK1312" localSheetId="5">#REF!</definedName>
    <definedName name="__kK1312" localSheetId="12">#REF!</definedName>
    <definedName name="__kK1312" localSheetId="14">#REF!</definedName>
    <definedName name="__kK1312" localSheetId="1">#REF!</definedName>
    <definedName name="__kK1312" localSheetId="10">#REF!</definedName>
    <definedName name="__kK1312" localSheetId="18">#REF!</definedName>
    <definedName name="__kK1312" localSheetId="0">#REF!</definedName>
    <definedName name="__kK1312" localSheetId="9">#REF!</definedName>
    <definedName name="__kK1312" localSheetId="13">#REF!</definedName>
    <definedName name="__kK1312" localSheetId="3">#REF!</definedName>
    <definedName name="__kK1312" localSheetId="7">#REF!</definedName>
    <definedName name="__kK1312" localSheetId="11">#REF!</definedName>
    <definedName name="__kK1312" localSheetId="2">#REF!</definedName>
    <definedName name="__kK1312">#REF!</definedName>
    <definedName name="__kk232" localSheetId="8">#REF!</definedName>
    <definedName name="__kk232" localSheetId="6">#REF!</definedName>
    <definedName name="__kk232" localSheetId="4">#REF!</definedName>
    <definedName name="__kk232" localSheetId="5">#REF!</definedName>
    <definedName name="__kk232" localSheetId="12">#REF!</definedName>
    <definedName name="__kk232" localSheetId="14">#REF!</definedName>
    <definedName name="__kk232" localSheetId="1">#REF!</definedName>
    <definedName name="__kk232" localSheetId="10">#REF!</definedName>
    <definedName name="__kk232" localSheetId="18">#REF!</definedName>
    <definedName name="__kk232" localSheetId="0">#REF!</definedName>
    <definedName name="__kk232" localSheetId="9">#REF!</definedName>
    <definedName name="__kk232" localSheetId="13">#REF!</definedName>
    <definedName name="__kk232" localSheetId="3">#REF!</definedName>
    <definedName name="__kk232" localSheetId="7">#REF!</definedName>
    <definedName name="__kk232" localSheetId="11">#REF!</definedName>
    <definedName name="__kk232" localSheetId="2">#REF!</definedName>
    <definedName name="__kk232">#REF!</definedName>
    <definedName name="__xx559" localSheetId="8">#REF!</definedName>
    <definedName name="__xx559" localSheetId="6">#REF!</definedName>
    <definedName name="__xx559" localSheetId="4">#REF!</definedName>
    <definedName name="__xx559" localSheetId="5">#REF!</definedName>
    <definedName name="__xx559" localSheetId="12">#REF!</definedName>
    <definedName name="__xx559" localSheetId="14">#REF!</definedName>
    <definedName name="__xx559" localSheetId="1">#REF!</definedName>
    <definedName name="__xx559" localSheetId="10">#REF!</definedName>
    <definedName name="__xx559" localSheetId="18">#REF!</definedName>
    <definedName name="__xx559" localSheetId="0">#REF!</definedName>
    <definedName name="__xx559" localSheetId="9">#REF!</definedName>
    <definedName name="__xx559" localSheetId="13">#REF!</definedName>
    <definedName name="__xx559" localSheetId="3">#REF!</definedName>
    <definedName name="__xx559" localSheetId="7">#REF!</definedName>
    <definedName name="__xx559" localSheetId="11">#REF!</definedName>
    <definedName name="__xx559" localSheetId="2">#REF!</definedName>
    <definedName name="__xx559">#REF!</definedName>
    <definedName name="_A65539" localSheetId="10">#REF!</definedName>
    <definedName name="_A65539">#REF!</definedName>
    <definedName name="_add1157" localSheetId="8">#REF!</definedName>
    <definedName name="_add1157" localSheetId="6">#REF!</definedName>
    <definedName name="_add1157" localSheetId="4">#REF!</definedName>
    <definedName name="_add1157" localSheetId="5">#REF!</definedName>
    <definedName name="_add1157" localSheetId="12">#REF!</definedName>
    <definedName name="_add1157" localSheetId="14">#REF!</definedName>
    <definedName name="_add1157" localSheetId="1">#REF!</definedName>
    <definedName name="_add1157" localSheetId="10">#REF!</definedName>
    <definedName name="_add1157" localSheetId="18">#REF!</definedName>
    <definedName name="_add1157" localSheetId="0">#REF!</definedName>
    <definedName name="_add1157" localSheetId="9">#REF!</definedName>
    <definedName name="_add1157" localSheetId="13">#REF!</definedName>
    <definedName name="_add1157" localSheetId="3">#REF!</definedName>
    <definedName name="_add1157" localSheetId="7">#REF!</definedName>
    <definedName name="_add1157" localSheetId="11">#REF!</definedName>
    <definedName name="_add1157" localSheetId="2">#REF!</definedName>
    <definedName name="_add1157">#REF!</definedName>
    <definedName name="_xlnm._FilterDatabase" localSheetId="16" hidden="1">'1 (2)'!$A$4:$T$106</definedName>
    <definedName name="_xlnm._FilterDatabase" localSheetId="17" hidden="1">doors!$F$3:$AL$67</definedName>
    <definedName name="_xlnm._FilterDatabase" localSheetId="10" hidden="1">electrical!$Z$1:$Z$1280</definedName>
    <definedName name="_xlnm._FilterDatabase" localSheetId="18" hidden="1">'Main Building Details'!$A$1:$X$5106</definedName>
    <definedName name="_xlnm._FilterDatabase" localSheetId="15" hidden="1">Sheet1!$I$6:$S$39</definedName>
    <definedName name="_kK1312" localSheetId="8">#REF!</definedName>
    <definedName name="_kK1312" localSheetId="6">#REF!</definedName>
    <definedName name="_kK1312" localSheetId="4">#REF!</definedName>
    <definedName name="_kK1312" localSheetId="5">#REF!</definedName>
    <definedName name="_kK1312" localSheetId="12">#REF!</definedName>
    <definedName name="_kK1312" localSheetId="14">#REF!</definedName>
    <definedName name="_kK1312" localSheetId="1">#REF!</definedName>
    <definedName name="_kK1312" localSheetId="10">#REF!</definedName>
    <definedName name="_kK1312" localSheetId="18">#REF!</definedName>
    <definedName name="_kK1312" localSheetId="0">#REF!</definedName>
    <definedName name="_kK1312" localSheetId="9">#REF!</definedName>
    <definedName name="_kK1312" localSheetId="13">#REF!</definedName>
    <definedName name="_kK1312" localSheetId="3">#REF!</definedName>
    <definedName name="_kK1312" localSheetId="7">#REF!</definedName>
    <definedName name="_kK1312" localSheetId="11">#REF!</definedName>
    <definedName name="_kK1312" localSheetId="2">#REF!</definedName>
    <definedName name="_kK1312">#REF!</definedName>
    <definedName name="_kk232" localSheetId="8">#REF!</definedName>
    <definedName name="_kk232" localSheetId="6">#REF!</definedName>
    <definedName name="_kk232" localSheetId="4">#REF!</definedName>
    <definedName name="_kk232" localSheetId="5">#REF!</definedName>
    <definedName name="_kk232" localSheetId="12">#REF!</definedName>
    <definedName name="_kk232" localSheetId="14">#REF!</definedName>
    <definedName name="_kk232" localSheetId="1">#REF!</definedName>
    <definedName name="_kk232" localSheetId="10">#REF!</definedName>
    <definedName name="_kk232" localSheetId="18">#REF!</definedName>
    <definedName name="_kk232" localSheetId="0">#REF!</definedName>
    <definedName name="_kk232" localSheetId="9">#REF!</definedName>
    <definedName name="_kk232" localSheetId="13">#REF!</definedName>
    <definedName name="_kk232" localSheetId="3">#REF!</definedName>
    <definedName name="_kk232" localSheetId="7">#REF!</definedName>
    <definedName name="_kk232" localSheetId="11">#REF!</definedName>
    <definedName name="_kk232" localSheetId="2">#REF!</definedName>
    <definedName name="_kk232">#REF!</definedName>
    <definedName name="_m" localSheetId="8">#REF!</definedName>
    <definedName name="_m" localSheetId="6">#REF!</definedName>
    <definedName name="_m" localSheetId="4">#REF!</definedName>
    <definedName name="_m" localSheetId="5">#REF!</definedName>
    <definedName name="_m" localSheetId="12">#REF!</definedName>
    <definedName name="_m" localSheetId="14">#REF!</definedName>
    <definedName name="_m" localSheetId="1">#REF!</definedName>
    <definedName name="_m" localSheetId="10">#REF!</definedName>
    <definedName name="_m" localSheetId="18">#REF!</definedName>
    <definedName name="_m" localSheetId="0">#REF!</definedName>
    <definedName name="_m" localSheetId="9">#REF!</definedName>
    <definedName name="_m" localSheetId="13">#REF!</definedName>
    <definedName name="_m" localSheetId="3">#REF!</definedName>
    <definedName name="_m" localSheetId="7">#REF!</definedName>
    <definedName name="_m" localSheetId="11">#REF!</definedName>
    <definedName name="_m" localSheetId="2">#REF!</definedName>
    <definedName name="_m">#REF!</definedName>
    <definedName name="_xx559" localSheetId="8">#REF!</definedName>
    <definedName name="_xx559" localSheetId="6">#REF!</definedName>
    <definedName name="_xx559" localSheetId="4">#REF!</definedName>
    <definedName name="_xx559" localSheetId="5">#REF!</definedName>
    <definedName name="_xx559" localSheetId="12">#REF!</definedName>
    <definedName name="_xx559" localSheetId="14">#REF!</definedName>
    <definedName name="_xx559" localSheetId="1">#REF!</definedName>
    <definedName name="_xx559" localSheetId="10">#REF!</definedName>
    <definedName name="_xx559" localSheetId="18">#REF!</definedName>
    <definedName name="_xx559" localSheetId="0">#REF!</definedName>
    <definedName name="_xx559" localSheetId="9">#REF!</definedName>
    <definedName name="_xx559" localSheetId="13">#REF!</definedName>
    <definedName name="_xx559" localSheetId="3">#REF!</definedName>
    <definedName name="_xx559" localSheetId="7">#REF!</definedName>
    <definedName name="_xx559" localSheetId="11">#REF!</definedName>
    <definedName name="_xx559" localSheetId="2">#REF!</definedName>
    <definedName name="_xx559">#REF!</definedName>
    <definedName name="A" localSheetId="8">#REF!</definedName>
    <definedName name="A" localSheetId="6">#REF!</definedName>
    <definedName name="A" localSheetId="4">#REF!</definedName>
    <definedName name="A" localSheetId="5">#REF!</definedName>
    <definedName name="A" localSheetId="12">#REF!</definedName>
    <definedName name="A" localSheetId="14">#REF!</definedName>
    <definedName name="A" localSheetId="1">#REF!</definedName>
    <definedName name="A" localSheetId="10">#REF!</definedName>
    <definedName name="A" localSheetId="18">#REF!</definedName>
    <definedName name="A" localSheetId="0">#REF!</definedName>
    <definedName name="A" localSheetId="9">#REF!</definedName>
    <definedName name="A" localSheetId="13">#REF!</definedName>
    <definedName name="A" localSheetId="3">#REF!</definedName>
    <definedName name="A" localSheetId="7">#REF!</definedName>
    <definedName name="A" localSheetId="11">#REF!</definedName>
    <definedName name="A" localSheetId="2">#REF!</definedName>
    <definedName name="A">#REF!</definedName>
    <definedName name="A.C.Pipe" localSheetId="8">#REF!</definedName>
    <definedName name="A.C.Pipe" localSheetId="6">#REF!</definedName>
    <definedName name="A.C.Pipe" localSheetId="4">#REF!</definedName>
    <definedName name="A.C.Pipe" localSheetId="5">#REF!</definedName>
    <definedName name="A.C.Pipe" localSheetId="12">#REF!</definedName>
    <definedName name="A.C.Pipe" localSheetId="14">#REF!</definedName>
    <definedName name="A.C.Pipe" localSheetId="1">#REF!</definedName>
    <definedName name="A.C.Pipe" localSheetId="10">#REF!</definedName>
    <definedName name="A.C.Pipe" localSheetId="18">#REF!</definedName>
    <definedName name="A.C.Pipe" localSheetId="0">#REF!</definedName>
    <definedName name="A.C.Pipe" localSheetId="9">#REF!</definedName>
    <definedName name="A.C.Pipe" localSheetId="13">#REF!</definedName>
    <definedName name="A.C.Pipe" localSheetId="3">#REF!</definedName>
    <definedName name="A.C.Pipe" localSheetId="7">#REF!</definedName>
    <definedName name="A.C.Pipe" localSheetId="11">#REF!</definedName>
    <definedName name="A.C.Pipe" localSheetId="2">#REF!</definedName>
    <definedName name="A.C.Pipe">#REF!</definedName>
    <definedName name="a3424\" localSheetId="10">#REF!</definedName>
    <definedName name="a3424\">#REF!</definedName>
    <definedName name="aa" localSheetId="8">#REF!</definedName>
    <definedName name="aa" localSheetId="6">#REF!</definedName>
    <definedName name="aa" localSheetId="4">#REF!</definedName>
    <definedName name="aa" localSheetId="5">#REF!</definedName>
    <definedName name="aa" localSheetId="12">#REF!</definedName>
    <definedName name="aa" localSheetId="14">#REF!</definedName>
    <definedName name="aa" localSheetId="1">#REF!</definedName>
    <definedName name="aa" localSheetId="10">#REF!</definedName>
    <definedName name="aa" localSheetId="18">#REF!</definedName>
    <definedName name="aa" localSheetId="0">#REF!</definedName>
    <definedName name="aa" localSheetId="9">#REF!</definedName>
    <definedName name="aa" localSheetId="13">#REF!</definedName>
    <definedName name="aa" localSheetId="3">#REF!</definedName>
    <definedName name="aa" localSheetId="7">#REF!</definedName>
    <definedName name="aa" localSheetId="11">#REF!</definedName>
    <definedName name="aa" localSheetId="2">#REF!</definedName>
    <definedName name="aa">#REF!</definedName>
    <definedName name="AB100an905" localSheetId="8">#REF!</definedName>
    <definedName name="AB100an905" localSheetId="6">#REF!</definedName>
    <definedName name="AB100an905" localSheetId="4">#REF!</definedName>
    <definedName name="AB100an905" localSheetId="5">#REF!</definedName>
    <definedName name="AB100an905" localSheetId="12">#REF!</definedName>
    <definedName name="AB100an905" localSheetId="14">#REF!</definedName>
    <definedName name="AB100an905" localSheetId="1">#REF!</definedName>
    <definedName name="AB100an905" localSheetId="10">#REF!</definedName>
    <definedName name="AB100an905" localSheetId="18">#REF!</definedName>
    <definedName name="AB100an905" localSheetId="0">#REF!</definedName>
    <definedName name="AB100an905" localSheetId="9">#REF!</definedName>
    <definedName name="AB100an905" localSheetId="13">#REF!</definedName>
    <definedName name="AB100an905" localSheetId="3">#REF!</definedName>
    <definedName name="AB100an905" localSheetId="7">#REF!</definedName>
    <definedName name="AB100an905" localSheetId="11">#REF!</definedName>
    <definedName name="AB100an905" localSheetId="2">#REF!</definedName>
    <definedName name="AB100an905">#REF!</definedName>
    <definedName name="Abs" localSheetId="8">#REF!</definedName>
    <definedName name="Abs" localSheetId="6">#REF!</definedName>
    <definedName name="Abs" localSheetId="4">#REF!</definedName>
    <definedName name="Abs" localSheetId="5">#REF!</definedName>
    <definedName name="Abs" localSheetId="12">#REF!</definedName>
    <definedName name="Abs" localSheetId="14">#REF!</definedName>
    <definedName name="Abs" localSheetId="1">#REF!</definedName>
    <definedName name="Abs" localSheetId="10">#REF!</definedName>
    <definedName name="Abs" localSheetId="18">#REF!</definedName>
    <definedName name="Abs" localSheetId="0">#REF!</definedName>
    <definedName name="Abs" localSheetId="9">#REF!</definedName>
    <definedName name="Abs" localSheetId="13">#REF!</definedName>
    <definedName name="Abs" localSheetId="3">#REF!</definedName>
    <definedName name="Abs" localSheetId="7">#REF!</definedName>
    <definedName name="Abs" localSheetId="11">#REF!</definedName>
    <definedName name="Abs" localSheetId="2">#REF!</definedName>
    <definedName name="Abs">#REF!</definedName>
    <definedName name="ADD.STRUTT" localSheetId="8">#REF!</definedName>
    <definedName name="ADD.STRUTT" localSheetId="6">#REF!</definedName>
    <definedName name="ADD.STRUTT" localSheetId="4">#REF!</definedName>
    <definedName name="ADD.STRUTT" localSheetId="5">#REF!</definedName>
    <definedName name="ADD.STRUTT" localSheetId="12">#REF!</definedName>
    <definedName name="ADD.STRUTT" localSheetId="14">#REF!</definedName>
    <definedName name="ADD.STRUTT" localSheetId="1">#REF!</definedName>
    <definedName name="ADD.STRUTT" localSheetId="10">#REF!</definedName>
    <definedName name="ADD.STRUTT" localSheetId="18">#REF!</definedName>
    <definedName name="ADD.STRUTT" localSheetId="0">#REF!</definedName>
    <definedName name="ADD.STRUTT" localSheetId="9">#REF!</definedName>
    <definedName name="ADD.STRUTT" localSheetId="13">#REF!</definedName>
    <definedName name="ADD.STRUTT" localSheetId="3">#REF!</definedName>
    <definedName name="ADD.STRUTT" localSheetId="7">#REF!</definedName>
    <definedName name="ADD.STRUTT" localSheetId="11">#REF!</definedName>
    <definedName name="ADD.STRUTT" localSheetId="2">#REF!</definedName>
    <definedName name="ADD.STRUTT">#REF!</definedName>
    <definedName name="afsf" localSheetId="4">[1]Data!#REF!</definedName>
    <definedName name="afsf" localSheetId="5">[1]Data!#REF!</definedName>
    <definedName name="afsf" localSheetId="14">[1]Data!#REF!</definedName>
    <definedName name="afsf" localSheetId="10">[1]Data!#REF!</definedName>
    <definedName name="afsf">[1]Data!#REF!</definedName>
    <definedName name="ag" localSheetId="8">#REF!</definedName>
    <definedName name="ag" localSheetId="6">#REF!</definedName>
    <definedName name="ag" localSheetId="4">#REF!</definedName>
    <definedName name="ag" localSheetId="5">#REF!</definedName>
    <definedName name="ag" localSheetId="12">#REF!</definedName>
    <definedName name="ag" localSheetId="14">#REF!</definedName>
    <definedName name="ag" localSheetId="1">#REF!</definedName>
    <definedName name="ag" localSheetId="10">#REF!</definedName>
    <definedName name="ag" localSheetId="18">#REF!</definedName>
    <definedName name="ag" localSheetId="0">#REF!</definedName>
    <definedName name="ag" localSheetId="9">#REF!</definedName>
    <definedName name="ag" localSheetId="13">#REF!</definedName>
    <definedName name="ag" localSheetId="3">#REF!</definedName>
    <definedName name="ag" localSheetId="7">#REF!</definedName>
    <definedName name="ag" localSheetId="11">#REF!</definedName>
    <definedName name="ag" localSheetId="2">#REF!</definedName>
    <definedName name="ag">#REF!</definedName>
    <definedName name="ahfk" localSheetId="8">#REF!</definedName>
    <definedName name="ahfk" localSheetId="6">#REF!</definedName>
    <definedName name="ahfk" localSheetId="4">#REF!</definedName>
    <definedName name="ahfk" localSheetId="5">#REF!</definedName>
    <definedName name="ahfk" localSheetId="12">#REF!</definedName>
    <definedName name="ahfk" localSheetId="14">#REF!</definedName>
    <definedName name="ahfk" localSheetId="1">#REF!</definedName>
    <definedName name="ahfk" localSheetId="10">#REF!</definedName>
    <definedName name="ahfk" localSheetId="18">#REF!</definedName>
    <definedName name="ahfk" localSheetId="0">#REF!</definedName>
    <definedName name="ahfk" localSheetId="9">#REF!</definedName>
    <definedName name="ahfk" localSheetId="13">#REF!</definedName>
    <definedName name="ahfk" localSheetId="3">#REF!</definedName>
    <definedName name="ahfk" localSheetId="7">#REF!</definedName>
    <definedName name="ahfk" localSheetId="11">#REF!</definedName>
    <definedName name="ahfk" localSheetId="2">#REF!</definedName>
    <definedName name="ahfk">#REF!</definedName>
    <definedName name="ahh" localSheetId="10">#REF!</definedName>
    <definedName name="ahh">#REF!</definedName>
    <definedName name="anbu\" localSheetId="8">#REF!</definedName>
    <definedName name="anbu\" localSheetId="6">#REF!</definedName>
    <definedName name="anbu\" localSheetId="4">#REF!</definedName>
    <definedName name="anbu\" localSheetId="5">#REF!</definedName>
    <definedName name="anbu\" localSheetId="12">#REF!</definedName>
    <definedName name="anbu\" localSheetId="14">#REF!</definedName>
    <definedName name="anbu\" localSheetId="1">#REF!</definedName>
    <definedName name="anbu\" localSheetId="10">#REF!</definedName>
    <definedName name="anbu\" localSheetId="18">#REF!</definedName>
    <definedName name="anbu\" localSheetId="0">#REF!</definedName>
    <definedName name="anbu\" localSheetId="9">#REF!</definedName>
    <definedName name="anbu\" localSheetId="13">#REF!</definedName>
    <definedName name="anbu\" localSheetId="3">#REF!</definedName>
    <definedName name="anbu\" localSheetId="7">#REF!</definedName>
    <definedName name="anbu\" localSheetId="11">#REF!</definedName>
    <definedName name="anbu\" localSheetId="2">#REF!</definedName>
    <definedName name="anbu\">#REF!</definedName>
    <definedName name="asds" localSheetId="8">#REF!</definedName>
    <definedName name="asds" localSheetId="6">#REF!</definedName>
    <definedName name="asds" localSheetId="4">#REF!</definedName>
    <definedName name="asds" localSheetId="5">#REF!</definedName>
    <definedName name="asds" localSheetId="12">#REF!</definedName>
    <definedName name="asds" localSheetId="14">#REF!</definedName>
    <definedName name="asds" localSheetId="1">#REF!</definedName>
    <definedName name="asds" localSheetId="10">#REF!</definedName>
    <definedName name="asds" localSheetId="18">#REF!</definedName>
    <definedName name="asds" localSheetId="0">#REF!</definedName>
    <definedName name="asds" localSheetId="9">#REF!</definedName>
    <definedName name="asds" localSheetId="13">#REF!</definedName>
    <definedName name="asds" localSheetId="3">#REF!</definedName>
    <definedName name="asds" localSheetId="7">#REF!</definedName>
    <definedName name="asds" localSheetId="11">#REF!</definedName>
    <definedName name="asds" localSheetId="2">#REF!</definedName>
    <definedName name="asds">#REF!</definedName>
    <definedName name="asq" localSheetId="8">#REF!</definedName>
    <definedName name="asq" localSheetId="6">#REF!</definedName>
    <definedName name="asq" localSheetId="4">#REF!</definedName>
    <definedName name="asq" localSheetId="5">#REF!</definedName>
    <definedName name="asq" localSheetId="12">#REF!</definedName>
    <definedName name="asq" localSheetId="14">#REF!</definedName>
    <definedName name="asq" localSheetId="1">#REF!</definedName>
    <definedName name="asq" localSheetId="10">#REF!</definedName>
    <definedName name="asq" localSheetId="18">#REF!</definedName>
    <definedName name="asq" localSheetId="0">#REF!</definedName>
    <definedName name="asq" localSheetId="9">#REF!</definedName>
    <definedName name="asq" localSheetId="13">#REF!</definedName>
    <definedName name="asq" localSheetId="3">#REF!</definedName>
    <definedName name="asq" localSheetId="7">#REF!</definedName>
    <definedName name="asq" localSheetId="11">#REF!</definedName>
    <definedName name="asq" localSheetId="2">#REF!</definedName>
    <definedName name="asq">#REF!</definedName>
    <definedName name="ass" localSheetId="10">#REF!</definedName>
    <definedName name="ass">#REF!</definedName>
    <definedName name="b" localSheetId="8">#REF!</definedName>
    <definedName name="b" localSheetId="6">#REF!</definedName>
    <definedName name="b" localSheetId="4">#REF!</definedName>
    <definedName name="b" localSheetId="5">#REF!</definedName>
    <definedName name="b" localSheetId="12">#REF!</definedName>
    <definedName name="b" localSheetId="14">#REF!</definedName>
    <definedName name="b" localSheetId="1">#REF!</definedName>
    <definedName name="b" localSheetId="10">#REF!</definedName>
    <definedName name="b" localSheetId="18">#REF!</definedName>
    <definedName name="b" localSheetId="0">#REF!</definedName>
    <definedName name="b" localSheetId="9">#REF!</definedName>
    <definedName name="b" localSheetId="13">#REF!</definedName>
    <definedName name="b" localSheetId="3">#REF!</definedName>
    <definedName name="b" localSheetId="7">#REF!</definedName>
    <definedName name="b" localSheetId="11">#REF!</definedName>
    <definedName name="b" localSheetId="2">#REF!</definedName>
    <definedName name="b">#REF!</definedName>
    <definedName name="B.C1.3.6_40mm" localSheetId="8">#REF!</definedName>
    <definedName name="B.C1.3.6_40mm" localSheetId="6">#REF!</definedName>
    <definedName name="B.C1.3.6_40mm" localSheetId="4">#REF!</definedName>
    <definedName name="B.C1.3.6_40mm" localSheetId="5">#REF!</definedName>
    <definedName name="B.C1.3.6_40mm" localSheetId="12">#REF!</definedName>
    <definedName name="B.C1.3.6_40mm" localSheetId="14">#REF!</definedName>
    <definedName name="B.C1.3.6_40mm" localSheetId="1">#REF!</definedName>
    <definedName name="B.C1.3.6_40mm" localSheetId="10">#REF!</definedName>
    <definedName name="B.C1.3.6_40mm" localSheetId="18">#REF!</definedName>
    <definedName name="B.C1.3.6_40mm" localSheetId="0">#REF!</definedName>
    <definedName name="B.C1.3.6_40mm" localSheetId="9">#REF!</definedName>
    <definedName name="B.C1.3.6_40mm" localSheetId="13">#REF!</definedName>
    <definedName name="B.C1.3.6_40mm" localSheetId="3">#REF!</definedName>
    <definedName name="B.C1.3.6_40mm" localSheetId="7">#REF!</definedName>
    <definedName name="B.C1.3.6_40mm" localSheetId="11">#REF!</definedName>
    <definedName name="B.C1.3.6_40mm" localSheetId="2">#REF!</definedName>
    <definedName name="B.C1.3.6_40mm">#REF!</definedName>
    <definedName name="B.W.1.3_2.0" localSheetId="8">#REF!</definedName>
    <definedName name="B.W.1.3_2.0" localSheetId="6">#REF!</definedName>
    <definedName name="B.W.1.3_2.0" localSheetId="4">#REF!</definedName>
    <definedName name="B.W.1.3_2.0" localSheetId="5">#REF!</definedName>
    <definedName name="B.W.1.3_2.0" localSheetId="12">#REF!</definedName>
    <definedName name="B.W.1.3_2.0" localSheetId="14">#REF!</definedName>
    <definedName name="B.W.1.3_2.0" localSheetId="1">#REF!</definedName>
    <definedName name="B.W.1.3_2.0" localSheetId="10">#REF!</definedName>
    <definedName name="B.W.1.3_2.0" localSheetId="18">#REF!</definedName>
    <definedName name="B.W.1.3_2.0" localSheetId="0">#REF!</definedName>
    <definedName name="B.W.1.3_2.0" localSheetId="9">#REF!</definedName>
    <definedName name="B.W.1.3_2.0" localSheetId="13">#REF!</definedName>
    <definedName name="B.W.1.3_2.0" localSheetId="3">#REF!</definedName>
    <definedName name="B.W.1.3_2.0" localSheetId="7">#REF!</definedName>
    <definedName name="B.W.1.3_2.0" localSheetId="11">#REF!</definedName>
    <definedName name="B.W.1.3_2.0" localSheetId="2">#REF!</definedName>
    <definedName name="B.W.1.3_2.0">#REF!</definedName>
    <definedName name="B.W.1.3_2.25" localSheetId="8">#REF!</definedName>
    <definedName name="B.W.1.3_2.25" localSheetId="6">#REF!</definedName>
    <definedName name="B.W.1.3_2.25" localSheetId="4">#REF!</definedName>
    <definedName name="B.W.1.3_2.25" localSheetId="5">#REF!</definedName>
    <definedName name="B.W.1.3_2.25" localSheetId="12">#REF!</definedName>
    <definedName name="B.W.1.3_2.25" localSheetId="14">#REF!</definedName>
    <definedName name="B.W.1.3_2.25" localSheetId="1">#REF!</definedName>
    <definedName name="B.W.1.3_2.25" localSheetId="10">#REF!</definedName>
    <definedName name="B.W.1.3_2.25" localSheetId="18">#REF!</definedName>
    <definedName name="B.W.1.3_2.25" localSheetId="0">#REF!</definedName>
    <definedName name="B.W.1.3_2.25" localSheetId="9">#REF!</definedName>
    <definedName name="B.W.1.3_2.25" localSheetId="13">#REF!</definedName>
    <definedName name="B.W.1.3_2.25" localSheetId="3">#REF!</definedName>
    <definedName name="B.W.1.3_2.25" localSheetId="7">#REF!</definedName>
    <definedName name="B.W.1.3_2.25" localSheetId="11">#REF!</definedName>
    <definedName name="B.W.1.3_2.25" localSheetId="2">#REF!</definedName>
    <definedName name="B.W.1.3_2.25">#REF!</definedName>
    <definedName name="B.W.1.3_2.5" localSheetId="8">#REF!</definedName>
    <definedName name="B.W.1.3_2.5" localSheetId="6">#REF!</definedName>
    <definedName name="B.W.1.3_2.5" localSheetId="4">#REF!</definedName>
    <definedName name="B.W.1.3_2.5" localSheetId="5">#REF!</definedName>
    <definedName name="B.W.1.3_2.5" localSheetId="12">#REF!</definedName>
    <definedName name="B.W.1.3_2.5" localSheetId="14">#REF!</definedName>
    <definedName name="B.W.1.3_2.5" localSheetId="1">#REF!</definedName>
    <definedName name="B.W.1.3_2.5" localSheetId="10">#REF!</definedName>
    <definedName name="B.W.1.3_2.5" localSheetId="18">#REF!</definedName>
    <definedName name="B.W.1.3_2.5" localSheetId="0">#REF!</definedName>
    <definedName name="B.W.1.3_2.5" localSheetId="9">#REF!</definedName>
    <definedName name="B.W.1.3_2.5" localSheetId="13">#REF!</definedName>
    <definedName name="B.W.1.3_2.5" localSheetId="3">#REF!</definedName>
    <definedName name="B.W.1.3_2.5" localSheetId="7">#REF!</definedName>
    <definedName name="B.W.1.3_2.5" localSheetId="11">#REF!</definedName>
    <definedName name="B.W.1.3_2.5" localSheetId="2">#REF!</definedName>
    <definedName name="B.W.1.3_2.5">#REF!</definedName>
    <definedName name="B.W.1.3_2.75" localSheetId="8">#REF!</definedName>
    <definedName name="B.W.1.3_2.75" localSheetId="6">#REF!</definedName>
    <definedName name="B.W.1.3_2.75" localSheetId="4">#REF!</definedName>
    <definedName name="B.W.1.3_2.75" localSheetId="5">#REF!</definedName>
    <definedName name="B.W.1.3_2.75" localSheetId="12">#REF!</definedName>
    <definedName name="B.W.1.3_2.75" localSheetId="14">#REF!</definedName>
    <definedName name="B.W.1.3_2.75" localSheetId="1">#REF!</definedName>
    <definedName name="B.W.1.3_2.75" localSheetId="10">#REF!</definedName>
    <definedName name="B.W.1.3_2.75" localSheetId="18">#REF!</definedName>
    <definedName name="B.W.1.3_2.75" localSheetId="0">#REF!</definedName>
    <definedName name="B.W.1.3_2.75" localSheetId="9">#REF!</definedName>
    <definedName name="B.W.1.3_2.75" localSheetId="13">#REF!</definedName>
    <definedName name="B.W.1.3_2.75" localSheetId="3">#REF!</definedName>
    <definedName name="B.W.1.3_2.75" localSheetId="7">#REF!</definedName>
    <definedName name="B.W.1.3_2.75" localSheetId="11">#REF!</definedName>
    <definedName name="B.W.1.3_2.75" localSheetId="2">#REF!</definedName>
    <definedName name="B.W.1.3_2.75">#REF!</definedName>
    <definedName name="B.W.1.3_3" localSheetId="8">#REF!</definedName>
    <definedName name="B.W.1.3_3" localSheetId="6">#REF!</definedName>
    <definedName name="B.W.1.3_3" localSheetId="4">#REF!</definedName>
    <definedName name="B.W.1.3_3" localSheetId="5">#REF!</definedName>
    <definedName name="B.W.1.3_3" localSheetId="12">#REF!</definedName>
    <definedName name="B.W.1.3_3" localSheetId="14">#REF!</definedName>
    <definedName name="B.W.1.3_3" localSheetId="1">#REF!</definedName>
    <definedName name="B.W.1.3_3" localSheetId="10">#REF!</definedName>
    <definedName name="B.W.1.3_3" localSheetId="18">#REF!</definedName>
    <definedName name="B.W.1.3_3" localSheetId="0">#REF!</definedName>
    <definedName name="B.W.1.3_3" localSheetId="9">#REF!</definedName>
    <definedName name="B.W.1.3_3" localSheetId="13">#REF!</definedName>
    <definedName name="B.W.1.3_3" localSheetId="3">#REF!</definedName>
    <definedName name="B.W.1.3_3" localSheetId="7">#REF!</definedName>
    <definedName name="B.W.1.3_3" localSheetId="11">#REF!</definedName>
    <definedName name="B.W.1.3_3" localSheetId="2">#REF!</definedName>
    <definedName name="B.W.1.3_3">#REF!</definedName>
    <definedName name="B.W.1.5_2.0" localSheetId="8">#REF!</definedName>
    <definedName name="B.W.1.5_2.0" localSheetId="6">#REF!</definedName>
    <definedName name="B.W.1.5_2.0" localSheetId="4">#REF!</definedName>
    <definedName name="B.W.1.5_2.0" localSheetId="5">#REF!</definedName>
    <definedName name="B.W.1.5_2.0" localSheetId="12">#REF!</definedName>
    <definedName name="B.W.1.5_2.0" localSheetId="14">#REF!</definedName>
    <definedName name="B.W.1.5_2.0" localSheetId="1">#REF!</definedName>
    <definedName name="B.W.1.5_2.0" localSheetId="10">#REF!</definedName>
    <definedName name="B.W.1.5_2.0" localSheetId="18">#REF!</definedName>
    <definedName name="B.W.1.5_2.0" localSheetId="0">#REF!</definedName>
    <definedName name="B.W.1.5_2.0" localSheetId="9">#REF!</definedName>
    <definedName name="B.W.1.5_2.0" localSheetId="13">#REF!</definedName>
    <definedName name="B.W.1.5_2.0" localSheetId="3">#REF!</definedName>
    <definedName name="B.W.1.5_2.0" localSheetId="7">#REF!</definedName>
    <definedName name="B.W.1.5_2.0" localSheetId="11">#REF!</definedName>
    <definedName name="B.W.1.5_2.0" localSheetId="2">#REF!</definedName>
    <definedName name="B.W.1.5_2.0">#REF!</definedName>
    <definedName name="B.W.1.5_2.25" localSheetId="8">#REF!</definedName>
    <definedName name="B.W.1.5_2.25" localSheetId="6">#REF!</definedName>
    <definedName name="B.W.1.5_2.25" localSheetId="4">#REF!</definedName>
    <definedName name="B.W.1.5_2.25" localSheetId="5">#REF!</definedName>
    <definedName name="B.W.1.5_2.25" localSheetId="12">#REF!</definedName>
    <definedName name="B.W.1.5_2.25" localSheetId="14">#REF!</definedName>
    <definedName name="B.W.1.5_2.25" localSheetId="1">#REF!</definedName>
    <definedName name="B.W.1.5_2.25" localSheetId="10">#REF!</definedName>
    <definedName name="B.W.1.5_2.25" localSheetId="18">#REF!</definedName>
    <definedName name="B.W.1.5_2.25" localSheetId="0">#REF!</definedName>
    <definedName name="B.W.1.5_2.25" localSheetId="9">#REF!</definedName>
    <definedName name="B.W.1.5_2.25" localSheetId="13">#REF!</definedName>
    <definedName name="B.W.1.5_2.25" localSheetId="3">#REF!</definedName>
    <definedName name="B.W.1.5_2.25" localSheetId="7">#REF!</definedName>
    <definedName name="B.W.1.5_2.25" localSheetId="11">#REF!</definedName>
    <definedName name="B.W.1.5_2.25" localSheetId="2">#REF!</definedName>
    <definedName name="B.W.1.5_2.25">#REF!</definedName>
    <definedName name="B.W.1.5_2.5" localSheetId="8">#REF!</definedName>
    <definedName name="B.W.1.5_2.5" localSheetId="6">#REF!</definedName>
    <definedName name="B.W.1.5_2.5" localSheetId="4">#REF!</definedName>
    <definedName name="B.W.1.5_2.5" localSheetId="5">#REF!</definedName>
    <definedName name="B.W.1.5_2.5" localSheetId="12">#REF!</definedName>
    <definedName name="B.W.1.5_2.5" localSheetId="14">#REF!</definedName>
    <definedName name="B.W.1.5_2.5" localSheetId="1">#REF!</definedName>
    <definedName name="B.W.1.5_2.5" localSheetId="10">#REF!</definedName>
    <definedName name="B.W.1.5_2.5" localSheetId="18">#REF!</definedName>
    <definedName name="B.W.1.5_2.5" localSheetId="0">#REF!</definedName>
    <definedName name="B.W.1.5_2.5" localSheetId="9">#REF!</definedName>
    <definedName name="B.W.1.5_2.5" localSheetId="13">#REF!</definedName>
    <definedName name="B.W.1.5_2.5" localSheetId="3">#REF!</definedName>
    <definedName name="B.W.1.5_2.5" localSheetId="7">#REF!</definedName>
    <definedName name="B.W.1.5_2.5" localSheetId="11">#REF!</definedName>
    <definedName name="B.W.1.5_2.5" localSheetId="2">#REF!</definedName>
    <definedName name="B.W.1.5_2.5">#REF!</definedName>
    <definedName name="B.W.1.5_2.75" localSheetId="8">#REF!</definedName>
    <definedName name="B.W.1.5_2.75" localSheetId="6">#REF!</definedName>
    <definedName name="B.W.1.5_2.75" localSheetId="4">#REF!</definedName>
    <definedName name="B.W.1.5_2.75" localSheetId="5">#REF!</definedName>
    <definedName name="B.W.1.5_2.75" localSheetId="12">#REF!</definedName>
    <definedName name="B.W.1.5_2.75" localSheetId="14">#REF!</definedName>
    <definedName name="B.W.1.5_2.75" localSheetId="1">#REF!</definedName>
    <definedName name="B.W.1.5_2.75" localSheetId="10">#REF!</definedName>
    <definedName name="B.W.1.5_2.75" localSheetId="18">#REF!</definedName>
    <definedName name="B.W.1.5_2.75" localSheetId="0">#REF!</definedName>
    <definedName name="B.W.1.5_2.75" localSheetId="9">#REF!</definedName>
    <definedName name="B.W.1.5_2.75" localSheetId="13">#REF!</definedName>
    <definedName name="B.W.1.5_2.75" localSheetId="3">#REF!</definedName>
    <definedName name="B.W.1.5_2.75" localSheetId="7">#REF!</definedName>
    <definedName name="B.W.1.5_2.75" localSheetId="11">#REF!</definedName>
    <definedName name="B.W.1.5_2.75" localSheetId="2">#REF!</definedName>
    <definedName name="B.W.1.5_2.75">#REF!</definedName>
    <definedName name="B.W.1.5_3" localSheetId="8">#REF!</definedName>
    <definedName name="B.W.1.5_3" localSheetId="6">#REF!</definedName>
    <definedName name="B.W.1.5_3" localSheetId="4">#REF!</definedName>
    <definedName name="B.W.1.5_3" localSheetId="5">#REF!</definedName>
    <definedName name="B.W.1.5_3" localSheetId="12">#REF!</definedName>
    <definedName name="B.W.1.5_3" localSheetId="14">#REF!</definedName>
    <definedName name="B.W.1.5_3" localSheetId="1">#REF!</definedName>
    <definedName name="B.W.1.5_3" localSheetId="10">#REF!</definedName>
    <definedName name="B.W.1.5_3" localSheetId="18">#REF!</definedName>
    <definedName name="B.W.1.5_3" localSheetId="0">#REF!</definedName>
    <definedName name="B.W.1.5_3" localSheetId="9">#REF!</definedName>
    <definedName name="B.W.1.5_3" localSheetId="13">#REF!</definedName>
    <definedName name="B.W.1.5_3" localSheetId="3">#REF!</definedName>
    <definedName name="B.W.1.5_3" localSheetId="7">#REF!</definedName>
    <definedName name="B.W.1.5_3" localSheetId="11">#REF!</definedName>
    <definedName name="B.W.1.5_3" localSheetId="2">#REF!</definedName>
    <definedName name="B.W.1.5_3">#REF!</definedName>
    <definedName name="B.W.1.6_2.0" localSheetId="8">#REF!</definedName>
    <definedName name="B.W.1.6_2.0" localSheetId="6">#REF!</definedName>
    <definedName name="B.W.1.6_2.0" localSheetId="4">#REF!</definedName>
    <definedName name="B.W.1.6_2.0" localSheetId="5">#REF!</definedName>
    <definedName name="B.W.1.6_2.0" localSheetId="12">#REF!</definedName>
    <definedName name="B.W.1.6_2.0" localSheetId="14">#REF!</definedName>
    <definedName name="B.W.1.6_2.0" localSheetId="1">#REF!</definedName>
    <definedName name="B.W.1.6_2.0" localSheetId="10">#REF!</definedName>
    <definedName name="B.W.1.6_2.0" localSheetId="18">#REF!</definedName>
    <definedName name="B.W.1.6_2.0" localSheetId="0">#REF!</definedName>
    <definedName name="B.W.1.6_2.0" localSheetId="9">#REF!</definedName>
    <definedName name="B.W.1.6_2.0" localSheetId="13">#REF!</definedName>
    <definedName name="B.W.1.6_2.0" localSheetId="3">#REF!</definedName>
    <definedName name="B.W.1.6_2.0" localSheetId="7">#REF!</definedName>
    <definedName name="B.W.1.6_2.0" localSheetId="11">#REF!</definedName>
    <definedName name="B.W.1.6_2.0" localSheetId="2">#REF!</definedName>
    <definedName name="B.W.1.6_2.0">#REF!</definedName>
    <definedName name="B.W.1.6_2.25" localSheetId="8">#REF!</definedName>
    <definedName name="B.W.1.6_2.25" localSheetId="6">#REF!</definedName>
    <definedName name="B.W.1.6_2.25" localSheetId="4">#REF!</definedName>
    <definedName name="B.W.1.6_2.25" localSheetId="5">#REF!</definedName>
    <definedName name="B.W.1.6_2.25" localSheetId="12">#REF!</definedName>
    <definedName name="B.W.1.6_2.25" localSheetId="14">#REF!</definedName>
    <definedName name="B.W.1.6_2.25" localSheetId="1">#REF!</definedName>
    <definedName name="B.W.1.6_2.25" localSheetId="10">#REF!</definedName>
    <definedName name="B.W.1.6_2.25" localSheetId="18">#REF!</definedName>
    <definedName name="B.W.1.6_2.25" localSheetId="0">#REF!</definedName>
    <definedName name="B.W.1.6_2.25" localSheetId="9">#REF!</definedName>
    <definedName name="B.W.1.6_2.25" localSheetId="13">#REF!</definedName>
    <definedName name="B.W.1.6_2.25" localSheetId="3">#REF!</definedName>
    <definedName name="B.W.1.6_2.25" localSheetId="7">#REF!</definedName>
    <definedName name="B.W.1.6_2.25" localSheetId="11">#REF!</definedName>
    <definedName name="B.W.1.6_2.25" localSheetId="2">#REF!</definedName>
    <definedName name="B.W.1.6_2.25">#REF!</definedName>
    <definedName name="B.W.1.6_2.5" localSheetId="8">#REF!</definedName>
    <definedName name="B.W.1.6_2.5" localSheetId="6">#REF!</definedName>
    <definedName name="B.W.1.6_2.5" localSheetId="4">#REF!</definedName>
    <definedName name="B.W.1.6_2.5" localSheetId="5">#REF!</definedName>
    <definedName name="B.W.1.6_2.5" localSheetId="12">#REF!</definedName>
    <definedName name="B.W.1.6_2.5" localSheetId="14">#REF!</definedName>
    <definedName name="B.W.1.6_2.5" localSheetId="1">#REF!</definedName>
    <definedName name="B.W.1.6_2.5" localSheetId="10">#REF!</definedName>
    <definedName name="B.W.1.6_2.5" localSheetId="18">#REF!</definedName>
    <definedName name="B.W.1.6_2.5" localSheetId="0">#REF!</definedName>
    <definedName name="B.W.1.6_2.5" localSheetId="9">#REF!</definedName>
    <definedName name="B.W.1.6_2.5" localSheetId="13">#REF!</definedName>
    <definedName name="B.W.1.6_2.5" localSheetId="3">#REF!</definedName>
    <definedName name="B.W.1.6_2.5" localSheetId="7">#REF!</definedName>
    <definedName name="B.W.1.6_2.5" localSheetId="11">#REF!</definedName>
    <definedName name="B.W.1.6_2.5" localSheetId="2">#REF!</definedName>
    <definedName name="B.W.1.6_2.5">#REF!</definedName>
    <definedName name="B.W.1.6_2.75" localSheetId="8">#REF!</definedName>
    <definedName name="B.W.1.6_2.75" localSheetId="6">#REF!</definedName>
    <definedName name="B.W.1.6_2.75" localSheetId="4">#REF!</definedName>
    <definedName name="B.W.1.6_2.75" localSheetId="5">#REF!</definedName>
    <definedName name="B.W.1.6_2.75" localSheetId="12">#REF!</definedName>
    <definedName name="B.W.1.6_2.75" localSheetId="14">#REF!</definedName>
    <definedName name="B.W.1.6_2.75" localSheetId="1">#REF!</definedName>
    <definedName name="B.W.1.6_2.75" localSheetId="10">#REF!</definedName>
    <definedName name="B.W.1.6_2.75" localSheetId="18">#REF!</definedName>
    <definedName name="B.W.1.6_2.75" localSheetId="0">#REF!</definedName>
    <definedName name="B.W.1.6_2.75" localSheetId="9">#REF!</definedName>
    <definedName name="B.W.1.6_2.75" localSheetId="13">#REF!</definedName>
    <definedName name="B.W.1.6_2.75" localSheetId="3">#REF!</definedName>
    <definedName name="B.W.1.6_2.75" localSheetId="7">#REF!</definedName>
    <definedName name="B.W.1.6_2.75" localSheetId="11">#REF!</definedName>
    <definedName name="B.W.1.6_2.75" localSheetId="2">#REF!</definedName>
    <definedName name="B.W.1.6_2.75">#REF!</definedName>
    <definedName name="B.W.1.6_3" localSheetId="8">#REF!</definedName>
    <definedName name="B.W.1.6_3" localSheetId="6">#REF!</definedName>
    <definedName name="B.W.1.6_3" localSheetId="4">#REF!</definedName>
    <definedName name="B.W.1.6_3" localSheetId="5">#REF!</definedName>
    <definedName name="B.W.1.6_3" localSheetId="12">#REF!</definedName>
    <definedName name="B.W.1.6_3" localSheetId="14">#REF!</definedName>
    <definedName name="B.W.1.6_3" localSheetId="1">#REF!</definedName>
    <definedName name="B.W.1.6_3" localSheetId="10">#REF!</definedName>
    <definedName name="B.W.1.6_3" localSheetId="18">#REF!</definedName>
    <definedName name="B.W.1.6_3" localSheetId="0">#REF!</definedName>
    <definedName name="B.W.1.6_3" localSheetId="9">#REF!</definedName>
    <definedName name="B.W.1.6_3" localSheetId="13">#REF!</definedName>
    <definedName name="B.W.1.6_3" localSheetId="3">#REF!</definedName>
    <definedName name="B.W.1.6_3" localSheetId="7">#REF!</definedName>
    <definedName name="B.W.1.6_3" localSheetId="11">#REF!</definedName>
    <definedName name="B.W.1.6_3" localSheetId="2">#REF!</definedName>
    <definedName name="B.W.1.6_3">#REF!</definedName>
    <definedName name="bbed" localSheetId="12">Scheduled_Payment+Extra_Payment</definedName>
    <definedName name="bbed" localSheetId="14">Scheduled_Payment+Extra_Payment</definedName>
    <definedName name="bbed" localSheetId="10">Scheduled_Payment+Extra_Payment</definedName>
    <definedName name="bbed" localSheetId="18">Scheduled_Payment+Extra_Payment</definedName>
    <definedName name="bbed" localSheetId="13">Scheduled_Payment+Extra_Payment</definedName>
    <definedName name="bbed" localSheetId="11">Scheduled_Payment+Extra_Payment</definedName>
    <definedName name="bbed">Scheduled_Payment+Extra_Payment</definedName>
    <definedName name="Beg_Bal" localSheetId="10">#REF!</definedName>
    <definedName name="Beg_Bal">#REF!</definedName>
    <definedName name="BM" localSheetId="8">#REF!</definedName>
    <definedName name="BM" localSheetId="6">#REF!</definedName>
    <definedName name="BM" localSheetId="4">#REF!</definedName>
    <definedName name="BM" localSheetId="5">#REF!</definedName>
    <definedName name="BM" localSheetId="12">#REF!</definedName>
    <definedName name="BM" localSheetId="14">#REF!</definedName>
    <definedName name="BM" localSheetId="1">#REF!</definedName>
    <definedName name="BM" localSheetId="10">#REF!</definedName>
    <definedName name="BM" localSheetId="18">#REF!</definedName>
    <definedName name="BM" localSheetId="0">#REF!</definedName>
    <definedName name="BM" localSheetId="9">#REF!</definedName>
    <definedName name="BM" localSheetId="13">#REF!</definedName>
    <definedName name="BM" localSheetId="3">#REF!</definedName>
    <definedName name="BM" localSheetId="7">#REF!</definedName>
    <definedName name="BM" localSheetId="11">#REF!</definedName>
    <definedName name="BM" localSheetId="2">#REF!</definedName>
    <definedName name="BM">#REF!</definedName>
    <definedName name="bor" localSheetId="8">#REF!</definedName>
    <definedName name="bor" localSheetId="6">#REF!</definedName>
    <definedName name="bor" localSheetId="4">#REF!</definedName>
    <definedName name="bor" localSheetId="5">#REF!</definedName>
    <definedName name="bor" localSheetId="12">#REF!</definedName>
    <definedName name="bor" localSheetId="14">#REF!</definedName>
    <definedName name="bor" localSheetId="1">#REF!</definedName>
    <definedName name="bor" localSheetId="10">#REF!</definedName>
    <definedName name="bor" localSheetId="18">#REF!</definedName>
    <definedName name="bor" localSheetId="0">#REF!</definedName>
    <definedName name="bor" localSheetId="9">#REF!</definedName>
    <definedName name="bor" localSheetId="13">#REF!</definedName>
    <definedName name="bor" localSheetId="3">#REF!</definedName>
    <definedName name="bor" localSheetId="7">#REF!</definedName>
    <definedName name="bor" localSheetId="11">#REF!</definedName>
    <definedName name="bor" localSheetId="2">#REF!</definedName>
    <definedName name="bor">#REF!</definedName>
    <definedName name="Br.Par_2.0" localSheetId="8">#REF!</definedName>
    <definedName name="Br.Par_2.0" localSheetId="6">#REF!</definedName>
    <definedName name="Br.Par_2.0" localSheetId="4">#REF!</definedName>
    <definedName name="Br.Par_2.0" localSheetId="5">#REF!</definedName>
    <definedName name="Br.Par_2.0" localSheetId="12">#REF!</definedName>
    <definedName name="Br.Par_2.0" localSheetId="14">#REF!</definedName>
    <definedName name="Br.Par_2.0" localSheetId="1">#REF!</definedName>
    <definedName name="Br.Par_2.0" localSheetId="10">#REF!</definedName>
    <definedName name="Br.Par_2.0" localSheetId="18">#REF!</definedName>
    <definedName name="Br.Par_2.0" localSheetId="0">#REF!</definedName>
    <definedName name="Br.Par_2.0" localSheetId="9">#REF!</definedName>
    <definedName name="Br.Par_2.0" localSheetId="13">#REF!</definedName>
    <definedName name="Br.Par_2.0" localSheetId="3">#REF!</definedName>
    <definedName name="Br.Par_2.0" localSheetId="7">#REF!</definedName>
    <definedName name="Br.Par_2.0" localSheetId="11">#REF!</definedName>
    <definedName name="Br.Par_2.0" localSheetId="2">#REF!</definedName>
    <definedName name="Br.Par_2.0">#REF!</definedName>
    <definedName name="Br.Par_2.25" localSheetId="8">#REF!</definedName>
    <definedName name="Br.Par_2.25" localSheetId="6">#REF!</definedName>
    <definedName name="Br.Par_2.25" localSheetId="4">#REF!</definedName>
    <definedName name="Br.Par_2.25" localSheetId="5">#REF!</definedName>
    <definedName name="Br.Par_2.25" localSheetId="12">#REF!</definedName>
    <definedName name="Br.Par_2.25" localSheetId="14">#REF!</definedName>
    <definedName name="Br.Par_2.25" localSheetId="1">#REF!</definedName>
    <definedName name="Br.Par_2.25" localSheetId="10">#REF!</definedName>
    <definedName name="Br.Par_2.25" localSheetId="18">#REF!</definedName>
    <definedName name="Br.Par_2.25" localSheetId="0">#REF!</definedName>
    <definedName name="Br.Par_2.25" localSheetId="9">#REF!</definedName>
    <definedName name="Br.Par_2.25" localSheetId="13">#REF!</definedName>
    <definedName name="Br.Par_2.25" localSheetId="3">#REF!</definedName>
    <definedName name="Br.Par_2.25" localSheetId="7">#REF!</definedName>
    <definedName name="Br.Par_2.25" localSheetId="11">#REF!</definedName>
    <definedName name="Br.Par_2.25" localSheetId="2">#REF!</definedName>
    <definedName name="Br.Par_2.25">#REF!</definedName>
    <definedName name="Br.Par_2.50" localSheetId="8">#REF!</definedName>
    <definedName name="Br.Par_2.50" localSheetId="6">#REF!</definedName>
    <definedName name="Br.Par_2.50" localSheetId="4">#REF!</definedName>
    <definedName name="Br.Par_2.50" localSheetId="5">#REF!</definedName>
    <definedName name="Br.Par_2.50" localSheetId="12">#REF!</definedName>
    <definedName name="Br.Par_2.50" localSheetId="14">#REF!</definedName>
    <definedName name="Br.Par_2.50" localSheetId="1">#REF!</definedName>
    <definedName name="Br.Par_2.50" localSheetId="10">#REF!</definedName>
    <definedName name="Br.Par_2.50" localSheetId="18">#REF!</definedName>
    <definedName name="Br.Par_2.50" localSheetId="0">#REF!</definedName>
    <definedName name="Br.Par_2.50" localSheetId="9">#REF!</definedName>
    <definedName name="Br.Par_2.50" localSheetId="13">#REF!</definedName>
    <definedName name="Br.Par_2.50" localSheetId="3">#REF!</definedName>
    <definedName name="Br.Par_2.50" localSheetId="7">#REF!</definedName>
    <definedName name="Br.Par_2.50" localSheetId="11">#REF!</definedName>
    <definedName name="Br.Par_2.50" localSheetId="2">#REF!</definedName>
    <definedName name="Br.Par_2.50">#REF!</definedName>
    <definedName name="Br.Par_2.75" localSheetId="8">#REF!</definedName>
    <definedName name="Br.Par_2.75" localSheetId="6">#REF!</definedName>
    <definedName name="Br.Par_2.75" localSheetId="4">#REF!</definedName>
    <definedName name="Br.Par_2.75" localSheetId="5">#REF!</definedName>
    <definedName name="Br.Par_2.75" localSheetId="12">#REF!</definedName>
    <definedName name="Br.Par_2.75" localSheetId="14">#REF!</definedName>
    <definedName name="Br.Par_2.75" localSheetId="1">#REF!</definedName>
    <definedName name="Br.Par_2.75" localSheetId="10">#REF!</definedName>
    <definedName name="Br.Par_2.75" localSheetId="18">#REF!</definedName>
    <definedName name="Br.Par_2.75" localSheetId="0">#REF!</definedName>
    <definedName name="Br.Par_2.75" localSheetId="9">#REF!</definedName>
    <definedName name="Br.Par_2.75" localSheetId="13">#REF!</definedName>
    <definedName name="Br.Par_2.75" localSheetId="3">#REF!</definedName>
    <definedName name="Br.Par_2.75" localSheetId="7">#REF!</definedName>
    <definedName name="Br.Par_2.75" localSheetId="11">#REF!</definedName>
    <definedName name="Br.Par_2.75" localSheetId="2">#REF!</definedName>
    <definedName name="Br.Par_2.75">#REF!</definedName>
    <definedName name="Br.Par_3.0" localSheetId="8">#REF!</definedName>
    <definedName name="Br.Par_3.0" localSheetId="6">#REF!</definedName>
    <definedName name="Br.Par_3.0" localSheetId="4">#REF!</definedName>
    <definedName name="Br.Par_3.0" localSheetId="5">#REF!</definedName>
    <definedName name="Br.Par_3.0" localSheetId="12">#REF!</definedName>
    <definedName name="Br.Par_3.0" localSheetId="14">#REF!</definedName>
    <definedName name="Br.Par_3.0" localSheetId="1">#REF!</definedName>
    <definedName name="Br.Par_3.0" localSheetId="10">#REF!</definedName>
    <definedName name="Br.Par_3.0" localSheetId="18">#REF!</definedName>
    <definedName name="Br.Par_3.0" localSheetId="0">#REF!</definedName>
    <definedName name="Br.Par_3.0" localSheetId="9">#REF!</definedName>
    <definedName name="Br.Par_3.0" localSheetId="13">#REF!</definedName>
    <definedName name="Br.Par_3.0" localSheetId="3">#REF!</definedName>
    <definedName name="Br.Par_3.0" localSheetId="7">#REF!</definedName>
    <definedName name="Br.Par_3.0" localSheetId="11">#REF!</definedName>
    <definedName name="Br.Par_3.0" localSheetId="2">#REF!</definedName>
    <definedName name="Br.Par_3.0">#REF!</definedName>
    <definedName name="Brick_work" localSheetId="8">#REF!</definedName>
    <definedName name="Brick_work" localSheetId="6">#REF!</definedName>
    <definedName name="Brick_work" localSheetId="4">#REF!</definedName>
    <definedName name="Brick_work" localSheetId="5">#REF!</definedName>
    <definedName name="Brick_work" localSheetId="12">#REF!</definedName>
    <definedName name="Brick_work" localSheetId="14">#REF!</definedName>
    <definedName name="Brick_work" localSheetId="1">#REF!</definedName>
    <definedName name="Brick_work" localSheetId="10">#REF!</definedName>
    <definedName name="Brick_work" localSheetId="18">#REF!</definedName>
    <definedName name="Brick_work" localSheetId="0">#REF!</definedName>
    <definedName name="Brick_work" localSheetId="9">#REF!</definedName>
    <definedName name="Brick_work" localSheetId="13">#REF!</definedName>
    <definedName name="Brick_work" localSheetId="3">#REF!</definedName>
    <definedName name="Brick_work" localSheetId="7">#REF!</definedName>
    <definedName name="Brick_work" localSheetId="11">#REF!</definedName>
    <definedName name="Brick_work" localSheetId="2">#REF!</definedName>
    <definedName name="Brick_work">#REF!</definedName>
    <definedName name="Brick_work_11" localSheetId="8">#REF!</definedName>
    <definedName name="Brick_work_11" localSheetId="6">#REF!</definedName>
    <definedName name="Brick_work_11" localSheetId="4">#REF!</definedName>
    <definedName name="Brick_work_11" localSheetId="5">#REF!</definedName>
    <definedName name="Brick_work_11" localSheetId="12">#REF!</definedName>
    <definedName name="Brick_work_11" localSheetId="14">#REF!</definedName>
    <definedName name="Brick_work_11" localSheetId="1">#REF!</definedName>
    <definedName name="Brick_work_11" localSheetId="10">#REF!</definedName>
    <definedName name="Brick_work_11" localSheetId="18">#REF!</definedName>
    <definedName name="Brick_work_11" localSheetId="0">#REF!</definedName>
    <definedName name="Brick_work_11" localSheetId="9">#REF!</definedName>
    <definedName name="Brick_work_11" localSheetId="13">#REF!</definedName>
    <definedName name="Brick_work_11" localSheetId="3">#REF!</definedName>
    <definedName name="Brick_work_11" localSheetId="7">#REF!</definedName>
    <definedName name="Brick_work_11" localSheetId="11">#REF!</definedName>
    <definedName name="Brick_work_11" localSheetId="2">#REF!</definedName>
    <definedName name="Brick_work_11">#REF!</definedName>
    <definedName name="Brick_work_3" localSheetId="8">#REF!</definedName>
    <definedName name="Brick_work_3" localSheetId="6">#REF!</definedName>
    <definedName name="Brick_work_3" localSheetId="4">#REF!</definedName>
    <definedName name="Brick_work_3" localSheetId="5">#REF!</definedName>
    <definedName name="Brick_work_3" localSheetId="12">#REF!</definedName>
    <definedName name="Brick_work_3" localSheetId="14">#REF!</definedName>
    <definedName name="Brick_work_3" localSheetId="1">#REF!</definedName>
    <definedName name="Brick_work_3" localSheetId="10">#REF!</definedName>
    <definedName name="Brick_work_3" localSheetId="18">#REF!</definedName>
    <definedName name="Brick_work_3" localSheetId="0">#REF!</definedName>
    <definedName name="Brick_work_3" localSheetId="9">#REF!</definedName>
    <definedName name="Brick_work_3" localSheetId="13">#REF!</definedName>
    <definedName name="Brick_work_3" localSheetId="3">#REF!</definedName>
    <definedName name="Brick_work_3" localSheetId="7">#REF!</definedName>
    <definedName name="Brick_work_3" localSheetId="11">#REF!</definedName>
    <definedName name="Brick_work_3" localSheetId="2">#REF!</definedName>
    <definedName name="Brick_work_3">#REF!</definedName>
    <definedName name="Brick_work_6" localSheetId="8">#REF!</definedName>
    <definedName name="Brick_work_6" localSheetId="6">#REF!</definedName>
    <definedName name="Brick_work_6" localSheetId="4">#REF!</definedName>
    <definedName name="Brick_work_6" localSheetId="5">#REF!</definedName>
    <definedName name="Brick_work_6" localSheetId="12">#REF!</definedName>
    <definedName name="Brick_work_6" localSheetId="14">#REF!</definedName>
    <definedName name="Brick_work_6" localSheetId="1">#REF!</definedName>
    <definedName name="Brick_work_6" localSheetId="10">#REF!</definedName>
    <definedName name="Brick_work_6" localSheetId="18">#REF!</definedName>
    <definedName name="Brick_work_6" localSheetId="0">#REF!</definedName>
    <definedName name="Brick_work_6" localSheetId="9">#REF!</definedName>
    <definedName name="Brick_work_6" localSheetId="13">#REF!</definedName>
    <definedName name="Brick_work_6" localSheetId="3">#REF!</definedName>
    <definedName name="Brick_work_6" localSheetId="7">#REF!</definedName>
    <definedName name="Brick_work_6" localSheetId="11">#REF!</definedName>
    <definedName name="Brick_work_6" localSheetId="2">#REF!</definedName>
    <definedName name="Brick_work_6">#REF!</definedName>
    <definedName name="Bricks" localSheetId="4">[1]Data!#REF!</definedName>
    <definedName name="Bricks" localSheetId="5">[1]Data!#REF!</definedName>
    <definedName name="Bricks" localSheetId="12">[1]Data!#REF!</definedName>
    <definedName name="Bricks" localSheetId="14">[1]Data!#REF!</definedName>
    <definedName name="Bricks" localSheetId="10">[1]Data!#REF!</definedName>
    <definedName name="Bricks" localSheetId="18">[1]Data!#REF!</definedName>
    <definedName name="Bricks" localSheetId="13">[1]Data!#REF!</definedName>
    <definedName name="Bricks" localSheetId="11">[1]Data!#REF!</definedName>
    <definedName name="Bricks">[1]Data!#REF!</definedName>
    <definedName name="Bricks_11" localSheetId="8">#REF!</definedName>
    <definedName name="Bricks_11" localSheetId="6">#REF!</definedName>
    <definedName name="Bricks_11" localSheetId="4">#REF!</definedName>
    <definedName name="Bricks_11" localSheetId="5">#REF!</definedName>
    <definedName name="Bricks_11" localSheetId="12">#REF!</definedName>
    <definedName name="Bricks_11" localSheetId="14">#REF!</definedName>
    <definedName name="Bricks_11" localSheetId="1">#REF!</definedName>
    <definedName name="Bricks_11" localSheetId="10">#REF!</definedName>
    <definedName name="Bricks_11" localSheetId="18">#REF!</definedName>
    <definedName name="Bricks_11" localSheetId="0">#REF!</definedName>
    <definedName name="Bricks_11" localSheetId="9">#REF!</definedName>
    <definedName name="Bricks_11" localSheetId="13">#REF!</definedName>
    <definedName name="Bricks_11" localSheetId="3">#REF!</definedName>
    <definedName name="Bricks_11" localSheetId="7">#REF!</definedName>
    <definedName name="Bricks_11" localSheetId="11">#REF!</definedName>
    <definedName name="Bricks_11" localSheetId="2">#REF!</definedName>
    <definedName name="Bricks_11">#REF!</definedName>
    <definedName name="Bricks_3" localSheetId="8">#REF!</definedName>
    <definedName name="Bricks_3" localSheetId="6">#REF!</definedName>
    <definedName name="Bricks_3" localSheetId="4">#REF!</definedName>
    <definedName name="Bricks_3" localSheetId="5">#REF!</definedName>
    <definedName name="Bricks_3" localSheetId="12">#REF!</definedName>
    <definedName name="Bricks_3" localSheetId="14">#REF!</definedName>
    <definedName name="Bricks_3" localSheetId="1">#REF!</definedName>
    <definedName name="Bricks_3" localSheetId="10">#REF!</definedName>
    <definedName name="Bricks_3" localSheetId="18">#REF!</definedName>
    <definedName name="Bricks_3" localSheetId="0">#REF!</definedName>
    <definedName name="Bricks_3" localSheetId="9">#REF!</definedName>
    <definedName name="Bricks_3" localSheetId="13">#REF!</definedName>
    <definedName name="Bricks_3" localSheetId="3">#REF!</definedName>
    <definedName name="Bricks_3" localSheetId="7">#REF!</definedName>
    <definedName name="Bricks_3" localSheetId="11">#REF!</definedName>
    <definedName name="Bricks_3" localSheetId="2">#REF!</definedName>
    <definedName name="Bricks_3">#REF!</definedName>
    <definedName name="Bricks_6" localSheetId="8">#REF!</definedName>
    <definedName name="Bricks_6" localSheetId="6">#REF!</definedName>
    <definedName name="Bricks_6" localSheetId="4">#REF!</definedName>
    <definedName name="Bricks_6" localSheetId="5">#REF!</definedName>
    <definedName name="Bricks_6" localSheetId="12">#REF!</definedName>
    <definedName name="Bricks_6" localSheetId="14">#REF!</definedName>
    <definedName name="Bricks_6" localSheetId="1">#REF!</definedName>
    <definedName name="Bricks_6" localSheetId="10">#REF!</definedName>
    <definedName name="Bricks_6" localSheetId="18">#REF!</definedName>
    <definedName name="Bricks_6" localSheetId="0">#REF!</definedName>
    <definedName name="Bricks_6" localSheetId="9">#REF!</definedName>
    <definedName name="Bricks_6" localSheetId="13">#REF!</definedName>
    <definedName name="Bricks_6" localSheetId="3">#REF!</definedName>
    <definedName name="Bricks_6" localSheetId="7">#REF!</definedName>
    <definedName name="Bricks_6" localSheetId="11">#REF!</definedName>
    <definedName name="Bricks_6" localSheetId="2">#REF!</definedName>
    <definedName name="Bricks_6">#REF!</definedName>
    <definedName name="Bricks_7" localSheetId="8">[1]Data!#REF!</definedName>
    <definedName name="Bricks_7" localSheetId="6">[1]Data!#REF!</definedName>
    <definedName name="Bricks_7" localSheetId="4">[1]Data!#REF!</definedName>
    <definedName name="Bricks_7" localSheetId="5">[1]Data!#REF!</definedName>
    <definedName name="Bricks_7" localSheetId="12">[1]Data!#REF!</definedName>
    <definedName name="Bricks_7" localSheetId="14">[1]Data!#REF!</definedName>
    <definedName name="Bricks_7" localSheetId="1">[1]Data!#REF!</definedName>
    <definedName name="Bricks_7" localSheetId="10">[1]Data!#REF!</definedName>
    <definedName name="Bricks_7" localSheetId="18">[1]Data!#REF!</definedName>
    <definedName name="Bricks_7" localSheetId="0">[1]Data!#REF!</definedName>
    <definedName name="Bricks_7" localSheetId="9">[1]Data!#REF!</definedName>
    <definedName name="Bricks_7" localSheetId="13">[1]Data!#REF!</definedName>
    <definedName name="Bricks_7" localSheetId="3">[1]Data!#REF!</definedName>
    <definedName name="Bricks_7" localSheetId="7">[1]Data!#REF!</definedName>
    <definedName name="Bricks_7" localSheetId="11">[1]Data!#REF!</definedName>
    <definedName name="Bricks_7" localSheetId="2">[1]Data!#REF!</definedName>
    <definedName name="Bricks_7">[1]Data!#REF!</definedName>
    <definedName name="Bricks_8" localSheetId="8">[1]Data!#REF!</definedName>
    <definedName name="Bricks_8" localSheetId="6">[1]Data!#REF!</definedName>
    <definedName name="Bricks_8" localSheetId="4">[1]Data!#REF!</definedName>
    <definedName name="Bricks_8" localSheetId="5">[1]Data!#REF!</definedName>
    <definedName name="Bricks_8" localSheetId="12">[1]Data!#REF!</definedName>
    <definedName name="Bricks_8" localSheetId="14">[1]Data!#REF!</definedName>
    <definedName name="Bricks_8" localSheetId="1">[1]Data!#REF!</definedName>
    <definedName name="Bricks_8" localSheetId="10">[1]Data!#REF!</definedName>
    <definedName name="Bricks_8" localSheetId="18">[1]Data!#REF!</definedName>
    <definedName name="Bricks_8" localSheetId="0">[1]Data!#REF!</definedName>
    <definedName name="Bricks_8" localSheetId="9">[1]Data!#REF!</definedName>
    <definedName name="Bricks_8" localSheetId="13">[1]Data!#REF!</definedName>
    <definedName name="Bricks_8" localSheetId="3">[1]Data!#REF!</definedName>
    <definedName name="Bricks_8" localSheetId="7">[1]Data!#REF!</definedName>
    <definedName name="Bricks_8" localSheetId="11">[1]Data!#REF!</definedName>
    <definedName name="Bricks_8" localSheetId="2">[1]Data!#REF!</definedName>
    <definedName name="Bricks_8">[1]Data!#REF!</definedName>
    <definedName name="bui" localSheetId="8">#REF!</definedName>
    <definedName name="bui" localSheetId="6">#REF!</definedName>
    <definedName name="bui" localSheetId="4">#REF!</definedName>
    <definedName name="bui" localSheetId="5">#REF!</definedName>
    <definedName name="bui" localSheetId="12">#REF!</definedName>
    <definedName name="bui" localSheetId="14">#REF!</definedName>
    <definedName name="bui" localSheetId="1">#REF!</definedName>
    <definedName name="bui" localSheetId="10">#REF!</definedName>
    <definedName name="bui" localSheetId="18">#REF!</definedName>
    <definedName name="bui" localSheetId="0">#REF!</definedName>
    <definedName name="bui" localSheetId="9">#REF!</definedName>
    <definedName name="bui" localSheetId="13">#REF!</definedName>
    <definedName name="bui" localSheetId="3">#REF!</definedName>
    <definedName name="bui" localSheetId="7">#REF!</definedName>
    <definedName name="bui" localSheetId="11">#REF!</definedName>
    <definedName name="bui" localSheetId="2">#REF!</definedName>
    <definedName name="bui">#REF!</definedName>
    <definedName name="Buildingevelopment." localSheetId="8">#REF!</definedName>
    <definedName name="Buildingevelopment." localSheetId="6">#REF!</definedName>
    <definedName name="Buildingevelopment." localSheetId="4">#REF!</definedName>
    <definedName name="Buildingevelopment." localSheetId="5">#REF!</definedName>
    <definedName name="Buildingevelopment." localSheetId="12">#REF!</definedName>
    <definedName name="Buildingevelopment." localSheetId="14">#REF!</definedName>
    <definedName name="Buildingevelopment." localSheetId="1">#REF!</definedName>
    <definedName name="Buildingevelopment." localSheetId="10">#REF!</definedName>
    <definedName name="Buildingevelopment." localSheetId="18">#REF!</definedName>
    <definedName name="Buildingevelopment." localSheetId="0">#REF!</definedName>
    <definedName name="Buildingevelopment." localSheetId="9">#REF!</definedName>
    <definedName name="Buildingevelopment." localSheetId="13">#REF!</definedName>
    <definedName name="Buildingevelopment." localSheetId="3">#REF!</definedName>
    <definedName name="Buildingevelopment." localSheetId="7">#REF!</definedName>
    <definedName name="Buildingevelopment." localSheetId="11">#REF!</definedName>
    <definedName name="Buildingevelopment." localSheetId="2">#REF!</definedName>
    <definedName name="Buildingevelopment.">#REF!</definedName>
    <definedName name="c.data" localSheetId="8">#REF!</definedName>
    <definedName name="c.data" localSheetId="6">#REF!</definedName>
    <definedName name="c.data" localSheetId="4">#REF!</definedName>
    <definedName name="c.data" localSheetId="5">#REF!</definedName>
    <definedName name="c.data" localSheetId="12">#REF!</definedName>
    <definedName name="c.data" localSheetId="14">#REF!</definedName>
    <definedName name="c.data" localSheetId="1">#REF!</definedName>
    <definedName name="c.data" localSheetId="10">#REF!</definedName>
    <definedName name="c.data" localSheetId="18">#REF!</definedName>
    <definedName name="c.data" localSheetId="0">#REF!</definedName>
    <definedName name="c.data" localSheetId="9">#REF!</definedName>
    <definedName name="c.data" localSheetId="13">#REF!</definedName>
    <definedName name="c.data" localSheetId="3">#REF!</definedName>
    <definedName name="c.data" localSheetId="7">#REF!</definedName>
    <definedName name="c.data" localSheetId="11">#REF!</definedName>
    <definedName name="c.data" localSheetId="2">#REF!</definedName>
    <definedName name="c.data">#REF!</definedName>
    <definedName name="C.M.1.1" localSheetId="8">#REF!</definedName>
    <definedName name="C.M.1.1" localSheetId="6">#REF!</definedName>
    <definedName name="C.M.1.1" localSheetId="4">#REF!</definedName>
    <definedName name="C.M.1.1" localSheetId="5">#REF!</definedName>
    <definedName name="C.M.1.1" localSheetId="12">#REF!</definedName>
    <definedName name="C.M.1.1" localSheetId="14">#REF!</definedName>
    <definedName name="C.M.1.1" localSheetId="1">#REF!</definedName>
    <definedName name="C.M.1.1" localSheetId="10">#REF!</definedName>
    <definedName name="C.M.1.1" localSheetId="18">#REF!</definedName>
    <definedName name="C.M.1.1" localSheetId="0">#REF!</definedName>
    <definedName name="C.M.1.1" localSheetId="9">#REF!</definedName>
    <definedName name="C.M.1.1" localSheetId="13">#REF!</definedName>
    <definedName name="C.M.1.1" localSheetId="3">#REF!</definedName>
    <definedName name="C.M.1.1" localSheetId="7">#REF!</definedName>
    <definedName name="C.M.1.1" localSheetId="11">#REF!</definedName>
    <definedName name="C.M.1.1" localSheetId="2">#REF!</definedName>
    <definedName name="C.M.1.1">#REF!</definedName>
    <definedName name="C.M.1.1.5" localSheetId="8">#REF!</definedName>
    <definedName name="C.M.1.1.5" localSheetId="6">#REF!</definedName>
    <definedName name="C.M.1.1.5" localSheetId="4">#REF!</definedName>
    <definedName name="C.M.1.1.5" localSheetId="5">#REF!</definedName>
    <definedName name="C.M.1.1.5" localSheetId="12">#REF!</definedName>
    <definedName name="C.M.1.1.5" localSheetId="14">#REF!</definedName>
    <definedName name="C.M.1.1.5" localSheetId="1">#REF!</definedName>
    <definedName name="C.M.1.1.5" localSheetId="10">#REF!</definedName>
    <definedName name="C.M.1.1.5" localSheetId="18">#REF!</definedName>
    <definedName name="C.M.1.1.5" localSheetId="0">#REF!</definedName>
    <definedName name="C.M.1.1.5" localSheetId="9">#REF!</definedName>
    <definedName name="C.M.1.1.5" localSheetId="13">#REF!</definedName>
    <definedName name="C.M.1.1.5" localSheetId="3">#REF!</definedName>
    <definedName name="C.M.1.1.5" localSheetId="7">#REF!</definedName>
    <definedName name="C.M.1.1.5" localSheetId="11">#REF!</definedName>
    <definedName name="C.M.1.1.5" localSheetId="2">#REF!</definedName>
    <definedName name="C.M.1.1.5">#REF!</definedName>
    <definedName name="c641." localSheetId="10">#REF!</definedName>
    <definedName name="c641.">#REF!</definedName>
    <definedName name="Cement_mortar" localSheetId="8">#REF!</definedName>
    <definedName name="Cement_mortar" localSheetId="6">#REF!</definedName>
    <definedName name="Cement_mortar" localSheetId="4">#REF!</definedName>
    <definedName name="Cement_mortar" localSheetId="5">#REF!</definedName>
    <definedName name="Cement_mortar" localSheetId="12">#REF!</definedName>
    <definedName name="Cement_mortar" localSheetId="14">#REF!</definedName>
    <definedName name="Cement_mortar" localSheetId="1">#REF!</definedName>
    <definedName name="Cement_mortar" localSheetId="10">#REF!</definedName>
    <definedName name="Cement_mortar" localSheetId="18">#REF!</definedName>
    <definedName name="Cement_mortar" localSheetId="0">#REF!</definedName>
    <definedName name="Cement_mortar" localSheetId="9">#REF!</definedName>
    <definedName name="Cement_mortar" localSheetId="13">#REF!</definedName>
    <definedName name="Cement_mortar" localSheetId="3">#REF!</definedName>
    <definedName name="Cement_mortar" localSheetId="7">#REF!</definedName>
    <definedName name="Cement_mortar" localSheetId="11">#REF!</definedName>
    <definedName name="Cement_mortar" localSheetId="2">#REF!</definedName>
    <definedName name="Cement_mortar">#REF!</definedName>
    <definedName name="Cement_mortar_11" localSheetId="8">#REF!</definedName>
    <definedName name="Cement_mortar_11" localSheetId="6">#REF!</definedName>
    <definedName name="Cement_mortar_11" localSheetId="4">#REF!</definedName>
    <definedName name="Cement_mortar_11" localSheetId="5">#REF!</definedName>
    <definedName name="Cement_mortar_11" localSheetId="12">#REF!</definedName>
    <definedName name="Cement_mortar_11" localSheetId="14">#REF!</definedName>
    <definedName name="Cement_mortar_11" localSheetId="1">#REF!</definedName>
    <definedName name="Cement_mortar_11" localSheetId="10">#REF!</definedName>
    <definedName name="Cement_mortar_11" localSheetId="18">#REF!</definedName>
    <definedName name="Cement_mortar_11" localSheetId="0">#REF!</definedName>
    <definedName name="Cement_mortar_11" localSheetId="9">#REF!</definedName>
    <definedName name="Cement_mortar_11" localSheetId="13">#REF!</definedName>
    <definedName name="Cement_mortar_11" localSheetId="3">#REF!</definedName>
    <definedName name="Cement_mortar_11" localSheetId="7">#REF!</definedName>
    <definedName name="Cement_mortar_11" localSheetId="11">#REF!</definedName>
    <definedName name="Cement_mortar_11" localSheetId="2">#REF!</definedName>
    <definedName name="Cement_mortar_11">#REF!</definedName>
    <definedName name="Cement_mortar_3" localSheetId="8">#REF!</definedName>
    <definedName name="Cement_mortar_3" localSheetId="6">#REF!</definedName>
    <definedName name="Cement_mortar_3" localSheetId="4">#REF!</definedName>
    <definedName name="Cement_mortar_3" localSheetId="5">#REF!</definedName>
    <definedName name="Cement_mortar_3" localSheetId="12">#REF!</definedName>
    <definedName name="Cement_mortar_3" localSheetId="14">#REF!</definedName>
    <definedName name="Cement_mortar_3" localSheetId="1">#REF!</definedName>
    <definedName name="Cement_mortar_3" localSheetId="10">#REF!</definedName>
    <definedName name="Cement_mortar_3" localSheetId="18">#REF!</definedName>
    <definedName name="Cement_mortar_3" localSheetId="0">#REF!</definedName>
    <definedName name="Cement_mortar_3" localSheetId="9">#REF!</definedName>
    <definedName name="Cement_mortar_3" localSheetId="13">#REF!</definedName>
    <definedName name="Cement_mortar_3" localSheetId="3">#REF!</definedName>
    <definedName name="Cement_mortar_3" localSheetId="7">#REF!</definedName>
    <definedName name="Cement_mortar_3" localSheetId="11">#REF!</definedName>
    <definedName name="Cement_mortar_3" localSheetId="2">#REF!</definedName>
    <definedName name="Cement_mortar_3">#REF!</definedName>
    <definedName name="Cement_mortar_6" localSheetId="8">#REF!</definedName>
    <definedName name="Cement_mortar_6" localSheetId="6">#REF!</definedName>
    <definedName name="Cement_mortar_6" localSheetId="4">#REF!</definedName>
    <definedName name="Cement_mortar_6" localSheetId="5">#REF!</definedName>
    <definedName name="Cement_mortar_6" localSheetId="12">#REF!</definedName>
    <definedName name="Cement_mortar_6" localSheetId="14">#REF!</definedName>
    <definedName name="Cement_mortar_6" localSheetId="1">#REF!</definedName>
    <definedName name="Cement_mortar_6" localSheetId="10">#REF!</definedName>
    <definedName name="Cement_mortar_6" localSheetId="18">#REF!</definedName>
    <definedName name="Cement_mortar_6" localSheetId="0">#REF!</definedName>
    <definedName name="Cement_mortar_6" localSheetId="9">#REF!</definedName>
    <definedName name="Cement_mortar_6" localSheetId="13">#REF!</definedName>
    <definedName name="Cement_mortar_6" localSheetId="3">#REF!</definedName>
    <definedName name="Cement_mortar_6" localSheetId="7">#REF!</definedName>
    <definedName name="Cement_mortar_6" localSheetId="11">#REF!</definedName>
    <definedName name="Cement_mortar_6" localSheetId="2">#REF!</definedName>
    <definedName name="Cement_mortar_6">#REF!</definedName>
    <definedName name="Cement_Paint" localSheetId="8">#REF!</definedName>
    <definedName name="Cement_Paint" localSheetId="6">#REF!</definedName>
    <definedName name="Cement_Paint" localSheetId="4">#REF!</definedName>
    <definedName name="Cement_Paint" localSheetId="5">#REF!</definedName>
    <definedName name="Cement_Paint" localSheetId="12">#REF!</definedName>
    <definedName name="Cement_Paint" localSheetId="14">#REF!</definedName>
    <definedName name="Cement_Paint" localSheetId="1">#REF!</definedName>
    <definedName name="Cement_Paint" localSheetId="10">#REF!</definedName>
    <definedName name="Cement_Paint" localSheetId="18">#REF!</definedName>
    <definedName name="Cement_Paint" localSheetId="0">#REF!</definedName>
    <definedName name="Cement_Paint" localSheetId="9">#REF!</definedName>
    <definedName name="Cement_Paint" localSheetId="13">#REF!</definedName>
    <definedName name="Cement_Paint" localSheetId="3">#REF!</definedName>
    <definedName name="Cement_Paint" localSheetId="7">#REF!</definedName>
    <definedName name="Cement_Paint" localSheetId="11">#REF!</definedName>
    <definedName name="Cement_Paint" localSheetId="2">#REF!</definedName>
    <definedName name="Cement_Paint">#REF!</definedName>
    <definedName name="CENTERING" localSheetId="8">#REF!</definedName>
    <definedName name="CENTERING" localSheetId="6">#REF!</definedName>
    <definedName name="CENTERING" localSheetId="4">#REF!</definedName>
    <definedName name="CENTERING" localSheetId="5">#REF!</definedName>
    <definedName name="centering" localSheetId="12">#REF!</definedName>
    <definedName name="centering" localSheetId="14">#REF!</definedName>
    <definedName name="CENTERING" localSheetId="1">#REF!</definedName>
    <definedName name="CENTERING" localSheetId="10">#REF!</definedName>
    <definedName name="centering" localSheetId="18">#REF!</definedName>
    <definedName name="CENTERING" localSheetId="0">#REF!</definedName>
    <definedName name="CENTERING" localSheetId="9">#REF!</definedName>
    <definedName name="centering" localSheetId="13">#REF!</definedName>
    <definedName name="CENTERING" localSheetId="3">#REF!</definedName>
    <definedName name="CENTERING" localSheetId="7">#REF!</definedName>
    <definedName name="centering" localSheetId="11">#REF!</definedName>
    <definedName name="CENTERING" localSheetId="2">#REF!</definedName>
    <definedName name="CENTERING">#REF!</definedName>
    <definedName name="Civil_Data" localSheetId="8">#REF!</definedName>
    <definedName name="Civil_Data" localSheetId="6">#REF!</definedName>
    <definedName name="Civil_Data" localSheetId="4">#REF!</definedName>
    <definedName name="Civil_Data" localSheetId="5">#REF!</definedName>
    <definedName name="Civil_Data" localSheetId="12">#REF!</definedName>
    <definedName name="Civil_Data" localSheetId="14">#REF!</definedName>
    <definedName name="Civil_Data" localSheetId="1">#REF!</definedName>
    <definedName name="Civil_Data" localSheetId="10">#REF!</definedName>
    <definedName name="Civil_Data" localSheetId="18">#REF!</definedName>
    <definedName name="Civil_Data" localSheetId="0">#REF!</definedName>
    <definedName name="Civil_Data" localSheetId="9">#REF!</definedName>
    <definedName name="Civil_Data" localSheetId="13">#REF!</definedName>
    <definedName name="Civil_Data" localSheetId="3">#REF!</definedName>
    <definedName name="Civil_Data" localSheetId="7">#REF!</definedName>
    <definedName name="Civil_Data" localSheetId="11">#REF!</definedName>
    <definedName name="Civil_Data" localSheetId="2">#REF!</definedName>
    <definedName name="Civil_Data">#REF!</definedName>
    <definedName name="Concrete" localSheetId="8">#REF!</definedName>
    <definedName name="Concrete" localSheetId="6">#REF!</definedName>
    <definedName name="Concrete" localSheetId="4">#REF!</definedName>
    <definedName name="Concrete" localSheetId="5">#REF!</definedName>
    <definedName name="Concrete" localSheetId="12">#REF!</definedName>
    <definedName name="Concrete" localSheetId="14">#REF!</definedName>
    <definedName name="Concrete" localSheetId="1">#REF!</definedName>
    <definedName name="Concrete" localSheetId="10">#REF!</definedName>
    <definedName name="Concrete" localSheetId="18">#REF!</definedName>
    <definedName name="Concrete" localSheetId="0">#REF!</definedName>
    <definedName name="Concrete" localSheetId="9">#REF!</definedName>
    <definedName name="Concrete" localSheetId="13">#REF!</definedName>
    <definedName name="Concrete" localSheetId="3">#REF!</definedName>
    <definedName name="Concrete" localSheetId="7">#REF!</definedName>
    <definedName name="Concrete" localSheetId="11">#REF!</definedName>
    <definedName name="Concrete" localSheetId="2">#REF!</definedName>
    <definedName name="Concrete">#REF!</definedName>
    <definedName name="Concrete_11" localSheetId="8">#REF!</definedName>
    <definedName name="Concrete_11" localSheetId="6">#REF!</definedName>
    <definedName name="Concrete_11" localSheetId="4">#REF!</definedName>
    <definedName name="Concrete_11" localSheetId="5">#REF!</definedName>
    <definedName name="Concrete_11" localSheetId="12">#REF!</definedName>
    <definedName name="Concrete_11" localSheetId="14">#REF!</definedName>
    <definedName name="Concrete_11" localSheetId="1">#REF!</definedName>
    <definedName name="Concrete_11" localSheetId="10">#REF!</definedName>
    <definedName name="Concrete_11" localSheetId="18">#REF!</definedName>
    <definedName name="Concrete_11" localSheetId="0">#REF!</definedName>
    <definedName name="Concrete_11" localSheetId="9">#REF!</definedName>
    <definedName name="Concrete_11" localSheetId="13">#REF!</definedName>
    <definedName name="Concrete_11" localSheetId="3">#REF!</definedName>
    <definedName name="Concrete_11" localSheetId="7">#REF!</definedName>
    <definedName name="Concrete_11" localSheetId="11">#REF!</definedName>
    <definedName name="Concrete_11" localSheetId="2">#REF!</definedName>
    <definedName name="Concrete_11">#REF!</definedName>
    <definedName name="Concrete_3" localSheetId="8">#REF!</definedName>
    <definedName name="Concrete_3" localSheetId="6">#REF!</definedName>
    <definedName name="Concrete_3" localSheetId="4">#REF!</definedName>
    <definedName name="Concrete_3" localSheetId="5">#REF!</definedName>
    <definedName name="Concrete_3" localSheetId="12">#REF!</definedName>
    <definedName name="Concrete_3" localSheetId="14">#REF!</definedName>
    <definedName name="Concrete_3" localSheetId="1">#REF!</definedName>
    <definedName name="Concrete_3" localSheetId="10">#REF!</definedName>
    <definedName name="Concrete_3" localSheetId="18">#REF!</definedName>
    <definedName name="Concrete_3" localSheetId="0">#REF!</definedName>
    <definedName name="Concrete_3" localSheetId="9">#REF!</definedName>
    <definedName name="Concrete_3" localSheetId="13">#REF!</definedName>
    <definedName name="Concrete_3" localSheetId="3">#REF!</definedName>
    <definedName name="Concrete_3" localSheetId="7">#REF!</definedName>
    <definedName name="Concrete_3" localSheetId="11">#REF!</definedName>
    <definedName name="Concrete_3" localSheetId="2">#REF!</definedName>
    <definedName name="Concrete_3">#REF!</definedName>
    <definedName name="Concrete_6" localSheetId="8">#REF!</definedName>
    <definedName name="Concrete_6" localSheetId="6">#REF!</definedName>
    <definedName name="Concrete_6" localSheetId="4">#REF!</definedName>
    <definedName name="Concrete_6" localSheetId="5">#REF!</definedName>
    <definedName name="Concrete_6" localSheetId="12">#REF!</definedName>
    <definedName name="Concrete_6" localSheetId="14">#REF!</definedName>
    <definedName name="Concrete_6" localSheetId="1">#REF!</definedName>
    <definedName name="Concrete_6" localSheetId="10">#REF!</definedName>
    <definedName name="Concrete_6" localSheetId="18">#REF!</definedName>
    <definedName name="Concrete_6" localSheetId="0">#REF!</definedName>
    <definedName name="Concrete_6" localSheetId="9">#REF!</definedName>
    <definedName name="Concrete_6" localSheetId="13">#REF!</definedName>
    <definedName name="Concrete_6" localSheetId="3">#REF!</definedName>
    <definedName name="Concrete_6" localSheetId="7">#REF!</definedName>
    <definedName name="Concrete_6" localSheetId="11">#REF!</definedName>
    <definedName name="Concrete_6" localSheetId="2">#REF!</definedName>
    <definedName name="Concrete_6">#REF!</definedName>
    <definedName name="Conveyance_chart" localSheetId="8">#REF!</definedName>
    <definedName name="Conveyance_chart" localSheetId="6">#REF!</definedName>
    <definedName name="Conveyance_chart" localSheetId="4">#REF!</definedName>
    <definedName name="Conveyance_chart" localSheetId="5">#REF!</definedName>
    <definedName name="Conveyance_chart" localSheetId="12">#REF!</definedName>
    <definedName name="Conveyance_chart" localSheetId="14">#REF!</definedName>
    <definedName name="Conveyance_chart" localSheetId="1">#REF!</definedName>
    <definedName name="Conveyance_chart" localSheetId="10">#REF!</definedName>
    <definedName name="Conveyance_chart" localSheetId="18">#REF!</definedName>
    <definedName name="Conveyance_chart" localSheetId="0">#REF!</definedName>
    <definedName name="Conveyance_chart" localSheetId="9">#REF!</definedName>
    <definedName name="Conveyance_chart" localSheetId="13">#REF!</definedName>
    <definedName name="Conveyance_chart" localSheetId="3">#REF!</definedName>
    <definedName name="Conveyance_chart" localSheetId="7">#REF!</definedName>
    <definedName name="Conveyance_chart" localSheetId="11">#REF!</definedName>
    <definedName name="Conveyance_chart" localSheetId="2">#REF!</definedName>
    <definedName name="Conveyance_chart">#REF!</definedName>
    <definedName name="Conveyance_chart_11" localSheetId="8">#REF!</definedName>
    <definedName name="Conveyance_chart_11" localSheetId="6">#REF!</definedName>
    <definedName name="Conveyance_chart_11" localSheetId="4">#REF!</definedName>
    <definedName name="Conveyance_chart_11" localSheetId="5">#REF!</definedName>
    <definedName name="Conveyance_chart_11" localSheetId="12">#REF!</definedName>
    <definedName name="Conveyance_chart_11" localSheetId="14">#REF!</definedName>
    <definedName name="Conveyance_chart_11" localSheetId="1">#REF!</definedName>
    <definedName name="Conveyance_chart_11" localSheetId="10">#REF!</definedName>
    <definedName name="Conveyance_chart_11" localSheetId="18">#REF!</definedName>
    <definedName name="Conveyance_chart_11" localSheetId="0">#REF!</definedName>
    <definedName name="Conveyance_chart_11" localSheetId="9">#REF!</definedName>
    <definedName name="Conveyance_chart_11" localSheetId="13">#REF!</definedName>
    <definedName name="Conveyance_chart_11" localSheetId="3">#REF!</definedName>
    <definedName name="Conveyance_chart_11" localSheetId="7">#REF!</definedName>
    <definedName name="Conveyance_chart_11" localSheetId="11">#REF!</definedName>
    <definedName name="Conveyance_chart_11" localSheetId="2">#REF!</definedName>
    <definedName name="Conveyance_chart_11">#REF!</definedName>
    <definedName name="Conveyance_chart_3" localSheetId="8">#REF!</definedName>
    <definedName name="Conveyance_chart_3" localSheetId="6">#REF!</definedName>
    <definedName name="Conveyance_chart_3" localSheetId="4">#REF!</definedName>
    <definedName name="Conveyance_chart_3" localSheetId="5">#REF!</definedName>
    <definedName name="Conveyance_chart_3" localSheetId="12">#REF!</definedName>
    <definedName name="Conveyance_chart_3" localSheetId="14">#REF!</definedName>
    <definedName name="Conveyance_chart_3" localSheetId="1">#REF!</definedName>
    <definedName name="Conveyance_chart_3" localSheetId="10">#REF!</definedName>
    <definedName name="Conveyance_chart_3" localSheetId="18">#REF!</definedName>
    <definedName name="Conveyance_chart_3" localSheetId="0">#REF!</definedName>
    <definedName name="Conveyance_chart_3" localSheetId="9">#REF!</definedName>
    <definedName name="Conveyance_chart_3" localSheetId="13">#REF!</definedName>
    <definedName name="Conveyance_chart_3" localSheetId="3">#REF!</definedName>
    <definedName name="Conveyance_chart_3" localSheetId="7">#REF!</definedName>
    <definedName name="Conveyance_chart_3" localSheetId="11">#REF!</definedName>
    <definedName name="Conveyance_chart_3" localSheetId="2">#REF!</definedName>
    <definedName name="Conveyance_chart_3">#REF!</definedName>
    <definedName name="Conveyance_chart_6" localSheetId="8">#REF!</definedName>
    <definedName name="Conveyance_chart_6" localSheetId="6">#REF!</definedName>
    <definedName name="Conveyance_chart_6" localSheetId="4">#REF!</definedName>
    <definedName name="Conveyance_chart_6" localSheetId="5">#REF!</definedName>
    <definedName name="Conveyance_chart_6" localSheetId="12">#REF!</definedName>
    <definedName name="Conveyance_chart_6" localSheetId="14">#REF!</definedName>
    <definedName name="Conveyance_chart_6" localSheetId="1">#REF!</definedName>
    <definedName name="Conveyance_chart_6" localSheetId="10">#REF!</definedName>
    <definedName name="Conveyance_chart_6" localSheetId="18">#REF!</definedName>
    <definedName name="Conveyance_chart_6" localSheetId="0">#REF!</definedName>
    <definedName name="Conveyance_chart_6" localSheetId="9">#REF!</definedName>
    <definedName name="Conveyance_chart_6" localSheetId="13">#REF!</definedName>
    <definedName name="Conveyance_chart_6" localSheetId="3">#REF!</definedName>
    <definedName name="Conveyance_chart_6" localSheetId="7">#REF!</definedName>
    <definedName name="Conveyance_chart_6" localSheetId="11">#REF!</definedName>
    <definedName name="Conveyance_chart_6" localSheetId="2">#REF!</definedName>
    <definedName name="Conveyance_chart_6">#REF!</definedName>
    <definedName name="CUDDAPAH_40" localSheetId="8">#REF!</definedName>
    <definedName name="CUDDAPAH_40" localSheetId="6">#REF!</definedName>
    <definedName name="CUDDAPAH_40" localSheetId="4">#REF!</definedName>
    <definedName name="CUDDAPAH_40" localSheetId="5">#REF!</definedName>
    <definedName name="CUDDAPAH_40" localSheetId="12">#REF!</definedName>
    <definedName name="CUDDAPAH_40" localSheetId="14">#REF!</definedName>
    <definedName name="CUDDAPAH_40" localSheetId="1">#REF!</definedName>
    <definedName name="CUDDAPAH_40" localSheetId="10">#REF!</definedName>
    <definedName name="CUDDAPAH_40" localSheetId="18">#REF!</definedName>
    <definedName name="CUDDAPAH_40" localSheetId="0">#REF!</definedName>
    <definedName name="CUDDAPAH_40" localSheetId="9">#REF!</definedName>
    <definedName name="CUDDAPAH_40" localSheetId="13">#REF!</definedName>
    <definedName name="CUDDAPAH_40" localSheetId="3">#REF!</definedName>
    <definedName name="CUDDAPAH_40" localSheetId="7">#REF!</definedName>
    <definedName name="CUDDAPAH_40" localSheetId="11">#REF!</definedName>
    <definedName name="CUDDAPAH_40" localSheetId="2">#REF!</definedName>
    <definedName name="CUDDAPAH_40">#REF!</definedName>
    <definedName name="d">#REF!</definedName>
    <definedName name="DADOO_CL.GLZ" localSheetId="8">#REF!</definedName>
    <definedName name="DADOO_CL.GLZ" localSheetId="6">#REF!</definedName>
    <definedName name="DADOO_CL.GLZ" localSheetId="4">#REF!</definedName>
    <definedName name="DADOO_CL.GLZ" localSheetId="5">#REF!</definedName>
    <definedName name="DADOO_CL.GLZ" localSheetId="12">#REF!</definedName>
    <definedName name="DADOO_CL.GLZ" localSheetId="14">#REF!</definedName>
    <definedName name="DADOO_CL.GLZ" localSheetId="1">#REF!</definedName>
    <definedName name="DADOO_CL.GLZ" localSheetId="10">#REF!</definedName>
    <definedName name="DADOO_CL.GLZ" localSheetId="18">#REF!</definedName>
    <definedName name="DADOO_CL.GLZ" localSheetId="0">#REF!</definedName>
    <definedName name="DADOO_CL.GLZ" localSheetId="9">#REF!</definedName>
    <definedName name="DADOO_CL.GLZ" localSheetId="13">#REF!</definedName>
    <definedName name="DADOO_CL.GLZ" localSheetId="3">#REF!</definedName>
    <definedName name="DADOO_CL.GLZ" localSheetId="7">#REF!</definedName>
    <definedName name="DADOO_CL.GLZ" localSheetId="11">#REF!</definedName>
    <definedName name="DADOO_CL.GLZ" localSheetId="2">#REF!</definedName>
    <definedName name="DADOO_CL.GLZ">#REF!</definedName>
    <definedName name="DADOO_MOSIC" localSheetId="8">#REF!</definedName>
    <definedName name="DADOO_MOSIC" localSheetId="6">#REF!</definedName>
    <definedName name="DADOO_MOSIC" localSheetId="4">#REF!</definedName>
    <definedName name="DADOO_MOSIC" localSheetId="5">#REF!</definedName>
    <definedName name="DADOO_MOSIC" localSheetId="12">#REF!</definedName>
    <definedName name="DADOO_MOSIC" localSheetId="14">#REF!</definedName>
    <definedName name="DADOO_MOSIC" localSheetId="1">#REF!</definedName>
    <definedName name="DADOO_MOSIC" localSheetId="10">#REF!</definedName>
    <definedName name="DADOO_MOSIC" localSheetId="18">#REF!</definedName>
    <definedName name="DADOO_MOSIC" localSheetId="0">#REF!</definedName>
    <definedName name="DADOO_MOSIC" localSheetId="9">#REF!</definedName>
    <definedName name="DADOO_MOSIC" localSheetId="13">#REF!</definedName>
    <definedName name="DADOO_MOSIC" localSheetId="3">#REF!</definedName>
    <definedName name="DADOO_MOSIC" localSheetId="7">#REF!</definedName>
    <definedName name="DADOO_MOSIC" localSheetId="11">#REF!</definedName>
    <definedName name="DADOO_MOSIC" localSheetId="2">#REF!</definedName>
    <definedName name="DADOO_MOSIC">#REF!</definedName>
    <definedName name="DADOO_WT.GLZ" localSheetId="8">#REF!</definedName>
    <definedName name="DADOO_WT.GLZ" localSheetId="6">#REF!</definedName>
    <definedName name="DADOO_WT.GLZ" localSheetId="4">#REF!</definedName>
    <definedName name="DADOO_WT.GLZ" localSheetId="5">#REF!</definedName>
    <definedName name="DADOO_WT.GLZ" localSheetId="12">#REF!</definedName>
    <definedName name="DADOO_WT.GLZ" localSheetId="14">#REF!</definedName>
    <definedName name="DADOO_WT.GLZ" localSheetId="1">#REF!</definedName>
    <definedName name="DADOO_WT.GLZ" localSheetId="10">#REF!</definedName>
    <definedName name="DADOO_WT.GLZ" localSheetId="18">#REF!</definedName>
    <definedName name="DADOO_WT.GLZ" localSheetId="0">#REF!</definedName>
    <definedName name="DADOO_WT.GLZ" localSheetId="9">#REF!</definedName>
    <definedName name="DADOO_WT.GLZ" localSheetId="13">#REF!</definedName>
    <definedName name="DADOO_WT.GLZ" localSheetId="3">#REF!</definedName>
    <definedName name="DADOO_WT.GLZ" localSheetId="7">#REF!</definedName>
    <definedName name="DADOO_WT.GLZ" localSheetId="11">#REF!</definedName>
    <definedName name="DADOO_WT.GLZ" localSheetId="2">#REF!</definedName>
    <definedName name="DADOO_WT.GLZ">#REF!</definedName>
    <definedName name="Data" localSheetId="10">#REF!</definedName>
    <definedName name="Data">#REF!</definedName>
    <definedName name="Data_civil" localSheetId="8">#REF!</definedName>
    <definedName name="Data_civil" localSheetId="6">#REF!</definedName>
    <definedName name="Data_civil" localSheetId="4">#REF!</definedName>
    <definedName name="Data_civil" localSheetId="5">#REF!</definedName>
    <definedName name="Data_civil" localSheetId="12">#REF!</definedName>
    <definedName name="Data_civil" localSheetId="14">#REF!</definedName>
    <definedName name="Data_civil" localSheetId="1">#REF!</definedName>
    <definedName name="Data_civil" localSheetId="10">#REF!</definedName>
    <definedName name="Data_civil" localSheetId="18">#REF!</definedName>
    <definedName name="Data_civil" localSheetId="0">#REF!</definedName>
    <definedName name="Data_civil" localSheetId="9">#REF!</definedName>
    <definedName name="Data_civil" localSheetId="13">#REF!</definedName>
    <definedName name="Data_civil" localSheetId="3">#REF!</definedName>
    <definedName name="Data_civil" localSheetId="7">#REF!</definedName>
    <definedName name="Data_civil" localSheetId="11">#REF!</definedName>
    <definedName name="Data_civil" localSheetId="2">#REF!</definedName>
    <definedName name="Data_civil">#REF!</definedName>
    <definedName name="Data_civil_11" localSheetId="8">#REF!</definedName>
    <definedName name="Data_civil_11" localSheetId="6">#REF!</definedName>
    <definedName name="Data_civil_11" localSheetId="4">#REF!</definedName>
    <definedName name="Data_civil_11" localSheetId="5">#REF!</definedName>
    <definedName name="Data_civil_11" localSheetId="12">#REF!</definedName>
    <definedName name="Data_civil_11" localSheetId="14">#REF!</definedName>
    <definedName name="Data_civil_11" localSheetId="1">#REF!</definedName>
    <definedName name="Data_civil_11" localSheetId="10">#REF!</definedName>
    <definedName name="Data_civil_11" localSheetId="18">#REF!</definedName>
    <definedName name="Data_civil_11" localSheetId="0">#REF!</definedName>
    <definedName name="Data_civil_11" localSheetId="9">#REF!</definedName>
    <definedName name="Data_civil_11" localSheetId="13">#REF!</definedName>
    <definedName name="Data_civil_11" localSheetId="3">#REF!</definedName>
    <definedName name="Data_civil_11" localSheetId="7">#REF!</definedName>
    <definedName name="Data_civil_11" localSheetId="11">#REF!</definedName>
    <definedName name="Data_civil_11" localSheetId="2">#REF!</definedName>
    <definedName name="Data_civil_11">#REF!</definedName>
    <definedName name="Data_civil_3" localSheetId="8">#REF!</definedName>
    <definedName name="Data_civil_3" localSheetId="6">#REF!</definedName>
    <definedName name="Data_civil_3" localSheetId="4">#REF!</definedName>
    <definedName name="Data_civil_3" localSheetId="5">#REF!</definedName>
    <definedName name="Data_civil_3" localSheetId="12">#REF!</definedName>
    <definedName name="Data_civil_3" localSheetId="14">#REF!</definedName>
    <definedName name="Data_civil_3" localSheetId="1">#REF!</definedName>
    <definedName name="Data_civil_3" localSheetId="10">#REF!</definedName>
    <definedName name="Data_civil_3" localSheetId="18">#REF!</definedName>
    <definedName name="Data_civil_3" localSheetId="0">#REF!</definedName>
    <definedName name="Data_civil_3" localSheetId="9">#REF!</definedName>
    <definedName name="Data_civil_3" localSheetId="13">#REF!</definedName>
    <definedName name="Data_civil_3" localSheetId="3">#REF!</definedName>
    <definedName name="Data_civil_3" localSheetId="7">#REF!</definedName>
    <definedName name="Data_civil_3" localSheetId="11">#REF!</definedName>
    <definedName name="Data_civil_3" localSheetId="2">#REF!</definedName>
    <definedName name="Data_civil_3">#REF!</definedName>
    <definedName name="Data_civil_6" localSheetId="8">#REF!</definedName>
    <definedName name="Data_civil_6" localSheetId="6">#REF!</definedName>
    <definedName name="Data_civil_6" localSheetId="4">#REF!</definedName>
    <definedName name="Data_civil_6" localSheetId="5">#REF!</definedName>
    <definedName name="Data_civil_6" localSheetId="12">#REF!</definedName>
    <definedName name="Data_civil_6" localSheetId="14">#REF!</definedName>
    <definedName name="Data_civil_6" localSheetId="1">#REF!</definedName>
    <definedName name="Data_civil_6" localSheetId="10">#REF!</definedName>
    <definedName name="Data_civil_6" localSheetId="18">#REF!</definedName>
    <definedName name="Data_civil_6" localSheetId="0">#REF!</definedName>
    <definedName name="Data_civil_6" localSheetId="9">#REF!</definedName>
    <definedName name="Data_civil_6" localSheetId="13">#REF!</definedName>
    <definedName name="Data_civil_6" localSheetId="3">#REF!</definedName>
    <definedName name="Data_civil_6" localSheetId="7">#REF!</definedName>
    <definedName name="Data_civil_6" localSheetId="11">#REF!</definedName>
    <definedName name="Data_civil_6" localSheetId="2">#REF!</definedName>
    <definedName name="Data_civil_6">#REF!</definedName>
    <definedName name="Data_electrical" localSheetId="8">#REF!</definedName>
    <definedName name="Data_electrical" localSheetId="6">#REF!</definedName>
    <definedName name="Data_electrical" localSheetId="4">#REF!</definedName>
    <definedName name="Data_electrical" localSheetId="5">#REF!</definedName>
    <definedName name="Data_electrical" localSheetId="12">#REF!</definedName>
    <definedName name="Data_electrical" localSheetId="14">#REF!</definedName>
    <definedName name="Data_electrical" localSheetId="1">#REF!</definedName>
    <definedName name="Data_electrical" localSheetId="10">#REF!</definedName>
    <definedName name="Data_electrical" localSheetId="18">#REF!</definedName>
    <definedName name="Data_electrical" localSheetId="0">#REF!</definedName>
    <definedName name="Data_electrical" localSheetId="9">#REF!</definedName>
    <definedName name="Data_electrical" localSheetId="13">#REF!</definedName>
    <definedName name="Data_electrical" localSheetId="3">#REF!</definedName>
    <definedName name="Data_electrical" localSheetId="7">#REF!</definedName>
    <definedName name="Data_electrical" localSheetId="11">#REF!</definedName>
    <definedName name="Data_electrical" localSheetId="2">#REF!</definedName>
    <definedName name="Data_electrical">#REF!</definedName>
    <definedName name="Data_electrical_11" localSheetId="8">#REF!</definedName>
    <definedName name="Data_electrical_11" localSheetId="6">#REF!</definedName>
    <definedName name="Data_electrical_11" localSheetId="4">#REF!</definedName>
    <definedName name="Data_electrical_11" localSheetId="5">#REF!</definedName>
    <definedName name="Data_electrical_11" localSheetId="12">#REF!</definedName>
    <definedName name="Data_electrical_11" localSheetId="14">#REF!</definedName>
    <definedName name="Data_electrical_11" localSheetId="1">#REF!</definedName>
    <definedName name="Data_electrical_11" localSheetId="10">#REF!</definedName>
    <definedName name="Data_electrical_11" localSheetId="18">#REF!</definedName>
    <definedName name="Data_electrical_11" localSheetId="0">#REF!</definedName>
    <definedName name="Data_electrical_11" localSheetId="9">#REF!</definedName>
    <definedName name="Data_electrical_11" localSheetId="13">#REF!</definedName>
    <definedName name="Data_electrical_11" localSheetId="3">#REF!</definedName>
    <definedName name="Data_electrical_11" localSheetId="7">#REF!</definedName>
    <definedName name="Data_electrical_11" localSheetId="11">#REF!</definedName>
    <definedName name="Data_electrical_11" localSheetId="2">#REF!</definedName>
    <definedName name="Data_electrical_11">#REF!</definedName>
    <definedName name="Data_electrical_3" localSheetId="8">#REF!</definedName>
    <definedName name="Data_electrical_3" localSheetId="6">#REF!</definedName>
    <definedName name="Data_electrical_3" localSheetId="4">#REF!</definedName>
    <definedName name="Data_electrical_3" localSheetId="5">#REF!</definedName>
    <definedName name="Data_electrical_3" localSheetId="12">#REF!</definedName>
    <definedName name="Data_electrical_3" localSheetId="14">#REF!</definedName>
    <definedName name="Data_electrical_3" localSheetId="1">#REF!</definedName>
    <definedName name="Data_electrical_3" localSheetId="10">#REF!</definedName>
    <definedName name="Data_electrical_3" localSheetId="18">#REF!</definedName>
    <definedName name="Data_electrical_3" localSheetId="0">#REF!</definedName>
    <definedName name="Data_electrical_3" localSheetId="9">#REF!</definedName>
    <definedName name="Data_electrical_3" localSheetId="13">#REF!</definedName>
    <definedName name="Data_electrical_3" localSheetId="3">#REF!</definedName>
    <definedName name="Data_electrical_3" localSheetId="7">#REF!</definedName>
    <definedName name="Data_electrical_3" localSheetId="11">#REF!</definedName>
    <definedName name="Data_electrical_3" localSheetId="2">#REF!</definedName>
    <definedName name="Data_electrical_3">#REF!</definedName>
    <definedName name="Data_electrical_6" localSheetId="8">#REF!</definedName>
    <definedName name="Data_electrical_6" localSheetId="6">#REF!</definedName>
    <definedName name="Data_electrical_6" localSheetId="4">#REF!</definedName>
    <definedName name="Data_electrical_6" localSheetId="5">#REF!</definedName>
    <definedName name="Data_electrical_6" localSheetId="12">#REF!</definedName>
    <definedName name="Data_electrical_6" localSheetId="14">#REF!</definedName>
    <definedName name="Data_electrical_6" localSheetId="1">#REF!</definedName>
    <definedName name="Data_electrical_6" localSheetId="10">#REF!</definedName>
    <definedName name="Data_electrical_6" localSheetId="18">#REF!</definedName>
    <definedName name="Data_electrical_6" localSheetId="0">#REF!</definedName>
    <definedName name="Data_electrical_6" localSheetId="9">#REF!</definedName>
    <definedName name="Data_electrical_6" localSheetId="13">#REF!</definedName>
    <definedName name="Data_electrical_6" localSheetId="3">#REF!</definedName>
    <definedName name="Data_electrical_6" localSheetId="7">#REF!</definedName>
    <definedName name="Data_electrical_6" localSheetId="11">#REF!</definedName>
    <definedName name="Data_electrical_6" localSheetId="2">#REF!</definedName>
    <definedName name="Data_electrical_6">#REF!</definedName>
    <definedName name="Data_for_Civil_work" localSheetId="8">#REF!</definedName>
    <definedName name="Data_for_Civil_work" localSheetId="6">#REF!</definedName>
    <definedName name="Data_for_Civil_work" localSheetId="4">#REF!</definedName>
    <definedName name="Data_for_Civil_work" localSheetId="5">#REF!</definedName>
    <definedName name="Data_for_Civil_work" localSheetId="12">#REF!</definedName>
    <definedName name="Data_for_Civil_work" localSheetId="14">#REF!</definedName>
    <definedName name="Data_for_Civil_work" localSheetId="1">#REF!</definedName>
    <definedName name="Data_for_Civil_work" localSheetId="10">#REF!</definedName>
    <definedName name="Data_for_Civil_work" localSheetId="18">#REF!</definedName>
    <definedName name="Data_for_Civil_work" localSheetId="0">#REF!</definedName>
    <definedName name="Data_for_Civil_work" localSheetId="9">#REF!</definedName>
    <definedName name="Data_for_Civil_work" localSheetId="13">#REF!</definedName>
    <definedName name="Data_for_Civil_work" localSheetId="3">#REF!</definedName>
    <definedName name="Data_for_Civil_work" localSheetId="7">#REF!</definedName>
    <definedName name="Data_for_Civil_work" localSheetId="11">#REF!</definedName>
    <definedName name="Data_for_Civil_work" localSheetId="2">#REF!</definedName>
    <definedName name="Data_for_Civil_work">#REF!</definedName>
    <definedName name="Data_for_Road_Work" localSheetId="8">#REF!</definedName>
    <definedName name="Data_for_Road_Work" localSheetId="6">#REF!</definedName>
    <definedName name="Data_for_Road_Work" localSheetId="4">#REF!</definedName>
    <definedName name="Data_for_Road_Work" localSheetId="5">#REF!</definedName>
    <definedName name="Data_for_Road_Work" localSheetId="12">#REF!</definedName>
    <definedName name="Data_for_Road_Work" localSheetId="14">#REF!</definedName>
    <definedName name="Data_for_Road_Work" localSheetId="1">#REF!</definedName>
    <definedName name="Data_for_Road_Work" localSheetId="10">#REF!</definedName>
    <definedName name="Data_for_Road_Work" localSheetId="18">#REF!</definedName>
    <definedName name="Data_for_Road_Work" localSheetId="0">#REF!</definedName>
    <definedName name="Data_for_Road_Work" localSheetId="9">#REF!</definedName>
    <definedName name="Data_for_Road_Work" localSheetId="13">#REF!</definedName>
    <definedName name="Data_for_Road_Work" localSheetId="3">#REF!</definedName>
    <definedName name="Data_for_Road_Work" localSheetId="7">#REF!</definedName>
    <definedName name="Data_for_Road_Work" localSheetId="11">#REF!</definedName>
    <definedName name="Data_for_Road_Work" localSheetId="2">#REF!</definedName>
    <definedName name="Data_for_Road_Work">#REF!</definedName>
    <definedName name="Data_road" localSheetId="8">#REF!</definedName>
    <definedName name="Data_road" localSheetId="6">#REF!</definedName>
    <definedName name="Data_road" localSheetId="4">#REF!</definedName>
    <definedName name="Data_road" localSheetId="5">#REF!</definedName>
    <definedName name="Data_road" localSheetId="12">#REF!</definedName>
    <definedName name="Data_road" localSheetId="14">#REF!</definedName>
    <definedName name="Data_road" localSheetId="1">#REF!</definedName>
    <definedName name="Data_road" localSheetId="10">#REF!</definedName>
    <definedName name="Data_road" localSheetId="18">#REF!</definedName>
    <definedName name="Data_road" localSheetId="0">#REF!</definedName>
    <definedName name="Data_road" localSheetId="9">#REF!</definedName>
    <definedName name="Data_road" localSheetId="13">#REF!</definedName>
    <definedName name="Data_road" localSheetId="3">#REF!</definedName>
    <definedName name="Data_road" localSheetId="7">#REF!</definedName>
    <definedName name="Data_road" localSheetId="11">#REF!</definedName>
    <definedName name="Data_road" localSheetId="2">#REF!</definedName>
    <definedName name="Data_road">#REF!</definedName>
    <definedName name="Data_road_11" localSheetId="8">#REF!</definedName>
    <definedName name="Data_road_11" localSheetId="6">#REF!</definedName>
    <definedName name="Data_road_11" localSheetId="4">#REF!</definedName>
    <definedName name="Data_road_11" localSheetId="5">#REF!</definedName>
    <definedName name="Data_road_11" localSheetId="12">#REF!</definedName>
    <definedName name="Data_road_11" localSheetId="14">#REF!</definedName>
    <definedName name="Data_road_11" localSheetId="1">#REF!</definedName>
    <definedName name="Data_road_11" localSheetId="10">#REF!</definedName>
    <definedName name="Data_road_11" localSheetId="18">#REF!</definedName>
    <definedName name="Data_road_11" localSheetId="0">#REF!</definedName>
    <definedName name="Data_road_11" localSheetId="9">#REF!</definedName>
    <definedName name="Data_road_11" localSheetId="13">#REF!</definedName>
    <definedName name="Data_road_11" localSheetId="3">#REF!</definedName>
    <definedName name="Data_road_11" localSheetId="7">#REF!</definedName>
    <definedName name="Data_road_11" localSheetId="11">#REF!</definedName>
    <definedName name="Data_road_11" localSheetId="2">#REF!</definedName>
    <definedName name="Data_road_11">#REF!</definedName>
    <definedName name="Data_road_3" localSheetId="8">#REF!</definedName>
    <definedName name="Data_road_3" localSheetId="6">#REF!</definedName>
    <definedName name="Data_road_3" localSheetId="4">#REF!</definedName>
    <definedName name="Data_road_3" localSheetId="5">#REF!</definedName>
    <definedName name="Data_road_3" localSheetId="12">#REF!</definedName>
    <definedName name="Data_road_3" localSheetId="14">#REF!</definedName>
    <definedName name="Data_road_3" localSheetId="1">#REF!</definedName>
    <definedName name="Data_road_3" localSheetId="10">#REF!</definedName>
    <definedName name="Data_road_3" localSheetId="18">#REF!</definedName>
    <definedName name="Data_road_3" localSheetId="0">#REF!</definedName>
    <definedName name="Data_road_3" localSheetId="9">#REF!</definedName>
    <definedName name="Data_road_3" localSheetId="13">#REF!</definedName>
    <definedName name="Data_road_3" localSheetId="3">#REF!</definedName>
    <definedName name="Data_road_3" localSheetId="7">#REF!</definedName>
    <definedName name="Data_road_3" localSheetId="11">#REF!</definedName>
    <definedName name="Data_road_3" localSheetId="2">#REF!</definedName>
    <definedName name="Data_road_3">#REF!</definedName>
    <definedName name="Data_road_6" localSheetId="8">#REF!</definedName>
    <definedName name="Data_road_6" localSheetId="6">#REF!</definedName>
    <definedName name="Data_road_6" localSheetId="4">#REF!</definedName>
    <definedName name="Data_road_6" localSheetId="5">#REF!</definedName>
    <definedName name="Data_road_6" localSheetId="12">#REF!</definedName>
    <definedName name="Data_road_6" localSheetId="14">#REF!</definedName>
    <definedName name="Data_road_6" localSheetId="1">#REF!</definedName>
    <definedName name="Data_road_6" localSheetId="10">#REF!</definedName>
    <definedName name="Data_road_6" localSheetId="18">#REF!</definedName>
    <definedName name="Data_road_6" localSheetId="0">#REF!</definedName>
    <definedName name="Data_road_6" localSheetId="9">#REF!</definedName>
    <definedName name="Data_road_6" localSheetId="13">#REF!</definedName>
    <definedName name="Data_road_6" localSheetId="3">#REF!</definedName>
    <definedName name="Data_road_6" localSheetId="7">#REF!</definedName>
    <definedName name="Data_road_6" localSheetId="11">#REF!</definedName>
    <definedName name="Data_road_6" localSheetId="2">#REF!</definedName>
    <definedName name="Data_road_6">#REF!</definedName>
    <definedName name="Data_sanitary" localSheetId="8">#REF!</definedName>
    <definedName name="Data_sanitary" localSheetId="6">#REF!</definedName>
    <definedName name="Data_sanitary" localSheetId="4">#REF!</definedName>
    <definedName name="Data_sanitary" localSheetId="5">#REF!</definedName>
    <definedName name="Data_sanitary" localSheetId="12">#REF!</definedName>
    <definedName name="Data_sanitary" localSheetId="14">#REF!</definedName>
    <definedName name="Data_sanitary" localSheetId="1">#REF!</definedName>
    <definedName name="Data_sanitary" localSheetId="10">#REF!</definedName>
    <definedName name="Data_sanitary" localSheetId="18">#REF!</definedName>
    <definedName name="Data_sanitary" localSheetId="0">#REF!</definedName>
    <definedName name="Data_sanitary" localSheetId="9">#REF!</definedName>
    <definedName name="Data_sanitary" localSheetId="13">#REF!</definedName>
    <definedName name="Data_sanitary" localSheetId="3">#REF!</definedName>
    <definedName name="Data_sanitary" localSheetId="7">#REF!</definedName>
    <definedName name="Data_sanitary" localSheetId="11">#REF!</definedName>
    <definedName name="Data_sanitary" localSheetId="2">#REF!</definedName>
    <definedName name="Data_sanitary">#REF!</definedName>
    <definedName name="Data_sanitary_11" localSheetId="8">#REF!</definedName>
    <definedName name="Data_sanitary_11" localSheetId="6">#REF!</definedName>
    <definedName name="Data_sanitary_11" localSheetId="4">#REF!</definedName>
    <definedName name="Data_sanitary_11" localSheetId="5">#REF!</definedName>
    <definedName name="Data_sanitary_11" localSheetId="12">#REF!</definedName>
    <definedName name="Data_sanitary_11" localSheetId="14">#REF!</definedName>
    <definedName name="Data_sanitary_11" localSheetId="1">#REF!</definedName>
    <definedName name="Data_sanitary_11" localSheetId="10">#REF!</definedName>
    <definedName name="Data_sanitary_11" localSheetId="18">#REF!</definedName>
    <definedName name="Data_sanitary_11" localSheetId="0">#REF!</definedName>
    <definedName name="Data_sanitary_11" localSheetId="9">#REF!</definedName>
    <definedName name="Data_sanitary_11" localSheetId="13">#REF!</definedName>
    <definedName name="Data_sanitary_11" localSheetId="3">#REF!</definedName>
    <definedName name="Data_sanitary_11" localSheetId="7">#REF!</definedName>
    <definedName name="Data_sanitary_11" localSheetId="11">#REF!</definedName>
    <definedName name="Data_sanitary_11" localSheetId="2">#REF!</definedName>
    <definedName name="Data_sanitary_11">#REF!</definedName>
    <definedName name="Data_sanitary_3" localSheetId="8">#REF!</definedName>
    <definedName name="Data_sanitary_3" localSheetId="6">#REF!</definedName>
    <definedName name="Data_sanitary_3" localSheetId="4">#REF!</definedName>
    <definedName name="Data_sanitary_3" localSheetId="5">#REF!</definedName>
    <definedName name="Data_sanitary_3" localSheetId="12">#REF!</definedName>
    <definedName name="Data_sanitary_3" localSheetId="14">#REF!</definedName>
    <definedName name="Data_sanitary_3" localSheetId="1">#REF!</definedName>
    <definedName name="Data_sanitary_3" localSheetId="10">#REF!</definedName>
    <definedName name="Data_sanitary_3" localSheetId="18">#REF!</definedName>
    <definedName name="Data_sanitary_3" localSheetId="0">#REF!</definedName>
    <definedName name="Data_sanitary_3" localSheetId="9">#REF!</definedName>
    <definedName name="Data_sanitary_3" localSheetId="13">#REF!</definedName>
    <definedName name="Data_sanitary_3" localSheetId="3">#REF!</definedName>
    <definedName name="Data_sanitary_3" localSheetId="7">#REF!</definedName>
    <definedName name="Data_sanitary_3" localSheetId="11">#REF!</definedName>
    <definedName name="Data_sanitary_3" localSheetId="2">#REF!</definedName>
    <definedName name="Data_sanitary_3">#REF!</definedName>
    <definedName name="Data_sanitary_6" localSheetId="8">#REF!</definedName>
    <definedName name="Data_sanitary_6" localSheetId="6">#REF!</definedName>
    <definedName name="Data_sanitary_6" localSheetId="4">#REF!</definedName>
    <definedName name="Data_sanitary_6" localSheetId="5">#REF!</definedName>
    <definedName name="Data_sanitary_6" localSheetId="12">#REF!</definedName>
    <definedName name="Data_sanitary_6" localSheetId="14">#REF!</definedName>
    <definedName name="Data_sanitary_6" localSheetId="1">#REF!</definedName>
    <definedName name="Data_sanitary_6" localSheetId="10">#REF!</definedName>
    <definedName name="Data_sanitary_6" localSheetId="18">#REF!</definedName>
    <definedName name="Data_sanitary_6" localSheetId="0">#REF!</definedName>
    <definedName name="Data_sanitary_6" localSheetId="9">#REF!</definedName>
    <definedName name="Data_sanitary_6" localSheetId="13">#REF!</definedName>
    <definedName name="Data_sanitary_6" localSheetId="3">#REF!</definedName>
    <definedName name="Data_sanitary_6" localSheetId="7">#REF!</definedName>
    <definedName name="Data_sanitary_6" localSheetId="11">#REF!</definedName>
    <definedName name="Data_sanitary_6" localSheetId="2">#REF!</definedName>
    <definedName name="Data_sanitary_6">#REF!</definedName>
    <definedName name="DATA3" localSheetId="8">#REF!</definedName>
    <definedName name="DATA3" localSheetId="6">#REF!</definedName>
    <definedName name="DATA3" localSheetId="4">#REF!</definedName>
    <definedName name="DATA3" localSheetId="5">#REF!</definedName>
    <definedName name="DATA3" localSheetId="12">#REF!</definedName>
    <definedName name="DATA3" localSheetId="14">#REF!</definedName>
    <definedName name="DATA3" localSheetId="1">#REF!</definedName>
    <definedName name="DATA3" localSheetId="10">#REF!</definedName>
    <definedName name="DATA3" localSheetId="18">#REF!</definedName>
    <definedName name="DATA3" localSheetId="0">#REF!</definedName>
    <definedName name="DATA3" localSheetId="9">#REF!</definedName>
    <definedName name="DATA3" localSheetId="13">#REF!</definedName>
    <definedName name="DATA3" localSheetId="3">#REF!</definedName>
    <definedName name="DATA3" localSheetId="7">#REF!</definedName>
    <definedName name="DATA3" localSheetId="11">#REF!</definedName>
    <definedName name="DATA3" localSheetId="2">#REF!</definedName>
    <definedName name="DATA3">#REF!</definedName>
    <definedName name="dd" localSheetId="10">#REF!</definedName>
    <definedName name="dd">#REF!</definedName>
    <definedName name="der" localSheetId="8">#REF!</definedName>
    <definedName name="der" localSheetId="6">#REF!</definedName>
    <definedName name="der" localSheetId="4">#REF!</definedName>
    <definedName name="der" localSheetId="5">#REF!</definedName>
    <definedName name="der" localSheetId="12">#REF!</definedName>
    <definedName name="der" localSheetId="14">#REF!</definedName>
    <definedName name="der" localSheetId="1">#REF!</definedName>
    <definedName name="der" localSheetId="10">#REF!</definedName>
    <definedName name="der" localSheetId="18">#REF!</definedName>
    <definedName name="der" localSheetId="0">#REF!</definedName>
    <definedName name="der" localSheetId="9">#REF!</definedName>
    <definedName name="der" localSheetId="13">#REF!</definedName>
    <definedName name="der" localSheetId="3">#REF!</definedName>
    <definedName name="der" localSheetId="7">#REF!</definedName>
    <definedName name="der" localSheetId="11">#REF!</definedName>
    <definedName name="der" localSheetId="2">#REF!</definedName>
    <definedName name="der">#REF!</definedName>
    <definedName name="detpada" localSheetId="10">#REF!</definedName>
    <definedName name="detpada">#REF!</definedName>
    <definedName name="Dev_Name" localSheetId="8">#REF!</definedName>
    <definedName name="Dev_Name" localSheetId="6">#REF!</definedName>
    <definedName name="Dev_Name" localSheetId="4">#REF!</definedName>
    <definedName name="Dev_Name" localSheetId="5">#REF!</definedName>
    <definedName name="Dev_Name" localSheetId="12">#REF!</definedName>
    <definedName name="Dev_Name" localSheetId="14">#REF!</definedName>
    <definedName name="Dev_Name" localSheetId="1">#REF!</definedName>
    <definedName name="Dev_Name" localSheetId="10">#REF!</definedName>
    <definedName name="Dev_Name" localSheetId="18">#REF!</definedName>
    <definedName name="Dev_Name" localSheetId="0">#REF!</definedName>
    <definedName name="Dev_Name" localSheetId="9">#REF!</definedName>
    <definedName name="Dev_Name" localSheetId="13">#REF!</definedName>
    <definedName name="Dev_Name" localSheetId="3">#REF!</definedName>
    <definedName name="Dev_Name" localSheetId="7">#REF!</definedName>
    <definedName name="Dev_Name" localSheetId="11">#REF!</definedName>
    <definedName name="Dev_Name" localSheetId="2">#REF!</definedName>
    <definedName name="Dev_Name">#REF!</definedName>
    <definedName name="Dev_Road_Name" localSheetId="8">#REF!,#REF!</definedName>
    <definedName name="Dev_Road_Name" localSheetId="6">#REF!,#REF!</definedName>
    <definedName name="Dev_Road_Name" localSheetId="4">#REF!,#REF!</definedName>
    <definedName name="Dev_Road_Name" localSheetId="5">#REF!,#REF!</definedName>
    <definedName name="Dev_Road_Name" localSheetId="12">#REF!,#REF!</definedName>
    <definedName name="Dev_Road_Name" localSheetId="14">#REF!,#REF!</definedName>
    <definedName name="Dev_Road_Name" localSheetId="1">#REF!,#REF!</definedName>
    <definedName name="Dev_Road_Name" localSheetId="10">#REF!,#REF!</definedName>
    <definedName name="Dev_Road_Name" localSheetId="18">#REF!,#REF!</definedName>
    <definedName name="Dev_Road_Name" localSheetId="0">#REF!,#REF!</definedName>
    <definedName name="Dev_Road_Name" localSheetId="9">#REF!,#REF!</definedName>
    <definedName name="Dev_Road_Name" localSheetId="13">#REF!,#REF!</definedName>
    <definedName name="Dev_Road_Name" localSheetId="3">#REF!,#REF!</definedName>
    <definedName name="Dev_Road_Name" localSheetId="7">#REF!,#REF!</definedName>
    <definedName name="Dev_Road_Name" localSheetId="11">#REF!,#REF!</definedName>
    <definedName name="Dev_Road_Name" localSheetId="2">#REF!,#REF!</definedName>
    <definedName name="Dev_Road_Name">#REF!,#REF!</definedName>
    <definedName name="df" localSheetId="8">#REF!</definedName>
    <definedName name="df" localSheetId="6">#REF!</definedName>
    <definedName name="df" localSheetId="4">#REF!</definedName>
    <definedName name="df" localSheetId="5">#REF!</definedName>
    <definedName name="df" localSheetId="12">#REF!</definedName>
    <definedName name="df" localSheetId="14">#REF!</definedName>
    <definedName name="df" localSheetId="1">#REF!</definedName>
    <definedName name="df" localSheetId="10">#REF!</definedName>
    <definedName name="df" localSheetId="18">#REF!</definedName>
    <definedName name="df" localSheetId="0">#REF!</definedName>
    <definedName name="df" localSheetId="9">#REF!</definedName>
    <definedName name="df" localSheetId="13">#REF!</definedName>
    <definedName name="df" localSheetId="3">#REF!</definedName>
    <definedName name="df" localSheetId="7">#REF!</definedName>
    <definedName name="df" localSheetId="11">#REF!</definedName>
    <definedName name="df" localSheetId="2">#REF!</definedName>
    <definedName name="df">#REF!</definedName>
    <definedName name="dfe" localSheetId="8">#REF!</definedName>
    <definedName name="dfe" localSheetId="6">#REF!</definedName>
    <definedName name="dfe" localSheetId="4">#REF!</definedName>
    <definedName name="dfe" localSheetId="5">#REF!</definedName>
    <definedName name="dfe" localSheetId="12">#REF!</definedName>
    <definedName name="dfe" localSheetId="14">#REF!</definedName>
    <definedName name="dfe" localSheetId="1">#REF!</definedName>
    <definedName name="dfe" localSheetId="10">#REF!</definedName>
    <definedName name="dfe" localSheetId="18">#REF!</definedName>
    <definedName name="dfe" localSheetId="0">#REF!</definedName>
    <definedName name="dfe" localSheetId="9">#REF!</definedName>
    <definedName name="dfe" localSheetId="13">#REF!</definedName>
    <definedName name="dfe" localSheetId="3">#REF!</definedName>
    <definedName name="dfe" localSheetId="7">#REF!</definedName>
    <definedName name="dfe" localSheetId="11">#REF!</definedName>
    <definedName name="dfe" localSheetId="2">#REF!</definedName>
    <definedName name="dfe">#REF!</definedName>
    <definedName name="dfg">#REF!</definedName>
    <definedName name="Distember" localSheetId="8">#REF!</definedName>
    <definedName name="Distember" localSheetId="6">#REF!</definedName>
    <definedName name="Distember" localSheetId="4">#REF!</definedName>
    <definedName name="Distember" localSheetId="5">#REF!</definedName>
    <definedName name="Distember" localSheetId="12">#REF!</definedName>
    <definedName name="Distember" localSheetId="14">#REF!</definedName>
    <definedName name="Distember" localSheetId="1">#REF!</definedName>
    <definedName name="Distember" localSheetId="10">#REF!</definedName>
    <definedName name="Distember" localSheetId="18">#REF!</definedName>
    <definedName name="Distember" localSheetId="0">#REF!</definedName>
    <definedName name="Distember" localSheetId="9">#REF!</definedName>
    <definedName name="Distember" localSheetId="13">#REF!</definedName>
    <definedName name="Distember" localSheetId="3">#REF!</definedName>
    <definedName name="Distember" localSheetId="7">#REF!</definedName>
    <definedName name="Distember" localSheetId="11">#REF!</definedName>
    <definedName name="Distember" localSheetId="2">#REF!</definedName>
    <definedName name="Distember">#REF!</definedName>
    <definedName name="Door" localSheetId="8">[1]Data!#REF!</definedName>
    <definedName name="Door" localSheetId="6">[1]Data!#REF!</definedName>
    <definedName name="Door" localSheetId="4">[1]Data!#REF!</definedName>
    <definedName name="Door" localSheetId="5">[1]Data!#REF!</definedName>
    <definedName name="Door" localSheetId="12">[1]Data!#REF!</definedName>
    <definedName name="Door" localSheetId="14">[1]Data!#REF!</definedName>
    <definedName name="Door" localSheetId="1">[1]Data!#REF!</definedName>
    <definedName name="Door" localSheetId="10">[1]Data!#REF!</definedName>
    <definedName name="Door" localSheetId="18">[1]Data!#REF!</definedName>
    <definedName name="Door" localSheetId="0">[1]Data!#REF!</definedName>
    <definedName name="Door" localSheetId="9">[1]Data!#REF!</definedName>
    <definedName name="Door" localSheetId="13">[1]Data!#REF!</definedName>
    <definedName name="Door" localSheetId="3">[1]Data!#REF!</definedName>
    <definedName name="Door" localSheetId="7">[1]Data!#REF!</definedName>
    <definedName name="Door" localSheetId="11">[1]Data!#REF!</definedName>
    <definedName name="Door" localSheetId="2">[1]Data!#REF!</definedName>
    <definedName name="Door">[1]Data!#REF!</definedName>
    <definedName name="Door_11" localSheetId="8">#REF!</definedName>
    <definedName name="Door_11" localSheetId="6">#REF!</definedName>
    <definedName name="Door_11" localSheetId="4">#REF!</definedName>
    <definedName name="Door_11" localSheetId="5">#REF!</definedName>
    <definedName name="Door_11" localSheetId="12">#REF!</definedName>
    <definedName name="Door_11" localSheetId="14">#REF!</definedName>
    <definedName name="Door_11" localSheetId="1">#REF!</definedName>
    <definedName name="Door_11" localSheetId="10">#REF!</definedName>
    <definedName name="Door_11" localSheetId="18">#REF!</definedName>
    <definedName name="Door_11" localSheetId="0">#REF!</definedName>
    <definedName name="Door_11" localSheetId="9">#REF!</definedName>
    <definedName name="Door_11" localSheetId="13">#REF!</definedName>
    <definedName name="Door_11" localSheetId="3">#REF!</definedName>
    <definedName name="Door_11" localSheetId="7">#REF!</definedName>
    <definedName name="Door_11" localSheetId="11">#REF!</definedName>
    <definedName name="Door_11" localSheetId="2">#REF!</definedName>
    <definedName name="Door_11">#REF!</definedName>
    <definedName name="Door_3" localSheetId="8">#REF!</definedName>
    <definedName name="Door_3" localSheetId="6">#REF!</definedName>
    <definedName name="Door_3" localSheetId="4">#REF!</definedName>
    <definedName name="Door_3" localSheetId="5">#REF!</definedName>
    <definedName name="Door_3" localSheetId="12">#REF!</definedName>
    <definedName name="Door_3" localSheetId="14">#REF!</definedName>
    <definedName name="Door_3" localSheetId="1">#REF!</definedName>
    <definedName name="Door_3" localSheetId="10">#REF!</definedName>
    <definedName name="Door_3" localSheetId="18">#REF!</definedName>
    <definedName name="Door_3" localSheetId="0">#REF!</definedName>
    <definedName name="Door_3" localSheetId="9">#REF!</definedName>
    <definedName name="Door_3" localSheetId="13">#REF!</definedName>
    <definedName name="Door_3" localSheetId="3">#REF!</definedName>
    <definedName name="Door_3" localSheetId="7">#REF!</definedName>
    <definedName name="Door_3" localSheetId="11">#REF!</definedName>
    <definedName name="Door_3" localSheetId="2">#REF!</definedName>
    <definedName name="Door_3">#REF!</definedName>
    <definedName name="Door_6" localSheetId="8">#REF!</definedName>
    <definedName name="Door_6" localSheetId="6">#REF!</definedName>
    <definedName name="Door_6" localSheetId="4">#REF!</definedName>
    <definedName name="Door_6" localSheetId="5">#REF!</definedName>
    <definedName name="Door_6" localSheetId="12">#REF!</definedName>
    <definedName name="Door_6" localSheetId="14">#REF!</definedName>
    <definedName name="Door_6" localSheetId="1">#REF!</definedName>
    <definedName name="Door_6" localSheetId="10">#REF!</definedName>
    <definedName name="Door_6" localSheetId="18">#REF!</definedName>
    <definedName name="Door_6" localSheetId="0">#REF!</definedName>
    <definedName name="Door_6" localSheetId="9">#REF!</definedName>
    <definedName name="Door_6" localSheetId="13">#REF!</definedName>
    <definedName name="Door_6" localSheetId="3">#REF!</definedName>
    <definedName name="Door_6" localSheetId="7">#REF!</definedName>
    <definedName name="Door_6" localSheetId="11">#REF!</definedName>
    <definedName name="Door_6" localSheetId="2">#REF!</definedName>
    <definedName name="Door_6">#REF!</definedName>
    <definedName name="Door_7" localSheetId="8">[1]Data!#REF!</definedName>
    <definedName name="Door_7" localSheetId="6">[1]Data!#REF!</definedName>
    <definedName name="Door_7" localSheetId="4">[1]Data!#REF!</definedName>
    <definedName name="Door_7" localSheetId="5">[1]Data!#REF!</definedName>
    <definedName name="Door_7" localSheetId="12">[1]Data!#REF!</definedName>
    <definedName name="Door_7" localSheetId="14">[1]Data!#REF!</definedName>
    <definedName name="Door_7" localSheetId="1">[1]Data!#REF!</definedName>
    <definedName name="Door_7" localSheetId="10">[1]Data!#REF!</definedName>
    <definedName name="Door_7" localSheetId="18">[1]Data!#REF!</definedName>
    <definedName name="Door_7" localSheetId="0">[1]Data!#REF!</definedName>
    <definedName name="Door_7" localSheetId="9">[1]Data!#REF!</definedName>
    <definedName name="Door_7" localSheetId="13">[1]Data!#REF!</definedName>
    <definedName name="Door_7" localSheetId="3">[1]Data!#REF!</definedName>
    <definedName name="Door_7" localSheetId="7">[1]Data!#REF!</definedName>
    <definedName name="Door_7" localSheetId="11">[1]Data!#REF!</definedName>
    <definedName name="Door_7" localSheetId="2">[1]Data!#REF!</definedName>
    <definedName name="Door_7">[1]Data!#REF!</definedName>
    <definedName name="Door_8" localSheetId="8">[1]Data!#REF!</definedName>
    <definedName name="Door_8" localSheetId="6">[1]Data!#REF!</definedName>
    <definedName name="Door_8" localSheetId="4">[1]Data!#REF!</definedName>
    <definedName name="Door_8" localSheetId="5">[1]Data!#REF!</definedName>
    <definedName name="Door_8" localSheetId="12">[1]Data!#REF!</definedName>
    <definedName name="Door_8" localSheetId="14">[1]Data!#REF!</definedName>
    <definedName name="Door_8" localSheetId="1">[1]Data!#REF!</definedName>
    <definedName name="Door_8" localSheetId="10">[1]Data!#REF!</definedName>
    <definedName name="Door_8" localSheetId="18">[1]Data!#REF!</definedName>
    <definedName name="Door_8" localSheetId="0">[1]Data!#REF!</definedName>
    <definedName name="Door_8" localSheetId="9">[1]Data!#REF!</definedName>
    <definedName name="Door_8" localSheetId="13">[1]Data!#REF!</definedName>
    <definedName name="Door_8" localSheetId="3">[1]Data!#REF!</definedName>
    <definedName name="Door_8" localSheetId="7">[1]Data!#REF!</definedName>
    <definedName name="Door_8" localSheetId="11">[1]Data!#REF!</definedName>
    <definedName name="Door_8" localSheetId="2">[1]Data!#REF!</definedName>
    <definedName name="Door_8">[1]Data!#REF!</definedName>
    <definedName name="Door_Window" localSheetId="8">#REF!</definedName>
    <definedName name="Door_Window" localSheetId="6">#REF!</definedName>
    <definedName name="Door_Window" localSheetId="4">#REF!</definedName>
    <definedName name="Door_Window" localSheetId="5">#REF!</definedName>
    <definedName name="Door_Window" localSheetId="12">#REF!</definedName>
    <definedName name="Door_Window" localSheetId="14">#REF!</definedName>
    <definedName name="Door_Window" localSheetId="1">#REF!</definedName>
    <definedName name="Door_Window" localSheetId="10">#REF!</definedName>
    <definedName name="Door_Window" localSheetId="18">#REF!</definedName>
    <definedName name="Door_Window" localSheetId="0">#REF!</definedName>
    <definedName name="Door_Window" localSheetId="9">#REF!</definedName>
    <definedName name="Door_Window" localSheetId="13">#REF!</definedName>
    <definedName name="Door_Window" localSheetId="3">#REF!</definedName>
    <definedName name="Door_Window" localSheetId="7">#REF!</definedName>
    <definedName name="Door_Window" localSheetId="11">#REF!</definedName>
    <definedName name="Door_Window" localSheetId="2">#REF!</definedName>
    <definedName name="Door_Window">#REF!</definedName>
    <definedName name="Door_Window_11" localSheetId="8">#REF!</definedName>
    <definedName name="Door_Window_11" localSheetId="6">#REF!</definedName>
    <definedName name="Door_Window_11" localSheetId="4">#REF!</definedName>
    <definedName name="Door_Window_11" localSheetId="5">#REF!</definedName>
    <definedName name="Door_Window_11" localSheetId="12">#REF!</definedName>
    <definedName name="Door_Window_11" localSheetId="14">#REF!</definedName>
    <definedName name="Door_Window_11" localSheetId="1">#REF!</definedName>
    <definedName name="Door_Window_11" localSheetId="10">#REF!</definedName>
    <definedName name="Door_Window_11" localSheetId="18">#REF!</definedName>
    <definedName name="Door_Window_11" localSheetId="0">#REF!</definedName>
    <definedName name="Door_Window_11" localSheetId="9">#REF!</definedName>
    <definedName name="Door_Window_11" localSheetId="13">#REF!</definedName>
    <definedName name="Door_Window_11" localSheetId="3">#REF!</definedName>
    <definedName name="Door_Window_11" localSheetId="7">#REF!</definedName>
    <definedName name="Door_Window_11" localSheetId="11">#REF!</definedName>
    <definedName name="Door_Window_11" localSheetId="2">#REF!</definedName>
    <definedName name="Door_Window_11">#REF!</definedName>
    <definedName name="Door_Window_3" localSheetId="8">#REF!</definedName>
    <definedName name="Door_Window_3" localSheetId="6">#REF!</definedName>
    <definedName name="Door_Window_3" localSheetId="4">#REF!</definedName>
    <definedName name="Door_Window_3" localSheetId="5">#REF!</definedName>
    <definedName name="Door_Window_3" localSheetId="12">#REF!</definedName>
    <definedName name="Door_Window_3" localSheetId="14">#REF!</definedName>
    <definedName name="Door_Window_3" localSheetId="1">#REF!</definedName>
    <definedName name="Door_Window_3" localSheetId="10">#REF!</definedName>
    <definedName name="Door_Window_3" localSheetId="18">#REF!</definedName>
    <definedName name="Door_Window_3" localSheetId="0">#REF!</definedName>
    <definedName name="Door_Window_3" localSheetId="9">#REF!</definedName>
    <definedName name="Door_Window_3" localSheetId="13">#REF!</definedName>
    <definedName name="Door_Window_3" localSheetId="3">#REF!</definedName>
    <definedName name="Door_Window_3" localSheetId="7">#REF!</definedName>
    <definedName name="Door_Window_3" localSheetId="11">#REF!</definedName>
    <definedName name="Door_Window_3" localSheetId="2">#REF!</definedName>
    <definedName name="Door_Window_3">#REF!</definedName>
    <definedName name="Door_Window_6" localSheetId="8">#REF!</definedName>
    <definedName name="Door_Window_6" localSheetId="6">#REF!</definedName>
    <definedName name="Door_Window_6" localSheetId="4">#REF!</definedName>
    <definedName name="Door_Window_6" localSheetId="5">#REF!</definedName>
    <definedName name="Door_Window_6" localSheetId="12">#REF!</definedName>
    <definedName name="Door_Window_6" localSheetId="14">#REF!</definedName>
    <definedName name="Door_Window_6" localSheetId="1">#REF!</definedName>
    <definedName name="Door_Window_6" localSheetId="10">#REF!</definedName>
    <definedName name="Door_Window_6" localSheetId="18">#REF!</definedName>
    <definedName name="Door_Window_6" localSheetId="0">#REF!</definedName>
    <definedName name="Door_Window_6" localSheetId="9">#REF!</definedName>
    <definedName name="Door_Window_6" localSheetId="13">#REF!</definedName>
    <definedName name="Door_Window_6" localSheetId="3">#REF!</definedName>
    <definedName name="Door_Window_6" localSheetId="7">#REF!</definedName>
    <definedName name="Door_Window_6" localSheetId="11">#REF!</definedName>
    <definedName name="Door_Window_6" localSheetId="2">#REF!</definedName>
    <definedName name="Door_Window_6">#REF!</definedName>
    <definedName name="ds">#REF!</definedName>
    <definedName name="dsa">#REF!</definedName>
    <definedName name="E" localSheetId="8">#REF!</definedName>
    <definedName name="E" localSheetId="6">#REF!</definedName>
    <definedName name="E" localSheetId="4">#REF!</definedName>
    <definedName name="E" localSheetId="5">#REF!</definedName>
    <definedName name="E" localSheetId="12">#REF!</definedName>
    <definedName name="E" localSheetId="14">#REF!</definedName>
    <definedName name="E" localSheetId="1">#REF!</definedName>
    <definedName name="E" localSheetId="10">#REF!</definedName>
    <definedName name="E" localSheetId="18">#REF!</definedName>
    <definedName name="E" localSheetId="0">#REF!</definedName>
    <definedName name="E" localSheetId="9">#REF!</definedName>
    <definedName name="E" localSheetId="13">#REF!</definedName>
    <definedName name="E" localSheetId="3">#REF!</definedName>
    <definedName name="E" localSheetId="7">#REF!</definedName>
    <definedName name="E" localSheetId="11">#REF!</definedName>
    <definedName name="E" localSheetId="2">#REF!</definedName>
    <definedName name="E">#REF!</definedName>
    <definedName name="EARTH_FILL" localSheetId="8">#REF!</definedName>
    <definedName name="EARTH_FILL" localSheetId="6">#REF!</definedName>
    <definedName name="EARTH_FILL" localSheetId="4">#REF!</definedName>
    <definedName name="EARTH_FILL" localSheetId="5">#REF!</definedName>
    <definedName name="EARTH_FILL" localSheetId="12">#REF!</definedName>
    <definedName name="EARTH_FILL" localSheetId="14">#REF!</definedName>
    <definedName name="EARTH_FILL" localSheetId="1">#REF!</definedName>
    <definedName name="EARTH_FILL" localSheetId="10">#REF!</definedName>
    <definedName name="EARTH_FILL" localSheetId="18">#REF!</definedName>
    <definedName name="EARTH_FILL" localSheetId="0">#REF!</definedName>
    <definedName name="EARTH_FILL" localSheetId="9">#REF!</definedName>
    <definedName name="EARTH_FILL" localSheetId="13">#REF!</definedName>
    <definedName name="EARTH_FILL" localSheetId="3">#REF!</definedName>
    <definedName name="EARTH_FILL" localSheetId="7">#REF!</definedName>
    <definedName name="EARTH_FILL" localSheetId="11">#REF!</definedName>
    <definedName name="EARTH_FILL" localSheetId="2">#REF!</definedName>
    <definedName name="EARTH_FILL">#REF!</definedName>
    <definedName name="Earth_work_sand" localSheetId="8">#REF!</definedName>
    <definedName name="Earth_work_sand" localSheetId="6">#REF!</definedName>
    <definedName name="Earth_work_sand" localSheetId="4">#REF!</definedName>
    <definedName name="Earth_work_sand" localSheetId="5">#REF!</definedName>
    <definedName name="Earth_work_sand" localSheetId="12">#REF!</definedName>
    <definedName name="Earth_work_sand" localSheetId="14">#REF!</definedName>
    <definedName name="Earth_work_sand" localSheetId="1">#REF!</definedName>
    <definedName name="Earth_work_sand" localSheetId="10">#REF!</definedName>
    <definedName name="Earth_work_sand" localSheetId="18">#REF!</definedName>
    <definedName name="Earth_work_sand" localSheetId="0">#REF!</definedName>
    <definedName name="Earth_work_sand" localSheetId="9">#REF!</definedName>
    <definedName name="Earth_work_sand" localSheetId="13">#REF!</definedName>
    <definedName name="Earth_work_sand" localSheetId="3">#REF!</definedName>
    <definedName name="Earth_work_sand" localSheetId="7">#REF!</definedName>
    <definedName name="Earth_work_sand" localSheetId="11">#REF!</definedName>
    <definedName name="Earth_work_sand" localSheetId="2">#REF!</definedName>
    <definedName name="Earth_work_sand">#REF!</definedName>
    <definedName name="Earth_work_sand_11" localSheetId="8">#REF!</definedName>
    <definedName name="Earth_work_sand_11" localSheetId="6">#REF!</definedName>
    <definedName name="Earth_work_sand_11" localSheetId="4">#REF!</definedName>
    <definedName name="Earth_work_sand_11" localSheetId="5">#REF!</definedName>
    <definedName name="Earth_work_sand_11" localSheetId="12">#REF!</definedName>
    <definedName name="Earth_work_sand_11" localSheetId="14">#REF!</definedName>
    <definedName name="Earth_work_sand_11" localSheetId="1">#REF!</definedName>
    <definedName name="Earth_work_sand_11" localSheetId="10">#REF!</definedName>
    <definedName name="Earth_work_sand_11" localSheetId="18">#REF!</definedName>
    <definedName name="Earth_work_sand_11" localSheetId="0">#REF!</definedName>
    <definedName name="Earth_work_sand_11" localSheetId="9">#REF!</definedName>
    <definedName name="Earth_work_sand_11" localSheetId="13">#REF!</definedName>
    <definedName name="Earth_work_sand_11" localSheetId="3">#REF!</definedName>
    <definedName name="Earth_work_sand_11" localSheetId="7">#REF!</definedName>
    <definedName name="Earth_work_sand_11" localSheetId="11">#REF!</definedName>
    <definedName name="Earth_work_sand_11" localSheetId="2">#REF!</definedName>
    <definedName name="Earth_work_sand_11">#REF!</definedName>
    <definedName name="Earth_work_sand_3" localSheetId="8">#REF!</definedName>
    <definedName name="Earth_work_sand_3" localSheetId="6">#REF!</definedName>
    <definedName name="Earth_work_sand_3" localSheetId="4">#REF!</definedName>
    <definedName name="Earth_work_sand_3" localSheetId="5">#REF!</definedName>
    <definedName name="Earth_work_sand_3" localSheetId="12">#REF!</definedName>
    <definedName name="Earth_work_sand_3" localSheetId="14">#REF!</definedName>
    <definedName name="Earth_work_sand_3" localSheetId="1">#REF!</definedName>
    <definedName name="Earth_work_sand_3" localSheetId="10">#REF!</definedName>
    <definedName name="Earth_work_sand_3" localSheetId="18">#REF!</definedName>
    <definedName name="Earth_work_sand_3" localSheetId="0">#REF!</definedName>
    <definedName name="Earth_work_sand_3" localSheetId="9">#REF!</definedName>
    <definedName name="Earth_work_sand_3" localSheetId="13">#REF!</definedName>
    <definedName name="Earth_work_sand_3" localSheetId="3">#REF!</definedName>
    <definedName name="Earth_work_sand_3" localSheetId="7">#REF!</definedName>
    <definedName name="Earth_work_sand_3" localSheetId="11">#REF!</definedName>
    <definedName name="Earth_work_sand_3" localSheetId="2">#REF!</definedName>
    <definedName name="Earth_work_sand_3">#REF!</definedName>
    <definedName name="Earth_work_sand_6" localSheetId="8">#REF!</definedName>
    <definedName name="Earth_work_sand_6" localSheetId="6">#REF!</definedName>
    <definedName name="Earth_work_sand_6" localSheetId="4">#REF!</definedName>
    <definedName name="Earth_work_sand_6" localSheetId="5">#REF!</definedName>
    <definedName name="Earth_work_sand_6" localSheetId="12">#REF!</definedName>
    <definedName name="Earth_work_sand_6" localSheetId="14">#REF!</definedName>
    <definedName name="Earth_work_sand_6" localSheetId="1">#REF!</definedName>
    <definedName name="Earth_work_sand_6" localSheetId="10">#REF!</definedName>
    <definedName name="Earth_work_sand_6" localSheetId="18">#REF!</definedName>
    <definedName name="Earth_work_sand_6" localSheetId="0">#REF!</definedName>
    <definedName name="Earth_work_sand_6" localSheetId="9">#REF!</definedName>
    <definedName name="Earth_work_sand_6" localSheetId="13">#REF!</definedName>
    <definedName name="Earth_work_sand_6" localSheetId="3">#REF!</definedName>
    <definedName name="Earth_work_sand_6" localSheetId="7">#REF!</definedName>
    <definedName name="Earth_work_sand_6" localSheetId="11">#REF!</definedName>
    <definedName name="Earth_work_sand_6" localSheetId="2">#REF!</definedName>
    <definedName name="Earth_work_sand_6">#REF!</definedName>
    <definedName name="ed" localSheetId="8">#REF!</definedName>
    <definedName name="ed" localSheetId="6">#REF!</definedName>
    <definedName name="ed" localSheetId="4">#REF!</definedName>
    <definedName name="ed" localSheetId="5">#REF!</definedName>
    <definedName name="ed" localSheetId="12">#REF!</definedName>
    <definedName name="ed" localSheetId="14">#REF!</definedName>
    <definedName name="ed" localSheetId="1">#REF!</definedName>
    <definedName name="ed" localSheetId="10">#REF!</definedName>
    <definedName name="ed" localSheetId="18">#REF!</definedName>
    <definedName name="ed" localSheetId="0">#REF!</definedName>
    <definedName name="ed" localSheetId="9">#REF!</definedName>
    <definedName name="ed" localSheetId="13">#REF!</definedName>
    <definedName name="ed" localSheetId="3">#REF!</definedName>
    <definedName name="ed" localSheetId="7">#REF!</definedName>
    <definedName name="ed" localSheetId="11">#REF!</definedName>
    <definedName name="ed" localSheetId="2">#REF!</definedName>
    <definedName name="ed">#REF!</definedName>
    <definedName name="electri" localSheetId="8">#REF!</definedName>
    <definedName name="electri" localSheetId="6">#REF!</definedName>
    <definedName name="electri" localSheetId="4">#REF!</definedName>
    <definedName name="electri" localSheetId="5">#REF!</definedName>
    <definedName name="electri" localSheetId="12">#REF!</definedName>
    <definedName name="electri" localSheetId="14">#REF!</definedName>
    <definedName name="electri" localSheetId="1">#REF!</definedName>
    <definedName name="electri" localSheetId="10">#REF!</definedName>
    <definedName name="electri" localSheetId="18">#REF!</definedName>
    <definedName name="electri" localSheetId="0">#REF!</definedName>
    <definedName name="electri" localSheetId="9">#REF!</definedName>
    <definedName name="electri" localSheetId="13">#REF!</definedName>
    <definedName name="electri" localSheetId="3">#REF!</definedName>
    <definedName name="electri" localSheetId="7">#REF!</definedName>
    <definedName name="electri" localSheetId="11">#REF!</definedName>
    <definedName name="electri" localSheetId="2">#REF!</definedName>
    <definedName name="electri">#REF!</definedName>
    <definedName name="End_Bal" localSheetId="10">#REF!</definedName>
    <definedName name="End_Bal">#REF!</definedName>
    <definedName name="er" localSheetId="8">#REF!</definedName>
    <definedName name="er" localSheetId="6">#REF!</definedName>
    <definedName name="er" localSheetId="4">#REF!</definedName>
    <definedName name="er" localSheetId="5">#REF!</definedName>
    <definedName name="er" localSheetId="12">#REF!</definedName>
    <definedName name="er" localSheetId="14">#REF!</definedName>
    <definedName name="er" localSheetId="1">#REF!</definedName>
    <definedName name="er" localSheetId="10">#REF!</definedName>
    <definedName name="er" localSheetId="18">#REF!</definedName>
    <definedName name="er" localSheetId="0">#REF!</definedName>
    <definedName name="er" localSheetId="9">#REF!</definedName>
    <definedName name="er" localSheetId="13">#REF!</definedName>
    <definedName name="er" localSheetId="3">#REF!</definedName>
    <definedName name="er" localSheetId="7">#REF!</definedName>
    <definedName name="er" localSheetId="11">#REF!</definedName>
    <definedName name="er" localSheetId="2">#REF!</definedName>
    <definedName name="er">#REF!</definedName>
    <definedName name="ert" localSheetId="8">#REF!</definedName>
    <definedName name="ert" localSheetId="6">#REF!</definedName>
    <definedName name="ert" localSheetId="4">#REF!</definedName>
    <definedName name="ert" localSheetId="5">#REF!</definedName>
    <definedName name="ert" localSheetId="12">#REF!</definedName>
    <definedName name="ert" localSheetId="14">#REF!</definedName>
    <definedName name="ert" localSheetId="1">#REF!</definedName>
    <definedName name="ert" localSheetId="10">#REF!</definedName>
    <definedName name="ert" localSheetId="18">#REF!</definedName>
    <definedName name="ert" localSheetId="0">#REF!</definedName>
    <definedName name="ert" localSheetId="9">#REF!</definedName>
    <definedName name="ert" localSheetId="13">#REF!</definedName>
    <definedName name="ert" localSheetId="3">#REF!</definedName>
    <definedName name="ert" localSheetId="7">#REF!</definedName>
    <definedName name="ert" localSheetId="11">#REF!</definedName>
    <definedName name="ert" localSheetId="2">#REF!</definedName>
    <definedName name="ert">#REF!</definedName>
    <definedName name="ewr" localSheetId="4">[1]Data!#REF!</definedName>
    <definedName name="ewr" localSheetId="5">[1]Data!#REF!</definedName>
    <definedName name="ewr" localSheetId="14">[1]Data!#REF!</definedName>
    <definedName name="ewr" localSheetId="10">[1]Data!#REF!</definedName>
    <definedName name="ewr">[1]Data!#REF!</definedName>
    <definedName name="Excel_BuiltIn__FilterDatabase_6" localSheetId="4">[2]Abstract!#REF!</definedName>
    <definedName name="Excel_BuiltIn__FilterDatabase_6" localSheetId="5">[2]Abstract!#REF!</definedName>
    <definedName name="Excel_BuiltIn__FilterDatabase_6" localSheetId="14">[2]Abstract!#REF!</definedName>
    <definedName name="Excel_BuiltIn__FilterDatabase_6" localSheetId="10">[2]Abstract!#REF!</definedName>
    <definedName name="Excel_BuiltIn__FilterDatabase_6">[2]Abstract!#REF!</definedName>
    <definedName name="Excel_BuiltIn_Print_Area" localSheetId="8">#REF!</definedName>
    <definedName name="Excel_BuiltIn_Print_Area" localSheetId="6">#REF!</definedName>
    <definedName name="Excel_BuiltIn_Print_Area" localSheetId="4">#REF!</definedName>
    <definedName name="Excel_BuiltIn_Print_Area" localSheetId="5">#REF!</definedName>
    <definedName name="Excel_BuiltIn_Print_Area" localSheetId="12">#REF!</definedName>
    <definedName name="Excel_BuiltIn_Print_Area" localSheetId="14">#REF!</definedName>
    <definedName name="Excel_BuiltIn_Print_Area" localSheetId="1">#REF!</definedName>
    <definedName name="Excel_BuiltIn_Print_Area" localSheetId="10">#REF!</definedName>
    <definedName name="Excel_BuiltIn_Print_Area" localSheetId="18">#REF!</definedName>
    <definedName name="Excel_BuiltIn_Print_Area" localSheetId="0">#REF!</definedName>
    <definedName name="Excel_BuiltIn_Print_Area" localSheetId="9">#REF!</definedName>
    <definedName name="Excel_BuiltIn_Print_Area" localSheetId="13">#REF!</definedName>
    <definedName name="Excel_BuiltIn_Print_Area" localSheetId="3">#REF!</definedName>
    <definedName name="Excel_BuiltIn_Print_Area" localSheetId="7">#REF!</definedName>
    <definedName name="Excel_BuiltIn_Print_Area" localSheetId="11">#REF!</definedName>
    <definedName name="Excel_BuiltIn_Print_Area" localSheetId="2">#REF!</definedName>
    <definedName name="Excel_BuiltIn_Print_Area">#REF!</definedName>
    <definedName name="Excel_BuiltIn_Print_Titles" localSheetId="8">#REF!</definedName>
    <definedName name="Excel_BuiltIn_Print_Titles" localSheetId="6">#REF!</definedName>
    <definedName name="Excel_BuiltIn_Print_Titles" localSheetId="4">#REF!</definedName>
    <definedName name="Excel_BuiltIn_Print_Titles" localSheetId="5">#REF!</definedName>
    <definedName name="Excel_BuiltIn_Print_Titles" localSheetId="12">#REF!</definedName>
    <definedName name="Excel_BuiltIn_Print_Titles" localSheetId="14">#REF!</definedName>
    <definedName name="Excel_BuiltIn_Print_Titles" localSheetId="1">#REF!</definedName>
    <definedName name="Excel_BuiltIn_Print_Titles" localSheetId="10">#REF!</definedName>
    <definedName name="Excel_BuiltIn_Print_Titles" localSheetId="18">#REF!</definedName>
    <definedName name="Excel_BuiltIn_Print_Titles" localSheetId="0">#REF!</definedName>
    <definedName name="Excel_BuiltIn_Print_Titles" localSheetId="9">#REF!</definedName>
    <definedName name="Excel_BuiltIn_Print_Titles" localSheetId="13">#REF!</definedName>
    <definedName name="Excel_BuiltIn_Print_Titles" localSheetId="3">#REF!</definedName>
    <definedName name="Excel_BuiltIn_Print_Titles" localSheetId="7">#REF!</definedName>
    <definedName name="Excel_BuiltIn_Print_Titles" localSheetId="11">#REF!</definedName>
    <definedName name="Excel_BuiltIn_Print_Titles" localSheetId="2">#REF!</definedName>
    <definedName name="Excel_BuiltIn_Print_Titles">#REF!</definedName>
    <definedName name="Excel_BuiltIn_Print_Titles_3" localSheetId="8">#REF!</definedName>
    <definedName name="Excel_BuiltIn_Print_Titles_3" localSheetId="6">#REF!</definedName>
    <definedName name="Excel_BuiltIn_Print_Titles_3" localSheetId="4">#REF!</definedName>
    <definedName name="Excel_BuiltIn_Print_Titles_3" localSheetId="5">#REF!</definedName>
    <definedName name="Excel_BuiltIn_Print_Titles_3" localSheetId="12">#REF!</definedName>
    <definedName name="Excel_BuiltIn_Print_Titles_3" localSheetId="14">#REF!</definedName>
    <definedName name="Excel_BuiltIn_Print_Titles_3" localSheetId="1">#REF!</definedName>
    <definedName name="Excel_BuiltIn_Print_Titles_3" localSheetId="10">#REF!</definedName>
    <definedName name="Excel_BuiltIn_Print_Titles_3" localSheetId="18">#REF!</definedName>
    <definedName name="Excel_BuiltIn_Print_Titles_3" localSheetId="0">#REF!</definedName>
    <definedName name="Excel_BuiltIn_Print_Titles_3" localSheetId="9">#REF!</definedName>
    <definedName name="Excel_BuiltIn_Print_Titles_3" localSheetId="13">#REF!</definedName>
    <definedName name="Excel_BuiltIn_Print_Titles_3" localSheetId="3">#REF!</definedName>
    <definedName name="Excel_BuiltIn_Print_Titles_3" localSheetId="7">#REF!</definedName>
    <definedName name="Excel_BuiltIn_Print_Titles_3" localSheetId="11">#REF!</definedName>
    <definedName name="Excel_BuiltIn_Print_Titles_3" localSheetId="2">#REF!</definedName>
    <definedName name="Excel_BuiltIn_Print_Titles_3">#REF!</definedName>
    <definedName name="Excel_BuiltIn_Print_Titles_4" localSheetId="8">#REF!</definedName>
    <definedName name="Excel_BuiltIn_Print_Titles_4" localSheetId="6">#REF!</definedName>
    <definedName name="Excel_BuiltIn_Print_Titles_4" localSheetId="4">#REF!</definedName>
    <definedName name="Excel_BuiltIn_Print_Titles_4" localSheetId="5">#REF!</definedName>
    <definedName name="Excel_BuiltIn_Print_Titles_4" localSheetId="12">#REF!</definedName>
    <definedName name="Excel_BuiltIn_Print_Titles_4" localSheetId="14">#REF!</definedName>
    <definedName name="Excel_BuiltIn_Print_Titles_4" localSheetId="1">#REF!</definedName>
    <definedName name="Excel_BuiltIn_Print_Titles_4" localSheetId="10">#REF!</definedName>
    <definedName name="Excel_BuiltIn_Print_Titles_4" localSheetId="18">#REF!</definedName>
    <definedName name="Excel_BuiltIn_Print_Titles_4" localSheetId="0">#REF!</definedName>
    <definedName name="Excel_BuiltIn_Print_Titles_4" localSheetId="9">#REF!</definedName>
    <definedName name="Excel_BuiltIn_Print_Titles_4" localSheetId="13">#REF!</definedName>
    <definedName name="Excel_BuiltIn_Print_Titles_4" localSheetId="3">#REF!</definedName>
    <definedName name="Excel_BuiltIn_Print_Titles_4" localSheetId="7">#REF!</definedName>
    <definedName name="Excel_BuiltIn_Print_Titles_4" localSheetId="11">#REF!</definedName>
    <definedName name="Excel_BuiltIn_Print_Titles_4" localSheetId="2">#REF!</definedName>
    <definedName name="Excel_BuiltIn_Print_Titles_4">#REF!</definedName>
    <definedName name="Extra_Pay" localSheetId="10">#REF!</definedName>
    <definedName name="Extra_Pay">#REF!</definedName>
    <definedName name="F.E.W_ALL" localSheetId="8">#REF!</definedName>
    <definedName name="F.E.W_ALL" localSheetId="6">#REF!</definedName>
    <definedName name="F.E.W_ALL" localSheetId="4">#REF!</definedName>
    <definedName name="F.E.W_ALL" localSheetId="5">#REF!</definedName>
    <definedName name="F.E.W_ALL" localSheetId="12">#REF!</definedName>
    <definedName name="F.E.W_ALL" localSheetId="14">#REF!</definedName>
    <definedName name="F.E.W_ALL" localSheetId="1">#REF!</definedName>
    <definedName name="F.E.W_ALL" localSheetId="10">#REF!</definedName>
    <definedName name="F.E.W_ALL" localSheetId="18">#REF!</definedName>
    <definedName name="F.E.W_ALL" localSheetId="0">#REF!</definedName>
    <definedName name="F.E.W_ALL" localSheetId="9">#REF!</definedName>
    <definedName name="F.E.W_ALL" localSheetId="13">#REF!</definedName>
    <definedName name="F.E.W_ALL" localSheetId="3">#REF!</definedName>
    <definedName name="F.E.W_ALL" localSheetId="7">#REF!</definedName>
    <definedName name="F.E.W_ALL" localSheetId="11">#REF!</definedName>
    <definedName name="F.E.W_ALL" localSheetId="2">#REF!</definedName>
    <definedName name="F.E.W_ALL">#REF!</definedName>
    <definedName name="F.E.W_H.S.CLAY" localSheetId="8">#REF!</definedName>
    <definedName name="F.E.W_H.S.CLAY" localSheetId="6">#REF!</definedName>
    <definedName name="F.E.W_H.S.CLAY" localSheetId="4">#REF!</definedName>
    <definedName name="F.E.W_H.S.CLAY" localSheetId="5">#REF!</definedName>
    <definedName name="F.E.W_H.S.CLAY" localSheetId="12">#REF!</definedName>
    <definedName name="F.E.W_H.S.CLAY" localSheetId="14">#REF!</definedName>
    <definedName name="F.E.W_H.S.CLAY" localSheetId="1">#REF!</definedName>
    <definedName name="F.E.W_H.S.CLAY" localSheetId="10">#REF!</definedName>
    <definedName name="F.E.W_H.S.CLAY" localSheetId="18">#REF!</definedName>
    <definedName name="F.E.W_H.S.CLAY" localSheetId="0">#REF!</definedName>
    <definedName name="F.E.W_H.S.CLAY" localSheetId="9">#REF!</definedName>
    <definedName name="F.E.W_H.S.CLAY" localSheetId="13">#REF!</definedName>
    <definedName name="F.E.W_H.S.CLAY" localSheetId="3">#REF!</definedName>
    <definedName name="F.E.W_H.S.CLAY" localSheetId="7">#REF!</definedName>
    <definedName name="F.E.W_H.S.CLAY" localSheetId="11">#REF!</definedName>
    <definedName name="F.E.W_H.S.CLAY" localSheetId="2">#REF!</definedName>
    <definedName name="F.E.W_H.S.CLAY">#REF!</definedName>
    <definedName name="F.E.W_S.D.R" localSheetId="8">#REF!</definedName>
    <definedName name="F.E.W_S.D.R" localSheetId="6">#REF!</definedName>
    <definedName name="F.E.W_S.D.R" localSheetId="4">#REF!</definedName>
    <definedName name="F.E.W_S.D.R" localSheetId="5">#REF!</definedName>
    <definedName name="F.E.W_S.D.R" localSheetId="12">#REF!</definedName>
    <definedName name="F.E.W_S.D.R" localSheetId="14">#REF!</definedName>
    <definedName name="F.E.W_S.D.R" localSheetId="1">#REF!</definedName>
    <definedName name="F.E.W_S.D.R" localSheetId="10">#REF!</definedName>
    <definedName name="F.E.W_S.D.R" localSheetId="18">#REF!</definedName>
    <definedName name="F.E.W_S.D.R" localSheetId="0">#REF!</definedName>
    <definedName name="F.E.W_S.D.R" localSheetId="9">#REF!</definedName>
    <definedName name="F.E.W_S.D.R" localSheetId="13">#REF!</definedName>
    <definedName name="F.E.W_S.D.R" localSheetId="3">#REF!</definedName>
    <definedName name="F.E.W_S.D.R" localSheetId="7">#REF!</definedName>
    <definedName name="F.E.W_S.D.R" localSheetId="11">#REF!</definedName>
    <definedName name="F.E.W_S.D.R" localSheetId="2">#REF!</definedName>
    <definedName name="F.E.W_S.D.R">#REF!</definedName>
    <definedName name="F.E.W_SAND" localSheetId="8">#REF!</definedName>
    <definedName name="F.E.W_SAND" localSheetId="6">#REF!</definedName>
    <definedName name="F.E.W_SAND" localSheetId="4">#REF!</definedName>
    <definedName name="F.E.W_SAND" localSheetId="5">#REF!</definedName>
    <definedName name="F.E.W_SAND" localSheetId="12">#REF!</definedName>
    <definedName name="F.E.W_SAND" localSheetId="14">#REF!</definedName>
    <definedName name="F.E.W_SAND" localSheetId="1">#REF!</definedName>
    <definedName name="F.E.W_SAND" localSheetId="10">#REF!</definedName>
    <definedName name="F.E.W_SAND" localSheetId="18">#REF!</definedName>
    <definedName name="F.E.W_SAND" localSheetId="0">#REF!</definedName>
    <definedName name="F.E.W_SAND" localSheetId="9">#REF!</definedName>
    <definedName name="F.E.W_SAND" localSheetId="13">#REF!</definedName>
    <definedName name="F.E.W_SAND" localSheetId="3">#REF!</definedName>
    <definedName name="F.E.W_SAND" localSheetId="7">#REF!</definedName>
    <definedName name="F.E.W_SAND" localSheetId="11">#REF!</definedName>
    <definedName name="F.E.W_SAND" localSheetId="2">#REF!</definedName>
    <definedName name="F.E.W_SAND">#REF!</definedName>
    <definedName name="fdfdff">#REF!</definedName>
    <definedName name="fdg">#REF!</definedName>
    <definedName name="ff" localSheetId="8">#REF!</definedName>
    <definedName name="ff" localSheetId="6">#REF!</definedName>
    <definedName name="ff" localSheetId="4">#REF!</definedName>
    <definedName name="ff" localSheetId="5">#REF!</definedName>
    <definedName name="ff" localSheetId="12">#REF!</definedName>
    <definedName name="ff" localSheetId="14">#REF!</definedName>
    <definedName name="ff" localSheetId="1">#REF!</definedName>
    <definedName name="ff" localSheetId="10">#REF!</definedName>
    <definedName name="ff" localSheetId="18">#REF!</definedName>
    <definedName name="ff" localSheetId="0">#REF!</definedName>
    <definedName name="ff" localSheetId="9">#REF!</definedName>
    <definedName name="ff" localSheetId="13">#REF!</definedName>
    <definedName name="ff" localSheetId="3">#REF!</definedName>
    <definedName name="ff" localSheetId="7">#REF!</definedName>
    <definedName name="ff" localSheetId="11">#REF!</definedName>
    <definedName name="ff" localSheetId="2">#REF!</definedName>
    <definedName name="ff">#REF!</definedName>
    <definedName name="fg">#REF!</definedName>
    <definedName name="fgsgsg" localSheetId="8">#REF!</definedName>
    <definedName name="fgsgsg" localSheetId="6">#REF!</definedName>
    <definedName name="fgsgsg" localSheetId="4">#REF!</definedName>
    <definedName name="fgsgsg" localSheetId="5">#REF!</definedName>
    <definedName name="fgsgsg" localSheetId="12">#REF!</definedName>
    <definedName name="fgsgsg" localSheetId="14">#REF!</definedName>
    <definedName name="fgsgsg" localSheetId="1">#REF!</definedName>
    <definedName name="fgsgsg" localSheetId="10">#REF!</definedName>
    <definedName name="fgsgsg" localSheetId="18">#REF!</definedName>
    <definedName name="fgsgsg" localSheetId="0">#REF!</definedName>
    <definedName name="fgsgsg" localSheetId="9">#REF!</definedName>
    <definedName name="fgsgsg" localSheetId="13">#REF!</definedName>
    <definedName name="fgsgsg" localSheetId="3">#REF!</definedName>
    <definedName name="fgsgsg" localSheetId="7">#REF!</definedName>
    <definedName name="fgsgsg" localSheetId="11">#REF!</definedName>
    <definedName name="fgsgsg" localSheetId="2">#REF!</definedName>
    <definedName name="fgsgsg">#REF!</definedName>
    <definedName name="fhd" localSheetId="8">#REF!</definedName>
    <definedName name="fhd" localSheetId="6">#REF!</definedName>
    <definedName name="fhd" localSheetId="4">#REF!</definedName>
    <definedName name="fhd" localSheetId="5">#REF!</definedName>
    <definedName name="fhd" localSheetId="12">#REF!</definedName>
    <definedName name="fhd" localSheetId="14">#REF!</definedName>
    <definedName name="fhd" localSheetId="1">#REF!</definedName>
    <definedName name="fhd" localSheetId="10">#REF!</definedName>
    <definedName name="fhd" localSheetId="18">#REF!</definedName>
    <definedName name="fhd" localSheetId="0">#REF!</definedName>
    <definedName name="fhd" localSheetId="9">#REF!</definedName>
    <definedName name="fhd" localSheetId="13">#REF!</definedName>
    <definedName name="fhd" localSheetId="3">#REF!</definedName>
    <definedName name="fhd" localSheetId="7">#REF!</definedName>
    <definedName name="fhd" localSheetId="11">#REF!</definedName>
    <definedName name="fhd" localSheetId="2">#REF!</definedName>
    <definedName name="fhd">#REF!</definedName>
    <definedName name="Filling" localSheetId="8">#REF!</definedName>
    <definedName name="Filling" localSheetId="6">#REF!</definedName>
    <definedName name="Filling" localSheetId="4">#REF!</definedName>
    <definedName name="Filling" localSheetId="5">#REF!</definedName>
    <definedName name="Filling" localSheetId="12">#REF!</definedName>
    <definedName name="Filling" localSheetId="14">#REF!</definedName>
    <definedName name="Filling" localSheetId="1">#REF!</definedName>
    <definedName name="Filling" localSheetId="10">#REF!</definedName>
    <definedName name="Filling" localSheetId="18">#REF!</definedName>
    <definedName name="Filling" localSheetId="0">#REF!</definedName>
    <definedName name="Filling" localSheetId="9">#REF!</definedName>
    <definedName name="Filling" localSheetId="13">#REF!</definedName>
    <definedName name="Filling" localSheetId="3">#REF!</definedName>
    <definedName name="Filling" localSheetId="7">#REF!</definedName>
    <definedName name="Filling" localSheetId="11">#REF!</definedName>
    <definedName name="Filling" localSheetId="2">#REF!</definedName>
    <definedName name="Filling">#REF!</definedName>
    <definedName name="fr" localSheetId="8">#REF!</definedName>
    <definedName name="fr" localSheetId="6">#REF!</definedName>
    <definedName name="fr" localSheetId="4">#REF!</definedName>
    <definedName name="fr" localSheetId="5">#REF!</definedName>
    <definedName name="fr" localSheetId="12">#REF!</definedName>
    <definedName name="fr" localSheetId="14">#REF!</definedName>
    <definedName name="fr" localSheetId="1">#REF!</definedName>
    <definedName name="fr" localSheetId="10">#REF!</definedName>
    <definedName name="fr" localSheetId="18">#REF!</definedName>
    <definedName name="fr" localSheetId="0">#REF!</definedName>
    <definedName name="fr" localSheetId="9">#REF!</definedName>
    <definedName name="fr" localSheetId="13">#REF!</definedName>
    <definedName name="fr" localSheetId="3">#REF!</definedName>
    <definedName name="fr" localSheetId="7">#REF!</definedName>
    <definedName name="fr" localSheetId="11">#REF!</definedName>
    <definedName name="fr" localSheetId="2">#REF!</definedName>
    <definedName name="fr">#REF!</definedName>
    <definedName name="frt" localSheetId="8">#REF!</definedName>
    <definedName name="frt" localSheetId="6">#REF!</definedName>
    <definedName name="frt" localSheetId="4">#REF!</definedName>
    <definedName name="frt" localSheetId="5">#REF!</definedName>
    <definedName name="frt" localSheetId="12">#REF!</definedName>
    <definedName name="frt" localSheetId="14">#REF!</definedName>
    <definedName name="frt" localSheetId="1">#REF!</definedName>
    <definedName name="frt" localSheetId="10">#REF!</definedName>
    <definedName name="frt" localSheetId="18">#REF!</definedName>
    <definedName name="frt" localSheetId="0">#REF!</definedName>
    <definedName name="frt" localSheetId="9">#REF!</definedName>
    <definedName name="frt" localSheetId="13">#REF!</definedName>
    <definedName name="frt" localSheetId="3">#REF!</definedName>
    <definedName name="frt" localSheetId="7">#REF!</definedName>
    <definedName name="frt" localSheetId="11">#REF!</definedName>
    <definedName name="frt" localSheetId="2">#REF!</definedName>
    <definedName name="frt">#REF!</definedName>
    <definedName name="Full_Print" localSheetId="10">#REF!</definedName>
    <definedName name="Full_Print">#REF!</definedName>
    <definedName name="g">#REF!</definedName>
    <definedName name="gd">#REF!</definedName>
    <definedName name="gf">#REF!</definedName>
    <definedName name="gfrt" localSheetId="8">#REF!</definedName>
    <definedName name="gfrt" localSheetId="6">#REF!</definedName>
    <definedName name="gfrt" localSheetId="4">#REF!</definedName>
    <definedName name="gfrt" localSheetId="5">#REF!</definedName>
    <definedName name="gfrt" localSheetId="12">#REF!</definedName>
    <definedName name="gfrt" localSheetId="14">#REF!</definedName>
    <definedName name="gfrt" localSheetId="1">#REF!</definedName>
    <definedName name="gfrt" localSheetId="10">#REF!</definedName>
    <definedName name="gfrt" localSheetId="18">#REF!</definedName>
    <definedName name="gfrt" localSheetId="0">#REF!</definedName>
    <definedName name="gfrt" localSheetId="9">#REF!</definedName>
    <definedName name="gfrt" localSheetId="13">#REF!</definedName>
    <definedName name="gfrt" localSheetId="3">#REF!</definedName>
    <definedName name="gfrt" localSheetId="7">#REF!</definedName>
    <definedName name="gfrt" localSheetId="11">#REF!</definedName>
    <definedName name="gfrt" localSheetId="2">#REF!</definedName>
    <definedName name="gfrt">#REF!</definedName>
    <definedName name="GHJYUTYUGNVBN" localSheetId="8">#REF!</definedName>
    <definedName name="GHJYUTYUGNVBN" localSheetId="6">#REF!</definedName>
    <definedName name="GHJYUTYUGNVBN" localSheetId="4">#REF!</definedName>
    <definedName name="GHJYUTYUGNVBN" localSheetId="5">#REF!</definedName>
    <definedName name="GHJYUTYUGNVBN" localSheetId="12">#REF!</definedName>
    <definedName name="GHJYUTYUGNVBN" localSheetId="14">#REF!</definedName>
    <definedName name="GHJYUTYUGNVBN" localSheetId="1">#REF!</definedName>
    <definedName name="GHJYUTYUGNVBN" localSheetId="10">#REF!</definedName>
    <definedName name="GHJYUTYUGNVBN" localSheetId="18">#REF!</definedName>
    <definedName name="GHJYUTYUGNVBN" localSheetId="0">#REF!</definedName>
    <definedName name="GHJYUTYUGNVBN" localSheetId="9">#REF!</definedName>
    <definedName name="GHJYUTYUGNVBN" localSheetId="13">#REF!</definedName>
    <definedName name="GHJYUTYUGNVBN" localSheetId="3">#REF!</definedName>
    <definedName name="GHJYUTYUGNVBN" localSheetId="7">#REF!</definedName>
    <definedName name="GHJYUTYUGNVBN" localSheetId="11">#REF!</definedName>
    <definedName name="GHJYUTYUGNVBN" localSheetId="2">#REF!</definedName>
    <definedName name="GHJYUTYUGNVBN">#REF!</definedName>
    <definedName name="GRANO" localSheetId="8">#REF!</definedName>
    <definedName name="GRANO" localSheetId="6">#REF!</definedName>
    <definedName name="GRANO" localSheetId="4">#REF!</definedName>
    <definedName name="GRANO" localSheetId="5">#REF!</definedName>
    <definedName name="GRANO" localSheetId="12">#REF!</definedName>
    <definedName name="GRANO" localSheetId="14">#REF!</definedName>
    <definedName name="GRANO" localSheetId="1">#REF!</definedName>
    <definedName name="GRANO" localSheetId="10">#REF!</definedName>
    <definedName name="GRANO" localSheetId="18">#REF!</definedName>
    <definedName name="GRANO" localSheetId="0">#REF!</definedName>
    <definedName name="GRANO" localSheetId="9">#REF!</definedName>
    <definedName name="GRANO" localSheetId="13">#REF!</definedName>
    <definedName name="GRANO" localSheetId="3">#REF!</definedName>
    <definedName name="GRANO" localSheetId="7">#REF!</definedName>
    <definedName name="GRANO" localSheetId="11">#REF!</definedName>
    <definedName name="GRANO" localSheetId="2">#REF!</definedName>
    <definedName name="GRANO">#REF!</definedName>
    <definedName name="gsdf">#REF!</definedName>
    <definedName name="gsgsg" localSheetId="8">#REF!</definedName>
    <definedName name="gsgsg" localSheetId="6">#REF!</definedName>
    <definedName name="gsgsg" localSheetId="4">#REF!</definedName>
    <definedName name="gsgsg" localSheetId="5">#REF!</definedName>
    <definedName name="gsgsg" localSheetId="12">#REF!</definedName>
    <definedName name="gsgsg" localSheetId="14">#REF!</definedName>
    <definedName name="gsgsg" localSheetId="1">#REF!</definedName>
    <definedName name="gsgsg" localSheetId="10">#REF!</definedName>
    <definedName name="gsgsg" localSheetId="18">#REF!</definedName>
    <definedName name="gsgsg" localSheetId="0">#REF!</definedName>
    <definedName name="gsgsg" localSheetId="9">#REF!</definedName>
    <definedName name="gsgsg" localSheetId="13">#REF!</definedName>
    <definedName name="gsgsg" localSheetId="3">#REF!</definedName>
    <definedName name="gsgsg" localSheetId="7">#REF!</definedName>
    <definedName name="gsgsg" localSheetId="11">#REF!</definedName>
    <definedName name="gsgsg" localSheetId="2">#REF!</definedName>
    <definedName name="gsgsg">#REF!</definedName>
    <definedName name="gt" localSheetId="8">#REF!</definedName>
    <definedName name="gt" localSheetId="6">#REF!</definedName>
    <definedName name="gt" localSheetId="4">#REF!</definedName>
    <definedName name="gt" localSheetId="5">#REF!</definedName>
    <definedName name="gt" localSheetId="12">#REF!</definedName>
    <definedName name="gt" localSheetId="14">#REF!</definedName>
    <definedName name="gt" localSheetId="1">#REF!</definedName>
    <definedName name="gt" localSheetId="10">#REF!</definedName>
    <definedName name="gt" localSheetId="18">#REF!</definedName>
    <definedName name="gt" localSheetId="0">#REF!</definedName>
    <definedName name="gt" localSheetId="9">#REF!</definedName>
    <definedName name="gt" localSheetId="13">#REF!</definedName>
    <definedName name="gt" localSheetId="3">#REF!</definedName>
    <definedName name="gt" localSheetId="7">#REF!</definedName>
    <definedName name="gt" localSheetId="11">#REF!</definedName>
    <definedName name="gt" localSheetId="2">#REF!</definedName>
    <definedName name="gt">#REF!</definedName>
    <definedName name="gtr" localSheetId="8">#REF!</definedName>
    <definedName name="gtr" localSheetId="6">#REF!</definedName>
    <definedName name="gtr" localSheetId="4">#REF!</definedName>
    <definedName name="gtr" localSheetId="5">#REF!</definedName>
    <definedName name="gtr" localSheetId="12">#REF!</definedName>
    <definedName name="gtr" localSheetId="14">#REF!</definedName>
    <definedName name="gtr" localSheetId="1">#REF!</definedName>
    <definedName name="gtr" localSheetId="10">#REF!</definedName>
    <definedName name="gtr" localSheetId="18">#REF!</definedName>
    <definedName name="gtr" localSheetId="0">#REF!</definedName>
    <definedName name="gtr" localSheetId="9">#REF!</definedName>
    <definedName name="gtr" localSheetId="13">#REF!</definedName>
    <definedName name="gtr" localSheetId="3">#REF!</definedName>
    <definedName name="gtr" localSheetId="7">#REF!</definedName>
    <definedName name="gtr" localSheetId="11">#REF!</definedName>
    <definedName name="gtr" localSheetId="2">#REF!</definedName>
    <definedName name="gtr">#REF!</definedName>
    <definedName name="Header_Row" localSheetId="10">ROW(#REF!)</definedName>
    <definedName name="Header_Row">ROW(#REF!)</definedName>
    <definedName name="hha" localSheetId="10">#REF!</definedName>
    <definedName name="hha">#REF!</definedName>
    <definedName name="hia" localSheetId="8">#REF!</definedName>
    <definedName name="hia" localSheetId="6">#REF!</definedName>
    <definedName name="hia" localSheetId="4">#REF!</definedName>
    <definedName name="hia" localSheetId="5">#REF!</definedName>
    <definedName name="hia" localSheetId="12">#REF!</definedName>
    <definedName name="hia" localSheetId="14">#REF!</definedName>
    <definedName name="hia" localSheetId="1">#REF!</definedName>
    <definedName name="hia" localSheetId="10">#REF!</definedName>
    <definedName name="hia" localSheetId="18">#REF!</definedName>
    <definedName name="hia" localSheetId="0">#REF!</definedName>
    <definedName name="hia" localSheetId="9">#REF!</definedName>
    <definedName name="hia" localSheetId="13">#REF!</definedName>
    <definedName name="hia" localSheetId="3">#REF!</definedName>
    <definedName name="hia" localSheetId="7">#REF!</definedName>
    <definedName name="hia" localSheetId="11">#REF!</definedName>
    <definedName name="hia" localSheetId="2">#REF!</definedName>
    <definedName name="hia">#REF!</definedName>
    <definedName name="hj" localSheetId="4">[1]Data!#REF!</definedName>
    <definedName name="hj" localSheetId="5">[1]Data!#REF!</definedName>
    <definedName name="hj" localSheetId="12">[1]Data!#REF!</definedName>
    <definedName name="hj" localSheetId="14">[1]Data!#REF!</definedName>
    <definedName name="hj" localSheetId="10">[1]Data!#REF!</definedName>
    <definedName name="hj" localSheetId="18">[1]Data!#REF!</definedName>
    <definedName name="hj" localSheetId="13">[1]Data!#REF!</definedName>
    <definedName name="hj" localSheetId="11">[1]Data!#REF!</definedName>
    <definedName name="hj">[1]Data!#REF!</definedName>
    <definedName name="hyu" localSheetId="8">#REF!</definedName>
    <definedName name="hyu" localSheetId="6">#REF!</definedName>
    <definedName name="hyu" localSheetId="4">#REF!</definedName>
    <definedName name="hyu" localSheetId="5">#REF!</definedName>
    <definedName name="hyu" localSheetId="12">#REF!</definedName>
    <definedName name="hyu" localSheetId="14">#REF!</definedName>
    <definedName name="hyu" localSheetId="1">#REF!</definedName>
    <definedName name="hyu" localSheetId="10">#REF!</definedName>
    <definedName name="hyu" localSheetId="18">#REF!</definedName>
    <definedName name="hyu" localSheetId="0">#REF!</definedName>
    <definedName name="hyu" localSheetId="9">#REF!</definedName>
    <definedName name="hyu" localSheetId="13">#REF!</definedName>
    <definedName name="hyu" localSheetId="3">#REF!</definedName>
    <definedName name="hyu" localSheetId="7">#REF!</definedName>
    <definedName name="hyu" localSheetId="11">#REF!</definedName>
    <definedName name="hyu" localSheetId="2">#REF!</definedName>
    <definedName name="hyu">#REF!</definedName>
    <definedName name="i" localSheetId="10">#REF!</definedName>
    <definedName name="i">#REF!</definedName>
    <definedName name="ins" localSheetId="8">#REF!</definedName>
    <definedName name="ins" localSheetId="6">#REF!</definedName>
    <definedName name="ins" localSheetId="4">#REF!</definedName>
    <definedName name="ins" localSheetId="5">#REF!</definedName>
    <definedName name="ins" localSheetId="12">#REF!</definedName>
    <definedName name="ins" localSheetId="14">#REF!</definedName>
    <definedName name="ins" localSheetId="1">#REF!</definedName>
    <definedName name="ins" localSheetId="10">#REF!</definedName>
    <definedName name="ins" localSheetId="18">#REF!</definedName>
    <definedName name="ins" localSheetId="0">#REF!</definedName>
    <definedName name="ins" localSheetId="9">#REF!</definedName>
    <definedName name="ins" localSheetId="13">#REF!</definedName>
    <definedName name="ins" localSheetId="3">#REF!</definedName>
    <definedName name="ins" localSheetId="7">#REF!</definedName>
    <definedName name="ins" localSheetId="11">#REF!</definedName>
    <definedName name="ins" localSheetId="2">#REF!</definedName>
    <definedName name="ins">#REF!</definedName>
    <definedName name="Int" localSheetId="10">#REF!</definedName>
    <definedName name="Int">#REF!</definedName>
    <definedName name="Interest_Rate" localSheetId="10">#REF!</definedName>
    <definedName name="Interest_Rate">#REF!</definedName>
    <definedName name="Iron_Paint" localSheetId="8">#REF!</definedName>
    <definedName name="Iron_Paint" localSheetId="6">#REF!</definedName>
    <definedName name="Iron_Paint" localSheetId="4">#REF!</definedName>
    <definedName name="Iron_Paint" localSheetId="5">#REF!</definedName>
    <definedName name="Iron_Paint" localSheetId="12">#REF!</definedName>
    <definedName name="Iron_Paint" localSheetId="14">#REF!</definedName>
    <definedName name="Iron_Paint" localSheetId="1">#REF!</definedName>
    <definedName name="Iron_Paint" localSheetId="10">#REF!</definedName>
    <definedName name="Iron_Paint" localSheetId="18">#REF!</definedName>
    <definedName name="Iron_Paint" localSheetId="0">#REF!</definedName>
    <definedName name="Iron_Paint" localSheetId="9">#REF!</definedName>
    <definedName name="Iron_Paint" localSheetId="13">#REF!</definedName>
    <definedName name="Iron_Paint" localSheetId="3">#REF!</definedName>
    <definedName name="Iron_Paint" localSheetId="7">#REF!</definedName>
    <definedName name="Iron_Paint" localSheetId="11">#REF!</definedName>
    <definedName name="Iron_Paint" localSheetId="2">#REF!</definedName>
    <definedName name="Iron_Paint">#REF!</definedName>
    <definedName name="jh" localSheetId="8">#REF!</definedName>
    <definedName name="jh" localSheetId="6">#REF!</definedName>
    <definedName name="jh" localSheetId="4">#REF!</definedName>
    <definedName name="jh" localSheetId="5">#REF!</definedName>
    <definedName name="jh" localSheetId="12">#REF!</definedName>
    <definedName name="jh" localSheetId="14">#REF!</definedName>
    <definedName name="jh" localSheetId="1">#REF!</definedName>
    <definedName name="jh" localSheetId="10">#REF!</definedName>
    <definedName name="jh" localSheetId="18">#REF!</definedName>
    <definedName name="jh" localSheetId="0">#REF!</definedName>
    <definedName name="jh" localSheetId="9">#REF!</definedName>
    <definedName name="jh" localSheetId="13">#REF!</definedName>
    <definedName name="jh" localSheetId="3">#REF!</definedName>
    <definedName name="jh" localSheetId="7">#REF!</definedName>
    <definedName name="jh" localSheetId="11">#REF!</definedName>
    <definedName name="jh" localSheetId="2">#REF!</definedName>
    <definedName name="jh">#REF!</definedName>
    <definedName name="jj" localSheetId="8">#REF!</definedName>
    <definedName name="jj" localSheetId="6">#REF!</definedName>
    <definedName name="jj" localSheetId="4">#REF!</definedName>
    <definedName name="jj" localSheetId="5">#REF!</definedName>
    <definedName name="jj" localSheetId="12">#REF!</definedName>
    <definedName name="jj" localSheetId="14">#REF!</definedName>
    <definedName name="jj" localSheetId="1">#REF!</definedName>
    <definedName name="jj" localSheetId="10">#REF!</definedName>
    <definedName name="jj" localSheetId="18">#REF!</definedName>
    <definedName name="jj" localSheetId="0">#REF!</definedName>
    <definedName name="jj" localSheetId="9">#REF!</definedName>
    <definedName name="jj" localSheetId="13">#REF!</definedName>
    <definedName name="jj" localSheetId="3">#REF!</definedName>
    <definedName name="jj" localSheetId="7">#REF!</definedName>
    <definedName name="jj" localSheetId="11">#REF!</definedName>
    <definedName name="jj" localSheetId="2">#REF!</definedName>
    <definedName name="jj">#REF!</definedName>
    <definedName name="jk" localSheetId="8">#REF!</definedName>
    <definedName name="jk" localSheetId="6">#REF!</definedName>
    <definedName name="jk" localSheetId="4">#REF!</definedName>
    <definedName name="jk" localSheetId="5">#REF!</definedName>
    <definedName name="jk" localSheetId="12">#REF!</definedName>
    <definedName name="jk" localSheetId="14">#REF!</definedName>
    <definedName name="jk" localSheetId="1">#REF!</definedName>
    <definedName name="jk" localSheetId="10">#REF!</definedName>
    <definedName name="jk" localSheetId="18">#REF!</definedName>
    <definedName name="jk" localSheetId="0">#REF!</definedName>
    <definedName name="jk" localSheetId="9">#REF!</definedName>
    <definedName name="jk" localSheetId="13">#REF!</definedName>
    <definedName name="jk" localSheetId="3">#REF!</definedName>
    <definedName name="jk" localSheetId="7">#REF!</definedName>
    <definedName name="jk" localSheetId="11">#REF!</definedName>
    <definedName name="jk" localSheetId="2">#REF!</definedName>
    <definedName name="jk">#REF!</definedName>
    <definedName name="Junior_Engineer" localSheetId="8">#REF!</definedName>
    <definedName name="Junior_Engineer" localSheetId="6">#REF!</definedName>
    <definedName name="Junior_Engineer" localSheetId="4">#REF!</definedName>
    <definedName name="Junior_Engineer" localSheetId="5">#REF!</definedName>
    <definedName name="Junior_Engineer" localSheetId="12">#REF!</definedName>
    <definedName name="Junior_Engineer" localSheetId="14">#REF!</definedName>
    <definedName name="Junior_Engineer" localSheetId="1">#REF!</definedName>
    <definedName name="Junior_Engineer" localSheetId="10">#REF!</definedName>
    <definedName name="Junior_Engineer" localSheetId="18">#REF!</definedName>
    <definedName name="Junior_Engineer" localSheetId="0">#REF!</definedName>
    <definedName name="Junior_Engineer" localSheetId="9">#REF!</definedName>
    <definedName name="Junior_Engineer" localSheetId="13">#REF!</definedName>
    <definedName name="Junior_Engineer" localSheetId="3">#REF!</definedName>
    <definedName name="Junior_Engineer" localSheetId="7">#REF!</definedName>
    <definedName name="Junior_Engineer" localSheetId="11">#REF!</definedName>
    <definedName name="Junior_Engineer" localSheetId="2">#REF!</definedName>
    <definedName name="Junior_Engineer">#REF!</definedName>
    <definedName name="k11.1" localSheetId="8">#REF!</definedName>
    <definedName name="k11.1" localSheetId="6">#REF!</definedName>
    <definedName name="k11.1" localSheetId="4">#REF!</definedName>
    <definedName name="k11.1" localSheetId="5">#REF!</definedName>
    <definedName name="k11.1" localSheetId="12">#REF!</definedName>
    <definedName name="k11.1" localSheetId="14">#REF!</definedName>
    <definedName name="k11.1" localSheetId="1">#REF!</definedName>
    <definedName name="k11.1" localSheetId="10">#REF!</definedName>
    <definedName name="k11.1" localSheetId="18">#REF!</definedName>
    <definedName name="k11.1" localSheetId="0">#REF!</definedName>
    <definedName name="k11.1" localSheetId="9">#REF!</definedName>
    <definedName name="k11.1" localSheetId="13">#REF!</definedName>
    <definedName name="k11.1" localSheetId="3">#REF!</definedName>
    <definedName name="k11.1" localSheetId="7">#REF!</definedName>
    <definedName name="k11.1" localSheetId="11">#REF!</definedName>
    <definedName name="k11.1" localSheetId="2">#REF!</definedName>
    <definedName name="k11.1">#REF!</definedName>
    <definedName name="k404." localSheetId="8">#REF!</definedName>
    <definedName name="k404." localSheetId="6">#REF!</definedName>
    <definedName name="k404." localSheetId="4">#REF!</definedName>
    <definedName name="k404." localSheetId="5">#REF!</definedName>
    <definedName name="k404." localSheetId="12">#REF!</definedName>
    <definedName name="k404." localSheetId="14">#REF!</definedName>
    <definedName name="k404." localSheetId="1">#REF!</definedName>
    <definedName name="k404." localSheetId="10">#REF!</definedName>
    <definedName name="k404." localSheetId="18">#REF!</definedName>
    <definedName name="k404." localSheetId="0">#REF!</definedName>
    <definedName name="k404." localSheetId="9">#REF!</definedName>
    <definedName name="k404." localSheetId="13">#REF!</definedName>
    <definedName name="k404." localSheetId="3">#REF!</definedName>
    <definedName name="k404." localSheetId="7">#REF!</definedName>
    <definedName name="k404." localSheetId="11">#REF!</definedName>
    <definedName name="k404." localSheetId="2">#REF!</definedName>
    <definedName name="k404.">#REF!</definedName>
    <definedName name="kalil" localSheetId="8">#REF!</definedName>
    <definedName name="kalil" localSheetId="6">#REF!</definedName>
    <definedName name="kalil" localSheetId="4">#REF!</definedName>
    <definedName name="kalil" localSheetId="5">#REF!</definedName>
    <definedName name="kalil" localSheetId="12">#REF!</definedName>
    <definedName name="kalil" localSheetId="14">#REF!</definedName>
    <definedName name="kalil" localSheetId="1">#REF!</definedName>
    <definedName name="kalil" localSheetId="10">#REF!</definedName>
    <definedName name="kalil" localSheetId="18">#REF!</definedName>
    <definedName name="kalil" localSheetId="0">#REF!</definedName>
    <definedName name="kalil" localSheetId="9">#REF!</definedName>
    <definedName name="kalil" localSheetId="13">#REF!</definedName>
    <definedName name="kalil" localSheetId="3">#REF!</definedName>
    <definedName name="kalil" localSheetId="7">#REF!</definedName>
    <definedName name="kalil" localSheetId="11">#REF!</definedName>
    <definedName name="kalil" localSheetId="2">#REF!</definedName>
    <definedName name="kalil">#REF!</definedName>
    <definedName name="kasper" localSheetId="10">#REF!</definedName>
    <definedName name="kasper">#REF!</definedName>
    <definedName name="klo" localSheetId="8">#REF!</definedName>
    <definedName name="klo" localSheetId="6">#REF!</definedName>
    <definedName name="klo" localSheetId="4">#REF!</definedName>
    <definedName name="klo" localSheetId="5">#REF!</definedName>
    <definedName name="klo" localSheetId="12">#REF!</definedName>
    <definedName name="klo" localSheetId="14">#REF!</definedName>
    <definedName name="klo" localSheetId="1">#REF!</definedName>
    <definedName name="klo" localSheetId="10">#REF!</definedName>
    <definedName name="klo" localSheetId="18">#REF!</definedName>
    <definedName name="klo" localSheetId="0">#REF!</definedName>
    <definedName name="klo" localSheetId="9">#REF!</definedName>
    <definedName name="klo" localSheetId="13">#REF!</definedName>
    <definedName name="klo" localSheetId="3">#REF!</definedName>
    <definedName name="klo" localSheetId="7">#REF!</definedName>
    <definedName name="klo" localSheetId="11">#REF!</definedName>
    <definedName name="klo" localSheetId="2">#REF!</definedName>
    <definedName name="klo">#REF!</definedName>
    <definedName name="KOTA_STONE" localSheetId="8">#REF!</definedName>
    <definedName name="KOTA_STONE" localSheetId="6">#REF!</definedName>
    <definedName name="KOTA_STONE" localSheetId="4">#REF!</definedName>
    <definedName name="KOTA_STONE" localSheetId="5">#REF!</definedName>
    <definedName name="KOTA_STONE" localSheetId="12">#REF!</definedName>
    <definedName name="KOTA_STONE" localSheetId="14">#REF!</definedName>
    <definedName name="KOTA_STONE" localSheetId="1">#REF!</definedName>
    <definedName name="KOTA_STONE" localSheetId="10">#REF!</definedName>
    <definedName name="KOTA_STONE" localSheetId="18">#REF!</definedName>
    <definedName name="KOTA_STONE" localSheetId="0">#REF!</definedName>
    <definedName name="KOTA_STONE" localSheetId="9">#REF!</definedName>
    <definedName name="KOTA_STONE" localSheetId="13">#REF!</definedName>
    <definedName name="KOTA_STONE" localSheetId="3">#REF!</definedName>
    <definedName name="KOTA_STONE" localSheetId="7">#REF!</definedName>
    <definedName name="KOTA_STONE" localSheetId="11">#REF!</definedName>
    <definedName name="KOTA_STONE" localSheetId="2">#REF!</definedName>
    <definedName name="KOTA_STONE">#REF!</definedName>
    <definedName name="Labour_Board" localSheetId="8">#REF!</definedName>
    <definedName name="Labour_Board" localSheetId="6">#REF!</definedName>
    <definedName name="Labour_Board" localSheetId="4">#REF!</definedName>
    <definedName name="Labour_Board" localSheetId="5">#REF!</definedName>
    <definedName name="Labour_Board" localSheetId="12">#REF!</definedName>
    <definedName name="Labour_Board" localSheetId="14">#REF!</definedName>
    <definedName name="Labour_Board" localSheetId="1">#REF!</definedName>
    <definedName name="Labour_Board" localSheetId="10">#REF!</definedName>
    <definedName name="Labour_Board" localSheetId="18">#REF!</definedName>
    <definedName name="Labour_Board" localSheetId="0">#REF!</definedName>
    <definedName name="Labour_Board" localSheetId="9">#REF!</definedName>
    <definedName name="Labour_Board" localSheetId="13">#REF!</definedName>
    <definedName name="Labour_Board" localSheetId="3">#REF!</definedName>
    <definedName name="Labour_Board" localSheetId="7">#REF!</definedName>
    <definedName name="Labour_Board" localSheetId="11">#REF!</definedName>
    <definedName name="Labour_Board" localSheetId="2">#REF!</definedName>
    <definedName name="Labour_Board">#REF!</definedName>
    <definedName name="Labour_Board_11" localSheetId="8">#REF!</definedName>
    <definedName name="Labour_Board_11" localSheetId="6">#REF!</definedName>
    <definedName name="Labour_Board_11" localSheetId="4">#REF!</definedName>
    <definedName name="Labour_Board_11" localSheetId="5">#REF!</definedName>
    <definedName name="Labour_Board_11" localSheetId="12">#REF!</definedName>
    <definedName name="Labour_Board_11" localSheetId="14">#REF!</definedName>
    <definedName name="Labour_Board_11" localSheetId="1">#REF!</definedName>
    <definedName name="Labour_Board_11" localSheetId="10">#REF!</definedName>
    <definedName name="Labour_Board_11" localSheetId="18">#REF!</definedName>
    <definedName name="Labour_Board_11" localSheetId="0">#REF!</definedName>
    <definedName name="Labour_Board_11" localSheetId="9">#REF!</definedName>
    <definedName name="Labour_Board_11" localSheetId="13">#REF!</definedName>
    <definedName name="Labour_Board_11" localSheetId="3">#REF!</definedName>
    <definedName name="Labour_Board_11" localSheetId="7">#REF!</definedName>
    <definedName name="Labour_Board_11" localSheetId="11">#REF!</definedName>
    <definedName name="Labour_Board_11" localSheetId="2">#REF!</definedName>
    <definedName name="Labour_Board_11">#REF!</definedName>
    <definedName name="Labour_Board_3" localSheetId="8">#REF!</definedName>
    <definedName name="Labour_Board_3" localSheetId="6">#REF!</definedName>
    <definedName name="Labour_Board_3" localSheetId="4">#REF!</definedName>
    <definedName name="Labour_Board_3" localSheetId="5">#REF!</definedName>
    <definedName name="Labour_Board_3" localSheetId="12">#REF!</definedName>
    <definedName name="Labour_Board_3" localSheetId="14">#REF!</definedName>
    <definedName name="Labour_Board_3" localSheetId="1">#REF!</definedName>
    <definedName name="Labour_Board_3" localSheetId="10">#REF!</definedName>
    <definedName name="Labour_Board_3" localSheetId="18">#REF!</definedName>
    <definedName name="Labour_Board_3" localSheetId="0">#REF!</definedName>
    <definedName name="Labour_Board_3" localSheetId="9">#REF!</definedName>
    <definedName name="Labour_Board_3" localSheetId="13">#REF!</definedName>
    <definedName name="Labour_Board_3" localSheetId="3">#REF!</definedName>
    <definedName name="Labour_Board_3" localSheetId="7">#REF!</definedName>
    <definedName name="Labour_Board_3" localSheetId="11">#REF!</definedName>
    <definedName name="Labour_Board_3" localSheetId="2">#REF!</definedName>
    <definedName name="Labour_Board_3">#REF!</definedName>
    <definedName name="Labour_Board_6" localSheetId="8">#REF!</definedName>
    <definedName name="Labour_Board_6" localSheetId="6">#REF!</definedName>
    <definedName name="Labour_Board_6" localSheetId="4">#REF!</definedName>
    <definedName name="Labour_Board_6" localSheetId="5">#REF!</definedName>
    <definedName name="Labour_Board_6" localSheetId="12">#REF!</definedName>
    <definedName name="Labour_Board_6" localSheetId="14">#REF!</definedName>
    <definedName name="Labour_Board_6" localSheetId="1">#REF!</definedName>
    <definedName name="Labour_Board_6" localSheetId="10">#REF!</definedName>
    <definedName name="Labour_Board_6" localSheetId="18">#REF!</definedName>
    <definedName name="Labour_Board_6" localSheetId="0">#REF!</definedName>
    <definedName name="Labour_Board_6" localSheetId="9">#REF!</definedName>
    <definedName name="Labour_Board_6" localSheetId="13">#REF!</definedName>
    <definedName name="Labour_Board_6" localSheetId="3">#REF!</definedName>
    <definedName name="Labour_Board_6" localSheetId="7">#REF!</definedName>
    <definedName name="Labour_Board_6" localSheetId="11">#REF!</definedName>
    <definedName name="Labour_Board_6" localSheetId="2">#REF!</definedName>
    <definedName name="Labour_Board_6">#REF!</definedName>
    <definedName name="Labour_Data" localSheetId="8">#REF!</definedName>
    <definedName name="Labour_Data" localSheetId="6">#REF!</definedName>
    <definedName name="Labour_Data" localSheetId="4">#REF!</definedName>
    <definedName name="Labour_Data" localSheetId="5">#REF!</definedName>
    <definedName name="Labour_Data" localSheetId="12">#REF!</definedName>
    <definedName name="Labour_Data" localSheetId="14">#REF!</definedName>
    <definedName name="Labour_Data" localSheetId="1">#REF!</definedName>
    <definedName name="Labour_Data" localSheetId="10">#REF!</definedName>
    <definedName name="Labour_Data" localSheetId="18">#REF!</definedName>
    <definedName name="Labour_Data" localSheetId="0">#REF!</definedName>
    <definedName name="Labour_Data" localSheetId="9">#REF!</definedName>
    <definedName name="Labour_Data" localSheetId="13">#REF!</definedName>
    <definedName name="Labour_Data" localSheetId="3">#REF!</definedName>
    <definedName name="Labour_Data" localSheetId="7">#REF!</definedName>
    <definedName name="Labour_Data" localSheetId="11">#REF!</definedName>
    <definedName name="Labour_Data" localSheetId="2">#REF!</definedName>
    <definedName name="Labour_Data">#REF!</definedName>
    <definedName name="Labour_PWD" localSheetId="8">#REF!</definedName>
    <definedName name="Labour_PWD" localSheetId="6">#REF!</definedName>
    <definedName name="Labour_PWD" localSheetId="4">#REF!</definedName>
    <definedName name="Labour_PWD" localSheetId="5">#REF!</definedName>
    <definedName name="Labour_PWD" localSheetId="12">#REF!</definedName>
    <definedName name="Labour_PWD" localSheetId="14">#REF!</definedName>
    <definedName name="Labour_PWD" localSheetId="1">#REF!</definedName>
    <definedName name="Labour_PWD" localSheetId="10">#REF!</definedName>
    <definedName name="Labour_PWD" localSheetId="18">#REF!</definedName>
    <definedName name="Labour_PWD" localSheetId="0">#REF!</definedName>
    <definedName name="Labour_PWD" localSheetId="9">#REF!</definedName>
    <definedName name="Labour_PWD" localSheetId="13">#REF!</definedName>
    <definedName name="Labour_PWD" localSheetId="3">#REF!</definedName>
    <definedName name="Labour_PWD" localSheetId="7">#REF!</definedName>
    <definedName name="Labour_PWD" localSheetId="11">#REF!</definedName>
    <definedName name="Labour_PWD" localSheetId="2">#REF!</definedName>
    <definedName name="Labour_PWD">#REF!</definedName>
    <definedName name="Labour_PWD_11" localSheetId="8">#REF!</definedName>
    <definedName name="Labour_PWD_11" localSheetId="6">#REF!</definedName>
    <definedName name="Labour_PWD_11" localSheetId="4">#REF!</definedName>
    <definedName name="Labour_PWD_11" localSheetId="5">#REF!</definedName>
    <definedName name="Labour_PWD_11" localSheetId="12">#REF!</definedName>
    <definedName name="Labour_PWD_11" localSheetId="14">#REF!</definedName>
    <definedName name="Labour_PWD_11" localSheetId="1">#REF!</definedName>
    <definedName name="Labour_PWD_11" localSheetId="10">#REF!</definedName>
    <definedName name="Labour_PWD_11" localSheetId="18">#REF!</definedName>
    <definedName name="Labour_PWD_11" localSheetId="0">#REF!</definedName>
    <definedName name="Labour_PWD_11" localSheetId="9">#REF!</definedName>
    <definedName name="Labour_PWD_11" localSheetId="13">#REF!</definedName>
    <definedName name="Labour_PWD_11" localSheetId="3">#REF!</definedName>
    <definedName name="Labour_PWD_11" localSheetId="7">#REF!</definedName>
    <definedName name="Labour_PWD_11" localSheetId="11">#REF!</definedName>
    <definedName name="Labour_PWD_11" localSheetId="2">#REF!</definedName>
    <definedName name="Labour_PWD_11">#REF!</definedName>
    <definedName name="Labour_PWD_3" localSheetId="8">#REF!</definedName>
    <definedName name="Labour_PWD_3" localSheetId="6">#REF!</definedName>
    <definedName name="Labour_PWD_3" localSheetId="4">#REF!</definedName>
    <definedName name="Labour_PWD_3" localSheetId="5">#REF!</definedName>
    <definedName name="Labour_PWD_3" localSheetId="12">#REF!</definedName>
    <definedName name="Labour_PWD_3" localSheetId="14">#REF!</definedName>
    <definedName name="Labour_PWD_3" localSheetId="1">#REF!</definedName>
    <definedName name="Labour_PWD_3" localSheetId="10">#REF!</definedName>
    <definedName name="Labour_PWD_3" localSheetId="18">#REF!</definedName>
    <definedName name="Labour_PWD_3" localSheetId="0">#REF!</definedName>
    <definedName name="Labour_PWD_3" localSheetId="9">#REF!</definedName>
    <definedName name="Labour_PWD_3" localSheetId="13">#REF!</definedName>
    <definedName name="Labour_PWD_3" localSheetId="3">#REF!</definedName>
    <definedName name="Labour_PWD_3" localSheetId="7">#REF!</definedName>
    <definedName name="Labour_PWD_3" localSheetId="11">#REF!</definedName>
    <definedName name="Labour_PWD_3" localSheetId="2">#REF!</definedName>
    <definedName name="Labour_PWD_3">#REF!</definedName>
    <definedName name="Labour_PWD_6" localSheetId="8">#REF!</definedName>
    <definedName name="Labour_PWD_6" localSheetId="6">#REF!</definedName>
    <definedName name="Labour_PWD_6" localSheetId="4">#REF!</definedName>
    <definedName name="Labour_PWD_6" localSheetId="5">#REF!</definedName>
    <definedName name="Labour_PWD_6" localSheetId="12">#REF!</definedName>
    <definedName name="Labour_PWD_6" localSheetId="14">#REF!</definedName>
    <definedName name="Labour_PWD_6" localSheetId="1">#REF!</definedName>
    <definedName name="Labour_PWD_6" localSheetId="10">#REF!</definedName>
    <definedName name="Labour_PWD_6" localSheetId="18">#REF!</definedName>
    <definedName name="Labour_PWD_6" localSheetId="0">#REF!</definedName>
    <definedName name="Labour_PWD_6" localSheetId="9">#REF!</definedName>
    <definedName name="Labour_PWD_6" localSheetId="13">#REF!</definedName>
    <definedName name="Labour_PWD_6" localSheetId="3">#REF!</definedName>
    <definedName name="Labour_PWD_6" localSheetId="7">#REF!</definedName>
    <definedName name="Labour_PWD_6" localSheetId="11">#REF!</definedName>
    <definedName name="Labour_PWD_6" localSheetId="2">#REF!</definedName>
    <definedName name="Labour_PWD_6">#REF!</definedName>
    <definedName name="Labour_Rate" localSheetId="8">#REF!</definedName>
    <definedName name="Labour_Rate" localSheetId="6">#REF!</definedName>
    <definedName name="Labour_Rate" localSheetId="4">#REF!</definedName>
    <definedName name="Labour_Rate" localSheetId="5">#REF!</definedName>
    <definedName name="Labour_Rate" localSheetId="12">#REF!</definedName>
    <definedName name="Labour_Rate" localSheetId="14">#REF!</definedName>
    <definedName name="Labour_Rate" localSheetId="1">#REF!</definedName>
    <definedName name="Labour_Rate" localSheetId="10">#REF!</definedName>
    <definedName name="Labour_Rate" localSheetId="18">#REF!</definedName>
    <definedName name="Labour_Rate" localSheetId="0">#REF!</definedName>
    <definedName name="Labour_Rate" localSheetId="9">#REF!</definedName>
    <definedName name="Labour_Rate" localSheetId="13">#REF!</definedName>
    <definedName name="Labour_Rate" localSheetId="3">#REF!</definedName>
    <definedName name="Labour_Rate" localSheetId="7">#REF!</definedName>
    <definedName name="Labour_Rate" localSheetId="11">#REF!</definedName>
    <definedName name="Labour_Rate" localSheetId="2">#REF!</definedName>
    <definedName name="Labour_Rate">#REF!</definedName>
    <definedName name="Labour_rate_civil" localSheetId="8">#REF!</definedName>
    <definedName name="Labour_rate_civil" localSheetId="6">#REF!</definedName>
    <definedName name="Labour_rate_civil" localSheetId="4">#REF!</definedName>
    <definedName name="Labour_rate_civil" localSheetId="5">#REF!</definedName>
    <definedName name="Labour_rate_civil" localSheetId="12">#REF!</definedName>
    <definedName name="Labour_rate_civil" localSheetId="14">#REF!</definedName>
    <definedName name="Labour_rate_civil" localSheetId="1">#REF!</definedName>
    <definedName name="Labour_rate_civil" localSheetId="10">#REF!</definedName>
    <definedName name="Labour_rate_civil" localSheetId="18">#REF!</definedName>
    <definedName name="Labour_rate_civil" localSheetId="0">#REF!</definedName>
    <definedName name="Labour_rate_civil" localSheetId="9">#REF!</definedName>
    <definedName name="Labour_rate_civil" localSheetId="13">#REF!</definedName>
    <definedName name="Labour_rate_civil" localSheetId="3">#REF!</definedName>
    <definedName name="Labour_rate_civil" localSheetId="7">#REF!</definedName>
    <definedName name="Labour_rate_civil" localSheetId="11">#REF!</definedName>
    <definedName name="Labour_rate_civil" localSheetId="2">#REF!</definedName>
    <definedName name="Labour_rate_civil">#REF!</definedName>
    <definedName name="Labour_rate_civil_11" localSheetId="8">#REF!</definedName>
    <definedName name="Labour_rate_civil_11" localSheetId="6">#REF!</definedName>
    <definedName name="Labour_rate_civil_11" localSheetId="4">#REF!</definedName>
    <definedName name="Labour_rate_civil_11" localSheetId="5">#REF!</definedName>
    <definedName name="Labour_rate_civil_11" localSheetId="12">#REF!</definedName>
    <definedName name="Labour_rate_civil_11" localSheetId="14">#REF!</definedName>
    <definedName name="Labour_rate_civil_11" localSheetId="1">#REF!</definedName>
    <definedName name="Labour_rate_civil_11" localSheetId="10">#REF!</definedName>
    <definedName name="Labour_rate_civil_11" localSheetId="18">#REF!</definedName>
    <definedName name="Labour_rate_civil_11" localSheetId="0">#REF!</definedName>
    <definedName name="Labour_rate_civil_11" localSheetId="9">#REF!</definedName>
    <definedName name="Labour_rate_civil_11" localSheetId="13">#REF!</definedName>
    <definedName name="Labour_rate_civil_11" localSheetId="3">#REF!</definedName>
    <definedName name="Labour_rate_civil_11" localSheetId="7">#REF!</definedName>
    <definedName name="Labour_rate_civil_11" localSheetId="11">#REF!</definedName>
    <definedName name="Labour_rate_civil_11" localSheetId="2">#REF!</definedName>
    <definedName name="Labour_rate_civil_11">#REF!</definedName>
    <definedName name="Labour_rate_civil_3" localSheetId="8">#REF!</definedName>
    <definedName name="Labour_rate_civil_3" localSheetId="6">#REF!</definedName>
    <definedName name="Labour_rate_civil_3" localSheetId="4">#REF!</definedName>
    <definedName name="Labour_rate_civil_3" localSheetId="5">#REF!</definedName>
    <definedName name="Labour_rate_civil_3" localSheetId="12">#REF!</definedName>
    <definedName name="Labour_rate_civil_3" localSheetId="14">#REF!</definedName>
    <definedName name="Labour_rate_civil_3" localSheetId="1">#REF!</definedName>
    <definedName name="Labour_rate_civil_3" localSheetId="10">#REF!</definedName>
    <definedName name="Labour_rate_civil_3" localSheetId="18">#REF!</definedName>
    <definedName name="Labour_rate_civil_3" localSheetId="0">#REF!</definedName>
    <definedName name="Labour_rate_civil_3" localSheetId="9">#REF!</definedName>
    <definedName name="Labour_rate_civil_3" localSheetId="13">#REF!</definedName>
    <definedName name="Labour_rate_civil_3" localSheetId="3">#REF!</definedName>
    <definedName name="Labour_rate_civil_3" localSheetId="7">#REF!</definedName>
    <definedName name="Labour_rate_civil_3" localSheetId="11">#REF!</definedName>
    <definedName name="Labour_rate_civil_3" localSheetId="2">#REF!</definedName>
    <definedName name="Labour_rate_civil_3">#REF!</definedName>
    <definedName name="Labour_rate_civil_6" localSheetId="8">#REF!</definedName>
    <definedName name="Labour_rate_civil_6" localSheetId="6">#REF!</definedName>
    <definedName name="Labour_rate_civil_6" localSheetId="4">#REF!</definedName>
    <definedName name="Labour_rate_civil_6" localSheetId="5">#REF!</definedName>
    <definedName name="Labour_rate_civil_6" localSheetId="12">#REF!</definedName>
    <definedName name="Labour_rate_civil_6" localSheetId="14">#REF!</definedName>
    <definedName name="Labour_rate_civil_6" localSheetId="1">#REF!</definedName>
    <definedName name="Labour_rate_civil_6" localSheetId="10">#REF!</definedName>
    <definedName name="Labour_rate_civil_6" localSheetId="18">#REF!</definedName>
    <definedName name="Labour_rate_civil_6" localSheetId="0">#REF!</definedName>
    <definedName name="Labour_rate_civil_6" localSheetId="9">#REF!</definedName>
    <definedName name="Labour_rate_civil_6" localSheetId="13">#REF!</definedName>
    <definedName name="Labour_rate_civil_6" localSheetId="3">#REF!</definedName>
    <definedName name="Labour_rate_civil_6" localSheetId="7">#REF!</definedName>
    <definedName name="Labour_rate_civil_6" localSheetId="11">#REF!</definedName>
    <definedName name="Labour_rate_civil_6" localSheetId="2">#REF!</definedName>
    <definedName name="Labour_rate_civil_6">#REF!</definedName>
    <definedName name="Labour_rate_electrical" localSheetId="8">#REF!</definedName>
    <definedName name="Labour_rate_electrical" localSheetId="6">#REF!</definedName>
    <definedName name="Labour_rate_electrical" localSheetId="4">#REF!</definedName>
    <definedName name="Labour_rate_electrical" localSheetId="5">#REF!</definedName>
    <definedName name="Labour_rate_electrical" localSheetId="12">#REF!</definedName>
    <definedName name="Labour_rate_electrical" localSheetId="14">#REF!</definedName>
    <definedName name="Labour_rate_electrical" localSheetId="1">#REF!</definedName>
    <definedName name="Labour_rate_electrical" localSheetId="10">#REF!</definedName>
    <definedName name="Labour_rate_electrical" localSheetId="18">#REF!</definedName>
    <definedName name="Labour_rate_electrical" localSheetId="0">#REF!</definedName>
    <definedName name="Labour_rate_electrical" localSheetId="9">#REF!</definedName>
    <definedName name="Labour_rate_electrical" localSheetId="13">#REF!</definedName>
    <definedName name="Labour_rate_electrical" localSheetId="3">#REF!</definedName>
    <definedName name="Labour_rate_electrical" localSheetId="7">#REF!</definedName>
    <definedName name="Labour_rate_electrical" localSheetId="11">#REF!</definedName>
    <definedName name="Labour_rate_electrical" localSheetId="2">#REF!</definedName>
    <definedName name="Labour_rate_electrical">#REF!</definedName>
    <definedName name="Labour_rate_electrical_11" localSheetId="8">#REF!</definedName>
    <definedName name="Labour_rate_electrical_11" localSheetId="6">#REF!</definedName>
    <definedName name="Labour_rate_electrical_11" localSheetId="4">#REF!</definedName>
    <definedName name="Labour_rate_electrical_11" localSheetId="5">#REF!</definedName>
    <definedName name="Labour_rate_electrical_11" localSheetId="12">#REF!</definedName>
    <definedName name="Labour_rate_electrical_11" localSheetId="14">#REF!</definedName>
    <definedName name="Labour_rate_electrical_11" localSheetId="1">#REF!</definedName>
    <definedName name="Labour_rate_electrical_11" localSheetId="10">#REF!</definedName>
    <definedName name="Labour_rate_electrical_11" localSheetId="18">#REF!</definedName>
    <definedName name="Labour_rate_electrical_11" localSheetId="0">#REF!</definedName>
    <definedName name="Labour_rate_electrical_11" localSheetId="9">#REF!</definedName>
    <definedName name="Labour_rate_electrical_11" localSheetId="13">#REF!</definedName>
    <definedName name="Labour_rate_electrical_11" localSheetId="3">#REF!</definedName>
    <definedName name="Labour_rate_electrical_11" localSheetId="7">#REF!</definedName>
    <definedName name="Labour_rate_electrical_11" localSheetId="11">#REF!</definedName>
    <definedName name="Labour_rate_electrical_11" localSheetId="2">#REF!</definedName>
    <definedName name="Labour_rate_electrical_11">#REF!</definedName>
    <definedName name="Labour_rate_electrical_3" localSheetId="8">#REF!</definedName>
    <definedName name="Labour_rate_electrical_3" localSheetId="6">#REF!</definedName>
    <definedName name="Labour_rate_electrical_3" localSheetId="4">#REF!</definedName>
    <definedName name="Labour_rate_electrical_3" localSheetId="5">#REF!</definedName>
    <definedName name="Labour_rate_electrical_3" localSheetId="12">#REF!</definedName>
    <definedName name="Labour_rate_electrical_3" localSheetId="14">#REF!</definedName>
    <definedName name="Labour_rate_electrical_3" localSheetId="1">#REF!</definedName>
    <definedName name="Labour_rate_electrical_3" localSheetId="10">#REF!</definedName>
    <definedName name="Labour_rate_electrical_3" localSheetId="18">#REF!</definedName>
    <definedName name="Labour_rate_electrical_3" localSheetId="0">#REF!</definedName>
    <definedName name="Labour_rate_electrical_3" localSheetId="9">#REF!</definedName>
    <definedName name="Labour_rate_electrical_3" localSheetId="13">#REF!</definedName>
    <definedName name="Labour_rate_electrical_3" localSheetId="3">#REF!</definedName>
    <definedName name="Labour_rate_electrical_3" localSheetId="7">#REF!</definedName>
    <definedName name="Labour_rate_electrical_3" localSheetId="11">#REF!</definedName>
    <definedName name="Labour_rate_electrical_3" localSheetId="2">#REF!</definedName>
    <definedName name="Labour_rate_electrical_3">#REF!</definedName>
    <definedName name="Labour_rate_electrical_6" localSheetId="8">#REF!</definedName>
    <definedName name="Labour_rate_electrical_6" localSheetId="6">#REF!</definedName>
    <definedName name="Labour_rate_electrical_6" localSheetId="4">#REF!</definedName>
    <definedName name="Labour_rate_electrical_6" localSheetId="5">#REF!</definedName>
    <definedName name="Labour_rate_electrical_6" localSheetId="12">#REF!</definedName>
    <definedName name="Labour_rate_electrical_6" localSheetId="14">#REF!</definedName>
    <definedName name="Labour_rate_electrical_6" localSheetId="1">#REF!</definedName>
    <definedName name="Labour_rate_electrical_6" localSheetId="10">#REF!</definedName>
    <definedName name="Labour_rate_electrical_6" localSheetId="18">#REF!</definedName>
    <definedName name="Labour_rate_electrical_6" localSheetId="0">#REF!</definedName>
    <definedName name="Labour_rate_electrical_6" localSheetId="9">#REF!</definedName>
    <definedName name="Labour_rate_electrical_6" localSheetId="13">#REF!</definedName>
    <definedName name="Labour_rate_electrical_6" localSheetId="3">#REF!</definedName>
    <definedName name="Labour_rate_electrical_6" localSheetId="7">#REF!</definedName>
    <definedName name="Labour_rate_electrical_6" localSheetId="11">#REF!</definedName>
    <definedName name="Labour_rate_electrical_6" localSheetId="2">#REF!</definedName>
    <definedName name="Labour_rate_electrical_6">#REF!</definedName>
    <definedName name="Labour_rate_road" localSheetId="8">#REF!</definedName>
    <definedName name="Labour_rate_road" localSheetId="6">#REF!</definedName>
    <definedName name="Labour_rate_road" localSheetId="4">#REF!</definedName>
    <definedName name="Labour_rate_road" localSheetId="5">#REF!</definedName>
    <definedName name="Labour_rate_road" localSheetId="12">#REF!</definedName>
    <definedName name="Labour_rate_road" localSheetId="14">#REF!</definedName>
    <definedName name="Labour_rate_road" localSheetId="1">#REF!</definedName>
    <definedName name="Labour_rate_road" localSheetId="10">#REF!</definedName>
    <definedName name="Labour_rate_road" localSheetId="18">#REF!</definedName>
    <definedName name="Labour_rate_road" localSheetId="0">#REF!</definedName>
    <definedName name="Labour_rate_road" localSheetId="9">#REF!</definedName>
    <definedName name="Labour_rate_road" localSheetId="13">#REF!</definedName>
    <definedName name="Labour_rate_road" localSheetId="3">#REF!</definedName>
    <definedName name="Labour_rate_road" localSheetId="7">#REF!</definedName>
    <definedName name="Labour_rate_road" localSheetId="11">#REF!</definedName>
    <definedName name="Labour_rate_road" localSheetId="2">#REF!</definedName>
    <definedName name="Labour_rate_road">#REF!</definedName>
    <definedName name="Labour_rate_road_11" localSheetId="8">#REF!</definedName>
    <definedName name="Labour_rate_road_11" localSheetId="6">#REF!</definedName>
    <definedName name="Labour_rate_road_11" localSheetId="4">#REF!</definedName>
    <definedName name="Labour_rate_road_11" localSheetId="5">#REF!</definedName>
    <definedName name="Labour_rate_road_11" localSheetId="12">#REF!</definedName>
    <definedName name="Labour_rate_road_11" localSheetId="14">#REF!</definedName>
    <definedName name="Labour_rate_road_11" localSheetId="1">#REF!</definedName>
    <definedName name="Labour_rate_road_11" localSheetId="10">#REF!</definedName>
    <definedName name="Labour_rate_road_11" localSheetId="18">#REF!</definedName>
    <definedName name="Labour_rate_road_11" localSheetId="0">#REF!</definedName>
    <definedName name="Labour_rate_road_11" localSheetId="9">#REF!</definedName>
    <definedName name="Labour_rate_road_11" localSheetId="13">#REF!</definedName>
    <definedName name="Labour_rate_road_11" localSheetId="3">#REF!</definedName>
    <definedName name="Labour_rate_road_11" localSheetId="7">#REF!</definedName>
    <definedName name="Labour_rate_road_11" localSheetId="11">#REF!</definedName>
    <definedName name="Labour_rate_road_11" localSheetId="2">#REF!</definedName>
    <definedName name="Labour_rate_road_11">#REF!</definedName>
    <definedName name="Labour_rate_road_3" localSheetId="8">#REF!</definedName>
    <definedName name="Labour_rate_road_3" localSheetId="6">#REF!</definedName>
    <definedName name="Labour_rate_road_3" localSheetId="4">#REF!</definedName>
    <definedName name="Labour_rate_road_3" localSheetId="5">#REF!</definedName>
    <definedName name="Labour_rate_road_3" localSheetId="12">#REF!</definedName>
    <definedName name="Labour_rate_road_3" localSheetId="14">#REF!</definedName>
    <definedName name="Labour_rate_road_3" localSheetId="1">#REF!</definedName>
    <definedName name="Labour_rate_road_3" localSheetId="10">#REF!</definedName>
    <definedName name="Labour_rate_road_3" localSheetId="18">#REF!</definedName>
    <definedName name="Labour_rate_road_3" localSheetId="0">#REF!</definedName>
    <definedName name="Labour_rate_road_3" localSheetId="9">#REF!</definedName>
    <definedName name="Labour_rate_road_3" localSheetId="13">#REF!</definedName>
    <definedName name="Labour_rate_road_3" localSheetId="3">#REF!</definedName>
    <definedName name="Labour_rate_road_3" localSheetId="7">#REF!</definedName>
    <definedName name="Labour_rate_road_3" localSheetId="11">#REF!</definedName>
    <definedName name="Labour_rate_road_3" localSheetId="2">#REF!</definedName>
    <definedName name="Labour_rate_road_3">#REF!</definedName>
    <definedName name="Labour_rate_road_6" localSheetId="8">#REF!</definedName>
    <definedName name="Labour_rate_road_6" localSheetId="6">#REF!</definedName>
    <definedName name="Labour_rate_road_6" localSheetId="4">#REF!</definedName>
    <definedName name="Labour_rate_road_6" localSheetId="5">#REF!</definedName>
    <definedName name="Labour_rate_road_6" localSheetId="12">#REF!</definedName>
    <definedName name="Labour_rate_road_6" localSheetId="14">#REF!</definedName>
    <definedName name="Labour_rate_road_6" localSheetId="1">#REF!</definedName>
    <definedName name="Labour_rate_road_6" localSheetId="10">#REF!</definedName>
    <definedName name="Labour_rate_road_6" localSheetId="18">#REF!</definedName>
    <definedName name="Labour_rate_road_6" localSheetId="0">#REF!</definedName>
    <definedName name="Labour_rate_road_6" localSheetId="9">#REF!</definedName>
    <definedName name="Labour_rate_road_6" localSheetId="13">#REF!</definedName>
    <definedName name="Labour_rate_road_6" localSheetId="3">#REF!</definedName>
    <definedName name="Labour_rate_road_6" localSheetId="7">#REF!</definedName>
    <definedName name="Labour_rate_road_6" localSheetId="11">#REF!</definedName>
    <definedName name="Labour_rate_road_6" localSheetId="2">#REF!</definedName>
    <definedName name="Labour_rate_road_6">#REF!</definedName>
    <definedName name="Labour_road" localSheetId="8">#REF!</definedName>
    <definedName name="Labour_road" localSheetId="6">#REF!</definedName>
    <definedName name="Labour_road" localSheetId="4">#REF!</definedName>
    <definedName name="Labour_road" localSheetId="5">#REF!</definedName>
    <definedName name="Labour_road" localSheetId="12">#REF!</definedName>
    <definedName name="Labour_road" localSheetId="14">#REF!</definedName>
    <definedName name="Labour_road" localSheetId="1">#REF!</definedName>
    <definedName name="Labour_road" localSheetId="10">#REF!</definedName>
    <definedName name="Labour_road" localSheetId="18">#REF!</definedName>
    <definedName name="Labour_road" localSheetId="0">#REF!</definedName>
    <definedName name="Labour_road" localSheetId="9">#REF!</definedName>
    <definedName name="Labour_road" localSheetId="13">#REF!</definedName>
    <definedName name="Labour_road" localSheetId="3">#REF!</definedName>
    <definedName name="Labour_road" localSheetId="7">#REF!</definedName>
    <definedName name="Labour_road" localSheetId="11">#REF!</definedName>
    <definedName name="Labour_road" localSheetId="2">#REF!</definedName>
    <definedName name="Labour_road">#REF!</definedName>
    <definedName name="Labour_road_11" localSheetId="8">#REF!</definedName>
    <definedName name="Labour_road_11" localSheetId="6">#REF!</definedName>
    <definedName name="Labour_road_11" localSheetId="4">#REF!</definedName>
    <definedName name="Labour_road_11" localSheetId="5">#REF!</definedName>
    <definedName name="Labour_road_11" localSheetId="12">#REF!</definedName>
    <definedName name="Labour_road_11" localSheetId="14">#REF!</definedName>
    <definedName name="Labour_road_11" localSheetId="1">#REF!</definedName>
    <definedName name="Labour_road_11" localSheetId="10">#REF!</definedName>
    <definedName name="Labour_road_11" localSheetId="18">#REF!</definedName>
    <definedName name="Labour_road_11" localSheetId="0">#REF!</definedName>
    <definedName name="Labour_road_11" localSheetId="9">#REF!</definedName>
    <definedName name="Labour_road_11" localSheetId="13">#REF!</definedName>
    <definedName name="Labour_road_11" localSheetId="3">#REF!</definedName>
    <definedName name="Labour_road_11" localSheetId="7">#REF!</definedName>
    <definedName name="Labour_road_11" localSheetId="11">#REF!</definedName>
    <definedName name="Labour_road_11" localSheetId="2">#REF!</definedName>
    <definedName name="Labour_road_11">#REF!</definedName>
    <definedName name="Labour_road_3" localSheetId="8">#REF!</definedName>
    <definedName name="Labour_road_3" localSheetId="6">#REF!</definedName>
    <definedName name="Labour_road_3" localSheetId="4">#REF!</definedName>
    <definedName name="Labour_road_3" localSheetId="5">#REF!</definedName>
    <definedName name="Labour_road_3" localSheetId="12">#REF!</definedName>
    <definedName name="Labour_road_3" localSheetId="14">#REF!</definedName>
    <definedName name="Labour_road_3" localSheetId="1">#REF!</definedName>
    <definedName name="Labour_road_3" localSheetId="10">#REF!</definedName>
    <definedName name="Labour_road_3" localSheetId="18">#REF!</definedName>
    <definedName name="Labour_road_3" localSheetId="0">#REF!</definedName>
    <definedName name="Labour_road_3" localSheetId="9">#REF!</definedName>
    <definedName name="Labour_road_3" localSheetId="13">#REF!</definedName>
    <definedName name="Labour_road_3" localSheetId="3">#REF!</definedName>
    <definedName name="Labour_road_3" localSheetId="7">#REF!</definedName>
    <definedName name="Labour_road_3" localSheetId="11">#REF!</definedName>
    <definedName name="Labour_road_3" localSheetId="2">#REF!</definedName>
    <definedName name="Labour_road_3">#REF!</definedName>
    <definedName name="Labour_road_6" localSheetId="8">#REF!</definedName>
    <definedName name="Labour_road_6" localSheetId="6">#REF!</definedName>
    <definedName name="Labour_road_6" localSheetId="4">#REF!</definedName>
    <definedName name="Labour_road_6" localSheetId="5">#REF!</definedName>
    <definedName name="Labour_road_6" localSheetId="12">#REF!</definedName>
    <definedName name="Labour_road_6" localSheetId="14">#REF!</definedName>
    <definedName name="Labour_road_6" localSheetId="1">#REF!</definedName>
    <definedName name="Labour_road_6" localSheetId="10">#REF!</definedName>
    <definedName name="Labour_road_6" localSheetId="18">#REF!</definedName>
    <definedName name="Labour_road_6" localSheetId="0">#REF!</definedName>
    <definedName name="Labour_road_6" localSheetId="9">#REF!</definedName>
    <definedName name="Labour_road_6" localSheetId="13">#REF!</definedName>
    <definedName name="Labour_road_6" localSheetId="3">#REF!</definedName>
    <definedName name="Labour_road_6" localSheetId="7">#REF!</definedName>
    <definedName name="Labour_road_6" localSheetId="11">#REF!</definedName>
    <definedName name="Labour_road_6" localSheetId="2">#REF!</definedName>
    <definedName name="Labour_road_6">#REF!</definedName>
    <definedName name="Lac_Polish" localSheetId="8">#REF!</definedName>
    <definedName name="Lac_Polish" localSheetId="6">#REF!</definedName>
    <definedName name="Lac_Polish" localSheetId="4">#REF!</definedName>
    <definedName name="Lac_Polish" localSheetId="5">#REF!</definedName>
    <definedName name="Lac_Polish" localSheetId="12">#REF!</definedName>
    <definedName name="Lac_Polish" localSheetId="14">#REF!</definedName>
    <definedName name="Lac_Polish" localSheetId="1">#REF!</definedName>
    <definedName name="Lac_Polish" localSheetId="10">#REF!</definedName>
    <definedName name="Lac_Polish" localSheetId="18">#REF!</definedName>
    <definedName name="Lac_Polish" localSheetId="0">#REF!</definedName>
    <definedName name="Lac_Polish" localSheetId="9">#REF!</definedName>
    <definedName name="Lac_Polish" localSheetId="13">#REF!</definedName>
    <definedName name="Lac_Polish" localSheetId="3">#REF!</definedName>
    <definedName name="Lac_Polish" localSheetId="7">#REF!</definedName>
    <definedName name="Lac_Polish" localSheetId="11">#REF!</definedName>
    <definedName name="Lac_Polish" localSheetId="2">#REF!</definedName>
    <definedName name="Lac_Polish">#REF!</definedName>
    <definedName name="Last_Row" localSheetId="12">IF('Design of septic tank'!Values_Entered,Header_Row+'Design of septic tank'!Number_of_Payments,Header_Row)</definedName>
    <definedName name="Last_Row" localSheetId="14">IF('det -detail'!Values_Entered,Header_Row+'det -detail'!Number_of_Payments,Header_Row)</definedName>
    <definedName name="Last_Row" localSheetId="10">IF(electrical!Values_Entered,electrical!Header_Row+electrical!Number_of_Payments,electrical!Header_Row)</definedName>
    <definedName name="Last_Row" localSheetId="18">IF('Main Building Details'!Values_Entered,Header_Row+'Main Building Details'!Number_of_Payments,Header_Row)</definedName>
    <definedName name="Last_Row" localSheetId="13">IF('Septic tank'!Values_Entered,Header_Row+'Septic tank'!Number_of_Payments,Header_Row)</definedName>
    <definedName name="Last_Row" localSheetId="11">IF('Sullage Drain'!Values_Entered,Header_Row+'Sullage Drain'!Number_of_Payments,Header_Row)</definedName>
    <definedName name="Last_Row">IF([0]!Values_Entered,Header_Row+[0]!Number_of_Payments,Header_Row)</definedName>
    <definedName name="lead" localSheetId="8">#REF!</definedName>
    <definedName name="lead" localSheetId="6">#REF!</definedName>
    <definedName name="lead" localSheetId="4">#REF!</definedName>
    <definedName name="lead" localSheetId="5">#REF!</definedName>
    <definedName name="lead" localSheetId="12">#REF!</definedName>
    <definedName name="lead" localSheetId="14">#REF!</definedName>
    <definedName name="lead" localSheetId="1">#REF!</definedName>
    <definedName name="lead" localSheetId="10">#REF!</definedName>
    <definedName name="lead" localSheetId="18">#REF!</definedName>
    <definedName name="lead" localSheetId="0">#REF!</definedName>
    <definedName name="lead" localSheetId="9">#REF!</definedName>
    <definedName name="lead" localSheetId="13">#REF!</definedName>
    <definedName name="lead" localSheetId="3">#REF!</definedName>
    <definedName name="lead" localSheetId="7">#REF!</definedName>
    <definedName name="lead" localSheetId="11">#REF!</definedName>
    <definedName name="lead" localSheetId="2">#REF!</definedName>
    <definedName name="lead">#REF!</definedName>
    <definedName name="Lead_statement" localSheetId="8">#REF!</definedName>
    <definedName name="Lead_statement" localSheetId="6">#REF!</definedName>
    <definedName name="Lead_statement" localSheetId="4">#REF!</definedName>
    <definedName name="Lead_statement" localSheetId="5">#REF!</definedName>
    <definedName name="Lead_statement" localSheetId="12">#REF!</definedName>
    <definedName name="Lead_statement" localSheetId="14">#REF!</definedName>
    <definedName name="Lead_statement" localSheetId="1">#REF!</definedName>
    <definedName name="Lead_statement" localSheetId="10">#REF!</definedName>
    <definedName name="Lead_statement" localSheetId="18">#REF!</definedName>
    <definedName name="Lead_statement" localSheetId="0">#REF!</definedName>
    <definedName name="Lead_statement" localSheetId="9">#REF!</definedName>
    <definedName name="Lead_statement" localSheetId="13">#REF!</definedName>
    <definedName name="Lead_statement" localSheetId="3">#REF!</definedName>
    <definedName name="Lead_statement" localSheetId="7">#REF!</definedName>
    <definedName name="Lead_statement" localSheetId="11">#REF!</definedName>
    <definedName name="Lead_statement" localSheetId="2">#REF!</definedName>
    <definedName name="Lead_statement">#REF!</definedName>
    <definedName name="Lead_statement_11" localSheetId="8">#REF!</definedName>
    <definedName name="Lead_statement_11" localSheetId="6">#REF!</definedName>
    <definedName name="Lead_statement_11" localSheetId="4">#REF!</definedName>
    <definedName name="Lead_statement_11" localSheetId="5">#REF!</definedName>
    <definedName name="Lead_statement_11" localSheetId="12">#REF!</definedName>
    <definedName name="Lead_statement_11" localSheetId="14">#REF!</definedName>
    <definedName name="Lead_statement_11" localSheetId="1">#REF!</definedName>
    <definedName name="Lead_statement_11" localSheetId="10">#REF!</definedName>
    <definedName name="Lead_statement_11" localSheetId="18">#REF!</definedName>
    <definedName name="Lead_statement_11" localSheetId="0">#REF!</definedName>
    <definedName name="Lead_statement_11" localSheetId="9">#REF!</definedName>
    <definedName name="Lead_statement_11" localSheetId="13">#REF!</definedName>
    <definedName name="Lead_statement_11" localSheetId="3">#REF!</definedName>
    <definedName name="Lead_statement_11" localSheetId="7">#REF!</definedName>
    <definedName name="Lead_statement_11" localSheetId="11">#REF!</definedName>
    <definedName name="Lead_statement_11" localSheetId="2">#REF!</definedName>
    <definedName name="Lead_statement_11">#REF!</definedName>
    <definedName name="Lead_statement_3" localSheetId="8">#REF!</definedName>
    <definedName name="Lead_statement_3" localSheetId="6">#REF!</definedName>
    <definedName name="Lead_statement_3" localSheetId="4">#REF!</definedName>
    <definedName name="Lead_statement_3" localSheetId="5">#REF!</definedName>
    <definedName name="Lead_statement_3" localSheetId="12">#REF!</definedName>
    <definedName name="Lead_statement_3" localSheetId="14">#REF!</definedName>
    <definedName name="Lead_statement_3" localSheetId="1">#REF!</definedName>
    <definedName name="Lead_statement_3" localSheetId="10">#REF!</definedName>
    <definedName name="Lead_statement_3" localSheetId="18">#REF!</definedName>
    <definedName name="Lead_statement_3" localSheetId="0">#REF!</definedName>
    <definedName name="Lead_statement_3" localSheetId="9">#REF!</definedName>
    <definedName name="Lead_statement_3" localSheetId="13">#REF!</definedName>
    <definedName name="Lead_statement_3" localSheetId="3">#REF!</definedName>
    <definedName name="Lead_statement_3" localSheetId="7">#REF!</definedName>
    <definedName name="Lead_statement_3" localSheetId="11">#REF!</definedName>
    <definedName name="Lead_statement_3" localSheetId="2">#REF!</definedName>
    <definedName name="Lead_statement_3">#REF!</definedName>
    <definedName name="Lead_statement_6" localSheetId="8">#REF!</definedName>
    <definedName name="Lead_statement_6" localSheetId="6">#REF!</definedName>
    <definedName name="Lead_statement_6" localSheetId="4">#REF!</definedName>
    <definedName name="Lead_statement_6" localSheetId="5">#REF!</definedName>
    <definedName name="Lead_statement_6" localSheetId="12">#REF!</definedName>
    <definedName name="Lead_statement_6" localSheetId="14">#REF!</definedName>
    <definedName name="Lead_statement_6" localSheetId="1">#REF!</definedName>
    <definedName name="Lead_statement_6" localSheetId="10">#REF!</definedName>
    <definedName name="Lead_statement_6" localSheetId="18">#REF!</definedName>
    <definedName name="Lead_statement_6" localSheetId="0">#REF!</definedName>
    <definedName name="Lead_statement_6" localSheetId="9">#REF!</definedName>
    <definedName name="Lead_statement_6" localSheetId="13">#REF!</definedName>
    <definedName name="Lead_statement_6" localSheetId="3">#REF!</definedName>
    <definedName name="Lead_statement_6" localSheetId="7">#REF!</definedName>
    <definedName name="Lead_statement_6" localSheetId="11">#REF!</definedName>
    <definedName name="Lead_statement_6" localSheetId="2">#REF!</definedName>
    <definedName name="Lead_statement_6">#REF!</definedName>
    <definedName name="Loan_Amount" localSheetId="10">#REF!</definedName>
    <definedName name="Loan_Amount">#REF!</definedName>
    <definedName name="Loan_Start" localSheetId="10">#REF!</definedName>
    <definedName name="Loan_Start">#REF!</definedName>
    <definedName name="Loan_Years" localSheetId="10">#REF!</definedName>
    <definedName name="Loan_Years">#REF!</definedName>
    <definedName name="M.S.Grill" localSheetId="8">#REF!</definedName>
    <definedName name="M.S.Grill" localSheetId="6">#REF!</definedName>
    <definedName name="M.S.Grill" localSheetId="4">#REF!</definedName>
    <definedName name="M.S.Grill" localSheetId="5">#REF!</definedName>
    <definedName name="M.S.Grill" localSheetId="12">#REF!</definedName>
    <definedName name="M.S.Grill" localSheetId="14">#REF!</definedName>
    <definedName name="M.S.Grill" localSheetId="1">#REF!</definedName>
    <definedName name="M.S.Grill" localSheetId="10">#REF!</definedName>
    <definedName name="M.S.Grill" localSheetId="18">#REF!</definedName>
    <definedName name="M.S.Grill" localSheetId="0">#REF!</definedName>
    <definedName name="M.S.Grill" localSheetId="9">#REF!</definedName>
    <definedName name="M.S.Grill" localSheetId="13">#REF!</definedName>
    <definedName name="M.S.Grill" localSheetId="3">#REF!</definedName>
    <definedName name="M.S.Grill" localSheetId="7">#REF!</definedName>
    <definedName name="M.S.Grill" localSheetId="11">#REF!</definedName>
    <definedName name="M.S.Grill" localSheetId="2">#REF!</definedName>
    <definedName name="M.S.Grill">#REF!</definedName>
    <definedName name="Material_Board" localSheetId="8">#REF!</definedName>
    <definedName name="Material_Board" localSheetId="6">#REF!</definedName>
    <definedName name="Material_Board" localSheetId="4">#REF!</definedName>
    <definedName name="Material_Board" localSheetId="5">#REF!</definedName>
    <definedName name="Material_Board" localSheetId="12">#REF!</definedName>
    <definedName name="Material_Board" localSheetId="14">#REF!</definedName>
    <definedName name="Material_Board" localSheetId="1">#REF!</definedName>
    <definedName name="Material_Board" localSheetId="10">#REF!</definedName>
    <definedName name="Material_Board" localSheetId="18">#REF!</definedName>
    <definedName name="Material_Board" localSheetId="0">#REF!</definedName>
    <definedName name="Material_Board" localSheetId="9">#REF!</definedName>
    <definedName name="Material_Board" localSheetId="13">#REF!</definedName>
    <definedName name="Material_Board" localSheetId="3">#REF!</definedName>
    <definedName name="Material_Board" localSheetId="7">#REF!</definedName>
    <definedName name="Material_Board" localSheetId="11">#REF!</definedName>
    <definedName name="Material_Board" localSheetId="2">#REF!</definedName>
    <definedName name="Material_Board">#REF!</definedName>
    <definedName name="Material_Board_11" localSheetId="8">#REF!</definedName>
    <definedName name="Material_Board_11" localSheetId="6">#REF!</definedName>
    <definedName name="Material_Board_11" localSheetId="4">#REF!</definedName>
    <definedName name="Material_Board_11" localSheetId="5">#REF!</definedName>
    <definedName name="Material_Board_11" localSheetId="12">#REF!</definedName>
    <definedName name="Material_Board_11" localSheetId="14">#REF!</definedName>
    <definedName name="Material_Board_11" localSheetId="1">#REF!</definedName>
    <definedName name="Material_Board_11" localSheetId="10">#REF!</definedName>
    <definedName name="Material_Board_11" localSheetId="18">#REF!</definedName>
    <definedName name="Material_Board_11" localSheetId="0">#REF!</definedName>
    <definedName name="Material_Board_11" localSheetId="9">#REF!</definedName>
    <definedName name="Material_Board_11" localSheetId="13">#REF!</definedName>
    <definedName name="Material_Board_11" localSheetId="3">#REF!</definedName>
    <definedName name="Material_Board_11" localSheetId="7">#REF!</definedName>
    <definedName name="Material_Board_11" localSheetId="11">#REF!</definedName>
    <definedName name="Material_Board_11" localSheetId="2">#REF!</definedName>
    <definedName name="Material_Board_11">#REF!</definedName>
    <definedName name="Material_Board_3" localSheetId="8">#REF!</definedName>
    <definedName name="Material_Board_3" localSheetId="6">#REF!</definedName>
    <definedName name="Material_Board_3" localSheetId="4">#REF!</definedName>
    <definedName name="Material_Board_3" localSheetId="5">#REF!</definedName>
    <definedName name="Material_Board_3" localSheetId="12">#REF!</definedName>
    <definedName name="Material_Board_3" localSheetId="14">#REF!</definedName>
    <definedName name="Material_Board_3" localSheetId="1">#REF!</definedName>
    <definedName name="Material_Board_3" localSheetId="10">#REF!</definedName>
    <definedName name="Material_Board_3" localSheetId="18">#REF!</definedName>
    <definedName name="Material_Board_3" localSheetId="0">#REF!</definedName>
    <definedName name="Material_Board_3" localSheetId="9">#REF!</definedName>
    <definedName name="Material_Board_3" localSheetId="13">#REF!</definedName>
    <definedName name="Material_Board_3" localSheetId="3">#REF!</definedName>
    <definedName name="Material_Board_3" localSheetId="7">#REF!</definedName>
    <definedName name="Material_Board_3" localSheetId="11">#REF!</definedName>
    <definedName name="Material_Board_3" localSheetId="2">#REF!</definedName>
    <definedName name="Material_Board_3">#REF!</definedName>
    <definedName name="Material_Board_6" localSheetId="8">#REF!</definedName>
    <definedName name="Material_Board_6" localSheetId="6">#REF!</definedName>
    <definedName name="Material_Board_6" localSheetId="4">#REF!</definedName>
    <definedName name="Material_Board_6" localSheetId="5">#REF!</definedName>
    <definedName name="Material_Board_6" localSheetId="12">#REF!</definedName>
    <definedName name="Material_Board_6" localSheetId="14">#REF!</definedName>
    <definedName name="Material_Board_6" localSheetId="1">#REF!</definedName>
    <definedName name="Material_Board_6" localSheetId="10">#REF!</definedName>
    <definedName name="Material_Board_6" localSheetId="18">#REF!</definedName>
    <definedName name="Material_Board_6" localSheetId="0">#REF!</definedName>
    <definedName name="Material_Board_6" localSheetId="9">#REF!</definedName>
    <definedName name="Material_Board_6" localSheetId="13">#REF!</definedName>
    <definedName name="Material_Board_6" localSheetId="3">#REF!</definedName>
    <definedName name="Material_Board_6" localSheetId="7">#REF!</definedName>
    <definedName name="Material_Board_6" localSheetId="11">#REF!</definedName>
    <definedName name="Material_Board_6" localSheetId="2">#REF!</definedName>
    <definedName name="Material_Board_6">#REF!</definedName>
    <definedName name="Material_PWD" localSheetId="8">#REF!</definedName>
    <definedName name="Material_PWD" localSheetId="6">#REF!</definedName>
    <definedName name="Material_PWD" localSheetId="4">#REF!</definedName>
    <definedName name="Material_PWD" localSheetId="5">#REF!</definedName>
    <definedName name="Material_PWD" localSheetId="12">#REF!</definedName>
    <definedName name="Material_PWD" localSheetId="14">#REF!</definedName>
    <definedName name="Material_PWD" localSheetId="1">#REF!</definedName>
    <definedName name="Material_PWD" localSheetId="10">#REF!</definedName>
    <definedName name="Material_PWD" localSheetId="18">#REF!</definedName>
    <definedName name="Material_PWD" localSheetId="0">#REF!</definedName>
    <definedName name="Material_PWD" localSheetId="9">#REF!</definedName>
    <definedName name="Material_PWD" localSheetId="13">#REF!</definedName>
    <definedName name="Material_PWD" localSheetId="3">#REF!</definedName>
    <definedName name="Material_PWD" localSheetId="7">#REF!</definedName>
    <definedName name="Material_PWD" localSheetId="11">#REF!</definedName>
    <definedName name="Material_PWD" localSheetId="2">#REF!</definedName>
    <definedName name="Material_PWD">#REF!</definedName>
    <definedName name="Material_PWD_11" localSheetId="8">#REF!</definedName>
    <definedName name="Material_PWD_11" localSheetId="6">#REF!</definedName>
    <definedName name="Material_PWD_11" localSheetId="4">#REF!</definedName>
    <definedName name="Material_PWD_11" localSheetId="5">#REF!</definedName>
    <definedName name="Material_PWD_11" localSheetId="12">#REF!</definedName>
    <definedName name="Material_PWD_11" localSheetId="14">#REF!</definedName>
    <definedName name="Material_PWD_11" localSheetId="1">#REF!</definedName>
    <definedName name="Material_PWD_11" localSheetId="10">#REF!</definedName>
    <definedName name="Material_PWD_11" localSheetId="18">#REF!</definedName>
    <definedName name="Material_PWD_11" localSheetId="0">#REF!</definedName>
    <definedName name="Material_PWD_11" localSheetId="9">#REF!</definedName>
    <definedName name="Material_PWD_11" localSheetId="13">#REF!</definedName>
    <definedName name="Material_PWD_11" localSheetId="3">#REF!</definedName>
    <definedName name="Material_PWD_11" localSheetId="7">#REF!</definedName>
    <definedName name="Material_PWD_11" localSheetId="11">#REF!</definedName>
    <definedName name="Material_PWD_11" localSheetId="2">#REF!</definedName>
    <definedName name="Material_PWD_11">#REF!</definedName>
    <definedName name="Material_PWD_3" localSheetId="8">#REF!</definedName>
    <definedName name="Material_PWD_3" localSheetId="6">#REF!</definedName>
    <definedName name="Material_PWD_3" localSheetId="4">#REF!</definedName>
    <definedName name="Material_PWD_3" localSheetId="5">#REF!</definedName>
    <definedName name="Material_PWD_3" localSheetId="12">#REF!</definedName>
    <definedName name="Material_PWD_3" localSheetId="14">#REF!</definedName>
    <definedName name="Material_PWD_3" localSheetId="1">#REF!</definedName>
    <definedName name="Material_PWD_3" localSheetId="10">#REF!</definedName>
    <definedName name="Material_PWD_3" localSheetId="18">#REF!</definedName>
    <definedName name="Material_PWD_3" localSheetId="0">#REF!</definedName>
    <definedName name="Material_PWD_3" localSheetId="9">#REF!</definedName>
    <definedName name="Material_PWD_3" localSheetId="13">#REF!</definedName>
    <definedName name="Material_PWD_3" localSheetId="3">#REF!</definedName>
    <definedName name="Material_PWD_3" localSheetId="7">#REF!</definedName>
    <definedName name="Material_PWD_3" localSheetId="11">#REF!</definedName>
    <definedName name="Material_PWD_3" localSheetId="2">#REF!</definedName>
    <definedName name="Material_PWD_3">#REF!</definedName>
    <definedName name="Material_PWD_6" localSheetId="8">#REF!</definedName>
    <definedName name="Material_PWD_6" localSheetId="6">#REF!</definedName>
    <definedName name="Material_PWD_6" localSheetId="4">#REF!</definedName>
    <definedName name="Material_PWD_6" localSheetId="5">#REF!</definedName>
    <definedName name="Material_PWD_6" localSheetId="12">#REF!</definedName>
    <definedName name="Material_PWD_6" localSheetId="14">#REF!</definedName>
    <definedName name="Material_PWD_6" localSheetId="1">#REF!</definedName>
    <definedName name="Material_PWD_6" localSheetId="10">#REF!</definedName>
    <definedName name="Material_PWD_6" localSheetId="18">#REF!</definedName>
    <definedName name="Material_PWD_6" localSheetId="0">#REF!</definedName>
    <definedName name="Material_PWD_6" localSheetId="9">#REF!</definedName>
    <definedName name="Material_PWD_6" localSheetId="13">#REF!</definedName>
    <definedName name="Material_PWD_6" localSheetId="3">#REF!</definedName>
    <definedName name="Material_PWD_6" localSheetId="7">#REF!</definedName>
    <definedName name="Material_PWD_6" localSheetId="11">#REF!</definedName>
    <definedName name="Material_PWD_6" localSheetId="2">#REF!</definedName>
    <definedName name="Material_PWD_6">#REF!</definedName>
    <definedName name="Material_Rate" localSheetId="8">#REF!</definedName>
    <definedName name="Material_Rate" localSheetId="6">#REF!</definedName>
    <definedName name="Material_Rate" localSheetId="4">#REF!</definedName>
    <definedName name="Material_Rate" localSheetId="5">#REF!</definedName>
    <definedName name="Material_Rate" localSheetId="12">#REF!</definedName>
    <definedName name="Material_Rate" localSheetId="14">#REF!</definedName>
    <definedName name="Material_Rate" localSheetId="1">#REF!</definedName>
    <definedName name="Material_Rate" localSheetId="10">#REF!</definedName>
    <definedName name="Material_Rate" localSheetId="18">#REF!</definedName>
    <definedName name="Material_Rate" localSheetId="0">#REF!</definedName>
    <definedName name="Material_Rate" localSheetId="9">#REF!</definedName>
    <definedName name="Material_Rate" localSheetId="13">#REF!</definedName>
    <definedName name="Material_Rate" localSheetId="3">#REF!</definedName>
    <definedName name="Material_Rate" localSheetId="7">#REF!</definedName>
    <definedName name="Material_Rate" localSheetId="11">#REF!</definedName>
    <definedName name="Material_Rate" localSheetId="2">#REF!</definedName>
    <definedName name="Material_Rate">#REF!</definedName>
    <definedName name="Material_road" localSheetId="8">#REF!</definedName>
    <definedName name="Material_road" localSheetId="6">#REF!</definedName>
    <definedName name="Material_road" localSheetId="4">#REF!</definedName>
    <definedName name="Material_road" localSheetId="5">#REF!</definedName>
    <definedName name="Material_road" localSheetId="12">#REF!</definedName>
    <definedName name="Material_road" localSheetId="14">#REF!</definedName>
    <definedName name="Material_road" localSheetId="1">#REF!</definedName>
    <definedName name="Material_road" localSheetId="10">#REF!</definedName>
    <definedName name="Material_road" localSheetId="18">#REF!</definedName>
    <definedName name="Material_road" localSheetId="0">#REF!</definedName>
    <definedName name="Material_road" localSheetId="9">#REF!</definedName>
    <definedName name="Material_road" localSheetId="13">#REF!</definedName>
    <definedName name="Material_road" localSheetId="3">#REF!</definedName>
    <definedName name="Material_road" localSheetId="7">#REF!</definedName>
    <definedName name="Material_road" localSheetId="11">#REF!</definedName>
    <definedName name="Material_road" localSheetId="2">#REF!</definedName>
    <definedName name="Material_road">#REF!</definedName>
    <definedName name="Material_road_11" localSheetId="8">#REF!</definedName>
    <definedName name="Material_road_11" localSheetId="6">#REF!</definedName>
    <definedName name="Material_road_11" localSheetId="4">#REF!</definedName>
    <definedName name="Material_road_11" localSheetId="5">#REF!</definedName>
    <definedName name="Material_road_11" localSheetId="12">#REF!</definedName>
    <definedName name="Material_road_11" localSheetId="14">#REF!</definedName>
    <definedName name="Material_road_11" localSheetId="1">#REF!</definedName>
    <definedName name="Material_road_11" localSheetId="10">#REF!</definedName>
    <definedName name="Material_road_11" localSheetId="18">#REF!</definedName>
    <definedName name="Material_road_11" localSheetId="0">#REF!</definedName>
    <definedName name="Material_road_11" localSheetId="9">#REF!</definedName>
    <definedName name="Material_road_11" localSheetId="13">#REF!</definedName>
    <definedName name="Material_road_11" localSheetId="3">#REF!</definedName>
    <definedName name="Material_road_11" localSheetId="7">#REF!</definedName>
    <definedName name="Material_road_11" localSheetId="11">#REF!</definedName>
    <definedName name="Material_road_11" localSheetId="2">#REF!</definedName>
    <definedName name="Material_road_11">#REF!</definedName>
    <definedName name="Material_road_3" localSheetId="8">#REF!</definedName>
    <definedName name="Material_road_3" localSheetId="6">#REF!</definedName>
    <definedName name="Material_road_3" localSheetId="4">#REF!</definedName>
    <definedName name="Material_road_3" localSheetId="5">#REF!</definedName>
    <definedName name="Material_road_3" localSheetId="12">#REF!</definedName>
    <definedName name="Material_road_3" localSheetId="14">#REF!</definedName>
    <definedName name="Material_road_3" localSheetId="1">#REF!</definedName>
    <definedName name="Material_road_3" localSheetId="10">#REF!</definedName>
    <definedName name="Material_road_3" localSheetId="18">#REF!</definedName>
    <definedName name="Material_road_3" localSheetId="0">#REF!</definedName>
    <definedName name="Material_road_3" localSheetId="9">#REF!</definedName>
    <definedName name="Material_road_3" localSheetId="13">#REF!</definedName>
    <definedName name="Material_road_3" localSheetId="3">#REF!</definedName>
    <definedName name="Material_road_3" localSheetId="7">#REF!</definedName>
    <definedName name="Material_road_3" localSheetId="11">#REF!</definedName>
    <definedName name="Material_road_3" localSheetId="2">#REF!</definedName>
    <definedName name="Material_road_3">#REF!</definedName>
    <definedName name="Material_road_6" localSheetId="8">#REF!</definedName>
    <definedName name="Material_road_6" localSheetId="6">#REF!</definedName>
    <definedName name="Material_road_6" localSheetId="4">#REF!</definedName>
    <definedName name="Material_road_6" localSheetId="5">#REF!</definedName>
    <definedName name="Material_road_6" localSheetId="12">#REF!</definedName>
    <definedName name="Material_road_6" localSheetId="14">#REF!</definedName>
    <definedName name="Material_road_6" localSheetId="1">#REF!</definedName>
    <definedName name="Material_road_6" localSheetId="10">#REF!</definedName>
    <definedName name="Material_road_6" localSheetId="18">#REF!</definedName>
    <definedName name="Material_road_6" localSheetId="0">#REF!</definedName>
    <definedName name="Material_road_6" localSheetId="9">#REF!</definedName>
    <definedName name="Material_road_6" localSheetId="13">#REF!</definedName>
    <definedName name="Material_road_6" localSheetId="3">#REF!</definedName>
    <definedName name="Material_road_6" localSheetId="7">#REF!</definedName>
    <definedName name="Material_road_6" localSheetId="11">#REF!</definedName>
    <definedName name="Material_road_6" localSheetId="2">#REF!</definedName>
    <definedName name="Material_road_6">#REF!</definedName>
    <definedName name="MOSIC_INSITU" localSheetId="8">#REF!</definedName>
    <definedName name="MOSIC_INSITU" localSheetId="6">#REF!</definedName>
    <definedName name="MOSIC_INSITU" localSheetId="4">#REF!</definedName>
    <definedName name="MOSIC_INSITU" localSheetId="5">#REF!</definedName>
    <definedName name="MOSIC_INSITU" localSheetId="12">#REF!</definedName>
    <definedName name="MOSIC_INSITU" localSheetId="14">#REF!</definedName>
    <definedName name="MOSIC_INSITU" localSheetId="1">#REF!</definedName>
    <definedName name="MOSIC_INSITU" localSheetId="10">#REF!</definedName>
    <definedName name="MOSIC_INSITU" localSheetId="18">#REF!</definedName>
    <definedName name="MOSIC_INSITU" localSheetId="0">#REF!</definedName>
    <definedName name="MOSIC_INSITU" localSheetId="9">#REF!</definedName>
    <definedName name="MOSIC_INSITU" localSheetId="13">#REF!</definedName>
    <definedName name="MOSIC_INSITU" localSheetId="3">#REF!</definedName>
    <definedName name="MOSIC_INSITU" localSheetId="7">#REF!</definedName>
    <definedName name="MOSIC_INSITU" localSheetId="11">#REF!</definedName>
    <definedName name="MOSIC_INSITU" localSheetId="2">#REF!</definedName>
    <definedName name="MOSIC_INSITU">#REF!</definedName>
    <definedName name="MOSIC_TILES" localSheetId="8">#REF!</definedName>
    <definedName name="MOSIC_TILES" localSheetId="6">#REF!</definedName>
    <definedName name="MOSIC_TILES" localSheetId="4">#REF!</definedName>
    <definedName name="MOSIC_TILES" localSheetId="5">#REF!</definedName>
    <definedName name="MOSIC_TILES" localSheetId="12">#REF!</definedName>
    <definedName name="MOSIC_TILES" localSheetId="14">#REF!</definedName>
    <definedName name="MOSIC_TILES" localSheetId="1">#REF!</definedName>
    <definedName name="MOSIC_TILES" localSheetId="10">#REF!</definedName>
    <definedName name="MOSIC_TILES" localSheetId="18">#REF!</definedName>
    <definedName name="MOSIC_TILES" localSheetId="0">#REF!</definedName>
    <definedName name="MOSIC_TILES" localSheetId="9">#REF!</definedName>
    <definedName name="MOSIC_TILES" localSheetId="13">#REF!</definedName>
    <definedName name="MOSIC_TILES" localSheetId="3">#REF!</definedName>
    <definedName name="MOSIC_TILES" localSheetId="7">#REF!</definedName>
    <definedName name="MOSIC_TILES" localSheetId="11">#REF!</definedName>
    <definedName name="MOSIC_TILES" localSheetId="2">#REF!</definedName>
    <definedName name="MOSIC_TILES">#REF!</definedName>
    <definedName name="N" localSheetId="8">#REF!</definedName>
    <definedName name="N" localSheetId="6">#REF!</definedName>
    <definedName name="N" localSheetId="4">#REF!</definedName>
    <definedName name="N" localSheetId="5">#REF!</definedName>
    <definedName name="N" localSheetId="12">#REF!</definedName>
    <definedName name="N" localSheetId="14">#REF!</definedName>
    <definedName name="N" localSheetId="1">#REF!</definedName>
    <definedName name="N" localSheetId="10">#REF!</definedName>
    <definedName name="N" localSheetId="18">#REF!</definedName>
    <definedName name="N" localSheetId="0">#REF!</definedName>
    <definedName name="N" localSheetId="9">#REF!</definedName>
    <definedName name="N" localSheetId="13">#REF!</definedName>
    <definedName name="N" localSheetId="3">#REF!</definedName>
    <definedName name="N" localSheetId="7">#REF!</definedName>
    <definedName name="N" localSheetId="11">#REF!</definedName>
    <definedName name="N" localSheetId="2">#REF!</definedName>
    <definedName name="N">#REF!</definedName>
    <definedName name="Name_Road" localSheetId="8">#REF!,#REF!,#REF!,#REF!,#REF!</definedName>
    <definedName name="Name_Road" localSheetId="6">#REF!,#REF!,#REF!,#REF!,#REF!</definedName>
    <definedName name="Name_Road" localSheetId="4">#REF!,#REF!,#REF!,#REF!,#REF!</definedName>
    <definedName name="Name_Road" localSheetId="5">#REF!,#REF!,#REF!,#REF!,#REF!</definedName>
    <definedName name="Name_Road" localSheetId="12">#REF!,#REF!,#REF!,#REF!,#REF!</definedName>
    <definedName name="Name_Road" localSheetId="14">#REF!,#REF!,#REF!,#REF!,#REF!</definedName>
    <definedName name="Name_Road" localSheetId="1">#REF!,#REF!,#REF!,#REF!,#REF!</definedName>
    <definedName name="Name_Road" localSheetId="10">#REF!,#REF!,#REF!,#REF!,#REF!</definedName>
    <definedName name="Name_Road" localSheetId="18">#REF!,#REF!,#REF!,#REF!,#REF!</definedName>
    <definedName name="Name_Road" localSheetId="0">#REF!,#REF!,#REF!,#REF!,#REF!</definedName>
    <definedName name="Name_Road" localSheetId="9">#REF!,#REF!,#REF!,#REF!,#REF!</definedName>
    <definedName name="Name_Road" localSheetId="13">#REF!,#REF!,#REF!,#REF!,#REF!</definedName>
    <definedName name="Name_Road" localSheetId="3">#REF!,#REF!,#REF!,#REF!,#REF!</definedName>
    <definedName name="Name_Road" localSheetId="7">#REF!,#REF!,#REF!,#REF!,#REF!</definedName>
    <definedName name="Name_Road" localSheetId="11">#REF!,#REF!,#REF!,#REF!,#REF!</definedName>
    <definedName name="Name_Road" localSheetId="2">#REF!,#REF!,#REF!,#REF!,#REF!</definedName>
    <definedName name="Name_Road">#REF!,#REF!,#REF!,#REF!,#REF!</definedName>
    <definedName name="Num_Pmt_Per_Year" localSheetId="10">#REF!</definedName>
    <definedName name="Num_Pmt_Per_Year">#REF!</definedName>
    <definedName name="Number_of_Payments" localSheetId="12">MATCH(0.01,End_Bal,-1)+1</definedName>
    <definedName name="Number_of_Payments" localSheetId="14">MATCH(0.01,End_Bal,-1)+1</definedName>
    <definedName name="Number_of_Payments" localSheetId="10">MATCH(0.01,electrical!End_Bal,-1)+1</definedName>
    <definedName name="Number_of_Payments" localSheetId="18">MATCH(0.01,End_Bal,-1)+1</definedName>
    <definedName name="Number_of_Payments" localSheetId="13">MATCH(0.01,End_Bal,-1)+1</definedName>
    <definedName name="Number_of_Payments" localSheetId="11">MATCH(0.01,End_Bal,-1)+1</definedName>
    <definedName name="Number_of_Payments">MATCH(0.01,End_Bal,-1)+1</definedName>
    <definedName name="P" localSheetId="8">#REF!</definedName>
    <definedName name="P" localSheetId="6">#REF!</definedName>
    <definedName name="P" localSheetId="4">#REF!</definedName>
    <definedName name="P" localSheetId="5">#REF!</definedName>
    <definedName name="P" localSheetId="12">#REF!</definedName>
    <definedName name="P" localSheetId="14">#REF!</definedName>
    <definedName name="P" localSheetId="1">#REF!</definedName>
    <definedName name="P" localSheetId="10">#REF!</definedName>
    <definedName name="P" localSheetId="18">#REF!</definedName>
    <definedName name="P" localSheetId="0">#REF!</definedName>
    <definedName name="P" localSheetId="9">#REF!</definedName>
    <definedName name="P" localSheetId="13">#REF!</definedName>
    <definedName name="P" localSheetId="3">#REF!</definedName>
    <definedName name="P" localSheetId="7">#REF!</definedName>
    <definedName name="P" localSheetId="11">#REF!</definedName>
    <definedName name="P" localSheetId="2">#REF!</definedName>
    <definedName name="P">#REF!</definedName>
    <definedName name="P.C.C.1.2.4.10MM" localSheetId="8">#REF!</definedName>
    <definedName name="P.C.C.1.2.4.10MM" localSheetId="6">#REF!</definedName>
    <definedName name="P.C.C.1.2.4.10MM" localSheetId="4">#REF!</definedName>
    <definedName name="P.C.C.1.2.4.10MM" localSheetId="5">#REF!</definedName>
    <definedName name="P.C.C.1.2.4.10MM" localSheetId="12">#REF!</definedName>
    <definedName name="P.C.C.1.2.4.10MM" localSheetId="14">#REF!</definedName>
    <definedName name="P.C.C.1.2.4.10MM" localSheetId="1">#REF!</definedName>
    <definedName name="P.C.C.1.2.4.10MM" localSheetId="10">#REF!</definedName>
    <definedName name="P.C.C.1.2.4.10MM" localSheetId="18">#REF!</definedName>
    <definedName name="P.C.C.1.2.4.10MM" localSheetId="0">#REF!</definedName>
    <definedName name="P.C.C.1.2.4.10MM" localSheetId="9">#REF!</definedName>
    <definedName name="P.C.C.1.2.4.10MM" localSheetId="13">#REF!</definedName>
    <definedName name="P.C.C.1.2.4.10MM" localSheetId="3">#REF!</definedName>
    <definedName name="P.C.C.1.2.4.10MM" localSheetId="7">#REF!</definedName>
    <definedName name="P.C.C.1.2.4.10MM" localSheetId="11">#REF!</definedName>
    <definedName name="P.C.C.1.2.4.10MM" localSheetId="2">#REF!</definedName>
    <definedName name="P.C.C.1.2.4.10MM">#REF!</definedName>
    <definedName name="P.C.C.1.2.4.H.B" localSheetId="8">#REF!</definedName>
    <definedName name="P.C.C.1.2.4.H.B" localSheetId="6">#REF!</definedName>
    <definedName name="P.C.C.1.2.4.H.B" localSheetId="4">#REF!</definedName>
    <definedName name="P.C.C.1.2.4.H.B" localSheetId="5">#REF!</definedName>
    <definedName name="P.C.C.1.2.4.H.B" localSheetId="12">#REF!</definedName>
    <definedName name="P.C.C.1.2.4.H.B" localSheetId="14">#REF!</definedName>
    <definedName name="P.C.C.1.2.4.H.B" localSheetId="1">#REF!</definedName>
    <definedName name="P.C.C.1.2.4.H.B" localSheetId="10">#REF!</definedName>
    <definedName name="P.C.C.1.2.4.H.B" localSheetId="18">#REF!</definedName>
    <definedName name="P.C.C.1.2.4.H.B" localSheetId="0">#REF!</definedName>
    <definedName name="P.C.C.1.2.4.H.B" localSheetId="9">#REF!</definedName>
    <definedName name="P.C.C.1.2.4.H.B" localSheetId="13">#REF!</definedName>
    <definedName name="P.C.C.1.2.4.H.B" localSheetId="3">#REF!</definedName>
    <definedName name="P.C.C.1.2.4.H.B" localSheetId="7">#REF!</definedName>
    <definedName name="P.C.C.1.2.4.H.B" localSheetId="11">#REF!</definedName>
    <definedName name="P.C.C.1.2.4.H.B" localSheetId="2">#REF!</definedName>
    <definedName name="P.C.C.1.2.4.H.B">#REF!</definedName>
    <definedName name="P.C.C.1.2.4.M.B" localSheetId="8">#REF!+#REF!</definedName>
    <definedName name="P.C.C.1.2.4.M.B" localSheetId="6">#REF!+#REF!</definedName>
    <definedName name="P.C.C.1.2.4.M.B" localSheetId="4">#REF!+#REF!</definedName>
    <definedName name="P.C.C.1.2.4.M.B" localSheetId="5">#REF!+#REF!</definedName>
    <definedName name="P.C.C.1.2.4.M.B" localSheetId="12">#REF!+#REF!</definedName>
    <definedName name="P.C.C.1.2.4.M.B" localSheetId="14">#REF!+#REF!</definedName>
    <definedName name="P.C.C.1.2.4.M.B" localSheetId="1">#REF!+#REF!</definedName>
    <definedName name="P.C.C.1.2.4.M.B" localSheetId="10">#REF!+#REF!</definedName>
    <definedName name="P.C.C.1.2.4.M.B" localSheetId="18">#REF!+#REF!</definedName>
    <definedName name="P.C.C.1.2.4.M.B" localSheetId="0">#REF!+#REF!</definedName>
    <definedName name="P.C.C.1.2.4.M.B" localSheetId="9">#REF!+#REF!</definedName>
    <definedName name="P.C.C.1.2.4.M.B" localSheetId="13">#REF!+#REF!</definedName>
    <definedName name="P.C.C.1.2.4.M.B" localSheetId="3">#REF!+#REF!</definedName>
    <definedName name="P.C.C.1.2.4.M.B" localSheetId="7">#REF!+#REF!</definedName>
    <definedName name="P.C.C.1.2.4.M.B" localSheetId="11">#REF!+#REF!</definedName>
    <definedName name="P.C.C.1.2.4.M.B" localSheetId="2">#REF!+#REF!</definedName>
    <definedName name="P.C.C.1.2.4.M.B">#REF!+#REF!</definedName>
    <definedName name="P.C.C.1.3.6.40MM" localSheetId="8">#REF!</definedName>
    <definedName name="P.C.C.1.3.6.40MM" localSheetId="6">#REF!</definedName>
    <definedName name="P.C.C.1.3.6.40MM" localSheetId="4">#REF!</definedName>
    <definedName name="P.C.C.1.3.6.40MM" localSheetId="5">#REF!</definedName>
    <definedName name="P.C.C.1.3.6.40MM" localSheetId="12">#REF!</definedName>
    <definedName name="P.C.C.1.3.6.40MM" localSheetId="14">#REF!</definedName>
    <definedName name="P.C.C.1.3.6.40MM" localSheetId="1">#REF!</definedName>
    <definedName name="P.C.C.1.3.6.40MM" localSheetId="10">#REF!</definedName>
    <definedName name="P.C.C.1.3.6.40MM" localSheetId="18">#REF!</definedName>
    <definedName name="P.C.C.1.3.6.40MM" localSheetId="0">#REF!</definedName>
    <definedName name="P.C.C.1.3.6.40MM" localSheetId="9">#REF!</definedName>
    <definedName name="P.C.C.1.3.6.40MM" localSheetId="13">#REF!</definedName>
    <definedName name="P.C.C.1.3.6.40MM" localSheetId="3">#REF!</definedName>
    <definedName name="P.C.C.1.3.6.40MM" localSheetId="7">#REF!</definedName>
    <definedName name="P.C.C.1.3.6.40MM" localSheetId="11">#REF!</definedName>
    <definedName name="P.C.C.1.3.6.40MM" localSheetId="2">#REF!</definedName>
    <definedName name="P.C.C.1.3.6.40MM">#REF!</definedName>
    <definedName name="P.C.C.1.3.6.H.B" localSheetId="8">#REF!</definedName>
    <definedName name="P.C.C.1.3.6.H.B" localSheetId="6">#REF!</definedName>
    <definedName name="P.C.C.1.3.6.H.B" localSheetId="4">#REF!</definedName>
    <definedName name="P.C.C.1.3.6.H.B" localSheetId="5">#REF!</definedName>
    <definedName name="P.C.C.1.3.6.H.B" localSheetId="12">#REF!</definedName>
    <definedName name="P.C.C.1.3.6.H.B" localSheetId="14">#REF!</definedName>
    <definedName name="P.C.C.1.3.6.H.B" localSheetId="1">#REF!</definedName>
    <definedName name="P.C.C.1.3.6.H.B" localSheetId="10">#REF!</definedName>
    <definedName name="P.C.C.1.3.6.H.B" localSheetId="18">#REF!</definedName>
    <definedName name="P.C.C.1.3.6.H.B" localSheetId="0">#REF!</definedName>
    <definedName name="P.C.C.1.3.6.H.B" localSheetId="9">#REF!</definedName>
    <definedName name="P.C.C.1.3.6.H.B" localSheetId="13">#REF!</definedName>
    <definedName name="P.C.C.1.3.6.H.B" localSheetId="3">#REF!</definedName>
    <definedName name="P.C.C.1.3.6.H.B" localSheetId="7">#REF!</definedName>
    <definedName name="P.C.C.1.3.6.H.B" localSheetId="11">#REF!</definedName>
    <definedName name="P.C.C.1.3.6.H.B" localSheetId="2">#REF!</definedName>
    <definedName name="P.C.C.1.3.6.H.B">#REF!</definedName>
    <definedName name="P.C.C.1.4.8" localSheetId="8">#REF!</definedName>
    <definedName name="P.C.C.1.4.8" localSheetId="6">#REF!</definedName>
    <definedName name="P.C.C.1.4.8" localSheetId="4">#REF!</definedName>
    <definedName name="P.C.C.1.4.8" localSheetId="5">#REF!</definedName>
    <definedName name="P.C.C.1.4.8" localSheetId="12">#REF!</definedName>
    <definedName name="P.C.C.1.4.8" localSheetId="14">#REF!</definedName>
    <definedName name="P.C.C.1.4.8" localSheetId="1">#REF!</definedName>
    <definedName name="P.C.C.1.4.8" localSheetId="10">#REF!</definedName>
    <definedName name="P.C.C.1.4.8" localSheetId="18">#REF!</definedName>
    <definedName name="P.C.C.1.4.8" localSheetId="0">#REF!</definedName>
    <definedName name="P.C.C.1.4.8" localSheetId="9">#REF!</definedName>
    <definedName name="P.C.C.1.4.8" localSheetId="13">#REF!</definedName>
    <definedName name="P.C.C.1.4.8" localSheetId="3">#REF!</definedName>
    <definedName name="P.C.C.1.4.8" localSheetId="7">#REF!</definedName>
    <definedName name="P.C.C.1.4.8" localSheetId="11">#REF!</definedName>
    <definedName name="P.C.C.1.4.8" localSheetId="2">#REF!</definedName>
    <definedName name="P.C.C.1.4.8">#REF!</definedName>
    <definedName name="P.C.C.1.5.10" localSheetId="8">#REF!</definedName>
    <definedName name="P.C.C.1.5.10" localSheetId="6">#REF!</definedName>
    <definedName name="P.C.C.1.5.10" localSheetId="4">#REF!</definedName>
    <definedName name="P.C.C.1.5.10" localSheetId="5">#REF!</definedName>
    <definedName name="P.C.C.1.5.10" localSheetId="12">#REF!</definedName>
    <definedName name="P.C.C.1.5.10" localSheetId="14">#REF!</definedName>
    <definedName name="P.C.C.1.5.10" localSheetId="1">#REF!</definedName>
    <definedName name="P.C.C.1.5.10" localSheetId="10">#REF!</definedName>
    <definedName name="P.C.C.1.5.10" localSheetId="18">#REF!</definedName>
    <definedName name="P.C.C.1.5.10" localSheetId="0">#REF!</definedName>
    <definedName name="P.C.C.1.5.10" localSheetId="9">#REF!</definedName>
    <definedName name="P.C.C.1.5.10" localSheetId="13">#REF!</definedName>
    <definedName name="P.C.C.1.5.10" localSheetId="3">#REF!</definedName>
    <definedName name="P.C.C.1.5.10" localSheetId="7">#REF!</definedName>
    <definedName name="P.C.C.1.5.10" localSheetId="11">#REF!</definedName>
    <definedName name="P.C.C.1.5.10" localSheetId="2">#REF!</definedName>
    <definedName name="P.C.C.1.5.10">#REF!</definedName>
    <definedName name="P.C.C.1.8.16HB" localSheetId="8">#REF!</definedName>
    <definedName name="P.C.C.1.8.16HB" localSheetId="6">#REF!</definedName>
    <definedName name="P.C.C.1.8.16HB" localSheetId="4">#REF!</definedName>
    <definedName name="P.C.C.1.8.16HB" localSheetId="5">#REF!</definedName>
    <definedName name="P.C.C.1.8.16HB" localSheetId="12">#REF!</definedName>
    <definedName name="P.C.C.1.8.16HB" localSheetId="14">#REF!</definedName>
    <definedName name="P.C.C.1.8.16HB" localSheetId="1">#REF!</definedName>
    <definedName name="P.C.C.1.8.16HB" localSheetId="10">#REF!</definedName>
    <definedName name="P.C.C.1.8.16HB" localSheetId="18">#REF!</definedName>
    <definedName name="P.C.C.1.8.16HB" localSheetId="0">#REF!</definedName>
    <definedName name="P.C.C.1.8.16HB" localSheetId="9">#REF!</definedName>
    <definedName name="P.C.C.1.8.16HB" localSheetId="13">#REF!</definedName>
    <definedName name="P.C.C.1.8.16HB" localSheetId="3">#REF!</definedName>
    <definedName name="P.C.C.1.8.16HB" localSheetId="7">#REF!</definedName>
    <definedName name="P.C.C.1.8.16HB" localSheetId="11">#REF!</definedName>
    <definedName name="P.C.C.1.8.16HB" localSheetId="2">#REF!</definedName>
    <definedName name="P.C.C.1.8.16HB">#REF!</definedName>
    <definedName name="P.C.C1.3.6.MB" localSheetId="8">#REF!</definedName>
    <definedName name="P.C.C1.3.6.MB" localSheetId="6">#REF!</definedName>
    <definedName name="P.C.C1.3.6.MB" localSheetId="4">#REF!</definedName>
    <definedName name="P.C.C1.3.6.MB" localSheetId="5">#REF!</definedName>
    <definedName name="P.C.C1.3.6.MB" localSheetId="12">#REF!</definedName>
    <definedName name="P.C.C1.3.6.MB" localSheetId="14">#REF!</definedName>
    <definedName name="P.C.C1.3.6.MB" localSheetId="1">#REF!</definedName>
    <definedName name="P.C.C1.3.6.MB" localSheetId="10">#REF!</definedName>
    <definedName name="P.C.C1.3.6.MB" localSheetId="18">#REF!</definedName>
    <definedName name="P.C.C1.3.6.MB" localSheetId="0">#REF!</definedName>
    <definedName name="P.C.C1.3.6.MB" localSheetId="9">#REF!</definedName>
    <definedName name="P.C.C1.3.6.MB" localSheetId="13">#REF!</definedName>
    <definedName name="P.C.C1.3.6.MB" localSheetId="3">#REF!</definedName>
    <definedName name="P.C.C1.3.6.MB" localSheetId="7">#REF!</definedName>
    <definedName name="P.C.C1.3.6.MB" localSheetId="11">#REF!</definedName>
    <definedName name="P.C.C1.3.6.MB" localSheetId="2">#REF!</definedName>
    <definedName name="P.C.C1.3.6.MB">#REF!</definedName>
    <definedName name="P.C.C1.3.6mb" localSheetId="8">#REF!</definedName>
    <definedName name="P.C.C1.3.6mb" localSheetId="6">#REF!</definedName>
    <definedName name="P.C.C1.3.6mb" localSheetId="4">#REF!</definedName>
    <definedName name="P.C.C1.3.6mb" localSheetId="5">#REF!</definedName>
    <definedName name="P.C.C1.3.6mb" localSheetId="12">#REF!</definedName>
    <definedName name="P.C.C1.3.6mb" localSheetId="14">#REF!</definedName>
    <definedName name="P.C.C1.3.6mb" localSheetId="1">#REF!</definedName>
    <definedName name="P.C.C1.3.6mb" localSheetId="10">#REF!</definedName>
    <definedName name="P.C.C1.3.6mb" localSheetId="18">#REF!</definedName>
    <definedName name="P.C.C1.3.6mb" localSheetId="0">#REF!</definedName>
    <definedName name="P.C.C1.3.6mb" localSheetId="9">#REF!</definedName>
    <definedName name="P.C.C1.3.6mb" localSheetId="13">#REF!</definedName>
    <definedName name="P.C.C1.3.6mb" localSheetId="3">#REF!</definedName>
    <definedName name="P.C.C1.3.6mb" localSheetId="7">#REF!</definedName>
    <definedName name="P.C.C1.3.6mb" localSheetId="11">#REF!</definedName>
    <definedName name="P.C.C1.3.6mb" localSheetId="2">#REF!</definedName>
    <definedName name="P.C.C1.3.6mb">#REF!</definedName>
    <definedName name="P.C.C1.8.16_MB" localSheetId="8">#REF!</definedName>
    <definedName name="P.C.C1.8.16_MB" localSheetId="6">#REF!</definedName>
    <definedName name="P.C.C1.8.16_MB" localSheetId="4">#REF!</definedName>
    <definedName name="P.C.C1.8.16_MB" localSheetId="5">#REF!</definedName>
    <definedName name="P.C.C1.8.16_MB" localSheetId="12">#REF!</definedName>
    <definedName name="P.C.C1.8.16_MB" localSheetId="14">#REF!</definedName>
    <definedName name="P.C.C1.8.16_MB" localSheetId="1">#REF!</definedName>
    <definedName name="P.C.C1.8.16_MB" localSheetId="10">#REF!</definedName>
    <definedName name="P.C.C1.8.16_MB" localSheetId="18">#REF!</definedName>
    <definedName name="P.C.C1.8.16_MB" localSheetId="0">#REF!</definedName>
    <definedName name="P.C.C1.8.16_MB" localSheetId="9">#REF!</definedName>
    <definedName name="P.C.C1.8.16_MB" localSheetId="13">#REF!</definedName>
    <definedName name="P.C.C1.8.16_MB" localSheetId="3">#REF!</definedName>
    <definedName name="P.C.C1.8.16_MB" localSheetId="7">#REF!</definedName>
    <definedName name="P.C.C1.8.16_MB" localSheetId="11">#REF!</definedName>
    <definedName name="P.C.C1.8.16_MB" localSheetId="2">#REF!</definedName>
    <definedName name="P.C.C1.8.16_MB">#REF!</definedName>
    <definedName name="pa" localSheetId="8">#REF!</definedName>
    <definedName name="pa" localSheetId="6">#REF!</definedName>
    <definedName name="pa" localSheetId="4">#REF!</definedName>
    <definedName name="pa" localSheetId="5">#REF!</definedName>
    <definedName name="pa" localSheetId="12">#REF!</definedName>
    <definedName name="pa" localSheetId="14">#REF!</definedName>
    <definedName name="pa" localSheetId="1">#REF!</definedName>
    <definedName name="pa" localSheetId="10">#REF!</definedName>
    <definedName name="pa" localSheetId="18">#REF!</definedName>
    <definedName name="pa" localSheetId="0">#REF!</definedName>
    <definedName name="pa" localSheetId="9">#REF!</definedName>
    <definedName name="pa" localSheetId="13">#REF!</definedName>
    <definedName name="pa" localSheetId="3">#REF!</definedName>
    <definedName name="pa" localSheetId="7">#REF!</definedName>
    <definedName name="pa" localSheetId="11">#REF!</definedName>
    <definedName name="pa" localSheetId="2">#REF!</definedName>
    <definedName name="pa">#REF!</definedName>
    <definedName name="Pay_Date" localSheetId="10">#REF!</definedName>
    <definedName name="Pay_Date">#REF!</definedName>
    <definedName name="Pay_Num" localSheetId="10">#REF!</definedName>
    <definedName name="Pay_Num">#REF!</definedName>
    <definedName name="payment" localSheetId="10">#REF!</definedName>
    <definedName name="payment">#REF!</definedName>
    <definedName name="Payment_Date" localSheetId="12">DATE(YEAR(Loan_Start),MONTH(Loan_Start)+Payment_Number,DAY(Loan_Start))</definedName>
    <definedName name="Payment_Date" localSheetId="14">DATE(YEAR(Loan_Start),MONTH(Loan_Start)+Payment_Number,DAY(Loan_Start))</definedName>
    <definedName name="Payment_Date" localSheetId="10">DATE(YEAR(electrical!Loan_Start),MONTH(electrical!Loan_Start)+Payment_Number,DAY(electrical!Loan_Start))</definedName>
    <definedName name="Payment_Date" localSheetId="18">DATE(YEAR(Loan_Start),MONTH(Loan_Start)+Payment_Number,DAY(Loan_Start))</definedName>
    <definedName name="Payment_Date" localSheetId="13">DATE(YEAR(Loan_Start),MONTH(Loan_Start)+Payment_Number,DAY(Loan_Start))</definedName>
    <definedName name="Payment_Date" localSheetId="11">DATE(YEAR(Loan_Start),MONTH(Loan_Start)+Payment_Number,DAY(Loan_Start))</definedName>
    <definedName name="Payment_Date">DATE(YEAR(Loan_Start),MONTH(Loan_Start)+Payment_Number,DAY(Loan_Start))</definedName>
    <definedName name="pc" localSheetId="8">#REF!</definedName>
    <definedName name="pc" localSheetId="6">#REF!</definedName>
    <definedName name="pc" localSheetId="4">#REF!</definedName>
    <definedName name="pc" localSheetId="5">#REF!</definedName>
    <definedName name="pc" localSheetId="12">#REF!</definedName>
    <definedName name="pc" localSheetId="14">#REF!</definedName>
    <definedName name="pc" localSheetId="1">#REF!</definedName>
    <definedName name="pc" localSheetId="10">#REF!</definedName>
    <definedName name="pc" localSheetId="18">#REF!</definedName>
    <definedName name="pc" localSheetId="0">#REF!</definedName>
    <definedName name="pc" localSheetId="9">#REF!</definedName>
    <definedName name="pc" localSheetId="13">#REF!</definedName>
    <definedName name="pc" localSheetId="3">#REF!</definedName>
    <definedName name="pc" localSheetId="7">#REF!</definedName>
    <definedName name="pc" localSheetId="11">#REF!</definedName>
    <definedName name="pc" localSheetId="2">#REF!</definedName>
    <definedName name="pc">#REF!</definedName>
    <definedName name="PC_Name" localSheetId="8">#REF!</definedName>
    <definedName name="PC_Name" localSheetId="6">#REF!</definedName>
    <definedName name="PC_Name" localSheetId="4">#REF!</definedName>
    <definedName name="PC_Name" localSheetId="5">#REF!</definedName>
    <definedName name="PC_Name" localSheetId="12">#REF!</definedName>
    <definedName name="PC_Name" localSheetId="14">#REF!</definedName>
    <definedName name="PC_Name" localSheetId="1">#REF!</definedName>
    <definedName name="PC_Name" localSheetId="10">#REF!</definedName>
    <definedName name="PC_Name" localSheetId="18">#REF!</definedName>
    <definedName name="PC_Name" localSheetId="0">#REF!</definedName>
    <definedName name="PC_Name" localSheetId="9">#REF!</definedName>
    <definedName name="PC_Name" localSheetId="13">#REF!</definedName>
    <definedName name="PC_Name" localSheetId="3">#REF!</definedName>
    <definedName name="PC_Name" localSheetId="7">#REF!</definedName>
    <definedName name="PC_Name" localSheetId="11">#REF!</definedName>
    <definedName name="PC_Name" localSheetId="2">#REF!</definedName>
    <definedName name="PC_Name">#REF!</definedName>
    <definedName name="PC_Road_Name" localSheetId="8">#REF!</definedName>
    <definedName name="PC_Road_Name" localSheetId="6">#REF!</definedName>
    <definedName name="PC_Road_Name" localSheetId="4">#REF!</definedName>
    <definedName name="PC_Road_Name" localSheetId="5">#REF!</definedName>
    <definedName name="PC_Road_Name" localSheetId="12">#REF!</definedName>
    <definedName name="PC_Road_Name" localSheetId="14">#REF!</definedName>
    <definedName name="PC_Road_Name" localSheetId="1">#REF!</definedName>
    <definedName name="PC_Road_Name" localSheetId="10">#REF!</definedName>
    <definedName name="PC_Road_Name" localSheetId="18">#REF!</definedName>
    <definedName name="PC_Road_Name" localSheetId="0">#REF!</definedName>
    <definedName name="PC_Road_Name" localSheetId="9">#REF!</definedName>
    <definedName name="PC_Road_Name" localSheetId="13">#REF!</definedName>
    <definedName name="PC_Road_Name" localSheetId="3">#REF!</definedName>
    <definedName name="PC_Road_Name" localSheetId="7">#REF!</definedName>
    <definedName name="PC_Road_Name" localSheetId="11">#REF!</definedName>
    <definedName name="PC_Road_Name" localSheetId="2">#REF!</definedName>
    <definedName name="PC_Road_Name">#REF!</definedName>
    <definedName name="Plast_1.3_W.P.C" localSheetId="8">#REF!</definedName>
    <definedName name="Plast_1.3_W.P.C" localSheetId="6">#REF!</definedName>
    <definedName name="Plast_1.3_W.P.C" localSheetId="4">#REF!</definedName>
    <definedName name="Plast_1.3_W.P.C" localSheetId="5">#REF!</definedName>
    <definedName name="Plast_1.3_W.P.C" localSheetId="12">#REF!</definedName>
    <definedName name="Plast_1.3_W.P.C" localSheetId="14">#REF!</definedName>
    <definedName name="Plast_1.3_W.P.C" localSheetId="1">#REF!</definedName>
    <definedName name="Plast_1.3_W.P.C" localSheetId="10">#REF!</definedName>
    <definedName name="Plast_1.3_W.P.C" localSheetId="18">#REF!</definedName>
    <definedName name="Plast_1.3_W.P.C" localSheetId="0">#REF!</definedName>
    <definedName name="Plast_1.3_W.P.C" localSheetId="9">#REF!</definedName>
    <definedName name="Plast_1.3_W.P.C" localSheetId="13">#REF!</definedName>
    <definedName name="Plast_1.3_W.P.C" localSheetId="3">#REF!</definedName>
    <definedName name="Plast_1.3_W.P.C" localSheetId="7">#REF!</definedName>
    <definedName name="Plast_1.3_W.P.C" localSheetId="11">#REF!</definedName>
    <definedName name="Plast_1.3_W.P.C" localSheetId="2">#REF!</definedName>
    <definedName name="Plast_1.3_W.P.C">#REF!</definedName>
    <definedName name="Plast_1.5_12mm" localSheetId="8">#REF!</definedName>
    <definedName name="Plast_1.5_12mm" localSheetId="6">#REF!</definedName>
    <definedName name="Plast_1.5_12mm" localSheetId="4">#REF!</definedName>
    <definedName name="Plast_1.5_12mm" localSheetId="5">#REF!</definedName>
    <definedName name="Plast_1.5_12mm" localSheetId="12">#REF!</definedName>
    <definedName name="Plast_1.5_12mm" localSheetId="14">#REF!</definedName>
    <definedName name="Plast_1.5_12mm" localSheetId="1">#REF!</definedName>
    <definedName name="Plast_1.5_12mm" localSheetId="10">#REF!</definedName>
    <definedName name="Plast_1.5_12mm" localSheetId="18">#REF!</definedName>
    <definedName name="Plast_1.5_12mm" localSheetId="0">#REF!</definedName>
    <definedName name="Plast_1.5_12mm" localSheetId="9">#REF!</definedName>
    <definedName name="Plast_1.5_12mm" localSheetId="13">#REF!</definedName>
    <definedName name="Plast_1.5_12mm" localSheetId="3">#REF!</definedName>
    <definedName name="Plast_1.5_12mm" localSheetId="7">#REF!</definedName>
    <definedName name="Plast_1.5_12mm" localSheetId="11">#REF!</definedName>
    <definedName name="Plast_1.5_12mm" localSheetId="2">#REF!</definedName>
    <definedName name="Plast_1.5_12mm">#REF!</definedName>
    <definedName name="Plast_1.5_20mm" localSheetId="8">#REF!</definedName>
    <definedName name="Plast_1.5_20mm" localSheetId="6">#REF!</definedName>
    <definedName name="Plast_1.5_20mm" localSheetId="4">#REF!</definedName>
    <definedName name="Plast_1.5_20mm" localSheetId="5">#REF!</definedName>
    <definedName name="Plast_1.5_20mm" localSheetId="12">#REF!</definedName>
    <definedName name="Plast_1.5_20mm" localSheetId="14">#REF!</definedName>
    <definedName name="Plast_1.5_20mm" localSheetId="1">#REF!</definedName>
    <definedName name="Plast_1.5_20mm" localSheetId="10">#REF!</definedName>
    <definedName name="Plast_1.5_20mm" localSheetId="18">#REF!</definedName>
    <definedName name="Plast_1.5_20mm" localSheetId="0">#REF!</definedName>
    <definedName name="Plast_1.5_20mm" localSheetId="9">#REF!</definedName>
    <definedName name="Plast_1.5_20mm" localSheetId="13">#REF!</definedName>
    <definedName name="Plast_1.5_20mm" localSheetId="3">#REF!</definedName>
    <definedName name="Plast_1.5_20mm" localSheetId="7">#REF!</definedName>
    <definedName name="Plast_1.5_20mm" localSheetId="11">#REF!</definedName>
    <definedName name="Plast_1.5_20mm" localSheetId="2">#REF!</definedName>
    <definedName name="Plast_1.5_20mm">#REF!</definedName>
    <definedName name="Plast_Dummy" localSheetId="8">#REF!</definedName>
    <definedName name="Plast_Dummy" localSheetId="6">#REF!</definedName>
    <definedName name="Plast_Dummy" localSheetId="4">#REF!</definedName>
    <definedName name="Plast_Dummy" localSheetId="5">#REF!</definedName>
    <definedName name="Plast_Dummy" localSheetId="12">#REF!</definedName>
    <definedName name="Plast_Dummy" localSheetId="14">#REF!</definedName>
    <definedName name="Plast_Dummy" localSheetId="1">#REF!</definedName>
    <definedName name="Plast_Dummy" localSheetId="10">#REF!</definedName>
    <definedName name="Plast_Dummy" localSheetId="18">#REF!</definedName>
    <definedName name="Plast_Dummy" localSheetId="0">#REF!</definedName>
    <definedName name="Plast_Dummy" localSheetId="9">#REF!</definedName>
    <definedName name="Plast_Dummy" localSheetId="13">#REF!</definedName>
    <definedName name="Plast_Dummy" localSheetId="3">#REF!</definedName>
    <definedName name="Plast_Dummy" localSheetId="7">#REF!</definedName>
    <definedName name="Plast_Dummy" localSheetId="11">#REF!</definedName>
    <definedName name="Plast_Dummy" localSheetId="2">#REF!</definedName>
    <definedName name="Plast_Dummy">#REF!</definedName>
    <definedName name="Plast_Roof" localSheetId="8">#REF!</definedName>
    <definedName name="Plast_Roof" localSheetId="6">#REF!</definedName>
    <definedName name="Plast_Roof" localSheetId="4">#REF!</definedName>
    <definedName name="Plast_Roof" localSheetId="5">#REF!</definedName>
    <definedName name="Plast_Roof" localSheetId="12">#REF!</definedName>
    <definedName name="Plast_Roof" localSheetId="14">#REF!</definedName>
    <definedName name="Plast_Roof" localSheetId="1">#REF!</definedName>
    <definedName name="Plast_Roof" localSheetId="10">#REF!</definedName>
    <definedName name="Plast_Roof" localSheetId="18">#REF!</definedName>
    <definedName name="Plast_Roof" localSheetId="0">#REF!</definedName>
    <definedName name="Plast_Roof" localSheetId="9">#REF!</definedName>
    <definedName name="Plast_Roof" localSheetId="13">#REF!</definedName>
    <definedName name="Plast_Roof" localSheetId="3">#REF!</definedName>
    <definedName name="Plast_Roof" localSheetId="7">#REF!</definedName>
    <definedName name="Plast_Roof" localSheetId="11">#REF!</definedName>
    <definedName name="Plast_Roof" localSheetId="2">#REF!</definedName>
    <definedName name="Plast_Roof">#REF!</definedName>
    <definedName name="Plastering_pointing" localSheetId="8">#REF!</definedName>
    <definedName name="Plastering_pointing" localSheetId="6">#REF!</definedName>
    <definedName name="Plastering_pointing" localSheetId="4">#REF!</definedName>
    <definedName name="Plastering_pointing" localSheetId="5">#REF!</definedName>
    <definedName name="Plastering_pointing" localSheetId="12">#REF!</definedName>
    <definedName name="Plastering_pointing" localSheetId="14">#REF!</definedName>
    <definedName name="Plastering_pointing" localSheetId="1">#REF!</definedName>
    <definedName name="Plastering_pointing" localSheetId="10">#REF!</definedName>
    <definedName name="Plastering_pointing" localSheetId="18">#REF!</definedName>
    <definedName name="Plastering_pointing" localSheetId="0">#REF!</definedName>
    <definedName name="Plastering_pointing" localSheetId="9">#REF!</definedName>
    <definedName name="Plastering_pointing" localSheetId="13">#REF!</definedName>
    <definedName name="Plastering_pointing" localSheetId="3">#REF!</definedName>
    <definedName name="Plastering_pointing" localSheetId="7">#REF!</definedName>
    <definedName name="Plastering_pointing" localSheetId="11">#REF!</definedName>
    <definedName name="Plastering_pointing" localSheetId="2">#REF!</definedName>
    <definedName name="Plastering_pointing">#REF!</definedName>
    <definedName name="Plastering_pointing_11" localSheetId="8">#REF!</definedName>
    <definedName name="Plastering_pointing_11" localSheetId="6">#REF!</definedName>
    <definedName name="Plastering_pointing_11" localSheetId="4">#REF!</definedName>
    <definedName name="Plastering_pointing_11" localSheetId="5">#REF!</definedName>
    <definedName name="Plastering_pointing_11" localSheetId="12">#REF!</definedName>
    <definedName name="Plastering_pointing_11" localSheetId="14">#REF!</definedName>
    <definedName name="Plastering_pointing_11" localSheetId="1">#REF!</definedName>
    <definedName name="Plastering_pointing_11" localSheetId="10">#REF!</definedName>
    <definedName name="Plastering_pointing_11" localSheetId="18">#REF!</definedName>
    <definedName name="Plastering_pointing_11" localSheetId="0">#REF!</definedName>
    <definedName name="Plastering_pointing_11" localSheetId="9">#REF!</definedName>
    <definedName name="Plastering_pointing_11" localSheetId="13">#REF!</definedName>
    <definedName name="Plastering_pointing_11" localSheetId="3">#REF!</definedName>
    <definedName name="Plastering_pointing_11" localSheetId="7">#REF!</definedName>
    <definedName name="Plastering_pointing_11" localSheetId="11">#REF!</definedName>
    <definedName name="Plastering_pointing_11" localSheetId="2">#REF!</definedName>
    <definedName name="Plastering_pointing_11">#REF!</definedName>
    <definedName name="Plastering_pointing_3" localSheetId="8">#REF!</definedName>
    <definedName name="Plastering_pointing_3" localSheetId="6">#REF!</definedName>
    <definedName name="Plastering_pointing_3" localSheetId="4">#REF!</definedName>
    <definedName name="Plastering_pointing_3" localSheetId="5">#REF!</definedName>
    <definedName name="Plastering_pointing_3" localSheetId="12">#REF!</definedName>
    <definedName name="Plastering_pointing_3" localSheetId="14">#REF!</definedName>
    <definedName name="Plastering_pointing_3" localSheetId="1">#REF!</definedName>
    <definedName name="Plastering_pointing_3" localSheetId="10">#REF!</definedName>
    <definedName name="Plastering_pointing_3" localSheetId="18">#REF!</definedName>
    <definedName name="Plastering_pointing_3" localSheetId="0">#REF!</definedName>
    <definedName name="Plastering_pointing_3" localSheetId="9">#REF!</definedName>
    <definedName name="Plastering_pointing_3" localSheetId="13">#REF!</definedName>
    <definedName name="Plastering_pointing_3" localSheetId="3">#REF!</definedName>
    <definedName name="Plastering_pointing_3" localSheetId="7">#REF!</definedName>
    <definedName name="Plastering_pointing_3" localSheetId="11">#REF!</definedName>
    <definedName name="Plastering_pointing_3" localSheetId="2">#REF!</definedName>
    <definedName name="Plastering_pointing_3">#REF!</definedName>
    <definedName name="Plastering_pointing_6" localSheetId="8">#REF!</definedName>
    <definedName name="Plastering_pointing_6" localSheetId="6">#REF!</definedName>
    <definedName name="Plastering_pointing_6" localSheetId="4">#REF!</definedName>
    <definedName name="Plastering_pointing_6" localSheetId="5">#REF!</definedName>
    <definedName name="Plastering_pointing_6" localSheetId="12">#REF!</definedName>
    <definedName name="Plastering_pointing_6" localSheetId="14">#REF!</definedName>
    <definedName name="Plastering_pointing_6" localSheetId="1">#REF!</definedName>
    <definedName name="Plastering_pointing_6" localSheetId="10">#REF!</definedName>
    <definedName name="Plastering_pointing_6" localSheetId="18">#REF!</definedName>
    <definedName name="Plastering_pointing_6" localSheetId="0">#REF!</definedName>
    <definedName name="Plastering_pointing_6" localSheetId="9">#REF!</definedName>
    <definedName name="Plastering_pointing_6" localSheetId="13">#REF!</definedName>
    <definedName name="Plastering_pointing_6" localSheetId="3">#REF!</definedName>
    <definedName name="Plastering_pointing_6" localSheetId="7">#REF!</definedName>
    <definedName name="Plastering_pointing_6" localSheetId="11">#REF!</definedName>
    <definedName name="Plastering_pointing_6" localSheetId="2">#REF!</definedName>
    <definedName name="Plastering_pointing_6">#REF!</definedName>
    <definedName name="Plastic_Emulsion" localSheetId="8">#REF!</definedName>
    <definedName name="Plastic_Emulsion" localSheetId="6">#REF!</definedName>
    <definedName name="Plastic_Emulsion" localSheetId="4">#REF!</definedName>
    <definedName name="Plastic_Emulsion" localSheetId="5">#REF!</definedName>
    <definedName name="Plastic_Emulsion" localSheetId="12">#REF!</definedName>
    <definedName name="Plastic_Emulsion" localSheetId="14">#REF!</definedName>
    <definedName name="Plastic_Emulsion" localSheetId="1">#REF!</definedName>
    <definedName name="Plastic_Emulsion" localSheetId="10">#REF!</definedName>
    <definedName name="Plastic_Emulsion" localSheetId="18">#REF!</definedName>
    <definedName name="Plastic_Emulsion" localSheetId="0">#REF!</definedName>
    <definedName name="Plastic_Emulsion" localSheetId="9">#REF!</definedName>
    <definedName name="Plastic_Emulsion" localSheetId="13">#REF!</definedName>
    <definedName name="Plastic_Emulsion" localSheetId="3">#REF!</definedName>
    <definedName name="Plastic_Emulsion" localSheetId="7">#REF!</definedName>
    <definedName name="Plastic_Emulsion" localSheetId="11">#REF!</definedName>
    <definedName name="Plastic_Emulsion" localSheetId="2">#REF!</definedName>
    <definedName name="Plastic_Emulsion">#REF!</definedName>
    <definedName name="pls" localSheetId="8">#REF!</definedName>
    <definedName name="pls" localSheetId="6">#REF!</definedName>
    <definedName name="pls" localSheetId="4">#REF!</definedName>
    <definedName name="pls" localSheetId="5">#REF!</definedName>
    <definedName name="pls" localSheetId="12">#REF!</definedName>
    <definedName name="pls" localSheetId="14">#REF!</definedName>
    <definedName name="pls" localSheetId="1">#REF!</definedName>
    <definedName name="pls" localSheetId="10">#REF!</definedName>
    <definedName name="pls" localSheetId="18">#REF!</definedName>
    <definedName name="pls" localSheetId="0">#REF!</definedName>
    <definedName name="pls" localSheetId="9">#REF!</definedName>
    <definedName name="pls" localSheetId="13">#REF!</definedName>
    <definedName name="pls" localSheetId="3">#REF!</definedName>
    <definedName name="pls" localSheetId="7">#REF!</definedName>
    <definedName name="pls" localSheetId="11">#REF!</definedName>
    <definedName name="pls" localSheetId="2">#REF!</definedName>
    <definedName name="pls">#REF!</definedName>
    <definedName name="PressedTile" localSheetId="8">#REF!</definedName>
    <definedName name="PressedTile" localSheetId="6">#REF!</definedName>
    <definedName name="PressedTile" localSheetId="4">#REF!</definedName>
    <definedName name="PressedTile" localSheetId="5">#REF!</definedName>
    <definedName name="PressedTile" localSheetId="12">#REF!</definedName>
    <definedName name="PressedTile" localSheetId="14">#REF!</definedName>
    <definedName name="PressedTile" localSheetId="1">#REF!</definedName>
    <definedName name="PressedTile" localSheetId="10">#REF!</definedName>
    <definedName name="PressedTile" localSheetId="18">#REF!</definedName>
    <definedName name="PressedTile" localSheetId="0">#REF!</definedName>
    <definedName name="PressedTile" localSheetId="9">#REF!</definedName>
    <definedName name="PressedTile" localSheetId="13">#REF!</definedName>
    <definedName name="PressedTile" localSheetId="3">#REF!</definedName>
    <definedName name="PressedTile" localSheetId="7">#REF!</definedName>
    <definedName name="PressedTile" localSheetId="11">#REF!</definedName>
    <definedName name="PressedTile" localSheetId="2">#REF!</definedName>
    <definedName name="PressedTile">#REF!</definedName>
    <definedName name="pri" localSheetId="8">#REF!</definedName>
    <definedName name="pri" localSheetId="6">#REF!</definedName>
    <definedName name="pri" localSheetId="4">#REF!</definedName>
    <definedName name="pri" localSheetId="5">#REF!</definedName>
    <definedName name="pri" localSheetId="12">#REF!</definedName>
    <definedName name="pri" localSheetId="14">#REF!</definedName>
    <definedName name="pri" localSheetId="1">#REF!</definedName>
    <definedName name="pri" localSheetId="10">#REF!</definedName>
    <definedName name="pri" localSheetId="18">#REF!</definedName>
    <definedName name="pri" localSheetId="0">#REF!</definedName>
    <definedName name="pri" localSheetId="9">#REF!</definedName>
    <definedName name="pri" localSheetId="13">#REF!</definedName>
    <definedName name="pri" localSheetId="3">#REF!</definedName>
    <definedName name="pri" localSheetId="7">#REF!</definedName>
    <definedName name="pri" localSheetId="11">#REF!</definedName>
    <definedName name="pri" localSheetId="2">#REF!</definedName>
    <definedName name="pri">#REF!</definedName>
    <definedName name="PRIN_TITLES_MI" localSheetId="8">#REF!</definedName>
    <definedName name="PRIN_TITLES_MI" localSheetId="6">#REF!</definedName>
    <definedName name="PRIN_TITLES_MI" localSheetId="4">#REF!</definedName>
    <definedName name="PRIN_TITLES_MI" localSheetId="5">#REF!</definedName>
    <definedName name="PRIN_TITLES_MI" localSheetId="12">#REF!</definedName>
    <definedName name="PRIN_TITLES_MI" localSheetId="14">#REF!</definedName>
    <definedName name="PRIN_TITLES_MI" localSheetId="1">#REF!</definedName>
    <definedName name="PRIN_TITLES_MI" localSheetId="10">#REF!</definedName>
    <definedName name="PRIN_TITLES_MI" localSheetId="18">#REF!</definedName>
    <definedName name="PRIN_TITLES_MI" localSheetId="0">#REF!</definedName>
    <definedName name="PRIN_TITLES_MI" localSheetId="9">#REF!</definedName>
    <definedName name="PRIN_TITLES_MI" localSheetId="13">#REF!</definedName>
    <definedName name="PRIN_TITLES_MI" localSheetId="3">#REF!</definedName>
    <definedName name="PRIN_TITLES_MI" localSheetId="7">#REF!</definedName>
    <definedName name="PRIN_TITLES_MI" localSheetId="11">#REF!</definedName>
    <definedName name="PRIN_TITLES_MI" localSheetId="2">#REF!</definedName>
    <definedName name="PRIN_TITLES_MI">#REF!</definedName>
    <definedName name="Princ" localSheetId="10">#REF!</definedName>
    <definedName name="Princ">#REF!</definedName>
    <definedName name="print" localSheetId="8">#REF!</definedName>
    <definedName name="print" localSheetId="6">#REF!</definedName>
    <definedName name="print" localSheetId="4">#REF!</definedName>
    <definedName name="print" localSheetId="5">#REF!</definedName>
    <definedName name="print" localSheetId="12">#REF!</definedName>
    <definedName name="print" localSheetId="14">#REF!</definedName>
    <definedName name="print" localSheetId="1">#REF!</definedName>
    <definedName name="print" localSheetId="10">#REF!</definedName>
    <definedName name="print" localSheetId="18">#REF!</definedName>
    <definedName name="print" localSheetId="0">#REF!</definedName>
    <definedName name="print" localSheetId="9">#REF!</definedName>
    <definedName name="print" localSheetId="13">#REF!</definedName>
    <definedName name="print" localSheetId="3">#REF!</definedName>
    <definedName name="print" localSheetId="7">#REF!</definedName>
    <definedName name="print" localSheetId="11">#REF!</definedName>
    <definedName name="print" localSheetId="2">#REF!</definedName>
    <definedName name="print">#REF!</definedName>
    <definedName name="PRINT_ARE" localSheetId="8">#REF!</definedName>
    <definedName name="PRINT_ARE" localSheetId="6">#REF!</definedName>
    <definedName name="PRINT_ARE" localSheetId="4">#REF!</definedName>
    <definedName name="PRINT_ARE" localSheetId="5">#REF!</definedName>
    <definedName name="PRINT_ARE" localSheetId="12">#REF!</definedName>
    <definedName name="PRINT_ARE" localSheetId="14">#REF!</definedName>
    <definedName name="PRINT_ARE" localSheetId="1">#REF!</definedName>
    <definedName name="PRINT_ARE" localSheetId="10">#REF!</definedName>
    <definedName name="PRINT_ARE" localSheetId="18">#REF!</definedName>
    <definedName name="PRINT_ARE" localSheetId="0">#REF!</definedName>
    <definedName name="PRINT_ARE" localSheetId="9">#REF!</definedName>
    <definedName name="PRINT_ARE" localSheetId="13">#REF!</definedName>
    <definedName name="PRINT_ARE" localSheetId="3">#REF!</definedName>
    <definedName name="PRINT_ARE" localSheetId="7">#REF!</definedName>
    <definedName name="PRINT_ARE" localSheetId="11">#REF!</definedName>
    <definedName name="PRINT_ARE" localSheetId="2">#REF!</definedName>
    <definedName name="PRINT_ARE">#REF!</definedName>
    <definedName name="_xlnm.Print_Area" localSheetId="8">'  Coastal  Elec.Data '!$F$2832:$K$2988</definedName>
    <definedName name="_xlnm.Print_Area" localSheetId="16">'1 (2)'!$A$1:$T$106</definedName>
    <definedName name="_xlnm.Print_Area" localSheetId="6">'cub data'!$A$1:$I$122</definedName>
    <definedName name="_xlnm.Print_Area" localSheetId="4">'Data water'!$A$1:$F$426</definedName>
    <definedName name="_xlnm.Print_Area" localSheetId="5">'Data water (2)'!$A$1:$F$426</definedName>
    <definedName name="_xlnm.Print_Area" localSheetId="12">'Design of septic tank'!$A$1:$M$30</definedName>
    <definedName name="_xlnm.Print_Area" localSheetId="14">'det -detail'!$A$290:$AI$299,'det -detail'!$A$301:$AI$324,'det -detail'!$A$326:$AI$344,'det -detail'!$A$346:$AI$363,'det -detail'!$A$365:$AI$370,'det -detail'!$A$1:$J$288</definedName>
    <definedName name="_xlnm.Print_Area" localSheetId="17">doors!$D$4:$AL$10,doors!$D$12:$AL$29,doors!$D$31:$AL$47,doors!$D$49:$AL$67</definedName>
    <definedName name="_xlnm.Print_Area" localSheetId="1">Elec.abs!$F$2834:$K$3950</definedName>
    <definedName name="_xlnm.Print_Area" localSheetId="10">electrical!$A$1:$W$1263</definedName>
    <definedName name="_xlnm.Print_Area" localSheetId="18">'Main Building Details'!$B$3:$I$603,'Main Building Details'!$B$606:$I$5103</definedName>
    <definedName name="_xlnm.Print_Area" localSheetId="0">'pile data ( M20 grade)'!$A$1:$H$162</definedName>
    <definedName name="_xlnm.Print_Area" localSheetId="9">'pile data ( M30 grade) (2)'!$A$1:$H$162</definedName>
    <definedName name="_xlnm.Print_Area" localSheetId="13">'Septic tank'!$A$14:$H$157</definedName>
    <definedName name="_xlnm.Print_Area" localSheetId="3">#REF!</definedName>
    <definedName name="_xlnm.Print_Area" localSheetId="7">'Sliding and french window'!$A$166:$G$241</definedName>
    <definedName name="_xlnm.Print_Area" localSheetId="11">'Sullage Drain'!$A$1:$H$65</definedName>
    <definedName name="_xlnm.Print_Area" localSheetId="2">'Water supply Data'!$A$1:$F$114,'Water supply Data'!$H$3:$M$114,'Water supply Data'!$O$3:$T$78,'Water supply Data'!$V$3:$AA$78</definedName>
    <definedName name="_xlnm.Print_Area">#REF!</definedName>
    <definedName name="PRINT_AREA_" localSheetId="8">#REF!</definedName>
    <definedName name="PRINT_AREA_" localSheetId="6">#REF!</definedName>
    <definedName name="PRINT_AREA_" localSheetId="4">#REF!</definedName>
    <definedName name="PRINT_AREA_" localSheetId="5">#REF!</definedName>
    <definedName name="PRINT_AREA_" localSheetId="12">#REF!</definedName>
    <definedName name="PRINT_AREA_" localSheetId="14">#REF!</definedName>
    <definedName name="PRINT_AREA_" localSheetId="1">#REF!</definedName>
    <definedName name="PRINT_AREA_" localSheetId="10">#REF!</definedName>
    <definedName name="PRINT_AREA_" localSheetId="18">#REF!</definedName>
    <definedName name="PRINT_AREA_" localSheetId="0">#REF!</definedName>
    <definedName name="PRINT_AREA_" localSheetId="9">#REF!</definedName>
    <definedName name="PRINT_AREA_" localSheetId="13">#REF!</definedName>
    <definedName name="PRINT_AREA_" localSheetId="3">#REF!</definedName>
    <definedName name="PRINT_AREA_" localSheetId="7">#REF!</definedName>
    <definedName name="PRINT_AREA_" localSheetId="11">#REF!</definedName>
    <definedName name="PRINT_AREA_" localSheetId="2">#REF!</definedName>
    <definedName name="PRINT_AREA_">#REF!</definedName>
    <definedName name="PRINT_AREA_M" localSheetId="8">#REF!</definedName>
    <definedName name="PRINT_AREA_M" localSheetId="6">#REF!</definedName>
    <definedName name="PRINT_AREA_M" localSheetId="4">#REF!</definedName>
    <definedName name="PRINT_AREA_M" localSheetId="5">#REF!</definedName>
    <definedName name="PRINT_AREA_M" localSheetId="12">#REF!</definedName>
    <definedName name="PRINT_AREA_M" localSheetId="14">#REF!</definedName>
    <definedName name="PRINT_AREA_M" localSheetId="1">#REF!</definedName>
    <definedName name="PRINT_AREA_M" localSheetId="10">#REF!</definedName>
    <definedName name="PRINT_AREA_M" localSheetId="18">#REF!</definedName>
    <definedName name="PRINT_AREA_M" localSheetId="0">#REF!</definedName>
    <definedName name="PRINT_AREA_M" localSheetId="9">#REF!</definedName>
    <definedName name="PRINT_AREA_M" localSheetId="13">#REF!</definedName>
    <definedName name="PRINT_AREA_M" localSheetId="3">#REF!</definedName>
    <definedName name="PRINT_AREA_M" localSheetId="7">#REF!</definedName>
    <definedName name="PRINT_AREA_M" localSheetId="11">#REF!</definedName>
    <definedName name="PRINT_AREA_M" localSheetId="2">#REF!</definedName>
    <definedName name="PRINT_AREA_M">#REF!</definedName>
    <definedName name="Print_Area_MI" localSheetId="8">'  Coastal  Elec.Data '!$F$1:$K$213</definedName>
    <definedName name="PRINT_AREA_MI" localSheetId="6">#REF!</definedName>
    <definedName name="PRINT_AREA_MI" localSheetId="4">#REF!</definedName>
    <definedName name="PRINT_AREA_MI" localSheetId="5">#REF!</definedName>
    <definedName name="PRINT_AREA_MI" localSheetId="12">#REF!</definedName>
    <definedName name="PRINT_AREA_MI" localSheetId="14">#REF!</definedName>
    <definedName name="Print_Area_MI" localSheetId="1">Elec.abs!$F$1:$K$213</definedName>
    <definedName name="PRINT_AREA_MI" localSheetId="10">#REF!</definedName>
    <definedName name="PRINT_AREA_MI" localSheetId="18">#REF!</definedName>
    <definedName name="PRINT_AREA_MI" localSheetId="0">#REF!</definedName>
    <definedName name="PRINT_AREA_MI" localSheetId="9">#REF!</definedName>
    <definedName name="PRINT_AREA_MI" localSheetId="13">#REF!</definedName>
    <definedName name="PRINT_AREA_MI" localSheetId="3">#REF!</definedName>
    <definedName name="PRINT_AREA_MI" localSheetId="7">#REF!</definedName>
    <definedName name="PRINT_AREA_MI" localSheetId="11">#REF!</definedName>
    <definedName name="Print_Area_MI" localSheetId="2">'Water supply Data'!$F$1:$M$207</definedName>
    <definedName name="PRINT_AREA_MI">#REF!</definedName>
    <definedName name="PRINT_AREA_MI_2" localSheetId="8">#REF!</definedName>
    <definedName name="PRINT_AREA_MI_2" localSheetId="6">#REF!</definedName>
    <definedName name="PRINT_AREA_MI_2" localSheetId="4">#REF!</definedName>
    <definedName name="PRINT_AREA_MI_2" localSheetId="5">#REF!</definedName>
    <definedName name="PRINT_AREA_MI_2" localSheetId="12">#REF!</definedName>
    <definedName name="PRINT_AREA_MI_2" localSheetId="14">#REF!</definedName>
    <definedName name="PRINT_AREA_MI_2" localSheetId="1">#REF!</definedName>
    <definedName name="PRINT_AREA_MI_2" localSheetId="10">#REF!</definedName>
    <definedName name="PRINT_AREA_MI_2" localSheetId="18">#REF!</definedName>
    <definedName name="PRINT_AREA_MI_2" localSheetId="0">#REF!</definedName>
    <definedName name="PRINT_AREA_MI_2" localSheetId="9">#REF!</definedName>
    <definedName name="PRINT_AREA_MI_2" localSheetId="13">#REF!</definedName>
    <definedName name="PRINT_AREA_MI_2" localSheetId="3">#REF!</definedName>
    <definedName name="PRINT_AREA_MI_2" localSheetId="7">#REF!</definedName>
    <definedName name="PRINT_AREA_MI_2" localSheetId="11">#REF!</definedName>
    <definedName name="PRINT_AREA_MI_2" localSheetId="2">#REF!</definedName>
    <definedName name="PRINT_AREA_MI_2">#REF!</definedName>
    <definedName name="Print_Area_Reset" localSheetId="12">OFFSET(Full_Print,0,0,'Design of septic tank'!Last_Row)</definedName>
    <definedName name="Print_Area_Reset" localSheetId="14">OFFSET(Full_Print,0,0,'det -detail'!Last_Row)</definedName>
    <definedName name="Print_Area_Reset" localSheetId="10">OFFSET(electrical!Full_Print,0,0,electrical!Last_Row)</definedName>
    <definedName name="Print_Area_Reset" localSheetId="18">OFFSET(Full_Print,0,0,'Main Building Details'!Last_Row)</definedName>
    <definedName name="Print_Area_Reset" localSheetId="13">OFFSET(Full_Print,0,0,'Septic tank'!Last_Row)</definedName>
    <definedName name="Print_Area_Reset" localSheetId="11">OFFSET(Full_Print,0,0,'Sullage Drain'!Last_Row)</definedName>
    <definedName name="Print_Area_Reset">OFFSET(Full_Print,0,0,Last_Row)</definedName>
    <definedName name="Print_T" localSheetId="8">#REF!</definedName>
    <definedName name="Print_T" localSheetId="6">#REF!</definedName>
    <definedName name="Print_T" localSheetId="4">#REF!</definedName>
    <definedName name="Print_T" localSheetId="5">#REF!</definedName>
    <definedName name="Print_T" localSheetId="12">#REF!</definedName>
    <definedName name="Print_T" localSheetId="14">#REF!</definedName>
    <definedName name="Print_T" localSheetId="1">#REF!</definedName>
    <definedName name="Print_T" localSheetId="10">#REF!</definedName>
    <definedName name="Print_T" localSheetId="18">#REF!</definedName>
    <definedName name="Print_T" localSheetId="0">#REF!</definedName>
    <definedName name="Print_T" localSheetId="9">#REF!</definedName>
    <definedName name="Print_T" localSheetId="13">#REF!</definedName>
    <definedName name="Print_T" localSheetId="3">#REF!</definedName>
    <definedName name="Print_T" localSheetId="7">#REF!</definedName>
    <definedName name="Print_T" localSheetId="11">#REF!</definedName>
    <definedName name="Print_T" localSheetId="2">#REF!</definedName>
    <definedName name="Print_T">#REF!</definedName>
    <definedName name="Print_Tit" localSheetId="8">#REF!</definedName>
    <definedName name="Print_Tit" localSheetId="6">#REF!</definedName>
    <definedName name="Print_Tit" localSheetId="4">#REF!</definedName>
    <definedName name="Print_Tit" localSheetId="5">#REF!</definedName>
    <definedName name="Print_Tit" localSheetId="12">#REF!</definedName>
    <definedName name="Print_Tit" localSheetId="14">#REF!</definedName>
    <definedName name="Print_Tit" localSheetId="1">#REF!</definedName>
    <definedName name="Print_Tit" localSheetId="10">#REF!</definedName>
    <definedName name="Print_Tit" localSheetId="18">#REF!</definedName>
    <definedName name="Print_Tit" localSheetId="0">#REF!</definedName>
    <definedName name="Print_Tit" localSheetId="9">#REF!</definedName>
    <definedName name="Print_Tit" localSheetId="13">#REF!</definedName>
    <definedName name="Print_Tit" localSheetId="3">#REF!</definedName>
    <definedName name="Print_Tit" localSheetId="7">#REF!</definedName>
    <definedName name="Print_Tit" localSheetId="11">#REF!</definedName>
    <definedName name="Print_Tit" localSheetId="2">#REF!</definedName>
    <definedName name="Print_Tit">#REF!</definedName>
    <definedName name="Print_Titl" localSheetId="8">#REF!</definedName>
    <definedName name="Print_Titl" localSheetId="6">#REF!</definedName>
    <definedName name="Print_Titl" localSheetId="4">#REF!</definedName>
    <definedName name="Print_Titl" localSheetId="5">#REF!</definedName>
    <definedName name="Print_Titl" localSheetId="12">#REF!</definedName>
    <definedName name="Print_Titl" localSheetId="14">#REF!</definedName>
    <definedName name="Print_Titl" localSheetId="1">#REF!</definedName>
    <definedName name="Print_Titl" localSheetId="10">#REF!</definedName>
    <definedName name="Print_Titl" localSheetId="18">#REF!</definedName>
    <definedName name="Print_Titl" localSheetId="0">#REF!</definedName>
    <definedName name="Print_Titl" localSheetId="9">#REF!</definedName>
    <definedName name="Print_Titl" localSheetId="13">#REF!</definedName>
    <definedName name="Print_Titl" localSheetId="3">#REF!</definedName>
    <definedName name="Print_Titl" localSheetId="7">#REF!</definedName>
    <definedName name="Print_Titl" localSheetId="11">#REF!</definedName>
    <definedName name="Print_Titl" localSheetId="2">#REF!</definedName>
    <definedName name="Print_Titl">#REF!</definedName>
    <definedName name="Print_Title" localSheetId="8">#REF!</definedName>
    <definedName name="Print_Title" localSheetId="6">#REF!</definedName>
    <definedName name="Print_Title" localSheetId="4">#REF!</definedName>
    <definedName name="Print_Title" localSheetId="5">#REF!</definedName>
    <definedName name="Print_Title" localSheetId="12">#REF!</definedName>
    <definedName name="Print_Title" localSheetId="14">#REF!</definedName>
    <definedName name="Print_Title" localSheetId="1">#REF!</definedName>
    <definedName name="Print_Title" localSheetId="10">#REF!</definedName>
    <definedName name="Print_Title" localSheetId="18">#REF!</definedName>
    <definedName name="Print_Title" localSheetId="0">#REF!</definedName>
    <definedName name="Print_Title" localSheetId="9">#REF!</definedName>
    <definedName name="Print_Title" localSheetId="13">#REF!</definedName>
    <definedName name="Print_Title" localSheetId="3">#REF!</definedName>
    <definedName name="Print_Title" localSheetId="7">#REF!</definedName>
    <definedName name="Print_Title" localSheetId="11">#REF!</definedName>
    <definedName name="Print_Title" localSheetId="2">#REF!</definedName>
    <definedName name="Print_Title">#REF!</definedName>
    <definedName name="_xlnm.Print_Titles" localSheetId="8">#REF!</definedName>
    <definedName name="_xlnm.Print_Titles" localSheetId="6">#REF!</definedName>
    <definedName name="_xlnm.Print_Titles" localSheetId="4">#REF!</definedName>
    <definedName name="_xlnm.Print_Titles" localSheetId="5">#REF!</definedName>
    <definedName name="_xlnm.Print_Titles" localSheetId="12">#REF!</definedName>
    <definedName name="_xlnm.Print_Titles" localSheetId="17">doors!$4:$5</definedName>
    <definedName name="_xlnm.Print_Titles" localSheetId="1">#REF!</definedName>
    <definedName name="_xlnm.Print_Titles" localSheetId="10">electrical!$2:$3</definedName>
    <definedName name="_xlnm.Print_Titles" localSheetId="18">'Main Building Details'!$609:$609</definedName>
    <definedName name="_xlnm.Print_Titles" localSheetId="0">#REF!</definedName>
    <definedName name="_xlnm.Print_Titles" localSheetId="9">#REF!</definedName>
    <definedName name="_xlnm.Print_Titles" localSheetId="13">#REF!</definedName>
    <definedName name="_xlnm.Print_Titles" localSheetId="3">#REF!</definedName>
    <definedName name="_xlnm.Print_Titles" localSheetId="7">#REF!</definedName>
    <definedName name="_xlnm.Print_Titles" localSheetId="11">#REF!</definedName>
    <definedName name="_xlnm.Print_Titles" localSheetId="2">#REF!</definedName>
    <definedName name="_xlnm.Print_Titles">#REF!</definedName>
    <definedName name="PRINT_TITLES_MI" localSheetId="8">'  Coastal  Elec.Data '!$GJ$7:$IG$7608</definedName>
    <definedName name="PRINT_TITLES_MI" localSheetId="6">#REF!</definedName>
    <definedName name="PRINT_TITLES_MI" localSheetId="4">#REF!</definedName>
    <definedName name="PRINT_TITLES_MI" localSheetId="5">#REF!</definedName>
    <definedName name="PRINT_TITLES_MI" localSheetId="12">#REF!</definedName>
    <definedName name="PRINT_TITLES_MI" localSheetId="14">#REF!</definedName>
    <definedName name="PRINT_TITLES_MI" localSheetId="1">Elec.abs!$GJ$7:$IG$7603</definedName>
    <definedName name="PRINT_TITLES_MI" localSheetId="10">#REF!</definedName>
    <definedName name="PRINT_TITLES_MI" localSheetId="18">#REF!</definedName>
    <definedName name="PRINT_TITLES_MI" localSheetId="0">#REF!</definedName>
    <definedName name="PRINT_TITLES_MI" localSheetId="9">#REF!</definedName>
    <definedName name="PRINT_TITLES_MI" localSheetId="13">#REF!</definedName>
    <definedName name="PRINT_TITLES_MI" localSheetId="3">#REF!</definedName>
    <definedName name="PRINT_TITLES_MI" localSheetId="7">#REF!</definedName>
    <definedName name="PRINT_TITLES_MI" localSheetId="11">#REF!</definedName>
    <definedName name="PRINT_TITLES_MI" localSheetId="2">'Water supply Data'!$GL$7:$II$7579</definedName>
    <definedName name="PRINT_TITLES_MI">#REF!</definedName>
    <definedName name="PRINT_TITLES_MI_2" localSheetId="8">#REF!</definedName>
    <definedName name="PRINT_TITLES_MI_2" localSheetId="6">#REF!</definedName>
    <definedName name="PRINT_TITLES_MI_2" localSheetId="4">#REF!</definedName>
    <definedName name="PRINT_TITLES_MI_2" localSheetId="5">#REF!</definedName>
    <definedName name="PRINT_TITLES_MI_2" localSheetId="12">#REF!</definedName>
    <definedName name="PRINT_TITLES_MI_2" localSheetId="14">#REF!</definedName>
    <definedName name="PRINT_TITLES_MI_2" localSheetId="1">#REF!</definedName>
    <definedName name="PRINT_TITLES_MI_2" localSheetId="10">#REF!</definedName>
    <definedName name="PRINT_TITLES_MI_2" localSheetId="18">#REF!</definedName>
    <definedName name="PRINT_TITLES_MI_2" localSheetId="0">#REF!</definedName>
    <definedName name="PRINT_TITLES_MI_2" localSheetId="9">#REF!</definedName>
    <definedName name="PRINT_TITLES_MI_2" localSheetId="13">#REF!</definedName>
    <definedName name="PRINT_TITLES_MI_2" localSheetId="3">#REF!</definedName>
    <definedName name="PRINT_TITLES_MI_2" localSheetId="7">#REF!</definedName>
    <definedName name="PRINT_TITLES_MI_2" localSheetId="11">#REF!</definedName>
    <definedName name="PRINT_TITLES_MI_2" localSheetId="2">#REF!</definedName>
    <definedName name="PRINT_TITLES_MI_2">#REF!</definedName>
    <definedName name="Print_titlesnew" localSheetId="8">#REF!</definedName>
    <definedName name="Print_titlesnew" localSheetId="6">#REF!</definedName>
    <definedName name="Print_titlesnew" localSheetId="4">#REF!</definedName>
    <definedName name="Print_titlesnew" localSheetId="5">#REF!</definedName>
    <definedName name="Print_titlesnew" localSheetId="12">#REF!</definedName>
    <definedName name="Print_titlesnew" localSheetId="14">#REF!</definedName>
    <definedName name="Print_titlesnew" localSheetId="1">#REF!</definedName>
    <definedName name="Print_titlesnew" localSheetId="10">#REF!</definedName>
    <definedName name="Print_titlesnew" localSheetId="18">#REF!</definedName>
    <definedName name="Print_titlesnew" localSheetId="0">#REF!</definedName>
    <definedName name="Print_titlesnew" localSheetId="9">#REF!</definedName>
    <definedName name="Print_titlesnew" localSheetId="13">#REF!</definedName>
    <definedName name="Print_titlesnew" localSheetId="3">#REF!</definedName>
    <definedName name="Print_titlesnew" localSheetId="7">#REF!</definedName>
    <definedName name="Print_titlesnew" localSheetId="11">#REF!</definedName>
    <definedName name="Print_titlesnew" localSheetId="2">#REF!</definedName>
    <definedName name="Print_titlesnew">#REF!</definedName>
    <definedName name="printarea1" localSheetId="8">#REF!</definedName>
    <definedName name="printarea1" localSheetId="6">#REF!</definedName>
    <definedName name="printarea1" localSheetId="4">#REF!</definedName>
    <definedName name="printarea1" localSheetId="5">#REF!</definedName>
    <definedName name="printarea1" localSheetId="12">#REF!</definedName>
    <definedName name="printarea1" localSheetId="14">#REF!</definedName>
    <definedName name="printarea1" localSheetId="1">#REF!</definedName>
    <definedName name="printarea1" localSheetId="10">#REF!</definedName>
    <definedName name="printarea1" localSheetId="18">#REF!</definedName>
    <definedName name="printarea1" localSheetId="0">#REF!</definedName>
    <definedName name="printarea1" localSheetId="9">#REF!</definedName>
    <definedName name="printarea1" localSheetId="13">#REF!</definedName>
    <definedName name="printarea1" localSheetId="3">#REF!</definedName>
    <definedName name="printarea1" localSheetId="7">#REF!</definedName>
    <definedName name="printarea1" localSheetId="11">#REF!</definedName>
    <definedName name="printarea1" localSheetId="2">#REF!</definedName>
    <definedName name="printarea1">#REF!</definedName>
    <definedName name="ps_app" localSheetId="10">#REF!</definedName>
    <definedName name="ps_app">#REF!</definedName>
    <definedName name="ps_est" localSheetId="10">#REF!</definedName>
    <definedName name="ps_est">#REF!</definedName>
    <definedName name="ps_max" localSheetId="10">#REF!</definedName>
    <definedName name="ps_max">#REF!</definedName>
    <definedName name="ps_paid" localSheetId="10">#REF!</definedName>
    <definedName name="ps_paid">#REF!</definedName>
    <definedName name="ps_quo" localSheetId="10">#REF!</definedName>
    <definedName name="ps_quo">#REF!</definedName>
    <definedName name="ps_rec" localSheetId="10">#REF!</definedName>
    <definedName name="ps_rec">#REF!</definedName>
    <definedName name="q">#REF!</definedName>
    <definedName name="QQE" localSheetId="8">#REF!</definedName>
    <definedName name="QQE" localSheetId="6">#REF!</definedName>
    <definedName name="QQE" localSheetId="4">#REF!</definedName>
    <definedName name="QQE" localSheetId="5">#REF!</definedName>
    <definedName name="QQE" localSheetId="12">#REF!</definedName>
    <definedName name="QQE" localSheetId="14">#REF!</definedName>
    <definedName name="QQE" localSheetId="1">#REF!</definedName>
    <definedName name="QQE" localSheetId="10">#REF!</definedName>
    <definedName name="QQE" localSheetId="18">#REF!</definedName>
    <definedName name="QQE" localSheetId="0">#REF!</definedName>
    <definedName name="QQE" localSheetId="9">#REF!</definedName>
    <definedName name="QQE" localSheetId="13">#REF!</definedName>
    <definedName name="QQE" localSheetId="3">#REF!</definedName>
    <definedName name="QQE" localSheetId="7">#REF!</definedName>
    <definedName name="QQE" localSheetId="11">#REF!</definedName>
    <definedName name="QQE" localSheetId="2">#REF!</definedName>
    <definedName name="QQE">#REF!</definedName>
    <definedName name="QWE" localSheetId="8">#REF!</definedName>
    <definedName name="QWE" localSheetId="6">#REF!</definedName>
    <definedName name="QWE" localSheetId="4">#REF!</definedName>
    <definedName name="QWE" localSheetId="5">#REF!</definedName>
    <definedName name="QWE" localSheetId="12">#REF!</definedName>
    <definedName name="QWE" localSheetId="14">#REF!</definedName>
    <definedName name="QWE" localSheetId="1">#REF!</definedName>
    <definedName name="QWE" localSheetId="10">#REF!</definedName>
    <definedName name="QWE" localSheetId="18">#REF!</definedName>
    <definedName name="QWE" localSheetId="0">#REF!</definedName>
    <definedName name="QWE" localSheetId="9">#REF!</definedName>
    <definedName name="QWE" localSheetId="13">#REF!</definedName>
    <definedName name="QWE" localSheetId="3">#REF!</definedName>
    <definedName name="QWE" localSheetId="7">#REF!</definedName>
    <definedName name="QWE" localSheetId="11">#REF!</definedName>
    <definedName name="QWE" localSheetId="2">#REF!</definedName>
    <definedName name="QWE">#REF!</definedName>
    <definedName name="R.R_1.3" localSheetId="8">#REF!</definedName>
    <definedName name="R.R_1.3" localSheetId="6">#REF!</definedName>
    <definedName name="R.R_1.3" localSheetId="4">#REF!</definedName>
    <definedName name="R.R_1.3" localSheetId="5">#REF!</definedName>
    <definedName name="R.R_1.3" localSheetId="12">#REF!</definedName>
    <definedName name="R.R_1.3" localSheetId="14">#REF!</definedName>
    <definedName name="R.R_1.3" localSheetId="1">#REF!</definedName>
    <definedName name="R.R_1.3" localSheetId="10">#REF!</definedName>
    <definedName name="R.R_1.3" localSheetId="18">#REF!</definedName>
    <definedName name="R.R_1.3" localSheetId="0">#REF!</definedName>
    <definedName name="R.R_1.3" localSheetId="9">#REF!</definedName>
    <definedName name="R.R_1.3" localSheetId="13">#REF!</definedName>
    <definedName name="R.R_1.3" localSheetId="3">#REF!</definedName>
    <definedName name="R.R_1.3" localSheetId="7">#REF!</definedName>
    <definedName name="R.R_1.3" localSheetId="11">#REF!</definedName>
    <definedName name="R.R_1.3" localSheetId="2">#REF!</definedName>
    <definedName name="R.R_1.3">#REF!</definedName>
    <definedName name="R.R_1.5" localSheetId="8">#REF!</definedName>
    <definedName name="R.R_1.5" localSheetId="6">#REF!</definedName>
    <definedName name="R.R_1.5" localSheetId="4">#REF!</definedName>
    <definedName name="R.R_1.5" localSheetId="5">#REF!</definedName>
    <definedName name="R.R_1.5" localSheetId="12">#REF!</definedName>
    <definedName name="R.R_1.5" localSheetId="14">#REF!</definedName>
    <definedName name="R.R_1.5" localSheetId="1">#REF!</definedName>
    <definedName name="R.R_1.5" localSheetId="10">#REF!</definedName>
    <definedName name="R.R_1.5" localSheetId="18">#REF!</definedName>
    <definedName name="R.R_1.5" localSheetId="0">#REF!</definedName>
    <definedName name="R.R_1.5" localSheetId="9">#REF!</definedName>
    <definedName name="R.R_1.5" localSheetId="13">#REF!</definedName>
    <definedName name="R.R_1.5" localSheetId="3">#REF!</definedName>
    <definedName name="R.R_1.5" localSheetId="7">#REF!</definedName>
    <definedName name="R.R_1.5" localSheetId="11">#REF!</definedName>
    <definedName name="R.R_1.5" localSheetId="2">#REF!</definedName>
    <definedName name="R.R_1.5">#REF!</definedName>
    <definedName name="R.R_1.6" localSheetId="8">#REF!</definedName>
    <definedName name="R.R_1.6" localSheetId="6">#REF!</definedName>
    <definedName name="R.R_1.6" localSheetId="4">#REF!</definedName>
    <definedName name="R.R_1.6" localSheetId="5">#REF!</definedName>
    <definedName name="R.R_1.6" localSheetId="12">#REF!</definedName>
    <definedName name="R.R_1.6" localSheetId="14">#REF!</definedName>
    <definedName name="R.R_1.6" localSheetId="1">#REF!</definedName>
    <definedName name="R.R_1.6" localSheetId="10">#REF!</definedName>
    <definedName name="R.R_1.6" localSheetId="18">#REF!</definedName>
    <definedName name="R.R_1.6" localSheetId="0">#REF!</definedName>
    <definedName name="R.R_1.6" localSheetId="9">#REF!</definedName>
    <definedName name="R.R_1.6" localSheetId="13">#REF!</definedName>
    <definedName name="R.R_1.6" localSheetId="3">#REF!</definedName>
    <definedName name="R.R_1.6" localSheetId="7">#REF!</definedName>
    <definedName name="R.R_1.6" localSheetId="11">#REF!</definedName>
    <definedName name="R.R_1.6" localSheetId="2">#REF!</definedName>
    <definedName name="R.R_1.6">#REF!</definedName>
    <definedName name="RATE" localSheetId="8">#REF!</definedName>
    <definedName name="RATE" localSheetId="6">#REF!</definedName>
    <definedName name="RATE" localSheetId="4">#REF!</definedName>
    <definedName name="RATE" localSheetId="5">#REF!</definedName>
    <definedName name="RATE" localSheetId="12">#REF!</definedName>
    <definedName name="RATE" localSheetId="14">#REF!</definedName>
    <definedName name="RATE" localSheetId="1">#REF!</definedName>
    <definedName name="RATE" localSheetId="10">#REF!</definedName>
    <definedName name="RATE" localSheetId="18">#REF!</definedName>
    <definedName name="RATE" localSheetId="0">#REF!</definedName>
    <definedName name="RATE" localSheetId="9">#REF!</definedName>
    <definedName name="RATE" localSheetId="13">#REF!</definedName>
    <definedName name="RATE" localSheetId="3">#REF!</definedName>
    <definedName name="RATE" localSheetId="7">#REF!</definedName>
    <definedName name="RATE" localSheetId="11">#REF!</definedName>
    <definedName name="RATE" localSheetId="2">#REF!</definedName>
    <definedName name="RATE">#REF!</definedName>
    <definedName name="Rate_for_1_Cum" localSheetId="8">#REF!</definedName>
    <definedName name="Rate_for_1_Cum" localSheetId="6">#REF!</definedName>
    <definedName name="Rate_for_1_Cum" localSheetId="4">#REF!</definedName>
    <definedName name="Rate_for_1_Cum" localSheetId="5">#REF!</definedName>
    <definedName name="Rate_for_1_Cum" localSheetId="12">#REF!</definedName>
    <definedName name="Rate_for_1_Cum" localSheetId="14">#REF!</definedName>
    <definedName name="Rate_for_1_Cum" localSheetId="1">#REF!</definedName>
    <definedName name="Rate_for_1_Cum" localSheetId="10">#REF!</definedName>
    <definedName name="Rate_for_1_Cum" localSheetId="18">#REF!</definedName>
    <definedName name="Rate_for_1_Cum" localSheetId="0">#REF!</definedName>
    <definedName name="Rate_for_1_Cum" localSheetId="9">#REF!</definedName>
    <definedName name="Rate_for_1_Cum" localSheetId="13">#REF!</definedName>
    <definedName name="Rate_for_1_Cum" localSheetId="3">#REF!</definedName>
    <definedName name="Rate_for_1_Cum" localSheetId="7">#REF!</definedName>
    <definedName name="Rate_for_1_Cum" localSheetId="11">#REF!</definedName>
    <definedName name="Rate_for_1_Cum" localSheetId="2">#REF!</definedName>
    <definedName name="Rate_for_1_Cum">#REF!</definedName>
    <definedName name="Rates_Charges" localSheetId="8">#REF!</definedName>
    <definedName name="Rates_Charges" localSheetId="6">#REF!</definedName>
    <definedName name="Rates_Charges" localSheetId="4">#REF!</definedName>
    <definedName name="Rates_Charges" localSheetId="5">#REF!</definedName>
    <definedName name="Rates_Charges" localSheetId="12">#REF!</definedName>
    <definedName name="Rates_Charges" localSheetId="14">#REF!</definedName>
    <definedName name="Rates_Charges" localSheetId="1">#REF!</definedName>
    <definedName name="Rates_Charges" localSheetId="10">#REF!</definedName>
    <definedName name="Rates_Charges" localSheetId="18">#REF!</definedName>
    <definedName name="Rates_Charges" localSheetId="0">#REF!</definedName>
    <definedName name="Rates_Charges" localSheetId="9">#REF!</definedName>
    <definedName name="Rates_Charges" localSheetId="13">#REF!</definedName>
    <definedName name="Rates_Charges" localSheetId="3">#REF!</definedName>
    <definedName name="Rates_Charges" localSheetId="7">#REF!</definedName>
    <definedName name="Rates_Charges" localSheetId="11">#REF!</definedName>
    <definedName name="Rates_Charges" localSheetId="2">#REF!</definedName>
    <definedName name="Rates_Charges">#REF!</definedName>
    <definedName name="Rates_Labour" localSheetId="8">#REF!</definedName>
    <definedName name="Rates_Labour" localSheetId="6">#REF!</definedName>
    <definedName name="Rates_Labour" localSheetId="4">#REF!</definedName>
    <definedName name="Rates_Labour" localSheetId="5">#REF!</definedName>
    <definedName name="Rates_Labour" localSheetId="12">#REF!</definedName>
    <definedName name="Rates_Labour" localSheetId="14">#REF!</definedName>
    <definedName name="Rates_Labour" localSheetId="1">#REF!</definedName>
    <definedName name="Rates_Labour" localSheetId="10">#REF!</definedName>
    <definedName name="Rates_Labour" localSheetId="18">#REF!</definedName>
    <definedName name="Rates_Labour" localSheetId="0">#REF!</definedName>
    <definedName name="Rates_Labour" localSheetId="9">#REF!</definedName>
    <definedName name="Rates_Labour" localSheetId="13">#REF!</definedName>
    <definedName name="Rates_Labour" localSheetId="3">#REF!</definedName>
    <definedName name="Rates_Labour" localSheetId="7">#REF!</definedName>
    <definedName name="Rates_Labour" localSheetId="11">#REF!</definedName>
    <definedName name="Rates_Labour" localSheetId="2">#REF!</definedName>
    <definedName name="Rates_Labour">#REF!</definedName>
    <definedName name="Rates_Materials" localSheetId="8">#REF!</definedName>
    <definedName name="Rates_Materials" localSheetId="6">#REF!</definedName>
    <definedName name="Rates_Materials" localSheetId="4">#REF!</definedName>
    <definedName name="Rates_Materials" localSheetId="5">#REF!</definedName>
    <definedName name="Rates_Materials" localSheetId="12">#REF!</definedName>
    <definedName name="Rates_Materials" localSheetId="14">#REF!</definedName>
    <definedName name="Rates_Materials" localSheetId="1">#REF!</definedName>
    <definedName name="Rates_Materials" localSheetId="10">#REF!</definedName>
    <definedName name="Rates_Materials" localSheetId="18">#REF!</definedName>
    <definedName name="Rates_Materials" localSheetId="0">#REF!</definedName>
    <definedName name="Rates_Materials" localSheetId="9">#REF!</definedName>
    <definedName name="Rates_Materials" localSheetId="13">#REF!</definedName>
    <definedName name="Rates_Materials" localSheetId="3">#REF!</definedName>
    <definedName name="Rates_Materials" localSheetId="7">#REF!</definedName>
    <definedName name="Rates_Materials" localSheetId="11">#REF!</definedName>
    <definedName name="Rates_Materials" localSheetId="2">#REF!</definedName>
    <definedName name="Rates_Materials">#REF!</definedName>
    <definedName name="RCC" localSheetId="8">#REF!</definedName>
    <definedName name="RCC" localSheetId="6">#REF!</definedName>
    <definedName name="RCC" localSheetId="4">#REF!</definedName>
    <definedName name="RCC" localSheetId="5">#REF!</definedName>
    <definedName name="RCC" localSheetId="12">#REF!</definedName>
    <definedName name="RCC" localSheetId="14">#REF!</definedName>
    <definedName name="RCC" localSheetId="1">#REF!</definedName>
    <definedName name="RCC" localSheetId="10">#REF!</definedName>
    <definedName name="RCC" localSheetId="18">#REF!</definedName>
    <definedName name="RCC" localSheetId="0">#REF!</definedName>
    <definedName name="RCC" localSheetId="9">#REF!</definedName>
    <definedName name="RCC" localSheetId="13">#REF!</definedName>
    <definedName name="RCC" localSheetId="3">#REF!</definedName>
    <definedName name="RCC" localSheetId="7">#REF!</definedName>
    <definedName name="RCC" localSheetId="11">#REF!</definedName>
    <definedName name="RCC" localSheetId="2">#REF!</definedName>
    <definedName name="RCC">#REF!</definedName>
    <definedName name="RCC.1.1.2_MB" localSheetId="8">#REF!</definedName>
    <definedName name="RCC.1.1.2_MB" localSheetId="6">#REF!</definedName>
    <definedName name="RCC.1.1.2_MB" localSheetId="4">#REF!</definedName>
    <definedName name="RCC.1.1.2_MB" localSheetId="5">#REF!</definedName>
    <definedName name="RCC.1.1.2_MB" localSheetId="12">#REF!</definedName>
    <definedName name="RCC.1.1.2_MB" localSheetId="14">#REF!</definedName>
    <definedName name="RCC.1.1.2_MB" localSheetId="1">#REF!</definedName>
    <definedName name="RCC.1.1.2_MB" localSheetId="10">#REF!</definedName>
    <definedName name="RCC.1.1.2_MB" localSheetId="18">#REF!</definedName>
    <definedName name="RCC.1.1.2_MB" localSheetId="0">#REF!</definedName>
    <definedName name="RCC.1.1.2_MB" localSheetId="9">#REF!</definedName>
    <definedName name="RCC.1.1.2_MB" localSheetId="13">#REF!</definedName>
    <definedName name="RCC.1.1.2_MB" localSheetId="3">#REF!</definedName>
    <definedName name="RCC.1.1.2_MB" localSheetId="7">#REF!</definedName>
    <definedName name="RCC.1.1.2_MB" localSheetId="11">#REF!</definedName>
    <definedName name="RCC.1.1.2_MB" localSheetId="2">#REF!</definedName>
    <definedName name="RCC.1.1.2_MB">#REF!</definedName>
    <definedName name="RCC.1.1.5.3_MB" localSheetId="8">#REF!</definedName>
    <definedName name="RCC.1.1.5.3_MB" localSheetId="6">#REF!</definedName>
    <definedName name="RCC.1.1.5.3_MB" localSheetId="4">#REF!</definedName>
    <definedName name="RCC.1.1.5.3_MB" localSheetId="5">#REF!</definedName>
    <definedName name="RCC.1.1.5.3_MB" localSheetId="12">#REF!</definedName>
    <definedName name="RCC.1.1.5.3_MB" localSheetId="14">#REF!</definedName>
    <definedName name="RCC.1.1.5.3_MB" localSheetId="1">#REF!</definedName>
    <definedName name="RCC.1.1.5.3_MB" localSheetId="10">#REF!</definedName>
    <definedName name="RCC.1.1.5.3_MB" localSheetId="18">#REF!</definedName>
    <definedName name="RCC.1.1.5.3_MB" localSheetId="0">#REF!</definedName>
    <definedName name="RCC.1.1.5.3_MB" localSheetId="9">#REF!</definedName>
    <definedName name="RCC.1.1.5.3_MB" localSheetId="13">#REF!</definedName>
    <definedName name="RCC.1.1.5.3_MB" localSheetId="3">#REF!</definedName>
    <definedName name="RCC.1.1.5.3_MB" localSheetId="7">#REF!</definedName>
    <definedName name="RCC.1.1.5.3_MB" localSheetId="11">#REF!</definedName>
    <definedName name="RCC.1.1.5.3_MB" localSheetId="2">#REF!</definedName>
    <definedName name="RCC.1.1.5.3_MB">#REF!</definedName>
    <definedName name="RCC.1.2.4_MB" localSheetId="8">#REF!</definedName>
    <definedName name="RCC.1.2.4_MB" localSheetId="6">#REF!</definedName>
    <definedName name="RCC.1.2.4_MB" localSheetId="4">#REF!</definedName>
    <definedName name="RCC.1.2.4_MB" localSheetId="5">#REF!</definedName>
    <definedName name="RCC.1.2.4_MB" localSheetId="12">#REF!</definedName>
    <definedName name="RCC.1.2.4_MB" localSheetId="14">#REF!</definedName>
    <definedName name="RCC.1.2.4_MB" localSheetId="1">#REF!</definedName>
    <definedName name="RCC.1.2.4_MB" localSheetId="10">#REF!</definedName>
    <definedName name="RCC.1.2.4_MB" localSheetId="18">#REF!</definedName>
    <definedName name="RCC.1.2.4_MB" localSheetId="0">#REF!</definedName>
    <definedName name="RCC.1.2.4_MB" localSheetId="9">#REF!</definedName>
    <definedName name="RCC.1.2.4_MB" localSheetId="13">#REF!</definedName>
    <definedName name="RCC.1.2.4_MB" localSheetId="3">#REF!</definedName>
    <definedName name="RCC.1.2.4_MB" localSheetId="7">#REF!</definedName>
    <definedName name="RCC.1.2.4_MB" localSheetId="11">#REF!</definedName>
    <definedName name="RCC.1.2.4_MB" localSheetId="2">#REF!</definedName>
    <definedName name="RCC.1.2.4_MB">#REF!</definedName>
    <definedName name="RCC_11" localSheetId="8">#REF!</definedName>
    <definedName name="RCC_11" localSheetId="6">#REF!</definedName>
    <definedName name="RCC_11" localSheetId="4">#REF!</definedName>
    <definedName name="RCC_11" localSheetId="5">#REF!</definedName>
    <definedName name="RCC_11" localSheetId="12">#REF!</definedName>
    <definedName name="RCC_11" localSheetId="14">#REF!</definedName>
    <definedName name="RCC_11" localSheetId="1">#REF!</definedName>
    <definedName name="RCC_11" localSheetId="10">#REF!</definedName>
    <definedName name="RCC_11" localSheetId="18">#REF!</definedName>
    <definedName name="RCC_11" localSheetId="0">#REF!</definedName>
    <definedName name="RCC_11" localSheetId="9">#REF!</definedName>
    <definedName name="RCC_11" localSheetId="13">#REF!</definedName>
    <definedName name="RCC_11" localSheetId="3">#REF!</definedName>
    <definedName name="RCC_11" localSheetId="7">#REF!</definedName>
    <definedName name="RCC_11" localSheetId="11">#REF!</definedName>
    <definedName name="RCC_11" localSheetId="2">#REF!</definedName>
    <definedName name="RCC_11">#REF!</definedName>
    <definedName name="RCC_3" localSheetId="8">#REF!</definedName>
    <definedName name="RCC_3" localSheetId="6">#REF!</definedName>
    <definedName name="RCC_3" localSheetId="4">#REF!</definedName>
    <definedName name="RCC_3" localSheetId="5">#REF!</definedName>
    <definedName name="RCC_3" localSheetId="12">#REF!</definedName>
    <definedName name="RCC_3" localSheetId="14">#REF!</definedName>
    <definedName name="RCC_3" localSheetId="1">#REF!</definedName>
    <definedName name="RCC_3" localSheetId="10">#REF!</definedName>
    <definedName name="RCC_3" localSheetId="18">#REF!</definedName>
    <definedName name="RCC_3" localSheetId="0">#REF!</definedName>
    <definedName name="RCC_3" localSheetId="9">#REF!</definedName>
    <definedName name="RCC_3" localSheetId="13">#REF!</definedName>
    <definedName name="RCC_3" localSheetId="3">#REF!</definedName>
    <definedName name="RCC_3" localSheetId="7">#REF!</definedName>
    <definedName name="RCC_3" localSheetId="11">#REF!</definedName>
    <definedName name="RCC_3" localSheetId="2">#REF!</definedName>
    <definedName name="RCC_3">#REF!</definedName>
    <definedName name="RCC_6" localSheetId="8">#REF!</definedName>
    <definedName name="RCC_6" localSheetId="6">#REF!</definedName>
    <definedName name="RCC_6" localSheetId="4">#REF!</definedName>
    <definedName name="RCC_6" localSheetId="5">#REF!</definedName>
    <definedName name="RCC_6" localSheetId="12">#REF!</definedName>
    <definedName name="RCC_6" localSheetId="14">#REF!</definedName>
    <definedName name="RCC_6" localSheetId="1">#REF!</definedName>
    <definedName name="RCC_6" localSheetId="10">#REF!</definedName>
    <definedName name="RCC_6" localSheetId="18">#REF!</definedName>
    <definedName name="RCC_6" localSheetId="0">#REF!</definedName>
    <definedName name="RCC_6" localSheetId="9">#REF!</definedName>
    <definedName name="RCC_6" localSheetId="13">#REF!</definedName>
    <definedName name="RCC_6" localSheetId="3">#REF!</definedName>
    <definedName name="RCC_6" localSheetId="7">#REF!</definedName>
    <definedName name="RCC_6" localSheetId="11">#REF!</definedName>
    <definedName name="RCC_6" localSheetId="2">#REF!</definedName>
    <definedName name="RCC_6">#REF!</definedName>
    <definedName name="re" localSheetId="8">#REF!</definedName>
    <definedName name="re" localSheetId="6">#REF!</definedName>
    <definedName name="re" localSheetId="4">#REF!</definedName>
    <definedName name="re" localSheetId="5">#REF!</definedName>
    <definedName name="re" localSheetId="12">#REF!</definedName>
    <definedName name="re" localSheetId="14">#REF!</definedName>
    <definedName name="re" localSheetId="1">#REF!</definedName>
    <definedName name="re" localSheetId="10">#REF!</definedName>
    <definedName name="re" localSheetId="18">#REF!</definedName>
    <definedName name="re" localSheetId="0">#REF!</definedName>
    <definedName name="re" localSheetId="9">#REF!</definedName>
    <definedName name="re" localSheetId="13">#REF!</definedName>
    <definedName name="re" localSheetId="3">#REF!</definedName>
    <definedName name="re" localSheetId="7">#REF!</definedName>
    <definedName name="re" localSheetId="11">#REF!</definedName>
    <definedName name="re" localSheetId="2">#REF!</definedName>
    <definedName name="re">#REF!</definedName>
    <definedName name="READVDF1" localSheetId="12">OFFSET(Full_Print,0,0,'Design of septic tank'!Last_Row)</definedName>
    <definedName name="READVDF1" localSheetId="14">OFFSET(Full_Print,0,0,'det -detail'!Last_Row)</definedName>
    <definedName name="READVDF1" localSheetId="10">OFFSET(electrical!Full_Print,0,0,electrical!Last_Row)</definedName>
    <definedName name="READVDF1" localSheetId="18">OFFSET(Full_Print,0,0,'Main Building Details'!Last_Row)</definedName>
    <definedName name="READVDF1" localSheetId="13">OFFSET(Full_Print,0,0,'Septic tank'!Last_Row)</definedName>
    <definedName name="READVDF1" localSheetId="11">OFFSET(Full_Print,0,0,'Sullage Drain'!Last_Row)</definedName>
    <definedName name="READVDF1">OFFSET(Full_Print,0,0,Last_Row)</definedName>
    <definedName name="red" localSheetId="8">#REF!</definedName>
    <definedName name="red" localSheetId="6">#REF!</definedName>
    <definedName name="red" localSheetId="4">#REF!</definedName>
    <definedName name="red" localSheetId="5">#REF!</definedName>
    <definedName name="red" localSheetId="12">#REF!</definedName>
    <definedName name="red" localSheetId="14">#REF!</definedName>
    <definedName name="red" localSheetId="1">#REF!</definedName>
    <definedName name="red" localSheetId="10">#REF!</definedName>
    <definedName name="red" localSheetId="18">#REF!</definedName>
    <definedName name="red" localSheetId="0">#REF!</definedName>
    <definedName name="red" localSheetId="9">#REF!</definedName>
    <definedName name="red" localSheetId="13">#REF!</definedName>
    <definedName name="red" localSheetId="3">#REF!</definedName>
    <definedName name="red" localSheetId="7">#REF!</definedName>
    <definedName name="red" localSheetId="11">#REF!</definedName>
    <definedName name="red" localSheetId="2">#REF!</definedName>
    <definedName name="red">#REF!</definedName>
    <definedName name="REDOXIDE" localSheetId="8">#REF!</definedName>
    <definedName name="REDOXIDE" localSheetId="6">#REF!</definedName>
    <definedName name="REDOXIDE" localSheetId="4">#REF!</definedName>
    <definedName name="REDOXIDE" localSheetId="5">#REF!</definedName>
    <definedName name="REDOXIDE" localSheetId="12">#REF!</definedName>
    <definedName name="REDOXIDE" localSheetId="14">#REF!</definedName>
    <definedName name="REDOXIDE" localSheetId="1">#REF!</definedName>
    <definedName name="REDOXIDE" localSheetId="10">#REF!</definedName>
    <definedName name="REDOXIDE" localSheetId="18">#REF!</definedName>
    <definedName name="REDOXIDE" localSheetId="0">#REF!</definedName>
    <definedName name="REDOXIDE" localSheetId="9">#REF!</definedName>
    <definedName name="REDOXIDE" localSheetId="13">#REF!</definedName>
    <definedName name="REDOXIDE" localSheetId="3">#REF!</definedName>
    <definedName name="REDOXIDE" localSheetId="7">#REF!</definedName>
    <definedName name="REDOXIDE" localSheetId="11">#REF!</definedName>
    <definedName name="REDOXIDE" localSheetId="2">#REF!</definedName>
    <definedName name="REDOXIDE">#REF!</definedName>
    <definedName name="REINFORCE" localSheetId="8">#REF!</definedName>
    <definedName name="REINFORCE" localSheetId="6">#REF!</definedName>
    <definedName name="REINFORCE" localSheetId="4">#REF!</definedName>
    <definedName name="REINFORCE" localSheetId="5">#REF!</definedName>
    <definedName name="REINFORCE" localSheetId="12">#REF!</definedName>
    <definedName name="REINFORCE" localSheetId="14">#REF!</definedName>
    <definedName name="REINFORCE" localSheetId="1">#REF!</definedName>
    <definedName name="REINFORCE" localSheetId="10">#REF!</definedName>
    <definedName name="REINFORCE" localSheetId="18">#REF!</definedName>
    <definedName name="REINFORCE" localSheetId="0">#REF!</definedName>
    <definedName name="REINFORCE" localSheetId="9">#REF!</definedName>
    <definedName name="REINFORCE" localSheetId="13">#REF!</definedName>
    <definedName name="REINFORCE" localSheetId="3">#REF!</definedName>
    <definedName name="REINFORCE" localSheetId="7">#REF!</definedName>
    <definedName name="REINFORCE" localSheetId="11">#REF!</definedName>
    <definedName name="REINFORCE" localSheetId="2">#REF!</definedName>
    <definedName name="REINFORCE">#REF!</definedName>
    <definedName name="road" localSheetId="12">DATE(YEAR(Loan_Start),MONTH(Loan_Start)+Payment_Number,DAY(Loan_Start))</definedName>
    <definedName name="road" localSheetId="14">DATE(YEAR(Loan_Start),MONTH(Loan_Start)+Payment_Number,DAY(Loan_Start))</definedName>
    <definedName name="road" localSheetId="10">DATE(YEAR(electrical!Loan_Start),MONTH(electrical!Loan_Start)+Payment_Number,DAY(electrical!Loan_Start))</definedName>
    <definedName name="road" localSheetId="18">DATE(YEAR(Loan_Start),MONTH(Loan_Start)+Payment_Number,DAY(Loan_Start))</definedName>
    <definedName name="road" localSheetId="13">DATE(YEAR(Loan_Start),MONTH(Loan_Start)+Payment_Number,DAY(Loan_Start))</definedName>
    <definedName name="road" localSheetId="11">DATE(YEAR(Loan_Start),MONTH(Loan_Start)+Payment_Number,DAY(Loan_Start))</definedName>
    <definedName name="road">DATE(YEAR(Loan_Start),MONTH(Loan_Start)+Payment_Number,DAY(Loan_Start))</definedName>
    <definedName name="Road_Data" localSheetId="4">[1]Data!#REF!</definedName>
    <definedName name="Road_Data" localSheetId="5">[1]Data!#REF!</definedName>
    <definedName name="Road_Data" localSheetId="12">[1]Data!#REF!</definedName>
    <definedName name="Road_Data" localSheetId="14">[1]Data!#REF!</definedName>
    <definedName name="Road_Data" localSheetId="10">[1]Data!#REF!</definedName>
    <definedName name="Road_Data" localSheetId="18">[1]Data!#REF!</definedName>
    <definedName name="Road_Data" localSheetId="13">[1]Data!#REF!</definedName>
    <definedName name="Road_Data" localSheetId="11">[1]Data!#REF!</definedName>
    <definedName name="Road_Data">[1]Data!#REF!</definedName>
    <definedName name="Road_data_1" localSheetId="8">#REF!</definedName>
    <definedName name="Road_data_1" localSheetId="6">#REF!</definedName>
    <definedName name="Road_data_1" localSheetId="4">#REF!</definedName>
    <definedName name="Road_data_1" localSheetId="5">#REF!</definedName>
    <definedName name="Road_data_1" localSheetId="12">#REF!</definedName>
    <definedName name="Road_data_1" localSheetId="14">#REF!</definedName>
    <definedName name="Road_data_1" localSheetId="1">#REF!</definedName>
    <definedName name="Road_data_1" localSheetId="10">#REF!</definedName>
    <definedName name="Road_data_1" localSheetId="18">#REF!</definedName>
    <definedName name="Road_data_1" localSheetId="0">#REF!</definedName>
    <definedName name="Road_data_1" localSheetId="9">#REF!</definedName>
    <definedName name="Road_data_1" localSheetId="13">#REF!</definedName>
    <definedName name="Road_data_1" localSheetId="3">#REF!</definedName>
    <definedName name="Road_data_1" localSheetId="7">#REF!</definedName>
    <definedName name="Road_data_1" localSheetId="11">#REF!</definedName>
    <definedName name="Road_data_1" localSheetId="2">#REF!</definedName>
    <definedName name="Road_data_1">#REF!</definedName>
    <definedName name="Road_Data_11" localSheetId="8">#REF!</definedName>
    <definedName name="Road_Data_11" localSheetId="6">#REF!</definedName>
    <definedName name="Road_Data_11" localSheetId="4">#REF!</definedName>
    <definedName name="Road_Data_11" localSheetId="5">#REF!</definedName>
    <definedName name="Road_Data_11" localSheetId="12">#REF!</definedName>
    <definedName name="Road_Data_11" localSheetId="14">#REF!</definedName>
    <definedName name="Road_Data_11" localSheetId="1">#REF!</definedName>
    <definedName name="Road_Data_11" localSheetId="10">#REF!</definedName>
    <definedName name="Road_Data_11" localSheetId="18">#REF!</definedName>
    <definedName name="Road_Data_11" localSheetId="0">#REF!</definedName>
    <definedName name="Road_Data_11" localSheetId="9">#REF!</definedName>
    <definedName name="Road_Data_11" localSheetId="13">#REF!</definedName>
    <definedName name="Road_Data_11" localSheetId="3">#REF!</definedName>
    <definedName name="Road_Data_11" localSheetId="7">#REF!</definedName>
    <definedName name="Road_Data_11" localSheetId="11">#REF!</definedName>
    <definedName name="Road_Data_11" localSheetId="2">#REF!</definedName>
    <definedName name="Road_Data_11">#REF!</definedName>
    <definedName name="Road_data_2" localSheetId="8">#REF!</definedName>
    <definedName name="Road_data_2" localSheetId="6">#REF!</definedName>
    <definedName name="Road_data_2" localSheetId="4">#REF!</definedName>
    <definedName name="Road_data_2" localSheetId="5">#REF!</definedName>
    <definedName name="Road_data_2" localSheetId="12">#REF!</definedName>
    <definedName name="Road_data_2" localSheetId="14">#REF!</definedName>
    <definedName name="Road_data_2" localSheetId="1">#REF!</definedName>
    <definedName name="Road_data_2" localSheetId="10">#REF!</definedName>
    <definedName name="Road_data_2" localSheetId="18">#REF!</definedName>
    <definedName name="Road_data_2" localSheetId="0">#REF!</definedName>
    <definedName name="Road_data_2" localSheetId="9">#REF!</definedName>
    <definedName name="Road_data_2" localSheetId="13">#REF!</definedName>
    <definedName name="Road_data_2" localSheetId="3">#REF!</definedName>
    <definedName name="Road_data_2" localSheetId="7">#REF!</definedName>
    <definedName name="Road_data_2" localSheetId="11">#REF!</definedName>
    <definedName name="Road_data_2" localSheetId="2">#REF!</definedName>
    <definedName name="Road_data_2">#REF!</definedName>
    <definedName name="Road_Data_3" localSheetId="8">#REF!</definedName>
    <definedName name="Road_Data_3" localSheetId="6">#REF!</definedName>
    <definedName name="Road_Data_3" localSheetId="4">#REF!</definedName>
    <definedName name="Road_Data_3" localSheetId="5">#REF!</definedName>
    <definedName name="Road_Data_3" localSheetId="12">#REF!</definedName>
    <definedName name="Road_Data_3" localSheetId="14">#REF!</definedName>
    <definedName name="Road_Data_3" localSheetId="1">#REF!</definedName>
    <definedName name="Road_Data_3" localSheetId="10">#REF!</definedName>
    <definedName name="Road_Data_3" localSheetId="18">#REF!</definedName>
    <definedName name="Road_Data_3" localSheetId="0">#REF!</definedName>
    <definedName name="Road_Data_3" localSheetId="9">#REF!</definedName>
    <definedName name="Road_Data_3" localSheetId="13">#REF!</definedName>
    <definedName name="Road_Data_3" localSheetId="3">#REF!</definedName>
    <definedName name="Road_Data_3" localSheetId="7">#REF!</definedName>
    <definedName name="Road_Data_3" localSheetId="11">#REF!</definedName>
    <definedName name="Road_Data_3" localSheetId="2">#REF!</definedName>
    <definedName name="Road_Data_3">#REF!</definedName>
    <definedName name="Road_data_5" localSheetId="8">#REF!</definedName>
    <definedName name="Road_data_5" localSheetId="6">#REF!</definedName>
    <definedName name="Road_data_5" localSheetId="4">#REF!</definedName>
    <definedName name="Road_data_5" localSheetId="5">#REF!</definedName>
    <definedName name="Road_data_5" localSheetId="12">#REF!</definedName>
    <definedName name="Road_data_5" localSheetId="14">#REF!</definedName>
    <definedName name="Road_data_5" localSheetId="1">#REF!</definedName>
    <definedName name="Road_data_5" localSheetId="10">#REF!</definedName>
    <definedName name="Road_data_5" localSheetId="18">#REF!</definedName>
    <definedName name="Road_data_5" localSheetId="0">#REF!</definedName>
    <definedName name="Road_data_5" localSheetId="9">#REF!</definedName>
    <definedName name="Road_data_5" localSheetId="13">#REF!</definedName>
    <definedName name="Road_data_5" localSheetId="3">#REF!</definedName>
    <definedName name="Road_data_5" localSheetId="7">#REF!</definedName>
    <definedName name="Road_data_5" localSheetId="11">#REF!</definedName>
    <definedName name="Road_data_5" localSheetId="2">#REF!</definedName>
    <definedName name="Road_data_5">#REF!</definedName>
    <definedName name="Road_data_6" localSheetId="8">#REF!</definedName>
    <definedName name="Road_data_6" localSheetId="6">#REF!</definedName>
    <definedName name="Road_data_6" localSheetId="4">#REF!</definedName>
    <definedName name="Road_data_6" localSheetId="5">#REF!</definedName>
    <definedName name="Road_data_6" localSheetId="12">#REF!</definedName>
    <definedName name="Road_data_6" localSheetId="14">#REF!</definedName>
    <definedName name="Road_data_6" localSheetId="1">#REF!</definedName>
    <definedName name="Road_data_6" localSheetId="10">#REF!</definedName>
    <definedName name="Road_data_6" localSheetId="18">#REF!</definedName>
    <definedName name="Road_data_6" localSheetId="0">#REF!</definedName>
    <definedName name="Road_data_6" localSheetId="9">#REF!</definedName>
    <definedName name="Road_data_6" localSheetId="13">#REF!</definedName>
    <definedName name="Road_data_6" localSheetId="3">#REF!</definedName>
    <definedName name="Road_data_6" localSheetId="7">#REF!</definedName>
    <definedName name="Road_data_6" localSheetId="11">#REF!</definedName>
    <definedName name="Road_data_6" localSheetId="2">#REF!</definedName>
    <definedName name="Road_data_6">#REF!</definedName>
    <definedName name="Road_Data_7" localSheetId="4">[1]Data!#REF!</definedName>
    <definedName name="Road_Data_7" localSheetId="5">[1]Data!#REF!</definedName>
    <definedName name="Road_Data_7" localSheetId="12">[1]Data!#REF!</definedName>
    <definedName name="Road_Data_7" localSheetId="14">[1]Data!#REF!</definedName>
    <definedName name="Road_Data_7" localSheetId="10">[1]Data!#REF!</definedName>
    <definedName name="Road_Data_7" localSheetId="18">[1]Data!#REF!</definedName>
    <definedName name="Road_Data_7" localSheetId="13">[1]Data!#REF!</definedName>
    <definedName name="Road_Data_7" localSheetId="11">[1]Data!#REF!</definedName>
    <definedName name="Road_Data_7">[1]Data!#REF!</definedName>
    <definedName name="Road_Data_8" localSheetId="4">[1]Data!#REF!</definedName>
    <definedName name="Road_Data_8" localSheetId="5">[1]Data!#REF!</definedName>
    <definedName name="Road_Data_8" localSheetId="12">[1]Data!#REF!</definedName>
    <definedName name="Road_Data_8" localSheetId="14">[1]Data!#REF!</definedName>
    <definedName name="Road_Data_8" localSheetId="10">[1]Data!#REF!</definedName>
    <definedName name="Road_Data_8" localSheetId="18">[1]Data!#REF!</definedName>
    <definedName name="Road_Data_8" localSheetId="13">[1]Data!#REF!</definedName>
    <definedName name="Road_Data_8" localSheetId="11">[1]Data!#REF!</definedName>
    <definedName name="Road_Data_8">[1]Data!#REF!</definedName>
    <definedName name="Roof_finishing" localSheetId="8">#REF!</definedName>
    <definedName name="Roof_finishing" localSheetId="6">#REF!</definedName>
    <definedName name="Roof_finishing" localSheetId="4">#REF!</definedName>
    <definedName name="Roof_finishing" localSheetId="5">#REF!</definedName>
    <definedName name="Roof_finishing" localSheetId="12">#REF!</definedName>
    <definedName name="Roof_finishing" localSheetId="14">#REF!</definedName>
    <definedName name="Roof_finishing" localSheetId="1">#REF!</definedName>
    <definedName name="Roof_finishing" localSheetId="10">#REF!</definedName>
    <definedName name="Roof_finishing" localSheetId="18">#REF!</definedName>
    <definedName name="Roof_finishing" localSheetId="0">#REF!</definedName>
    <definedName name="Roof_finishing" localSheetId="9">#REF!</definedName>
    <definedName name="Roof_finishing" localSheetId="13">#REF!</definedName>
    <definedName name="Roof_finishing" localSheetId="3">#REF!</definedName>
    <definedName name="Roof_finishing" localSheetId="7">#REF!</definedName>
    <definedName name="Roof_finishing" localSheetId="11">#REF!</definedName>
    <definedName name="Roof_finishing" localSheetId="2">#REF!</definedName>
    <definedName name="Roof_finishing">#REF!</definedName>
    <definedName name="Roof_finishing_11" localSheetId="8">#REF!</definedName>
    <definedName name="Roof_finishing_11" localSheetId="6">#REF!</definedName>
    <definedName name="Roof_finishing_11" localSheetId="4">#REF!</definedName>
    <definedName name="Roof_finishing_11" localSheetId="5">#REF!</definedName>
    <definedName name="Roof_finishing_11" localSheetId="12">#REF!</definedName>
    <definedName name="Roof_finishing_11" localSheetId="14">#REF!</definedName>
    <definedName name="Roof_finishing_11" localSheetId="1">#REF!</definedName>
    <definedName name="Roof_finishing_11" localSheetId="10">#REF!</definedName>
    <definedName name="Roof_finishing_11" localSheetId="18">#REF!</definedName>
    <definedName name="Roof_finishing_11" localSheetId="0">#REF!</definedName>
    <definedName name="Roof_finishing_11" localSheetId="9">#REF!</definedName>
    <definedName name="Roof_finishing_11" localSheetId="13">#REF!</definedName>
    <definedName name="Roof_finishing_11" localSheetId="3">#REF!</definedName>
    <definedName name="Roof_finishing_11" localSheetId="7">#REF!</definedName>
    <definedName name="Roof_finishing_11" localSheetId="11">#REF!</definedName>
    <definedName name="Roof_finishing_11" localSheetId="2">#REF!</definedName>
    <definedName name="Roof_finishing_11">#REF!</definedName>
    <definedName name="Roof_finishing_3" localSheetId="8">#REF!</definedName>
    <definedName name="Roof_finishing_3" localSheetId="6">#REF!</definedName>
    <definedName name="Roof_finishing_3" localSheetId="4">#REF!</definedName>
    <definedName name="Roof_finishing_3" localSheetId="5">#REF!</definedName>
    <definedName name="Roof_finishing_3" localSheetId="12">#REF!</definedName>
    <definedName name="Roof_finishing_3" localSheetId="14">#REF!</definedName>
    <definedName name="Roof_finishing_3" localSheetId="1">#REF!</definedName>
    <definedName name="Roof_finishing_3" localSheetId="10">#REF!</definedName>
    <definedName name="Roof_finishing_3" localSheetId="18">#REF!</definedName>
    <definedName name="Roof_finishing_3" localSheetId="0">#REF!</definedName>
    <definedName name="Roof_finishing_3" localSheetId="9">#REF!</definedName>
    <definedName name="Roof_finishing_3" localSheetId="13">#REF!</definedName>
    <definedName name="Roof_finishing_3" localSheetId="3">#REF!</definedName>
    <definedName name="Roof_finishing_3" localSheetId="7">#REF!</definedName>
    <definedName name="Roof_finishing_3" localSheetId="11">#REF!</definedName>
    <definedName name="Roof_finishing_3" localSheetId="2">#REF!</definedName>
    <definedName name="Roof_finishing_3">#REF!</definedName>
    <definedName name="Roof_finishing_6" localSheetId="8">#REF!</definedName>
    <definedName name="Roof_finishing_6" localSheetId="6">#REF!</definedName>
    <definedName name="Roof_finishing_6" localSheetId="4">#REF!</definedName>
    <definedName name="Roof_finishing_6" localSheetId="5">#REF!</definedName>
    <definedName name="Roof_finishing_6" localSheetId="12">#REF!</definedName>
    <definedName name="Roof_finishing_6" localSheetId="14">#REF!</definedName>
    <definedName name="Roof_finishing_6" localSheetId="1">#REF!</definedName>
    <definedName name="Roof_finishing_6" localSheetId="10">#REF!</definedName>
    <definedName name="Roof_finishing_6" localSheetId="18">#REF!</definedName>
    <definedName name="Roof_finishing_6" localSheetId="0">#REF!</definedName>
    <definedName name="Roof_finishing_6" localSheetId="9">#REF!</definedName>
    <definedName name="Roof_finishing_6" localSheetId="13">#REF!</definedName>
    <definedName name="Roof_finishing_6" localSheetId="3">#REF!</definedName>
    <definedName name="Roof_finishing_6" localSheetId="7">#REF!</definedName>
    <definedName name="Roof_finishing_6" localSheetId="11">#REF!</definedName>
    <definedName name="Roof_finishing_6" localSheetId="2">#REF!</definedName>
    <definedName name="Roof_finishing_6">#REF!</definedName>
    <definedName name="roya" localSheetId="10">#REF!</definedName>
    <definedName name="roya">#REF!</definedName>
    <definedName name="RR_masonary" localSheetId="8">#REF!</definedName>
    <definedName name="RR_masonary" localSheetId="6">#REF!</definedName>
    <definedName name="RR_masonary" localSheetId="4">#REF!</definedName>
    <definedName name="RR_masonary" localSheetId="5">#REF!</definedName>
    <definedName name="RR_masonary" localSheetId="12">#REF!</definedName>
    <definedName name="RR_masonary" localSheetId="14">#REF!</definedName>
    <definedName name="RR_masonary" localSheetId="1">#REF!</definedName>
    <definedName name="RR_masonary" localSheetId="10">#REF!</definedName>
    <definedName name="RR_masonary" localSheetId="18">#REF!</definedName>
    <definedName name="RR_masonary" localSheetId="0">#REF!</definedName>
    <definedName name="RR_masonary" localSheetId="9">#REF!</definedName>
    <definedName name="RR_masonary" localSheetId="13">#REF!</definedName>
    <definedName name="RR_masonary" localSheetId="3">#REF!</definedName>
    <definedName name="RR_masonary" localSheetId="7">#REF!</definedName>
    <definedName name="RR_masonary" localSheetId="11">#REF!</definedName>
    <definedName name="RR_masonary" localSheetId="2">#REF!</definedName>
    <definedName name="RR_masonary">#REF!</definedName>
    <definedName name="RR_masonary_11" localSheetId="8">#REF!</definedName>
    <definedName name="RR_masonary_11" localSheetId="6">#REF!</definedName>
    <definedName name="RR_masonary_11" localSheetId="4">#REF!</definedName>
    <definedName name="RR_masonary_11" localSheetId="5">#REF!</definedName>
    <definedName name="RR_masonary_11" localSheetId="12">#REF!</definedName>
    <definedName name="RR_masonary_11" localSheetId="14">#REF!</definedName>
    <definedName name="RR_masonary_11" localSheetId="1">#REF!</definedName>
    <definedName name="RR_masonary_11" localSheetId="10">#REF!</definedName>
    <definedName name="RR_masonary_11" localSheetId="18">#REF!</definedName>
    <definedName name="RR_masonary_11" localSheetId="0">#REF!</definedName>
    <definedName name="RR_masonary_11" localSheetId="9">#REF!</definedName>
    <definedName name="RR_masonary_11" localSheetId="13">#REF!</definedName>
    <definedName name="RR_masonary_11" localSheetId="3">#REF!</definedName>
    <definedName name="RR_masonary_11" localSheetId="7">#REF!</definedName>
    <definedName name="RR_masonary_11" localSheetId="11">#REF!</definedName>
    <definedName name="RR_masonary_11" localSheetId="2">#REF!</definedName>
    <definedName name="RR_masonary_11">#REF!</definedName>
    <definedName name="RR_masonary_3" localSheetId="8">#REF!</definedName>
    <definedName name="RR_masonary_3" localSheetId="6">#REF!</definedName>
    <definedName name="RR_masonary_3" localSheetId="4">#REF!</definedName>
    <definedName name="RR_masonary_3" localSheetId="5">#REF!</definedName>
    <definedName name="RR_masonary_3" localSheetId="12">#REF!</definedName>
    <definedName name="RR_masonary_3" localSheetId="14">#REF!</definedName>
    <definedName name="RR_masonary_3" localSheetId="1">#REF!</definedName>
    <definedName name="RR_masonary_3" localSheetId="10">#REF!</definedName>
    <definedName name="RR_masonary_3" localSheetId="18">#REF!</definedName>
    <definedName name="RR_masonary_3" localSheetId="0">#REF!</definedName>
    <definedName name="RR_masonary_3" localSheetId="9">#REF!</definedName>
    <definedName name="RR_masonary_3" localSheetId="13">#REF!</definedName>
    <definedName name="RR_masonary_3" localSheetId="3">#REF!</definedName>
    <definedName name="RR_masonary_3" localSheetId="7">#REF!</definedName>
    <definedName name="RR_masonary_3" localSheetId="11">#REF!</definedName>
    <definedName name="RR_masonary_3" localSheetId="2">#REF!</definedName>
    <definedName name="RR_masonary_3">#REF!</definedName>
    <definedName name="RR_masonary_6" localSheetId="8">#REF!</definedName>
    <definedName name="RR_masonary_6" localSheetId="6">#REF!</definedName>
    <definedName name="RR_masonary_6" localSheetId="4">#REF!</definedName>
    <definedName name="RR_masonary_6" localSheetId="5">#REF!</definedName>
    <definedName name="RR_masonary_6" localSheetId="12">#REF!</definedName>
    <definedName name="RR_masonary_6" localSheetId="14">#REF!</definedName>
    <definedName name="RR_masonary_6" localSheetId="1">#REF!</definedName>
    <definedName name="RR_masonary_6" localSheetId="10">#REF!</definedName>
    <definedName name="RR_masonary_6" localSheetId="18">#REF!</definedName>
    <definedName name="RR_masonary_6" localSheetId="0">#REF!</definedName>
    <definedName name="RR_masonary_6" localSheetId="9">#REF!</definedName>
    <definedName name="RR_masonary_6" localSheetId="13">#REF!</definedName>
    <definedName name="RR_masonary_6" localSheetId="3">#REF!</definedName>
    <definedName name="RR_masonary_6" localSheetId="7">#REF!</definedName>
    <definedName name="RR_masonary_6" localSheetId="11">#REF!</definedName>
    <definedName name="RR_masonary_6" localSheetId="2">#REF!</definedName>
    <definedName name="RR_masonary_6">#REF!</definedName>
    <definedName name="rrr" localSheetId="8">#REF!</definedName>
    <definedName name="rrr" localSheetId="6">#REF!</definedName>
    <definedName name="rrr" localSheetId="4">#REF!</definedName>
    <definedName name="rrr" localSheetId="5">#REF!</definedName>
    <definedName name="rrr" localSheetId="12">#REF!</definedName>
    <definedName name="rrr" localSheetId="14">#REF!</definedName>
    <definedName name="rrr" localSheetId="1">#REF!</definedName>
    <definedName name="rrr" localSheetId="10">#REF!</definedName>
    <definedName name="rrr" localSheetId="18">#REF!</definedName>
    <definedName name="rrr" localSheetId="0">#REF!</definedName>
    <definedName name="rrr" localSheetId="9">#REF!</definedName>
    <definedName name="rrr" localSheetId="13">#REF!</definedName>
    <definedName name="rrr" localSheetId="3">#REF!</definedName>
    <definedName name="rrr" localSheetId="7">#REF!</definedName>
    <definedName name="rrr" localSheetId="11">#REF!</definedName>
    <definedName name="rrr" localSheetId="2">#REF!</definedName>
    <definedName name="rrr">#REF!</definedName>
    <definedName name="S" localSheetId="8">#REF!</definedName>
    <definedName name="S" localSheetId="6">#REF!</definedName>
    <definedName name="S" localSheetId="4">#REF!</definedName>
    <definedName name="S" localSheetId="5">#REF!</definedName>
    <definedName name="S" localSheetId="12">#REF!</definedName>
    <definedName name="S" localSheetId="14">#REF!</definedName>
    <definedName name="S" localSheetId="1">#REF!</definedName>
    <definedName name="S" localSheetId="10">#REF!</definedName>
    <definedName name="S" localSheetId="18">#REF!</definedName>
    <definedName name="S" localSheetId="0">#REF!</definedName>
    <definedName name="S" localSheetId="9">#REF!</definedName>
    <definedName name="S" localSheetId="13">#REF!</definedName>
    <definedName name="S" localSheetId="3">#REF!</definedName>
    <definedName name="S" localSheetId="7">#REF!</definedName>
    <definedName name="S" localSheetId="11">#REF!</definedName>
    <definedName name="S" localSheetId="2">#REF!</definedName>
    <definedName name="S">#REF!</definedName>
    <definedName name="sa">#REF!</definedName>
    <definedName name="SAND_FILL" localSheetId="8">#REF!</definedName>
    <definedName name="SAND_FILL" localSheetId="6">#REF!</definedName>
    <definedName name="SAND_FILL" localSheetId="4">#REF!</definedName>
    <definedName name="SAND_FILL" localSheetId="5">#REF!</definedName>
    <definedName name="SAND_FILL" localSheetId="12">#REF!</definedName>
    <definedName name="SAND_FILL" localSheetId="14">#REF!</definedName>
    <definedName name="SAND_FILL" localSheetId="1">#REF!</definedName>
    <definedName name="SAND_FILL" localSheetId="10">#REF!</definedName>
    <definedName name="SAND_FILL" localSheetId="18">#REF!</definedName>
    <definedName name="SAND_FILL" localSheetId="0">#REF!</definedName>
    <definedName name="SAND_FILL" localSheetId="9">#REF!</definedName>
    <definedName name="SAND_FILL" localSheetId="13">#REF!</definedName>
    <definedName name="SAND_FILL" localSheetId="3">#REF!</definedName>
    <definedName name="SAND_FILL" localSheetId="7">#REF!</definedName>
    <definedName name="SAND_FILL" localSheetId="11">#REF!</definedName>
    <definedName name="SAND_FILL" localSheetId="2">#REF!</definedName>
    <definedName name="SAND_FILL">#REF!</definedName>
    <definedName name="Sanitary_Data" localSheetId="4">[1]Data!#REF!</definedName>
    <definedName name="Sanitary_Data" localSheetId="5">[1]Data!#REF!</definedName>
    <definedName name="Sanitary_Data" localSheetId="12">[1]Data!#REF!</definedName>
    <definedName name="Sanitary_Data" localSheetId="14">[1]Data!#REF!</definedName>
    <definedName name="Sanitary_Data" localSheetId="10">[1]Data!#REF!</definedName>
    <definedName name="Sanitary_Data" localSheetId="18">[1]Data!#REF!</definedName>
    <definedName name="Sanitary_Data" localSheetId="13">[1]Data!#REF!</definedName>
    <definedName name="Sanitary_Data" localSheetId="11">[1]Data!#REF!</definedName>
    <definedName name="Sanitary_Data">[1]Data!#REF!</definedName>
    <definedName name="Sanitary_Data_11" localSheetId="8">#REF!</definedName>
    <definedName name="Sanitary_Data_11" localSheetId="6">#REF!</definedName>
    <definedName name="Sanitary_Data_11" localSheetId="4">#REF!</definedName>
    <definedName name="Sanitary_Data_11" localSheetId="5">#REF!</definedName>
    <definedName name="Sanitary_Data_11" localSheetId="12">#REF!</definedName>
    <definedName name="Sanitary_Data_11" localSheetId="14">#REF!</definedName>
    <definedName name="Sanitary_Data_11" localSheetId="1">#REF!</definedName>
    <definedName name="Sanitary_Data_11" localSheetId="10">#REF!</definedName>
    <definedName name="Sanitary_Data_11" localSheetId="18">#REF!</definedName>
    <definedName name="Sanitary_Data_11" localSheetId="0">#REF!</definedName>
    <definedName name="Sanitary_Data_11" localSheetId="9">#REF!</definedName>
    <definedName name="Sanitary_Data_11" localSheetId="13">#REF!</definedName>
    <definedName name="Sanitary_Data_11" localSheetId="3">#REF!</definedName>
    <definedName name="Sanitary_Data_11" localSheetId="7">#REF!</definedName>
    <definedName name="Sanitary_Data_11" localSheetId="11">#REF!</definedName>
    <definedName name="Sanitary_Data_11" localSheetId="2">#REF!</definedName>
    <definedName name="Sanitary_Data_11">#REF!</definedName>
    <definedName name="Sanitary_Data_3" localSheetId="8">#REF!</definedName>
    <definedName name="Sanitary_Data_3" localSheetId="6">#REF!</definedName>
    <definedName name="Sanitary_Data_3" localSheetId="4">#REF!</definedName>
    <definedName name="Sanitary_Data_3" localSheetId="5">#REF!</definedName>
    <definedName name="Sanitary_Data_3" localSheetId="12">#REF!</definedName>
    <definedName name="Sanitary_Data_3" localSheetId="14">#REF!</definedName>
    <definedName name="Sanitary_Data_3" localSheetId="1">#REF!</definedName>
    <definedName name="Sanitary_Data_3" localSheetId="10">#REF!</definedName>
    <definedName name="Sanitary_Data_3" localSheetId="18">#REF!</definedName>
    <definedName name="Sanitary_Data_3" localSheetId="0">#REF!</definedName>
    <definedName name="Sanitary_Data_3" localSheetId="9">#REF!</definedName>
    <definedName name="Sanitary_Data_3" localSheetId="13">#REF!</definedName>
    <definedName name="Sanitary_Data_3" localSheetId="3">#REF!</definedName>
    <definedName name="Sanitary_Data_3" localSheetId="7">#REF!</definedName>
    <definedName name="Sanitary_Data_3" localSheetId="11">#REF!</definedName>
    <definedName name="Sanitary_Data_3" localSheetId="2">#REF!</definedName>
    <definedName name="Sanitary_Data_3">#REF!</definedName>
    <definedName name="Sanitary_Data_6" localSheetId="8">#REF!</definedName>
    <definedName name="Sanitary_Data_6" localSheetId="6">#REF!</definedName>
    <definedName name="Sanitary_Data_6" localSheetId="4">#REF!</definedName>
    <definedName name="Sanitary_Data_6" localSheetId="5">#REF!</definedName>
    <definedName name="Sanitary_Data_6" localSheetId="12">#REF!</definedName>
    <definedName name="Sanitary_Data_6" localSheetId="14">#REF!</definedName>
    <definedName name="Sanitary_Data_6" localSheetId="1">#REF!</definedName>
    <definedName name="Sanitary_Data_6" localSheetId="10">#REF!</definedName>
    <definedName name="Sanitary_Data_6" localSheetId="18">#REF!</definedName>
    <definedName name="Sanitary_Data_6" localSheetId="0">#REF!</definedName>
    <definedName name="Sanitary_Data_6" localSheetId="9">#REF!</definedName>
    <definedName name="Sanitary_Data_6" localSheetId="13">#REF!</definedName>
    <definedName name="Sanitary_Data_6" localSheetId="3">#REF!</definedName>
    <definedName name="Sanitary_Data_6" localSheetId="7">#REF!</definedName>
    <definedName name="Sanitary_Data_6" localSheetId="11">#REF!</definedName>
    <definedName name="Sanitary_Data_6" localSheetId="2">#REF!</definedName>
    <definedName name="Sanitary_Data_6">#REF!</definedName>
    <definedName name="Sanitary_Data_7" localSheetId="8">[1]Data!#REF!</definedName>
    <definedName name="Sanitary_Data_7" localSheetId="6">[1]Data!#REF!</definedName>
    <definedName name="Sanitary_Data_7" localSheetId="4">[1]Data!#REF!</definedName>
    <definedName name="Sanitary_Data_7" localSheetId="5">[1]Data!#REF!</definedName>
    <definedName name="Sanitary_Data_7" localSheetId="12">[1]Data!#REF!</definedName>
    <definedName name="Sanitary_Data_7" localSheetId="14">[1]Data!#REF!</definedName>
    <definedName name="Sanitary_Data_7" localSheetId="1">[1]Data!#REF!</definedName>
    <definedName name="Sanitary_Data_7" localSheetId="10">[1]Data!#REF!</definedName>
    <definedName name="Sanitary_Data_7" localSheetId="18">[1]Data!#REF!</definedName>
    <definedName name="Sanitary_Data_7" localSheetId="0">[1]Data!#REF!</definedName>
    <definedName name="Sanitary_Data_7" localSheetId="9">[1]Data!#REF!</definedName>
    <definedName name="Sanitary_Data_7" localSheetId="13">[1]Data!#REF!</definedName>
    <definedName name="Sanitary_Data_7" localSheetId="3">[1]Data!#REF!</definedName>
    <definedName name="Sanitary_Data_7" localSheetId="7">[1]Data!#REF!</definedName>
    <definedName name="Sanitary_Data_7" localSheetId="11">[1]Data!#REF!</definedName>
    <definedName name="Sanitary_Data_7" localSheetId="2">[1]Data!#REF!</definedName>
    <definedName name="Sanitary_Data_7">[1]Data!#REF!</definedName>
    <definedName name="Sanitary_Data_8" localSheetId="8">[1]Data!#REF!</definedName>
    <definedName name="Sanitary_Data_8" localSheetId="6">[1]Data!#REF!</definedName>
    <definedName name="Sanitary_Data_8" localSheetId="4">[1]Data!#REF!</definedName>
    <definedName name="Sanitary_Data_8" localSheetId="5">[1]Data!#REF!</definedName>
    <definedName name="Sanitary_Data_8" localSheetId="12">[1]Data!#REF!</definedName>
    <definedName name="Sanitary_Data_8" localSheetId="14">[1]Data!#REF!</definedName>
    <definedName name="Sanitary_Data_8" localSheetId="1">[1]Data!#REF!</definedName>
    <definedName name="Sanitary_Data_8" localSheetId="10">[1]Data!#REF!</definedName>
    <definedName name="Sanitary_Data_8" localSheetId="18">[1]Data!#REF!</definedName>
    <definedName name="Sanitary_Data_8" localSheetId="0">[1]Data!#REF!</definedName>
    <definedName name="Sanitary_Data_8" localSheetId="9">[1]Data!#REF!</definedName>
    <definedName name="Sanitary_Data_8" localSheetId="13">[1]Data!#REF!</definedName>
    <definedName name="Sanitary_Data_8" localSheetId="3">[1]Data!#REF!</definedName>
    <definedName name="Sanitary_Data_8" localSheetId="7">[1]Data!#REF!</definedName>
    <definedName name="Sanitary_Data_8" localSheetId="11">[1]Data!#REF!</definedName>
    <definedName name="Sanitary_Data_8" localSheetId="2">[1]Data!#REF!</definedName>
    <definedName name="Sanitary_Data_8">[1]Data!#REF!</definedName>
    <definedName name="Sanitary_Item" localSheetId="8">#REF!</definedName>
    <definedName name="Sanitary_Item" localSheetId="6">#REF!</definedName>
    <definedName name="Sanitary_Item" localSheetId="4">#REF!</definedName>
    <definedName name="Sanitary_Item" localSheetId="5">#REF!</definedName>
    <definedName name="Sanitary_Item" localSheetId="12">#REF!</definedName>
    <definedName name="Sanitary_Item" localSheetId="14">#REF!</definedName>
    <definedName name="Sanitary_Item" localSheetId="1">#REF!</definedName>
    <definedName name="Sanitary_Item" localSheetId="10">#REF!</definedName>
    <definedName name="Sanitary_Item" localSheetId="18">#REF!</definedName>
    <definedName name="Sanitary_Item" localSheetId="0">#REF!</definedName>
    <definedName name="Sanitary_Item" localSheetId="9">#REF!</definedName>
    <definedName name="Sanitary_Item" localSheetId="13">#REF!</definedName>
    <definedName name="Sanitary_Item" localSheetId="3">#REF!</definedName>
    <definedName name="Sanitary_Item" localSheetId="7">#REF!</definedName>
    <definedName name="Sanitary_Item" localSheetId="11">#REF!</definedName>
    <definedName name="Sanitary_Item" localSheetId="2">#REF!</definedName>
    <definedName name="Sanitary_Item">#REF!</definedName>
    <definedName name="Sched_Pay" localSheetId="10">#REF!</definedName>
    <definedName name="Sched_Pay">#REF!</definedName>
    <definedName name="Scheduled_Extra_Payments" localSheetId="10">#REF!</definedName>
    <definedName name="Scheduled_Extra_Payments">#REF!</definedName>
    <definedName name="Scheduled_Interest_Rate" localSheetId="10">#REF!</definedName>
    <definedName name="Scheduled_Interest_Rate">#REF!</definedName>
    <definedName name="Scheduled_Monthly_Payment" localSheetId="10">#REF!</definedName>
    <definedName name="Scheduled_Monthly_Payment">#REF!</definedName>
    <definedName name="sd" localSheetId="8">#REF!</definedName>
    <definedName name="sd" localSheetId="6">#REF!</definedName>
    <definedName name="sd" localSheetId="4">#REF!</definedName>
    <definedName name="sd" localSheetId="5">#REF!</definedName>
    <definedName name="sd" localSheetId="12">#REF!</definedName>
    <definedName name="sd" localSheetId="14">#REF!</definedName>
    <definedName name="sd" localSheetId="1">#REF!</definedName>
    <definedName name="sd" localSheetId="10">#REF!</definedName>
    <definedName name="sd" localSheetId="18">#REF!</definedName>
    <definedName name="sd" localSheetId="0">#REF!</definedName>
    <definedName name="sd" localSheetId="9">#REF!</definedName>
    <definedName name="sd" localSheetId="13">#REF!</definedName>
    <definedName name="sd" localSheetId="3">#REF!</definedName>
    <definedName name="sd" localSheetId="7">#REF!</definedName>
    <definedName name="sd" localSheetId="11">#REF!</definedName>
    <definedName name="sd" localSheetId="2">#REF!</definedName>
    <definedName name="sd">#REF!</definedName>
    <definedName name="sdwsd" localSheetId="8">#REF!</definedName>
    <definedName name="sdwsd" localSheetId="6">#REF!</definedName>
    <definedName name="sdwsd" localSheetId="4">#REF!</definedName>
    <definedName name="sdwsd" localSheetId="5">#REF!</definedName>
    <definedName name="sdwsd" localSheetId="12">#REF!</definedName>
    <definedName name="sdwsd" localSheetId="14">#REF!</definedName>
    <definedName name="sdwsd" localSheetId="1">#REF!</definedName>
    <definedName name="sdwsd" localSheetId="10">#REF!</definedName>
    <definedName name="sdwsd" localSheetId="18">#REF!</definedName>
    <definedName name="sdwsd" localSheetId="0">#REF!</definedName>
    <definedName name="sdwsd" localSheetId="9">#REF!</definedName>
    <definedName name="sdwsd" localSheetId="13">#REF!</definedName>
    <definedName name="sdwsd" localSheetId="3">#REF!</definedName>
    <definedName name="sdwsd" localSheetId="7">#REF!</definedName>
    <definedName name="sdwsd" localSheetId="11">#REF!</definedName>
    <definedName name="sdwsd" localSheetId="2">#REF!</definedName>
    <definedName name="sdwsd">#REF!</definedName>
    <definedName name="sg">#REF!</definedName>
    <definedName name="sheet" localSheetId="10">#REF!</definedName>
    <definedName name="sheet">#REF!</definedName>
    <definedName name="sk" localSheetId="8">#REF!</definedName>
    <definedName name="sk" localSheetId="6">#REF!</definedName>
    <definedName name="sk" localSheetId="4">#REF!</definedName>
    <definedName name="sk" localSheetId="5">#REF!</definedName>
    <definedName name="sk" localSheetId="12">#REF!</definedName>
    <definedName name="sk" localSheetId="14">#REF!</definedName>
    <definedName name="sk" localSheetId="1">#REF!</definedName>
    <definedName name="sk" localSheetId="10">#REF!</definedName>
    <definedName name="sk" localSheetId="18">#REF!</definedName>
    <definedName name="sk" localSheetId="0">#REF!</definedName>
    <definedName name="sk" localSheetId="9">#REF!</definedName>
    <definedName name="sk" localSheetId="13">#REF!</definedName>
    <definedName name="sk" localSheetId="3">#REF!</definedName>
    <definedName name="sk" localSheetId="7">#REF!</definedName>
    <definedName name="sk" localSheetId="11">#REF!</definedName>
    <definedName name="sk" localSheetId="2">#REF!</definedName>
    <definedName name="sk">#REF!</definedName>
    <definedName name="SR" localSheetId="8">#REF!</definedName>
    <definedName name="SR" localSheetId="6">#REF!</definedName>
    <definedName name="SR" localSheetId="4">#REF!</definedName>
    <definedName name="SR" localSheetId="5">#REF!</definedName>
    <definedName name="SR" localSheetId="12">#REF!</definedName>
    <definedName name="SR" localSheetId="14">#REF!</definedName>
    <definedName name="SR" localSheetId="1">#REF!</definedName>
    <definedName name="SR" localSheetId="10">#REF!</definedName>
    <definedName name="SR" localSheetId="18">#REF!</definedName>
    <definedName name="SR" localSheetId="0">#REF!</definedName>
    <definedName name="SR" localSheetId="9">#REF!</definedName>
    <definedName name="SR" localSheetId="13">#REF!</definedName>
    <definedName name="SR" localSheetId="3">#REF!</definedName>
    <definedName name="SR" localSheetId="7">#REF!</definedName>
    <definedName name="SR" localSheetId="11">#REF!</definedName>
    <definedName name="SR" localSheetId="2">#REF!</definedName>
    <definedName name="SR">#REF!</definedName>
    <definedName name="ss" localSheetId="8">#REF!</definedName>
    <definedName name="ss" localSheetId="6">#REF!</definedName>
    <definedName name="ss" localSheetId="4">#REF!</definedName>
    <definedName name="ss" localSheetId="5">#REF!</definedName>
    <definedName name="ss" localSheetId="12">#REF!</definedName>
    <definedName name="ss" localSheetId="14">#REF!</definedName>
    <definedName name="ss" localSheetId="1">#REF!</definedName>
    <definedName name="ss" localSheetId="10">#REF!</definedName>
    <definedName name="ss" localSheetId="18">#REF!</definedName>
    <definedName name="ss" localSheetId="0">#REF!</definedName>
    <definedName name="ss" localSheetId="9">#REF!</definedName>
    <definedName name="ss" localSheetId="13">#REF!</definedName>
    <definedName name="ss" localSheetId="3">#REF!</definedName>
    <definedName name="ss" localSheetId="7">#REF!</definedName>
    <definedName name="ss" localSheetId="11">#REF!</definedName>
    <definedName name="ss" localSheetId="2">#REF!</definedName>
    <definedName name="ss">#REF!</definedName>
    <definedName name="ssdde" localSheetId="8">#REF!</definedName>
    <definedName name="ssdde" localSheetId="6">#REF!</definedName>
    <definedName name="ssdde" localSheetId="4">#REF!</definedName>
    <definedName name="ssdde" localSheetId="5">#REF!</definedName>
    <definedName name="ssdde" localSheetId="12">#REF!</definedName>
    <definedName name="ssdde" localSheetId="14">#REF!</definedName>
    <definedName name="ssdde" localSheetId="1">#REF!</definedName>
    <definedName name="ssdde" localSheetId="10">#REF!</definedName>
    <definedName name="ssdde" localSheetId="18">#REF!</definedName>
    <definedName name="ssdde" localSheetId="0">#REF!</definedName>
    <definedName name="ssdde" localSheetId="9">#REF!</definedName>
    <definedName name="ssdde" localSheetId="13">#REF!</definedName>
    <definedName name="ssdde" localSheetId="3">#REF!</definedName>
    <definedName name="ssdde" localSheetId="7">#REF!</definedName>
    <definedName name="ssdde" localSheetId="11">#REF!</definedName>
    <definedName name="ssdde" localSheetId="2">#REF!</definedName>
    <definedName name="ssdde">#REF!</definedName>
    <definedName name="sss" localSheetId="10">#REF!</definedName>
    <definedName name="sss">#REF!</definedName>
    <definedName name="Steel_Form_work" localSheetId="8">#REF!</definedName>
    <definedName name="Steel_Form_work" localSheetId="6">#REF!</definedName>
    <definedName name="Steel_Form_work" localSheetId="4">#REF!</definedName>
    <definedName name="Steel_Form_work" localSheetId="5">#REF!</definedName>
    <definedName name="Steel_Form_work" localSheetId="12">#REF!</definedName>
    <definedName name="Steel_Form_work" localSheetId="14">#REF!</definedName>
    <definedName name="Steel_Form_work" localSheetId="1">#REF!</definedName>
    <definedName name="Steel_Form_work" localSheetId="10">#REF!</definedName>
    <definedName name="Steel_Form_work" localSheetId="18">#REF!</definedName>
    <definedName name="Steel_Form_work" localSheetId="0">#REF!</definedName>
    <definedName name="Steel_Form_work" localSheetId="9">#REF!</definedName>
    <definedName name="Steel_Form_work" localSheetId="13">#REF!</definedName>
    <definedName name="Steel_Form_work" localSheetId="3">#REF!</definedName>
    <definedName name="Steel_Form_work" localSheetId="7">#REF!</definedName>
    <definedName name="Steel_Form_work" localSheetId="11">#REF!</definedName>
    <definedName name="Steel_Form_work" localSheetId="2">#REF!</definedName>
    <definedName name="Steel_Form_work">#REF!</definedName>
    <definedName name="Steel_Form_work_11" localSheetId="8">#REF!</definedName>
    <definedName name="Steel_Form_work_11" localSheetId="6">#REF!</definedName>
    <definedName name="Steel_Form_work_11" localSheetId="4">#REF!</definedName>
    <definedName name="Steel_Form_work_11" localSheetId="5">#REF!</definedName>
    <definedName name="Steel_Form_work_11" localSheetId="12">#REF!</definedName>
    <definedName name="Steel_Form_work_11" localSheetId="14">#REF!</definedName>
    <definedName name="Steel_Form_work_11" localSheetId="1">#REF!</definedName>
    <definedName name="Steel_Form_work_11" localSheetId="10">#REF!</definedName>
    <definedName name="Steel_Form_work_11" localSheetId="18">#REF!</definedName>
    <definedName name="Steel_Form_work_11" localSheetId="0">#REF!</definedName>
    <definedName name="Steel_Form_work_11" localSheetId="9">#REF!</definedName>
    <definedName name="Steel_Form_work_11" localSheetId="13">#REF!</definedName>
    <definedName name="Steel_Form_work_11" localSheetId="3">#REF!</definedName>
    <definedName name="Steel_Form_work_11" localSheetId="7">#REF!</definedName>
    <definedName name="Steel_Form_work_11" localSheetId="11">#REF!</definedName>
    <definedName name="Steel_Form_work_11" localSheetId="2">#REF!</definedName>
    <definedName name="Steel_Form_work_11">#REF!</definedName>
    <definedName name="Steel_Form_work_3" localSheetId="8">#REF!</definedName>
    <definedName name="Steel_Form_work_3" localSheetId="6">#REF!</definedName>
    <definedName name="Steel_Form_work_3" localSheetId="4">#REF!</definedName>
    <definedName name="Steel_Form_work_3" localSheetId="5">#REF!</definedName>
    <definedName name="Steel_Form_work_3" localSheetId="12">#REF!</definedName>
    <definedName name="Steel_Form_work_3" localSheetId="14">#REF!</definedName>
    <definedName name="Steel_Form_work_3" localSheetId="1">#REF!</definedName>
    <definedName name="Steel_Form_work_3" localSheetId="10">#REF!</definedName>
    <definedName name="Steel_Form_work_3" localSheetId="18">#REF!</definedName>
    <definedName name="Steel_Form_work_3" localSheetId="0">#REF!</definedName>
    <definedName name="Steel_Form_work_3" localSheetId="9">#REF!</definedName>
    <definedName name="Steel_Form_work_3" localSheetId="13">#REF!</definedName>
    <definedName name="Steel_Form_work_3" localSheetId="3">#REF!</definedName>
    <definedName name="Steel_Form_work_3" localSheetId="7">#REF!</definedName>
    <definedName name="Steel_Form_work_3" localSheetId="11">#REF!</definedName>
    <definedName name="Steel_Form_work_3" localSheetId="2">#REF!</definedName>
    <definedName name="Steel_Form_work_3">#REF!</definedName>
    <definedName name="Steel_Form_work_6" localSheetId="8">#REF!</definedName>
    <definedName name="Steel_Form_work_6" localSheetId="6">#REF!</definedName>
    <definedName name="Steel_Form_work_6" localSheetId="4">#REF!</definedName>
    <definedName name="Steel_Form_work_6" localSheetId="5">#REF!</definedName>
    <definedName name="Steel_Form_work_6" localSheetId="12">#REF!</definedName>
    <definedName name="Steel_Form_work_6" localSheetId="14">#REF!</definedName>
    <definedName name="Steel_Form_work_6" localSheetId="1">#REF!</definedName>
    <definedName name="Steel_Form_work_6" localSheetId="10">#REF!</definedName>
    <definedName name="Steel_Form_work_6" localSheetId="18">#REF!</definedName>
    <definedName name="Steel_Form_work_6" localSheetId="0">#REF!</definedName>
    <definedName name="Steel_Form_work_6" localSheetId="9">#REF!</definedName>
    <definedName name="Steel_Form_work_6" localSheetId="13">#REF!</definedName>
    <definedName name="Steel_Form_work_6" localSheetId="3">#REF!</definedName>
    <definedName name="Steel_Form_work_6" localSheetId="7">#REF!</definedName>
    <definedName name="Steel_Form_work_6" localSheetId="11">#REF!</definedName>
    <definedName name="Steel_Form_work_6" localSheetId="2">#REF!</definedName>
    <definedName name="Steel_Form_work_6">#REF!</definedName>
    <definedName name="Stucco" localSheetId="8">#REF!</definedName>
    <definedName name="Stucco" localSheetId="6">#REF!</definedName>
    <definedName name="Stucco" localSheetId="4">#REF!</definedName>
    <definedName name="Stucco" localSheetId="5">#REF!</definedName>
    <definedName name="Stucco" localSheetId="12">#REF!</definedName>
    <definedName name="Stucco" localSheetId="14">#REF!</definedName>
    <definedName name="Stucco" localSheetId="1">#REF!</definedName>
    <definedName name="Stucco" localSheetId="10">#REF!</definedName>
    <definedName name="Stucco" localSheetId="18">#REF!</definedName>
    <definedName name="Stucco" localSheetId="0">#REF!</definedName>
    <definedName name="Stucco" localSheetId="9">#REF!</definedName>
    <definedName name="Stucco" localSheetId="13">#REF!</definedName>
    <definedName name="Stucco" localSheetId="3">#REF!</definedName>
    <definedName name="Stucco" localSheetId="7">#REF!</definedName>
    <definedName name="Stucco" localSheetId="11">#REF!</definedName>
    <definedName name="Stucco" localSheetId="2">#REF!</definedName>
    <definedName name="Stucco">#REF!</definedName>
    <definedName name="suganya" localSheetId="8">#REF!</definedName>
    <definedName name="suganya" localSheetId="6">#REF!</definedName>
    <definedName name="suganya" localSheetId="4">#REF!</definedName>
    <definedName name="suganya" localSheetId="5">#REF!</definedName>
    <definedName name="suganya" localSheetId="12">#REF!</definedName>
    <definedName name="suganya" localSheetId="14">#REF!</definedName>
    <definedName name="suganya" localSheetId="1">#REF!</definedName>
    <definedName name="suganya" localSheetId="10">#REF!</definedName>
    <definedName name="suganya" localSheetId="18">#REF!</definedName>
    <definedName name="suganya" localSheetId="0">#REF!</definedName>
    <definedName name="suganya" localSheetId="9">#REF!</definedName>
    <definedName name="suganya" localSheetId="13">#REF!</definedName>
    <definedName name="suganya" localSheetId="3">#REF!</definedName>
    <definedName name="suganya" localSheetId="7">#REF!</definedName>
    <definedName name="suganya" localSheetId="11">#REF!</definedName>
    <definedName name="suganya" localSheetId="2">#REF!</definedName>
    <definedName name="suganya">#REF!</definedName>
    <definedName name="sump">#REF!</definedName>
    <definedName name="tj" localSheetId="8">#REF!</definedName>
    <definedName name="tj" localSheetId="6">#REF!</definedName>
    <definedName name="tj" localSheetId="4">#REF!</definedName>
    <definedName name="tj" localSheetId="5">#REF!</definedName>
    <definedName name="tj" localSheetId="12">#REF!</definedName>
    <definedName name="tj" localSheetId="14">#REF!</definedName>
    <definedName name="tj" localSheetId="1">#REF!</definedName>
    <definedName name="tj" localSheetId="10">#REF!</definedName>
    <definedName name="tj" localSheetId="18">#REF!</definedName>
    <definedName name="tj" localSheetId="0">#REF!</definedName>
    <definedName name="tj" localSheetId="9">#REF!</definedName>
    <definedName name="tj" localSheetId="13">#REF!</definedName>
    <definedName name="tj" localSheetId="3">#REF!</definedName>
    <definedName name="tj" localSheetId="7">#REF!</definedName>
    <definedName name="tj" localSheetId="11">#REF!</definedName>
    <definedName name="tj" localSheetId="2">#REF!</definedName>
    <definedName name="tj">#REF!</definedName>
    <definedName name="Total_Interest" localSheetId="10">#REF!</definedName>
    <definedName name="Total_Interest">#REF!</definedName>
    <definedName name="Total_Pay" localSheetId="10">#REF!</definedName>
    <definedName name="Total_Pay">#REF!</definedName>
    <definedName name="Total_Payment" localSheetId="12">Scheduled_Payment+Extra_Payment</definedName>
    <definedName name="Total_Payment" localSheetId="14">Scheduled_Payment+Extra_Payment</definedName>
    <definedName name="Total_Payment" localSheetId="10">Scheduled_Payment+Extra_Payment</definedName>
    <definedName name="Total_Payment" localSheetId="18">Scheduled_Payment+Extra_Payment</definedName>
    <definedName name="Total_Payment" localSheetId="13">Scheduled_Payment+Extra_Payment</definedName>
    <definedName name="Total_Payment" localSheetId="11">Scheduled_Payment+Extra_Payment</definedName>
    <definedName name="Total_Payment">Scheduled_Payment+Extra_Payment</definedName>
    <definedName name="TP" localSheetId="8">#REF!</definedName>
    <definedName name="TP" localSheetId="6">#REF!</definedName>
    <definedName name="TP" localSheetId="4">#REF!</definedName>
    <definedName name="TP" localSheetId="5">#REF!</definedName>
    <definedName name="TP" localSheetId="12">#REF!</definedName>
    <definedName name="TP" localSheetId="14">#REF!</definedName>
    <definedName name="TP" localSheetId="1">#REF!</definedName>
    <definedName name="TP" localSheetId="10">#REF!</definedName>
    <definedName name="TP" localSheetId="18">#REF!</definedName>
    <definedName name="TP" localSheetId="0">#REF!</definedName>
    <definedName name="TP" localSheetId="9">#REF!</definedName>
    <definedName name="TP" localSheetId="13">#REF!</definedName>
    <definedName name="TP" localSheetId="3">#REF!</definedName>
    <definedName name="TP" localSheetId="7">#REF!</definedName>
    <definedName name="TP" localSheetId="11">#REF!</definedName>
    <definedName name="TP" localSheetId="2">#REF!</definedName>
    <definedName name="TP">#REF!</definedName>
    <definedName name="ty" localSheetId="8">#REF!</definedName>
    <definedName name="ty" localSheetId="6">#REF!</definedName>
    <definedName name="ty" localSheetId="4">#REF!</definedName>
    <definedName name="ty" localSheetId="5">#REF!</definedName>
    <definedName name="ty" localSheetId="12">#REF!</definedName>
    <definedName name="ty" localSheetId="14">#REF!</definedName>
    <definedName name="ty" localSheetId="1">#REF!</definedName>
    <definedName name="ty" localSheetId="10">#REF!</definedName>
    <definedName name="ty" localSheetId="18">#REF!</definedName>
    <definedName name="ty" localSheetId="0">#REF!</definedName>
    <definedName name="ty" localSheetId="9">#REF!</definedName>
    <definedName name="ty" localSheetId="13">#REF!</definedName>
    <definedName name="ty" localSheetId="3">#REF!</definedName>
    <definedName name="ty" localSheetId="7">#REF!</definedName>
    <definedName name="ty" localSheetId="11">#REF!</definedName>
    <definedName name="ty" localSheetId="2">#REF!</definedName>
    <definedName name="ty">#REF!</definedName>
    <definedName name="uo" localSheetId="8">#REF!</definedName>
    <definedName name="uo" localSheetId="6">#REF!</definedName>
    <definedName name="uo" localSheetId="4">#REF!</definedName>
    <definedName name="uo" localSheetId="5">#REF!</definedName>
    <definedName name="uo" localSheetId="12">#REF!</definedName>
    <definedName name="uo" localSheetId="14">#REF!</definedName>
    <definedName name="uo" localSheetId="1">#REF!</definedName>
    <definedName name="uo" localSheetId="10">#REF!</definedName>
    <definedName name="uo" localSheetId="18">#REF!</definedName>
    <definedName name="uo" localSheetId="0">#REF!</definedName>
    <definedName name="uo" localSheetId="9">#REF!</definedName>
    <definedName name="uo" localSheetId="13">#REF!</definedName>
    <definedName name="uo" localSheetId="3">#REF!</definedName>
    <definedName name="uo" localSheetId="7">#REF!</definedName>
    <definedName name="uo" localSheetId="11">#REF!</definedName>
    <definedName name="uo" localSheetId="2">#REF!</definedName>
    <definedName name="uo">#REF!</definedName>
    <definedName name="v" localSheetId="8">#REF!</definedName>
    <definedName name="v" localSheetId="6">#REF!</definedName>
    <definedName name="v" localSheetId="4">#REF!</definedName>
    <definedName name="v" localSheetId="5">#REF!</definedName>
    <definedName name="v" localSheetId="12">#REF!</definedName>
    <definedName name="v" localSheetId="14">#REF!</definedName>
    <definedName name="v" localSheetId="1">#REF!</definedName>
    <definedName name="v" localSheetId="10">#REF!</definedName>
    <definedName name="v" localSheetId="18">#REF!</definedName>
    <definedName name="v" localSheetId="0">#REF!</definedName>
    <definedName name="v" localSheetId="9">#REF!</definedName>
    <definedName name="v" localSheetId="13">#REF!</definedName>
    <definedName name="v" localSheetId="3">#REF!</definedName>
    <definedName name="v" localSheetId="7">#REF!</definedName>
    <definedName name="v" localSheetId="11">#REF!</definedName>
    <definedName name="v" localSheetId="2">#REF!</definedName>
    <definedName name="v">#REF!</definedName>
    <definedName name="v_app" localSheetId="10">#REF!</definedName>
    <definedName name="v_app">#REF!</definedName>
    <definedName name="v_est" localSheetId="10">#REF!</definedName>
    <definedName name="v_est">#REF!</definedName>
    <definedName name="v_paid" localSheetId="10">#REF!</definedName>
    <definedName name="v_paid">#REF!</definedName>
    <definedName name="v_quo" localSheetId="10">#REF!</definedName>
    <definedName name="v_quo">#REF!</definedName>
    <definedName name="v_rec" localSheetId="10">#REF!</definedName>
    <definedName name="v_rec">#REF!</definedName>
    <definedName name="v_tot" localSheetId="10">#REF!</definedName>
    <definedName name="v_tot">#REF!</definedName>
    <definedName name="Values_Entered" localSheetId="12">IF(Loan_Amount*Interest_Rate*Loan_Years*Loan_Start&gt;0,1,0)</definedName>
    <definedName name="Values_Entered" localSheetId="14">IF(Loan_Amount*Interest_Rate*Loan_Years*Loan_Start&gt;0,1,0)</definedName>
    <definedName name="Values_Entered" localSheetId="10">IF(electrical!Loan_Amount*electrical!Interest_Rate*electrical!Loan_Years*electrical!Loan_Start&gt;0,1,0)</definedName>
    <definedName name="Values_Entered" localSheetId="18">IF(Loan_Amount*Interest_Rate*Loan_Years*Loan_Start&gt;0,1,0)</definedName>
    <definedName name="Values_Entered" localSheetId="13">IF(Loan_Amount*Interest_Rate*Loan_Years*Loan_Start&gt;0,1,0)</definedName>
    <definedName name="Values_Entered" localSheetId="11">IF(Loan_Amount*Interest_Rate*Loan_Years*Loan_Start&gt;0,1,0)</definedName>
    <definedName name="Values_Entered">IF(Loan_Amount*Interest_Rate*Loan_Years*Loan_Start&gt;0,1,0)</definedName>
    <definedName name="Vambay">[1]Data!$X$195:$AD$249,[1]Data!$X$251:$AD$357,[1]Data!$X$358:$AD$361,[1]Data!$X$362:$AD$374,[1]Data!$X$376:$AD$398,[1]Data!$X$399:$AD$456,[1]Data!$X$459:$AD$460</definedName>
    <definedName name="Vambay_11" localSheetId="8">#REF!,#REF!,#REF!,#REF!,#REF!,#REF!,#REF!</definedName>
    <definedName name="Vambay_11" localSheetId="6">#REF!,#REF!,#REF!,#REF!,#REF!,#REF!,#REF!</definedName>
    <definedName name="Vambay_11" localSheetId="4">#REF!,#REF!,#REF!,#REF!,#REF!,#REF!,#REF!</definedName>
    <definedName name="Vambay_11" localSheetId="5">#REF!,#REF!,#REF!,#REF!,#REF!,#REF!,#REF!</definedName>
    <definedName name="Vambay_11" localSheetId="12">#REF!,#REF!,#REF!,#REF!,#REF!,#REF!,#REF!</definedName>
    <definedName name="Vambay_11" localSheetId="14">#REF!,#REF!,#REF!,#REF!,#REF!,#REF!,#REF!</definedName>
    <definedName name="Vambay_11" localSheetId="1">#REF!,#REF!,#REF!,#REF!,#REF!,#REF!,#REF!</definedName>
    <definedName name="Vambay_11" localSheetId="10">#REF!,#REF!,#REF!,#REF!,#REF!,#REF!,#REF!</definedName>
    <definedName name="Vambay_11" localSheetId="18">#REF!,#REF!,#REF!,#REF!,#REF!,#REF!,#REF!</definedName>
    <definedName name="Vambay_11" localSheetId="0">#REF!,#REF!,#REF!,#REF!,#REF!,#REF!,#REF!</definedName>
    <definedName name="Vambay_11" localSheetId="9">#REF!,#REF!,#REF!,#REF!,#REF!,#REF!,#REF!</definedName>
    <definedName name="Vambay_11" localSheetId="13">#REF!,#REF!,#REF!,#REF!,#REF!,#REF!,#REF!</definedName>
    <definedName name="Vambay_11" localSheetId="3">#REF!,#REF!,#REF!,#REF!,#REF!,#REF!,#REF!</definedName>
    <definedName name="Vambay_11" localSheetId="7">#REF!,#REF!,#REF!,#REF!,#REF!,#REF!,#REF!</definedName>
    <definedName name="Vambay_11" localSheetId="11">#REF!,#REF!,#REF!,#REF!,#REF!,#REF!,#REF!</definedName>
    <definedName name="Vambay_11" localSheetId="2">#REF!,#REF!,#REF!,#REF!,#REF!,#REF!,#REF!</definedName>
    <definedName name="Vambay_11">#REF!,#REF!,#REF!,#REF!,#REF!,#REF!,#REF!</definedName>
    <definedName name="Vambay_3" localSheetId="8">#REF!,#REF!,#REF!,#REF!,#REF!,#REF!,#REF!</definedName>
    <definedName name="Vambay_3" localSheetId="6">#REF!,#REF!,#REF!,#REF!,#REF!,#REF!,#REF!</definedName>
    <definedName name="Vambay_3" localSheetId="4">#REF!,#REF!,#REF!,#REF!,#REF!,#REF!,#REF!</definedName>
    <definedName name="Vambay_3" localSheetId="5">#REF!,#REF!,#REF!,#REF!,#REF!,#REF!,#REF!</definedName>
    <definedName name="Vambay_3" localSheetId="12">#REF!,#REF!,#REF!,#REF!,#REF!,#REF!,#REF!</definedName>
    <definedName name="Vambay_3" localSheetId="14">#REF!,#REF!,#REF!,#REF!,#REF!,#REF!,#REF!</definedName>
    <definedName name="Vambay_3" localSheetId="1">#REF!,#REF!,#REF!,#REF!,#REF!,#REF!,#REF!</definedName>
    <definedName name="Vambay_3" localSheetId="10">#REF!,#REF!,#REF!,#REF!,#REF!,#REF!,#REF!</definedName>
    <definedName name="Vambay_3" localSheetId="18">#REF!,#REF!,#REF!,#REF!,#REF!,#REF!,#REF!</definedName>
    <definedName name="Vambay_3" localSheetId="0">#REF!,#REF!,#REF!,#REF!,#REF!,#REF!,#REF!</definedName>
    <definedName name="Vambay_3" localSheetId="9">#REF!,#REF!,#REF!,#REF!,#REF!,#REF!,#REF!</definedName>
    <definedName name="Vambay_3" localSheetId="13">#REF!,#REF!,#REF!,#REF!,#REF!,#REF!,#REF!</definedName>
    <definedName name="Vambay_3" localSheetId="3">#REF!,#REF!,#REF!,#REF!,#REF!,#REF!,#REF!</definedName>
    <definedName name="Vambay_3" localSheetId="7">#REF!,#REF!,#REF!,#REF!,#REF!,#REF!,#REF!</definedName>
    <definedName name="Vambay_3" localSheetId="11">#REF!,#REF!,#REF!,#REF!,#REF!,#REF!,#REF!</definedName>
    <definedName name="Vambay_3" localSheetId="2">#REF!,#REF!,#REF!,#REF!,#REF!,#REF!,#REF!</definedName>
    <definedName name="Vambay_3">#REF!,#REF!,#REF!,#REF!,#REF!,#REF!,#REF!</definedName>
    <definedName name="Vambay_6" localSheetId="8">#REF!,#REF!,#REF!,#REF!,#REF!,#REF!,#REF!</definedName>
    <definedName name="Vambay_6" localSheetId="6">#REF!,#REF!,#REF!,#REF!,#REF!,#REF!,#REF!</definedName>
    <definedName name="Vambay_6" localSheetId="4">#REF!,#REF!,#REF!,#REF!,#REF!,#REF!,#REF!</definedName>
    <definedName name="Vambay_6" localSheetId="5">#REF!,#REF!,#REF!,#REF!,#REF!,#REF!,#REF!</definedName>
    <definedName name="Vambay_6" localSheetId="12">#REF!,#REF!,#REF!,#REF!,#REF!,#REF!,#REF!</definedName>
    <definedName name="Vambay_6" localSheetId="14">#REF!,#REF!,#REF!,#REF!,#REF!,#REF!,#REF!</definedName>
    <definedName name="Vambay_6" localSheetId="1">#REF!,#REF!,#REF!,#REF!,#REF!,#REF!,#REF!</definedName>
    <definedName name="Vambay_6" localSheetId="10">#REF!,#REF!,#REF!,#REF!,#REF!,#REF!,#REF!</definedName>
    <definedName name="Vambay_6" localSheetId="18">#REF!,#REF!,#REF!,#REF!,#REF!,#REF!,#REF!</definedName>
    <definedName name="Vambay_6" localSheetId="0">#REF!,#REF!,#REF!,#REF!,#REF!,#REF!,#REF!</definedName>
    <definedName name="Vambay_6" localSheetId="9">#REF!,#REF!,#REF!,#REF!,#REF!,#REF!,#REF!</definedName>
    <definedName name="Vambay_6" localSheetId="13">#REF!,#REF!,#REF!,#REF!,#REF!,#REF!,#REF!</definedName>
    <definedName name="Vambay_6" localSheetId="3">#REF!,#REF!,#REF!,#REF!,#REF!,#REF!,#REF!</definedName>
    <definedName name="Vambay_6" localSheetId="7">#REF!,#REF!,#REF!,#REF!,#REF!,#REF!,#REF!</definedName>
    <definedName name="Vambay_6" localSheetId="11">#REF!,#REF!,#REF!,#REF!,#REF!,#REF!,#REF!</definedName>
    <definedName name="Vambay_6" localSheetId="2">#REF!,#REF!,#REF!,#REF!,#REF!,#REF!,#REF!</definedName>
    <definedName name="Vambay_6">#REF!,#REF!,#REF!,#REF!,#REF!,#REF!,#REF!</definedName>
    <definedName name="Vambay_7">[1]Data!$X$195:$AD$249,[1]Data!$X$251:$AD$357,[1]Data!$X$358:$AD$361,[1]Data!$X$362:$AD$374,[1]Data!$X$376:$AD$398,[1]Data!$X$399:$AD$456,[1]Data!$X$459:$AD$460</definedName>
    <definedName name="Vambay_8">[1]Data!$X$195:$AD$249,[1]Data!$X$251:$AD$357,[1]Data!$X$358:$AD$361,[1]Data!$X$362:$AD$374,[1]Data!$X$376:$AD$398,[1]Data!$X$399:$AD$456,[1]Data!$X$459:$AD$460</definedName>
    <definedName name="Varnish" localSheetId="8">#REF!</definedName>
    <definedName name="Varnish" localSheetId="6">#REF!</definedName>
    <definedName name="Varnish" localSheetId="4">#REF!</definedName>
    <definedName name="Varnish" localSheetId="5">#REF!</definedName>
    <definedName name="Varnish" localSheetId="12">#REF!</definedName>
    <definedName name="Varnish" localSheetId="14">#REF!</definedName>
    <definedName name="Varnish" localSheetId="1">#REF!</definedName>
    <definedName name="Varnish" localSheetId="10">#REF!</definedName>
    <definedName name="Varnish" localSheetId="18">#REF!</definedName>
    <definedName name="Varnish" localSheetId="0">#REF!</definedName>
    <definedName name="Varnish" localSheetId="9">#REF!</definedName>
    <definedName name="Varnish" localSheetId="13">#REF!</definedName>
    <definedName name="Varnish" localSheetId="3">#REF!</definedName>
    <definedName name="Varnish" localSheetId="7">#REF!</definedName>
    <definedName name="Varnish" localSheetId="11">#REF!</definedName>
    <definedName name="Varnish" localSheetId="2">#REF!</definedName>
    <definedName name="Varnish">#REF!</definedName>
    <definedName name="Varnish1" localSheetId="8">#REF!</definedName>
    <definedName name="Varnish1" localSheetId="6">#REF!</definedName>
    <definedName name="Varnish1" localSheetId="4">#REF!</definedName>
    <definedName name="Varnish1" localSheetId="5">#REF!</definedName>
    <definedName name="Varnish1" localSheetId="12">#REF!</definedName>
    <definedName name="Varnish1" localSheetId="14">#REF!</definedName>
    <definedName name="Varnish1" localSheetId="1">#REF!</definedName>
    <definedName name="Varnish1" localSheetId="10">#REF!</definedName>
    <definedName name="Varnish1" localSheetId="18">#REF!</definedName>
    <definedName name="Varnish1" localSheetId="0">#REF!</definedName>
    <definedName name="Varnish1" localSheetId="9">#REF!</definedName>
    <definedName name="Varnish1" localSheetId="13">#REF!</definedName>
    <definedName name="Varnish1" localSheetId="3">#REF!</definedName>
    <definedName name="Varnish1" localSheetId="7">#REF!</definedName>
    <definedName name="Varnish1" localSheetId="11">#REF!</definedName>
    <definedName name="Varnish1" localSheetId="2">#REF!</definedName>
    <definedName name="Varnish1">#REF!</definedName>
    <definedName name="vignesh" localSheetId="10">#REF!</definedName>
    <definedName name="vignesh">#REF!</definedName>
    <definedName name="w" localSheetId="8">#REF!</definedName>
    <definedName name="w" localSheetId="6">#REF!</definedName>
    <definedName name="w" localSheetId="4">#REF!</definedName>
    <definedName name="w" localSheetId="5">#REF!</definedName>
    <definedName name="w" localSheetId="12">#REF!</definedName>
    <definedName name="w" localSheetId="14">#REF!</definedName>
    <definedName name="w" localSheetId="1">#REF!</definedName>
    <definedName name="w" localSheetId="10">#REF!</definedName>
    <definedName name="w" localSheetId="18">#REF!</definedName>
    <definedName name="w" localSheetId="0">#REF!</definedName>
    <definedName name="w" localSheetId="9">#REF!</definedName>
    <definedName name="w" localSheetId="13">#REF!</definedName>
    <definedName name="w" localSheetId="3">#REF!</definedName>
    <definedName name="w" localSheetId="7">#REF!</definedName>
    <definedName name="w" localSheetId="11">#REF!</definedName>
    <definedName name="w" localSheetId="2">#REF!</definedName>
    <definedName name="w">#REF!</definedName>
    <definedName name="WE" localSheetId="8">#REF!</definedName>
    <definedName name="WE" localSheetId="6">#REF!</definedName>
    <definedName name="WE" localSheetId="4">#REF!</definedName>
    <definedName name="WE" localSheetId="5">#REF!</definedName>
    <definedName name="WE" localSheetId="12">#REF!</definedName>
    <definedName name="WE" localSheetId="14">#REF!</definedName>
    <definedName name="WE" localSheetId="1">#REF!</definedName>
    <definedName name="WE" localSheetId="10">#REF!</definedName>
    <definedName name="WE" localSheetId="18">#REF!</definedName>
    <definedName name="WE" localSheetId="0">#REF!</definedName>
    <definedName name="WE" localSheetId="9">#REF!</definedName>
    <definedName name="WE" localSheetId="13">#REF!</definedName>
    <definedName name="WE" localSheetId="3">#REF!</definedName>
    <definedName name="WE" localSheetId="7">#REF!</definedName>
    <definedName name="WE" localSheetId="11">#REF!</definedName>
    <definedName name="WE" localSheetId="2">#REF!</definedName>
    <definedName name="WE">#REF!</definedName>
    <definedName name="Weath.Course" localSheetId="8">#REF!</definedName>
    <definedName name="Weath.Course" localSheetId="6">#REF!</definedName>
    <definedName name="Weath.Course" localSheetId="4">#REF!</definedName>
    <definedName name="Weath.Course" localSheetId="5">#REF!</definedName>
    <definedName name="Weath.Course" localSheetId="12">#REF!</definedName>
    <definedName name="Weath.Course" localSheetId="14">#REF!</definedName>
    <definedName name="Weath.Course" localSheetId="1">#REF!</definedName>
    <definedName name="Weath.Course" localSheetId="10">#REF!</definedName>
    <definedName name="Weath.Course" localSheetId="18">#REF!</definedName>
    <definedName name="Weath.Course" localSheetId="0">#REF!</definedName>
    <definedName name="Weath.Course" localSheetId="9">#REF!</definedName>
    <definedName name="Weath.Course" localSheetId="13">#REF!</definedName>
    <definedName name="Weath.Course" localSheetId="3">#REF!</definedName>
    <definedName name="Weath.Course" localSheetId="7">#REF!</definedName>
    <definedName name="Weath.Course" localSheetId="11">#REF!</definedName>
    <definedName name="Weath.Course" localSheetId="2">#REF!</definedName>
    <definedName name="Weath.Course">#REF!</definedName>
    <definedName name="WEE" localSheetId="8">#REF!</definedName>
    <definedName name="WEE" localSheetId="6">#REF!</definedName>
    <definedName name="WEE" localSheetId="4">#REF!</definedName>
    <definedName name="WEE" localSheetId="5">#REF!</definedName>
    <definedName name="WEE" localSheetId="12">#REF!</definedName>
    <definedName name="WEE" localSheetId="14">#REF!</definedName>
    <definedName name="WEE" localSheetId="1">#REF!</definedName>
    <definedName name="WEE" localSheetId="10">#REF!</definedName>
    <definedName name="WEE" localSheetId="18">#REF!</definedName>
    <definedName name="WEE" localSheetId="0">#REF!</definedName>
    <definedName name="WEE" localSheetId="9">#REF!</definedName>
    <definedName name="WEE" localSheetId="13">#REF!</definedName>
    <definedName name="WEE" localSheetId="3">#REF!</definedName>
    <definedName name="WEE" localSheetId="7">#REF!</definedName>
    <definedName name="WEE" localSheetId="11">#REF!</definedName>
    <definedName name="WEE" localSheetId="2">#REF!</definedName>
    <definedName name="WEE">#REF!</definedName>
    <definedName name="White_Wash" localSheetId="8">#REF!</definedName>
    <definedName name="White_Wash" localSheetId="6">#REF!</definedName>
    <definedName name="White_Wash" localSheetId="4">#REF!</definedName>
    <definedName name="White_Wash" localSheetId="5">#REF!</definedName>
    <definedName name="White_Wash" localSheetId="12">#REF!</definedName>
    <definedName name="White_Wash" localSheetId="14">#REF!</definedName>
    <definedName name="White_Wash" localSheetId="1">#REF!</definedName>
    <definedName name="White_Wash" localSheetId="10">#REF!</definedName>
    <definedName name="White_Wash" localSheetId="18">#REF!</definedName>
    <definedName name="White_Wash" localSheetId="0">#REF!</definedName>
    <definedName name="White_Wash" localSheetId="9">#REF!</definedName>
    <definedName name="White_Wash" localSheetId="13">#REF!</definedName>
    <definedName name="White_Wash" localSheetId="3">#REF!</definedName>
    <definedName name="White_Wash" localSheetId="7">#REF!</definedName>
    <definedName name="White_Wash" localSheetId="11">#REF!</definedName>
    <definedName name="White_Wash" localSheetId="2">#REF!</definedName>
    <definedName name="White_Wash">#REF!</definedName>
    <definedName name="Win_Grill" localSheetId="8">#REF!</definedName>
    <definedName name="Win_Grill" localSheetId="6">#REF!</definedName>
    <definedName name="Win_Grill" localSheetId="4">#REF!</definedName>
    <definedName name="Win_Grill" localSheetId="5">#REF!</definedName>
    <definedName name="Win_Grill" localSheetId="12">#REF!</definedName>
    <definedName name="Win_Grill" localSheetId="14">#REF!</definedName>
    <definedName name="Win_Grill" localSheetId="1">#REF!</definedName>
    <definedName name="Win_Grill" localSheetId="10">#REF!</definedName>
    <definedName name="Win_Grill" localSheetId="18">#REF!</definedName>
    <definedName name="Win_Grill" localSheetId="0">#REF!</definedName>
    <definedName name="Win_Grill" localSheetId="9">#REF!</definedName>
    <definedName name="Win_Grill" localSheetId="13">#REF!</definedName>
    <definedName name="Win_Grill" localSheetId="3">#REF!</definedName>
    <definedName name="Win_Grill" localSheetId="7">#REF!</definedName>
    <definedName name="Win_Grill" localSheetId="11">#REF!</definedName>
    <definedName name="Win_Grill" localSheetId="2">#REF!</definedName>
    <definedName name="Win_Grill">#REF!</definedName>
    <definedName name="Win_M.S_RODl" localSheetId="8">#REF!</definedName>
    <definedName name="Win_M.S_RODl" localSheetId="6">#REF!</definedName>
    <definedName name="Win_M.S_RODl" localSheetId="4">#REF!</definedName>
    <definedName name="Win_M.S_RODl" localSheetId="5">#REF!</definedName>
    <definedName name="Win_M.S_RODl" localSheetId="12">#REF!</definedName>
    <definedName name="Win_M.S_RODl" localSheetId="14">#REF!</definedName>
    <definedName name="Win_M.S_RODl" localSheetId="1">#REF!</definedName>
    <definedName name="Win_M.S_RODl" localSheetId="10">#REF!</definedName>
    <definedName name="Win_M.S_RODl" localSheetId="18">#REF!</definedName>
    <definedName name="Win_M.S_RODl" localSheetId="0">#REF!</definedName>
    <definedName name="Win_M.S_RODl" localSheetId="9">#REF!</definedName>
    <definedName name="Win_M.S_RODl" localSheetId="13">#REF!</definedName>
    <definedName name="Win_M.S_RODl" localSheetId="3">#REF!</definedName>
    <definedName name="Win_M.S_RODl" localSheetId="7">#REF!</definedName>
    <definedName name="Win_M.S_RODl" localSheetId="11">#REF!</definedName>
    <definedName name="Win_M.S_RODl" localSheetId="2">#REF!</definedName>
    <definedName name="Win_M.S_RODl">#REF!</definedName>
    <definedName name="Wood_Paint" localSheetId="8">#REF!</definedName>
    <definedName name="Wood_Paint" localSheetId="6">#REF!</definedName>
    <definedName name="Wood_Paint" localSheetId="4">#REF!</definedName>
    <definedName name="Wood_Paint" localSheetId="5">#REF!</definedName>
    <definedName name="Wood_Paint" localSheetId="12">#REF!</definedName>
    <definedName name="Wood_Paint" localSheetId="14">#REF!</definedName>
    <definedName name="Wood_Paint" localSheetId="1">#REF!</definedName>
    <definedName name="Wood_Paint" localSheetId="10">#REF!</definedName>
    <definedName name="Wood_Paint" localSheetId="18">#REF!</definedName>
    <definedName name="Wood_Paint" localSheetId="0">#REF!</definedName>
    <definedName name="Wood_Paint" localSheetId="9">#REF!</definedName>
    <definedName name="Wood_Paint" localSheetId="13">#REF!</definedName>
    <definedName name="Wood_Paint" localSheetId="3">#REF!</definedName>
    <definedName name="Wood_Paint" localSheetId="7">#REF!</definedName>
    <definedName name="Wood_Paint" localSheetId="11">#REF!</definedName>
    <definedName name="Wood_Paint" localSheetId="2">#REF!</definedName>
    <definedName name="Wood_Paint">#REF!</definedName>
    <definedName name="WW_Colour" localSheetId="8">#REF!</definedName>
    <definedName name="WW_Colour" localSheetId="6">#REF!</definedName>
    <definedName name="WW_Colour" localSheetId="4">#REF!</definedName>
    <definedName name="WW_Colour" localSheetId="5">#REF!</definedName>
    <definedName name="WW_Colour" localSheetId="12">#REF!</definedName>
    <definedName name="WW_Colour" localSheetId="14">#REF!</definedName>
    <definedName name="WW_Colour" localSheetId="1">#REF!</definedName>
    <definedName name="WW_Colour" localSheetId="10">#REF!</definedName>
    <definedName name="WW_Colour" localSheetId="18">#REF!</definedName>
    <definedName name="WW_Colour" localSheetId="0">#REF!</definedName>
    <definedName name="WW_Colour" localSheetId="9">#REF!</definedName>
    <definedName name="WW_Colour" localSheetId="13">#REF!</definedName>
    <definedName name="WW_Colour" localSheetId="3">#REF!</definedName>
    <definedName name="WW_Colour" localSheetId="7">#REF!</definedName>
    <definedName name="WW_Colour" localSheetId="11">#REF!</definedName>
    <definedName name="WW_Colour" localSheetId="2">#REF!</definedName>
    <definedName name="WW_Colour">#REF!</definedName>
    <definedName name="WW_Colour_11" localSheetId="8">#REF!</definedName>
    <definedName name="WW_Colour_11" localSheetId="6">#REF!</definedName>
    <definedName name="WW_Colour_11" localSheetId="4">#REF!</definedName>
    <definedName name="WW_Colour_11" localSheetId="5">#REF!</definedName>
    <definedName name="WW_Colour_11" localSheetId="12">#REF!</definedName>
    <definedName name="WW_Colour_11" localSheetId="14">#REF!</definedName>
    <definedName name="WW_Colour_11" localSheetId="1">#REF!</definedName>
    <definedName name="WW_Colour_11" localSheetId="10">#REF!</definedName>
    <definedName name="WW_Colour_11" localSheetId="18">#REF!</definedName>
    <definedName name="WW_Colour_11" localSheetId="0">#REF!</definedName>
    <definedName name="WW_Colour_11" localSheetId="9">#REF!</definedName>
    <definedName name="WW_Colour_11" localSheetId="13">#REF!</definedName>
    <definedName name="WW_Colour_11" localSheetId="3">#REF!</definedName>
    <definedName name="WW_Colour_11" localSheetId="7">#REF!</definedName>
    <definedName name="WW_Colour_11" localSheetId="11">#REF!</definedName>
    <definedName name="WW_Colour_11" localSheetId="2">#REF!</definedName>
    <definedName name="WW_Colour_11">#REF!</definedName>
    <definedName name="WW_Colour_3" localSheetId="8">#REF!</definedName>
    <definedName name="WW_Colour_3" localSheetId="6">#REF!</definedName>
    <definedName name="WW_Colour_3" localSheetId="4">#REF!</definedName>
    <definedName name="WW_Colour_3" localSheetId="5">#REF!</definedName>
    <definedName name="WW_Colour_3" localSheetId="12">#REF!</definedName>
    <definedName name="WW_Colour_3" localSheetId="14">#REF!</definedName>
    <definedName name="WW_Colour_3" localSheetId="1">#REF!</definedName>
    <definedName name="WW_Colour_3" localSheetId="10">#REF!</definedName>
    <definedName name="WW_Colour_3" localSheetId="18">#REF!</definedName>
    <definedName name="WW_Colour_3" localSheetId="0">#REF!</definedName>
    <definedName name="WW_Colour_3" localSheetId="9">#REF!</definedName>
    <definedName name="WW_Colour_3" localSheetId="13">#REF!</definedName>
    <definedName name="WW_Colour_3" localSheetId="3">#REF!</definedName>
    <definedName name="WW_Colour_3" localSheetId="7">#REF!</definedName>
    <definedName name="WW_Colour_3" localSheetId="11">#REF!</definedName>
    <definedName name="WW_Colour_3" localSheetId="2">#REF!</definedName>
    <definedName name="WW_Colour_3">#REF!</definedName>
    <definedName name="WW_Colour_6" localSheetId="8">#REF!</definedName>
    <definedName name="WW_Colour_6" localSheetId="6">#REF!</definedName>
    <definedName name="WW_Colour_6" localSheetId="4">#REF!</definedName>
    <definedName name="WW_Colour_6" localSheetId="5">#REF!</definedName>
    <definedName name="WW_Colour_6" localSheetId="12">#REF!</definedName>
    <definedName name="WW_Colour_6" localSheetId="14">#REF!</definedName>
    <definedName name="WW_Colour_6" localSheetId="1">#REF!</definedName>
    <definedName name="WW_Colour_6" localSheetId="10">#REF!</definedName>
    <definedName name="WW_Colour_6" localSheetId="18">#REF!</definedName>
    <definedName name="WW_Colour_6" localSheetId="0">#REF!</definedName>
    <definedName name="WW_Colour_6" localSheetId="9">#REF!</definedName>
    <definedName name="WW_Colour_6" localSheetId="13">#REF!</definedName>
    <definedName name="WW_Colour_6" localSheetId="3">#REF!</definedName>
    <definedName name="WW_Colour_6" localSheetId="7">#REF!</definedName>
    <definedName name="WW_Colour_6" localSheetId="11">#REF!</definedName>
    <definedName name="WW_Colour_6" localSheetId="2">#REF!</definedName>
    <definedName name="WW_Colour_6">#REF!</definedName>
    <definedName name="wws" localSheetId="8">#REF!</definedName>
    <definedName name="wws" localSheetId="6">#REF!</definedName>
    <definedName name="wws" localSheetId="4">#REF!</definedName>
    <definedName name="wws" localSheetId="5">#REF!</definedName>
    <definedName name="wws" localSheetId="12">#REF!</definedName>
    <definedName name="wws" localSheetId="14">#REF!</definedName>
    <definedName name="wws" localSheetId="1">#REF!</definedName>
    <definedName name="wws" localSheetId="10">#REF!</definedName>
    <definedName name="wws" localSheetId="18">#REF!</definedName>
    <definedName name="wws" localSheetId="0">#REF!</definedName>
    <definedName name="wws" localSheetId="9">#REF!</definedName>
    <definedName name="wws" localSheetId="13">#REF!</definedName>
    <definedName name="wws" localSheetId="3">#REF!</definedName>
    <definedName name="wws" localSheetId="7">#REF!</definedName>
    <definedName name="wws" localSheetId="11">#REF!</definedName>
    <definedName name="wws" localSheetId="2">#REF!</definedName>
    <definedName name="wws">#REF!</definedName>
    <definedName name="xgjhvfxfhkl" localSheetId="10">#REF!</definedName>
    <definedName name="xgjhvfxfhkl">#REF!</definedName>
    <definedName name="yt" localSheetId="8">#REF!</definedName>
    <definedName name="yt" localSheetId="6">#REF!</definedName>
    <definedName name="yt" localSheetId="4">#REF!</definedName>
    <definedName name="yt" localSheetId="5">#REF!</definedName>
    <definedName name="yt" localSheetId="12">#REF!</definedName>
    <definedName name="yt" localSheetId="14">#REF!</definedName>
    <definedName name="yt" localSheetId="1">#REF!</definedName>
    <definedName name="yt" localSheetId="10">#REF!</definedName>
    <definedName name="yt" localSheetId="18">#REF!</definedName>
    <definedName name="yt" localSheetId="0">#REF!</definedName>
    <definedName name="yt" localSheetId="9">#REF!</definedName>
    <definedName name="yt" localSheetId="13">#REF!</definedName>
    <definedName name="yt" localSheetId="3">#REF!</definedName>
    <definedName name="yt" localSheetId="7">#REF!</definedName>
    <definedName name="yt" localSheetId="11">#REF!</definedName>
    <definedName name="yt" localSheetId="2">#REF!</definedName>
    <definedName name="yt">#REF!</definedName>
    <definedName name="yuk" localSheetId="4">[1]Data!#REF!</definedName>
    <definedName name="yuk" localSheetId="5">[1]Data!#REF!</definedName>
    <definedName name="yuk" localSheetId="14">[1]Data!#REF!</definedName>
    <definedName name="yuk" localSheetId="10">[1]Data!#REF!</definedName>
    <definedName name="yuk">[1]Data!#REF!</definedName>
  </definedNames>
  <calcPr calcId="12451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228" i="13"/>
  <c r="M3228" s="1"/>
  <c r="N3228" l="1"/>
  <c r="O3228" l="1"/>
  <c r="P3228" l="1"/>
  <c r="Q3228" s="1"/>
  <c r="R3228" s="1"/>
  <c r="H5075" l="1"/>
  <c r="F5075"/>
  <c r="H5073"/>
  <c r="F5073"/>
  <c r="F5071"/>
  <c r="I5071" s="1"/>
  <c r="H5071"/>
  <c r="A5069"/>
  <c r="H5063"/>
  <c r="F5063"/>
  <c r="H5061"/>
  <c r="F5061"/>
  <c r="F5059"/>
  <c r="H5059"/>
  <c r="A5057"/>
  <c r="F5051"/>
  <c r="H5051"/>
  <c r="A5048"/>
  <c r="H5042"/>
  <c r="F5042"/>
  <c r="F5040"/>
  <c r="H5040"/>
  <c r="A5039"/>
  <c r="H5035"/>
  <c r="F5035"/>
  <c r="H5033"/>
  <c r="F5033"/>
  <c r="H5031"/>
  <c r="F5031"/>
  <c r="I5032"/>
  <c r="I5034"/>
  <c r="I5030"/>
  <c r="A5029"/>
  <c r="I5059" l="1"/>
  <c r="I5063"/>
  <c r="I5061"/>
  <c r="I5051"/>
  <c r="I5031"/>
  <c r="I5035"/>
  <c r="I5042"/>
  <c r="I5033"/>
  <c r="I5040"/>
  <c r="M3321"/>
  <c r="C3287"/>
  <c r="P2025"/>
  <c r="N2025"/>
  <c r="M2025"/>
  <c r="H2021"/>
  <c r="F2021"/>
  <c r="H2020"/>
  <c r="F2020"/>
  <c r="H2019"/>
  <c r="F2019"/>
  <c r="H2018"/>
  <c r="F2018"/>
  <c r="H2017"/>
  <c r="F2017"/>
  <c r="H2016"/>
  <c r="F2016"/>
  <c r="H2015"/>
  <c r="F2015"/>
  <c r="H2014"/>
  <c r="F2014"/>
  <c r="H2013"/>
  <c r="F2013"/>
  <c r="H2012"/>
  <c r="F2012"/>
  <c r="H2011"/>
  <c r="F2011"/>
  <c r="H2010"/>
  <c r="F2010"/>
  <c r="H2009"/>
  <c r="F2009"/>
  <c r="C2008"/>
  <c r="H2039"/>
  <c r="F2039"/>
  <c r="H2038"/>
  <c r="F2038"/>
  <c r="H2037"/>
  <c r="F2037"/>
  <c r="H2036"/>
  <c r="F2036"/>
  <c r="H2035"/>
  <c r="F2035"/>
  <c r="H2034"/>
  <c r="F2034"/>
  <c r="H2033"/>
  <c r="F2033"/>
  <c r="H2032"/>
  <c r="F2032"/>
  <c r="H2031"/>
  <c r="F2031"/>
  <c r="H2030"/>
  <c r="F2030"/>
  <c r="H2029"/>
  <c r="F2029"/>
  <c r="H2028"/>
  <c r="F2028"/>
  <c r="H2027"/>
  <c r="F2027"/>
  <c r="C2504"/>
  <c r="C2503"/>
  <c r="C2502"/>
  <c r="D2374"/>
  <c r="D2371"/>
  <c r="D2369"/>
  <c r="D2365"/>
  <c r="D2363"/>
  <c r="D2361"/>
  <c r="D2359"/>
  <c r="D2357"/>
  <c r="D2355"/>
  <c r="D2351"/>
  <c r="D2349"/>
  <c r="D2347"/>
  <c r="D2345"/>
  <c r="D2343"/>
  <c r="D2341"/>
  <c r="D2339"/>
  <c r="D2337"/>
  <c r="D2335"/>
  <c r="D2331"/>
  <c r="D2329"/>
  <c r="D2327"/>
  <c r="D2325"/>
  <c r="D2323"/>
  <c r="D2321"/>
  <c r="D2319"/>
  <c r="D2317"/>
  <c r="D2314"/>
  <c r="D2312"/>
  <c r="D2310"/>
  <c r="E2312"/>
  <c r="C2312"/>
  <c r="F2312" s="1"/>
  <c r="H2310"/>
  <c r="H2311" s="1"/>
  <c r="H2312" s="1"/>
  <c r="H2313" s="1"/>
  <c r="H2314" s="1"/>
  <c r="C2350"/>
  <c r="D2350"/>
  <c r="E2350"/>
  <c r="F2350"/>
  <c r="C2351"/>
  <c r="E2351"/>
  <c r="C2352"/>
  <c r="D2352"/>
  <c r="E2352"/>
  <c r="F2352"/>
  <c r="C2353"/>
  <c r="D2353"/>
  <c r="E2353"/>
  <c r="F2353"/>
  <c r="C2354"/>
  <c r="D2354"/>
  <c r="E2354"/>
  <c r="F2354"/>
  <c r="C2355"/>
  <c r="F2355" s="1"/>
  <c r="E2355"/>
  <c r="C2356"/>
  <c r="D2356"/>
  <c r="E2356"/>
  <c r="F2356"/>
  <c r="C2357"/>
  <c r="E2357"/>
  <c r="C2358"/>
  <c r="D2358"/>
  <c r="E2358"/>
  <c r="F2358"/>
  <c r="C2359"/>
  <c r="F2359" s="1"/>
  <c r="E2359"/>
  <c r="C2360"/>
  <c r="D2360"/>
  <c r="E2360"/>
  <c r="F2360"/>
  <c r="C2361"/>
  <c r="E2361"/>
  <c r="C2362"/>
  <c r="D2362"/>
  <c r="E2362"/>
  <c r="F2362"/>
  <c r="C2363"/>
  <c r="F2363" s="1"/>
  <c r="E2363"/>
  <c r="C2364"/>
  <c r="D2364"/>
  <c r="E2364"/>
  <c r="F2364"/>
  <c r="C2365"/>
  <c r="F2365" s="1"/>
  <c r="E2365"/>
  <c r="C2366"/>
  <c r="D2366"/>
  <c r="E2366"/>
  <c r="F2366"/>
  <c r="C2367"/>
  <c r="D2367"/>
  <c r="E2367"/>
  <c r="F2367"/>
  <c r="C2368"/>
  <c r="D2368"/>
  <c r="E2368"/>
  <c r="F2368"/>
  <c r="C2369"/>
  <c r="F2369" s="1"/>
  <c r="E2369"/>
  <c r="C2370"/>
  <c r="D2370"/>
  <c r="E2370"/>
  <c r="F2370"/>
  <c r="C2371"/>
  <c r="F2371" s="1"/>
  <c r="E2371"/>
  <c r="C2372"/>
  <c r="D2372"/>
  <c r="E2372"/>
  <c r="F2372"/>
  <c r="C2373"/>
  <c r="D2373"/>
  <c r="E2373"/>
  <c r="F2373"/>
  <c r="C2374"/>
  <c r="F2374" s="1"/>
  <c r="E2374"/>
  <c r="C2310"/>
  <c r="F2310" s="1"/>
  <c r="E2310"/>
  <c r="C2311"/>
  <c r="D2311"/>
  <c r="E2311"/>
  <c r="F2311"/>
  <c r="C2313"/>
  <c r="D2313"/>
  <c r="E2313"/>
  <c r="F2313"/>
  <c r="C2314"/>
  <c r="E2314"/>
  <c r="C2315"/>
  <c r="D2315"/>
  <c r="E2315"/>
  <c r="F2315"/>
  <c r="C2316"/>
  <c r="D2316"/>
  <c r="E2316"/>
  <c r="F2316"/>
  <c r="C2317"/>
  <c r="F2317" s="1"/>
  <c r="E2317"/>
  <c r="C2318"/>
  <c r="D2318"/>
  <c r="E2318"/>
  <c r="F2318"/>
  <c r="C2319"/>
  <c r="E2319"/>
  <c r="C2320"/>
  <c r="D2320"/>
  <c r="E2320"/>
  <c r="F2320"/>
  <c r="C2321"/>
  <c r="F2321" s="1"/>
  <c r="E2321"/>
  <c r="C2322"/>
  <c r="D2322"/>
  <c r="E2322"/>
  <c r="F2322"/>
  <c r="C2323"/>
  <c r="E2323"/>
  <c r="C2324"/>
  <c r="D2324"/>
  <c r="E2324"/>
  <c r="F2324"/>
  <c r="C2325"/>
  <c r="F2325" s="1"/>
  <c r="E2325"/>
  <c r="C2326"/>
  <c r="D2326"/>
  <c r="E2326"/>
  <c r="F2326"/>
  <c r="C2327"/>
  <c r="E2327"/>
  <c r="C2328"/>
  <c r="D2328"/>
  <c r="E2328"/>
  <c r="F2328"/>
  <c r="C2329"/>
  <c r="F2329" s="1"/>
  <c r="E2329"/>
  <c r="C2330"/>
  <c r="D2330"/>
  <c r="E2330"/>
  <c r="F2330"/>
  <c r="C2331"/>
  <c r="E2331"/>
  <c r="C2332"/>
  <c r="D2332"/>
  <c r="E2332"/>
  <c r="F2332"/>
  <c r="C2333"/>
  <c r="D2333"/>
  <c r="E2333"/>
  <c r="F2333"/>
  <c r="C2334"/>
  <c r="D2334"/>
  <c r="E2334"/>
  <c r="F2334"/>
  <c r="C2335"/>
  <c r="F2335" s="1"/>
  <c r="E2335"/>
  <c r="C2336"/>
  <c r="D2336"/>
  <c r="E2336"/>
  <c r="F2336"/>
  <c r="C2337"/>
  <c r="E2337"/>
  <c r="C2338"/>
  <c r="D2338"/>
  <c r="E2338"/>
  <c r="F2338"/>
  <c r="C2339"/>
  <c r="F2339" s="1"/>
  <c r="E2339"/>
  <c r="C2340"/>
  <c r="D2340"/>
  <c r="E2340"/>
  <c r="F2340"/>
  <c r="C2341"/>
  <c r="E2341"/>
  <c r="C2342"/>
  <c r="D2342"/>
  <c r="E2342"/>
  <c r="F2342"/>
  <c r="C2343"/>
  <c r="F2343" s="1"/>
  <c r="E2343"/>
  <c r="C2344"/>
  <c r="D2344"/>
  <c r="E2344"/>
  <c r="F2344"/>
  <c r="C2345"/>
  <c r="F2345" s="1"/>
  <c r="E2345"/>
  <c r="C2346"/>
  <c r="D2346"/>
  <c r="E2346"/>
  <c r="F2346"/>
  <c r="C2347"/>
  <c r="E2347"/>
  <c r="C2348"/>
  <c r="D2348"/>
  <c r="E2348"/>
  <c r="F2348"/>
  <c r="C2349"/>
  <c r="F2349" s="1"/>
  <c r="E2349"/>
  <c r="F2309"/>
  <c r="C2309"/>
  <c r="D2309"/>
  <c r="E2309"/>
  <c r="D2308"/>
  <c r="E2308"/>
  <c r="F2308"/>
  <c r="G2308"/>
  <c r="C2308"/>
  <c r="W5104"/>
  <c r="M451"/>
  <c r="I4896"/>
  <c r="I4895"/>
  <c r="I4894"/>
  <c r="I4893"/>
  <c r="D4000"/>
  <c r="D4001"/>
  <c r="D4002"/>
  <c r="I3760"/>
  <c r="P3218"/>
  <c r="N3218"/>
  <c r="M3218"/>
  <c r="C3214"/>
  <c r="J5036" l="1"/>
  <c r="J5045"/>
  <c r="H2316"/>
  <c r="H2317" s="1"/>
  <c r="I2310"/>
  <c r="I2315"/>
  <c r="I2313"/>
  <c r="I2309"/>
  <c r="I2311"/>
  <c r="I2312"/>
  <c r="I2314"/>
  <c r="I2191"/>
  <c r="I2189"/>
  <c r="I2188"/>
  <c r="I2187"/>
  <c r="I2183"/>
  <c r="I2177"/>
  <c r="I2184"/>
  <c r="I2185"/>
  <c r="I2186"/>
  <c r="I2218"/>
  <c r="I2219"/>
  <c r="C2254"/>
  <c r="C2255"/>
  <c r="D2254"/>
  <c r="E2254"/>
  <c r="D2255"/>
  <c r="E2255"/>
  <c r="F2254"/>
  <c r="F2255"/>
  <c r="C2261"/>
  <c r="D2261"/>
  <c r="E2261"/>
  <c r="F2261"/>
  <c r="H2261"/>
  <c r="C2271"/>
  <c r="D2271"/>
  <c r="E2271"/>
  <c r="F2271"/>
  <c r="H2271"/>
  <c r="C2272"/>
  <c r="D2272"/>
  <c r="E2272"/>
  <c r="F2272"/>
  <c r="H2272"/>
  <c r="C2537"/>
  <c r="C2568"/>
  <c r="D2568"/>
  <c r="E2568"/>
  <c r="C2569"/>
  <c r="D2569"/>
  <c r="E2569"/>
  <c r="C2621"/>
  <c r="D2621"/>
  <c r="E2621"/>
  <c r="C2622"/>
  <c r="D2622"/>
  <c r="E2622"/>
  <c r="H2622"/>
  <c r="I2620"/>
  <c r="C2575"/>
  <c r="D2575"/>
  <c r="E2575"/>
  <c r="H2254"/>
  <c r="H2255"/>
  <c r="A2176"/>
  <c r="M2199" s="1"/>
  <c r="D2116"/>
  <c r="E2116"/>
  <c r="F2116"/>
  <c r="G2116"/>
  <c r="H2116"/>
  <c r="D2117"/>
  <c r="D2118" s="1"/>
  <c r="E2117"/>
  <c r="E2118" s="1"/>
  <c r="D2119"/>
  <c r="D2120" s="1"/>
  <c r="E2119"/>
  <c r="E2120" s="1"/>
  <c r="D2121"/>
  <c r="D2122" s="1"/>
  <c r="E2121"/>
  <c r="E2122" s="1"/>
  <c r="C2117"/>
  <c r="C2119"/>
  <c r="C2121"/>
  <c r="C2116"/>
  <c r="H1588"/>
  <c r="I2316" l="1"/>
  <c r="H2318"/>
  <c r="I2317"/>
  <c r="I2261"/>
  <c r="I2255"/>
  <c r="I2254"/>
  <c r="H2319" l="1"/>
  <c r="I2318"/>
  <c r="I3909"/>
  <c r="A4947"/>
  <c r="I3952"/>
  <c r="I3753"/>
  <c r="I3515"/>
  <c r="C3515"/>
  <c r="I3514"/>
  <c r="I3512"/>
  <c r="I3510"/>
  <c r="H2320" l="1"/>
  <c r="I2319"/>
  <c r="I3502"/>
  <c r="H2321" l="1"/>
  <c r="I2320"/>
  <c r="F633"/>
  <c r="E633"/>
  <c r="F632"/>
  <c r="E632"/>
  <c r="F631"/>
  <c r="E631"/>
  <c r="E624"/>
  <c r="F624"/>
  <c r="E625"/>
  <c r="F625"/>
  <c r="E626"/>
  <c r="F626"/>
  <c r="E627"/>
  <c r="F627"/>
  <c r="E628"/>
  <c r="F628"/>
  <c r="E629"/>
  <c r="F629"/>
  <c r="E630"/>
  <c r="F630"/>
  <c r="F623"/>
  <c r="E623"/>
  <c r="E737"/>
  <c r="E738"/>
  <c r="E739"/>
  <c r="E740"/>
  <c r="E741"/>
  <c r="E742"/>
  <c r="E743"/>
  <c r="E744"/>
  <c r="E745"/>
  <c r="E746"/>
  <c r="E747"/>
  <c r="H2322" l="1"/>
  <c r="I2321"/>
  <c r="I632"/>
  <c r="I633"/>
  <c r="I631"/>
  <c r="H2323" l="1"/>
  <c r="H2324" s="1"/>
  <c r="I2322"/>
  <c r="I2323" l="1"/>
  <c r="I42"/>
  <c r="C9"/>
  <c r="H2325" l="1"/>
  <c r="I2324"/>
  <c r="H2326" l="1"/>
  <c r="I2325"/>
  <c r="H2327" l="1"/>
  <c r="I2326"/>
  <c r="H2328" l="1"/>
  <c r="H2329" s="1"/>
  <c r="I2327"/>
  <c r="I2328" l="1"/>
  <c r="H2330"/>
  <c r="I2329"/>
  <c r="H2331" l="1"/>
  <c r="I2330"/>
  <c r="H2334" l="1"/>
  <c r="I2331"/>
  <c r="I2332"/>
  <c r="I2333" l="1"/>
  <c r="H2335" l="1"/>
  <c r="I2334"/>
  <c r="H2336" l="1"/>
  <c r="I2335"/>
  <c r="H2337" l="1"/>
  <c r="I2336"/>
  <c r="H2338" l="1"/>
  <c r="I2337"/>
  <c r="H2339" l="1"/>
  <c r="I2338"/>
  <c r="H2340" l="1"/>
  <c r="I2339"/>
  <c r="H2341" l="1"/>
  <c r="I2340"/>
  <c r="H2342" l="1"/>
  <c r="I2341"/>
  <c r="H2343" l="1"/>
  <c r="I2342"/>
  <c r="H2344" l="1"/>
  <c r="I2343"/>
  <c r="P4935"/>
  <c r="N4935"/>
  <c r="I4933"/>
  <c r="I4932"/>
  <c r="I4931"/>
  <c r="M4935"/>
  <c r="A4924"/>
  <c r="F1216"/>
  <c r="F1217"/>
  <c r="F1218"/>
  <c r="F1215"/>
  <c r="F904"/>
  <c r="F905"/>
  <c r="F906"/>
  <c r="F907"/>
  <c r="F908"/>
  <c r="F909"/>
  <c r="F910"/>
  <c r="F911"/>
  <c r="F912"/>
  <c r="F913"/>
  <c r="F914"/>
  <c r="F915"/>
  <c r="F903"/>
  <c r="F738"/>
  <c r="F739"/>
  <c r="F740"/>
  <c r="F741"/>
  <c r="F742"/>
  <c r="F743"/>
  <c r="F744"/>
  <c r="F745"/>
  <c r="F746"/>
  <c r="F747"/>
  <c r="F737"/>
  <c r="I374"/>
  <c r="C4888"/>
  <c r="I3527"/>
  <c r="I3526"/>
  <c r="I3525"/>
  <c r="I3524"/>
  <c r="I3523"/>
  <c r="I3522"/>
  <c r="I3521"/>
  <c r="I3520"/>
  <c r="I3500"/>
  <c r="I3426"/>
  <c r="I3427"/>
  <c r="I3428"/>
  <c r="F3420"/>
  <c r="F3419"/>
  <c r="F3418"/>
  <c r="F3417"/>
  <c r="I3411"/>
  <c r="I3412"/>
  <c r="I3413"/>
  <c r="F3401"/>
  <c r="F3402" s="1"/>
  <c r="F3403" s="1"/>
  <c r="F3404" s="1"/>
  <c r="I1671"/>
  <c r="I1674"/>
  <c r="I1675"/>
  <c r="I1678"/>
  <c r="I1679"/>
  <c r="I1682"/>
  <c r="I1684"/>
  <c r="I1686"/>
  <c r="I1687"/>
  <c r="I1691"/>
  <c r="I1692"/>
  <c r="I1695"/>
  <c r="I1698"/>
  <c r="I1699"/>
  <c r="I1701"/>
  <c r="I1703"/>
  <c r="I1705"/>
  <c r="I1744"/>
  <c r="I1745"/>
  <c r="I1748"/>
  <c r="I1749"/>
  <c r="I1752"/>
  <c r="I1753"/>
  <c r="I1755"/>
  <c r="I1756"/>
  <c r="I1759"/>
  <c r="I1764"/>
  <c r="I1765"/>
  <c r="I1768"/>
  <c r="D1463"/>
  <c r="D1464"/>
  <c r="D1465"/>
  <c r="D1466"/>
  <c r="D1467"/>
  <c r="D1468"/>
  <c r="D1469"/>
  <c r="D1470"/>
  <c r="D1471"/>
  <c r="D1472"/>
  <c r="D1473"/>
  <c r="D1474"/>
  <c r="D1475"/>
  <c r="D1476"/>
  <c r="D1477"/>
  <c r="D1478"/>
  <c r="D1479"/>
  <c r="D1480"/>
  <c r="D1481"/>
  <c r="D1482"/>
  <c r="D1483"/>
  <c r="D1484"/>
  <c r="D1485"/>
  <c r="D1486"/>
  <c r="D1487"/>
  <c r="D1488"/>
  <c r="D1489"/>
  <c r="D1490"/>
  <c r="D1491"/>
  <c r="D1462"/>
  <c r="C898"/>
  <c r="D898"/>
  <c r="E898"/>
  <c r="F898"/>
  <c r="G898"/>
  <c r="H898"/>
  <c r="C899"/>
  <c r="D899"/>
  <c r="E899"/>
  <c r="F899"/>
  <c r="G899"/>
  <c r="H899"/>
  <c r="D4636"/>
  <c r="D4635"/>
  <c r="H4603"/>
  <c r="H4604"/>
  <c r="H4607"/>
  <c r="H4608"/>
  <c r="H4609"/>
  <c r="H4610"/>
  <c r="H4602"/>
  <c r="D4605"/>
  <c r="D4606"/>
  <c r="D4607"/>
  <c r="D4608"/>
  <c r="D4609"/>
  <c r="D4610"/>
  <c r="D4603"/>
  <c r="D4604"/>
  <c r="D4602"/>
  <c r="C4613"/>
  <c r="D4613"/>
  <c r="E4613"/>
  <c r="F4613"/>
  <c r="G4613"/>
  <c r="H4613"/>
  <c r="C4614"/>
  <c r="D4614"/>
  <c r="E4614"/>
  <c r="G4614"/>
  <c r="C4615"/>
  <c r="D4615"/>
  <c r="E4615"/>
  <c r="G4615"/>
  <c r="C4616"/>
  <c r="D4616"/>
  <c r="E4616"/>
  <c r="G4616"/>
  <c r="C4617"/>
  <c r="D4617"/>
  <c r="E4617"/>
  <c r="F4617"/>
  <c r="G4617"/>
  <c r="C4618"/>
  <c r="D4618"/>
  <c r="E4618"/>
  <c r="F4618"/>
  <c r="G4618"/>
  <c r="C4619"/>
  <c r="D4619"/>
  <c r="E4619"/>
  <c r="G4619"/>
  <c r="C4620"/>
  <c r="D4620"/>
  <c r="E4620"/>
  <c r="G4620"/>
  <c r="C4621"/>
  <c r="D4621"/>
  <c r="E4621"/>
  <c r="G4621"/>
  <c r="C4622"/>
  <c r="D4622"/>
  <c r="E4622"/>
  <c r="G4622"/>
  <c r="C4623"/>
  <c r="D4623"/>
  <c r="E4623"/>
  <c r="F4623"/>
  <c r="G4623"/>
  <c r="H4623"/>
  <c r="D4612"/>
  <c r="E4612"/>
  <c r="F4612"/>
  <c r="G4612"/>
  <c r="H4612"/>
  <c r="D4591"/>
  <c r="D4592"/>
  <c r="D4593"/>
  <c r="D4590"/>
  <c r="D4511"/>
  <c r="E4511"/>
  <c r="H4511"/>
  <c r="D4512"/>
  <c r="E4512"/>
  <c r="H4512"/>
  <c r="D4513"/>
  <c r="E4513"/>
  <c r="H4513"/>
  <c r="D4514"/>
  <c r="E4514"/>
  <c r="H4514"/>
  <c r="D4515"/>
  <c r="E4515"/>
  <c r="H4515"/>
  <c r="D4516"/>
  <c r="E4516"/>
  <c r="H4516"/>
  <c r="D4517"/>
  <c r="E4517"/>
  <c r="F4517"/>
  <c r="H4517"/>
  <c r="D4518"/>
  <c r="E4518"/>
  <c r="H4518"/>
  <c r="D4519"/>
  <c r="E4519"/>
  <c r="H4519"/>
  <c r="D4520"/>
  <c r="E4520"/>
  <c r="H4520"/>
  <c r="D4522"/>
  <c r="E4522"/>
  <c r="H4522"/>
  <c r="D4523"/>
  <c r="E4523"/>
  <c r="H4523"/>
  <c r="D4524"/>
  <c r="E4524"/>
  <c r="H4524"/>
  <c r="D4525"/>
  <c r="E4525"/>
  <c r="H4525"/>
  <c r="D4526"/>
  <c r="E4526"/>
  <c r="H4526"/>
  <c r="D4527"/>
  <c r="E4527"/>
  <c r="H4527"/>
  <c r="D4528"/>
  <c r="E4528"/>
  <c r="H4528"/>
  <c r="D4529"/>
  <c r="E4529"/>
  <c r="H4529"/>
  <c r="D4530"/>
  <c r="E4530"/>
  <c r="H4530"/>
  <c r="D4531"/>
  <c r="E4531"/>
  <c r="H4531"/>
  <c r="D4532"/>
  <c r="E4532"/>
  <c r="H4532"/>
  <c r="D4533"/>
  <c r="E4533"/>
  <c r="H4533"/>
  <c r="D4534"/>
  <c r="E4534"/>
  <c r="H4534"/>
  <c r="D4510"/>
  <c r="H4510"/>
  <c r="C4561"/>
  <c r="D4561"/>
  <c r="E4561"/>
  <c r="G4561"/>
  <c r="C4562"/>
  <c r="D4562"/>
  <c r="E4562"/>
  <c r="G4562"/>
  <c r="C4539"/>
  <c r="D4539"/>
  <c r="E4539"/>
  <c r="G4539"/>
  <c r="C4540"/>
  <c r="D4540"/>
  <c r="E4540"/>
  <c r="G4540"/>
  <c r="C4541"/>
  <c r="D4541"/>
  <c r="E4541"/>
  <c r="G4541"/>
  <c r="C4542"/>
  <c r="D4542"/>
  <c r="E4542"/>
  <c r="G4542"/>
  <c r="C4543"/>
  <c r="D4543"/>
  <c r="E4543"/>
  <c r="G4543"/>
  <c r="C4544"/>
  <c r="D4544"/>
  <c r="E4544"/>
  <c r="G4544"/>
  <c r="C4545"/>
  <c r="D4545"/>
  <c r="E4545"/>
  <c r="F4545"/>
  <c r="G4545"/>
  <c r="C4546"/>
  <c r="D4546"/>
  <c r="E4546"/>
  <c r="G4546"/>
  <c r="C4547"/>
  <c r="D4547"/>
  <c r="E4547"/>
  <c r="G4547"/>
  <c r="C4548"/>
  <c r="D4548"/>
  <c r="E4548"/>
  <c r="G4548"/>
  <c r="C4549"/>
  <c r="D4549"/>
  <c r="E4549"/>
  <c r="F4549"/>
  <c r="G4549"/>
  <c r="C4550"/>
  <c r="D4550"/>
  <c r="E4550"/>
  <c r="G4550"/>
  <c r="C4551"/>
  <c r="D4551"/>
  <c r="E4551"/>
  <c r="G4551"/>
  <c r="C4552"/>
  <c r="D4552"/>
  <c r="E4552"/>
  <c r="G4552"/>
  <c r="C4553"/>
  <c r="D4553"/>
  <c r="E4553"/>
  <c r="G4553"/>
  <c r="C4554"/>
  <c r="D4554"/>
  <c r="E4554"/>
  <c r="G4554"/>
  <c r="C4555"/>
  <c r="D4555"/>
  <c r="E4555"/>
  <c r="G4555"/>
  <c r="C4556"/>
  <c r="D4556"/>
  <c r="E4556"/>
  <c r="G4556"/>
  <c r="C4557"/>
  <c r="D4557"/>
  <c r="E4557"/>
  <c r="G4557"/>
  <c r="C4558"/>
  <c r="D4558"/>
  <c r="E4558"/>
  <c r="G4558"/>
  <c r="C4559"/>
  <c r="D4559"/>
  <c r="E4559"/>
  <c r="G4559"/>
  <c r="C4560"/>
  <c r="D4560"/>
  <c r="E4560"/>
  <c r="G4560"/>
  <c r="C4537"/>
  <c r="D4537"/>
  <c r="E4537"/>
  <c r="F4537"/>
  <c r="G4537"/>
  <c r="H4537"/>
  <c r="C4538"/>
  <c r="D4538"/>
  <c r="E4538"/>
  <c r="G4538"/>
  <c r="D4536"/>
  <c r="E4536"/>
  <c r="F4536"/>
  <c r="G4536"/>
  <c r="H4536"/>
  <c r="D4501"/>
  <c r="D4441"/>
  <c r="D4442"/>
  <c r="D4443"/>
  <c r="D4444"/>
  <c r="D4445"/>
  <c r="D4446"/>
  <c r="D4447"/>
  <c r="D4448"/>
  <c r="D4449"/>
  <c r="D4450"/>
  <c r="D4440"/>
  <c r="D4361"/>
  <c r="E4361"/>
  <c r="H4361"/>
  <c r="D4362"/>
  <c r="E4362"/>
  <c r="H4362"/>
  <c r="D4363"/>
  <c r="E4363"/>
  <c r="H4363"/>
  <c r="D4364"/>
  <c r="E4364"/>
  <c r="H4364"/>
  <c r="D4365"/>
  <c r="E4365"/>
  <c r="H4365"/>
  <c r="D4366"/>
  <c r="E4366"/>
  <c r="H4366"/>
  <c r="D4367"/>
  <c r="E4367"/>
  <c r="F4367"/>
  <c r="H4367"/>
  <c r="D4368"/>
  <c r="E4368"/>
  <c r="H4368"/>
  <c r="D4369"/>
  <c r="E4369"/>
  <c r="H4369"/>
  <c r="D4370"/>
  <c r="E4370"/>
  <c r="H4370"/>
  <c r="D4371"/>
  <c r="E4371"/>
  <c r="F4371"/>
  <c r="H4371"/>
  <c r="D4372"/>
  <c r="E4372"/>
  <c r="H4372"/>
  <c r="D4373"/>
  <c r="E4373"/>
  <c r="H4373"/>
  <c r="D4374"/>
  <c r="E4374"/>
  <c r="H4374"/>
  <c r="D4375"/>
  <c r="E4375"/>
  <c r="H4375"/>
  <c r="D4376"/>
  <c r="E4376"/>
  <c r="H4376"/>
  <c r="D4377"/>
  <c r="E4377"/>
  <c r="H4377"/>
  <c r="D4378"/>
  <c r="E4378"/>
  <c r="H4378"/>
  <c r="D4379"/>
  <c r="E4379"/>
  <c r="H4379"/>
  <c r="D4380"/>
  <c r="E4380"/>
  <c r="H4380"/>
  <c r="D4381"/>
  <c r="E4381"/>
  <c r="H4381"/>
  <c r="D4382"/>
  <c r="E4382"/>
  <c r="H4382"/>
  <c r="D4383"/>
  <c r="E4383"/>
  <c r="H4383"/>
  <c r="D4384"/>
  <c r="E4384"/>
  <c r="H4384"/>
  <c r="D4360"/>
  <c r="H4360"/>
  <c r="C4413"/>
  <c r="D4413"/>
  <c r="E4413"/>
  <c r="F4413"/>
  <c r="G4413"/>
  <c r="H4413"/>
  <c r="C4414"/>
  <c r="D4414"/>
  <c r="E4414"/>
  <c r="F4414"/>
  <c r="G4414"/>
  <c r="H4414"/>
  <c r="C4389"/>
  <c r="D4389"/>
  <c r="E4389"/>
  <c r="G4389"/>
  <c r="C4390"/>
  <c r="D4390"/>
  <c r="E4390"/>
  <c r="G4390"/>
  <c r="C4391"/>
  <c r="D4391"/>
  <c r="E4391"/>
  <c r="G4391"/>
  <c r="C4392"/>
  <c r="D4392"/>
  <c r="E4392"/>
  <c r="G4392"/>
  <c r="C4393"/>
  <c r="D4393"/>
  <c r="E4393"/>
  <c r="G4393"/>
  <c r="C4394"/>
  <c r="D4394"/>
  <c r="E4394"/>
  <c r="G4394"/>
  <c r="C4395"/>
  <c r="D4395"/>
  <c r="E4395"/>
  <c r="F4395"/>
  <c r="G4395"/>
  <c r="C4396"/>
  <c r="D4396"/>
  <c r="E4396"/>
  <c r="G4396"/>
  <c r="C4397"/>
  <c r="D4397"/>
  <c r="E4397"/>
  <c r="G4397"/>
  <c r="C4398"/>
  <c r="D4398"/>
  <c r="E4398"/>
  <c r="G4398"/>
  <c r="C4399"/>
  <c r="D4399"/>
  <c r="E4399"/>
  <c r="F4399"/>
  <c r="G4399"/>
  <c r="C4400"/>
  <c r="D4400"/>
  <c r="E4400"/>
  <c r="G4400"/>
  <c r="C4401"/>
  <c r="D4401"/>
  <c r="E4401"/>
  <c r="G4401"/>
  <c r="C4402"/>
  <c r="D4402"/>
  <c r="E4402"/>
  <c r="G4402"/>
  <c r="C4403"/>
  <c r="D4403"/>
  <c r="E4403"/>
  <c r="G4403"/>
  <c r="C4404"/>
  <c r="D4404"/>
  <c r="E4404"/>
  <c r="G4404"/>
  <c r="C4405"/>
  <c r="D4405"/>
  <c r="E4405"/>
  <c r="G4405"/>
  <c r="C4406"/>
  <c r="D4406"/>
  <c r="E4406"/>
  <c r="G4406"/>
  <c r="C4407"/>
  <c r="D4407"/>
  <c r="E4407"/>
  <c r="G4407"/>
  <c r="C4408"/>
  <c r="D4408"/>
  <c r="E4408"/>
  <c r="G4408"/>
  <c r="C4409"/>
  <c r="D4409"/>
  <c r="E4409"/>
  <c r="G4409"/>
  <c r="C4410"/>
  <c r="D4410"/>
  <c r="E4410"/>
  <c r="G4410"/>
  <c r="C4411"/>
  <c r="D4411"/>
  <c r="E4411"/>
  <c r="G4411"/>
  <c r="C4412"/>
  <c r="D4412"/>
  <c r="E4412"/>
  <c r="G4412"/>
  <c r="C4387"/>
  <c r="D4387"/>
  <c r="E4387"/>
  <c r="F4387"/>
  <c r="G4387"/>
  <c r="H4387"/>
  <c r="C4388"/>
  <c r="D4388"/>
  <c r="E4388"/>
  <c r="G4388"/>
  <c r="D4386"/>
  <c r="E4386"/>
  <c r="F4386"/>
  <c r="G4386"/>
  <c r="H4386"/>
  <c r="D4278"/>
  <c r="D4279"/>
  <c r="D4280"/>
  <c r="D4281"/>
  <c r="D4282"/>
  <c r="D4283"/>
  <c r="D4284"/>
  <c r="D4285"/>
  <c r="D4286"/>
  <c r="D4287"/>
  <c r="D4288"/>
  <c r="D4289"/>
  <c r="D4277"/>
  <c r="I4247"/>
  <c r="I4248"/>
  <c r="I4249"/>
  <c r="I4250"/>
  <c r="I4251"/>
  <c r="D4196"/>
  <c r="E4196"/>
  <c r="H4196"/>
  <c r="D4197"/>
  <c r="E4197"/>
  <c r="H4197"/>
  <c r="D4198"/>
  <c r="E4198"/>
  <c r="H4198"/>
  <c r="D4199"/>
  <c r="E4199"/>
  <c r="H4199"/>
  <c r="D4200"/>
  <c r="E4200"/>
  <c r="H4200"/>
  <c r="D4201"/>
  <c r="E4201"/>
  <c r="H4201"/>
  <c r="D4202"/>
  <c r="E4202"/>
  <c r="F4202"/>
  <c r="H4202"/>
  <c r="D4203"/>
  <c r="E4203"/>
  <c r="H4203"/>
  <c r="D4204"/>
  <c r="E4204"/>
  <c r="H4204"/>
  <c r="D4205"/>
  <c r="E4205"/>
  <c r="H4205"/>
  <c r="D4206"/>
  <c r="E4206"/>
  <c r="F4206"/>
  <c r="H4206"/>
  <c r="D4207"/>
  <c r="E4207"/>
  <c r="H4207"/>
  <c r="D4208"/>
  <c r="E4208"/>
  <c r="H4208"/>
  <c r="D4209"/>
  <c r="E4209"/>
  <c r="H4209"/>
  <c r="D4210"/>
  <c r="E4210"/>
  <c r="H4210"/>
  <c r="D4211"/>
  <c r="E4211"/>
  <c r="H4211"/>
  <c r="D4212"/>
  <c r="E4212"/>
  <c r="H4212"/>
  <c r="D4213"/>
  <c r="E4213"/>
  <c r="H4213"/>
  <c r="D4214"/>
  <c r="E4214"/>
  <c r="H4214"/>
  <c r="D4215"/>
  <c r="E4215"/>
  <c r="H4215"/>
  <c r="D4216"/>
  <c r="E4216"/>
  <c r="H4216"/>
  <c r="D4217"/>
  <c r="E4217"/>
  <c r="H4217"/>
  <c r="D4218"/>
  <c r="E4218"/>
  <c r="H4218"/>
  <c r="D4219"/>
  <c r="E4219"/>
  <c r="H4219"/>
  <c r="D4195"/>
  <c r="H4195"/>
  <c r="C4222"/>
  <c r="D4222"/>
  <c r="E4222"/>
  <c r="G4222"/>
  <c r="C4223"/>
  <c r="D4223"/>
  <c r="E4223"/>
  <c r="G4223"/>
  <c r="C4224"/>
  <c r="D4224"/>
  <c r="E4224"/>
  <c r="G4224"/>
  <c r="C4225"/>
  <c r="D4225"/>
  <c r="E4225"/>
  <c r="G4225"/>
  <c r="C4226"/>
  <c r="D4226"/>
  <c r="E4226"/>
  <c r="G4226"/>
  <c r="C4227"/>
  <c r="D4227"/>
  <c r="E4227"/>
  <c r="G4227"/>
  <c r="C4228"/>
  <c r="D4228"/>
  <c r="E4228"/>
  <c r="G4228"/>
  <c r="C4229"/>
  <c r="D4229"/>
  <c r="E4229"/>
  <c r="F4229"/>
  <c r="G4229"/>
  <c r="C4230"/>
  <c r="D4230"/>
  <c r="E4230"/>
  <c r="G4230"/>
  <c r="C4231"/>
  <c r="D4231"/>
  <c r="E4231"/>
  <c r="G4231"/>
  <c r="C4232"/>
  <c r="D4232"/>
  <c r="E4232"/>
  <c r="G4232"/>
  <c r="C4233"/>
  <c r="D4233"/>
  <c r="E4233"/>
  <c r="F4233"/>
  <c r="G4233"/>
  <c r="C4234"/>
  <c r="D4234"/>
  <c r="E4234"/>
  <c r="G4234"/>
  <c r="C4235"/>
  <c r="D4235"/>
  <c r="E4235"/>
  <c r="G4235"/>
  <c r="C4236"/>
  <c r="D4236"/>
  <c r="E4236"/>
  <c r="G4236"/>
  <c r="C4237"/>
  <c r="D4237"/>
  <c r="E4237"/>
  <c r="G4237"/>
  <c r="C4238"/>
  <c r="D4238"/>
  <c r="E4238"/>
  <c r="G4238"/>
  <c r="C4239"/>
  <c r="D4239"/>
  <c r="E4239"/>
  <c r="G4239"/>
  <c r="C4240"/>
  <c r="D4240"/>
  <c r="E4240"/>
  <c r="G4240"/>
  <c r="C4241"/>
  <c r="D4241"/>
  <c r="E4241"/>
  <c r="G4241"/>
  <c r="C4242"/>
  <c r="D4242"/>
  <c r="E4242"/>
  <c r="G4242"/>
  <c r="C4243"/>
  <c r="D4243"/>
  <c r="E4243"/>
  <c r="G4243"/>
  <c r="C4244"/>
  <c r="D4244"/>
  <c r="E4244"/>
  <c r="G4244"/>
  <c r="C4245"/>
  <c r="D4245"/>
  <c r="E4245"/>
  <c r="G4245"/>
  <c r="C4246"/>
  <c r="D4246"/>
  <c r="E4246"/>
  <c r="G4246"/>
  <c r="D4221"/>
  <c r="E4221"/>
  <c r="F4221"/>
  <c r="G4221"/>
  <c r="H4221"/>
  <c r="C4221"/>
  <c r="D4187"/>
  <c r="D4108"/>
  <c r="D4109"/>
  <c r="D4110"/>
  <c r="D4111"/>
  <c r="D4112"/>
  <c r="D4113"/>
  <c r="D4114"/>
  <c r="D4115"/>
  <c r="D4116"/>
  <c r="D4117"/>
  <c r="D4107"/>
  <c r="H4019"/>
  <c r="H4020"/>
  <c r="H4021"/>
  <c r="H4022"/>
  <c r="H4023"/>
  <c r="H4024"/>
  <c r="H4025"/>
  <c r="H4026"/>
  <c r="H4027"/>
  <c r="H4028"/>
  <c r="H4029"/>
  <c r="H4030"/>
  <c r="H4031"/>
  <c r="H4032"/>
  <c r="H4033"/>
  <c r="H4034"/>
  <c r="H4035"/>
  <c r="H4036"/>
  <c r="H4037"/>
  <c r="H4038"/>
  <c r="H4039"/>
  <c r="H4040"/>
  <c r="H4041"/>
  <c r="H4042"/>
  <c r="H4043"/>
  <c r="H4044"/>
  <c r="H4018"/>
  <c r="G4048"/>
  <c r="G4049"/>
  <c r="G4050"/>
  <c r="G4051"/>
  <c r="G4052"/>
  <c r="G4053"/>
  <c r="G4054"/>
  <c r="G4055"/>
  <c r="G4056"/>
  <c r="G4057"/>
  <c r="G4058"/>
  <c r="G4059"/>
  <c r="G4060"/>
  <c r="G4061"/>
  <c r="G4062"/>
  <c r="G4063"/>
  <c r="G4064"/>
  <c r="G4065"/>
  <c r="G4066"/>
  <c r="G4067"/>
  <c r="G4068"/>
  <c r="G4069"/>
  <c r="G4070"/>
  <c r="G4071"/>
  <c r="G4072"/>
  <c r="G4073"/>
  <c r="G4074"/>
  <c r="C4049"/>
  <c r="D4049"/>
  <c r="E4049"/>
  <c r="C4050"/>
  <c r="D4050"/>
  <c r="E4050"/>
  <c r="C4051"/>
  <c r="D4051"/>
  <c r="E4051"/>
  <c r="C4052"/>
  <c r="D4052"/>
  <c r="E4052"/>
  <c r="C4053"/>
  <c r="D4053"/>
  <c r="E4053"/>
  <c r="C4054"/>
  <c r="D4054"/>
  <c r="E4054"/>
  <c r="C4055"/>
  <c r="D4055"/>
  <c r="E4055"/>
  <c r="C4056"/>
  <c r="D4056"/>
  <c r="E4056"/>
  <c r="F4056"/>
  <c r="C4057"/>
  <c r="D4057"/>
  <c r="E4057"/>
  <c r="C4058"/>
  <c r="D4058"/>
  <c r="E4058"/>
  <c r="C4059"/>
  <c r="D4059"/>
  <c r="E4059"/>
  <c r="C4060"/>
  <c r="D4060"/>
  <c r="E4060"/>
  <c r="F4060"/>
  <c r="C4061"/>
  <c r="D4061"/>
  <c r="E4061"/>
  <c r="C4062"/>
  <c r="D4062"/>
  <c r="E4062"/>
  <c r="C4063"/>
  <c r="D4063"/>
  <c r="E4063"/>
  <c r="C4064"/>
  <c r="D4064"/>
  <c r="E4064"/>
  <c r="C4065"/>
  <c r="D4065"/>
  <c r="E4065"/>
  <c r="C4066"/>
  <c r="D4066"/>
  <c r="E4066"/>
  <c r="C4067"/>
  <c r="D4067"/>
  <c r="E4067"/>
  <c r="C4068"/>
  <c r="D4068"/>
  <c r="E4068"/>
  <c r="C4069"/>
  <c r="D4069"/>
  <c r="E4069"/>
  <c r="C4070"/>
  <c r="D4070"/>
  <c r="E4070"/>
  <c r="C4071"/>
  <c r="D4071"/>
  <c r="E4071"/>
  <c r="C4072"/>
  <c r="D4072"/>
  <c r="E4072"/>
  <c r="C4073"/>
  <c r="D4073"/>
  <c r="E4073"/>
  <c r="C4074"/>
  <c r="D4074"/>
  <c r="E4074"/>
  <c r="D4019"/>
  <c r="D4020"/>
  <c r="D4021"/>
  <c r="D4022"/>
  <c r="D4023"/>
  <c r="D4024"/>
  <c r="D4025"/>
  <c r="D4026"/>
  <c r="D4027"/>
  <c r="D4028"/>
  <c r="D4029"/>
  <c r="D4030"/>
  <c r="D4031"/>
  <c r="D4032"/>
  <c r="D4033"/>
  <c r="D4034"/>
  <c r="D4035"/>
  <c r="D4036"/>
  <c r="D4037"/>
  <c r="D4038"/>
  <c r="D4039"/>
  <c r="D4040"/>
  <c r="D4041"/>
  <c r="D4042"/>
  <c r="D4043"/>
  <c r="D4044"/>
  <c r="D4018"/>
  <c r="D4048"/>
  <c r="E4048"/>
  <c r="C4048"/>
  <c r="C4047"/>
  <c r="H4047"/>
  <c r="G4047"/>
  <c r="F4047"/>
  <c r="E4047"/>
  <c r="D4047"/>
  <c r="H4046"/>
  <c r="G4046"/>
  <c r="F4046"/>
  <c r="E4046"/>
  <c r="D4046"/>
  <c r="D4010"/>
  <c r="D3993"/>
  <c r="D3994"/>
  <c r="D3995"/>
  <c r="D3996"/>
  <c r="D3997"/>
  <c r="D3998"/>
  <c r="D3999"/>
  <c r="D3992"/>
  <c r="K4805"/>
  <c r="L4805"/>
  <c r="K4806"/>
  <c r="L4806"/>
  <c r="K4807"/>
  <c r="L4807"/>
  <c r="K4804"/>
  <c r="L4804"/>
  <c r="L4808"/>
  <c r="K4808"/>
  <c r="J4808"/>
  <c r="E4808"/>
  <c r="D4808"/>
  <c r="C4808"/>
  <c r="L4803"/>
  <c r="K4803"/>
  <c r="J4803"/>
  <c r="E4803"/>
  <c r="D4803"/>
  <c r="C4803"/>
  <c r="K4770"/>
  <c r="L4770"/>
  <c r="K4771"/>
  <c r="L4771"/>
  <c r="K4772"/>
  <c r="L4772"/>
  <c r="K4773"/>
  <c r="L4773"/>
  <c r="K4774"/>
  <c r="L4774"/>
  <c r="K4775"/>
  <c r="L4775"/>
  <c r="K4776"/>
  <c r="L4776"/>
  <c r="K4777"/>
  <c r="L4777"/>
  <c r="K4778"/>
  <c r="L4778"/>
  <c r="K4779"/>
  <c r="L4779"/>
  <c r="K4769"/>
  <c r="L4769"/>
  <c r="K4734"/>
  <c r="L4734"/>
  <c r="I4699"/>
  <c r="I4700"/>
  <c r="K4701"/>
  <c r="L4701"/>
  <c r="L4700"/>
  <c r="K4700"/>
  <c r="J4700"/>
  <c r="F4677"/>
  <c r="H4677"/>
  <c r="I4678"/>
  <c r="I4679"/>
  <c r="I4680"/>
  <c r="I4712"/>
  <c r="I4713"/>
  <c r="I4714"/>
  <c r="I4748"/>
  <c r="I4749"/>
  <c r="I4783"/>
  <c r="I4666"/>
  <c r="K4670"/>
  <c r="L4670"/>
  <c r="K4671"/>
  <c r="L4671"/>
  <c r="K4672"/>
  <c r="L4672"/>
  <c r="K4673"/>
  <c r="L4673"/>
  <c r="K4674"/>
  <c r="L4674"/>
  <c r="K4675"/>
  <c r="L4675"/>
  <c r="K4676"/>
  <c r="L4676"/>
  <c r="K4668"/>
  <c r="L4668"/>
  <c r="K4669"/>
  <c r="L4669"/>
  <c r="L4667"/>
  <c r="K4667"/>
  <c r="J4667"/>
  <c r="E4667"/>
  <c r="D4667"/>
  <c r="I4809"/>
  <c r="I4648"/>
  <c r="D3985"/>
  <c r="E3985"/>
  <c r="F3985"/>
  <c r="G3985"/>
  <c r="H3985"/>
  <c r="C4648"/>
  <c r="C3988"/>
  <c r="D3988"/>
  <c r="E3988"/>
  <c r="F3988"/>
  <c r="G3988"/>
  <c r="H3988"/>
  <c r="C3989"/>
  <c r="D3989"/>
  <c r="E3989"/>
  <c r="F3989"/>
  <c r="G3989"/>
  <c r="H3989"/>
  <c r="C3990"/>
  <c r="D3990"/>
  <c r="E3990"/>
  <c r="F3990"/>
  <c r="G3990"/>
  <c r="H3990"/>
  <c r="C3991"/>
  <c r="D3991"/>
  <c r="E3991"/>
  <c r="F3991"/>
  <c r="G3991"/>
  <c r="H3991"/>
  <c r="C3992"/>
  <c r="E3992"/>
  <c r="H3992"/>
  <c r="C3993"/>
  <c r="E3993"/>
  <c r="H3993"/>
  <c r="C3994"/>
  <c r="E3994"/>
  <c r="H3994"/>
  <c r="C3995"/>
  <c r="E3995"/>
  <c r="H3995"/>
  <c r="C3996"/>
  <c r="E3996"/>
  <c r="F3996"/>
  <c r="H3996"/>
  <c r="C3997"/>
  <c r="E3997"/>
  <c r="H3997"/>
  <c r="C3998"/>
  <c r="E3998"/>
  <c r="F3998"/>
  <c r="H3998"/>
  <c r="C3999"/>
  <c r="E3999"/>
  <c r="H3999"/>
  <c r="C4000"/>
  <c r="E4000"/>
  <c r="F4000"/>
  <c r="H4000"/>
  <c r="C4001"/>
  <c r="E4001"/>
  <c r="F4001"/>
  <c r="H4001"/>
  <c r="C4002"/>
  <c r="E4002"/>
  <c r="F4002"/>
  <c r="H4002"/>
  <c r="C4010"/>
  <c r="E4010"/>
  <c r="F4010"/>
  <c r="H4010"/>
  <c r="D4647"/>
  <c r="E4647"/>
  <c r="F4647"/>
  <c r="G4647"/>
  <c r="H4647"/>
  <c r="C4653"/>
  <c r="D4653"/>
  <c r="E4653"/>
  <c r="F4653"/>
  <c r="G4653"/>
  <c r="H4653"/>
  <c r="C4654"/>
  <c r="D4654"/>
  <c r="E4654"/>
  <c r="F4654"/>
  <c r="G4654"/>
  <c r="H4654"/>
  <c r="D4655"/>
  <c r="E4655"/>
  <c r="F4655"/>
  <c r="G4655"/>
  <c r="H4655"/>
  <c r="G4656"/>
  <c r="H4656"/>
  <c r="K4658"/>
  <c r="G4658" s="1"/>
  <c r="L4658"/>
  <c r="K4659"/>
  <c r="G4659" s="1"/>
  <c r="L4659"/>
  <c r="K4660"/>
  <c r="G4660" s="1"/>
  <c r="L4660"/>
  <c r="K4661"/>
  <c r="G4661" s="1"/>
  <c r="L4661"/>
  <c r="K4662"/>
  <c r="G4662" s="1"/>
  <c r="L4662"/>
  <c r="K4663"/>
  <c r="G4663" s="1"/>
  <c r="L4663"/>
  <c r="K4664"/>
  <c r="G4664" s="1"/>
  <c r="L4664"/>
  <c r="K4665"/>
  <c r="G4665" s="1"/>
  <c r="L4665"/>
  <c r="D4016"/>
  <c r="E4016"/>
  <c r="F4016"/>
  <c r="G4016"/>
  <c r="H4016"/>
  <c r="C4017"/>
  <c r="D4017"/>
  <c r="E4017"/>
  <c r="F4017"/>
  <c r="G4017"/>
  <c r="H4017"/>
  <c r="C4018"/>
  <c r="E4018"/>
  <c r="C4019"/>
  <c r="E4019"/>
  <c r="C4020"/>
  <c r="E4020"/>
  <c r="C4021"/>
  <c r="E4021"/>
  <c r="C4022"/>
  <c r="E4022"/>
  <c r="C4023"/>
  <c r="E4023"/>
  <c r="C4024"/>
  <c r="E4024"/>
  <c r="C4025"/>
  <c r="E4025"/>
  <c r="C4026"/>
  <c r="E4026"/>
  <c r="F4026"/>
  <c r="C4027"/>
  <c r="E4027"/>
  <c r="C4028"/>
  <c r="E4028"/>
  <c r="C4029"/>
  <c r="E4029"/>
  <c r="C4030"/>
  <c r="E4030"/>
  <c r="F4030"/>
  <c r="C4031"/>
  <c r="E4031"/>
  <c r="C4032"/>
  <c r="E4032"/>
  <c r="C4033"/>
  <c r="E4033"/>
  <c r="C4034"/>
  <c r="E4034"/>
  <c r="C4035"/>
  <c r="E4035"/>
  <c r="C4036"/>
  <c r="E4036"/>
  <c r="C4037"/>
  <c r="E4037"/>
  <c r="C4038"/>
  <c r="E4038"/>
  <c r="C4039"/>
  <c r="E4039"/>
  <c r="C4040"/>
  <c r="E4040"/>
  <c r="C4041"/>
  <c r="E4041"/>
  <c r="C4042"/>
  <c r="E4042"/>
  <c r="C4043"/>
  <c r="E4043"/>
  <c r="C4044"/>
  <c r="E4044"/>
  <c r="C4045"/>
  <c r="D4045"/>
  <c r="E4045"/>
  <c r="F4045"/>
  <c r="G4045"/>
  <c r="H4045"/>
  <c r="C4075"/>
  <c r="D4075"/>
  <c r="E4075"/>
  <c r="F4075"/>
  <c r="G4075"/>
  <c r="H4075"/>
  <c r="C4076"/>
  <c r="D4076"/>
  <c r="E4076"/>
  <c r="F4076"/>
  <c r="G4076"/>
  <c r="H4076"/>
  <c r="C4077"/>
  <c r="D4077"/>
  <c r="E4077"/>
  <c r="F4077"/>
  <c r="G4077"/>
  <c r="H4077"/>
  <c r="D4078"/>
  <c r="E4078"/>
  <c r="F4078"/>
  <c r="G4078"/>
  <c r="D4079"/>
  <c r="E4079"/>
  <c r="F4079"/>
  <c r="G4079"/>
  <c r="D4080"/>
  <c r="E4080"/>
  <c r="F4080"/>
  <c r="G4080"/>
  <c r="D4081"/>
  <c r="E4081"/>
  <c r="F4081"/>
  <c r="G4081"/>
  <c r="D4082"/>
  <c r="E4082"/>
  <c r="F4082"/>
  <c r="G4082"/>
  <c r="D4083"/>
  <c r="E4083"/>
  <c r="F4083"/>
  <c r="G4083"/>
  <c r="D4084"/>
  <c r="E4084"/>
  <c r="F4084"/>
  <c r="G4084"/>
  <c r="D4085"/>
  <c r="E4085"/>
  <c r="F4085"/>
  <c r="G4085"/>
  <c r="D4086"/>
  <c r="E4086"/>
  <c r="F4086"/>
  <c r="G4086"/>
  <c r="D4087"/>
  <c r="E4087"/>
  <c r="F4087"/>
  <c r="G4087"/>
  <c r="D4088"/>
  <c r="E4088"/>
  <c r="F4088"/>
  <c r="G4088"/>
  <c r="D4089"/>
  <c r="E4089"/>
  <c r="F4089"/>
  <c r="G4089"/>
  <c r="D4090"/>
  <c r="E4090"/>
  <c r="F4090"/>
  <c r="G4090"/>
  <c r="D4091"/>
  <c r="E4091"/>
  <c r="F4091"/>
  <c r="G4091"/>
  <c r="D4092"/>
  <c r="E4092"/>
  <c r="F4092"/>
  <c r="G4092"/>
  <c r="D4093"/>
  <c r="E4093"/>
  <c r="F4093"/>
  <c r="G4093"/>
  <c r="D4094"/>
  <c r="E4094"/>
  <c r="F4094"/>
  <c r="G4094"/>
  <c r="D4095"/>
  <c r="E4095"/>
  <c r="F4095"/>
  <c r="G4095"/>
  <c r="D4096"/>
  <c r="E4096"/>
  <c r="F4096"/>
  <c r="G4096"/>
  <c r="D4097"/>
  <c r="E4097"/>
  <c r="F4097"/>
  <c r="G4097"/>
  <c r="C4098"/>
  <c r="D4098"/>
  <c r="E4098"/>
  <c r="F4098"/>
  <c r="G4098"/>
  <c r="C4099"/>
  <c r="D4099"/>
  <c r="E4099"/>
  <c r="F4099"/>
  <c r="G4099"/>
  <c r="C4100"/>
  <c r="D4100"/>
  <c r="E4100"/>
  <c r="F4100"/>
  <c r="G4100"/>
  <c r="H4100"/>
  <c r="C4101"/>
  <c r="D4101"/>
  <c r="E4101"/>
  <c r="F4101"/>
  <c r="G4101"/>
  <c r="C4102"/>
  <c r="D4102"/>
  <c r="E4102"/>
  <c r="G4102"/>
  <c r="C4103"/>
  <c r="D4103"/>
  <c r="E4103"/>
  <c r="F4103"/>
  <c r="G4103"/>
  <c r="C4104"/>
  <c r="D4104"/>
  <c r="E4104"/>
  <c r="F4104"/>
  <c r="G4104"/>
  <c r="C4681"/>
  <c r="D4681"/>
  <c r="E4681"/>
  <c r="L4682"/>
  <c r="C4105"/>
  <c r="D4105"/>
  <c r="E4105"/>
  <c r="F4105"/>
  <c r="G4105"/>
  <c r="H4105"/>
  <c r="C4106"/>
  <c r="D4106"/>
  <c r="E4106"/>
  <c r="F4106"/>
  <c r="G4106"/>
  <c r="H4106"/>
  <c r="C4107"/>
  <c r="H4107"/>
  <c r="C4108"/>
  <c r="C4109"/>
  <c r="C4110"/>
  <c r="C4111"/>
  <c r="C4112"/>
  <c r="C4113"/>
  <c r="C4114"/>
  <c r="C4115"/>
  <c r="C4116"/>
  <c r="C4117"/>
  <c r="C4118"/>
  <c r="D4118"/>
  <c r="E4118"/>
  <c r="F4118"/>
  <c r="G4118"/>
  <c r="H4118"/>
  <c r="C4119"/>
  <c r="D4119"/>
  <c r="E4119"/>
  <c r="F4119"/>
  <c r="G4119"/>
  <c r="H4119"/>
  <c r="C4120"/>
  <c r="D4120"/>
  <c r="E4120"/>
  <c r="F4120"/>
  <c r="G4120"/>
  <c r="H4120"/>
  <c r="C4158"/>
  <c r="D4687"/>
  <c r="E4687"/>
  <c r="J4687"/>
  <c r="K4687"/>
  <c r="L4687"/>
  <c r="K4688"/>
  <c r="G4688" s="1"/>
  <c r="L4688"/>
  <c r="C4187"/>
  <c r="E4187"/>
  <c r="F4187"/>
  <c r="G4187"/>
  <c r="H4187"/>
  <c r="C4188"/>
  <c r="E4188"/>
  <c r="F4188"/>
  <c r="G4188"/>
  <c r="C4189"/>
  <c r="E4189"/>
  <c r="G4189"/>
  <c r="C4190"/>
  <c r="E4190"/>
  <c r="G4190"/>
  <c r="C4191"/>
  <c r="E4191"/>
  <c r="F4191"/>
  <c r="G4191"/>
  <c r="C4192"/>
  <c r="D4192"/>
  <c r="E4192"/>
  <c r="F4192"/>
  <c r="G4192"/>
  <c r="H4192"/>
  <c r="D4193"/>
  <c r="E4193"/>
  <c r="F4193"/>
  <c r="G4193"/>
  <c r="H4193"/>
  <c r="C4194"/>
  <c r="D4194"/>
  <c r="E4194"/>
  <c r="F4194"/>
  <c r="G4194"/>
  <c r="H4194"/>
  <c r="C4195"/>
  <c r="E4195"/>
  <c r="C4196"/>
  <c r="C4197"/>
  <c r="C4198"/>
  <c r="C4199"/>
  <c r="C4200"/>
  <c r="C4201"/>
  <c r="C4202"/>
  <c r="C4203"/>
  <c r="C4204"/>
  <c r="C4205"/>
  <c r="C4206"/>
  <c r="C4207"/>
  <c r="C4208"/>
  <c r="C4209"/>
  <c r="C4210"/>
  <c r="C4211"/>
  <c r="C4212"/>
  <c r="C4213"/>
  <c r="C4214"/>
  <c r="C4215"/>
  <c r="C4216"/>
  <c r="C4217"/>
  <c r="C4218"/>
  <c r="C4219"/>
  <c r="D4220"/>
  <c r="E4220"/>
  <c r="F4220"/>
  <c r="G4220"/>
  <c r="H4220"/>
  <c r="C4252"/>
  <c r="D4252"/>
  <c r="E4252"/>
  <c r="F4252"/>
  <c r="G4252"/>
  <c r="H4252"/>
  <c r="C4253"/>
  <c r="D4253"/>
  <c r="E4253"/>
  <c r="F4253"/>
  <c r="G4253"/>
  <c r="H4253"/>
  <c r="D4254"/>
  <c r="E4254"/>
  <c r="F4254"/>
  <c r="G4254"/>
  <c r="D4255"/>
  <c r="E4255"/>
  <c r="F4255"/>
  <c r="G4255"/>
  <c r="D4256"/>
  <c r="E4256"/>
  <c r="F4256"/>
  <c r="G4256"/>
  <c r="D4257"/>
  <c r="E4257"/>
  <c r="F4257"/>
  <c r="G4257"/>
  <c r="D4258"/>
  <c r="E4258"/>
  <c r="F4258"/>
  <c r="G4258"/>
  <c r="D4259"/>
  <c r="E4259"/>
  <c r="F4259"/>
  <c r="G4259"/>
  <c r="D4260"/>
  <c r="E4260"/>
  <c r="F4260"/>
  <c r="G4260"/>
  <c r="D4261"/>
  <c r="E4261"/>
  <c r="F4261"/>
  <c r="G4261"/>
  <c r="D4262"/>
  <c r="E4262"/>
  <c r="F4262"/>
  <c r="G4262"/>
  <c r="D4263"/>
  <c r="E4263"/>
  <c r="F4263"/>
  <c r="G4263"/>
  <c r="D4264"/>
  <c r="E4264"/>
  <c r="F4264"/>
  <c r="G4264"/>
  <c r="D4265"/>
  <c r="E4265"/>
  <c r="F4265"/>
  <c r="G4265"/>
  <c r="D4266"/>
  <c r="E4266"/>
  <c r="F4266"/>
  <c r="G4266"/>
  <c r="D4267"/>
  <c r="E4267"/>
  <c r="F4267"/>
  <c r="G4267"/>
  <c r="D4268"/>
  <c r="E4268"/>
  <c r="F4268"/>
  <c r="G4268"/>
  <c r="D4269"/>
  <c r="E4269"/>
  <c r="F4269"/>
  <c r="G4269"/>
  <c r="D4270"/>
  <c r="E4270"/>
  <c r="F4270"/>
  <c r="G4270"/>
  <c r="C4271"/>
  <c r="D4271"/>
  <c r="E4271"/>
  <c r="F4271"/>
  <c r="G4271"/>
  <c r="C4272"/>
  <c r="D4272"/>
  <c r="E4272"/>
  <c r="F4272"/>
  <c r="G4272"/>
  <c r="C4273"/>
  <c r="D4273"/>
  <c r="E4273"/>
  <c r="F4273"/>
  <c r="G4273"/>
  <c r="D4274"/>
  <c r="E4274"/>
  <c r="F4274"/>
  <c r="G4274"/>
  <c r="H4274"/>
  <c r="C4275"/>
  <c r="D4275"/>
  <c r="E4275"/>
  <c r="F4275"/>
  <c r="G4275"/>
  <c r="H4275"/>
  <c r="C4276"/>
  <c r="D4276"/>
  <c r="E4276"/>
  <c r="F4276"/>
  <c r="G4276"/>
  <c r="H4276"/>
  <c r="C4277"/>
  <c r="H4277"/>
  <c r="C4278"/>
  <c r="C4279"/>
  <c r="C4280"/>
  <c r="C4281"/>
  <c r="C4282"/>
  <c r="C4283"/>
  <c r="C4284"/>
  <c r="C4285"/>
  <c r="C4286"/>
  <c r="C4287"/>
  <c r="C4288"/>
  <c r="C4289"/>
  <c r="C4290"/>
  <c r="D4290"/>
  <c r="E4290"/>
  <c r="F4290"/>
  <c r="G4290"/>
  <c r="H4290"/>
  <c r="C4291"/>
  <c r="D4291"/>
  <c r="E4291"/>
  <c r="F4291"/>
  <c r="G4291"/>
  <c r="H4291"/>
  <c r="H4292"/>
  <c r="H4296"/>
  <c r="H4300"/>
  <c r="H4304"/>
  <c r="H4307"/>
  <c r="H4310"/>
  <c r="H4313"/>
  <c r="H4316"/>
  <c r="H4319"/>
  <c r="C4322"/>
  <c r="G4323"/>
  <c r="C4352"/>
  <c r="D4352"/>
  <c r="E4352"/>
  <c r="F4352"/>
  <c r="G4352"/>
  <c r="H4352"/>
  <c r="D4719"/>
  <c r="E4719"/>
  <c r="J4719"/>
  <c r="K4719"/>
  <c r="L4719"/>
  <c r="K4720"/>
  <c r="G4720" s="1"/>
  <c r="L4720"/>
  <c r="C4353"/>
  <c r="D4353"/>
  <c r="E4353"/>
  <c r="F4353"/>
  <c r="G4353"/>
  <c r="C4354"/>
  <c r="D4354"/>
  <c r="E4354"/>
  <c r="G4354"/>
  <c r="C4355"/>
  <c r="D4355"/>
  <c r="E4355"/>
  <c r="F4355"/>
  <c r="G4355"/>
  <c r="C4356"/>
  <c r="D4356"/>
  <c r="E4356"/>
  <c r="F4356"/>
  <c r="G4356"/>
  <c r="C4357"/>
  <c r="D4357"/>
  <c r="E4357"/>
  <c r="F4357"/>
  <c r="G4357"/>
  <c r="H4357"/>
  <c r="D4358"/>
  <c r="E4358"/>
  <c r="F4358"/>
  <c r="G4358"/>
  <c r="H4358"/>
  <c r="C4359"/>
  <c r="D4359"/>
  <c r="E4359"/>
  <c r="F4359"/>
  <c r="G4359"/>
  <c r="H4359"/>
  <c r="C4360"/>
  <c r="E4360"/>
  <c r="C4361"/>
  <c r="C4362"/>
  <c r="C4363"/>
  <c r="C4364"/>
  <c r="C4365"/>
  <c r="C4366"/>
  <c r="C4367"/>
  <c r="C4368"/>
  <c r="C4369"/>
  <c r="C4370"/>
  <c r="C4371"/>
  <c r="C4372"/>
  <c r="C4373"/>
  <c r="C4374"/>
  <c r="C4375"/>
  <c r="C4376"/>
  <c r="C4377"/>
  <c r="C4378"/>
  <c r="C4379"/>
  <c r="C4380"/>
  <c r="C4381"/>
  <c r="C4382"/>
  <c r="C4383"/>
  <c r="C4384"/>
  <c r="C4385"/>
  <c r="D4385"/>
  <c r="E4385"/>
  <c r="F4385"/>
  <c r="G4385"/>
  <c r="H4385"/>
  <c r="C4415"/>
  <c r="D4415"/>
  <c r="E4415"/>
  <c r="F4415"/>
  <c r="G4415"/>
  <c r="H4415"/>
  <c r="C4416"/>
  <c r="D4416"/>
  <c r="E4416"/>
  <c r="F4416"/>
  <c r="G4416"/>
  <c r="H4416"/>
  <c r="C4417"/>
  <c r="D4417"/>
  <c r="E4417"/>
  <c r="F4417"/>
  <c r="G4417"/>
  <c r="C4418"/>
  <c r="D4418"/>
  <c r="E4418"/>
  <c r="F4418"/>
  <c r="G4418"/>
  <c r="C4419"/>
  <c r="D4419"/>
  <c r="E4419"/>
  <c r="F4419"/>
  <c r="G4419"/>
  <c r="C4420"/>
  <c r="D4420"/>
  <c r="E4420"/>
  <c r="F4420"/>
  <c r="G4420"/>
  <c r="C4421"/>
  <c r="D4421"/>
  <c r="E4421"/>
  <c r="F4421"/>
  <c r="G4421"/>
  <c r="C4422"/>
  <c r="D4422"/>
  <c r="E4422"/>
  <c r="F4422"/>
  <c r="G4422"/>
  <c r="C4423"/>
  <c r="D4423"/>
  <c r="E4423"/>
  <c r="F4423"/>
  <c r="G4423"/>
  <c r="C4424"/>
  <c r="D4424"/>
  <c r="E4424"/>
  <c r="F4424"/>
  <c r="G4424"/>
  <c r="C4425"/>
  <c r="D4425"/>
  <c r="E4425"/>
  <c r="F4425"/>
  <c r="G4425"/>
  <c r="C4426"/>
  <c r="D4426"/>
  <c r="E4426"/>
  <c r="F4426"/>
  <c r="G4426"/>
  <c r="C4427"/>
  <c r="D4427"/>
  <c r="E4427"/>
  <c r="F4427"/>
  <c r="G4427"/>
  <c r="C4428"/>
  <c r="D4428"/>
  <c r="E4428"/>
  <c r="F4428"/>
  <c r="G4428"/>
  <c r="C4429"/>
  <c r="D4429"/>
  <c r="E4429"/>
  <c r="F4429"/>
  <c r="G4429"/>
  <c r="C4430"/>
  <c r="D4430"/>
  <c r="E4430"/>
  <c r="F4430"/>
  <c r="G4430"/>
  <c r="C4431"/>
  <c r="D4431"/>
  <c r="E4431"/>
  <c r="F4431"/>
  <c r="G4431"/>
  <c r="C4432"/>
  <c r="D4432"/>
  <c r="E4432"/>
  <c r="F4432"/>
  <c r="G4432"/>
  <c r="C4433"/>
  <c r="D4433"/>
  <c r="E4433"/>
  <c r="F4433"/>
  <c r="G4433"/>
  <c r="C4434"/>
  <c r="D4434"/>
  <c r="E4434"/>
  <c r="F4434"/>
  <c r="G4434"/>
  <c r="C4435"/>
  <c r="D4435"/>
  <c r="E4435"/>
  <c r="F4435"/>
  <c r="G4435"/>
  <c r="C4436"/>
  <c r="D4436"/>
  <c r="E4436"/>
  <c r="F4436"/>
  <c r="G4436"/>
  <c r="C4437"/>
  <c r="D4437"/>
  <c r="E4437"/>
  <c r="F4437"/>
  <c r="G4437"/>
  <c r="H4437"/>
  <c r="D4438"/>
  <c r="E4438"/>
  <c r="F4438"/>
  <c r="G4438"/>
  <c r="H4438"/>
  <c r="C4439"/>
  <c r="D4439"/>
  <c r="E4439"/>
  <c r="F4439"/>
  <c r="G4439"/>
  <c r="H4439"/>
  <c r="H4440"/>
  <c r="H4441"/>
  <c r="H4442"/>
  <c r="H4443"/>
  <c r="H4444"/>
  <c r="H4445"/>
  <c r="H4446"/>
  <c r="H4447"/>
  <c r="H4448"/>
  <c r="H4449"/>
  <c r="H4450"/>
  <c r="C4451"/>
  <c r="D4451"/>
  <c r="E4451"/>
  <c r="F4451"/>
  <c r="G4451"/>
  <c r="H4451"/>
  <c r="C4452"/>
  <c r="D4452"/>
  <c r="E4452"/>
  <c r="F4452"/>
  <c r="G4452"/>
  <c r="H4452"/>
  <c r="C4475"/>
  <c r="C4501"/>
  <c r="E4501"/>
  <c r="F4501"/>
  <c r="G4501"/>
  <c r="H4501"/>
  <c r="D4754"/>
  <c r="E4754"/>
  <c r="J4754"/>
  <c r="K4754"/>
  <c r="L4754"/>
  <c r="C4755"/>
  <c r="D4755"/>
  <c r="E4755"/>
  <c r="J4755"/>
  <c r="K4755"/>
  <c r="L4755"/>
  <c r="K4756"/>
  <c r="G4756" s="1"/>
  <c r="L4756"/>
  <c r="K4757"/>
  <c r="G4757" s="1"/>
  <c r="L4757"/>
  <c r="K4758"/>
  <c r="G4758" s="1"/>
  <c r="L4758"/>
  <c r="K4759"/>
  <c r="G4759" s="1"/>
  <c r="L4759"/>
  <c r="K4760"/>
  <c r="G4760" s="1"/>
  <c r="L4760"/>
  <c r="K4761"/>
  <c r="G4761" s="1"/>
  <c r="L4761"/>
  <c r="K4762"/>
  <c r="G4762" s="1"/>
  <c r="L4762"/>
  <c r="K4763"/>
  <c r="G4763" s="1"/>
  <c r="L4763"/>
  <c r="K4764"/>
  <c r="G4764" s="1"/>
  <c r="L4764"/>
  <c r="K4765"/>
  <c r="G4765" s="1"/>
  <c r="L4765"/>
  <c r="K4766"/>
  <c r="G4766" s="1"/>
  <c r="L4766"/>
  <c r="C4767"/>
  <c r="D4767"/>
  <c r="E4767"/>
  <c r="J4767"/>
  <c r="K4767"/>
  <c r="L4767"/>
  <c r="C4502"/>
  <c r="D4502"/>
  <c r="E4502"/>
  <c r="F4502"/>
  <c r="G4502"/>
  <c r="H4502"/>
  <c r="C4503"/>
  <c r="D4503"/>
  <c r="E4503"/>
  <c r="F4503"/>
  <c r="G4503"/>
  <c r="C4504"/>
  <c r="D4504"/>
  <c r="E4504"/>
  <c r="G4504"/>
  <c r="C4505"/>
  <c r="D4505"/>
  <c r="E4505"/>
  <c r="F4505"/>
  <c r="G4505"/>
  <c r="C4506"/>
  <c r="D4506"/>
  <c r="E4506"/>
  <c r="F4506"/>
  <c r="G4506"/>
  <c r="C4507"/>
  <c r="D4507"/>
  <c r="E4507"/>
  <c r="F4507"/>
  <c r="G4507"/>
  <c r="H4507"/>
  <c r="D4508"/>
  <c r="E4508"/>
  <c r="F4508"/>
  <c r="G4508"/>
  <c r="H4508"/>
  <c r="C4509"/>
  <c r="D4509"/>
  <c r="E4509"/>
  <c r="F4509"/>
  <c r="G4509"/>
  <c r="H4509"/>
  <c r="C4510"/>
  <c r="E4510"/>
  <c r="C4511"/>
  <c r="C4512"/>
  <c r="C4513"/>
  <c r="C4514"/>
  <c r="C4515"/>
  <c r="C4516"/>
  <c r="C4517"/>
  <c r="C4518"/>
  <c r="C4519"/>
  <c r="C4520"/>
  <c r="C4521"/>
  <c r="C4522"/>
  <c r="C4523"/>
  <c r="C4524"/>
  <c r="C4525"/>
  <c r="C4526"/>
  <c r="C4527"/>
  <c r="C4528"/>
  <c r="C4529"/>
  <c r="C4530"/>
  <c r="C4531"/>
  <c r="C4532"/>
  <c r="C4533"/>
  <c r="C4534"/>
  <c r="C4535"/>
  <c r="D4535"/>
  <c r="E4535"/>
  <c r="F4535"/>
  <c r="G4535"/>
  <c r="H4535"/>
  <c r="C4565"/>
  <c r="D4565"/>
  <c r="E4565"/>
  <c r="F4565"/>
  <c r="G4565"/>
  <c r="H4565"/>
  <c r="C4566"/>
  <c r="D4566"/>
  <c r="E4566"/>
  <c r="F4566"/>
  <c r="G4566"/>
  <c r="C4567"/>
  <c r="D4567"/>
  <c r="E4567"/>
  <c r="F4567"/>
  <c r="G4567"/>
  <c r="C4568"/>
  <c r="D4568"/>
  <c r="E4568"/>
  <c r="F4568"/>
  <c r="G4568"/>
  <c r="C4569"/>
  <c r="D4569"/>
  <c r="E4569"/>
  <c r="F4569"/>
  <c r="G4569"/>
  <c r="C4570"/>
  <c r="D4570"/>
  <c r="E4570"/>
  <c r="F4570"/>
  <c r="G4570"/>
  <c r="C4571"/>
  <c r="D4571"/>
  <c r="E4571"/>
  <c r="F4571"/>
  <c r="G4571"/>
  <c r="C4572"/>
  <c r="D4572"/>
  <c r="E4572"/>
  <c r="F4572"/>
  <c r="G4572"/>
  <c r="C4573"/>
  <c r="D4573"/>
  <c r="E4573"/>
  <c r="F4573"/>
  <c r="G4573"/>
  <c r="C4574"/>
  <c r="D4574"/>
  <c r="E4574"/>
  <c r="F4574"/>
  <c r="G4574"/>
  <c r="C4575"/>
  <c r="D4575"/>
  <c r="E4575"/>
  <c r="F4575"/>
  <c r="G4575"/>
  <c r="C4576"/>
  <c r="D4576"/>
  <c r="E4576"/>
  <c r="F4576"/>
  <c r="G4576"/>
  <c r="C4577"/>
  <c r="D4577"/>
  <c r="E4577"/>
  <c r="F4577"/>
  <c r="G4577"/>
  <c r="C4578"/>
  <c r="D4578"/>
  <c r="E4578"/>
  <c r="F4578"/>
  <c r="G4578"/>
  <c r="C4579"/>
  <c r="D4579"/>
  <c r="E4579"/>
  <c r="F4579"/>
  <c r="G4579"/>
  <c r="C4580"/>
  <c r="D4580"/>
  <c r="E4580"/>
  <c r="F4580"/>
  <c r="G4580"/>
  <c r="C4581"/>
  <c r="D4581"/>
  <c r="E4581"/>
  <c r="F4581"/>
  <c r="G4581"/>
  <c r="C4582"/>
  <c r="D4582"/>
  <c r="E4582"/>
  <c r="F4582"/>
  <c r="G4582"/>
  <c r="C4583"/>
  <c r="D4583"/>
  <c r="E4583"/>
  <c r="F4583"/>
  <c r="G4583"/>
  <c r="C4584"/>
  <c r="D4584"/>
  <c r="E4584"/>
  <c r="F4584"/>
  <c r="G4584"/>
  <c r="D4782"/>
  <c r="E4782"/>
  <c r="J4782"/>
  <c r="K4782"/>
  <c r="L4782"/>
  <c r="C4787"/>
  <c r="D4787"/>
  <c r="E4787"/>
  <c r="J4787"/>
  <c r="K4787"/>
  <c r="L4787"/>
  <c r="L4788"/>
  <c r="L4789"/>
  <c r="L4790"/>
  <c r="C4791"/>
  <c r="D4791"/>
  <c r="E4791"/>
  <c r="J4791"/>
  <c r="K4791"/>
  <c r="L4791"/>
  <c r="L4792"/>
  <c r="L4793"/>
  <c r="L4794"/>
  <c r="D4588"/>
  <c r="E4588"/>
  <c r="F4588"/>
  <c r="G4588"/>
  <c r="H4588"/>
  <c r="C4589"/>
  <c r="D4589"/>
  <c r="E4589"/>
  <c r="F4589"/>
  <c r="G4589"/>
  <c r="H4589"/>
  <c r="C4590"/>
  <c r="H4590"/>
  <c r="C4591"/>
  <c r="H4591"/>
  <c r="C4592"/>
  <c r="H4592"/>
  <c r="C4593"/>
  <c r="H4593"/>
  <c r="C4595"/>
  <c r="D4595"/>
  <c r="E4595"/>
  <c r="F4595"/>
  <c r="G4595"/>
  <c r="H4595"/>
  <c r="C4596"/>
  <c r="D4596"/>
  <c r="E4596"/>
  <c r="F4596"/>
  <c r="G4596"/>
  <c r="H4596"/>
  <c r="C4599"/>
  <c r="D4599"/>
  <c r="E4599"/>
  <c r="F4599"/>
  <c r="G4599"/>
  <c r="H4599"/>
  <c r="D4796"/>
  <c r="E4796"/>
  <c r="J4796"/>
  <c r="K4796"/>
  <c r="L4796"/>
  <c r="C4797"/>
  <c r="D4797"/>
  <c r="E4797"/>
  <c r="J4797"/>
  <c r="K4797"/>
  <c r="L4797"/>
  <c r="K4798"/>
  <c r="G4798" s="1"/>
  <c r="L4798"/>
  <c r="K4799"/>
  <c r="G4799" s="1"/>
  <c r="L4799"/>
  <c r="K4800"/>
  <c r="G4800" s="1"/>
  <c r="L4800"/>
  <c r="K4801"/>
  <c r="G4801" s="1"/>
  <c r="L4801"/>
  <c r="D4600"/>
  <c r="E4600"/>
  <c r="F4600"/>
  <c r="G4600"/>
  <c r="H4600"/>
  <c r="C4601"/>
  <c r="D4601"/>
  <c r="E4601"/>
  <c r="F4601"/>
  <c r="G4601"/>
  <c r="H4601"/>
  <c r="C4602"/>
  <c r="E4602"/>
  <c r="C4603"/>
  <c r="E4603"/>
  <c r="C4604"/>
  <c r="E4604"/>
  <c r="C4605"/>
  <c r="E4605"/>
  <c r="F4605"/>
  <c r="C4606"/>
  <c r="E4606"/>
  <c r="F4606"/>
  <c r="C4607"/>
  <c r="E4607"/>
  <c r="C4608"/>
  <c r="E4608"/>
  <c r="C4609"/>
  <c r="E4609"/>
  <c r="C4610"/>
  <c r="E4610"/>
  <c r="C4611"/>
  <c r="D4611"/>
  <c r="E4611"/>
  <c r="F4611"/>
  <c r="G4611"/>
  <c r="H4611"/>
  <c r="C4624"/>
  <c r="D4624"/>
  <c r="E4624"/>
  <c r="F4624"/>
  <c r="G4624"/>
  <c r="H4624"/>
  <c r="C4625"/>
  <c r="D4625"/>
  <c r="E4625"/>
  <c r="F4625"/>
  <c r="G4625"/>
  <c r="C4626"/>
  <c r="D4626"/>
  <c r="E4626"/>
  <c r="F4626"/>
  <c r="G4626"/>
  <c r="C4627"/>
  <c r="D4627"/>
  <c r="E4627"/>
  <c r="G4627"/>
  <c r="C4628"/>
  <c r="D4628"/>
  <c r="E4628"/>
  <c r="G4628"/>
  <c r="C4629"/>
  <c r="D4629"/>
  <c r="E4629"/>
  <c r="F4629"/>
  <c r="G4629"/>
  <c r="H4629"/>
  <c r="C4630"/>
  <c r="D4630"/>
  <c r="E4630"/>
  <c r="F4630"/>
  <c r="G4630"/>
  <c r="H4630"/>
  <c r="C4631"/>
  <c r="E4631"/>
  <c r="F4631"/>
  <c r="H4631"/>
  <c r="C4632"/>
  <c r="E4632"/>
  <c r="F4632"/>
  <c r="H4632"/>
  <c r="C4633"/>
  <c r="E4633"/>
  <c r="F4633"/>
  <c r="H4633"/>
  <c r="C4634"/>
  <c r="D4634"/>
  <c r="E4634"/>
  <c r="F4634"/>
  <c r="G4634"/>
  <c r="C4635"/>
  <c r="E4635"/>
  <c r="H4635"/>
  <c r="C4636"/>
  <c r="E4636"/>
  <c r="F4636"/>
  <c r="H4636"/>
  <c r="C4637"/>
  <c r="D4637"/>
  <c r="E4637"/>
  <c r="G4637"/>
  <c r="C4816"/>
  <c r="D4816"/>
  <c r="E4816"/>
  <c r="F4816"/>
  <c r="G4816"/>
  <c r="H4816"/>
  <c r="C4817"/>
  <c r="D4817"/>
  <c r="E4817"/>
  <c r="F4817"/>
  <c r="G4817"/>
  <c r="H4817"/>
  <c r="C4818"/>
  <c r="E4818"/>
  <c r="H4818"/>
  <c r="I5012"/>
  <c r="I5006"/>
  <c r="I5019"/>
  <c r="I5018"/>
  <c r="I5017"/>
  <c r="I5016"/>
  <c r="I5014"/>
  <c r="I5013"/>
  <c r="I5011"/>
  <c r="I5010"/>
  <c r="I5008"/>
  <c r="I5007"/>
  <c r="I5005"/>
  <c r="I5004"/>
  <c r="I5002"/>
  <c r="A4999"/>
  <c r="F4995"/>
  <c r="A4994"/>
  <c r="F4989"/>
  <c r="I4989" s="1"/>
  <c r="J4990" s="1"/>
  <c r="A4988"/>
  <c r="A4982"/>
  <c r="A4977"/>
  <c r="A4948"/>
  <c r="H2345" l="1"/>
  <c r="I2344"/>
  <c r="H4793"/>
  <c r="H4790"/>
  <c r="H4675"/>
  <c r="H4673"/>
  <c r="H4671"/>
  <c r="H4792"/>
  <c r="H4789"/>
  <c r="H4682"/>
  <c r="H4769"/>
  <c r="H4778"/>
  <c r="H4776"/>
  <c r="H4774"/>
  <c r="H4772"/>
  <c r="H4770"/>
  <c r="H4807"/>
  <c r="H4805"/>
  <c r="H4788"/>
  <c r="H4669"/>
  <c r="H4676"/>
  <c r="H4674"/>
  <c r="H4672"/>
  <c r="H4670"/>
  <c r="H4794"/>
  <c r="H4701"/>
  <c r="H4734"/>
  <c r="H4779"/>
  <c r="H4777"/>
  <c r="H4775"/>
  <c r="H4773"/>
  <c r="H4771"/>
  <c r="H4804"/>
  <c r="H4806"/>
  <c r="I4002"/>
  <c r="I4001"/>
  <c r="I4000"/>
  <c r="I4934"/>
  <c r="H4935" s="1"/>
  <c r="O4935" s="1"/>
  <c r="I899"/>
  <c r="I898"/>
  <c r="I4754"/>
  <c r="I4413"/>
  <c r="I4612"/>
  <c r="I4611"/>
  <c r="I4617"/>
  <c r="I4782"/>
  <c r="I4537"/>
  <c r="I4618"/>
  <c r="I4613"/>
  <c r="I4536"/>
  <c r="I4623"/>
  <c r="I4549"/>
  <c r="I4545"/>
  <c r="I4517"/>
  <c r="I4386"/>
  <c r="I4371"/>
  <c r="I4367"/>
  <c r="I4271"/>
  <c r="I4252"/>
  <c r="I4192"/>
  <c r="I4101"/>
  <c r="I4098"/>
  <c r="I4096"/>
  <c r="I4092"/>
  <c r="I4088"/>
  <c r="I4084"/>
  <c r="I4080"/>
  <c r="I4387"/>
  <c r="I4399"/>
  <c r="I4414"/>
  <c r="I4395"/>
  <c r="I4233"/>
  <c r="I4229"/>
  <c r="I4816"/>
  <c r="I4633"/>
  <c r="I4631"/>
  <c r="I4629"/>
  <c r="I4626"/>
  <c r="I4624"/>
  <c r="I4606"/>
  <c r="I4596"/>
  <c r="I4583"/>
  <c r="I4581"/>
  <c r="I4579"/>
  <c r="I4577"/>
  <c r="I4575"/>
  <c r="I4573"/>
  <c r="I4571"/>
  <c r="I4569"/>
  <c r="I4567"/>
  <c r="I4565"/>
  <c r="I4502"/>
  <c r="I4451"/>
  <c r="I4437"/>
  <c r="I4359"/>
  <c r="I4357"/>
  <c r="I4355"/>
  <c r="I4352"/>
  <c r="I4291"/>
  <c r="I4276"/>
  <c r="I4808"/>
  <c r="I4600"/>
  <c r="I4588"/>
  <c r="I4508"/>
  <c r="I4506"/>
  <c r="I4501"/>
  <c r="I4428"/>
  <c r="I4422"/>
  <c r="I4264"/>
  <c r="I4105"/>
  <c r="I4817"/>
  <c r="I4634"/>
  <c r="I4632"/>
  <c r="I4630"/>
  <c r="I4625"/>
  <c r="I4605"/>
  <c r="I4599"/>
  <c r="I4595"/>
  <c r="I4584"/>
  <c r="I4582"/>
  <c r="I4580"/>
  <c r="I4578"/>
  <c r="I4576"/>
  <c r="I4574"/>
  <c r="I4572"/>
  <c r="I4570"/>
  <c r="I4568"/>
  <c r="I4566"/>
  <c r="I4535"/>
  <c r="I4503"/>
  <c r="I4452"/>
  <c r="I4358"/>
  <c r="I4273"/>
  <c r="I4636"/>
  <c r="I4601"/>
  <c r="I4797"/>
  <c r="I4589"/>
  <c r="I4509"/>
  <c r="I4507"/>
  <c r="I4505"/>
  <c r="I4433"/>
  <c r="I4417"/>
  <c r="I4106"/>
  <c r="I4076"/>
  <c r="I4187"/>
  <c r="I4436"/>
  <c r="I4434"/>
  <c r="I4432"/>
  <c r="I4430"/>
  <c r="I4426"/>
  <c r="I4424"/>
  <c r="I4420"/>
  <c r="I4418"/>
  <c r="I4416"/>
  <c r="I4270"/>
  <c r="I4269"/>
  <c r="I4268"/>
  <c r="I4267"/>
  <c r="I4266"/>
  <c r="I4265"/>
  <c r="I4263"/>
  <c r="I4262"/>
  <c r="I4261"/>
  <c r="I4260"/>
  <c r="I4259"/>
  <c r="I4258"/>
  <c r="I4257"/>
  <c r="I4256"/>
  <c r="I4255"/>
  <c r="I4254"/>
  <c r="I4194"/>
  <c r="I4120"/>
  <c r="I4118"/>
  <c r="I4095"/>
  <c r="I4094"/>
  <c r="I4091"/>
  <c r="I4090"/>
  <c r="I4087"/>
  <c r="I4086"/>
  <c r="I4083"/>
  <c r="I4082"/>
  <c r="I4079"/>
  <c r="I4078"/>
  <c r="I4356"/>
  <c r="I4290"/>
  <c r="I4275"/>
  <c r="I4274"/>
  <c r="I4253"/>
  <c r="I4220"/>
  <c r="I4104"/>
  <c r="I4100"/>
  <c r="I4075"/>
  <c r="I4439"/>
  <c r="I4438"/>
  <c r="I4435"/>
  <c r="I4431"/>
  <c r="I4429"/>
  <c r="I4427"/>
  <c r="I4425"/>
  <c r="I4423"/>
  <c r="I4421"/>
  <c r="I4419"/>
  <c r="I4415"/>
  <c r="I4385"/>
  <c r="I4353"/>
  <c r="I4272"/>
  <c r="I4193"/>
  <c r="I4119"/>
  <c r="I4103"/>
  <c r="I4099"/>
  <c r="I4097"/>
  <c r="I4093"/>
  <c r="I4089"/>
  <c r="I4085"/>
  <c r="I4081"/>
  <c r="I4077"/>
  <c r="I4221"/>
  <c r="I4206"/>
  <c r="I4202"/>
  <c r="I4056"/>
  <c r="I4060"/>
  <c r="I4796"/>
  <c r="I3998"/>
  <c r="I4677"/>
  <c r="I4767"/>
  <c r="I4755"/>
  <c r="I4030"/>
  <c r="I4026"/>
  <c r="I4791"/>
  <c r="I4719"/>
  <c r="I4010"/>
  <c r="I3996"/>
  <c r="I4681"/>
  <c r="I4667"/>
  <c r="I4787"/>
  <c r="I4687"/>
  <c r="I4803"/>
  <c r="I4653"/>
  <c r="I4654"/>
  <c r="I4655"/>
  <c r="J5019"/>
  <c r="J5020" s="1"/>
  <c r="I5020" s="1"/>
  <c r="N5038"/>
  <c r="P5038"/>
  <c r="N5047"/>
  <c r="P5047"/>
  <c r="F4984"/>
  <c r="M4946"/>
  <c r="C4942"/>
  <c r="H4972"/>
  <c r="I4972" s="1"/>
  <c r="I4958"/>
  <c r="I4965"/>
  <c r="H4970"/>
  <c r="I4970" s="1"/>
  <c r="H4969"/>
  <c r="I4969" s="1"/>
  <c r="H4968"/>
  <c r="I4968" s="1"/>
  <c r="H4967"/>
  <c r="I4967" s="1"/>
  <c r="H4966"/>
  <c r="I4966" s="1"/>
  <c r="H4964"/>
  <c r="I4964" s="1"/>
  <c r="H4963"/>
  <c r="I4963" s="1"/>
  <c r="H4962"/>
  <c r="I4962" s="1"/>
  <c r="H4961"/>
  <c r="I4961" s="1"/>
  <c r="H4960"/>
  <c r="I4960" s="1"/>
  <c r="H4959"/>
  <c r="I4959" s="1"/>
  <c r="H4957"/>
  <c r="I4957" s="1"/>
  <c r="H4956"/>
  <c r="I4956" s="1"/>
  <c r="H4955"/>
  <c r="I4955" s="1"/>
  <c r="H4954"/>
  <c r="I4954" s="1"/>
  <c r="H4953"/>
  <c r="F4978"/>
  <c r="AA67" i="100"/>
  <c r="G3"/>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K67"/>
  <c r="AL67"/>
  <c r="AJ67"/>
  <c r="AI67"/>
  <c r="AH67"/>
  <c r="AG67"/>
  <c r="AE67"/>
  <c r="AD67"/>
  <c r="AC67"/>
  <c r="AB67"/>
  <c r="Z67"/>
  <c r="Y67"/>
  <c r="X67"/>
  <c r="W67"/>
  <c r="V67"/>
  <c r="U67"/>
  <c r="T67"/>
  <c r="S67"/>
  <c r="R67"/>
  <c r="Q67"/>
  <c r="P67"/>
  <c r="O67"/>
  <c r="N67"/>
  <c r="M67"/>
  <c r="L67"/>
  <c r="K67"/>
  <c r="J67"/>
  <c r="I67"/>
  <c r="H67"/>
  <c r="G67"/>
  <c r="F67"/>
  <c r="AF66"/>
  <c r="I4937" i="13"/>
  <c r="L5099"/>
  <c r="I5099"/>
  <c r="L5098"/>
  <c r="I5098"/>
  <c r="L5097"/>
  <c r="I5097"/>
  <c r="L5096"/>
  <c r="I5096"/>
  <c r="I5095"/>
  <c r="L5094"/>
  <c r="I5094"/>
  <c r="L5093"/>
  <c r="I5093"/>
  <c r="L5092"/>
  <c r="I5092"/>
  <c r="L5091"/>
  <c r="I5091"/>
  <c r="L5090"/>
  <c r="I5090"/>
  <c r="I5089"/>
  <c r="F4824"/>
  <c r="H4824"/>
  <c r="F4830"/>
  <c r="H4830"/>
  <c r="F4831"/>
  <c r="H4831"/>
  <c r="I3970"/>
  <c r="I3963"/>
  <c r="I3933"/>
  <c r="I3932"/>
  <c r="I3931"/>
  <c r="I3929"/>
  <c r="I3924"/>
  <c r="I3925"/>
  <c r="I3928"/>
  <c r="C3920"/>
  <c r="I3721"/>
  <c r="I3722"/>
  <c r="I3723"/>
  <c r="I3724"/>
  <c r="I3725"/>
  <c r="I3726"/>
  <c r="I3727"/>
  <c r="I3728"/>
  <c r="I3729"/>
  <c r="I3730"/>
  <c r="I3731"/>
  <c r="I3732"/>
  <c r="I3733"/>
  <c r="I3734"/>
  <c r="I3735"/>
  <c r="I3736"/>
  <c r="I3737"/>
  <c r="I3738"/>
  <c r="I3739"/>
  <c r="I3805"/>
  <c r="I3806"/>
  <c r="I3807"/>
  <c r="I4852"/>
  <c r="I4853"/>
  <c r="I4854"/>
  <c r="I4856"/>
  <c r="I4857"/>
  <c r="I4858"/>
  <c r="I4859"/>
  <c r="I4861"/>
  <c r="I4862"/>
  <c r="I4863"/>
  <c r="I4864"/>
  <c r="I4866"/>
  <c r="I4867"/>
  <c r="I4868"/>
  <c r="I4869"/>
  <c r="I4870"/>
  <c r="I4871"/>
  <c r="I4851"/>
  <c r="I3715"/>
  <c r="I3761"/>
  <c r="I3759"/>
  <c r="I3758"/>
  <c r="P105" i="99"/>
  <c r="O105"/>
  <c r="I3814" i="13"/>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547"/>
  <c r="I3546"/>
  <c r="I3545"/>
  <c r="I3544"/>
  <c r="I3543"/>
  <c r="I3542"/>
  <c r="I3541"/>
  <c r="I3540"/>
  <c r="I3491"/>
  <c r="I3490"/>
  <c r="I3489"/>
  <c r="I3488"/>
  <c r="I3487"/>
  <c r="I3486"/>
  <c r="I3477"/>
  <c r="I3476"/>
  <c r="I3475"/>
  <c r="I3474"/>
  <c r="I3473"/>
  <c r="I3472"/>
  <c r="I3471"/>
  <c r="I3470"/>
  <c r="I3464"/>
  <c r="I3463"/>
  <c r="I3462"/>
  <c r="I3461"/>
  <c r="I3460"/>
  <c r="I3459"/>
  <c r="I3458"/>
  <c r="I3457"/>
  <c r="I3452"/>
  <c r="I3451"/>
  <c r="I3450"/>
  <c r="I3449"/>
  <c r="I3448"/>
  <c r="I3447"/>
  <c r="I3446"/>
  <c r="I3445"/>
  <c r="S105" i="99"/>
  <c r="C3323" i="13"/>
  <c r="C3349" s="1"/>
  <c r="D3323"/>
  <c r="D3349" s="1"/>
  <c r="E3323"/>
  <c r="E3349" s="1"/>
  <c r="F3323"/>
  <c r="F3349" s="1"/>
  <c r="G3323"/>
  <c r="G3349" s="1"/>
  <c r="H3323"/>
  <c r="H3349" s="1"/>
  <c r="C3324"/>
  <c r="C3350" s="1"/>
  <c r="D3324"/>
  <c r="D3350" s="1"/>
  <c r="E3324"/>
  <c r="E3350" s="1"/>
  <c r="F3324"/>
  <c r="F3350" s="1"/>
  <c r="G3324"/>
  <c r="G3350" s="1"/>
  <c r="H3324"/>
  <c r="H3350" s="1"/>
  <c r="C3325"/>
  <c r="C3351" s="1"/>
  <c r="D3325"/>
  <c r="D3351" s="1"/>
  <c r="E3325"/>
  <c r="E3351" s="1"/>
  <c r="F3325"/>
  <c r="F3351" s="1"/>
  <c r="G3325"/>
  <c r="G3351" s="1"/>
  <c r="H3325"/>
  <c r="H3351" s="1"/>
  <c r="C3326"/>
  <c r="C3352" s="1"/>
  <c r="D3326"/>
  <c r="D3352" s="1"/>
  <c r="E3326"/>
  <c r="E3352" s="1"/>
  <c r="F3326"/>
  <c r="F3352" s="1"/>
  <c r="G3326"/>
  <c r="G3352" s="1"/>
  <c r="H3326"/>
  <c r="H3352" s="1"/>
  <c r="C3327"/>
  <c r="C3353" s="1"/>
  <c r="D3327"/>
  <c r="D3353" s="1"/>
  <c r="E3327"/>
  <c r="E3353" s="1"/>
  <c r="F3327"/>
  <c r="F3353" s="1"/>
  <c r="G3327"/>
  <c r="G3353" s="1"/>
  <c r="H3327"/>
  <c r="H3353" s="1"/>
  <c r="C3328"/>
  <c r="C3354" s="1"/>
  <c r="D3328"/>
  <c r="D3354" s="1"/>
  <c r="E3328"/>
  <c r="E3354" s="1"/>
  <c r="F3328"/>
  <c r="F3354" s="1"/>
  <c r="G3328"/>
  <c r="G3354" s="1"/>
  <c r="H3328"/>
  <c r="H3354" s="1"/>
  <c r="C3329"/>
  <c r="C3355" s="1"/>
  <c r="D3329"/>
  <c r="D3355" s="1"/>
  <c r="E3329"/>
  <c r="E3355" s="1"/>
  <c r="F3329"/>
  <c r="F3355" s="1"/>
  <c r="G3329"/>
  <c r="G3355" s="1"/>
  <c r="H3329"/>
  <c r="H3355" s="1"/>
  <c r="C3330"/>
  <c r="C3356" s="1"/>
  <c r="D3330"/>
  <c r="D3356" s="1"/>
  <c r="E3330"/>
  <c r="E3356" s="1"/>
  <c r="F3330"/>
  <c r="F3356" s="1"/>
  <c r="G3330"/>
  <c r="G3356" s="1"/>
  <c r="H3330"/>
  <c r="H3356" s="1"/>
  <c r="C3331"/>
  <c r="C3357" s="1"/>
  <c r="D3331"/>
  <c r="D3357" s="1"/>
  <c r="E3331"/>
  <c r="E3357" s="1"/>
  <c r="F3331"/>
  <c r="F3357" s="1"/>
  <c r="G3331"/>
  <c r="G3357" s="1"/>
  <c r="H3331"/>
  <c r="H3357" s="1"/>
  <c r="C3332"/>
  <c r="C3358" s="1"/>
  <c r="D3332"/>
  <c r="D3358" s="1"/>
  <c r="E3332"/>
  <c r="E3358" s="1"/>
  <c r="F3332"/>
  <c r="F3358" s="1"/>
  <c r="G3332"/>
  <c r="G3358" s="1"/>
  <c r="H3332"/>
  <c r="H3358" s="1"/>
  <c r="C3333"/>
  <c r="C3359" s="1"/>
  <c r="D3333"/>
  <c r="D3359" s="1"/>
  <c r="E3333"/>
  <c r="E3359" s="1"/>
  <c r="F3333"/>
  <c r="F3359" s="1"/>
  <c r="G3333"/>
  <c r="G3359" s="1"/>
  <c r="H3333"/>
  <c r="H3359" s="1"/>
  <c r="C3334"/>
  <c r="C3360" s="1"/>
  <c r="D3334"/>
  <c r="D3360" s="1"/>
  <c r="E3334"/>
  <c r="E3360" s="1"/>
  <c r="F3334"/>
  <c r="F3360" s="1"/>
  <c r="G3334"/>
  <c r="G3360" s="1"/>
  <c r="H3334"/>
  <c r="H3360" s="1"/>
  <c r="C3335"/>
  <c r="C3361" s="1"/>
  <c r="D3335"/>
  <c r="D3361" s="1"/>
  <c r="E3335"/>
  <c r="E3361" s="1"/>
  <c r="F3335"/>
  <c r="F3361" s="1"/>
  <c r="G3335"/>
  <c r="G3361" s="1"/>
  <c r="H3335"/>
  <c r="H3361" s="1"/>
  <c r="C3336"/>
  <c r="C3362" s="1"/>
  <c r="D3336"/>
  <c r="D3362" s="1"/>
  <c r="E3336"/>
  <c r="E3362" s="1"/>
  <c r="F3336"/>
  <c r="F3362" s="1"/>
  <c r="G3336"/>
  <c r="G3362" s="1"/>
  <c r="H3336"/>
  <c r="H3362" s="1"/>
  <c r="C3337"/>
  <c r="C3363" s="1"/>
  <c r="D3337"/>
  <c r="D3363" s="1"/>
  <c r="E3337"/>
  <c r="E3363" s="1"/>
  <c r="F3337"/>
  <c r="F3363" s="1"/>
  <c r="G3337"/>
  <c r="G3363" s="1"/>
  <c r="H3337"/>
  <c r="H3363" s="1"/>
  <c r="C3338"/>
  <c r="C3364" s="1"/>
  <c r="D3338"/>
  <c r="D3364" s="1"/>
  <c r="E3338"/>
  <c r="E3364" s="1"/>
  <c r="F3338"/>
  <c r="F3364" s="1"/>
  <c r="G3338"/>
  <c r="G3364" s="1"/>
  <c r="H3338"/>
  <c r="H3364" s="1"/>
  <c r="C3339"/>
  <c r="C3365" s="1"/>
  <c r="D3339"/>
  <c r="D3365" s="1"/>
  <c r="E3339"/>
  <c r="E3365" s="1"/>
  <c r="F3339"/>
  <c r="F3365" s="1"/>
  <c r="G3339"/>
  <c r="G3365" s="1"/>
  <c r="H3339"/>
  <c r="H3365" s="1"/>
  <c r="C3340"/>
  <c r="C3366" s="1"/>
  <c r="D3340"/>
  <c r="D3366" s="1"/>
  <c r="E3340"/>
  <c r="E3366" s="1"/>
  <c r="F3340"/>
  <c r="F3366" s="1"/>
  <c r="G3340"/>
  <c r="G3366" s="1"/>
  <c r="H3340"/>
  <c r="H3366" s="1"/>
  <c r="C3341"/>
  <c r="C3367" s="1"/>
  <c r="D3341"/>
  <c r="D3367" s="1"/>
  <c r="E3341"/>
  <c r="E3367" s="1"/>
  <c r="F3341"/>
  <c r="F3367" s="1"/>
  <c r="G3341"/>
  <c r="G3367" s="1"/>
  <c r="H3341"/>
  <c r="H3367" s="1"/>
  <c r="C3342"/>
  <c r="C3368" s="1"/>
  <c r="D3342"/>
  <c r="D3368" s="1"/>
  <c r="E3342"/>
  <c r="E3368" s="1"/>
  <c r="F3342"/>
  <c r="F3368" s="1"/>
  <c r="G3342"/>
  <c r="G3368" s="1"/>
  <c r="H3342"/>
  <c r="H3368" s="1"/>
  <c r="C3343"/>
  <c r="C3369" s="1"/>
  <c r="D3343"/>
  <c r="D3369" s="1"/>
  <c r="E3343"/>
  <c r="E3369" s="1"/>
  <c r="F3343"/>
  <c r="F3369" s="1"/>
  <c r="G3343"/>
  <c r="G3369" s="1"/>
  <c r="H3343"/>
  <c r="H3369" s="1"/>
  <c r="C3344"/>
  <c r="C3370" s="1"/>
  <c r="D3344"/>
  <c r="D3370" s="1"/>
  <c r="E3344"/>
  <c r="E3370" s="1"/>
  <c r="F3344"/>
  <c r="F3370" s="1"/>
  <c r="G3344"/>
  <c r="G3370" s="1"/>
  <c r="H3344"/>
  <c r="H3370" s="1"/>
  <c r="I3319"/>
  <c r="I3344" s="1"/>
  <c r="I3370" s="1"/>
  <c r="I3300"/>
  <c r="I3325" s="1"/>
  <c r="I3351" s="1"/>
  <c r="I3301"/>
  <c r="I3326" s="1"/>
  <c r="I3352" s="1"/>
  <c r="I3302"/>
  <c r="I3327" s="1"/>
  <c r="I3353" s="1"/>
  <c r="I3303"/>
  <c r="I3328" s="1"/>
  <c r="I3354" s="1"/>
  <c r="I3304"/>
  <c r="I3329" s="1"/>
  <c r="I3355" s="1"/>
  <c r="I3305"/>
  <c r="I3330" s="1"/>
  <c r="I3356" s="1"/>
  <c r="I3306"/>
  <c r="I3331" s="1"/>
  <c r="I3357" s="1"/>
  <c r="I3307"/>
  <c r="I3332" s="1"/>
  <c r="I3358" s="1"/>
  <c r="I3308"/>
  <c r="I3333" s="1"/>
  <c r="I3359" s="1"/>
  <c r="I3309"/>
  <c r="I3334" s="1"/>
  <c r="I3360" s="1"/>
  <c r="I3310"/>
  <c r="I3335" s="1"/>
  <c r="I3361" s="1"/>
  <c r="I3311"/>
  <c r="I3336" s="1"/>
  <c r="I3362" s="1"/>
  <c r="I3312"/>
  <c r="I3337" s="1"/>
  <c r="I3363" s="1"/>
  <c r="I3313"/>
  <c r="I3338" s="1"/>
  <c r="I3364" s="1"/>
  <c r="I3314"/>
  <c r="I3339" s="1"/>
  <c r="I3365" s="1"/>
  <c r="I3315"/>
  <c r="I3340" s="1"/>
  <c r="I3366" s="1"/>
  <c r="I3316"/>
  <c r="I3341" s="1"/>
  <c r="I3367" s="1"/>
  <c r="I3317"/>
  <c r="I3342" s="1"/>
  <c r="I3368" s="1"/>
  <c r="I3318"/>
  <c r="I3343" s="1"/>
  <c r="I3369" s="1"/>
  <c r="M102" i="99"/>
  <c r="N102"/>
  <c r="K105"/>
  <c r="L105"/>
  <c r="R105"/>
  <c r="C118" s="1"/>
  <c r="E118" s="1"/>
  <c r="T105"/>
  <c r="J26"/>
  <c r="J29"/>
  <c r="J36"/>
  <c r="J37"/>
  <c r="J43"/>
  <c r="J44"/>
  <c r="J55"/>
  <c r="J58"/>
  <c r="J59"/>
  <c r="J65"/>
  <c r="J66"/>
  <c r="J71"/>
  <c r="J72"/>
  <c r="J81"/>
  <c r="J82"/>
  <c r="J85"/>
  <c r="J86"/>
  <c r="J95"/>
  <c r="J97"/>
  <c r="J98"/>
  <c r="J101"/>
  <c r="E7"/>
  <c r="F7" s="1"/>
  <c r="E8"/>
  <c r="F8" s="1"/>
  <c r="H8" s="1"/>
  <c r="E9"/>
  <c r="F9" s="1"/>
  <c r="H9" s="1"/>
  <c r="E10"/>
  <c r="F10" s="1"/>
  <c r="I10" s="1"/>
  <c r="E11"/>
  <c r="F11" s="1"/>
  <c r="I11" s="1"/>
  <c r="E12"/>
  <c r="F12" s="1"/>
  <c r="H12" s="1"/>
  <c r="E13"/>
  <c r="F13" s="1"/>
  <c r="H13" s="1"/>
  <c r="E14"/>
  <c r="F14" s="1"/>
  <c r="H14" s="1"/>
  <c r="E15"/>
  <c r="F15" s="1"/>
  <c r="H15" s="1"/>
  <c r="E16"/>
  <c r="F16" s="1"/>
  <c r="H16" s="1"/>
  <c r="E17"/>
  <c r="F17" s="1"/>
  <c r="E19"/>
  <c r="F19" s="1"/>
  <c r="E20"/>
  <c r="F20" s="1"/>
  <c r="E21"/>
  <c r="F21" s="1"/>
  <c r="E22"/>
  <c r="F22" s="1"/>
  <c r="H22" s="1"/>
  <c r="E23"/>
  <c r="F23" s="1"/>
  <c r="N23" s="1"/>
  <c r="E24"/>
  <c r="F24" s="1"/>
  <c r="E25"/>
  <c r="F25" s="1"/>
  <c r="I25" s="1"/>
  <c r="E26"/>
  <c r="F26" s="1"/>
  <c r="I26" s="1"/>
  <c r="E27"/>
  <c r="F27" s="1"/>
  <c r="E28"/>
  <c r="F28" s="1"/>
  <c r="I28" s="1"/>
  <c r="E29"/>
  <c r="F29" s="1"/>
  <c r="I29" s="1"/>
  <c r="E30"/>
  <c r="F30" s="1"/>
  <c r="E31"/>
  <c r="F31" s="1"/>
  <c r="E32"/>
  <c r="F32" s="1"/>
  <c r="H32" s="1"/>
  <c r="E33"/>
  <c r="F33" s="1"/>
  <c r="H33" s="1"/>
  <c r="E34"/>
  <c r="F34" s="1"/>
  <c r="E35"/>
  <c r="F35" s="1"/>
  <c r="I35" s="1"/>
  <c r="E36"/>
  <c r="F36" s="1"/>
  <c r="I36" s="1"/>
  <c r="E37"/>
  <c r="F37" s="1"/>
  <c r="I37" s="1"/>
  <c r="E38"/>
  <c r="F38" s="1"/>
  <c r="E39"/>
  <c r="F39" s="1"/>
  <c r="E40"/>
  <c r="F40" s="1"/>
  <c r="E41"/>
  <c r="F41" s="1"/>
  <c r="M41" s="1"/>
  <c r="E42"/>
  <c r="F42" s="1"/>
  <c r="E43"/>
  <c r="F43" s="1"/>
  <c r="I43" s="1"/>
  <c r="E44"/>
  <c r="F44" s="1"/>
  <c r="I44" s="1"/>
  <c r="E45"/>
  <c r="F45" s="1"/>
  <c r="E46"/>
  <c r="F46" s="1"/>
  <c r="E48"/>
  <c r="F48" s="1"/>
  <c r="E49"/>
  <c r="F49" s="1"/>
  <c r="E50"/>
  <c r="F50" s="1"/>
  <c r="E51"/>
  <c r="F51" s="1"/>
  <c r="H51" s="1"/>
  <c r="E52"/>
  <c r="F52" s="1"/>
  <c r="E53"/>
  <c r="F53" s="1"/>
  <c r="E54"/>
  <c r="F54" s="1"/>
  <c r="I54" s="1"/>
  <c r="E55"/>
  <c r="F55" s="1"/>
  <c r="I55" s="1"/>
  <c r="E56"/>
  <c r="F56" s="1"/>
  <c r="E57"/>
  <c r="F57" s="1"/>
  <c r="I57" s="1"/>
  <c r="E58"/>
  <c r="F58" s="1"/>
  <c r="I58" s="1"/>
  <c r="E59"/>
  <c r="F59" s="1"/>
  <c r="I59" s="1"/>
  <c r="E60"/>
  <c r="F60" s="1"/>
  <c r="E61"/>
  <c r="F61" s="1"/>
  <c r="H61" s="1"/>
  <c r="E62"/>
  <c r="F62" s="1"/>
  <c r="H62" s="1"/>
  <c r="E63"/>
  <c r="F63" s="1"/>
  <c r="E64"/>
  <c r="F64" s="1"/>
  <c r="I64" s="1"/>
  <c r="E65"/>
  <c r="F65" s="1"/>
  <c r="I65" s="1"/>
  <c r="E66"/>
  <c r="F66" s="1"/>
  <c r="I66" s="1"/>
  <c r="E67"/>
  <c r="F67" s="1"/>
  <c r="E68"/>
  <c r="F68" s="1"/>
  <c r="E69"/>
  <c r="F69" s="1"/>
  <c r="E70"/>
  <c r="F70" s="1"/>
  <c r="I70" s="1"/>
  <c r="E71"/>
  <c r="F71" s="1"/>
  <c r="I71" s="1"/>
  <c r="E72"/>
  <c r="F72" s="1"/>
  <c r="I72" s="1"/>
  <c r="E73"/>
  <c r="F73" s="1"/>
  <c r="E75"/>
  <c r="F75" s="1"/>
  <c r="E76"/>
  <c r="F76" s="1"/>
  <c r="E77"/>
  <c r="F77" s="1"/>
  <c r="E78"/>
  <c r="F78" s="1"/>
  <c r="H78" s="1"/>
  <c r="E79"/>
  <c r="F79" s="1"/>
  <c r="E80"/>
  <c r="F80" s="1"/>
  <c r="I80" s="1"/>
  <c r="E81"/>
  <c r="F81" s="1"/>
  <c r="I81" s="1"/>
  <c r="E82"/>
  <c r="F82" s="1"/>
  <c r="I82" s="1"/>
  <c r="E83"/>
  <c r="F83" s="1"/>
  <c r="E84"/>
  <c r="F84" s="1"/>
  <c r="I84" s="1"/>
  <c r="E85"/>
  <c r="F85" s="1"/>
  <c r="I85" s="1"/>
  <c r="E86"/>
  <c r="F86" s="1"/>
  <c r="I86" s="1"/>
  <c r="E87"/>
  <c r="F87" s="1"/>
  <c r="E88"/>
  <c r="F88" s="1"/>
  <c r="E89"/>
  <c r="F89" s="1"/>
  <c r="E90"/>
  <c r="F90" s="1"/>
  <c r="E91"/>
  <c r="F91" s="1"/>
  <c r="E92"/>
  <c r="F92" s="1"/>
  <c r="I92" s="1"/>
  <c r="E93"/>
  <c r="F93" s="1"/>
  <c r="I93" s="1"/>
  <c r="E94"/>
  <c r="F94" s="1"/>
  <c r="I94" s="1"/>
  <c r="E95"/>
  <c r="F95" s="1"/>
  <c r="I95" s="1"/>
  <c r="E96"/>
  <c r="F96" s="1"/>
  <c r="I96" s="1"/>
  <c r="E97"/>
  <c r="F97" s="1"/>
  <c r="I97" s="1"/>
  <c r="E98"/>
  <c r="F98" s="1"/>
  <c r="I98" s="1"/>
  <c r="E99"/>
  <c r="F99" s="1"/>
  <c r="E101"/>
  <c r="F101" s="1"/>
  <c r="I101" s="1"/>
  <c r="E6"/>
  <c r="F6" s="1"/>
  <c r="I6" s="1"/>
  <c r="C2863" i="13"/>
  <c r="D2863"/>
  <c r="E2863"/>
  <c r="F2863"/>
  <c r="G2863"/>
  <c r="C2864"/>
  <c r="D2864"/>
  <c r="E2864"/>
  <c r="F2864"/>
  <c r="G2864"/>
  <c r="I718"/>
  <c r="I717"/>
  <c r="H919"/>
  <c r="H4293" s="1"/>
  <c r="H920"/>
  <c r="H4294" s="1"/>
  <c r="H921"/>
  <c r="H4295" s="1"/>
  <c r="H923"/>
  <c r="H4297" s="1"/>
  <c r="H924"/>
  <c r="H4298" s="1"/>
  <c r="H925"/>
  <c r="H4299" s="1"/>
  <c r="H927"/>
  <c r="H4301" s="1"/>
  <c r="H928"/>
  <c r="H4302" s="1"/>
  <c r="H929"/>
  <c r="H4303" s="1"/>
  <c r="H931"/>
  <c r="H4305" s="1"/>
  <c r="H932"/>
  <c r="H4306" s="1"/>
  <c r="H934"/>
  <c r="H4308" s="1"/>
  <c r="H935"/>
  <c r="H4309" s="1"/>
  <c r="H937"/>
  <c r="H4311" s="1"/>
  <c r="H938"/>
  <c r="H4312" s="1"/>
  <c r="H940"/>
  <c r="H4314" s="1"/>
  <c r="H941"/>
  <c r="H4315" s="1"/>
  <c r="H943"/>
  <c r="H4317" s="1"/>
  <c r="H944"/>
  <c r="H4318" s="1"/>
  <c r="H946"/>
  <c r="H4320" s="1"/>
  <c r="H947"/>
  <c r="H4321" s="1"/>
  <c r="F3266"/>
  <c r="H3266"/>
  <c r="H3264"/>
  <c r="F3264"/>
  <c r="H3263"/>
  <c r="F3263"/>
  <c r="H3262"/>
  <c r="F3262"/>
  <c r="H3261"/>
  <c r="F3261"/>
  <c r="H3260"/>
  <c r="F3260"/>
  <c r="H3259"/>
  <c r="F3259"/>
  <c r="H3258"/>
  <c r="F3258"/>
  <c r="H3257"/>
  <c r="F3257"/>
  <c r="H3256"/>
  <c r="F3256"/>
  <c r="H3255"/>
  <c r="F3255"/>
  <c r="H3254"/>
  <c r="F3254"/>
  <c r="H3253"/>
  <c r="F3253"/>
  <c r="H3252"/>
  <c r="F3252"/>
  <c r="H3251"/>
  <c r="F3251"/>
  <c r="H3250"/>
  <c r="F3250"/>
  <c r="H3249"/>
  <c r="F3249"/>
  <c r="H3248"/>
  <c r="F3248"/>
  <c r="H3247"/>
  <c r="F3247"/>
  <c r="H3246"/>
  <c r="F3246"/>
  <c r="H3240"/>
  <c r="F3240"/>
  <c r="H3239"/>
  <c r="F3239"/>
  <c r="H3265"/>
  <c r="F3265"/>
  <c r="H3238"/>
  <c r="F3238"/>
  <c r="H3237"/>
  <c r="F3237"/>
  <c r="H3236"/>
  <c r="F3236"/>
  <c r="H3235"/>
  <c r="F3235"/>
  <c r="H3230"/>
  <c r="F3230"/>
  <c r="H3229"/>
  <c r="F3229"/>
  <c r="F3189"/>
  <c r="F3194" s="1"/>
  <c r="F3199" s="1"/>
  <c r="F2110"/>
  <c r="F2109"/>
  <c r="G3163"/>
  <c r="G3164"/>
  <c r="G3165"/>
  <c r="G3166"/>
  <c r="G3167"/>
  <c r="G3168"/>
  <c r="G3169"/>
  <c r="G3170"/>
  <c r="G3171"/>
  <c r="G3172"/>
  <c r="G3173"/>
  <c r="G3174"/>
  <c r="G3175"/>
  <c r="G3176"/>
  <c r="G3177"/>
  <c r="G3178"/>
  <c r="G3179"/>
  <c r="G3180"/>
  <c r="F3163"/>
  <c r="F3164"/>
  <c r="F3165"/>
  <c r="F3166"/>
  <c r="F3167"/>
  <c r="F3168"/>
  <c r="F3169"/>
  <c r="F3170"/>
  <c r="F3171"/>
  <c r="F3172"/>
  <c r="F3173"/>
  <c r="F3174"/>
  <c r="F3175"/>
  <c r="F3176"/>
  <c r="F3177"/>
  <c r="F3178"/>
  <c r="F3179"/>
  <c r="F3180"/>
  <c r="F3162"/>
  <c r="F3155"/>
  <c r="H3126"/>
  <c r="H3127"/>
  <c r="H3130"/>
  <c r="H3131"/>
  <c r="H3132"/>
  <c r="H3133"/>
  <c r="H3125"/>
  <c r="D3126"/>
  <c r="D3127"/>
  <c r="D3128"/>
  <c r="D3129"/>
  <c r="D3130"/>
  <c r="D3131"/>
  <c r="D3132"/>
  <c r="D3133"/>
  <c r="D3125"/>
  <c r="C3145"/>
  <c r="D3145"/>
  <c r="E3145"/>
  <c r="G3145"/>
  <c r="C3146"/>
  <c r="D3146"/>
  <c r="E3146"/>
  <c r="F3146"/>
  <c r="G3146"/>
  <c r="H3146"/>
  <c r="C3137"/>
  <c r="D3137"/>
  <c r="E3137"/>
  <c r="G3137"/>
  <c r="C3138"/>
  <c r="D3138"/>
  <c r="E3138"/>
  <c r="G3138"/>
  <c r="C3139"/>
  <c r="D3139"/>
  <c r="E3139"/>
  <c r="G3139"/>
  <c r="C3140"/>
  <c r="D3140"/>
  <c r="E3140"/>
  <c r="F3140"/>
  <c r="G3140"/>
  <c r="H3140"/>
  <c r="C3141"/>
  <c r="D3141"/>
  <c r="E3141"/>
  <c r="F3141"/>
  <c r="G3141"/>
  <c r="H3141"/>
  <c r="C3142"/>
  <c r="D3142"/>
  <c r="E3142"/>
  <c r="G3142"/>
  <c r="C3143"/>
  <c r="D3143"/>
  <c r="E3143"/>
  <c r="G3143"/>
  <c r="C3144"/>
  <c r="D3144"/>
  <c r="E3144"/>
  <c r="G3144"/>
  <c r="D3136"/>
  <c r="E3136"/>
  <c r="F3136"/>
  <c r="G3136"/>
  <c r="H3136"/>
  <c r="C3136"/>
  <c r="B3145"/>
  <c r="B3144"/>
  <c r="B3143"/>
  <c r="B3142"/>
  <c r="B3141"/>
  <c r="B3140"/>
  <c r="B3139"/>
  <c r="B3138"/>
  <c r="B3137"/>
  <c r="B3136"/>
  <c r="B3135"/>
  <c r="D3048"/>
  <c r="E3048"/>
  <c r="H3048"/>
  <c r="D3049"/>
  <c r="E3049"/>
  <c r="H3049"/>
  <c r="D3050"/>
  <c r="E3050"/>
  <c r="H3050"/>
  <c r="D3051"/>
  <c r="E3051"/>
  <c r="H3051"/>
  <c r="D3052"/>
  <c r="E3052"/>
  <c r="H3052"/>
  <c r="D3053"/>
  <c r="E3053"/>
  <c r="H3053"/>
  <c r="D3054"/>
  <c r="E3054"/>
  <c r="H3054"/>
  <c r="D3055"/>
  <c r="E3055"/>
  <c r="F3055"/>
  <c r="H3055"/>
  <c r="D3056"/>
  <c r="E3056"/>
  <c r="H3056"/>
  <c r="D3057"/>
  <c r="E3057"/>
  <c r="H3057"/>
  <c r="D3058"/>
  <c r="E3058"/>
  <c r="H3058"/>
  <c r="D3059"/>
  <c r="E3059"/>
  <c r="F3059"/>
  <c r="H3059"/>
  <c r="D3060"/>
  <c r="E3060"/>
  <c r="H3060"/>
  <c r="D3061"/>
  <c r="E3061"/>
  <c r="H3061"/>
  <c r="D3062"/>
  <c r="E3062"/>
  <c r="H3062"/>
  <c r="D3063"/>
  <c r="E3063"/>
  <c r="H3063"/>
  <c r="D3064"/>
  <c r="E3064"/>
  <c r="H3064"/>
  <c r="D3065"/>
  <c r="E3065"/>
  <c r="H3065"/>
  <c r="D3066"/>
  <c r="E3066"/>
  <c r="H3066"/>
  <c r="D3067"/>
  <c r="E3067"/>
  <c r="H3067"/>
  <c r="D3068"/>
  <c r="E3068"/>
  <c r="H3068"/>
  <c r="D3069"/>
  <c r="E3069"/>
  <c r="H3069"/>
  <c r="D3070"/>
  <c r="E3070"/>
  <c r="H3070"/>
  <c r="D3071"/>
  <c r="E3071"/>
  <c r="H3071"/>
  <c r="D3072"/>
  <c r="E3072"/>
  <c r="H3072"/>
  <c r="C3100"/>
  <c r="D3100"/>
  <c r="E3100"/>
  <c r="G3100"/>
  <c r="C3096"/>
  <c r="D3096"/>
  <c r="E3096"/>
  <c r="G3096"/>
  <c r="C3097"/>
  <c r="D3097"/>
  <c r="E3097"/>
  <c r="G3097"/>
  <c r="C3098"/>
  <c r="D3098"/>
  <c r="E3098"/>
  <c r="G3098"/>
  <c r="C3099"/>
  <c r="D3099"/>
  <c r="E3099"/>
  <c r="G3099"/>
  <c r="C3075"/>
  <c r="D3075"/>
  <c r="E3075"/>
  <c r="F3075"/>
  <c r="G3075"/>
  <c r="H3075"/>
  <c r="C3076"/>
  <c r="D3076"/>
  <c r="E3076"/>
  <c r="G3076"/>
  <c r="C3077"/>
  <c r="D3077"/>
  <c r="E3077"/>
  <c r="G3077"/>
  <c r="C3078"/>
  <c r="D3078"/>
  <c r="E3078"/>
  <c r="G3078"/>
  <c r="C3079"/>
  <c r="D3079"/>
  <c r="E3079"/>
  <c r="G3079"/>
  <c r="C3080"/>
  <c r="D3080"/>
  <c r="E3080"/>
  <c r="G3080"/>
  <c r="C3081"/>
  <c r="D3081"/>
  <c r="E3081"/>
  <c r="G3081"/>
  <c r="C3082"/>
  <c r="D3082"/>
  <c r="E3082"/>
  <c r="G3082"/>
  <c r="C3083"/>
  <c r="D3083"/>
  <c r="E3083"/>
  <c r="F3083"/>
  <c r="G3083"/>
  <c r="C3084"/>
  <c r="D3084"/>
  <c r="E3084"/>
  <c r="G3084"/>
  <c r="C3085"/>
  <c r="D3085"/>
  <c r="E3085"/>
  <c r="G3085"/>
  <c r="C3086"/>
  <c r="D3086"/>
  <c r="E3086"/>
  <c r="G3086"/>
  <c r="C3087"/>
  <c r="D3087"/>
  <c r="E3087"/>
  <c r="F3087"/>
  <c r="G3087"/>
  <c r="C3088"/>
  <c r="D3088"/>
  <c r="E3088"/>
  <c r="G3088"/>
  <c r="C3089"/>
  <c r="D3089"/>
  <c r="E3089"/>
  <c r="G3089"/>
  <c r="C3090"/>
  <c r="D3090"/>
  <c r="E3090"/>
  <c r="G3090"/>
  <c r="C3091"/>
  <c r="D3091"/>
  <c r="E3091"/>
  <c r="G3091"/>
  <c r="C3092"/>
  <c r="D3092"/>
  <c r="E3092"/>
  <c r="G3092"/>
  <c r="C3093"/>
  <c r="D3093"/>
  <c r="E3093"/>
  <c r="G3093"/>
  <c r="C3094"/>
  <c r="D3094"/>
  <c r="E3094"/>
  <c r="G3094"/>
  <c r="C3095"/>
  <c r="D3095"/>
  <c r="E3095"/>
  <c r="G3095"/>
  <c r="D3074"/>
  <c r="E3074"/>
  <c r="F3074"/>
  <c r="G3074"/>
  <c r="H3074"/>
  <c r="B3099"/>
  <c r="B3098"/>
  <c r="B3097"/>
  <c r="B3096"/>
  <c r="B3095"/>
  <c r="B3094"/>
  <c r="B3093"/>
  <c r="B3092"/>
  <c r="B3091"/>
  <c r="B3090"/>
  <c r="B3089"/>
  <c r="B3088"/>
  <c r="B3087"/>
  <c r="B3086"/>
  <c r="B3085"/>
  <c r="B3084"/>
  <c r="B3083"/>
  <c r="B3082"/>
  <c r="B3081"/>
  <c r="B3080"/>
  <c r="B3079"/>
  <c r="B3078"/>
  <c r="B3077"/>
  <c r="B3076"/>
  <c r="B3075"/>
  <c r="B3074"/>
  <c r="H3073"/>
  <c r="G3073"/>
  <c r="F3073"/>
  <c r="E3073"/>
  <c r="D3073"/>
  <c r="C3073"/>
  <c r="B3073"/>
  <c r="H2962"/>
  <c r="H2963"/>
  <c r="H2964"/>
  <c r="H2965"/>
  <c r="H2966"/>
  <c r="H2967"/>
  <c r="H2968"/>
  <c r="H2969"/>
  <c r="H2970"/>
  <c r="H2971"/>
  <c r="H2972"/>
  <c r="H2973"/>
  <c r="H2974"/>
  <c r="H2975"/>
  <c r="H2976"/>
  <c r="H2977"/>
  <c r="H2978"/>
  <c r="H2979"/>
  <c r="H2980"/>
  <c r="H2981"/>
  <c r="H2982"/>
  <c r="H2983"/>
  <c r="H2984"/>
  <c r="H2985"/>
  <c r="H2986"/>
  <c r="D2962"/>
  <c r="D2963"/>
  <c r="D2964"/>
  <c r="D2965"/>
  <c r="D2966"/>
  <c r="D2967"/>
  <c r="D2968"/>
  <c r="D2969"/>
  <c r="D2970"/>
  <c r="D2971"/>
  <c r="D2972"/>
  <c r="D2973"/>
  <c r="D2974"/>
  <c r="D2975"/>
  <c r="D2976"/>
  <c r="D2977"/>
  <c r="D2978"/>
  <c r="D2979"/>
  <c r="D2980"/>
  <c r="D2981"/>
  <c r="D2982"/>
  <c r="D2983"/>
  <c r="D2984"/>
  <c r="D2985"/>
  <c r="D2986"/>
  <c r="C2990"/>
  <c r="D2990"/>
  <c r="E2990"/>
  <c r="G2990"/>
  <c r="C2991"/>
  <c r="D2991"/>
  <c r="E2991"/>
  <c r="G2991"/>
  <c r="C2992"/>
  <c r="D2992"/>
  <c r="E2992"/>
  <c r="G2992"/>
  <c r="C2993"/>
  <c r="D2993"/>
  <c r="E2993"/>
  <c r="G2993"/>
  <c r="C2994"/>
  <c r="D2994"/>
  <c r="E2994"/>
  <c r="G2994"/>
  <c r="C2995"/>
  <c r="D2995"/>
  <c r="E2995"/>
  <c r="G2995"/>
  <c r="C2996"/>
  <c r="D2996"/>
  <c r="E2996"/>
  <c r="G2996"/>
  <c r="C2997"/>
  <c r="D2997"/>
  <c r="E2997"/>
  <c r="F2997"/>
  <c r="G2997"/>
  <c r="C2998"/>
  <c r="D2998"/>
  <c r="E2998"/>
  <c r="G2998"/>
  <c r="C2999"/>
  <c r="D2999"/>
  <c r="E2999"/>
  <c r="G2999"/>
  <c r="C3000"/>
  <c r="D3000"/>
  <c r="E3000"/>
  <c r="G3000"/>
  <c r="C3001"/>
  <c r="D3001"/>
  <c r="E3001"/>
  <c r="F3001"/>
  <c r="G3001"/>
  <c r="C3002"/>
  <c r="D3002"/>
  <c r="E3002"/>
  <c r="G3002"/>
  <c r="C3003"/>
  <c r="D3003"/>
  <c r="E3003"/>
  <c r="G3003"/>
  <c r="C3004"/>
  <c r="D3004"/>
  <c r="E3004"/>
  <c r="G3004"/>
  <c r="C3005"/>
  <c r="D3005"/>
  <c r="E3005"/>
  <c r="G3005"/>
  <c r="C3006"/>
  <c r="D3006"/>
  <c r="E3006"/>
  <c r="G3006"/>
  <c r="C3007"/>
  <c r="D3007"/>
  <c r="E3007"/>
  <c r="G3007"/>
  <c r="C3008"/>
  <c r="D3008"/>
  <c r="E3008"/>
  <c r="G3008"/>
  <c r="C3009"/>
  <c r="D3009"/>
  <c r="E3009"/>
  <c r="G3009"/>
  <c r="C3010"/>
  <c r="D3010"/>
  <c r="E3010"/>
  <c r="G3010"/>
  <c r="C3011"/>
  <c r="D3011"/>
  <c r="E3011"/>
  <c r="G3011"/>
  <c r="C3012"/>
  <c r="D3012"/>
  <c r="E3012"/>
  <c r="G3012"/>
  <c r="C3013"/>
  <c r="D3013"/>
  <c r="E3013"/>
  <c r="G3013"/>
  <c r="C3014"/>
  <c r="D3014"/>
  <c r="E3014"/>
  <c r="G3014"/>
  <c r="C2989"/>
  <c r="D2989"/>
  <c r="E2989"/>
  <c r="F2989"/>
  <c r="G2989"/>
  <c r="H2989"/>
  <c r="D2988"/>
  <c r="E2988"/>
  <c r="F2988"/>
  <c r="G2988"/>
  <c r="H2988"/>
  <c r="B3014"/>
  <c r="B3013"/>
  <c r="B3012"/>
  <c r="B3011"/>
  <c r="B3010"/>
  <c r="B3009"/>
  <c r="B3008"/>
  <c r="B3007"/>
  <c r="B3006"/>
  <c r="B3005"/>
  <c r="B3004"/>
  <c r="B3003"/>
  <c r="B3002"/>
  <c r="B3001"/>
  <c r="B3000"/>
  <c r="B2999"/>
  <c r="B2998"/>
  <c r="B2997"/>
  <c r="B2996"/>
  <c r="B2995"/>
  <c r="B2994"/>
  <c r="B2993"/>
  <c r="B2992"/>
  <c r="B2991"/>
  <c r="B2990"/>
  <c r="B2989"/>
  <c r="B2988"/>
  <c r="H2880"/>
  <c r="H2881"/>
  <c r="H2882"/>
  <c r="H2883"/>
  <c r="H2884"/>
  <c r="H2885"/>
  <c r="H2886"/>
  <c r="H2887"/>
  <c r="H2888"/>
  <c r="H2889"/>
  <c r="H2890"/>
  <c r="H2891"/>
  <c r="H2892"/>
  <c r="H2893"/>
  <c r="H2894"/>
  <c r="H2895"/>
  <c r="H2896"/>
  <c r="H2897"/>
  <c r="H2898"/>
  <c r="H2899"/>
  <c r="H2900"/>
  <c r="H2901"/>
  <c r="H2902"/>
  <c r="H2903"/>
  <c r="H2904"/>
  <c r="D2880"/>
  <c r="D2881"/>
  <c r="D2882"/>
  <c r="D2883"/>
  <c r="D2884"/>
  <c r="D2885"/>
  <c r="D2886"/>
  <c r="D2887"/>
  <c r="D2888"/>
  <c r="D2889"/>
  <c r="D2890"/>
  <c r="D2891"/>
  <c r="D2892"/>
  <c r="D2893"/>
  <c r="D2894"/>
  <c r="D2895"/>
  <c r="D2896"/>
  <c r="D2897"/>
  <c r="D2898"/>
  <c r="D2899"/>
  <c r="D2900"/>
  <c r="D2901"/>
  <c r="D2902"/>
  <c r="D2903"/>
  <c r="D2904"/>
  <c r="C2907"/>
  <c r="D2907"/>
  <c r="E2907"/>
  <c r="F2907"/>
  <c r="G2907"/>
  <c r="H2907"/>
  <c r="C2908"/>
  <c r="D2908"/>
  <c r="E2908"/>
  <c r="G2908"/>
  <c r="C2909"/>
  <c r="D2909"/>
  <c r="E2909"/>
  <c r="G2909"/>
  <c r="C2910"/>
  <c r="D2910"/>
  <c r="E2910"/>
  <c r="G2910"/>
  <c r="C2911"/>
  <c r="D2911"/>
  <c r="E2911"/>
  <c r="G2911"/>
  <c r="C2912"/>
  <c r="D2912"/>
  <c r="E2912"/>
  <c r="G2912"/>
  <c r="C2913"/>
  <c r="D2913"/>
  <c r="E2913"/>
  <c r="G2913"/>
  <c r="C2914"/>
  <c r="D2914"/>
  <c r="E2914"/>
  <c r="G2914"/>
  <c r="C2915"/>
  <c r="D2915"/>
  <c r="E2915"/>
  <c r="F2915"/>
  <c r="G2915"/>
  <c r="C2916"/>
  <c r="D2916"/>
  <c r="E2916"/>
  <c r="G2916"/>
  <c r="C2917"/>
  <c r="D2917"/>
  <c r="E2917"/>
  <c r="G2917"/>
  <c r="C2918"/>
  <c r="D2918"/>
  <c r="E2918"/>
  <c r="G2918"/>
  <c r="C2919"/>
  <c r="D2919"/>
  <c r="E2919"/>
  <c r="F2919"/>
  <c r="G2919"/>
  <c r="C2920"/>
  <c r="D2920"/>
  <c r="E2920"/>
  <c r="G2920"/>
  <c r="C2921"/>
  <c r="D2921"/>
  <c r="E2921"/>
  <c r="G2921"/>
  <c r="C2922"/>
  <c r="D2922"/>
  <c r="E2922"/>
  <c r="G2922"/>
  <c r="C2923"/>
  <c r="D2923"/>
  <c r="E2923"/>
  <c r="G2923"/>
  <c r="C2924"/>
  <c r="D2924"/>
  <c r="E2924"/>
  <c r="G2924"/>
  <c r="C2925"/>
  <c r="D2925"/>
  <c r="E2925"/>
  <c r="G2925"/>
  <c r="C2926"/>
  <c r="D2926"/>
  <c r="E2926"/>
  <c r="G2926"/>
  <c r="C2927"/>
  <c r="D2927"/>
  <c r="E2927"/>
  <c r="G2927"/>
  <c r="C2928"/>
  <c r="D2928"/>
  <c r="E2928"/>
  <c r="G2928"/>
  <c r="C2929"/>
  <c r="D2929"/>
  <c r="E2929"/>
  <c r="G2929"/>
  <c r="C2930"/>
  <c r="D2930"/>
  <c r="E2930"/>
  <c r="G2930"/>
  <c r="C2931"/>
  <c r="D2931"/>
  <c r="E2931"/>
  <c r="G2931"/>
  <c r="C2932"/>
  <c r="D2932"/>
  <c r="E2932"/>
  <c r="G2932"/>
  <c r="D2906"/>
  <c r="E2906"/>
  <c r="F2906"/>
  <c r="G2906"/>
  <c r="H2906"/>
  <c r="B2932"/>
  <c r="B2931"/>
  <c r="B2930"/>
  <c r="B2929"/>
  <c r="B2928"/>
  <c r="B2927"/>
  <c r="B2926"/>
  <c r="B2925"/>
  <c r="B2924"/>
  <c r="B2923"/>
  <c r="B2922"/>
  <c r="B2921"/>
  <c r="B2920"/>
  <c r="B2919"/>
  <c r="B2918"/>
  <c r="B2917"/>
  <c r="B2916"/>
  <c r="B2915"/>
  <c r="B2914"/>
  <c r="B2913"/>
  <c r="B2912"/>
  <c r="B2911"/>
  <c r="B2910"/>
  <c r="B2909"/>
  <c r="H2783"/>
  <c r="H2784"/>
  <c r="H2785"/>
  <c r="H2786"/>
  <c r="H2787"/>
  <c r="H2788"/>
  <c r="H2789"/>
  <c r="H2790"/>
  <c r="H2791"/>
  <c r="H2792"/>
  <c r="H2793"/>
  <c r="H2794"/>
  <c r="H2795"/>
  <c r="H2796"/>
  <c r="H2797"/>
  <c r="H2798"/>
  <c r="H2799"/>
  <c r="H2800"/>
  <c r="H2801"/>
  <c r="H2802"/>
  <c r="H2803"/>
  <c r="H2804"/>
  <c r="H2805"/>
  <c r="H2806"/>
  <c r="H2807"/>
  <c r="H2808"/>
  <c r="H2782"/>
  <c r="D2783"/>
  <c r="D2784"/>
  <c r="D2785"/>
  <c r="D2786"/>
  <c r="D2787"/>
  <c r="D2788"/>
  <c r="D2789"/>
  <c r="D2790"/>
  <c r="D2791"/>
  <c r="D2792"/>
  <c r="D2793"/>
  <c r="D2794"/>
  <c r="D2795"/>
  <c r="D2796"/>
  <c r="D2797"/>
  <c r="D2798"/>
  <c r="D2799"/>
  <c r="D2800"/>
  <c r="D2801"/>
  <c r="D2802"/>
  <c r="D2803"/>
  <c r="D2804"/>
  <c r="D2805"/>
  <c r="D2806"/>
  <c r="D2807"/>
  <c r="D2808"/>
  <c r="D2782"/>
  <c r="C2839"/>
  <c r="D2839"/>
  <c r="E2839"/>
  <c r="G2839"/>
  <c r="C2814"/>
  <c r="D2814"/>
  <c r="E2814"/>
  <c r="G2814"/>
  <c r="C2815"/>
  <c r="D2815"/>
  <c r="E2815"/>
  <c r="G2815"/>
  <c r="C2816"/>
  <c r="D2816"/>
  <c r="E2816"/>
  <c r="G2816"/>
  <c r="C2817"/>
  <c r="D2817"/>
  <c r="E2817"/>
  <c r="G2817"/>
  <c r="C2818"/>
  <c r="D2818"/>
  <c r="E2818"/>
  <c r="G2818"/>
  <c r="C2819"/>
  <c r="D2819"/>
  <c r="E2819"/>
  <c r="G2819"/>
  <c r="C2820"/>
  <c r="D2820"/>
  <c r="E2820"/>
  <c r="G2820"/>
  <c r="C2821"/>
  <c r="D2821"/>
  <c r="E2821"/>
  <c r="F2821"/>
  <c r="G2821"/>
  <c r="C2822"/>
  <c r="D2822"/>
  <c r="E2822"/>
  <c r="G2822"/>
  <c r="C2823"/>
  <c r="D2823"/>
  <c r="E2823"/>
  <c r="G2823"/>
  <c r="C2824"/>
  <c r="D2824"/>
  <c r="E2824"/>
  <c r="G2824"/>
  <c r="C2825"/>
  <c r="D2825"/>
  <c r="E2825"/>
  <c r="F2825"/>
  <c r="G2825"/>
  <c r="C2826"/>
  <c r="D2826"/>
  <c r="E2826"/>
  <c r="G2826"/>
  <c r="C2827"/>
  <c r="D2827"/>
  <c r="E2827"/>
  <c r="G2827"/>
  <c r="C2828"/>
  <c r="D2828"/>
  <c r="E2828"/>
  <c r="G2828"/>
  <c r="C2829"/>
  <c r="D2829"/>
  <c r="E2829"/>
  <c r="G2829"/>
  <c r="C2830"/>
  <c r="D2830"/>
  <c r="E2830"/>
  <c r="G2830"/>
  <c r="C2831"/>
  <c r="D2831"/>
  <c r="E2831"/>
  <c r="G2831"/>
  <c r="C2832"/>
  <c r="D2832"/>
  <c r="E2832"/>
  <c r="G2832"/>
  <c r="C2833"/>
  <c r="D2833"/>
  <c r="E2833"/>
  <c r="G2833"/>
  <c r="C2834"/>
  <c r="D2834"/>
  <c r="E2834"/>
  <c r="G2834"/>
  <c r="C2835"/>
  <c r="D2835"/>
  <c r="E2835"/>
  <c r="G2835"/>
  <c r="C2836"/>
  <c r="D2836"/>
  <c r="E2836"/>
  <c r="G2836"/>
  <c r="C2837"/>
  <c r="D2837"/>
  <c r="E2837"/>
  <c r="G2837"/>
  <c r="C2838"/>
  <c r="D2838"/>
  <c r="E2838"/>
  <c r="G2838"/>
  <c r="C2812"/>
  <c r="D2812"/>
  <c r="E2812"/>
  <c r="F2812"/>
  <c r="G2812"/>
  <c r="H2812"/>
  <c r="C2813"/>
  <c r="D2813"/>
  <c r="E2813"/>
  <c r="G2813"/>
  <c r="D2811"/>
  <c r="E2811"/>
  <c r="F2811"/>
  <c r="G2811"/>
  <c r="H2811"/>
  <c r="C2811"/>
  <c r="B2839"/>
  <c r="B2838"/>
  <c r="B2837"/>
  <c r="B2836"/>
  <c r="B2835"/>
  <c r="B2834"/>
  <c r="B2833"/>
  <c r="B2832"/>
  <c r="B2831"/>
  <c r="B2830"/>
  <c r="B2829"/>
  <c r="B2828"/>
  <c r="B2827"/>
  <c r="B2826"/>
  <c r="B2825"/>
  <c r="B2824"/>
  <c r="B2823"/>
  <c r="B2822"/>
  <c r="B2821"/>
  <c r="B2820"/>
  <c r="B2819"/>
  <c r="B2818"/>
  <c r="B2817"/>
  <c r="B2816"/>
  <c r="B2815"/>
  <c r="B2814"/>
  <c r="B2813"/>
  <c r="B2812"/>
  <c r="B2811"/>
  <c r="B2778"/>
  <c r="B2780"/>
  <c r="C2780"/>
  <c r="D2780"/>
  <c r="E2780"/>
  <c r="F2780"/>
  <c r="G2780"/>
  <c r="H2780"/>
  <c r="B2781"/>
  <c r="C2781"/>
  <c r="D2781"/>
  <c r="E2781"/>
  <c r="F2781"/>
  <c r="G2781"/>
  <c r="H2781"/>
  <c r="B2782"/>
  <c r="C2782"/>
  <c r="E2782"/>
  <c r="B2783"/>
  <c r="C2783"/>
  <c r="E2783"/>
  <c r="B2784"/>
  <c r="C2784"/>
  <c r="E2784"/>
  <c r="B2785"/>
  <c r="C2785"/>
  <c r="E2785"/>
  <c r="B2786"/>
  <c r="C2786"/>
  <c r="E2786"/>
  <c r="B2787"/>
  <c r="C2787"/>
  <c r="E2787"/>
  <c r="B2788"/>
  <c r="C2788"/>
  <c r="E2788"/>
  <c r="B2789"/>
  <c r="C2789"/>
  <c r="E2789"/>
  <c r="B2790"/>
  <c r="C2790"/>
  <c r="E2790"/>
  <c r="F2790"/>
  <c r="B2791"/>
  <c r="C2791"/>
  <c r="E2791"/>
  <c r="B2792"/>
  <c r="C2792"/>
  <c r="E2792"/>
  <c r="B2793"/>
  <c r="C2793"/>
  <c r="E2793"/>
  <c r="B2794"/>
  <c r="C2794"/>
  <c r="E2794"/>
  <c r="F2794"/>
  <c r="B2795"/>
  <c r="C2795"/>
  <c r="E2795"/>
  <c r="B2796"/>
  <c r="C2796"/>
  <c r="E2796"/>
  <c r="B2797"/>
  <c r="C2797"/>
  <c r="E2797"/>
  <c r="B2798"/>
  <c r="C2798"/>
  <c r="E2798"/>
  <c r="B2799"/>
  <c r="C2799"/>
  <c r="E2799"/>
  <c r="B2800"/>
  <c r="C2800"/>
  <c r="E2800"/>
  <c r="B2801"/>
  <c r="C2801"/>
  <c r="E2801"/>
  <c r="B2802"/>
  <c r="C2802"/>
  <c r="E2802"/>
  <c r="B2803"/>
  <c r="C2803"/>
  <c r="E2803"/>
  <c r="B2804"/>
  <c r="C2804"/>
  <c r="E2804"/>
  <c r="B2805"/>
  <c r="C2805"/>
  <c r="E2805"/>
  <c r="B2806"/>
  <c r="C2806"/>
  <c r="E2806"/>
  <c r="B2807"/>
  <c r="C2807"/>
  <c r="E2807"/>
  <c r="B2808"/>
  <c r="C2808"/>
  <c r="E2808"/>
  <c r="B2809"/>
  <c r="C2809"/>
  <c r="D2809"/>
  <c r="E2809"/>
  <c r="F2809"/>
  <c r="G2809"/>
  <c r="H2809"/>
  <c r="B2840"/>
  <c r="C2840"/>
  <c r="D2840"/>
  <c r="E2840"/>
  <c r="F2840"/>
  <c r="G2840"/>
  <c r="H2840"/>
  <c r="B2841"/>
  <c r="C2841"/>
  <c r="D2841"/>
  <c r="E2841"/>
  <c r="F2841"/>
  <c r="G2841"/>
  <c r="H2841"/>
  <c r="B2842"/>
  <c r="C2842"/>
  <c r="D2842"/>
  <c r="E2842"/>
  <c r="F2842"/>
  <c r="G2842"/>
  <c r="H2842"/>
  <c r="B2843"/>
  <c r="D2843"/>
  <c r="E2843"/>
  <c r="F2843"/>
  <c r="G2843"/>
  <c r="B2844"/>
  <c r="D2844"/>
  <c r="E2844"/>
  <c r="F2844"/>
  <c r="G2844"/>
  <c r="B2845"/>
  <c r="D2845"/>
  <c r="E2845"/>
  <c r="F2845"/>
  <c r="G2845"/>
  <c r="B2846"/>
  <c r="D2846"/>
  <c r="E2846"/>
  <c r="F2846"/>
  <c r="G2846"/>
  <c r="B2847"/>
  <c r="D2847"/>
  <c r="E2847"/>
  <c r="F2847"/>
  <c r="G2847"/>
  <c r="B2848"/>
  <c r="D2848"/>
  <c r="E2848"/>
  <c r="F2848"/>
  <c r="G2848"/>
  <c r="B2849"/>
  <c r="D2849"/>
  <c r="E2849"/>
  <c r="F2849"/>
  <c r="G2849"/>
  <c r="B2850"/>
  <c r="D2850"/>
  <c r="E2850"/>
  <c r="F2850"/>
  <c r="G2850"/>
  <c r="B2851"/>
  <c r="D2851"/>
  <c r="E2851"/>
  <c r="F2851"/>
  <c r="G2851"/>
  <c r="B2852"/>
  <c r="D2852"/>
  <c r="E2852"/>
  <c r="F2852"/>
  <c r="G2852"/>
  <c r="B2853"/>
  <c r="D2853"/>
  <c r="E2853"/>
  <c r="F2853"/>
  <c r="G2853"/>
  <c r="B2854"/>
  <c r="D2854"/>
  <c r="E2854"/>
  <c r="F2854"/>
  <c r="G2854"/>
  <c r="B2855"/>
  <c r="D2855"/>
  <c r="E2855"/>
  <c r="F2855"/>
  <c r="G2855"/>
  <c r="B2856"/>
  <c r="D2856"/>
  <c r="E2856"/>
  <c r="F2856"/>
  <c r="G2856"/>
  <c r="B2857"/>
  <c r="D2857"/>
  <c r="E2857"/>
  <c r="F2857"/>
  <c r="G2857"/>
  <c r="B2858"/>
  <c r="D2858"/>
  <c r="E2858"/>
  <c r="F2858"/>
  <c r="G2858"/>
  <c r="B2859"/>
  <c r="D2859"/>
  <c r="E2859"/>
  <c r="F2859"/>
  <c r="G2859"/>
  <c r="B2860"/>
  <c r="D2860"/>
  <c r="E2860"/>
  <c r="F2860"/>
  <c r="G2860"/>
  <c r="B2861"/>
  <c r="D2861"/>
  <c r="E2861"/>
  <c r="F2861"/>
  <c r="G2861"/>
  <c r="B2862"/>
  <c r="D2862"/>
  <c r="E2862"/>
  <c r="F2862"/>
  <c r="G2862"/>
  <c r="B2866"/>
  <c r="C2866"/>
  <c r="D2866"/>
  <c r="E2866"/>
  <c r="F2866"/>
  <c r="G2866"/>
  <c r="H2866"/>
  <c r="B2867"/>
  <c r="C2867"/>
  <c r="D2867"/>
  <c r="E2867"/>
  <c r="F2867"/>
  <c r="G2867"/>
  <c r="B2868"/>
  <c r="C2868"/>
  <c r="D2868"/>
  <c r="E2868"/>
  <c r="G2868"/>
  <c r="B2869"/>
  <c r="C2869"/>
  <c r="D2869"/>
  <c r="E2869"/>
  <c r="F2869"/>
  <c r="G2869"/>
  <c r="B2871"/>
  <c r="B2872"/>
  <c r="C2872"/>
  <c r="D2872"/>
  <c r="E2872"/>
  <c r="F2872"/>
  <c r="G2872"/>
  <c r="H2872"/>
  <c r="B2873"/>
  <c r="C2873"/>
  <c r="D2873"/>
  <c r="E2873"/>
  <c r="F2873"/>
  <c r="G2873"/>
  <c r="H2873"/>
  <c r="B2874"/>
  <c r="C2874"/>
  <c r="D2874"/>
  <c r="E2874"/>
  <c r="F2874"/>
  <c r="G2874"/>
  <c r="B2875"/>
  <c r="C2875"/>
  <c r="D2875"/>
  <c r="E2875"/>
  <c r="G2875"/>
  <c r="B2876"/>
  <c r="C2876"/>
  <c r="D2876"/>
  <c r="E2876"/>
  <c r="G2876"/>
  <c r="B2877"/>
  <c r="C2877"/>
  <c r="D2877"/>
  <c r="E2877"/>
  <c r="F2877"/>
  <c r="G2877"/>
  <c r="H2877"/>
  <c r="B2878"/>
  <c r="D2878"/>
  <c r="E2878"/>
  <c r="F2878"/>
  <c r="G2878"/>
  <c r="H2878"/>
  <c r="B2879"/>
  <c r="C2879"/>
  <c r="D2879"/>
  <c r="E2879"/>
  <c r="F2879"/>
  <c r="G2879"/>
  <c r="H2879"/>
  <c r="B2880"/>
  <c r="C2880"/>
  <c r="E2880"/>
  <c r="B2881"/>
  <c r="C2881"/>
  <c r="E2881"/>
  <c r="B2882"/>
  <c r="C2882"/>
  <c r="E2882"/>
  <c r="B2883"/>
  <c r="C2883"/>
  <c r="E2883"/>
  <c r="B2884"/>
  <c r="C2884"/>
  <c r="E2884"/>
  <c r="B2885"/>
  <c r="C2885"/>
  <c r="E2885"/>
  <c r="B2886"/>
  <c r="C2886"/>
  <c r="E2886"/>
  <c r="B2887"/>
  <c r="C2887"/>
  <c r="E2887"/>
  <c r="F2887"/>
  <c r="B2888"/>
  <c r="C2888"/>
  <c r="E2888"/>
  <c r="B2889"/>
  <c r="C2889"/>
  <c r="E2889"/>
  <c r="B2890"/>
  <c r="C2890"/>
  <c r="E2890"/>
  <c r="B2891"/>
  <c r="C2891"/>
  <c r="E2891"/>
  <c r="F2891"/>
  <c r="B2892"/>
  <c r="C2892"/>
  <c r="E2892"/>
  <c r="B2893"/>
  <c r="C2893"/>
  <c r="E2893"/>
  <c r="B2894"/>
  <c r="C2894"/>
  <c r="E2894"/>
  <c r="B2895"/>
  <c r="C2895"/>
  <c r="E2895"/>
  <c r="B2896"/>
  <c r="C2896"/>
  <c r="E2896"/>
  <c r="B2897"/>
  <c r="C2897"/>
  <c r="E2897"/>
  <c r="B2898"/>
  <c r="C2898"/>
  <c r="E2898"/>
  <c r="B2899"/>
  <c r="C2899"/>
  <c r="E2899"/>
  <c r="B2900"/>
  <c r="C2900"/>
  <c r="E2900"/>
  <c r="B2901"/>
  <c r="C2901"/>
  <c r="E2901"/>
  <c r="B2902"/>
  <c r="C2902"/>
  <c r="E2902"/>
  <c r="B2903"/>
  <c r="C2903"/>
  <c r="E2903"/>
  <c r="B2904"/>
  <c r="C2904"/>
  <c r="E2904"/>
  <c r="B2905"/>
  <c r="C2905"/>
  <c r="D2905"/>
  <c r="E2905"/>
  <c r="F2905"/>
  <c r="G2905"/>
  <c r="H2905"/>
  <c r="B2933"/>
  <c r="C2933"/>
  <c r="D2933"/>
  <c r="E2933"/>
  <c r="F2933"/>
  <c r="G2933"/>
  <c r="H2933"/>
  <c r="B2934"/>
  <c r="C2934"/>
  <c r="D2934"/>
  <c r="E2934"/>
  <c r="F2934"/>
  <c r="G2934"/>
  <c r="H2934"/>
  <c r="B2935"/>
  <c r="D2935"/>
  <c r="E2935"/>
  <c r="F2935"/>
  <c r="G2935"/>
  <c r="B2936"/>
  <c r="D2936"/>
  <c r="E2936"/>
  <c r="F2936"/>
  <c r="G2936"/>
  <c r="B2937"/>
  <c r="D2937"/>
  <c r="E2937"/>
  <c r="F2937"/>
  <c r="G2937"/>
  <c r="B2938"/>
  <c r="D2938"/>
  <c r="E2938"/>
  <c r="F2938"/>
  <c r="G2938"/>
  <c r="B2939"/>
  <c r="D2939"/>
  <c r="E2939"/>
  <c r="F2939"/>
  <c r="G2939"/>
  <c r="B2940"/>
  <c r="D2940"/>
  <c r="E2940"/>
  <c r="F2940"/>
  <c r="G2940"/>
  <c r="B2941"/>
  <c r="D2941"/>
  <c r="E2941"/>
  <c r="F2941"/>
  <c r="G2941"/>
  <c r="B2942"/>
  <c r="D2942"/>
  <c r="E2942"/>
  <c r="F2942"/>
  <c r="G2942"/>
  <c r="B2943"/>
  <c r="D2943"/>
  <c r="E2943"/>
  <c r="F2943"/>
  <c r="G2943"/>
  <c r="B2944"/>
  <c r="D2944"/>
  <c r="E2944"/>
  <c r="F2944"/>
  <c r="G2944"/>
  <c r="B2945"/>
  <c r="D2945"/>
  <c r="E2945"/>
  <c r="F2945"/>
  <c r="G2945"/>
  <c r="B2946"/>
  <c r="D2946"/>
  <c r="E2946"/>
  <c r="F2946"/>
  <c r="G2946"/>
  <c r="B2947"/>
  <c r="D2947"/>
  <c r="E2947"/>
  <c r="F2947"/>
  <c r="G2947"/>
  <c r="B2948"/>
  <c r="D2948"/>
  <c r="E2948"/>
  <c r="F2948"/>
  <c r="G2948"/>
  <c r="B2949"/>
  <c r="D2949"/>
  <c r="E2949"/>
  <c r="F2949"/>
  <c r="G2949"/>
  <c r="B2950"/>
  <c r="D2950"/>
  <c r="E2950"/>
  <c r="F2950"/>
  <c r="G2950"/>
  <c r="B2951"/>
  <c r="D2951"/>
  <c r="E2951"/>
  <c r="F2951"/>
  <c r="G2951"/>
  <c r="B2952"/>
  <c r="C2952"/>
  <c r="D2952"/>
  <c r="E2952"/>
  <c r="F2952"/>
  <c r="G2952"/>
  <c r="B2953"/>
  <c r="C2953"/>
  <c r="D2953"/>
  <c r="E2953"/>
  <c r="F2953"/>
  <c r="G2953"/>
  <c r="B2954"/>
  <c r="C2954"/>
  <c r="D2954"/>
  <c r="E2954"/>
  <c r="F2954"/>
  <c r="G2954"/>
  <c r="B2955"/>
  <c r="B2956"/>
  <c r="C2956"/>
  <c r="D2956"/>
  <c r="E2956"/>
  <c r="F2956"/>
  <c r="G2956"/>
  <c r="B2957"/>
  <c r="C2957"/>
  <c r="D2957"/>
  <c r="E2957"/>
  <c r="G2957"/>
  <c r="B2958"/>
  <c r="C2958"/>
  <c r="D2958"/>
  <c r="E2958"/>
  <c r="F2958"/>
  <c r="G2958"/>
  <c r="B2959"/>
  <c r="C2959"/>
  <c r="D2959"/>
  <c r="E2959"/>
  <c r="F2959"/>
  <c r="G2959"/>
  <c r="H2959"/>
  <c r="B2960"/>
  <c r="D2960"/>
  <c r="E2960"/>
  <c r="F2960"/>
  <c r="G2960"/>
  <c r="H2960"/>
  <c r="B2961"/>
  <c r="C2961"/>
  <c r="D2961"/>
  <c r="E2961"/>
  <c r="F2961"/>
  <c r="G2961"/>
  <c r="H2961"/>
  <c r="B2962"/>
  <c r="C2962"/>
  <c r="E2962"/>
  <c r="B2963"/>
  <c r="C2963"/>
  <c r="E2963"/>
  <c r="B2964"/>
  <c r="C2964"/>
  <c r="E2964"/>
  <c r="B2965"/>
  <c r="C2965"/>
  <c r="E2965"/>
  <c r="B2966"/>
  <c r="C2966"/>
  <c r="E2966"/>
  <c r="B2967"/>
  <c r="C2967"/>
  <c r="E2967"/>
  <c r="B2968"/>
  <c r="C2968"/>
  <c r="E2968"/>
  <c r="B2969"/>
  <c r="C2969"/>
  <c r="E2969"/>
  <c r="F2969"/>
  <c r="B2970"/>
  <c r="C2970"/>
  <c r="E2970"/>
  <c r="B2971"/>
  <c r="C2971"/>
  <c r="E2971"/>
  <c r="B2972"/>
  <c r="C2972"/>
  <c r="E2972"/>
  <c r="B2973"/>
  <c r="C2973"/>
  <c r="E2973"/>
  <c r="F2973"/>
  <c r="B2974"/>
  <c r="C2974"/>
  <c r="E2974"/>
  <c r="B2975"/>
  <c r="C2975"/>
  <c r="E2975"/>
  <c r="B2976"/>
  <c r="C2976"/>
  <c r="E2976"/>
  <c r="B2977"/>
  <c r="C2977"/>
  <c r="E2977"/>
  <c r="B2978"/>
  <c r="C2978"/>
  <c r="E2978"/>
  <c r="B2979"/>
  <c r="C2979"/>
  <c r="E2979"/>
  <c r="B2980"/>
  <c r="C2980"/>
  <c r="E2980"/>
  <c r="B2981"/>
  <c r="C2981"/>
  <c r="E2981"/>
  <c r="B2982"/>
  <c r="C2982"/>
  <c r="E2982"/>
  <c r="B2983"/>
  <c r="C2983"/>
  <c r="E2983"/>
  <c r="B2984"/>
  <c r="C2984"/>
  <c r="E2984"/>
  <c r="B2985"/>
  <c r="C2985"/>
  <c r="E2985"/>
  <c r="B2986"/>
  <c r="C2986"/>
  <c r="E2986"/>
  <c r="B2987"/>
  <c r="C2987"/>
  <c r="D2987"/>
  <c r="E2987"/>
  <c r="F2987"/>
  <c r="G2987"/>
  <c r="H2987"/>
  <c r="B3015"/>
  <c r="C3015"/>
  <c r="D3015"/>
  <c r="E3015"/>
  <c r="F3015"/>
  <c r="G3015"/>
  <c r="H3015"/>
  <c r="B3016"/>
  <c r="C3016"/>
  <c r="D3016"/>
  <c r="E3016"/>
  <c r="F3016"/>
  <c r="G3016"/>
  <c r="H3016"/>
  <c r="B3017"/>
  <c r="C3017"/>
  <c r="D3017"/>
  <c r="E3017"/>
  <c r="F3017"/>
  <c r="G3017"/>
  <c r="H3017"/>
  <c r="B3018"/>
  <c r="C3018"/>
  <c r="D3018"/>
  <c r="E3018"/>
  <c r="F3018"/>
  <c r="G3018"/>
  <c r="B3019"/>
  <c r="C3019"/>
  <c r="D3019"/>
  <c r="E3019"/>
  <c r="F3019"/>
  <c r="G3019"/>
  <c r="B3020"/>
  <c r="C3020"/>
  <c r="D3020"/>
  <c r="E3020"/>
  <c r="F3020"/>
  <c r="G3020"/>
  <c r="B3021"/>
  <c r="C3021"/>
  <c r="D3021"/>
  <c r="E3021"/>
  <c r="F3021"/>
  <c r="G3021"/>
  <c r="B3022"/>
  <c r="C3022"/>
  <c r="D3022"/>
  <c r="E3022"/>
  <c r="F3022"/>
  <c r="G3022"/>
  <c r="B3023"/>
  <c r="C3023"/>
  <c r="D3023"/>
  <c r="E3023"/>
  <c r="F3023"/>
  <c r="G3023"/>
  <c r="B3024"/>
  <c r="C3024"/>
  <c r="D3024"/>
  <c r="E3024"/>
  <c r="F3024"/>
  <c r="G3024"/>
  <c r="B3025"/>
  <c r="C3025"/>
  <c r="D3025"/>
  <c r="E3025"/>
  <c r="F3025"/>
  <c r="G3025"/>
  <c r="B3026"/>
  <c r="C3026"/>
  <c r="D3026"/>
  <c r="E3026"/>
  <c r="F3026"/>
  <c r="G3026"/>
  <c r="B3027"/>
  <c r="C3027"/>
  <c r="D3027"/>
  <c r="E3027"/>
  <c r="F3027"/>
  <c r="G3027"/>
  <c r="B3028"/>
  <c r="C3028"/>
  <c r="D3028"/>
  <c r="E3028"/>
  <c r="F3028"/>
  <c r="G3028"/>
  <c r="B3029"/>
  <c r="C3029"/>
  <c r="D3029"/>
  <c r="E3029"/>
  <c r="F3029"/>
  <c r="G3029"/>
  <c r="B3030"/>
  <c r="C3030"/>
  <c r="D3030"/>
  <c r="E3030"/>
  <c r="F3030"/>
  <c r="G3030"/>
  <c r="B3031"/>
  <c r="C3031"/>
  <c r="D3031"/>
  <c r="E3031"/>
  <c r="F3031"/>
  <c r="G3031"/>
  <c r="B3032"/>
  <c r="C3032"/>
  <c r="D3032"/>
  <c r="E3032"/>
  <c r="F3032"/>
  <c r="G3032"/>
  <c r="B3033"/>
  <c r="C3033"/>
  <c r="D3033"/>
  <c r="E3033"/>
  <c r="F3033"/>
  <c r="G3033"/>
  <c r="B3034"/>
  <c r="C3034"/>
  <c r="D3034"/>
  <c r="E3034"/>
  <c r="F3034"/>
  <c r="G3034"/>
  <c r="B3035"/>
  <c r="C3035"/>
  <c r="D3035"/>
  <c r="E3035"/>
  <c r="F3035"/>
  <c r="G3035"/>
  <c r="B3036"/>
  <c r="C3036"/>
  <c r="D3036"/>
  <c r="E3036"/>
  <c r="F3036"/>
  <c r="G3036"/>
  <c r="B3037"/>
  <c r="C3037"/>
  <c r="D3037"/>
  <c r="E3037"/>
  <c r="F3037"/>
  <c r="G3037"/>
  <c r="B3038"/>
  <c r="C3038"/>
  <c r="D3038"/>
  <c r="E3038"/>
  <c r="F3038"/>
  <c r="G3038"/>
  <c r="H3038"/>
  <c r="B3039"/>
  <c r="B3040"/>
  <c r="C3040"/>
  <c r="D3040"/>
  <c r="E3040"/>
  <c r="F3040"/>
  <c r="G3040"/>
  <c r="H3040"/>
  <c r="B3041"/>
  <c r="C3041"/>
  <c r="D3041"/>
  <c r="E3041"/>
  <c r="F3041"/>
  <c r="G3041"/>
  <c r="H3041"/>
  <c r="B3042"/>
  <c r="C3042"/>
  <c r="D3042"/>
  <c r="E3042"/>
  <c r="G3042"/>
  <c r="H3042"/>
  <c r="B3043"/>
  <c r="C3043"/>
  <c r="D3043"/>
  <c r="E3043"/>
  <c r="F3043"/>
  <c r="G3043"/>
  <c r="H3043"/>
  <c r="B3044"/>
  <c r="C3044"/>
  <c r="D3044"/>
  <c r="E3044"/>
  <c r="F3044"/>
  <c r="G3044"/>
  <c r="H3044"/>
  <c r="B3045"/>
  <c r="C3045"/>
  <c r="D3045"/>
  <c r="E3045"/>
  <c r="F3045"/>
  <c r="G3045"/>
  <c r="H3045"/>
  <c r="B3046"/>
  <c r="D3046"/>
  <c r="E3046"/>
  <c r="F3046"/>
  <c r="G3046"/>
  <c r="H3046"/>
  <c r="B3047"/>
  <c r="C3047"/>
  <c r="D3047"/>
  <c r="E3047"/>
  <c r="F3047"/>
  <c r="G3047"/>
  <c r="H3047"/>
  <c r="B3048"/>
  <c r="C3048"/>
  <c r="B3049"/>
  <c r="C3049"/>
  <c r="B3050"/>
  <c r="C3050"/>
  <c r="B3051"/>
  <c r="C3051"/>
  <c r="B3052"/>
  <c r="C3052"/>
  <c r="B3053"/>
  <c r="C3053"/>
  <c r="B3054"/>
  <c r="C3054"/>
  <c r="B3055"/>
  <c r="C3055"/>
  <c r="B3056"/>
  <c r="C3056"/>
  <c r="B3057"/>
  <c r="C3057"/>
  <c r="B3058"/>
  <c r="C3058"/>
  <c r="B3059"/>
  <c r="C3059"/>
  <c r="B3060"/>
  <c r="C3060"/>
  <c r="B3061"/>
  <c r="C3061"/>
  <c r="B3062"/>
  <c r="C3062"/>
  <c r="B3063"/>
  <c r="C3063"/>
  <c r="B3064"/>
  <c r="C3064"/>
  <c r="B3065"/>
  <c r="C3065"/>
  <c r="B3066"/>
  <c r="C3066"/>
  <c r="B3067"/>
  <c r="C3067"/>
  <c r="B3068"/>
  <c r="C3068"/>
  <c r="B3069"/>
  <c r="C3069"/>
  <c r="B3070"/>
  <c r="C3070"/>
  <c r="B3071"/>
  <c r="C3071"/>
  <c r="B3072"/>
  <c r="C3072"/>
  <c r="B3100"/>
  <c r="B3102"/>
  <c r="C3102"/>
  <c r="D3102"/>
  <c r="E3102"/>
  <c r="F3102"/>
  <c r="G3102"/>
  <c r="H3102"/>
  <c r="B3103"/>
  <c r="C3103"/>
  <c r="D3103"/>
  <c r="E3103"/>
  <c r="F3103"/>
  <c r="G3103"/>
  <c r="B3104"/>
  <c r="C3104"/>
  <c r="D3104"/>
  <c r="E3104"/>
  <c r="F3104"/>
  <c r="G3104"/>
  <c r="B3105"/>
  <c r="C3105"/>
  <c r="D3105"/>
  <c r="E3105"/>
  <c r="F3105"/>
  <c r="G3105"/>
  <c r="B3106"/>
  <c r="C3106"/>
  <c r="D3106"/>
  <c r="E3106"/>
  <c r="F3106"/>
  <c r="G3106"/>
  <c r="B3107"/>
  <c r="C3107"/>
  <c r="D3107"/>
  <c r="E3107"/>
  <c r="F3107"/>
  <c r="G3107"/>
  <c r="B3108"/>
  <c r="C3108"/>
  <c r="D3108"/>
  <c r="E3108"/>
  <c r="F3108"/>
  <c r="G3108"/>
  <c r="B3109"/>
  <c r="C3109"/>
  <c r="D3109"/>
  <c r="E3109"/>
  <c r="F3109"/>
  <c r="G3109"/>
  <c r="B3110"/>
  <c r="C3110"/>
  <c r="D3110"/>
  <c r="E3110"/>
  <c r="F3110"/>
  <c r="G3110"/>
  <c r="B3111"/>
  <c r="C3111"/>
  <c r="D3111"/>
  <c r="E3111"/>
  <c r="F3111"/>
  <c r="G3111"/>
  <c r="B3112"/>
  <c r="C3112"/>
  <c r="D3112"/>
  <c r="E3112"/>
  <c r="F3112"/>
  <c r="G3112"/>
  <c r="B3113"/>
  <c r="C3113"/>
  <c r="D3113"/>
  <c r="E3113"/>
  <c r="F3113"/>
  <c r="G3113"/>
  <c r="B3114"/>
  <c r="C3114"/>
  <c r="D3114"/>
  <c r="E3114"/>
  <c r="F3114"/>
  <c r="G3114"/>
  <c r="B3115"/>
  <c r="C3115"/>
  <c r="D3115"/>
  <c r="E3115"/>
  <c r="F3115"/>
  <c r="G3115"/>
  <c r="B3116"/>
  <c r="C3116"/>
  <c r="D3116"/>
  <c r="E3116"/>
  <c r="F3116"/>
  <c r="G3116"/>
  <c r="B3117"/>
  <c r="C3117"/>
  <c r="D3117"/>
  <c r="E3117"/>
  <c r="F3117"/>
  <c r="G3117"/>
  <c r="B3118"/>
  <c r="C3118"/>
  <c r="D3118"/>
  <c r="E3118"/>
  <c r="F3118"/>
  <c r="G3118"/>
  <c r="B3119"/>
  <c r="C3119"/>
  <c r="D3119"/>
  <c r="E3119"/>
  <c r="F3119"/>
  <c r="G3119"/>
  <c r="B3120"/>
  <c r="C3120"/>
  <c r="D3120"/>
  <c r="E3120"/>
  <c r="F3120"/>
  <c r="G3120"/>
  <c r="B3121"/>
  <c r="C3121"/>
  <c r="D3121"/>
  <c r="E3121"/>
  <c r="F3121"/>
  <c r="G3121"/>
  <c r="B3122"/>
  <c r="B3123"/>
  <c r="D3123"/>
  <c r="D3135" s="1"/>
  <c r="E3123"/>
  <c r="E3135" s="1"/>
  <c r="F3123"/>
  <c r="F3135" s="1"/>
  <c r="G3123"/>
  <c r="G3135" s="1"/>
  <c r="H3123"/>
  <c r="H3135" s="1"/>
  <c r="B3124"/>
  <c r="C3124"/>
  <c r="D3124"/>
  <c r="E3124"/>
  <c r="F3124"/>
  <c r="G3124"/>
  <c r="H3124"/>
  <c r="B3125"/>
  <c r="C3125"/>
  <c r="E3125"/>
  <c r="B3126"/>
  <c r="C3126"/>
  <c r="E3126"/>
  <c r="B3127"/>
  <c r="C3127"/>
  <c r="E3127"/>
  <c r="B3128"/>
  <c r="C3128"/>
  <c r="E3128"/>
  <c r="F3128"/>
  <c r="B3129"/>
  <c r="C3129"/>
  <c r="E3129"/>
  <c r="F3129"/>
  <c r="B3130"/>
  <c r="C3130"/>
  <c r="E3130"/>
  <c r="B3131"/>
  <c r="C3131"/>
  <c r="E3131"/>
  <c r="B3132"/>
  <c r="C3132"/>
  <c r="E3132"/>
  <c r="B3133"/>
  <c r="C3133"/>
  <c r="E3133"/>
  <c r="B3134"/>
  <c r="C3134"/>
  <c r="D3134"/>
  <c r="E3134"/>
  <c r="F3134"/>
  <c r="G3134"/>
  <c r="H3134"/>
  <c r="B3148"/>
  <c r="C3148"/>
  <c r="D3148"/>
  <c r="E3148"/>
  <c r="F3148"/>
  <c r="G3148"/>
  <c r="H3148"/>
  <c r="B3149"/>
  <c r="C3149"/>
  <c r="D3149"/>
  <c r="E3149"/>
  <c r="F3149"/>
  <c r="G3149"/>
  <c r="B3150"/>
  <c r="C3150"/>
  <c r="D3150"/>
  <c r="E3150"/>
  <c r="F3150"/>
  <c r="G3150"/>
  <c r="B3151"/>
  <c r="C3151"/>
  <c r="D3151"/>
  <c r="E3151"/>
  <c r="G3151"/>
  <c r="B3152"/>
  <c r="C3152"/>
  <c r="D3152"/>
  <c r="E3152"/>
  <c r="G3152"/>
  <c r="B3153"/>
  <c r="C3153"/>
  <c r="D3153"/>
  <c r="E3153"/>
  <c r="F3153"/>
  <c r="G3153"/>
  <c r="H3153"/>
  <c r="B3154"/>
  <c r="C3154"/>
  <c r="D3154"/>
  <c r="E3154"/>
  <c r="F3154"/>
  <c r="G3154"/>
  <c r="H3154"/>
  <c r="B3155"/>
  <c r="D3155"/>
  <c r="B3156"/>
  <c r="D3156"/>
  <c r="B3157"/>
  <c r="D3157"/>
  <c r="E3157"/>
  <c r="H2765"/>
  <c r="F2765"/>
  <c r="H2764"/>
  <c r="F2764"/>
  <c r="H2763"/>
  <c r="F2763"/>
  <c r="H2762"/>
  <c r="F2762"/>
  <c r="H2761"/>
  <c r="F2761"/>
  <c r="H2760"/>
  <c r="F2760"/>
  <c r="H2759"/>
  <c r="F2759"/>
  <c r="H2758"/>
  <c r="F2758"/>
  <c r="H2757"/>
  <c r="F2757"/>
  <c r="H2756"/>
  <c r="F2756"/>
  <c r="H2755"/>
  <c r="F2755"/>
  <c r="H2754"/>
  <c r="F2754"/>
  <c r="H2753"/>
  <c r="F2753"/>
  <c r="H2752"/>
  <c r="F2752"/>
  <c r="H2751"/>
  <c r="F2751"/>
  <c r="H2750"/>
  <c r="F2750"/>
  <c r="H2749"/>
  <c r="F2749"/>
  <c r="H2748"/>
  <c r="F2748"/>
  <c r="H2747"/>
  <c r="F2747"/>
  <c r="F2744"/>
  <c r="F2745"/>
  <c r="F2743"/>
  <c r="E15" i="12"/>
  <c r="H2740" i="13" s="1"/>
  <c r="I2740" s="1"/>
  <c r="H2743"/>
  <c r="H2744" s="1"/>
  <c r="H2745" s="1"/>
  <c r="D2742"/>
  <c r="E2742"/>
  <c r="D2743"/>
  <c r="E2743"/>
  <c r="D2744"/>
  <c r="E2744"/>
  <c r="D2745"/>
  <c r="E2745"/>
  <c r="C2742"/>
  <c r="C2743"/>
  <c r="C2744"/>
  <c r="C2745"/>
  <c r="E2727"/>
  <c r="E2728"/>
  <c r="E2729"/>
  <c r="E2730"/>
  <c r="E2731"/>
  <c r="E2732"/>
  <c r="E2726"/>
  <c r="H2732"/>
  <c r="F2732"/>
  <c r="H2731"/>
  <c r="F2731"/>
  <c r="H2730"/>
  <c r="F2730"/>
  <c r="H2729"/>
  <c r="F2729"/>
  <c r="H2728"/>
  <c r="F2728"/>
  <c r="H2727"/>
  <c r="F2727"/>
  <c r="H2726"/>
  <c r="F2726"/>
  <c r="F2724"/>
  <c r="F2723"/>
  <c r="I2723" s="1"/>
  <c r="C2719"/>
  <c r="F2719" s="1"/>
  <c r="C2720"/>
  <c r="H2720" s="1"/>
  <c r="C2715"/>
  <c r="F2715" s="1"/>
  <c r="C2716"/>
  <c r="H2716" s="1"/>
  <c r="C2717"/>
  <c r="H2717" s="1"/>
  <c r="C2718"/>
  <c r="E2718" s="1"/>
  <c r="C2713"/>
  <c r="H2713" s="1"/>
  <c r="C2714"/>
  <c r="E2714" s="1"/>
  <c r="C2711"/>
  <c r="E2711" s="1"/>
  <c r="C2712"/>
  <c r="H2712" s="1"/>
  <c r="C2710"/>
  <c r="E2710" s="1"/>
  <c r="C2708"/>
  <c r="H2708" s="1"/>
  <c r="C2709"/>
  <c r="H2709" s="1"/>
  <c r="C2706"/>
  <c r="E2706" s="1"/>
  <c r="C2707"/>
  <c r="F2707" s="1"/>
  <c r="C2703"/>
  <c r="F2703" s="1"/>
  <c r="C2704"/>
  <c r="F2704" s="1"/>
  <c r="C2705"/>
  <c r="H2705" s="1"/>
  <c r="C2702"/>
  <c r="F2702" s="1"/>
  <c r="F2686"/>
  <c r="I2686" s="1"/>
  <c r="C2687"/>
  <c r="D2687"/>
  <c r="E2687"/>
  <c r="K2687"/>
  <c r="L2687"/>
  <c r="C2688"/>
  <c r="D2688"/>
  <c r="E2688"/>
  <c r="K2688"/>
  <c r="L2688"/>
  <c r="C2689"/>
  <c r="D2689"/>
  <c r="E2689"/>
  <c r="K2689"/>
  <c r="L2689"/>
  <c r="C2690"/>
  <c r="D2690"/>
  <c r="E2690"/>
  <c r="K2690"/>
  <c r="L2690"/>
  <c r="C2691"/>
  <c r="D2691"/>
  <c r="E2691"/>
  <c r="K2691"/>
  <c r="L2691"/>
  <c r="C2692"/>
  <c r="D2692"/>
  <c r="E2692"/>
  <c r="K2692"/>
  <c r="L2692"/>
  <c r="C2693"/>
  <c r="D2693"/>
  <c r="E2693"/>
  <c r="K2693"/>
  <c r="L2693"/>
  <c r="C2694"/>
  <c r="D2694"/>
  <c r="E2694"/>
  <c r="K2694"/>
  <c r="L2694"/>
  <c r="C2695"/>
  <c r="D2695"/>
  <c r="E2695"/>
  <c r="K2695"/>
  <c r="L2695"/>
  <c r="C2696"/>
  <c r="D2696"/>
  <c r="E2696"/>
  <c r="K2696"/>
  <c r="L2696"/>
  <c r="C2697"/>
  <c r="D2697"/>
  <c r="E2697"/>
  <c r="K2697"/>
  <c r="L2697"/>
  <c r="C2698"/>
  <c r="D2698"/>
  <c r="E2698"/>
  <c r="K2698"/>
  <c r="L2698"/>
  <c r="C2699"/>
  <c r="D2699"/>
  <c r="E2699"/>
  <c r="K2699"/>
  <c r="L2699"/>
  <c r="C2700"/>
  <c r="D2700"/>
  <c r="E2700"/>
  <c r="K2700"/>
  <c r="L2700"/>
  <c r="H2672"/>
  <c r="H2673" s="1"/>
  <c r="H2674" s="1"/>
  <c r="H2675" s="1"/>
  <c r="H2676" s="1"/>
  <c r="H2677" s="1"/>
  <c r="H2678" s="1"/>
  <c r="H2679" s="1"/>
  <c r="H2680" s="1"/>
  <c r="H2681" s="1"/>
  <c r="H2682" s="1"/>
  <c r="H2683" s="1"/>
  <c r="H2684" s="1"/>
  <c r="H2685" s="1"/>
  <c r="H2687" s="1"/>
  <c r="H2688" s="1"/>
  <c r="H2689" s="1"/>
  <c r="H2690" s="1"/>
  <c r="H2691" s="1"/>
  <c r="H2692" s="1"/>
  <c r="H2693" s="1"/>
  <c r="H2694" s="1"/>
  <c r="H2695" s="1"/>
  <c r="H2696" s="1"/>
  <c r="H2697" s="1"/>
  <c r="H2698" s="1"/>
  <c r="H2699" s="1"/>
  <c r="H2700" s="1"/>
  <c r="D2672"/>
  <c r="E2672"/>
  <c r="D2673"/>
  <c r="E2673"/>
  <c r="D2674"/>
  <c r="E2674"/>
  <c r="D2675"/>
  <c r="E2675"/>
  <c r="D2676"/>
  <c r="E2676"/>
  <c r="D2677"/>
  <c r="E2677"/>
  <c r="D2678"/>
  <c r="E2678"/>
  <c r="D2679"/>
  <c r="E2679"/>
  <c r="D2680"/>
  <c r="E2680"/>
  <c r="D2681"/>
  <c r="E2681"/>
  <c r="D2682"/>
  <c r="E2682"/>
  <c r="D2683"/>
  <c r="E2683"/>
  <c r="D2684"/>
  <c r="E2684"/>
  <c r="D2685"/>
  <c r="E2685"/>
  <c r="C2670"/>
  <c r="D2670"/>
  <c r="E2670"/>
  <c r="F2670"/>
  <c r="G2670"/>
  <c r="C2671"/>
  <c r="D2671"/>
  <c r="E2671"/>
  <c r="K2671"/>
  <c r="L2671"/>
  <c r="C2672"/>
  <c r="K2672"/>
  <c r="L2672"/>
  <c r="C2673"/>
  <c r="K2673"/>
  <c r="L2673"/>
  <c r="C2674"/>
  <c r="K2674"/>
  <c r="L2674"/>
  <c r="C2675"/>
  <c r="K2675"/>
  <c r="L2675"/>
  <c r="C2676"/>
  <c r="K2676"/>
  <c r="L2676"/>
  <c r="C2677"/>
  <c r="K2677"/>
  <c r="L2677"/>
  <c r="C2678"/>
  <c r="K2678"/>
  <c r="L2678"/>
  <c r="C2679"/>
  <c r="K2679"/>
  <c r="L2679"/>
  <c r="C2680"/>
  <c r="K2680"/>
  <c r="L2680"/>
  <c r="C2681"/>
  <c r="K2681"/>
  <c r="L2681"/>
  <c r="C2682"/>
  <c r="K2682"/>
  <c r="L2682"/>
  <c r="C2683"/>
  <c r="K2683"/>
  <c r="L2683"/>
  <c r="C2684"/>
  <c r="K2684"/>
  <c r="L2684"/>
  <c r="C2685"/>
  <c r="K2685"/>
  <c r="L2685"/>
  <c r="H2669"/>
  <c r="F2669"/>
  <c r="E2669"/>
  <c r="H2668"/>
  <c r="F2668"/>
  <c r="E2668"/>
  <c r="H2667"/>
  <c r="F2667"/>
  <c r="E2667"/>
  <c r="H2666"/>
  <c r="F2666"/>
  <c r="E2666"/>
  <c r="H2665"/>
  <c r="F2665"/>
  <c r="E2665"/>
  <c r="H2664"/>
  <c r="F2664"/>
  <c r="E2664"/>
  <c r="H2663"/>
  <c r="F2663"/>
  <c r="E2663"/>
  <c r="H2662"/>
  <c r="F2662"/>
  <c r="E2662"/>
  <c r="H2661"/>
  <c r="F2661"/>
  <c r="E2661"/>
  <c r="H2660"/>
  <c r="F2660"/>
  <c r="E2660"/>
  <c r="H2659"/>
  <c r="F2659"/>
  <c r="E2659"/>
  <c r="H2658"/>
  <c r="F2658"/>
  <c r="E2658"/>
  <c r="H2657"/>
  <c r="F2657"/>
  <c r="E2657"/>
  <c r="H2656"/>
  <c r="F2656"/>
  <c r="E2656"/>
  <c r="H2655"/>
  <c r="F2655"/>
  <c r="E2655"/>
  <c r="H2654"/>
  <c r="F2654"/>
  <c r="E2654"/>
  <c r="H2653"/>
  <c r="F2653"/>
  <c r="E2653"/>
  <c r="H2652"/>
  <c r="F2652"/>
  <c r="E2652"/>
  <c r="E2651"/>
  <c r="F2651"/>
  <c r="H2651"/>
  <c r="F2635"/>
  <c r="C2636"/>
  <c r="D2636"/>
  <c r="E2636"/>
  <c r="K2636"/>
  <c r="L2636"/>
  <c r="C2637"/>
  <c r="D2637"/>
  <c r="E2637"/>
  <c r="K2637"/>
  <c r="L2637"/>
  <c r="C2638"/>
  <c r="E2638"/>
  <c r="K2638"/>
  <c r="L2638"/>
  <c r="C2639"/>
  <c r="D2639"/>
  <c r="E2639"/>
  <c r="K2639"/>
  <c r="L2639"/>
  <c r="C2640"/>
  <c r="D2640"/>
  <c r="E2640"/>
  <c r="K2640"/>
  <c r="L2640"/>
  <c r="C2641"/>
  <c r="E2641"/>
  <c r="K2641"/>
  <c r="L2641"/>
  <c r="C2642"/>
  <c r="D2642"/>
  <c r="E2642"/>
  <c r="K2642"/>
  <c r="L2642"/>
  <c r="C2643"/>
  <c r="D2643"/>
  <c r="E2643"/>
  <c r="K2643"/>
  <c r="L2643"/>
  <c r="C2644"/>
  <c r="D2644"/>
  <c r="E2644"/>
  <c r="K2644"/>
  <c r="L2644"/>
  <c r="C2645"/>
  <c r="E2645"/>
  <c r="K2645"/>
  <c r="L2645"/>
  <c r="C2646"/>
  <c r="D2646"/>
  <c r="E2646"/>
  <c r="K2646"/>
  <c r="L2646"/>
  <c r="C2647"/>
  <c r="D2647"/>
  <c r="E2647"/>
  <c r="K2647"/>
  <c r="L2647"/>
  <c r="C2648"/>
  <c r="E2648"/>
  <c r="K2648"/>
  <c r="L2648"/>
  <c r="D2623"/>
  <c r="E2623"/>
  <c r="D2624"/>
  <c r="E2624"/>
  <c r="D2625"/>
  <c r="E2625"/>
  <c r="D2626"/>
  <c r="E2626"/>
  <c r="D2627"/>
  <c r="E2627"/>
  <c r="D2628"/>
  <c r="E2628"/>
  <c r="D2629"/>
  <c r="E2629"/>
  <c r="D2630"/>
  <c r="E2630"/>
  <c r="D2631"/>
  <c r="E2631"/>
  <c r="D2632"/>
  <c r="E2632"/>
  <c r="D2633"/>
  <c r="E2633"/>
  <c r="D2634"/>
  <c r="E2634"/>
  <c r="H2623"/>
  <c r="K2621"/>
  <c r="L2621"/>
  <c r="K2622"/>
  <c r="L2622"/>
  <c r="C2623"/>
  <c r="K2623"/>
  <c r="L2623"/>
  <c r="C2624"/>
  <c r="K2624"/>
  <c r="L2624"/>
  <c r="C2625"/>
  <c r="K2625"/>
  <c r="L2625"/>
  <c r="C2626"/>
  <c r="K2626"/>
  <c r="L2626"/>
  <c r="C2627"/>
  <c r="K2627"/>
  <c r="L2627"/>
  <c r="C2628"/>
  <c r="K2628"/>
  <c r="L2628"/>
  <c r="C2629"/>
  <c r="K2629"/>
  <c r="L2629"/>
  <c r="C2630"/>
  <c r="K2630"/>
  <c r="L2630"/>
  <c r="C2631"/>
  <c r="K2631"/>
  <c r="L2631"/>
  <c r="C2632"/>
  <c r="K2632"/>
  <c r="L2632"/>
  <c r="C2633"/>
  <c r="K2633"/>
  <c r="L2633"/>
  <c r="C2634"/>
  <c r="K2634"/>
  <c r="E2609"/>
  <c r="F2609"/>
  <c r="H2609"/>
  <c r="E2610"/>
  <c r="F2610"/>
  <c r="H2610"/>
  <c r="E2611"/>
  <c r="F2611"/>
  <c r="H2611"/>
  <c r="E2612"/>
  <c r="F2612"/>
  <c r="H2612"/>
  <c r="E2613"/>
  <c r="F2613"/>
  <c r="H2613"/>
  <c r="E2614"/>
  <c r="F2614"/>
  <c r="H2614"/>
  <c r="E2615"/>
  <c r="F2615"/>
  <c r="H2615"/>
  <c r="E2616"/>
  <c r="F2616"/>
  <c r="H2616"/>
  <c r="E2617"/>
  <c r="F2617"/>
  <c r="H2617"/>
  <c r="E2618"/>
  <c r="F2618"/>
  <c r="H2618"/>
  <c r="E2619"/>
  <c r="F2619"/>
  <c r="H2619"/>
  <c r="E2600"/>
  <c r="E2601"/>
  <c r="E2602"/>
  <c r="E2603"/>
  <c r="E2604"/>
  <c r="E2605"/>
  <c r="E2606"/>
  <c r="E2607"/>
  <c r="E2608"/>
  <c r="F2600"/>
  <c r="H2600"/>
  <c r="F2601"/>
  <c r="H2601"/>
  <c r="F2602"/>
  <c r="H2602"/>
  <c r="F2603"/>
  <c r="H2603"/>
  <c r="F2604"/>
  <c r="H2604"/>
  <c r="F2605"/>
  <c r="H2605"/>
  <c r="F2606"/>
  <c r="H2606"/>
  <c r="F2607"/>
  <c r="H2607"/>
  <c r="F2608"/>
  <c r="H2608"/>
  <c r="H2557"/>
  <c r="H2558"/>
  <c r="H2559"/>
  <c r="H2560"/>
  <c r="H2561"/>
  <c r="H2562"/>
  <c r="H2563"/>
  <c r="H2564"/>
  <c r="H2565"/>
  <c r="H2566"/>
  <c r="E2557"/>
  <c r="F2557"/>
  <c r="E2558"/>
  <c r="F2558"/>
  <c r="E2559"/>
  <c r="F2559"/>
  <c r="E2560"/>
  <c r="F2560"/>
  <c r="E2561"/>
  <c r="F2561"/>
  <c r="E2562"/>
  <c r="F2562"/>
  <c r="E2563"/>
  <c r="F2563"/>
  <c r="E2564"/>
  <c r="F2564"/>
  <c r="E2565"/>
  <c r="F2565"/>
  <c r="E2566"/>
  <c r="F2566"/>
  <c r="I2555"/>
  <c r="H2556"/>
  <c r="F2556"/>
  <c r="E2556"/>
  <c r="C2587"/>
  <c r="D2587"/>
  <c r="E2587"/>
  <c r="K2587"/>
  <c r="L2587"/>
  <c r="C2588"/>
  <c r="E2588"/>
  <c r="K2588"/>
  <c r="L2588"/>
  <c r="C2589"/>
  <c r="D2589"/>
  <c r="E2589"/>
  <c r="K2589"/>
  <c r="L2589"/>
  <c r="C2590"/>
  <c r="D2590"/>
  <c r="E2590"/>
  <c r="K2590"/>
  <c r="L2590"/>
  <c r="C2591"/>
  <c r="E2591"/>
  <c r="K2591"/>
  <c r="L2591"/>
  <c r="C2592"/>
  <c r="D2592"/>
  <c r="E2592"/>
  <c r="K2592"/>
  <c r="L2592"/>
  <c r="C2593"/>
  <c r="D2593"/>
  <c r="E2593"/>
  <c r="K2593"/>
  <c r="L2593"/>
  <c r="C2594"/>
  <c r="D2594"/>
  <c r="E2594"/>
  <c r="K2594"/>
  <c r="L2594"/>
  <c r="C2595"/>
  <c r="E2595"/>
  <c r="K2595"/>
  <c r="L2595"/>
  <c r="C2596"/>
  <c r="D2596"/>
  <c r="E2596"/>
  <c r="K2596"/>
  <c r="L2596"/>
  <c r="C2597"/>
  <c r="D2597"/>
  <c r="E2597"/>
  <c r="K2597"/>
  <c r="L2597"/>
  <c r="C2598"/>
  <c r="E2598"/>
  <c r="K2598"/>
  <c r="L2598"/>
  <c r="F2585"/>
  <c r="I2585" s="1"/>
  <c r="D2586"/>
  <c r="E2586"/>
  <c r="K2586"/>
  <c r="L2586"/>
  <c r="C2586"/>
  <c r="F2584"/>
  <c r="D2570"/>
  <c r="E2570"/>
  <c r="D2571"/>
  <c r="E2571"/>
  <c r="D2572"/>
  <c r="E2572"/>
  <c r="D2573"/>
  <c r="E2573"/>
  <c r="D2574"/>
  <c r="E2574"/>
  <c r="D2576"/>
  <c r="E2576"/>
  <c r="D2577"/>
  <c r="E2577"/>
  <c r="D2578"/>
  <c r="E2578"/>
  <c r="D2579"/>
  <c r="E2579"/>
  <c r="D2580"/>
  <c r="E2580"/>
  <c r="D2581"/>
  <c r="E2581"/>
  <c r="D2582"/>
  <c r="E2582"/>
  <c r="D2583"/>
  <c r="E2583"/>
  <c r="H2568"/>
  <c r="I2567"/>
  <c r="K2568"/>
  <c r="L2568"/>
  <c r="K2569"/>
  <c r="L2569"/>
  <c r="C2570"/>
  <c r="K2570"/>
  <c r="L2570"/>
  <c r="C2571"/>
  <c r="K2571"/>
  <c r="L2571"/>
  <c r="C2572"/>
  <c r="K2572"/>
  <c r="L2572"/>
  <c r="C2573"/>
  <c r="K2573"/>
  <c r="L2573"/>
  <c r="C2574"/>
  <c r="K2574"/>
  <c r="L2574"/>
  <c r="K2575"/>
  <c r="L2575"/>
  <c r="C2576"/>
  <c r="K2576"/>
  <c r="L2576"/>
  <c r="C2577"/>
  <c r="K2577"/>
  <c r="L2577"/>
  <c r="C2578"/>
  <c r="K2578"/>
  <c r="L2578"/>
  <c r="C2579"/>
  <c r="K2579"/>
  <c r="L2579"/>
  <c r="C2580"/>
  <c r="K2580"/>
  <c r="L2580"/>
  <c r="C2581"/>
  <c r="K2581"/>
  <c r="L2581"/>
  <c r="C2582"/>
  <c r="K2582"/>
  <c r="L2582"/>
  <c r="C2583"/>
  <c r="K2583"/>
  <c r="F2554"/>
  <c r="F2553"/>
  <c r="F2552"/>
  <c r="I2552" s="1"/>
  <c r="I2550"/>
  <c r="H2551"/>
  <c r="F2551"/>
  <c r="I2549"/>
  <c r="I2548"/>
  <c r="I2547"/>
  <c r="H2546"/>
  <c r="F2546"/>
  <c r="H2544"/>
  <c r="F2544"/>
  <c r="F2542"/>
  <c r="I2545"/>
  <c r="H2542"/>
  <c r="I2527"/>
  <c r="I2528"/>
  <c r="H2512"/>
  <c r="H2513" s="1"/>
  <c r="H2514" s="1"/>
  <c r="H2515" s="1"/>
  <c r="H2516" s="1"/>
  <c r="H2517" s="1"/>
  <c r="H2518" s="1"/>
  <c r="C2511"/>
  <c r="D2511"/>
  <c r="E2511"/>
  <c r="F2511"/>
  <c r="G2511"/>
  <c r="C2512"/>
  <c r="D2512"/>
  <c r="E2512"/>
  <c r="F2512"/>
  <c r="G2512"/>
  <c r="C2513"/>
  <c r="D2513"/>
  <c r="E2513"/>
  <c r="F2513"/>
  <c r="G2513"/>
  <c r="C2514"/>
  <c r="D2514"/>
  <c r="E2514"/>
  <c r="F2514"/>
  <c r="G2514"/>
  <c r="C2515"/>
  <c r="D2515"/>
  <c r="E2515"/>
  <c r="F2515"/>
  <c r="G2515"/>
  <c r="C2516"/>
  <c r="D2516"/>
  <c r="E2516"/>
  <c r="F2516"/>
  <c r="G2516"/>
  <c r="C2517"/>
  <c r="D2517"/>
  <c r="E2517"/>
  <c r="F2517"/>
  <c r="G2517"/>
  <c r="C2518"/>
  <c r="D2518"/>
  <c r="E2518"/>
  <c r="F2518"/>
  <c r="G2518"/>
  <c r="D2503"/>
  <c r="E2503"/>
  <c r="F2503"/>
  <c r="G2503"/>
  <c r="D2504"/>
  <c r="E2504"/>
  <c r="F2504"/>
  <c r="G2504"/>
  <c r="C2505"/>
  <c r="D2505"/>
  <c r="E2505"/>
  <c r="F2505"/>
  <c r="G2505"/>
  <c r="C2301"/>
  <c r="D2301"/>
  <c r="E2301"/>
  <c r="F2301"/>
  <c r="H2301"/>
  <c r="I2244"/>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380"/>
  <c r="H2286"/>
  <c r="H2287"/>
  <c r="H2288"/>
  <c r="H2289"/>
  <c r="H2290"/>
  <c r="H2291"/>
  <c r="H2292"/>
  <c r="H2293"/>
  <c r="H2294"/>
  <c r="H2295"/>
  <c r="H2296"/>
  <c r="H2297"/>
  <c r="H2298"/>
  <c r="H2299"/>
  <c r="H2273"/>
  <c r="H2274"/>
  <c r="H2275"/>
  <c r="H2276"/>
  <c r="H2277"/>
  <c r="H2278"/>
  <c r="H2279"/>
  <c r="H2280"/>
  <c r="H2281"/>
  <c r="H2282"/>
  <c r="H2283"/>
  <c r="H2284"/>
  <c r="H2256"/>
  <c r="H2257"/>
  <c r="H2258"/>
  <c r="H2259"/>
  <c r="H2260"/>
  <c r="H2262"/>
  <c r="H2263"/>
  <c r="H2264"/>
  <c r="H2265"/>
  <c r="H2266"/>
  <c r="H2267"/>
  <c r="H2268"/>
  <c r="H2269"/>
  <c r="H2248"/>
  <c r="H2249"/>
  <c r="H2250"/>
  <c r="H2251"/>
  <c r="F2248"/>
  <c r="F2249"/>
  <c r="F2250"/>
  <c r="F2251"/>
  <c r="F2252"/>
  <c r="F2253"/>
  <c r="F2256"/>
  <c r="F2257"/>
  <c r="F2258"/>
  <c r="F2259"/>
  <c r="F2260"/>
  <c r="F2262"/>
  <c r="F2263"/>
  <c r="F2264"/>
  <c r="F2265"/>
  <c r="F2266"/>
  <c r="F2267"/>
  <c r="F2268"/>
  <c r="F2270"/>
  <c r="F2273"/>
  <c r="F2274"/>
  <c r="F2275"/>
  <c r="F2276"/>
  <c r="F2277"/>
  <c r="F2278"/>
  <c r="F2279"/>
  <c r="F2280"/>
  <c r="F2281"/>
  <c r="F2282"/>
  <c r="F2283"/>
  <c r="F2285"/>
  <c r="F2286"/>
  <c r="F2287"/>
  <c r="F2288"/>
  <c r="F2289"/>
  <c r="F2290"/>
  <c r="F2291"/>
  <c r="F2292"/>
  <c r="F2293"/>
  <c r="F2294"/>
  <c r="F2295"/>
  <c r="F2296"/>
  <c r="F2297"/>
  <c r="F2298"/>
  <c r="F2299"/>
  <c r="F2247"/>
  <c r="C2246"/>
  <c r="D2246"/>
  <c r="E2246"/>
  <c r="F2246"/>
  <c r="G2246"/>
  <c r="H2246"/>
  <c r="C2247"/>
  <c r="D2247"/>
  <c r="E2247"/>
  <c r="C2248"/>
  <c r="D2248"/>
  <c r="E2248"/>
  <c r="C2249"/>
  <c r="D2249"/>
  <c r="E2249"/>
  <c r="C2250"/>
  <c r="D2250"/>
  <c r="E2250"/>
  <c r="C2251"/>
  <c r="D2251"/>
  <c r="E2251"/>
  <c r="C2252"/>
  <c r="D2252"/>
  <c r="E2252"/>
  <c r="H2252"/>
  <c r="C2253"/>
  <c r="D2253"/>
  <c r="E2253"/>
  <c r="H2253"/>
  <c r="C2256"/>
  <c r="D2256"/>
  <c r="E2256"/>
  <c r="C2257"/>
  <c r="D2257"/>
  <c r="E2257"/>
  <c r="C2258"/>
  <c r="D2258"/>
  <c r="E2258"/>
  <c r="C2259"/>
  <c r="D2259"/>
  <c r="E2259"/>
  <c r="C2260"/>
  <c r="D2260"/>
  <c r="E2260"/>
  <c r="C2262"/>
  <c r="D2262"/>
  <c r="E2262"/>
  <c r="C2263"/>
  <c r="D2263"/>
  <c r="E2263"/>
  <c r="C2264"/>
  <c r="D2264"/>
  <c r="E2264"/>
  <c r="C2265"/>
  <c r="D2265"/>
  <c r="E2265"/>
  <c r="C2266"/>
  <c r="D2266"/>
  <c r="E2266"/>
  <c r="C2267"/>
  <c r="D2267"/>
  <c r="E2267"/>
  <c r="C2268"/>
  <c r="D2268"/>
  <c r="E2268"/>
  <c r="C2269"/>
  <c r="D2269"/>
  <c r="E2269"/>
  <c r="C2270"/>
  <c r="D2270"/>
  <c r="E2270"/>
  <c r="H2270"/>
  <c r="C2273"/>
  <c r="D2273"/>
  <c r="E2273"/>
  <c r="C2274"/>
  <c r="D2274"/>
  <c r="E2274"/>
  <c r="C2275"/>
  <c r="D2275"/>
  <c r="E2275"/>
  <c r="C2276"/>
  <c r="D2276"/>
  <c r="E2276"/>
  <c r="C2277"/>
  <c r="D2277"/>
  <c r="E2277"/>
  <c r="C2278"/>
  <c r="D2278"/>
  <c r="E2278"/>
  <c r="C2279"/>
  <c r="D2279"/>
  <c r="E2279"/>
  <c r="C2280"/>
  <c r="D2280"/>
  <c r="E2280"/>
  <c r="C2281"/>
  <c r="D2281"/>
  <c r="E2281"/>
  <c r="C2282"/>
  <c r="D2282"/>
  <c r="E2282"/>
  <c r="C2283"/>
  <c r="D2283"/>
  <c r="E2283"/>
  <c r="C2284"/>
  <c r="D2284"/>
  <c r="E2284"/>
  <c r="C2285"/>
  <c r="D2285"/>
  <c r="E2285"/>
  <c r="H2285"/>
  <c r="C2286"/>
  <c r="D2286"/>
  <c r="E2286"/>
  <c r="C2287"/>
  <c r="D2287"/>
  <c r="E2287"/>
  <c r="C2288"/>
  <c r="D2288"/>
  <c r="E2288"/>
  <c r="C2289"/>
  <c r="D2289"/>
  <c r="E2289"/>
  <c r="C2290"/>
  <c r="D2290"/>
  <c r="E2290"/>
  <c r="C2291"/>
  <c r="D2291"/>
  <c r="E2291"/>
  <c r="C2292"/>
  <c r="D2292"/>
  <c r="E2292"/>
  <c r="C2293"/>
  <c r="D2293"/>
  <c r="E2293"/>
  <c r="C2294"/>
  <c r="D2294"/>
  <c r="E2294"/>
  <c r="C2295"/>
  <c r="D2295"/>
  <c r="E2295"/>
  <c r="C2296"/>
  <c r="D2296"/>
  <c r="E2296"/>
  <c r="C2297"/>
  <c r="D2297"/>
  <c r="E2297"/>
  <c r="C2298"/>
  <c r="D2298"/>
  <c r="E2298"/>
  <c r="C2299"/>
  <c r="D2299"/>
  <c r="E2299"/>
  <c r="I2241"/>
  <c r="I2239"/>
  <c r="I2237"/>
  <c r="I2242"/>
  <c r="I2240"/>
  <c r="I2238"/>
  <c r="I2194"/>
  <c r="I2236"/>
  <c r="I2235"/>
  <c r="I2234"/>
  <c r="I2233"/>
  <c r="I2232"/>
  <c r="I2193"/>
  <c r="I2192"/>
  <c r="G2230"/>
  <c r="I2230" s="1"/>
  <c r="I2229"/>
  <c r="I2228"/>
  <c r="I2227"/>
  <c r="I2226"/>
  <c r="I2225"/>
  <c r="I2190"/>
  <c r="I2224"/>
  <c r="I2223"/>
  <c r="I2222"/>
  <c r="I2221"/>
  <c r="I2220"/>
  <c r="I2217"/>
  <c r="G2216"/>
  <c r="I2216" s="1"/>
  <c r="I2215"/>
  <c r="I2214"/>
  <c r="I2212"/>
  <c r="I2213"/>
  <c r="I2211"/>
  <c r="I2210"/>
  <c r="I2207"/>
  <c r="I2205"/>
  <c r="I2209"/>
  <c r="I2208"/>
  <c r="I2206"/>
  <c r="I2204"/>
  <c r="I2182"/>
  <c r="I2181"/>
  <c r="I2180"/>
  <c r="I2179"/>
  <c r="F2111"/>
  <c r="I2111" s="1"/>
  <c r="I2105"/>
  <c r="I2104"/>
  <c r="I2102"/>
  <c r="I2103"/>
  <c r="I2100"/>
  <c r="I2099"/>
  <c r="C2091"/>
  <c r="F1996"/>
  <c r="H1996"/>
  <c r="F1997"/>
  <c r="H1997"/>
  <c r="F1998"/>
  <c r="H1998"/>
  <c r="F1999"/>
  <c r="H1999"/>
  <c r="F2000"/>
  <c r="H2000"/>
  <c r="H1995"/>
  <c r="F1995"/>
  <c r="H1958"/>
  <c r="H1959"/>
  <c r="H1960"/>
  <c r="H1961"/>
  <c r="H1962"/>
  <c r="H1963"/>
  <c r="H1964"/>
  <c r="H1965"/>
  <c r="H1966"/>
  <c r="H1967"/>
  <c r="H1968"/>
  <c r="H1969"/>
  <c r="H1951"/>
  <c r="H1970"/>
  <c r="H1957"/>
  <c r="H1942"/>
  <c r="H1943"/>
  <c r="H1944"/>
  <c r="H1945"/>
  <c r="H1946"/>
  <c r="H1947"/>
  <c r="H1948"/>
  <c r="H1949"/>
  <c r="H1972"/>
  <c r="H1973"/>
  <c r="H1974"/>
  <c r="H1975"/>
  <c r="H1976"/>
  <c r="H1977"/>
  <c r="H1941"/>
  <c r="I2503" l="1"/>
  <c r="I2504"/>
  <c r="H2346"/>
  <c r="I2345"/>
  <c r="H42" i="99"/>
  <c r="I42"/>
  <c r="F2575" i="13"/>
  <c r="F2569"/>
  <c r="H2569"/>
  <c r="H2570" s="1"/>
  <c r="H2571" s="1"/>
  <c r="H2572" s="1"/>
  <c r="H2573" s="1"/>
  <c r="H2574" s="1"/>
  <c r="H2575" s="1"/>
  <c r="H2576" s="1"/>
  <c r="F2622"/>
  <c r="I2622" s="1"/>
  <c r="F2568"/>
  <c r="I2568" s="1"/>
  <c r="F2621"/>
  <c r="I2621" s="1"/>
  <c r="H2624"/>
  <c r="H2625" s="1"/>
  <c r="H2626" s="1"/>
  <c r="G91" i="99"/>
  <c r="H91"/>
  <c r="G79"/>
  <c r="H79"/>
  <c r="G83"/>
  <c r="H83"/>
  <c r="G21"/>
  <c r="H21"/>
  <c r="G90"/>
  <c r="H90"/>
  <c r="G69"/>
  <c r="H69"/>
  <c r="G53"/>
  <c r="H53"/>
  <c r="G49"/>
  <c r="H49"/>
  <c r="G40"/>
  <c r="H40"/>
  <c r="G24"/>
  <c r="H24"/>
  <c r="G20"/>
  <c r="H20"/>
  <c r="G7"/>
  <c r="H7"/>
  <c r="G77"/>
  <c r="H77"/>
  <c r="G68"/>
  <c r="H68"/>
  <c r="G56"/>
  <c r="H56"/>
  <c r="G52"/>
  <c r="H52"/>
  <c r="G48"/>
  <c r="H48"/>
  <c r="G39"/>
  <c r="H39"/>
  <c r="G27"/>
  <c r="H27"/>
  <c r="G23"/>
  <c r="H23"/>
  <c r="G19"/>
  <c r="H19"/>
  <c r="G87"/>
  <c r="H87"/>
  <c r="G75"/>
  <c r="H75"/>
  <c r="G50"/>
  <c r="H50"/>
  <c r="G41"/>
  <c r="H41"/>
  <c r="N101"/>
  <c r="H101"/>
  <c r="G88"/>
  <c r="H88"/>
  <c r="G76"/>
  <c r="H76"/>
  <c r="G67"/>
  <c r="H67"/>
  <c r="G63"/>
  <c r="H63"/>
  <c r="G38"/>
  <c r="H38"/>
  <c r="G34"/>
  <c r="H34"/>
  <c r="G6"/>
  <c r="H6"/>
  <c r="M87"/>
  <c r="Q87" s="1"/>
  <c r="M79"/>
  <c r="Q79" s="1"/>
  <c r="N49"/>
  <c r="N20"/>
  <c r="H99"/>
  <c r="G99"/>
  <c r="N91"/>
  <c r="N83"/>
  <c r="Q75"/>
  <c r="M90"/>
  <c r="Q90" s="1"/>
  <c r="H73"/>
  <c r="G73"/>
  <c r="M69"/>
  <c r="Q69" s="1"/>
  <c r="N76"/>
  <c r="N46"/>
  <c r="G46"/>
  <c r="M38"/>
  <c r="Q38" s="1"/>
  <c r="M17"/>
  <c r="G17"/>
  <c r="M5038" i="13"/>
  <c r="J5037"/>
  <c r="I5036" s="1"/>
  <c r="I5037" s="1"/>
  <c r="H5038" s="1"/>
  <c r="O5038" s="1"/>
  <c r="M5047"/>
  <c r="AF67" i="100"/>
  <c r="AM67" s="1"/>
  <c r="I3493" i="13"/>
  <c r="I2864"/>
  <c r="I2863"/>
  <c r="M34" i="99"/>
  <c r="Q34" s="1"/>
  <c r="M91"/>
  <c r="Q91" s="1"/>
  <c r="M88"/>
  <c r="Q88" s="1"/>
  <c r="N69"/>
  <c r="M83"/>
  <c r="Q83" s="1"/>
  <c r="M99"/>
  <c r="M46"/>
  <c r="M68"/>
  <c r="Q68" s="1"/>
  <c r="N68"/>
  <c r="N56"/>
  <c r="M56"/>
  <c r="Q56" s="1"/>
  <c r="Q52"/>
  <c r="N52"/>
  <c r="Q48"/>
  <c r="N24"/>
  <c r="M24"/>
  <c r="Q24" s="1"/>
  <c r="M67"/>
  <c r="Q67" s="1"/>
  <c r="N67"/>
  <c r="M63"/>
  <c r="Q63" s="1"/>
  <c r="N63"/>
  <c r="N39"/>
  <c r="M39"/>
  <c r="Q39" s="1"/>
  <c r="M27"/>
  <c r="Q27" s="1"/>
  <c r="N27"/>
  <c r="Q23"/>
  <c r="Q19"/>
  <c r="J11"/>
  <c r="N73"/>
  <c r="N90"/>
  <c r="N87"/>
  <c r="N79"/>
  <c r="M73"/>
  <c r="N41"/>
  <c r="N38"/>
  <c r="N17"/>
  <c r="N53"/>
  <c r="Q41"/>
  <c r="N99"/>
  <c r="N88"/>
  <c r="M53"/>
  <c r="Q53" s="1"/>
  <c r="N34"/>
  <c r="J94"/>
  <c r="J70"/>
  <c r="J54"/>
  <c r="J42"/>
  <c r="J8"/>
  <c r="J57"/>
  <c r="J93"/>
  <c r="H46"/>
  <c r="J10"/>
  <c r="J64"/>
  <c r="J28"/>
  <c r="J25"/>
  <c r="H17"/>
  <c r="J9"/>
  <c r="J96"/>
  <c r="J92"/>
  <c r="J84"/>
  <c r="J80"/>
  <c r="J35"/>
  <c r="I3074" i="13"/>
  <c r="I3135"/>
  <c r="I3136"/>
  <c r="I3141"/>
  <c r="I3075"/>
  <c r="I3087"/>
  <c r="I3083"/>
  <c r="I3073"/>
  <c r="I2989"/>
  <c r="I2988"/>
  <c r="I3001"/>
  <c r="I2997"/>
  <c r="I2907"/>
  <c r="I2906"/>
  <c r="I2919"/>
  <c r="I2915"/>
  <c r="I2825"/>
  <c r="I2821"/>
  <c r="I2811"/>
  <c r="I2812"/>
  <c r="I2950"/>
  <c r="I2934"/>
  <c r="I2860"/>
  <c r="I2856"/>
  <c r="I2852"/>
  <c r="I2848"/>
  <c r="I2844"/>
  <c r="I2840"/>
  <c r="I2794"/>
  <c r="I2790"/>
  <c r="I3116"/>
  <c r="I3028"/>
  <c r="I3149"/>
  <c r="I3148"/>
  <c r="I2960"/>
  <c r="I2948"/>
  <c r="I2944"/>
  <c r="I2940"/>
  <c r="I2936"/>
  <c r="I2891"/>
  <c r="I2949"/>
  <c r="I2945"/>
  <c r="I2941"/>
  <c r="I2937"/>
  <c r="I2887"/>
  <c r="I2879"/>
  <c r="I2877"/>
  <c r="I2861"/>
  <c r="I2857"/>
  <c r="I2853"/>
  <c r="I2849"/>
  <c r="I2845"/>
  <c r="I2780"/>
  <c r="I3123"/>
  <c r="I3059"/>
  <c r="I3157"/>
  <c r="I3156"/>
  <c r="I3155"/>
  <c r="I2946"/>
  <c r="I2942"/>
  <c r="I2938"/>
  <c r="I2933"/>
  <c r="I2867"/>
  <c r="I2862"/>
  <c r="I2858"/>
  <c r="I2854"/>
  <c r="I2850"/>
  <c r="I2846"/>
  <c r="I2842"/>
  <c r="I2841"/>
  <c r="I3124"/>
  <c r="I3120"/>
  <c r="I3119"/>
  <c r="I3118"/>
  <c r="I3115"/>
  <c r="I3114"/>
  <c r="I3112"/>
  <c r="I3111"/>
  <c r="I3110"/>
  <c r="I3108"/>
  <c r="I3107"/>
  <c r="I3106"/>
  <c r="I3104"/>
  <c r="I3103"/>
  <c r="I3102"/>
  <c r="I2954"/>
  <c r="I2953"/>
  <c r="I2952"/>
  <c r="I2874"/>
  <c r="I2873"/>
  <c r="I2869"/>
  <c r="I3055"/>
  <c r="I3129"/>
  <c r="I3121"/>
  <c r="I3117"/>
  <c r="I3113"/>
  <c r="I2935"/>
  <c r="I3037"/>
  <c r="I3036"/>
  <c r="I3035"/>
  <c r="I3034"/>
  <c r="I3033"/>
  <c r="I3032"/>
  <c r="I3031"/>
  <c r="I3030"/>
  <c r="I3029"/>
  <c r="I3027"/>
  <c r="I3026"/>
  <c r="I3025"/>
  <c r="I3024"/>
  <c r="I3023"/>
  <c r="I3047"/>
  <c r="I3046"/>
  <c r="I3044"/>
  <c r="I3043"/>
  <c r="I3041"/>
  <c r="I2951"/>
  <c r="I2947"/>
  <c r="I3022"/>
  <c r="I3021"/>
  <c r="I3020"/>
  <c r="I3019"/>
  <c r="I3018"/>
  <c r="I3017"/>
  <c r="I3016"/>
  <c r="I3015"/>
  <c r="I2987"/>
  <c r="I2973"/>
  <c r="I2969"/>
  <c r="I2961"/>
  <c r="I2958"/>
  <c r="I2956"/>
  <c r="I2943"/>
  <c r="I2939"/>
  <c r="I2859"/>
  <c r="I2843"/>
  <c r="I2855"/>
  <c r="I2781"/>
  <c r="I2851"/>
  <c r="I2847"/>
  <c r="I2809"/>
  <c r="I3150"/>
  <c r="I3105"/>
  <c r="I3109"/>
  <c r="I2878"/>
  <c r="I2727"/>
  <c r="I2744"/>
  <c r="I2742"/>
  <c r="I2745"/>
  <c r="I2743"/>
  <c r="I2732"/>
  <c r="I2731"/>
  <c r="I2726"/>
  <c r="I2729"/>
  <c r="I2730"/>
  <c r="I2728"/>
  <c r="E2717"/>
  <c r="E2704"/>
  <c r="E2708"/>
  <c r="H2711"/>
  <c r="H2704"/>
  <c r="E2709"/>
  <c r="F2714"/>
  <c r="F2717"/>
  <c r="E2705"/>
  <c r="F2709"/>
  <c r="H2714"/>
  <c r="F2718"/>
  <c r="H2703"/>
  <c r="F2706"/>
  <c r="F2711"/>
  <c r="E2716"/>
  <c r="H2719"/>
  <c r="F2710"/>
  <c r="H2715"/>
  <c r="E2702"/>
  <c r="F2705"/>
  <c r="H2706"/>
  <c r="H2710"/>
  <c r="E2712"/>
  <c r="F2713"/>
  <c r="H2718"/>
  <c r="E2720"/>
  <c r="H2702"/>
  <c r="H2707"/>
  <c r="E2713"/>
  <c r="E2703"/>
  <c r="E2707"/>
  <c r="F2708"/>
  <c r="F2712"/>
  <c r="E2715"/>
  <c r="F2716"/>
  <c r="E2719"/>
  <c r="F2720"/>
  <c r="F2681"/>
  <c r="F2677"/>
  <c r="F2673"/>
  <c r="F2641"/>
  <c r="F2640"/>
  <c r="F2691"/>
  <c r="F2687"/>
  <c r="I2687" s="1"/>
  <c r="F2685"/>
  <c r="F2699"/>
  <c r="F2697"/>
  <c r="F2694"/>
  <c r="F2689"/>
  <c r="I2689" s="1"/>
  <c r="F2643"/>
  <c r="F2696"/>
  <c r="F2690"/>
  <c r="I2690" s="1"/>
  <c r="F2682"/>
  <c r="F2678"/>
  <c r="F2674"/>
  <c r="F2698"/>
  <c r="F2695"/>
  <c r="F2693"/>
  <c r="F2646"/>
  <c r="F2645"/>
  <c r="F2639"/>
  <c r="F2684"/>
  <c r="F2683"/>
  <c r="F2680"/>
  <c r="F2679"/>
  <c r="F2676"/>
  <c r="F2675"/>
  <c r="F2672"/>
  <c r="F2671"/>
  <c r="I2671" s="1"/>
  <c r="F2700"/>
  <c r="F2692"/>
  <c r="F2688"/>
  <c r="I2688" s="1"/>
  <c r="F2638"/>
  <c r="F2637"/>
  <c r="I2654"/>
  <c r="I2658"/>
  <c r="I2662"/>
  <c r="I2666"/>
  <c r="F2647"/>
  <c r="F2636"/>
  <c r="I2669"/>
  <c r="F2644"/>
  <c r="F2648"/>
  <c r="F2642"/>
  <c r="F2571"/>
  <c r="I2653"/>
  <c r="I2657"/>
  <c r="I2661"/>
  <c r="I2665"/>
  <c r="I2652"/>
  <c r="I2656"/>
  <c r="I2660"/>
  <c r="I2664"/>
  <c r="I2668"/>
  <c r="I2655"/>
  <c r="I2659"/>
  <c r="I2663"/>
  <c r="I2667"/>
  <c r="I2651"/>
  <c r="F2632"/>
  <c r="F2628"/>
  <c r="F2624"/>
  <c r="I2612"/>
  <c r="I2558"/>
  <c r="I2605"/>
  <c r="I2608"/>
  <c r="I2600"/>
  <c r="I2616"/>
  <c r="I2606"/>
  <c r="I2601"/>
  <c r="I2617"/>
  <c r="I2613"/>
  <c r="I2609"/>
  <c r="F2633"/>
  <c r="F2629"/>
  <c r="F2625"/>
  <c r="I2557"/>
  <c r="I2618"/>
  <c r="I2614"/>
  <c r="I2610"/>
  <c r="F2630"/>
  <c r="F2626"/>
  <c r="I2602"/>
  <c r="I2619"/>
  <c r="I2615"/>
  <c r="I2611"/>
  <c r="F2631"/>
  <c r="F2627"/>
  <c r="F2623"/>
  <c r="I2623" s="1"/>
  <c r="I2607"/>
  <c r="L2634"/>
  <c r="F2634" s="1"/>
  <c r="I2604"/>
  <c r="I2556"/>
  <c r="I2603"/>
  <c r="I2565"/>
  <c r="I2563"/>
  <c r="I2559"/>
  <c r="I2561"/>
  <c r="I2566"/>
  <c r="I2562"/>
  <c r="I2564"/>
  <c r="I2560"/>
  <c r="F2587"/>
  <c r="F2593"/>
  <c r="F2580"/>
  <c r="F2576"/>
  <c r="F2572"/>
  <c r="F2596"/>
  <c r="F2592"/>
  <c r="F2581"/>
  <c r="F2577"/>
  <c r="F2573"/>
  <c r="F2579"/>
  <c r="F2597"/>
  <c r="F2594"/>
  <c r="F2582"/>
  <c r="F2578"/>
  <c r="F2574"/>
  <c r="F2570"/>
  <c r="F2586"/>
  <c r="F2590"/>
  <c r="I2546"/>
  <c r="F2589"/>
  <c r="L2583"/>
  <c r="F2583" s="1"/>
  <c r="I2551"/>
  <c r="F2598"/>
  <c r="F2595"/>
  <c r="F2591"/>
  <c r="F2588"/>
  <c r="I2544"/>
  <c r="I2512"/>
  <c r="I2518"/>
  <c r="I2514"/>
  <c r="I2517"/>
  <c r="I2513"/>
  <c r="I2516"/>
  <c r="I2515"/>
  <c r="I2505"/>
  <c r="J2448"/>
  <c r="I2301"/>
  <c r="I2268"/>
  <c r="I2288"/>
  <c r="I2248"/>
  <c r="I2247"/>
  <c r="I2286"/>
  <c r="I2296"/>
  <c r="I2270"/>
  <c r="I2274"/>
  <c r="I2264"/>
  <c r="I2280"/>
  <c r="I2276"/>
  <c r="I2258"/>
  <c r="I2290"/>
  <c r="I2289"/>
  <c r="I2279"/>
  <c r="I2256"/>
  <c r="I2272"/>
  <c r="I2292"/>
  <c r="I2273"/>
  <c r="I2253"/>
  <c r="I2252"/>
  <c r="I2249"/>
  <c r="I2298"/>
  <c r="I2262"/>
  <c r="I2260"/>
  <c r="I2285"/>
  <c r="I2281"/>
  <c r="I2277"/>
  <c r="F2269"/>
  <c r="I2295"/>
  <c r="I2294"/>
  <c r="I2266"/>
  <c r="I2250"/>
  <c r="I2297"/>
  <c r="I2293"/>
  <c r="I2263"/>
  <c r="I2246"/>
  <c r="F2284"/>
  <c r="I2284" s="1"/>
  <c r="I2282"/>
  <c r="I2278"/>
  <c r="I2269"/>
  <c r="I2265"/>
  <c r="I2257"/>
  <c r="I2291"/>
  <c r="I2259"/>
  <c r="I2287"/>
  <c r="I2271"/>
  <c r="I2275"/>
  <c r="I2299"/>
  <c r="I2283"/>
  <c r="I2267"/>
  <c r="I2251"/>
  <c r="H2347" l="1"/>
  <c r="I2346"/>
  <c r="I2624"/>
  <c r="I2625"/>
  <c r="I2569"/>
  <c r="I2575"/>
  <c r="H2577"/>
  <c r="H2578" s="1"/>
  <c r="H2579" s="1"/>
  <c r="H2580" s="1"/>
  <c r="H2581" s="1"/>
  <c r="H2582" s="1"/>
  <c r="H2583" s="1"/>
  <c r="H2584" s="1"/>
  <c r="I2576"/>
  <c r="Q105" i="99"/>
  <c r="C117" s="1"/>
  <c r="E117" s="1"/>
  <c r="I2719" i="13"/>
  <c r="N105" i="99"/>
  <c r="M105"/>
  <c r="G105"/>
  <c r="C113" s="1"/>
  <c r="E113" s="1"/>
  <c r="I105"/>
  <c r="C115" s="1"/>
  <c r="E115" s="1"/>
  <c r="J105"/>
  <c r="H105"/>
  <c r="C114" s="1"/>
  <c r="E114" s="1"/>
  <c r="I2705" i="13"/>
  <c r="I2709"/>
  <c r="I2714"/>
  <c r="I2708"/>
  <c r="I2717"/>
  <c r="I2703"/>
  <c r="I2718"/>
  <c r="I2704"/>
  <c r="I2711"/>
  <c r="I2716"/>
  <c r="I2706"/>
  <c r="I2715"/>
  <c r="I2710"/>
  <c r="I2702"/>
  <c r="I2720"/>
  <c r="I2712"/>
  <c r="I2707"/>
  <c r="I2713"/>
  <c r="I2691"/>
  <c r="H2627"/>
  <c r="I2626"/>
  <c r="K1942"/>
  <c r="L1942"/>
  <c r="K1943"/>
  <c r="L1943"/>
  <c r="K1944"/>
  <c r="L1944"/>
  <c r="K1945"/>
  <c r="L1945"/>
  <c r="K1946"/>
  <c r="L1946"/>
  <c r="K1947"/>
  <c r="L1947"/>
  <c r="K1948"/>
  <c r="L1948"/>
  <c r="K1949"/>
  <c r="L1949"/>
  <c r="K1972"/>
  <c r="L1972"/>
  <c r="K1973"/>
  <c r="L1973"/>
  <c r="K1974"/>
  <c r="L1974"/>
  <c r="K1975"/>
  <c r="L1975"/>
  <c r="K1976"/>
  <c r="L1976"/>
  <c r="K1977"/>
  <c r="L1977"/>
  <c r="L1941"/>
  <c r="K1941"/>
  <c r="E1832"/>
  <c r="I1832" s="1"/>
  <c r="E1833"/>
  <c r="I1833" s="1"/>
  <c r="E1834"/>
  <c r="I1834" s="1"/>
  <c r="E1836"/>
  <c r="I1836" s="1"/>
  <c r="E1838"/>
  <c r="I1838" s="1"/>
  <c r="E1839"/>
  <c r="I1839" s="1"/>
  <c r="E1831"/>
  <c r="I1831" s="1"/>
  <c r="L1837"/>
  <c r="E1837" s="1"/>
  <c r="I1837" s="1"/>
  <c r="L1835"/>
  <c r="E1835" s="1"/>
  <c r="I1835" s="1"/>
  <c r="E1819"/>
  <c r="I1819" s="1"/>
  <c r="E1820"/>
  <c r="I1820" s="1"/>
  <c r="E1821"/>
  <c r="I1821" s="1"/>
  <c r="E1822"/>
  <c r="I1822" s="1"/>
  <c r="E1823"/>
  <c r="I1823" s="1"/>
  <c r="E1825"/>
  <c r="I1825" s="1"/>
  <c r="E1818"/>
  <c r="I1818" s="1"/>
  <c r="L1824"/>
  <c r="E1824" s="1"/>
  <c r="I1824" s="1"/>
  <c r="E1806"/>
  <c r="I1806" s="1"/>
  <c r="E1807"/>
  <c r="I1807" s="1"/>
  <c r="E1808"/>
  <c r="I1808" s="1"/>
  <c r="E1809"/>
  <c r="I1809" s="1"/>
  <c r="E1810"/>
  <c r="I1810" s="1"/>
  <c r="E1811"/>
  <c r="I1811" s="1"/>
  <c r="E1812"/>
  <c r="I1812" s="1"/>
  <c r="E1805"/>
  <c r="I1805" s="1"/>
  <c r="I1929"/>
  <c r="F1925"/>
  <c r="I1925" s="1"/>
  <c r="I1928"/>
  <c r="F1927"/>
  <c r="I1927" s="1"/>
  <c r="I1926"/>
  <c r="I1924"/>
  <c r="I1923"/>
  <c r="I1922"/>
  <c r="I1921"/>
  <c r="I1900"/>
  <c r="I1912"/>
  <c r="I1916"/>
  <c r="F1915"/>
  <c r="I1915" s="1"/>
  <c r="I1914"/>
  <c r="I1913"/>
  <c r="I1911"/>
  <c r="I1910"/>
  <c r="I1909"/>
  <c r="I1904"/>
  <c r="I1903"/>
  <c r="I1902"/>
  <c r="I1901"/>
  <c r="I1899"/>
  <c r="I1898"/>
  <c r="F1880"/>
  <c r="I1880" s="1"/>
  <c r="J1881" s="1"/>
  <c r="J1882" s="1"/>
  <c r="C1879"/>
  <c r="P1864"/>
  <c r="N1864"/>
  <c r="M1864"/>
  <c r="J1864"/>
  <c r="I1861"/>
  <c r="I1860"/>
  <c r="I1859"/>
  <c r="C1858"/>
  <c r="P1857"/>
  <c r="N1857"/>
  <c r="M1857"/>
  <c r="J1857"/>
  <c r="I1854"/>
  <c r="I1853"/>
  <c r="I1852"/>
  <c r="C1851"/>
  <c r="P1871"/>
  <c r="N1871"/>
  <c r="M1871"/>
  <c r="J1871"/>
  <c r="I1868"/>
  <c r="I1867"/>
  <c r="I1866"/>
  <c r="C1865"/>
  <c r="P1878"/>
  <c r="N1878"/>
  <c r="M1878"/>
  <c r="J1878"/>
  <c r="I1875"/>
  <c r="I1874"/>
  <c r="I1873"/>
  <c r="C1872"/>
  <c r="C1817"/>
  <c r="G1103"/>
  <c r="G1104"/>
  <c r="G1106"/>
  <c r="G1107"/>
  <c r="G1108"/>
  <c r="G1110"/>
  <c r="G1111"/>
  <c r="G1112"/>
  <c r="G1114"/>
  <c r="G1115"/>
  <c r="G1117"/>
  <c r="G1118"/>
  <c r="G1119"/>
  <c r="G1121"/>
  <c r="G1122"/>
  <c r="G1123"/>
  <c r="G1124"/>
  <c r="G1125"/>
  <c r="D1100"/>
  <c r="D4475" s="1"/>
  <c r="E1100"/>
  <c r="E4475" s="1"/>
  <c r="F1100"/>
  <c r="F4475" s="1"/>
  <c r="G1100"/>
  <c r="H1100"/>
  <c r="H4475" s="1"/>
  <c r="G1101"/>
  <c r="H1102"/>
  <c r="H4477" s="1"/>
  <c r="H1105"/>
  <c r="H4480" s="1"/>
  <c r="H1109"/>
  <c r="H4484" s="1"/>
  <c r="H1113"/>
  <c r="H4488" s="1"/>
  <c r="H1116"/>
  <c r="H4491" s="1"/>
  <c r="H1120"/>
  <c r="H4495" s="1"/>
  <c r="G951"/>
  <c r="G952"/>
  <c r="G954"/>
  <c r="G955"/>
  <c r="G956"/>
  <c r="G958"/>
  <c r="G959"/>
  <c r="G960"/>
  <c r="G962"/>
  <c r="G963"/>
  <c r="G964"/>
  <c r="G965"/>
  <c r="G967"/>
  <c r="G968"/>
  <c r="G969"/>
  <c r="G971"/>
  <c r="G972"/>
  <c r="G973"/>
  <c r="G975"/>
  <c r="G976"/>
  <c r="G977"/>
  <c r="D948"/>
  <c r="D4322" s="1"/>
  <c r="E948"/>
  <c r="E4322" s="1"/>
  <c r="F948"/>
  <c r="F4322" s="1"/>
  <c r="G948"/>
  <c r="G4322" s="1"/>
  <c r="H948"/>
  <c r="H4322" s="1"/>
  <c r="H950"/>
  <c r="H4324" s="1"/>
  <c r="G797"/>
  <c r="G798"/>
  <c r="G799"/>
  <c r="G801"/>
  <c r="G802"/>
  <c r="G803"/>
  <c r="G805"/>
  <c r="G806"/>
  <c r="G807"/>
  <c r="G808"/>
  <c r="G810"/>
  <c r="G811"/>
  <c r="G812"/>
  <c r="G814"/>
  <c r="G815"/>
  <c r="G817"/>
  <c r="G818"/>
  <c r="G819"/>
  <c r="G794"/>
  <c r="D791"/>
  <c r="D4158" s="1"/>
  <c r="E791"/>
  <c r="E4158" s="1"/>
  <c r="F791"/>
  <c r="F4158" s="1"/>
  <c r="G791"/>
  <c r="G4158" s="1"/>
  <c r="H791"/>
  <c r="H4158" s="1"/>
  <c r="G792"/>
  <c r="G4159" s="1"/>
  <c r="H793"/>
  <c r="H4160" s="1"/>
  <c r="G796"/>
  <c r="H816"/>
  <c r="H4183" s="1"/>
  <c r="G643"/>
  <c r="I641"/>
  <c r="H642"/>
  <c r="H4011" s="1"/>
  <c r="C1798"/>
  <c r="C1799"/>
  <c r="H2348" l="1"/>
  <c r="I2347"/>
  <c r="C116" i="99"/>
  <c r="E116" s="1"/>
  <c r="E119" s="1"/>
  <c r="E120" s="1"/>
  <c r="H2586" i="13"/>
  <c r="I2584"/>
  <c r="I4475"/>
  <c r="I4158"/>
  <c r="I4322"/>
  <c r="G644"/>
  <c r="G795"/>
  <c r="I2692"/>
  <c r="H2628"/>
  <c r="I2627"/>
  <c r="J1841"/>
  <c r="J1869"/>
  <c r="J1870" s="1"/>
  <c r="I1870" s="1"/>
  <c r="H1871" s="1"/>
  <c r="O1871" s="1"/>
  <c r="J1862"/>
  <c r="J1863" s="1"/>
  <c r="I1863" s="1"/>
  <c r="H1864" s="1"/>
  <c r="O1864" s="1"/>
  <c r="J1855"/>
  <c r="J1856" s="1"/>
  <c r="I1856" s="1"/>
  <c r="H1857" s="1"/>
  <c r="O1857" s="1"/>
  <c r="J1876"/>
  <c r="J1877" s="1"/>
  <c r="I1877" s="1"/>
  <c r="H1878" s="1"/>
  <c r="O1878" s="1"/>
  <c r="I1100"/>
  <c r="I948"/>
  <c r="I791"/>
  <c r="H1771"/>
  <c r="H1103" s="1"/>
  <c r="H4478" s="1"/>
  <c r="H1772"/>
  <c r="H1104" s="1"/>
  <c r="H4479" s="1"/>
  <c r="H1774"/>
  <c r="H1106" s="1"/>
  <c r="H4481" s="1"/>
  <c r="H1775"/>
  <c r="H1107" s="1"/>
  <c r="H4482" s="1"/>
  <c r="H1776"/>
  <c r="H1108" s="1"/>
  <c r="H4483" s="1"/>
  <c r="H1778"/>
  <c r="H1110" s="1"/>
  <c r="H4485" s="1"/>
  <c r="H1779"/>
  <c r="H1111" s="1"/>
  <c r="H4486" s="1"/>
  <c r="H1780"/>
  <c r="H1112" s="1"/>
  <c r="H4487" s="1"/>
  <c r="H1782"/>
  <c r="H1114" s="1"/>
  <c r="H4489" s="1"/>
  <c r="H1783"/>
  <c r="H1115" s="1"/>
  <c r="H4490" s="1"/>
  <c r="H1785"/>
  <c r="H1117" s="1"/>
  <c r="H4492" s="1"/>
  <c r="H1786"/>
  <c r="H1118" s="1"/>
  <c r="H4493" s="1"/>
  <c r="H1787"/>
  <c r="H1119" s="1"/>
  <c r="H4494" s="1"/>
  <c r="H1789"/>
  <c r="H1121" s="1"/>
  <c r="H4496" s="1"/>
  <c r="H1790"/>
  <c r="H1122" s="1"/>
  <c r="H4497" s="1"/>
  <c r="H1791"/>
  <c r="H1123" s="1"/>
  <c r="H4498" s="1"/>
  <c r="H1792"/>
  <c r="H1124" s="1"/>
  <c r="H4499" s="1"/>
  <c r="H1793"/>
  <c r="H1125" s="1"/>
  <c r="H4500" s="1"/>
  <c r="D1771"/>
  <c r="D1772"/>
  <c r="D1773"/>
  <c r="D1774"/>
  <c r="D1775"/>
  <c r="D1776"/>
  <c r="D1777"/>
  <c r="D1778"/>
  <c r="D1779"/>
  <c r="D1780"/>
  <c r="D1781"/>
  <c r="D1782"/>
  <c r="D1783"/>
  <c r="D1784"/>
  <c r="D1785"/>
  <c r="D1786"/>
  <c r="D1787"/>
  <c r="D1788"/>
  <c r="D1789"/>
  <c r="D1790"/>
  <c r="D1791"/>
  <c r="D1792"/>
  <c r="D1793"/>
  <c r="D1770"/>
  <c r="C1769"/>
  <c r="C1101" s="1"/>
  <c r="C4476" s="1"/>
  <c r="D1769"/>
  <c r="E1769"/>
  <c r="E1101" s="1"/>
  <c r="E4476" s="1"/>
  <c r="F1769"/>
  <c r="F1101" s="1"/>
  <c r="F4476" s="1"/>
  <c r="H1769"/>
  <c r="H1101" s="1"/>
  <c r="H4476" s="1"/>
  <c r="C1770"/>
  <c r="C1102" s="1"/>
  <c r="C4477" s="1"/>
  <c r="E1770"/>
  <c r="E1102" s="1"/>
  <c r="E4477" s="1"/>
  <c r="F1770"/>
  <c r="F1102" s="1"/>
  <c r="F4477" s="1"/>
  <c r="C1771"/>
  <c r="C1103" s="1"/>
  <c r="C4478" s="1"/>
  <c r="E1771"/>
  <c r="E1103" s="1"/>
  <c r="E4478" s="1"/>
  <c r="F1771"/>
  <c r="F1103" s="1"/>
  <c r="F4478" s="1"/>
  <c r="C1772"/>
  <c r="C1104" s="1"/>
  <c r="C4479" s="1"/>
  <c r="E1772"/>
  <c r="E1104" s="1"/>
  <c r="E4479" s="1"/>
  <c r="F1772"/>
  <c r="F1104" s="1"/>
  <c r="F4479" s="1"/>
  <c r="C1773"/>
  <c r="C1105" s="1"/>
  <c r="C4480" s="1"/>
  <c r="E1773"/>
  <c r="E1105" s="1"/>
  <c r="E4480" s="1"/>
  <c r="F1773"/>
  <c r="F1105" s="1"/>
  <c r="F4480" s="1"/>
  <c r="C1774"/>
  <c r="C1106" s="1"/>
  <c r="C4481" s="1"/>
  <c r="E1774"/>
  <c r="E1106" s="1"/>
  <c r="E4481" s="1"/>
  <c r="F1774"/>
  <c r="F1106" s="1"/>
  <c r="F4481" s="1"/>
  <c r="C1775"/>
  <c r="C1107" s="1"/>
  <c r="C4482" s="1"/>
  <c r="E1775"/>
  <c r="E1107" s="1"/>
  <c r="E4482" s="1"/>
  <c r="F1775"/>
  <c r="F1107" s="1"/>
  <c r="F4482" s="1"/>
  <c r="C1776"/>
  <c r="C1108" s="1"/>
  <c r="C4483" s="1"/>
  <c r="E1776"/>
  <c r="E1108" s="1"/>
  <c r="E4483" s="1"/>
  <c r="F1776"/>
  <c r="F1108" s="1"/>
  <c r="F4483" s="1"/>
  <c r="C1777"/>
  <c r="C1109" s="1"/>
  <c r="C4484" s="1"/>
  <c r="E1777"/>
  <c r="E1109" s="1"/>
  <c r="E4484" s="1"/>
  <c r="F1777"/>
  <c r="F1109" s="1"/>
  <c r="F4484" s="1"/>
  <c r="C1778"/>
  <c r="C1110" s="1"/>
  <c r="C4485" s="1"/>
  <c r="E1778"/>
  <c r="E1110" s="1"/>
  <c r="E4485" s="1"/>
  <c r="F1778"/>
  <c r="F1110" s="1"/>
  <c r="F4485" s="1"/>
  <c r="C1779"/>
  <c r="C1111" s="1"/>
  <c r="C4486" s="1"/>
  <c r="E1779"/>
  <c r="E1111" s="1"/>
  <c r="E4486" s="1"/>
  <c r="F1779"/>
  <c r="F1111" s="1"/>
  <c r="F4486" s="1"/>
  <c r="C1780"/>
  <c r="C1112" s="1"/>
  <c r="C4487" s="1"/>
  <c r="E1780"/>
  <c r="E1112" s="1"/>
  <c r="E4487" s="1"/>
  <c r="F1780"/>
  <c r="F1112" s="1"/>
  <c r="F4487" s="1"/>
  <c r="C1781"/>
  <c r="C1113" s="1"/>
  <c r="C4488" s="1"/>
  <c r="E1781"/>
  <c r="E1113" s="1"/>
  <c r="E4488" s="1"/>
  <c r="F1781"/>
  <c r="F1113" s="1"/>
  <c r="F4488" s="1"/>
  <c r="C1782"/>
  <c r="C1114" s="1"/>
  <c r="C4489" s="1"/>
  <c r="E1782"/>
  <c r="E1114" s="1"/>
  <c r="E4489" s="1"/>
  <c r="F1782"/>
  <c r="F1114" s="1"/>
  <c r="F4489" s="1"/>
  <c r="C1783"/>
  <c r="C1115" s="1"/>
  <c r="C4490" s="1"/>
  <c r="E1783"/>
  <c r="E1115" s="1"/>
  <c r="E4490" s="1"/>
  <c r="F1783"/>
  <c r="F1115" s="1"/>
  <c r="F4490" s="1"/>
  <c r="C1784"/>
  <c r="C1116" s="1"/>
  <c r="C4491" s="1"/>
  <c r="E1784"/>
  <c r="E1116" s="1"/>
  <c r="E4491" s="1"/>
  <c r="F1784"/>
  <c r="F1116" s="1"/>
  <c r="F4491" s="1"/>
  <c r="C1785"/>
  <c r="C1117" s="1"/>
  <c r="C4492" s="1"/>
  <c r="E1785"/>
  <c r="E1117" s="1"/>
  <c r="E4492" s="1"/>
  <c r="F1785"/>
  <c r="F1117" s="1"/>
  <c r="F4492" s="1"/>
  <c r="C1786"/>
  <c r="C1118" s="1"/>
  <c r="C4493" s="1"/>
  <c r="E1786"/>
  <c r="E1118" s="1"/>
  <c r="E4493" s="1"/>
  <c r="F1786"/>
  <c r="F1118" s="1"/>
  <c r="F4493" s="1"/>
  <c r="C1787"/>
  <c r="C1119" s="1"/>
  <c r="C4494" s="1"/>
  <c r="E1787"/>
  <c r="E1119" s="1"/>
  <c r="E4494" s="1"/>
  <c r="F1787"/>
  <c r="F1119" s="1"/>
  <c r="F4494" s="1"/>
  <c r="C1788"/>
  <c r="C1120" s="1"/>
  <c r="C4495" s="1"/>
  <c r="E1788"/>
  <c r="E1120" s="1"/>
  <c r="E4495" s="1"/>
  <c r="F1788"/>
  <c r="F1120" s="1"/>
  <c r="F4495" s="1"/>
  <c r="C1789"/>
  <c r="C1121" s="1"/>
  <c r="C4496" s="1"/>
  <c r="E1789"/>
  <c r="E1121" s="1"/>
  <c r="E4496" s="1"/>
  <c r="C1790"/>
  <c r="C1122" s="1"/>
  <c r="C4497" s="1"/>
  <c r="E1790"/>
  <c r="E1122" s="1"/>
  <c r="E4497" s="1"/>
  <c r="C1791"/>
  <c r="C1123" s="1"/>
  <c r="C4498" s="1"/>
  <c r="E1791"/>
  <c r="E1123" s="1"/>
  <c r="E4498" s="1"/>
  <c r="F1791"/>
  <c r="F1123" s="1"/>
  <c r="F4498" s="1"/>
  <c r="C1792"/>
  <c r="C1124" s="1"/>
  <c r="C4499" s="1"/>
  <c r="E1792"/>
  <c r="E1124" s="1"/>
  <c r="E4499" s="1"/>
  <c r="F1792"/>
  <c r="F1124" s="1"/>
  <c r="F4499" s="1"/>
  <c r="C1793"/>
  <c r="C1125" s="1"/>
  <c r="C4500" s="1"/>
  <c r="E1793"/>
  <c r="E1125" s="1"/>
  <c r="E4500" s="1"/>
  <c r="F1793"/>
  <c r="F1125" s="1"/>
  <c r="F4500" s="1"/>
  <c r="F1767"/>
  <c r="H1767"/>
  <c r="F1761"/>
  <c r="F1760"/>
  <c r="H1766"/>
  <c r="F1766"/>
  <c r="H1714"/>
  <c r="H957" s="1"/>
  <c r="H4331" s="1"/>
  <c r="H1708"/>
  <c r="D1708"/>
  <c r="D1709"/>
  <c r="D1710"/>
  <c r="D1711"/>
  <c r="D1712"/>
  <c r="D1713"/>
  <c r="D1714"/>
  <c r="D1715"/>
  <c r="D1716"/>
  <c r="D1717"/>
  <c r="D1718"/>
  <c r="D1719"/>
  <c r="D1720"/>
  <c r="D1721"/>
  <c r="D1722"/>
  <c r="D1723"/>
  <c r="D1724"/>
  <c r="D1725"/>
  <c r="D1726"/>
  <c r="D1727"/>
  <c r="D1728"/>
  <c r="D1729"/>
  <c r="D1730"/>
  <c r="D1731"/>
  <c r="D1732"/>
  <c r="D1733"/>
  <c r="D1734"/>
  <c r="D977" s="1"/>
  <c r="D4351" s="1"/>
  <c r="D1707"/>
  <c r="C1706"/>
  <c r="C949" s="1"/>
  <c r="C4323" s="1"/>
  <c r="D1706"/>
  <c r="E1706"/>
  <c r="E949" s="1"/>
  <c r="E4323" s="1"/>
  <c r="F1706"/>
  <c r="F949" s="1"/>
  <c r="F4323" s="1"/>
  <c r="H1706"/>
  <c r="H949" s="1"/>
  <c r="H4323" s="1"/>
  <c r="C1707"/>
  <c r="C950" s="1"/>
  <c r="C4324" s="1"/>
  <c r="E1707"/>
  <c r="E950" s="1"/>
  <c r="E4324" s="1"/>
  <c r="F1707"/>
  <c r="F950" s="1"/>
  <c r="F4324" s="1"/>
  <c r="C1708"/>
  <c r="C951" s="1"/>
  <c r="C4325" s="1"/>
  <c r="E1708"/>
  <c r="E951" s="1"/>
  <c r="E4325" s="1"/>
  <c r="F1708"/>
  <c r="F951" s="1"/>
  <c r="F4325" s="1"/>
  <c r="C1709"/>
  <c r="C952" s="1"/>
  <c r="C4326" s="1"/>
  <c r="E1709"/>
  <c r="E952" s="1"/>
  <c r="E4326" s="1"/>
  <c r="F1709"/>
  <c r="F952" s="1"/>
  <c r="F4326" s="1"/>
  <c r="C1710"/>
  <c r="C953" s="1"/>
  <c r="C4327" s="1"/>
  <c r="E1710"/>
  <c r="E953" s="1"/>
  <c r="E4327" s="1"/>
  <c r="F1710"/>
  <c r="F953" s="1"/>
  <c r="F4327" s="1"/>
  <c r="H1710"/>
  <c r="H953" s="1"/>
  <c r="H4327" s="1"/>
  <c r="C1711"/>
  <c r="C954" s="1"/>
  <c r="C4328" s="1"/>
  <c r="E1711"/>
  <c r="E954" s="1"/>
  <c r="E4328" s="1"/>
  <c r="F1711"/>
  <c r="F954" s="1"/>
  <c r="F4328" s="1"/>
  <c r="C1712"/>
  <c r="C955" s="1"/>
  <c r="C4329" s="1"/>
  <c r="E1712"/>
  <c r="E955" s="1"/>
  <c r="E4329" s="1"/>
  <c r="F1712"/>
  <c r="F955" s="1"/>
  <c r="F4329" s="1"/>
  <c r="C1713"/>
  <c r="C956" s="1"/>
  <c r="C4330" s="1"/>
  <c r="E1713"/>
  <c r="E956" s="1"/>
  <c r="E4330" s="1"/>
  <c r="F1713"/>
  <c r="F956" s="1"/>
  <c r="F4330" s="1"/>
  <c r="C1714"/>
  <c r="C957" s="1"/>
  <c r="C4331" s="1"/>
  <c r="E1714"/>
  <c r="E957" s="1"/>
  <c r="E4331" s="1"/>
  <c r="F1714"/>
  <c r="F957" s="1"/>
  <c r="F4331" s="1"/>
  <c r="C1715"/>
  <c r="C958" s="1"/>
  <c r="C4332" s="1"/>
  <c r="E1715"/>
  <c r="E958" s="1"/>
  <c r="E4332" s="1"/>
  <c r="F1715"/>
  <c r="F958" s="1"/>
  <c r="F4332" s="1"/>
  <c r="C1716"/>
  <c r="C959" s="1"/>
  <c r="C4333" s="1"/>
  <c r="E1716"/>
  <c r="E959" s="1"/>
  <c r="E4333" s="1"/>
  <c r="F1716"/>
  <c r="F959" s="1"/>
  <c r="F4333" s="1"/>
  <c r="C1717"/>
  <c r="C960" s="1"/>
  <c r="C4334" s="1"/>
  <c r="E1717"/>
  <c r="E960" s="1"/>
  <c r="E4334" s="1"/>
  <c r="F1717"/>
  <c r="F960" s="1"/>
  <c r="F4334" s="1"/>
  <c r="C1718"/>
  <c r="C961" s="1"/>
  <c r="C4335" s="1"/>
  <c r="E1718"/>
  <c r="E961" s="1"/>
  <c r="E4335" s="1"/>
  <c r="F1718"/>
  <c r="F961" s="1"/>
  <c r="F4335" s="1"/>
  <c r="H1718"/>
  <c r="H961" s="1"/>
  <c r="H4335" s="1"/>
  <c r="C1719"/>
  <c r="C962" s="1"/>
  <c r="C4336" s="1"/>
  <c r="E1719"/>
  <c r="E962" s="1"/>
  <c r="E4336" s="1"/>
  <c r="F1719"/>
  <c r="F962" s="1"/>
  <c r="F4336" s="1"/>
  <c r="C1720"/>
  <c r="C963" s="1"/>
  <c r="C4337" s="1"/>
  <c r="E1720"/>
  <c r="E963" s="1"/>
  <c r="E4337" s="1"/>
  <c r="F1720"/>
  <c r="F963" s="1"/>
  <c r="F4337" s="1"/>
  <c r="C1721"/>
  <c r="C964" s="1"/>
  <c r="C4338" s="1"/>
  <c r="E1721"/>
  <c r="E964" s="1"/>
  <c r="E4338" s="1"/>
  <c r="F1721"/>
  <c r="F964" s="1"/>
  <c r="F4338" s="1"/>
  <c r="C1722"/>
  <c r="C965" s="1"/>
  <c r="C4339" s="1"/>
  <c r="E1722"/>
  <c r="E965" s="1"/>
  <c r="E4339" s="1"/>
  <c r="F1722"/>
  <c r="F965" s="1"/>
  <c r="F4339" s="1"/>
  <c r="C1723"/>
  <c r="C966" s="1"/>
  <c r="C4340" s="1"/>
  <c r="E1723"/>
  <c r="E966" s="1"/>
  <c r="E4340" s="1"/>
  <c r="F1723"/>
  <c r="F966" s="1"/>
  <c r="F4340" s="1"/>
  <c r="H1723"/>
  <c r="H966" s="1"/>
  <c r="H4340" s="1"/>
  <c r="C1724"/>
  <c r="C967" s="1"/>
  <c r="C4341" s="1"/>
  <c r="E1724"/>
  <c r="E967" s="1"/>
  <c r="E4341" s="1"/>
  <c r="F1724"/>
  <c r="F967" s="1"/>
  <c r="F4341" s="1"/>
  <c r="C1725"/>
  <c r="C968" s="1"/>
  <c r="C4342" s="1"/>
  <c r="E1725"/>
  <c r="E968" s="1"/>
  <c r="E4342" s="1"/>
  <c r="F1725"/>
  <c r="F968" s="1"/>
  <c r="F4342" s="1"/>
  <c r="C1726"/>
  <c r="C969" s="1"/>
  <c r="C4343" s="1"/>
  <c r="E1726"/>
  <c r="E969" s="1"/>
  <c r="E4343" s="1"/>
  <c r="F1726"/>
  <c r="F969" s="1"/>
  <c r="F4343" s="1"/>
  <c r="C1727"/>
  <c r="C970" s="1"/>
  <c r="C4344" s="1"/>
  <c r="E1727"/>
  <c r="E970" s="1"/>
  <c r="E4344" s="1"/>
  <c r="F1727"/>
  <c r="F970" s="1"/>
  <c r="F4344" s="1"/>
  <c r="H1727"/>
  <c r="H970" s="1"/>
  <c r="H4344" s="1"/>
  <c r="C1728"/>
  <c r="C971" s="1"/>
  <c r="C4345" s="1"/>
  <c r="E1728"/>
  <c r="E971" s="1"/>
  <c r="E4345" s="1"/>
  <c r="F1728"/>
  <c r="F971" s="1"/>
  <c r="F4345" s="1"/>
  <c r="C1729"/>
  <c r="C972" s="1"/>
  <c r="C4346" s="1"/>
  <c r="E1729"/>
  <c r="E972" s="1"/>
  <c r="E4346" s="1"/>
  <c r="F1729"/>
  <c r="F972" s="1"/>
  <c r="F4346" s="1"/>
  <c r="C1730"/>
  <c r="C973" s="1"/>
  <c r="C4347" s="1"/>
  <c r="E1730"/>
  <c r="E973" s="1"/>
  <c r="E4347" s="1"/>
  <c r="F1730"/>
  <c r="F973" s="1"/>
  <c r="F4347" s="1"/>
  <c r="C1731"/>
  <c r="C974" s="1"/>
  <c r="C4348" s="1"/>
  <c r="E1731"/>
  <c r="E974" s="1"/>
  <c r="E4348" s="1"/>
  <c r="F1731"/>
  <c r="F974" s="1"/>
  <c r="F4348" s="1"/>
  <c r="H1731"/>
  <c r="H974" s="1"/>
  <c r="H4348" s="1"/>
  <c r="C1732"/>
  <c r="C975" s="1"/>
  <c r="C4349" s="1"/>
  <c r="E1732"/>
  <c r="E975" s="1"/>
  <c r="E4349" s="1"/>
  <c r="F1732"/>
  <c r="F975" s="1"/>
  <c r="F4349" s="1"/>
  <c r="C1733"/>
  <c r="C976" s="1"/>
  <c r="C4350" s="1"/>
  <c r="E1733"/>
  <c r="E976" s="1"/>
  <c r="E4350" s="1"/>
  <c r="F1733"/>
  <c r="F976" s="1"/>
  <c r="F4350" s="1"/>
  <c r="C1734"/>
  <c r="C977" s="1"/>
  <c r="C4351" s="1"/>
  <c r="E1734"/>
  <c r="E977" s="1"/>
  <c r="E4351" s="1"/>
  <c r="F1734"/>
  <c r="F977" s="1"/>
  <c r="F4351" s="1"/>
  <c r="H1639"/>
  <c r="D1639"/>
  <c r="D794" s="1"/>
  <c r="D4161" s="1"/>
  <c r="D1640"/>
  <c r="D795" s="1"/>
  <c r="D4162" s="1"/>
  <c r="D1641"/>
  <c r="D796" s="1"/>
  <c r="D4163" s="1"/>
  <c r="D1642"/>
  <c r="D797" s="1"/>
  <c r="D4164" s="1"/>
  <c r="D1643"/>
  <c r="D798" s="1"/>
  <c r="D4165" s="1"/>
  <c r="D1644"/>
  <c r="D799" s="1"/>
  <c r="D4166" s="1"/>
  <c r="D1645"/>
  <c r="D800" s="1"/>
  <c r="D4167" s="1"/>
  <c r="D1646"/>
  <c r="D801" s="1"/>
  <c r="D4168" s="1"/>
  <c r="D1647"/>
  <c r="D802" s="1"/>
  <c r="D4169" s="1"/>
  <c r="D1648"/>
  <c r="D803" s="1"/>
  <c r="D4170" s="1"/>
  <c r="D1649"/>
  <c r="D804" s="1"/>
  <c r="D4171" s="1"/>
  <c r="D1650"/>
  <c r="D805" s="1"/>
  <c r="D4172" s="1"/>
  <c r="D1651"/>
  <c r="D806" s="1"/>
  <c r="D4173" s="1"/>
  <c r="D1652"/>
  <c r="D807" s="1"/>
  <c r="D4174" s="1"/>
  <c r="D1653"/>
  <c r="D808" s="1"/>
  <c r="D4175" s="1"/>
  <c r="D1654"/>
  <c r="D809" s="1"/>
  <c r="D4176" s="1"/>
  <c r="D1655"/>
  <c r="D810" s="1"/>
  <c r="D4177" s="1"/>
  <c r="D1656"/>
  <c r="D811" s="1"/>
  <c r="D4178" s="1"/>
  <c r="D1657"/>
  <c r="D812" s="1"/>
  <c r="D4179" s="1"/>
  <c r="D1658"/>
  <c r="D813" s="1"/>
  <c r="D4180" s="1"/>
  <c r="D1659"/>
  <c r="D814" s="1"/>
  <c r="D4181" s="1"/>
  <c r="D1660"/>
  <c r="D815" s="1"/>
  <c r="D4182" s="1"/>
  <c r="D1661"/>
  <c r="D816" s="1"/>
  <c r="D4183" s="1"/>
  <c r="D1662"/>
  <c r="D817" s="1"/>
  <c r="D4184" s="1"/>
  <c r="D1663"/>
  <c r="D818" s="1"/>
  <c r="D4185" s="1"/>
  <c r="D1664"/>
  <c r="D819" s="1"/>
  <c r="D4186" s="1"/>
  <c r="D1638"/>
  <c r="D793" s="1"/>
  <c r="D4160" s="1"/>
  <c r="C1637"/>
  <c r="C792" s="1"/>
  <c r="C4159" s="1"/>
  <c r="D1637"/>
  <c r="D792" s="1"/>
  <c r="D4159" s="1"/>
  <c r="E1637"/>
  <c r="E792" s="1"/>
  <c r="E4159" s="1"/>
  <c r="F1637"/>
  <c r="F792" s="1"/>
  <c r="F4159" s="1"/>
  <c r="H1637"/>
  <c r="H792" s="1"/>
  <c r="H4159" s="1"/>
  <c r="C1638"/>
  <c r="C793" s="1"/>
  <c r="C4160" s="1"/>
  <c r="E1638"/>
  <c r="E793" s="1"/>
  <c r="E4160" s="1"/>
  <c r="F1638"/>
  <c r="F793" s="1"/>
  <c r="F4160" s="1"/>
  <c r="C1639"/>
  <c r="C794" s="1"/>
  <c r="C4161" s="1"/>
  <c r="E1639"/>
  <c r="E794" s="1"/>
  <c r="E4161" s="1"/>
  <c r="F1639"/>
  <c r="F794" s="1"/>
  <c r="F4161" s="1"/>
  <c r="C1640"/>
  <c r="C795" s="1"/>
  <c r="C4162" s="1"/>
  <c r="E1640"/>
  <c r="E795" s="1"/>
  <c r="E4162" s="1"/>
  <c r="F1640"/>
  <c r="F795" s="1"/>
  <c r="F4162" s="1"/>
  <c r="C1641"/>
  <c r="C796" s="1"/>
  <c r="C4163" s="1"/>
  <c r="E1641"/>
  <c r="E796" s="1"/>
  <c r="E4163" s="1"/>
  <c r="F1641"/>
  <c r="F796" s="1"/>
  <c r="F4163" s="1"/>
  <c r="H1641"/>
  <c r="H796" s="1"/>
  <c r="H4163" s="1"/>
  <c r="C1642"/>
  <c r="C797" s="1"/>
  <c r="C4164" s="1"/>
  <c r="E1642"/>
  <c r="E797" s="1"/>
  <c r="E4164" s="1"/>
  <c r="F1642"/>
  <c r="F797" s="1"/>
  <c r="F4164" s="1"/>
  <c r="C1643"/>
  <c r="C798" s="1"/>
  <c r="C4165" s="1"/>
  <c r="E1643"/>
  <c r="E798" s="1"/>
  <c r="E4165" s="1"/>
  <c r="F1643"/>
  <c r="F798" s="1"/>
  <c r="F4165" s="1"/>
  <c r="C1644"/>
  <c r="C799" s="1"/>
  <c r="C4166" s="1"/>
  <c r="E1644"/>
  <c r="E799" s="1"/>
  <c r="E4166" s="1"/>
  <c r="F1644"/>
  <c r="F799" s="1"/>
  <c r="F4166" s="1"/>
  <c r="C1645"/>
  <c r="C800" s="1"/>
  <c r="C4167" s="1"/>
  <c r="E1645"/>
  <c r="E800" s="1"/>
  <c r="E4167" s="1"/>
  <c r="F1645"/>
  <c r="F800" s="1"/>
  <c r="F4167" s="1"/>
  <c r="H1645"/>
  <c r="H800" s="1"/>
  <c r="H4167" s="1"/>
  <c r="C1646"/>
  <c r="C801" s="1"/>
  <c r="C4168" s="1"/>
  <c r="E1646"/>
  <c r="E801" s="1"/>
  <c r="E4168" s="1"/>
  <c r="F1646"/>
  <c r="F801" s="1"/>
  <c r="F4168" s="1"/>
  <c r="C1647"/>
  <c r="C802" s="1"/>
  <c r="C4169" s="1"/>
  <c r="E1647"/>
  <c r="E802" s="1"/>
  <c r="E4169" s="1"/>
  <c r="F1647"/>
  <c r="F802" s="1"/>
  <c r="F4169" s="1"/>
  <c r="C1648"/>
  <c r="C803" s="1"/>
  <c r="C4170" s="1"/>
  <c r="E1648"/>
  <c r="E803" s="1"/>
  <c r="E4170" s="1"/>
  <c r="F1648"/>
  <c r="F803" s="1"/>
  <c r="F4170" s="1"/>
  <c r="C1649"/>
  <c r="C804" s="1"/>
  <c r="C4171" s="1"/>
  <c r="E1649"/>
  <c r="E804" s="1"/>
  <c r="E4171" s="1"/>
  <c r="F1649"/>
  <c r="F804" s="1"/>
  <c r="F4171" s="1"/>
  <c r="H1649"/>
  <c r="H804" s="1"/>
  <c r="H4171" s="1"/>
  <c r="C1650"/>
  <c r="C805" s="1"/>
  <c r="C4172" s="1"/>
  <c r="E1650"/>
  <c r="E805" s="1"/>
  <c r="E4172" s="1"/>
  <c r="F1650"/>
  <c r="F805" s="1"/>
  <c r="F4172" s="1"/>
  <c r="C1651"/>
  <c r="C806" s="1"/>
  <c r="C4173" s="1"/>
  <c r="E1651"/>
  <c r="E806" s="1"/>
  <c r="E4173" s="1"/>
  <c r="F1651"/>
  <c r="F806" s="1"/>
  <c r="F4173" s="1"/>
  <c r="C1652"/>
  <c r="C807" s="1"/>
  <c r="C4174" s="1"/>
  <c r="E1652"/>
  <c r="E807" s="1"/>
  <c r="E4174" s="1"/>
  <c r="F1652"/>
  <c r="F807" s="1"/>
  <c r="F4174" s="1"/>
  <c r="C1653"/>
  <c r="C808" s="1"/>
  <c r="C4175" s="1"/>
  <c r="E1653"/>
  <c r="E808" s="1"/>
  <c r="E4175" s="1"/>
  <c r="F1653"/>
  <c r="F808" s="1"/>
  <c r="F4175" s="1"/>
  <c r="C1654"/>
  <c r="C809" s="1"/>
  <c r="C4176" s="1"/>
  <c r="E1654"/>
  <c r="E809" s="1"/>
  <c r="E4176" s="1"/>
  <c r="F1654"/>
  <c r="F809" s="1"/>
  <c r="F4176" s="1"/>
  <c r="H1654"/>
  <c r="H809" s="1"/>
  <c r="H4176" s="1"/>
  <c r="C1655"/>
  <c r="C810" s="1"/>
  <c r="C4177" s="1"/>
  <c r="E1655"/>
  <c r="E810" s="1"/>
  <c r="E4177" s="1"/>
  <c r="F1655"/>
  <c r="F810" s="1"/>
  <c r="F4177" s="1"/>
  <c r="C1656"/>
  <c r="C811" s="1"/>
  <c r="C4178" s="1"/>
  <c r="E1656"/>
  <c r="E811" s="1"/>
  <c r="E4178" s="1"/>
  <c r="F1656"/>
  <c r="F811" s="1"/>
  <c r="F4178" s="1"/>
  <c r="C1657"/>
  <c r="C812" s="1"/>
  <c r="C4179" s="1"/>
  <c r="E1657"/>
  <c r="E812" s="1"/>
  <c r="E4179" s="1"/>
  <c r="F1657"/>
  <c r="F812" s="1"/>
  <c r="F4179" s="1"/>
  <c r="C1658"/>
  <c r="C813" s="1"/>
  <c r="C4180" s="1"/>
  <c r="E1658"/>
  <c r="E813" s="1"/>
  <c r="E4180" s="1"/>
  <c r="F1658"/>
  <c r="F813" s="1"/>
  <c r="F4180" s="1"/>
  <c r="H1658"/>
  <c r="H813" s="1"/>
  <c r="H4180" s="1"/>
  <c r="C1659"/>
  <c r="C814" s="1"/>
  <c r="C4181" s="1"/>
  <c r="E1659"/>
  <c r="E814" s="1"/>
  <c r="E4181" s="1"/>
  <c r="F1659"/>
  <c r="F814" s="1"/>
  <c r="F4181" s="1"/>
  <c r="C1660"/>
  <c r="C815" s="1"/>
  <c r="C4182" s="1"/>
  <c r="E1660"/>
  <c r="E815" s="1"/>
  <c r="E4182" s="1"/>
  <c r="F1660"/>
  <c r="F815" s="1"/>
  <c r="F4182" s="1"/>
  <c r="C1661"/>
  <c r="C816" s="1"/>
  <c r="C4183" s="1"/>
  <c r="E1661"/>
  <c r="E816" s="1"/>
  <c r="E4183" s="1"/>
  <c r="F1661"/>
  <c r="F816" s="1"/>
  <c r="F4183" s="1"/>
  <c r="C1662"/>
  <c r="C817" s="1"/>
  <c r="C4184" s="1"/>
  <c r="E1662"/>
  <c r="E817" s="1"/>
  <c r="E4184" s="1"/>
  <c r="F1662"/>
  <c r="F817" s="1"/>
  <c r="F4184" s="1"/>
  <c r="C1663"/>
  <c r="C818" s="1"/>
  <c r="C4185" s="1"/>
  <c r="E1663"/>
  <c r="E818" s="1"/>
  <c r="E4185" s="1"/>
  <c r="F1663"/>
  <c r="F818" s="1"/>
  <c r="F4185" s="1"/>
  <c r="C1664"/>
  <c r="C819" s="1"/>
  <c r="C4186" s="1"/>
  <c r="E1664"/>
  <c r="E819" s="1"/>
  <c r="E4186" s="1"/>
  <c r="F1664"/>
  <c r="F819" s="1"/>
  <c r="F4186" s="1"/>
  <c r="J1638"/>
  <c r="L1638" s="1"/>
  <c r="F1173"/>
  <c r="F1172"/>
  <c r="F1171"/>
  <c r="F1170"/>
  <c r="F1169"/>
  <c r="F1168"/>
  <c r="F1167"/>
  <c r="F1166"/>
  <c r="F1165"/>
  <c r="F1164"/>
  <c r="F1163"/>
  <c r="F1162"/>
  <c r="F1161"/>
  <c r="I1160"/>
  <c r="F1159"/>
  <c r="F1158"/>
  <c r="F1157"/>
  <c r="I1156"/>
  <c r="F1155"/>
  <c r="F1154"/>
  <c r="F1153"/>
  <c r="F1152"/>
  <c r="F1151"/>
  <c r="F1150"/>
  <c r="F1149"/>
  <c r="I1148"/>
  <c r="I1147"/>
  <c r="F1024"/>
  <c r="F1023"/>
  <c r="F1022"/>
  <c r="F1021"/>
  <c r="F1020"/>
  <c r="F1019"/>
  <c r="F1018"/>
  <c r="F1017"/>
  <c r="F1016"/>
  <c r="F1015"/>
  <c r="F1014"/>
  <c r="F1013"/>
  <c r="F1012"/>
  <c r="I1011"/>
  <c r="F1010"/>
  <c r="F1009"/>
  <c r="F1008"/>
  <c r="I1007"/>
  <c r="F1006"/>
  <c r="F1005"/>
  <c r="F1004"/>
  <c r="F1003"/>
  <c r="F1002"/>
  <c r="F1001"/>
  <c r="F1000"/>
  <c r="F4388" s="1"/>
  <c r="I4388" s="1"/>
  <c r="I999"/>
  <c r="I998"/>
  <c r="F864"/>
  <c r="F863"/>
  <c r="F862"/>
  <c r="F861"/>
  <c r="F860"/>
  <c r="F859"/>
  <c r="F858"/>
  <c r="F857"/>
  <c r="F856"/>
  <c r="F855"/>
  <c r="F854"/>
  <c r="F853"/>
  <c r="F852"/>
  <c r="I851"/>
  <c r="F850"/>
  <c r="F849"/>
  <c r="F848"/>
  <c r="I847"/>
  <c r="F846"/>
  <c r="F845"/>
  <c r="F844"/>
  <c r="F843"/>
  <c r="F842"/>
  <c r="F841"/>
  <c r="F840"/>
  <c r="F4222" s="1"/>
  <c r="I4222" s="1"/>
  <c r="I839"/>
  <c r="I838"/>
  <c r="I866"/>
  <c r="I867"/>
  <c r="C714"/>
  <c r="C715"/>
  <c r="C716"/>
  <c r="F683"/>
  <c r="F4065" s="1"/>
  <c r="I4065" s="1"/>
  <c r="F688"/>
  <c r="F4070" s="1"/>
  <c r="I4070" s="1"/>
  <c r="F680"/>
  <c r="F4062" s="1"/>
  <c r="I4062" s="1"/>
  <c r="F679"/>
  <c r="D1594"/>
  <c r="D643" s="1"/>
  <c r="D4012" s="1"/>
  <c r="D1595"/>
  <c r="D644" s="1"/>
  <c r="D4013" s="1"/>
  <c r="D1596"/>
  <c r="D645" s="1"/>
  <c r="D4014" s="1"/>
  <c r="D1593"/>
  <c r="D642" s="1"/>
  <c r="D4011" s="1"/>
  <c r="H1594"/>
  <c r="I1592"/>
  <c r="C1593"/>
  <c r="C642" s="1"/>
  <c r="C4011" s="1"/>
  <c r="E1593"/>
  <c r="E642" s="1"/>
  <c r="E4011" s="1"/>
  <c r="F1593"/>
  <c r="F642" s="1"/>
  <c r="F4011" s="1"/>
  <c r="C1594"/>
  <c r="C643" s="1"/>
  <c r="C4012" s="1"/>
  <c r="E1594"/>
  <c r="E643" s="1"/>
  <c r="E4012" s="1"/>
  <c r="F1594"/>
  <c r="F643" s="1"/>
  <c r="F4012" s="1"/>
  <c r="C1595"/>
  <c r="C644" s="1"/>
  <c r="C4013" s="1"/>
  <c r="E1595"/>
  <c r="E644" s="1"/>
  <c r="E4013" s="1"/>
  <c r="F1595"/>
  <c r="F644" s="1"/>
  <c r="F4013" s="1"/>
  <c r="C1596"/>
  <c r="C645" s="1"/>
  <c r="C4014" s="1"/>
  <c r="E1596"/>
  <c r="E645" s="1"/>
  <c r="E4014" s="1"/>
  <c r="F1596"/>
  <c r="F645" s="1"/>
  <c r="F4014" s="1"/>
  <c r="B1592"/>
  <c r="F1259"/>
  <c r="F4818" s="1"/>
  <c r="I4818" s="1"/>
  <c r="I1205"/>
  <c r="F1256"/>
  <c r="F4637" s="1"/>
  <c r="I4637" s="1"/>
  <c r="K1254"/>
  <c r="I1255"/>
  <c r="F1254"/>
  <c r="F4635" s="1"/>
  <c r="I4635" s="1"/>
  <c r="I1252"/>
  <c r="L1251"/>
  <c r="L1256"/>
  <c r="L1260" s="1"/>
  <c r="K1261"/>
  <c r="I1253"/>
  <c r="I1251"/>
  <c r="I1250"/>
  <c r="I1260"/>
  <c r="I1261"/>
  <c r="F1247"/>
  <c r="F4628" s="1"/>
  <c r="I4628" s="1"/>
  <c r="F1246"/>
  <c r="F4627" s="1"/>
  <c r="I4627" s="1"/>
  <c r="F1241"/>
  <c r="F4622" s="1"/>
  <c r="I4622" s="1"/>
  <c r="F1240"/>
  <c r="F1239"/>
  <c r="F1238"/>
  <c r="F4619" s="1"/>
  <c r="I4619" s="1"/>
  <c r="F1235"/>
  <c r="F1234"/>
  <c r="F4615" s="1"/>
  <c r="I4615" s="1"/>
  <c r="F1233"/>
  <c r="C1226"/>
  <c r="D1226"/>
  <c r="C1227"/>
  <c r="D1227"/>
  <c r="C1228"/>
  <c r="D1228"/>
  <c r="C1229"/>
  <c r="D1229"/>
  <c r="E1216"/>
  <c r="E4591" s="1"/>
  <c r="E1217"/>
  <c r="E4592" s="1"/>
  <c r="E1218"/>
  <c r="E4593" s="1"/>
  <c r="E1215"/>
  <c r="E4590" s="1"/>
  <c r="F4591"/>
  <c r="F4592"/>
  <c r="F4593"/>
  <c r="F4590"/>
  <c r="I237" i="12"/>
  <c r="I236"/>
  <c r="I235"/>
  <c r="I1196" i="13"/>
  <c r="I1195"/>
  <c r="I1194"/>
  <c r="I1048"/>
  <c r="I1047"/>
  <c r="I1046"/>
  <c r="I887"/>
  <c r="I886"/>
  <c r="I885"/>
  <c r="I716"/>
  <c r="I715"/>
  <c r="I714"/>
  <c r="I1193"/>
  <c r="I1192"/>
  <c r="I1191"/>
  <c r="I1190"/>
  <c r="I1189"/>
  <c r="I1188"/>
  <c r="I1187"/>
  <c r="I1186"/>
  <c r="I1185"/>
  <c r="I1184"/>
  <c r="I1183"/>
  <c r="I1182"/>
  <c r="I1181"/>
  <c r="I1180"/>
  <c r="I1179"/>
  <c r="I1178"/>
  <c r="I1177"/>
  <c r="I1176"/>
  <c r="I1175"/>
  <c r="I1174"/>
  <c r="H2349" l="1"/>
  <c r="I2348"/>
  <c r="H2587"/>
  <c r="I2586"/>
  <c r="D949"/>
  <c r="D4323" s="1"/>
  <c r="I4323" s="1"/>
  <c r="I1706"/>
  <c r="D976"/>
  <c r="D4350" s="1"/>
  <c r="D972"/>
  <c r="D4346" s="1"/>
  <c r="D968"/>
  <c r="D4342" s="1"/>
  <c r="D964"/>
  <c r="D4338" s="1"/>
  <c r="D960"/>
  <c r="D4334" s="1"/>
  <c r="D956"/>
  <c r="D4330" s="1"/>
  <c r="D952"/>
  <c r="D4326" s="1"/>
  <c r="F1790"/>
  <c r="F1122" s="1"/>
  <c r="F4497" s="1"/>
  <c r="D1101"/>
  <c r="D4476" s="1"/>
  <c r="I4476" s="1"/>
  <c r="I1769"/>
  <c r="D1124"/>
  <c r="D4499" s="1"/>
  <c r="I4499" s="1"/>
  <c r="I1792"/>
  <c r="D1120"/>
  <c r="D4495" s="1"/>
  <c r="I4495" s="1"/>
  <c r="I1788"/>
  <c r="D1116"/>
  <c r="D4491" s="1"/>
  <c r="I4491" s="1"/>
  <c r="I1784"/>
  <c r="D1112"/>
  <c r="D4487" s="1"/>
  <c r="I4487" s="1"/>
  <c r="I1780"/>
  <c r="D1108"/>
  <c r="D4483" s="1"/>
  <c r="I4483" s="1"/>
  <c r="I1776"/>
  <c r="D1104"/>
  <c r="D4479" s="1"/>
  <c r="I4479" s="1"/>
  <c r="I1772"/>
  <c r="D975"/>
  <c r="D4349" s="1"/>
  <c r="D971"/>
  <c r="D4345" s="1"/>
  <c r="D967"/>
  <c r="D4341" s="1"/>
  <c r="D963"/>
  <c r="D4337" s="1"/>
  <c r="D959"/>
  <c r="D4333" s="1"/>
  <c r="D955"/>
  <c r="D4329" s="1"/>
  <c r="D951"/>
  <c r="D4325" s="1"/>
  <c r="I1708"/>
  <c r="I1766"/>
  <c r="D1123"/>
  <c r="D4498" s="1"/>
  <c r="I4498" s="1"/>
  <c r="I1791"/>
  <c r="D1119"/>
  <c r="D4494" s="1"/>
  <c r="I4494" s="1"/>
  <c r="I1787"/>
  <c r="D1115"/>
  <c r="D4490" s="1"/>
  <c r="I4490" s="1"/>
  <c r="I1783"/>
  <c r="D1111"/>
  <c r="D4486" s="1"/>
  <c r="I4486" s="1"/>
  <c r="I1779"/>
  <c r="D1107"/>
  <c r="D4482" s="1"/>
  <c r="I4482" s="1"/>
  <c r="I1775"/>
  <c r="D1103"/>
  <c r="D4478" s="1"/>
  <c r="I4478" s="1"/>
  <c r="I1771"/>
  <c r="D950"/>
  <c r="D4324" s="1"/>
  <c r="I4324" s="1"/>
  <c r="I1707"/>
  <c r="D974"/>
  <c r="D4348" s="1"/>
  <c r="I4348" s="1"/>
  <c r="I1731"/>
  <c r="D970"/>
  <c r="D4344" s="1"/>
  <c r="I4344" s="1"/>
  <c r="I1727"/>
  <c r="D966"/>
  <c r="D4340" s="1"/>
  <c r="I4340" s="1"/>
  <c r="I1723"/>
  <c r="D962"/>
  <c r="D4336" s="1"/>
  <c r="D958"/>
  <c r="D4332" s="1"/>
  <c r="D954"/>
  <c r="D4328" s="1"/>
  <c r="I1767"/>
  <c r="D1102"/>
  <c r="D4477" s="1"/>
  <c r="I4477" s="1"/>
  <c r="I1770"/>
  <c r="D1122"/>
  <c r="D4497" s="1"/>
  <c r="D1118"/>
  <c r="D4493" s="1"/>
  <c r="I4493" s="1"/>
  <c r="I1786"/>
  <c r="D1114"/>
  <c r="D4489" s="1"/>
  <c r="I4489" s="1"/>
  <c r="I1782"/>
  <c r="D1110"/>
  <c r="D4485" s="1"/>
  <c r="I4485" s="1"/>
  <c r="I1778"/>
  <c r="D1106"/>
  <c r="D4481" s="1"/>
  <c r="I4481" s="1"/>
  <c r="I1774"/>
  <c r="D973"/>
  <c r="D4347" s="1"/>
  <c r="D969"/>
  <c r="D4343" s="1"/>
  <c r="D965"/>
  <c r="D4339" s="1"/>
  <c r="D961"/>
  <c r="D4335" s="1"/>
  <c r="I4335" s="1"/>
  <c r="I1718"/>
  <c r="D957"/>
  <c r="D4331" s="1"/>
  <c r="I4331" s="1"/>
  <c r="I1714"/>
  <c r="D953"/>
  <c r="D4327" s="1"/>
  <c r="I4327" s="1"/>
  <c r="I1710"/>
  <c r="F1789"/>
  <c r="F1121" s="1"/>
  <c r="F4496" s="1"/>
  <c r="D1125"/>
  <c r="D4500" s="1"/>
  <c r="I4500" s="1"/>
  <c r="I1793"/>
  <c r="D1121"/>
  <c r="D4496" s="1"/>
  <c r="I1789"/>
  <c r="D1117"/>
  <c r="D4492" s="1"/>
  <c r="I4492" s="1"/>
  <c r="I1785"/>
  <c r="D1113"/>
  <c r="D4488" s="1"/>
  <c r="I4488" s="1"/>
  <c r="I1781"/>
  <c r="D1109"/>
  <c r="D4484" s="1"/>
  <c r="I4484" s="1"/>
  <c r="I1777"/>
  <c r="D1105"/>
  <c r="D4480" s="1"/>
  <c r="I4480" s="1"/>
  <c r="I1773"/>
  <c r="F4512"/>
  <c r="I4512" s="1"/>
  <c r="F4540"/>
  <c r="I4540" s="1"/>
  <c r="F4548"/>
  <c r="I4548" s="1"/>
  <c r="F4520"/>
  <c r="I4520" s="1"/>
  <c r="F4556"/>
  <c r="I4556" s="1"/>
  <c r="F4528"/>
  <c r="I4528" s="1"/>
  <c r="F4560"/>
  <c r="I4560" s="1"/>
  <c r="F4532"/>
  <c r="I4532" s="1"/>
  <c r="F4609"/>
  <c r="I4609" s="1"/>
  <c r="F4621"/>
  <c r="I4621" s="1"/>
  <c r="F4510"/>
  <c r="I4510" s="1"/>
  <c r="F4538"/>
  <c r="I4538" s="1"/>
  <c r="F4514"/>
  <c r="I4514" s="1"/>
  <c r="F4542"/>
  <c r="I4542" s="1"/>
  <c r="F4518"/>
  <c r="I4518" s="1"/>
  <c r="F4546"/>
  <c r="I4546" s="1"/>
  <c r="F4522"/>
  <c r="I4522" s="1"/>
  <c r="F4550"/>
  <c r="I4550" s="1"/>
  <c r="F4526"/>
  <c r="I4526" s="1"/>
  <c r="F4554"/>
  <c r="I4554" s="1"/>
  <c r="F4530"/>
  <c r="I4530" s="1"/>
  <c r="F4558"/>
  <c r="I4558" s="1"/>
  <c r="F4534"/>
  <c r="I4534" s="1"/>
  <c r="F4562"/>
  <c r="I4562" s="1"/>
  <c r="F4604"/>
  <c r="I4604" s="1"/>
  <c r="F4616"/>
  <c r="I4616" s="1"/>
  <c r="F4511"/>
  <c r="I4511" s="1"/>
  <c r="F4539"/>
  <c r="I4539" s="1"/>
  <c r="F4543"/>
  <c r="I4543" s="1"/>
  <c r="F4515"/>
  <c r="I4515" s="1"/>
  <c r="F4547"/>
  <c r="I4547" s="1"/>
  <c r="F4519"/>
  <c r="I4519" s="1"/>
  <c r="F4551"/>
  <c r="I4551" s="1"/>
  <c r="F4523"/>
  <c r="I4523" s="1"/>
  <c r="F4555"/>
  <c r="I4555" s="1"/>
  <c r="F4527"/>
  <c r="I4527" s="1"/>
  <c r="F4559"/>
  <c r="I4559" s="1"/>
  <c r="F4531"/>
  <c r="I4531" s="1"/>
  <c r="F4544"/>
  <c r="I4544" s="1"/>
  <c r="F4516"/>
  <c r="I4516" s="1"/>
  <c r="F4552"/>
  <c r="I4552" s="1"/>
  <c r="F4524"/>
  <c r="I4524" s="1"/>
  <c r="F4602"/>
  <c r="I4602" s="1"/>
  <c r="F4614"/>
  <c r="I4614" s="1"/>
  <c r="F4608"/>
  <c r="I4608" s="1"/>
  <c r="F4620"/>
  <c r="I4620" s="1"/>
  <c r="F4513"/>
  <c r="I4513" s="1"/>
  <c r="F4541"/>
  <c r="I4541" s="1"/>
  <c r="F4553"/>
  <c r="I4553" s="1"/>
  <c r="F4525"/>
  <c r="I4525" s="1"/>
  <c r="F4557"/>
  <c r="I4557" s="1"/>
  <c r="F4529"/>
  <c r="I4529" s="1"/>
  <c r="F4561"/>
  <c r="I4561" s="1"/>
  <c r="F4533"/>
  <c r="I4533" s="1"/>
  <c r="F4372"/>
  <c r="I4372" s="1"/>
  <c r="F4400"/>
  <c r="I4400" s="1"/>
  <c r="F4380"/>
  <c r="I4380" s="1"/>
  <c r="F4408"/>
  <c r="I4408" s="1"/>
  <c r="F4391"/>
  <c r="I4391" s="1"/>
  <c r="F4363"/>
  <c r="I4363" s="1"/>
  <c r="F4407"/>
  <c r="I4407" s="1"/>
  <c r="F4379"/>
  <c r="I4379" s="1"/>
  <c r="F4364"/>
  <c r="I4364" s="1"/>
  <c r="F4392"/>
  <c r="I4392" s="1"/>
  <c r="F4368"/>
  <c r="I4368" s="1"/>
  <c r="F4396"/>
  <c r="I4396" s="1"/>
  <c r="F4376"/>
  <c r="I4376" s="1"/>
  <c r="F4404"/>
  <c r="I4404" s="1"/>
  <c r="F4384"/>
  <c r="I4384" s="1"/>
  <c r="F4412"/>
  <c r="I4412" s="1"/>
  <c r="F4389"/>
  <c r="I4389" s="1"/>
  <c r="F4361"/>
  <c r="I4361" s="1"/>
  <c r="F4393"/>
  <c r="I4393" s="1"/>
  <c r="F4365"/>
  <c r="I4365" s="1"/>
  <c r="F4369"/>
  <c r="I4369" s="1"/>
  <c r="F4397"/>
  <c r="I4397" s="1"/>
  <c r="F4373"/>
  <c r="I4373" s="1"/>
  <c r="F4401"/>
  <c r="I4401" s="1"/>
  <c r="F4377"/>
  <c r="I4377" s="1"/>
  <c r="F4405"/>
  <c r="I4405" s="1"/>
  <c r="F4409"/>
  <c r="I4409" s="1"/>
  <c r="F4381"/>
  <c r="I4381" s="1"/>
  <c r="F4403"/>
  <c r="I4403" s="1"/>
  <c r="F4375"/>
  <c r="I4375" s="1"/>
  <c r="F4411"/>
  <c r="I4411" s="1"/>
  <c r="F4383"/>
  <c r="I4383" s="1"/>
  <c r="F4390"/>
  <c r="I4390" s="1"/>
  <c r="F4362"/>
  <c r="I4362" s="1"/>
  <c r="F4394"/>
  <c r="I4394" s="1"/>
  <c r="F4366"/>
  <c r="I4366" s="1"/>
  <c r="F4370"/>
  <c r="I4370" s="1"/>
  <c r="F4398"/>
  <c r="I4398" s="1"/>
  <c r="F4374"/>
  <c r="I4374" s="1"/>
  <c r="F4402"/>
  <c r="I4402" s="1"/>
  <c r="F4406"/>
  <c r="I4406" s="1"/>
  <c r="F4378"/>
  <c r="I4378" s="1"/>
  <c r="F4410"/>
  <c r="I4410" s="1"/>
  <c r="F4382"/>
  <c r="I4382" s="1"/>
  <c r="F4196"/>
  <c r="I4196" s="1"/>
  <c r="F4223"/>
  <c r="I4223" s="1"/>
  <c r="F4200"/>
  <c r="I4200" s="1"/>
  <c r="F4227"/>
  <c r="I4227" s="1"/>
  <c r="F4204"/>
  <c r="I4204" s="1"/>
  <c r="F4231"/>
  <c r="I4231" s="1"/>
  <c r="F4208"/>
  <c r="I4208" s="1"/>
  <c r="F4235"/>
  <c r="I4235" s="1"/>
  <c r="F4212"/>
  <c r="I4212" s="1"/>
  <c r="F4239"/>
  <c r="I4239" s="1"/>
  <c r="F4216"/>
  <c r="I4216" s="1"/>
  <c r="F4243"/>
  <c r="I4243" s="1"/>
  <c r="I4159"/>
  <c r="I4180"/>
  <c r="I4176"/>
  <c r="F4197"/>
  <c r="I4197" s="1"/>
  <c r="F4224"/>
  <c r="I4224" s="1"/>
  <c r="F4201"/>
  <c r="I4201" s="1"/>
  <c r="F4228"/>
  <c r="I4228" s="1"/>
  <c r="F4209"/>
  <c r="I4209" s="1"/>
  <c r="F4236"/>
  <c r="I4236" s="1"/>
  <c r="F4198"/>
  <c r="I4198" s="1"/>
  <c r="F4225"/>
  <c r="I4225" s="1"/>
  <c r="F4210"/>
  <c r="I4210" s="1"/>
  <c r="F4237"/>
  <c r="I4237" s="1"/>
  <c r="F4241"/>
  <c r="I4241" s="1"/>
  <c r="F4214"/>
  <c r="I4214" s="1"/>
  <c r="F4245"/>
  <c r="I4245" s="1"/>
  <c r="F4218"/>
  <c r="I4218" s="1"/>
  <c r="I4160"/>
  <c r="I4183"/>
  <c r="I4171"/>
  <c r="I4167"/>
  <c r="I4163"/>
  <c r="F4205"/>
  <c r="I4205" s="1"/>
  <c r="F4232"/>
  <c r="I4232" s="1"/>
  <c r="F4240"/>
  <c r="I4240" s="1"/>
  <c r="F4213"/>
  <c r="I4213" s="1"/>
  <c r="F4244"/>
  <c r="I4244" s="1"/>
  <c r="F4217"/>
  <c r="I4217" s="1"/>
  <c r="F4199"/>
  <c r="I4199" s="1"/>
  <c r="F4226"/>
  <c r="I4226" s="1"/>
  <c r="F4203"/>
  <c r="I4203" s="1"/>
  <c r="F4230"/>
  <c r="I4230" s="1"/>
  <c r="F4207"/>
  <c r="I4207" s="1"/>
  <c r="F4234"/>
  <c r="I4234" s="1"/>
  <c r="F4238"/>
  <c r="I4238" s="1"/>
  <c r="F4211"/>
  <c r="I4211" s="1"/>
  <c r="F4242"/>
  <c r="I4242" s="1"/>
  <c r="F4215"/>
  <c r="I4215" s="1"/>
  <c r="F4246"/>
  <c r="I4246" s="1"/>
  <c r="F4219"/>
  <c r="I4219" s="1"/>
  <c r="F4031"/>
  <c r="I4031" s="1"/>
  <c r="F4061"/>
  <c r="I4061" s="1"/>
  <c r="C4097"/>
  <c r="C4096"/>
  <c r="C4095"/>
  <c r="I4011"/>
  <c r="C4798"/>
  <c r="C4804"/>
  <c r="C4799"/>
  <c r="C4805"/>
  <c r="D4800"/>
  <c r="D4806"/>
  <c r="D4798"/>
  <c r="D4804"/>
  <c r="D4801"/>
  <c r="D4807"/>
  <c r="D4799"/>
  <c r="D4805"/>
  <c r="C4800"/>
  <c r="C4806"/>
  <c r="C4801"/>
  <c r="C4807"/>
  <c r="F3145"/>
  <c r="I3145" s="1"/>
  <c r="F4610"/>
  <c r="I4610" s="1"/>
  <c r="F2830"/>
  <c r="I2830" s="1"/>
  <c r="F4035"/>
  <c r="I4035" s="1"/>
  <c r="F2911"/>
  <c r="I2911" s="1"/>
  <c r="F2923"/>
  <c r="I2923" s="1"/>
  <c r="F2927"/>
  <c r="I2927" s="1"/>
  <c r="F2931"/>
  <c r="I2931" s="1"/>
  <c r="F2990"/>
  <c r="I2990" s="1"/>
  <c r="F4360"/>
  <c r="I4360" s="1"/>
  <c r="F2994"/>
  <c r="I2994" s="1"/>
  <c r="F2998"/>
  <c r="I2998" s="1"/>
  <c r="F3002"/>
  <c r="I3002" s="1"/>
  <c r="F3006"/>
  <c r="I3006" s="1"/>
  <c r="F3010"/>
  <c r="I3010" s="1"/>
  <c r="F3014"/>
  <c r="I3014" s="1"/>
  <c r="F3142"/>
  <c r="I3142" s="1"/>
  <c r="F4607"/>
  <c r="I4607" s="1"/>
  <c r="F2908"/>
  <c r="I2908" s="1"/>
  <c r="F4195"/>
  <c r="I4195" s="1"/>
  <c r="F2912"/>
  <c r="I2912" s="1"/>
  <c r="F2916"/>
  <c r="I2916" s="1"/>
  <c r="F2920"/>
  <c r="I2920" s="1"/>
  <c r="F2924"/>
  <c r="I2924" s="1"/>
  <c r="F2928"/>
  <c r="I2928" s="1"/>
  <c r="F2932"/>
  <c r="I2932" s="1"/>
  <c r="F2991"/>
  <c r="I2991" s="1"/>
  <c r="F2995"/>
  <c r="I2995" s="1"/>
  <c r="F2999"/>
  <c r="I2999" s="1"/>
  <c r="F3003"/>
  <c r="I3003" s="1"/>
  <c r="F3007"/>
  <c r="I3007" s="1"/>
  <c r="F3011"/>
  <c r="I3011" s="1"/>
  <c r="F2827"/>
  <c r="I2827" s="1"/>
  <c r="F4032"/>
  <c r="I4032" s="1"/>
  <c r="F2909"/>
  <c r="I2909" s="1"/>
  <c r="F2913"/>
  <c r="I2913" s="1"/>
  <c r="F2917"/>
  <c r="I2917" s="1"/>
  <c r="F2921"/>
  <c r="I2921" s="1"/>
  <c r="F2925"/>
  <c r="I2925" s="1"/>
  <c r="F2929"/>
  <c r="I2929" s="1"/>
  <c r="F2992"/>
  <c r="I2992" s="1"/>
  <c r="F2996"/>
  <c r="I2996" s="1"/>
  <c r="F3000"/>
  <c r="I3000" s="1"/>
  <c r="F3004"/>
  <c r="I3004" s="1"/>
  <c r="F3008"/>
  <c r="I3008" s="1"/>
  <c r="F3012"/>
  <c r="I3012" s="1"/>
  <c r="F3138"/>
  <c r="I3138" s="1"/>
  <c r="F4603"/>
  <c r="I4603" s="1"/>
  <c r="F2835"/>
  <c r="F4040"/>
  <c r="I4040" s="1"/>
  <c r="F2910"/>
  <c r="I2910" s="1"/>
  <c r="F2914"/>
  <c r="I2914" s="1"/>
  <c r="F2918"/>
  <c r="I2918" s="1"/>
  <c r="F2922"/>
  <c r="I2922" s="1"/>
  <c r="F2926"/>
  <c r="I2926" s="1"/>
  <c r="F2930"/>
  <c r="I2930" s="1"/>
  <c r="F2993"/>
  <c r="I2993" s="1"/>
  <c r="F3005"/>
  <c r="I3005" s="1"/>
  <c r="F3009"/>
  <c r="I3009" s="1"/>
  <c r="F3013"/>
  <c r="F3132"/>
  <c r="I3132" s="1"/>
  <c r="F3144"/>
  <c r="I3144" s="1"/>
  <c r="F3125"/>
  <c r="I3125" s="1"/>
  <c r="F3137"/>
  <c r="I3137" s="1"/>
  <c r="F3131"/>
  <c r="I3131" s="1"/>
  <c r="F3143"/>
  <c r="I3143" s="1"/>
  <c r="F3127"/>
  <c r="I3127" s="1"/>
  <c r="F3139"/>
  <c r="I3139" s="1"/>
  <c r="F3152"/>
  <c r="I3152" s="1"/>
  <c r="F3151"/>
  <c r="I3151" s="1"/>
  <c r="F3078"/>
  <c r="I3078" s="1"/>
  <c r="F3050"/>
  <c r="I3050" s="1"/>
  <c r="F3082"/>
  <c r="I3082" s="1"/>
  <c r="F3054"/>
  <c r="I3054" s="1"/>
  <c r="F3086"/>
  <c r="I3086" s="1"/>
  <c r="F3058"/>
  <c r="I3058" s="1"/>
  <c r="F3090"/>
  <c r="I3090" s="1"/>
  <c r="F3062"/>
  <c r="I3062" s="1"/>
  <c r="F3094"/>
  <c r="I3094" s="1"/>
  <c r="F3066"/>
  <c r="I3066" s="1"/>
  <c r="F3098"/>
  <c r="F3070"/>
  <c r="I3070" s="1"/>
  <c r="F3079"/>
  <c r="I3079" s="1"/>
  <c r="F3051"/>
  <c r="I3051" s="1"/>
  <c r="F3091"/>
  <c r="I3091" s="1"/>
  <c r="F3063"/>
  <c r="I3063" s="1"/>
  <c r="F3095"/>
  <c r="F3067"/>
  <c r="I3067" s="1"/>
  <c r="F3099"/>
  <c r="F3071"/>
  <c r="I3071" s="1"/>
  <c r="F3080"/>
  <c r="I3080" s="1"/>
  <c r="F3052"/>
  <c r="I3052" s="1"/>
  <c r="F3084"/>
  <c r="I3084" s="1"/>
  <c r="F3056"/>
  <c r="I3056" s="1"/>
  <c r="F3088"/>
  <c r="I3088" s="1"/>
  <c r="F3060"/>
  <c r="I3060" s="1"/>
  <c r="F3092"/>
  <c r="I3092" s="1"/>
  <c r="F3064"/>
  <c r="I3064" s="1"/>
  <c r="F3096"/>
  <c r="I3096" s="1"/>
  <c r="F3068"/>
  <c r="I3068" s="1"/>
  <c r="F3076"/>
  <c r="I3076" s="1"/>
  <c r="F3048"/>
  <c r="I3048" s="1"/>
  <c r="F3077"/>
  <c r="I3077" s="1"/>
  <c r="F3049"/>
  <c r="I3049" s="1"/>
  <c r="F3081"/>
  <c r="I3081" s="1"/>
  <c r="F3053"/>
  <c r="I3053" s="1"/>
  <c r="F3085"/>
  <c r="I3085" s="1"/>
  <c r="F3057"/>
  <c r="I3057" s="1"/>
  <c r="F3089"/>
  <c r="I3089" s="1"/>
  <c r="F3061"/>
  <c r="I3061" s="1"/>
  <c r="F3093"/>
  <c r="I3093" s="1"/>
  <c r="F3065"/>
  <c r="I3065" s="1"/>
  <c r="F3097"/>
  <c r="I3097" s="1"/>
  <c r="F3069"/>
  <c r="I3069" s="1"/>
  <c r="F3100"/>
  <c r="I3100" s="1"/>
  <c r="F3072"/>
  <c r="I3072" s="1"/>
  <c r="F2795"/>
  <c r="I2795" s="1"/>
  <c r="F2826"/>
  <c r="I2826" s="1"/>
  <c r="C2860"/>
  <c r="C2861"/>
  <c r="C2862"/>
  <c r="G645"/>
  <c r="E1227"/>
  <c r="F1229"/>
  <c r="I1241"/>
  <c r="F3133"/>
  <c r="I3133" s="1"/>
  <c r="I1254"/>
  <c r="I683"/>
  <c r="F2799"/>
  <c r="I2799" s="1"/>
  <c r="I842"/>
  <c r="F2882"/>
  <c r="I2882" s="1"/>
  <c r="I846"/>
  <c r="F2886"/>
  <c r="I2886" s="1"/>
  <c r="I850"/>
  <c r="F2890"/>
  <c r="I2890" s="1"/>
  <c r="I854"/>
  <c r="F2894"/>
  <c r="I2894" s="1"/>
  <c r="I858"/>
  <c r="F2898"/>
  <c r="I2898" s="1"/>
  <c r="I862"/>
  <c r="F2902"/>
  <c r="I2902" s="1"/>
  <c r="I1001"/>
  <c r="F2963"/>
  <c r="I2963" s="1"/>
  <c r="I1005"/>
  <c r="F2967"/>
  <c r="I2967" s="1"/>
  <c r="I1009"/>
  <c r="F2971"/>
  <c r="I2971" s="1"/>
  <c r="I1013"/>
  <c r="F2975"/>
  <c r="I2975" s="1"/>
  <c r="I1017"/>
  <c r="F2979"/>
  <c r="I2979" s="1"/>
  <c r="I1021"/>
  <c r="F2983"/>
  <c r="I2983" s="1"/>
  <c r="I1024"/>
  <c r="F2986"/>
  <c r="I2986" s="1"/>
  <c r="I1149"/>
  <c r="I1153"/>
  <c r="I1157"/>
  <c r="I1161"/>
  <c r="I1165"/>
  <c r="I1169"/>
  <c r="F1228"/>
  <c r="I1238"/>
  <c r="F3130"/>
  <c r="I3130" s="1"/>
  <c r="I1259"/>
  <c r="I843"/>
  <c r="F2883"/>
  <c r="I2883" s="1"/>
  <c r="I855"/>
  <c r="F2895"/>
  <c r="I2895" s="1"/>
  <c r="I859"/>
  <c r="F2899"/>
  <c r="I2899" s="1"/>
  <c r="I863"/>
  <c r="F2903"/>
  <c r="I2903" s="1"/>
  <c r="I1002"/>
  <c r="F2964"/>
  <c r="I2964" s="1"/>
  <c r="I1006"/>
  <c r="F2968"/>
  <c r="I2968" s="1"/>
  <c r="I1010"/>
  <c r="F2972"/>
  <c r="I2972" s="1"/>
  <c r="I1014"/>
  <c r="F2976"/>
  <c r="I2976" s="1"/>
  <c r="I1018"/>
  <c r="F2980"/>
  <c r="I2980" s="1"/>
  <c r="I1022"/>
  <c r="F2984"/>
  <c r="I2984" s="1"/>
  <c r="I1150"/>
  <c r="I1154"/>
  <c r="I1158"/>
  <c r="I1162"/>
  <c r="I1166"/>
  <c r="I1170"/>
  <c r="I1173"/>
  <c r="E1229"/>
  <c r="F1226"/>
  <c r="F1227"/>
  <c r="E1228"/>
  <c r="I680"/>
  <c r="F2796"/>
  <c r="I2796" s="1"/>
  <c r="I840"/>
  <c r="F2880"/>
  <c r="I2880" s="1"/>
  <c r="I844"/>
  <c r="F2884"/>
  <c r="I2884" s="1"/>
  <c r="I848"/>
  <c r="F2888"/>
  <c r="I2888" s="1"/>
  <c r="I852"/>
  <c r="F2892"/>
  <c r="I2892" s="1"/>
  <c r="I856"/>
  <c r="F2896"/>
  <c r="I2896" s="1"/>
  <c r="I860"/>
  <c r="F2900"/>
  <c r="I2900" s="1"/>
  <c r="I1003"/>
  <c r="F2965"/>
  <c r="I2965" s="1"/>
  <c r="I1015"/>
  <c r="F2977"/>
  <c r="I2977" s="1"/>
  <c r="I1019"/>
  <c r="F2981"/>
  <c r="I2981" s="1"/>
  <c r="I1023"/>
  <c r="F2985"/>
  <c r="I2985" s="1"/>
  <c r="I1151"/>
  <c r="I1155"/>
  <c r="I1159"/>
  <c r="I1163"/>
  <c r="I1167"/>
  <c r="I1171"/>
  <c r="E1226"/>
  <c r="I1234"/>
  <c r="F3126"/>
  <c r="I3126" s="1"/>
  <c r="I1256"/>
  <c r="I688"/>
  <c r="F2804"/>
  <c r="I2804" s="1"/>
  <c r="I841"/>
  <c r="F2881"/>
  <c r="I2881" s="1"/>
  <c r="I845"/>
  <c r="F2885"/>
  <c r="I2885" s="1"/>
  <c r="I849"/>
  <c r="F2889"/>
  <c r="I2889" s="1"/>
  <c r="I853"/>
  <c r="F2893"/>
  <c r="I2893" s="1"/>
  <c r="I857"/>
  <c r="F2897"/>
  <c r="I2897" s="1"/>
  <c r="I861"/>
  <c r="F2901"/>
  <c r="I2901" s="1"/>
  <c r="I864"/>
  <c r="F2904"/>
  <c r="I2904" s="1"/>
  <c r="I1000"/>
  <c r="F2962"/>
  <c r="I2962" s="1"/>
  <c r="I1004"/>
  <c r="F2966"/>
  <c r="I2966" s="1"/>
  <c r="I1008"/>
  <c r="F2970"/>
  <c r="I2970" s="1"/>
  <c r="I1012"/>
  <c r="F2974"/>
  <c r="I2974" s="1"/>
  <c r="I1016"/>
  <c r="F2978"/>
  <c r="I2978" s="1"/>
  <c r="I1020"/>
  <c r="F2982"/>
  <c r="I2982" s="1"/>
  <c r="I1152"/>
  <c r="I1164"/>
  <c r="I1168"/>
  <c r="I1172"/>
  <c r="I2693"/>
  <c r="H2629"/>
  <c r="I2628"/>
  <c r="I1869"/>
  <c r="I1862"/>
  <c r="I1855"/>
  <c r="I1876"/>
  <c r="H1709"/>
  <c r="I1709" s="1"/>
  <c r="H951"/>
  <c r="H4325" s="1"/>
  <c r="I800"/>
  <c r="I813"/>
  <c r="I809"/>
  <c r="H1640"/>
  <c r="H794"/>
  <c r="H4161" s="1"/>
  <c r="I4161" s="1"/>
  <c r="I793"/>
  <c r="I796"/>
  <c r="I816"/>
  <c r="I804"/>
  <c r="I792"/>
  <c r="I642"/>
  <c r="H1595"/>
  <c r="I1595" s="1"/>
  <c r="H643"/>
  <c r="H4012" s="1"/>
  <c r="I4012" s="1"/>
  <c r="I1641"/>
  <c r="I1638"/>
  <c r="I1645"/>
  <c r="I1637"/>
  <c r="I1654"/>
  <c r="I1658"/>
  <c r="I1661"/>
  <c r="I1649"/>
  <c r="I1594"/>
  <c r="I1593"/>
  <c r="F1143"/>
  <c r="D1129"/>
  <c r="D1130"/>
  <c r="D1131"/>
  <c r="D1132"/>
  <c r="D1133"/>
  <c r="D1134"/>
  <c r="D1135"/>
  <c r="D1136"/>
  <c r="D1137"/>
  <c r="D1138"/>
  <c r="D1139"/>
  <c r="H1082"/>
  <c r="H4457" s="1"/>
  <c r="H1087"/>
  <c r="H4462" s="1"/>
  <c r="H1091"/>
  <c r="H4466" s="1"/>
  <c r="H1095"/>
  <c r="H4470" s="1"/>
  <c r="H1098"/>
  <c r="H4473" s="1"/>
  <c r="I1076"/>
  <c r="I1077"/>
  <c r="C1074"/>
  <c r="C1075"/>
  <c r="C1070"/>
  <c r="C1071"/>
  <c r="C1072"/>
  <c r="C1073"/>
  <c r="C1068"/>
  <c r="C1069"/>
  <c r="C1066"/>
  <c r="C1067"/>
  <c r="C1065"/>
  <c r="I1045"/>
  <c r="I1044"/>
  <c r="I1043"/>
  <c r="I1042"/>
  <c r="I1041"/>
  <c r="I1040"/>
  <c r="I1039"/>
  <c r="I1038"/>
  <c r="I1037"/>
  <c r="I1036"/>
  <c r="I1035"/>
  <c r="I1034"/>
  <c r="I1033"/>
  <c r="I1032"/>
  <c r="I1031"/>
  <c r="I1030"/>
  <c r="I1029"/>
  <c r="I1028"/>
  <c r="I1027"/>
  <c r="I1026"/>
  <c r="I1025"/>
  <c r="F994"/>
  <c r="H981"/>
  <c r="G981"/>
  <c r="C980"/>
  <c r="D980"/>
  <c r="C981"/>
  <c r="D981"/>
  <c r="C982"/>
  <c r="D982"/>
  <c r="C983"/>
  <c r="D983"/>
  <c r="C984"/>
  <c r="D984"/>
  <c r="C985"/>
  <c r="D985"/>
  <c r="C986"/>
  <c r="D986"/>
  <c r="C987"/>
  <c r="D987"/>
  <c r="C988"/>
  <c r="D988"/>
  <c r="C989"/>
  <c r="D989"/>
  <c r="C990"/>
  <c r="D990"/>
  <c r="C991"/>
  <c r="D991"/>
  <c r="C992"/>
  <c r="D992"/>
  <c r="C945"/>
  <c r="C4319" s="1"/>
  <c r="D945"/>
  <c r="E945"/>
  <c r="E4319" s="1"/>
  <c r="F945"/>
  <c r="F4319" s="1"/>
  <c r="G945"/>
  <c r="C946"/>
  <c r="C4320" s="1"/>
  <c r="D946"/>
  <c r="D4320" s="1"/>
  <c r="E946"/>
  <c r="E4320" s="1"/>
  <c r="F946"/>
  <c r="F4320" s="1"/>
  <c r="G946"/>
  <c r="C947"/>
  <c r="C4321" s="1"/>
  <c r="D947"/>
  <c r="D4321" s="1"/>
  <c r="E947"/>
  <c r="E4321" s="1"/>
  <c r="F947"/>
  <c r="F4321" s="1"/>
  <c r="G947"/>
  <c r="C919"/>
  <c r="C4293" s="1"/>
  <c r="D919"/>
  <c r="D4293" s="1"/>
  <c r="E919"/>
  <c r="E4293" s="1"/>
  <c r="F919"/>
  <c r="F4293" s="1"/>
  <c r="G919"/>
  <c r="C920"/>
  <c r="C4294" s="1"/>
  <c r="D920"/>
  <c r="E920"/>
  <c r="E4294" s="1"/>
  <c r="F920"/>
  <c r="F4294" s="1"/>
  <c r="G920"/>
  <c r="C921"/>
  <c r="C4295" s="1"/>
  <c r="D921"/>
  <c r="D4295" s="1"/>
  <c r="E921"/>
  <c r="E4295" s="1"/>
  <c r="F921"/>
  <c r="F4295" s="1"/>
  <c r="G921"/>
  <c r="C922"/>
  <c r="C4296" s="1"/>
  <c r="D922"/>
  <c r="D4296" s="1"/>
  <c r="E922"/>
  <c r="E4296" s="1"/>
  <c r="F922"/>
  <c r="F4296" s="1"/>
  <c r="G922"/>
  <c r="C923"/>
  <c r="C4297" s="1"/>
  <c r="D923"/>
  <c r="D4297" s="1"/>
  <c r="E923"/>
  <c r="E4297" s="1"/>
  <c r="F923"/>
  <c r="F4297" s="1"/>
  <c r="G923"/>
  <c r="C924"/>
  <c r="C4298" s="1"/>
  <c r="D924"/>
  <c r="E924"/>
  <c r="E4298" s="1"/>
  <c r="F924"/>
  <c r="F4298" s="1"/>
  <c r="G924"/>
  <c r="C925"/>
  <c r="C4299" s="1"/>
  <c r="D925"/>
  <c r="D4299" s="1"/>
  <c r="E925"/>
  <c r="E4299" s="1"/>
  <c r="F925"/>
  <c r="F4299" s="1"/>
  <c r="G925"/>
  <c r="C926"/>
  <c r="C4300" s="1"/>
  <c r="D926"/>
  <c r="D4300" s="1"/>
  <c r="E926"/>
  <c r="E4300" s="1"/>
  <c r="F926"/>
  <c r="F4300" s="1"/>
  <c r="G926"/>
  <c r="C927"/>
  <c r="C4301" s="1"/>
  <c r="D927"/>
  <c r="D4301" s="1"/>
  <c r="E927"/>
  <c r="E4301" s="1"/>
  <c r="F927"/>
  <c r="F4301" s="1"/>
  <c r="G927"/>
  <c r="C928"/>
  <c r="C4302" s="1"/>
  <c r="D928"/>
  <c r="E928"/>
  <c r="E4302" s="1"/>
  <c r="F928"/>
  <c r="F4302" s="1"/>
  <c r="G928"/>
  <c r="C929"/>
  <c r="C4303" s="1"/>
  <c r="D929"/>
  <c r="D4303" s="1"/>
  <c r="E929"/>
  <c r="E4303" s="1"/>
  <c r="F929"/>
  <c r="F4303" s="1"/>
  <c r="G929"/>
  <c r="C930"/>
  <c r="C4304" s="1"/>
  <c r="D930"/>
  <c r="D4304" s="1"/>
  <c r="E930"/>
  <c r="E4304" s="1"/>
  <c r="F930"/>
  <c r="F4304" s="1"/>
  <c r="G930"/>
  <c r="C931"/>
  <c r="C4305" s="1"/>
  <c r="D931"/>
  <c r="D4305" s="1"/>
  <c r="E931"/>
  <c r="E4305" s="1"/>
  <c r="F931"/>
  <c r="F4305" s="1"/>
  <c r="G931"/>
  <c r="C932"/>
  <c r="C4306" s="1"/>
  <c r="D932"/>
  <c r="E932"/>
  <c r="E4306" s="1"/>
  <c r="F932"/>
  <c r="F4306" s="1"/>
  <c r="G932"/>
  <c r="C933"/>
  <c r="C4307" s="1"/>
  <c r="D933"/>
  <c r="D4307" s="1"/>
  <c r="E933"/>
  <c r="E4307" s="1"/>
  <c r="F933"/>
  <c r="F4307" s="1"/>
  <c r="G933"/>
  <c r="C934"/>
  <c r="C4308" s="1"/>
  <c r="D934"/>
  <c r="D4308" s="1"/>
  <c r="E934"/>
  <c r="E4308" s="1"/>
  <c r="F934"/>
  <c r="F4308" s="1"/>
  <c r="G934"/>
  <c r="C935"/>
  <c r="C4309" s="1"/>
  <c r="D935"/>
  <c r="D4309" s="1"/>
  <c r="E935"/>
  <c r="E4309" s="1"/>
  <c r="F935"/>
  <c r="F4309" s="1"/>
  <c r="G935"/>
  <c r="C936"/>
  <c r="C4310" s="1"/>
  <c r="D936"/>
  <c r="E936"/>
  <c r="E4310" s="1"/>
  <c r="F936"/>
  <c r="F4310" s="1"/>
  <c r="G936"/>
  <c r="C937"/>
  <c r="C4311" s="1"/>
  <c r="D937"/>
  <c r="D4311" s="1"/>
  <c r="E937"/>
  <c r="E4311" s="1"/>
  <c r="F937"/>
  <c r="F4311" s="1"/>
  <c r="G937"/>
  <c r="C938"/>
  <c r="C4312" s="1"/>
  <c r="D938"/>
  <c r="D4312" s="1"/>
  <c r="E938"/>
  <c r="E4312" s="1"/>
  <c r="F938"/>
  <c r="F4312" s="1"/>
  <c r="G938"/>
  <c r="C939"/>
  <c r="C4313" s="1"/>
  <c r="D939"/>
  <c r="D4313" s="1"/>
  <c r="E939"/>
  <c r="E4313" s="1"/>
  <c r="F939"/>
  <c r="F4313" s="1"/>
  <c r="G939"/>
  <c r="C940"/>
  <c r="C4314" s="1"/>
  <c r="D940"/>
  <c r="E940"/>
  <c r="E4314" s="1"/>
  <c r="F940"/>
  <c r="F4314" s="1"/>
  <c r="G940"/>
  <c r="C941"/>
  <c r="C4315" s="1"/>
  <c r="D941"/>
  <c r="D4315" s="1"/>
  <c r="E941"/>
  <c r="E4315" s="1"/>
  <c r="F941"/>
  <c r="F4315" s="1"/>
  <c r="G941"/>
  <c r="C942"/>
  <c r="C4316" s="1"/>
  <c r="D942"/>
  <c r="D4316" s="1"/>
  <c r="E942"/>
  <c r="E4316" s="1"/>
  <c r="F942"/>
  <c r="F4316" s="1"/>
  <c r="G942"/>
  <c r="C943"/>
  <c r="C4317" s="1"/>
  <c r="D943"/>
  <c r="D4317" s="1"/>
  <c r="E943"/>
  <c r="E4317" s="1"/>
  <c r="F943"/>
  <c r="F4317" s="1"/>
  <c r="G943"/>
  <c r="C944"/>
  <c r="C4318" s="1"/>
  <c r="D944"/>
  <c r="E944"/>
  <c r="E4318" s="1"/>
  <c r="F944"/>
  <c r="F4318" s="1"/>
  <c r="G944"/>
  <c r="D918"/>
  <c r="D4292" s="1"/>
  <c r="E918"/>
  <c r="E4292" s="1"/>
  <c r="G918"/>
  <c r="C918"/>
  <c r="C4292" s="1"/>
  <c r="G904"/>
  <c r="G738"/>
  <c r="E905"/>
  <c r="E4279" s="1"/>
  <c r="F4279"/>
  <c r="E906"/>
  <c r="E4280" s="1"/>
  <c r="F4280"/>
  <c r="E907"/>
  <c r="E4281" s="1"/>
  <c r="F4281"/>
  <c r="E908"/>
  <c r="E4282" s="1"/>
  <c r="F4282"/>
  <c r="E909"/>
  <c r="E4283" s="1"/>
  <c r="F4283"/>
  <c r="E910"/>
  <c r="E4284" s="1"/>
  <c r="F4284"/>
  <c r="E911"/>
  <c r="E4285" s="1"/>
  <c r="F4285"/>
  <c r="E912"/>
  <c r="E4286" s="1"/>
  <c r="F4286"/>
  <c r="E913"/>
  <c r="E4287" s="1"/>
  <c r="F4287"/>
  <c r="E914"/>
  <c r="E4288" s="1"/>
  <c r="F4288"/>
  <c r="E915"/>
  <c r="E4289" s="1"/>
  <c r="F4289"/>
  <c r="H904"/>
  <c r="H4278" s="1"/>
  <c r="F4278"/>
  <c r="E904"/>
  <c r="E4278" s="1"/>
  <c r="F4277"/>
  <c r="E903"/>
  <c r="E4277" s="1"/>
  <c r="M891"/>
  <c r="N891"/>
  <c r="P891"/>
  <c r="C892"/>
  <c r="C4713" s="1"/>
  <c r="C893"/>
  <c r="C4714" s="1"/>
  <c r="C894"/>
  <c r="D894"/>
  <c r="E894"/>
  <c r="F894"/>
  <c r="G894"/>
  <c r="H894"/>
  <c r="C4718"/>
  <c r="D4718"/>
  <c r="E4718"/>
  <c r="J4718"/>
  <c r="K4718"/>
  <c r="L4718"/>
  <c r="I884"/>
  <c r="C884"/>
  <c r="I883"/>
  <c r="C883"/>
  <c r="I882"/>
  <c r="C882"/>
  <c r="I881"/>
  <c r="C881"/>
  <c r="I880"/>
  <c r="C880"/>
  <c r="I879"/>
  <c r="C879"/>
  <c r="I878"/>
  <c r="C878"/>
  <c r="I877"/>
  <c r="C877"/>
  <c r="I876"/>
  <c r="C876"/>
  <c r="I875"/>
  <c r="C875"/>
  <c r="I874"/>
  <c r="C874"/>
  <c r="I873"/>
  <c r="C873"/>
  <c r="I872"/>
  <c r="C872"/>
  <c r="I871"/>
  <c r="C871"/>
  <c r="I870"/>
  <c r="C870"/>
  <c r="I869"/>
  <c r="C869"/>
  <c r="I868"/>
  <c r="C868"/>
  <c r="C4254" s="1"/>
  <c r="I837"/>
  <c r="F835"/>
  <c r="F834"/>
  <c r="H822"/>
  <c r="G822"/>
  <c r="C821"/>
  <c r="D821"/>
  <c r="D4188" s="1"/>
  <c r="I4188" s="1"/>
  <c r="C822"/>
  <c r="D822"/>
  <c r="D4189" s="1"/>
  <c r="C823"/>
  <c r="D823"/>
  <c r="D4190" s="1"/>
  <c r="C824"/>
  <c r="D824"/>
  <c r="D4191" s="1"/>
  <c r="I4191" s="1"/>
  <c r="C825"/>
  <c r="D825"/>
  <c r="C826"/>
  <c r="D826"/>
  <c r="C827"/>
  <c r="D827"/>
  <c r="C828"/>
  <c r="D828"/>
  <c r="C829"/>
  <c r="D829"/>
  <c r="C830"/>
  <c r="D830"/>
  <c r="C831"/>
  <c r="D831"/>
  <c r="H1267"/>
  <c r="H751"/>
  <c r="H4121" s="1"/>
  <c r="H738"/>
  <c r="H4108" s="1"/>
  <c r="F4108"/>
  <c r="F4109"/>
  <c r="F4110"/>
  <c r="F4111"/>
  <c r="F4112"/>
  <c r="F4113"/>
  <c r="F4114"/>
  <c r="F4115"/>
  <c r="F4116"/>
  <c r="F4117"/>
  <c r="F4107"/>
  <c r="E4108"/>
  <c r="E4109"/>
  <c r="E4110"/>
  <c r="E4111"/>
  <c r="E4112"/>
  <c r="E4113"/>
  <c r="E4114"/>
  <c r="E4115"/>
  <c r="E4116"/>
  <c r="E4117"/>
  <c r="E4107"/>
  <c r="K720"/>
  <c r="F721"/>
  <c r="C705"/>
  <c r="C4086" s="1"/>
  <c r="I705"/>
  <c r="C698"/>
  <c r="C699"/>
  <c r="C700"/>
  <c r="C701"/>
  <c r="C702"/>
  <c r="C703"/>
  <c r="C704"/>
  <c r="C706"/>
  <c r="C707"/>
  <c r="C708"/>
  <c r="C709"/>
  <c r="C710"/>
  <c r="C711"/>
  <c r="C712"/>
  <c r="C713"/>
  <c r="C697"/>
  <c r="C4078" s="1"/>
  <c r="I723"/>
  <c r="I722"/>
  <c r="I720"/>
  <c r="F692"/>
  <c r="F4074" s="1"/>
  <c r="I4074" s="1"/>
  <c r="F691"/>
  <c r="F4073" s="1"/>
  <c r="I4073" s="1"/>
  <c r="F690"/>
  <c r="F4072" s="1"/>
  <c r="I4072" s="1"/>
  <c r="F689"/>
  <c r="F4071" s="1"/>
  <c r="I4071" s="1"/>
  <c r="F687"/>
  <c r="F4069" s="1"/>
  <c r="I4069" s="1"/>
  <c r="F686"/>
  <c r="F4068" s="1"/>
  <c r="I4068" s="1"/>
  <c r="F685"/>
  <c r="F4067" s="1"/>
  <c r="I4067" s="1"/>
  <c r="F684"/>
  <c r="F4066" s="1"/>
  <c r="I4066" s="1"/>
  <c r="F682"/>
  <c r="F4064" s="1"/>
  <c r="I4064" s="1"/>
  <c r="F681"/>
  <c r="F4063" s="1"/>
  <c r="I4063" s="1"/>
  <c r="I679"/>
  <c r="F677"/>
  <c r="F4059" s="1"/>
  <c r="I4059" s="1"/>
  <c r="F676"/>
  <c r="F4058" s="1"/>
  <c r="I4058" s="1"/>
  <c r="F675"/>
  <c r="F4057" s="1"/>
  <c r="I4057" s="1"/>
  <c r="I674"/>
  <c r="F673"/>
  <c r="F4055" s="1"/>
  <c r="I4055" s="1"/>
  <c r="F672"/>
  <c r="F4054" s="1"/>
  <c r="I4054" s="1"/>
  <c r="F671"/>
  <c r="F4053" s="1"/>
  <c r="I4053" s="1"/>
  <c r="F669"/>
  <c r="I678"/>
  <c r="I693"/>
  <c r="I694"/>
  <c r="I695"/>
  <c r="F670"/>
  <c r="F668"/>
  <c r="F667"/>
  <c r="F666"/>
  <c r="C652"/>
  <c r="D652"/>
  <c r="D4656" s="1"/>
  <c r="E652"/>
  <c r="E4656" s="1"/>
  <c r="F652"/>
  <c r="F4656" s="1"/>
  <c r="C653"/>
  <c r="D653"/>
  <c r="E653"/>
  <c r="F653"/>
  <c r="J4668" s="1"/>
  <c r="C654"/>
  <c r="D654"/>
  <c r="E654"/>
  <c r="C655"/>
  <c r="D655"/>
  <c r="E655"/>
  <c r="C656"/>
  <c r="D656"/>
  <c r="E656"/>
  <c r="C657"/>
  <c r="D657"/>
  <c r="E657"/>
  <c r="C658"/>
  <c r="D658"/>
  <c r="E658"/>
  <c r="F658"/>
  <c r="C659"/>
  <c r="D659"/>
  <c r="E659"/>
  <c r="C660"/>
  <c r="D660"/>
  <c r="E660"/>
  <c r="F660"/>
  <c r="C661"/>
  <c r="D661"/>
  <c r="E661"/>
  <c r="H634"/>
  <c r="H4003" s="1"/>
  <c r="H635"/>
  <c r="H4004" s="1"/>
  <c r="C646"/>
  <c r="C4015" s="1"/>
  <c r="D646"/>
  <c r="D4015" s="1"/>
  <c r="E646"/>
  <c r="E4015" s="1"/>
  <c r="F646"/>
  <c r="F4015" s="1"/>
  <c r="G646"/>
  <c r="G4015" s="1"/>
  <c r="H646"/>
  <c r="H4015" s="1"/>
  <c r="C647"/>
  <c r="D647"/>
  <c r="E647"/>
  <c r="F647"/>
  <c r="G647"/>
  <c r="H647"/>
  <c r="D1580"/>
  <c r="D1222" s="1"/>
  <c r="D4598" s="1"/>
  <c r="D1579"/>
  <c r="D1221" s="1"/>
  <c r="D4597" s="1"/>
  <c r="C1580"/>
  <c r="C1222" s="1"/>
  <c r="C4598" s="1"/>
  <c r="C1579"/>
  <c r="C1221" s="1"/>
  <c r="C4597" s="1"/>
  <c r="E1579"/>
  <c r="E1221" s="1"/>
  <c r="E4597" s="1"/>
  <c r="G1579"/>
  <c r="G1221" s="1"/>
  <c r="G4597" s="1"/>
  <c r="E1580"/>
  <c r="E1222" s="1"/>
  <c r="E4598" s="1"/>
  <c r="G1580"/>
  <c r="G1222" s="1"/>
  <c r="G4598" s="1"/>
  <c r="I1578"/>
  <c r="D1541"/>
  <c r="D1079" s="1"/>
  <c r="D4454" s="1"/>
  <c r="D1542"/>
  <c r="D1080" s="1"/>
  <c r="D4455" s="1"/>
  <c r="D1543"/>
  <c r="D1081" s="1"/>
  <c r="D4456" s="1"/>
  <c r="D1544"/>
  <c r="D1082" s="1"/>
  <c r="D4457" s="1"/>
  <c r="D1545"/>
  <c r="D1083" s="1"/>
  <c r="D4458" s="1"/>
  <c r="D1546"/>
  <c r="D1084" s="1"/>
  <c r="D4459" s="1"/>
  <c r="D1547"/>
  <c r="D1085" s="1"/>
  <c r="D4460" s="1"/>
  <c r="D1548"/>
  <c r="D1086" s="1"/>
  <c r="D4461" s="1"/>
  <c r="D1549"/>
  <c r="D1087" s="1"/>
  <c r="D4462" s="1"/>
  <c r="D1550"/>
  <c r="D1088" s="1"/>
  <c r="D4463" s="1"/>
  <c r="D1551"/>
  <c r="D1089" s="1"/>
  <c r="D4464" s="1"/>
  <c r="D1552"/>
  <c r="D1090" s="1"/>
  <c r="D4465" s="1"/>
  <c r="D1553"/>
  <c r="D1091" s="1"/>
  <c r="D4466" s="1"/>
  <c r="D1554"/>
  <c r="D1092" s="1"/>
  <c r="D4467" s="1"/>
  <c r="D1555"/>
  <c r="D1093" s="1"/>
  <c r="D4468" s="1"/>
  <c r="D1556"/>
  <c r="D1094" s="1"/>
  <c r="D4469" s="1"/>
  <c r="D1557"/>
  <c r="D1095" s="1"/>
  <c r="D4470" s="1"/>
  <c r="D1558"/>
  <c r="D1096" s="1"/>
  <c r="D4471" s="1"/>
  <c r="D1559"/>
  <c r="D1097" s="1"/>
  <c r="D4472" s="1"/>
  <c r="D1560"/>
  <c r="D1098" s="1"/>
  <c r="D4473" s="1"/>
  <c r="D1561"/>
  <c r="D1099" s="1"/>
  <c r="D4474" s="1"/>
  <c r="D1540"/>
  <c r="D1078" s="1"/>
  <c r="D4453" s="1"/>
  <c r="H2350" l="1"/>
  <c r="I2349"/>
  <c r="I949"/>
  <c r="H2588"/>
  <c r="I2587"/>
  <c r="I1104"/>
  <c r="I1103"/>
  <c r="C4442"/>
  <c r="F1067"/>
  <c r="F4442" s="1"/>
  <c r="C4448"/>
  <c r="F1073"/>
  <c r="F4448" s="1"/>
  <c r="C4450"/>
  <c r="F1075"/>
  <c r="F4450" s="1"/>
  <c r="C4441"/>
  <c r="F1066"/>
  <c r="F4441" s="1"/>
  <c r="C4447"/>
  <c r="F1072"/>
  <c r="F4447" s="1"/>
  <c r="C4449"/>
  <c r="F1074"/>
  <c r="F4449" s="1"/>
  <c r="C4444"/>
  <c r="F1069"/>
  <c r="F4444" s="1"/>
  <c r="C4446"/>
  <c r="F1071"/>
  <c r="F4446" s="1"/>
  <c r="C4440"/>
  <c r="F1065"/>
  <c r="F4440" s="1"/>
  <c r="C4443"/>
  <c r="F1068"/>
  <c r="F4443" s="1"/>
  <c r="C4445"/>
  <c r="F1070"/>
  <c r="F4445" s="1"/>
  <c r="I1124"/>
  <c r="I1117"/>
  <c r="I1114"/>
  <c r="I966"/>
  <c r="I1119"/>
  <c r="I950"/>
  <c r="I4497"/>
  <c r="I1108"/>
  <c r="I1118"/>
  <c r="I1107"/>
  <c r="I1112"/>
  <c r="I1125"/>
  <c r="I1109"/>
  <c r="I4496"/>
  <c r="I4325"/>
  <c r="I957"/>
  <c r="I1120"/>
  <c r="I1106"/>
  <c r="I1101"/>
  <c r="I1115"/>
  <c r="I1113"/>
  <c r="I1122"/>
  <c r="I1790"/>
  <c r="I1110"/>
  <c r="I1102"/>
  <c r="I970"/>
  <c r="I1123"/>
  <c r="I1121"/>
  <c r="I1105"/>
  <c r="I961"/>
  <c r="I953"/>
  <c r="I1116"/>
  <c r="I974"/>
  <c r="I1111"/>
  <c r="I4107"/>
  <c r="I4277"/>
  <c r="D4318"/>
  <c r="I4318" s="1"/>
  <c r="D4314"/>
  <c r="I4314" s="1"/>
  <c r="D4310"/>
  <c r="I4310" s="1"/>
  <c r="D4306"/>
  <c r="I4306" s="1"/>
  <c r="D4302"/>
  <c r="I4302" s="1"/>
  <c r="D4298"/>
  <c r="I4298" s="1"/>
  <c r="D4294"/>
  <c r="I4294" s="1"/>
  <c r="D4319"/>
  <c r="I4319" s="1"/>
  <c r="I4108"/>
  <c r="I4317"/>
  <c r="I4313"/>
  <c r="I4309"/>
  <c r="I4305"/>
  <c r="I4301"/>
  <c r="I4297"/>
  <c r="I4293"/>
  <c r="I4278"/>
  <c r="I4316"/>
  <c r="I4312"/>
  <c r="I4308"/>
  <c r="I4304"/>
  <c r="I4300"/>
  <c r="I4296"/>
  <c r="I4321"/>
  <c r="I4315"/>
  <c r="I4311"/>
  <c r="I4307"/>
  <c r="I4303"/>
  <c r="I4299"/>
  <c r="I4295"/>
  <c r="I4320"/>
  <c r="C4256"/>
  <c r="C4258"/>
  <c r="C4260"/>
  <c r="C4262"/>
  <c r="C4264"/>
  <c r="C4266"/>
  <c r="C4268"/>
  <c r="C4270"/>
  <c r="C4255"/>
  <c r="C4257"/>
  <c r="C4259"/>
  <c r="C4261"/>
  <c r="C4263"/>
  <c r="C4265"/>
  <c r="C4267"/>
  <c r="C4269"/>
  <c r="F4018"/>
  <c r="I4018" s="1"/>
  <c r="F4048"/>
  <c r="I4048" s="1"/>
  <c r="F4021"/>
  <c r="I4021" s="1"/>
  <c r="F4051"/>
  <c r="I4051" s="1"/>
  <c r="F4019"/>
  <c r="I4019" s="1"/>
  <c r="F4049"/>
  <c r="I4049" s="1"/>
  <c r="F4020"/>
  <c r="I4020" s="1"/>
  <c r="F4050"/>
  <c r="I4050" s="1"/>
  <c r="F4022"/>
  <c r="I4022" s="1"/>
  <c r="F4052"/>
  <c r="I4052" s="1"/>
  <c r="C4094"/>
  <c r="C4085"/>
  <c r="C4093"/>
  <c r="C4089"/>
  <c r="C4084"/>
  <c r="C4080"/>
  <c r="C4092"/>
  <c r="C4079"/>
  <c r="C4090"/>
  <c r="C4081"/>
  <c r="C4088"/>
  <c r="C4083"/>
  <c r="C4091"/>
  <c r="C4087"/>
  <c r="C4082"/>
  <c r="K4721"/>
  <c r="G4721" s="1"/>
  <c r="K4735"/>
  <c r="J4805"/>
  <c r="F4805" s="1"/>
  <c r="J4799"/>
  <c r="F4799" s="1"/>
  <c r="E4799"/>
  <c r="E4805"/>
  <c r="L4689"/>
  <c r="L4702"/>
  <c r="L4721"/>
  <c r="L4735"/>
  <c r="E4798"/>
  <c r="E4804"/>
  <c r="J4804"/>
  <c r="F4804" s="1"/>
  <c r="J4798"/>
  <c r="F4798" s="1"/>
  <c r="J4800"/>
  <c r="F4800" s="1"/>
  <c r="J4806"/>
  <c r="F4806" s="1"/>
  <c r="K4689"/>
  <c r="G4689" s="1"/>
  <c r="K4702"/>
  <c r="E4801"/>
  <c r="E4807"/>
  <c r="E4800"/>
  <c r="E4806"/>
  <c r="J4801"/>
  <c r="F4801" s="1"/>
  <c r="J4807"/>
  <c r="F4807" s="1"/>
  <c r="D4760"/>
  <c r="D4773"/>
  <c r="D4766"/>
  <c r="D4779"/>
  <c r="D4762"/>
  <c r="D4775"/>
  <c r="D4758"/>
  <c r="D4771"/>
  <c r="D4764"/>
  <c r="D4777"/>
  <c r="D4756"/>
  <c r="D4769"/>
  <c r="D4763"/>
  <c r="D4776"/>
  <c r="D4759"/>
  <c r="D4772"/>
  <c r="D4765"/>
  <c r="D4778"/>
  <c r="D4761"/>
  <c r="D4774"/>
  <c r="D4757"/>
  <c r="D4770"/>
  <c r="D4729"/>
  <c r="D4743"/>
  <c r="D4723"/>
  <c r="D4737"/>
  <c r="C4727"/>
  <c r="C4741"/>
  <c r="D4731"/>
  <c r="D4745"/>
  <c r="D4727"/>
  <c r="D4741"/>
  <c r="D4721"/>
  <c r="D4735"/>
  <c r="C4731"/>
  <c r="C4745"/>
  <c r="C4729"/>
  <c r="C4743"/>
  <c r="C4725"/>
  <c r="C4739"/>
  <c r="C4723"/>
  <c r="C4737"/>
  <c r="C4721"/>
  <c r="C4735"/>
  <c r="D4732"/>
  <c r="D4746"/>
  <c r="D4730"/>
  <c r="D4744"/>
  <c r="D4728"/>
  <c r="D4742"/>
  <c r="D4726"/>
  <c r="D4740"/>
  <c r="D4724"/>
  <c r="D4738"/>
  <c r="D4722"/>
  <c r="D4736"/>
  <c r="D4720"/>
  <c r="D4734"/>
  <c r="D4725"/>
  <c r="D4739"/>
  <c r="C4732"/>
  <c r="C4746"/>
  <c r="C4730"/>
  <c r="C4744"/>
  <c r="C4728"/>
  <c r="C4742"/>
  <c r="C4726"/>
  <c r="C4740"/>
  <c r="C4724"/>
  <c r="C4738"/>
  <c r="C4722"/>
  <c r="C4736"/>
  <c r="C4720"/>
  <c r="C4734"/>
  <c r="D4697"/>
  <c r="D4710"/>
  <c r="D4693"/>
  <c r="D4706"/>
  <c r="C4697"/>
  <c r="C4710"/>
  <c r="C4695"/>
  <c r="C4708"/>
  <c r="C4693"/>
  <c r="C4706"/>
  <c r="C4691"/>
  <c r="C4704"/>
  <c r="C4689"/>
  <c r="C4702"/>
  <c r="D4695"/>
  <c r="D4708"/>
  <c r="D4691"/>
  <c r="D4704"/>
  <c r="D4689"/>
  <c r="D4702"/>
  <c r="D4698"/>
  <c r="D4711"/>
  <c r="D4696"/>
  <c r="D4709"/>
  <c r="D4694"/>
  <c r="D4707"/>
  <c r="D4692"/>
  <c r="D4705"/>
  <c r="D4690"/>
  <c r="D4703"/>
  <c r="D4688"/>
  <c r="D4701"/>
  <c r="C4698"/>
  <c r="C4711"/>
  <c r="C4696"/>
  <c r="C4709"/>
  <c r="C4694"/>
  <c r="C4707"/>
  <c r="C4692"/>
  <c r="C4705"/>
  <c r="C4690"/>
  <c r="C4703"/>
  <c r="C4688"/>
  <c r="C4701"/>
  <c r="E4664"/>
  <c r="E4675"/>
  <c r="D4662"/>
  <c r="D4673"/>
  <c r="E4659"/>
  <c r="E4670"/>
  <c r="D4665"/>
  <c r="D4676"/>
  <c r="D4664"/>
  <c r="D4675"/>
  <c r="C4663"/>
  <c r="C4674"/>
  <c r="C4662"/>
  <c r="C4673"/>
  <c r="E4660"/>
  <c r="E4671"/>
  <c r="D4659"/>
  <c r="D4670"/>
  <c r="C4658"/>
  <c r="C4669"/>
  <c r="C4657"/>
  <c r="C4668"/>
  <c r="I4718"/>
  <c r="D4663"/>
  <c r="D4674"/>
  <c r="C4665"/>
  <c r="C4676"/>
  <c r="C4664"/>
  <c r="C4675"/>
  <c r="F4662"/>
  <c r="J4673"/>
  <c r="F4673" s="1"/>
  <c r="E4661"/>
  <c r="E4672"/>
  <c r="D4660"/>
  <c r="D4671"/>
  <c r="C4659"/>
  <c r="C4670"/>
  <c r="E4665"/>
  <c r="E4676"/>
  <c r="C4661"/>
  <c r="C4672"/>
  <c r="D4658"/>
  <c r="D4669"/>
  <c r="D4657"/>
  <c r="D4668"/>
  <c r="F4664"/>
  <c r="J4675"/>
  <c r="F4675" s="1"/>
  <c r="E4663"/>
  <c r="E4674"/>
  <c r="E4662"/>
  <c r="E4673"/>
  <c r="D4661"/>
  <c r="D4672"/>
  <c r="C4660"/>
  <c r="C4671"/>
  <c r="E4658"/>
  <c r="E4669"/>
  <c r="E4657"/>
  <c r="E4668"/>
  <c r="I4656"/>
  <c r="C4656"/>
  <c r="C4647"/>
  <c r="C2955"/>
  <c r="C4274"/>
  <c r="F2957"/>
  <c r="I2957" s="1"/>
  <c r="F4354"/>
  <c r="I4354" s="1"/>
  <c r="F2818"/>
  <c r="I2818" s="1"/>
  <c r="F4023"/>
  <c r="I4023" s="1"/>
  <c r="F2822"/>
  <c r="I2822" s="1"/>
  <c r="F4027"/>
  <c r="I4027" s="1"/>
  <c r="F2828"/>
  <c r="I2828" s="1"/>
  <c r="F4033"/>
  <c r="I4033" s="1"/>
  <c r="F2833"/>
  <c r="I2833" s="1"/>
  <c r="F4038"/>
  <c r="I4038" s="1"/>
  <c r="F2838"/>
  <c r="I2838" s="1"/>
  <c r="F4043"/>
  <c r="I4043" s="1"/>
  <c r="F2876"/>
  <c r="I2876" s="1"/>
  <c r="F4190"/>
  <c r="I4190" s="1"/>
  <c r="F2819"/>
  <c r="I2819" s="1"/>
  <c r="F4024"/>
  <c r="I4024" s="1"/>
  <c r="F2823"/>
  <c r="I2823" s="1"/>
  <c r="F4028"/>
  <c r="I4028" s="1"/>
  <c r="F2829"/>
  <c r="I2829" s="1"/>
  <c r="F4034"/>
  <c r="I4034" s="1"/>
  <c r="F2834"/>
  <c r="I2834" s="1"/>
  <c r="F4039"/>
  <c r="I4039" s="1"/>
  <c r="F2839"/>
  <c r="I2839" s="1"/>
  <c r="F4044"/>
  <c r="I4044" s="1"/>
  <c r="F2832"/>
  <c r="I2832" s="1"/>
  <c r="F4037"/>
  <c r="I4037" s="1"/>
  <c r="F2837"/>
  <c r="I2837" s="1"/>
  <c r="F4042"/>
  <c r="I4042" s="1"/>
  <c r="I2835"/>
  <c r="F4102"/>
  <c r="I4102" s="1"/>
  <c r="F2875"/>
  <c r="I2875" s="1"/>
  <c r="F4189"/>
  <c r="I4189" s="1"/>
  <c r="F2820"/>
  <c r="I2820" s="1"/>
  <c r="F4025"/>
  <c r="I4025" s="1"/>
  <c r="F2824"/>
  <c r="I2824" s="1"/>
  <c r="F4029"/>
  <c r="I4029" s="1"/>
  <c r="F2831"/>
  <c r="I2831" s="1"/>
  <c r="F4036"/>
  <c r="I4036" s="1"/>
  <c r="F2836"/>
  <c r="I2836" s="1"/>
  <c r="F4041"/>
  <c r="I4041" s="1"/>
  <c r="F3042"/>
  <c r="I3042" s="1"/>
  <c r="F4504"/>
  <c r="I4504" s="1"/>
  <c r="C2936"/>
  <c r="C2938"/>
  <c r="C2940"/>
  <c r="C2942"/>
  <c r="C2944"/>
  <c r="C2946"/>
  <c r="C2948"/>
  <c r="C2950"/>
  <c r="C2935"/>
  <c r="C2937"/>
  <c r="C2939"/>
  <c r="C2941"/>
  <c r="C2943"/>
  <c r="C2945"/>
  <c r="C2947"/>
  <c r="C2949"/>
  <c r="C2951"/>
  <c r="F2783"/>
  <c r="I2783" s="1"/>
  <c r="F2814"/>
  <c r="I2814" s="1"/>
  <c r="F2782"/>
  <c r="I2782" s="1"/>
  <c r="F2813"/>
  <c r="I2813" s="1"/>
  <c r="F2785"/>
  <c r="I2785" s="1"/>
  <c r="F2816"/>
  <c r="I2816" s="1"/>
  <c r="F2784"/>
  <c r="I2784" s="1"/>
  <c r="F2815"/>
  <c r="I2815" s="1"/>
  <c r="F2786"/>
  <c r="I2786" s="1"/>
  <c r="F2817"/>
  <c r="I2817" s="1"/>
  <c r="C2848"/>
  <c r="C2843"/>
  <c r="C2856"/>
  <c r="C2852"/>
  <c r="C2847"/>
  <c r="C2853"/>
  <c r="C2850"/>
  <c r="C2857"/>
  <c r="C2844"/>
  <c r="C2859"/>
  <c r="C2855"/>
  <c r="C2846"/>
  <c r="C2851"/>
  <c r="C2858"/>
  <c r="C2854"/>
  <c r="C2849"/>
  <c r="C2845"/>
  <c r="I643"/>
  <c r="F830"/>
  <c r="I671"/>
  <c r="F2787"/>
  <c r="I2787" s="1"/>
  <c r="I675"/>
  <c r="F2791"/>
  <c r="I2791" s="1"/>
  <c r="I681"/>
  <c r="F2797"/>
  <c r="I2797" s="1"/>
  <c r="I686"/>
  <c r="F2802"/>
  <c r="I2802" s="1"/>
  <c r="I691"/>
  <c r="F2807"/>
  <c r="I2807" s="1"/>
  <c r="E829"/>
  <c r="E825"/>
  <c r="F821"/>
  <c r="F828"/>
  <c r="F824"/>
  <c r="F980"/>
  <c r="F992"/>
  <c r="F990"/>
  <c r="F988"/>
  <c r="F986"/>
  <c r="F984"/>
  <c r="F982"/>
  <c r="E1071"/>
  <c r="E4446" s="1"/>
  <c r="I794"/>
  <c r="I677"/>
  <c r="F2793"/>
  <c r="I2793" s="1"/>
  <c r="E827"/>
  <c r="F822"/>
  <c r="I672"/>
  <c r="F2788"/>
  <c r="I2788" s="1"/>
  <c r="I676"/>
  <c r="F2792"/>
  <c r="I2792" s="1"/>
  <c r="I682"/>
  <c r="F2798"/>
  <c r="I2798" s="1"/>
  <c r="I687"/>
  <c r="F2803"/>
  <c r="I2803" s="1"/>
  <c r="I692"/>
  <c r="F2808"/>
  <c r="I2808" s="1"/>
  <c r="E828"/>
  <c r="E824"/>
  <c r="F831"/>
  <c r="F827"/>
  <c r="F823"/>
  <c r="G823"/>
  <c r="E981"/>
  <c r="E992"/>
  <c r="E990"/>
  <c r="E988"/>
  <c r="E986"/>
  <c r="E984"/>
  <c r="E982"/>
  <c r="G982"/>
  <c r="E1068"/>
  <c r="E4443" s="1"/>
  <c r="E1070"/>
  <c r="E4445" s="1"/>
  <c r="I951"/>
  <c r="I673"/>
  <c r="F2789"/>
  <c r="I2789" s="1"/>
  <c r="I689"/>
  <c r="F2805"/>
  <c r="I2805" s="1"/>
  <c r="E823"/>
  <c r="H823"/>
  <c r="F981"/>
  <c r="F991"/>
  <c r="F989"/>
  <c r="F987"/>
  <c r="F985"/>
  <c r="F983"/>
  <c r="G739"/>
  <c r="H982"/>
  <c r="E1067"/>
  <c r="E4442" s="1"/>
  <c r="E1075"/>
  <c r="E4450" s="1"/>
  <c r="I684"/>
  <c r="F2800"/>
  <c r="I2800" s="1"/>
  <c r="E831"/>
  <c r="F826"/>
  <c r="I685"/>
  <c r="F2801"/>
  <c r="I2801" s="1"/>
  <c r="I690"/>
  <c r="F2806"/>
  <c r="I2806" s="1"/>
  <c r="I721"/>
  <c r="F2868"/>
  <c r="I2868" s="1"/>
  <c r="E830"/>
  <c r="E826"/>
  <c r="E822"/>
  <c r="F829"/>
  <c r="F825"/>
  <c r="H739"/>
  <c r="H4109" s="1"/>
  <c r="I4109" s="1"/>
  <c r="E980"/>
  <c r="H905"/>
  <c r="H4279" s="1"/>
  <c r="E991"/>
  <c r="E989"/>
  <c r="E987"/>
  <c r="E985"/>
  <c r="E983"/>
  <c r="G905"/>
  <c r="E1066"/>
  <c r="E4441" s="1"/>
  <c r="E1072"/>
  <c r="E4447" s="1"/>
  <c r="E1074"/>
  <c r="E4449" s="1"/>
  <c r="H2630"/>
  <c r="I2629"/>
  <c r="H1711"/>
  <c r="I1711" s="1"/>
  <c r="H952"/>
  <c r="H4326" s="1"/>
  <c r="I4326" s="1"/>
  <c r="H1642"/>
  <c r="H795"/>
  <c r="H4162" s="1"/>
  <c r="I4162" s="1"/>
  <c r="H1596"/>
  <c r="H644"/>
  <c r="H4013" s="1"/>
  <c r="I4013" s="1"/>
  <c r="C1139"/>
  <c r="C1138"/>
  <c r="C1137"/>
  <c r="C1136"/>
  <c r="C1135"/>
  <c r="C1134"/>
  <c r="C1133"/>
  <c r="C1132"/>
  <c r="C1131"/>
  <c r="C1130"/>
  <c r="C1129"/>
  <c r="E1069"/>
  <c r="E4444" s="1"/>
  <c r="E1073"/>
  <c r="E4448" s="1"/>
  <c r="E1065"/>
  <c r="E4440" s="1"/>
  <c r="I945"/>
  <c r="I939"/>
  <c r="I922"/>
  <c r="I926"/>
  <c r="I942"/>
  <c r="I936"/>
  <c r="I933"/>
  <c r="I930"/>
  <c r="I904"/>
  <c r="I903"/>
  <c r="I894"/>
  <c r="I737"/>
  <c r="E821"/>
  <c r="I738"/>
  <c r="I646"/>
  <c r="I647"/>
  <c r="I1539"/>
  <c r="C1540"/>
  <c r="C1078" s="1"/>
  <c r="C4453" s="1"/>
  <c r="E1540"/>
  <c r="E1078" s="1"/>
  <c r="E4453" s="1"/>
  <c r="G1540"/>
  <c r="G1078" s="1"/>
  <c r="C1541"/>
  <c r="C1079" s="1"/>
  <c r="C4454" s="1"/>
  <c r="E1541"/>
  <c r="E1079" s="1"/>
  <c r="E4454" s="1"/>
  <c r="F1541"/>
  <c r="F1079" s="1"/>
  <c r="F4454" s="1"/>
  <c r="G1541"/>
  <c r="G1079" s="1"/>
  <c r="C1542"/>
  <c r="C1080" s="1"/>
  <c r="C4455" s="1"/>
  <c r="E1542"/>
  <c r="E1080" s="1"/>
  <c r="E4455" s="1"/>
  <c r="F1542"/>
  <c r="F1080" s="1"/>
  <c r="F4455" s="1"/>
  <c r="G1542"/>
  <c r="G1080" s="1"/>
  <c r="C1543"/>
  <c r="C1081" s="1"/>
  <c r="C4456" s="1"/>
  <c r="E1543"/>
  <c r="E1081" s="1"/>
  <c r="E4456" s="1"/>
  <c r="F1543"/>
  <c r="F1081" s="1"/>
  <c r="F4456" s="1"/>
  <c r="G1543"/>
  <c r="G1081" s="1"/>
  <c r="C1544"/>
  <c r="C1082" s="1"/>
  <c r="C4457" s="1"/>
  <c r="E1544"/>
  <c r="E1082" s="1"/>
  <c r="E4457" s="1"/>
  <c r="F1544"/>
  <c r="F1082" s="1"/>
  <c r="F4457" s="1"/>
  <c r="G1544"/>
  <c r="G1082" s="1"/>
  <c r="C1545"/>
  <c r="C1083" s="1"/>
  <c r="C4458" s="1"/>
  <c r="E1545"/>
  <c r="E1083" s="1"/>
  <c r="E4458" s="1"/>
  <c r="F1545"/>
  <c r="F1083" s="1"/>
  <c r="F4458" s="1"/>
  <c r="G1545"/>
  <c r="G1083" s="1"/>
  <c r="C1546"/>
  <c r="C1084" s="1"/>
  <c r="C4459" s="1"/>
  <c r="E1546"/>
  <c r="E1084" s="1"/>
  <c r="E4459" s="1"/>
  <c r="F1546"/>
  <c r="F1084" s="1"/>
  <c r="F4459" s="1"/>
  <c r="G1546"/>
  <c r="G1084" s="1"/>
  <c r="C1547"/>
  <c r="C1085" s="1"/>
  <c r="C4460" s="1"/>
  <c r="E1547"/>
  <c r="E1085" s="1"/>
  <c r="E4460" s="1"/>
  <c r="F1547"/>
  <c r="F1085" s="1"/>
  <c r="F4460" s="1"/>
  <c r="G1547"/>
  <c r="G1085" s="1"/>
  <c r="C1548"/>
  <c r="C1086" s="1"/>
  <c r="C4461" s="1"/>
  <c r="E1548"/>
  <c r="E1086" s="1"/>
  <c r="E4461" s="1"/>
  <c r="F1548"/>
  <c r="F1086" s="1"/>
  <c r="F4461" s="1"/>
  <c r="G1548"/>
  <c r="G1086" s="1"/>
  <c r="C1549"/>
  <c r="C1087" s="1"/>
  <c r="C4462" s="1"/>
  <c r="E1549"/>
  <c r="E1087" s="1"/>
  <c r="E4462" s="1"/>
  <c r="F1549"/>
  <c r="F1087" s="1"/>
  <c r="F4462" s="1"/>
  <c r="G1549"/>
  <c r="G1087" s="1"/>
  <c r="C1550"/>
  <c r="C1088" s="1"/>
  <c r="C4463" s="1"/>
  <c r="E1550"/>
  <c r="E1088" s="1"/>
  <c r="E4463" s="1"/>
  <c r="F1550"/>
  <c r="F1088" s="1"/>
  <c r="F4463" s="1"/>
  <c r="G1550"/>
  <c r="G1088" s="1"/>
  <c r="C1551"/>
  <c r="C1089" s="1"/>
  <c r="C4464" s="1"/>
  <c r="E1551"/>
  <c r="E1089" s="1"/>
  <c r="E4464" s="1"/>
  <c r="F1551"/>
  <c r="F1089" s="1"/>
  <c r="F4464" s="1"/>
  <c r="G1551"/>
  <c r="G1089" s="1"/>
  <c r="C1552"/>
  <c r="C1090" s="1"/>
  <c r="C4465" s="1"/>
  <c r="E1552"/>
  <c r="E1090" s="1"/>
  <c r="E4465" s="1"/>
  <c r="F1552"/>
  <c r="F1090" s="1"/>
  <c r="F4465" s="1"/>
  <c r="G1552"/>
  <c r="G1090" s="1"/>
  <c r="C1553"/>
  <c r="C1091" s="1"/>
  <c r="C4466" s="1"/>
  <c r="E1553"/>
  <c r="E1091" s="1"/>
  <c r="E4466" s="1"/>
  <c r="F1553"/>
  <c r="F1091" s="1"/>
  <c r="F4466" s="1"/>
  <c r="G1553"/>
  <c r="G1091" s="1"/>
  <c r="C1554"/>
  <c r="C1092" s="1"/>
  <c r="C4467" s="1"/>
  <c r="E1554"/>
  <c r="E1092" s="1"/>
  <c r="E4467" s="1"/>
  <c r="F1554"/>
  <c r="F1092" s="1"/>
  <c r="F4467" s="1"/>
  <c r="G1554"/>
  <c r="G1092" s="1"/>
  <c r="C1555"/>
  <c r="C1093" s="1"/>
  <c r="C4468" s="1"/>
  <c r="E1555"/>
  <c r="E1093" s="1"/>
  <c r="E4468" s="1"/>
  <c r="F1555"/>
  <c r="F1093" s="1"/>
  <c r="F4468" s="1"/>
  <c r="G1555"/>
  <c r="G1093" s="1"/>
  <c r="C1556"/>
  <c r="C1094" s="1"/>
  <c r="C4469" s="1"/>
  <c r="E1556"/>
  <c r="E1094" s="1"/>
  <c r="E4469" s="1"/>
  <c r="F1556"/>
  <c r="F1094" s="1"/>
  <c r="F4469" s="1"/>
  <c r="G1556"/>
  <c r="G1094" s="1"/>
  <c r="C1557"/>
  <c r="C1095" s="1"/>
  <c r="C4470" s="1"/>
  <c r="E1557"/>
  <c r="E1095" s="1"/>
  <c r="E4470" s="1"/>
  <c r="F1557"/>
  <c r="F1095" s="1"/>
  <c r="F4470" s="1"/>
  <c r="G1557"/>
  <c r="G1095" s="1"/>
  <c r="C1558"/>
  <c r="C1096" s="1"/>
  <c r="C4471" s="1"/>
  <c r="E1558"/>
  <c r="E1096" s="1"/>
  <c r="E4471" s="1"/>
  <c r="F1558"/>
  <c r="F1096" s="1"/>
  <c r="F4471" s="1"/>
  <c r="G1558"/>
  <c r="G1096" s="1"/>
  <c r="C1559"/>
  <c r="C1097" s="1"/>
  <c r="C4472" s="1"/>
  <c r="E1559"/>
  <c r="E1097" s="1"/>
  <c r="E4472" s="1"/>
  <c r="F1559"/>
  <c r="F1097" s="1"/>
  <c r="F4472" s="1"/>
  <c r="G1559"/>
  <c r="G1097" s="1"/>
  <c r="C1560"/>
  <c r="C1098" s="1"/>
  <c r="C4473" s="1"/>
  <c r="E1560"/>
  <c r="E1098" s="1"/>
  <c r="E4473" s="1"/>
  <c r="F1560"/>
  <c r="F1098" s="1"/>
  <c r="F4473" s="1"/>
  <c r="G1560"/>
  <c r="G1098" s="1"/>
  <c r="C1561"/>
  <c r="C1099" s="1"/>
  <c r="C4474" s="1"/>
  <c r="E1561"/>
  <c r="E1099" s="1"/>
  <c r="E4474" s="1"/>
  <c r="F1561"/>
  <c r="F1099" s="1"/>
  <c r="F4474" s="1"/>
  <c r="G1561"/>
  <c r="G1099" s="1"/>
  <c r="C1462"/>
  <c r="E1462"/>
  <c r="G1462"/>
  <c r="C1463"/>
  <c r="E1463"/>
  <c r="F1463"/>
  <c r="G1463"/>
  <c r="C1464"/>
  <c r="E1464"/>
  <c r="F1464"/>
  <c r="G1464"/>
  <c r="C1465"/>
  <c r="E1465"/>
  <c r="F1465"/>
  <c r="G1465"/>
  <c r="C1466"/>
  <c r="E1466"/>
  <c r="F1466"/>
  <c r="G1466"/>
  <c r="C1467"/>
  <c r="E1467"/>
  <c r="F1467"/>
  <c r="G1467"/>
  <c r="C1468"/>
  <c r="E1468"/>
  <c r="F1468"/>
  <c r="G1468"/>
  <c r="C1469"/>
  <c r="E1469"/>
  <c r="F1469"/>
  <c r="G1469"/>
  <c r="C1470"/>
  <c r="E1470"/>
  <c r="F1470"/>
  <c r="G1470"/>
  <c r="C1471"/>
  <c r="E1471"/>
  <c r="F1471"/>
  <c r="G1471"/>
  <c r="C1472"/>
  <c r="E1472"/>
  <c r="F1472"/>
  <c r="G1472"/>
  <c r="C1473"/>
  <c r="E1473"/>
  <c r="F1473"/>
  <c r="G1473"/>
  <c r="C1474"/>
  <c r="E1474"/>
  <c r="F1474"/>
  <c r="G1474"/>
  <c r="C1475"/>
  <c r="E1475"/>
  <c r="F1475"/>
  <c r="G1475"/>
  <c r="C1476"/>
  <c r="E1476"/>
  <c r="F1476"/>
  <c r="G1476"/>
  <c r="C1477"/>
  <c r="E1477"/>
  <c r="F1477"/>
  <c r="G1477"/>
  <c r="C1478"/>
  <c r="E1478"/>
  <c r="F1478"/>
  <c r="G1478"/>
  <c r="C1479"/>
  <c r="E1479"/>
  <c r="F1479"/>
  <c r="G1479"/>
  <c r="C1480"/>
  <c r="E1480"/>
  <c r="F1480"/>
  <c r="G1480"/>
  <c r="C1481"/>
  <c r="E1481"/>
  <c r="F1481"/>
  <c r="G1481"/>
  <c r="C1482"/>
  <c r="E1482"/>
  <c r="F1482"/>
  <c r="G1482"/>
  <c r="C1483"/>
  <c r="E1483"/>
  <c r="F1483"/>
  <c r="G1483"/>
  <c r="C1484"/>
  <c r="E1484"/>
  <c r="F1484"/>
  <c r="G1484"/>
  <c r="C1485"/>
  <c r="E1485"/>
  <c r="F1485"/>
  <c r="G1485"/>
  <c r="C1486"/>
  <c r="E1486"/>
  <c r="F1486"/>
  <c r="G1486"/>
  <c r="C1487"/>
  <c r="E1487"/>
  <c r="F1487"/>
  <c r="G1487"/>
  <c r="C1488"/>
  <c r="E1488"/>
  <c r="F1488"/>
  <c r="G1488"/>
  <c r="C1489"/>
  <c r="E1489"/>
  <c r="F1489"/>
  <c r="G1489"/>
  <c r="C1490"/>
  <c r="E1490"/>
  <c r="F1490"/>
  <c r="G1490"/>
  <c r="C1491"/>
  <c r="E1491"/>
  <c r="F1491"/>
  <c r="G1491"/>
  <c r="D1364"/>
  <c r="D752" s="1"/>
  <c r="D4122" s="1"/>
  <c r="D1365"/>
  <c r="D753" s="1"/>
  <c r="D4123" s="1"/>
  <c r="D1366"/>
  <c r="D754" s="1"/>
  <c r="D4124" s="1"/>
  <c r="D1367"/>
  <c r="D755" s="1"/>
  <c r="D4125" s="1"/>
  <c r="D1368"/>
  <c r="D756" s="1"/>
  <c r="D4126" s="1"/>
  <c r="D1369"/>
  <c r="D757" s="1"/>
  <c r="D1370"/>
  <c r="D758" s="1"/>
  <c r="D4128" s="1"/>
  <c r="D1371"/>
  <c r="D759" s="1"/>
  <c r="D4129" s="1"/>
  <c r="D1372"/>
  <c r="D760" s="1"/>
  <c r="D4130" s="1"/>
  <c r="D1373"/>
  <c r="D761" s="1"/>
  <c r="D4131" s="1"/>
  <c r="D1374"/>
  <c r="D762" s="1"/>
  <c r="D4132" s="1"/>
  <c r="D1375"/>
  <c r="D763" s="1"/>
  <c r="D4133" s="1"/>
  <c r="D1376"/>
  <c r="D764" s="1"/>
  <c r="D4134" s="1"/>
  <c r="D1377"/>
  <c r="D765" s="1"/>
  <c r="D4135" s="1"/>
  <c r="D1378"/>
  <c r="D767" s="1"/>
  <c r="D4136" s="1"/>
  <c r="D1379"/>
  <c r="D768" s="1"/>
  <c r="D4137" s="1"/>
  <c r="D1380"/>
  <c r="D769" s="1"/>
  <c r="D4138" s="1"/>
  <c r="D1381"/>
  <c r="D770" s="1"/>
  <c r="D4139" s="1"/>
  <c r="D1382"/>
  <c r="D772" s="1"/>
  <c r="D4140" s="1"/>
  <c r="D1383"/>
  <c r="D773" s="1"/>
  <c r="D4141" s="1"/>
  <c r="D1384"/>
  <c r="D774" s="1"/>
  <c r="D4142" s="1"/>
  <c r="D1385"/>
  <c r="D776" s="1"/>
  <c r="D4143" s="1"/>
  <c r="D1386"/>
  <c r="D777" s="1"/>
  <c r="D4144" s="1"/>
  <c r="D1387"/>
  <c r="D778" s="1"/>
  <c r="D4145" s="1"/>
  <c r="D1388"/>
  <c r="D779" s="1"/>
  <c r="D4146" s="1"/>
  <c r="D1389"/>
  <c r="D780" s="1"/>
  <c r="D4147" s="1"/>
  <c r="D1390"/>
  <c r="D781" s="1"/>
  <c r="D4148" s="1"/>
  <c r="D1391"/>
  <c r="D782" s="1"/>
  <c r="D4149" s="1"/>
  <c r="D1392"/>
  <c r="D783" s="1"/>
  <c r="D4150" s="1"/>
  <c r="D1393"/>
  <c r="D784" s="1"/>
  <c r="D4151" s="1"/>
  <c r="D1394"/>
  <c r="D785" s="1"/>
  <c r="D4152" s="1"/>
  <c r="D1395"/>
  <c r="D786" s="1"/>
  <c r="D4153" s="1"/>
  <c r="D1396"/>
  <c r="D787" s="1"/>
  <c r="D4154" s="1"/>
  <c r="D1397"/>
  <c r="D788" s="1"/>
  <c r="D4155" s="1"/>
  <c r="D1398"/>
  <c r="D789" s="1"/>
  <c r="D4156" s="1"/>
  <c r="D1399"/>
  <c r="D790" s="1"/>
  <c r="D4157" s="1"/>
  <c r="D1363"/>
  <c r="D751" s="1"/>
  <c r="D4121" s="1"/>
  <c r="H1364"/>
  <c r="C1363"/>
  <c r="C751" s="1"/>
  <c r="C4121" s="1"/>
  <c r="E1363"/>
  <c r="E751" s="1"/>
  <c r="E4121" s="1"/>
  <c r="G1363"/>
  <c r="G751" s="1"/>
  <c r="C1364"/>
  <c r="C752" s="1"/>
  <c r="C4122" s="1"/>
  <c r="E1364"/>
  <c r="E752" s="1"/>
  <c r="E4122" s="1"/>
  <c r="F1364"/>
  <c r="F752" s="1"/>
  <c r="F4122" s="1"/>
  <c r="G1364"/>
  <c r="G752" s="1"/>
  <c r="C1365"/>
  <c r="C753" s="1"/>
  <c r="C4123" s="1"/>
  <c r="E1365"/>
  <c r="E753" s="1"/>
  <c r="E4123" s="1"/>
  <c r="F1365"/>
  <c r="F753" s="1"/>
  <c r="F4123" s="1"/>
  <c r="G1365"/>
  <c r="G753" s="1"/>
  <c r="C1366"/>
  <c r="C754" s="1"/>
  <c r="C4124" s="1"/>
  <c r="E1366"/>
  <c r="E754" s="1"/>
  <c r="E4124" s="1"/>
  <c r="F1366"/>
  <c r="F754" s="1"/>
  <c r="F4124" s="1"/>
  <c r="G1366"/>
  <c r="G754" s="1"/>
  <c r="C1367"/>
  <c r="C755" s="1"/>
  <c r="C4125" s="1"/>
  <c r="E1367"/>
  <c r="E755" s="1"/>
  <c r="E4125" s="1"/>
  <c r="F1367"/>
  <c r="F755" s="1"/>
  <c r="F4125" s="1"/>
  <c r="G1367"/>
  <c r="G755" s="1"/>
  <c r="H1367"/>
  <c r="H755" s="1"/>
  <c r="H4125" s="1"/>
  <c r="C1368"/>
  <c r="C756" s="1"/>
  <c r="C4126" s="1"/>
  <c r="E1368"/>
  <c r="E756" s="1"/>
  <c r="E4126" s="1"/>
  <c r="F1368"/>
  <c r="F756" s="1"/>
  <c r="F4126" s="1"/>
  <c r="G1368"/>
  <c r="G756" s="1"/>
  <c r="C1369"/>
  <c r="C757" s="1"/>
  <c r="C4127" s="1"/>
  <c r="E1369"/>
  <c r="E757" s="1"/>
  <c r="E4127" s="1"/>
  <c r="F1369"/>
  <c r="F757" s="1"/>
  <c r="F4127" s="1"/>
  <c r="G1369"/>
  <c r="G757" s="1"/>
  <c r="G4127" s="1"/>
  <c r="C1370"/>
  <c r="C758" s="1"/>
  <c r="C4128" s="1"/>
  <c r="E1370"/>
  <c r="E758" s="1"/>
  <c r="E4128" s="1"/>
  <c r="F1370"/>
  <c r="F758" s="1"/>
  <c r="F4128" s="1"/>
  <c r="G1370"/>
  <c r="G758" s="1"/>
  <c r="C1371"/>
  <c r="C759" s="1"/>
  <c r="C4129" s="1"/>
  <c r="E1371"/>
  <c r="E759" s="1"/>
  <c r="E4129" s="1"/>
  <c r="F1371"/>
  <c r="F759" s="1"/>
  <c r="F4129" s="1"/>
  <c r="G1371"/>
  <c r="G759" s="1"/>
  <c r="C1372"/>
  <c r="C760" s="1"/>
  <c r="C4130" s="1"/>
  <c r="E1372"/>
  <c r="E760" s="1"/>
  <c r="E4130" s="1"/>
  <c r="F1372"/>
  <c r="F760" s="1"/>
  <c r="F4130" s="1"/>
  <c r="G1372"/>
  <c r="G760" s="1"/>
  <c r="H1372"/>
  <c r="H760" s="1"/>
  <c r="H4130" s="1"/>
  <c r="C1373"/>
  <c r="C761" s="1"/>
  <c r="C4131" s="1"/>
  <c r="E1373"/>
  <c r="E761" s="1"/>
  <c r="E4131" s="1"/>
  <c r="F1373"/>
  <c r="F761" s="1"/>
  <c r="F4131" s="1"/>
  <c r="G1373"/>
  <c r="G761" s="1"/>
  <c r="C1374"/>
  <c r="C762" s="1"/>
  <c r="C4132" s="1"/>
  <c r="E1374"/>
  <c r="E762" s="1"/>
  <c r="E4132" s="1"/>
  <c r="F1374"/>
  <c r="F762" s="1"/>
  <c r="F4132" s="1"/>
  <c r="G1374"/>
  <c r="G762" s="1"/>
  <c r="C1375"/>
  <c r="C763" s="1"/>
  <c r="C4133" s="1"/>
  <c r="E1375"/>
  <c r="E763" s="1"/>
  <c r="E4133" s="1"/>
  <c r="F1375"/>
  <c r="F763" s="1"/>
  <c r="F4133" s="1"/>
  <c r="G1375"/>
  <c r="G763" s="1"/>
  <c r="C1376"/>
  <c r="C764" s="1"/>
  <c r="C4134" s="1"/>
  <c r="E1376"/>
  <c r="E764" s="1"/>
  <c r="E4134" s="1"/>
  <c r="F1376"/>
  <c r="F764" s="1"/>
  <c r="F4134" s="1"/>
  <c r="G1376"/>
  <c r="G764" s="1"/>
  <c r="G4134" s="1"/>
  <c r="H1376"/>
  <c r="H764" s="1"/>
  <c r="H4134" s="1"/>
  <c r="C1377"/>
  <c r="C765" s="1"/>
  <c r="C4135" s="1"/>
  <c r="E1377"/>
  <c r="E765" s="1"/>
  <c r="E4135" s="1"/>
  <c r="F1377"/>
  <c r="F765" s="1"/>
  <c r="F4135" s="1"/>
  <c r="G1377"/>
  <c r="G765" s="1"/>
  <c r="C1378"/>
  <c r="C767" s="1"/>
  <c r="C4136" s="1"/>
  <c r="E1378"/>
  <c r="E767" s="1"/>
  <c r="E4136" s="1"/>
  <c r="F1378"/>
  <c r="F767" s="1"/>
  <c r="F4136" s="1"/>
  <c r="G1378"/>
  <c r="G767" s="1"/>
  <c r="C1379"/>
  <c r="C768" s="1"/>
  <c r="C4137" s="1"/>
  <c r="E1379"/>
  <c r="E768" s="1"/>
  <c r="E4137" s="1"/>
  <c r="F1379"/>
  <c r="F768" s="1"/>
  <c r="F4137" s="1"/>
  <c r="G1379"/>
  <c r="G768" s="1"/>
  <c r="G4137" s="1"/>
  <c r="H1379"/>
  <c r="H768" s="1"/>
  <c r="H4137" s="1"/>
  <c r="C1380"/>
  <c r="C769" s="1"/>
  <c r="C4138" s="1"/>
  <c r="E1380"/>
  <c r="E769" s="1"/>
  <c r="E4138" s="1"/>
  <c r="F1380"/>
  <c r="F769" s="1"/>
  <c r="F4138" s="1"/>
  <c r="G1380"/>
  <c r="G769" s="1"/>
  <c r="C1381"/>
  <c r="C770" s="1"/>
  <c r="C4139" s="1"/>
  <c r="E1381"/>
  <c r="E770" s="1"/>
  <c r="E4139" s="1"/>
  <c r="F1381"/>
  <c r="F770" s="1"/>
  <c r="F4139" s="1"/>
  <c r="G1381"/>
  <c r="G770" s="1"/>
  <c r="C1382"/>
  <c r="C772" s="1"/>
  <c r="C4140" s="1"/>
  <c r="E1382"/>
  <c r="E772" s="1"/>
  <c r="E4140" s="1"/>
  <c r="F1382"/>
  <c r="F772" s="1"/>
  <c r="F4140" s="1"/>
  <c r="G1382"/>
  <c r="G772" s="1"/>
  <c r="G4140" s="1"/>
  <c r="C1383"/>
  <c r="C773" s="1"/>
  <c r="C4141" s="1"/>
  <c r="E1383"/>
  <c r="E773" s="1"/>
  <c r="E4141" s="1"/>
  <c r="F1383"/>
  <c r="F773" s="1"/>
  <c r="F4141" s="1"/>
  <c r="G1383"/>
  <c r="G773" s="1"/>
  <c r="C1384"/>
  <c r="C774" s="1"/>
  <c r="C4142" s="1"/>
  <c r="E1384"/>
  <c r="E774" s="1"/>
  <c r="E4142" s="1"/>
  <c r="F1384"/>
  <c r="F774" s="1"/>
  <c r="F4142" s="1"/>
  <c r="G1384"/>
  <c r="G774" s="1"/>
  <c r="C1385"/>
  <c r="C776" s="1"/>
  <c r="C4143" s="1"/>
  <c r="E1385"/>
  <c r="E776" s="1"/>
  <c r="E4143" s="1"/>
  <c r="F1385"/>
  <c r="F776" s="1"/>
  <c r="F4143" s="1"/>
  <c r="G1385"/>
  <c r="G776" s="1"/>
  <c r="G4143" s="1"/>
  <c r="C1386"/>
  <c r="C777" s="1"/>
  <c r="C4144" s="1"/>
  <c r="E1386"/>
  <c r="E777" s="1"/>
  <c r="E4144" s="1"/>
  <c r="F1386"/>
  <c r="F777" s="1"/>
  <c r="F4144" s="1"/>
  <c r="G1386"/>
  <c r="G777" s="1"/>
  <c r="C1387"/>
  <c r="C778" s="1"/>
  <c r="C4145" s="1"/>
  <c r="E1387"/>
  <c r="E778" s="1"/>
  <c r="E4145" s="1"/>
  <c r="F1387"/>
  <c r="F778" s="1"/>
  <c r="F4145" s="1"/>
  <c r="G1387"/>
  <c r="G778" s="1"/>
  <c r="C1388"/>
  <c r="C779" s="1"/>
  <c r="C4146" s="1"/>
  <c r="E1388"/>
  <c r="E779" s="1"/>
  <c r="E4146" s="1"/>
  <c r="F1388"/>
  <c r="F779" s="1"/>
  <c r="F4146" s="1"/>
  <c r="G1388"/>
  <c r="G779" s="1"/>
  <c r="H779"/>
  <c r="H4146" s="1"/>
  <c r="C1389"/>
  <c r="C780" s="1"/>
  <c r="C4147" s="1"/>
  <c r="E1389"/>
  <c r="E780" s="1"/>
  <c r="E4147" s="1"/>
  <c r="F1389"/>
  <c r="F780" s="1"/>
  <c r="F4147" s="1"/>
  <c r="G1389"/>
  <c r="G780" s="1"/>
  <c r="C1390"/>
  <c r="C781" s="1"/>
  <c r="C4148" s="1"/>
  <c r="E1390"/>
  <c r="E781" s="1"/>
  <c r="E4148" s="1"/>
  <c r="F1390"/>
  <c r="F781" s="1"/>
  <c r="F4148" s="1"/>
  <c r="G1390"/>
  <c r="G781" s="1"/>
  <c r="H781"/>
  <c r="H4148" s="1"/>
  <c r="C1391"/>
  <c r="C782" s="1"/>
  <c r="C4149" s="1"/>
  <c r="E1391"/>
  <c r="E782" s="1"/>
  <c r="E4149" s="1"/>
  <c r="F1391"/>
  <c r="F782" s="1"/>
  <c r="F4149" s="1"/>
  <c r="G1391"/>
  <c r="G782" s="1"/>
  <c r="C1392"/>
  <c r="C783" s="1"/>
  <c r="C4150" s="1"/>
  <c r="E1392"/>
  <c r="E783" s="1"/>
  <c r="E4150" s="1"/>
  <c r="F1392"/>
  <c r="F783" s="1"/>
  <c r="F4150" s="1"/>
  <c r="G1392"/>
  <c r="G783" s="1"/>
  <c r="C1393"/>
  <c r="C784" s="1"/>
  <c r="C4151" s="1"/>
  <c r="E1393"/>
  <c r="E784" s="1"/>
  <c r="E4151" s="1"/>
  <c r="F1393"/>
  <c r="F784" s="1"/>
  <c r="F4151" s="1"/>
  <c r="G1393"/>
  <c r="G784" s="1"/>
  <c r="C1394"/>
  <c r="C785" s="1"/>
  <c r="C4152" s="1"/>
  <c r="E1394"/>
  <c r="E785" s="1"/>
  <c r="E4152" s="1"/>
  <c r="F1394"/>
  <c r="F785" s="1"/>
  <c r="F4152" s="1"/>
  <c r="G1394"/>
  <c r="G785" s="1"/>
  <c r="H785"/>
  <c r="H4152" s="1"/>
  <c r="C1395"/>
  <c r="C786" s="1"/>
  <c r="C4153" s="1"/>
  <c r="E1395"/>
  <c r="E786" s="1"/>
  <c r="E4153" s="1"/>
  <c r="F1395"/>
  <c r="F786" s="1"/>
  <c r="F4153" s="1"/>
  <c r="G1395"/>
  <c r="G786" s="1"/>
  <c r="C1396"/>
  <c r="C787" s="1"/>
  <c r="C4154" s="1"/>
  <c r="E1396"/>
  <c r="E787" s="1"/>
  <c r="E4154" s="1"/>
  <c r="F1396"/>
  <c r="F787" s="1"/>
  <c r="F4154" s="1"/>
  <c r="G1396"/>
  <c r="G787" s="1"/>
  <c r="C1397"/>
  <c r="C788" s="1"/>
  <c r="C4155" s="1"/>
  <c r="E1397"/>
  <c r="E788" s="1"/>
  <c r="E4155" s="1"/>
  <c r="F1397"/>
  <c r="F788" s="1"/>
  <c r="F4155" s="1"/>
  <c r="G1397"/>
  <c r="G788" s="1"/>
  <c r="C1398"/>
  <c r="C789" s="1"/>
  <c r="C4156" s="1"/>
  <c r="E1398"/>
  <c r="E789" s="1"/>
  <c r="E4156" s="1"/>
  <c r="F1398"/>
  <c r="F789" s="1"/>
  <c r="F4156" s="1"/>
  <c r="G1398"/>
  <c r="G789" s="1"/>
  <c r="C1399"/>
  <c r="C790" s="1"/>
  <c r="C4157" s="1"/>
  <c r="E1399"/>
  <c r="E790" s="1"/>
  <c r="E4157" s="1"/>
  <c r="F1399"/>
  <c r="F790" s="1"/>
  <c r="F4157" s="1"/>
  <c r="G1399"/>
  <c r="G790" s="1"/>
  <c r="D1288"/>
  <c r="D635" s="1"/>
  <c r="D4004" s="1"/>
  <c r="D1289"/>
  <c r="D636" s="1"/>
  <c r="D4005" s="1"/>
  <c r="D1290"/>
  <c r="D637" s="1"/>
  <c r="D4006" s="1"/>
  <c r="D1291"/>
  <c r="D638" s="1"/>
  <c r="D4007" s="1"/>
  <c r="D1292"/>
  <c r="D639" s="1"/>
  <c r="D4008" s="1"/>
  <c r="D1293"/>
  <c r="D640" s="1"/>
  <c r="D4009" s="1"/>
  <c r="D1287"/>
  <c r="D634" s="1"/>
  <c r="D4003" s="1"/>
  <c r="H1289"/>
  <c r="I1286"/>
  <c r="C1293"/>
  <c r="C640" s="1"/>
  <c r="C4009" s="1"/>
  <c r="E1293"/>
  <c r="E640" s="1"/>
  <c r="E4009" s="1"/>
  <c r="F1293"/>
  <c r="F640" s="1"/>
  <c r="F4009" s="1"/>
  <c r="G1293"/>
  <c r="G640" s="1"/>
  <c r="C1288"/>
  <c r="C635" s="1"/>
  <c r="C4004" s="1"/>
  <c r="E1288"/>
  <c r="E635" s="1"/>
  <c r="E4004" s="1"/>
  <c r="F1288"/>
  <c r="F635" s="1"/>
  <c r="F4004" s="1"/>
  <c r="G1288"/>
  <c r="G635" s="1"/>
  <c r="C1289"/>
  <c r="C636" s="1"/>
  <c r="C4005" s="1"/>
  <c r="E1289"/>
  <c r="E636" s="1"/>
  <c r="E4005" s="1"/>
  <c r="F1289"/>
  <c r="F636" s="1"/>
  <c r="F4005" s="1"/>
  <c r="G1289"/>
  <c r="G636" s="1"/>
  <c r="C1290"/>
  <c r="C637" s="1"/>
  <c r="C4006" s="1"/>
  <c r="E1290"/>
  <c r="E637" s="1"/>
  <c r="E4006" s="1"/>
  <c r="F1290"/>
  <c r="F637" s="1"/>
  <c r="F4006" s="1"/>
  <c r="G1290"/>
  <c r="G637" s="1"/>
  <c r="C1291"/>
  <c r="C638" s="1"/>
  <c r="C4007" s="1"/>
  <c r="E1291"/>
  <c r="E638" s="1"/>
  <c r="E4007" s="1"/>
  <c r="F1291"/>
  <c r="F638" s="1"/>
  <c r="F4007" s="1"/>
  <c r="G1291"/>
  <c r="G638" s="1"/>
  <c r="C1292"/>
  <c r="C639" s="1"/>
  <c r="C4008" s="1"/>
  <c r="E1292"/>
  <c r="E639" s="1"/>
  <c r="E4008" s="1"/>
  <c r="F1292"/>
  <c r="F639" s="1"/>
  <c r="F4008" s="1"/>
  <c r="G1292"/>
  <c r="G639" s="1"/>
  <c r="E1287"/>
  <c r="E634" s="1"/>
  <c r="E4003" s="1"/>
  <c r="G1287"/>
  <c r="G634" s="1"/>
  <c r="C1287"/>
  <c r="C634" s="1"/>
  <c r="C4003" s="1"/>
  <c r="F3999"/>
  <c r="I3999" s="1"/>
  <c r="F3997"/>
  <c r="I3997" s="1"/>
  <c r="F3995"/>
  <c r="I3995" s="1"/>
  <c r="H2351" l="1"/>
  <c r="H2354" s="1"/>
  <c r="I2350"/>
  <c r="H4735"/>
  <c r="H4702"/>
  <c r="H2589"/>
  <c r="I2588"/>
  <c r="I4807"/>
  <c r="I4440"/>
  <c r="I4279"/>
  <c r="I4127"/>
  <c r="I4473"/>
  <c r="I4470"/>
  <c r="I4466"/>
  <c r="I4462"/>
  <c r="I4457"/>
  <c r="I4449"/>
  <c r="I4444"/>
  <c r="I4146"/>
  <c r="I4125"/>
  <c r="I4448"/>
  <c r="I4450"/>
  <c r="I4800"/>
  <c r="I4152"/>
  <c r="I4148"/>
  <c r="I4447"/>
  <c r="I4442"/>
  <c r="I4445"/>
  <c r="I4446"/>
  <c r="I4137"/>
  <c r="I4134"/>
  <c r="I4130"/>
  <c r="I4441"/>
  <c r="I4443"/>
  <c r="I4805"/>
  <c r="I4806"/>
  <c r="I4004"/>
  <c r="I4804"/>
  <c r="J4739"/>
  <c r="J4725"/>
  <c r="F4725" s="1"/>
  <c r="J4735"/>
  <c r="F4735" s="1"/>
  <c r="J4721"/>
  <c r="F4721" s="1"/>
  <c r="J4740"/>
  <c r="J4726"/>
  <c r="F4726" s="1"/>
  <c r="J4734"/>
  <c r="F4734" s="1"/>
  <c r="J4720"/>
  <c r="F4720" s="1"/>
  <c r="J4697"/>
  <c r="F4697" s="1"/>
  <c r="J4710"/>
  <c r="J4692"/>
  <c r="F4692" s="1"/>
  <c r="J4705"/>
  <c r="J4723"/>
  <c r="F4723" s="1"/>
  <c r="J4737"/>
  <c r="J4731"/>
  <c r="F4731" s="1"/>
  <c r="J4745"/>
  <c r="J4702"/>
  <c r="F4702" s="1"/>
  <c r="J4689"/>
  <c r="F4689" s="1"/>
  <c r="J4738"/>
  <c r="J4724"/>
  <c r="F4724" s="1"/>
  <c r="J4746"/>
  <c r="J4732"/>
  <c r="F4732" s="1"/>
  <c r="J4688"/>
  <c r="F4688" s="1"/>
  <c r="J4701"/>
  <c r="F4701" s="1"/>
  <c r="I4801"/>
  <c r="I4799"/>
  <c r="J4696"/>
  <c r="F4696" s="1"/>
  <c r="J4709"/>
  <c r="J4703"/>
  <c r="J4690"/>
  <c r="F4690" s="1"/>
  <c r="J4727"/>
  <c r="F4727" s="1"/>
  <c r="J4741"/>
  <c r="J4707"/>
  <c r="J4694"/>
  <c r="F4694" s="1"/>
  <c r="J4742"/>
  <c r="J4728"/>
  <c r="F4728" s="1"/>
  <c r="J4691"/>
  <c r="F4691" s="1"/>
  <c r="J4704"/>
  <c r="I4798"/>
  <c r="J4693"/>
  <c r="F4693" s="1"/>
  <c r="J4706"/>
  <c r="J4743"/>
  <c r="J4729"/>
  <c r="F4729" s="1"/>
  <c r="J4711"/>
  <c r="J4698"/>
  <c r="F4698" s="1"/>
  <c r="J4722"/>
  <c r="F4722" s="1"/>
  <c r="J4736"/>
  <c r="J4730"/>
  <c r="F4730" s="1"/>
  <c r="J4744"/>
  <c r="J4695"/>
  <c r="F4695" s="1"/>
  <c r="J4708"/>
  <c r="C4756"/>
  <c r="C4769"/>
  <c r="C4764"/>
  <c r="C4777"/>
  <c r="C4757"/>
  <c r="C4770"/>
  <c r="C4761"/>
  <c r="C4774"/>
  <c r="C4765"/>
  <c r="C4778"/>
  <c r="C4758"/>
  <c r="C4771"/>
  <c r="C4762"/>
  <c r="C4775"/>
  <c r="C4766"/>
  <c r="C4779"/>
  <c r="C4760"/>
  <c r="C4773"/>
  <c r="C4759"/>
  <c r="C4772"/>
  <c r="C4763"/>
  <c r="C4776"/>
  <c r="E4727"/>
  <c r="E4741"/>
  <c r="E4720"/>
  <c r="E4734"/>
  <c r="L4722"/>
  <c r="L4736"/>
  <c r="E4724"/>
  <c r="E4738"/>
  <c r="E4732"/>
  <c r="E4746"/>
  <c r="E4725"/>
  <c r="E4739"/>
  <c r="E4729"/>
  <c r="E4743"/>
  <c r="E4726"/>
  <c r="E4740"/>
  <c r="E4721"/>
  <c r="E4735"/>
  <c r="E4722"/>
  <c r="E4736"/>
  <c r="E4730"/>
  <c r="E4744"/>
  <c r="E4723"/>
  <c r="E4737"/>
  <c r="E4731"/>
  <c r="E4745"/>
  <c r="K4722"/>
  <c r="G4722" s="1"/>
  <c r="K4736"/>
  <c r="E4728"/>
  <c r="E4742"/>
  <c r="I4657"/>
  <c r="E4689"/>
  <c r="E4702"/>
  <c r="L4690"/>
  <c r="L4703"/>
  <c r="E4696"/>
  <c r="E4709"/>
  <c r="E4693"/>
  <c r="E4706"/>
  <c r="E4690"/>
  <c r="E4703"/>
  <c r="I4673"/>
  <c r="E4697"/>
  <c r="E4710"/>
  <c r="E4698"/>
  <c r="E4711"/>
  <c r="K4690"/>
  <c r="G4690" s="1"/>
  <c r="K4703"/>
  <c r="E4691"/>
  <c r="E4704"/>
  <c r="E4688"/>
  <c r="E4701"/>
  <c r="E4695"/>
  <c r="E4708"/>
  <c r="E4694"/>
  <c r="E4707"/>
  <c r="E4692"/>
  <c r="E4705"/>
  <c r="I4675"/>
  <c r="I4668"/>
  <c r="I4664"/>
  <c r="I4662"/>
  <c r="F657"/>
  <c r="I644"/>
  <c r="I905"/>
  <c r="I982"/>
  <c r="H906"/>
  <c r="H4280" s="1"/>
  <c r="I980"/>
  <c r="I739"/>
  <c r="I981"/>
  <c r="E1133"/>
  <c r="H740"/>
  <c r="H4110" s="1"/>
  <c r="I4110" s="1"/>
  <c r="E1139"/>
  <c r="E1131"/>
  <c r="H824"/>
  <c r="E1134"/>
  <c r="F1129"/>
  <c r="I795"/>
  <c r="E1138"/>
  <c r="E1130"/>
  <c r="F1133"/>
  <c r="E1137"/>
  <c r="F1137"/>
  <c r="H983"/>
  <c r="G740"/>
  <c r="E1132"/>
  <c r="G983"/>
  <c r="G824"/>
  <c r="I952"/>
  <c r="E1136"/>
  <c r="G906"/>
  <c r="E1135"/>
  <c r="I2694"/>
  <c r="H2631"/>
  <c r="I2630"/>
  <c r="H1712"/>
  <c r="I1712" s="1"/>
  <c r="H954"/>
  <c r="H4328" s="1"/>
  <c r="I4328" s="1"/>
  <c r="H1643"/>
  <c r="H797"/>
  <c r="H4164" s="1"/>
  <c r="I4164" s="1"/>
  <c r="I1642"/>
  <c r="H645"/>
  <c r="H4014" s="1"/>
  <c r="I4014" s="1"/>
  <c r="I1596"/>
  <c r="I1069"/>
  <c r="I1073"/>
  <c r="I1074"/>
  <c r="F1138"/>
  <c r="I1065"/>
  <c r="E1129"/>
  <c r="I1075"/>
  <c r="F1139"/>
  <c r="I1071"/>
  <c r="F1135"/>
  <c r="I1068"/>
  <c r="F1132"/>
  <c r="I1095"/>
  <c r="I1070"/>
  <c r="F1134"/>
  <c r="I1067"/>
  <c r="F1131"/>
  <c r="I1066"/>
  <c r="F1130"/>
  <c r="I1072"/>
  <c r="F1136"/>
  <c r="I1098"/>
  <c r="I1091"/>
  <c r="I1087"/>
  <c r="I1082"/>
  <c r="I781"/>
  <c r="I760"/>
  <c r="I779"/>
  <c r="I755"/>
  <c r="I785"/>
  <c r="I764"/>
  <c r="H1365"/>
  <c r="H752"/>
  <c r="H4122" s="1"/>
  <c r="I4122" s="1"/>
  <c r="I768"/>
  <c r="I635"/>
  <c r="H1290"/>
  <c r="H637" s="1"/>
  <c r="H4006" s="1"/>
  <c r="I4006" s="1"/>
  <c r="H636"/>
  <c r="H4005" s="1"/>
  <c r="I4005" s="1"/>
  <c r="I628"/>
  <c r="F659"/>
  <c r="I630"/>
  <c r="F661"/>
  <c r="I1560"/>
  <c r="I1557"/>
  <c r="I1553"/>
  <c r="I1549"/>
  <c r="I1544"/>
  <c r="I1489"/>
  <c r="I1483"/>
  <c r="I1480"/>
  <c r="I1477"/>
  <c r="I1474"/>
  <c r="I1470"/>
  <c r="I1466"/>
  <c r="I1486"/>
  <c r="I1372"/>
  <c r="I1390"/>
  <c r="I1379"/>
  <c r="I1376"/>
  <c r="I1367"/>
  <c r="I1388"/>
  <c r="I1289"/>
  <c r="I1288"/>
  <c r="I626"/>
  <c r="F3994"/>
  <c r="I3994" s="1"/>
  <c r="F3993"/>
  <c r="I3993" s="1"/>
  <c r="I627"/>
  <c r="I629"/>
  <c r="F3992"/>
  <c r="I3992" s="1"/>
  <c r="I196" i="12"/>
  <c r="I195"/>
  <c r="I194"/>
  <c r="I193"/>
  <c r="H613" i="13" s="1"/>
  <c r="H4649" s="1"/>
  <c r="E600"/>
  <c r="D600"/>
  <c r="F600"/>
  <c r="C600"/>
  <c r="C598"/>
  <c r="C583"/>
  <c r="C578"/>
  <c r="H561"/>
  <c r="H562"/>
  <c r="C569"/>
  <c r="D569"/>
  <c r="E569"/>
  <c r="F569"/>
  <c r="H569"/>
  <c r="I546"/>
  <c r="I547"/>
  <c r="I548"/>
  <c r="H549"/>
  <c r="I522"/>
  <c r="D523"/>
  <c r="E523"/>
  <c r="F523"/>
  <c r="H523"/>
  <c r="D496"/>
  <c r="E496"/>
  <c r="H496"/>
  <c r="C496"/>
  <c r="C492"/>
  <c r="H492"/>
  <c r="C493"/>
  <c r="H493"/>
  <c r="C494"/>
  <c r="H494"/>
  <c r="C495"/>
  <c r="H495"/>
  <c r="C491"/>
  <c r="H491"/>
  <c r="C472"/>
  <c r="D472"/>
  <c r="E472"/>
  <c r="C473"/>
  <c r="D473"/>
  <c r="E473"/>
  <c r="C474"/>
  <c r="D474"/>
  <c r="E474"/>
  <c r="C475"/>
  <c r="D475"/>
  <c r="E475"/>
  <c r="C476"/>
  <c r="D476"/>
  <c r="E476"/>
  <c r="C468"/>
  <c r="D468"/>
  <c r="E468"/>
  <c r="F468"/>
  <c r="G468"/>
  <c r="H468"/>
  <c r="C469"/>
  <c r="D469"/>
  <c r="E469"/>
  <c r="F469"/>
  <c r="G469"/>
  <c r="H469"/>
  <c r="C470"/>
  <c r="D470"/>
  <c r="E470"/>
  <c r="F470"/>
  <c r="G470"/>
  <c r="H470"/>
  <c r="C471"/>
  <c r="D471"/>
  <c r="E471"/>
  <c r="D456"/>
  <c r="E456"/>
  <c r="D457"/>
  <c r="E457"/>
  <c r="D458"/>
  <c r="E458"/>
  <c r="D459"/>
  <c r="E459"/>
  <c r="D460"/>
  <c r="E460"/>
  <c r="D461"/>
  <c r="E461"/>
  <c r="F461"/>
  <c r="D462"/>
  <c r="E462"/>
  <c r="F462"/>
  <c r="D463"/>
  <c r="E463"/>
  <c r="D464"/>
  <c r="E464"/>
  <c r="D465"/>
  <c r="E465"/>
  <c r="D466"/>
  <c r="E466"/>
  <c r="D467"/>
  <c r="E467"/>
  <c r="C457"/>
  <c r="C458"/>
  <c r="C459"/>
  <c r="C460"/>
  <c r="C461"/>
  <c r="C462"/>
  <c r="C463"/>
  <c r="C464"/>
  <c r="C465"/>
  <c r="C466"/>
  <c r="C467"/>
  <c r="K67" i="12"/>
  <c r="G456" i="13" s="1"/>
  <c r="C456"/>
  <c r="C407"/>
  <c r="C590" s="1"/>
  <c r="I404"/>
  <c r="I405"/>
  <c r="I406"/>
  <c r="I437"/>
  <c r="C399"/>
  <c r="C438" s="1"/>
  <c r="C432"/>
  <c r="C564" s="1"/>
  <c r="D432"/>
  <c r="D564" s="1"/>
  <c r="E432"/>
  <c r="E564" s="1"/>
  <c r="C433"/>
  <c r="C565" s="1"/>
  <c r="D433"/>
  <c r="D565" s="1"/>
  <c r="E433"/>
  <c r="E565" s="1"/>
  <c r="C434"/>
  <c r="C566" s="1"/>
  <c r="D434"/>
  <c r="D566" s="1"/>
  <c r="E434"/>
  <c r="E566" s="1"/>
  <c r="C435"/>
  <c r="C567" s="1"/>
  <c r="D435"/>
  <c r="D567" s="1"/>
  <c r="E435"/>
  <c r="E567" s="1"/>
  <c r="C436"/>
  <c r="C568" s="1"/>
  <c r="D436"/>
  <c r="D568" s="1"/>
  <c r="E436"/>
  <c r="E568" s="1"/>
  <c r="C422"/>
  <c r="C554" s="1"/>
  <c r="D422"/>
  <c r="D554" s="1"/>
  <c r="E422"/>
  <c r="E554" s="1"/>
  <c r="F422"/>
  <c r="F554" s="1"/>
  <c r="C423"/>
  <c r="C555" s="1"/>
  <c r="D423"/>
  <c r="D555" s="1"/>
  <c r="E423"/>
  <c r="E555" s="1"/>
  <c r="F423"/>
  <c r="F555" s="1"/>
  <c r="C424"/>
  <c r="C556" s="1"/>
  <c r="D424"/>
  <c r="D556" s="1"/>
  <c r="E424"/>
  <c r="E556" s="1"/>
  <c r="C425"/>
  <c r="C557" s="1"/>
  <c r="D425"/>
  <c r="D557" s="1"/>
  <c r="E425"/>
  <c r="E557" s="1"/>
  <c r="C426"/>
  <c r="C558" s="1"/>
  <c r="D426"/>
  <c r="D558" s="1"/>
  <c r="E426"/>
  <c r="E558" s="1"/>
  <c r="C427"/>
  <c r="C559" s="1"/>
  <c r="D427"/>
  <c r="D559" s="1"/>
  <c r="E427"/>
  <c r="E559" s="1"/>
  <c r="C428"/>
  <c r="C560" s="1"/>
  <c r="D428"/>
  <c r="D560" s="1"/>
  <c r="E428"/>
  <c r="E560" s="1"/>
  <c r="C409"/>
  <c r="C592" s="1"/>
  <c r="D409"/>
  <c r="D592" s="1"/>
  <c r="E409"/>
  <c r="E592" s="1"/>
  <c r="F409"/>
  <c r="G409"/>
  <c r="C410"/>
  <c r="C593" s="1"/>
  <c r="D410"/>
  <c r="D593" s="1"/>
  <c r="E410"/>
  <c r="E593" s="1"/>
  <c r="F410"/>
  <c r="G410"/>
  <c r="C408"/>
  <c r="C591" s="1"/>
  <c r="D408"/>
  <c r="D591" s="1"/>
  <c r="E408"/>
  <c r="E591" s="1"/>
  <c r="F408"/>
  <c r="G408"/>
  <c r="C393"/>
  <c r="D393"/>
  <c r="E393"/>
  <c r="C394"/>
  <c r="D394"/>
  <c r="E394"/>
  <c r="C395"/>
  <c r="D395"/>
  <c r="E395"/>
  <c r="C396"/>
  <c r="D396"/>
  <c r="E396"/>
  <c r="C397"/>
  <c r="D397"/>
  <c r="E397"/>
  <c r="C378"/>
  <c r="D378"/>
  <c r="E378"/>
  <c r="C379"/>
  <c r="D379"/>
  <c r="E379"/>
  <c r="C380"/>
  <c r="D380"/>
  <c r="E380"/>
  <c r="C381"/>
  <c r="D381"/>
  <c r="E381"/>
  <c r="C382"/>
  <c r="D382"/>
  <c r="E382"/>
  <c r="C383"/>
  <c r="D383"/>
  <c r="E383"/>
  <c r="F383"/>
  <c r="C384"/>
  <c r="D384"/>
  <c r="E384"/>
  <c r="F384"/>
  <c r="C385"/>
  <c r="D385"/>
  <c r="E385"/>
  <c r="C386"/>
  <c r="D386"/>
  <c r="E386"/>
  <c r="C387"/>
  <c r="D387"/>
  <c r="E387"/>
  <c r="C388"/>
  <c r="D388"/>
  <c r="E388"/>
  <c r="C389"/>
  <c r="D389"/>
  <c r="E389"/>
  <c r="G371"/>
  <c r="D370"/>
  <c r="D584" s="1"/>
  <c r="D355"/>
  <c r="D401" s="1"/>
  <c r="D356"/>
  <c r="D402" s="1"/>
  <c r="D441" s="1"/>
  <c r="D357"/>
  <c r="D403" s="1"/>
  <c r="D442" s="1"/>
  <c r="D354"/>
  <c r="D400" s="1"/>
  <c r="E355"/>
  <c r="E401" s="1"/>
  <c r="E440" s="1"/>
  <c r="F355"/>
  <c r="F401" s="1"/>
  <c r="F440" s="1"/>
  <c r="G355"/>
  <c r="G401" s="1"/>
  <c r="G440" s="1"/>
  <c r="E356"/>
  <c r="E402" s="1"/>
  <c r="E441" s="1"/>
  <c r="F356"/>
  <c r="F402" s="1"/>
  <c r="F441" s="1"/>
  <c r="G356"/>
  <c r="G402" s="1"/>
  <c r="G441" s="1"/>
  <c r="E357"/>
  <c r="E403" s="1"/>
  <c r="E442" s="1"/>
  <c r="F357"/>
  <c r="F403" s="1"/>
  <c r="F442" s="1"/>
  <c r="G357"/>
  <c r="G403" s="1"/>
  <c r="G442" s="1"/>
  <c r="F354"/>
  <c r="F400" s="1"/>
  <c r="F439" s="1"/>
  <c r="G354"/>
  <c r="G400" s="1"/>
  <c r="G439" s="1"/>
  <c r="E354"/>
  <c r="E400" s="1"/>
  <c r="E439" s="1"/>
  <c r="C355"/>
  <c r="C401" s="1"/>
  <c r="C440" s="1"/>
  <c r="C356"/>
  <c r="C402" s="1"/>
  <c r="C441" s="1"/>
  <c r="C357"/>
  <c r="C403" s="1"/>
  <c r="C442" s="1"/>
  <c r="C354"/>
  <c r="C400" s="1"/>
  <c r="C439" s="1"/>
  <c r="D353"/>
  <c r="D399" s="1"/>
  <c r="D438" s="1"/>
  <c r="E353"/>
  <c r="E399" s="1"/>
  <c r="E438" s="1"/>
  <c r="F353"/>
  <c r="F399" s="1"/>
  <c r="F438" s="1"/>
  <c r="G353"/>
  <c r="G399" s="1"/>
  <c r="G438" s="1"/>
  <c r="H353"/>
  <c r="H399" s="1"/>
  <c r="H438" s="1"/>
  <c r="C358"/>
  <c r="D358"/>
  <c r="E358"/>
  <c r="F358"/>
  <c r="G358"/>
  <c r="H358"/>
  <c r="C359"/>
  <c r="D359"/>
  <c r="E359"/>
  <c r="F359"/>
  <c r="G359"/>
  <c r="H359"/>
  <c r="C360"/>
  <c r="D360"/>
  <c r="E360"/>
  <c r="F360"/>
  <c r="G360"/>
  <c r="H360"/>
  <c r="C361"/>
  <c r="D361"/>
  <c r="E361"/>
  <c r="F361"/>
  <c r="G361"/>
  <c r="H361"/>
  <c r="C362"/>
  <c r="D362"/>
  <c r="E362"/>
  <c r="F362"/>
  <c r="G362"/>
  <c r="H362"/>
  <c r="C332"/>
  <c r="C501" s="1"/>
  <c r="C525" s="1"/>
  <c r="D332"/>
  <c r="D501" s="1"/>
  <c r="E332"/>
  <c r="E501" s="1"/>
  <c r="E525" s="1"/>
  <c r="C333"/>
  <c r="C502" s="1"/>
  <c r="C526" s="1"/>
  <c r="D333"/>
  <c r="D502" s="1"/>
  <c r="E333"/>
  <c r="E502" s="1"/>
  <c r="E526" s="1"/>
  <c r="C334"/>
  <c r="C503" s="1"/>
  <c r="C527" s="1"/>
  <c r="D334"/>
  <c r="D503" s="1"/>
  <c r="E334"/>
  <c r="E503" s="1"/>
  <c r="E527" s="1"/>
  <c r="C335"/>
  <c r="C504" s="1"/>
  <c r="C528" s="1"/>
  <c r="D335"/>
  <c r="D504" s="1"/>
  <c r="D528" s="1"/>
  <c r="E335"/>
  <c r="E504" s="1"/>
  <c r="E528" s="1"/>
  <c r="C336"/>
  <c r="C505" s="1"/>
  <c r="C529" s="1"/>
  <c r="D336"/>
  <c r="D505" s="1"/>
  <c r="E336"/>
  <c r="E505" s="1"/>
  <c r="E529" s="1"/>
  <c r="C337"/>
  <c r="C506" s="1"/>
  <c r="C530" s="1"/>
  <c r="D337"/>
  <c r="D506" s="1"/>
  <c r="E337"/>
  <c r="E506" s="1"/>
  <c r="E530" s="1"/>
  <c r="F337"/>
  <c r="F506" s="1"/>
  <c r="F530" s="1"/>
  <c r="C338"/>
  <c r="C507" s="1"/>
  <c r="C531" s="1"/>
  <c r="D338"/>
  <c r="D507" s="1"/>
  <c r="E338"/>
  <c r="E507" s="1"/>
  <c r="E531" s="1"/>
  <c r="F338"/>
  <c r="F507" s="1"/>
  <c r="F531" s="1"/>
  <c r="C339"/>
  <c r="C508" s="1"/>
  <c r="C532" s="1"/>
  <c r="D339"/>
  <c r="D508" s="1"/>
  <c r="E339"/>
  <c r="E508" s="1"/>
  <c r="E532" s="1"/>
  <c r="C340"/>
  <c r="C509" s="1"/>
  <c r="C533" s="1"/>
  <c r="D340"/>
  <c r="D509" s="1"/>
  <c r="E340"/>
  <c r="E509" s="1"/>
  <c r="E533" s="1"/>
  <c r="C341"/>
  <c r="C510" s="1"/>
  <c r="C534" s="1"/>
  <c r="D341"/>
  <c r="D510" s="1"/>
  <c r="E341"/>
  <c r="E510" s="1"/>
  <c r="E534" s="1"/>
  <c r="C342"/>
  <c r="C511" s="1"/>
  <c r="C535" s="1"/>
  <c r="D342"/>
  <c r="D511" s="1"/>
  <c r="E342"/>
  <c r="E511" s="1"/>
  <c r="E535" s="1"/>
  <c r="C343"/>
  <c r="C512" s="1"/>
  <c r="C536" s="1"/>
  <c r="D343"/>
  <c r="D512" s="1"/>
  <c r="E343"/>
  <c r="E512" s="1"/>
  <c r="E536" s="1"/>
  <c r="C344"/>
  <c r="C513" s="1"/>
  <c r="C537" s="1"/>
  <c r="D344"/>
  <c r="D513" s="1"/>
  <c r="E344"/>
  <c r="E513" s="1"/>
  <c r="E537" s="1"/>
  <c r="F344"/>
  <c r="F513" s="1"/>
  <c r="F537" s="1"/>
  <c r="G344"/>
  <c r="H344"/>
  <c r="H513" s="1"/>
  <c r="H537" s="1"/>
  <c r="C345"/>
  <c r="C514" s="1"/>
  <c r="C538" s="1"/>
  <c r="D345"/>
  <c r="D514" s="1"/>
  <c r="E345"/>
  <c r="E514" s="1"/>
  <c r="E538" s="1"/>
  <c r="F345"/>
  <c r="F514" s="1"/>
  <c r="F538" s="1"/>
  <c r="G345"/>
  <c r="H345"/>
  <c r="H514" s="1"/>
  <c r="H538" s="1"/>
  <c r="C346"/>
  <c r="C515" s="1"/>
  <c r="C539" s="1"/>
  <c r="D346"/>
  <c r="D515" s="1"/>
  <c r="E346"/>
  <c r="E515" s="1"/>
  <c r="E539" s="1"/>
  <c r="F346"/>
  <c r="F515" s="1"/>
  <c r="F539" s="1"/>
  <c r="G346"/>
  <c r="H346"/>
  <c r="H515" s="1"/>
  <c r="H539" s="1"/>
  <c r="C347"/>
  <c r="C516" s="1"/>
  <c r="C540" s="1"/>
  <c r="D347"/>
  <c r="D516" s="1"/>
  <c r="D540" s="1"/>
  <c r="E347"/>
  <c r="E516" s="1"/>
  <c r="E540" s="1"/>
  <c r="C348"/>
  <c r="C517" s="1"/>
  <c r="C541" s="1"/>
  <c r="D348"/>
  <c r="D517" s="1"/>
  <c r="E348"/>
  <c r="E517" s="1"/>
  <c r="E541" s="1"/>
  <c r="C349"/>
  <c r="C518" s="1"/>
  <c r="C542" s="1"/>
  <c r="D349"/>
  <c r="D518" s="1"/>
  <c r="E349"/>
  <c r="E518" s="1"/>
  <c r="E542" s="1"/>
  <c r="C350"/>
  <c r="C519" s="1"/>
  <c r="C543" s="1"/>
  <c r="D350"/>
  <c r="D519" s="1"/>
  <c r="E350"/>
  <c r="E519" s="1"/>
  <c r="E543" s="1"/>
  <c r="C351"/>
  <c r="C520" s="1"/>
  <c r="C544" s="1"/>
  <c r="D351"/>
  <c r="D520" s="1"/>
  <c r="D544" s="1"/>
  <c r="E351"/>
  <c r="E520" s="1"/>
  <c r="E544" s="1"/>
  <c r="C352"/>
  <c r="C521" s="1"/>
  <c r="C545" s="1"/>
  <c r="D352"/>
  <c r="D521" s="1"/>
  <c r="E352"/>
  <c r="E521" s="1"/>
  <c r="E545" s="1"/>
  <c r="E331"/>
  <c r="E500" s="1"/>
  <c r="E524" s="1"/>
  <c r="D331"/>
  <c r="D500" s="1"/>
  <c r="D524" s="1"/>
  <c r="I329"/>
  <c r="I330"/>
  <c r="C331"/>
  <c r="C500" s="1"/>
  <c r="C524" s="1"/>
  <c r="C330"/>
  <c r="C499" s="1"/>
  <c r="C523" s="1"/>
  <c r="I324"/>
  <c r="E325"/>
  <c r="E579" s="1"/>
  <c r="F325"/>
  <c r="F579" s="1"/>
  <c r="G325"/>
  <c r="E326"/>
  <c r="E580" s="1"/>
  <c r="F326"/>
  <c r="G326"/>
  <c r="E327"/>
  <c r="E581" s="1"/>
  <c r="F327"/>
  <c r="G327"/>
  <c r="E328"/>
  <c r="E582" s="1"/>
  <c r="F328"/>
  <c r="G328"/>
  <c r="D326"/>
  <c r="D580" s="1"/>
  <c r="D327"/>
  <c r="D581" s="1"/>
  <c r="D328"/>
  <c r="D582" s="1"/>
  <c r="D325"/>
  <c r="D579" s="1"/>
  <c r="C326"/>
  <c r="C580" s="1"/>
  <c r="C327"/>
  <c r="C581" s="1"/>
  <c r="C328"/>
  <c r="C582" s="1"/>
  <c r="C325"/>
  <c r="C579" s="1"/>
  <c r="L324"/>
  <c r="H368"/>
  <c r="I368" s="1"/>
  <c r="C367"/>
  <c r="M365"/>
  <c r="P365"/>
  <c r="N365"/>
  <c r="C241"/>
  <c r="H241"/>
  <c r="D242"/>
  <c r="E242"/>
  <c r="F242"/>
  <c r="G242"/>
  <c r="H242"/>
  <c r="C265"/>
  <c r="C173"/>
  <c r="C2069" s="1"/>
  <c r="D173"/>
  <c r="E173"/>
  <c r="E2069" s="1"/>
  <c r="F173"/>
  <c r="F2069" s="1"/>
  <c r="G173"/>
  <c r="G2069" s="1"/>
  <c r="C174"/>
  <c r="C2070" s="1"/>
  <c r="D174"/>
  <c r="E174"/>
  <c r="E2070" s="1"/>
  <c r="F174"/>
  <c r="F2070" s="1"/>
  <c r="G174"/>
  <c r="G2070" s="1"/>
  <c r="C175"/>
  <c r="C2071" s="1"/>
  <c r="D175"/>
  <c r="E175"/>
  <c r="E2071" s="1"/>
  <c r="F175"/>
  <c r="F2071" s="1"/>
  <c r="G175"/>
  <c r="G2071" s="1"/>
  <c r="C176"/>
  <c r="C2072" s="1"/>
  <c r="D176"/>
  <c r="E176"/>
  <c r="E2072" s="1"/>
  <c r="F176"/>
  <c r="F2072" s="1"/>
  <c r="G176"/>
  <c r="G2072" s="1"/>
  <c r="C177"/>
  <c r="C2073" s="1"/>
  <c r="D177"/>
  <c r="E177"/>
  <c r="E2073" s="1"/>
  <c r="F177"/>
  <c r="F2073" s="1"/>
  <c r="G177"/>
  <c r="G2073" s="1"/>
  <c r="H177"/>
  <c r="C178"/>
  <c r="C2074" s="1"/>
  <c r="D178"/>
  <c r="E178"/>
  <c r="E2074" s="1"/>
  <c r="F178"/>
  <c r="F2074" s="1"/>
  <c r="G178"/>
  <c r="G2074" s="1"/>
  <c r="H178"/>
  <c r="C179"/>
  <c r="C2075" s="1"/>
  <c r="D179"/>
  <c r="E179"/>
  <c r="E2075" s="1"/>
  <c r="F179"/>
  <c r="F2075" s="1"/>
  <c r="G179"/>
  <c r="G2075" s="1"/>
  <c r="C180"/>
  <c r="C2076" s="1"/>
  <c r="D180"/>
  <c r="E180"/>
  <c r="E2076" s="1"/>
  <c r="F180"/>
  <c r="F2076" s="1"/>
  <c r="G180"/>
  <c r="G2076" s="1"/>
  <c r="C181"/>
  <c r="C2077" s="1"/>
  <c r="D181"/>
  <c r="E181"/>
  <c r="E2077" s="1"/>
  <c r="F181"/>
  <c r="F2077" s="1"/>
  <c r="G181"/>
  <c r="G2077" s="1"/>
  <c r="C182"/>
  <c r="C2078" s="1"/>
  <c r="D182"/>
  <c r="E182"/>
  <c r="E2078" s="1"/>
  <c r="F182"/>
  <c r="F2078" s="1"/>
  <c r="G182"/>
  <c r="G2078" s="1"/>
  <c r="C183"/>
  <c r="C2079" s="1"/>
  <c r="D183"/>
  <c r="E183"/>
  <c r="E2079" s="1"/>
  <c r="F183"/>
  <c r="F2079" s="1"/>
  <c r="G183"/>
  <c r="G2079" s="1"/>
  <c r="H183"/>
  <c r="C184"/>
  <c r="C2080" s="1"/>
  <c r="D184"/>
  <c r="E184"/>
  <c r="E2080" s="1"/>
  <c r="F184"/>
  <c r="F2080" s="1"/>
  <c r="G184"/>
  <c r="G2080" s="1"/>
  <c r="H184"/>
  <c r="C185"/>
  <c r="C2081" s="1"/>
  <c r="D185"/>
  <c r="E185"/>
  <c r="E2081" s="1"/>
  <c r="F185"/>
  <c r="F2081" s="1"/>
  <c r="G185"/>
  <c r="G2081" s="1"/>
  <c r="H185"/>
  <c r="C186"/>
  <c r="C2082" s="1"/>
  <c r="D186"/>
  <c r="E186"/>
  <c r="E2082" s="1"/>
  <c r="F186"/>
  <c r="F2082" s="1"/>
  <c r="G186"/>
  <c r="G2082" s="1"/>
  <c r="H186"/>
  <c r="C187"/>
  <c r="C2083" s="1"/>
  <c r="D187"/>
  <c r="E187"/>
  <c r="E2083" s="1"/>
  <c r="F187"/>
  <c r="F2083" s="1"/>
  <c r="G187"/>
  <c r="G2083" s="1"/>
  <c r="H187"/>
  <c r="C188"/>
  <c r="C2084" s="1"/>
  <c r="D188"/>
  <c r="E188"/>
  <c r="E2084" s="1"/>
  <c r="F188"/>
  <c r="F2084" s="1"/>
  <c r="G188"/>
  <c r="G2084" s="1"/>
  <c r="H188"/>
  <c r="C189"/>
  <c r="C2085" s="1"/>
  <c r="D189"/>
  <c r="E189"/>
  <c r="E2085" s="1"/>
  <c r="F189"/>
  <c r="F2085" s="1"/>
  <c r="G189"/>
  <c r="G2085" s="1"/>
  <c r="H189"/>
  <c r="C190"/>
  <c r="C2086" s="1"/>
  <c r="D190"/>
  <c r="E190"/>
  <c r="E2086" s="1"/>
  <c r="F190"/>
  <c r="F2086" s="1"/>
  <c r="G190"/>
  <c r="G2086" s="1"/>
  <c r="H190"/>
  <c r="D132"/>
  <c r="D133"/>
  <c r="D134"/>
  <c r="D131"/>
  <c r="D130"/>
  <c r="E130"/>
  <c r="E265" s="1"/>
  <c r="F130"/>
  <c r="F265" s="1"/>
  <c r="G130"/>
  <c r="G265" s="1"/>
  <c r="H130"/>
  <c r="H265" s="1"/>
  <c r="C131"/>
  <c r="C266" s="1"/>
  <c r="E131"/>
  <c r="E266" s="1"/>
  <c r="F131"/>
  <c r="F266" s="1"/>
  <c r="G131"/>
  <c r="G266" s="1"/>
  <c r="C132"/>
  <c r="C267" s="1"/>
  <c r="E132"/>
  <c r="E267" s="1"/>
  <c r="F132"/>
  <c r="F267" s="1"/>
  <c r="G132"/>
  <c r="G267" s="1"/>
  <c r="C133"/>
  <c r="C268" s="1"/>
  <c r="E133"/>
  <c r="E268" s="1"/>
  <c r="F133"/>
  <c r="F268" s="1"/>
  <c r="G133"/>
  <c r="G268" s="1"/>
  <c r="C134"/>
  <c r="C269" s="1"/>
  <c r="E134"/>
  <c r="E269" s="1"/>
  <c r="F134"/>
  <c r="F269" s="1"/>
  <c r="G134"/>
  <c r="G269" s="1"/>
  <c r="C129"/>
  <c r="C264" s="1"/>
  <c r="D129"/>
  <c r="E129"/>
  <c r="E264" s="1"/>
  <c r="G129"/>
  <c r="G264" s="1"/>
  <c r="C124"/>
  <c r="C259" s="1"/>
  <c r="D124"/>
  <c r="D259" s="1"/>
  <c r="E124"/>
  <c r="E259" s="1"/>
  <c r="G124"/>
  <c r="G259" s="1"/>
  <c r="C125"/>
  <c r="C260" s="1"/>
  <c r="D125"/>
  <c r="E125"/>
  <c r="E260" s="1"/>
  <c r="G125"/>
  <c r="G260" s="1"/>
  <c r="C126"/>
  <c r="C261" s="1"/>
  <c r="D126"/>
  <c r="E126"/>
  <c r="E261" s="1"/>
  <c r="G126"/>
  <c r="G261" s="1"/>
  <c r="C127"/>
  <c r="C262" s="1"/>
  <c r="D127"/>
  <c r="E127"/>
  <c r="E262" s="1"/>
  <c r="G127"/>
  <c r="G262" s="1"/>
  <c r="C128"/>
  <c r="C263" s="1"/>
  <c r="D128"/>
  <c r="E128"/>
  <c r="E263" s="1"/>
  <c r="G128"/>
  <c r="G263" s="1"/>
  <c r="C117"/>
  <c r="C252" s="1"/>
  <c r="D117"/>
  <c r="E117"/>
  <c r="E252" s="1"/>
  <c r="G117"/>
  <c r="G252" s="1"/>
  <c r="C118"/>
  <c r="C253" s="1"/>
  <c r="D118"/>
  <c r="E118"/>
  <c r="E253" s="1"/>
  <c r="G118"/>
  <c r="G253" s="1"/>
  <c r="C119"/>
  <c r="C254" s="1"/>
  <c r="D119"/>
  <c r="E119"/>
  <c r="E254" s="1"/>
  <c r="G119"/>
  <c r="G254" s="1"/>
  <c r="C120"/>
  <c r="C255" s="1"/>
  <c r="D120"/>
  <c r="E120"/>
  <c r="E255" s="1"/>
  <c r="G120"/>
  <c r="G255" s="1"/>
  <c r="C121"/>
  <c r="C256" s="1"/>
  <c r="D121"/>
  <c r="D256" s="1"/>
  <c r="E121"/>
  <c r="E256" s="1"/>
  <c r="F121"/>
  <c r="F256" s="1"/>
  <c r="G121"/>
  <c r="G256" s="1"/>
  <c r="H121"/>
  <c r="H256" s="1"/>
  <c r="C122"/>
  <c r="C257" s="1"/>
  <c r="D122"/>
  <c r="D257" s="1"/>
  <c r="E122"/>
  <c r="E257" s="1"/>
  <c r="F122"/>
  <c r="F257" s="1"/>
  <c r="G122"/>
  <c r="G257" s="1"/>
  <c r="H122"/>
  <c r="H257" s="1"/>
  <c r="C123"/>
  <c r="C258" s="1"/>
  <c r="D123"/>
  <c r="D258" s="1"/>
  <c r="E123"/>
  <c r="E258" s="1"/>
  <c r="F123"/>
  <c r="F258" s="1"/>
  <c r="G123"/>
  <c r="G258" s="1"/>
  <c r="H123"/>
  <c r="H258" s="1"/>
  <c r="C109"/>
  <c r="C244" s="1"/>
  <c r="D109"/>
  <c r="E109"/>
  <c r="E244" s="1"/>
  <c r="G109"/>
  <c r="G244" s="1"/>
  <c r="C110"/>
  <c r="C245" s="1"/>
  <c r="D110"/>
  <c r="E110"/>
  <c r="E245" s="1"/>
  <c r="G110"/>
  <c r="G245" s="1"/>
  <c r="C111"/>
  <c r="C246" s="1"/>
  <c r="D111"/>
  <c r="E111"/>
  <c r="E246" s="1"/>
  <c r="G111"/>
  <c r="G246" s="1"/>
  <c r="C112"/>
  <c r="C247" s="1"/>
  <c r="D112"/>
  <c r="E112"/>
  <c r="E247" s="1"/>
  <c r="G112"/>
  <c r="G247" s="1"/>
  <c r="C113"/>
  <c r="C248" s="1"/>
  <c r="D113"/>
  <c r="E113"/>
  <c r="E248" s="1"/>
  <c r="G113"/>
  <c r="G248" s="1"/>
  <c r="C114"/>
  <c r="C249" s="1"/>
  <c r="D114"/>
  <c r="E114"/>
  <c r="E249" s="1"/>
  <c r="F114"/>
  <c r="F249" s="1"/>
  <c r="G114"/>
  <c r="G249" s="1"/>
  <c r="C115"/>
  <c r="C250" s="1"/>
  <c r="D115"/>
  <c r="E115"/>
  <c r="E250" s="1"/>
  <c r="F115"/>
  <c r="F250" s="1"/>
  <c r="G115"/>
  <c r="G250" s="1"/>
  <c r="C116"/>
  <c r="C251" s="1"/>
  <c r="D116"/>
  <c r="E116"/>
  <c r="E251" s="1"/>
  <c r="G116"/>
  <c r="G251" s="1"/>
  <c r="E108"/>
  <c r="E243" s="1"/>
  <c r="G108"/>
  <c r="G243" s="1"/>
  <c r="D108"/>
  <c r="D243" s="1"/>
  <c r="C108"/>
  <c r="C243" s="1"/>
  <c r="C107"/>
  <c r="C242" s="1"/>
  <c r="D79"/>
  <c r="E79"/>
  <c r="F79"/>
  <c r="G79"/>
  <c r="D80"/>
  <c r="E80"/>
  <c r="F80"/>
  <c r="G80"/>
  <c r="D81"/>
  <c r="E81"/>
  <c r="F81"/>
  <c r="G81"/>
  <c r="F78"/>
  <c r="G78"/>
  <c r="E78"/>
  <c r="D78"/>
  <c r="D38"/>
  <c r="D39"/>
  <c r="D40"/>
  <c r="D37"/>
  <c r="C79"/>
  <c r="C80"/>
  <c r="C81"/>
  <c r="C78"/>
  <c r="I77"/>
  <c r="C56"/>
  <c r="D56"/>
  <c r="E56"/>
  <c r="G56"/>
  <c r="C57"/>
  <c r="D57"/>
  <c r="E57"/>
  <c r="G57"/>
  <c r="C58"/>
  <c r="D58"/>
  <c r="E58"/>
  <c r="G58"/>
  <c r="C59"/>
  <c r="D59"/>
  <c r="E59"/>
  <c r="G59"/>
  <c r="C60"/>
  <c r="D60"/>
  <c r="E60"/>
  <c r="G60"/>
  <c r="C61"/>
  <c r="D61"/>
  <c r="E61"/>
  <c r="F61"/>
  <c r="G61"/>
  <c r="C62"/>
  <c r="D62"/>
  <c r="E62"/>
  <c r="F62"/>
  <c r="G62"/>
  <c r="C63"/>
  <c r="D63"/>
  <c r="E63"/>
  <c r="G63"/>
  <c r="C64"/>
  <c r="D64"/>
  <c r="E64"/>
  <c r="G64"/>
  <c r="C65"/>
  <c r="D65"/>
  <c r="E65"/>
  <c r="G65"/>
  <c r="C66"/>
  <c r="D66"/>
  <c r="E66"/>
  <c r="G66"/>
  <c r="C67"/>
  <c r="D67"/>
  <c r="E67"/>
  <c r="G67"/>
  <c r="C68"/>
  <c r="D68"/>
  <c r="E68"/>
  <c r="F68"/>
  <c r="G68"/>
  <c r="H68"/>
  <c r="C69"/>
  <c r="D69"/>
  <c r="E69"/>
  <c r="F69"/>
  <c r="G69"/>
  <c r="H69"/>
  <c r="C70"/>
  <c r="D70"/>
  <c r="E70"/>
  <c r="F70"/>
  <c r="G70"/>
  <c r="H70"/>
  <c r="C71"/>
  <c r="D71"/>
  <c r="E71"/>
  <c r="G71"/>
  <c r="C72"/>
  <c r="D72"/>
  <c r="E72"/>
  <c r="G72"/>
  <c r="C73"/>
  <c r="D73"/>
  <c r="E73"/>
  <c r="G73"/>
  <c r="C74"/>
  <c r="D74"/>
  <c r="E74"/>
  <c r="G74"/>
  <c r="C75"/>
  <c r="D75"/>
  <c r="E75"/>
  <c r="G75"/>
  <c r="C76"/>
  <c r="D76"/>
  <c r="E76"/>
  <c r="G76"/>
  <c r="E55"/>
  <c r="G55"/>
  <c r="D55"/>
  <c r="C55"/>
  <c r="C54"/>
  <c r="I53"/>
  <c r="G332" l="1"/>
  <c r="G378"/>
  <c r="I2351"/>
  <c r="H4703"/>
  <c r="H4736"/>
  <c r="H2590"/>
  <c r="I2589"/>
  <c r="D2084"/>
  <c r="I2084" s="1"/>
  <c r="I188"/>
  <c r="D2082"/>
  <c r="I2082" s="1"/>
  <c r="I186"/>
  <c r="D2077"/>
  <c r="I2077" s="1"/>
  <c r="D2074"/>
  <c r="I2074" s="1"/>
  <c r="I178"/>
  <c r="D2071"/>
  <c r="I2071" s="1"/>
  <c r="D251"/>
  <c r="D255"/>
  <c r="D254"/>
  <c r="D253"/>
  <c r="D252"/>
  <c r="D263"/>
  <c r="D262"/>
  <c r="D261"/>
  <c r="D260"/>
  <c r="D264"/>
  <c r="D269"/>
  <c r="D2076"/>
  <c r="I2076" s="1"/>
  <c r="D2070"/>
  <c r="I2070" s="1"/>
  <c r="D250"/>
  <c r="D268"/>
  <c r="D2085"/>
  <c r="I2085" s="1"/>
  <c r="I189"/>
  <c r="D2083"/>
  <c r="I2083" s="1"/>
  <c r="I187"/>
  <c r="D2081"/>
  <c r="I2081" s="1"/>
  <c r="I185"/>
  <c r="D2079"/>
  <c r="I2079" s="1"/>
  <c r="I183"/>
  <c r="D2075"/>
  <c r="I2075" s="1"/>
  <c r="D2073"/>
  <c r="I2073" s="1"/>
  <c r="I177"/>
  <c r="D2069"/>
  <c r="I2069" s="1"/>
  <c r="D266"/>
  <c r="D2086"/>
  <c r="I2086" s="1"/>
  <c r="I190"/>
  <c r="D2080"/>
  <c r="I2080" s="1"/>
  <c r="I184"/>
  <c r="D249"/>
  <c r="D248"/>
  <c r="D247"/>
  <c r="D246"/>
  <c r="D245"/>
  <c r="D244"/>
  <c r="D265"/>
  <c r="I265" s="1"/>
  <c r="I130"/>
  <c r="D267"/>
  <c r="D2078"/>
  <c r="I2078" s="1"/>
  <c r="D2072"/>
  <c r="I2072" s="1"/>
  <c r="I4280"/>
  <c r="I906"/>
  <c r="F4703"/>
  <c r="I4720"/>
  <c r="I4721"/>
  <c r="J4665"/>
  <c r="F4665" s="1"/>
  <c r="I4665" s="1"/>
  <c r="J4676"/>
  <c r="F4676" s="1"/>
  <c r="I4676" s="1"/>
  <c r="J4763"/>
  <c r="F4763" s="1"/>
  <c r="J4776"/>
  <c r="F4776" s="1"/>
  <c r="J4771"/>
  <c r="F4771" s="1"/>
  <c r="J4758"/>
  <c r="F4758" s="1"/>
  <c r="J4759"/>
  <c r="F4759" s="1"/>
  <c r="J4772"/>
  <c r="F4772" s="1"/>
  <c r="J4779"/>
  <c r="F4779" s="1"/>
  <c r="J4766"/>
  <c r="F4766" s="1"/>
  <c r="J4765"/>
  <c r="F4765" s="1"/>
  <c r="J4778"/>
  <c r="F4778" s="1"/>
  <c r="J4760"/>
  <c r="F4760" s="1"/>
  <c r="J4773"/>
  <c r="F4773" s="1"/>
  <c r="J4756"/>
  <c r="F4756" s="1"/>
  <c r="J4769"/>
  <c r="F4769" s="1"/>
  <c r="J4674"/>
  <c r="F4674" s="1"/>
  <c r="I4674" s="1"/>
  <c r="J4663"/>
  <c r="F4663" s="1"/>
  <c r="I4663" s="1"/>
  <c r="J4757"/>
  <c r="F4757" s="1"/>
  <c r="J4770"/>
  <c r="F4770" s="1"/>
  <c r="J4774"/>
  <c r="F4774" s="1"/>
  <c r="J4761"/>
  <c r="F4761" s="1"/>
  <c r="J4775"/>
  <c r="F4775" s="1"/>
  <c r="J4762"/>
  <c r="F4762" s="1"/>
  <c r="J4764"/>
  <c r="F4764" s="1"/>
  <c r="J4777"/>
  <c r="F4777" s="1"/>
  <c r="J4661"/>
  <c r="F4661" s="1"/>
  <c r="I4661" s="1"/>
  <c r="J4672"/>
  <c r="F4672" s="1"/>
  <c r="I4672" s="1"/>
  <c r="E4763"/>
  <c r="E4776"/>
  <c r="E4762"/>
  <c r="E4775"/>
  <c r="E4757"/>
  <c r="E4770"/>
  <c r="E4761"/>
  <c r="E4774"/>
  <c r="I4734"/>
  <c r="E4759"/>
  <c r="E4772"/>
  <c r="E4764"/>
  <c r="E4777"/>
  <c r="E4758"/>
  <c r="E4771"/>
  <c r="E4766"/>
  <c r="E4779"/>
  <c r="E4756"/>
  <c r="E4769"/>
  <c r="E4765"/>
  <c r="E4778"/>
  <c r="E4760"/>
  <c r="E4773"/>
  <c r="I4735"/>
  <c r="K4723"/>
  <c r="G4723" s="1"/>
  <c r="I4723" s="1"/>
  <c r="K4737"/>
  <c r="F4737" s="1"/>
  <c r="F4736"/>
  <c r="I4722"/>
  <c r="L4723"/>
  <c r="L4737"/>
  <c r="I4701"/>
  <c r="I4702"/>
  <c r="I4688"/>
  <c r="K4691"/>
  <c r="G4691" s="1"/>
  <c r="I4691" s="1"/>
  <c r="K4704"/>
  <c r="F4704" s="1"/>
  <c r="L4691"/>
  <c r="L4704"/>
  <c r="I4690"/>
  <c r="I4689"/>
  <c r="I636"/>
  <c r="I645"/>
  <c r="I637"/>
  <c r="H907"/>
  <c r="I1139"/>
  <c r="I1138"/>
  <c r="I954"/>
  <c r="G907"/>
  <c r="G825"/>
  <c r="H741"/>
  <c r="H4111" s="1"/>
  <c r="I4111" s="1"/>
  <c r="I752"/>
  <c r="I797"/>
  <c r="H984"/>
  <c r="H825"/>
  <c r="I1135"/>
  <c r="G984"/>
  <c r="I983"/>
  <c r="I1136"/>
  <c r="G741"/>
  <c r="I740"/>
  <c r="I1137"/>
  <c r="H2632"/>
  <c r="I2631"/>
  <c r="H1713"/>
  <c r="I1713" s="1"/>
  <c r="H955"/>
  <c r="H4329" s="1"/>
  <c r="I4329" s="1"/>
  <c r="H1644"/>
  <c r="H798"/>
  <c r="H4165" s="1"/>
  <c r="I4165" s="1"/>
  <c r="I1290"/>
  <c r="H1366"/>
  <c r="H753"/>
  <c r="H4123" s="1"/>
  <c r="I4123" s="1"/>
  <c r="H1291"/>
  <c r="H638" s="1"/>
  <c r="H4007" s="1"/>
  <c r="I4007" s="1"/>
  <c r="I624"/>
  <c r="F655"/>
  <c r="I623"/>
  <c r="F654"/>
  <c r="I625"/>
  <c r="F656"/>
  <c r="F593"/>
  <c r="F582"/>
  <c r="F581"/>
  <c r="F580"/>
  <c r="F591"/>
  <c r="F592"/>
  <c r="H600"/>
  <c r="I569"/>
  <c r="D536"/>
  <c r="I514"/>
  <c r="D532"/>
  <c r="I523"/>
  <c r="I515"/>
  <c r="I513"/>
  <c r="D543"/>
  <c r="D539"/>
  <c r="I539" s="1"/>
  <c r="D535"/>
  <c r="D531"/>
  <c r="D527"/>
  <c r="D542"/>
  <c r="D538"/>
  <c r="I538" s="1"/>
  <c r="D534"/>
  <c r="D530"/>
  <c r="D526"/>
  <c r="D545"/>
  <c r="D541"/>
  <c r="D537"/>
  <c r="I537" s="1"/>
  <c r="D533"/>
  <c r="D529"/>
  <c r="D525"/>
  <c r="I469"/>
  <c r="I470"/>
  <c r="I468"/>
  <c r="I438"/>
  <c r="D440"/>
  <c r="D439"/>
  <c r="I358"/>
  <c r="I353"/>
  <c r="I399" s="1"/>
  <c r="I361"/>
  <c r="I359"/>
  <c r="I345"/>
  <c r="I344"/>
  <c r="I360"/>
  <c r="I346"/>
  <c r="I362"/>
  <c r="I258"/>
  <c r="I242"/>
  <c r="I257"/>
  <c r="I256"/>
  <c r="I68"/>
  <c r="I121"/>
  <c r="I123"/>
  <c r="I122"/>
  <c r="I70"/>
  <c r="I69"/>
  <c r="M45"/>
  <c r="P45"/>
  <c r="I51" i="12"/>
  <c r="I50"/>
  <c r="I49"/>
  <c r="I48"/>
  <c r="H49" i="13" s="1"/>
  <c r="I47" i="12"/>
  <c r="M96" i="13"/>
  <c r="P96"/>
  <c r="N96"/>
  <c r="H98"/>
  <c r="G98"/>
  <c r="F98"/>
  <c r="E98"/>
  <c r="D98"/>
  <c r="C98"/>
  <c r="C291"/>
  <c r="D291"/>
  <c r="E291"/>
  <c r="G291"/>
  <c r="C292"/>
  <c r="D292"/>
  <c r="E292"/>
  <c r="G292"/>
  <c r="C293"/>
  <c r="D293"/>
  <c r="E293"/>
  <c r="G293"/>
  <c r="C294"/>
  <c r="D294"/>
  <c r="E294"/>
  <c r="G294"/>
  <c r="C295"/>
  <c r="D295"/>
  <c r="E295"/>
  <c r="F295"/>
  <c r="G295"/>
  <c r="H295"/>
  <c r="C283"/>
  <c r="D283"/>
  <c r="E283"/>
  <c r="G283"/>
  <c r="C284"/>
  <c r="D284"/>
  <c r="E284"/>
  <c r="G284"/>
  <c r="C282"/>
  <c r="D282"/>
  <c r="E282"/>
  <c r="G282"/>
  <c r="C275"/>
  <c r="D275"/>
  <c r="E275"/>
  <c r="G275"/>
  <c r="H275"/>
  <c r="C276"/>
  <c r="D276"/>
  <c r="E276"/>
  <c r="G276"/>
  <c r="H276"/>
  <c r="C277"/>
  <c r="D277"/>
  <c r="E277"/>
  <c r="G277"/>
  <c r="H277"/>
  <c r="C278"/>
  <c r="D278"/>
  <c r="E278"/>
  <c r="F278"/>
  <c r="G278"/>
  <c r="C279"/>
  <c r="D279"/>
  <c r="E279"/>
  <c r="F279"/>
  <c r="G279"/>
  <c r="C280"/>
  <c r="D280"/>
  <c r="E280"/>
  <c r="G280"/>
  <c r="C281"/>
  <c r="D281"/>
  <c r="E281"/>
  <c r="G281"/>
  <c r="C191"/>
  <c r="C164"/>
  <c r="C154"/>
  <c r="D154"/>
  <c r="E154"/>
  <c r="G154"/>
  <c r="C155"/>
  <c r="D155"/>
  <c r="E155"/>
  <c r="G155"/>
  <c r="C156"/>
  <c r="D156"/>
  <c r="E156"/>
  <c r="G156"/>
  <c r="C157"/>
  <c r="D157"/>
  <c r="E157"/>
  <c r="G157"/>
  <c r="C150"/>
  <c r="D150"/>
  <c r="E150"/>
  <c r="F150"/>
  <c r="G150"/>
  <c r="H150"/>
  <c r="C148"/>
  <c r="D148"/>
  <c r="E148"/>
  <c r="G148"/>
  <c r="C149"/>
  <c r="D149"/>
  <c r="E149"/>
  <c r="G149"/>
  <c r="L73" i="12"/>
  <c r="L74" s="1"/>
  <c r="H280" i="13" s="1"/>
  <c r="L72" i="12"/>
  <c r="H143" i="13" s="1"/>
  <c r="K72" i="12"/>
  <c r="K73"/>
  <c r="K74"/>
  <c r="K75"/>
  <c r="K76"/>
  <c r="K77"/>
  <c r="K78"/>
  <c r="C140" i="13"/>
  <c r="D140"/>
  <c r="E140"/>
  <c r="G140"/>
  <c r="H140"/>
  <c r="C141"/>
  <c r="D141"/>
  <c r="E141"/>
  <c r="G141"/>
  <c r="H141"/>
  <c r="C142"/>
  <c r="D142"/>
  <c r="E142"/>
  <c r="G142"/>
  <c r="H142"/>
  <c r="C143"/>
  <c r="D143"/>
  <c r="E143"/>
  <c r="F143"/>
  <c r="G143"/>
  <c r="C144"/>
  <c r="D144"/>
  <c r="E144"/>
  <c r="F144"/>
  <c r="G144"/>
  <c r="H144"/>
  <c r="C145"/>
  <c r="D145"/>
  <c r="E145"/>
  <c r="G145"/>
  <c r="C146"/>
  <c r="D146"/>
  <c r="E146"/>
  <c r="G146"/>
  <c r="C147"/>
  <c r="D147"/>
  <c r="E147"/>
  <c r="G147"/>
  <c r="C105"/>
  <c r="D105"/>
  <c r="E105"/>
  <c r="D106"/>
  <c r="D241" s="1"/>
  <c r="E106"/>
  <c r="E241" s="1"/>
  <c r="F106"/>
  <c r="F241" s="1"/>
  <c r="G106"/>
  <c r="G241" s="1"/>
  <c r="F41"/>
  <c r="I41" s="1"/>
  <c r="C31"/>
  <c r="D31"/>
  <c r="E31"/>
  <c r="G31"/>
  <c r="C32"/>
  <c r="D32"/>
  <c r="E32"/>
  <c r="G32"/>
  <c r="C33"/>
  <c r="D33"/>
  <c r="E33"/>
  <c r="G33"/>
  <c r="C34"/>
  <c r="D34"/>
  <c r="E34"/>
  <c r="G34"/>
  <c r="C35"/>
  <c r="D35"/>
  <c r="E35"/>
  <c r="G35"/>
  <c r="C30"/>
  <c r="C25"/>
  <c r="D25"/>
  <c r="E25"/>
  <c r="G25"/>
  <c r="C26"/>
  <c r="D26"/>
  <c r="E26"/>
  <c r="G26"/>
  <c r="C23"/>
  <c r="D23"/>
  <c r="E23"/>
  <c r="G23"/>
  <c r="C24"/>
  <c r="D24"/>
  <c r="E24"/>
  <c r="G24"/>
  <c r="C15"/>
  <c r="D15"/>
  <c r="E15"/>
  <c r="G15"/>
  <c r="C16"/>
  <c r="D16"/>
  <c r="E16"/>
  <c r="G16"/>
  <c r="C17"/>
  <c r="D17"/>
  <c r="E17"/>
  <c r="G17"/>
  <c r="C18"/>
  <c r="D18"/>
  <c r="E18"/>
  <c r="G18"/>
  <c r="C19"/>
  <c r="D19"/>
  <c r="E19"/>
  <c r="G19"/>
  <c r="C20"/>
  <c r="D20"/>
  <c r="E20"/>
  <c r="F20"/>
  <c r="G20"/>
  <c r="C21"/>
  <c r="D21"/>
  <c r="E21"/>
  <c r="F21"/>
  <c r="G21"/>
  <c r="C22"/>
  <c r="D22"/>
  <c r="E22"/>
  <c r="G22"/>
  <c r="C49"/>
  <c r="C90" s="1"/>
  <c r="D49"/>
  <c r="E49"/>
  <c r="E90" s="1"/>
  <c r="C50"/>
  <c r="C91" s="1"/>
  <c r="D50"/>
  <c r="E50"/>
  <c r="E91" s="1"/>
  <c r="H50"/>
  <c r="C51"/>
  <c r="C92" s="1"/>
  <c r="D51"/>
  <c r="E51"/>
  <c r="E92" s="1"/>
  <c r="H51"/>
  <c r="C52"/>
  <c r="C93" s="1"/>
  <c r="D52"/>
  <c r="E52"/>
  <c r="E93" s="1"/>
  <c r="H52"/>
  <c r="H93" s="1"/>
  <c r="I2352" l="1"/>
  <c r="I4703"/>
  <c r="I4736"/>
  <c r="H4704"/>
  <c r="I4704" s="1"/>
  <c r="H4737"/>
  <c r="I4737" s="1"/>
  <c r="H2591"/>
  <c r="I2590"/>
  <c r="D90"/>
  <c r="D93"/>
  <c r="D92"/>
  <c r="D91"/>
  <c r="I144"/>
  <c r="I143"/>
  <c r="I4765"/>
  <c r="I4762"/>
  <c r="I4772"/>
  <c r="I4777"/>
  <c r="I4757"/>
  <c r="I4760"/>
  <c r="J4671"/>
  <c r="F4671" s="1"/>
  <c r="I4671" s="1"/>
  <c r="J4660"/>
  <c r="F4660" s="1"/>
  <c r="I4660" s="1"/>
  <c r="J4670"/>
  <c r="F4670" s="1"/>
  <c r="I4670" s="1"/>
  <c r="J4659"/>
  <c r="F4659" s="1"/>
  <c r="I4659" s="1"/>
  <c r="I4778"/>
  <c r="I4769"/>
  <c r="I4766"/>
  <c r="J4658"/>
  <c r="J4669"/>
  <c r="F4669" s="1"/>
  <c r="I4669" s="1"/>
  <c r="I4779"/>
  <c r="I4756"/>
  <c r="I4759"/>
  <c r="I4764"/>
  <c r="I4774"/>
  <c r="I4775"/>
  <c r="I4770"/>
  <c r="I4776"/>
  <c r="I4758"/>
  <c r="I4773"/>
  <c r="I4771"/>
  <c r="I4761"/>
  <c r="I4763"/>
  <c r="K4724"/>
  <c r="G4724" s="1"/>
  <c r="I4724" s="1"/>
  <c r="K4738"/>
  <c r="F4738" s="1"/>
  <c r="L4724"/>
  <c r="L4738"/>
  <c r="L4692"/>
  <c r="L4705"/>
  <c r="K4692"/>
  <c r="G4692" s="1"/>
  <c r="I4692" s="1"/>
  <c r="K4705"/>
  <c r="F4705" s="1"/>
  <c r="H908"/>
  <c r="H4282" s="1"/>
  <c r="H4281"/>
  <c r="I4281" s="1"/>
  <c r="G428"/>
  <c r="G389"/>
  <c r="G467"/>
  <c r="G343"/>
  <c r="G465"/>
  <c r="G387"/>
  <c r="G341"/>
  <c r="G426"/>
  <c r="G424"/>
  <c r="G385"/>
  <c r="G463"/>
  <c r="G339"/>
  <c r="G461"/>
  <c r="G383"/>
  <c r="G337"/>
  <c r="G422"/>
  <c r="H278"/>
  <c r="I278" s="1"/>
  <c r="G427"/>
  <c r="G342"/>
  <c r="G466"/>
  <c r="G388"/>
  <c r="G340"/>
  <c r="G425"/>
  <c r="G464"/>
  <c r="G386"/>
  <c r="G423"/>
  <c r="G338"/>
  <c r="G462"/>
  <c r="G384"/>
  <c r="H279"/>
  <c r="I279" s="1"/>
  <c r="I654"/>
  <c r="I638"/>
  <c r="I955"/>
  <c r="G742"/>
  <c r="I741"/>
  <c r="H742"/>
  <c r="H4112" s="1"/>
  <c r="I4112" s="1"/>
  <c r="I798"/>
  <c r="H985"/>
  <c r="G908"/>
  <c r="I907"/>
  <c r="I753"/>
  <c r="H826"/>
  <c r="G985"/>
  <c r="I984"/>
  <c r="G826"/>
  <c r="I2695"/>
  <c r="I2632"/>
  <c r="H2633"/>
  <c r="H1715"/>
  <c r="I1715" s="1"/>
  <c r="H956"/>
  <c r="H4330" s="1"/>
  <c r="I4330" s="1"/>
  <c r="H1646"/>
  <c r="H799"/>
  <c r="H4166" s="1"/>
  <c r="I4166" s="1"/>
  <c r="I1291"/>
  <c r="H1292"/>
  <c r="I1292" s="1"/>
  <c r="H1368"/>
  <c r="H754"/>
  <c r="H4124" s="1"/>
  <c r="I4124" s="1"/>
  <c r="H92"/>
  <c r="H90"/>
  <c r="H91"/>
  <c r="I241"/>
  <c r="I98"/>
  <c r="I295"/>
  <c r="I150"/>
  <c r="H145"/>
  <c r="L75" i="12"/>
  <c r="H281" i="13" s="1"/>
  <c r="I106"/>
  <c r="B224" i="12"/>
  <c r="B234" s="1"/>
  <c r="C224"/>
  <c r="C234" s="1"/>
  <c r="D224"/>
  <c r="D234" s="1"/>
  <c r="E224"/>
  <c r="E234" s="1"/>
  <c r="F224"/>
  <c r="F234" s="1"/>
  <c r="G224"/>
  <c r="G234" s="1"/>
  <c r="H224"/>
  <c r="H234" s="1"/>
  <c r="I224"/>
  <c r="I234" s="1"/>
  <c r="J224"/>
  <c r="J234" s="1"/>
  <c r="I210"/>
  <c r="I218" s="1"/>
  <c r="I211"/>
  <c r="I219" s="1"/>
  <c r="I212"/>
  <c r="I220" s="1"/>
  <c r="I209"/>
  <c r="C210"/>
  <c r="C218" s="1"/>
  <c r="C225" s="1"/>
  <c r="C235" s="1"/>
  <c r="D210"/>
  <c r="D218" s="1"/>
  <c r="D225" s="1"/>
  <c r="D235" s="1"/>
  <c r="E194"/>
  <c r="E210" s="1"/>
  <c r="E218" s="1"/>
  <c r="F194"/>
  <c r="F210" s="1"/>
  <c r="F218" s="1"/>
  <c r="G194"/>
  <c r="G210" s="1"/>
  <c r="G218" s="1"/>
  <c r="H194"/>
  <c r="J194" s="1"/>
  <c r="E195"/>
  <c r="E211" s="1"/>
  <c r="E219" s="1"/>
  <c r="F195"/>
  <c r="F211" s="1"/>
  <c r="F219" s="1"/>
  <c r="G195"/>
  <c r="G211" s="1"/>
  <c r="G219" s="1"/>
  <c r="H195"/>
  <c r="J195" s="1"/>
  <c r="E196"/>
  <c r="E212" s="1"/>
  <c r="E220" s="1"/>
  <c r="F196"/>
  <c r="F212" s="1"/>
  <c r="F220" s="1"/>
  <c r="G196"/>
  <c r="G212" s="1"/>
  <c r="H196"/>
  <c r="H212" s="1"/>
  <c r="H220" s="1"/>
  <c r="E193"/>
  <c r="E209" s="1"/>
  <c r="I115"/>
  <c r="B115"/>
  <c r="B194" s="1"/>
  <c r="B210" s="1"/>
  <c r="B218" s="1"/>
  <c r="C115"/>
  <c r="D115"/>
  <c r="E115"/>
  <c r="F115"/>
  <c r="G115"/>
  <c r="H115"/>
  <c r="I116"/>
  <c r="I117" s="1"/>
  <c r="B116"/>
  <c r="B195" s="1"/>
  <c r="B211" s="1"/>
  <c r="B219" s="1"/>
  <c r="C116"/>
  <c r="D116"/>
  <c r="E116"/>
  <c r="F116"/>
  <c r="G116"/>
  <c r="H116"/>
  <c r="B117"/>
  <c r="B196" s="1"/>
  <c r="B212" s="1"/>
  <c r="B220" s="1"/>
  <c r="C117"/>
  <c r="D117"/>
  <c r="E117"/>
  <c r="F117"/>
  <c r="G117"/>
  <c r="H117"/>
  <c r="J100"/>
  <c r="J101"/>
  <c r="J102"/>
  <c r="G87"/>
  <c r="G86"/>
  <c r="G85"/>
  <c r="G84"/>
  <c r="G83"/>
  <c r="G82"/>
  <c r="G67"/>
  <c r="I67"/>
  <c r="G78"/>
  <c r="I78"/>
  <c r="G77"/>
  <c r="I77"/>
  <c r="G74"/>
  <c r="G75"/>
  <c r="I75"/>
  <c r="G76"/>
  <c r="I76"/>
  <c r="I74"/>
  <c r="I73"/>
  <c r="I72"/>
  <c r="G71"/>
  <c r="G70"/>
  <c r="F4658" i="13" l="1"/>
  <c r="I4658" s="1"/>
  <c r="I2353"/>
  <c r="H4738"/>
  <c r="I4738" s="1"/>
  <c r="H4705"/>
  <c r="I4705" s="1"/>
  <c r="H2592"/>
  <c r="I2591"/>
  <c r="H909"/>
  <c r="H4283" s="1"/>
  <c r="I4282"/>
  <c r="K4725"/>
  <c r="G4725" s="1"/>
  <c r="I4725" s="1"/>
  <c r="K4739"/>
  <c r="F4739" s="1"/>
  <c r="L4725"/>
  <c r="L4739"/>
  <c r="K4693"/>
  <c r="G4693" s="1"/>
  <c r="I4693" s="1"/>
  <c r="K4706"/>
  <c r="F4706" s="1"/>
  <c r="L4693"/>
  <c r="L4706"/>
  <c r="C897"/>
  <c r="C4717" s="1"/>
  <c r="B227" i="12"/>
  <c r="B237" s="1"/>
  <c r="F896" i="13"/>
  <c r="J4716" s="1"/>
  <c r="G226" i="12"/>
  <c r="G236" s="1"/>
  <c r="F895" i="13"/>
  <c r="J4715" s="1"/>
  <c r="G225" i="12"/>
  <c r="G235" s="1"/>
  <c r="C896" i="13"/>
  <c r="C4716" s="1"/>
  <c r="B226" i="12"/>
  <c r="B236" s="1"/>
  <c r="E895" i="13"/>
  <c r="E4715" s="1"/>
  <c r="F225" i="12"/>
  <c r="F235" s="1"/>
  <c r="C895" i="13"/>
  <c r="C4715" s="1"/>
  <c r="B225" i="12"/>
  <c r="B235" s="1"/>
  <c r="E897" i="13"/>
  <c r="E4717" s="1"/>
  <c r="F227" i="12"/>
  <c r="F237" s="1"/>
  <c r="E896" i="13"/>
  <c r="E4716" s="1"/>
  <c r="F226" i="12"/>
  <c r="F236" s="1"/>
  <c r="D897" i="13"/>
  <c r="D4717" s="1"/>
  <c r="E227" i="12"/>
  <c r="D896" i="13"/>
  <c r="D4716" s="1"/>
  <c r="E226" i="12"/>
  <c r="D895" i="13"/>
  <c r="D4715" s="1"/>
  <c r="E225" i="12"/>
  <c r="H61" i="13"/>
  <c r="I61" s="1"/>
  <c r="M72" i="12"/>
  <c r="H20" i="13"/>
  <c r="I20" s="1"/>
  <c r="F387"/>
  <c r="F341"/>
  <c r="F426"/>
  <c r="F558" s="1"/>
  <c r="F465"/>
  <c r="F118"/>
  <c r="F65"/>
  <c r="F282"/>
  <c r="F147"/>
  <c r="F24"/>
  <c r="F381"/>
  <c r="F459"/>
  <c r="F335"/>
  <c r="F112"/>
  <c r="F59"/>
  <c r="F276"/>
  <c r="I276" s="1"/>
  <c r="F141"/>
  <c r="I141" s="1"/>
  <c r="F18"/>
  <c r="F460"/>
  <c r="F382"/>
  <c r="F336"/>
  <c r="F113"/>
  <c r="F60"/>
  <c r="F142"/>
  <c r="I142" s="1"/>
  <c r="F277"/>
  <c r="I277" s="1"/>
  <c r="F19"/>
  <c r="H65"/>
  <c r="M76" i="12"/>
  <c r="H24" i="13"/>
  <c r="F424"/>
  <c r="F556" s="1"/>
  <c r="F385"/>
  <c r="F463"/>
  <c r="F339"/>
  <c r="F116"/>
  <c r="F63"/>
  <c r="F280"/>
  <c r="I280" s="1"/>
  <c r="F145"/>
  <c r="I145" s="1"/>
  <c r="F22"/>
  <c r="F428"/>
  <c r="F560" s="1"/>
  <c r="F389"/>
  <c r="F467"/>
  <c r="F343"/>
  <c r="F120"/>
  <c r="F67"/>
  <c r="F284"/>
  <c r="F149"/>
  <c r="F26"/>
  <c r="F393"/>
  <c r="F472"/>
  <c r="F432"/>
  <c r="F564" s="1"/>
  <c r="F348"/>
  <c r="F72"/>
  <c r="F125"/>
  <c r="F31"/>
  <c r="F397"/>
  <c r="F129"/>
  <c r="F436"/>
  <c r="F568" s="1"/>
  <c r="F476"/>
  <c r="F352"/>
  <c r="F76"/>
  <c r="F294"/>
  <c r="F157"/>
  <c r="F35"/>
  <c r="J196" i="12"/>
  <c r="H66" i="13"/>
  <c r="M77" i="12"/>
  <c r="H25" i="13"/>
  <c r="M67" i="12"/>
  <c r="H56" i="13"/>
  <c r="H15"/>
  <c r="F349"/>
  <c r="F473"/>
  <c r="F433"/>
  <c r="F565" s="1"/>
  <c r="F394"/>
  <c r="F126"/>
  <c r="F73"/>
  <c r="F32"/>
  <c r="F291"/>
  <c r="F154"/>
  <c r="H227" i="12"/>
  <c r="H237" s="1"/>
  <c r="G897" i="13"/>
  <c r="K4717" s="1"/>
  <c r="I226" i="12"/>
  <c r="H896" i="13"/>
  <c r="L4716" s="1"/>
  <c r="I225" i="12"/>
  <c r="H895" i="13"/>
  <c r="L4715" s="1"/>
  <c r="H62"/>
  <c r="I62" s="1"/>
  <c r="M73" i="12"/>
  <c r="H21" i="13"/>
  <c r="I21" s="1"/>
  <c r="H64"/>
  <c r="M75" i="12"/>
  <c r="H23" i="13"/>
  <c r="F466"/>
  <c r="F119"/>
  <c r="F388"/>
  <c r="F427"/>
  <c r="F559" s="1"/>
  <c r="F342"/>
  <c r="F66"/>
  <c r="I66" s="1"/>
  <c r="F283"/>
  <c r="F148"/>
  <c r="F25"/>
  <c r="F456"/>
  <c r="F378"/>
  <c r="F332"/>
  <c r="F109"/>
  <c r="F56"/>
  <c r="I56" s="1"/>
  <c r="F15"/>
  <c r="I15" s="1"/>
  <c r="F474"/>
  <c r="F395"/>
  <c r="F127"/>
  <c r="F434"/>
  <c r="F566" s="1"/>
  <c r="F350"/>
  <c r="F74"/>
  <c r="F292"/>
  <c r="F33"/>
  <c r="F155"/>
  <c r="J115" i="12"/>
  <c r="I227"/>
  <c r="H897" i="13"/>
  <c r="L4717" s="1"/>
  <c r="H210" i="12"/>
  <c r="H218" s="1"/>
  <c r="H63" i="13"/>
  <c r="M74" i="12"/>
  <c r="H22" i="13"/>
  <c r="F425"/>
  <c r="F557" s="1"/>
  <c r="F464"/>
  <c r="F386"/>
  <c r="F340"/>
  <c r="F117"/>
  <c r="F64"/>
  <c r="F23"/>
  <c r="F281"/>
  <c r="I281" s="1"/>
  <c r="F146"/>
  <c r="H67"/>
  <c r="M78" i="12"/>
  <c r="H26" i="13"/>
  <c r="F471"/>
  <c r="F347"/>
  <c r="F124"/>
  <c r="F259" s="1"/>
  <c r="F71"/>
  <c r="F435"/>
  <c r="F567" s="1"/>
  <c r="F475"/>
  <c r="F351"/>
  <c r="F128"/>
  <c r="F396"/>
  <c r="F75"/>
  <c r="F156"/>
  <c r="F34"/>
  <c r="F293"/>
  <c r="G909"/>
  <c r="I908"/>
  <c r="I754"/>
  <c r="I956"/>
  <c r="H827"/>
  <c r="H743"/>
  <c r="H4113" s="1"/>
  <c r="I4113" s="1"/>
  <c r="G743"/>
  <c r="I742"/>
  <c r="I799"/>
  <c r="G986"/>
  <c r="I985"/>
  <c r="H986"/>
  <c r="G827"/>
  <c r="H910"/>
  <c r="H4284" s="1"/>
  <c r="I2696"/>
  <c r="I2633"/>
  <c r="H2634"/>
  <c r="H1716"/>
  <c r="I1716" s="1"/>
  <c r="H958"/>
  <c r="H4332" s="1"/>
  <c r="I4332" s="1"/>
  <c r="H801"/>
  <c r="H4168" s="1"/>
  <c r="I4168" s="1"/>
  <c r="H1647"/>
  <c r="I1646"/>
  <c r="H639"/>
  <c r="H4008" s="1"/>
  <c r="I4008" s="1"/>
  <c r="H1293"/>
  <c r="I1293" s="1"/>
  <c r="H1369"/>
  <c r="H756"/>
  <c r="H4126" s="1"/>
  <c r="I4126" s="1"/>
  <c r="J117" i="12"/>
  <c r="J212"/>
  <c r="J220" s="1"/>
  <c r="J227" s="1"/>
  <c r="J237" s="1"/>
  <c r="G220"/>
  <c r="H211"/>
  <c r="J210"/>
  <c r="J218" s="1"/>
  <c r="J225" s="1"/>
  <c r="J235" s="1"/>
  <c r="H146" i="13"/>
  <c r="L76" i="12"/>
  <c r="H282" i="13" s="1"/>
  <c r="J116" i="12"/>
  <c r="G69"/>
  <c r="G68"/>
  <c r="G66"/>
  <c r="C48" i="13"/>
  <c r="C89" s="1"/>
  <c r="G11"/>
  <c r="F11"/>
  <c r="H48"/>
  <c r="A46"/>
  <c r="C10"/>
  <c r="B60" i="12"/>
  <c r="C60"/>
  <c r="D60"/>
  <c r="E60"/>
  <c r="D495" i="13" s="1"/>
  <c r="F60" i="12"/>
  <c r="E495" i="13" s="1"/>
  <c r="H2355" l="1"/>
  <c r="I2354"/>
  <c r="H4715"/>
  <c r="H4706"/>
  <c r="I4706" s="1"/>
  <c r="H4716"/>
  <c r="H4739"/>
  <c r="I4739" s="1"/>
  <c r="H4717"/>
  <c r="H2593"/>
  <c r="I2592"/>
  <c r="I11"/>
  <c r="I63"/>
  <c r="I24"/>
  <c r="F263"/>
  <c r="F251"/>
  <c r="F248"/>
  <c r="I23"/>
  <c r="F262"/>
  <c r="F254"/>
  <c r="F260"/>
  <c r="I22"/>
  <c r="F247"/>
  <c r="F253"/>
  <c r="I64"/>
  <c r="F244"/>
  <c r="I25"/>
  <c r="F264"/>
  <c r="I67"/>
  <c r="I146"/>
  <c r="F252"/>
  <c r="F261"/>
  <c r="I26"/>
  <c r="F255"/>
  <c r="I65"/>
  <c r="I4283"/>
  <c r="K4726"/>
  <c r="G4726" s="1"/>
  <c r="I4726" s="1"/>
  <c r="K4740"/>
  <c r="F4740" s="1"/>
  <c r="L4726"/>
  <c r="L4740"/>
  <c r="K4694"/>
  <c r="G4694" s="1"/>
  <c r="I4694" s="1"/>
  <c r="K4707"/>
  <c r="F4707" s="1"/>
  <c r="L4694"/>
  <c r="L4707"/>
  <c r="F520"/>
  <c r="H389"/>
  <c r="I389" s="1"/>
  <c r="H343"/>
  <c r="H512" s="1"/>
  <c r="H536" s="1"/>
  <c r="H385"/>
  <c r="I385" s="1"/>
  <c r="H339"/>
  <c r="H508" s="1"/>
  <c r="H532" s="1"/>
  <c r="F518"/>
  <c r="H387"/>
  <c r="I387" s="1"/>
  <c r="H341"/>
  <c r="H510" s="1"/>
  <c r="H534" s="1"/>
  <c r="I282"/>
  <c r="H383"/>
  <c r="I383" s="1"/>
  <c r="H337"/>
  <c r="F331"/>
  <c r="F55"/>
  <c r="F108"/>
  <c r="F243" s="1"/>
  <c r="G227" i="12"/>
  <c r="G237" s="1"/>
  <c r="F897" i="13"/>
  <c r="F516"/>
  <c r="F511"/>
  <c r="H388"/>
  <c r="I388" s="1"/>
  <c r="H342"/>
  <c r="H511" s="1"/>
  <c r="H535" s="1"/>
  <c r="F521"/>
  <c r="F517"/>
  <c r="F510"/>
  <c r="F379"/>
  <c r="F333"/>
  <c r="F457"/>
  <c r="F110"/>
  <c r="F57"/>
  <c r="F16"/>
  <c r="H225" i="12"/>
  <c r="H235" s="1"/>
  <c r="G895" i="13"/>
  <c r="F519"/>
  <c r="F501"/>
  <c r="H384"/>
  <c r="I384" s="1"/>
  <c r="H338"/>
  <c r="F512"/>
  <c r="F458"/>
  <c r="F380"/>
  <c r="F334"/>
  <c r="F111"/>
  <c r="F58"/>
  <c r="F140"/>
  <c r="I140" s="1"/>
  <c r="F275"/>
  <c r="I275" s="1"/>
  <c r="F17"/>
  <c r="F509"/>
  <c r="H386"/>
  <c r="I386" s="1"/>
  <c r="H340"/>
  <c r="H509" s="1"/>
  <c r="H533" s="1"/>
  <c r="H378"/>
  <c r="I378" s="1"/>
  <c r="H332"/>
  <c r="H501" s="1"/>
  <c r="H525" s="1"/>
  <c r="F508"/>
  <c r="F505"/>
  <c r="F504"/>
  <c r="I639"/>
  <c r="I756"/>
  <c r="I958"/>
  <c r="G828"/>
  <c r="H744"/>
  <c r="H4114" s="1"/>
  <c r="I4114" s="1"/>
  <c r="H911"/>
  <c r="H4285" s="1"/>
  <c r="G987"/>
  <c r="I986"/>
  <c r="I801"/>
  <c r="H987"/>
  <c r="G744"/>
  <c r="I743"/>
  <c r="H828"/>
  <c r="G910"/>
  <c r="I4284" s="1"/>
  <c r="I909"/>
  <c r="I2697"/>
  <c r="I2634"/>
  <c r="H2636"/>
  <c r="H2637" s="1"/>
  <c r="H2638" s="1"/>
  <c r="H2639" s="1"/>
  <c r="H2640" s="1"/>
  <c r="H2641" s="1"/>
  <c r="H2642" s="1"/>
  <c r="H2643" s="1"/>
  <c r="H2644" s="1"/>
  <c r="H2645" s="1"/>
  <c r="H2646" s="1"/>
  <c r="H2647" s="1"/>
  <c r="H2648" s="1"/>
  <c r="H1717"/>
  <c r="I1717" s="1"/>
  <c r="H959"/>
  <c r="H4333" s="1"/>
  <c r="I4333" s="1"/>
  <c r="H1648"/>
  <c r="H802"/>
  <c r="H4169" s="1"/>
  <c r="I4169" s="1"/>
  <c r="H640"/>
  <c r="H4009" s="1"/>
  <c r="I4009" s="1"/>
  <c r="H1370"/>
  <c r="H757"/>
  <c r="J211" i="12"/>
  <c r="J219" s="1"/>
  <c r="J226" s="1"/>
  <c r="J236" s="1"/>
  <c r="H219"/>
  <c r="H89" i="13"/>
  <c r="L77" i="12"/>
  <c r="H147" i="13"/>
  <c r="I147" s="1"/>
  <c r="H51" i="12"/>
  <c r="G51"/>
  <c r="J51" s="1"/>
  <c r="G50"/>
  <c r="F51" i="13" s="1"/>
  <c r="G49" i="12"/>
  <c r="F50" i="13" s="1"/>
  <c r="G48" i="12"/>
  <c r="F49" i="13" s="1"/>
  <c r="G47" i="12"/>
  <c r="A1613" i="13"/>
  <c r="A1614" s="1"/>
  <c r="H2356" l="1"/>
  <c r="I2355"/>
  <c r="H4707"/>
  <c r="I4707" s="1"/>
  <c r="H4740"/>
  <c r="I4740" s="1"/>
  <c r="H2594"/>
  <c r="I2593"/>
  <c r="F246"/>
  <c r="F245"/>
  <c r="K4727"/>
  <c r="G4727" s="1"/>
  <c r="I4727" s="1"/>
  <c r="K4741"/>
  <c r="F4741" s="1"/>
  <c r="L4727"/>
  <c r="L4741"/>
  <c r="L4695"/>
  <c r="L4708"/>
  <c r="K4695"/>
  <c r="G4695" s="1"/>
  <c r="I4695" s="1"/>
  <c r="K4708"/>
  <c r="F4708" s="1"/>
  <c r="I341"/>
  <c r="I897"/>
  <c r="J4717"/>
  <c r="F4717" s="1"/>
  <c r="I4717" s="1"/>
  <c r="I895"/>
  <c r="K4715"/>
  <c r="F4715" s="1"/>
  <c r="I4715" s="1"/>
  <c r="I339"/>
  <c r="I343"/>
  <c r="H226" i="12"/>
  <c r="H236" s="1"/>
  <c r="G896" i="13"/>
  <c r="F529"/>
  <c r="F543"/>
  <c r="F541"/>
  <c r="F540"/>
  <c r="F90"/>
  <c r="I340"/>
  <c r="I332"/>
  <c r="F542"/>
  <c r="F105"/>
  <c r="F52"/>
  <c r="L78" i="12"/>
  <c r="H283" i="13"/>
  <c r="I283" s="1"/>
  <c r="H148"/>
  <c r="I148" s="1"/>
  <c r="F91"/>
  <c r="G105"/>
  <c r="G52"/>
  <c r="G93" s="1"/>
  <c r="F528"/>
  <c r="F532"/>
  <c r="I532" s="1"/>
  <c r="I508"/>
  <c r="F533"/>
  <c r="I533" s="1"/>
  <c r="I509"/>
  <c r="F503"/>
  <c r="F536"/>
  <c r="I536" s="1"/>
  <c r="I512"/>
  <c r="H507"/>
  <c r="I338"/>
  <c r="F525"/>
  <c r="I525" s="1"/>
  <c r="I501"/>
  <c r="F502"/>
  <c r="F534"/>
  <c r="I534" s="1"/>
  <c r="I510"/>
  <c r="I342"/>
  <c r="F500"/>
  <c r="F524" s="1"/>
  <c r="F544"/>
  <c r="F92"/>
  <c r="F545"/>
  <c r="F535"/>
  <c r="I535" s="1"/>
  <c r="I511"/>
  <c r="H506"/>
  <c r="I337"/>
  <c r="I640"/>
  <c r="H988"/>
  <c r="G911"/>
  <c r="I4285" s="1"/>
  <c r="I910"/>
  <c r="G988"/>
  <c r="I987"/>
  <c r="H745"/>
  <c r="H4115" s="1"/>
  <c r="I4115" s="1"/>
  <c r="I757"/>
  <c r="I959"/>
  <c r="G745"/>
  <c r="I744"/>
  <c r="H912"/>
  <c r="H4286" s="1"/>
  <c r="I802"/>
  <c r="H829"/>
  <c r="G829"/>
  <c r="H1719"/>
  <c r="I1719" s="1"/>
  <c r="H960"/>
  <c r="H4334" s="1"/>
  <c r="I4334" s="1"/>
  <c r="H1650"/>
  <c r="H803"/>
  <c r="H4170" s="1"/>
  <c r="I4170" s="1"/>
  <c r="H1371"/>
  <c r="H758"/>
  <c r="H4128" s="1"/>
  <c r="I4128" s="1"/>
  <c r="G60" i="12"/>
  <c r="F495" i="13" s="1"/>
  <c r="I495" s="1"/>
  <c r="H60" i="12"/>
  <c r="I1602" i="13"/>
  <c r="F1685"/>
  <c r="I1685" s="1"/>
  <c r="F1683"/>
  <c r="I1683" s="1"/>
  <c r="J1671"/>
  <c r="L1671" s="1"/>
  <c r="I1670"/>
  <c r="I1631"/>
  <c r="I1629"/>
  <c r="I1626"/>
  <c r="I1623"/>
  <c r="I1622"/>
  <c r="I1618"/>
  <c r="H2357" l="1"/>
  <c r="I2356"/>
  <c r="H4741"/>
  <c r="I4741" s="1"/>
  <c r="H4708"/>
  <c r="I4708" s="1"/>
  <c r="H2595"/>
  <c r="I2594"/>
  <c r="I52"/>
  <c r="L4728"/>
  <c r="L4742"/>
  <c r="K4728"/>
  <c r="G4728" s="1"/>
  <c r="I4728" s="1"/>
  <c r="K4742"/>
  <c r="F4742" s="1"/>
  <c r="L4696"/>
  <c r="L4709"/>
  <c r="K4696"/>
  <c r="G4696" s="1"/>
  <c r="I4696" s="1"/>
  <c r="K4709"/>
  <c r="F4709" s="1"/>
  <c r="I896"/>
  <c r="K4716"/>
  <c r="F4716" s="1"/>
  <c r="I4716" s="1"/>
  <c r="H530"/>
  <c r="I530" s="1"/>
  <c r="I506"/>
  <c r="H284"/>
  <c r="I284" s="1"/>
  <c r="H149"/>
  <c r="I149" s="1"/>
  <c r="F93"/>
  <c r="I93" s="1"/>
  <c r="F526"/>
  <c r="H531"/>
  <c r="I531" s="1"/>
  <c r="I507"/>
  <c r="F527"/>
  <c r="I758"/>
  <c r="I803"/>
  <c r="H830"/>
  <c r="H913"/>
  <c r="H4287" s="1"/>
  <c r="G746"/>
  <c r="I745"/>
  <c r="G912"/>
  <c r="I4286" s="1"/>
  <c r="I911"/>
  <c r="G989"/>
  <c r="I988"/>
  <c r="G830"/>
  <c r="H746"/>
  <c r="H4116" s="1"/>
  <c r="I4116" s="1"/>
  <c r="I960"/>
  <c r="H989"/>
  <c r="I2698"/>
  <c r="H1720"/>
  <c r="I1720" s="1"/>
  <c r="H962"/>
  <c r="H4336" s="1"/>
  <c r="I4336" s="1"/>
  <c r="H1651"/>
  <c r="H805"/>
  <c r="H4172" s="1"/>
  <c r="I4172" s="1"/>
  <c r="I1650"/>
  <c r="H1373"/>
  <c r="H759"/>
  <c r="H4129" s="1"/>
  <c r="I4129" s="1"/>
  <c r="J60" i="12"/>
  <c r="I1617" i="13"/>
  <c r="F1616"/>
  <c r="I1615"/>
  <c r="F1614"/>
  <c r="H2358" l="1"/>
  <c r="I2357"/>
  <c r="H4709"/>
  <c r="I4709" s="1"/>
  <c r="H4742"/>
  <c r="I4742" s="1"/>
  <c r="H2596"/>
  <c r="I2595"/>
  <c r="K4729"/>
  <c r="G4729" s="1"/>
  <c r="I4729" s="1"/>
  <c r="K4743"/>
  <c r="F4743" s="1"/>
  <c r="L4729"/>
  <c r="L4743"/>
  <c r="K4697"/>
  <c r="G4697" s="1"/>
  <c r="I4697" s="1"/>
  <c r="K4710"/>
  <c r="F4710" s="1"/>
  <c r="L4697"/>
  <c r="L4710"/>
  <c r="H747"/>
  <c r="H4117" s="1"/>
  <c r="I4117" s="1"/>
  <c r="I962"/>
  <c r="H990"/>
  <c r="G913"/>
  <c r="I4287" s="1"/>
  <c r="I912"/>
  <c r="H914"/>
  <c r="H4288" s="1"/>
  <c r="I805"/>
  <c r="G990"/>
  <c r="I989"/>
  <c r="I759"/>
  <c r="G831"/>
  <c r="G747"/>
  <c r="I746"/>
  <c r="H831"/>
  <c r="H1721"/>
  <c r="I1721" s="1"/>
  <c r="H963"/>
  <c r="H4337" s="1"/>
  <c r="I4337" s="1"/>
  <c r="H1652"/>
  <c r="H806"/>
  <c r="H4173" s="1"/>
  <c r="I4173" s="1"/>
  <c r="I1616"/>
  <c r="H1374"/>
  <c r="H761"/>
  <c r="H4131" s="1"/>
  <c r="I4131" s="1"/>
  <c r="H1589"/>
  <c r="I1589" s="1"/>
  <c r="H1413"/>
  <c r="H1319"/>
  <c r="H2359" l="1"/>
  <c r="I2358"/>
  <c r="H4710"/>
  <c r="I4710" s="1"/>
  <c r="H4743"/>
  <c r="I4743" s="1"/>
  <c r="H2597"/>
  <c r="I2596"/>
  <c r="L4730"/>
  <c r="L4744"/>
  <c r="K4730"/>
  <c r="G4730" s="1"/>
  <c r="I4730" s="1"/>
  <c r="K4744"/>
  <c r="F4744" s="1"/>
  <c r="K4698"/>
  <c r="G4698" s="1"/>
  <c r="I4698" s="1"/>
  <c r="K4711"/>
  <c r="F4711" s="1"/>
  <c r="L4698"/>
  <c r="L4711"/>
  <c r="H991"/>
  <c r="H915"/>
  <c r="H4289" s="1"/>
  <c r="G914"/>
  <c r="I4288" s="1"/>
  <c r="I913"/>
  <c r="I925"/>
  <c r="I963"/>
  <c r="I806"/>
  <c r="G991"/>
  <c r="I990"/>
  <c r="I761"/>
  <c r="I747"/>
  <c r="I2699"/>
  <c r="H1722"/>
  <c r="I1722" s="1"/>
  <c r="H964"/>
  <c r="H4338" s="1"/>
  <c r="I4338" s="1"/>
  <c r="H1653"/>
  <c r="H807"/>
  <c r="H4174" s="1"/>
  <c r="I4174" s="1"/>
  <c r="H1375"/>
  <c r="H762"/>
  <c r="H4132" s="1"/>
  <c r="I4132" s="1"/>
  <c r="H1590"/>
  <c r="E1571"/>
  <c r="F1571"/>
  <c r="H1571"/>
  <c r="E1572"/>
  <c r="F1572"/>
  <c r="H1572"/>
  <c r="E1573"/>
  <c r="F1573"/>
  <c r="H1573"/>
  <c r="E1574"/>
  <c r="F1574"/>
  <c r="H1574"/>
  <c r="E1575"/>
  <c r="F1575"/>
  <c r="H1575"/>
  <c r="E1576"/>
  <c r="F1576"/>
  <c r="H1576"/>
  <c r="E1577"/>
  <c r="F1577"/>
  <c r="H1577"/>
  <c r="I1570"/>
  <c r="F1569"/>
  <c r="F1580" s="1"/>
  <c r="F1222" s="1"/>
  <c r="F4598" s="1"/>
  <c r="F1568"/>
  <c r="F1579" s="1"/>
  <c r="F1221" s="1"/>
  <c r="F4597" s="1"/>
  <c r="H1538"/>
  <c r="F1538"/>
  <c r="E1538"/>
  <c r="H1537"/>
  <c r="F1537"/>
  <c r="E1537"/>
  <c r="H1536"/>
  <c r="F1536"/>
  <c r="E1536"/>
  <c r="H1535"/>
  <c r="F1535"/>
  <c r="E1535"/>
  <c r="H1534"/>
  <c r="F1534"/>
  <c r="E1534"/>
  <c r="H1533"/>
  <c r="F1533"/>
  <c r="E1533"/>
  <c r="H1532"/>
  <c r="F1532"/>
  <c r="E1532"/>
  <c r="H1531"/>
  <c r="F1531"/>
  <c r="E1531"/>
  <c r="H1530"/>
  <c r="F1530"/>
  <c r="E1530"/>
  <c r="H1529"/>
  <c r="F1529"/>
  <c r="E1529"/>
  <c r="H1528"/>
  <c r="F1528"/>
  <c r="E1528"/>
  <c r="H1527"/>
  <c r="F1527"/>
  <c r="E1527"/>
  <c r="H1526"/>
  <c r="F1526"/>
  <c r="E1526"/>
  <c r="H1525"/>
  <c r="F1525"/>
  <c r="E1525"/>
  <c r="H1524"/>
  <c r="F1524"/>
  <c r="E1524"/>
  <c r="H1523"/>
  <c r="F1523"/>
  <c r="E1523"/>
  <c r="H1522"/>
  <c r="F1522"/>
  <c r="E1522"/>
  <c r="H1521"/>
  <c r="F1521"/>
  <c r="E1521"/>
  <c r="H1520"/>
  <c r="F1520"/>
  <c r="E1520"/>
  <c r="I1519"/>
  <c r="I1517"/>
  <c r="I1514"/>
  <c r="I1512"/>
  <c r="I1510"/>
  <c r="I1506"/>
  <c r="I1505"/>
  <c r="I1503"/>
  <c r="I1501"/>
  <c r="H1460"/>
  <c r="F1460"/>
  <c r="E1460"/>
  <c r="H1459"/>
  <c r="F1459"/>
  <c r="E1459"/>
  <c r="H1458"/>
  <c r="F1458"/>
  <c r="E1458"/>
  <c r="H1457"/>
  <c r="F1457"/>
  <c r="E1457"/>
  <c r="H1456"/>
  <c r="F1456"/>
  <c r="E1456"/>
  <c r="H1455"/>
  <c r="F1455"/>
  <c r="E1455"/>
  <c r="H1454"/>
  <c r="F1454"/>
  <c r="E1454"/>
  <c r="H1453"/>
  <c r="F1453"/>
  <c r="E1453"/>
  <c r="H1452"/>
  <c r="F1452"/>
  <c r="E1452"/>
  <c r="H1451"/>
  <c r="F1451"/>
  <c r="E1451"/>
  <c r="H1450"/>
  <c r="F1450"/>
  <c r="E1450"/>
  <c r="H1449"/>
  <c r="F1449"/>
  <c r="E1449"/>
  <c r="H1448"/>
  <c r="F1448"/>
  <c r="E1448"/>
  <c r="H1704"/>
  <c r="F1704"/>
  <c r="E1704"/>
  <c r="H1447"/>
  <c r="F1447"/>
  <c r="E1447"/>
  <c r="H1446"/>
  <c r="F1446"/>
  <c r="E1446"/>
  <c r="H1445"/>
  <c r="F1445"/>
  <c r="E1445"/>
  <c r="H1444"/>
  <c r="F1444"/>
  <c r="E1444"/>
  <c r="H1443"/>
  <c r="F1443"/>
  <c r="E1443"/>
  <c r="H1442"/>
  <c r="F1442"/>
  <c r="E1442"/>
  <c r="I1437"/>
  <c r="I1433"/>
  <c r="I1430"/>
  <c r="I1429"/>
  <c r="I1426"/>
  <c r="I1425"/>
  <c r="I1422"/>
  <c r="I1420"/>
  <c r="I1418"/>
  <c r="I1414"/>
  <c r="I1413"/>
  <c r="I1411"/>
  <c r="I1409"/>
  <c r="H2360" l="1"/>
  <c r="I2359"/>
  <c r="H4744"/>
  <c r="I4744" s="1"/>
  <c r="H4711"/>
  <c r="I4711" s="1"/>
  <c r="H2598"/>
  <c r="I2598" s="1"/>
  <c r="I2597"/>
  <c r="I1704"/>
  <c r="L4731"/>
  <c r="L4745"/>
  <c r="K4731"/>
  <c r="G4731" s="1"/>
  <c r="I4731" s="1"/>
  <c r="K4745"/>
  <c r="F4745" s="1"/>
  <c r="I807"/>
  <c r="G915"/>
  <c r="I4289" s="1"/>
  <c r="I914"/>
  <c r="I762"/>
  <c r="I964"/>
  <c r="G992"/>
  <c r="I991"/>
  <c r="H992"/>
  <c r="I2700"/>
  <c r="H1724"/>
  <c r="I1724" s="1"/>
  <c r="H965"/>
  <c r="H4339" s="1"/>
  <c r="I4339" s="1"/>
  <c r="H1655"/>
  <c r="H808"/>
  <c r="H4175" s="1"/>
  <c r="I4175" s="1"/>
  <c r="H1377"/>
  <c r="H763"/>
  <c r="H4133" s="1"/>
  <c r="I4133" s="1"/>
  <c r="I1571"/>
  <c r="H1591"/>
  <c r="I1590"/>
  <c r="I1574"/>
  <c r="I1575"/>
  <c r="I1576"/>
  <c r="I1573"/>
  <c r="I1577"/>
  <c r="I1572"/>
  <c r="I1534"/>
  <c r="I1538"/>
  <c r="I1531"/>
  <c r="I1527"/>
  <c r="I1525"/>
  <c r="I1523"/>
  <c r="I1520"/>
  <c r="I1529"/>
  <c r="I1532"/>
  <c r="I1535"/>
  <c r="I1522"/>
  <c r="I1524"/>
  <c r="I1526"/>
  <c r="I1533"/>
  <c r="I1521"/>
  <c r="I1528"/>
  <c r="I1530"/>
  <c r="I1536"/>
  <c r="I1537"/>
  <c r="I1458"/>
  <c r="I1442"/>
  <c r="I1447"/>
  <c r="I1451"/>
  <c r="I1454"/>
  <c r="I1443"/>
  <c r="I1446"/>
  <c r="I1453"/>
  <c r="I1457"/>
  <c r="I1456"/>
  <c r="I1460"/>
  <c r="I1445"/>
  <c r="I1448"/>
  <c r="I1450"/>
  <c r="I1444"/>
  <c r="I1449"/>
  <c r="I1452"/>
  <c r="I1455"/>
  <c r="I1459"/>
  <c r="F1405"/>
  <c r="E1343"/>
  <c r="F1343"/>
  <c r="H1343"/>
  <c r="E1344"/>
  <c r="F1344"/>
  <c r="H1344"/>
  <c r="E1345"/>
  <c r="F1345"/>
  <c r="H1345"/>
  <c r="E1346"/>
  <c r="F1346"/>
  <c r="H1346"/>
  <c r="E1347"/>
  <c r="F1347"/>
  <c r="H1347"/>
  <c r="E1348"/>
  <c r="F1348"/>
  <c r="H1348"/>
  <c r="E1349"/>
  <c r="F1349"/>
  <c r="H1349"/>
  <c r="E1350"/>
  <c r="F1350"/>
  <c r="H1350"/>
  <c r="E1634"/>
  <c r="F1634"/>
  <c r="H1634"/>
  <c r="E1351"/>
  <c r="F1351"/>
  <c r="H1351"/>
  <c r="E1352"/>
  <c r="F1352"/>
  <c r="H1352"/>
  <c r="E1353"/>
  <c r="F1353"/>
  <c r="H1353"/>
  <c r="E1354"/>
  <c r="F1354"/>
  <c r="H1354"/>
  <c r="E1355"/>
  <c r="F1355"/>
  <c r="H1355"/>
  <c r="E1356"/>
  <c r="F1356"/>
  <c r="H1356"/>
  <c r="E1357"/>
  <c r="F1357"/>
  <c r="H1357"/>
  <c r="E1358"/>
  <c r="F1358"/>
  <c r="H1358"/>
  <c r="E1359"/>
  <c r="F1359"/>
  <c r="H1359"/>
  <c r="E1360"/>
  <c r="F1360"/>
  <c r="H1360"/>
  <c r="E1361"/>
  <c r="F1361"/>
  <c r="H1361"/>
  <c r="R8" i="96"/>
  <c r="R9"/>
  <c r="R10"/>
  <c r="R11"/>
  <c r="R12"/>
  <c r="R13"/>
  <c r="R14"/>
  <c r="R15"/>
  <c r="T15" s="1"/>
  <c r="R16"/>
  <c r="R17"/>
  <c r="R18"/>
  <c r="T18" s="1"/>
  <c r="R19"/>
  <c r="T19" s="1"/>
  <c r="R20"/>
  <c r="T20" s="1"/>
  <c r="R21"/>
  <c r="R22"/>
  <c r="R23"/>
  <c r="R24"/>
  <c r="R25"/>
  <c r="R26"/>
  <c r="R27"/>
  <c r="R28"/>
  <c r="R29"/>
  <c r="R30"/>
  <c r="R31"/>
  <c r="R32"/>
  <c r="R33"/>
  <c r="R34"/>
  <c r="R35"/>
  <c r="R36"/>
  <c r="R37"/>
  <c r="R38"/>
  <c r="R39"/>
  <c r="R7"/>
  <c r="I1342" i="13"/>
  <c r="I1341"/>
  <c r="I1340"/>
  <c r="I1324"/>
  <c r="I1320"/>
  <c r="I1330"/>
  <c r="I1321"/>
  <c r="I1313"/>
  <c r="I1285"/>
  <c r="I1284"/>
  <c r="I1283"/>
  <c r="I1282"/>
  <c r="I1281"/>
  <c r="I1280"/>
  <c r="I1279"/>
  <c r="I1278"/>
  <c r="I1277"/>
  <c r="I1276"/>
  <c r="I1274"/>
  <c r="I1275"/>
  <c r="I1295"/>
  <c r="E2019" l="1"/>
  <c r="I2019" s="1"/>
  <c r="E2037"/>
  <c r="I2037" s="1"/>
  <c r="E2017"/>
  <c r="I2017" s="1"/>
  <c r="E2035"/>
  <c r="I2035" s="1"/>
  <c r="E2015"/>
  <c r="I2015" s="1"/>
  <c r="E2033"/>
  <c r="I2033" s="1"/>
  <c r="T33" i="96"/>
  <c r="E2013" i="13"/>
  <c r="I2013" s="1"/>
  <c r="E2031"/>
  <c r="I2031" s="1"/>
  <c r="E2011"/>
  <c r="I2011" s="1"/>
  <c r="E2029"/>
  <c r="I2029" s="1"/>
  <c r="E2009"/>
  <c r="I2009" s="1"/>
  <c r="E2027"/>
  <c r="I2027" s="1"/>
  <c r="E2020"/>
  <c r="I2020" s="1"/>
  <c r="E2038"/>
  <c r="I2038" s="1"/>
  <c r="E2018"/>
  <c r="I2018" s="1"/>
  <c r="E2036"/>
  <c r="I2036" s="1"/>
  <c r="E2016"/>
  <c r="I2016" s="1"/>
  <c r="E2034"/>
  <c r="I2034" s="1"/>
  <c r="E2014"/>
  <c r="I2014" s="1"/>
  <c r="E2032"/>
  <c r="I2032" s="1"/>
  <c r="E2012"/>
  <c r="I2012" s="1"/>
  <c r="E2030"/>
  <c r="I2030" s="1"/>
  <c r="E2010"/>
  <c r="I2010" s="1"/>
  <c r="E2028"/>
  <c r="I2028" s="1"/>
  <c r="E2021"/>
  <c r="I2021" s="1"/>
  <c r="E2039"/>
  <c r="I2039" s="1"/>
  <c r="H2361"/>
  <c r="I2360"/>
  <c r="H4745"/>
  <c r="I4745" s="1"/>
  <c r="H1378"/>
  <c r="H1383"/>
  <c r="H1387"/>
  <c r="H1393"/>
  <c r="H1398"/>
  <c r="H1380"/>
  <c r="H1384"/>
  <c r="H1389"/>
  <c r="H1395"/>
  <c r="H1399"/>
  <c r="H1382"/>
  <c r="H1386"/>
  <c r="H1392"/>
  <c r="H1397"/>
  <c r="H1381"/>
  <c r="H1385"/>
  <c r="H1391"/>
  <c r="H1396"/>
  <c r="K4732"/>
  <c r="G4732" s="1"/>
  <c r="I4732" s="1"/>
  <c r="K4746"/>
  <c r="F4746" s="1"/>
  <c r="L4732"/>
  <c r="L4746"/>
  <c r="T30" i="96"/>
  <c r="D3384" i="13"/>
  <c r="E2756"/>
  <c r="I2756" s="1"/>
  <c r="E3171"/>
  <c r="I3171" s="1"/>
  <c r="E3255"/>
  <c r="I3255" s="1"/>
  <c r="E3239"/>
  <c r="I3239" s="1"/>
  <c r="T14" i="96"/>
  <c r="E3236" i="13"/>
  <c r="I3236" s="1"/>
  <c r="T10" i="96"/>
  <c r="E3178" i="13"/>
  <c r="I3178" s="1"/>
  <c r="E2763"/>
  <c r="I2763" s="1"/>
  <c r="T37" i="96"/>
  <c r="E3262" i="13"/>
  <c r="I3262" s="1"/>
  <c r="E3254"/>
  <c r="I3254" s="1"/>
  <c r="T29" i="96"/>
  <c r="D3383" i="13"/>
  <c r="E3170"/>
  <c r="I3170" s="1"/>
  <c r="E2755"/>
  <c r="I2755" s="1"/>
  <c r="E3250"/>
  <c r="I3250" s="1"/>
  <c r="T25" i="96"/>
  <c r="D3379" i="13"/>
  <c r="E3166"/>
  <c r="I3166" s="1"/>
  <c r="E2751"/>
  <c r="I2751" s="1"/>
  <c r="E2747"/>
  <c r="I2747" s="1"/>
  <c r="E3246"/>
  <c r="I3246" s="1"/>
  <c r="T21" i="96"/>
  <c r="E3162" i="13"/>
  <c r="I3162" s="1"/>
  <c r="T17" i="96"/>
  <c r="E3240" i="13"/>
  <c r="I3240" s="1"/>
  <c r="T13" i="96"/>
  <c r="E3265" i="13"/>
  <c r="I3265" s="1"/>
  <c r="T9" i="96"/>
  <c r="E3235" i="13"/>
  <c r="I3235" s="1"/>
  <c r="T38" i="96"/>
  <c r="E3263" i="13"/>
  <c r="I3263" s="1"/>
  <c r="E2764"/>
  <c r="I2764" s="1"/>
  <c r="E3179"/>
  <c r="I3179" s="1"/>
  <c r="T26" i="96"/>
  <c r="D3380" i="13"/>
  <c r="E2752"/>
  <c r="I2752" s="1"/>
  <c r="E3167"/>
  <c r="I3167" s="1"/>
  <c r="E3251"/>
  <c r="I3251" s="1"/>
  <c r="E3229"/>
  <c r="I3229" s="1"/>
  <c r="L3229" s="1"/>
  <c r="T7" i="96"/>
  <c r="E3177" i="13"/>
  <c r="I3177" s="1"/>
  <c r="T36" i="96"/>
  <c r="E3261" i="13"/>
  <c r="I3261" s="1"/>
  <c r="E2762"/>
  <c r="I2762" s="1"/>
  <c r="E3173"/>
  <c r="I3173" s="1"/>
  <c r="E3257"/>
  <c r="I3257" s="1"/>
  <c r="T32" i="96"/>
  <c r="D3386" i="13"/>
  <c r="E2758"/>
  <c r="I2758" s="1"/>
  <c r="E3169"/>
  <c r="I3169" s="1"/>
  <c r="E4824"/>
  <c r="I4824" s="1"/>
  <c r="E3253"/>
  <c r="I3253" s="1"/>
  <c r="T28" i="96"/>
  <c r="D3382" i="13"/>
  <c r="E2754"/>
  <c r="I2754" s="1"/>
  <c r="E3165"/>
  <c r="I3165" s="1"/>
  <c r="E3249"/>
  <c r="I3249" s="1"/>
  <c r="T24" i="96"/>
  <c r="D3378" i="13"/>
  <c r="E2750"/>
  <c r="I2750" s="1"/>
  <c r="E3266"/>
  <c r="I3266" s="1"/>
  <c r="T16" i="96"/>
  <c r="E3238" i="13"/>
  <c r="I3238" s="1"/>
  <c r="T12" i="96"/>
  <c r="E3230" i="13"/>
  <c r="I3230" s="1"/>
  <c r="T8" i="96"/>
  <c r="T34"/>
  <c r="E3259" i="13"/>
  <c r="I3259" s="1"/>
  <c r="E2760"/>
  <c r="I2760" s="1"/>
  <c r="E4830"/>
  <c r="I4830" s="1"/>
  <c r="E3175"/>
  <c r="I3175" s="1"/>
  <c r="T22" i="96"/>
  <c r="E2748" i="13"/>
  <c r="I2748" s="1"/>
  <c r="E3163"/>
  <c r="I3163" s="1"/>
  <c r="D3376"/>
  <c r="E3247"/>
  <c r="I3247" s="1"/>
  <c r="T39" i="96"/>
  <c r="E3264" i="13"/>
  <c r="I3264" s="1"/>
  <c r="E3180"/>
  <c r="I3180" s="1"/>
  <c r="E2765"/>
  <c r="I2765" s="1"/>
  <c r="T35" i="96"/>
  <c r="E4831" i="13"/>
  <c r="I4831" s="1"/>
  <c r="E3260"/>
  <c r="I3260" s="1"/>
  <c r="E3176"/>
  <c r="I3176" s="1"/>
  <c r="E2761"/>
  <c r="I2761" s="1"/>
  <c r="E3256"/>
  <c r="I3256" s="1"/>
  <c r="T31" i="96"/>
  <c r="D3385" i="13"/>
  <c r="E3172"/>
  <c r="I3172" s="1"/>
  <c r="E2757"/>
  <c r="I2757" s="1"/>
  <c r="E3252"/>
  <c r="I3252" s="1"/>
  <c r="T27" i="96"/>
  <c r="D3381" i="13"/>
  <c r="E3168"/>
  <c r="I3168" s="1"/>
  <c r="E2753"/>
  <c r="I2753" s="1"/>
  <c r="E3248"/>
  <c r="I3248" s="1"/>
  <c r="T23" i="96"/>
  <c r="D3377" i="13"/>
  <c r="E3164"/>
  <c r="I3164" s="1"/>
  <c r="E2749"/>
  <c r="I2749" s="1"/>
  <c r="E3237"/>
  <c r="I3237" s="1"/>
  <c r="T11" i="96"/>
  <c r="R40"/>
  <c r="E3174" i="13"/>
  <c r="I3174" s="1"/>
  <c r="E3258"/>
  <c r="I3258" s="1"/>
  <c r="D3387"/>
  <c r="E2759"/>
  <c r="I2759" s="1"/>
  <c r="I915"/>
  <c r="I808"/>
  <c r="I992"/>
  <c r="I763"/>
  <c r="I965"/>
  <c r="E2063"/>
  <c r="E2058"/>
  <c r="E1970"/>
  <c r="E2050"/>
  <c r="E2000"/>
  <c r="E1977"/>
  <c r="E1960"/>
  <c r="I1960" s="1"/>
  <c r="E1985"/>
  <c r="E1944"/>
  <c r="I1944" s="1"/>
  <c r="E2055"/>
  <c r="E2047"/>
  <c r="E1997"/>
  <c r="E1968"/>
  <c r="E1974"/>
  <c r="E2062"/>
  <c r="E2054"/>
  <c r="E1967"/>
  <c r="E2046"/>
  <c r="E1996"/>
  <c r="E1973"/>
  <c r="E2061"/>
  <c r="E2057"/>
  <c r="E2053"/>
  <c r="E1999"/>
  <c r="E1951"/>
  <c r="E2049"/>
  <c r="E1976"/>
  <c r="E1966"/>
  <c r="E1995"/>
  <c r="E2045"/>
  <c r="E1972"/>
  <c r="E1964"/>
  <c r="I1964" s="1"/>
  <c r="E1989"/>
  <c r="E1948"/>
  <c r="E1963"/>
  <c r="I1963" s="1"/>
  <c r="E1988"/>
  <c r="E1947"/>
  <c r="I1947" s="1"/>
  <c r="E1959"/>
  <c r="I1959" s="1"/>
  <c r="E1984"/>
  <c r="E1943"/>
  <c r="I1943" s="1"/>
  <c r="E2059"/>
  <c r="E2051"/>
  <c r="E1961"/>
  <c r="I1961" s="1"/>
  <c r="E1986"/>
  <c r="E1945"/>
  <c r="I1945" s="1"/>
  <c r="E1982"/>
  <c r="E1957"/>
  <c r="I1957" s="1"/>
  <c r="E1941"/>
  <c r="E2060"/>
  <c r="E2056"/>
  <c r="E2052"/>
  <c r="E2048"/>
  <c r="E1998"/>
  <c r="E1969"/>
  <c r="E1975"/>
  <c r="E1990"/>
  <c r="E1965"/>
  <c r="E1949"/>
  <c r="E1987"/>
  <c r="E1962"/>
  <c r="I1962" s="1"/>
  <c r="E1946"/>
  <c r="I1946" s="1"/>
  <c r="E1983"/>
  <c r="E1958"/>
  <c r="I1958" s="1"/>
  <c r="E1942"/>
  <c r="H1725"/>
  <c r="I1725" s="1"/>
  <c r="H967"/>
  <c r="H4341" s="1"/>
  <c r="I4341" s="1"/>
  <c r="H1656"/>
  <c r="H810"/>
  <c r="H4177" s="1"/>
  <c r="I4177" s="1"/>
  <c r="I1655"/>
  <c r="F1462"/>
  <c r="F918"/>
  <c r="F4292" s="1"/>
  <c r="I4292" s="1"/>
  <c r="H765"/>
  <c r="H4135" s="1"/>
  <c r="I4135" s="1"/>
  <c r="I1591"/>
  <c r="H1603"/>
  <c r="I1634"/>
  <c r="I1347"/>
  <c r="I1343"/>
  <c r="I1350"/>
  <c r="I1346"/>
  <c r="I1348"/>
  <c r="I1344"/>
  <c r="I1349"/>
  <c r="I1345"/>
  <c r="I1361"/>
  <c r="I1356"/>
  <c r="I1353"/>
  <c r="I1351"/>
  <c r="I1357"/>
  <c r="I1359"/>
  <c r="I1358"/>
  <c r="I1354"/>
  <c r="I1360"/>
  <c r="I1355"/>
  <c r="I1352"/>
  <c r="D369" i="12"/>
  <c r="E369"/>
  <c r="F369"/>
  <c r="G369"/>
  <c r="H369"/>
  <c r="I369"/>
  <c r="J369"/>
  <c r="K369"/>
  <c r="L369"/>
  <c r="M369"/>
  <c r="N369"/>
  <c r="O369"/>
  <c r="P369"/>
  <c r="Q369"/>
  <c r="R369"/>
  <c r="S369"/>
  <c r="T369"/>
  <c r="U369"/>
  <c r="V369"/>
  <c r="W369"/>
  <c r="X369"/>
  <c r="Y369"/>
  <c r="Z369"/>
  <c r="AA369"/>
  <c r="AB369"/>
  <c r="AD369"/>
  <c r="AE369"/>
  <c r="AF369"/>
  <c r="AG369"/>
  <c r="AH369"/>
  <c r="C369"/>
  <c r="D363"/>
  <c r="E363"/>
  <c r="F363"/>
  <c r="G363"/>
  <c r="H363"/>
  <c r="I363"/>
  <c r="J363"/>
  <c r="K363"/>
  <c r="L363"/>
  <c r="M363"/>
  <c r="N363"/>
  <c r="O363"/>
  <c r="P363"/>
  <c r="Q363"/>
  <c r="R363"/>
  <c r="S363"/>
  <c r="T363"/>
  <c r="U363"/>
  <c r="V363"/>
  <c r="W363"/>
  <c r="X363"/>
  <c r="Y363"/>
  <c r="Z363"/>
  <c r="AA363"/>
  <c r="AB363"/>
  <c r="AC363"/>
  <c r="AD363"/>
  <c r="AE363"/>
  <c r="AF363"/>
  <c r="AG363"/>
  <c r="AH363"/>
  <c r="AI363"/>
  <c r="C363"/>
  <c r="D344"/>
  <c r="E344"/>
  <c r="F344"/>
  <c r="G344"/>
  <c r="H344"/>
  <c r="I344"/>
  <c r="J344"/>
  <c r="K344"/>
  <c r="L344"/>
  <c r="M344"/>
  <c r="N344"/>
  <c r="O344"/>
  <c r="P344"/>
  <c r="Q344"/>
  <c r="R344"/>
  <c r="S344"/>
  <c r="T344"/>
  <c r="U344"/>
  <c r="V344"/>
  <c r="W344"/>
  <c r="X344"/>
  <c r="Y344"/>
  <c r="Z344"/>
  <c r="AA344"/>
  <c r="AB344"/>
  <c r="AC344"/>
  <c r="AD344"/>
  <c r="AE344"/>
  <c r="AF344"/>
  <c r="AG344"/>
  <c r="AH344"/>
  <c r="AI344"/>
  <c r="C344"/>
  <c r="D324"/>
  <c r="E324"/>
  <c r="F324"/>
  <c r="G324"/>
  <c r="H324"/>
  <c r="I324"/>
  <c r="J324"/>
  <c r="K324"/>
  <c r="L324"/>
  <c r="M324"/>
  <c r="N324"/>
  <c r="O324"/>
  <c r="P324"/>
  <c r="Q324"/>
  <c r="R324"/>
  <c r="S324"/>
  <c r="T324"/>
  <c r="U324"/>
  <c r="V324"/>
  <c r="W324"/>
  <c r="X324"/>
  <c r="Y324"/>
  <c r="Z324"/>
  <c r="AA324"/>
  <c r="AB324"/>
  <c r="AC324"/>
  <c r="AD324"/>
  <c r="AE324"/>
  <c r="AF324"/>
  <c r="AG324"/>
  <c r="AH324"/>
  <c r="AI324"/>
  <c r="C324"/>
  <c r="V412"/>
  <c r="V414" s="1"/>
  <c r="Y403"/>
  <c r="Y402"/>
  <c r="J2023" i="13" l="1"/>
  <c r="J2024" s="1"/>
  <c r="M3229"/>
  <c r="N3229" s="1"/>
  <c r="O3229" s="1"/>
  <c r="H2362"/>
  <c r="I2361"/>
  <c r="H4746"/>
  <c r="I4746" s="1"/>
  <c r="I1385"/>
  <c r="H772"/>
  <c r="I1382"/>
  <c r="H788"/>
  <c r="I1397"/>
  <c r="Y404" i="12"/>
  <c r="Y405" s="1"/>
  <c r="I810" i="13"/>
  <c r="I765"/>
  <c r="I967"/>
  <c r="H1726"/>
  <c r="I1726" s="1"/>
  <c r="H968"/>
  <c r="H4342" s="1"/>
  <c r="I4342" s="1"/>
  <c r="H1657"/>
  <c r="H811"/>
  <c r="H4178" s="1"/>
  <c r="I4178" s="1"/>
  <c r="P370" i="12"/>
  <c r="H1604" i="13"/>
  <c r="I1603"/>
  <c r="D299" i="12"/>
  <c r="D370" s="1"/>
  <c r="E299"/>
  <c r="E370" s="1"/>
  <c r="F299"/>
  <c r="F370" s="1"/>
  <c r="G299"/>
  <c r="G370" s="1"/>
  <c r="H299"/>
  <c r="H370" s="1"/>
  <c r="I299"/>
  <c r="I370" s="1"/>
  <c r="J299"/>
  <c r="J370" s="1"/>
  <c r="K299"/>
  <c r="K370" s="1"/>
  <c r="L299"/>
  <c r="L370" s="1"/>
  <c r="M299"/>
  <c r="M370" s="1"/>
  <c r="N299"/>
  <c r="N370" s="1"/>
  <c r="O299"/>
  <c r="O370" s="1"/>
  <c r="Q299"/>
  <c r="Q370" s="1"/>
  <c r="R299"/>
  <c r="R370" s="1"/>
  <c r="S299"/>
  <c r="S370" s="1"/>
  <c r="T299"/>
  <c r="T370" s="1"/>
  <c r="U299"/>
  <c r="U370" s="1"/>
  <c r="V299"/>
  <c r="V370" s="1"/>
  <c r="W299"/>
  <c r="W370" s="1"/>
  <c r="X299"/>
  <c r="X370" s="1"/>
  <c r="Y299"/>
  <c r="Y370" s="1"/>
  <c r="Z299"/>
  <c r="Z370" s="1"/>
  <c r="AA299"/>
  <c r="AA370" s="1"/>
  <c r="AB299"/>
  <c r="AB370" s="1"/>
  <c r="AC299"/>
  <c r="AD299"/>
  <c r="AD370" s="1"/>
  <c r="AE299"/>
  <c r="AE370" s="1"/>
  <c r="AF299"/>
  <c r="AF370" s="1"/>
  <c r="AG299"/>
  <c r="AG370" s="1"/>
  <c r="AH299"/>
  <c r="AH370" s="1"/>
  <c r="AI299"/>
  <c r="AI370" s="1"/>
  <c r="C299"/>
  <c r="C370" s="1"/>
  <c r="T405"/>
  <c r="R407"/>
  <c r="F1267" i="13"/>
  <c r="F1287" s="1"/>
  <c r="I2024" l="1"/>
  <c r="H2025" s="1"/>
  <c r="O2025" s="1"/>
  <c r="I2023"/>
  <c r="P3229"/>
  <c r="Q3229" s="1"/>
  <c r="R3229" s="1"/>
  <c r="H2363"/>
  <c r="I2362"/>
  <c r="H4140"/>
  <c r="I4140" s="1"/>
  <c r="I772"/>
  <c r="H4155"/>
  <c r="I4155" s="1"/>
  <c r="I788"/>
  <c r="H4143"/>
  <c r="I4143" s="1"/>
  <c r="I776"/>
  <c r="I811"/>
  <c r="I968"/>
  <c r="H1728"/>
  <c r="I1728" s="1"/>
  <c r="H969"/>
  <c r="H4343" s="1"/>
  <c r="I4343" s="1"/>
  <c r="H1659"/>
  <c r="H812"/>
  <c r="H4179" s="1"/>
  <c r="I4179" s="1"/>
  <c r="H767"/>
  <c r="H4136" s="1"/>
  <c r="I4136" s="1"/>
  <c r="I1287"/>
  <c r="F634"/>
  <c r="F4003" s="1"/>
  <c r="I4003" s="1"/>
  <c r="H1607"/>
  <c r="H1608" s="1"/>
  <c r="I1604"/>
  <c r="H2364" l="1"/>
  <c r="I2363"/>
  <c r="I634"/>
  <c r="I767"/>
  <c r="I969"/>
  <c r="I812"/>
  <c r="H1729"/>
  <c r="I1729" s="1"/>
  <c r="H971"/>
  <c r="H4345" s="1"/>
  <c r="I4345" s="1"/>
  <c r="H1660"/>
  <c r="H814"/>
  <c r="H4181" s="1"/>
  <c r="I4181" s="1"/>
  <c r="H769"/>
  <c r="H4138" s="1"/>
  <c r="I4138" s="1"/>
  <c r="H1611"/>
  <c r="I1608"/>
  <c r="H2365" l="1"/>
  <c r="I2364"/>
  <c r="I769"/>
  <c r="I971"/>
  <c r="I814"/>
  <c r="H1730"/>
  <c r="I1730" s="1"/>
  <c r="H972"/>
  <c r="H4346" s="1"/>
  <c r="I4346" s="1"/>
  <c r="H1662"/>
  <c r="H815"/>
  <c r="H4182" s="1"/>
  <c r="I4182" s="1"/>
  <c r="H770"/>
  <c r="H4139" s="1"/>
  <c r="I4139" s="1"/>
  <c r="I1381"/>
  <c r="H1612"/>
  <c r="I1611"/>
  <c r="L4952"/>
  <c r="L4953"/>
  <c r="L4954"/>
  <c r="L4955"/>
  <c r="L4956"/>
  <c r="L4957"/>
  <c r="L4958"/>
  <c r="L4959"/>
  <c r="L4960"/>
  <c r="L4961"/>
  <c r="L4962"/>
  <c r="L4963"/>
  <c r="L4964"/>
  <c r="L4965"/>
  <c r="L4966"/>
  <c r="L4967"/>
  <c r="L4968"/>
  <c r="L4969"/>
  <c r="L4970"/>
  <c r="L4951"/>
  <c r="H2366" l="1"/>
  <c r="I2365"/>
  <c r="I972"/>
  <c r="I770"/>
  <c r="I815"/>
  <c r="H1732"/>
  <c r="I1732" s="1"/>
  <c r="H973"/>
  <c r="H4347" s="1"/>
  <c r="I4347" s="1"/>
  <c r="H1663"/>
  <c r="H817"/>
  <c r="H4184" s="1"/>
  <c r="I4184" s="1"/>
  <c r="H1619"/>
  <c r="I1612"/>
  <c r="H2367" l="1"/>
  <c r="I2366"/>
  <c r="I973"/>
  <c r="I817"/>
  <c r="H1733"/>
  <c r="I1733" s="1"/>
  <c r="H975"/>
  <c r="H4349" s="1"/>
  <c r="I4349" s="1"/>
  <c r="H1664"/>
  <c r="H819" s="1"/>
  <c r="H4186" s="1"/>
  <c r="I4186" s="1"/>
  <c r="H818"/>
  <c r="H4185" s="1"/>
  <c r="I4185" s="1"/>
  <c r="I1663"/>
  <c r="H773"/>
  <c r="H4141" s="1"/>
  <c r="I4141" s="1"/>
  <c r="I1619"/>
  <c r="H1620"/>
  <c r="H1624"/>
  <c r="H2368" l="1"/>
  <c r="I2367"/>
  <c r="I975"/>
  <c r="I818"/>
  <c r="I773"/>
  <c r="I819"/>
  <c r="H1734"/>
  <c r="H977" s="1"/>
  <c r="H4351" s="1"/>
  <c r="I4351" s="1"/>
  <c r="H976"/>
  <c r="H4350" s="1"/>
  <c r="I4350" s="1"/>
  <c r="H774"/>
  <c r="H4142" s="1"/>
  <c r="I4142" s="1"/>
  <c r="I1624"/>
  <c r="H1627"/>
  <c r="H1621"/>
  <c r="I1620"/>
  <c r="H1625"/>
  <c r="H2369" l="1"/>
  <c r="I2368"/>
  <c r="I774"/>
  <c r="I977"/>
  <c r="I976"/>
  <c r="I1621"/>
  <c r="I1639"/>
  <c r="H1630"/>
  <c r="I1627"/>
  <c r="H1628"/>
  <c r="I1625"/>
  <c r="H2370" l="1"/>
  <c r="I2369"/>
  <c r="I1628"/>
  <c r="I1640"/>
  <c r="H777"/>
  <c r="H4144" s="1"/>
  <c r="I4144" s="1"/>
  <c r="H1672"/>
  <c r="I1672" s="1"/>
  <c r="H1632"/>
  <c r="I1630"/>
  <c r="H2371" l="1"/>
  <c r="I2370"/>
  <c r="I777"/>
  <c r="I1632"/>
  <c r="I1643"/>
  <c r="H778"/>
  <c r="H4145" s="1"/>
  <c r="I4145" s="1"/>
  <c r="H1673"/>
  <c r="I1673" s="1"/>
  <c r="B4"/>
  <c r="H2372" l="1"/>
  <c r="I2371"/>
  <c r="I778"/>
  <c r="I1644"/>
  <c r="H780"/>
  <c r="H4147" s="1"/>
  <c r="I4147" s="1"/>
  <c r="H1676"/>
  <c r="I1676" s="1"/>
  <c r="H2373" l="1"/>
  <c r="I2372"/>
  <c r="I780"/>
  <c r="I1647"/>
  <c r="H782"/>
  <c r="H4149" s="1"/>
  <c r="I4149" s="1"/>
  <c r="H1677"/>
  <c r="I1677" s="1"/>
  <c r="H2374" l="1"/>
  <c r="I2374" s="1"/>
  <c r="I2373"/>
  <c r="I782"/>
  <c r="I1648"/>
  <c r="H783"/>
  <c r="H4150" s="1"/>
  <c r="I4150" s="1"/>
  <c r="H1462"/>
  <c r="H1680"/>
  <c r="I1680" s="1"/>
  <c r="I783" l="1"/>
  <c r="I1651"/>
  <c r="H1463"/>
  <c r="I1462"/>
  <c r="H784"/>
  <c r="H4151" s="1"/>
  <c r="I4151" s="1"/>
  <c r="H1681"/>
  <c r="I1681" s="1"/>
  <c r="I784" l="1"/>
  <c r="I1656"/>
  <c r="I1652"/>
  <c r="I1653"/>
  <c r="H786"/>
  <c r="H4153" s="1"/>
  <c r="I4153" s="1"/>
  <c r="I1463"/>
  <c r="H1464"/>
  <c r="H1688"/>
  <c r="I1688" s="1"/>
  <c r="I786" l="1"/>
  <c r="I1660"/>
  <c r="I1657"/>
  <c r="I1659"/>
  <c r="H1465"/>
  <c r="I1464"/>
  <c r="H787"/>
  <c r="H4154" s="1"/>
  <c r="I4154" s="1"/>
  <c r="H1689"/>
  <c r="I1689" s="1"/>
  <c r="H1693"/>
  <c r="I1693" l="1"/>
  <c r="H1742"/>
  <c r="I787"/>
  <c r="I1664"/>
  <c r="I1662"/>
  <c r="H789"/>
  <c r="H4156" s="1"/>
  <c r="I4156" s="1"/>
  <c r="H1467"/>
  <c r="I1465"/>
  <c r="H1696"/>
  <c r="I1696" s="1"/>
  <c r="H1694"/>
  <c r="I1694" s="1"/>
  <c r="H1690"/>
  <c r="I1690" s="1"/>
  <c r="H1743" l="1"/>
  <c r="I1742"/>
  <c r="H1468"/>
  <c r="H1473"/>
  <c r="H1479"/>
  <c r="H1485"/>
  <c r="H1491"/>
  <c r="H1472"/>
  <c r="H1478"/>
  <c r="H1484"/>
  <c r="H1490"/>
  <c r="H1469"/>
  <c r="H1475"/>
  <c r="H1481"/>
  <c r="H1487"/>
  <c r="H1471"/>
  <c r="H1476"/>
  <c r="H1482"/>
  <c r="H1488"/>
  <c r="I789"/>
  <c r="I1467"/>
  <c r="I1399"/>
  <c r="H790"/>
  <c r="H4157" s="1"/>
  <c r="I4157" s="1"/>
  <c r="H1697"/>
  <c r="I1697" s="1"/>
  <c r="H1700"/>
  <c r="I1700" s="1"/>
  <c r="H1746" l="1"/>
  <c r="I1743"/>
  <c r="I790"/>
  <c r="H1702"/>
  <c r="I1702" s="1"/>
  <c r="H1747" l="1"/>
  <c r="I1746"/>
  <c r="I1734"/>
  <c r="I1469"/>
  <c r="I1468"/>
  <c r="H1750" l="1"/>
  <c r="I1747"/>
  <c r="I1471"/>
  <c r="L5088"/>
  <c r="I5088"/>
  <c r="L5087"/>
  <c r="I5087"/>
  <c r="L5086"/>
  <c r="I5086"/>
  <c r="L5085"/>
  <c r="I5085"/>
  <c r="L5084"/>
  <c r="I5084"/>
  <c r="L5083"/>
  <c r="I5083"/>
  <c r="L5082"/>
  <c r="I5082"/>
  <c r="I5081"/>
  <c r="P5103"/>
  <c r="N5103"/>
  <c r="H1751" l="1"/>
  <c r="I1750"/>
  <c r="I1473"/>
  <c r="I1472"/>
  <c r="J5101"/>
  <c r="J5102" s="1"/>
  <c r="I5101" s="1"/>
  <c r="I5102" s="1"/>
  <c r="H5103" s="1"/>
  <c r="O5103" s="1"/>
  <c r="M5103"/>
  <c r="H1754" l="1"/>
  <c r="I1751"/>
  <c r="I1475"/>
  <c r="H1757" l="1"/>
  <c r="I1754"/>
  <c r="I1476"/>
  <c r="Q87" l="1"/>
  <c r="R87" s="1"/>
  <c r="Q91"/>
  <c r="R91" s="1"/>
  <c r="Q95"/>
  <c r="R95" s="1"/>
  <c r="Q99"/>
  <c r="R99" s="1"/>
  <c r="Q103"/>
  <c r="R103" s="1"/>
  <c r="Q107"/>
  <c r="R107" s="1"/>
  <c r="Q111"/>
  <c r="R111" s="1"/>
  <c r="Q115"/>
  <c r="R115" s="1"/>
  <c r="Q119"/>
  <c r="R119" s="1"/>
  <c r="Q123"/>
  <c r="R123" s="1"/>
  <c r="Q127"/>
  <c r="R127" s="1"/>
  <c r="Q131"/>
  <c r="R131" s="1"/>
  <c r="Q135"/>
  <c r="R135" s="1"/>
  <c r="Q139"/>
  <c r="R139" s="1"/>
  <c r="Q143"/>
  <c r="R143" s="1"/>
  <c r="Q147"/>
  <c r="R147" s="1"/>
  <c r="Q151"/>
  <c r="R151" s="1"/>
  <c r="Q155"/>
  <c r="R155" s="1"/>
  <c r="Q159"/>
  <c r="R159" s="1"/>
  <c r="Q163"/>
  <c r="R163" s="1"/>
  <c r="Q167"/>
  <c r="R167" s="1"/>
  <c r="Q171"/>
  <c r="R171" s="1"/>
  <c r="Q175"/>
  <c r="R175" s="1"/>
  <c r="Q179"/>
  <c r="R179" s="1"/>
  <c r="Q183"/>
  <c r="R183" s="1"/>
  <c r="Q187"/>
  <c r="R187" s="1"/>
  <c r="Q191"/>
  <c r="R191" s="1"/>
  <c r="Q195"/>
  <c r="R195" s="1"/>
  <c r="Q199"/>
  <c r="R199" s="1"/>
  <c r="Q203"/>
  <c r="R203" s="1"/>
  <c r="Q207"/>
  <c r="R207" s="1"/>
  <c r="Q211"/>
  <c r="R211" s="1"/>
  <c r="Q215"/>
  <c r="R215" s="1"/>
  <c r="Q219"/>
  <c r="R219" s="1"/>
  <c r="Q223"/>
  <c r="R223" s="1"/>
  <c r="Q227"/>
  <c r="R227" s="1"/>
  <c r="Q231"/>
  <c r="R231" s="1"/>
  <c r="Q235"/>
  <c r="R235" s="1"/>
  <c r="Q239"/>
  <c r="R239" s="1"/>
  <c r="Q243"/>
  <c r="R243" s="1"/>
  <c r="Q247"/>
  <c r="R247" s="1"/>
  <c r="Q251"/>
  <c r="R251" s="1"/>
  <c r="Q255"/>
  <c r="R255" s="1"/>
  <c r="Q259"/>
  <c r="R259" s="1"/>
  <c r="Q263"/>
  <c r="R263" s="1"/>
  <c r="Q267"/>
  <c r="R267" s="1"/>
  <c r="Q271"/>
  <c r="R271" s="1"/>
  <c r="Q275"/>
  <c r="R275" s="1"/>
  <c r="Q279"/>
  <c r="R279" s="1"/>
  <c r="Q283"/>
  <c r="R283" s="1"/>
  <c r="Q287"/>
  <c r="R287" s="1"/>
  <c r="Q291"/>
  <c r="R291" s="1"/>
  <c r="Q295"/>
  <c r="R295" s="1"/>
  <c r="Q299"/>
  <c r="R299" s="1"/>
  <c r="Q307"/>
  <c r="R307" s="1"/>
  <c r="Q311"/>
  <c r="R311" s="1"/>
  <c r="Q315"/>
  <c r="R315" s="1"/>
  <c r="Q319"/>
  <c r="R319" s="1"/>
  <c r="Q323"/>
  <c r="R323" s="1"/>
  <c r="Q327"/>
  <c r="R327" s="1"/>
  <c r="Q331"/>
  <c r="R331" s="1"/>
  <c r="Q335"/>
  <c r="R335" s="1"/>
  <c r="Q339"/>
  <c r="R339" s="1"/>
  <c r="Q343"/>
  <c r="R343" s="1"/>
  <c r="Q347"/>
  <c r="R347" s="1"/>
  <c r="Q351"/>
  <c r="R351" s="1"/>
  <c r="Q355"/>
  <c r="R355" s="1"/>
  <c r="Q359"/>
  <c r="R359" s="1"/>
  <c r="Q363"/>
  <c r="R363" s="1"/>
  <c r="Q367"/>
  <c r="R367" s="1"/>
  <c r="Q371"/>
  <c r="R371" s="1"/>
  <c r="Q375"/>
  <c r="R375" s="1"/>
  <c r="Q379"/>
  <c r="R379" s="1"/>
  <c r="Q383"/>
  <c r="R383" s="1"/>
  <c r="Q387"/>
  <c r="R387" s="1"/>
  <c r="Q391"/>
  <c r="R391" s="1"/>
  <c r="Q395"/>
  <c r="R395" s="1"/>
  <c r="Q399"/>
  <c r="R399" s="1"/>
  <c r="Q403"/>
  <c r="R403" s="1"/>
  <c r="Q407"/>
  <c r="R407" s="1"/>
  <c r="Q411"/>
  <c r="R411" s="1"/>
  <c r="Q415"/>
  <c r="R415" s="1"/>
  <c r="Q419"/>
  <c r="R419" s="1"/>
  <c r="Q423"/>
  <c r="R423" s="1"/>
  <c r="Q427"/>
  <c r="R427" s="1"/>
  <c r="Q88"/>
  <c r="R88" s="1"/>
  <c r="Q92"/>
  <c r="R92" s="1"/>
  <c r="Q100"/>
  <c r="R100" s="1"/>
  <c r="Q104"/>
  <c r="R104" s="1"/>
  <c r="Q108"/>
  <c r="R108" s="1"/>
  <c r="Q112"/>
  <c r="R112" s="1"/>
  <c r="Q116"/>
  <c r="R116" s="1"/>
  <c r="Q120"/>
  <c r="R120" s="1"/>
  <c r="Q124"/>
  <c r="R124" s="1"/>
  <c r="Q128"/>
  <c r="R128" s="1"/>
  <c r="Q132"/>
  <c r="R132" s="1"/>
  <c r="Q136"/>
  <c r="R136" s="1"/>
  <c r="Q140"/>
  <c r="R140" s="1"/>
  <c r="Q144"/>
  <c r="R144" s="1"/>
  <c r="Q148"/>
  <c r="R148" s="1"/>
  <c r="Q152"/>
  <c r="R152" s="1"/>
  <c r="Q156"/>
  <c r="R156" s="1"/>
  <c r="Q160"/>
  <c r="R160" s="1"/>
  <c r="Q164"/>
  <c r="R164" s="1"/>
  <c r="Q168"/>
  <c r="R168" s="1"/>
  <c r="Q172"/>
  <c r="R172" s="1"/>
  <c r="Q176"/>
  <c r="R176" s="1"/>
  <c r="Q180"/>
  <c r="R180" s="1"/>
  <c r="Q184"/>
  <c r="R184" s="1"/>
  <c r="Q188"/>
  <c r="R188" s="1"/>
  <c r="Q192"/>
  <c r="R192" s="1"/>
  <c r="Q196"/>
  <c r="R196" s="1"/>
  <c r="Q204"/>
  <c r="R204" s="1"/>
  <c r="Q212"/>
  <c r="R212" s="1"/>
  <c r="Q216"/>
  <c r="R216" s="1"/>
  <c r="Q220"/>
  <c r="R220" s="1"/>
  <c r="Q224"/>
  <c r="R224" s="1"/>
  <c r="Q228"/>
  <c r="R228" s="1"/>
  <c r="Q236"/>
  <c r="R236" s="1"/>
  <c r="Q240"/>
  <c r="R240" s="1"/>
  <c r="Q244"/>
  <c r="R244" s="1"/>
  <c r="Q248"/>
  <c r="R248" s="1"/>
  <c r="Q252"/>
  <c r="R252" s="1"/>
  <c r="Q256"/>
  <c r="R256" s="1"/>
  <c r="Q260"/>
  <c r="R260" s="1"/>
  <c r="Q264"/>
  <c r="R264" s="1"/>
  <c r="Q268"/>
  <c r="R268" s="1"/>
  <c r="Q272"/>
  <c r="R272" s="1"/>
  <c r="Q276"/>
  <c r="R276" s="1"/>
  <c r="Q280"/>
  <c r="R280" s="1"/>
  <c r="Q284"/>
  <c r="R284" s="1"/>
  <c r="Q288"/>
  <c r="R288" s="1"/>
  <c r="Q292"/>
  <c r="R292" s="1"/>
  <c r="Q296"/>
  <c r="R296" s="1"/>
  <c r="Q300"/>
  <c r="R300" s="1"/>
  <c r="Q304"/>
  <c r="R304" s="1"/>
  <c r="Q308"/>
  <c r="R308" s="1"/>
  <c r="Q312"/>
  <c r="R312" s="1"/>
  <c r="Q316"/>
  <c r="R316" s="1"/>
  <c r="Q320"/>
  <c r="R320" s="1"/>
  <c r="Q324"/>
  <c r="R324" s="1"/>
  <c r="Q328"/>
  <c r="R328" s="1"/>
  <c r="Q332"/>
  <c r="R332" s="1"/>
  <c r="Q336"/>
  <c r="R336" s="1"/>
  <c r="Q340"/>
  <c r="R340" s="1"/>
  <c r="Q344"/>
  <c r="R344" s="1"/>
  <c r="Q348"/>
  <c r="R348" s="1"/>
  <c r="Q352"/>
  <c r="R352" s="1"/>
  <c r="Q356"/>
  <c r="R356" s="1"/>
  <c r="Q360"/>
  <c r="R360" s="1"/>
  <c r="Q364"/>
  <c r="R364" s="1"/>
  <c r="Q368"/>
  <c r="R368" s="1"/>
  <c r="Q372"/>
  <c r="R372" s="1"/>
  <c r="Q376"/>
  <c r="R376" s="1"/>
  <c r="Q380"/>
  <c r="R380" s="1"/>
  <c r="Q384"/>
  <c r="R384" s="1"/>
  <c r="Q388"/>
  <c r="R388" s="1"/>
  <c r="Q392"/>
  <c r="R392" s="1"/>
  <c r="Q396"/>
  <c r="R396" s="1"/>
  <c r="Q400"/>
  <c r="R400" s="1"/>
  <c r="Q404"/>
  <c r="R404" s="1"/>
  <c r="Q408"/>
  <c r="R408" s="1"/>
  <c r="Q412"/>
  <c r="R412" s="1"/>
  <c r="Q416"/>
  <c r="R416" s="1"/>
  <c r="Q420"/>
  <c r="R420" s="1"/>
  <c r="Q424"/>
  <c r="R424" s="1"/>
  <c r="Q428"/>
  <c r="R428" s="1"/>
  <c r="Q432"/>
  <c r="R432" s="1"/>
  <c r="Q89"/>
  <c r="R89" s="1"/>
  <c r="Q93"/>
  <c r="R93" s="1"/>
  <c r="Q97"/>
  <c r="R97" s="1"/>
  <c r="Q101"/>
  <c r="R101" s="1"/>
  <c r="Q105"/>
  <c r="R105" s="1"/>
  <c r="Q109"/>
  <c r="R109" s="1"/>
  <c r="Q113"/>
  <c r="R113" s="1"/>
  <c r="Q117"/>
  <c r="R117" s="1"/>
  <c r="Q121"/>
  <c r="R121" s="1"/>
  <c r="Q125"/>
  <c r="R125" s="1"/>
  <c r="Q129"/>
  <c r="R129" s="1"/>
  <c r="Q133"/>
  <c r="R133" s="1"/>
  <c r="Q137"/>
  <c r="R137" s="1"/>
  <c r="Q141"/>
  <c r="R141" s="1"/>
  <c r="Q145"/>
  <c r="R145" s="1"/>
  <c r="Q149"/>
  <c r="R149" s="1"/>
  <c r="Q153"/>
  <c r="R153" s="1"/>
  <c r="Q157"/>
  <c r="R157" s="1"/>
  <c r="Q161"/>
  <c r="R161" s="1"/>
  <c r="Q165"/>
  <c r="R165" s="1"/>
  <c r="Q169"/>
  <c r="R169" s="1"/>
  <c r="Q173"/>
  <c r="R173" s="1"/>
  <c r="Q177"/>
  <c r="R177" s="1"/>
  <c r="Q181"/>
  <c r="R181" s="1"/>
  <c r="Q185"/>
  <c r="R185" s="1"/>
  <c r="Q189"/>
  <c r="R189" s="1"/>
  <c r="Q193"/>
  <c r="R193" s="1"/>
  <c r="Q197"/>
  <c r="R197" s="1"/>
  <c r="Q201"/>
  <c r="R201" s="1"/>
  <c r="Q205"/>
  <c r="R205" s="1"/>
  <c r="Q209"/>
  <c r="R209" s="1"/>
  <c r="Q213"/>
  <c r="R213" s="1"/>
  <c r="Q217"/>
  <c r="R217" s="1"/>
  <c r="Q221"/>
  <c r="R221" s="1"/>
  <c r="Q225"/>
  <c r="R225" s="1"/>
  <c r="Q229"/>
  <c r="R229" s="1"/>
  <c r="Q233"/>
  <c r="R233" s="1"/>
  <c r="Q237"/>
  <c r="R237" s="1"/>
  <c r="Q241"/>
  <c r="R241" s="1"/>
  <c r="Q245"/>
  <c r="R245" s="1"/>
  <c r="Q249"/>
  <c r="R249" s="1"/>
  <c r="Q253"/>
  <c r="R253" s="1"/>
  <c r="Q257"/>
  <c r="R257" s="1"/>
  <c r="Q261"/>
  <c r="R261" s="1"/>
  <c r="Q265"/>
  <c r="R265" s="1"/>
  <c r="Q269"/>
  <c r="R269" s="1"/>
  <c r="Q273"/>
  <c r="R273" s="1"/>
  <c r="Q277"/>
  <c r="R277" s="1"/>
  <c r="Q281"/>
  <c r="R281" s="1"/>
  <c r="Q285"/>
  <c r="R285" s="1"/>
  <c r="Q289"/>
  <c r="R289" s="1"/>
  <c r="Q293"/>
  <c r="R293" s="1"/>
  <c r="Q297"/>
  <c r="R297" s="1"/>
  <c r="Q301"/>
  <c r="R301" s="1"/>
  <c r="Q305"/>
  <c r="R305" s="1"/>
  <c r="Q309"/>
  <c r="R309" s="1"/>
  <c r="Q313"/>
  <c r="R313" s="1"/>
  <c r="Q317"/>
  <c r="R317" s="1"/>
  <c r="Q321"/>
  <c r="R321" s="1"/>
  <c r="Q325"/>
  <c r="R325" s="1"/>
  <c r="Q329"/>
  <c r="R329" s="1"/>
  <c r="Q333"/>
  <c r="R333" s="1"/>
  <c r="Q337"/>
  <c r="R337" s="1"/>
  <c r="Q341"/>
  <c r="R341" s="1"/>
  <c r="Q345"/>
  <c r="R345" s="1"/>
  <c r="Q349"/>
  <c r="R349" s="1"/>
  <c r="Q353"/>
  <c r="R353" s="1"/>
  <c r="Q357"/>
  <c r="R357" s="1"/>
  <c r="Q361"/>
  <c r="R361" s="1"/>
  <c r="Q369"/>
  <c r="R369" s="1"/>
  <c r="Q373"/>
  <c r="R373" s="1"/>
  <c r="Q377"/>
  <c r="R377" s="1"/>
  <c r="Q381"/>
  <c r="R381" s="1"/>
  <c r="Q385"/>
  <c r="R385" s="1"/>
  <c r="Q389"/>
  <c r="R389" s="1"/>
  <c r="Q393"/>
  <c r="R393" s="1"/>
  <c r="Q397"/>
  <c r="R397" s="1"/>
  <c r="Q401"/>
  <c r="R401" s="1"/>
  <c r="Q405"/>
  <c r="R405" s="1"/>
  <c r="Q409"/>
  <c r="R409" s="1"/>
  <c r="Q413"/>
  <c r="R413" s="1"/>
  <c r="Q417"/>
  <c r="R417" s="1"/>
  <c r="Q90"/>
  <c r="R90" s="1"/>
  <c r="Q94"/>
  <c r="R94" s="1"/>
  <c r="Q98"/>
  <c r="R98" s="1"/>
  <c r="Q102"/>
  <c r="R102" s="1"/>
  <c r="Q106"/>
  <c r="R106" s="1"/>
  <c r="Q110"/>
  <c r="R110" s="1"/>
  <c r="Q114"/>
  <c r="R114" s="1"/>
  <c r="Q118"/>
  <c r="R118" s="1"/>
  <c r="Q122"/>
  <c r="R122" s="1"/>
  <c r="Q126"/>
  <c r="R126" s="1"/>
  <c r="Q130"/>
  <c r="R130" s="1"/>
  <c r="Q134"/>
  <c r="R134" s="1"/>
  <c r="Q138"/>
  <c r="R138" s="1"/>
  <c r="Q142"/>
  <c r="R142" s="1"/>
  <c r="Q146"/>
  <c r="R146" s="1"/>
  <c r="Q150"/>
  <c r="R150" s="1"/>
  <c r="Q154"/>
  <c r="R154" s="1"/>
  <c r="Q158"/>
  <c r="R158" s="1"/>
  <c r="Q162"/>
  <c r="R162" s="1"/>
  <c r="Q166"/>
  <c r="R166" s="1"/>
  <c r="Q170"/>
  <c r="R170" s="1"/>
  <c r="Q174"/>
  <c r="R174" s="1"/>
  <c r="Q178"/>
  <c r="R178" s="1"/>
  <c r="Q182"/>
  <c r="R182" s="1"/>
  <c r="Q186"/>
  <c r="R186" s="1"/>
  <c r="Q190"/>
  <c r="R190" s="1"/>
  <c r="Q194"/>
  <c r="R194" s="1"/>
  <c r="Q198"/>
  <c r="R198" s="1"/>
  <c r="Q202"/>
  <c r="R202" s="1"/>
  <c r="Q206"/>
  <c r="R206" s="1"/>
  <c r="Q210"/>
  <c r="R210" s="1"/>
  <c r="Q214"/>
  <c r="R214" s="1"/>
  <c r="Q218"/>
  <c r="R218" s="1"/>
  <c r="Q222"/>
  <c r="R222" s="1"/>
  <c r="Q226"/>
  <c r="R226" s="1"/>
  <c r="Q230"/>
  <c r="R230" s="1"/>
  <c r="Q234"/>
  <c r="R234" s="1"/>
  <c r="Q238"/>
  <c r="R238" s="1"/>
  <c r="Q242"/>
  <c r="R242" s="1"/>
  <c r="Q246"/>
  <c r="R246" s="1"/>
  <c r="Q250"/>
  <c r="R250" s="1"/>
  <c r="Q254"/>
  <c r="R254" s="1"/>
  <c r="Q258"/>
  <c r="R258" s="1"/>
  <c r="Q262"/>
  <c r="R262" s="1"/>
  <c r="Q266"/>
  <c r="R266" s="1"/>
  <c r="Q270"/>
  <c r="R270" s="1"/>
  <c r="Q274"/>
  <c r="R274" s="1"/>
  <c r="Q278"/>
  <c r="R278" s="1"/>
  <c r="Q282"/>
  <c r="R282" s="1"/>
  <c r="Q286"/>
  <c r="R286" s="1"/>
  <c r="Q290"/>
  <c r="R290" s="1"/>
  <c r="Q294"/>
  <c r="R294" s="1"/>
  <c r="Q298"/>
  <c r="R298" s="1"/>
  <c r="Q302"/>
  <c r="R302" s="1"/>
  <c r="Q306"/>
  <c r="R306" s="1"/>
  <c r="Q310"/>
  <c r="R310" s="1"/>
  <c r="Q318"/>
  <c r="R318" s="1"/>
  <c r="Q322"/>
  <c r="R322" s="1"/>
  <c r="Q326"/>
  <c r="R326" s="1"/>
  <c r="Q330"/>
  <c r="R330" s="1"/>
  <c r="Q334"/>
  <c r="R334" s="1"/>
  <c r="Q338"/>
  <c r="R338" s="1"/>
  <c r="Q342"/>
  <c r="R342" s="1"/>
  <c r="Q346"/>
  <c r="R346" s="1"/>
  <c r="Q350"/>
  <c r="R350" s="1"/>
  <c r="Q354"/>
  <c r="R354" s="1"/>
  <c r="Q358"/>
  <c r="R358" s="1"/>
  <c r="Q362"/>
  <c r="R362" s="1"/>
  <c r="Q366"/>
  <c r="R366" s="1"/>
  <c r="Q370"/>
  <c r="R370" s="1"/>
  <c r="Q374"/>
  <c r="R374" s="1"/>
  <c r="Q378"/>
  <c r="R378" s="1"/>
  <c r="Q382"/>
  <c r="R382" s="1"/>
  <c r="Q386"/>
  <c r="R386" s="1"/>
  <c r="Q390"/>
  <c r="R390" s="1"/>
  <c r="Q394"/>
  <c r="R394" s="1"/>
  <c r="Q402"/>
  <c r="R402" s="1"/>
  <c r="Q418"/>
  <c r="R418" s="1"/>
  <c r="Q426"/>
  <c r="R426" s="1"/>
  <c r="Q433"/>
  <c r="R433" s="1"/>
  <c r="Q437"/>
  <c r="R437" s="1"/>
  <c r="Q441"/>
  <c r="R441" s="1"/>
  <c r="Q445"/>
  <c r="R445" s="1"/>
  <c r="Q449"/>
  <c r="R449" s="1"/>
  <c r="Q453"/>
  <c r="R453" s="1"/>
  <c r="Q457"/>
  <c r="R457" s="1"/>
  <c r="Q461"/>
  <c r="R461" s="1"/>
  <c r="Q465"/>
  <c r="R465" s="1"/>
  <c r="Q469"/>
  <c r="R469" s="1"/>
  <c r="Q473"/>
  <c r="R473" s="1"/>
  <c r="Q477"/>
  <c r="R477" s="1"/>
  <c r="Q481"/>
  <c r="R481" s="1"/>
  <c r="Q489"/>
  <c r="R489" s="1"/>
  <c r="Q493"/>
  <c r="R493" s="1"/>
  <c r="Q497"/>
  <c r="R497" s="1"/>
  <c r="Q501"/>
  <c r="R501" s="1"/>
  <c r="Q505"/>
  <c r="R505" s="1"/>
  <c r="Q509"/>
  <c r="R509" s="1"/>
  <c r="Q513"/>
  <c r="R513" s="1"/>
  <c r="Q517"/>
  <c r="R517" s="1"/>
  <c r="Q521"/>
  <c r="R521" s="1"/>
  <c r="Q525"/>
  <c r="R525" s="1"/>
  <c r="Q529"/>
  <c r="R529" s="1"/>
  <c r="Q533"/>
  <c r="R533" s="1"/>
  <c r="Q537"/>
  <c r="R537" s="1"/>
  <c r="Q541"/>
  <c r="R541" s="1"/>
  <c r="Q545"/>
  <c r="R545" s="1"/>
  <c r="Q549"/>
  <c r="R549" s="1"/>
  <c r="Q553"/>
  <c r="R553" s="1"/>
  <c r="Q557"/>
  <c r="R557" s="1"/>
  <c r="Q561"/>
  <c r="R561" s="1"/>
  <c r="Q565"/>
  <c r="R565" s="1"/>
  <c r="Q569"/>
  <c r="R569" s="1"/>
  <c r="Q573"/>
  <c r="R573" s="1"/>
  <c r="Q577"/>
  <c r="R577" s="1"/>
  <c r="Q581"/>
  <c r="R581" s="1"/>
  <c r="Q585"/>
  <c r="R585" s="1"/>
  <c r="Q589"/>
  <c r="R589" s="1"/>
  <c r="Q593"/>
  <c r="R593" s="1"/>
  <c r="Q597"/>
  <c r="R597" s="1"/>
  <c r="Q601"/>
  <c r="R601" s="1"/>
  <c r="Q605"/>
  <c r="R605" s="1"/>
  <c r="Q609"/>
  <c r="R609" s="1"/>
  <c r="Q613"/>
  <c r="R613" s="1"/>
  <c r="Q617"/>
  <c r="R617" s="1"/>
  <c r="Q621"/>
  <c r="R621" s="1"/>
  <c r="Q625"/>
  <c r="R625" s="1"/>
  <c r="Q629"/>
  <c r="R629" s="1"/>
  <c r="Q633"/>
  <c r="R633" s="1"/>
  <c r="Q637"/>
  <c r="R637" s="1"/>
  <c r="Q641"/>
  <c r="R641" s="1"/>
  <c r="Q645"/>
  <c r="R645" s="1"/>
  <c r="Q649"/>
  <c r="R649" s="1"/>
  <c r="Q653"/>
  <c r="R653" s="1"/>
  <c r="Q657"/>
  <c r="R657" s="1"/>
  <c r="Q661"/>
  <c r="R661" s="1"/>
  <c r="Q665"/>
  <c r="R665" s="1"/>
  <c r="Q669"/>
  <c r="R669" s="1"/>
  <c r="Q673"/>
  <c r="R673" s="1"/>
  <c r="Q677"/>
  <c r="R677" s="1"/>
  <c r="Q681"/>
  <c r="R681" s="1"/>
  <c r="Q685"/>
  <c r="R685" s="1"/>
  <c r="Q689"/>
  <c r="R689" s="1"/>
  <c r="Q693"/>
  <c r="R693" s="1"/>
  <c r="Q697"/>
  <c r="R697" s="1"/>
  <c r="Q701"/>
  <c r="R701" s="1"/>
  <c r="Q705"/>
  <c r="R705" s="1"/>
  <c r="Q709"/>
  <c r="R709" s="1"/>
  <c r="Q713"/>
  <c r="R713" s="1"/>
  <c r="Q717"/>
  <c r="R717" s="1"/>
  <c r="Q721"/>
  <c r="R721" s="1"/>
  <c r="Q725"/>
  <c r="R725" s="1"/>
  <c r="Q729"/>
  <c r="R729" s="1"/>
  <c r="Q733"/>
  <c r="R733" s="1"/>
  <c r="Q737"/>
  <c r="R737" s="1"/>
  <c r="Q741"/>
  <c r="R741" s="1"/>
  <c r="Q745"/>
  <c r="R745" s="1"/>
  <c r="Q749"/>
  <c r="R749" s="1"/>
  <c r="Q753"/>
  <c r="R753" s="1"/>
  <c r="Q757"/>
  <c r="R757" s="1"/>
  <c r="Q761"/>
  <c r="R761" s="1"/>
  <c r="Q406"/>
  <c r="R406" s="1"/>
  <c r="Q421"/>
  <c r="R421" s="1"/>
  <c r="Q429"/>
  <c r="R429" s="1"/>
  <c r="Q434"/>
  <c r="R434" s="1"/>
  <c r="Q438"/>
  <c r="R438" s="1"/>
  <c r="Q442"/>
  <c r="R442" s="1"/>
  <c r="Q446"/>
  <c r="R446" s="1"/>
  <c r="Q450"/>
  <c r="R450" s="1"/>
  <c r="Q454"/>
  <c r="R454" s="1"/>
  <c r="Q458"/>
  <c r="R458" s="1"/>
  <c r="Q462"/>
  <c r="R462" s="1"/>
  <c r="Q466"/>
  <c r="R466" s="1"/>
  <c r="Q470"/>
  <c r="R470" s="1"/>
  <c r="Q474"/>
  <c r="R474" s="1"/>
  <c r="Q478"/>
  <c r="R478" s="1"/>
  <c r="Q482"/>
  <c r="R482" s="1"/>
  <c r="Q486"/>
  <c r="R486" s="1"/>
  <c r="Q490"/>
  <c r="R490" s="1"/>
  <c r="Q494"/>
  <c r="R494" s="1"/>
  <c r="Q498"/>
  <c r="R498" s="1"/>
  <c r="Q502"/>
  <c r="R502" s="1"/>
  <c r="Q506"/>
  <c r="R506" s="1"/>
  <c r="Q510"/>
  <c r="R510" s="1"/>
  <c r="Q514"/>
  <c r="R514" s="1"/>
  <c r="Q518"/>
  <c r="R518" s="1"/>
  <c r="Q522"/>
  <c r="R522" s="1"/>
  <c r="Q526"/>
  <c r="R526" s="1"/>
  <c r="Q530"/>
  <c r="R530" s="1"/>
  <c r="Q534"/>
  <c r="R534" s="1"/>
  <c r="Q538"/>
  <c r="R538" s="1"/>
  <c r="Q542"/>
  <c r="R542" s="1"/>
  <c r="Q546"/>
  <c r="R546" s="1"/>
  <c r="Q550"/>
  <c r="R550" s="1"/>
  <c r="Q554"/>
  <c r="R554" s="1"/>
  <c r="Q558"/>
  <c r="R558" s="1"/>
  <c r="Q562"/>
  <c r="R562" s="1"/>
  <c r="Q566"/>
  <c r="R566" s="1"/>
  <c r="Q570"/>
  <c r="R570" s="1"/>
  <c r="Q574"/>
  <c r="R574" s="1"/>
  <c r="Q578"/>
  <c r="R578" s="1"/>
  <c r="Q582"/>
  <c r="R582" s="1"/>
  <c r="Q586"/>
  <c r="R586" s="1"/>
  <c r="Q590"/>
  <c r="R590" s="1"/>
  <c r="Q594"/>
  <c r="R594" s="1"/>
  <c r="Q598"/>
  <c r="R598" s="1"/>
  <c r="Q602"/>
  <c r="R602" s="1"/>
  <c r="Q606"/>
  <c r="R606" s="1"/>
  <c r="Q610"/>
  <c r="R610" s="1"/>
  <c r="Q614"/>
  <c r="R614" s="1"/>
  <c r="Q618"/>
  <c r="R618" s="1"/>
  <c r="Q622"/>
  <c r="R622" s="1"/>
  <c r="Q626"/>
  <c r="R626" s="1"/>
  <c r="Q630"/>
  <c r="R630" s="1"/>
  <c r="Q634"/>
  <c r="R634" s="1"/>
  <c r="Q638"/>
  <c r="R638" s="1"/>
  <c r="Q642"/>
  <c r="R642" s="1"/>
  <c r="Q646"/>
  <c r="R646" s="1"/>
  <c r="Q650"/>
  <c r="R650" s="1"/>
  <c r="Q654"/>
  <c r="R654" s="1"/>
  <c r="Q658"/>
  <c r="R658" s="1"/>
  <c r="Q662"/>
  <c r="R662" s="1"/>
  <c r="Q666"/>
  <c r="R666" s="1"/>
  <c r="Q670"/>
  <c r="R670" s="1"/>
  <c r="Q674"/>
  <c r="R674" s="1"/>
  <c r="Q678"/>
  <c r="R678" s="1"/>
  <c r="Q682"/>
  <c r="R682" s="1"/>
  <c r="Q686"/>
  <c r="R686" s="1"/>
  <c r="Q690"/>
  <c r="R690" s="1"/>
  <c r="Q694"/>
  <c r="R694" s="1"/>
  <c r="Q698"/>
  <c r="R698" s="1"/>
  <c r="Q702"/>
  <c r="R702" s="1"/>
  <c r="Q706"/>
  <c r="R706" s="1"/>
  <c r="Q710"/>
  <c r="R710" s="1"/>
  <c r="Q714"/>
  <c r="R714" s="1"/>
  <c r="Q718"/>
  <c r="R718" s="1"/>
  <c r="Q722"/>
  <c r="R722" s="1"/>
  <c r="Q410"/>
  <c r="R410" s="1"/>
  <c r="Q422"/>
  <c r="R422" s="1"/>
  <c r="Q430"/>
  <c r="R430" s="1"/>
  <c r="Q435"/>
  <c r="R435" s="1"/>
  <c r="Q439"/>
  <c r="R439" s="1"/>
  <c r="Q443"/>
  <c r="R443" s="1"/>
  <c r="Q447"/>
  <c r="R447" s="1"/>
  <c r="Q455"/>
  <c r="R455" s="1"/>
  <c r="Q459"/>
  <c r="R459" s="1"/>
  <c r="Q463"/>
  <c r="R463" s="1"/>
  <c r="Q467"/>
  <c r="R467" s="1"/>
  <c r="Q471"/>
  <c r="R471" s="1"/>
  <c r="Q475"/>
  <c r="R475" s="1"/>
  <c r="Q479"/>
  <c r="R479" s="1"/>
  <c r="Q483"/>
  <c r="R483" s="1"/>
  <c r="Q487"/>
  <c r="R487" s="1"/>
  <c r="Q491"/>
  <c r="R491" s="1"/>
  <c r="Q495"/>
  <c r="R495" s="1"/>
  <c r="Q499"/>
  <c r="R499" s="1"/>
  <c r="Q503"/>
  <c r="R503" s="1"/>
  <c r="Q507"/>
  <c r="R507" s="1"/>
  <c r="Q511"/>
  <c r="R511" s="1"/>
  <c r="Q515"/>
  <c r="R515" s="1"/>
  <c r="Q519"/>
  <c r="R519" s="1"/>
  <c r="Q523"/>
  <c r="R523" s="1"/>
  <c r="Q527"/>
  <c r="R527" s="1"/>
  <c r="Q531"/>
  <c r="R531" s="1"/>
  <c r="Q535"/>
  <c r="R535" s="1"/>
  <c r="Q539"/>
  <c r="R539" s="1"/>
  <c r="Q543"/>
  <c r="R543" s="1"/>
  <c r="Q547"/>
  <c r="R547" s="1"/>
  <c r="Q551"/>
  <c r="R551" s="1"/>
  <c r="Q555"/>
  <c r="R555" s="1"/>
  <c r="Q559"/>
  <c r="R559" s="1"/>
  <c r="Q563"/>
  <c r="R563" s="1"/>
  <c r="Q567"/>
  <c r="R567" s="1"/>
  <c r="Q571"/>
  <c r="R571" s="1"/>
  <c r="Q575"/>
  <c r="R575" s="1"/>
  <c r="Q579"/>
  <c r="R579" s="1"/>
  <c r="Q583"/>
  <c r="R583" s="1"/>
  <c r="Q587"/>
  <c r="R587" s="1"/>
  <c r="Q591"/>
  <c r="R591" s="1"/>
  <c r="Q595"/>
  <c r="R595" s="1"/>
  <c r="Q599"/>
  <c r="R599" s="1"/>
  <c r="Q603"/>
  <c r="R603" s="1"/>
  <c r="Q607"/>
  <c r="R607" s="1"/>
  <c r="Q611"/>
  <c r="R611" s="1"/>
  <c r="Q615"/>
  <c r="R615" s="1"/>
  <c r="Q619"/>
  <c r="R619" s="1"/>
  <c r="Q623"/>
  <c r="R623" s="1"/>
  <c r="Q627"/>
  <c r="R627" s="1"/>
  <c r="Q631"/>
  <c r="R631" s="1"/>
  <c r="Q635"/>
  <c r="R635" s="1"/>
  <c r="Q639"/>
  <c r="R639" s="1"/>
  <c r="Q643"/>
  <c r="R643" s="1"/>
  <c r="Q647"/>
  <c r="R647" s="1"/>
  <c r="Q651"/>
  <c r="R651" s="1"/>
  <c r="Q655"/>
  <c r="R655" s="1"/>
  <c r="Q659"/>
  <c r="R659" s="1"/>
  <c r="Q663"/>
  <c r="R663" s="1"/>
  <c r="Q667"/>
  <c r="R667" s="1"/>
  <c r="Q671"/>
  <c r="R671" s="1"/>
  <c r="Q675"/>
  <c r="R675" s="1"/>
  <c r="Q679"/>
  <c r="R679" s="1"/>
  <c r="Q683"/>
  <c r="R683" s="1"/>
  <c r="Q687"/>
  <c r="R687" s="1"/>
  <c r="Q691"/>
  <c r="R691" s="1"/>
  <c r="Q695"/>
  <c r="R695" s="1"/>
  <c r="Q699"/>
  <c r="R699" s="1"/>
  <c r="Q703"/>
  <c r="R703" s="1"/>
  <c r="Q707"/>
  <c r="R707" s="1"/>
  <c r="Q711"/>
  <c r="R711" s="1"/>
  <c r="Q715"/>
  <c r="R715" s="1"/>
  <c r="Q719"/>
  <c r="R719" s="1"/>
  <c r="Q723"/>
  <c r="R723" s="1"/>
  <c r="Q727"/>
  <c r="R727" s="1"/>
  <c r="Q731"/>
  <c r="R731" s="1"/>
  <c r="Q735"/>
  <c r="R735" s="1"/>
  <c r="Q739"/>
  <c r="R739" s="1"/>
  <c r="Q743"/>
  <c r="R743" s="1"/>
  <c r="Q747"/>
  <c r="R747" s="1"/>
  <c r="Q751"/>
  <c r="R751" s="1"/>
  <c r="Q755"/>
  <c r="R755" s="1"/>
  <c r="Q759"/>
  <c r="R759" s="1"/>
  <c r="Q763"/>
  <c r="R763" s="1"/>
  <c r="Q414"/>
  <c r="R414" s="1"/>
  <c r="Q440"/>
  <c r="R440" s="1"/>
  <c r="Q452"/>
  <c r="R452" s="1"/>
  <c r="Q468"/>
  <c r="R468" s="1"/>
  <c r="Q484"/>
  <c r="R484" s="1"/>
  <c r="Q496"/>
  <c r="R496" s="1"/>
  <c r="Q512"/>
  <c r="R512" s="1"/>
  <c r="Q528"/>
  <c r="R528" s="1"/>
  <c r="Q544"/>
  <c r="R544" s="1"/>
  <c r="Q560"/>
  <c r="R560" s="1"/>
  <c r="Q576"/>
  <c r="R576" s="1"/>
  <c r="Q592"/>
  <c r="R592" s="1"/>
  <c r="Q608"/>
  <c r="R608" s="1"/>
  <c r="Q624"/>
  <c r="R624" s="1"/>
  <c r="Q640"/>
  <c r="R640" s="1"/>
  <c r="Q656"/>
  <c r="R656" s="1"/>
  <c r="Q672"/>
  <c r="R672" s="1"/>
  <c r="Q688"/>
  <c r="R688" s="1"/>
  <c r="Q704"/>
  <c r="R704" s="1"/>
  <c r="Q720"/>
  <c r="R720" s="1"/>
  <c r="Q730"/>
  <c r="R730" s="1"/>
  <c r="Q738"/>
  <c r="R738" s="1"/>
  <c r="Q746"/>
  <c r="R746" s="1"/>
  <c r="Q754"/>
  <c r="R754" s="1"/>
  <c r="Q762"/>
  <c r="R762" s="1"/>
  <c r="Q767"/>
  <c r="R767" s="1"/>
  <c r="Q771"/>
  <c r="R771" s="1"/>
  <c r="Q775"/>
  <c r="R775" s="1"/>
  <c r="Q779"/>
  <c r="R779" s="1"/>
  <c r="Q783"/>
  <c r="R783" s="1"/>
  <c r="Q787"/>
  <c r="R787" s="1"/>
  <c r="Q791"/>
  <c r="R791" s="1"/>
  <c r="Q795"/>
  <c r="R795" s="1"/>
  <c r="Q799"/>
  <c r="R799" s="1"/>
  <c r="Q803"/>
  <c r="R803" s="1"/>
  <c r="Q807"/>
  <c r="R807" s="1"/>
  <c r="Q811"/>
  <c r="R811" s="1"/>
  <c r="Q815"/>
  <c r="R815" s="1"/>
  <c r="Q819"/>
  <c r="R819" s="1"/>
  <c r="Q823"/>
  <c r="R823" s="1"/>
  <c r="Q827"/>
  <c r="R827" s="1"/>
  <c r="Q831"/>
  <c r="R831" s="1"/>
  <c r="Q835"/>
  <c r="R835" s="1"/>
  <c r="Q839"/>
  <c r="R839" s="1"/>
  <c r="Q843"/>
  <c r="R843" s="1"/>
  <c r="Q847"/>
  <c r="R847" s="1"/>
  <c r="Q851"/>
  <c r="R851" s="1"/>
  <c r="Q855"/>
  <c r="R855" s="1"/>
  <c r="Q859"/>
  <c r="R859" s="1"/>
  <c r="Q863"/>
  <c r="R863" s="1"/>
  <c r="Q867"/>
  <c r="R867" s="1"/>
  <c r="Q871"/>
  <c r="R871" s="1"/>
  <c r="Q875"/>
  <c r="R875" s="1"/>
  <c r="Q879"/>
  <c r="R879" s="1"/>
  <c r="Q883"/>
  <c r="R883" s="1"/>
  <c r="Q887"/>
  <c r="R887" s="1"/>
  <c r="Q895"/>
  <c r="R895" s="1"/>
  <c r="Q899"/>
  <c r="R899" s="1"/>
  <c r="Q903"/>
  <c r="R903" s="1"/>
  <c r="Q907"/>
  <c r="R907" s="1"/>
  <c r="Q911"/>
  <c r="R911" s="1"/>
  <c r="Q915"/>
  <c r="R915" s="1"/>
  <c r="Q919"/>
  <c r="R919" s="1"/>
  <c r="Q923"/>
  <c r="R923" s="1"/>
  <c r="Q927"/>
  <c r="R927" s="1"/>
  <c r="Q931"/>
  <c r="R931" s="1"/>
  <c r="Q935"/>
  <c r="R935" s="1"/>
  <c r="Q939"/>
  <c r="R939" s="1"/>
  <c r="Q943"/>
  <c r="R943" s="1"/>
  <c r="Q947"/>
  <c r="R947" s="1"/>
  <c r="Q425"/>
  <c r="R425" s="1"/>
  <c r="Q444"/>
  <c r="R444" s="1"/>
  <c r="Q456"/>
  <c r="R456" s="1"/>
  <c r="Q472"/>
  <c r="R472" s="1"/>
  <c r="Q500"/>
  <c r="R500" s="1"/>
  <c r="Q516"/>
  <c r="R516" s="1"/>
  <c r="Q532"/>
  <c r="R532" s="1"/>
  <c r="Q548"/>
  <c r="R548" s="1"/>
  <c r="Q564"/>
  <c r="R564" s="1"/>
  <c r="Q580"/>
  <c r="R580" s="1"/>
  <c r="Q596"/>
  <c r="R596" s="1"/>
  <c r="Q612"/>
  <c r="R612" s="1"/>
  <c r="Q628"/>
  <c r="R628" s="1"/>
  <c r="Q644"/>
  <c r="R644" s="1"/>
  <c r="Q660"/>
  <c r="R660" s="1"/>
  <c r="Q676"/>
  <c r="R676" s="1"/>
  <c r="Q692"/>
  <c r="R692" s="1"/>
  <c r="Q708"/>
  <c r="R708" s="1"/>
  <c r="Q724"/>
  <c r="R724" s="1"/>
  <c r="Q732"/>
  <c r="R732" s="1"/>
  <c r="Q740"/>
  <c r="R740" s="1"/>
  <c r="Q748"/>
  <c r="R748" s="1"/>
  <c r="Q756"/>
  <c r="R756" s="1"/>
  <c r="Q764"/>
  <c r="R764" s="1"/>
  <c r="Q768"/>
  <c r="R768" s="1"/>
  <c r="Q772"/>
  <c r="R772" s="1"/>
  <c r="Q776"/>
  <c r="R776" s="1"/>
  <c r="Q780"/>
  <c r="R780" s="1"/>
  <c r="Q784"/>
  <c r="R784" s="1"/>
  <c r="Q788"/>
  <c r="R788" s="1"/>
  <c r="Q792"/>
  <c r="R792" s="1"/>
  <c r="Q796"/>
  <c r="R796" s="1"/>
  <c r="Q800"/>
  <c r="R800" s="1"/>
  <c r="Q804"/>
  <c r="R804" s="1"/>
  <c r="Q808"/>
  <c r="R808" s="1"/>
  <c r="Q812"/>
  <c r="R812" s="1"/>
  <c r="Q816"/>
  <c r="R816" s="1"/>
  <c r="Q820"/>
  <c r="R820" s="1"/>
  <c r="Q824"/>
  <c r="R824" s="1"/>
  <c r="Q828"/>
  <c r="R828" s="1"/>
  <c r="Q832"/>
  <c r="R832" s="1"/>
  <c r="Q836"/>
  <c r="R836" s="1"/>
  <c r="Q840"/>
  <c r="R840" s="1"/>
  <c r="Q844"/>
  <c r="R844" s="1"/>
  <c r="Q848"/>
  <c r="R848" s="1"/>
  <c r="Q852"/>
  <c r="R852" s="1"/>
  <c r="Q856"/>
  <c r="R856" s="1"/>
  <c r="Q860"/>
  <c r="R860" s="1"/>
  <c r="Q864"/>
  <c r="R864" s="1"/>
  <c r="Q868"/>
  <c r="R868" s="1"/>
  <c r="Q872"/>
  <c r="R872" s="1"/>
  <c r="Q876"/>
  <c r="R876" s="1"/>
  <c r="Q880"/>
  <c r="R880" s="1"/>
  <c r="Q884"/>
  <c r="R884" s="1"/>
  <c r="Q888"/>
  <c r="R888" s="1"/>
  <c r="Q892"/>
  <c r="R892" s="1"/>
  <c r="Q896"/>
  <c r="R896" s="1"/>
  <c r="Q900"/>
  <c r="R900" s="1"/>
  <c r="Q904"/>
  <c r="R904" s="1"/>
  <c r="Q908"/>
  <c r="R908" s="1"/>
  <c r="Q912"/>
  <c r="R912" s="1"/>
  <c r="Q916"/>
  <c r="R916" s="1"/>
  <c r="Q920"/>
  <c r="R920" s="1"/>
  <c r="Q924"/>
  <c r="R924" s="1"/>
  <c r="Q928"/>
  <c r="R928" s="1"/>
  <c r="Q932"/>
  <c r="R932" s="1"/>
  <c r="Q936"/>
  <c r="R936" s="1"/>
  <c r="Q940"/>
  <c r="R940" s="1"/>
  <c r="Q944"/>
  <c r="R944" s="1"/>
  <c r="Q948"/>
  <c r="R948" s="1"/>
  <c r="Q952"/>
  <c r="R952" s="1"/>
  <c r="Q956"/>
  <c r="R956" s="1"/>
  <c r="Q960"/>
  <c r="R960" s="1"/>
  <c r="Q964"/>
  <c r="R964" s="1"/>
  <c r="Q968"/>
  <c r="R968" s="1"/>
  <c r="Q972"/>
  <c r="R972" s="1"/>
  <c r="Q976"/>
  <c r="R976" s="1"/>
  <c r="Q980"/>
  <c r="R980" s="1"/>
  <c r="Q984"/>
  <c r="R984" s="1"/>
  <c r="Q988"/>
  <c r="R988" s="1"/>
  <c r="Q992"/>
  <c r="R992" s="1"/>
  <c r="Q996"/>
  <c r="R996" s="1"/>
  <c r="Q1000"/>
  <c r="R1000" s="1"/>
  <c r="Q1004"/>
  <c r="R1004" s="1"/>
  <c r="Q1008"/>
  <c r="R1008" s="1"/>
  <c r="Q431"/>
  <c r="R431" s="1"/>
  <c r="Q448"/>
  <c r="R448" s="1"/>
  <c r="Q460"/>
  <c r="R460" s="1"/>
  <c r="Q476"/>
  <c r="R476" s="1"/>
  <c r="Q488"/>
  <c r="R488" s="1"/>
  <c r="Q504"/>
  <c r="R504" s="1"/>
  <c r="Q520"/>
  <c r="R520" s="1"/>
  <c r="Q536"/>
  <c r="R536" s="1"/>
  <c r="Q552"/>
  <c r="R552" s="1"/>
  <c r="Q568"/>
  <c r="R568" s="1"/>
  <c r="Q584"/>
  <c r="R584" s="1"/>
  <c r="Q600"/>
  <c r="R600" s="1"/>
  <c r="Q616"/>
  <c r="R616" s="1"/>
  <c r="Q632"/>
  <c r="R632" s="1"/>
  <c r="Q648"/>
  <c r="R648" s="1"/>
  <c r="Q664"/>
  <c r="R664" s="1"/>
  <c r="Q680"/>
  <c r="R680" s="1"/>
  <c r="Q696"/>
  <c r="R696" s="1"/>
  <c r="Q436"/>
  <c r="R436" s="1"/>
  <c r="Q540"/>
  <c r="R540" s="1"/>
  <c r="Q604"/>
  <c r="R604" s="1"/>
  <c r="Q668"/>
  <c r="R668" s="1"/>
  <c r="Q716"/>
  <c r="R716" s="1"/>
  <c r="Q736"/>
  <c r="R736" s="1"/>
  <c r="Q752"/>
  <c r="R752" s="1"/>
  <c r="Q766"/>
  <c r="R766" s="1"/>
  <c r="Q774"/>
  <c r="R774" s="1"/>
  <c r="Q782"/>
  <c r="R782" s="1"/>
  <c r="Q790"/>
  <c r="R790" s="1"/>
  <c r="Q798"/>
  <c r="R798" s="1"/>
  <c r="Q806"/>
  <c r="R806" s="1"/>
  <c r="Q814"/>
  <c r="R814" s="1"/>
  <c r="Q822"/>
  <c r="R822" s="1"/>
  <c r="Q830"/>
  <c r="R830" s="1"/>
  <c r="Q838"/>
  <c r="R838" s="1"/>
  <c r="Q846"/>
  <c r="R846" s="1"/>
  <c r="Q854"/>
  <c r="R854" s="1"/>
  <c r="Q862"/>
  <c r="R862" s="1"/>
  <c r="Q870"/>
  <c r="R870" s="1"/>
  <c r="Q878"/>
  <c r="R878" s="1"/>
  <c r="Q886"/>
  <c r="R886" s="1"/>
  <c r="Q893"/>
  <c r="R893" s="1"/>
  <c r="Q901"/>
  <c r="R901" s="1"/>
  <c r="Q909"/>
  <c r="R909" s="1"/>
  <c r="Q917"/>
  <c r="R917" s="1"/>
  <c r="Q925"/>
  <c r="R925" s="1"/>
  <c r="Q933"/>
  <c r="R933" s="1"/>
  <c r="Q941"/>
  <c r="R941" s="1"/>
  <c r="Q949"/>
  <c r="R949" s="1"/>
  <c r="Q954"/>
  <c r="R954" s="1"/>
  <c r="Q959"/>
  <c r="R959" s="1"/>
  <c r="Q965"/>
  <c r="R965" s="1"/>
  <c r="Q970"/>
  <c r="R970" s="1"/>
  <c r="Q975"/>
  <c r="R975" s="1"/>
  <c r="Q981"/>
  <c r="R981" s="1"/>
  <c r="Q986"/>
  <c r="R986" s="1"/>
  <c r="Q991"/>
  <c r="R991" s="1"/>
  <c r="Q997"/>
  <c r="R997" s="1"/>
  <c r="Q1002"/>
  <c r="R1002" s="1"/>
  <c r="Q1007"/>
  <c r="R1007" s="1"/>
  <c r="Q1012"/>
  <c r="R1012" s="1"/>
  <c r="Q1016"/>
  <c r="R1016" s="1"/>
  <c r="Q1020"/>
  <c r="R1020" s="1"/>
  <c r="Q1024"/>
  <c r="R1024" s="1"/>
  <c r="Q1028"/>
  <c r="R1028" s="1"/>
  <c r="Q1032"/>
  <c r="R1032" s="1"/>
  <c r="Q1036"/>
  <c r="R1036" s="1"/>
  <c r="Q1040"/>
  <c r="R1040" s="1"/>
  <c r="Q1044"/>
  <c r="R1044" s="1"/>
  <c r="Q1048"/>
  <c r="R1048" s="1"/>
  <c r="Q1056"/>
  <c r="R1056" s="1"/>
  <c r="Q1060"/>
  <c r="R1060" s="1"/>
  <c r="Q1064"/>
  <c r="R1064" s="1"/>
  <c r="Q1068"/>
  <c r="R1068" s="1"/>
  <c r="Q1072"/>
  <c r="R1072" s="1"/>
  <c r="Q1076"/>
  <c r="R1076" s="1"/>
  <c r="Q1080"/>
  <c r="R1080" s="1"/>
  <c r="Q1084"/>
  <c r="R1084" s="1"/>
  <c r="Q1088"/>
  <c r="R1088" s="1"/>
  <c r="Q1092"/>
  <c r="R1092" s="1"/>
  <c r="Q1096"/>
  <c r="R1096" s="1"/>
  <c r="Q1100"/>
  <c r="R1100" s="1"/>
  <c r="Q1104"/>
  <c r="R1104" s="1"/>
  <c r="Q1108"/>
  <c r="R1108" s="1"/>
  <c r="Q1112"/>
  <c r="R1112" s="1"/>
  <c r="Q1116"/>
  <c r="R1116" s="1"/>
  <c r="Q1120"/>
  <c r="R1120" s="1"/>
  <c r="Q1124"/>
  <c r="R1124" s="1"/>
  <c r="Q1128"/>
  <c r="R1128" s="1"/>
  <c r="Q1132"/>
  <c r="R1132" s="1"/>
  <c r="Q1136"/>
  <c r="R1136" s="1"/>
  <c r="Q1140"/>
  <c r="R1140" s="1"/>
  <c r="Q1144"/>
  <c r="R1144" s="1"/>
  <c r="Q1148"/>
  <c r="R1148" s="1"/>
  <c r="Q1152"/>
  <c r="R1152" s="1"/>
  <c r="Q1156"/>
  <c r="R1156" s="1"/>
  <c r="Q1160"/>
  <c r="R1160" s="1"/>
  <c r="Q1164"/>
  <c r="R1164" s="1"/>
  <c r="Q1168"/>
  <c r="R1168" s="1"/>
  <c r="Q1172"/>
  <c r="R1172" s="1"/>
  <c r="Q1176"/>
  <c r="R1176" s="1"/>
  <c r="Q1180"/>
  <c r="R1180" s="1"/>
  <c r="Q1184"/>
  <c r="R1184" s="1"/>
  <c r="Q1188"/>
  <c r="R1188" s="1"/>
  <c r="Q1192"/>
  <c r="R1192" s="1"/>
  <c r="Q1196"/>
  <c r="R1196" s="1"/>
  <c r="Q492"/>
  <c r="R492" s="1"/>
  <c r="Q556"/>
  <c r="R556" s="1"/>
  <c r="Q620"/>
  <c r="R620" s="1"/>
  <c r="Q684"/>
  <c r="R684" s="1"/>
  <c r="Q742"/>
  <c r="R742" s="1"/>
  <c r="Q758"/>
  <c r="R758" s="1"/>
  <c r="Q769"/>
  <c r="R769" s="1"/>
  <c r="Q777"/>
  <c r="R777" s="1"/>
  <c r="Q785"/>
  <c r="R785" s="1"/>
  <c r="Q793"/>
  <c r="R793" s="1"/>
  <c r="Q801"/>
  <c r="R801" s="1"/>
  <c r="Q809"/>
  <c r="R809" s="1"/>
  <c r="Q817"/>
  <c r="R817" s="1"/>
  <c r="Q825"/>
  <c r="R825" s="1"/>
  <c r="Q833"/>
  <c r="R833" s="1"/>
  <c r="Q841"/>
  <c r="R841" s="1"/>
  <c r="Q849"/>
  <c r="R849" s="1"/>
  <c r="Q857"/>
  <c r="R857" s="1"/>
  <c r="Q865"/>
  <c r="R865" s="1"/>
  <c r="Q873"/>
  <c r="R873" s="1"/>
  <c r="Q881"/>
  <c r="R881" s="1"/>
  <c r="Q889"/>
  <c r="R889" s="1"/>
  <c r="Q894"/>
  <c r="R894" s="1"/>
  <c r="Q902"/>
  <c r="R902" s="1"/>
  <c r="Q910"/>
  <c r="R910" s="1"/>
  <c r="Q918"/>
  <c r="R918" s="1"/>
  <c r="Q926"/>
  <c r="R926" s="1"/>
  <c r="Q934"/>
  <c r="R934" s="1"/>
  <c r="Q942"/>
  <c r="R942" s="1"/>
  <c r="Q950"/>
  <c r="R950" s="1"/>
  <c r="Q955"/>
  <c r="R955" s="1"/>
  <c r="Q961"/>
  <c r="R961" s="1"/>
  <c r="Q966"/>
  <c r="R966" s="1"/>
  <c r="Q971"/>
  <c r="R971" s="1"/>
  <c r="Q977"/>
  <c r="R977" s="1"/>
  <c r="Q982"/>
  <c r="R982" s="1"/>
  <c r="Q987"/>
  <c r="R987" s="1"/>
  <c r="Q993"/>
  <c r="R993" s="1"/>
  <c r="Q998"/>
  <c r="R998" s="1"/>
  <c r="Q1003"/>
  <c r="R1003" s="1"/>
  <c r="Q1009"/>
  <c r="R1009" s="1"/>
  <c r="Q1013"/>
  <c r="R1013" s="1"/>
  <c r="Q1017"/>
  <c r="R1017" s="1"/>
  <c r="Q1021"/>
  <c r="R1021" s="1"/>
  <c r="Q1025"/>
  <c r="R1025" s="1"/>
  <c r="Q1029"/>
  <c r="R1029" s="1"/>
  <c r="Q1033"/>
  <c r="R1033" s="1"/>
  <c r="Q1037"/>
  <c r="R1037" s="1"/>
  <c r="Q1041"/>
  <c r="R1041" s="1"/>
  <c r="Q1045"/>
  <c r="R1045" s="1"/>
  <c r="Q1049"/>
  <c r="R1049" s="1"/>
  <c r="Q1053"/>
  <c r="R1053" s="1"/>
  <c r="Q1057"/>
  <c r="R1057" s="1"/>
  <c r="Q1061"/>
  <c r="R1061" s="1"/>
  <c r="Q1065"/>
  <c r="R1065" s="1"/>
  <c r="Q1069"/>
  <c r="R1069" s="1"/>
  <c r="Q1073"/>
  <c r="R1073" s="1"/>
  <c r="Q1077"/>
  <c r="R1077" s="1"/>
  <c r="Q1081"/>
  <c r="R1081" s="1"/>
  <c r="Q1085"/>
  <c r="R1085" s="1"/>
  <c r="Q1089"/>
  <c r="R1089" s="1"/>
  <c r="Q1093"/>
  <c r="R1093" s="1"/>
  <c r="Q1097"/>
  <c r="R1097" s="1"/>
  <c r="Q1101"/>
  <c r="R1101" s="1"/>
  <c r="Q1105"/>
  <c r="R1105" s="1"/>
  <c r="Q1109"/>
  <c r="R1109" s="1"/>
  <c r="Q1113"/>
  <c r="R1113" s="1"/>
  <c r="Q1117"/>
  <c r="R1117" s="1"/>
  <c r="Q1121"/>
  <c r="R1121" s="1"/>
  <c r="Q1125"/>
  <c r="R1125" s="1"/>
  <c r="Q1129"/>
  <c r="R1129" s="1"/>
  <c r="Q1133"/>
  <c r="R1133" s="1"/>
  <c r="Q1137"/>
  <c r="R1137" s="1"/>
  <c r="Q1141"/>
  <c r="R1141" s="1"/>
  <c r="Q1145"/>
  <c r="R1145" s="1"/>
  <c r="Q1149"/>
  <c r="R1149" s="1"/>
  <c r="Q1153"/>
  <c r="R1153" s="1"/>
  <c r="Q1157"/>
  <c r="R1157" s="1"/>
  <c r="Q1161"/>
  <c r="R1161" s="1"/>
  <c r="Q1165"/>
  <c r="R1165" s="1"/>
  <c r="Q1169"/>
  <c r="R1169" s="1"/>
  <c r="Q1173"/>
  <c r="R1173" s="1"/>
  <c r="Q1177"/>
  <c r="R1177" s="1"/>
  <c r="Q1181"/>
  <c r="R1181" s="1"/>
  <c r="Q1185"/>
  <c r="R1185" s="1"/>
  <c r="Q1189"/>
  <c r="R1189" s="1"/>
  <c r="Q1193"/>
  <c r="R1193" s="1"/>
  <c r="Q1197"/>
  <c r="R1197" s="1"/>
  <c r="Q1201"/>
  <c r="R1201" s="1"/>
  <c r="Q1205"/>
  <c r="R1205" s="1"/>
  <c r="Q1209"/>
  <c r="R1209" s="1"/>
  <c r="Q1213"/>
  <c r="R1213" s="1"/>
  <c r="Q1217"/>
  <c r="R1217" s="1"/>
  <c r="Q1221"/>
  <c r="R1221" s="1"/>
  <c r="Q1225"/>
  <c r="R1225" s="1"/>
  <c r="Q1229"/>
  <c r="R1229" s="1"/>
  <c r="Q1233"/>
  <c r="R1233" s="1"/>
  <c r="Q1237"/>
  <c r="R1237" s="1"/>
  <c r="Q1241"/>
  <c r="R1241" s="1"/>
  <c r="Q1245"/>
  <c r="R1245" s="1"/>
  <c r="Q1249"/>
  <c r="R1249" s="1"/>
  <c r="Q1253"/>
  <c r="R1253" s="1"/>
  <c r="Q1257"/>
  <c r="R1257" s="1"/>
  <c r="Q1261"/>
  <c r="R1261" s="1"/>
  <c r="Q1265"/>
  <c r="R1265" s="1"/>
  <c r="Q1269"/>
  <c r="R1269" s="1"/>
  <c r="Q1273"/>
  <c r="R1273" s="1"/>
  <c r="Q1277"/>
  <c r="R1277" s="1"/>
  <c r="Q1281"/>
  <c r="R1281" s="1"/>
  <c r="Q1285"/>
  <c r="R1285" s="1"/>
  <c r="Q1289"/>
  <c r="R1289" s="1"/>
  <c r="Q1293"/>
  <c r="R1293" s="1"/>
  <c r="Q1297"/>
  <c r="R1297" s="1"/>
  <c r="Q1301"/>
  <c r="R1301" s="1"/>
  <c r="Q1305"/>
  <c r="R1305" s="1"/>
  <c r="Q1309"/>
  <c r="R1309" s="1"/>
  <c r="Q1313"/>
  <c r="R1313" s="1"/>
  <c r="Q1317"/>
  <c r="R1317" s="1"/>
  <c r="Q1321"/>
  <c r="R1321" s="1"/>
  <c r="Q1325"/>
  <c r="R1325" s="1"/>
  <c r="Q464"/>
  <c r="R464" s="1"/>
  <c r="Q508"/>
  <c r="R508" s="1"/>
  <c r="Q572"/>
  <c r="R572" s="1"/>
  <c r="Q636"/>
  <c r="R636" s="1"/>
  <c r="Q700"/>
  <c r="R700" s="1"/>
  <c r="Q728"/>
  <c r="R728" s="1"/>
  <c r="Q744"/>
  <c r="R744" s="1"/>
  <c r="Q760"/>
  <c r="R760" s="1"/>
  <c r="Q770"/>
  <c r="R770" s="1"/>
  <c r="Q778"/>
  <c r="R778" s="1"/>
  <c r="Q786"/>
  <c r="R786" s="1"/>
  <c r="Q794"/>
  <c r="R794" s="1"/>
  <c r="Q802"/>
  <c r="R802" s="1"/>
  <c r="Q810"/>
  <c r="R810" s="1"/>
  <c r="Q818"/>
  <c r="R818" s="1"/>
  <c r="Q826"/>
  <c r="R826" s="1"/>
  <c r="Q834"/>
  <c r="R834" s="1"/>
  <c r="Q842"/>
  <c r="R842" s="1"/>
  <c r="Q850"/>
  <c r="R850" s="1"/>
  <c r="Q858"/>
  <c r="R858" s="1"/>
  <c r="Q866"/>
  <c r="R866" s="1"/>
  <c r="Q874"/>
  <c r="R874" s="1"/>
  <c r="Q882"/>
  <c r="R882" s="1"/>
  <c r="Q890"/>
  <c r="R890" s="1"/>
  <c r="Q897"/>
  <c r="R897" s="1"/>
  <c r="Q905"/>
  <c r="R905" s="1"/>
  <c r="Q913"/>
  <c r="R913" s="1"/>
  <c r="Q921"/>
  <c r="R921" s="1"/>
  <c r="Q929"/>
  <c r="R929" s="1"/>
  <c r="Q937"/>
  <c r="R937" s="1"/>
  <c r="Q945"/>
  <c r="R945" s="1"/>
  <c r="Q951"/>
  <c r="R951" s="1"/>
  <c r="Q957"/>
  <c r="R957" s="1"/>
  <c r="Q962"/>
  <c r="R962" s="1"/>
  <c r="Q967"/>
  <c r="R967" s="1"/>
  <c r="Q973"/>
  <c r="R973" s="1"/>
  <c r="Q978"/>
  <c r="R978" s="1"/>
  <c r="Q983"/>
  <c r="R983" s="1"/>
  <c r="Q989"/>
  <c r="R989" s="1"/>
  <c r="Q994"/>
  <c r="R994" s="1"/>
  <c r="Q999"/>
  <c r="R999" s="1"/>
  <c r="Q1005"/>
  <c r="R1005" s="1"/>
  <c r="Q1010"/>
  <c r="R1010" s="1"/>
  <c r="Q1014"/>
  <c r="R1014" s="1"/>
  <c r="Q1018"/>
  <c r="R1018" s="1"/>
  <c r="Q1022"/>
  <c r="R1022" s="1"/>
  <c r="Q1026"/>
  <c r="R1026" s="1"/>
  <c r="Q1030"/>
  <c r="R1030" s="1"/>
  <c r="Q1034"/>
  <c r="R1034" s="1"/>
  <c r="Q1038"/>
  <c r="R1038" s="1"/>
  <c r="Q1042"/>
  <c r="R1042" s="1"/>
  <c r="Q1046"/>
  <c r="R1046" s="1"/>
  <c r="Q1050"/>
  <c r="R1050" s="1"/>
  <c r="Q1054"/>
  <c r="R1054" s="1"/>
  <c r="Q1058"/>
  <c r="R1058" s="1"/>
  <c r="Q1062"/>
  <c r="R1062" s="1"/>
  <c r="Q1066"/>
  <c r="R1066" s="1"/>
  <c r="Q1070"/>
  <c r="R1070" s="1"/>
  <c r="Q1074"/>
  <c r="R1074" s="1"/>
  <c r="Q1078"/>
  <c r="R1078" s="1"/>
  <c r="Q1082"/>
  <c r="R1082" s="1"/>
  <c r="Q1086"/>
  <c r="R1086" s="1"/>
  <c r="Q1090"/>
  <c r="R1090" s="1"/>
  <c r="Q1094"/>
  <c r="R1094" s="1"/>
  <c r="Q1098"/>
  <c r="R1098" s="1"/>
  <c r="Q1102"/>
  <c r="R1102" s="1"/>
  <c r="Q1106"/>
  <c r="R1106" s="1"/>
  <c r="Q1110"/>
  <c r="R1110" s="1"/>
  <c r="Q1114"/>
  <c r="R1114" s="1"/>
  <c r="Q1118"/>
  <c r="R1118" s="1"/>
  <c r="Q1122"/>
  <c r="R1122" s="1"/>
  <c r="Q1126"/>
  <c r="R1126" s="1"/>
  <c r="Q1130"/>
  <c r="R1130" s="1"/>
  <c r="Q1134"/>
  <c r="R1134" s="1"/>
  <c r="Q1138"/>
  <c r="R1138" s="1"/>
  <c r="Q1142"/>
  <c r="R1142" s="1"/>
  <c r="Q1146"/>
  <c r="R1146" s="1"/>
  <c r="Q1150"/>
  <c r="R1150" s="1"/>
  <c r="Q1154"/>
  <c r="R1154" s="1"/>
  <c r="Q1158"/>
  <c r="R1158" s="1"/>
  <c r="Q1162"/>
  <c r="R1162" s="1"/>
  <c r="Q1166"/>
  <c r="R1166" s="1"/>
  <c r="Q1170"/>
  <c r="R1170" s="1"/>
  <c r="Q1174"/>
  <c r="R1174" s="1"/>
  <c r="Q1178"/>
  <c r="R1178" s="1"/>
  <c r="Q1182"/>
  <c r="R1182" s="1"/>
  <c r="Q1186"/>
  <c r="R1186" s="1"/>
  <c r="Q1190"/>
  <c r="R1190" s="1"/>
  <c r="Q1194"/>
  <c r="R1194" s="1"/>
  <c r="Q1198"/>
  <c r="R1198" s="1"/>
  <c r="Q1202"/>
  <c r="R1202" s="1"/>
  <c r="Q1206"/>
  <c r="R1206" s="1"/>
  <c r="Q1210"/>
  <c r="R1210" s="1"/>
  <c r="Q1214"/>
  <c r="R1214" s="1"/>
  <c r="Q1218"/>
  <c r="R1218" s="1"/>
  <c r="Q1222"/>
  <c r="R1222" s="1"/>
  <c r="Q1226"/>
  <c r="R1226" s="1"/>
  <c r="Q1230"/>
  <c r="R1230" s="1"/>
  <c r="Q1234"/>
  <c r="R1234" s="1"/>
  <c r="Q1238"/>
  <c r="R1238" s="1"/>
  <c r="Q1242"/>
  <c r="R1242" s="1"/>
  <c r="Q1246"/>
  <c r="R1246" s="1"/>
  <c r="Q1250"/>
  <c r="R1250" s="1"/>
  <c r="Q1254"/>
  <c r="R1254" s="1"/>
  <c r="Q1258"/>
  <c r="R1258" s="1"/>
  <c r="Q1262"/>
  <c r="R1262" s="1"/>
  <c r="Q1266"/>
  <c r="R1266" s="1"/>
  <c r="Q1270"/>
  <c r="R1270" s="1"/>
  <c r="Q1274"/>
  <c r="R1274" s="1"/>
  <c r="Q1278"/>
  <c r="R1278" s="1"/>
  <c r="Q1282"/>
  <c r="R1282" s="1"/>
  <c r="Q1286"/>
  <c r="R1286" s="1"/>
  <c r="Q1290"/>
  <c r="R1290" s="1"/>
  <c r="Q1294"/>
  <c r="R1294" s="1"/>
  <c r="Q1302"/>
  <c r="R1302" s="1"/>
  <c r="Q1306"/>
  <c r="R1306" s="1"/>
  <c r="Q1310"/>
  <c r="R1310" s="1"/>
  <c r="Q1314"/>
  <c r="R1314" s="1"/>
  <c r="Q1318"/>
  <c r="R1318" s="1"/>
  <c r="Q1322"/>
  <c r="R1322" s="1"/>
  <c r="Q1326"/>
  <c r="R1326" s="1"/>
  <c r="Q1330"/>
  <c r="R1330" s="1"/>
  <c r="Q1334"/>
  <c r="R1334" s="1"/>
  <c r="Q1338"/>
  <c r="R1338" s="1"/>
  <c r="Q1342"/>
  <c r="R1342" s="1"/>
  <c r="Q1346"/>
  <c r="R1346" s="1"/>
  <c r="Q1350"/>
  <c r="R1350" s="1"/>
  <c r="Q1354"/>
  <c r="R1354" s="1"/>
  <c r="Q1358"/>
  <c r="R1358" s="1"/>
  <c r="Q1362"/>
  <c r="R1362" s="1"/>
  <c r="Q1366"/>
  <c r="R1366" s="1"/>
  <c r="Q1370"/>
  <c r="R1370" s="1"/>
  <c r="Q1374"/>
  <c r="R1374" s="1"/>
  <c r="Q1378"/>
  <c r="R1378" s="1"/>
  <c r="Q1382"/>
  <c r="R1382" s="1"/>
  <c r="Q1386"/>
  <c r="R1386" s="1"/>
  <c r="Q1390"/>
  <c r="R1390" s="1"/>
  <c r="Q1394"/>
  <c r="R1394" s="1"/>
  <c r="Q1398"/>
  <c r="R1398" s="1"/>
  <c r="Q1402"/>
  <c r="R1402" s="1"/>
  <c r="Q1406"/>
  <c r="R1406" s="1"/>
  <c r="Q1410"/>
  <c r="R1410" s="1"/>
  <c r="Q1414"/>
  <c r="R1414" s="1"/>
  <c r="Q1418"/>
  <c r="R1418" s="1"/>
  <c r="Q1422"/>
  <c r="R1422" s="1"/>
  <c r="Q1426"/>
  <c r="R1426" s="1"/>
  <c r="Q1430"/>
  <c r="R1430" s="1"/>
  <c r="Q1434"/>
  <c r="R1434" s="1"/>
  <c r="Q1438"/>
  <c r="R1438" s="1"/>
  <c r="Q1442"/>
  <c r="R1442" s="1"/>
  <c r="Q1446"/>
  <c r="R1446" s="1"/>
  <c r="Q1450"/>
  <c r="R1450" s="1"/>
  <c r="Q1454"/>
  <c r="R1454" s="1"/>
  <c r="Q1458"/>
  <c r="R1458" s="1"/>
  <c r="Q1462"/>
  <c r="R1462" s="1"/>
  <c r="Q1466"/>
  <c r="R1466" s="1"/>
  <c r="Q1470"/>
  <c r="R1470" s="1"/>
  <c r="Q1474"/>
  <c r="R1474" s="1"/>
  <c r="Q1478"/>
  <c r="R1478" s="1"/>
  <c r="Q1482"/>
  <c r="R1482" s="1"/>
  <c r="Q1486"/>
  <c r="R1486" s="1"/>
  <c r="Q1490"/>
  <c r="R1490" s="1"/>
  <c r="Q1494"/>
  <c r="R1494" s="1"/>
  <c r="Q1498"/>
  <c r="R1498" s="1"/>
  <c r="Q1502"/>
  <c r="R1502" s="1"/>
  <c r="Q1506"/>
  <c r="R1506" s="1"/>
  <c r="Q1510"/>
  <c r="R1510" s="1"/>
  <c r="Q1514"/>
  <c r="R1514" s="1"/>
  <c r="Q1518"/>
  <c r="R1518" s="1"/>
  <c r="Q1522"/>
  <c r="R1522" s="1"/>
  <c r="Q588"/>
  <c r="R588" s="1"/>
  <c r="Q734"/>
  <c r="R734" s="1"/>
  <c r="Q781"/>
  <c r="R781" s="1"/>
  <c r="Q813"/>
  <c r="R813" s="1"/>
  <c r="Q845"/>
  <c r="R845" s="1"/>
  <c r="Q877"/>
  <c r="R877" s="1"/>
  <c r="Q906"/>
  <c r="R906" s="1"/>
  <c r="Q938"/>
  <c r="R938" s="1"/>
  <c r="Q963"/>
  <c r="R963" s="1"/>
  <c r="Q985"/>
  <c r="R985" s="1"/>
  <c r="Q1006"/>
  <c r="R1006" s="1"/>
  <c r="Q1023"/>
  <c r="R1023" s="1"/>
  <c r="Q1039"/>
  <c r="R1039" s="1"/>
  <c r="Q1067"/>
  <c r="R1067" s="1"/>
  <c r="Q1083"/>
  <c r="R1083" s="1"/>
  <c r="Q1099"/>
  <c r="R1099" s="1"/>
  <c r="Q1115"/>
  <c r="R1115" s="1"/>
  <c r="Q1131"/>
  <c r="R1131" s="1"/>
  <c r="Q1147"/>
  <c r="R1147" s="1"/>
  <c r="Q1163"/>
  <c r="R1163" s="1"/>
  <c r="Q1179"/>
  <c r="R1179" s="1"/>
  <c r="Q1195"/>
  <c r="R1195" s="1"/>
  <c r="Q1204"/>
  <c r="R1204" s="1"/>
  <c r="Q1212"/>
  <c r="R1212" s="1"/>
  <c r="Q1220"/>
  <c r="R1220" s="1"/>
  <c r="Q1228"/>
  <c r="R1228" s="1"/>
  <c r="Q1236"/>
  <c r="R1236" s="1"/>
  <c r="Q1244"/>
  <c r="R1244" s="1"/>
  <c r="Q1252"/>
  <c r="R1252" s="1"/>
  <c r="Q1260"/>
  <c r="R1260" s="1"/>
  <c r="Q1268"/>
  <c r="R1268" s="1"/>
  <c r="Q1276"/>
  <c r="R1276" s="1"/>
  <c r="Q1284"/>
  <c r="R1284" s="1"/>
  <c r="Q1292"/>
  <c r="R1292" s="1"/>
  <c r="Q1299"/>
  <c r="R1299" s="1"/>
  <c r="Q1307"/>
  <c r="R1307" s="1"/>
  <c r="Q1315"/>
  <c r="R1315" s="1"/>
  <c r="Q1323"/>
  <c r="R1323" s="1"/>
  <c r="Q1329"/>
  <c r="R1329" s="1"/>
  <c r="Q1335"/>
  <c r="R1335" s="1"/>
  <c r="Q1340"/>
  <c r="R1340" s="1"/>
  <c r="Q1345"/>
  <c r="R1345" s="1"/>
  <c r="Q1351"/>
  <c r="R1351" s="1"/>
  <c r="Q1356"/>
  <c r="R1356" s="1"/>
  <c r="Q1361"/>
  <c r="R1361" s="1"/>
  <c r="Q1367"/>
  <c r="R1367" s="1"/>
  <c r="Q1372"/>
  <c r="R1372" s="1"/>
  <c r="Q1377"/>
  <c r="R1377" s="1"/>
  <c r="Q1383"/>
  <c r="R1383" s="1"/>
  <c r="Q1388"/>
  <c r="R1388" s="1"/>
  <c r="Q1393"/>
  <c r="R1393" s="1"/>
  <c r="Q1399"/>
  <c r="R1399" s="1"/>
  <c r="Q1404"/>
  <c r="R1404" s="1"/>
  <c r="Q1409"/>
  <c r="R1409" s="1"/>
  <c r="Q1415"/>
  <c r="R1415" s="1"/>
  <c r="Q1420"/>
  <c r="R1420" s="1"/>
  <c r="Q1425"/>
  <c r="R1425" s="1"/>
  <c r="Q1431"/>
  <c r="R1431" s="1"/>
  <c r="Q1436"/>
  <c r="R1436" s="1"/>
  <c r="Q1441"/>
  <c r="R1441" s="1"/>
  <c r="Q1447"/>
  <c r="R1447" s="1"/>
  <c r="Q1452"/>
  <c r="R1452" s="1"/>
  <c r="Q1457"/>
  <c r="R1457" s="1"/>
  <c r="Q1463"/>
  <c r="R1463" s="1"/>
  <c r="Q1468"/>
  <c r="R1468" s="1"/>
  <c r="Q1473"/>
  <c r="R1473" s="1"/>
  <c r="Q1479"/>
  <c r="R1479" s="1"/>
  <c r="Q1484"/>
  <c r="R1484" s="1"/>
  <c r="Q1489"/>
  <c r="R1489" s="1"/>
  <c r="Q1500"/>
  <c r="R1500" s="1"/>
  <c r="Q1505"/>
  <c r="R1505" s="1"/>
  <c r="Q1511"/>
  <c r="R1511" s="1"/>
  <c r="Q1516"/>
  <c r="R1516" s="1"/>
  <c r="Q1521"/>
  <c r="R1521" s="1"/>
  <c r="Q1526"/>
  <c r="R1526" s="1"/>
  <c r="Q1530"/>
  <c r="R1530" s="1"/>
  <c r="Q1534"/>
  <c r="R1534" s="1"/>
  <c r="Q1538"/>
  <c r="R1538" s="1"/>
  <c r="Q1542"/>
  <c r="R1542" s="1"/>
  <c r="Q1546"/>
  <c r="R1546" s="1"/>
  <c r="Q1550"/>
  <c r="R1550" s="1"/>
  <c r="Q1554"/>
  <c r="R1554" s="1"/>
  <c r="Q1558"/>
  <c r="R1558" s="1"/>
  <c r="Q1562"/>
  <c r="R1562" s="1"/>
  <c r="Q1570"/>
  <c r="R1570" s="1"/>
  <c r="Q1574"/>
  <c r="R1574" s="1"/>
  <c r="Q1578"/>
  <c r="R1578" s="1"/>
  <c r="Q1582"/>
  <c r="R1582" s="1"/>
  <c r="Q1586"/>
  <c r="R1586" s="1"/>
  <c r="Q1590"/>
  <c r="R1590" s="1"/>
  <c r="Q1594"/>
  <c r="R1594" s="1"/>
  <c r="Q1598"/>
  <c r="R1598" s="1"/>
  <c r="Q1602"/>
  <c r="R1602" s="1"/>
  <c r="Q1606"/>
  <c r="R1606" s="1"/>
  <c r="Q1610"/>
  <c r="R1610" s="1"/>
  <c r="Q1614"/>
  <c r="R1614" s="1"/>
  <c r="Q1618"/>
  <c r="R1618" s="1"/>
  <c r="Q1622"/>
  <c r="R1622" s="1"/>
  <c r="Q1626"/>
  <c r="R1626" s="1"/>
  <c r="Q1630"/>
  <c r="R1630" s="1"/>
  <c r="Q1634"/>
  <c r="R1634" s="1"/>
  <c r="Q1638"/>
  <c r="R1638" s="1"/>
  <c r="Q1642"/>
  <c r="R1642" s="1"/>
  <c r="Q1646"/>
  <c r="R1646" s="1"/>
  <c r="Q1650"/>
  <c r="R1650" s="1"/>
  <c r="Q1654"/>
  <c r="R1654" s="1"/>
  <c r="Q1658"/>
  <c r="R1658" s="1"/>
  <c r="Q1662"/>
  <c r="R1662" s="1"/>
  <c r="Q1666"/>
  <c r="R1666" s="1"/>
  <c r="Q1670"/>
  <c r="R1670" s="1"/>
  <c r="Q1674"/>
  <c r="R1674" s="1"/>
  <c r="Q1678"/>
  <c r="R1678" s="1"/>
  <c r="Q1682"/>
  <c r="R1682" s="1"/>
  <c r="Q1686"/>
  <c r="R1686" s="1"/>
  <c r="Q1690"/>
  <c r="R1690" s="1"/>
  <c r="Q1694"/>
  <c r="R1694" s="1"/>
  <c r="Q1698"/>
  <c r="R1698" s="1"/>
  <c r="Q1702"/>
  <c r="R1702" s="1"/>
  <c r="Q1706"/>
  <c r="R1706" s="1"/>
  <c r="Q1710"/>
  <c r="R1710" s="1"/>
  <c r="Q1714"/>
  <c r="R1714" s="1"/>
  <c r="Q1718"/>
  <c r="R1718" s="1"/>
  <c r="Q1722"/>
  <c r="R1722" s="1"/>
  <c r="Q1726"/>
  <c r="R1726" s="1"/>
  <c r="Q1730"/>
  <c r="R1730" s="1"/>
  <c r="Q1734"/>
  <c r="R1734" s="1"/>
  <c r="Q1742"/>
  <c r="R1742" s="1"/>
  <c r="Q1746"/>
  <c r="R1746" s="1"/>
  <c r="Q1750"/>
  <c r="R1750" s="1"/>
  <c r="Q1754"/>
  <c r="R1754" s="1"/>
  <c r="Q1758"/>
  <c r="R1758" s="1"/>
  <c r="Q1762"/>
  <c r="R1762" s="1"/>
  <c r="Q1766"/>
  <c r="R1766" s="1"/>
  <c r="Q1770"/>
  <c r="R1770" s="1"/>
  <c r="Q1774"/>
  <c r="R1774" s="1"/>
  <c r="Q1778"/>
  <c r="R1778" s="1"/>
  <c r="Q1782"/>
  <c r="R1782" s="1"/>
  <c r="Q1786"/>
  <c r="R1786" s="1"/>
  <c r="Q1790"/>
  <c r="R1790" s="1"/>
  <c r="Q1794"/>
  <c r="R1794" s="1"/>
  <c r="Q1798"/>
  <c r="R1798" s="1"/>
  <c r="Q1802"/>
  <c r="R1802" s="1"/>
  <c r="Q1806"/>
  <c r="R1806" s="1"/>
  <c r="Q1810"/>
  <c r="R1810" s="1"/>
  <c r="Q1814"/>
  <c r="R1814" s="1"/>
  <c r="Q1818"/>
  <c r="R1818" s="1"/>
  <c r="Q1822"/>
  <c r="R1822" s="1"/>
  <c r="Q1826"/>
  <c r="R1826" s="1"/>
  <c r="Q1830"/>
  <c r="R1830" s="1"/>
  <c r="Q1834"/>
  <c r="R1834" s="1"/>
  <c r="Q1838"/>
  <c r="R1838" s="1"/>
  <c r="Q1842"/>
  <c r="R1842" s="1"/>
  <c r="Q1846"/>
  <c r="R1846" s="1"/>
  <c r="Q1850"/>
  <c r="R1850" s="1"/>
  <c r="Q1854"/>
  <c r="R1854" s="1"/>
  <c r="Q1858"/>
  <c r="R1858" s="1"/>
  <c r="Q1862"/>
  <c r="R1862" s="1"/>
  <c r="Q1866"/>
  <c r="R1866" s="1"/>
  <c r="Q1870"/>
  <c r="R1870" s="1"/>
  <c r="Q1874"/>
  <c r="R1874" s="1"/>
  <c r="Q1882"/>
  <c r="R1882" s="1"/>
  <c r="Q1886"/>
  <c r="R1886" s="1"/>
  <c r="Q1890"/>
  <c r="R1890" s="1"/>
  <c r="Q1894"/>
  <c r="R1894" s="1"/>
  <c r="Q1898"/>
  <c r="R1898" s="1"/>
  <c r="Q1902"/>
  <c r="R1902" s="1"/>
  <c r="Q1906"/>
  <c r="R1906" s="1"/>
  <c r="Q1910"/>
  <c r="R1910" s="1"/>
  <c r="Q1914"/>
  <c r="R1914" s="1"/>
  <c r="Q1918"/>
  <c r="R1918" s="1"/>
  <c r="Q480"/>
  <c r="R480" s="1"/>
  <c r="Q652"/>
  <c r="R652" s="1"/>
  <c r="Q750"/>
  <c r="R750" s="1"/>
  <c r="Q789"/>
  <c r="R789" s="1"/>
  <c r="Q821"/>
  <c r="R821" s="1"/>
  <c r="Q853"/>
  <c r="R853" s="1"/>
  <c r="Q885"/>
  <c r="R885" s="1"/>
  <c r="Q914"/>
  <c r="R914" s="1"/>
  <c r="Q946"/>
  <c r="R946" s="1"/>
  <c r="Q969"/>
  <c r="R969" s="1"/>
  <c r="Q990"/>
  <c r="R990" s="1"/>
  <c r="Q1011"/>
  <c r="R1011" s="1"/>
  <c r="Q1027"/>
  <c r="R1027" s="1"/>
  <c r="Q1043"/>
  <c r="R1043" s="1"/>
  <c r="Q1055"/>
  <c r="R1055" s="1"/>
  <c r="Q1071"/>
  <c r="R1071" s="1"/>
  <c r="Q1087"/>
  <c r="R1087" s="1"/>
  <c r="Q1103"/>
  <c r="R1103" s="1"/>
  <c r="Q1119"/>
  <c r="R1119" s="1"/>
  <c r="Q1135"/>
  <c r="R1135" s="1"/>
  <c r="Q1151"/>
  <c r="R1151" s="1"/>
  <c r="Q1167"/>
  <c r="R1167" s="1"/>
  <c r="Q1183"/>
  <c r="R1183" s="1"/>
  <c r="Q1207"/>
  <c r="R1207" s="1"/>
  <c r="Q1215"/>
  <c r="R1215" s="1"/>
  <c r="Q1223"/>
  <c r="R1223" s="1"/>
  <c r="Q1231"/>
  <c r="R1231" s="1"/>
  <c r="Q1239"/>
  <c r="R1239" s="1"/>
  <c r="Q1247"/>
  <c r="R1247" s="1"/>
  <c r="Q1255"/>
  <c r="R1255" s="1"/>
  <c r="Q1263"/>
  <c r="R1263" s="1"/>
  <c r="Q1271"/>
  <c r="R1271" s="1"/>
  <c r="Q1279"/>
  <c r="R1279" s="1"/>
  <c r="Q1287"/>
  <c r="R1287" s="1"/>
  <c r="Q1295"/>
  <c r="R1295" s="1"/>
  <c r="Q1300"/>
  <c r="R1300" s="1"/>
  <c r="Q1308"/>
  <c r="R1308" s="1"/>
  <c r="Q1316"/>
  <c r="R1316" s="1"/>
  <c r="Q1324"/>
  <c r="R1324" s="1"/>
  <c r="Q1331"/>
  <c r="R1331" s="1"/>
  <c r="Q1336"/>
  <c r="R1336" s="1"/>
  <c r="Q1341"/>
  <c r="R1341" s="1"/>
  <c r="Q1347"/>
  <c r="R1347" s="1"/>
  <c r="Q1352"/>
  <c r="R1352" s="1"/>
  <c r="Q1357"/>
  <c r="R1357" s="1"/>
  <c r="Q1363"/>
  <c r="R1363" s="1"/>
  <c r="Q1368"/>
  <c r="R1368" s="1"/>
  <c r="Q1373"/>
  <c r="R1373" s="1"/>
  <c r="Q1379"/>
  <c r="R1379" s="1"/>
  <c r="Q1384"/>
  <c r="R1384" s="1"/>
  <c r="Q1389"/>
  <c r="R1389" s="1"/>
  <c r="Q1395"/>
  <c r="R1395" s="1"/>
  <c r="Q1400"/>
  <c r="R1400" s="1"/>
  <c r="Q1405"/>
  <c r="R1405" s="1"/>
  <c r="Q1411"/>
  <c r="R1411" s="1"/>
  <c r="Q1416"/>
  <c r="R1416" s="1"/>
  <c r="Q1421"/>
  <c r="R1421" s="1"/>
  <c r="Q1427"/>
  <c r="R1427" s="1"/>
  <c r="Q1432"/>
  <c r="R1432" s="1"/>
  <c r="Q1437"/>
  <c r="R1437" s="1"/>
  <c r="Q1443"/>
  <c r="R1443" s="1"/>
  <c r="Q1448"/>
  <c r="R1448" s="1"/>
  <c r="Q1453"/>
  <c r="R1453" s="1"/>
  <c r="Q1459"/>
  <c r="R1459" s="1"/>
  <c r="Q1464"/>
  <c r="R1464" s="1"/>
  <c r="Q1469"/>
  <c r="R1469" s="1"/>
  <c r="Q1475"/>
  <c r="R1475" s="1"/>
  <c r="Q1480"/>
  <c r="R1480" s="1"/>
  <c r="Q1485"/>
  <c r="R1485" s="1"/>
  <c r="Q1491"/>
  <c r="R1491" s="1"/>
  <c r="Q1496"/>
  <c r="R1496" s="1"/>
  <c r="Q1501"/>
  <c r="R1501" s="1"/>
  <c r="Q1507"/>
  <c r="R1507" s="1"/>
  <c r="Q1512"/>
  <c r="R1512" s="1"/>
  <c r="Q1517"/>
  <c r="R1517" s="1"/>
  <c r="Q1523"/>
  <c r="R1523" s="1"/>
  <c r="Q1527"/>
  <c r="R1527" s="1"/>
  <c r="Q1531"/>
  <c r="R1531" s="1"/>
  <c r="Q1535"/>
  <c r="R1535" s="1"/>
  <c r="Q1539"/>
  <c r="R1539" s="1"/>
  <c r="Q1543"/>
  <c r="R1543" s="1"/>
  <c r="Q1547"/>
  <c r="R1547" s="1"/>
  <c r="Q1551"/>
  <c r="R1551" s="1"/>
  <c r="Q1555"/>
  <c r="R1555" s="1"/>
  <c r="Q1559"/>
  <c r="R1559" s="1"/>
  <c r="Q1563"/>
  <c r="R1563" s="1"/>
  <c r="Q1567"/>
  <c r="R1567" s="1"/>
  <c r="Q1571"/>
  <c r="R1571" s="1"/>
  <c r="Q1575"/>
  <c r="R1575" s="1"/>
  <c r="Q1579"/>
  <c r="R1579" s="1"/>
  <c r="Q1583"/>
  <c r="R1583" s="1"/>
  <c r="Q1587"/>
  <c r="R1587" s="1"/>
  <c r="Q1591"/>
  <c r="R1591" s="1"/>
  <c r="Q1595"/>
  <c r="R1595" s="1"/>
  <c r="Q1603"/>
  <c r="R1603" s="1"/>
  <c r="Q1607"/>
  <c r="R1607" s="1"/>
  <c r="Q1611"/>
  <c r="R1611" s="1"/>
  <c r="Q1615"/>
  <c r="R1615" s="1"/>
  <c r="Q1619"/>
  <c r="R1619" s="1"/>
  <c r="Q1623"/>
  <c r="R1623" s="1"/>
  <c r="Q1627"/>
  <c r="R1627" s="1"/>
  <c r="Q1631"/>
  <c r="R1631" s="1"/>
  <c r="Q1635"/>
  <c r="R1635" s="1"/>
  <c r="Q1639"/>
  <c r="R1639" s="1"/>
  <c r="Q1643"/>
  <c r="R1643" s="1"/>
  <c r="Q1647"/>
  <c r="R1647" s="1"/>
  <c r="Q1651"/>
  <c r="R1651" s="1"/>
  <c r="Q1655"/>
  <c r="R1655" s="1"/>
  <c r="Q1659"/>
  <c r="R1659" s="1"/>
  <c r="Q1663"/>
  <c r="R1663" s="1"/>
  <c r="Q1671"/>
  <c r="R1671" s="1"/>
  <c r="Q1675"/>
  <c r="R1675" s="1"/>
  <c r="Q1679"/>
  <c r="R1679" s="1"/>
  <c r="Q1683"/>
  <c r="R1683" s="1"/>
  <c r="Q1687"/>
  <c r="R1687" s="1"/>
  <c r="Q1691"/>
  <c r="R1691" s="1"/>
  <c r="Q1695"/>
  <c r="R1695" s="1"/>
  <c r="Q1699"/>
  <c r="R1699" s="1"/>
  <c r="Q1703"/>
  <c r="R1703" s="1"/>
  <c r="Q1707"/>
  <c r="R1707" s="1"/>
  <c r="Q1711"/>
  <c r="R1711" s="1"/>
  <c r="Q1715"/>
  <c r="R1715" s="1"/>
  <c r="Q1719"/>
  <c r="R1719" s="1"/>
  <c r="Q1723"/>
  <c r="R1723" s="1"/>
  <c r="Q1727"/>
  <c r="R1727" s="1"/>
  <c r="Q1731"/>
  <c r="R1731" s="1"/>
  <c r="Q1735"/>
  <c r="R1735" s="1"/>
  <c r="Q1739"/>
  <c r="R1739" s="1"/>
  <c r="Q1743"/>
  <c r="R1743" s="1"/>
  <c r="Q1747"/>
  <c r="R1747" s="1"/>
  <c r="Q1751"/>
  <c r="R1751" s="1"/>
  <c r="Q1755"/>
  <c r="R1755" s="1"/>
  <c r="Q1759"/>
  <c r="R1759" s="1"/>
  <c r="Q1763"/>
  <c r="R1763" s="1"/>
  <c r="Q1767"/>
  <c r="R1767" s="1"/>
  <c r="Q1771"/>
  <c r="R1771" s="1"/>
  <c r="Q1775"/>
  <c r="R1775" s="1"/>
  <c r="Q1779"/>
  <c r="R1779" s="1"/>
  <c r="Q1783"/>
  <c r="R1783" s="1"/>
  <c r="Q1787"/>
  <c r="R1787" s="1"/>
  <c r="Q1791"/>
  <c r="R1791" s="1"/>
  <c r="Q1795"/>
  <c r="R1795" s="1"/>
  <c r="Q1799"/>
  <c r="R1799" s="1"/>
  <c r="Q1807"/>
  <c r="R1807" s="1"/>
  <c r="Q1811"/>
  <c r="R1811" s="1"/>
  <c r="Q1815"/>
  <c r="R1815" s="1"/>
  <c r="Q1819"/>
  <c r="R1819" s="1"/>
  <c r="Q1823"/>
  <c r="R1823" s="1"/>
  <c r="Q1827"/>
  <c r="R1827" s="1"/>
  <c r="Q1831"/>
  <c r="R1831" s="1"/>
  <c r="Q1835"/>
  <c r="R1835" s="1"/>
  <c r="Q1839"/>
  <c r="R1839" s="1"/>
  <c r="Q1847"/>
  <c r="R1847" s="1"/>
  <c r="Q1851"/>
  <c r="R1851" s="1"/>
  <c r="Q712"/>
  <c r="R712" s="1"/>
  <c r="Q765"/>
  <c r="R765" s="1"/>
  <c r="Q797"/>
  <c r="R797" s="1"/>
  <c r="Q829"/>
  <c r="R829" s="1"/>
  <c r="Q861"/>
  <c r="R861" s="1"/>
  <c r="Q922"/>
  <c r="R922" s="1"/>
  <c r="Q953"/>
  <c r="R953" s="1"/>
  <c r="Q974"/>
  <c r="R974" s="1"/>
  <c r="Q995"/>
  <c r="R995" s="1"/>
  <c r="Q1015"/>
  <c r="R1015" s="1"/>
  <c r="Q1031"/>
  <c r="R1031" s="1"/>
  <c r="Q1047"/>
  <c r="R1047" s="1"/>
  <c r="Q1059"/>
  <c r="R1059" s="1"/>
  <c r="Q1075"/>
  <c r="R1075" s="1"/>
  <c r="Q1091"/>
  <c r="R1091" s="1"/>
  <c r="Q1107"/>
  <c r="R1107" s="1"/>
  <c r="Q1123"/>
  <c r="R1123" s="1"/>
  <c r="Q1139"/>
  <c r="R1139" s="1"/>
  <c r="Q1155"/>
  <c r="R1155" s="1"/>
  <c r="Q1171"/>
  <c r="R1171" s="1"/>
  <c r="Q1187"/>
  <c r="R1187" s="1"/>
  <c r="Q1200"/>
  <c r="R1200" s="1"/>
  <c r="Q1208"/>
  <c r="R1208" s="1"/>
  <c r="Q1216"/>
  <c r="R1216" s="1"/>
  <c r="Q1224"/>
  <c r="R1224" s="1"/>
  <c r="Q1232"/>
  <c r="R1232" s="1"/>
  <c r="Q1240"/>
  <c r="R1240" s="1"/>
  <c r="Q1248"/>
  <c r="R1248" s="1"/>
  <c r="Q1256"/>
  <c r="R1256" s="1"/>
  <c r="Q1272"/>
  <c r="R1272" s="1"/>
  <c r="Q1280"/>
  <c r="R1280" s="1"/>
  <c r="Q1288"/>
  <c r="R1288" s="1"/>
  <c r="Q1296"/>
  <c r="R1296" s="1"/>
  <c r="Q1303"/>
  <c r="R1303" s="1"/>
  <c r="Q1311"/>
  <c r="R1311" s="1"/>
  <c r="Q1319"/>
  <c r="R1319" s="1"/>
  <c r="Q1327"/>
  <c r="R1327" s="1"/>
  <c r="Q1332"/>
  <c r="R1332" s="1"/>
  <c r="Q1337"/>
  <c r="R1337" s="1"/>
  <c r="Q1343"/>
  <c r="R1343" s="1"/>
  <c r="Q1348"/>
  <c r="R1348" s="1"/>
  <c r="Q1353"/>
  <c r="R1353" s="1"/>
  <c r="Q1359"/>
  <c r="R1359" s="1"/>
  <c r="Q1364"/>
  <c r="R1364" s="1"/>
  <c r="Q1369"/>
  <c r="R1369" s="1"/>
  <c r="Q1375"/>
  <c r="R1375" s="1"/>
  <c r="Q1380"/>
  <c r="R1380" s="1"/>
  <c r="Q1385"/>
  <c r="R1385" s="1"/>
  <c r="Q1391"/>
  <c r="R1391" s="1"/>
  <c r="Q1396"/>
  <c r="R1396" s="1"/>
  <c r="Q1401"/>
  <c r="R1401" s="1"/>
  <c r="Q1407"/>
  <c r="R1407" s="1"/>
  <c r="Q1412"/>
  <c r="R1412" s="1"/>
  <c r="Q1417"/>
  <c r="R1417" s="1"/>
  <c r="Q1423"/>
  <c r="R1423" s="1"/>
  <c r="Q1428"/>
  <c r="R1428" s="1"/>
  <c r="Q1433"/>
  <c r="R1433" s="1"/>
  <c r="Q1439"/>
  <c r="R1439" s="1"/>
  <c r="Q1444"/>
  <c r="R1444" s="1"/>
  <c r="Q1449"/>
  <c r="R1449" s="1"/>
  <c r="Q1455"/>
  <c r="R1455" s="1"/>
  <c r="Q1460"/>
  <c r="R1460" s="1"/>
  <c r="Q1465"/>
  <c r="R1465" s="1"/>
  <c r="Q1471"/>
  <c r="R1471" s="1"/>
  <c r="Q1476"/>
  <c r="R1476" s="1"/>
  <c r="Q1481"/>
  <c r="R1481" s="1"/>
  <c r="Q1487"/>
  <c r="R1487" s="1"/>
  <c r="Q1492"/>
  <c r="R1492" s="1"/>
  <c r="Q1497"/>
  <c r="R1497" s="1"/>
  <c r="Q1503"/>
  <c r="R1503" s="1"/>
  <c r="Q1508"/>
  <c r="R1508" s="1"/>
  <c r="Q1513"/>
  <c r="R1513" s="1"/>
  <c r="Q1519"/>
  <c r="R1519" s="1"/>
  <c r="Q1524"/>
  <c r="R1524" s="1"/>
  <c r="Q1528"/>
  <c r="R1528" s="1"/>
  <c r="Q1532"/>
  <c r="R1532" s="1"/>
  <c r="Q1536"/>
  <c r="R1536" s="1"/>
  <c r="Q1540"/>
  <c r="R1540" s="1"/>
  <c r="Q1544"/>
  <c r="R1544" s="1"/>
  <c r="Q1548"/>
  <c r="R1548" s="1"/>
  <c r="Q1552"/>
  <c r="R1552" s="1"/>
  <c r="Q1556"/>
  <c r="R1556" s="1"/>
  <c r="Q1560"/>
  <c r="R1560" s="1"/>
  <c r="Q1564"/>
  <c r="R1564" s="1"/>
  <c r="Q1568"/>
  <c r="R1568" s="1"/>
  <c r="Q1572"/>
  <c r="R1572" s="1"/>
  <c r="Q1576"/>
  <c r="R1576" s="1"/>
  <c r="Q1580"/>
  <c r="R1580" s="1"/>
  <c r="Q1588"/>
  <c r="R1588" s="1"/>
  <c r="Q1592"/>
  <c r="R1592" s="1"/>
  <c r="Q1596"/>
  <c r="R1596" s="1"/>
  <c r="Q1600"/>
  <c r="R1600" s="1"/>
  <c r="Q1604"/>
  <c r="R1604" s="1"/>
  <c r="Q1608"/>
  <c r="R1608" s="1"/>
  <c r="Q1612"/>
  <c r="R1612" s="1"/>
  <c r="Q1616"/>
  <c r="R1616" s="1"/>
  <c r="Q1620"/>
  <c r="R1620" s="1"/>
  <c r="Q1624"/>
  <c r="R1624" s="1"/>
  <c r="Q1628"/>
  <c r="R1628" s="1"/>
  <c r="Q1632"/>
  <c r="R1632" s="1"/>
  <c r="Q1636"/>
  <c r="R1636" s="1"/>
  <c r="Q1640"/>
  <c r="R1640" s="1"/>
  <c r="Q1644"/>
  <c r="R1644" s="1"/>
  <c r="Q398"/>
  <c r="R398" s="1"/>
  <c r="Q524"/>
  <c r="R524" s="1"/>
  <c r="Q773"/>
  <c r="R773" s="1"/>
  <c r="Q805"/>
  <c r="R805" s="1"/>
  <c r="Q837"/>
  <c r="R837" s="1"/>
  <c r="Q869"/>
  <c r="R869" s="1"/>
  <c r="Q898"/>
  <c r="R898" s="1"/>
  <c r="Q930"/>
  <c r="R930" s="1"/>
  <c r="Q958"/>
  <c r="R958" s="1"/>
  <c r="Q979"/>
  <c r="R979" s="1"/>
  <c r="Q1001"/>
  <c r="R1001" s="1"/>
  <c r="Q1019"/>
  <c r="R1019" s="1"/>
  <c r="Q1035"/>
  <c r="R1035" s="1"/>
  <c r="Q1051"/>
  <c r="R1051" s="1"/>
  <c r="Q1063"/>
  <c r="R1063" s="1"/>
  <c r="Q1079"/>
  <c r="R1079" s="1"/>
  <c r="Q1095"/>
  <c r="R1095" s="1"/>
  <c r="Q1111"/>
  <c r="R1111" s="1"/>
  <c r="Q1127"/>
  <c r="R1127" s="1"/>
  <c r="Q1143"/>
  <c r="R1143" s="1"/>
  <c r="Q1159"/>
  <c r="R1159" s="1"/>
  <c r="Q1175"/>
  <c r="R1175" s="1"/>
  <c r="Q1191"/>
  <c r="R1191" s="1"/>
  <c r="Q1203"/>
  <c r="R1203" s="1"/>
  <c r="Q1211"/>
  <c r="R1211" s="1"/>
  <c r="Q1219"/>
  <c r="R1219" s="1"/>
  <c r="Q1227"/>
  <c r="R1227" s="1"/>
  <c r="Q1235"/>
  <c r="R1235" s="1"/>
  <c r="Q1243"/>
  <c r="R1243" s="1"/>
  <c r="Q1251"/>
  <c r="R1251" s="1"/>
  <c r="Q1259"/>
  <c r="R1259" s="1"/>
  <c r="Q1267"/>
  <c r="R1267" s="1"/>
  <c r="Q1275"/>
  <c r="R1275" s="1"/>
  <c r="Q1283"/>
  <c r="R1283" s="1"/>
  <c r="Q1291"/>
  <c r="R1291" s="1"/>
  <c r="Q1304"/>
  <c r="R1304" s="1"/>
  <c r="Q1312"/>
  <c r="R1312" s="1"/>
  <c r="Q1320"/>
  <c r="R1320" s="1"/>
  <c r="Q1328"/>
  <c r="R1328" s="1"/>
  <c r="Q1333"/>
  <c r="R1333" s="1"/>
  <c r="Q1339"/>
  <c r="R1339" s="1"/>
  <c r="Q1344"/>
  <c r="R1344" s="1"/>
  <c r="Q1349"/>
  <c r="R1349" s="1"/>
  <c r="Q1355"/>
  <c r="R1355" s="1"/>
  <c r="Q1360"/>
  <c r="R1360" s="1"/>
  <c r="Q1371"/>
  <c r="R1371" s="1"/>
  <c r="Q1392"/>
  <c r="R1392" s="1"/>
  <c r="Q1413"/>
  <c r="R1413" s="1"/>
  <c r="Q1435"/>
  <c r="R1435" s="1"/>
  <c r="Q1456"/>
  <c r="R1456" s="1"/>
  <c r="Q1477"/>
  <c r="R1477" s="1"/>
  <c r="Q1515"/>
  <c r="R1515" s="1"/>
  <c r="Q1533"/>
  <c r="R1533" s="1"/>
  <c r="Q1549"/>
  <c r="R1549" s="1"/>
  <c r="Q1565"/>
  <c r="R1565" s="1"/>
  <c r="Q1577"/>
  <c r="R1577" s="1"/>
  <c r="Q1589"/>
  <c r="R1589" s="1"/>
  <c r="Q1601"/>
  <c r="R1601" s="1"/>
  <c r="Q1617"/>
  <c r="R1617" s="1"/>
  <c r="Q1633"/>
  <c r="R1633" s="1"/>
  <c r="Q1648"/>
  <c r="R1648" s="1"/>
  <c r="Q1656"/>
  <c r="R1656" s="1"/>
  <c r="Q1664"/>
  <c r="R1664" s="1"/>
  <c r="Q1669"/>
  <c r="R1669" s="1"/>
  <c r="Q1677"/>
  <c r="R1677" s="1"/>
  <c r="Q1685"/>
  <c r="R1685" s="1"/>
  <c r="Q1693"/>
  <c r="R1693" s="1"/>
  <c r="Q1701"/>
  <c r="R1701" s="1"/>
  <c r="Q1709"/>
  <c r="R1709" s="1"/>
  <c r="Q1717"/>
  <c r="R1717" s="1"/>
  <c r="Q1725"/>
  <c r="R1725" s="1"/>
  <c r="Q1733"/>
  <c r="R1733" s="1"/>
  <c r="Q1740"/>
  <c r="R1740" s="1"/>
  <c r="Q1748"/>
  <c r="R1748" s="1"/>
  <c r="Q1756"/>
  <c r="R1756" s="1"/>
  <c r="Q1764"/>
  <c r="R1764" s="1"/>
  <c r="Q1772"/>
  <c r="R1772" s="1"/>
  <c r="Q1780"/>
  <c r="R1780" s="1"/>
  <c r="Q1788"/>
  <c r="R1788" s="1"/>
  <c r="Q1796"/>
  <c r="R1796" s="1"/>
  <c r="Q1809"/>
  <c r="R1809" s="1"/>
  <c r="Q1817"/>
  <c r="R1817" s="1"/>
  <c r="Q1825"/>
  <c r="R1825" s="1"/>
  <c r="Q1833"/>
  <c r="R1833" s="1"/>
  <c r="Q1841"/>
  <c r="R1841" s="1"/>
  <c r="Q1848"/>
  <c r="R1848" s="1"/>
  <c r="Q1855"/>
  <c r="R1855" s="1"/>
  <c r="Q1860"/>
  <c r="R1860" s="1"/>
  <c r="Q1865"/>
  <c r="R1865" s="1"/>
  <c r="Q1876"/>
  <c r="R1876" s="1"/>
  <c r="Q1880"/>
  <c r="R1880" s="1"/>
  <c r="Q1885"/>
  <c r="R1885" s="1"/>
  <c r="Q1891"/>
  <c r="R1891" s="1"/>
  <c r="Q1896"/>
  <c r="R1896" s="1"/>
  <c r="Q1901"/>
  <c r="R1901" s="1"/>
  <c r="Q1912"/>
  <c r="R1912" s="1"/>
  <c r="Q1917"/>
  <c r="R1917" s="1"/>
  <c r="Q1922"/>
  <c r="R1922" s="1"/>
  <c r="Q1926"/>
  <c r="R1926" s="1"/>
  <c r="Q1930"/>
  <c r="R1930" s="1"/>
  <c r="Q1934"/>
  <c r="R1934" s="1"/>
  <c r="Q1938"/>
  <c r="R1938" s="1"/>
  <c r="Q1942"/>
  <c r="R1942" s="1"/>
  <c r="Q1946"/>
  <c r="R1946" s="1"/>
  <c r="Q1950"/>
  <c r="R1950" s="1"/>
  <c r="Q1958"/>
  <c r="R1958" s="1"/>
  <c r="Q1962"/>
  <c r="R1962" s="1"/>
  <c r="Q1966"/>
  <c r="R1966" s="1"/>
  <c r="Q1970"/>
  <c r="R1970" s="1"/>
  <c r="Q1974"/>
  <c r="R1974" s="1"/>
  <c r="Q1978"/>
  <c r="R1978" s="1"/>
  <c r="Q1982"/>
  <c r="R1982" s="1"/>
  <c r="Q1986"/>
  <c r="R1986" s="1"/>
  <c r="Q1990"/>
  <c r="R1990" s="1"/>
  <c r="Q1994"/>
  <c r="R1994" s="1"/>
  <c r="Q1998"/>
  <c r="R1998" s="1"/>
  <c r="Q2002"/>
  <c r="R2002" s="1"/>
  <c r="Q2010"/>
  <c r="R2010" s="1"/>
  <c r="Q2014"/>
  <c r="R2014" s="1"/>
  <c r="Q2018"/>
  <c r="R2018" s="1"/>
  <c r="Q2022"/>
  <c r="R2022" s="1"/>
  <c r="Q2026"/>
  <c r="R2026" s="1"/>
  <c r="Q2030"/>
  <c r="R2030" s="1"/>
  <c r="Q2034"/>
  <c r="R2034" s="1"/>
  <c r="Q2038"/>
  <c r="R2038" s="1"/>
  <c r="Q2042"/>
  <c r="R2042" s="1"/>
  <c r="Q2046"/>
  <c r="R2046" s="1"/>
  <c r="Q2050"/>
  <c r="R2050" s="1"/>
  <c r="Q2054"/>
  <c r="R2054" s="1"/>
  <c r="Q2058"/>
  <c r="R2058" s="1"/>
  <c r="Q2062"/>
  <c r="R2062" s="1"/>
  <c r="Q2070"/>
  <c r="R2070" s="1"/>
  <c r="Q2074"/>
  <c r="R2074" s="1"/>
  <c r="Q2078"/>
  <c r="R2078" s="1"/>
  <c r="Q2082"/>
  <c r="R2082" s="1"/>
  <c r="Q2086"/>
  <c r="R2086" s="1"/>
  <c r="Q2094"/>
  <c r="R2094" s="1"/>
  <c r="Q2098"/>
  <c r="R2098" s="1"/>
  <c r="Q2102"/>
  <c r="R2102" s="1"/>
  <c r="Q2106"/>
  <c r="R2106" s="1"/>
  <c r="Q2110"/>
  <c r="R2110" s="1"/>
  <c r="Q2118"/>
  <c r="R2118" s="1"/>
  <c r="Q2122"/>
  <c r="R2122" s="1"/>
  <c r="Q2178"/>
  <c r="R2178" s="1"/>
  <c r="Q2182"/>
  <c r="R2182" s="1"/>
  <c r="Q2186"/>
  <c r="R2186" s="1"/>
  <c r="Q2190"/>
  <c r="R2190" s="1"/>
  <c r="Q2194"/>
  <c r="R2194" s="1"/>
  <c r="Q2198"/>
  <c r="R2198" s="1"/>
  <c r="Q2202"/>
  <c r="R2202" s="1"/>
  <c r="Q2206"/>
  <c r="R2206" s="1"/>
  <c r="Q2210"/>
  <c r="R2210" s="1"/>
  <c r="Q2214"/>
  <c r="R2214" s="1"/>
  <c r="Q2218"/>
  <c r="R2218" s="1"/>
  <c r="Q2222"/>
  <c r="R2222" s="1"/>
  <c r="Q2226"/>
  <c r="R2226" s="1"/>
  <c r="Q2230"/>
  <c r="R2230" s="1"/>
  <c r="Q2234"/>
  <c r="R2234" s="1"/>
  <c r="Q2238"/>
  <c r="R2238" s="1"/>
  <c r="Q2242"/>
  <c r="R2242" s="1"/>
  <c r="Q2246"/>
  <c r="R2246" s="1"/>
  <c r="Q2250"/>
  <c r="R2250" s="1"/>
  <c r="Q2254"/>
  <c r="R2254" s="1"/>
  <c r="Q2258"/>
  <c r="R2258" s="1"/>
  <c r="Q2262"/>
  <c r="R2262" s="1"/>
  <c r="Q2266"/>
  <c r="R2266" s="1"/>
  <c r="Q2270"/>
  <c r="R2270" s="1"/>
  <c r="Q2274"/>
  <c r="R2274" s="1"/>
  <c r="Q1376"/>
  <c r="R1376" s="1"/>
  <c r="Q1397"/>
  <c r="R1397" s="1"/>
  <c r="Q1419"/>
  <c r="R1419" s="1"/>
  <c r="Q1440"/>
  <c r="R1440" s="1"/>
  <c r="Q1461"/>
  <c r="R1461" s="1"/>
  <c r="Q1483"/>
  <c r="R1483" s="1"/>
  <c r="Q1499"/>
  <c r="R1499" s="1"/>
  <c r="Q1520"/>
  <c r="R1520" s="1"/>
  <c r="Q1537"/>
  <c r="R1537" s="1"/>
  <c r="Q1553"/>
  <c r="R1553" s="1"/>
  <c r="Q1581"/>
  <c r="R1581" s="1"/>
  <c r="Q1593"/>
  <c r="R1593" s="1"/>
  <c r="Q1605"/>
  <c r="R1605" s="1"/>
  <c r="Q1621"/>
  <c r="R1621" s="1"/>
  <c r="Q1637"/>
  <c r="R1637" s="1"/>
  <c r="Q1649"/>
  <c r="R1649" s="1"/>
  <c r="Q1657"/>
  <c r="R1657" s="1"/>
  <c r="Q1665"/>
  <c r="R1665" s="1"/>
  <c r="Q1672"/>
  <c r="R1672" s="1"/>
  <c r="Q1680"/>
  <c r="R1680" s="1"/>
  <c r="Q1688"/>
  <c r="R1688" s="1"/>
  <c r="Q1696"/>
  <c r="R1696" s="1"/>
  <c r="Q1704"/>
  <c r="R1704" s="1"/>
  <c r="Q1712"/>
  <c r="R1712" s="1"/>
  <c r="Q1720"/>
  <c r="R1720" s="1"/>
  <c r="Q1728"/>
  <c r="R1728" s="1"/>
  <c r="Q1736"/>
  <c r="R1736" s="1"/>
  <c r="Q1741"/>
  <c r="R1741" s="1"/>
  <c r="Q1749"/>
  <c r="R1749" s="1"/>
  <c r="Q1757"/>
  <c r="R1757" s="1"/>
  <c r="Q1765"/>
  <c r="R1765" s="1"/>
  <c r="Q1773"/>
  <c r="R1773" s="1"/>
  <c r="Q1781"/>
  <c r="R1781" s="1"/>
  <c r="Q1789"/>
  <c r="R1789" s="1"/>
  <c r="Q1804"/>
  <c r="R1804" s="1"/>
  <c r="Q1812"/>
  <c r="R1812" s="1"/>
  <c r="Q1820"/>
  <c r="R1820" s="1"/>
  <c r="Q1828"/>
  <c r="R1828" s="1"/>
  <c r="Q1836"/>
  <c r="R1836" s="1"/>
  <c r="Q1856"/>
  <c r="R1856" s="1"/>
  <c r="Q1861"/>
  <c r="R1861" s="1"/>
  <c r="Q1867"/>
  <c r="R1867" s="1"/>
  <c r="Q1872"/>
  <c r="R1872" s="1"/>
  <c r="Q1877"/>
  <c r="R1877" s="1"/>
  <c r="Q1881"/>
  <c r="R1881" s="1"/>
  <c r="Q1887"/>
  <c r="R1887" s="1"/>
  <c r="Q1892"/>
  <c r="R1892" s="1"/>
  <c r="Q1897"/>
  <c r="R1897" s="1"/>
  <c r="Q1903"/>
  <c r="R1903" s="1"/>
  <c r="Q1908"/>
  <c r="R1908" s="1"/>
  <c r="Q1913"/>
  <c r="R1913" s="1"/>
  <c r="Q1923"/>
  <c r="R1923" s="1"/>
  <c r="Q1927"/>
  <c r="R1927" s="1"/>
  <c r="Q1931"/>
  <c r="R1931" s="1"/>
  <c r="Q1935"/>
  <c r="R1935" s="1"/>
  <c r="Q1939"/>
  <c r="R1939" s="1"/>
  <c r="Q1943"/>
  <c r="R1943" s="1"/>
  <c r="Q1947"/>
  <c r="R1947" s="1"/>
  <c r="Q1951"/>
  <c r="R1951" s="1"/>
  <c r="Q1955"/>
  <c r="R1955" s="1"/>
  <c r="Q1959"/>
  <c r="R1959" s="1"/>
  <c r="Q1963"/>
  <c r="R1963" s="1"/>
  <c r="Q1967"/>
  <c r="R1967" s="1"/>
  <c r="Q1971"/>
  <c r="R1971" s="1"/>
  <c r="Q1975"/>
  <c r="R1975" s="1"/>
  <c r="Q1983"/>
  <c r="R1983" s="1"/>
  <c r="Q1987"/>
  <c r="R1987" s="1"/>
  <c r="Q1991"/>
  <c r="R1991" s="1"/>
  <c r="Q1995"/>
  <c r="R1995" s="1"/>
  <c r="Q1999"/>
  <c r="R1999" s="1"/>
  <c r="Q2003"/>
  <c r="R2003" s="1"/>
  <c r="Q2007"/>
  <c r="R2007" s="1"/>
  <c r="Q2011"/>
  <c r="R2011" s="1"/>
  <c r="Q2015"/>
  <c r="R2015" s="1"/>
  <c r="Q2019"/>
  <c r="R2019" s="1"/>
  <c r="Q2023"/>
  <c r="R2023" s="1"/>
  <c r="Q2027"/>
  <c r="R2027" s="1"/>
  <c r="Q2031"/>
  <c r="R2031" s="1"/>
  <c r="Q2035"/>
  <c r="R2035" s="1"/>
  <c r="Q2039"/>
  <c r="R2039" s="1"/>
  <c r="Q1381"/>
  <c r="R1381" s="1"/>
  <c r="Q1424"/>
  <c r="R1424" s="1"/>
  <c r="Q1445"/>
  <c r="R1445" s="1"/>
  <c r="Q1467"/>
  <c r="R1467" s="1"/>
  <c r="Q1488"/>
  <c r="R1488" s="1"/>
  <c r="Q1504"/>
  <c r="R1504" s="1"/>
  <c r="Q1525"/>
  <c r="R1525" s="1"/>
  <c r="Q1541"/>
  <c r="R1541" s="1"/>
  <c r="Q1557"/>
  <c r="R1557" s="1"/>
  <c r="Q1569"/>
  <c r="R1569" s="1"/>
  <c r="Q1597"/>
  <c r="R1597" s="1"/>
  <c r="Q1609"/>
  <c r="R1609" s="1"/>
  <c r="Q1625"/>
  <c r="R1625" s="1"/>
  <c r="Q1641"/>
  <c r="R1641" s="1"/>
  <c r="Q1652"/>
  <c r="R1652" s="1"/>
  <c r="Q1660"/>
  <c r="R1660" s="1"/>
  <c r="Q1673"/>
  <c r="R1673" s="1"/>
  <c r="Q1681"/>
  <c r="R1681" s="1"/>
  <c r="Q1689"/>
  <c r="R1689" s="1"/>
  <c r="Q1697"/>
  <c r="R1697" s="1"/>
  <c r="Q1705"/>
  <c r="R1705" s="1"/>
  <c r="Q1713"/>
  <c r="R1713" s="1"/>
  <c r="Q1721"/>
  <c r="R1721" s="1"/>
  <c r="Q1729"/>
  <c r="R1729" s="1"/>
  <c r="Q1737"/>
  <c r="R1737" s="1"/>
  <c r="Q1744"/>
  <c r="R1744" s="1"/>
  <c r="Q1752"/>
  <c r="R1752" s="1"/>
  <c r="Q1760"/>
  <c r="R1760" s="1"/>
  <c r="Q1768"/>
  <c r="R1768" s="1"/>
  <c r="Q1776"/>
  <c r="R1776" s="1"/>
  <c r="Q1784"/>
  <c r="R1784" s="1"/>
  <c r="Q1792"/>
  <c r="R1792" s="1"/>
  <c r="Q1800"/>
  <c r="R1800" s="1"/>
  <c r="Q1805"/>
  <c r="R1805" s="1"/>
  <c r="Q1813"/>
  <c r="R1813" s="1"/>
  <c r="Q1821"/>
  <c r="R1821" s="1"/>
  <c r="Q1837"/>
  <c r="R1837" s="1"/>
  <c r="Q1844"/>
  <c r="R1844" s="1"/>
  <c r="Q1852"/>
  <c r="R1852" s="1"/>
  <c r="Q1863"/>
  <c r="R1863" s="1"/>
  <c r="Q1868"/>
  <c r="R1868" s="1"/>
  <c r="Q1873"/>
  <c r="R1873" s="1"/>
  <c r="Q1888"/>
  <c r="R1888" s="1"/>
  <c r="Q1893"/>
  <c r="R1893" s="1"/>
  <c r="Q1899"/>
  <c r="R1899" s="1"/>
  <c r="Q1904"/>
  <c r="R1904" s="1"/>
  <c r="Q1909"/>
  <c r="R1909" s="1"/>
  <c r="Q1915"/>
  <c r="R1915" s="1"/>
  <c r="Q1920"/>
  <c r="R1920" s="1"/>
  <c r="Q1924"/>
  <c r="R1924" s="1"/>
  <c r="Q1928"/>
  <c r="R1928" s="1"/>
  <c r="Q1936"/>
  <c r="R1936" s="1"/>
  <c r="Q1940"/>
  <c r="R1940" s="1"/>
  <c r="Q1944"/>
  <c r="R1944" s="1"/>
  <c r="Q1948"/>
  <c r="R1948" s="1"/>
  <c r="Q1952"/>
  <c r="R1952" s="1"/>
  <c r="Q1956"/>
  <c r="R1956" s="1"/>
  <c r="Q1960"/>
  <c r="R1960" s="1"/>
  <c r="Q1964"/>
  <c r="R1964" s="1"/>
  <c r="Q1968"/>
  <c r="R1968" s="1"/>
  <c r="Q1972"/>
  <c r="R1972" s="1"/>
  <c r="Q1976"/>
  <c r="R1976" s="1"/>
  <c r="Q1980"/>
  <c r="R1980" s="1"/>
  <c r="Q1984"/>
  <c r="R1984" s="1"/>
  <c r="Q1988"/>
  <c r="R1988" s="1"/>
  <c r="Q1996"/>
  <c r="R1996" s="1"/>
  <c r="Q2000"/>
  <c r="R2000" s="1"/>
  <c r="Q2004"/>
  <c r="R2004" s="1"/>
  <c r="Q2008"/>
  <c r="R2008" s="1"/>
  <c r="Q2012"/>
  <c r="R2012" s="1"/>
  <c r="Q2016"/>
  <c r="R2016" s="1"/>
  <c r="Q2020"/>
  <c r="R2020" s="1"/>
  <c r="Q2024"/>
  <c r="R2024" s="1"/>
  <c r="Q2028"/>
  <c r="R2028" s="1"/>
  <c r="Q2032"/>
  <c r="R2032" s="1"/>
  <c r="Q2036"/>
  <c r="R2036" s="1"/>
  <c r="Q2040"/>
  <c r="R2040" s="1"/>
  <c r="Q2044"/>
  <c r="R2044" s="1"/>
  <c r="Q2048"/>
  <c r="R2048" s="1"/>
  <c r="Q2052"/>
  <c r="R2052" s="1"/>
  <c r="Q2056"/>
  <c r="R2056" s="1"/>
  <c r="Q2060"/>
  <c r="R2060" s="1"/>
  <c r="Q2064"/>
  <c r="R2064" s="1"/>
  <c r="Q2068"/>
  <c r="R2068" s="1"/>
  <c r="Q2072"/>
  <c r="R2072" s="1"/>
  <c r="Q2076"/>
  <c r="R2076" s="1"/>
  <c r="Q2080"/>
  <c r="R2080" s="1"/>
  <c r="Q2084"/>
  <c r="R2084" s="1"/>
  <c r="Q2088"/>
  <c r="R2088" s="1"/>
  <c r="Q2092"/>
  <c r="R2092" s="1"/>
  <c r="Q2100"/>
  <c r="R2100" s="1"/>
  <c r="Q2104"/>
  <c r="R2104" s="1"/>
  <c r="Q2108"/>
  <c r="R2108" s="1"/>
  <c r="Q2112"/>
  <c r="R2112" s="1"/>
  <c r="Q2116"/>
  <c r="R2116" s="1"/>
  <c r="Q2120"/>
  <c r="R2120" s="1"/>
  <c r="Q2124"/>
  <c r="R2124" s="1"/>
  <c r="Q2176"/>
  <c r="R2176" s="1"/>
  <c r="Q2180"/>
  <c r="R2180" s="1"/>
  <c r="Q2184"/>
  <c r="R2184" s="1"/>
  <c r="Q2188"/>
  <c r="R2188" s="1"/>
  <c r="Q2192"/>
  <c r="R2192" s="1"/>
  <c r="Q2196"/>
  <c r="R2196" s="1"/>
  <c r="Q2200"/>
  <c r="R2200" s="1"/>
  <c r="Q2204"/>
  <c r="R2204" s="1"/>
  <c r="Q2208"/>
  <c r="R2208" s="1"/>
  <c r="Q2212"/>
  <c r="R2212" s="1"/>
  <c r="Q2216"/>
  <c r="R2216" s="1"/>
  <c r="Q2220"/>
  <c r="R2220" s="1"/>
  <c r="Q2224"/>
  <c r="R2224" s="1"/>
  <c r="Q2228"/>
  <c r="R2228" s="1"/>
  <c r="Q2232"/>
  <c r="R2232" s="1"/>
  <c r="Q2236"/>
  <c r="R2236" s="1"/>
  <c r="Q2240"/>
  <c r="R2240" s="1"/>
  <c r="Q2244"/>
  <c r="R2244" s="1"/>
  <c r="Q2248"/>
  <c r="R2248" s="1"/>
  <c r="Q2252"/>
  <c r="R2252" s="1"/>
  <c r="Q2256"/>
  <c r="R2256" s="1"/>
  <c r="Q2260"/>
  <c r="R2260" s="1"/>
  <c r="Q2264"/>
  <c r="R2264" s="1"/>
  <c r="Q2268"/>
  <c r="R2268" s="1"/>
  <c r="Q2272"/>
  <c r="R2272" s="1"/>
  <c r="Q2276"/>
  <c r="R2276" s="1"/>
  <c r="Q2280"/>
  <c r="R2280" s="1"/>
  <c r="Q2284"/>
  <c r="R2284" s="1"/>
  <c r="Q1365"/>
  <c r="R1365" s="1"/>
  <c r="Q1387"/>
  <c r="R1387" s="1"/>
  <c r="Q1408"/>
  <c r="R1408" s="1"/>
  <c r="Q1429"/>
  <c r="R1429" s="1"/>
  <c r="Q1451"/>
  <c r="R1451" s="1"/>
  <c r="Q1472"/>
  <c r="R1472" s="1"/>
  <c r="Q1493"/>
  <c r="R1493" s="1"/>
  <c r="Q1509"/>
  <c r="R1509" s="1"/>
  <c r="Q1529"/>
  <c r="R1529" s="1"/>
  <c r="Q1545"/>
  <c r="R1545" s="1"/>
  <c r="Q1561"/>
  <c r="R1561" s="1"/>
  <c r="Q1573"/>
  <c r="R1573" s="1"/>
  <c r="Q1585"/>
  <c r="R1585" s="1"/>
  <c r="Q1613"/>
  <c r="R1613" s="1"/>
  <c r="Q1629"/>
  <c r="R1629" s="1"/>
  <c r="Q1645"/>
  <c r="R1645" s="1"/>
  <c r="Q1653"/>
  <c r="R1653" s="1"/>
  <c r="Q1661"/>
  <c r="R1661" s="1"/>
  <c r="Q1668"/>
  <c r="R1668" s="1"/>
  <c r="Q1676"/>
  <c r="R1676" s="1"/>
  <c r="Q1684"/>
  <c r="R1684" s="1"/>
  <c r="Q1692"/>
  <c r="R1692" s="1"/>
  <c r="Q1700"/>
  <c r="R1700" s="1"/>
  <c r="Q1708"/>
  <c r="R1708" s="1"/>
  <c r="Q1716"/>
  <c r="R1716" s="1"/>
  <c r="Q1724"/>
  <c r="R1724" s="1"/>
  <c r="Q1732"/>
  <c r="R1732" s="1"/>
  <c r="Q1745"/>
  <c r="R1745" s="1"/>
  <c r="Q1753"/>
  <c r="R1753" s="1"/>
  <c r="Q1761"/>
  <c r="R1761" s="1"/>
  <c r="Q1769"/>
  <c r="R1769" s="1"/>
  <c r="Q1777"/>
  <c r="R1777" s="1"/>
  <c r="Q1785"/>
  <c r="R1785" s="1"/>
  <c r="Q1793"/>
  <c r="R1793" s="1"/>
  <c r="Q1801"/>
  <c r="R1801" s="1"/>
  <c r="Q1808"/>
  <c r="R1808" s="1"/>
  <c r="Q1824"/>
  <c r="R1824" s="1"/>
  <c r="Q1832"/>
  <c r="R1832" s="1"/>
  <c r="Q1840"/>
  <c r="R1840" s="1"/>
  <c r="Q1845"/>
  <c r="R1845" s="1"/>
  <c r="Q1853"/>
  <c r="R1853" s="1"/>
  <c r="Q1859"/>
  <c r="R1859" s="1"/>
  <c r="Q1869"/>
  <c r="R1869" s="1"/>
  <c r="Q1875"/>
  <c r="R1875" s="1"/>
  <c r="Q1879"/>
  <c r="R1879" s="1"/>
  <c r="Q1884"/>
  <c r="R1884" s="1"/>
  <c r="Q1900"/>
  <c r="R1900" s="1"/>
  <c r="Q1905"/>
  <c r="R1905" s="1"/>
  <c r="Q1911"/>
  <c r="R1911" s="1"/>
  <c r="Q1916"/>
  <c r="R1916" s="1"/>
  <c r="Q1921"/>
  <c r="R1921" s="1"/>
  <c r="Q1925"/>
  <c r="R1925" s="1"/>
  <c r="Q1929"/>
  <c r="R1929" s="1"/>
  <c r="Q1933"/>
  <c r="R1933" s="1"/>
  <c r="Q1941"/>
  <c r="R1941" s="1"/>
  <c r="Q1945"/>
  <c r="R1945" s="1"/>
  <c r="Q1949"/>
  <c r="R1949" s="1"/>
  <c r="Q1953"/>
  <c r="R1953" s="1"/>
  <c r="Q1957"/>
  <c r="R1957" s="1"/>
  <c r="Q1961"/>
  <c r="R1961" s="1"/>
  <c r="Q1965"/>
  <c r="R1965" s="1"/>
  <c r="Q1969"/>
  <c r="R1969" s="1"/>
  <c r="Q1973"/>
  <c r="R1973" s="1"/>
  <c r="Q1977"/>
  <c r="R1977" s="1"/>
  <c r="Q1981"/>
  <c r="R1981" s="1"/>
  <c r="Q1985"/>
  <c r="R1985" s="1"/>
  <c r="Q1989"/>
  <c r="R1989" s="1"/>
  <c r="Q1993"/>
  <c r="R1993" s="1"/>
  <c r="Q1997"/>
  <c r="R1997" s="1"/>
  <c r="Q2001"/>
  <c r="R2001" s="1"/>
  <c r="Q2005"/>
  <c r="R2005" s="1"/>
  <c r="Q2009"/>
  <c r="R2009" s="1"/>
  <c r="Q2013"/>
  <c r="R2013" s="1"/>
  <c r="Q2017"/>
  <c r="R2017" s="1"/>
  <c r="Q2021"/>
  <c r="R2021" s="1"/>
  <c r="Q2029"/>
  <c r="R2029" s="1"/>
  <c r="Q2033"/>
  <c r="R2033" s="1"/>
  <c r="Q2037"/>
  <c r="R2037" s="1"/>
  <c r="Q2041"/>
  <c r="R2041" s="1"/>
  <c r="Q2045"/>
  <c r="R2045" s="1"/>
  <c r="Q2049"/>
  <c r="R2049" s="1"/>
  <c r="Q2053"/>
  <c r="R2053" s="1"/>
  <c r="Q2057"/>
  <c r="R2057" s="1"/>
  <c r="Q2061"/>
  <c r="R2061" s="1"/>
  <c r="Q2065"/>
  <c r="R2065" s="1"/>
  <c r="Q2059"/>
  <c r="R2059" s="1"/>
  <c r="Q2069"/>
  <c r="R2069" s="1"/>
  <c r="Q2077"/>
  <c r="R2077" s="1"/>
  <c r="Q2085"/>
  <c r="R2085" s="1"/>
  <c r="Q2091"/>
  <c r="R2091" s="1"/>
  <c r="Q2097"/>
  <c r="R2097" s="1"/>
  <c r="Q2105"/>
  <c r="R2105" s="1"/>
  <c r="Q2113"/>
  <c r="R2113" s="1"/>
  <c r="Q2119"/>
  <c r="R2119" s="1"/>
  <c r="Q2183"/>
  <c r="R2183" s="1"/>
  <c r="Q2191"/>
  <c r="R2191" s="1"/>
  <c r="Q2207"/>
  <c r="R2207" s="1"/>
  <c r="Q2215"/>
  <c r="R2215" s="1"/>
  <c r="Q2223"/>
  <c r="R2223" s="1"/>
  <c r="Q2231"/>
  <c r="R2231" s="1"/>
  <c r="Q2239"/>
  <c r="R2239" s="1"/>
  <c r="Q2247"/>
  <c r="R2247" s="1"/>
  <c r="Q2255"/>
  <c r="R2255" s="1"/>
  <c r="Q2263"/>
  <c r="R2263" s="1"/>
  <c r="Q2271"/>
  <c r="R2271" s="1"/>
  <c r="Q2278"/>
  <c r="R2278" s="1"/>
  <c r="Q2283"/>
  <c r="R2283" s="1"/>
  <c r="Q2288"/>
  <c r="R2288" s="1"/>
  <c r="Q2292"/>
  <c r="R2292" s="1"/>
  <c r="Q2296"/>
  <c r="R2296" s="1"/>
  <c r="Q2300"/>
  <c r="R2300" s="1"/>
  <c r="Q2304"/>
  <c r="R2304" s="1"/>
  <c r="Q2308"/>
  <c r="R2308" s="1"/>
  <c r="Q2312"/>
  <c r="R2312" s="1"/>
  <c r="Q2316"/>
  <c r="R2316" s="1"/>
  <c r="Q2320"/>
  <c r="R2320" s="1"/>
  <c r="Q2324"/>
  <c r="R2324" s="1"/>
  <c r="Q2328"/>
  <c r="R2328" s="1"/>
  <c r="Q2332"/>
  <c r="R2332" s="1"/>
  <c r="Q2336"/>
  <c r="R2336" s="1"/>
  <c r="Q2340"/>
  <c r="R2340" s="1"/>
  <c r="Q2344"/>
  <c r="R2344" s="1"/>
  <c r="Q2348"/>
  <c r="R2348" s="1"/>
  <c r="Q2352"/>
  <c r="R2352" s="1"/>
  <c r="Q2356"/>
  <c r="R2356" s="1"/>
  <c r="Q2360"/>
  <c r="R2360" s="1"/>
  <c r="Q2364"/>
  <c r="R2364" s="1"/>
  <c r="Q2368"/>
  <c r="R2368" s="1"/>
  <c r="Q2372"/>
  <c r="R2372" s="1"/>
  <c r="Q2376"/>
  <c r="R2376" s="1"/>
  <c r="Q2380"/>
  <c r="R2380" s="1"/>
  <c r="Q2384"/>
  <c r="R2384" s="1"/>
  <c r="Q2388"/>
  <c r="R2388" s="1"/>
  <c r="Q2392"/>
  <c r="R2392" s="1"/>
  <c r="Q2396"/>
  <c r="R2396" s="1"/>
  <c r="Q2400"/>
  <c r="R2400" s="1"/>
  <c r="Q2404"/>
  <c r="R2404" s="1"/>
  <c r="Q2408"/>
  <c r="R2408" s="1"/>
  <c r="Q2412"/>
  <c r="R2412" s="1"/>
  <c r="Q2416"/>
  <c r="R2416" s="1"/>
  <c r="Q2420"/>
  <c r="R2420" s="1"/>
  <c r="Q2424"/>
  <c r="R2424" s="1"/>
  <c r="Q2428"/>
  <c r="R2428" s="1"/>
  <c r="Q2432"/>
  <c r="R2432" s="1"/>
  <c r="Q2436"/>
  <c r="R2436" s="1"/>
  <c r="Q2440"/>
  <c r="R2440" s="1"/>
  <c r="Q2444"/>
  <c r="R2444" s="1"/>
  <c r="Q2448"/>
  <c r="R2448" s="1"/>
  <c r="Q2504"/>
  <c r="R2504" s="1"/>
  <c r="Q2508"/>
  <c r="R2508" s="1"/>
  <c r="Q2512"/>
  <c r="R2512" s="1"/>
  <c r="Q2516"/>
  <c r="R2516" s="1"/>
  <c r="Q2520"/>
  <c r="R2520" s="1"/>
  <c r="Q2524"/>
  <c r="R2524" s="1"/>
  <c r="Q2528"/>
  <c r="R2528" s="1"/>
  <c r="Q2532"/>
  <c r="R2532" s="1"/>
  <c r="Q2540"/>
  <c r="R2540" s="1"/>
  <c r="Q2544"/>
  <c r="R2544" s="1"/>
  <c r="Q2548"/>
  <c r="R2548" s="1"/>
  <c r="Q2552"/>
  <c r="R2552" s="1"/>
  <c r="Q2556"/>
  <c r="R2556" s="1"/>
  <c r="Q2560"/>
  <c r="R2560" s="1"/>
  <c r="Q2564"/>
  <c r="R2564" s="1"/>
  <c r="Q2568"/>
  <c r="R2568" s="1"/>
  <c r="Q2572"/>
  <c r="R2572" s="1"/>
  <c r="Q2576"/>
  <c r="R2576" s="1"/>
  <c r="Q2580"/>
  <c r="R2580" s="1"/>
  <c r="Q2584"/>
  <c r="R2584" s="1"/>
  <c r="Q2588"/>
  <c r="R2588" s="1"/>
  <c r="Q2592"/>
  <c r="R2592" s="1"/>
  <c r="Q2596"/>
  <c r="R2596" s="1"/>
  <c r="Q2600"/>
  <c r="R2600" s="1"/>
  <c r="Q2604"/>
  <c r="R2604" s="1"/>
  <c r="Q2608"/>
  <c r="R2608" s="1"/>
  <c r="Q2612"/>
  <c r="R2612" s="1"/>
  <c r="Q2616"/>
  <c r="R2616" s="1"/>
  <c r="Q2620"/>
  <c r="R2620" s="1"/>
  <c r="Q2624"/>
  <c r="R2624" s="1"/>
  <c r="Q2628"/>
  <c r="R2628" s="1"/>
  <c r="Q2632"/>
  <c r="R2632" s="1"/>
  <c r="Q2636"/>
  <c r="R2636" s="1"/>
  <c r="Q2640"/>
  <c r="R2640" s="1"/>
  <c r="Q2644"/>
  <c r="R2644" s="1"/>
  <c r="Q2648"/>
  <c r="R2648" s="1"/>
  <c r="Q2652"/>
  <c r="R2652" s="1"/>
  <c r="Q2656"/>
  <c r="R2656" s="1"/>
  <c r="Q2660"/>
  <c r="R2660" s="1"/>
  <c r="Q2664"/>
  <c r="R2664" s="1"/>
  <c r="Q2668"/>
  <c r="R2668" s="1"/>
  <c r="Q2672"/>
  <c r="R2672" s="1"/>
  <c r="Q2676"/>
  <c r="R2676" s="1"/>
  <c r="Q2680"/>
  <c r="R2680" s="1"/>
  <c r="Q2684"/>
  <c r="R2684" s="1"/>
  <c r="Q2688"/>
  <c r="R2688" s="1"/>
  <c r="Q2692"/>
  <c r="R2692" s="1"/>
  <c r="Q2696"/>
  <c r="R2696" s="1"/>
  <c r="Q2700"/>
  <c r="R2700" s="1"/>
  <c r="Q2047"/>
  <c r="R2047" s="1"/>
  <c r="Q2063"/>
  <c r="R2063" s="1"/>
  <c r="Q2071"/>
  <c r="R2071" s="1"/>
  <c r="Q2079"/>
  <c r="R2079" s="1"/>
  <c r="Q2087"/>
  <c r="R2087" s="1"/>
  <c r="Q2093"/>
  <c r="R2093" s="1"/>
  <c r="Q2099"/>
  <c r="R2099" s="1"/>
  <c r="Q2107"/>
  <c r="R2107" s="1"/>
  <c r="Q2121"/>
  <c r="R2121" s="1"/>
  <c r="Q2177"/>
  <c r="R2177" s="1"/>
  <c r="Q2185"/>
  <c r="R2185" s="1"/>
  <c r="Q2193"/>
  <c r="R2193" s="1"/>
  <c r="Q2201"/>
  <c r="R2201" s="1"/>
  <c r="Q2209"/>
  <c r="R2209" s="1"/>
  <c r="Q2217"/>
  <c r="R2217" s="1"/>
  <c r="Q2225"/>
  <c r="R2225" s="1"/>
  <c r="Q2233"/>
  <c r="R2233" s="1"/>
  <c r="Q2241"/>
  <c r="R2241" s="1"/>
  <c r="Q2249"/>
  <c r="R2249" s="1"/>
  <c r="Q2257"/>
  <c r="R2257" s="1"/>
  <c r="Q2265"/>
  <c r="R2265" s="1"/>
  <c r="Q2273"/>
  <c r="R2273" s="1"/>
  <c r="Q2279"/>
  <c r="R2279" s="1"/>
  <c r="Q2285"/>
  <c r="R2285" s="1"/>
  <c r="Q2289"/>
  <c r="R2289" s="1"/>
  <c r="Q2293"/>
  <c r="R2293" s="1"/>
  <c r="Q2297"/>
  <c r="R2297" s="1"/>
  <c r="Q2301"/>
  <c r="R2301" s="1"/>
  <c r="Q2305"/>
  <c r="R2305" s="1"/>
  <c r="Q2309"/>
  <c r="R2309" s="1"/>
  <c r="Q2313"/>
  <c r="R2313" s="1"/>
  <c r="Q2317"/>
  <c r="R2317" s="1"/>
  <c r="Q2321"/>
  <c r="R2321" s="1"/>
  <c r="Q2325"/>
  <c r="R2325" s="1"/>
  <c r="Q2329"/>
  <c r="R2329" s="1"/>
  <c r="Q2333"/>
  <c r="R2333" s="1"/>
  <c r="Q2337"/>
  <c r="R2337" s="1"/>
  <c r="Q2341"/>
  <c r="R2341" s="1"/>
  <c r="Q2345"/>
  <c r="R2345" s="1"/>
  <c r="Q2349"/>
  <c r="R2349" s="1"/>
  <c r="Q2353"/>
  <c r="R2353" s="1"/>
  <c r="Q2357"/>
  <c r="R2357" s="1"/>
  <c r="Q2361"/>
  <c r="R2361" s="1"/>
  <c r="Q2365"/>
  <c r="R2365" s="1"/>
  <c r="Q2369"/>
  <c r="R2369" s="1"/>
  <c r="Q2373"/>
  <c r="R2373" s="1"/>
  <c r="Q2381"/>
  <c r="R2381" s="1"/>
  <c r="Q2385"/>
  <c r="R2385" s="1"/>
  <c r="Q2389"/>
  <c r="R2389" s="1"/>
  <c r="Q2393"/>
  <c r="R2393" s="1"/>
  <c r="Q2397"/>
  <c r="R2397" s="1"/>
  <c r="Q2401"/>
  <c r="R2401" s="1"/>
  <c r="Q2405"/>
  <c r="R2405" s="1"/>
  <c r="Q2409"/>
  <c r="R2409" s="1"/>
  <c r="Q2413"/>
  <c r="R2413" s="1"/>
  <c r="Q2417"/>
  <c r="R2417" s="1"/>
  <c r="Q2421"/>
  <c r="R2421" s="1"/>
  <c r="Q2425"/>
  <c r="R2425" s="1"/>
  <c r="Q2429"/>
  <c r="R2429" s="1"/>
  <c r="Q2433"/>
  <c r="R2433" s="1"/>
  <c r="Q2437"/>
  <c r="R2437" s="1"/>
  <c r="Q2441"/>
  <c r="R2441" s="1"/>
  <c r="Q2445"/>
  <c r="R2445" s="1"/>
  <c r="Q2449"/>
  <c r="R2449" s="1"/>
  <c r="Q2505"/>
  <c r="R2505" s="1"/>
  <c r="Q2513"/>
  <c r="R2513" s="1"/>
  <c r="Q2517"/>
  <c r="R2517" s="1"/>
  <c r="Q2521"/>
  <c r="R2521" s="1"/>
  <c r="Q2525"/>
  <c r="R2525" s="1"/>
  <c r="Q2529"/>
  <c r="R2529" s="1"/>
  <c r="Q2533"/>
  <c r="R2533" s="1"/>
  <c r="Q2537"/>
  <c r="R2537" s="1"/>
  <c r="Q2541"/>
  <c r="R2541" s="1"/>
  <c r="Q2545"/>
  <c r="R2545" s="1"/>
  <c r="Q2549"/>
  <c r="R2549" s="1"/>
  <c r="Q2553"/>
  <c r="R2553" s="1"/>
  <c r="Q2557"/>
  <c r="R2557" s="1"/>
  <c r="Q2561"/>
  <c r="R2561" s="1"/>
  <c r="Q2565"/>
  <c r="R2565" s="1"/>
  <c r="Q2569"/>
  <c r="R2569" s="1"/>
  <c r="Q2573"/>
  <c r="R2573" s="1"/>
  <c r="Q2577"/>
  <c r="R2577" s="1"/>
  <c r="Q2581"/>
  <c r="R2581" s="1"/>
  <c r="Q2585"/>
  <c r="R2585" s="1"/>
  <c r="Q2589"/>
  <c r="R2589" s="1"/>
  <c r="Q2593"/>
  <c r="R2593" s="1"/>
  <c r="Q2597"/>
  <c r="R2597" s="1"/>
  <c r="Q2601"/>
  <c r="R2601" s="1"/>
  <c r="Q2605"/>
  <c r="R2605" s="1"/>
  <c r="Q2609"/>
  <c r="R2609" s="1"/>
  <c r="Q2613"/>
  <c r="R2613" s="1"/>
  <c r="Q2617"/>
  <c r="R2617" s="1"/>
  <c r="Q2621"/>
  <c r="R2621" s="1"/>
  <c r="Q2625"/>
  <c r="R2625" s="1"/>
  <c r="Q2629"/>
  <c r="R2629" s="1"/>
  <c r="Q2633"/>
  <c r="R2633" s="1"/>
  <c r="Q2637"/>
  <c r="R2637" s="1"/>
  <c r="Q2641"/>
  <c r="R2641" s="1"/>
  <c r="Q2645"/>
  <c r="R2645" s="1"/>
  <c r="Q2649"/>
  <c r="R2649" s="1"/>
  <c r="Q2653"/>
  <c r="R2653" s="1"/>
  <c r="Q2657"/>
  <c r="R2657" s="1"/>
  <c r="Q2661"/>
  <c r="R2661" s="1"/>
  <c r="Q2665"/>
  <c r="R2665" s="1"/>
  <c r="Q2669"/>
  <c r="R2669" s="1"/>
  <c r="Q2673"/>
  <c r="R2673" s="1"/>
  <c r="Q2677"/>
  <c r="R2677" s="1"/>
  <c r="Q2681"/>
  <c r="R2681" s="1"/>
  <c r="Q2685"/>
  <c r="R2685" s="1"/>
  <c r="Q2689"/>
  <c r="R2689" s="1"/>
  <c r="Q2693"/>
  <c r="R2693" s="1"/>
  <c r="Q2697"/>
  <c r="R2697" s="1"/>
  <c r="Q2701"/>
  <c r="R2701" s="1"/>
  <c r="Q2705"/>
  <c r="R2705" s="1"/>
  <c r="Q2709"/>
  <c r="R2709" s="1"/>
  <c r="Q2713"/>
  <c r="R2713" s="1"/>
  <c r="Q2717"/>
  <c r="R2717" s="1"/>
  <c r="Q2721"/>
  <c r="R2721" s="1"/>
  <c r="Q2725"/>
  <c r="R2725" s="1"/>
  <c r="Q2729"/>
  <c r="R2729" s="1"/>
  <c r="Q2733"/>
  <c r="R2733" s="1"/>
  <c r="Q2737"/>
  <c r="R2737" s="1"/>
  <c r="Q2741"/>
  <c r="R2741" s="1"/>
  <c r="Q2745"/>
  <c r="R2745" s="1"/>
  <c r="Q2749"/>
  <c r="R2749" s="1"/>
  <c r="Q2753"/>
  <c r="R2753" s="1"/>
  <c r="Q2757"/>
  <c r="R2757" s="1"/>
  <c r="Q2761"/>
  <c r="R2761" s="1"/>
  <c r="Q2765"/>
  <c r="R2765" s="1"/>
  <c r="Q2769"/>
  <c r="R2769" s="1"/>
  <c r="Q2773"/>
  <c r="R2773" s="1"/>
  <c r="Q2777"/>
  <c r="R2777" s="1"/>
  <c r="Q2781"/>
  <c r="R2781" s="1"/>
  <c r="Q2785"/>
  <c r="R2785" s="1"/>
  <c r="Q2789"/>
  <c r="R2789" s="1"/>
  <c r="Q2793"/>
  <c r="R2793" s="1"/>
  <c r="Q2797"/>
  <c r="R2797" s="1"/>
  <c r="Q2801"/>
  <c r="R2801" s="1"/>
  <c r="Q2805"/>
  <c r="R2805" s="1"/>
  <c r="Q2809"/>
  <c r="R2809" s="1"/>
  <c r="Q2813"/>
  <c r="R2813" s="1"/>
  <c r="Q2817"/>
  <c r="R2817" s="1"/>
  <c r="Q2821"/>
  <c r="R2821" s="1"/>
  <c r="Q2825"/>
  <c r="R2825" s="1"/>
  <c r="Q2829"/>
  <c r="R2829" s="1"/>
  <c r="Q2833"/>
  <c r="R2833" s="1"/>
  <c r="Q2837"/>
  <c r="R2837" s="1"/>
  <c r="Q2841"/>
  <c r="R2841" s="1"/>
  <c r="Q2845"/>
  <c r="R2845" s="1"/>
  <c r="Q2849"/>
  <c r="R2849" s="1"/>
  <c r="Q2853"/>
  <c r="R2853" s="1"/>
  <c r="Q2051"/>
  <c r="R2051" s="1"/>
  <c r="Q2073"/>
  <c r="R2073" s="1"/>
  <c r="Q2081"/>
  <c r="R2081" s="1"/>
  <c r="Q2089"/>
  <c r="R2089" s="1"/>
  <c r="Q2095"/>
  <c r="R2095" s="1"/>
  <c r="Q2101"/>
  <c r="R2101" s="1"/>
  <c r="Q2109"/>
  <c r="R2109" s="1"/>
  <c r="Q2115"/>
  <c r="R2115" s="1"/>
  <c r="Q2123"/>
  <c r="R2123" s="1"/>
  <c r="Q2179"/>
  <c r="R2179" s="1"/>
  <c r="Q2187"/>
  <c r="R2187" s="1"/>
  <c r="Q2195"/>
  <c r="R2195" s="1"/>
  <c r="Q2203"/>
  <c r="R2203" s="1"/>
  <c r="Q2211"/>
  <c r="R2211" s="1"/>
  <c r="Q2219"/>
  <c r="R2219" s="1"/>
  <c r="Q2227"/>
  <c r="R2227" s="1"/>
  <c r="Q2235"/>
  <c r="R2235" s="1"/>
  <c r="Q2243"/>
  <c r="R2243" s="1"/>
  <c r="Q2251"/>
  <c r="R2251" s="1"/>
  <c r="Q2259"/>
  <c r="R2259" s="1"/>
  <c r="Q2267"/>
  <c r="R2267" s="1"/>
  <c r="Q2275"/>
  <c r="R2275" s="1"/>
  <c r="Q2281"/>
  <c r="R2281" s="1"/>
  <c r="Q2286"/>
  <c r="R2286" s="1"/>
  <c r="Q2290"/>
  <c r="R2290" s="1"/>
  <c r="Q2294"/>
  <c r="R2294" s="1"/>
  <c r="Q2298"/>
  <c r="R2298" s="1"/>
  <c r="Q2302"/>
  <c r="R2302" s="1"/>
  <c r="Q2310"/>
  <c r="R2310" s="1"/>
  <c r="Q2314"/>
  <c r="R2314" s="1"/>
  <c r="Q2318"/>
  <c r="R2318" s="1"/>
  <c r="Q2322"/>
  <c r="R2322" s="1"/>
  <c r="Q2326"/>
  <c r="R2326" s="1"/>
  <c r="Q2330"/>
  <c r="R2330" s="1"/>
  <c r="Q2334"/>
  <c r="R2334" s="1"/>
  <c r="Q2338"/>
  <c r="R2338" s="1"/>
  <c r="Q2342"/>
  <c r="R2342" s="1"/>
  <c r="Q2346"/>
  <c r="R2346" s="1"/>
  <c r="Q2350"/>
  <c r="R2350" s="1"/>
  <c r="Q2354"/>
  <c r="R2354" s="1"/>
  <c r="Q2358"/>
  <c r="R2358" s="1"/>
  <c r="Q2362"/>
  <c r="R2362" s="1"/>
  <c r="Q2366"/>
  <c r="R2366" s="1"/>
  <c r="Q2370"/>
  <c r="R2370" s="1"/>
  <c r="Q2374"/>
  <c r="R2374" s="1"/>
  <c r="Q2378"/>
  <c r="R2378" s="1"/>
  <c r="Q2382"/>
  <c r="R2382" s="1"/>
  <c r="Q2386"/>
  <c r="R2386" s="1"/>
  <c r="Q2390"/>
  <c r="R2390" s="1"/>
  <c r="Q2394"/>
  <c r="R2394" s="1"/>
  <c r="Q2398"/>
  <c r="R2398" s="1"/>
  <c r="Q2402"/>
  <c r="R2402" s="1"/>
  <c r="Q2406"/>
  <c r="R2406" s="1"/>
  <c r="Q2410"/>
  <c r="R2410" s="1"/>
  <c r="Q2414"/>
  <c r="R2414" s="1"/>
  <c r="Q2418"/>
  <c r="R2418" s="1"/>
  <c r="Q2422"/>
  <c r="R2422" s="1"/>
  <c r="Q2426"/>
  <c r="R2426" s="1"/>
  <c r="Q2430"/>
  <c r="R2430" s="1"/>
  <c r="Q2434"/>
  <c r="R2434" s="1"/>
  <c r="Q2438"/>
  <c r="R2438" s="1"/>
  <c r="Q2442"/>
  <c r="R2442" s="1"/>
  <c r="Q2446"/>
  <c r="R2446" s="1"/>
  <c r="Q2502"/>
  <c r="R2502" s="1"/>
  <c r="Q2506"/>
  <c r="R2506" s="1"/>
  <c r="Q2510"/>
  <c r="R2510" s="1"/>
  <c r="Q2514"/>
  <c r="R2514" s="1"/>
  <c r="Q2518"/>
  <c r="R2518" s="1"/>
  <c r="Q2526"/>
  <c r="R2526" s="1"/>
  <c r="Q2530"/>
  <c r="R2530" s="1"/>
  <c r="Q2534"/>
  <c r="R2534" s="1"/>
  <c r="Q2538"/>
  <c r="R2538" s="1"/>
  <c r="Q2542"/>
  <c r="R2542" s="1"/>
  <c r="Q2546"/>
  <c r="R2546" s="1"/>
  <c r="Q2550"/>
  <c r="R2550" s="1"/>
  <c r="Q2554"/>
  <c r="R2554" s="1"/>
  <c r="Q2558"/>
  <c r="R2558" s="1"/>
  <c r="Q2562"/>
  <c r="R2562" s="1"/>
  <c r="Q2566"/>
  <c r="R2566" s="1"/>
  <c r="Q2570"/>
  <c r="R2570" s="1"/>
  <c r="Q2574"/>
  <c r="R2574" s="1"/>
  <c r="Q2578"/>
  <c r="R2578" s="1"/>
  <c r="Q2582"/>
  <c r="R2582" s="1"/>
  <c r="Q2586"/>
  <c r="R2586" s="1"/>
  <c r="Q2590"/>
  <c r="R2590" s="1"/>
  <c r="Q2594"/>
  <c r="R2594" s="1"/>
  <c r="Q2598"/>
  <c r="R2598" s="1"/>
  <c r="Q2602"/>
  <c r="R2602" s="1"/>
  <c r="Q2606"/>
  <c r="R2606" s="1"/>
  <c r="Q2610"/>
  <c r="R2610" s="1"/>
  <c r="Q2614"/>
  <c r="R2614" s="1"/>
  <c r="Q2618"/>
  <c r="R2618" s="1"/>
  <c r="Q2622"/>
  <c r="R2622" s="1"/>
  <c r="Q2626"/>
  <c r="R2626" s="1"/>
  <c r="Q2630"/>
  <c r="R2630" s="1"/>
  <c r="Q2634"/>
  <c r="R2634" s="1"/>
  <c r="Q2055"/>
  <c r="R2055" s="1"/>
  <c r="Q2067"/>
  <c r="R2067" s="1"/>
  <c r="Q2075"/>
  <c r="R2075" s="1"/>
  <c r="Q2083"/>
  <c r="R2083" s="1"/>
  <c r="Q2103"/>
  <c r="R2103" s="1"/>
  <c r="Q2111"/>
  <c r="R2111" s="1"/>
  <c r="Q2117"/>
  <c r="R2117" s="1"/>
  <c r="Q2181"/>
  <c r="R2181" s="1"/>
  <c r="Q2189"/>
  <c r="R2189" s="1"/>
  <c r="Q2197"/>
  <c r="R2197" s="1"/>
  <c r="Q2205"/>
  <c r="R2205" s="1"/>
  <c r="Q2213"/>
  <c r="R2213" s="1"/>
  <c r="Q2221"/>
  <c r="R2221" s="1"/>
  <c r="Q2229"/>
  <c r="R2229" s="1"/>
  <c r="Q2237"/>
  <c r="R2237" s="1"/>
  <c r="Q2245"/>
  <c r="R2245" s="1"/>
  <c r="Q2253"/>
  <c r="R2253" s="1"/>
  <c r="Q2261"/>
  <c r="R2261" s="1"/>
  <c r="Q2269"/>
  <c r="R2269" s="1"/>
  <c r="Q2277"/>
  <c r="R2277" s="1"/>
  <c r="Q2282"/>
  <c r="R2282" s="1"/>
  <c r="Q2287"/>
  <c r="R2287" s="1"/>
  <c r="Q2291"/>
  <c r="R2291" s="1"/>
  <c r="Q2295"/>
  <c r="R2295" s="1"/>
  <c r="Q2299"/>
  <c r="R2299" s="1"/>
  <c r="Q2303"/>
  <c r="R2303" s="1"/>
  <c r="Q2307"/>
  <c r="R2307" s="1"/>
  <c r="Q2311"/>
  <c r="R2311" s="1"/>
  <c r="Q2315"/>
  <c r="R2315" s="1"/>
  <c r="Q2319"/>
  <c r="R2319" s="1"/>
  <c r="Q2323"/>
  <c r="R2323" s="1"/>
  <c r="Q2327"/>
  <c r="R2327" s="1"/>
  <c r="Q2331"/>
  <c r="R2331" s="1"/>
  <c r="Q2335"/>
  <c r="R2335" s="1"/>
  <c r="Q2339"/>
  <c r="R2339" s="1"/>
  <c r="Q2343"/>
  <c r="R2343" s="1"/>
  <c r="Q2347"/>
  <c r="R2347" s="1"/>
  <c r="Q2351"/>
  <c r="R2351" s="1"/>
  <c r="Q2355"/>
  <c r="R2355" s="1"/>
  <c r="Q2359"/>
  <c r="R2359" s="1"/>
  <c r="Q2363"/>
  <c r="R2363" s="1"/>
  <c r="Q2367"/>
  <c r="R2367" s="1"/>
  <c r="Q2371"/>
  <c r="R2371" s="1"/>
  <c r="Q2375"/>
  <c r="R2375" s="1"/>
  <c r="Q2379"/>
  <c r="R2379" s="1"/>
  <c r="Q2383"/>
  <c r="R2383" s="1"/>
  <c r="Q2387"/>
  <c r="R2387" s="1"/>
  <c r="Q2391"/>
  <c r="R2391" s="1"/>
  <c r="Q2395"/>
  <c r="R2395" s="1"/>
  <c r="Q2399"/>
  <c r="R2399" s="1"/>
  <c r="Q2403"/>
  <c r="R2403" s="1"/>
  <c r="Q2407"/>
  <c r="R2407" s="1"/>
  <c r="Q2411"/>
  <c r="R2411" s="1"/>
  <c r="Q2415"/>
  <c r="R2415" s="1"/>
  <c r="Q2419"/>
  <c r="R2419" s="1"/>
  <c r="Q2423"/>
  <c r="R2423" s="1"/>
  <c r="Q2427"/>
  <c r="R2427" s="1"/>
  <c r="Q2431"/>
  <c r="R2431" s="1"/>
  <c r="Q2435"/>
  <c r="R2435" s="1"/>
  <c r="Q2439"/>
  <c r="R2439" s="1"/>
  <c r="Q2443"/>
  <c r="R2443" s="1"/>
  <c r="Q2447"/>
  <c r="R2447" s="1"/>
  <c r="Q2503"/>
  <c r="R2503" s="1"/>
  <c r="Q2507"/>
  <c r="R2507" s="1"/>
  <c r="Q2511"/>
  <c r="R2511" s="1"/>
  <c r="Q2515"/>
  <c r="R2515" s="1"/>
  <c r="Q2519"/>
  <c r="R2519" s="1"/>
  <c r="Q2523"/>
  <c r="R2523" s="1"/>
  <c r="Q2527"/>
  <c r="R2527" s="1"/>
  <c r="Q2531"/>
  <c r="R2531" s="1"/>
  <c r="Q2535"/>
  <c r="R2535" s="1"/>
  <c r="Q2539"/>
  <c r="R2539" s="1"/>
  <c r="Q2543"/>
  <c r="R2543" s="1"/>
  <c r="Q2547"/>
  <c r="R2547" s="1"/>
  <c r="Q2551"/>
  <c r="R2551" s="1"/>
  <c r="Q2555"/>
  <c r="R2555" s="1"/>
  <c r="Q2559"/>
  <c r="R2559" s="1"/>
  <c r="Q2563"/>
  <c r="R2563" s="1"/>
  <c r="Q2567"/>
  <c r="R2567" s="1"/>
  <c r="Q2571"/>
  <c r="R2571" s="1"/>
  <c r="Q2575"/>
  <c r="R2575" s="1"/>
  <c r="Q2579"/>
  <c r="R2579" s="1"/>
  <c r="Q2583"/>
  <c r="R2583" s="1"/>
  <c r="Q2587"/>
  <c r="R2587" s="1"/>
  <c r="Q2591"/>
  <c r="R2591" s="1"/>
  <c r="Q2595"/>
  <c r="R2595" s="1"/>
  <c r="Q2599"/>
  <c r="R2599" s="1"/>
  <c r="Q2603"/>
  <c r="R2603" s="1"/>
  <c r="Q2607"/>
  <c r="R2607" s="1"/>
  <c r="Q2611"/>
  <c r="R2611" s="1"/>
  <c r="Q2615"/>
  <c r="R2615" s="1"/>
  <c r="Q2619"/>
  <c r="R2619" s="1"/>
  <c r="Q2623"/>
  <c r="R2623" s="1"/>
  <c r="Q2627"/>
  <c r="R2627" s="1"/>
  <c r="Q2631"/>
  <c r="R2631" s="1"/>
  <c r="Q2635"/>
  <c r="R2635" s="1"/>
  <c r="Q2639"/>
  <c r="R2639" s="1"/>
  <c r="Q2643"/>
  <c r="R2643" s="1"/>
  <c r="Q2647"/>
  <c r="R2647" s="1"/>
  <c r="Q2651"/>
  <c r="R2651" s="1"/>
  <c r="Q2655"/>
  <c r="R2655" s="1"/>
  <c r="Q2659"/>
  <c r="R2659" s="1"/>
  <c r="Q2663"/>
  <c r="R2663" s="1"/>
  <c r="Q2667"/>
  <c r="R2667" s="1"/>
  <c r="Q2650"/>
  <c r="R2650" s="1"/>
  <c r="Q2666"/>
  <c r="R2666" s="1"/>
  <c r="Q2675"/>
  <c r="R2675" s="1"/>
  <c r="Q2683"/>
  <c r="R2683" s="1"/>
  <c r="Q2691"/>
  <c r="R2691" s="1"/>
  <c r="Q2699"/>
  <c r="R2699" s="1"/>
  <c r="Q2706"/>
  <c r="R2706" s="1"/>
  <c r="Q2711"/>
  <c r="R2711" s="1"/>
  <c r="Q2716"/>
  <c r="R2716" s="1"/>
  <c r="Q2722"/>
  <c r="R2722" s="1"/>
  <c r="Q2727"/>
  <c r="R2727" s="1"/>
  <c r="Q2732"/>
  <c r="R2732" s="1"/>
  <c r="Q2738"/>
  <c r="R2738" s="1"/>
  <c r="Q2743"/>
  <c r="R2743" s="1"/>
  <c r="Q2748"/>
  <c r="R2748" s="1"/>
  <c r="Q2754"/>
  <c r="R2754" s="1"/>
  <c r="Q2759"/>
  <c r="R2759" s="1"/>
  <c r="Q2764"/>
  <c r="R2764" s="1"/>
  <c r="Q2638"/>
  <c r="R2638" s="1"/>
  <c r="Q2654"/>
  <c r="R2654" s="1"/>
  <c r="Q2670"/>
  <c r="R2670" s="1"/>
  <c r="Q2678"/>
  <c r="R2678" s="1"/>
  <c r="Q2686"/>
  <c r="R2686" s="1"/>
  <c r="Q2694"/>
  <c r="R2694" s="1"/>
  <c r="Q2702"/>
  <c r="R2702" s="1"/>
  <c r="Q2707"/>
  <c r="R2707" s="1"/>
  <c r="Q2712"/>
  <c r="R2712" s="1"/>
  <c r="Q2718"/>
  <c r="R2718" s="1"/>
  <c r="Q2723"/>
  <c r="R2723" s="1"/>
  <c r="Q2728"/>
  <c r="R2728" s="1"/>
  <c r="Q2734"/>
  <c r="R2734" s="1"/>
  <c r="Q2739"/>
  <c r="R2739" s="1"/>
  <c r="Q2744"/>
  <c r="R2744" s="1"/>
  <c r="Q2750"/>
  <c r="R2750" s="1"/>
  <c r="Q2755"/>
  <c r="R2755" s="1"/>
  <c r="Q2760"/>
  <c r="R2760" s="1"/>
  <c r="Q2766"/>
  <c r="R2766" s="1"/>
  <c r="Q2771"/>
  <c r="R2771" s="1"/>
  <c r="Q2776"/>
  <c r="R2776" s="1"/>
  <c r="Q2782"/>
  <c r="R2782" s="1"/>
  <c r="Q2787"/>
  <c r="R2787" s="1"/>
  <c r="Q2792"/>
  <c r="R2792" s="1"/>
  <c r="Q2798"/>
  <c r="R2798" s="1"/>
  <c r="Q2803"/>
  <c r="R2803" s="1"/>
  <c r="Q2808"/>
  <c r="R2808" s="1"/>
  <c r="Q2814"/>
  <c r="R2814" s="1"/>
  <c r="Q2819"/>
  <c r="R2819" s="1"/>
  <c r="Q2824"/>
  <c r="R2824" s="1"/>
  <c r="Q2830"/>
  <c r="R2830" s="1"/>
  <c r="Q2835"/>
  <c r="R2835" s="1"/>
  <c r="Q2840"/>
  <c r="R2840" s="1"/>
  <c r="Q2846"/>
  <c r="R2846" s="1"/>
  <c r="Q2851"/>
  <c r="R2851" s="1"/>
  <c r="Q2856"/>
  <c r="R2856" s="1"/>
  <c r="Q2860"/>
  <c r="R2860" s="1"/>
  <c r="Q2864"/>
  <c r="R2864" s="1"/>
  <c r="Q2868"/>
  <c r="R2868" s="1"/>
  <c r="Q2872"/>
  <c r="R2872" s="1"/>
  <c r="Q2876"/>
  <c r="R2876" s="1"/>
  <c r="Q2880"/>
  <c r="R2880" s="1"/>
  <c r="Q2884"/>
  <c r="R2884" s="1"/>
  <c r="Q2888"/>
  <c r="R2888" s="1"/>
  <c r="Q2892"/>
  <c r="R2892" s="1"/>
  <c r="Q2896"/>
  <c r="R2896" s="1"/>
  <c r="Q2900"/>
  <c r="R2900" s="1"/>
  <c r="Q2904"/>
  <c r="R2904" s="1"/>
  <c r="Q2908"/>
  <c r="R2908" s="1"/>
  <c r="Q2912"/>
  <c r="R2912" s="1"/>
  <c r="Q2916"/>
  <c r="R2916" s="1"/>
  <c r="Q2920"/>
  <c r="R2920" s="1"/>
  <c r="Q2924"/>
  <c r="R2924" s="1"/>
  <c r="Q2928"/>
  <c r="R2928" s="1"/>
  <c r="Q2932"/>
  <c r="R2932" s="1"/>
  <c r="Q2936"/>
  <c r="R2936" s="1"/>
  <c r="Q2940"/>
  <c r="R2940" s="1"/>
  <c r="Q2944"/>
  <c r="R2944" s="1"/>
  <c r="Q2948"/>
  <c r="R2948" s="1"/>
  <c r="Q2952"/>
  <c r="R2952" s="1"/>
  <c r="Q2956"/>
  <c r="R2956" s="1"/>
  <c r="Q2960"/>
  <c r="R2960" s="1"/>
  <c r="Q2964"/>
  <c r="R2964" s="1"/>
  <c r="Q2968"/>
  <c r="R2968" s="1"/>
  <c r="Q2972"/>
  <c r="R2972" s="1"/>
  <c r="Q2976"/>
  <c r="R2976" s="1"/>
  <c r="Q2980"/>
  <c r="R2980" s="1"/>
  <c r="Q2984"/>
  <c r="R2984" s="1"/>
  <c r="Q2988"/>
  <c r="R2988" s="1"/>
  <c r="Q2992"/>
  <c r="R2992" s="1"/>
  <c r="Q2996"/>
  <c r="R2996" s="1"/>
  <c r="Q3000"/>
  <c r="R3000" s="1"/>
  <c r="Q3004"/>
  <c r="R3004" s="1"/>
  <c r="Q3008"/>
  <c r="R3008" s="1"/>
  <c r="Q3012"/>
  <c r="R3012" s="1"/>
  <c r="Q3016"/>
  <c r="R3016" s="1"/>
  <c r="Q3020"/>
  <c r="R3020" s="1"/>
  <c r="Q3024"/>
  <c r="R3024" s="1"/>
  <c r="Q3028"/>
  <c r="R3028" s="1"/>
  <c r="Q3032"/>
  <c r="R3032" s="1"/>
  <c r="Q3036"/>
  <c r="R3036" s="1"/>
  <c r="Q3040"/>
  <c r="R3040" s="1"/>
  <c r="Q3044"/>
  <c r="R3044" s="1"/>
  <c r="Q3048"/>
  <c r="R3048" s="1"/>
  <c r="Q3052"/>
  <c r="R3052" s="1"/>
  <c r="Q3056"/>
  <c r="R3056" s="1"/>
  <c r="Q3060"/>
  <c r="R3060" s="1"/>
  <c r="Q3064"/>
  <c r="R3064" s="1"/>
  <c r="Q3068"/>
  <c r="R3068" s="1"/>
  <c r="Q3072"/>
  <c r="R3072" s="1"/>
  <c r="Q3076"/>
  <c r="R3076" s="1"/>
  <c r="Q3080"/>
  <c r="R3080" s="1"/>
  <c r="Q3084"/>
  <c r="R3084" s="1"/>
  <c r="Q3088"/>
  <c r="R3088" s="1"/>
  <c r="Q3092"/>
  <c r="R3092" s="1"/>
  <c r="Q3096"/>
  <c r="R3096" s="1"/>
  <c r="Q3100"/>
  <c r="R3100" s="1"/>
  <c r="Q3104"/>
  <c r="R3104" s="1"/>
  <c r="Q3108"/>
  <c r="R3108" s="1"/>
  <c r="Q3112"/>
  <c r="R3112" s="1"/>
  <c r="Q3116"/>
  <c r="R3116" s="1"/>
  <c r="Q3120"/>
  <c r="R3120" s="1"/>
  <c r="Q3124"/>
  <c r="R3124" s="1"/>
  <c r="Q3128"/>
  <c r="R3128" s="1"/>
  <c r="Q3132"/>
  <c r="R3132" s="1"/>
  <c r="Q3136"/>
  <c r="R3136" s="1"/>
  <c r="Q3140"/>
  <c r="R3140" s="1"/>
  <c r="Q3144"/>
  <c r="R3144" s="1"/>
  <c r="Q3148"/>
  <c r="R3148" s="1"/>
  <c r="Q3152"/>
  <c r="R3152" s="1"/>
  <c r="Q3156"/>
  <c r="R3156" s="1"/>
  <c r="Q3160"/>
  <c r="R3160" s="1"/>
  <c r="Q3164"/>
  <c r="R3164" s="1"/>
  <c r="Q3168"/>
  <c r="R3168" s="1"/>
  <c r="Q3172"/>
  <c r="R3172" s="1"/>
  <c r="Q3176"/>
  <c r="R3176" s="1"/>
  <c r="Q3180"/>
  <c r="R3180" s="1"/>
  <c r="Q3184"/>
  <c r="R3184" s="1"/>
  <c r="Q3188"/>
  <c r="R3188" s="1"/>
  <c r="Q3196"/>
  <c r="R3196" s="1"/>
  <c r="Q3200"/>
  <c r="R3200" s="1"/>
  <c r="Q3204"/>
  <c r="R3204" s="1"/>
  <c r="Q3212"/>
  <c r="R3212" s="1"/>
  <c r="Q3216"/>
  <c r="R3216" s="1"/>
  <c r="Q3220"/>
  <c r="R3220" s="1"/>
  <c r="Q3224"/>
  <c r="R3224" s="1"/>
  <c r="Q3232"/>
  <c r="R3232" s="1"/>
  <c r="Q3236"/>
  <c r="R3236" s="1"/>
  <c r="Q3240"/>
  <c r="R3240" s="1"/>
  <c r="Q3248"/>
  <c r="R3248" s="1"/>
  <c r="Q3252"/>
  <c r="R3252" s="1"/>
  <c r="Q3256"/>
  <c r="R3256" s="1"/>
  <c r="Q3260"/>
  <c r="R3260" s="1"/>
  <c r="Q3264"/>
  <c r="R3264" s="1"/>
  <c r="Q3268"/>
  <c r="R3268" s="1"/>
  <c r="Q3272"/>
  <c r="R3272" s="1"/>
  <c r="Q3276"/>
  <c r="R3276" s="1"/>
  <c r="Q3288"/>
  <c r="R3288" s="1"/>
  <c r="Q3292"/>
  <c r="R3292" s="1"/>
  <c r="Q3296"/>
  <c r="R3296" s="1"/>
  <c r="Q3300"/>
  <c r="R3300" s="1"/>
  <c r="Q3304"/>
  <c r="R3304" s="1"/>
  <c r="Q3308"/>
  <c r="R3308" s="1"/>
  <c r="Q3312"/>
  <c r="R3312" s="1"/>
  <c r="Q3316"/>
  <c r="R3316" s="1"/>
  <c r="Q3320"/>
  <c r="R3320" s="1"/>
  <c r="Q3324"/>
  <c r="R3324" s="1"/>
  <c r="Q3328"/>
  <c r="R3328" s="1"/>
  <c r="Q3332"/>
  <c r="R3332" s="1"/>
  <c r="Q3336"/>
  <c r="R3336" s="1"/>
  <c r="Q3340"/>
  <c r="R3340" s="1"/>
  <c r="Q3344"/>
  <c r="R3344" s="1"/>
  <c r="Q3348"/>
  <c r="R3348" s="1"/>
  <c r="Q3352"/>
  <c r="R3352" s="1"/>
  <c r="Q3356"/>
  <c r="R3356" s="1"/>
  <c r="Q3360"/>
  <c r="R3360" s="1"/>
  <c r="Q3364"/>
  <c r="R3364" s="1"/>
  <c r="Q3368"/>
  <c r="R3368" s="1"/>
  <c r="Q3372"/>
  <c r="R3372" s="1"/>
  <c r="Q3376"/>
  <c r="R3376" s="1"/>
  <c r="Q3380"/>
  <c r="R3380" s="1"/>
  <c r="Q3384"/>
  <c r="R3384" s="1"/>
  <c r="Q3388"/>
  <c r="R3388" s="1"/>
  <c r="Q3396"/>
  <c r="R3396" s="1"/>
  <c r="Q3400"/>
  <c r="R3400" s="1"/>
  <c r="Q3404"/>
  <c r="R3404" s="1"/>
  <c r="Q3408"/>
  <c r="R3408" s="1"/>
  <c r="Q3412"/>
  <c r="R3412" s="1"/>
  <c r="Q3416"/>
  <c r="R3416" s="1"/>
  <c r="Q3420"/>
  <c r="R3420" s="1"/>
  <c r="Q3424"/>
  <c r="R3424" s="1"/>
  <c r="Q3428"/>
  <c r="R3428" s="1"/>
  <c r="Q3432"/>
  <c r="R3432" s="1"/>
  <c r="Q3436"/>
  <c r="R3436" s="1"/>
  <c r="Q3440"/>
  <c r="R3440" s="1"/>
  <c r="Q3444"/>
  <c r="R3444" s="1"/>
  <c r="Q3448"/>
  <c r="R3448" s="1"/>
  <c r="Q3452"/>
  <c r="R3452" s="1"/>
  <c r="Q3456"/>
  <c r="R3456" s="1"/>
  <c r="Q3460"/>
  <c r="R3460" s="1"/>
  <c r="Q3464"/>
  <c r="R3464" s="1"/>
  <c r="Q3468"/>
  <c r="R3468" s="1"/>
  <c r="Q3472"/>
  <c r="R3472" s="1"/>
  <c r="Q3476"/>
  <c r="R3476" s="1"/>
  <c r="Q3480"/>
  <c r="R3480" s="1"/>
  <c r="Q3488"/>
  <c r="R3488" s="1"/>
  <c r="Q3492"/>
  <c r="R3492" s="1"/>
  <c r="Q3496"/>
  <c r="R3496" s="1"/>
  <c r="Q3500"/>
  <c r="R3500" s="1"/>
  <c r="Q3504"/>
  <c r="R3504" s="1"/>
  <c r="Q3508"/>
  <c r="R3508" s="1"/>
  <c r="Q3512"/>
  <c r="R3512" s="1"/>
  <c r="Q3516"/>
  <c r="R3516" s="1"/>
  <c r="Q3520"/>
  <c r="R3520" s="1"/>
  <c r="Q3524"/>
  <c r="R3524" s="1"/>
  <c r="Q3528"/>
  <c r="R3528" s="1"/>
  <c r="Q3532"/>
  <c r="R3532" s="1"/>
  <c r="Q3536"/>
  <c r="R3536" s="1"/>
  <c r="Q3540"/>
  <c r="R3540" s="1"/>
  <c r="Q3544"/>
  <c r="R3544" s="1"/>
  <c r="Q3548"/>
  <c r="R3548" s="1"/>
  <c r="Q3552"/>
  <c r="R3552" s="1"/>
  <c r="Q3556"/>
  <c r="R3556" s="1"/>
  <c r="Q3560"/>
  <c r="R3560" s="1"/>
  <c r="Q3564"/>
  <c r="R3564" s="1"/>
  <c r="Q3568"/>
  <c r="R3568" s="1"/>
  <c r="Q3572"/>
  <c r="R3572" s="1"/>
  <c r="Q3576"/>
  <c r="R3576" s="1"/>
  <c r="Q3580"/>
  <c r="R3580" s="1"/>
  <c r="Q3592"/>
  <c r="R3592" s="1"/>
  <c r="Q3596"/>
  <c r="R3596" s="1"/>
  <c r="Q3600"/>
  <c r="R3600" s="1"/>
  <c r="Q3604"/>
  <c r="R3604" s="1"/>
  <c r="Q3608"/>
  <c r="R3608" s="1"/>
  <c r="Q3612"/>
  <c r="R3612" s="1"/>
  <c r="Q3616"/>
  <c r="R3616" s="1"/>
  <c r="Q3620"/>
  <c r="R3620" s="1"/>
  <c r="Q3624"/>
  <c r="R3624" s="1"/>
  <c r="Q3628"/>
  <c r="R3628" s="1"/>
  <c r="Q3632"/>
  <c r="R3632" s="1"/>
  <c r="Q3636"/>
  <c r="R3636" s="1"/>
  <c r="Q3644"/>
  <c r="R3644" s="1"/>
  <c r="Q3648"/>
  <c r="R3648" s="1"/>
  <c r="Q3652"/>
  <c r="R3652" s="1"/>
  <c r="Q3656"/>
  <c r="R3656" s="1"/>
  <c r="Q3660"/>
  <c r="R3660" s="1"/>
  <c r="Q3664"/>
  <c r="R3664" s="1"/>
  <c r="Q3668"/>
  <c r="R3668" s="1"/>
  <c r="Q3672"/>
  <c r="R3672" s="1"/>
  <c r="Q3676"/>
  <c r="R3676" s="1"/>
  <c r="Q3680"/>
  <c r="R3680" s="1"/>
  <c r="Q3684"/>
  <c r="R3684" s="1"/>
  <c r="Q3688"/>
  <c r="R3688" s="1"/>
  <c r="Q3692"/>
  <c r="R3692" s="1"/>
  <c r="Q3696"/>
  <c r="R3696" s="1"/>
  <c r="Q3700"/>
  <c r="R3700" s="1"/>
  <c r="Q3704"/>
  <c r="R3704" s="1"/>
  <c r="Q3708"/>
  <c r="R3708" s="1"/>
  <c r="Q3716"/>
  <c r="R3716" s="1"/>
  <c r="Q3720"/>
  <c r="R3720" s="1"/>
  <c r="Q3724"/>
  <c r="R3724" s="1"/>
  <c r="Q3728"/>
  <c r="R3728" s="1"/>
  <c r="Q3732"/>
  <c r="R3732" s="1"/>
  <c r="Q3736"/>
  <c r="R3736" s="1"/>
  <c r="Q3740"/>
  <c r="R3740" s="1"/>
  <c r="Q3744"/>
  <c r="R3744" s="1"/>
  <c r="Q3748"/>
  <c r="R3748" s="1"/>
  <c r="Q3752"/>
  <c r="R3752" s="1"/>
  <c r="Q3760"/>
  <c r="R3760" s="1"/>
  <c r="Q3764"/>
  <c r="R3764" s="1"/>
  <c r="Q3768"/>
  <c r="R3768" s="1"/>
  <c r="Q3772"/>
  <c r="R3772" s="1"/>
  <c r="Q3776"/>
  <c r="R3776" s="1"/>
  <c r="Q3780"/>
  <c r="R3780" s="1"/>
  <c r="Q3784"/>
  <c r="R3784" s="1"/>
  <c r="Q3788"/>
  <c r="R3788" s="1"/>
  <c r="Q3792"/>
  <c r="R3792" s="1"/>
  <c r="Q3796"/>
  <c r="R3796" s="1"/>
  <c r="Q3800"/>
  <c r="R3800" s="1"/>
  <c r="Q3804"/>
  <c r="R3804" s="1"/>
  <c r="Q3808"/>
  <c r="R3808" s="1"/>
  <c r="Q3812"/>
  <c r="R3812" s="1"/>
  <c r="Q3816"/>
  <c r="R3816" s="1"/>
  <c r="Q3820"/>
  <c r="R3820" s="1"/>
  <c r="Q3824"/>
  <c r="R3824" s="1"/>
  <c r="Q3828"/>
  <c r="R3828" s="1"/>
  <c r="Q3832"/>
  <c r="R3832" s="1"/>
  <c r="Q3836"/>
  <c r="R3836" s="1"/>
  <c r="Q3840"/>
  <c r="R3840" s="1"/>
  <c r="Q3844"/>
  <c r="R3844" s="1"/>
  <c r="Q3848"/>
  <c r="R3848" s="1"/>
  <c r="Q3852"/>
  <c r="R3852" s="1"/>
  <c r="Q3856"/>
  <c r="R3856" s="1"/>
  <c r="Q3860"/>
  <c r="R3860" s="1"/>
  <c r="Q3864"/>
  <c r="R3864" s="1"/>
  <c r="Q3868"/>
  <c r="R3868" s="1"/>
  <c r="Q3872"/>
  <c r="R3872" s="1"/>
  <c r="Q3876"/>
  <c r="R3876" s="1"/>
  <c r="Q3880"/>
  <c r="R3880" s="1"/>
  <c r="Q3884"/>
  <c r="R3884" s="1"/>
  <c r="Q3888"/>
  <c r="R3888" s="1"/>
  <c r="Q3892"/>
  <c r="R3892" s="1"/>
  <c r="Q3896"/>
  <c r="R3896" s="1"/>
  <c r="Q3900"/>
  <c r="R3900" s="1"/>
  <c r="Q3904"/>
  <c r="R3904" s="1"/>
  <c r="Q3908"/>
  <c r="R3908" s="1"/>
  <c r="Q3916"/>
  <c r="R3916" s="1"/>
  <c r="Q3920"/>
  <c r="R3920" s="1"/>
  <c r="Q3924"/>
  <c r="R3924" s="1"/>
  <c r="Q3928"/>
  <c r="R3928" s="1"/>
  <c r="Q3932"/>
  <c r="R3932" s="1"/>
  <c r="Q3936"/>
  <c r="R3936" s="1"/>
  <c r="Q3940"/>
  <c r="R3940" s="1"/>
  <c r="Q3944"/>
  <c r="R3944" s="1"/>
  <c r="Q3948"/>
  <c r="R3948" s="1"/>
  <c r="Q3952"/>
  <c r="R3952" s="1"/>
  <c r="Q3956"/>
  <c r="R3956" s="1"/>
  <c r="Q3960"/>
  <c r="R3960" s="1"/>
  <c r="Q3964"/>
  <c r="R3964" s="1"/>
  <c r="Q3968"/>
  <c r="R3968" s="1"/>
  <c r="Q3972"/>
  <c r="R3972" s="1"/>
  <c r="Q3976"/>
  <c r="R3976" s="1"/>
  <c r="Q3980"/>
  <c r="R3980" s="1"/>
  <c r="Q3984"/>
  <c r="R3984" s="1"/>
  <c r="Q3988"/>
  <c r="R3988" s="1"/>
  <c r="Q3992"/>
  <c r="R3992" s="1"/>
  <c r="Q3996"/>
  <c r="R3996" s="1"/>
  <c r="Q4000"/>
  <c r="R4000" s="1"/>
  <c r="Q4004"/>
  <c r="R4004" s="1"/>
  <c r="Q4008"/>
  <c r="R4008" s="1"/>
  <c r="Q4012"/>
  <c r="R4012" s="1"/>
  <c r="Q4016"/>
  <c r="R4016" s="1"/>
  <c r="Q4020"/>
  <c r="R4020" s="1"/>
  <c r="Q4024"/>
  <c r="R4024" s="1"/>
  <c r="Q4028"/>
  <c r="R4028" s="1"/>
  <c r="Q4032"/>
  <c r="R4032" s="1"/>
  <c r="Q4036"/>
  <c r="R4036" s="1"/>
  <c r="Q4040"/>
  <c r="R4040" s="1"/>
  <c r="Q4044"/>
  <c r="R4044" s="1"/>
  <c r="Q4048"/>
  <c r="R4048" s="1"/>
  <c r="Q4052"/>
  <c r="R4052" s="1"/>
  <c r="Q4056"/>
  <c r="R4056" s="1"/>
  <c r="Q4060"/>
  <c r="R4060" s="1"/>
  <c r="Q4064"/>
  <c r="R4064" s="1"/>
  <c r="Q4068"/>
  <c r="R4068" s="1"/>
  <c r="Q4072"/>
  <c r="R4072" s="1"/>
  <c r="Q4076"/>
  <c r="R4076" s="1"/>
  <c r="Q4080"/>
  <c r="R4080" s="1"/>
  <c r="Q4084"/>
  <c r="R4084" s="1"/>
  <c r="Q4088"/>
  <c r="R4088" s="1"/>
  <c r="Q4092"/>
  <c r="R4092" s="1"/>
  <c r="Q4096"/>
  <c r="R4096" s="1"/>
  <c r="Q4100"/>
  <c r="R4100" s="1"/>
  <c r="Q4104"/>
  <c r="R4104" s="1"/>
  <c r="Q4108"/>
  <c r="R4108" s="1"/>
  <c r="Q4112"/>
  <c r="R4112" s="1"/>
  <c r="Q2642"/>
  <c r="R2642" s="1"/>
  <c r="Q2658"/>
  <c r="R2658" s="1"/>
  <c r="Q2671"/>
  <c r="R2671" s="1"/>
  <c r="Q2679"/>
  <c r="R2679" s="1"/>
  <c r="Q2687"/>
  <c r="R2687" s="1"/>
  <c r="Q2695"/>
  <c r="R2695" s="1"/>
  <c r="Q2703"/>
  <c r="R2703" s="1"/>
  <c r="Q2708"/>
  <c r="R2708" s="1"/>
  <c r="Q2714"/>
  <c r="R2714" s="1"/>
  <c r="Q2719"/>
  <c r="R2719" s="1"/>
  <c r="Q2724"/>
  <c r="R2724" s="1"/>
  <c r="Q2730"/>
  <c r="R2730" s="1"/>
  <c r="Q2735"/>
  <c r="R2735" s="1"/>
  <c r="Q2740"/>
  <c r="R2740" s="1"/>
  <c r="Q2746"/>
  <c r="R2746" s="1"/>
  <c r="Q2751"/>
  <c r="R2751" s="1"/>
  <c r="Q2756"/>
  <c r="R2756" s="1"/>
  <c r="Q2762"/>
  <c r="R2762" s="1"/>
  <c r="Q2767"/>
  <c r="R2767" s="1"/>
  <c r="Q2772"/>
  <c r="R2772" s="1"/>
  <c r="Q2778"/>
  <c r="R2778" s="1"/>
  <c r="Q2783"/>
  <c r="R2783" s="1"/>
  <c r="Q2788"/>
  <c r="R2788" s="1"/>
  <c r="Q2794"/>
  <c r="R2794" s="1"/>
  <c r="Q2799"/>
  <c r="R2799" s="1"/>
  <c r="Q2804"/>
  <c r="R2804" s="1"/>
  <c r="Q2810"/>
  <c r="R2810" s="1"/>
  <c r="Q2815"/>
  <c r="R2815" s="1"/>
  <c r="Q2820"/>
  <c r="R2820" s="1"/>
  <c r="Q2826"/>
  <c r="R2826" s="1"/>
  <c r="Q2831"/>
  <c r="R2831" s="1"/>
  <c r="Q2836"/>
  <c r="R2836" s="1"/>
  <c r="Q2842"/>
  <c r="R2842" s="1"/>
  <c r="Q2847"/>
  <c r="R2847" s="1"/>
  <c r="Q2852"/>
  <c r="R2852" s="1"/>
  <c r="Q2857"/>
  <c r="R2857" s="1"/>
  <c r="Q2861"/>
  <c r="R2861" s="1"/>
  <c r="Q2865"/>
  <c r="R2865" s="1"/>
  <c r="Q2869"/>
  <c r="R2869" s="1"/>
  <c r="Q2873"/>
  <c r="R2873" s="1"/>
  <c r="Q2877"/>
  <c r="R2877" s="1"/>
  <c r="Q2881"/>
  <c r="R2881" s="1"/>
  <c r="Q2885"/>
  <c r="R2885" s="1"/>
  <c r="Q2889"/>
  <c r="R2889" s="1"/>
  <c r="Q2893"/>
  <c r="R2893" s="1"/>
  <c r="Q2897"/>
  <c r="R2897" s="1"/>
  <c r="Q2901"/>
  <c r="R2901" s="1"/>
  <c r="Q2905"/>
  <c r="R2905" s="1"/>
  <c r="Q2646"/>
  <c r="R2646" s="1"/>
  <c r="Q2662"/>
  <c r="R2662" s="1"/>
  <c r="Q2674"/>
  <c r="R2674" s="1"/>
  <c r="Q2682"/>
  <c r="R2682" s="1"/>
  <c r="Q2690"/>
  <c r="R2690" s="1"/>
  <c r="Q2698"/>
  <c r="R2698" s="1"/>
  <c r="Q2704"/>
  <c r="R2704" s="1"/>
  <c r="Q2710"/>
  <c r="R2710" s="1"/>
  <c r="Q2715"/>
  <c r="R2715" s="1"/>
  <c r="Q2720"/>
  <c r="R2720" s="1"/>
  <c r="Q2726"/>
  <c r="R2726" s="1"/>
  <c r="Q2731"/>
  <c r="R2731" s="1"/>
  <c r="Q2736"/>
  <c r="R2736" s="1"/>
  <c r="Q2742"/>
  <c r="R2742" s="1"/>
  <c r="Q2747"/>
  <c r="R2747" s="1"/>
  <c r="Q2752"/>
  <c r="R2752" s="1"/>
  <c r="Q2758"/>
  <c r="R2758" s="1"/>
  <c r="Q2763"/>
  <c r="R2763" s="1"/>
  <c r="Q2768"/>
  <c r="R2768" s="1"/>
  <c r="Q2774"/>
  <c r="R2774" s="1"/>
  <c r="Q2779"/>
  <c r="R2779" s="1"/>
  <c r="Q2784"/>
  <c r="R2784" s="1"/>
  <c r="Q2790"/>
  <c r="R2790" s="1"/>
  <c r="Q2795"/>
  <c r="R2795" s="1"/>
  <c r="Q2800"/>
  <c r="R2800" s="1"/>
  <c r="Q2806"/>
  <c r="R2806" s="1"/>
  <c r="Q2811"/>
  <c r="R2811" s="1"/>
  <c r="Q2816"/>
  <c r="R2816" s="1"/>
  <c r="Q2822"/>
  <c r="R2822" s="1"/>
  <c r="Q2827"/>
  <c r="R2827" s="1"/>
  <c r="Q2832"/>
  <c r="R2832" s="1"/>
  <c r="Q2838"/>
  <c r="R2838" s="1"/>
  <c r="Q2843"/>
  <c r="R2843" s="1"/>
  <c r="Q2848"/>
  <c r="R2848" s="1"/>
  <c r="Q2854"/>
  <c r="R2854" s="1"/>
  <c r="Q2858"/>
  <c r="R2858" s="1"/>
  <c r="Q2862"/>
  <c r="R2862" s="1"/>
  <c r="Q2866"/>
  <c r="R2866" s="1"/>
  <c r="Q2870"/>
  <c r="R2870" s="1"/>
  <c r="Q2874"/>
  <c r="R2874" s="1"/>
  <c r="Q2878"/>
  <c r="R2878" s="1"/>
  <c r="Q2882"/>
  <c r="R2882" s="1"/>
  <c r="Q2886"/>
  <c r="R2886" s="1"/>
  <c r="Q2890"/>
  <c r="R2890" s="1"/>
  <c r="Q2894"/>
  <c r="R2894" s="1"/>
  <c r="Q2898"/>
  <c r="R2898" s="1"/>
  <c r="Q2902"/>
  <c r="R2902" s="1"/>
  <c r="Q2786"/>
  <c r="R2786" s="1"/>
  <c r="Q2807"/>
  <c r="R2807" s="1"/>
  <c r="Q2828"/>
  <c r="R2828" s="1"/>
  <c r="Q2850"/>
  <c r="R2850" s="1"/>
  <c r="Q2867"/>
  <c r="R2867" s="1"/>
  <c r="Q2883"/>
  <c r="R2883" s="1"/>
  <c r="Q2899"/>
  <c r="R2899" s="1"/>
  <c r="Q2909"/>
  <c r="R2909" s="1"/>
  <c r="Q2914"/>
  <c r="R2914" s="1"/>
  <c r="Q2919"/>
  <c r="R2919" s="1"/>
  <c r="Q2925"/>
  <c r="R2925" s="1"/>
  <c r="Q2930"/>
  <c r="R2930" s="1"/>
  <c r="Q2935"/>
  <c r="R2935" s="1"/>
  <c r="Q2941"/>
  <c r="R2941" s="1"/>
  <c r="Q2946"/>
  <c r="R2946" s="1"/>
  <c r="Q2951"/>
  <c r="R2951" s="1"/>
  <c r="Q2957"/>
  <c r="R2957" s="1"/>
  <c r="Q2962"/>
  <c r="R2962" s="1"/>
  <c r="Q2967"/>
  <c r="R2967" s="1"/>
  <c r="Q2973"/>
  <c r="R2973" s="1"/>
  <c r="Q2978"/>
  <c r="R2978" s="1"/>
  <c r="Q2983"/>
  <c r="R2983" s="1"/>
  <c r="Q2989"/>
  <c r="R2989" s="1"/>
  <c r="Q2994"/>
  <c r="R2994" s="1"/>
  <c r="Q2999"/>
  <c r="R2999" s="1"/>
  <c r="Q3005"/>
  <c r="R3005" s="1"/>
  <c r="Q3010"/>
  <c r="R3010" s="1"/>
  <c r="Q3015"/>
  <c r="R3015" s="1"/>
  <c r="Q3021"/>
  <c r="R3021" s="1"/>
  <c r="Q3026"/>
  <c r="R3026" s="1"/>
  <c r="Q3031"/>
  <c r="R3031" s="1"/>
  <c r="Q3037"/>
  <c r="R3037" s="1"/>
  <c r="Q3042"/>
  <c r="R3042" s="1"/>
  <c r="Q3047"/>
  <c r="R3047" s="1"/>
  <c r="Q3053"/>
  <c r="R3053" s="1"/>
  <c r="Q3058"/>
  <c r="R3058" s="1"/>
  <c r="Q3063"/>
  <c r="R3063" s="1"/>
  <c r="Q3069"/>
  <c r="R3069" s="1"/>
  <c r="Q3074"/>
  <c r="R3074" s="1"/>
  <c r="Q3079"/>
  <c r="R3079" s="1"/>
  <c r="Q3085"/>
  <c r="R3085" s="1"/>
  <c r="Q3090"/>
  <c r="R3090" s="1"/>
  <c r="Q3095"/>
  <c r="R3095" s="1"/>
  <c r="Q3101"/>
  <c r="R3101" s="1"/>
  <c r="Q3106"/>
  <c r="R3106" s="1"/>
  <c r="Q3111"/>
  <c r="R3111" s="1"/>
  <c r="Q3117"/>
  <c r="R3117" s="1"/>
  <c r="Q3122"/>
  <c r="R3122" s="1"/>
  <c r="Q3127"/>
  <c r="R3127" s="1"/>
  <c r="Q3133"/>
  <c r="R3133" s="1"/>
  <c r="Q3138"/>
  <c r="R3138" s="1"/>
  <c r="Q3143"/>
  <c r="R3143" s="1"/>
  <c r="Q3149"/>
  <c r="R3149" s="1"/>
  <c r="Q3154"/>
  <c r="R3154" s="1"/>
  <c r="Q3159"/>
  <c r="R3159" s="1"/>
  <c r="Q3165"/>
  <c r="R3165" s="1"/>
  <c r="Q3170"/>
  <c r="R3170" s="1"/>
  <c r="Q3175"/>
  <c r="R3175" s="1"/>
  <c r="Q3181"/>
  <c r="R3181" s="1"/>
  <c r="Q3186"/>
  <c r="R3186" s="1"/>
  <c r="Q3191"/>
  <c r="R3191" s="1"/>
  <c r="Q3195"/>
  <c r="R3195" s="1"/>
  <c r="Q3201"/>
  <c r="R3201" s="1"/>
  <c r="Q3206"/>
  <c r="R3206" s="1"/>
  <c r="Q3211"/>
  <c r="R3211" s="1"/>
  <c r="Q3217"/>
  <c r="R3217" s="1"/>
  <c r="Q3238"/>
  <c r="R3238" s="1"/>
  <c r="Q3243"/>
  <c r="R3243" s="1"/>
  <c r="Q3247"/>
  <c r="R3247" s="1"/>
  <c r="Q3253"/>
  <c r="R3253" s="1"/>
  <c r="Q3258"/>
  <c r="R3258" s="1"/>
  <c r="Q3263"/>
  <c r="R3263" s="1"/>
  <c r="Q3269"/>
  <c r="R3269" s="1"/>
  <c r="Q3279"/>
  <c r="R3279" s="1"/>
  <c r="Q3289"/>
  <c r="R3289" s="1"/>
  <c r="Q3299"/>
  <c r="R3299" s="1"/>
  <c r="Q3305"/>
  <c r="R3305" s="1"/>
  <c r="Q3310"/>
  <c r="R3310" s="1"/>
  <c r="Q3315"/>
  <c r="R3315" s="1"/>
  <c r="Q3326"/>
  <c r="R3326" s="1"/>
  <c r="Q3331"/>
  <c r="R3331" s="1"/>
  <c r="Q3337"/>
  <c r="R3337" s="1"/>
  <c r="Q3342"/>
  <c r="R3342" s="1"/>
  <c r="Q3353"/>
  <c r="R3353" s="1"/>
  <c r="Q3358"/>
  <c r="R3358" s="1"/>
  <c r="Q3363"/>
  <c r="R3363" s="1"/>
  <c r="Q3369"/>
  <c r="R3369" s="1"/>
  <c r="Q3374"/>
  <c r="R3374" s="1"/>
  <c r="Q3379"/>
  <c r="R3379" s="1"/>
  <c r="Q3385"/>
  <c r="R3385" s="1"/>
  <c r="Q3390"/>
  <c r="R3390" s="1"/>
  <c r="Q3394"/>
  <c r="R3394" s="1"/>
  <c r="Q3399"/>
  <c r="R3399" s="1"/>
  <c r="Q3405"/>
  <c r="R3405" s="1"/>
  <c r="Q3410"/>
  <c r="R3410" s="1"/>
  <c r="Q3421"/>
  <c r="R3421" s="1"/>
  <c r="Q3426"/>
  <c r="R3426" s="1"/>
  <c r="Q3437"/>
  <c r="R3437" s="1"/>
  <c r="Q3447"/>
  <c r="R3447" s="1"/>
  <c r="Q3453"/>
  <c r="R3453" s="1"/>
  <c r="Q3458"/>
  <c r="R3458" s="1"/>
  <c r="Q3463"/>
  <c r="R3463" s="1"/>
  <c r="Q3469"/>
  <c r="R3469" s="1"/>
  <c r="Q3474"/>
  <c r="R3474" s="1"/>
  <c r="Q3485"/>
  <c r="R3485" s="1"/>
  <c r="Q3490"/>
  <c r="R3490" s="1"/>
  <c r="Q3495"/>
  <c r="R3495" s="1"/>
  <c r="Q3501"/>
  <c r="R3501" s="1"/>
  <c r="Q3506"/>
  <c r="R3506" s="1"/>
  <c r="Q3511"/>
  <c r="R3511" s="1"/>
  <c r="Q3517"/>
  <c r="R3517" s="1"/>
  <c r="Q3522"/>
  <c r="R3522" s="1"/>
  <c r="Q3527"/>
  <c r="R3527" s="1"/>
  <c r="Q3533"/>
  <c r="R3533" s="1"/>
  <c r="Q3543"/>
  <c r="R3543" s="1"/>
  <c r="Q3559"/>
  <c r="R3559" s="1"/>
  <c r="Q3575"/>
  <c r="R3575" s="1"/>
  <c r="Q3581"/>
  <c r="R3581" s="1"/>
  <c r="Q3585"/>
  <c r="R3585" s="1"/>
  <c r="Q3589"/>
  <c r="R3589" s="1"/>
  <c r="Q3594"/>
  <c r="R3594" s="1"/>
  <c r="Q3599"/>
  <c r="R3599" s="1"/>
  <c r="Q3605"/>
  <c r="R3605" s="1"/>
  <c r="Q3610"/>
  <c r="R3610" s="1"/>
  <c r="Q3615"/>
  <c r="R3615" s="1"/>
  <c r="Q3621"/>
  <c r="R3621" s="1"/>
  <c r="Q3626"/>
  <c r="R3626" s="1"/>
  <c r="Q3631"/>
  <c r="R3631" s="1"/>
  <c r="Q3641"/>
  <c r="R3641" s="1"/>
  <c r="Q3646"/>
  <c r="R3646" s="1"/>
  <c r="Q3651"/>
  <c r="R3651" s="1"/>
  <c r="Q3657"/>
  <c r="R3657" s="1"/>
  <c r="Q3662"/>
  <c r="R3662" s="1"/>
  <c r="Q3667"/>
  <c r="R3667" s="1"/>
  <c r="Q3673"/>
  <c r="R3673" s="1"/>
  <c r="Q3678"/>
  <c r="R3678" s="1"/>
  <c r="Q3683"/>
  <c r="R3683" s="1"/>
  <c r="Q3689"/>
  <c r="R3689" s="1"/>
  <c r="Q3694"/>
  <c r="R3694" s="1"/>
  <c r="Q3699"/>
  <c r="R3699" s="1"/>
  <c r="Q3705"/>
  <c r="R3705" s="1"/>
  <c r="Q3710"/>
  <c r="R3710" s="1"/>
  <c r="Q3714"/>
  <c r="R3714" s="1"/>
  <c r="Q3719"/>
  <c r="R3719" s="1"/>
  <c r="Q3725"/>
  <c r="R3725" s="1"/>
  <c r="Q3730"/>
  <c r="R3730" s="1"/>
  <c r="Q3735"/>
  <c r="R3735" s="1"/>
  <c r="Q3741"/>
  <c r="R3741" s="1"/>
  <c r="Q3746"/>
  <c r="R3746" s="1"/>
  <c r="Q3751"/>
  <c r="R3751" s="1"/>
  <c r="Q3757"/>
  <c r="R3757" s="1"/>
  <c r="Q3762"/>
  <c r="R3762" s="1"/>
  <c r="Q3767"/>
  <c r="R3767" s="1"/>
  <c r="Q3773"/>
  <c r="R3773" s="1"/>
  <c r="Q3778"/>
  <c r="R3778" s="1"/>
  <c r="Q3783"/>
  <c r="R3783" s="1"/>
  <c r="Q3789"/>
  <c r="R3789" s="1"/>
  <c r="Q3794"/>
  <c r="R3794" s="1"/>
  <c r="Q3799"/>
  <c r="R3799" s="1"/>
  <c r="Q3805"/>
  <c r="R3805" s="1"/>
  <c r="Q3815"/>
  <c r="R3815" s="1"/>
  <c r="Q3821"/>
  <c r="R3821" s="1"/>
  <c r="Q3826"/>
  <c r="R3826" s="1"/>
  <c r="Q3831"/>
  <c r="R3831" s="1"/>
  <c r="Q3837"/>
  <c r="R3837" s="1"/>
  <c r="Q3842"/>
  <c r="R3842" s="1"/>
  <c r="Q3847"/>
  <c r="R3847" s="1"/>
  <c r="Q3853"/>
  <c r="R3853" s="1"/>
  <c r="Q3858"/>
  <c r="R3858" s="1"/>
  <c r="Q3863"/>
  <c r="R3863" s="1"/>
  <c r="Q3869"/>
  <c r="R3869" s="1"/>
  <c r="Q3885"/>
  <c r="R3885" s="1"/>
  <c r="Q3895"/>
  <c r="R3895" s="1"/>
  <c r="Q3901"/>
  <c r="R3901" s="1"/>
  <c r="Q3911"/>
  <c r="R3911" s="1"/>
  <c r="Q3915"/>
  <c r="R3915" s="1"/>
  <c r="Q3921"/>
  <c r="R3921" s="1"/>
  <c r="Q3926"/>
  <c r="R3926" s="1"/>
  <c r="Q3931"/>
  <c r="R3931" s="1"/>
  <c r="Q3937"/>
  <c r="R3937" s="1"/>
  <c r="Q3942"/>
  <c r="R3942" s="1"/>
  <c r="Q3947"/>
  <c r="R3947" s="1"/>
  <c r="Q3953"/>
  <c r="R3953" s="1"/>
  <c r="Q3958"/>
  <c r="R3958" s="1"/>
  <c r="Q3963"/>
  <c r="R3963" s="1"/>
  <c r="Q3969"/>
  <c r="R3969" s="1"/>
  <c r="Q3979"/>
  <c r="R3979" s="1"/>
  <c r="Q3985"/>
  <c r="R3985" s="1"/>
  <c r="Q3990"/>
  <c r="R3990" s="1"/>
  <c r="Q3995"/>
  <c r="R3995" s="1"/>
  <c r="Q4001"/>
  <c r="R4001" s="1"/>
  <c r="Q4006"/>
  <c r="R4006" s="1"/>
  <c r="Q4011"/>
  <c r="R4011" s="1"/>
  <c r="Q4017"/>
  <c r="R4017" s="1"/>
  <c r="Q4022"/>
  <c r="R4022" s="1"/>
  <c r="Q4027"/>
  <c r="R4027" s="1"/>
  <c r="Q4033"/>
  <c r="R4033" s="1"/>
  <c r="Q4038"/>
  <c r="R4038" s="1"/>
  <c r="Q4043"/>
  <c r="R4043" s="1"/>
  <c r="Q4049"/>
  <c r="R4049" s="1"/>
  <c r="Q4054"/>
  <c r="R4054" s="1"/>
  <c r="Q4059"/>
  <c r="R4059" s="1"/>
  <c r="Q4065"/>
  <c r="R4065" s="1"/>
  <c r="Q4070"/>
  <c r="R4070" s="1"/>
  <c r="Q4075"/>
  <c r="R4075" s="1"/>
  <c r="Q4081"/>
  <c r="R4081" s="1"/>
  <c r="Q4086"/>
  <c r="R4086" s="1"/>
  <c r="Q4091"/>
  <c r="R4091" s="1"/>
  <c r="Q4097"/>
  <c r="R4097" s="1"/>
  <c r="Q4102"/>
  <c r="R4102" s="1"/>
  <c r="Q4107"/>
  <c r="R4107" s="1"/>
  <c r="Q4113"/>
  <c r="R4113" s="1"/>
  <c r="Q4117"/>
  <c r="R4117" s="1"/>
  <c r="Q4121"/>
  <c r="R4121" s="1"/>
  <c r="Q4125"/>
  <c r="R4125" s="1"/>
  <c r="Q4129"/>
  <c r="R4129" s="1"/>
  <c r="Q4133"/>
  <c r="R4133" s="1"/>
  <c r="Q4137"/>
  <c r="R4137" s="1"/>
  <c r="Q4141"/>
  <c r="R4141" s="1"/>
  <c r="Q4145"/>
  <c r="R4145" s="1"/>
  <c r="Q4149"/>
  <c r="R4149" s="1"/>
  <c r="Q4153"/>
  <c r="R4153" s="1"/>
  <c r="Q4157"/>
  <c r="R4157" s="1"/>
  <c r="Q4161"/>
  <c r="R4161" s="1"/>
  <c r="Q4165"/>
  <c r="R4165" s="1"/>
  <c r="Q4169"/>
  <c r="R4169" s="1"/>
  <c r="Q4173"/>
  <c r="R4173" s="1"/>
  <c r="Q4177"/>
  <c r="R4177" s="1"/>
  <c r="Q4181"/>
  <c r="R4181" s="1"/>
  <c r="Q4185"/>
  <c r="R4185" s="1"/>
  <c r="Q4189"/>
  <c r="R4189" s="1"/>
  <c r="Q4193"/>
  <c r="R4193" s="1"/>
  <c r="Q4197"/>
  <c r="R4197" s="1"/>
  <c r="Q4201"/>
  <c r="R4201" s="1"/>
  <c r="Q4205"/>
  <c r="R4205" s="1"/>
  <c r="Q4209"/>
  <c r="R4209" s="1"/>
  <c r="Q4213"/>
  <c r="R4213" s="1"/>
  <c r="Q4217"/>
  <c r="R4217" s="1"/>
  <c r="Q4221"/>
  <c r="R4221" s="1"/>
  <c r="Q4225"/>
  <c r="R4225" s="1"/>
  <c r="Q4229"/>
  <c r="R4229" s="1"/>
  <c r="Q4233"/>
  <c r="R4233" s="1"/>
  <c r="Q4237"/>
  <c r="R4237" s="1"/>
  <c r="Q4241"/>
  <c r="R4241" s="1"/>
  <c r="Q4245"/>
  <c r="R4245" s="1"/>
  <c r="Q4249"/>
  <c r="R4249" s="1"/>
  <c r="Q4253"/>
  <c r="R4253" s="1"/>
  <c r="Q4257"/>
  <c r="R4257" s="1"/>
  <c r="Q4261"/>
  <c r="R4261" s="1"/>
  <c r="Q4265"/>
  <c r="R4265" s="1"/>
  <c r="Q4269"/>
  <c r="R4269" s="1"/>
  <c r="Q4273"/>
  <c r="R4273" s="1"/>
  <c r="Q4277"/>
  <c r="R4277" s="1"/>
  <c r="Q4281"/>
  <c r="R4281" s="1"/>
  <c r="Q4285"/>
  <c r="R4285" s="1"/>
  <c r="Q4289"/>
  <c r="R4289" s="1"/>
  <c r="Q4293"/>
  <c r="R4293" s="1"/>
  <c r="Q4297"/>
  <c r="R4297" s="1"/>
  <c r="Q4301"/>
  <c r="R4301" s="1"/>
  <c r="Q4305"/>
  <c r="R4305" s="1"/>
  <c r="Q4309"/>
  <c r="R4309" s="1"/>
  <c r="Q4313"/>
  <c r="R4313" s="1"/>
  <c r="Q4317"/>
  <c r="R4317" s="1"/>
  <c r="Q4321"/>
  <c r="R4321" s="1"/>
  <c r="Q4325"/>
  <c r="R4325" s="1"/>
  <c r="Q4329"/>
  <c r="R4329" s="1"/>
  <c r="Q4333"/>
  <c r="R4333" s="1"/>
  <c r="Q4337"/>
  <c r="R4337" s="1"/>
  <c r="Q4341"/>
  <c r="R4341" s="1"/>
  <c r="Q4345"/>
  <c r="R4345" s="1"/>
  <c r="Q4349"/>
  <c r="R4349" s="1"/>
  <c r="Q4353"/>
  <c r="R4353" s="1"/>
  <c r="Q4357"/>
  <c r="R4357" s="1"/>
  <c r="Q4361"/>
  <c r="R4361" s="1"/>
  <c r="Q4365"/>
  <c r="R4365" s="1"/>
  <c r="Q4369"/>
  <c r="R4369" s="1"/>
  <c r="Q4373"/>
  <c r="R4373" s="1"/>
  <c r="Q4377"/>
  <c r="R4377" s="1"/>
  <c r="Q4381"/>
  <c r="R4381" s="1"/>
  <c r="Q4385"/>
  <c r="R4385" s="1"/>
  <c r="Q4389"/>
  <c r="R4389" s="1"/>
  <c r="Q4393"/>
  <c r="R4393" s="1"/>
  <c r="Q4397"/>
  <c r="R4397" s="1"/>
  <c r="Q4401"/>
  <c r="R4401" s="1"/>
  <c r="Q4405"/>
  <c r="R4405" s="1"/>
  <c r="Q4409"/>
  <c r="R4409" s="1"/>
  <c r="Q4413"/>
  <c r="R4413" s="1"/>
  <c r="Q4417"/>
  <c r="R4417" s="1"/>
  <c r="Q4421"/>
  <c r="R4421" s="1"/>
  <c r="Q4425"/>
  <c r="R4425" s="1"/>
  <c r="Q4429"/>
  <c r="R4429" s="1"/>
  <c r="Q4433"/>
  <c r="R4433" s="1"/>
  <c r="Q4437"/>
  <c r="R4437" s="1"/>
  <c r="Q4441"/>
  <c r="R4441" s="1"/>
  <c r="Q4445"/>
  <c r="R4445" s="1"/>
  <c r="Q4449"/>
  <c r="R4449" s="1"/>
  <c r="Q4453"/>
  <c r="R4453" s="1"/>
  <c r="Q4457"/>
  <c r="R4457" s="1"/>
  <c r="Q4461"/>
  <c r="R4461" s="1"/>
  <c r="Q4465"/>
  <c r="R4465" s="1"/>
  <c r="Q4469"/>
  <c r="R4469" s="1"/>
  <c r="Q4473"/>
  <c r="R4473" s="1"/>
  <c r="Q4477"/>
  <c r="R4477" s="1"/>
  <c r="Q4481"/>
  <c r="R4481" s="1"/>
  <c r="Q4485"/>
  <c r="R4485" s="1"/>
  <c r="Q4489"/>
  <c r="R4489" s="1"/>
  <c r="Q4493"/>
  <c r="R4493" s="1"/>
  <c r="Q4497"/>
  <c r="R4497" s="1"/>
  <c r="Q4501"/>
  <c r="R4501" s="1"/>
  <c r="Q4505"/>
  <c r="R4505" s="1"/>
  <c r="Q4509"/>
  <c r="R4509" s="1"/>
  <c r="Q4513"/>
  <c r="R4513" s="1"/>
  <c r="Q4517"/>
  <c r="R4517" s="1"/>
  <c r="Q4521"/>
  <c r="R4521" s="1"/>
  <c r="Q4525"/>
  <c r="R4525" s="1"/>
  <c r="Q4529"/>
  <c r="R4529" s="1"/>
  <c r="Q4533"/>
  <c r="R4533" s="1"/>
  <c r="Q4537"/>
  <c r="R4537" s="1"/>
  <c r="Q4541"/>
  <c r="R4541" s="1"/>
  <c r="Q4545"/>
  <c r="R4545" s="1"/>
  <c r="Q4549"/>
  <c r="R4549" s="1"/>
  <c r="Q4553"/>
  <c r="R4553" s="1"/>
  <c r="Q4557"/>
  <c r="R4557" s="1"/>
  <c r="Q4561"/>
  <c r="R4561" s="1"/>
  <c r="Q4565"/>
  <c r="R4565" s="1"/>
  <c r="Q4569"/>
  <c r="R4569" s="1"/>
  <c r="Q4573"/>
  <c r="R4573" s="1"/>
  <c r="Q4577"/>
  <c r="R4577" s="1"/>
  <c r="Q4581"/>
  <c r="R4581" s="1"/>
  <c r="Q4585"/>
  <c r="R4585" s="1"/>
  <c r="Q4589"/>
  <c r="R4589" s="1"/>
  <c r="Q4593"/>
  <c r="R4593" s="1"/>
  <c r="Q4597"/>
  <c r="R4597" s="1"/>
  <c r="Q4601"/>
  <c r="R4601" s="1"/>
  <c r="Q4605"/>
  <c r="R4605" s="1"/>
  <c r="Q4609"/>
  <c r="R4609" s="1"/>
  <c r="Q2791"/>
  <c r="R2791" s="1"/>
  <c r="Q2812"/>
  <c r="R2812" s="1"/>
  <c r="Q2834"/>
  <c r="R2834" s="1"/>
  <c r="Q2855"/>
  <c r="R2855" s="1"/>
  <c r="Q2871"/>
  <c r="R2871" s="1"/>
  <c r="Q2887"/>
  <c r="R2887" s="1"/>
  <c r="Q2903"/>
  <c r="R2903" s="1"/>
  <c r="Q2910"/>
  <c r="R2910" s="1"/>
  <c r="Q2915"/>
  <c r="R2915" s="1"/>
  <c r="Q2921"/>
  <c r="R2921" s="1"/>
  <c r="Q2926"/>
  <c r="R2926" s="1"/>
  <c r="Q2931"/>
  <c r="R2931" s="1"/>
  <c r="Q2937"/>
  <c r="R2937" s="1"/>
  <c r="Q2942"/>
  <c r="R2942" s="1"/>
  <c r="Q2947"/>
  <c r="R2947" s="1"/>
  <c r="Q2953"/>
  <c r="R2953" s="1"/>
  <c r="Q2958"/>
  <c r="R2958" s="1"/>
  <c r="Q2963"/>
  <c r="R2963" s="1"/>
  <c r="Q2969"/>
  <c r="R2969" s="1"/>
  <c r="Q2974"/>
  <c r="R2974" s="1"/>
  <c r="Q2979"/>
  <c r="R2979" s="1"/>
  <c r="Q2985"/>
  <c r="R2985" s="1"/>
  <c r="Q2990"/>
  <c r="R2990" s="1"/>
  <c r="Q2995"/>
  <c r="R2995" s="1"/>
  <c r="Q3001"/>
  <c r="R3001" s="1"/>
  <c r="Q3006"/>
  <c r="R3006" s="1"/>
  <c r="Q3011"/>
  <c r="R3011" s="1"/>
  <c r="Q3017"/>
  <c r="R3017" s="1"/>
  <c r="Q3022"/>
  <c r="R3022" s="1"/>
  <c r="Q3027"/>
  <c r="R3027" s="1"/>
  <c r="Q3033"/>
  <c r="R3033" s="1"/>
  <c r="Q3038"/>
  <c r="R3038" s="1"/>
  <c r="Q3043"/>
  <c r="R3043" s="1"/>
  <c r="Q3049"/>
  <c r="R3049" s="1"/>
  <c r="Q3054"/>
  <c r="R3054" s="1"/>
  <c r="Q3059"/>
  <c r="R3059" s="1"/>
  <c r="Q3065"/>
  <c r="R3065" s="1"/>
  <c r="Q3070"/>
  <c r="R3070" s="1"/>
  <c r="Q3075"/>
  <c r="R3075" s="1"/>
  <c r="Q3081"/>
  <c r="R3081" s="1"/>
  <c r="Q3086"/>
  <c r="R3086" s="1"/>
  <c r="Q3091"/>
  <c r="R3091" s="1"/>
  <c r="Q3097"/>
  <c r="R3097" s="1"/>
  <c r="Q3102"/>
  <c r="R3102" s="1"/>
  <c r="Q3107"/>
  <c r="R3107" s="1"/>
  <c r="Q3113"/>
  <c r="R3113" s="1"/>
  <c r="Q3118"/>
  <c r="R3118" s="1"/>
  <c r="Q3123"/>
  <c r="R3123" s="1"/>
  <c r="Q3129"/>
  <c r="R3129" s="1"/>
  <c r="Q3134"/>
  <c r="R3134" s="1"/>
  <c r="Q3139"/>
  <c r="R3139" s="1"/>
  <c r="Q3145"/>
  <c r="R3145" s="1"/>
  <c r="Q3150"/>
  <c r="R3150" s="1"/>
  <c r="Q3155"/>
  <c r="R3155" s="1"/>
  <c r="Q3161"/>
  <c r="R3161" s="1"/>
  <c r="Q3166"/>
  <c r="R3166" s="1"/>
  <c r="Q3171"/>
  <c r="R3171" s="1"/>
  <c r="Q3177"/>
  <c r="R3177" s="1"/>
  <c r="Q3182"/>
  <c r="R3182" s="1"/>
  <c r="Q3187"/>
  <c r="R3187" s="1"/>
  <c r="Q3207"/>
  <c r="R3207" s="1"/>
  <c r="Q3223"/>
  <c r="R3223" s="1"/>
  <c r="Q3234"/>
  <c r="R3234" s="1"/>
  <c r="Q3239"/>
  <c r="R3239" s="1"/>
  <c r="Q3249"/>
  <c r="R3249" s="1"/>
  <c r="Q3254"/>
  <c r="R3254" s="1"/>
  <c r="Q3259"/>
  <c r="R3259" s="1"/>
  <c r="Q3265"/>
  <c r="R3265" s="1"/>
  <c r="Q3270"/>
  <c r="R3270" s="1"/>
  <c r="Q3275"/>
  <c r="R3275" s="1"/>
  <c r="Q3285"/>
  <c r="R3285" s="1"/>
  <c r="Q3290"/>
  <c r="R3290" s="1"/>
  <c r="Q3295"/>
  <c r="R3295" s="1"/>
  <c r="Q3301"/>
  <c r="R3301" s="1"/>
  <c r="Q3306"/>
  <c r="R3306" s="1"/>
  <c r="Q3311"/>
  <c r="R3311" s="1"/>
  <c r="Q3317"/>
  <c r="R3317" s="1"/>
  <c r="Q3322"/>
  <c r="R3322" s="1"/>
  <c r="Q3327"/>
  <c r="R3327" s="1"/>
  <c r="Q3333"/>
  <c r="R3333" s="1"/>
  <c r="Q3338"/>
  <c r="R3338" s="1"/>
  <c r="Q3343"/>
  <c r="R3343" s="1"/>
  <c r="Q3349"/>
  <c r="R3349" s="1"/>
  <c r="Q3354"/>
  <c r="R3354" s="1"/>
  <c r="Q3359"/>
  <c r="R3359" s="1"/>
  <c r="Q3365"/>
  <c r="R3365" s="1"/>
  <c r="Q3370"/>
  <c r="R3370" s="1"/>
  <c r="Q3375"/>
  <c r="R3375" s="1"/>
  <c r="Q3381"/>
  <c r="R3381" s="1"/>
  <c r="Q3386"/>
  <c r="R3386" s="1"/>
  <c r="Q3391"/>
  <c r="R3391" s="1"/>
  <c r="Q3401"/>
  <c r="R3401" s="1"/>
  <c r="Q3406"/>
  <c r="R3406" s="1"/>
  <c r="Q3411"/>
  <c r="R3411" s="1"/>
  <c r="Q3417"/>
  <c r="R3417" s="1"/>
  <c r="Q3422"/>
  <c r="R3422" s="1"/>
  <c r="Q3427"/>
  <c r="R3427" s="1"/>
  <c r="Q3433"/>
  <c r="R3433" s="1"/>
  <c r="Q3438"/>
  <c r="R3438" s="1"/>
  <c r="Q3443"/>
  <c r="R3443" s="1"/>
  <c r="Q3449"/>
  <c r="R3449" s="1"/>
  <c r="Q3454"/>
  <c r="R3454" s="1"/>
  <c r="Q3459"/>
  <c r="R3459" s="1"/>
  <c r="Q3465"/>
  <c r="R3465" s="1"/>
  <c r="Q3470"/>
  <c r="R3470" s="1"/>
  <c r="Q3475"/>
  <c r="R3475" s="1"/>
  <c r="Q3481"/>
  <c r="R3481" s="1"/>
  <c r="Q3486"/>
  <c r="R3486" s="1"/>
  <c r="Q3491"/>
  <c r="R3491" s="1"/>
  <c r="Q3497"/>
  <c r="R3497" s="1"/>
  <c r="Q3502"/>
  <c r="R3502" s="1"/>
  <c r="Q3513"/>
  <c r="R3513" s="1"/>
  <c r="Q3523"/>
  <c r="R3523" s="1"/>
  <c r="Q3529"/>
  <c r="R3529" s="1"/>
  <c r="Q3539"/>
  <c r="R3539" s="1"/>
  <c r="Q3545"/>
  <c r="R3545" s="1"/>
  <c r="Q3550"/>
  <c r="R3550" s="1"/>
  <c r="Q3555"/>
  <c r="R3555" s="1"/>
  <c r="Q3561"/>
  <c r="R3561" s="1"/>
  <c r="Q3566"/>
  <c r="R3566" s="1"/>
  <c r="Q3571"/>
  <c r="R3571" s="1"/>
  <c r="Q3577"/>
  <c r="R3577" s="1"/>
  <c r="Q3582"/>
  <c r="R3582" s="1"/>
  <c r="Q3586"/>
  <c r="R3586" s="1"/>
  <c r="Q3590"/>
  <c r="R3590" s="1"/>
  <c r="Q3595"/>
  <c r="R3595" s="1"/>
  <c r="Q3601"/>
  <c r="R3601" s="1"/>
  <c r="Q3606"/>
  <c r="R3606" s="1"/>
  <c r="Q3611"/>
  <c r="R3611" s="1"/>
  <c r="Q3617"/>
  <c r="R3617" s="1"/>
  <c r="Q3622"/>
  <c r="R3622" s="1"/>
  <c r="Q3627"/>
  <c r="R3627" s="1"/>
  <c r="Q3633"/>
  <c r="R3633" s="1"/>
  <c r="Q3638"/>
  <c r="R3638" s="1"/>
  <c r="Q3642"/>
  <c r="R3642" s="1"/>
  <c r="Q3647"/>
  <c r="R3647" s="1"/>
  <c r="Q3653"/>
  <c r="R3653" s="1"/>
  <c r="Q3658"/>
  <c r="R3658" s="1"/>
  <c r="Q3663"/>
  <c r="R3663" s="1"/>
  <c r="Q3669"/>
  <c r="R3669" s="1"/>
  <c r="Q3674"/>
  <c r="R3674" s="1"/>
  <c r="Q3679"/>
  <c r="R3679" s="1"/>
  <c r="Q3685"/>
  <c r="R3685" s="1"/>
  <c r="Q3690"/>
  <c r="R3690" s="1"/>
  <c r="Q3695"/>
  <c r="R3695" s="1"/>
  <c r="Q3701"/>
  <c r="R3701" s="1"/>
  <c r="Q3706"/>
  <c r="R3706" s="1"/>
  <c r="Q3711"/>
  <c r="R3711" s="1"/>
  <c r="Q3715"/>
  <c r="R3715" s="1"/>
  <c r="Q3721"/>
  <c r="R3721" s="1"/>
  <c r="Q3726"/>
  <c r="R3726" s="1"/>
  <c r="Q3731"/>
  <c r="R3731" s="1"/>
  <c r="Q3737"/>
  <c r="R3737" s="1"/>
  <c r="Q3742"/>
  <c r="R3742" s="1"/>
  <c r="Q3747"/>
  <c r="R3747" s="1"/>
  <c r="Q3753"/>
  <c r="R3753" s="1"/>
  <c r="Q3758"/>
  <c r="R3758" s="1"/>
  <c r="Q3769"/>
  <c r="R3769" s="1"/>
  <c r="Q3774"/>
  <c r="R3774" s="1"/>
  <c r="Q3779"/>
  <c r="R3779" s="1"/>
  <c r="Q3785"/>
  <c r="R3785" s="1"/>
  <c r="Q3790"/>
  <c r="R3790" s="1"/>
  <c r="Q3795"/>
  <c r="R3795" s="1"/>
  <c r="Q3801"/>
  <c r="R3801" s="1"/>
  <c r="Q3806"/>
  <c r="R3806" s="1"/>
  <c r="Q3811"/>
  <c r="R3811" s="1"/>
  <c r="Q3817"/>
  <c r="R3817" s="1"/>
  <c r="Q3822"/>
  <c r="R3822" s="1"/>
  <c r="Q3827"/>
  <c r="R3827" s="1"/>
  <c r="Q3833"/>
  <c r="R3833" s="1"/>
  <c r="Q3838"/>
  <c r="R3838" s="1"/>
  <c r="Q3843"/>
  <c r="R3843" s="1"/>
  <c r="Q3849"/>
  <c r="R3849" s="1"/>
  <c r="Q3854"/>
  <c r="R3854" s="1"/>
  <c r="Q3859"/>
  <c r="R3859" s="1"/>
  <c r="Q3865"/>
  <c r="R3865" s="1"/>
  <c r="Q3870"/>
  <c r="R3870" s="1"/>
  <c r="Q3875"/>
  <c r="R3875" s="1"/>
  <c r="Q3881"/>
  <c r="R3881" s="1"/>
  <c r="Q3886"/>
  <c r="R3886" s="1"/>
  <c r="Q3891"/>
  <c r="R3891" s="1"/>
  <c r="Q3897"/>
  <c r="R3897" s="1"/>
  <c r="Q3902"/>
  <c r="R3902" s="1"/>
  <c r="Q3907"/>
  <c r="R3907" s="1"/>
  <c r="Q3917"/>
  <c r="R3917" s="1"/>
  <c r="Q3922"/>
  <c r="R3922" s="1"/>
  <c r="Q3927"/>
  <c r="R3927" s="1"/>
  <c r="Q3933"/>
  <c r="R3933" s="1"/>
  <c r="Q3938"/>
  <c r="R3938" s="1"/>
  <c r="Q3943"/>
  <c r="R3943" s="1"/>
  <c r="Q3949"/>
  <c r="R3949" s="1"/>
  <c r="Q3954"/>
  <c r="R3954" s="1"/>
  <c r="Q3965"/>
  <c r="R3965" s="1"/>
  <c r="Q3970"/>
  <c r="R3970" s="1"/>
  <c r="Q3975"/>
  <c r="R3975" s="1"/>
  <c r="Q3981"/>
  <c r="R3981" s="1"/>
  <c r="Q3986"/>
  <c r="R3986" s="1"/>
  <c r="Q3991"/>
  <c r="R3991" s="1"/>
  <c r="Q3997"/>
  <c r="R3997" s="1"/>
  <c r="Q4002"/>
  <c r="R4002" s="1"/>
  <c r="Q4007"/>
  <c r="R4007" s="1"/>
  <c r="Q4013"/>
  <c r="R4013" s="1"/>
  <c r="Q4018"/>
  <c r="R4018" s="1"/>
  <c r="Q4023"/>
  <c r="R4023" s="1"/>
  <c r="Q4029"/>
  <c r="R4029" s="1"/>
  <c r="Q4034"/>
  <c r="R4034" s="1"/>
  <c r="Q4039"/>
  <c r="R4039" s="1"/>
  <c r="Q4045"/>
  <c r="R4045" s="1"/>
  <c r="Q4050"/>
  <c r="R4050" s="1"/>
  <c r="Q4055"/>
  <c r="R4055" s="1"/>
  <c r="Q4061"/>
  <c r="R4061" s="1"/>
  <c r="Q4066"/>
  <c r="R4066" s="1"/>
  <c r="Q4071"/>
  <c r="R4071" s="1"/>
  <c r="Q4077"/>
  <c r="R4077" s="1"/>
  <c r="Q4082"/>
  <c r="R4082" s="1"/>
  <c r="Q4087"/>
  <c r="R4087" s="1"/>
  <c r="Q4093"/>
  <c r="R4093" s="1"/>
  <c r="Q4098"/>
  <c r="R4098" s="1"/>
  <c r="Q4103"/>
  <c r="R4103" s="1"/>
  <c r="Q4109"/>
  <c r="R4109" s="1"/>
  <c r="Q4114"/>
  <c r="R4114" s="1"/>
  <c r="Q4118"/>
  <c r="R4118" s="1"/>
  <c r="Q4122"/>
  <c r="R4122" s="1"/>
  <c r="Q4126"/>
  <c r="R4126" s="1"/>
  <c r="Q4130"/>
  <c r="R4130" s="1"/>
  <c r="Q4134"/>
  <c r="R4134" s="1"/>
  <c r="Q4138"/>
  <c r="R4138" s="1"/>
  <c r="Q4142"/>
  <c r="R4142" s="1"/>
  <c r="Q4146"/>
  <c r="R4146" s="1"/>
  <c r="Q4150"/>
  <c r="R4150" s="1"/>
  <c r="Q4154"/>
  <c r="R4154" s="1"/>
  <c r="Q4158"/>
  <c r="R4158" s="1"/>
  <c r="Q4162"/>
  <c r="R4162" s="1"/>
  <c r="Q4166"/>
  <c r="R4166" s="1"/>
  <c r="Q4170"/>
  <c r="R4170" s="1"/>
  <c r="Q4174"/>
  <c r="R4174" s="1"/>
  <c r="Q4178"/>
  <c r="R4178" s="1"/>
  <c r="Q4182"/>
  <c r="R4182" s="1"/>
  <c r="Q4186"/>
  <c r="R4186" s="1"/>
  <c r="Q4190"/>
  <c r="R4190" s="1"/>
  <c r="Q4194"/>
  <c r="R4194" s="1"/>
  <c r="Q4198"/>
  <c r="R4198" s="1"/>
  <c r="Q4202"/>
  <c r="R4202" s="1"/>
  <c r="Q4206"/>
  <c r="R4206" s="1"/>
  <c r="Q4210"/>
  <c r="R4210" s="1"/>
  <c r="Q4214"/>
  <c r="R4214" s="1"/>
  <c r="Q4218"/>
  <c r="R4218" s="1"/>
  <c r="Q4222"/>
  <c r="R4222" s="1"/>
  <c r="Q4226"/>
  <c r="R4226" s="1"/>
  <c r="Q4230"/>
  <c r="R4230" s="1"/>
  <c r="Q4234"/>
  <c r="R4234" s="1"/>
  <c r="Q4238"/>
  <c r="R4238" s="1"/>
  <c r="Q4242"/>
  <c r="R4242" s="1"/>
  <c r="Q4246"/>
  <c r="R4246" s="1"/>
  <c r="Q4250"/>
  <c r="R4250" s="1"/>
  <c r="Q4254"/>
  <c r="R4254" s="1"/>
  <c r="Q4258"/>
  <c r="R4258" s="1"/>
  <c r="Q4262"/>
  <c r="R4262" s="1"/>
  <c r="Q4266"/>
  <c r="R4266" s="1"/>
  <c r="Q4270"/>
  <c r="R4270" s="1"/>
  <c r="Q4274"/>
  <c r="R4274" s="1"/>
  <c r="Q4278"/>
  <c r="R4278" s="1"/>
  <c r="Q4282"/>
  <c r="R4282" s="1"/>
  <c r="Q4286"/>
  <c r="R4286" s="1"/>
  <c r="Q4290"/>
  <c r="R4290" s="1"/>
  <c r="Q4294"/>
  <c r="R4294" s="1"/>
  <c r="Q4298"/>
  <c r="R4298" s="1"/>
  <c r="Q4302"/>
  <c r="R4302" s="1"/>
  <c r="Q4306"/>
  <c r="R4306" s="1"/>
  <c r="Q4310"/>
  <c r="R4310" s="1"/>
  <c r="Q4314"/>
  <c r="R4314" s="1"/>
  <c r="Q4318"/>
  <c r="R4318" s="1"/>
  <c r="Q4322"/>
  <c r="R4322" s="1"/>
  <c r="Q4326"/>
  <c r="R4326" s="1"/>
  <c r="Q4330"/>
  <c r="R4330" s="1"/>
  <c r="Q4334"/>
  <c r="R4334" s="1"/>
  <c r="Q4338"/>
  <c r="R4338" s="1"/>
  <c r="Q4342"/>
  <c r="R4342" s="1"/>
  <c r="Q4346"/>
  <c r="R4346" s="1"/>
  <c r="Q4350"/>
  <c r="R4350" s="1"/>
  <c r="Q4354"/>
  <c r="R4354" s="1"/>
  <c r="Q4358"/>
  <c r="R4358" s="1"/>
  <c r="Q4362"/>
  <c r="R4362" s="1"/>
  <c r="Q4366"/>
  <c r="R4366" s="1"/>
  <c r="Q4370"/>
  <c r="R4370" s="1"/>
  <c r="Q4374"/>
  <c r="R4374" s="1"/>
  <c r="Q4378"/>
  <c r="R4378" s="1"/>
  <c r="Q4382"/>
  <c r="R4382" s="1"/>
  <c r="Q4386"/>
  <c r="R4386" s="1"/>
  <c r="Q4390"/>
  <c r="R4390" s="1"/>
  <c r="Q4394"/>
  <c r="R4394" s="1"/>
  <c r="Q4398"/>
  <c r="R4398" s="1"/>
  <c r="Q4402"/>
  <c r="R4402" s="1"/>
  <c r="Q4406"/>
  <c r="R4406" s="1"/>
  <c r="Q4410"/>
  <c r="R4410" s="1"/>
  <c r="Q4414"/>
  <c r="R4414" s="1"/>
  <c r="Q4418"/>
  <c r="R4418" s="1"/>
  <c r="Q4422"/>
  <c r="R4422" s="1"/>
  <c r="Q4426"/>
  <c r="R4426" s="1"/>
  <c r="Q4430"/>
  <c r="R4430" s="1"/>
  <c r="Q4434"/>
  <c r="R4434" s="1"/>
  <c r="Q4438"/>
  <c r="R4438" s="1"/>
  <c r="Q4442"/>
  <c r="R4442" s="1"/>
  <c r="Q4446"/>
  <c r="R4446" s="1"/>
  <c r="Q4450"/>
  <c r="R4450" s="1"/>
  <c r="Q4454"/>
  <c r="R4454" s="1"/>
  <c r="Q4458"/>
  <c r="R4458" s="1"/>
  <c r="Q4462"/>
  <c r="R4462" s="1"/>
  <c r="Q4466"/>
  <c r="R4466" s="1"/>
  <c r="Q4470"/>
  <c r="R4470" s="1"/>
  <c r="Q4474"/>
  <c r="R4474" s="1"/>
  <c r="Q4478"/>
  <c r="R4478" s="1"/>
  <c r="Q4482"/>
  <c r="R4482" s="1"/>
  <c r="Q4486"/>
  <c r="R4486" s="1"/>
  <c r="Q4490"/>
  <c r="R4490" s="1"/>
  <c r="Q4494"/>
  <c r="R4494" s="1"/>
  <c r="Q4498"/>
  <c r="R4498" s="1"/>
  <c r="Q4502"/>
  <c r="R4502" s="1"/>
  <c r="Q4506"/>
  <c r="R4506" s="1"/>
  <c r="Q4510"/>
  <c r="R4510" s="1"/>
  <c r="Q4514"/>
  <c r="R4514" s="1"/>
  <c r="Q4518"/>
  <c r="R4518" s="1"/>
  <c r="Q4522"/>
  <c r="R4522" s="1"/>
  <c r="Q4526"/>
  <c r="R4526" s="1"/>
  <c r="Q4530"/>
  <c r="R4530" s="1"/>
  <c r="Q4534"/>
  <c r="R4534" s="1"/>
  <c r="Q4538"/>
  <c r="R4538" s="1"/>
  <c r="Q4542"/>
  <c r="R4542" s="1"/>
  <c r="Q4546"/>
  <c r="R4546" s="1"/>
  <c r="Q4550"/>
  <c r="R4550" s="1"/>
  <c r="Q4554"/>
  <c r="R4554" s="1"/>
  <c r="Q4558"/>
  <c r="R4558" s="1"/>
  <c r="Q4562"/>
  <c r="R4562" s="1"/>
  <c r="Q4566"/>
  <c r="R4566" s="1"/>
  <c r="Q4570"/>
  <c r="R4570" s="1"/>
  <c r="Q4574"/>
  <c r="R4574" s="1"/>
  <c r="Q4578"/>
  <c r="R4578" s="1"/>
  <c r="Q4582"/>
  <c r="R4582" s="1"/>
  <c r="Q4586"/>
  <c r="R4586" s="1"/>
  <c r="Q4590"/>
  <c r="R4590" s="1"/>
  <c r="Q4594"/>
  <c r="R4594" s="1"/>
  <c r="Q4598"/>
  <c r="R4598" s="1"/>
  <c r="Q4602"/>
  <c r="R4602" s="1"/>
  <c r="Q4606"/>
  <c r="R4606" s="1"/>
  <c r="Q4610"/>
  <c r="R4610" s="1"/>
  <c r="Q4614"/>
  <c r="R4614" s="1"/>
  <c r="Q4618"/>
  <c r="R4618" s="1"/>
  <c r="Q4622"/>
  <c r="R4622" s="1"/>
  <c r="Q4626"/>
  <c r="R4626" s="1"/>
  <c r="Q4630"/>
  <c r="R4630" s="1"/>
  <c r="Q4634"/>
  <c r="R4634" s="1"/>
  <c r="Q4638"/>
  <c r="R4638" s="1"/>
  <c r="Q4646"/>
  <c r="R4646" s="1"/>
  <c r="Q4650"/>
  <c r="R4650" s="1"/>
  <c r="Q4654"/>
  <c r="R4654" s="1"/>
  <c r="Q4658"/>
  <c r="R4658" s="1"/>
  <c r="Q4662"/>
  <c r="R4662" s="1"/>
  <c r="Q4666"/>
  <c r="R4666" s="1"/>
  <c r="Q4670"/>
  <c r="R4670" s="1"/>
  <c r="Q4674"/>
  <c r="R4674" s="1"/>
  <c r="Q4678"/>
  <c r="R4678" s="1"/>
  <c r="Q4682"/>
  <c r="R4682" s="1"/>
  <c r="Q4690"/>
  <c r="R4690" s="1"/>
  <c r="Q4694"/>
  <c r="R4694" s="1"/>
  <c r="Q4698"/>
  <c r="R4698" s="1"/>
  <c r="Q4702"/>
  <c r="R4702" s="1"/>
  <c r="Q4706"/>
  <c r="R4706" s="1"/>
  <c r="Q4710"/>
  <c r="R4710" s="1"/>
  <c r="Q4714"/>
  <c r="R4714" s="1"/>
  <c r="Q4718"/>
  <c r="R4718" s="1"/>
  <c r="Q4722"/>
  <c r="R4722" s="1"/>
  <c r="Q4726"/>
  <c r="R4726" s="1"/>
  <c r="Q4730"/>
  <c r="R4730" s="1"/>
  <c r="Q4734"/>
  <c r="R4734" s="1"/>
  <c r="Q4738"/>
  <c r="R4738" s="1"/>
  <c r="Q4742"/>
  <c r="R4742" s="1"/>
  <c r="Q4746"/>
  <c r="R4746" s="1"/>
  <c r="Q4754"/>
  <c r="R4754" s="1"/>
  <c r="Q4758"/>
  <c r="R4758" s="1"/>
  <c r="Q4762"/>
  <c r="R4762" s="1"/>
  <c r="Q4766"/>
  <c r="R4766" s="1"/>
  <c r="Q4770"/>
  <c r="R4770" s="1"/>
  <c r="Q4774"/>
  <c r="R4774" s="1"/>
  <c r="Q4778"/>
  <c r="R4778" s="1"/>
  <c r="Q4782"/>
  <c r="R4782" s="1"/>
  <c r="Q4790"/>
  <c r="R4790" s="1"/>
  <c r="Q4794"/>
  <c r="R4794" s="1"/>
  <c r="Q4798"/>
  <c r="R4798" s="1"/>
  <c r="Q4802"/>
  <c r="R4802" s="1"/>
  <c r="Q4806"/>
  <c r="R4806" s="1"/>
  <c r="Q4810"/>
  <c r="R4810" s="1"/>
  <c r="Q4814"/>
  <c r="R4814" s="1"/>
  <c r="Q4818"/>
  <c r="R4818" s="1"/>
  <c r="Q4826"/>
  <c r="R4826" s="1"/>
  <c r="Q4830"/>
  <c r="R4830" s="1"/>
  <c r="Q4834"/>
  <c r="R4834" s="1"/>
  <c r="Q4838"/>
  <c r="R4838" s="1"/>
  <c r="Q4842"/>
  <c r="R4842" s="1"/>
  <c r="Q4846"/>
  <c r="R4846" s="1"/>
  <c r="Q4850"/>
  <c r="R4850" s="1"/>
  <c r="Q4854"/>
  <c r="R4854" s="1"/>
  <c r="Q4858"/>
  <c r="R4858" s="1"/>
  <c r="Q4862"/>
  <c r="R4862" s="1"/>
  <c r="Q4866"/>
  <c r="R4866" s="1"/>
  <c r="Q4870"/>
  <c r="R4870" s="1"/>
  <c r="Q4878"/>
  <c r="R4878" s="1"/>
  <c r="Q4882"/>
  <c r="R4882" s="1"/>
  <c r="Q4886"/>
  <c r="R4886" s="1"/>
  <c r="Q4890"/>
  <c r="R4890" s="1"/>
  <c r="Q4894"/>
  <c r="R4894" s="1"/>
  <c r="Q4902"/>
  <c r="R4902" s="1"/>
  <c r="Q4906"/>
  <c r="R4906" s="1"/>
  <c r="Q4910"/>
  <c r="R4910" s="1"/>
  <c r="Q4914"/>
  <c r="R4914" s="1"/>
  <c r="Q4918"/>
  <c r="R4918" s="1"/>
  <c r="Q4922"/>
  <c r="R4922" s="1"/>
  <c r="Q4926"/>
  <c r="R4926" s="1"/>
  <c r="Q4930"/>
  <c r="R4930" s="1"/>
  <c r="Q4934"/>
  <c r="R4934" s="1"/>
  <c r="Q4938"/>
  <c r="R4938" s="1"/>
  <c r="Q2775"/>
  <c r="R2775" s="1"/>
  <c r="Q2796"/>
  <c r="R2796" s="1"/>
  <c r="Q2818"/>
  <c r="R2818" s="1"/>
  <c r="Q2839"/>
  <c r="R2839" s="1"/>
  <c r="Q2859"/>
  <c r="R2859" s="1"/>
  <c r="Q2875"/>
  <c r="R2875" s="1"/>
  <c r="Q2891"/>
  <c r="R2891" s="1"/>
  <c r="Q2906"/>
  <c r="R2906" s="1"/>
  <c r="Q2911"/>
  <c r="R2911" s="1"/>
  <c r="Q2917"/>
  <c r="R2917" s="1"/>
  <c r="Q2922"/>
  <c r="R2922" s="1"/>
  <c r="Q2927"/>
  <c r="R2927" s="1"/>
  <c r="Q2933"/>
  <c r="R2933" s="1"/>
  <c r="Q2938"/>
  <c r="R2938" s="1"/>
  <c r="Q2943"/>
  <c r="R2943" s="1"/>
  <c r="Q2949"/>
  <c r="R2949" s="1"/>
  <c r="Q2954"/>
  <c r="R2954" s="1"/>
  <c r="Q2959"/>
  <c r="R2959" s="1"/>
  <c r="Q2965"/>
  <c r="R2965" s="1"/>
  <c r="Q2970"/>
  <c r="R2970" s="1"/>
  <c r="Q2975"/>
  <c r="R2975" s="1"/>
  <c r="Q2981"/>
  <c r="R2981" s="1"/>
  <c r="Q2986"/>
  <c r="R2986" s="1"/>
  <c r="Q2991"/>
  <c r="R2991" s="1"/>
  <c r="Q2997"/>
  <c r="R2997" s="1"/>
  <c r="Q3002"/>
  <c r="R3002" s="1"/>
  <c r="Q3007"/>
  <c r="R3007" s="1"/>
  <c r="Q3013"/>
  <c r="R3013" s="1"/>
  <c r="Q3018"/>
  <c r="R3018" s="1"/>
  <c r="Q3023"/>
  <c r="R3023" s="1"/>
  <c r="Q3029"/>
  <c r="R3029" s="1"/>
  <c r="Q3034"/>
  <c r="R3034" s="1"/>
  <c r="Q3039"/>
  <c r="R3039" s="1"/>
  <c r="Q3045"/>
  <c r="R3045" s="1"/>
  <c r="Q3050"/>
  <c r="R3050" s="1"/>
  <c r="Q3055"/>
  <c r="R3055" s="1"/>
  <c r="Q3061"/>
  <c r="R3061" s="1"/>
  <c r="Q3066"/>
  <c r="R3066" s="1"/>
  <c r="Q3071"/>
  <c r="R3071" s="1"/>
  <c r="Q3077"/>
  <c r="R3077" s="1"/>
  <c r="Q3082"/>
  <c r="R3082" s="1"/>
  <c r="Q3087"/>
  <c r="R3087" s="1"/>
  <c r="Q3093"/>
  <c r="R3093" s="1"/>
  <c r="Q3098"/>
  <c r="R3098" s="1"/>
  <c r="Q3103"/>
  <c r="R3103" s="1"/>
  <c r="Q3109"/>
  <c r="R3109" s="1"/>
  <c r="Q3114"/>
  <c r="R3114" s="1"/>
  <c r="Q3119"/>
  <c r="R3119" s="1"/>
  <c r="Q3125"/>
  <c r="R3125" s="1"/>
  <c r="Q3130"/>
  <c r="R3130" s="1"/>
  <c r="Q3135"/>
  <c r="R3135" s="1"/>
  <c r="Q3141"/>
  <c r="R3141" s="1"/>
  <c r="Q3146"/>
  <c r="R3146" s="1"/>
  <c r="Q3151"/>
  <c r="R3151" s="1"/>
  <c r="Q3157"/>
  <c r="R3157" s="1"/>
  <c r="Q3162"/>
  <c r="R3162" s="1"/>
  <c r="Q3167"/>
  <c r="R3167" s="1"/>
  <c r="Q3173"/>
  <c r="R3173" s="1"/>
  <c r="Q3178"/>
  <c r="R3178" s="1"/>
  <c r="Q3183"/>
  <c r="R3183" s="1"/>
  <c r="Q3189"/>
  <c r="R3189" s="1"/>
  <c r="Q2780"/>
  <c r="R2780" s="1"/>
  <c r="Q2802"/>
  <c r="R2802" s="1"/>
  <c r="Q2823"/>
  <c r="R2823" s="1"/>
  <c r="Q2844"/>
  <c r="R2844" s="1"/>
  <c r="Q2863"/>
  <c r="R2863" s="1"/>
  <c r="Q2879"/>
  <c r="R2879" s="1"/>
  <c r="Q2895"/>
  <c r="R2895" s="1"/>
  <c r="Q2907"/>
  <c r="R2907" s="1"/>
  <c r="Q2913"/>
  <c r="R2913" s="1"/>
  <c r="Q2918"/>
  <c r="R2918" s="1"/>
  <c r="Q2923"/>
  <c r="R2923" s="1"/>
  <c r="Q2929"/>
  <c r="R2929" s="1"/>
  <c r="Q2934"/>
  <c r="R2934" s="1"/>
  <c r="Q2939"/>
  <c r="R2939" s="1"/>
  <c r="Q2945"/>
  <c r="R2945" s="1"/>
  <c r="Q2950"/>
  <c r="R2950" s="1"/>
  <c r="Q2955"/>
  <c r="R2955" s="1"/>
  <c r="Q2961"/>
  <c r="R2961" s="1"/>
  <c r="Q2966"/>
  <c r="R2966" s="1"/>
  <c r="Q2971"/>
  <c r="R2971" s="1"/>
  <c r="Q2977"/>
  <c r="R2977" s="1"/>
  <c r="Q2982"/>
  <c r="R2982" s="1"/>
  <c r="Q2987"/>
  <c r="R2987" s="1"/>
  <c r="Q2993"/>
  <c r="R2993" s="1"/>
  <c r="Q2998"/>
  <c r="R2998" s="1"/>
  <c r="Q3003"/>
  <c r="R3003" s="1"/>
  <c r="Q3009"/>
  <c r="R3009" s="1"/>
  <c r="Q3014"/>
  <c r="R3014" s="1"/>
  <c r="Q3019"/>
  <c r="R3019" s="1"/>
  <c r="Q3025"/>
  <c r="R3025" s="1"/>
  <c r="Q3030"/>
  <c r="R3030" s="1"/>
  <c r="Q3035"/>
  <c r="R3035" s="1"/>
  <c r="Q3041"/>
  <c r="R3041" s="1"/>
  <c r="Q3046"/>
  <c r="R3046" s="1"/>
  <c r="Q3051"/>
  <c r="R3051" s="1"/>
  <c r="Q3057"/>
  <c r="R3057" s="1"/>
  <c r="Q3062"/>
  <c r="R3062" s="1"/>
  <c r="Q3067"/>
  <c r="R3067" s="1"/>
  <c r="Q3073"/>
  <c r="R3073" s="1"/>
  <c r="Q3078"/>
  <c r="R3078" s="1"/>
  <c r="Q3083"/>
  <c r="R3083" s="1"/>
  <c r="Q3089"/>
  <c r="R3089" s="1"/>
  <c r="Q3094"/>
  <c r="R3094" s="1"/>
  <c r="Q3099"/>
  <c r="R3099" s="1"/>
  <c r="Q3105"/>
  <c r="R3105" s="1"/>
  <c r="Q3110"/>
  <c r="R3110" s="1"/>
  <c r="Q3115"/>
  <c r="R3115" s="1"/>
  <c r="Q3121"/>
  <c r="R3121" s="1"/>
  <c r="Q3126"/>
  <c r="R3126" s="1"/>
  <c r="Q3131"/>
  <c r="R3131" s="1"/>
  <c r="Q3137"/>
  <c r="R3137" s="1"/>
  <c r="Q3142"/>
  <c r="R3142" s="1"/>
  <c r="Q3147"/>
  <c r="R3147" s="1"/>
  <c r="Q3153"/>
  <c r="R3153" s="1"/>
  <c r="Q3158"/>
  <c r="R3158" s="1"/>
  <c r="Q3163"/>
  <c r="R3163" s="1"/>
  <c r="Q3169"/>
  <c r="R3169" s="1"/>
  <c r="Q3174"/>
  <c r="R3174" s="1"/>
  <c r="Q3179"/>
  <c r="R3179" s="1"/>
  <c r="Q3190"/>
  <c r="R3190" s="1"/>
  <c r="Q3193"/>
  <c r="R3193" s="1"/>
  <c r="Q3199"/>
  <c r="R3199" s="1"/>
  <c r="Q3209"/>
  <c r="R3209" s="1"/>
  <c r="Q3215"/>
  <c r="R3215" s="1"/>
  <c r="Q3230"/>
  <c r="R3230" s="1"/>
  <c r="Q3241"/>
  <c r="R3241" s="1"/>
  <c r="Q3246"/>
  <c r="R3246" s="1"/>
  <c r="Q3257"/>
  <c r="R3257" s="1"/>
  <c r="Q3267"/>
  <c r="R3267" s="1"/>
  <c r="Q3277"/>
  <c r="R3277" s="1"/>
  <c r="Q3293"/>
  <c r="R3293" s="1"/>
  <c r="Q3302"/>
  <c r="R3302" s="1"/>
  <c r="Q3313"/>
  <c r="R3313" s="1"/>
  <c r="Q3330"/>
  <c r="R3330" s="1"/>
  <c r="Q3341"/>
  <c r="R3341" s="1"/>
  <c r="Q3350"/>
  <c r="R3350" s="1"/>
  <c r="Q3361"/>
  <c r="R3361" s="1"/>
  <c r="Q3371"/>
  <c r="R3371" s="1"/>
  <c r="Q3382"/>
  <c r="R3382" s="1"/>
  <c r="Q3398"/>
  <c r="R3398" s="1"/>
  <c r="Q3409"/>
  <c r="R3409" s="1"/>
  <c r="Q3418"/>
  <c r="R3418" s="1"/>
  <c r="Q3429"/>
  <c r="R3429" s="1"/>
  <c r="Q3435"/>
  <c r="R3435" s="1"/>
  <c r="Q3445"/>
  <c r="R3445" s="1"/>
  <c r="Q3477"/>
  <c r="R3477" s="1"/>
  <c r="Q3483"/>
  <c r="R3483" s="1"/>
  <c r="Q3505"/>
  <c r="R3505" s="1"/>
  <c r="Q3514"/>
  <c r="R3514" s="1"/>
  <c r="Q3521"/>
  <c r="R3521" s="1"/>
  <c r="Q3531"/>
  <c r="R3531" s="1"/>
  <c r="Q3547"/>
  <c r="R3547" s="1"/>
  <c r="Q3567"/>
  <c r="R3567" s="1"/>
  <c r="Q3578"/>
  <c r="R3578" s="1"/>
  <c r="Q3587"/>
  <c r="R3587" s="1"/>
  <c r="Q3607"/>
  <c r="R3607" s="1"/>
  <c r="Q3618"/>
  <c r="R3618" s="1"/>
  <c r="Q3629"/>
  <c r="R3629" s="1"/>
  <c r="Q3645"/>
  <c r="R3645" s="1"/>
  <c r="Q3655"/>
  <c r="R3655" s="1"/>
  <c r="Q3666"/>
  <c r="R3666" s="1"/>
  <c r="Q3677"/>
  <c r="R3677" s="1"/>
  <c r="Q3687"/>
  <c r="R3687" s="1"/>
  <c r="Q3698"/>
  <c r="R3698" s="1"/>
  <c r="Q3709"/>
  <c r="R3709" s="1"/>
  <c r="Q3729"/>
  <c r="R3729" s="1"/>
  <c r="Q3739"/>
  <c r="R3739" s="1"/>
  <c r="Q3750"/>
  <c r="R3750" s="1"/>
  <c r="Q3761"/>
  <c r="R3761" s="1"/>
  <c r="Q3771"/>
  <c r="R3771" s="1"/>
  <c r="Q3782"/>
  <c r="R3782" s="1"/>
  <c r="Q3793"/>
  <c r="R3793" s="1"/>
  <c r="Q3803"/>
  <c r="R3803" s="1"/>
  <c r="Q3814"/>
  <c r="R3814" s="1"/>
  <c r="Q3825"/>
  <c r="R3825" s="1"/>
  <c r="Q3835"/>
  <c r="R3835" s="1"/>
  <c r="Q3846"/>
  <c r="R3846" s="1"/>
  <c r="Q3857"/>
  <c r="R3857" s="1"/>
  <c r="Q3877"/>
  <c r="R3877" s="1"/>
  <c r="Q3893"/>
  <c r="R3893" s="1"/>
  <c r="Q3903"/>
  <c r="R3903" s="1"/>
  <c r="Q3910"/>
  <c r="R3910" s="1"/>
  <c r="Q3918"/>
  <c r="R3918" s="1"/>
  <c r="Q3929"/>
  <c r="R3929" s="1"/>
  <c r="Q3939"/>
  <c r="R3939" s="1"/>
  <c r="Q3961"/>
  <c r="R3961" s="1"/>
  <c r="Q3971"/>
  <c r="R3971" s="1"/>
  <c r="Q3978"/>
  <c r="R3978" s="1"/>
  <c r="Q3989"/>
  <c r="R3989" s="1"/>
  <c r="Q3999"/>
  <c r="R3999" s="1"/>
  <c r="Q4010"/>
  <c r="R4010" s="1"/>
  <c r="Q4021"/>
  <c r="R4021" s="1"/>
  <c r="Q4031"/>
  <c r="R4031" s="1"/>
  <c r="Q4042"/>
  <c r="R4042" s="1"/>
  <c r="Q4053"/>
  <c r="R4053" s="1"/>
  <c r="Q4063"/>
  <c r="R4063" s="1"/>
  <c r="Q4074"/>
  <c r="R4074" s="1"/>
  <c r="Q4085"/>
  <c r="R4085" s="1"/>
  <c r="Q4095"/>
  <c r="R4095" s="1"/>
  <c r="Q4106"/>
  <c r="R4106" s="1"/>
  <c r="Q4116"/>
  <c r="R4116" s="1"/>
  <c r="Q4124"/>
  <c r="R4124" s="1"/>
  <c r="Q4132"/>
  <c r="R4132" s="1"/>
  <c r="Q4140"/>
  <c r="R4140" s="1"/>
  <c r="Q4148"/>
  <c r="R4148" s="1"/>
  <c r="Q4156"/>
  <c r="R4156" s="1"/>
  <c r="Q4164"/>
  <c r="R4164" s="1"/>
  <c r="Q4172"/>
  <c r="R4172" s="1"/>
  <c r="Q4180"/>
  <c r="R4180" s="1"/>
  <c r="Q4188"/>
  <c r="R4188" s="1"/>
  <c r="Q4196"/>
  <c r="R4196" s="1"/>
  <c r="Q4204"/>
  <c r="R4204" s="1"/>
  <c r="Q4212"/>
  <c r="R4212" s="1"/>
  <c r="Q4220"/>
  <c r="R4220" s="1"/>
  <c r="Q4228"/>
  <c r="R4228" s="1"/>
  <c r="Q4236"/>
  <c r="R4236" s="1"/>
  <c r="Q4244"/>
  <c r="R4244" s="1"/>
  <c r="Q4252"/>
  <c r="R4252" s="1"/>
  <c r="Q4260"/>
  <c r="R4260" s="1"/>
  <c r="Q4268"/>
  <c r="R4268" s="1"/>
  <c r="Q4276"/>
  <c r="R4276" s="1"/>
  <c r="Q4284"/>
  <c r="R4284" s="1"/>
  <c r="Q4292"/>
  <c r="R4292" s="1"/>
  <c r="Q4300"/>
  <c r="R4300" s="1"/>
  <c r="Q4308"/>
  <c r="R4308" s="1"/>
  <c r="Q4316"/>
  <c r="R4316" s="1"/>
  <c r="Q4324"/>
  <c r="R4324" s="1"/>
  <c r="Q4332"/>
  <c r="R4332" s="1"/>
  <c r="Q4340"/>
  <c r="R4340" s="1"/>
  <c r="Q4348"/>
  <c r="R4348" s="1"/>
  <c r="Q4356"/>
  <c r="R4356" s="1"/>
  <c r="Q4364"/>
  <c r="R4364" s="1"/>
  <c r="Q4372"/>
  <c r="R4372" s="1"/>
  <c r="Q4380"/>
  <c r="R4380" s="1"/>
  <c r="Q4388"/>
  <c r="R4388" s="1"/>
  <c r="Q4396"/>
  <c r="R4396" s="1"/>
  <c r="Q4404"/>
  <c r="R4404" s="1"/>
  <c r="Q4412"/>
  <c r="R4412" s="1"/>
  <c r="Q4420"/>
  <c r="R4420" s="1"/>
  <c r="Q4428"/>
  <c r="R4428" s="1"/>
  <c r="Q4436"/>
  <c r="R4436" s="1"/>
  <c r="Q4444"/>
  <c r="R4444" s="1"/>
  <c r="Q4452"/>
  <c r="R4452" s="1"/>
  <c r="Q4460"/>
  <c r="R4460" s="1"/>
  <c r="Q4468"/>
  <c r="R4468" s="1"/>
  <c r="Q4476"/>
  <c r="R4476" s="1"/>
  <c r="Q4484"/>
  <c r="R4484" s="1"/>
  <c r="Q4492"/>
  <c r="R4492" s="1"/>
  <c r="Q4500"/>
  <c r="R4500" s="1"/>
  <c r="Q4508"/>
  <c r="R4508" s="1"/>
  <c r="Q4516"/>
  <c r="R4516" s="1"/>
  <c r="Q4524"/>
  <c r="R4524" s="1"/>
  <c r="Q4532"/>
  <c r="R4532" s="1"/>
  <c r="Q4540"/>
  <c r="R4540" s="1"/>
  <c r="Q4548"/>
  <c r="R4548" s="1"/>
  <c r="Q4556"/>
  <c r="R4556" s="1"/>
  <c r="Q4564"/>
  <c r="R4564" s="1"/>
  <c r="Q4572"/>
  <c r="R4572" s="1"/>
  <c r="Q4580"/>
  <c r="R4580" s="1"/>
  <c r="Q4588"/>
  <c r="R4588" s="1"/>
  <c r="Q4596"/>
  <c r="R4596" s="1"/>
  <c r="Q4604"/>
  <c r="R4604" s="1"/>
  <c r="Q4612"/>
  <c r="R4612" s="1"/>
  <c r="Q4617"/>
  <c r="R4617" s="1"/>
  <c r="Q4623"/>
  <c r="R4623" s="1"/>
  <c r="Q4628"/>
  <c r="R4628" s="1"/>
  <c r="Q4633"/>
  <c r="R4633" s="1"/>
  <c r="Q4639"/>
  <c r="R4639" s="1"/>
  <c r="Q4643"/>
  <c r="R4643" s="1"/>
  <c r="Q4648"/>
  <c r="R4648" s="1"/>
  <c r="Q4653"/>
  <c r="R4653" s="1"/>
  <c r="Q4659"/>
  <c r="R4659" s="1"/>
  <c r="Q4664"/>
  <c r="R4664" s="1"/>
  <c r="Q4669"/>
  <c r="R4669" s="1"/>
  <c r="Q4675"/>
  <c r="R4675" s="1"/>
  <c r="Q4680"/>
  <c r="R4680" s="1"/>
  <c r="Q4691"/>
  <c r="R4691" s="1"/>
  <c r="Q4696"/>
  <c r="R4696" s="1"/>
  <c r="Q4701"/>
  <c r="R4701" s="1"/>
  <c r="Q4707"/>
  <c r="R4707" s="1"/>
  <c r="Q4712"/>
  <c r="R4712" s="1"/>
  <c r="Q4717"/>
  <c r="R4717" s="1"/>
  <c r="Q4723"/>
  <c r="R4723" s="1"/>
  <c r="Q4728"/>
  <c r="R4728" s="1"/>
  <c r="Q4733"/>
  <c r="R4733" s="1"/>
  <c r="Q4739"/>
  <c r="R4739" s="1"/>
  <c r="Q4744"/>
  <c r="R4744" s="1"/>
  <c r="Q4749"/>
  <c r="R4749" s="1"/>
  <c r="Q4755"/>
  <c r="R4755" s="1"/>
  <c r="Q4760"/>
  <c r="R4760" s="1"/>
  <c r="Q4765"/>
  <c r="R4765" s="1"/>
  <c r="Q4771"/>
  <c r="R4771" s="1"/>
  <c r="Q4776"/>
  <c r="R4776" s="1"/>
  <c r="Q4781"/>
  <c r="R4781" s="1"/>
  <c r="Q4787"/>
  <c r="R4787" s="1"/>
  <c r="Q4792"/>
  <c r="R4792" s="1"/>
  <c r="Q4797"/>
  <c r="R4797" s="1"/>
  <c r="Q4803"/>
  <c r="R4803" s="1"/>
  <c r="Q4808"/>
  <c r="R4808" s="1"/>
  <c r="Q4819"/>
  <c r="R4819" s="1"/>
  <c r="Q4823"/>
  <c r="R4823" s="1"/>
  <c r="Q4828"/>
  <c r="R4828" s="1"/>
  <c r="Q4833"/>
  <c r="R4833" s="1"/>
  <c r="Q4839"/>
  <c r="R4839" s="1"/>
  <c r="Q4844"/>
  <c r="R4844" s="1"/>
  <c r="Q4849"/>
  <c r="R4849" s="1"/>
  <c r="Q4855"/>
  <c r="R4855" s="1"/>
  <c r="Q4860"/>
  <c r="R4860" s="1"/>
  <c r="Q4865"/>
  <c r="R4865" s="1"/>
  <c r="Q4871"/>
  <c r="R4871" s="1"/>
  <c r="Q4875"/>
  <c r="R4875" s="1"/>
  <c r="Q4880"/>
  <c r="R4880" s="1"/>
  <c r="Q4885"/>
  <c r="R4885" s="1"/>
  <c r="Q4891"/>
  <c r="R4891" s="1"/>
  <c r="Q4896"/>
  <c r="R4896" s="1"/>
  <c r="Q4900"/>
  <c r="R4900" s="1"/>
  <c r="Q4905"/>
  <c r="R4905" s="1"/>
  <c r="Q4911"/>
  <c r="R4911" s="1"/>
  <c r="Q4921"/>
  <c r="R4921" s="1"/>
  <c r="Q4927"/>
  <c r="R4927" s="1"/>
  <c r="Q4932"/>
  <c r="R4932" s="1"/>
  <c r="Q4937"/>
  <c r="R4937" s="1"/>
  <c r="Q4942"/>
  <c r="R4942" s="1"/>
  <c r="Q4950"/>
  <c r="R4950" s="1"/>
  <c r="Q4954"/>
  <c r="R4954" s="1"/>
  <c r="Q4958"/>
  <c r="R4958" s="1"/>
  <c r="Q4962"/>
  <c r="R4962" s="1"/>
  <c r="Q4966"/>
  <c r="R4966" s="1"/>
  <c r="Q4970"/>
  <c r="R4970" s="1"/>
  <c r="Q4974"/>
  <c r="R4974" s="1"/>
  <c r="Q4978"/>
  <c r="R4978" s="1"/>
  <c r="Q4982"/>
  <c r="R4982" s="1"/>
  <c r="Q4986"/>
  <c r="R4986" s="1"/>
  <c r="Q4990"/>
  <c r="R4990" s="1"/>
  <c r="Q4994"/>
  <c r="R4994" s="1"/>
  <c r="Q5002"/>
  <c r="R5002" s="1"/>
  <c r="Q5006"/>
  <c r="R5006" s="1"/>
  <c r="Q5010"/>
  <c r="R5010" s="1"/>
  <c r="Q5014"/>
  <c r="R5014" s="1"/>
  <c r="Q5018"/>
  <c r="R5018" s="1"/>
  <c r="Q5026"/>
  <c r="R5026" s="1"/>
  <c r="Q5030"/>
  <c r="R5030" s="1"/>
  <c r="Q5034"/>
  <c r="R5034" s="1"/>
  <c r="Q5042"/>
  <c r="R5042" s="1"/>
  <c r="Q5046"/>
  <c r="R5046" s="1"/>
  <c r="Q5050"/>
  <c r="R5050" s="1"/>
  <c r="Q5054"/>
  <c r="R5054" s="1"/>
  <c r="Q5058"/>
  <c r="R5058" s="1"/>
  <c r="Q5062"/>
  <c r="R5062" s="1"/>
  <c r="Q5066"/>
  <c r="R5066" s="1"/>
  <c r="Q5070"/>
  <c r="R5070" s="1"/>
  <c r="Q5074"/>
  <c r="R5074" s="1"/>
  <c r="Q5078"/>
  <c r="R5078" s="1"/>
  <c r="Q5082"/>
  <c r="R5082" s="1"/>
  <c r="Q5086"/>
  <c r="R5086" s="1"/>
  <c r="Q5090"/>
  <c r="R5090" s="1"/>
  <c r="Q5094"/>
  <c r="R5094" s="1"/>
  <c r="Q5098"/>
  <c r="R5098" s="1"/>
  <c r="Q5102"/>
  <c r="R5102" s="1"/>
  <c r="Q4708"/>
  <c r="R4708" s="1"/>
  <c r="Q4719"/>
  <c r="R4719" s="1"/>
  <c r="Q4729"/>
  <c r="R4729" s="1"/>
  <c r="Q4735"/>
  <c r="R4735" s="1"/>
  <c r="Q4745"/>
  <c r="R4745" s="1"/>
  <c r="Q4761"/>
  <c r="R4761" s="1"/>
  <c r="Q4767"/>
  <c r="R4767" s="1"/>
  <c r="Q4777"/>
  <c r="R4777" s="1"/>
  <c r="Q4783"/>
  <c r="R4783" s="1"/>
  <c r="Q4793"/>
  <c r="R4793" s="1"/>
  <c r="Q4799"/>
  <c r="R4799" s="1"/>
  <c r="Q4809"/>
  <c r="R4809" s="1"/>
  <c r="Q4815"/>
  <c r="R4815" s="1"/>
  <c r="Q4824"/>
  <c r="R4824" s="1"/>
  <c r="Q4829"/>
  <c r="R4829" s="1"/>
  <c r="Q4840"/>
  <c r="R4840" s="1"/>
  <c r="Q4845"/>
  <c r="R4845" s="1"/>
  <c r="Q4851"/>
  <c r="R4851" s="1"/>
  <c r="Q4856"/>
  <c r="R4856" s="1"/>
  <c r="Q4861"/>
  <c r="R4861" s="1"/>
  <c r="Q4872"/>
  <c r="R4872" s="1"/>
  <c r="Q4876"/>
  <c r="R4876" s="1"/>
  <c r="Q4897"/>
  <c r="R4897" s="1"/>
  <c r="Q4907"/>
  <c r="R4907" s="1"/>
  <c r="Q4912"/>
  <c r="R4912" s="1"/>
  <c r="Q4933"/>
  <c r="R4933" s="1"/>
  <c r="Q4939"/>
  <c r="R4939" s="1"/>
  <c r="Q4947"/>
  <c r="R4947" s="1"/>
  <c r="Q4951"/>
  <c r="R4951" s="1"/>
  <c r="Q4959"/>
  <c r="R4959" s="1"/>
  <c r="Q4963"/>
  <c r="R4963" s="1"/>
  <c r="Q4971"/>
  <c r="R4971" s="1"/>
  <c r="Q4975"/>
  <c r="R4975" s="1"/>
  <c r="Q4983"/>
  <c r="R4983" s="1"/>
  <c r="Q4991"/>
  <c r="R4991" s="1"/>
  <c r="Q4999"/>
  <c r="R4999" s="1"/>
  <c r="Q5003"/>
  <c r="R5003" s="1"/>
  <c r="Q5011"/>
  <c r="R5011" s="1"/>
  <c r="Q5015"/>
  <c r="R5015" s="1"/>
  <c r="Q5023"/>
  <c r="R5023" s="1"/>
  <c r="Q5027"/>
  <c r="R5027" s="1"/>
  <c r="Q5035"/>
  <c r="R5035" s="1"/>
  <c r="Q5039"/>
  <c r="R5039" s="1"/>
  <c r="Q5051"/>
  <c r="R5051" s="1"/>
  <c r="Q5063"/>
  <c r="R5063" s="1"/>
  <c r="Q5067"/>
  <c r="R5067" s="1"/>
  <c r="Q5075"/>
  <c r="R5075" s="1"/>
  <c r="Q5083"/>
  <c r="R5083" s="1"/>
  <c r="Q5091"/>
  <c r="R5091" s="1"/>
  <c r="Q5095"/>
  <c r="R5095" s="1"/>
  <c r="Q3499"/>
  <c r="R3499" s="1"/>
  <c r="Q3535"/>
  <c r="R3535" s="1"/>
  <c r="Q3542"/>
  <c r="R3542" s="1"/>
  <c r="Q3591"/>
  <c r="R3591" s="1"/>
  <c r="Q3602"/>
  <c r="R3602" s="1"/>
  <c r="Q3623"/>
  <c r="R3623" s="1"/>
  <c r="Q3634"/>
  <c r="R3634" s="1"/>
  <c r="Q3661"/>
  <c r="R3661" s="1"/>
  <c r="Q3671"/>
  <c r="R3671" s="1"/>
  <c r="Q3693"/>
  <c r="R3693" s="1"/>
  <c r="Q3703"/>
  <c r="R3703" s="1"/>
  <c r="Q3713"/>
  <c r="R3713" s="1"/>
  <c r="Q3734"/>
  <c r="R3734" s="1"/>
  <c r="Q3745"/>
  <c r="R3745" s="1"/>
  <c r="Q3766"/>
  <c r="R3766" s="1"/>
  <c r="Q3777"/>
  <c r="R3777" s="1"/>
  <c r="Q3798"/>
  <c r="R3798" s="1"/>
  <c r="Q3809"/>
  <c r="R3809" s="1"/>
  <c r="Q3830"/>
  <c r="R3830" s="1"/>
  <c r="Q3841"/>
  <c r="R3841" s="1"/>
  <c r="Q3862"/>
  <c r="R3862" s="1"/>
  <c r="Q3873"/>
  <c r="R3873" s="1"/>
  <c r="Q3898"/>
  <c r="R3898" s="1"/>
  <c r="Q3913"/>
  <c r="R3913" s="1"/>
  <c r="Q3934"/>
  <c r="R3934" s="1"/>
  <c r="Q3945"/>
  <c r="R3945" s="1"/>
  <c r="Q3983"/>
  <c r="R3983" s="1"/>
  <c r="Q4005"/>
  <c r="R4005" s="1"/>
  <c r="Q4015"/>
  <c r="R4015" s="1"/>
  <c r="Q4037"/>
  <c r="R4037" s="1"/>
  <c r="Q4047"/>
  <c r="R4047" s="1"/>
  <c r="Q4069"/>
  <c r="R4069" s="1"/>
  <c r="Q4090"/>
  <c r="R4090" s="1"/>
  <c r="Q4111"/>
  <c r="R4111" s="1"/>
  <c r="Q4120"/>
  <c r="R4120" s="1"/>
  <c r="Q4136"/>
  <c r="R4136" s="1"/>
  <c r="Q4144"/>
  <c r="R4144" s="1"/>
  <c r="Q4160"/>
  <c r="R4160" s="1"/>
  <c r="Q4168"/>
  <c r="R4168" s="1"/>
  <c r="Q4184"/>
  <c r="R4184" s="1"/>
  <c r="Q4192"/>
  <c r="R4192" s="1"/>
  <c r="Q4208"/>
  <c r="R4208" s="1"/>
  <c r="Q4216"/>
  <c r="R4216" s="1"/>
  <c r="Q4232"/>
  <c r="R4232" s="1"/>
  <c r="Q4240"/>
  <c r="R4240" s="1"/>
  <c r="Q4248"/>
  <c r="R4248" s="1"/>
  <c r="Q4264"/>
  <c r="R4264" s="1"/>
  <c r="Q4272"/>
  <c r="R4272" s="1"/>
  <c r="Q4296"/>
  <c r="R4296" s="1"/>
  <c r="Q4304"/>
  <c r="R4304" s="1"/>
  <c r="Q4320"/>
  <c r="R4320" s="1"/>
  <c r="Q4328"/>
  <c r="R4328" s="1"/>
  <c r="Q4344"/>
  <c r="R4344" s="1"/>
  <c r="Q4360"/>
  <c r="R4360" s="1"/>
  <c r="Q4368"/>
  <c r="R4368" s="1"/>
  <c r="Q4384"/>
  <c r="R4384" s="1"/>
  <c r="Q4392"/>
  <c r="R4392" s="1"/>
  <c r="Q4408"/>
  <c r="R4408" s="1"/>
  <c r="Q4416"/>
  <c r="R4416" s="1"/>
  <c r="Q4432"/>
  <c r="R4432" s="1"/>
  <c r="Q4440"/>
  <c r="R4440" s="1"/>
  <c r="Q4456"/>
  <c r="R4456" s="1"/>
  <c r="Q4464"/>
  <c r="R4464" s="1"/>
  <c r="Q4488"/>
  <c r="R4488" s="1"/>
  <c r="Q4496"/>
  <c r="R4496" s="1"/>
  <c r="Q4512"/>
  <c r="R4512" s="1"/>
  <c r="Q4520"/>
  <c r="R4520" s="1"/>
  <c r="Q4536"/>
  <c r="R4536" s="1"/>
  <c r="Q4544"/>
  <c r="R4544" s="1"/>
  <c r="Q4560"/>
  <c r="R4560" s="1"/>
  <c r="Q4568"/>
  <c r="R4568" s="1"/>
  <c r="Q4584"/>
  <c r="R4584" s="1"/>
  <c r="Q4592"/>
  <c r="R4592" s="1"/>
  <c r="Q4608"/>
  <c r="R4608" s="1"/>
  <c r="Q4615"/>
  <c r="R4615" s="1"/>
  <c r="Q4625"/>
  <c r="R4625" s="1"/>
  <c r="Q4631"/>
  <c r="R4631" s="1"/>
  <c r="Q4641"/>
  <c r="R4641" s="1"/>
  <c r="Q4651"/>
  <c r="R4651" s="1"/>
  <c r="Q4661"/>
  <c r="R4661" s="1"/>
  <c r="Q4667"/>
  <c r="R4667" s="1"/>
  <c r="Q4677"/>
  <c r="R4677" s="1"/>
  <c r="Q4693"/>
  <c r="R4693" s="1"/>
  <c r="Q4699"/>
  <c r="R4699" s="1"/>
  <c r="Q4709"/>
  <c r="R4709" s="1"/>
  <c r="Q4720"/>
  <c r="R4720" s="1"/>
  <c r="Q4725"/>
  <c r="R4725" s="1"/>
  <c r="Q4736"/>
  <c r="R4736" s="1"/>
  <c r="Q4741"/>
  <c r="R4741" s="1"/>
  <c r="Q4757"/>
  <c r="R4757" s="1"/>
  <c r="Q4773"/>
  <c r="R4773" s="1"/>
  <c r="Q4779"/>
  <c r="R4779" s="1"/>
  <c r="Q4789"/>
  <c r="R4789" s="1"/>
  <c r="Q4795"/>
  <c r="R4795" s="1"/>
  <c r="Q4805"/>
  <c r="R4805" s="1"/>
  <c r="Q4811"/>
  <c r="R4811" s="1"/>
  <c r="Q4821"/>
  <c r="R4821" s="1"/>
  <c r="Q4825"/>
  <c r="R4825" s="1"/>
  <c r="Q4836"/>
  <c r="R4836" s="1"/>
  <c r="Q4841"/>
  <c r="R4841" s="1"/>
  <c r="Q4852"/>
  <c r="R4852" s="1"/>
  <c r="Q4857"/>
  <c r="R4857" s="1"/>
  <c r="Q4863"/>
  <c r="R4863" s="1"/>
  <c r="Q4873"/>
  <c r="R4873" s="1"/>
  <c r="Q4883"/>
  <c r="R4883" s="1"/>
  <c r="Q4893"/>
  <c r="R4893" s="1"/>
  <c r="Q4903"/>
  <c r="R4903" s="1"/>
  <c r="Q4948"/>
  <c r="R4948" s="1"/>
  <c r="Q4956"/>
  <c r="R4956" s="1"/>
  <c r="Q4960"/>
  <c r="R4960" s="1"/>
  <c r="Q4968"/>
  <c r="R4968" s="1"/>
  <c r="Q4972"/>
  <c r="R4972" s="1"/>
  <c r="Q4984"/>
  <c r="R4984" s="1"/>
  <c r="Q4988"/>
  <c r="R4988" s="1"/>
  <c r="Q4996"/>
  <c r="R4996" s="1"/>
  <c r="Q5000"/>
  <c r="R5000" s="1"/>
  <c r="Q5008"/>
  <c r="R5008" s="1"/>
  <c r="Q5012"/>
  <c r="R5012" s="1"/>
  <c r="Q5020"/>
  <c r="R5020" s="1"/>
  <c r="Q5024"/>
  <c r="R5024" s="1"/>
  <c r="Q5032"/>
  <c r="R5032" s="1"/>
  <c r="Q5036"/>
  <c r="R5036" s="1"/>
  <c r="Q5044"/>
  <c r="R5044" s="1"/>
  <c r="Q5048"/>
  <c r="R5048" s="1"/>
  <c r="Q5056"/>
  <c r="R5056" s="1"/>
  <c r="Q5060"/>
  <c r="R5060" s="1"/>
  <c r="Q5072"/>
  <c r="R5072" s="1"/>
  <c r="Q5080"/>
  <c r="R5080" s="1"/>
  <c r="Q5084"/>
  <c r="R5084" s="1"/>
  <c r="Q5092"/>
  <c r="R5092" s="1"/>
  <c r="Q5096"/>
  <c r="R5096" s="1"/>
  <c r="Q3603"/>
  <c r="R3603" s="1"/>
  <c r="Q3635"/>
  <c r="R3635" s="1"/>
  <c r="Q3643"/>
  <c r="R3643" s="1"/>
  <c r="Q3665"/>
  <c r="R3665" s="1"/>
  <c r="Q3675"/>
  <c r="R3675" s="1"/>
  <c r="Q3697"/>
  <c r="R3697" s="1"/>
  <c r="Q3707"/>
  <c r="R3707" s="1"/>
  <c r="Q3727"/>
  <c r="R3727" s="1"/>
  <c r="Q3738"/>
  <c r="R3738" s="1"/>
  <c r="Q3759"/>
  <c r="R3759" s="1"/>
  <c r="Q3770"/>
  <c r="R3770" s="1"/>
  <c r="Q3791"/>
  <c r="R3791" s="1"/>
  <c r="Q3802"/>
  <c r="R3802" s="1"/>
  <c r="Q3813"/>
  <c r="R3813" s="1"/>
  <c r="Q3845"/>
  <c r="R3845" s="1"/>
  <c r="Q3855"/>
  <c r="R3855" s="1"/>
  <c r="Q3882"/>
  <c r="R3882" s="1"/>
  <c r="Q3899"/>
  <c r="R3899" s="1"/>
  <c r="Q3925"/>
  <c r="R3925" s="1"/>
  <c r="Q3967"/>
  <c r="R3967" s="1"/>
  <c r="Q3977"/>
  <c r="R3977" s="1"/>
  <c r="Q3998"/>
  <c r="R3998" s="1"/>
  <c r="Q4009"/>
  <c r="R4009" s="1"/>
  <c r="Q4030"/>
  <c r="R4030" s="1"/>
  <c r="Q4041"/>
  <c r="R4041" s="1"/>
  <c r="Q4062"/>
  <c r="R4062" s="1"/>
  <c r="Q4073"/>
  <c r="R4073" s="1"/>
  <c r="Q4105"/>
  <c r="R4105" s="1"/>
  <c r="Q4115"/>
  <c r="R4115" s="1"/>
  <c r="Q4131"/>
  <c r="R4131" s="1"/>
  <c r="Q4139"/>
  <c r="R4139" s="1"/>
  <c r="Q4163"/>
  <c r="R4163" s="1"/>
  <c r="Q4171"/>
  <c r="R4171" s="1"/>
  <c r="Q4187"/>
  <c r="R4187" s="1"/>
  <c r="Q4195"/>
  <c r="R4195" s="1"/>
  <c r="Q4211"/>
  <c r="R4211" s="1"/>
  <c r="Q4219"/>
  <c r="R4219" s="1"/>
  <c r="Q4235"/>
  <c r="R4235" s="1"/>
  <c r="Q4243"/>
  <c r="R4243" s="1"/>
  <c r="Q4259"/>
  <c r="R4259" s="1"/>
  <c r="Q4267"/>
  <c r="R4267" s="1"/>
  <c r="Q4283"/>
  <c r="R4283" s="1"/>
  <c r="Q4291"/>
  <c r="R4291" s="1"/>
  <c r="Q4315"/>
  <c r="R4315" s="1"/>
  <c r="Q4323"/>
  <c r="R4323" s="1"/>
  <c r="Q4339"/>
  <c r="R4339" s="1"/>
  <c r="Q4355"/>
  <c r="R4355" s="1"/>
  <c r="Q4371"/>
  <c r="R4371" s="1"/>
  <c r="Q4379"/>
  <c r="R4379" s="1"/>
  <c r="Q4395"/>
  <c r="R4395" s="1"/>
  <c r="Q4403"/>
  <c r="R4403" s="1"/>
  <c r="Q4419"/>
  <c r="R4419" s="1"/>
  <c r="Q4427"/>
  <c r="R4427" s="1"/>
  <c r="Q4443"/>
  <c r="R4443" s="1"/>
  <c r="Q4451"/>
  <c r="R4451" s="1"/>
  <c r="Q4467"/>
  <c r="R4467" s="1"/>
  <c r="Q4475"/>
  <c r="R4475" s="1"/>
  <c r="Q4491"/>
  <c r="R4491" s="1"/>
  <c r="Q4507"/>
  <c r="R4507" s="1"/>
  <c r="Q4523"/>
  <c r="R4523" s="1"/>
  <c r="Q4531"/>
  <c r="R4531" s="1"/>
  <c r="Q4555"/>
  <c r="R4555" s="1"/>
  <c r="Q4563"/>
  <c r="R4563" s="1"/>
  <c r="Q4579"/>
  <c r="R4579" s="1"/>
  <c r="Q4587"/>
  <c r="R4587" s="1"/>
  <c r="Q4595"/>
  <c r="R4595" s="1"/>
  <c r="Q4611"/>
  <c r="R4611" s="1"/>
  <c r="Q4616"/>
  <c r="R4616" s="1"/>
  <c r="Q4627"/>
  <c r="R4627" s="1"/>
  <c r="Q4632"/>
  <c r="R4632" s="1"/>
  <c r="Q4647"/>
  <c r="R4647" s="1"/>
  <c r="Q4652"/>
  <c r="R4652" s="1"/>
  <c r="Q4663"/>
  <c r="R4663" s="1"/>
  <c r="Q4673"/>
  <c r="R4673" s="1"/>
  <c r="Q4700"/>
  <c r="R4700" s="1"/>
  <c r="Q4705"/>
  <c r="R4705" s="1"/>
  <c r="Q4716"/>
  <c r="R4716" s="1"/>
  <c r="Q4721"/>
  <c r="R4721" s="1"/>
  <c r="Q4732"/>
  <c r="R4732" s="1"/>
  <c r="Q4737"/>
  <c r="R4737" s="1"/>
  <c r="Q4748"/>
  <c r="R4748" s="1"/>
  <c r="Q4764"/>
  <c r="R4764" s="1"/>
  <c r="Q4769"/>
  <c r="R4769" s="1"/>
  <c r="Q4780"/>
  <c r="R4780" s="1"/>
  <c r="Q4801"/>
  <c r="R4801" s="1"/>
  <c r="Q4807"/>
  <c r="R4807" s="1"/>
  <c r="Q4817"/>
  <c r="R4817" s="1"/>
  <c r="Q4832"/>
  <c r="R4832" s="1"/>
  <c r="Q4843"/>
  <c r="R4843" s="1"/>
  <c r="Q4848"/>
  <c r="R4848" s="1"/>
  <c r="Q4859"/>
  <c r="R4859" s="1"/>
  <c r="Q4864"/>
  <c r="R4864" s="1"/>
  <c r="Q4879"/>
  <c r="R4879" s="1"/>
  <c r="Q4884"/>
  <c r="R4884" s="1"/>
  <c r="Q4895"/>
  <c r="R4895" s="1"/>
  <c r="Q4899"/>
  <c r="R4899" s="1"/>
  <c r="Q4909"/>
  <c r="R4909" s="1"/>
  <c r="Q4915"/>
  <c r="R4915" s="1"/>
  <c r="Q4925"/>
  <c r="R4925" s="1"/>
  <c r="Q4936"/>
  <c r="R4936" s="1"/>
  <c r="Q4945"/>
  <c r="R4945" s="1"/>
  <c r="Q4949"/>
  <c r="R4949" s="1"/>
  <c r="Q4957"/>
  <c r="R4957" s="1"/>
  <c r="Q4961"/>
  <c r="R4961" s="1"/>
  <c r="Q4969"/>
  <c r="R4969" s="1"/>
  <c r="Q4973"/>
  <c r="R4973" s="1"/>
  <c r="Q4985"/>
  <c r="R4985" s="1"/>
  <c r="Q4989"/>
  <c r="R4989" s="1"/>
  <c r="Q5001"/>
  <c r="R5001" s="1"/>
  <c r="Q5005"/>
  <c r="R5005" s="1"/>
  <c r="Q5013"/>
  <c r="R5013" s="1"/>
  <c r="Q5017"/>
  <c r="R5017" s="1"/>
  <c r="Q5025"/>
  <c r="R5025" s="1"/>
  <c r="Q5029"/>
  <c r="R5029" s="1"/>
  <c r="Q5041"/>
  <c r="R5041" s="1"/>
  <c r="Q5045"/>
  <c r="R5045" s="1"/>
  <c r="Q5057"/>
  <c r="R5057" s="1"/>
  <c r="Q5061"/>
  <c r="R5061" s="1"/>
  <c r="Q5069"/>
  <c r="R5069" s="1"/>
  <c r="Q5073"/>
  <c r="R5073" s="1"/>
  <c r="Q5081"/>
  <c r="R5081" s="1"/>
  <c r="Q5085"/>
  <c r="R5085" s="1"/>
  <c r="Q5093"/>
  <c r="R5093" s="1"/>
  <c r="Q5097"/>
  <c r="R5097" s="1"/>
  <c r="Q3194"/>
  <c r="R3194" s="1"/>
  <c r="Q3210"/>
  <c r="R3210" s="1"/>
  <c r="Q3225"/>
  <c r="R3225" s="1"/>
  <c r="Q3231"/>
  <c r="R3231" s="1"/>
  <c r="Q3242"/>
  <c r="R3242" s="1"/>
  <c r="Q3250"/>
  <c r="R3250" s="1"/>
  <c r="Q3261"/>
  <c r="R3261" s="1"/>
  <c r="Q3271"/>
  <c r="R3271" s="1"/>
  <c r="Q3278"/>
  <c r="R3278" s="1"/>
  <c r="Q3286"/>
  <c r="R3286" s="1"/>
  <c r="Q3303"/>
  <c r="R3303" s="1"/>
  <c r="Q3314"/>
  <c r="R3314" s="1"/>
  <c r="Q3323"/>
  <c r="R3323" s="1"/>
  <c r="Q3334"/>
  <c r="R3334" s="1"/>
  <c r="Q3345"/>
  <c r="R3345" s="1"/>
  <c r="Q3351"/>
  <c r="R3351" s="1"/>
  <c r="Q3362"/>
  <c r="R3362" s="1"/>
  <c r="Q3383"/>
  <c r="R3383" s="1"/>
  <c r="Q3393"/>
  <c r="R3393" s="1"/>
  <c r="Q3402"/>
  <c r="R3402" s="1"/>
  <c r="Q3413"/>
  <c r="R3413" s="1"/>
  <c r="Q3419"/>
  <c r="R3419" s="1"/>
  <c r="Q3430"/>
  <c r="R3430" s="1"/>
  <c r="Q3439"/>
  <c r="R3439" s="1"/>
  <c r="Q3446"/>
  <c r="R3446" s="1"/>
  <c r="Q3457"/>
  <c r="R3457" s="1"/>
  <c r="Q3467"/>
  <c r="R3467" s="1"/>
  <c r="Q3478"/>
  <c r="R3478" s="1"/>
  <c r="Q3487"/>
  <c r="R3487" s="1"/>
  <c r="Q3498"/>
  <c r="R3498" s="1"/>
  <c r="Q3515"/>
  <c r="R3515" s="1"/>
  <c r="Q3525"/>
  <c r="R3525" s="1"/>
  <c r="Q3541"/>
  <c r="R3541" s="1"/>
  <c r="Q3558"/>
  <c r="R3558" s="1"/>
  <c r="Q3569"/>
  <c r="R3569" s="1"/>
  <c r="Q3579"/>
  <c r="R3579" s="1"/>
  <c r="Q3598"/>
  <c r="R3598" s="1"/>
  <c r="Q3609"/>
  <c r="R3609" s="1"/>
  <c r="Q3619"/>
  <c r="R3619" s="1"/>
  <c r="Q3630"/>
  <c r="R3630" s="1"/>
  <c r="Q3639"/>
  <c r="R3639" s="1"/>
  <c r="Q3649"/>
  <c r="R3649" s="1"/>
  <c r="Q3659"/>
  <c r="R3659" s="1"/>
  <c r="Q3670"/>
  <c r="R3670" s="1"/>
  <c r="Q3681"/>
  <c r="R3681" s="1"/>
  <c r="Q3691"/>
  <c r="R3691" s="1"/>
  <c r="Q3702"/>
  <c r="R3702" s="1"/>
  <c r="Q3722"/>
  <c r="R3722" s="1"/>
  <c r="Q3733"/>
  <c r="R3733" s="1"/>
  <c r="Q3743"/>
  <c r="R3743" s="1"/>
  <c r="Q3754"/>
  <c r="R3754" s="1"/>
  <c r="Q3765"/>
  <c r="R3765" s="1"/>
  <c r="Q3775"/>
  <c r="R3775" s="1"/>
  <c r="Q3786"/>
  <c r="R3786" s="1"/>
  <c r="Q3797"/>
  <c r="R3797" s="1"/>
  <c r="Q3807"/>
  <c r="R3807" s="1"/>
  <c r="Q3818"/>
  <c r="R3818" s="1"/>
  <c r="Q3829"/>
  <c r="R3829" s="1"/>
  <c r="Q3839"/>
  <c r="R3839" s="1"/>
  <c r="Q3850"/>
  <c r="R3850" s="1"/>
  <c r="Q3861"/>
  <c r="R3861" s="1"/>
  <c r="Q3878"/>
  <c r="R3878" s="1"/>
  <c r="Q3887"/>
  <c r="R3887" s="1"/>
  <c r="Q3894"/>
  <c r="R3894" s="1"/>
  <c r="Q3905"/>
  <c r="R3905" s="1"/>
  <c r="Q3930"/>
  <c r="R3930" s="1"/>
  <c r="Q3941"/>
  <c r="R3941" s="1"/>
  <c r="Q3951"/>
  <c r="R3951" s="1"/>
  <c r="Q3962"/>
  <c r="R3962" s="1"/>
  <c r="Q3973"/>
  <c r="R3973" s="1"/>
  <c r="Q3993"/>
  <c r="R3993" s="1"/>
  <c r="Q4003"/>
  <c r="R4003" s="1"/>
  <c r="Q4014"/>
  <c r="R4014" s="1"/>
  <c r="Q4025"/>
  <c r="R4025" s="1"/>
  <c r="Q4035"/>
  <c r="R4035" s="1"/>
  <c r="Q4046"/>
  <c r="R4046" s="1"/>
  <c r="Q4057"/>
  <c r="R4057" s="1"/>
  <c r="Q4067"/>
  <c r="R4067" s="1"/>
  <c r="Q4078"/>
  <c r="R4078" s="1"/>
  <c r="Q4089"/>
  <c r="R4089" s="1"/>
  <c r="Q4099"/>
  <c r="R4099" s="1"/>
  <c r="Q4110"/>
  <c r="R4110" s="1"/>
  <c r="Q4119"/>
  <c r="R4119" s="1"/>
  <c r="Q4127"/>
  <c r="R4127" s="1"/>
  <c r="Q4135"/>
  <c r="R4135" s="1"/>
  <c r="Q4143"/>
  <c r="R4143" s="1"/>
  <c r="Q4151"/>
  <c r="R4151" s="1"/>
  <c r="Q4159"/>
  <c r="R4159" s="1"/>
  <c r="Q4167"/>
  <c r="R4167" s="1"/>
  <c r="Q4175"/>
  <c r="R4175" s="1"/>
  <c r="Q4183"/>
  <c r="R4183" s="1"/>
  <c r="Q4191"/>
  <c r="R4191" s="1"/>
  <c r="Q4199"/>
  <c r="R4199" s="1"/>
  <c r="Q4207"/>
  <c r="R4207" s="1"/>
  <c r="Q4215"/>
  <c r="R4215" s="1"/>
  <c r="Q4223"/>
  <c r="R4223" s="1"/>
  <c r="Q4231"/>
  <c r="R4231" s="1"/>
  <c r="Q4239"/>
  <c r="R4239" s="1"/>
  <c r="Q4247"/>
  <c r="R4247" s="1"/>
  <c r="Q4255"/>
  <c r="R4255" s="1"/>
  <c r="Q4263"/>
  <c r="R4263" s="1"/>
  <c r="Q4271"/>
  <c r="R4271" s="1"/>
  <c r="Q4279"/>
  <c r="R4279" s="1"/>
  <c r="Q4287"/>
  <c r="R4287" s="1"/>
  <c r="Q4295"/>
  <c r="R4295" s="1"/>
  <c r="Q4303"/>
  <c r="R4303" s="1"/>
  <c r="Q4311"/>
  <c r="R4311" s="1"/>
  <c r="Q4319"/>
  <c r="R4319" s="1"/>
  <c r="Q4327"/>
  <c r="R4327" s="1"/>
  <c r="Q4335"/>
  <c r="R4335" s="1"/>
  <c r="Q4343"/>
  <c r="R4343" s="1"/>
  <c r="Q4351"/>
  <c r="R4351" s="1"/>
  <c r="Q4359"/>
  <c r="R4359" s="1"/>
  <c r="Q4367"/>
  <c r="R4367" s="1"/>
  <c r="Q4375"/>
  <c r="R4375" s="1"/>
  <c r="Q4383"/>
  <c r="R4383" s="1"/>
  <c r="Q4391"/>
  <c r="R4391" s="1"/>
  <c r="Q4399"/>
  <c r="R4399" s="1"/>
  <c r="Q4407"/>
  <c r="R4407" s="1"/>
  <c r="Q4415"/>
  <c r="R4415" s="1"/>
  <c r="Q4423"/>
  <c r="R4423" s="1"/>
  <c r="Q4431"/>
  <c r="R4431" s="1"/>
  <c r="Q4439"/>
  <c r="R4439" s="1"/>
  <c r="Q4447"/>
  <c r="R4447" s="1"/>
  <c r="Q4455"/>
  <c r="R4455" s="1"/>
  <c r="Q4463"/>
  <c r="R4463" s="1"/>
  <c r="Q4471"/>
  <c r="R4471" s="1"/>
  <c r="Q4479"/>
  <c r="R4479" s="1"/>
  <c r="Q4487"/>
  <c r="R4487" s="1"/>
  <c r="Q4495"/>
  <c r="R4495" s="1"/>
  <c r="Q4503"/>
  <c r="R4503" s="1"/>
  <c r="Q4511"/>
  <c r="R4511" s="1"/>
  <c r="Q4519"/>
  <c r="R4519" s="1"/>
  <c r="Q4527"/>
  <c r="R4527" s="1"/>
  <c r="Q4535"/>
  <c r="R4535" s="1"/>
  <c r="Q4543"/>
  <c r="R4543" s="1"/>
  <c r="Q4551"/>
  <c r="R4551" s="1"/>
  <c r="Q4559"/>
  <c r="R4559" s="1"/>
  <c r="Q4567"/>
  <c r="R4567" s="1"/>
  <c r="Q4575"/>
  <c r="R4575" s="1"/>
  <c r="Q4583"/>
  <c r="R4583" s="1"/>
  <c r="Q4591"/>
  <c r="R4591" s="1"/>
  <c r="Q4599"/>
  <c r="R4599" s="1"/>
  <c r="Q4607"/>
  <c r="R4607" s="1"/>
  <c r="Q4613"/>
  <c r="R4613" s="1"/>
  <c r="Q4619"/>
  <c r="R4619" s="1"/>
  <c r="Q4624"/>
  <c r="R4624" s="1"/>
  <c r="Q4629"/>
  <c r="R4629" s="1"/>
  <c r="Q4635"/>
  <c r="R4635" s="1"/>
  <c r="Q4640"/>
  <c r="R4640" s="1"/>
  <c r="Q4644"/>
  <c r="R4644" s="1"/>
  <c r="Q4649"/>
  <c r="R4649" s="1"/>
  <c r="Q4655"/>
  <c r="R4655" s="1"/>
  <c r="Q4660"/>
  <c r="R4660" s="1"/>
  <c r="Q4665"/>
  <c r="R4665" s="1"/>
  <c r="Q4671"/>
  <c r="R4671" s="1"/>
  <c r="Q4676"/>
  <c r="R4676" s="1"/>
  <c r="Q4681"/>
  <c r="R4681" s="1"/>
  <c r="Q4687"/>
  <c r="R4687" s="1"/>
  <c r="Q4692"/>
  <c r="R4692" s="1"/>
  <c r="Q4697"/>
  <c r="R4697" s="1"/>
  <c r="Q4703"/>
  <c r="R4703" s="1"/>
  <c r="Q4713"/>
  <c r="R4713" s="1"/>
  <c r="Q4724"/>
  <c r="R4724" s="1"/>
  <c r="Q4740"/>
  <c r="R4740" s="1"/>
  <c r="Q4756"/>
  <c r="R4756" s="1"/>
  <c r="Q4772"/>
  <c r="R4772" s="1"/>
  <c r="Q4788"/>
  <c r="R4788" s="1"/>
  <c r="Q4804"/>
  <c r="R4804" s="1"/>
  <c r="Q4820"/>
  <c r="R4820" s="1"/>
  <c r="Q4867"/>
  <c r="R4867" s="1"/>
  <c r="Q4881"/>
  <c r="R4881" s="1"/>
  <c r="Q4892"/>
  <c r="R4892" s="1"/>
  <c r="Q4901"/>
  <c r="R4901" s="1"/>
  <c r="Q4917"/>
  <c r="R4917" s="1"/>
  <c r="Q4928"/>
  <c r="R4928" s="1"/>
  <c r="Q4943"/>
  <c r="R4943" s="1"/>
  <c r="Q4955"/>
  <c r="R4955" s="1"/>
  <c r="Q4967"/>
  <c r="R4967" s="1"/>
  <c r="Q4979"/>
  <c r="R4979" s="1"/>
  <c r="Q4995"/>
  <c r="R4995" s="1"/>
  <c r="Q5007"/>
  <c r="R5007" s="1"/>
  <c r="Q5019"/>
  <c r="R5019" s="1"/>
  <c r="Q5031"/>
  <c r="R5031" s="1"/>
  <c r="Q5043"/>
  <c r="R5043" s="1"/>
  <c r="Q5059"/>
  <c r="R5059" s="1"/>
  <c r="Q5071"/>
  <c r="R5071" s="1"/>
  <c r="Q5087"/>
  <c r="R5087" s="1"/>
  <c r="Q5099"/>
  <c r="R5099" s="1"/>
  <c r="Q3509"/>
  <c r="R3509" s="1"/>
  <c r="Q3526"/>
  <c r="R3526" s="1"/>
  <c r="Q3551"/>
  <c r="R3551" s="1"/>
  <c r="Q3583"/>
  <c r="R3583" s="1"/>
  <c r="Q3613"/>
  <c r="R3613" s="1"/>
  <c r="Q3650"/>
  <c r="R3650" s="1"/>
  <c r="Q3723"/>
  <c r="R3723" s="1"/>
  <c r="Q3755"/>
  <c r="R3755" s="1"/>
  <c r="Q3787"/>
  <c r="R3787" s="1"/>
  <c r="Q3819"/>
  <c r="R3819" s="1"/>
  <c r="Q3851"/>
  <c r="R3851" s="1"/>
  <c r="Q3889"/>
  <c r="R3889" s="1"/>
  <c r="Q3923"/>
  <c r="R3923" s="1"/>
  <c r="Q3994"/>
  <c r="R3994" s="1"/>
  <c r="Q4026"/>
  <c r="R4026" s="1"/>
  <c r="Q4058"/>
  <c r="R4058" s="1"/>
  <c r="Q4101"/>
  <c r="R4101" s="1"/>
  <c r="Q4128"/>
  <c r="R4128" s="1"/>
  <c r="Q4152"/>
  <c r="R4152" s="1"/>
  <c r="Q4176"/>
  <c r="R4176" s="1"/>
  <c r="Q4200"/>
  <c r="R4200" s="1"/>
  <c r="Q4224"/>
  <c r="R4224" s="1"/>
  <c r="Q4256"/>
  <c r="R4256" s="1"/>
  <c r="Q4280"/>
  <c r="R4280" s="1"/>
  <c r="Q4312"/>
  <c r="R4312" s="1"/>
  <c r="Q4336"/>
  <c r="R4336" s="1"/>
  <c r="Q4352"/>
  <c r="R4352" s="1"/>
  <c r="Q4376"/>
  <c r="R4376" s="1"/>
  <c r="Q4400"/>
  <c r="R4400" s="1"/>
  <c r="Q4424"/>
  <c r="R4424" s="1"/>
  <c r="Q4448"/>
  <c r="R4448" s="1"/>
  <c r="Q4480"/>
  <c r="R4480" s="1"/>
  <c r="Q4504"/>
  <c r="R4504" s="1"/>
  <c r="Q4528"/>
  <c r="R4528" s="1"/>
  <c r="Q4552"/>
  <c r="R4552" s="1"/>
  <c r="Q4576"/>
  <c r="R4576" s="1"/>
  <c r="Q4600"/>
  <c r="R4600" s="1"/>
  <c r="Q4620"/>
  <c r="R4620" s="1"/>
  <c r="Q4636"/>
  <c r="R4636" s="1"/>
  <c r="Q4656"/>
  <c r="R4656" s="1"/>
  <c r="Q4672"/>
  <c r="R4672" s="1"/>
  <c r="Q4688"/>
  <c r="R4688" s="1"/>
  <c r="Q4704"/>
  <c r="R4704" s="1"/>
  <c r="Q4715"/>
  <c r="R4715" s="1"/>
  <c r="Q4731"/>
  <c r="R4731" s="1"/>
  <c r="Q4747"/>
  <c r="R4747" s="1"/>
  <c r="Q4768"/>
  <c r="R4768" s="1"/>
  <c r="Q4800"/>
  <c r="R4800" s="1"/>
  <c r="Q4816"/>
  <c r="R4816" s="1"/>
  <c r="Q4831"/>
  <c r="R4831" s="1"/>
  <c r="Q4868"/>
  <c r="R4868" s="1"/>
  <c r="Q4888"/>
  <c r="R4888" s="1"/>
  <c r="Q4908"/>
  <c r="R4908" s="1"/>
  <c r="Q4919"/>
  <c r="R4919" s="1"/>
  <c r="Q4924"/>
  <c r="R4924" s="1"/>
  <c r="Q4944"/>
  <c r="R4944" s="1"/>
  <c r="Q4952"/>
  <c r="R4952" s="1"/>
  <c r="Q4964"/>
  <c r="R4964" s="1"/>
  <c r="Q4980"/>
  <c r="R4980" s="1"/>
  <c r="Q4992"/>
  <c r="R4992" s="1"/>
  <c r="Q5004"/>
  <c r="R5004" s="1"/>
  <c r="Q5016"/>
  <c r="R5016" s="1"/>
  <c r="Q5028"/>
  <c r="R5028" s="1"/>
  <c r="Q5040"/>
  <c r="R5040" s="1"/>
  <c r="Q5052"/>
  <c r="R5052" s="1"/>
  <c r="Q5064"/>
  <c r="R5064" s="1"/>
  <c r="Q5076"/>
  <c r="R5076" s="1"/>
  <c r="Q5088"/>
  <c r="R5088" s="1"/>
  <c r="Q5100"/>
  <c r="R5100" s="1"/>
  <c r="Q3625"/>
  <c r="R3625" s="1"/>
  <c r="Q3654"/>
  <c r="R3654" s="1"/>
  <c r="Q3686"/>
  <c r="R3686" s="1"/>
  <c r="Q3717"/>
  <c r="R3717" s="1"/>
  <c r="Q3781"/>
  <c r="R3781" s="1"/>
  <c r="Q3823"/>
  <c r="R3823" s="1"/>
  <c r="Q3866"/>
  <c r="R3866" s="1"/>
  <c r="Q3914"/>
  <c r="R3914" s="1"/>
  <c r="Q3946"/>
  <c r="R3946" s="1"/>
  <c r="Q3957"/>
  <c r="R3957" s="1"/>
  <c r="Q3987"/>
  <c r="R3987" s="1"/>
  <c r="Q4019"/>
  <c r="R4019" s="1"/>
  <c r="Q4051"/>
  <c r="R4051" s="1"/>
  <c r="Q4083"/>
  <c r="R4083" s="1"/>
  <c r="Q4123"/>
  <c r="R4123" s="1"/>
  <c r="Q4155"/>
  <c r="R4155" s="1"/>
  <c r="Q4179"/>
  <c r="R4179" s="1"/>
  <c r="Q4203"/>
  <c r="R4203" s="1"/>
  <c r="Q4227"/>
  <c r="R4227" s="1"/>
  <c r="Q4251"/>
  <c r="R4251" s="1"/>
  <c r="Q4275"/>
  <c r="R4275" s="1"/>
  <c r="Q4307"/>
  <c r="R4307" s="1"/>
  <c r="Q4331"/>
  <c r="R4331" s="1"/>
  <c r="Q4363"/>
  <c r="R4363" s="1"/>
  <c r="Q4387"/>
  <c r="R4387" s="1"/>
  <c r="Q4411"/>
  <c r="R4411" s="1"/>
  <c r="Q4435"/>
  <c r="R4435" s="1"/>
  <c r="Q4459"/>
  <c r="R4459" s="1"/>
  <c r="Q4483"/>
  <c r="R4483" s="1"/>
  <c r="Q4515"/>
  <c r="R4515" s="1"/>
  <c r="Q4547"/>
  <c r="R4547" s="1"/>
  <c r="Q4571"/>
  <c r="R4571" s="1"/>
  <c r="Q4603"/>
  <c r="R4603" s="1"/>
  <c r="Q4621"/>
  <c r="R4621" s="1"/>
  <c r="Q4637"/>
  <c r="R4637" s="1"/>
  <c r="Q4657"/>
  <c r="R4657" s="1"/>
  <c r="Q4679"/>
  <c r="R4679" s="1"/>
  <c r="Q4695"/>
  <c r="R4695" s="1"/>
  <c r="Q4711"/>
  <c r="R4711" s="1"/>
  <c r="Q4727"/>
  <c r="R4727" s="1"/>
  <c r="Q4743"/>
  <c r="R4743" s="1"/>
  <c r="Q4759"/>
  <c r="R4759" s="1"/>
  <c r="Q4775"/>
  <c r="R4775" s="1"/>
  <c r="Q4791"/>
  <c r="R4791" s="1"/>
  <c r="Q4812"/>
  <c r="R4812" s="1"/>
  <c r="Q4837"/>
  <c r="R4837" s="1"/>
  <c r="Q4853"/>
  <c r="R4853" s="1"/>
  <c r="Q4869"/>
  <c r="R4869" s="1"/>
  <c r="Q4889"/>
  <c r="R4889" s="1"/>
  <c r="Q4904"/>
  <c r="R4904" s="1"/>
  <c r="Q4920"/>
  <c r="R4920" s="1"/>
  <c r="Q4941"/>
  <c r="R4941" s="1"/>
  <c r="Q4953"/>
  <c r="R4953" s="1"/>
  <c r="Q4965"/>
  <c r="R4965" s="1"/>
  <c r="Q4977"/>
  <c r="R4977" s="1"/>
  <c r="Q4997"/>
  <c r="R4997" s="1"/>
  <c r="Q5009"/>
  <c r="R5009" s="1"/>
  <c r="Q5021"/>
  <c r="R5021" s="1"/>
  <c r="Q5033"/>
  <c r="R5033" s="1"/>
  <c r="Q5049"/>
  <c r="R5049" s="1"/>
  <c r="Q5065"/>
  <c r="R5065" s="1"/>
  <c r="Q5077"/>
  <c r="R5077" s="1"/>
  <c r="Q5089"/>
  <c r="R5089" s="1"/>
  <c r="Q5101"/>
  <c r="R5101" s="1"/>
  <c r="Q3203"/>
  <c r="R3203" s="1"/>
  <c r="Q3219"/>
  <c r="R3219" s="1"/>
  <c r="Q3226"/>
  <c r="R3226" s="1"/>
  <c r="Q3235"/>
  <c r="R3235" s="1"/>
  <c r="Q3251"/>
  <c r="R3251" s="1"/>
  <c r="Q3262"/>
  <c r="R3262" s="1"/>
  <c r="Q3273"/>
  <c r="R3273" s="1"/>
  <c r="Q3282"/>
  <c r="R3282" s="1"/>
  <c r="Q3287"/>
  <c r="R3287" s="1"/>
  <c r="Q3297"/>
  <c r="R3297" s="1"/>
  <c r="Q3307"/>
  <c r="R3307" s="1"/>
  <c r="Q3318"/>
  <c r="R3318" s="1"/>
  <c r="Q3325"/>
  <c r="R3325" s="1"/>
  <c r="Q3335"/>
  <c r="R3335" s="1"/>
  <c r="Q3346"/>
  <c r="R3346" s="1"/>
  <c r="Q3355"/>
  <c r="R3355" s="1"/>
  <c r="Q3366"/>
  <c r="R3366" s="1"/>
  <c r="Q3377"/>
  <c r="R3377" s="1"/>
  <c r="Q3387"/>
  <c r="R3387" s="1"/>
  <c r="Q3403"/>
  <c r="R3403" s="1"/>
  <c r="Q3414"/>
  <c r="R3414" s="1"/>
  <c r="Q3441"/>
  <c r="R3441" s="1"/>
  <c r="Q3450"/>
  <c r="R3450" s="1"/>
  <c r="Q3461"/>
  <c r="R3461" s="1"/>
  <c r="Q3471"/>
  <c r="R3471" s="1"/>
  <c r="Q3489"/>
  <c r="R3489" s="1"/>
  <c r="Q4079"/>
  <c r="R4079" s="1"/>
  <c r="Q4288"/>
  <c r="R4288" s="1"/>
  <c r="Q4472"/>
  <c r="R4472" s="1"/>
  <c r="Q4645"/>
  <c r="R4645" s="1"/>
  <c r="Q4763"/>
  <c r="R4763" s="1"/>
  <c r="Q4877"/>
  <c r="R4877" s="1"/>
  <c r="Q3614"/>
  <c r="R3614" s="1"/>
  <c r="Q3909"/>
  <c r="R3909" s="1"/>
  <c r="Q4147"/>
  <c r="R4147" s="1"/>
  <c r="Q4347"/>
  <c r="R4347" s="1"/>
  <c r="Q4539"/>
  <c r="R4539" s="1"/>
  <c r="Q4689"/>
  <c r="R4689" s="1"/>
  <c r="Q5053"/>
  <c r="R5053" s="1"/>
  <c r="Q3198"/>
  <c r="R3198" s="1"/>
  <c r="Q3205"/>
  <c r="R3205" s="1"/>
  <c r="Q3214"/>
  <c r="R3214" s="1"/>
  <c r="Q3221"/>
  <c r="R3221" s="1"/>
  <c r="Q3237"/>
  <c r="R3237" s="1"/>
  <c r="Q3245"/>
  <c r="R3245" s="1"/>
  <c r="Q3255"/>
  <c r="R3255" s="1"/>
  <c r="Q3266"/>
  <c r="R3266" s="1"/>
  <c r="Q3283"/>
  <c r="R3283" s="1"/>
  <c r="Q3291"/>
  <c r="R3291" s="1"/>
  <c r="Q3298"/>
  <c r="R3298" s="1"/>
  <c r="Q3309"/>
  <c r="R3309" s="1"/>
  <c r="Q3319"/>
  <c r="R3319" s="1"/>
  <c r="Q3329"/>
  <c r="R3329" s="1"/>
  <c r="Q3339"/>
  <c r="R3339" s="1"/>
  <c r="Q3357"/>
  <c r="R3357" s="1"/>
  <c r="Q3367"/>
  <c r="R3367" s="1"/>
  <c r="Q3378"/>
  <c r="R3378" s="1"/>
  <c r="Q3397"/>
  <c r="R3397" s="1"/>
  <c r="Q3425"/>
  <c r="R3425" s="1"/>
  <c r="Q3434"/>
  <c r="R3434" s="1"/>
  <c r="Q3451"/>
  <c r="R3451" s="1"/>
  <c r="Q3462"/>
  <c r="R3462" s="1"/>
  <c r="Q3473"/>
  <c r="R3473" s="1"/>
  <c r="Q3482"/>
  <c r="R3482" s="1"/>
  <c r="Q3493"/>
  <c r="R3493" s="1"/>
  <c r="Q3503"/>
  <c r="R3503" s="1"/>
  <c r="Q3510"/>
  <c r="R3510" s="1"/>
  <c r="Q3519"/>
  <c r="R3519" s="1"/>
  <c r="Q3537"/>
  <c r="R3537" s="1"/>
  <c r="Q3546"/>
  <c r="R3546" s="1"/>
  <c r="Q3553"/>
  <c r="R3553" s="1"/>
  <c r="Q3563"/>
  <c r="R3563" s="1"/>
  <c r="Q3574"/>
  <c r="R3574" s="1"/>
  <c r="Q3593"/>
  <c r="R3593" s="1"/>
  <c r="Q3834"/>
  <c r="R3834" s="1"/>
  <c r="Q4094"/>
  <c r="R4094" s="1"/>
  <c r="Q4299"/>
  <c r="R4299" s="1"/>
  <c r="Q4499"/>
  <c r="R4499" s="1"/>
  <c r="Q4668"/>
  <c r="R4668" s="1"/>
  <c r="Q4796"/>
  <c r="R4796" s="1"/>
  <c r="Q4931"/>
  <c r="R4931" s="1"/>
  <c r="Q5037"/>
  <c r="R5037" s="1"/>
  <c r="U4790"/>
  <c r="V4790" s="1"/>
  <c r="U4792"/>
  <c r="V4792" s="1"/>
  <c r="U4761"/>
  <c r="V4761" s="1"/>
  <c r="U4660"/>
  <c r="V4660" s="1"/>
  <c r="U4776"/>
  <c r="V4776" s="1"/>
  <c r="U4669"/>
  <c r="V4669" s="1"/>
  <c r="U4670"/>
  <c r="V4670" s="1"/>
  <c r="U4762"/>
  <c r="V4762" s="1"/>
  <c r="U4758"/>
  <c r="V4758" s="1"/>
  <c r="U4663"/>
  <c r="V4663" s="1"/>
  <c r="U4777"/>
  <c r="V4777" s="1"/>
  <c r="U4659"/>
  <c r="V4659" s="1"/>
  <c r="U4798"/>
  <c r="V4798" s="1"/>
  <c r="U4662"/>
  <c r="V4662" s="1"/>
  <c r="U4770"/>
  <c r="V4770" s="1"/>
  <c r="U4720"/>
  <c r="V4720" s="1"/>
  <c r="U4672"/>
  <c r="V4672" s="1"/>
  <c r="U4764"/>
  <c r="V4764" s="1"/>
  <c r="U4756"/>
  <c r="V4756" s="1"/>
  <c r="U4771"/>
  <c r="V4771" s="1"/>
  <c r="U4673"/>
  <c r="V4673" s="1"/>
  <c r="U4800"/>
  <c r="V4800" s="1"/>
  <c r="U4765"/>
  <c r="V4765" s="1"/>
  <c r="U4757"/>
  <c r="V4757" s="1"/>
  <c r="U4664"/>
  <c r="V4664" s="1"/>
  <c r="U4769"/>
  <c r="V4769" s="1"/>
  <c r="U4772"/>
  <c r="V4772" s="1"/>
  <c r="U4807"/>
  <c r="V4807" s="1"/>
  <c r="U4788"/>
  <c r="V4788" s="1"/>
  <c r="U4674"/>
  <c r="V4674" s="1"/>
  <c r="U4799"/>
  <c r="V4799" s="1"/>
  <c r="U4766"/>
  <c r="V4766" s="1"/>
  <c r="U4688"/>
  <c r="V4688" s="1"/>
  <c r="U4734"/>
  <c r="V4734" s="1"/>
  <c r="U4773"/>
  <c r="V4773" s="1"/>
  <c r="U4804"/>
  <c r="V4804" s="1"/>
  <c r="U4682"/>
  <c r="V4682" s="1"/>
  <c r="U4775"/>
  <c r="V4775" s="1"/>
  <c r="U4793"/>
  <c r="V4793" s="1"/>
  <c r="U4671"/>
  <c r="V4671" s="1"/>
  <c r="U4763"/>
  <c r="V4763" s="1"/>
  <c r="U4658"/>
  <c r="V4658" s="1"/>
  <c r="U4778"/>
  <c r="V4778" s="1"/>
  <c r="U4774"/>
  <c r="V4774" s="1"/>
  <c r="U4676"/>
  <c r="V4676" s="1"/>
  <c r="U4794"/>
  <c r="V4794" s="1"/>
  <c r="U4760"/>
  <c r="V4760" s="1"/>
  <c r="U4661"/>
  <c r="V4661" s="1"/>
  <c r="U4701"/>
  <c r="V4701" s="1"/>
  <c r="U4779"/>
  <c r="V4779" s="1"/>
  <c r="U4806"/>
  <c r="V4806" s="1"/>
  <c r="U4675"/>
  <c r="V4675" s="1"/>
  <c r="U4789"/>
  <c r="V4789" s="1"/>
  <c r="U4759"/>
  <c r="V4759" s="1"/>
  <c r="U4805"/>
  <c r="V4805" s="1"/>
  <c r="U4801"/>
  <c r="V4801" s="1"/>
  <c r="U4665"/>
  <c r="V4665" s="1"/>
  <c r="U4735"/>
  <c r="V4735" s="1"/>
  <c r="U4689"/>
  <c r="V4689" s="1"/>
  <c r="U4721"/>
  <c r="V4721" s="1"/>
  <c r="U4702"/>
  <c r="V4702" s="1"/>
  <c r="U4703"/>
  <c r="V4703" s="1"/>
  <c r="U4736"/>
  <c r="V4736" s="1"/>
  <c r="U4722"/>
  <c r="V4722" s="1"/>
  <c r="U4690"/>
  <c r="V4690" s="1"/>
  <c r="U4737"/>
  <c r="V4737" s="1"/>
  <c r="U4704"/>
  <c r="V4704" s="1"/>
  <c r="U4691"/>
  <c r="V4691" s="1"/>
  <c r="U4723"/>
  <c r="V4723" s="1"/>
  <c r="U4738"/>
  <c r="V4738" s="1"/>
  <c r="U4705"/>
  <c r="V4705" s="1"/>
  <c r="U4724"/>
  <c r="V4724" s="1"/>
  <c r="U4692"/>
  <c r="V4692" s="1"/>
  <c r="U4693"/>
  <c r="V4693" s="1"/>
  <c r="U4716"/>
  <c r="V4716" s="1"/>
  <c r="U4725"/>
  <c r="V4725" s="1"/>
  <c r="U4706"/>
  <c r="V4706" s="1"/>
  <c r="U4715"/>
  <c r="V4715" s="1"/>
  <c r="U4717"/>
  <c r="V4717" s="1"/>
  <c r="U4739"/>
  <c r="V4739" s="1"/>
  <c r="U4726"/>
  <c r="V4726" s="1"/>
  <c r="U4694"/>
  <c r="V4694" s="1"/>
  <c r="U4740"/>
  <c r="V4740" s="1"/>
  <c r="U4707"/>
  <c r="V4707" s="1"/>
  <c r="U4708"/>
  <c r="V4708" s="1"/>
  <c r="U4695"/>
  <c r="V4695" s="1"/>
  <c r="U4741"/>
  <c r="V4741" s="1"/>
  <c r="U4727"/>
  <c r="V4727" s="1"/>
  <c r="U4709"/>
  <c r="V4709" s="1"/>
  <c r="U4696"/>
  <c r="V4696" s="1"/>
  <c r="U4742"/>
  <c r="V4742" s="1"/>
  <c r="U4728"/>
  <c r="V4728" s="1"/>
  <c r="U4729"/>
  <c r="V4729" s="1"/>
  <c r="U4697"/>
  <c r="V4697" s="1"/>
  <c r="U4710"/>
  <c r="V4710" s="1"/>
  <c r="U4743"/>
  <c r="V4743" s="1"/>
  <c r="U4698"/>
  <c r="V4698" s="1"/>
  <c r="U4711"/>
  <c r="V4711" s="1"/>
  <c r="U4744"/>
  <c r="V4744" s="1"/>
  <c r="U4730"/>
  <c r="V4730" s="1"/>
  <c r="U4745"/>
  <c r="V4745" s="1"/>
  <c r="U4731"/>
  <c r="V4731" s="1"/>
  <c r="U4746"/>
  <c r="V4746" s="1"/>
  <c r="U4732"/>
  <c r="V4732" s="1"/>
  <c r="I1757"/>
  <c r="H1760"/>
  <c r="H1758"/>
  <c r="I1758" s="1"/>
  <c r="I1478"/>
  <c r="I3687"/>
  <c r="I3688"/>
  <c r="I3689"/>
  <c r="I3690"/>
  <c r="I3691"/>
  <c r="I3692"/>
  <c r="I3693"/>
  <c r="I3694"/>
  <c r="I3695"/>
  <c r="I3696"/>
  <c r="I3697"/>
  <c r="I3698"/>
  <c r="I3699"/>
  <c r="I3700"/>
  <c r="I3701"/>
  <c r="I3702"/>
  <c r="I3703"/>
  <c r="I3704"/>
  <c r="I3705"/>
  <c r="I3706"/>
  <c r="I3707"/>
  <c r="I3708"/>
  <c r="I3709"/>
  <c r="I3710"/>
  <c r="I3685"/>
  <c r="L3685"/>
  <c r="H1761" l="1"/>
  <c r="I1760"/>
  <c r="I1479"/>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8"/>
  <c r="I3813"/>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1761" l="1"/>
  <c r="H1762"/>
  <c r="I1481"/>
  <c r="I1762" l="1"/>
  <c r="H1763"/>
  <c r="I1763" s="1"/>
  <c r="I1482"/>
  <c r="I1485" l="1"/>
  <c r="I1484"/>
  <c r="I1487" l="1"/>
  <c r="I1488" l="1"/>
  <c r="I1490" l="1"/>
  <c r="H1540" l="1"/>
  <c r="I1491"/>
  <c r="H1541" l="1"/>
  <c r="H1079" s="1"/>
  <c r="H4454" s="1"/>
  <c r="I4454" s="1"/>
  <c r="H1078"/>
  <c r="H4453" s="1"/>
  <c r="I1079" l="1"/>
  <c r="I1541"/>
  <c r="H1542"/>
  <c r="H1080" s="1"/>
  <c r="H4455" s="1"/>
  <c r="I4455" s="1"/>
  <c r="I1080" l="1"/>
  <c r="H1543"/>
  <c r="H1081" s="1"/>
  <c r="H4456" s="1"/>
  <c r="I4456" s="1"/>
  <c r="I1542"/>
  <c r="I1081" l="1"/>
  <c r="I1543"/>
  <c r="H1545"/>
  <c r="H1083" s="1"/>
  <c r="H4458" s="1"/>
  <c r="I4458" s="1"/>
  <c r="I1083" l="1"/>
  <c r="I1545"/>
  <c r="H1546"/>
  <c r="H1084" s="1"/>
  <c r="H4459" s="1"/>
  <c r="I4459" s="1"/>
  <c r="I1084" l="1"/>
  <c r="H1547"/>
  <c r="H1085" s="1"/>
  <c r="H4460" s="1"/>
  <c r="I4460" s="1"/>
  <c r="I1546"/>
  <c r="I1085" l="1"/>
  <c r="I1547"/>
  <c r="H1548"/>
  <c r="H1086" s="1"/>
  <c r="H4461" s="1"/>
  <c r="I4461" s="1"/>
  <c r="I1086" l="1"/>
  <c r="I1548"/>
  <c r="H1550"/>
  <c r="H1088" s="1"/>
  <c r="H4463" s="1"/>
  <c r="I4463" s="1"/>
  <c r="I1088" l="1"/>
  <c r="H1551"/>
  <c r="H1089" s="1"/>
  <c r="H4464" s="1"/>
  <c r="I4464" s="1"/>
  <c r="I1550"/>
  <c r="I1089" l="1"/>
  <c r="I1551"/>
  <c r="H1552"/>
  <c r="H1090" s="1"/>
  <c r="H4465" s="1"/>
  <c r="I4465" s="1"/>
  <c r="I1090" l="1"/>
  <c r="H1554"/>
  <c r="H1092" s="1"/>
  <c r="H4467" s="1"/>
  <c r="I4467" s="1"/>
  <c r="I1552"/>
  <c r="I1092" l="1"/>
  <c r="H1555"/>
  <c r="H1093" s="1"/>
  <c r="H4468" s="1"/>
  <c r="I4468" s="1"/>
  <c r="I1554"/>
  <c r="I1093" l="1"/>
  <c r="I1555"/>
  <c r="H1556"/>
  <c r="H1094" s="1"/>
  <c r="H4469" s="1"/>
  <c r="I4469" s="1"/>
  <c r="I1094" l="1"/>
  <c r="I1556"/>
  <c r="H1558"/>
  <c r="H1096" s="1"/>
  <c r="H4471" s="1"/>
  <c r="I4471" s="1"/>
  <c r="I1096" l="1"/>
  <c r="H1559"/>
  <c r="H1097" s="1"/>
  <c r="H4472" s="1"/>
  <c r="I4472" s="1"/>
  <c r="I1558"/>
  <c r="I1097" l="1"/>
  <c r="I1559"/>
  <c r="H1561"/>
  <c r="H1099" s="1"/>
  <c r="H4474" s="1"/>
  <c r="I4474" s="1"/>
  <c r="I1099" l="1"/>
  <c r="H1579"/>
  <c r="H1221" s="1"/>
  <c r="H4597" s="1"/>
  <c r="I4597" s="1"/>
  <c r="I1561"/>
  <c r="I1579" l="1"/>
  <c r="H1580"/>
  <c r="H1222" s="1"/>
  <c r="H4598" s="1"/>
  <c r="I4598" s="1"/>
  <c r="I1580" l="1"/>
  <c r="I5050" l="1"/>
  <c r="I5049"/>
  <c r="I5060"/>
  <c r="I5062"/>
  <c r="I5064"/>
  <c r="P2199"/>
  <c r="N2199"/>
  <c r="P5079"/>
  <c r="N5079"/>
  <c r="I5076"/>
  <c r="I5075"/>
  <c r="I5074"/>
  <c r="I5073"/>
  <c r="I5072"/>
  <c r="M4998"/>
  <c r="M4993"/>
  <c r="C4982"/>
  <c r="C4977"/>
  <c r="C4948"/>
  <c r="P5022"/>
  <c r="N5022"/>
  <c r="L5000"/>
  <c r="I5000"/>
  <c r="I5021" s="1"/>
  <c r="P4998"/>
  <c r="N4998"/>
  <c r="H4995"/>
  <c r="P4993"/>
  <c r="N4993"/>
  <c r="P4987"/>
  <c r="N4987"/>
  <c r="H4984"/>
  <c r="P4981"/>
  <c r="N4981"/>
  <c r="J4979"/>
  <c r="H4978"/>
  <c r="L4978" s="1"/>
  <c r="P4976"/>
  <c r="N4976"/>
  <c r="I4953"/>
  <c r="J4953" s="1"/>
  <c r="I4952"/>
  <c r="I4951"/>
  <c r="J4974" l="1"/>
  <c r="I4975"/>
  <c r="H4976" s="1"/>
  <c r="O4976" s="1"/>
  <c r="J5052"/>
  <c r="I4984"/>
  <c r="I4986" s="1"/>
  <c r="H4987" s="1"/>
  <c r="O4987" s="1"/>
  <c r="M5022"/>
  <c r="J5076"/>
  <c r="J5077" s="1"/>
  <c r="I5077" s="1"/>
  <c r="I5078" s="1"/>
  <c r="H5079" s="1"/>
  <c r="O5079" s="1"/>
  <c r="I4995"/>
  <c r="J4995" s="1"/>
  <c r="J4996" s="1"/>
  <c r="I4996" s="1"/>
  <c r="M5079"/>
  <c r="M4976"/>
  <c r="I4978"/>
  <c r="I4980" s="1"/>
  <c r="H4981" s="1"/>
  <c r="O4981" s="1"/>
  <c r="M4981"/>
  <c r="M4987"/>
  <c r="J5000"/>
  <c r="H5022" s="1"/>
  <c r="O5022" s="1"/>
  <c r="J4951"/>
  <c r="L3267"/>
  <c r="I3267"/>
  <c r="L3264"/>
  <c r="L3263"/>
  <c r="L3262"/>
  <c r="L3261"/>
  <c r="L3260"/>
  <c r="L3259"/>
  <c r="L3258"/>
  <c r="L3257"/>
  <c r="L3256"/>
  <c r="L3255"/>
  <c r="L3254"/>
  <c r="L3253"/>
  <c r="L3252"/>
  <c r="L3251"/>
  <c r="L3250"/>
  <c r="L3249"/>
  <c r="L3247"/>
  <c r="I3241"/>
  <c r="Q5022" l="1"/>
  <c r="R5022" s="1"/>
  <c r="J4984"/>
  <c r="J4985" s="1"/>
  <c r="I4997"/>
  <c r="H4998" s="1"/>
  <c r="O4998" s="1"/>
  <c r="J4991"/>
  <c r="I4991" s="1"/>
  <c r="I4992" l="1"/>
  <c r="H4993" s="1"/>
  <c r="O4993" s="1"/>
  <c r="I308"/>
  <c r="I307"/>
  <c r="I306"/>
  <c r="P314"/>
  <c r="N314"/>
  <c r="M314"/>
  <c r="C304"/>
  <c r="C3223"/>
  <c r="P3227"/>
  <c r="N3227"/>
  <c r="J312" l="1"/>
  <c r="J313" s="1"/>
  <c r="M3227"/>
  <c r="I313" l="1"/>
  <c r="H314" s="1"/>
  <c r="O314" s="1"/>
  <c r="I312"/>
  <c r="P2043" l="1"/>
  <c r="N2043"/>
  <c r="C2026"/>
  <c r="I1970"/>
  <c r="I1951"/>
  <c r="I1969"/>
  <c r="I1968"/>
  <c r="I1967"/>
  <c r="I1966"/>
  <c r="I1965"/>
  <c r="I1952"/>
  <c r="I1977"/>
  <c r="I1976"/>
  <c r="I1975"/>
  <c r="I1974"/>
  <c r="I1973"/>
  <c r="I1972"/>
  <c r="I1949"/>
  <c r="I1948"/>
  <c r="I1942"/>
  <c r="I1941"/>
  <c r="I1978" l="1"/>
  <c r="J2041"/>
  <c r="J2042" s="1"/>
  <c r="I2041" s="1"/>
  <c r="M2043"/>
  <c r="I2042" l="1"/>
  <c r="H2043" s="1"/>
  <c r="O2043" l="1"/>
  <c r="M5068" l="1"/>
  <c r="M5055"/>
  <c r="M4940"/>
  <c r="M4929"/>
  <c r="M4923"/>
  <c r="Q4923" s="1"/>
  <c r="M4916"/>
  <c r="M4913"/>
  <c r="M4898"/>
  <c r="M4822"/>
  <c r="M4887"/>
  <c r="M4874"/>
  <c r="M4847"/>
  <c r="Q4847" s="1"/>
  <c r="M4835"/>
  <c r="Q4835" s="1"/>
  <c r="M4827"/>
  <c r="Q4827" s="1"/>
  <c r="M4813"/>
  <c r="M4642"/>
  <c r="M3982"/>
  <c r="M3974"/>
  <c r="Q3974" s="1"/>
  <c r="M3966"/>
  <c r="Q3966" s="1"/>
  <c r="M3959"/>
  <c r="Q3959" s="1"/>
  <c r="M3955"/>
  <c r="M3950"/>
  <c r="M3935"/>
  <c r="M3919"/>
  <c r="M3912"/>
  <c r="M3906"/>
  <c r="M3890"/>
  <c r="M3883"/>
  <c r="M3879"/>
  <c r="Q3879" s="1"/>
  <c r="M3874"/>
  <c r="M3871"/>
  <c r="M3867"/>
  <c r="M3810"/>
  <c r="Q3810" s="1"/>
  <c r="M3763"/>
  <c r="Q3763" s="1"/>
  <c r="M3756"/>
  <c r="M3749"/>
  <c r="M3718"/>
  <c r="Q3718" s="1"/>
  <c r="M3712"/>
  <c r="M3682"/>
  <c r="M3640"/>
  <c r="M3637"/>
  <c r="M3597"/>
  <c r="M3588"/>
  <c r="M3584"/>
  <c r="M3573"/>
  <c r="Q3573" s="1"/>
  <c r="M3570"/>
  <c r="Q3570" s="1"/>
  <c r="M3565"/>
  <c r="Q3565" s="1"/>
  <c r="M3562"/>
  <c r="Q3562" s="1"/>
  <c r="M3557"/>
  <c r="M3554"/>
  <c r="M3549"/>
  <c r="M3538"/>
  <c r="M3534"/>
  <c r="M3530"/>
  <c r="M3518"/>
  <c r="M3507"/>
  <c r="M3494"/>
  <c r="M3484"/>
  <c r="M3479"/>
  <c r="Q3479" s="1"/>
  <c r="M3466"/>
  <c r="M3455"/>
  <c r="M3442"/>
  <c r="M3431"/>
  <c r="M3423"/>
  <c r="M3415"/>
  <c r="M3407"/>
  <c r="M3395"/>
  <c r="M3392"/>
  <c r="M3389"/>
  <c r="M3373"/>
  <c r="M3347"/>
  <c r="M3294"/>
  <c r="M3284"/>
  <c r="M3274"/>
  <c r="M3244"/>
  <c r="M3233"/>
  <c r="M3222"/>
  <c r="M3213"/>
  <c r="M3208"/>
  <c r="Q3208" s="1"/>
  <c r="M3202"/>
  <c r="M3197"/>
  <c r="M3192"/>
  <c r="M3185"/>
  <c r="M2770"/>
  <c r="M2536"/>
  <c r="M2522"/>
  <c r="M2509"/>
  <c r="M2450"/>
  <c r="M2377"/>
  <c r="M2306"/>
  <c r="Q2306" s="1"/>
  <c r="M2125"/>
  <c r="M2114"/>
  <c r="M2096"/>
  <c r="M2090"/>
  <c r="M2066"/>
  <c r="Q2066" s="1"/>
  <c r="M2006"/>
  <c r="M1992"/>
  <c r="Q1992" s="1"/>
  <c r="M1979"/>
  <c r="M1954"/>
  <c r="M1937"/>
  <c r="Q1937" s="1"/>
  <c r="M1932"/>
  <c r="Q1932" s="1"/>
  <c r="M1919"/>
  <c r="Q1919" s="1"/>
  <c r="M1907"/>
  <c r="Q1907" s="1"/>
  <c r="M1895"/>
  <c r="Q1895" s="1"/>
  <c r="M1889"/>
  <c r="M1883"/>
  <c r="M1849"/>
  <c r="M1843"/>
  <c r="M1829"/>
  <c r="M1816"/>
  <c r="M1803"/>
  <c r="M1797"/>
  <c r="M1738"/>
  <c r="M1667"/>
  <c r="M1599"/>
  <c r="M1584"/>
  <c r="M1566"/>
  <c r="M1495"/>
  <c r="M1403"/>
  <c r="M1298"/>
  <c r="M1264"/>
  <c r="M1199"/>
  <c r="M1052"/>
  <c r="M726"/>
  <c r="M485"/>
  <c r="M303"/>
  <c r="M232"/>
  <c r="M208"/>
  <c r="M200"/>
  <c r="M86"/>
  <c r="C4947" l="1"/>
  <c r="C4918"/>
  <c r="C4914"/>
  <c r="C4911"/>
  <c r="C4910"/>
  <c r="C4875"/>
  <c r="C4849"/>
  <c r="C4836"/>
  <c r="C4643"/>
  <c r="C3983"/>
  <c r="C3978"/>
  <c r="C3977"/>
  <c r="C3968"/>
  <c r="C3960"/>
  <c r="C3951"/>
  <c r="C3936"/>
  <c r="C3913"/>
  <c r="C3907"/>
  <c r="C3891"/>
  <c r="C3884"/>
  <c r="C3880"/>
  <c r="C3875"/>
  <c r="C3872"/>
  <c r="C3868"/>
  <c r="C3750"/>
  <c r="C3719"/>
  <c r="C3683"/>
  <c r="C3641"/>
  <c r="C3638"/>
  <c r="C3598"/>
  <c r="C3589"/>
  <c r="C3585"/>
  <c r="C3576"/>
  <c r="C3575"/>
  <c r="C3539"/>
  <c r="C3535"/>
  <c r="C3531"/>
  <c r="C3519"/>
  <c r="C3508"/>
  <c r="C3496"/>
  <c r="C3495"/>
  <c r="C3469"/>
  <c r="C3432"/>
  <c r="C3424"/>
  <c r="C3416"/>
  <c r="C3408"/>
  <c r="C3397"/>
  <c r="C3396"/>
  <c r="C3393"/>
  <c r="C3390"/>
  <c r="C3374"/>
  <c r="C3348"/>
  <c r="C3322"/>
  <c r="C3297"/>
  <c r="C3275"/>
  <c r="C3245"/>
  <c r="C3234"/>
  <c r="C3219"/>
  <c r="C3209"/>
  <c r="C3198"/>
  <c r="C3193"/>
  <c r="C3188"/>
  <c r="C3187"/>
  <c r="C2777"/>
  <c r="C2771"/>
  <c r="C2510"/>
  <c r="C2378"/>
  <c r="C2307"/>
  <c r="C2097"/>
  <c r="C2067"/>
  <c r="C2044"/>
  <c r="C1993"/>
  <c r="C1980"/>
  <c r="C1955"/>
  <c r="C1939"/>
  <c r="C1938"/>
  <c r="C1933"/>
  <c r="C1920"/>
  <c r="C1908"/>
  <c r="C1896"/>
  <c r="C1891"/>
  <c r="C1890"/>
  <c r="C1885"/>
  <c r="C1884"/>
  <c r="C1850"/>
  <c r="C1844"/>
  <c r="C1830"/>
  <c r="C1804"/>
  <c r="C1739"/>
  <c r="C1668"/>
  <c r="C1600"/>
  <c r="C1586"/>
  <c r="C1585"/>
  <c r="C1567"/>
  <c r="C1496"/>
  <c r="C1404"/>
  <c r="C1299"/>
  <c r="C1266"/>
  <c r="C1265"/>
  <c r="C1200"/>
  <c r="C1054"/>
  <c r="C727"/>
  <c r="C611"/>
  <c r="C610"/>
  <c r="C452"/>
  <c r="U1871" l="1"/>
  <c r="V1871" s="1"/>
  <c r="U1857"/>
  <c r="V1857" s="1"/>
  <c r="U314"/>
  <c r="V314" s="1"/>
  <c r="U1864"/>
  <c r="V1864" s="1"/>
  <c r="U2043"/>
  <c r="V2043" s="1"/>
  <c r="U1878"/>
  <c r="V1878" s="1"/>
  <c r="C4782"/>
  <c r="C4588"/>
  <c r="C4438"/>
  <c r="C4748"/>
  <c r="C2871"/>
  <c r="C2778"/>
  <c r="C3985"/>
  <c r="C3122"/>
  <c r="C3039"/>
  <c r="C316"/>
  <c r="C315"/>
  <c r="C233"/>
  <c r="C209"/>
  <c r="C201"/>
  <c r="C99"/>
  <c r="C46"/>
  <c r="B606" l="1"/>
  <c r="P3538"/>
  <c r="N3538"/>
  <c r="I3536"/>
  <c r="I3537" s="1"/>
  <c r="H3538" s="1"/>
  <c r="P4916"/>
  <c r="N4916"/>
  <c r="P4913"/>
  <c r="N4913"/>
  <c r="Q46" l="1"/>
  <c r="R46" s="1"/>
  <c r="Q48"/>
  <c r="R48" s="1"/>
  <c r="Q50"/>
  <c r="R50" s="1"/>
  <c r="Q52"/>
  <c r="R52" s="1"/>
  <c r="Q54"/>
  <c r="R54" s="1"/>
  <c r="Q56"/>
  <c r="R56" s="1"/>
  <c r="Q58"/>
  <c r="R58" s="1"/>
  <c r="Q60"/>
  <c r="R60" s="1"/>
  <c r="Q62"/>
  <c r="R62" s="1"/>
  <c r="Q64"/>
  <c r="R64" s="1"/>
  <c r="Q66"/>
  <c r="R66" s="1"/>
  <c r="Q68"/>
  <c r="R68" s="1"/>
  <c r="Q70"/>
  <c r="R70" s="1"/>
  <c r="Q72"/>
  <c r="R72" s="1"/>
  <c r="Q74"/>
  <c r="R74" s="1"/>
  <c r="Q76"/>
  <c r="R76" s="1"/>
  <c r="Q78"/>
  <c r="R78" s="1"/>
  <c r="Q80"/>
  <c r="R80" s="1"/>
  <c r="Q82"/>
  <c r="R82" s="1"/>
  <c r="Q84"/>
  <c r="R84" s="1"/>
  <c r="Q47"/>
  <c r="R47" s="1"/>
  <c r="Q49"/>
  <c r="R49" s="1"/>
  <c r="Q51"/>
  <c r="R51" s="1"/>
  <c r="Q53"/>
  <c r="R53" s="1"/>
  <c r="Q55"/>
  <c r="R55" s="1"/>
  <c r="Q57"/>
  <c r="R57" s="1"/>
  <c r="Q59"/>
  <c r="R59" s="1"/>
  <c r="Q61"/>
  <c r="R61" s="1"/>
  <c r="Q63"/>
  <c r="R63" s="1"/>
  <c r="Q65"/>
  <c r="R65" s="1"/>
  <c r="Q67"/>
  <c r="R67" s="1"/>
  <c r="Q69"/>
  <c r="R69" s="1"/>
  <c r="Q71"/>
  <c r="R71" s="1"/>
  <c r="Q73"/>
  <c r="R73" s="1"/>
  <c r="Q75"/>
  <c r="R75" s="1"/>
  <c r="Q77"/>
  <c r="R77" s="1"/>
  <c r="Q79"/>
  <c r="R79" s="1"/>
  <c r="Q81"/>
  <c r="R81" s="1"/>
  <c r="Q83"/>
  <c r="R83" s="1"/>
  <c r="Q85"/>
  <c r="R85" s="1"/>
  <c r="C5039"/>
  <c r="C4930"/>
  <c r="C5029"/>
  <c r="C5069"/>
  <c r="C4988"/>
  <c r="C4936"/>
  <c r="C4994"/>
  <c r="C5080"/>
  <c r="C87"/>
  <c r="C3203"/>
  <c r="C3956"/>
  <c r="C4999"/>
  <c r="C2176"/>
  <c r="C4814"/>
  <c r="C4828"/>
  <c r="C3567"/>
  <c r="C3558"/>
  <c r="C3480"/>
  <c r="C3228"/>
  <c r="C2523"/>
  <c r="C2115"/>
  <c r="C5057"/>
  <c r="C4941"/>
  <c r="C4924"/>
  <c r="C4823"/>
  <c r="C3811"/>
  <c r="C3566"/>
  <c r="C3555"/>
  <c r="C5048"/>
  <c r="C4899"/>
  <c r="C3764"/>
  <c r="C3713"/>
  <c r="C3563"/>
  <c r="C3551"/>
  <c r="C3456"/>
  <c r="C2200"/>
  <c r="C3757"/>
  <c r="C3571"/>
  <c r="C3559"/>
  <c r="C3550"/>
  <c r="C3485"/>
  <c r="C3443"/>
  <c r="O3538"/>
  <c r="D48" l="1"/>
  <c r="D89" s="1"/>
  <c r="E48"/>
  <c r="E89" s="1"/>
  <c r="I12"/>
  <c r="C13"/>
  <c r="I13"/>
  <c r="C14"/>
  <c r="D14"/>
  <c r="E14"/>
  <c r="G14"/>
  <c r="C28"/>
  <c r="D28"/>
  <c r="E28"/>
  <c r="G28"/>
  <c r="C29"/>
  <c r="D29"/>
  <c r="E29"/>
  <c r="F29"/>
  <c r="G29"/>
  <c r="H29"/>
  <c r="D30"/>
  <c r="E30"/>
  <c r="G30"/>
  <c r="I36"/>
  <c r="E37"/>
  <c r="F37"/>
  <c r="G37"/>
  <c r="E38"/>
  <c r="F38"/>
  <c r="G38"/>
  <c r="E39"/>
  <c r="F39"/>
  <c r="G39"/>
  <c r="E40"/>
  <c r="F40"/>
  <c r="G40"/>
  <c r="N86"/>
  <c r="P86"/>
  <c r="C101"/>
  <c r="D101"/>
  <c r="E101"/>
  <c r="C102"/>
  <c r="D102"/>
  <c r="E102"/>
  <c r="H102"/>
  <c r="C103"/>
  <c r="D103"/>
  <c r="E103"/>
  <c r="C104"/>
  <c r="D104"/>
  <c r="E104"/>
  <c r="I136"/>
  <c r="C137"/>
  <c r="I137"/>
  <c r="C138"/>
  <c r="D138"/>
  <c r="E138"/>
  <c r="G138"/>
  <c r="H138"/>
  <c r="C139"/>
  <c r="D139"/>
  <c r="E139"/>
  <c r="G139"/>
  <c r="H139"/>
  <c r="C151"/>
  <c r="D151"/>
  <c r="E151"/>
  <c r="F151"/>
  <c r="G151"/>
  <c r="H151"/>
  <c r="C152"/>
  <c r="D152"/>
  <c r="E152"/>
  <c r="G152"/>
  <c r="H152"/>
  <c r="H153" s="1"/>
  <c r="H154" s="1"/>
  <c r="I154" s="1"/>
  <c r="C153"/>
  <c r="D153"/>
  <c r="E153"/>
  <c r="G153"/>
  <c r="I159"/>
  <c r="E160"/>
  <c r="F160"/>
  <c r="G160"/>
  <c r="E161"/>
  <c r="F161"/>
  <c r="G161"/>
  <c r="E162"/>
  <c r="F162"/>
  <c r="G162"/>
  <c r="E163"/>
  <c r="F163"/>
  <c r="G163"/>
  <c r="D164"/>
  <c r="E164"/>
  <c r="F164"/>
  <c r="G164"/>
  <c r="C165"/>
  <c r="D165"/>
  <c r="E165"/>
  <c r="F165"/>
  <c r="G165"/>
  <c r="C166"/>
  <c r="D166"/>
  <c r="E166"/>
  <c r="G166"/>
  <c r="J166"/>
  <c r="C167"/>
  <c r="D167"/>
  <c r="E167"/>
  <c r="F167"/>
  <c r="G167"/>
  <c r="I170"/>
  <c r="I171"/>
  <c r="C172"/>
  <c r="C2068" s="1"/>
  <c r="D172"/>
  <c r="D2068" s="1"/>
  <c r="E172"/>
  <c r="E2068" s="1"/>
  <c r="F172"/>
  <c r="F2068" s="1"/>
  <c r="G172"/>
  <c r="G2068" s="1"/>
  <c r="H172"/>
  <c r="H194"/>
  <c r="H195" s="1"/>
  <c r="D191"/>
  <c r="E191"/>
  <c r="F191"/>
  <c r="G191"/>
  <c r="H191"/>
  <c r="C192"/>
  <c r="D192"/>
  <c r="E192"/>
  <c r="F192"/>
  <c r="G192"/>
  <c r="H192"/>
  <c r="C193"/>
  <c r="D193"/>
  <c r="E193"/>
  <c r="F193"/>
  <c r="G193"/>
  <c r="H193"/>
  <c r="C194"/>
  <c r="C296" s="1"/>
  <c r="D194"/>
  <c r="D296" s="1"/>
  <c r="E194"/>
  <c r="E296" s="1"/>
  <c r="G194"/>
  <c r="G296" s="1"/>
  <c r="C195"/>
  <c r="C297" s="1"/>
  <c r="D195"/>
  <c r="D297" s="1"/>
  <c r="E195"/>
  <c r="E297" s="1"/>
  <c r="E482" s="1"/>
  <c r="F195"/>
  <c r="F297" s="1"/>
  <c r="G195"/>
  <c r="G297" s="1"/>
  <c r="C298"/>
  <c r="D298"/>
  <c r="E298"/>
  <c r="F298"/>
  <c r="C299"/>
  <c r="E299"/>
  <c r="F299"/>
  <c r="G299"/>
  <c r="N200"/>
  <c r="P200"/>
  <c r="N208"/>
  <c r="P208"/>
  <c r="N232"/>
  <c r="P232"/>
  <c r="C235"/>
  <c r="D235"/>
  <c r="E235"/>
  <c r="H235"/>
  <c r="C236"/>
  <c r="D236"/>
  <c r="E236"/>
  <c r="C237"/>
  <c r="D237"/>
  <c r="E237"/>
  <c r="C238"/>
  <c r="D238"/>
  <c r="E238"/>
  <c r="C239"/>
  <c r="D239"/>
  <c r="E239"/>
  <c r="F239"/>
  <c r="G239"/>
  <c r="C240"/>
  <c r="D240"/>
  <c r="E240"/>
  <c r="F240"/>
  <c r="G240"/>
  <c r="I271"/>
  <c r="C272"/>
  <c r="I272"/>
  <c r="C273"/>
  <c r="D273"/>
  <c r="E273"/>
  <c r="G273"/>
  <c r="H273"/>
  <c r="C274"/>
  <c r="D274"/>
  <c r="E274"/>
  <c r="G274"/>
  <c r="H274"/>
  <c r="C287"/>
  <c r="D287"/>
  <c r="E287"/>
  <c r="F287"/>
  <c r="G287"/>
  <c r="H287"/>
  <c r="C288"/>
  <c r="D288"/>
  <c r="E288"/>
  <c r="F288"/>
  <c r="G288"/>
  <c r="H288"/>
  <c r="C289"/>
  <c r="D289"/>
  <c r="E289"/>
  <c r="G289"/>
  <c r="H289"/>
  <c r="C290"/>
  <c r="D290"/>
  <c r="E290"/>
  <c r="G290"/>
  <c r="J296"/>
  <c r="N303"/>
  <c r="P303"/>
  <c r="H318"/>
  <c r="K318"/>
  <c r="H319"/>
  <c r="H320"/>
  <c r="H321"/>
  <c r="F322"/>
  <c r="G322"/>
  <c r="I323"/>
  <c r="I369"/>
  <c r="L369"/>
  <c r="E370"/>
  <c r="E584" s="1"/>
  <c r="F370"/>
  <c r="F584" s="1"/>
  <c r="G370"/>
  <c r="E371"/>
  <c r="E585" s="1"/>
  <c r="F371"/>
  <c r="F585" s="1"/>
  <c r="E372"/>
  <c r="E586" s="1"/>
  <c r="F372"/>
  <c r="G372"/>
  <c r="E373"/>
  <c r="E587" s="1"/>
  <c r="F373"/>
  <c r="G373"/>
  <c r="E407"/>
  <c r="E590" s="1"/>
  <c r="F407"/>
  <c r="F590" s="1"/>
  <c r="G407"/>
  <c r="I375"/>
  <c r="C376"/>
  <c r="I376"/>
  <c r="C377"/>
  <c r="D377"/>
  <c r="E377"/>
  <c r="C390"/>
  <c r="D390"/>
  <c r="E390"/>
  <c r="F390"/>
  <c r="G390"/>
  <c r="H390"/>
  <c r="C391"/>
  <c r="D391"/>
  <c r="E391"/>
  <c r="F391"/>
  <c r="G391"/>
  <c r="H391"/>
  <c r="C392"/>
  <c r="D392"/>
  <c r="E392"/>
  <c r="C412"/>
  <c r="D412"/>
  <c r="E412"/>
  <c r="F412"/>
  <c r="G412"/>
  <c r="H412"/>
  <c r="C414"/>
  <c r="D414"/>
  <c r="E414"/>
  <c r="F414"/>
  <c r="G414"/>
  <c r="H414"/>
  <c r="I415"/>
  <c r="C416"/>
  <c r="C548" s="1"/>
  <c r="D416"/>
  <c r="E416"/>
  <c r="F416"/>
  <c r="G416"/>
  <c r="C417"/>
  <c r="C549" s="1"/>
  <c r="D417"/>
  <c r="E417"/>
  <c r="E549" s="1"/>
  <c r="C418"/>
  <c r="C550" s="1"/>
  <c r="D418"/>
  <c r="D550" s="1"/>
  <c r="E418"/>
  <c r="E550" s="1"/>
  <c r="H418"/>
  <c r="C419"/>
  <c r="C551" s="1"/>
  <c r="D419"/>
  <c r="D551" s="1"/>
  <c r="E419"/>
  <c r="E551" s="1"/>
  <c r="C420"/>
  <c r="C552" s="1"/>
  <c r="D420"/>
  <c r="D552" s="1"/>
  <c r="E420"/>
  <c r="E552" s="1"/>
  <c r="F420"/>
  <c r="F552" s="1"/>
  <c r="C421"/>
  <c r="C553" s="1"/>
  <c r="D421"/>
  <c r="D553" s="1"/>
  <c r="E421"/>
  <c r="E553" s="1"/>
  <c r="F421"/>
  <c r="F553" s="1"/>
  <c r="C429"/>
  <c r="C561" s="1"/>
  <c r="D429"/>
  <c r="D561" s="1"/>
  <c r="E429"/>
  <c r="E561" s="1"/>
  <c r="F429"/>
  <c r="F561" s="1"/>
  <c r="G429"/>
  <c r="C430"/>
  <c r="C562" s="1"/>
  <c r="D430"/>
  <c r="D562" s="1"/>
  <c r="E430"/>
  <c r="E562" s="1"/>
  <c r="F430"/>
  <c r="F562" s="1"/>
  <c r="G430"/>
  <c r="C431"/>
  <c r="C563" s="1"/>
  <c r="D431"/>
  <c r="D563" s="1"/>
  <c r="E431"/>
  <c r="E563" s="1"/>
  <c r="H431"/>
  <c r="H563" s="1"/>
  <c r="C444"/>
  <c r="D444"/>
  <c r="E444"/>
  <c r="F444"/>
  <c r="G444"/>
  <c r="H444"/>
  <c r="C445"/>
  <c r="D445"/>
  <c r="E445"/>
  <c r="F445"/>
  <c r="G445"/>
  <c r="N451"/>
  <c r="P451"/>
  <c r="C454"/>
  <c r="C455"/>
  <c r="D455"/>
  <c r="E455"/>
  <c r="I478"/>
  <c r="G480"/>
  <c r="N485"/>
  <c r="P485"/>
  <c r="I498"/>
  <c r="I588"/>
  <c r="I589"/>
  <c r="J602"/>
  <c r="B607"/>
  <c r="D613"/>
  <c r="D4649" s="1"/>
  <c r="D614"/>
  <c r="D4650" s="1"/>
  <c r="E614"/>
  <c r="E4650" s="1"/>
  <c r="D615"/>
  <c r="D4651" s="1"/>
  <c r="L615"/>
  <c r="D616"/>
  <c r="D4652" s="1"/>
  <c r="L616"/>
  <c r="D617"/>
  <c r="D3986" s="1"/>
  <c r="I619"/>
  <c r="I620"/>
  <c r="I651"/>
  <c r="I656"/>
  <c r="I657"/>
  <c r="J657"/>
  <c r="L657" s="1"/>
  <c r="I658"/>
  <c r="I659"/>
  <c r="I660"/>
  <c r="L660"/>
  <c r="I661"/>
  <c r="I664"/>
  <c r="J664"/>
  <c r="I665"/>
  <c r="I666"/>
  <c r="I667"/>
  <c r="I668"/>
  <c r="I669"/>
  <c r="I670"/>
  <c r="I696"/>
  <c r="I697"/>
  <c r="I698"/>
  <c r="I699"/>
  <c r="I700"/>
  <c r="I701"/>
  <c r="I702"/>
  <c r="I703"/>
  <c r="I704"/>
  <c r="I706"/>
  <c r="I707"/>
  <c r="I708"/>
  <c r="I709"/>
  <c r="I710"/>
  <c r="I711"/>
  <c r="I712"/>
  <c r="I713"/>
  <c r="N726"/>
  <c r="P726"/>
  <c r="D730"/>
  <c r="D4682" s="1"/>
  <c r="J730"/>
  <c r="C731"/>
  <c r="C4683" s="1"/>
  <c r="D731"/>
  <c r="D4683" s="1"/>
  <c r="E731"/>
  <c r="E4683" s="1"/>
  <c r="F731"/>
  <c r="J4683" s="1"/>
  <c r="G731"/>
  <c r="K4683" s="1"/>
  <c r="J731"/>
  <c r="C732"/>
  <c r="C4684" s="1"/>
  <c r="D732"/>
  <c r="D4684" s="1"/>
  <c r="E732"/>
  <c r="E4684" s="1"/>
  <c r="F732"/>
  <c r="J4684" s="1"/>
  <c r="G732"/>
  <c r="K4684" s="1"/>
  <c r="J732"/>
  <c r="L732"/>
  <c r="C733"/>
  <c r="C4685" s="1"/>
  <c r="D733"/>
  <c r="D4685" s="1"/>
  <c r="E733"/>
  <c r="E4685" s="1"/>
  <c r="F733"/>
  <c r="J4685" s="1"/>
  <c r="G733"/>
  <c r="K4685" s="1"/>
  <c r="J733"/>
  <c r="L733"/>
  <c r="C734"/>
  <c r="C4686" s="1"/>
  <c r="D734"/>
  <c r="D4686" s="1"/>
  <c r="E734"/>
  <c r="E4686" s="1"/>
  <c r="F734"/>
  <c r="J4686" s="1"/>
  <c r="G734"/>
  <c r="K4686" s="1"/>
  <c r="J734"/>
  <c r="I735"/>
  <c r="I750"/>
  <c r="I820"/>
  <c r="I822"/>
  <c r="I823"/>
  <c r="I824"/>
  <c r="I833"/>
  <c r="I834"/>
  <c r="I835"/>
  <c r="I836"/>
  <c r="J837"/>
  <c r="I901"/>
  <c r="I902"/>
  <c r="J906"/>
  <c r="L906"/>
  <c r="I993"/>
  <c r="I994"/>
  <c r="I995"/>
  <c r="I996"/>
  <c r="J996"/>
  <c r="J1001"/>
  <c r="N1052"/>
  <c r="P1052"/>
  <c r="C1055"/>
  <c r="C4749" s="1"/>
  <c r="C1056"/>
  <c r="C4750" s="1"/>
  <c r="D1056"/>
  <c r="D4750" s="1"/>
  <c r="E1056"/>
  <c r="E4750" s="1"/>
  <c r="F1056"/>
  <c r="J4750" s="1"/>
  <c r="G1056"/>
  <c r="K4750" s="1"/>
  <c r="C1057"/>
  <c r="C4751" s="1"/>
  <c r="D1057"/>
  <c r="D4751" s="1"/>
  <c r="E1057"/>
  <c r="E4751" s="1"/>
  <c r="F1057"/>
  <c r="J4751" s="1"/>
  <c r="G1057"/>
  <c r="K4751" s="1"/>
  <c r="C1058"/>
  <c r="C4752" s="1"/>
  <c r="D1058"/>
  <c r="D4752" s="1"/>
  <c r="E1058"/>
  <c r="E4752" s="1"/>
  <c r="F1058"/>
  <c r="J4752" s="1"/>
  <c r="G1058"/>
  <c r="K4752" s="1"/>
  <c r="C1059"/>
  <c r="C4753" s="1"/>
  <c r="D1059"/>
  <c r="D4753" s="1"/>
  <c r="E1059"/>
  <c r="E4753" s="1"/>
  <c r="F1059"/>
  <c r="J4753" s="1"/>
  <c r="G1059"/>
  <c r="K4753" s="1"/>
  <c r="C1060"/>
  <c r="D1060"/>
  <c r="E1060"/>
  <c r="F1060"/>
  <c r="G1060"/>
  <c r="C1061"/>
  <c r="D1061"/>
  <c r="E1061"/>
  <c r="F1061"/>
  <c r="G1061"/>
  <c r="C1062"/>
  <c r="D1062"/>
  <c r="E1062"/>
  <c r="F1062"/>
  <c r="G1062"/>
  <c r="H1062"/>
  <c r="I1063"/>
  <c r="I1064"/>
  <c r="J1068"/>
  <c r="L1068"/>
  <c r="I1127"/>
  <c r="I1129"/>
  <c r="I1130"/>
  <c r="I1131"/>
  <c r="I1132"/>
  <c r="I1133"/>
  <c r="I1134"/>
  <c r="I1142"/>
  <c r="I1143"/>
  <c r="I1144"/>
  <c r="I1145"/>
  <c r="J1147"/>
  <c r="J1152"/>
  <c r="J1162"/>
  <c r="N1199"/>
  <c r="P1199"/>
  <c r="C1201"/>
  <c r="C1202"/>
  <c r="C4784" s="1"/>
  <c r="D1202"/>
  <c r="D4784" s="1"/>
  <c r="E1202"/>
  <c r="E4784" s="1"/>
  <c r="F1202"/>
  <c r="J4784" s="1"/>
  <c r="G1202"/>
  <c r="K4784" s="1"/>
  <c r="C1203"/>
  <c r="C4785" s="1"/>
  <c r="D1203"/>
  <c r="D4785" s="1"/>
  <c r="E1203"/>
  <c r="E4785" s="1"/>
  <c r="F1203"/>
  <c r="J4785" s="1"/>
  <c r="G1203"/>
  <c r="K4785" s="1"/>
  <c r="C1204"/>
  <c r="C4786" s="1"/>
  <c r="D1204"/>
  <c r="D4786" s="1"/>
  <c r="E1204"/>
  <c r="E4786" s="1"/>
  <c r="F1204"/>
  <c r="J4786" s="1"/>
  <c r="G1204"/>
  <c r="K4786" s="1"/>
  <c r="I1214"/>
  <c r="L1214"/>
  <c r="G1215"/>
  <c r="I4590" s="1"/>
  <c r="G1216"/>
  <c r="I4591" s="1"/>
  <c r="G1217"/>
  <c r="I4592" s="1"/>
  <c r="G1218"/>
  <c r="I4593" s="1"/>
  <c r="I1224"/>
  <c r="I1226"/>
  <c r="I1227"/>
  <c r="I1228"/>
  <c r="I1229"/>
  <c r="I1231"/>
  <c r="J1231"/>
  <c r="I1232"/>
  <c r="I1233"/>
  <c r="I1235"/>
  <c r="I1237"/>
  <c r="I1239"/>
  <c r="I1240"/>
  <c r="J1240"/>
  <c r="I1243"/>
  <c r="I1244"/>
  <c r="I1245"/>
  <c r="I1246"/>
  <c r="I1247"/>
  <c r="N1264"/>
  <c r="P1264"/>
  <c r="H1269"/>
  <c r="H1270" s="1"/>
  <c r="H1271" s="1"/>
  <c r="I1268"/>
  <c r="N1298"/>
  <c r="P1298"/>
  <c r="F1300"/>
  <c r="F1363" s="1"/>
  <c r="F751" s="1"/>
  <c r="F4121" s="1"/>
  <c r="I4121" s="1"/>
  <c r="I1304"/>
  <c r="I1309"/>
  <c r="I1317"/>
  <c r="I1319"/>
  <c r="I1325"/>
  <c r="I1328"/>
  <c r="I1337"/>
  <c r="I1362"/>
  <c r="N1403"/>
  <c r="P1403"/>
  <c r="N1495"/>
  <c r="P1495"/>
  <c r="F1497"/>
  <c r="F1540" s="1"/>
  <c r="N1566"/>
  <c r="P1566"/>
  <c r="N1584"/>
  <c r="P1584"/>
  <c r="I1587"/>
  <c r="I1588"/>
  <c r="J1597" s="1"/>
  <c r="J1588"/>
  <c r="L1588" s="1"/>
  <c r="N1599"/>
  <c r="P1599"/>
  <c r="I1601"/>
  <c r="J1602"/>
  <c r="L1602" s="1"/>
  <c r="I1605"/>
  <c r="I1606"/>
  <c r="I1607"/>
  <c r="I1609"/>
  <c r="I1610"/>
  <c r="I1613"/>
  <c r="I1614"/>
  <c r="B1636"/>
  <c r="I1636"/>
  <c r="N1667"/>
  <c r="P1667"/>
  <c r="J1736"/>
  <c r="N1738"/>
  <c r="P1738"/>
  <c r="I1741"/>
  <c r="N1797"/>
  <c r="P1797"/>
  <c r="I1800"/>
  <c r="J1801" s="1"/>
  <c r="J1802" s="1"/>
  <c r="I1802" s="1"/>
  <c r="H1803" s="1"/>
  <c r="J1800"/>
  <c r="N1803"/>
  <c r="P1803"/>
  <c r="N1816"/>
  <c r="P1816"/>
  <c r="N1829"/>
  <c r="P1829"/>
  <c r="N1843"/>
  <c r="P1843"/>
  <c r="I1845"/>
  <c r="J1845"/>
  <c r="N1849"/>
  <c r="P1849"/>
  <c r="N1883"/>
  <c r="P1883"/>
  <c r="N1889"/>
  <c r="P1889"/>
  <c r="C1892"/>
  <c r="G1892"/>
  <c r="I1892" s="1"/>
  <c r="J1893" s="1"/>
  <c r="J1894" s="1"/>
  <c r="N1895"/>
  <c r="P1895"/>
  <c r="N1907"/>
  <c r="P1907"/>
  <c r="N1919"/>
  <c r="P1919"/>
  <c r="N1932"/>
  <c r="P1932"/>
  <c r="N1937"/>
  <c r="P1937"/>
  <c r="N1954"/>
  <c r="P1954"/>
  <c r="N1979"/>
  <c r="P1979"/>
  <c r="I1982"/>
  <c r="I1983"/>
  <c r="I1984"/>
  <c r="I1985"/>
  <c r="I1986"/>
  <c r="I1987"/>
  <c r="I1988"/>
  <c r="I1989"/>
  <c r="I1990"/>
  <c r="N1992"/>
  <c r="P1992"/>
  <c r="I1994"/>
  <c r="I1995"/>
  <c r="I1996"/>
  <c r="I1997"/>
  <c r="I1998"/>
  <c r="I1999"/>
  <c r="I2000"/>
  <c r="N2006"/>
  <c r="P2006"/>
  <c r="I2045"/>
  <c r="I2046"/>
  <c r="I2047"/>
  <c r="I2048"/>
  <c r="I2049"/>
  <c r="I2050"/>
  <c r="I2051"/>
  <c r="I2052"/>
  <c r="I2053"/>
  <c r="I2054"/>
  <c r="I2055"/>
  <c r="I2056"/>
  <c r="I2057"/>
  <c r="I2058"/>
  <c r="I2059"/>
  <c r="I2060"/>
  <c r="I2061"/>
  <c r="I2062"/>
  <c r="I2063"/>
  <c r="I2064"/>
  <c r="N2066"/>
  <c r="P2066"/>
  <c r="N2090"/>
  <c r="P2090"/>
  <c r="E2092"/>
  <c r="E1886" s="1"/>
  <c r="I1886" s="1"/>
  <c r="J1887" s="1"/>
  <c r="J1888" s="1"/>
  <c r="N2096"/>
  <c r="P2096"/>
  <c r="B2097"/>
  <c r="N2114" s="1"/>
  <c r="I2098"/>
  <c r="I2101"/>
  <c r="P2114"/>
  <c r="N2125"/>
  <c r="P2125"/>
  <c r="I2201"/>
  <c r="I2506"/>
  <c r="I2178"/>
  <c r="J2197" s="1"/>
  <c r="I2202"/>
  <c r="I2203"/>
  <c r="I2231"/>
  <c r="I2245"/>
  <c r="N2306"/>
  <c r="P2306"/>
  <c r="L2309"/>
  <c r="N2377"/>
  <c r="P2377"/>
  <c r="N2450"/>
  <c r="P2450"/>
  <c r="N2509"/>
  <c r="P2509"/>
  <c r="I2511"/>
  <c r="I2519"/>
  <c r="N2522"/>
  <c r="P2522"/>
  <c r="I2524"/>
  <c r="I2525"/>
  <c r="I2526"/>
  <c r="I2529"/>
  <c r="I2530"/>
  <c r="I2531"/>
  <c r="D2532"/>
  <c r="E2532"/>
  <c r="N2536"/>
  <c r="P2536"/>
  <c r="I2543"/>
  <c r="I2570"/>
  <c r="I2579"/>
  <c r="I2580"/>
  <c r="I2583"/>
  <c r="I2635"/>
  <c r="I2636"/>
  <c r="I2637"/>
  <c r="I2638"/>
  <c r="I2639"/>
  <c r="I2640"/>
  <c r="I2641"/>
  <c r="I2642"/>
  <c r="I2643"/>
  <c r="I2644"/>
  <c r="I2645"/>
  <c r="I2646"/>
  <c r="I2647"/>
  <c r="I2648"/>
  <c r="I2649"/>
  <c r="I2650"/>
  <c r="I2670"/>
  <c r="I2672"/>
  <c r="I2673"/>
  <c r="I2674"/>
  <c r="I2675"/>
  <c r="I2676"/>
  <c r="I2677"/>
  <c r="I2678"/>
  <c r="I2679"/>
  <c r="I2680"/>
  <c r="I2681"/>
  <c r="I2682"/>
  <c r="I2683"/>
  <c r="I2684"/>
  <c r="I2685"/>
  <c r="I2701"/>
  <c r="I2721"/>
  <c r="I2722"/>
  <c r="I2724"/>
  <c r="I2725"/>
  <c r="I2733"/>
  <c r="J2739"/>
  <c r="F2741"/>
  <c r="I2741" s="1"/>
  <c r="I2746"/>
  <c r="I2766"/>
  <c r="N2770"/>
  <c r="P2770"/>
  <c r="N3185"/>
  <c r="P3185"/>
  <c r="I2106"/>
  <c r="I2107"/>
  <c r="I2108"/>
  <c r="I2109"/>
  <c r="J2109"/>
  <c r="L2109" s="1"/>
  <c r="I2110"/>
  <c r="I3189"/>
  <c r="J3190" s="1"/>
  <c r="J3191" s="1"/>
  <c r="N3192"/>
  <c r="P3192"/>
  <c r="I3194"/>
  <c r="J3195" s="1"/>
  <c r="J3196" s="1"/>
  <c r="N3197"/>
  <c r="P3197"/>
  <c r="I3199"/>
  <c r="J3200" s="1"/>
  <c r="J3201" s="1"/>
  <c r="N3202"/>
  <c r="P3202"/>
  <c r="N3208"/>
  <c r="P3208"/>
  <c r="N3213"/>
  <c r="P3213"/>
  <c r="N3222"/>
  <c r="P3222"/>
  <c r="I3232"/>
  <c r="H3233" s="1"/>
  <c r="N3233"/>
  <c r="P3233"/>
  <c r="N3244"/>
  <c r="P3244"/>
  <c r="N3274"/>
  <c r="P3274"/>
  <c r="N3284"/>
  <c r="P3284"/>
  <c r="I3288"/>
  <c r="I3289"/>
  <c r="I3290"/>
  <c r="I3291"/>
  <c r="N3294"/>
  <c r="P3294"/>
  <c r="I3298"/>
  <c r="I3299"/>
  <c r="I3324" s="1"/>
  <c r="I3350" s="1"/>
  <c r="N3321"/>
  <c r="P3321"/>
  <c r="N3347"/>
  <c r="P3347"/>
  <c r="N3373"/>
  <c r="P3373"/>
  <c r="I3376"/>
  <c r="I3377"/>
  <c r="I3378"/>
  <c r="I3379"/>
  <c r="I3380"/>
  <c r="I3381"/>
  <c r="I3382"/>
  <c r="I3383"/>
  <c r="I3384"/>
  <c r="I3385"/>
  <c r="I3386"/>
  <c r="I3387"/>
  <c r="N3389"/>
  <c r="P3389"/>
  <c r="I3391"/>
  <c r="H3392" s="1"/>
  <c r="N3392"/>
  <c r="P3392"/>
  <c r="I3394"/>
  <c r="H3395" s="1"/>
  <c r="N3395"/>
  <c r="P3395"/>
  <c r="I3398"/>
  <c r="I3399"/>
  <c r="I3400"/>
  <c r="I3401"/>
  <c r="I3402"/>
  <c r="I3403"/>
  <c r="I3404"/>
  <c r="N3407"/>
  <c r="P3407"/>
  <c r="I3410"/>
  <c r="N3415"/>
  <c r="P3415"/>
  <c r="I3417"/>
  <c r="I3418"/>
  <c r="I3419"/>
  <c r="I3420"/>
  <c r="N3423"/>
  <c r="P3423"/>
  <c r="I3425"/>
  <c r="N3431"/>
  <c r="P3431"/>
  <c r="I3433"/>
  <c r="I3434"/>
  <c r="I3435"/>
  <c r="I3436"/>
  <c r="I3437"/>
  <c r="I3438"/>
  <c r="I3439"/>
  <c r="I3440"/>
  <c r="N3442"/>
  <c r="P3442"/>
  <c r="I3444"/>
  <c r="I3453"/>
  <c r="N3455"/>
  <c r="P3455"/>
  <c r="N3466"/>
  <c r="P3466"/>
  <c r="N3479"/>
  <c r="P3479"/>
  <c r="I3482"/>
  <c r="I3483" s="1"/>
  <c r="H3484" s="1"/>
  <c r="N3484"/>
  <c r="P3484"/>
  <c r="H3494"/>
  <c r="N3494"/>
  <c r="P3494"/>
  <c r="I3498"/>
  <c r="C3503"/>
  <c r="I3503"/>
  <c r="I3504"/>
  <c r="N3507"/>
  <c r="P3507"/>
  <c r="N3518"/>
  <c r="P3518"/>
  <c r="N3530"/>
  <c r="P3530"/>
  <c r="I3532"/>
  <c r="I3533" s="1"/>
  <c r="H3534" s="1"/>
  <c r="N3534"/>
  <c r="P3534"/>
  <c r="N3549"/>
  <c r="P3549"/>
  <c r="I3552"/>
  <c r="I3553" s="1"/>
  <c r="H3554" s="1"/>
  <c r="J3552"/>
  <c r="N3554"/>
  <c r="P3554"/>
  <c r="I3556"/>
  <c r="H3557" s="1"/>
  <c r="N3557"/>
  <c r="P3557"/>
  <c r="I3560"/>
  <c r="I3561" s="1"/>
  <c r="H3562" s="1"/>
  <c r="J3560"/>
  <c r="N3562"/>
  <c r="P3562"/>
  <c r="I3564"/>
  <c r="H3565" s="1"/>
  <c r="N3565"/>
  <c r="P3565"/>
  <c r="I3568"/>
  <c r="I3569" s="1"/>
  <c r="H3570" s="1"/>
  <c r="J3568"/>
  <c r="N3570"/>
  <c r="P3570"/>
  <c r="I3572"/>
  <c r="H3573" s="1"/>
  <c r="N3573"/>
  <c r="P3573"/>
  <c r="I3577"/>
  <c r="N3584"/>
  <c r="P3584"/>
  <c r="N3588"/>
  <c r="P3588"/>
  <c r="I3590"/>
  <c r="I3591"/>
  <c r="I3592"/>
  <c r="I3593"/>
  <c r="I3594"/>
  <c r="I3595"/>
  <c r="N3597"/>
  <c r="P3597"/>
  <c r="I3600"/>
  <c r="L3600"/>
  <c r="N3637"/>
  <c r="P3637"/>
  <c r="I3639"/>
  <c r="H3640" s="1"/>
  <c r="N3640"/>
  <c r="P3640"/>
  <c r="I3643"/>
  <c r="L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N3682"/>
  <c r="P3682"/>
  <c r="I3686"/>
  <c r="N3712"/>
  <c r="P3712"/>
  <c r="I3714"/>
  <c r="I3716"/>
  <c r="N3718"/>
  <c r="P3718"/>
  <c r="I3740"/>
  <c r="I3741"/>
  <c r="I3742"/>
  <c r="I3743"/>
  <c r="I3744"/>
  <c r="I3745"/>
  <c r="I3746"/>
  <c r="I3747"/>
  <c r="N3749"/>
  <c r="P3749"/>
  <c r="I3751"/>
  <c r="I3752"/>
  <c r="I3754"/>
  <c r="N3756"/>
  <c r="P3756"/>
  <c r="N3763"/>
  <c r="P3763"/>
  <c r="I3766"/>
  <c r="N3810"/>
  <c r="P3810"/>
  <c r="I3812"/>
  <c r="I3865"/>
  <c r="L3866"/>
  <c r="N3867"/>
  <c r="P3867"/>
  <c r="N3871"/>
  <c r="P3871"/>
  <c r="I3873"/>
  <c r="H3874" s="1"/>
  <c r="N3874"/>
  <c r="P3874"/>
  <c r="C3876"/>
  <c r="C3881" s="1"/>
  <c r="D3876"/>
  <c r="D3881" s="1"/>
  <c r="E3876"/>
  <c r="E3881" s="1"/>
  <c r="N3879"/>
  <c r="P3879"/>
  <c r="I3880"/>
  <c r="N3883"/>
  <c r="P3883"/>
  <c r="I3885"/>
  <c r="I3886"/>
  <c r="I3887"/>
  <c r="I3888"/>
  <c r="N3890"/>
  <c r="P3890"/>
  <c r="I3893"/>
  <c r="I3894"/>
  <c r="I3895"/>
  <c r="I3896"/>
  <c r="I3897"/>
  <c r="I3898"/>
  <c r="I3899"/>
  <c r="I3900"/>
  <c r="I3901"/>
  <c r="I3902"/>
  <c r="N3906"/>
  <c r="P3906"/>
  <c r="I3908"/>
  <c r="I3910"/>
  <c r="N3912"/>
  <c r="P3912"/>
  <c r="I3914"/>
  <c r="I3915"/>
  <c r="I3916"/>
  <c r="N3919"/>
  <c r="P3919"/>
  <c r="I3921"/>
  <c r="I3922"/>
  <c r="I3923"/>
  <c r="I3926"/>
  <c r="I3927"/>
  <c r="I3930"/>
  <c r="N3935"/>
  <c r="P3935"/>
  <c r="I3937"/>
  <c r="I3938"/>
  <c r="I3939"/>
  <c r="I3940"/>
  <c r="I3941"/>
  <c r="I3942"/>
  <c r="I3943"/>
  <c r="I3944"/>
  <c r="I3945"/>
  <c r="I3946"/>
  <c r="I3947"/>
  <c r="I3948"/>
  <c r="N3950"/>
  <c r="P3950"/>
  <c r="I3953"/>
  <c r="N3955"/>
  <c r="P3955"/>
  <c r="I3957"/>
  <c r="I3958" s="1"/>
  <c r="H3959" s="1"/>
  <c r="N3959"/>
  <c r="P3959"/>
  <c r="I3961"/>
  <c r="I3962"/>
  <c r="N3966"/>
  <c r="P3966"/>
  <c r="I3969"/>
  <c r="N3974"/>
  <c r="P3974"/>
  <c r="N3982"/>
  <c r="P3982"/>
  <c r="N4642"/>
  <c r="P4642"/>
  <c r="N4813"/>
  <c r="P4813"/>
  <c r="N4827"/>
  <c r="P4827"/>
  <c r="I4832"/>
  <c r="N4835"/>
  <c r="P4835"/>
  <c r="I4837"/>
  <c r="I4838"/>
  <c r="I4839"/>
  <c r="I4840"/>
  <c r="I4841"/>
  <c r="I4842"/>
  <c r="I4843"/>
  <c r="I4844"/>
  <c r="N4847"/>
  <c r="P4847"/>
  <c r="I4850"/>
  <c r="I4873" s="1"/>
  <c r="N4874"/>
  <c r="P4874"/>
  <c r="I4876"/>
  <c r="I4877"/>
  <c r="I4878"/>
  <c r="I4879"/>
  <c r="I4880"/>
  <c r="I4881"/>
  <c r="I4882"/>
  <c r="I4883"/>
  <c r="N4887"/>
  <c r="P4887"/>
  <c r="N4822"/>
  <c r="P4822"/>
  <c r="I4889"/>
  <c r="I4890"/>
  <c r="I4891"/>
  <c r="I4892"/>
  <c r="N4898"/>
  <c r="P4898"/>
  <c r="I4900"/>
  <c r="I4901"/>
  <c r="I4902"/>
  <c r="I4903"/>
  <c r="I4904"/>
  <c r="I4905"/>
  <c r="I4906"/>
  <c r="I4907"/>
  <c r="I4912"/>
  <c r="H4913" s="1"/>
  <c r="I4915"/>
  <c r="H4916" s="1"/>
  <c r="I4919"/>
  <c r="I4920"/>
  <c r="N4923"/>
  <c r="P4923"/>
  <c r="I4925"/>
  <c r="I4926"/>
  <c r="I4927"/>
  <c r="N4929"/>
  <c r="P4929"/>
  <c r="I4942"/>
  <c r="I4943"/>
  <c r="N4946"/>
  <c r="P4946"/>
  <c r="N4940"/>
  <c r="P4940"/>
  <c r="N5055"/>
  <c r="P5055"/>
  <c r="N5068"/>
  <c r="P5068"/>
  <c r="G15" i="12"/>
  <c r="D18"/>
  <c r="D20"/>
  <c r="F101" i="13"/>
  <c r="H48" i="12"/>
  <c r="G49" i="13" s="1"/>
  <c r="I49" s="1"/>
  <c r="H49" i="12"/>
  <c r="G50" i="13" s="1"/>
  <c r="I50" s="1"/>
  <c r="F104"/>
  <c r="B56" i="12"/>
  <c r="C56"/>
  <c r="D56"/>
  <c r="E56"/>
  <c r="D491" i="13" s="1"/>
  <c r="F56" i="12"/>
  <c r="E491" i="13" s="1"/>
  <c r="B57" i="12"/>
  <c r="C57"/>
  <c r="D57"/>
  <c r="E57"/>
  <c r="F57"/>
  <c r="B58"/>
  <c r="C58"/>
  <c r="D58"/>
  <c r="E58"/>
  <c r="F58"/>
  <c r="B59"/>
  <c r="C59"/>
  <c r="D59"/>
  <c r="E59"/>
  <c r="F59"/>
  <c r="E494" i="13" s="1"/>
  <c r="F138"/>
  <c r="I66" i="12"/>
  <c r="K66"/>
  <c r="I68"/>
  <c r="K68"/>
  <c r="I69"/>
  <c r="K69"/>
  <c r="I70"/>
  <c r="K70"/>
  <c r="I71"/>
  <c r="K71"/>
  <c r="F28" i="13"/>
  <c r="H28"/>
  <c r="F30"/>
  <c r="I82" i="12"/>
  <c r="K82"/>
  <c r="F153" i="13"/>
  <c r="I83" i="12"/>
  <c r="K83"/>
  <c r="L83"/>
  <c r="H290" i="13" s="1"/>
  <c r="R83" i="12"/>
  <c r="R84" s="1"/>
  <c r="R85" s="1"/>
  <c r="R86" s="1"/>
  <c r="R87" s="1"/>
  <c r="I84"/>
  <c r="K84"/>
  <c r="I85"/>
  <c r="K85"/>
  <c r="I86"/>
  <c r="K86"/>
  <c r="I87"/>
  <c r="K87"/>
  <c r="L110"/>
  <c r="L111"/>
  <c r="L112"/>
  <c r="C114"/>
  <c r="D114"/>
  <c r="F114"/>
  <c r="G114"/>
  <c r="H114"/>
  <c r="L114"/>
  <c r="L115"/>
  <c r="L116"/>
  <c r="L117"/>
  <c r="L118"/>
  <c r="L120"/>
  <c r="B122"/>
  <c r="C122"/>
  <c r="D122"/>
  <c r="E122"/>
  <c r="F122"/>
  <c r="G122"/>
  <c r="H122"/>
  <c r="L122"/>
  <c r="L126"/>
  <c r="J128"/>
  <c r="I129"/>
  <c r="H173" i="13" s="1"/>
  <c r="I173" s="1"/>
  <c r="L132" i="12"/>
  <c r="J133"/>
  <c r="J134"/>
  <c r="I135"/>
  <c r="J139"/>
  <c r="J140"/>
  <c r="J141"/>
  <c r="J142"/>
  <c r="J143"/>
  <c r="J144"/>
  <c r="J145"/>
  <c r="J146"/>
  <c r="B152"/>
  <c r="C210" i="13" s="1"/>
  <c r="C152" i="12"/>
  <c r="D152"/>
  <c r="E152"/>
  <c r="D210" i="13" s="1"/>
  <c r="F152" i="12"/>
  <c r="E210" i="13" s="1"/>
  <c r="G152" i="12"/>
  <c r="F210" i="13" s="1"/>
  <c r="H152" i="12"/>
  <c r="G210" i="13" s="1"/>
  <c r="B153" i="12"/>
  <c r="C211" i="13" s="1"/>
  <c r="C153" i="12"/>
  <c r="D153"/>
  <c r="E153"/>
  <c r="D211" i="13" s="1"/>
  <c r="F153" i="12"/>
  <c r="E211" i="13" s="1"/>
  <c r="G153" i="12"/>
  <c r="F211" i="13" s="1"/>
  <c r="H153" i="12"/>
  <c r="G211" i="13" s="1"/>
  <c r="B154" i="12"/>
  <c r="C212" i="13" s="1"/>
  <c r="C154" i="12"/>
  <c r="D154"/>
  <c r="E154"/>
  <c r="D212" i="13" s="1"/>
  <c r="F154" i="12"/>
  <c r="E212" i="13" s="1"/>
  <c r="H154" i="12"/>
  <c r="G212" i="13" s="1"/>
  <c r="B155" i="12"/>
  <c r="C213" i="13" s="1"/>
  <c r="C155" i="12"/>
  <c r="D155"/>
  <c r="E155"/>
  <c r="D213" i="13" s="1"/>
  <c r="F155" i="12"/>
  <c r="E213" i="13" s="1"/>
  <c r="G155" i="12"/>
  <c r="F213" i="13" s="1"/>
  <c r="H155" i="12"/>
  <c r="G213" i="13" s="1"/>
  <c r="B156" i="12"/>
  <c r="C214" i="13" s="1"/>
  <c r="C156" i="12"/>
  <c r="D156"/>
  <c r="E156"/>
  <c r="D214" i="13" s="1"/>
  <c r="F156" i="12"/>
  <c r="E214" i="13" s="1"/>
  <c r="G156" i="12"/>
  <c r="F214" i="13" s="1"/>
  <c r="H156" i="12"/>
  <c r="G214" i="13" s="1"/>
  <c r="B157" i="12"/>
  <c r="C215" i="13" s="1"/>
  <c r="C157" i="12"/>
  <c r="D157"/>
  <c r="E157"/>
  <c r="D215" i="13" s="1"/>
  <c r="F157" i="12"/>
  <c r="E215" i="13" s="1"/>
  <c r="G157" i="12"/>
  <c r="F215" i="13" s="1"/>
  <c r="H157" i="12"/>
  <c r="G215" i="13" s="1"/>
  <c r="L157" i="12"/>
  <c r="B158"/>
  <c r="C216" i="13" s="1"/>
  <c r="C158" i="12"/>
  <c r="D158"/>
  <c r="E158"/>
  <c r="D216" i="13" s="1"/>
  <c r="F158" i="12"/>
  <c r="E216" i="13" s="1"/>
  <c r="G158" i="12"/>
  <c r="F216" i="13" s="1"/>
  <c r="H158" i="12"/>
  <c r="G216" i="13" s="1"/>
  <c r="L158" i="12"/>
  <c r="B159"/>
  <c r="C217" i="13" s="1"/>
  <c r="C159" i="12"/>
  <c r="D159"/>
  <c r="E159"/>
  <c r="D217" i="13" s="1"/>
  <c r="F159" i="12"/>
  <c r="E217" i="13" s="1"/>
  <c r="G159" i="12"/>
  <c r="F217" i="13" s="1"/>
  <c r="H159" i="12"/>
  <c r="G217" i="13" s="1"/>
  <c r="B160" i="12"/>
  <c r="C218" i="13" s="1"/>
  <c r="C160" i="12"/>
  <c r="D160"/>
  <c r="E160"/>
  <c r="D218" i="13" s="1"/>
  <c r="F160" i="12"/>
  <c r="E218" i="13" s="1"/>
  <c r="G160" i="12"/>
  <c r="F218" i="13" s="1"/>
  <c r="H160" i="12"/>
  <c r="G218" i="13" s="1"/>
  <c r="B161" i="12"/>
  <c r="C219" i="13" s="1"/>
  <c r="C161" i="12"/>
  <c r="D161"/>
  <c r="E161"/>
  <c r="D219" i="13" s="1"/>
  <c r="F161" i="12"/>
  <c r="E219" i="13" s="1"/>
  <c r="G161" i="12"/>
  <c r="F219" i="13" s="1"/>
  <c r="H161" i="12"/>
  <c r="G219" i="13" s="1"/>
  <c r="B162" i="12"/>
  <c r="C220" i="13" s="1"/>
  <c r="C162" i="12"/>
  <c r="D162"/>
  <c r="E162"/>
  <c r="D220" i="13" s="1"/>
  <c r="F162" i="12"/>
  <c r="E220" i="13" s="1"/>
  <c r="G162" i="12"/>
  <c r="F220" i="13" s="1"/>
  <c r="H162" i="12"/>
  <c r="G220" i="13" s="1"/>
  <c r="B163" i="12"/>
  <c r="C221" i="13" s="1"/>
  <c r="C163" i="12"/>
  <c r="D163"/>
  <c r="E163"/>
  <c r="D221" i="13" s="1"/>
  <c r="F163" i="12"/>
  <c r="E221" i="13" s="1"/>
  <c r="G163" i="12"/>
  <c r="F221" i="13" s="1"/>
  <c r="H163" i="12"/>
  <c r="G221" i="13" s="1"/>
  <c r="B164" i="12"/>
  <c r="C222" i="13" s="1"/>
  <c r="C164" i="12"/>
  <c r="D164"/>
  <c r="E164"/>
  <c r="D222" i="13" s="1"/>
  <c r="F164" i="12"/>
  <c r="E222" i="13" s="1"/>
  <c r="G164" i="12"/>
  <c r="F222" i="13" s="1"/>
  <c r="H164" i="12"/>
  <c r="G222" i="13" s="1"/>
  <c r="B165" i="12"/>
  <c r="C223" i="13" s="1"/>
  <c r="C165" i="12"/>
  <c r="D165"/>
  <c r="E165"/>
  <c r="D223" i="13" s="1"/>
  <c r="F165" i="12"/>
  <c r="E223" i="13" s="1"/>
  <c r="G165" i="12"/>
  <c r="F223" i="13" s="1"/>
  <c r="H165" i="12"/>
  <c r="G223" i="13" s="1"/>
  <c r="B166" i="12"/>
  <c r="C224" i="13" s="1"/>
  <c r="C166" i="12"/>
  <c r="D166"/>
  <c r="E166"/>
  <c r="D224" i="13" s="1"/>
  <c r="F166" i="12"/>
  <c r="E224" i="13" s="1"/>
  <c r="G166" i="12"/>
  <c r="F224" i="13" s="1"/>
  <c r="H166" i="12"/>
  <c r="G224" i="13" s="1"/>
  <c r="B167" i="12"/>
  <c r="C225" i="13" s="1"/>
  <c r="C167" i="12"/>
  <c r="D167"/>
  <c r="E167"/>
  <c r="D225" i="13" s="1"/>
  <c r="F167" i="12"/>
  <c r="E225" i="13" s="1"/>
  <c r="G167" i="12"/>
  <c r="F225" i="13" s="1"/>
  <c r="H167" i="12"/>
  <c r="G225" i="13" s="1"/>
  <c r="B168" i="12"/>
  <c r="C226" i="13" s="1"/>
  <c r="C168" i="12"/>
  <c r="D168"/>
  <c r="E168"/>
  <c r="D226" i="13" s="1"/>
  <c r="F168" i="12"/>
  <c r="E226" i="13" s="1"/>
  <c r="G168" i="12"/>
  <c r="F226" i="13" s="1"/>
  <c r="H168" i="12"/>
  <c r="G226" i="13" s="1"/>
  <c r="B169" i="12"/>
  <c r="C227" i="13" s="1"/>
  <c r="C169" i="12"/>
  <c r="D169"/>
  <c r="E169"/>
  <c r="D227" i="13" s="1"/>
  <c r="F169" i="12"/>
  <c r="E227" i="13" s="1"/>
  <c r="G169" i="12"/>
  <c r="F227" i="13" s="1"/>
  <c r="H169" i="12"/>
  <c r="G227" i="13" s="1"/>
  <c r="B170" i="12"/>
  <c r="C228" i="13" s="1"/>
  <c r="C170" i="12"/>
  <c r="D170"/>
  <c r="E170"/>
  <c r="D228" i="13" s="1"/>
  <c r="F170" i="12"/>
  <c r="E228" i="13" s="1"/>
  <c r="G170" i="12"/>
  <c r="F228" i="13" s="1"/>
  <c r="H170" i="12"/>
  <c r="G228" i="13" s="1"/>
  <c r="B174" i="12"/>
  <c r="C174"/>
  <c r="D174"/>
  <c r="E174"/>
  <c r="F174"/>
  <c r="G174"/>
  <c r="H174"/>
  <c r="C193"/>
  <c r="C209" s="1"/>
  <c r="D193"/>
  <c r="D209" s="1"/>
  <c r="F193"/>
  <c r="G193"/>
  <c r="G209" s="1"/>
  <c r="F730" i="13" s="1"/>
  <c r="J4682" s="1"/>
  <c r="H193" i="12"/>
  <c r="K193"/>
  <c r="F614" i="13"/>
  <c r="G614"/>
  <c r="H614"/>
  <c r="H4650" s="1"/>
  <c r="C195" i="12"/>
  <c r="C211" s="1"/>
  <c r="C219" s="1"/>
  <c r="C226" s="1"/>
  <c r="C236" s="1"/>
  <c r="D195"/>
  <c r="D211" s="1"/>
  <c r="D219" s="1"/>
  <c r="D226" s="1"/>
  <c r="D236" s="1"/>
  <c r="E615" i="13"/>
  <c r="E4651" s="1"/>
  <c r="F615"/>
  <c r="G615"/>
  <c r="H615"/>
  <c r="H4651" s="1"/>
  <c r="C196" i="12"/>
  <c r="C212" s="1"/>
  <c r="C220" s="1"/>
  <c r="C227" s="1"/>
  <c r="C237" s="1"/>
  <c r="D196"/>
  <c r="D212" s="1"/>
  <c r="D220" s="1"/>
  <c r="D227" s="1"/>
  <c r="D237" s="1"/>
  <c r="E616" i="13"/>
  <c r="E4652" s="1"/>
  <c r="F616"/>
  <c r="G616"/>
  <c r="H616"/>
  <c r="H4652" s="1"/>
  <c r="E617"/>
  <c r="E3986" s="1"/>
  <c r="F617"/>
  <c r="F3986" s="1"/>
  <c r="G617"/>
  <c r="G3986" s="1"/>
  <c r="H617"/>
  <c r="H3986" s="1"/>
  <c r="E618"/>
  <c r="E3987" s="1"/>
  <c r="F618"/>
  <c r="F3987" s="1"/>
  <c r="G618"/>
  <c r="G3987" s="1"/>
  <c r="H618"/>
  <c r="H3987" s="1"/>
  <c r="B200" i="12"/>
  <c r="B215" s="1"/>
  <c r="B231" s="1"/>
  <c r="M204"/>
  <c r="N208"/>
  <c r="H731" i="13"/>
  <c r="L4683" s="1"/>
  <c r="Q4683" s="1"/>
  <c r="R4683" s="1"/>
  <c r="H733"/>
  <c r="L4685" s="1"/>
  <c r="Q4685" s="1"/>
  <c r="R4685" s="1"/>
  <c r="C215" i="12"/>
  <c r="D215"/>
  <c r="D231" s="1"/>
  <c r="F215"/>
  <c r="F231" s="1"/>
  <c r="G215"/>
  <c r="G231" s="1"/>
  <c r="H215"/>
  <c r="H231" s="1"/>
  <c r="I215"/>
  <c r="I231" s="1"/>
  <c r="N216"/>
  <c r="N223"/>
  <c r="H1056" i="13"/>
  <c r="L4750" s="1"/>
  <c r="Q4750" s="1"/>
  <c r="R4750" s="1"/>
  <c r="H1057"/>
  <c r="L4751" s="1"/>
  <c r="Q4751" s="1"/>
  <c r="R4751" s="1"/>
  <c r="H1058"/>
  <c r="L4752" s="1"/>
  <c r="Q4752" s="1"/>
  <c r="R4752" s="1"/>
  <c r="H1059"/>
  <c r="L4753" s="1"/>
  <c r="Q4753" s="1"/>
  <c r="R4753" s="1"/>
  <c r="H1060"/>
  <c r="H1061"/>
  <c r="C231" i="12"/>
  <c r="E231"/>
  <c r="N233"/>
  <c r="H1202" i="13"/>
  <c r="L4784" s="1"/>
  <c r="Q4784" s="1"/>
  <c r="R4784" s="1"/>
  <c r="H1203"/>
  <c r="L4785" s="1"/>
  <c r="Q4785" s="1"/>
  <c r="R4785" s="1"/>
  <c r="H1204"/>
  <c r="L4786" s="1"/>
  <c r="Q4786" s="1"/>
  <c r="R4786" s="1"/>
  <c r="C241" i="12"/>
  <c r="D241"/>
  <c r="E241"/>
  <c r="F241"/>
  <c r="G241"/>
  <c r="H241"/>
  <c r="I241"/>
  <c r="O243"/>
  <c r="C244"/>
  <c r="D244"/>
  <c r="G244"/>
  <c r="C245"/>
  <c r="D245"/>
  <c r="G245"/>
  <c r="G250" s="1"/>
  <c r="H245"/>
  <c r="I245"/>
  <c r="I246" s="1"/>
  <c r="I247" s="1"/>
  <c r="G246"/>
  <c r="H246"/>
  <c r="G247"/>
  <c r="H247"/>
  <c r="C250"/>
  <c r="D250"/>
  <c r="I250"/>
  <c r="C251"/>
  <c r="D251"/>
  <c r="F251"/>
  <c r="G251"/>
  <c r="H251"/>
  <c r="I251"/>
  <c r="J251"/>
  <c r="C252"/>
  <c r="D252"/>
  <c r="F252"/>
  <c r="G252"/>
  <c r="H252"/>
  <c r="I252"/>
  <c r="J252"/>
  <c r="I152" l="1"/>
  <c r="H210" i="13" s="1"/>
  <c r="I210" s="1"/>
  <c r="U4785"/>
  <c r="V4785" s="1"/>
  <c r="U4752"/>
  <c r="V4752" s="1"/>
  <c r="U4683"/>
  <c r="V4683" s="1"/>
  <c r="U4784"/>
  <c r="V4784" s="1"/>
  <c r="U4751"/>
  <c r="V4751" s="1"/>
  <c r="U4786"/>
  <c r="V4786" s="1"/>
  <c r="U4753"/>
  <c r="V4753" s="1"/>
  <c r="U4685"/>
  <c r="V4685" s="1"/>
  <c r="H4785"/>
  <c r="H4752"/>
  <c r="H4683"/>
  <c r="H4784"/>
  <c r="H4751"/>
  <c r="H4786"/>
  <c r="H4753"/>
  <c r="H4685"/>
  <c r="I4897"/>
  <c r="J2198"/>
  <c r="I2197" s="1"/>
  <c r="I482"/>
  <c r="G481"/>
  <c r="G2121" s="1"/>
  <c r="G2119"/>
  <c r="D549"/>
  <c r="I1991"/>
  <c r="H1992" s="1"/>
  <c r="I164"/>
  <c r="I153"/>
  <c r="I167"/>
  <c r="I165"/>
  <c r="C4783"/>
  <c r="F4784"/>
  <c r="F4752"/>
  <c r="I4752" s="1"/>
  <c r="I4750"/>
  <c r="I4686"/>
  <c r="F4786"/>
  <c r="F4652"/>
  <c r="I4652" s="1"/>
  <c r="F4751"/>
  <c r="F4684"/>
  <c r="F4753"/>
  <c r="F4685"/>
  <c r="F4785"/>
  <c r="F4683"/>
  <c r="I4683" s="1"/>
  <c r="F4650"/>
  <c r="I4650" s="1"/>
  <c r="F4651"/>
  <c r="I4651" s="1"/>
  <c r="E613"/>
  <c r="E4649" s="1"/>
  <c r="F209" i="12"/>
  <c r="I136"/>
  <c r="H180" i="13" s="1"/>
  <c r="I180" s="1"/>
  <c r="H179"/>
  <c r="I179" s="1"/>
  <c r="M86" i="12"/>
  <c r="H75" i="13"/>
  <c r="I75" s="1"/>
  <c r="H34"/>
  <c r="I34" s="1"/>
  <c r="M84" i="12"/>
  <c r="H73" i="13"/>
  <c r="I73" s="1"/>
  <c r="H32"/>
  <c r="I32" s="1"/>
  <c r="H72"/>
  <c r="I72" s="1"/>
  <c r="H31"/>
  <c r="I31" s="1"/>
  <c r="M71" i="12"/>
  <c r="H60" i="13"/>
  <c r="I60" s="1"/>
  <c r="H19"/>
  <c r="I19" s="1"/>
  <c r="H58"/>
  <c r="I58" s="1"/>
  <c r="H17"/>
  <c r="I17" s="1"/>
  <c r="M66" i="12"/>
  <c r="H55" i="13"/>
  <c r="I55" s="1"/>
  <c r="D320"/>
  <c r="D493"/>
  <c r="E319"/>
  <c r="E492"/>
  <c r="G90"/>
  <c r="I90" s="1"/>
  <c r="G352"/>
  <c r="G397"/>
  <c r="G436"/>
  <c r="G476"/>
  <c r="G434"/>
  <c r="G350"/>
  <c r="G474"/>
  <c r="G395"/>
  <c r="G381"/>
  <c r="G459"/>
  <c r="G335"/>
  <c r="G457"/>
  <c r="G379"/>
  <c r="G333"/>
  <c r="D319"/>
  <c r="D492"/>
  <c r="G613"/>
  <c r="H209" i="12"/>
  <c r="M87"/>
  <c r="H76" i="13"/>
  <c r="I76" s="1"/>
  <c r="H35"/>
  <c r="I35" s="1"/>
  <c r="H74"/>
  <c r="I74" s="1"/>
  <c r="H33"/>
  <c r="I33" s="1"/>
  <c r="G471"/>
  <c r="G347"/>
  <c r="M70" i="12"/>
  <c r="H59" i="13"/>
  <c r="I59" s="1"/>
  <c r="H18"/>
  <c r="I18" s="1"/>
  <c r="M68" i="12"/>
  <c r="H57" i="13"/>
  <c r="I57" s="1"/>
  <c r="H16"/>
  <c r="I16" s="1"/>
  <c r="G435"/>
  <c r="G475"/>
  <c r="G351"/>
  <c r="G396"/>
  <c r="G349"/>
  <c r="G473"/>
  <c r="G433"/>
  <c r="G394"/>
  <c r="G348"/>
  <c r="G393"/>
  <c r="G472"/>
  <c r="G432"/>
  <c r="M82" i="12"/>
  <c r="H347" i="13" s="1"/>
  <c r="H516" s="1"/>
  <c r="H71"/>
  <c r="I71" s="1"/>
  <c r="G421"/>
  <c r="G336"/>
  <c r="G460"/>
  <c r="G382"/>
  <c r="G334"/>
  <c r="G458"/>
  <c r="G380"/>
  <c r="G417"/>
  <c r="G331"/>
  <c r="D321"/>
  <c r="D494"/>
  <c r="E320"/>
  <c r="E493"/>
  <c r="G91"/>
  <c r="I91" s="1"/>
  <c r="J3972"/>
  <c r="J3973" s="1"/>
  <c r="I3323"/>
  <c r="I3349" s="1"/>
  <c r="I3372" s="1"/>
  <c r="H3373" s="1"/>
  <c r="I3320"/>
  <c r="H3321" s="1"/>
  <c r="I3099"/>
  <c r="I3098"/>
  <c r="C1208"/>
  <c r="C4790" s="1"/>
  <c r="E1206"/>
  <c r="E4788" s="1"/>
  <c r="C1207"/>
  <c r="C4789" s="1"/>
  <c r="E1208"/>
  <c r="E4790" s="1"/>
  <c r="C1206"/>
  <c r="C4788" s="1"/>
  <c r="E1207"/>
  <c r="E4789" s="1"/>
  <c r="J2112"/>
  <c r="J2113" s="1"/>
  <c r="I2002"/>
  <c r="J1814"/>
  <c r="J1815" s="1"/>
  <c r="G1212"/>
  <c r="K4794" s="1"/>
  <c r="G1208"/>
  <c r="K4790" s="1"/>
  <c r="I1203"/>
  <c r="I1211" s="1"/>
  <c r="D1207"/>
  <c r="D4789" s="1"/>
  <c r="F1212"/>
  <c r="J4794" s="1"/>
  <c r="F4794" s="1"/>
  <c r="F1208"/>
  <c r="J4790" s="1"/>
  <c r="F4790" s="1"/>
  <c r="G1211"/>
  <c r="K4793" s="1"/>
  <c r="G1207"/>
  <c r="K4789" s="1"/>
  <c r="I1202"/>
  <c r="I1210" s="1"/>
  <c r="D1206"/>
  <c r="D4788" s="1"/>
  <c r="F1211"/>
  <c r="J4793" s="1"/>
  <c r="F4793" s="1"/>
  <c r="F1207"/>
  <c r="J4789" s="1"/>
  <c r="F4789" s="1"/>
  <c r="G1210"/>
  <c r="K4792" s="1"/>
  <c r="G1206"/>
  <c r="K4788" s="1"/>
  <c r="D1208"/>
  <c r="D4790" s="1"/>
  <c r="I1204"/>
  <c r="I1212" s="1"/>
  <c r="F1210"/>
  <c r="J4792" s="1"/>
  <c r="F4792" s="1"/>
  <c r="F1206"/>
  <c r="J4788" s="1"/>
  <c r="F4788" s="1"/>
  <c r="C1212"/>
  <c r="C4794" s="1"/>
  <c r="D1211"/>
  <c r="D4793" s="1"/>
  <c r="E1210"/>
  <c r="E4792" s="1"/>
  <c r="C1211"/>
  <c r="C4793" s="1"/>
  <c r="D1210"/>
  <c r="D4792" s="1"/>
  <c r="E1212"/>
  <c r="E4794" s="1"/>
  <c r="C1210"/>
  <c r="C4792" s="1"/>
  <c r="D1212"/>
  <c r="D4794" s="1"/>
  <c r="E1211"/>
  <c r="E4793" s="1"/>
  <c r="I1540"/>
  <c r="F1078"/>
  <c r="F4453" s="1"/>
  <c r="I4453" s="1"/>
  <c r="J4640" s="1"/>
  <c r="F587"/>
  <c r="F586"/>
  <c r="I562"/>
  <c r="H432"/>
  <c r="H550"/>
  <c r="I561"/>
  <c r="F496"/>
  <c r="I496" s="1"/>
  <c r="H236"/>
  <c r="H326" s="1"/>
  <c r="H325"/>
  <c r="I240"/>
  <c r="H155"/>
  <c r="I155" s="1"/>
  <c r="H1272"/>
  <c r="I1271"/>
  <c r="I1270"/>
  <c r="I1269"/>
  <c r="F194"/>
  <c r="F296" s="1"/>
  <c r="F479" s="1"/>
  <c r="L84" i="12"/>
  <c r="L99"/>
  <c r="J2507" i="13"/>
  <c r="J2508" s="1"/>
  <c r="O4916"/>
  <c r="O3573"/>
  <c r="O3570"/>
  <c r="O3562"/>
  <c r="O3554"/>
  <c r="O4913"/>
  <c r="O3534"/>
  <c r="O3392"/>
  <c r="O3233"/>
  <c r="O1803"/>
  <c r="O3395"/>
  <c r="O3959"/>
  <c r="O3874"/>
  <c r="O3640"/>
  <c r="O3565"/>
  <c r="O3557"/>
  <c r="O3494"/>
  <c r="O3484"/>
  <c r="D161"/>
  <c r="F166"/>
  <c r="I166" s="1"/>
  <c r="J246" i="12"/>
  <c r="J241"/>
  <c r="L101"/>
  <c r="G59"/>
  <c r="C318" i="13"/>
  <c r="J215" i="12"/>
  <c r="D162" i="13"/>
  <c r="C321"/>
  <c r="M83" i="12"/>
  <c r="D163" i="13"/>
  <c r="L100" i="12"/>
  <c r="C319" i="13"/>
  <c r="L102" i="12"/>
  <c r="M85"/>
  <c r="M69"/>
  <c r="J245"/>
  <c r="J174"/>
  <c r="J48"/>
  <c r="G102" i="13"/>
  <c r="G236"/>
  <c r="J247" i="12"/>
  <c r="G103" i="13"/>
  <c r="G237"/>
  <c r="J49" i="12"/>
  <c r="J129"/>
  <c r="Q82"/>
  <c r="Q66"/>
  <c r="H250"/>
  <c r="J193"/>
  <c r="G154"/>
  <c r="F212" i="13" s="1"/>
  <c r="I130" i="12"/>
  <c r="H174" i="13" s="1"/>
  <c r="I174" s="1"/>
  <c r="L103" i="12"/>
  <c r="L104" s="1"/>
  <c r="F613" i="13"/>
  <c r="F455"/>
  <c r="G419"/>
  <c r="F417"/>
  <c r="G392"/>
  <c r="G377"/>
  <c r="E321"/>
  <c r="C320"/>
  <c r="D318"/>
  <c r="F289"/>
  <c r="I289" s="1"/>
  <c r="F273"/>
  <c r="I273" s="1"/>
  <c r="F236"/>
  <c r="F102"/>
  <c r="J231" i="12"/>
  <c r="G455" i="13"/>
  <c r="F431"/>
  <c r="F563" s="1"/>
  <c r="I563" s="1"/>
  <c r="G420"/>
  <c r="F418"/>
  <c r="F550" s="1"/>
  <c r="H392"/>
  <c r="H407"/>
  <c r="E318"/>
  <c r="F237"/>
  <c r="F152"/>
  <c r="I152" s="1"/>
  <c r="F139"/>
  <c r="I139" s="1"/>
  <c r="H30"/>
  <c r="I30" s="1"/>
  <c r="F14"/>
  <c r="D21" i="12"/>
  <c r="I153"/>
  <c r="J152"/>
  <c r="J135"/>
  <c r="H734" i="13"/>
  <c r="L4686" s="1"/>
  <c r="Q4686" s="1"/>
  <c r="R4686" s="1"/>
  <c r="H732"/>
  <c r="L4684" s="1"/>
  <c r="Q4684" s="1"/>
  <c r="R4684" s="1"/>
  <c r="G431"/>
  <c r="G418"/>
  <c r="F290"/>
  <c r="I290" s="1"/>
  <c r="F274"/>
  <c r="I274" s="1"/>
  <c r="F238"/>
  <c r="F235"/>
  <c r="F103"/>
  <c r="F48"/>
  <c r="F89" s="1"/>
  <c r="J122" i="12"/>
  <c r="G58"/>
  <c r="G57"/>
  <c r="G56"/>
  <c r="H50"/>
  <c r="G51" i="13" s="1"/>
  <c r="I51" s="1"/>
  <c r="H47" i="12"/>
  <c r="F419" i="13"/>
  <c r="F551" s="1"/>
  <c r="F392"/>
  <c r="F377"/>
  <c r="D371"/>
  <c r="D585" s="1"/>
  <c r="H14"/>
  <c r="I322"/>
  <c r="J1737"/>
  <c r="I1737" s="1"/>
  <c r="H1738" s="1"/>
  <c r="I2553"/>
  <c r="I2582"/>
  <c r="I2572"/>
  <c r="I2578"/>
  <c r="I2554"/>
  <c r="I2571"/>
  <c r="I2542"/>
  <c r="I1057"/>
  <c r="J5053"/>
  <c r="I5053" s="1"/>
  <c r="I5054" s="1"/>
  <c r="H5055" s="1"/>
  <c r="I2573"/>
  <c r="I2577"/>
  <c r="I2574"/>
  <c r="I2739"/>
  <c r="J2767" s="1"/>
  <c r="J2768" s="1"/>
  <c r="I2767" s="1"/>
  <c r="J1795"/>
  <c r="I826"/>
  <c r="I617"/>
  <c r="I287"/>
  <c r="I193"/>
  <c r="I616"/>
  <c r="I191"/>
  <c r="I1061"/>
  <c r="I731"/>
  <c r="I615"/>
  <c r="I1060"/>
  <c r="I429"/>
  <c r="I414"/>
  <c r="I172"/>
  <c r="I151"/>
  <c r="I28"/>
  <c r="I733"/>
  <c r="I412"/>
  <c r="I288"/>
  <c r="I192"/>
  <c r="I29"/>
  <c r="I1059"/>
  <c r="I1058"/>
  <c r="I445"/>
  <c r="I416"/>
  <c r="I138"/>
  <c r="I1062"/>
  <c r="I1056"/>
  <c r="I832"/>
  <c r="I614"/>
  <c r="I430"/>
  <c r="I391"/>
  <c r="I390"/>
  <c r="I1218"/>
  <c r="I831"/>
  <c r="I828"/>
  <c r="I916"/>
  <c r="I751"/>
  <c r="I1267"/>
  <c r="I1216"/>
  <c r="I830"/>
  <c r="I821"/>
  <c r="J5065"/>
  <c r="J5066" s="1"/>
  <c r="I5066" s="1"/>
  <c r="I5067" s="1"/>
  <c r="H5068" s="1"/>
  <c r="I3911"/>
  <c r="H3912" s="1"/>
  <c r="I1221"/>
  <c r="I1217"/>
  <c r="I829"/>
  <c r="I600"/>
  <c r="I602" s="1"/>
  <c r="H603" s="1"/>
  <c r="I4815" s="1"/>
  <c r="I4821" s="1"/>
  <c r="H4822" s="1"/>
  <c r="I444"/>
  <c r="I3762"/>
  <c r="H3763" s="1"/>
  <c r="I2068"/>
  <c r="I1215"/>
  <c r="I827"/>
  <c r="I825"/>
  <c r="H419"/>
  <c r="H551" s="1"/>
  <c r="I2532"/>
  <c r="J4845"/>
  <c r="J4846" s="1"/>
  <c r="I4845" s="1"/>
  <c r="I4846" s="1"/>
  <c r="H4847" s="1"/>
  <c r="J3429"/>
  <c r="J3430" s="1"/>
  <c r="I3430" s="1"/>
  <c r="H3431" s="1"/>
  <c r="J3292"/>
  <c r="J3293" s="1"/>
  <c r="I3293" s="1"/>
  <c r="H3294" s="1"/>
  <c r="J2520"/>
  <c r="J2521" s="1"/>
  <c r="I2520" s="1"/>
  <c r="I4922"/>
  <c r="H4923" s="1"/>
  <c r="J1827"/>
  <c r="J1828" s="1"/>
  <c r="I1828" s="1"/>
  <c r="H1829" s="1"/>
  <c r="I3965"/>
  <c r="H3966" s="1"/>
  <c r="I3918"/>
  <c r="H3919" s="1"/>
  <c r="I3596"/>
  <c r="H3597" s="1"/>
  <c r="I3748"/>
  <c r="H3749" s="1"/>
  <c r="I3441"/>
  <c r="H3442" s="1"/>
  <c r="I3414"/>
  <c r="H3415" s="1"/>
  <c r="I3548"/>
  <c r="H3549" s="1"/>
  <c r="I1897"/>
  <c r="J1905" s="1"/>
  <c r="J1847"/>
  <c r="J1848" s="1"/>
  <c r="I1847" s="1"/>
  <c r="I3681"/>
  <c r="H3682" s="1"/>
  <c r="I3636"/>
  <c r="H3637" s="1"/>
  <c r="O3637" s="1"/>
  <c r="J3421"/>
  <c r="J3422" s="1"/>
  <c r="I3421" s="1"/>
  <c r="I4886"/>
  <c r="H4887" s="1"/>
  <c r="I4928"/>
  <c r="H4929" s="1"/>
  <c r="J4938"/>
  <c r="J4939" s="1"/>
  <c r="I4938" s="1"/>
  <c r="I4939" s="1"/>
  <c r="H4940" s="1"/>
  <c r="I3889"/>
  <c r="H3890" s="1"/>
  <c r="I3866"/>
  <c r="H3867" s="1"/>
  <c r="I3755"/>
  <c r="H3756" s="1"/>
  <c r="I3717"/>
  <c r="H3718" s="1"/>
  <c r="J3242"/>
  <c r="J3243" s="1"/>
  <c r="I3243" s="1"/>
  <c r="H3244" s="1"/>
  <c r="E2772"/>
  <c r="I2772" s="1"/>
  <c r="J2773" s="1"/>
  <c r="J2774" s="1"/>
  <c r="I2774" s="1"/>
  <c r="J2375"/>
  <c r="J2376" s="1"/>
  <c r="I2375" s="1"/>
  <c r="I2065"/>
  <c r="H2066" s="1"/>
  <c r="D1934"/>
  <c r="I1934" s="1"/>
  <c r="J1842"/>
  <c r="I1841" s="1"/>
  <c r="I195"/>
  <c r="I4908"/>
  <c r="H4909" s="1"/>
  <c r="I3954"/>
  <c r="H3955" s="1"/>
  <c r="I3934"/>
  <c r="H3935" s="1"/>
  <c r="I3711"/>
  <c r="H3712" s="1"/>
  <c r="J3516"/>
  <c r="J3517" s="1"/>
  <c r="I3517" s="1"/>
  <c r="H3518" s="1"/>
  <c r="I3478"/>
  <c r="H3479" s="1"/>
  <c r="I3388"/>
  <c r="H3389" s="1"/>
  <c r="H1979"/>
  <c r="I1953"/>
  <c r="H1954" s="1"/>
  <c r="J1598"/>
  <c r="I1598" s="1"/>
  <c r="H1599" s="1"/>
  <c r="I4945"/>
  <c r="H4946" s="1"/>
  <c r="H4898"/>
  <c r="H4874"/>
  <c r="I3949"/>
  <c r="H3950" s="1"/>
  <c r="J3528"/>
  <c r="J3529" s="1"/>
  <c r="I3529" s="1"/>
  <c r="H3530" s="1"/>
  <c r="J2449"/>
  <c r="I2092"/>
  <c r="J1665"/>
  <c r="J1666" s="1"/>
  <c r="I1666" s="1"/>
  <c r="H1667" s="1"/>
  <c r="J3904"/>
  <c r="J3905" s="1"/>
  <c r="I3904" s="1"/>
  <c r="I3809"/>
  <c r="H3810" s="1"/>
  <c r="I3465"/>
  <c r="H3466" s="1"/>
  <c r="I3454"/>
  <c r="H3455" s="1"/>
  <c r="J3505"/>
  <c r="J3506" s="1"/>
  <c r="I3191"/>
  <c r="H3192" s="1"/>
  <c r="I3190"/>
  <c r="I1887"/>
  <c r="I1888"/>
  <c r="H1889" s="1"/>
  <c r="I1893"/>
  <c r="I1894"/>
  <c r="H1895" s="1"/>
  <c r="I3196"/>
  <c r="H3197" s="1"/>
  <c r="I3195"/>
  <c r="J3405"/>
  <c r="J3406" s="1"/>
  <c r="I3405" s="1"/>
  <c r="I3406" s="1"/>
  <c r="H3407" s="1"/>
  <c r="I3201"/>
  <c r="H3202" s="1"/>
  <c r="I3200"/>
  <c r="L3268"/>
  <c r="J1917"/>
  <c r="J1918" s="1"/>
  <c r="I1222"/>
  <c r="D299"/>
  <c r="G298"/>
  <c r="H103"/>
  <c r="I137" i="12"/>
  <c r="H181" i="13" s="1"/>
  <c r="I181" s="1"/>
  <c r="J136" i="12"/>
  <c r="AC368"/>
  <c r="AC369" s="1"/>
  <c r="AC370" s="1"/>
  <c r="R3565" i="13" l="1"/>
  <c r="R3570"/>
  <c r="R3959"/>
  <c r="R3562"/>
  <c r="R3573"/>
  <c r="I4685"/>
  <c r="I4786"/>
  <c r="I4784"/>
  <c r="I4785"/>
  <c r="I4751"/>
  <c r="U4684"/>
  <c r="V4684" s="1"/>
  <c r="I4753"/>
  <c r="H4684"/>
  <c r="I4684" s="1"/>
  <c r="I417"/>
  <c r="I4789"/>
  <c r="I2198"/>
  <c r="H2199" s="1"/>
  <c r="O2199" s="1"/>
  <c r="I103"/>
  <c r="F480"/>
  <c r="I480" s="1"/>
  <c r="F2117"/>
  <c r="I418"/>
  <c r="I102"/>
  <c r="I14"/>
  <c r="K321"/>
  <c r="I4794"/>
  <c r="I4790"/>
  <c r="I4788"/>
  <c r="I4792"/>
  <c r="I4793"/>
  <c r="I3346"/>
  <c r="H3347" s="1"/>
  <c r="O3347" s="1"/>
  <c r="I4649"/>
  <c r="J153" i="12"/>
  <c r="H211" i="13"/>
  <c r="I211" s="1"/>
  <c r="Q83" i="12"/>
  <c r="H471" i="13"/>
  <c r="I471" s="1"/>
  <c r="H163"/>
  <c r="I163" s="1"/>
  <c r="H81"/>
  <c r="I81" s="1"/>
  <c r="H348"/>
  <c r="H517" s="1"/>
  <c r="H393"/>
  <c r="I393" s="1"/>
  <c r="L85" i="12"/>
  <c r="H291" i="13"/>
  <c r="I291" s="1"/>
  <c r="H352"/>
  <c r="I352" s="1"/>
  <c r="H397"/>
  <c r="I397" s="1"/>
  <c r="H394"/>
  <c r="I394" s="1"/>
  <c r="H349"/>
  <c r="H518" s="1"/>
  <c r="F321"/>
  <c r="H381"/>
  <c r="I381" s="1"/>
  <c r="H335"/>
  <c r="H504" s="1"/>
  <c r="G730"/>
  <c r="H244" i="12"/>
  <c r="J244" s="1"/>
  <c r="G92" i="13"/>
  <c r="I92" s="1"/>
  <c r="H380"/>
  <c r="I380" s="1"/>
  <c r="H334"/>
  <c r="H503" s="1"/>
  <c r="H161"/>
  <c r="I161" s="1"/>
  <c r="H79"/>
  <c r="I79" s="1"/>
  <c r="H162"/>
  <c r="I162" s="1"/>
  <c r="H80"/>
  <c r="I80" s="1"/>
  <c r="H379"/>
  <c r="I379" s="1"/>
  <c r="H333"/>
  <c r="H502" s="1"/>
  <c r="I347"/>
  <c r="H377"/>
  <c r="I377" s="1"/>
  <c r="H331"/>
  <c r="H500" s="1"/>
  <c r="H524" s="1"/>
  <c r="I524" s="1"/>
  <c r="F250" i="12"/>
  <c r="J250" s="1"/>
  <c r="J209"/>
  <c r="E730" i="13"/>
  <c r="H40"/>
  <c r="I40" s="1"/>
  <c r="H455"/>
  <c r="I455" s="1"/>
  <c r="Q67" i="12"/>
  <c r="H350" i="13"/>
  <c r="H519" s="1"/>
  <c r="H395"/>
  <c r="I395" s="1"/>
  <c r="H160"/>
  <c r="H78"/>
  <c r="I78" s="1"/>
  <c r="H540"/>
  <c r="I540" s="1"/>
  <c r="I516"/>
  <c r="H382"/>
  <c r="I382" s="1"/>
  <c r="H336"/>
  <c r="H505" s="1"/>
  <c r="H396"/>
  <c r="I396" s="1"/>
  <c r="H351"/>
  <c r="H520" s="1"/>
  <c r="I3972"/>
  <c r="I3973"/>
  <c r="H3974" s="1"/>
  <c r="O3974" s="1"/>
  <c r="I2112"/>
  <c r="I2113"/>
  <c r="H2114" s="1"/>
  <c r="O2114" s="1"/>
  <c r="I1815"/>
  <c r="H1816" s="1"/>
  <c r="O1816" s="1"/>
  <c r="I1814"/>
  <c r="I1882"/>
  <c r="H1883" s="1"/>
  <c r="O1883" s="1"/>
  <c r="I1208"/>
  <c r="I1207"/>
  <c r="I1206"/>
  <c r="I550"/>
  <c r="I1078"/>
  <c r="J1197" s="1"/>
  <c r="J1198" s="1"/>
  <c r="I1197" s="1"/>
  <c r="I1198" s="1"/>
  <c r="H408"/>
  <c r="H409" s="1"/>
  <c r="H590"/>
  <c r="I325"/>
  <c r="H579"/>
  <c r="I579" s="1"/>
  <c r="I326"/>
  <c r="H580"/>
  <c r="I580" s="1"/>
  <c r="I551"/>
  <c r="F549"/>
  <c r="I549" s="1"/>
  <c r="I432"/>
  <c r="H564"/>
  <c r="I564" s="1"/>
  <c r="H420"/>
  <c r="H552" s="1"/>
  <c r="I552" s="1"/>
  <c r="H433"/>
  <c r="H237"/>
  <c r="H327" s="1"/>
  <c r="H371"/>
  <c r="H585" s="1"/>
  <c r="I585" s="1"/>
  <c r="H370"/>
  <c r="H584" s="1"/>
  <c r="I584" s="1"/>
  <c r="H156"/>
  <c r="I156" s="1"/>
  <c r="H39"/>
  <c r="I39" s="1"/>
  <c r="C373"/>
  <c r="C587" s="1"/>
  <c r="C40"/>
  <c r="D373"/>
  <c r="D587" s="1"/>
  <c r="H38"/>
  <c r="I38" s="1"/>
  <c r="H59" i="12"/>
  <c r="F494" i="13" s="1"/>
  <c r="I494" s="1"/>
  <c r="I479"/>
  <c r="I194"/>
  <c r="H1273"/>
  <c r="I1272"/>
  <c r="D407"/>
  <c r="D372"/>
  <c r="D586" s="1"/>
  <c r="J99" i="12"/>
  <c r="D160" i="13"/>
  <c r="E114" i="12"/>
  <c r="J114" s="1"/>
  <c r="H37" i="13"/>
  <c r="I2448"/>
  <c r="I2449"/>
  <c r="H2450" s="1"/>
  <c r="O2450" s="1"/>
  <c r="J2094"/>
  <c r="J2095" s="1"/>
  <c r="I2507"/>
  <c r="I2508"/>
  <c r="H2509" s="1"/>
  <c r="O2509" s="1"/>
  <c r="J2735"/>
  <c r="J2736" s="1"/>
  <c r="I2736" s="1"/>
  <c r="H2737" s="1"/>
  <c r="I3211" s="1"/>
  <c r="I734"/>
  <c r="I431"/>
  <c r="I236"/>
  <c r="I392"/>
  <c r="I613"/>
  <c r="O3202"/>
  <c r="O3466"/>
  <c r="O3950"/>
  <c r="I3581"/>
  <c r="O1979"/>
  <c r="O2066"/>
  <c r="O3756"/>
  <c r="O5055"/>
  <c r="O3682"/>
  <c r="O3549"/>
  <c r="F3269"/>
  <c r="I3269" s="1"/>
  <c r="O3597"/>
  <c r="O3966"/>
  <c r="O4923"/>
  <c r="O3431"/>
  <c r="O4847"/>
  <c r="O1738"/>
  <c r="O1599"/>
  <c r="O3712"/>
  <c r="O3244"/>
  <c r="I3578"/>
  <c r="O4929"/>
  <c r="O3442"/>
  <c r="O3919"/>
  <c r="O5068"/>
  <c r="O1895"/>
  <c r="O4946"/>
  <c r="O3389"/>
  <c r="O3373"/>
  <c r="O3890"/>
  <c r="O4940"/>
  <c r="O4887"/>
  <c r="O3749"/>
  <c r="O1829"/>
  <c r="O3912"/>
  <c r="O3197"/>
  <c r="O3192"/>
  <c r="I3586"/>
  <c r="I3587" s="1"/>
  <c r="H3588" s="1"/>
  <c r="J3587" s="1"/>
  <c r="O4898"/>
  <c r="O1889"/>
  <c r="O3935"/>
  <c r="O3321"/>
  <c r="O3455"/>
  <c r="O1667"/>
  <c r="O3530"/>
  <c r="O1954"/>
  <c r="O3479"/>
  <c r="O3955"/>
  <c r="O1992"/>
  <c r="I3580"/>
  <c r="I3869"/>
  <c r="I3870" s="1"/>
  <c r="H3871" s="1"/>
  <c r="I3876" s="1"/>
  <c r="I3878" s="1"/>
  <c r="H3879" s="1"/>
  <c r="O4822"/>
  <c r="O3294"/>
  <c r="O3763"/>
  <c r="I3429"/>
  <c r="I732"/>
  <c r="C163"/>
  <c r="C618"/>
  <c r="C3987" s="1"/>
  <c r="G48"/>
  <c r="G235"/>
  <c r="I235" s="1"/>
  <c r="J47" i="12"/>
  <c r="G101" i="13"/>
  <c r="I101" s="1"/>
  <c r="H58" i="12"/>
  <c r="F493" i="13" s="1"/>
  <c r="I493" s="1"/>
  <c r="F320"/>
  <c r="I154" i="12"/>
  <c r="H212" i="13" s="1"/>
  <c r="B114" i="12"/>
  <c r="B193" s="1"/>
  <c r="B209" s="1"/>
  <c r="C730" i="13" s="1"/>
  <c r="C37"/>
  <c r="C370"/>
  <c r="C584" s="1"/>
  <c r="C160"/>
  <c r="C614"/>
  <c r="C4650" s="1"/>
  <c r="D618"/>
  <c r="D3987" s="1"/>
  <c r="L206" i="12"/>
  <c r="F319" i="13"/>
  <c r="H57" i="12"/>
  <c r="G319" i="13" s="1"/>
  <c r="F318"/>
  <c r="H56" i="12"/>
  <c r="G318" i="13" s="1"/>
  <c r="C39"/>
  <c r="C372"/>
  <c r="C586" s="1"/>
  <c r="C617"/>
  <c r="C3986" s="1"/>
  <c r="C616"/>
  <c r="C4652" s="1"/>
  <c r="C162"/>
  <c r="G238"/>
  <c r="J50" i="12"/>
  <c r="G104" i="13"/>
  <c r="C161"/>
  <c r="C371"/>
  <c r="C585" s="1"/>
  <c r="C615"/>
  <c r="C4651" s="1"/>
  <c r="C38"/>
  <c r="J130" i="12"/>
  <c r="I131"/>
  <c r="H175" i="13" s="1"/>
  <c r="I175" s="1"/>
  <c r="J59" i="12"/>
  <c r="O3415" i="13"/>
  <c r="I1842"/>
  <c r="H1843" s="1"/>
  <c r="I1736"/>
  <c r="I1827"/>
  <c r="I1848"/>
  <c r="H1849" s="1"/>
  <c r="I2521"/>
  <c r="H2522" s="1"/>
  <c r="I3422"/>
  <c r="H3423" s="1"/>
  <c r="I419"/>
  <c r="I3292"/>
  <c r="I2773"/>
  <c r="O3867"/>
  <c r="I2768"/>
  <c r="H2769" s="1"/>
  <c r="I3220" s="1"/>
  <c r="I3242"/>
  <c r="J2088"/>
  <c r="J2089" s="1"/>
  <c r="I2089" s="1"/>
  <c r="H2090" s="1"/>
  <c r="J1935"/>
  <c r="J1936" s="1"/>
  <c r="I1935" s="1"/>
  <c r="I1881"/>
  <c r="O3718"/>
  <c r="J2534"/>
  <c r="J2535" s="1"/>
  <c r="I2534" s="1"/>
  <c r="I3905"/>
  <c r="H3906" s="1"/>
  <c r="I3528"/>
  <c r="J4833"/>
  <c r="J4834" s="1"/>
  <c r="I4833" s="1"/>
  <c r="I1597"/>
  <c r="O3810"/>
  <c r="I3516"/>
  <c r="O4874"/>
  <c r="J4825"/>
  <c r="J4826" s="1"/>
  <c r="I4825" s="1"/>
  <c r="J1930"/>
  <c r="J1931" s="1"/>
  <c r="I1665"/>
  <c r="I655"/>
  <c r="I653"/>
  <c r="I2376"/>
  <c r="H2377" s="1"/>
  <c r="I3579"/>
  <c r="O3407"/>
  <c r="F3268"/>
  <c r="I3268" s="1"/>
  <c r="I1917"/>
  <c r="I1918"/>
  <c r="H1919" s="1"/>
  <c r="H104"/>
  <c r="I3210"/>
  <c r="H2775"/>
  <c r="I3506"/>
  <c r="H3507" s="1"/>
  <c r="I3505"/>
  <c r="F3270"/>
  <c r="I3270" s="1"/>
  <c r="O3518"/>
  <c r="I138" i="12"/>
  <c r="H182" i="13" s="1"/>
  <c r="I182" s="1"/>
  <c r="J137" i="12"/>
  <c r="R3810" i="13" l="1"/>
  <c r="R3718"/>
  <c r="R3763"/>
  <c r="R4847"/>
  <c r="R4923"/>
  <c r="R3974"/>
  <c r="G321"/>
  <c r="R3479"/>
  <c r="R3966"/>
  <c r="R1895"/>
  <c r="R2066"/>
  <c r="R1992"/>
  <c r="U1803"/>
  <c r="V1803" s="1"/>
  <c r="U3233"/>
  <c r="V3233" s="1"/>
  <c r="I3212"/>
  <c r="H3213" s="1"/>
  <c r="I3215" s="1"/>
  <c r="I3217" s="1"/>
  <c r="H3218" s="1"/>
  <c r="O3218" s="1"/>
  <c r="J2304"/>
  <c r="I2117"/>
  <c r="F2118"/>
  <c r="F481"/>
  <c r="F2119"/>
  <c r="I104"/>
  <c r="I349"/>
  <c r="C4682"/>
  <c r="E4682"/>
  <c r="K4682"/>
  <c r="F4682" s="1"/>
  <c r="I500"/>
  <c r="I730"/>
  <c r="J889" s="1"/>
  <c r="I160"/>
  <c r="J81"/>
  <c r="I321"/>
  <c r="I348"/>
  <c r="H526"/>
  <c r="I526" s="1"/>
  <c r="I502"/>
  <c r="I350"/>
  <c r="H541"/>
  <c r="I541" s="1"/>
  <c r="I517"/>
  <c r="H472"/>
  <c r="I472" s="1"/>
  <c r="Q84" i="12"/>
  <c r="H529" i="13"/>
  <c r="I529" s="1"/>
  <c r="I505"/>
  <c r="H527"/>
  <c r="I527" s="1"/>
  <c r="I503"/>
  <c r="H528"/>
  <c r="I528" s="1"/>
  <c r="I504"/>
  <c r="I334"/>
  <c r="I335"/>
  <c r="L86" i="12"/>
  <c r="H292" i="13"/>
  <c r="I292" s="1"/>
  <c r="H543"/>
  <c r="I543" s="1"/>
  <c r="I519"/>
  <c r="F491"/>
  <c r="I491" s="1"/>
  <c r="I333"/>
  <c r="I331"/>
  <c r="I336"/>
  <c r="H544"/>
  <c r="I544" s="1"/>
  <c r="I520"/>
  <c r="H456"/>
  <c r="I456" s="1"/>
  <c r="Q68" i="12"/>
  <c r="I351" i="13"/>
  <c r="H542"/>
  <c r="I542" s="1"/>
  <c r="I518"/>
  <c r="H354"/>
  <c r="H521"/>
  <c r="F492"/>
  <c r="I492" s="1"/>
  <c r="E2770"/>
  <c r="K2770" s="1"/>
  <c r="I420"/>
  <c r="J1262"/>
  <c r="H1199"/>
  <c r="I409"/>
  <c r="H592"/>
  <c r="I592" s="1"/>
  <c r="I327"/>
  <c r="H581"/>
  <c r="I581" s="1"/>
  <c r="I407"/>
  <c r="D590"/>
  <c r="I590" s="1"/>
  <c r="I408"/>
  <c r="H591"/>
  <c r="I591" s="1"/>
  <c r="I433"/>
  <c r="H565"/>
  <c r="I565" s="1"/>
  <c r="K373"/>
  <c r="I371"/>
  <c r="H238"/>
  <c r="H239" s="1"/>
  <c r="I239" s="1"/>
  <c r="I237"/>
  <c r="H421"/>
  <c r="H553" s="1"/>
  <c r="I553" s="1"/>
  <c r="H434"/>
  <c r="H410"/>
  <c r="I370"/>
  <c r="H372"/>
  <c r="H586" s="1"/>
  <c r="I586" s="1"/>
  <c r="H105"/>
  <c r="I48"/>
  <c r="G89"/>
  <c r="I89" s="1"/>
  <c r="J94" s="1"/>
  <c r="H157"/>
  <c r="I157" s="1"/>
  <c r="H1300"/>
  <c r="I1273"/>
  <c r="J1296" s="1"/>
  <c r="J1297" s="1"/>
  <c r="I37"/>
  <c r="J43" s="1"/>
  <c r="J56" i="12"/>
  <c r="I2735" i="13"/>
  <c r="I3583"/>
  <c r="H3584" s="1"/>
  <c r="O3584" s="1"/>
  <c r="O3588"/>
  <c r="I2095"/>
  <c r="H2096" s="1"/>
  <c r="O2096" s="1"/>
  <c r="I2094"/>
  <c r="O1849"/>
  <c r="O1843"/>
  <c r="O1919"/>
  <c r="O3906"/>
  <c r="O3879"/>
  <c r="O2090"/>
  <c r="O2377"/>
  <c r="H2770"/>
  <c r="I3221" s="1"/>
  <c r="H3222" s="1"/>
  <c r="O3423"/>
  <c r="O2522"/>
  <c r="O3871"/>
  <c r="I318"/>
  <c r="J57" i="12"/>
  <c r="I132"/>
  <c r="H176" i="13" s="1"/>
  <c r="I176" s="1"/>
  <c r="J131" i="12"/>
  <c r="I618" i="13"/>
  <c r="J724" s="1"/>
  <c r="J725" s="1"/>
  <c r="J613"/>
  <c r="C613"/>
  <c r="C4649" s="1"/>
  <c r="J58" i="12"/>
  <c r="G320" i="13"/>
  <c r="I320" s="1"/>
  <c r="J138" i="12"/>
  <c r="I212" i="13"/>
  <c r="I155" i="12"/>
  <c r="H213" i="13" s="1"/>
  <c r="J154" i="12"/>
  <c r="I319" i="13"/>
  <c r="I4834"/>
  <c r="H4835" s="1"/>
  <c r="I2535"/>
  <c r="H2536" s="1"/>
  <c r="I3881"/>
  <c r="I3882" s="1"/>
  <c r="H3883" s="1"/>
  <c r="I4826"/>
  <c r="H4827" s="1"/>
  <c r="I1936"/>
  <c r="H1937" s="1"/>
  <c r="I1930"/>
  <c r="I1931"/>
  <c r="H1932" s="1"/>
  <c r="I2088"/>
  <c r="F3271"/>
  <c r="I3271" s="1"/>
  <c r="J3272" s="1"/>
  <c r="J3273" s="1"/>
  <c r="O3507"/>
  <c r="R3879" l="1"/>
  <c r="S2066"/>
  <c r="T2066" s="1"/>
  <c r="S1992"/>
  <c r="T1992" s="1"/>
  <c r="S1895"/>
  <c r="T1895" s="1"/>
  <c r="R1919"/>
  <c r="U1889"/>
  <c r="V1889" s="1"/>
  <c r="U1738"/>
  <c r="V1738" s="1"/>
  <c r="U1816"/>
  <c r="V1816" s="1"/>
  <c r="U1895"/>
  <c r="V1895" s="1"/>
  <c r="U2450"/>
  <c r="V2450" s="1"/>
  <c r="U2114"/>
  <c r="V2114" s="1"/>
  <c r="U1954"/>
  <c r="V1954" s="1"/>
  <c r="U3192"/>
  <c r="V3192" s="1"/>
  <c r="U2509"/>
  <c r="V2509" s="1"/>
  <c r="U1829"/>
  <c r="V1829" s="1"/>
  <c r="U3244"/>
  <c r="V3244" s="1"/>
  <c r="U3202"/>
  <c r="V3202" s="1"/>
  <c r="U2066"/>
  <c r="V2066" s="1"/>
  <c r="U1667"/>
  <c r="V1667" s="1"/>
  <c r="U3197"/>
  <c r="V3197" s="1"/>
  <c r="U1979"/>
  <c r="V1979" s="1"/>
  <c r="U1992"/>
  <c r="V1992" s="1"/>
  <c r="U1599"/>
  <c r="V1599" s="1"/>
  <c r="U1883"/>
  <c r="V1883" s="1"/>
  <c r="O3213"/>
  <c r="I2119"/>
  <c r="F2120"/>
  <c r="I481"/>
  <c r="F2121"/>
  <c r="I238"/>
  <c r="H108"/>
  <c r="H243" s="1"/>
  <c r="I243" s="1"/>
  <c r="I105"/>
  <c r="I4682"/>
  <c r="I3095"/>
  <c r="F3281"/>
  <c r="H400"/>
  <c r="I400" s="1"/>
  <c r="I354"/>
  <c r="H355"/>
  <c r="Q69" i="12"/>
  <c r="H457" i="13"/>
  <c r="I457" s="1"/>
  <c r="H545"/>
  <c r="I545" s="1"/>
  <c r="I521"/>
  <c r="L87" i="12"/>
  <c r="H294" i="13" s="1"/>
  <c r="I294" s="1"/>
  <c r="H293"/>
  <c r="Q85" i="12"/>
  <c r="H473" i="13"/>
  <c r="I473" s="1"/>
  <c r="I725"/>
  <c r="H726" s="1"/>
  <c r="I724"/>
  <c r="O1199"/>
  <c r="I410"/>
  <c r="H593"/>
  <c r="I593" s="1"/>
  <c r="I434"/>
  <c r="H566"/>
  <c r="I566" s="1"/>
  <c r="H328"/>
  <c r="H373" s="1"/>
  <c r="H587" s="1"/>
  <c r="I587" s="1"/>
  <c r="I372"/>
  <c r="H422"/>
  <c r="H554" s="1"/>
  <c r="I554" s="1"/>
  <c r="H435"/>
  <c r="I421"/>
  <c r="J40"/>
  <c r="J44"/>
  <c r="J320"/>
  <c r="I203" s="1"/>
  <c r="J84"/>
  <c r="J85" s="1"/>
  <c r="I85" s="1"/>
  <c r="H86" s="1"/>
  <c r="O86" s="1"/>
  <c r="I1297"/>
  <c r="H1298" s="1"/>
  <c r="O1298" s="1"/>
  <c r="I1296"/>
  <c r="H1301"/>
  <c r="I1300"/>
  <c r="O2770"/>
  <c r="J2305"/>
  <c r="I2304" s="1"/>
  <c r="O4827"/>
  <c r="O4835"/>
  <c r="O3883"/>
  <c r="O1932"/>
  <c r="O1937"/>
  <c r="O2536"/>
  <c r="O3222"/>
  <c r="J132" i="12"/>
  <c r="I156"/>
  <c r="H214" i="13" s="1"/>
  <c r="I213"/>
  <c r="J155" i="12"/>
  <c r="I3272" i="13"/>
  <c r="I3273"/>
  <c r="H3274" s="1"/>
  <c r="R4827" l="1"/>
  <c r="R4835"/>
  <c r="S1919"/>
  <c r="T1919" s="1"/>
  <c r="R1937"/>
  <c r="R1932"/>
  <c r="U2096"/>
  <c r="V2096" s="1"/>
  <c r="U1919"/>
  <c r="V1919" s="1"/>
  <c r="U1843"/>
  <c r="V1843" s="1"/>
  <c r="U3213"/>
  <c r="V3213" s="1"/>
  <c r="U2377"/>
  <c r="V2377" s="1"/>
  <c r="U2090"/>
  <c r="V2090" s="1"/>
  <c r="U2522"/>
  <c r="V2522" s="1"/>
  <c r="U1849"/>
  <c r="V1849" s="1"/>
  <c r="H109"/>
  <c r="I109" s="1"/>
  <c r="I2121"/>
  <c r="J2123" s="1"/>
  <c r="J2124" s="1"/>
  <c r="I2124" s="1"/>
  <c r="H2125" s="1"/>
  <c r="O2125" s="1"/>
  <c r="F2122"/>
  <c r="I108"/>
  <c r="H474"/>
  <c r="I474" s="1"/>
  <c r="Q86" i="12"/>
  <c r="I293" i="13"/>
  <c r="H296"/>
  <c r="H458"/>
  <c r="I458" s="1"/>
  <c r="Q70" i="12"/>
  <c r="H356" i="13"/>
  <c r="H401"/>
  <c r="I401" s="1"/>
  <c r="I355"/>
  <c r="O726"/>
  <c r="F3278"/>
  <c r="I328"/>
  <c r="H582"/>
  <c r="I582" s="1"/>
  <c r="J595" s="1"/>
  <c r="J596" s="1"/>
  <c r="I435"/>
  <c r="H567"/>
  <c r="I567" s="1"/>
  <c r="I373"/>
  <c r="L372" s="1"/>
  <c r="I204" s="1"/>
  <c r="H436"/>
  <c r="H568" s="1"/>
  <c r="I568" s="1"/>
  <c r="H423"/>
  <c r="H555" s="1"/>
  <c r="I555" s="1"/>
  <c r="I422"/>
  <c r="I44"/>
  <c r="H45" s="1"/>
  <c r="O45" s="1"/>
  <c r="I43"/>
  <c r="I84"/>
  <c r="J95" s="1"/>
  <c r="H1302"/>
  <c r="I1301"/>
  <c r="O3274"/>
  <c r="I214"/>
  <c r="I157" i="12"/>
  <c r="H215" i="13" s="1"/>
  <c r="J156" i="12"/>
  <c r="I2305" i="13"/>
  <c r="H2306" s="1"/>
  <c r="S1937" l="1"/>
  <c r="T1937" s="1"/>
  <c r="S1932"/>
  <c r="T1932" s="1"/>
  <c r="H244"/>
  <c r="I244" s="1"/>
  <c r="U1199"/>
  <c r="V1199" s="1"/>
  <c r="U86"/>
  <c r="V86" s="1"/>
  <c r="U3222"/>
  <c r="V3222" s="1"/>
  <c r="U1932"/>
  <c r="V1932" s="1"/>
  <c r="U2770"/>
  <c r="V2770" s="1"/>
  <c r="U1298"/>
  <c r="V1298" s="1"/>
  <c r="U2536"/>
  <c r="V2536" s="1"/>
  <c r="U1937"/>
  <c r="V1937" s="1"/>
  <c r="H110"/>
  <c r="H245" s="1"/>
  <c r="I245" s="1"/>
  <c r="I2123"/>
  <c r="L327"/>
  <c r="H475"/>
  <c r="I475" s="1"/>
  <c r="Q87" i="12"/>
  <c r="I356" i="13"/>
  <c r="H357"/>
  <c r="H402"/>
  <c r="I402" s="1"/>
  <c r="H459"/>
  <c r="I459" s="1"/>
  <c r="Q71" i="12"/>
  <c r="H297" i="13"/>
  <c r="I296"/>
  <c r="I596"/>
  <c r="H597" s="1"/>
  <c r="I4644" s="1"/>
  <c r="J4811" s="1"/>
  <c r="I595"/>
  <c r="I436"/>
  <c r="H439"/>
  <c r="H424"/>
  <c r="H556" s="1"/>
  <c r="I556" s="1"/>
  <c r="I423"/>
  <c r="I95"/>
  <c r="H96" s="1"/>
  <c r="O96" s="1"/>
  <c r="I94"/>
  <c r="H1303"/>
  <c r="I1302"/>
  <c r="O2306"/>
  <c r="I215"/>
  <c r="J157" i="12"/>
  <c r="I158"/>
  <c r="H216" i="13" s="1"/>
  <c r="J890"/>
  <c r="R2306" l="1"/>
  <c r="H111"/>
  <c r="I111" s="1"/>
  <c r="I110"/>
  <c r="U2125"/>
  <c r="V2125" s="1"/>
  <c r="U726"/>
  <c r="V726" s="1"/>
  <c r="U45"/>
  <c r="U3274"/>
  <c r="V3274" s="1"/>
  <c r="H246"/>
  <c r="I246" s="1"/>
  <c r="I357"/>
  <c r="J363" s="1"/>
  <c r="H403"/>
  <c r="I403" s="1"/>
  <c r="L394" s="1"/>
  <c r="I205" s="1"/>
  <c r="J206" s="1"/>
  <c r="J207" s="1"/>
  <c r="H460"/>
  <c r="I460" s="1"/>
  <c r="Q72" i="12"/>
  <c r="I297" i="13"/>
  <c r="H476"/>
  <c r="I476" s="1"/>
  <c r="Q88" i="12"/>
  <c r="I889" i="13"/>
  <c r="I890"/>
  <c r="H891" s="1"/>
  <c r="H440"/>
  <c r="I439"/>
  <c r="H425"/>
  <c r="H557" s="1"/>
  <c r="I557" s="1"/>
  <c r="I424"/>
  <c r="H112"/>
  <c r="H1305"/>
  <c r="I1303"/>
  <c r="I216"/>
  <c r="J158" i="12"/>
  <c r="I159"/>
  <c r="H217" i="13" s="1"/>
  <c r="S2306" l="1"/>
  <c r="T2306" s="1"/>
  <c r="U96"/>
  <c r="V96" s="1"/>
  <c r="V45"/>
  <c r="U2306"/>
  <c r="V2306" s="1"/>
  <c r="H247"/>
  <c r="I247" s="1"/>
  <c r="I112"/>
  <c r="I299"/>
  <c r="I298"/>
  <c r="I206"/>
  <c r="I207"/>
  <c r="H461"/>
  <c r="I461" s="1"/>
  <c r="Q73" i="12"/>
  <c r="J401" i="13"/>
  <c r="F413" s="1"/>
  <c r="I413" s="1"/>
  <c r="O891"/>
  <c r="H441"/>
  <c r="I440"/>
  <c r="H426"/>
  <c r="H558" s="1"/>
  <c r="I558" s="1"/>
  <c r="I425"/>
  <c r="H113"/>
  <c r="H1306"/>
  <c r="I1305"/>
  <c r="I217"/>
  <c r="J159" i="12"/>
  <c r="I160"/>
  <c r="H218" i="13" s="1"/>
  <c r="H248" l="1"/>
  <c r="I248" s="1"/>
  <c r="I113"/>
  <c r="I229"/>
  <c r="H208"/>
  <c r="O208" s="1"/>
  <c r="H462"/>
  <c r="I462" s="1"/>
  <c r="Q74" i="12"/>
  <c r="H442" i="13"/>
  <c r="I441"/>
  <c r="H427"/>
  <c r="H559" s="1"/>
  <c r="I559" s="1"/>
  <c r="I426"/>
  <c r="H114"/>
  <c r="H1307"/>
  <c r="I1306"/>
  <c r="I218"/>
  <c r="I161" i="12"/>
  <c r="H219" i="13" s="1"/>
  <c r="J160" i="12"/>
  <c r="U891" i="13" l="1"/>
  <c r="V891" s="1"/>
  <c r="H249"/>
  <c r="I249" s="1"/>
  <c r="I114"/>
  <c r="H463"/>
  <c r="I463" s="1"/>
  <c r="Q75" i="12"/>
  <c r="I442" i="13"/>
  <c r="H428"/>
  <c r="I427"/>
  <c r="H115"/>
  <c r="H1308"/>
  <c r="I1307"/>
  <c r="I219"/>
  <c r="J161" i="12"/>
  <c r="I162"/>
  <c r="H220" i="13" s="1"/>
  <c r="U208" l="1"/>
  <c r="V208" s="1"/>
  <c r="H250"/>
  <c r="I250" s="1"/>
  <c r="I115"/>
  <c r="H464"/>
  <c r="I464" s="1"/>
  <c r="Q76" i="12"/>
  <c r="I428" i="13"/>
  <c r="L444" s="1"/>
  <c r="F446" s="1"/>
  <c r="H560"/>
  <c r="I560" s="1"/>
  <c r="J574" s="1"/>
  <c r="H116"/>
  <c r="H1310"/>
  <c r="I1308"/>
  <c r="I220"/>
  <c r="I163" i="12"/>
  <c r="H221" i="13" s="1"/>
  <c r="J162" i="12"/>
  <c r="H251" i="13" l="1"/>
  <c r="I251" s="1"/>
  <c r="I116"/>
  <c r="H465"/>
  <c r="I465" s="1"/>
  <c r="Q77" i="12"/>
  <c r="J449" i="13"/>
  <c r="I477"/>
  <c r="H117"/>
  <c r="H1311"/>
  <c r="I1310"/>
  <c r="I221"/>
  <c r="I164" i="12"/>
  <c r="H222" i="13" s="1"/>
  <c r="J163" i="12"/>
  <c r="H252" i="13" l="1"/>
  <c r="I252" s="1"/>
  <c r="I117"/>
  <c r="H466"/>
  <c r="I466" s="1"/>
  <c r="Q78" i="12"/>
  <c r="H467" i="13" s="1"/>
  <c r="I467" s="1"/>
  <c r="H118"/>
  <c r="H1312"/>
  <c r="I1311"/>
  <c r="I222"/>
  <c r="I165" i="12"/>
  <c r="H223" i="13" s="1"/>
  <c r="J164" i="12"/>
  <c r="H253" i="13" l="1"/>
  <c r="I253" s="1"/>
  <c r="I118"/>
  <c r="J483"/>
  <c r="J484" s="1"/>
  <c r="I484" s="1"/>
  <c r="H485" s="1"/>
  <c r="O485" s="1"/>
  <c r="H119"/>
  <c r="H1314"/>
  <c r="I1312"/>
  <c r="I223"/>
  <c r="I166" i="12"/>
  <c r="H224" i="13" s="1"/>
  <c r="J165" i="12"/>
  <c r="J1263" i="13"/>
  <c r="I1262" s="1"/>
  <c r="H254" l="1"/>
  <c r="I254" s="1"/>
  <c r="I119"/>
  <c r="I483"/>
  <c r="H120"/>
  <c r="H1315"/>
  <c r="I1314"/>
  <c r="I224"/>
  <c r="J166" i="12"/>
  <c r="I167"/>
  <c r="H225" i="13" s="1"/>
  <c r="I1263"/>
  <c r="H1264" s="1"/>
  <c r="U485" l="1"/>
  <c r="V485" s="1"/>
  <c r="H255"/>
  <c r="I255" s="1"/>
  <c r="I120"/>
  <c r="H124"/>
  <c r="H259" s="1"/>
  <c r="I259" s="1"/>
  <c r="H1316"/>
  <c r="I1315"/>
  <c r="I225"/>
  <c r="J167" i="12"/>
  <c r="I168"/>
  <c r="H226" i="13" s="1"/>
  <c r="O1264"/>
  <c r="F3282"/>
  <c r="H125" l="1"/>
  <c r="I124"/>
  <c r="H1318"/>
  <c r="I1316"/>
  <c r="I226"/>
  <c r="J168" i="12"/>
  <c r="I169"/>
  <c r="H227" i="13" s="1"/>
  <c r="U1264" l="1"/>
  <c r="V1264" s="1"/>
  <c r="H260"/>
  <c r="I260" s="1"/>
  <c r="I125"/>
  <c r="H126"/>
  <c r="H1322"/>
  <c r="I1318"/>
  <c r="I227"/>
  <c r="J169" i="12"/>
  <c r="I170"/>
  <c r="H228" i="13" s="1"/>
  <c r="H261" l="1"/>
  <c r="I261" s="1"/>
  <c r="I126"/>
  <c r="H127"/>
  <c r="H1323"/>
  <c r="H1326"/>
  <c r="I1326" s="1"/>
  <c r="I1322"/>
  <c r="I228"/>
  <c r="J230" s="1"/>
  <c r="J231" s="1"/>
  <c r="J170" i="12"/>
  <c r="H262" i="13" l="1"/>
  <c r="I262" s="1"/>
  <c r="I127"/>
  <c r="H128"/>
  <c r="H1327"/>
  <c r="I1323"/>
  <c r="I230"/>
  <c r="I231"/>
  <c r="H232" s="1"/>
  <c r="H263" l="1"/>
  <c r="I263" s="1"/>
  <c r="I128"/>
  <c r="H129"/>
  <c r="H1329"/>
  <c r="I1327"/>
  <c r="O232"/>
  <c r="L231"/>
  <c r="F3279"/>
  <c r="H264" l="1"/>
  <c r="I264" s="1"/>
  <c r="I129"/>
  <c r="H131"/>
  <c r="H1331"/>
  <c r="I1329"/>
  <c r="J119" i="47"/>
  <c r="G119"/>
  <c r="C119"/>
  <c r="B119"/>
  <c r="P118"/>
  <c r="K118"/>
  <c r="R118" s="1"/>
  <c r="G118"/>
  <c r="C118"/>
  <c r="B118"/>
  <c r="P117"/>
  <c r="K117"/>
  <c r="R117" s="1"/>
  <c r="G117"/>
  <c r="C117"/>
  <c r="B117"/>
  <c r="P116"/>
  <c r="K116"/>
  <c r="L116" s="1"/>
  <c r="N116" s="1"/>
  <c r="O116" s="1"/>
  <c r="F116" s="1"/>
  <c r="G116"/>
  <c r="C116"/>
  <c r="B116"/>
  <c r="P115"/>
  <c r="K115"/>
  <c r="L115" s="1"/>
  <c r="N115" s="1"/>
  <c r="O115" s="1"/>
  <c r="F115" s="1"/>
  <c r="G115"/>
  <c r="C115"/>
  <c r="B115"/>
  <c r="P114"/>
  <c r="K114"/>
  <c r="L114" s="1"/>
  <c r="N114" s="1"/>
  <c r="O114" s="1"/>
  <c r="F114" s="1"/>
  <c r="C114"/>
  <c r="B114"/>
  <c r="P113"/>
  <c r="K113"/>
  <c r="R113" s="1"/>
  <c r="S113" s="1"/>
  <c r="T113" s="1"/>
  <c r="G113"/>
  <c r="C113"/>
  <c r="B113"/>
  <c r="P112"/>
  <c r="K112"/>
  <c r="R112" s="1"/>
  <c r="G112"/>
  <c r="C112"/>
  <c r="B112"/>
  <c r="P111"/>
  <c r="K111"/>
  <c r="R111" s="1"/>
  <c r="S111" s="1"/>
  <c r="T111" s="1"/>
  <c r="G111"/>
  <c r="C111"/>
  <c r="B111"/>
  <c r="P110"/>
  <c r="K110"/>
  <c r="R110" s="1"/>
  <c r="S110" s="1"/>
  <c r="T110" s="1"/>
  <c r="C110"/>
  <c r="B110"/>
  <c r="P109"/>
  <c r="K109"/>
  <c r="R109" s="1"/>
  <c r="S109" s="1"/>
  <c r="T109" s="1"/>
  <c r="G109"/>
  <c r="G110" s="1"/>
  <c r="C109"/>
  <c r="B109"/>
  <c r="J108"/>
  <c r="P108" s="1"/>
  <c r="G108"/>
  <c r="C108"/>
  <c r="B108"/>
  <c r="J107"/>
  <c r="P107" s="1"/>
  <c r="G107"/>
  <c r="C107"/>
  <c r="B107"/>
  <c r="J106"/>
  <c r="P106" s="1"/>
  <c r="G106"/>
  <c r="C106"/>
  <c r="B106"/>
  <c r="J105"/>
  <c r="P105" s="1"/>
  <c r="G105"/>
  <c r="C105"/>
  <c r="B105"/>
  <c r="J101"/>
  <c r="J103" s="1"/>
  <c r="A120" s="1"/>
  <c r="H120" s="1"/>
  <c r="I97"/>
  <c r="I99" s="1"/>
  <c r="H100" s="1"/>
  <c r="A119" s="1"/>
  <c r="I92"/>
  <c r="I93" s="1"/>
  <c r="H94" s="1"/>
  <c r="A118" s="1"/>
  <c r="I88"/>
  <c r="I89" s="1"/>
  <c r="H90" s="1"/>
  <c r="A117" s="1"/>
  <c r="I85"/>
  <c r="I86" s="1"/>
  <c r="H87" s="1"/>
  <c r="A116" s="1"/>
  <c r="I81"/>
  <c r="I82" s="1"/>
  <c r="H83" s="1"/>
  <c r="A115" s="1"/>
  <c r="I69"/>
  <c r="I71" s="1"/>
  <c r="H72" s="1"/>
  <c r="A113" s="1"/>
  <c r="I63"/>
  <c r="I65" s="1"/>
  <c r="H66" s="1"/>
  <c r="A112" s="1"/>
  <c r="C63"/>
  <c r="C97" s="1"/>
  <c r="C62"/>
  <c r="C68" s="1"/>
  <c r="C96" s="1"/>
  <c r="I55"/>
  <c r="I59" s="1"/>
  <c r="H60" s="1"/>
  <c r="A111" s="1"/>
  <c r="C55"/>
  <c r="C54"/>
  <c r="I49"/>
  <c r="I51" s="1"/>
  <c r="H52" s="1"/>
  <c r="A110" s="1"/>
  <c r="I45"/>
  <c r="I46" s="1"/>
  <c r="H47" s="1"/>
  <c r="A109" s="1"/>
  <c r="R41"/>
  <c r="R40"/>
  <c r="I36"/>
  <c r="I35"/>
  <c r="I34"/>
  <c r="H29"/>
  <c r="F29"/>
  <c r="F28"/>
  <c r="I28" s="1"/>
  <c r="H27"/>
  <c r="I27" s="1"/>
  <c r="K21"/>
  <c r="H20"/>
  <c r="F20"/>
  <c r="K15"/>
  <c r="I14"/>
  <c r="F11"/>
  <c r="I11" s="1"/>
  <c r="F10"/>
  <c r="I10" s="1"/>
  <c r="I9"/>
  <c r="A3" i="45"/>
  <c r="C378" i="44"/>
  <c r="F376"/>
  <c r="F378" s="1"/>
  <c r="F374"/>
  <c r="C371"/>
  <c r="F370"/>
  <c r="F371" s="1"/>
  <c r="F368"/>
  <c r="C365"/>
  <c r="F363"/>
  <c r="F365" s="1"/>
  <c r="F361"/>
  <c r="C357"/>
  <c r="F355"/>
  <c r="F357" s="1"/>
  <c r="F353"/>
  <c r="C349"/>
  <c r="F347"/>
  <c r="F349" s="1"/>
  <c r="F345"/>
  <c r="C341"/>
  <c r="F339"/>
  <c r="F341" s="1"/>
  <c r="F337"/>
  <c r="C332"/>
  <c r="F330"/>
  <c r="F328"/>
  <c r="F326"/>
  <c r="F324"/>
  <c r="C319"/>
  <c r="F317"/>
  <c r="F315"/>
  <c r="F313"/>
  <c r="F311"/>
  <c r="C308"/>
  <c r="F306"/>
  <c r="F304"/>
  <c r="F302"/>
  <c r="F300"/>
  <c r="C297"/>
  <c r="F295"/>
  <c r="F293"/>
  <c r="F291"/>
  <c r="F289"/>
  <c r="C286"/>
  <c r="F284"/>
  <c r="F282"/>
  <c r="F280"/>
  <c r="F278"/>
  <c r="C275"/>
  <c r="F273"/>
  <c r="F271"/>
  <c r="F269"/>
  <c r="F267"/>
  <c r="C264"/>
  <c r="F262"/>
  <c r="F260"/>
  <c r="F258"/>
  <c r="F256"/>
  <c r="C252"/>
  <c r="F250"/>
  <c r="F248"/>
  <c r="F246"/>
  <c r="F244"/>
  <c r="C240"/>
  <c r="F238"/>
  <c r="F236"/>
  <c r="F234"/>
  <c r="F232"/>
  <c r="C228"/>
  <c r="F226"/>
  <c r="F224"/>
  <c r="F222"/>
  <c r="F220"/>
  <c r="C215"/>
  <c r="D213"/>
  <c r="F213" s="1"/>
  <c r="F215" s="1"/>
  <c r="D211"/>
  <c r="F211" s="1"/>
  <c r="C207"/>
  <c r="D205"/>
  <c r="F205" s="1"/>
  <c r="F207" s="1"/>
  <c r="D203"/>
  <c r="F203" s="1"/>
  <c r="C198"/>
  <c r="D196"/>
  <c r="F196" s="1"/>
  <c r="F198" s="1"/>
  <c r="D194"/>
  <c r="F194" s="1"/>
  <c r="C191"/>
  <c r="D189"/>
  <c r="F189" s="1"/>
  <c r="F191" s="1"/>
  <c r="D187"/>
  <c r="F187" s="1"/>
  <c r="C184"/>
  <c r="D182"/>
  <c r="F182" s="1"/>
  <c r="F184" s="1"/>
  <c r="D180"/>
  <c r="F180" s="1"/>
  <c r="C177"/>
  <c r="D175"/>
  <c r="F175" s="1"/>
  <c r="F177" s="1"/>
  <c r="D173"/>
  <c r="F173" s="1"/>
  <c r="C170"/>
  <c r="D168"/>
  <c r="F168" s="1"/>
  <c r="F170" s="1"/>
  <c r="D166"/>
  <c r="F166" s="1"/>
  <c r="C163"/>
  <c r="D161"/>
  <c r="F161" s="1"/>
  <c r="F163" s="1"/>
  <c r="D159"/>
  <c r="F159" s="1"/>
  <c r="C155"/>
  <c r="D153"/>
  <c r="F153" s="1"/>
  <c r="F155" s="1"/>
  <c r="D151"/>
  <c r="F151" s="1"/>
  <c r="C147"/>
  <c r="D145"/>
  <c r="F145" s="1"/>
  <c r="F147" s="1"/>
  <c r="D143"/>
  <c r="F143" s="1"/>
  <c r="C139"/>
  <c r="D137"/>
  <c r="F137" s="1"/>
  <c r="F139" s="1"/>
  <c r="D135"/>
  <c r="F135" s="1"/>
  <c r="C131"/>
  <c r="F129"/>
  <c r="F127"/>
  <c r="F125"/>
  <c r="F123"/>
  <c r="C119"/>
  <c r="F117"/>
  <c r="F115"/>
  <c r="F113"/>
  <c r="F111"/>
  <c r="C106"/>
  <c r="F104"/>
  <c r="F102"/>
  <c r="F100"/>
  <c r="F98"/>
  <c r="C95"/>
  <c r="F93"/>
  <c r="F91"/>
  <c r="F89"/>
  <c r="F87"/>
  <c r="C84"/>
  <c r="F82"/>
  <c r="F80"/>
  <c r="F78"/>
  <c r="F76"/>
  <c r="C73"/>
  <c r="F71"/>
  <c r="F69"/>
  <c r="F67"/>
  <c r="F65"/>
  <c r="C62"/>
  <c r="F60"/>
  <c r="F58"/>
  <c r="F56"/>
  <c r="F54"/>
  <c r="C51"/>
  <c r="F49"/>
  <c r="F47"/>
  <c r="F45"/>
  <c r="F43"/>
  <c r="C39"/>
  <c r="F37"/>
  <c r="F35"/>
  <c r="F33"/>
  <c r="F31"/>
  <c r="C27"/>
  <c r="F25"/>
  <c r="F23"/>
  <c r="F21"/>
  <c r="F19"/>
  <c r="C15"/>
  <c r="F13"/>
  <c r="F11"/>
  <c r="F9"/>
  <c r="F7"/>
  <c r="A3"/>
  <c r="M110" i="42"/>
  <c r="F108"/>
  <c r="F107"/>
  <c r="K103"/>
  <c r="M103" s="1"/>
  <c r="K102"/>
  <c r="M102" s="1"/>
  <c r="D102"/>
  <c r="F102" s="1"/>
  <c r="M101"/>
  <c r="M92"/>
  <c r="F90"/>
  <c r="F89"/>
  <c r="K85"/>
  <c r="M85" s="1"/>
  <c r="K84"/>
  <c r="M84" s="1"/>
  <c r="D84"/>
  <c r="K82" s="1"/>
  <c r="M82" s="1"/>
  <c r="M83"/>
  <c r="J78"/>
  <c r="J96" s="1"/>
  <c r="J114" s="1"/>
  <c r="J76"/>
  <c r="J94" s="1"/>
  <c r="J112" s="1"/>
  <c r="T74"/>
  <c r="M74"/>
  <c r="L74"/>
  <c r="L92" s="1"/>
  <c r="L110" s="1"/>
  <c r="J74"/>
  <c r="J92" s="1"/>
  <c r="J110" s="1"/>
  <c r="I74"/>
  <c r="I92" s="1"/>
  <c r="I110" s="1"/>
  <c r="K73"/>
  <c r="J73"/>
  <c r="J91" s="1"/>
  <c r="J109" s="1"/>
  <c r="T72"/>
  <c r="M72"/>
  <c r="M90" s="1"/>
  <c r="M108" s="1"/>
  <c r="L72"/>
  <c r="L90" s="1"/>
  <c r="L108" s="1"/>
  <c r="K72"/>
  <c r="J72"/>
  <c r="J90" s="1"/>
  <c r="J108" s="1"/>
  <c r="I72"/>
  <c r="I90" s="1"/>
  <c r="I108" s="1"/>
  <c r="F72"/>
  <c r="T71"/>
  <c r="L71"/>
  <c r="L89" s="1"/>
  <c r="L107" s="1"/>
  <c r="J71"/>
  <c r="J89" s="1"/>
  <c r="J107" s="1"/>
  <c r="I71"/>
  <c r="I89" s="1"/>
  <c r="I107" s="1"/>
  <c r="F71"/>
  <c r="L70"/>
  <c r="L88" s="1"/>
  <c r="L106" s="1"/>
  <c r="J70"/>
  <c r="J88" s="1"/>
  <c r="J106" s="1"/>
  <c r="I70"/>
  <c r="I88" s="1"/>
  <c r="I106" s="1"/>
  <c r="L69"/>
  <c r="L87" s="1"/>
  <c r="L105" s="1"/>
  <c r="J69"/>
  <c r="J87" s="1"/>
  <c r="J105" s="1"/>
  <c r="I69"/>
  <c r="I87" s="1"/>
  <c r="I105" s="1"/>
  <c r="L68"/>
  <c r="L86" s="1"/>
  <c r="L104" s="1"/>
  <c r="J68"/>
  <c r="J86" s="1"/>
  <c r="J104" s="1"/>
  <c r="I68"/>
  <c r="I86" s="1"/>
  <c r="I104" s="1"/>
  <c r="Y67"/>
  <c r="AA67" s="1"/>
  <c r="L67"/>
  <c r="L85" s="1"/>
  <c r="L103" s="1"/>
  <c r="K67"/>
  <c r="M67" s="1"/>
  <c r="J67"/>
  <c r="J85" s="1"/>
  <c r="J103" s="1"/>
  <c r="I67"/>
  <c r="I85" s="1"/>
  <c r="I103" s="1"/>
  <c r="Y66"/>
  <c r="AA66" s="1"/>
  <c r="T66"/>
  <c r="L66"/>
  <c r="L84" s="1"/>
  <c r="L102" s="1"/>
  <c r="K66"/>
  <c r="M66" s="1"/>
  <c r="J66"/>
  <c r="J84" s="1"/>
  <c r="J102" s="1"/>
  <c r="I66"/>
  <c r="I84" s="1"/>
  <c r="I102" s="1"/>
  <c r="D66"/>
  <c r="F66" s="1"/>
  <c r="Y65"/>
  <c r="M65"/>
  <c r="J65"/>
  <c r="J83" s="1"/>
  <c r="J101" s="1"/>
  <c r="Y64"/>
  <c r="AA64" s="1"/>
  <c r="L64"/>
  <c r="L82" s="1"/>
  <c r="L100" s="1"/>
  <c r="J64"/>
  <c r="J82" s="1"/>
  <c r="J100" s="1"/>
  <c r="I64"/>
  <c r="I82" s="1"/>
  <c r="I100" s="1"/>
  <c r="B62"/>
  <c r="T56"/>
  <c r="M56"/>
  <c r="F56"/>
  <c r="R55"/>
  <c r="R73" s="1"/>
  <c r="T73" s="1"/>
  <c r="F55"/>
  <c r="T54"/>
  <c r="F54"/>
  <c r="T53"/>
  <c r="F53"/>
  <c r="Y49"/>
  <c r="AA49" s="1"/>
  <c r="K49"/>
  <c r="M49" s="1"/>
  <c r="Y48"/>
  <c r="AA48" s="1"/>
  <c r="K48"/>
  <c r="M48" s="1"/>
  <c r="Q42"/>
  <c r="Q60" s="1"/>
  <c r="Q78" s="1"/>
  <c r="Q40"/>
  <c r="Q58" s="1"/>
  <c r="Q76" s="1"/>
  <c r="S38"/>
  <c r="S56" s="1"/>
  <c r="S74" s="1"/>
  <c r="R38"/>
  <c r="T38" s="1"/>
  <c r="Q38"/>
  <c r="Q56" s="1"/>
  <c r="Q74" s="1"/>
  <c r="P38"/>
  <c r="P56" s="1"/>
  <c r="P74" s="1"/>
  <c r="F38"/>
  <c r="T37"/>
  <c r="S37"/>
  <c r="S55" s="1"/>
  <c r="S73" s="1"/>
  <c r="Q37"/>
  <c r="Q55" s="1"/>
  <c r="Q73" s="1"/>
  <c r="P37"/>
  <c r="P55" s="1"/>
  <c r="P73" s="1"/>
  <c r="F37"/>
  <c r="T36"/>
  <c r="S36"/>
  <c r="S54" s="1"/>
  <c r="S72" s="1"/>
  <c r="Q36"/>
  <c r="Q54" s="1"/>
  <c r="Q72" s="1"/>
  <c r="P36"/>
  <c r="P54" s="1"/>
  <c r="P72" s="1"/>
  <c r="F36"/>
  <c r="T35"/>
  <c r="S35"/>
  <c r="S53" s="1"/>
  <c r="S71" s="1"/>
  <c r="Q35"/>
  <c r="Q53" s="1"/>
  <c r="Q71" s="1"/>
  <c r="P35"/>
  <c r="P53" s="1"/>
  <c r="P71" s="1"/>
  <c r="K35"/>
  <c r="K53" s="1"/>
  <c r="F35"/>
  <c r="Q34"/>
  <c r="Q52" s="1"/>
  <c r="Q70" s="1"/>
  <c r="K34"/>
  <c r="M34" s="1"/>
  <c r="Q33"/>
  <c r="Q51" s="1"/>
  <c r="Q69" s="1"/>
  <c r="K33"/>
  <c r="K51" s="1"/>
  <c r="Q32"/>
  <c r="Q50" s="1"/>
  <c r="Q68" s="1"/>
  <c r="K32"/>
  <c r="M32" s="1"/>
  <c r="Q31"/>
  <c r="Q49" s="1"/>
  <c r="Q67" s="1"/>
  <c r="K31"/>
  <c r="M31" s="1"/>
  <c r="S30"/>
  <c r="S48" s="1"/>
  <c r="S66" s="1"/>
  <c r="R30"/>
  <c r="R48" s="1"/>
  <c r="Q30"/>
  <c r="Q48" s="1"/>
  <c r="Q66" s="1"/>
  <c r="P30"/>
  <c r="K30"/>
  <c r="M30" s="1"/>
  <c r="D30"/>
  <c r="F30" s="1"/>
  <c r="S29"/>
  <c r="S47" s="1"/>
  <c r="S65" s="1"/>
  <c r="R29"/>
  <c r="R47" s="1"/>
  <c r="Q29"/>
  <c r="Q47" s="1"/>
  <c r="Q65" s="1"/>
  <c r="P29"/>
  <c r="P48" s="1"/>
  <c r="M29"/>
  <c r="S28"/>
  <c r="S46" s="1"/>
  <c r="S64" s="1"/>
  <c r="R28"/>
  <c r="R46" s="1"/>
  <c r="Q28"/>
  <c r="Q46" s="1"/>
  <c r="Q64" s="1"/>
  <c r="P28"/>
  <c r="P47" s="1"/>
  <c r="P66" s="1"/>
  <c r="T20"/>
  <c r="M20"/>
  <c r="F20"/>
  <c r="T19"/>
  <c r="F19"/>
  <c r="T18"/>
  <c r="F18"/>
  <c r="Y17"/>
  <c r="AA17" s="1"/>
  <c r="T17"/>
  <c r="M17"/>
  <c r="F17"/>
  <c r="Y16"/>
  <c r="AA16" s="1"/>
  <c r="M16"/>
  <c r="Y15"/>
  <c r="AA15" s="1"/>
  <c r="M15"/>
  <c r="Y14"/>
  <c r="AA14" s="1"/>
  <c r="M14"/>
  <c r="Y13"/>
  <c r="AA13" s="1"/>
  <c r="K13"/>
  <c r="M13" s="1"/>
  <c r="Y12"/>
  <c r="AA12" s="1"/>
  <c r="K12"/>
  <c r="M12" s="1"/>
  <c r="T11"/>
  <c r="F11"/>
  <c r="Y10"/>
  <c r="AA10" s="1"/>
  <c r="T10"/>
  <c r="K10"/>
  <c r="K28" s="1"/>
  <c r="D10"/>
  <c r="F10" s="1"/>
  <c r="T9"/>
  <c r="D9"/>
  <c r="D64" s="1"/>
  <c r="F64" s="1"/>
  <c r="K4032" i="25"/>
  <c r="H4032"/>
  <c r="K4031"/>
  <c r="H4031"/>
  <c r="K4030"/>
  <c r="H4030"/>
  <c r="K4029"/>
  <c r="K4028"/>
  <c r="K4027"/>
  <c r="K4026"/>
  <c r="K4025"/>
  <c r="K4023"/>
  <c r="K4022"/>
  <c r="K4021"/>
  <c r="H4021"/>
  <c r="K4020"/>
  <c r="K4019"/>
  <c r="K4018"/>
  <c r="K4017"/>
  <c r="K4016"/>
  <c r="K4015"/>
  <c r="K4014"/>
  <c r="K4013"/>
  <c r="K4012"/>
  <c r="K4011"/>
  <c r="K4010"/>
  <c r="K4009"/>
  <c r="K4008"/>
  <c r="K4007"/>
  <c r="K4006"/>
  <c r="K4005"/>
  <c r="K4004"/>
  <c r="K4003"/>
  <c r="K4002"/>
  <c r="K4001"/>
  <c r="K4000"/>
  <c r="K3999"/>
  <c r="K3998"/>
  <c r="K3997"/>
  <c r="K3996"/>
  <c r="K3995"/>
  <c r="K3994"/>
  <c r="K3993"/>
  <c r="K3992"/>
  <c r="K3991"/>
  <c r="K3990"/>
  <c r="K3989"/>
  <c r="K3988"/>
  <c r="K3987"/>
  <c r="K3986"/>
  <c r="K3985"/>
  <c r="K3984"/>
  <c r="K3983"/>
  <c r="K3982"/>
  <c r="K3981"/>
  <c r="K3980"/>
  <c r="K3979"/>
  <c r="K3978"/>
  <c r="K3977"/>
  <c r="K3976"/>
  <c r="K3975"/>
  <c r="K3974"/>
  <c r="K3973"/>
  <c r="K3972"/>
  <c r="K3971"/>
  <c r="K3970"/>
  <c r="K3969"/>
  <c r="K3968"/>
  <c r="K3967"/>
  <c r="K3966"/>
  <c r="K3965"/>
  <c r="K3964"/>
  <c r="K3963"/>
  <c r="K3962"/>
  <c r="K3961"/>
  <c r="I3944"/>
  <c r="K3944" s="1"/>
  <c r="K3935"/>
  <c r="I3930"/>
  <c r="K3930" s="1"/>
  <c r="K3929"/>
  <c r="K3928"/>
  <c r="I3918"/>
  <c r="K3918" s="1"/>
  <c r="I3917"/>
  <c r="K3917" s="1"/>
  <c r="I3916"/>
  <c r="K3916" s="1"/>
  <c r="I3915"/>
  <c r="K3915" s="1"/>
  <c r="I3905"/>
  <c r="K3905" s="1"/>
  <c r="L3893"/>
  <c r="K3889"/>
  <c r="K3888"/>
  <c r="K3885"/>
  <c r="K3871"/>
  <c r="K3870"/>
  <c r="K3850"/>
  <c r="K3848"/>
  <c r="K3833"/>
  <c r="I3822"/>
  <c r="K3822" s="1"/>
  <c r="I3821"/>
  <c r="K3821" s="1"/>
  <c r="I3820"/>
  <c r="K3820" s="1"/>
  <c r="I3819"/>
  <c r="K3819" s="1"/>
  <c r="L3810"/>
  <c r="L3807"/>
  <c r="K3806"/>
  <c r="K3803"/>
  <c r="K3802"/>
  <c r="K3868" s="1"/>
  <c r="K3801"/>
  <c r="K3800"/>
  <c r="K3799"/>
  <c r="I3798"/>
  <c r="K3798" s="1"/>
  <c r="K3832" s="1"/>
  <c r="K3844" s="1"/>
  <c r="I3796"/>
  <c r="K3796" s="1"/>
  <c r="K3795"/>
  <c r="K3793"/>
  <c r="I3792"/>
  <c r="K3792" s="1"/>
  <c r="I3791"/>
  <c r="K3791" s="1"/>
  <c r="I3790"/>
  <c r="K3790" s="1"/>
  <c r="K3773"/>
  <c r="K3772"/>
  <c r="K3766"/>
  <c r="K3765"/>
  <c r="K3762"/>
  <c r="K3761"/>
  <c r="K3755"/>
  <c r="I3754"/>
  <c r="K3754" s="1"/>
  <c r="K3753"/>
  <c r="K3736"/>
  <c r="K3735"/>
  <c r="I3721"/>
  <c r="K3721" s="1"/>
  <c r="L3718"/>
  <c r="K3718"/>
  <c r="K3717"/>
  <c r="K3716"/>
  <c r="K3715"/>
  <c r="K3714"/>
  <c r="K3706"/>
  <c r="K3704"/>
  <c r="K3695"/>
  <c r="K3690"/>
  <c r="L3684"/>
  <c r="L3683"/>
  <c r="I3681"/>
  <c r="K3681" s="1"/>
  <c r="K3679"/>
  <c r="K3671"/>
  <c r="D3670"/>
  <c r="K3668"/>
  <c r="K3667"/>
  <c r="K3666"/>
  <c r="K3665"/>
  <c r="I3663"/>
  <c r="K3663" s="1"/>
  <c r="K3662"/>
  <c r="K3660"/>
  <c r="K3658"/>
  <c r="L3648"/>
  <c r="I3644"/>
  <c r="K3644" s="1"/>
  <c r="I3643"/>
  <c r="K3643" s="1"/>
  <c r="K3642"/>
  <c r="K3635"/>
  <c r="K3634"/>
  <c r="K3614"/>
  <c r="K3613"/>
  <c r="K3612"/>
  <c r="L3605"/>
  <c r="K3605"/>
  <c r="I3605"/>
  <c r="J3603"/>
  <c r="J3605" s="1"/>
  <c r="I3587"/>
  <c r="K3587" s="1"/>
  <c r="L3582"/>
  <c r="L3581"/>
  <c r="K3580"/>
  <c r="K3579"/>
  <c r="K3578"/>
  <c r="L3567"/>
  <c r="L3566"/>
  <c r="K3565"/>
  <c r="K3563"/>
  <c r="K3562"/>
  <c r="L3561"/>
  <c r="K3561"/>
  <c r="I3553"/>
  <c r="K3553" s="1"/>
  <c r="K3556" s="1"/>
  <c r="K3545"/>
  <c r="K3547" s="1"/>
  <c r="L3537"/>
  <c r="I3535"/>
  <c r="K3535" s="1"/>
  <c r="I3533"/>
  <c r="K3533" s="1"/>
  <c r="I3532"/>
  <c r="K3532" s="1"/>
  <c r="K3521"/>
  <c r="K3524" s="1"/>
  <c r="K3513"/>
  <c r="K3515" s="1"/>
  <c r="I3506"/>
  <c r="K3506" s="1"/>
  <c r="I3505"/>
  <c r="I3624" s="1"/>
  <c r="I3504"/>
  <c r="K3504" s="1"/>
  <c r="I3503"/>
  <c r="I3622" s="1"/>
  <c r="K3622" s="1"/>
  <c r="L3501"/>
  <c r="K3497"/>
  <c r="I3496"/>
  <c r="I3534" s="1"/>
  <c r="K3534" s="1"/>
  <c r="K3495"/>
  <c r="K3494"/>
  <c r="K3480"/>
  <c r="I3478"/>
  <c r="I3661" s="1"/>
  <c r="K3661" s="1"/>
  <c r="I3476"/>
  <c r="K3476" s="1"/>
  <c r="I3465"/>
  <c r="K3465" s="1"/>
  <c r="K3455"/>
  <c r="K3454"/>
  <c r="K3438"/>
  <c r="K3436"/>
  <c r="K3418"/>
  <c r="K3415"/>
  <c r="K3399"/>
  <c r="K3396"/>
  <c r="K3389"/>
  <c r="I3464" s="1"/>
  <c r="K3464" s="1"/>
  <c r="K3384"/>
  <c r="I3376"/>
  <c r="K3376" s="1"/>
  <c r="J3368"/>
  <c r="L3364"/>
  <c r="K3354"/>
  <c r="I3353"/>
  <c r="I3407" s="1"/>
  <c r="I3352"/>
  <c r="I3406" s="1"/>
  <c r="I3351"/>
  <c r="I3405" s="1"/>
  <c r="K3345"/>
  <c r="I3335"/>
  <c r="I3368" s="1"/>
  <c r="K3316"/>
  <c r="K3315"/>
  <c r="K3314"/>
  <c r="K3313"/>
  <c r="K3312"/>
  <c r="K3309"/>
  <c r="K3308"/>
  <c r="K3307"/>
  <c r="K3306"/>
  <c r="L3293"/>
  <c r="K3290"/>
  <c r="K3289"/>
  <c r="I3259"/>
  <c r="I3274" s="1"/>
  <c r="K3274" s="1"/>
  <c r="I3258"/>
  <c r="K3258" s="1"/>
  <c r="K3257"/>
  <c r="I3249"/>
  <c r="I3267" s="1"/>
  <c r="I3248"/>
  <c r="K3248" s="1"/>
  <c r="I3247"/>
  <c r="I3265" s="1"/>
  <c r="K3241"/>
  <c r="K3240"/>
  <c r="I3231"/>
  <c r="K3231" s="1"/>
  <c r="K3230"/>
  <c r="L3222"/>
  <c r="J3222"/>
  <c r="K3222" s="1"/>
  <c r="I3218" s="1"/>
  <c r="K3218" s="1"/>
  <c r="K3217"/>
  <c r="K3208"/>
  <c r="I3207"/>
  <c r="K3207" s="1"/>
  <c r="K3206"/>
  <c r="K3193"/>
  <c r="K3192"/>
  <c r="K3191"/>
  <c r="K3180"/>
  <c r="I3170"/>
  <c r="I3181" s="1"/>
  <c r="K3181" s="1"/>
  <c r="K3169"/>
  <c r="I3158"/>
  <c r="I3198" s="1"/>
  <c r="K3198" s="1"/>
  <c r="K3151"/>
  <c r="K3150"/>
  <c r="I3140"/>
  <c r="K3140" s="1"/>
  <c r="I3139"/>
  <c r="K3139" s="1"/>
  <c r="K3132"/>
  <c r="L3118"/>
  <c r="K3113"/>
  <c r="I3112"/>
  <c r="K3112" s="1"/>
  <c r="I3101"/>
  <c r="I3616" s="1"/>
  <c r="K3098"/>
  <c r="L3090"/>
  <c r="K3090"/>
  <c r="L3089"/>
  <c r="K3088"/>
  <c r="K3078"/>
  <c r="L3063"/>
  <c r="L3061"/>
  <c r="L3044"/>
  <c r="M3043"/>
  <c r="L3042"/>
  <c r="L3041"/>
  <c r="I3035"/>
  <c r="K3035" s="1"/>
  <c r="L3023"/>
  <c r="K3020"/>
  <c r="L3011"/>
  <c r="L3009"/>
  <c r="I3004"/>
  <c r="K3004" s="1"/>
  <c r="I3002"/>
  <c r="K3002" s="1"/>
  <c r="K3019" s="1"/>
  <c r="I3000"/>
  <c r="I3696" s="1"/>
  <c r="I3705" s="1"/>
  <c r="K3705" s="1"/>
  <c r="I2999"/>
  <c r="K2999" s="1"/>
  <c r="I2997"/>
  <c r="K2997" s="1"/>
  <c r="I2996"/>
  <c r="I3678" s="1"/>
  <c r="I3689" s="1"/>
  <c r="K3689" s="1"/>
  <c r="I2995"/>
  <c r="K2995" s="1"/>
  <c r="K2984"/>
  <c r="K2976"/>
  <c r="I2974"/>
  <c r="K2974" s="1"/>
  <c r="K2963"/>
  <c r="L2957"/>
  <c r="M2957" s="1"/>
  <c r="N2957" s="1"/>
  <c r="K2957"/>
  <c r="I2956"/>
  <c r="K2956" s="1"/>
  <c r="K2943"/>
  <c r="I2935"/>
  <c r="I3053" s="1"/>
  <c r="I2931"/>
  <c r="I2951" s="1"/>
  <c r="I2923"/>
  <c r="K2925" s="1"/>
  <c r="L2919"/>
  <c r="K2919"/>
  <c r="I2917"/>
  <c r="K2917" s="1"/>
  <c r="I2916"/>
  <c r="K2916" s="1"/>
  <c r="I2913"/>
  <c r="I2915" s="1"/>
  <c r="K2915" s="1"/>
  <c r="K2912"/>
  <c r="I2910"/>
  <c r="I2907"/>
  <c r="I3030" s="1"/>
  <c r="K3030" s="1"/>
  <c r="I2906"/>
  <c r="I2905"/>
  <c r="K2905" s="1"/>
  <c r="K2896"/>
  <c r="K2895"/>
  <c r="K2894"/>
  <c r="P2890"/>
  <c r="R2890" s="1"/>
  <c r="R2889"/>
  <c r="R2888"/>
  <c r="P2887"/>
  <c r="R2887" s="1"/>
  <c r="P2884"/>
  <c r="R2884" s="1"/>
  <c r="P2881"/>
  <c r="R2881" s="1"/>
  <c r="K2881"/>
  <c r="P2873"/>
  <c r="R2873" s="1"/>
  <c r="P2872"/>
  <c r="R2872" s="1"/>
  <c r="I2872"/>
  <c r="K2872" s="1"/>
  <c r="P2871"/>
  <c r="R2871" s="1"/>
  <c r="K2871"/>
  <c r="P2870"/>
  <c r="R2870" s="1"/>
  <c r="K2869"/>
  <c r="K2868"/>
  <c r="K2867"/>
  <c r="K2866"/>
  <c r="L2860"/>
  <c r="R2857"/>
  <c r="R2856"/>
  <c r="I2856"/>
  <c r="K2856" s="1"/>
  <c r="R2855"/>
  <c r="I2855"/>
  <c r="I3804" s="1"/>
  <c r="K3804" s="1"/>
  <c r="K3869" s="1"/>
  <c r="R2854"/>
  <c r="I2854"/>
  <c r="I3005" s="1"/>
  <c r="K3005" s="1"/>
  <c r="P2853"/>
  <c r="K2853"/>
  <c r="I2852"/>
  <c r="K2852" s="1"/>
  <c r="K2892" s="1"/>
  <c r="K3845" s="1"/>
  <c r="R2851"/>
  <c r="K2851"/>
  <c r="K2880" s="1"/>
  <c r="K2891" s="1"/>
  <c r="I2850"/>
  <c r="I2911" s="1"/>
  <c r="P2849"/>
  <c r="P2882" s="1"/>
  <c r="R2882" s="1"/>
  <c r="K2849"/>
  <c r="R2848"/>
  <c r="P2847"/>
  <c r="P2880" s="1"/>
  <c r="R2880" s="1"/>
  <c r="K2847"/>
  <c r="I2846"/>
  <c r="I3794" s="1"/>
  <c r="K3794" s="1"/>
  <c r="K2845"/>
  <c r="K2844"/>
  <c r="K2843"/>
  <c r="K2827"/>
  <c r="K2826"/>
  <c r="K2825"/>
  <c r="K2818"/>
  <c r="K2817"/>
  <c r="K2816"/>
  <c r="K2815"/>
  <c r="K2808"/>
  <c r="K2807"/>
  <c r="K2799"/>
  <c r="K2798"/>
  <c r="K2788"/>
  <c r="K2787"/>
  <c r="K2786"/>
  <c r="K2785"/>
  <c r="K2784"/>
  <c r="K2783"/>
  <c r="I2760"/>
  <c r="K2760" s="1"/>
  <c r="I2759"/>
  <c r="K2759" s="1"/>
  <c r="I2758"/>
  <c r="K2758" s="1"/>
  <c r="K2757"/>
  <c r="K2756"/>
  <c r="K2755"/>
  <c r="K2754"/>
  <c r="K2753"/>
  <c r="K2752"/>
  <c r="K2744"/>
  <c r="K2743"/>
  <c r="K2735"/>
  <c r="K2734"/>
  <c r="K2733"/>
  <c r="K2732"/>
  <c r="K2725"/>
  <c r="K2724"/>
  <c r="K2723"/>
  <c r="K2716"/>
  <c r="K2715"/>
  <c r="K2708"/>
  <c r="K2707"/>
  <c r="K2701"/>
  <c r="K2700"/>
  <c r="K2680"/>
  <c r="I2670"/>
  <c r="K2670" s="1"/>
  <c r="I2669"/>
  <c r="K2669" s="1"/>
  <c r="I2668"/>
  <c r="K2668" s="1"/>
  <c r="I2667"/>
  <c r="K2667" s="1"/>
  <c r="I2665"/>
  <c r="K2665" s="1"/>
  <c r="K2640"/>
  <c r="K2639"/>
  <c r="K2638"/>
  <c r="K2637"/>
  <c r="K2636"/>
  <c r="K2635"/>
  <c r="K2634"/>
  <c r="K2633"/>
  <c r="K2626"/>
  <c r="K2604"/>
  <c r="K2557"/>
  <c r="K2507"/>
  <c r="K2506"/>
  <c r="K2505"/>
  <c r="K2498"/>
  <c r="K2497"/>
  <c r="K2490"/>
  <c r="K2493" s="1"/>
  <c r="K2470"/>
  <c r="K2469"/>
  <c r="K2431"/>
  <c r="K2430"/>
  <c r="K2426"/>
  <c r="I2424"/>
  <c r="K2424" s="1"/>
  <c r="K2375"/>
  <c r="K2370"/>
  <c r="I2369"/>
  <c r="I2425" s="1"/>
  <c r="I2440" s="1"/>
  <c r="K2440" s="1"/>
  <c r="I2368"/>
  <c r="K2368" s="1"/>
  <c r="K2363"/>
  <c r="K2326"/>
  <c r="K2325"/>
  <c r="K2324"/>
  <c r="K2323"/>
  <c r="K2322"/>
  <c r="K2321"/>
  <c r="K2310"/>
  <c r="K2309"/>
  <c r="K2268"/>
  <c r="K2267"/>
  <c r="K2266"/>
  <c r="K2265"/>
  <c r="K2263"/>
  <c r="I2237"/>
  <c r="K2237" s="1"/>
  <c r="I2236"/>
  <c r="K2236" s="1"/>
  <c r="K2235"/>
  <c r="K2234"/>
  <c r="K2233"/>
  <c r="K2232"/>
  <c r="I2222"/>
  <c r="K2222" s="1"/>
  <c r="I2221"/>
  <c r="K2221" s="1"/>
  <c r="I2220"/>
  <c r="K2220" s="1"/>
  <c r="I2219"/>
  <c r="K2219" s="1"/>
  <c r="K2218"/>
  <c r="K2171"/>
  <c r="I2170"/>
  <c r="K2170" s="1"/>
  <c r="I2169"/>
  <c r="K2169" s="1"/>
  <c r="I2168"/>
  <c r="K2168" s="1"/>
  <c r="I2167"/>
  <c r="K2167" s="1"/>
  <c r="I2144"/>
  <c r="K2144" s="1"/>
  <c r="K2148" s="1"/>
  <c r="I2135"/>
  <c r="K2135" s="1"/>
  <c r="K2139" s="1"/>
  <c r="I2125"/>
  <c r="K2125" s="1"/>
  <c r="K2129" s="1"/>
  <c r="I2112"/>
  <c r="K2112" s="1"/>
  <c r="K2116" s="1"/>
  <c r="I2100"/>
  <c r="K2100" s="1"/>
  <c r="I2099"/>
  <c r="K2099" s="1"/>
  <c r="H2097"/>
  <c r="I2087"/>
  <c r="K2087" s="1"/>
  <c r="I2086"/>
  <c r="K2086" s="1"/>
  <c r="I2074"/>
  <c r="K2074" s="1"/>
  <c r="I2072"/>
  <c r="K2072" s="1"/>
  <c r="I2067"/>
  <c r="K2067" s="1"/>
  <c r="I2054"/>
  <c r="K2054" s="1"/>
  <c r="I2052"/>
  <c r="K2052" s="1"/>
  <c r="I2047"/>
  <c r="K2047" s="1"/>
  <c r="I2039"/>
  <c r="K2039" s="1"/>
  <c r="K2042" s="1"/>
  <c r="I2027"/>
  <c r="K2027" s="1"/>
  <c r="K2018"/>
  <c r="K2017"/>
  <c r="K2016"/>
  <c r="I1999"/>
  <c r="K1999" s="1"/>
  <c r="I1998"/>
  <c r="K1998" s="1"/>
  <c r="I1997"/>
  <c r="K1997" s="1"/>
  <c r="I1996"/>
  <c r="K1996" s="1"/>
  <c r="I1975"/>
  <c r="K1975" s="1"/>
  <c r="I1974"/>
  <c r="K1974" s="1"/>
  <c r="I1973"/>
  <c r="K1973" s="1"/>
  <c r="I1972"/>
  <c r="K1972" s="1"/>
  <c r="I1947"/>
  <c r="K1947" s="1"/>
  <c r="I1928"/>
  <c r="K1928" s="1"/>
  <c r="I1908"/>
  <c r="K1908" s="1"/>
  <c r="I1890"/>
  <c r="K1890" s="1"/>
  <c r="I1858"/>
  <c r="K1858" s="1"/>
  <c r="I1844"/>
  <c r="I1845" s="1"/>
  <c r="K1845" s="1"/>
  <c r="I1829"/>
  <c r="K1829" s="1"/>
  <c r="I1817"/>
  <c r="I1818" s="1"/>
  <c r="K1818" s="1"/>
  <c r="I1809"/>
  <c r="I1810" s="1"/>
  <c r="K1810" s="1"/>
  <c r="I1801"/>
  <c r="I1774"/>
  <c r="K1774" s="1"/>
  <c r="I1773"/>
  <c r="K1773" s="1"/>
  <c r="I1771"/>
  <c r="K1771" s="1"/>
  <c r="I1756"/>
  <c r="K1756" s="1"/>
  <c r="I1755"/>
  <c r="K1755" s="1"/>
  <c r="I1753"/>
  <c r="K1753" s="1"/>
  <c r="I1738"/>
  <c r="I1737"/>
  <c r="I1830" s="1"/>
  <c r="K1830" s="1"/>
  <c r="I1735"/>
  <c r="K1735" s="1"/>
  <c r="K1727"/>
  <c r="K1724"/>
  <c r="K1717"/>
  <c r="K1716"/>
  <c r="I1715"/>
  <c r="K1715" s="1"/>
  <c r="K1714"/>
  <c r="K1713"/>
  <c r="K1701"/>
  <c r="K1700"/>
  <c r="K1699"/>
  <c r="K1687"/>
  <c r="K1686"/>
  <c r="K1685"/>
  <c r="K1682"/>
  <c r="K1654"/>
  <c r="K1653"/>
  <c r="K1652"/>
  <c r="K1625"/>
  <c r="K1628" s="1"/>
  <c r="K1618"/>
  <c r="K1621" s="1"/>
  <c r="K1609"/>
  <c r="K1613" s="1"/>
  <c r="K1598"/>
  <c r="K1597"/>
  <c r="I1561"/>
  <c r="K1561" s="1"/>
  <c r="I1560"/>
  <c r="K1560" s="1"/>
  <c r="I1559"/>
  <c r="K1559" s="1"/>
  <c r="I1558"/>
  <c r="K1558" s="1"/>
  <c r="I1557"/>
  <c r="K1557" s="1"/>
  <c r="I1545"/>
  <c r="K1545" s="1"/>
  <c r="I1533"/>
  <c r="K1533" s="1"/>
  <c r="K1522"/>
  <c r="I1518"/>
  <c r="K1518" s="1"/>
  <c r="K1509"/>
  <c r="O1507"/>
  <c r="O1506"/>
  <c r="I1505"/>
  <c r="K1505" s="1"/>
  <c r="I1494"/>
  <c r="K1494" s="1"/>
  <c r="K1493"/>
  <c r="I1478"/>
  <c r="K1478" s="1"/>
  <c r="I1465"/>
  <c r="K1465" s="1"/>
  <c r="I1463"/>
  <c r="K1463" s="1"/>
  <c r="K1448"/>
  <c r="I1436"/>
  <c r="K1436" s="1"/>
  <c r="I1368"/>
  <c r="K1368" s="1"/>
  <c r="I1310"/>
  <c r="K1310" s="1"/>
  <c r="I1307"/>
  <c r="K1307" s="1"/>
  <c r="I1288"/>
  <c r="K1288" s="1"/>
  <c r="I1220"/>
  <c r="K1220" s="1"/>
  <c r="I1219"/>
  <c r="K1219" s="1"/>
  <c r="I1206"/>
  <c r="K1206" s="1"/>
  <c r="I1198"/>
  <c r="K1198" s="1"/>
  <c r="I1183"/>
  <c r="K1183" s="1"/>
  <c r="I1182"/>
  <c r="K1182" s="1"/>
  <c r="I1181"/>
  <c r="K1181" s="1"/>
  <c r="I1146"/>
  <c r="K1146" s="1"/>
  <c r="K1133"/>
  <c r="K1132"/>
  <c r="I1131"/>
  <c r="K1131" s="1"/>
  <c r="I1115"/>
  <c r="K1115" s="1"/>
  <c r="I1114"/>
  <c r="K1114" s="1"/>
  <c r="I1102"/>
  <c r="K1102" s="1"/>
  <c r="I1101"/>
  <c r="K1101" s="1"/>
  <c r="K1091"/>
  <c r="K1090"/>
  <c r="I1089"/>
  <c r="K1089" s="1"/>
  <c r="K1088"/>
  <c r="K1086"/>
  <c r="I1064"/>
  <c r="K1064" s="1"/>
  <c r="I1063"/>
  <c r="K1063" s="1"/>
  <c r="I1062"/>
  <c r="K1062" s="1"/>
  <c r="I1060"/>
  <c r="K1060" s="1"/>
  <c r="I1050"/>
  <c r="K1050" s="1"/>
  <c r="I1049"/>
  <c r="K1049" s="1"/>
  <c r="I1048"/>
  <c r="K1048" s="1"/>
  <c r="I1047"/>
  <c r="K1047" s="1"/>
  <c r="I1045"/>
  <c r="K1045" s="1"/>
  <c r="I1035"/>
  <c r="K1035" s="1"/>
  <c r="I1034"/>
  <c r="K1034" s="1"/>
  <c r="I1033"/>
  <c r="K1033" s="1"/>
  <c r="I1032"/>
  <c r="K1032" s="1"/>
  <c r="I1030"/>
  <c r="K1030" s="1"/>
  <c r="I1020"/>
  <c r="I2531" s="1"/>
  <c r="K2531" s="1"/>
  <c r="I1019"/>
  <c r="K1019" s="1"/>
  <c r="I1018"/>
  <c r="I2529" s="1"/>
  <c r="K2529" s="1"/>
  <c r="I1017"/>
  <c r="K1017" s="1"/>
  <c r="I1016"/>
  <c r="I2527" s="1"/>
  <c r="K2527" s="1"/>
  <c r="I1015"/>
  <c r="K1015" s="1"/>
  <c r="I1013"/>
  <c r="K1013" s="1"/>
  <c r="I984"/>
  <c r="K984" s="1"/>
  <c r="I983"/>
  <c r="K983" s="1"/>
  <c r="I982"/>
  <c r="K982" s="1"/>
  <c r="I981"/>
  <c r="K981" s="1"/>
  <c r="I980"/>
  <c r="K980" s="1"/>
  <c r="I979"/>
  <c r="K979" s="1"/>
  <c r="I955"/>
  <c r="K955" s="1"/>
  <c r="I954"/>
  <c r="K954" s="1"/>
  <c r="I953"/>
  <c r="K953" s="1"/>
  <c r="I952"/>
  <c r="K952" s="1"/>
  <c r="I951"/>
  <c r="K951" s="1"/>
  <c r="I950"/>
  <c r="K950" s="1"/>
  <c r="I920"/>
  <c r="K920" s="1"/>
  <c r="I919"/>
  <c r="I2563" s="1"/>
  <c r="K2563" s="1"/>
  <c r="I918"/>
  <c r="K918" s="1"/>
  <c r="I917"/>
  <c r="I2561" s="1"/>
  <c r="K2561" s="1"/>
  <c r="I916"/>
  <c r="K916" s="1"/>
  <c r="I915"/>
  <c r="I2559" s="1"/>
  <c r="K2559" s="1"/>
  <c r="R871"/>
  <c r="R870"/>
  <c r="R869"/>
  <c r="K859"/>
  <c r="H859"/>
  <c r="K856"/>
  <c r="K855"/>
  <c r="H855"/>
  <c r="K854"/>
  <c r="K853"/>
  <c r="R844"/>
  <c r="R843"/>
  <c r="R841"/>
  <c r="K841"/>
  <c r="R840"/>
  <c r="R839"/>
  <c r="R838"/>
  <c r="K838"/>
  <c r="P837"/>
  <c r="R837" s="1"/>
  <c r="K837"/>
  <c r="K836"/>
  <c r="K835"/>
  <c r="R834"/>
  <c r="R847" s="1"/>
  <c r="K823"/>
  <c r="K820"/>
  <c r="K819"/>
  <c r="K818"/>
  <c r="K817"/>
  <c r="R807"/>
  <c r="R806"/>
  <c r="R805"/>
  <c r="R804"/>
  <c r="R803"/>
  <c r="R802"/>
  <c r="P801"/>
  <c r="R801" s="1"/>
  <c r="R798"/>
  <c r="R810" s="1"/>
  <c r="R789"/>
  <c r="R788"/>
  <c r="R786"/>
  <c r="R785"/>
  <c r="R784"/>
  <c r="R783"/>
  <c r="P782"/>
  <c r="R782" s="1"/>
  <c r="R779"/>
  <c r="R792" s="1"/>
  <c r="P762"/>
  <c r="R762" s="1"/>
  <c r="R769" s="1"/>
  <c r="R771" s="1"/>
  <c r="A754"/>
  <c r="R753"/>
  <c r="K752"/>
  <c r="K751"/>
  <c r="K750"/>
  <c r="I746"/>
  <c r="K746" s="1"/>
  <c r="R745"/>
  <c r="R740"/>
  <c r="K729"/>
  <c r="K728"/>
  <c r="P726"/>
  <c r="R726" s="1"/>
  <c r="P725"/>
  <c r="R725" s="1"/>
  <c r="P724"/>
  <c r="R724" s="1"/>
  <c r="K724"/>
  <c r="P723"/>
  <c r="R723" s="1"/>
  <c r="I723"/>
  <c r="K723" s="1"/>
  <c r="I722"/>
  <c r="K722" s="1"/>
  <c r="I743" s="1"/>
  <c r="K743" s="1"/>
  <c r="P721"/>
  <c r="R721" s="1"/>
  <c r="P710"/>
  <c r="R710" s="1"/>
  <c r="P709"/>
  <c r="R709" s="1"/>
  <c r="P708"/>
  <c r="R708" s="1"/>
  <c r="I708"/>
  <c r="I2362" s="1"/>
  <c r="P707"/>
  <c r="R707" s="1"/>
  <c r="I706"/>
  <c r="I2361" s="1"/>
  <c r="P705"/>
  <c r="R705" s="1"/>
  <c r="P695"/>
  <c r="R695" s="1"/>
  <c r="P694"/>
  <c r="R694" s="1"/>
  <c r="P693"/>
  <c r="R693" s="1"/>
  <c r="P692"/>
  <c r="R692" s="1"/>
  <c r="P690"/>
  <c r="R690" s="1"/>
  <c r="I683"/>
  <c r="K683" s="1"/>
  <c r="I681"/>
  <c r="K681" s="1"/>
  <c r="I680"/>
  <c r="K680" s="1"/>
  <c r="P679"/>
  <c r="R679" s="1"/>
  <c r="R683" s="1"/>
  <c r="P668"/>
  <c r="R668" s="1"/>
  <c r="R672" s="1"/>
  <c r="K664"/>
  <c r="I663"/>
  <c r="K663" s="1"/>
  <c r="I662"/>
  <c r="K662" s="1"/>
  <c r="P658"/>
  <c r="R658" s="1"/>
  <c r="R662" s="1"/>
  <c r="P648"/>
  <c r="R648" s="1"/>
  <c r="R652" s="1"/>
  <c r="K645"/>
  <c r="I644"/>
  <c r="K644" s="1"/>
  <c r="I643"/>
  <c r="K643" s="1"/>
  <c r="P638"/>
  <c r="R638" s="1"/>
  <c r="P637"/>
  <c r="R637" s="1"/>
  <c r="P636"/>
  <c r="R636" s="1"/>
  <c r="P620"/>
  <c r="R620" s="1"/>
  <c r="P607"/>
  <c r="R607" s="1"/>
  <c r="C593"/>
  <c r="I590"/>
  <c r="K590" s="1"/>
  <c r="J587"/>
  <c r="J586"/>
  <c r="J585"/>
  <c r="J584"/>
  <c r="J583"/>
  <c r="I575"/>
  <c r="K575" s="1"/>
  <c r="J572"/>
  <c r="J571"/>
  <c r="J570"/>
  <c r="J569"/>
  <c r="J568"/>
  <c r="P562"/>
  <c r="R562" s="1"/>
  <c r="P561"/>
  <c r="R561" s="1"/>
  <c r="P560"/>
  <c r="R560" s="1"/>
  <c r="I559"/>
  <c r="K559" s="1"/>
  <c r="P555"/>
  <c r="R555" s="1"/>
  <c r="J547"/>
  <c r="J546"/>
  <c r="J545"/>
  <c r="J544"/>
  <c r="J543"/>
  <c r="R537"/>
  <c r="P532"/>
  <c r="R532" s="1"/>
  <c r="P531"/>
  <c r="R531" s="1"/>
  <c r="J531"/>
  <c r="J530"/>
  <c r="P529"/>
  <c r="R529" s="1"/>
  <c r="J529"/>
  <c r="J528"/>
  <c r="J527"/>
  <c r="R517"/>
  <c r="P512"/>
  <c r="R512" s="1"/>
  <c r="P511"/>
  <c r="R511" s="1"/>
  <c r="P509"/>
  <c r="R509" s="1"/>
  <c r="R499"/>
  <c r="P494"/>
  <c r="R494" s="1"/>
  <c r="P493"/>
  <c r="R493" s="1"/>
  <c r="P491"/>
  <c r="R491" s="1"/>
  <c r="I484"/>
  <c r="K484" s="1"/>
  <c r="P476"/>
  <c r="R476" s="1"/>
  <c r="P475"/>
  <c r="R475" s="1"/>
  <c r="P474"/>
  <c r="R474" s="1"/>
  <c r="P469"/>
  <c r="R469" s="1"/>
  <c r="P458"/>
  <c r="R458" s="1"/>
  <c r="P457"/>
  <c r="R457" s="1"/>
  <c r="P456"/>
  <c r="R456" s="1"/>
  <c r="P451"/>
  <c r="R451" s="1"/>
  <c r="P440"/>
  <c r="R440" s="1"/>
  <c r="P439"/>
  <c r="R439" s="1"/>
  <c r="P438"/>
  <c r="R438" s="1"/>
  <c r="P432"/>
  <c r="R432" s="1"/>
  <c r="H409"/>
  <c r="F409"/>
  <c r="H407"/>
  <c r="H378"/>
  <c r="F378"/>
  <c r="H376"/>
  <c r="P366"/>
  <c r="R366" s="1"/>
  <c r="F355"/>
  <c r="H354"/>
  <c r="F354"/>
  <c r="H352"/>
  <c r="F335"/>
  <c r="H334"/>
  <c r="F334"/>
  <c r="H332"/>
  <c r="H310"/>
  <c r="K256"/>
  <c r="K255"/>
  <c r="K244"/>
  <c r="I240"/>
  <c r="K240" s="1"/>
  <c r="P218"/>
  <c r="R218" s="1"/>
  <c r="P217"/>
  <c r="R217" s="1"/>
  <c r="P216"/>
  <c r="R216" s="1"/>
  <c r="P215"/>
  <c r="R215" s="1"/>
  <c r="P214"/>
  <c r="R214" s="1"/>
  <c r="P213"/>
  <c r="R213" s="1"/>
  <c r="P211"/>
  <c r="R211" s="1"/>
  <c r="K185"/>
  <c r="I184"/>
  <c r="K184" s="1"/>
  <c r="K156"/>
  <c r="I154"/>
  <c r="K154" s="1"/>
  <c r="I152"/>
  <c r="K152" s="1"/>
  <c r="C141"/>
  <c r="C67"/>
  <c r="I1520" s="1"/>
  <c r="K1520" s="1"/>
  <c r="C66"/>
  <c r="I749" s="1"/>
  <c r="K749" s="1"/>
  <c r="D61"/>
  <c r="C61"/>
  <c r="C41"/>
  <c r="I1775" s="1"/>
  <c r="K1775" s="1"/>
  <c r="D40"/>
  <c r="I1490" s="1"/>
  <c r="K1490" s="1"/>
  <c r="AC38"/>
  <c r="I243" s="1"/>
  <c r="K243" s="1"/>
  <c r="AK36"/>
  <c r="AK35"/>
  <c r="W35"/>
  <c r="AK34"/>
  <c r="Y34"/>
  <c r="W34"/>
  <c r="AK33"/>
  <c r="AC33"/>
  <c r="C139" s="1"/>
  <c r="D33"/>
  <c r="I2172" s="1"/>
  <c r="K2172" s="1"/>
  <c r="AK32"/>
  <c r="AC32"/>
  <c r="C138" s="1"/>
  <c r="D32"/>
  <c r="I1061" s="1"/>
  <c r="K1061" s="1"/>
  <c r="AK31"/>
  <c r="D31"/>
  <c r="I1046" s="1"/>
  <c r="K1046" s="1"/>
  <c r="C31"/>
  <c r="AK30"/>
  <c r="AC30"/>
  <c r="C136" s="1"/>
  <c r="I1168" s="1"/>
  <c r="K1168" s="1"/>
  <c r="D30"/>
  <c r="C30"/>
  <c r="I887" s="1"/>
  <c r="K887" s="1"/>
  <c r="AK29"/>
  <c r="W29"/>
  <c r="C29"/>
  <c r="I1184" s="1"/>
  <c r="K1184" s="1"/>
  <c r="AK28"/>
  <c r="AC28"/>
  <c r="C90" s="1"/>
  <c r="AK27"/>
  <c r="AC27"/>
  <c r="C89" s="1"/>
  <c r="C27"/>
  <c r="I1688" s="1"/>
  <c r="K1688" s="1"/>
  <c r="AK26"/>
  <c r="AC26"/>
  <c r="C88" s="1"/>
  <c r="I1011" s="1"/>
  <c r="C26"/>
  <c r="I2069" s="1"/>
  <c r="K2069" s="1"/>
  <c r="AK25"/>
  <c r="AC25"/>
  <c r="C87" s="1"/>
  <c r="I2166" s="1"/>
  <c r="K2166" s="1"/>
  <c r="C25"/>
  <c r="AK24"/>
  <c r="AC24"/>
  <c r="C86" s="1"/>
  <c r="AK23"/>
  <c r="Z23"/>
  <c r="AC23" s="1"/>
  <c r="C85" s="1"/>
  <c r="X23"/>
  <c r="AK22"/>
  <c r="AC22"/>
  <c r="C84" s="1"/>
  <c r="I1421" s="1"/>
  <c r="K1421" s="1"/>
  <c r="AK21"/>
  <c r="AC21"/>
  <c r="C83" s="1"/>
  <c r="I1285" s="1"/>
  <c r="K1285" s="1"/>
  <c r="X21"/>
  <c r="AK20"/>
  <c r="W20"/>
  <c r="AK19"/>
  <c r="Z19"/>
  <c r="Z20" s="1"/>
  <c r="AC20" s="1"/>
  <c r="X19"/>
  <c r="X20" s="1"/>
  <c r="W19"/>
  <c r="AK18"/>
  <c r="Z18"/>
  <c r="Z29" s="1"/>
  <c r="Z34" s="1"/>
  <c r="X18"/>
  <c r="C18"/>
  <c r="I155" s="1"/>
  <c r="K155" s="1"/>
  <c r="AK17"/>
  <c r="D17"/>
  <c r="C17"/>
  <c r="I1546" s="1"/>
  <c r="K1546" s="1"/>
  <c r="AK16"/>
  <c r="Z16"/>
  <c r="Z17" s="1"/>
  <c r="AC17" s="1"/>
  <c r="X16"/>
  <c r="X17" s="1"/>
  <c r="D16"/>
  <c r="C16"/>
  <c r="AK15"/>
  <c r="W15"/>
  <c r="C15"/>
  <c r="I2605" s="1"/>
  <c r="K2605" s="1"/>
  <c r="AK14"/>
  <c r="W14"/>
  <c r="D14"/>
  <c r="I1495" s="1"/>
  <c r="K1495" s="1"/>
  <c r="C14"/>
  <c r="I1437" s="1"/>
  <c r="K1437" s="1"/>
  <c r="AK13"/>
  <c r="W13"/>
  <c r="W37" s="1"/>
  <c r="C13"/>
  <c r="I1951" s="1"/>
  <c r="K1951" s="1"/>
  <c r="AK12"/>
  <c r="W12"/>
  <c r="W36" s="1"/>
  <c r="C12"/>
  <c r="I2625" s="1"/>
  <c r="K2625" s="1"/>
  <c r="AK11"/>
  <c r="X11"/>
  <c r="X12" s="1"/>
  <c r="X13" s="1"/>
  <c r="X14" s="1"/>
  <c r="X15" s="1"/>
  <c r="P11"/>
  <c r="R11" s="1"/>
  <c r="C11"/>
  <c r="I1916" s="1"/>
  <c r="K1916"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AK10"/>
  <c r="W10"/>
  <c r="C10"/>
  <c r="I2073" s="1"/>
  <c r="K2073" s="1"/>
  <c r="AK9"/>
  <c r="Z9"/>
  <c r="Z10" s="1"/>
  <c r="AC10" s="1"/>
  <c r="C69" s="1"/>
  <c r="I295" s="1"/>
  <c r="K295" s="1"/>
  <c r="X9"/>
  <c r="X10" s="1"/>
  <c r="AK8"/>
  <c r="AG6"/>
  <c r="W3"/>
  <c r="U3"/>
  <c r="Q3"/>
  <c r="O3"/>
  <c r="J3"/>
  <c r="H3"/>
  <c r="E685" i="23"/>
  <c r="E686" s="1"/>
  <c r="A693" s="1"/>
  <c r="F683"/>
  <c r="E683"/>
  <c r="A692" s="1"/>
  <c r="E680"/>
  <c r="A691" s="1"/>
  <c r="E675"/>
  <c r="E674"/>
  <c r="E649"/>
  <c r="E650" s="1"/>
  <c r="A657" s="1"/>
  <c r="F647"/>
  <c r="E647"/>
  <c r="A656" s="1"/>
  <c r="E644"/>
  <c r="A655" s="1"/>
  <c r="E639"/>
  <c r="E638"/>
  <c r="E613"/>
  <c r="E614" s="1"/>
  <c r="A621" s="1"/>
  <c r="F611"/>
  <c r="E611"/>
  <c r="A620" s="1"/>
  <c r="E608"/>
  <c r="A619" s="1"/>
  <c r="E603"/>
  <c r="E602"/>
  <c r="E578"/>
  <c r="E579" s="1"/>
  <c r="A586" s="1"/>
  <c r="F576"/>
  <c r="E576"/>
  <c r="A585" s="1"/>
  <c r="E573"/>
  <c r="A584" s="1"/>
  <c r="E568"/>
  <c r="E567"/>
  <c r="G558"/>
  <c r="D554"/>
  <c r="F554" s="1"/>
  <c r="D553"/>
  <c r="D552"/>
  <c r="D589" s="1"/>
  <c r="D624" s="1"/>
  <c r="D551"/>
  <c r="D550"/>
  <c r="F550" s="1"/>
  <c r="D549"/>
  <c r="D586" s="1"/>
  <c r="D621" s="1"/>
  <c r="D657" s="1"/>
  <c r="D693" s="1"/>
  <c r="D548"/>
  <c r="D547"/>
  <c r="D584" s="1"/>
  <c r="D619" s="1"/>
  <c r="D546"/>
  <c r="D583" s="1"/>
  <c r="D618" s="1"/>
  <c r="D654" s="1"/>
  <c r="D690" s="1"/>
  <c r="E542"/>
  <c r="E543" s="1"/>
  <c r="A549" s="1"/>
  <c r="F540"/>
  <c r="E540"/>
  <c r="A548" s="1"/>
  <c r="E537"/>
  <c r="A547" s="1"/>
  <c r="E532"/>
  <c r="E531"/>
  <c r="G510"/>
  <c r="A517" s="1"/>
  <c r="G508"/>
  <c r="A516" s="1"/>
  <c r="G516" s="1"/>
  <c r="G506"/>
  <c r="A515" s="1"/>
  <c r="G515" s="1"/>
  <c r="G504"/>
  <c r="G503"/>
  <c r="G496"/>
  <c r="G495"/>
  <c r="G494"/>
  <c r="G487"/>
  <c r="G486"/>
  <c r="G485"/>
  <c r="G479"/>
  <c r="G476"/>
  <c r="G475"/>
  <c r="G472"/>
  <c r="G471"/>
  <c r="G465"/>
  <c r="G463"/>
  <c r="G461"/>
  <c r="G459"/>
  <c r="G457"/>
  <c r="G455"/>
  <c r="G453"/>
  <c r="G445"/>
  <c r="G444"/>
  <c r="G443"/>
  <c r="G436"/>
  <c r="G435"/>
  <c r="G434"/>
  <c r="G428"/>
  <c r="G426"/>
  <c r="G424"/>
  <c r="A433" s="1"/>
  <c r="G433" s="1"/>
  <c r="G418"/>
  <c r="G416"/>
  <c r="G414"/>
  <c r="G412"/>
  <c r="G410"/>
  <c r="G408"/>
  <c r="G400"/>
  <c r="G399"/>
  <c r="G398"/>
  <c r="G391"/>
  <c r="G390"/>
  <c r="G389"/>
  <c r="G388"/>
  <c r="G387"/>
  <c r="G383"/>
  <c r="G381"/>
  <c r="G379"/>
  <c r="G373"/>
  <c r="G371"/>
  <c r="G369"/>
  <c r="G367"/>
  <c r="G365"/>
  <c r="G363"/>
  <c r="G355"/>
  <c r="G354"/>
  <c r="G353"/>
  <c r="G346"/>
  <c r="G345"/>
  <c r="G344"/>
  <c r="G342"/>
  <c r="G338"/>
  <c r="G336"/>
  <c r="G334"/>
  <c r="A343" s="1"/>
  <c r="G343" s="1"/>
  <c r="G328"/>
  <c r="G326"/>
  <c r="G324"/>
  <c r="G322"/>
  <c r="G320"/>
  <c r="G318"/>
  <c r="D306"/>
  <c r="F306" s="1"/>
  <c r="F291"/>
  <c r="F290"/>
  <c r="D289"/>
  <c r="F289" s="1"/>
  <c r="F288"/>
  <c r="F287"/>
  <c r="D286"/>
  <c r="F286" s="1"/>
  <c r="F285"/>
  <c r="F284"/>
  <c r="F283"/>
  <c r="F282"/>
  <c r="F281"/>
  <c r="F280"/>
  <c r="D269"/>
  <c r="F269" s="1"/>
  <c r="D268"/>
  <c r="F268" s="1"/>
  <c r="D267"/>
  <c r="F267" s="1"/>
  <c r="F261"/>
  <c r="F260"/>
  <c r="F259"/>
  <c r="F258"/>
  <c r="F257"/>
  <c r="F255"/>
  <c r="F254"/>
  <c r="F253"/>
  <c r="F252"/>
  <c r="F250"/>
  <c r="G214"/>
  <c r="G213"/>
  <c r="G212"/>
  <c r="G211"/>
  <c r="E210"/>
  <c r="G210" s="1"/>
  <c r="E209"/>
  <c r="G209" s="1"/>
  <c r="G208"/>
  <c r="E207"/>
  <c r="D207"/>
  <c r="A207" s="1"/>
  <c r="G206"/>
  <c r="D204"/>
  <c r="D203"/>
  <c r="G201"/>
  <c r="D200"/>
  <c r="A200" s="1"/>
  <c r="G200" s="1"/>
  <c r="E199"/>
  <c r="D199"/>
  <c r="A199" s="1"/>
  <c r="G198"/>
  <c r="D198"/>
  <c r="D196"/>
  <c r="D195"/>
  <c r="D194"/>
  <c r="E188"/>
  <c r="E187"/>
  <c r="F163"/>
  <c r="F140"/>
  <c r="D139"/>
  <c r="D162" s="1"/>
  <c r="F162" s="1"/>
  <c r="D138"/>
  <c r="D161" s="1"/>
  <c r="F161" s="1"/>
  <c r="C138"/>
  <c r="C161" s="1"/>
  <c r="D136"/>
  <c r="D159" s="1"/>
  <c r="F159" s="1"/>
  <c r="F114"/>
  <c r="F113"/>
  <c r="F112"/>
  <c r="C112"/>
  <c r="F110"/>
  <c r="F92"/>
  <c r="F91"/>
  <c r="F90"/>
  <c r="D89"/>
  <c r="D111" s="1"/>
  <c r="F88"/>
  <c r="F64"/>
  <c r="F63"/>
  <c r="F62"/>
  <c r="F61"/>
  <c r="D50"/>
  <c r="D49"/>
  <c r="F49" s="1"/>
  <c r="D48"/>
  <c r="J42"/>
  <c r="I42"/>
  <c r="J41"/>
  <c r="I41"/>
  <c r="D41"/>
  <c r="F41" s="1"/>
  <c r="J40"/>
  <c r="I40"/>
  <c r="D40"/>
  <c r="F40" s="1"/>
  <c r="J39"/>
  <c r="I39"/>
  <c r="D39"/>
  <c r="F39" s="1"/>
  <c r="J38"/>
  <c r="I38"/>
  <c r="D38"/>
  <c r="D60" s="1"/>
  <c r="F60" s="1"/>
  <c r="J37"/>
  <c r="I37"/>
  <c r="F37"/>
  <c r="K36"/>
  <c r="J36"/>
  <c r="I36"/>
  <c r="F28"/>
  <c r="F27"/>
  <c r="F26"/>
  <c r="F25"/>
  <c r="D24"/>
  <c r="F24" s="1"/>
  <c r="D23"/>
  <c r="F15"/>
  <c r="F14"/>
  <c r="F13"/>
  <c r="F12"/>
  <c r="F11"/>
  <c r="F10"/>
  <c r="F9"/>
  <c r="F8"/>
  <c r="D7"/>
  <c r="F7" s="1"/>
  <c r="D6"/>
  <c r="F6" s="1"/>
  <c r="D5"/>
  <c r="F5" s="1"/>
  <c r="I3949" i="22"/>
  <c r="K3949" s="1"/>
  <c r="I3935"/>
  <c r="K3935" s="1"/>
  <c r="I3934"/>
  <c r="K3934" s="1"/>
  <c r="I3933"/>
  <c r="K3933" s="1"/>
  <c r="I3911"/>
  <c r="K3911" s="1"/>
  <c r="K3908"/>
  <c r="K3894"/>
  <c r="M3893"/>
  <c r="I3893"/>
  <c r="K3893" s="1"/>
  <c r="K3890"/>
  <c r="K3876"/>
  <c r="K3875"/>
  <c r="N3856"/>
  <c r="K3854"/>
  <c r="K3853"/>
  <c r="N3852"/>
  <c r="K3852"/>
  <c r="K3838"/>
  <c r="K3813"/>
  <c r="K3811"/>
  <c r="K3808"/>
  <c r="K3807"/>
  <c r="K3873" s="1"/>
  <c r="I3806"/>
  <c r="K3806" s="1"/>
  <c r="K3805"/>
  <c r="K3804"/>
  <c r="K3800"/>
  <c r="K3798"/>
  <c r="P3778"/>
  <c r="R3778" s="1"/>
  <c r="O3778"/>
  <c r="H3778"/>
  <c r="R3777"/>
  <c r="I3777"/>
  <c r="K3777" s="1"/>
  <c r="H3777"/>
  <c r="R3771"/>
  <c r="I3771"/>
  <c r="K3771" s="1"/>
  <c r="R3770"/>
  <c r="I3770"/>
  <c r="K3770" s="1"/>
  <c r="H3770"/>
  <c r="I3766"/>
  <c r="K3766" s="1"/>
  <c r="I3765"/>
  <c r="K3765" s="1"/>
  <c r="H3765"/>
  <c r="K3759"/>
  <c r="I3758"/>
  <c r="K3758" s="1"/>
  <c r="K3757"/>
  <c r="K3740"/>
  <c r="K3739"/>
  <c r="L3724"/>
  <c r="I3722"/>
  <c r="K3722" s="1"/>
  <c r="I3721"/>
  <c r="K3721" s="1"/>
  <c r="K3720"/>
  <c r="I3719"/>
  <c r="K3719" s="1"/>
  <c r="H3719"/>
  <c r="I3718"/>
  <c r="K3718" s="1"/>
  <c r="H3718"/>
  <c r="I3710"/>
  <c r="K3710" s="1"/>
  <c r="I3708"/>
  <c r="K3708" s="1"/>
  <c r="H3708"/>
  <c r="I3699"/>
  <c r="K3699" s="1"/>
  <c r="H3699"/>
  <c r="I3694"/>
  <c r="K3694" s="1"/>
  <c r="H3694"/>
  <c r="L3689"/>
  <c r="I3683"/>
  <c r="K3683" s="1"/>
  <c r="K3675"/>
  <c r="D3674"/>
  <c r="K3672"/>
  <c r="K3671"/>
  <c r="I3670"/>
  <c r="K3670" s="1"/>
  <c r="H3670"/>
  <c r="I3667"/>
  <c r="K3667" s="1"/>
  <c r="I3666"/>
  <c r="K3666" s="1"/>
  <c r="I3664"/>
  <c r="K3664" s="1"/>
  <c r="I3662"/>
  <c r="I3669" s="1"/>
  <c r="K3669" s="1"/>
  <c r="K3649"/>
  <c r="I3644"/>
  <c r="K3644" s="1"/>
  <c r="I3643"/>
  <c r="K3643" s="1"/>
  <c r="H3643"/>
  <c r="K3637"/>
  <c r="R3635"/>
  <c r="I3635"/>
  <c r="K3635" s="1"/>
  <c r="H3635"/>
  <c r="I3634"/>
  <c r="K3634" s="1"/>
  <c r="H3634"/>
  <c r="R3626"/>
  <c r="R3625"/>
  <c r="R3624"/>
  <c r="R3623"/>
  <c r="K3618"/>
  <c r="P3614"/>
  <c r="R3614" s="1"/>
  <c r="I3614"/>
  <c r="I3645" s="1"/>
  <c r="K3645" s="1"/>
  <c r="R3613"/>
  <c r="K3613"/>
  <c r="I3612"/>
  <c r="K3612" s="1"/>
  <c r="H3612"/>
  <c r="L3605"/>
  <c r="K3605"/>
  <c r="J3605"/>
  <c r="I3605"/>
  <c r="I3580"/>
  <c r="K3580" s="1"/>
  <c r="H3580"/>
  <c r="I3579"/>
  <c r="K3579" s="1"/>
  <c r="H3579"/>
  <c r="I3578"/>
  <c r="K3578" s="1"/>
  <c r="H3578"/>
  <c r="I3563"/>
  <c r="K3563" s="1"/>
  <c r="K3562"/>
  <c r="O3561"/>
  <c r="K3561"/>
  <c r="I3553"/>
  <c r="K3553" s="1"/>
  <c r="K3556" s="1"/>
  <c r="H3553"/>
  <c r="I3545"/>
  <c r="K3545" s="1"/>
  <c r="K3547" s="1"/>
  <c r="H3545"/>
  <c r="I3533"/>
  <c r="K3533" s="1"/>
  <c r="K3523"/>
  <c r="K3521"/>
  <c r="K3514"/>
  <c r="K3513"/>
  <c r="R3501"/>
  <c r="I3497"/>
  <c r="K3497" s="1"/>
  <c r="I3496"/>
  <c r="I3534" s="1"/>
  <c r="K3534" s="1"/>
  <c r="P3495"/>
  <c r="R3495" s="1"/>
  <c r="K3495"/>
  <c r="K3480"/>
  <c r="I3478"/>
  <c r="K3478" s="1"/>
  <c r="H3465"/>
  <c r="H3464"/>
  <c r="I3455"/>
  <c r="K3455" s="1"/>
  <c r="H3455"/>
  <c r="I3454"/>
  <c r="K3454" s="1"/>
  <c r="K3438"/>
  <c r="K3436"/>
  <c r="L3418"/>
  <c r="L3399"/>
  <c r="M3399" s="1"/>
  <c r="N3399" s="1"/>
  <c r="O3399" s="1"/>
  <c r="O3396"/>
  <c r="N3396"/>
  <c r="M3396"/>
  <c r="L3396"/>
  <c r="L3415" s="1"/>
  <c r="I3396"/>
  <c r="I3476" s="1"/>
  <c r="K3476" s="1"/>
  <c r="I3389"/>
  <c r="K3389" s="1"/>
  <c r="I3464" s="1"/>
  <c r="K3464" s="1"/>
  <c r="I3384"/>
  <c r="K3384" s="1"/>
  <c r="H3384"/>
  <c r="K3376"/>
  <c r="J3368"/>
  <c r="I3354"/>
  <c r="K3354" s="1"/>
  <c r="H3354"/>
  <c r="K3345"/>
  <c r="K3331"/>
  <c r="I3316"/>
  <c r="K3316" s="1"/>
  <c r="I3315"/>
  <c r="K3315" s="1"/>
  <c r="I3314"/>
  <c r="K3314" s="1"/>
  <c r="I3313"/>
  <c r="K3313" s="1"/>
  <c r="I3312"/>
  <c r="K3312" s="1"/>
  <c r="I3311"/>
  <c r="I3310"/>
  <c r="I3309"/>
  <c r="K3309" s="1"/>
  <c r="I3308"/>
  <c r="K3308" s="1"/>
  <c r="I3307"/>
  <c r="K3307" s="1"/>
  <c r="I3306"/>
  <c r="K3306" s="1"/>
  <c r="K3290"/>
  <c r="K3289"/>
  <c r="I3259"/>
  <c r="K3259" s="1"/>
  <c r="I3258"/>
  <c r="K3258" s="1"/>
  <c r="K3257"/>
  <c r="K3241"/>
  <c r="K3240"/>
  <c r="K3232"/>
  <c r="I3231"/>
  <c r="K3231" s="1"/>
  <c r="K3230"/>
  <c r="N3222"/>
  <c r="I3222" s="1"/>
  <c r="I3335" s="1"/>
  <c r="M3222"/>
  <c r="J3222"/>
  <c r="K3219"/>
  <c r="K3217"/>
  <c r="I3207"/>
  <c r="K3207" s="1"/>
  <c r="K3206"/>
  <c r="K3192"/>
  <c r="K3191"/>
  <c r="K3182"/>
  <c r="K3180"/>
  <c r="I3170"/>
  <c r="K3170" s="1"/>
  <c r="K3169"/>
  <c r="K3151"/>
  <c r="K3150"/>
  <c r="K3132"/>
  <c r="R3126"/>
  <c r="L3119"/>
  <c r="S3118"/>
  <c r="P3113"/>
  <c r="P3127" s="1"/>
  <c r="R3127" s="1"/>
  <c r="K3113"/>
  <c r="P3112"/>
  <c r="R3112" s="1"/>
  <c r="I3112"/>
  <c r="I3494" s="1"/>
  <c r="I3532" s="1"/>
  <c r="K3532" s="1"/>
  <c r="L3105"/>
  <c r="I3101"/>
  <c r="I3616" s="1"/>
  <c r="P3617" s="1"/>
  <c r="R3617" s="1"/>
  <c r="K3098"/>
  <c r="L3092"/>
  <c r="K3090"/>
  <c r="K3088"/>
  <c r="L3080"/>
  <c r="K3078"/>
  <c r="R3071"/>
  <c r="L3063"/>
  <c r="K3061"/>
  <c r="L3044"/>
  <c r="K3042"/>
  <c r="I3035"/>
  <c r="K3035" s="1"/>
  <c r="M3023"/>
  <c r="K3021"/>
  <c r="K3020"/>
  <c r="L3011"/>
  <c r="K3009"/>
  <c r="I2999"/>
  <c r="K2999" s="1"/>
  <c r="I2984"/>
  <c r="K2984" s="1"/>
  <c r="L2965"/>
  <c r="L2957"/>
  <c r="M2957" s="1"/>
  <c r="N2957" s="1"/>
  <c r="I2957"/>
  <c r="I2974" s="1"/>
  <c r="K2974" s="1"/>
  <c r="L2945"/>
  <c r="M2935"/>
  <c r="I2935"/>
  <c r="K2935" s="1"/>
  <c r="I2923"/>
  <c r="K2925" s="1"/>
  <c r="K2912"/>
  <c r="H2911"/>
  <c r="H2910"/>
  <c r="H2936" s="1"/>
  <c r="H2909"/>
  <c r="H2937" s="1"/>
  <c r="H2905"/>
  <c r="L2899"/>
  <c r="S2896"/>
  <c r="K2896"/>
  <c r="K2895"/>
  <c r="K2894"/>
  <c r="R2889"/>
  <c r="P2888"/>
  <c r="R2888" s="1"/>
  <c r="L2884"/>
  <c r="P2881"/>
  <c r="R2881" s="1"/>
  <c r="K2881"/>
  <c r="I2872"/>
  <c r="K2872" s="1"/>
  <c r="I2871"/>
  <c r="I3685" s="1"/>
  <c r="K3685" s="1"/>
  <c r="I2870"/>
  <c r="I2869"/>
  <c r="I3249" s="1"/>
  <c r="K3249" s="1"/>
  <c r="I2868"/>
  <c r="I3139" s="1"/>
  <c r="K3139" s="1"/>
  <c r="I2867"/>
  <c r="I3158" s="1"/>
  <c r="I3198" s="1"/>
  <c r="K3198" s="1"/>
  <c r="I2866"/>
  <c r="T2863"/>
  <c r="R2860"/>
  <c r="K2858"/>
  <c r="R2856"/>
  <c r="I2856"/>
  <c r="P2846" s="1"/>
  <c r="P2879" s="1"/>
  <c r="R2879" s="1"/>
  <c r="R2855"/>
  <c r="I2855"/>
  <c r="K2855" s="1"/>
  <c r="P2854"/>
  <c r="R2854" s="1"/>
  <c r="I2854"/>
  <c r="I2853"/>
  <c r="K2853" s="1"/>
  <c r="I2852"/>
  <c r="K2852" s="1"/>
  <c r="K2892" s="1"/>
  <c r="K3850" s="1"/>
  <c r="P2851"/>
  <c r="P2884" s="1"/>
  <c r="R2884" s="1"/>
  <c r="I2851"/>
  <c r="K2851" s="1"/>
  <c r="K2880" s="1"/>
  <c r="K2891" s="1"/>
  <c r="I2850"/>
  <c r="K2850" s="1"/>
  <c r="K2893" s="1"/>
  <c r="K3851" s="1"/>
  <c r="I2849"/>
  <c r="I2913" s="1"/>
  <c r="I3036" s="1"/>
  <c r="K3036" s="1"/>
  <c r="R2848"/>
  <c r="K2847"/>
  <c r="I2846"/>
  <c r="I2908" s="1"/>
  <c r="I2845"/>
  <c r="I3797" s="1"/>
  <c r="K3797" s="1"/>
  <c r="I2844"/>
  <c r="I2843"/>
  <c r="I2995" s="1"/>
  <c r="K2995" s="1"/>
  <c r="K2827"/>
  <c r="K2826"/>
  <c r="K2825"/>
  <c r="K2818"/>
  <c r="K2817"/>
  <c r="K2816"/>
  <c r="K2815"/>
  <c r="K2808"/>
  <c r="K2807"/>
  <c r="K2799"/>
  <c r="K2798"/>
  <c r="K2788"/>
  <c r="K2787"/>
  <c r="K2786"/>
  <c r="K2785"/>
  <c r="K2784"/>
  <c r="K2783"/>
  <c r="I2758"/>
  <c r="K2758" s="1"/>
  <c r="K2757"/>
  <c r="K2756"/>
  <c r="K2755"/>
  <c r="K2754"/>
  <c r="K2753"/>
  <c r="K2752"/>
  <c r="K2744"/>
  <c r="K2743"/>
  <c r="K2735"/>
  <c r="K2734"/>
  <c r="K2733"/>
  <c r="K2732"/>
  <c r="K2725"/>
  <c r="K2724"/>
  <c r="K2723"/>
  <c r="K2716"/>
  <c r="K2715"/>
  <c r="K2708"/>
  <c r="K2707"/>
  <c r="K2701"/>
  <c r="K2700"/>
  <c r="K2680"/>
  <c r="I2670"/>
  <c r="K2670" s="1"/>
  <c r="I2669"/>
  <c r="K2669" s="1"/>
  <c r="I2668"/>
  <c r="K2668" s="1"/>
  <c r="I2667"/>
  <c r="K2667" s="1"/>
  <c r="I2665"/>
  <c r="K2665" s="1"/>
  <c r="K2640"/>
  <c r="K2639"/>
  <c r="K2638"/>
  <c r="K2637"/>
  <c r="K2636"/>
  <c r="K2635"/>
  <c r="K2634"/>
  <c r="K2633"/>
  <c r="K2626"/>
  <c r="K2604"/>
  <c r="K2557"/>
  <c r="K2507"/>
  <c r="K2506"/>
  <c r="K2505"/>
  <c r="K2498"/>
  <c r="K2497"/>
  <c r="K2490"/>
  <c r="K2493" s="1"/>
  <c r="K2470"/>
  <c r="K2469"/>
  <c r="K2431"/>
  <c r="K2430"/>
  <c r="K2426"/>
  <c r="I2424"/>
  <c r="K2424" s="1"/>
  <c r="K2375"/>
  <c r="K2370"/>
  <c r="I2369"/>
  <c r="I2425" s="1"/>
  <c r="K2425" s="1"/>
  <c r="I2368"/>
  <c r="K2368" s="1"/>
  <c r="K2363"/>
  <c r="K2326"/>
  <c r="K2325"/>
  <c r="K2324"/>
  <c r="K2323"/>
  <c r="K2322"/>
  <c r="K2321"/>
  <c r="K2310"/>
  <c r="K2309"/>
  <c r="K2268"/>
  <c r="K2267"/>
  <c r="K2266"/>
  <c r="K2265"/>
  <c r="K2263"/>
  <c r="I2237"/>
  <c r="K2237" s="1"/>
  <c r="I2236"/>
  <c r="K2236" s="1"/>
  <c r="K2235"/>
  <c r="K2234"/>
  <c r="K2233"/>
  <c r="K2232"/>
  <c r="I2222"/>
  <c r="K2222" s="1"/>
  <c r="I2221"/>
  <c r="K2221" s="1"/>
  <c r="I2220"/>
  <c r="K2220" s="1"/>
  <c r="I2219"/>
  <c r="K2219" s="1"/>
  <c r="K2218"/>
  <c r="K2171"/>
  <c r="I2170"/>
  <c r="K2170" s="1"/>
  <c r="I2169"/>
  <c r="K2169" s="1"/>
  <c r="I2168"/>
  <c r="K2168" s="1"/>
  <c r="I2167"/>
  <c r="K2167" s="1"/>
  <c r="I2144"/>
  <c r="K2144" s="1"/>
  <c r="K2148" s="1"/>
  <c r="I2135"/>
  <c r="K2135" s="1"/>
  <c r="K2139" s="1"/>
  <c r="I2125"/>
  <c r="K2125" s="1"/>
  <c r="K2129" s="1"/>
  <c r="I2112"/>
  <c r="K2112" s="1"/>
  <c r="K2116" s="1"/>
  <c r="I2100"/>
  <c r="K2100" s="1"/>
  <c r="I2099"/>
  <c r="K2099" s="1"/>
  <c r="H2097"/>
  <c r="I2087"/>
  <c r="K2087" s="1"/>
  <c r="I2086"/>
  <c r="K2086" s="1"/>
  <c r="I2074"/>
  <c r="K2074" s="1"/>
  <c r="I2072"/>
  <c r="K2072" s="1"/>
  <c r="I2067"/>
  <c r="K2067" s="1"/>
  <c r="I2054"/>
  <c r="K2054" s="1"/>
  <c r="I2052"/>
  <c r="K2052" s="1"/>
  <c r="I2047"/>
  <c r="K2047" s="1"/>
  <c r="I2039"/>
  <c r="K2039" s="1"/>
  <c r="K2042" s="1"/>
  <c r="I2027"/>
  <c r="K2027" s="1"/>
  <c r="K2018"/>
  <c r="K2017"/>
  <c r="K2016"/>
  <c r="I1999"/>
  <c r="K1999" s="1"/>
  <c r="I1998"/>
  <c r="K1998" s="1"/>
  <c r="I1997"/>
  <c r="K1997" s="1"/>
  <c r="I1996"/>
  <c r="K1996" s="1"/>
  <c r="I1975"/>
  <c r="K1975" s="1"/>
  <c r="I1974"/>
  <c r="K1974" s="1"/>
  <c r="I1973"/>
  <c r="K1973" s="1"/>
  <c r="I1972"/>
  <c r="K1972" s="1"/>
  <c r="I1947"/>
  <c r="K1947" s="1"/>
  <c r="I1928"/>
  <c r="K1928" s="1"/>
  <c r="I1908"/>
  <c r="K1908" s="1"/>
  <c r="I1890"/>
  <c r="K1890" s="1"/>
  <c r="I1858"/>
  <c r="K1858" s="1"/>
  <c r="I1844"/>
  <c r="K1844" s="1"/>
  <c r="I1829"/>
  <c r="K1829" s="1"/>
  <c r="I1817"/>
  <c r="K1817" s="1"/>
  <c r="I1809"/>
  <c r="I1810" s="1"/>
  <c r="K1810" s="1"/>
  <c r="I1801"/>
  <c r="I1774"/>
  <c r="K1774" s="1"/>
  <c r="I1773"/>
  <c r="K1773" s="1"/>
  <c r="I1771"/>
  <c r="K1771" s="1"/>
  <c r="I1756"/>
  <c r="K1756" s="1"/>
  <c r="I1755"/>
  <c r="K1755" s="1"/>
  <c r="I1753"/>
  <c r="K1753" s="1"/>
  <c r="I1738"/>
  <c r="I1737"/>
  <c r="I1830" s="1"/>
  <c r="K1830" s="1"/>
  <c r="I1735"/>
  <c r="K1735" s="1"/>
  <c r="K1727"/>
  <c r="K1724"/>
  <c r="K1717"/>
  <c r="K1716"/>
  <c r="I1715"/>
  <c r="K1715" s="1"/>
  <c r="K1714"/>
  <c r="K1713"/>
  <c r="K1701"/>
  <c r="K1700"/>
  <c r="K1699"/>
  <c r="K1687"/>
  <c r="K1686"/>
  <c r="K1685"/>
  <c r="K1682"/>
  <c r="K1654"/>
  <c r="K1653"/>
  <c r="K1652"/>
  <c r="K1625"/>
  <c r="K1628" s="1"/>
  <c r="K1618"/>
  <c r="K1621" s="1"/>
  <c r="K1609"/>
  <c r="K1613" s="1"/>
  <c r="K1598"/>
  <c r="K1597"/>
  <c r="I1561"/>
  <c r="K1561" s="1"/>
  <c r="I1560"/>
  <c r="K1560" s="1"/>
  <c r="I1559"/>
  <c r="K1559" s="1"/>
  <c r="I1558"/>
  <c r="K1558" s="1"/>
  <c r="I1557"/>
  <c r="K1557" s="1"/>
  <c r="I1545"/>
  <c r="K1545" s="1"/>
  <c r="I1533"/>
  <c r="K1533" s="1"/>
  <c r="K1522"/>
  <c r="I1518"/>
  <c r="K1518" s="1"/>
  <c r="K1509"/>
  <c r="O1507"/>
  <c r="O1506"/>
  <c r="I1505"/>
  <c r="K1505" s="1"/>
  <c r="I1494"/>
  <c r="K1494" s="1"/>
  <c r="K1493"/>
  <c r="I1478"/>
  <c r="K1478" s="1"/>
  <c r="I1465"/>
  <c r="K1465" s="1"/>
  <c r="I1463"/>
  <c r="K1463" s="1"/>
  <c r="K1448"/>
  <c r="I1436"/>
  <c r="K1436" s="1"/>
  <c r="I1368"/>
  <c r="K1368" s="1"/>
  <c r="I1310"/>
  <c r="K1310" s="1"/>
  <c r="I1307"/>
  <c r="K1307" s="1"/>
  <c r="I1288"/>
  <c r="K1288" s="1"/>
  <c r="I1220"/>
  <c r="K1220" s="1"/>
  <c r="I1219"/>
  <c r="K1219" s="1"/>
  <c r="I1206"/>
  <c r="K1206" s="1"/>
  <c r="I1198"/>
  <c r="K1198" s="1"/>
  <c r="I1183"/>
  <c r="K1183" s="1"/>
  <c r="I1182"/>
  <c r="K1182" s="1"/>
  <c r="I1181"/>
  <c r="K1181" s="1"/>
  <c r="I1146"/>
  <c r="K1146" s="1"/>
  <c r="K1133"/>
  <c r="K1132"/>
  <c r="I1131"/>
  <c r="K1131" s="1"/>
  <c r="I1115"/>
  <c r="K1115" s="1"/>
  <c r="I1114"/>
  <c r="K1114" s="1"/>
  <c r="I1102"/>
  <c r="K1102" s="1"/>
  <c r="I1101"/>
  <c r="K1101" s="1"/>
  <c r="K1091"/>
  <c r="K1090"/>
  <c r="I1089"/>
  <c r="K1089" s="1"/>
  <c r="K1088"/>
  <c r="K1086"/>
  <c r="I1064"/>
  <c r="K1064" s="1"/>
  <c r="I1063"/>
  <c r="K1063" s="1"/>
  <c r="I1062"/>
  <c r="K1062" s="1"/>
  <c r="I1060"/>
  <c r="K1060" s="1"/>
  <c r="I1050"/>
  <c r="K1050" s="1"/>
  <c r="I1049"/>
  <c r="K1049" s="1"/>
  <c r="I1048"/>
  <c r="K1048" s="1"/>
  <c r="I1047"/>
  <c r="K1047" s="1"/>
  <c r="I1045"/>
  <c r="K1045" s="1"/>
  <c r="I1035"/>
  <c r="K1035" s="1"/>
  <c r="I1034"/>
  <c r="K1034" s="1"/>
  <c r="I1033"/>
  <c r="K1033" s="1"/>
  <c r="I1032"/>
  <c r="K1032" s="1"/>
  <c r="I1030"/>
  <c r="K1030" s="1"/>
  <c r="I1020"/>
  <c r="I2531" s="1"/>
  <c r="K2531" s="1"/>
  <c r="I1019"/>
  <c r="K1019" s="1"/>
  <c r="I1018"/>
  <c r="I2529" s="1"/>
  <c r="K2529" s="1"/>
  <c r="I1017"/>
  <c r="K1017" s="1"/>
  <c r="I1016"/>
  <c r="I2527" s="1"/>
  <c r="K2527" s="1"/>
  <c r="I1015"/>
  <c r="K1015" s="1"/>
  <c r="I1013"/>
  <c r="K1013" s="1"/>
  <c r="I984"/>
  <c r="K984" s="1"/>
  <c r="I983"/>
  <c r="K983" s="1"/>
  <c r="I982"/>
  <c r="K982" s="1"/>
  <c r="I981"/>
  <c r="K981" s="1"/>
  <c r="I980"/>
  <c r="K980" s="1"/>
  <c r="I979"/>
  <c r="K979" s="1"/>
  <c r="I955"/>
  <c r="K955" s="1"/>
  <c r="I954"/>
  <c r="K954" s="1"/>
  <c r="I953"/>
  <c r="K953" s="1"/>
  <c r="I952"/>
  <c r="K952" s="1"/>
  <c r="I951"/>
  <c r="K951" s="1"/>
  <c r="I950"/>
  <c r="K950" s="1"/>
  <c r="I920"/>
  <c r="I2564" s="1"/>
  <c r="I919"/>
  <c r="I2563" s="1"/>
  <c r="K2563" s="1"/>
  <c r="I918"/>
  <c r="I2562" s="1"/>
  <c r="I917"/>
  <c r="I2561" s="1"/>
  <c r="I2592" s="1"/>
  <c r="K2592" s="1"/>
  <c r="I916"/>
  <c r="I2560" s="1"/>
  <c r="I915"/>
  <c r="I2559" s="1"/>
  <c r="K2559" s="1"/>
  <c r="R871"/>
  <c r="R870"/>
  <c r="R869"/>
  <c r="K859"/>
  <c r="H859"/>
  <c r="K856"/>
  <c r="K855"/>
  <c r="H855"/>
  <c r="K854"/>
  <c r="K853"/>
  <c r="R844"/>
  <c r="R843"/>
  <c r="R841"/>
  <c r="K841"/>
  <c r="R840"/>
  <c r="R839"/>
  <c r="R838"/>
  <c r="K838"/>
  <c r="P837"/>
  <c r="R837" s="1"/>
  <c r="K837"/>
  <c r="K836"/>
  <c r="K835"/>
  <c r="R834"/>
  <c r="R847" s="1"/>
  <c r="K823"/>
  <c r="K820"/>
  <c r="K819"/>
  <c r="K818"/>
  <c r="K817"/>
  <c r="R807"/>
  <c r="R806"/>
  <c r="R805"/>
  <c r="R804"/>
  <c r="R803"/>
  <c r="R802"/>
  <c r="P801"/>
  <c r="R801" s="1"/>
  <c r="R798"/>
  <c r="R810" s="1"/>
  <c r="R789"/>
  <c r="R788"/>
  <c r="R786"/>
  <c r="R785"/>
  <c r="R784"/>
  <c r="R783"/>
  <c r="P782"/>
  <c r="R782" s="1"/>
  <c r="R779"/>
  <c r="R792" s="1"/>
  <c r="P762"/>
  <c r="R762" s="1"/>
  <c r="R769" s="1"/>
  <c r="R771" s="1"/>
  <c r="A754"/>
  <c r="R753"/>
  <c r="K752"/>
  <c r="K751"/>
  <c r="K750"/>
  <c r="I746"/>
  <c r="K746" s="1"/>
  <c r="R745"/>
  <c r="R740"/>
  <c r="K729"/>
  <c r="K728"/>
  <c r="P726"/>
  <c r="R726" s="1"/>
  <c r="P725"/>
  <c r="R725" s="1"/>
  <c r="P724"/>
  <c r="R724" s="1"/>
  <c r="K724"/>
  <c r="P723"/>
  <c r="R723" s="1"/>
  <c r="I723"/>
  <c r="K723" s="1"/>
  <c r="I722"/>
  <c r="K722" s="1"/>
  <c r="I743" s="1"/>
  <c r="K743" s="1"/>
  <c r="P721"/>
  <c r="R721" s="1"/>
  <c r="P710"/>
  <c r="R710" s="1"/>
  <c r="P709"/>
  <c r="R709" s="1"/>
  <c r="P708"/>
  <c r="R708" s="1"/>
  <c r="I708"/>
  <c r="I2362" s="1"/>
  <c r="P707"/>
  <c r="R707" s="1"/>
  <c r="I706"/>
  <c r="K706" s="1"/>
  <c r="P705"/>
  <c r="R705" s="1"/>
  <c r="P695"/>
  <c r="R695" s="1"/>
  <c r="P694"/>
  <c r="R694" s="1"/>
  <c r="P693"/>
  <c r="R693" s="1"/>
  <c r="P692"/>
  <c r="R692" s="1"/>
  <c r="P690"/>
  <c r="R690" s="1"/>
  <c r="I683"/>
  <c r="K683" s="1"/>
  <c r="I681"/>
  <c r="K681" s="1"/>
  <c r="I680"/>
  <c r="K680" s="1"/>
  <c r="P679"/>
  <c r="R679" s="1"/>
  <c r="R683" s="1"/>
  <c r="P668"/>
  <c r="R668" s="1"/>
  <c r="R672" s="1"/>
  <c r="K664"/>
  <c r="I663"/>
  <c r="K663" s="1"/>
  <c r="I662"/>
  <c r="K662" s="1"/>
  <c r="P658"/>
  <c r="R658" s="1"/>
  <c r="R662" s="1"/>
  <c r="P648"/>
  <c r="R648" s="1"/>
  <c r="R652" s="1"/>
  <c r="K645"/>
  <c r="I644"/>
  <c r="K644" s="1"/>
  <c r="I643"/>
  <c r="K643" s="1"/>
  <c r="P638"/>
  <c r="R638" s="1"/>
  <c r="P637"/>
  <c r="R637" s="1"/>
  <c r="P636"/>
  <c r="R636" s="1"/>
  <c r="P620"/>
  <c r="R620" s="1"/>
  <c r="P607"/>
  <c r="R607" s="1"/>
  <c r="C593"/>
  <c r="I590"/>
  <c r="K590" s="1"/>
  <c r="J587"/>
  <c r="J586"/>
  <c r="J585"/>
  <c r="J584"/>
  <c r="J583"/>
  <c r="I575"/>
  <c r="K575" s="1"/>
  <c r="J572"/>
  <c r="J571"/>
  <c r="J570"/>
  <c r="J569"/>
  <c r="J568"/>
  <c r="P562"/>
  <c r="R562" s="1"/>
  <c r="P561"/>
  <c r="R561" s="1"/>
  <c r="P560"/>
  <c r="R560" s="1"/>
  <c r="I559"/>
  <c r="K559" s="1"/>
  <c r="P555"/>
  <c r="R555" s="1"/>
  <c r="J547"/>
  <c r="J546"/>
  <c r="J545"/>
  <c r="J544"/>
  <c r="J543"/>
  <c r="R537"/>
  <c r="P532"/>
  <c r="R532" s="1"/>
  <c r="P531"/>
  <c r="R531" s="1"/>
  <c r="J531"/>
  <c r="J530"/>
  <c r="P529"/>
  <c r="R529" s="1"/>
  <c r="J529"/>
  <c r="J528"/>
  <c r="J527"/>
  <c r="R517"/>
  <c r="P512"/>
  <c r="R512" s="1"/>
  <c r="P511"/>
  <c r="R511" s="1"/>
  <c r="P509"/>
  <c r="R509" s="1"/>
  <c r="R499"/>
  <c r="P494"/>
  <c r="R494" s="1"/>
  <c r="P493"/>
  <c r="R493" s="1"/>
  <c r="P491"/>
  <c r="R491" s="1"/>
  <c r="I484"/>
  <c r="K484" s="1"/>
  <c r="P476"/>
  <c r="R476" s="1"/>
  <c r="P475"/>
  <c r="R475" s="1"/>
  <c r="P474"/>
  <c r="R474" s="1"/>
  <c r="P469"/>
  <c r="R469" s="1"/>
  <c r="P458"/>
  <c r="R458" s="1"/>
  <c r="P457"/>
  <c r="R457" s="1"/>
  <c r="P456"/>
  <c r="R456" s="1"/>
  <c r="P451"/>
  <c r="R451" s="1"/>
  <c r="P440"/>
  <c r="R440" s="1"/>
  <c r="P439"/>
  <c r="R439" s="1"/>
  <c r="P438"/>
  <c r="R438" s="1"/>
  <c r="P432"/>
  <c r="R432" s="1"/>
  <c r="H409"/>
  <c r="F409"/>
  <c r="H407"/>
  <c r="H378"/>
  <c r="F378"/>
  <c r="H376"/>
  <c r="P366"/>
  <c r="R366" s="1"/>
  <c r="F355"/>
  <c r="H354"/>
  <c r="F354"/>
  <c r="H352"/>
  <c r="F335"/>
  <c r="H334"/>
  <c r="F334"/>
  <c r="H332"/>
  <c r="H310"/>
  <c r="K256"/>
  <c r="K255"/>
  <c r="K244"/>
  <c r="I240"/>
  <c r="K240" s="1"/>
  <c r="P218"/>
  <c r="R218" s="1"/>
  <c r="P217"/>
  <c r="R217" s="1"/>
  <c r="P216"/>
  <c r="R216" s="1"/>
  <c r="P215"/>
  <c r="R215" s="1"/>
  <c r="P214"/>
  <c r="R214" s="1"/>
  <c r="P213"/>
  <c r="R213" s="1"/>
  <c r="P211"/>
  <c r="R211" s="1"/>
  <c r="K185"/>
  <c r="I184"/>
  <c r="K184" s="1"/>
  <c r="K156"/>
  <c r="I154"/>
  <c r="K154" s="1"/>
  <c r="I152"/>
  <c r="K152" s="1"/>
  <c r="C141"/>
  <c r="C67"/>
  <c r="I270" s="1"/>
  <c r="K270" s="1"/>
  <c r="C66"/>
  <c r="D61"/>
  <c r="I123" s="1"/>
  <c r="K123" s="1"/>
  <c r="K126" s="1"/>
  <c r="K128" s="1"/>
  <c r="K129" s="1"/>
  <c r="C61"/>
  <c r="K132" s="1"/>
  <c r="K133" s="1"/>
  <c r="C41"/>
  <c r="P513" s="1"/>
  <c r="R513" s="1"/>
  <c r="D40"/>
  <c r="I1490" s="1"/>
  <c r="K1490" s="1"/>
  <c r="AC38"/>
  <c r="I243" s="1"/>
  <c r="K243" s="1"/>
  <c r="AK36"/>
  <c r="AK35"/>
  <c r="W35"/>
  <c r="C35"/>
  <c r="I1683" s="1"/>
  <c r="K1683" s="1"/>
  <c r="AK34"/>
  <c r="Y34"/>
  <c r="W34"/>
  <c r="AK33"/>
  <c r="AC33"/>
  <c r="C139" s="1"/>
  <c r="D33"/>
  <c r="I2172" s="1"/>
  <c r="K2172" s="1"/>
  <c r="AK32"/>
  <c r="AC32"/>
  <c r="I2694" s="1"/>
  <c r="K2694" s="1"/>
  <c r="D32"/>
  <c r="I1061" s="1"/>
  <c r="K1061" s="1"/>
  <c r="AK31"/>
  <c r="D31"/>
  <c r="C31"/>
  <c r="AK30"/>
  <c r="AC30"/>
  <c r="C136" s="1"/>
  <c r="I1168" s="1"/>
  <c r="K1168" s="1"/>
  <c r="D30"/>
  <c r="C30"/>
  <c r="AK29"/>
  <c r="W29"/>
  <c r="C29"/>
  <c r="I1184" s="1"/>
  <c r="K1184" s="1"/>
  <c r="AK28"/>
  <c r="AC28"/>
  <c r="C90" s="1"/>
  <c r="AK27"/>
  <c r="AC27"/>
  <c r="C89" s="1"/>
  <c r="C27"/>
  <c r="I1688" s="1"/>
  <c r="K1688" s="1"/>
  <c r="AK26"/>
  <c r="AC26"/>
  <c r="C88" s="1"/>
  <c r="C26"/>
  <c r="P450" s="1"/>
  <c r="R450" s="1"/>
  <c r="AK25"/>
  <c r="AC25"/>
  <c r="C87" s="1"/>
  <c r="I2166" s="1"/>
  <c r="K2166" s="1"/>
  <c r="C25"/>
  <c r="I783" s="1"/>
  <c r="K783" s="1"/>
  <c r="AK24"/>
  <c r="AC24"/>
  <c r="C86" s="1"/>
  <c r="AK23"/>
  <c r="Z23"/>
  <c r="AC23" s="1"/>
  <c r="C85" s="1"/>
  <c r="X23"/>
  <c r="AK22"/>
  <c r="AC22"/>
  <c r="C84" s="1"/>
  <c r="I1421" s="1"/>
  <c r="K1421" s="1"/>
  <c r="AK21"/>
  <c r="AC21"/>
  <c r="C83" s="1"/>
  <c r="I1285" s="1"/>
  <c r="K1285" s="1"/>
  <c r="X21"/>
  <c r="AK20"/>
  <c r="W20"/>
  <c r="AK19"/>
  <c r="Z19"/>
  <c r="Z20" s="1"/>
  <c r="AC20" s="1"/>
  <c r="X19"/>
  <c r="X20" s="1"/>
  <c r="W19"/>
  <c r="AK18"/>
  <c r="Z18"/>
  <c r="Z29" s="1"/>
  <c r="Z34" s="1"/>
  <c r="X18"/>
  <c r="X29" s="1"/>
  <c r="I18"/>
  <c r="K18" s="1"/>
  <c r="C18"/>
  <c r="I74" s="1"/>
  <c r="K74" s="1"/>
  <c r="AK17"/>
  <c r="D17"/>
  <c r="C17"/>
  <c r="AK16"/>
  <c r="Z16"/>
  <c r="Z17" s="1"/>
  <c r="AC17" s="1"/>
  <c r="X16"/>
  <c r="X17" s="1"/>
  <c r="D16"/>
  <c r="C16"/>
  <c r="AK15"/>
  <c r="W15"/>
  <c r="C15"/>
  <c r="AK14"/>
  <c r="W14"/>
  <c r="D14"/>
  <c r="C14"/>
  <c r="AK13"/>
  <c r="W13"/>
  <c r="W37" s="1"/>
  <c r="C13"/>
  <c r="P516" s="1"/>
  <c r="R516" s="1"/>
  <c r="AK12"/>
  <c r="W12"/>
  <c r="W36" s="1"/>
  <c r="C12"/>
  <c r="P515" s="1"/>
  <c r="R515" s="1"/>
  <c r="AK11"/>
  <c r="X11"/>
  <c r="X12" s="1"/>
  <c r="X13" s="1"/>
  <c r="X14" s="1"/>
  <c r="X15" s="1"/>
  <c r="P11"/>
  <c r="R11" s="1"/>
  <c r="C11"/>
  <c r="I498" s="1"/>
  <c r="K498"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AK10"/>
  <c r="W10"/>
  <c r="C10"/>
  <c r="I519" s="1"/>
  <c r="K519" s="1"/>
  <c r="AK9"/>
  <c r="Z9"/>
  <c r="Z10" s="1"/>
  <c r="X9"/>
  <c r="X10" s="1"/>
  <c r="AK8"/>
  <c r="AG6"/>
  <c r="W3"/>
  <c r="U3"/>
  <c r="Q3"/>
  <c r="O3"/>
  <c r="J3"/>
  <c r="H3"/>
  <c r="G146" i="21"/>
  <c r="A148" s="1"/>
  <c r="F139"/>
  <c r="F135"/>
  <c r="G131"/>
  <c r="A133" s="1"/>
  <c r="A134" s="1"/>
  <c r="F134" s="1"/>
  <c r="E96"/>
  <c r="E156" s="1"/>
  <c r="G156" s="1"/>
  <c r="E90"/>
  <c r="E150" s="1"/>
  <c r="E89"/>
  <c r="E149" s="1"/>
  <c r="E88"/>
  <c r="E148" s="1"/>
  <c r="G86"/>
  <c r="A88" s="1"/>
  <c r="A89" s="1"/>
  <c r="F79"/>
  <c r="F75"/>
  <c r="G71"/>
  <c r="A73" s="1"/>
  <c r="A74" s="1"/>
  <c r="F74" s="1"/>
  <c r="D53"/>
  <c r="D116" s="1"/>
  <c r="D52"/>
  <c r="D115" s="1"/>
  <c r="D51"/>
  <c r="D114" s="1"/>
  <c r="F114" s="1"/>
  <c r="D50"/>
  <c r="D113" s="1"/>
  <c r="D49"/>
  <c r="D112" s="1"/>
  <c r="D48"/>
  <c r="D47"/>
  <c r="D110" s="1"/>
  <c r="F110" s="1"/>
  <c r="D46"/>
  <c r="D109" s="1"/>
  <c r="F109" s="1"/>
  <c r="D45"/>
  <c r="D108" s="1"/>
  <c r="F108" s="1"/>
  <c r="A45"/>
  <c r="D44"/>
  <c r="D107" s="1"/>
  <c r="F107" s="1"/>
  <c r="D43"/>
  <c r="D106" s="1"/>
  <c r="F106" s="1"/>
  <c r="D42"/>
  <c r="F42" s="1"/>
  <c r="H42" s="1"/>
  <c r="D41"/>
  <c r="E33"/>
  <c r="G33" s="1"/>
  <c r="G35" s="1"/>
  <c r="G32"/>
  <c r="M31"/>
  <c r="I27"/>
  <c r="I26"/>
  <c r="I25"/>
  <c r="E25"/>
  <c r="A24"/>
  <c r="A25" s="1"/>
  <c r="F15"/>
  <c r="F11"/>
  <c r="A9"/>
  <c r="A10" s="1"/>
  <c r="F10" s="1"/>
  <c r="E156" i="18"/>
  <c r="G156" s="1"/>
  <c r="E150"/>
  <c r="G146"/>
  <c r="A148" s="1"/>
  <c r="A149" s="1"/>
  <c r="F139"/>
  <c r="F135"/>
  <c r="G131"/>
  <c r="A133" s="1"/>
  <c r="A134" s="1"/>
  <c r="F134" s="1"/>
  <c r="E97"/>
  <c r="G97" s="1"/>
  <c r="G96"/>
  <c r="E89"/>
  <c r="E149" s="1"/>
  <c r="G86"/>
  <c r="A88" s="1"/>
  <c r="A89" s="1"/>
  <c r="F79"/>
  <c r="F75"/>
  <c r="G71"/>
  <c r="A73" s="1"/>
  <c r="A74" s="1"/>
  <c r="F74" s="1"/>
  <c r="H60"/>
  <c r="G60"/>
  <c r="F60"/>
  <c r="E60"/>
  <c r="D60"/>
  <c r="C60"/>
  <c r="B60"/>
  <c r="A60"/>
  <c r="H59"/>
  <c r="G59"/>
  <c r="F59"/>
  <c r="E59"/>
  <c r="D59"/>
  <c r="C59"/>
  <c r="B59"/>
  <c r="A59"/>
  <c r="H58"/>
  <c r="G58"/>
  <c r="F58"/>
  <c r="E58"/>
  <c r="D58"/>
  <c r="C58"/>
  <c r="B58"/>
  <c r="A58"/>
  <c r="H57"/>
  <c r="G57"/>
  <c r="F57"/>
  <c r="E57"/>
  <c r="D57"/>
  <c r="C57"/>
  <c r="B57"/>
  <c r="A57"/>
  <c r="H56"/>
  <c r="G56"/>
  <c r="F56"/>
  <c r="E56"/>
  <c r="D56"/>
  <c r="C56"/>
  <c r="B56"/>
  <c r="A56"/>
  <c r="H55"/>
  <c r="G55"/>
  <c r="F55"/>
  <c r="E55"/>
  <c r="D55"/>
  <c r="C55"/>
  <c r="B55"/>
  <c r="A55"/>
  <c r="H54"/>
  <c r="E73" s="1"/>
  <c r="G54"/>
  <c r="F54"/>
  <c r="E54"/>
  <c r="D54"/>
  <c r="C54"/>
  <c r="B54"/>
  <c r="A54"/>
  <c r="H53"/>
  <c r="G53"/>
  <c r="F53"/>
  <c r="E53"/>
  <c r="D53"/>
  <c r="D116" s="1"/>
  <c r="C53"/>
  <c r="B53"/>
  <c r="A53"/>
  <c r="H52"/>
  <c r="G52"/>
  <c r="F52"/>
  <c r="E52"/>
  <c r="D52"/>
  <c r="D115" s="1"/>
  <c r="C52"/>
  <c r="B52"/>
  <c r="A52"/>
  <c r="H51"/>
  <c r="G51"/>
  <c r="F51"/>
  <c r="E51"/>
  <c r="D51"/>
  <c r="D114" s="1"/>
  <c r="F114" s="1"/>
  <c r="C51"/>
  <c r="B51"/>
  <c r="A51"/>
  <c r="H50"/>
  <c r="G50"/>
  <c r="F50"/>
  <c r="E50"/>
  <c r="D50"/>
  <c r="D113" s="1"/>
  <c r="C50"/>
  <c r="B50"/>
  <c r="A50"/>
  <c r="H49"/>
  <c r="G49"/>
  <c r="F49"/>
  <c r="E49"/>
  <c r="D49"/>
  <c r="D112" s="1"/>
  <c r="C49"/>
  <c r="B49"/>
  <c r="A49"/>
  <c r="H48"/>
  <c r="G48"/>
  <c r="F48"/>
  <c r="E48"/>
  <c r="D48"/>
  <c r="D111" s="1"/>
  <c r="F111" s="1"/>
  <c r="C48"/>
  <c r="B48"/>
  <c r="A48"/>
  <c r="H47"/>
  <c r="G47"/>
  <c r="F47"/>
  <c r="E47"/>
  <c r="D47"/>
  <c r="D110" s="1"/>
  <c r="F110" s="1"/>
  <c r="C47"/>
  <c r="B47"/>
  <c r="A47"/>
  <c r="H46"/>
  <c r="G46"/>
  <c r="F46"/>
  <c r="E46"/>
  <c r="D46"/>
  <c r="D109" s="1"/>
  <c r="F109" s="1"/>
  <c r="C46"/>
  <c r="B46"/>
  <c r="A46"/>
  <c r="H45"/>
  <c r="G45"/>
  <c r="F45"/>
  <c r="E45"/>
  <c r="D45"/>
  <c r="D108" s="1"/>
  <c r="F108" s="1"/>
  <c r="C45"/>
  <c r="B45"/>
  <c r="A45"/>
  <c r="H44"/>
  <c r="G44"/>
  <c r="F44"/>
  <c r="E44"/>
  <c r="D44"/>
  <c r="D107" s="1"/>
  <c r="F107" s="1"/>
  <c r="C44"/>
  <c r="B44"/>
  <c r="A44"/>
  <c r="H43"/>
  <c r="G43"/>
  <c r="F43"/>
  <c r="E43"/>
  <c r="D43"/>
  <c r="D106" s="1"/>
  <c r="F106" s="1"/>
  <c r="C43"/>
  <c r="B43"/>
  <c r="A43"/>
  <c r="H42"/>
  <c r="G42"/>
  <c r="F42"/>
  <c r="E42"/>
  <c r="D42"/>
  <c r="D105" s="1"/>
  <c r="F105" s="1"/>
  <c r="C42"/>
  <c r="B42"/>
  <c r="A42"/>
  <c r="H41"/>
  <c r="G41"/>
  <c r="F41"/>
  <c r="E41"/>
  <c r="D41"/>
  <c r="D104" s="1"/>
  <c r="F104" s="1"/>
  <c r="C41"/>
  <c r="B41"/>
  <c r="A41"/>
  <c r="H40"/>
  <c r="G40"/>
  <c r="F40"/>
  <c r="E40"/>
  <c r="D40"/>
  <c r="C40"/>
  <c r="B40"/>
  <c r="A40"/>
  <c r="G33"/>
  <c r="G32"/>
  <c r="M31"/>
  <c r="I27"/>
  <c r="I26"/>
  <c r="I25"/>
  <c r="E25"/>
  <c r="E24"/>
  <c r="E88" s="1"/>
  <c r="E148" s="1"/>
  <c r="A24"/>
  <c r="A25" s="1"/>
  <c r="A26" s="1"/>
  <c r="F26" s="1"/>
  <c r="F15"/>
  <c r="F11"/>
  <c r="A9"/>
  <c r="A10" s="1"/>
  <c r="F10" s="1"/>
  <c r="Q1276" i="16"/>
  <c r="J1276"/>
  <c r="Q1275"/>
  <c r="J1275"/>
  <c r="Q1274"/>
  <c r="J1274"/>
  <c r="Q1273"/>
  <c r="J1273"/>
  <c r="Q1272"/>
  <c r="J1272"/>
  <c r="G1266"/>
  <c r="Y1262"/>
  <c r="Z1262" s="1"/>
  <c r="Y1261"/>
  <c r="Z1261" s="1"/>
  <c r="Y1260"/>
  <c r="Z1260" s="1"/>
  <c r="Y1259"/>
  <c r="Z1259" s="1"/>
  <c r="Y1258"/>
  <c r="Z1258" s="1"/>
  <c r="Y1257"/>
  <c r="Z1257" s="1"/>
  <c r="Y1256"/>
  <c r="Z1256" s="1"/>
  <c r="Y1255"/>
  <c r="Z1255" s="1"/>
  <c r="Y1254"/>
  <c r="Z1254" s="1"/>
  <c r="Y1253"/>
  <c r="Z1253" s="1"/>
  <c r="G1253"/>
  <c r="Y1252"/>
  <c r="Z1252" s="1"/>
  <c r="G1252"/>
  <c r="Y1251"/>
  <c r="Z1251" s="1"/>
  <c r="Y1250"/>
  <c r="Z1250" s="1"/>
  <c r="V1250"/>
  <c r="W1250" s="1"/>
  <c r="Y1249"/>
  <c r="Z1249" s="1"/>
  <c r="Y1248"/>
  <c r="Z1248" s="1"/>
  <c r="Y1247"/>
  <c r="Z1247" s="1"/>
  <c r="Y1246"/>
  <c r="Z1246" s="1"/>
  <c r="Y1245"/>
  <c r="Z1245" s="1"/>
  <c r="Y1244"/>
  <c r="Z1244" s="1"/>
  <c r="G1244"/>
  <c r="Y1243"/>
  <c r="Z1243" s="1"/>
  <c r="G1243"/>
  <c r="Y1242"/>
  <c r="Z1242" s="1"/>
  <c r="G1242"/>
  <c r="Y1241"/>
  <c r="Z1241" s="1"/>
  <c r="Y1240"/>
  <c r="Z1240" s="1"/>
  <c r="Y1239"/>
  <c r="Z1239" s="1"/>
  <c r="W1239"/>
  <c r="Y1238"/>
  <c r="Z1238" s="1"/>
  <c r="Y1237"/>
  <c r="Z1237" s="1"/>
  <c r="Y1236"/>
  <c r="Z1236" s="1"/>
  <c r="V1236"/>
  <c r="W1236" s="1"/>
  <c r="Y1235"/>
  <c r="Z1235" s="1"/>
  <c r="V1235"/>
  <c r="W1235" s="1"/>
  <c r="Y1234"/>
  <c r="Z1234" s="1"/>
  <c r="V1234"/>
  <c r="W1234" s="1"/>
  <c r="Y1233"/>
  <c r="Z1233" s="1"/>
  <c r="V1233"/>
  <c r="W1233" s="1"/>
  <c r="Y1232"/>
  <c r="Z1232" s="1"/>
  <c r="V1232"/>
  <c r="W1232" s="1"/>
  <c r="Y1231"/>
  <c r="Z1231" s="1"/>
  <c r="V1231"/>
  <c r="W1231" s="1"/>
  <c r="Y1230"/>
  <c r="Z1230" s="1"/>
  <c r="V1230"/>
  <c r="W1230" s="1"/>
  <c r="Y1229"/>
  <c r="Z1229" s="1"/>
  <c r="V1229"/>
  <c r="W1229" s="1"/>
  <c r="Y1228"/>
  <c r="Z1228" s="1"/>
  <c r="V1228"/>
  <c r="W1228" s="1"/>
  <c r="Y1227"/>
  <c r="Z1227" s="1"/>
  <c r="V1227"/>
  <c r="W1227" s="1"/>
  <c r="Y1226"/>
  <c r="Z1226" s="1"/>
  <c r="W1226"/>
  <c r="Y1225"/>
  <c r="Z1225" s="1"/>
  <c r="W1225"/>
  <c r="G1225"/>
  <c r="W1224" s="1"/>
  <c r="Y1224"/>
  <c r="Z1224" s="1"/>
  <c r="Y1223"/>
  <c r="Z1223" s="1"/>
  <c r="V1223"/>
  <c r="W1223" s="1"/>
  <c r="G1223"/>
  <c r="Y1222"/>
  <c r="Z1222" s="1"/>
  <c r="V1222"/>
  <c r="G1222"/>
  <c r="W1221" s="1"/>
  <c r="Y1221"/>
  <c r="Z1221" s="1"/>
  <c r="G1221"/>
  <c r="Y1220"/>
  <c r="Z1220" s="1"/>
  <c r="V1220"/>
  <c r="G1220"/>
  <c r="W1190" s="1"/>
  <c r="Y1219"/>
  <c r="Z1219" s="1"/>
  <c r="Y1218"/>
  <c r="Z1218" s="1"/>
  <c r="Y1217"/>
  <c r="Z1217" s="1"/>
  <c r="Y1216"/>
  <c r="Z1216" s="1"/>
  <c r="Y1215"/>
  <c r="Z1215" s="1"/>
  <c r="Y1214"/>
  <c r="Z1214" s="1"/>
  <c r="Y1213"/>
  <c r="Z1213" s="1"/>
  <c r="Y1212"/>
  <c r="Z1212" s="1"/>
  <c r="G1212"/>
  <c r="Y1211"/>
  <c r="Z1211" s="1"/>
  <c r="G1211"/>
  <c r="Y1210"/>
  <c r="Z1210" s="1"/>
  <c r="G1210"/>
  <c r="Y1209"/>
  <c r="Z1209" s="1"/>
  <c r="Y1208"/>
  <c r="Z1208" s="1"/>
  <c r="Y1207"/>
  <c r="Z1207" s="1"/>
  <c r="Y1206"/>
  <c r="Z1206" s="1"/>
  <c r="Y1205"/>
  <c r="Z1205" s="1"/>
  <c r="Y1204"/>
  <c r="Z1204" s="1"/>
  <c r="Y1203"/>
  <c r="Z1203" s="1"/>
  <c r="Y1202"/>
  <c r="Z1202" s="1"/>
  <c r="Y1201"/>
  <c r="Z1201" s="1"/>
  <c r="Y1200"/>
  <c r="Z1200" s="1"/>
  <c r="Y1199"/>
  <c r="Z1199" s="1"/>
  <c r="Y1198"/>
  <c r="Z1198" s="1"/>
  <c r="Y1197"/>
  <c r="Z1197" s="1"/>
  <c r="Y1196"/>
  <c r="Z1196" s="1"/>
  <c r="Y1195"/>
  <c r="Z1195" s="1"/>
  <c r="Y1194"/>
  <c r="Z1194" s="1"/>
  <c r="Y1193"/>
  <c r="Z1193" s="1"/>
  <c r="Y1192"/>
  <c r="Z1192" s="1"/>
  <c r="Y1191"/>
  <c r="Z1191" s="1"/>
  <c r="Y1190"/>
  <c r="Z1190" s="1"/>
  <c r="Y1189"/>
  <c r="Z1189" s="1"/>
  <c r="W1189"/>
  <c r="Y1188"/>
  <c r="Z1188" s="1"/>
  <c r="W1188"/>
  <c r="Y1187"/>
  <c r="Z1187" s="1"/>
  <c r="W1187"/>
  <c r="Y1186"/>
  <c r="Z1186" s="1"/>
  <c r="W1186"/>
  <c r="Y1185"/>
  <c r="Z1185" s="1"/>
  <c r="W1185"/>
  <c r="Y1184"/>
  <c r="Z1184" s="1"/>
  <c r="W1184"/>
  <c r="Y1183"/>
  <c r="Z1183" s="1"/>
  <c r="W1183"/>
  <c r="Y1182"/>
  <c r="Z1182" s="1"/>
  <c r="V1182"/>
  <c r="W1182" s="1"/>
  <c r="Y1181"/>
  <c r="Z1181" s="1"/>
  <c r="W1181"/>
  <c r="G1181"/>
  <c r="W1180" s="1"/>
  <c r="Y1180"/>
  <c r="Z1180" s="1"/>
  <c r="G1180"/>
  <c r="W1179" s="1"/>
  <c r="Y1179"/>
  <c r="Z1179" s="1"/>
  <c r="G1179"/>
  <c r="W1178" s="1"/>
  <c r="Y1178"/>
  <c r="Z1178" s="1"/>
  <c r="G1178"/>
  <c r="W1177" s="1"/>
  <c r="Y1177"/>
  <c r="Z1177" s="1"/>
  <c r="G1177"/>
  <c r="W1176" s="1"/>
  <c r="Y1176"/>
  <c r="Z1176" s="1"/>
  <c r="G1176"/>
  <c r="W1175" s="1"/>
  <c r="Y1175"/>
  <c r="Z1175" s="1"/>
  <c r="Y1174"/>
  <c r="Z1174" s="1"/>
  <c r="W1174"/>
  <c r="G1174"/>
  <c r="B1174"/>
  <c r="D1174" s="1"/>
  <c r="Y1173"/>
  <c r="Z1173" s="1"/>
  <c r="V1173"/>
  <c r="G1173"/>
  <c r="W1172" s="1"/>
  <c r="B1173"/>
  <c r="D1173" s="1"/>
  <c r="Y1172"/>
  <c r="Z1172" s="1"/>
  <c r="G1172"/>
  <c r="W1171" s="1"/>
  <c r="D1172"/>
  <c r="Y1171"/>
  <c r="Z1171" s="1"/>
  <c r="G1171"/>
  <c r="W1170" s="1"/>
  <c r="D1171"/>
  <c r="Y1170"/>
  <c r="Z1170" s="1"/>
  <c r="G1170"/>
  <c r="W1169" s="1"/>
  <c r="D1170"/>
  <c r="Y1169"/>
  <c r="Z1169" s="1"/>
  <c r="G1169"/>
  <c r="W1168" s="1"/>
  <c r="D1169"/>
  <c r="Y1168"/>
  <c r="Z1168" s="1"/>
  <c r="G1168"/>
  <c r="W1167" s="1"/>
  <c r="D1168"/>
  <c r="Y1167"/>
  <c r="Z1167" s="1"/>
  <c r="G1167"/>
  <c r="W1166" s="1"/>
  <c r="D1167"/>
  <c r="Y1166"/>
  <c r="Z1166" s="1"/>
  <c r="G1166"/>
  <c r="W1165" s="1"/>
  <c r="D1166"/>
  <c r="Y1165"/>
  <c r="Z1165" s="1"/>
  <c r="G1165"/>
  <c r="W1164" s="1"/>
  <c r="D1165"/>
  <c r="Y1164"/>
  <c r="Z1164" s="1"/>
  <c r="G1164"/>
  <c r="W1163" s="1"/>
  <c r="D1164"/>
  <c r="Y1163"/>
  <c r="Z1163" s="1"/>
  <c r="G1163"/>
  <c r="W1162" s="1"/>
  <c r="D1163"/>
  <c r="Y1162"/>
  <c r="Z1162" s="1"/>
  <c r="G1162"/>
  <c r="W1161" s="1"/>
  <c r="D1162"/>
  <c r="Y1161"/>
  <c r="Z1161" s="1"/>
  <c r="D1161"/>
  <c r="Y1160"/>
  <c r="Z1160" s="1"/>
  <c r="G1160"/>
  <c r="W1159" s="1"/>
  <c r="D1160"/>
  <c r="Y1159"/>
  <c r="Z1159" s="1"/>
  <c r="G1159"/>
  <c r="W1158" s="1"/>
  <c r="D1159"/>
  <c r="Y1158"/>
  <c r="Z1158" s="1"/>
  <c r="G1158"/>
  <c r="W1157" s="1"/>
  <c r="D1158"/>
  <c r="Y1157"/>
  <c r="Z1157" s="1"/>
  <c r="G1157"/>
  <c r="W1156" s="1"/>
  <c r="D1157"/>
  <c r="Y1156"/>
  <c r="Z1156" s="1"/>
  <c r="G1156"/>
  <c r="W1155" s="1"/>
  <c r="D1156"/>
  <c r="Y1155"/>
  <c r="Z1155" s="1"/>
  <c r="G1155"/>
  <c r="W1154" s="1"/>
  <c r="D1155"/>
  <c r="Y1154"/>
  <c r="Z1154" s="1"/>
  <c r="G1154"/>
  <c r="W1153" s="1"/>
  <c r="D1154"/>
  <c r="Y1153"/>
  <c r="Z1153" s="1"/>
  <c r="G1153"/>
  <c r="W1152" s="1"/>
  <c r="D1153"/>
  <c r="Y1152"/>
  <c r="Z1152" s="1"/>
  <c r="G1152"/>
  <c r="W1151" s="1"/>
  <c r="D1152"/>
  <c r="Y1151"/>
  <c r="Z1151" s="1"/>
  <c r="G1151"/>
  <c r="W1150" s="1"/>
  <c r="D1151"/>
  <c r="Y1150"/>
  <c r="Z1150" s="1"/>
  <c r="G1150"/>
  <c r="W1149" s="1"/>
  <c r="D1150"/>
  <c r="Y1149"/>
  <c r="Z1149" s="1"/>
  <c r="G1149"/>
  <c r="W1148" s="1"/>
  <c r="D1149"/>
  <c r="Y1148"/>
  <c r="Z1148" s="1"/>
  <c r="G1148"/>
  <c r="W1147" s="1"/>
  <c r="D1148"/>
  <c r="Y1147"/>
  <c r="Z1147" s="1"/>
  <c r="G1147"/>
  <c r="W1146" s="1"/>
  <c r="D1147"/>
  <c r="Y1146"/>
  <c r="Z1146" s="1"/>
  <c r="G1146"/>
  <c r="W1145" s="1"/>
  <c r="D1146"/>
  <c r="Y1145"/>
  <c r="Z1145" s="1"/>
  <c r="G1145"/>
  <c r="W1144" s="1"/>
  <c r="D1145"/>
  <c r="Y1144"/>
  <c r="Z1144" s="1"/>
  <c r="G1144"/>
  <c r="W1143" s="1"/>
  <c r="D1144"/>
  <c r="Y1143"/>
  <c r="Z1143" s="1"/>
  <c r="G1143"/>
  <c r="W1142" s="1"/>
  <c r="D1143"/>
  <c r="Y1142"/>
  <c r="Z1142" s="1"/>
  <c r="G1142"/>
  <c r="W1141" s="1"/>
  <c r="D1142"/>
  <c r="Y1141"/>
  <c r="Z1141" s="1"/>
  <c r="G1141"/>
  <c r="G773" s="1"/>
  <c r="W772" s="1"/>
  <c r="D1141"/>
  <c r="Y1140"/>
  <c r="Z1140" s="1"/>
  <c r="G1140"/>
  <c r="W1139" s="1"/>
  <c r="D1140"/>
  <c r="Y1139"/>
  <c r="Z1139" s="1"/>
  <c r="G1139"/>
  <c r="W1138" s="1"/>
  <c r="D1139"/>
  <c r="Y1138"/>
  <c r="Z1138" s="1"/>
  <c r="G1138"/>
  <c r="W1137" s="1"/>
  <c r="D1138"/>
  <c r="Y1137"/>
  <c r="Z1137" s="1"/>
  <c r="G1137"/>
  <c r="W1136" s="1"/>
  <c r="D1137"/>
  <c r="Y1136"/>
  <c r="Z1136" s="1"/>
  <c r="G1136"/>
  <c r="W1135" s="1"/>
  <c r="D1136"/>
  <c r="Y1135"/>
  <c r="Z1135" s="1"/>
  <c r="G1135"/>
  <c r="W1134" s="1"/>
  <c r="D1135"/>
  <c r="Y1134"/>
  <c r="Z1134" s="1"/>
  <c r="G1134"/>
  <c r="W1133" s="1"/>
  <c r="D1134"/>
  <c r="Y1133"/>
  <c r="Z1133" s="1"/>
  <c r="G1133"/>
  <c r="W1132" s="1"/>
  <c r="D1133"/>
  <c r="Y1132"/>
  <c r="Z1132" s="1"/>
  <c r="G1132"/>
  <c r="W1131" s="1"/>
  <c r="D1132"/>
  <c r="Y1131"/>
  <c r="Z1131" s="1"/>
  <c r="G1131"/>
  <c r="W1130" s="1"/>
  <c r="D1131"/>
  <c r="Y1130"/>
  <c r="Z1130" s="1"/>
  <c r="G1130"/>
  <c r="W1129" s="1"/>
  <c r="D1130"/>
  <c r="Y1129"/>
  <c r="Z1129" s="1"/>
  <c r="G1129"/>
  <c r="W1128" s="1"/>
  <c r="D1129"/>
  <c r="Y1128"/>
  <c r="Z1128" s="1"/>
  <c r="G1128"/>
  <c r="W1127" s="1"/>
  <c r="D1128"/>
  <c r="Y1127"/>
  <c r="Z1127" s="1"/>
  <c r="G1127"/>
  <c r="W1126" s="1"/>
  <c r="D1127"/>
  <c r="Y1126"/>
  <c r="Z1126" s="1"/>
  <c r="G1126"/>
  <c r="W1125" s="1"/>
  <c r="D1126"/>
  <c r="Y1125"/>
  <c r="Z1125" s="1"/>
  <c r="G1125"/>
  <c r="W1124" s="1"/>
  <c r="D1125"/>
  <c r="Y1124"/>
  <c r="Z1124" s="1"/>
  <c r="G1124"/>
  <c r="W1123" s="1"/>
  <c r="D1124"/>
  <c r="Y1123"/>
  <c r="Z1123" s="1"/>
  <c r="G1123"/>
  <c r="W1122" s="1"/>
  <c r="D1123"/>
  <c r="Y1122"/>
  <c r="Z1122" s="1"/>
  <c r="G1122"/>
  <c r="W1121" s="1"/>
  <c r="D1122"/>
  <c r="Y1121"/>
  <c r="Z1121" s="1"/>
  <c r="G1121"/>
  <c r="W1120" s="1"/>
  <c r="D1121"/>
  <c r="Y1120"/>
  <c r="Z1120" s="1"/>
  <c r="G1120"/>
  <c r="W1119" s="1"/>
  <c r="D1120"/>
  <c r="Y1119"/>
  <c r="Z1119" s="1"/>
  <c r="G1119"/>
  <c r="W1118" s="1"/>
  <c r="D1119"/>
  <c r="Y1118"/>
  <c r="Z1118" s="1"/>
  <c r="G1118"/>
  <c r="W1117" s="1"/>
  <c r="D1118"/>
  <c r="Y1117"/>
  <c r="Z1117" s="1"/>
  <c r="G1117"/>
  <c r="W1116" s="1"/>
  <c r="D1117"/>
  <c r="Y1116"/>
  <c r="Z1116" s="1"/>
  <c r="G1116"/>
  <c r="W1115" s="1"/>
  <c r="D1116"/>
  <c r="Y1115"/>
  <c r="Z1115" s="1"/>
  <c r="G1115"/>
  <c r="W1114" s="1"/>
  <c r="D1115"/>
  <c r="Y1114"/>
  <c r="Z1114" s="1"/>
  <c r="G1114"/>
  <c r="W1113" s="1"/>
  <c r="D1114"/>
  <c r="Y1113"/>
  <c r="Z1113" s="1"/>
  <c r="G1113"/>
  <c r="W1112" s="1"/>
  <c r="D1113"/>
  <c r="Y1112"/>
  <c r="Z1112" s="1"/>
  <c r="G1112"/>
  <c r="W1111" s="1"/>
  <c r="D1112"/>
  <c r="Y1111"/>
  <c r="Z1111" s="1"/>
  <c r="G1111"/>
  <c r="W1110" s="1"/>
  <c r="D1111"/>
  <c r="Y1110"/>
  <c r="Z1110" s="1"/>
  <c r="G1110"/>
  <c r="W1109" s="1"/>
  <c r="D1110"/>
  <c r="Y1109"/>
  <c r="Z1109" s="1"/>
  <c r="G1109"/>
  <c r="W1108" s="1"/>
  <c r="D1109"/>
  <c r="Y1108"/>
  <c r="Z1108" s="1"/>
  <c r="G1108"/>
  <c r="W1107" s="1"/>
  <c r="D1108"/>
  <c r="Y1107"/>
  <c r="Z1107" s="1"/>
  <c r="G1107"/>
  <c r="W1106" s="1"/>
  <c r="D1107"/>
  <c r="Y1106"/>
  <c r="Z1106" s="1"/>
  <c r="G1106"/>
  <c r="W1105" s="1"/>
  <c r="D1106"/>
  <c r="Y1105"/>
  <c r="Z1105" s="1"/>
  <c r="G1105"/>
  <c r="W1104" s="1"/>
  <c r="D1105"/>
  <c r="Y1104"/>
  <c r="Z1104" s="1"/>
  <c r="G1104"/>
  <c r="W1103" s="1"/>
  <c r="D1104"/>
  <c r="Y1103"/>
  <c r="Z1103" s="1"/>
  <c r="G1103"/>
  <c r="W1102" s="1"/>
  <c r="D1103"/>
  <c r="Y1102"/>
  <c r="Z1102" s="1"/>
  <c r="G1102"/>
  <c r="W1101" s="1"/>
  <c r="D1102"/>
  <c r="Y1101"/>
  <c r="Z1101" s="1"/>
  <c r="G1101"/>
  <c r="W1100" s="1"/>
  <c r="D1101"/>
  <c r="Y1100"/>
  <c r="Z1100" s="1"/>
  <c r="G1100"/>
  <c r="W1099" s="1"/>
  <c r="D1100"/>
  <c r="Y1099"/>
  <c r="Z1099" s="1"/>
  <c r="G1099"/>
  <c r="W1098" s="1"/>
  <c r="D1099"/>
  <c r="Y1098"/>
  <c r="Z1098" s="1"/>
  <c r="G1098"/>
  <c r="W1097" s="1"/>
  <c r="D1098"/>
  <c r="Y1097"/>
  <c r="Z1097" s="1"/>
  <c r="G1097"/>
  <c r="W1096" s="1"/>
  <c r="D1097"/>
  <c r="Y1096"/>
  <c r="Z1096" s="1"/>
  <c r="G1096"/>
  <c r="W1095" s="1"/>
  <c r="D1096"/>
  <c r="Y1095"/>
  <c r="Z1095" s="1"/>
  <c r="G1095"/>
  <c r="W1094" s="1"/>
  <c r="D1095"/>
  <c r="Y1094"/>
  <c r="Z1094" s="1"/>
  <c r="G1094"/>
  <c r="W1093" s="1"/>
  <c r="D1094"/>
  <c r="Y1093"/>
  <c r="Z1093" s="1"/>
  <c r="G1093"/>
  <c r="W1092" s="1"/>
  <c r="B1093"/>
  <c r="D1093" s="1"/>
  <c r="Y1092"/>
  <c r="Z1092" s="1"/>
  <c r="G1092"/>
  <c r="W1091" s="1"/>
  <c r="D1092"/>
  <c r="Y1091"/>
  <c r="Z1091" s="1"/>
  <c r="G1091"/>
  <c r="W1090" s="1"/>
  <c r="D1091"/>
  <c r="Y1090"/>
  <c r="Z1090" s="1"/>
  <c r="G1090"/>
  <c r="W1089" s="1"/>
  <c r="D1090"/>
  <c r="Y1089"/>
  <c r="Z1089" s="1"/>
  <c r="G1089"/>
  <c r="W1088" s="1"/>
  <c r="D1089"/>
  <c r="Y1088"/>
  <c r="Z1088" s="1"/>
  <c r="G1088"/>
  <c r="W1087" s="1"/>
  <c r="D1088"/>
  <c r="Y1087"/>
  <c r="Z1087" s="1"/>
  <c r="G1087"/>
  <c r="W1086" s="1"/>
  <c r="D1087"/>
  <c r="Y1086"/>
  <c r="Z1086" s="1"/>
  <c r="G1086"/>
  <c r="W1085" s="1"/>
  <c r="D1086"/>
  <c r="Y1085"/>
  <c r="Z1085" s="1"/>
  <c r="G1085"/>
  <c r="W1084" s="1"/>
  <c r="D1085"/>
  <c r="Y1084"/>
  <c r="Z1084" s="1"/>
  <c r="D1084"/>
  <c r="Y1083"/>
  <c r="Z1083" s="1"/>
  <c r="W1083"/>
  <c r="D1083"/>
  <c r="Y1082"/>
  <c r="Z1082" s="1"/>
  <c r="W1082"/>
  <c r="D1082"/>
  <c r="Y1081"/>
  <c r="Z1081" s="1"/>
  <c r="W1081"/>
  <c r="D1081"/>
  <c r="Y1080"/>
  <c r="Z1080" s="1"/>
  <c r="W1080"/>
  <c r="G1080"/>
  <c r="W1079" s="1"/>
  <c r="D1080"/>
  <c r="Y1079"/>
  <c r="Z1079" s="1"/>
  <c r="G1079"/>
  <c r="G887" s="1"/>
  <c r="W886" s="1"/>
  <c r="D1079"/>
  <c r="Y1078"/>
  <c r="Z1078" s="1"/>
  <c r="G1078"/>
  <c r="W1077" s="1"/>
  <c r="D1078"/>
  <c r="Y1077"/>
  <c r="Z1077" s="1"/>
  <c r="D1077"/>
  <c r="Y1076"/>
  <c r="Z1076" s="1"/>
  <c r="W1076"/>
  <c r="D1076"/>
  <c r="Y1075"/>
  <c r="Z1075" s="1"/>
  <c r="W1075"/>
  <c r="D1075"/>
  <c r="Y1074"/>
  <c r="Z1074" s="1"/>
  <c r="W1074"/>
  <c r="D1074"/>
  <c r="Y1073"/>
  <c r="Z1073" s="1"/>
  <c r="W1073"/>
  <c r="D1073"/>
  <c r="Y1072"/>
  <c r="Z1072" s="1"/>
  <c r="W1072"/>
  <c r="D1072"/>
  <c r="Y1071"/>
  <c r="Z1071" s="1"/>
  <c r="W1071"/>
  <c r="D1071"/>
  <c r="Y1070"/>
  <c r="Z1070" s="1"/>
  <c r="W1070"/>
  <c r="D1070"/>
  <c r="Y1069"/>
  <c r="Z1069" s="1"/>
  <c r="V1069"/>
  <c r="W1069" s="1"/>
  <c r="G1069"/>
  <c r="W1068" s="1"/>
  <c r="D1069"/>
  <c r="Y1068"/>
  <c r="Z1068" s="1"/>
  <c r="D1068"/>
  <c r="Y1067"/>
  <c r="Z1067" s="1"/>
  <c r="W1067"/>
  <c r="D1067"/>
  <c r="Y1066"/>
  <c r="Z1066" s="1"/>
  <c r="W1066"/>
  <c r="D1066"/>
  <c r="Y1065"/>
  <c r="Z1065" s="1"/>
  <c r="W1065"/>
  <c r="D1065"/>
  <c r="Y1064"/>
  <c r="Z1064" s="1"/>
  <c r="W1064"/>
  <c r="D1064"/>
  <c r="Y1063"/>
  <c r="Z1063" s="1"/>
  <c r="W1063"/>
  <c r="D1063"/>
  <c r="Y1062"/>
  <c r="Z1062" s="1"/>
  <c r="W1062"/>
  <c r="D1062"/>
  <c r="Y1061"/>
  <c r="Z1061" s="1"/>
  <c r="W1061"/>
  <c r="D1061"/>
  <c r="Y1060"/>
  <c r="Z1060" s="1"/>
  <c r="W1060"/>
  <c r="D1060"/>
  <c r="Y1059"/>
  <c r="Z1059" s="1"/>
  <c r="W1059"/>
  <c r="D1059"/>
  <c r="Y1058"/>
  <c r="Z1058" s="1"/>
  <c r="W1058"/>
  <c r="D1058"/>
  <c r="Y1057"/>
  <c r="Z1057" s="1"/>
  <c r="W1057"/>
  <c r="D1057"/>
  <c r="Y1056"/>
  <c r="Z1056" s="1"/>
  <c r="W1056"/>
  <c r="D1056"/>
  <c r="Y1055"/>
  <c r="Z1055" s="1"/>
  <c r="W1055"/>
  <c r="D1055"/>
  <c r="Y1054"/>
  <c r="Z1054" s="1"/>
  <c r="W1054"/>
  <c r="D1054"/>
  <c r="Y1053"/>
  <c r="Z1053" s="1"/>
  <c r="W1053"/>
  <c r="D1053"/>
  <c r="Y1052"/>
  <c r="Z1052" s="1"/>
  <c r="W1052"/>
  <c r="D1052"/>
  <c r="Y1051"/>
  <c r="Z1051" s="1"/>
  <c r="W1051"/>
  <c r="D1051"/>
  <c r="Y1050"/>
  <c r="Z1050" s="1"/>
  <c r="W1050"/>
  <c r="D1050"/>
  <c r="Y1049"/>
  <c r="Z1049" s="1"/>
  <c r="W1049"/>
  <c r="D1049"/>
  <c r="Y1048"/>
  <c r="Z1048" s="1"/>
  <c r="W1048"/>
  <c r="D1048"/>
  <c r="Y1047"/>
  <c r="Z1047" s="1"/>
  <c r="W1047"/>
  <c r="D1047"/>
  <c r="Y1046"/>
  <c r="Z1046" s="1"/>
  <c r="W1046"/>
  <c r="D1046"/>
  <c r="Y1045"/>
  <c r="Z1045" s="1"/>
  <c r="W1045"/>
  <c r="D1045"/>
  <c r="Y1044"/>
  <c r="Z1044" s="1"/>
  <c r="W1044"/>
  <c r="D1044"/>
  <c r="Y1043"/>
  <c r="Z1043" s="1"/>
  <c r="W1043"/>
  <c r="D1043"/>
  <c r="Y1042"/>
  <c r="Z1042" s="1"/>
  <c r="W1042"/>
  <c r="D1042"/>
  <c r="Y1041"/>
  <c r="Z1041" s="1"/>
  <c r="W1041"/>
  <c r="D1041"/>
  <c r="Y1040"/>
  <c r="Z1040" s="1"/>
  <c r="W1040"/>
  <c r="D1040"/>
  <c r="Y1039"/>
  <c r="Z1039" s="1"/>
  <c r="W1039"/>
  <c r="D1039"/>
  <c r="Y1038"/>
  <c r="Z1038" s="1"/>
  <c r="W1038"/>
  <c r="D1038"/>
  <c r="Y1037"/>
  <c r="Z1037" s="1"/>
  <c r="W1037"/>
  <c r="D1037"/>
  <c r="Y1036"/>
  <c r="Z1036" s="1"/>
  <c r="W1036"/>
  <c r="D1036"/>
  <c r="Y1035"/>
  <c r="Z1035" s="1"/>
  <c r="W1035"/>
  <c r="D1035"/>
  <c r="Y1034"/>
  <c r="Z1034" s="1"/>
  <c r="W1034"/>
  <c r="D1034"/>
  <c r="Y1033"/>
  <c r="Z1033" s="1"/>
  <c r="W1033"/>
  <c r="D1033"/>
  <c r="Y1032"/>
  <c r="Z1032" s="1"/>
  <c r="W1032"/>
  <c r="D1032"/>
  <c r="Y1031"/>
  <c r="Z1031" s="1"/>
  <c r="W1031"/>
  <c r="D1031"/>
  <c r="Y1030"/>
  <c r="Z1030" s="1"/>
  <c r="W1030"/>
  <c r="D1030"/>
  <c r="Y1029"/>
  <c r="Z1029" s="1"/>
  <c r="W1029"/>
  <c r="D1029"/>
  <c r="Y1028"/>
  <c r="Z1028" s="1"/>
  <c r="W1028"/>
  <c r="D1028"/>
  <c r="Y1027"/>
  <c r="Z1027" s="1"/>
  <c r="W1027"/>
  <c r="D1027"/>
  <c r="Y1026"/>
  <c r="Z1026" s="1"/>
  <c r="W1026"/>
  <c r="D1026"/>
  <c r="Y1025"/>
  <c r="Z1025" s="1"/>
  <c r="W1025"/>
  <c r="D1025"/>
  <c r="Y1024"/>
  <c r="Z1024" s="1"/>
  <c r="W1024"/>
  <c r="D1024"/>
  <c r="Y1023"/>
  <c r="Z1023" s="1"/>
  <c r="W1023"/>
  <c r="D1023"/>
  <c r="Y1022"/>
  <c r="Z1022" s="1"/>
  <c r="W1022"/>
  <c r="D1022"/>
  <c r="Y1021"/>
  <c r="Z1021" s="1"/>
  <c r="W1021"/>
  <c r="D1021"/>
  <c r="Y1020"/>
  <c r="Z1020" s="1"/>
  <c r="W1020"/>
  <c r="D1020"/>
  <c r="Y1019"/>
  <c r="Z1019" s="1"/>
  <c r="W1019"/>
  <c r="D1019"/>
  <c r="Y1018"/>
  <c r="Z1018" s="1"/>
  <c r="W1018"/>
  <c r="D1018"/>
  <c r="Y1017"/>
  <c r="Z1017" s="1"/>
  <c r="W1017"/>
  <c r="D1017"/>
  <c r="Y1016"/>
  <c r="Z1016" s="1"/>
  <c r="W1016"/>
  <c r="D1016"/>
  <c r="Y1015"/>
  <c r="Z1015" s="1"/>
  <c r="W1015"/>
  <c r="D1015"/>
  <c r="Y1014"/>
  <c r="Z1014" s="1"/>
  <c r="W1014"/>
  <c r="D1014"/>
  <c r="Y1013"/>
  <c r="Z1013" s="1"/>
  <c r="W1013"/>
  <c r="D1013"/>
  <c r="Y1012"/>
  <c r="Z1012" s="1"/>
  <c r="W1012"/>
  <c r="D1012"/>
  <c r="Y1011"/>
  <c r="Z1011" s="1"/>
  <c r="W1011"/>
  <c r="D1011"/>
  <c r="Y1010"/>
  <c r="Z1010" s="1"/>
  <c r="W1010"/>
  <c r="D1010"/>
  <c r="Y1009"/>
  <c r="Z1009" s="1"/>
  <c r="W1009"/>
  <c r="D1009"/>
  <c r="Y1008"/>
  <c r="Z1008" s="1"/>
  <c r="W1008"/>
  <c r="D1008"/>
  <c r="Y1007"/>
  <c r="Z1007" s="1"/>
  <c r="W1007"/>
  <c r="D1007"/>
  <c r="Y1006"/>
  <c r="Z1006" s="1"/>
  <c r="W1006"/>
  <c r="D1006"/>
  <c r="Y1005"/>
  <c r="Z1005" s="1"/>
  <c r="W1005"/>
  <c r="D1005"/>
  <c r="Y1004"/>
  <c r="Z1004" s="1"/>
  <c r="W1004"/>
  <c r="D1004"/>
  <c r="Y1003"/>
  <c r="Z1003" s="1"/>
  <c r="W1003"/>
  <c r="D1003"/>
  <c r="Y1002"/>
  <c r="Z1002" s="1"/>
  <c r="W1002"/>
  <c r="D1002"/>
  <c r="Y1001"/>
  <c r="Z1001" s="1"/>
  <c r="W1001"/>
  <c r="D1001"/>
  <c r="Y1000"/>
  <c r="Z1000" s="1"/>
  <c r="W1000"/>
  <c r="D1000"/>
  <c r="Y999"/>
  <c r="Z999" s="1"/>
  <c r="G999"/>
  <c r="Y998"/>
  <c r="Z998" s="1"/>
  <c r="G998"/>
  <c r="Y997"/>
  <c r="Z997" s="1"/>
  <c r="W997"/>
  <c r="D997"/>
  <c r="Y996"/>
  <c r="Z996" s="1"/>
  <c r="W996"/>
  <c r="D996"/>
  <c r="Y995"/>
  <c r="Z995" s="1"/>
  <c r="W995"/>
  <c r="D995"/>
  <c r="Y994"/>
  <c r="Z994" s="1"/>
  <c r="W994"/>
  <c r="D994"/>
  <c r="Y993"/>
  <c r="Z993" s="1"/>
  <c r="W993"/>
  <c r="D993"/>
  <c r="Y992"/>
  <c r="Z992" s="1"/>
  <c r="W992"/>
  <c r="D992"/>
  <c r="Y991"/>
  <c r="Z991" s="1"/>
  <c r="W991"/>
  <c r="D991"/>
  <c r="Y990"/>
  <c r="Z990" s="1"/>
  <c r="W990"/>
  <c r="D990"/>
  <c r="Y989"/>
  <c r="Z989" s="1"/>
  <c r="W989"/>
  <c r="D989"/>
  <c r="Y988"/>
  <c r="Z988" s="1"/>
  <c r="W988"/>
  <c r="G988"/>
  <c r="W987" s="1"/>
  <c r="D988"/>
  <c r="Y987"/>
  <c r="Z987" s="1"/>
  <c r="D987"/>
  <c r="Y986"/>
  <c r="Z986" s="1"/>
  <c r="W986"/>
  <c r="D986"/>
  <c r="Y985"/>
  <c r="Z985" s="1"/>
  <c r="W985"/>
  <c r="D985"/>
  <c r="Y984"/>
  <c r="Z984" s="1"/>
  <c r="Y983"/>
  <c r="Z983" s="1"/>
  <c r="Y982"/>
  <c r="Z982" s="1"/>
  <c r="V982"/>
  <c r="W982" s="1"/>
  <c r="D982"/>
  <c r="Y981"/>
  <c r="Z981" s="1"/>
  <c r="W981"/>
  <c r="D981"/>
  <c r="Y980"/>
  <c r="Z980" s="1"/>
  <c r="V980"/>
  <c r="W980" s="1"/>
  <c r="G980"/>
  <c r="W979" s="1"/>
  <c r="D980"/>
  <c r="Y979"/>
  <c r="Z979" s="1"/>
  <c r="G979"/>
  <c r="W978" s="1"/>
  <c r="D979"/>
  <c r="Y978"/>
  <c r="Z978" s="1"/>
  <c r="D978"/>
  <c r="Y977"/>
  <c r="Z977" s="1"/>
  <c r="W977"/>
  <c r="G977"/>
  <c r="W976" s="1"/>
  <c r="D977"/>
  <c r="Y976"/>
  <c r="Z976" s="1"/>
  <c r="G976"/>
  <c r="W975" s="1"/>
  <c r="D976"/>
  <c r="Y975"/>
  <c r="Z975" s="1"/>
  <c r="G975"/>
  <c r="W974" s="1"/>
  <c r="D975"/>
  <c r="Y974"/>
  <c r="Z974" s="1"/>
  <c r="G974"/>
  <c r="W973" s="1"/>
  <c r="D974"/>
  <c r="Y973"/>
  <c r="Z973" s="1"/>
  <c r="D973"/>
  <c r="Y972"/>
  <c r="Z972" s="1"/>
  <c r="W972"/>
  <c r="G972"/>
  <c r="W971" s="1"/>
  <c r="D972"/>
  <c r="Y971"/>
  <c r="Z971" s="1"/>
  <c r="D971"/>
  <c r="Y970"/>
  <c r="Z970" s="1"/>
  <c r="W970"/>
  <c r="D970"/>
  <c r="Y969"/>
  <c r="Z969" s="1"/>
  <c r="W969"/>
  <c r="G969"/>
  <c r="W968" s="1"/>
  <c r="D969"/>
  <c r="Y968"/>
  <c r="Z968" s="1"/>
  <c r="D968"/>
  <c r="Y967"/>
  <c r="Z967" s="1"/>
  <c r="W967"/>
  <c r="G967"/>
  <c r="W966" s="1"/>
  <c r="D967"/>
  <c r="Y966"/>
  <c r="Z966" s="1"/>
  <c r="G966"/>
  <c r="W965" s="1"/>
  <c r="D966"/>
  <c r="Y965"/>
  <c r="Z965" s="1"/>
  <c r="G965"/>
  <c r="W964" s="1"/>
  <c r="D965"/>
  <c r="Y964"/>
  <c r="Z964" s="1"/>
  <c r="G964"/>
  <c r="W963" s="1"/>
  <c r="D964"/>
  <c r="Y963"/>
  <c r="Z963" s="1"/>
  <c r="G963"/>
  <c r="W962" s="1"/>
  <c r="D963"/>
  <c r="Y962"/>
  <c r="Z962" s="1"/>
  <c r="G962"/>
  <c r="W961" s="1"/>
  <c r="D962"/>
  <c r="Y961"/>
  <c r="Z961" s="1"/>
  <c r="G961"/>
  <c r="W960" s="1"/>
  <c r="D961"/>
  <c r="Y960"/>
  <c r="Z960" s="1"/>
  <c r="G960"/>
  <c r="W959" s="1"/>
  <c r="D960"/>
  <c r="Y959"/>
  <c r="Z959" s="1"/>
  <c r="G959"/>
  <c r="D959"/>
  <c r="Y958"/>
  <c r="Z958" s="1"/>
  <c r="V958"/>
  <c r="G958"/>
  <c r="D958"/>
  <c r="Y957"/>
  <c r="Z957" s="1"/>
  <c r="D957"/>
  <c r="Y956"/>
  <c r="Z956" s="1"/>
  <c r="W956"/>
  <c r="D956"/>
  <c r="Y955"/>
  <c r="Z955" s="1"/>
  <c r="W955"/>
  <c r="D955"/>
  <c r="Y954"/>
  <c r="Z954" s="1"/>
  <c r="W954"/>
  <c r="D954"/>
  <c r="Y953"/>
  <c r="Z953" s="1"/>
  <c r="W953"/>
  <c r="G953"/>
  <c r="W952" s="1"/>
  <c r="D953"/>
  <c r="Y952"/>
  <c r="Z952" s="1"/>
  <c r="G952"/>
  <c r="W951" s="1"/>
  <c r="D952"/>
  <c r="Y951"/>
  <c r="Z951" s="1"/>
  <c r="G951"/>
  <c r="W950" s="1"/>
  <c r="D951"/>
  <c r="Y950"/>
  <c r="Z950" s="1"/>
  <c r="D950"/>
  <c r="Y949"/>
  <c r="Z949" s="1"/>
  <c r="W949"/>
  <c r="D949"/>
  <c r="Y948"/>
  <c r="Z948" s="1"/>
  <c r="W948"/>
  <c r="G948"/>
  <c r="W947" s="1"/>
  <c r="D948"/>
  <c r="Y947"/>
  <c r="Z947" s="1"/>
  <c r="G947"/>
  <c r="W946" s="1"/>
  <c r="D947"/>
  <c r="Y946"/>
  <c r="Z946" s="1"/>
  <c r="G946"/>
  <c r="W945" s="1"/>
  <c r="D946"/>
  <c r="Y945"/>
  <c r="Z945" s="1"/>
  <c r="D945"/>
  <c r="Y944"/>
  <c r="Z944" s="1"/>
  <c r="Y943"/>
  <c r="Z943" s="1"/>
  <c r="G943"/>
  <c r="W942" s="1"/>
  <c r="Y942"/>
  <c r="Z942" s="1"/>
  <c r="G942"/>
  <c r="W941" s="1"/>
  <c r="Y941"/>
  <c r="Z941" s="1"/>
  <c r="G941"/>
  <c r="W940" s="1"/>
  <c r="D941"/>
  <c r="Y940"/>
  <c r="Z940" s="1"/>
  <c r="D940"/>
  <c r="Y939"/>
  <c r="Z939" s="1"/>
  <c r="W939"/>
  <c r="G939"/>
  <c r="W938" s="1"/>
  <c r="D939"/>
  <c r="Y938"/>
  <c r="Z938" s="1"/>
  <c r="G938"/>
  <c r="W937" s="1"/>
  <c r="D938"/>
  <c r="Y937"/>
  <c r="Z937" s="1"/>
  <c r="G937"/>
  <c r="D937"/>
  <c r="Y936"/>
  <c r="Z936" s="1"/>
  <c r="V936"/>
  <c r="G936"/>
  <c r="W935" s="1"/>
  <c r="D936"/>
  <c r="Y935"/>
  <c r="Z935" s="1"/>
  <c r="G935"/>
  <c r="W934" s="1"/>
  <c r="D935"/>
  <c r="Y934"/>
  <c r="Z934" s="1"/>
  <c r="G934"/>
  <c r="W933" s="1"/>
  <c r="D934"/>
  <c r="Y933"/>
  <c r="Z933" s="1"/>
  <c r="D933"/>
  <c r="Y932"/>
  <c r="Z932" s="1"/>
  <c r="W932"/>
  <c r="G932"/>
  <c r="W931" s="1"/>
  <c r="D932"/>
  <c r="Y931"/>
  <c r="Z931" s="1"/>
  <c r="G931"/>
  <c r="W930" s="1"/>
  <c r="D931"/>
  <c r="Y930"/>
  <c r="Z930" s="1"/>
  <c r="G930"/>
  <c r="W929" s="1"/>
  <c r="D930"/>
  <c r="Y929"/>
  <c r="Z929" s="1"/>
  <c r="G929"/>
  <c r="W928" s="1"/>
  <c r="D929"/>
  <c r="Y928"/>
  <c r="Z928" s="1"/>
  <c r="G928"/>
  <c r="W927" s="1"/>
  <c r="D928"/>
  <c r="Y927"/>
  <c r="Z927" s="1"/>
  <c r="G927"/>
  <c r="W926" s="1"/>
  <c r="D927"/>
  <c r="Y926"/>
  <c r="Z926" s="1"/>
  <c r="G926"/>
  <c r="W925" s="1"/>
  <c r="D926"/>
  <c r="Y925"/>
  <c r="Z925" s="1"/>
  <c r="G925"/>
  <c r="W924" s="1"/>
  <c r="D925"/>
  <c r="Y924"/>
  <c r="Z924" s="1"/>
  <c r="G924"/>
  <c r="W923" s="1"/>
  <c r="D924"/>
  <c r="Y923"/>
  <c r="Z923" s="1"/>
  <c r="G923"/>
  <c r="W922" s="1"/>
  <c r="D923"/>
  <c r="Y922"/>
  <c r="Z922" s="1"/>
  <c r="G922"/>
  <c r="W921" s="1"/>
  <c r="D922"/>
  <c r="Y921"/>
  <c r="Z921" s="1"/>
  <c r="D921"/>
  <c r="Y920"/>
  <c r="G920"/>
  <c r="E920"/>
  <c r="Y919"/>
  <c r="Z919" s="1"/>
  <c r="W919"/>
  <c r="G919"/>
  <c r="W918" s="1"/>
  <c r="D919"/>
  <c r="Y918"/>
  <c r="Z918" s="1"/>
  <c r="D918"/>
  <c r="Y917"/>
  <c r="Z917" s="1"/>
  <c r="W917"/>
  <c r="D917"/>
  <c r="Y916"/>
  <c r="Z916" s="1"/>
  <c r="W916"/>
  <c r="D916"/>
  <c r="Y915"/>
  <c r="Z915" s="1"/>
  <c r="W915"/>
  <c r="D915"/>
  <c r="Y914"/>
  <c r="Z914" s="1"/>
  <c r="W914"/>
  <c r="D914"/>
  <c r="Y913"/>
  <c r="Z913" s="1"/>
  <c r="W913"/>
  <c r="D913"/>
  <c r="Y912"/>
  <c r="Z912" s="1"/>
  <c r="W912"/>
  <c r="G912"/>
  <c r="W911" s="1"/>
  <c r="D912"/>
  <c r="Y911"/>
  <c r="Z911" s="1"/>
  <c r="G911"/>
  <c r="W910" s="1"/>
  <c r="D911"/>
  <c r="Y910"/>
  <c r="Z910" s="1"/>
  <c r="G910"/>
  <c r="W909" s="1"/>
  <c r="D910"/>
  <c r="Y909"/>
  <c r="Z909" s="1"/>
  <c r="G909"/>
  <c r="W908" s="1"/>
  <c r="D909"/>
  <c r="Y908"/>
  <c r="Z908" s="1"/>
  <c r="D908"/>
  <c r="Y907"/>
  <c r="Z907" s="1"/>
  <c r="W907"/>
  <c r="D907"/>
  <c r="Y906"/>
  <c r="Z906" s="1"/>
  <c r="W906"/>
  <c r="D906"/>
  <c r="Y905"/>
  <c r="Z905" s="1"/>
  <c r="W905"/>
  <c r="D905"/>
  <c r="Y904"/>
  <c r="Z904" s="1"/>
  <c r="W904"/>
  <c r="D904"/>
  <c r="Y903"/>
  <c r="Z903" s="1"/>
  <c r="W903"/>
  <c r="D903"/>
  <c r="Y902"/>
  <c r="Z902" s="1"/>
  <c r="W902"/>
  <c r="G902"/>
  <c r="D902"/>
  <c r="Y901"/>
  <c r="Z901" s="1"/>
  <c r="V901"/>
  <c r="G901"/>
  <c r="W900" s="1"/>
  <c r="D901"/>
  <c r="Y900"/>
  <c r="Z900" s="1"/>
  <c r="D900"/>
  <c r="Y899"/>
  <c r="Z899" s="1"/>
  <c r="W899"/>
  <c r="G899"/>
  <c r="W898" s="1"/>
  <c r="D899"/>
  <c r="Y898"/>
  <c r="Z898" s="1"/>
  <c r="G898"/>
  <c r="W897" s="1"/>
  <c r="D898"/>
  <c r="Y897"/>
  <c r="Z897" s="1"/>
  <c r="G897"/>
  <c r="W896" s="1"/>
  <c r="D897"/>
  <c r="Y896"/>
  <c r="Z896" s="1"/>
  <c r="G896"/>
  <c r="W895" s="1"/>
  <c r="D896"/>
  <c r="Y895"/>
  <c r="Z895" s="1"/>
  <c r="G895"/>
  <c r="W894" s="1"/>
  <c r="D895"/>
  <c r="Y894"/>
  <c r="Z894" s="1"/>
  <c r="G894"/>
  <c r="W893" s="1"/>
  <c r="D894"/>
  <c r="Y893"/>
  <c r="Z893" s="1"/>
  <c r="D893"/>
  <c r="Y892"/>
  <c r="Z892" s="1"/>
  <c r="W892"/>
  <c r="D892"/>
  <c r="Y891"/>
  <c r="Z891" s="1"/>
  <c r="W891"/>
  <c r="D891"/>
  <c r="Y890"/>
  <c r="Z890" s="1"/>
  <c r="W890"/>
  <c r="D890"/>
  <c r="Y889"/>
  <c r="Z889" s="1"/>
  <c r="W889"/>
  <c r="G889"/>
  <c r="W888" s="1"/>
  <c r="D889"/>
  <c r="Y888"/>
  <c r="Z888" s="1"/>
  <c r="D888"/>
  <c r="Y887"/>
  <c r="Z887" s="1"/>
  <c r="D887"/>
  <c r="Y886"/>
  <c r="Z886" s="1"/>
  <c r="G886"/>
  <c r="W885" s="1"/>
  <c r="D886"/>
  <c r="Y885"/>
  <c r="Z885" s="1"/>
  <c r="G885"/>
  <c r="W884" s="1"/>
  <c r="D885"/>
  <c r="Y884"/>
  <c r="Z884" s="1"/>
  <c r="G884"/>
  <c r="W883" s="1"/>
  <c r="D884"/>
  <c r="Y883"/>
  <c r="Z883" s="1"/>
  <c r="G883"/>
  <c r="W882" s="1"/>
  <c r="D883"/>
  <c r="Y882"/>
  <c r="Z882" s="1"/>
  <c r="D882"/>
  <c r="Y881"/>
  <c r="Z881" s="1"/>
  <c r="W881"/>
  <c r="G881"/>
  <c r="W880" s="1"/>
  <c r="D881"/>
  <c r="Y880"/>
  <c r="Z880" s="1"/>
  <c r="G880"/>
  <c r="W879" s="1"/>
  <c r="D880"/>
  <c r="Y879"/>
  <c r="Z879" s="1"/>
  <c r="D879"/>
  <c r="Y878"/>
  <c r="Z878" s="1"/>
  <c r="W878"/>
  <c r="G878"/>
  <c r="W877" s="1"/>
  <c r="D878"/>
  <c r="Y877"/>
  <c r="Z877" s="1"/>
  <c r="G877"/>
  <c r="W876" s="1"/>
  <c r="D877"/>
  <c r="Y876"/>
  <c r="Z876" s="1"/>
  <c r="G876"/>
  <c r="W875" s="1"/>
  <c r="D876"/>
  <c r="Y875"/>
  <c r="Z875" s="1"/>
  <c r="G875"/>
  <c r="W874" s="1"/>
  <c r="D875"/>
  <c r="Y874"/>
  <c r="Z874" s="1"/>
  <c r="G874"/>
  <c r="W873" s="1"/>
  <c r="D874"/>
  <c r="Y873"/>
  <c r="Z873" s="1"/>
  <c r="D873"/>
  <c r="Y872"/>
  <c r="Z872" s="1"/>
  <c r="W872"/>
  <c r="G872"/>
  <c r="W871" s="1"/>
  <c r="D872"/>
  <c r="Y871"/>
  <c r="Z871" s="1"/>
  <c r="G871"/>
  <c r="W870" s="1"/>
  <c r="D871"/>
  <c r="Y870"/>
  <c r="Z870" s="1"/>
  <c r="G870"/>
  <c r="W869" s="1"/>
  <c r="D870"/>
  <c r="Y869"/>
  <c r="Z869" s="1"/>
  <c r="G869"/>
  <c r="W868" s="1"/>
  <c r="D869"/>
  <c r="Y868"/>
  <c r="Z868" s="1"/>
  <c r="D868"/>
  <c r="Y867"/>
  <c r="Z867" s="1"/>
  <c r="W867"/>
  <c r="G867"/>
  <c r="W866" s="1"/>
  <c r="D867"/>
  <c r="Y866"/>
  <c r="Z866" s="1"/>
  <c r="G866"/>
  <c r="W865" s="1"/>
  <c r="D866"/>
  <c r="Y865"/>
  <c r="Z865" s="1"/>
  <c r="G865"/>
  <c r="W864" s="1"/>
  <c r="D865"/>
  <c r="Y864"/>
  <c r="Z864" s="1"/>
  <c r="G864"/>
  <c r="W863" s="1"/>
  <c r="D864"/>
  <c r="Y863"/>
  <c r="Z863" s="1"/>
  <c r="D863"/>
  <c r="Y862"/>
  <c r="Z862" s="1"/>
  <c r="W862"/>
  <c r="D862"/>
  <c r="Y861"/>
  <c r="Z861" s="1"/>
  <c r="G861"/>
  <c r="W860" s="1"/>
  <c r="D861"/>
  <c r="Y860"/>
  <c r="Z860" s="1"/>
  <c r="G860"/>
  <c r="W859" s="1"/>
  <c r="D860"/>
  <c r="Y859"/>
  <c r="Z859" s="1"/>
  <c r="G859"/>
  <c r="W858" s="1"/>
  <c r="D859"/>
  <c r="Y858"/>
  <c r="Z858" s="1"/>
  <c r="G858"/>
  <c r="W857" s="1"/>
  <c r="D858"/>
  <c r="Y857"/>
  <c r="Z857" s="1"/>
  <c r="G857"/>
  <c r="W856" s="1"/>
  <c r="D857"/>
  <c r="Y856"/>
  <c r="Z856" s="1"/>
  <c r="G856"/>
  <c r="W855" s="1"/>
  <c r="D856"/>
  <c r="Y855"/>
  <c r="Z855" s="1"/>
  <c r="G855"/>
  <c r="W854" s="1"/>
  <c r="D855"/>
  <c r="Y854"/>
  <c r="Z854" s="1"/>
  <c r="G854"/>
  <c r="W853" s="1"/>
  <c r="D854"/>
  <c r="Y853"/>
  <c r="Z853" s="1"/>
  <c r="G853"/>
  <c r="W852" s="1"/>
  <c r="D853"/>
  <c r="Y852"/>
  <c r="Z852" s="1"/>
  <c r="D852"/>
  <c r="Y851"/>
  <c r="Z851" s="1"/>
  <c r="W851"/>
  <c r="D851"/>
  <c r="Y850"/>
  <c r="Z850" s="1"/>
  <c r="W850"/>
  <c r="D850"/>
  <c r="Y849"/>
  <c r="Z849" s="1"/>
  <c r="W849"/>
  <c r="D849"/>
  <c r="Y848"/>
  <c r="Z848" s="1"/>
  <c r="W848"/>
  <c r="D848"/>
  <c r="Y847"/>
  <c r="Z847" s="1"/>
  <c r="W847"/>
  <c r="D847"/>
  <c r="Y846"/>
  <c r="Z846" s="1"/>
  <c r="W846"/>
  <c r="D846"/>
  <c r="Y845"/>
  <c r="Z845" s="1"/>
  <c r="W845"/>
  <c r="D845"/>
  <c r="Y844"/>
  <c r="Z844" s="1"/>
  <c r="W844"/>
  <c r="D844"/>
  <c r="Y843"/>
  <c r="Z843" s="1"/>
  <c r="W843"/>
  <c r="D843"/>
  <c r="Y842"/>
  <c r="Z842" s="1"/>
  <c r="W842"/>
  <c r="D842"/>
  <c r="Y841"/>
  <c r="Z841" s="1"/>
  <c r="W841"/>
  <c r="D841"/>
  <c r="Y840"/>
  <c r="Z840" s="1"/>
  <c r="W840"/>
  <c r="D840"/>
  <c r="Y839"/>
  <c r="Z839" s="1"/>
  <c r="W839"/>
  <c r="D839"/>
  <c r="Y838"/>
  <c r="Z838" s="1"/>
  <c r="W838"/>
  <c r="D838"/>
  <c r="Y837"/>
  <c r="Z837" s="1"/>
  <c r="W837"/>
  <c r="D837"/>
  <c r="Y836"/>
  <c r="Z836" s="1"/>
  <c r="W836"/>
  <c r="D836"/>
  <c r="Y835"/>
  <c r="Z835" s="1"/>
  <c r="W835"/>
  <c r="D835"/>
  <c r="Y834"/>
  <c r="Z834" s="1"/>
  <c r="W834"/>
  <c r="D834"/>
  <c r="Y833"/>
  <c r="Z833" s="1"/>
  <c r="W833"/>
  <c r="D833"/>
  <c r="Y832"/>
  <c r="Z832" s="1"/>
  <c r="W832"/>
  <c r="D832"/>
  <c r="Y831"/>
  <c r="Z831" s="1"/>
  <c r="W831"/>
  <c r="D831"/>
  <c r="Y830"/>
  <c r="Z830" s="1"/>
  <c r="W830"/>
  <c r="D830"/>
  <c r="Y829"/>
  <c r="Z829" s="1"/>
  <c r="W829"/>
  <c r="D829"/>
  <c r="Y828"/>
  <c r="Z828" s="1"/>
  <c r="W828"/>
  <c r="D828"/>
  <c r="Y827"/>
  <c r="Z827" s="1"/>
  <c r="W827"/>
  <c r="D827"/>
  <c r="Y826"/>
  <c r="Z826" s="1"/>
  <c r="W826"/>
  <c r="D826"/>
  <c r="Y825"/>
  <c r="Z825" s="1"/>
  <c r="W825"/>
  <c r="D825"/>
  <c r="Y824"/>
  <c r="Z824" s="1"/>
  <c r="W824"/>
  <c r="G824"/>
  <c r="W823" s="1"/>
  <c r="D824"/>
  <c r="Y823"/>
  <c r="Z823" s="1"/>
  <c r="G823"/>
  <c r="W822" s="1"/>
  <c r="D823"/>
  <c r="Y822"/>
  <c r="Z822" s="1"/>
  <c r="G822"/>
  <c r="W821" s="1"/>
  <c r="D822"/>
  <c r="Y821"/>
  <c r="Z821" s="1"/>
  <c r="G821"/>
  <c r="W820" s="1"/>
  <c r="D821"/>
  <c r="Y820"/>
  <c r="Z820" s="1"/>
  <c r="G820"/>
  <c r="W819" s="1"/>
  <c r="D820"/>
  <c r="Y819"/>
  <c r="Z819" s="1"/>
  <c r="G819"/>
  <c r="W818" s="1"/>
  <c r="D819"/>
  <c r="Y818"/>
  <c r="Z818" s="1"/>
  <c r="G818"/>
  <c r="W817" s="1"/>
  <c r="D818"/>
  <c r="Y817"/>
  <c r="Z817" s="1"/>
  <c r="G817"/>
  <c r="W816" s="1"/>
  <c r="D817"/>
  <c r="Y816"/>
  <c r="Z816" s="1"/>
  <c r="G816"/>
  <c r="W815" s="1"/>
  <c r="D816"/>
  <c r="Y815"/>
  <c r="Z815" s="1"/>
  <c r="D815"/>
  <c r="Y814"/>
  <c r="Z814" s="1"/>
  <c r="W814"/>
  <c r="D814"/>
  <c r="Y813"/>
  <c r="Z813" s="1"/>
  <c r="W813"/>
  <c r="D813"/>
  <c r="Y812"/>
  <c r="Z812" s="1"/>
  <c r="W812"/>
  <c r="D812"/>
  <c r="Y811"/>
  <c r="Z811" s="1"/>
  <c r="W811"/>
  <c r="D811"/>
  <c r="Y810"/>
  <c r="Z810" s="1"/>
  <c r="W810"/>
  <c r="D810"/>
  <c r="Y809"/>
  <c r="Z809" s="1"/>
  <c r="W809"/>
  <c r="D809"/>
  <c r="Y808"/>
  <c r="Z808" s="1"/>
  <c r="W808"/>
  <c r="D808"/>
  <c r="Y807"/>
  <c r="Z807" s="1"/>
  <c r="W807"/>
  <c r="D807"/>
  <c r="Y806"/>
  <c r="Z806" s="1"/>
  <c r="W806"/>
  <c r="D806"/>
  <c r="Y805"/>
  <c r="Z805" s="1"/>
  <c r="W805"/>
  <c r="D805"/>
  <c r="Y804"/>
  <c r="Z804" s="1"/>
  <c r="W804"/>
  <c r="D804"/>
  <c r="Y803"/>
  <c r="Z803" s="1"/>
  <c r="W803"/>
  <c r="D803"/>
  <c r="Y802"/>
  <c r="Z802" s="1"/>
  <c r="W802"/>
  <c r="D802"/>
  <c r="Y801"/>
  <c r="Z801" s="1"/>
  <c r="W801"/>
  <c r="D801"/>
  <c r="Y800"/>
  <c r="Z800" s="1"/>
  <c r="W800"/>
  <c r="D800"/>
  <c r="Y799"/>
  <c r="Z799" s="1"/>
  <c r="W799"/>
  <c r="D799"/>
  <c r="Y798"/>
  <c r="Z798" s="1"/>
  <c r="W798"/>
  <c r="D798"/>
  <c r="Y797"/>
  <c r="Z797" s="1"/>
  <c r="W797"/>
  <c r="D797"/>
  <c r="Y796"/>
  <c r="Z796" s="1"/>
  <c r="W796"/>
  <c r="D796"/>
  <c r="Y795"/>
  <c r="Z795" s="1"/>
  <c r="W795"/>
  <c r="D795"/>
  <c r="Y794"/>
  <c r="Z794" s="1"/>
  <c r="W794"/>
  <c r="D794"/>
  <c r="A794"/>
  <c r="Y793"/>
  <c r="Z793" s="1"/>
  <c r="W793"/>
  <c r="G793"/>
  <c r="W792" s="1"/>
  <c r="D793"/>
  <c r="Y792"/>
  <c r="Z792" s="1"/>
  <c r="G792"/>
  <c r="W791" s="1"/>
  <c r="D792"/>
  <c r="Y791"/>
  <c r="Z791" s="1"/>
  <c r="G791"/>
  <c r="W790" s="1"/>
  <c r="D791"/>
  <c r="Y790"/>
  <c r="Z790" s="1"/>
  <c r="D790"/>
  <c r="Y789"/>
  <c r="Z789" s="1"/>
  <c r="W789"/>
  <c r="D789"/>
  <c r="Y788"/>
  <c r="Z788" s="1"/>
  <c r="W788"/>
  <c r="G788"/>
  <c r="W787" s="1"/>
  <c r="D788"/>
  <c r="Y787"/>
  <c r="Z787" s="1"/>
  <c r="G787"/>
  <c r="W786" s="1"/>
  <c r="D787"/>
  <c r="Y786"/>
  <c r="Z786" s="1"/>
  <c r="D786"/>
  <c r="Y785"/>
  <c r="Z785" s="1"/>
  <c r="W785"/>
  <c r="G785"/>
  <c r="D785"/>
  <c r="Y784"/>
  <c r="Z784" s="1"/>
  <c r="V784"/>
  <c r="G784"/>
  <c r="W781" s="1"/>
  <c r="D784"/>
  <c r="Y783"/>
  <c r="Z783" s="1"/>
  <c r="G783"/>
  <c r="Y782"/>
  <c r="Z782" s="1"/>
  <c r="Y781"/>
  <c r="Z781" s="1"/>
  <c r="G781"/>
  <c r="G782" s="1"/>
  <c r="D781"/>
  <c r="Y780"/>
  <c r="Z780" s="1"/>
  <c r="G780"/>
  <c r="W779" s="1"/>
  <c r="D780"/>
  <c r="Y779"/>
  <c r="Z779" s="1"/>
  <c r="D779"/>
  <c r="Y778"/>
  <c r="Z778" s="1"/>
  <c r="W778"/>
  <c r="G778"/>
  <c r="W777" s="1"/>
  <c r="D778"/>
  <c r="Y777"/>
  <c r="Z777" s="1"/>
  <c r="D777"/>
  <c r="Y776"/>
  <c r="Z776" s="1"/>
  <c r="G776"/>
  <c r="W775" s="1"/>
  <c r="D776"/>
  <c r="Y775"/>
  <c r="Z775" s="1"/>
  <c r="D775"/>
  <c r="Y774"/>
  <c r="W774"/>
  <c r="E774"/>
  <c r="B774"/>
  <c r="D774" s="1"/>
  <c r="Y773"/>
  <c r="E773"/>
  <c r="B773"/>
  <c r="D773" s="1"/>
  <c r="Y772"/>
  <c r="Z772" s="1"/>
  <c r="G772"/>
  <c r="W771" s="1"/>
  <c r="D772"/>
  <c r="Y771"/>
  <c r="Z771" s="1"/>
  <c r="G771"/>
  <c r="W770" s="1"/>
  <c r="D771"/>
  <c r="Y770"/>
  <c r="Z770" s="1"/>
  <c r="D770"/>
  <c r="Y769"/>
  <c r="Z769" s="1"/>
  <c r="G769"/>
  <c r="W768" s="1"/>
  <c r="B769"/>
  <c r="D769" s="1"/>
  <c r="Y768"/>
  <c r="Z768" s="1"/>
  <c r="G768"/>
  <c r="W767" s="1"/>
  <c r="D768"/>
  <c r="Y767"/>
  <c r="Z767" s="1"/>
  <c r="G767"/>
  <c r="W766" s="1"/>
  <c r="D767"/>
  <c r="Y766"/>
  <c r="Z766" s="1"/>
  <c r="D766"/>
  <c r="Y765"/>
  <c r="Z765" s="1"/>
  <c r="G765"/>
  <c r="W764" s="1"/>
  <c r="D765"/>
  <c r="Y764"/>
  <c r="Z764" s="1"/>
  <c r="G764"/>
  <c r="W763" s="1"/>
  <c r="D764"/>
  <c r="Y763"/>
  <c r="Z763" s="1"/>
  <c r="G763"/>
  <c r="W762" s="1"/>
  <c r="D763"/>
  <c r="Y762"/>
  <c r="Z762" s="1"/>
  <c r="G762"/>
  <c r="W761" s="1"/>
  <c r="D762"/>
  <c r="Y761"/>
  <c r="Z761" s="1"/>
  <c r="G761"/>
  <c r="W760" s="1"/>
  <c r="D761"/>
  <c r="Y760"/>
  <c r="Z760" s="1"/>
  <c r="D760"/>
  <c r="Y759"/>
  <c r="Z759" s="1"/>
  <c r="W759"/>
  <c r="G759"/>
  <c r="W758" s="1"/>
  <c r="D759"/>
  <c r="Y758"/>
  <c r="Z758" s="1"/>
  <c r="G758"/>
  <c r="W757" s="1"/>
  <c r="D758"/>
  <c r="Y757"/>
  <c r="Z757" s="1"/>
  <c r="G757"/>
  <c r="W756" s="1"/>
  <c r="D757"/>
  <c r="Y756"/>
  <c r="Z756" s="1"/>
  <c r="G756"/>
  <c r="W755" s="1"/>
  <c r="D756"/>
  <c r="Y755"/>
  <c r="Z755" s="1"/>
  <c r="G755"/>
  <c r="W754" s="1"/>
  <c r="D755"/>
  <c r="Y754"/>
  <c r="Z754" s="1"/>
  <c r="D754"/>
  <c r="Y753"/>
  <c r="Z753" s="1"/>
  <c r="W753"/>
  <c r="G753"/>
  <c r="W752" s="1"/>
  <c r="D753"/>
  <c r="Y752"/>
  <c r="Z752" s="1"/>
  <c r="G752"/>
  <c r="W751" s="1"/>
  <c r="D752"/>
  <c r="Y751"/>
  <c r="Z751" s="1"/>
  <c r="G751"/>
  <c r="W750" s="1"/>
  <c r="D751"/>
  <c r="Y750"/>
  <c r="Z750" s="1"/>
  <c r="D750"/>
  <c r="Y749"/>
  <c r="Z749" s="1"/>
  <c r="W749"/>
  <c r="G749"/>
  <c r="W748" s="1"/>
  <c r="D749"/>
  <c r="Y748"/>
  <c r="Z748" s="1"/>
  <c r="G748"/>
  <c r="W747" s="1"/>
  <c r="D748"/>
  <c r="Y747"/>
  <c r="Z747" s="1"/>
  <c r="G747"/>
  <c r="W746" s="1"/>
  <c r="D747"/>
  <c r="Y746"/>
  <c r="Z746" s="1"/>
  <c r="G746"/>
  <c r="D746"/>
  <c r="Y745"/>
  <c r="Z745" s="1"/>
  <c r="G745"/>
  <c r="W744" s="1"/>
  <c r="D745"/>
  <c r="Y744"/>
  <c r="Z744" s="1"/>
  <c r="D744"/>
  <c r="Y743"/>
  <c r="Z743" s="1"/>
  <c r="V743"/>
  <c r="G743"/>
  <c r="W742" s="1"/>
  <c r="D743"/>
  <c r="Y742"/>
  <c r="Z742" s="1"/>
  <c r="G742"/>
  <c r="W741" s="1"/>
  <c r="D742"/>
  <c r="Y741"/>
  <c r="Z741" s="1"/>
  <c r="G741"/>
  <c r="W740" s="1"/>
  <c r="D741"/>
  <c r="Y740"/>
  <c r="Z740" s="1"/>
  <c r="D740"/>
  <c r="Y739"/>
  <c r="Z739" s="1"/>
  <c r="W739"/>
  <c r="G739"/>
  <c r="W738" s="1"/>
  <c r="D739"/>
  <c r="Y738"/>
  <c r="Z738" s="1"/>
  <c r="G738"/>
  <c r="W737" s="1"/>
  <c r="D738"/>
  <c r="Y737"/>
  <c r="Z737" s="1"/>
  <c r="G737"/>
  <c r="W736" s="1"/>
  <c r="D737"/>
  <c r="Y736"/>
  <c r="Z736" s="1"/>
  <c r="G736"/>
  <c r="W735" s="1"/>
  <c r="D736"/>
  <c r="Y735"/>
  <c r="Z735" s="1"/>
  <c r="G735"/>
  <c r="W734" s="1"/>
  <c r="D735"/>
  <c r="Y734"/>
  <c r="Z734" s="1"/>
  <c r="G734"/>
  <c r="W733" s="1"/>
  <c r="D734"/>
  <c r="Y733"/>
  <c r="Z733" s="1"/>
  <c r="G733"/>
  <c r="W732" s="1"/>
  <c r="D733"/>
  <c r="Y732"/>
  <c r="Z732" s="1"/>
  <c r="D732"/>
  <c r="Y731"/>
  <c r="Z731" s="1"/>
  <c r="W731"/>
  <c r="G731"/>
  <c r="W730" s="1"/>
  <c r="D731"/>
  <c r="Y730"/>
  <c r="Z730" s="1"/>
  <c r="G730"/>
  <c r="W729" s="1"/>
  <c r="D730"/>
  <c r="Y729"/>
  <c r="Z729" s="1"/>
  <c r="G729"/>
  <c r="W728" s="1"/>
  <c r="D729"/>
  <c r="Y728"/>
  <c r="Z728" s="1"/>
  <c r="G728"/>
  <c r="W727" s="1"/>
  <c r="D728"/>
  <c r="Y727"/>
  <c r="Z727" s="1"/>
  <c r="D727"/>
  <c r="Y726"/>
  <c r="Z726" s="1"/>
  <c r="W726"/>
  <c r="G726"/>
  <c r="W725" s="1"/>
  <c r="D726"/>
  <c r="Y725"/>
  <c r="Z725" s="1"/>
  <c r="G725"/>
  <c r="W724" s="1"/>
  <c r="D725"/>
  <c r="Y724"/>
  <c r="Z724" s="1"/>
  <c r="G724"/>
  <c r="W723" s="1"/>
  <c r="D724"/>
  <c r="Y723"/>
  <c r="Z723" s="1"/>
  <c r="G723"/>
  <c r="W722" s="1"/>
  <c r="D723"/>
  <c r="Y722"/>
  <c r="Z722" s="1"/>
  <c r="G722"/>
  <c r="W721" s="1"/>
  <c r="D722"/>
  <c r="Y721"/>
  <c r="Z721" s="1"/>
  <c r="G721"/>
  <c r="W720" s="1"/>
  <c r="D721"/>
  <c r="Y720"/>
  <c r="Z720" s="1"/>
  <c r="G720"/>
  <c r="D720"/>
  <c r="Y719"/>
  <c r="Z719" s="1"/>
  <c r="V719"/>
  <c r="G719"/>
  <c r="W718" s="1"/>
  <c r="D719"/>
  <c r="Y718"/>
  <c r="Z718" s="1"/>
  <c r="G718"/>
  <c r="W717" s="1"/>
  <c r="D718"/>
  <c r="Y717"/>
  <c r="Z717" s="1"/>
  <c r="G717"/>
  <c r="W716" s="1"/>
  <c r="D717"/>
  <c r="Y716"/>
  <c r="Z716" s="1"/>
  <c r="G716"/>
  <c r="W715" s="1"/>
  <c r="D716"/>
  <c r="Y715"/>
  <c r="Z715" s="1"/>
  <c r="G715"/>
  <c r="W714" s="1"/>
  <c r="D715"/>
  <c r="Y714"/>
  <c r="Z714" s="1"/>
  <c r="G714"/>
  <c r="W713" s="1"/>
  <c r="D714"/>
  <c r="Y713"/>
  <c r="Z713" s="1"/>
  <c r="G713"/>
  <c r="W712" s="1"/>
  <c r="D713"/>
  <c r="Y712"/>
  <c r="Z712" s="1"/>
  <c r="G712"/>
  <c r="D712"/>
  <c r="Y711"/>
  <c r="Z711" s="1"/>
  <c r="V711"/>
  <c r="G711"/>
  <c r="W710" s="1"/>
  <c r="D711"/>
  <c r="Y710"/>
  <c r="Z710" s="1"/>
  <c r="G710"/>
  <c r="W709" s="1"/>
  <c r="D710"/>
  <c r="Y709"/>
  <c r="Z709" s="1"/>
  <c r="G709"/>
  <c r="W708" s="1"/>
  <c r="D709"/>
  <c r="Y708"/>
  <c r="Z708" s="1"/>
  <c r="G708"/>
  <c r="W707" s="1"/>
  <c r="D708"/>
  <c r="Y707"/>
  <c r="Z707" s="1"/>
  <c r="G707"/>
  <c r="W706" s="1"/>
  <c r="D707"/>
  <c r="Y706"/>
  <c r="Z706" s="1"/>
  <c r="G706"/>
  <c r="W705" s="1"/>
  <c r="D706"/>
  <c r="Y705"/>
  <c r="Z705" s="1"/>
  <c r="D705"/>
  <c r="Y704"/>
  <c r="Z704" s="1"/>
  <c r="W704"/>
  <c r="G704"/>
  <c r="W703" s="1"/>
  <c r="D704"/>
  <c r="Y703"/>
  <c r="Z703" s="1"/>
  <c r="G703"/>
  <c r="W702" s="1"/>
  <c r="D703"/>
  <c r="Y702"/>
  <c r="Z702" s="1"/>
  <c r="G702"/>
  <c r="W701" s="1"/>
  <c r="D702"/>
  <c r="Y701"/>
  <c r="Z701" s="1"/>
  <c r="G701"/>
  <c r="W700" s="1"/>
  <c r="D701"/>
  <c r="Y700"/>
  <c r="Z700" s="1"/>
  <c r="G700"/>
  <c r="W699" s="1"/>
  <c r="D700"/>
  <c r="Y699"/>
  <c r="Z699" s="1"/>
  <c r="D699"/>
  <c r="Y698"/>
  <c r="Z698" s="1"/>
  <c r="W698"/>
  <c r="G698"/>
  <c r="W697" s="1"/>
  <c r="D698"/>
  <c r="Y697"/>
  <c r="Z697" s="1"/>
  <c r="G697"/>
  <c r="W696" s="1"/>
  <c r="D697"/>
  <c r="Y696"/>
  <c r="Z696" s="1"/>
  <c r="G696"/>
  <c r="W695" s="1"/>
  <c r="D696"/>
  <c r="Y695"/>
  <c r="Z695" s="1"/>
  <c r="G695"/>
  <c r="D695"/>
  <c r="Y694"/>
  <c r="Z694" s="1"/>
  <c r="V694"/>
  <c r="G694"/>
  <c r="D694"/>
  <c r="Y693"/>
  <c r="Z693" s="1"/>
  <c r="D693"/>
  <c r="Y692"/>
  <c r="Z692" s="1"/>
  <c r="W692"/>
  <c r="G692"/>
  <c r="W691" s="1"/>
  <c r="D692"/>
  <c r="Y691"/>
  <c r="Z691" s="1"/>
  <c r="G691"/>
  <c r="W690" s="1"/>
  <c r="D691"/>
  <c r="Y690"/>
  <c r="Z690" s="1"/>
  <c r="G690"/>
  <c r="W689" s="1"/>
  <c r="D690"/>
  <c r="Y689"/>
  <c r="Z689" s="1"/>
  <c r="G689"/>
  <c r="W688" s="1"/>
  <c r="D689"/>
  <c r="Y688"/>
  <c r="Z688" s="1"/>
  <c r="G688"/>
  <c r="W687" s="1"/>
  <c r="D688"/>
  <c r="Y687"/>
  <c r="Z687" s="1"/>
  <c r="D687"/>
  <c r="Y686"/>
  <c r="Z686" s="1"/>
  <c r="W686"/>
  <c r="G686"/>
  <c r="W685" s="1"/>
  <c r="D686"/>
  <c r="Y685"/>
  <c r="Z685" s="1"/>
  <c r="G685"/>
  <c r="W684" s="1"/>
  <c r="D685"/>
  <c r="Y684"/>
  <c r="Z684" s="1"/>
  <c r="D684"/>
  <c r="Y683"/>
  <c r="Z683" s="1"/>
  <c r="W683"/>
  <c r="G683"/>
  <c r="W682" s="1"/>
  <c r="D683"/>
  <c r="Y682"/>
  <c r="Z682" s="1"/>
  <c r="G682"/>
  <c r="W681" s="1"/>
  <c r="D682"/>
  <c r="Y681"/>
  <c r="Z681" s="1"/>
  <c r="G681"/>
  <c r="W680" s="1"/>
  <c r="D681"/>
  <c r="Y680"/>
  <c r="Z680" s="1"/>
  <c r="G680"/>
  <c r="W679" s="1"/>
  <c r="D680"/>
  <c r="Y679"/>
  <c r="Z679" s="1"/>
  <c r="D679"/>
  <c r="Y678"/>
  <c r="Z678" s="1"/>
  <c r="W678"/>
  <c r="G678"/>
  <c r="W677" s="1"/>
  <c r="D678"/>
  <c r="Y677"/>
  <c r="Z677" s="1"/>
  <c r="G677"/>
  <c r="W676" s="1"/>
  <c r="D677"/>
  <c r="Y676"/>
  <c r="Z676" s="1"/>
  <c r="G676"/>
  <c r="W675" s="1"/>
  <c r="D676"/>
  <c r="Y675"/>
  <c r="Z675" s="1"/>
  <c r="G675"/>
  <c r="W674" s="1"/>
  <c r="D675"/>
  <c r="Y674"/>
  <c r="Z674" s="1"/>
  <c r="G674"/>
  <c r="W673" s="1"/>
  <c r="D674"/>
  <c r="Y673"/>
  <c r="Z673" s="1"/>
  <c r="G673"/>
  <c r="W672" s="1"/>
  <c r="D673"/>
  <c r="Y672"/>
  <c r="Z672" s="1"/>
  <c r="G672"/>
  <c r="W671" s="1"/>
  <c r="D672"/>
  <c r="Y671"/>
  <c r="Z671" s="1"/>
  <c r="D671"/>
  <c r="Y670"/>
  <c r="Z670" s="1"/>
  <c r="W670"/>
  <c r="G670"/>
  <c r="W669" s="1"/>
  <c r="D670"/>
  <c r="Y669"/>
  <c r="Z669" s="1"/>
  <c r="G669"/>
  <c r="W668" s="1"/>
  <c r="D669"/>
  <c r="Y668"/>
  <c r="Z668" s="1"/>
  <c r="G668"/>
  <c r="W666" s="1"/>
  <c r="D668"/>
  <c r="Y667"/>
  <c r="Z667" s="1"/>
  <c r="G667"/>
  <c r="Y666"/>
  <c r="Z666" s="1"/>
  <c r="D666"/>
  <c r="Y665"/>
  <c r="Z665" s="1"/>
  <c r="W665"/>
  <c r="G665"/>
  <c r="W664" s="1"/>
  <c r="D665"/>
  <c r="Y664"/>
  <c r="Z664" s="1"/>
  <c r="D664"/>
  <c r="Y663"/>
  <c r="Z663" s="1"/>
  <c r="W663"/>
  <c r="D663"/>
  <c r="Y662"/>
  <c r="Z662" s="1"/>
  <c r="W662"/>
  <c r="G662"/>
  <c r="W661" s="1"/>
  <c r="D662"/>
  <c r="Y661"/>
  <c r="Z661" s="1"/>
  <c r="G661"/>
  <c r="W660" s="1"/>
  <c r="D661"/>
  <c r="Y660"/>
  <c r="Z660" s="1"/>
  <c r="D660"/>
  <c r="Y659"/>
  <c r="Z659" s="1"/>
  <c r="V659"/>
  <c r="W659" s="1"/>
  <c r="G659"/>
  <c r="W658" s="1"/>
  <c r="D659"/>
  <c r="Y658"/>
  <c r="Z658" s="1"/>
  <c r="G658"/>
  <c r="W657" s="1"/>
  <c r="D658"/>
  <c r="Y657"/>
  <c r="Z657" s="1"/>
  <c r="D657"/>
  <c r="Y656"/>
  <c r="Z656" s="1"/>
  <c r="W656"/>
  <c r="G656"/>
  <c r="W655" s="1"/>
  <c r="D656"/>
  <c r="Y655"/>
  <c r="Z655" s="1"/>
  <c r="G655"/>
  <c r="W654" s="1"/>
  <c r="D655"/>
  <c r="Y654"/>
  <c r="Z654" s="1"/>
  <c r="D654"/>
  <c r="Y653"/>
  <c r="Z653" s="1"/>
  <c r="W653"/>
  <c r="G653"/>
  <c r="W652" s="1"/>
  <c r="D653"/>
  <c r="Y652"/>
  <c r="Z652" s="1"/>
  <c r="D652"/>
  <c r="Y651"/>
  <c r="Z651" s="1"/>
  <c r="W651"/>
  <c r="G651"/>
  <c r="W650" s="1"/>
  <c r="D651"/>
  <c r="Y650"/>
  <c r="Z650" s="1"/>
  <c r="G650"/>
  <c r="W649" s="1"/>
  <c r="D650"/>
  <c r="Y649"/>
  <c r="Z649" s="1"/>
  <c r="G649"/>
  <c r="W648" s="1"/>
  <c r="D649"/>
  <c r="Y648"/>
  <c r="Z648" s="1"/>
  <c r="G648"/>
  <c r="W647" s="1"/>
  <c r="D648"/>
  <c r="Y647"/>
  <c r="Z647" s="1"/>
  <c r="D647"/>
  <c r="Y646"/>
  <c r="Z646" s="1"/>
  <c r="W646"/>
  <c r="D646"/>
  <c r="Y645"/>
  <c r="Z645" s="1"/>
  <c r="D645"/>
  <c r="Y644"/>
  <c r="Z644" s="1"/>
  <c r="D644"/>
  <c r="Y643"/>
  <c r="Z643" s="1"/>
  <c r="G643"/>
  <c r="G644" s="1"/>
  <c r="W643" s="1"/>
  <c r="D643"/>
  <c r="Y642"/>
  <c r="Z642" s="1"/>
  <c r="G642"/>
  <c r="G645" s="1"/>
  <c r="W644" s="1"/>
  <c r="D642"/>
  <c r="Y641"/>
  <c r="Z641" s="1"/>
  <c r="G641"/>
  <c r="D641"/>
  <c r="Y640"/>
  <c r="Z640" s="1"/>
  <c r="V640"/>
  <c r="G640"/>
  <c r="W639" s="1"/>
  <c r="D640"/>
  <c r="Y639"/>
  <c r="Z639" s="1"/>
  <c r="D639"/>
  <c r="Y638"/>
  <c r="Z638" s="1"/>
  <c r="W638"/>
  <c r="G638"/>
  <c r="W637" s="1"/>
  <c r="D638"/>
  <c r="Y637"/>
  <c r="Z637" s="1"/>
  <c r="G637"/>
  <c r="W636" s="1"/>
  <c r="D637"/>
  <c r="Y636"/>
  <c r="Z636" s="1"/>
  <c r="G636"/>
  <c r="W635" s="1"/>
  <c r="D636"/>
  <c r="Y635"/>
  <c r="Z635" s="1"/>
  <c r="G635"/>
  <c r="W634" s="1"/>
  <c r="D635"/>
  <c r="Y634"/>
  <c r="Z634" s="1"/>
  <c r="D634"/>
  <c r="Y633"/>
  <c r="Z633" s="1"/>
  <c r="W633"/>
  <c r="D633"/>
  <c r="Y632"/>
  <c r="Z632" s="1"/>
  <c r="W632"/>
  <c r="G632"/>
  <c r="W631" s="1"/>
  <c r="D632"/>
  <c r="Y631"/>
  <c r="Z631" s="1"/>
  <c r="G631"/>
  <c r="W630" s="1"/>
  <c r="D631"/>
  <c r="Y630"/>
  <c r="Z630" s="1"/>
  <c r="G630"/>
  <c r="W629" s="1"/>
  <c r="D630"/>
  <c r="Y629"/>
  <c r="Z629" s="1"/>
  <c r="D629"/>
  <c r="Y628"/>
  <c r="Z628" s="1"/>
  <c r="W628"/>
  <c r="G628"/>
  <c r="W627" s="1"/>
  <c r="D628"/>
  <c r="Y627"/>
  <c r="Z627" s="1"/>
  <c r="G627"/>
  <c r="W626" s="1"/>
  <c r="D627"/>
  <c r="Y626"/>
  <c r="Z626" s="1"/>
  <c r="G626"/>
  <c r="W625" s="1"/>
  <c r="D626"/>
  <c r="Y625"/>
  <c r="Z625" s="1"/>
  <c r="D625"/>
  <c r="Y624"/>
  <c r="Z624" s="1"/>
  <c r="W624"/>
  <c r="G624"/>
  <c r="W623" s="1"/>
  <c r="D624"/>
  <c r="Y623"/>
  <c r="Z623" s="1"/>
  <c r="G623"/>
  <c r="W622" s="1"/>
  <c r="D623"/>
  <c r="Y622"/>
  <c r="Z622" s="1"/>
  <c r="G622"/>
  <c r="W621" s="1"/>
  <c r="D622"/>
  <c r="Y621"/>
  <c r="Z621" s="1"/>
  <c r="D621"/>
  <c r="Y620"/>
  <c r="Z620" s="1"/>
  <c r="W620"/>
  <c r="G620"/>
  <c r="W619" s="1"/>
  <c r="D620"/>
  <c r="Y619"/>
  <c r="Z619" s="1"/>
  <c r="G619"/>
  <c r="W618" s="1"/>
  <c r="D619"/>
  <c r="Y618"/>
  <c r="Z618" s="1"/>
  <c r="G618"/>
  <c r="W617" s="1"/>
  <c r="D618"/>
  <c r="Y617"/>
  <c r="Z617" s="1"/>
  <c r="G617"/>
  <c r="W616" s="1"/>
  <c r="D617"/>
  <c r="Y616"/>
  <c r="Z616" s="1"/>
  <c r="D616"/>
  <c r="Y615"/>
  <c r="Z615" s="1"/>
  <c r="W615"/>
  <c r="G615"/>
  <c r="W614" s="1"/>
  <c r="D615"/>
  <c r="Y614"/>
  <c r="Z614" s="1"/>
  <c r="G614"/>
  <c r="W613" s="1"/>
  <c r="D614"/>
  <c r="Y613"/>
  <c r="Z613" s="1"/>
  <c r="G613"/>
  <c r="W612" s="1"/>
  <c r="D613"/>
  <c r="Y612"/>
  <c r="Z612" s="1"/>
  <c r="G612"/>
  <c r="W611" s="1"/>
  <c r="D612"/>
  <c r="Y611"/>
  <c r="Z611" s="1"/>
  <c r="G611"/>
  <c r="W610" s="1"/>
  <c r="D611"/>
  <c r="Y610"/>
  <c r="Z610" s="1"/>
  <c r="G610"/>
  <c r="W609" s="1"/>
  <c r="D610"/>
  <c r="Y609"/>
  <c r="Z609" s="1"/>
  <c r="G609"/>
  <c r="D609"/>
  <c r="Y608"/>
  <c r="Z608" s="1"/>
  <c r="V608"/>
  <c r="G608"/>
  <c r="W607" s="1"/>
  <c r="D608"/>
  <c r="Y607"/>
  <c r="Z607" s="1"/>
  <c r="G607"/>
  <c r="W606" s="1"/>
  <c r="D607"/>
  <c r="Y606"/>
  <c r="Z606" s="1"/>
  <c r="G606"/>
  <c r="W605" s="1"/>
  <c r="D606"/>
  <c r="Y605"/>
  <c r="Z605" s="1"/>
  <c r="D605"/>
  <c r="Y604"/>
  <c r="Z604" s="1"/>
  <c r="W604"/>
  <c r="G604"/>
  <c r="W603" s="1"/>
  <c r="D604"/>
  <c r="Y603"/>
  <c r="Z603" s="1"/>
  <c r="G603"/>
  <c r="W602" s="1"/>
  <c r="D603"/>
  <c r="Y602"/>
  <c r="Z602" s="1"/>
  <c r="G602"/>
  <c r="W601" s="1"/>
  <c r="D602"/>
  <c r="Y601"/>
  <c r="Z601" s="1"/>
  <c r="G601"/>
  <c r="W600" s="1"/>
  <c r="D601"/>
  <c r="Y600"/>
  <c r="Z600" s="1"/>
  <c r="G600"/>
  <c r="W599" s="1"/>
  <c r="D600"/>
  <c r="Y599"/>
  <c r="Z599" s="1"/>
  <c r="D599"/>
  <c r="Y598"/>
  <c r="Z598" s="1"/>
  <c r="W598"/>
  <c r="G598"/>
  <c r="W597" s="1"/>
  <c r="D598"/>
  <c r="Y597"/>
  <c r="Z597" s="1"/>
  <c r="G597"/>
  <c r="W596" s="1"/>
  <c r="D597"/>
  <c r="Y596"/>
  <c r="Z596" s="1"/>
  <c r="G596"/>
  <c r="W595" s="1"/>
  <c r="D596"/>
  <c r="Y595"/>
  <c r="Z595" s="1"/>
  <c r="G595"/>
  <c r="W594" s="1"/>
  <c r="D595"/>
  <c r="Y594"/>
  <c r="Z594" s="1"/>
  <c r="G594"/>
  <c r="W593" s="1"/>
  <c r="D594"/>
  <c r="Y593"/>
  <c r="Z593" s="1"/>
  <c r="D593"/>
  <c r="Y592"/>
  <c r="Z592" s="1"/>
  <c r="W592"/>
  <c r="G592"/>
  <c r="W591" s="1"/>
  <c r="D592"/>
  <c r="Y591"/>
  <c r="Z591" s="1"/>
  <c r="G591"/>
  <c r="W590" s="1"/>
  <c r="D591"/>
  <c r="Y590"/>
  <c r="Z590" s="1"/>
  <c r="G590"/>
  <c r="W589" s="1"/>
  <c r="D590"/>
  <c r="Y589"/>
  <c r="Z589" s="1"/>
  <c r="G589"/>
  <c r="W588" s="1"/>
  <c r="D589"/>
  <c r="Y588"/>
  <c r="Z588" s="1"/>
  <c r="G588"/>
  <c r="W587" s="1"/>
  <c r="D588"/>
  <c r="Y587"/>
  <c r="Z587" s="1"/>
  <c r="G587"/>
  <c r="W586" s="1"/>
  <c r="D587"/>
  <c r="Y586"/>
  <c r="Z586" s="1"/>
  <c r="D586"/>
  <c r="Y585"/>
  <c r="Z585" s="1"/>
  <c r="W585"/>
  <c r="D585"/>
  <c r="Y584"/>
  <c r="Z584" s="1"/>
  <c r="W584"/>
  <c r="D584"/>
  <c r="Y583"/>
  <c r="Z583" s="1"/>
  <c r="W583"/>
  <c r="D583"/>
  <c r="Y582"/>
  <c r="Z582" s="1"/>
  <c r="W582"/>
  <c r="D582"/>
  <c r="Y581"/>
  <c r="Z581" s="1"/>
  <c r="W581"/>
  <c r="D581"/>
  <c r="Y580"/>
  <c r="Z580" s="1"/>
  <c r="W580"/>
  <c r="D580"/>
  <c r="Y579"/>
  <c r="Z579" s="1"/>
  <c r="W579"/>
  <c r="D579"/>
  <c r="Y578"/>
  <c r="Z578" s="1"/>
  <c r="W578"/>
  <c r="G578"/>
  <c r="W577" s="1"/>
  <c r="D578"/>
  <c r="Y577"/>
  <c r="Z577" s="1"/>
  <c r="G577"/>
  <c r="W576" s="1"/>
  <c r="D577"/>
  <c r="Y576"/>
  <c r="Z576" s="1"/>
  <c r="G576"/>
  <c r="W575" s="1"/>
  <c r="D576"/>
  <c r="Y575"/>
  <c r="Z575" s="1"/>
  <c r="G575"/>
  <c r="W574" s="1"/>
  <c r="D575"/>
  <c r="Y574"/>
  <c r="Z574" s="1"/>
  <c r="G574"/>
  <c r="W573" s="1"/>
  <c r="D574"/>
  <c r="Y573"/>
  <c r="Z573" s="1"/>
  <c r="G573"/>
  <c r="D573"/>
  <c r="Y572"/>
  <c r="Z572" s="1"/>
  <c r="G572"/>
  <c r="W571" s="1"/>
  <c r="D572"/>
  <c r="Y571"/>
  <c r="Z571" s="1"/>
  <c r="G571"/>
  <c r="W570" s="1"/>
  <c r="D571"/>
  <c r="Y570"/>
  <c r="Z570" s="1"/>
  <c r="D570"/>
  <c r="Y569"/>
  <c r="Z569" s="1"/>
  <c r="W569"/>
  <c r="G569"/>
  <c r="W568" s="1"/>
  <c r="D569"/>
  <c r="Y568"/>
  <c r="Z568" s="1"/>
  <c r="G568"/>
  <c r="W567" s="1"/>
  <c r="D568"/>
  <c r="Y567"/>
  <c r="Z567" s="1"/>
  <c r="D567"/>
  <c r="Y566"/>
  <c r="Z566" s="1"/>
  <c r="W566"/>
  <c r="G566"/>
  <c r="W565" s="1"/>
  <c r="D566"/>
  <c r="Y565"/>
  <c r="Z565" s="1"/>
  <c r="G565"/>
  <c r="W564" s="1"/>
  <c r="D565"/>
  <c r="Y564"/>
  <c r="Z564" s="1"/>
  <c r="G564"/>
  <c r="W563" s="1"/>
  <c r="D564"/>
  <c r="Y563"/>
  <c r="Z563" s="1"/>
  <c r="G563"/>
  <c r="W562" s="1"/>
  <c r="D563"/>
  <c r="Y562"/>
  <c r="Z562" s="1"/>
  <c r="G562"/>
  <c r="W561" s="1"/>
  <c r="D562"/>
  <c r="Y561"/>
  <c r="Z561" s="1"/>
  <c r="G561"/>
  <c r="W560" s="1"/>
  <c r="D561"/>
  <c r="Y560"/>
  <c r="Z560" s="1"/>
  <c r="D560"/>
  <c r="Y559"/>
  <c r="Z559" s="1"/>
  <c r="W559"/>
  <c r="G559"/>
  <c r="W558" s="1"/>
  <c r="D559"/>
  <c r="Y558"/>
  <c r="Z558" s="1"/>
  <c r="G558"/>
  <c r="W557" s="1"/>
  <c r="D558"/>
  <c r="Y557"/>
  <c r="Z557" s="1"/>
  <c r="G557"/>
  <c r="W556" s="1"/>
  <c r="D557"/>
  <c r="Y556"/>
  <c r="Z556" s="1"/>
  <c r="G556"/>
  <c r="W555" s="1"/>
  <c r="D556"/>
  <c r="Y555"/>
  <c r="Z555" s="1"/>
  <c r="G555"/>
  <c r="W554" s="1"/>
  <c r="D555"/>
  <c r="Y554"/>
  <c r="Z554" s="1"/>
  <c r="G554"/>
  <c r="D554"/>
  <c r="Y553"/>
  <c r="Z553" s="1"/>
  <c r="G553"/>
  <c r="W552" s="1"/>
  <c r="Y552"/>
  <c r="Z552" s="1"/>
  <c r="D552"/>
  <c r="Y551"/>
  <c r="Z551" s="1"/>
  <c r="W551"/>
  <c r="G551"/>
  <c r="W550" s="1"/>
  <c r="D551"/>
  <c r="Y550"/>
  <c r="Z550" s="1"/>
  <c r="G550"/>
  <c r="W549" s="1"/>
  <c r="D550"/>
  <c r="Y549"/>
  <c r="Z549" s="1"/>
  <c r="G549"/>
  <c r="W548" s="1"/>
  <c r="D549"/>
  <c r="Y548"/>
  <c r="Z548" s="1"/>
  <c r="G548"/>
  <c r="W547" s="1"/>
  <c r="D548"/>
  <c r="Y547"/>
  <c r="Z547" s="1"/>
  <c r="G547"/>
  <c r="W546" s="1"/>
  <c r="D547"/>
  <c r="Y546"/>
  <c r="Z546" s="1"/>
  <c r="G546"/>
  <c r="W545" s="1"/>
  <c r="D546"/>
  <c r="Y545"/>
  <c r="Z545" s="1"/>
  <c r="D545"/>
  <c r="Y544"/>
  <c r="Z544" s="1"/>
  <c r="W544"/>
  <c r="G544"/>
  <c r="W543" s="1"/>
  <c r="D544"/>
  <c r="Y543"/>
  <c r="Z543" s="1"/>
  <c r="G543"/>
  <c r="W542" s="1"/>
  <c r="D543"/>
  <c r="Y542"/>
  <c r="Z542" s="1"/>
  <c r="G542"/>
  <c r="W541" s="1"/>
  <c r="D542"/>
  <c r="Y541"/>
  <c r="Z541" s="1"/>
  <c r="G541"/>
  <c r="W540" s="1"/>
  <c r="D541"/>
  <c r="Y540"/>
  <c r="Z540" s="1"/>
  <c r="G540"/>
  <c r="W539" s="1"/>
  <c r="D540"/>
  <c r="Y539"/>
  <c r="Z539" s="1"/>
  <c r="D539"/>
  <c r="Y538"/>
  <c r="Z538" s="1"/>
  <c r="W538"/>
  <c r="G538"/>
  <c r="W537" s="1"/>
  <c r="D538"/>
  <c r="Y537"/>
  <c r="Z537" s="1"/>
  <c r="G537"/>
  <c r="W536" s="1"/>
  <c r="D537"/>
  <c r="Y536"/>
  <c r="Z536" s="1"/>
  <c r="G536"/>
  <c r="W535" s="1"/>
  <c r="D536"/>
  <c r="Y535"/>
  <c r="Z535" s="1"/>
  <c r="G535"/>
  <c r="W534" s="1"/>
  <c r="D535"/>
  <c r="Y534"/>
  <c r="Z534" s="1"/>
  <c r="G534"/>
  <c r="W533" s="1"/>
  <c r="D534"/>
  <c r="Y533"/>
  <c r="Z533" s="1"/>
  <c r="D533"/>
  <c r="Y532"/>
  <c r="Z532" s="1"/>
  <c r="W532"/>
  <c r="G532"/>
  <c r="W531" s="1"/>
  <c r="D532"/>
  <c r="Y531"/>
  <c r="Z531" s="1"/>
  <c r="G531"/>
  <c r="W530" s="1"/>
  <c r="D531"/>
  <c r="Y530"/>
  <c r="Z530" s="1"/>
  <c r="G530"/>
  <c r="W529" s="1"/>
  <c r="D530"/>
  <c r="Y529"/>
  <c r="Z529" s="1"/>
  <c r="G529"/>
  <c r="W528" s="1"/>
  <c r="D529"/>
  <c r="Y528"/>
  <c r="Z528" s="1"/>
  <c r="G528"/>
  <c r="W527" s="1"/>
  <c r="D528"/>
  <c r="Y527"/>
  <c r="Z527" s="1"/>
  <c r="G527"/>
  <c r="W526" s="1"/>
  <c r="D527"/>
  <c r="Y526"/>
  <c r="Z526" s="1"/>
  <c r="D526"/>
  <c r="Y525"/>
  <c r="Z525" s="1"/>
  <c r="W525"/>
  <c r="G525"/>
  <c r="W524" s="1"/>
  <c r="D525"/>
  <c r="Y524"/>
  <c r="Z524" s="1"/>
  <c r="G524"/>
  <c r="W523" s="1"/>
  <c r="D524"/>
  <c r="Y523"/>
  <c r="Z523" s="1"/>
  <c r="G523"/>
  <c r="W522" s="1"/>
  <c r="D523"/>
  <c r="Y522"/>
  <c r="Z522" s="1"/>
  <c r="G522"/>
  <c r="W521" s="1"/>
  <c r="D522"/>
  <c r="Y521"/>
  <c r="Z521" s="1"/>
  <c r="G521"/>
  <c r="W520" s="1"/>
  <c r="D521"/>
  <c r="Y520"/>
  <c r="Z520" s="1"/>
  <c r="D520"/>
  <c r="Y519"/>
  <c r="Z519" s="1"/>
  <c r="W519"/>
  <c r="G519"/>
  <c r="W518" s="1"/>
  <c r="D519"/>
  <c r="Y518"/>
  <c r="Z518" s="1"/>
  <c r="G518"/>
  <c r="W517" s="1"/>
  <c r="D518"/>
  <c r="Y517"/>
  <c r="Z517" s="1"/>
  <c r="G517"/>
  <c r="W516" s="1"/>
  <c r="D517"/>
  <c r="Y516"/>
  <c r="Z516" s="1"/>
  <c r="G516"/>
  <c r="W515" s="1"/>
  <c r="D516"/>
  <c r="Y515"/>
  <c r="Z515" s="1"/>
  <c r="G515"/>
  <c r="W514" s="1"/>
  <c r="D515"/>
  <c r="Y514"/>
  <c r="Z514" s="1"/>
  <c r="G514"/>
  <c r="W513" s="1"/>
  <c r="D514"/>
  <c r="Y513"/>
  <c r="Z513" s="1"/>
  <c r="D513"/>
  <c r="Y512"/>
  <c r="Z512" s="1"/>
  <c r="W512"/>
  <c r="G512"/>
  <c r="W511" s="1"/>
  <c r="D512"/>
  <c r="Y511"/>
  <c r="Z511" s="1"/>
  <c r="G511"/>
  <c r="W510" s="1"/>
  <c r="D511"/>
  <c r="Y510"/>
  <c r="Z510" s="1"/>
  <c r="G510"/>
  <c r="W509" s="1"/>
  <c r="D510"/>
  <c r="Y509"/>
  <c r="Z509" s="1"/>
  <c r="G509"/>
  <c r="W508" s="1"/>
  <c r="D509"/>
  <c r="Y508"/>
  <c r="Z508" s="1"/>
  <c r="G508"/>
  <c r="W507" s="1"/>
  <c r="D508"/>
  <c r="Y507"/>
  <c r="Z507" s="1"/>
  <c r="D507"/>
  <c r="Y506"/>
  <c r="Z506" s="1"/>
  <c r="W506"/>
  <c r="G506"/>
  <c r="W505" s="1"/>
  <c r="D506"/>
  <c r="Y505"/>
  <c r="Z505" s="1"/>
  <c r="G505"/>
  <c r="W504" s="1"/>
  <c r="D505"/>
  <c r="Y504"/>
  <c r="Z504" s="1"/>
  <c r="G504"/>
  <c r="W503" s="1"/>
  <c r="D504"/>
  <c r="Y503"/>
  <c r="Z503" s="1"/>
  <c r="G503"/>
  <c r="W502" s="1"/>
  <c r="D503"/>
  <c r="Y502"/>
  <c r="Z502" s="1"/>
  <c r="G502"/>
  <c r="W501" s="1"/>
  <c r="D502"/>
  <c r="Y501"/>
  <c r="Z501" s="1"/>
  <c r="G501"/>
  <c r="W500" s="1"/>
  <c r="D501"/>
  <c r="Y500"/>
  <c r="Z500" s="1"/>
  <c r="D500"/>
  <c r="Y499"/>
  <c r="Z499" s="1"/>
  <c r="W499"/>
  <c r="G499"/>
  <c r="W498" s="1"/>
  <c r="D499"/>
  <c r="Y498"/>
  <c r="Z498" s="1"/>
  <c r="G498"/>
  <c r="W497" s="1"/>
  <c r="D498"/>
  <c r="Y497"/>
  <c r="Z497" s="1"/>
  <c r="G497"/>
  <c r="W496" s="1"/>
  <c r="D497"/>
  <c r="Y496"/>
  <c r="Z496" s="1"/>
  <c r="G496"/>
  <c r="W495" s="1"/>
  <c r="D496"/>
  <c r="Y495"/>
  <c r="Z495" s="1"/>
  <c r="G495"/>
  <c r="W494" s="1"/>
  <c r="D495"/>
  <c r="Y494"/>
  <c r="Z494" s="1"/>
  <c r="D494"/>
  <c r="Y493"/>
  <c r="Z493" s="1"/>
  <c r="W493"/>
  <c r="G493"/>
  <c r="W492" s="1"/>
  <c r="D493"/>
  <c r="Y492"/>
  <c r="Z492" s="1"/>
  <c r="G492"/>
  <c r="W491" s="1"/>
  <c r="D492"/>
  <c r="Y491"/>
  <c r="Z491" s="1"/>
  <c r="G491"/>
  <c r="W490" s="1"/>
  <c r="D491"/>
  <c r="Y490"/>
  <c r="Z490" s="1"/>
  <c r="G490"/>
  <c r="W489" s="1"/>
  <c r="D490"/>
  <c r="Y489"/>
  <c r="Z489" s="1"/>
  <c r="D489"/>
  <c r="Y488"/>
  <c r="Z488" s="1"/>
  <c r="W488"/>
  <c r="G488"/>
  <c r="W487" s="1"/>
  <c r="D488"/>
  <c r="Y487"/>
  <c r="Z487" s="1"/>
  <c r="G487"/>
  <c r="W486" s="1"/>
  <c r="D487"/>
  <c r="Y486"/>
  <c r="Z486" s="1"/>
  <c r="G486"/>
  <c r="W485" s="1"/>
  <c r="D486"/>
  <c r="Y485"/>
  <c r="Z485" s="1"/>
  <c r="G485"/>
  <c r="W484" s="1"/>
  <c r="D485"/>
  <c r="Y484"/>
  <c r="Z484" s="1"/>
  <c r="G484"/>
  <c r="W483" s="1"/>
  <c r="D484"/>
  <c r="Y483"/>
  <c r="Z483" s="1"/>
  <c r="G483"/>
  <c r="W482" s="1"/>
  <c r="D483"/>
  <c r="Y482"/>
  <c r="Z482" s="1"/>
  <c r="D482"/>
  <c r="Y481"/>
  <c r="Z481" s="1"/>
  <c r="W481"/>
  <c r="G481"/>
  <c r="W480" s="1"/>
  <c r="D481"/>
  <c r="Y480"/>
  <c r="Z480" s="1"/>
  <c r="G480"/>
  <c r="W479" s="1"/>
  <c r="D480"/>
  <c r="Y479"/>
  <c r="Z479" s="1"/>
  <c r="G479"/>
  <c r="W478" s="1"/>
  <c r="D479"/>
  <c r="Y478"/>
  <c r="Z478" s="1"/>
  <c r="G478"/>
  <c r="W477" s="1"/>
  <c r="D478"/>
  <c r="Y477"/>
  <c r="Z477" s="1"/>
  <c r="G477"/>
  <c r="W476" s="1"/>
  <c r="D477"/>
  <c r="Y476"/>
  <c r="Z476" s="1"/>
  <c r="D476"/>
  <c r="Y475"/>
  <c r="Z475" s="1"/>
  <c r="W475"/>
  <c r="G475"/>
  <c r="W474" s="1"/>
  <c r="D475"/>
  <c r="Y474"/>
  <c r="Z474" s="1"/>
  <c r="D474"/>
  <c r="Y473"/>
  <c r="Z473" s="1"/>
  <c r="W473"/>
  <c r="G473"/>
  <c r="W472" s="1"/>
  <c r="D473"/>
  <c r="Y472"/>
  <c r="Z472" s="1"/>
  <c r="G472"/>
  <c r="W471" s="1"/>
  <c r="D472"/>
  <c r="Y471"/>
  <c r="Z471" s="1"/>
  <c r="G471"/>
  <c r="W470" s="1"/>
  <c r="D471"/>
  <c r="Y470"/>
  <c r="Z470" s="1"/>
  <c r="D470"/>
  <c r="Y469"/>
  <c r="Z469" s="1"/>
  <c r="W469"/>
  <c r="G469"/>
  <c r="W468" s="1"/>
  <c r="D469"/>
  <c r="Y468"/>
  <c r="Z468" s="1"/>
  <c r="D468"/>
  <c r="Y467"/>
  <c r="Z467" s="1"/>
  <c r="W467"/>
  <c r="G467"/>
  <c r="W466" s="1"/>
  <c r="D467"/>
  <c r="Y466"/>
  <c r="Z466" s="1"/>
  <c r="G466"/>
  <c r="W465" s="1"/>
  <c r="D466"/>
  <c r="Y465"/>
  <c r="Z465" s="1"/>
  <c r="G465"/>
  <c r="W464" s="1"/>
  <c r="D465"/>
  <c r="Y464"/>
  <c r="Z464" s="1"/>
  <c r="G464"/>
  <c r="W463" s="1"/>
  <c r="D464"/>
  <c r="Y463"/>
  <c r="Z463" s="1"/>
  <c r="G463"/>
  <c r="W462" s="1"/>
  <c r="D463"/>
  <c r="Y462"/>
  <c r="Z462" s="1"/>
  <c r="G462"/>
  <c r="W461" s="1"/>
  <c r="D462"/>
  <c r="Y461"/>
  <c r="Z461" s="1"/>
  <c r="D461"/>
  <c r="Y460"/>
  <c r="Z460" s="1"/>
  <c r="Y459"/>
  <c r="Z459" s="1"/>
  <c r="W459"/>
  <c r="G459"/>
  <c r="W458" s="1"/>
  <c r="D459"/>
  <c r="Y458"/>
  <c r="Z458" s="1"/>
  <c r="G458"/>
  <c r="W457" s="1"/>
  <c r="D458"/>
  <c r="Y457"/>
  <c r="Z457" s="1"/>
  <c r="G457"/>
  <c r="W456" s="1"/>
  <c r="D457"/>
  <c r="Y456"/>
  <c r="Z456" s="1"/>
  <c r="G456"/>
  <c r="W455" s="1"/>
  <c r="D456"/>
  <c r="Y455"/>
  <c r="Z455" s="1"/>
  <c r="G455"/>
  <c r="W454" s="1"/>
  <c r="D455"/>
  <c r="Y454"/>
  <c r="Z454" s="1"/>
  <c r="G454"/>
  <c r="W452" s="1"/>
  <c r="D454"/>
  <c r="Y453"/>
  <c r="Z453" s="1"/>
  <c r="Y452"/>
  <c r="Z452" s="1"/>
  <c r="G452"/>
  <c r="W451" s="1"/>
  <c r="D452"/>
  <c r="Y451"/>
  <c r="Z451" s="1"/>
  <c r="D451"/>
  <c r="Y450"/>
  <c r="Z450" s="1"/>
  <c r="W450"/>
  <c r="D450"/>
  <c r="Y449"/>
  <c r="Z449" s="1"/>
  <c r="W449"/>
  <c r="D449"/>
  <c r="Y448"/>
  <c r="Z448" s="1"/>
  <c r="W448"/>
  <c r="G448"/>
  <c r="W447" s="1"/>
  <c r="D448"/>
  <c r="Y447"/>
  <c r="Z447" s="1"/>
  <c r="G447"/>
  <c r="W446" s="1"/>
  <c r="D447"/>
  <c r="Y446"/>
  <c r="Z446" s="1"/>
  <c r="G446"/>
  <c r="W445" s="1"/>
  <c r="D446"/>
  <c r="Y445"/>
  <c r="Z445" s="1"/>
  <c r="G445"/>
  <c r="W444" s="1"/>
  <c r="D445"/>
  <c r="Y444"/>
  <c r="Z444" s="1"/>
  <c r="G444"/>
  <c r="W443" s="1"/>
  <c r="D444"/>
  <c r="Y443"/>
  <c r="Z443" s="1"/>
  <c r="G443"/>
  <c r="W442" s="1"/>
  <c r="D443"/>
  <c r="Y442"/>
  <c r="Z442" s="1"/>
  <c r="G442"/>
  <c r="W441" s="1"/>
  <c r="D442"/>
  <c r="Y441"/>
  <c r="Z441" s="1"/>
  <c r="D441"/>
  <c r="Y440"/>
  <c r="Z440" s="1"/>
  <c r="W440"/>
  <c r="G440"/>
  <c r="W439" s="1"/>
  <c r="D440"/>
  <c r="Y439"/>
  <c r="Z439" s="1"/>
  <c r="G439"/>
  <c r="W438" s="1"/>
  <c r="D439"/>
  <c r="Y438"/>
  <c r="Z438" s="1"/>
  <c r="G438"/>
  <c r="W437" s="1"/>
  <c r="D438"/>
  <c r="Y437"/>
  <c r="Z437" s="1"/>
  <c r="G437"/>
  <c r="W436" s="1"/>
  <c r="D437"/>
  <c r="Y436"/>
  <c r="Z436" s="1"/>
  <c r="G436"/>
  <c r="W435" s="1"/>
  <c r="D436"/>
  <c r="Y435"/>
  <c r="Z435" s="1"/>
  <c r="G435"/>
  <c r="W434" s="1"/>
  <c r="D435"/>
  <c r="Y434"/>
  <c r="Z434" s="1"/>
  <c r="G434"/>
  <c r="W433" s="1"/>
  <c r="D434"/>
  <c r="Y433"/>
  <c r="Z433" s="1"/>
  <c r="D433"/>
  <c r="Y432"/>
  <c r="Z432" s="1"/>
  <c r="W432"/>
  <c r="G432"/>
  <c r="W431" s="1"/>
  <c r="D432"/>
  <c r="Y431"/>
  <c r="Z431" s="1"/>
  <c r="D431"/>
  <c r="Y430"/>
  <c r="Z430" s="1"/>
  <c r="W430"/>
  <c r="G430"/>
  <c r="W429" s="1"/>
  <c r="D430"/>
  <c r="Y429"/>
  <c r="Z429" s="1"/>
  <c r="G429"/>
  <c r="W428" s="1"/>
  <c r="D429"/>
  <c r="Y428"/>
  <c r="Z428" s="1"/>
  <c r="G428"/>
  <c r="W427" s="1"/>
  <c r="D428"/>
  <c r="Y427"/>
  <c r="Z427" s="1"/>
  <c r="D427"/>
  <c r="Y426"/>
  <c r="Z426" s="1"/>
  <c r="W426"/>
  <c r="G426"/>
  <c r="W425" s="1"/>
  <c r="D426"/>
  <c r="Y425"/>
  <c r="Z425" s="1"/>
  <c r="G425"/>
  <c r="W424" s="1"/>
  <c r="D425"/>
  <c r="Y424"/>
  <c r="Z424" s="1"/>
  <c r="D424"/>
  <c r="Y423"/>
  <c r="Z423" s="1"/>
  <c r="W423"/>
  <c r="G423"/>
  <c r="W422" s="1"/>
  <c r="D423"/>
  <c r="Y422"/>
  <c r="Z422" s="1"/>
  <c r="G422"/>
  <c r="W421" s="1"/>
  <c r="D422"/>
  <c r="Y421"/>
  <c r="Z421" s="1"/>
  <c r="D421"/>
  <c r="Y420"/>
  <c r="Z420" s="1"/>
  <c r="W420"/>
  <c r="G420"/>
  <c r="W419" s="1"/>
  <c r="D420"/>
  <c r="Y419"/>
  <c r="Z419" s="1"/>
  <c r="G419"/>
  <c r="W418" s="1"/>
  <c r="D419"/>
  <c r="Y418"/>
  <c r="Z418" s="1"/>
  <c r="D418"/>
  <c r="Y417"/>
  <c r="Z417" s="1"/>
  <c r="W417"/>
  <c r="G417"/>
  <c r="W416" s="1"/>
  <c r="D417"/>
  <c r="Y416"/>
  <c r="Z416" s="1"/>
  <c r="D416"/>
  <c r="Y415"/>
  <c r="Z415" s="1"/>
  <c r="W415"/>
  <c r="G415"/>
  <c r="W414" s="1"/>
  <c r="D415"/>
  <c r="Y414"/>
  <c r="Z414" s="1"/>
  <c r="D414"/>
  <c r="Y413"/>
  <c r="Z413" s="1"/>
  <c r="W413"/>
  <c r="D413"/>
  <c r="Y412"/>
  <c r="Z412" s="1"/>
  <c r="V412"/>
  <c r="W412" s="1"/>
  <c r="G412"/>
  <c r="W411" s="1"/>
  <c r="D412"/>
  <c r="Y411"/>
  <c r="Z411" s="1"/>
  <c r="D411"/>
  <c r="Y410"/>
  <c r="Z410" s="1"/>
  <c r="W410"/>
  <c r="G410"/>
  <c r="W409" s="1"/>
  <c r="D410"/>
  <c r="Y409"/>
  <c r="Z409" s="1"/>
  <c r="G409"/>
  <c r="W408" s="1"/>
  <c r="D409"/>
  <c r="Y408"/>
  <c r="Z408" s="1"/>
  <c r="G408"/>
  <c r="W407" s="1"/>
  <c r="D408"/>
  <c r="Y407"/>
  <c r="Z407" s="1"/>
  <c r="D407"/>
  <c r="Y406"/>
  <c r="Z406" s="1"/>
  <c r="W406"/>
  <c r="G406"/>
  <c r="W405" s="1"/>
  <c r="D406"/>
  <c r="Y405"/>
  <c r="Z405" s="1"/>
  <c r="G405"/>
  <c r="W404" s="1"/>
  <c r="D405"/>
  <c r="Y404"/>
  <c r="Z404" s="1"/>
  <c r="G404"/>
  <c r="W403" s="1"/>
  <c r="D404"/>
  <c r="Y403"/>
  <c r="Z403" s="1"/>
  <c r="G403"/>
  <c r="W402" s="1"/>
  <c r="D403"/>
  <c r="Y402"/>
  <c r="Z402" s="1"/>
  <c r="G402"/>
  <c r="W401" s="1"/>
  <c r="D402"/>
  <c r="Y401"/>
  <c r="Z401" s="1"/>
  <c r="G401"/>
  <c r="W400" s="1"/>
  <c r="D401"/>
  <c r="Y400"/>
  <c r="Z400" s="1"/>
  <c r="G400"/>
  <c r="W399" s="1"/>
  <c r="D400"/>
  <c r="Y399"/>
  <c r="Z399" s="1"/>
  <c r="G399"/>
  <c r="W398" s="1"/>
  <c r="D399"/>
  <c r="Y398"/>
  <c r="Z398" s="1"/>
  <c r="G398"/>
  <c r="W397" s="1"/>
  <c r="D398"/>
  <c r="Y397"/>
  <c r="Z397" s="1"/>
  <c r="G397"/>
  <c r="W396" s="1"/>
  <c r="D397"/>
  <c r="Y396"/>
  <c r="Z396" s="1"/>
  <c r="D396"/>
  <c r="Y395"/>
  <c r="Z395" s="1"/>
  <c r="W395"/>
  <c r="G395"/>
  <c r="W394" s="1"/>
  <c r="D395"/>
  <c r="Y394"/>
  <c r="Z394" s="1"/>
  <c r="G394"/>
  <c r="W393" s="1"/>
  <c r="D394"/>
  <c r="Y393"/>
  <c r="Z393" s="1"/>
  <c r="G393"/>
  <c r="W392" s="1"/>
  <c r="D393"/>
  <c r="Y392"/>
  <c r="Z392" s="1"/>
  <c r="G392"/>
  <c r="W391" s="1"/>
  <c r="D392"/>
  <c r="Y391"/>
  <c r="Z391" s="1"/>
  <c r="G391"/>
  <c r="W390" s="1"/>
  <c r="D391"/>
  <c r="Y390"/>
  <c r="Z390" s="1"/>
  <c r="D390"/>
  <c r="Y389"/>
  <c r="Z389" s="1"/>
  <c r="W389"/>
  <c r="G389"/>
  <c r="W388" s="1"/>
  <c r="D389"/>
  <c r="Y388"/>
  <c r="Z388" s="1"/>
  <c r="G388"/>
  <c r="W387" s="1"/>
  <c r="D388"/>
  <c r="Y387"/>
  <c r="Z387" s="1"/>
  <c r="G387"/>
  <c r="W386" s="1"/>
  <c r="D387"/>
  <c r="Y386"/>
  <c r="Z386" s="1"/>
  <c r="G386"/>
  <c r="W385" s="1"/>
  <c r="D386"/>
  <c r="Y385"/>
  <c r="Z385" s="1"/>
  <c r="G385"/>
  <c r="W384" s="1"/>
  <c r="D385"/>
  <c r="Y384"/>
  <c r="Z384" s="1"/>
  <c r="D384"/>
  <c r="Y383"/>
  <c r="Z383" s="1"/>
  <c r="W383"/>
  <c r="G383"/>
  <c r="W382" s="1"/>
  <c r="D383"/>
  <c r="Y382"/>
  <c r="Z382" s="1"/>
  <c r="G382"/>
  <c r="W381" s="1"/>
  <c r="D382"/>
  <c r="Y381"/>
  <c r="Z381" s="1"/>
  <c r="G381"/>
  <c r="W380" s="1"/>
  <c r="D381"/>
  <c r="Y380"/>
  <c r="Z380" s="1"/>
  <c r="G380"/>
  <c r="W379" s="1"/>
  <c r="D380"/>
  <c r="Y379"/>
  <c r="Z379" s="1"/>
  <c r="G379"/>
  <c r="W378" s="1"/>
  <c r="D379"/>
  <c r="Y378"/>
  <c r="Z378" s="1"/>
  <c r="D378"/>
  <c r="Y377"/>
  <c r="Z377" s="1"/>
  <c r="W377"/>
  <c r="G377"/>
  <c r="W376" s="1"/>
  <c r="D377"/>
  <c r="Y376"/>
  <c r="Z376" s="1"/>
  <c r="G376"/>
  <c r="W375" s="1"/>
  <c r="D376"/>
  <c r="Y375"/>
  <c r="Z375" s="1"/>
  <c r="G375"/>
  <c r="W374" s="1"/>
  <c r="D375"/>
  <c r="Y374"/>
  <c r="Z374" s="1"/>
  <c r="D374"/>
  <c r="Y373"/>
  <c r="Z373" s="1"/>
  <c r="W373"/>
  <c r="G373"/>
  <c r="W372" s="1"/>
  <c r="D373"/>
  <c r="Y372"/>
  <c r="Z372" s="1"/>
  <c r="G372"/>
  <c r="W371" s="1"/>
  <c r="D372"/>
  <c r="Y371"/>
  <c r="Z371" s="1"/>
  <c r="D371"/>
  <c r="Y370"/>
  <c r="Z370" s="1"/>
  <c r="V370"/>
  <c r="W370" s="1"/>
  <c r="G370"/>
  <c r="W369" s="1"/>
  <c r="D370"/>
  <c r="Y369"/>
  <c r="Z369" s="1"/>
  <c r="G369"/>
  <c r="W368" s="1"/>
  <c r="D369"/>
  <c r="Y368"/>
  <c r="Z368" s="1"/>
  <c r="G368"/>
  <c r="W367" s="1"/>
  <c r="D368"/>
  <c r="Y367"/>
  <c r="Z367" s="1"/>
  <c r="G367"/>
  <c r="W366" s="1"/>
  <c r="D367"/>
  <c r="Y366"/>
  <c r="Z366" s="1"/>
  <c r="G366"/>
  <c r="W365" s="1"/>
  <c r="D366"/>
  <c r="Y365"/>
  <c r="Z365" s="1"/>
  <c r="D365"/>
  <c r="Y364"/>
  <c r="Z364" s="1"/>
  <c r="W364"/>
  <c r="G364"/>
  <c r="W363" s="1"/>
  <c r="D364"/>
  <c r="Y363"/>
  <c r="Z363" s="1"/>
  <c r="G363"/>
  <c r="W362" s="1"/>
  <c r="D363"/>
  <c r="Y362"/>
  <c r="Z362" s="1"/>
  <c r="G362"/>
  <c r="W361" s="1"/>
  <c r="D362"/>
  <c r="Y361"/>
  <c r="Z361" s="1"/>
  <c r="G361"/>
  <c r="W360" s="1"/>
  <c r="D361"/>
  <c r="Y360"/>
  <c r="Z360" s="1"/>
  <c r="D360"/>
  <c r="Y359"/>
  <c r="Z359" s="1"/>
  <c r="W359"/>
  <c r="G359"/>
  <c r="W358" s="1"/>
  <c r="D359"/>
  <c r="Y358"/>
  <c r="Z358" s="1"/>
  <c r="G358"/>
  <c r="D358"/>
  <c r="Y357"/>
  <c r="Z357" s="1"/>
  <c r="V357"/>
  <c r="G357"/>
  <c r="W356" s="1"/>
  <c r="D357"/>
  <c r="Y356"/>
  <c r="Z356" s="1"/>
  <c r="D356"/>
  <c r="Y355"/>
  <c r="Z355" s="1"/>
  <c r="W355"/>
  <c r="G355"/>
  <c r="W354" s="1"/>
  <c r="D355"/>
  <c r="Y354"/>
  <c r="Z354" s="1"/>
  <c r="D354"/>
  <c r="Y353"/>
  <c r="Z353" s="1"/>
  <c r="W353"/>
  <c r="G353"/>
  <c r="W352" s="1"/>
  <c r="D353"/>
  <c r="AB352"/>
  <c r="Y352"/>
  <c r="Z352" s="1"/>
  <c r="G352"/>
  <c r="W351" s="1"/>
  <c r="D352"/>
  <c r="Y351"/>
  <c r="Z351" s="1"/>
  <c r="D351"/>
  <c r="Y350"/>
  <c r="Z350" s="1"/>
  <c r="G350"/>
  <c r="G351" s="1"/>
  <c r="W350" s="1"/>
  <c r="D350"/>
  <c r="Y349"/>
  <c r="Z349" s="1"/>
  <c r="G349"/>
  <c r="W348" s="1"/>
  <c r="D349"/>
  <c r="Y348"/>
  <c r="Z348" s="1"/>
  <c r="G348"/>
  <c r="W347" s="1"/>
  <c r="D348"/>
  <c r="Y347"/>
  <c r="Z347" s="1"/>
  <c r="D347"/>
  <c r="Y346"/>
  <c r="Z346" s="1"/>
  <c r="V346"/>
  <c r="W346" s="1"/>
  <c r="G346"/>
  <c r="W345" s="1"/>
  <c r="D346"/>
  <c r="Y345"/>
  <c r="Z345" s="1"/>
  <c r="D345"/>
  <c r="Y344"/>
  <c r="Z344" s="1"/>
  <c r="W344"/>
  <c r="G344"/>
  <c r="W343" s="1"/>
  <c r="D344"/>
  <c r="Y343"/>
  <c r="Z343" s="1"/>
  <c r="D343"/>
  <c r="Y342"/>
  <c r="Z342" s="1"/>
  <c r="W342"/>
  <c r="D342"/>
  <c r="Y341"/>
  <c r="Z341" s="1"/>
  <c r="W341"/>
  <c r="G341"/>
  <c r="W340" s="1"/>
  <c r="D341"/>
  <c r="Y340"/>
  <c r="Z340" s="1"/>
  <c r="G340"/>
  <c r="D340"/>
  <c r="Y339"/>
  <c r="Z339" s="1"/>
  <c r="V339"/>
  <c r="G339"/>
  <c r="W338" s="1"/>
  <c r="D339"/>
  <c r="Y338"/>
  <c r="Z338" s="1"/>
  <c r="G338"/>
  <c r="W337" s="1"/>
  <c r="D338"/>
  <c r="Y337"/>
  <c r="Z337" s="1"/>
  <c r="G337"/>
  <c r="W336" s="1"/>
  <c r="D337"/>
  <c r="Y336"/>
  <c r="Z336" s="1"/>
  <c r="G336"/>
  <c r="W335" s="1"/>
  <c r="D336"/>
  <c r="Y335"/>
  <c r="Z335" s="1"/>
  <c r="G335"/>
  <c r="W334" s="1"/>
  <c r="D335"/>
  <c r="Y334"/>
  <c r="Z334" s="1"/>
  <c r="G334"/>
  <c r="W333" s="1"/>
  <c r="D334"/>
  <c r="Y333"/>
  <c r="Z333" s="1"/>
  <c r="G333"/>
  <c r="W332" s="1"/>
  <c r="D333"/>
  <c r="Y332"/>
  <c r="Z332" s="1"/>
  <c r="G332"/>
  <c r="W331" s="1"/>
  <c r="D332"/>
  <c r="Y331"/>
  <c r="Z331" s="1"/>
  <c r="G331"/>
  <c r="W330" s="1"/>
  <c r="D331"/>
  <c r="Y330"/>
  <c r="Z330" s="1"/>
  <c r="G330"/>
  <c r="W329" s="1"/>
  <c r="D330"/>
  <c r="Y329"/>
  <c r="Z329" s="1"/>
  <c r="G329"/>
  <c r="W328" s="1"/>
  <c r="D329"/>
  <c r="Y328"/>
  <c r="Z328" s="1"/>
  <c r="G328"/>
  <c r="W327" s="1"/>
  <c r="D328"/>
  <c r="Y327"/>
  <c r="Z327" s="1"/>
  <c r="G327"/>
  <c r="W326" s="1"/>
  <c r="D327"/>
  <c r="Y326"/>
  <c r="Z326" s="1"/>
  <c r="G326"/>
  <c r="W325" s="1"/>
  <c r="D326"/>
  <c r="Y325"/>
  <c r="Z325" s="1"/>
  <c r="G325"/>
  <c r="W324" s="1"/>
  <c r="D325"/>
  <c r="Y324"/>
  <c r="Z324" s="1"/>
  <c r="D324"/>
  <c r="Y323"/>
  <c r="Z323" s="1"/>
  <c r="W323"/>
  <c r="G323"/>
  <c r="W322" s="1"/>
  <c r="D323"/>
  <c r="Y322"/>
  <c r="Z322" s="1"/>
  <c r="G322"/>
  <c r="W321" s="1"/>
  <c r="D322"/>
  <c r="Y321"/>
  <c r="Z321" s="1"/>
  <c r="G321"/>
  <c r="W320" s="1"/>
  <c r="D321"/>
  <c r="Y320"/>
  <c r="Z320" s="1"/>
  <c r="D320"/>
  <c r="Y319"/>
  <c r="Z319" s="1"/>
  <c r="W319"/>
  <c r="D319"/>
  <c r="Y318"/>
  <c r="Z318" s="1"/>
  <c r="W318"/>
  <c r="G318"/>
  <c r="W317" s="1"/>
  <c r="D318"/>
  <c r="Y317"/>
  <c r="Z317" s="1"/>
  <c r="G317"/>
  <c r="W316" s="1"/>
  <c r="D317"/>
  <c r="Y316"/>
  <c r="Z316" s="1"/>
  <c r="D316"/>
  <c r="Y315"/>
  <c r="Z315" s="1"/>
  <c r="W315"/>
  <c r="G315"/>
  <c r="W314" s="1"/>
  <c r="D315"/>
  <c r="Y314"/>
  <c r="Z314" s="1"/>
  <c r="D314"/>
  <c r="Y313"/>
  <c r="Z313" s="1"/>
  <c r="W313"/>
  <c r="G313"/>
  <c r="W312" s="1"/>
  <c r="D313"/>
  <c r="Y312"/>
  <c r="Z312" s="1"/>
  <c r="G312"/>
  <c r="W311" s="1"/>
  <c r="D312"/>
  <c r="Y311"/>
  <c r="Z311" s="1"/>
  <c r="G311"/>
  <c r="W310" s="1"/>
  <c r="D311"/>
  <c r="Y310"/>
  <c r="Z310" s="1"/>
  <c r="G310"/>
  <c r="W309" s="1"/>
  <c r="D310"/>
  <c r="Y309"/>
  <c r="Z309" s="1"/>
  <c r="D309"/>
  <c r="Y308"/>
  <c r="Z308" s="1"/>
  <c r="W308"/>
  <c r="G308"/>
  <c r="W307" s="1"/>
  <c r="D308"/>
  <c r="Y307"/>
  <c r="Z307" s="1"/>
  <c r="G307"/>
  <c r="W306" s="1"/>
  <c r="D307"/>
  <c r="Y306"/>
  <c r="Z306" s="1"/>
  <c r="G306"/>
  <c r="W305" s="1"/>
  <c r="D306"/>
  <c r="Y305"/>
  <c r="Z305" s="1"/>
  <c r="D305"/>
  <c r="Y304"/>
  <c r="Z304" s="1"/>
  <c r="W304"/>
  <c r="G304"/>
  <c r="W303" s="1"/>
  <c r="D304"/>
  <c r="Y303"/>
  <c r="Z303" s="1"/>
  <c r="G303"/>
  <c r="W302" s="1"/>
  <c r="D303"/>
  <c r="Y302"/>
  <c r="Z302" s="1"/>
  <c r="G302"/>
  <c r="W301" s="1"/>
  <c r="D302"/>
  <c r="Y301"/>
  <c r="Z301" s="1"/>
  <c r="D301"/>
  <c r="Y300"/>
  <c r="Z300" s="1"/>
  <c r="W300"/>
  <c r="D300"/>
  <c r="Y299"/>
  <c r="Z299" s="1"/>
  <c r="W299"/>
  <c r="D299"/>
  <c r="Y298"/>
  <c r="Z298" s="1"/>
  <c r="W298"/>
  <c r="D298"/>
  <c r="Y297"/>
  <c r="Z297" s="1"/>
  <c r="W297"/>
  <c r="D297"/>
  <c r="Y296"/>
  <c r="Z296" s="1"/>
  <c r="W296"/>
  <c r="G296"/>
  <c r="W295" s="1"/>
  <c r="D296"/>
  <c r="Y295"/>
  <c r="Z295" s="1"/>
  <c r="G295"/>
  <c r="W294" s="1"/>
  <c r="D295"/>
  <c r="Y294"/>
  <c r="Z294" s="1"/>
  <c r="G294"/>
  <c r="W293" s="1"/>
  <c r="D294"/>
  <c r="Y293"/>
  <c r="Z293" s="1"/>
  <c r="G293"/>
  <c r="W292" s="1"/>
  <c r="D293"/>
  <c r="Y292"/>
  <c r="Z292" s="1"/>
  <c r="G292"/>
  <c r="W291" s="1"/>
  <c r="D292"/>
  <c r="Y291"/>
  <c r="Z291" s="1"/>
  <c r="D291"/>
  <c r="Y290"/>
  <c r="Z290" s="1"/>
  <c r="W290"/>
  <c r="G290"/>
  <c r="W289" s="1"/>
  <c r="D290"/>
  <c r="Y289"/>
  <c r="Z289" s="1"/>
  <c r="G289"/>
  <c r="W288" s="1"/>
  <c r="D289"/>
  <c r="Y288"/>
  <c r="Z288" s="1"/>
  <c r="G288"/>
  <c r="W287" s="1"/>
  <c r="D288"/>
  <c r="Y287"/>
  <c r="Z287" s="1"/>
  <c r="G287"/>
  <c r="W286" s="1"/>
  <c r="D287"/>
  <c r="Y286"/>
  <c r="Z286" s="1"/>
  <c r="G286"/>
  <c r="W285" s="1"/>
  <c r="D286"/>
  <c r="Y285"/>
  <c r="Z285" s="1"/>
  <c r="D285"/>
  <c r="Y284"/>
  <c r="Z284" s="1"/>
  <c r="W284"/>
  <c r="G284"/>
  <c r="W283" s="1"/>
  <c r="D284"/>
  <c r="Y283"/>
  <c r="Z283" s="1"/>
  <c r="G283"/>
  <c r="W282" s="1"/>
  <c r="D283"/>
  <c r="Y282"/>
  <c r="Z282" s="1"/>
  <c r="G282"/>
  <c r="W281" s="1"/>
  <c r="D282"/>
  <c r="Y281"/>
  <c r="Z281" s="1"/>
  <c r="G281"/>
  <c r="W280" s="1"/>
  <c r="D281"/>
  <c r="Y280"/>
  <c r="Z280" s="1"/>
  <c r="G280"/>
  <c r="W279" s="1"/>
  <c r="D280"/>
  <c r="Y279"/>
  <c r="Z279" s="1"/>
  <c r="D279"/>
  <c r="Y278"/>
  <c r="Z278" s="1"/>
  <c r="W278"/>
  <c r="G278"/>
  <c r="W277" s="1"/>
  <c r="D278"/>
  <c r="Y277"/>
  <c r="Z277" s="1"/>
  <c r="G277"/>
  <c r="W276" s="1"/>
  <c r="D277"/>
  <c r="Y276"/>
  <c r="Z276" s="1"/>
  <c r="G276"/>
  <c r="W275" s="1"/>
  <c r="D276"/>
  <c r="Y275"/>
  <c r="Z275" s="1"/>
  <c r="G275"/>
  <c r="W274" s="1"/>
  <c r="D275"/>
  <c r="Y274"/>
  <c r="Z274" s="1"/>
  <c r="G274"/>
  <c r="W273" s="1"/>
  <c r="D274"/>
  <c r="Y273"/>
  <c r="Z273" s="1"/>
  <c r="D273"/>
  <c r="Y272"/>
  <c r="Z272" s="1"/>
  <c r="W272"/>
  <c r="G272"/>
  <c r="W271" s="1"/>
  <c r="D272"/>
  <c r="Y271"/>
  <c r="Z271" s="1"/>
  <c r="G271"/>
  <c r="W270" s="1"/>
  <c r="D271"/>
  <c r="Y270"/>
  <c r="Z270" s="1"/>
  <c r="G270"/>
  <c r="W269" s="1"/>
  <c r="D270"/>
  <c r="Y269"/>
  <c r="Z269" s="1"/>
  <c r="G269"/>
  <c r="W268" s="1"/>
  <c r="D269"/>
  <c r="Y268"/>
  <c r="Z268" s="1"/>
  <c r="G268"/>
  <c r="W267" s="1"/>
  <c r="D268"/>
  <c r="Y267"/>
  <c r="Z267" s="1"/>
  <c r="D267"/>
  <c r="Y266"/>
  <c r="Z266" s="1"/>
  <c r="W266"/>
  <c r="G266"/>
  <c r="W265" s="1"/>
  <c r="D266"/>
  <c r="Y265"/>
  <c r="Z265" s="1"/>
  <c r="G265"/>
  <c r="W264" s="1"/>
  <c r="D265"/>
  <c r="Y264"/>
  <c r="Z264" s="1"/>
  <c r="G264"/>
  <c r="W263" s="1"/>
  <c r="D264"/>
  <c r="Y263"/>
  <c r="Z263" s="1"/>
  <c r="G263"/>
  <c r="W262" s="1"/>
  <c r="D263"/>
  <c r="Y262"/>
  <c r="Z262" s="1"/>
  <c r="G262"/>
  <c r="W261" s="1"/>
  <c r="D262"/>
  <c r="Y261"/>
  <c r="Z261" s="1"/>
  <c r="G261"/>
  <c r="W260" s="1"/>
  <c r="D261"/>
  <c r="Y260"/>
  <c r="Z260" s="1"/>
  <c r="D260"/>
  <c r="Y259"/>
  <c r="Z259" s="1"/>
  <c r="W259"/>
  <c r="G259"/>
  <c r="W258" s="1"/>
  <c r="D259"/>
  <c r="Y258"/>
  <c r="Z258" s="1"/>
  <c r="G258"/>
  <c r="W257" s="1"/>
  <c r="D258"/>
  <c r="Y257"/>
  <c r="Z257" s="1"/>
  <c r="G257"/>
  <c r="W256" s="1"/>
  <c r="D257"/>
  <c r="Y256"/>
  <c r="Z256" s="1"/>
  <c r="G256"/>
  <c r="W255" s="1"/>
  <c r="D256"/>
  <c r="Y255"/>
  <c r="Z255" s="1"/>
  <c r="G255"/>
  <c r="W254" s="1"/>
  <c r="D255"/>
  <c r="Y254"/>
  <c r="Z254" s="1"/>
  <c r="G254"/>
  <c r="W253" s="1"/>
  <c r="D254"/>
  <c r="Y253"/>
  <c r="Z253" s="1"/>
  <c r="G253"/>
  <c r="W252" s="1"/>
  <c r="D253"/>
  <c r="Y252"/>
  <c r="Z252" s="1"/>
  <c r="G252"/>
  <c r="W251" s="1"/>
  <c r="D252"/>
  <c r="Y251"/>
  <c r="Z251" s="1"/>
  <c r="G251"/>
  <c r="W250" s="1"/>
  <c r="D251"/>
  <c r="Y250"/>
  <c r="Z250" s="1"/>
  <c r="G250"/>
  <c r="W249" s="1"/>
  <c r="D250"/>
  <c r="Y249"/>
  <c r="Z249" s="1"/>
  <c r="G249"/>
  <c r="W248" s="1"/>
  <c r="D249"/>
  <c r="Y248"/>
  <c r="Z248" s="1"/>
  <c r="G248"/>
  <c r="W247" s="1"/>
  <c r="D248"/>
  <c r="Y247"/>
  <c r="Z247" s="1"/>
  <c r="D247"/>
  <c r="Y246"/>
  <c r="Z246" s="1"/>
  <c r="W246"/>
  <c r="D246"/>
  <c r="Y245"/>
  <c r="Z245" s="1"/>
  <c r="W245"/>
  <c r="G245"/>
  <c r="W244" s="1"/>
  <c r="D245"/>
  <c r="Y244"/>
  <c r="Z244" s="1"/>
  <c r="D244"/>
  <c r="Y243"/>
  <c r="Z243" s="1"/>
  <c r="W243"/>
  <c r="D243"/>
  <c r="Y242"/>
  <c r="Z242" s="1"/>
  <c r="W242"/>
  <c r="D242"/>
  <c r="Y241"/>
  <c r="Z241" s="1"/>
  <c r="W241"/>
  <c r="D241"/>
  <c r="Y240"/>
  <c r="Z240" s="1"/>
  <c r="W240"/>
  <c r="D240"/>
  <c r="Y239"/>
  <c r="Z239" s="1"/>
  <c r="W239"/>
  <c r="D239"/>
  <c r="Y238"/>
  <c r="Z238" s="1"/>
  <c r="W238"/>
  <c r="D238"/>
  <c r="Y237"/>
  <c r="Z237" s="1"/>
  <c r="G237"/>
  <c r="Y236"/>
  <c r="Z236" s="1"/>
  <c r="G236"/>
  <c r="Y235"/>
  <c r="Z235" s="1"/>
  <c r="G235"/>
  <c r="W234" s="1"/>
  <c r="Y234"/>
  <c r="Z234" s="1"/>
  <c r="G234"/>
  <c r="W233" s="1"/>
  <c r="D234"/>
  <c r="Y233"/>
  <c r="Z233" s="1"/>
  <c r="G233"/>
  <c r="W232" s="1"/>
  <c r="D233"/>
  <c r="Y232"/>
  <c r="Z232" s="1"/>
  <c r="G232"/>
  <c r="W231" s="1"/>
  <c r="D232"/>
  <c r="Y231"/>
  <c r="Z231" s="1"/>
  <c r="G231"/>
  <c r="W230" s="1"/>
  <c r="D231"/>
  <c r="Y230"/>
  <c r="Z230" s="1"/>
  <c r="G230"/>
  <c r="W229" s="1"/>
  <c r="D230"/>
  <c r="Y229"/>
  <c r="Z229" s="1"/>
  <c r="D229"/>
  <c r="Y228"/>
  <c r="Z228" s="1"/>
  <c r="W228"/>
  <c r="D228"/>
  <c r="Y227"/>
  <c r="Z227" s="1"/>
  <c r="W227"/>
  <c r="D227"/>
  <c r="Y226"/>
  <c r="Z226" s="1"/>
  <c r="W226"/>
  <c r="D226"/>
  <c r="Y225"/>
  <c r="Z225" s="1"/>
  <c r="W225"/>
  <c r="D225"/>
  <c r="Y224"/>
  <c r="Z224" s="1"/>
  <c r="W224"/>
  <c r="D224"/>
  <c r="Y223"/>
  <c r="Z223" s="1"/>
  <c r="W223"/>
  <c r="D223"/>
  <c r="Y222"/>
  <c r="Z222" s="1"/>
  <c r="W222"/>
  <c r="G222"/>
  <c r="W221" s="1"/>
  <c r="D222"/>
  <c r="Y221"/>
  <c r="Z221" s="1"/>
  <c r="G221"/>
  <c r="W220" s="1"/>
  <c r="D221"/>
  <c r="Y220"/>
  <c r="Z220" s="1"/>
  <c r="G220"/>
  <c r="W219" s="1"/>
  <c r="D220"/>
  <c r="Y219"/>
  <c r="Z219" s="1"/>
  <c r="G219"/>
  <c r="W218" s="1"/>
  <c r="D219"/>
  <c r="Y218"/>
  <c r="Z218" s="1"/>
  <c r="G218"/>
  <c r="W217" s="1"/>
  <c r="D218"/>
  <c r="Y217"/>
  <c r="Z217" s="1"/>
  <c r="D217"/>
  <c r="Y216"/>
  <c r="Z216" s="1"/>
  <c r="W216"/>
  <c r="D216"/>
  <c r="Y215"/>
  <c r="Z215" s="1"/>
  <c r="W215"/>
  <c r="D215"/>
  <c r="Y214"/>
  <c r="Z214" s="1"/>
  <c r="W214"/>
  <c r="D214"/>
  <c r="Y213"/>
  <c r="Z213" s="1"/>
  <c r="W213"/>
  <c r="D213"/>
  <c r="Y212"/>
  <c r="Z212" s="1"/>
  <c r="W212"/>
  <c r="D212"/>
  <c r="Y211"/>
  <c r="Z211" s="1"/>
  <c r="W211"/>
  <c r="D211"/>
  <c r="Y210"/>
  <c r="Z210" s="1"/>
  <c r="W210"/>
  <c r="D210"/>
  <c r="Y209"/>
  <c r="Z209" s="1"/>
  <c r="W209"/>
  <c r="D209"/>
  <c r="Y208"/>
  <c r="Z208" s="1"/>
  <c r="W208"/>
  <c r="D208"/>
  <c r="Y207"/>
  <c r="Z207" s="1"/>
  <c r="W207"/>
  <c r="D207"/>
  <c r="Y206"/>
  <c r="Z206" s="1"/>
  <c r="W206"/>
  <c r="D206"/>
  <c r="Y205"/>
  <c r="Z205" s="1"/>
  <c r="W205"/>
  <c r="D205"/>
  <c r="Y204"/>
  <c r="Z204" s="1"/>
  <c r="W204"/>
  <c r="G204"/>
  <c r="W203" s="1"/>
  <c r="D204"/>
  <c r="Y203"/>
  <c r="Z203" s="1"/>
  <c r="G203"/>
  <c r="W202" s="1"/>
  <c r="D203"/>
  <c r="Y202"/>
  <c r="Z202" s="1"/>
  <c r="G202"/>
  <c r="W201" s="1"/>
  <c r="D202"/>
  <c r="Y201"/>
  <c r="Z201" s="1"/>
  <c r="G201"/>
  <c r="W200" s="1"/>
  <c r="D201"/>
  <c r="Y200"/>
  <c r="Z200" s="1"/>
  <c r="G200"/>
  <c r="W199" s="1"/>
  <c r="D200"/>
  <c r="Y199"/>
  <c r="Z199" s="1"/>
  <c r="D199"/>
  <c r="Y198"/>
  <c r="Z198" s="1"/>
  <c r="W198"/>
  <c r="G198"/>
  <c r="W197" s="1"/>
  <c r="D198"/>
  <c r="Y197"/>
  <c r="Z197" s="1"/>
  <c r="G197"/>
  <c r="W196" s="1"/>
  <c r="D197"/>
  <c r="Y196"/>
  <c r="Z196" s="1"/>
  <c r="G196"/>
  <c r="W195" s="1"/>
  <c r="D196"/>
  <c r="Y195"/>
  <c r="Z195" s="1"/>
  <c r="G195"/>
  <c r="W194" s="1"/>
  <c r="D195"/>
  <c r="Y194"/>
  <c r="Z194" s="1"/>
  <c r="G194"/>
  <c r="W193" s="1"/>
  <c r="D194"/>
  <c r="Y193"/>
  <c r="Z193" s="1"/>
  <c r="D193"/>
  <c r="Y192"/>
  <c r="Z192" s="1"/>
  <c r="W192"/>
  <c r="D192"/>
  <c r="Y191"/>
  <c r="Z191" s="1"/>
  <c r="W191"/>
  <c r="D191"/>
  <c r="Y190"/>
  <c r="Z190" s="1"/>
  <c r="W190"/>
  <c r="D190"/>
  <c r="Y189"/>
  <c r="Z189" s="1"/>
  <c r="W189"/>
  <c r="D189"/>
  <c r="Y188"/>
  <c r="Z188" s="1"/>
  <c r="W188"/>
  <c r="D188"/>
  <c r="Y187"/>
  <c r="Z187" s="1"/>
  <c r="W187"/>
  <c r="D187"/>
  <c r="Y186"/>
  <c r="Z186" s="1"/>
  <c r="W186"/>
  <c r="D186"/>
  <c r="Y185"/>
  <c r="Z185" s="1"/>
  <c r="G185"/>
  <c r="Y184"/>
  <c r="Z184" s="1"/>
  <c r="G184"/>
  <c r="Y183"/>
  <c r="Z183" s="1"/>
  <c r="G183"/>
  <c r="W182" s="1"/>
  <c r="Y182"/>
  <c r="Z182" s="1"/>
  <c r="G182"/>
  <c r="W181" s="1"/>
  <c r="D182"/>
  <c r="Y181"/>
  <c r="Z181" s="1"/>
  <c r="G181"/>
  <c r="W180" s="1"/>
  <c r="D181"/>
  <c r="Y180"/>
  <c r="Z180" s="1"/>
  <c r="G180"/>
  <c r="W179" s="1"/>
  <c r="D180"/>
  <c r="Y179"/>
  <c r="Z179" s="1"/>
  <c r="G179"/>
  <c r="D179"/>
  <c r="Y178"/>
  <c r="Z178" s="1"/>
  <c r="V178"/>
  <c r="G178"/>
  <c r="W177" s="1"/>
  <c r="D178"/>
  <c r="Y177"/>
  <c r="Z177" s="1"/>
  <c r="G177"/>
  <c r="D177"/>
  <c r="Y176"/>
  <c r="Z176" s="1"/>
  <c r="D176"/>
  <c r="Y175"/>
  <c r="Z175" s="1"/>
  <c r="W175"/>
  <c r="D175"/>
  <c r="Y174"/>
  <c r="Z174" s="1"/>
  <c r="W174"/>
  <c r="D174"/>
  <c r="Y173"/>
  <c r="Z173" s="1"/>
  <c r="W173"/>
  <c r="D173"/>
  <c r="Y172"/>
  <c r="Z172" s="1"/>
  <c r="W172"/>
  <c r="D172"/>
  <c r="Y171"/>
  <c r="Z171" s="1"/>
  <c r="W171"/>
  <c r="D171"/>
  <c r="Y170"/>
  <c r="Z170" s="1"/>
  <c r="W170"/>
  <c r="D170"/>
  <c r="Y169"/>
  <c r="Z169" s="1"/>
  <c r="W169"/>
  <c r="D169"/>
  <c r="Y168"/>
  <c r="Z168" s="1"/>
  <c r="W168"/>
  <c r="D168"/>
  <c r="Y167"/>
  <c r="Z167" s="1"/>
  <c r="W167"/>
  <c r="D167"/>
  <c r="Y166"/>
  <c r="Z166" s="1"/>
  <c r="W166"/>
  <c r="D166"/>
  <c r="Y165"/>
  <c r="Z165" s="1"/>
  <c r="W165"/>
  <c r="D165"/>
  <c r="Y164"/>
  <c r="Z164" s="1"/>
  <c r="W164"/>
  <c r="D164"/>
  <c r="Y163"/>
  <c r="Z163" s="1"/>
  <c r="W163"/>
  <c r="D163"/>
  <c r="Y162"/>
  <c r="Z162" s="1"/>
  <c r="W162"/>
  <c r="D162"/>
  <c r="Y161"/>
  <c r="Z161" s="1"/>
  <c r="W161"/>
  <c r="G161"/>
  <c r="W160" s="1"/>
  <c r="D161"/>
  <c r="Y160"/>
  <c r="Z160" s="1"/>
  <c r="G160"/>
  <c r="W159" s="1"/>
  <c r="D160"/>
  <c r="Y159"/>
  <c r="Z159" s="1"/>
  <c r="G159"/>
  <c r="W158" s="1"/>
  <c r="D159"/>
  <c r="Y158"/>
  <c r="Z158" s="1"/>
  <c r="G158"/>
  <c r="W157" s="1"/>
  <c r="D158"/>
  <c r="Y157"/>
  <c r="Z157" s="1"/>
  <c r="G157"/>
  <c r="W156" s="1"/>
  <c r="D157"/>
  <c r="Y156"/>
  <c r="Z156" s="1"/>
  <c r="G156"/>
  <c r="W155" s="1"/>
  <c r="D156"/>
  <c r="Y155"/>
  <c r="Z155" s="1"/>
  <c r="G155"/>
  <c r="W154" s="1"/>
  <c r="D155"/>
  <c r="Y154"/>
  <c r="Z154" s="1"/>
  <c r="G154"/>
  <c r="W153" s="1"/>
  <c r="D154"/>
  <c r="Y153"/>
  <c r="Z153" s="1"/>
  <c r="G153"/>
  <c r="W152" s="1"/>
  <c r="D153"/>
  <c r="Y152"/>
  <c r="Z152" s="1"/>
  <c r="G152"/>
  <c r="W151" s="1"/>
  <c r="D152"/>
  <c r="Y151"/>
  <c r="Z151" s="1"/>
  <c r="G151"/>
  <c r="W150" s="1"/>
  <c r="D151"/>
  <c r="Y150"/>
  <c r="Z150" s="1"/>
  <c r="G150"/>
  <c r="W149" s="1"/>
  <c r="D150"/>
  <c r="Y149"/>
  <c r="Z149" s="1"/>
  <c r="G149"/>
  <c r="W148" s="1"/>
  <c r="D149"/>
  <c r="Y148"/>
  <c r="Z148" s="1"/>
  <c r="G148"/>
  <c r="W147" s="1"/>
  <c r="D148"/>
  <c r="Y147"/>
  <c r="Z147" s="1"/>
  <c r="G147"/>
  <c r="W146" s="1"/>
  <c r="D147"/>
  <c r="Y146"/>
  <c r="Z146" s="1"/>
  <c r="D146"/>
  <c r="Y145"/>
  <c r="Z145" s="1"/>
  <c r="W145"/>
  <c r="G145"/>
  <c r="W144" s="1"/>
  <c r="D145"/>
  <c r="Y144"/>
  <c r="Z144" s="1"/>
  <c r="G144"/>
  <c r="W143" s="1"/>
  <c r="D144"/>
  <c r="Y143"/>
  <c r="Z143" s="1"/>
  <c r="G143"/>
  <c r="W142" s="1"/>
  <c r="D143"/>
  <c r="Y142"/>
  <c r="Z142" s="1"/>
  <c r="G142"/>
  <c r="W141" s="1"/>
  <c r="D142"/>
  <c r="Y141"/>
  <c r="Z141" s="1"/>
  <c r="G141"/>
  <c r="W140" s="1"/>
  <c r="D141"/>
  <c r="Y140"/>
  <c r="Z140" s="1"/>
  <c r="G140"/>
  <c r="W139" s="1"/>
  <c r="D140"/>
  <c r="Y139"/>
  <c r="Z139" s="1"/>
  <c r="D139"/>
  <c r="Y138"/>
  <c r="Z138" s="1"/>
  <c r="W138"/>
  <c r="D138"/>
  <c r="Y137"/>
  <c r="Z137" s="1"/>
  <c r="W137"/>
  <c r="D137"/>
  <c r="Y136"/>
  <c r="Z136" s="1"/>
  <c r="W136"/>
  <c r="D136"/>
  <c r="Y135"/>
  <c r="Z135" s="1"/>
  <c r="W135"/>
  <c r="D135"/>
  <c r="Y134"/>
  <c r="Z134" s="1"/>
  <c r="W134"/>
  <c r="D134"/>
  <c r="Y133"/>
  <c r="Z133" s="1"/>
  <c r="W133"/>
  <c r="D133"/>
  <c r="Y132"/>
  <c r="Z132" s="1"/>
  <c r="Y131"/>
  <c r="Z131" s="1"/>
  <c r="Y130"/>
  <c r="Z130" s="1"/>
  <c r="Y129"/>
  <c r="Z129" s="1"/>
  <c r="Y128"/>
  <c r="Z128" s="1"/>
  <c r="W128"/>
  <c r="G128"/>
  <c r="W127" s="1"/>
  <c r="D128"/>
  <c r="Y127"/>
  <c r="Z127" s="1"/>
  <c r="G127"/>
  <c r="W126" s="1"/>
  <c r="D127"/>
  <c r="Y126"/>
  <c r="Z126" s="1"/>
  <c r="G126"/>
  <c r="W125" s="1"/>
  <c r="D126"/>
  <c r="Y125"/>
  <c r="Z125" s="1"/>
  <c r="G125"/>
  <c r="W124" s="1"/>
  <c r="D125"/>
  <c r="Y124"/>
  <c r="Z124" s="1"/>
  <c r="G124"/>
  <c r="W123" s="1"/>
  <c r="D124"/>
  <c r="Y123"/>
  <c r="Z123" s="1"/>
  <c r="D123"/>
  <c r="Y122"/>
  <c r="Z122" s="1"/>
  <c r="W122"/>
  <c r="D122"/>
  <c r="Y121"/>
  <c r="Z121" s="1"/>
  <c r="W121"/>
  <c r="D121"/>
  <c r="Y120"/>
  <c r="Z120" s="1"/>
  <c r="W120"/>
  <c r="D120"/>
  <c r="Y119"/>
  <c r="Z119" s="1"/>
  <c r="W119"/>
  <c r="D119"/>
  <c r="Y118"/>
  <c r="Z118" s="1"/>
  <c r="W118"/>
  <c r="D118"/>
  <c r="Y117"/>
  <c r="Z117" s="1"/>
  <c r="W117"/>
  <c r="D117"/>
  <c r="Y116"/>
  <c r="Z116" s="1"/>
  <c r="W116"/>
  <c r="D116"/>
  <c r="Y115"/>
  <c r="Z115" s="1"/>
  <c r="W115"/>
  <c r="D115"/>
  <c r="Y114"/>
  <c r="Z114" s="1"/>
  <c r="W114"/>
  <c r="D114"/>
  <c r="Y113"/>
  <c r="Z113" s="1"/>
  <c r="W113"/>
  <c r="D113"/>
  <c r="Y112"/>
  <c r="Z112" s="1"/>
  <c r="W112"/>
  <c r="D112"/>
  <c r="Y111"/>
  <c r="Z111" s="1"/>
  <c r="W111"/>
  <c r="D111"/>
  <c r="Y110"/>
  <c r="Z110" s="1"/>
  <c r="W110"/>
  <c r="G110"/>
  <c r="W109" s="1"/>
  <c r="D110"/>
  <c r="Y109"/>
  <c r="Z109" s="1"/>
  <c r="G109"/>
  <c r="W108" s="1"/>
  <c r="D109"/>
  <c r="Y108"/>
  <c r="Z108" s="1"/>
  <c r="G108"/>
  <c r="W107" s="1"/>
  <c r="D108"/>
  <c r="Y107"/>
  <c r="Z107" s="1"/>
  <c r="G107"/>
  <c r="W106" s="1"/>
  <c r="D107"/>
  <c r="Y106"/>
  <c r="Z106" s="1"/>
  <c r="G106"/>
  <c r="W105" s="1"/>
  <c r="D106"/>
  <c r="Y105"/>
  <c r="Z105" s="1"/>
  <c r="G105"/>
  <c r="W104" s="1"/>
  <c r="D105"/>
  <c r="Y104"/>
  <c r="Z104" s="1"/>
  <c r="G104"/>
  <c r="W103" s="1"/>
  <c r="D104"/>
  <c r="Y103"/>
  <c r="Z103" s="1"/>
  <c r="G103"/>
  <c r="W102" s="1"/>
  <c r="D103"/>
  <c r="Y102"/>
  <c r="Z102" s="1"/>
  <c r="G102"/>
  <c r="W101" s="1"/>
  <c r="D102"/>
  <c r="Y101"/>
  <c r="Z101" s="1"/>
  <c r="G101"/>
  <c r="W100" s="1"/>
  <c r="D101"/>
  <c r="Y100"/>
  <c r="Z100" s="1"/>
  <c r="G100"/>
  <c r="W99" s="1"/>
  <c r="D100"/>
  <c r="Y99"/>
  <c r="Z99" s="1"/>
  <c r="G99"/>
  <c r="W98" s="1"/>
  <c r="D99"/>
  <c r="Y98"/>
  <c r="Z98" s="1"/>
  <c r="G98"/>
  <c r="W97" s="1"/>
  <c r="D98"/>
  <c r="Y97"/>
  <c r="Z97" s="1"/>
  <c r="G97"/>
  <c r="W96" s="1"/>
  <c r="D97"/>
  <c r="Y96"/>
  <c r="Z96" s="1"/>
  <c r="D96"/>
  <c r="Y95"/>
  <c r="Z95" s="1"/>
  <c r="W95"/>
  <c r="G95"/>
  <c r="W94" s="1"/>
  <c r="D95"/>
  <c r="Y94"/>
  <c r="Z94" s="1"/>
  <c r="G94"/>
  <c r="W93" s="1"/>
  <c r="D94"/>
  <c r="Y93"/>
  <c r="Z93" s="1"/>
  <c r="G93"/>
  <c r="W92" s="1"/>
  <c r="D93"/>
  <c r="Y92"/>
  <c r="Z92" s="1"/>
  <c r="G92"/>
  <c r="W91" s="1"/>
  <c r="D92"/>
  <c r="Y91"/>
  <c r="Z91" s="1"/>
  <c r="G91"/>
  <c r="W90" s="1"/>
  <c r="D91"/>
  <c r="Y90"/>
  <c r="Z90" s="1"/>
  <c r="D90"/>
  <c r="Y89"/>
  <c r="Z89" s="1"/>
  <c r="W89"/>
  <c r="G89"/>
  <c r="W88" s="1"/>
  <c r="D89"/>
  <c r="Y88"/>
  <c r="Z88" s="1"/>
  <c r="G88"/>
  <c r="W87" s="1"/>
  <c r="D88"/>
  <c r="Y87"/>
  <c r="Z87" s="1"/>
  <c r="G87"/>
  <c r="W86" s="1"/>
  <c r="D87"/>
  <c r="Y86"/>
  <c r="Z86" s="1"/>
  <c r="G86"/>
  <c r="W85" s="1"/>
  <c r="D86"/>
  <c r="Y85"/>
  <c r="Z85" s="1"/>
  <c r="G85"/>
  <c r="W84" s="1"/>
  <c r="D85"/>
  <c r="Y84"/>
  <c r="Z84" s="1"/>
  <c r="G84"/>
  <c r="W83" s="1"/>
  <c r="D84"/>
  <c r="Y83"/>
  <c r="Z83" s="1"/>
  <c r="G83"/>
  <c r="W82" s="1"/>
  <c r="D83"/>
  <c r="Y82"/>
  <c r="Z82" s="1"/>
  <c r="G82"/>
  <c r="W81" s="1"/>
  <c r="D82"/>
  <c r="Y81"/>
  <c r="Z81" s="1"/>
  <c r="G81"/>
  <c r="W80" s="1"/>
  <c r="D81"/>
  <c r="Y80"/>
  <c r="Z80" s="1"/>
  <c r="G80"/>
  <c r="W79" s="1"/>
  <c r="D80"/>
  <c r="Y79"/>
  <c r="Z79" s="1"/>
  <c r="G79"/>
  <c r="W78" s="1"/>
  <c r="D79"/>
  <c r="Y78"/>
  <c r="Z78" s="1"/>
  <c r="G78"/>
  <c r="W77" s="1"/>
  <c r="D78"/>
  <c r="Y77"/>
  <c r="Z77" s="1"/>
  <c r="G77"/>
  <c r="W76" s="1"/>
  <c r="D77"/>
  <c r="Y76"/>
  <c r="Z76" s="1"/>
  <c r="D76"/>
  <c r="Y75"/>
  <c r="Z75" s="1"/>
  <c r="W75"/>
  <c r="G75"/>
  <c r="W74" s="1"/>
  <c r="D75"/>
  <c r="Y74"/>
  <c r="Z74" s="1"/>
  <c r="G74"/>
  <c r="W73" s="1"/>
  <c r="D74"/>
  <c r="Y73"/>
  <c r="Z73" s="1"/>
  <c r="G73"/>
  <c r="W72" s="1"/>
  <c r="D73"/>
  <c r="Y72"/>
  <c r="Z72" s="1"/>
  <c r="G72"/>
  <c r="W71" s="1"/>
  <c r="D72"/>
  <c r="Y71"/>
  <c r="Z71" s="1"/>
  <c r="G71"/>
  <c r="W70" s="1"/>
  <c r="D71"/>
  <c r="Y70"/>
  <c r="Z70" s="1"/>
  <c r="D70"/>
  <c r="Y69"/>
  <c r="Z69" s="1"/>
  <c r="W69"/>
  <c r="G69"/>
  <c r="W68" s="1"/>
  <c r="D69"/>
  <c r="Y68"/>
  <c r="Z68" s="1"/>
  <c r="G68"/>
  <c r="W67" s="1"/>
  <c r="D68"/>
  <c r="Y67"/>
  <c r="Z67" s="1"/>
  <c r="D67"/>
  <c r="Y66"/>
  <c r="Z66" s="1"/>
  <c r="W66"/>
  <c r="D66"/>
  <c r="Y65"/>
  <c r="Z65" s="1"/>
  <c r="V65"/>
  <c r="W65" s="1"/>
  <c r="G65"/>
  <c r="W64" s="1"/>
  <c r="D65"/>
  <c r="Y64"/>
  <c r="Z64" s="1"/>
  <c r="D64"/>
  <c r="Y63"/>
  <c r="Z63" s="1"/>
  <c r="W63"/>
  <c r="D63"/>
  <c r="Y62"/>
  <c r="Z62" s="1"/>
  <c r="W62"/>
  <c r="G62"/>
  <c r="W61" s="1"/>
  <c r="D62"/>
  <c r="Y61"/>
  <c r="Z61" s="1"/>
  <c r="G61"/>
  <c r="W60" s="1"/>
  <c r="D61"/>
  <c r="Y60"/>
  <c r="Z60" s="1"/>
  <c r="G60"/>
  <c r="W59" s="1"/>
  <c r="D60"/>
  <c r="Y59"/>
  <c r="Z59" s="1"/>
  <c r="G59"/>
  <c r="W58" s="1"/>
  <c r="D59"/>
  <c r="Y58"/>
  <c r="Z58" s="1"/>
  <c r="G58"/>
  <c r="W57" s="1"/>
  <c r="D58"/>
  <c r="Y57"/>
  <c r="Z57" s="1"/>
  <c r="G57"/>
  <c r="W56" s="1"/>
  <c r="D57"/>
  <c r="Y56"/>
  <c r="Z56" s="1"/>
  <c r="G56"/>
  <c r="W55" s="1"/>
  <c r="D56"/>
  <c r="Y55"/>
  <c r="Z55" s="1"/>
  <c r="D55"/>
  <c r="Y54"/>
  <c r="Z54" s="1"/>
  <c r="W54"/>
  <c r="D54"/>
  <c r="Y53"/>
  <c r="Z53" s="1"/>
  <c r="W53"/>
  <c r="G53"/>
  <c r="D53"/>
  <c r="Y52"/>
  <c r="Z52" s="1"/>
  <c r="G52"/>
  <c r="D52"/>
  <c r="Y51"/>
  <c r="Z51" s="1"/>
  <c r="G51"/>
  <c r="W50" s="1"/>
  <c r="D51"/>
  <c r="Y50"/>
  <c r="Z50" s="1"/>
  <c r="G50"/>
  <c r="W49" s="1"/>
  <c r="D50"/>
  <c r="Y49"/>
  <c r="Z49" s="1"/>
  <c r="G49"/>
  <c r="W48" s="1"/>
  <c r="D49"/>
  <c r="Y48"/>
  <c r="Z48" s="1"/>
  <c r="G48"/>
  <c r="W47" s="1"/>
  <c r="D48"/>
  <c r="Y47"/>
  <c r="Z47" s="1"/>
  <c r="G47"/>
  <c r="W46" s="1"/>
  <c r="D47"/>
  <c r="Y46"/>
  <c r="Z46" s="1"/>
  <c r="G46"/>
  <c r="W45" s="1"/>
  <c r="D46"/>
  <c r="Y45"/>
  <c r="Z45" s="1"/>
  <c r="G45"/>
  <c r="D45"/>
  <c r="Y44"/>
  <c r="Z44" s="1"/>
  <c r="V44"/>
  <c r="G44"/>
  <c r="W43" s="1"/>
  <c r="D44"/>
  <c r="Y43"/>
  <c r="Z43" s="1"/>
  <c r="D43"/>
  <c r="Y42"/>
  <c r="Z42" s="1"/>
  <c r="W42"/>
  <c r="D42"/>
  <c r="Y41"/>
  <c r="Z41" s="1"/>
  <c r="W41"/>
  <c r="D41"/>
  <c r="Y40"/>
  <c r="Z40" s="1"/>
  <c r="W40"/>
  <c r="D40"/>
  <c r="Y39"/>
  <c r="Z39" s="1"/>
  <c r="W39"/>
  <c r="D39"/>
  <c r="Y38"/>
  <c r="Z38" s="1"/>
  <c r="W38"/>
  <c r="D38"/>
  <c r="Y37"/>
  <c r="Z37" s="1"/>
  <c r="W37"/>
  <c r="D37"/>
  <c r="Y36"/>
  <c r="Z36" s="1"/>
  <c r="Y35"/>
  <c r="Z35" s="1"/>
  <c r="Y34"/>
  <c r="Z34" s="1"/>
  <c r="Y33"/>
  <c r="Z33" s="1"/>
  <c r="Y32"/>
  <c r="Z32" s="1"/>
  <c r="Y31"/>
  <c r="Z31" s="1"/>
  <c r="W31"/>
  <c r="G31"/>
  <c r="W30" s="1"/>
  <c r="D31"/>
  <c r="Y30"/>
  <c r="Z30" s="1"/>
  <c r="G30"/>
  <c r="W29" s="1"/>
  <c r="D30"/>
  <c r="Y29"/>
  <c r="Z29" s="1"/>
  <c r="D29"/>
  <c r="Y28"/>
  <c r="Z28" s="1"/>
  <c r="W28"/>
  <c r="G28"/>
  <c r="W27" s="1"/>
  <c r="D28"/>
  <c r="Y27"/>
  <c r="Z27" s="1"/>
  <c r="G27"/>
  <c r="W26" s="1"/>
  <c r="D27"/>
  <c r="Y26"/>
  <c r="Z26" s="1"/>
  <c r="D26"/>
  <c r="Y25"/>
  <c r="Z25" s="1"/>
  <c r="W25"/>
  <c r="G25"/>
  <c r="W24" s="1"/>
  <c r="D25"/>
  <c r="Y24"/>
  <c r="Z24" s="1"/>
  <c r="G24"/>
  <c r="W23" s="1"/>
  <c r="D24"/>
  <c r="Y23"/>
  <c r="Z23" s="1"/>
  <c r="D23"/>
  <c r="Y22"/>
  <c r="Z22" s="1"/>
  <c r="W22"/>
  <c r="G22"/>
  <c r="W21" s="1"/>
  <c r="D22"/>
  <c r="Y21"/>
  <c r="Z21" s="1"/>
  <c r="G21"/>
  <c r="W20" s="1"/>
  <c r="D21"/>
  <c r="Y20"/>
  <c r="Z20" s="1"/>
  <c r="G20"/>
  <c r="W19" s="1"/>
  <c r="D20"/>
  <c r="Y19"/>
  <c r="Z19" s="1"/>
  <c r="G19"/>
  <c r="D19"/>
  <c r="Y18"/>
  <c r="Z18" s="1"/>
  <c r="D18"/>
  <c r="Y17"/>
  <c r="Z17" s="1"/>
  <c r="W17"/>
  <c r="G17"/>
  <c r="W16" s="1"/>
  <c r="D17"/>
  <c r="Y16"/>
  <c r="Z16" s="1"/>
  <c r="G16"/>
  <c r="W15" s="1"/>
  <c r="D16"/>
  <c r="Y15"/>
  <c r="Z15" s="1"/>
  <c r="D15"/>
  <c r="Y14"/>
  <c r="Z14" s="1"/>
  <c r="W14"/>
  <c r="G14"/>
  <c r="W13" s="1"/>
  <c r="D14"/>
  <c r="Y13"/>
  <c r="Z13" s="1"/>
  <c r="G13"/>
  <c r="W12" s="1"/>
  <c r="D13"/>
  <c r="Y12"/>
  <c r="Z12" s="1"/>
  <c r="D12"/>
  <c r="Y11"/>
  <c r="Z11" s="1"/>
  <c r="W11"/>
  <c r="G11"/>
  <c r="W10" s="1"/>
  <c r="D11"/>
  <c r="Y10"/>
  <c r="Z10" s="1"/>
  <c r="G10"/>
  <c r="W9" s="1"/>
  <c r="D10"/>
  <c r="Y9"/>
  <c r="Z9" s="1"/>
  <c r="D9"/>
  <c r="Y8"/>
  <c r="Z8" s="1"/>
  <c r="W8"/>
  <c r="G8"/>
  <c r="D8"/>
  <c r="Y7"/>
  <c r="Z7" s="1"/>
  <c r="V7"/>
  <c r="G7"/>
  <c r="D7"/>
  <c r="Y6"/>
  <c r="Z6" s="1"/>
  <c r="D5"/>
  <c r="R114" i="47" l="1"/>
  <c r="S114" s="1"/>
  <c r="U232" i="13"/>
  <c r="V232" s="1"/>
  <c r="H266"/>
  <c r="I266" s="1"/>
  <c r="I131"/>
  <c r="F164" i="44"/>
  <c r="I40" i="47"/>
  <c r="H41" s="1"/>
  <c r="H132" i="13"/>
  <c r="H1332"/>
  <c r="I1331"/>
  <c r="F366" i="44"/>
  <c r="K2850" i="25"/>
  <c r="K2893" s="1"/>
  <c r="K3846" s="1"/>
  <c r="E97" i="21"/>
  <c r="E157" s="1"/>
  <c r="G157" s="1"/>
  <c r="J3742" i="22"/>
  <c r="K3742" s="1"/>
  <c r="K3760" s="1"/>
  <c r="G447" i="23"/>
  <c r="E437" s="1"/>
  <c r="G437" s="1"/>
  <c r="I27" i="22"/>
  <c r="K27" s="1"/>
  <c r="K3101" i="25"/>
  <c r="F25" i="21"/>
  <c r="K2810" i="22"/>
  <c r="K2811" s="1"/>
  <c r="K2802" s="1"/>
  <c r="E534" i="23"/>
  <c r="A546" s="1"/>
  <c r="T30" i="42"/>
  <c r="F192" i="44"/>
  <c r="G766" i="16"/>
  <c r="W765" s="1"/>
  <c r="G744"/>
  <c r="W743" s="1"/>
  <c r="F24" i="21"/>
  <c r="D205" i="23"/>
  <c r="A203" s="1"/>
  <c r="G203" s="1"/>
  <c r="K1018" i="25"/>
  <c r="F84" i="42"/>
  <c r="I1845" i="22"/>
  <c r="K1845" s="1"/>
  <c r="D302" i="23"/>
  <c r="F302" s="1"/>
  <c r="G402"/>
  <c r="E392" s="1"/>
  <c r="G392" s="1"/>
  <c r="I11" i="25"/>
  <c r="K11" s="1"/>
  <c r="I35"/>
  <c r="K35" s="1"/>
  <c r="I44"/>
  <c r="K44" s="1"/>
  <c r="I63"/>
  <c r="K63" s="1"/>
  <c r="K3249"/>
  <c r="K64" i="42"/>
  <c r="M64" s="1"/>
  <c r="R115" i="47"/>
  <c r="S115" s="1"/>
  <c r="I53" i="25"/>
  <c r="K53" s="1"/>
  <c r="K2643"/>
  <c r="K2645" s="1"/>
  <c r="K100" i="42"/>
  <c r="M100" s="1"/>
  <c r="F27" i="44"/>
  <c r="F73"/>
  <c r="F119"/>
  <c r="AC18" i="22"/>
  <c r="C80" s="1"/>
  <c r="P192"/>
  <c r="R192" s="1"/>
  <c r="K667"/>
  <c r="K669" s="1"/>
  <c r="K670" s="1"/>
  <c r="K671" s="1"/>
  <c r="K672" s="1"/>
  <c r="K673" s="1"/>
  <c r="K3112"/>
  <c r="R3113"/>
  <c r="K3524"/>
  <c r="L3524" s="1"/>
  <c r="G419" i="23"/>
  <c r="G420" s="1"/>
  <c r="G421" s="1"/>
  <c r="A432" s="1"/>
  <c r="G432" s="1"/>
  <c r="G466"/>
  <c r="G467" s="1"/>
  <c r="G468" s="1"/>
  <c r="A483" s="1"/>
  <c r="G483" s="1"/>
  <c r="G473"/>
  <c r="A484" s="1"/>
  <c r="G484" s="1"/>
  <c r="G498"/>
  <c r="E488" s="1"/>
  <c r="E517" s="1"/>
  <c r="E677"/>
  <c r="A690" s="1"/>
  <c r="K706" i="25"/>
  <c r="K1020"/>
  <c r="P2846"/>
  <c r="M10" i="42"/>
  <c r="L111" i="47"/>
  <c r="N111" s="1"/>
  <c r="O111" s="1"/>
  <c r="F111" s="1"/>
  <c r="R875" i="22"/>
  <c r="I16" i="47"/>
  <c r="H17" s="1"/>
  <c r="A105" s="1"/>
  <c r="H105" s="1"/>
  <c r="G96" i="21"/>
  <c r="E190" i="23"/>
  <c r="E570"/>
  <c r="A583" s="1"/>
  <c r="K686" i="25"/>
  <c r="I688" s="1"/>
  <c r="K688" s="1"/>
  <c r="K2021"/>
  <c r="F185" i="44"/>
  <c r="L110" i="47"/>
  <c r="N110" s="1"/>
  <c r="O110" s="1"/>
  <c r="F110" s="1"/>
  <c r="F228" i="44"/>
  <c r="F275"/>
  <c r="F319"/>
  <c r="E157" i="18"/>
  <c r="G157" s="1"/>
  <c r="F156" i="44"/>
  <c r="X34" i="22"/>
  <c r="K1601"/>
  <c r="K2745"/>
  <c r="K2748" s="1"/>
  <c r="K3222"/>
  <c r="I3218" s="1"/>
  <c r="K3218" s="1"/>
  <c r="P3497"/>
  <c r="R3497" s="1"/>
  <c r="I3535"/>
  <c r="K3535" s="1"/>
  <c r="R3627"/>
  <c r="R3628" s="1"/>
  <c r="D197" i="23"/>
  <c r="A194" s="1"/>
  <c r="G194" s="1"/>
  <c r="G329"/>
  <c r="G330" s="1"/>
  <c r="G331" s="1"/>
  <c r="G477"/>
  <c r="E605"/>
  <c r="A618" s="1"/>
  <c r="I3115" i="25"/>
  <c r="K3115" s="1"/>
  <c r="K3141"/>
  <c r="K3142" s="1"/>
  <c r="K3134" s="1"/>
  <c r="K3135" s="1"/>
  <c r="K3763"/>
  <c r="K2201" s="1"/>
  <c r="K3919"/>
  <c r="I3933" s="1"/>
  <c r="K3933" s="1"/>
  <c r="F15" i="44"/>
  <c r="F62"/>
  <c r="F106"/>
  <c r="F264"/>
  <c r="F308"/>
  <c r="F372"/>
  <c r="F379"/>
  <c r="I29" i="47"/>
  <c r="H115"/>
  <c r="R116"/>
  <c r="S116" s="1"/>
  <c r="G777" i="16"/>
  <c r="W776" s="1"/>
  <c r="I9" i="22"/>
  <c r="K9" s="1"/>
  <c r="K2369"/>
  <c r="I3053"/>
  <c r="I3181"/>
  <c r="K3181" s="1"/>
  <c r="K3515"/>
  <c r="G357" i="23"/>
  <c r="E347" s="1"/>
  <c r="G347" s="1"/>
  <c r="E641"/>
  <c r="A654" s="1"/>
  <c r="I9" i="25"/>
  <c r="K9" s="1"/>
  <c r="I18"/>
  <c r="K18" s="1"/>
  <c r="I27"/>
  <c r="K27" s="1"/>
  <c r="C35"/>
  <c r="I183" s="1"/>
  <c r="K183" s="1"/>
  <c r="K647"/>
  <c r="K649" s="1"/>
  <c r="K650" s="1"/>
  <c r="K651" s="1"/>
  <c r="K652" s="1"/>
  <c r="K653" s="1"/>
  <c r="K708"/>
  <c r="K712" s="1"/>
  <c r="K714" s="1"/>
  <c r="I720" s="1"/>
  <c r="K720" s="1"/>
  <c r="I740" s="1"/>
  <c r="K740" s="1"/>
  <c r="R875"/>
  <c r="K915"/>
  <c r="K1809"/>
  <c r="K3335"/>
  <c r="I3330" s="1"/>
  <c r="K3330" s="1"/>
  <c r="K3478"/>
  <c r="K3503"/>
  <c r="J3738"/>
  <c r="K3738" s="1"/>
  <c r="K3756" s="1"/>
  <c r="L3760"/>
  <c r="AA22" i="42"/>
  <c r="AA24" s="1"/>
  <c r="M33"/>
  <c r="T55"/>
  <c r="F16" i="44"/>
  <c r="F51"/>
  <c r="F63"/>
  <c r="F95"/>
  <c r="F107"/>
  <c r="F208"/>
  <c r="F216"/>
  <c r="F252"/>
  <c r="F265"/>
  <c r="F297"/>
  <c r="F309"/>
  <c r="I20" i="47"/>
  <c r="I22" s="1"/>
  <c r="H23" s="1"/>
  <c r="A106" s="1"/>
  <c r="L113"/>
  <c r="N113" s="1"/>
  <c r="O113" s="1"/>
  <c r="F113" s="1"/>
  <c r="H113" s="1"/>
  <c r="G35" i="18"/>
  <c r="I1818" i="22"/>
  <c r="K1818" s="1"/>
  <c r="F139" i="23"/>
  <c r="G207"/>
  <c r="D305"/>
  <c r="F305" s="1"/>
  <c r="G374"/>
  <c r="G394"/>
  <c r="G395" s="1"/>
  <c r="G517"/>
  <c r="G505"/>
  <c r="AC18" i="25"/>
  <c r="C80" s="1"/>
  <c r="I378" s="1"/>
  <c r="K378" s="1"/>
  <c r="K386" s="1"/>
  <c r="K388" s="1"/>
  <c r="I393" s="1"/>
  <c r="K393" s="1"/>
  <c r="K397" s="1"/>
  <c r="K399" s="1"/>
  <c r="K401" s="1"/>
  <c r="K402" s="1"/>
  <c r="K403" s="1"/>
  <c r="K404" s="1"/>
  <c r="K405" s="1"/>
  <c r="K917"/>
  <c r="K2710"/>
  <c r="K2711" s="1"/>
  <c r="K2703" s="1"/>
  <c r="K2745"/>
  <c r="K2748" s="1"/>
  <c r="K2907"/>
  <c r="K3708"/>
  <c r="K2208" s="1"/>
  <c r="K3247"/>
  <c r="K3250" s="1"/>
  <c r="K3251" s="1"/>
  <c r="K3243" s="1"/>
  <c r="K3505"/>
  <c r="T22" i="42"/>
  <c r="T24" s="1"/>
  <c r="F240" i="44"/>
  <c r="F241" s="1"/>
  <c r="F286"/>
  <c r="F287" s="1"/>
  <c r="F332"/>
  <c r="F333" s="1"/>
  <c r="F342"/>
  <c r="F350"/>
  <c r="H110" i="47"/>
  <c r="C69"/>
  <c r="W339" i="16"/>
  <c r="W958"/>
  <c r="G770"/>
  <c r="W769" s="1"/>
  <c r="F549" i="23"/>
  <c r="W711" i="16"/>
  <c r="G774"/>
  <c r="W773" s="1"/>
  <c r="G375" i="23"/>
  <c r="G376" s="1"/>
  <c r="I3402" i="25"/>
  <c r="K3368"/>
  <c r="I3363" s="1"/>
  <c r="K3363" s="1"/>
  <c r="I3425"/>
  <c r="K3425" s="1"/>
  <c r="K3406"/>
  <c r="R64" i="42"/>
  <c r="T64" s="1"/>
  <c r="T46"/>
  <c r="Y46"/>
  <c r="AA46" s="1"/>
  <c r="T48"/>
  <c r="D137" i="23"/>
  <c r="F111"/>
  <c r="I3278" i="25"/>
  <c r="K3265"/>
  <c r="I3424"/>
  <c r="K3405"/>
  <c r="I3727"/>
  <c r="K3727" s="1"/>
  <c r="K3624"/>
  <c r="K69" i="42"/>
  <c r="Y51"/>
  <c r="M51"/>
  <c r="F272" i="23"/>
  <c r="D256" s="1"/>
  <c r="F256" s="1"/>
  <c r="F264" s="1"/>
  <c r="F265" s="1"/>
  <c r="K667" i="25"/>
  <c r="K669" s="1"/>
  <c r="K670" s="1"/>
  <c r="K671" s="1"/>
  <c r="K672" s="1"/>
  <c r="K673" s="1"/>
  <c r="K3824"/>
  <c r="F140" i="44"/>
  <c r="F171"/>
  <c r="F253"/>
  <c r="F298"/>
  <c r="F358"/>
  <c r="I30" i="47"/>
  <c r="H31" s="1"/>
  <c r="A107" s="1"/>
  <c r="H116"/>
  <c r="I1254" i="25"/>
  <c r="K1254" s="1"/>
  <c r="P9"/>
  <c r="R9" s="1"/>
  <c r="R14" s="1"/>
  <c r="P23"/>
  <c r="R23" s="1"/>
  <c r="I3034"/>
  <c r="K3034" s="1"/>
  <c r="K2911"/>
  <c r="I3646"/>
  <c r="K3646" s="1"/>
  <c r="K3616"/>
  <c r="L3135"/>
  <c r="K2192"/>
  <c r="I3280"/>
  <c r="K3267"/>
  <c r="S112" i="47"/>
  <c r="T112" s="1"/>
  <c r="S118"/>
  <c r="T118" s="1"/>
  <c r="M22" i="42"/>
  <c r="M24" s="1"/>
  <c r="F148" i="44"/>
  <c r="F178"/>
  <c r="K3335" i="22"/>
  <c r="I3330" s="1"/>
  <c r="K3330" s="1"/>
  <c r="I3368"/>
  <c r="I2408" i="25"/>
  <c r="K2408" s="1"/>
  <c r="K2361"/>
  <c r="I3426"/>
  <c r="K3407"/>
  <c r="K46" i="42"/>
  <c r="M46" s="1"/>
  <c r="M28"/>
  <c r="T47"/>
  <c r="R65"/>
  <c r="T65" s="1"/>
  <c r="K71"/>
  <c r="M53"/>
  <c r="Y53"/>
  <c r="S117" i="47"/>
  <c r="T117" s="1"/>
  <c r="F25" i="18"/>
  <c r="G99"/>
  <c r="G159"/>
  <c r="F292" i="23"/>
  <c r="F293" s="1"/>
  <c r="K3244" i="25"/>
  <c r="K3767" s="1"/>
  <c r="K3774" s="1"/>
  <c r="K3776" s="1"/>
  <c r="K3507"/>
  <c r="F28" i="44"/>
  <c r="F52"/>
  <c r="F74"/>
  <c r="F96"/>
  <c r="F120"/>
  <c r="F199"/>
  <c r="F229"/>
  <c r="F276"/>
  <c r="F320"/>
  <c r="Z773" i="16"/>
  <c r="W784"/>
  <c r="F24" i="18"/>
  <c r="G97" i="21"/>
  <c r="G99" s="1"/>
  <c r="I11" i="22"/>
  <c r="K11" s="1"/>
  <c r="I197"/>
  <c r="K197" s="1"/>
  <c r="K507"/>
  <c r="K647"/>
  <c r="K649" s="1"/>
  <c r="K650" s="1"/>
  <c r="K651" s="1"/>
  <c r="K652" s="1"/>
  <c r="K653" s="1"/>
  <c r="K1018"/>
  <c r="K1737"/>
  <c r="K2241"/>
  <c r="K2710"/>
  <c r="K2711" s="1"/>
  <c r="K2703" s="1"/>
  <c r="K2727"/>
  <c r="K2728" s="1"/>
  <c r="K2717" s="1"/>
  <c r="K2867"/>
  <c r="I3274"/>
  <c r="K3274" s="1"/>
  <c r="P3496"/>
  <c r="R3496" s="1"/>
  <c r="F38" i="23"/>
  <c r="F89"/>
  <c r="F136"/>
  <c r="F138"/>
  <c r="D304"/>
  <c r="F304" s="1"/>
  <c r="AC9" i="25"/>
  <c r="C68" s="1"/>
  <c r="I294" s="1"/>
  <c r="K294" s="1"/>
  <c r="K303" s="1"/>
  <c r="K305" s="1"/>
  <c r="Z11"/>
  <c r="Z12" s="1"/>
  <c r="AC29"/>
  <c r="C91" s="1"/>
  <c r="P69"/>
  <c r="R69" s="1"/>
  <c r="P81"/>
  <c r="R81" s="1"/>
  <c r="C137"/>
  <c r="I1544" s="1"/>
  <c r="K1544" s="1"/>
  <c r="K1549" s="1"/>
  <c r="K1551" s="1"/>
  <c r="I211"/>
  <c r="K211" s="1"/>
  <c r="I213"/>
  <c r="K213" s="1"/>
  <c r="P298"/>
  <c r="R298" s="1"/>
  <c r="I312"/>
  <c r="K312" s="1"/>
  <c r="P321"/>
  <c r="R321" s="1"/>
  <c r="P348"/>
  <c r="R348" s="1"/>
  <c r="P362"/>
  <c r="R362" s="1"/>
  <c r="P376"/>
  <c r="R376" s="1"/>
  <c r="P390"/>
  <c r="R390" s="1"/>
  <c r="P431"/>
  <c r="R431" s="1"/>
  <c r="I446"/>
  <c r="K446" s="1"/>
  <c r="I480"/>
  <c r="K480" s="1"/>
  <c r="P514"/>
  <c r="R514" s="1"/>
  <c r="P533"/>
  <c r="R533" s="1"/>
  <c r="I576"/>
  <c r="K576" s="1"/>
  <c r="I860"/>
  <c r="K860" s="1"/>
  <c r="I880"/>
  <c r="K880" s="1"/>
  <c r="K919"/>
  <c r="I1179"/>
  <c r="K1179" s="1"/>
  <c r="I1236"/>
  <c r="K1236" s="1"/>
  <c r="I1340"/>
  <c r="K1340" s="1"/>
  <c r="I1422"/>
  <c r="K1422" s="1"/>
  <c r="I1449"/>
  <c r="K1449" s="1"/>
  <c r="I1579"/>
  <c r="K1579" s="1"/>
  <c r="K1737"/>
  <c r="I1758"/>
  <c r="K1758" s="1"/>
  <c r="K1817"/>
  <c r="K1844"/>
  <c r="I1977"/>
  <c r="K1977" s="1"/>
  <c r="I2001"/>
  <c r="K2001" s="1"/>
  <c r="I2049"/>
  <c r="K2049" s="1"/>
  <c r="I2070"/>
  <c r="K2070" s="1"/>
  <c r="I2524"/>
  <c r="K2524" s="1"/>
  <c r="I2590"/>
  <c r="K2590" s="1"/>
  <c r="I2914"/>
  <c r="K2914" s="1"/>
  <c r="I3001"/>
  <c r="K3001" s="1"/>
  <c r="I3028"/>
  <c r="K3028" s="1"/>
  <c r="I3266"/>
  <c r="I3570"/>
  <c r="K3570" s="1"/>
  <c r="I3572"/>
  <c r="K3572" s="1"/>
  <c r="I3589"/>
  <c r="K3589" s="1"/>
  <c r="I3623"/>
  <c r="I3625"/>
  <c r="I3797"/>
  <c r="K3797" s="1"/>
  <c r="D29" i="42"/>
  <c r="P46"/>
  <c r="K52"/>
  <c r="D65"/>
  <c r="F65" s="1"/>
  <c r="F76" s="1"/>
  <c r="F78" s="1"/>
  <c r="D82"/>
  <c r="F82" s="1"/>
  <c r="D100"/>
  <c r="F100" s="1"/>
  <c r="F39" i="44"/>
  <c r="F40" s="1"/>
  <c r="F84"/>
  <c r="F85" s="1"/>
  <c r="F131"/>
  <c r="F132" s="1"/>
  <c r="P119" i="47"/>
  <c r="AC19" i="22"/>
  <c r="P24"/>
  <c r="R24" s="1"/>
  <c r="P25"/>
  <c r="R25" s="1"/>
  <c r="I153"/>
  <c r="K153" s="1"/>
  <c r="I167"/>
  <c r="K167" s="1"/>
  <c r="I196"/>
  <c r="K196" s="1"/>
  <c r="I299"/>
  <c r="K299" s="1"/>
  <c r="P391"/>
  <c r="R391" s="1"/>
  <c r="K916"/>
  <c r="K918"/>
  <c r="K920"/>
  <c r="K1020"/>
  <c r="K2829"/>
  <c r="K2830" s="1"/>
  <c r="I2819" s="1"/>
  <c r="K2819" s="1"/>
  <c r="P3074"/>
  <c r="R3074" s="1"/>
  <c r="K3101"/>
  <c r="K3496"/>
  <c r="AC16" i="25"/>
  <c r="AC19"/>
  <c r="C81" s="1"/>
  <c r="P52"/>
  <c r="R52" s="1"/>
  <c r="I140"/>
  <c r="K140" s="1"/>
  <c r="I274"/>
  <c r="K274" s="1"/>
  <c r="I297"/>
  <c r="K297" s="1"/>
  <c r="P319"/>
  <c r="R319" s="1"/>
  <c r="I339"/>
  <c r="K339" s="1"/>
  <c r="I380"/>
  <c r="K380" s="1"/>
  <c r="I426"/>
  <c r="K426" s="1"/>
  <c r="I445"/>
  <c r="K445" s="1"/>
  <c r="I459"/>
  <c r="K459" s="1"/>
  <c r="I498"/>
  <c r="K498" s="1"/>
  <c r="I592"/>
  <c r="K592" s="1"/>
  <c r="I824"/>
  <c r="K824" s="1"/>
  <c r="K1016"/>
  <c r="I1177"/>
  <c r="K1177" s="1"/>
  <c r="I1222"/>
  <c r="K1222" s="1"/>
  <c r="I1338"/>
  <c r="K1338" s="1"/>
  <c r="I1410"/>
  <c r="K1410" s="1"/>
  <c r="I1507"/>
  <c r="K1507" s="1"/>
  <c r="I1742"/>
  <c r="K1742" s="1"/>
  <c r="I1778"/>
  <c r="K1778" s="1"/>
  <c r="I2053"/>
  <c r="K2053" s="1"/>
  <c r="I2076"/>
  <c r="K2076" s="1"/>
  <c r="K2241"/>
  <c r="I2307"/>
  <c r="K2307" s="1"/>
  <c r="I2467"/>
  <c r="K2467" s="1"/>
  <c r="I2564"/>
  <c r="I2694"/>
  <c r="K2694" s="1"/>
  <c r="K2736"/>
  <c r="K2739" s="1"/>
  <c r="K2873"/>
  <c r="K2913"/>
  <c r="I2933"/>
  <c r="I2953" s="1"/>
  <c r="K2953" s="1"/>
  <c r="K2996"/>
  <c r="K3000"/>
  <c r="I3159"/>
  <c r="K3259"/>
  <c r="K3351"/>
  <c r="K3353"/>
  <c r="K3496"/>
  <c r="I3805"/>
  <c r="K3805" s="1"/>
  <c r="F9" i="42"/>
  <c r="F22" s="1"/>
  <c r="F24" s="1"/>
  <c r="D28"/>
  <c r="T28"/>
  <c r="T29"/>
  <c r="M35"/>
  <c r="D83"/>
  <c r="F83" s="1"/>
  <c r="D101"/>
  <c r="F101" s="1"/>
  <c r="K105" i="47"/>
  <c r="L105" s="1"/>
  <c r="N105" s="1"/>
  <c r="O105" s="1"/>
  <c r="K106"/>
  <c r="L106" s="1"/>
  <c r="N106" s="1"/>
  <c r="O106" s="1"/>
  <c r="F106" s="1"/>
  <c r="H106" s="1"/>
  <c r="L109"/>
  <c r="N109" s="1"/>
  <c r="O109" s="1"/>
  <c r="F109" s="1"/>
  <c r="H109" s="1"/>
  <c r="I94" i="22"/>
  <c r="K94" s="1"/>
  <c r="P297"/>
  <c r="R297" s="1"/>
  <c r="P363"/>
  <c r="R363" s="1"/>
  <c r="P377"/>
  <c r="R377" s="1"/>
  <c r="I382"/>
  <c r="K382" s="1"/>
  <c r="P67" i="25"/>
  <c r="R67" s="1"/>
  <c r="P84"/>
  <c r="R84" s="1"/>
  <c r="C140"/>
  <c r="P191"/>
  <c r="R191" s="1"/>
  <c r="I272"/>
  <c r="K272" s="1"/>
  <c r="P286"/>
  <c r="R286" s="1"/>
  <c r="P307"/>
  <c r="R307" s="1"/>
  <c r="I315"/>
  <c r="K315" s="1"/>
  <c r="I359"/>
  <c r="K359" s="1"/>
  <c r="I412"/>
  <c r="K412" s="1"/>
  <c r="P496"/>
  <c r="R496" s="1"/>
  <c r="P513"/>
  <c r="R513" s="1"/>
  <c r="P536"/>
  <c r="R536" s="1"/>
  <c r="P554"/>
  <c r="R554" s="1"/>
  <c r="I560"/>
  <c r="K560" s="1"/>
  <c r="I622"/>
  <c r="K622" s="1"/>
  <c r="I727"/>
  <c r="K727" s="1"/>
  <c r="I1116"/>
  <c r="K1116" s="1"/>
  <c r="I1175"/>
  <c r="K1175" s="1"/>
  <c r="I1204"/>
  <c r="K1204" s="1"/>
  <c r="I1271"/>
  <c r="K1271" s="1"/>
  <c r="I1314"/>
  <c r="K1314" s="1"/>
  <c r="I1367"/>
  <c r="K1367" s="1"/>
  <c r="I1397"/>
  <c r="K1397" s="1"/>
  <c r="I1451"/>
  <c r="K1451" s="1"/>
  <c r="I1479"/>
  <c r="K1479" s="1"/>
  <c r="I1521"/>
  <c r="K1521" s="1"/>
  <c r="I1577"/>
  <c r="K1577" s="1"/>
  <c r="I1640"/>
  <c r="K1640" s="1"/>
  <c r="I1740"/>
  <c r="K1740" s="1"/>
  <c r="I1776"/>
  <c r="K1776" s="1"/>
  <c r="I1832"/>
  <c r="K1832" s="1"/>
  <c r="K2369"/>
  <c r="K2425"/>
  <c r="K2846"/>
  <c r="R2847"/>
  <c r="R2849"/>
  <c r="K2854"/>
  <c r="I2941"/>
  <c r="K2941" s="1"/>
  <c r="I2959"/>
  <c r="I3006"/>
  <c r="K3006" s="1"/>
  <c r="I3040"/>
  <c r="K3040" s="1"/>
  <c r="K3158"/>
  <c r="I3571"/>
  <c r="K3571" s="1"/>
  <c r="I3588"/>
  <c r="K3588" s="1"/>
  <c r="I3590"/>
  <c r="D48" i="42"/>
  <c r="F48" s="1"/>
  <c r="K50"/>
  <c r="K108" i="47"/>
  <c r="L108" s="1"/>
  <c r="N108" s="1"/>
  <c r="O108" s="1"/>
  <c r="F108" s="1"/>
  <c r="T114"/>
  <c r="T115"/>
  <c r="T116"/>
  <c r="W1078" i="16"/>
  <c r="I29" i="22"/>
  <c r="K29" s="1"/>
  <c r="I155"/>
  <c r="K155" s="1"/>
  <c r="K282"/>
  <c r="I337"/>
  <c r="K337" s="1"/>
  <c r="I381"/>
  <c r="K381" s="1"/>
  <c r="K915"/>
  <c r="K917"/>
  <c r="K919"/>
  <c r="K1016"/>
  <c r="K2021"/>
  <c r="K2643"/>
  <c r="K2645" s="1"/>
  <c r="K2871"/>
  <c r="I3665"/>
  <c r="K3665" s="1"/>
  <c r="K3767"/>
  <c r="K2201" s="1"/>
  <c r="D72" i="23"/>
  <c r="G199"/>
  <c r="P25" i="25"/>
  <c r="R25" s="1"/>
  <c r="I46"/>
  <c r="K46" s="1"/>
  <c r="I72"/>
  <c r="K72" s="1"/>
  <c r="I175"/>
  <c r="K175" s="1"/>
  <c r="P284"/>
  <c r="R284" s="1"/>
  <c r="I313"/>
  <c r="K313" s="1"/>
  <c r="P336"/>
  <c r="R336" s="1"/>
  <c r="P350"/>
  <c r="R350" s="1"/>
  <c r="I394"/>
  <c r="K394" s="1"/>
  <c r="I411"/>
  <c r="K411" s="1"/>
  <c r="P450"/>
  <c r="R450" s="1"/>
  <c r="P468"/>
  <c r="R468" s="1"/>
  <c r="I474"/>
  <c r="K474" s="1"/>
  <c r="I481"/>
  <c r="K481" s="1"/>
  <c r="P495"/>
  <c r="R495" s="1"/>
  <c r="I535"/>
  <c r="K535" s="1"/>
  <c r="P856"/>
  <c r="R856" s="1"/>
  <c r="I1085"/>
  <c r="K1085" s="1"/>
  <c r="I1173"/>
  <c r="K1173" s="1"/>
  <c r="I1202"/>
  <c r="K1202" s="1"/>
  <c r="I1269"/>
  <c r="K1269" s="1"/>
  <c r="I1289"/>
  <c r="K1289" s="1"/>
  <c r="I1312"/>
  <c r="K1312" s="1"/>
  <c r="I1365"/>
  <c r="K1365" s="1"/>
  <c r="I1385"/>
  <c r="K1385" s="1"/>
  <c r="I1424"/>
  <c r="K1424" s="1"/>
  <c r="I1508"/>
  <c r="K1508" s="1"/>
  <c r="I1519"/>
  <c r="K1519" s="1"/>
  <c r="I1638"/>
  <c r="K1638" s="1"/>
  <c r="I1703"/>
  <c r="K1703" s="1"/>
  <c r="I1760"/>
  <c r="K1760" s="1"/>
  <c r="I1895"/>
  <c r="K1895" s="1"/>
  <c r="I2790"/>
  <c r="K2790" s="1"/>
  <c r="P2850"/>
  <c r="K2855"/>
  <c r="I2908"/>
  <c r="I2939"/>
  <c r="I3057" s="1"/>
  <c r="I3036"/>
  <c r="K3036" s="1"/>
  <c r="K3170"/>
  <c r="K3352"/>
  <c r="K107" i="47"/>
  <c r="R107" s="1"/>
  <c r="L112"/>
  <c r="N112" s="1"/>
  <c r="O112" s="1"/>
  <c r="F112" s="1"/>
  <c r="H112" s="1"/>
  <c r="L117"/>
  <c r="N117" s="1"/>
  <c r="O117" s="1"/>
  <c r="F117" s="1"/>
  <c r="H117" s="1"/>
  <c r="L118"/>
  <c r="N118" s="1"/>
  <c r="O118" s="1"/>
  <c r="F118" s="1"/>
  <c r="H118" s="1"/>
  <c r="K119"/>
  <c r="L119" s="1"/>
  <c r="N119" s="1"/>
  <c r="O119" s="1"/>
  <c r="F119" s="1"/>
  <c r="H119" s="1"/>
  <c r="W44" i="16"/>
  <c r="W349"/>
  <c r="W901"/>
  <c r="W1140"/>
  <c r="W357"/>
  <c r="W719"/>
  <c r="I2956" i="22"/>
  <c r="I2959" s="1"/>
  <c r="K3614"/>
  <c r="F51" i="21"/>
  <c r="D587" i="23"/>
  <c r="F587" s="1"/>
  <c r="I3809" i="22"/>
  <c r="K3809" s="1"/>
  <c r="K3874" s="1"/>
  <c r="I3921"/>
  <c r="K3921" s="1"/>
  <c r="I3801"/>
  <c r="K3801" s="1"/>
  <c r="V572" i="16"/>
  <c r="W572" s="1"/>
  <c r="W641"/>
  <c r="Z774"/>
  <c r="W178"/>
  <c r="W780"/>
  <c r="G888"/>
  <c r="W887" s="1"/>
  <c r="W936"/>
  <c r="W1220"/>
  <c r="W1173"/>
  <c r="W1222"/>
  <c r="F46" i="21"/>
  <c r="H46" s="1"/>
  <c r="D104"/>
  <c r="F104" s="1"/>
  <c r="F41"/>
  <c r="I3140" i="22"/>
  <c r="K3140" s="1"/>
  <c r="K3141" s="1"/>
  <c r="K3142" s="1"/>
  <c r="K3134" s="1"/>
  <c r="K3135" s="1"/>
  <c r="I2760"/>
  <c r="K2760" s="1"/>
  <c r="P2873"/>
  <c r="R2873" s="1"/>
  <c r="E9" i="18"/>
  <c r="F9" s="1"/>
  <c r="P2850" i="22"/>
  <c r="R2850" s="1"/>
  <c r="P2852"/>
  <c r="R2852" s="1"/>
  <c r="F547" i="23"/>
  <c r="F552"/>
  <c r="F16"/>
  <c r="F18" s="1"/>
  <c r="P2853" i="22"/>
  <c r="P2886" s="1"/>
  <c r="R2886" s="1"/>
  <c r="I3351"/>
  <c r="K3351" s="1"/>
  <c r="I3504"/>
  <c r="I3623" s="1"/>
  <c r="Z920" i="16"/>
  <c r="W694"/>
  <c r="D73" i="23"/>
  <c r="D101" s="1"/>
  <c r="D122" s="1"/>
  <c r="F50"/>
  <c r="D585"/>
  <c r="F548"/>
  <c r="W640" i="16"/>
  <c r="W7"/>
  <c r="W608"/>
  <c r="F48" i="21"/>
  <c r="H48" s="1"/>
  <c r="D111"/>
  <c r="F111" s="1"/>
  <c r="D105"/>
  <c r="F105" s="1"/>
  <c r="I2906" i="22"/>
  <c r="I3029" s="1"/>
  <c r="K3029" s="1"/>
  <c r="I3796"/>
  <c r="K3796" s="1"/>
  <c r="D71" i="23"/>
  <c r="F48"/>
  <c r="D36"/>
  <c r="D59" s="1"/>
  <c r="F23"/>
  <c r="K2854" i="22"/>
  <c r="I2914"/>
  <c r="K2914" s="1"/>
  <c r="I3005"/>
  <c r="K3005" s="1"/>
  <c r="F47" i="21"/>
  <c r="H47" s="1"/>
  <c r="P2857" i="22"/>
  <c r="R2857" s="1"/>
  <c r="I2905"/>
  <c r="K2905" s="1"/>
  <c r="I2916"/>
  <c r="I2940" s="1"/>
  <c r="I3003"/>
  <c r="K3003" s="1"/>
  <c r="K3662"/>
  <c r="I3799"/>
  <c r="K3799" s="1"/>
  <c r="D591" i="23"/>
  <c r="K2843" i="22"/>
  <c r="K2869"/>
  <c r="I2911"/>
  <c r="I3034" s="1"/>
  <c r="K3034" s="1"/>
  <c r="I3247"/>
  <c r="I3825"/>
  <c r="K3825" s="1"/>
  <c r="I2910"/>
  <c r="I3033" s="1"/>
  <c r="K3033" s="1"/>
  <c r="I3001"/>
  <c r="K3001" s="1"/>
  <c r="I3353"/>
  <c r="I3506"/>
  <c r="I3625" s="1"/>
  <c r="I3732" s="1"/>
  <c r="I3803"/>
  <c r="K3803" s="1"/>
  <c r="K3837" s="1"/>
  <c r="K3849" s="1"/>
  <c r="I3827"/>
  <c r="K3827" s="1"/>
  <c r="I3923"/>
  <c r="K3923" s="1"/>
  <c r="F13" i="18"/>
  <c r="F14" s="1"/>
  <c r="F17" s="1"/>
  <c r="F112"/>
  <c r="F113" s="1"/>
  <c r="A150"/>
  <c r="F150" s="1"/>
  <c r="F149"/>
  <c r="F73"/>
  <c r="F77" s="1"/>
  <c r="F78" s="1"/>
  <c r="F81" s="1"/>
  <c r="E133"/>
  <c r="F133" s="1"/>
  <c r="F137" s="1"/>
  <c r="F138" s="1"/>
  <c r="F141" s="1"/>
  <c r="A90"/>
  <c r="F90" s="1"/>
  <c r="F89"/>
  <c r="F88"/>
  <c r="F148"/>
  <c r="F89" i="21"/>
  <c r="A90"/>
  <c r="F90" s="1"/>
  <c r="A206" i="22"/>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P689"/>
  <c r="R689" s="1"/>
  <c r="P720"/>
  <c r="R720" s="1"/>
  <c r="P704"/>
  <c r="R704" s="1"/>
  <c r="I2165"/>
  <c r="K2165" s="1"/>
  <c r="K2175" s="1"/>
  <c r="K2178" s="1"/>
  <c r="K2211" s="1"/>
  <c r="I1011"/>
  <c r="I974"/>
  <c r="K974" s="1"/>
  <c r="I910"/>
  <c r="I881"/>
  <c r="K881" s="1"/>
  <c r="I1083"/>
  <c r="I945"/>
  <c r="K945" s="1"/>
  <c r="P209"/>
  <c r="R209" s="1"/>
  <c r="I1084"/>
  <c r="I1059"/>
  <c r="K1059" s="1"/>
  <c r="K1066" s="1"/>
  <c r="K1068" s="1"/>
  <c r="I1044"/>
  <c r="K1044" s="1"/>
  <c r="I1029"/>
  <c r="K1029" s="1"/>
  <c r="I1012"/>
  <c r="I946"/>
  <c r="K946" s="1"/>
  <c r="I975"/>
  <c r="K975" s="1"/>
  <c r="I911"/>
  <c r="I888"/>
  <c r="K888" s="1"/>
  <c r="P210"/>
  <c r="R210" s="1"/>
  <c r="AC34"/>
  <c r="C77" s="1"/>
  <c r="I443" s="1"/>
  <c r="K443" s="1"/>
  <c r="K451" s="1"/>
  <c r="K453" s="1"/>
  <c r="I458" s="1"/>
  <c r="K458" s="1"/>
  <c r="K462" s="1"/>
  <c r="K464" s="1"/>
  <c r="K466" s="1"/>
  <c r="W642" i="16"/>
  <c r="AC10" i="22"/>
  <c r="C69" s="1"/>
  <c r="I295" s="1"/>
  <c r="K295" s="1"/>
  <c r="Z11"/>
  <c r="I2617"/>
  <c r="K2617" s="1"/>
  <c r="I254"/>
  <c r="K254" s="1"/>
  <c r="C79"/>
  <c r="I1254"/>
  <c r="K1254" s="1"/>
  <c r="P9"/>
  <c r="R9" s="1"/>
  <c r="R14" s="1"/>
  <c r="P23"/>
  <c r="R23" s="1"/>
  <c r="A149" i="21"/>
  <c r="A150" s="1"/>
  <c r="F150" s="1"/>
  <c r="F148"/>
  <c r="G159"/>
  <c r="I409" i="22"/>
  <c r="K409" s="1"/>
  <c r="K417" s="1"/>
  <c r="K419" s="1"/>
  <c r="I354"/>
  <c r="K354" s="1"/>
  <c r="K362" s="1"/>
  <c r="K364" s="1"/>
  <c r="K366" s="1"/>
  <c r="I310"/>
  <c r="K310" s="1"/>
  <c r="K318" s="1"/>
  <c r="K320" s="1"/>
  <c r="I334"/>
  <c r="I378"/>
  <c r="K378" s="1"/>
  <c r="K386" s="1"/>
  <c r="K388" s="1"/>
  <c r="I393" s="1"/>
  <c r="K393" s="1"/>
  <c r="K397" s="1"/>
  <c r="K399" s="1"/>
  <c r="K401" s="1"/>
  <c r="K402" s="1"/>
  <c r="K403" s="1"/>
  <c r="K404" s="1"/>
  <c r="K405" s="1"/>
  <c r="C82"/>
  <c r="I1253" s="1"/>
  <c r="K1253" s="1"/>
  <c r="K1260" s="1"/>
  <c r="K1262" s="1"/>
  <c r="I1909" s="1"/>
  <c r="K1909" s="1"/>
  <c r="K1920" s="1"/>
  <c r="I224"/>
  <c r="K224" s="1"/>
  <c r="K231" s="1"/>
  <c r="K233" s="1"/>
  <c r="C165"/>
  <c r="I976"/>
  <c r="K976" s="1"/>
  <c r="I912"/>
  <c r="I947"/>
  <c r="K947" s="1"/>
  <c r="K334"/>
  <c r="K342" s="1"/>
  <c r="K344" s="1"/>
  <c r="K346" s="1"/>
  <c r="K347" s="1"/>
  <c r="K348" s="1"/>
  <c r="K349" s="1"/>
  <c r="K350" s="1"/>
  <c r="A26" i="21"/>
  <c r="F26" s="1"/>
  <c r="F28" s="1"/>
  <c r="H41"/>
  <c r="F44"/>
  <c r="H44" s="1"/>
  <c r="F45"/>
  <c r="H45" s="1"/>
  <c r="F88"/>
  <c r="I2101" i="22"/>
  <c r="K2101" s="1"/>
  <c r="I2075"/>
  <c r="K2075" s="1"/>
  <c r="I1954"/>
  <c r="K1954" s="1"/>
  <c r="I1777"/>
  <c r="K1777" s="1"/>
  <c r="I1759"/>
  <c r="K1759" s="1"/>
  <c r="I1741"/>
  <c r="K1741" s="1"/>
  <c r="I1639"/>
  <c r="K1639" s="1"/>
  <c r="I1423"/>
  <c r="K1423" s="1"/>
  <c r="I1411"/>
  <c r="K1411" s="1"/>
  <c r="I1398"/>
  <c r="K1398" s="1"/>
  <c r="I1386"/>
  <c r="K1386" s="1"/>
  <c r="I1366"/>
  <c r="K1366" s="1"/>
  <c r="I1339"/>
  <c r="K1339" s="1"/>
  <c r="I1313"/>
  <c r="K1313" s="1"/>
  <c r="I1270"/>
  <c r="K1270" s="1"/>
  <c r="I1223"/>
  <c r="K1223" s="1"/>
  <c r="I1203"/>
  <c r="K1203" s="1"/>
  <c r="I1178"/>
  <c r="K1178" s="1"/>
  <c r="I1174"/>
  <c r="K1174" s="1"/>
  <c r="I1117"/>
  <c r="K1117" s="1"/>
  <c r="I2789"/>
  <c r="K2789" s="1"/>
  <c r="I2088"/>
  <c r="K2088" s="1"/>
  <c r="K2090" s="1"/>
  <c r="K2092" s="1"/>
  <c r="I2002"/>
  <c r="K2002" s="1"/>
  <c r="I1978"/>
  <c r="K1978" s="1"/>
  <c r="I1935"/>
  <c r="K1935" s="1"/>
  <c r="I1896"/>
  <c r="K1896" s="1"/>
  <c r="I1578"/>
  <c r="K1578" s="1"/>
  <c r="I1450"/>
  <c r="K1450" s="1"/>
  <c r="I2625"/>
  <c r="K2625" s="1"/>
  <c r="I2607"/>
  <c r="K2607" s="1"/>
  <c r="I1351"/>
  <c r="K1351" s="1"/>
  <c r="I1256"/>
  <c r="K1256" s="1"/>
  <c r="I1104"/>
  <c r="K1104" s="1"/>
  <c r="I726"/>
  <c r="K726" s="1"/>
  <c r="P535"/>
  <c r="R535" s="1"/>
  <c r="I2327"/>
  <c r="K2327" s="1"/>
  <c r="I2030"/>
  <c r="K2030" s="1"/>
  <c r="I1917"/>
  <c r="K1917" s="1"/>
  <c r="I1834"/>
  <c r="K1834" s="1"/>
  <c r="I1291"/>
  <c r="K1291" s="1"/>
  <c r="I840"/>
  <c r="K840" s="1"/>
  <c r="I748"/>
  <c r="K748" s="1"/>
  <c r="I690"/>
  <c r="K690" s="1"/>
  <c r="I561"/>
  <c r="K561" s="1"/>
  <c r="I536"/>
  <c r="K536" s="1"/>
  <c r="I2428"/>
  <c r="I2372"/>
  <c r="I1326"/>
  <c r="K1326" s="1"/>
  <c r="I1238"/>
  <c r="K1238" s="1"/>
  <c r="I1157"/>
  <c r="K1157" s="1"/>
  <c r="I822"/>
  <c r="K822" s="1"/>
  <c r="I775"/>
  <c r="K775" s="1"/>
  <c r="I577"/>
  <c r="K577" s="1"/>
  <c r="I2055"/>
  <c r="K2055" s="1"/>
  <c r="I1866"/>
  <c r="K1866" s="1"/>
  <c r="I1438"/>
  <c r="K1438" s="1"/>
  <c r="I1208"/>
  <c r="K1208" s="1"/>
  <c r="I858"/>
  <c r="K858" s="1"/>
  <c r="I623"/>
  <c r="K623" s="1"/>
  <c r="I593"/>
  <c r="K593" s="1"/>
  <c r="I2427"/>
  <c r="I2371"/>
  <c r="I747"/>
  <c r="K747" s="1"/>
  <c r="I725"/>
  <c r="K725" s="1"/>
  <c r="P855"/>
  <c r="R855" s="1"/>
  <c r="P764"/>
  <c r="R764" s="1"/>
  <c r="I689"/>
  <c r="K689" s="1"/>
  <c r="AC16"/>
  <c r="I2429"/>
  <c r="K2429" s="1"/>
  <c r="I2373"/>
  <c r="K2373" s="1"/>
  <c r="AC29"/>
  <c r="C91" s="1"/>
  <c r="I1014"/>
  <c r="I1087"/>
  <c r="I46"/>
  <c r="K46" s="1"/>
  <c r="I53"/>
  <c r="K53" s="1"/>
  <c r="I2048"/>
  <c r="K2048" s="1"/>
  <c r="I2068"/>
  <c r="K2068" s="1"/>
  <c r="I1681"/>
  <c r="K1681" s="1"/>
  <c r="P600"/>
  <c r="R600" s="1"/>
  <c r="P553"/>
  <c r="R553" s="1"/>
  <c r="I1891"/>
  <c r="K1891" s="1"/>
  <c r="I1711"/>
  <c r="K1711" s="1"/>
  <c r="P630"/>
  <c r="R630" s="1"/>
  <c r="P618"/>
  <c r="R618" s="1"/>
  <c r="I63"/>
  <c r="K63" s="1"/>
  <c r="P67"/>
  <c r="R67" s="1"/>
  <c r="P81"/>
  <c r="R81" s="1"/>
  <c r="I82"/>
  <c r="K82" s="1"/>
  <c r="P83"/>
  <c r="R83" s="1"/>
  <c r="P84"/>
  <c r="R84" s="1"/>
  <c r="C138"/>
  <c r="C140"/>
  <c r="I175"/>
  <c r="K175" s="1"/>
  <c r="P191"/>
  <c r="R191" s="1"/>
  <c r="I211"/>
  <c r="K211" s="1"/>
  <c r="I212"/>
  <c r="K212" s="1"/>
  <c r="I213"/>
  <c r="K213" s="1"/>
  <c r="I227"/>
  <c r="K227" s="1"/>
  <c r="I274"/>
  <c r="K274" s="1"/>
  <c r="P285"/>
  <c r="R285" s="1"/>
  <c r="P286"/>
  <c r="R286" s="1"/>
  <c r="P298"/>
  <c r="R298" s="1"/>
  <c r="P308"/>
  <c r="R308" s="1"/>
  <c r="I314"/>
  <c r="K314" s="1"/>
  <c r="I315"/>
  <c r="K315" s="1"/>
  <c r="P321"/>
  <c r="R321" s="1"/>
  <c r="P336"/>
  <c r="R336" s="1"/>
  <c r="I338"/>
  <c r="K338" s="1"/>
  <c r="I359"/>
  <c r="K359" s="1"/>
  <c r="P362"/>
  <c r="R362" s="1"/>
  <c r="P375"/>
  <c r="R375" s="1"/>
  <c r="P376"/>
  <c r="R376" s="1"/>
  <c r="I380"/>
  <c r="K380" s="1"/>
  <c r="P390"/>
  <c r="R390" s="1"/>
  <c r="I394"/>
  <c r="K394" s="1"/>
  <c r="I412"/>
  <c r="K412" s="1"/>
  <c r="P430"/>
  <c r="R430" s="1"/>
  <c r="P431"/>
  <c r="R431" s="1"/>
  <c r="I447"/>
  <c r="K447" s="1"/>
  <c r="I459"/>
  <c r="K459" s="1"/>
  <c r="P467"/>
  <c r="R467" s="1"/>
  <c r="P468"/>
  <c r="R468" s="1"/>
  <c r="I474"/>
  <c r="K474" s="1"/>
  <c r="I481"/>
  <c r="K481" s="1"/>
  <c r="I482"/>
  <c r="K482" s="1"/>
  <c r="P495"/>
  <c r="R495" s="1"/>
  <c r="P514"/>
  <c r="R514" s="1"/>
  <c r="R521" s="1"/>
  <c r="R523" s="1"/>
  <c r="K686"/>
  <c r="I688" s="1"/>
  <c r="K688" s="1"/>
  <c r="K2103"/>
  <c r="K2105" s="1"/>
  <c r="K2107" s="1"/>
  <c r="P3618"/>
  <c r="R3618"/>
  <c r="R3620" s="1"/>
  <c r="P3636" s="1"/>
  <c r="R3636" s="1"/>
  <c r="R3638" s="1"/>
  <c r="G439" i="23"/>
  <c r="G440" s="1"/>
  <c r="D655"/>
  <c r="F619"/>
  <c r="K1011" i="25"/>
  <c r="I2522"/>
  <c r="K2522" s="1"/>
  <c r="L3801"/>
  <c r="L3802" s="1"/>
  <c r="R2875"/>
  <c r="R2877" s="1"/>
  <c r="I3887"/>
  <c r="K3887" s="1"/>
  <c r="K3057"/>
  <c r="F43" i="21"/>
  <c r="H43" s="1"/>
  <c r="AC9" i="22"/>
  <c r="C68" s="1"/>
  <c r="I294" s="1"/>
  <c r="K294" s="1"/>
  <c r="K303" s="1"/>
  <c r="K305" s="1"/>
  <c r="I1865"/>
  <c r="K1865" s="1"/>
  <c r="I2029"/>
  <c r="K2029" s="1"/>
  <c r="I2000"/>
  <c r="K2000" s="1"/>
  <c r="I1976"/>
  <c r="K1976" s="1"/>
  <c r="I1894"/>
  <c r="K1894" s="1"/>
  <c r="I1934"/>
  <c r="K1934" s="1"/>
  <c r="I1953"/>
  <c r="K1953" s="1"/>
  <c r="I2605"/>
  <c r="K2605" s="1"/>
  <c r="I1931"/>
  <c r="K1931" s="1"/>
  <c r="I1562"/>
  <c r="K1562" s="1"/>
  <c r="I1950"/>
  <c r="K1950" s="1"/>
  <c r="I1915"/>
  <c r="K1915" s="1"/>
  <c r="I1702"/>
  <c r="K1702" s="1"/>
  <c r="I1134"/>
  <c r="K1134" s="1"/>
  <c r="K1138" s="1"/>
  <c r="K1140" s="1"/>
  <c r="I949"/>
  <c r="K949" s="1"/>
  <c r="P691"/>
  <c r="R691" s="1"/>
  <c r="P722"/>
  <c r="R722" s="1"/>
  <c r="P706"/>
  <c r="R706" s="1"/>
  <c r="I914"/>
  <c r="I978"/>
  <c r="K978" s="1"/>
  <c r="P52"/>
  <c r="R52" s="1"/>
  <c r="P68"/>
  <c r="R68" s="1"/>
  <c r="P69"/>
  <c r="R69" s="1"/>
  <c r="I72"/>
  <c r="K72" s="1"/>
  <c r="C81"/>
  <c r="I95"/>
  <c r="K95" s="1"/>
  <c r="C137"/>
  <c r="I140"/>
  <c r="K140" s="1"/>
  <c r="I183"/>
  <c r="K183" s="1"/>
  <c r="K188" s="1"/>
  <c r="I272"/>
  <c r="K272" s="1"/>
  <c r="I273"/>
  <c r="K273" s="1"/>
  <c r="P284"/>
  <c r="R284" s="1"/>
  <c r="I297"/>
  <c r="K297" s="1"/>
  <c r="P307"/>
  <c r="R307" s="1"/>
  <c r="I312"/>
  <c r="K312" s="1"/>
  <c r="I313"/>
  <c r="K313" s="1"/>
  <c r="P319"/>
  <c r="R319" s="1"/>
  <c r="P320"/>
  <c r="R320" s="1"/>
  <c r="P337"/>
  <c r="R337" s="1"/>
  <c r="I339"/>
  <c r="K339" s="1"/>
  <c r="P348"/>
  <c r="R348" s="1"/>
  <c r="P349"/>
  <c r="R349" s="1"/>
  <c r="P350"/>
  <c r="R350" s="1"/>
  <c r="I358"/>
  <c r="K358" s="1"/>
  <c r="P389"/>
  <c r="R389" s="1"/>
  <c r="I411"/>
  <c r="K411" s="1"/>
  <c r="I413"/>
  <c r="K413" s="1"/>
  <c r="I426"/>
  <c r="K426" s="1"/>
  <c r="I445"/>
  <c r="K445" s="1"/>
  <c r="I446"/>
  <c r="K446" s="1"/>
  <c r="I480"/>
  <c r="K480" s="1"/>
  <c r="P496"/>
  <c r="R496" s="1"/>
  <c r="I520"/>
  <c r="K520" s="1"/>
  <c r="I3912"/>
  <c r="K3912" s="1"/>
  <c r="K2959"/>
  <c r="G519" i="23"/>
  <c r="G520" s="1"/>
  <c r="A206" i="25"/>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P689"/>
  <c r="R689" s="1"/>
  <c r="P720"/>
  <c r="R720" s="1"/>
  <c r="P704"/>
  <c r="R704" s="1"/>
  <c r="I2165"/>
  <c r="K2165" s="1"/>
  <c r="K2175" s="1"/>
  <c r="K2178" s="1"/>
  <c r="K2211" s="1"/>
  <c r="I1916" i="22"/>
  <c r="K1916" s="1"/>
  <c r="I1290"/>
  <c r="K1290" s="1"/>
  <c r="I1207"/>
  <c r="K1207" s="1"/>
  <c r="I2624"/>
  <c r="K2624" s="1"/>
  <c r="I2001"/>
  <c r="K2001" s="1"/>
  <c r="I1312"/>
  <c r="K1312" s="1"/>
  <c r="I1269"/>
  <c r="K1269" s="1"/>
  <c r="I1177"/>
  <c r="K1177" s="1"/>
  <c r="I1173"/>
  <c r="K1173" s="1"/>
  <c r="I774"/>
  <c r="K774" s="1"/>
  <c r="I1638"/>
  <c r="K1638" s="1"/>
  <c r="I1422"/>
  <c r="K1422" s="1"/>
  <c r="I1202"/>
  <c r="K1202" s="1"/>
  <c r="I1977"/>
  <c r="K1977" s="1"/>
  <c r="I1895"/>
  <c r="K1895" s="1"/>
  <c r="I1437"/>
  <c r="K1437" s="1"/>
  <c r="I1103"/>
  <c r="K1103" s="1"/>
  <c r="I1466"/>
  <c r="K1466" s="1"/>
  <c r="I1464"/>
  <c r="K1464" s="1"/>
  <c r="I1479"/>
  <c r="K1479" s="1"/>
  <c r="K1482" s="1"/>
  <c r="K1484" s="1"/>
  <c r="I1449"/>
  <c r="K1449" s="1"/>
  <c r="I1116"/>
  <c r="K1116" s="1"/>
  <c r="I20"/>
  <c r="K20" s="1"/>
  <c r="I2069"/>
  <c r="K2069" s="1"/>
  <c r="I1892"/>
  <c r="K1892" s="1"/>
  <c r="P554"/>
  <c r="R554" s="1"/>
  <c r="I2049"/>
  <c r="K2049" s="1"/>
  <c r="I1046"/>
  <c r="K1046" s="1"/>
  <c r="I1031"/>
  <c r="K1031" s="1"/>
  <c r="I35"/>
  <c r="K35" s="1"/>
  <c r="I37"/>
  <c r="K37" s="1"/>
  <c r="I1775"/>
  <c r="K1775" s="1"/>
  <c r="I1757"/>
  <c r="K1757" s="1"/>
  <c r="I1739"/>
  <c r="K1739" s="1"/>
  <c r="I578"/>
  <c r="K578" s="1"/>
  <c r="P533"/>
  <c r="R533" s="1"/>
  <c r="I1832"/>
  <c r="K1832" s="1"/>
  <c r="I44"/>
  <c r="K44" s="1"/>
  <c r="P53"/>
  <c r="R53" s="1"/>
  <c r="I55"/>
  <c r="K55" s="1"/>
  <c r="I65"/>
  <c r="K65" s="1"/>
  <c r="I81"/>
  <c r="K81" s="1"/>
  <c r="P82"/>
  <c r="R82" s="1"/>
  <c r="I83"/>
  <c r="I110"/>
  <c r="K110" s="1"/>
  <c r="P193"/>
  <c r="R193" s="1"/>
  <c r="I198"/>
  <c r="K198" s="1"/>
  <c r="P212"/>
  <c r="R212" s="1"/>
  <c r="I226"/>
  <c r="K226" s="1"/>
  <c r="I228"/>
  <c r="K228" s="1"/>
  <c r="P296"/>
  <c r="R296" s="1"/>
  <c r="I298"/>
  <c r="K298" s="1"/>
  <c r="I300"/>
  <c r="K300" s="1"/>
  <c r="I336"/>
  <c r="K336" s="1"/>
  <c r="P338"/>
  <c r="R338" s="1"/>
  <c r="I357"/>
  <c r="K357" s="1"/>
  <c r="P365"/>
  <c r="R365" s="1"/>
  <c r="P378"/>
  <c r="R378" s="1"/>
  <c r="I383"/>
  <c r="K383" s="1"/>
  <c r="P392"/>
  <c r="R392" s="1"/>
  <c r="I414"/>
  <c r="K414" s="1"/>
  <c r="P449"/>
  <c r="R449" s="1"/>
  <c r="R461" s="1"/>
  <c r="R463" s="1"/>
  <c r="P497"/>
  <c r="R497" s="1"/>
  <c r="I499"/>
  <c r="K499" s="1"/>
  <c r="I500"/>
  <c r="K500" s="1"/>
  <c r="F624" i="23"/>
  <c r="D660"/>
  <c r="I2073" i="22"/>
  <c r="K2073" s="1"/>
  <c r="I1949"/>
  <c r="K1949" s="1"/>
  <c r="I1867"/>
  <c r="K1867" s="1"/>
  <c r="K1870" s="1"/>
  <c r="I1350"/>
  <c r="K1350" s="1"/>
  <c r="I1325"/>
  <c r="K1325" s="1"/>
  <c r="I1311"/>
  <c r="K1311" s="1"/>
  <c r="I1255"/>
  <c r="K1255" s="1"/>
  <c r="I1237"/>
  <c r="K1237" s="1"/>
  <c r="I1201"/>
  <c r="K1201" s="1"/>
  <c r="I1172"/>
  <c r="K1172" s="1"/>
  <c r="I1156"/>
  <c r="K1156" s="1"/>
  <c r="I2606"/>
  <c r="K2606" s="1"/>
  <c r="I2466"/>
  <c r="K2466" s="1"/>
  <c r="I1930"/>
  <c r="K1930" s="1"/>
  <c r="I1833"/>
  <c r="K1833" s="1"/>
  <c r="I1740"/>
  <c r="K1740" s="1"/>
  <c r="I1365"/>
  <c r="K1365" s="1"/>
  <c r="I1222"/>
  <c r="K1222" s="1"/>
  <c r="I839"/>
  <c r="K839" s="1"/>
  <c r="I821"/>
  <c r="K821" s="1"/>
  <c r="I2307"/>
  <c r="K2307" s="1"/>
  <c r="I1410"/>
  <c r="K1410" s="1"/>
  <c r="I1397"/>
  <c r="K1397" s="1"/>
  <c r="I1385"/>
  <c r="K1385" s="1"/>
  <c r="I857"/>
  <c r="K857" s="1"/>
  <c r="P534"/>
  <c r="R534" s="1"/>
  <c r="I2053"/>
  <c r="K2053" s="1"/>
  <c r="I1776"/>
  <c r="K1776" s="1"/>
  <c r="I1577"/>
  <c r="K1577" s="1"/>
  <c r="I1338"/>
  <c r="K1338" s="1"/>
  <c r="I622"/>
  <c r="K622" s="1"/>
  <c r="I560"/>
  <c r="K560" s="1"/>
  <c r="I535"/>
  <c r="K535" s="1"/>
  <c r="I1758"/>
  <c r="K1758" s="1"/>
  <c r="I1289"/>
  <c r="K1289" s="1"/>
  <c r="I592"/>
  <c r="K592" s="1"/>
  <c r="I576"/>
  <c r="K576" s="1"/>
  <c r="I1951"/>
  <c r="K1951" s="1"/>
  <c r="I1439"/>
  <c r="K1439" s="1"/>
  <c r="I1352"/>
  <c r="K1352" s="1"/>
  <c r="I1327"/>
  <c r="K1327" s="1"/>
  <c r="I1292"/>
  <c r="K1292" s="1"/>
  <c r="I1257"/>
  <c r="K1257" s="1"/>
  <c r="I1239"/>
  <c r="K1239" s="1"/>
  <c r="I1209"/>
  <c r="K1209" s="1"/>
  <c r="I1185"/>
  <c r="K1185" s="1"/>
  <c r="I1158"/>
  <c r="K1158" s="1"/>
  <c r="I2328"/>
  <c r="K2328" s="1"/>
  <c r="I2308"/>
  <c r="K2308" s="1"/>
  <c r="I2056"/>
  <c r="K2056" s="1"/>
  <c r="I2031"/>
  <c r="K2031" s="1"/>
  <c r="I1932"/>
  <c r="K1932" s="1"/>
  <c r="I1835"/>
  <c r="K1835" s="1"/>
  <c r="I1778"/>
  <c r="K1778" s="1"/>
  <c r="I1579"/>
  <c r="K1579" s="1"/>
  <c r="I1340"/>
  <c r="K1340" s="1"/>
  <c r="I843"/>
  <c r="K843" s="1"/>
  <c r="I776"/>
  <c r="K776" s="1"/>
  <c r="I2076"/>
  <c r="K2076" s="1"/>
  <c r="I1760"/>
  <c r="K1760" s="1"/>
  <c r="I1451"/>
  <c r="K1451" s="1"/>
  <c r="I2467"/>
  <c r="K2467" s="1"/>
  <c r="I1742"/>
  <c r="K1742" s="1"/>
  <c r="I1367"/>
  <c r="K1367" s="1"/>
  <c r="I1314"/>
  <c r="K1314" s="1"/>
  <c r="I1271"/>
  <c r="K1271" s="1"/>
  <c r="I1179"/>
  <c r="K1179" s="1"/>
  <c r="I1175"/>
  <c r="K1175" s="1"/>
  <c r="I860"/>
  <c r="K860" s="1"/>
  <c r="I2790"/>
  <c r="K2790" s="1"/>
  <c r="I1640"/>
  <c r="K1640" s="1"/>
  <c r="I1424"/>
  <c r="K1424" s="1"/>
  <c r="I1204"/>
  <c r="K1204" s="1"/>
  <c r="P856"/>
  <c r="R856" s="1"/>
  <c r="I824"/>
  <c r="K824" s="1"/>
  <c r="P536"/>
  <c r="R536" s="1"/>
  <c r="I1495"/>
  <c r="K1495" s="1"/>
  <c r="I1521"/>
  <c r="K1521" s="1"/>
  <c r="I1508"/>
  <c r="K1508" s="1"/>
  <c r="I1546"/>
  <c r="K1546" s="1"/>
  <c r="I1534"/>
  <c r="K1534" s="1"/>
  <c r="I1506"/>
  <c r="K1506" s="1"/>
  <c r="I1703"/>
  <c r="K1703" s="1"/>
  <c r="I1519"/>
  <c r="K1519" s="1"/>
  <c r="I887"/>
  <c r="K887" s="1"/>
  <c r="I880"/>
  <c r="K880" s="1"/>
  <c r="I1085"/>
  <c r="P54"/>
  <c r="R54" s="1"/>
  <c r="I749"/>
  <c r="K749" s="1"/>
  <c r="I727"/>
  <c r="K727" s="1"/>
  <c r="I1520"/>
  <c r="K1520" s="1"/>
  <c r="I1205"/>
  <c r="K1205" s="1"/>
  <c r="I1176"/>
  <c r="K1176" s="1"/>
  <c r="I2050"/>
  <c r="K2050" s="1"/>
  <c r="I1576"/>
  <c r="K1576" s="1"/>
  <c r="I1492"/>
  <c r="K1492" s="1"/>
  <c r="I1507"/>
  <c r="K1507" s="1"/>
  <c r="I1236"/>
  <c r="K1236" s="1"/>
  <c r="I772"/>
  <c r="K772" s="1"/>
  <c r="I2070"/>
  <c r="K2070" s="1"/>
  <c r="P180"/>
  <c r="R180" s="1"/>
  <c r="P267"/>
  <c r="R267" s="1"/>
  <c r="P309"/>
  <c r="R309" s="1"/>
  <c r="I356"/>
  <c r="K356" s="1"/>
  <c r="P364"/>
  <c r="R364" s="1"/>
  <c r="I448"/>
  <c r="K448" s="1"/>
  <c r="I483"/>
  <c r="K483" s="1"/>
  <c r="I496"/>
  <c r="K496" s="1"/>
  <c r="P498"/>
  <c r="R498" s="1"/>
  <c r="I2591"/>
  <c r="K2591" s="1"/>
  <c r="K2560"/>
  <c r="I2593"/>
  <c r="K2593" s="1"/>
  <c r="K2562"/>
  <c r="I2595"/>
  <c r="K2595" s="1"/>
  <c r="K2564"/>
  <c r="P79" i="25"/>
  <c r="R79" s="1"/>
  <c r="R87" s="1"/>
  <c r="R89" s="1"/>
  <c r="P144"/>
  <c r="R144" s="1"/>
  <c r="R196" s="1"/>
  <c r="R198" s="1"/>
  <c r="R201" s="1"/>
  <c r="R202" s="1"/>
  <c r="R203" s="1"/>
  <c r="R204" s="1"/>
  <c r="I3884"/>
  <c r="K3884" s="1"/>
  <c r="K3053"/>
  <c r="I2410" i="22"/>
  <c r="K2410" s="1"/>
  <c r="K2362"/>
  <c r="I2361"/>
  <c r="I2524"/>
  <c r="K2524" s="1"/>
  <c r="I2528"/>
  <c r="K2528" s="1"/>
  <c r="K2561"/>
  <c r="I3031"/>
  <c r="K3031" s="1"/>
  <c r="I2934"/>
  <c r="I3920"/>
  <c r="K3920" s="1"/>
  <c r="I3824"/>
  <c r="K3824" s="1"/>
  <c r="P2870"/>
  <c r="R2870" s="1"/>
  <c r="K2866"/>
  <c r="P2885"/>
  <c r="R2885" s="1"/>
  <c r="I2986"/>
  <c r="K2986" s="1"/>
  <c r="I2997"/>
  <c r="K2997" s="1"/>
  <c r="K3158"/>
  <c r="D590" i="23"/>
  <c r="F553"/>
  <c r="F618"/>
  <c r="F690"/>
  <c r="I747" i="25"/>
  <c r="K747" s="1"/>
  <c r="I2427"/>
  <c r="I2371"/>
  <c r="I725"/>
  <c r="K725" s="1"/>
  <c r="C78"/>
  <c r="I2683"/>
  <c r="K2683" s="1"/>
  <c r="K507"/>
  <c r="K282"/>
  <c r="I783"/>
  <c r="K783" s="1"/>
  <c r="I1084"/>
  <c r="I1059"/>
  <c r="K1059" s="1"/>
  <c r="K1066" s="1"/>
  <c r="K1068" s="1"/>
  <c r="I1044"/>
  <c r="K1044" s="1"/>
  <c r="K1052" s="1"/>
  <c r="K1054" s="1"/>
  <c r="I1029"/>
  <c r="K1029" s="1"/>
  <c r="I1012"/>
  <c r="I946"/>
  <c r="K946" s="1"/>
  <c r="P210"/>
  <c r="R210" s="1"/>
  <c r="I976"/>
  <c r="K976" s="1"/>
  <c r="I912"/>
  <c r="K132"/>
  <c r="K133" s="1"/>
  <c r="I2048"/>
  <c r="K2048" s="1"/>
  <c r="P600"/>
  <c r="R600" s="1"/>
  <c r="P553"/>
  <c r="R553" s="1"/>
  <c r="R566" s="1"/>
  <c r="R568" s="1"/>
  <c r="P449"/>
  <c r="R449" s="1"/>
  <c r="R461" s="1"/>
  <c r="R463" s="1"/>
  <c r="I110"/>
  <c r="K110" s="1"/>
  <c r="I81"/>
  <c r="K81" s="1"/>
  <c r="I1532"/>
  <c r="K1532" s="1"/>
  <c r="I1504"/>
  <c r="K1504" s="1"/>
  <c r="I334"/>
  <c r="K334" s="1"/>
  <c r="K342" s="1"/>
  <c r="K344" s="1"/>
  <c r="K346" s="1"/>
  <c r="K347" s="1"/>
  <c r="K348" s="1"/>
  <c r="K349" s="1"/>
  <c r="K350" s="1"/>
  <c r="P337"/>
  <c r="R337" s="1"/>
  <c r="P349"/>
  <c r="R349" s="1"/>
  <c r="I358"/>
  <c r="K358" s="1"/>
  <c r="P430"/>
  <c r="R430" s="1"/>
  <c r="R443" s="1"/>
  <c r="R445" s="1"/>
  <c r="P618"/>
  <c r="R618" s="1"/>
  <c r="I689"/>
  <c r="K689" s="1"/>
  <c r="P855"/>
  <c r="R855" s="1"/>
  <c r="R858" s="1"/>
  <c r="R860" s="1"/>
  <c r="I858"/>
  <c r="K858" s="1"/>
  <c r="I911"/>
  <c r="I975"/>
  <c r="K975" s="1"/>
  <c r="I1104"/>
  <c r="K1104" s="1"/>
  <c r="I1256"/>
  <c r="K1256" s="1"/>
  <c r="I1351"/>
  <c r="K1351" s="1"/>
  <c r="K1482"/>
  <c r="K1484" s="1"/>
  <c r="I1834"/>
  <c r="K1834" s="1"/>
  <c r="I1891"/>
  <c r="K1891" s="1"/>
  <c r="I1931"/>
  <c r="K1931" s="1"/>
  <c r="I2030"/>
  <c r="K2030" s="1"/>
  <c r="I2055"/>
  <c r="K2055" s="1"/>
  <c r="K2509"/>
  <c r="K2510" s="1"/>
  <c r="I2499" s="1"/>
  <c r="K2499" s="1"/>
  <c r="K2502" s="1"/>
  <c r="I2560"/>
  <c r="I2595"/>
  <c r="K2595" s="1"/>
  <c r="K2564"/>
  <c r="I2592"/>
  <c r="K2592" s="1"/>
  <c r="I2607"/>
  <c r="K2607" s="1"/>
  <c r="K2727"/>
  <c r="K2728" s="1"/>
  <c r="K2717" s="1"/>
  <c r="K2720" s="1"/>
  <c r="P2886"/>
  <c r="R2886" s="1"/>
  <c r="R2853"/>
  <c r="H3123"/>
  <c r="K2942"/>
  <c r="K3060" s="1"/>
  <c r="K3076" s="1"/>
  <c r="K3102" s="1"/>
  <c r="I3029"/>
  <c r="K3029" s="1"/>
  <c r="I2932"/>
  <c r="K2906"/>
  <c r="K2951"/>
  <c r="I2972"/>
  <c r="K2972" s="1"/>
  <c r="K2975"/>
  <c r="I3122"/>
  <c r="K3116" s="1"/>
  <c r="I3899"/>
  <c r="K3899" s="1"/>
  <c r="K708" i="22"/>
  <c r="K712" s="1"/>
  <c r="K714" s="1"/>
  <c r="I720" s="1"/>
  <c r="K720" s="1"/>
  <c r="I1831"/>
  <c r="K1831" s="1"/>
  <c r="K1738"/>
  <c r="I1802"/>
  <c r="K1802" s="1"/>
  <c r="K1801"/>
  <c r="K1809"/>
  <c r="I2440"/>
  <c r="K2440" s="1"/>
  <c r="I2590"/>
  <c r="K2590" s="1"/>
  <c r="I2594"/>
  <c r="K2594" s="1"/>
  <c r="K2720"/>
  <c r="P2883"/>
  <c r="R2883" s="1"/>
  <c r="K2956"/>
  <c r="I3159"/>
  <c r="I3402"/>
  <c r="K3368"/>
  <c r="I3363" s="1"/>
  <c r="K3363" s="1"/>
  <c r="K3494"/>
  <c r="I3571"/>
  <c r="K3571" s="1"/>
  <c r="P3504"/>
  <c r="R3504" s="1"/>
  <c r="K3504"/>
  <c r="I3587"/>
  <c r="K3587" s="1"/>
  <c r="I3647"/>
  <c r="K3647" s="1"/>
  <c r="K3616"/>
  <c r="I3778"/>
  <c r="K3778" s="1"/>
  <c r="I3909"/>
  <c r="K3909" s="1"/>
  <c r="D303" i="23"/>
  <c r="F303" s="1"/>
  <c r="F137"/>
  <c r="D160"/>
  <c r="F160" s="1"/>
  <c r="G349"/>
  <c r="G350" s="1"/>
  <c r="D588"/>
  <c r="F551"/>
  <c r="F583"/>
  <c r="F584"/>
  <c r="F586"/>
  <c r="F589"/>
  <c r="F657"/>
  <c r="I2101" i="25"/>
  <c r="K2101" s="1"/>
  <c r="K2103" s="1"/>
  <c r="K2105" s="1"/>
  <c r="K2107" s="1"/>
  <c r="I2075"/>
  <c r="K2075" s="1"/>
  <c r="K2077" s="1"/>
  <c r="I1954"/>
  <c r="K1954" s="1"/>
  <c r="I1777"/>
  <c r="K1777" s="1"/>
  <c r="K1783" s="1"/>
  <c r="K1785" s="1"/>
  <c r="I1819" s="1"/>
  <c r="K1819" s="1"/>
  <c r="K1821" s="1"/>
  <c r="I1759"/>
  <c r="K1759" s="1"/>
  <c r="I1741"/>
  <c r="K1741" s="1"/>
  <c r="I1639"/>
  <c r="K1639" s="1"/>
  <c r="I1423"/>
  <c r="K1423" s="1"/>
  <c r="K1427" s="1"/>
  <c r="K1429" s="1"/>
  <c r="I1411"/>
  <c r="K1411" s="1"/>
  <c r="I1398"/>
  <c r="K1398" s="1"/>
  <c r="I1386"/>
  <c r="K1386" s="1"/>
  <c r="I1366"/>
  <c r="K1366" s="1"/>
  <c r="I1339"/>
  <c r="K1339" s="1"/>
  <c r="I1313"/>
  <c r="K1313" s="1"/>
  <c r="I1270"/>
  <c r="K1270" s="1"/>
  <c r="I1223"/>
  <c r="K1223" s="1"/>
  <c r="I1203"/>
  <c r="K1203" s="1"/>
  <c r="I1178"/>
  <c r="K1178" s="1"/>
  <c r="I1174"/>
  <c r="K1174" s="1"/>
  <c r="I1117"/>
  <c r="K1117" s="1"/>
  <c r="K1120" s="1"/>
  <c r="K1122" s="1"/>
  <c r="I726"/>
  <c r="K726" s="1"/>
  <c r="P535"/>
  <c r="R535" s="1"/>
  <c r="P515"/>
  <c r="R515" s="1"/>
  <c r="P391"/>
  <c r="R391" s="1"/>
  <c r="I382"/>
  <c r="K382" s="1"/>
  <c r="P377"/>
  <c r="R377" s="1"/>
  <c r="P363"/>
  <c r="R363" s="1"/>
  <c r="I299"/>
  <c r="K299" s="1"/>
  <c r="P297"/>
  <c r="R297" s="1"/>
  <c r="I197"/>
  <c r="K197" s="1"/>
  <c r="P192"/>
  <c r="R192" s="1"/>
  <c r="I2789"/>
  <c r="K2789" s="1"/>
  <c r="K2792" s="1"/>
  <c r="K2794" s="1"/>
  <c r="I2088"/>
  <c r="K2088" s="1"/>
  <c r="K2090" s="1"/>
  <c r="K2092" s="1"/>
  <c r="I2002"/>
  <c r="K2002" s="1"/>
  <c r="I1978"/>
  <c r="K1978" s="1"/>
  <c r="I1935"/>
  <c r="K1935" s="1"/>
  <c r="I1896"/>
  <c r="K1896" s="1"/>
  <c r="I1578"/>
  <c r="K1578" s="1"/>
  <c r="I1450"/>
  <c r="K1450" s="1"/>
  <c r="K1455" s="1"/>
  <c r="K1457" s="1"/>
  <c r="I840"/>
  <c r="K840" s="1"/>
  <c r="I748"/>
  <c r="K748" s="1"/>
  <c r="I690"/>
  <c r="K690" s="1"/>
  <c r="I561"/>
  <c r="K561" s="1"/>
  <c r="I536"/>
  <c r="K536" s="1"/>
  <c r="I499"/>
  <c r="K499" s="1"/>
  <c r="P497"/>
  <c r="R497" s="1"/>
  <c r="P53"/>
  <c r="R53" s="1"/>
  <c r="I1702"/>
  <c r="K1702" s="1"/>
  <c r="I1134"/>
  <c r="K1134" s="1"/>
  <c r="K1138" s="1"/>
  <c r="K1140" s="1"/>
  <c r="C82"/>
  <c r="I1253" s="1"/>
  <c r="K1253" s="1"/>
  <c r="K1260" s="1"/>
  <c r="K1262" s="1"/>
  <c r="I1909" s="1"/>
  <c r="K1909" s="1"/>
  <c r="I224"/>
  <c r="K224" s="1"/>
  <c r="K231" s="1"/>
  <c r="K233" s="1"/>
  <c r="I1014"/>
  <c r="P212"/>
  <c r="R212" s="1"/>
  <c r="I94"/>
  <c r="K94" s="1"/>
  <c r="I123"/>
  <c r="K123" s="1"/>
  <c r="K126" s="1"/>
  <c r="K128" s="1"/>
  <c r="K129" s="1"/>
  <c r="I409"/>
  <c r="K409" s="1"/>
  <c r="K417" s="1"/>
  <c r="K419" s="1"/>
  <c r="I354"/>
  <c r="K354" s="1"/>
  <c r="K362" s="1"/>
  <c r="K364" s="1"/>
  <c r="K366" s="1"/>
  <c r="I310"/>
  <c r="K310" s="1"/>
  <c r="K318" s="1"/>
  <c r="K320" s="1"/>
  <c r="I95"/>
  <c r="K95" s="1"/>
  <c r="K188"/>
  <c r="I212"/>
  <c r="K212" s="1"/>
  <c r="I338"/>
  <c r="K338" s="1"/>
  <c r="I413"/>
  <c r="K413" s="1"/>
  <c r="I447"/>
  <c r="K447" s="1"/>
  <c r="P467"/>
  <c r="R467" s="1"/>
  <c r="R479" s="1"/>
  <c r="R481" s="1"/>
  <c r="I577"/>
  <c r="K577" s="1"/>
  <c r="I775"/>
  <c r="K775" s="1"/>
  <c r="I888"/>
  <c r="K888" s="1"/>
  <c r="K890" s="1"/>
  <c r="I945"/>
  <c r="K945" s="1"/>
  <c r="I1208"/>
  <c r="K1208" s="1"/>
  <c r="I1438"/>
  <c r="K1438" s="1"/>
  <c r="I1562"/>
  <c r="K1562" s="1"/>
  <c r="K1566" s="1"/>
  <c r="K1569" s="1"/>
  <c r="K1601"/>
  <c r="I1711"/>
  <c r="K1711" s="1"/>
  <c r="I1917"/>
  <c r="K1917" s="1"/>
  <c r="I1953"/>
  <c r="K1953" s="1"/>
  <c r="K2225"/>
  <c r="K2227" s="1"/>
  <c r="I2262"/>
  <c r="I2528"/>
  <c r="K2528" s="1"/>
  <c r="K2761"/>
  <c r="K2764" s="1"/>
  <c r="I2909"/>
  <c r="P2852"/>
  <c r="K2857"/>
  <c r="K3008" s="1"/>
  <c r="I3033"/>
  <c r="K3033" s="1"/>
  <c r="I2936"/>
  <c r="K2910"/>
  <c r="I3039"/>
  <c r="K3039" s="1"/>
  <c r="I2940"/>
  <c r="K2918"/>
  <c r="K2931"/>
  <c r="K2935"/>
  <c r="K2939"/>
  <c r="I3003"/>
  <c r="K3003" s="1"/>
  <c r="I3051"/>
  <c r="I3059"/>
  <c r="K3059" s="1"/>
  <c r="K3678"/>
  <c r="K3696"/>
  <c r="K3698" s="1"/>
  <c r="K1566" i="22"/>
  <c r="K1569" s="1"/>
  <c r="I2526"/>
  <c r="K2526" s="1"/>
  <c r="I2530"/>
  <c r="K2530" s="1"/>
  <c r="K2736"/>
  <c r="K2739" s="1"/>
  <c r="K2804"/>
  <c r="K2822"/>
  <c r="R2846"/>
  <c r="I2939"/>
  <c r="I2915"/>
  <c r="R2851"/>
  <c r="I3810"/>
  <c r="K3810" s="1"/>
  <c r="K2856"/>
  <c r="P2887"/>
  <c r="R2887" s="1"/>
  <c r="I2907"/>
  <c r="K2910"/>
  <c r="I3039"/>
  <c r="K3039" s="1"/>
  <c r="I3007"/>
  <c r="K3007" s="1"/>
  <c r="I3889"/>
  <c r="K3889" s="1"/>
  <c r="K3053"/>
  <c r="I3267"/>
  <c r="I3415"/>
  <c r="K3415" s="1"/>
  <c r="D100" i="23"/>
  <c r="F72"/>
  <c r="G488"/>
  <c r="G490" s="1"/>
  <c r="G491" s="1"/>
  <c r="F546"/>
  <c r="F654"/>
  <c r="Z36" i="25"/>
  <c r="AC36" s="1"/>
  <c r="I242" s="1"/>
  <c r="K242" s="1"/>
  <c r="Z13"/>
  <c r="X34"/>
  <c r="X29"/>
  <c r="I974"/>
  <c r="K974" s="1"/>
  <c r="I910"/>
  <c r="I881"/>
  <c r="K881" s="1"/>
  <c r="K883" s="1"/>
  <c r="P209"/>
  <c r="R209" s="1"/>
  <c r="I949"/>
  <c r="K949" s="1"/>
  <c r="P691"/>
  <c r="R691" s="1"/>
  <c r="P722"/>
  <c r="R722" s="1"/>
  <c r="P706"/>
  <c r="R706" s="1"/>
  <c r="I82"/>
  <c r="K82" s="1"/>
  <c r="P83"/>
  <c r="R83" s="1"/>
  <c r="I227"/>
  <c r="K227" s="1"/>
  <c r="I273"/>
  <c r="K273" s="1"/>
  <c r="I314"/>
  <c r="K314" s="1"/>
  <c r="I520"/>
  <c r="K520" s="1"/>
  <c r="I593"/>
  <c r="K593" s="1"/>
  <c r="P630"/>
  <c r="R630" s="1"/>
  <c r="I914"/>
  <c r="I978"/>
  <c r="K978" s="1"/>
  <c r="I1157"/>
  <c r="K1157" s="1"/>
  <c r="I1238"/>
  <c r="K1238" s="1"/>
  <c r="I1326"/>
  <c r="K1326" s="1"/>
  <c r="I1517"/>
  <c r="K1517" s="1"/>
  <c r="K1524" s="1"/>
  <c r="K1526" s="1"/>
  <c r="I1681"/>
  <c r="K1681" s="1"/>
  <c r="I1831"/>
  <c r="K1831" s="1"/>
  <c r="K1738"/>
  <c r="I1802"/>
  <c r="K1802" s="1"/>
  <c r="K1801"/>
  <c r="I1934"/>
  <c r="K1934" s="1"/>
  <c r="I2068"/>
  <c r="K2068" s="1"/>
  <c r="I2372"/>
  <c r="I2428"/>
  <c r="I2562"/>
  <c r="I2594"/>
  <c r="K2594" s="1"/>
  <c r="I3901"/>
  <c r="K3901" s="1"/>
  <c r="K2225" i="22"/>
  <c r="K2227" s="1"/>
  <c r="K2509"/>
  <c r="K2510" s="1"/>
  <c r="I2499" s="1"/>
  <c r="K2499" s="1"/>
  <c r="K2502" s="1"/>
  <c r="K2705"/>
  <c r="I3725"/>
  <c r="K3725" s="1"/>
  <c r="I2917"/>
  <c r="I3795"/>
  <c r="K3795" s="1"/>
  <c r="K2845"/>
  <c r="P2849"/>
  <c r="P2858"/>
  <c r="R2858" s="1"/>
  <c r="I3922"/>
  <c r="K3922" s="1"/>
  <c r="I3352"/>
  <c r="I3248"/>
  <c r="I3826"/>
  <c r="K3826" s="1"/>
  <c r="P2872"/>
  <c r="R2872" s="1"/>
  <c r="K2868"/>
  <c r="I2759"/>
  <c r="K2759" s="1"/>
  <c r="K2761" s="1"/>
  <c r="K2908"/>
  <c r="K2913"/>
  <c r="I2931"/>
  <c r="P3494"/>
  <c r="R3494" s="1"/>
  <c r="I3115"/>
  <c r="K3396"/>
  <c r="I3503"/>
  <c r="I3505"/>
  <c r="F621" i="23"/>
  <c r="F693"/>
  <c r="AC11" i="25"/>
  <c r="C70" s="1"/>
  <c r="AC12"/>
  <c r="C71" s="1"/>
  <c r="I1865"/>
  <c r="K1865" s="1"/>
  <c r="I2029"/>
  <c r="K2029" s="1"/>
  <c r="I2000"/>
  <c r="K2000" s="1"/>
  <c r="I1976"/>
  <c r="K1976" s="1"/>
  <c r="I1894"/>
  <c r="K1894" s="1"/>
  <c r="I2617"/>
  <c r="K2617" s="1"/>
  <c r="I254"/>
  <c r="K254" s="1"/>
  <c r="I2429"/>
  <c r="K2429" s="1"/>
  <c r="I2373"/>
  <c r="K2373" s="1"/>
  <c r="AC34"/>
  <c r="C77" s="1"/>
  <c r="I443" s="1"/>
  <c r="K443" s="1"/>
  <c r="K451" s="1"/>
  <c r="K453" s="1"/>
  <c r="I458" s="1"/>
  <c r="K458" s="1"/>
  <c r="K462" s="1"/>
  <c r="K464" s="1"/>
  <c r="K466" s="1"/>
  <c r="I1683"/>
  <c r="K1683" s="1"/>
  <c r="I153"/>
  <c r="K153" s="1"/>
  <c r="Z35"/>
  <c r="AC35" s="1"/>
  <c r="I253" s="1"/>
  <c r="K253" s="1"/>
  <c r="K258" s="1"/>
  <c r="K260" s="1"/>
  <c r="P68"/>
  <c r="R68" s="1"/>
  <c r="C79"/>
  <c r="P285"/>
  <c r="R285" s="1"/>
  <c r="P308"/>
  <c r="R308" s="1"/>
  <c r="P320"/>
  <c r="R320" s="1"/>
  <c r="P375"/>
  <c r="R375" s="1"/>
  <c r="P389"/>
  <c r="R389" s="1"/>
  <c r="I482"/>
  <c r="K482" s="1"/>
  <c r="K564"/>
  <c r="K567" s="1"/>
  <c r="I568" s="1"/>
  <c r="K568" s="1"/>
  <c r="I569" s="1"/>
  <c r="K569" s="1"/>
  <c r="I570" s="1"/>
  <c r="K570" s="1"/>
  <c r="I571" s="1"/>
  <c r="K571" s="1"/>
  <c r="I572" s="1"/>
  <c r="K572" s="1"/>
  <c r="I623"/>
  <c r="K623" s="1"/>
  <c r="I2410"/>
  <c r="K2410" s="1"/>
  <c r="K2414" s="1"/>
  <c r="K2416" s="1"/>
  <c r="I2422" s="1"/>
  <c r="K2422" s="1"/>
  <c r="K2362"/>
  <c r="K2364" s="1"/>
  <c r="I2365" s="1"/>
  <c r="I2367" s="1"/>
  <c r="K2367" s="1"/>
  <c r="P764"/>
  <c r="R764" s="1"/>
  <c r="I822"/>
  <c r="K822" s="1"/>
  <c r="I947"/>
  <c r="K947" s="1"/>
  <c r="I1083"/>
  <c r="I1087"/>
  <c r="I1291"/>
  <c r="K1291" s="1"/>
  <c r="I1866"/>
  <c r="K1866" s="1"/>
  <c r="K1920"/>
  <c r="I1915"/>
  <c r="K1915" s="1"/>
  <c r="I1950"/>
  <c r="K1950" s="1"/>
  <c r="I2327"/>
  <c r="K2327" s="1"/>
  <c r="I2526"/>
  <c r="K2526" s="1"/>
  <c r="I2530"/>
  <c r="K2530" s="1"/>
  <c r="K2705"/>
  <c r="K2810"/>
  <c r="K2811" s="1"/>
  <c r="K2802" s="1"/>
  <c r="K2804" s="1"/>
  <c r="K2829"/>
  <c r="K2830" s="1"/>
  <c r="I2819" s="1"/>
  <c r="K2819" s="1"/>
  <c r="K2822" s="1"/>
  <c r="P2858"/>
  <c r="R2858" s="1"/>
  <c r="R2846"/>
  <c r="P2879"/>
  <c r="R2879" s="1"/>
  <c r="I3031"/>
  <c r="K3031" s="1"/>
  <c r="I2934"/>
  <c r="K2908"/>
  <c r="I3037"/>
  <c r="K3037" s="1"/>
  <c r="I2938"/>
  <c r="K2933"/>
  <c r="I3904"/>
  <c r="K3904" s="1"/>
  <c r="I2986"/>
  <c r="K2986" s="1"/>
  <c r="I2961"/>
  <c r="I3007"/>
  <c r="K3007" s="1"/>
  <c r="I3038"/>
  <c r="K3038" s="1"/>
  <c r="I3049"/>
  <c r="I2387" i="22"/>
  <c r="K2387" s="1"/>
  <c r="P2871"/>
  <c r="R2871" s="1"/>
  <c r="I2909"/>
  <c r="I2996"/>
  <c r="I2998"/>
  <c r="K2998" s="1"/>
  <c r="I3000"/>
  <c r="I3002"/>
  <c r="K3002" s="1"/>
  <c r="K3019" s="1"/>
  <c r="I3004"/>
  <c r="K3004" s="1"/>
  <c r="I3006"/>
  <c r="K3006" s="1"/>
  <c r="I3465"/>
  <c r="K3465" s="1"/>
  <c r="I3802"/>
  <c r="K3802" s="1"/>
  <c r="I3910"/>
  <c r="K3910" s="1"/>
  <c r="I20" i="25"/>
  <c r="K20" s="1"/>
  <c r="I37"/>
  <c r="K37" s="1"/>
  <c r="I55"/>
  <c r="K55" s="1"/>
  <c r="I65"/>
  <c r="K65" s="1"/>
  <c r="I74"/>
  <c r="K74" s="1"/>
  <c r="P82"/>
  <c r="R82" s="1"/>
  <c r="I83"/>
  <c r="P193"/>
  <c r="R193" s="1"/>
  <c r="I198"/>
  <c r="K198" s="1"/>
  <c r="I226"/>
  <c r="K226" s="1"/>
  <c r="I228"/>
  <c r="K228" s="1"/>
  <c r="I270"/>
  <c r="K270" s="1"/>
  <c r="P296"/>
  <c r="R296" s="1"/>
  <c r="I298"/>
  <c r="K298" s="1"/>
  <c r="I300"/>
  <c r="K300" s="1"/>
  <c r="I336"/>
  <c r="K336" s="1"/>
  <c r="P338"/>
  <c r="R338" s="1"/>
  <c r="I357"/>
  <c r="K357" s="1"/>
  <c r="P365"/>
  <c r="R365" s="1"/>
  <c r="P378"/>
  <c r="R378" s="1"/>
  <c r="I383"/>
  <c r="K383" s="1"/>
  <c r="P392"/>
  <c r="R392" s="1"/>
  <c r="I414"/>
  <c r="K414" s="1"/>
  <c r="I500"/>
  <c r="K500" s="1"/>
  <c r="P516"/>
  <c r="R516" s="1"/>
  <c r="I519"/>
  <c r="K519" s="1"/>
  <c r="P534"/>
  <c r="R534" s="1"/>
  <c r="I578"/>
  <c r="K578" s="1"/>
  <c r="I857"/>
  <c r="K857" s="1"/>
  <c r="I1464"/>
  <c r="K1464" s="1"/>
  <c r="I1466"/>
  <c r="K1466" s="1"/>
  <c r="I1492"/>
  <c r="K1492" s="1"/>
  <c r="K1498" s="1"/>
  <c r="I1506"/>
  <c r="K1506" s="1"/>
  <c r="I1534"/>
  <c r="K1534" s="1"/>
  <c r="I1576"/>
  <c r="K1576" s="1"/>
  <c r="I1833"/>
  <c r="K1833" s="1"/>
  <c r="I1835"/>
  <c r="K1835" s="1"/>
  <c r="I1892"/>
  <c r="K1892" s="1"/>
  <c r="I1930"/>
  <c r="K1930" s="1"/>
  <c r="I1932"/>
  <c r="K1932" s="1"/>
  <c r="I2031"/>
  <c r="K2031" s="1"/>
  <c r="I2050"/>
  <c r="K2050" s="1"/>
  <c r="I2056"/>
  <c r="K2056" s="1"/>
  <c r="I2308"/>
  <c r="K2308" s="1"/>
  <c r="I2328"/>
  <c r="K2328" s="1"/>
  <c r="I2387"/>
  <c r="K2387" s="1"/>
  <c r="I2466"/>
  <c r="K2466" s="1"/>
  <c r="I2606"/>
  <c r="K2606" s="1"/>
  <c r="I2624"/>
  <c r="K2624" s="1"/>
  <c r="K2628" s="1"/>
  <c r="K2629" s="1"/>
  <c r="I2614" s="1"/>
  <c r="K2614" s="1"/>
  <c r="K2844" i="22"/>
  <c r="K2846"/>
  <c r="P2847"/>
  <c r="K2849"/>
  <c r="K2957"/>
  <c r="P24" i="25"/>
  <c r="R24" s="1"/>
  <c r="I29"/>
  <c r="K29" s="1"/>
  <c r="P54"/>
  <c r="R54" s="1"/>
  <c r="I167"/>
  <c r="K167" s="1"/>
  <c r="P180"/>
  <c r="R180" s="1"/>
  <c r="I196"/>
  <c r="K196" s="1"/>
  <c r="P267"/>
  <c r="R267" s="1"/>
  <c r="P309"/>
  <c r="R309" s="1"/>
  <c r="I337"/>
  <c r="K337" s="1"/>
  <c r="I356"/>
  <c r="K356" s="1"/>
  <c r="P364"/>
  <c r="R364" s="1"/>
  <c r="I381"/>
  <c r="K381" s="1"/>
  <c r="I448"/>
  <c r="K448" s="1"/>
  <c r="I483"/>
  <c r="K483" s="1"/>
  <c r="I496"/>
  <c r="K496" s="1"/>
  <c r="P498"/>
  <c r="R498" s="1"/>
  <c r="I772"/>
  <c r="K772" s="1"/>
  <c r="I774"/>
  <c r="K774" s="1"/>
  <c r="I776"/>
  <c r="K776" s="1"/>
  <c r="I821"/>
  <c r="K821" s="1"/>
  <c r="I839"/>
  <c r="K839" s="1"/>
  <c r="I843"/>
  <c r="K843" s="1"/>
  <c r="I1031"/>
  <c r="K1031" s="1"/>
  <c r="I1103"/>
  <c r="K1103" s="1"/>
  <c r="I1156"/>
  <c r="K1156" s="1"/>
  <c r="I1158"/>
  <c r="K1158" s="1"/>
  <c r="I1172"/>
  <c r="K1172" s="1"/>
  <c r="I1176"/>
  <c r="K1176" s="1"/>
  <c r="I1185"/>
  <c r="K1185" s="1"/>
  <c r="I1201"/>
  <c r="K1201" s="1"/>
  <c r="I1205"/>
  <c r="K1205" s="1"/>
  <c r="I1207"/>
  <c r="K1207" s="1"/>
  <c r="I1209"/>
  <c r="K1209" s="1"/>
  <c r="I1237"/>
  <c r="K1237" s="1"/>
  <c r="I1239"/>
  <c r="K1239" s="1"/>
  <c r="I1255"/>
  <c r="K1255" s="1"/>
  <c r="I1257"/>
  <c r="K1257" s="1"/>
  <c r="I1290"/>
  <c r="K1290" s="1"/>
  <c r="I1292"/>
  <c r="K1292" s="1"/>
  <c r="I1311"/>
  <c r="K1311" s="1"/>
  <c r="I1325"/>
  <c r="K1325" s="1"/>
  <c r="I1327"/>
  <c r="K1327" s="1"/>
  <c r="I1350"/>
  <c r="K1350" s="1"/>
  <c r="I1352"/>
  <c r="K1352" s="1"/>
  <c r="I1439"/>
  <c r="K1439" s="1"/>
  <c r="I1739"/>
  <c r="K1739" s="1"/>
  <c r="I1757"/>
  <c r="K1757" s="1"/>
  <c r="I1867"/>
  <c r="K1867" s="1"/>
  <c r="I1949"/>
  <c r="K1949" s="1"/>
  <c r="I2998"/>
  <c r="K2998" s="1"/>
  <c r="I76" i="47"/>
  <c r="A108"/>
  <c r="H111"/>
  <c r="I75"/>
  <c r="I77" s="1"/>
  <c r="I78" s="1"/>
  <c r="H79" s="1"/>
  <c r="A114" s="1"/>
  <c r="H114" s="1"/>
  <c r="G646" i="16"/>
  <c r="W645" s="1"/>
  <c r="G862"/>
  <c r="W861" s="1"/>
  <c r="K1783" i="22" l="1"/>
  <c r="K1785" s="1"/>
  <c r="I1819" s="1"/>
  <c r="K1819" s="1"/>
  <c r="K1821" s="1"/>
  <c r="G218" i="23"/>
  <c r="W1257" i="16"/>
  <c r="D622" i="23"/>
  <c r="D658" s="1"/>
  <c r="Q4887" i="13"/>
  <c r="R4887" s="1"/>
  <c r="Q2006"/>
  <c r="Q2025"/>
  <c r="R2025" s="1"/>
  <c r="H267"/>
  <c r="I267" s="1"/>
  <c r="I132"/>
  <c r="H133"/>
  <c r="H1333"/>
  <c r="I1332"/>
  <c r="K1747" i="25"/>
  <c r="K1749" s="1"/>
  <c r="I1803" s="1"/>
  <c r="K1803" s="1"/>
  <c r="K1107"/>
  <c r="K1109" s="1"/>
  <c r="K1469"/>
  <c r="K1471" s="1"/>
  <c r="T40" i="42"/>
  <c r="T42" s="1"/>
  <c r="R541" i="25"/>
  <c r="R543" s="1"/>
  <c r="I3572" i="22"/>
  <c r="K3572" s="1"/>
  <c r="P2890"/>
  <c r="R2890" s="1"/>
  <c r="I3590"/>
  <c r="I3405"/>
  <c r="K3405" s="1"/>
  <c r="I3588"/>
  <c r="K3588" s="1"/>
  <c r="F101" i="23"/>
  <c r="K3625" i="22"/>
  <c r="K3506"/>
  <c r="P3506"/>
  <c r="R3506" s="1"/>
  <c r="K1427"/>
  <c r="K1429" s="1"/>
  <c r="K2792"/>
  <c r="K2794" s="1"/>
  <c r="F112" i="21"/>
  <c r="F113" s="1"/>
  <c r="F115" s="1"/>
  <c r="K1455" i="22"/>
  <c r="K1457" s="1"/>
  <c r="K1120"/>
  <c r="K1122" s="1"/>
  <c r="K564"/>
  <c r="K567" s="1"/>
  <c r="I568" s="1"/>
  <c r="K568" s="1"/>
  <c r="I569" s="1"/>
  <c r="K569" s="1"/>
  <c r="I570" s="1"/>
  <c r="K570" s="1"/>
  <c r="I571" s="1"/>
  <c r="K571" s="1"/>
  <c r="I572" s="1"/>
  <c r="K572" s="1"/>
  <c r="K3010" i="25"/>
  <c r="K1984" i="22"/>
  <c r="K1986" s="1"/>
  <c r="F28" i="18"/>
  <c r="K3769" i="25"/>
  <c r="I3028" i="22"/>
  <c r="K3028" s="1"/>
  <c r="I3037"/>
  <c r="K3037" s="1"/>
  <c r="K1442" i="25"/>
  <c r="K1444" s="1"/>
  <c r="R521"/>
  <c r="R523" s="1"/>
  <c r="I2938" i="22"/>
  <c r="K1498"/>
  <c r="K1107"/>
  <c r="K1109" s="1"/>
  <c r="F92" i="18"/>
  <c r="K755" i="25"/>
  <c r="K757" s="1"/>
  <c r="K2332"/>
  <c r="K2336" s="1"/>
  <c r="F36" i="23"/>
  <c r="K1837" i="22"/>
  <c r="K1839" s="1"/>
  <c r="I1846" s="1"/>
  <c r="K1846" s="1"/>
  <c r="K1849" s="1"/>
  <c r="K731" i="25"/>
  <c r="K733" s="1"/>
  <c r="K883" i="22"/>
  <c r="K1765"/>
  <c r="K1767" s="1"/>
  <c r="I1811" s="1"/>
  <c r="K1811" s="1"/>
  <c r="K1938"/>
  <c r="K1469"/>
  <c r="K1471" s="1"/>
  <c r="T58" i="42"/>
  <c r="T60" s="1"/>
  <c r="K1747" i="22"/>
  <c r="K1749" s="1"/>
  <c r="I1803" s="1"/>
  <c r="K1803" s="1"/>
  <c r="K1765" i="25"/>
  <c r="K1767" s="1"/>
  <c r="I1811" s="1"/>
  <c r="K1811" s="1"/>
  <c r="K1813" s="1"/>
  <c r="K1938"/>
  <c r="K693"/>
  <c r="K695" s="1"/>
  <c r="K764" s="1"/>
  <c r="K2609" i="22"/>
  <c r="K2609" i="25"/>
  <c r="K2008"/>
  <c r="K2010" s="1"/>
  <c r="F622" i="23"/>
  <c r="K2057" i="25"/>
  <c r="K3408"/>
  <c r="K3409" s="1"/>
  <c r="K3398" s="1"/>
  <c r="K2916" i="22"/>
  <c r="K2911"/>
  <c r="K2906"/>
  <c r="I2932"/>
  <c r="I3050" s="1"/>
  <c r="F556" i="23"/>
  <c r="F558" s="1"/>
  <c r="R2853" i="22"/>
  <c r="F73" i="23"/>
  <c r="I2936" i="22"/>
  <c r="I3054" s="1"/>
  <c r="S107" i="47"/>
  <c r="T107" s="1"/>
  <c r="D46" i="42"/>
  <c r="F46" s="1"/>
  <c r="F28"/>
  <c r="P50" i="25"/>
  <c r="R50" s="1"/>
  <c r="R57" s="1"/>
  <c r="R60" s="1"/>
  <c r="P619"/>
  <c r="R619" s="1"/>
  <c r="K70" i="42"/>
  <c r="M52"/>
  <c r="Y52"/>
  <c r="Y71"/>
  <c r="AA71" s="1"/>
  <c r="AA53"/>
  <c r="K87"/>
  <c r="M69"/>
  <c r="I3446" i="25"/>
  <c r="K3424"/>
  <c r="I3421"/>
  <c r="K3402"/>
  <c r="I3397" s="1"/>
  <c r="K3397" s="1"/>
  <c r="K3400" s="1"/>
  <c r="R623"/>
  <c r="K2057" i="22"/>
  <c r="R541"/>
  <c r="R543" s="1"/>
  <c r="K1442"/>
  <c r="K1444" s="1"/>
  <c r="K2628"/>
  <c r="K2629" s="1"/>
  <c r="I2614" s="1"/>
  <c r="K2614" s="1"/>
  <c r="R729" i="25"/>
  <c r="R731" s="1"/>
  <c r="R503" i="22"/>
  <c r="R505" s="1"/>
  <c r="L107" i="47"/>
  <c r="N107" s="1"/>
  <c r="O107" s="1"/>
  <c r="F107" s="1"/>
  <c r="H107" s="1"/>
  <c r="R108"/>
  <c r="R119"/>
  <c r="S119" s="1"/>
  <c r="T119" s="1"/>
  <c r="T76" i="42"/>
  <c r="T78" s="1"/>
  <c r="I3907" i="25"/>
  <c r="K3907" s="1"/>
  <c r="K2959"/>
  <c r="K3498"/>
  <c r="K3500" s="1"/>
  <c r="K3536"/>
  <c r="K3538" s="1"/>
  <c r="K3539" s="1"/>
  <c r="K3826"/>
  <c r="K3891"/>
  <c r="Y69" i="42"/>
  <c r="AA69" s="1"/>
  <c r="AA51"/>
  <c r="K1984" i="25"/>
  <c r="K1986" s="1"/>
  <c r="F152" i="18"/>
  <c r="K3355" i="25"/>
  <c r="K3356" s="1"/>
  <c r="P2883"/>
  <c r="R2883" s="1"/>
  <c r="R2850"/>
  <c r="F29" i="42"/>
  <c r="D47"/>
  <c r="F47" s="1"/>
  <c r="I3680" i="25"/>
  <c r="K3680" s="1"/>
  <c r="K3623"/>
  <c r="I3726"/>
  <c r="K3266"/>
  <c r="I3279"/>
  <c r="K89" i="42"/>
  <c r="M71"/>
  <c r="I3447" i="25"/>
  <c r="K3426"/>
  <c r="I3298"/>
  <c r="K3280"/>
  <c r="I3337"/>
  <c r="K3337" s="1"/>
  <c r="K3278"/>
  <c r="I3297"/>
  <c r="K1957"/>
  <c r="K1870"/>
  <c r="K581"/>
  <c r="K583" s="1"/>
  <c r="R503"/>
  <c r="R505" s="1"/>
  <c r="K890" i="22"/>
  <c r="K581"/>
  <c r="K2008"/>
  <c r="K2010" s="1"/>
  <c r="K693"/>
  <c r="K695" s="1"/>
  <c r="K764" s="1"/>
  <c r="F92" i="21"/>
  <c r="R106" i="47"/>
  <c r="S106" s="1"/>
  <c r="T106" s="1"/>
  <c r="F94" i="42"/>
  <c r="F96" s="1"/>
  <c r="R105" i="47"/>
  <c r="S105" s="1"/>
  <c r="T105" s="1"/>
  <c r="K68" i="42"/>
  <c r="Y50"/>
  <c r="M50"/>
  <c r="I3682" i="25"/>
  <c r="K3682" s="1"/>
  <c r="K3590"/>
  <c r="K3591" s="1"/>
  <c r="K3592" s="1"/>
  <c r="K3582" s="1"/>
  <c r="K3583" s="1"/>
  <c r="I3199"/>
  <c r="K3199" s="1"/>
  <c r="K3200" s="1"/>
  <c r="K3201" s="1"/>
  <c r="K3159"/>
  <c r="K3160" s="1"/>
  <c r="K3161" s="1"/>
  <c r="P64" i="42"/>
  <c r="P65"/>
  <c r="K3625" i="25"/>
  <c r="I3728"/>
  <c r="H108" i="47"/>
  <c r="C164" i="22"/>
  <c r="F112" i="42"/>
  <c r="F114" s="1"/>
  <c r="K3573" i="25"/>
  <c r="K3564" s="1"/>
  <c r="M40" i="42"/>
  <c r="M42" s="1"/>
  <c r="K3268" i="25"/>
  <c r="K3269" s="1"/>
  <c r="K3261" s="1"/>
  <c r="K3262" s="1"/>
  <c r="F52" i="23"/>
  <c r="D42" s="1"/>
  <c r="K3829" i="22"/>
  <c r="K3896" s="1"/>
  <c r="K3247"/>
  <c r="I3265"/>
  <c r="D99" i="23"/>
  <c r="F71"/>
  <c r="K2764" i="22"/>
  <c r="K3353"/>
  <c r="I3407"/>
  <c r="D620" i="23"/>
  <c r="F585"/>
  <c r="F591"/>
  <c r="D626"/>
  <c r="I425" i="25"/>
  <c r="K425" s="1"/>
  <c r="K429" s="1"/>
  <c r="K431" s="1"/>
  <c r="K433" s="1"/>
  <c r="K434" s="1"/>
  <c r="K435" s="1"/>
  <c r="K436" s="1"/>
  <c r="K437" s="1"/>
  <c r="P266"/>
  <c r="R266" s="1"/>
  <c r="R270" s="1"/>
  <c r="R272" s="1"/>
  <c r="R274" s="1"/>
  <c r="R275" s="1"/>
  <c r="R276" s="1"/>
  <c r="R277" s="1"/>
  <c r="K367" i="22"/>
  <c r="K368" s="1"/>
  <c r="K369" s="1"/>
  <c r="K370" s="1"/>
  <c r="K3018" i="25"/>
  <c r="K3022" s="1"/>
  <c r="K3011"/>
  <c r="M3011"/>
  <c r="L3012"/>
  <c r="K731" i="22"/>
  <c r="K733" s="1"/>
  <c r="I740"/>
  <c r="K740" s="1"/>
  <c r="K755" s="1"/>
  <c r="K757" s="1"/>
  <c r="I583"/>
  <c r="K583"/>
  <c r="P2880"/>
  <c r="R2880" s="1"/>
  <c r="R2847"/>
  <c r="I3700"/>
  <c r="K3000"/>
  <c r="I3909" i="25"/>
  <c r="K3909" s="1"/>
  <c r="K2961"/>
  <c r="K2938"/>
  <c r="I3056"/>
  <c r="K3056" s="1"/>
  <c r="I2955"/>
  <c r="R395"/>
  <c r="R397" s="1"/>
  <c r="I3058" i="22"/>
  <c r="I2960"/>
  <c r="K2940"/>
  <c r="I3266"/>
  <c r="K3248"/>
  <c r="P2882"/>
  <c r="R2882" s="1"/>
  <c r="R2849"/>
  <c r="K2428" i="25"/>
  <c r="I2442"/>
  <c r="K2442" s="1"/>
  <c r="R220"/>
  <c r="R223" s="1"/>
  <c r="C164"/>
  <c r="K3267" i="22"/>
  <c r="I3280"/>
  <c r="I3038"/>
  <c r="K3038" s="1"/>
  <c r="K2915"/>
  <c r="K3051" i="25"/>
  <c r="I3882"/>
  <c r="K3882" s="1"/>
  <c r="R2852"/>
  <c r="P2885"/>
  <c r="R2885" s="1"/>
  <c r="K957"/>
  <c r="K959" s="1"/>
  <c r="F588" i="23"/>
  <c r="D623"/>
  <c r="I3686" i="22"/>
  <c r="K3686" s="1"/>
  <c r="K3590"/>
  <c r="I3684"/>
  <c r="K3684" s="1"/>
  <c r="K3623"/>
  <c r="I3730"/>
  <c r="I3421"/>
  <c r="K3402"/>
  <c r="I3397" s="1"/>
  <c r="K3397" s="1"/>
  <c r="L3397" s="1"/>
  <c r="L3135"/>
  <c r="K2192"/>
  <c r="K1813"/>
  <c r="K2932" i="25"/>
  <c r="I3050"/>
  <c r="I2952"/>
  <c r="I2556"/>
  <c r="K912"/>
  <c r="I2523"/>
  <c r="K2523" s="1"/>
  <c r="K1012"/>
  <c r="I2261"/>
  <c r="K1084"/>
  <c r="K2427"/>
  <c r="I2441"/>
  <c r="K2441" s="1"/>
  <c r="K2873" i="22"/>
  <c r="I3052"/>
  <c r="K2934"/>
  <c r="I2954"/>
  <c r="I2408"/>
  <c r="K2408" s="1"/>
  <c r="K2414" s="1"/>
  <c r="K2416" s="1"/>
  <c r="I2422" s="1"/>
  <c r="K2422" s="1"/>
  <c r="K2361"/>
  <c r="K2364" s="1"/>
  <c r="I2365" s="1"/>
  <c r="I2367" s="1"/>
  <c r="K2367" s="1"/>
  <c r="K2077"/>
  <c r="D696" i="23"/>
  <c r="F696" s="1"/>
  <c r="F660"/>
  <c r="I1092" i="22"/>
  <c r="K1092" s="1"/>
  <c r="I2269"/>
  <c r="D691" i="23"/>
  <c r="F691" s="1"/>
  <c r="F655"/>
  <c r="R566" i="22"/>
  <c r="R568" s="1"/>
  <c r="I2525"/>
  <c r="K2525" s="1"/>
  <c r="K1014"/>
  <c r="I2683"/>
  <c r="K2683" s="1"/>
  <c r="C78"/>
  <c r="K2332"/>
  <c r="K2336" s="1"/>
  <c r="P605"/>
  <c r="R605" s="1"/>
  <c r="I151"/>
  <c r="K151" s="1"/>
  <c r="K160" s="1"/>
  <c r="I139"/>
  <c r="K139" s="1"/>
  <c r="K143" s="1"/>
  <c r="K1083"/>
  <c r="I2260"/>
  <c r="I2522"/>
  <c r="K2522" s="1"/>
  <c r="K1011"/>
  <c r="R698"/>
  <c r="R700" s="1"/>
  <c r="I3072" i="25"/>
  <c r="I3880"/>
  <c r="K3049"/>
  <c r="R381"/>
  <c r="R383" s="1"/>
  <c r="P412" s="1"/>
  <c r="R412" s="1"/>
  <c r="I151"/>
  <c r="K151" s="1"/>
  <c r="K160" s="1"/>
  <c r="P605"/>
  <c r="R605" s="1"/>
  <c r="I139"/>
  <c r="K139" s="1"/>
  <c r="K143" s="1"/>
  <c r="K3115" i="22"/>
  <c r="P3115"/>
  <c r="I2941"/>
  <c r="I2951"/>
  <c r="I3049"/>
  <c r="K2931"/>
  <c r="I3406"/>
  <c r="K3352"/>
  <c r="I2389" i="25"/>
  <c r="K2389" s="1"/>
  <c r="K2372"/>
  <c r="K914"/>
  <c r="I2558"/>
  <c r="I3057" i="22"/>
  <c r="K2939"/>
  <c r="K3041" i="25"/>
  <c r="K2962"/>
  <c r="K2936"/>
  <c r="I3054"/>
  <c r="I2937"/>
  <c r="I3032"/>
  <c r="K3032" s="1"/>
  <c r="K2909"/>
  <c r="K2920" s="1"/>
  <c r="I2664"/>
  <c r="K2664" s="1"/>
  <c r="K2262"/>
  <c r="K322"/>
  <c r="K323" s="1"/>
  <c r="K324" s="1"/>
  <c r="K325" s="1"/>
  <c r="K326" s="1"/>
  <c r="P602"/>
  <c r="R602" s="1"/>
  <c r="K1805" i="22"/>
  <c r="K1037" i="25"/>
  <c r="K1039" s="1"/>
  <c r="I2071"/>
  <c r="K2071" s="1"/>
  <c r="K2079" s="1"/>
  <c r="K2081" s="1"/>
  <c r="I64"/>
  <c r="K64" s="1"/>
  <c r="K68" s="1"/>
  <c r="I271"/>
  <c r="K271" s="1"/>
  <c r="I73"/>
  <c r="K73" s="1"/>
  <c r="K77" s="1"/>
  <c r="P22"/>
  <c r="R22" s="1"/>
  <c r="R28" s="1"/>
  <c r="R30" s="1"/>
  <c r="I19"/>
  <c r="K19" s="1"/>
  <c r="K23" s="1"/>
  <c r="P10"/>
  <c r="R10" s="1"/>
  <c r="I773"/>
  <c r="K773" s="1"/>
  <c r="I10"/>
  <c r="K10" s="1"/>
  <c r="I1684"/>
  <c r="K1684" s="1"/>
  <c r="I28"/>
  <c r="K28" s="1"/>
  <c r="K32" s="1"/>
  <c r="I54"/>
  <c r="K54" s="1"/>
  <c r="K58" s="1"/>
  <c r="I45"/>
  <c r="K45" s="1"/>
  <c r="K49" s="1"/>
  <c r="I36"/>
  <c r="K36" s="1"/>
  <c r="K40" s="1"/>
  <c r="I2051"/>
  <c r="K2051" s="1"/>
  <c r="K2059" s="1"/>
  <c r="K2061" s="1"/>
  <c r="I497"/>
  <c r="K497" s="1"/>
  <c r="R2875" i="22"/>
  <c r="R2877" s="1"/>
  <c r="K2859" i="25"/>
  <c r="R713"/>
  <c r="R715" s="1"/>
  <c r="C165"/>
  <c r="F122" i="23"/>
  <c r="D149"/>
  <c r="I1544" i="22"/>
  <c r="K1544" s="1"/>
  <c r="K1549" s="1"/>
  <c r="K1551" s="1"/>
  <c r="I1517"/>
  <c r="K1517" s="1"/>
  <c r="K1524" s="1"/>
  <c r="K1526" s="1"/>
  <c r="K914"/>
  <c r="I2558"/>
  <c r="R381"/>
  <c r="R383" s="1"/>
  <c r="P412" s="1"/>
  <c r="R412" s="1"/>
  <c r="I1532"/>
  <c r="K1532" s="1"/>
  <c r="K1537" s="1"/>
  <c r="K1539" s="1"/>
  <c r="I1504"/>
  <c r="K1504" s="1"/>
  <c r="K1511" s="1"/>
  <c r="K1513" s="1"/>
  <c r="P79"/>
  <c r="R79" s="1"/>
  <c r="R87" s="1"/>
  <c r="R89" s="1"/>
  <c r="P144"/>
  <c r="R144" s="1"/>
  <c r="R196" s="1"/>
  <c r="R198" s="1"/>
  <c r="R201" s="1"/>
  <c r="R202" s="1"/>
  <c r="R203" s="1"/>
  <c r="R204" s="1"/>
  <c r="I2389"/>
  <c r="K2389" s="1"/>
  <c r="K2372"/>
  <c r="P602"/>
  <c r="R602" s="1"/>
  <c r="K322"/>
  <c r="K323" s="1"/>
  <c r="K324" s="1"/>
  <c r="K325" s="1"/>
  <c r="K326" s="1"/>
  <c r="I2523"/>
  <c r="K2523" s="1"/>
  <c r="K1012"/>
  <c r="I2261"/>
  <c r="K1084"/>
  <c r="F149" i="21"/>
  <c r="F152" s="1"/>
  <c r="F115" i="18"/>
  <c r="G113"/>
  <c r="G115" s="1"/>
  <c r="I96" i="25"/>
  <c r="K96" s="1"/>
  <c r="K99" s="1"/>
  <c r="K101" s="1"/>
  <c r="K83"/>
  <c r="K86" s="1"/>
  <c r="K88" s="1"/>
  <c r="I111"/>
  <c r="K111" s="1"/>
  <c r="K114" s="1"/>
  <c r="K116" s="1"/>
  <c r="K118" s="1"/>
  <c r="K119" s="1"/>
  <c r="I3682" i="22"/>
  <c r="K2996"/>
  <c r="I2264" i="25"/>
  <c r="K1087"/>
  <c r="K467"/>
  <c r="K468" s="1"/>
  <c r="K469" s="1"/>
  <c r="K470" s="1"/>
  <c r="P635"/>
  <c r="R635" s="1"/>
  <c r="I1235"/>
  <c r="K1235" s="1"/>
  <c r="K1242" s="1"/>
  <c r="K1244" s="1"/>
  <c r="I495"/>
  <c r="K495" s="1"/>
  <c r="K503" s="1"/>
  <c r="K505" s="1"/>
  <c r="I1575"/>
  <c r="K1575" s="1"/>
  <c r="K1582" s="1"/>
  <c r="K1584" s="1"/>
  <c r="P3505" i="22"/>
  <c r="R3505" s="1"/>
  <c r="K3505"/>
  <c r="I3589"/>
  <c r="K3589" s="1"/>
  <c r="I3624"/>
  <c r="K1837" i="25"/>
  <c r="K1839" s="1"/>
  <c r="I1846" s="1"/>
  <c r="K1846" s="1"/>
  <c r="K1849" s="1"/>
  <c r="I2554"/>
  <c r="K910"/>
  <c r="F100" i="23"/>
  <c r="D121"/>
  <c r="I3424" i="22"/>
  <c r="K2907"/>
  <c r="I3030"/>
  <c r="K3030" s="1"/>
  <c r="I2933"/>
  <c r="K2940" i="25"/>
  <c r="I3058"/>
  <c r="I2960"/>
  <c r="K367"/>
  <c r="K368" s="1"/>
  <c r="K369" s="1"/>
  <c r="K370" s="1"/>
  <c r="D84" i="23"/>
  <c r="F59"/>
  <c r="K1511" i="25"/>
  <c r="K1513" s="1"/>
  <c r="F590" i="23"/>
  <c r="D625"/>
  <c r="K1085" i="22"/>
  <c r="I2262"/>
  <c r="I1092" i="25"/>
  <c r="K1092" s="1"/>
  <c r="I2269"/>
  <c r="K3732" i="22"/>
  <c r="I3748"/>
  <c r="K3748" s="1"/>
  <c r="I96"/>
  <c r="K96" s="1"/>
  <c r="K99" s="1"/>
  <c r="K101" s="1"/>
  <c r="K83"/>
  <c r="K86" s="1"/>
  <c r="K88" s="1"/>
  <c r="I111"/>
  <c r="K111" s="1"/>
  <c r="K114" s="1"/>
  <c r="K116" s="1"/>
  <c r="K118" s="1"/>
  <c r="K119" s="1"/>
  <c r="K2371"/>
  <c r="I2388"/>
  <c r="K2388" s="1"/>
  <c r="I2442"/>
  <c r="K2442" s="1"/>
  <c r="K2428"/>
  <c r="I2556"/>
  <c r="K912"/>
  <c r="I425"/>
  <c r="K425" s="1"/>
  <c r="K429" s="1"/>
  <c r="K431" s="1"/>
  <c r="K433" s="1"/>
  <c r="K434" s="1"/>
  <c r="K435" s="1"/>
  <c r="K436" s="1"/>
  <c r="K437" s="1"/>
  <c r="P266"/>
  <c r="R266" s="1"/>
  <c r="R270" s="1"/>
  <c r="R272" s="1"/>
  <c r="R274" s="1"/>
  <c r="R275" s="1"/>
  <c r="R276" s="1"/>
  <c r="R277" s="1"/>
  <c r="I2555"/>
  <c r="K911"/>
  <c r="K1037"/>
  <c r="K1039" s="1"/>
  <c r="R220"/>
  <c r="R223" s="1"/>
  <c r="I2554"/>
  <c r="K910"/>
  <c r="R713"/>
  <c r="R715" s="1"/>
  <c r="F49" i="21"/>
  <c r="I2937" i="22"/>
  <c r="K2909"/>
  <c r="I3032"/>
  <c r="K3032" s="1"/>
  <c r="K2934" i="25"/>
  <c r="I3052"/>
  <c r="I2954"/>
  <c r="K1083"/>
  <c r="I2260"/>
  <c r="P3503" i="22"/>
  <c r="R3503" s="1"/>
  <c r="K3503"/>
  <c r="I3622"/>
  <c r="K3622" s="1"/>
  <c r="I3570"/>
  <c r="K3570" s="1"/>
  <c r="K3573" s="1"/>
  <c r="K3564" s="1"/>
  <c r="K3566" s="1"/>
  <c r="K3567" s="1"/>
  <c r="K2917"/>
  <c r="I3040"/>
  <c r="K3040" s="1"/>
  <c r="I2593" i="25"/>
  <c r="K2593" s="1"/>
  <c r="K2562"/>
  <c r="K1805"/>
  <c r="K1691"/>
  <c r="K1693" s="1"/>
  <c r="K986"/>
  <c r="K988" s="1"/>
  <c r="AC13"/>
  <c r="C72" s="1"/>
  <c r="Z37"/>
  <c r="AC37" s="1"/>
  <c r="I241" s="1"/>
  <c r="K241" s="1"/>
  <c r="K246" s="1"/>
  <c r="K248" s="1"/>
  <c r="Z14"/>
  <c r="I2525"/>
  <c r="K2525" s="1"/>
  <c r="K2533" s="1"/>
  <c r="K2535" s="1"/>
  <c r="K1014"/>
  <c r="K1022" s="1"/>
  <c r="K1024" s="1"/>
  <c r="K3159" i="22"/>
  <c r="K3160" s="1"/>
  <c r="K3161" s="1"/>
  <c r="I3199"/>
  <c r="K3199" s="1"/>
  <c r="K3200" s="1"/>
  <c r="K3201" s="1"/>
  <c r="I3056"/>
  <c r="K3056" s="1"/>
  <c r="I2955"/>
  <c r="K2938"/>
  <c r="I2591" i="25"/>
  <c r="K2591" s="1"/>
  <c r="K2560"/>
  <c r="K911"/>
  <c r="I2555"/>
  <c r="K1537"/>
  <c r="K1539" s="1"/>
  <c r="K2371"/>
  <c r="I2388"/>
  <c r="K2388" s="1"/>
  <c r="K3924" i="22"/>
  <c r="I3938" s="1"/>
  <c r="K3938" s="1"/>
  <c r="P589" i="25"/>
  <c r="R589" s="1"/>
  <c r="R136"/>
  <c r="R137" s="1"/>
  <c r="R138" s="1"/>
  <c r="R139" s="1"/>
  <c r="R140" s="1"/>
  <c r="P632"/>
  <c r="R632" s="1"/>
  <c r="P575"/>
  <c r="R575" s="1"/>
  <c r="K1957" i="22"/>
  <c r="R698" i="25"/>
  <c r="R700" s="1"/>
  <c r="R395" i="22"/>
  <c r="R397" s="1"/>
  <c r="P619"/>
  <c r="R619" s="1"/>
  <c r="R623" s="1"/>
  <c r="P50"/>
  <c r="R50" s="1"/>
  <c r="R57" s="1"/>
  <c r="R60" s="1"/>
  <c r="P2859" i="25"/>
  <c r="R2859" s="1"/>
  <c r="P2892"/>
  <c r="R2892" s="1"/>
  <c r="R479" i="22"/>
  <c r="R481" s="1"/>
  <c r="R443"/>
  <c r="R445" s="1"/>
  <c r="K1087"/>
  <c r="I2264"/>
  <c r="R858"/>
  <c r="R860" s="1"/>
  <c r="K2427"/>
  <c r="I2441"/>
  <c r="K2441" s="1"/>
  <c r="Z12"/>
  <c r="Z35"/>
  <c r="AC35" s="1"/>
  <c r="I253" s="1"/>
  <c r="K253" s="1"/>
  <c r="K258" s="1"/>
  <c r="K260" s="1"/>
  <c r="AC11"/>
  <c r="C70" s="1"/>
  <c r="P635"/>
  <c r="R635" s="1"/>
  <c r="K467"/>
  <c r="K468" s="1"/>
  <c r="K469" s="1"/>
  <c r="K470" s="1"/>
  <c r="K1052"/>
  <c r="K1054" s="1"/>
  <c r="K957"/>
  <c r="K959" s="1"/>
  <c r="K986"/>
  <c r="K988" s="1"/>
  <c r="R729"/>
  <c r="R731" s="1"/>
  <c r="W1258" i="16"/>
  <c r="W1259"/>
  <c r="G113" i="21" l="1"/>
  <c r="G115" s="1"/>
  <c r="S2025" i="13"/>
  <c r="F658" i="23"/>
  <c r="D694"/>
  <c r="F694" s="1"/>
  <c r="Q3756" i="13"/>
  <c r="R3756" s="1"/>
  <c r="Q3321"/>
  <c r="R3321" s="1"/>
  <c r="Q3347"/>
  <c r="R3347" s="1"/>
  <c r="Q3935"/>
  <c r="R3935" s="1"/>
  <c r="Q3389"/>
  <c r="R3389" s="1"/>
  <c r="Q3373"/>
  <c r="R3373" s="1"/>
  <c r="H268"/>
  <c r="I268" s="1"/>
  <c r="I133"/>
  <c r="H134"/>
  <c r="I134" s="1"/>
  <c r="H1335"/>
  <c r="I1333"/>
  <c r="M58" i="42"/>
  <c r="M60" s="1"/>
  <c r="I2952" i="22"/>
  <c r="K3591"/>
  <c r="K3592" s="1"/>
  <c r="K3582" s="1"/>
  <c r="K3583" s="1"/>
  <c r="K3584" s="1"/>
  <c r="K2936"/>
  <c r="K2932"/>
  <c r="K3355"/>
  <c r="K3356" s="1"/>
  <c r="K3378" s="1"/>
  <c r="K3379" s="1"/>
  <c r="F76" i="23"/>
  <c r="D65" s="1"/>
  <c r="K3507" i="22"/>
  <c r="K3498" s="1"/>
  <c r="K3500" s="1"/>
  <c r="K3250"/>
  <c r="K3251" s="1"/>
  <c r="K3243" s="1"/>
  <c r="K3244" s="1"/>
  <c r="R3772" s="1"/>
  <c r="K2433" i="25"/>
  <c r="K2435" s="1"/>
  <c r="I583"/>
  <c r="R3507" i="22"/>
  <c r="R3498" s="1"/>
  <c r="K2391"/>
  <c r="H121" i="47"/>
  <c r="H122" s="1"/>
  <c r="K2444" i="22"/>
  <c r="K2446" s="1"/>
  <c r="K2376" i="25"/>
  <c r="K371"/>
  <c r="K3684"/>
  <c r="K3626"/>
  <c r="K3627" s="1"/>
  <c r="K3617" s="1"/>
  <c r="F40" i="42"/>
  <c r="F42" s="1"/>
  <c r="K3831" i="22"/>
  <c r="K3172" i="25"/>
  <c r="K3173" s="1"/>
  <c r="K3183"/>
  <c r="K3184" s="1"/>
  <c r="K3153"/>
  <c r="K3154" s="1"/>
  <c r="K2196" s="1"/>
  <c r="L3685"/>
  <c r="K3685"/>
  <c r="K3688" s="1"/>
  <c r="K3691" s="1"/>
  <c r="K3378"/>
  <c r="K3379" s="1"/>
  <c r="K3466" s="1"/>
  <c r="K3468" s="1"/>
  <c r="K3347"/>
  <c r="K3348" s="1"/>
  <c r="K3456" s="1"/>
  <c r="K3458" s="1"/>
  <c r="K2213" s="1"/>
  <c r="K3501"/>
  <c r="M3501"/>
  <c r="K3670"/>
  <c r="K105" i="42"/>
  <c r="M105" s="1"/>
  <c r="M87"/>
  <c r="K86"/>
  <c r="M68"/>
  <c r="I3322" i="25"/>
  <c r="K3322" s="1"/>
  <c r="K3297"/>
  <c r="I3323"/>
  <c r="K3323" s="1"/>
  <c r="K3298"/>
  <c r="K107" i="42"/>
  <c r="M107" s="1"/>
  <c r="M89"/>
  <c r="I3743" i="25"/>
  <c r="K3743" s="1"/>
  <c r="K3726"/>
  <c r="K3807"/>
  <c r="K3809" s="1"/>
  <c r="K3910"/>
  <c r="Y70" i="42"/>
  <c r="AA70" s="1"/>
  <c r="AA52"/>
  <c r="P574" i="25"/>
  <c r="R574" s="1"/>
  <c r="P601"/>
  <c r="R601" s="1"/>
  <c r="R612" s="1"/>
  <c r="P588"/>
  <c r="R588" s="1"/>
  <c r="I2028"/>
  <c r="K2028" s="1"/>
  <c r="K2034" s="1"/>
  <c r="I1913"/>
  <c r="K1913" s="1"/>
  <c r="I1893"/>
  <c r="K1893" s="1"/>
  <c r="K1899" s="1"/>
  <c r="L3564"/>
  <c r="K3566"/>
  <c r="Y68" i="42"/>
  <c r="AA68" s="1"/>
  <c r="AA76" s="1"/>
  <c r="AA78" s="1"/>
  <c r="AA50"/>
  <c r="AA58" s="1"/>
  <c r="AA60" s="1"/>
  <c r="I3443" i="25"/>
  <c r="K3421"/>
  <c r="I3416" s="1"/>
  <c r="K3416" s="1"/>
  <c r="I3486"/>
  <c r="K3486" s="1"/>
  <c r="K3446"/>
  <c r="K3043"/>
  <c r="L3046" s="1"/>
  <c r="K1095"/>
  <c r="K1097" s="1"/>
  <c r="F593" i="23"/>
  <c r="F595" s="1"/>
  <c r="K3584" i="25"/>
  <c r="L3583"/>
  <c r="K3728"/>
  <c r="I3744"/>
  <c r="K3744" s="1"/>
  <c r="K3220"/>
  <c r="K3221" s="1"/>
  <c r="K3209"/>
  <c r="K3210" s="1"/>
  <c r="K3194"/>
  <c r="K3195" s="1"/>
  <c r="K3447"/>
  <c r="I3487"/>
  <c r="K3487" s="1"/>
  <c r="I3338"/>
  <c r="K3338" s="1"/>
  <c r="K3279"/>
  <c r="K3281" s="1"/>
  <c r="K3282" s="1"/>
  <c r="K3275" s="1"/>
  <c r="K3277" s="1"/>
  <c r="K2200" s="1"/>
  <c r="S108" i="47"/>
  <c r="T108" s="1"/>
  <c r="K88" i="42"/>
  <c r="M70"/>
  <c r="R2862" i="25"/>
  <c r="R2863" s="1"/>
  <c r="R2895"/>
  <c r="R2896" s="1"/>
  <c r="K2391"/>
  <c r="I2381" s="1"/>
  <c r="K922" i="22"/>
  <c r="K924" s="1"/>
  <c r="K371"/>
  <c r="K3339" i="25"/>
  <c r="K3340" s="1"/>
  <c r="K3427"/>
  <c r="K3428" s="1"/>
  <c r="K3417" s="1"/>
  <c r="F58" i="42"/>
  <c r="F60" s="1"/>
  <c r="F42" i="23"/>
  <c r="F45" s="1"/>
  <c r="F46" s="1"/>
  <c r="D29"/>
  <c r="F29" s="1"/>
  <c r="F31" s="1"/>
  <c r="F32" s="1"/>
  <c r="D656"/>
  <c r="F620"/>
  <c r="D662"/>
  <c r="F626"/>
  <c r="I3426" i="22"/>
  <c r="K3407"/>
  <c r="D120" i="23"/>
  <c r="F99"/>
  <c r="F103" s="1"/>
  <c r="I3278" i="22"/>
  <c r="K3265"/>
  <c r="I2380" i="25"/>
  <c r="I2377"/>
  <c r="I2381" i="22"/>
  <c r="I2392"/>
  <c r="I2393" s="1"/>
  <c r="J2378" s="1"/>
  <c r="I2613"/>
  <c r="P586"/>
  <c r="R586" s="1"/>
  <c r="P573"/>
  <c r="R573" s="1"/>
  <c r="K90"/>
  <c r="K89"/>
  <c r="M3042" i="25"/>
  <c r="K2451"/>
  <c r="K102" i="22"/>
  <c r="K104"/>
  <c r="K105" s="1"/>
  <c r="K3183"/>
  <c r="K3184" s="1"/>
  <c r="L3184" s="1"/>
  <c r="K3172"/>
  <c r="K3173" s="1"/>
  <c r="L3173" s="1"/>
  <c r="K3153"/>
  <c r="K3154" s="1"/>
  <c r="I2392" i="25"/>
  <c r="I2393" s="1"/>
  <c r="J2378" s="1"/>
  <c r="I2613"/>
  <c r="K90"/>
  <c r="K89"/>
  <c r="P586"/>
  <c r="R586" s="1"/>
  <c r="R595" s="1"/>
  <c r="P573"/>
  <c r="R573" s="1"/>
  <c r="K102"/>
  <c r="K104"/>
  <c r="K105" s="1"/>
  <c r="K2921"/>
  <c r="K2187" s="1"/>
  <c r="L2920"/>
  <c r="Z36" i="22"/>
  <c r="AC36" s="1"/>
  <c r="I242" s="1"/>
  <c r="K242" s="1"/>
  <c r="Z13"/>
  <c r="AC12"/>
  <c r="C71" s="1"/>
  <c r="K2269" i="25"/>
  <c r="I2671"/>
  <c r="K2671" s="1"/>
  <c r="I851"/>
  <c r="K851" s="1"/>
  <c r="I816"/>
  <c r="K816" s="1"/>
  <c r="I834"/>
  <c r="K834" s="1"/>
  <c r="I3073" i="22"/>
  <c r="I3886"/>
  <c r="K3886" s="1"/>
  <c r="K3050"/>
  <c r="I3908" i="25"/>
  <c r="K3908" s="1"/>
  <c r="K2960"/>
  <c r="I2953" i="22"/>
  <c r="K2933"/>
  <c r="I3051"/>
  <c r="K2554" i="25"/>
  <c r="I2585"/>
  <c r="K2585" s="1"/>
  <c r="I3731" i="22"/>
  <c r="K3731" s="1"/>
  <c r="K3624"/>
  <c r="K3626" s="1"/>
  <c r="K3627" s="1"/>
  <c r="G116" i="18"/>
  <c r="G117" s="1"/>
  <c r="K2261" i="22"/>
  <c r="I2663"/>
  <c r="K2663" s="1"/>
  <c r="I335" i="25"/>
  <c r="K335" s="1"/>
  <c r="P179"/>
  <c r="R179" s="1"/>
  <c r="P51"/>
  <c r="R51" s="1"/>
  <c r="I225"/>
  <c r="K225" s="1"/>
  <c r="K2937"/>
  <c r="K2944" s="1"/>
  <c r="K2945" s="1"/>
  <c r="K2188" s="1"/>
  <c r="I3055"/>
  <c r="K3055" s="1"/>
  <c r="K3057" i="22"/>
  <c r="I3892"/>
  <c r="K3892" s="1"/>
  <c r="D93" i="23"/>
  <c r="F93" s="1"/>
  <c r="F65"/>
  <c r="F68" s="1"/>
  <c r="F69" s="1"/>
  <c r="P3129" i="22"/>
  <c r="R3129" s="1"/>
  <c r="R3115"/>
  <c r="I3075" i="25"/>
  <c r="I3926"/>
  <c r="K3072"/>
  <c r="K2533" i="22"/>
  <c r="K2535" s="1"/>
  <c r="K2444" i="25"/>
  <c r="K2446" s="1"/>
  <c r="K2448" s="1"/>
  <c r="M3397" i="22"/>
  <c r="P402" i="25"/>
  <c r="R402" s="1"/>
  <c r="P401"/>
  <c r="R401" s="1"/>
  <c r="G116" i="21"/>
  <c r="G117" s="1"/>
  <c r="I2958" i="22"/>
  <c r="K2958" s="1"/>
  <c r="K2955"/>
  <c r="I2985"/>
  <c r="K2985" s="1"/>
  <c r="K2988" s="1"/>
  <c r="AC14" i="25"/>
  <c r="Z15"/>
  <c r="AC15" s="1"/>
  <c r="K2554" i="22"/>
  <c r="I2585"/>
  <c r="K2585" s="1"/>
  <c r="I2586"/>
  <c r="K2586" s="1"/>
  <c r="K2555"/>
  <c r="K3915"/>
  <c r="K3812"/>
  <c r="K3814" s="1"/>
  <c r="K3058" i="25"/>
  <c r="I3074"/>
  <c r="D148" i="23"/>
  <c r="F121"/>
  <c r="I518" i="25"/>
  <c r="K518" s="1"/>
  <c r="K523" s="1"/>
  <c r="K525" s="1"/>
  <c r="I527" s="1"/>
  <c r="K527" s="1"/>
  <c r="I528" s="1"/>
  <c r="K528" s="1"/>
  <c r="I529" s="1"/>
  <c r="K529" s="1"/>
  <c r="I530" s="1"/>
  <c r="K530" s="1"/>
  <c r="I531" s="1"/>
  <c r="K531" s="1"/>
  <c r="K509"/>
  <c r="K511" s="1"/>
  <c r="K512" s="1"/>
  <c r="K513" s="1"/>
  <c r="K514" s="1"/>
  <c r="I534"/>
  <c r="K534" s="1"/>
  <c r="K539" s="1"/>
  <c r="K541" s="1"/>
  <c r="I543" s="1"/>
  <c r="K543" s="1"/>
  <c r="I544" s="1"/>
  <c r="K544" s="1"/>
  <c r="I545" s="1"/>
  <c r="K545" s="1"/>
  <c r="I546" s="1"/>
  <c r="K546" s="1"/>
  <c r="I547" s="1"/>
  <c r="K547" s="1"/>
  <c r="F116" i="18"/>
  <c r="F117" s="1"/>
  <c r="P2859" i="22"/>
  <c r="R2859" s="1"/>
  <c r="R2862" s="1"/>
  <c r="P2892"/>
  <c r="R2892" s="1"/>
  <c r="R2895" s="1"/>
  <c r="I1637" i="25"/>
  <c r="K1637" s="1"/>
  <c r="I1364"/>
  <c r="K1364" s="1"/>
  <c r="K1371" s="1"/>
  <c r="K1373" s="1"/>
  <c r="I1911" s="1"/>
  <c r="K1911" s="1"/>
  <c r="I1286"/>
  <c r="K1286" s="1"/>
  <c r="K1295" s="1"/>
  <c r="K1297" s="1"/>
  <c r="I1268"/>
  <c r="K1268" s="1"/>
  <c r="K1274" s="1"/>
  <c r="K1276" s="1"/>
  <c r="I591"/>
  <c r="K591" s="1"/>
  <c r="K596" s="1"/>
  <c r="K598" s="1"/>
  <c r="K599" s="1"/>
  <c r="K600" s="1"/>
  <c r="K601" s="1"/>
  <c r="K602" s="1"/>
  <c r="K603" s="1"/>
  <c r="I1349"/>
  <c r="K1349" s="1"/>
  <c r="K1355" s="1"/>
  <c r="K1357" s="1"/>
  <c r="I1170"/>
  <c r="K1170" s="1"/>
  <c r="K1188" s="1"/>
  <c r="K1191" s="1"/>
  <c r="P283" s="1"/>
  <c r="R283" s="1"/>
  <c r="R288" s="1"/>
  <c r="R290" s="1"/>
  <c r="I1199"/>
  <c r="K1199" s="1"/>
  <c r="K1212" s="1"/>
  <c r="K1214" s="1"/>
  <c r="I1308"/>
  <c r="K1308" s="1"/>
  <c r="K1317" s="1"/>
  <c r="K1319" s="1"/>
  <c r="P347"/>
  <c r="R347" s="1"/>
  <c r="R353" s="1"/>
  <c r="R355" s="1"/>
  <c r="P295"/>
  <c r="R295" s="1"/>
  <c r="R301" s="1"/>
  <c r="R303" s="1"/>
  <c r="K3054"/>
  <c r="I3886"/>
  <c r="K3886" s="1"/>
  <c r="I3885" i="22"/>
  <c r="I3072"/>
  <c r="K3049"/>
  <c r="I2662"/>
  <c r="K2662" s="1"/>
  <c r="K2260"/>
  <c r="K2376"/>
  <c r="I3888"/>
  <c r="K3888" s="1"/>
  <c r="K3052"/>
  <c r="I3443"/>
  <c r="K3421"/>
  <c r="I3416" s="1"/>
  <c r="K3416" s="1"/>
  <c r="K3280"/>
  <c r="I3298"/>
  <c r="K2960"/>
  <c r="I3913"/>
  <c r="K3913" s="1"/>
  <c r="K2955" i="25"/>
  <c r="I2958"/>
  <c r="I2985"/>
  <c r="K2985" s="1"/>
  <c r="K2988" s="1"/>
  <c r="K2191" s="1"/>
  <c r="I3903"/>
  <c r="K3903" s="1"/>
  <c r="I584"/>
  <c r="K584"/>
  <c r="K3023"/>
  <c r="L3021"/>
  <c r="I1913" i="22"/>
  <c r="K1913" s="1"/>
  <c r="I1893"/>
  <c r="K1893" s="1"/>
  <c r="K1899" s="1"/>
  <c r="P601"/>
  <c r="R601" s="1"/>
  <c r="R612" s="1"/>
  <c r="I2028"/>
  <c r="K2028" s="1"/>
  <c r="K2034" s="1"/>
  <c r="P588"/>
  <c r="R588" s="1"/>
  <c r="P574"/>
  <c r="R574" s="1"/>
  <c r="I1235"/>
  <c r="K1235" s="1"/>
  <c r="K1242" s="1"/>
  <c r="K1244" s="1"/>
  <c r="I1575"/>
  <c r="K1575" s="1"/>
  <c r="K1582" s="1"/>
  <c r="K1584" s="1"/>
  <c r="I495"/>
  <c r="K495" s="1"/>
  <c r="K503" s="1"/>
  <c r="K505" s="1"/>
  <c r="F116" i="21"/>
  <c r="F117" s="1"/>
  <c r="I2666" i="22"/>
  <c r="K2666" s="1"/>
  <c r="K2264"/>
  <c r="P402"/>
  <c r="R402" s="1"/>
  <c r="P401"/>
  <c r="R401" s="1"/>
  <c r="I3902" i="25"/>
  <c r="K3902" s="1"/>
  <c r="K2954"/>
  <c r="F50" i="21"/>
  <c r="H49"/>
  <c r="K2556" i="22"/>
  <c r="I2587"/>
  <c r="K2587" s="1"/>
  <c r="I2664"/>
  <c r="K2664" s="1"/>
  <c r="K2262"/>
  <c r="F625" i="23"/>
  <c r="D661"/>
  <c r="I2973" i="22"/>
  <c r="K2973" s="1"/>
  <c r="I3905"/>
  <c r="K3905" s="1"/>
  <c r="K2952"/>
  <c r="I2666" i="25"/>
  <c r="K2666" s="1"/>
  <c r="K2264"/>
  <c r="I3693" i="22"/>
  <c r="K3693" s="1"/>
  <c r="K3682"/>
  <c r="K3688" s="1"/>
  <c r="P589"/>
  <c r="R589" s="1"/>
  <c r="P632"/>
  <c r="R632" s="1"/>
  <c r="P575"/>
  <c r="R575" s="1"/>
  <c r="R136"/>
  <c r="R137" s="1"/>
  <c r="R138" s="1"/>
  <c r="R139" s="1"/>
  <c r="R140" s="1"/>
  <c r="I851"/>
  <c r="K851" s="1"/>
  <c r="I834"/>
  <c r="K834" s="1"/>
  <c r="I816"/>
  <c r="K816" s="1"/>
  <c r="I2589"/>
  <c r="K2589" s="1"/>
  <c r="K2558"/>
  <c r="F149" i="23"/>
  <c r="D171"/>
  <c r="F171" s="1"/>
  <c r="K2879" i="25"/>
  <c r="L2862"/>
  <c r="K2860"/>
  <c r="K2184" s="1"/>
  <c r="L2858"/>
  <c r="I1337"/>
  <c r="K1337" s="1"/>
  <c r="K1343" s="1"/>
  <c r="K1345" s="1"/>
  <c r="I355"/>
  <c r="K355" s="1"/>
  <c r="I444"/>
  <c r="K444" s="1"/>
  <c r="I410"/>
  <c r="K410" s="1"/>
  <c r="I379"/>
  <c r="K379" s="1"/>
  <c r="P361"/>
  <c r="R361" s="1"/>
  <c r="R369" s="1"/>
  <c r="R371" s="1"/>
  <c r="I479"/>
  <c r="K479" s="1"/>
  <c r="K487" s="1"/>
  <c r="K489" s="1"/>
  <c r="I1155"/>
  <c r="K1155" s="1"/>
  <c r="K1161" s="1"/>
  <c r="K1163" s="1"/>
  <c r="I1221"/>
  <c r="K1221" s="1"/>
  <c r="K1226" s="1"/>
  <c r="K1228" s="1"/>
  <c r="P318"/>
  <c r="R318" s="1"/>
  <c r="R324" s="1"/>
  <c r="R326" s="1"/>
  <c r="P306"/>
  <c r="R306" s="1"/>
  <c r="R312" s="1"/>
  <c r="R314" s="1"/>
  <c r="I210"/>
  <c r="K210" s="1"/>
  <c r="P66"/>
  <c r="R66" s="1"/>
  <c r="I3891" i="22"/>
  <c r="K3891" s="1"/>
  <c r="K3054"/>
  <c r="I2589" i="25"/>
  <c r="K2589" s="1"/>
  <c r="K2558"/>
  <c r="K3347" i="22"/>
  <c r="K3348" s="1"/>
  <c r="I3904"/>
  <c r="K3904" s="1"/>
  <c r="I2972"/>
  <c r="K2972" s="1"/>
  <c r="K2951"/>
  <c r="I2961"/>
  <c r="K1095"/>
  <c r="K1097" s="1"/>
  <c r="K2433"/>
  <c r="K2435" s="1"/>
  <c r="H3123"/>
  <c r="I3122"/>
  <c r="K3116" s="1"/>
  <c r="R3116" s="1"/>
  <c r="R3130" s="1"/>
  <c r="K2975"/>
  <c r="K2942"/>
  <c r="K3060" s="1"/>
  <c r="K3076" s="1"/>
  <c r="K3102" s="1"/>
  <c r="R3075" s="1"/>
  <c r="K2918"/>
  <c r="K2857"/>
  <c r="I3900" i="25"/>
  <c r="K3900" s="1"/>
  <c r="I2973"/>
  <c r="K2973" s="1"/>
  <c r="K2977" s="1"/>
  <c r="K2189" s="1"/>
  <c r="K2952"/>
  <c r="I3747" i="22"/>
  <c r="K3747" s="1"/>
  <c r="K3749" s="1"/>
  <c r="K3750" s="1"/>
  <c r="K3743" s="1"/>
  <c r="K3730"/>
  <c r="K3772"/>
  <c r="I3074"/>
  <c r="K3058"/>
  <c r="I2586" i="25"/>
  <c r="K2586" s="1"/>
  <c r="K2555"/>
  <c r="K3220" i="22"/>
  <c r="K3221" s="1"/>
  <c r="K3209"/>
  <c r="K3210" s="1"/>
  <c r="L3210" s="1"/>
  <c r="K3194"/>
  <c r="K3195" s="1"/>
  <c r="L3195" s="1"/>
  <c r="I2662" i="25"/>
  <c r="K2662" s="1"/>
  <c r="K2260"/>
  <c r="I3883"/>
  <c r="K3883" s="1"/>
  <c r="K3052"/>
  <c r="I3055" i="22"/>
  <c r="K3055" s="1"/>
  <c r="K2937"/>
  <c r="F84" i="23"/>
  <c r="D85"/>
  <c r="K3424" i="22"/>
  <c r="I3446"/>
  <c r="K922" i="25"/>
  <c r="K924" s="1"/>
  <c r="I1409"/>
  <c r="K1409" s="1"/>
  <c r="K1414" s="1"/>
  <c r="K1416" s="1"/>
  <c r="I1396"/>
  <c r="K1396" s="1"/>
  <c r="K1401" s="1"/>
  <c r="K1403" s="1"/>
  <c r="I1384"/>
  <c r="K1384" s="1"/>
  <c r="K1389" s="1"/>
  <c r="K1391" s="1"/>
  <c r="P335"/>
  <c r="R335" s="1"/>
  <c r="R341" s="1"/>
  <c r="R343" s="1"/>
  <c r="I311"/>
  <c r="K311" s="1"/>
  <c r="P603" s="1"/>
  <c r="R603" s="1"/>
  <c r="P80"/>
  <c r="R80" s="1"/>
  <c r="I195"/>
  <c r="K195" s="1"/>
  <c r="I296"/>
  <c r="K296" s="1"/>
  <c r="I1324"/>
  <c r="K1324" s="1"/>
  <c r="K1330" s="1"/>
  <c r="K1332" s="1"/>
  <c r="P606" s="1"/>
  <c r="R606" s="1"/>
  <c r="K14"/>
  <c r="N14"/>
  <c r="I3425" i="22"/>
  <c r="K3425" s="1"/>
  <c r="K3406"/>
  <c r="I3059"/>
  <c r="K3059" s="1"/>
  <c r="K2941"/>
  <c r="I3890" i="25"/>
  <c r="K3890" s="1"/>
  <c r="K3880"/>
  <c r="K1022" i="22"/>
  <c r="K1024" s="1"/>
  <c r="I2071"/>
  <c r="K2071" s="1"/>
  <c r="K2079" s="1"/>
  <c r="K2081" s="1"/>
  <c r="I2051"/>
  <c r="K2051" s="1"/>
  <c r="K2059" s="1"/>
  <c r="K2061" s="1"/>
  <c r="I1684"/>
  <c r="K1684" s="1"/>
  <c r="K1691" s="1"/>
  <c r="K1693" s="1"/>
  <c r="I773"/>
  <c r="K773" s="1"/>
  <c r="I64"/>
  <c r="K64" s="1"/>
  <c r="K68" s="1"/>
  <c r="I271"/>
  <c r="K271" s="1"/>
  <c r="I73"/>
  <c r="K73" s="1"/>
  <c r="K77" s="1"/>
  <c r="P22"/>
  <c r="R22" s="1"/>
  <c r="R28" s="1"/>
  <c r="R30" s="1"/>
  <c r="I19"/>
  <c r="K19" s="1"/>
  <c r="K23" s="1"/>
  <c r="P10"/>
  <c r="R10" s="1"/>
  <c r="I54"/>
  <c r="K54" s="1"/>
  <c r="K58" s="1"/>
  <c r="I45"/>
  <c r="K45" s="1"/>
  <c r="K49" s="1"/>
  <c r="I497"/>
  <c r="K497" s="1"/>
  <c r="I36"/>
  <c r="K36" s="1"/>
  <c r="K40" s="1"/>
  <c r="I28"/>
  <c r="K28" s="1"/>
  <c r="K32" s="1"/>
  <c r="I10"/>
  <c r="K10" s="1"/>
  <c r="K2269"/>
  <c r="I2671"/>
  <c r="K2671" s="1"/>
  <c r="I3907"/>
  <c r="K3907" s="1"/>
  <c r="K2954"/>
  <c r="I2663" i="25"/>
  <c r="K2663" s="1"/>
  <c r="K2261"/>
  <c r="K2556"/>
  <c r="I2587"/>
  <c r="K2587" s="1"/>
  <c r="I3881"/>
  <c r="K3881" s="1"/>
  <c r="K3050"/>
  <c r="I3073"/>
  <c r="F623" i="23"/>
  <c r="D659"/>
  <c r="I3279" i="22"/>
  <c r="K3266"/>
  <c r="I3709"/>
  <c r="K3709" s="1"/>
  <c r="K3712" s="1"/>
  <c r="K3700"/>
  <c r="K3702" s="1"/>
  <c r="I584"/>
  <c r="K584"/>
  <c r="W1260" i="16"/>
  <c r="W1261"/>
  <c r="W1262"/>
  <c r="V1263" s="1"/>
  <c r="K3647" i="25" l="1"/>
  <c r="S208" i="13"/>
  <c r="Q3682"/>
  <c r="R3682" s="1"/>
  <c r="Q3549"/>
  <c r="R3549" s="1"/>
  <c r="Q208"/>
  <c r="R208" s="1"/>
  <c r="Q4898"/>
  <c r="R4898" s="1"/>
  <c r="Q3874"/>
  <c r="R3874" s="1"/>
  <c r="Q3233"/>
  <c r="R3233" s="1"/>
  <c r="Q4940"/>
  <c r="R4940" s="1"/>
  <c r="Q3871"/>
  <c r="R3871" s="1"/>
  <c r="Q232"/>
  <c r="R232" s="1"/>
  <c r="J198"/>
  <c r="J199" s="1"/>
  <c r="I198" s="1"/>
  <c r="H269"/>
  <c r="I269" s="1"/>
  <c r="J301" s="1"/>
  <c r="J302" s="1"/>
  <c r="H1336"/>
  <c r="I1335"/>
  <c r="R404" i="25"/>
  <c r="R406" s="1"/>
  <c r="P413" s="1"/>
  <c r="R413" s="1"/>
  <c r="R415" s="1"/>
  <c r="R417" s="1"/>
  <c r="K3324"/>
  <c r="K3318" s="1"/>
  <c r="K3319" s="1"/>
  <c r="K2209" s="1"/>
  <c r="K3299"/>
  <c r="K3291" s="1"/>
  <c r="K3293" s="1"/>
  <c r="K3294" s="1"/>
  <c r="K2204" s="1"/>
  <c r="K3536" i="22"/>
  <c r="K3538" s="1"/>
  <c r="K3539" s="1"/>
  <c r="K3062" i="25"/>
  <c r="R581"/>
  <c r="K3044"/>
  <c r="K3268" i="22"/>
  <c r="K3269" s="1"/>
  <c r="K3261" s="1"/>
  <c r="K3262" s="1"/>
  <c r="K3408"/>
  <c r="K3409" s="1"/>
  <c r="K3398" s="1"/>
  <c r="K3400" s="1"/>
  <c r="K3733"/>
  <c r="K3726" s="1"/>
  <c r="K3727" s="1"/>
  <c r="M3727" s="1"/>
  <c r="K3567" i="25"/>
  <c r="L3568"/>
  <c r="K3893"/>
  <c r="K3894" s="1"/>
  <c r="R404" i="22"/>
  <c r="R406" s="1"/>
  <c r="P413" s="1"/>
  <c r="R413" s="1"/>
  <c r="R415" s="1"/>
  <c r="R417" s="1"/>
  <c r="K2597"/>
  <c r="K2599" s="1"/>
  <c r="K3448" i="25"/>
  <c r="K3449" s="1"/>
  <c r="K3439" s="1"/>
  <c r="K3745"/>
  <c r="K3746" s="1"/>
  <c r="K3739" s="1"/>
  <c r="K3332"/>
  <c r="K3333" s="1"/>
  <c r="K3365"/>
  <c r="K3366" s="1"/>
  <c r="L3366" s="1"/>
  <c r="K3443"/>
  <c r="I3437" s="1"/>
  <c r="K3437" s="1"/>
  <c r="I3483"/>
  <c r="K3729"/>
  <c r="K3722" s="1"/>
  <c r="K3723" s="1"/>
  <c r="M88" i="42"/>
  <c r="K106"/>
  <c r="M106" s="1"/>
  <c r="K3229" i="25"/>
  <c r="K3233" s="1"/>
  <c r="K2198" s="1"/>
  <c r="K2199"/>
  <c r="L3815"/>
  <c r="K3867"/>
  <c r="K3873" s="1"/>
  <c r="K3874" s="1"/>
  <c r="L3809"/>
  <c r="K3810"/>
  <c r="K3831"/>
  <c r="K104" i="42"/>
  <c r="M104" s="1"/>
  <c r="M86"/>
  <c r="K3419" i="25"/>
  <c r="K2674"/>
  <c r="K2676" s="1"/>
  <c r="K3488"/>
  <c r="K3489" s="1"/>
  <c r="K3479" s="1"/>
  <c r="M76" i="42"/>
  <c r="M78" s="1"/>
  <c r="F120" i="23"/>
  <c r="F125" s="1"/>
  <c r="D115" s="1"/>
  <c r="F115" s="1"/>
  <c r="D147"/>
  <c r="F662"/>
  <c r="D698"/>
  <c r="F698" s="1"/>
  <c r="K2944" i="22"/>
  <c r="L2946" s="1"/>
  <c r="K3278"/>
  <c r="I3337"/>
  <c r="K3337" s="1"/>
  <c r="I3297"/>
  <c r="I3447"/>
  <c r="K3426"/>
  <c r="K3427" s="1"/>
  <c r="K3428" s="1"/>
  <c r="K3417" s="1"/>
  <c r="D692" i="23"/>
  <c r="F692" s="1"/>
  <c r="F656"/>
  <c r="I2468" i="25"/>
  <c r="K2468" s="1"/>
  <c r="I2311"/>
  <c r="K2311" s="1"/>
  <c r="K3063"/>
  <c r="L3062"/>
  <c r="I3927"/>
  <c r="K3927" s="1"/>
  <c r="K3073"/>
  <c r="I3099"/>
  <c r="K3099" s="1"/>
  <c r="I1637" i="22"/>
  <c r="K1637" s="1"/>
  <c r="I1364"/>
  <c r="K1364" s="1"/>
  <c r="K1371" s="1"/>
  <c r="K1373" s="1"/>
  <c r="I1911" s="1"/>
  <c r="K1911" s="1"/>
  <c r="I1286"/>
  <c r="K1286" s="1"/>
  <c r="K1295" s="1"/>
  <c r="K1297" s="1"/>
  <c r="I1268"/>
  <c r="K1268" s="1"/>
  <c r="K1274" s="1"/>
  <c r="K1276" s="1"/>
  <c r="I1308"/>
  <c r="K1308" s="1"/>
  <c r="K1317" s="1"/>
  <c r="K1319" s="1"/>
  <c r="I591"/>
  <c r="K591" s="1"/>
  <c r="K596" s="1"/>
  <c r="K598" s="1"/>
  <c r="K599" s="1"/>
  <c r="K600" s="1"/>
  <c r="K601" s="1"/>
  <c r="K602" s="1"/>
  <c r="K603" s="1"/>
  <c r="I1349"/>
  <c r="K1349" s="1"/>
  <c r="K1355" s="1"/>
  <c r="K1357" s="1"/>
  <c r="I1170"/>
  <c r="K1170" s="1"/>
  <c r="K1188" s="1"/>
  <c r="K1191" s="1"/>
  <c r="P283" s="1"/>
  <c r="R283" s="1"/>
  <c r="R288" s="1"/>
  <c r="R290" s="1"/>
  <c r="I1199"/>
  <c r="K1199" s="1"/>
  <c r="K1212" s="1"/>
  <c r="K1214" s="1"/>
  <c r="P347"/>
  <c r="R347" s="1"/>
  <c r="R353" s="1"/>
  <c r="R355" s="1"/>
  <c r="P295"/>
  <c r="R295" s="1"/>
  <c r="R301" s="1"/>
  <c r="R303" s="1"/>
  <c r="K2208"/>
  <c r="M3712"/>
  <c r="F659" i="23"/>
  <c r="D695"/>
  <c r="F695" s="1"/>
  <c r="I1221" i="22"/>
  <c r="K1221" s="1"/>
  <c r="K1226" s="1"/>
  <c r="K1228" s="1"/>
  <c r="P318"/>
  <c r="R318" s="1"/>
  <c r="R324" s="1"/>
  <c r="R326" s="1"/>
  <c r="P306"/>
  <c r="R306" s="1"/>
  <c r="R312" s="1"/>
  <c r="R314" s="1"/>
  <c r="I210"/>
  <c r="K210" s="1"/>
  <c r="P66"/>
  <c r="R66" s="1"/>
  <c r="I3486"/>
  <c r="K3486" s="1"/>
  <c r="K3446"/>
  <c r="R3779"/>
  <c r="R3781" s="1"/>
  <c r="R3774"/>
  <c r="K3041"/>
  <c r="K3043" s="1"/>
  <c r="K2962"/>
  <c r="K3689"/>
  <c r="K3692" s="1"/>
  <c r="K3695" s="1"/>
  <c r="L3690"/>
  <c r="K2920"/>
  <c r="F52" i="21"/>
  <c r="H50"/>
  <c r="H52" s="1"/>
  <c r="I534" i="22"/>
  <c r="K534" s="1"/>
  <c r="K539" s="1"/>
  <c r="K541" s="1"/>
  <c r="I543" s="1"/>
  <c r="K543" s="1"/>
  <c r="I544" s="1"/>
  <c r="K544" s="1"/>
  <c r="I545" s="1"/>
  <c r="K545" s="1"/>
  <c r="I546" s="1"/>
  <c r="K546" s="1"/>
  <c r="I547" s="1"/>
  <c r="K547" s="1"/>
  <c r="I518"/>
  <c r="K518" s="1"/>
  <c r="K523" s="1"/>
  <c r="K525" s="1"/>
  <c r="I527" s="1"/>
  <c r="K527" s="1"/>
  <c r="I528" s="1"/>
  <c r="K528" s="1"/>
  <c r="I529" s="1"/>
  <c r="K529" s="1"/>
  <c r="I530" s="1"/>
  <c r="K530" s="1"/>
  <c r="I531" s="1"/>
  <c r="K531" s="1"/>
  <c r="K509"/>
  <c r="K511" s="1"/>
  <c r="K512" s="1"/>
  <c r="K513" s="1"/>
  <c r="K514" s="1"/>
  <c r="I3483"/>
  <c r="K3443"/>
  <c r="I3437" s="1"/>
  <c r="K3437" s="1"/>
  <c r="K2272"/>
  <c r="K2274" s="1"/>
  <c r="K3072"/>
  <c r="I3075"/>
  <c r="I3931"/>
  <c r="P576" i="25"/>
  <c r="R576" s="1"/>
  <c r="P590"/>
  <c r="R590" s="1"/>
  <c r="P633"/>
  <c r="R633" s="1"/>
  <c r="R2863" i="22"/>
  <c r="T2864"/>
  <c r="I174" i="25"/>
  <c r="K174" s="1"/>
  <c r="K178" s="1"/>
  <c r="I2682"/>
  <c r="K2682" s="1"/>
  <c r="C73"/>
  <c r="I3887" i="22"/>
  <c r="K3887" s="1"/>
  <c r="K3051"/>
  <c r="K3062" s="1"/>
  <c r="L3154"/>
  <c r="K2196"/>
  <c r="I1698"/>
  <c r="K1698" s="1"/>
  <c r="K1706" s="1"/>
  <c r="K91"/>
  <c r="I335"/>
  <c r="K335" s="1"/>
  <c r="P179"/>
  <c r="R179" s="1"/>
  <c r="K3456"/>
  <c r="K3458" s="1"/>
  <c r="K2213" s="1"/>
  <c r="L3348"/>
  <c r="F628" i="23"/>
  <c r="F630" s="1"/>
  <c r="K14" i="22"/>
  <c r="N14"/>
  <c r="I1409"/>
  <c r="K1409" s="1"/>
  <c r="K1414" s="1"/>
  <c r="K1416" s="1"/>
  <c r="I1396"/>
  <c r="K1396" s="1"/>
  <c r="K1401" s="1"/>
  <c r="K1403" s="1"/>
  <c r="I1384"/>
  <c r="K1384" s="1"/>
  <c r="K1389" s="1"/>
  <c r="K1391" s="1"/>
  <c r="I1324"/>
  <c r="K1324" s="1"/>
  <c r="K1330" s="1"/>
  <c r="K1332" s="1"/>
  <c r="P606" s="1"/>
  <c r="R606" s="1"/>
  <c r="P335"/>
  <c r="R335" s="1"/>
  <c r="R341" s="1"/>
  <c r="R343" s="1"/>
  <c r="I311"/>
  <c r="K311" s="1"/>
  <c r="P603" s="1"/>
  <c r="R603" s="1"/>
  <c r="P80"/>
  <c r="R80" s="1"/>
  <c r="I296"/>
  <c r="K296" s="1"/>
  <c r="I195"/>
  <c r="K195" s="1"/>
  <c r="K2272" i="25"/>
  <c r="K2274" s="1"/>
  <c r="K3229" i="22"/>
  <c r="K3233" s="1"/>
  <c r="K2198" s="1"/>
  <c r="L3221"/>
  <c r="K2199"/>
  <c r="K3779"/>
  <c r="K3781" s="1"/>
  <c r="K3774"/>
  <c r="K2451"/>
  <c r="K2448"/>
  <c r="I3914"/>
  <c r="K3914" s="1"/>
  <c r="K2961"/>
  <c r="L3379"/>
  <c r="K3466"/>
  <c r="K3468" s="1"/>
  <c r="F661" i="23"/>
  <c r="D697"/>
  <c r="F697" s="1"/>
  <c r="I585" i="25"/>
  <c r="K585"/>
  <c r="I3906"/>
  <c r="K3906" s="1"/>
  <c r="K3912" s="1"/>
  <c r="K3913" s="1"/>
  <c r="K2958"/>
  <c r="K2964" s="1"/>
  <c r="K2965" s="1"/>
  <c r="K2190" s="1"/>
  <c r="I3323" i="22"/>
  <c r="K3323" s="1"/>
  <c r="K3298"/>
  <c r="K2674"/>
  <c r="K2676" s="1"/>
  <c r="I3895"/>
  <c r="K3895" s="1"/>
  <c r="K3885"/>
  <c r="K3815"/>
  <c r="L3815" s="1"/>
  <c r="K3872"/>
  <c r="K3878" s="1"/>
  <c r="K3879" s="1"/>
  <c r="K3836"/>
  <c r="L2988"/>
  <c r="K2191"/>
  <c r="I3945" i="25"/>
  <c r="K3945" s="1"/>
  <c r="K3926"/>
  <c r="K2597"/>
  <c r="K2599" s="1"/>
  <c r="I1698"/>
  <c r="K1698" s="1"/>
  <c r="K1706" s="1"/>
  <c r="K91"/>
  <c r="R581" i="22"/>
  <c r="S2897"/>
  <c r="R2896"/>
  <c r="D170" i="23"/>
  <c r="F170" s="1"/>
  <c r="F148"/>
  <c r="K3501" i="22"/>
  <c r="L3502"/>
  <c r="I3932" i="25"/>
  <c r="K3932" s="1"/>
  <c r="I3089"/>
  <c r="K3089" s="1"/>
  <c r="K3075"/>
  <c r="K2566"/>
  <c r="K2568" s="1"/>
  <c r="I3906" i="22"/>
  <c r="K3906" s="1"/>
  <c r="K2953"/>
  <c r="AC13"/>
  <c r="C72" s="1"/>
  <c r="Z37"/>
  <c r="AC37" s="1"/>
  <c r="I241" s="1"/>
  <c r="K241" s="1"/>
  <c r="K246" s="1"/>
  <c r="K248" s="1"/>
  <c r="Z14"/>
  <c r="I2691" i="25"/>
  <c r="K2691" s="1"/>
  <c r="K2613"/>
  <c r="R595" i="22"/>
  <c r="I2395" i="25"/>
  <c r="I2378"/>
  <c r="K2378" s="1"/>
  <c r="I2354" s="1"/>
  <c r="K2354" s="1"/>
  <c r="I2396"/>
  <c r="P51" i="22"/>
  <c r="R51" s="1"/>
  <c r="I225"/>
  <c r="K225" s="1"/>
  <c r="L3894" i="25"/>
  <c r="D86" i="23"/>
  <c r="F85"/>
  <c r="I585" i="22"/>
  <c r="K585"/>
  <c r="I3338"/>
  <c r="K3338" s="1"/>
  <c r="K3279"/>
  <c r="I1337"/>
  <c r="K1337" s="1"/>
  <c r="K1343" s="1"/>
  <c r="K1345" s="1"/>
  <c r="I1155"/>
  <c r="K1155" s="1"/>
  <c r="K1161" s="1"/>
  <c r="K1163" s="1"/>
  <c r="I355"/>
  <c r="K355" s="1"/>
  <c r="I444"/>
  <c r="K444" s="1"/>
  <c r="I410"/>
  <c r="K410" s="1"/>
  <c r="I479"/>
  <c r="K479" s="1"/>
  <c r="K487" s="1"/>
  <c r="K489" s="1"/>
  <c r="I379"/>
  <c r="K379" s="1"/>
  <c r="P361"/>
  <c r="R361" s="1"/>
  <c r="R369" s="1"/>
  <c r="R371" s="1"/>
  <c r="K3074"/>
  <c r="I3936"/>
  <c r="K3936" s="1"/>
  <c r="I3100"/>
  <c r="K3761"/>
  <c r="K3762" s="1"/>
  <c r="K3744"/>
  <c r="K3008"/>
  <c r="K3010" s="1"/>
  <c r="K2859"/>
  <c r="K2977"/>
  <c r="K2883" i="25"/>
  <c r="K2884" s="1"/>
  <c r="K2185" s="1"/>
  <c r="K2890"/>
  <c r="K2898" s="1"/>
  <c r="K2899" s="1"/>
  <c r="K2186" s="1"/>
  <c r="L3416" i="22"/>
  <c r="I2380"/>
  <c r="I2382" s="1"/>
  <c r="I2383" s="1"/>
  <c r="I2355" s="1"/>
  <c r="K2355" s="1"/>
  <c r="I2377"/>
  <c r="I1309" i="25"/>
  <c r="K1309" s="1"/>
  <c r="I1287"/>
  <c r="K1287" s="1"/>
  <c r="I3100"/>
  <c r="K3074"/>
  <c r="I3931"/>
  <c r="K3931" s="1"/>
  <c r="K2566" i="22"/>
  <c r="K2568" s="1"/>
  <c r="I2615" i="25"/>
  <c r="K2615" s="1"/>
  <c r="I2681"/>
  <c r="K2681" s="1"/>
  <c r="K2685" s="1"/>
  <c r="K2687" s="1"/>
  <c r="I2692"/>
  <c r="K2692" s="1"/>
  <c r="I166"/>
  <c r="K166" s="1"/>
  <c r="K170" s="1"/>
  <c r="C74"/>
  <c r="I194" s="1"/>
  <c r="K194" s="1"/>
  <c r="K201" s="1"/>
  <c r="K203" s="1"/>
  <c r="I1712" s="1"/>
  <c r="K1712" s="1"/>
  <c r="K1721" s="1"/>
  <c r="K3617" i="22"/>
  <c r="K3648"/>
  <c r="K3674"/>
  <c r="N3397"/>
  <c r="K3073"/>
  <c r="I3932"/>
  <c r="K3932" s="1"/>
  <c r="I3099"/>
  <c r="K2455" i="25"/>
  <c r="K2453"/>
  <c r="I2691" i="22"/>
  <c r="K2691" s="1"/>
  <c r="K2613"/>
  <c r="I2382" i="25"/>
  <c r="I2383" s="1"/>
  <c r="I2355" s="1"/>
  <c r="K2355" s="1"/>
  <c r="S232" i="13" l="1"/>
  <c r="T232" s="1"/>
  <c r="S3233"/>
  <c r="T3233" s="1"/>
  <c r="Q45"/>
  <c r="R45" s="1"/>
  <c r="Q3518"/>
  <c r="R3518" s="1"/>
  <c r="Q3507"/>
  <c r="R3507" s="1"/>
  <c r="Q3244"/>
  <c r="R3244" s="1"/>
  <c r="Q3274"/>
  <c r="R3274" s="1"/>
  <c r="Q3950"/>
  <c r="R3950" s="1"/>
  <c r="Q3530"/>
  <c r="R3530" s="1"/>
  <c r="Q3883"/>
  <c r="R3883" s="1"/>
  <c r="Q3867"/>
  <c r="R3867" s="1"/>
  <c r="Q3227"/>
  <c r="T208"/>
  <c r="I1363"/>
  <c r="I199"/>
  <c r="H200" s="1"/>
  <c r="O200" s="1"/>
  <c r="I301"/>
  <c r="I302"/>
  <c r="H1338"/>
  <c r="I1336"/>
  <c r="K3441" i="25"/>
  <c r="K2210" s="1"/>
  <c r="L3398" i="22"/>
  <c r="M3398" s="1"/>
  <c r="K3339"/>
  <c r="K3340" s="1"/>
  <c r="M112" i="42"/>
  <c r="M114" s="1"/>
  <c r="K2945" i="22"/>
  <c r="K2188" s="1"/>
  <c r="M94" i="42"/>
  <c r="M96" s="1"/>
  <c r="L3909" i="25"/>
  <c r="L3910" s="1"/>
  <c r="K3077"/>
  <c r="K3079" s="1"/>
  <c r="K3080" s="1"/>
  <c r="K2205" s="1"/>
  <c r="K3917" i="22"/>
  <c r="K3918" s="1"/>
  <c r="K3835" i="25"/>
  <c r="K3836" s="1"/>
  <c r="K3843"/>
  <c r="K3851" s="1"/>
  <c r="K3852" s="1"/>
  <c r="K3483"/>
  <c r="I3477" s="1"/>
  <c r="K3477" s="1"/>
  <c r="K3481" s="1"/>
  <c r="L3481" s="1"/>
  <c r="I3628"/>
  <c r="K3757"/>
  <c r="K3758" s="1"/>
  <c r="K3740"/>
  <c r="K2203" s="1"/>
  <c r="K3281" i="22"/>
  <c r="K3282" s="1"/>
  <c r="K3275" s="1"/>
  <c r="K3277" s="1"/>
  <c r="K2200" s="1"/>
  <c r="L3417"/>
  <c r="L3419" s="1"/>
  <c r="K3419"/>
  <c r="K2964"/>
  <c r="K2965" s="1"/>
  <c r="K3447"/>
  <c r="K3448" s="1"/>
  <c r="K3449" s="1"/>
  <c r="K3439" s="1"/>
  <c r="K3441" s="1"/>
  <c r="K2210" s="1"/>
  <c r="I3487"/>
  <c r="K3487" s="1"/>
  <c r="K3488" s="1"/>
  <c r="K3489" s="1"/>
  <c r="K3479" s="1"/>
  <c r="F700" i="23"/>
  <c r="F702" s="1"/>
  <c r="K3297" i="22"/>
  <c r="K3299" s="1"/>
  <c r="K3291" s="1"/>
  <c r="K3293" s="1"/>
  <c r="K3294" s="1"/>
  <c r="K2204" s="1"/>
  <c r="I3322"/>
  <c r="K3322" s="1"/>
  <c r="K3324" s="1"/>
  <c r="K3318" s="1"/>
  <c r="K3319" s="1"/>
  <c r="F147" i="23"/>
  <c r="F152" s="1"/>
  <c r="D141" s="1"/>
  <c r="D169"/>
  <c r="F169" s="1"/>
  <c r="F174" s="1"/>
  <c r="F176" s="1"/>
  <c r="K3087" i="25"/>
  <c r="K3091" s="1"/>
  <c r="K3075" i="22"/>
  <c r="K3077" s="1"/>
  <c r="I3089"/>
  <c r="K3089" s="1"/>
  <c r="I3937"/>
  <c r="K3937" s="1"/>
  <c r="K2203"/>
  <c r="M3744"/>
  <c r="K3365"/>
  <c r="K3366" s="1"/>
  <c r="K3332"/>
  <c r="K3333" s="1"/>
  <c r="L3333" s="1"/>
  <c r="K2620" i="25"/>
  <c r="I586"/>
  <c r="K586"/>
  <c r="K2455" i="22"/>
  <c r="K2453"/>
  <c r="K2921"/>
  <c r="K2187" s="1"/>
  <c r="L2921"/>
  <c r="L2926" s="1"/>
  <c r="F664" i="23"/>
  <c r="F666" s="1"/>
  <c r="K3099" i="22"/>
  <c r="P3072"/>
  <c r="R3072" s="1"/>
  <c r="L3012"/>
  <c r="K3011"/>
  <c r="K3018"/>
  <c r="K3022" s="1"/>
  <c r="I2468"/>
  <c r="K2468" s="1"/>
  <c r="I2311"/>
  <c r="K2311" s="1"/>
  <c r="I3628"/>
  <c r="K3483"/>
  <c r="I3477" s="1"/>
  <c r="K3477" s="1"/>
  <c r="O3397"/>
  <c r="K3100" i="25"/>
  <c r="K3104" s="1"/>
  <c r="K3105" s="1"/>
  <c r="K2206" s="1"/>
  <c r="I3114"/>
  <c r="K3114" s="1"/>
  <c r="K3118" s="1"/>
  <c r="K3063" i="22"/>
  <c r="L3064"/>
  <c r="I2395"/>
  <c r="I2378"/>
  <c r="K2378" s="1"/>
  <c r="I2354" s="1"/>
  <c r="K2354" s="1"/>
  <c r="K2356" s="1"/>
  <c r="K2357" s="1"/>
  <c r="I2396"/>
  <c r="L2977"/>
  <c r="K2189"/>
  <c r="F86" i="23"/>
  <c r="D87"/>
  <c r="K2696" i="25"/>
  <c r="K3898" i="22"/>
  <c r="K3899" s="1"/>
  <c r="I269" i="25"/>
  <c r="K269" s="1"/>
  <c r="K277" s="1"/>
  <c r="K279" s="1"/>
  <c r="P65"/>
  <c r="R65" s="1"/>
  <c r="R72" s="1"/>
  <c r="R74" s="1"/>
  <c r="P631" s="1"/>
  <c r="R631" s="1"/>
  <c r="R642" s="1"/>
  <c r="P604"/>
  <c r="R604" s="1"/>
  <c r="I209"/>
  <c r="K209" s="1"/>
  <c r="K216" s="1"/>
  <c r="K218" s="1"/>
  <c r="I1636"/>
  <c r="K1636" s="1"/>
  <c r="K1642" s="1"/>
  <c r="K1644" s="1"/>
  <c r="I771"/>
  <c r="K771" s="1"/>
  <c r="K779" s="1"/>
  <c r="K781" s="1"/>
  <c r="K3044" i="22"/>
  <c r="L3045"/>
  <c r="I1309"/>
  <c r="K1309" s="1"/>
  <c r="I1287"/>
  <c r="K1287" s="1"/>
  <c r="F53" i="21"/>
  <c r="F54" s="1"/>
  <c r="F56" s="1"/>
  <c r="F58" s="1"/>
  <c r="F60" s="1"/>
  <c r="L2860" i="22"/>
  <c r="L2862" s="1"/>
  <c r="K2879"/>
  <c r="K2860"/>
  <c r="K2184" s="1"/>
  <c r="K3100"/>
  <c r="I3114"/>
  <c r="P3073"/>
  <c r="R3073" s="1"/>
  <c r="I586"/>
  <c r="K586"/>
  <c r="K2356" i="25"/>
  <c r="K2357" s="1"/>
  <c r="AC14" i="22"/>
  <c r="Z15"/>
  <c r="AC15" s="1"/>
  <c r="K3934" i="25"/>
  <c r="K3936" s="1"/>
  <c r="K3840" i="22"/>
  <c r="K3841" s="1"/>
  <c r="K3848"/>
  <c r="K3856" s="1"/>
  <c r="K3857" s="1"/>
  <c r="I3950"/>
  <c r="K3950" s="1"/>
  <c r="K3931"/>
  <c r="H53" i="21"/>
  <c r="H54" s="1"/>
  <c r="E9" s="1"/>
  <c r="P576" i="22"/>
  <c r="R576" s="1"/>
  <c r="P633"/>
  <c r="R633" s="1"/>
  <c r="P590"/>
  <c r="R590" s="1"/>
  <c r="Q3584" i="13" l="1"/>
  <c r="R3584" s="1"/>
  <c r="S3274"/>
  <c r="T3274" s="1"/>
  <c r="S3244"/>
  <c r="T3244" s="1"/>
  <c r="Q5055"/>
  <c r="R5055" s="1"/>
  <c r="Q3466"/>
  <c r="R3466" s="1"/>
  <c r="Q3749"/>
  <c r="R3749" s="1"/>
  <c r="Q3890"/>
  <c r="R3890" s="1"/>
  <c r="Q3455"/>
  <c r="R3455" s="1"/>
  <c r="Q3955"/>
  <c r="R3955" s="1"/>
  <c r="Q3294"/>
  <c r="R3294" s="1"/>
  <c r="Q3218"/>
  <c r="R3218" s="1"/>
  <c r="Q3213"/>
  <c r="R3213" s="1"/>
  <c r="Q2043"/>
  <c r="R2043" s="1"/>
  <c r="Q4929"/>
  <c r="R4929" s="1"/>
  <c r="L3400" i="22"/>
  <c r="I1364" i="13"/>
  <c r="H303"/>
  <c r="O303" s="1"/>
  <c r="J364"/>
  <c r="H1405"/>
  <c r="H1339"/>
  <c r="I1339" s="1"/>
  <c r="I1338"/>
  <c r="L3277" i="22"/>
  <c r="L2966"/>
  <c r="I3673" i="25"/>
  <c r="K3673" s="1"/>
  <c r="K3628"/>
  <c r="I3615" s="1"/>
  <c r="K3939" i="22"/>
  <c r="K3941" s="1"/>
  <c r="K3948" s="1"/>
  <c r="K3952" s="1"/>
  <c r="K3953" s="1"/>
  <c r="L3319"/>
  <c r="K2209"/>
  <c r="K3481"/>
  <c r="L3481" s="1"/>
  <c r="D164" i="23"/>
  <c r="F164" s="1"/>
  <c r="D307"/>
  <c r="F307" s="1"/>
  <c r="F141"/>
  <c r="K3087" i="22"/>
  <c r="K3091" s="1"/>
  <c r="K3079"/>
  <c r="K3092" i="25"/>
  <c r="L3091"/>
  <c r="I2682" i="22"/>
  <c r="K2682" s="1"/>
  <c r="I174"/>
  <c r="K174" s="1"/>
  <c r="K178" s="1"/>
  <c r="C73"/>
  <c r="K3628"/>
  <c r="I3615" s="1"/>
  <c r="I3677"/>
  <c r="K3677" s="1"/>
  <c r="R3077"/>
  <c r="R3078" s="1"/>
  <c r="I2615"/>
  <c r="K2615" s="1"/>
  <c r="K2620" s="1"/>
  <c r="I2681"/>
  <c r="K2681" s="1"/>
  <c r="K2685" s="1"/>
  <c r="K2687" s="1"/>
  <c r="I2692"/>
  <c r="K2692" s="1"/>
  <c r="K2696" s="1"/>
  <c r="I166"/>
  <c r="K166" s="1"/>
  <c r="K170" s="1"/>
  <c r="C74"/>
  <c r="I194" s="1"/>
  <c r="K194" s="1"/>
  <c r="K201" s="1"/>
  <c r="K203" s="1"/>
  <c r="I1712" s="1"/>
  <c r="K1712" s="1"/>
  <c r="K1721" s="1"/>
  <c r="N3023"/>
  <c r="M3024"/>
  <c r="K3023"/>
  <c r="F9" i="21"/>
  <c r="F13" s="1"/>
  <c r="F14" s="1"/>
  <c r="F17" s="1"/>
  <c r="E73"/>
  <c r="K3943" i="25"/>
  <c r="K3947" s="1"/>
  <c r="K3948" s="1"/>
  <c r="K3937"/>
  <c r="K587" i="22"/>
  <c r="I587"/>
  <c r="K2890"/>
  <c r="K2898" s="1"/>
  <c r="K2883"/>
  <c r="N3398"/>
  <c r="M3400"/>
  <c r="I833" i="25"/>
  <c r="K833" s="1"/>
  <c r="K846" s="1"/>
  <c r="I815"/>
  <c r="K815" s="1"/>
  <c r="K827" s="1"/>
  <c r="K785"/>
  <c r="K788" s="1"/>
  <c r="K789" s="1"/>
  <c r="K790" s="1"/>
  <c r="K791" s="1"/>
  <c r="K792" s="1"/>
  <c r="I850"/>
  <c r="K850" s="1"/>
  <c r="K863" s="1"/>
  <c r="D109" i="23"/>
  <c r="F87"/>
  <c r="F96" s="1"/>
  <c r="F97" s="1"/>
  <c r="K3119" i="25"/>
  <c r="L3119"/>
  <c r="K3104" i="22"/>
  <c r="K587" i="25"/>
  <c r="I587"/>
  <c r="K3114" i="22"/>
  <c r="K3118" s="1"/>
  <c r="P3114"/>
  <c r="M2965"/>
  <c r="N2965" s="1"/>
  <c r="O2965" s="1"/>
  <c r="K2190"/>
  <c r="I2306" i="25"/>
  <c r="K2306" s="1"/>
  <c r="K2313" s="1"/>
  <c r="K2316" s="1"/>
  <c r="I1662"/>
  <c r="K1662" s="1"/>
  <c r="K1665" s="1"/>
  <c r="K1667" s="1"/>
  <c r="I1672" s="1"/>
  <c r="K1672" s="1"/>
  <c r="K1675" s="1"/>
  <c r="K1677" s="1"/>
  <c r="I1651"/>
  <c r="K1651" s="1"/>
  <c r="K1656" s="1"/>
  <c r="K1658" s="1"/>
  <c r="I2465"/>
  <c r="K2465" s="1"/>
  <c r="K2472" s="1"/>
  <c r="K2474" s="1"/>
  <c r="P634"/>
  <c r="R634" s="1"/>
  <c r="K284"/>
  <c r="K286" s="1"/>
  <c r="K287" s="1"/>
  <c r="K288" s="1"/>
  <c r="K289" s="1"/>
  <c r="K290" s="1"/>
  <c r="I608"/>
  <c r="K608" s="1"/>
  <c r="K612" s="1"/>
  <c r="K614" s="1"/>
  <c r="Q3557" i="13" l="1"/>
  <c r="R3557" s="1"/>
  <c r="Q3554"/>
  <c r="R3554" s="1"/>
  <c r="Q5047"/>
  <c r="Q3637"/>
  <c r="R3637" s="1"/>
  <c r="S3213"/>
  <c r="T3213" s="1"/>
  <c r="S2043"/>
  <c r="T2043" s="1"/>
  <c r="S3218"/>
  <c r="S86"/>
  <c r="S96"/>
  <c r="Q3640"/>
  <c r="R3640" s="1"/>
  <c r="Q4976"/>
  <c r="R4976" s="1"/>
  <c r="Q3222"/>
  <c r="R3222" s="1"/>
  <c r="Q3442"/>
  <c r="R3442" s="1"/>
  <c r="Q4935"/>
  <c r="R4935" s="1"/>
  <c r="Q96"/>
  <c r="R96" s="1"/>
  <c r="Q2509"/>
  <c r="R2509" s="1"/>
  <c r="Q1979"/>
  <c r="R1979" s="1"/>
  <c r="Q1954"/>
  <c r="R1954" s="1"/>
  <c r="Q86"/>
  <c r="R86" s="1"/>
  <c r="Q4981"/>
  <c r="R4981" s="1"/>
  <c r="Q4916"/>
  <c r="R4916" s="1"/>
  <c r="Q2522"/>
  <c r="R2522" s="1"/>
  <c r="Q4874"/>
  <c r="R4874" s="1"/>
  <c r="S45"/>
  <c r="U200"/>
  <c r="V200" s="1"/>
  <c r="I918"/>
  <c r="I1365"/>
  <c r="I364"/>
  <c r="H365" s="1"/>
  <c r="F3277" s="1"/>
  <c r="I363"/>
  <c r="H1406"/>
  <c r="I1405"/>
  <c r="K3942" i="22"/>
  <c r="I3669" i="25"/>
  <c r="K3669" s="1"/>
  <c r="I3659"/>
  <c r="K3659" s="1"/>
  <c r="K3615"/>
  <c r="K3619" s="1"/>
  <c r="I3636" s="1"/>
  <c r="K3636" s="1"/>
  <c r="K3637" s="1"/>
  <c r="K2212" s="1"/>
  <c r="I3645"/>
  <c r="K3645" s="1"/>
  <c r="K3649" s="1"/>
  <c r="O3398" i="22"/>
  <c r="O3400" s="1"/>
  <c r="N3400"/>
  <c r="I3646"/>
  <c r="K3646" s="1"/>
  <c r="K3650" s="1"/>
  <c r="K3615"/>
  <c r="K3619" s="1"/>
  <c r="P604"/>
  <c r="R604" s="1"/>
  <c r="I1636"/>
  <c r="K1636" s="1"/>
  <c r="K1642" s="1"/>
  <c r="K1644" s="1"/>
  <c r="I771"/>
  <c r="K771" s="1"/>
  <c r="K779" s="1"/>
  <c r="K781" s="1"/>
  <c r="I269"/>
  <c r="K269" s="1"/>
  <c r="K277" s="1"/>
  <c r="K279" s="1"/>
  <c r="I209"/>
  <c r="K209" s="1"/>
  <c r="K216" s="1"/>
  <c r="K218" s="1"/>
  <c r="P65"/>
  <c r="R65" s="1"/>
  <c r="R72" s="1"/>
  <c r="R74" s="1"/>
  <c r="P631" s="1"/>
  <c r="R631" s="1"/>
  <c r="R642" s="1"/>
  <c r="K3080"/>
  <c r="K2205" s="1"/>
  <c r="L3081"/>
  <c r="I620" i="25"/>
  <c r="K620" s="1"/>
  <c r="K626" s="1"/>
  <c r="K628" s="1"/>
  <c r="K630" s="1"/>
  <c r="P608"/>
  <c r="R608" s="1"/>
  <c r="P577"/>
  <c r="R577" s="1"/>
  <c r="I2693"/>
  <c r="K2693" s="1"/>
  <c r="P591"/>
  <c r="R591" s="1"/>
  <c r="P3128" i="22"/>
  <c r="R3128" s="1"/>
  <c r="R3132" s="1"/>
  <c r="R3133" s="1"/>
  <c r="R3114"/>
  <c r="R3118" s="1"/>
  <c r="K3105"/>
  <c r="K2206" s="1"/>
  <c r="L3106"/>
  <c r="K2884"/>
  <c r="K2185" s="1"/>
  <c r="L2885"/>
  <c r="K3092"/>
  <c r="L3093"/>
  <c r="I3673"/>
  <c r="K3673" s="1"/>
  <c r="I3663"/>
  <c r="K3663" s="1"/>
  <c r="K3119"/>
  <c r="L3120"/>
  <c r="D132" i="23"/>
  <c r="F109"/>
  <c r="F118" s="1"/>
  <c r="H118" s="1"/>
  <c r="L2900" i="22"/>
  <c r="K2899"/>
  <c r="K2186" s="1"/>
  <c r="E133" i="21"/>
  <c r="F133" s="1"/>
  <c r="F137" s="1"/>
  <c r="F138" s="1"/>
  <c r="F141" s="1"/>
  <c r="F73"/>
  <c r="F77" s="1"/>
  <c r="F78" s="1"/>
  <c r="F81" s="1"/>
  <c r="Q5038" i="13" l="1"/>
  <c r="R5038" s="1"/>
  <c r="Q3588"/>
  <c r="R3588" s="1"/>
  <c r="Q3597"/>
  <c r="R3597" s="1"/>
  <c r="S1979"/>
  <c r="S3222"/>
  <c r="T3222" s="1"/>
  <c r="S2509"/>
  <c r="T2509" s="1"/>
  <c r="S2522"/>
  <c r="T2522" s="1"/>
  <c r="S1954"/>
  <c r="T1954" s="1"/>
  <c r="T45"/>
  <c r="Q5079"/>
  <c r="R5079" s="1"/>
  <c r="Q5068"/>
  <c r="R5068" s="1"/>
  <c r="Q3284"/>
  <c r="Q4987"/>
  <c r="R4987" s="1"/>
  <c r="T86"/>
  <c r="T96"/>
  <c r="T1979"/>
  <c r="U303"/>
  <c r="V303" s="1"/>
  <c r="I919"/>
  <c r="I1366"/>
  <c r="O365"/>
  <c r="J575"/>
  <c r="J450"/>
  <c r="H1407"/>
  <c r="I1406"/>
  <c r="K3672" i="25"/>
  <c r="R3119" i="22"/>
  <c r="S3119"/>
  <c r="I2306"/>
  <c r="K2306" s="1"/>
  <c r="K2313" s="1"/>
  <c r="K2316" s="1"/>
  <c r="I2465"/>
  <c r="K2465" s="1"/>
  <c r="K2472" s="1"/>
  <c r="K2474" s="1"/>
  <c r="I1662"/>
  <c r="K1662" s="1"/>
  <c r="K1665" s="1"/>
  <c r="K1667" s="1"/>
  <c r="I1672" s="1"/>
  <c r="K1672" s="1"/>
  <c r="K1675" s="1"/>
  <c r="K1677" s="1"/>
  <c r="I1651"/>
  <c r="K1651" s="1"/>
  <c r="K1656" s="1"/>
  <c r="K1658" s="1"/>
  <c r="P634"/>
  <c r="R634" s="1"/>
  <c r="I608"/>
  <c r="K608" s="1"/>
  <c r="K612" s="1"/>
  <c r="K614" s="1"/>
  <c r="K284"/>
  <c r="K286" s="1"/>
  <c r="K287" s="1"/>
  <c r="K288" s="1"/>
  <c r="K289" s="1"/>
  <c r="K290" s="1"/>
  <c r="K631" i="25"/>
  <c r="K632" s="1"/>
  <c r="K633" s="1"/>
  <c r="K634" s="1"/>
  <c r="I2616"/>
  <c r="K2616" s="1"/>
  <c r="F132" i="23"/>
  <c r="D298"/>
  <c r="F298" s="1"/>
  <c r="D133"/>
  <c r="K3676" i="22"/>
  <c r="M3676" s="1"/>
  <c r="I833"/>
  <c r="K833" s="1"/>
  <c r="K846" s="1"/>
  <c r="I815"/>
  <c r="K815" s="1"/>
  <c r="K827" s="1"/>
  <c r="K785"/>
  <c r="K788" s="1"/>
  <c r="K789" s="1"/>
  <c r="K790" s="1"/>
  <c r="K791" s="1"/>
  <c r="K792" s="1"/>
  <c r="I850"/>
  <c r="K850" s="1"/>
  <c r="K863" s="1"/>
  <c r="L3619"/>
  <c r="I3636"/>
  <c r="K3636" s="1"/>
  <c r="K3638" s="1"/>
  <c r="Q3712" i="13" l="1"/>
  <c r="R3712" s="1"/>
  <c r="S200"/>
  <c r="Q200"/>
  <c r="R200" s="1"/>
  <c r="Q3906"/>
  <c r="R3906" s="1"/>
  <c r="Q4993"/>
  <c r="R4993" s="1"/>
  <c r="I920"/>
  <c r="I1368"/>
  <c r="I575"/>
  <c r="H576" s="1"/>
  <c r="I3979" s="1"/>
  <c r="J3980" s="1"/>
  <c r="L3980" s="1"/>
  <c r="I3980" s="1"/>
  <c r="I3981" s="1"/>
  <c r="H3982" s="1"/>
  <c r="O3982" s="1"/>
  <c r="I574"/>
  <c r="I449"/>
  <c r="I450"/>
  <c r="H451" s="1"/>
  <c r="H1408"/>
  <c r="I1407"/>
  <c r="I2693" i="22"/>
  <c r="K2693" s="1"/>
  <c r="I620"/>
  <c r="K620" s="1"/>
  <c r="K626" s="1"/>
  <c r="K628" s="1"/>
  <c r="K630" s="1"/>
  <c r="P608"/>
  <c r="R608" s="1"/>
  <c r="P577"/>
  <c r="R577" s="1"/>
  <c r="P591"/>
  <c r="R591" s="1"/>
  <c r="L3638"/>
  <c r="K2212"/>
  <c r="D134" i="23"/>
  <c r="D299"/>
  <c r="F299" s="1"/>
  <c r="F133"/>
  <c r="T200" i="13" l="1"/>
  <c r="Q3392"/>
  <c r="R3392" s="1"/>
  <c r="Q4998"/>
  <c r="R4998" s="1"/>
  <c r="Q3431"/>
  <c r="R3431" s="1"/>
  <c r="Q3919"/>
  <c r="R3919" s="1"/>
  <c r="Q3423"/>
  <c r="R3423" s="1"/>
  <c r="Q4642"/>
  <c r="Q3395"/>
  <c r="R3395" s="1"/>
  <c r="Q1889"/>
  <c r="R1889" s="1"/>
  <c r="Q3415"/>
  <c r="R3415" s="1"/>
  <c r="Q3912"/>
  <c r="R3912" s="1"/>
  <c r="U365"/>
  <c r="V365" s="1"/>
  <c r="I921"/>
  <c r="I1369"/>
  <c r="F3276"/>
  <c r="O451"/>
  <c r="H1410"/>
  <c r="I1408"/>
  <c r="D135" i="23"/>
  <c r="F134"/>
  <c r="D300"/>
  <c r="F300" s="1"/>
  <c r="I2616" i="22"/>
  <c r="K2616" s="1"/>
  <c r="K631"/>
  <c r="K632" s="1"/>
  <c r="K633" s="1"/>
  <c r="K634" s="1"/>
  <c r="S1889" i="13" l="1"/>
  <c r="T1889" s="1"/>
  <c r="Q4813"/>
  <c r="Q5103"/>
  <c r="R5103" s="1"/>
  <c r="Q4822"/>
  <c r="R4822" s="1"/>
  <c r="Q3982"/>
  <c r="R3982" s="1"/>
  <c r="I923"/>
  <c r="I1370"/>
  <c r="H1412"/>
  <c r="I1410"/>
  <c r="D301" i="23"/>
  <c r="F301" s="1"/>
  <c r="F309" s="1"/>
  <c r="F310" s="1"/>
  <c r="F135"/>
  <c r="F144" s="1"/>
  <c r="F145" s="1"/>
  <c r="D158"/>
  <c r="F158" s="1"/>
  <c r="F166" s="1"/>
  <c r="F167" s="1"/>
  <c r="S2096" i="13" l="1"/>
  <c r="Q2096"/>
  <c r="R2096" s="1"/>
  <c r="Q3484"/>
  <c r="R3484" s="1"/>
  <c r="Q4913"/>
  <c r="R4913" s="1"/>
  <c r="I924"/>
  <c r="I1371"/>
  <c r="H1415"/>
  <c r="I1412"/>
  <c r="T2096" l="1"/>
  <c r="S303"/>
  <c r="Q303"/>
  <c r="R303" s="1"/>
  <c r="Q2090"/>
  <c r="R2090" s="1"/>
  <c r="S2090"/>
  <c r="S3192"/>
  <c r="Q3192"/>
  <c r="R3192" s="1"/>
  <c r="Q3534"/>
  <c r="R3534" s="1"/>
  <c r="S314"/>
  <c r="Q314"/>
  <c r="R314" s="1"/>
  <c r="S2114"/>
  <c r="Q2114"/>
  <c r="R2114" s="1"/>
  <c r="Q3185"/>
  <c r="S485"/>
  <c r="Q485"/>
  <c r="R485" s="1"/>
  <c r="Q3202"/>
  <c r="R3202" s="1"/>
  <c r="S3202"/>
  <c r="S2770"/>
  <c r="Q2770"/>
  <c r="R2770" s="1"/>
  <c r="S2377"/>
  <c r="Q2377"/>
  <c r="R2377" s="1"/>
  <c r="S3197"/>
  <c r="Q3197"/>
  <c r="R3197" s="1"/>
  <c r="S2450"/>
  <c r="Q2450"/>
  <c r="R2450" s="1"/>
  <c r="I927"/>
  <c r="I1373"/>
  <c r="H1416"/>
  <c r="I1415"/>
  <c r="T314" l="1"/>
  <c r="T3202"/>
  <c r="T485"/>
  <c r="T3197"/>
  <c r="S2125"/>
  <c r="Q2125"/>
  <c r="R2125" s="1"/>
  <c r="Q1298"/>
  <c r="R1298" s="1"/>
  <c r="S1298"/>
  <c r="T2377"/>
  <c r="T2114"/>
  <c r="T3192"/>
  <c r="T2090"/>
  <c r="T303"/>
  <c r="T2450"/>
  <c r="T2770"/>
  <c r="I928"/>
  <c r="I1374"/>
  <c r="H1417"/>
  <c r="I1416"/>
  <c r="T2125" l="1"/>
  <c r="Q2199"/>
  <c r="R2199" s="1"/>
  <c r="S2199"/>
  <c r="T1298"/>
  <c r="Q1403"/>
  <c r="S451"/>
  <c r="Q451"/>
  <c r="R451" s="1"/>
  <c r="Q4946"/>
  <c r="R4946" s="1"/>
  <c r="I929"/>
  <c r="I1375"/>
  <c r="H1419"/>
  <c r="I1417"/>
  <c r="Q1495" l="1"/>
  <c r="Q3538"/>
  <c r="R3538" s="1"/>
  <c r="S726"/>
  <c r="Q726"/>
  <c r="R726" s="1"/>
  <c r="S365"/>
  <c r="Q365"/>
  <c r="R365" s="1"/>
  <c r="I931"/>
  <c r="I1377"/>
  <c r="H1421"/>
  <c r="I1419"/>
  <c r="T726" l="1"/>
  <c r="T365"/>
  <c r="S2536"/>
  <c r="Q2536"/>
  <c r="R2536" s="1"/>
  <c r="S1803"/>
  <c r="Q1803"/>
  <c r="R1803" s="1"/>
  <c r="Q891"/>
  <c r="R891" s="1"/>
  <c r="S891"/>
  <c r="S1599"/>
  <c r="Q1599"/>
  <c r="R1599" s="1"/>
  <c r="Q3494"/>
  <c r="R3494" s="1"/>
  <c r="S1857"/>
  <c r="Q1857"/>
  <c r="R1857" s="1"/>
  <c r="Q1566"/>
  <c r="I932"/>
  <c r="H1423"/>
  <c r="I1421"/>
  <c r="T1803" l="1"/>
  <c r="T1857"/>
  <c r="S1816"/>
  <c r="Q1816"/>
  <c r="R1816" s="1"/>
  <c r="T1599"/>
  <c r="Q1584"/>
  <c r="T891"/>
  <c r="Q1864"/>
  <c r="R1864" s="1"/>
  <c r="S1864"/>
  <c r="S1667"/>
  <c r="Q1667"/>
  <c r="R1667" s="1"/>
  <c r="Q1052"/>
  <c r="T2536"/>
  <c r="I934"/>
  <c r="I1378"/>
  <c r="H1424"/>
  <c r="I1423"/>
  <c r="T1667" l="1"/>
  <c r="Q1738"/>
  <c r="R1738" s="1"/>
  <c r="S1738"/>
  <c r="S1871"/>
  <c r="Q1871"/>
  <c r="R1871" s="1"/>
  <c r="S1829"/>
  <c r="Q1829"/>
  <c r="R1829" s="1"/>
  <c r="T1864"/>
  <c r="T1816"/>
  <c r="S1199"/>
  <c r="Q1199"/>
  <c r="R1199" s="1"/>
  <c r="I935"/>
  <c r="I1380"/>
  <c r="H1427"/>
  <c r="I1424"/>
  <c r="T1738" l="1"/>
  <c r="T1871"/>
  <c r="T1199"/>
  <c r="S1264"/>
  <c r="Q1264"/>
  <c r="R1264" s="1"/>
  <c r="S1878"/>
  <c r="Q1878"/>
  <c r="R1878" s="1"/>
  <c r="T1829"/>
  <c r="S1843"/>
  <c r="Q1843"/>
  <c r="R1843" s="1"/>
  <c r="Q1797"/>
  <c r="I937"/>
  <c r="I1386"/>
  <c r="I1383"/>
  <c r="H1428"/>
  <c r="I1427"/>
  <c r="T1843" l="1"/>
  <c r="S1883"/>
  <c r="Q1883"/>
  <c r="R1883" s="1"/>
  <c r="T1264"/>
  <c r="T1878"/>
  <c r="S1849"/>
  <c r="Q1849"/>
  <c r="R1849" s="1"/>
  <c r="I938"/>
  <c r="I1384"/>
  <c r="H1431"/>
  <c r="I1428"/>
  <c r="T1883" l="1"/>
  <c r="T1849"/>
  <c r="I940"/>
  <c r="I1387"/>
  <c r="H1434"/>
  <c r="H1432"/>
  <c r="I1431"/>
  <c r="G58" i="9"/>
  <c r="P28"/>
  <c r="B16"/>
  <c r="B22" s="1"/>
  <c r="B28" s="1"/>
  <c r="B34" s="1"/>
  <c r="B40" s="1"/>
  <c r="B46" s="1"/>
  <c r="B52" s="1"/>
  <c r="B58" s="1"/>
  <c r="A14"/>
  <c r="A20" s="1"/>
  <c r="A26" s="1"/>
  <c r="A32" s="1"/>
  <c r="A38" s="1"/>
  <c r="A44" s="1"/>
  <c r="A50" s="1"/>
  <c r="A56" s="1"/>
  <c r="E10"/>
  <c r="E16" s="1"/>
  <c r="E22" s="1"/>
  <c r="B4"/>
  <c r="G28" i="8"/>
  <c r="G26"/>
  <c r="G22"/>
  <c r="E16"/>
  <c r="K16" s="1"/>
  <c r="E15"/>
  <c r="K15" s="1"/>
  <c r="N7"/>
  <c r="E7"/>
  <c r="E9" s="1"/>
  <c r="E10" s="1"/>
  <c r="G10" s="1"/>
  <c r="E14" s="1"/>
  <c r="K14" s="1"/>
  <c r="E4"/>
  <c r="H156" i="7"/>
  <c r="G157" s="1"/>
  <c r="H153"/>
  <c r="G154" s="1"/>
  <c r="H150"/>
  <c r="G151" s="1"/>
  <c r="H147"/>
  <c r="G148" s="1"/>
  <c r="H138"/>
  <c r="G139" s="1"/>
  <c r="H133"/>
  <c r="H127"/>
  <c r="H120"/>
  <c r="H119"/>
  <c r="H118"/>
  <c r="H117"/>
  <c r="H116"/>
  <c r="H115"/>
  <c r="J106"/>
  <c r="H104"/>
  <c r="H103"/>
  <c r="H102"/>
  <c r="H90"/>
  <c r="H89"/>
  <c r="H86"/>
  <c r="G87" s="1"/>
  <c r="E81"/>
  <c r="H81" s="1"/>
  <c r="H80"/>
  <c r="H73"/>
  <c r="H72"/>
  <c r="H64"/>
  <c r="H63"/>
  <c r="H58"/>
  <c r="H57"/>
  <c r="G56"/>
  <c r="H49"/>
  <c r="H44"/>
  <c r="H43"/>
  <c r="H39"/>
  <c r="G40" s="1"/>
  <c r="H36"/>
  <c r="G37" s="1"/>
  <c r="H31"/>
  <c r="H30"/>
  <c r="H24"/>
  <c r="H23"/>
  <c r="I22"/>
  <c r="H22"/>
  <c r="A14"/>
  <c r="G4"/>
  <c r="G21" s="1"/>
  <c r="F4"/>
  <c r="F8" s="1"/>
  <c r="E4"/>
  <c r="E126" s="1"/>
  <c r="I943" i="13" l="1"/>
  <c r="I1432"/>
  <c r="I1389"/>
  <c r="H1435"/>
  <c r="I1434"/>
  <c r="H68" i="7"/>
  <c r="G69" s="1"/>
  <c r="H92"/>
  <c r="G93" s="1"/>
  <c r="C142" s="1"/>
  <c r="G142" s="1"/>
  <c r="J18" i="8"/>
  <c r="E22" s="1"/>
  <c r="I22" s="1"/>
  <c r="K22" s="1"/>
  <c r="E26" s="1"/>
  <c r="I26" s="1"/>
  <c r="K26" s="1"/>
  <c r="E28" s="1"/>
  <c r="H10" i="9"/>
  <c r="I12" s="1"/>
  <c r="J12" s="1"/>
  <c r="H11" s="1"/>
  <c r="E7" i="7"/>
  <c r="E28" i="9"/>
  <c r="H22"/>
  <c r="I24" s="1"/>
  <c r="J24" s="1"/>
  <c r="H24" s="1"/>
  <c r="G25" s="1"/>
  <c r="H106" i="7"/>
  <c r="G107" s="1"/>
  <c r="H16" i="9"/>
  <c r="I18" s="1"/>
  <c r="J18" s="1"/>
  <c r="H18" s="1"/>
  <c r="G19" s="1"/>
  <c r="E71" i="7"/>
  <c r="E132"/>
  <c r="F126"/>
  <c r="F132" s="1"/>
  <c r="F7"/>
  <c r="E96" s="1"/>
  <c r="E21"/>
  <c r="E56"/>
  <c r="H56" s="1"/>
  <c r="F71"/>
  <c r="E125"/>
  <c r="H125" s="1"/>
  <c r="F79"/>
  <c r="E6"/>
  <c r="E8"/>
  <c r="E97" s="1"/>
  <c r="F21"/>
  <c r="F29" s="1"/>
  <c r="F42" s="1"/>
  <c r="F50" s="1"/>
  <c r="F6"/>
  <c r="E55"/>
  <c r="H55" s="1"/>
  <c r="H60" s="1"/>
  <c r="G61" s="1"/>
  <c r="E79"/>
  <c r="H17" i="9" l="1"/>
  <c r="I941" i="13"/>
  <c r="I944"/>
  <c r="I1391"/>
  <c r="H1436"/>
  <c r="I1435"/>
  <c r="H23" i="9"/>
  <c r="O18" i="8"/>
  <c r="H71" i="7"/>
  <c r="H75" s="1"/>
  <c r="G76" s="1"/>
  <c r="C141" s="1"/>
  <c r="G141" s="1"/>
  <c r="G143" s="1"/>
  <c r="C144" s="1"/>
  <c r="H144" s="1"/>
  <c r="H12" i="9"/>
  <c r="G13" s="1"/>
  <c r="E34"/>
  <c r="H28"/>
  <c r="I30" s="1"/>
  <c r="J30" s="1"/>
  <c r="H126" i="7"/>
  <c r="H129" s="1"/>
  <c r="G130" s="1"/>
  <c r="E29"/>
  <c r="H21"/>
  <c r="H26" s="1"/>
  <c r="G27" s="1"/>
  <c r="H79"/>
  <c r="H97"/>
  <c r="E113"/>
  <c r="H132"/>
  <c r="H135" s="1"/>
  <c r="G136" s="1"/>
  <c r="H96"/>
  <c r="E111"/>
  <c r="E95"/>
  <c r="E82"/>
  <c r="H82" s="1"/>
  <c r="I1392" i="13" l="1"/>
  <c r="H1438"/>
  <c r="I1436"/>
  <c r="E46" i="9"/>
  <c r="D40"/>
  <c r="H40" s="1"/>
  <c r="I42" s="1"/>
  <c r="J42" s="1"/>
  <c r="H34"/>
  <c r="I36" s="1"/>
  <c r="J36" s="1"/>
  <c r="H29"/>
  <c r="H30"/>
  <c r="G31" s="1"/>
  <c r="E112" i="7"/>
  <c r="H112" s="1"/>
  <c r="H111"/>
  <c r="H84"/>
  <c r="G85" s="1"/>
  <c r="H95"/>
  <c r="H99" s="1"/>
  <c r="G100" s="1"/>
  <c r="E109"/>
  <c r="E114"/>
  <c r="H114" s="1"/>
  <c r="H113"/>
  <c r="E42"/>
  <c r="H29"/>
  <c r="H33" s="1"/>
  <c r="G34" s="1"/>
  <c r="I946" i="13" l="1"/>
  <c r="I1393"/>
  <c r="H1439"/>
  <c r="I1438"/>
  <c r="H46" i="9"/>
  <c r="I48" s="1"/>
  <c r="J48" s="1"/>
  <c r="E52"/>
  <c r="H41"/>
  <c r="H42"/>
  <c r="G43" s="1"/>
  <c r="H36"/>
  <c r="G37" s="1"/>
  <c r="H35"/>
  <c r="E50" i="7"/>
  <c r="H50" s="1"/>
  <c r="H52" s="1"/>
  <c r="G53" s="1"/>
  <c r="H42"/>
  <c r="H46" s="1"/>
  <c r="G47" s="1"/>
  <c r="E110"/>
  <c r="H110" s="1"/>
  <c r="H109"/>
  <c r="I1395" i="13" l="1"/>
  <c r="H1440"/>
  <c r="I1439"/>
  <c r="H47" i="9"/>
  <c r="H48"/>
  <c r="G49" s="1"/>
  <c r="H52"/>
  <c r="I54" s="1"/>
  <c r="J54" s="1"/>
  <c r="E58"/>
  <c r="H58" s="1"/>
  <c r="I60" s="1"/>
  <c r="J60" s="1"/>
  <c r="H122" i="7"/>
  <c r="G123" s="1"/>
  <c r="I947" i="13" l="1"/>
  <c r="I1396"/>
  <c r="H1497"/>
  <c r="I1440"/>
  <c r="J1493" s="1"/>
  <c r="J1494" s="1"/>
  <c r="H59" i="9"/>
  <c r="H60"/>
  <c r="G61" s="1"/>
  <c r="H53"/>
  <c r="H54"/>
  <c r="G55" s="1"/>
  <c r="J1050" i="13" l="1"/>
  <c r="J1051" s="1"/>
  <c r="I1050" s="1"/>
  <c r="I1051" s="1"/>
  <c r="H1052" s="1"/>
  <c r="I3013"/>
  <c r="J3183" s="1"/>
  <c r="I1398"/>
  <c r="H1495"/>
  <c r="O1495" s="1"/>
  <c r="I1493"/>
  <c r="I1494" s="1"/>
  <c r="H1498"/>
  <c r="I1497"/>
  <c r="R1495" l="1"/>
  <c r="J4641"/>
  <c r="I4641" s="1"/>
  <c r="H4642" s="1"/>
  <c r="O4642" s="1"/>
  <c r="O1052"/>
  <c r="F3280"/>
  <c r="K3279" s="1"/>
  <c r="K3284" s="1"/>
  <c r="K3285" s="1"/>
  <c r="J3184"/>
  <c r="I3184" s="1"/>
  <c r="J1401"/>
  <c r="J1402" s="1"/>
  <c r="I1402" s="1"/>
  <c r="H1403" s="1"/>
  <c r="O1403" s="1"/>
  <c r="H1499"/>
  <c r="I1498"/>
  <c r="R4642" l="1"/>
  <c r="R1052"/>
  <c r="R1403"/>
  <c r="S1495"/>
  <c r="T1495" s="1"/>
  <c r="H3185"/>
  <c r="I3224" s="1"/>
  <c r="I3226" s="1"/>
  <c r="H3227" s="1"/>
  <c r="O3227" s="1"/>
  <c r="U1495"/>
  <c r="V1495" s="1"/>
  <c r="L3280"/>
  <c r="K3281" s="1"/>
  <c r="I4640"/>
  <c r="I3183"/>
  <c r="J3206"/>
  <c r="J3207" s="1"/>
  <c r="I1401"/>
  <c r="H1500"/>
  <c r="I1499"/>
  <c r="R3227" l="1"/>
  <c r="S1403"/>
  <c r="T1403" s="1"/>
  <c r="O3185"/>
  <c r="U1052"/>
  <c r="V1052" s="1"/>
  <c r="U1403"/>
  <c r="V1403" s="1"/>
  <c r="L3281"/>
  <c r="L3282" s="1"/>
  <c r="I3207"/>
  <c r="H3208" s="1"/>
  <c r="O3208" s="1"/>
  <c r="I3206"/>
  <c r="H1502"/>
  <c r="I1500"/>
  <c r="S1052" l="1"/>
  <c r="T1052" s="1"/>
  <c r="R3208"/>
  <c r="U3185"/>
  <c r="V3185" s="1"/>
  <c r="R3185"/>
  <c r="Q3280"/>
  <c r="R3280" s="1"/>
  <c r="H3284"/>
  <c r="O3284" s="1"/>
  <c r="H1504"/>
  <c r="I1502"/>
  <c r="R3284" l="1"/>
  <c r="S3227"/>
  <c r="S3208"/>
  <c r="T3208" s="1"/>
  <c r="U3494"/>
  <c r="V3494" s="1"/>
  <c r="U4642"/>
  <c r="V4642" s="1"/>
  <c r="U3466"/>
  <c r="V3466" s="1"/>
  <c r="U3570"/>
  <c r="V3570" s="1"/>
  <c r="U3294"/>
  <c r="V3294" s="1"/>
  <c r="U4993"/>
  <c r="V4993" s="1"/>
  <c r="U3712"/>
  <c r="V3712" s="1"/>
  <c r="U3423"/>
  <c r="V3423" s="1"/>
  <c r="U3950"/>
  <c r="V3950" s="1"/>
  <c r="U3974"/>
  <c r="V3974" s="1"/>
  <c r="U5038"/>
  <c r="V5038" s="1"/>
  <c r="U3749"/>
  <c r="V3749" s="1"/>
  <c r="U3874"/>
  <c r="V3874" s="1"/>
  <c r="U3395"/>
  <c r="V3395" s="1"/>
  <c r="U3597"/>
  <c r="V3597" s="1"/>
  <c r="U3347"/>
  <c r="V3347" s="1"/>
  <c r="U3373"/>
  <c r="V3373" s="1"/>
  <c r="U3966"/>
  <c r="V3966" s="1"/>
  <c r="U3538"/>
  <c r="V3538" s="1"/>
  <c r="Q3281"/>
  <c r="R3281" s="1"/>
  <c r="U3959"/>
  <c r="V3959" s="1"/>
  <c r="U3640"/>
  <c r="V3640" s="1"/>
  <c r="U3565"/>
  <c r="V3565" s="1"/>
  <c r="U3530"/>
  <c r="V3530" s="1"/>
  <c r="U4898"/>
  <c r="V4898" s="1"/>
  <c r="U3883"/>
  <c r="V3883" s="1"/>
  <c r="U4913"/>
  <c r="V4913" s="1"/>
  <c r="U4847"/>
  <c r="V4847" s="1"/>
  <c r="U3906"/>
  <c r="V3906" s="1"/>
  <c r="U3682"/>
  <c r="V3682" s="1"/>
  <c r="U3534"/>
  <c r="V3534" s="1"/>
  <c r="U3919"/>
  <c r="V3919" s="1"/>
  <c r="U3415"/>
  <c r="V3415" s="1"/>
  <c r="U3584"/>
  <c r="V3584" s="1"/>
  <c r="U3549"/>
  <c r="V3549" s="1"/>
  <c r="U2024"/>
  <c r="V2024" s="1"/>
  <c r="U2023"/>
  <c r="V2023" s="1"/>
  <c r="U2022"/>
  <c r="V2022" s="1"/>
  <c r="U2020"/>
  <c r="V2020" s="1"/>
  <c r="U2018"/>
  <c r="V2018" s="1"/>
  <c r="U2016"/>
  <c r="V2016" s="1"/>
  <c r="U2014"/>
  <c r="V2014" s="1"/>
  <c r="U2012"/>
  <c r="V2012" s="1"/>
  <c r="U2010"/>
  <c r="V2010" s="1"/>
  <c r="U2008"/>
  <c r="V2008" s="1"/>
  <c r="U2021"/>
  <c r="V2021" s="1"/>
  <c r="U2019"/>
  <c r="V2019" s="1"/>
  <c r="U2017"/>
  <c r="V2017" s="1"/>
  <c r="U2015"/>
  <c r="V2015" s="1"/>
  <c r="U2013"/>
  <c r="V2013" s="1"/>
  <c r="U2011"/>
  <c r="V2011" s="1"/>
  <c r="U2009"/>
  <c r="V2009" s="1"/>
  <c r="U5103"/>
  <c r="V5103" s="1"/>
  <c r="U4987"/>
  <c r="V4987" s="1"/>
  <c r="U3763"/>
  <c r="V3763" s="1"/>
  <c r="U3431"/>
  <c r="V3431" s="1"/>
  <c r="U3442"/>
  <c r="V3442" s="1"/>
  <c r="U4976"/>
  <c r="V4976" s="1"/>
  <c r="T3227"/>
  <c r="U3227"/>
  <c r="V3227" s="1"/>
  <c r="U3208"/>
  <c r="V3208" s="1"/>
  <c r="U4923"/>
  <c r="V4923" s="1"/>
  <c r="U3484"/>
  <c r="V3484" s="1"/>
  <c r="U4935"/>
  <c r="V4935" s="1"/>
  <c r="T2199"/>
  <c r="U2199"/>
  <c r="V2199" s="1"/>
  <c r="U4827"/>
  <c r="V4827" s="1"/>
  <c r="U5022"/>
  <c r="V5022" s="1"/>
  <c r="U3557"/>
  <c r="V3557" s="1"/>
  <c r="U3407"/>
  <c r="V3407" s="1"/>
  <c r="U3935"/>
  <c r="V3935" s="1"/>
  <c r="T3218"/>
  <c r="U3218"/>
  <c r="V3218" s="1"/>
  <c r="U57"/>
  <c r="V57" s="1"/>
  <c r="U58"/>
  <c r="V58" s="1"/>
  <c r="U59"/>
  <c r="V59" s="1"/>
  <c r="U60"/>
  <c r="V60" s="1"/>
  <c r="U73"/>
  <c r="V73" s="1"/>
  <c r="U74"/>
  <c r="V74" s="1"/>
  <c r="U75"/>
  <c r="V75" s="1"/>
  <c r="U53"/>
  <c r="V53" s="1"/>
  <c r="U54"/>
  <c r="V54" s="1"/>
  <c r="U55"/>
  <c r="V55" s="1"/>
  <c r="U56"/>
  <c r="V56" s="1"/>
  <c r="U69"/>
  <c r="V69" s="1"/>
  <c r="U70"/>
  <c r="V70" s="1"/>
  <c r="U71"/>
  <c r="V71" s="1"/>
  <c r="U72"/>
  <c r="V72" s="1"/>
  <c r="U49"/>
  <c r="V49" s="1"/>
  <c r="U50"/>
  <c r="V50" s="1"/>
  <c r="U51"/>
  <c r="V51" s="1"/>
  <c r="U52"/>
  <c r="V52" s="1"/>
  <c r="U65"/>
  <c r="V65" s="1"/>
  <c r="U66"/>
  <c r="V66" s="1"/>
  <c r="U67"/>
  <c r="V67" s="1"/>
  <c r="U68"/>
  <c r="V68" s="1"/>
  <c r="U77"/>
  <c r="V77" s="1"/>
  <c r="U78"/>
  <c r="V78" s="1"/>
  <c r="U85"/>
  <c r="V85" s="1"/>
  <c r="U93"/>
  <c r="V93" s="1"/>
  <c r="U94"/>
  <c r="V94" s="1"/>
  <c r="U101"/>
  <c r="V101" s="1"/>
  <c r="U102"/>
  <c r="V102" s="1"/>
  <c r="U109"/>
  <c r="V109" s="1"/>
  <c r="U110"/>
  <c r="V110" s="1"/>
  <c r="U117"/>
  <c r="V117" s="1"/>
  <c r="U118"/>
  <c r="V118" s="1"/>
  <c r="U125"/>
  <c r="V125" s="1"/>
  <c r="U126"/>
  <c r="V126" s="1"/>
  <c r="U133"/>
  <c r="V133" s="1"/>
  <c r="U134"/>
  <c r="V134" s="1"/>
  <c r="U46"/>
  <c r="U47"/>
  <c r="V47" s="1"/>
  <c r="U48"/>
  <c r="V48" s="1"/>
  <c r="U61"/>
  <c r="V61" s="1"/>
  <c r="U62"/>
  <c r="V62" s="1"/>
  <c r="U63"/>
  <c r="V63" s="1"/>
  <c r="U64"/>
  <c r="V64" s="1"/>
  <c r="U76"/>
  <c r="V76" s="1"/>
  <c r="U80"/>
  <c r="V80" s="1"/>
  <c r="U82"/>
  <c r="V82" s="1"/>
  <c r="U88"/>
  <c r="V88" s="1"/>
  <c r="U99"/>
  <c r="V99" s="1"/>
  <c r="U105"/>
  <c r="V105" s="1"/>
  <c r="U108"/>
  <c r="V108" s="1"/>
  <c r="U111"/>
  <c r="V111" s="1"/>
  <c r="U114"/>
  <c r="V114" s="1"/>
  <c r="U120"/>
  <c r="V120" s="1"/>
  <c r="U131"/>
  <c r="V131" s="1"/>
  <c r="U137"/>
  <c r="V137" s="1"/>
  <c r="U141"/>
  <c r="V141" s="1"/>
  <c r="U142"/>
  <c r="V142" s="1"/>
  <c r="U149"/>
  <c r="V149" s="1"/>
  <c r="U150"/>
  <c r="V150" s="1"/>
  <c r="U157"/>
  <c r="V157" s="1"/>
  <c r="U158"/>
  <c r="V158" s="1"/>
  <c r="U165"/>
  <c r="V165" s="1"/>
  <c r="U166"/>
  <c r="V166" s="1"/>
  <c r="U173"/>
  <c r="V173" s="1"/>
  <c r="U174"/>
  <c r="V174" s="1"/>
  <c r="U181"/>
  <c r="V181" s="1"/>
  <c r="U182"/>
  <c r="V182" s="1"/>
  <c r="U189"/>
  <c r="V189" s="1"/>
  <c r="U190"/>
  <c r="V190" s="1"/>
  <c r="U81"/>
  <c r="V81" s="1"/>
  <c r="U84"/>
  <c r="V84" s="1"/>
  <c r="U87"/>
  <c r="V87" s="1"/>
  <c r="U90"/>
  <c r="V90" s="1"/>
  <c r="U107"/>
  <c r="V107" s="1"/>
  <c r="U113"/>
  <c r="V113" s="1"/>
  <c r="U116"/>
  <c r="V116" s="1"/>
  <c r="U119"/>
  <c r="V119" s="1"/>
  <c r="U122"/>
  <c r="V122" s="1"/>
  <c r="U128"/>
  <c r="V128" s="1"/>
  <c r="U139"/>
  <c r="V139" s="1"/>
  <c r="U140"/>
  <c r="V140" s="1"/>
  <c r="U147"/>
  <c r="V147" s="1"/>
  <c r="U148"/>
  <c r="V148" s="1"/>
  <c r="U155"/>
  <c r="V155" s="1"/>
  <c r="U156"/>
  <c r="V156" s="1"/>
  <c r="U163"/>
  <c r="V163" s="1"/>
  <c r="U164"/>
  <c r="V164" s="1"/>
  <c r="U171"/>
  <c r="V171" s="1"/>
  <c r="U172"/>
  <c r="V172" s="1"/>
  <c r="U179"/>
  <c r="V179" s="1"/>
  <c r="U180"/>
  <c r="V180" s="1"/>
  <c r="U187"/>
  <c r="V187" s="1"/>
  <c r="U123"/>
  <c r="V123" s="1"/>
  <c r="U129"/>
  <c r="V129" s="1"/>
  <c r="U132"/>
  <c r="V132" s="1"/>
  <c r="U135"/>
  <c r="V135" s="1"/>
  <c r="U138"/>
  <c r="V138" s="1"/>
  <c r="U143"/>
  <c r="V143" s="1"/>
  <c r="U152"/>
  <c r="V152" s="1"/>
  <c r="U159"/>
  <c r="V159" s="1"/>
  <c r="U168"/>
  <c r="V168" s="1"/>
  <c r="U175"/>
  <c r="V175" s="1"/>
  <c r="U184"/>
  <c r="V184" s="1"/>
  <c r="U197"/>
  <c r="V197" s="1"/>
  <c r="U198"/>
  <c r="V198" s="1"/>
  <c r="U205"/>
  <c r="V205" s="1"/>
  <c r="U206"/>
  <c r="V206" s="1"/>
  <c r="U213"/>
  <c r="V213" s="1"/>
  <c r="U214"/>
  <c r="V214" s="1"/>
  <c r="U226"/>
  <c r="V226" s="1"/>
  <c r="U227"/>
  <c r="V227" s="1"/>
  <c r="U228"/>
  <c r="V228" s="1"/>
  <c r="U229"/>
  <c r="V229" s="1"/>
  <c r="U242"/>
  <c r="V242" s="1"/>
  <c r="U243"/>
  <c r="V243" s="1"/>
  <c r="U244"/>
  <c r="V244" s="1"/>
  <c r="U245"/>
  <c r="V245" s="1"/>
  <c r="U258"/>
  <c r="V258" s="1"/>
  <c r="U259"/>
  <c r="V259" s="1"/>
  <c r="U260"/>
  <c r="V260" s="1"/>
  <c r="U261"/>
  <c r="V261" s="1"/>
  <c r="U274"/>
  <c r="V274" s="1"/>
  <c r="U275"/>
  <c r="V275" s="1"/>
  <c r="U300"/>
  <c r="V300" s="1"/>
  <c r="U301"/>
  <c r="V301" s="1"/>
  <c r="U302"/>
  <c r="V302" s="1"/>
  <c r="U304"/>
  <c r="V304" s="1"/>
  <c r="U305"/>
  <c r="V305" s="1"/>
  <c r="U316"/>
  <c r="V316" s="1"/>
  <c r="U317"/>
  <c r="V317" s="1"/>
  <c r="U115"/>
  <c r="V115" s="1"/>
  <c r="U121"/>
  <c r="V121" s="1"/>
  <c r="U124"/>
  <c r="V124" s="1"/>
  <c r="U127"/>
  <c r="V127" s="1"/>
  <c r="U130"/>
  <c r="V130" s="1"/>
  <c r="U136"/>
  <c r="V136" s="1"/>
  <c r="U146"/>
  <c r="V146" s="1"/>
  <c r="U153"/>
  <c r="V153" s="1"/>
  <c r="U162"/>
  <c r="V162" s="1"/>
  <c r="U169"/>
  <c r="V169" s="1"/>
  <c r="U178"/>
  <c r="V178" s="1"/>
  <c r="U185"/>
  <c r="V185" s="1"/>
  <c r="U195"/>
  <c r="V195" s="1"/>
  <c r="U196"/>
  <c r="V196" s="1"/>
  <c r="U203"/>
  <c r="V203" s="1"/>
  <c r="U204"/>
  <c r="V204" s="1"/>
  <c r="U211"/>
  <c r="V211" s="1"/>
  <c r="U212"/>
  <c r="V212" s="1"/>
  <c r="U222"/>
  <c r="V222" s="1"/>
  <c r="U223"/>
  <c r="V223" s="1"/>
  <c r="U224"/>
  <c r="V224" s="1"/>
  <c r="U225"/>
  <c r="V225" s="1"/>
  <c r="U83"/>
  <c r="V83" s="1"/>
  <c r="U89"/>
  <c r="V89" s="1"/>
  <c r="U95"/>
  <c r="V95" s="1"/>
  <c r="U161"/>
  <c r="V161" s="1"/>
  <c r="U170"/>
  <c r="V170" s="1"/>
  <c r="U188"/>
  <c r="V188" s="1"/>
  <c r="U191"/>
  <c r="V191" s="1"/>
  <c r="U207"/>
  <c r="V207" s="1"/>
  <c r="U216"/>
  <c r="V216" s="1"/>
  <c r="U231"/>
  <c r="V231" s="1"/>
  <c r="U233"/>
  <c r="V233" s="1"/>
  <c r="U237"/>
  <c r="V237" s="1"/>
  <c r="U240"/>
  <c r="V240" s="1"/>
  <c r="U247"/>
  <c r="V247" s="1"/>
  <c r="U250"/>
  <c r="V250" s="1"/>
  <c r="U257"/>
  <c r="V257" s="1"/>
  <c r="U264"/>
  <c r="V264" s="1"/>
  <c r="U267"/>
  <c r="V267" s="1"/>
  <c r="U270"/>
  <c r="V270" s="1"/>
  <c r="U277"/>
  <c r="V277" s="1"/>
  <c r="U281"/>
  <c r="V281" s="1"/>
  <c r="U284"/>
  <c r="V284" s="1"/>
  <c r="U288"/>
  <c r="V288" s="1"/>
  <c r="U295"/>
  <c r="V295" s="1"/>
  <c r="U299"/>
  <c r="V299" s="1"/>
  <c r="U306"/>
  <c r="V306" s="1"/>
  <c r="U309"/>
  <c r="V309" s="1"/>
  <c r="U313"/>
  <c r="V313" s="1"/>
  <c r="U328"/>
  <c r="V328" s="1"/>
  <c r="U329"/>
  <c r="V329" s="1"/>
  <c r="U330"/>
  <c r="V330" s="1"/>
  <c r="U331"/>
  <c r="V331" s="1"/>
  <c r="U334"/>
  <c r="V334" s="1"/>
  <c r="U335"/>
  <c r="V335" s="1"/>
  <c r="U348"/>
  <c r="V348" s="1"/>
  <c r="U349"/>
  <c r="V349" s="1"/>
  <c r="U350"/>
  <c r="V350" s="1"/>
  <c r="U351"/>
  <c r="V351" s="1"/>
  <c r="U361"/>
  <c r="V361" s="1"/>
  <c r="U362"/>
  <c r="V362" s="1"/>
  <c r="U363"/>
  <c r="V363" s="1"/>
  <c r="U372"/>
  <c r="V372" s="1"/>
  <c r="U373"/>
  <c r="V373" s="1"/>
  <c r="U374"/>
  <c r="V374" s="1"/>
  <c r="U375"/>
  <c r="V375" s="1"/>
  <c r="U381"/>
  <c r="V381" s="1"/>
  <c r="U382"/>
  <c r="V382" s="1"/>
  <c r="U383"/>
  <c r="V383" s="1"/>
  <c r="U389"/>
  <c r="V389" s="1"/>
  <c r="U390"/>
  <c r="V390" s="1"/>
  <c r="U391"/>
  <c r="V391" s="1"/>
  <c r="U392"/>
  <c r="V392" s="1"/>
  <c r="U91"/>
  <c r="V91" s="1"/>
  <c r="U97"/>
  <c r="V97" s="1"/>
  <c r="U103"/>
  <c r="V103" s="1"/>
  <c r="U144"/>
  <c r="V144" s="1"/>
  <c r="U167"/>
  <c r="V167" s="1"/>
  <c r="U176"/>
  <c r="V176" s="1"/>
  <c r="U194"/>
  <c r="V194" s="1"/>
  <c r="U201"/>
  <c r="V201" s="1"/>
  <c r="U210"/>
  <c r="V210" s="1"/>
  <c r="U219"/>
  <c r="V219" s="1"/>
  <c r="U221"/>
  <c r="V221" s="1"/>
  <c r="U234"/>
  <c r="V234" s="1"/>
  <c r="U236"/>
  <c r="V236" s="1"/>
  <c r="U239"/>
  <c r="V239" s="1"/>
  <c r="U246"/>
  <c r="V246" s="1"/>
  <c r="U253"/>
  <c r="V253" s="1"/>
  <c r="U256"/>
  <c r="V256" s="1"/>
  <c r="U263"/>
  <c r="V263" s="1"/>
  <c r="U266"/>
  <c r="V266" s="1"/>
  <c r="U273"/>
  <c r="V273" s="1"/>
  <c r="U276"/>
  <c r="V276" s="1"/>
  <c r="U280"/>
  <c r="V280" s="1"/>
  <c r="U287"/>
  <c r="V287" s="1"/>
  <c r="U291"/>
  <c r="V291" s="1"/>
  <c r="U294"/>
  <c r="V294" s="1"/>
  <c r="U298"/>
  <c r="V298" s="1"/>
  <c r="U308"/>
  <c r="V308" s="1"/>
  <c r="U312"/>
  <c r="V312" s="1"/>
  <c r="U315"/>
  <c r="V315" s="1"/>
  <c r="U324"/>
  <c r="V324" s="1"/>
  <c r="U325"/>
  <c r="V325" s="1"/>
  <c r="U326"/>
  <c r="V326" s="1"/>
  <c r="U327"/>
  <c r="V327" s="1"/>
  <c r="U344"/>
  <c r="V344" s="1"/>
  <c r="U345"/>
  <c r="V345" s="1"/>
  <c r="U346"/>
  <c r="V346" s="1"/>
  <c r="U347"/>
  <c r="V347" s="1"/>
  <c r="U360"/>
  <c r="V360" s="1"/>
  <c r="U368"/>
  <c r="V368" s="1"/>
  <c r="U369"/>
  <c r="V369" s="1"/>
  <c r="U370"/>
  <c r="V370" s="1"/>
  <c r="U371"/>
  <c r="V371" s="1"/>
  <c r="U380"/>
  <c r="V380" s="1"/>
  <c r="U100"/>
  <c r="V100" s="1"/>
  <c r="U112"/>
  <c r="V112" s="1"/>
  <c r="U183"/>
  <c r="V183" s="1"/>
  <c r="U209"/>
  <c r="V209" s="1"/>
  <c r="U218"/>
  <c r="V218" s="1"/>
  <c r="U235"/>
  <c r="V235" s="1"/>
  <c r="U241"/>
  <c r="V241" s="1"/>
  <c r="U278"/>
  <c r="V278" s="1"/>
  <c r="U289"/>
  <c r="V289" s="1"/>
  <c r="U292"/>
  <c r="V292" s="1"/>
  <c r="U319"/>
  <c r="V319" s="1"/>
  <c r="U321"/>
  <c r="V321" s="1"/>
  <c r="U332"/>
  <c r="V332" s="1"/>
  <c r="U336"/>
  <c r="V336" s="1"/>
  <c r="U338"/>
  <c r="V338" s="1"/>
  <c r="U353"/>
  <c r="V353" s="1"/>
  <c r="U355"/>
  <c r="V355" s="1"/>
  <c r="U364"/>
  <c r="V364" s="1"/>
  <c r="U384"/>
  <c r="V384" s="1"/>
  <c r="U388"/>
  <c r="V388" s="1"/>
  <c r="U397"/>
  <c r="V397" s="1"/>
  <c r="U398"/>
  <c r="V398" s="1"/>
  <c r="U399"/>
  <c r="V399" s="1"/>
  <c r="U400"/>
  <c r="V400" s="1"/>
  <c r="U413"/>
  <c r="V413" s="1"/>
  <c r="U414"/>
  <c r="V414" s="1"/>
  <c r="U415"/>
  <c r="V415" s="1"/>
  <c r="U416"/>
  <c r="V416" s="1"/>
  <c r="U429"/>
  <c r="V429" s="1"/>
  <c r="U430"/>
  <c r="V430" s="1"/>
  <c r="U431"/>
  <c r="V431" s="1"/>
  <c r="U432"/>
  <c r="V432" s="1"/>
  <c r="U445"/>
  <c r="V445" s="1"/>
  <c r="U446"/>
  <c r="V446" s="1"/>
  <c r="U447"/>
  <c r="V447" s="1"/>
  <c r="U448"/>
  <c r="V448" s="1"/>
  <c r="U461"/>
  <c r="V461" s="1"/>
  <c r="U462"/>
  <c r="V462" s="1"/>
  <c r="U463"/>
  <c r="V463" s="1"/>
  <c r="U464"/>
  <c r="V464" s="1"/>
  <c r="U470"/>
  <c r="V470" s="1"/>
  <c r="U471"/>
  <c r="V471" s="1"/>
  <c r="U472"/>
  <c r="V472" s="1"/>
  <c r="U473"/>
  <c r="V473" s="1"/>
  <c r="U486"/>
  <c r="V486" s="1"/>
  <c r="U487"/>
  <c r="V487" s="1"/>
  <c r="U488"/>
  <c r="V488" s="1"/>
  <c r="U489"/>
  <c r="V489" s="1"/>
  <c r="U502"/>
  <c r="V502" s="1"/>
  <c r="U503"/>
  <c r="V503" s="1"/>
  <c r="U504"/>
  <c r="V504" s="1"/>
  <c r="U505"/>
  <c r="V505" s="1"/>
  <c r="U518"/>
  <c r="V518" s="1"/>
  <c r="U519"/>
  <c r="V519" s="1"/>
  <c r="U520"/>
  <c r="V520" s="1"/>
  <c r="U521"/>
  <c r="V521" s="1"/>
  <c r="U79"/>
  <c r="V79" s="1"/>
  <c r="U92"/>
  <c r="V92" s="1"/>
  <c r="U104"/>
  <c r="V104" s="1"/>
  <c r="U177"/>
  <c r="V177" s="1"/>
  <c r="U186"/>
  <c r="V186" s="1"/>
  <c r="U192"/>
  <c r="V192" s="1"/>
  <c r="U215"/>
  <c r="V215" s="1"/>
  <c r="U262"/>
  <c r="V262" s="1"/>
  <c r="U279"/>
  <c r="V279" s="1"/>
  <c r="U290"/>
  <c r="V290" s="1"/>
  <c r="U293"/>
  <c r="V293" s="1"/>
  <c r="U322"/>
  <c r="V322" s="1"/>
  <c r="U341"/>
  <c r="V341" s="1"/>
  <c r="U343"/>
  <c r="V343" s="1"/>
  <c r="U356"/>
  <c r="V356" s="1"/>
  <c r="U358"/>
  <c r="V358" s="1"/>
  <c r="U367"/>
  <c r="V367" s="1"/>
  <c r="U378"/>
  <c r="V378" s="1"/>
  <c r="U385"/>
  <c r="V385" s="1"/>
  <c r="U394"/>
  <c r="V394" s="1"/>
  <c r="U395"/>
  <c r="V395" s="1"/>
  <c r="U396"/>
  <c r="V396" s="1"/>
  <c r="U409"/>
  <c r="V409" s="1"/>
  <c r="U410"/>
  <c r="V410" s="1"/>
  <c r="U411"/>
  <c r="V411" s="1"/>
  <c r="U412"/>
  <c r="V412" s="1"/>
  <c r="U425"/>
  <c r="V425" s="1"/>
  <c r="U426"/>
  <c r="V426" s="1"/>
  <c r="U427"/>
  <c r="V427" s="1"/>
  <c r="U428"/>
  <c r="V428" s="1"/>
  <c r="U441"/>
  <c r="V441" s="1"/>
  <c r="U442"/>
  <c r="V442" s="1"/>
  <c r="U443"/>
  <c r="V443" s="1"/>
  <c r="U444"/>
  <c r="V444" s="1"/>
  <c r="U457"/>
  <c r="V457" s="1"/>
  <c r="U458"/>
  <c r="V458" s="1"/>
  <c r="U459"/>
  <c r="V459" s="1"/>
  <c r="U460"/>
  <c r="V460" s="1"/>
  <c r="U474"/>
  <c r="V474" s="1"/>
  <c r="U475"/>
  <c r="V475" s="1"/>
  <c r="U476"/>
  <c r="V476" s="1"/>
  <c r="U477"/>
  <c r="V477" s="1"/>
  <c r="U98"/>
  <c r="V98" s="1"/>
  <c r="U145"/>
  <c r="V145" s="1"/>
  <c r="U230"/>
  <c r="V230" s="1"/>
  <c r="U238"/>
  <c r="V238" s="1"/>
  <c r="U249"/>
  <c r="V249" s="1"/>
  <c r="U255"/>
  <c r="V255" s="1"/>
  <c r="U272"/>
  <c r="V272" s="1"/>
  <c r="U283"/>
  <c r="V283" s="1"/>
  <c r="U311"/>
  <c r="V311" s="1"/>
  <c r="U342"/>
  <c r="V342" s="1"/>
  <c r="U359"/>
  <c r="V359" s="1"/>
  <c r="U377"/>
  <c r="V377" s="1"/>
  <c r="U386"/>
  <c r="V386" s="1"/>
  <c r="U401"/>
  <c r="V401" s="1"/>
  <c r="U403"/>
  <c r="V403" s="1"/>
  <c r="U418"/>
  <c r="V418" s="1"/>
  <c r="U420"/>
  <c r="V420" s="1"/>
  <c r="U433"/>
  <c r="V433" s="1"/>
  <c r="U435"/>
  <c r="V435" s="1"/>
  <c r="U450"/>
  <c r="V450" s="1"/>
  <c r="U452"/>
  <c r="V452" s="1"/>
  <c r="U465"/>
  <c r="V465" s="1"/>
  <c r="U467"/>
  <c r="V467" s="1"/>
  <c r="U469"/>
  <c r="V469" s="1"/>
  <c r="U484"/>
  <c r="V484" s="1"/>
  <c r="U493"/>
  <c r="V493" s="1"/>
  <c r="U494"/>
  <c r="V494" s="1"/>
  <c r="U499"/>
  <c r="V499" s="1"/>
  <c r="U508"/>
  <c r="V508" s="1"/>
  <c r="U513"/>
  <c r="V513" s="1"/>
  <c r="U514"/>
  <c r="V514" s="1"/>
  <c r="U523"/>
  <c r="V523" s="1"/>
  <c r="U528"/>
  <c r="V528" s="1"/>
  <c r="U533"/>
  <c r="V533" s="1"/>
  <c r="U535"/>
  <c r="V535" s="1"/>
  <c r="U536"/>
  <c r="V536" s="1"/>
  <c r="U537"/>
  <c r="V537" s="1"/>
  <c r="U538"/>
  <c r="V538" s="1"/>
  <c r="U542"/>
  <c r="V542" s="1"/>
  <c r="U567"/>
  <c r="V567" s="1"/>
  <c r="U568"/>
  <c r="V568" s="1"/>
  <c r="U569"/>
  <c r="V569" s="1"/>
  <c r="U570"/>
  <c r="V570" s="1"/>
  <c r="U574"/>
  <c r="V574" s="1"/>
  <c r="U591"/>
  <c r="V591" s="1"/>
  <c r="U592"/>
  <c r="V592" s="1"/>
  <c r="U593"/>
  <c r="V593" s="1"/>
  <c r="U594"/>
  <c r="V594" s="1"/>
  <c r="U595"/>
  <c r="V595" s="1"/>
  <c r="U596"/>
  <c r="V596" s="1"/>
  <c r="U597"/>
  <c r="V597" s="1"/>
  <c r="U598"/>
  <c r="V598" s="1"/>
  <c r="U623"/>
  <c r="V623" s="1"/>
  <c r="U624"/>
  <c r="V624" s="1"/>
  <c r="U625"/>
  <c r="V625" s="1"/>
  <c r="U626"/>
  <c r="V626" s="1"/>
  <c r="U627"/>
  <c r="V627" s="1"/>
  <c r="U628"/>
  <c r="V628" s="1"/>
  <c r="U629"/>
  <c r="V629" s="1"/>
  <c r="U630"/>
  <c r="V630" s="1"/>
  <c r="U649"/>
  <c r="V649" s="1"/>
  <c r="U650"/>
  <c r="V650" s="1"/>
  <c r="U651"/>
  <c r="V651" s="1"/>
  <c r="U652"/>
  <c r="V652" s="1"/>
  <c r="U665"/>
  <c r="V665" s="1"/>
  <c r="U666"/>
  <c r="V666" s="1"/>
  <c r="U667"/>
  <c r="V667" s="1"/>
  <c r="U668"/>
  <c r="V668" s="1"/>
  <c r="U681"/>
  <c r="V681" s="1"/>
  <c r="U682"/>
  <c r="V682" s="1"/>
  <c r="U683"/>
  <c r="V683" s="1"/>
  <c r="U684"/>
  <c r="V684" s="1"/>
  <c r="U697"/>
  <c r="V697" s="1"/>
  <c r="U698"/>
  <c r="V698" s="1"/>
  <c r="U699"/>
  <c r="V699" s="1"/>
  <c r="U700"/>
  <c r="V700" s="1"/>
  <c r="U713"/>
  <c r="V713" s="1"/>
  <c r="U714"/>
  <c r="V714" s="1"/>
  <c r="U715"/>
  <c r="V715" s="1"/>
  <c r="U716"/>
  <c r="V716" s="1"/>
  <c r="U729"/>
  <c r="V729" s="1"/>
  <c r="U730"/>
  <c r="V730" s="1"/>
  <c r="U731"/>
  <c r="V731" s="1"/>
  <c r="U732"/>
  <c r="V732" s="1"/>
  <c r="U745"/>
  <c r="V745" s="1"/>
  <c r="U746"/>
  <c r="V746" s="1"/>
  <c r="U747"/>
  <c r="V747" s="1"/>
  <c r="U748"/>
  <c r="V748" s="1"/>
  <c r="U749"/>
  <c r="V749" s="1"/>
  <c r="U750"/>
  <c r="V750" s="1"/>
  <c r="U751"/>
  <c r="V751" s="1"/>
  <c r="U753"/>
  <c r="V753" s="1"/>
  <c r="U754"/>
  <c r="V754" s="1"/>
  <c r="U106"/>
  <c r="V106" s="1"/>
  <c r="U151"/>
  <c r="V151" s="1"/>
  <c r="U251"/>
  <c r="V251" s="1"/>
  <c r="U268"/>
  <c r="V268" s="1"/>
  <c r="U285"/>
  <c r="V285" s="1"/>
  <c r="U296"/>
  <c r="V296" s="1"/>
  <c r="U307"/>
  <c r="V307" s="1"/>
  <c r="U318"/>
  <c r="V318" s="1"/>
  <c r="U339"/>
  <c r="V339" s="1"/>
  <c r="U352"/>
  <c r="V352" s="1"/>
  <c r="U387"/>
  <c r="V387" s="1"/>
  <c r="U393"/>
  <c r="V393" s="1"/>
  <c r="U406"/>
  <c r="V406" s="1"/>
  <c r="U408"/>
  <c r="V408" s="1"/>
  <c r="U421"/>
  <c r="V421" s="1"/>
  <c r="U423"/>
  <c r="V423" s="1"/>
  <c r="U438"/>
  <c r="V438" s="1"/>
  <c r="U440"/>
  <c r="V440" s="1"/>
  <c r="U453"/>
  <c r="V453" s="1"/>
  <c r="U455"/>
  <c r="V455" s="1"/>
  <c r="U479"/>
  <c r="V479" s="1"/>
  <c r="U483"/>
  <c r="V483" s="1"/>
  <c r="U492"/>
  <c r="V492" s="1"/>
  <c r="U497"/>
  <c r="V497" s="1"/>
  <c r="U498"/>
  <c r="V498" s="1"/>
  <c r="U507"/>
  <c r="V507" s="1"/>
  <c r="U512"/>
  <c r="V512" s="1"/>
  <c r="U517"/>
  <c r="V517" s="1"/>
  <c r="U522"/>
  <c r="V522" s="1"/>
  <c r="U527"/>
  <c r="V527" s="1"/>
  <c r="U532"/>
  <c r="V532" s="1"/>
  <c r="U534"/>
  <c r="V534" s="1"/>
  <c r="U555"/>
  <c r="V555" s="1"/>
  <c r="U556"/>
  <c r="V556" s="1"/>
  <c r="U557"/>
  <c r="V557" s="1"/>
  <c r="U559"/>
  <c r="V559" s="1"/>
  <c r="U560"/>
  <c r="V560" s="1"/>
  <c r="U561"/>
  <c r="V561" s="1"/>
  <c r="U562"/>
  <c r="V562" s="1"/>
  <c r="U563"/>
  <c r="V563" s="1"/>
  <c r="U564"/>
  <c r="V564" s="1"/>
  <c r="U565"/>
  <c r="V565" s="1"/>
  <c r="U566"/>
  <c r="V566" s="1"/>
  <c r="U583"/>
  <c r="V583" s="1"/>
  <c r="U584"/>
  <c r="V584" s="1"/>
  <c r="U585"/>
  <c r="V585" s="1"/>
  <c r="U586"/>
  <c r="V586" s="1"/>
  <c r="U587"/>
  <c r="V587" s="1"/>
  <c r="U588"/>
  <c r="V588" s="1"/>
  <c r="U589"/>
  <c r="V589" s="1"/>
  <c r="U590"/>
  <c r="V590" s="1"/>
  <c r="U615"/>
  <c r="V615" s="1"/>
  <c r="U616"/>
  <c r="V616" s="1"/>
  <c r="U617"/>
  <c r="V617" s="1"/>
  <c r="U618"/>
  <c r="V618" s="1"/>
  <c r="U619"/>
  <c r="V619" s="1"/>
  <c r="U620"/>
  <c r="V620" s="1"/>
  <c r="U621"/>
  <c r="V621" s="1"/>
  <c r="U622"/>
  <c r="V622" s="1"/>
  <c r="U645"/>
  <c r="V645" s="1"/>
  <c r="U646"/>
  <c r="V646" s="1"/>
  <c r="U647"/>
  <c r="V647" s="1"/>
  <c r="U648"/>
  <c r="V648" s="1"/>
  <c r="U661"/>
  <c r="V661" s="1"/>
  <c r="U662"/>
  <c r="V662" s="1"/>
  <c r="U663"/>
  <c r="V663" s="1"/>
  <c r="U664"/>
  <c r="V664" s="1"/>
  <c r="U677"/>
  <c r="V677" s="1"/>
  <c r="U678"/>
  <c r="V678" s="1"/>
  <c r="U679"/>
  <c r="V679" s="1"/>
  <c r="U680"/>
  <c r="V680" s="1"/>
  <c r="U693"/>
  <c r="V693" s="1"/>
  <c r="U694"/>
  <c r="V694" s="1"/>
  <c r="U695"/>
  <c r="V695" s="1"/>
  <c r="U696"/>
  <c r="V696" s="1"/>
  <c r="U709"/>
  <c r="V709" s="1"/>
  <c r="U710"/>
  <c r="V710" s="1"/>
  <c r="U711"/>
  <c r="V711" s="1"/>
  <c r="U712"/>
  <c r="V712" s="1"/>
  <c r="U725"/>
  <c r="V725" s="1"/>
  <c r="U727"/>
  <c r="V727" s="1"/>
  <c r="U728"/>
  <c r="V728" s="1"/>
  <c r="U741"/>
  <c r="V741" s="1"/>
  <c r="U742"/>
  <c r="V742" s="1"/>
  <c r="U743"/>
  <c r="V743" s="1"/>
  <c r="U744"/>
  <c r="V744" s="1"/>
  <c r="U752"/>
  <c r="V752" s="1"/>
  <c r="U154"/>
  <c r="V154" s="1"/>
  <c r="U199"/>
  <c r="V199" s="1"/>
  <c r="U217"/>
  <c r="V217" s="1"/>
  <c r="U252"/>
  <c r="V252" s="1"/>
  <c r="U269"/>
  <c r="V269" s="1"/>
  <c r="U286"/>
  <c r="V286" s="1"/>
  <c r="U297"/>
  <c r="V297" s="1"/>
  <c r="U323"/>
  <c r="V323" s="1"/>
  <c r="U340"/>
  <c r="V340" s="1"/>
  <c r="U357"/>
  <c r="V357" s="1"/>
  <c r="U366"/>
  <c r="V366" s="1"/>
  <c r="U379"/>
  <c r="V379" s="1"/>
  <c r="U402"/>
  <c r="V402" s="1"/>
  <c r="U404"/>
  <c r="V404" s="1"/>
  <c r="U417"/>
  <c r="V417" s="1"/>
  <c r="U419"/>
  <c r="V419" s="1"/>
  <c r="U434"/>
  <c r="V434" s="1"/>
  <c r="U436"/>
  <c r="V436" s="1"/>
  <c r="U449"/>
  <c r="V449" s="1"/>
  <c r="U466"/>
  <c r="V466" s="1"/>
  <c r="U468"/>
  <c r="V468" s="1"/>
  <c r="U481"/>
  <c r="V481" s="1"/>
  <c r="U482"/>
  <c r="V482" s="1"/>
  <c r="U491"/>
  <c r="V491" s="1"/>
  <c r="U496"/>
  <c r="V496" s="1"/>
  <c r="U501"/>
  <c r="V501" s="1"/>
  <c r="U160"/>
  <c r="V160" s="1"/>
  <c r="U265"/>
  <c r="V265" s="1"/>
  <c r="U310"/>
  <c r="V310" s="1"/>
  <c r="U437"/>
  <c r="V437" s="1"/>
  <c r="U454"/>
  <c r="V454" s="1"/>
  <c r="U478"/>
  <c r="V478" s="1"/>
  <c r="U509"/>
  <c r="V509" s="1"/>
  <c r="U524"/>
  <c r="V524" s="1"/>
  <c r="U529"/>
  <c r="V529" s="1"/>
  <c r="U540"/>
  <c r="V540" s="1"/>
  <c r="U544"/>
  <c r="V544" s="1"/>
  <c r="U546"/>
  <c r="V546" s="1"/>
  <c r="U220"/>
  <c r="V220" s="1"/>
  <c r="U248"/>
  <c r="V248" s="1"/>
  <c r="U271"/>
  <c r="V271" s="1"/>
  <c r="U333"/>
  <c r="V333" s="1"/>
  <c r="U405"/>
  <c r="V405" s="1"/>
  <c r="U422"/>
  <c r="V422" s="1"/>
  <c r="U439"/>
  <c r="V439" s="1"/>
  <c r="U456"/>
  <c r="V456" s="1"/>
  <c r="U480"/>
  <c r="V480" s="1"/>
  <c r="U490"/>
  <c r="V490" s="1"/>
  <c r="U495"/>
  <c r="V495" s="1"/>
  <c r="U500"/>
  <c r="V500" s="1"/>
  <c r="U525"/>
  <c r="V525" s="1"/>
  <c r="U551"/>
  <c r="V551" s="1"/>
  <c r="U553"/>
  <c r="V553" s="1"/>
  <c r="U582"/>
  <c r="V582" s="1"/>
  <c r="U607"/>
  <c r="V607" s="1"/>
  <c r="U609"/>
  <c r="V609" s="1"/>
  <c r="U611"/>
  <c r="V611" s="1"/>
  <c r="U613"/>
  <c r="V613" s="1"/>
  <c r="U640"/>
  <c r="V640" s="1"/>
  <c r="U642"/>
  <c r="V642" s="1"/>
  <c r="U644"/>
  <c r="V644" s="1"/>
  <c r="U657"/>
  <c r="V657" s="1"/>
  <c r="U659"/>
  <c r="V659" s="1"/>
  <c r="U674"/>
  <c r="V674" s="1"/>
  <c r="U676"/>
  <c r="V676" s="1"/>
  <c r="U689"/>
  <c r="V689" s="1"/>
  <c r="U691"/>
  <c r="V691" s="1"/>
  <c r="U706"/>
  <c r="V706" s="1"/>
  <c r="U708"/>
  <c r="V708" s="1"/>
  <c r="U721"/>
  <c r="V721" s="1"/>
  <c r="U723"/>
  <c r="V723" s="1"/>
  <c r="U738"/>
  <c r="V738" s="1"/>
  <c r="U740"/>
  <c r="V740" s="1"/>
  <c r="U757"/>
  <c r="V757" s="1"/>
  <c r="U758"/>
  <c r="V758" s="1"/>
  <c r="U759"/>
  <c r="V759" s="1"/>
  <c r="U761"/>
  <c r="V761" s="1"/>
  <c r="U762"/>
  <c r="V762" s="1"/>
  <c r="U763"/>
  <c r="V763" s="1"/>
  <c r="U764"/>
  <c r="V764" s="1"/>
  <c r="U765"/>
  <c r="V765" s="1"/>
  <c r="U766"/>
  <c r="V766" s="1"/>
  <c r="U767"/>
  <c r="V767" s="1"/>
  <c r="U769"/>
  <c r="V769" s="1"/>
  <c r="U770"/>
  <c r="V770" s="1"/>
  <c r="U771"/>
  <c r="V771" s="1"/>
  <c r="U772"/>
  <c r="V772" s="1"/>
  <c r="U773"/>
  <c r="V773" s="1"/>
  <c r="U774"/>
  <c r="V774" s="1"/>
  <c r="U775"/>
  <c r="V775" s="1"/>
  <c r="U777"/>
  <c r="V777" s="1"/>
  <c r="U778"/>
  <c r="V778" s="1"/>
  <c r="U779"/>
  <c r="V779" s="1"/>
  <c r="U780"/>
  <c r="V780" s="1"/>
  <c r="U193"/>
  <c r="V193" s="1"/>
  <c r="U254"/>
  <c r="V254" s="1"/>
  <c r="U320"/>
  <c r="V320" s="1"/>
  <c r="U337"/>
  <c r="V337" s="1"/>
  <c r="U354"/>
  <c r="V354" s="1"/>
  <c r="U407"/>
  <c r="V407" s="1"/>
  <c r="U424"/>
  <c r="V424" s="1"/>
  <c r="U510"/>
  <c r="V510" s="1"/>
  <c r="U515"/>
  <c r="V515" s="1"/>
  <c r="U530"/>
  <c r="V530" s="1"/>
  <c r="U539"/>
  <c r="V539" s="1"/>
  <c r="U541"/>
  <c r="V541" s="1"/>
  <c r="U543"/>
  <c r="V543" s="1"/>
  <c r="U545"/>
  <c r="V545" s="1"/>
  <c r="U547"/>
  <c r="V547" s="1"/>
  <c r="U549"/>
  <c r="V549" s="1"/>
  <c r="U572"/>
  <c r="V572" s="1"/>
  <c r="U576"/>
  <c r="V576" s="1"/>
  <c r="U578"/>
  <c r="V578" s="1"/>
  <c r="U580"/>
  <c r="V580" s="1"/>
  <c r="U599"/>
  <c r="V599" s="1"/>
  <c r="U601"/>
  <c r="V601" s="1"/>
  <c r="U605"/>
  <c r="V605" s="1"/>
  <c r="U632"/>
  <c r="V632" s="1"/>
  <c r="U634"/>
  <c r="V634" s="1"/>
  <c r="U636"/>
  <c r="V636" s="1"/>
  <c r="U638"/>
  <c r="V638" s="1"/>
  <c r="U653"/>
  <c r="V653" s="1"/>
  <c r="U655"/>
  <c r="V655" s="1"/>
  <c r="U670"/>
  <c r="V670" s="1"/>
  <c r="U672"/>
  <c r="V672" s="1"/>
  <c r="U685"/>
  <c r="V685" s="1"/>
  <c r="U687"/>
  <c r="V687" s="1"/>
  <c r="U702"/>
  <c r="V702" s="1"/>
  <c r="U704"/>
  <c r="V704" s="1"/>
  <c r="U717"/>
  <c r="V717" s="1"/>
  <c r="U719"/>
  <c r="V719" s="1"/>
  <c r="U734"/>
  <c r="V734" s="1"/>
  <c r="U736"/>
  <c r="V736" s="1"/>
  <c r="U756"/>
  <c r="V756" s="1"/>
  <c r="U760"/>
  <c r="V760" s="1"/>
  <c r="U768"/>
  <c r="V768" s="1"/>
  <c r="U776"/>
  <c r="V776" s="1"/>
  <c r="U550"/>
  <c r="V550" s="1"/>
  <c r="U571"/>
  <c r="V571" s="1"/>
  <c r="U575"/>
  <c r="V575" s="1"/>
  <c r="U579"/>
  <c r="V579" s="1"/>
  <c r="U600"/>
  <c r="V600" s="1"/>
  <c r="U604"/>
  <c r="V604" s="1"/>
  <c r="U633"/>
  <c r="V633" s="1"/>
  <c r="U637"/>
  <c r="V637" s="1"/>
  <c r="U654"/>
  <c r="V654" s="1"/>
  <c r="U671"/>
  <c r="V671" s="1"/>
  <c r="U688"/>
  <c r="V688" s="1"/>
  <c r="U701"/>
  <c r="V701" s="1"/>
  <c r="U718"/>
  <c r="V718" s="1"/>
  <c r="U735"/>
  <c r="V735" s="1"/>
  <c r="U837"/>
  <c r="V837" s="1"/>
  <c r="U838"/>
  <c r="V838" s="1"/>
  <c r="U852"/>
  <c r="V852" s="1"/>
  <c r="U853"/>
  <c r="V853" s="1"/>
  <c r="U854"/>
  <c r="V854" s="1"/>
  <c r="U855"/>
  <c r="V855" s="1"/>
  <c r="U868"/>
  <c r="V868" s="1"/>
  <c r="U869"/>
  <c r="V869" s="1"/>
  <c r="U870"/>
  <c r="V870" s="1"/>
  <c r="U871"/>
  <c r="V871" s="1"/>
  <c r="U884"/>
  <c r="V884" s="1"/>
  <c r="U885"/>
  <c r="V885" s="1"/>
  <c r="U886"/>
  <c r="V886" s="1"/>
  <c r="U887"/>
  <c r="V887" s="1"/>
  <c r="U900"/>
  <c r="V900" s="1"/>
  <c r="U901"/>
  <c r="V901" s="1"/>
  <c r="U902"/>
  <c r="V902" s="1"/>
  <c r="U903"/>
  <c r="V903" s="1"/>
  <c r="U916"/>
  <c r="V916" s="1"/>
  <c r="U917"/>
  <c r="V917" s="1"/>
  <c r="U918"/>
  <c r="V918" s="1"/>
  <c r="U919"/>
  <c r="V919" s="1"/>
  <c r="U932"/>
  <c r="V932" s="1"/>
  <c r="U933"/>
  <c r="V933" s="1"/>
  <c r="U934"/>
  <c r="V934" s="1"/>
  <c r="U935"/>
  <c r="V935" s="1"/>
  <c r="U948"/>
  <c r="V948" s="1"/>
  <c r="U949"/>
  <c r="V949" s="1"/>
  <c r="U950"/>
  <c r="V950" s="1"/>
  <c r="U951"/>
  <c r="V951" s="1"/>
  <c r="U964"/>
  <c r="V964" s="1"/>
  <c r="U965"/>
  <c r="V965" s="1"/>
  <c r="U966"/>
  <c r="V966" s="1"/>
  <c r="U967"/>
  <c r="V967" s="1"/>
  <c r="U980"/>
  <c r="V980" s="1"/>
  <c r="U981"/>
  <c r="V981" s="1"/>
  <c r="U982"/>
  <c r="V982" s="1"/>
  <c r="U983"/>
  <c r="V983" s="1"/>
  <c r="U997"/>
  <c r="V997" s="1"/>
  <c r="U998"/>
  <c r="V998" s="1"/>
  <c r="U999"/>
  <c r="V999" s="1"/>
  <c r="U1000"/>
  <c r="V1000" s="1"/>
  <c r="U282"/>
  <c r="V282" s="1"/>
  <c r="U511"/>
  <c r="V511" s="1"/>
  <c r="U531"/>
  <c r="V531" s="1"/>
  <c r="U552"/>
  <c r="V552" s="1"/>
  <c r="U610"/>
  <c r="V610" s="1"/>
  <c r="U614"/>
  <c r="V614" s="1"/>
  <c r="U639"/>
  <c r="V639" s="1"/>
  <c r="U643"/>
  <c r="V643" s="1"/>
  <c r="U660"/>
  <c r="V660" s="1"/>
  <c r="U673"/>
  <c r="V673" s="1"/>
  <c r="U690"/>
  <c r="V690" s="1"/>
  <c r="U707"/>
  <c r="V707" s="1"/>
  <c r="U724"/>
  <c r="V724" s="1"/>
  <c r="U737"/>
  <c r="V737" s="1"/>
  <c r="U833"/>
  <c r="V833" s="1"/>
  <c r="U834"/>
  <c r="V834" s="1"/>
  <c r="U835"/>
  <c r="V835" s="1"/>
  <c r="U836"/>
  <c r="V836" s="1"/>
  <c r="U848"/>
  <c r="V848" s="1"/>
  <c r="U849"/>
  <c r="V849" s="1"/>
  <c r="U850"/>
  <c r="V850" s="1"/>
  <c r="U851"/>
  <c r="V851" s="1"/>
  <c r="U864"/>
  <c r="V864" s="1"/>
  <c r="U865"/>
  <c r="V865" s="1"/>
  <c r="U866"/>
  <c r="V866" s="1"/>
  <c r="U867"/>
  <c r="V867" s="1"/>
  <c r="U880"/>
  <c r="V880" s="1"/>
  <c r="U881"/>
  <c r="V881" s="1"/>
  <c r="U882"/>
  <c r="V882" s="1"/>
  <c r="U883"/>
  <c r="V883" s="1"/>
  <c r="U896"/>
  <c r="V896" s="1"/>
  <c r="U897"/>
  <c r="V897" s="1"/>
  <c r="U898"/>
  <c r="V898" s="1"/>
  <c r="U899"/>
  <c r="V899" s="1"/>
  <c r="U912"/>
  <c r="V912" s="1"/>
  <c r="U913"/>
  <c r="V913" s="1"/>
  <c r="U914"/>
  <c r="V914" s="1"/>
  <c r="U915"/>
  <c r="V915" s="1"/>
  <c r="U928"/>
  <c r="V928" s="1"/>
  <c r="U929"/>
  <c r="V929" s="1"/>
  <c r="U930"/>
  <c r="V930" s="1"/>
  <c r="U931"/>
  <c r="V931" s="1"/>
  <c r="U944"/>
  <c r="V944" s="1"/>
  <c r="U945"/>
  <c r="V945" s="1"/>
  <c r="U946"/>
  <c r="V946" s="1"/>
  <c r="U947"/>
  <c r="V947" s="1"/>
  <c r="U960"/>
  <c r="V960" s="1"/>
  <c r="U961"/>
  <c r="V961" s="1"/>
  <c r="U962"/>
  <c r="V962" s="1"/>
  <c r="U963"/>
  <c r="V963" s="1"/>
  <c r="U976"/>
  <c r="V976" s="1"/>
  <c r="U977"/>
  <c r="V977" s="1"/>
  <c r="U978"/>
  <c r="V978" s="1"/>
  <c r="U979"/>
  <c r="V979" s="1"/>
  <c r="U1001"/>
  <c r="V1001" s="1"/>
  <c r="U1002"/>
  <c r="V1002" s="1"/>
  <c r="U1003"/>
  <c r="V1003" s="1"/>
  <c r="U1004"/>
  <c r="V1004" s="1"/>
  <c r="U202"/>
  <c r="V202" s="1"/>
  <c r="U376"/>
  <c r="V376" s="1"/>
  <c r="U548"/>
  <c r="V548" s="1"/>
  <c r="U573"/>
  <c r="V573" s="1"/>
  <c r="U577"/>
  <c r="V577" s="1"/>
  <c r="U581"/>
  <c r="V581" s="1"/>
  <c r="U602"/>
  <c r="V602" s="1"/>
  <c r="U606"/>
  <c r="V606" s="1"/>
  <c r="U631"/>
  <c r="V631" s="1"/>
  <c r="U635"/>
  <c r="V635" s="1"/>
  <c r="U656"/>
  <c r="V656" s="1"/>
  <c r="U669"/>
  <c r="V669" s="1"/>
  <c r="U686"/>
  <c r="V686" s="1"/>
  <c r="U703"/>
  <c r="V703" s="1"/>
  <c r="U720"/>
  <c r="V720" s="1"/>
  <c r="U733"/>
  <c r="V733" s="1"/>
  <c r="U782"/>
  <c r="V782" s="1"/>
  <c r="U783"/>
  <c r="V783" s="1"/>
  <c r="U785"/>
  <c r="V785" s="1"/>
  <c r="U786"/>
  <c r="V786" s="1"/>
  <c r="U787"/>
  <c r="V787" s="1"/>
  <c r="U788"/>
  <c r="V788" s="1"/>
  <c r="U789"/>
  <c r="V789" s="1"/>
  <c r="U790"/>
  <c r="V790" s="1"/>
  <c r="U791"/>
  <c r="V791" s="1"/>
  <c r="U793"/>
  <c r="V793" s="1"/>
  <c r="U794"/>
  <c r="V794" s="1"/>
  <c r="U795"/>
  <c r="V795" s="1"/>
  <c r="U796"/>
  <c r="V796" s="1"/>
  <c r="U797"/>
  <c r="V797" s="1"/>
  <c r="U798"/>
  <c r="V798" s="1"/>
  <c r="U799"/>
  <c r="V799" s="1"/>
  <c r="U801"/>
  <c r="V801" s="1"/>
  <c r="U802"/>
  <c r="V802" s="1"/>
  <c r="U803"/>
  <c r="V803" s="1"/>
  <c r="U804"/>
  <c r="V804" s="1"/>
  <c r="U805"/>
  <c r="V805" s="1"/>
  <c r="U806"/>
  <c r="V806" s="1"/>
  <c r="U807"/>
  <c r="V807" s="1"/>
  <c r="U809"/>
  <c r="V809" s="1"/>
  <c r="U810"/>
  <c r="V810" s="1"/>
  <c r="U811"/>
  <c r="V811" s="1"/>
  <c r="U812"/>
  <c r="V812" s="1"/>
  <c r="U813"/>
  <c r="V813" s="1"/>
  <c r="U814"/>
  <c r="V814" s="1"/>
  <c r="U815"/>
  <c r="V815" s="1"/>
  <c r="U817"/>
  <c r="V817" s="1"/>
  <c r="U818"/>
  <c r="V818" s="1"/>
  <c r="U819"/>
  <c r="V819" s="1"/>
  <c r="U820"/>
  <c r="V820" s="1"/>
  <c r="U821"/>
  <c r="V821" s="1"/>
  <c r="U822"/>
  <c r="V822" s="1"/>
  <c r="U823"/>
  <c r="V823" s="1"/>
  <c r="U825"/>
  <c r="V825" s="1"/>
  <c r="U826"/>
  <c r="V826" s="1"/>
  <c r="U827"/>
  <c r="V827" s="1"/>
  <c r="U828"/>
  <c r="V828" s="1"/>
  <c r="U829"/>
  <c r="V829" s="1"/>
  <c r="U830"/>
  <c r="V830" s="1"/>
  <c r="U831"/>
  <c r="V831" s="1"/>
  <c r="U832"/>
  <c r="V832" s="1"/>
  <c r="U841"/>
  <c r="V841" s="1"/>
  <c r="U844"/>
  <c r="V844" s="1"/>
  <c r="U845"/>
  <c r="V845" s="1"/>
  <c r="U846"/>
  <c r="V846" s="1"/>
  <c r="U847"/>
  <c r="V847" s="1"/>
  <c r="U860"/>
  <c r="V860" s="1"/>
  <c r="U861"/>
  <c r="V861" s="1"/>
  <c r="U862"/>
  <c r="V862" s="1"/>
  <c r="U863"/>
  <c r="V863" s="1"/>
  <c r="U876"/>
  <c r="V876" s="1"/>
  <c r="U877"/>
  <c r="V877" s="1"/>
  <c r="U878"/>
  <c r="V878" s="1"/>
  <c r="U879"/>
  <c r="V879" s="1"/>
  <c r="U892"/>
  <c r="V892" s="1"/>
  <c r="U893"/>
  <c r="V893" s="1"/>
  <c r="U894"/>
  <c r="V894" s="1"/>
  <c r="U895"/>
  <c r="V895" s="1"/>
  <c r="U908"/>
  <c r="V908" s="1"/>
  <c r="U909"/>
  <c r="V909" s="1"/>
  <c r="U910"/>
  <c r="V910" s="1"/>
  <c r="U911"/>
  <c r="V911" s="1"/>
  <c r="U924"/>
  <c r="V924" s="1"/>
  <c r="U925"/>
  <c r="V925" s="1"/>
  <c r="U926"/>
  <c r="V926" s="1"/>
  <c r="U927"/>
  <c r="V927" s="1"/>
  <c r="U940"/>
  <c r="V940" s="1"/>
  <c r="U941"/>
  <c r="V941" s="1"/>
  <c r="U942"/>
  <c r="V942" s="1"/>
  <c r="U943"/>
  <c r="V943" s="1"/>
  <c r="U956"/>
  <c r="V956" s="1"/>
  <c r="U957"/>
  <c r="V957" s="1"/>
  <c r="U958"/>
  <c r="V958" s="1"/>
  <c r="U959"/>
  <c r="V959" s="1"/>
  <c r="U972"/>
  <c r="V972" s="1"/>
  <c r="U973"/>
  <c r="V973" s="1"/>
  <c r="U974"/>
  <c r="V974" s="1"/>
  <c r="U975"/>
  <c r="V975" s="1"/>
  <c r="U988"/>
  <c r="V988" s="1"/>
  <c r="U989"/>
  <c r="V989" s="1"/>
  <c r="U990"/>
  <c r="V990" s="1"/>
  <c r="U991"/>
  <c r="V991" s="1"/>
  <c r="U992"/>
  <c r="V992" s="1"/>
  <c r="U1005"/>
  <c r="V1005" s="1"/>
  <c r="U1006"/>
  <c r="V1006" s="1"/>
  <c r="U1007"/>
  <c r="V1007" s="1"/>
  <c r="U1008"/>
  <c r="V1008" s="1"/>
  <c r="U1021"/>
  <c r="V1021" s="1"/>
  <c r="U1022"/>
  <c r="V1022" s="1"/>
  <c r="U1023"/>
  <c r="V1023" s="1"/>
  <c r="U1024"/>
  <c r="V1024" s="1"/>
  <c r="U1037"/>
  <c r="V1037" s="1"/>
  <c r="U1038"/>
  <c r="V1038" s="1"/>
  <c r="U1039"/>
  <c r="V1039" s="1"/>
  <c r="U1040"/>
  <c r="V1040" s="1"/>
  <c r="U1053"/>
  <c r="V1053" s="1"/>
  <c r="U1054"/>
  <c r="V1054" s="1"/>
  <c r="U516"/>
  <c r="V516" s="1"/>
  <c r="U840"/>
  <c r="V840" s="1"/>
  <c r="U857"/>
  <c r="V857" s="1"/>
  <c r="U874"/>
  <c r="V874" s="1"/>
  <c r="U904"/>
  <c r="V904" s="1"/>
  <c r="U921"/>
  <c r="V921" s="1"/>
  <c r="U938"/>
  <c r="V938" s="1"/>
  <c r="U955"/>
  <c r="V955" s="1"/>
  <c r="U968"/>
  <c r="V968" s="1"/>
  <c r="U985"/>
  <c r="V985" s="1"/>
  <c r="U993"/>
  <c r="V993" s="1"/>
  <c r="U1012"/>
  <c r="V1012" s="1"/>
  <c r="U1013"/>
  <c r="V1013" s="1"/>
  <c r="U1018"/>
  <c r="V1018" s="1"/>
  <c r="U1027"/>
  <c r="V1027" s="1"/>
  <c r="U1032"/>
  <c r="V1032" s="1"/>
  <c r="U1033"/>
  <c r="V1033" s="1"/>
  <c r="U1042"/>
  <c r="V1042" s="1"/>
  <c r="U1047"/>
  <c r="V1047" s="1"/>
  <c r="U1061"/>
  <c r="V1061" s="1"/>
  <c r="U1062"/>
  <c r="V1062" s="1"/>
  <c r="U1063"/>
  <c r="V1063" s="1"/>
  <c r="U1064"/>
  <c r="V1064" s="1"/>
  <c r="U1066"/>
  <c r="V1066" s="1"/>
  <c r="U1067"/>
  <c r="V1067" s="1"/>
  <c r="U1068"/>
  <c r="V1068" s="1"/>
  <c r="U1069"/>
  <c r="V1069" s="1"/>
  <c r="U1070"/>
  <c r="V1070" s="1"/>
  <c r="U1071"/>
  <c r="V1071" s="1"/>
  <c r="U1072"/>
  <c r="V1072" s="1"/>
  <c r="U1074"/>
  <c r="V1074" s="1"/>
  <c r="U1075"/>
  <c r="V1075" s="1"/>
  <c r="U1076"/>
  <c r="V1076" s="1"/>
  <c r="U1077"/>
  <c r="V1077" s="1"/>
  <c r="U1078"/>
  <c r="V1078" s="1"/>
  <c r="U1079"/>
  <c r="V1079" s="1"/>
  <c r="U1080"/>
  <c r="V1080" s="1"/>
  <c r="U1082"/>
  <c r="V1082" s="1"/>
  <c r="U1083"/>
  <c r="V1083" s="1"/>
  <c r="U1092"/>
  <c r="V1092" s="1"/>
  <c r="U1093"/>
  <c r="V1093" s="1"/>
  <c r="U1102"/>
  <c r="V1102" s="1"/>
  <c r="U1103"/>
  <c r="V1103" s="1"/>
  <c r="U1104"/>
  <c r="V1104" s="1"/>
  <c r="U1105"/>
  <c r="V1105" s="1"/>
  <c r="U1114"/>
  <c r="V1114" s="1"/>
  <c r="U1115"/>
  <c r="V1115" s="1"/>
  <c r="U1124"/>
  <c r="V1124" s="1"/>
  <c r="U1125"/>
  <c r="V1125" s="1"/>
  <c r="U1134"/>
  <c r="V1134" s="1"/>
  <c r="U1135"/>
  <c r="V1135" s="1"/>
  <c r="U1136"/>
  <c r="V1136" s="1"/>
  <c r="U1137"/>
  <c r="V1137" s="1"/>
  <c r="U1146"/>
  <c r="V1146" s="1"/>
  <c r="U1147"/>
  <c r="V1147" s="1"/>
  <c r="U1148"/>
  <c r="V1148" s="1"/>
  <c r="U1149"/>
  <c r="V1149" s="1"/>
  <c r="U1162"/>
  <c r="V1162" s="1"/>
  <c r="U1163"/>
  <c r="V1163" s="1"/>
  <c r="U1164"/>
  <c r="V1164" s="1"/>
  <c r="U1165"/>
  <c r="V1165" s="1"/>
  <c r="U1178"/>
  <c r="V1178" s="1"/>
  <c r="U1179"/>
  <c r="V1179" s="1"/>
  <c r="U1180"/>
  <c r="V1180" s="1"/>
  <c r="U1181"/>
  <c r="V1181" s="1"/>
  <c r="U1194"/>
  <c r="V1194" s="1"/>
  <c r="U1195"/>
  <c r="V1195" s="1"/>
  <c r="U1196"/>
  <c r="V1196" s="1"/>
  <c r="U1197"/>
  <c r="V1197" s="1"/>
  <c r="U1210"/>
  <c r="V1210" s="1"/>
  <c r="U1211"/>
  <c r="V1211" s="1"/>
  <c r="U1212"/>
  <c r="V1212" s="1"/>
  <c r="U1213"/>
  <c r="V1213" s="1"/>
  <c r="U1226"/>
  <c r="V1226" s="1"/>
  <c r="U1227"/>
  <c r="V1227" s="1"/>
  <c r="U1228"/>
  <c r="V1228" s="1"/>
  <c r="U1229"/>
  <c r="V1229" s="1"/>
  <c r="U1242"/>
  <c r="V1242" s="1"/>
  <c r="U1243"/>
  <c r="V1243" s="1"/>
  <c r="U1244"/>
  <c r="V1244" s="1"/>
  <c r="U1245"/>
  <c r="V1245" s="1"/>
  <c r="U1254"/>
  <c r="V1254" s="1"/>
  <c r="U1255"/>
  <c r="V1255" s="1"/>
  <c r="U1256"/>
  <c r="V1256" s="1"/>
  <c r="U1257"/>
  <c r="V1257" s="1"/>
  <c r="U1258"/>
  <c r="V1258" s="1"/>
  <c r="U1259"/>
  <c r="V1259" s="1"/>
  <c r="U1260"/>
  <c r="V1260" s="1"/>
  <c r="U1261"/>
  <c r="V1261" s="1"/>
  <c r="U1262"/>
  <c r="V1262" s="1"/>
  <c r="U1263"/>
  <c r="V1263" s="1"/>
  <c r="U1265"/>
  <c r="V1265" s="1"/>
  <c r="U1266"/>
  <c r="V1266" s="1"/>
  <c r="U1267"/>
  <c r="V1267" s="1"/>
  <c r="U1268"/>
  <c r="V1268" s="1"/>
  <c r="U1269"/>
  <c r="V1269" s="1"/>
  <c r="U1270"/>
  <c r="V1270" s="1"/>
  <c r="U1271"/>
  <c r="V1271" s="1"/>
  <c r="U1272"/>
  <c r="V1272" s="1"/>
  <c r="U1273"/>
  <c r="V1273" s="1"/>
  <c r="U1274"/>
  <c r="V1274" s="1"/>
  <c r="U1275"/>
  <c r="V1275" s="1"/>
  <c r="U1276"/>
  <c r="V1276" s="1"/>
  <c r="U1277"/>
  <c r="V1277" s="1"/>
  <c r="U1278"/>
  <c r="V1278" s="1"/>
  <c r="U1279"/>
  <c r="V1279" s="1"/>
  <c r="U1280"/>
  <c r="V1280" s="1"/>
  <c r="U1281"/>
  <c r="V1281" s="1"/>
  <c r="U1282"/>
  <c r="V1282" s="1"/>
  <c r="U1283"/>
  <c r="V1283" s="1"/>
  <c r="U1284"/>
  <c r="V1284" s="1"/>
  <c r="U1285"/>
  <c r="V1285" s="1"/>
  <c r="U1286"/>
  <c r="V1286" s="1"/>
  <c r="U1287"/>
  <c r="V1287" s="1"/>
  <c r="U1288"/>
  <c r="V1288" s="1"/>
  <c r="U1289"/>
  <c r="V1289" s="1"/>
  <c r="U1290"/>
  <c r="V1290" s="1"/>
  <c r="U1291"/>
  <c r="V1291" s="1"/>
  <c r="U1292"/>
  <c r="V1292" s="1"/>
  <c r="U1293"/>
  <c r="V1293" s="1"/>
  <c r="U1294"/>
  <c r="V1294" s="1"/>
  <c r="U1295"/>
  <c r="V1295" s="1"/>
  <c r="U1296"/>
  <c r="V1296" s="1"/>
  <c r="U1297"/>
  <c r="V1297" s="1"/>
  <c r="U526"/>
  <c r="V526" s="1"/>
  <c r="U554"/>
  <c r="V554" s="1"/>
  <c r="U705"/>
  <c r="V705" s="1"/>
  <c r="U722"/>
  <c r="V722" s="1"/>
  <c r="U739"/>
  <c r="V739" s="1"/>
  <c r="U755"/>
  <c r="V755" s="1"/>
  <c r="U784"/>
  <c r="V784" s="1"/>
  <c r="U792"/>
  <c r="V792" s="1"/>
  <c r="U800"/>
  <c r="V800" s="1"/>
  <c r="U808"/>
  <c r="V808" s="1"/>
  <c r="U816"/>
  <c r="V816" s="1"/>
  <c r="U824"/>
  <c r="V824" s="1"/>
  <c r="U858"/>
  <c r="V858" s="1"/>
  <c r="U875"/>
  <c r="V875" s="1"/>
  <c r="U888"/>
  <c r="V888" s="1"/>
  <c r="U905"/>
  <c r="V905" s="1"/>
  <c r="U922"/>
  <c r="V922" s="1"/>
  <c r="U939"/>
  <c r="V939" s="1"/>
  <c r="U952"/>
  <c r="V952" s="1"/>
  <c r="U969"/>
  <c r="V969" s="1"/>
  <c r="U986"/>
  <c r="V986" s="1"/>
  <c r="U994"/>
  <c r="V994" s="1"/>
  <c r="U1011"/>
  <c r="V1011" s="1"/>
  <c r="U1016"/>
  <c r="V1016" s="1"/>
  <c r="U1017"/>
  <c r="V1017" s="1"/>
  <c r="U1026"/>
  <c r="V1026" s="1"/>
  <c r="U1031"/>
  <c r="V1031" s="1"/>
  <c r="U1036"/>
  <c r="V1036" s="1"/>
  <c r="U1041"/>
  <c r="V1041" s="1"/>
  <c r="U1046"/>
  <c r="V1046" s="1"/>
  <c r="U1051"/>
  <c r="V1051" s="1"/>
  <c r="U1065"/>
  <c r="V1065" s="1"/>
  <c r="U1073"/>
  <c r="V1073" s="1"/>
  <c r="U1081"/>
  <c r="V1081" s="1"/>
  <c r="U1090"/>
  <c r="V1090" s="1"/>
  <c r="U1091"/>
  <c r="V1091" s="1"/>
  <c r="U1100"/>
  <c r="V1100" s="1"/>
  <c r="U1101"/>
  <c r="V1101" s="1"/>
  <c r="U1110"/>
  <c r="V1110" s="1"/>
  <c r="U1111"/>
  <c r="V1111" s="1"/>
  <c r="U1112"/>
  <c r="V1112" s="1"/>
  <c r="U1113"/>
  <c r="V1113" s="1"/>
  <c r="U1122"/>
  <c r="V1122" s="1"/>
  <c r="U1123"/>
  <c r="V1123" s="1"/>
  <c r="U1132"/>
  <c r="V1132" s="1"/>
  <c r="U1133"/>
  <c r="V1133" s="1"/>
  <c r="U1142"/>
  <c r="V1142" s="1"/>
  <c r="U1143"/>
  <c r="V1143" s="1"/>
  <c r="U1144"/>
  <c r="V1144" s="1"/>
  <c r="U1145"/>
  <c r="V1145" s="1"/>
  <c r="U1158"/>
  <c r="V1158" s="1"/>
  <c r="U1159"/>
  <c r="V1159" s="1"/>
  <c r="U1160"/>
  <c r="V1160" s="1"/>
  <c r="U1161"/>
  <c r="V1161" s="1"/>
  <c r="U1174"/>
  <c r="V1174" s="1"/>
  <c r="U1175"/>
  <c r="V1175" s="1"/>
  <c r="U1176"/>
  <c r="V1176" s="1"/>
  <c r="U1177"/>
  <c r="V1177" s="1"/>
  <c r="U1190"/>
  <c r="V1190" s="1"/>
  <c r="U1191"/>
  <c r="V1191" s="1"/>
  <c r="U1192"/>
  <c r="V1192" s="1"/>
  <c r="U1193"/>
  <c r="V1193" s="1"/>
  <c r="U1206"/>
  <c r="V1206" s="1"/>
  <c r="U1207"/>
  <c r="V1207" s="1"/>
  <c r="U1208"/>
  <c r="V1208" s="1"/>
  <c r="U1209"/>
  <c r="V1209" s="1"/>
  <c r="U1222"/>
  <c r="V1222" s="1"/>
  <c r="U1223"/>
  <c r="V1223" s="1"/>
  <c r="U1224"/>
  <c r="V1224" s="1"/>
  <c r="U1225"/>
  <c r="V1225" s="1"/>
  <c r="U1238"/>
  <c r="V1238" s="1"/>
  <c r="U1239"/>
  <c r="V1239" s="1"/>
  <c r="U1240"/>
  <c r="V1240" s="1"/>
  <c r="U1241"/>
  <c r="V1241" s="1"/>
  <c r="U1252"/>
  <c r="V1252" s="1"/>
  <c r="U1253"/>
  <c r="V1253" s="1"/>
  <c r="U558"/>
  <c r="V558" s="1"/>
  <c r="U608"/>
  <c r="V608" s="1"/>
  <c r="U641"/>
  <c r="V641" s="1"/>
  <c r="U658"/>
  <c r="V658" s="1"/>
  <c r="U675"/>
  <c r="V675" s="1"/>
  <c r="U692"/>
  <c r="V692" s="1"/>
  <c r="U781"/>
  <c r="V781" s="1"/>
  <c r="U842"/>
  <c r="V842" s="1"/>
  <c r="U859"/>
  <c r="V859" s="1"/>
  <c r="U872"/>
  <c r="V872" s="1"/>
  <c r="U889"/>
  <c r="V889" s="1"/>
  <c r="U906"/>
  <c r="V906" s="1"/>
  <c r="U923"/>
  <c r="V923" s="1"/>
  <c r="U936"/>
  <c r="V936" s="1"/>
  <c r="U953"/>
  <c r="V953" s="1"/>
  <c r="U970"/>
  <c r="V970" s="1"/>
  <c r="U987"/>
  <c r="V987" s="1"/>
  <c r="U995"/>
  <c r="V995" s="1"/>
  <c r="U1010"/>
  <c r="V1010" s="1"/>
  <c r="U1015"/>
  <c r="V1015" s="1"/>
  <c r="U1020"/>
  <c r="V1020" s="1"/>
  <c r="U1025"/>
  <c r="V1025" s="1"/>
  <c r="U1030"/>
  <c r="V1030" s="1"/>
  <c r="U1035"/>
  <c r="V1035" s="1"/>
  <c r="U1044"/>
  <c r="V1044" s="1"/>
  <c r="U1045"/>
  <c r="V1045" s="1"/>
  <c r="U1050"/>
  <c r="V1050" s="1"/>
  <c r="U1055"/>
  <c r="V1055" s="1"/>
  <c r="U1056"/>
  <c r="V1056" s="1"/>
  <c r="U1086"/>
  <c r="V1086" s="1"/>
  <c r="U1087"/>
  <c r="V1087" s="1"/>
  <c r="U1088"/>
  <c r="V1088" s="1"/>
  <c r="U1089"/>
  <c r="V1089" s="1"/>
  <c r="U1098"/>
  <c r="V1098" s="1"/>
  <c r="U1099"/>
  <c r="V1099" s="1"/>
  <c r="U1108"/>
  <c r="V1108" s="1"/>
  <c r="U1109"/>
  <c r="V1109" s="1"/>
  <c r="U1118"/>
  <c r="V1118" s="1"/>
  <c r="U920"/>
  <c r="V920" s="1"/>
  <c r="U937"/>
  <c r="V937" s="1"/>
  <c r="U954"/>
  <c r="V954" s="1"/>
  <c r="U971"/>
  <c r="V971" s="1"/>
  <c r="U1060"/>
  <c r="V1060" s="1"/>
  <c r="U1084"/>
  <c r="V1084" s="1"/>
  <c r="U1097"/>
  <c r="V1097" s="1"/>
  <c r="U1106"/>
  <c r="V1106" s="1"/>
  <c r="U1119"/>
  <c r="V1119" s="1"/>
  <c r="U1121"/>
  <c r="V1121" s="1"/>
  <c r="U1130"/>
  <c r="V1130" s="1"/>
  <c r="U1141"/>
  <c r="V1141" s="1"/>
  <c r="U1154"/>
  <c r="V1154" s="1"/>
  <c r="U1156"/>
  <c r="V1156" s="1"/>
  <c r="U1171"/>
  <c r="V1171" s="1"/>
  <c r="U1173"/>
  <c r="V1173" s="1"/>
  <c r="U1186"/>
  <c r="V1186" s="1"/>
  <c r="U1188"/>
  <c r="V1188" s="1"/>
  <c r="U1203"/>
  <c r="V1203" s="1"/>
  <c r="U1205"/>
  <c r="V1205" s="1"/>
  <c r="U1218"/>
  <c r="V1218" s="1"/>
  <c r="U1220"/>
  <c r="V1220" s="1"/>
  <c r="U1235"/>
  <c r="V1235" s="1"/>
  <c r="U1237"/>
  <c r="V1237" s="1"/>
  <c r="U1250"/>
  <c r="V1250" s="1"/>
  <c r="U1301"/>
  <c r="V1301" s="1"/>
  <c r="U1305"/>
  <c r="V1305" s="1"/>
  <c r="U1309"/>
  <c r="V1309" s="1"/>
  <c r="U1313"/>
  <c r="V1313" s="1"/>
  <c r="U1317"/>
  <c r="V1317" s="1"/>
  <c r="U1321"/>
  <c r="V1321" s="1"/>
  <c r="U1325"/>
  <c r="V1325" s="1"/>
  <c r="U1329"/>
  <c r="V1329" s="1"/>
  <c r="U1333"/>
  <c r="V1333" s="1"/>
  <c r="U1337"/>
  <c r="V1337" s="1"/>
  <c r="U1341"/>
  <c r="V1341" s="1"/>
  <c r="U1345"/>
  <c r="V1345" s="1"/>
  <c r="U1349"/>
  <c r="V1349" s="1"/>
  <c r="U1353"/>
  <c r="V1353" s="1"/>
  <c r="U1357"/>
  <c r="V1357" s="1"/>
  <c r="U1361"/>
  <c r="V1361" s="1"/>
  <c r="U1365"/>
  <c r="V1365" s="1"/>
  <c r="U1369"/>
  <c r="V1369" s="1"/>
  <c r="U1373"/>
  <c r="V1373" s="1"/>
  <c r="U1377"/>
  <c r="V1377" s="1"/>
  <c r="U1381"/>
  <c r="V1381" s="1"/>
  <c r="U1385"/>
  <c r="V1385" s="1"/>
  <c r="U1389"/>
  <c r="V1389" s="1"/>
  <c r="U1393"/>
  <c r="V1393" s="1"/>
  <c r="U1397"/>
  <c r="V1397" s="1"/>
  <c r="U1401"/>
  <c r="V1401" s="1"/>
  <c r="U1405"/>
  <c r="V1405" s="1"/>
  <c r="U1409"/>
  <c r="V1409" s="1"/>
  <c r="U1413"/>
  <c r="V1413" s="1"/>
  <c r="U1417"/>
  <c r="V1417" s="1"/>
  <c r="U1421"/>
  <c r="V1421" s="1"/>
  <c r="U1425"/>
  <c r="V1425" s="1"/>
  <c r="U1429"/>
  <c r="V1429" s="1"/>
  <c r="U1433"/>
  <c r="V1433" s="1"/>
  <c r="U1437"/>
  <c r="V1437" s="1"/>
  <c r="U1648"/>
  <c r="V1648" s="1"/>
  <c r="U1649"/>
  <c r="V1649" s="1"/>
  <c r="U1650"/>
  <c r="V1650" s="1"/>
  <c r="U1651"/>
  <c r="V1651" s="1"/>
  <c r="U1660"/>
  <c r="V1660" s="1"/>
  <c r="U1661"/>
  <c r="V1661" s="1"/>
  <c r="U1668"/>
  <c r="V1668" s="1"/>
  <c r="U1669"/>
  <c r="V1669" s="1"/>
  <c r="U1680"/>
  <c r="V1680" s="1"/>
  <c r="U1681"/>
  <c r="V1681" s="1"/>
  <c r="U1688"/>
  <c r="V1688" s="1"/>
  <c r="U1689"/>
  <c r="V1689" s="1"/>
  <c r="U1690"/>
  <c r="V1690" s="1"/>
  <c r="U1691"/>
  <c r="V1691" s="1"/>
  <c r="U1700"/>
  <c r="V1700" s="1"/>
  <c r="U1701"/>
  <c r="V1701" s="1"/>
  <c r="U1712"/>
  <c r="V1712" s="1"/>
  <c r="U1713"/>
  <c r="V1713" s="1"/>
  <c r="U1720"/>
  <c r="V1720" s="1"/>
  <c r="U1721"/>
  <c r="V1721" s="1"/>
  <c r="U1722"/>
  <c r="V1722" s="1"/>
  <c r="U1723"/>
  <c r="V1723" s="1"/>
  <c r="U1732"/>
  <c r="V1732" s="1"/>
  <c r="U1733"/>
  <c r="V1733" s="1"/>
  <c r="U1744"/>
  <c r="V1744" s="1"/>
  <c r="U1745"/>
  <c r="V1745" s="1"/>
  <c r="U1752"/>
  <c r="V1752" s="1"/>
  <c r="U1753"/>
  <c r="V1753" s="1"/>
  <c r="U1754"/>
  <c r="V1754" s="1"/>
  <c r="U1755"/>
  <c r="V1755" s="1"/>
  <c r="U1756"/>
  <c r="V1756" s="1"/>
  <c r="U1757"/>
  <c r="V1757" s="1"/>
  <c r="U1758"/>
  <c r="V1758" s="1"/>
  <c r="U1759"/>
  <c r="V1759" s="1"/>
  <c r="U1760"/>
  <c r="V1760" s="1"/>
  <c r="U1761"/>
  <c r="V1761" s="1"/>
  <c r="U1762"/>
  <c r="V1762" s="1"/>
  <c r="U1763"/>
  <c r="V1763" s="1"/>
  <c r="U1764"/>
  <c r="V1764" s="1"/>
  <c r="U1765"/>
  <c r="V1765" s="1"/>
  <c r="U1766"/>
  <c r="V1766" s="1"/>
  <c r="U1767"/>
  <c r="V1767" s="1"/>
  <c r="U1768"/>
  <c r="V1768" s="1"/>
  <c r="U1769"/>
  <c r="V1769" s="1"/>
  <c r="U1770"/>
  <c r="V1770" s="1"/>
  <c r="U1771"/>
  <c r="V1771" s="1"/>
  <c r="U1772"/>
  <c r="V1772" s="1"/>
  <c r="U1773"/>
  <c r="V1773" s="1"/>
  <c r="U1774"/>
  <c r="V1774" s="1"/>
  <c r="U1775"/>
  <c r="V1775" s="1"/>
  <c r="U1776"/>
  <c r="V1776" s="1"/>
  <c r="U1777"/>
  <c r="V1777" s="1"/>
  <c r="U1778"/>
  <c r="V1778" s="1"/>
  <c r="U1779"/>
  <c r="V1779" s="1"/>
  <c r="U1780"/>
  <c r="V1780" s="1"/>
  <c r="U1781"/>
  <c r="V1781" s="1"/>
  <c r="U1782"/>
  <c r="V1782" s="1"/>
  <c r="U1783"/>
  <c r="V1783" s="1"/>
  <c r="U1784"/>
  <c r="V1784" s="1"/>
  <c r="U1785"/>
  <c r="V1785" s="1"/>
  <c r="U1786"/>
  <c r="V1786" s="1"/>
  <c r="U1787"/>
  <c r="V1787" s="1"/>
  <c r="U1788"/>
  <c r="V1788" s="1"/>
  <c r="U1789"/>
  <c r="V1789" s="1"/>
  <c r="U1790"/>
  <c r="V1790" s="1"/>
  <c r="U1791"/>
  <c r="V1791" s="1"/>
  <c r="U1792"/>
  <c r="V1792" s="1"/>
  <c r="U1793"/>
  <c r="V1793" s="1"/>
  <c r="U1794"/>
  <c r="V1794" s="1"/>
  <c r="U1795"/>
  <c r="V1795" s="1"/>
  <c r="U1796"/>
  <c r="V1796" s="1"/>
  <c r="U1798"/>
  <c r="V1798" s="1"/>
  <c r="U1799"/>
  <c r="V1799" s="1"/>
  <c r="U1800"/>
  <c r="V1800" s="1"/>
  <c r="U1801"/>
  <c r="V1801" s="1"/>
  <c r="U1802"/>
  <c r="V1802" s="1"/>
  <c r="U1804"/>
  <c r="V1804" s="1"/>
  <c r="U1805"/>
  <c r="V1805" s="1"/>
  <c r="U1806"/>
  <c r="V1806" s="1"/>
  <c r="U1807"/>
  <c r="V1807" s="1"/>
  <c r="U1808"/>
  <c r="V1808" s="1"/>
  <c r="U1809"/>
  <c r="V1809" s="1"/>
  <c r="U1810"/>
  <c r="V1810" s="1"/>
  <c r="U1811"/>
  <c r="V1811" s="1"/>
  <c r="U1812"/>
  <c r="V1812" s="1"/>
  <c r="U1813"/>
  <c r="V1813" s="1"/>
  <c r="U1814"/>
  <c r="V1814" s="1"/>
  <c r="U1815"/>
  <c r="V1815" s="1"/>
  <c r="U1817"/>
  <c r="V1817" s="1"/>
  <c r="U1818"/>
  <c r="V1818" s="1"/>
  <c r="U1819"/>
  <c r="V1819" s="1"/>
  <c r="U1820"/>
  <c r="V1820" s="1"/>
  <c r="U1821"/>
  <c r="V1821" s="1"/>
  <c r="U1822"/>
  <c r="V1822" s="1"/>
  <c r="U1823"/>
  <c r="V1823" s="1"/>
  <c r="U1824"/>
  <c r="V1824" s="1"/>
  <c r="U1825"/>
  <c r="V1825" s="1"/>
  <c r="U1826"/>
  <c r="V1826" s="1"/>
  <c r="U1827"/>
  <c r="V1827" s="1"/>
  <c r="U1828"/>
  <c r="V1828" s="1"/>
  <c r="U1830"/>
  <c r="V1830" s="1"/>
  <c r="U1831"/>
  <c r="V1831" s="1"/>
  <c r="U1832"/>
  <c r="V1832" s="1"/>
  <c r="U1833"/>
  <c r="V1833" s="1"/>
  <c r="U1834"/>
  <c r="V1834" s="1"/>
  <c r="U1837"/>
  <c r="V1837" s="1"/>
  <c r="U1838"/>
  <c r="V1838" s="1"/>
  <c r="U1839"/>
  <c r="V1839" s="1"/>
  <c r="U1840"/>
  <c r="V1840" s="1"/>
  <c r="U839"/>
  <c r="V839" s="1"/>
  <c r="U856"/>
  <c r="V856" s="1"/>
  <c r="U873"/>
  <c r="V873" s="1"/>
  <c r="U890"/>
  <c r="V890" s="1"/>
  <c r="U907"/>
  <c r="V907" s="1"/>
  <c r="U1028"/>
  <c r="V1028" s="1"/>
  <c r="U1043"/>
  <c r="V1043" s="1"/>
  <c r="U1048"/>
  <c r="V1048" s="1"/>
  <c r="U1057"/>
  <c r="V1057" s="1"/>
  <c r="U1085"/>
  <c r="V1085" s="1"/>
  <c r="U1094"/>
  <c r="V1094" s="1"/>
  <c r="U1107"/>
  <c r="V1107" s="1"/>
  <c r="U1116"/>
  <c r="V1116" s="1"/>
  <c r="U1126"/>
  <c r="V1126" s="1"/>
  <c r="U1128"/>
  <c r="V1128" s="1"/>
  <c r="U1139"/>
  <c r="V1139" s="1"/>
  <c r="U1150"/>
  <c r="V1150" s="1"/>
  <c r="U1152"/>
  <c r="V1152" s="1"/>
  <c r="U1167"/>
  <c r="V1167" s="1"/>
  <c r="U1169"/>
  <c r="V1169" s="1"/>
  <c r="U1182"/>
  <c r="V1182" s="1"/>
  <c r="U1184"/>
  <c r="V1184" s="1"/>
  <c r="U1201"/>
  <c r="V1201" s="1"/>
  <c r="U1214"/>
  <c r="V1214" s="1"/>
  <c r="U1216"/>
  <c r="V1216" s="1"/>
  <c r="U1231"/>
  <c r="V1231" s="1"/>
  <c r="U1233"/>
  <c r="V1233" s="1"/>
  <c r="U1246"/>
  <c r="V1246" s="1"/>
  <c r="U1248"/>
  <c r="V1248" s="1"/>
  <c r="U1300"/>
  <c r="V1300" s="1"/>
  <c r="U1304"/>
  <c r="V1304" s="1"/>
  <c r="U1308"/>
  <c r="V1308" s="1"/>
  <c r="U1312"/>
  <c r="V1312" s="1"/>
  <c r="U1316"/>
  <c r="V1316" s="1"/>
  <c r="U1320"/>
  <c r="V1320" s="1"/>
  <c r="U1324"/>
  <c r="V1324" s="1"/>
  <c r="U1328"/>
  <c r="V1328" s="1"/>
  <c r="U1332"/>
  <c r="V1332" s="1"/>
  <c r="U1336"/>
  <c r="V1336" s="1"/>
  <c r="U1340"/>
  <c r="V1340" s="1"/>
  <c r="U1344"/>
  <c r="V1344" s="1"/>
  <c r="U1348"/>
  <c r="V1348" s="1"/>
  <c r="U1352"/>
  <c r="V1352" s="1"/>
  <c r="U1356"/>
  <c r="V1356" s="1"/>
  <c r="U1360"/>
  <c r="V1360" s="1"/>
  <c r="U1364"/>
  <c r="V1364" s="1"/>
  <c r="U1368"/>
  <c r="V1368" s="1"/>
  <c r="U1372"/>
  <c r="V1372" s="1"/>
  <c r="U1376"/>
  <c r="V1376" s="1"/>
  <c r="U1380"/>
  <c r="V1380" s="1"/>
  <c r="U1384"/>
  <c r="V1384" s="1"/>
  <c r="U1388"/>
  <c r="V1388" s="1"/>
  <c r="U1392"/>
  <c r="V1392" s="1"/>
  <c r="U1396"/>
  <c r="V1396" s="1"/>
  <c r="U1400"/>
  <c r="V1400" s="1"/>
  <c r="U1404"/>
  <c r="V1404" s="1"/>
  <c r="U1408"/>
  <c r="V1408" s="1"/>
  <c r="U1412"/>
  <c r="V1412" s="1"/>
  <c r="U1416"/>
  <c r="V1416" s="1"/>
  <c r="U1420"/>
  <c r="V1420" s="1"/>
  <c r="U1424"/>
  <c r="V1424" s="1"/>
  <c r="U1428"/>
  <c r="V1428" s="1"/>
  <c r="U1432"/>
  <c r="V1432" s="1"/>
  <c r="U1436"/>
  <c r="V1436" s="1"/>
  <c r="U1646"/>
  <c r="V1646" s="1"/>
  <c r="U1647"/>
  <c r="V1647" s="1"/>
  <c r="U1656"/>
  <c r="V1656" s="1"/>
  <c r="U1657"/>
  <c r="V1657" s="1"/>
  <c r="U1658"/>
  <c r="V1658" s="1"/>
  <c r="U1659"/>
  <c r="V1659" s="1"/>
  <c r="U1666"/>
  <c r="V1666" s="1"/>
  <c r="U1676"/>
  <c r="V1676" s="1"/>
  <c r="U1677"/>
  <c r="V1677" s="1"/>
  <c r="U1678"/>
  <c r="V1678" s="1"/>
  <c r="U1679"/>
  <c r="V1679" s="1"/>
  <c r="U1686"/>
  <c r="V1686" s="1"/>
  <c r="U1687"/>
  <c r="V1687" s="1"/>
  <c r="U1698"/>
  <c r="V1698" s="1"/>
  <c r="U1699"/>
  <c r="V1699" s="1"/>
  <c r="U1708"/>
  <c r="V1708" s="1"/>
  <c r="U1709"/>
  <c r="V1709" s="1"/>
  <c r="U1710"/>
  <c r="V1710" s="1"/>
  <c r="U1711"/>
  <c r="V1711" s="1"/>
  <c r="U1718"/>
  <c r="V1718" s="1"/>
  <c r="U1719"/>
  <c r="V1719" s="1"/>
  <c r="U1730"/>
  <c r="V1730" s="1"/>
  <c r="U1731"/>
  <c r="V1731" s="1"/>
  <c r="U1740"/>
  <c r="V1740" s="1"/>
  <c r="U1741"/>
  <c r="V1741" s="1"/>
  <c r="U1742"/>
  <c r="V1742" s="1"/>
  <c r="U1743"/>
  <c r="V1743" s="1"/>
  <c r="U1750"/>
  <c r="V1750" s="1"/>
  <c r="U1751"/>
  <c r="V1751" s="1"/>
  <c r="U1835"/>
  <c r="V1835" s="1"/>
  <c r="U1836"/>
  <c r="V1836" s="1"/>
  <c r="U1844"/>
  <c r="V1844" s="1"/>
  <c r="U1851"/>
  <c r="V1851" s="1"/>
  <c r="U1852"/>
  <c r="V1852" s="1"/>
  <c r="U1859"/>
  <c r="V1859" s="1"/>
  <c r="U1860"/>
  <c r="V1860" s="1"/>
  <c r="U1867"/>
  <c r="V1867" s="1"/>
  <c r="U1868"/>
  <c r="V1868" s="1"/>
  <c r="U1875"/>
  <c r="V1875" s="1"/>
  <c r="U1876"/>
  <c r="V1876" s="1"/>
  <c r="U1884"/>
  <c r="V1884" s="1"/>
  <c r="U1891"/>
  <c r="V1891" s="1"/>
  <c r="U1892"/>
  <c r="V1892" s="1"/>
  <c r="U612"/>
  <c r="V612" s="1"/>
  <c r="U1096"/>
  <c r="V1096" s="1"/>
  <c r="U1129"/>
  <c r="V1129" s="1"/>
  <c r="U1138"/>
  <c r="V1138" s="1"/>
  <c r="U1151"/>
  <c r="V1151" s="1"/>
  <c r="U1168"/>
  <c r="V1168" s="1"/>
  <c r="U1185"/>
  <c r="V1185" s="1"/>
  <c r="U1198"/>
  <c r="V1198" s="1"/>
  <c r="U1215"/>
  <c r="V1215" s="1"/>
  <c r="U1232"/>
  <c r="V1232" s="1"/>
  <c r="U1249"/>
  <c r="V1249" s="1"/>
  <c r="U1306"/>
  <c r="V1306" s="1"/>
  <c r="U1314"/>
  <c r="V1314" s="1"/>
  <c r="U1322"/>
  <c r="V1322" s="1"/>
  <c r="U1330"/>
  <c r="V1330" s="1"/>
  <c r="U1338"/>
  <c r="V1338" s="1"/>
  <c r="U1346"/>
  <c r="V1346" s="1"/>
  <c r="U1354"/>
  <c r="V1354" s="1"/>
  <c r="U1362"/>
  <c r="V1362" s="1"/>
  <c r="U1370"/>
  <c r="V1370" s="1"/>
  <c r="U1378"/>
  <c r="V1378" s="1"/>
  <c r="U1386"/>
  <c r="V1386" s="1"/>
  <c r="U1394"/>
  <c r="V1394" s="1"/>
  <c r="U1402"/>
  <c r="V1402" s="1"/>
  <c r="U1410"/>
  <c r="V1410" s="1"/>
  <c r="U1418"/>
  <c r="V1418" s="1"/>
  <c r="U1426"/>
  <c r="V1426" s="1"/>
  <c r="U1434"/>
  <c r="V1434" s="1"/>
  <c r="U1439"/>
  <c r="V1439" s="1"/>
  <c r="U1441"/>
  <c r="V1441" s="1"/>
  <c r="U1443"/>
  <c r="V1443" s="1"/>
  <c r="U1445"/>
  <c r="V1445" s="1"/>
  <c r="U1447"/>
  <c r="V1447" s="1"/>
  <c r="U1449"/>
  <c r="V1449" s="1"/>
  <c r="U1451"/>
  <c r="V1451" s="1"/>
  <c r="U1453"/>
  <c r="V1453" s="1"/>
  <c r="U1455"/>
  <c r="V1455" s="1"/>
  <c r="U1457"/>
  <c r="V1457" s="1"/>
  <c r="U1459"/>
  <c r="V1459" s="1"/>
  <c r="U1461"/>
  <c r="V1461" s="1"/>
  <c r="U1463"/>
  <c r="V1463" s="1"/>
  <c r="U1465"/>
  <c r="V1465" s="1"/>
  <c r="U1467"/>
  <c r="V1467" s="1"/>
  <c r="U1469"/>
  <c r="V1469" s="1"/>
  <c r="U1471"/>
  <c r="V1471" s="1"/>
  <c r="U1473"/>
  <c r="V1473" s="1"/>
  <c r="U1475"/>
  <c r="V1475" s="1"/>
  <c r="U1477"/>
  <c r="V1477" s="1"/>
  <c r="U1479"/>
  <c r="V1479" s="1"/>
  <c r="U1481"/>
  <c r="V1481" s="1"/>
  <c r="U1483"/>
  <c r="V1483" s="1"/>
  <c r="U1485"/>
  <c r="V1485" s="1"/>
  <c r="U1487"/>
  <c r="V1487" s="1"/>
  <c r="U1489"/>
  <c r="V1489" s="1"/>
  <c r="U1491"/>
  <c r="V1491" s="1"/>
  <c r="U1493"/>
  <c r="V1493" s="1"/>
  <c r="U1497"/>
  <c r="V1497" s="1"/>
  <c r="U1499"/>
  <c r="V1499" s="1"/>
  <c r="U1501"/>
  <c r="V1501" s="1"/>
  <c r="U1503"/>
  <c r="V1503" s="1"/>
  <c r="U1505"/>
  <c r="V1505" s="1"/>
  <c r="U1507"/>
  <c r="V1507" s="1"/>
  <c r="U1509"/>
  <c r="V1509" s="1"/>
  <c r="U1511"/>
  <c r="V1511" s="1"/>
  <c r="U1513"/>
  <c r="V1513" s="1"/>
  <c r="U1515"/>
  <c r="V1515" s="1"/>
  <c r="U1517"/>
  <c r="V1517" s="1"/>
  <c r="U1519"/>
  <c r="V1519" s="1"/>
  <c r="U1521"/>
  <c r="V1521" s="1"/>
  <c r="U1523"/>
  <c r="V1523" s="1"/>
  <c r="U1525"/>
  <c r="V1525" s="1"/>
  <c r="U1527"/>
  <c r="V1527" s="1"/>
  <c r="U1529"/>
  <c r="V1529" s="1"/>
  <c r="U1531"/>
  <c r="V1531" s="1"/>
  <c r="U1533"/>
  <c r="V1533" s="1"/>
  <c r="U1535"/>
  <c r="V1535" s="1"/>
  <c r="U1537"/>
  <c r="V1537" s="1"/>
  <c r="U1539"/>
  <c r="V1539" s="1"/>
  <c r="U1541"/>
  <c r="V1541" s="1"/>
  <c r="U1543"/>
  <c r="V1543" s="1"/>
  <c r="U1545"/>
  <c r="V1545" s="1"/>
  <c r="U1547"/>
  <c r="V1547" s="1"/>
  <c r="U1549"/>
  <c r="V1549" s="1"/>
  <c r="U1551"/>
  <c r="V1551" s="1"/>
  <c r="U1553"/>
  <c r="V1553" s="1"/>
  <c r="U1555"/>
  <c r="V1555" s="1"/>
  <c r="U1557"/>
  <c r="V1557" s="1"/>
  <c r="U1559"/>
  <c r="V1559" s="1"/>
  <c r="U1561"/>
  <c r="V1561" s="1"/>
  <c r="U1563"/>
  <c r="V1563" s="1"/>
  <c r="U1565"/>
  <c r="V1565" s="1"/>
  <c r="U1567"/>
  <c r="V1567" s="1"/>
  <c r="U1569"/>
  <c r="V1569" s="1"/>
  <c r="U1571"/>
  <c r="V1571" s="1"/>
  <c r="U1573"/>
  <c r="V1573" s="1"/>
  <c r="U1575"/>
  <c r="V1575" s="1"/>
  <c r="U1577"/>
  <c r="V1577" s="1"/>
  <c r="U1579"/>
  <c r="V1579" s="1"/>
  <c r="U1581"/>
  <c r="V1581" s="1"/>
  <c r="U1583"/>
  <c r="V1583" s="1"/>
  <c r="U1585"/>
  <c r="V1585" s="1"/>
  <c r="U1587"/>
  <c r="V1587" s="1"/>
  <c r="U1589"/>
  <c r="V1589" s="1"/>
  <c r="U1591"/>
  <c r="V1591" s="1"/>
  <c r="U1593"/>
  <c r="V1593" s="1"/>
  <c r="U1595"/>
  <c r="V1595" s="1"/>
  <c r="U1597"/>
  <c r="V1597" s="1"/>
  <c r="U1601"/>
  <c r="V1601" s="1"/>
  <c r="U1603"/>
  <c r="V1603" s="1"/>
  <c r="U1607"/>
  <c r="V1607" s="1"/>
  <c r="U1609"/>
  <c r="V1609" s="1"/>
  <c r="U1611"/>
  <c r="V1611" s="1"/>
  <c r="U1615"/>
  <c r="V1615" s="1"/>
  <c r="U1617"/>
  <c r="V1617" s="1"/>
  <c r="U1619"/>
  <c r="V1619" s="1"/>
  <c r="U1623"/>
  <c r="V1623" s="1"/>
  <c r="U1625"/>
  <c r="V1625" s="1"/>
  <c r="U1627"/>
  <c r="V1627" s="1"/>
  <c r="U1631"/>
  <c r="V1631" s="1"/>
  <c r="U1633"/>
  <c r="V1633" s="1"/>
  <c r="U1635"/>
  <c r="V1635" s="1"/>
  <c r="U1639"/>
  <c r="V1639" s="1"/>
  <c r="U1641"/>
  <c r="V1641" s="1"/>
  <c r="U1643"/>
  <c r="V1643" s="1"/>
  <c r="U1652"/>
  <c r="V1652" s="1"/>
  <c r="U1663"/>
  <c r="V1663" s="1"/>
  <c r="U1670"/>
  <c r="V1670" s="1"/>
  <c r="U1683"/>
  <c r="V1683" s="1"/>
  <c r="U1692"/>
  <c r="V1692" s="1"/>
  <c r="U1694"/>
  <c r="V1694" s="1"/>
  <c r="U1703"/>
  <c r="V1703" s="1"/>
  <c r="U1714"/>
  <c r="V1714" s="1"/>
  <c r="U1725"/>
  <c r="V1725" s="1"/>
  <c r="U1727"/>
  <c r="V1727" s="1"/>
  <c r="U1734"/>
  <c r="V1734" s="1"/>
  <c r="U1747"/>
  <c r="V1747" s="1"/>
  <c r="U1848"/>
  <c r="V1848" s="1"/>
  <c r="U1856"/>
  <c r="V1856" s="1"/>
  <c r="U1872"/>
  <c r="V1872" s="1"/>
  <c r="U1880"/>
  <c r="V1880" s="1"/>
  <c r="U1888"/>
  <c r="V1888" s="1"/>
  <c r="U1896"/>
  <c r="V1896" s="1"/>
  <c r="U1939"/>
  <c r="V1939" s="1"/>
  <c r="U1940"/>
  <c r="V1940" s="1"/>
  <c r="U2088"/>
  <c r="V2088" s="1"/>
  <c r="U2089"/>
  <c r="V2089" s="1"/>
  <c r="U2094"/>
  <c r="V2094" s="1"/>
  <c r="U2095"/>
  <c r="V2095" s="1"/>
  <c r="U2098"/>
  <c r="V2098" s="1"/>
  <c r="U2099"/>
  <c r="V2099" s="1"/>
  <c r="U2100"/>
  <c r="V2100" s="1"/>
  <c r="U2101"/>
  <c r="V2101" s="1"/>
  <c r="U506"/>
  <c r="V506" s="1"/>
  <c r="U843"/>
  <c r="V843" s="1"/>
  <c r="U1009"/>
  <c r="V1009" s="1"/>
  <c r="U1019"/>
  <c r="V1019" s="1"/>
  <c r="U1029"/>
  <c r="V1029" s="1"/>
  <c r="U1049"/>
  <c r="V1049" s="1"/>
  <c r="U1058"/>
  <c r="V1058" s="1"/>
  <c r="U1117"/>
  <c r="V1117" s="1"/>
  <c r="U1131"/>
  <c r="V1131" s="1"/>
  <c r="U1140"/>
  <c r="V1140" s="1"/>
  <c r="U1157"/>
  <c r="V1157" s="1"/>
  <c r="U1170"/>
  <c r="V1170" s="1"/>
  <c r="U1187"/>
  <c r="V1187" s="1"/>
  <c r="U1204"/>
  <c r="V1204" s="1"/>
  <c r="U1221"/>
  <c r="V1221" s="1"/>
  <c r="U1234"/>
  <c r="V1234" s="1"/>
  <c r="U1299"/>
  <c r="V1299" s="1"/>
  <c r="U1307"/>
  <c r="V1307" s="1"/>
  <c r="U1315"/>
  <c r="V1315" s="1"/>
  <c r="U1323"/>
  <c r="V1323" s="1"/>
  <c r="U1331"/>
  <c r="V1331" s="1"/>
  <c r="U1339"/>
  <c r="V1339" s="1"/>
  <c r="U1347"/>
  <c r="V1347" s="1"/>
  <c r="U1355"/>
  <c r="V1355" s="1"/>
  <c r="U1363"/>
  <c r="V1363" s="1"/>
  <c r="U1371"/>
  <c r="V1371" s="1"/>
  <c r="U1379"/>
  <c r="V1379" s="1"/>
  <c r="U1387"/>
  <c r="V1387" s="1"/>
  <c r="U1395"/>
  <c r="V1395" s="1"/>
  <c r="U1411"/>
  <c r="V1411" s="1"/>
  <c r="U1419"/>
  <c r="V1419" s="1"/>
  <c r="U1427"/>
  <c r="V1427" s="1"/>
  <c r="U1435"/>
  <c r="V1435" s="1"/>
  <c r="U1604"/>
  <c r="V1604" s="1"/>
  <c r="U1606"/>
  <c r="V1606" s="1"/>
  <c r="U1612"/>
  <c r="V1612" s="1"/>
  <c r="U1614"/>
  <c r="V1614" s="1"/>
  <c r="U1620"/>
  <c r="V1620" s="1"/>
  <c r="U1622"/>
  <c r="V1622" s="1"/>
  <c r="U1628"/>
  <c r="V1628" s="1"/>
  <c r="U1630"/>
  <c r="V1630" s="1"/>
  <c r="U1636"/>
  <c r="V1636" s="1"/>
  <c r="U1638"/>
  <c r="V1638" s="1"/>
  <c r="U1644"/>
  <c r="V1644" s="1"/>
  <c r="U1655"/>
  <c r="V1655" s="1"/>
  <c r="U1664"/>
  <c r="V1664" s="1"/>
  <c r="U1673"/>
  <c r="V1673" s="1"/>
  <c r="U1675"/>
  <c r="V1675" s="1"/>
  <c r="U1684"/>
  <c r="V1684" s="1"/>
  <c r="U1697"/>
  <c r="V1697" s="1"/>
  <c r="U1704"/>
  <c r="V1704" s="1"/>
  <c r="U1706"/>
  <c r="V1706" s="1"/>
  <c r="U1717"/>
  <c r="V1717" s="1"/>
  <c r="U1728"/>
  <c r="V1728" s="1"/>
  <c r="U1737"/>
  <c r="V1737" s="1"/>
  <c r="U1739"/>
  <c r="V1739" s="1"/>
  <c r="U1748"/>
  <c r="V1748" s="1"/>
  <c r="U1847"/>
  <c r="V1847" s="1"/>
  <c r="U1855"/>
  <c r="V1855" s="1"/>
  <c r="U1863"/>
  <c r="V1863" s="1"/>
  <c r="U1879"/>
  <c r="V1879" s="1"/>
  <c r="U1887"/>
  <c r="V1887" s="1"/>
  <c r="U1953"/>
  <c r="V1953" s="1"/>
  <c r="U2080"/>
  <c r="V2080" s="1"/>
  <c r="U2081"/>
  <c r="V2081" s="1"/>
  <c r="U2086"/>
  <c r="V2086" s="1"/>
  <c r="U2087"/>
  <c r="V2087" s="1"/>
  <c r="U2091"/>
  <c r="V2091" s="1"/>
  <c r="U2092"/>
  <c r="V2092" s="1"/>
  <c r="U2093"/>
  <c r="V2093" s="1"/>
  <c r="U984"/>
  <c r="V984" s="1"/>
  <c r="U1059"/>
  <c r="V1059" s="1"/>
  <c r="U1127"/>
  <c r="V1127" s="1"/>
  <c r="U1153"/>
  <c r="V1153" s="1"/>
  <c r="U1166"/>
  <c r="V1166" s="1"/>
  <c r="U1183"/>
  <c r="V1183" s="1"/>
  <c r="U1200"/>
  <c r="V1200" s="1"/>
  <c r="U1217"/>
  <c r="V1217" s="1"/>
  <c r="U1230"/>
  <c r="V1230" s="1"/>
  <c r="U1247"/>
  <c r="V1247" s="1"/>
  <c r="U1302"/>
  <c r="V1302" s="1"/>
  <c r="U1310"/>
  <c r="V1310" s="1"/>
  <c r="U1318"/>
  <c r="V1318" s="1"/>
  <c r="U1326"/>
  <c r="V1326" s="1"/>
  <c r="U1334"/>
  <c r="V1334" s="1"/>
  <c r="U1342"/>
  <c r="V1342" s="1"/>
  <c r="U1350"/>
  <c r="V1350" s="1"/>
  <c r="U1358"/>
  <c r="V1358" s="1"/>
  <c r="U1366"/>
  <c r="V1366" s="1"/>
  <c r="U1374"/>
  <c r="V1374" s="1"/>
  <c r="U1382"/>
  <c r="V1382" s="1"/>
  <c r="U1390"/>
  <c r="V1390" s="1"/>
  <c r="U1398"/>
  <c r="V1398" s="1"/>
  <c r="U1406"/>
  <c r="V1406" s="1"/>
  <c r="U1414"/>
  <c r="V1414" s="1"/>
  <c r="U1422"/>
  <c r="V1422" s="1"/>
  <c r="U1430"/>
  <c r="V1430" s="1"/>
  <c r="U1438"/>
  <c r="V1438" s="1"/>
  <c r="U1440"/>
  <c r="V1440" s="1"/>
  <c r="U1442"/>
  <c r="V1442" s="1"/>
  <c r="U1444"/>
  <c r="V1444" s="1"/>
  <c r="U1446"/>
  <c r="V1446" s="1"/>
  <c r="U1448"/>
  <c r="V1448" s="1"/>
  <c r="U1450"/>
  <c r="V1450" s="1"/>
  <c r="U1452"/>
  <c r="V1452" s="1"/>
  <c r="U1454"/>
  <c r="V1454" s="1"/>
  <c r="U1456"/>
  <c r="V1456" s="1"/>
  <c r="U1458"/>
  <c r="V1458" s="1"/>
  <c r="U1460"/>
  <c r="V1460" s="1"/>
  <c r="U1462"/>
  <c r="V1462" s="1"/>
  <c r="U1464"/>
  <c r="V1464" s="1"/>
  <c r="U1466"/>
  <c r="V1466" s="1"/>
  <c r="U1468"/>
  <c r="V1468" s="1"/>
  <c r="U1470"/>
  <c r="V1470" s="1"/>
  <c r="U1472"/>
  <c r="V1472" s="1"/>
  <c r="U1474"/>
  <c r="V1474" s="1"/>
  <c r="U1476"/>
  <c r="V1476" s="1"/>
  <c r="U1478"/>
  <c r="V1478" s="1"/>
  <c r="U1480"/>
  <c r="V1480" s="1"/>
  <c r="U1482"/>
  <c r="V1482" s="1"/>
  <c r="U1484"/>
  <c r="V1484" s="1"/>
  <c r="U1486"/>
  <c r="V1486" s="1"/>
  <c r="U1488"/>
  <c r="V1488" s="1"/>
  <c r="U1490"/>
  <c r="V1490" s="1"/>
  <c r="U1492"/>
  <c r="V1492" s="1"/>
  <c r="U1494"/>
  <c r="V1494" s="1"/>
  <c r="U1496"/>
  <c r="V1496" s="1"/>
  <c r="U1498"/>
  <c r="V1498" s="1"/>
  <c r="U1500"/>
  <c r="V1500" s="1"/>
  <c r="U1502"/>
  <c r="V1502" s="1"/>
  <c r="U1504"/>
  <c r="V1504" s="1"/>
  <c r="U1506"/>
  <c r="V1506" s="1"/>
  <c r="U1508"/>
  <c r="V1508" s="1"/>
  <c r="U1510"/>
  <c r="V1510" s="1"/>
  <c r="U1512"/>
  <c r="V1512" s="1"/>
  <c r="U1514"/>
  <c r="V1514" s="1"/>
  <c r="U1516"/>
  <c r="V1516" s="1"/>
  <c r="U1518"/>
  <c r="V1518" s="1"/>
  <c r="U1520"/>
  <c r="V1520" s="1"/>
  <c r="U1522"/>
  <c r="V1522" s="1"/>
  <c r="U1524"/>
  <c r="V1524" s="1"/>
  <c r="U1526"/>
  <c r="V1526" s="1"/>
  <c r="U1528"/>
  <c r="V1528" s="1"/>
  <c r="U1530"/>
  <c r="V1530" s="1"/>
  <c r="U1532"/>
  <c r="V1532" s="1"/>
  <c r="U1534"/>
  <c r="V1534" s="1"/>
  <c r="U1536"/>
  <c r="V1536" s="1"/>
  <c r="U1538"/>
  <c r="V1538" s="1"/>
  <c r="U1540"/>
  <c r="V1540" s="1"/>
  <c r="U1542"/>
  <c r="V1542" s="1"/>
  <c r="U1544"/>
  <c r="V1544" s="1"/>
  <c r="U1546"/>
  <c r="V1546" s="1"/>
  <c r="U1548"/>
  <c r="V1548" s="1"/>
  <c r="U1550"/>
  <c r="V1550" s="1"/>
  <c r="U1552"/>
  <c r="V1552" s="1"/>
  <c r="U1554"/>
  <c r="V1554" s="1"/>
  <c r="U1556"/>
  <c r="V1556" s="1"/>
  <c r="U1558"/>
  <c r="V1558" s="1"/>
  <c r="U1560"/>
  <c r="V1560" s="1"/>
  <c r="U1562"/>
  <c r="V1562" s="1"/>
  <c r="U1564"/>
  <c r="V1564" s="1"/>
  <c r="U1568"/>
  <c r="V1568" s="1"/>
  <c r="U1570"/>
  <c r="V1570" s="1"/>
  <c r="U1572"/>
  <c r="V1572" s="1"/>
  <c r="U1574"/>
  <c r="V1574" s="1"/>
  <c r="U1576"/>
  <c r="V1576" s="1"/>
  <c r="U1578"/>
  <c r="V1578" s="1"/>
  <c r="U1580"/>
  <c r="V1580" s="1"/>
  <c r="U1582"/>
  <c r="V1582" s="1"/>
  <c r="U1586"/>
  <c r="V1586" s="1"/>
  <c r="U1588"/>
  <c r="V1588" s="1"/>
  <c r="U1590"/>
  <c r="V1590" s="1"/>
  <c r="U1592"/>
  <c r="V1592" s="1"/>
  <c r="U1594"/>
  <c r="V1594" s="1"/>
  <c r="U1596"/>
  <c r="V1596" s="1"/>
  <c r="U1598"/>
  <c r="V1598" s="1"/>
  <c r="U1600"/>
  <c r="V1600" s="1"/>
  <c r="U1602"/>
  <c r="V1602" s="1"/>
  <c r="U1608"/>
  <c r="V1608" s="1"/>
  <c r="U1610"/>
  <c r="V1610" s="1"/>
  <c r="U1616"/>
  <c r="V1616" s="1"/>
  <c r="U1618"/>
  <c r="V1618" s="1"/>
  <c r="U1624"/>
  <c r="V1624" s="1"/>
  <c r="U1626"/>
  <c r="V1626" s="1"/>
  <c r="U1632"/>
  <c r="V1632" s="1"/>
  <c r="U1634"/>
  <c r="V1634" s="1"/>
  <c r="U1640"/>
  <c r="V1640" s="1"/>
  <c r="U1642"/>
  <c r="V1642" s="1"/>
  <c r="U1653"/>
  <c r="V1653" s="1"/>
  <c r="U1662"/>
  <c r="V1662" s="1"/>
  <c r="U1671"/>
  <c r="V1671" s="1"/>
  <c r="U1682"/>
  <c r="V1682" s="1"/>
  <c r="U1693"/>
  <c r="V1693" s="1"/>
  <c r="U1695"/>
  <c r="V1695" s="1"/>
  <c r="U1702"/>
  <c r="V1702" s="1"/>
  <c r="U1715"/>
  <c r="V1715" s="1"/>
  <c r="U1724"/>
  <c r="V1724" s="1"/>
  <c r="U1726"/>
  <c r="V1726" s="1"/>
  <c r="U1735"/>
  <c r="V1735" s="1"/>
  <c r="U1034"/>
  <c r="V1034" s="1"/>
  <c r="U1319"/>
  <c r="V1319" s="1"/>
  <c r="U1351"/>
  <c r="V1351" s="1"/>
  <c r="U1383"/>
  <c r="V1383" s="1"/>
  <c r="U1415"/>
  <c r="V1415" s="1"/>
  <c r="U1605"/>
  <c r="V1605" s="1"/>
  <c r="U1613"/>
  <c r="V1613" s="1"/>
  <c r="U1621"/>
  <c r="V1621" s="1"/>
  <c r="U1629"/>
  <c r="V1629" s="1"/>
  <c r="U1637"/>
  <c r="V1637" s="1"/>
  <c r="U1645"/>
  <c r="V1645" s="1"/>
  <c r="U1654"/>
  <c r="V1654" s="1"/>
  <c r="U1672"/>
  <c r="V1672" s="1"/>
  <c r="U1707"/>
  <c r="V1707" s="1"/>
  <c r="U1716"/>
  <c r="V1716" s="1"/>
  <c r="U1746"/>
  <c r="V1746" s="1"/>
  <c r="U1842"/>
  <c r="V1842" s="1"/>
  <c r="U1850"/>
  <c r="V1850" s="1"/>
  <c r="U1858"/>
  <c r="V1858" s="1"/>
  <c r="U1866"/>
  <c r="V1866" s="1"/>
  <c r="U1874"/>
  <c r="V1874" s="1"/>
  <c r="U1882"/>
  <c r="V1882" s="1"/>
  <c r="U1890"/>
  <c r="V1890" s="1"/>
  <c r="U1898"/>
  <c r="V1898" s="1"/>
  <c r="U1902"/>
  <c r="V1902" s="1"/>
  <c r="U1904"/>
  <c r="V1904" s="1"/>
  <c r="U1906"/>
  <c r="V1906" s="1"/>
  <c r="U1910"/>
  <c r="V1910" s="1"/>
  <c r="U1912"/>
  <c r="V1912" s="1"/>
  <c r="U1914"/>
  <c r="V1914" s="1"/>
  <c r="U1918"/>
  <c r="V1918" s="1"/>
  <c r="U1920"/>
  <c r="V1920" s="1"/>
  <c r="U1922"/>
  <c r="V1922" s="1"/>
  <c r="U1926"/>
  <c r="V1926" s="1"/>
  <c r="U1928"/>
  <c r="V1928" s="1"/>
  <c r="U1930"/>
  <c r="V1930" s="1"/>
  <c r="U1946"/>
  <c r="V1946" s="1"/>
  <c r="U1950"/>
  <c r="V1950" s="1"/>
  <c r="U1952"/>
  <c r="V1952" s="1"/>
  <c r="U1956"/>
  <c r="V1956" s="1"/>
  <c r="U1958"/>
  <c r="V1958" s="1"/>
  <c r="U1960"/>
  <c r="V1960" s="1"/>
  <c r="U1962"/>
  <c r="V1962" s="1"/>
  <c r="U2079"/>
  <c r="V2079" s="1"/>
  <c r="U2083"/>
  <c r="V2083" s="1"/>
  <c r="U2085"/>
  <c r="V2085" s="1"/>
  <c r="U2104"/>
  <c r="V2104" s="1"/>
  <c r="U2115"/>
  <c r="V2115" s="1"/>
  <c r="U2119"/>
  <c r="V2119" s="1"/>
  <c r="U2123"/>
  <c r="V2123" s="1"/>
  <c r="U2576"/>
  <c r="V2576" s="1"/>
  <c r="U2577"/>
  <c r="V2577" s="1"/>
  <c r="U2579"/>
  <c r="V2579" s="1"/>
  <c r="U2582"/>
  <c r="V2582" s="1"/>
  <c r="U2592"/>
  <c r="V2592" s="1"/>
  <c r="U2593"/>
  <c r="V2593" s="1"/>
  <c r="U2595"/>
  <c r="V2595" s="1"/>
  <c r="U2598"/>
  <c r="V2598" s="1"/>
  <c r="U2608"/>
  <c r="V2608" s="1"/>
  <c r="U2609"/>
  <c r="V2609" s="1"/>
  <c r="U2611"/>
  <c r="V2611" s="1"/>
  <c r="U2614"/>
  <c r="V2614" s="1"/>
  <c r="U996"/>
  <c r="V996" s="1"/>
  <c r="U1202"/>
  <c r="V1202" s="1"/>
  <c r="U1219"/>
  <c r="V1219" s="1"/>
  <c r="U1236"/>
  <c r="V1236" s="1"/>
  <c r="U1311"/>
  <c r="V1311" s="1"/>
  <c r="U1343"/>
  <c r="V1343" s="1"/>
  <c r="U1375"/>
  <c r="V1375" s="1"/>
  <c r="U1407"/>
  <c r="V1407" s="1"/>
  <c r="U1665"/>
  <c r="V1665" s="1"/>
  <c r="U1674"/>
  <c r="V1674" s="1"/>
  <c r="U1736"/>
  <c r="V1736" s="1"/>
  <c r="U1845"/>
  <c r="V1845" s="1"/>
  <c r="U1853"/>
  <c r="V1853" s="1"/>
  <c r="U1861"/>
  <c r="V1861" s="1"/>
  <c r="U1869"/>
  <c r="V1869" s="1"/>
  <c r="U1877"/>
  <c r="V1877" s="1"/>
  <c r="U1885"/>
  <c r="V1885" s="1"/>
  <c r="U1893"/>
  <c r="V1893" s="1"/>
  <c r="U1900"/>
  <c r="V1900" s="1"/>
  <c r="U1908"/>
  <c r="V1908" s="1"/>
  <c r="U1916"/>
  <c r="V1916" s="1"/>
  <c r="U1924"/>
  <c r="V1924" s="1"/>
  <c r="U1934"/>
  <c r="V1934" s="1"/>
  <c r="U1936"/>
  <c r="V1936" s="1"/>
  <c r="U1938"/>
  <c r="V1938" s="1"/>
  <c r="U1942"/>
  <c r="V1942" s="1"/>
  <c r="U1944"/>
  <c r="V1944" s="1"/>
  <c r="U1948"/>
  <c r="V1948" s="1"/>
  <c r="U1964"/>
  <c r="V1964" s="1"/>
  <c r="U1966"/>
  <c r="V1966" s="1"/>
  <c r="U1968"/>
  <c r="V1968" s="1"/>
  <c r="U1970"/>
  <c r="V1970" s="1"/>
  <c r="U1972"/>
  <c r="V1972" s="1"/>
  <c r="U1974"/>
  <c r="V1974" s="1"/>
  <c r="U1976"/>
  <c r="V1976" s="1"/>
  <c r="U1978"/>
  <c r="V1978" s="1"/>
  <c r="U1980"/>
  <c r="V1980" s="1"/>
  <c r="U1982"/>
  <c r="V1982" s="1"/>
  <c r="U1984"/>
  <c r="V1984" s="1"/>
  <c r="U1986"/>
  <c r="V1986" s="1"/>
  <c r="U1988"/>
  <c r="V1988" s="1"/>
  <c r="U1990"/>
  <c r="V1990" s="1"/>
  <c r="U1994"/>
  <c r="V1994" s="1"/>
  <c r="U1996"/>
  <c r="V1996" s="1"/>
  <c r="U1998"/>
  <c r="V1998" s="1"/>
  <c r="U2000"/>
  <c r="V2000" s="1"/>
  <c r="U2001"/>
  <c r="V2001" s="1"/>
  <c r="U2003"/>
  <c r="V2003" s="1"/>
  <c r="U2005"/>
  <c r="V2005" s="1"/>
  <c r="U2007"/>
  <c r="V2007" s="1"/>
  <c r="U2027"/>
  <c r="V2027" s="1"/>
  <c r="U2029"/>
  <c r="V2029" s="1"/>
  <c r="U2031"/>
  <c r="V2031" s="1"/>
  <c r="U2033"/>
  <c r="V2033" s="1"/>
  <c r="U2035"/>
  <c r="V2035" s="1"/>
  <c r="U2037"/>
  <c r="V2037" s="1"/>
  <c r="U2039"/>
  <c r="V2039" s="1"/>
  <c r="U2041"/>
  <c r="V2041" s="1"/>
  <c r="U2045"/>
  <c r="V2045" s="1"/>
  <c r="U2047"/>
  <c r="V2047" s="1"/>
  <c r="U2049"/>
  <c r="V2049" s="1"/>
  <c r="U2051"/>
  <c r="V2051" s="1"/>
  <c r="U2053"/>
  <c r="V2053" s="1"/>
  <c r="U2055"/>
  <c r="V2055" s="1"/>
  <c r="U2057"/>
  <c r="V2057" s="1"/>
  <c r="U2059"/>
  <c r="V2059" s="1"/>
  <c r="U2061"/>
  <c r="V2061" s="1"/>
  <c r="U2063"/>
  <c r="V2063" s="1"/>
  <c r="U2065"/>
  <c r="V2065" s="1"/>
  <c r="U2067"/>
  <c r="V2067" s="1"/>
  <c r="U2069"/>
  <c r="V2069" s="1"/>
  <c r="U2071"/>
  <c r="V2071" s="1"/>
  <c r="U2073"/>
  <c r="V2073" s="1"/>
  <c r="U2075"/>
  <c r="V2075" s="1"/>
  <c r="U2077"/>
  <c r="V2077" s="1"/>
  <c r="U2102"/>
  <c r="V2102" s="1"/>
  <c r="U2111"/>
  <c r="V2111" s="1"/>
  <c r="U2113"/>
  <c r="V2113" s="1"/>
  <c r="U2117"/>
  <c r="V2117" s="1"/>
  <c r="U2121"/>
  <c r="V2121" s="1"/>
  <c r="U1014"/>
  <c r="V1014" s="1"/>
  <c r="U1120"/>
  <c r="V1120" s="1"/>
  <c r="U1155"/>
  <c r="V1155" s="1"/>
  <c r="U1172"/>
  <c r="V1172" s="1"/>
  <c r="U1189"/>
  <c r="V1189" s="1"/>
  <c r="U1303"/>
  <c r="V1303" s="1"/>
  <c r="U1335"/>
  <c r="V1335" s="1"/>
  <c r="U1367"/>
  <c r="V1367" s="1"/>
  <c r="U1399"/>
  <c r="V1399" s="1"/>
  <c r="U1431"/>
  <c r="V1431" s="1"/>
  <c r="U1685"/>
  <c r="V1685" s="1"/>
  <c r="U1729"/>
  <c r="V1729" s="1"/>
  <c r="U1846"/>
  <c r="V1846" s="1"/>
  <c r="U1854"/>
  <c r="V1854" s="1"/>
  <c r="U1862"/>
  <c r="V1862" s="1"/>
  <c r="U1870"/>
  <c r="V1870" s="1"/>
  <c r="U1886"/>
  <c r="V1886" s="1"/>
  <c r="U1894"/>
  <c r="V1894" s="1"/>
  <c r="U1901"/>
  <c r="V1901" s="1"/>
  <c r="U1903"/>
  <c r="V1903" s="1"/>
  <c r="U1905"/>
  <c r="V1905" s="1"/>
  <c r="U1909"/>
  <c r="V1909" s="1"/>
  <c r="U1911"/>
  <c r="V1911" s="1"/>
  <c r="U1913"/>
  <c r="V1913" s="1"/>
  <c r="U1917"/>
  <c r="V1917" s="1"/>
  <c r="U1921"/>
  <c r="V1921" s="1"/>
  <c r="U1925"/>
  <c r="V1925" s="1"/>
  <c r="U1927"/>
  <c r="V1927" s="1"/>
  <c r="U1929"/>
  <c r="V1929" s="1"/>
  <c r="U1945"/>
  <c r="V1945" s="1"/>
  <c r="U1949"/>
  <c r="V1949" s="1"/>
  <c r="U1951"/>
  <c r="V1951" s="1"/>
  <c r="U1955"/>
  <c r="V1955" s="1"/>
  <c r="U1957"/>
  <c r="V1957" s="1"/>
  <c r="U1959"/>
  <c r="V1959" s="1"/>
  <c r="U1961"/>
  <c r="V1961" s="1"/>
  <c r="U2078"/>
  <c r="V2078" s="1"/>
  <c r="U2082"/>
  <c r="V2082" s="1"/>
  <c r="U2084"/>
  <c r="V2084" s="1"/>
  <c r="U2105"/>
  <c r="V2105" s="1"/>
  <c r="U2116"/>
  <c r="V2116" s="1"/>
  <c r="U2120"/>
  <c r="V2120" s="1"/>
  <c r="U2124"/>
  <c r="V2124" s="1"/>
  <c r="U2176"/>
  <c r="V2176" s="1"/>
  <c r="U2179"/>
  <c r="V2179" s="1"/>
  <c r="U2180"/>
  <c r="V2180" s="1"/>
  <c r="U2183"/>
  <c r="V2183" s="1"/>
  <c r="U2184"/>
  <c r="V2184" s="1"/>
  <c r="U2187"/>
  <c r="V2187" s="1"/>
  <c r="U2188"/>
  <c r="V2188" s="1"/>
  <c r="U2191"/>
  <c r="V2191" s="1"/>
  <c r="U2192"/>
  <c r="V2192" s="1"/>
  <c r="U2195"/>
  <c r="V2195" s="1"/>
  <c r="U2196"/>
  <c r="V2196" s="1"/>
  <c r="U2200"/>
  <c r="V2200" s="1"/>
  <c r="U2203"/>
  <c r="V2203" s="1"/>
  <c r="U2204"/>
  <c r="V2204" s="1"/>
  <c r="U2207"/>
  <c r="V2207" s="1"/>
  <c r="U2208"/>
  <c r="V2208" s="1"/>
  <c r="U2211"/>
  <c r="V2211" s="1"/>
  <c r="U2212"/>
  <c r="V2212" s="1"/>
  <c r="U2215"/>
  <c r="V2215" s="1"/>
  <c r="U2216"/>
  <c r="V2216" s="1"/>
  <c r="U2219"/>
  <c r="V2219" s="1"/>
  <c r="U2220"/>
  <c r="V2220" s="1"/>
  <c r="U2223"/>
  <c r="V2223" s="1"/>
  <c r="U2224"/>
  <c r="V2224" s="1"/>
  <c r="U2227"/>
  <c r="V2227" s="1"/>
  <c r="U2228"/>
  <c r="V2228" s="1"/>
  <c r="U2231"/>
  <c r="V2231" s="1"/>
  <c r="U2232"/>
  <c r="V2232" s="1"/>
  <c r="U2235"/>
  <c r="V2235" s="1"/>
  <c r="U2236"/>
  <c r="V2236" s="1"/>
  <c r="U2239"/>
  <c r="V2239" s="1"/>
  <c r="U2240"/>
  <c r="V2240" s="1"/>
  <c r="U2243"/>
  <c r="V2243" s="1"/>
  <c r="U2244"/>
  <c r="V2244" s="1"/>
  <c r="U2247"/>
  <c r="V2247" s="1"/>
  <c r="U2248"/>
  <c r="V2248" s="1"/>
  <c r="U2251"/>
  <c r="V2251" s="1"/>
  <c r="U2252"/>
  <c r="V2252" s="1"/>
  <c r="U2255"/>
  <c r="V2255" s="1"/>
  <c r="U2256"/>
  <c r="V2256" s="1"/>
  <c r="U2259"/>
  <c r="V2259" s="1"/>
  <c r="U2260"/>
  <c r="V2260" s="1"/>
  <c r="U2263"/>
  <c r="V2263" s="1"/>
  <c r="U2264"/>
  <c r="V2264" s="1"/>
  <c r="U2267"/>
  <c r="V2267" s="1"/>
  <c r="U2268"/>
  <c r="V2268" s="1"/>
  <c r="U2271"/>
  <c r="V2271" s="1"/>
  <c r="U2272"/>
  <c r="V2272" s="1"/>
  <c r="U2275"/>
  <c r="V2275" s="1"/>
  <c r="U2276"/>
  <c r="V2276" s="1"/>
  <c r="U2279"/>
  <c r="V2279" s="1"/>
  <c r="U2280"/>
  <c r="V2280" s="1"/>
  <c r="U2283"/>
  <c r="V2283" s="1"/>
  <c r="U2284"/>
  <c r="V2284" s="1"/>
  <c r="U2287"/>
  <c r="V2287" s="1"/>
  <c r="U2288"/>
  <c r="V2288" s="1"/>
  <c r="U2291"/>
  <c r="V2291" s="1"/>
  <c r="U2292"/>
  <c r="V2292" s="1"/>
  <c r="U2295"/>
  <c r="V2295" s="1"/>
  <c r="U2296"/>
  <c r="V2296" s="1"/>
  <c r="U2299"/>
  <c r="V2299" s="1"/>
  <c r="U2300"/>
  <c r="V2300" s="1"/>
  <c r="U2303"/>
  <c r="V2303" s="1"/>
  <c r="U2304"/>
  <c r="V2304" s="1"/>
  <c r="U2307"/>
  <c r="V2307" s="1"/>
  <c r="U2308"/>
  <c r="V2308" s="1"/>
  <c r="U2311"/>
  <c r="V2311" s="1"/>
  <c r="U2312"/>
  <c r="V2312" s="1"/>
  <c r="U2315"/>
  <c r="V2315" s="1"/>
  <c r="U2316"/>
  <c r="V2316" s="1"/>
  <c r="U2319"/>
  <c r="V2319" s="1"/>
  <c r="U2320"/>
  <c r="V2320" s="1"/>
  <c r="U2323"/>
  <c r="V2323" s="1"/>
  <c r="U2325"/>
  <c r="V2325" s="1"/>
  <c r="U2326"/>
  <c r="V2326" s="1"/>
  <c r="U2329"/>
  <c r="V2329" s="1"/>
  <c r="U2330"/>
  <c r="V2330" s="1"/>
  <c r="U2333"/>
  <c r="V2333" s="1"/>
  <c r="U2334"/>
  <c r="V2334" s="1"/>
  <c r="U2337"/>
  <c r="V2337" s="1"/>
  <c r="U2338"/>
  <c r="V2338" s="1"/>
  <c r="U2341"/>
  <c r="V2341" s="1"/>
  <c r="U2342"/>
  <c r="V2342" s="1"/>
  <c r="U2345"/>
  <c r="V2345" s="1"/>
  <c r="U2346"/>
  <c r="V2346" s="1"/>
  <c r="U2349"/>
  <c r="V2349" s="1"/>
  <c r="U2376"/>
  <c r="V2376" s="1"/>
  <c r="U2380"/>
  <c r="V2380" s="1"/>
  <c r="U2381"/>
  <c r="V2381" s="1"/>
  <c r="U2384"/>
  <c r="V2384" s="1"/>
  <c r="U2385"/>
  <c r="V2385" s="1"/>
  <c r="U2388"/>
  <c r="V2388" s="1"/>
  <c r="U2389"/>
  <c r="V2389" s="1"/>
  <c r="U2392"/>
  <c r="V2392" s="1"/>
  <c r="U2393"/>
  <c r="V2393" s="1"/>
  <c r="U2396"/>
  <c r="V2396" s="1"/>
  <c r="U2397"/>
  <c r="V2397" s="1"/>
  <c r="U2400"/>
  <c r="V2400" s="1"/>
  <c r="U2401"/>
  <c r="V2401" s="1"/>
  <c r="U2404"/>
  <c r="V2404" s="1"/>
  <c r="U2405"/>
  <c r="V2405" s="1"/>
  <c r="U2408"/>
  <c r="V2408" s="1"/>
  <c r="U2409"/>
  <c r="V2409" s="1"/>
  <c r="U2412"/>
  <c r="V2412" s="1"/>
  <c r="U2413"/>
  <c r="V2413" s="1"/>
  <c r="U2416"/>
  <c r="V2416" s="1"/>
  <c r="U2417"/>
  <c r="V2417" s="1"/>
  <c r="U2420"/>
  <c r="V2420" s="1"/>
  <c r="U2421"/>
  <c r="V2421" s="1"/>
  <c r="U2424"/>
  <c r="V2424" s="1"/>
  <c r="U2425"/>
  <c r="V2425" s="1"/>
  <c r="U2428"/>
  <c r="V2428" s="1"/>
  <c r="U2429"/>
  <c r="V2429" s="1"/>
  <c r="U2432"/>
  <c r="V2432" s="1"/>
  <c r="U2433"/>
  <c r="V2433" s="1"/>
  <c r="U2436"/>
  <c r="V2436" s="1"/>
  <c r="U2437"/>
  <c r="V2437" s="1"/>
  <c r="U2440"/>
  <c r="V2440" s="1"/>
  <c r="U2441"/>
  <c r="V2441" s="1"/>
  <c r="U2444"/>
  <c r="V2444" s="1"/>
  <c r="U2445"/>
  <c r="V2445" s="1"/>
  <c r="U2448"/>
  <c r="V2448" s="1"/>
  <c r="U2449"/>
  <c r="V2449" s="1"/>
  <c r="U2504"/>
  <c r="V2504" s="1"/>
  <c r="U2505"/>
  <c r="V2505" s="1"/>
  <c r="U2508"/>
  <c r="V2508" s="1"/>
  <c r="U2512"/>
  <c r="V2512" s="1"/>
  <c r="U2513"/>
  <c r="V2513" s="1"/>
  <c r="U2516"/>
  <c r="V2516" s="1"/>
  <c r="U2517"/>
  <c r="V2517" s="1"/>
  <c r="U2520"/>
  <c r="V2520" s="1"/>
  <c r="U2521"/>
  <c r="V2521" s="1"/>
  <c r="U2524"/>
  <c r="V2524" s="1"/>
  <c r="U2525"/>
  <c r="V2525" s="1"/>
  <c r="U2528"/>
  <c r="V2528" s="1"/>
  <c r="U2529"/>
  <c r="V2529" s="1"/>
  <c r="U2532"/>
  <c r="V2532" s="1"/>
  <c r="U2533"/>
  <c r="V2533" s="1"/>
  <c r="U2537"/>
  <c r="V2537" s="1"/>
  <c r="U2540"/>
  <c r="V2540" s="1"/>
  <c r="U2541"/>
  <c r="V2541" s="1"/>
  <c r="U2544"/>
  <c r="V2544" s="1"/>
  <c r="U2545"/>
  <c r="V2545" s="1"/>
  <c r="U2548"/>
  <c r="V2548" s="1"/>
  <c r="U2549"/>
  <c r="V2549" s="1"/>
  <c r="U2552"/>
  <c r="V2552" s="1"/>
  <c r="U2553"/>
  <c r="V2553" s="1"/>
  <c r="U2556"/>
  <c r="V2556" s="1"/>
  <c r="U2557"/>
  <c r="V2557" s="1"/>
  <c r="U2560"/>
  <c r="V2560" s="1"/>
  <c r="U2561"/>
  <c r="V2561" s="1"/>
  <c r="U2564"/>
  <c r="V2564" s="1"/>
  <c r="U2565"/>
  <c r="V2565" s="1"/>
  <c r="U2568"/>
  <c r="V2568" s="1"/>
  <c r="U2569"/>
  <c r="V2569" s="1"/>
  <c r="U2571"/>
  <c r="V2571" s="1"/>
  <c r="U2574"/>
  <c r="V2574" s="1"/>
  <c r="U2584"/>
  <c r="V2584" s="1"/>
  <c r="U2585"/>
  <c r="V2585" s="1"/>
  <c r="U2587"/>
  <c r="V2587" s="1"/>
  <c r="U2590"/>
  <c r="V2590" s="1"/>
  <c r="U1423"/>
  <c r="V1423" s="1"/>
  <c r="U1749"/>
  <c r="V1749" s="1"/>
  <c r="U1865"/>
  <c r="V1865" s="1"/>
  <c r="U1897"/>
  <c r="V1897" s="1"/>
  <c r="U1969"/>
  <c r="V1969" s="1"/>
  <c r="U1977"/>
  <c r="V1977" s="1"/>
  <c r="U1985"/>
  <c r="V1985" s="1"/>
  <c r="U1993"/>
  <c r="V1993" s="1"/>
  <c r="U2004"/>
  <c r="V2004" s="1"/>
  <c r="U2030"/>
  <c r="V2030" s="1"/>
  <c r="U2038"/>
  <c r="V2038" s="1"/>
  <c r="U2042"/>
  <c r="V2042" s="1"/>
  <c r="U2050"/>
  <c r="V2050" s="1"/>
  <c r="U2058"/>
  <c r="V2058" s="1"/>
  <c r="U2074"/>
  <c r="V2074" s="1"/>
  <c r="U2112"/>
  <c r="V2112" s="1"/>
  <c r="U2177"/>
  <c r="V2177" s="1"/>
  <c r="U2181"/>
  <c r="V2181" s="1"/>
  <c r="U2185"/>
  <c r="V2185" s="1"/>
  <c r="U2189"/>
  <c r="V2189" s="1"/>
  <c r="U2193"/>
  <c r="V2193" s="1"/>
  <c r="U2197"/>
  <c r="V2197" s="1"/>
  <c r="U2201"/>
  <c r="V2201" s="1"/>
  <c r="U2205"/>
  <c r="V2205" s="1"/>
  <c r="U2209"/>
  <c r="V2209" s="1"/>
  <c r="U2213"/>
  <c r="V2213" s="1"/>
  <c r="U2217"/>
  <c r="V2217" s="1"/>
  <c r="U2221"/>
  <c r="V2221" s="1"/>
  <c r="U2225"/>
  <c r="V2225" s="1"/>
  <c r="U2229"/>
  <c r="V2229" s="1"/>
  <c r="U2233"/>
  <c r="V2233" s="1"/>
  <c r="U2237"/>
  <c r="V2237" s="1"/>
  <c r="U2241"/>
  <c r="V2241" s="1"/>
  <c r="U2245"/>
  <c r="V2245" s="1"/>
  <c r="U2249"/>
  <c r="V2249" s="1"/>
  <c r="U2253"/>
  <c r="V2253" s="1"/>
  <c r="U2257"/>
  <c r="V2257" s="1"/>
  <c r="U2261"/>
  <c r="V2261" s="1"/>
  <c r="U2265"/>
  <c r="V2265" s="1"/>
  <c r="U2269"/>
  <c r="V2269" s="1"/>
  <c r="U2273"/>
  <c r="V2273" s="1"/>
  <c r="U2277"/>
  <c r="V2277" s="1"/>
  <c r="U2281"/>
  <c r="V2281" s="1"/>
  <c r="U2285"/>
  <c r="V2285" s="1"/>
  <c r="U2289"/>
  <c r="V2289" s="1"/>
  <c r="U2293"/>
  <c r="V2293" s="1"/>
  <c r="U2297"/>
  <c r="V2297" s="1"/>
  <c r="U2301"/>
  <c r="V2301" s="1"/>
  <c r="U2305"/>
  <c r="V2305" s="1"/>
  <c r="U2309"/>
  <c r="V2309" s="1"/>
  <c r="U2313"/>
  <c r="V2313" s="1"/>
  <c r="U2317"/>
  <c r="V2317" s="1"/>
  <c r="U2321"/>
  <c r="V2321" s="1"/>
  <c r="U2327"/>
  <c r="V2327" s="1"/>
  <c r="U2331"/>
  <c r="V2331" s="1"/>
  <c r="U2335"/>
  <c r="V2335" s="1"/>
  <c r="U2339"/>
  <c r="V2339" s="1"/>
  <c r="U2343"/>
  <c r="V2343" s="1"/>
  <c r="U2347"/>
  <c r="V2347" s="1"/>
  <c r="U2378"/>
  <c r="V2378" s="1"/>
  <c r="U2382"/>
  <c r="V2382" s="1"/>
  <c r="U2386"/>
  <c r="V2386" s="1"/>
  <c r="U2390"/>
  <c r="V2390" s="1"/>
  <c r="U2394"/>
  <c r="V2394" s="1"/>
  <c r="U2398"/>
  <c r="V2398" s="1"/>
  <c r="U2402"/>
  <c r="V2402" s="1"/>
  <c r="U2406"/>
  <c r="V2406" s="1"/>
  <c r="U2410"/>
  <c r="V2410" s="1"/>
  <c r="U2414"/>
  <c r="V2414" s="1"/>
  <c r="U2418"/>
  <c r="V2418" s="1"/>
  <c r="U2422"/>
  <c r="V2422" s="1"/>
  <c r="U2426"/>
  <c r="V2426" s="1"/>
  <c r="U2430"/>
  <c r="V2430" s="1"/>
  <c r="U2434"/>
  <c r="V2434" s="1"/>
  <c r="U2438"/>
  <c r="V2438" s="1"/>
  <c r="U2442"/>
  <c r="V2442" s="1"/>
  <c r="U2446"/>
  <c r="V2446" s="1"/>
  <c r="U2502"/>
  <c r="V2502" s="1"/>
  <c r="U2506"/>
  <c r="V2506" s="1"/>
  <c r="U2510"/>
  <c r="V2510" s="1"/>
  <c r="U2514"/>
  <c r="V2514" s="1"/>
  <c r="U2518"/>
  <c r="V2518" s="1"/>
  <c r="U2526"/>
  <c r="V2526" s="1"/>
  <c r="U2530"/>
  <c r="V2530" s="1"/>
  <c r="U2534"/>
  <c r="V2534" s="1"/>
  <c r="U2538"/>
  <c r="V2538" s="1"/>
  <c r="U2542"/>
  <c r="V2542" s="1"/>
  <c r="U2546"/>
  <c r="V2546" s="1"/>
  <c r="U2550"/>
  <c r="V2550" s="1"/>
  <c r="U2554"/>
  <c r="V2554" s="1"/>
  <c r="U2558"/>
  <c r="V2558" s="1"/>
  <c r="U2562"/>
  <c r="V2562" s="1"/>
  <c r="U2566"/>
  <c r="V2566" s="1"/>
  <c r="U2570"/>
  <c r="V2570" s="1"/>
  <c r="U2581"/>
  <c r="V2581" s="1"/>
  <c r="U2583"/>
  <c r="V2583" s="1"/>
  <c r="U2596"/>
  <c r="V2596" s="1"/>
  <c r="U2601"/>
  <c r="V2601" s="1"/>
  <c r="U2602"/>
  <c r="V2602" s="1"/>
  <c r="U2604"/>
  <c r="V2604" s="1"/>
  <c r="U2615"/>
  <c r="V2615" s="1"/>
  <c r="U2618"/>
  <c r="V2618" s="1"/>
  <c r="U2622"/>
  <c r="V2622" s="1"/>
  <c r="U2626"/>
  <c r="V2626" s="1"/>
  <c r="U2630"/>
  <c r="V2630" s="1"/>
  <c r="U2634"/>
  <c r="V2634" s="1"/>
  <c r="U2638"/>
  <c r="V2638" s="1"/>
  <c r="U2639"/>
  <c r="V2639" s="1"/>
  <c r="U2640"/>
  <c r="V2640" s="1"/>
  <c r="U2641"/>
  <c r="V2641" s="1"/>
  <c r="U2642"/>
  <c r="V2642" s="1"/>
  <c r="U2645"/>
  <c r="V2645" s="1"/>
  <c r="U2646"/>
  <c r="V2646" s="1"/>
  <c r="U2647"/>
  <c r="V2647" s="1"/>
  <c r="U2648"/>
  <c r="V2648" s="1"/>
  <c r="U2649"/>
  <c r="V2649" s="1"/>
  <c r="U2650"/>
  <c r="V2650" s="1"/>
  <c r="U2653"/>
  <c r="V2653" s="1"/>
  <c r="U2654"/>
  <c r="V2654" s="1"/>
  <c r="U2655"/>
  <c r="V2655" s="1"/>
  <c r="U2656"/>
  <c r="V2656" s="1"/>
  <c r="U2657"/>
  <c r="V2657" s="1"/>
  <c r="U2658"/>
  <c r="V2658" s="1"/>
  <c r="U2661"/>
  <c r="V2661" s="1"/>
  <c r="U2662"/>
  <c r="V2662" s="1"/>
  <c r="U2663"/>
  <c r="V2663" s="1"/>
  <c r="U2664"/>
  <c r="V2664" s="1"/>
  <c r="U2665"/>
  <c r="V2665" s="1"/>
  <c r="U2666"/>
  <c r="V2666" s="1"/>
  <c r="U2669"/>
  <c r="V2669" s="1"/>
  <c r="U2670"/>
  <c r="V2670" s="1"/>
  <c r="U2671"/>
  <c r="V2671" s="1"/>
  <c r="U2672"/>
  <c r="V2672" s="1"/>
  <c r="U2673"/>
  <c r="V2673" s="1"/>
  <c r="U2674"/>
  <c r="V2674" s="1"/>
  <c r="U2677"/>
  <c r="V2677" s="1"/>
  <c r="U2678"/>
  <c r="V2678" s="1"/>
  <c r="U2679"/>
  <c r="V2679" s="1"/>
  <c r="U2680"/>
  <c r="V2680" s="1"/>
  <c r="U2681"/>
  <c r="V2681" s="1"/>
  <c r="U2682"/>
  <c r="V2682" s="1"/>
  <c r="U2685"/>
  <c r="V2685" s="1"/>
  <c r="U2686"/>
  <c r="V2686" s="1"/>
  <c r="U2687"/>
  <c r="V2687" s="1"/>
  <c r="U2688"/>
  <c r="V2688" s="1"/>
  <c r="U2689"/>
  <c r="V2689" s="1"/>
  <c r="U2690"/>
  <c r="V2690" s="1"/>
  <c r="U2693"/>
  <c r="V2693" s="1"/>
  <c r="U2694"/>
  <c r="V2694" s="1"/>
  <c r="U2695"/>
  <c r="V2695" s="1"/>
  <c r="U2696"/>
  <c r="V2696" s="1"/>
  <c r="U2697"/>
  <c r="V2697" s="1"/>
  <c r="U2698"/>
  <c r="V2698" s="1"/>
  <c r="U2705"/>
  <c r="V2705" s="1"/>
  <c r="U2706"/>
  <c r="V2706" s="1"/>
  <c r="U2713"/>
  <c r="V2713" s="1"/>
  <c r="U2714"/>
  <c r="V2714" s="1"/>
  <c r="U2721"/>
  <c r="V2721" s="1"/>
  <c r="U2722"/>
  <c r="V2722" s="1"/>
  <c r="U2738"/>
  <c r="V2738" s="1"/>
  <c r="U2754"/>
  <c r="V2754" s="1"/>
  <c r="U2786"/>
  <c r="V2786" s="1"/>
  <c r="U2797"/>
  <c r="V2797" s="1"/>
  <c r="U2805"/>
  <c r="V2805" s="1"/>
  <c r="U2814"/>
  <c r="V2814" s="1"/>
  <c r="U2815"/>
  <c r="V2815" s="1"/>
  <c r="U2817"/>
  <c r="V2817" s="1"/>
  <c r="U2820"/>
  <c r="V2820" s="1"/>
  <c r="U2830"/>
  <c r="V2830" s="1"/>
  <c r="U2831"/>
  <c r="V2831" s="1"/>
  <c r="U2833"/>
  <c r="V2833" s="1"/>
  <c r="U2836"/>
  <c r="V2836" s="1"/>
  <c r="U2846"/>
  <c r="V2846" s="1"/>
  <c r="U2847"/>
  <c r="V2847" s="1"/>
  <c r="U2849"/>
  <c r="V2849" s="1"/>
  <c r="U2852"/>
  <c r="V2852" s="1"/>
  <c r="U2862"/>
  <c r="V2862" s="1"/>
  <c r="U2863"/>
  <c r="V2863" s="1"/>
  <c r="U2865"/>
  <c r="V2865" s="1"/>
  <c r="U2868"/>
  <c r="V2868" s="1"/>
  <c r="U2878"/>
  <c r="V2878" s="1"/>
  <c r="U2879"/>
  <c r="V2879" s="1"/>
  <c r="U2881"/>
  <c r="V2881" s="1"/>
  <c r="U2884"/>
  <c r="V2884" s="1"/>
  <c r="U2894"/>
  <c r="V2894" s="1"/>
  <c r="U2895"/>
  <c r="V2895" s="1"/>
  <c r="U2897"/>
  <c r="V2897" s="1"/>
  <c r="U2900"/>
  <c r="V2900" s="1"/>
  <c r="U2910"/>
  <c r="V2910" s="1"/>
  <c r="U2911"/>
  <c r="V2911" s="1"/>
  <c r="U2913"/>
  <c r="V2913" s="1"/>
  <c r="U2916"/>
  <c r="V2916" s="1"/>
  <c r="U2926"/>
  <c r="V2926" s="1"/>
  <c r="U2927"/>
  <c r="V2927" s="1"/>
  <c r="U2929"/>
  <c r="V2929" s="1"/>
  <c r="U2932"/>
  <c r="V2932" s="1"/>
  <c r="U2942"/>
  <c r="V2942" s="1"/>
  <c r="U2943"/>
  <c r="V2943" s="1"/>
  <c r="U2945"/>
  <c r="V2945" s="1"/>
  <c r="U2948"/>
  <c r="V2948" s="1"/>
  <c r="U2958"/>
  <c r="V2958" s="1"/>
  <c r="U2959"/>
  <c r="V2959" s="1"/>
  <c r="U2961"/>
  <c r="V2961" s="1"/>
  <c r="U2964"/>
  <c r="V2964" s="1"/>
  <c r="U2974"/>
  <c r="V2974" s="1"/>
  <c r="U2975"/>
  <c r="V2975" s="1"/>
  <c r="U2977"/>
  <c r="V2977" s="1"/>
  <c r="U2980"/>
  <c r="V2980" s="1"/>
  <c r="U2990"/>
  <c r="V2990" s="1"/>
  <c r="U2991"/>
  <c r="V2991" s="1"/>
  <c r="U2993"/>
  <c r="V2993" s="1"/>
  <c r="U2996"/>
  <c r="V2996" s="1"/>
  <c r="U3006"/>
  <c r="V3006" s="1"/>
  <c r="U3007"/>
  <c r="V3007" s="1"/>
  <c r="U3009"/>
  <c r="V3009" s="1"/>
  <c r="U3012"/>
  <c r="V3012" s="1"/>
  <c r="U3022"/>
  <c r="V3022" s="1"/>
  <c r="U3023"/>
  <c r="V3023" s="1"/>
  <c r="U3025"/>
  <c r="V3025" s="1"/>
  <c r="U3028"/>
  <c r="V3028" s="1"/>
  <c r="U3038"/>
  <c r="V3038" s="1"/>
  <c r="U3039"/>
  <c r="V3039" s="1"/>
  <c r="U3041"/>
  <c r="V3041" s="1"/>
  <c r="U3044"/>
  <c r="V3044" s="1"/>
  <c r="U3054"/>
  <c r="V3054" s="1"/>
  <c r="U3055"/>
  <c r="V3055" s="1"/>
  <c r="U3057"/>
  <c r="V3057" s="1"/>
  <c r="U3060"/>
  <c r="V3060" s="1"/>
  <c r="U3127"/>
  <c r="V3127" s="1"/>
  <c r="U3128"/>
  <c r="V3128" s="1"/>
  <c r="U3129"/>
  <c r="V3129" s="1"/>
  <c r="U3130"/>
  <c r="V3130" s="1"/>
  <c r="U3143"/>
  <c r="V3143" s="1"/>
  <c r="U3144"/>
  <c r="V3144" s="1"/>
  <c r="U3145"/>
  <c r="V3145" s="1"/>
  <c r="U3146"/>
  <c r="V3146" s="1"/>
  <c r="U3147"/>
  <c r="V3147" s="1"/>
  <c r="U3148"/>
  <c r="V3148" s="1"/>
  <c r="U3149"/>
  <c r="V3149" s="1"/>
  <c r="U3150"/>
  <c r="V3150" s="1"/>
  <c r="U3151"/>
  <c r="V3151" s="1"/>
  <c r="U3152"/>
  <c r="V3152" s="1"/>
  <c r="U3153"/>
  <c r="V3153" s="1"/>
  <c r="U3154"/>
  <c r="V3154" s="1"/>
  <c r="U3155"/>
  <c r="V3155" s="1"/>
  <c r="U3156"/>
  <c r="V3156" s="1"/>
  <c r="U3157"/>
  <c r="V3157" s="1"/>
  <c r="U3158"/>
  <c r="V3158" s="1"/>
  <c r="U3159"/>
  <c r="V3159" s="1"/>
  <c r="U3160"/>
  <c r="V3160" s="1"/>
  <c r="U3161"/>
  <c r="V3161" s="1"/>
  <c r="U3162"/>
  <c r="V3162" s="1"/>
  <c r="U3163"/>
  <c r="V3163" s="1"/>
  <c r="U3164"/>
  <c r="V3164" s="1"/>
  <c r="U3165"/>
  <c r="V3165" s="1"/>
  <c r="U3166"/>
  <c r="V3166" s="1"/>
  <c r="U3167"/>
  <c r="V3167" s="1"/>
  <c r="U3168"/>
  <c r="V3168" s="1"/>
  <c r="U3169"/>
  <c r="V3169" s="1"/>
  <c r="U3170"/>
  <c r="V3170" s="1"/>
  <c r="U3171"/>
  <c r="V3171" s="1"/>
  <c r="U3172"/>
  <c r="V3172" s="1"/>
  <c r="U3173"/>
  <c r="V3173" s="1"/>
  <c r="U3174"/>
  <c r="V3174" s="1"/>
  <c r="U3175"/>
  <c r="V3175" s="1"/>
  <c r="U3176"/>
  <c r="V3176" s="1"/>
  <c r="U3177"/>
  <c r="V3177" s="1"/>
  <c r="U3178"/>
  <c r="V3178" s="1"/>
  <c r="U3179"/>
  <c r="V3179" s="1"/>
  <c r="U3180"/>
  <c r="V3180" s="1"/>
  <c r="U3181"/>
  <c r="V3181" s="1"/>
  <c r="U3182"/>
  <c r="V3182" s="1"/>
  <c r="U3183"/>
  <c r="V3183" s="1"/>
  <c r="U3184"/>
  <c r="V3184" s="1"/>
  <c r="U2106"/>
  <c r="V2106" s="1"/>
  <c r="U2107"/>
  <c r="V2107" s="1"/>
  <c r="U2108"/>
  <c r="V2108" s="1"/>
  <c r="U2109"/>
  <c r="V2109" s="1"/>
  <c r="U2110"/>
  <c r="V2110" s="1"/>
  <c r="U3186"/>
  <c r="V3186" s="1"/>
  <c r="U3187"/>
  <c r="V3187" s="1"/>
  <c r="U3188"/>
  <c r="V3188" s="1"/>
  <c r="U3189"/>
  <c r="V3189" s="1"/>
  <c r="U3190"/>
  <c r="V3190" s="1"/>
  <c r="U3191"/>
  <c r="V3191" s="1"/>
  <c r="U3193"/>
  <c r="V3193" s="1"/>
  <c r="U3194"/>
  <c r="V3194" s="1"/>
  <c r="U3195"/>
  <c r="V3195" s="1"/>
  <c r="U3196"/>
  <c r="V3196" s="1"/>
  <c r="U3198"/>
  <c r="V3198" s="1"/>
  <c r="U3199"/>
  <c r="V3199" s="1"/>
  <c r="U3200"/>
  <c r="V3200" s="1"/>
  <c r="U3201"/>
  <c r="V3201" s="1"/>
  <c r="U3203"/>
  <c r="V3203" s="1"/>
  <c r="U3204"/>
  <c r="V3204" s="1"/>
  <c r="U3205"/>
  <c r="V3205" s="1"/>
  <c r="U3206"/>
  <c r="V3206" s="1"/>
  <c r="U3207"/>
  <c r="V3207" s="1"/>
  <c r="U3209"/>
  <c r="V3209" s="1"/>
  <c r="U3210"/>
  <c r="V3210" s="1"/>
  <c r="U3211"/>
  <c r="V3211" s="1"/>
  <c r="U3212"/>
  <c r="V3212" s="1"/>
  <c r="U3214"/>
  <c r="V3214" s="1"/>
  <c r="U3215"/>
  <c r="V3215" s="1"/>
  <c r="U3216"/>
  <c r="V3216" s="1"/>
  <c r="U3217"/>
  <c r="V3217" s="1"/>
  <c r="U3219"/>
  <c r="V3219" s="1"/>
  <c r="U3220"/>
  <c r="V3220" s="1"/>
  <c r="U3221"/>
  <c r="V3221" s="1"/>
  <c r="U3223"/>
  <c r="V3223" s="1"/>
  <c r="U3224"/>
  <c r="V3224" s="1"/>
  <c r="U3225"/>
  <c r="V3225" s="1"/>
  <c r="U3226"/>
  <c r="V3226" s="1"/>
  <c r="U3228"/>
  <c r="V3228" s="1"/>
  <c r="U3229"/>
  <c r="V3229" s="1"/>
  <c r="U3230"/>
  <c r="V3230" s="1"/>
  <c r="U3231"/>
  <c r="V3231" s="1"/>
  <c r="U3232"/>
  <c r="V3232" s="1"/>
  <c r="U3234"/>
  <c r="V3234" s="1"/>
  <c r="U3235"/>
  <c r="V3235" s="1"/>
  <c r="U3236"/>
  <c r="V3236" s="1"/>
  <c r="U3237"/>
  <c r="V3237" s="1"/>
  <c r="U3239"/>
  <c r="V3239" s="1"/>
  <c r="U3240"/>
  <c r="V3240" s="1"/>
  <c r="U3241"/>
  <c r="V3241" s="1"/>
  <c r="U3242"/>
  <c r="V3242" s="1"/>
  <c r="U3243"/>
  <c r="V3243" s="1"/>
  <c r="U3245"/>
  <c r="V3245" s="1"/>
  <c r="U3246"/>
  <c r="V3246" s="1"/>
  <c r="U3247"/>
  <c r="V3247" s="1"/>
  <c r="U3248"/>
  <c r="V3248" s="1"/>
  <c r="U3249"/>
  <c r="V3249" s="1"/>
  <c r="U3250"/>
  <c r="V3250" s="1"/>
  <c r="U3251"/>
  <c r="V3251" s="1"/>
  <c r="U3252"/>
  <c r="V3252" s="1"/>
  <c r="U3253"/>
  <c r="V3253" s="1"/>
  <c r="U3254"/>
  <c r="V3254" s="1"/>
  <c r="U3255"/>
  <c r="V3255" s="1"/>
  <c r="U3256"/>
  <c r="V3256" s="1"/>
  <c r="U3257"/>
  <c r="V3257" s="1"/>
  <c r="U3258"/>
  <c r="V3258" s="1"/>
  <c r="U3259"/>
  <c r="V3259" s="1"/>
  <c r="U3260"/>
  <c r="V3260" s="1"/>
  <c r="U3261"/>
  <c r="V3261" s="1"/>
  <c r="U3262"/>
  <c r="V3262" s="1"/>
  <c r="U3263"/>
  <c r="V3263" s="1"/>
  <c r="U3264"/>
  <c r="V3264" s="1"/>
  <c r="U3265"/>
  <c r="V3265" s="1"/>
  <c r="U3266"/>
  <c r="V3266" s="1"/>
  <c r="U3267"/>
  <c r="V3267" s="1"/>
  <c r="U3268"/>
  <c r="V3268" s="1"/>
  <c r="U3269"/>
  <c r="V3269" s="1"/>
  <c r="U3270"/>
  <c r="V3270" s="1"/>
  <c r="U3271"/>
  <c r="V3271" s="1"/>
  <c r="U3272"/>
  <c r="V3272" s="1"/>
  <c r="U3273"/>
  <c r="V3273" s="1"/>
  <c r="U3275"/>
  <c r="V3275" s="1"/>
  <c r="U3276"/>
  <c r="V3276" s="1"/>
  <c r="U3278"/>
  <c r="V3278" s="1"/>
  <c r="U3279"/>
  <c r="V3279" s="1"/>
  <c r="U3285"/>
  <c r="V3285" s="1"/>
  <c r="U3288"/>
  <c r="V3288" s="1"/>
  <c r="U3289"/>
  <c r="V3289" s="1"/>
  <c r="U3292"/>
  <c r="V3292" s="1"/>
  <c r="U3293"/>
  <c r="V3293" s="1"/>
  <c r="U3296"/>
  <c r="V3296" s="1"/>
  <c r="U3297"/>
  <c r="V3297" s="1"/>
  <c r="U3300"/>
  <c r="V3300" s="1"/>
  <c r="U3301"/>
  <c r="V3301" s="1"/>
  <c r="U3304"/>
  <c r="V3304" s="1"/>
  <c r="U3305"/>
  <c r="V3305" s="1"/>
  <c r="U3308"/>
  <c r="V3308" s="1"/>
  <c r="U3309"/>
  <c r="V3309" s="1"/>
  <c r="U3312"/>
  <c r="V3312" s="1"/>
  <c r="U3313"/>
  <c r="V3313" s="1"/>
  <c r="U3316"/>
  <c r="V3316" s="1"/>
  <c r="U3317"/>
  <c r="V3317" s="1"/>
  <c r="U3320"/>
  <c r="V3320" s="1"/>
  <c r="U3324"/>
  <c r="V3324" s="1"/>
  <c r="U3325"/>
  <c r="V3325" s="1"/>
  <c r="U3328"/>
  <c r="V3328" s="1"/>
  <c r="U3329"/>
  <c r="V3329" s="1"/>
  <c r="U3332"/>
  <c r="V3332" s="1"/>
  <c r="U3333"/>
  <c r="V3333" s="1"/>
  <c r="U3336"/>
  <c r="V3336" s="1"/>
  <c r="U3337"/>
  <c r="V3337" s="1"/>
  <c r="U3340"/>
  <c r="V3340" s="1"/>
  <c r="U3341"/>
  <c r="V3341" s="1"/>
  <c r="U3344"/>
  <c r="V3344" s="1"/>
  <c r="U3345"/>
  <c r="V3345" s="1"/>
  <c r="U3348"/>
  <c r="V3348" s="1"/>
  <c r="U3349"/>
  <c r="V3349" s="1"/>
  <c r="U3352"/>
  <c r="V3352" s="1"/>
  <c r="U3353"/>
  <c r="V3353" s="1"/>
  <c r="U3356"/>
  <c r="V3356" s="1"/>
  <c r="U3357"/>
  <c r="V3357" s="1"/>
  <c r="U3360"/>
  <c r="V3360" s="1"/>
  <c r="U3361"/>
  <c r="V3361" s="1"/>
  <c r="U3364"/>
  <c r="V3364" s="1"/>
  <c r="U3365"/>
  <c r="V3365" s="1"/>
  <c r="U3368"/>
  <c r="V3368" s="1"/>
  <c r="U3369"/>
  <c r="V3369" s="1"/>
  <c r="U3372"/>
  <c r="V3372" s="1"/>
  <c r="U3376"/>
  <c r="V3376" s="1"/>
  <c r="U3377"/>
  <c r="V3377" s="1"/>
  <c r="U3380"/>
  <c r="V3380" s="1"/>
  <c r="U3381"/>
  <c r="V3381" s="1"/>
  <c r="U3384"/>
  <c r="V3384" s="1"/>
  <c r="U3385"/>
  <c r="V3385" s="1"/>
  <c r="U3388"/>
  <c r="V3388" s="1"/>
  <c r="U3393"/>
  <c r="V3393" s="1"/>
  <c r="U3396"/>
  <c r="V3396" s="1"/>
  <c r="U3397"/>
  <c r="V3397" s="1"/>
  <c r="U3400"/>
  <c r="V3400" s="1"/>
  <c r="U3401"/>
  <c r="V3401" s="1"/>
  <c r="U3404"/>
  <c r="V3404" s="1"/>
  <c r="U3405"/>
  <c r="V3405" s="1"/>
  <c r="U3408"/>
  <c r="V3408" s="1"/>
  <c r="U3409"/>
  <c r="V3409" s="1"/>
  <c r="U3412"/>
  <c r="V3412" s="1"/>
  <c r="U3413"/>
  <c r="V3413" s="1"/>
  <c r="U3416"/>
  <c r="V3416" s="1"/>
  <c r="U3417"/>
  <c r="V3417" s="1"/>
  <c r="U3420"/>
  <c r="V3420" s="1"/>
  <c r="U3421"/>
  <c r="V3421" s="1"/>
  <c r="U3424"/>
  <c r="V3424" s="1"/>
  <c r="U3425"/>
  <c r="V3425" s="1"/>
  <c r="U3428"/>
  <c r="V3428" s="1"/>
  <c r="U3429"/>
  <c r="V3429" s="1"/>
  <c r="U3432"/>
  <c r="V3432" s="1"/>
  <c r="U3433"/>
  <c r="V3433" s="1"/>
  <c r="U3436"/>
  <c r="V3436" s="1"/>
  <c r="U3437"/>
  <c r="V3437" s="1"/>
  <c r="U3440"/>
  <c r="V3440" s="1"/>
  <c r="U3441"/>
  <c r="V3441" s="1"/>
  <c r="U3444"/>
  <c r="V3444" s="1"/>
  <c r="U3445"/>
  <c r="V3445" s="1"/>
  <c r="U3448"/>
  <c r="V3448" s="1"/>
  <c r="U3449"/>
  <c r="V3449" s="1"/>
  <c r="U3452"/>
  <c r="V3452" s="1"/>
  <c r="U3453"/>
  <c r="V3453" s="1"/>
  <c r="U3456"/>
  <c r="V3456" s="1"/>
  <c r="U3457"/>
  <c r="V3457" s="1"/>
  <c r="U3460"/>
  <c r="V3460" s="1"/>
  <c r="U3461"/>
  <c r="V3461" s="1"/>
  <c r="U3464"/>
  <c r="V3464" s="1"/>
  <c r="U3465"/>
  <c r="V3465" s="1"/>
  <c r="U3468"/>
  <c r="V3468" s="1"/>
  <c r="U3469"/>
  <c r="V3469" s="1"/>
  <c r="U3472"/>
  <c r="V3472" s="1"/>
  <c r="U3473"/>
  <c r="V3473" s="1"/>
  <c r="U3476"/>
  <c r="V3476" s="1"/>
  <c r="U3477"/>
  <c r="V3477" s="1"/>
  <c r="U3480"/>
  <c r="V3480" s="1"/>
  <c r="U3481"/>
  <c r="V3481" s="1"/>
  <c r="U3485"/>
  <c r="V3485" s="1"/>
  <c r="U3488"/>
  <c r="V3488" s="1"/>
  <c r="U3489"/>
  <c r="V3489" s="1"/>
  <c r="U3492"/>
  <c r="V3492" s="1"/>
  <c r="U3493"/>
  <c r="V3493" s="1"/>
  <c r="U3496"/>
  <c r="V3496" s="1"/>
  <c r="U3497"/>
  <c r="V3497" s="1"/>
  <c r="U3500"/>
  <c r="V3500" s="1"/>
  <c r="U3501"/>
  <c r="V3501" s="1"/>
  <c r="U3504"/>
  <c r="V3504" s="1"/>
  <c r="U3505"/>
  <c r="V3505" s="1"/>
  <c r="U3508"/>
  <c r="V3508" s="1"/>
  <c r="U3509"/>
  <c r="V3509" s="1"/>
  <c r="U3512"/>
  <c r="V3512" s="1"/>
  <c r="U3513"/>
  <c r="V3513" s="1"/>
  <c r="U3516"/>
  <c r="V3516" s="1"/>
  <c r="U3517"/>
  <c r="V3517" s="1"/>
  <c r="U3520"/>
  <c r="V3520" s="1"/>
  <c r="U3521"/>
  <c r="V3521" s="1"/>
  <c r="U3524"/>
  <c r="V3524" s="1"/>
  <c r="U3525"/>
  <c r="V3525" s="1"/>
  <c r="U3528"/>
  <c r="V3528" s="1"/>
  <c r="U3529"/>
  <c r="V3529" s="1"/>
  <c r="U3532"/>
  <c r="V3532" s="1"/>
  <c r="U3533"/>
  <c r="V3533" s="1"/>
  <c r="U3536"/>
  <c r="V3536" s="1"/>
  <c r="U3537"/>
  <c r="V3537" s="1"/>
  <c r="U3540"/>
  <c r="V3540" s="1"/>
  <c r="U3541"/>
  <c r="V3541" s="1"/>
  <c r="U3544"/>
  <c r="V3544" s="1"/>
  <c r="U3545"/>
  <c r="V3545" s="1"/>
  <c r="U3548"/>
  <c r="V3548" s="1"/>
  <c r="U3552"/>
  <c r="V3552" s="1"/>
  <c r="U3553"/>
  <c r="V3553" s="1"/>
  <c r="U3556"/>
  <c r="V3556" s="1"/>
  <c r="U3560"/>
  <c r="V3560" s="1"/>
  <c r="U3561"/>
  <c r="V3561" s="1"/>
  <c r="U3564"/>
  <c r="V3564" s="1"/>
  <c r="U3568"/>
  <c r="V3568" s="1"/>
  <c r="U3569"/>
  <c r="V3569" s="1"/>
  <c r="U3572"/>
  <c r="V3572" s="1"/>
  <c r="U3576"/>
  <c r="V3576" s="1"/>
  <c r="U3577"/>
  <c r="V3577" s="1"/>
  <c r="U3580"/>
  <c r="V3580" s="1"/>
  <c r="U3581"/>
  <c r="V3581" s="1"/>
  <c r="U3585"/>
  <c r="V3585" s="1"/>
  <c r="U3589"/>
  <c r="V3589" s="1"/>
  <c r="U3592"/>
  <c r="V3592" s="1"/>
  <c r="U3593"/>
  <c r="V3593" s="1"/>
  <c r="U3596"/>
  <c r="V3596" s="1"/>
  <c r="U3600"/>
  <c r="V3600" s="1"/>
  <c r="U3601"/>
  <c r="V3601" s="1"/>
  <c r="U3604"/>
  <c r="V3604" s="1"/>
  <c r="U3605"/>
  <c r="V3605" s="1"/>
  <c r="U3608"/>
  <c r="V3608" s="1"/>
  <c r="U3609"/>
  <c r="V3609" s="1"/>
  <c r="U3612"/>
  <c r="V3612" s="1"/>
  <c r="U3613"/>
  <c r="V3613" s="1"/>
  <c r="U3616"/>
  <c r="V3616" s="1"/>
  <c r="U3617"/>
  <c r="V3617" s="1"/>
  <c r="U3620"/>
  <c r="V3620" s="1"/>
  <c r="U3621"/>
  <c r="V3621" s="1"/>
  <c r="U3624"/>
  <c r="V3624" s="1"/>
  <c r="U3625"/>
  <c r="V3625" s="1"/>
  <c r="U3628"/>
  <c r="V3628" s="1"/>
  <c r="U3629"/>
  <c r="V3629" s="1"/>
  <c r="U3632"/>
  <c r="V3632" s="1"/>
  <c r="U3633"/>
  <c r="V3633" s="1"/>
  <c r="U3636"/>
  <c r="V3636" s="1"/>
  <c r="U3641"/>
  <c r="V3641" s="1"/>
  <c r="U3644"/>
  <c r="V3644" s="1"/>
  <c r="U3645"/>
  <c r="V3645" s="1"/>
  <c r="U3653"/>
  <c r="V3653" s="1"/>
  <c r="U3661"/>
  <c r="V3661" s="1"/>
  <c r="U3669"/>
  <c r="V3669" s="1"/>
  <c r="U3677"/>
  <c r="V3677" s="1"/>
  <c r="U3685"/>
  <c r="V3685" s="1"/>
  <c r="U3693"/>
  <c r="V3693" s="1"/>
  <c r="U3701"/>
  <c r="V3701" s="1"/>
  <c r="U3709"/>
  <c r="V3709" s="1"/>
  <c r="U3717"/>
  <c r="V3717" s="1"/>
  <c r="U3725"/>
  <c r="V3725" s="1"/>
  <c r="U3734"/>
  <c r="V3734" s="1"/>
  <c r="U3735"/>
  <c r="V3735" s="1"/>
  <c r="U3736"/>
  <c r="V3736" s="1"/>
  <c r="U3742"/>
  <c r="V3742" s="1"/>
  <c r="U3743"/>
  <c r="V3743" s="1"/>
  <c r="U3744"/>
  <c r="V3744" s="1"/>
  <c r="U1095"/>
  <c r="V1095" s="1"/>
  <c r="U1391"/>
  <c r="V1391" s="1"/>
  <c r="U1696"/>
  <c r="V1696" s="1"/>
  <c r="U1899"/>
  <c r="V1899" s="1"/>
  <c r="U1915"/>
  <c r="V1915" s="1"/>
  <c r="U1923"/>
  <c r="V1923" s="1"/>
  <c r="U1931"/>
  <c r="V1931" s="1"/>
  <c r="U1947"/>
  <c r="V1947" s="1"/>
  <c r="U1963"/>
  <c r="V1963" s="1"/>
  <c r="U1971"/>
  <c r="V1971" s="1"/>
  <c r="U1987"/>
  <c r="V1987" s="1"/>
  <c r="U1995"/>
  <c r="V1995" s="1"/>
  <c r="U2032"/>
  <c r="V2032" s="1"/>
  <c r="U2044"/>
  <c r="V2044" s="1"/>
  <c r="U2052"/>
  <c r="V2052" s="1"/>
  <c r="U2060"/>
  <c r="V2060" s="1"/>
  <c r="U2068"/>
  <c r="V2068" s="1"/>
  <c r="U2076"/>
  <c r="V2076" s="1"/>
  <c r="U2122"/>
  <c r="V2122" s="1"/>
  <c r="U2178"/>
  <c r="V2178" s="1"/>
  <c r="U2182"/>
  <c r="V2182" s="1"/>
  <c r="U2186"/>
  <c r="V2186" s="1"/>
  <c r="U2190"/>
  <c r="V2190" s="1"/>
  <c r="U2194"/>
  <c r="V2194" s="1"/>
  <c r="U2198"/>
  <c r="V2198" s="1"/>
  <c r="U2202"/>
  <c r="V2202" s="1"/>
  <c r="U2206"/>
  <c r="V2206" s="1"/>
  <c r="U2210"/>
  <c r="V2210" s="1"/>
  <c r="U2214"/>
  <c r="V2214" s="1"/>
  <c r="U2218"/>
  <c r="V2218" s="1"/>
  <c r="U2222"/>
  <c r="V2222" s="1"/>
  <c r="U2226"/>
  <c r="V2226" s="1"/>
  <c r="U2230"/>
  <c r="V2230" s="1"/>
  <c r="U2234"/>
  <c r="V2234" s="1"/>
  <c r="U2238"/>
  <c r="V2238" s="1"/>
  <c r="U2242"/>
  <c r="V2242" s="1"/>
  <c r="U2246"/>
  <c r="V2246" s="1"/>
  <c r="U2573"/>
  <c r="V2573" s="1"/>
  <c r="U2575"/>
  <c r="V2575" s="1"/>
  <c r="U2588"/>
  <c r="V2588" s="1"/>
  <c r="U2594"/>
  <c r="V2594" s="1"/>
  <c r="U2600"/>
  <c r="V2600" s="1"/>
  <c r="U2607"/>
  <c r="V2607" s="1"/>
  <c r="U2617"/>
  <c r="V2617" s="1"/>
  <c r="U2620"/>
  <c r="V2620" s="1"/>
  <c r="U2621"/>
  <c r="V2621" s="1"/>
  <c r="U2625"/>
  <c r="V2625" s="1"/>
  <c r="U2628"/>
  <c r="V2628" s="1"/>
  <c r="U2629"/>
  <c r="V2629" s="1"/>
  <c r="U2633"/>
  <c r="V2633" s="1"/>
  <c r="U2636"/>
  <c r="V2636" s="1"/>
  <c r="U2637"/>
  <c r="V2637" s="1"/>
  <c r="U2731"/>
  <c r="V2731" s="1"/>
  <c r="U2732"/>
  <c r="V2732" s="1"/>
  <c r="U2733"/>
  <c r="V2733" s="1"/>
  <c r="U2734"/>
  <c r="V2734" s="1"/>
  <c r="U2735"/>
  <c r="V2735" s="1"/>
  <c r="U2736"/>
  <c r="V2736" s="1"/>
  <c r="U2737"/>
  <c r="V2737" s="1"/>
  <c r="U2747"/>
  <c r="V2747" s="1"/>
  <c r="U2748"/>
  <c r="V2748" s="1"/>
  <c r="U2749"/>
  <c r="V2749" s="1"/>
  <c r="U2750"/>
  <c r="V2750" s="1"/>
  <c r="U2751"/>
  <c r="V2751" s="1"/>
  <c r="U2752"/>
  <c r="V2752" s="1"/>
  <c r="U2753"/>
  <c r="V2753" s="1"/>
  <c r="U2763"/>
  <c r="V2763" s="1"/>
  <c r="U2764"/>
  <c r="V2764" s="1"/>
  <c r="U2765"/>
  <c r="V2765" s="1"/>
  <c r="U2766"/>
  <c r="V2766" s="1"/>
  <c r="U2767"/>
  <c r="V2767" s="1"/>
  <c r="U2768"/>
  <c r="V2768" s="1"/>
  <c r="U2769"/>
  <c r="V2769" s="1"/>
  <c r="U2779"/>
  <c r="V2779" s="1"/>
  <c r="U2780"/>
  <c r="V2780" s="1"/>
  <c r="U2781"/>
  <c r="V2781" s="1"/>
  <c r="U2782"/>
  <c r="V2782" s="1"/>
  <c r="U2783"/>
  <c r="V2783" s="1"/>
  <c r="U2784"/>
  <c r="V2784" s="1"/>
  <c r="U2785"/>
  <c r="V2785" s="1"/>
  <c r="U2794"/>
  <c r="V2794" s="1"/>
  <c r="U2795"/>
  <c r="V2795" s="1"/>
  <c r="U2796"/>
  <c r="V2796" s="1"/>
  <c r="U2802"/>
  <c r="V2802" s="1"/>
  <c r="U2803"/>
  <c r="V2803" s="1"/>
  <c r="U2804"/>
  <c r="V2804" s="1"/>
  <c r="U2810"/>
  <c r="V2810" s="1"/>
  <c r="U2811"/>
  <c r="V2811" s="1"/>
  <c r="U2813"/>
  <c r="V2813" s="1"/>
  <c r="U2816"/>
  <c r="V2816" s="1"/>
  <c r="U2826"/>
  <c r="V2826" s="1"/>
  <c r="U2827"/>
  <c r="V2827" s="1"/>
  <c r="U2829"/>
  <c r="V2829" s="1"/>
  <c r="U2832"/>
  <c r="V2832" s="1"/>
  <c r="U2842"/>
  <c r="V2842" s="1"/>
  <c r="U2843"/>
  <c r="V2843" s="1"/>
  <c r="U2845"/>
  <c r="V2845" s="1"/>
  <c r="U2848"/>
  <c r="V2848" s="1"/>
  <c r="U2858"/>
  <c r="V2858" s="1"/>
  <c r="U2859"/>
  <c r="V2859" s="1"/>
  <c r="U2861"/>
  <c r="V2861" s="1"/>
  <c r="U2864"/>
  <c r="V2864" s="1"/>
  <c r="U2874"/>
  <c r="V2874" s="1"/>
  <c r="U2875"/>
  <c r="V2875" s="1"/>
  <c r="U2877"/>
  <c r="V2877" s="1"/>
  <c r="U2880"/>
  <c r="V2880" s="1"/>
  <c r="U2890"/>
  <c r="V2890" s="1"/>
  <c r="U2891"/>
  <c r="V2891" s="1"/>
  <c r="U2893"/>
  <c r="V2893" s="1"/>
  <c r="U2896"/>
  <c r="V2896" s="1"/>
  <c r="U2906"/>
  <c r="V2906" s="1"/>
  <c r="U2907"/>
  <c r="V2907" s="1"/>
  <c r="U2909"/>
  <c r="V2909" s="1"/>
  <c r="U2912"/>
  <c r="V2912" s="1"/>
  <c r="U2922"/>
  <c r="V2922" s="1"/>
  <c r="U2923"/>
  <c r="V2923" s="1"/>
  <c r="U2925"/>
  <c r="V2925" s="1"/>
  <c r="U2928"/>
  <c r="V2928" s="1"/>
  <c r="U2938"/>
  <c r="V2938" s="1"/>
  <c r="U2939"/>
  <c r="V2939" s="1"/>
  <c r="U2941"/>
  <c r="V2941" s="1"/>
  <c r="U2944"/>
  <c r="V2944" s="1"/>
  <c r="U2954"/>
  <c r="V2954" s="1"/>
  <c r="U2955"/>
  <c r="V2955" s="1"/>
  <c r="U2957"/>
  <c r="V2957" s="1"/>
  <c r="U2960"/>
  <c r="V2960" s="1"/>
  <c r="U2970"/>
  <c r="V2970" s="1"/>
  <c r="U2971"/>
  <c r="V2971" s="1"/>
  <c r="U2973"/>
  <c r="V2973" s="1"/>
  <c r="U2976"/>
  <c r="V2976" s="1"/>
  <c r="U2986"/>
  <c r="V2986" s="1"/>
  <c r="U2987"/>
  <c r="V2987" s="1"/>
  <c r="U2989"/>
  <c r="V2989" s="1"/>
  <c r="U2992"/>
  <c r="V2992" s="1"/>
  <c r="U3002"/>
  <c r="V3002" s="1"/>
  <c r="U3003"/>
  <c r="V3003" s="1"/>
  <c r="U3005"/>
  <c r="V3005" s="1"/>
  <c r="U3008"/>
  <c r="V3008" s="1"/>
  <c r="U3018"/>
  <c r="V3018" s="1"/>
  <c r="U3019"/>
  <c r="V3019" s="1"/>
  <c r="U3021"/>
  <c r="V3021" s="1"/>
  <c r="U3024"/>
  <c r="V3024" s="1"/>
  <c r="U3034"/>
  <c r="V3034" s="1"/>
  <c r="U3035"/>
  <c r="V3035" s="1"/>
  <c r="U3037"/>
  <c r="V3037" s="1"/>
  <c r="U3040"/>
  <c r="V3040" s="1"/>
  <c r="U3050"/>
  <c r="V3050" s="1"/>
  <c r="U3051"/>
  <c r="V3051" s="1"/>
  <c r="U3053"/>
  <c r="V3053" s="1"/>
  <c r="U3056"/>
  <c r="V3056" s="1"/>
  <c r="U3066"/>
  <c r="V3066" s="1"/>
  <c r="U3067"/>
  <c r="V3067" s="1"/>
  <c r="U3074"/>
  <c r="V3074" s="1"/>
  <c r="U3075"/>
  <c r="V3075" s="1"/>
  <c r="U3082"/>
  <c r="V3082" s="1"/>
  <c r="U3083"/>
  <c r="V3083" s="1"/>
  <c r="U3090"/>
  <c r="V3090" s="1"/>
  <c r="U3091"/>
  <c r="V3091" s="1"/>
  <c r="U3098"/>
  <c r="V3098" s="1"/>
  <c r="U3099"/>
  <c r="V3099" s="1"/>
  <c r="U3106"/>
  <c r="V3106" s="1"/>
  <c r="U3107"/>
  <c r="V3107" s="1"/>
  <c r="U3114"/>
  <c r="V3114" s="1"/>
  <c r="U3115"/>
  <c r="V3115" s="1"/>
  <c r="U3122"/>
  <c r="V3122" s="1"/>
  <c r="U3123"/>
  <c r="V3123" s="1"/>
  <c r="U3124"/>
  <c r="V3124" s="1"/>
  <c r="U3125"/>
  <c r="V3125" s="1"/>
  <c r="U3126"/>
  <c r="V3126" s="1"/>
  <c r="U3139"/>
  <c r="V3139" s="1"/>
  <c r="U3140"/>
  <c r="V3140" s="1"/>
  <c r="U3141"/>
  <c r="V3141" s="1"/>
  <c r="U3142"/>
  <c r="V3142" s="1"/>
  <c r="U1359"/>
  <c r="V1359" s="1"/>
  <c r="U1705"/>
  <c r="V1705" s="1"/>
  <c r="U1881"/>
  <c r="V1881" s="1"/>
  <c r="U1933"/>
  <c r="V1933" s="1"/>
  <c r="U1941"/>
  <c r="V1941" s="1"/>
  <c r="U1965"/>
  <c r="V1965" s="1"/>
  <c r="U1973"/>
  <c r="V1973" s="1"/>
  <c r="U1981"/>
  <c r="V1981" s="1"/>
  <c r="U1989"/>
  <c r="V1989" s="1"/>
  <c r="U1997"/>
  <c r="V1997" s="1"/>
  <c r="U2026"/>
  <c r="V2026" s="1"/>
  <c r="U2034"/>
  <c r="V2034" s="1"/>
  <c r="U2046"/>
  <c r="V2046" s="1"/>
  <c r="U2054"/>
  <c r="V2054" s="1"/>
  <c r="U2062"/>
  <c r="V2062" s="1"/>
  <c r="U2070"/>
  <c r="V2070" s="1"/>
  <c r="U2103"/>
  <c r="V2103" s="1"/>
  <c r="U2250"/>
  <c r="V2250" s="1"/>
  <c r="U2254"/>
  <c r="V2254" s="1"/>
  <c r="U2258"/>
  <c r="V2258" s="1"/>
  <c r="U2262"/>
  <c r="V2262" s="1"/>
  <c r="U2266"/>
  <c r="V2266" s="1"/>
  <c r="U2270"/>
  <c r="V2270" s="1"/>
  <c r="U2274"/>
  <c r="V2274" s="1"/>
  <c r="U2278"/>
  <c r="V2278" s="1"/>
  <c r="U2282"/>
  <c r="V2282" s="1"/>
  <c r="U2286"/>
  <c r="V2286" s="1"/>
  <c r="U2290"/>
  <c r="V2290" s="1"/>
  <c r="U2294"/>
  <c r="V2294" s="1"/>
  <c r="U2298"/>
  <c r="V2298" s="1"/>
  <c r="U2302"/>
  <c r="V2302" s="1"/>
  <c r="U2310"/>
  <c r="V2310" s="1"/>
  <c r="U2314"/>
  <c r="V2314" s="1"/>
  <c r="U2318"/>
  <c r="V2318" s="1"/>
  <c r="U2322"/>
  <c r="V2322" s="1"/>
  <c r="U2324"/>
  <c r="V2324" s="1"/>
  <c r="U2328"/>
  <c r="V2328" s="1"/>
  <c r="U2332"/>
  <c r="V2332" s="1"/>
  <c r="U2336"/>
  <c r="V2336" s="1"/>
  <c r="U2340"/>
  <c r="V2340" s="1"/>
  <c r="U2344"/>
  <c r="V2344" s="1"/>
  <c r="U2348"/>
  <c r="V2348" s="1"/>
  <c r="U2375"/>
  <c r="V2375" s="1"/>
  <c r="U2379"/>
  <c r="V2379" s="1"/>
  <c r="U2383"/>
  <c r="V2383" s="1"/>
  <c r="U2387"/>
  <c r="V2387" s="1"/>
  <c r="U2391"/>
  <c r="V2391" s="1"/>
  <c r="U2395"/>
  <c r="V2395" s="1"/>
  <c r="U2399"/>
  <c r="V2399" s="1"/>
  <c r="U2403"/>
  <c r="V2403" s="1"/>
  <c r="U2407"/>
  <c r="V2407" s="1"/>
  <c r="U2411"/>
  <c r="V2411" s="1"/>
  <c r="U2415"/>
  <c r="V2415" s="1"/>
  <c r="U2419"/>
  <c r="V2419" s="1"/>
  <c r="U2423"/>
  <c r="V2423" s="1"/>
  <c r="U2427"/>
  <c r="V2427" s="1"/>
  <c r="U2431"/>
  <c r="V2431" s="1"/>
  <c r="U2435"/>
  <c r="V2435" s="1"/>
  <c r="U2439"/>
  <c r="V2439" s="1"/>
  <c r="U2443"/>
  <c r="V2443" s="1"/>
  <c r="U2447"/>
  <c r="V2447" s="1"/>
  <c r="U2503"/>
  <c r="V2503" s="1"/>
  <c r="U2507"/>
  <c r="V2507" s="1"/>
  <c r="U2511"/>
  <c r="V2511" s="1"/>
  <c r="U2515"/>
  <c r="V2515" s="1"/>
  <c r="U2519"/>
  <c r="V2519" s="1"/>
  <c r="U2523"/>
  <c r="V2523" s="1"/>
  <c r="U2527"/>
  <c r="V2527" s="1"/>
  <c r="U2531"/>
  <c r="V2531" s="1"/>
  <c r="U2535"/>
  <c r="V2535" s="1"/>
  <c r="U2539"/>
  <c r="V2539" s="1"/>
  <c r="U2543"/>
  <c r="V2543" s="1"/>
  <c r="U2547"/>
  <c r="V2547" s="1"/>
  <c r="U2551"/>
  <c r="V2551" s="1"/>
  <c r="U2555"/>
  <c r="V2555" s="1"/>
  <c r="U2559"/>
  <c r="V2559" s="1"/>
  <c r="U2563"/>
  <c r="V2563" s="1"/>
  <c r="U2567"/>
  <c r="V2567" s="1"/>
  <c r="U2580"/>
  <c r="V2580" s="1"/>
  <c r="U2586"/>
  <c r="V2586" s="1"/>
  <c r="U2597"/>
  <c r="V2597" s="1"/>
  <c r="U2603"/>
  <c r="V2603" s="1"/>
  <c r="U2610"/>
  <c r="V2610" s="1"/>
  <c r="U2613"/>
  <c r="V2613" s="1"/>
  <c r="U2619"/>
  <c r="V2619" s="1"/>
  <c r="U2624"/>
  <c r="V2624" s="1"/>
  <c r="U2627"/>
  <c r="V2627" s="1"/>
  <c r="U2632"/>
  <c r="V2632" s="1"/>
  <c r="U2635"/>
  <c r="V2635" s="1"/>
  <c r="U2730"/>
  <c r="V2730" s="1"/>
  <c r="U2746"/>
  <c r="V2746" s="1"/>
  <c r="U2762"/>
  <c r="V2762" s="1"/>
  <c r="U2778"/>
  <c r="V2778" s="1"/>
  <c r="U2793"/>
  <c r="V2793" s="1"/>
  <c r="U2801"/>
  <c r="V2801" s="1"/>
  <c r="U2809"/>
  <c r="V2809" s="1"/>
  <c r="U2812"/>
  <c r="V2812" s="1"/>
  <c r="U2822"/>
  <c r="V2822" s="1"/>
  <c r="U2823"/>
  <c r="V2823" s="1"/>
  <c r="U2825"/>
  <c r="V2825" s="1"/>
  <c r="U2828"/>
  <c r="V2828" s="1"/>
  <c r="U2838"/>
  <c r="V2838" s="1"/>
  <c r="U2839"/>
  <c r="V2839" s="1"/>
  <c r="U2841"/>
  <c r="V2841" s="1"/>
  <c r="U2844"/>
  <c r="V2844" s="1"/>
  <c r="U2854"/>
  <c r="V2854" s="1"/>
  <c r="U2855"/>
  <c r="V2855" s="1"/>
  <c r="U2857"/>
  <c r="V2857" s="1"/>
  <c r="U2860"/>
  <c r="V2860" s="1"/>
  <c r="U2870"/>
  <c r="V2870" s="1"/>
  <c r="U2871"/>
  <c r="V2871" s="1"/>
  <c r="U2873"/>
  <c r="V2873" s="1"/>
  <c r="U2876"/>
  <c r="V2876" s="1"/>
  <c r="U2886"/>
  <c r="V2886" s="1"/>
  <c r="U2887"/>
  <c r="V2887" s="1"/>
  <c r="U2889"/>
  <c r="V2889" s="1"/>
  <c r="U2892"/>
  <c r="V2892" s="1"/>
  <c r="U2902"/>
  <c r="V2902" s="1"/>
  <c r="U2903"/>
  <c r="V2903" s="1"/>
  <c r="U2905"/>
  <c r="V2905" s="1"/>
  <c r="U2908"/>
  <c r="V2908" s="1"/>
  <c r="U2918"/>
  <c r="V2918" s="1"/>
  <c r="U2919"/>
  <c r="V2919" s="1"/>
  <c r="U2921"/>
  <c r="V2921" s="1"/>
  <c r="U2924"/>
  <c r="V2924" s="1"/>
  <c r="U2934"/>
  <c r="V2934" s="1"/>
  <c r="U2935"/>
  <c r="V2935" s="1"/>
  <c r="U2937"/>
  <c r="V2937" s="1"/>
  <c r="U2940"/>
  <c r="V2940" s="1"/>
  <c r="U2950"/>
  <c r="V2950" s="1"/>
  <c r="U2951"/>
  <c r="V2951" s="1"/>
  <c r="U2953"/>
  <c r="V2953" s="1"/>
  <c r="U2956"/>
  <c r="V2956" s="1"/>
  <c r="U2966"/>
  <c r="V2966" s="1"/>
  <c r="U2967"/>
  <c r="V2967" s="1"/>
  <c r="U2969"/>
  <c r="V2969" s="1"/>
  <c r="U2972"/>
  <c r="V2972" s="1"/>
  <c r="U2982"/>
  <c r="V2982" s="1"/>
  <c r="U2983"/>
  <c r="V2983" s="1"/>
  <c r="U2985"/>
  <c r="V2985" s="1"/>
  <c r="U2988"/>
  <c r="V2988" s="1"/>
  <c r="U2998"/>
  <c r="V2998" s="1"/>
  <c r="U2999"/>
  <c r="V2999" s="1"/>
  <c r="U3001"/>
  <c r="V3001" s="1"/>
  <c r="U3004"/>
  <c r="V3004" s="1"/>
  <c r="U3014"/>
  <c r="V3014" s="1"/>
  <c r="U3015"/>
  <c r="V3015" s="1"/>
  <c r="U3017"/>
  <c r="V3017" s="1"/>
  <c r="U3020"/>
  <c r="V3020" s="1"/>
  <c r="U3030"/>
  <c r="V3030" s="1"/>
  <c r="U3031"/>
  <c r="V3031" s="1"/>
  <c r="U3033"/>
  <c r="V3033" s="1"/>
  <c r="U3036"/>
  <c r="V3036" s="1"/>
  <c r="U3046"/>
  <c r="V3046" s="1"/>
  <c r="U3047"/>
  <c r="V3047" s="1"/>
  <c r="U3049"/>
  <c r="V3049" s="1"/>
  <c r="U3052"/>
  <c r="V3052" s="1"/>
  <c r="U3062"/>
  <c r="V3062" s="1"/>
  <c r="U3063"/>
  <c r="V3063" s="1"/>
  <c r="U3065"/>
  <c r="V3065" s="1"/>
  <c r="U3068"/>
  <c r="V3068" s="1"/>
  <c r="U3069"/>
  <c r="V3069" s="1"/>
  <c r="U3070"/>
  <c r="V3070" s="1"/>
  <c r="U3071"/>
  <c r="V3071" s="1"/>
  <c r="U3072"/>
  <c r="V3072" s="1"/>
  <c r="U3073"/>
  <c r="V3073" s="1"/>
  <c r="U3076"/>
  <c r="V3076" s="1"/>
  <c r="U3077"/>
  <c r="V3077" s="1"/>
  <c r="U3078"/>
  <c r="V3078" s="1"/>
  <c r="U3079"/>
  <c r="V3079" s="1"/>
  <c r="U3080"/>
  <c r="V3080" s="1"/>
  <c r="U3081"/>
  <c r="V3081" s="1"/>
  <c r="U3084"/>
  <c r="V3084" s="1"/>
  <c r="U3085"/>
  <c r="V3085" s="1"/>
  <c r="U3086"/>
  <c r="V3086" s="1"/>
  <c r="U3087"/>
  <c r="V3087" s="1"/>
  <c r="U3088"/>
  <c r="V3088" s="1"/>
  <c r="U3089"/>
  <c r="V3089" s="1"/>
  <c r="U3092"/>
  <c r="V3092" s="1"/>
  <c r="U3093"/>
  <c r="V3093" s="1"/>
  <c r="U3094"/>
  <c r="V3094" s="1"/>
  <c r="U3095"/>
  <c r="V3095" s="1"/>
  <c r="U3096"/>
  <c r="V3096" s="1"/>
  <c r="U3097"/>
  <c r="V3097" s="1"/>
  <c r="U3100"/>
  <c r="V3100" s="1"/>
  <c r="U3101"/>
  <c r="V3101" s="1"/>
  <c r="U3102"/>
  <c r="V3102" s="1"/>
  <c r="U3103"/>
  <c r="V3103" s="1"/>
  <c r="U3104"/>
  <c r="V3104" s="1"/>
  <c r="U3105"/>
  <c r="V3105" s="1"/>
  <c r="U3108"/>
  <c r="V3108" s="1"/>
  <c r="U3109"/>
  <c r="V3109" s="1"/>
  <c r="U3110"/>
  <c r="V3110" s="1"/>
  <c r="U3111"/>
  <c r="V3111" s="1"/>
  <c r="U3112"/>
  <c r="V3112" s="1"/>
  <c r="U3113"/>
  <c r="V3113" s="1"/>
  <c r="U3116"/>
  <c r="V3116" s="1"/>
  <c r="U3117"/>
  <c r="V3117" s="1"/>
  <c r="U3118"/>
  <c r="V3118" s="1"/>
  <c r="U3119"/>
  <c r="V3119" s="1"/>
  <c r="U3120"/>
  <c r="V3120" s="1"/>
  <c r="U3121"/>
  <c r="V3121" s="1"/>
  <c r="U3135"/>
  <c r="V3135" s="1"/>
  <c r="U3136"/>
  <c r="V3136" s="1"/>
  <c r="U3137"/>
  <c r="V3137" s="1"/>
  <c r="U3138"/>
  <c r="V3138" s="1"/>
  <c r="U1991"/>
  <c r="V1991" s="1"/>
  <c r="U2028"/>
  <c r="V2028" s="1"/>
  <c r="U2064"/>
  <c r="V2064" s="1"/>
  <c r="U2097"/>
  <c r="V2097" s="1"/>
  <c r="U2578"/>
  <c r="V2578" s="1"/>
  <c r="U2702"/>
  <c r="V2702" s="1"/>
  <c r="U2710"/>
  <c r="V2710" s="1"/>
  <c r="U2718"/>
  <c r="V2718" s="1"/>
  <c r="U2726"/>
  <c r="V2726" s="1"/>
  <c r="U2739"/>
  <c r="V2739" s="1"/>
  <c r="U2743"/>
  <c r="V2743" s="1"/>
  <c r="U2756"/>
  <c r="V2756" s="1"/>
  <c r="U2760"/>
  <c r="V2760" s="1"/>
  <c r="U2773"/>
  <c r="V2773" s="1"/>
  <c r="U2777"/>
  <c r="V2777" s="1"/>
  <c r="U2790"/>
  <c r="V2790" s="1"/>
  <c r="U2799"/>
  <c r="V2799" s="1"/>
  <c r="U2808"/>
  <c r="V2808" s="1"/>
  <c r="U2821"/>
  <c r="V2821" s="1"/>
  <c r="U2834"/>
  <c r="V2834" s="1"/>
  <c r="U2851"/>
  <c r="V2851" s="1"/>
  <c r="U2872"/>
  <c r="V2872" s="1"/>
  <c r="U2885"/>
  <c r="V2885" s="1"/>
  <c r="U2898"/>
  <c r="V2898" s="1"/>
  <c r="U2915"/>
  <c r="V2915" s="1"/>
  <c r="U2936"/>
  <c r="V2936" s="1"/>
  <c r="U2949"/>
  <c r="V2949" s="1"/>
  <c r="U2962"/>
  <c r="V2962" s="1"/>
  <c r="U2979"/>
  <c r="V2979" s="1"/>
  <c r="U3000"/>
  <c r="V3000" s="1"/>
  <c r="U3013"/>
  <c r="V3013" s="1"/>
  <c r="U3026"/>
  <c r="V3026" s="1"/>
  <c r="U3043"/>
  <c r="V3043" s="1"/>
  <c r="U3064"/>
  <c r="V3064" s="1"/>
  <c r="U3133"/>
  <c r="V3133" s="1"/>
  <c r="U3542"/>
  <c r="V3542" s="1"/>
  <c r="U3546"/>
  <c r="V3546" s="1"/>
  <c r="U3550"/>
  <c r="V3550" s="1"/>
  <c r="U3558"/>
  <c r="V3558" s="1"/>
  <c r="U3566"/>
  <c r="V3566" s="1"/>
  <c r="U3574"/>
  <c r="V3574" s="1"/>
  <c r="U3578"/>
  <c r="V3578" s="1"/>
  <c r="U3582"/>
  <c r="V3582" s="1"/>
  <c r="U3586"/>
  <c r="V3586" s="1"/>
  <c r="U3590"/>
  <c r="V3590" s="1"/>
  <c r="U3594"/>
  <c r="V3594" s="1"/>
  <c r="U3598"/>
  <c r="V3598" s="1"/>
  <c r="U3602"/>
  <c r="V3602" s="1"/>
  <c r="U3606"/>
  <c r="V3606" s="1"/>
  <c r="U3610"/>
  <c r="V3610" s="1"/>
  <c r="U3614"/>
  <c r="V3614" s="1"/>
  <c r="U3618"/>
  <c r="V3618" s="1"/>
  <c r="U3622"/>
  <c r="V3622" s="1"/>
  <c r="U3626"/>
  <c r="V3626" s="1"/>
  <c r="U3630"/>
  <c r="V3630" s="1"/>
  <c r="U3634"/>
  <c r="V3634" s="1"/>
  <c r="U3638"/>
  <c r="V3638" s="1"/>
  <c r="U3642"/>
  <c r="V3642" s="1"/>
  <c r="U3646"/>
  <c r="V3646" s="1"/>
  <c r="U3649"/>
  <c r="V3649" s="1"/>
  <c r="U3652"/>
  <c r="V3652" s="1"/>
  <c r="U3655"/>
  <c r="V3655" s="1"/>
  <c r="U3664"/>
  <c r="V3664" s="1"/>
  <c r="U3666"/>
  <c r="V3666" s="1"/>
  <c r="U3675"/>
  <c r="V3675" s="1"/>
  <c r="U3678"/>
  <c r="V3678" s="1"/>
  <c r="U3681"/>
  <c r="V3681" s="1"/>
  <c r="U3684"/>
  <c r="V3684" s="1"/>
  <c r="U3687"/>
  <c r="V3687" s="1"/>
  <c r="U3696"/>
  <c r="V3696" s="1"/>
  <c r="U3698"/>
  <c r="V3698" s="1"/>
  <c r="U3707"/>
  <c r="V3707" s="1"/>
  <c r="U3710"/>
  <c r="V3710" s="1"/>
  <c r="U3713"/>
  <c r="V3713" s="1"/>
  <c r="U3716"/>
  <c r="V3716" s="1"/>
  <c r="U3719"/>
  <c r="V3719" s="1"/>
  <c r="U3728"/>
  <c r="V3728" s="1"/>
  <c r="U3731"/>
  <c r="V3731" s="1"/>
  <c r="U3737"/>
  <c r="V3737" s="1"/>
  <c r="U3740"/>
  <c r="V3740" s="1"/>
  <c r="U3754"/>
  <c r="V3754" s="1"/>
  <c r="U3755"/>
  <c r="V3755" s="1"/>
  <c r="U3762"/>
  <c r="V3762" s="1"/>
  <c r="U3764"/>
  <c r="V3764" s="1"/>
  <c r="U3770"/>
  <c r="V3770" s="1"/>
  <c r="U3771"/>
  <c r="V3771" s="1"/>
  <c r="U3772"/>
  <c r="V3772" s="1"/>
  <c r="U3778"/>
  <c r="V3778" s="1"/>
  <c r="U3779"/>
  <c r="V3779" s="1"/>
  <c r="U3780"/>
  <c r="V3780" s="1"/>
  <c r="U3786"/>
  <c r="V3786" s="1"/>
  <c r="U3787"/>
  <c r="V3787" s="1"/>
  <c r="U3788"/>
  <c r="V3788" s="1"/>
  <c r="U3794"/>
  <c r="V3794" s="1"/>
  <c r="U3795"/>
  <c r="V3795" s="1"/>
  <c r="U3796"/>
  <c r="V3796" s="1"/>
  <c r="U3802"/>
  <c r="V3802" s="1"/>
  <c r="U3803"/>
  <c r="V3803" s="1"/>
  <c r="U3804"/>
  <c r="V3804" s="1"/>
  <c r="U3811"/>
  <c r="V3811" s="1"/>
  <c r="U3812"/>
  <c r="V3812" s="1"/>
  <c r="U3826"/>
  <c r="V3826" s="1"/>
  <c r="U3827"/>
  <c r="V3827" s="1"/>
  <c r="U3829"/>
  <c r="V3829" s="1"/>
  <c r="U3832"/>
  <c r="V3832" s="1"/>
  <c r="U3842"/>
  <c r="V3842" s="1"/>
  <c r="U3843"/>
  <c r="V3843" s="1"/>
  <c r="U3845"/>
  <c r="V3845" s="1"/>
  <c r="U3848"/>
  <c r="V3848" s="1"/>
  <c r="U3858"/>
  <c r="V3858" s="1"/>
  <c r="U3859"/>
  <c r="V3859" s="1"/>
  <c r="U3861"/>
  <c r="V3861" s="1"/>
  <c r="U3864"/>
  <c r="V3864" s="1"/>
  <c r="U3875"/>
  <c r="V3875" s="1"/>
  <c r="U3877"/>
  <c r="V3877" s="1"/>
  <c r="U3880"/>
  <c r="V3880" s="1"/>
  <c r="U3891"/>
  <c r="V3891" s="1"/>
  <c r="U3893"/>
  <c r="V3893" s="1"/>
  <c r="U3896"/>
  <c r="V3896" s="1"/>
  <c r="U3907"/>
  <c r="V3907" s="1"/>
  <c r="U3909"/>
  <c r="V3909" s="1"/>
  <c r="U3920"/>
  <c r="V3920" s="1"/>
  <c r="U3930"/>
  <c r="V3930" s="1"/>
  <c r="U3931"/>
  <c r="V3931" s="1"/>
  <c r="U3933"/>
  <c r="V3933" s="1"/>
  <c r="U3936"/>
  <c r="V3936" s="1"/>
  <c r="U3946"/>
  <c r="V3946" s="1"/>
  <c r="U3947"/>
  <c r="V3947" s="1"/>
  <c r="U3949"/>
  <c r="V3949" s="1"/>
  <c r="U3952"/>
  <c r="V3952" s="1"/>
  <c r="U3967"/>
  <c r="V3967" s="1"/>
  <c r="U3968"/>
  <c r="V3968" s="1"/>
  <c r="U3969"/>
  <c r="V3969" s="1"/>
  <c r="U4014"/>
  <c r="V4014" s="1"/>
  <c r="U4015"/>
  <c r="V4015" s="1"/>
  <c r="U4016"/>
  <c r="V4016" s="1"/>
  <c r="U4017"/>
  <c r="V4017" s="1"/>
  <c r="U4030"/>
  <c r="V4030" s="1"/>
  <c r="U4031"/>
  <c r="V4031" s="1"/>
  <c r="U4032"/>
  <c r="V4032" s="1"/>
  <c r="U4033"/>
  <c r="V4033" s="1"/>
  <c r="U4046"/>
  <c r="V4046" s="1"/>
  <c r="U4047"/>
  <c r="V4047" s="1"/>
  <c r="U4048"/>
  <c r="V4048" s="1"/>
  <c r="U4049"/>
  <c r="V4049" s="1"/>
  <c r="U4062"/>
  <c r="V4062" s="1"/>
  <c r="U4063"/>
  <c r="V4063" s="1"/>
  <c r="U4064"/>
  <c r="V4064" s="1"/>
  <c r="U4065"/>
  <c r="V4065" s="1"/>
  <c r="U4078"/>
  <c r="V4078" s="1"/>
  <c r="U4079"/>
  <c r="V4079" s="1"/>
  <c r="U4080"/>
  <c r="V4080" s="1"/>
  <c r="U4081"/>
  <c r="V4081" s="1"/>
  <c r="U4094"/>
  <c r="V4094" s="1"/>
  <c r="U4095"/>
  <c r="V4095" s="1"/>
  <c r="U4096"/>
  <c r="V4096" s="1"/>
  <c r="U4097"/>
  <c r="V4097" s="1"/>
  <c r="U4110"/>
  <c r="V4110" s="1"/>
  <c r="U4111"/>
  <c r="V4111" s="1"/>
  <c r="U4112"/>
  <c r="V4112" s="1"/>
  <c r="U4113"/>
  <c r="V4113" s="1"/>
  <c r="U4126"/>
  <c r="V4126" s="1"/>
  <c r="U4127"/>
  <c r="V4127" s="1"/>
  <c r="U4128"/>
  <c r="V4128" s="1"/>
  <c r="U4129"/>
  <c r="V4129" s="1"/>
  <c r="U4142"/>
  <c r="V4142" s="1"/>
  <c r="U4143"/>
  <c r="V4143" s="1"/>
  <c r="U4144"/>
  <c r="V4144" s="1"/>
  <c r="U4145"/>
  <c r="V4145" s="1"/>
  <c r="U4158"/>
  <c r="V4158" s="1"/>
  <c r="U4159"/>
  <c r="V4159" s="1"/>
  <c r="U4160"/>
  <c r="V4160" s="1"/>
  <c r="U4161"/>
  <c r="V4161" s="1"/>
  <c r="U4174"/>
  <c r="V4174" s="1"/>
  <c r="U4175"/>
  <c r="V4175" s="1"/>
  <c r="U4176"/>
  <c r="V4176" s="1"/>
  <c r="U4177"/>
  <c r="V4177" s="1"/>
  <c r="U4190"/>
  <c r="V4190" s="1"/>
  <c r="U4191"/>
  <c r="V4191" s="1"/>
  <c r="U4192"/>
  <c r="V4192" s="1"/>
  <c r="U4193"/>
  <c r="V4193" s="1"/>
  <c r="U4206"/>
  <c r="V4206" s="1"/>
  <c r="U4207"/>
  <c r="V4207" s="1"/>
  <c r="U4208"/>
  <c r="V4208" s="1"/>
  <c r="U4209"/>
  <c r="V4209" s="1"/>
  <c r="U4222"/>
  <c r="V4222" s="1"/>
  <c r="U4223"/>
  <c r="V4223" s="1"/>
  <c r="U4224"/>
  <c r="V4224" s="1"/>
  <c r="U4225"/>
  <c r="V4225" s="1"/>
  <c r="U4238"/>
  <c r="V4238" s="1"/>
  <c r="U4239"/>
  <c r="V4239" s="1"/>
  <c r="U4240"/>
  <c r="V4240" s="1"/>
  <c r="U4241"/>
  <c r="V4241" s="1"/>
  <c r="U4254"/>
  <c r="V4254" s="1"/>
  <c r="U4255"/>
  <c r="V4255" s="1"/>
  <c r="U4256"/>
  <c r="V4256" s="1"/>
  <c r="U4257"/>
  <c r="V4257" s="1"/>
  <c r="U4270"/>
  <c r="V4270" s="1"/>
  <c r="U4271"/>
  <c r="V4271" s="1"/>
  <c r="U4272"/>
  <c r="V4272" s="1"/>
  <c r="U4273"/>
  <c r="V4273" s="1"/>
  <c r="U4286"/>
  <c r="V4286" s="1"/>
  <c r="U4287"/>
  <c r="V4287" s="1"/>
  <c r="U4288"/>
  <c r="V4288" s="1"/>
  <c r="U4289"/>
  <c r="V4289" s="1"/>
  <c r="U4302"/>
  <c r="V4302" s="1"/>
  <c r="U4303"/>
  <c r="V4303" s="1"/>
  <c r="U4304"/>
  <c r="V4304" s="1"/>
  <c r="U4305"/>
  <c r="V4305" s="1"/>
  <c r="U4318"/>
  <c r="V4318" s="1"/>
  <c r="U4319"/>
  <c r="V4319" s="1"/>
  <c r="U4320"/>
  <c r="V4320" s="1"/>
  <c r="U4321"/>
  <c r="V4321" s="1"/>
  <c r="U4334"/>
  <c r="V4334" s="1"/>
  <c r="U4335"/>
  <c r="V4335" s="1"/>
  <c r="U4336"/>
  <c r="V4336" s="1"/>
  <c r="U4337"/>
  <c r="V4337" s="1"/>
  <c r="U4350"/>
  <c r="V4350" s="1"/>
  <c r="U4351"/>
  <c r="V4351" s="1"/>
  <c r="U4352"/>
  <c r="V4352" s="1"/>
  <c r="U4353"/>
  <c r="V4353" s="1"/>
  <c r="U4366"/>
  <c r="V4366" s="1"/>
  <c r="U4367"/>
  <c r="V4367" s="1"/>
  <c r="U4368"/>
  <c r="V4368" s="1"/>
  <c r="U4369"/>
  <c r="V4369" s="1"/>
  <c r="U4382"/>
  <c r="V4382" s="1"/>
  <c r="U4383"/>
  <c r="V4383" s="1"/>
  <c r="U4384"/>
  <c r="V4384" s="1"/>
  <c r="U4385"/>
  <c r="V4385" s="1"/>
  <c r="U4398"/>
  <c r="V4398" s="1"/>
  <c r="U4399"/>
  <c r="V4399" s="1"/>
  <c r="U4400"/>
  <c r="V4400" s="1"/>
  <c r="U4401"/>
  <c r="V4401" s="1"/>
  <c r="U4414"/>
  <c r="V4414" s="1"/>
  <c r="U4415"/>
  <c r="V4415" s="1"/>
  <c r="U4416"/>
  <c r="V4416" s="1"/>
  <c r="U4417"/>
  <c r="V4417" s="1"/>
  <c r="U4430"/>
  <c r="V4430" s="1"/>
  <c r="U4431"/>
  <c r="V4431" s="1"/>
  <c r="U4432"/>
  <c r="V4432" s="1"/>
  <c r="U4433"/>
  <c r="V4433" s="1"/>
  <c r="U4446"/>
  <c r="V4446" s="1"/>
  <c r="U4447"/>
  <c r="V4447" s="1"/>
  <c r="U4448"/>
  <c r="V4448" s="1"/>
  <c r="U4449"/>
  <c r="V4449" s="1"/>
  <c r="U4462"/>
  <c r="V4462" s="1"/>
  <c r="U4463"/>
  <c r="V4463" s="1"/>
  <c r="U4464"/>
  <c r="V4464" s="1"/>
  <c r="U4465"/>
  <c r="V4465" s="1"/>
  <c r="U4478"/>
  <c r="V4478" s="1"/>
  <c r="U4479"/>
  <c r="V4479" s="1"/>
  <c r="U4480"/>
  <c r="V4480" s="1"/>
  <c r="U4481"/>
  <c r="V4481" s="1"/>
  <c r="U4494"/>
  <c r="V4494" s="1"/>
  <c r="U4495"/>
  <c r="V4495" s="1"/>
  <c r="U4496"/>
  <c r="V4496" s="1"/>
  <c r="U4497"/>
  <c r="V4497" s="1"/>
  <c r="U4510"/>
  <c r="V4510" s="1"/>
  <c r="U4511"/>
  <c r="V4511" s="1"/>
  <c r="U4512"/>
  <c r="V4512" s="1"/>
  <c r="U4513"/>
  <c r="V4513" s="1"/>
  <c r="U4526"/>
  <c r="V4526" s="1"/>
  <c r="U4527"/>
  <c r="V4527" s="1"/>
  <c r="U4528"/>
  <c r="V4528" s="1"/>
  <c r="U4529"/>
  <c r="V4529" s="1"/>
  <c r="U4542"/>
  <c r="V4542" s="1"/>
  <c r="U4543"/>
  <c r="V4543" s="1"/>
  <c r="U4544"/>
  <c r="V4544" s="1"/>
  <c r="U4545"/>
  <c r="V4545" s="1"/>
  <c r="U4558"/>
  <c r="V4558" s="1"/>
  <c r="U4559"/>
  <c r="V4559" s="1"/>
  <c r="U4560"/>
  <c r="V4560" s="1"/>
  <c r="U4561"/>
  <c r="V4561" s="1"/>
  <c r="U4572"/>
  <c r="V4572" s="1"/>
  <c r="U4573"/>
  <c r="V4573" s="1"/>
  <c r="U4574"/>
  <c r="V4574" s="1"/>
  <c r="U4575"/>
  <c r="V4575" s="1"/>
  <c r="U4588"/>
  <c r="V4588" s="1"/>
  <c r="U4589"/>
  <c r="V4589" s="1"/>
  <c r="U4590"/>
  <c r="V4590" s="1"/>
  <c r="U4591"/>
  <c r="V4591" s="1"/>
  <c r="U4604"/>
  <c r="V4604" s="1"/>
  <c r="U4605"/>
  <c r="V4605" s="1"/>
  <c r="U4606"/>
  <c r="V4606" s="1"/>
  <c r="U4607"/>
  <c r="V4607" s="1"/>
  <c r="U4620"/>
  <c r="V4620" s="1"/>
  <c r="U4621"/>
  <c r="V4621" s="1"/>
  <c r="U4622"/>
  <c r="V4622" s="1"/>
  <c r="U4623"/>
  <c r="V4623" s="1"/>
  <c r="U4636"/>
  <c r="V4636" s="1"/>
  <c r="U4637"/>
  <c r="V4637" s="1"/>
  <c r="U4638"/>
  <c r="V4638" s="1"/>
  <c r="U4639"/>
  <c r="V4639" s="1"/>
  <c r="U4652"/>
  <c r="V4652" s="1"/>
  <c r="U4653"/>
  <c r="V4653" s="1"/>
  <c r="U4654"/>
  <c r="V4654" s="1"/>
  <c r="U4655"/>
  <c r="V4655" s="1"/>
  <c r="U1327"/>
  <c r="V1327" s="1"/>
  <c r="U1935"/>
  <c r="V1935" s="1"/>
  <c r="U1967"/>
  <c r="V1967" s="1"/>
  <c r="U1999"/>
  <c r="V1999" s="1"/>
  <c r="U2036"/>
  <c r="V2036" s="1"/>
  <c r="U2040"/>
  <c r="V2040" s="1"/>
  <c r="U2072"/>
  <c r="V2072" s="1"/>
  <c r="U2572"/>
  <c r="V2572" s="1"/>
  <c r="U2589"/>
  <c r="V2589" s="1"/>
  <c r="U2623"/>
  <c r="V2623" s="1"/>
  <c r="U2643"/>
  <c r="V2643" s="1"/>
  <c r="U2651"/>
  <c r="V2651" s="1"/>
  <c r="U2659"/>
  <c r="V2659" s="1"/>
  <c r="U2667"/>
  <c r="V2667" s="1"/>
  <c r="U2675"/>
  <c r="V2675" s="1"/>
  <c r="U2683"/>
  <c r="V2683" s="1"/>
  <c r="U2691"/>
  <c r="V2691" s="1"/>
  <c r="U2699"/>
  <c r="V2699" s="1"/>
  <c r="U2703"/>
  <c r="V2703" s="1"/>
  <c r="U2707"/>
  <c r="V2707" s="1"/>
  <c r="U2711"/>
  <c r="V2711" s="1"/>
  <c r="U2715"/>
  <c r="V2715" s="1"/>
  <c r="U2719"/>
  <c r="V2719" s="1"/>
  <c r="U2723"/>
  <c r="V2723" s="1"/>
  <c r="U2727"/>
  <c r="V2727" s="1"/>
  <c r="U2740"/>
  <c r="V2740" s="1"/>
  <c r="U2744"/>
  <c r="V2744" s="1"/>
  <c r="U2757"/>
  <c r="V2757" s="1"/>
  <c r="U2761"/>
  <c r="V2761" s="1"/>
  <c r="U2774"/>
  <c r="V2774" s="1"/>
  <c r="U2787"/>
  <c r="V2787" s="1"/>
  <c r="U2791"/>
  <c r="V2791" s="1"/>
  <c r="U2800"/>
  <c r="V2800" s="1"/>
  <c r="U2818"/>
  <c r="V2818" s="1"/>
  <c r="U2835"/>
  <c r="V2835" s="1"/>
  <c r="U2856"/>
  <c r="V2856" s="1"/>
  <c r="U2869"/>
  <c r="V2869" s="1"/>
  <c r="U2882"/>
  <c r="V2882" s="1"/>
  <c r="U2899"/>
  <c r="V2899" s="1"/>
  <c r="U2920"/>
  <c r="V2920" s="1"/>
  <c r="U2933"/>
  <c r="V2933" s="1"/>
  <c r="U2946"/>
  <c r="V2946" s="1"/>
  <c r="U2963"/>
  <c r="V2963" s="1"/>
  <c r="U2984"/>
  <c r="V2984" s="1"/>
  <c r="U2997"/>
  <c r="V2997" s="1"/>
  <c r="U3010"/>
  <c r="V3010" s="1"/>
  <c r="U3027"/>
  <c r="V3027" s="1"/>
  <c r="U3048"/>
  <c r="V3048" s="1"/>
  <c r="U3061"/>
  <c r="V3061" s="1"/>
  <c r="U3134"/>
  <c r="V3134" s="1"/>
  <c r="U3282"/>
  <c r="V3282" s="1"/>
  <c r="U3286"/>
  <c r="V3286" s="1"/>
  <c r="U3290"/>
  <c r="V3290" s="1"/>
  <c r="U3298"/>
  <c r="V3298" s="1"/>
  <c r="U3302"/>
  <c r="V3302" s="1"/>
  <c r="U3306"/>
  <c r="V3306" s="1"/>
  <c r="U3310"/>
  <c r="V3310" s="1"/>
  <c r="U3314"/>
  <c r="V3314" s="1"/>
  <c r="U3318"/>
  <c r="V3318" s="1"/>
  <c r="U3322"/>
  <c r="V3322" s="1"/>
  <c r="U3326"/>
  <c r="V3326" s="1"/>
  <c r="U3330"/>
  <c r="V3330" s="1"/>
  <c r="U3334"/>
  <c r="V3334" s="1"/>
  <c r="U3338"/>
  <c r="V3338" s="1"/>
  <c r="U3342"/>
  <c r="V3342" s="1"/>
  <c r="U3346"/>
  <c r="V3346" s="1"/>
  <c r="U3350"/>
  <c r="V3350" s="1"/>
  <c r="U3354"/>
  <c r="V3354" s="1"/>
  <c r="U3358"/>
  <c r="V3358" s="1"/>
  <c r="U3362"/>
  <c r="V3362" s="1"/>
  <c r="U3366"/>
  <c r="V3366" s="1"/>
  <c r="U3370"/>
  <c r="V3370" s="1"/>
  <c r="U3374"/>
  <c r="V3374" s="1"/>
  <c r="U3378"/>
  <c r="V3378" s="1"/>
  <c r="U3382"/>
  <c r="V3382" s="1"/>
  <c r="U3386"/>
  <c r="V3386" s="1"/>
  <c r="U3390"/>
  <c r="V3390" s="1"/>
  <c r="U3394"/>
  <c r="V3394" s="1"/>
  <c r="U3398"/>
  <c r="V3398" s="1"/>
  <c r="U3402"/>
  <c r="V3402" s="1"/>
  <c r="U3406"/>
  <c r="V3406" s="1"/>
  <c r="U3410"/>
  <c r="V3410" s="1"/>
  <c r="U3414"/>
  <c r="V3414" s="1"/>
  <c r="U3418"/>
  <c r="V3418" s="1"/>
  <c r="U3422"/>
  <c r="V3422" s="1"/>
  <c r="U3426"/>
  <c r="V3426" s="1"/>
  <c r="U3430"/>
  <c r="V3430" s="1"/>
  <c r="U3434"/>
  <c r="V3434" s="1"/>
  <c r="U3438"/>
  <c r="V3438" s="1"/>
  <c r="U3446"/>
  <c r="V3446" s="1"/>
  <c r="U3451"/>
  <c r="V3451" s="1"/>
  <c r="U3459"/>
  <c r="V3459" s="1"/>
  <c r="U3463"/>
  <c r="V3463" s="1"/>
  <c r="U3467"/>
  <c r="V3467" s="1"/>
  <c r="U3471"/>
  <c r="V3471" s="1"/>
  <c r="U3475"/>
  <c r="V3475" s="1"/>
  <c r="U3483"/>
  <c r="V3483" s="1"/>
  <c r="U3487"/>
  <c r="V3487" s="1"/>
  <c r="U3491"/>
  <c r="V3491" s="1"/>
  <c r="U3495"/>
  <c r="V3495" s="1"/>
  <c r="U3499"/>
  <c r="V3499" s="1"/>
  <c r="U3503"/>
  <c r="V3503" s="1"/>
  <c r="U3511"/>
  <c r="V3511" s="1"/>
  <c r="U3515"/>
  <c r="V3515" s="1"/>
  <c r="U3519"/>
  <c r="V3519" s="1"/>
  <c r="U3523"/>
  <c r="V3523" s="1"/>
  <c r="U3527"/>
  <c r="V3527" s="1"/>
  <c r="U3651"/>
  <c r="V3651" s="1"/>
  <c r="U3654"/>
  <c r="V3654" s="1"/>
  <c r="U3657"/>
  <c r="V3657" s="1"/>
  <c r="U3660"/>
  <c r="V3660" s="1"/>
  <c r="U3663"/>
  <c r="V3663" s="1"/>
  <c r="U3672"/>
  <c r="V3672" s="1"/>
  <c r="U3674"/>
  <c r="V3674" s="1"/>
  <c r="U3683"/>
  <c r="V3683" s="1"/>
  <c r="U3686"/>
  <c r="V3686" s="1"/>
  <c r="U3689"/>
  <c r="V3689" s="1"/>
  <c r="U3692"/>
  <c r="V3692" s="1"/>
  <c r="U3695"/>
  <c r="V3695" s="1"/>
  <c r="U3704"/>
  <c r="V3704" s="1"/>
  <c r="U3706"/>
  <c r="V3706" s="1"/>
  <c r="U3715"/>
  <c r="V3715" s="1"/>
  <c r="U3721"/>
  <c r="V3721" s="1"/>
  <c r="U3724"/>
  <c r="V3724" s="1"/>
  <c r="U3727"/>
  <c r="V3727" s="1"/>
  <c r="U3730"/>
  <c r="V3730" s="1"/>
  <c r="U3733"/>
  <c r="V3733" s="1"/>
  <c r="U3739"/>
  <c r="V3739" s="1"/>
  <c r="U3745"/>
  <c r="V3745" s="1"/>
  <c r="U3748"/>
  <c r="V3748" s="1"/>
  <c r="U3753"/>
  <c r="V3753" s="1"/>
  <c r="U3761"/>
  <c r="V3761" s="1"/>
  <c r="U3769"/>
  <c r="V3769" s="1"/>
  <c r="U3777"/>
  <c r="V3777" s="1"/>
  <c r="U3785"/>
  <c r="V3785" s="1"/>
  <c r="U3793"/>
  <c r="V3793" s="1"/>
  <c r="U3801"/>
  <c r="V3801" s="1"/>
  <c r="U3809"/>
  <c r="V3809" s="1"/>
  <c r="U3821"/>
  <c r="V3821" s="1"/>
  <c r="U3822"/>
  <c r="V3822" s="1"/>
  <c r="U3823"/>
  <c r="V3823" s="1"/>
  <c r="U3825"/>
  <c r="V3825" s="1"/>
  <c r="U3828"/>
  <c r="V3828" s="1"/>
  <c r="U3838"/>
  <c r="V3838" s="1"/>
  <c r="U3839"/>
  <c r="V3839" s="1"/>
  <c r="U3841"/>
  <c r="V3841" s="1"/>
  <c r="U3844"/>
  <c r="V3844" s="1"/>
  <c r="U3854"/>
  <c r="V3854" s="1"/>
  <c r="U3855"/>
  <c r="V3855" s="1"/>
  <c r="U3857"/>
  <c r="V3857" s="1"/>
  <c r="U3860"/>
  <c r="V3860" s="1"/>
  <c r="U3870"/>
  <c r="V3870" s="1"/>
  <c r="U3873"/>
  <c r="V3873" s="1"/>
  <c r="U3876"/>
  <c r="V3876" s="1"/>
  <c r="U3886"/>
  <c r="V3886" s="1"/>
  <c r="U3887"/>
  <c r="V3887" s="1"/>
  <c r="U3889"/>
  <c r="V3889" s="1"/>
  <c r="U3892"/>
  <c r="V3892" s="1"/>
  <c r="U3902"/>
  <c r="V3902" s="1"/>
  <c r="U3903"/>
  <c r="V3903" s="1"/>
  <c r="U3905"/>
  <c r="V3905" s="1"/>
  <c r="U3908"/>
  <c r="V3908" s="1"/>
  <c r="U3926"/>
  <c r="V3926" s="1"/>
  <c r="U3927"/>
  <c r="V3927" s="1"/>
  <c r="U3929"/>
  <c r="V3929" s="1"/>
  <c r="U3932"/>
  <c r="V3932" s="1"/>
  <c r="U3942"/>
  <c r="V3942" s="1"/>
  <c r="U3943"/>
  <c r="V3943" s="1"/>
  <c r="U3945"/>
  <c r="V3945" s="1"/>
  <c r="U3948"/>
  <c r="V3948" s="1"/>
  <c r="U3962"/>
  <c r="V3962" s="1"/>
  <c r="U3963"/>
  <c r="V3963" s="1"/>
  <c r="U3964"/>
  <c r="V3964" s="1"/>
  <c r="U3965"/>
  <c r="V3965" s="1"/>
  <c r="U4010"/>
  <c r="V4010" s="1"/>
  <c r="U4011"/>
  <c r="V4011" s="1"/>
  <c r="U4012"/>
  <c r="V4012" s="1"/>
  <c r="U4013"/>
  <c r="V4013" s="1"/>
  <c r="U4026"/>
  <c r="V4026" s="1"/>
  <c r="U4027"/>
  <c r="V4027" s="1"/>
  <c r="U4028"/>
  <c r="V4028" s="1"/>
  <c r="U4029"/>
  <c r="V4029" s="1"/>
  <c r="U4042"/>
  <c r="V4042" s="1"/>
  <c r="U4043"/>
  <c r="V4043" s="1"/>
  <c r="U4044"/>
  <c r="V4044" s="1"/>
  <c r="U4045"/>
  <c r="V4045" s="1"/>
  <c r="U4058"/>
  <c r="V4058" s="1"/>
  <c r="U4059"/>
  <c r="V4059" s="1"/>
  <c r="U4060"/>
  <c r="V4060" s="1"/>
  <c r="U4061"/>
  <c r="V4061" s="1"/>
  <c r="U4074"/>
  <c r="V4074" s="1"/>
  <c r="U4075"/>
  <c r="V4075" s="1"/>
  <c r="U4076"/>
  <c r="V4076" s="1"/>
  <c r="U4077"/>
  <c r="V4077" s="1"/>
  <c r="U4090"/>
  <c r="V4090" s="1"/>
  <c r="U4091"/>
  <c r="V4091" s="1"/>
  <c r="U4092"/>
  <c r="V4092" s="1"/>
  <c r="U4093"/>
  <c r="V4093" s="1"/>
  <c r="U4106"/>
  <c r="V4106" s="1"/>
  <c r="U4107"/>
  <c r="V4107" s="1"/>
  <c r="U4108"/>
  <c r="V4108" s="1"/>
  <c r="U4109"/>
  <c r="V4109" s="1"/>
  <c r="U4122"/>
  <c r="V4122" s="1"/>
  <c r="U4123"/>
  <c r="V4123" s="1"/>
  <c r="U4124"/>
  <c r="V4124" s="1"/>
  <c r="U4125"/>
  <c r="V4125" s="1"/>
  <c r="U4138"/>
  <c r="V4138" s="1"/>
  <c r="U4139"/>
  <c r="V4139" s="1"/>
  <c r="U4140"/>
  <c r="V4140" s="1"/>
  <c r="U4141"/>
  <c r="V4141" s="1"/>
  <c r="U4154"/>
  <c r="V4154" s="1"/>
  <c r="U4155"/>
  <c r="V4155" s="1"/>
  <c r="U4156"/>
  <c r="V4156" s="1"/>
  <c r="U4157"/>
  <c r="V4157" s="1"/>
  <c r="U4170"/>
  <c r="V4170" s="1"/>
  <c r="U4171"/>
  <c r="V4171" s="1"/>
  <c r="U4172"/>
  <c r="V4172" s="1"/>
  <c r="U4173"/>
  <c r="V4173" s="1"/>
  <c r="U4186"/>
  <c r="V4186" s="1"/>
  <c r="U4187"/>
  <c r="V4187" s="1"/>
  <c r="U4188"/>
  <c r="V4188" s="1"/>
  <c r="U4189"/>
  <c r="V4189" s="1"/>
  <c r="U4202"/>
  <c r="V4202" s="1"/>
  <c r="U4203"/>
  <c r="V4203" s="1"/>
  <c r="U4204"/>
  <c r="V4204" s="1"/>
  <c r="U4205"/>
  <c r="V4205" s="1"/>
  <c r="U4218"/>
  <c r="V4218" s="1"/>
  <c r="U4219"/>
  <c r="V4219" s="1"/>
  <c r="U4220"/>
  <c r="V4220" s="1"/>
  <c r="U4221"/>
  <c r="V4221" s="1"/>
  <c r="U4234"/>
  <c r="V4234" s="1"/>
  <c r="U4235"/>
  <c r="V4235" s="1"/>
  <c r="U4236"/>
  <c r="V4236" s="1"/>
  <c r="U4237"/>
  <c r="V4237" s="1"/>
  <c r="U4250"/>
  <c r="V4250" s="1"/>
  <c r="U4251"/>
  <c r="V4251" s="1"/>
  <c r="U4252"/>
  <c r="V4252" s="1"/>
  <c r="U4253"/>
  <c r="V4253" s="1"/>
  <c r="U4266"/>
  <c r="V4266" s="1"/>
  <c r="U4267"/>
  <c r="V4267" s="1"/>
  <c r="U4268"/>
  <c r="V4268" s="1"/>
  <c r="U4269"/>
  <c r="V4269" s="1"/>
  <c r="U4282"/>
  <c r="V4282" s="1"/>
  <c r="U4283"/>
  <c r="V4283" s="1"/>
  <c r="U4284"/>
  <c r="V4284" s="1"/>
  <c r="U4285"/>
  <c r="V4285" s="1"/>
  <c r="U4298"/>
  <c r="V4298" s="1"/>
  <c r="U4299"/>
  <c r="V4299" s="1"/>
  <c r="U4300"/>
  <c r="V4300" s="1"/>
  <c r="U4301"/>
  <c r="V4301" s="1"/>
  <c r="U4314"/>
  <c r="V4314" s="1"/>
  <c r="U4315"/>
  <c r="V4315" s="1"/>
  <c r="U4316"/>
  <c r="V4316" s="1"/>
  <c r="U4317"/>
  <c r="V4317" s="1"/>
  <c r="U4330"/>
  <c r="V4330" s="1"/>
  <c r="U4331"/>
  <c r="V4331" s="1"/>
  <c r="U4332"/>
  <c r="V4332" s="1"/>
  <c r="U4333"/>
  <c r="V4333" s="1"/>
  <c r="U4346"/>
  <c r="V4346" s="1"/>
  <c r="U4347"/>
  <c r="V4347" s="1"/>
  <c r="U4348"/>
  <c r="V4348" s="1"/>
  <c r="U4349"/>
  <c r="V4349" s="1"/>
  <c r="U4362"/>
  <c r="V4362" s="1"/>
  <c r="U4363"/>
  <c r="V4363" s="1"/>
  <c r="U4364"/>
  <c r="V4364" s="1"/>
  <c r="U4365"/>
  <c r="V4365" s="1"/>
  <c r="U4378"/>
  <c r="V4378" s="1"/>
  <c r="U1873"/>
  <c r="V1873" s="1"/>
  <c r="U1943"/>
  <c r="V1943" s="1"/>
  <c r="U1975"/>
  <c r="V1975" s="1"/>
  <c r="U2048"/>
  <c r="V2048" s="1"/>
  <c r="U2118"/>
  <c r="V2118" s="1"/>
  <c r="U2591"/>
  <c r="V2591" s="1"/>
  <c r="U2599"/>
  <c r="V2599" s="1"/>
  <c r="U2605"/>
  <c r="V2605" s="1"/>
  <c r="U2644"/>
  <c r="V2644" s="1"/>
  <c r="U2652"/>
  <c r="V2652" s="1"/>
  <c r="U2660"/>
  <c r="V2660" s="1"/>
  <c r="U2668"/>
  <c r="V2668" s="1"/>
  <c r="U2676"/>
  <c r="V2676" s="1"/>
  <c r="U2684"/>
  <c r="V2684" s="1"/>
  <c r="U2692"/>
  <c r="V2692" s="1"/>
  <c r="U2700"/>
  <c r="V2700" s="1"/>
  <c r="U2704"/>
  <c r="V2704" s="1"/>
  <c r="U2708"/>
  <c r="V2708" s="1"/>
  <c r="U2712"/>
  <c r="V2712" s="1"/>
  <c r="U2716"/>
  <c r="V2716" s="1"/>
  <c r="U2720"/>
  <c r="V2720" s="1"/>
  <c r="U2724"/>
  <c r="V2724" s="1"/>
  <c r="U2728"/>
  <c r="V2728" s="1"/>
  <c r="U2741"/>
  <c r="V2741" s="1"/>
  <c r="U2745"/>
  <c r="V2745" s="1"/>
  <c r="U2758"/>
  <c r="V2758" s="1"/>
  <c r="U2771"/>
  <c r="V2771" s="1"/>
  <c r="U2775"/>
  <c r="V2775" s="1"/>
  <c r="U2788"/>
  <c r="V2788" s="1"/>
  <c r="U2792"/>
  <c r="V2792" s="1"/>
  <c r="U2806"/>
  <c r="V2806" s="1"/>
  <c r="U2819"/>
  <c r="V2819" s="1"/>
  <c r="U2840"/>
  <c r="V2840" s="1"/>
  <c r="U2853"/>
  <c r="V2853" s="1"/>
  <c r="U2866"/>
  <c r="V2866" s="1"/>
  <c r="U2883"/>
  <c r="V2883" s="1"/>
  <c r="U2904"/>
  <c r="V2904" s="1"/>
  <c r="U2917"/>
  <c r="V2917" s="1"/>
  <c r="U2930"/>
  <c r="V2930" s="1"/>
  <c r="U2947"/>
  <c r="V2947" s="1"/>
  <c r="U2968"/>
  <c r="V2968" s="1"/>
  <c r="U2981"/>
  <c r="V2981" s="1"/>
  <c r="U2994"/>
  <c r="V2994" s="1"/>
  <c r="U3011"/>
  <c r="V3011" s="1"/>
  <c r="U3032"/>
  <c r="V3032" s="1"/>
  <c r="U3045"/>
  <c r="V3045" s="1"/>
  <c r="U3058"/>
  <c r="V3058" s="1"/>
  <c r="U3131"/>
  <c r="V3131" s="1"/>
  <c r="U3283"/>
  <c r="V3283" s="1"/>
  <c r="U3287"/>
  <c r="V3287" s="1"/>
  <c r="U3291"/>
  <c r="V3291" s="1"/>
  <c r="U3295"/>
  <c r="V3295" s="1"/>
  <c r="U3299"/>
  <c r="V3299" s="1"/>
  <c r="U3303"/>
  <c r="V3303" s="1"/>
  <c r="U3307"/>
  <c r="V3307" s="1"/>
  <c r="U3311"/>
  <c r="V3311" s="1"/>
  <c r="U3315"/>
  <c r="V3315" s="1"/>
  <c r="U3319"/>
  <c r="V3319" s="1"/>
  <c r="U3323"/>
  <c r="V3323" s="1"/>
  <c r="U3327"/>
  <c r="V3327" s="1"/>
  <c r="U3331"/>
  <c r="V3331" s="1"/>
  <c r="U3335"/>
  <c r="V3335" s="1"/>
  <c r="U3339"/>
  <c r="V3339" s="1"/>
  <c r="U3343"/>
  <c r="V3343" s="1"/>
  <c r="U3351"/>
  <c r="V3351" s="1"/>
  <c r="U3355"/>
  <c r="V3355" s="1"/>
  <c r="U3359"/>
  <c r="V3359" s="1"/>
  <c r="U3363"/>
  <c r="V3363" s="1"/>
  <c r="U3367"/>
  <c r="V3367" s="1"/>
  <c r="U3371"/>
  <c r="V3371" s="1"/>
  <c r="U3375"/>
  <c r="V3375" s="1"/>
  <c r="U3379"/>
  <c r="V3379" s="1"/>
  <c r="U3383"/>
  <c r="V3383" s="1"/>
  <c r="U3387"/>
  <c r="V3387" s="1"/>
  <c r="U3391"/>
  <c r="V3391" s="1"/>
  <c r="U3399"/>
  <c r="V3399" s="1"/>
  <c r="U3403"/>
  <c r="V3403" s="1"/>
  <c r="U3411"/>
  <c r="V3411" s="1"/>
  <c r="U3419"/>
  <c r="V3419" s="1"/>
  <c r="U3427"/>
  <c r="V3427" s="1"/>
  <c r="U3435"/>
  <c r="V3435" s="1"/>
  <c r="U3439"/>
  <c r="V3439" s="1"/>
  <c r="U3443"/>
  <c r="V3443" s="1"/>
  <c r="U3447"/>
  <c r="V3447" s="1"/>
  <c r="U3648"/>
  <c r="V3648" s="1"/>
  <c r="U3650"/>
  <c r="V3650" s="1"/>
  <c r="U3659"/>
  <c r="V3659" s="1"/>
  <c r="U3662"/>
  <c r="V3662" s="1"/>
  <c r="U3665"/>
  <c r="V3665" s="1"/>
  <c r="U3668"/>
  <c r="V3668" s="1"/>
  <c r="U3671"/>
  <c r="V3671" s="1"/>
  <c r="U3680"/>
  <c r="V3680" s="1"/>
  <c r="U3691"/>
  <c r="V3691" s="1"/>
  <c r="U3694"/>
  <c r="V3694" s="1"/>
  <c r="U3697"/>
  <c r="V3697" s="1"/>
  <c r="U3700"/>
  <c r="V3700" s="1"/>
  <c r="U3703"/>
  <c r="V3703" s="1"/>
  <c r="U3714"/>
  <c r="V3714" s="1"/>
  <c r="U3723"/>
  <c r="V3723" s="1"/>
  <c r="U3726"/>
  <c r="V3726" s="1"/>
  <c r="U3729"/>
  <c r="V3729" s="1"/>
  <c r="U3738"/>
  <c r="V3738" s="1"/>
  <c r="U3741"/>
  <c r="V3741" s="1"/>
  <c r="U3747"/>
  <c r="V3747" s="1"/>
  <c r="U3750"/>
  <c r="V3750" s="1"/>
  <c r="U3751"/>
  <c r="V3751" s="1"/>
  <c r="U3752"/>
  <c r="V3752" s="1"/>
  <c r="U3758"/>
  <c r="V3758" s="1"/>
  <c r="U3759"/>
  <c r="V3759" s="1"/>
  <c r="U3760"/>
  <c r="V3760" s="1"/>
  <c r="U3766"/>
  <c r="V3766" s="1"/>
  <c r="U3767"/>
  <c r="V3767" s="1"/>
  <c r="U3768"/>
  <c r="V3768" s="1"/>
  <c r="U3774"/>
  <c r="V3774" s="1"/>
  <c r="U3775"/>
  <c r="V3775" s="1"/>
  <c r="U3776"/>
  <c r="V3776" s="1"/>
  <c r="U3782"/>
  <c r="V3782" s="1"/>
  <c r="U3783"/>
  <c r="V3783" s="1"/>
  <c r="U3784"/>
  <c r="V3784" s="1"/>
  <c r="U3790"/>
  <c r="V3790" s="1"/>
  <c r="U3791"/>
  <c r="V3791" s="1"/>
  <c r="U3792"/>
  <c r="V3792" s="1"/>
  <c r="U3798"/>
  <c r="V3798" s="1"/>
  <c r="U3799"/>
  <c r="V3799" s="1"/>
  <c r="U3800"/>
  <c r="V3800" s="1"/>
  <c r="U3806"/>
  <c r="V3806" s="1"/>
  <c r="U3807"/>
  <c r="V3807" s="1"/>
  <c r="U3808"/>
  <c r="V3808" s="1"/>
  <c r="U3817"/>
  <c r="V3817" s="1"/>
  <c r="U3818"/>
  <c r="V3818" s="1"/>
  <c r="U3819"/>
  <c r="V3819" s="1"/>
  <c r="U3820"/>
  <c r="V3820" s="1"/>
  <c r="U3824"/>
  <c r="V3824" s="1"/>
  <c r="U3834"/>
  <c r="V3834" s="1"/>
  <c r="U3835"/>
  <c r="V3835" s="1"/>
  <c r="U3837"/>
  <c r="V3837" s="1"/>
  <c r="U3840"/>
  <c r="V3840" s="1"/>
  <c r="U3850"/>
  <c r="V3850" s="1"/>
  <c r="U3851"/>
  <c r="V3851" s="1"/>
  <c r="U3853"/>
  <c r="V3853" s="1"/>
  <c r="U3856"/>
  <c r="V3856" s="1"/>
  <c r="U3866"/>
  <c r="V3866" s="1"/>
  <c r="U3869"/>
  <c r="V3869" s="1"/>
  <c r="U3872"/>
  <c r="V3872" s="1"/>
  <c r="U3882"/>
  <c r="V3882" s="1"/>
  <c r="U3885"/>
  <c r="V3885" s="1"/>
  <c r="U3888"/>
  <c r="V3888" s="1"/>
  <c r="U3898"/>
  <c r="V3898" s="1"/>
  <c r="U3899"/>
  <c r="V3899" s="1"/>
  <c r="U3901"/>
  <c r="V3901" s="1"/>
  <c r="U3904"/>
  <c r="V3904" s="1"/>
  <c r="U3922"/>
  <c r="V3922" s="1"/>
  <c r="U3923"/>
  <c r="V3923" s="1"/>
  <c r="U3925"/>
  <c r="V3925" s="1"/>
  <c r="U3928"/>
  <c r="V3928" s="1"/>
  <c r="U3938"/>
  <c r="V3938" s="1"/>
  <c r="U3939"/>
  <c r="V3939" s="1"/>
  <c r="U3941"/>
  <c r="V3941" s="1"/>
  <c r="U3944"/>
  <c r="V3944" s="1"/>
  <c r="U3958"/>
  <c r="V3958" s="1"/>
  <c r="U3960"/>
  <c r="V3960" s="1"/>
  <c r="U3961"/>
  <c r="V3961" s="1"/>
  <c r="U3975"/>
  <c r="V3975" s="1"/>
  <c r="U3976"/>
  <c r="V3976" s="1"/>
  <c r="U3977"/>
  <c r="V3977" s="1"/>
  <c r="U3978"/>
  <c r="V3978" s="1"/>
  <c r="U3979"/>
  <c r="V3979" s="1"/>
  <c r="U3981"/>
  <c r="V3981" s="1"/>
  <c r="U3983"/>
  <c r="V3983" s="1"/>
  <c r="U3984"/>
  <c r="V3984" s="1"/>
  <c r="U3985"/>
  <c r="V3985" s="1"/>
  <c r="U3986"/>
  <c r="V3986" s="1"/>
  <c r="U3987"/>
  <c r="V3987" s="1"/>
  <c r="U3989"/>
  <c r="V3989" s="1"/>
  <c r="U3990"/>
  <c r="V3990" s="1"/>
  <c r="U3991"/>
  <c r="V3991" s="1"/>
  <c r="U3992"/>
  <c r="V3992" s="1"/>
  <c r="U3993"/>
  <c r="V3993" s="1"/>
  <c r="U3994"/>
  <c r="V3994" s="1"/>
  <c r="U3995"/>
  <c r="V3995" s="1"/>
  <c r="U3997"/>
  <c r="V3997" s="1"/>
  <c r="U3998"/>
  <c r="V3998" s="1"/>
  <c r="U3999"/>
  <c r="V3999" s="1"/>
  <c r="U4000"/>
  <c r="V4000" s="1"/>
  <c r="U4001"/>
  <c r="V4001" s="1"/>
  <c r="U4002"/>
  <c r="V4002" s="1"/>
  <c r="U4003"/>
  <c r="V4003" s="1"/>
  <c r="U4005"/>
  <c r="V4005" s="1"/>
  <c r="U4006"/>
  <c r="V4006" s="1"/>
  <c r="U4007"/>
  <c r="V4007" s="1"/>
  <c r="U4008"/>
  <c r="V4008" s="1"/>
  <c r="U4009"/>
  <c r="V4009" s="1"/>
  <c r="U4022"/>
  <c r="V4022" s="1"/>
  <c r="U4023"/>
  <c r="V4023" s="1"/>
  <c r="U4024"/>
  <c r="V4024" s="1"/>
  <c r="U4025"/>
  <c r="V4025" s="1"/>
  <c r="U4038"/>
  <c r="V4038" s="1"/>
  <c r="U4039"/>
  <c r="V4039" s="1"/>
  <c r="U4040"/>
  <c r="V4040" s="1"/>
  <c r="U4041"/>
  <c r="V4041" s="1"/>
  <c r="U4054"/>
  <c r="V4054" s="1"/>
  <c r="U4055"/>
  <c r="V4055" s="1"/>
  <c r="U4056"/>
  <c r="V4056" s="1"/>
  <c r="U4057"/>
  <c r="V4057" s="1"/>
  <c r="U4070"/>
  <c r="V4070" s="1"/>
  <c r="U4071"/>
  <c r="V4071" s="1"/>
  <c r="U4072"/>
  <c r="V4072" s="1"/>
  <c r="U4073"/>
  <c r="V4073" s="1"/>
  <c r="U4086"/>
  <c r="V4086" s="1"/>
  <c r="U4087"/>
  <c r="V4087" s="1"/>
  <c r="U4088"/>
  <c r="V4088" s="1"/>
  <c r="U4089"/>
  <c r="V4089" s="1"/>
  <c r="U4102"/>
  <c r="V4102" s="1"/>
  <c r="U4103"/>
  <c r="V4103" s="1"/>
  <c r="U4104"/>
  <c r="V4104" s="1"/>
  <c r="U4105"/>
  <c r="V4105" s="1"/>
  <c r="U4118"/>
  <c r="V4118" s="1"/>
  <c r="U4119"/>
  <c r="V4119" s="1"/>
  <c r="U4120"/>
  <c r="V4120" s="1"/>
  <c r="U4121"/>
  <c r="V4121" s="1"/>
  <c r="U4134"/>
  <c r="V4134" s="1"/>
  <c r="U4135"/>
  <c r="V4135" s="1"/>
  <c r="U4136"/>
  <c r="V4136" s="1"/>
  <c r="U4137"/>
  <c r="V4137" s="1"/>
  <c r="U4150"/>
  <c r="V4150" s="1"/>
  <c r="U4151"/>
  <c r="V4151" s="1"/>
  <c r="U4152"/>
  <c r="V4152" s="1"/>
  <c r="U4153"/>
  <c r="V4153" s="1"/>
  <c r="U4166"/>
  <c r="V4166" s="1"/>
  <c r="U4167"/>
  <c r="V4167" s="1"/>
  <c r="U4168"/>
  <c r="V4168" s="1"/>
  <c r="U4169"/>
  <c r="V4169" s="1"/>
  <c r="U4182"/>
  <c r="V4182" s="1"/>
  <c r="U4183"/>
  <c r="V4183" s="1"/>
  <c r="U4184"/>
  <c r="V4184" s="1"/>
  <c r="U4185"/>
  <c r="V4185" s="1"/>
  <c r="U4198"/>
  <c r="V4198" s="1"/>
  <c r="U4199"/>
  <c r="V4199" s="1"/>
  <c r="U4200"/>
  <c r="V4200" s="1"/>
  <c r="U4201"/>
  <c r="V4201" s="1"/>
  <c r="U4214"/>
  <c r="V4214" s="1"/>
  <c r="U4215"/>
  <c r="V4215" s="1"/>
  <c r="U4216"/>
  <c r="V4216" s="1"/>
  <c r="U4217"/>
  <c r="V4217" s="1"/>
  <c r="U4230"/>
  <c r="V4230" s="1"/>
  <c r="U4231"/>
  <c r="V4231" s="1"/>
  <c r="U4232"/>
  <c r="V4232" s="1"/>
  <c r="U4233"/>
  <c r="V4233" s="1"/>
  <c r="U4246"/>
  <c r="V4246" s="1"/>
  <c r="U4247"/>
  <c r="V4247" s="1"/>
  <c r="U4248"/>
  <c r="V4248" s="1"/>
  <c r="U4249"/>
  <c r="V4249" s="1"/>
  <c r="U4262"/>
  <c r="V4262" s="1"/>
  <c r="U4263"/>
  <c r="V4263" s="1"/>
  <c r="U4264"/>
  <c r="V4264" s="1"/>
  <c r="U4265"/>
  <c r="V4265" s="1"/>
  <c r="U4278"/>
  <c r="V4278" s="1"/>
  <c r="U4279"/>
  <c r="V4279" s="1"/>
  <c r="U4280"/>
  <c r="V4280" s="1"/>
  <c r="U4281"/>
  <c r="V4281" s="1"/>
  <c r="U4294"/>
  <c r="V4294" s="1"/>
  <c r="U4295"/>
  <c r="V4295" s="1"/>
  <c r="U4296"/>
  <c r="V4296" s="1"/>
  <c r="U4297"/>
  <c r="V4297" s="1"/>
  <c r="U4310"/>
  <c r="V4310" s="1"/>
  <c r="U4311"/>
  <c r="V4311" s="1"/>
  <c r="U4312"/>
  <c r="V4312" s="1"/>
  <c r="U4313"/>
  <c r="V4313" s="1"/>
  <c r="U4326"/>
  <c r="V4326" s="1"/>
  <c r="U4327"/>
  <c r="V4327" s="1"/>
  <c r="U4328"/>
  <c r="V4328" s="1"/>
  <c r="U4329"/>
  <c r="V4329" s="1"/>
  <c r="U4342"/>
  <c r="V4342" s="1"/>
  <c r="U4343"/>
  <c r="V4343" s="1"/>
  <c r="U4344"/>
  <c r="V4344" s="1"/>
  <c r="U4345"/>
  <c r="V4345" s="1"/>
  <c r="U4358"/>
  <c r="V4358" s="1"/>
  <c r="U4359"/>
  <c r="V4359" s="1"/>
  <c r="U4360"/>
  <c r="V4360" s="1"/>
  <c r="U4361"/>
  <c r="V4361" s="1"/>
  <c r="U4374"/>
  <c r="V4374" s="1"/>
  <c r="U4375"/>
  <c r="V4375" s="1"/>
  <c r="U4376"/>
  <c r="V4376" s="1"/>
  <c r="U4377"/>
  <c r="V4377" s="1"/>
  <c r="U4390"/>
  <c r="V4390" s="1"/>
  <c r="U4391"/>
  <c r="V4391" s="1"/>
  <c r="U4392"/>
  <c r="V4392" s="1"/>
  <c r="U4393"/>
  <c r="V4393" s="1"/>
  <c r="U4406"/>
  <c r="V4406" s="1"/>
  <c r="U4407"/>
  <c r="V4407" s="1"/>
  <c r="U4408"/>
  <c r="V4408" s="1"/>
  <c r="U4409"/>
  <c r="V4409" s="1"/>
  <c r="U4422"/>
  <c r="V4422" s="1"/>
  <c r="U4423"/>
  <c r="V4423" s="1"/>
  <c r="U4424"/>
  <c r="V4424" s="1"/>
  <c r="U4425"/>
  <c r="V4425" s="1"/>
  <c r="U4438"/>
  <c r="V4438" s="1"/>
  <c r="U4439"/>
  <c r="V4439" s="1"/>
  <c r="U4440"/>
  <c r="V4440" s="1"/>
  <c r="U4441"/>
  <c r="V4441" s="1"/>
  <c r="U4454"/>
  <c r="V4454" s="1"/>
  <c r="U4455"/>
  <c r="V4455" s="1"/>
  <c r="U4456"/>
  <c r="V4456" s="1"/>
  <c r="U4457"/>
  <c r="V4457" s="1"/>
  <c r="U4470"/>
  <c r="V4470" s="1"/>
  <c r="U4471"/>
  <c r="V4471" s="1"/>
  <c r="U4472"/>
  <c r="V4472" s="1"/>
  <c r="U4473"/>
  <c r="V4473" s="1"/>
  <c r="U4486"/>
  <c r="V4486" s="1"/>
  <c r="U4487"/>
  <c r="V4487" s="1"/>
  <c r="U4488"/>
  <c r="V4488" s="1"/>
  <c r="U4489"/>
  <c r="V4489" s="1"/>
  <c r="U4502"/>
  <c r="V4502" s="1"/>
  <c r="U4503"/>
  <c r="V4503" s="1"/>
  <c r="U4504"/>
  <c r="V4504" s="1"/>
  <c r="U4505"/>
  <c r="V4505" s="1"/>
  <c r="U4518"/>
  <c r="V4518" s="1"/>
  <c r="U4519"/>
  <c r="V4519" s="1"/>
  <c r="U4520"/>
  <c r="V4520" s="1"/>
  <c r="U4521"/>
  <c r="V4521" s="1"/>
  <c r="U4534"/>
  <c r="V4534" s="1"/>
  <c r="U4535"/>
  <c r="V4535" s="1"/>
  <c r="U4536"/>
  <c r="V4536" s="1"/>
  <c r="U4537"/>
  <c r="V4537" s="1"/>
  <c r="U4550"/>
  <c r="V4550" s="1"/>
  <c r="U4551"/>
  <c r="V4551" s="1"/>
  <c r="U4552"/>
  <c r="V4552" s="1"/>
  <c r="U4553"/>
  <c r="V4553" s="1"/>
  <c r="U4566"/>
  <c r="V4566" s="1"/>
  <c r="U4567"/>
  <c r="V4567" s="1"/>
  <c r="U4580"/>
  <c r="V4580" s="1"/>
  <c r="U4581"/>
  <c r="V4581" s="1"/>
  <c r="U4582"/>
  <c r="V4582" s="1"/>
  <c r="U4583"/>
  <c r="V4583" s="1"/>
  <c r="U4596"/>
  <c r="V4596" s="1"/>
  <c r="U4597"/>
  <c r="V4597" s="1"/>
  <c r="U4598"/>
  <c r="V4598" s="1"/>
  <c r="U4599"/>
  <c r="V4599" s="1"/>
  <c r="U4612"/>
  <c r="V4612" s="1"/>
  <c r="U4613"/>
  <c r="V4613" s="1"/>
  <c r="U4614"/>
  <c r="V4614" s="1"/>
  <c r="U4615"/>
  <c r="V4615" s="1"/>
  <c r="U4628"/>
  <c r="V4628" s="1"/>
  <c r="U4629"/>
  <c r="V4629" s="1"/>
  <c r="U4630"/>
  <c r="V4630" s="1"/>
  <c r="U4631"/>
  <c r="V4631" s="1"/>
  <c r="U4644"/>
  <c r="V4644" s="1"/>
  <c r="U4645"/>
  <c r="V4645" s="1"/>
  <c r="U4646"/>
  <c r="V4646" s="1"/>
  <c r="U4647"/>
  <c r="V4647" s="1"/>
  <c r="U4677"/>
  <c r="V4677" s="1"/>
  <c r="U4678"/>
  <c r="V4678" s="1"/>
  <c r="U4679"/>
  <c r="V4679" s="1"/>
  <c r="U2631"/>
  <c r="V2631" s="1"/>
  <c r="U2729"/>
  <c r="V2729" s="1"/>
  <c r="U2798"/>
  <c r="V2798" s="1"/>
  <c r="U2850"/>
  <c r="V2850" s="1"/>
  <c r="U2867"/>
  <c r="V2867" s="1"/>
  <c r="U2901"/>
  <c r="V2901" s="1"/>
  <c r="U2952"/>
  <c r="V2952" s="1"/>
  <c r="U3450"/>
  <c r="V3450" s="1"/>
  <c r="U3458"/>
  <c r="V3458" s="1"/>
  <c r="U3474"/>
  <c r="V3474" s="1"/>
  <c r="U3482"/>
  <c r="V3482" s="1"/>
  <c r="U3490"/>
  <c r="V3490" s="1"/>
  <c r="U3498"/>
  <c r="V3498" s="1"/>
  <c r="U3506"/>
  <c r="V3506" s="1"/>
  <c r="U3514"/>
  <c r="V3514" s="1"/>
  <c r="U3522"/>
  <c r="V3522" s="1"/>
  <c r="U3535"/>
  <c r="V3535" s="1"/>
  <c r="U3551"/>
  <c r="V3551" s="1"/>
  <c r="U3567"/>
  <c r="V3567" s="1"/>
  <c r="U3583"/>
  <c r="V3583" s="1"/>
  <c r="U3599"/>
  <c r="V3599" s="1"/>
  <c r="U3615"/>
  <c r="V3615" s="1"/>
  <c r="U3631"/>
  <c r="V3631" s="1"/>
  <c r="U3647"/>
  <c r="V3647" s="1"/>
  <c r="U3690"/>
  <c r="V3690" s="1"/>
  <c r="U3702"/>
  <c r="V3702" s="1"/>
  <c r="U3708"/>
  <c r="V3708" s="1"/>
  <c r="U3720"/>
  <c r="V3720" s="1"/>
  <c r="U3732"/>
  <c r="V3732" s="1"/>
  <c r="U3773"/>
  <c r="V3773" s="1"/>
  <c r="U3805"/>
  <c r="V3805" s="1"/>
  <c r="U3814"/>
  <c r="V3814" s="1"/>
  <c r="U3831"/>
  <c r="V3831" s="1"/>
  <c r="U3852"/>
  <c r="V3852" s="1"/>
  <c r="U3865"/>
  <c r="V3865" s="1"/>
  <c r="U3878"/>
  <c r="V3878" s="1"/>
  <c r="U3895"/>
  <c r="V3895" s="1"/>
  <c r="U3916"/>
  <c r="V3916" s="1"/>
  <c r="U3924"/>
  <c r="V3924" s="1"/>
  <c r="U3937"/>
  <c r="V3937" s="1"/>
  <c r="U3954"/>
  <c r="V3954" s="1"/>
  <c r="U3971"/>
  <c r="V3971" s="1"/>
  <c r="U4020"/>
  <c r="V4020" s="1"/>
  <c r="U4037"/>
  <c r="V4037" s="1"/>
  <c r="U4050"/>
  <c r="V4050" s="1"/>
  <c r="U4067"/>
  <c r="V4067" s="1"/>
  <c r="U4084"/>
  <c r="V4084" s="1"/>
  <c r="U4101"/>
  <c r="V4101" s="1"/>
  <c r="U4114"/>
  <c r="V4114" s="1"/>
  <c r="U4131"/>
  <c r="V4131" s="1"/>
  <c r="U4148"/>
  <c r="V4148" s="1"/>
  <c r="U4165"/>
  <c r="V4165" s="1"/>
  <c r="U4178"/>
  <c r="V4178" s="1"/>
  <c r="U4195"/>
  <c r="V4195" s="1"/>
  <c r="U4212"/>
  <c r="V4212" s="1"/>
  <c r="U4229"/>
  <c r="V4229" s="1"/>
  <c r="U4242"/>
  <c r="V4242" s="1"/>
  <c r="U4259"/>
  <c r="V4259" s="1"/>
  <c r="U4276"/>
  <c r="V4276" s="1"/>
  <c r="U4293"/>
  <c r="V4293" s="1"/>
  <c r="U4306"/>
  <c r="V4306" s="1"/>
  <c r="U4323"/>
  <c r="V4323" s="1"/>
  <c r="U4340"/>
  <c r="V4340" s="1"/>
  <c r="U4357"/>
  <c r="V4357" s="1"/>
  <c r="U4370"/>
  <c r="V4370" s="1"/>
  <c r="U4387"/>
  <c r="V4387" s="1"/>
  <c r="U4389"/>
  <c r="V4389" s="1"/>
  <c r="U4402"/>
  <c r="V4402" s="1"/>
  <c r="U4404"/>
  <c r="V4404" s="1"/>
  <c r="U4419"/>
  <c r="V4419" s="1"/>
  <c r="U4421"/>
  <c r="V4421" s="1"/>
  <c r="U4434"/>
  <c r="V4434" s="1"/>
  <c r="U4436"/>
  <c r="V4436" s="1"/>
  <c r="U4451"/>
  <c r="V4451" s="1"/>
  <c r="U4453"/>
  <c r="V4453" s="1"/>
  <c r="U4466"/>
  <c r="V4466" s="1"/>
  <c r="U4468"/>
  <c r="V4468" s="1"/>
  <c r="U4483"/>
  <c r="V4483" s="1"/>
  <c r="U4485"/>
  <c r="V4485" s="1"/>
  <c r="U4498"/>
  <c r="V4498" s="1"/>
  <c r="U4500"/>
  <c r="V4500" s="1"/>
  <c r="U4515"/>
  <c r="V4515" s="1"/>
  <c r="U4517"/>
  <c r="V4517" s="1"/>
  <c r="U4530"/>
  <c r="V4530" s="1"/>
  <c r="U4532"/>
  <c r="V4532" s="1"/>
  <c r="U4547"/>
  <c r="V4547" s="1"/>
  <c r="U4549"/>
  <c r="V4549" s="1"/>
  <c r="U4562"/>
  <c r="V4562" s="1"/>
  <c r="U4564"/>
  <c r="V4564" s="1"/>
  <c r="U4577"/>
  <c r="V4577" s="1"/>
  <c r="U4579"/>
  <c r="V4579" s="1"/>
  <c r="U4592"/>
  <c r="V4592" s="1"/>
  <c r="U4594"/>
  <c r="V4594" s="1"/>
  <c r="U4609"/>
  <c r="V4609" s="1"/>
  <c r="U4611"/>
  <c r="V4611" s="1"/>
  <c r="U4624"/>
  <c r="V4624" s="1"/>
  <c r="U4626"/>
  <c r="V4626" s="1"/>
  <c r="U4641"/>
  <c r="V4641" s="1"/>
  <c r="U4643"/>
  <c r="V4643" s="1"/>
  <c r="U4656"/>
  <c r="V4656" s="1"/>
  <c r="U4712"/>
  <c r="V4712" s="1"/>
  <c r="U4713"/>
  <c r="V4713" s="1"/>
  <c r="U4714"/>
  <c r="V4714" s="1"/>
  <c r="U4747"/>
  <c r="V4747" s="1"/>
  <c r="U4795"/>
  <c r="V4795" s="1"/>
  <c r="U4809"/>
  <c r="V4809" s="1"/>
  <c r="U4810"/>
  <c r="V4810" s="1"/>
  <c r="U4811"/>
  <c r="V4811" s="1"/>
  <c r="U4828"/>
  <c r="V4828" s="1"/>
  <c r="U4829"/>
  <c r="V4829" s="1"/>
  <c r="U4830"/>
  <c r="V4830" s="1"/>
  <c r="U4831"/>
  <c r="V4831" s="1"/>
  <c r="U4840"/>
  <c r="V4840" s="1"/>
  <c r="U4841"/>
  <c r="V4841" s="1"/>
  <c r="U4842"/>
  <c r="V4842" s="1"/>
  <c r="U4843"/>
  <c r="V4843" s="1"/>
  <c r="U4856"/>
  <c r="V4856" s="1"/>
  <c r="U4857"/>
  <c r="V4857" s="1"/>
  <c r="U4858"/>
  <c r="V4858" s="1"/>
  <c r="U4859"/>
  <c r="V4859" s="1"/>
  <c r="U4872"/>
  <c r="V4872" s="1"/>
  <c r="U4873"/>
  <c r="V4873" s="1"/>
  <c r="U4875"/>
  <c r="V4875" s="1"/>
  <c r="U4888"/>
  <c r="V4888" s="1"/>
  <c r="U4889"/>
  <c r="V4889" s="1"/>
  <c r="U4890"/>
  <c r="V4890" s="1"/>
  <c r="U4891"/>
  <c r="V4891" s="1"/>
  <c r="U4902"/>
  <c r="V4902" s="1"/>
  <c r="U4903"/>
  <c r="V4903" s="1"/>
  <c r="U4904"/>
  <c r="V4904" s="1"/>
  <c r="U4905"/>
  <c r="V4905" s="1"/>
  <c r="U4918"/>
  <c r="V4918" s="1"/>
  <c r="U4919"/>
  <c r="V4919" s="1"/>
  <c r="U4920"/>
  <c r="V4920" s="1"/>
  <c r="U4921"/>
  <c r="V4921" s="1"/>
  <c r="U4938"/>
  <c r="V4938" s="1"/>
  <c r="U4939"/>
  <c r="V4939" s="1"/>
  <c r="U4941"/>
  <c r="V4941" s="1"/>
  <c r="U4954"/>
  <c r="V4954" s="1"/>
  <c r="U4955"/>
  <c r="V4955" s="1"/>
  <c r="U4956"/>
  <c r="V4956" s="1"/>
  <c r="U4957"/>
  <c r="V4957" s="1"/>
  <c r="U4970"/>
  <c r="V4970" s="1"/>
  <c r="U4971"/>
  <c r="V4971" s="1"/>
  <c r="U4972"/>
  <c r="V4972" s="1"/>
  <c r="U4973"/>
  <c r="V4973" s="1"/>
  <c r="U4986"/>
  <c r="V4986" s="1"/>
  <c r="U4988"/>
  <c r="V4988" s="1"/>
  <c r="U4989"/>
  <c r="V4989" s="1"/>
  <c r="U5002"/>
  <c r="V5002" s="1"/>
  <c r="U5003"/>
  <c r="V5003" s="1"/>
  <c r="U5004"/>
  <c r="V5004" s="1"/>
  <c r="U5005"/>
  <c r="V5005" s="1"/>
  <c r="U5018"/>
  <c r="V5018" s="1"/>
  <c r="U5019"/>
  <c r="V5019" s="1"/>
  <c r="U5020"/>
  <c r="V5020" s="1"/>
  <c r="U5021"/>
  <c r="V5021" s="1"/>
  <c r="U5034"/>
  <c r="V5034" s="1"/>
  <c r="U5035"/>
  <c r="V5035" s="1"/>
  <c r="U5037"/>
  <c r="V5037" s="1"/>
  <c r="U5044"/>
  <c r="V5044" s="1"/>
  <c r="U5060"/>
  <c r="V5060" s="1"/>
  <c r="U5061"/>
  <c r="V5061" s="1"/>
  <c r="U5062"/>
  <c r="V5062" s="1"/>
  <c r="U5063"/>
  <c r="V5063" s="1"/>
  <c r="U5065"/>
  <c r="V5065" s="1"/>
  <c r="U5066"/>
  <c r="V5066" s="1"/>
  <c r="U5091"/>
  <c r="V5091" s="1"/>
  <c r="U5092"/>
  <c r="V5092" s="1"/>
  <c r="U5093"/>
  <c r="V5093" s="1"/>
  <c r="U5094"/>
  <c r="V5094" s="1"/>
  <c r="U2606"/>
  <c r="V2606" s="1"/>
  <c r="U2701"/>
  <c r="V2701" s="1"/>
  <c r="U2717"/>
  <c r="V2717" s="1"/>
  <c r="U2837"/>
  <c r="V2837" s="1"/>
  <c r="U2888"/>
  <c r="V2888" s="1"/>
  <c r="U3042"/>
  <c r="V3042" s="1"/>
  <c r="U3059"/>
  <c r="V3059" s="1"/>
  <c r="U3531"/>
  <c r="V3531" s="1"/>
  <c r="U3547"/>
  <c r="V3547" s="1"/>
  <c r="U3563"/>
  <c r="V3563" s="1"/>
  <c r="U3579"/>
  <c r="V3579" s="1"/>
  <c r="U3595"/>
  <c r="V3595" s="1"/>
  <c r="U3611"/>
  <c r="V3611" s="1"/>
  <c r="U3627"/>
  <c r="V3627" s="1"/>
  <c r="U3643"/>
  <c r="V3643" s="1"/>
  <c r="U3667"/>
  <c r="V3667" s="1"/>
  <c r="U3673"/>
  <c r="V3673" s="1"/>
  <c r="U3679"/>
  <c r="V3679" s="1"/>
  <c r="U3722"/>
  <c r="V3722" s="1"/>
  <c r="U3746"/>
  <c r="V3746" s="1"/>
  <c r="U3765"/>
  <c r="V3765" s="1"/>
  <c r="U3797"/>
  <c r="V3797" s="1"/>
  <c r="U3815"/>
  <c r="V3815" s="1"/>
  <c r="U3836"/>
  <c r="V3836" s="1"/>
  <c r="U3849"/>
  <c r="V3849" s="1"/>
  <c r="U3862"/>
  <c r="V3862" s="1"/>
  <c r="U3900"/>
  <c r="V3900" s="1"/>
  <c r="U3913"/>
  <c r="V3913" s="1"/>
  <c r="U3917"/>
  <c r="V3917" s="1"/>
  <c r="U3921"/>
  <c r="V3921" s="1"/>
  <c r="U3934"/>
  <c r="V3934" s="1"/>
  <c r="U3951"/>
  <c r="V3951" s="1"/>
  <c r="U3972"/>
  <c r="V3972" s="1"/>
  <c r="U3980"/>
  <c r="V3980" s="1"/>
  <c r="U3988"/>
  <c r="V3988" s="1"/>
  <c r="U3996"/>
  <c r="V3996" s="1"/>
  <c r="U4004"/>
  <c r="V4004" s="1"/>
  <c r="U4021"/>
  <c r="V4021" s="1"/>
  <c r="U4034"/>
  <c r="V4034" s="1"/>
  <c r="U4051"/>
  <c r="V4051" s="1"/>
  <c r="U4068"/>
  <c r="V4068" s="1"/>
  <c r="U4085"/>
  <c r="V4085" s="1"/>
  <c r="U4098"/>
  <c r="V4098" s="1"/>
  <c r="U4115"/>
  <c r="V4115" s="1"/>
  <c r="U4132"/>
  <c r="V4132" s="1"/>
  <c r="U4149"/>
  <c r="V4149" s="1"/>
  <c r="U4162"/>
  <c r="V4162" s="1"/>
  <c r="U4179"/>
  <c r="V4179" s="1"/>
  <c r="U4196"/>
  <c r="V4196" s="1"/>
  <c r="U4213"/>
  <c r="V4213" s="1"/>
  <c r="U4226"/>
  <c r="V4226" s="1"/>
  <c r="U4243"/>
  <c r="V4243" s="1"/>
  <c r="U4260"/>
  <c r="V4260" s="1"/>
  <c r="U4277"/>
  <c r="V4277" s="1"/>
  <c r="U4290"/>
  <c r="V4290" s="1"/>
  <c r="U4307"/>
  <c r="V4307" s="1"/>
  <c r="U4324"/>
  <c r="V4324" s="1"/>
  <c r="U4341"/>
  <c r="V4341" s="1"/>
  <c r="U4354"/>
  <c r="V4354" s="1"/>
  <c r="U4371"/>
  <c r="V4371" s="1"/>
  <c r="U4379"/>
  <c r="V4379" s="1"/>
  <c r="U4381"/>
  <c r="V4381" s="1"/>
  <c r="U4394"/>
  <c r="V4394" s="1"/>
  <c r="U4396"/>
  <c r="V4396" s="1"/>
  <c r="U4411"/>
  <c r="V4411" s="1"/>
  <c r="U4413"/>
  <c r="V4413" s="1"/>
  <c r="U4426"/>
  <c r="V4426" s="1"/>
  <c r="U4428"/>
  <c r="V4428" s="1"/>
  <c r="U4443"/>
  <c r="V4443" s="1"/>
  <c r="U4445"/>
  <c r="V4445" s="1"/>
  <c r="U4458"/>
  <c r="V4458" s="1"/>
  <c r="U4460"/>
  <c r="V4460" s="1"/>
  <c r="U4475"/>
  <c r="V4475" s="1"/>
  <c r="U4477"/>
  <c r="V4477" s="1"/>
  <c r="U4490"/>
  <c r="V4490" s="1"/>
  <c r="U4492"/>
  <c r="V4492" s="1"/>
  <c r="U4507"/>
  <c r="V4507" s="1"/>
  <c r="U4509"/>
  <c r="V4509" s="1"/>
  <c r="U4522"/>
  <c r="V4522" s="1"/>
  <c r="U4524"/>
  <c r="V4524" s="1"/>
  <c r="U4539"/>
  <c r="V4539" s="1"/>
  <c r="U4541"/>
  <c r="V4541" s="1"/>
  <c r="U4554"/>
  <c r="V4554" s="1"/>
  <c r="U4556"/>
  <c r="V4556" s="1"/>
  <c r="U4569"/>
  <c r="V4569" s="1"/>
  <c r="U4571"/>
  <c r="V4571" s="1"/>
  <c r="U4584"/>
  <c r="V4584" s="1"/>
  <c r="U4586"/>
  <c r="V4586" s="1"/>
  <c r="U4601"/>
  <c r="V4601" s="1"/>
  <c r="U4603"/>
  <c r="V4603" s="1"/>
  <c r="U4616"/>
  <c r="V4616" s="1"/>
  <c r="U4618"/>
  <c r="V4618" s="1"/>
  <c r="U4633"/>
  <c r="V4633" s="1"/>
  <c r="U4635"/>
  <c r="V4635" s="1"/>
  <c r="U4648"/>
  <c r="V4648" s="1"/>
  <c r="U4650"/>
  <c r="V4650" s="1"/>
  <c r="U4680"/>
  <c r="V4680" s="1"/>
  <c r="U4699"/>
  <c r="V4699" s="1"/>
  <c r="U4820"/>
  <c r="V4820" s="1"/>
  <c r="U4821"/>
  <c r="V4821" s="1"/>
  <c r="U4823"/>
  <c r="V4823" s="1"/>
  <c r="U4825"/>
  <c r="V4825" s="1"/>
  <c r="U4826"/>
  <c r="V4826" s="1"/>
  <c r="U4836"/>
  <c r="V4836" s="1"/>
  <c r="U4837"/>
  <c r="V4837" s="1"/>
  <c r="U4838"/>
  <c r="V4838" s="1"/>
  <c r="U4839"/>
  <c r="V4839" s="1"/>
  <c r="U4852"/>
  <c r="V4852" s="1"/>
  <c r="U4853"/>
  <c r="V4853" s="1"/>
  <c r="U4854"/>
  <c r="V4854" s="1"/>
  <c r="U4855"/>
  <c r="V4855" s="1"/>
  <c r="U4868"/>
  <c r="V4868" s="1"/>
  <c r="U4869"/>
  <c r="V4869" s="1"/>
  <c r="U4870"/>
  <c r="V4870" s="1"/>
  <c r="U4871"/>
  <c r="V4871" s="1"/>
  <c r="U4884"/>
  <c r="V4884" s="1"/>
  <c r="U4885"/>
  <c r="V4885" s="1"/>
  <c r="U4886"/>
  <c r="V4886" s="1"/>
  <c r="U4899"/>
  <c r="V4899" s="1"/>
  <c r="U4900"/>
  <c r="V4900" s="1"/>
  <c r="U4901"/>
  <c r="V4901" s="1"/>
  <c r="U4914"/>
  <c r="V4914" s="1"/>
  <c r="U4915"/>
  <c r="V4915" s="1"/>
  <c r="U4917"/>
  <c r="V4917" s="1"/>
  <c r="U4934"/>
  <c r="V4934" s="1"/>
  <c r="U4936"/>
  <c r="V4936" s="1"/>
  <c r="U4937"/>
  <c r="V4937" s="1"/>
  <c r="U4950"/>
  <c r="V4950" s="1"/>
  <c r="U4951"/>
  <c r="V4951" s="1"/>
  <c r="U4952"/>
  <c r="V4952" s="1"/>
  <c r="U4953"/>
  <c r="V4953" s="1"/>
  <c r="U4966"/>
  <c r="V4966" s="1"/>
  <c r="U4967"/>
  <c r="V4967" s="1"/>
  <c r="U4968"/>
  <c r="V4968" s="1"/>
  <c r="U4969"/>
  <c r="V4969" s="1"/>
  <c r="U4982"/>
  <c r="V4982" s="1"/>
  <c r="U4983"/>
  <c r="V4983" s="1"/>
  <c r="U4984"/>
  <c r="V4984" s="1"/>
  <c r="U4985"/>
  <c r="V4985" s="1"/>
  <c r="U4999"/>
  <c r="V4999" s="1"/>
  <c r="U5000"/>
  <c r="V5000" s="1"/>
  <c r="U5001"/>
  <c r="V5001" s="1"/>
  <c r="U5014"/>
  <c r="V5014" s="1"/>
  <c r="U5015"/>
  <c r="V5015" s="1"/>
  <c r="U5016"/>
  <c r="V5016" s="1"/>
  <c r="U5017"/>
  <c r="V5017" s="1"/>
  <c r="U5030"/>
  <c r="V5030" s="1"/>
  <c r="U5031"/>
  <c r="V5031" s="1"/>
  <c r="U5032"/>
  <c r="V5032" s="1"/>
  <c r="U5033"/>
  <c r="V5033" s="1"/>
  <c r="U5056"/>
  <c r="V5056" s="1"/>
  <c r="U5057"/>
  <c r="V5057" s="1"/>
  <c r="U5058"/>
  <c r="V5058" s="1"/>
  <c r="U5059"/>
  <c r="V5059" s="1"/>
  <c r="U5075"/>
  <c r="V5075" s="1"/>
  <c r="U5087"/>
  <c r="V5087" s="1"/>
  <c r="U5088"/>
  <c r="V5088" s="1"/>
  <c r="U5089"/>
  <c r="V5089" s="1"/>
  <c r="U5090"/>
  <c r="V5090" s="1"/>
  <c r="U1841"/>
  <c r="V1841" s="1"/>
  <c r="U1983"/>
  <c r="V1983" s="1"/>
  <c r="U2056"/>
  <c r="V2056" s="1"/>
  <c r="U2612"/>
  <c r="V2612" s="1"/>
  <c r="U2755"/>
  <c r="V2755" s="1"/>
  <c r="U2772"/>
  <c r="V2772" s="1"/>
  <c r="U2789"/>
  <c r="V2789" s="1"/>
  <c r="U2807"/>
  <c r="V2807" s="1"/>
  <c r="U2824"/>
  <c r="V2824" s="1"/>
  <c r="U2978"/>
  <c r="V2978" s="1"/>
  <c r="U2995"/>
  <c r="V2995" s="1"/>
  <c r="U3029"/>
  <c r="V3029" s="1"/>
  <c r="U3454"/>
  <c r="V3454" s="1"/>
  <c r="U3462"/>
  <c r="V3462" s="1"/>
  <c r="U3470"/>
  <c r="V3470" s="1"/>
  <c r="U3478"/>
  <c r="V3478" s="1"/>
  <c r="U3486"/>
  <c r="V3486" s="1"/>
  <c r="U3502"/>
  <c r="V3502" s="1"/>
  <c r="U3510"/>
  <c r="V3510" s="1"/>
  <c r="U3526"/>
  <c r="V3526" s="1"/>
  <c r="U3543"/>
  <c r="V3543" s="1"/>
  <c r="U3559"/>
  <c r="V3559" s="1"/>
  <c r="U3575"/>
  <c r="V3575" s="1"/>
  <c r="U3591"/>
  <c r="V3591" s="1"/>
  <c r="U3607"/>
  <c r="V3607" s="1"/>
  <c r="U3623"/>
  <c r="V3623" s="1"/>
  <c r="U3639"/>
  <c r="V3639" s="1"/>
  <c r="U3656"/>
  <c r="V3656" s="1"/>
  <c r="U3699"/>
  <c r="V3699" s="1"/>
  <c r="U3705"/>
  <c r="V3705" s="1"/>
  <c r="U3711"/>
  <c r="V3711" s="1"/>
  <c r="U3757"/>
  <c r="V3757" s="1"/>
  <c r="U3789"/>
  <c r="V3789" s="1"/>
  <c r="U3816"/>
  <c r="V3816" s="1"/>
  <c r="U3833"/>
  <c r="V3833" s="1"/>
  <c r="U3846"/>
  <c r="V3846" s="1"/>
  <c r="U3863"/>
  <c r="V3863" s="1"/>
  <c r="U3884"/>
  <c r="V3884" s="1"/>
  <c r="U3897"/>
  <c r="V3897" s="1"/>
  <c r="U3910"/>
  <c r="V3910" s="1"/>
  <c r="U3914"/>
  <c r="V3914" s="1"/>
  <c r="U3918"/>
  <c r="V3918" s="1"/>
  <c r="U3956"/>
  <c r="V3956" s="1"/>
  <c r="U3973"/>
  <c r="V3973" s="1"/>
  <c r="U4018"/>
  <c r="V4018" s="1"/>
  <c r="U4035"/>
  <c r="V4035" s="1"/>
  <c r="U4052"/>
  <c r="V4052" s="1"/>
  <c r="U4069"/>
  <c r="V4069" s="1"/>
  <c r="U4082"/>
  <c r="V4082" s="1"/>
  <c r="U4099"/>
  <c r="V4099" s="1"/>
  <c r="U4116"/>
  <c r="V4116" s="1"/>
  <c r="U4133"/>
  <c r="V4133" s="1"/>
  <c r="U4146"/>
  <c r="V4146" s="1"/>
  <c r="U4163"/>
  <c r="V4163" s="1"/>
  <c r="U4180"/>
  <c r="V4180" s="1"/>
  <c r="U4197"/>
  <c r="V4197" s="1"/>
  <c r="U4210"/>
  <c r="V4210" s="1"/>
  <c r="U4227"/>
  <c r="V4227" s="1"/>
  <c r="U4244"/>
  <c r="V4244" s="1"/>
  <c r="U4261"/>
  <c r="V4261" s="1"/>
  <c r="U4274"/>
  <c r="V4274" s="1"/>
  <c r="U4291"/>
  <c r="V4291" s="1"/>
  <c r="U4308"/>
  <c r="V4308" s="1"/>
  <c r="U4325"/>
  <c r="V4325" s="1"/>
  <c r="U4338"/>
  <c r="V4338" s="1"/>
  <c r="U4355"/>
  <c r="V4355" s="1"/>
  <c r="U4372"/>
  <c r="V4372" s="1"/>
  <c r="U4386"/>
  <c r="V4386" s="1"/>
  <c r="U4388"/>
  <c r="V4388" s="1"/>
  <c r="U4403"/>
  <c r="V4403" s="1"/>
  <c r="U4405"/>
  <c r="V4405" s="1"/>
  <c r="U4418"/>
  <c r="V4418" s="1"/>
  <c r="U4420"/>
  <c r="V4420" s="1"/>
  <c r="U4435"/>
  <c r="V4435" s="1"/>
  <c r="U4437"/>
  <c r="V4437" s="1"/>
  <c r="U4450"/>
  <c r="V4450" s="1"/>
  <c r="U4452"/>
  <c r="V4452" s="1"/>
  <c r="U4467"/>
  <c r="V4467" s="1"/>
  <c r="U4469"/>
  <c r="V4469" s="1"/>
  <c r="U4482"/>
  <c r="V4482" s="1"/>
  <c r="U4484"/>
  <c r="V4484" s="1"/>
  <c r="U4499"/>
  <c r="V4499" s="1"/>
  <c r="U4501"/>
  <c r="V4501" s="1"/>
  <c r="U4514"/>
  <c r="V4514" s="1"/>
  <c r="U4516"/>
  <c r="V4516" s="1"/>
  <c r="U4531"/>
  <c r="V4531" s="1"/>
  <c r="U4533"/>
  <c r="V4533" s="1"/>
  <c r="U4546"/>
  <c r="V4546" s="1"/>
  <c r="U4548"/>
  <c r="V4548" s="1"/>
  <c r="U4563"/>
  <c r="V4563" s="1"/>
  <c r="U4565"/>
  <c r="V4565" s="1"/>
  <c r="U4576"/>
  <c r="V4576" s="1"/>
  <c r="U4578"/>
  <c r="V4578" s="1"/>
  <c r="U4593"/>
  <c r="V4593" s="1"/>
  <c r="U4595"/>
  <c r="V4595" s="1"/>
  <c r="U4608"/>
  <c r="V4608" s="1"/>
  <c r="U4610"/>
  <c r="V4610" s="1"/>
  <c r="U4625"/>
  <c r="V4625" s="1"/>
  <c r="U4627"/>
  <c r="V4627" s="1"/>
  <c r="U4640"/>
  <c r="V4640" s="1"/>
  <c r="U4657"/>
  <c r="V4657" s="1"/>
  <c r="U4768"/>
  <c r="V4768" s="1"/>
  <c r="U4802"/>
  <c r="V4802" s="1"/>
  <c r="U4816"/>
  <c r="V4816" s="1"/>
  <c r="U4817"/>
  <c r="V4817" s="1"/>
  <c r="U4818"/>
  <c r="V4818" s="1"/>
  <c r="U4819"/>
  <c r="V4819" s="1"/>
  <c r="U4832"/>
  <c r="V4832" s="1"/>
  <c r="U4833"/>
  <c r="V4833" s="1"/>
  <c r="U4834"/>
  <c r="V4834" s="1"/>
  <c r="U4848"/>
  <c r="V4848" s="1"/>
  <c r="U4849"/>
  <c r="V4849" s="1"/>
  <c r="U4850"/>
  <c r="V4850" s="1"/>
  <c r="U4851"/>
  <c r="V4851" s="1"/>
  <c r="U4864"/>
  <c r="V4864" s="1"/>
  <c r="U4865"/>
  <c r="V4865" s="1"/>
  <c r="U4866"/>
  <c r="V4866" s="1"/>
  <c r="U4867"/>
  <c r="V4867" s="1"/>
  <c r="U4880"/>
  <c r="V4880" s="1"/>
  <c r="U4881"/>
  <c r="V4881" s="1"/>
  <c r="U4882"/>
  <c r="V4882" s="1"/>
  <c r="U4883"/>
  <c r="V4883" s="1"/>
  <c r="U4894"/>
  <c r="V4894" s="1"/>
  <c r="U4895"/>
  <c r="V4895" s="1"/>
  <c r="U4896"/>
  <c r="V4896" s="1"/>
  <c r="U4897"/>
  <c r="V4897" s="1"/>
  <c r="U4910"/>
  <c r="V4910" s="1"/>
  <c r="U4911"/>
  <c r="V4911" s="1"/>
  <c r="U4912"/>
  <c r="V4912" s="1"/>
  <c r="U4926"/>
  <c r="V4926" s="1"/>
  <c r="U4927"/>
  <c r="V4927" s="1"/>
  <c r="U4928"/>
  <c r="V4928" s="1"/>
  <c r="U4930"/>
  <c r="V4930" s="1"/>
  <c r="U4931"/>
  <c r="V4931" s="1"/>
  <c r="U4932"/>
  <c r="V4932" s="1"/>
  <c r="U4933"/>
  <c r="V4933" s="1"/>
  <c r="U4947"/>
  <c r="V4947" s="1"/>
  <c r="U4948"/>
  <c r="V4948" s="1"/>
  <c r="U4949"/>
  <c r="V4949" s="1"/>
  <c r="U4962"/>
  <c r="V4962" s="1"/>
  <c r="U4963"/>
  <c r="V4963" s="1"/>
  <c r="U4964"/>
  <c r="V4964" s="1"/>
  <c r="U4965"/>
  <c r="V4965" s="1"/>
  <c r="U4978"/>
  <c r="V4978" s="1"/>
  <c r="U4979"/>
  <c r="V4979" s="1"/>
  <c r="U4980"/>
  <c r="V4980" s="1"/>
  <c r="U4994"/>
  <c r="V4994" s="1"/>
  <c r="U4995"/>
  <c r="V4995" s="1"/>
  <c r="U4996"/>
  <c r="V4996" s="1"/>
  <c r="U4997"/>
  <c r="V4997" s="1"/>
  <c r="U5010"/>
  <c r="V5010" s="1"/>
  <c r="U5011"/>
  <c r="V5011" s="1"/>
  <c r="U5012"/>
  <c r="V5012" s="1"/>
  <c r="U5013"/>
  <c r="V5013" s="1"/>
  <c r="U5026"/>
  <c r="V5026" s="1"/>
  <c r="U5027"/>
  <c r="V5027" s="1"/>
  <c r="U5028"/>
  <c r="V5028" s="1"/>
  <c r="U5029"/>
  <c r="V5029" s="1"/>
  <c r="U5049"/>
  <c r="V5049" s="1"/>
  <c r="U5050"/>
  <c r="V5050" s="1"/>
  <c r="U5051"/>
  <c r="V5051" s="1"/>
  <c r="U5052"/>
  <c r="V5052" s="1"/>
  <c r="U5053"/>
  <c r="V5053" s="1"/>
  <c r="U5054"/>
  <c r="V5054" s="1"/>
  <c r="U5071"/>
  <c r="V5071" s="1"/>
  <c r="U5072"/>
  <c r="V5072" s="1"/>
  <c r="U5073"/>
  <c r="V5073" s="1"/>
  <c r="U5074"/>
  <c r="V5074" s="1"/>
  <c r="U5076"/>
  <c r="V5076" s="1"/>
  <c r="U5077"/>
  <c r="V5077" s="1"/>
  <c r="U5078"/>
  <c r="V5078" s="1"/>
  <c r="U5083"/>
  <c r="V5083" s="1"/>
  <c r="U5084"/>
  <c r="V5084" s="1"/>
  <c r="U5085"/>
  <c r="V5085" s="1"/>
  <c r="U5086"/>
  <c r="V5086" s="1"/>
  <c r="U5099"/>
  <c r="V5099" s="1"/>
  <c r="U5100"/>
  <c r="V5100" s="1"/>
  <c r="U5101"/>
  <c r="V5101" s="1"/>
  <c r="U5102"/>
  <c r="V5102" s="1"/>
  <c r="U2002"/>
  <c r="V2002" s="1"/>
  <c r="U2709"/>
  <c r="V2709" s="1"/>
  <c r="U2725"/>
  <c r="V2725" s="1"/>
  <c r="U2742"/>
  <c r="V2742" s="1"/>
  <c r="U2759"/>
  <c r="V2759" s="1"/>
  <c r="U2776"/>
  <c r="V2776" s="1"/>
  <c r="U2914"/>
  <c r="V2914" s="1"/>
  <c r="U2931"/>
  <c r="V2931" s="1"/>
  <c r="U2965"/>
  <c r="V2965" s="1"/>
  <c r="U3016"/>
  <c r="V3016" s="1"/>
  <c r="U3132"/>
  <c r="V3132" s="1"/>
  <c r="U3539"/>
  <c r="V3539" s="1"/>
  <c r="U3555"/>
  <c r="V3555" s="1"/>
  <c r="U3619"/>
  <c r="V3619" s="1"/>
  <c r="U3688"/>
  <c r="V3688" s="1"/>
  <c r="U3813"/>
  <c r="V3813" s="1"/>
  <c r="U3830"/>
  <c r="V3830" s="1"/>
  <c r="U3847"/>
  <c r="V3847" s="1"/>
  <c r="U3881"/>
  <c r="V3881" s="1"/>
  <c r="U3915"/>
  <c r="V3915" s="1"/>
  <c r="U4066"/>
  <c r="V4066" s="1"/>
  <c r="U4083"/>
  <c r="V4083" s="1"/>
  <c r="U4100"/>
  <c r="V4100" s="1"/>
  <c r="U4117"/>
  <c r="V4117" s="1"/>
  <c r="U4322"/>
  <c r="V4322" s="1"/>
  <c r="U4339"/>
  <c r="V4339" s="1"/>
  <c r="U4356"/>
  <c r="V4356" s="1"/>
  <c r="U4373"/>
  <c r="V4373" s="1"/>
  <c r="U4410"/>
  <c r="V4410" s="1"/>
  <c r="U4427"/>
  <c r="V4427" s="1"/>
  <c r="U4444"/>
  <c r="V4444" s="1"/>
  <c r="U4461"/>
  <c r="V4461" s="1"/>
  <c r="U4538"/>
  <c r="V4538" s="1"/>
  <c r="U4555"/>
  <c r="V4555" s="1"/>
  <c r="U4632"/>
  <c r="V4632" s="1"/>
  <c r="U4649"/>
  <c r="V4649" s="1"/>
  <c r="U4666"/>
  <c r="V4666" s="1"/>
  <c r="U4748"/>
  <c r="V4748" s="1"/>
  <c r="U4812"/>
  <c r="V4812" s="1"/>
  <c r="U4860"/>
  <c r="V4860" s="1"/>
  <c r="U4877"/>
  <c r="V4877" s="1"/>
  <c r="U4907"/>
  <c r="V4907" s="1"/>
  <c r="U4924"/>
  <c r="V4924" s="1"/>
  <c r="U4945"/>
  <c r="V4945" s="1"/>
  <c r="U3603"/>
  <c r="V3603" s="1"/>
  <c r="U3670"/>
  <c r="V3670" s="1"/>
  <c r="U3781"/>
  <c r="V3781" s="1"/>
  <c r="U3868"/>
  <c r="V3868" s="1"/>
  <c r="U3953"/>
  <c r="V3953" s="1"/>
  <c r="U3970"/>
  <c r="V3970" s="1"/>
  <c r="U4019"/>
  <c r="V4019" s="1"/>
  <c r="U4036"/>
  <c r="V4036" s="1"/>
  <c r="U4053"/>
  <c r="V4053" s="1"/>
  <c r="U4258"/>
  <c r="V4258" s="1"/>
  <c r="U4275"/>
  <c r="V4275" s="1"/>
  <c r="U4292"/>
  <c r="V4292" s="1"/>
  <c r="U4309"/>
  <c r="V4309" s="1"/>
  <c r="U4395"/>
  <c r="V4395" s="1"/>
  <c r="U4412"/>
  <c r="V4412" s="1"/>
  <c r="U4429"/>
  <c r="V4429" s="1"/>
  <c r="U4506"/>
  <c r="V4506" s="1"/>
  <c r="U4523"/>
  <c r="V4523" s="1"/>
  <c r="U4540"/>
  <c r="V4540" s="1"/>
  <c r="U4557"/>
  <c r="V4557" s="1"/>
  <c r="U4600"/>
  <c r="V4600" s="1"/>
  <c r="U4617"/>
  <c r="V4617" s="1"/>
  <c r="U4634"/>
  <c r="V4634" s="1"/>
  <c r="U4651"/>
  <c r="V4651" s="1"/>
  <c r="U4749"/>
  <c r="V4749" s="1"/>
  <c r="U4783"/>
  <c r="V4783" s="1"/>
  <c r="U4844"/>
  <c r="V4844" s="1"/>
  <c r="U4861"/>
  <c r="V4861" s="1"/>
  <c r="U4878"/>
  <c r="V4878" s="1"/>
  <c r="U4908"/>
  <c r="V4908" s="1"/>
  <c r="U4925"/>
  <c r="V4925" s="1"/>
  <c r="U4942"/>
  <c r="V4942" s="1"/>
  <c r="U4959"/>
  <c r="V4959" s="1"/>
  <c r="U5006"/>
  <c r="V5006" s="1"/>
  <c r="U5023"/>
  <c r="V5023" s="1"/>
  <c r="U5048"/>
  <c r="V5048" s="1"/>
  <c r="U3587"/>
  <c r="V3587" s="1"/>
  <c r="U3676"/>
  <c r="V3676" s="1"/>
  <c r="U3940"/>
  <c r="V3940" s="1"/>
  <c r="U3957"/>
  <c r="V3957" s="1"/>
  <c r="U4194"/>
  <c r="V4194" s="1"/>
  <c r="U4211"/>
  <c r="V4211" s="1"/>
  <c r="U4228"/>
  <c r="V4228" s="1"/>
  <c r="U4245"/>
  <c r="V4245" s="1"/>
  <c r="U4380"/>
  <c r="V4380" s="1"/>
  <c r="U4397"/>
  <c r="V4397" s="1"/>
  <c r="U4474"/>
  <c r="V4474" s="1"/>
  <c r="U4491"/>
  <c r="V4491" s="1"/>
  <c r="U4508"/>
  <c r="V4508" s="1"/>
  <c r="U4525"/>
  <c r="V4525" s="1"/>
  <c r="U4568"/>
  <c r="V4568" s="1"/>
  <c r="U4585"/>
  <c r="V4585" s="1"/>
  <c r="U4602"/>
  <c r="V4602" s="1"/>
  <c r="U4619"/>
  <c r="V4619" s="1"/>
  <c r="U4733"/>
  <c r="V4733" s="1"/>
  <c r="U4780"/>
  <c r="V4780" s="1"/>
  <c r="U4814"/>
  <c r="V4814" s="1"/>
  <c r="U4824"/>
  <c r="V4824" s="1"/>
  <c r="U4845"/>
  <c r="V4845" s="1"/>
  <c r="U4862"/>
  <c r="V4862" s="1"/>
  <c r="U4879"/>
  <c r="V4879" s="1"/>
  <c r="U4892"/>
  <c r="V4892" s="1"/>
  <c r="U4909"/>
  <c r="V4909" s="1"/>
  <c r="U4922"/>
  <c r="V4922" s="1"/>
  <c r="U3571"/>
  <c r="V3571" s="1"/>
  <c r="U3635"/>
  <c r="V3635" s="1"/>
  <c r="U3658"/>
  <c r="V3658" s="1"/>
  <c r="U3894"/>
  <c r="V3894" s="1"/>
  <c r="U3911"/>
  <c r="V3911" s="1"/>
  <c r="U4130"/>
  <c r="V4130" s="1"/>
  <c r="U4147"/>
  <c r="V4147" s="1"/>
  <c r="U4164"/>
  <c r="V4164" s="1"/>
  <c r="U4181"/>
  <c r="V4181" s="1"/>
  <c r="U4442"/>
  <c r="V4442" s="1"/>
  <c r="U4459"/>
  <c r="V4459" s="1"/>
  <c r="U4476"/>
  <c r="V4476" s="1"/>
  <c r="U4493"/>
  <c r="V4493" s="1"/>
  <c r="U4570"/>
  <c r="V4570" s="1"/>
  <c r="U4587"/>
  <c r="V4587" s="1"/>
  <c r="U4681"/>
  <c r="V4681" s="1"/>
  <c r="U4781"/>
  <c r="V4781" s="1"/>
  <c r="U4815"/>
  <c r="V4815" s="1"/>
  <c r="U4846"/>
  <c r="V4846" s="1"/>
  <c r="U4863"/>
  <c r="V4863" s="1"/>
  <c r="U4876"/>
  <c r="V4876" s="1"/>
  <c r="U4893"/>
  <c r="V4893" s="1"/>
  <c r="U4906"/>
  <c r="V4906" s="1"/>
  <c r="U4944"/>
  <c r="V4944" s="1"/>
  <c r="U4961"/>
  <c r="V4961" s="1"/>
  <c r="U4974"/>
  <c r="V4974" s="1"/>
  <c r="U4991"/>
  <c r="V4991" s="1"/>
  <c r="U5008"/>
  <c r="V5008" s="1"/>
  <c r="U5025"/>
  <c r="V5025" s="1"/>
  <c r="U5039"/>
  <c r="V5039" s="1"/>
  <c r="U5046"/>
  <c r="V5046" s="1"/>
  <c r="U4990"/>
  <c r="V4990" s="1"/>
  <c r="U5007"/>
  <c r="V5007" s="1"/>
  <c r="U5024"/>
  <c r="V5024" s="1"/>
  <c r="U5064"/>
  <c r="V5064" s="1"/>
  <c r="U5070"/>
  <c r="V5070" s="1"/>
  <c r="U5081"/>
  <c r="V5081" s="1"/>
  <c r="U5098"/>
  <c r="V5098" s="1"/>
  <c r="U4958"/>
  <c r="V4958" s="1"/>
  <c r="U4975"/>
  <c r="V4975" s="1"/>
  <c r="U4992"/>
  <c r="V4992" s="1"/>
  <c r="U5009"/>
  <c r="V5009" s="1"/>
  <c r="U5067"/>
  <c r="V5067" s="1"/>
  <c r="U5082"/>
  <c r="V5082" s="1"/>
  <c r="U5095"/>
  <c r="V5095" s="1"/>
  <c r="U4960"/>
  <c r="V4960" s="1"/>
  <c r="U4977"/>
  <c r="V4977" s="1"/>
  <c r="U5045"/>
  <c r="V5045" s="1"/>
  <c r="U5096"/>
  <c r="V5096" s="1"/>
  <c r="U4943"/>
  <c r="V4943" s="1"/>
  <c r="U5040"/>
  <c r="V5040" s="1"/>
  <c r="U5069"/>
  <c r="V5069" s="1"/>
  <c r="U5080"/>
  <c r="V5080" s="1"/>
  <c r="U5097"/>
  <c r="V5097" s="1"/>
  <c r="U4700"/>
  <c r="V4700" s="1"/>
  <c r="U4719"/>
  <c r="V4719" s="1"/>
  <c r="U4796"/>
  <c r="V4796" s="1"/>
  <c r="U4767"/>
  <c r="V4767" s="1"/>
  <c r="U4755"/>
  <c r="V4755" s="1"/>
  <c r="U4791"/>
  <c r="V4791" s="1"/>
  <c r="U4754"/>
  <c r="V4754" s="1"/>
  <c r="U4667"/>
  <c r="V4667" s="1"/>
  <c r="U4787"/>
  <c r="V4787" s="1"/>
  <c r="U4668"/>
  <c r="V4668" s="1"/>
  <c r="U4687"/>
  <c r="V4687" s="1"/>
  <c r="U4808"/>
  <c r="V4808" s="1"/>
  <c r="U4803"/>
  <c r="V4803" s="1"/>
  <c r="U4782"/>
  <c r="V4782" s="1"/>
  <c r="U4797"/>
  <c r="V4797" s="1"/>
  <c r="U4718"/>
  <c r="V4718" s="1"/>
  <c r="U5068"/>
  <c r="V5068" s="1"/>
  <c r="U5055"/>
  <c r="V5055" s="1"/>
  <c r="U4750"/>
  <c r="V4750" s="1"/>
  <c r="U4686"/>
  <c r="V4686" s="1"/>
  <c r="U4946"/>
  <c r="V4946" s="1"/>
  <c r="U4916"/>
  <c r="V4916" s="1"/>
  <c r="U3982"/>
  <c r="V3982" s="1"/>
  <c r="U3637"/>
  <c r="V3637" s="1"/>
  <c r="U3573"/>
  <c r="V3573" s="1"/>
  <c r="U3281"/>
  <c r="V3281" s="1"/>
  <c r="U4835"/>
  <c r="V4835" s="1"/>
  <c r="U3284"/>
  <c r="V3284" s="1"/>
  <c r="U3562"/>
  <c r="V3562" s="1"/>
  <c r="U3867"/>
  <c r="V3867" s="1"/>
  <c r="U4998"/>
  <c r="V4998" s="1"/>
  <c r="U3890"/>
  <c r="V3890" s="1"/>
  <c r="U3507"/>
  <c r="V3507" s="1"/>
  <c r="U3554"/>
  <c r="V3554" s="1"/>
  <c r="U3912"/>
  <c r="V3912" s="1"/>
  <c r="U3955"/>
  <c r="V3955" s="1"/>
  <c r="U4981"/>
  <c r="V4981" s="1"/>
  <c r="H1507"/>
  <c r="I1504"/>
  <c r="U5079" l="1"/>
  <c r="V5079" s="1"/>
  <c r="U4929"/>
  <c r="V4929" s="1"/>
  <c r="S3185"/>
  <c r="T3185" s="1"/>
  <c r="S3573"/>
  <c r="T3573" s="1"/>
  <c r="S3982"/>
  <c r="T3982" s="1"/>
  <c r="S3484"/>
  <c r="T3484" s="1"/>
  <c r="S4946"/>
  <c r="T4946" s="1"/>
  <c r="S5079"/>
  <c r="T5079" s="1"/>
  <c r="S3557"/>
  <c r="T3557" s="1"/>
  <c r="S55"/>
  <c r="T55" s="1"/>
  <c r="S71"/>
  <c r="T71" s="1"/>
  <c r="S87"/>
  <c r="T87" s="1"/>
  <c r="S103"/>
  <c r="T103" s="1"/>
  <c r="S119"/>
  <c r="T119" s="1"/>
  <c r="S135"/>
  <c r="T135" s="1"/>
  <c r="S151"/>
  <c r="S52"/>
  <c r="T52" s="1"/>
  <c r="S68"/>
  <c r="T68" s="1"/>
  <c r="S84"/>
  <c r="T84" s="1"/>
  <c r="S104"/>
  <c r="T104" s="1"/>
  <c r="S120"/>
  <c r="T120" s="1"/>
  <c r="S57"/>
  <c r="T57" s="1"/>
  <c r="S73"/>
  <c r="T73" s="1"/>
  <c r="S89"/>
  <c r="S105"/>
  <c r="T105" s="1"/>
  <c r="S121"/>
  <c r="T121" s="1"/>
  <c r="S137"/>
  <c r="T137" s="1"/>
  <c r="S153"/>
  <c r="T153" s="1"/>
  <c r="S169"/>
  <c r="T169" s="1"/>
  <c r="S185"/>
  <c r="T185" s="1"/>
  <c r="S201"/>
  <c r="T201" s="1"/>
  <c r="S66"/>
  <c r="T66" s="1"/>
  <c r="S128"/>
  <c r="T128" s="1"/>
  <c r="S160"/>
  <c r="T160" s="1"/>
  <c r="S182"/>
  <c r="T182" s="1"/>
  <c r="S203"/>
  <c r="S228"/>
  <c r="T228" s="1"/>
  <c r="S244"/>
  <c r="T244" s="1"/>
  <c r="S260"/>
  <c r="T260" s="1"/>
  <c r="S276"/>
  <c r="S292"/>
  <c r="T292" s="1"/>
  <c r="S102"/>
  <c r="T102" s="1"/>
  <c r="S146"/>
  <c r="T146" s="1"/>
  <c r="S172"/>
  <c r="T172" s="1"/>
  <c r="S194"/>
  <c r="T194" s="1"/>
  <c r="S212"/>
  <c r="T212" s="1"/>
  <c r="S226"/>
  <c r="T226" s="1"/>
  <c r="S242"/>
  <c r="S258"/>
  <c r="T258" s="1"/>
  <c r="S274"/>
  <c r="T274" s="1"/>
  <c r="S290"/>
  <c r="T290" s="1"/>
  <c r="S106"/>
  <c r="S148"/>
  <c r="T148" s="1"/>
  <c r="S174"/>
  <c r="T174" s="1"/>
  <c r="S195"/>
  <c r="T195" s="1"/>
  <c r="S126"/>
  <c r="T126" s="1"/>
  <c r="S216"/>
  <c r="T216" s="1"/>
  <c r="S253"/>
  <c r="T253" s="1"/>
  <c r="S285"/>
  <c r="T285" s="1"/>
  <c r="S311"/>
  <c r="T311" s="1"/>
  <c r="S330"/>
  <c r="T330" s="1"/>
  <c r="S346"/>
  <c r="T346" s="1"/>
  <c r="S362"/>
  <c r="T362" s="1"/>
  <c r="S378"/>
  <c r="S394"/>
  <c r="T394" s="1"/>
  <c r="S410"/>
  <c r="T410" s="1"/>
  <c r="S426"/>
  <c r="T426" s="1"/>
  <c r="S442"/>
  <c r="S458"/>
  <c r="T458" s="1"/>
  <c r="S474"/>
  <c r="T474" s="1"/>
  <c r="S490"/>
  <c r="T490" s="1"/>
  <c r="S506"/>
  <c r="S522"/>
  <c r="T522" s="1"/>
  <c r="S537"/>
  <c r="T537" s="1"/>
  <c r="S545"/>
  <c r="T545" s="1"/>
  <c r="S553"/>
  <c r="T553" s="1"/>
  <c r="S561"/>
  <c r="T561" s="1"/>
  <c r="S569"/>
  <c r="T569" s="1"/>
  <c r="S577"/>
  <c r="T577" s="1"/>
  <c r="S585"/>
  <c r="S593"/>
  <c r="T593" s="1"/>
  <c r="S601"/>
  <c r="T601" s="1"/>
  <c r="S609"/>
  <c r="T609" s="1"/>
  <c r="S617"/>
  <c r="T617" s="1"/>
  <c r="S625"/>
  <c r="T625" s="1"/>
  <c r="S633"/>
  <c r="T633" s="1"/>
  <c r="S641"/>
  <c r="T641" s="1"/>
  <c r="S649"/>
  <c r="T649" s="1"/>
  <c r="S657"/>
  <c r="T657" s="1"/>
  <c r="S665"/>
  <c r="T665" s="1"/>
  <c r="S673"/>
  <c r="T673" s="1"/>
  <c r="S681"/>
  <c r="S689"/>
  <c r="T689" s="1"/>
  <c r="S697"/>
  <c r="T697" s="1"/>
  <c r="S705"/>
  <c r="T705" s="1"/>
  <c r="S713"/>
  <c r="T713" s="1"/>
  <c r="S721"/>
  <c r="T721" s="1"/>
  <c r="S729"/>
  <c r="T729" s="1"/>
  <c r="S134"/>
  <c r="T134" s="1"/>
  <c r="S222"/>
  <c r="T222" s="1"/>
  <c r="S254"/>
  <c r="T254" s="1"/>
  <c r="S286"/>
  <c r="T286" s="1"/>
  <c r="S304"/>
  <c r="T304" s="1"/>
  <c r="S320"/>
  <c r="S336"/>
  <c r="T336" s="1"/>
  <c r="S352"/>
  <c r="T352" s="1"/>
  <c r="S373"/>
  <c r="T373" s="1"/>
  <c r="S389"/>
  <c r="T389" s="1"/>
  <c r="S405"/>
  <c r="T405" s="1"/>
  <c r="S421"/>
  <c r="S437"/>
  <c r="T437" s="1"/>
  <c r="S94"/>
  <c r="S210"/>
  <c r="T210" s="1"/>
  <c r="S245"/>
  <c r="T245" s="1"/>
  <c r="S277"/>
  <c r="T277" s="1"/>
  <c r="S302"/>
  <c r="T302" s="1"/>
  <c r="S318"/>
  <c r="T318" s="1"/>
  <c r="S334"/>
  <c r="T334" s="1"/>
  <c r="S350"/>
  <c r="T350" s="1"/>
  <c r="S366"/>
  <c r="S382"/>
  <c r="T382" s="1"/>
  <c r="S398"/>
  <c r="T398" s="1"/>
  <c r="S414"/>
  <c r="T414" s="1"/>
  <c r="S430"/>
  <c r="T430" s="1"/>
  <c r="S446"/>
  <c r="T446" s="1"/>
  <c r="S467"/>
  <c r="T467" s="1"/>
  <c r="S483"/>
  <c r="T483" s="1"/>
  <c r="S499"/>
  <c r="S515"/>
  <c r="T515" s="1"/>
  <c r="S531"/>
  <c r="T531" s="1"/>
  <c r="S540"/>
  <c r="T540" s="1"/>
  <c r="S548"/>
  <c r="T548" s="1"/>
  <c r="S556"/>
  <c r="T556" s="1"/>
  <c r="S564"/>
  <c r="T564" s="1"/>
  <c r="S572"/>
  <c r="T572" s="1"/>
  <c r="S580"/>
  <c r="S588"/>
  <c r="T588" s="1"/>
  <c r="S596"/>
  <c r="S604"/>
  <c r="T604" s="1"/>
  <c r="S612"/>
  <c r="S620"/>
  <c r="T620" s="1"/>
  <c r="S628"/>
  <c r="S636"/>
  <c r="T636" s="1"/>
  <c r="S644"/>
  <c r="S652"/>
  <c r="T652" s="1"/>
  <c r="S235"/>
  <c r="T235" s="1"/>
  <c r="S340"/>
  <c r="T340" s="1"/>
  <c r="S404"/>
  <c r="T404" s="1"/>
  <c r="S464"/>
  <c r="T464" s="1"/>
  <c r="S501"/>
  <c r="T501" s="1"/>
  <c r="S533"/>
  <c r="T533" s="1"/>
  <c r="S686"/>
  <c r="T686" s="1"/>
  <c r="S718"/>
  <c r="T718" s="1"/>
  <c r="S262"/>
  <c r="T262" s="1"/>
  <c r="S332"/>
  <c r="T332" s="1"/>
  <c r="S396"/>
  <c r="S460"/>
  <c r="T460" s="1"/>
  <c r="S492"/>
  <c r="T492" s="1"/>
  <c r="S524"/>
  <c r="T524" s="1"/>
  <c r="S676"/>
  <c r="T676" s="1"/>
  <c r="S175"/>
  <c r="T175" s="1"/>
  <c r="S324"/>
  <c r="T324" s="1"/>
  <c r="S388"/>
  <c r="T388" s="1"/>
  <c r="S456"/>
  <c r="T456" s="1"/>
  <c r="S488"/>
  <c r="T488" s="1"/>
  <c r="S520"/>
  <c r="T520" s="1"/>
  <c r="S337"/>
  <c r="T337" s="1"/>
  <c r="S521"/>
  <c r="T521" s="1"/>
  <c r="S708"/>
  <c r="T708" s="1"/>
  <c r="S348"/>
  <c r="T348" s="1"/>
  <c r="S656"/>
  <c r="T656" s="1"/>
  <c r="S712"/>
  <c r="T712" s="1"/>
  <c r="S738"/>
  <c r="T738" s="1"/>
  <c r="S746"/>
  <c r="T746" s="1"/>
  <c r="S444"/>
  <c r="T444" s="1"/>
  <c r="S674"/>
  <c r="T674" s="1"/>
  <c r="S724"/>
  <c r="T724" s="1"/>
  <c r="S732"/>
  <c r="T732" s="1"/>
  <c r="S756"/>
  <c r="T756" s="1"/>
  <c r="S772"/>
  <c r="T772" s="1"/>
  <c r="S788"/>
  <c r="T788" s="1"/>
  <c r="S804"/>
  <c r="T804" s="1"/>
  <c r="S820"/>
  <c r="T820" s="1"/>
  <c r="S836"/>
  <c r="S852"/>
  <c r="T852" s="1"/>
  <c r="S868"/>
  <c r="T868" s="1"/>
  <c r="S884"/>
  <c r="T884" s="1"/>
  <c r="S900"/>
  <c r="T900" s="1"/>
  <c r="S916"/>
  <c r="T916" s="1"/>
  <c r="S931"/>
  <c r="T931" s="1"/>
  <c r="S947"/>
  <c r="T947" s="1"/>
  <c r="S963"/>
  <c r="S979"/>
  <c r="T979" s="1"/>
  <c r="S995"/>
  <c r="T995" s="1"/>
  <c r="S1011"/>
  <c r="T1011" s="1"/>
  <c r="S1027"/>
  <c r="S1043"/>
  <c r="T1043" s="1"/>
  <c r="S1059"/>
  <c r="S1075"/>
  <c r="T1075" s="1"/>
  <c r="S1091"/>
  <c r="T1091" s="1"/>
  <c r="S1107"/>
  <c r="T1107" s="1"/>
  <c r="S1123"/>
  <c r="T1123" s="1"/>
  <c r="S1139"/>
  <c r="T1139" s="1"/>
  <c r="S1155"/>
  <c r="S1171"/>
  <c r="T1171" s="1"/>
  <c r="S1187"/>
  <c r="T1187" s="1"/>
  <c r="S1203"/>
  <c r="T1203" s="1"/>
  <c r="S1219"/>
  <c r="S1235"/>
  <c r="T1235" s="1"/>
  <c r="S1251"/>
  <c r="T1251" s="1"/>
  <c r="S1267"/>
  <c r="T1267" s="1"/>
  <c r="S1283"/>
  <c r="T1283" s="1"/>
  <c r="S1299"/>
  <c r="T1299" s="1"/>
  <c r="S1315"/>
  <c r="T1315" s="1"/>
  <c r="S1331"/>
  <c r="T1331" s="1"/>
  <c r="S743"/>
  <c r="T743" s="1"/>
  <c r="S761"/>
  <c r="T761" s="1"/>
  <c r="S777"/>
  <c r="T777" s="1"/>
  <c r="S793"/>
  <c r="T793" s="1"/>
  <c r="S809"/>
  <c r="T809" s="1"/>
  <c r="S825"/>
  <c r="T825" s="1"/>
  <c r="S841"/>
  <c r="T841" s="1"/>
  <c r="S857"/>
  <c r="T857" s="1"/>
  <c r="S873"/>
  <c r="S889"/>
  <c r="T889" s="1"/>
  <c r="S905"/>
  <c r="T905" s="1"/>
  <c r="S921"/>
  <c r="T921" s="1"/>
  <c r="S937"/>
  <c r="T937" s="1"/>
  <c r="S953"/>
  <c r="T953" s="1"/>
  <c r="S969"/>
  <c r="T969" s="1"/>
  <c r="S985"/>
  <c r="T985" s="1"/>
  <c r="S1001"/>
  <c r="S1017"/>
  <c r="T1017" s="1"/>
  <c r="S1033"/>
  <c r="T1033" s="1"/>
  <c r="S1049"/>
  <c r="T1049" s="1"/>
  <c r="S1068"/>
  <c r="T1068" s="1"/>
  <c r="S1084"/>
  <c r="T1084" s="1"/>
  <c r="S1100"/>
  <c r="T1100" s="1"/>
  <c r="S1116"/>
  <c r="T1116" s="1"/>
  <c r="S1132"/>
  <c r="S1148"/>
  <c r="T1148" s="1"/>
  <c r="S1164"/>
  <c r="S1180"/>
  <c r="T1180" s="1"/>
  <c r="S737"/>
  <c r="T737" s="1"/>
  <c r="S758"/>
  <c r="T758" s="1"/>
  <c r="S774"/>
  <c r="T774" s="1"/>
  <c r="S790"/>
  <c r="T790" s="1"/>
  <c r="S806"/>
  <c r="S822"/>
  <c r="T822" s="1"/>
  <c r="S838"/>
  <c r="T838" s="1"/>
  <c r="S854"/>
  <c r="T854" s="1"/>
  <c r="S870"/>
  <c r="T870" s="1"/>
  <c r="S886"/>
  <c r="T886" s="1"/>
  <c r="S902"/>
  <c r="T902" s="1"/>
  <c r="S918"/>
  <c r="T918" s="1"/>
  <c r="S935"/>
  <c r="S951"/>
  <c r="T951" s="1"/>
  <c r="S967"/>
  <c r="T967" s="1"/>
  <c r="S983"/>
  <c r="T983" s="1"/>
  <c r="S999"/>
  <c r="T999" s="1"/>
  <c r="S1015"/>
  <c r="T1015" s="1"/>
  <c r="S1031"/>
  <c r="T1031" s="1"/>
  <c r="S1047"/>
  <c r="T1047" s="1"/>
  <c r="S1063"/>
  <c r="S1079"/>
  <c r="T1079" s="1"/>
  <c r="S1095"/>
  <c r="T1095" s="1"/>
  <c r="S1111"/>
  <c r="T1111" s="1"/>
  <c r="S1127"/>
  <c r="S1143"/>
  <c r="T1143" s="1"/>
  <c r="S1159"/>
  <c r="T1159" s="1"/>
  <c r="S1175"/>
  <c r="T1175" s="1"/>
  <c r="S1191"/>
  <c r="S1210"/>
  <c r="T1210" s="1"/>
  <c r="S1226"/>
  <c r="T1226" s="1"/>
  <c r="S1242"/>
  <c r="T1242" s="1"/>
  <c r="S1258"/>
  <c r="T1258" s="1"/>
  <c r="S1274"/>
  <c r="T1274" s="1"/>
  <c r="S1290"/>
  <c r="T1290" s="1"/>
  <c r="S412"/>
  <c r="T412" s="1"/>
  <c r="S728"/>
  <c r="T728" s="1"/>
  <c r="S755"/>
  <c r="T755" s="1"/>
  <c r="S771"/>
  <c r="S787"/>
  <c r="T787" s="1"/>
  <c r="S851"/>
  <c r="T851" s="1"/>
  <c r="S915"/>
  <c r="T915" s="1"/>
  <c r="S981"/>
  <c r="T981" s="1"/>
  <c r="S1045"/>
  <c r="T1045" s="1"/>
  <c r="S1109"/>
  <c r="T1109" s="1"/>
  <c r="S1173"/>
  <c r="T1173" s="1"/>
  <c r="S1208"/>
  <c r="T1208" s="1"/>
  <c r="S1240"/>
  <c r="T1240" s="1"/>
  <c r="S1272"/>
  <c r="S1304"/>
  <c r="T1304" s="1"/>
  <c r="S1330"/>
  <c r="T1330" s="1"/>
  <c r="S1344"/>
  <c r="T1344" s="1"/>
  <c r="S1360"/>
  <c r="T1360" s="1"/>
  <c r="S1376"/>
  <c r="T1376" s="1"/>
  <c r="S1392"/>
  <c r="T1392" s="1"/>
  <c r="S1408"/>
  <c r="T1408" s="1"/>
  <c r="S1424"/>
  <c r="T1424" s="1"/>
  <c r="S1440"/>
  <c r="T1440" s="1"/>
  <c r="S1456"/>
  <c r="T1456" s="1"/>
  <c r="S1472"/>
  <c r="T1472" s="1"/>
  <c r="S1488"/>
  <c r="T1488" s="1"/>
  <c r="S1504"/>
  <c r="T1504" s="1"/>
  <c r="S1520"/>
  <c r="T1520" s="1"/>
  <c r="S791"/>
  <c r="T791" s="1"/>
  <c r="S855"/>
  <c r="S919"/>
  <c r="T919" s="1"/>
  <c r="S984"/>
  <c r="T984" s="1"/>
  <c r="S1048"/>
  <c r="T1048" s="1"/>
  <c r="S1112"/>
  <c r="T1112" s="1"/>
  <c r="S1176"/>
  <c r="T1176" s="1"/>
  <c r="S1220"/>
  <c r="T1220" s="1"/>
  <c r="S1252"/>
  <c r="T1252" s="1"/>
  <c r="S1284"/>
  <c r="S1309"/>
  <c r="T1309" s="1"/>
  <c r="S1327"/>
  <c r="T1327" s="1"/>
  <c r="S1347"/>
  <c r="T1347" s="1"/>
  <c r="S1363"/>
  <c r="S1379"/>
  <c r="T1379" s="1"/>
  <c r="S1395"/>
  <c r="T1395" s="1"/>
  <c r="S1414"/>
  <c r="T1414" s="1"/>
  <c r="S1430"/>
  <c r="S1446"/>
  <c r="T1446" s="1"/>
  <c r="S1462"/>
  <c r="T1462" s="1"/>
  <c r="S1478"/>
  <c r="T1478" s="1"/>
  <c r="S1494"/>
  <c r="T1494" s="1"/>
  <c r="S1510"/>
  <c r="T1510" s="1"/>
  <c r="S1526"/>
  <c r="T1526" s="1"/>
  <c r="S1542"/>
  <c r="T1542" s="1"/>
  <c r="S1558"/>
  <c r="T1558" s="1"/>
  <c r="S1579"/>
  <c r="T1579" s="1"/>
  <c r="S827"/>
  <c r="T827" s="1"/>
  <c r="S907"/>
  <c r="T907" s="1"/>
  <c r="S976"/>
  <c r="T976" s="1"/>
  <c r="S1040"/>
  <c r="T1040" s="1"/>
  <c r="S1104"/>
  <c r="T1104" s="1"/>
  <c r="S1168"/>
  <c r="T1168" s="1"/>
  <c r="S1216"/>
  <c r="T1216" s="1"/>
  <c r="S1248"/>
  <c r="T1248" s="1"/>
  <c r="S1285"/>
  <c r="T1285" s="1"/>
  <c r="S1317"/>
  <c r="T1317" s="1"/>
  <c r="S1337"/>
  <c r="T1337" s="1"/>
  <c r="S1353"/>
  <c r="T1353" s="1"/>
  <c r="S1369"/>
  <c r="T1369" s="1"/>
  <c r="S1385"/>
  <c r="T1385" s="1"/>
  <c r="S1401"/>
  <c r="S1417"/>
  <c r="T1417" s="1"/>
  <c r="S1433"/>
  <c r="T1433" s="1"/>
  <c r="S1449"/>
  <c r="T1449" s="1"/>
  <c r="S1465"/>
  <c r="S1481"/>
  <c r="T1481" s="1"/>
  <c r="S1497"/>
  <c r="T1497" s="1"/>
  <c r="S1513"/>
  <c r="T1513" s="1"/>
  <c r="S831"/>
  <c r="S895"/>
  <c r="T895" s="1"/>
  <c r="S957"/>
  <c r="T957" s="1"/>
  <c r="S1021"/>
  <c r="T1021" s="1"/>
  <c r="S1085"/>
  <c r="S1149"/>
  <c r="T1149" s="1"/>
  <c r="S1201"/>
  <c r="T1201" s="1"/>
  <c r="S1233"/>
  <c r="T1233" s="1"/>
  <c r="S1265"/>
  <c r="T1265" s="1"/>
  <c r="S1297"/>
  <c r="T1297" s="1"/>
  <c r="S1325"/>
  <c r="T1325" s="1"/>
  <c r="S1343"/>
  <c r="T1343" s="1"/>
  <c r="S1359"/>
  <c r="S1375"/>
  <c r="T1375" s="1"/>
  <c r="S1391"/>
  <c r="T1391" s="1"/>
  <c r="S1447"/>
  <c r="T1447" s="1"/>
  <c r="S1511"/>
  <c r="S1546"/>
  <c r="T1546" s="1"/>
  <c r="S1564"/>
  <c r="T1564" s="1"/>
  <c r="S1587"/>
  <c r="T1587" s="1"/>
  <c r="S1603"/>
  <c r="S1619"/>
  <c r="T1619" s="1"/>
  <c r="S1635"/>
  <c r="T1635" s="1"/>
  <c r="S1651"/>
  <c r="T1651" s="1"/>
  <c r="S1670"/>
  <c r="S1686"/>
  <c r="T1686" s="1"/>
  <c r="S1702"/>
  <c r="T1702" s="1"/>
  <c r="S1718"/>
  <c r="T1718" s="1"/>
  <c r="S1734"/>
  <c r="T1734" s="1"/>
  <c r="S1750"/>
  <c r="T1750" s="1"/>
  <c r="S1766"/>
  <c r="T1766" s="1"/>
  <c r="S1782"/>
  <c r="T1782" s="1"/>
  <c r="S1798"/>
  <c r="S1819"/>
  <c r="T1819" s="1"/>
  <c r="S1835"/>
  <c r="T1835" s="1"/>
  <c r="S1854"/>
  <c r="T1854" s="1"/>
  <c r="S1870"/>
  <c r="T1870" s="1"/>
  <c r="S1894"/>
  <c r="T1894" s="1"/>
  <c r="S1915"/>
  <c r="T1915" s="1"/>
  <c r="S1931"/>
  <c r="T1931" s="1"/>
  <c r="S1947"/>
  <c r="T1947" s="1"/>
  <c r="S1407"/>
  <c r="T1407" s="1"/>
  <c r="S1471"/>
  <c r="T1471" s="1"/>
  <c r="S1521"/>
  <c r="T1521" s="1"/>
  <c r="S1543"/>
  <c r="T1543" s="1"/>
  <c r="S1568"/>
  <c r="T1568" s="1"/>
  <c r="S1588"/>
  <c r="T1588" s="1"/>
  <c r="S1604"/>
  <c r="T1604" s="1"/>
  <c r="S1620"/>
  <c r="S1636"/>
  <c r="T1636" s="1"/>
  <c r="S1652"/>
  <c r="T1652" s="1"/>
  <c r="S1668"/>
  <c r="T1668" s="1"/>
  <c r="S1684"/>
  <c r="S1700"/>
  <c r="T1700" s="1"/>
  <c r="S1716"/>
  <c r="S1732"/>
  <c r="T1732" s="1"/>
  <c r="S1748"/>
  <c r="T1748" s="1"/>
  <c r="S1764"/>
  <c r="T1764" s="1"/>
  <c r="S1780"/>
  <c r="T1780" s="1"/>
  <c r="S1796"/>
  <c r="T1796" s="1"/>
  <c r="S1812"/>
  <c r="T1812" s="1"/>
  <c r="S1828"/>
  <c r="T1828" s="1"/>
  <c r="S1844"/>
  <c r="T1844" s="1"/>
  <c r="S1868"/>
  <c r="T1868" s="1"/>
  <c r="S1884"/>
  <c r="T1884" s="1"/>
  <c r="S1905"/>
  <c r="T1905" s="1"/>
  <c r="S1921"/>
  <c r="T1921" s="1"/>
  <c r="S1945"/>
  <c r="T1945" s="1"/>
  <c r="S1431"/>
  <c r="T1431" s="1"/>
  <c r="S1506"/>
  <c r="T1506" s="1"/>
  <c r="S1544"/>
  <c r="T1544" s="1"/>
  <c r="S1565"/>
  <c r="T1565" s="1"/>
  <c r="S1583"/>
  <c r="S1602"/>
  <c r="T1602" s="1"/>
  <c r="S1618"/>
  <c r="T1618" s="1"/>
  <c r="S1634"/>
  <c r="T1634" s="1"/>
  <c r="S1650"/>
  <c r="S1666"/>
  <c r="T1666" s="1"/>
  <c r="S1682"/>
  <c r="T1682" s="1"/>
  <c r="S1698"/>
  <c r="T1698" s="1"/>
  <c r="S1714"/>
  <c r="T1714" s="1"/>
  <c r="S1730"/>
  <c r="T1730" s="1"/>
  <c r="S1751"/>
  <c r="T1751" s="1"/>
  <c r="S1767"/>
  <c r="T1767" s="1"/>
  <c r="S1783"/>
  <c r="S1799"/>
  <c r="T1799" s="1"/>
  <c r="S1815"/>
  <c r="T1815" s="1"/>
  <c r="S1831"/>
  <c r="T1831" s="1"/>
  <c r="S1847"/>
  <c r="S1863"/>
  <c r="T1863" s="1"/>
  <c r="S1882"/>
  <c r="T1882" s="1"/>
  <c r="S1903"/>
  <c r="T1903" s="1"/>
  <c r="S1922"/>
  <c r="S1938"/>
  <c r="T1938" s="1"/>
  <c r="S1959"/>
  <c r="T1959" s="1"/>
  <c r="S1455"/>
  <c r="T1455" s="1"/>
  <c r="S1524"/>
  <c r="S1545"/>
  <c r="T1545" s="1"/>
  <c r="S1570"/>
  <c r="T1570" s="1"/>
  <c r="S1592"/>
  <c r="T1592" s="1"/>
  <c r="S1608"/>
  <c r="S1624"/>
  <c r="T1624" s="1"/>
  <c r="S1640"/>
  <c r="T1640" s="1"/>
  <c r="S1656"/>
  <c r="T1656" s="1"/>
  <c r="S1672"/>
  <c r="T1672" s="1"/>
  <c r="S1688"/>
  <c r="T1688" s="1"/>
  <c r="S1704"/>
  <c r="T1704" s="1"/>
  <c r="S1720"/>
  <c r="T1720" s="1"/>
  <c r="S1736"/>
  <c r="S1752"/>
  <c r="T1752" s="1"/>
  <c r="S1768"/>
  <c r="T1768" s="1"/>
  <c r="S1784"/>
  <c r="T1784" s="1"/>
  <c r="S1805"/>
  <c r="S1824"/>
  <c r="T1824" s="1"/>
  <c r="S1845"/>
  <c r="S1861"/>
  <c r="T1861" s="1"/>
  <c r="S1880"/>
  <c r="T1880" s="1"/>
  <c r="S1896"/>
  <c r="T1896" s="1"/>
  <c r="S1912"/>
  <c r="T1912" s="1"/>
  <c r="S1928"/>
  <c r="T1928" s="1"/>
  <c r="S1944"/>
  <c r="T1944" s="1"/>
  <c r="S1960"/>
  <c r="T1960" s="1"/>
  <c r="S1974"/>
  <c r="T1974" s="1"/>
  <c r="S1995"/>
  <c r="T1995" s="1"/>
  <c r="S2014"/>
  <c r="S2030"/>
  <c r="T2030" s="1"/>
  <c r="S2051"/>
  <c r="T2051" s="1"/>
  <c r="S2067"/>
  <c r="T2067" s="1"/>
  <c r="S2083"/>
  <c r="T2083" s="1"/>
  <c r="S2099"/>
  <c r="T2099" s="1"/>
  <c r="S2115"/>
  <c r="T2115" s="1"/>
  <c r="S2179"/>
  <c r="T2179" s="1"/>
  <c r="S2195"/>
  <c r="T2195" s="1"/>
  <c r="S2211"/>
  <c r="T2211" s="1"/>
  <c r="S2227"/>
  <c r="T2227" s="1"/>
  <c r="S2243"/>
  <c r="T2243" s="1"/>
  <c r="S2259"/>
  <c r="T2259" s="1"/>
  <c r="S2275"/>
  <c r="T2275" s="1"/>
  <c r="S1969"/>
  <c r="T1969" s="1"/>
  <c r="S1985"/>
  <c r="T1985" s="1"/>
  <c r="S2001"/>
  <c r="S2017"/>
  <c r="T2017" s="1"/>
  <c r="S2036"/>
  <c r="T2036" s="1"/>
  <c r="S2052"/>
  <c r="T2052" s="1"/>
  <c r="S2068"/>
  <c r="S2084"/>
  <c r="T2084" s="1"/>
  <c r="S2100"/>
  <c r="T2100" s="1"/>
  <c r="S2116"/>
  <c r="T2116" s="1"/>
  <c r="S2180"/>
  <c r="S2196"/>
  <c r="T2196" s="1"/>
  <c r="S2212"/>
  <c r="T2212" s="1"/>
  <c r="S2228"/>
  <c r="T2228" s="1"/>
  <c r="S2244"/>
  <c r="T2244" s="1"/>
  <c r="S2260"/>
  <c r="T2260" s="1"/>
  <c r="S2276"/>
  <c r="T2276" s="1"/>
  <c r="S2284"/>
  <c r="T2284" s="1"/>
  <c r="S2292"/>
  <c r="T2292" s="1"/>
  <c r="S2300"/>
  <c r="T2300" s="1"/>
  <c r="S2308"/>
  <c r="T2308" s="1"/>
  <c r="S2316"/>
  <c r="T2316" s="1"/>
  <c r="S2324"/>
  <c r="T2324" s="1"/>
  <c r="S1956"/>
  <c r="T1956" s="1"/>
  <c r="S1975"/>
  <c r="T1975" s="1"/>
  <c r="S1991"/>
  <c r="T1991" s="1"/>
  <c r="S2007"/>
  <c r="T2007" s="1"/>
  <c r="S2023"/>
  <c r="T2023" s="1"/>
  <c r="S2039"/>
  <c r="T2039" s="1"/>
  <c r="S2055"/>
  <c r="T2055" s="1"/>
  <c r="S2074"/>
  <c r="T2074" s="1"/>
  <c r="S2095"/>
  <c r="T2095" s="1"/>
  <c r="S2111"/>
  <c r="S2178"/>
  <c r="T2178" s="1"/>
  <c r="S2194"/>
  <c r="T2194" s="1"/>
  <c r="S2215"/>
  <c r="T2215" s="1"/>
  <c r="S2231"/>
  <c r="T2231" s="1"/>
  <c r="S2247"/>
  <c r="T2247" s="1"/>
  <c r="S2263"/>
  <c r="T2263" s="1"/>
  <c r="S1965"/>
  <c r="T1965" s="1"/>
  <c r="S1981"/>
  <c r="T1981" s="1"/>
  <c r="S2000"/>
  <c r="T2000" s="1"/>
  <c r="S2016"/>
  <c r="S2032"/>
  <c r="T2032" s="1"/>
  <c r="S2048"/>
  <c r="T2048" s="1"/>
  <c r="S2064"/>
  <c r="T2064" s="1"/>
  <c r="S2080"/>
  <c r="T2080" s="1"/>
  <c r="S2101"/>
  <c r="T2101" s="1"/>
  <c r="S2117"/>
  <c r="T2117" s="1"/>
  <c r="S2181"/>
  <c r="T2181" s="1"/>
  <c r="S2197"/>
  <c r="S2213"/>
  <c r="T2213" s="1"/>
  <c r="S2229"/>
  <c r="T2229" s="1"/>
  <c r="S2245"/>
  <c r="T2245" s="1"/>
  <c r="S2261"/>
  <c r="S2277"/>
  <c r="T2277" s="1"/>
  <c r="S2285"/>
  <c r="T2285" s="1"/>
  <c r="S2293"/>
  <c r="T2293" s="1"/>
  <c r="S2301"/>
  <c r="T2301" s="1"/>
  <c r="S2315"/>
  <c r="T2315" s="1"/>
  <c r="S2339"/>
  <c r="T2339" s="1"/>
  <c r="S2355"/>
  <c r="S2371"/>
  <c r="S2387"/>
  <c r="T2387" s="1"/>
  <c r="S2403"/>
  <c r="T2403" s="1"/>
  <c r="S2419"/>
  <c r="T2419" s="1"/>
  <c r="S2435"/>
  <c r="S2515"/>
  <c r="T2515" s="1"/>
  <c r="S2531"/>
  <c r="S2547"/>
  <c r="T2547" s="1"/>
  <c r="S2563"/>
  <c r="S2579"/>
  <c r="T2579" s="1"/>
  <c r="S2595"/>
  <c r="T2595" s="1"/>
  <c r="S2611"/>
  <c r="T2611" s="1"/>
  <c r="S2627"/>
  <c r="S2643"/>
  <c r="T2643" s="1"/>
  <c r="S2659"/>
  <c r="T2659" s="1"/>
  <c r="S2332"/>
  <c r="T2332" s="1"/>
  <c r="S2348"/>
  <c r="T2348" s="1"/>
  <c r="S2364"/>
  <c r="S2380"/>
  <c r="T2380" s="1"/>
  <c r="S2396"/>
  <c r="T2396" s="1"/>
  <c r="S2412"/>
  <c r="T2412" s="1"/>
  <c r="S2428"/>
  <c r="T2428" s="1"/>
  <c r="S2444"/>
  <c r="T2444" s="1"/>
  <c r="S2508"/>
  <c r="T2508" s="1"/>
  <c r="S2524"/>
  <c r="T2524" s="1"/>
  <c r="S2540"/>
  <c r="T2540" s="1"/>
  <c r="S2556"/>
  <c r="T2556" s="1"/>
  <c r="S2572"/>
  <c r="T2572" s="1"/>
  <c r="S2588"/>
  <c r="T2588" s="1"/>
  <c r="S2604"/>
  <c r="T2604" s="1"/>
  <c r="S2620"/>
  <c r="T2620" s="1"/>
  <c r="S2636"/>
  <c r="T2636" s="1"/>
  <c r="S2652"/>
  <c r="S2668"/>
  <c r="T2668" s="1"/>
  <c r="S2684"/>
  <c r="T2684" s="1"/>
  <c r="S2700"/>
  <c r="T2700" s="1"/>
  <c r="S2716"/>
  <c r="S2733"/>
  <c r="T2733" s="1"/>
  <c r="S2333"/>
  <c r="T2333" s="1"/>
  <c r="S2349"/>
  <c r="T2349" s="1"/>
  <c r="S2365"/>
  <c r="S2385"/>
  <c r="T2385" s="1"/>
  <c r="S2401"/>
  <c r="T2401" s="1"/>
  <c r="S2417"/>
  <c r="T2417" s="1"/>
  <c r="S2433"/>
  <c r="S2449"/>
  <c r="T2449" s="1"/>
  <c r="S47"/>
  <c r="T47" s="1"/>
  <c r="S59"/>
  <c r="T59" s="1"/>
  <c r="S75"/>
  <c r="T75" s="1"/>
  <c r="S91"/>
  <c r="T91" s="1"/>
  <c r="S107"/>
  <c r="T107" s="1"/>
  <c r="S123"/>
  <c r="T123" s="1"/>
  <c r="S139"/>
  <c r="T139" s="1"/>
  <c r="S155"/>
  <c r="T155" s="1"/>
  <c r="S56"/>
  <c r="S72"/>
  <c r="T72" s="1"/>
  <c r="S88"/>
  <c r="T88" s="1"/>
  <c r="S108"/>
  <c r="T108" s="1"/>
  <c r="S124"/>
  <c r="T124" s="1"/>
  <c r="S61"/>
  <c r="T61" s="1"/>
  <c r="S77"/>
  <c r="T77" s="1"/>
  <c r="S93"/>
  <c r="T93" s="1"/>
  <c r="S109"/>
  <c r="T109" s="1"/>
  <c r="S125"/>
  <c r="T125" s="1"/>
  <c r="S141"/>
  <c r="T141" s="1"/>
  <c r="S157"/>
  <c r="T157" s="1"/>
  <c r="S173"/>
  <c r="S189"/>
  <c r="T189" s="1"/>
  <c r="S205"/>
  <c r="T205" s="1"/>
  <c r="S82"/>
  <c r="T82" s="1"/>
  <c r="S136"/>
  <c r="T136" s="1"/>
  <c r="S166"/>
  <c r="T166" s="1"/>
  <c r="S187"/>
  <c r="S217"/>
  <c r="T217" s="1"/>
  <c r="S233"/>
  <c r="S249"/>
  <c r="T249" s="1"/>
  <c r="S265"/>
  <c r="T265" s="1"/>
  <c r="S281"/>
  <c r="T281" s="1"/>
  <c r="S297"/>
  <c r="T297" s="1"/>
  <c r="S118"/>
  <c r="T118" s="1"/>
  <c r="S154"/>
  <c r="S178"/>
  <c r="T178" s="1"/>
  <c r="S199"/>
  <c r="S215"/>
  <c r="T215" s="1"/>
  <c r="S231"/>
  <c r="T231" s="1"/>
  <c r="S247"/>
  <c r="T247" s="1"/>
  <c r="S263"/>
  <c r="T263" s="1"/>
  <c r="S279"/>
  <c r="T279" s="1"/>
  <c r="S58"/>
  <c r="S122"/>
  <c r="T122" s="1"/>
  <c r="S156"/>
  <c r="T156" s="1"/>
  <c r="S179"/>
  <c r="T179" s="1"/>
  <c r="S206"/>
  <c r="S158"/>
  <c r="T158" s="1"/>
  <c r="S221"/>
  <c r="T221" s="1"/>
  <c r="S264"/>
  <c r="T264" s="1"/>
  <c r="S294"/>
  <c r="T294" s="1"/>
  <c r="S319"/>
  <c r="T319" s="1"/>
  <c r="S335"/>
  <c r="T335" s="1"/>
  <c r="S351"/>
  <c r="T351" s="1"/>
  <c r="S367"/>
  <c r="S383"/>
  <c r="T383" s="1"/>
  <c r="S399"/>
  <c r="T399" s="1"/>
  <c r="S415"/>
  <c r="T415" s="1"/>
  <c r="S431"/>
  <c r="S447"/>
  <c r="T447" s="1"/>
  <c r="S463"/>
  <c r="T463" s="1"/>
  <c r="S479"/>
  <c r="T479" s="1"/>
  <c r="S495"/>
  <c r="T495" s="1"/>
  <c r="S511"/>
  <c r="T511" s="1"/>
  <c r="S527"/>
  <c r="T527" s="1"/>
  <c r="S539"/>
  <c r="T539" s="1"/>
  <c r="S547"/>
  <c r="S555"/>
  <c r="T555" s="1"/>
  <c r="S563"/>
  <c r="T563" s="1"/>
  <c r="S571"/>
  <c r="T571" s="1"/>
  <c r="S579"/>
  <c r="T579" s="1"/>
  <c r="S587"/>
  <c r="T587" s="1"/>
  <c r="S595"/>
  <c r="T595" s="1"/>
  <c r="S603"/>
  <c r="S611"/>
  <c r="T611" s="1"/>
  <c r="S619"/>
  <c r="T619" s="1"/>
  <c r="S627"/>
  <c r="T627" s="1"/>
  <c r="S635"/>
  <c r="T635" s="1"/>
  <c r="S643"/>
  <c r="S651"/>
  <c r="T651" s="1"/>
  <c r="S659"/>
  <c r="T659" s="1"/>
  <c r="S667"/>
  <c r="T667" s="1"/>
  <c r="S675"/>
  <c r="S683"/>
  <c r="T683" s="1"/>
  <c r="S691"/>
  <c r="T691" s="1"/>
  <c r="S699"/>
  <c r="T699" s="1"/>
  <c r="S707"/>
  <c r="T707" s="1"/>
  <c r="S715"/>
  <c r="T715" s="1"/>
  <c r="S723"/>
  <c r="T723" s="1"/>
  <c r="S731"/>
  <c r="T731" s="1"/>
  <c r="S164"/>
  <c r="T164" s="1"/>
  <c r="S227"/>
  <c r="T227" s="1"/>
  <c r="S259"/>
  <c r="T259" s="1"/>
  <c r="S291"/>
  <c r="T291" s="1"/>
  <c r="S309"/>
  <c r="S325"/>
  <c r="T325" s="1"/>
  <c r="S341"/>
  <c r="T341" s="1"/>
  <c r="S357"/>
  <c r="T357" s="1"/>
  <c r="S376"/>
  <c r="S392"/>
  <c r="T392" s="1"/>
  <c r="S408"/>
  <c r="T408" s="1"/>
  <c r="S424"/>
  <c r="T424" s="1"/>
  <c r="S440"/>
  <c r="T440" s="1"/>
  <c r="S142"/>
  <c r="T142" s="1"/>
  <c r="S224"/>
  <c r="T224" s="1"/>
  <c r="S256"/>
  <c r="T256" s="1"/>
  <c r="S288"/>
  <c r="S307"/>
  <c r="T307" s="1"/>
  <c r="S323"/>
  <c r="T323" s="1"/>
  <c r="S339"/>
  <c r="T339" s="1"/>
  <c r="S355"/>
  <c r="T355" s="1"/>
  <c r="S371"/>
  <c r="T371" s="1"/>
  <c r="S387"/>
  <c r="T387" s="1"/>
  <c r="S403"/>
  <c r="T403" s="1"/>
  <c r="S419"/>
  <c r="T419" s="1"/>
  <c r="S435"/>
  <c r="T435" s="1"/>
  <c r="S454"/>
  <c r="T454" s="1"/>
  <c r="S470"/>
  <c r="T470" s="1"/>
  <c r="S486"/>
  <c r="T486" s="1"/>
  <c r="S502"/>
  <c r="T502" s="1"/>
  <c r="S518"/>
  <c r="T518" s="1"/>
  <c r="S534"/>
  <c r="T534" s="1"/>
  <c r="S542"/>
  <c r="S550"/>
  <c r="T550" s="1"/>
  <c r="S558"/>
  <c r="T558" s="1"/>
  <c r="S566"/>
  <c r="T566" s="1"/>
  <c r="S574"/>
  <c r="S582"/>
  <c r="T582" s="1"/>
  <c r="S590"/>
  <c r="T590" s="1"/>
  <c r="S598"/>
  <c r="T598" s="1"/>
  <c r="S606"/>
  <c r="S614"/>
  <c r="T614" s="1"/>
  <c r="S622"/>
  <c r="T622" s="1"/>
  <c r="S630"/>
  <c r="T630" s="1"/>
  <c r="S638"/>
  <c r="T638" s="1"/>
  <c r="S646"/>
  <c r="T646" s="1"/>
  <c r="S654"/>
  <c r="T654" s="1"/>
  <c r="S278"/>
  <c r="T278" s="1"/>
  <c r="S361"/>
  <c r="S425"/>
  <c r="T425" s="1"/>
  <c r="S469"/>
  <c r="T469" s="1"/>
  <c r="S512"/>
  <c r="T512" s="1"/>
  <c r="S662"/>
  <c r="T662" s="1"/>
  <c r="S694"/>
  <c r="T694" s="1"/>
  <c r="S734"/>
  <c r="T734" s="1"/>
  <c r="S283"/>
  <c r="T283" s="1"/>
  <c r="S353"/>
  <c r="S417"/>
  <c r="T417" s="1"/>
  <c r="S465"/>
  <c r="T465" s="1"/>
  <c r="S497"/>
  <c r="T497" s="1"/>
  <c r="S529"/>
  <c r="S684"/>
  <c r="T684" s="1"/>
  <c r="S246"/>
  <c r="T246" s="1"/>
  <c r="S345"/>
  <c r="T345" s="1"/>
  <c r="S409"/>
  <c r="T409" s="1"/>
  <c r="S461"/>
  <c r="T461" s="1"/>
  <c r="S493"/>
  <c r="T493" s="1"/>
  <c r="S525"/>
  <c r="T525" s="1"/>
  <c r="S380"/>
  <c r="T380" s="1"/>
  <c r="S666"/>
  <c r="T666" s="1"/>
  <c r="S722"/>
  <c r="T722" s="1"/>
  <c r="S433"/>
  <c r="T433" s="1"/>
  <c r="S672"/>
  <c r="T672" s="1"/>
  <c r="S716"/>
  <c r="T716" s="1"/>
  <c r="S740"/>
  <c r="T740" s="1"/>
  <c r="S251"/>
  <c r="T251" s="1"/>
  <c r="S468"/>
  <c r="S690"/>
  <c r="T690" s="1"/>
  <c r="S452"/>
  <c r="T452" s="1"/>
  <c r="S741"/>
  <c r="T741" s="1"/>
  <c r="S760"/>
  <c r="T760" s="1"/>
  <c r="S776"/>
  <c r="T776" s="1"/>
  <c r="S792"/>
  <c r="T792" s="1"/>
  <c r="S808"/>
  <c r="T808" s="1"/>
  <c r="S824"/>
  <c r="T824" s="1"/>
  <c r="S840"/>
  <c r="T840" s="1"/>
  <c r="S856"/>
  <c r="T856" s="1"/>
  <c r="S872"/>
  <c r="T872" s="1"/>
  <c r="S888"/>
  <c r="T888" s="1"/>
  <c r="S904"/>
  <c r="T904" s="1"/>
  <c r="S920"/>
  <c r="T920" s="1"/>
  <c r="S934"/>
  <c r="T934" s="1"/>
  <c r="S950"/>
  <c r="S966"/>
  <c r="T966" s="1"/>
  <c r="S982"/>
  <c r="T982" s="1"/>
  <c r="S998"/>
  <c r="T998" s="1"/>
  <c r="S1014"/>
  <c r="T1014" s="1"/>
  <c r="S1030"/>
  <c r="T1030" s="1"/>
  <c r="S1046"/>
  <c r="T1046" s="1"/>
  <c r="S1062"/>
  <c r="T1062" s="1"/>
  <c r="S1078"/>
  <c r="T1078" s="1"/>
  <c r="S1094"/>
  <c r="T1094" s="1"/>
  <c r="S1110"/>
  <c r="S1126"/>
  <c r="T1126" s="1"/>
  <c r="S1142"/>
  <c r="T1142" s="1"/>
  <c r="S1158"/>
  <c r="T1158" s="1"/>
  <c r="S1174"/>
  <c r="T1174" s="1"/>
  <c r="S1190"/>
  <c r="T1190" s="1"/>
  <c r="S1206"/>
  <c r="T1206" s="1"/>
  <c r="S1222"/>
  <c r="T1222" s="1"/>
  <c r="S1238"/>
  <c r="T1238" s="1"/>
  <c r="S1254"/>
  <c r="T1254" s="1"/>
  <c r="S1270"/>
  <c r="T1270" s="1"/>
  <c r="S1286"/>
  <c r="T1286" s="1"/>
  <c r="S1302"/>
  <c r="T1302" s="1"/>
  <c r="S1318"/>
  <c r="T1318" s="1"/>
  <c r="S473"/>
  <c r="T473" s="1"/>
  <c r="S749"/>
  <c r="T749" s="1"/>
  <c r="S765"/>
  <c r="T765" s="1"/>
  <c r="S781"/>
  <c r="T781" s="1"/>
  <c r="S797"/>
  <c r="S813"/>
  <c r="T813" s="1"/>
  <c r="S829"/>
  <c r="S845"/>
  <c r="T845" s="1"/>
  <c r="S861"/>
  <c r="T861" s="1"/>
  <c r="S877"/>
  <c r="T877" s="1"/>
  <c r="S893"/>
  <c r="T893" s="1"/>
  <c r="S909"/>
  <c r="T909" s="1"/>
  <c r="S924"/>
  <c r="T924" s="1"/>
  <c r="S940"/>
  <c r="T940" s="1"/>
  <c r="S956"/>
  <c r="T956" s="1"/>
  <c r="S972"/>
  <c r="T972" s="1"/>
  <c r="S988"/>
  <c r="T988" s="1"/>
  <c r="S1004"/>
  <c r="T1004" s="1"/>
  <c r="S1020"/>
  <c r="T1020" s="1"/>
  <c r="S1036"/>
  <c r="T1036" s="1"/>
  <c r="S1057"/>
  <c r="S1073"/>
  <c r="T1073" s="1"/>
  <c r="S1089"/>
  <c r="S1105"/>
  <c r="T1105" s="1"/>
  <c r="S1121"/>
  <c r="S1137"/>
  <c r="T1137" s="1"/>
  <c r="S1153"/>
  <c r="T1153" s="1"/>
  <c r="S1169"/>
  <c r="T1169" s="1"/>
  <c r="S1185"/>
  <c r="T1185" s="1"/>
  <c r="S745"/>
  <c r="T745" s="1"/>
  <c r="S762"/>
  <c r="T762" s="1"/>
  <c r="S778"/>
  <c r="T778" s="1"/>
  <c r="S794"/>
  <c r="S810"/>
  <c r="T810" s="1"/>
  <c r="S826"/>
  <c r="T826" s="1"/>
  <c r="S842"/>
  <c r="T842" s="1"/>
  <c r="S858"/>
  <c r="S874"/>
  <c r="T874" s="1"/>
  <c r="S890"/>
  <c r="T890" s="1"/>
  <c r="S906"/>
  <c r="T906" s="1"/>
  <c r="S922"/>
  <c r="T922" s="1"/>
  <c r="S938"/>
  <c r="T938" s="1"/>
  <c r="S954"/>
  <c r="T954" s="1"/>
  <c r="S970"/>
  <c r="T970" s="1"/>
  <c r="S986"/>
  <c r="S1002"/>
  <c r="T1002" s="1"/>
  <c r="S1018"/>
  <c r="T1018" s="1"/>
  <c r="S1034"/>
  <c r="T1034" s="1"/>
  <c r="S1050"/>
  <c r="T1050" s="1"/>
  <c r="S1066"/>
  <c r="T1066" s="1"/>
  <c r="S1082"/>
  <c r="T1082" s="1"/>
  <c r="S1098"/>
  <c r="T1098" s="1"/>
  <c r="S1114"/>
  <c r="T1114" s="1"/>
  <c r="S1130"/>
  <c r="T1130" s="1"/>
  <c r="S1146"/>
  <c r="S1162"/>
  <c r="T1162" s="1"/>
  <c r="S1178"/>
  <c r="S1194"/>
  <c r="T1194" s="1"/>
  <c r="S1215"/>
  <c r="T1215" s="1"/>
  <c r="S1231"/>
  <c r="T1231" s="1"/>
  <c r="S1247"/>
  <c r="T1247" s="1"/>
  <c r="S1263"/>
  <c r="T1263" s="1"/>
  <c r="S1279"/>
  <c r="S1295"/>
  <c r="T1295" s="1"/>
  <c r="S516"/>
  <c r="T516" s="1"/>
  <c r="S739"/>
  <c r="T739" s="1"/>
  <c r="S759"/>
  <c r="T759" s="1"/>
  <c r="S775"/>
  <c r="T775" s="1"/>
  <c r="S803"/>
  <c r="S867"/>
  <c r="T867" s="1"/>
  <c r="S928"/>
  <c r="T928" s="1"/>
  <c r="S992"/>
  <c r="T992" s="1"/>
  <c r="S1056"/>
  <c r="T1056" s="1"/>
  <c r="S1120"/>
  <c r="T1120" s="1"/>
  <c r="S1184"/>
  <c r="S1213"/>
  <c r="T1213" s="1"/>
  <c r="S1245"/>
  <c r="T1245" s="1"/>
  <c r="S1277"/>
  <c r="T1277" s="1"/>
  <c r="S1312"/>
  <c r="T1312" s="1"/>
  <c r="S1333"/>
  <c r="T1333" s="1"/>
  <c r="S1349"/>
  <c r="S1365"/>
  <c r="T1365" s="1"/>
  <c r="S1381"/>
  <c r="T1381" s="1"/>
  <c r="S1397"/>
  <c r="T1397" s="1"/>
  <c r="S1413"/>
  <c r="S1429"/>
  <c r="T1429" s="1"/>
  <c r="S1445"/>
  <c r="S1461"/>
  <c r="T1461" s="1"/>
  <c r="S1477"/>
  <c r="T1477" s="1"/>
  <c r="S1493"/>
  <c r="T1493" s="1"/>
  <c r="S1509"/>
  <c r="T1509" s="1"/>
  <c r="S1525"/>
  <c r="T1525" s="1"/>
  <c r="S807"/>
  <c r="T807" s="1"/>
  <c r="S871"/>
  <c r="T871" s="1"/>
  <c r="S941"/>
  <c r="T941" s="1"/>
  <c r="S1005"/>
  <c r="T1005" s="1"/>
  <c r="S1069"/>
  <c r="T1069" s="1"/>
  <c r="S1133"/>
  <c r="T1133" s="1"/>
  <c r="S1193"/>
  <c r="T1193" s="1"/>
  <c r="S1225"/>
  <c r="T1225" s="1"/>
  <c r="S1257"/>
  <c r="T1257" s="1"/>
  <c r="S1289"/>
  <c r="T1289" s="1"/>
  <c r="S1313"/>
  <c r="T1313" s="1"/>
  <c r="S1334"/>
  <c r="T1334" s="1"/>
  <c r="S1350"/>
  <c r="T1350" s="1"/>
  <c r="S1366"/>
  <c r="T1366" s="1"/>
  <c r="S1382"/>
  <c r="T1382" s="1"/>
  <c r="S1398"/>
  <c r="T1398" s="1"/>
  <c r="S1419"/>
  <c r="T1419" s="1"/>
  <c r="S1435"/>
  <c r="T1435" s="1"/>
  <c r="S1451"/>
  <c r="T1451" s="1"/>
  <c r="S1467"/>
  <c r="T1467" s="1"/>
  <c r="S1483"/>
  <c r="S1499"/>
  <c r="T1499" s="1"/>
  <c r="S1515"/>
  <c r="S1531"/>
  <c r="T1531" s="1"/>
  <c r="S1547"/>
  <c r="S1563"/>
  <c r="T1563" s="1"/>
  <c r="S1582"/>
  <c r="T1582" s="1"/>
  <c r="S843"/>
  <c r="T843" s="1"/>
  <c r="S933"/>
  <c r="T933" s="1"/>
  <c r="S997"/>
  <c r="T997" s="1"/>
  <c r="S1061"/>
  <c r="T1061" s="1"/>
  <c r="S1125"/>
  <c r="T1125" s="1"/>
  <c r="S1189"/>
  <c r="T1189" s="1"/>
  <c r="S1221"/>
  <c r="T1221" s="1"/>
  <c r="S1253"/>
  <c r="T1253" s="1"/>
  <c r="S1296"/>
  <c r="T1296" s="1"/>
  <c r="S1321"/>
  <c r="S1340"/>
  <c r="T1340" s="1"/>
  <c r="S1356"/>
  <c r="T1356" s="1"/>
  <c r="S1372"/>
  <c r="T1372" s="1"/>
  <c r="S1388"/>
  <c r="T1388" s="1"/>
  <c r="S1404"/>
  <c r="T1404" s="1"/>
  <c r="S1420"/>
  <c r="T1420" s="1"/>
  <c r="S1436"/>
  <c r="T1436" s="1"/>
  <c r="S1452"/>
  <c r="S1468"/>
  <c r="T1468" s="1"/>
  <c r="S1484"/>
  <c r="T1484" s="1"/>
  <c r="S1500"/>
  <c r="T1500" s="1"/>
  <c r="S1516"/>
  <c r="T1516" s="1"/>
  <c r="S847"/>
  <c r="T847" s="1"/>
  <c r="S911"/>
  <c r="T911" s="1"/>
  <c r="S968"/>
  <c r="T968" s="1"/>
  <c r="S1032"/>
  <c r="T1032" s="1"/>
  <c r="S1096"/>
  <c r="T1096" s="1"/>
  <c r="S1160"/>
  <c r="S1212"/>
  <c r="T1212" s="1"/>
  <c r="S1244"/>
  <c r="S1276"/>
  <c r="T1276" s="1"/>
  <c r="S1308"/>
  <c r="T1308" s="1"/>
  <c r="S1329"/>
  <c r="T1329" s="1"/>
  <c r="S1346"/>
  <c r="T1346" s="1"/>
  <c r="S1362"/>
  <c r="T1362" s="1"/>
  <c r="S1378"/>
  <c r="T1378" s="1"/>
  <c r="S1394"/>
  <c r="T1394" s="1"/>
  <c r="S1458"/>
  <c r="S1519"/>
  <c r="T1519" s="1"/>
  <c r="S1549"/>
  <c r="T1549" s="1"/>
  <c r="S1567"/>
  <c r="T1567" s="1"/>
  <c r="S1590"/>
  <c r="T1590" s="1"/>
  <c r="S1606"/>
  <c r="T1606" s="1"/>
  <c r="S1622"/>
  <c r="T1622" s="1"/>
  <c r="S1638"/>
  <c r="T1638" s="1"/>
  <c r="S1654"/>
  <c r="S1675"/>
  <c r="T1675" s="1"/>
  <c r="S1691"/>
  <c r="T1691" s="1"/>
  <c r="S1707"/>
  <c r="T1707" s="1"/>
  <c r="S1723"/>
  <c r="S1739"/>
  <c r="T1739" s="1"/>
  <c r="S1755"/>
  <c r="T1755" s="1"/>
  <c r="S1771"/>
  <c r="T1771" s="1"/>
  <c r="S1787"/>
  <c r="S1806"/>
  <c r="T1806" s="1"/>
  <c r="S1822"/>
  <c r="T1822" s="1"/>
  <c r="S1838"/>
  <c r="T1838" s="1"/>
  <c r="S1859"/>
  <c r="T1859" s="1"/>
  <c r="S1875"/>
  <c r="T1875" s="1"/>
  <c r="S1899"/>
  <c r="T1899" s="1"/>
  <c r="S1918"/>
  <c r="T1918" s="1"/>
  <c r="S1934"/>
  <c r="T1934" s="1"/>
  <c r="S1950"/>
  <c r="T1950" s="1"/>
  <c r="S1418"/>
  <c r="T1418" s="1"/>
  <c r="S1482"/>
  <c r="T1482" s="1"/>
  <c r="S1532"/>
  <c r="T1532" s="1"/>
  <c r="S1554"/>
  <c r="T1554" s="1"/>
  <c r="S1572"/>
  <c r="T1572" s="1"/>
  <c r="S1593"/>
  <c r="T1593" s="1"/>
  <c r="S1609"/>
  <c r="T1609" s="1"/>
  <c r="S1625"/>
  <c r="T1625" s="1"/>
  <c r="S1641"/>
  <c r="T1641" s="1"/>
  <c r="S1657"/>
  <c r="T1657" s="1"/>
  <c r="S1673"/>
  <c r="S1689"/>
  <c r="T1689" s="1"/>
  <c r="S1705"/>
  <c r="T1705" s="1"/>
  <c r="S1721"/>
  <c r="T1721" s="1"/>
  <c r="S1737"/>
  <c r="S1753"/>
  <c r="T1753" s="1"/>
  <c r="S1769"/>
  <c r="T1769" s="1"/>
  <c r="S1785"/>
  <c r="T1785" s="1"/>
  <c r="S1801"/>
  <c r="T1801" s="1"/>
  <c r="S1817"/>
  <c r="T1817" s="1"/>
  <c r="S1833"/>
  <c r="T1833" s="1"/>
  <c r="S1852"/>
  <c r="T1852" s="1"/>
  <c r="S1873"/>
  <c r="S1892"/>
  <c r="T1892" s="1"/>
  <c r="S1908"/>
  <c r="T1908" s="1"/>
  <c r="S1924"/>
  <c r="T1924" s="1"/>
  <c r="S1948"/>
  <c r="S1442"/>
  <c r="T1442" s="1"/>
  <c r="S1522"/>
  <c r="T1522" s="1"/>
  <c r="S1548"/>
  <c r="T1548" s="1"/>
  <c r="S1569"/>
  <c r="T1569" s="1"/>
  <c r="S1586"/>
  <c r="T1586" s="1"/>
  <c r="S1607"/>
  <c r="T1607" s="1"/>
  <c r="S1623"/>
  <c r="T1623" s="1"/>
  <c r="S1639"/>
  <c r="T1639" s="1"/>
  <c r="S1655"/>
  <c r="T1655" s="1"/>
  <c r="S1671"/>
  <c r="T1671" s="1"/>
  <c r="S1687"/>
  <c r="T1687" s="1"/>
  <c r="S1703"/>
  <c r="S1719"/>
  <c r="T1719" s="1"/>
  <c r="S1735"/>
  <c r="T1735" s="1"/>
  <c r="S1754"/>
  <c r="T1754" s="1"/>
  <c r="S1770"/>
  <c r="T1770" s="1"/>
  <c r="S1786"/>
  <c r="T1786" s="1"/>
  <c r="S1802"/>
  <c r="S1818"/>
  <c r="T1818" s="1"/>
  <c r="S1834"/>
  <c r="S1850"/>
  <c r="T1850" s="1"/>
  <c r="S1866"/>
  <c r="T1866" s="1"/>
  <c r="S1887"/>
  <c r="T1887" s="1"/>
  <c r="S1906"/>
  <c r="T1906" s="1"/>
  <c r="S1927"/>
  <c r="T1927" s="1"/>
  <c r="S1943"/>
  <c r="T1943" s="1"/>
  <c r="S1402"/>
  <c r="T1402" s="1"/>
  <c r="S1466"/>
  <c r="T1466" s="1"/>
  <c r="S1529"/>
  <c r="T1529" s="1"/>
  <c r="S1552"/>
  <c r="T1552" s="1"/>
  <c r="S1573"/>
  <c r="T1573" s="1"/>
  <c r="S1597"/>
  <c r="S1613"/>
  <c r="T1613" s="1"/>
  <c r="S1629"/>
  <c r="T1629" s="1"/>
  <c r="S1645"/>
  <c r="T1645" s="1"/>
  <c r="S1661"/>
  <c r="T1661" s="1"/>
  <c r="S1677"/>
  <c r="T1677" s="1"/>
  <c r="S1693"/>
  <c r="T1693" s="1"/>
  <c r="S1709"/>
  <c r="T1709" s="1"/>
  <c r="S1725"/>
  <c r="S1741"/>
  <c r="T1741" s="1"/>
  <c r="S1757"/>
  <c r="T1757" s="1"/>
  <c r="S1773"/>
  <c r="T1773" s="1"/>
  <c r="S1789"/>
  <c r="T1789" s="1"/>
  <c r="S1808"/>
  <c r="T1808" s="1"/>
  <c r="S1832"/>
  <c r="T1832" s="1"/>
  <c r="S1848"/>
  <c r="T1848" s="1"/>
  <c r="S1869"/>
  <c r="S1885"/>
  <c r="T1885" s="1"/>
  <c r="S1901"/>
  <c r="T1901" s="1"/>
  <c r="S1917"/>
  <c r="T1917" s="1"/>
  <c r="S1933"/>
  <c r="S1949"/>
  <c r="T1949" s="1"/>
  <c r="S1963"/>
  <c r="T1963" s="1"/>
  <c r="S1982"/>
  <c r="T1982" s="1"/>
  <c r="S1998"/>
  <c r="T1998" s="1"/>
  <c r="S2019"/>
  <c r="T2019" s="1"/>
  <c r="S2035"/>
  <c r="T2035" s="1"/>
  <c r="S2054"/>
  <c r="T2054" s="1"/>
  <c r="S2070"/>
  <c r="S2086"/>
  <c r="T2086" s="1"/>
  <c r="S2102"/>
  <c r="T2102" s="1"/>
  <c r="S2118"/>
  <c r="T2118" s="1"/>
  <c r="S2182"/>
  <c r="T2182" s="1"/>
  <c r="S2198"/>
  <c r="T2198" s="1"/>
  <c r="S2214"/>
  <c r="S2230"/>
  <c r="T2230" s="1"/>
  <c r="S2246"/>
  <c r="S2262"/>
  <c r="T2262" s="1"/>
  <c r="S1953"/>
  <c r="S1972"/>
  <c r="T1972" s="1"/>
  <c r="S1988"/>
  <c r="S2004"/>
  <c r="T2004" s="1"/>
  <c r="S2020"/>
  <c r="S2041"/>
  <c r="T2041" s="1"/>
  <c r="S2057"/>
  <c r="S2073"/>
  <c r="T2073" s="1"/>
  <c r="S2089"/>
  <c r="T2089" s="1"/>
  <c r="S2105"/>
  <c r="T2105" s="1"/>
  <c r="S2121"/>
  <c r="T2121" s="1"/>
  <c r="S2185"/>
  <c r="T2185" s="1"/>
  <c r="S2201"/>
  <c r="T2201" s="1"/>
  <c r="S2217"/>
  <c r="T2217" s="1"/>
  <c r="S2233"/>
  <c r="S2249"/>
  <c r="T2249" s="1"/>
  <c r="S2265"/>
  <c r="T2265" s="1"/>
  <c r="S2278"/>
  <c r="T2278" s="1"/>
  <c r="S2286"/>
  <c r="S2294"/>
  <c r="T2294" s="1"/>
  <c r="S2302"/>
  <c r="T2302" s="1"/>
  <c r="S2310"/>
  <c r="T2310" s="1"/>
  <c r="S2318"/>
  <c r="S2326"/>
  <c r="T2326" s="1"/>
  <c r="S1962"/>
  <c r="T1962" s="1"/>
  <c r="S1978"/>
  <c r="T1978" s="1"/>
  <c r="S1994"/>
  <c r="T1994" s="1"/>
  <c r="S2010"/>
  <c r="T2010" s="1"/>
  <c r="S2026"/>
  <c r="T2026" s="1"/>
  <c r="S2042"/>
  <c r="T2042" s="1"/>
  <c r="S2058"/>
  <c r="S2079"/>
  <c r="T2079" s="1"/>
  <c r="S2098"/>
  <c r="T2098" s="1"/>
  <c r="S2119"/>
  <c r="T2119" s="1"/>
  <c r="S2183"/>
  <c r="T2183" s="1"/>
  <c r="S2202"/>
  <c r="T2202" s="1"/>
  <c r="S2218"/>
  <c r="S2234"/>
  <c r="T2234" s="1"/>
  <c r="S2250"/>
  <c r="T2250" s="1"/>
  <c r="S2266"/>
  <c r="T2266" s="1"/>
  <c r="S1968"/>
  <c r="T1968" s="1"/>
  <c r="S1984"/>
  <c r="T1984" s="1"/>
  <c r="S2005"/>
  <c r="T2005" s="1"/>
  <c r="S2021"/>
  <c r="S2037"/>
  <c r="T2037" s="1"/>
  <c r="S2053"/>
  <c r="T2053" s="1"/>
  <c r="S2069"/>
  <c r="T2069" s="1"/>
  <c r="S2085"/>
  <c r="T2085" s="1"/>
  <c r="S2104"/>
  <c r="T2104" s="1"/>
  <c r="S2120"/>
  <c r="T2120" s="1"/>
  <c r="S2184"/>
  <c r="S2200"/>
  <c r="T2200" s="1"/>
  <c r="S2216"/>
  <c r="T2216" s="1"/>
  <c r="S2232"/>
  <c r="T2232" s="1"/>
  <c r="S2248"/>
  <c r="S2264"/>
  <c r="T2264" s="1"/>
  <c r="S2279"/>
  <c r="T2279" s="1"/>
  <c r="S2287"/>
  <c r="T2287" s="1"/>
  <c r="S2295"/>
  <c r="T2295" s="1"/>
  <c r="S2303"/>
  <c r="T2303" s="1"/>
  <c r="S2323"/>
  <c r="T2323" s="1"/>
  <c r="S2343"/>
  <c r="T2343" s="1"/>
  <c r="S2359"/>
  <c r="S2375"/>
  <c r="T2375" s="1"/>
  <c r="S2391"/>
  <c r="T2391" s="1"/>
  <c r="S2407"/>
  <c r="T2407" s="1"/>
  <c r="S2423"/>
  <c r="T2423" s="1"/>
  <c r="S2439"/>
  <c r="T2439" s="1"/>
  <c r="S2503"/>
  <c r="S2519"/>
  <c r="T2519" s="1"/>
  <c r="S2535"/>
  <c r="S2551"/>
  <c r="T2551" s="1"/>
  <c r="S2567"/>
  <c r="T2567" s="1"/>
  <c r="S2583"/>
  <c r="T2583" s="1"/>
  <c r="S2599"/>
  <c r="S2615"/>
  <c r="T2615" s="1"/>
  <c r="S2631"/>
  <c r="T2631" s="1"/>
  <c r="S2647"/>
  <c r="T2647" s="1"/>
  <c r="S2309"/>
  <c r="T2309" s="1"/>
  <c r="S2336"/>
  <c r="T2336" s="1"/>
  <c r="S2352"/>
  <c r="S2368"/>
  <c r="S2384"/>
  <c r="T2384" s="1"/>
  <c r="S2400"/>
  <c r="T2400" s="1"/>
  <c r="S2416"/>
  <c r="T2416" s="1"/>
  <c r="S2432"/>
  <c r="T2432" s="1"/>
  <c r="S2448"/>
  <c r="T2448" s="1"/>
  <c r="S2512"/>
  <c r="T2512" s="1"/>
  <c r="S2528"/>
  <c r="T2528" s="1"/>
  <c r="S2544"/>
  <c r="T2544" s="1"/>
  <c r="S2560"/>
  <c r="T2560" s="1"/>
  <c r="S2576"/>
  <c r="T2576" s="1"/>
  <c r="S2592"/>
  <c r="T2592" s="1"/>
  <c r="S2608"/>
  <c r="T2608" s="1"/>
  <c r="S2624"/>
  <c r="T2624" s="1"/>
  <c r="S2640"/>
  <c r="T2640" s="1"/>
  <c r="S2656"/>
  <c r="T2656" s="1"/>
  <c r="S2672"/>
  <c r="T2672" s="1"/>
  <c r="S2688"/>
  <c r="S2704"/>
  <c r="T2704" s="1"/>
  <c r="S2720"/>
  <c r="T2720" s="1"/>
  <c r="S2311"/>
  <c r="T2311" s="1"/>
  <c r="S2337"/>
  <c r="T2337" s="1"/>
  <c r="S2353"/>
  <c r="S2369"/>
  <c r="S2389"/>
  <c r="T2389" s="1"/>
  <c r="S2405"/>
  <c r="S2421"/>
  <c r="T2421" s="1"/>
  <c r="S2437"/>
  <c r="T2437" s="1"/>
  <c r="S2521"/>
  <c r="T2521" s="1"/>
  <c r="S2537"/>
  <c r="S2553"/>
  <c r="T2553" s="1"/>
  <c r="S2569"/>
  <c r="T2569" s="1"/>
  <c r="S2585"/>
  <c r="T2585" s="1"/>
  <c r="S2601"/>
  <c r="S2617"/>
  <c r="T2617" s="1"/>
  <c r="S2633"/>
  <c r="T2633" s="1"/>
  <c r="S2649"/>
  <c r="T2649" s="1"/>
  <c r="S2665"/>
  <c r="T2665" s="1"/>
  <c r="S2681"/>
  <c r="T2681" s="1"/>
  <c r="S2697"/>
  <c r="T2697" s="1"/>
  <c r="S2713"/>
  <c r="T2713" s="1"/>
  <c r="S2731"/>
  <c r="S2747"/>
  <c r="T2747" s="1"/>
  <c r="S2763"/>
  <c r="T2763" s="1"/>
  <c r="S2779"/>
  <c r="T2779" s="1"/>
  <c r="S2795"/>
  <c r="S2811"/>
  <c r="T2811" s="1"/>
  <c r="S2827"/>
  <c r="T2827" s="1"/>
  <c r="S2843"/>
  <c r="T2843" s="1"/>
  <c r="S2859"/>
  <c r="T2859" s="1"/>
  <c r="S2875"/>
  <c r="T2875" s="1"/>
  <c r="S2891"/>
  <c r="T2891" s="1"/>
  <c r="S2907"/>
  <c r="T2907" s="1"/>
  <c r="S2923"/>
  <c r="T2923" s="1"/>
  <c r="S2939"/>
  <c r="T2939" s="1"/>
  <c r="S2955"/>
  <c r="T2955" s="1"/>
  <c r="S2971"/>
  <c r="T2971" s="1"/>
  <c r="S2987"/>
  <c r="T2987" s="1"/>
  <c r="S3003"/>
  <c r="T3003" s="1"/>
  <c r="S3019"/>
  <c r="T3019" s="1"/>
  <c r="S3035"/>
  <c r="T3035" s="1"/>
  <c r="S3051"/>
  <c r="S3067"/>
  <c r="T3067" s="1"/>
  <c r="S3083"/>
  <c r="S3099"/>
  <c r="T3099" s="1"/>
  <c r="S3115"/>
  <c r="T3115" s="1"/>
  <c r="S3131"/>
  <c r="T3131" s="1"/>
  <c r="S3147"/>
  <c r="T3147" s="1"/>
  <c r="S3163"/>
  <c r="T3163" s="1"/>
  <c r="S3179"/>
  <c r="S3195"/>
  <c r="T3195" s="1"/>
  <c r="S3211"/>
  <c r="T3211" s="1"/>
  <c r="S3232"/>
  <c r="T3232" s="1"/>
  <c r="S3248"/>
  <c r="T3248" s="1"/>
  <c r="S3264"/>
  <c r="T3264" s="1"/>
  <c r="S3280"/>
  <c r="T3280" s="1"/>
  <c r="S3296"/>
  <c r="T3296" s="1"/>
  <c r="S3312"/>
  <c r="T3312" s="1"/>
  <c r="S3328"/>
  <c r="T3328" s="1"/>
  <c r="S3344"/>
  <c r="T3344" s="1"/>
  <c r="S3360"/>
  <c r="T3360" s="1"/>
  <c r="S3381"/>
  <c r="S3391"/>
  <c r="T3391" s="1"/>
  <c r="S3401"/>
  <c r="T3401" s="1"/>
  <c r="S3411"/>
  <c r="T3411" s="1"/>
  <c r="S3421"/>
  <c r="T3421" s="1"/>
  <c r="S3433"/>
  <c r="T3433" s="1"/>
  <c r="S3441"/>
  <c r="T3441" s="1"/>
  <c r="S3449"/>
  <c r="T3449" s="1"/>
  <c r="S3457"/>
  <c r="S3465"/>
  <c r="T3465" s="1"/>
  <c r="S3473"/>
  <c r="T3473" s="1"/>
  <c r="S3483"/>
  <c r="T3483" s="1"/>
  <c r="S3491"/>
  <c r="T3491" s="1"/>
  <c r="S3499"/>
  <c r="T3499" s="1"/>
  <c r="S46"/>
  <c r="S63"/>
  <c r="T63" s="1"/>
  <c r="S79"/>
  <c r="S95"/>
  <c r="T95" s="1"/>
  <c r="S111"/>
  <c r="T111" s="1"/>
  <c r="S127"/>
  <c r="T127" s="1"/>
  <c r="S143"/>
  <c r="T143" s="1"/>
  <c r="S159"/>
  <c r="T159" s="1"/>
  <c r="S60"/>
  <c r="T60" s="1"/>
  <c r="S76"/>
  <c r="T76" s="1"/>
  <c r="S92"/>
  <c r="T92" s="1"/>
  <c r="S112"/>
  <c r="T112" s="1"/>
  <c r="S49"/>
  <c r="T49" s="1"/>
  <c r="S65"/>
  <c r="T65" s="1"/>
  <c r="S81"/>
  <c r="T81" s="1"/>
  <c r="S97"/>
  <c r="T97" s="1"/>
  <c r="S113"/>
  <c r="T113" s="1"/>
  <c r="S129"/>
  <c r="T129" s="1"/>
  <c r="S145"/>
  <c r="T145" s="1"/>
  <c r="S161"/>
  <c r="T161" s="1"/>
  <c r="S177"/>
  <c r="T177" s="1"/>
  <c r="S193"/>
  <c r="T193" s="1"/>
  <c r="S211"/>
  <c r="T211" s="1"/>
  <c r="S98"/>
  <c r="T98" s="1"/>
  <c r="S144"/>
  <c r="T144" s="1"/>
  <c r="S171"/>
  <c r="T171" s="1"/>
  <c r="S192"/>
  <c r="T192" s="1"/>
  <c r="S220"/>
  <c r="T220" s="1"/>
  <c r="S236"/>
  <c r="T236" s="1"/>
  <c r="S252"/>
  <c r="T252" s="1"/>
  <c r="S268"/>
  <c r="S284"/>
  <c r="T284" s="1"/>
  <c r="S54"/>
  <c r="T54" s="1"/>
  <c r="S130"/>
  <c r="T130" s="1"/>
  <c r="S162"/>
  <c r="S183"/>
  <c r="T183" s="1"/>
  <c r="S204"/>
  <c r="T204" s="1"/>
  <c r="S218"/>
  <c r="T218" s="1"/>
  <c r="S234"/>
  <c r="T234" s="1"/>
  <c r="S250"/>
  <c r="T250" s="1"/>
  <c r="S266"/>
  <c r="T266" s="1"/>
  <c r="S282"/>
  <c r="T282" s="1"/>
  <c r="S74"/>
  <c r="S132"/>
  <c r="T132" s="1"/>
  <c r="S163"/>
  <c r="T163" s="1"/>
  <c r="S184"/>
  <c r="T184" s="1"/>
  <c r="S213"/>
  <c r="T213" s="1"/>
  <c r="S180"/>
  <c r="T180" s="1"/>
  <c r="S237"/>
  <c r="S269"/>
  <c r="T269" s="1"/>
  <c r="S298"/>
  <c r="S322"/>
  <c r="T322" s="1"/>
  <c r="S338"/>
  <c r="T338" s="1"/>
  <c r="S354"/>
  <c r="T354" s="1"/>
  <c r="S370"/>
  <c r="S386"/>
  <c r="T386" s="1"/>
  <c r="S402"/>
  <c r="T402" s="1"/>
  <c r="S418"/>
  <c r="T418" s="1"/>
  <c r="S434"/>
  <c r="T434" s="1"/>
  <c r="S450"/>
  <c r="T450" s="1"/>
  <c r="S466"/>
  <c r="T466" s="1"/>
  <c r="S482"/>
  <c r="T482" s="1"/>
  <c r="S498"/>
  <c r="S514"/>
  <c r="T514" s="1"/>
  <c r="S530"/>
  <c r="S541"/>
  <c r="T541" s="1"/>
  <c r="S549"/>
  <c r="T549" s="1"/>
  <c r="S557"/>
  <c r="T557" s="1"/>
  <c r="S565"/>
  <c r="T565" s="1"/>
  <c r="S573"/>
  <c r="T573" s="1"/>
  <c r="S581"/>
  <c r="T581" s="1"/>
  <c r="S589"/>
  <c r="T589" s="1"/>
  <c r="S597"/>
  <c r="T597" s="1"/>
  <c r="S605"/>
  <c r="T605" s="1"/>
  <c r="S613"/>
  <c r="T613" s="1"/>
  <c r="S621"/>
  <c r="T621" s="1"/>
  <c r="S629"/>
  <c r="T629" s="1"/>
  <c r="S637"/>
  <c r="T637" s="1"/>
  <c r="S645"/>
  <c r="T645" s="1"/>
  <c r="S653"/>
  <c r="T653" s="1"/>
  <c r="S661"/>
  <c r="T661" s="1"/>
  <c r="S669"/>
  <c r="T669" s="1"/>
  <c r="S677"/>
  <c r="T677" s="1"/>
  <c r="S685"/>
  <c r="T685" s="1"/>
  <c r="S693"/>
  <c r="T693" s="1"/>
  <c r="S701"/>
  <c r="T701" s="1"/>
  <c r="S709"/>
  <c r="T709" s="1"/>
  <c r="S717"/>
  <c r="T717" s="1"/>
  <c r="S725"/>
  <c r="T725" s="1"/>
  <c r="S733"/>
  <c r="T733" s="1"/>
  <c r="S186"/>
  <c r="T186" s="1"/>
  <c r="S238"/>
  <c r="T238" s="1"/>
  <c r="S270"/>
  <c r="T270" s="1"/>
  <c r="S295"/>
  <c r="T295" s="1"/>
  <c r="S312"/>
  <c r="T312" s="1"/>
  <c r="S328"/>
  <c r="T328" s="1"/>
  <c r="S344"/>
  <c r="S360"/>
  <c r="T360" s="1"/>
  <c r="S381"/>
  <c r="T381" s="1"/>
  <c r="S397"/>
  <c r="T397" s="1"/>
  <c r="S413"/>
  <c r="T413" s="1"/>
  <c r="S429"/>
  <c r="T429" s="1"/>
  <c r="S445"/>
  <c r="T445" s="1"/>
  <c r="S170"/>
  <c r="T170" s="1"/>
  <c r="S229"/>
  <c r="T229" s="1"/>
  <c r="S261"/>
  <c r="T261" s="1"/>
  <c r="S296"/>
  <c r="T296" s="1"/>
  <c r="S310"/>
  <c r="T310" s="1"/>
  <c r="S326"/>
  <c r="T326" s="1"/>
  <c r="S342"/>
  <c r="T342" s="1"/>
  <c r="S358"/>
  <c r="T358" s="1"/>
  <c r="S374"/>
  <c r="T374" s="1"/>
  <c r="S390"/>
  <c r="T390" s="1"/>
  <c r="S406"/>
  <c r="T406" s="1"/>
  <c r="S422"/>
  <c r="S438"/>
  <c r="T438" s="1"/>
  <c r="S459"/>
  <c r="T459" s="1"/>
  <c r="S475"/>
  <c r="T475" s="1"/>
  <c r="S491"/>
  <c r="T491" s="1"/>
  <c r="S507"/>
  <c r="T507" s="1"/>
  <c r="S523"/>
  <c r="T523" s="1"/>
  <c r="S536"/>
  <c r="T536" s="1"/>
  <c r="S544"/>
  <c r="T544" s="1"/>
  <c r="S552"/>
  <c r="T552" s="1"/>
  <c r="S560"/>
  <c r="T560" s="1"/>
  <c r="S568"/>
  <c r="T568" s="1"/>
  <c r="S576"/>
  <c r="T576" s="1"/>
  <c r="S584"/>
  <c r="T584" s="1"/>
  <c r="S592"/>
  <c r="T592" s="1"/>
  <c r="S600"/>
  <c r="T600" s="1"/>
  <c r="S608"/>
  <c r="T608" s="1"/>
  <c r="S616"/>
  <c r="T616" s="1"/>
  <c r="S624"/>
  <c r="T624" s="1"/>
  <c r="S632"/>
  <c r="T632" s="1"/>
  <c r="S640"/>
  <c r="T640" s="1"/>
  <c r="S648"/>
  <c r="T648" s="1"/>
  <c r="S110"/>
  <c r="T110" s="1"/>
  <c r="S308"/>
  <c r="T308" s="1"/>
  <c r="S372"/>
  <c r="T372" s="1"/>
  <c r="S436"/>
  <c r="T436" s="1"/>
  <c r="S480"/>
  <c r="T480" s="1"/>
  <c r="S517"/>
  <c r="T517" s="1"/>
  <c r="S670"/>
  <c r="S702"/>
  <c r="T702" s="1"/>
  <c r="S150"/>
  <c r="T150" s="1"/>
  <c r="S300"/>
  <c r="T300" s="1"/>
  <c r="S364"/>
  <c r="T364" s="1"/>
  <c r="S428"/>
  <c r="T428" s="1"/>
  <c r="S476"/>
  <c r="T476" s="1"/>
  <c r="S508"/>
  <c r="T508" s="1"/>
  <c r="S660"/>
  <c r="S692"/>
  <c r="T692" s="1"/>
  <c r="S267"/>
  <c r="T267" s="1"/>
  <c r="S356"/>
  <c r="T356" s="1"/>
  <c r="S420"/>
  <c r="T420" s="1"/>
  <c r="S472"/>
  <c r="T472" s="1"/>
  <c r="S504"/>
  <c r="T504" s="1"/>
  <c r="S196"/>
  <c r="T196" s="1"/>
  <c r="S457"/>
  <c r="T457" s="1"/>
  <c r="S682"/>
  <c r="T682" s="1"/>
  <c r="S230"/>
  <c r="S484"/>
  <c r="T484" s="1"/>
  <c r="S688"/>
  <c r="T688" s="1"/>
  <c r="S730"/>
  <c r="T730" s="1"/>
  <c r="S742"/>
  <c r="T742" s="1"/>
  <c r="S316"/>
  <c r="T316" s="1"/>
  <c r="S489"/>
  <c r="T489" s="1"/>
  <c r="S706"/>
  <c r="T706" s="1"/>
  <c r="S532"/>
  <c r="T532" s="1"/>
  <c r="S748"/>
  <c r="T748" s="1"/>
  <c r="S764"/>
  <c r="S780"/>
  <c r="T780" s="1"/>
  <c r="S796"/>
  <c r="T796" s="1"/>
  <c r="S812"/>
  <c r="T812" s="1"/>
  <c r="S828"/>
  <c r="T828" s="1"/>
  <c r="S844"/>
  <c r="T844" s="1"/>
  <c r="S860"/>
  <c r="T860" s="1"/>
  <c r="S876"/>
  <c r="T876" s="1"/>
  <c r="S892"/>
  <c r="S908"/>
  <c r="T908" s="1"/>
  <c r="S923"/>
  <c r="T923" s="1"/>
  <c r="S939"/>
  <c r="T939" s="1"/>
  <c r="S955"/>
  <c r="T955" s="1"/>
  <c r="S971"/>
  <c r="T971" s="1"/>
  <c r="S987"/>
  <c r="T987" s="1"/>
  <c r="S1003"/>
  <c r="T1003" s="1"/>
  <c r="S1019"/>
  <c r="T1019" s="1"/>
  <c r="S1035"/>
  <c r="T1035" s="1"/>
  <c r="S1051"/>
  <c r="T1051" s="1"/>
  <c r="S1067"/>
  <c r="T1067" s="1"/>
  <c r="S1083"/>
  <c r="T1083" s="1"/>
  <c r="S1099"/>
  <c r="T1099" s="1"/>
  <c r="S1115"/>
  <c r="T1115" s="1"/>
  <c r="S1131"/>
  <c r="T1131" s="1"/>
  <c r="S1147"/>
  <c r="T1147" s="1"/>
  <c r="S1163"/>
  <c r="T1163" s="1"/>
  <c r="S1179"/>
  <c r="T1179" s="1"/>
  <c r="S1195"/>
  <c r="T1195" s="1"/>
  <c r="S1211"/>
  <c r="S1227"/>
  <c r="T1227" s="1"/>
  <c r="S1243"/>
  <c r="T1243" s="1"/>
  <c r="S1259"/>
  <c r="T1259" s="1"/>
  <c r="S1275"/>
  <c r="S1291"/>
  <c r="T1291" s="1"/>
  <c r="S1307"/>
  <c r="T1307" s="1"/>
  <c r="S1323"/>
  <c r="T1323" s="1"/>
  <c r="S664"/>
  <c r="T664" s="1"/>
  <c r="S753"/>
  <c r="T753" s="1"/>
  <c r="S769"/>
  <c r="T769" s="1"/>
  <c r="S785"/>
  <c r="T785" s="1"/>
  <c r="S801"/>
  <c r="T801" s="1"/>
  <c r="S817"/>
  <c r="T817" s="1"/>
  <c r="S833"/>
  <c r="T833" s="1"/>
  <c r="S849"/>
  <c r="T849" s="1"/>
  <c r="S865"/>
  <c r="T865" s="1"/>
  <c r="S881"/>
  <c r="T881" s="1"/>
  <c r="S897"/>
  <c r="T897" s="1"/>
  <c r="S913"/>
  <c r="T913" s="1"/>
  <c r="S929"/>
  <c r="T929" s="1"/>
  <c r="S945"/>
  <c r="T945" s="1"/>
  <c r="S961"/>
  <c r="T961" s="1"/>
  <c r="S977"/>
  <c r="T977" s="1"/>
  <c r="S993"/>
  <c r="S1009"/>
  <c r="T1009" s="1"/>
  <c r="S1025"/>
  <c r="T1025" s="1"/>
  <c r="S1041"/>
  <c r="T1041" s="1"/>
  <c r="S1060"/>
  <c r="T1060" s="1"/>
  <c r="S1076"/>
  <c r="T1076" s="1"/>
  <c r="S1092"/>
  <c r="T1092" s="1"/>
  <c r="S1108"/>
  <c r="T1108" s="1"/>
  <c r="S1124"/>
  <c r="T1124" s="1"/>
  <c r="S1140"/>
  <c r="T1140" s="1"/>
  <c r="S1156"/>
  <c r="T1156" s="1"/>
  <c r="S1172"/>
  <c r="T1172" s="1"/>
  <c r="S1188"/>
  <c r="S750"/>
  <c r="T750" s="1"/>
  <c r="S766"/>
  <c r="T766" s="1"/>
  <c r="S782"/>
  <c r="T782" s="1"/>
  <c r="S798"/>
  <c r="T798" s="1"/>
  <c r="S814"/>
  <c r="T814" s="1"/>
  <c r="S830"/>
  <c r="S846"/>
  <c r="T846" s="1"/>
  <c r="S862"/>
  <c r="T862" s="1"/>
  <c r="S878"/>
  <c r="T878" s="1"/>
  <c r="S894"/>
  <c r="T894" s="1"/>
  <c r="S910"/>
  <c r="T910" s="1"/>
  <c r="S927"/>
  <c r="T927" s="1"/>
  <c r="S943"/>
  <c r="T943" s="1"/>
  <c r="S959"/>
  <c r="T959" s="1"/>
  <c r="S975"/>
  <c r="T975" s="1"/>
  <c r="S991"/>
  <c r="T991" s="1"/>
  <c r="S1007"/>
  <c r="T1007" s="1"/>
  <c r="S1023"/>
  <c r="T1023" s="1"/>
  <c r="S1039"/>
  <c r="T1039" s="1"/>
  <c r="S1055"/>
  <c r="T1055" s="1"/>
  <c r="S1071"/>
  <c r="T1071" s="1"/>
  <c r="S1087"/>
  <c r="T1087" s="1"/>
  <c r="S1103"/>
  <c r="T1103" s="1"/>
  <c r="S1119"/>
  <c r="T1119" s="1"/>
  <c r="S1135"/>
  <c r="T1135" s="1"/>
  <c r="S1151"/>
  <c r="T1151" s="1"/>
  <c r="S1167"/>
  <c r="T1167" s="1"/>
  <c r="S1183"/>
  <c r="T1183" s="1"/>
  <c r="S1202"/>
  <c r="T1202" s="1"/>
  <c r="S1218"/>
  <c r="T1218" s="1"/>
  <c r="S1234"/>
  <c r="T1234" s="1"/>
  <c r="S1250"/>
  <c r="T1250" s="1"/>
  <c r="S1266"/>
  <c r="T1266" s="1"/>
  <c r="S1282"/>
  <c r="T1282" s="1"/>
  <c r="S1303"/>
  <c r="T1303" s="1"/>
  <c r="S696"/>
  <c r="S747"/>
  <c r="T747" s="1"/>
  <c r="S763"/>
  <c r="T763" s="1"/>
  <c r="S779"/>
  <c r="T779" s="1"/>
  <c r="S819"/>
  <c r="S883"/>
  <c r="T883" s="1"/>
  <c r="S949"/>
  <c r="T949" s="1"/>
  <c r="S1013"/>
  <c r="T1013" s="1"/>
  <c r="S1077"/>
  <c r="T1077" s="1"/>
  <c r="S1141"/>
  <c r="T1141" s="1"/>
  <c r="S1192"/>
  <c r="T1192" s="1"/>
  <c r="S1224"/>
  <c r="T1224" s="1"/>
  <c r="S1256"/>
  <c r="T1256" s="1"/>
  <c r="S1288"/>
  <c r="T1288" s="1"/>
  <c r="S1316"/>
  <c r="T1316" s="1"/>
  <c r="S1336"/>
  <c r="T1336" s="1"/>
  <c r="S1352"/>
  <c r="S1368"/>
  <c r="T1368" s="1"/>
  <c r="S1384"/>
  <c r="T1384" s="1"/>
  <c r="S1400"/>
  <c r="T1400" s="1"/>
  <c r="S1416"/>
  <c r="S1432"/>
  <c r="T1432" s="1"/>
  <c r="S1448"/>
  <c r="T1448" s="1"/>
  <c r="S1464"/>
  <c r="T1464" s="1"/>
  <c r="S1480"/>
  <c r="S1496"/>
  <c r="T1496" s="1"/>
  <c r="S1512"/>
  <c r="T1512" s="1"/>
  <c r="S1528"/>
  <c r="T1528" s="1"/>
  <c r="S823"/>
  <c r="S887"/>
  <c r="T887" s="1"/>
  <c r="S952"/>
  <c r="S1016"/>
  <c r="T1016" s="1"/>
  <c r="S1080"/>
  <c r="T1080" s="1"/>
  <c r="S1144"/>
  <c r="T1144" s="1"/>
  <c r="S1204"/>
  <c r="T1204" s="1"/>
  <c r="S1236"/>
  <c r="T1236" s="1"/>
  <c r="S1268"/>
  <c r="T1268" s="1"/>
  <c r="S1300"/>
  <c r="T1300" s="1"/>
  <c r="S1320"/>
  <c r="T1320" s="1"/>
  <c r="S1339"/>
  <c r="T1339" s="1"/>
  <c r="S1355"/>
  <c r="T1355" s="1"/>
  <c r="S1371"/>
  <c r="T1371" s="1"/>
  <c r="S1387"/>
  <c r="T1387" s="1"/>
  <c r="S1406"/>
  <c r="T1406" s="1"/>
  <c r="S1422"/>
  <c r="T1422" s="1"/>
  <c r="S1438"/>
  <c r="T1438" s="1"/>
  <c r="S1454"/>
  <c r="T1454" s="1"/>
  <c r="S1470"/>
  <c r="T1470" s="1"/>
  <c r="S1486"/>
  <c r="T1486" s="1"/>
  <c r="S1502"/>
  <c r="T1502" s="1"/>
  <c r="S1518"/>
  <c r="T1518" s="1"/>
  <c r="S1534"/>
  <c r="T1534" s="1"/>
  <c r="S1550"/>
  <c r="S1571"/>
  <c r="T1571" s="1"/>
  <c r="S795"/>
  <c r="T795" s="1"/>
  <c r="S859"/>
  <c r="T859" s="1"/>
  <c r="S944"/>
  <c r="T944" s="1"/>
  <c r="S1008"/>
  <c r="T1008" s="1"/>
  <c r="S1072"/>
  <c r="T1072" s="1"/>
  <c r="S1136"/>
  <c r="T1136" s="1"/>
  <c r="S1200"/>
  <c r="S1232"/>
  <c r="T1232" s="1"/>
  <c r="S1269"/>
  <c r="T1269" s="1"/>
  <c r="S1301"/>
  <c r="T1301" s="1"/>
  <c r="S1328"/>
  <c r="T1328" s="1"/>
  <c r="S1345"/>
  <c r="T1345" s="1"/>
  <c r="S1361"/>
  <c r="T1361" s="1"/>
  <c r="S1377"/>
  <c r="T1377" s="1"/>
  <c r="S1393"/>
  <c r="S1409"/>
  <c r="T1409" s="1"/>
  <c r="S1425"/>
  <c r="T1425" s="1"/>
  <c r="S1441"/>
  <c r="T1441" s="1"/>
  <c r="S1457"/>
  <c r="T1457" s="1"/>
  <c r="S1473"/>
  <c r="T1473" s="1"/>
  <c r="S1489"/>
  <c r="T1489" s="1"/>
  <c r="S1505"/>
  <c r="T1505" s="1"/>
  <c r="S799"/>
  <c r="T799" s="1"/>
  <c r="S863"/>
  <c r="T863" s="1"/>
  <c r="S925"/>
  <c r="T925" s="1"/>
  <c r="S989"/>
  <c r="T989" s="1"/>
  <c r="S1053"/>
  <c r="T1053" s="1"/>
  <c r="S1117"/>
  <c r="T1117" s="1"/>
  <c r="S1181"/>
  <c r="T1181" s="1"/>
  <c r="S1217"/>
  <c r="T1217" s="1"/>
  <c r="S1249"/>
  <c r="T1249" s="1"/>
  <c r="S1281"/>
  <c r="T1281" s="1"/>
  <c r="S1311"/>
  <c r="T1311" s="1"/>
  <c r="S1335"/>
  <c r="T1335" s="1"/>
  <c r="S1351"/>
  <c r="T1351" s="1"/>
  <c r="S1367"/>
  <c r="T1367" s="1"/>
  <c r="S1383"/>
  <c r="T1383" s="1"/>
  <c r="S1415"/>
  <c r="T1415" s="1"/>
  <c r="S1479"/>
  <c r="S1530"/>
  <c r="T1530" s="1"/>
  <c r="S1553"/>
  <c r="T1553" s="1"/>
  <c r="S1578"/>
  <c r="T1578" s="1"/>
  <c r="S1595"/>
  <c r="S1611"/>
  <c r="T1611" s="1"/>
  <c r="S1627"/>
  <c r="T1627" s="1"/>
  <c r="S1643"/>
  <c r="T1643" s="1"/>
  <c r="S1659"/>
  <c r="T1659" s="1"/>
  <c r="S1678"/>
  <c r="T1678" s="1"/>
  <c r="S1694"/>
  <c r="T1694" s="1"/>
  <c r="S1710"/>
  <c r="T1710" s="1"/>
  <c r="S1726"/>
  <c r="T1726" s="1"/>
  <c r="S1742"/>
  <c r="T1742" s="1"/>
  <c r="S1758"/>
  <c r="T1758" s="1"/>
  <c r="S1774"/>
  <c r="T1774" s="1"/>
  <c r="S1790"/>
  <c r="T1790" s="1"/>
  <c r="S1811"/>
  <c r="T1811" s="1"/>
  <c r="S1827"/>
  <c r="T1827" s="1"/>
  <c r="S1846"/>
  <c r="T1846" s="1"/>
  <c r="S1862"/>
  <c r="T1862" s="1"/>
  <c r="S1886"/>
  <c r="T1886" s="1"/>
  <c r="S1902"/>
  <c r="T1902" s="1"/>
  <c r="S1923"/>
  <c r="T1923" s="1"/>
  <c r="S1939"/>
  <c r="T1939" s="1"/>
  <c r="S1955"/>
  <c r="T1955" s="1"/>
  <c r="S1439"/>
  <c r="T1439" s="1"/>
  <c r="S1503"/>
  <c r="T1503" s="1"/>
  <c r="S1536"/>
  <c r="T1536" s="1"/>
  <c r="S1557"/>
  <c r="T1557" s="1"/>
  <c r="S1575"/>
  <c r="T1575" s="1"/>
  <c r="S1596"/>
  <c r="T1596" s="1"/>
  <c r="S1612"/>
  <c r="T1612" s="1"/>
  <c r="S1628"/>
  <c r="T1628" s="1"/>
  <c r="S1644"/>
  <c r="T1644" s="1"/>
  <c r="S1660"/>
  <c r="T1660" s="1"/>
  <c r="S1676"/>
  <c r="T1676" s="1"/>
  <c r="S1692"/>
  <c r="T1692" s="1"/>
  <c r="S1708"/>
  <c r="T1708" s="1"/>
  <c r="S1724"/>
  <c r="T1724" s="1"/>
  <c r="S1740"/>
  <c r="S1756"/>
  <c r="T1756" s="1"/>
  <c r="S1772"/>
  <c r="T1772" s="1"/>
  <c r="S1788"/>
  <c r="T1788" s="1"/>
  <c r="S1804"/>
  <c r="T1804" s="1"/>
  <c r="S1820"/>
  <c r="T1820" s="1"/>
  <c r="S1836"/>
  <c r="T1836" s="1"/>
  <c r="S1860"/>
  <c r="T1860" s="1"/>
  <c r="S1876"/>
  <c r="T1876" s="1"/>
  <c r="S1897"/>
  <c r="T1897" s="1"/>
  <c r="S1913"/>
  <c r="T1913" s="1"/>
  <c r="S1929"/>
  <c r="T1929" s="1"/>
  <c r="S1399"/>
  <c r="T1399" s="1"/>
  <c r="S1463"/>
  <c r="T1463" s="1"/>
  <c r="S1527"/>
  <c r="T1527" s="1"/>
  <c r="S1551"/>
  <c r="T1551" s="1"/>
  <c r="S1576"/>
  <c r="T1576" s="1"/>
  <c r="S1591"/>
  <c r="T1591" s="1"/>
  <c r="S1610"/>
  <c r="T1610" s="1"/>
  <c r="S1626"/>
  <c r="T1626" s="1"/>
  <c r="S1642"/>
  <c r="S1658"/>
  <c r="T1658" s="1"/>
  <c r="S1674"/>
  <c r="T1674" s="1"/>
  <c r="S1690"/>
  <c r="T1690" s="1"/>
  <c r="S1706"/>
  <c r="T1706" s="1"/>
  <c r="S1722"/>
  <c r="T1722" s="1"/>
  <c r="S1743"/>
  <c r="T1743" s="1"/>
  <c r="S1759"/>
  <c r="T1759" s="1"/>
  <c r="S1775"/>
  <c r="T1775" s="1"/>
  <c r="S1791"/>
  <c r="T1791" s="1"/>
  <c r="S1807"/>
  <c r="T1807" s="1"/>
  <c r="S1823"/>
  <c r="T1823" s="1"/>
  <c r="S1839"/>
  <c r="T1839" s="1"/>
  <c r="S1855"/>
  <c r="T1855" s="1"/>
  <c r="S1874"/>
  <c r="T1874" s="1"/>
  <c r="S1890"/>
  <c r="T1890" s="1"/>
  <c r="S1911"/>
  <c r="T1911" s="1"/>
  <c r="S1930"/>
  <c r="T1930" s="1"/>
  <c r="S1946"/>
  <c r="T1946" s="1"/>
  <c r="S1423"/>
  <c r="T1423" s="1"/>
  <c r="S1487"/>
  <c r="T1487" s="1"/>
  <c r="S1538"/>
  <c r="T1538" s="1"/>
  <c r="S1556"/>
  <c r="T1556" s="1"/>
  <c r="S1577"/>
  <c r="T1577" s="1"/>
  <c r="S1600"/>
  <c r="T1600" s="1"/>
  <c r="S1616"/>
  <c r="T1616" s="1"/>
  <c r="S1632"/>
  <c r="T1632" s="1"/>
  <c r="S1648"/>
  <c r="T1648" s="1"/>
  <c r="S1664"/>
  <c r="T1664" s="1"/>
  <c r="S1680"/>
  <c r="T1680" s="1"/>
  <c r="S1696"/>
  <c r="T1696" s="1"/>
  <c r="S1712"/>
  <c r="T1712" s="1"/>
  <c r="S1728"/>
  <c r="T1728" s="1"/>
  <c r="S1744"/>
  <c r="T1744" s="1"/>
  <c r="S1760"/>
  <c r="T1760" s="1"/>
  <c r="S1776"/>
  <c r="T1776" s="1"/>
  <c r="S1792"/>
  <c r="T1792" s="1"/>
  <c r="S1813"/>
  <c r="T1813" s="1"/>
  <c r="S1837"/>
  <c r="T1837" s="1"/>
  <c r="S1853"/>
  <c r="T1853" s="1"/>
  <c r="S1872"/>
  <c r="S1888"/>
  <c r="T1888" s="1"/>
  <c r="S1904"/>
  <c r="T1904" s="1"/>
  <c r="S1920"/>
  <c r="T1920" s="1"/>
  <c r="S1936"/>
  <c r="T1936" s="1"/>
  <c r="S1952"/>
  <c r="T1952" s="1"/>
  <c r="S1966"/>
  <c r="T1966" s="1"/>
  <c r="S1987"/>
  <c r="T1987" s="1"/>
  <c r="S2003"/>
  <c r="S2022"/>
  <c r="T2022" s="1"/>
  <c r="S2038"/>
  <c r="T2038" s="1"/>
  <c r="S2059"/>
  <c r="T2059" s="1"/>
  <c r="S2075"/>
  <c r="S2091"/>
  <c r="T2091" s="1"/>
  <c r="S2107"/>
  <c r="T2107" s="1"/>
  <c r="S2123"/>
  <c r="T2123" s="1"/>
  <c r="S2187"/>
  <c r="T2187" s="1"/>
  <c r="S2203"/>
  <c r="T2203" s="1"/>
  <c r="S2219"/>
  <c r="T2219" s="1"/>
  <c r="S2235"/>
  <c r="T2235" s="1"/>
  <c r="S2251"/>
  <c r="T2251" s="1"/>
  <c r="S2267"/>
  <c r="T2267" s="1"/>
  <c r="S1961"/>
  <c r="T1961" s="1"/>
  <c r="S1977"/>
  <c r="T1977" s="1"/>
  <c r="S1993"/>
  <c r="T1993" s="1"/>
  <c r="S2009"/>
  <c r="T2009" s="1"/>
  <c r="S2028"/>
  <c r="T2028" s="1"/>
  <c r="S2044"/>
  <c r="T2044" s="1"/>
  <c r="S2060"/>
  <c r="T2060" s="1"/>
  <c r="S2076"/>
  <c r="T2076" s="1"/>
  <c r="S2092"/>
  <c r="T2092" s="1"/>
  <c r="S2108"/>
  <c r="T2108" s="1"/>
  <c r="S2124"/>
  <c r="T2124" s="1"/>
  <c r="S2188"/>
  <c r="T2188" s="1"/>
  <c r="S2204"/>
  <c r="T2204" s="1"/>
  <c r="S2220"/>
  <c r="T2220" s="1"/>
  <c r="S2236"/>
  <c r="T2236" s="1"/>
  <c r="S2252"/>
  <c r="T2252" s="1"/>
  <c r="S2268"/>
  <c r="T2268" s="1"/>
  <c r="S2280"/>
  <c r="T2280" s="1"/>
  <c r="S2288"/>
  <c r="S2296"/>
  <c r="T2296" s="1"/>
  <c r="S2304"/>
  <c r="T2304" s="1"/>
  <c r="S2312"/>
  <c r="T2312" s="1"/>
  <c r="S2320"/>
  <c r="S2328"/>
  <c r="T2328" s="1"/>
  <c r="S1967"/>
  <c r="T1967" s="1"/>
  <c r="S1983"/>
  <c r="T1983" s="1"/>
  <c r="S1999"/>
  <c r="T1999" s="1"/>
  <c r="S2015"/>
  <c r="T2015" s="1"/>
  <c r="S2031"/>
  <c r="T2031" s="1"/>
  <c r="S2047"/>
  <c r="T2047" s="1"/>
  <c r="S2063"/>
  <c r="T2063" s="1"/>
  <c r="S2082"/>
  <c r="T2082" s="1"/>
  <c r="S2103"/>
  <c r="T2103" s="1"/>
  <c r="S2122"/>
  <c r="T2122" s="1"/>
  <c r="S2186"/>
  <c r="S2207"/>
  <c r="T2207" s="1"/>
  <c r="S2223"/>
  <c r="T2223" s="1"/>
  <c r="S2239"/>
  <c r="T2239" s="1"/>
  <c r="S2255"/>
  <c r="S2271"/>
  <c r="T2271" s="1"/>
  <c r="S1973"/>
  <c r="T1973" s="1"/>
  <c r="S1989"/>
  <c r="T1989" s="1"/>
  <c r="S2008"/>
  <c r="T2008" s="1"/>
  <c r="S2024"/>
  <c r="T2024" s="1"/>
  <c r="S2040"/>
  <c r="T2040" s="1"/>
  <c r="S2056"/>
  <c r="T2056" s="1"/>
  <c r="S2072"/>
  <c r="T2072" s="1"/>
  <c r="S2088"/>
  <c r="T2088" s="1"/>
  <c r="S2109"/>
  <c r="T2109" s="1"/>
  <c r="S2189"/>
  <c r="T2189" s="1"/>
  <c r="S2205"/>
  <c r="T2205" s="1"/>
  <c r="S2221"/>
  <c r="T2221" s="1"/>
  <c r="S2237"/>
  <c r="T2237" s="1"/>
  <c r="S2253"/>
  <c r="T2253" s="1"/>
  <c r="S2269"/>
  <c r="S2281"/>
  <c r="T2281" s="1"/>
  <c r="S2289"/>
  <c r="T2289" s="1"/>
  <c r="S2297"/>
  <c r="T2297" s="1"/>
  <c r="S2305"/>
  <c r="S2331"/>
  <c r="T2331" s="1"/>
  <c r="S2347"/>
  <c r="T2347" s="1"/>
  <c r="S2363"/>
  <c r="S2379"/>
  <c r="T2379" s="1"/>
  <c r="S2395"/>
  <c r="T2395" s="1"/>
  <c r="S2411"/>
  <c r="T2411" s="1"/>
  <c r="S2427"/>
  <c r="T2427" s="1"/>
  <c r="S2443"/>
  <c r="T2443" s="1"/>
  <c r="S2507"/>
  <c r="T2507" s="1"/>
  <c r="S2523"/>
  <c r="T2523" s="1"/>
  <c r="S2539"/>
  <c r="T2539" s="1"/>
  <c r="S2555"/>
  <c r="T2555" s="1"/>
  <c r="S2571"/>
  <c r="T2571" s="1"/>
  <c r="S2587"/>
  <c r="T2587" s="1"/>
  <c r="S2603"/>
  <c r="T2603" s="1"/>
  <c r="S2619"/>
  <c r="T2619" s="1"/>
  <c r="S2635"/>
  <c r="T2635" s="1"/>
  <c r="S2651"/>
  <c r="T2651" s="1"/>
  <c r="S2317"/>
  <c r="T2317" s="1"/>
  <c r="S2340"/>
  <c r="S2356"/>
  <c r="S2372"/>
  <c r="S2388"/>
  <c r="T2388" s="1"/>
  <c r="S2404"/>
  <c r="S2420"/>
  <c r="T2420" s="1"/>
  <c r="S2436"/>
  <c r="T2436" s="1"/>
  <c r="S2516"/>
  <c r="T2516" s="1"/>
  <c r="S2532"/>
  <c r="S2548"/>
  <c r="T2548" s="1"/>
  <c r="S2564"/>
  <c r="T2564" s="1"/>
  <c r="S2580"/>
  <c r="T2580" s="1"/>
  <c r="S2596"/>
  <c r="T2596" s="1"/>
  <c r="S2612"/>
  <c r="T2612" s="1"/>
  <c r="S2628"/>
  <c r="T2628" s="1"/>
  <c r="S2644"/>
  <c r="T2644" s="1"/>
  <c r="S2660"/>
  <c r="T2660" s="1"/>
  <c r="S2676"/>
  <c r="T2676" s="1"/>
  <c r="S2692"/>
  <c r="T2692" s="1"/>
  <c r="S2708"/>
  <c r="T2708" s="1"/>
  <c r="S2725"/>
  <c r="T2725" s="1"/>
  <c r="S2319"/>
  <c r="T2319" s="1"/>
  <c r="S2341"/>
  <c r="T2341" s="1"/>
  <c r="S2357"/>
  <c r="S2373"/>
  <c r="S2393"/>
  <c r="T2393" s="1"/>
  <c r="S2409"/>
  <c r="T2409" s="1"/>
  <c r="S2425"/>
  <c r="T2425" s="1"/>
  <c r="S2441"/>
  <c r="T2441" s="1"/>
  <c r="S2505"/>
  <c r="T2505" s="1"/>
  <c r="S2525"/>
  <c r="T2525" s="1"/>
  <c r="S2541"/>
  <c r="T2541" s="1"/>
  <c r="S2557"/>
  <c r="S2573"/>
  <c r="T2573" s="1"/>
  <c r="S2589"/>
  <c r="T2589" s="1"/>
  <c r="S2605"/>
  <c r="T2605" s="1"/>
  <c r="S2621"/>
  <c r="S2637"/>
  <c r="T2637" s="1"/>
  <c r="S2653"/>
  <c r="T2653" s="1"/>
  <c r="S2669"/>
  <c r="T2669" s="1"/>
  <c r="S2685"/>
  <c r="T2685" s="1"/>
  <c r="S2701"/>
  <c r="T2701" s="1"/>
  <c r="S2717"/>
  <c r="T2717" s="1"/>
  <c r="S2734"/>
  <c r="T2734" s="1"/>
  <c r="S2750"/>
  <c r="T2750" s="1"/>
  <c r="S2766"/>
  <c r="T2766" s="1"/>
  <c r="S2782"/>
  <c r="T2782" s="1"/>
  <c r="S2798"/>
  <c r="T2798" s="1"/>
  <c r="S2814"/>
  <c r="T2814" s="1"/>
  <c r="S2830"/>
  <c r="T2830" s="1"/>
  <c r="S2846"/>
  <c r="T2846" s="1"/>
  <c r="S2862"/>
  <c r="T2862" s="1"/>
  <c r="S51"/>
  <c r="T51" s="1"/>
  <c r="S67"/>
  <c r="T67" s="1"/>
  <c r="S83"/>
  <c r="T83" s="1"/>
  <c r="S147"/>
  <c r="T147" s="1"/>
  <c r="S100"/>
  <c r="T100" s="1"/>
  <c r="S85"/>
  <c r="T85" s="1"/>
  <c r="S149"/>
  <c r="T149" s="1"/>
  <c r="S50"/>
  <c r="T50" s="1"/>
  <c r="S198"/>
  <c r="T198" s="1"/>
  <c r="S273"/>
  <c r="T273" s="1"/>
  <c r="S167"/>
  <c r="T167" s="1"/>
  <c r="S239"/>
  <c r="T239" s="1"/>
  <c r="S90"/>
  <c r="S62"/>
  <c r="T62" s="1"/>
  <c r="S306"/>
  <c r="T306" s="1"/>
  <c r="S375"/>
  <c r="T375" s="1"/>
  <c r="S439"/>
  <c r="T439" s="1"/>
  <c r="S503"/>
  <c r="T503" s="1"/>
  <c r="S551"/>
  <c r="T551" s="1"/>
  <c r="S583"/>
  <c r="T583" s="1"/>
  <c r="S615"/>
  <c r="T615" s="1"/>
  <c r="S647"/>
  <c r="T647" s="1"/>
  <c r="S679"/>
  <c r="T679" s="1"/>
  <c r="S711"/>
  <c r="T711" s="1"/>
  <c r="S207"/>
  <c r="T207" s="1"/>
  <c r="S317"/>
  <c r="T317" s="1"/>
  <c r="S384"/>
  <c r="T384" s="1"/>
  <c r="S448"/>
  <c r="T448" s="1"/>
  <c r="S299"/>
  <c r="T299" s="1"/>
  <c r="S363"/>
  <c r="T363" s="1"/>
  <c r="S427"/>
  <c r="T427" s="1"/>
  <c r="S494"/>
  <c r="T494" s="1"/>
  <c r="S546"/>
  <c r="T546" s="1"/>
  <c r="S578"/>
  <c r="T578" s="1"/>
  <c r="S610"/>
  <c r="S642"/>
  <c r="T642" s="1"/>
  <c r="S393"/>
  <c r="T393" s="1"/>
  <c r="S678"/>
  <c r="T678" s="1"/>
  <c r="S385"/>
  <c r="T385" s="1"/>
  <c r="S668"/>
  <c r="T668" s="1"/>
  <c r="S441"/>
  <c r="T441" s="1"/>
  <c r="S500"/>
  <c r="T500" s="1"/>
  <c r="S704"/>
  <c r="T704" s="1"/>
  <c r="S658"/>
  <c r="T658" s="1"/>
  <c r="S768"/>
  <c r="S832"/>
  <c r="T832" s="1"/>
  <c r="S896"/>
  <c r="T896" s="1"/>
  <c r="S958"/>
  <c r="T958" s="1"/>
  <c r="S1022"/>
  <c r="T1022" s="1"/>
  <c r="S1086"/>
  <c r="T1086" s="1"/>
  <c r="S1150"/>
  <c r="T1150" s="1"/>
  <c r="S1214"/>
  <c r="T1214" s="1"/>
  <c r="S1278"/>
  <c r="T1278" s="1"/>
  <c r="S735"/>
  <c r="T735" s="1"/>
  <c r="S805"/>
  <c r="S869"/>
  <c r="T869" s="1"/>
  <c r="S932"/>
  <c r="T932" s="1"/>
  <c r="S996"/>
  <c r="T996" s="1"/>
  <c r="S1065"/>
  <c r="T1065" s="1"/>
  <c r="S1129"/>
  <c r="T1129" s="1"/>
  <c r="S369"/>
  <c r="T369" s="1"/>
  <c r="S802"/>
  <c r="T802" s="1"/>
  <c r="S866"/>
  <c r="T866" s="1"/>
  <c r="S930"/>
  <c r="T930" s="1"/>
  <c r="S994"/>
  <c r="T994" s="1"/>
  <c r="S1058"/>
  <c r="T1058" s="1"/>
  <c r="S1122"/>
  <c r="T1122" s="1"/>
  <c r="S1186"/>
  <c r="T1186" s="1"/>
  <c r="S1255"/>
  <c r="S714"/>
  <c r="T714" s="1"/>
  <c r="S835"/>
  <c r="T835" s="1"/>
  <c r="S1088"/>
  <c r="T1088" s="1"/>
  <c r="S1261"/>
  <c r="T1261" s="1"/>
  <c r="S1357"/>
  <c r="T1357" s="1"/>
  <c r="S1421"/>
  <c r="T1421" s="1"/>
  <c r="S1485"/>
  <c r="T1485" s="1"/>
  <c r="S839"/>
  <c r="S1101"/>
  <c r="T1101" s="1"/>
  <c r="S1273"/>
  <c r="T1273" s="1"/>
  <c r="S1358"/>
  <c r="T1358" s="1"/>
  <c r="S1427"/>
  <c r="S1491"/>
  <c r="T1491" s="1"/>
  <c r="S1555"/>
  <c r="T1555" s="1"/>
  <c r="S965"/>
  <c r="T965" s="1"/>
  <c r="S1205"/>
  <c r="S1332"/>
  <c r="T1332" s="1"/>
  <c r="S1396"/>
  <c r="T1396" s="1"/>
  <c r="S1460"/>
  <c r="T1460" s="1"/>
  <c r="S815"/>
  <c r="T815" s="1"/>
  <c r="S1064"/>
  <c r="T1064" s="1"/>
  <c r="S1260"/>
  <c r="T1260" s="1"/>
  <c r="S1354"/>
  <c r="T1354" s="1"/>
  <c r="S1490"/>
  <c r="T1490" s="1"/>
  <c r="S1598"/>
  <c r="T1598" s="1"/>
  <c r="S1662"/>
  <c r="T1662" s="1"/>
  <c r="S1731"/>
  <c r="T1731" s="1"/>
  <c r="S1795"/>
  <c r="T1795" s="1"/>
  <c r="S1867"/>
  <c r="T1867" s="1"/>
  <c r="S1942"/>
  <c r="T1942" s="1"/>
  <c r="S1540"/>
  <c r="T1540" s="1"/>
  <c r="S1617"/>
  <c r="T1617" s="1"/>
  <c r="S1681"/>
  <c r="T1681" s="1"/>
  <c r="S1745"/>
  <c r="T1745" s="1"/>
  <c r="S1809"/>
  <c r="T1809" s="1"/>
  <c r="S1881"/>
  <c r="T1881" s="1"/>
  <c r="S1410"/>
  <c r="T1410" s="1"/>
  <c r="S1580"/>
  <c r="T1580" s="1"/>
  <c r="S1647"/>
  <c r="T1647" s="1"/>
  <c r="S1711"/>
  <c r="T1711" s="1"/>
  <c r="S1778"/>
  <c r="T1778" s="1"/>
  <c r="S1842"/>
  <c r="T1842" s="1"/>
  <c r="S1914"/>
  <c r="T1914" s="1"/>
  <c r="S1498"/>
  <c r="S1605"/>
  <c r="T1605" s="1"/>
  <c r="S1669"/>
  <c r="T1669" s="1"/>
  <c r="S1733"/>
  <c r="T1733" s="1"/>
  <c r="S1800"/>
  <c r="T1800" s="1"/>
  <c r="S1877"/>
  <c r="T1877" s="1"/>
  <c r="S1941"/>
  <c r="T1941" s="1"/>
  <c r="S2011"/>
  <c r="T2011" s="1"/>
  <c r="S2078"/>
  <c r="S2206"/>
  <c r="T2206" s="1"/>
  <c r="S2270"/>
  <c r="T2270" s="1"/>
  <c r="S2012"/>
  <c r="T2012" s="1"/>
  <c r="S2081"/>
  <c r="T2081" s="1"/>
  <c r="S2209"/>
  <c r="T2209" s="1"/>
  <c r="S2273"/>
  <c r="T2273" s="1"/>
  <c r="S1970"/>
  <c r="T1970" s="1"/>
  <c r="S2034"/>
  <c r="T2034" s="1"/>
  <c r="S2106"/>
  <c r="T2106" s="1"/>
  <c r="S2242"/>
  <c r="T2242" s="1"/>
  <c r="S1997"/>
  <c r="T1997" s="1"/>
  <c r="S2061"/>
  <c r="T2061" s="1"/>
  <c r="S2192"/>
  <c r="T2192" s="1"/>
  <c r="S2256"/>
  <c r="T2256" s="1"/>
  <c r="S2299"/>
  <c r="T2299" s="1"/>
  <c r="S2367"/>
  <c r="S2431"/>
  <c r="T2431" s="1"/>
  <c r="S2559"/>
  <c r="T2559" s="1"/>
  <c r="S2623"/>
  <c r="T2623" s="1"/>
  <c r="S2344"/>
  <c r="S2408"/>
  <c r="T2408" s="1"/>
  <c r="S2600"/>
  <c r="T2600" s="1"/>
  <c r="S2664"/>
  <c r="T2664" s="1"/>
  <c r="S2728"/>
  <c r="S2381"/>
  <c r="T2381" s="1"/>
  <c r="S2445"/>
  <c r="T2445" s="1"/>
  <c r="S2533"/>
  <c r="T2533" s="1"/>
  <c r="S2565"/>
  <c r="T2565" s="1"/>
  <c r="S2597"/>
  <c r="T2597" s="1"/>
  <c r="S2629"/>
  <c r="T2629" s="1"/>
  <c r="S2661"/>
  <c r="T2661" s="1"/>
  <c r="S2693"/>
  <c r="T2693" s="1"/>
  <c r="S2726"/>
  <c r="T2726" s="1"/>
  <c r="S2758"/>
  <c r="T2758" s="1"/>
  <c r="S2790"/>
  <c r="T2790" s="1"/>
  <c r="S2822"/>
  <c r="T2822" s="1"/>
  <c r="S2854"/>
  <c r="T2854" s="1"/>
  <c r="S2883"/>
  <c r="T2883" s="1"/>
  <c r="S2902"/>
  <c r="T2902" s="1"/>
  <c r="S2926"/>
  <c r="T2926" s="1"/>
  <c r="S2947"/>
  <c r="T2947" s="1"/>
  <c r="S2966"/>
  <c r="T2966" s="1"/>
  <c r="S2990"/>
  <c r="T2990" s="1"/>
  <c r="S3011"/>
  <c r="T3011" s="1"/>
  <c r="S3030"/>
  <c r="T3030" s="1"/>
  <c r="S3054"/>
  <c r="T3054" s="1"/>
  <c r="S3075"/>
  <c r="T3075" s="1"/>
  <c r="S3094"/>
  <c r="T3094" s="1"/>
  <c r="S3118"/>
  <c r="T3118" s="1"/>
  <c r="S3139"/>
  <c r="T3139" s="1"/>
  <c r="S3158"/>
  <c r="T3158" s="1"/>
  <c r="S3182"/>
  <c r="T3182" s="1"/>
  <c r="S3203"/>
  <c r="T3203" s="1"/>
  <c r="S3229"/>
  <c r="T3229" s="1"/>
  <c r="S3253"/>
  <c r="T3253" s="1"/>
  <c r="S3272"/>
  <c r="S3293"/>
  <c r="T3293" s="1"/>
  <c r="S3317"/>
  <c r="T3317" s="1"/>
  <c r="S3336"/>
  <c r="T3336" s="1"/>
  <c r="S3357"/>
  <c r="T3357" s="1"/>
  <c r="S3383"/>
  <c r="T3383" s="1"/>
  <c r="S3397"/>
  <c r="T3397" s="1"/>
  <c r="S3409"/>
  <c r="T3409" s="1"/>
  <c r="S3425"/>
  <c r="S3437"/>
  <c r="T3437" s="1"/>
  <c r="S3447"/>
  <c r="T3447" s="1"/>
  <c r="S3459"/>
  <c r="T3459" s="1"/>
  <c r="S3469"/>
  <c r="S3481"/>
  <c r="T3481" s="1"/>
  <c r="S3493"/>
  <c r="T3493" s="1"/>
  <c r="S3503"/>
  <c r="T3503" s="1"/>
  <c r="S3513"/>
  <c r="T3513" s="1"/>
  <c r="S3521"/>
  <c r="T3521" s="1"/>
  <c r="S3529"/>
  <c r="T3529" s="1"/>
  <c r="S3537"/>
  <c r="T3537" s="1"/>
  <c r="S3545"/>
  <c r="S3555"/>
  <c r="T3555" s="1"/>
  <c r="S3563"/>
  <c r="T3563" s="1"/>
  <c r="S3571"/>
  <c r="T3571" s="1"/>
  <c r="S3579"/>
  <c r="S3587"/>
  <c r="T3587" s="1"/>
  <c r="S3595"/>
  <c r="T3595" s="1"/>
  <c r="S3605"/>
  <c r="T3605" s="1"/>
  <c r="S3613"/>
  <c r="T3613" s="1"/>
  <c r="S3621"/>
  <c r="T3621" s="1"/>
  <c r="S3629"/>
  <c r="T3629" s="1"/>
  <c r="S3639"/>
  <c r="T3639" s="1"/>
  <c r="S3647"/>
  <c r="T3647" s="1"/>
  <c r="S3655"/>
  <c r="T3655" s="1"/>
  <c r="S3663"/>
  <c r="T3663" s="1"/>
  <c r="S3671"/>
  <c r="T3671" s="1"/>
  <c r="S3679"/>
  <c r="T3679" s="1"/>
  <c r="S3687"/>
  <c r="T3687" s="1"/>
  <c r="S3695"/>
  <c r="T3695" s="1"/>
  <c r="S3703"/>
  <c r="T3703" s="1"/>
  <c r="S3711"/>
  <c r="T3711" s="1"/>
  <c r="S3719"/>
  <c r="T3719" s="1"/>
  <c r="S3727"/>
  <c r="T3727" s="1"/>
  <c r="S3735"/>
  <c r="T3735" s="1"/>
  <c r="S3743"/>
  <c r="S3753"/>
  <c r="T3753" s="1"/>
  <c r="S3761"/>
  <c r="T3761" s="1"/>
  <c r="S3769"/>
  <c r="T3769" s="1"/>
  <c r="S3777"/>
  <c r="S3785"/>
  <c r="T3785" s="1"/>
  <c r="S3793"/>
  <c r="T3793" s="1"/>
  <c r="S3801"/>
  <c r="T3801" s="1"/>
  <c r="S3809"/>
  <c r="T3809" s="1"/>
  <c r="S3817"/>
  <c r="T3817" s="1"/>
  <c r="S3825"/>
  <c r="T3825" s="1"/>
  <c r="S3833"/>
  <c r="T3833" s="1"/>
  <c r="S3841"/>
  <c r="T3841" s="1"/>
  <c r="S3849"/>
  <c r="T3849" s="1"/>
  <c r="S3857"/>
  <c r="T3857" s="1"/>
  <c r="S3865"/>
  <c r="T3865" s="1"/>
  <c r="S3875"/>
  <c r="T3875" s="1"/>
  <c r="S3887"/>
  <c r="T3887" s="1"/>
  <c r="S3895"/>
  <c r="T3895" s="1"/>
  <c r="S3903"/>
  <c r="T3903" s="1"/>
  <c r="S3911"/>
  <c r="T3911" s="1"/>
  <c r="S3921"/>
  <c r="T3921" s="1"/>
  <c r="S3929"/>
  <c r="T3929" s="1"/>
  <c r="S3939"/>
  <c r="T3939" s="1"/>
  <c r="S3947"/>
  <c r="S3957"/>
  <c r="T3957" s="1"/>
  <c r="S3965"/>
  <c r="T3965" s="1"/>
  <c r="S3973"/>
  <c r="T3973" s="1"/>
  <c r="S3981"/>
  <c r="T3981" s="1"/>
  <c r="S3989"/>
  <c r="T3989" s="1"/>
  <c r="S3997"/>
  <c r="T3997" s="1"/>
  <c r="S4005"/>
  <c r="T4005" s="1"/>
  <c r="S4013"/>
  <c r="T4013" s="1"/>
  <c r="S4021"/>
  <c r="T4021" s="1"/>
  <c r="S4029"/>
  <c r="S4037"/>
  <c r="T4037" s="1"/>
  <c r="S4045"/>
  <c r="T4045" s="1"/>
  <c r="S2329"/>
  <c r="T2329" s="1"/>
  <c r="S2346"/>
  <c r="T2346" s="1"/>
  <c r="S2362"/>
  <c r="S2378"/>
  <c r="T2378" s="1"/>
  <c r="S2394"/>
  <c r="T2394" s="1"/>
  <c r="S2410"/>
  <c r="S2426"/>
  <c r="T2426" s="1"/>
  <c r="S2442"/>
  <c r="T2442" s="1"/>
  <c r="S2510"/>
  <c r="T2510" s="1"/>
  <c r="S2530"/>
  <c r="T2530" s="1"/>
  <c r="S2546"/>
  <c r="T2546" s="1"/>
  <c r="S2562"/>
  <c r="T2562" s="1"/>
  <c r="S2578"/>
  <c r="T2578" s="1"/>
  <c r="S2594"/>
  <c r="T2594" s="1"/>
  <c r="S2610"/>
  <c r="T2610" s="1"/>
  <c r="S2626"/>
  <c r="T2626" s="1"/>
  <c r="S2642"/>
  <c r="T2642" s="1"/>
  <c r="S2658"/>
  <c r="T2658" s="1"/>
  <c r="S2691"/>
  <c r="T2691" s="1"/>
  <c r="S2722"/>
  <c r="T2722" s="1"/>
  <c r="S2748"/>
  <c r="T2748" s="1"/>
  <c r="S2769"/>
  <c r="T2769" s="1"/>
  <c r="S2794"/>
  <c r="T2794" s="1"/>
  <c r="S2812"/>
  <c r="T2812" s="1"/>
  <c r="S2833"/>
  <c r="T2833" s="1"/>
  <c r="S2858"/>
  <c r="T2858" s="1"/>
  <c r="S2876"/>
  <c r="T2876" s="1"/>
  <c r="S2897"/>
  <c r="T2897" s="1"/>
  <c r="S2922"/>
  <c r="T2922" s="1"/>
  <c r="S2940"/>
  <c r="T2940" s="1"/>
  <c r="S2961"/>
  <c r="T2961" s="1"/>
  <c r="S2986"/>
  <c r="T2986" s="1"/>
  <c r="S3004"/>
  <c r="T3004" s="1"/>
  <c r="S3025"/>
  <c r="T3025" s="1"/>
  <c r="S3050"/>
  <c r="T3050" s="1"/>
  <c r="S3068"/>
  <c r="S3089"/>
  <c r="T3089" s="1"/>
  <c r="S3114"/>
  <c r="T3114" s="1"/>
  <c r="S3132"/>
  <c r="T3132" s="1"/>
  <c r="S3153"/>
  <c r="T3153" s="1"/>
  <c r="S3178"/>
  <c r="T3178" s="1"/>
  <c r="S2678"/>
  <c r="T2678" s="1"/>
  <c r="S2710"/>
  <c r="T2710" s="1"/>
  <c r="S2738"/>
  <c r="T2738" s="1"/>
  <c r="S2756"/>
  <c r="T2756" s="1"/>
  <c r="S2784"/>
  <c r="T2784" s="1"/>
  <c r="S2805"/>
  <c r="T2805" s="1"/>
  <c r="S2823"/>
  <c r="T2823" s="1"/>
  <c r="S2848"/>
  <c r="T2848" s="1"/>
  <c r="S2869"/>
  <c r="T2869" s="1"/>
  <c r="S2887"/>
  <c r="T2887" s="1"/>
  <c r="S2912"/>
  <c r="T2912" s="1"/>
  <c r="S2933"/>
  <c r="T2933" s="1"/>
  <c r="S2951"/>
  <c r="T2951" s="1"/>
  <c r="S2976"/>
  <c r="T2976" s="1"/>
  <c r="S2997"/>
  <c r="T2997" s="1"/>
  <c r="S3015"/>
  <c r="T3015" s="1"/>
  <c r="S3040"/>
  <c r="T3040" s="1"/>
  <c r="S3061"/>
  <c r="T3061" s="1"/>
  <c r="S3079"/>
  <c r="T3079" s="1"/>
  <c r="S3104"/>
  <c r="T3104" s="1"/>
  <c r="S3125"/>
  <c r="T3125" s="1"/>
  <c r="S3143"/>
  <c r="T3143" s="1"/>
  <c r="S3168"/>
  <c r="T3168" s="1"/>
  <c r="S3189"/>
  <c r="T3189" s="1"/>
  <c r="S3207"/>
  <c r="T3207" s="1"/>
  <c r="S3231"/>
  <c r="T3231" s="1"/>
  <c r="S3249"/>
  <c r="S3278"/>
  <c r="T3278" s="1"/>
  <c r="S3299"/>
  <c r="T3299" s="1"/>
  <c r="S2687"/>
  <c r="T2687" s="1"/>
  <c r="S2719"/>
  <c r="T2719" s="1"/>
  <c r="S2749"/>
  <c r="T2749" s="1"/>
  <c r="S2767"/>
  <c r="T2767" s="1"/>
  <c r="S2792"/>
  <c r="T2792" s="1"/>
  <c r="S2813"/>
  <c r="T2813" s="1"/>
  <c r="S2831"/>
  <c r="T2831" s="1"/>
  <c r="S2856"/>
  <c r="T2856" s="1"/>
  <c r="S2877"/>
  <c r="T2877" s="1"/>
  <c r="S2895"/>
  <c r="T2895" s="1"/>
  <c r="S2920"/>
  <c r="T2920" s="1"/>
  <c r="S2941"/>
  <c r="T2941" s="1"/>
  <c r="S2959"/>
  <c r="T2959" s="1"/>
  <c r="S2984"/>
  <c r="T2984" s="1"/>
  <c r="S3005"/>
  <c r="T3005" s="1"/>
  <c r="S3023"/>
  <c r="S3048"/>
  <c r="T3048" s="1"/>
  <c r="S3069"/>
  <c r="T3069" s="1"/>
  <c r="S3087"/>
  <c r="T3087" s="1"/>
  <c r="S3112"/>
  <c r="T3112" s="1"/>
  <c r="S3133"/>
  <c r="T3133" s="1"/>
  <c r="S3151"/>
  <c r="T3151" s="1"/>
  <c r="S3176"/>
  <c r="T3176" s="1"/>
  <c r="S3201"/>
  <c r="T3201" s="1"/>
  <c r="S3226"/>
  <c r="T3226" s="1"/>
  <c r="S3250"/>
  <c r="T3250" s="1"/>
  <c r="S3271"/>
  <c r="T3271" s="1"/>
  <c r="S3289"/>
  <c r="T3289" s="1"/>
  <c r="S3314"/>
  <c r="T3314" s="1"/>
  <c r="S3339"/>
  <c r="T3339" s="1"/>
  <c r="S3364"/>
  <c r="T3364" s="1"/>
  <c r="S3384"/>
  <c r="T3384" s="1"/>
  <c r="S3424"/>
  <c r="T3424" s="1"/>
  <c r="S3456"/>
  <c r="T3456" s="1"/>
  <c r="S3488"/>
  <c r="T3488" s="1"/>
  <c r="S3520"/>
  <c r="T3520" s="1"/>
  <c r="S3552"/>
  <c r="T3552" s="1"/>
  <c r="S3592"/>
  <c r="T3592" s="1"/>
  <c r="S3624"/>
  <c r="T3624" s="1"/>
  <c r="S3664"/>
  <c r="T3664" s="1"/>
  <c r="S3696"/>
  <c r="T3696" s="1"/>
  <c r="S3736"/>
  <c r="S3768"/>
  <c r="T3768" s="1"/>
  <c r="S3800"/>
  <c r="T3800" s="1"/>
  <c r="S3832"/>
  <c r="T3832" s="1"/>
  <c r="S3864"/>
  <c r="S3896"/>
  <c r="T3896" s="1"/>
  <c r="S3936"/>
  <c r="T3936" s="1"/>
  <c r="S3968"/>
  <c r="T3968" s="1"/>
  <c r="S4000"/>
  <c r="T4000" s="1"/>
  <c r="S4032"/>
  <c r="T4032" s="1"/>
  <c r="S4052"/>
  <c r="T4052" s="1"/>
  <c r="S4060"/>
  <c r="T4060" s="1"/>
  <c r="S4068"/>
  <c r="S4076"/>
  <c r="T4076" s="1"/>
  <c r="S4084"/>
  <c r="T4084" s="1"/>
  <c r="S4092"/>
  <c r="T4092" s="1"/>
  <c r="S4100"/>
  <c r="T4100" s="1"/>
  <c r="S4108"/>
  <c r="T4108" s="1"/>
  <c r="S4116"/>
  <c r="T4116" s="1"/>
  <c r="S4124"/>
  <c r="T4124" s="1"/>
  <c r="S4132"/>
  <c r="T4132" s="1"/>
  <c r="S4140"/>
  <c r="T4140" s="1"/>
  <c r="S4148"/>
  <c r="T4148" s="1"/>
  <c r="S4156"/>
  <c r="T4156" s="1"/>
  <c r="S4164"/>
  <c r="T4164" s="1"/>
  <c r="S4172"/>
  <c r="T4172" s="1"/>
  <c r="S4180"/>
  <c r="T4180" s="1"/>
  <c r="S4188"/>
  <c r="T4188" s="1"/>
  <c r="S4196"/>
  <c r="T4196" s="1"/>
  <c r="S4204"/>
  <c r="T4204" s="1"/>
  <c r="S4212"/>
  <c r="T4212" s="1"/>
  <c r="S4220"/>
  <c r="T4220" s="1"/>
  <c r="S4228"/>
  <c r="T4228" s="1"/>
  <c r="S4236"/>
  <c r="T4236" s="1"/>
  <c r="S4244"/>
  <c r="T4244" s="1"/>
  <c r="S4252"/>
  <c r="T4252" s="1"/>
  <c r="S4260"/>
  <c r="T4260" s="1"/>
  <c r="S4268"/>
  <c r="T4268" s="1"/>
  <c r="S4276"/>
  <c r="T4276" s="1"/>
  <c r="S4284"/>
  <c r="T4284" s="1"/>
  <c r="S4292"/>
  <c r="T4292" s="1"/>
  <c r="S4300"/>
  <c r="T4300" s="1"/>
  <c r="S4308"/>
  <c r="T4308" s="1"/>
  <c r="S4316"/>
  <c r="T4316" s="1"/>
  <c r="S4324"/>
  <c r="T4324" s="1"/>
  <c r="S4332"/>
  <c r="T4332" s="1"/>
  <c r="S4340"/>
  <c r="T4340" s="1"/>
  <c r="S4348"/>
  <c r="T4348" s="1"/>
  <c r="S4356"/>
  <c r="T4356" s="1"/>
  <c r="S4364"/>
  <c r="T4364" s="1"/>
  <c r="S4372"/>
  <c r="T4372" s="1"/>
  <c r="S4380"/>
  <c r="T4380" s="1"/>
  <c r="S4388"/>
  <c r="T4388" s="1"/>
  <c r="S4396"/>
  <c r="T4396" s="1"/>
  <c r="S4404"/>
  <c r="T4404" s="1"/>
  <c r="S4412"/>
  <c r="T4412" s="1"/>
  <c r="S4420"/>
  <c r="T4420" s="1"/>
  <c r="S4428"/>
  <c r="T4428" s="1"/>
  <c r="S4436"/>
  <c r="S4444"/>
  <c r="T4444" s="1"/>
  <c r="S4452"/>
  <c r="T4452" s="1"/>
  <c r="S4460"/>
  <c r="T4460" s="1"/>
  <c r="S4468"/>
  <c r="T4468" s="1"/>
  <c r="S4476"/>
  <c r="T4476" s="1"/>
  <c r="S4484"/>
  <c r="T4484" s="1"/>
  <c r="S4492"/>
  <c r="T4492" s="1"/>
  <c r="S4500"/>
  <c r="T4500" s="1"/>
  <c r="S4508"/>
  <c r="T4508" s="1"/>
  <c r="S99"/>
  <c r="T99" s="1"/>
  <c r="S48"/>
  <c r="T48" s="1"/>
  <c r="S116"/>
  <c r="T116" s="1"/>
  <c r="S101"/>
  <c r="T101" s="1"/>
  <c r="S165"/>
  <c r="T165" s="1"/>
  <c r="S114"/>
  <c r="T114" s="1"/>
  <c r="S225"/>
  <c r="T225" s="1"/>
  <c r="S289"/>
  <c r="T289" s="1"/>
  <c r="S188"/>
  <c r="T188" s="1"/>
  <c r="S255"/>
  <c r="T255" s="1"/>
  <c r="S140"/>
  <c r="T140" s="1"/>
  <c r="S202"/>
  <c r="T202" s="1"/>
  <c r="S327"/>
  <c r="T327" s="1"/>
  <c r="S391"/>
  <c r="T391" s="1"/>
  <c r="S455"/>
  <c r="T455" s="1"/>
  <c r="S519"/>
  <c r="T519" s="1"/>
  <c r="S559"/>
  <c r="T559" s="1"/>
  <c r="S591"/>
  <c r="T591" s="1"/>
  <c r="S623"/>
  <c r="T623" s="1"/>
  <c r="S655"/>
  <c r="T655" s="1"/>
  <c r="S687"/>
  <c r="S719"/>
  <c r="T719" s="1"/>
  <c r="S243"/>
  <c r="T243" s="1"/>
  <c r="S333"/>
  <c r="T333" s="1"/>
  <c r="S400"/>
  <c r="T400" s="1"/>
  <c r="S191"/>
  <c r="T191" s="1"/>
  <c r="S315"/>
  <c r="T315" s="1"/>
  <c r="S379"/>
  <c r="T379" s="1"/>
  <c r="S443"/>
  <c r="T443" s="1"/>
  <c r="S510"/>
  <c r="T510" s="1"/>
  <c r="S554"/>
  <c r="T554" s="1"/>
  <c r="S586"/>
  <c r="T586" s="1"/>
  <c r="S618"/>
  <c r="T618" s="1"/>
  <c r="S650"/>
  <c r="T650" s="1"/>
  <c r="S453"/>
  <c r="T453" s="1"/>
  <c r="S710"/>
  <c r="T710" s="1"/>
  <c r="S449"/>
  <c r="T449" s="1"/>
  <c r="S700"/>
  <c r="T700" s="1"/>
  <c r="S477"/>
  <c r="T477" s="1"/>
  <c r="S698"/>
  <c r="T698" s="1"/>
  <c r="S736"/>
  <c r="T736" s="1"/>
  <c r="S720"/>
  <c r="T720" s="1"/>
  <c r="S784"/>
  <c r="T784" s="1"/>
  <c r="S848"/>
  <c r="T848" s="1"/>
  <c r="S912"/>
  <c r="T912" s="1"/>
  <c r="S974"/>
  <c r="T974" s="1"/>
  <c r="S1038"/>
  <c r="T1038" s="1"/>
  <c r="S1102"/>
  <c r="T1102" s="1"/>
  <c r="S1166"/>
  <c r="S1230"/>
  <c r="T1230" s="1"/>
  <c r="S1294"/>
  <c r="T1294" s="1"/>
  <c r="S757"/>
  <c r="T757" s="1"/>
  <c r="S821"/>
  <c r="T821" s="1"/>
  <c r="S885"/>
  <c r="T885" s="1"/>
  <c r="S948"/>
  <c r="T948" s="1"/>
  <c r="S1012"/>
  <c r="T1012" s="1"/>
  <c r="S1081"/>
  <c r="T1081" s="1"/>
  <c r="S1145"/>
  <c r="T1145" s="1"/>
  <c r="S754"/>
  <c r="T754" s="1"/>
  <c r="S818"/>
  <c r="T818" s="1"/>
  <c r="S882"/>
  <c r="T882" s="1"/>
  <c r="S946"/>
  <c r="T946" s="1"/>
  <c r="S1010"/>
  <c r="T1010" s="1"/>
  <c r="S1074"/>
  <c r="T1074" s="1"/>
  <c r="S1138"/>
  <c r="T1138" s="1"/>
  <c r="S1207"/>
  <c r="T1207" s="1"/>
  <c r="S1271"/>
  <c r="T1271" s="1"/>
  <c r="S751"/>
  <c r="T751" s="1"/>
  <c r="S899"/>
  <c r="T899" s="1"/>
  <c r="S1152"/>
  <c r="T1152" s="1"/>
  <c r="S1293"/>
  <c r="T1293" s="1"/>
  <c r="S1373"/>
  <c r="T1373" s="1"/>
  <c r="S1437"/>
  <c r="T1437" s="1"/>
  <c r="S1501"/>
  <c r="T1501" s="1"/>
  <c r="S903"/>
  <c r="T903" s="1"/>
  <c r="S1165"/>
  <c r="T1165" s="1"/>
  <c r="S1305"/>
  <c r="T1305" s="1"/>
  <c r="S1374"/>
  <c r="T1374" s="1"/>
  <c r="S1443"/>
  <c r="S1507"/>
  <c r="T1507" s="1"/>
  <c r="S1574"/>
  <c r="S1029"/>
  <c r="T1029" s="1"/>
  <c r="S1237"/>
  <c r="T1237" s="1"/>
  <c r="S1348"/>
  <c r="T1348" s="1"/>
  <c r="S1412"/>
  <c r="T1412" s="1"/>
  <c r="S1476"/>
  <c r="T1476" s="1"/>
  <c r="S879"/>
  <c r="T879" s="1"/>
  <c r="S1128"/>
  <c r="T1128" s="1"/>
  <c r="S1292"/>
  <c r="T1292" s="1"/>
  <c r="S1370"/>
  <c r="T1370" s="1"/>
  <c r="S1535"/>
  <c r="T1535" s="1"/>
  <c r="S1614"/>
  <c r="T1614" s="1"/>
  <c r="S1683"/>
  <c r="T1683" s="1"/>
  <c r="S1747"/>
  <c r="T1747" s="1"/>
  <c r="S1814"/>
  <c r="T1814" s="1"/>
  <c r="S1891"/>
  <c r="T1891" s="1"/>
  <c r="S1958"/>
  <c r="T1958" s="1"/>
  <c r="S1561"/>
  <c r="T1561" s="1"/>
  <c r="S1633"/>
  <c r="T1633" s="1"/>
  <c r="S1697"/>
  <c r="T1697" s="1"/>
  <c r="S1761"/>
  <c r="T1761" s="1"/>
  <c r="S1825"/>
  <c r="T1825" s="1"/>
  <c r="S1900"/>
  <c r="T1900" s="1"/>
  <c r="S1474"/>
  <c r="T1474" s="1"/>
  <c r="S1594"/>
  <c r="T1594" s="1"/>
  <c r="S1663"/>
  <c r="T1663" s="1"/>
  <c r="S1727"/>
  <c r="T1727" s="1"/>
  <c r="S1794"/>
  <c r="T1794" s="1"/>
  <c r="S1858"/>
  <c r="T1858" s="1"/>
  <c r="S1935"/>
  <c r="T1935" s="1"/>
  <c r="S1541"/>
  <c r="T1541" s="1"/>
  <c r="S1621"/>
  <c r="T1621" s="1"/>
  <c r="S1685"/>
  <c r="T1685" s="1"/>
  <c r="S1749"/>
  <c r="T1749" s="1"/>
  <c r="S1821"/>
  <c r="T1821" s="1"/>
  <c r="S1893"/>
  <c r="T1893" s="1"/>
  <c r="S1957"/>
  <c r="T1957" s="1"/>
  <c r="S2027"/>
  <c r="T2027" s="1"/>
  <c r="S2094"/>
  <c r="T2094" s="1"/>
  <c r="S2222"/>
  <c r="T2222" s="1"/>
  <c r="S1964"/>
  <c r="T1964" s="1"/>
  <c r="S2033"/>
  <c r="T2033" s="1"/>
  <c r="S2097"/>
  <c r="T2097" s="1"/>
  <c r="S2225"/>
  <c r="T2225" s="1"/>
  <c r="S2282"/>
  <c r="T2282" s="1"/>
  <c r="S2314"/>
  <c r="T2314" s="1"/>
  <c r="S1986"/>
  <c r="T1986" s="1"/>
  <c r="S2050"/>
  <c r="T2050" s="1"/>
  <c r="S2191"/>
  <c r="T2191" s="1"/>
  <c r="S2258"/>
  <c r="T2258" s="1"/>
  <c r="S2013"/>
  <c r="T2013" s="1"/>
  <c r="S2077"/>
  <c r="T2077" s="1"/>
  <c r="S2208"/>
  <c r="T2208" s="1"/>
  <c r="S2272"/>
  <c r="T2272" s="1"/>
  <c r="S2307"/>
  <c r="T2307" s="1"/>
  <c r="S2383"/>
  <c r="T2383" s="1"/>
  <c r="S2447"/>
  <c r="S2511"/>
  <c r="T2511" s="1"/>
  <c r="S2575"/>
  <c r="T2575" s="1"/>
  <c r="S2639"/>
  <c r="T2639" s="1"/>
  <c r="S2360"/>
  <c r="S2424"/>
  <c r="T2424" s="1"/>
  <c r="S2552"/>
  <c r="T2552" s="1"/>
  <c r="S2616"/>
  <c r="T2616" s="1"/>
  <c r="S2680"/>
  <c r="S2327"/>
  <c r="T2327" s="1"/>
  <c r="S2397"/>
  <c r="T2397" s="1"/>
  <c r="S2513"/>
  <c r="T2513" s="1"/>
  <c r="S2545"/>
  <c r="T2545" s="1"/>
  <c r="S2577"/>
  <c r="T2577" s="1"/>
  <c r="S2609"/>
  <c r="T2609" s="1"/>
  <c r="S2641"/>
  <c r="T2641" s="1"/>
  <c r="S2673"/>
  <c r="T2673" s="1"/>
  <c r="S2705"/>
  <c r="T2705" s="1"/>
  <c r="S2739"/>
  <c r="T2739" s="1"/>
  <c r="S2771"/>
  <c r="T2771" s="1"/>
  <c r="S2803"/>
  <c r="T2803" s="1"/>
  <c r="S2835"/>
  <c r="T2835" s="1"/>
  <c r="S2867"/>
  <c r="T2867" s="1"/>
  <c r="S2886"/>
  <c r="T2886" s="1"/>
  <c r="S2910"/>
  <c r="S2931"/>
  <c r="T2931" s="1"/>
  <c r="S2950"/>
  <c r="T2950" s="1"/>
  <c r="S2974"/>
  <c r="T2974" s="1"/>
  <c r="S2995"/>
  <c r="T2995" s="1"/>
  <c r="S3014"/>
  <c r="T3014" s="1"/>
  <c r="S3038"/>
  <c r="T3038" s="1"/>
  <c r="S3059"/>
  <c r="T3059" s="1"/>
  <c r="S3078"/>
  <c r="T3078" s="1"/>
  <c r="S3102"/>
  <c r="T3102" s="1"/>
  <c r="S3123"/>
  <c r="T3123" s="1"/>
  <c r="S3142"/>
  <c r="T3142" s="1"/>
  <c r="S3166"/>
  <c r="T3166" s="1"/>
  <c r="S3187"/>
  <c r="T3187" s="1"/>
  <c r="S3206"/>
  <c r="T3206" s="1"/>
  <c r="S3237"/>
  <c r="T3237" s="1"/>
  <c r="S3256"/>
  <c r="T3256" s="1"/>
  <c r="S3277"/>
  <c r="S3301"/>
  <c r="T3301" s="1"/>
  <c r="S3320"/>
  <c r="T3320" s="1"/>
  <c r="S3341"/>
  <c r="S3365"/>
  <c r="T3365" s="1"/>
  <c r="S3385"/>
  <c r="T3385" s="1"/>
  <c r="S3399"/>
  <c r="T3399" s="1"/>
  <c r="S3413"/>
  <c r="T3413" s="1"/>
  <c r="S3427"/>
  <c r="T3427" s="1"/>
  <c r="S3439"/>
  <c r="T3439" s="1"/>
  <c r="S3451"/>
  <c r="T3451" s="1"/>
  <c r="S3461"/>
  <c r="T3461" s="1"/>
  <c r="S3471"/>
  <c r="T3471" s="1"/>
  <c r="S3485"/>
  <c r="T3485" s="1"/>
  <c r="S3495"/>
  <c r="T3495" s="1"/>
  <c r="S3505"/>
  <c r="T3505" s="1"/>
  <c r="S3515"/>
  <c r="T3515" s="1"/>
  <c r="S3523"/>
  <c r="T3523" s="1"/>
  <c r="S3531"/>
  <c r="T3531" s="1"/>
  <c r="S3539"/>
  <c r="T3539" s="1"/>
  <c r="S3547"/>
  <c r="T3547" s="1"/>
  <c r="S3581"/>
  <c r="T3581" s="1"/>
  <c r="S3589"/>
  <c r="T3589" s="1"/>
  <c r="S3599"/>
  <c r="S3607"/>
  <c r="T3607" s="1"/>
  <c r="S3615"/>
  <c r="T3615" s="1"/>
  <c r="S3623"/>
  <c r="T3623" s="1"/>
  <c r="S3631"/>
  <c r="T3631" s="1"/>
  <c r="S3641"/>
  <c r="T3641" s="1"/>
  <c r="S3649"/>
  <c r="T3649" s="1"/>
  <c r="S3657"/>
  <c r="T3657" s="1"/>
  <c r="S3665"/>
  <c r="T3665" s="1"/>
  <c r="S3673"/>
  <c r="T3673" s="1"/>
  <c r="S3681"/>
  <c r="T3681" s="1"/>
  <c r="S3689"/>
  <c r="T3689" s="1"/>
  <c r="S3697"/>
  <c r="T3697" s="1"/>
  <c r="S3705"/>
  <c r="T3705" s="1"/>
  <c r="S3713"/>
  <c r="T3713" s="1"/>
  <c r="S3721"/>
  <c r="T3721" s="1"/>
  <c r="S3729"/>
  <c r="S3737"/>
  <c r="T3737" s="1"/>
  <c r="S3745"/>
  <c r="T3745" s="1"/>
  <c r="S3755"/>
  <c r="T3755" s="1"/>
  <c r="S3771"/>
  <c r="T3771" s="1"/>
  <c r="S3779"/>
  <c r="T3779" s="1"/>
  <c r="S3787"/>
  <c r="T3787" s="1"/>
  <c r="S3795"/>
  <c r="T3795" s="1"/>
  <c r="S3803"/>
  <c r="T3803" s="1"/>
  <c r="S3811"/>
  <c r="T3811" s="1"/>
  <c r="S3819"/>
  <c r="T3819" s="1"/>
  <c r="S3827"/>
  <c r="T3827" s="1"/>
  <c r="S3835"/>
  <c r="T3835" s="1"/>
  <c r="S3843"/>
  <c r="T3843" s="1"/>
  <c r="S3851"/>
  <c r="T3851" s="1"/>
  <c r="S3859"/>
  <c r="T3859" s="1"/>
  <c r="S3877"/>
  <c r="T3877" s="1"/>
  <c r="S3889"/>
  <c r="T3889" s="1"/>
  <c r="S3897"/>
  <c r="T3897" s="1"/>
  <c r="S3905"/>
  <c r="T3905" s="1"/>
  <c r="S3913"/>
  <c r="T3913" s="1"/>
  <c r="S3923"/>
  <c r="T3923" s="1"/>
  <c r="S3931"/>
  <c r="T3931" s="1"/>
  <c r="S3941"/>
  <c r="T3941" s="1"/>
  <c r="S3949"/>
  <c r="T3949" s="1"/>
  <c r="S115"/>
  <c r="T115" s="1"/>
  <c r="S64"/>
  <c r="T64" s="1"/>
  <c r="S53"/>
  <c r="T53" s="1"/>
  <c r="S117"/>
  <c r="T117" s="1"/>
  <c r="S181"/>
  <c r="T181" s="1"/>
  <c r="S152"/>
  <c r="T152" s="1"/>
  <c r="S241"/>
  <c r="T241" s="1"/>
  <c r="S70"/>
  <c r="T70" s="1"/>
  <c r="S209"/>
  <c r="T209" s="1"/>
  <c r="S271"/>
  <c r="T271" s="1"/>
  <c r="S168"/>
  <c r="T168" s="1"/>
  <c r="S248"/>
  <c r="T248" s="1"/>
  <c r="S343"/>
  <c r="T343" s="1"/>
  <c r="S407"/>
  <c r="T407" s="1"/>
  <c r="S471"/>
  <c r="T471" s="1"/>
  <c r="S535"/>
  <c r="T535" s="1"/>
  <c r="S567"/>
  <c r="T567" s="1"/>
  <c r="S599"/>
  <c r="T599" s="1"/>
  <c r="S631"/>
  <c r="T631" s="1"/>
  <c r="S663"/>
  <c r="T663" s="1"/>
  <c r="S695"/>
  <c r="T695" s="1"/>
  <c r="S727"/>
  <c r="T727" s="1"/>
  <c r="S275"/>
  <c r="T275" s="1"/>
  <c r="S349"/>
  <c r="T349" s="1"/>
  <c r="S416"/>
  <c r="T416" s="1"/>
  <c r="S240"/>
  <c r="T240" s="1"/>
  <c r="S331"/>
  <c r="T331" s="1"/>
  <c r="S395"/>
  <c r="T395" s="1"/>
  <c r="S462"/>
  <c r="T462" s="1"/>
  <c r="S526"/>
  <c r="T526" s="1"/>
  <c r="S562"/>
  <c r="T562" s="1"/>
  <c r="S594"/>
  <c r="T594" s="1"/>
  <c r="S626"/>
  <c r="T626" s="1"/>
  <c r="S214"/>
  <c r="T214" s="1"/>
  <c r="S496"/>
  <c r="T496" s="1"/>
  <c r="S219"/>
  <c r="T219" s="1"/>
  <c r="S481"/>
  <c r="T481" s="1"/>
  <c r="S313"/>
  <c r="T313" s="1"/>
  <c r="S509"/>
  <c r="T509" s="1"/>
  <c r="S305"/>
  <c r="T305" s="1"/>
  <c r="S744"/>
  <c r="T744" s="1"/>
  <c r="S680"/>
  <c r="T680" s="1"/>
  <c r="S800"/>
  <c r="T800" s="1"/>
  <c r="S864"/>
  <c r="T864" s="1"/>
  <c r="S926"/>
  <c r="T926" s="1"/>
  <c r="S990"/>
  <c r="T990" s="1"/>
  <c r="S1054"/>
  <c r="T1054" s="1"/>
  <c r="S1118"/>
  <c r="T1118" s="1"/>
  <c r="S1182"/>
  <c r="T1182" s="1"/>
  <c r="S1246"/>
  <c r="T1246" s="1"/>
  <c r="S1310"/>
  <c r="T1310" s="1"/>
  <c r="S773"/>
  <c r="T773" s="1"/>
  <c r="S837"/>
  <c r="T837" s="1"/>
  <c r="S901"/>
  <c r="T901" s="1"/>
  <c r="S964"/>
  <c r="T964" s="1"/>
  <c r="S1028"/>
  <c r="T1028" s="1"/>
  <c r="S1097"/>
  <c r="T1097" s="1"/>
  <c r="S1161"/>
  <c r="T1161" s="1"/>
  <c r="S770"/>
  <c r="T770" s="1"/>
  <c r="S834"/>
  <c r="T834" s="1"/>
  <c r="S898"/>
  <c r="T898" s="1"/>
  <c r="S962"/>
  <c r="T962" s="1"/>
  <c r="S1026"/>
  <c r="T1026" s="1"/>
  <c r="S1090"/>
  <c r="T1090" s="1"/>
  <c r="S1154"/>
  <c r="T1154" s="1"/>
  <c r="S1223"/>
  <c r="T1223" s="1"/>
  <c r="S1287"/>
  <c r="T1287" s="1"/>
  <c r="S767"/>
  <c r="T767" s="1"/>
  <c r="S960"/>
  <c r="T960" s="1"/>
  <c r="S1197"/>
  <c r="T1197" s="1"/>
  <c r="S1319"/>
  <c r="T1319" s="1"/>
  <c r="S1389"/>
  <c r="T1389" s="1"/>
  <c r="S1453"/>
  <c r="T1453" s="1"/>
  <c r="S1517"/>
  <c r="T1517" s="1"/>
  <c r="S973"/>
  <c r="T973" s="1"/>
  <c r="S1209"/>
  <c r="T1209" s="1"/>
  <c r="S1324"/>
  <c r="T1324" s="1"/>
  <c r="S1390"/>
  <c r="T1390" s="1"/>
  <c r="S1459"/>
  <c r="T1459" s="1"/>
  <c r="S1523"/>
  <c r="T1523" s="1"/>
  <c r="S811"/>
  <c r="T811" s="1"/>
  <c r="S1093"/>
  <c r="T1093" s="1"/>
  <c r="S1280"/>
  <c r="T1280" s="1"/>
  <c r="S1364"/>
  <c r="T1364" s="1"/>
  <c r="S1428"/>
  <c r="T1428" s="1"/>
  <c r="S1492"/>
  <c r="T1492" s="1"/>
  <c r="S936"/>
  <c r="T936" s="1"/>
  <c r="S1196"/>
  <c r="T1196" s="1"/>
  <c r="S1322"/>
  <c r="T1322" s="1"/>
  <c r="S1386"/>
  <c r="T1386" s="1"/>
  <c r="S1560"/>
  <c r="T1560" s="1"/>
  <c r="S1630"/>
  <c r="T1630" s="1"/>
  <c r="S1699"/>
  <c r="T1699" s="1"/>
  <c r="S1763"/>
  <c r="T1763" s="1"/>
  <c r="S1830"/>
  <c r="T1830" s="1"/>
  <c r="S1910"/>
  <c r="T1910" s="1"/>
  <c r="S1450"/>
  <c r="T1450" s="1"/>
  <c r="S1585"/>
  <c r="T1585" s="1"/>
  <c r="S1649"/>
  <c r="T1649" s="1"/>
  <c r="S1713"/>
  <c r="T1713" s="1"/>
  <c r="S1777"/>
  <c r="T1777" s="1"/>
  <c r="S1841"/>
  <c r="T1841" s="1"/>
  <c r="S1916"/>
  <c r="T1916" s="1"/>
  <c r="S1537"/>
  <c r="T1537" s="1"/>
  <c r="S1615"/>
  <c r="T1615" s="1"/>
  <c r="S1679"/>
  <c r="T1679" s="1"/>
  <c r="S1746"/>
  <c r="T1746" s="1"/>
  <c r="S1810"/>
  <c r="T1810" s="1"/>
  <c r="S1879"/>
  <c r="T1879" s="1"/>
  <c r="S1951"/>
  <c r="T1951" s="1"/>
  <c r="S1559"/>
  <c r="T1559" s="1"/>
  <c r="S1637"/>
  <c r="T1637" s="1"/>
  <c r="S1701"/>
  <c r="T1701" s="1"/>
  <c r="S1765"/>
  <c r="T1765" s="1"/>
  <c r="S1840"/>
  <c r="T1840" s="1"/>
  <c r="S1909"/>
  <c r="T1909" s="1"/>
  <c r="S1971"/>
  <c r="T1971" s="1"/>
  <c r="S2046"/>
  <c r="T2046" s="1"/>
  <c r="S2110"/>
  <c r="T2110" s="1"/>
  <c r="S2238"/>
  <c r="T2238" s="1"/>
  <c r="S1980"/>
  <c r="T1980" s="1"/>
  <c r="S2049"/>
  <c r="T2049" s="1"/>
  <c r="S2113"/>
  <c r="T2113" s="1"/>
  <c r="S2177"/>
  <c r="T2177" s="1"/>
  <c r="S2241"/>
  <c r="T2241" s="1"/>
  <c r="S2290"/>
  <c r="T2290" s="1"/>
  <c r="S2322"/>
  <c r="T2322" s="1"/>
  <c r="S2002"/>
  <c r="T2002" s="1"/>
  <c r="S2071"/>
  <c r="T2071" s="1"/>
  <c r="S2210"/>
  <c r="T2210" s="1"/>
  <c r="S2274"/>
  <c r="T2274" s="1"/>
  <c r="S2029"/>
  <c r="T2029" s="1"/>
  <c r="S2093"/>
  <c r="T2093" s="1"/>
  <c r="S2224"/>
  <c r="T2224" s="1"/>
  <c r="S2283"/>
  <c r="T2283" s="1"/>
  <c r="S2335"/>
  <c r="T2335" s="1"/>
  <c r="S2399"/>
  <c r="T2399" s="1"/>
  <c r="S2527"/>
  <c r="T2527" s="1"/>
  <c r="S2591"/>
  <c r="T2591" s="1"/>
  <c r="S2655"/>
  <c r="T2655" s="1"/>
  <c r="S2376"/>
  <c r="T2376" s="1"/>
  <c r="S2440"/>
  <c r="T2440" s="1"/>
  <c r="S2504"/>
  <c r="T2504" s="1"/>
  <c r="S2568"/>
  <c r="S2632"/>
  <c r="T2632" s="1"/>
  <c r="S2696"/>
  <c r="T2696" s="1"/>
  <c r="S2345"/>
  <c r="T2345" s="1"/>
  <c r="S2413"/>
  <c r="T2413" s="1"/>
  <c r="S2517"/>
  <c r="T2517" s="1"/>
  <c r="S2549"/>
  <c r="T2549" s="1"/>
  <c r="S2581"/>
  <c r="T2581" s="1"/>
  <c r="S2613"/>
  <c r="T2613" s="1"/>
  <c r="S2645"/>
  <c r="T2645" s="1"/>
  <c r="S2677"/>
  <c r="T2677" s="1"/>
  <c r="S2709"/>
  <c r="T2709" s="1"/>
  <c r="S2742"/>
  <c r="T2742" s="1"/>
  <c r="S2774"/>
  <c r="T2774" s="1"/>
  <c r="S2806"/>
  <c r="T2806" s="1"/>
  <c r="S2838"/>
  <c r="T2838" s="1"/>
  <c r="S2870"/>
  <c r="T2870" s="1"/>
  <c r="S2894"/>
  <c r="T2894" s="1"/>
  <c r="S2915"/>
  <c r="T2915" s="1"/>
  <c r="S2934"/>
  <c r="T2934" s="1"/>
  <c r="S2958"/>
  <c r="T2958" s="1"/>
  <c r="S2979"/>
  <c r="T2979" s="1"/>
  <c r="S2998"/>
  <c r="T2998" s="1"/>
  <c r="S3022"/>
  <c r="T3022" s="1"/>
  <c r="S3043"/>
  <c r="T3043" s="1"/>
  <c r="S3062"/>
  <c r="T3062" s="1"/>
  <c r="S3086"/>
  <c r="T3086" s="1"/>
  <c r="S3107"/>
  <c r="T3107" s="1"/>
  <c r="S3126"/>
  <c r="T3126" s="1"/>
  <c r="S3150"/>
  <c r="T3150" s="1"/>
  <c r="S3171"/>
  <c r="T3171" s="1"/>
  <c r="S3190"/>
  <c r="T3190" s="1"/>
  <c r="S3214"/>
  <c r="T3214" s="1"/>
  <c r="S3240"/>
  <c r="T3240" s="1"/>
  <c r="S3261"/>
  <c r="T3261" s="1"/>
  <c r="S3285"/>
  <c r="T3285" s="1"/>
  <c r="S3304"/>
  <c r="T3304" s="1"/>
  <c r="S3325"/>
  <c r="T3325" s="1"/>
  <c r="S3349"/>
  <c r="T3349" s="1"/>
  <c r="S3368"/>
  <c r="T3368" s="1"/>
  <c r="S3387"/>
  <c r="T3387" s="1"/>
  <c r="S3403"/>
  <c r="T3403" s="1"/>
  <c r="S3417"/>
  <c r="T3417" s="1"/>
  <c r="S3429"/>
  <c r="T3429" s="1"/>
  <c r="S3443"/>
  <c r="T3443" s="1"/>
  <c r="S3453"/>
  <c r="T3453" s="1"/>
  <c r="S3463"/>
  <c r="T3463" s="1"/>
  <c r="S3475"/>
  <c r="T3475" s="1"/>
  <c r="S3487"/>
  <c r="T3487" s="1"/>
  <c r="S3497"/>
  <c r="T3497" s="1"/>
  <c r="S3509"/>
  <c r="T3509" s="1"/>
  <c r="S3517"/>
  <c r="T3517" s="1"/>
  <c r="S3525"/>
  <c r="T3525" s="1"/>
  <c r="S3533"/>
  <c r="T3533" s="1"/>
  <c r="S3541"/>
  <c r="T3541" s="1"/>
  <c r="S3551"/>
  <c r="T3551" s="1"/>
  <c r="S3559"/>
  <c r="T3559" s="1"/>
  <c r="S3567"/>
  <c r="T3567" s="1"/>
  <c r="S3575"/>
  <c r="T3575" s="1"/>
  <c r="S3583"/>
  <c r="T3583" s="1"/>
  <c r="S3591"/>
  <c r="T3591" s="1"/>
  <c r="S3601"/>
  <c r="T3601" s="1"/>
  <c r="S3609"/>
  <c r="S3617"/>
  <c r="T3617" s="1"/>
  <c r="S3625"/>
  <c r="T3625" s="1"/>
  <c r="S3633"/>
  <c r="T3633" s="1"/>
  <c r="S3643"/>
  <c r="T3643" s="1"/>
  <c r="S3651"/>
  <c r="T3651" s="1"/>
  <c r="S3659"/>
  <c r="T3659" s="1"/>
  <c r="S3667"/>
  <c r="T3667" s="1"/>
  <c r="S3675"/>
  <c r="T3675" s="1"/>
  <c r="S3683"/>
  <c r="T3683" s="1"/>
  <c r="S3691"/>
  <c r="T3691" s="1"/>
  <c r="S3699"/>
  <c r="T3699" s="1"/>
  <c r="S3707"/>
  <c r="T3707" s="1"/>
  <c r="S3715"/>
  <c r="T3715" s="1"/>
  <c r="S3723"/>
  <c r="T3723" s="1"/>
  <c r="S3731"/>
  <c r="T3731" s="1"/>
  <c r="S3739"/>
  <c r="T3739" s="1"/>
  <c r="S3747"/>
  <c r="T3747" s="1"/>
  <c r="S3757"/>
  <c r="S3765"/>
  <c r="T3765" s="1"/>
  <c r="S3773"/>
  <c r="T3773" s="1"/>
  <c r="S3781"/>
  <c r="T3781" s="1"/>
  <c r="S3789"/>
  <c r="T3789" s="1"/>
  <c r="S3797"/>
  <c r="T3797" s="1"/>
  <c r="S3805"/>
  <c r="T3805" s="1"/>
  <c r="S3813"/>
  <c r="T3813" s="1"/>
  <c r="S3821"/>
  <c r="T3821" s="1"/>
  <c r="S3829"/>
  <c r="T3829" s="1"/>
  <c r="S3837"/>
  <c r="S3845"/>
  <c r="T3845" s="1"/>
  <c r="S3853"/>
  <c r="T3853" s="1"/>
  <c r="S3861"/>
  <c r="T3861" s="1"/>
  <c r="S3869"/>
  <c r="T3869" s="1"/>
  <c r="S3881"/>
  <c r="T3881" s="1"/>
  <c r="S3891"/>
  <c r="T3891" s="1"/>
  <c r="S3899"/>
  <c r="T3899" s="1"/>
  <c r="S3907"/>
  <c r="T3907" s="1"/>
  <c r="S3915"/>
  <c r="T3915" s="1"/>
  <c r="S3925"/>
  <c r="S3933"/>
  <c r="T3933" s="1"/>
  <c r="S3943"/>
  <c r="T3943" s="1"/>
  <c r="S3951"/>
  <c r="T3951" s="1"/>
  <c r="S3961"/>
  <c r="S3969"/>
  <c r="T3969" s="1"/>
  <c r="S3977"/>
  <c r="T3977" s="1"/>
  <c r="S3985"/>
  <c r="T3985" s="1"/>
  <c r="S3993"/>
  <c r="T3993" s="1"/>
  <c r="S4001"/>
  <c r="T4001" s="1"/>
  <c r="S4009"/>
  <c r="T4009" s="1"/>
  <c r="S4017"/>
  <c r="T4017" s="1"/>
  <c r="S4025"/>
  <c r="T4025" s="1"/>
  <c r="S4033"/>
  <c r="T4033" s="1"/>
  <c r="S4041"/>
  <c r="T4041" s="1"/>
  <c r="S2313"/>
  <c r="T2313" s="1"/>
  <c r="S2338"/>
  <c r="T2338" s="1"/>
  <c r="S2354"/>
  <c r="S2370"/>
  <c r="S2386"/>
  <c r="T2386" s="1"/>
  <c r="S2402"/>
  <c r="T2402" s="1"/>
  <c r="S2418"/>
  <c r="T2418" s="1"/>
  <c r="S2434"/>
  <c r="T2434" s="1"/>
  <c r="S2502"/>
  <c r="T2502" s="1"/>
  <c r="S2518"/>
  <c r="T2518" s="1"/>
  <c r="S2538"/>
  <c r="T2538" s="1"/>
  <c r="S2554"/>
  <c r="T2554" s="1"/>
  <c r="S2570"/>
  <c r="T2570" s="1"/>
  <c r="S2586"/>
  <c r="T2586" s="1"/>
  <c r="S2602"/>
  <c r="T2602" s="1"/>
  <c r="S2618"/>
  <c r="T2618" s="1"/>
  <c r="S2634"/>
  <c r="T2634" s="1"/>
  <c r="S2650"/>
  <c r="T2650" s="1"/>
  <c r="S2675"/>
  <c r="T2675" s="1"/>
  <c r="S2707"/>
  <c r="T2707" s="1"/>
  <c r="S2737"/>
  <c r="T2737" s="1"/>
  <c r="S2762"/>
  <c r="T2762" s="1"/>
  <c r="S2780"/>
  <c r="T2780" s="1"/>
  <c r="S2801"/>
  <c r="T2801" s="1"/>
  <c r="S2826"/>
  <c r="T2826" s="1"/>
  <c r="S2844"/>
  <c r="T2844" s="1"/>
  <c r="S2865"/>
  <c r="T2865" s="1"/>
  <c r="S2890"/>
  <c r="T2890" s="1"/>
  <c r="S2908"/>
  <c r="T2908" s="1"/>
  <c r="S2929"/>
  <c r="T2929" s="1"/>
  <c r="S2954"/>
  <c r="T2954" s="1"/>
  <c r="S2972"/>
  <c r="T2972" s="1"/>
  <c r="S2993"/>
  <c r="T2993" s="1"/>
  <c r="S3018"/>
  <c r="T3018" s="1"/>
  <c r="S3036"/>
  <c r="T3036" s="1"/>
  <c r="S3057"/>
  <c r="T3057" s="1"/>
  <c r="S3082"/>
  <c r="T3082" s="1"/>
  <c r="S3100"/>
  <c r="T3100" s="1"/>
  <c r="S3121"/>
  <c r="T3121" s="1"/>
  <c r="S3146"/>
  <c r="T3146" s="1"/>
  <c r="S3164"/>
  <c r="T3164" s="1"/>
  <c r="S2662"/>
  <c r="T2662" s="1"/>
  <c r="S2694"/>
  <c r="T2694" s="1"/>
  <c r="S2724"/>
  <c r="T2724" s="1"/>
  <c r="S2745"/>
  <c r="T2745" s="1"/>
  <c r="S2773"/>
  <c r="T2773" s="1"/>
  <c r="S2791"/>
  <c r="T2791" s="1"/>
  <c r="S2816"/>
  <c r="T2816" s="1"/>
  <c r="S2837"/>
  <c r="T2837" s="1"/>
  <c r="S2855"/>
  <c r="S2880"/>
  <c r="T2880" s="1"/>
  <c r="S2901"/>
  <c r="T2901" s="1"/>
  <c r="S2919"/>
  <c r="T2919" s="1"/>
  <c r="S2944"/>
  <c r="T2944" s="1"/>
  <c r="S2965"/>
  <c r="T2965" s="1"/>
  <c r="S2983"/>
  <c r="T2983" s="1"/>
  <c r="S3008"/>
  <c r="T3008" s="1"/>
  <c r="S3029"/>
  <c r="T3029" s="1"/>
  <c r="S3047"/>
  <c r="T3047" s="1"/>
  <c r="S3072"/>
  <c r="T3072" s="1"/>
  <c r="S3093"/>
  <c r="T3093" s="1"/>
  <c r="S3111"/>
  <c r="T3111" s="1"/>
  <c r="S3136"/>
  <c r="T3136" s="1"/>
  <c r="S3157"/>
  <c r="T3157" s="1"/>
  <c r="S3175"/>
  <c r="T3175" s="1"/>
  <c r="S3200"/>
  <c r="T3200" s="1"/>
  <c r="S3225"/>
  <c r="T3225" s="1"/>
  <c r="S3242"/>
  <c r="T3242" s="1"/>
  <c r="S3263"/>
  <c r="T3263" s="1"/>
  <c r="S3292"/>
  <c r="T3292" s="1"/>
  <c r="S2671"/>
  <c r="T2671" s="1"/>
  <c r="S2703"/>
  <c r="T2703" s="1"/>
  <c r="S2735"/>
  <c r="T2735" s="1"/>
  <c r="S2760"/>
  <c r="T2760" s="1"/>
  <c r="S2781"/>
  <c r="T2781" s="1"/>
  <c r="S2799"/>
  <c r="T2799" s="1"/>
  <c r="S2824"/>
  <c r="T2824" s="1"/>
  <c r="S2845"/>
  <c r="T2845" s="1"/>
  <c r="S2863"/>
  <c r="T2863" s="1"/>
  <c r="S2888"/>
  <c r="T2888" s="1"/>
  <c r="S2909"/>
  <c r="T2909" s="1"/>
  <c r="S2927"/>
  <c r="T2927" s="1"/>
  <c r="S2952"/>
  <c r="T2952" s="1"/>
  <c r="S2973"/>
  <c r="T2973" s="1"/>
  <c r="S2991"/>
  <c r="T2991" s="1"/>
  <c r="S3016"/>
  <c r="T3016" s="1"/>
  <c r="S3037"/>
  <c r="T3037" s="1"/>
  <c r="S3055"/>
  <c r="T3055" s="1"/>
  <c r="S3080"/>
  <c r="T3080" s="1"/>
  <c r="S3101"/>
  <c r="T3101" s="1"/>
  <c r="S3119"/>
  <c r="T3119" s="1"/>
  <c r="S3144"/>
  <c r="T3144" s="1"/>
  <c r="S3165"/>
  <c r="T3165" s="1"/>
  <c r="S3183"/>
  <c r="T3183" s="1"/>
  <c r="S3212"/>
  <c r="T3212" s="1"/>
  <c r="S3239"/>
  <c r="T3239" s="1"/>
  <c r="S3257"/>
  <c r="T3257" s="1"/>
  <c r="S3282"/>
  <c r="T3282" s="1"/>
  <c r="S3303"/>
  <c r="T3303" s="1"/>
  <c r="S3332"/>
  <c r="T3332" s="1"/>
  <c r="S3350"/>
  <c r="T3350" s="1"/>
  <c r="S3371"/>
  <c r="T3371" s="1"/>
  <c r="S3408"/>
  <c r="T3408" s="1"/>
  <c r="S3440"/>
  <c r="T3440" s="1"/>
  <c r="S3472"/>
  <c r="T3472" s="1"/>
  <c r="S3504"/>
  <c r="T3504" s="1"/>
  <c r="S3536"/>
  <c r="T3536" s="1"/>
  <c r="S3568"/>
  <c r="T3568" s="1"/>
  <c r="S3608"/>
  <c r="T3608" s="1"/>
  <c r="S3648"/>
  <c r="T3648" s="1"/>
  <c r="S3680"/>
  <c r="T3680" s="1"/>
  <c r="S3720"/>
  <c r="T3720" s="1"/>
  <c r="S3752"/>
  <c r="T3752" s="1"/>
  <c r="S3784"/>
  <c r="T3784" s="1"/>
  <c r="S3816"/>
  <c r="T3816" s="1"/>
  <c r="S3848"/>
  <c r="S3880"/>
  <c r="T3880" s="1"/>
  <c r="S3920"/>
  <c r="T3920" s="1"/>
  <c r="S3952"/>
  <c r="T3952" s="1"/>
  <c r="S3984"/>
  <c r="S4016"/>
  <c r="T4016" s="1"/>
  <c r="S4048"/>
  <c r="T4048" s="1"/>
  <c r="S4056"/>
  <c r="T4056" s="1"/>
  <c r="S4064"/>
  <c r="T4064" s="1"/>
  <c r="S4072"/>
  <c r="T4072" s="1"/>
  <c r="S4080"/>
  <c r="T4080" s="1"/>
  <c r="S4088"/>
  <c r="T4088" s="1"/>
  <c r="S4096"/>
  <c r="T4096" s="1"/>
  <c r="S4104"/>
  <c r="T4104" s="1"/>
  <c r="S4112"/>
  <c r="S4120"/>
  <c r="T4120" s="1"/>
  <c r="S4128"/>
  <c r="T4128" s="1"/>
  <c r="S4136"/>
  <c r="T4136" s="1"/>
  <c r="S4144"/>
  <c r="T4144" s="1"/>
  <c r="S4152"/>
  <c r="T4152" s="1"/>
  <c r="S4160"/>
  <c r="T4160" s="1"/>
  <c r="S4168"/>
  <c r="T4168" s="1"/>
  <c r="S4176"/>
  <c r="T4176" s="1"/>
  <c r="S4184"/>
  <c r="T4184" s="1"/>
  <c r="S4192"/>
  <c r="T4192" s="1"/>
  <c r="S4200"/>
  <c r="T4200" s="1"/>
  <c r="S4208"/>
  <c r="T4208" s="1"/>
  <c r="S4216"/>
  <c r="T4216" s="1"/>
  <c r="S4224"/>
  <c r="T4224" s="1"/>
  <c r="S4232"/>
  <c r="T4232" s="1"/>
  <c r="S4240"/>
  <c r="T4240" s="1"/>
  <c r="S4248"/>
  <c r="T4248" s="1"/>
  <c r="S4256"/>
  <c r="T4256" s="1"/>
  <c r="S4264"/>
  <c r="T4264" s="1"/>
  <c r="S4272"/>
  <c r="T4272" s="1"/>
  <c r="S4280"/>
  <c r="T4280" s="1"/>
  <c r="S4288"/>
  <c r="T4288" s="1"/>
  <c r="S4296"/>
  <c r="T4296" s="1"/>
  <c r="S4304"/>
  <c r="T4304" s="1"/>
  <c r="S4312"/>
  <c r="T4312" s="1"/>
  <c r="S4320"/>
  <c r="S4328"/>
  <c r="T4328" s="1"/>
  <c r="S4336"/>
  <c r="T4336" s="1"/>
  <c r="S4344"/>
  <c r="T4344" s="1"/>
  <c r="S4352"/>
  <c r="T4352" s="1"/>
  <c r="S4360"/>
  <c r="T4360" s="1"/>
  <c r="S4368"/>
  <c r="T4368" s="1"/>
  <c r="S4376"/>
  <c r="T4376" s="1"/>
  <c r="S4384"/>
  <c r="T4384" s="1"/>
  <c r="S4392"/>
  <c r="T4392" s="1"/>
  <c r="S4400"/>
  <c r="T4400" s="1"/>
  <c r="S4408"/>
  <c r="T4408" s="1"/>
  <c r="S4416"/>
  <c r="T4416" s="1"/>
  <c r="S4424"/>
  <c r="T4424" s="1"/>
  <c r="S4432"/>
  <c r="S4440"/>
  <c r="T4440" s="1"/>
  <c r="S4448"/>
  <c r="T4448" s="1"/>
  <c r="S4456"/>
  <c r="T4456" s="1"/>
  <c r="S4464"/>
  <c r="T4464" s="1"/>
  <c r="S4472"/>
  <c r="T4472" s="1"/>
  <c r="S4480"/>
  <c r="T4480" s="1"/>
  <c r="S4488"/>
  <c r="T4488" s="1"/>
  <c r="S4496"/>
  <c r="T4496" s="1"/>
  <c r="S4504"/>
  <c r="T4504" s="1"/>
  <c r="S4512"/>
  <c r="T4512" s="1"/>
  <c r="S131"/>
  <c r="T131" s="1"/>
  <c r="S80"/>
  <c r="T80" s="1"/>
  <c r="S69"/>
  <c r="T69" s="1"/>
  <c r="S133"/>
  <c r="T133" s="1"/>
  <c r="S197"/>
  <c r="T197" s="1"/>
  <c r="S176"/>
  <c r="T176" s="1"/>
  <c r="S257"/>
  <c r="T257" s="1"/>
  <c r="S138"/>
  <c r="T138" s="1"/>
  <c r="S223"/>
  <c r="T223" s="1"/>
  <c r="S287"/>
  <c r="T287" s="1"/>
  <c r="S190"/>
  <c r="T190" s="1"/>
  <c r="S280"/>
  <c r="T280" s="1"/>
  <c r="S359"/>
  <c r="T359" s="1"/>
  <c r="S423"/>
  <c r="T423" s="1"/>
  <c r="S487"/>
  <c r="T487" s="1"/>
  <c r="S543"/>
  <c r="T543" s="1"/>
  <c r="S575"/>
  <c r="T575" s="1"/>
  <c r="S607"/>
  <c r="T607" s="1"/>
  <c r="S639"/>
  <c r="T639" s="1"/>
  <c r="S671"/>
  <c r="T671" s="1"/>
  <c r="S703"/>
  <c r="T703" s="1"/>
  <c r="S78"/>
  <c r="T78" s="1"/>
  <c r="S301"/>
  <c r="T301" s="1"/>
  <c r="S368"/>
  <c r="T368" s="1"/>
  <c r="S432"/>
  <c r="T432" s="1"/>
  <c r="S272"/>
  <c r="T272" s="1"/>
  <c r="S347"/>
  <c r="T347" s="1"/>
  <c r="S411"/>
  <c r="T411" s="1"/>
  <c r="S478"/>
  <c r="T478" s="1"/>
  <c r="S538"/>
  <c r="T538" s="1"/>
  <c r="S570"/>
  <c r="T570" s="1"/>
  <c r="S602"/>
  <c r="T602" s="1"/>
  <c r="S634"/>
  <c r="T634" s="1"/>
  <c r="S329"/>
  <c r="S528"/>
  <c r="T528" s="1"/>
  <c r="S321"/>
  <c r="T321" s="1"/>
  <c r="S513"/>
  <c r="T513" s="1"/>
  <c r="S377"/>
  <c r="T377" s="1"/>
  <c r="S293"/>
  <c r="T293" s="1"/>
  <c r="S505"/>
  <c r="T505" s="1"/>
  <c r="S401"/>
  <c r="T401" s="1"/>
  <c r="S752"/>
  <c r="T752" s="1"/>
  <c r="S816"/>
  <c r="T816" s="1"/>
  <c r="S880"/>
  <c r="T880" s="1"/>
  <c r="S942"/>
  <c r="T942" s="1"/>
  <c r="S1006"/>
  <c r="T1006" s="1"/>
  <c r="S1070"/>
  <c r="T1070" s="1"/>
  <c r="S1134"/>
  <c r="T1134" s="1"/>
  <c r="S1198"/>
  <c r="T1198" s="1"/>
  <c r="S1262"/>
  <c r="T1262" s="1"/>
  <c r="S1326"/>
  <c r="T1326" s="1"/>
  <c r="S789"/>
  <c r="T789" s="1"/>
  <c r="S853"/>
  <c r="T853" s="1"/>
  <c r="S917"/>
  <c r="T917" s="1"/>
  <c r="S980"/>
  <c r="T980" s="1"/>
  <c r="S1044"/>
  <c r="T1044" s="1"/>
  <c r="S1113"/>
  <c r="T1113" s="1"/>
  <c r="S1177"/>
  <c r="T1177" s="1"/>
  <c r="S786"/>
  <c r="T786" s="1"/>
  <c r="S850"/>
  <c r="T850" s="1"/>
  <c r="S914"/>
  <c r="T914" s="1"/>
  <c r="S978"/>
  <c r="T978" s="1"/>
  <c r="S1042"/>
  <c r="T1042" s="1"/>
  <c r="S1106"/>
  <c r="T1106" s="1"/>
  <c r="S1170"/>
  <c r="T1170" s="1"/>
  <c r="S1239"/>
  <c r="T1239" s="1"/>
  <c r="S1306"/>
  <c r="T1306" s="1"/>
  <c r="S783"/>
  <c r="T783" s="1"/>
  <c r="S1024"/>
  <c r="T1024" s="1"/>
  <c r="S1229"/>
  <c r="T1229" s="1"/>
  <c r="S1341"/>
  <c r="T1341" s="1"/>
  <c r="S1405"/>
  <c r="T1405" s="1"/>
  <c r="S1469"/>
  <c r="T1469" s="1"/>
  <c r="S1533"/>
  <c r="T1533" s="1"/>
  <c r="S1037"/>
  <c r="T1037" s="1"/>
  <c r="S1241"/>
  <c r="T1241" s="1"/>
  <c r="S1342"/>
  <c r="T1342" s="1"/>
  <c r="S1411"/>
  <c r="T1411" s="1"/>
  <c r="S1475"/>
  <c r="T1475" s="1"/>
  <c r="S1539"/>
  <c r="T1539" s="1"/>
  <c r="S875"/>
  <c r="T875" s="1"/>
  <c r="S1157"/>
  <c r="T1157" s="1"/>
  <c r="S1314"/>
  <c r="T1314" s="1"/>
  <c r="S1380"/>
  <c r="T1380" s="1"/>
  <c r="S1444"/>
  <c r="T1444" s="1"/>
  <c r="S1508"/>
  <c r="T1508" s="1"/>
  <c r="S1000"/>
  <c r="T1000" s="1"/>
  <c r="S1228"/>
  <c r="T1228" s="1"/>
  <c r="S1338"/>
  <c r="T1338" s="1"/>
  <c r="S1426"/>
  <c r="T1426" s="1"/>
  <c r="S1581"/>
  <c r="T1581" s="1"/>
  <c r="S1646"/>
  <c r="T1646" s="1"/>
  <c r="S1715"/>
  <c r="T1715" s="1"/>
  <c r="S1779"/>
  <c r="T1779" s="1"/>
  <c r="S1851"/>
  <c r="T1851" s="1"/>
  <c r="S1926"/>
  <c r="T1926" s="1"/>
  <c r="S1514"/>
  <c r="T1514" s="1"/>
  <c r="S1601"/>
  <c r="T1601" s="1"/>
  <c r="S1665"/>
  <c r="T1665" s="1"/>
  <c r="S1729"/>
  <c r="T1729" s="1"/>
  <c r="S1793"/>
  <c r="T1793" s="1"/>
  <c r="S1865"/>
  <c r="T1865" s="1"/>
  <c r="S1940"/>
  <c r="T1940" s="1"/>
  <c r="S1562"/>
  <c r="T1562" s="1"/>
  <c r="S1631"/>
  <c r="T1631" s="1"/>
  <c r="S1695"/>
  <c r="T1695" s="1"/>
  <c r="S1762"/>
  <c r="T1762" s="1"/>
  <c r="S1826"/>
  <c r="T1826" s="1"/>
  <c r="S1898"/>
  <c r="T1898" s="1"/>
  <c r="S1434"/>
  <c r="T1434" s="1"/>
  <c r="S1589"/>
  <c r="T1589" s="1"/>
  <c r="S1653"/>
  <c r="T1653" s="1"/>
  <c r="S1717"/>
  <c r="T1717" s="1"/>
  <c r="S1781"/>
  <c r="T1781" s="1"/>
  <c r="S1856"/>
  <c r="T1856" s="1"/>
  <c r="S1925"/>
  <c r="T1925" s="1"/>
  <c r="S1990"/>
  <c r="T1990" s="1"/>
  <c r="S2062"/>
  <c r="T2062" s="1"/>
  <c r="S2190"/>
  <c r="T2190" s="1"/>
  <c r="S2254"/>
  <c r="T2254" s="1"/>
  <c r="S1996"/>
  <c r="T1996" s="1"/>
  <c r="S2065"/>
  <c r="T2065" s="1"/>
  <c r="S2193"/>
  <c r="T2193" s="1"/>
  <c r="S2257"/>
  <c r="T2257" s="1"/>
  <c r="S2298"/>
  <c r="T2298" s="1"/>
  <c r="S2330"/>
  <c r="T2330" s="1"/>
  <c r="S2018"/>
  <c r="T2018" s="1"/>
  <c r="S2087"/>
  <c r="T2087" s="1"/>
  <c r="S2226"/>
  <c r="T2226" s="1"/>
  <c r="S1976"/>
  <c r="T1976" s="1"/>
  <c r="S2045"/>
  <c r="T2045" s="1"/>
  <c r="S2112"/>
  <c r="T2112" s="1"/>
  <c r="S2176"/>
  <c r="T2176" s="1"/>
  <c r="S2240"/>
  <c r="T2240" s="1"/>
  <c r="S2291"/>
  <c r="T2291" s="1"/>
  <c r="S2351"/>
  <c r="S2415"/>
  <c r="T2415" s="1"/>
  <c r="S2543"/>
  <c r="T2543" s="1"/>
  <c r="S2607"/>
  <c r="T2607" s="1"/>
  <c r="S2325"/>
  <c r="T2325" s="1"/>
  <c r="S2392"/>
  <c r="T2392" s="1"/>
  <c r="S2520"/>
  <c r="T2520" s="1"/>
  <c r="S2584"/>
  <c r="T2584" s="1"/>
  <c r="S2648"/>
  <c r="T2648" s="1"/>
  <c r="S2712"/>
  <c r="T2712" s="1"/>
  <c r="S2361"/>
  <c r="S2429"/>
  <c r="T2429" s="1"/>
  <c r="S2529"/>
  <c r="T2529" s="1"/>
  <c r="S2561"/>
  <c r="T2561" s="1"/>
  <c r="S2593"/>
  <c r="T2593" s="1"/>
  <c r="S2625"/>
  <c r="T2625" s="1"/>
  <c r="S2657"/>
  <c r="T2657" s="1"/>
  <c r="S2689"/>
  <c r="T2689" s="1"/>
  <c r="S2723"/>
  <c r="T2723" s="1"/>
  <c r="S2755"/>
  <c r="T2755" s="1"/>
  <c r="S2787"/>
  <c r="T2787" s="1"/>
  <c r="S2819"/>
  <c r="T2819" s="1"/>
  <c r="S2851"/>
  <c r="S2878"/>
  <c r="T2878" s="1"/>
  <c r="S2899"/>
  <c r="T2899" s="1"/>
  <c r="S2918"/>
  <c r="T2918" s="1"/>
  <c r="S2942"/>
  <c r="T2942" s="1"/>
  <c r="S2963"/>
  <c r="T2963" s="1"/>
  <c r="S2982"/>
  <c r="T2982" s="1"/>
  <c r="S3006"/>
  <c r="T3006" s="1"/>
  <c r="S3027"/>
  <c r="T3027" s="1"/>
  <c r="S3046"/>
  <c r="T3046" s="1"/>
  <c r="S3070"/>
  <c r="T3070" s="1"/>
  <c r="S3091"/>
  <c r="T3091" s="1"/>
  <c r="S3110"/>
  <c r="T3110" s="1"/>
  <c r="S3134"/>
  <c r="T3134" s="1"/>
  <c r="S3155"/>
  <c r="T3155" s="1"/>
  <c r="S3174"/>
  <c r="T3174" s="1"/>
  <c r="S3198"/>
  <c r="S3219"/>
  <c r="T3219" s="1"/>
  <c r="S3245"/>
  <c r="T3245" s="1"/>
  <c r="S3269"/>
  <c r="T3269" s="1"/>
  <c r="S3288"/>
  <c r="T3288" s="1"/>
  <c r="S3309"/>
  <c r="T3309" s="1"/>
  <c r="S3333"/>
  <c r="T3333" s="1"/>
  <c r="S3352"/>
  <c r="T3352" s="1"/>
  <c r="S3376"/>
  <c r="T3376" s="1"/>
  <c r="S3393"/>
  <c r="T3393" s="1"/>
  <c r="S3405"/>
  <c r="T3405" s="1"/>
  <c r="S3419"/>
  <c r="T3419" s="1"/>
  <c r="S3435"/>
  <c r="T3435" s="1"/>
  <c r="S3445"/>
  <c r="T3445" s="1"/>
  <c r="S3467"/>
  <c r="T3467" s="1"/>
  <c r="S3477"/>
  <c r="T3477" s="1"/>
  <c r="S3489"/>
  <c r="T3489" s="1"/>
  <c r="S3501"/>
  <c r="T3501" s="1"/>
  <c r="S3511"/>
  <c r="T3511" s="1"/>
  <c r="S3519"/>
  <c r="T3519" s="1"/>
  <c r="S3527"/>
  <c r="T3527" s="1"/>
  <c r="S3535"/>
  <c r="T3535" s="1"/>
  <c r="S3543"/>
  <c r="T3543" s="1"/>
  <c r="S3553"/>
  <c r="T3553" s="1"/>
  <c r="S3561"/>
  <c r="T3561" s="1"/>
  <c r="S3569"/>
  <c r="T3569" s="1"/>
  <c r="S3577"/>
  <c r="T3577" s="1"/>
  <c r="S3585"/>
  <c r="T3585" s="1"/>
  <c r="S3593"/>
  <c r="T3593" s="1"/>
  <c r="S3603"/>
  <c r="T3603" s="1"/>
  <c r="S3611"/>
  <c r="T3611" s="1"/>
  <c r="S3619"/>
  <c r="T3619" s="1"/>
  <c r="S3627"/>
  <c r="T3627" s="1"/>
  <c r="S3635"/>
  <c r="T3635" s="1"/>
  <c r="S3645"/>
  <c r="T3645" s="1"/>
  <c r="S3653"/>
  <c r="T3653" s="1"/>
  <c r="S3661"/>
  <c r="T3661" s="1"/>
  <c r="S3669"/>
  <c r="T3669" s="1"/>
  <c r="S3677"/>
  <c r="T3677" s="1"/>
  <c r="S3685"/>
  <c r="T3685" s="1"/>
  <c r="S3693"/>
  <c r="T3693" s="1"/>
  <c r="S3701"/>
  <c r="T3701" s="1"/>
  <c r="S3709"/>
  <c r="T3709" s="1"/>
  <c r="S3717"/>
  <c r="T3717" s="1"/>
  <c r="S3725"/>
  <c r="T3725" s="1"/>
  <c r="S3733"/>
  <c r="T3733" s="1"/>
  <c r="S3741"/>
  <c r="T3741" s="1"/>
  <c r="S3751"/>
  <c r="T3751" s="1"/>
  <c r="S3759"/>
  <c r="T3759" s="1"/>
  <c r="S3767"/>
  <c r="T3767" s="1"/>
  <c r="S3775"/>
  <c r="T3775" s="1"/>
  <c r="S3783"/>
  <c r="T3783" s="1"/>
  <c r="S3791"/>
  <c r="T3791" s="1"/>
  <c r="S3799"/>
  <c r="T3799" s="1"/>
  <c r="S3807"/>
  <c r="T3807" s="1"/>
  <c r="S3815"/>
  <c r="T3815" s="1"/>
  <c r="S3823"/>
  <c r="T3823" s="1"/>
  <c r="S3831"/>
  <c r="T3831" s="1"/>
  <c r="S3839"/>
  <c r="T3839" s="1"/>
  <c r="S3847"/>
  <c r="T3847" s="1"/>
  <c r="S3855"/>
  <c r="T3855" s="1"/>
  <c r="S3863"/>
  <c r="T3863" s="1"/>
  <c r="S3873"/>
  <c r="T3873" s="1"/>
  <c r="S3885"/>
  <c r="T3885" s="1"/>
  <c r="S3893"/>
  <c r="T3893" s="1"/>
  <c r="S3901"/>
  <c r="T3901" s="1"/>
  <c r="S3909"/>
  <c r="T3909" s="1"/>
  <c r="S3917"/>
  <c r="T3917" s="1"/>
  <c r="S3927"/>
  <c r="T3927" s="1"/>
  <c r="S3937"/>
  <c r="T3937" s="1"/>
  <c r="S3945"/>
  <c r="T3945" s="1"/>
  <c r="S3953"/>
  <c r="T3953" s="1"/>
  <c r="S3963"/>
  <c r="T3963" s="1"/>
  <c r="S3971"/>
  <c r="T3971" s="1"/>
  <c r="S3979"/>
  <c r="T3979" s="1"/>
  <c r="S3987"/>
  <c r="T3987" s="1"/>
  <c r="S3995"/>
  <c r="T3995" s="1"/>
  <c r="S4003"/>
  <c r="T4003" s="1"/>
  <c r="S4011"/>
  <c r="T4011" s="1"/>
  <c r="S4019"/>
  <c r="T4019" s="1"/>
  <c r="S4027"/>
  <c r="T4027" s="1"/>
  <c r="S4035"/>
  <c r="T4035" s="1"/>
  <c r="S4043"/>
  <c r="T4043" s="1"/>
  <c r="S2321"/>
  <c r="T2321" s="1"/>
  <c r="S2342"/>
  <c r="T2342" s="1"/>
  <c r="S2358"/>
  <c r="S2374"/>
  <c r="S2390"/>
  <c r="T2390" s="1"/>
  <c r="S2406"/>
  <c r="T2406" s="1"/>
  <c r="S2422"/>
  <c r="T2422" s="1"/>
  <c r="S2438"/>
  <c r="T2438" s="1"/>
  <c r="S2506"/>
  <c r="T2506" s="1"/>
  <c r="S2526"/>
  <c r="T2526" s="1"/>
  <c r="S2542"/>
  <c r="T2542" s="1"/>
  <c r="S2558"/>
  <c r="T2558" s="1"/>
  <c r="S2574"/>
  <c r="T2574" s="1"/>
  <c r="S2590"/>
  <c r="T2590" s="1"/>
  <c r="S2606"/>
  <c r="T2606" s="1"/>
  <c r="S2622"/>
  <c r="T2622" s="1"/>
  <c r="S2638"/>
  <c r="T2638" s="1"/>
  <c r="S2654"/>
  <c r="T2654" s="1"/>
  <c r="S2683"/>
  <c r="T2683" s="1"/>
  <c r="S2715"/>
  <c r="T2715" s="1"/>
  <c r="S2744"/>
  <c r="T2744" s="1"/>
  <c r="S2765"/>
  <c r="T2765" s="1"/>
  <c r="S2783"/>
  <c r="T2783" s="1"/>
  <c r="S2808"/>
  <c r="T2808" s="1"/>
  <c r="S2829"/>
  <c r="T2829" s="1"/>
  <c r="S2847"/>
  <c r="T2847" s="1"/>
  <c r="S2872"/>
  <c r="T2872" s="1"/>
  <c r="S2893"/>
  <c r="T2893" s="1"/>
  <c r="S2911"/>
  <c r="T2911" s="1"/>
  <c r="S2936"/>
  <c r="S2957"/>
  <c r="T2957" s="1"/>
  <c r="S2975"/>
  <c r="T2975" s="1"/>
  <c r="S3000"/>
  <c r="T3000" s="1"/>
  <c r="S3021"/>
  <c r="T3021" s="1"/>
  <c r="S3039"/>
  <c r="T3039" s="1"/>
  <c r="S3064"/>
  <c r="T3064" s="1"/>
  <c r="S3085"/>
  <c r="T3085" s="1"/>
  <c r="S3103"/>
  <c r="T3103" s="1"/>
  <c r="S3128"/>
  <c r="T3128" s="1"/>
  <c r="S3149"/>
  <c r="T3149" s="1"/>
  <c r="S3167"/>
  <c r="T3167" s="1"/>
  <c r="S2670"/>
  <c r="T2670" s="1"/>
  <c r="S2702"/>
  <c r="T2702" s="1"/>
  <c r="S2729"/>
  <c r="T2729" s="1"/>
  <c r="S2752"/>
  <c r="T2752" s="1"/>
  <c r="S2777"/>
  <c r="T2777" s="1"/>
  <c r="S2802"/>
  <c r="T2802" s="1"/>
  <c r="S2820"/>
  <c r="T2820" s="1"/>
  <c r="S2841"/>
  <c r="T2841" s="1"/>
  <c r="S2866"/>
  <c r="T2866" s="1"/>
  <c r="S2884"/>
  <c r="T2884" s="1"/>
  <c r="S2905"/>
  <c r="T2905" s="1"/>
  <c r="S2930"/>
  <c r="T2930" s="1"/>
  <c r="S2948"/>
  <c r="T2948" s="1"/>
  <c r="S2969"/>
  <c r="T2969" s="1"/>
  <c r="S2994"/>
  <c r="T2994" s="1"/>
  <c r="S3012"/>
  <c r="T3012" s="1"/>
  <c r="S3033"/>
  <c r="T3033" s="1"/>
  <c r="S3058"/>
  <c r="T3058" s="1"/>
  <c r="S3076"/>
  <c r="T3076" s="1"/>
  <c r="S3097"/>
  <c r="T3097" s="1"/>
  <c r="S3122"/>
  <c r="T3122" s="1"/>
  <c r="S3140"/>
  <c r="T3140" s="1"/>
  <c r="S3161"/>
  <c r="T3161" s="1"/>
  <c r="S3186"/>
  <c r="T3186" s="1"/>
  <c r="S3204"/>
  <c r="T3204" s="1"/>
  <c r="S3228"/>
  <c r="T3228" s="1"/>
  <c r="S3246"/>
  <c r="T3246" s="1"/>
  <c r="S3267"/>
  <c r="T3267" s="1"/>
  <c r="S3295"/>
  <c r="T3295" s="1"/>
  <c r="S2679"/>
  <c r="T2679" s="1"/>
  <c r="S2711"/>
  <c r="T2711" s="1"/>
  <c r="S2746"/>
  <c r="T2746" s="1"/>
  <c r="S2764"/>
  <c r="T2764" s="1"/>
  <c r="S2785"/>
  <c r="T2785" s="1"/>
  <c r="S3967"/>
  <c r="T3967" s="1"/>
  <c r="S3999"/>
  <c r="T3999" s="1"/>
  <c r="S4031"/>
  <c r="T4031" s="1"/>
  <c r="S2350"/>
  <c r="S2414"/>
  <c r="T2414" s="1"/>
  <c r="S2550"/>
  <c r="T2550" s="1"/>
  <c r="S2614"/>
  <c r="T2614" s="1"/>
  <c r="S2699"/>
  <c r="T2699" s="1"/>
  <c r="S2797"/>
  <c r="T2797" s="1"/>
  <c r="S2879"/>
  <c r="T2879" s="1"/>
  <c r="S2968"/>
  <c r="T2968" s="1"/>
  <c r="S3053"/>
  <c r="T3053" s="1"/>
  <c r="S3135"/>
  <c r="T3135" s="1"/>
  <c r="S2718"/>
  <c r="T2718" s="1"/>
  <c r="S2809"/>
  <c r="T2809" s="1"/>
  <c r="S2898"/>
  <c r="T2898" s="1"/>
  <c r="S2980"/>
  <c r="T2980" s="1"/>
  <c r="S3065"/>
  <c r="T3065" s="1"/>
  <c r="S3154"/>
  <c r="T3154" s="1"/>
  <c r="S3235"/>
  <c r="T3235" s="1"/>
  <c r="S2695"/>
  <c r="T2695" s="1"/>
  <c r="S2796"/>
  <c r="T2796" s="1"/>
  <c r="S2842"/>
  <c r="T2842" s="1"/>
  <c r="S2881"/>
  <c r="T2881" s="1"/>
  <c r="S2924"/>
  <c r="T2924" s="1"/>
  <c r="S2970"/>
  <c r="T2970" s="1"/>
  <c r="S3009"/>
  <c r="T3009" s="1"/>
  <c r="S3052"/>
  <c r="T3052" s="1"/>
  <c r="S3098"/>
  <c r="T3098" s="1"/>
  <c r="S3137"/>
  <c r="T3137" s="1"/>
  <c r="S3180"/>
  <c r="T3180" s="1"/>
  <c r="S3236"/>
  <c r="T3236" s="1"/>
  <c r="S3275"/>
  <c r="T3275" s="1"/>
  <c r="S3318"/>
  <c r="T3318" s="1"/>
  <c r="S3367"/>
  <c r="T3367" s="1"/>
  <c r="S3432"/>
  <c r="T3432" s="1"/>
  <c r="S3496"/>
  <c r="T3496" s="1"/>
  <c r="S3560"/>
  <c r="T3560" s="1"/>
  <c r="S3632"/>
  <c r="T3632" s="1"/>
  <c r="S3704"/>
  <c r="T3704" s="1"/>
  <c r="S3776"/>
  <c r="T3776" s="1"/>
  <c r="S3840"/>
  <c r="T3840" s="1"/>
  <c r="S3904"/>
  <c r="T3904" s="1"/>
  <c r="S3976"/>
  <c r="T3976" s="1"/>
  <c r="S4040"/>
  <c r="T4040" s="1"/>
  <c r="S4062"/>
  <c r="T4062" s="1"/>
  <c r="S4078"/>
  <c r="T4078" s="1"/>
  <c r="S4094"/>
  <c r="T4094" s="1"/>
  <c r="S4110"/>
  <c r="T4110" s="1"/>
  <c r="S4126"/>
  <c r="T4126" s="1"/>
  <c r="S4142"/>
  <c r="T4142" s="1"/>
  <c r="S4158"/>
  <c r="T4158" s="1"/>
  <c r="S4174"/>
  <c r="S4190"/>
  <c r="T4190" s="1"/>
  <c r="S4206"/>
  <c r="T4206" s="1"/>
  <c r="S4222"/>
  <c r="T4222" s="1"/>
  <c r="S4238"/>
  <c r="T4238" s="1"/>
  <c r="S4254"/>
  <c r="T4254" s="1"/>
  <c r="S4270"/>
  <c r="T4270" s="1"/>
  <c r="S4286"/>
  <c r="T4286" s="1"/>
  <c r="S4302"/>
  <c r="T4302" s="1"/>
  <c r="S4318"/>
  <c r="T4318" s="1"/>
  <c r="S4334"/>
  <c r="S4350"/>
  <c r="T4350" s="1"/>
  <c r="S4366"/>
  <c r="T4366" s="1"/>
  <c r="S4382"/>
  <c r="T4382" s="1"/>
  <c r="S4398"/>
  <c r="T4398" s="1"/>
  <c r="S4414"/>
  <c r="T4414" s="1"/>
  <c r="S4430"/>
  <c r="T4430" s="1"/>
  <c r="S4446"/>
  <c r="T4446" s="1"/>
  <c r="S4462"/>
  <c r="S4478"/>
  <c r="T4478" s="1"/>
  <c r="S4494"/>
  <c r="S4510"/>
  <c r="T4510" s="1"/>
  <c r="S4520"/>
  <c r="T4520" s="1"/>
  <c r="S4528"/>
  <c r="T4528" s="1"/>
  <c r="S4536"/>
  <c r="T4536" s="1"/>
  <c r="S4544"/>
  <c r="T4544" s="1"/>
  <c r="S4552"/>
  <c r="T4552" s="1"/>
  <c r="S4560"/>
  <c r="T4560" s="1"/>
  <c r="S4568"/>
  <c r="T4568" s="1"/>
  <c r="S4576"/>
  <c r="T4576" s="1"/>
  <c r="S4584"/>
  <c r="T4584" s="1"/>
  <c r="S4592"/>
  <c r="T4592" s="1"/>
  <c r="S4600"/>
  <c r="T4600" s="1"/>
  <c r="S4608"/>
  <c r="T4608" s="1"/>
  <c r="S4616"/>
  <c r="T4616" s="1"/>
  <c r="S4624"/>
  <c r="T4624" s="1"/>
  <c r="S4632"/>
  <c r="T4632" s="1"/>
  <c r="S4640"/>
  <c r="T4640" s="1"/>
  <c r="S4650"/>
  <c r="T4650" s="1"/>
  <c r="S4658"/>
  <c r="T4658" s="1"/>
  <c r="S4666"/>
  <c r="T4666" s="1"/>
  <c r="S4674"/>
  <c r="T4674" s="1"/>
  <c r="S4682"/>
  <c r="T4682" s="1"/>
  <c r="S4690"/>
  <c r="T4690" s="1"/>
  <c r="S4698"/>
  <c r="T4698" s="1"/>
  <c r="S4706"/>
  <c r="T4706" s="1"/>
  <c r="S4714"/>
  <c r="T4714" s="1"/>
  <c r="S4722"/>
  <c r="T4722" s="1"/>
  <c r="S4730"/>
  <c r="T4730" s="1"/>
  <c r="S4738"/>
  <c r="T4738" s="1"/>
  <c r="S4746"/>
  <c r="T4746" s="1"/>
  <c r="S4754"/>
  <c r="T4754" s="1"/>
  <c r="S4762"/>
  <c r="T4762" s="1"/>
  <c r="S4770"/>
  <c r="T4770" s="1"/>
  <c r="S4778"/>
  <c r="T4778" s="1"/>
  <c r="S4786"/>
  <c r="T4786" s="1"/>
  <c r="S4794"/>
  <c r="T4794" s="1"/>
  <c r="S4802"/>
  <c r="T4802" s="1"/>
  <c r="S4810"/>
  <c r="T4810" s="1"/>
  <c r="S4818"/>
  <c r="T4818" s="1"/>
  <c r="S4828"/>
  <c r="T4828" s="1"/>
  <c r="S4836"/>
  <c r="T4836" s="1"/>
  <c r="S4844"/>
  <c r="T4844" s="1"/>
  <c r="S4852"/>
  <c r="T4852" s="1"/>
  <c r="S4860"/>
  <c r="T4860" s="1"/>
  <c r="S4868"/>
  <c r="T4868" s="1"/>
  <c r="S4878"/>
  <c r="T4878" s="1"/>
  <c r="S4886"/>
  <c r="T4886" s="1"/>
  <c r="S4894"/>
  <c r="T4894" s="1"/>
  <c r="S4904"/>
  <c r="T4904" s="1"/>
  <c r="S4912"/>
  <c r="T4912" s="1"/>
  <c r="S4922"/>
  <c r="T4922" s="1"/>
  <c r="S4930"/>
  <c r="T4930" s="1"/>
  <c r="S4938"/>
  <c r="T4938" s="1"/>
  <c r="S4948"/>
  <c r="T4948" s="1"/>
  <c r="S4956"/>
  <c r="T4956" s="1"/>
  <c r="S4964"/>
  <c r="T4964" s="1"/>
  <c r="S4972"/>
  <c r="T4972" s="1"/>
  <c r="S4982"/>
  <c r="T4982" s="1"/>
  <c r="S4990"/>
  <c r="T4990" s="1"/>
  <c r="S5000"/>
  <c r="T5000" s="1"/>
  <c r="S5008"/>
  <c r="T5008" s="1"/>
  <c r="S5016"/>
  <c r="T5016" s="1"/>
  <c r="S5026"/>
  <c r="T5026" s="1"/>
  <c r="S5034"/>
  <c r="T5034" s="1"/>
  <c r="S5044"/>
  <c r="T5044" s="1"/>
  <c r="S5052"/>
  <c r="T5052" s="1"/>
  <c r="S5060"/>
  <c r="T5060" s="1"/>
  <c r="S5070"/>
  <c r="T5070" s="1"/>
  <c r="S5078"/>
  <c r="T5078" s="1"/>
  <c r="S5086"/>
  <c r="T5086" s="1"/>
  <c r="S5094"/>
  <c r="T5094" s="1"/>
  <c r="S5102"/>
  <c r="T5102" s="1"/>
  <c r="S2690"/>
  <c r="T2690" s="1"/>
  <c r="S2721"/>
  <c r="T2721" s="1"/>
  <c r="S2743"/>
  <c r="T2743" s="1"/>
  <c r="S2768"/>
  <c r="T2768" s="1"/>
  <c r="S2789"/>
  <c r="T2789" s="1"/>
  <c r="S2807"/>
  <c r="T2807" s="1"/>
  <c r="S2832"/>
  <c r="T2832" s="1"/>
  <c r="S2853"/>
  <c r="T2853" s="1"/>
  <c r="S2871"/>
  <c r="T2871" s="1"/>
  <c r="S2896"/>
  <c r="T2896" s="1"/>
  <c r="S2917"/>
  <c r="T2917" s="1"/>
  <c r="S2935"/>
  <c r="T2935" s="1"/>
  <c r="S2960"/>
  <c r="T2960" s="1"/>
  <c r="S2981"/>
  <c r="T2981" s="1"/>
  <c r="S2999"/>
  <c r="T2999" s="1"/>
  <c r="S3024"/>
  <c r="T3024" s="1"/>
  <c r="S3045"/>
  <c r="T3045" s="1"/>
  <c r="S3063"/>
  <c r="T3063" s="1"/>
  <c r="S3088"/>
  <c r="T3088" s="1"/>
  <c r="S3109"/>
  <c r="T3109" s="1"/>
  <c r="S3127"/>
  <c r="T3127" s="1"/>
  <c r="S3152"/>
  <c r="T3152" s="1"/>
  <c r="S3173"/>
  <c r="T3173" s="1"/>
  <c r="S3191"/>
  <c r="T3191" s="1"/>
  <c r="S3220"/>
  <c r="T3220" s="1"/>
  <c r="S3210"/>
  <c r="T3210" s="1"/>
  <c r="S3262"/>
  <c r="T3262" s="1"/>
  <c r="S3297"/>
  <c r="T3297" s="1"/>
  <c r="S3345"/>
  <c r="T3345" s="1"/>
  <c r="S3374"/>
  <c r="T3374" s="1"/>
  <c r="S3404"/>
  <c r="T3404" s="1"/>
  <c r="S3450"/>
  <c r="T3450" s="1"/>
  <c r="S3486"/>
  <c r="T3486" s="1"/>
  <c r="S3546"/>
  <c r="T3546" s="1"/>
  <c r="S3582"/>
  <c r="T3582" s="1"/>
  <c r="S3628"/>
  <c r="T3628" s="1"/>
  <c r="S3674"/>
  <c r="T3674" s="1"/>
  <c r="S3710"/>
  <c r="S3802"/>
  <c r="T3802" s="1"/>
  <c r="S3838"/>
  <c r="T3838" s="1"/>
  <c r="S3884"/>
  <c r="T3884" s="1"/>
  <c r="S3930"/>
  <c r="T3930" s="1"/>
  <c r="S3980"/>
  <c r="T3980" s="1"/>
  <c r="S4026"/>
  <c r="T4026" s="1"/>
  <c r="S4061"/>
  <c r="T4061" s="1"/>
  <c r="S4093"/>
  <c r="T4093" s="1"/>
  <c r="S4125"/>
  <c r="T4125" s="1"/>
  <c r="S4157"/>
  <c r="T4157" s="1"/>
  <c r="S4189"/>
  <c r="T4189" s="1"/>
  <c r="S4221"/>
  <c r="T4221" s="1"/>
  <c r="S4253"/>
  <c r="T4253" s="1"/>
  <c r="S4285"/>
  <c r="T4285" s="1"/>
  <c r="S4317"/>
  <c r="T4317" s="1"/>
  <c r="S4349"/>
  <c r="S4381"/>
  <c r="T4381" s="1"/>
  <c r="S4413"/>
  <c r="T4413" s="1"/>
  <c r="S4445"/>
  <c r="T4445" s="1"/>
  <c r="S4477"/>
  <c r="T4477" s="1"/>
  <c r="S4509"/>
  <c r="T4509" s="1"/>
  <c r="S4541"/>
  <c r="T4541" s="1"/>
  <c r="S4573"/>
  <c r="T4573" s="1"/>
  <c r="S4605"/>
  <c r="T4605" s="1"/>
  <c r="S4637"/>
  <c r="T4637" s="1"/>
  <c r="S4669"/>
  <c r="T4669" s="1"/>
  <c r="S4701"/>
  <c r="T4701" s="1"/>
  <c r="S4733"/>
  <c r="T4733" s="1"/>
  <c r="S4765"/>
  <c r="T4765" s="1"/>
  <c r="S4797"/>
  <c r="T4797" s="1"/>
  <c r="S4837"/>
  <c r="T4837" s="1"/>
  <c r="S4869"/>
  <c r="S4901"/>
  <c r="T4901" s="1"/>
  <c r="S4933"/>
  <c r="T4933" s="1"/>
  <c r="S4965"/>
  <c r="T4965" s="1"/>
  <c r="S5005"/>
  <c r="T5005" s="1"/>
  <c r="S5037"/>
  <c r="T5037" s="1"/>
  <c r="S5069"/>
  <c r="T5069" s="1"/>
  <c r="S5101"/>
  <c r="T5101" s="1"/>
  <c r="S3313"/>
  <c r="T3313" s="1"/>
  <c r="S3342"/>
  <c r="T3342" s="1"/>
  <c r="S3366"/>
  <c r="T3366" s="1"/>
  <c r="S3394"/>
  <c r="T3394" s="1"/>
  <c r="S3430"/>
  <c r="T3430" s="1"/>
  <c r="S3476"/>
  <c r="T3476" s="1"/>
  <c r="S3522"/>
  <c r="T3522" s="1"/>
  <c r="S3558"/>
  <c r="T3558" s="1"/>
  <c r="S3604"/>
  <c r="T3604" s="1"/>
  <c r="S3650"/>
  <c r="T3650" s="1"/>
  <c r="S3700"/>
  <c r="T3700" s="1"/>
  <c r="S3764"/>
  <c r="T3764" s="1"/>
  <c r="S3878"/>
  <c r="T3878" s="1"/>
  <c r="S3942"/>
  <c r="T3942" s="1"/>
  <c r="S4075"/>
  <c r="T4075" s="1"/>
  <c r="S4155"/>
  <c r="T4155" s="1"/>
  <c r="S4243"/>
  <c r="T4243" s="1"/>
  <c r="S4323"/>
  <c r="T4323" s="1"/>
  <c r="S4403"/>
  <c r="T4403" s="1"/>
  <c r="S4483"/>
  <c r="T4483" s="1"/>
  <c r="S4563"/>
  <c r="T4563" s="1"/>
  <c r="S4651"/>
  <c r="T4651" s="1"/>
  <c r="S4731"/>
  <c r="T4731" s="1"/>
  <c r="S4811"/>
  <c r="T4811" s="1"/>
  <c r="S4899"/>
  <c r="T4899" s="1"/>
  <c r="S4971"/>
  <c r="T4971" s="1"/>
  <c r="S5067"/>
  <c r="T5067" s="1"/>
  <c r="S3241"/>
  <c r="T3241" s="1"/>
  <c r="S3750"/>
  <c r="T3750" s="1"/>
  <c r="S3828"/>
  <c r="T3828" s="1"/>
  <c r="S3956"/>
  <c r="T3956" s="1"/>
  <c r="S4020"/>
  <c r="T4020" s="1"/>
  <c r="S4083"/>
  <c r="T4083" s="1"/>
  <c r="S4131"/>
  <c r="T4131" s="1"/>
  <c r="S4187"/>
  <c r="T4187" s="1"/>
  <c r="S4235"/>
  <c r="T4235" s="1"/>
  <c r="S4291"/>
  <c r="T4291" s="1"/>
  <c r="S4339"/>
  <c r="T4339" s="1"/>
  <c r="S4395"/>
  <c r="T4395" s="1"/>
  <c r="S4451"/>
  <c r="T4451" s="1"/>
  <c r="S4499"/>
  <c r="T4499" s="1"/>
  <c r="S4555"/>
  <c r="T4555" s="1"/>
  <c r="S4611"/>
  <c r="T4611" s="1"/>
  <c r="S4659"/>
  <c r="T4659" s="1"/>
  <c r="S4715"/>
  <c r="T4715" s="1"/>
  <c r="S4763"/>
  <c r="T4763" s="1"/>
  <c r="S4819"/>
  <c r="T4819" s="1"/>
  <c r="S4867"/>
  <c r="T4867" s="1"/>
  <c r="S4939"/>
  <c r="S4995"/>
  <c r="T4995" s="1"/>
  <c r="S5043"/>
  <c r="S5099"/>
  <c r="T5099" s="1"/>
  <c r="S3265"/>
  <c r="T3265" s="1"/>
  <c r="S3315"/>
  <c r="T3315" s="1"/>
  <c r="S3334"/>
  <c r="T3334" s="1"/>
  <c r="S3358"/>
  <c r="T3358" s="1"/>
  <c r="S3402"/>
  <c r="T3402" s="1"/>
  <c r="S3438"/>
  <c r="T3438" s="1"/>
  <c r="S3548"/>
  <c r="T3548" s="1"/>
  <c r="S3594"/>
  <c r="T3594" s="1"/>
  <c r="S3630"/>
  <c r="T3630" s="1"/>
  <c r="S3676"/>
  <c r="T3676" s="1"/>
  <c r="S3722"/>
  <c r="T3722" s="1"/>
  <c r="S3758"/>
  <c r="T3758" s="1"/>
  <c r="S3804"/>
  <c r="T3804" s="1"/>
  <c r="S3850"/>
  <c r="T3850" s="1"/>
  <c r="S3886"/>
  <c r="T3886" s="1"/>
  <c r="S3932"/>
  <c r="T3932" s="1"/>
  <c r="S3996"/>
  <c r="T3996" s="1"/>
  <c r="S4042"/>
  <c r="T4042" s="1"/>
  <c r="S4065"/>
  <c r="T4065" s="1"/>
  <c r="S4097"/>
  <c r="T4097" s="1"/>
  <c r="S4129"/>
  <c r="T4129" s="1"/>
  <c r="S4161"/>
  <c r="T4161" s="1"/>
  <c r="S4193"/>
  <c r="T4193" s="1"/>
  <c r="S4225"/>
  <c r="T4225" s="1"/>
  <c r="S4257"/>
  <c r="T4257" s="1"/>
  <c r="S4289"/>
  <c r="T4289" s="1"/>
  <c r="S4321"/>
  <c r="T4321" s="1"/>
  <c r="S4353"/>
  <c r="T4353" s="1"/>
  <c r="S4385"/>
  <c r="T4385" s="1"/>
  <c r="S4417"/>
  <c r="T4417" s="1"/>
  <c r="S4449"/>
  <c r="T4449" s="1"/>
  <c r="S4481"/>
  <c r="T4481" s="1"/>
  <c r="S4513"/>
  <c r="T4513" s="1"/>
  <c r="S4545"/>
  <c r="T4545" s="1"/>
  <c r="S4577"/>
  <c r="T4577" s="1"/>
  <c r="S4609"/>
  <c r="T4609" s="1"/>
  <c r="S4641"/>
  <c r="T4641" s="1"/>
  <c r="S4673"/>
  <c r="T4673" s="1"/>
  <c r="S4705"/>
  <c r="T4705" s="1"/>
  <c r="S4737"/>
  <c r="T4737" s="1"/>
  <c r="S4769"/>
  <c r="T4769" s="1"/>
  <c r="S4801"/>
  <c r="T4801" s="1"/>
  <c r="S4833"/>
  <c r="T4833" s="1"/>
  <c r="S4865"/>
  <c r="T4865" s="1"/>
  <c r="S4897"/>
  <c r="T4897" s="1"/>
  <c r="S4945"/>
  <c r="T4945" s="1"/>
  <c r="S4977"/>
  <c r="T4977" s="1"/>
  <c r="S5017"/>
  <c r="T5017" s="1"/>
  <c r="S5049"/>
  <c r="T5049" s="1"/>
  <c r="S5081"/>
  <c r="T5081" s="1"/>
  <c r="S3812"/>
  <c r="T3812" s="1"/>
  <c r="S3862"/>
  <c r="T3862" s="1"/>
  <c r="S3922"/>
  <c r="T3922" s="1"/>
  <c r="S3972"/>
  <c r="T3972" s="1"/>
  <c r="S4022"/>
  <c r="T4022" s="1"/>
  <c r="S4079"/>
  <c r="T4079" s="1"/>
  <c r="S4119"/>
  <c r="T4119" s="1"/>
  <c r="S4151"/>
  <c r="T4151" s="1"/>
  <c r="S4191"/>
  <c r="T4191" s="1"/>
  <c r="S4231"/>
  <c r="T4231" s="1"/>
  <c r="S4263"/>
  <c r="T4263" s="1"/>
  <c r="S4303"/>
  <c r="T4303" s="1"/>
  <c r="S4343"/>
  <c r="T4343" s="1"/>
  <c r="S4383"/>
  <c r="T4383" s="1"/>
  <c r="S4415"/>
  <c r="T4415" s="1"/>
  <c r="S4455"/>
  <c r="T4455" s="1"/>
  <c r="S4495"/>
  <c r="T4495" s="1"/>
  <c r="S4535"/>
  <c r="T4535" s="1"/>
  <c r="S4567"/>
  <c r="S4607"/>
  <c r="T4607" s="1"/>
  <c r="S4647"/>
  <c r="T4647" s="1"/>
  <c r="S4687"/>
  <c r="T4687" s="1"/>
  <c r="S4719"/>
  <c r="T4719" s="1"/>
  <c r="S4759"/>
  <c r="T4759" s="1"/>
  <c r="S4799"/>
  <c r="T4799" s="1"/>
  <c r="S4831"/>
  <c r="T4831" s="1"/>
  <c r="S4871"/>
  <c r="T4871" s="1"/>
  <c r="S4911"/>
  <c r="T4911" s="1"/>
  <c r="S4951"/>
  <c r="T4951" s="1"/>
  <c r="S4991"/>
  <c r="T4991" s="1"/>
  <c r="S3238"/>
  <c r="T3238" s="1"/>
  <c r="S3273"/>
  <c r="T3273" s="1"/>
  <c r="S3311"/>
  <c r="T3311" s="1"/>
  <c r="S3340"/>
  <c r="T3340" s="1"/>
  <c r="S3382"/>
  <c r="T3382" s="1"/>
  <c r="S3428"/>
  <c r="T3428" s="1"/>
  <c r="S3478"/>
  <c r="T3478" s="1"/>
  <c r="S3524"/>
  <c r="T3524" s="1"/>
  <c r="S3574"/>
  <c r="T3574" s="1"/>
  <c r="S3634"/>
  <c r="T3634" s="1"/>
  <c r="S3670"/>
  <c r="T3670" s="1"/>
  <c r="S3716"/>
  <c r="T3716" s="1"/>
  <c r="S3762"/>
  <c r="T3762" s="1"/>
  <c r="S3858"/>
  <c r="T3858" s="1"/>
  <c r="S4111"/>
  <c r="T4111" s="1"/>
  <c r="S4319"/>
  <c r="T4319" s="1"/>
  <c r="S4527"/>
  <c r="T4527" s="1"/>
  <c r="S4735"/>
  <c r="T4735" s="1"/>
  <c r="S5039"/>
  <c r="T5039" s="1"/>
  <c r="S5063"/>
  <c r="T5063" s="1"/>
  <c r="S3975"/>
  <c r="T3975" s="1"/>
  <c r="S4007"/>
  <c r="T4007" s="1"/>
  <c r="S4039"/>
  <c r="T4039" s="1"/>
  <c r="S2366"/>
  <c r="S2430"/>
  <c r="T2430" s="1"/>
  <c r="S2566"/>
  <c r="T2566" s="1"/>
  <c r="S2630"/>
  <c r="T2630" s="1"/>
  <c r="S2727"/>
  <c r="T2727" s="1"/>
  <c r="S2815"/>
  <c r="T2815" s="1"/>
  <c r="S2904"/>
  <c r="T2904" s="1"/>
  <c r="S2989"/>
  <c r="T2989" s="1"/>
  <c r="S3071"/>
  <c r="T3071" s="1"/>
  <c r="S3160"/>
  <c r="T3160" s="1"/>
  <c r="S2741"/>
  <c r="T2741" s="1"/>
  <c r="S2834"/>
  <c r="T2834" s="1"/>
  <c r="S2916"/>
  <c r="T2916" s="1"/>
  <c r="S3001"/>
  <c r="T3001" s="1"/>
  <c r="S3090"/>
  <c r="T3090" s="1"/>
  <c r="S3172"/>
  <c r="T3172" s="1"/>
  <c r="S3260"/>
  <c r="T3260" s="1"/>
  <c r="S2730"/>
  <c r="T2730" s="1"/>
  <c r="S2810"/>
  <c r="T2810" s="1"/>
  <c r="S2849"/>
  <c r="T2849" s="1"/>
  <c r="S2892"/>
  <c r="T2892" s="1"/>
  <c r="S2938"/>
  <c r="T2938" s="1"/>
  <c r="S2977"/>
  <c r="T2977" s="1"/>
  <c r="S3020"/>
  <c r="T3020" s="1"/>
  <c r="S3066"/>
  <c r="T3066" s="1"/>
  <c r="S3105"/>
  <c r="T3105" s="1"/>
  <c r="S3148"/>
  <c r="T3148" s="1"/>
  <c r="S3194"/>
  <c r="T3194" s="1"/>
  <c r="S3243"/>
  <c r="T3243" s="1"/>
  <c r="S3286"/>
  <c r="T3286" s="1"/>
  <c r="S3335"/>
  <c r="T3335" s="1"/>
  <c r="S3378"/>
  <c r="T3378" s="1"/>
  <c r="S3448"/>
  <c r="T3448" s="1"/>
  <c r="S3512"/>
  <c r="T3512" s="1"/>
  <c r="S3576"/>
  <c r="T3576" s="1"/>
  <c r="S3656"/>
  <c r="T3656" s="1"/>
  <c r="S3728"/>
  <c r="T3728" s="1"/>
  <c r="S3792"/>
  <c r="T3792" s="1"/>
  <c r="S3856"/>
  <c r="T3856" s="1"/>
  <c r="S3928"/>
  <c r="T3928" s="1"/>
  <c r="S3992"/>
  <c r="T3992" s="1"/>
  <c r="S4050"/>
  <c r="T4050" s="1"/>
  <c r="S4066"/>
  <c r="T4066" s="1"/>
  <c r="S4082"/>
  <c r="T4082" s="1"/>
  <c r="S4098"/>
  <c r="T4098" s="1"/>
  <c r="S4114"/>
  <c r="T4114" s="1"/>
  <c r="S4130"/>
  <c r="T4130" s="1"/>
  <c r="S4146"/>
  <c r="T4146" s="1"/>
  <c r="S4162"/>
  <c r="T4162" s="1"/>
  <c r="S4178"/>
  <c r="T4178" s="1"/>
  <c r="S4194"/>
  <c r="T4194" s="1"/>
  <c r="S4210"/>
  <c r="T4210" s="1"/>
  <c r="S4226"/>
  <c r="T4226" s="1"/>
  <c r="S4242"/>
  <c r="T4242" s="1"/>
  <c r="S4258"/>
  <c r="T4258" s="1"/>
  <c r="S4274"/>
  <c r="T4274" s="1"/>
  <c r="S4290"/>
  <c r="T4290" s="1"/>
  <c r="S4306"/>
  <c r="T4306" s="1"/>
  <c r="S4322"/>
  <c r="T4322" s="1"/>
  <c r="S4338"/>
  <c r="T4338" s="1"/>
  <c r="S4354"/>
  <c r="T4354" s="1"/>
  <c r="S4370"/>
  <c r="T4370" s="1"/>
  <c r="S4386"/>
  <c r="T4386" s="1"/>
  <c r="S4402"/>
  <c r="T4402" s="1"/>
  <c r="S4418"/>
  <c r="T4418" s="1"/>
  <c r="S4434"/>
  <c r="T4434" s="1"/>
  <c r="S4450"/>
  <c r="T4450" s="1"/>
  <c r="S4466"/>
  <c r="T4466" s="1"/>
  <c r="S4482"/>
  <c r="T4482" s="1"/>
  <c r="S4498"/>
  <c r="T4498" s="1"/>
  <c r="S4514"/>
  <c r="T4514" s="1"/>
  <c r="S4522"/>
  <c r="T4522" s="1"/>
  <c r="S4530"/>
  <c r="T4530" s="1"/>
  <c r="S4538"/>
  <c r="T4538" s="1"/>
  <c r="S4546"/>
  <c r="T4546" s="1"/>
  <c r="S4554"/>
  <c r="T4554" s="1"/>
  <c r="S4562"/>
  <c r="T4562" s="1"/>
  <c r="S4570"/>
  <c r="T4570" s="1"/>
  <c r="S4578"/>
  <c r="T4578" s="1"/>
  <c r="S4586"/>
  <c r="T4586" s="1"/>
  <c r="S4594"/>
  <c r="T4594" s="1"/>
  <c r="S4602"/>
  <c r="T4602" s="1"/>
  <c r="S4610"/>
  <c r="T4610" s="1"/>
  <c r="S4618"/>
  <c r="T4618" s="1"/>
  <c r="S4626"/>
  <c r="T4626" s="1"/>
  <c r="S4634"/>
  <c r="T4634" s="1"/>
  <c r="S4644"/>
  <c r="T4644" s="1"/>
  <c r="S4652"/>
  <c r="T4652" s="1"/>
  <c r="S4660"/>
  <c r="T4660" s="1"/>
  <c r="S4668"/>
  <c r="T4668" s="1"/>
  <c r="S4676"/>
  <c r="T4676" s="1"/>
  <c r="S4684"/>
  <c r="T4684" s="1"/>
  <c r="S4692"/>
  <c r="T4692" s="1"/>
  <c r="S4700"/>
  <c r="T4700" s="1"/>
  <c r="S4708"/>
  <c r="T4708" s="1"/>
  <c r="S4716"/>
  <c r="T4716" s="1"/>
  <c r="S4724"/>
  <c r="T4724" s="1"/>
  <c r="S4732"/>
  <c r="T4732" s="1"/>
  <c r="S4740"/>
  <c r="T4740" s="1"/>
  <c r="S4748"/>
  <c r="T4748" s="1"/>
  <c r="S4756"/>
  <c r="T4756" s="1"/>
  <c r="S4764"/>
  <c r="T4764" s="1"/>
  <c r="S4772"/>
  <c r="T4772" s="1"/>
  <c r="S4780"/>
  <c r="T4780" s="1"/>
  <c r="S4788"/>
  <c r="T4788" s="1"/>
  <c r="S4796"/>
  <c r="T4796" s="1"/>
  <c r="S4804"/>
  <c r="T4804" s="1"/>
  <c r="S4812"/>
  <c r="T4812" s="1"/>
  <c r="S4820"/>
  <c r="T4820" s="1"/>
  <c r="S4830"/>
  <c r="T4830" s="1"/>
  <c r="S4838"/>
  <c r="T4838" s="1"/>
  <c r="S4846"/>
  <c r="T4846" s="1"/>
  <c r="S4854"/>
  <c r="T4854" s="1"/>
  <c r="S4862"/>
  <c r="T4862" s="1"/>
  <c r="S4870"/>
  <c r="T4870" s="1"/>
  <c r="S4880"/>
  <c r="T4880" s="1"/>
  <c r="S4888"/>
  <c r="T4888" s="1"/>
  <c r="S4896"/>
  <c r="T4896" s="1"/>
  <c r="S4906"/>
  <c r="T4906" s="1"/>
  <c r="S4914"/>
  <c r="T4914" s="1"/>
  <c r="S4924"/>
  <c r="T4924" s="1"/>
  <c r="S4932"/>
  <c r="T4932" s="1"/>
  <c r="S4950"/>
  <c r="T4950" s="1"/>
  <c r="S4958"/>
  <c r="T4958" s="1"/>
  <c r="S4966"/>
  <c r="T4966" s="1"/>
  <c r="S4974"/>
  <c r="T4974" s="1"/>
  <c r="S4984"/>
  <c r="T4984" s="1"/>
  <c r="S4992"/>
  <c r="T4992" s="1"/>
  <c r="S5002"/>
  <c r="T5002" s="1"/>
  <c r="S5010"/>
  <c r="T5010" s="1"/>
  <c r="S5018"/>
  <c r="T5018" s="1"/>
  <c r="S5028"/>
  <c r="T5028" s="1"/>
  <c r="S5036"/>
  <c r="S5046"/>
  <c r="T5046" s="1"/>
  <c r="S5054"/>
  <c r="T5054" s="1"/>
  <c r="S5062"/>
  <c r="T5062" s="1"/>
  <c r="S5072"/>
  <c r="T5072" s="1"/>
  <c r="S5080"/>
  <c r="S5088"/>
  <c r="T5088" s="1"/>
  <c r="S5096"/>
  <c r="T5096" s="1"/>
  <c r="S2666"/>
  <c r="T2666" s="1"/>
  <c r="S2698"/>
  <c r="T2698" s="1"/>
  <c r="S2732"/>
  <c r="T2732" s="1"/>
  <c r="S2754"/>
  <c r="T2754" s="1"/>
  <c r="S2772"/>
  <c r="T2772" s="1"/>
  <c r="S2793"/>
  <c r="T2793" s="1"/>
  <c r="S2818"/>
  <c r="T2818" s="1"/>
  <c r="S2836"/>
  <c r="T2836" s="1"/>
  <c r="S2857"/>
  <c r="T2857" s="1"/>
  <c r="S2882"/>
  <c r="T2882" s="1"/>
  <c r="S2900"/>
  <c r="T2900" s="1"/>
  <c r="S2921"/>
  <c r="T2921" s="1"/>
  <c r="S2946"/>
  <c r="T2946" s="1"/>
  <c r="S2964"/>
  <c r="T2964" s="1"/>
  <c r="S2985"/>
  <c r="T2985" s="1"/>
  <c r="S3010"/>
  <c r="T3010" s="1"/>
  <c r="S3028"/>
  <c r="T3028" s="1"/>
  <c r="S3049"/>
  <c r="T3049" s="1"/>
  <c r="S3074"/>
  <c r="T3074" s="1"/>
  <c r="S3092"/>
  <c r="T3092" s="1"/>
  <c r="S3113"/>
  <c r="T3113" s="1"/>
  <c r="S3138"/>
  <c r="T3138" s="1"/>
  <c r="S3156"/>
  <c r="T3156" s="1"/>
  <c r="S3177"/>
  <c r="T3177" s="1"/>
  <c r="S3205"/>
  <c r="T3205" s="1"/>
  <c r="S3223"/>
  <c r="T3223" s="1"/>
  <c r="S3224"/>
  <c r="T3224" s="1"/>
  <c r="S3276"/>
  <c r="T3276" s="1"/>
  <c r="S3308"/>
  <c r="T3308" s="1"/>
  <c r="S3355"/>
  <c r="T3355" s="1"/>
  <c r="S3379"/>
  <c r="T3379" s="1"/>
  <c r="S3418"/>
  <c r="T3418" s="1"/>
  <c r="S3454"/>
  <c r="T3454" s="1"/>
  <c r="S3500"/>
  <c r="T3500" s="1"/>
  <c r="S3550"/>
  <c r="T3550" s="1"/>
  <c r="S3596"/>
  <c r="T3596" s="1"/>
  <c r="S3642"/>
  <c r="T3642" s="1"/>
  <c r="S3678"/>
  <c r="T3678" s="1"/>
  <c r="S3724"/>
  <c r="T3724" s="1"/>
  <c r="S3770"/>
  <c r="T3770" s="1"/>
  <c r="S3806"/>
  <c r="T3806" s="1"/>
  <c r="S3852"/>
  <c r="T3852" s="1"/>
  <c r="S3898"/>
  <c r="T3898" s="1"/>
  <c r="S3934"/>
  <c r="T3934" s="1"/>
  <c r="S3994"/>
  <c r="T3994" s="1"/>
  <c r="S4030"/>
  <c r="T4030" s="1"/>
  <c r="S4069"/>
  <c r="T4069" s="1"/>
  <c r="S4101"/>
  <c r="T4101" s="1"/>
  <c r="S4133"/>
  <c r="T4133" s="1"/>
  <c r="S4165"/>
  <c r="T4165" s="1"/>
  <c r="S4197"/>
  <c r="T4197" s="1"/>
  <c r="S4229"/>
  <c r="T4229" s="1"/>
  <c r="S4261"/>
  <c r="T4261" s="1"/>
  <c r="S4293"/>
  <c r="T4293" s="1"/>
  <c r="S4325"/>
  <c r="T4325" s="1"/>
  <c r="S4357"/>
  <c r="T4357" s="1"/>
  <c r="S4389"/>
  <c r="T4389" s="1"/>
  <c r="S4421"/>
  <c r="T4421" s="1"/>
  <c r="S4453"/>
  <c r="T4453" s="1"/>
  <c r="S4485"/>
  <c r="T4485" s="1"/>
  <c r="S4517"/>
  <c r="T4517" s="1"/>
  <c r="S4549"/>
  <c r="T4549" s="1"/>
  <c r="S4581"/>
  <c r="T4581" s="1"/>
  <c r="S4613"/>
  <c r="T4613" s="1"/>
  <c r="S4645"/>
  <c r="T4645" s="1"/>
  <c r="S4677"/>
  <c r="T4677" s="1"/>
  <c r="S4709"/>
  <c r="T4709" s="1"/>
  <c r="S4741"/>
  <c r="T4741" s="1"/>
  <c r="S4773"/>
  <c r="T4773" s="1"/>
  <c r="S4805"/>
  <c r="T4805" s="1"/>
  <c r="S4845"/>
  <c r="T4845" s="1"/>
  <c r="S4877"/>
  <c r="T4877" s="1"/>
  <c r="S4909"/>
  <c r="T4909" s="1"/>
  <c r="S4941"/>
  <c r="T4941" s="1"/>
  <c r="S4973"/>
  <c r="T4973" s="1"/>
  <c r="S5013"/>
  <c r="T5013" s="1"/>
  <c r="S5045"/>
  <c r="T5045" s="1"/>
  <c r="S5077"/>
  <c r="T5077" s="1"/>
  <c r="S3323"/>
  <c r="T3323" s="1"/>
  <c r="S3351"/>
  <c r="T3351" s="1"/>
  <c r="S3370"/>
  <c r="T3370" s="1"/>
  <c r="S3398"/>
  <c r="T3398" s="1"/>
  <c r="S3444"/>
  <c r="T3444" s="1"/>
  <c r="S3490"/>
  <c r="T3490" s="1"/>
  <c r="S3526"/>
  <c r="T3526" s="1"/>
  <c r="S3572"/>
  <c r="T3572" s="1"/>
  <c r="S3618"/>
  <c r="T3618" s="1"/>
  <c r="S3654"/>
  <c r="T3654" s="1"/>
  <c r="S3714"/>
  <c r="T3714" s="1"/>
  <c r="S3782"/>
  <c r="T3782" s="1"/>
  <c r="S3892"/>
  <c r="T3892" s="1"/>
  <c r="S4006"/>
  <c r="T4006" s="1"/>
  <c r="S4091"/>
  <c r="T4091" s="1"/>
  <c r="S4179"/>
  <c r="T4179" s="1"/>
  <c r="S4267"/>
  <c r="T4267" s="1"/>
  <c r="S4347"/>
  <c r="T4347" s="1"/>
  <c r="S4427"/>
  <c r="T4427" s="1"/>
  <c r="S4507"/>
  <c r="T4507" s="1"/>
  <c r="S4587"/>
  <c r="T4587" s="1"/>
  <c r="S4667"/>
  <c r="T4667" s="1"/>
  <c r="S4747"/>
  <c r="T4747" s="1"/>
  <c r="S4915"/>
  <c r="T4915" s="1"/>
  <c r="S5003"/>
  <c r="T5003" s="1"/>
  <c r="S5083"/>
  <c r="T5083" s="1"/>
  <c r="S3255"/>
  <c r="T3255" s="1"/>
  <c r="S3778"/>
  <c r="T3778" s="1"/>
  <c r="S3846"/>
  <c r="T3846" s="1"/>
  <c r="S3970"/>
  <c r="T3970" s="1"/>
  <c r="S4038"/>
  <c r="T4038" s="1"/>
  <c r="S4099"/>
  <c r="T4099" s="1"/>
  <c r="S4147"/>
  <c r="T4147" s="1"/>
  <c r="S4203"/>
  <c r="T4203" s="1"/>
  <c r="S4251"/>
  <c r="T4251" s="1"/>
  <c r="S4299"/>
  <c r="T4299" s="1"/>
  <c r="S4355"/>
  <c r="T4355" s="1"/>
  <c r="S4411"/>
  <c r="T4411" s="1"/>
  <c r="S4459"/>
  <c r="T4459" s="1"/>
  <c r="S4515"/>
  <c r="T4515" s="1"/>
  <c r="S4571"/>
  <c r="T4571" s="1"/>
  <c r="S4619"/>
  <c r="T4619" s="1"/>
  <c r="S4675"/>
  <c r="T4675" s="1"/>
  <c r="S4723"/>
  <c r="T4723" s="1"/>
  <c r="S4779"/>
  <c r="T4779" s="1"/>
  <c r="S4883"/>
  <c r="T4883" s="1"/>
  <c r="S4955"/>
  <c r="T4955" s="1"/>
  <c r="S5011"/>
  <c r="T5011" s="1"/>
  <c r="S5059"/>
  <c r="T5059" s="1"/>
  <c r="S3217"/>
  <c r="T3217" s="1"/>
  <c r="S3279"/>
  <c r="T3279" s="1"/>
  <c r="S3319"/>
  <c r="T3319" s="1"/>
  <c r="S3338"/>
  <c r="T3338" s="1"/>
  <c r="S3362"/>
  <c r="T3362" s="1"/>
  <c r="S3406"/>
  <c r="T3406" s="1"/>
  <c r="S3452"/>
  <c r="T3452" s="1"/>
  <c r="S3498"/>
  <c r="T3498" s="1"/>
  <c r="S3598"/>
  <c r="T3598" s="1"/>
  <c r="S3644"/>
  <c r="T3644" s="1"/>
  <c r="S3690"/>
  <c r="T3690" s="1"/>
  <c r="S3726"/>
  <c r="T3726" s="1"/>
  <c r="S3772"/>
  <c r="T3772" s="1"/>
  <c r="S3818"/>
  <c r="T3818" s="1"/>
  <c r="S3854"/>
  <c r="T3854" s="1"/>
  <c r="S3900"/>
  <c r="T3900" s="1"/>
  <c r="S3946"/>
  <c r="T3946" s="1"/>
  <c r="S4010"/>
  <c r="T4010" s="1"/>
  <c r="S4046"/>
  <c r="T4046" s="1"/>
  <c r="S4073"/>
  <c r="T4073" s="1"/>
  <c r="S4105"/>
  <c r="T4105" s="1"/>
  <c r="S4137"/>
  <c r="T4137" s="1"/>
  <c r="S4169"/>
  <c r="T4169" s="1"/>
  <c r="S4201"/>
  <c r="T4201" s="1"/>
  <c r="S4233"/>
  <c r="T4233" s="1"/>
  <c r="S4265"/>
  <c r="T4265" s="1"/>
  <c r="S4297"/>
  <c r="T4297" s="1"/>
  <c r="S4329"/>
  <c r="T4329" s="1"/>
  <c r="S4361"/>
  <c r="T4361" s="1"/>
  <c r="S4393"/>
  <c r="T4393" s="1"/>
  <c r="S4425"/>
  <c r="T4425" s="1"/>
  <c r="S4457"/>
  <c r="T4457" s="1"/>
  <c r="S4489"/>
  <c r="T4489" s="1"/>
  <c r="S4521"/>
  <c r="T4521" s="1"/>
  <c r="S4553"/>
  <c r="T4553" s="1"/>
  <c r="S4585"/>
  <c r="T4585" s="1"/>
  <c r="S4617"/>
  <c r="T4617" s="1"/>
  <c r="S4649"/>
  <c r="T4649" s="1"/>
  <c r="S4681"/>
  <c r="T4681" s="1"/>
  <c r="S4713"/>
  <c r="T4713" s="1"/>
  <c r="S4745"/>
  <c r="T4745" s="1"/>
  <c r="S4777"/>
  <c r="T4777" s="1"/>
  <c r="S4809"/>
  <c r="T4809" s="1"/>
  <c r="S4841"/>
  <c r="T4841" s="1"/>
  <c r="S4873"/>
  <c r="T4873" s="1"/>
  <c r="S4905"/>
  <c r="T4905" s="1"/>
  <c r="S4953"/>
  <c r="T4953" s="1"/>
  <c r="S4985"/>
  <c r="T4985" s="1"/>
  <c r="S5025"/>
  <c r="T5025" s="1"/>
  <c r="S5057"/>
  <c r="T5057" s="1"/>
  <c r="S5089"/>
  <c r="T5089" s="1"/>
  <c r="S3826"/>
  <c r="T3826" s="1"/>
  <c r="S3876"/>
  <c r="T3876" s="1"/>
  <c r="S3940"/>
  <c r="T3940" s="1"/>
  <c r="S3990"/>
  <c r="T3990" s="1"/>
  <c r="S4036"/>
  <c r="T4036" s="1"/>
  <c r="S4087"/>
  <c r="T4087" s="1"/>
  <c r="S4127"/>
  <c r="T4127" s="1"/>
  <c r="S4167"/>
  <c r="T4167" s="1"/>
  <c r="S4199"/>
  <c r="T4199" s="1"/>
  <c r="S4239"/>
  <c r="T4239" s="1"/>
  <c r="S4279"/>
  <c r="T4279" s="1"/>
  <c r="S4311"/>
  <c r="T4311" s="1"/>
  <c r="S4351"/>
  <c r="T4351" s="1"/>
  <c r="S4391"/>
  <c r="T4391" s="1"/>
  <c r="S4431"/>
  <c r="T4431" s="1"/>
  <c r="S4463"/>
  <c r="T4463" s="1"/>
  <c r="S4503"/>
  <c r="T4503" s="1"/>
  <c r="S4543"/>
  <c r="T4543" s="1"/>
  <c r="S4583"/>
  <c r="T4583" s="1"/>
  <c r="S4615"/>
  <c r="T4615" s="1"/>
  <c r="S4655"/>
  <c r="T4655" s="1"/>
  <c r="S4695"/>
  <c r="T4695" s="1"/>
  <c r="S4727"/>
  <c r="T4727" s="1"/>
  <c r="S4767"/>
  <c r="T4767" s="1"/>
  <c r="S4807"/>
  <c r="T4807" s="1"/>
  <c r="S4839"/>
  <c r="T4839" s="1"/>
  <c r="S4879"/>
  <c r="T4879" s="1"/>
  <c r="S4927"/>
  <c r="T4927" s="1"/>
  <c r="S4959"/>
  <c r="T4959" s="1"/>
  <c r="S4999"/>
  <c r="T4999" s="1"/>
  <c r="S3252"/>
  <c r="T3252" s="1"/>
  <c r="S3287"/>
  <c r="T3287" s="1"/>
  <c r="S3316"/>
  <c r="T3316" s="1"/>
  <c r="S3354"/>
  <c r="T3354" s="1"/>
  <c r="S3396"/>
  <c r="T3396" s="1"/>
  <c r="S3446"/>
  <c r="S3492"/>
  <c r="T3492" s="1"/>
  <c r="S3542"/>
  <c r="T3542" s="1"/>
  <c r="S3602"/>
  <c r="T3602" s="1"/>
  <c r="S3638"/>
  <c r="T3638" s="1"/>
  <c r="S3684"/>
  <c r="T3684" s="1"/>
  <c r="S3730"/>
  <c r="T3730" s="1"/>
  <c r="S3766"/>
  <c r="T3766" s="1"/>
  <c r="S3926"/>
  <c r="T3926" s="1"/>
  <c r="S4159"/>
  <c r="T4159" s="1"/>
  <c r="S4367"/>
  <c r="T4367" s="1"/>
  <c r="S4575"/>
  <c r="T4575" s="1"/>
  <c r="S4791"/>
  <c r="T4791" s="1"/>
  <c r="S5071"/>
  <c r="T5071" s="1"/>
  <c r="S5095"/>
  <c r="T5095" s="1"/>
  <c r="S3983"/>
  <c r="T3983" s="1"/>
  <c r="S4015"/>
  <c r="T4015" s="1"/>
  <c r="S4047"/>
  <c r="T4047" s="1"/>
  <c r="S2382"/>
  <c r="T2382" s="1"/>
  <c r="S2446"/>
  <c r="T2446" s="1"/>
  <c r="S2514"/>
  <c r="T2514" s="1"/>
  <c r="S2582"/>
  <c r="T2582" s="1"/>
  <c r="S2646"/>
  <c r="T2646" s="1"/>
  <c r="S2751"/>
  <c r="T2751" s="1"/>
  <c r="S2840"/>
  <c r="T2840" s="1"/>
  <c r="S2925"/>
  <c r="T2925" s="1"/>
  <c r="S3007"/>
  <c r="T3007" s="1"/>
  <c r="S3096"/>
  <c r="T3096" s="1"/>
  <c r="S3181"/>
  <c r="T3181" s="1"/>
  <c r="S2759"/>
  <c r="T2759" s="1"/>
  <c r="S2852"/>
  <c r="T2852" s="1"/>
  <c r="S2937"/>
  <c r="T2937" s="1"/>
  <c r="S3026"/>
  <c r="T3026" s="1"/>
  <c r="S3108"/>
  <c r="T3108" s="1"/>
  <c r="S3193"/>
  <c r="T3193" s="1"/>
  <c r="S3281"/>
  <c r="T3281" s="1"/>
  <c r="S2753"/>
  <c r="T2753" s="1"/>
  <c r="S2817"/>
  <c r="T2817" s="1"/>
  <c r="S2860"/>
  <c r="T2860" s="1"/>
  <c r="S2906"/>
  <c r="T2906" s="1"/>
  <c r="S2945"/>
  <c r="T2945" s="1"/>
  <c r="S2988"/>
  <c r="T2988" s="1"/>
  <c r="S3034"/>
  <c r="T3034" s="1"/>
  <c r="S3073"/>
  <c r="T3073" s="1"/>
  <c r="S3116"/>
  <c r="T3116" s="1"/>
  <c r="S3162"/>
  <c r="T3162" s="1"/>
  <c r="S3254"/>
  <c r="T3254" s="1"/>
  <c r="S3300"/>
  <c r="T3300" s="1"/>
  <c r="S3346"/>
  <c r="T3346" s="1"/>
  <c r="S3400"/>
  <c r="T3400" s="1"/>
  <c r="S3464"/>
  <c r="T3464" s="1"/>
  <c r="S3528"/>
  <c r="T3528" s="1"/>
  <c r="S3600"/>
  <c r="T3600" s="1"/>
  <c r="S3672"/>
  <c r="T3672" s="1"/>
  <c r="S3744"/>
  <c r="T3744" s="1"/>
  <c r="S3808"/>
  <c r="T3808" s="1"/>
  <c r="S3872"/>
  <c r="T3872" s="1"/>
  <c r="S3944"/>
  <c r="T3944" s="1"/>
  <c r="S4008"/>
  <c r="T4008" s="1"/>
  <c r="S4054"/>
  <c r="T4054" s="1"/>
  <c r="S4070"/>
  <c r="T4070" s="1"/>
  <c r="S4086"/>
  <c r="T4086" s="1"/>
  <c r="S4102"/>
  <c r="T4102" s="1"/>
  <c r="S4118"/>
  <c r="T4118" s="1"/>
  <c r="S4134"/>
  <c r="T4134" s="1"/>
  <c r="S4150"/>
  <c r="T4150" s="1"/>
  <c r="S4166"/>
  <c r="T4166" s="1"/>
  <c r="S4182"/>
  <c r="T4182" s="1"/>
  <c r="S4198"/>
  <c r="T4198" s="1"/>
  <c r="S4214"/>
  <c r="T4214" s="1"/>
  <c r="S4230"/>
  <c r="T4230" s="1"/>
  <c r="S4246"/>
  <c r="T4246" s="1"/>
  <c r="S4262"/>
  <c r="T4262" s="1"/>
  <c r="S4278"/>
  <c r="T4278" s="1"/>
  <c r="S4294"/>
  <c r="T4294" s="1"/>
  <c r="S4310"/>
  <c r="T4310" s="1"/>
  <c r="S4326"/>
  <c r="T4326" s="1"/>
  <c r="S4342"/>
  <c r="T4342" s="1"/>
  <c r="S4358"/>
  <c r="T4358" s="1"/>
  <c r="S4374"/>
  <c r="T4374" s="1"/>
  <c r="S4390"/>
  <c r="T4390" s="1"/>
  <c r="S4406"/>
  <c r="T4406" s="1"/>
  <c r="S4422"/>
  <c r="T4422" s="1"/>
  <c r="S4438"/>
  <c r="T4438" s="1"/>
  <c r="S4454"/>
  <c r="T4454" s="1"/>
  <c r="S4470"/>
  <c r="T4470" s="1"/>
  <c r="S4486"/>
  <c r="T4486" s="1"/>
  <c r="S4502"/>
  <c r="T4502" s="1"/>
  <c r="S4516"/>
  <c r="T4516" s="1"/>
  <c r="S4524"/>
  <c r="T4524" s="1"/>
  <c r="S4532"/>
  <c r="T4532" s="1"/>
  <c r="S4540"/>
  <c r="T4540" s="1"/>
  <c r="S4548"/>
  <c r="T4548" s="1"/>
  <c r="S4556"/>
  <c r="T4556" s="1"/>
  <c r="S4564"/>
  <c r="T4564" s="1"/>
  <c r="S4572"/>
  <c r="T4572" s="1"/>
  <c r="S4580"/>
  <c r="T4580" s="1"/>
  <c r="S4588"/>
  <c r="T4588" s="1"/>
  <c r="S4596"/>
  <c r="T4596" s="1"/>
  <c r="S4604"/>
  <c r="T4604" s="1"/>
  <c r="S4612"/>
  <c r="T4612" s="1"/>
  <c r="S4620"/>
  <c r="T4620" s="1"/>
  <c r="S4628"/>
  <c r="T4628" s="1"/>
  <c r="S4636"/>
  <c r="T4636" s="1"/>
  <c r="S4646"/>
  <c r="T4646" s="1"/>
  <c r="S4654"/>
  <c r="T4654" s="1"/>
  <c r="S4662"/>
  <c r="T4662" s="1"/>
  <c r="S4670"/>
  <c r="T4670" s="1"/>
  <c r="S4678"/>
  <c r="T4678" s="1"/>
  <c r="S4686"/>
  <c r="T4686" s="1"/>
  <c r="S4694"/>
  <c r="T4694" s="1"/>
  <c r="S4702"/>
  <c r="T4702" s="1"/>
  <c r="S4710"/>
  <c r="T4710" s="1"/>
  <c r="S4718"/>
  <c r="T4718" s="1"/>
  <c r="S4726"/>
  <c r="T4726" s="1"/>
  <c r="S4734"/>
  <c r="T4734" s="1"/>
  <c r="S4742"/>
  <c r="T4742" s="1"/>
  <c r="S4750"/>
  <c r="T4750" s="1"/>
  <c r="S4758"/>
  <c r="T4758" s="1"/>
  <c r="S4766"/>
  <c r="T4766" s="1"/>
  <c r="S4774"/>
  <c r="T4774" s="1"/>
  <c r="S4782"/>
  <c r="T4782" s="1"/>
  <c r="S4790"/>
  <c r="T4790" s="1"/>
  <c r="S4798"/>
  <c r="T4798" s="1"/>
  <c r="S4806"/>
  <c r="T4806" s="1"/>
  <c r="S4814"/>
  <c r="T4814" s="1"/>
  <c r="S4824"/>
  <c r="T4824" s="1"/>
  <c r="S4832"/>
  <c r="T4832" s="1"/>
  <c r="S4840"/>
  <c r="T4840" s="1"/>
  <c r="S4848"/>
  <c r="T4848" s="1"/>
  <c r="S4856"/>
  <c r="T4856" s="1"/>
  <c r="S4864"/>
  <c r="T4864" s="1"/>
  <c r="S4872"/>
  <c r="T4872" s="1"/>
  <c r="S4882"/>
  <c r="T4882" s="1"/>
  <c r="S4890"/>
  <c r="T4890" s="1"/>
  <c r="S4900"/>
  <c r="T4900" s="1"/>
  <c r="S4908"/>
  <c r="T4908" s="1"/>
  <c r="S4918"/>
  <c r="T4918" s="1"/>
  <c r="S4926"/>
  <c r="T4926" s="1"/>
  <c r="S4934"/>
  <c r="T4934" s="1"/>
  <c r="S4942"/>
  <c r="T4942" s="1"/>
  <c r="S4952"/>
  <c r="T4952" s="1"/>
  <c r="S4960"/>
  <c r="T4960" s="1"/>
  <c r="S4968"/>
  <c r="T4968" s="1"/>
  <c r="S4978"/>
  <c r="T4978" s="1"/>
  <c r="S4986"/>
  <c r="T4986" s="1"/>
  <c r="S4994"/>
  <c r="T4994" s="1"/>
  <c r="S5004"/>
  <c r="T5004" s="1"/>
  <c r="S5012"/>
  <c r="T5012" s="1"/>
  <c r="S5020"/>
  <c r="T5020" s="1"/>
  <c r="S5030"/>
  <c r="T5030" s="1"/>
  <c r="S5040"/>
  <c r="T5040" s="1"/>
  <c r="S5048"/>
  <c r="T5048" s="1"/>
  <c r="S5056"/>
  <c r="T5056" s="1"/>
  <c r="S5064"/>
  <c r="T5064" s="1"/>
  <c r="S5074"/>
  <c r="T5074" s="1"/>
  <c r="S5082"/>
  <c r="T5082" s="1"/>
  <c r="S5090"/>
  <c r="T5090" s="1"/>
  <c r="S5098"/>
  <c r="T5098" s="1"/>
  <c r="S2674"/>
  <c r="T2674" s="1"/>
  <c r="S2706"/>
  <c r="T2706" s="1"/>
  <c r="S2736"/>
  <c r="T2736" s="1"/>
  <c r="S2757"/>
  <c r="T2757" s="1"/>
  <c r="S2775"/>
  <c r="T2775" s="1"/>
  <c r="S2800"/>
  <c r="T2800" s="1"/>
  <c r="S2821"/>
  <c r="T2821" s="1"/>
  <c r="S2839"/>
  <c r="T2839" s="1"/>
  <c r="S2864"/>
  <c r="T2864" s="1"/>
  <c r="S2885"/>
  <c r="T2885" s="1"/>
  <c r="S2903"/>
  <c r="T2903" s="1"/>
  <c r="S2928"/>
  <c r="T2928" s="1"/>
  <c r="S2949"/>
  <c r="T2949" s="1"/>
  <c r="S2967"/>
  <c r="T2967" s="1"/>
  <c r="S2992"/>
  <c r="T2992" s="1"/>
  <c r="S3013"/>
  <c r="T3013" s="1"/>
  <c r="S3031"/>
  <c r="T3031" s="1"/>
  <c r="S3056"/>
  <c r="T3056" s="1"/>
  <c r="S3077"/>
  <c r="T3077" s="1"/>
  <c r="S3095"/>
  <c r="T3095" s="1"/>
  <c r="S3120"/>
  <c r="T3120" s="1"/>
  <c r="S3141"/>
  <c r="T3141" s="1"/>
  <c r="S3159"/>
  <c r="T3159" s="1"/>
  <c r="S3184"/>
  <c r="T3184" s="1"/>
  <c r="S3209"/>
  <c r="T3209" s="1"/>
  <c r="S3230"/>
  <c r="T3230" s="1"/>
  <c r="S3283"/>
  <c r="T3283" s="1"/>
  <c r="S3322"/>
  <c r="T3322" s="1"/>
  <c r="S3359"/>
  <c r="T3359" s="1"/>
  <c r="S3386"/>
  <c r="T3386" s="1"/>
  <c r="S3422"/>
  <c r="T3422" s="1"/>
  <c r="S3468"/>
  <c r="T3468" s="1"/>
  <c r="S3514"/>
  <c r="T3514" s="1"/>
  <c r="S3564"/>
  <c r="T3564" s="1"/>
  <c r="S3610"/>
  <c r="T3610" s="1"/>
  <c r="S3646"/>
  <c r="T3646" s="1"/>
  <c r="S3692"/>
  <c r="T3692" s="1"/>
  <c r="S3738"/>
  <c r="T3738" s="1"/>
  <c r="S3774"/>
  <c r="T3774" s="1"/>
  <c r="S3820"/>
  <c r="T3820" s="1"/>
  <c r="S3866"/>
  <c r="T3866" s="1"/>
  <c r="S3902"/>
  <c r="T3902" s="1"/>
  <c r="S3948"/>
  <c r="T3948" s="1"/>
  <c r="S3998"/>
  <c r="T3998" s="1"/>
  <c r="S4044"/>
  <c r="T4044" s="1"/>
  <c r="S4077"/>
  <c r="T4077" s="1"/>
  <c r="S4109"/>
  <c r="T4109" s="1"/>
  <c r="S4141"/>
  <c r="T4141" s="1"/>
  <c r="S4173"/>
  <c r="T4173" s="1"/>
  <c r="S4205"/>
  <c r="T4205" s="1"/>
  <c r="S4237"/>
  <c r="T4237" s="1"/>
  <c r="S4269"/>
  <c r="T4269" s="1"/>
  <c r="S4301"/>
  <c r="T4301" s="1"/>
  <c r="S4333"/>
  <c r="T4333" s="1"/>
  <c r="S4365"/>
  <c r="T4365" s="1"/>
  <c r="S4397"/>
  <c r="T4397" s="1"/>
  <c r="S4429"/>
  <c r="T4429" s="1"/>
  <c r="S4461"/>
  <c r="T4461" s="1"/>
  <c r="S4493"/>
  <c r="T4493" s="1"/>
  <c r="S4525"/>
  <c r="T4525" s="1"/>
  <c r="S4557"/>
  <c r="T4557" s="1"/>
  <c r="S4589"/>
  <c r="T4589" s="1"/>
  <c r="S4621"/>
  <c r="T4621" s="1"/>
  <c r="S4653"/>
  <c r="T4653" s="1"/>
  <c r="S4685"/>
  <c r="T4685" s="1"/>
  <c r="S4717"/>
  <c r="T4717" s="1"/>
  <c r="S4749"/>
  <c r="T4749" s="1"/>
  <c r="S4781"/>
  <c r="T4781" s="1"/>
  <c r="S4821"/>
  <c r="T4821" s="1"/>
  <c r="S4853"/>
  <c r="T4853" s="1"/>
  <c r="S4885"/>
  <c r="T4885" s="1"/>
  <c r="S4917"/>
  <c r="T4917" s="1"/>
  <c r="S4949"/>
  <c r="T4949" s="1"/>
  <c r="S4989"/>
  <c r="T4989" s="1"/>
  <c r="S5021"/>
  <c r="T5021" s="1"/>
  <c r="S5053"/>
  <c r="T5053" s="1"/>
  <c r="S5085"/>
  <c r="T5085" s="1"/>
  <c r="S3291"/>
  <c r="T3291" s="1"/>
  <c r="S3327"/>
  <c r="T3327" s="1"/>
  <c r="S3356"/>
  <c r="T3356" s="1"/>
  <c r="S3375"/>
  <c r="T3375" s="1"/>
  <c r="S3412"/>
  <c r="T3412" s="1"/>
  <c r="S3458"/>
  <c r="T3458" s="1"/>
  <c r="S3540"/>
  <c r="T3540" s="1"/>
  <c r="S3586"/>
  <c r="T3586" s="1"/>
  <c r="S3622"/>
  <c r="T3622" s="1"/>
  <c r="S3668"/>
  <c r="T3668" s="1"/>
  <c r="S3732"/>
  <c r="T3732" s="1"/>
  <c r="S3814"/>
  <c r="T3814" s="1"/>
  <c r="S3910"/>
  <c r="T3910" s="1"/>
  <c r="S4034"/>
  <c r="T4034" s="1"/>
  <c r="S4115"/>
  <c r="T4115" s="1"/>
  <c r="S4195"/>
  <c r="T4195" s="1"/>
  <c r="S4283"/>
  <c r="T4283" s="1"/>
  <c r="S4363"/>
  <c r="T4363" s="1"/>
  <c r="S4443"/>
  <c r="T4443" s="1"/>
  <c r="S4523"/>
  <c r="T4523" s="1"/>
  <c r="S4603"/>
  <c r="T4603" s="1"/>
  <c r="S4691"/>
  <c r="T4691" s="1"/>
  <c r="S4771"/>
  <c r="T4771" s="1"/>
  <c r="S4859"/>
  <c r="T4859" s="1"/>
  <c r="S4931"/>
  <c r="T4931" s="1"/>
  <c r="S5027"/>
  <c r="T5027" s="1"/>
  <c r="S3199"/>
  <c r="T3199" s="1"/>
  <c r="S3270"/>
  <c r="T3270" s="1"/>
  <c r="S3796"/>
  <c r="T3796" s="1"/>
  <c r="S3860"/>
  <c r="T3860" s="1"/>
  <c r="S3988"/>
  <c r="T3988" s="1"/>
  <c r="S4059"/>
  <c r="T4059" s="1"/>
  <c r="S4107"/>
  <c r="T4107" s="1"/>
  <c r="S4163"/>
  <c r="T4163" s="1"/>
  <c r="S4211"/>
  <c r="T4211" s="1"/>
  <c r="S4259"/>
  <c r="T4259" s="1"/>
  <c r="S4315"/>
  <c r="T4315" s="1"/>
  <c r="S4371"/>
  <c r="T4371" s="1"/>
  <c r="S4419"/>
  <c r="T4419" s="1"/>
  <c r="S4475"/>
  <c r="T4475" s="1"/>
  <c r="S4531"/>
  <c r="T4531" s="1"/>
  <c r="S4579"/>
  <c r="T4579" s="1"/>
  <c r="S4635"/>
  <c r="T4635" s="1"/>
  <c r="S4683"/>
  <c r="T4683" s="1"/>
  <c r="S4739"/>
  <c r="T4739" s="1"/>
  <c r="S4787"/>
  <c r="T4787" s="1"/>
  <c r="S4843"/>
  <c r="T4843" s="1"/>
  <c r="S4891"/>
  <c r="T4891" s="1"/>
  <c r="S4963"/>
  <c r="T4963" s="1"/>
  <c r="S5019"/>
  <c r="T5019" s="1"/>
  <c r="S5075"/>
  <c r="T5075" s="1"/>
  <c r="S3251"/>
  <c r="T3251" s="1"/>
  <c r="S3305"/>
  <c r="T3305" s="1"/>
  <c r="S3324"/>
  <c r="T3324" s="1"/>
  <c r="S3343"/>
  <c r="T3343" s="1"/>
  <c r="S3372"/>
  <c r="T3372" s="1"/>
  <c r="S3420"/>
  <c r="T3420" s="1"/>
  <c r="S3502"/>
  <c r="T3502" s="1"/>
  <c r="S3566"/>
  <c r="T3566" s="1"/>
  <c r="S3612"/>
  <c r="T3612" s="1"/>
  <c r="S3658"/>
  <c r="T3658" s="1"/>
  <c r="S3694"/>
  <c r="T3694" s="1"/>
  <c r="S3740"/>
  <c r="T3740" s="1"/>
  <c r="S3786"/>
  <c r="T3786" s="1"/>
  <c r="S3822"/>
  <c r="T3822" s="1"/>
  <c r="S3868"/>
  <c r="T3868" s="1"/>
  <c r="S3914"/>
  <c r="T3914" s="1"/>
  <c r="S3964"/>
  <c r="T3964" s="1"/>
  <c r="S4014"/>
  <c r="T4014" s="1"/>
  <c r="S4049"/>
  <c r="T4049" s="1"/>
  <c r="S4081"/>
  <c r="T4081" s="1"/>
  <c r="S4113"/>
  <c r="T4113" s="1"/>
  <c r="S4145"/>
  <c r="T4145" s="1"/>
  <c r="S4177"/>
  <c r="T4177" s="1"/>
  <c r="S4209"/>
  <c r="T4209" s="1"/>
  <c r="S4241"/>
  <c r="T4241" s="1"/>
  <c r="S4273"/>
  <c r="T4273" s="1"/>
  <c r="S4305"/>
  <c r="T4305" s="1"/>
  <c r="S4337"/>
  <c r="T4337" s="1"/>
  <c r="S4369"/>
  <c r="T4369" s="1"/>
  <c r="S4401"/>
  <c r="T4401" s="1"/>
  <c r="S4433"/>
  <c r="T4433" s="1"/>
  <c r="S4465"/>
  <c r="T4465" s="1"/>
  <c r="S4497"/>
  <c r="T4497" s="1"/>
  <c r="S4529"/>
  <c r="T4529" s="1"/>
  <c r="S4561"/>
  <c r="T4561" s="1"/>
  <c r="S4593"/>
  <c r="T4593" s="1"/>
  <c r="S4625"/>
  <c r="T4625" s="1"/>
  <c r="S4657"/>
  <c r="T4657" s="1"/>
  <c r="S4689"/>
  <c r="T4689" s="1"/>
  <c r="S4721"/>
  <c r="T4721" s="1"/>
  <c r="S4753"/>
  <c r="T4753" s="1"/>
  <c r="S4785"/>
  <c r="T4785" s="1"/>
  <c r="S4817"/>
  <c r="T4817" s="1"/>
  <c r="S4849"/>
  <c r="T4849" s="1"/>
  <c r="S4881"/>
  <c r="T4881" s="1"/>
  <c r="S4921"/>
  <c r="T4921" s="1"/>
  <c r="S4961"/>
  <c r="T4961" s="1"/>
  <c r="S5001"/>
  <c r="T5001" s="1"/>
  <c r="S5033"/>
  <c r="T5033" s="1"/>
  <c r="S5065"/>
  <c r="T5065" s="1"/>
  <c r="S5097"/>
  <c r="T5097" s="1"/>
  <c r="S3830"/>
  <c r="T3830" s="1"/>
  <c r="S3894"/>
  <c r="T3894" s="1"/>
  <c r="S3954"/>
  <c r="T3954" s="1"/>
  <c r="S4004"/>
  <c r="T4004" s="1"/>
  <c r="S4055"/>
  <c r="T4055" s="1"/>
  <c r="S4095"/>
  <c r="T4095" s="1"/>
  <c r="S4135"/>
  <c r="T4135" s="1"/>
  <c r="S4175"/>
  <c r="T4175" s="1"/>
  <c r="S4207"/>
  <c r="T4207" s="1"/>
  <c r="S4247"/>
  <c r="T4247" s="1"/>
  <c r="S4287"/>
  <c r="T4287" s="1"/>
  <c r="S4327"/>
  <c r="T4327" s="1"/>
  <c r="S4359"/>
  <c r="T4359" s="1"/>
  <c r="S4399"/>
  <c r="T4399" s="1"/>
  <c r="S4439"/>
  <c r="T4439" s="1"/>
  <c r="S4479"/>
  <c r="T4479" s="1"/>
  <c r="S4511"/>
  <c r="T4511" s="1"/>
  <c r="S4551"/>
  <c r="T4551" s="1"/>
  <c r="S4591"/>
  <c r="T4591" s="1"/>
  <c r="S4623"/>
  <c r="T4623" s="1"/>
  <c r="S4663"/>
  <c r="T4663" s="1"/>
  <c r="S4703"/>
  <c r="T4703" s="1"/>
  <c r="S4743"/>
  <c r="T4743" s="1"/>
  <c r="S4775"/>
  <c r="T4775" s="1"/>
  <c r="S4815"/>
  <c r="T4815" s="1"/>
  <c r="S4855"/>
  <c r="T4855" s="1"/>
  <c r="S4895"/>
  <c r="T4895" s="1"/>
  <c r="S4975"/>
  <c r="T4975" s="1"/>
  <c r="S5007"/>
  <c r="T5007" s="1"/>
  <c r="S3259"/>
  <c r="T3259" s="1"/>
  <c r="S3302"/>
  <c r="T3302" s="1"/>
  <c r="S3326"/>
  <c r="T3326" s="1"/>
  <c r="S3363"/>
  <c r="T3363" s="1"/>
  <c r="S3410"/>
  <c r="T3410" s="1"/>
  <c r="S3460"/>
  <c r="T3460" s="1"/>
  <c r="S3506"/>
  <c r="T3506" s="1"/>
  <c r="S3556"/>
  <c r="T3556" s="1"/>
  <c r="S3606"/>
  <c r="T3606" s="1"/>
  <c r="S3652"/>
  <c r="T3652" s="1"/>
  <c r="S3698"/>
  <c r="T3698" s="1"/>
  <c r="S3734"/>
  <c r="T3734" s="1"/>
  <c r="S3780"/>
  <c r="T3780" s="1"/>
  <c r="S3986"/>
  <c r="T3986" s="1"/>
  <c r="S4215"/>
  <c r="T4215" s="1"/>
  <c r="S4423"/>
  <c r="T4423" s="1"/>
  <c r="S4631"/>
  <c r="T4631" s="1"/>
  <c r="S4919"/>
  <c r="T4919" s="1"/>
  <c r="S5023"/>
  <c r="T5023" s="1"/>
  <c r="S3991"/>
  <c r="T3991" s="1"/>
  <c r="S4023"/>
  <c r="T4023" s="1"/>
  <c r="S2334"/>
  <c r="T2334" s="1"/>
  <c r="S2398"/>
  <c r="T2398" s="1"/>
  <c r="S2534"/>
  <c r="T2534" s="1"/>
  <c r="S2598"/>
  <c r="T2598" s="1"/>
  <c r="S2667"/>
  <c r="T2667" s="1"/>
  <c r="S2776"/>
  <c r="T2776" s="1"/>
  <c r="S2861"/>
  <c r="T2861" s="1"/>
  <c r="S2943"/>
  <c r="T2943" s="1"/>
  <c r="S3032"/>
  <c r="T3032" s="1"/>
  <c r="S3117"/>
  <c r="T3117" s="1"/>
  <c r="S2686"/>
  <c r="T2686" s="1"/>
  <c r="S2788"/>
  <c r="T2788" s="1"/>
  <c r="S2873"/>
  <c r="T2873" s="1"/>
  <c r="S2962"/>
  <c r="T2962" s="1"/>
  <c r="S3044"/>
  <c r="T3044" s="1"/>
  <c r="S3129"/>
  <c r="T3129" s="1"/>
  <c r="S3221"/>
  <c r="T3221" s="1"/>
  <c r="S2663"/>
  <c r="T2663" s="1"/>
  <c r="S2778"/>
  <c r="T2778" s="1"/>
  <c r="S2828"/>
  <c r="T2828" s="1"/>
  <c r="S2874"/>
  <c r="T2874" s="1"/>
  <c r="S2913"/>
  <c r="T2913" s="1"/>
  <c r="S2956"/>
  <c r="T2956" s="1"/>
  <c r="S3002"/>
  <c r="T3002" s="1"/>
  <c r="S3041"/>
  <c r="T3041" s="1"/>
  <c r="S3084"/>
  <c r="T3084" s="1"/>
  <c r="S3130"/>
  <c r="T3130" s="1"/>
  <c r="S3169"/>
  <c r="T3169" s="1"/>
  <c r="S3215"/>
  <c r="T3215" s="1"/>
  <c r="S3268"/>
  <c r="T3268" s="1"/>
  <c r="S3307"/>
  <c r="T3307" s="1"/>
  <c r="S3353"/>
  <c r="T3353" s="1"/>
  <c r="S3416"/>
  <c r="T3416" s="1"/>
  <c r="S3480"/>
  <c r="T3480" s="1"/>
  <c r="S3544"/>
  <c r="T3544" s="1"/>
  <c r="S3616"/>
  <c r="T3616" s="1"/>
  <c r="S3688"/>
  <c r="T3688" s="1"/>
  <c r="S3760"/>
  <c r="T3760" s="1"/>
  <c r="S3824"/>
  <c r="T3824" s="1"/>
  <c r="S3888"/>
  <c r="T3888" s="1"/>
  <c r="S3960"/>
  <c r="T3960" s="1"/>
  <c r="S4024"/>
  <c r="T4024" s="1"/>
  <c r="S4058"/>
  <c r="T4058" s="1"/>
  <c r="S4074"/>
  <c r="T4074" s="1"/>
  <c r="S4090"/>
  <c r="T4090" s="1"/>
  <c r="S4106"/>
  <c r="T4106" s="1"/>
  <c r="S4122"/>
  <c r="T4122" s="1"/>
  <c r="S4138"/>
  <c r="T4138" s="1"/>
  <c r="S4154"/>
  <c r="T4154" s="1"/>
  <c r="S4170"/>
  <c r="T4170" s="1"/>
  <c r="S4186"/>
  <c r="T4186" s="1"/>
  <c r="S4202"/>
  <c r="T4202" s="1"/>
  <c r="S4218"/>
  <c r="T4218" s="1"/>
  <c r="S4234"/>
  <c r="T4234" s="1"/>
  <c r="S4250"/>
  <c r="T4250" s="1"/>
  <c r="S4266"/>
  <c r="T4266" s="1"/>
  <c r="S4282"/>
  <c r="T4282" s="1"/>
  <c r="S4298"/>
  <c r="T4298" s="1"/>
  <c r="S4314"/>
  <c r="T4314" s="1"/>
  <c r="S4330"/>
  <c r="T4330" s="1"/>
  <c r="S4346"/>
  <c r="T4346" s="1"/>
  <c r="S4362"/>
  <c r="T4362" s="1"/>
  <c r="S4378"/>
  <c r="T4378" s="1"/>
  <c r="S4394"/>
  <c r="T4394" s="1"/>
  <c r="S4410"/>
  <c r="T4410" s="1"/>
  <c r="S4426"/>
  <c r="T4426" s="1"/>
  <c r="S4442"/>
  <c r="T4442" s="1"/>
  <c r="S4458"/>
  <c r="T4458" s="1"/>
  <c r="S4474"/>
  <c r="T4474" s="1"/>
  <c r="S4490"/>
  <c r="T4490" s="1"/>
  <c r="S4506"/>
  <c r="T4506" s="1"/>
  <c r="S4518"/>
  <c r="T4518" s="1"/>
  <c r="S4526"/>
  <c r="T4526" s="1"/>
  <c r="S4534"/>
  <c r="T4534" s="1"/>
  <c r="S4542"/>
  <c r="T4542" s="1"/>
  <c r="S4550"/>
  <c r="T4550" s="1"/>
  <c r="S4558"/>
  <c r="T4558" s="1"/>
  <c r="S4566"/>
  <c r="T4566" s="1"/>
  <c r="S4574"/>
  <c r="T4574" s="1"/>
  <c r="S4582"/>
  <c r="T4582" s="1"/>
  <c r="S4590"/>
  <c r="T4590" s="1"/>
  <c r="S4598"/>
  <c r="T4598" s="1"/>
  <c r="S4606"/>
  <c r="T4606" s="1"/>
  <c r="S4614"/>
  <c r="T4614" s="1"/>
  <c r="S4622"/>
  <c r="T4622" s="1"/>
  <c r="S4630"/>
  <c r="T4630" s="1"/>
  <c r="S4638"/>
  <c r="T4638" s="1"/>
  <c r="S4648"/>
  <c r="T4648" s="1"/>
  <c r="S4656"/>
  <c r="T4656" s="1"/>
  <c r="S4664"/>
  <c r="T4664" s="1"/>
  <c r="S4672"/>
  <c r="T4672" s="1"/>
  <c r="S4680"/>
  <c r="T4680" s="1"/>
  <c r="S4688"/>
  <c r="T4688" s="1"/>
  <c r="S4696"/>
  <c r="T4696" s="1"/>
  <c r="S4704"/>
  <c r="T4704" s="1"/>
  <c r="S4712"/>
  <c r="T4712" s="1"/>
  <c r="S4720"/>
  <c r="T4720" s="1"/>
  <c r="S4728"/>
  <c r="T4728" s="1"/>
  <c r="S4736"/>
  <c r="T4736" s="1"/>
  <c r="S4744"/>
  <c r="T4744" s="1"/>
  <c r="S4752"/>
  <c r="T4752" s="1"/>
  <c r="S4760"/>
  <c r="T4760" s="1"/>
  <c r="S4768"/>
  <c r="T4768" s="1"/>
  <c r="S4776"/>
  <c r="T4776" s="1"/>
  <c r="S4784"/>
  <c r="T4784" s="1"/>
  <c r="S4792"/>
  <c r="T4792" s="1"/>
  <c r="S4800"/>
  <c r="T4800" s="1"/>
  <c r="S4808"/>
  <c r="T4808" s="1"/>
  <c r="S4816"/>
  <c r="T4816" s="1"/>
  <c r="S4826"/>
  <c r="T4826" s="1"/>
  <c r="S4834"/>
  <c r="T4834" s="1"/>
  <c r="S4842"/>
  <c r="T4842" s="1"/>
  <c r="S4850"/>
  <c r="T4850" s="1"/>
  <c r="S4858"/>
  <c r="T4858" s="1"/>
  <c r="S4866"/>
  <c r="T4866" s="1"/>
  <c r="S4876"/>
  <c r="T4876" s="1"/>
  <c r="S4884"/>
  <c r="T4884" s="1"/>
  <c r="S4892"/>
  <c r="T4892" s="1"/>
  <c r="S4902"/>
  <c r="T4902" s="1"/>
  <c r="S4910"/>
  <c r="T4910" s="1"/>
  <c r="S4920"/>
  <c r="T4920" s="1"/>
  <c r="S4928"/>
  <c r="T4928" s="1"/>
  <c r="S4936"/>
  <c r="T4936" s="1"/>
  <c r="S4944"/>
  <c r="T4944" s="1"/>
  <c r="S4954"/>
  <c r="T4954" s="1"/>
  <c r="S4962"/>
  <c r="T4962" s="1"/>
  <c r="S4970"/>
  <c r="T4970" s="1"/>
  <c r="S4980"/>
  <c r="T4980" s="1"/>
  <c r="S4988"/>
  <c r="T4988" s="1"/>
  <c r="S4996"/>
  <c r="T4996" s="1"/>
  <c r="S5006"/>
  <c r="T5006" s="1"/>
  <c r="S5014"/>
  <c r="T5014" s="1"/>
  <c r="S5024"/>
  <c r="T5024" s="1"/>
  <c r="S5032"/>
  <c r="T5032" s="1"/>
  <c r="S5042"/>
  <c r="S5050"/>
  <c r="T5050" s="1"/>
  <c r="S5058"/>
  <c r="T5058" s="1"/>
  <c r="S5066"/>
  <c r="T5066" s="1"/>
  <c r="S5076"/>
  <c r="T5076" s="1"/>
  <c r="S5084"/>
  <c r="T5084" s="1"/>
  <c r="S5092"/>
  <c r="T5092" s="1"/>
  <c r="S5100"/>
  <c r="T5100" s="1"/>
  <c r="S2682"/>
  <c r="T2682" s="1"/>
  <c r="S2714"/>
  <c r="T2714" s="1"/>
  <c r="S2740"/>
  <c r="T2740" s="1"/>
  <c r="S2761"/>
  <c r="T2761" s="1"/>
  <c r="S2786"/>
  <c r="T2786" s="1"/>
  <c r="S2804"/>
  <c r="T2804" s="1"/>
  <c r="S2825"/>
  <c r="T2825" s="1"/>
  <c r="S2850"/>
  <c r="T2850" s="1"/>
  <c r="S2868"/>
  <c r="T2868" s="1"/>
  <c r="S2889"/>
  <c r="T2889" s="1"/>
  <c r="S2914"/>
  <c r="T2914" s="1"/>
  <c r="S2932"/>
  <c r="T2932" s="1"/>
  <c r="S2953"/>
  <c r="T2953" s="1"/>
  <c r="S2978"/>
  <c r="T2978" s="1"/>
  <c r="S2996"/>
  <c r="T2996" s="1"/>
  <c r="S3017"/>
  <c r="T3017" s="1"/>
  <c r="S3042"/>
  <c r="T3042" s="1"/>
  <c r="S3060"/>
  <c r="T3060" s="1"/>
  <c r="S3081"/>
  <c r="T3081" s="1"/>
  <c r="S3106"/>
  <c r="T3106" s="1"/>
  <c r="S3124"/>
  <c r="T3124" s="1"/>
  <c r="S3145"/>
  <c r="T3145" s="1"/>
  <c r="S3170"/>
  <c r="T3170" s="1"/>
  <c r="S3188"/>
  <c r="T3188" s="1"/>
  <c r="S3216"/>
  <c r="T3216" s="1"/>
  <c r="S3196"/>
  <c r="T3196" s="1"/>
  <c r="S3247"/>
  <c r="T3247" s="1"/>
  <c r="S3290"/>
  <c r="T3290" s="1"/>
  <c r="S3331"/>
  <c r="T3331" s="1"/>
  <c r="S3369"/>
  <c r="T3369" s="1"/>
  <c r="S3390"/>
  <c r="T3390" s="1"/>
  <c r="S3436"/>
  <c r="T3436" s="1"/>
  <c r="S3482"/>
  <c r="T3482" s="1"/>
  <c r="S3532"/>
  <c r="T3532" s="1"/>
  <c r="S3578"/>
  <c r="T3578" s="1"/>
  <c r="S3614"/>
  <c r="T3614" s="1"/>
  <c r="S3660"/>
  <c r="T3660" s="1"/>
  <c r="S3706"/>
  <c r="T3706" s="1"/>
  <c r="S3742"/>
  <c r="T3742" s="1"/>
  <c r="S3788"/>
  <c r="T3788" s="1"/>
  <c r="S3834"/>
  <c r="T3834" s="1"/>
  <c r="S3870"/>
  <c r="T3870" s="1"/>
  <c r="S3916"/>
  <c r="T3916" s="1"/>
  <c r="S3962"/>
  <c r="T3962" s="1"/>
  <c r="S4012"/>
  <c r="T4012" s="1"/>
  <c r="S4053"/>
  <c r="T4053" s="1"/>
  <c r="S4085"/>
  <c r="T4085" s="1"/>
  <c r="S4117"/>
  <c r="T4117" s="1"/>
  <c r="S4149"/>
  <c r="T4149" s="1"/>
  <c r="S4181"/>
  <c r="T4181" s="1"/>
  <c r="S4213"/>
  <c r="T4213" s="1"/>
  <c r="S4245"/>
  <c r="T4245" s="1"/>
  <c r="S4277"/>
  <c r="T4277" s="1"/>
  <c r="S4309"/>
  <c r="T4309" s="1"/>
  <c r="S4341"/>
  <c r="T4341" s="1"/>
  <c r="S4373"/>
  <c r="T4373" s="1"/>
  <c r="S4405"/>
  <c r="T4405" s="1"/>
  <c r="S4437"/>
  <c r="T4437" s="1"/>
  <c r="S4469"/>
  <c r="T4469" s="1"/>
  <c r="S4501"/>
  <c r="T4501" s="1"/>
  <c r="S4533"/>
  <c r="T4533" s="1"/>
  <c r="S4565"/>
  <c r="T4565" s="1"/>
  <c r="S4597"/>
  <c r="T4597" s="1"/>
  <c r="S4629"/>
  <c r="T4629" s="1"/>
  <c r="S4661"/>
  <c r="T4661" s="1"/>
  <c r="S4693"/>
  <c r="T4693" s="1"/>
  <c r="S4725"/>
  <c r="T4725" s="1"/>
  <c r="S4757"/>
  <c r="T4757" s="1"/>
  <c r="S4789"/>
  <c r="T4789" s="1"/>
  <c r="S4829"/>
  <c r="T4829" s="1"/>
  <c r="S4861"/>
  <c r="T4861" s="1"/>
  <c r="S4893"/>
  <c r="T4893" s="1"/>
  <c r="S4925"/>
  <c r="T4925" s="1"/>
  <c r="S4957"/>
  <c r="T4957" s="1"/>
  <c r="S4997"/>
  <c r="T4997" s="1"/>
  <c r="S5029"/>
  <c r="T5029" s="1"/>
  <c r="S5061"/>
  <c r="T5061" s="1"/>
  <c r="S5093"/>
  <c r="T5093" s="1"/>
  <c r="S3298"/>
  <c r="T3298" s="1"/>
  <c r="S3337"/>
  <c r="T3337" s="1"/>
  <c r="S3361"/>
  <c r="T3361" s="1"/>
  <c r="S3380"/>
  <c r="T3380" s="1"/>
  <c r="S3426"/>
  <c r="T3426" s="1"/>
  <c r="S3462"/>
  <c r="T3462" s="1"/>
  <c r="S3508"/>
  <c r="T3508" s="1"/>
  <c r="S3590"/>
  <c r="T3590" s="1"/>
  <c r="S3636"/>
  <c r="T3636" s="1"/>
  <c r="S3686"/>
  <c r="T3686" s="1"/>
  <c r="S3746"/>
  <c r="T3746" s="1"/>
  <c r="S3842"/>
  <c r="T3842" s="1"/>
  <c r="S3924"/>
  <c r="T3924" s="1"/>
  <c r="S4051"/>
  <c r="T4051" s="1"/>
  <c r="S4139"/>
  <c r="T4139" s="1"/>
  <c r="S4219"/>
  <c r="T4219" s="1"/>
  <c r="S4307"/>
  <c r="T4307" s="1"/>
  <c r="S4379"/>
  <c r="T4379" s="1"/>
  <c r="S4467"/>
  <c r="T4467" s="1"/>
  <c r="S4547"/>
  <c r="T4547" s="1"/>
  <c r="S4627"/>
  <c r="T4627" s="1"/>
  <c r="S4707"/>
  <c r="T4707" s="1"/>
  <c r="S4795"/>
  <c r="T4795" s="1"/>
  <c r="S4875"/>
  <c r="T4875" s="1"/>
  <c r="S4947"/>
  <c r="T4947" s="1"/>
  <c r="S5051"/>
  <c r="T5051" s="1"/>
  <c r="S3234"/>
  <c r="T3234" s="1"/>
  <c r="S3938"/>
  <c r="T3938" s="1"/>
  <c r="S4002"/>
  <c r="S4067"/>
  <c r="T4067" s="1"/>
  <c r="S4123"/>
  <c r="T4123" s="1"/>
  <c r="S4171"/>
  <c r="T4171" s="1"/>
  <c r="S4227"/>
  <c r="T4227" s="1"/>
  <c r="S4275"/>
  <c r="T4275" s="1"/>
  <c r="S4331"/>
  <c r="T4331" s="1"/>
  <c r="S4387"/>
  <c r="T4387" s="1"/>
  <c r="S4435"/>
  <c r="T4435" s="1"/>
  <c r="S4491"/>
  <c r="T4491" s="1"/>
  <c r="S4539"/>
  <c r="T4539" s="1"/>
  <c r="S4595"/>
  <c r="T4595" s="1"/>
  <c r="S4643"/>
  <c r="T4643" s="1"/>
  <c r="S4699"/>
  <c r="T4699" s="1"/>
  <c r="S4755"/>
  <c r="T4755" s="1"/>
  <c r="S4803"/>
  <c r="T4803" s="1"/>
  <c r="S4851"/>
  <c r="T4851" s="1"/>
  <c r="S4907"/>
  <c r="T4907" s="1"/>
  <c r="S4979"/>
  <c r="T4979" s="1"/>
  <c r="S5035"/>
  <c r="T5035" s="1"/>
  <c r="S5091"/>
  <c r="T5091" s="1"/>
  <c r="S3258"/>
  <c r="T3258" s="1"/>
  <c r="S3310"/>
  <c r="T3310" s="1"/>
  <c r="S3329"/>
  <c r="T3329" s="1"/>
  <c r="S3348"/>
  <c r="T3348" s="1"/>
  <c r="S3388"/>
  <c r="T3388" s="1"/>
  <c r="S3434"/>
  <c r="T3434" s="1"/>
  <c r="S3470"/>
  <c r="T3470" s="1"/>
  <c r="S3516"/>
  <c r="T3516" s="1"/>
  <c r="S3580"/>
  <c r="T3580" s="1"/>
  <c r="S3626"/>
  <c r="T3626" s="1"/>
  <c r="S3662"/>
  <c r="T3662" s="1"/>
  <c r="S3708"/>
  <c r="T3708" s="1"/>
  <c r="S3754"/>
  <c r="T3754" s="1"/>
  <c r="S3790"/>
  <c r="T3790" s="1"/>
  <c r="S3836"/>
  <c r="T3836" s="1"/>
  <c r="S3882"/>
  <c r="T3882" s="1"/>
  <c r="S3918"/>
  <c r="T3918" s="1"/>
  <c r="S3978"/>
  <c r="T3978" s="1"/>
  <c r="S4028"/>
  <c r="T4028" s="1"/>
  <c r="S4057"/>
  <c r="T4057" s="1"/>
  <c r="S4089"/>
  <c r="T4089" s="1"/>
  <c r="S4121"/>
  <c r="T4121" s="1"/>
  <c r="S4153"/>
  <c r="T4153" s="1"/>
  <c r="S4185"/>
  <c r="T4185" s="1"/>
  <c r="S4217"/>
  <c r="T4217" s="1"/>
  <c r="S4249"/>
  <c r="T4249" s="1"/>
  <c r="S4281"/>
  <c r="T4281" s="1"/>
  <c r="S4313"/>
  <c r="T4313" s="1"/>
  <c r="S4345"/>
  <c r="T4345" s="1"/>
  <c r="S4377"/>
  <c r="T4377" s="1"/>
  <c r="S4409"/>
  <c r="T4409" s="1"/>
  <c r="S4441"/>
  <c r="T4441" s="1"/>
  <c r="S4473"/>
  <c r="T4473" s="1"/>
  <c r="S4505"/>
  <c r="T4505" s="1"/>
  <c r="S4537"/>
  <c r="T4537" s="1"/>
  <c r="S4569"/>
  <c r="T4569" s="1"/>
  <c r="S4601"/>
  <c r="T4601" s="1"/>
  <c r="S4633"/>
  <c r="T4633" s="1"/>
  <c r="S4665"/>
  <c r="T4665" s="1"/>
  <c r="S4697"/>
  <c r="T4697" s="1"/>
  <c r="S4729"/>
  <c r="T4729" s="1"/>
  <c r="S4761"/>
  <c r="T4761" s="1"/>
  <c r="S4793"/>
  <c r="T4793" s="1"/>
  <c r="S4825"/>
  <c r="T4825" s="1"/>
  <c r="S4857"/>
  <c r="T4857" s="1"/>
  <c r="S4889"/>
  <c r="T4889" s="1"/>
  <c r="S4937"/>
  <c r="T4937" s="1"/>
  <c r="S4969"/>
  <c r="T4969" s="1"/>
  <c r="S5009"/>
  <c r="T5009" s="1"/>
  <c r="S5041"/>
  <c r="S5073"/>
  <c r="T5073" s="1"/>
  <c r="S3798"/>
  <c r="T3798" s="1"/>
  <c r="S3844"/>
  <c r="T3844" s="1"/>
  <c r="S3908"/>
  <c r="T3908" s="1"/>
  <c r="S3958"/>
  <c r="T3958" s="1"/>
  <c r="S4018"/>
  <c r="T4018" s="1"/>
  <c r="S4071"/>
  <c r="T4071" s="1"/>
  <c r="S4103"/>
  <c r="T4103" s="1"/>
  <c r="S4143"/>
  <c r="T4143" s="1"/>
  <c r="S4183"/>
  <c r="T4183" s="1"/>
  <c r="S4223"/>
  <c r="T4223" s="1"/>
  <c r="S4255"/>
  <c r="T4255" s="1"/>
  <c r="S4295"/>
  <c r="T4295" s="1"/>
  <c r="S4335"/>
  <c r="S4375"/>
  <c r="T4375" s="1"/>
  <c r="S4407"/>
  <c r="T4407" s="1"/>
  <c r="S4447"/>
  <c r="T4447" s="1"/>
  <c r="S4487"/>
  <c r="T4487" s="1"/>
  <c r="S4519"/>
  <c r="T4519" s="1"/>
  <c r="S4559"/>
  <c r="T4559" s="1"/>
  <c r="S4599"/>
  <c r="T4599" s="1"/>
  <c r="S4639"/>
  <c r="T4639" s="1"/>
  <c r="S4671"/>
  <c r="T4671" s="1"/>
  <c r="S4711"/>
  <c r="T4711" s="1"/>
  <c r="S4751"/>
  <c r="T4751" s="1"/>
  <c r="S4783"/>
  <c r="T4783" s="1"/>
  <c r="S4823"/>
  <c r="T4823" s="1"/>
  <c r="S4863"/>
  <c r="T4863" s="1"/>
  <c r="S4903"/>
  <c r="T4903" s="1"/>
  <c r="S4943"/>
  <c r="T4943" s="1"/>
  <c r="S4983"/>
  <c r="T4983" s="1"/>
  <c r="S5015"/>
  <c r="T5015" s="1"/>
  <c r="S3266"/>
  <c r="T3266" s="1"/>
  <c r="S3306"/>
  <c r="T3306" s="1"/>
  <c r="S3330"/>
  <c r="T3330" s="1"/>
  <c r="S3377"/>
  <c r="T3377" s="1"/>
  <c r="S3414"/>
  <c r="T3414" s="1"/>
  <c r="S3474"/>
  <c r="T3474" s="1"/>
  <c r="S3510"/>
  <c r="T3510" s="1"/>
  <c r="S3620"/>
  <c r="T3620" s="1"/>
  <c r="S3666"/>
  <c r="T3666" s="1"/>
  <c r="S3702"/>
  <c r="T3702" s="1"/>
  <c r="S3748"/>
  <c r="T3748" s="1"/>
  <c r="S3794"/>
  <c r="T3794" s="1"/>
  <c r="S4063"/>
  <c r="T4063" s="1"/>
  <c r="S4271"/>
  <c r="T4271" s="1"/>
  <c r="S4471"/>
  <c r="T4471" s="1"/>
  <c r="S4679"/>
  <c r="T4679" s="1"/>
  <c r="S4967"/>
  <c r="T4967" s="1"/>
  <c r="S5031"/>
  <c r="T5031" s="1"/>
  <c r="S5087"/>
  <c r="T5087" s="1"/>
  <c r="S5103"/>
  <c r="T5103" s="1"/>
  <c r="S4929"/>
  <c r="T4929" s="1"/>
  <c r="S4987"/>
  <c r="T4987" s="1"/>
  <c r="S3442"/>
  <c r="T3442" s="1"/>
  <c r="S4981"/>
  <c r="T4981" s="1"/>
  <c r="S4822"/>
  <c r="U3238"/>
  <c r="V3238" s="1"/>
  <c r="U3280"/>
  <c r="V3280" s="1"/>
  <c r="U1251"/>
  <c r="V1251" s="1"/>
  <c r="U2616"/>
  <c r="V2616" s="1"/>
  <c r="U3321"/>
  <c r="V3321" s="1"/>
  <c r="U4940"/>
  <c r="V4940" s="1"/>
  <c r="U3389"/>
  <c r="V3389" s="1"/>
  <c r="U4887"/>
  <c r="V4887" s="1"/>
  <c r="U3518"/>
  <c r="V3518" s="1"/>
  <c r="U3588"/>
  <c r="V3588" s="1"/>
  <c r="U3392"/>
  <c r="V3392" s="1"/>
  <c r="U4874"/>
  <c r="V4874" s="1"/>
  <c r="U3479"/>
  <c r="V3479" s="1"/>
  <c r="U3756"/>
  <c r="V3756" s="1"/>
  <c r="U3455"/>
  <c r="V3455" s="1"/>
  <c r="U3879"/>
  <c r="V3879" s="1"/>
  <c r="U2025"/>
  <c r="V2025" s="1"/>
  <c r="T2021"/>
  <c r="T2020"/>
  <c r="T2016"/>
  <c r="T2014"/>
  <c r="U3871"/>
  <c r="V3871" s="1"/>
  <c r="U3718"/>
  <c r="V3718" s="1"/>
  <c r="U4822"/>
  <c r="V4822" s="1"/>
  <c r="U3810"/>
  <c r="V3810" s="1"/>
  <c r="T56"/>
  <c r="T79"/>
  <c r="T58"/>
  <c r="T74"/>
  <c r="T90"/>
  <c r="T187"/>
  <c r="T89"/>
  <c r="T154"/>
  <c r="T162"/>
  <c r="T173"/>
  <c r="T203"/>
  <c r="T268"/>
  <c r="T288"/>
  <c r="T106"/>
  <c r="T151"/>
  <c r="T276"/>
  <c r="T298"/>
  <c r="T344"/>
  <c r="T367"/>
  <c r="T370"/>
  <c r="T199"/>
  <c r="T230"/>
  <c r="T242"/>
  <c r="T320"/>
  <c r="T366"/>
  <c r="T378"/>
  <c r="T309"/>
  <c r="T396"/>
  <c r="T442"/>
  <c r="T206"/>
  <c r="T376"/>
  <c r="T421"/>
  <c r="T422"/>
  <c r="T585"/>
  <c r="T610"/>
  <c r="T643"/>
  <c r="T660"/>
  <c r="T233"/>
  <c r="T361"/>
  <c r="T468"/>
  <c r="T506"/>
  <c r="T530"/>
  <c r="T547"/>
  <c r="T612"/>
  <c r="T644"/>
  <c r="T675"/>
  <c r="T353"/>
  <c r="T499"/>
  <c r="T329"/>
  <c r="T94"/>
  <c r="T431"/>
  <c r="T574"/>
  <c r="T580"/>
  <c r="T670"/>
  <c r="T687"/>
  <c r="T628"/>
  <c r="T681"/>
  <c r="T696"/>
  <c r="T529"/>
  <c r="T596"/>
  <c r="T768"/>
  <c r="T797"/>
  <c r="T805"/>
  <c r="T829"/>
  <c r="T836"/>
  <c r="T963"/>
  <c r="T498"/>
  <c r="T606"/>
  <c r="T794"/>
  <c r="T803"/>
  <c r="T806"/>
  <c r="T819"/>
  <c r="T823"/>
  <c r="T830"/>
  <c r="T831"/>
  <c r="T858"/>
  <c r="T892"/>
  <c r="T986"/>
  <c r="T993"/>
  <c r="T542"/>
  <c r="T771"/>
  <c r="T839"/>
  <c r="T873"/>
  <c r="T950"/>
  <c r="T952"/>
  <c r="T1027"/>
  <c r="T1001"/>
  <c r="T1110"/>
  <c r="T1132"/>
  <c r="T1188"/>
  <c r="T1191"/>
  <c r="T237"/>
  <c r="T764"/>
  <c r="T935"/>
  <c r="T1057"/>
  <c r="T1089"/>
  <c r="T1121"/>
  <c r="T1155"/>
  <c r="T1184"/>
  <c r="T1200"/>
  <c r="T1205"/>
  <c r="T1219"/>
  <c r="T855"/>
  <c r="T1059"/>
  <c r="T1085"/>
  <c r="T1244"/>
  <c r="T1740"/>
  <c r="T1146"/>
  <c r="T1178"/>
  <c r="T1255"/>
  <c r="T1275"/>
  <c r="T1279"/>
  <c r="T1359"/>
  <c r="T1363"/>
  <c r="T1427"/>
  <c r="T1430"/>
  <c r="T1452"/>
  <c r="T1458"/>
  <c r="T1480"/>
  <c r="T1498"/>
  <c r="T1524"/>
  <c r="T1550"/>
  <c r="T1574"/>
  <c r="T1608"/>
  <c r="T1620"/>
  <c r="T1642"/>
  <c r="T1654"/>
  <c r="T1673"/>
  <c r="T1684"/>
  <c r="T1716"/>
  <c r="T1736"/>
  <c r="T1737"/>
  <c r="T1063"/>
  <c r="T1160"/>
  <c r="T1211"/>
  <c r="T1349"/>
  <c r="T1352"/>
  <c r="T1413"/>
  <c r="T1416"/>
  <c r="T1723"/>
  <c r="T1798"/>
  <c r="T1802"/>
  <c r="T1834"/>
  <c r="T1847"/>
  <c r="T1953"/>
  <c r="T1127"/>
  <c r="T1166"/>
  <c r="T1272"/>
  <c r="T1284"/>
  <c r="T1783"/>
  <c r="T1787"/>
  <c r="T1805"/>
  <c r="T1873"/>
  <c r="T1922"/>
  <c r="T1933"/>
  <c r="T1948"/>
  <c r="T2058"/>
  <c r="T2068"/>
  <c r="T2070"/>
  <c r="T2078"/>
  <c r="T2111"/>
  <c r="T1321"/>
  <c r="T1393"/>
  <c r="T1401"/>
  <c r="T1164"/>
  <c r="T1445"/>
  <c r="T1597"/>
  <c r="T1725"/>
  <c r="T1845"/>
  <c r="T1869"/>
  <c r="T1872"/>
  <c r="T1988"/>
  <c r="T2001"/>
  <c r="T2003"/>
  <c r="T2057"/>
  <c r="T2075"/>
  <c r="T2621"/>
  <c r="T2627"/>
  <c r="T1479"/>
  <c r="T1511"/>
  <c r="T1583"/>
  <c r="T2180"/>
  <c r="T2184"/>
  <c r="T2186"/>
  <c r="T2197"/>
  <c r="T2214"/>
  <c r="T2218"/>
  <c r="T2233"/>
  <c r="T2246"/>
  <c r="T2248"/>
  <c r="T1465"/>
  <c r="T1650"/>
  <c r="T1703"/>
  <c r="T2731"/>
  <c r="T2795"/>
  <c r="T3051"/>
  <c r="T3068"/>
  <c r="T3083"/>
  <c r="T1595"/>
  <c r="T2286"/>
  <c r="T2288"/>
  <c r="T2318"/>
  <c r="T2320"/>
  <c r="T2340"/>
  <c r="T2344"/>
  <c r="T2405"/>
  <c r="T2433"/>
  <c r="T2435"/>
  <c r="T2447"/>
  <c r="T2503"/>
  <c r="T2531"/>
  <c r="T2535"/>
  <c r="T2537"/>
  <c r="T2557"/>
  <c r="T2563"/>
  <c r="T2855"/>
  <c r="T2936"/>
  <c r="T1443"/>
  <c r="T1603"/>
  <c r="T1670"/>
  <c r="T2599"/>
  <c r="T2652"/>
  <c r="T2716"/>
  <c r="T2728"/>
  <c r="T2851"/>
  <c r="T3179"/>
  <c r="T3198"/>
  <c r="T3272"/>
  <c r="T3341"/>
  <c r="T3381"/>
  <c r="T3425"/>
  <c r="T3446"/>
  <c r="T2305"/>
  <c r="T2410"/>
  <c r="T3457"/>
  <c r="T3469"/>
  <c r="T3545"/>
  <c r="T3609"/>
  <c r="T3736"/>
  <c r="T3777"/>
  <c r="T3961"/>
  <c r="T3984"/>
  <c r="T1483"/>
  <c r="T2404"/>
  <c r="T2532"/>
  <c r="T3023"/>
  <c r="T3249"/>
  <c r="T3729"/>
  <c r="T3837"/>
  <c r="T3925"/>
  <c r="T4002"/>
  <c r="T4068"/>
  <c r="T1515"/>
  <c r="T2261"/>
  <c r="T2269"/>
  <c r="T2680"/>
  <c r="T2688"/>
  <c r="T3579"/>
  <c r="T3599"/>
  <c r="T3757"/>
  <c r="T3848"/>
  <c r="T3864"/>
  <c r="T4112"/>
  <c r="T4320"/>
  <c r="T4432"/>
  <c r="T2568"/>
  <c r="T2601"/>
  <c r="T4029"/>
  <c r="T4174"/>
  <c r="T4349"/>
  <c r="T4462"/>
  <c r="T4494"/>
  <c r="T4869"/>
  <c r="T3710"/>
  <c r="T3947"/>
  <c r="T4567"/>
  <c r="T2910"/>
  <c r="T4334"/>
  <c r="T5080"/>
  <c r="T1547"/>
  <c r="T2255"/>
  <c r="T4436"/>
  <c r="T3743"/>
  <c r="T4939"/>
  <c r="T4335"/>
  <c r="V46"/>
  <c r="U451"/>
  <c r="V451" s="1"/>
  <c r="H1508"/>
  <c r="I1507"/>
  <c r="S3294" l="1"/>
  <c r="T3294" s="1"/>
  <c r="S3423"/>
  <c r="T3423" s="1"/>
  <c r="S3597"/>
  <c r="T3597" s="1"/>
  <c r="S3906"/>
  <c r="T3906" s="1"/>
  <c r="S3919"/>
  <c r="T3919" s="1"/>
  <c r="S3584"/>
  <c r="T3584" s="1"/>
  <c r="S3712"/>
  <c r="T3712" s="1"/>
  <c r="S3874"/>
  <c r="T3874" s="1"/>
  <c r="S3373"/>
  <c r="T3373" s="1"/>
  <c r="S3479"/>
  <c r="T3479" s="1"/>
  <c r="S4976"/>
  <c r="T4976" s="1"/>
  <c r="S3756"/>
  <c r="T3756" s="1"/>
  <c r="S3565"/>
  <c r="T3565" s="1"/>
  <c r="S3810"/>
  <c r="T3810" s="1"/>
  <c r="S3389"/>
  <c r="T3389" s="1"/>
  <c r="S3935"/>
  <c r="T3935" s="1"/>
  <c r="S4935"/>
  <c r="T4935" s="1"/>
  <c r="S3588"/>
  <c r="T3588" s="1"/>
  <c r="S3570"/>
  <c r="T3570" s="1"/>
  <c r="S3974"/>
  <c r="T3974" s="1"/>
  <c r="S3554"/>
  <c r="T3554" s="1"/>
  <c r="S3637"/>
  <c r="T3637" s="1"/>
  <c r="S3718"/>
  <c r="T3718" s="1"/>
  <c r="S3890"/>
  <c r="T3890" s="1"/>
  <c r="S4923"/>
  <c r="T4923" s="1"/>
  <c r="S3966"/>
  <c r="T3966" s="1"/>
  <c r="S4835"/>
  <c r="T4835" s="1"/>
  <c r="S3530"/>
  <c r="T3530" s="1"/>
  <c r="S3534"/>
  <c r="T3534" s="1"/>
  <c r="S3415"/>
  <c r="T3415" s="1"/>
  <c r="S3507"/>
  <c r="T3507" s="1"/>
  <c r="S3395"/>
  <c r="T3395" s="1"/>
  <c r="S5055"/>
  <c r="T5055" s="1"/>
  <c r="S3284"/>
  <c r="T3284" s="1"/>
  <c r="S3466"/>
  <c r="T3466" s="1"/>
  <c r="S3950"/>
  <c r="T3950" s="1"/>
  <c r="S3518"/>
  <c r="T3518" s="1"/>
  <c r="S3749"/>
  <c r="T3749" s="1"/>
  <c r="S3538"/>
  <c r="T3538" s="1"/>
  <c r="S3682"/>
  <c r="T3682" s="1"/>
  <c r="S3549"/>
  <c r="T3549" s="1"/>
  <c r="S4827"/>
  <c r="T4827" s="1"/>
  <c r="S4916"/>
  <c r="T4916" s="1"/>
  <c r="S5038"/>
  <c r="T5038" s="1"/>
  <c r="S3347"/>
  <c r="T3347" s="1"/>
  <c r="S4898"/>
  <c r="T4898" s="1"/>
  <c r="S4847"/>
  <c r="T4847" s="1"/>
  <c r="S3431"/>
  <c r="T3431" s="1"/>
  <c r="S4940"/>
  <c r="T4940" s="1"/>
  <c r="S4874"/>
  <c r="T4874" s="1"/>
  <c r="S3455"/>
  <c r="T3455" s="1"/>
  <c r="S5068"/>
  <c r="T5068" s="1"/>
  <c r="S4993"/>
  <c r="T4993" s="1"/>
  <c r="S3763"/>
  <c r="T3763" s="1"/>
  <c r="S3321"/>
  <c r="T3321" s="1"/>
  <c r="S3955"/>
  <c r="T3955" s="1"/>
  <c r="S5022"/>
  <c r="T5022" s="1"/>
  <c r="S3871"/>
  <c r="T3871" s="1"/>
  <c r="S3392"/>
  <c r="T3392" s="1"/>
  <c r="S3959"/>
  <c r="T3959" s="1"/>
  <c r="S3640"/>
  <c r="T3640" s="1"/>
  <c r="S4913"/>
  <c r="T4913" s="1"/>
  <c r="S3562"/>
  <c r="T3562" s="1"/>
  <c r="S3879"/>
  <c r="T3879" s="1"/>
  <c r="S3883"/>
  <c r="T3883" s="1"/>
  <c r="S3494"/>
  <c r="T3494" s="1"/>
  <c r="S4642"/>
  <c r="T4642" s="1"/>
  <c r="S4998"/>
  <c r="T4998" s="1"/>
  <c r="S4887"/>
  <c r="T4887" s="1"/>
  <c r="S3867"/>
  <c r="T3867" s="1"/>
  <c r="S3912"/>
  <c r="T3912" s="1"/>
  <c r="T2025"/>
  <c r="T4822"/>
  <c r="T451"/>
  <c r="T46"/>
  <c r="H1509"/>
  <c r="I1508"/>
  <c r="H1511" l="1"/>
  <c r="I1509"/>
  <c r="H1513" l="1"/>
  <c r="I1513" s="1"/>
  <c r="H1515"/>
  <c r="I1511"/>
  <c r="H1516" l="1"/>
  <c r="I1515"/>
  <c r="H1518" l="1"/>
  <c r="I1516"/>
  <c r="H1568" l="1"/>
  <c r="I1518"/>
  <c r="J1564" s="1"/>
  <c r="J1565" s="1"/>
  <c r="H1566" l="1"/>
  <c r="O1566" s="1"/>
  <c r="I1564"/>
  <c r="I1565" s="1"/>
  <c r="H1569"/>
  <c r="I1569" s="1"/>
  <c r="I1568"/>
  <c r="R1566" l="1"/>
  <c r="J1582"/>
  <c r="J1583" s="1"/>
  <c r="S1566" l="1"/>
  <c r="U1566"/>
  <c r="H1584"/>
  <c r="O1584" s="1"/>
  <c r="I1582"/>
  <c r="I1583" s="1"/>
  <c r="R1584" l="1"/>
  <c r="T1566"/>
  <c r="V1566"/>
  <c r="S1584" l="1"/>
  <c r="T1584" s="1"/>
  <c r="U1584"/>
  <c r="V1584" l="1"/>
  <c r="F2003" l="1"/>
  <c r="I2003" s="1"/>
  <c r="J2004" l="1"/>
  <c r="J2005" s="1"/>
  <c r="I2004" s="1"/>
  <c r="I2005" s="1"/>
  <c r="H2006" s="1"/>
  <c r="O2006" s="1"/>
  <c r="R2006" l="1"/>
  <c r="U2006" l="1"/>
  <c r="V2006" s="1"/>
  <c r="S2006" l="1"/>
  <c r="T2006" s="1"/>
  <c r="Q3407" l="1"/>
  <c r="R3407" s="1"/>
  <c r="S3407" l="1"/>
  <c r="T3407" s="1"/>
  <c r="J1796" l="1"/>
  <c r="I1795" s="1"/>
  <c r="I1796" l="1"/>
  <c r="H1797" s="1"/>
  <c r="O1797" s="1"/>
  <c r="R1797" l="1"/>
  <c r="S1797" l="1"/>
  <c r="T1797" s="1"/>
  <c r="U1797"/>
  <c r="V1797" s="1"/>
  <c r="J1906" l="1"/>
  <c r="I1906" s="1"/>
  <c r="H1907" s="1"/>
  <c r="O1907" s="1"/>
  <c r="R1907" l="1"/>
  <c r="I1905"/>
  <c r="U1907" l="1"/>
  <c r="V1907" s="1"/>
  <c r="S1907" l="1"/>
  <c r="T1907" s="1"/>
  <c r="J4812" l="1"/>
  <c r="I4811" l="1"/>
  <c r="I4812"/>
  <c r="H4813" s="1"/>
  <c r="O4813" s="1"/>
  <c r="R4813" l="1"/>
  <c r="U4813" l="1"/>
  <c r="S4813" l="1"/>
  <c r="T4813" s="1"/>
  <c r="V4813"/>
  <c r="J5046" l="1"/>
  <c r="I5045" s="1"/>
  <c r="I5046" l="1"/>
  <c r="H5047" s="1"/>
  <c r="O5047" s="1"/>
  <c r="R5047" l="1"/>
  <c r="R5104" l="1"/>
  <c r="U5047"/>
  <c r="V5047" s="1"/>
  <c r="V5104" s="1"/>
  <c r="U5104" l="1"/>
  <c r="S5047"/>
  <c r="S5104" s="1"/>
  <c r="T5047" l="1"/>
  <c r="T5104" s="1"/>
  <c r="W1160" i="16" l="1"/>
  <c r="G1161"/>
  <c r="G35"/>
  <c r="H986"/>
  <c r="G36"/>
</calcChain>
</file>

<file path=xl/sharedStrings.xml><?xml version="1.0" encoding="utf-8"?>
<sst xmlns="http://schemas.openxmlformats.org/spreadsheetml/2006/main" count="33017" uniqueCount="5955">
  <si>
    <t>TAMILNADU POLICE HOUSING CORPORATION LIMITED</t>
  </si>
  <si>
    <t>TRICHY DIVISION</t>
  </si>
  <si>
    <t>Detailed Estimate</t>
  </si>
  <si>
    <t>Sl.No</t>
  </si>
  <si>
    <t xml:space="preserve">Description of work </t>
  </si>
  <si>
    <t>No</t>
  </si>
  <si>
    <t xml:space="preserve">Measurement in Mtrs </t>
  </si>
  <si>
    <t>Qty</t>
  </si>
  <si>
    <t xml:space="preserve">Length </t>
  </si>
  <si>
    <t>Breath</t>
  </si>
  <si>
    <t>Depth</t>
  </si>
  <si>
    <t>Say</t>
  </si>
  <si>
    <t>Rmt</t>
  </si>
  <si>
    <t>Nos</t>
  </si>
  <si>
    <t>Contents</t>
  </si>
  <si>
    <t>Column1</t>
  </si>
  <si>
    <t>Column2</t>
  </si>
  <si>
    <t>Column3</t>
  </si>
  <si>
    <t>Column4</t>
  </si>
  <si>
    <t>Cum</t>
  </si>
  <si>
    <t>RCC Qty</t>
  </si>
  <si>
    <t>x</t>
  </si>
  <si>
    <t>MT</t>
  </si>
  <si>
    <t>L</t>
  </si>
  <si>
    <t>B</t>
  </si>
  <si>
    <t>D</t>
  </si>
  <si>
    <t>Sqm</t>
  </si>
  <si>
    <t>Plastering with CM 1:5 (one of cement and five of sand) 12mm thick finished with  neat cement including providing band cornice, ceiling cornice, curing, scaffolding  etc., complete in all respects and complying with relevant standard specifications.</t>
  </si>
  <si>
    <t>Total</t>
  </si>
  <si>
    <t>=</t>
  </si>
  <si>
    <t xml:space="preserve"> </t>
  </si>
  <si>
    <t>===========</t>
  </si>
  <si>
    <t>/</t>
  </si>
  <si>
    <t>m2</t>
  </si>
  <si>
    <t>m</t>
  </si>
  <si>
    <t>Special ceiling plastering in cement mortar 1:3 (one of cement and three of sand)  10mm thick for bottom of roof, stair waist, landing and sunshades in all floors finished with neat cement including hacking the areas, providing band cornice, scaffolding curing etc., complete.</t>
  </si>
  <si>
    <t>Supplying, fabricating and placing in position of mild steel grills/ribbed tor steels for reinforcement for all floors including cost of binding wire, bending, tying etc., all complete and as directed by the departmental officers.</t>
  </si>
  <si>
    <t>White washing three coats using clean shell lime slaked including cost of lime, gum, blue, brushes including scaffolding etc., complete in all respects.</t>
  </si>
  <si>
    <t>Painting the new walls with two coats of approved best ready mixed plastic emulsion paint in addition to one coat of approved primer coat over cement plastered wall surfaces and ceiling including cost of plastic emulsion paint, putty, brushers etc., all complete and as directed by the departmental officers (the emulsion paint and its shade should be got approved from the executive engineer before using)</t>
  </si>
  <si>
    <t>Supplying and fixing Mild steel Grills as per the design approved to verandah enclosure or gate including one coat of primer and labour for fixing in position etc., all complete.</t>
  </si>
  <si>
    <t>Kg</t>
  </si>
  <si>
    <t>a. Light point with ceiling rose</t>
  </si>
  <si>
    <t>b. Light point without ceiling rose</t>
  </si>
  <si>
    <t>Painting the new iron work with two coats of approved first class synthetic enamel ready mixed paint in addtion to one coat of primer of approved quality and shade, the paint should be supplied by the contractor at his own cost (the quality and the shade of paint should be got approved by the executive engineer before use) complying with relevant standard specifications.</t>
  </si>
  <si>
    <t>Septic tank inner size</t>
  </si>
  <si>
    <t>Construction of Septic tank</t>
  </si>
  <si>
    <t>Breadth</t>
  </si>
  <si>
    <t>Earth work excavation in Soft disintegrated rock 
(Excluding refilling)</t>
  </si>
  <si>
    <t>Septic tank</t>
  </si>
  <si>
    <t xml:space="preserve">Inlet and Outlet </t>
  </si>
  <si>
    <t>Inspection chamber</t>
  </si>
  <si>
    <t xml:space="preserve">Despersion trench </t>
  </si>
  <si>
    <t>Filling sand</t>
  </si>
  <si>
    <t>Supply and filling of 40 mm Brick jelly</t>
  </si>
  <si>
    <t>Despersion trench</t>
  </si>
  <si>
    <t>Supply and filling of 20 mm Brick jelly</t>
  </si>
  <si>
    <t>C.C.1:5:10 for Foundation &amp; Basement</t>
  </si>
  <si>
    <t>P.C.C. 1:2:4 Foundation and Basement</t>
  </si>
  <si>
    <t>For Septic tank base slab</t>
  </si>
  <si>
    <t xml:space="preserve">Brick Work in CM 1:5, using kiln burnt country bricks of size 22x11x7cm in Foundation and Basement </t>
  </si>
  <si>
    <t xml:space="preserve">Septic tank Ist Footing </t>
  </si>
  <si>
    <t xml:space="preserve">Septic tank IInd Footing </t>
  </si>
  <si>
    <t>Inlet and Outlet  allround</t>
  </si>
  <si>
    <t>Brick partition work in C.M. 1:4 Kiln Burnt Country bricks of size 22 x 11 x 7 cm (8 3/4" x 4 1/4" x 2 3/4") 110 mm tk (B.P.)</t>
  </si>
  <si>
    <t xml:space="preserve">Baffle wall </t>
  </si>
  <si>
    <t>Baffle wall -1</t>
  </si>
  <si>
    <t>RCC 1:2:4, using 20mm HBSJ in Foundation and Basement</t>
  </si>
  <si>
    <t>For Spetic tank cover slab</t>
  </si>
  <si>
    <t>Baffle wall Beam</t>
  </si>
  <si>
    <t>D/F Manhole Cover</t>
  </si>
  <si>
    <t>Form work and centering for RCC Works</t>
  </si>
  <si>
    <t>b) For plain surfaces such as roof slab etc.,</t>
  </si>
  <si>
    <t>Manhole sides</t>
  </si>
  <si>
    <t>Septic tank sides</t>
  </si>
  <si>
    <t xml:space="preserve">S&amp;F of C.I Manhole cover 60 x 60 cm (50kg weight ) </t>
  </si>
  <si>
    <t>14.II</t>
  </si>
  <si>
    <t xml:space="preserve">Precast Concrete cover slab  40mm tk </t>
  </si>
  <si>
    <t>For Inspection chamber</t>
  </si>
  <si>
    <t>For Inlet and Outlet</t>
  </si>
  <si>
    <t>Filling with excavated earth in layers of 150 mm tk</t>
  </si>
  <si>
    <t xml:space="preserve">I st footing </t>
  </si>
  <si>
    <t xml:space="preserve">II nd  footing </t>
  </si>
  <si>
    <t xml:space="preserve">IIIrd  footing </t>
  </si>
  <si>
    <t xml:space="preserve">Plastering in CM1:4, 20 mm tk </t>
  </si>
  <si>
    <t>Inspection chamber Bottom</t>
  </si>
  <si>
    <t>Septic tank top</t>
  </si>
  <si>
    <t>D/F Manhole Cover slab</t>
  </si>
  <si>
    <t xml:space="preserve">Plastering in CM1:5, 12mm tk </t>
  </si>
  <si>
    <t>For Septic tank Ist Footing outer</t>
  </si>
  <si>
    <t>For Septic tank Ist Footing top</t>
  </si>
  <si>
    <t>For Septic tank IInd Footing outer</t>
  </si>
  <si>
    <t>For Septic tank IInd Footing top</t>
  </si>
  <si>
    <t>For Septic tank IIIrd Footing outer</t>
  </si>
  <si>
    <t>Septic tank wall top</t>
  </si>
  <si>
    <t>Buffle wall</t>
  </si>
  <si>
    <t>Buffle wall-1</t>
  </si>
  <si>
    <t>Inspection chamber outer</t>
  </si>
  <si>
    <t>Inspection chamber top</t>
  </si>
  <si>
    <t>Inlet  and outlet Outer</t>
  </si>
  <si>
    <t>Inlet  and outlet top</t>
  </si>
  <si>
    <t xml:space="preserve">Plastering in CM1:4, 12mm tk </t>
  </si>
  <si>
    <t>Septic tank inner allround</t>
  </si>
  <si>
    <t>Septic tank bottom</t>
  </si>
  <si>
    <t>Inlet and outlet bottom</t>
  </si>
  <si>
    <t>Spl. Ceiling plastering in C.M. 1:3,
10 mm tk.</t>
  </si>
  <si>
    <t>Septic tank ceiling</t>
  </si>
  <si>
    <t>D/F Man hole cover</t>
  </si>
  <si>
    <t>Supplying and fixing of PVC 110 mm dia ventilator shaft with cowl</t>
  </si>
  <si>
    <t xml:space="preserve">Fabrication of Mild steel / RTS grills (without cement slurry) for all sizes of rods.
</t>
  </si>
  <si>
    <t>Precast Slab 40mm tk Qty</t>
  </si>
  <si>
    <r>
      <t>Kg/m</t>
    </r>
    <r>
      <rPr>
        <vertAlign val="superscript"/>
        <sz val="10"/>
        <rFont val="Times New Roman"/>
        <family val="1"/>
      </rPr>
      <t>3</t>
    </r>
  </si>
  <si>
    <t>61.1 b</t>
  </si>
  <si>
    <t xml:space="preserve">Supplying and fixing of Stone ware pipe 150 mm dia </t>
  </si>
  <si>
    <t>From collection chamber to Inlet chamber</t>
  </si>
  <si>
    <t>61.2 a</t>
  </si>
  <si>
    <t xml:space="preserve">Supplying and fixing of SW 100 mm dia pipe loose joints </t>
  </si>
  <si>
    <t xml:space="preserve">From out let chamber to dispersion trench </t>
  </si>
  <si>
    <t xml:space="preserve">62.1 a </t>
  </si>
  <si>
    <t xml:space="preserve">Supplying and fixing of SW bend  150 mm dia </t>
  </si>
  <si>
    <t xml:space="preserve">For Septic tank </t>
  </si>
  <si>
    <t xml:space="preserve">62.2 a </t>
  </si>
  <si>
    <t xml:space="preserve">Supplying and fixing of SW tee  150 mm dia </t>
  </si>
  <si>
    <t>Design of Septic tank for Traffice Police Station at Thiruverambur in Trichy District</t>
  </si>
  <si>
    <t>No. of  Buiding</t>
  </si>
  <si>
    <t>Total No of  persons</t>
  </si>
  <si>
    <t>Flow of sewage</t>
  </si>
  <si>
    <t>30/5</t>
  </si>
  <si>
    <t>lpm</t>
  </si>
  <si>
    <t>Volume of septic tank:-</t>
  </si>
  <si>
    <t>For sedimentation</t>
  </si>
  <si>
    <t>For sludge digestion</t>
  </si>
  <si>
    <t>Sludge storage</t>
  </si>
  <si>
    <t>-----------</t>
  </si>
  <si>
    <t xml:space="preserve">Assume required depth </t>
  </si>
  <si>
    <t>m Depth</t>
  </si>
  <si>
    <t>(Excl.Free board 0.40m depth)</t>
  </si>
  <si>
    <t>Area</t>
  </si>
  <si>
    <t>Assume breath as</t>
  </si>
  <si>
    <t>Length</t>
  </si>
  <si>
    <t>Size of the tank</t>
  </si>
  <si>
    <t xml:space="preserve">m </t>
  </si>
  <si>
    <t>(Incl.free board)</t>
  </si>
  <si>
    <t>Name of Work :</t>
  </si>
  <si>
    <t>Earth work excavation for foundation in soft disintegrated rock, soft laterite rock or kankar soft rock not requiring blasting inclusive of shoring, strutting and bailing out water wherever necessary and refilling the sides of foundation with excavated earth in 150mm thick layers well watered rammed and consolidated and depositing the surplus earth in places shown clearing and levelling the site with and initial lead of 10 metres and lift as specified hereunder etc., complete in all respects complying with relevant standard specifications.(Excluding refilling)  (a) 0 to 2m depth</t>
  </si>
  <si>
    <t>Sullage Drain</t>
  </si>
  <si>
    <t>For Admin</t>
  </si>
  <si>
    <t>Supplying and filling in foundation and basement with filling sand in layers of 150 mm thickness well watered, rammed and consolidated complying with  relevant standard specification including cost of supplying filling sand.</t>
  </si>
  <si>
    <t>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t>
  </si>
  <si>
    <t>plain cement concrete 1:8:16 (one of cement, eight of sand and sixteen of broken brick jelly) for foundation and other similar works using 20mm gauge broken brick jelly inclusive of shoring, strutting and bailing out water wherever necessary ramming, curing etc., complete in all respects complying with relevant standard specifications and as directed by the departmental officers.</t>
  </si>
  <si>
    <t>Brick partition wall in cement mortar 1:4 (one of cement and four of sand) 110mm thick for super structure in the follwing floors using kiln burnt country bricks of size  of 83/4" x 41/4" x 23/4" (22x11x7cm) including  labour for fixing the doors, windows and ventilator frames in position, fixing of hold fasts, scaffoldings, curing etc., complete in all respects complying with relevant standard specifications and drawings..</t>
  </si>
  <si>
    <t>Brick work in CM 1:5 (one of cement and five of sand) using kiln burnt country  bricks of size 8 3/4"x4 1/4"x2 3/4" (22x11x7cm) in foundation and basement including  dewatering wherever necessary proper setting curing etc., complete  with relevant standard specifications.</t>
  </si>
  <si>
    <t>Finishing the top of flooring in CM 1:4 (one of cement and four of sand) 20mm thick including surface rendered smooth including providing proper slopes, thread lining, curing and 150mm wide skirting alround with the same cement mortar etc., complete in all respects.</t>
  </si>
  <si>
    <t>Sullage Drain Bottom</t>
  </si>
  <si>
    <t>Plastering with CM 1:4 (one of cement and four of sand) 12mm thick finished with  neat cement including providing band cornice, ceiling cornice, curing, scaffolding  etc., complete in all respects and complying with relevant standard specifications.</t>
  </si>
  <si>
    <t>Sullage Drain Side-0.60 and Top-0.115</t>
  </si>
  <si>
    <t xml:space="preserve">                 A.E/J.E                                 A.E.E</t>
  </si>
  <si>
    <t xml:space="preserve">Say </t>
  </si>
  <si>
    <t>P.C.C. 1:2:4 for Foundation &amp; Basement and other similar works</t>
  </si>
  <si>
    <t>a.For Column footings,plinth beam,Grade beam,Raftbeam,Raft slab etc.,</t>
  </si>
  <si>
    <t>c.For Square and rectangular columns and small quantities</t>
  </si>
  <si>
    <t>Electrical arrangements</t>
  </si>
  <si>
    <t xml:space="preserve">Supplying and fixing of  4"18 watts Crystal  LED tube light fittings on teak wood round blocks of 75mm dia 40mm deep suspended from ceiling or mounted on the wall including cost of all materials and labour for fixing in position and as directed by the departmental officers. (The entire fittings should be got approved from the executive  engineer before use)  </t>
  </si>
  <si>
    <t>Footing</t>
  </si>
  <si>
    <t>Grade beam</t>
  </si>
  <si>
    <t>Roof Slab</t>
  </si>
  <si>
    <t>Footing allround</t>
  </si>
  <si>
    <t>One coat white cement for new walls and other similar works.</t>
  </si>
  <si>
    <t>Two coat of cement paint over one coat white cement</t>
  </si>
  <si>
    <t>Run of 2 Wires of 1.5 sqmm PVC insulated single core multi strand fire retardant flexible copper cable with ISI mark confirming IS: 694:1990.</t>
  </si>
  <si>
    <t>Run of 2 Wires of 4 sqmm PVC insulated single core multi strand fire retardant flexible copper cable with ISI mark confirming IS: 694:1990.</t>
  </si>
  <si>
    <t>LS</t>
  </si>
  <si>
    <t>E.w</t>
  </si>
  <si>
    <t>Sand filling</t>
  </si>
  <si>
    <t>PCC</t>
  </si>
  <si>
    <t>RCC</t>
  </si>
  <si>
    <t>Column Up to Grade Beam</t>
  </si>
  <si>
    <t>Grade Beam</t>
  </si>
  <si>
    <t>column Up to Plinth Beam</t>
  </si>
  <si>
    <t>Plinth Beam</t>
  </si>
  <si>
    <t>Column Shoe</t>
  </si>
  <si>
    <t>Basement Height up to plith beam</t>
  </si>
  <si>
    <t>B.W</t>
  </si>
  <si>
    <t xml:space="preserve">Brick on Edge </t>
  </si>
  <si>
    <t>Inner &amp; Outer Plastering</t>
  </si>
  <si>
    <t>Pl</t>
  </si>
  <si>
    <t>Steps</t>
  </si>
  <si>
    <t>GB-1</t>
  </si>
  <si>
    <t>GB-2</t>
  </si>
  <si>
    <t>TD</t>
  </si>
  <si>
    <t>MD</t>
  </si>
  <si>
    <t>FW</t>
  </si>
  <si>
    <t>FD</t>
  </si>
  <si>
    <t>FW1</t>
  </si>
  <si>
    <t>D1</t>
  </si>
  <si>
    <t>D2</t>
  </si>
  <si>
    <t>D3</t>
  </si>
  <si>
    <t>D4</t>
  </si>
  <si>
    <t>GLW/D</t>
  </si>
  <si>
    <t xml:space="preserve">Sl No </t>
  </si>
  <si>
    <t>Description of work</t>
  </si>
  <si>
    <t>L in M</t>
  </si>
  <si>
    <t>B in M</t>
  </si>
  <si>
    <t>D in m</t>
  </si>
  <si>
    <t>Footing Earth work</t>
  </si>
  <si>
    <t>Column</t>
  </si>
  <si>
    <t xml:space="preserve"> Footing</t>
  </si>
  <si>
    <t>For C1</t>
  </si>
  <si>
    <t xml:space="preserve"> F1</t>
  </si>
  <si>
    <t>For C2</t>
  </si>
  <si>
    <t xml:space="preserve"> F2</t>
  </si>
  <si>
    <t>For C3</t>
  </si>
  <si>
    <t xml:space="preserve"> F3</t>
  </si>
  <si>
    <t>For C4</t>
  </si>
  <si>
    <t xml:space="preserve"> F4</t>
  </si>
  <si>
    <t>concreate</t>
  </si>
  <si>
    <t>Grade beam Earth work</t>
  </si>
  <si>
    <t>-X- Direction</t>
  </si>
  <si>
    <t>E.W</t>
  </si>
  <si>
    <t>RCC GB</t>
  </si>
  <si>
    <t>Form Work GB</t>
  </si>
  <si>
    <t>RCC PB</t>
  </si>
  <si>
    <t>Basement Height</t>
  </si>
  <si>
    <t>-Y- Direction</t>
  </si>
  <si>
    <t>Column at Below Groun level</t>
  </si>
  <si>
    <t>Dedduction for GB</t>
  </si>
  <si>
    <t>Column raising up to basement</t>
  </si>
  <si>
    <t>basement filling</t>
  </si>
  <si>
    <t>Part-6</t>
  </si>
  <si>
    <t>Part-8</t>
  </si>
  <si>
    <t>Part-9</t>
  </si>
  <si>
    <t>Part-10</t>
  </si>
  <si>
    <t>Part-11</t>
  </si>
  <si>
    <t>Part-12</t>
  </si>
  <si>
    <t>Part-13</t>
  </si>
  <si>
    <t>Part-14</t>
  </si>
  <si>
    <t>Part-15</t>
  </si>
  <si>
    <t>Part-16</t>
  </si>
  <si>
    <t>Part-17</t>
  </si>
  <si>
    <t>Part-18</t>
  </si>
  <si>
    <t>Part-19</t>
  </si>
  <si>
    <t>Filling Gravel</t>
  </si>
  <si>
    <t>Column raising up to Roof in GF</t>
  </si>
  <si>
    <t>Column raising up to Roof in FF</t>
  </si>
  <si>
    <t>Column raising up to Roof in SF</t>
  </si>
  <si>
    <t>Column raising up to Roof in TF</t>
  </si>
  <si>
    <t>Column raising up to Roof in 4th Floor</t>
  </si>
  <si>
    <t>Parapet Column</t>
  </si>
  <si>
    <t>Head Room Column</t>
  </si>
  <si>
    <t>W</t>
  </si>
  <si>
    <t>W1</t>
  </si>
  <si>
    <t>W2</t>
  </si>
  <si>
    <t>W3</t>
  </si>
  <si>
    <t>SW</t>
  </si>
  <si>
    <t>V</t>
  </si>
  <si>
    <t>RV1</t>
  </si>
  <si>
    <t>RV</t>
  </si>
  <si>
    <t>LD</t>
  </si>
  <si>
    <t>V3</t>
  </si>
  <si>
    <t>Ground Floor</t>
  </si>
  <si>
    <t>First Floor</t>
  </si>
  <si>
    <t>Second Floor</t>
  </si>
  <si>
    <t>Third Floor</t>
  </si>
  <si>
    <t>Fourth Floor</t>
  </si>
  <si>
    <t>TAMIL NADU POLICE HOUSING CORPORATION,TRICHY DIVISION</t>
  </si>
  <si>
    <t>UPTO BASEMENT</t>
  </si>
  <si>
    <t>Earth work excavation in all soils (including refilling)</t>
  </si>
  <si>
    <t xml:space="preserve">a. 0 to 2 mt.  
Earth work excavation in all soils (including refilling) </t>
  </si>
  <si>
    <t>Deduction for column</t>
  </si>
  <si>
    <t>Front step</t>
  </si>
  <si>
    <t>Inspection chambers</t>
  </si>
  <si>
    <t>Add sundries</t>
  </si>
  <si>
    <t>Filling with Excavated Earth</t>
  </si>
  <si>
    <t>Available Qty</t>
  </si>
  <si>
    <t>M20  Footing qty</t>
  </si>
  <si>
    <t>Column upto GB Bottom RCC Qty</t>
  </si>
  <si>
    <t>M20 Grade beam Qty</t>
  </si>
  <si>
    <t>Avilable refilling qty</t>
  </si>
  <si>
    <t>2.1.1</t>
  </si>
  <si>
    <t xml:space="preserve">Supplying and filling with gravel </t>
  </si>
  <si>
    <t>D/F Avilable Refilling qty</t>
  </si>
  <si>
    <t>Standardised concrete Mix M20 Grade Concrete</t>
  </si>
  <si>
    <t>a. In Foundation and basement Standardised concrete Mix M20 Grade Concrete</t>
  </si>
  <si>
    <t xml:space="preserve">Lift Raft </t>
  </si>
  <si>
    <t>Lift Wall</t>
  </si>
  <si>
    <t>Column raising up to grade beam</t>
  </si>
  <si>
    <t>Plinth beam</t>
  </si>
  <si>
    <t>Brick work in C.M. 1:5 (F&amp; B) using Kiln Burnt Country bricks of size 22 x 11 x 7 cm (8 3/4" x 4 1/4" x 2 3/4")</t>
  </si>
  <si>
    <t>Basement brickwork</t>
  </si>
  <si>
    <t>D/F Plinth Beam Qty</t>
  </si>
  <si>
    <t>Front Steps</t>
  </si>
  <si>
    <t>1st step</t>
  </si>
  <si>
    <t>2nd step</t>
  </si>
  <si>
    <t>3rd step</t>
  </si>
  <si>
    <t>Form work using MS sheet</t>
  </si>
  <si>
    <t>a) For column footings, plinth</t>
  </si>
  <si>
    <t>beam, grade beam, raft beam,</t>
  </si>
  <si>
    <t>raft slab, etc.,</t>
  </si>
  <si>
    <t>Plinth beam formwork</t>
  </si>
  <si>
    <t>c) For square &amp; rectangular column formwork &amp; small qty such as sunshade , drop formwork</t>
  </si>
  <si>
    <t>d.Vertical wall</t>
  </si>
  <si>
    <t>ABOVE BASEMENT</t>
  </si>
  <si>
    <t>Cement Concrete using desing mix of grade M25 concrete</t>
  </si>
  <si>
    <t>Column Raising upto roof beam bottom</t>
  </si>
  <si>
    <t>Sill slab for Windows</t>
  </si>
  <si>
    <t>Lintel Concrete</t>
  </si>
  <si>
    <t>sunshade for  Window</t>
  </si>
  <si>
    <t>Waist slab-1</t>
  </si>
  <si>
    <t>Landing slab</t>
  </si>
  <si>
    <t>Waist slab-2</t>
  </si>
  <si>
    <t>Staircase steps</t>
  </si>
  <si>
    <t>Roof beam</t>
  </si>
  <si>
    <t>Horizontal beam</t>
  </si>
  <si>
    <t>Vertical beam</t>
  </si>
  <si>
    <t xml:space="preserve">Sill slab  Window </t>
  </si>
  <si>
    <t>Partition wall Lintel</t>
  </si>
  <si>
    <t>Sunshade</t>
  </si>
  <si>
    <t>Waist slab-3</t>
  </si>
  <si>
    <t>Waist slab-4</t>
  </si>
  <si>
    <t>Roof slab</t>
  </si>
  <si>
    <t xml:space="preserve">sunshade for Window </t>
  </si>
  <si>
    <t>Waist slab-5</t>
  </si>
  <si>
    <t>Waist slab-6</t>
  </si>
  <si>
    <t>Common Toilet</t>
  </si>
  <si>
    <t>Main wall all alround</t>
  </si>
  <si>
    <t>Waist slab-7</t>
  </si>
  <si>
    <t>Waist slab-8</t>
  </si>
  <si>
    <t>OTS Cross Beam</t>
  </si>
  <si>
    <t xml:space="preserve">Head Room </t>
  </si>
  <si>
    <t>Head Room</t>
  </si>
  <si>
    <t>Water Tank</t>
  </si>
  <si>
    <t>Water Tank wall Concrete</t>
  </si>
  <si>
    <t>Water Tank Cover Slab</t>
  </si>
  <si>
    <t>Lift Room</t>
  </si>
  <si>
    <t>Lift Room alround</t>
  </si>
  <si>
    <t>Brick work in C.M. 1:6  using Kiln Burnt Country bricks of size 22 x 11 x 7 cm ( 8 3/4" x 4 1/4" x 2 3/4")</t>
  </si>
  <si>
    <t>a. In Ground Floor Brick work in C.M. 1:6  using Kiln Burnt Country bricks of size 22 x 11 x 7 cm ( 8 3/4" x 4 1/4" x 2 3/4")</t>
  </si>
  <si>
    <t>Main wall all alround in stilt floor</t>
  </si>
  <si>
    <t>Lift</t>
  </si>
  <si>
    <t>D/F Lintel Concrete</t>
  </si>
  <si>
    <t>b. In First Floor Brick work in C.M. 1:6  using Kiln Burnt Country bricks of size 22 x 11 x 7 cm ( 8 3/4" x 4 1/4" x 2 3/4")</t>
  </si>
  <si>
    <t>Cross wall between  PA Admin /Corridor</t>
  </si>
  <si>
    <t>Store</t>
  </si>
  <si>
    <t>D0</t>
  </si>
  <si>
    <t>c. In Second Floor Brick work in C.M. 1:6  using Kiln Burnt Country bricks of size 22 x 11 x 7 cm ( 8 3/4" x 4 1/4" x 2 3/4")</t>
  </si>
  <si>
    <t>d. In Third Floor Brick work in C.M. 1:6  using Kiln Burnt Country bricks of size 22 x 11 x 7 cm ( 8 3/4" x 4 1/4" x 2 3/4")</t>
  </si>
  <si>
    <t>e. In Fourth Floor Brick work in C.M. 1:6  using Kiln Burnt Country bricks of size 22 x 11 x 7 cm ( 8 3/4" x 4 1/4" x 2 3/4")</t>
  </si>
  <si>
    <t>Main wall all alround Head Room</t>
  </si>
  <si>
    <t>Lift Machine Room</t>
  </si>
  <si>
    <t>b. In Ground FloorBrick partition work in C.M. 1:4 Kiln Burnt Country bricks of size 22 x 11 x 7 cm (8 3/4" x 4 1/4" x 2 3/4") 110 mm tk (B.P.)</t>
  </si>
  <si>
    <t>c. In First Floor Brick partition work in C.M. 1:4 Kiln Burnt Country bricks of size 22 x 11 x 7 cm (8 3/4" x 4 1/4" x 2 3/4") 110 mm tk (B.P.)</t>
  </si>
  <si>
    <t>d. In Second FloorBrick partition work in C.M. 1:4 Kiln Burnt Country bricks of size 22 x 11 x 7 cm (8 3/4" x 4 1/4" x 2 3/4") 110 mm tk (B.P.)</t>
  </si>
  <si>
    <t>e. In Third FloorBrick partition work in C.M. 1:4 Kiln Burnt Country bricks of size 22 x 11 x 7 cm (8 3/4" x 4 1/4" x 2 3/4") 110 mm tk (B.P.)</t>
  </si>
  <si>
    <t>Brick work in C.M. 1:4 Kiln Burnt Country bricks of size 22 x 11 x 7 cm (8 3/4" x 4 1/4" x 2 3/4") 70 mm tk (B.P.)</t>
  </si>
  <si>
    <t>a. In Ground Floor  Brick work in C.M. 1:4 Kiln Burnt Country bricks of size 22 x 11 x 7 cm (8 3/4" x 4 1/4" x 2 3/4") 70 mm tk (B.P.)</t>
  </si>
  <si>
    <t>b. In First Floor  Brick work in C.M. 1:4 Kiln Burnt Country bricks of size 22 x 11 x 7 cm (8 3/4" x 4 1/4" x 2 3/4") 70 mm tk (B.P.)</t>
  </si>
  <si>
    <t>c. In Second Floor Brick work in C.M. 1:4 Kiln Burnt Country bricks of size 22 x 11 x 7 cm (8 3/4" x 4 1/4" x 2 3/4") 70 mm tk (B.P.)</t>
  </si>
  <si>
    <t>d. In Third Floor Brick work in C.M. 1:4 Kiln Burnt Country bricks of size 22 x 11 x 7 cm (8 3/4" x 4 1/4" x 2 3/4") 70 mm tk (B.P.)</t>
  </si>
  <si>
    <t>e. In Fourth Floor Brick work in C.M. 1:4 Kiln Burnt Country bricks of size 22 x 11 x 7 cm (8 3/4" x 4 1/4" x 2 3/4") 70 mm tk (B.P.)</t>
  </si>
  <si>
    <t>Brick partition in C.M. 1:4 using country bricks of size 22 x11x5cm 50 mm thick</t>
  </si>
  <si>
    <t>Precast cupboard slab 40 mm tkusing standardised concrete mix M20 (annexure)</t>
  </si>
  <si>
    <t>a. In Foundation &amp; basement Precast cupboard slab 40 mm tkusing standardised concrete mix M20 (annexure)</t>
  </si>
  <si>
    <t>Inspection chamber cover slab</t>
  </si>
  <si>
    <t>Cuddappa slab 20 mm tk.for C/B  slab.</t>
  </si>
  <si>
    <t>Teak wood Wrought &amp; Put up</t>
  </si>
  <si>
    <t>a. T.W. over 2 m &amp; below 3 m</t>
  </si>
  <si>
    <t>Ground floor or Stilt floor</t>
  </si>
  <si>
    <t>First floor</t>
  </si>
  <si>
    <t>Third floor</t>
  </si>
  <si>
    <t>Fourth floor</t>
  </si>
  <si>
    <t>b. T.W. below 2 m length.</t>
  </si>
  <si>
    <t>S&amp;F of Magnetic door catches</t>
  </si>
  <si>
    <t>M.s Grills</t>
  </si>
  <si>
    <t>V1</t>
  </si>
  <si>
    <t>Kgs</t>
  </si>
  <si>
    <t>M.S.Holdfast</t>
  </si>
  <si>
    <t>Flooring in C.C.1:5:10</t>
  </si>
  <si>
    <t>Floor plastering in C.M. 1:4, 20 mm tk.</t>
  </si>
  <si>
    <t>Chamber flooring</t>
  </si>
  <si>
    <t>Plastering with CM 1:3, 12mm with WPC</t>
  </si>
  <si>
    <t>29.1.1</t>
  </si>
  <si>
    <t>Concrete designer tiles flooring</t>
  </si>
  <si>
    <t>29.1.2</t>
  </si>
  <si>
    <t>Vitrified Tiles flooring ( colour)</t>
  </si>
  <si>
    <t>Glazed tiles using Grout (Tile Joint Filler)</t>
  </si>
  <si>
    <t>Floor ceramic tiles (Anti-skid) using Grout (Tile Joint Filler).</t>
  </si>
  <si>
    <t>Granite Tiles flooring (Ruby red)</t>
  </si>
  <si>
    <t>Ellispattern</t>
  </si>
  <si>
    <t>Weathering course</t>
  </si>
  <si>
    <t>32.1.1</t>
  </si>
  <si>
    <t>Finshing the top of Terrace floor with one course of solar reflective Ceramic tiles without base concrete</t>
  </si>
  <si>
    <t>Roof area-1</t>
  </si>
  <si>
    <t>Roof area-2</t>
  </si>
  <si>
    <t>Roof area-3</t>
  </si>
  <si>
    <t>Head room Roof</t>
  </si>
  <si>
    <t>Lift Room Top</t>
  </si>
  <si>
    <t>Skerting</t>
  </si>
  <si>
    <t>Plastering in C.M. 1:5, 12 mm tk.</t>
  </si>
  <si>
    <t>Inside Plastrering</t>
  </si>
  <si>
    <t>Rooms Inside plastering</t>
  </si>
  <si>
    <t>Inner Plastering</t>
  </si>
  <si>
    <t>Toilet</t>
  </si>
  <si>
    <t>C/B Wall</t>
  </si>
  <si>
    <t>Total-A</t>
  </si>
  <si>
    <t>Outer Plastering</t>
  </si>
  <si>
    <t>Total-B</t>
  </si>
  <si>
    <t>Total A+B</t>
  </si>
  <si>
    <t>Plastering in C.M. 1:4, 12 mm tk.</t>
  </si>
  <si>
    <t>Spl. Ceiling plastering in C.M. 1:3,
 10 mm tk.</t>
  </si>
  <si>
    <t>Roof beam Two Side Plastering</t>
  </si>
  <si>
    <t>Roof beam Bottom Plastering</t>
  </si>
  <si>
    <t>sunshade for  Window Bottom Plastering</t>
  </si>
  <si>
    <t>Water Tank wall Base slab</t>
  </si>
  <si>
    <t xml:space="preserve">Water tank inner alround </t>
  </si>
  <si>
    <t xml:space="preserve">Water tank Outer alround </t>
  </si>
  <si>
    <t>Cement mortar Border in  C.M. 1:5, 12 mm tk.</t>
  </si>
  <si>
    <t>a. 150 mm wide</t>
  </si>
  <si>
    <t>Parapet Top building alround in GF,FF, SF,TF</t>
  </si>
  <si>
    <t>b. 75 mm wide</t>
  </si>
  <si>
    <t>c. 50 mm wide</t>
  </si>
  <si>
    <t>Wallputty ( one coat)</t>
  </si>
  <si>
    <t>As per Iitem No:34 Qty</t>
  </si>
  <si>
    <t>Plastic Emulsion PAINT including primer for outer walls</t>
  </si>
  <si>
    <t>Providing wooden Melamine polish for new wood work</t>
  </si>
  <si>
    <t>Painting - New "wood work"</t>
  </si>
  <si>
    <t>Painting - New "iron work"</t>
  </si>
  <si>
    <t>For pipe 32mm dia</t>
  </si>
  <si>
    <t>25mm dia</t>
  </si>
  <si>
    <t>75mm dia</t>
  </si>
  <si>
    <t>110 mm dia</t>
  </si>
  <si>
    <t>F&amp;B</t>
  </si>
  <si>
    <t>GF</t>
  </si>
  <si>
    <t>FF</t>
  </si>
  <si>
    <t>SF</t>
  </si>
  <si>
    <t>TF</t>
  </si>
  <si>
    <t>4F</t>
  </si>
  <si>
    <t>As per Barbending schedule</t>
  </si>
  <si>
    <t>PVC SWR 110 mm dia with ISI mark type- A for Rain water down fall pipe</t>
  </si>
  <si>
    <t>Terrace to Chamber (V)</t>
  </si>
  <si>
    <t>Head room terrace to Terrace  (V)</t>
  </si>
  <si>
    <t>Lift room terrace to Head room (V)</t>
  </si>
  <si>
    <t>Chamber to RWH pit</t>
  </si>
  <si>
    <t>S &amp; F 20 mm dia Alu. Hanger Rod</t>
  </si>
  <si>
    <t>-</t>
  </si>
  <si>
    <t>S &amp; F Alu  Towel rail 75 cm long</t>
  </si>
  <si>
    <t>Attached Toilet</t>
  </si>
  <si>
    <t>S &amp; F 5 pin Coat stand</t>
  </si>
  <si>
    <t>S &amp; F chromium plated 8 guage Picture Hook</t>
  </si>
  <si>
    <t>Supply and planting avenue trees</t>
  </si>
  <si>
    <t>Front portion</t>
  </si>
  <si>
    <t>Providing Tree guard</t>
  </si>
  <si>
    <t>PVC Water supply (ASTM)</t>
  </si>
  <si>
    <t>a. 32 mm dia  PVC Water supply (ASTM)</t>
  </si>
  <si>
    <t>OHT air vent V</t>
  </si>
  <si>
    <t>OHT Overflow V</t>
  </si>
  <si>
    <t>OHT to parapet alround G.F (H)</t>
  </si>
  <si>
    <t>b. 25 mm dia PVC Water supply (ASTM)</t>
  </si>
  <si>
    <t>c. 20 mm dia PVC Water supply (ASTM)</t>
  </si>
  <si>
    <t>Wash Hand  Basin of size 550 x 400 mm</t>
  </si>
  <si>
    <t>Stilt Floor</t>
  </si>
  <si>
    <t>Common Area</t>
  </si>
  <si>
    <t>S &amp; F of 15mm dia half turn CP long body tap</t>
  </si>
  <si>
    <t>S &amp; F of 15mm dia half turn CP short body tap</t>
  </si>
  <si>
    <t>S &amp; F of E.W.C.(white)</t>
  </si>
  <si>
    <t xml:space="preserve">S &amp; F of Indian Water closet white glazed (Oriya type) of size 580 x 440mm with PVC SWR grade ' P' or "S' trap   - in G.F.  </t>
  </si>
  <si>
    <t xml:space="preserve">S &amp; F of Indian Water closet white glazed (Oriya type) of size 580 x 440mm  with PVC SWR grade ' P' or "S' trap- Other than  G.F.  </t>
  </si>
  <si>
    <t>PVC SWR pipe (Soil line) with ISI mark - type 'B'.</t>
  </si>
  <si>
    <t>a. 110 mm dia. PVC SWR pipe (Soil line) with ISI mark - type 'B'.</t>
  </si>
  <si>
    <t>b. 75 mm dia. PVC SWR pipe (Soil line) with ISI mark - type 'B'.</t>
  </si>
  <si>
    <t>Gully Trap using chamber burnt bricks of size 23x11.4x7.5cm</t>
  </si>
  <si>
    <t xml:space="preserve">Gully trap </t>
  </si>
  <si>
    <t>PVC Nahani trap (4way/2way)</t>
  </si>
  <si>
    <t>UPVC Non Pressure  pipe of SN8 SDR 34
( S 16.5) as per IS 15328/2003</t>
  </si>
  <si>
    <t>a. 110 mm UPVC Non Pressure  pipe</t>
  </si>
  <si>
    <t>Plinth chamber inter connection</t>
  </si>
  <si>
    <t>b. 160 mm UPVC Non Pressure  pipe</t>
  </si>
  <si>
    <t>Wiring with 1.5 Sqm.m PVC insulated single core multi strand fire retardant flexible copper cable with ISI mark confirming IS: 694:1990.( Ordinary)</t>
  </si>
  <si>
    <t>a. Light point with ceiling rose Wiring with 1.5 Sqm.m PVC insulated single core multi strand fire retardant flexible copper cable with ISI mark confirming IS: 694:1990.( Ordinary)</t>
  </si>
  <si>
    <t>In Ground Fllor</t>
  </si>
  <si>
    <t>As per Tube Light Points qty</t>
  </si>
  <si>
    <t>As per Bulk head fitting qty</t>
  </si>
  <si>
    <t>As per Street Light Pont</t>
  </si>
  <si>
    <t>As per Exsaust fan qty</t>
  </si>
  <si>
    <t>b. Light point without ceiling rose Wiring with 1.5 Sqm.m PVC insulated single core multi strand fire retardant flexible copper cable with ISI mark confirming IS: 694:1990.( Ordinary)</t>
  </si>
  <si>
    <t>As per 9W Led Qty</t>
  </si>
  <si>
    <t>c. Calling bell point with Buzzer/Calling bell Wiring with 1.5 Sqm.m PVC insulated single core multi strand fire retardant flexible copper cable with ISI mark confirming IS: 694:1990.( Ordinary)</t>
  </si>
  <si>
    <t>Second  Floor</t>
  </si>
  <si>
    <t>Third  Floor</t>
  </si>
  <si>
    <t>Wiring with 1.5 Sqm.m PVC insulated single core multi strand fire retardant flexible copper cable with ISI mark confirming IS: 694:1990 for Fan point.</t>
  </si>
  <si>
    <t>First  Floor</t>
  </si>
  <si>
    <t xml:space="preserve">Third  Floor </t>
  </si>
  <si>
    <t>Wiring with 1.5 Sqm.m PVC insulated single core multi strand fire retardant flexible copper cable with ISI mark confirming IS: 694:1990 for Staircase Light Point.</t>
  </si>
  <si>
    <t>Wiring with 1.5 Sqm.m PVC insulated single core multi strand fire retardant flexible copper cable with ISI mark confirming IS: 694:1990 for 5 amps 5 pin plug socket point @ Switch Board Itself.</t>
  </si>
  <si>
    <t>Wiring with 1.5 Sqm.m PVC insulated single core multi strand fire retardant flexible copper cable with ISI mark confirming IS: 694:1990 for 5 amps 5 pin plug socket point @ Convenient Places.</t>
  </si>
  <si>
    <t xml:space="preserve">Supply and fixing of 25w LED street light </t>
  </si>
  <si>
    <t>Front</t>
  </si>
  <si>
    <t>Side</t>
  </si>
  <si>
    <t>15 Amp. Power plug</t>
  </si>
  <si>
    <t>Bulk head fitting</t>
  </si>
  <si>
    <t>Terrace</t>
  </si>
  <si>
    <t xml:space="preserve">S &amp; F 12 watts LED bulb for bulk head </t>
  </si>
  <si>
    <t>9 watts  LED bulb  qtn</t>
  </si>
  <si>
    <t>18 watts  LED  Tube Light</t>
  </si>
  <si>
    <t>Staircase</t>
  </si>
  <si>
    <t>75.1.2</t>
  </si>
  <si>
    <t>Supply and delivery of  48" (1200 mm) Fan with ISI mark with Eletronic Dimmer</t>
  </si>
  <si>
    <t>As per Fan Point Qty</t>
  </si>
  <si>
    <t>Supplying and fixing of 32 AMPS Triple pole main switch</t>
  </si>
  <si>
    <t>Box type Fibre Fan hook</t>
  </si>
  <si>
    <t>Charges for fixing of "Fan"</t>
  </si>
  <si>
    <t>8 SWG wire</t>
  </si>
  <si>
    <t xml:space="preserve">From earth pit to lift m/c room  </t>
  </si>
  <si>
    <t xml:space="preserve">From second floor earth bus to LDB </t>
  </si>
  <si>
    <t xml:space="preserve">
From third floor earth bus to LDB </t>
  </si>
  <si>
    <t xml:space="preserve">
From Earth bus to computers in Admin room </t>
  </si>
  <si>
    <t>Run of 2 wires of 4 Sqm.m</t>
  </si>
  <si>
    <t>Main to ELCB</t>
  </si>
  <si>
    <t>GF right side</t>
  </si>
  <si>
    <t>GF left side</t>
  </si>
  <si>
    <t>FF right side</t>
  </si>
  <si>
    <t>FF left side</t>
  </si>
  <si>
    <t>SF right side</t>
  </si>
  <si>
    <t>SF left side</t>
  </si>
  <si>
    <t>TF right side</t>
  </si>
  <si>
    <t>TF left side</t>
  </si>
  <si>
    <t>Run of 2 Wires of 1.5 Sqm.m PVC insulated single core multi strand fire retardant flexible copper cable with ISI mark confirming IS: 694:1990.</t>
  </si>
  <si>
    <t>From First floor panel to power panel</t>
  </si>
  <si>
    <t>Run of 2 Wires of 2.5 Sqm.m PVC insulated single core multi strand fire retardant flexible copper cable with ISI mark confirming IS: 694:1990</t>
  </si>
  <si>
    <t>From Ground floor panel to LDB in ground floor</t>
  </si>
  <si>
    <t>From Second floor panel to LDB</t>
  </si>
  <si>
    <t>From Third floor panel to LDB</t>
  </si>
  <si>
    <t>S&amp;F of TV/Telephone line Socket</t>
  </si>
  <si>
    <t>S&amp;F of 20mm dia PVC pipe for TV/Telephone line</t>
  </si>
  <si>
    <t>Earthing Station IS3043 (Type I)</t>
  </si>
  <si>
    <t xml:space="preserve">Earth bus </t>
  </si>
  <si>
    <t xml:space="preserve">Lift machine room </t>
  </si>
  <si>
    <t>S &amp; F of A/C metal clad switch</t>
  </si>
  <si>
    <t>Plinth Area of the building</t>
  </si>
  <si>
    <t>Formwork using M.S.Sheet</t>
  </si>
  <si>
    <t>As per below basement qty</t>
  </si>
  <si>
    <t>b.Plain surfaces such as Roof slab,floorslab,Beams,lintels,lofts,sill slab,staircase,portico slab and other similar works</t>
  </si>
  <si>
    <t>Roof beam Bottom</t>
  </si>
  <si>
    <t>Roof beam 2 sides</t>
  </si>
  <si>
    <t>S&amp;F OF UPVC  Windows ( Non  Schedule item )</t>
  </si>
  <si>
    <t xml:space="preserve">Supplying and fixing in position of UPVC Ventilator louvered ventilator  type for all sizes </t>
  </si>
  <si>
    <t xml:space="preserve">Toilet </t>
  </si>
  <si>
    <t>S &amp; F of Exsaust Fan 300 mm dia</t>
  </si>
  <si>
    <t>S&amp;F of Bevelled edge mirror 500 x 400 x 5.5mm</t>
  </si>
  <si>
    <t>Common toilet IWC</t>
  </si>
  <si>
    <t xml:space="preserve">Providing PVC Tee with end cap </t>
  </si>
  <si>
    <t>Rain water harvesting using defunct borewell and providing perforated cover slab</t>
  </si>
  <si>
    <t>44.2.a</t>
  </si>
  <si>
    <t>a). Providing pit Rain water harvesting using defunct borewell and providing perforated cover slab</t>
  </si>
  <si>
    <t>44.2.b</t>
  </si>
  <si>
    <t>b) Augering 30cm dia Rain water harvesting using defunct borewell and providing perforated cover slab</t>
  </si>
  <si>
    <t xml:space="preserve">Sump </t>
  </si>
  <si>
    <t>Supplying, testing and commission of 1.5  ton capacity Hi-wall counted single split type AC unit</t>
  </si>
  <si>
    <t>Each</t>
  </si>
  <si>
    <t>Supply and installation of 5 KVA capacity Automatic  Voltage Stabilizer with time delay relay (V-Gurad Equivalent)</t>
  </si>
  <si>
    <t>Supply and laying of 5/8" and 3/8" copper pipe (Extra beyond 3 metres supplied with AC unit)</t>
  </si>
  <si>
    <t>Supply and fixing of MS stand for fixing outdoor unit</t>
  </si>
  <si>
    <t>COMMON TOILET</t>
  </si>
  <si>
    <t>Repair Works on IG Quarters inner</t>
  </si>
  <si>
    <t>Sl. No.</t>
  </si>
  <si>
    <t>Rate</t>
  </si>
  <si>
    <t>Unit</t>
  </si>
  <si>
    <t>Over Head Tank
(1)</t>
  </si>
  <si>
    <t>Septic tank
(2)</t>
  </si>
  <si>
    <t>Sentry Room
(3)</t>
  </si>
  <si>
    <t>Cement Concrete Road(4)</t>
  </si>
  <si>
    <t>Plinth Protection
(5)</t>
  </si>
  <si>
    <t>Total Qty.
(Dev-I.)</t>
  </si>
  <si>
    <t>Amount</t>
  </si>
  <si>
    <t>Qty
(1 No)</t>
  </si>
  <si>
    <t>Qty
(2 Nos)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</si>
  <si>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t>
  </si>
  <si>
    <t>*</t>
  </si>
  <si>
    <t>a)  0 to 2m depth.</t>
  </si>
  <si>
    <t>b)  2 to 3m depth.</t>
  </si>
  <si>
    <t>Earth work excavation in all soils (excluding refilling)</t>
  </si>
  <si>
    <t>Earth work excavation for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(Excluding Refilling)</t>
  </si>
  <si>
    <t>a) 0 to 2m depth.</t>
  </si>
  <si>
    <t>b) 2 to 3m depth.</t>
  </si>
  <si>
    <t>Earth work excavation in Soft disintegrated rock  (including refilling)</t>
  </si>
  <si>
    <t xml:space="preserve">Earth work excavation for foundation in soft disintegrated rock, soft laterite rock or kankar soft rock not requiring blasting inclusive of shoring, strutting and bailing out water wherever necessary and refilling the sides of foundation with excavated earth in 150mm thick layers well watered rammed and consolidated and depositing the surplus earth in places shown clearing and levelling the site with and initial lead of 10 metres and lift as specified hereunder etc., complete in all respects complying with relevant standard specifications. (including refilling)   </t>
  </si>
  <si>
    <t>(a) 0 to 2m depth</t>
  </si>
  <si>
    <t>Earth work excavation for Open foundation (including refilling)</t>
  </si>
  <si>
    <t>earth work excavation for open foundation all soils and subsoils to the  required depth as may be directed except in hard rock requiring blasting but inclusive of shoring, strutting, and bailing out water wherever necessary and refilling the sides of foundation with  excavated earth in 150 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t>
  </si>
  <si>
    <t>(b) 2 to 3m depth</t>
  </si>
  <si>
    <t>Earth work excavation for Open foundation (excluding refilling)</t>
  </si>
  <si>
    <t>Earth work excavation for open foundation in all soils and subsoils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 under etc. complete in all respects  complying with relevant standard specifications. (Excluding refilling)</t>
  </si>
  <si>
    <t>c. 3 to 4 mt.</t>
  </si>
  <si>
    <t>d. 4 to 5 mt.</t>
  </si>
  <si>
    <t>Earth work excavation for Open foundation  for drains (excluding refilling) width  upto 1.25 m</t>
  </si>
  <si>
    <t>Earth work excavation for open foundation for drains in all soils and subsoils to the required depth as may be directed except in hard rock requiring blasting, inclusive of shoring, strutting and bailing out water wherever necessary. (excluding refilling the sides of foundation) and depositing the earth in places shown clearing and leveling the site with an initial lead of 10 metres and lift as specified hereunder etc., complete in all respects complying with relevant standard specification (Excluding refilling) (drain having bed width upto 1.25 metre).</t>
  </si>
  <si>
    <t>Earth work excavation for foundation in soft disintegrated rock, soft laterite rock or kankar soft rock not requiring blasting inclusive of shoring, strutting and bailing out water wherever necessary and refilling the sides of foundation with excavated earth in 150mm thick layers well watered rammed and consolidated and depositing the surplus earth in places shown clearing and levelling the site with and initial lead of 10 metres and lift as specified hereunder etc., complete in all respects complying with relevant standard specifications.(Excluding refilling)</t>
  </si>
  <si>
    <t>Earth work excavation in SDR for Open foundation  (excluding refilling)</t>
  </si>
  <si>
    <t>Earth work excavation for open foundation in soft disintegrated rock, laterite kankar or soft rock not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(Excluding refilling)</t>
  </si>
  <si>
    <t>Earth work excavation and depositing on bank withinitial
lead of 10m and lift of 2.00m in narrow trenches for laying of pipes for water supply and sewerage works in the following types of soil strata as directed by departmental officers</t>
  </si>
  <si>
    <t>Earth work excavation and depositing on bank with initial lead of 10m and lift of 2.00m in narrow trenches for laying of pipes for water supply and sewerage works in the following types of soil strata as directed by departmental officers</t>
  </si>
  <si>
    <t>In Medium rock and dense medium rock not requiring
blasting.</t>
  </si>
  <si>
    <t>In Medium rock and dense medium rock not requiring blasting.</t>
  </si>
  <si>
    <t>(c) 3 to 4m depth</t>
  </si>
  <si>
    <t>Providing Driven PILES</t>
  </si>
  <si>
    <t>a.300mm dia</t>
  </si>
  <si>
    <t>b.330mm dia</t>
  </si>
  <si>
    <t>c.375mm dia</t>
  </si>
  <si>
    <t>d.400mm dia</t>
  </si>
  <si>
    <t>e.450mm dia</t>
  </si>
  <si>
    <t>f.500mm dia</t>
  </si>
  <si>
    <t>Sand Gravel Mix</t>
  </si>
  <si>
    <t>providing sand gravel mix for foundation and basement in layers of 150mm thickness well watered, rammed and consolidated complying with relevant standard specifications. the sand gravel mix will be a proportion of 1:1 (i.e.) 0.70m3 of filling sand, 0.72m3 of gravel for every 1.00m3 compacted volume of sand gravel mix including cost and conveyance of sand and gravel from approved quarrys to work site including labour charges for mixing sand and gravel in the required proportion and consistency using soft potable water including all leads for water, spreading the mix in layers consolidating the same as directed by the departmental officers.</t>
  </si>
  <si>
    <t>supplying and filling with 40mm size broken brick jelly in foundation and basement and other similar works including cost of materials, labour charges, etc., all complete and as directed by the departmental officers.</t>
  </si>
  <si>
    <t>supplying and filling with 20 mm size broken brick jelly in foundation and basement and other similar works including cost of materials, labour charges etc., all complete and as directed by the departmental officers.</t>
  </si>
  <si>
    <t>Gravel soling</t>
  </si>
  <si>
    <t>providing gravel soling of 150mm tk. (consolidated thickness) including cost and conveyance of good gravel of approved quality and stacking to departmental gauge for pre-measurement to the work spot, labour charges watering with soft potable water and including, cost and lead of water and consolidated by using power rollers at 8 to 10 tonne capacity including cost of tools and plants, fuel charges, labour charges etc., all complete and as directed by the departmental officers.</t>
  </si>
  <si>
    <t>Supply and filling of 40 mm HBSJ</t>
  </si>
  <si>
    <t>Supplying and filling with 40 mm size hard broken stone jelly in foundation and basement and other similar works including cost of materials, labour charges etc., all complete and as directed by the departmental officers.</t>
  </si>
  <si>
    <t>Supply and filling of 20 mm HBSJ</t>
  </si>
  <si>
    <t>Supplying and filling with 20 mm size hard broken stone jelly in foundation and basement and other similar works including cost of materials, labour charges etc., all complete and as directed by the departmental officers.</t>
  </si>
  <si>
    <t>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and as directed by the departmental officers.</t>
  </si>
  <si>
    <t>P.C.C. 1:8:16 using 20 mm broken brick jelly</t>
  </si>
  <si>
    <t>Providing  WBM 125  mm consolidated thick with gravel blindage</t>
  </si>
  <si>
    <t>Providing water bound macadam road 125 mm thick in two layers and the 1st layer of 75 mm thick with 50 mm size lrc metal with 25 mm thick gravel blind age and 2nd layer of 50mm thick with 40mm size irc metal with 20mm thick gravel blind age including cost and conveyance of irc metal and gravel of approved quality to work site, labour charges for spreading, and stacking to departmental gauge for pre-measurement, cost of soft potable water including lead for water and consolidated by using power rollers of 8 to 10 tonne capacity for both layers, labour charges for watering both the layers for 20 days and regulating traffic, hire charges for tools and plants, fuel charges, labour charges etc., all complete and as directed by the departmental officers.</t>
  </si>
  <si>
    <t>Surface dressing over WBM  25 mm thick</t>
  </si>
  <si>
    <t>surface dressing over wbm with pre-coated chips using 2.70m3 of 12mm chips per 100m2 and 44.00 kg of bitumen for 1.0m3 of chips for pre mixing and                                  100 kg of bitumen for tack coat per 100m2 and spreading river sand at the rate of 0.145m3/100m2 including cost of metal, bitumen of grade 80/100, rolling and consolidating by power roller of 8 to 10 tonne capacity including hire charges for tools and plants, fuel charges, etc. all complete and as directed by the departmental officers. (the bitumen 80/100 grade should be got approved from the executive engineer before use.)</t>
  </si>
  <si>
    <t>Providing  WBM 125  mm consolidated thick with gravel blindage
(IRC 63 to 45mm for 75mm thick and 37.5 to 26.5mm for 50.mm thick)</t>
  </si>
  <si>
    <t>providing water bound macadam road 125 mm tk. in two layers and the 1st layer of 75 mm thick with 63mm to 45mm size irc metal with 25 mm thick gravel blind age and 2nd layer of 50mm thick with 37.5mm to 26.5mm size irc metal with 20mm thick gravel blind age including cost and conveyance of irc metal and gravel of approved quality to work site, labour charges for spreading and stacking to departmental gauge for pre-measurement, cost of soft potable water including lead for water and consolidated by using power rollers of 8 to 10 tonne capacity for both layers, labour charges for watering both the layers for 20 days and regulating traffic, hire charges for tools and plants, fuel charges, labour charges etc., all complete and as directed by the departmental officers.</t>
  </si>
  <si>
    <t>Surface dressing over WBM  25 mm tk.
with pre-coated chips using 11.2mm size IRC</t>
  </si>
  <si>
    <t xml:space="preserve">surface dressing over wbm with precoated chips using 2.70m3 of 11.2mm chips per 100m2 and 44.00 kg of bitumen for 1.0m3 of chips for pre mixing and 100 kg of bitumen for tack coat per 100m2 and spreading river sand at the rate of 0.145m3/100m2 including cost of metal, bitumen of grade 80/100, rolling and consolidating by power roller of 8 to 10 tonne capacity including hire charges for tools and plants, fuel charges, etc. all complete and as directed by the departmental officers.(the bitumen 80/100 grade should be got approved from the executive engineer before use.)
</t>
  </si>
  <si>
    <t>R.C.C. 1:2:4 Foundation and Basement</t>
  </si>
  <si>
    <t>cement concrete 1:2:4 (one of cement, two of sand and four of hard broken stone jelly)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 in foundation and basement.</t>
  </si>
  <si>
    <t>R.C.C. 1: 11/2: 3 Foundation and Basement</t>
  </si>
  <si>
    <t xml:space="preserve">cement concrete 1:1½:3 (one of cement, one and half of sand and three of stone  jelly) for all reinforced cement concrete works, namely plinth beams, columns, tie beams, column footings, slab etc. using 20mm gauge hard broken stone jelly excluding the cost and fabrication of reinforcement grills, shuttering and centering but including vibrating, laying, curing with relevant standard specifications in foundation and basement.
</t>
  </si>
  <si>
    <t>R.R. masonry in C.M. 1:5 Foundation and Basment</t>
  </si>
  <si>
    <t>random rubble masonry works in cm 1:5 (one of cement and five of sand) using  selected similar size stones and bond stones in foundation and basement including dewatering wherever necessary, proper setting, curing etc., complete in all respects complying with relevant standard specifications.</t>
  </si>
  <si>
    <t>Brick work in C.M. 1:5 (F&amp; B) using Chamber Burnt brick of size 23 x 11.2 x 7 cm (9" x 4 3/8" x 2 3/4")</t>
  </si>
  <si>
    <t>Brick work in C.M. 1:5 (F&amp; B) using chamber Burnt bricks of size 23 x 11.4 x 7.5 cm (9" x 4 1/2"x 3")</t>
  </si>
  <si>
    <t xml:space="preserve">brick work in cm 1:5 (one of cement and five of sand) using chamber burnt bricks of size 9"x4½”x3" (23x11.4x7.5cm) in foundation and basement including dewatering wherever necessary proper setting, curing etc., complete with relevant standard specifications.
</t>
  </si>
  <si>
    <t>Brick work in C.M. 1:5 (F&amp; B) using Chamber Burnt brick of size 23 x 11 x 7 cm (9" x 4 1/4" x 2 3/4")</t>
  </si>
  <si>
    <t>Brick work in C.M. 1:5 (F&amp; B) using Chamber Burnt brick of size 22 x 11 x 7 cm (8 3/4" x 4 1/4" x 2 3/4")</t>
  </si>
  <si>
    <t>Brick work in C.M. 1:5 (F&amp; B) using Kiln Burnt Country bricks of size 22 x 11 x 5.7 cm (8 3/4" x 4 1/4" x 2 1/4")</t>
  </si>
  <si>
    <t>Damp Proof Course
in C.M. 1:4, 12 MM thick mixed with Crude oil</t>
  </si>
  <si>
    <t xml:space="preserve">damp proof course in cm 1:4 (one of cement and four of sand) 12mm thick mixed with crude oil @ 5% by weight of cement, finishing, curing etc., complete and as directed by the departmental officers.
</t>
  </si>
  <si>
    <t>Supply and fixing of Bituminous filler pad, 20 mm tk. for expansion joint</t>
  </si>
  <si>
    <t>Supplying and fixing of 20mm thick bituminous expansion joint filler pad of approved quality and make inclusive of conveyance charges, cutting the pad to the required size, cost of materials and labour charges for fixing in position wherever necessary for all floors etc., complete and as directed by the departmental officers.</t>
  </si>
  <si>
    <t>Damp Proof Course in C.M. 1:4, 12 MM thick mixed with Water proofing compound</t>
  </si>
  <si>
    <t>R.C.C.1:2:4</t>
  </si>
  <si>
    <t xml:space="preserve">cement concrete 1:2:4 (one of cement, two of sand and four of hard broken stone jelly) for  all rcc works namely tee, ell or rectangular beams, lintel, parapet Cum. drops, waist and landing slab, canophy, circular column, fin projections, sunshades, window boxing slab, slab and other similar works using 20mm gauge hard  broken stone jelly excluding the cost and fabrication of reinforcement grills, shuttering and centering but including vibrating, laying, curing, finishing etc., complying with relevant standard specifications in the following floors. </t>
  </si>
  <si>
    <t>(a) in ground floor</t>
  </si>
  <si>
    <t>(b) in first floor</t>
  </si>
  <si>
    <t>(c) in second floor</t>
  </si>
  <si>
    <t>(d) in third floor</t>
  </si>
  <si>
    <t>(e) in fourth floor</t>
  </si>
  <si>
    <t>R.C.C.1: 1 1/2 :3</t>
  </si>
  <si>
    <t>cement concrete 1:1½:3 (one of cement, one and half of sand and three of hard broken stone jelly) for all rcc works namely tee, ell or rectangular beams, lintel, parapet Cum. drops, waist and landing slab, canophy, circular column, fin projections, sunshades, window boxing slab, loft and other similar works using 20mm gauge hard broken stone jelly excluding the cost and fabrication of reinforcement grills, shuttering and centering but including vibrating, laying, curing and finishing etc., complying with relevant standard specifications in the following floors</t>
  </si>
  <si>
    <t>a. In Ground floor</t>
  </si>
  <si>
    <t>b. In First floor</t>
  </si>
  <si>
    <t>c. In Second floor</t>
  </si>
  <si>
    <t>d. In Third floor</t>
  </si>
  <si>
    <t>e.  In Fourth floor</t>
  </si>
  <si>
    <t>f.  In Fifth floor</t>
  </si>
  <si>
    <t>g.  In sixth floor</t>
  </si>
  <si>
    <t>h.  In seventh floor</t>
  </si>
  <si>
    <t>i.  In eighth floor</t>
  </si>
  <si>
    <t>j.  In Ninth floor</t>
  </si>
  <si>
    <t>k.  In Tenth floor</t>
  </si>
  <si>
    <t>l.  In Eleventh floor</t>
  </si>
  <si>
    <t>m.  In Twelth floor</t>
  </si>
  <si>
    <t>Brick work in C.M. 1:6  using Chamber Burnt brick of size 23 x 11.2 x 7 cm (9" x 4 3/8" x 2 3/4")</t>
  </si>
  <si>
    <t>Brick work in C.M. 1:6 using chamber Burnt bricks of size 23 x 11.4 x 7.5 cm (9" x 4 1/2"x 3")</t>
  </si>
  <si>
    <t>brick work in cement mortar 1:6 (one of cement and six of sand) using chamber burnt bricks of size 9"x4½"x3" (23x11.4x7.5cm) for super structure in the following floors including labour for fixing the doors, windows and ventilator frames in position, fixing of hold fasts, scaffoldings, curing etc., complete in all respect complying with relevant standard specifications and drawings.</t>
  </si>
  <si>
    <t>a. In Ground Floor/Stilt floor</t>
  </si>
  <si>
    <t>b. In First Floor</t>
  </si>
  <si>
    <t>c. In Second Floor</t>
  </si>
  <si>
    <t>d. In Third Floor</t>
  </si>
  <si>
    <t>e. In Fourth Floor</t>
  </si>
  <si>
    <t>n. In thirteen floor</t>
  </si>
  <si>
    <t>Brick work in C.M. 1:6  using Chamber Burnt brick of size 23 x 11 x 7 cm (9" x 4 1/4" x 2 3/4")</t>
  </si>
  <si>
    <t>Brick work in C.M. 1:6  using Chamber Burnt brick of size 22 x 11 x 7 cm (8 3/4" x 4 1/4" x 2 3/4")</t>
  </si>
  <si>
    <t>Brick work in cement mortar 1:6 (one of cement and six of sand) using kiln burnt country bricks of size 8 3/4"x4 1/4"x2 3/4" (22x11x7cm) for super structure in the following floors including labour for fixing the doors windows and ventilator frames in position, fixing of hold fasts, scaffoldings, curing etc., complete in all respects complying with relevant standard specifications and drawings.</t>
  </si>
  <si>
    <t>(a) In Ground Floor</t>
  </si>
  <si>
    <t>(b) In First Floor</t>
  </si>
  <si>
    <t>(c) In second floor</t>
  </si>
  <si>
    <t>(d) In third floor</t>
  </si>
  <si>
    <t>(e) In fourth floor</t>
  </si>
  <si>
    <t>f. In Fifth Floor</t>
  </si>
  <si>
    <t>g. In Sixth Floor</t>
  </si>
  <si>
    <t>h. In Seventh Floor</t>
  </si>
  <si>
    <t>Brick work in C.M. 1:6  using Kiln Burnt Country bricks of size 22 x 11 x 5.7 cm (8 3/4" x 4 1/4" x 2 1/4")</t>
  </si>
  <si>
    <t>Brick partition work in C.M. 1:4 
Chamber Burnt brick of size 23 x 11.2 x 7 cm (9" x 4 3/8" x 2 3/4")112 mm tk (B.P.)</t>
  </si>
  <si>
    <t>Brick partition work in C.M. 1:4 using chamber Burnt bricks of size 23 x 11.4 x 7.5 cm (9" x 4 1/2"x 3") 114 mm tk (B.P.)</t>
  </si>
  <si>
    <t xml:space="preserve">brick partition wall in cement mortar 1:4 (one of cement and four of sand) 114mm thick for super structure in the following floors using chamber burnt bricks of size 9"x4½”x3" (23x11.4x7.5cm) including labour for fixing the doors, windows and ventilator frames in position, fixing of hold fasts, scaffoldings, curing etc., complete in all respect complying with relevant standard specifications and drawings.
</t>
  </si>
  <si>
    <t>a. In Foundation and basement</t>
  </si>
  <si>
    <t>b. In Ground Floor/stilt floor</t>
  </si>
  <si>
    <t>c. In First Floor</t>
  </si>
  <si>
    <t>d. In Second Floor</t>
  </si>
  <si>
    <t>e. In Third Floor</t>
  </si>
  <si>
    <t>f. In Fourth Floor</t>
  </si>
  <si>
    <t>Brick partition work in C.M. 1:4 Chamber Burnt 
brick of size 23 x 11 x 7 cm (9" x 4 1/4" x 2 3/4") 110 mm tk (B.P.)</t>
  </si>
  <si>
    <t>Brick partition work in C.M. 1:4 
Chamber Burnt brick of size 22 x 11 x 7 cm (8 3/4" x 4 1/4" x 2 3/4") 110 mm tk (B.P.)</t>
  </si>
  <si>
    <t>Brick partition wall in cement mortar 1:4 (one of cement and four of sand) 110mm thick for super structure in the follwing floors using kiln burnt country bricks of size  of 83/4" x 41/4" x 23/4" (22x11x7cm) including  labour for fixing the doors, windows and ventilator frames in position, fixing of hold fasts, scaffoldings, curing etc., complete in all respects complying with relevant standard specifications and drawings.</t>
  </si>
  <si>
    <t>(a) In Foundation and Basement</t>
  </si>
  <si>
    <t>(b) In Ground Floor</t>
  </si>
  <si>
    <t>(c) In First Floor</t>
  </si>
  <si>
    <t>(d) In Second Floor</t>
  </si>
  <si>
    <t>(e) in third floor</t>
  </si>
  <si>
    <t>(f) in fourth floor</t>
  </si>
  <si>
    <t>(g)  In Fifth floor</t>
  </si>
  <si>
    <t>(h).  In sixth floor</t>
  </si>
  <si>
    <t>Brick partition work in C.M. 1:4 Kiln Burnt Country bricks of size 22 x 11 x 5.7 cm (8 3/4" x 4 1/4" x 2 1/4") 110 mm tk (B.P.)</t>
  </si>
  <si>
    <t>Brick work in C.M. 1:4 Chamber Burnt brick of size 23 x 11.2 x 7 cm (9" x 4 3/8" x 2 3/4")70 mm tk (B.P.)</t>
  </si>
  <si>
    <t>Brick work in C.M. 1:4 using chamber Burnt bricks of size 23 x 11.4 x 7.5 cm (9" x 4 1/2"x 3") 75 mm tk (B.P.)</t>
  </si>
  <si>
    <t>brick partition walls 75mm thick using chamber burnt bricks of size 9"x4½x3" (23x11.4x7.5cm) in cement mortar 1:4 (one of cement and four of sand) for super structure in the following floors including scaffoldings, curing etc., complete in all respect  complying  with relevant standard specifications and drawings.</t>
  </si>
  <si>
    <t>(a) in foundation and basement</t>
  </si>
  <si>
    <t>(c) in first floor</t>
  </si>
  <si>
    <t>(d) in second floor</t>
  </si>
  <si>
    <t>Brick work in C.M. 1:4 Chamber Burnt brick: 
of size 23 x 11 x 7 cm (9" x 4 1/4" x 2 3/4") 70 mm tk (B.P.)</t>
  </si>
  <si>
    <t>Brick work in C.M. 1:4 Chamber Burnt brick of size 22 x 11 x 7 cm (8 3/4" x 4 1/4" x 2 3/4") 70 mm tk (B.P.)</t>
  </si>
  <si>
    <t>Brick partition walls 70mm thick using kiln burnt country bricks of size 8 ¾" x 4 ¼"x 2 ¾"  (22x11x7cm) in cement mortar 1:4 (one of cement and four of sand) for super structure in the following floors including scaffoldings, curing etc., complete in all respects complying with relevant standard specifications and drawings.</t>
  </si>
  <si>
    <t xml:space="preserve">a. In Ground Floor </t>
  </si>
  <si>
    <t xml:space="preserve">b. In First Floor </t>
  </si>
  <si>
    <t>Brick work in C.M. 1:4 Kiln Burnt Country bricks of size 22 x 11 x 5.7 cm (8 3/4" x 4 1/4" x 2 1/4") 57 mm tk (B.P.)</t>
  </si>
  <si>
    <t>brick partition walls 50mm thick using kiln burnt country bricks of size 8 3/4"x4 1/4"x2" (22x11x5cm) in cement mortar 1:4 (one of cement and four of sand) for super  structure in the following floors including scaffolding, curing etc., complete all respets complying with relevant standard specifications and drawings.</t>
  </si>
  <si>
    <t>a. In Ground FloorBrick partition in C.M. 1:4 using country bricks of size 22 x11x5cm 50 mm thick</t>
  </si>
  <si>
    <t>b. In First FloorBrick partition in C.M. 1:4 using country bricks of size 22 x11x5cm 50 mm thick</t>
  </si>
  <si>
    <t>c. In Second FloorBrick partition in C.M. 1:4 using country bricks of size 22 x11x5cm 50 mm thick</t>
  </si>
  <si>
    <t>d. In Third FloorBrick partition in C.M. 1:4 using country bricks of size 22 x11x5cm 50 mm thick</t>
  </si>
  <si>
    <t>e. In Fourth Floor Brick partition in C.M. 1:4 using country bricks of size 22 x11x5cm 50 mm thick</t>
  </si>
  <si>
    <t>g. In Fifth Floor</t>
  </si>
  <si>
    <t>h. In Sixth Floor</t>
  </si>
  <si>
    <t>i. In Seventh Floor</t>
  </si>
  <si>
    <t xml:space="preserve">Brick partition in C.M. 1:4 50 mm tk. (B.P.)
Kiln Burnt Country brick: 23 x 11 x 5 cm 
(9" x 4 1/4" x 2") </t>
  </si>
  <si>
    <t>Filling in foundation and basement and other similar works with excavated earth in layers of 150mm thick well watered rammed and consolidated complying with relevant standard specification etc.,  all complete and as directed by the departmental officers.</t>
  </si>
  <si>
    <t>Filling with Excavated Earth Mixed with lime in the proporation 1:4 (one of lime &amp; four of earth)</t>
  </si>
  <si>
    <t xml:space="preserve">filling in foundation and basement with excavated earth mixed with lime in the proportion of 1:4 (one of lime and four of earth) in layers of 150mm thick well watered rammed and consolidated complying with relevant standard specification etc., all complete and as directed by the departmental officers.
</t>
  </si>
  <si>
    <t>Precast Cupboard slab 20 mm tk.</t>
  </si>
  <si>
    <t xml:space="preserve">Supplying and fixing of precast cement concrete slab for cupboard/ward robes shelves, cover slab for chambers, baffle walls side slabs of boxing around windows and other similar works in </t>
  </si>
  <si>
    <t>Precast cupboard slab 40 mm tk.</t>
  </si>
  <si>
    <t>a. In Foundation &amp; basement</t>
  </si>
  <si>
    <t>b. In Ground floor</t>
  </si>
  <si>
    <t>c. In First floor</t>
  </si>
  <si>
    <t>d. In Second floor</t>
  </si>
  <si>
    <t>e. In Third floor</t>
  </si>
  <si>
    <t>f.  In Fourth floor</t>
  </si>
  <si>
    <t>Cuddappa slab 20 mm tk.</t>
  </si>
  <si>
    <t>Cuddappa slab 40 mm tk.</t>
  </si>
  <si>
    <t>Precast Jally ventilator 50mm tk.</t>
  </si>
  <si>
    <t>Precast cement concrete jally ventilator in s</t>
  </si>
  <si>
    <t>(a) In ground floor</t>
  </si>
  <si>
    <t>(b) In first floor</t>
  </si>
  <si>
    <t>Supplying &amp; fixing of Terra cotta jolly (not less than 50mm)</t>
  </si>
  <si>
    <t>supplying and fixing of terra cotta jally (not below 50mm thick) of best quality and fixing in position with cement paste and redoxide putty including cost of all materials as directed by the departmental officers. (the terra cotta jally quality and design shall be got approved by the executive engineer before use)</t>
  </si>
  <si>
    <t>Supplying &amp; fixing of Terra cotta jolly (more than  50mm  upto 110 mm)</t>
  </si>
  <si>
    <t>supplying and fixing of terra cotta jally (more than 50mm upto 110mm louvered type ) of best quality and fixing in position with cement paste and redoxide putty including cost of all materials as directed by the departmental officers. (the terra cotta jally quality and design shall be got approved by the executive engineer before use.)</t>
  </si>
  <si>
    <t>Form work- Lintel (C.W. planks)</t>
  </si>
  <si>
    <t>Form work - M.S. Sheet (slab)</t>
  </si>
  <si>
    <t>Form work - Small quantities  (M.S. Sheet)</t>
  </si>
  <si>
    <t>Form work - Plinth beam (C.W. planks)</t>
  </si>
  <si>
    <t>R.C.C.Door frame</t>
  </si>
  <si>
    <t>a. 900 x 2100 mm</t>
  </si>
  <si>
    <t>b. 700 x 2100 mm</t>
  </si>
  <si>
    <t>c. 1000 x 2100 mm</t>
  </si>
  <si>
    <t>Supplying and fixing of teak wood wrought and put up for frames of doors, windows, ventilators, cupboard and any other similar joinery works with necessary plugs, rebates for shutters, plaster grooves on all faces etc. including labour charges for fixing hold fasts complying with relevant standard specifications etc.. in all respects.</t>
  </si>
  <si>
    <t xml:space="preserve">(a) Teak wood over 2.00 metre and below 3.00 metre length
</t>
  </si>
  <si>
    <t xml:space="preserve">(b) Teak wood below 2.00 metre length
</t>
  </si>
  <si>
    <t xml:space="preserve">PVC Door frame &amp; shutter  
</t>
  </si>
  <si>
    <t>Supplying and fixing of PVC doors of required over all size (single leaf) with PVC door frame and pvc shutter (superior variety). the door frame of 60mm thick made out of superior quality polymeric material conforming to is: 10151-1982. the door frame is made of rigid thermo vinyl polymer extruded section having over all dimension of 60mmx50mm with wall thickness not less than 2.5 mm corners of door 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the door shutter of 40 mm thick made</t>
  </si>
  <si>
    <t>Teak wood panelled door shutters</t>
  </si>
  <si>
    <t>a. 1000 x 2100 mm</t>
  </si>
  <si>
    <t>b. 900 x 2100 mm</t>
  </si>
  <si>
    <t>c. 700 x 2100 mm</t>
  </si>
  <si>
    <t>d. 1200 x 2100 mm (Single) annexure item</t>
  </si>
  <si>
    <t>Teak wood "Window" &amp;  Ventilator Shutter</t>
  </si>
  <si>
    <t>a. Window: 135 cm ht.</t>
  </si>
  <si>
    <t>b. Window: 120 cm ht.</t>
  </si>
  <si>
    <t>c. Window: 105 cm ht.</t>
  </si>
  <si>
    <t>d. Ventilator: (90 x 60 cm)</t>
  </si>
  <si>
    <t>T.W. double leaf shutters for cup board/ ward robes</t>
  </si>
  <si>
    <t>T.W. single leaf  Door shutters using    9 mm tk. phynol bonded BWR plywood</t>
  </si>
  <si>
    <t>Glass panels with Aluminium beedings</t>
  </si>
  <si>
    <t>Supply and fixing of best approved superior variety magnetic door catches suitable for doors including cost of door catches, aluminium / stainless steel screws fixing in position etc., complete and as directed by the departmental officers. (the quality and brand shall be got approved from the executive engineer before use)</t>
  </si>
  <si>
    <t xml:space="preserve">Supply and fixing of Aluminium window with 3mm thick Glass </t>
  </si>
  <si>
    <t>a. 1.8 x 1.35 mt.window</t>
  </si>
  <si>
    <t>b. 1.35 x 1.35 mt.window</t>
  </si>
  <si>
    <t>c. 1.35 x  1.05 mt window</t>
  </si>
  <si>
    <t>d. 1.2 x 1.35 mt window</t>
  </si>
  <si>
    <t>e. 1.2 x 1.05 mt window</t>
  </si>
  <si>
    <t>f. 1.05 x 1.35 mt window</t>
  </si>
  <si>
    <t>g. 0.9 x 1.35 mt window</t>
  </si>
  <si>
    <t>h. 0.9 x 1.05 mt window</t>
  </si>
  <si>
    <t>i. 0.5 x 1.35 mt window</t>
  </si>
  <si>
    <t>j. 0.45 x 1.35 mt window</t>
  </si>
  <si>
    <t>k.0.90 x 0.60 mt.Ventilator</t>
  </si>
  <si>
    <t>l. 0.60 x 0.60 mt.Ventilator</t>
  </si>
  <si>
    <t>Manufacturing &amp; supply of steel windows (Weight basis)</t>
  </si>
  <si>
    <t>Manufacturing and supplying of steel windows confirming to is 1038/1983 specification  with steel section used for fabrication of windows  as per is 7452/1982 specification and as per the approved type design for all size applicable for the work with iron oxidised handles with locking arrangements, peg stays and including cost for one coat of red oxide primer etc., complete and as directed by the departmental officers. (windows should be weighed excluding aluminium beeding and glass  panel. the standard models of window with grill design drawing are enclosed in the annexure. however the windows grill and design  should be got approved by the executive engineer before use.)</t>
  </si>
  <si>
    <t>Supplying and fixing of Mild steel hold fasts horizontally twisted of size 230x40x4mm  with pair of suitable iron screws.</t>
  </si>
  <si>
    <t>Flooring with a bed of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</si>
  <si>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B.w. in C.M. 1:4 for staircase steps Chamber
 burnt bricks 23 x 11.2 x 7 cm.</t>
  </si>
  <si>
    <t>B.w. in C.M. 1:4 for staircase steps Chamber
 burnt bricks 23 x 11.4 x 7.5 cm.</t>
  </si>
  <si>
    <t xml:space="preserve">brick work in cm 1:4 (one of cement and four of sand) using chamber burnt bricks of size 9"x41/2"x3" (23x11.4x7.5cm) for stair case steps including proper setting, scaffolding, curing etc., complete in all respects in all floors. </t>
  </si>
  <si>
    <t>B.w. in C.M. 1:4 for staircase steps Chamber 
burnt bricks  23 x 11 x 7 cm.</t>
  </si>
  <si>
    <t>B.w. in C.M. 1:4 for staircase steps Chamber
 burnt bricks 22 x 11 x 7 cm.</t>
  </si>
  <si>
    <t>B.w. in C.M. 1:4 for staircase steps Kiln burnt country bricks 22 x 11 x 7 cm.</t>
  </si>
  <si>
    <t>B.w. in C.M. 1:4 for staircase steps Kiln burnt country bricks 22 x 11 x 5.7 cm.</t>
  </si>
  <si>
    <t>Mosaic tiles 20 cm x 20 cm x 2 cm.</t>
  </si>
  <si>
    <t>Mosaic tiles 25 cm x 25 cm x 2 cm.</t>
  </si>
  <si>
    <t>Floor ceramic tiles</t>
  </si>
  <si>
    <t>Glazed tiles</t>
  </si>
  <si>
    <t>Floor ceramic tiles (Anti-skid)</t>
  </si>
  <si>
    <t>Finishing the top of flooring with cement concrete 1:3 (one of cement and three of blue granite chips of size 10mm and below) 20mm thick Ellis pattern flooring (no sand) and surface rendered smooth including 50mm wide skirting, providing proper slopes, thread lining, curing etc., complete in all floors complying with relevant standard specifications.</t>
  </si>
  <si>
    <t>weathering course with concrete broken brick jelly 20mm gauge in pure burnt lime stone slaked and screened (no sand) over rcc roof slab with proportion of brick jelly to lime (fat lime) being 32:12½ by volume well beaten with wooden beaters for giving the required slope and thickness complying with relevant  standard specification and as directed by the departmental officers.</t>
  </si>
  <si>
    <t>Pressed tiles (23cmx23cmx20mm) mixed with Crude oil</t>
  </si>
  <si>
    <t>Pressed tiles (23cmx23cmx20mm) mixed with Water proofing compound</t>
  </si>
  <si>
    <t>Finishing the top of roof with one course of hydraulic pressed tiles of approved superior quality of size 23cmx23cmx20mm thick laid over weathering course in cm 1:3 (one of cement and three of sand) 12mm thick mixed with water proofing compound  at 2% by weight of cement used and pointed neatly with the same cement morter mixed with water proofing compound including curing etc., as per standard specifications. (the quality of the tiles shall be got  approved from the executive engineer before use.)</t>
  </si>
  <si>
    <t>Pressed tiles (23cmx23cmx18mm) mixed with Water proofing compound</t>
  </si>
  <si>
    <t>Plastering in Cement Mortar 1:5 (one of cement and five of sand) 12mm thick for border finish in all floors for elevation purposes including scaffolding, curing, finishing etc., all complete.</t>
  </si>
  <si>
    <t>(a) 150mm wide border</t>
  </si>
  <si>
    <t>(b) 75mm wide border</t>
  </si>
  <si>
    <t>(c) 50mm wide border</t>
  </si>
  <si>
    <t>White washing 3 coats  (slaked)</t>
  </si>
  <si>
    <t>Colour washing  ( slaked)</t>
  </si>
  <si>
    <t>Cement paint</t>
  </si>
  <si>
    <t>Matt paint</t>
  </si>
  <si>
    <t>Painting the new wood work with two coats of approved first class synthetic enamel ready mixed paint in addtion to one coat of primer of approved quality and shade, the paint should be supplied by the contractor at his own cost (the quality and the shade of paint should be got approved by the executive engineer before use) complying with relevant standard specifications.</t>
  </si>
  <si>
    <t>Fabrication of Mild steel / RTS grills
(with cement slurry wash)</t>
  </si>
  <si>
    <t xml:space="preserve">supplying, fabricating and placing in position of mild steel grills / ribbed tor steels for reinforcement for all floors including cost of binding wire, bending, tying and applying one coat of cement slurry etc., all complete in all respects.
</t>
  </si>
  <si>
    <t>(a) upto 16mm dia rods</t>
  </si>
  <si>
    <t xml:space="preserve">(b) above 16mm dia rods </t>
  </si>
  <si>
    <t xml:space="preserve">Fabrication of Mild steel / RTS grills 
</t>
  </si>
  <si>
    <t>Supplying, fabricating and placing in position of mild steel grills / ribbed tor steels of all diameters for reinforcement for all floors including cost of  binding wire, bending tying  and applying one coat of cement slurry etc., all complete in all respects.</t>
  </si>
  <si>
    <t>PVC SWR 110 mm dia Rain water pipe</t>
  </si>
  <si>
    <t>Rain Water Harvesting using Defunct borewell method</t>
  </si>
  <si>
    <t>Stucco plastering 12 mm tk.</t>
  </si>
  <si>
    <t>stucco plastering 12mm thick using hard broken stone chips of size 10mm  and below using 86.50 kgs of cement and 0.15 cu.m. blue metal chips for every 10sq.m area over the existing plastered surface including curing etc., complete complying with relevant standard specifications and as directed by the departmental officers.</t>
  </si>
  <si>
    <t>Supplying and fixing of 20mm dia Aluminium hanger rod to the required length with aluminium end brackets  including cost of screws, tw plugs and labour charges for fixing in position etc., complete in all respects and as directed by the departmental officers.</t>
  </si>
  <si>
    <t>Supplying and fixing of Aluminium towel rails of 75cm long, including cost of screws, TW plug and labour charges for fixing in position etc., complete in all  respects and as directed by the departmental officers.</t>
  </si>
  <si>
    <t>Supplying and fixing of Aluminium plate with five pins for coat stand including cost of plugs, nails, screws and labour for fixing in position etc., all complete and as directed by the departmental officers.</t>
  </si>
  <si>
    <t>Providing and fixing of iron chromium plated 8 gauge picture hooks including fixing in position etc., all complete in all respects and as directed by the departmental officers.</t>
  </si>
  <si>
    <t>Precast slab 50 mm tk.in C.C. 1:3:6</t>
  </si>
  <si>
    <t xml:space="preserve">Providing precast Kerb stone in C.C. 1:3:6,  450 x 300 x 150 mm </t>
  </si>
  <si>
    <t>Supplying and fixing of precast kerb stone of size 450 x 300 x150 mm made in cement concrete 1:3:6 (one of cement, three of sand and six of hard broken stone jelly) using 20mm size hard broken stone jelly including the cost of kerb stone, moulding, laying, curing, transporting, pointing and as directed by the departmental officers.</t>
  </si>
  <si>
    <t>supplying and planting of avenue trees including earthwork excavation for pit of size 60x60x60cm filled with manure for 20cm depth and filling with river sand and red earth mix in the ratio of 1:1 for 40cm depth in the same pit and planting the avenue trees of approved varieties to a height of 200cm from the ground level and maintaining them for the period of six months including watering, periodical manuring and replacing the avenue trees if dead etc., all complete and as directed by the departmental officers. (tree sappling shall be got approved by the executive engineer before planting)</t>
  </si>
  <si>
    <t>supplying and fixing of triangular shape chicken mesh tree guard using 8 cm dia casurina vertical post and middle tie using country wood reaper of size 50x25 mm and 25 gauge chicken mesh including labour charges for fixing the triangular tree guard and as directed by the departmetal officers.</t>
  </si>
  <si>
    <t>Supplying. Fabricating and erection of M.S Scheme Name board</t>
  </si>
  <si>
    <t>Supplying fabrication and erecton in position of M.S.scheme name and layout  board with 50x50x6mm M.S.angle for vertical post and support posts with 2.5mm thick m.s.sheet for a size at 1.80x1.20m with 40x40x6mm M.S.angle around the board and 50x6mm flat stiffeners on both directions including cost of welding charges, painting charges  and drawing the layout and lettering the scheme details as directed by the departmental officers including earth work  excavation for 4 nos. of pits, PCC 1:5:10 (one of cement, five of sand and ten of 40 mm hb stone jelly) for pits 0.45x0.45x0.60m below ground level and PCC 1:2:4 (one of cement, two of sand and four of 20 mm hb stone jelly) at 0.30x0.30x0.30m. above ground level for erection, conveyance charges etc., all complete and as directed by the departmental officers.</t>
  </si>
  <si>
    <t>HDPE water tank 700 lit capacity with ISI mark</t>
  </si>
  <si>
    <t>Supplying and erection of rotational moulded polyethylene water storage tanks (HDPE cylinderical vertical type) for outdoor use having capacity 1000 of  litres (excluding free board) of approved brand (superior variety) with ISI mark (marked in the tank itself) with top lid with provisions of locking including necessary specials and fittings for storing potable water and manufactured  with material which do not import any taste /odour/ any toxic effect and not to contaminate etc., with carbon block content and dispersion in accordance with relevant I.S. specification and as directed by the departmental officers etc., complete. (the tank should be got approved form the executive engineer before use)</t>
  </si>
  <si>
    <t>Supplying, laying, fixing and joining the following PVC pipes as per ASTM D-1785 of schedule 40 of wall thickness not less than the specified in IS 4985 suitable for  plumbing by threading of wall thickness including the cost of suitable PVC/GI specials/GM specials like elbow, tee, reducers, plug, unions, bend, coupler, nipple, gm gate valve, check and wheel valve etc., wherever required above the ground level including the cost of teflon tape, special clamps, nails etc., fixing on wall to the proper gradiant and alignment and redoing the chipped of masonry etc., as directed by the departmental officers.</t>
  </si>
  <si>
    <t>(a) 32mm ASTM-D schedule 40 threaded PVC pipe  with necessary PVC/GI specials</t>
  </si>
  <si>
    <t>(b) 25mm ASTM-D schedule 40 threaded PVC pipe  with necessary PVC/GI specials</t>
  </si>
  <si>
    <t>(c) 20mm ASTM-D schedule 40 threaded PVC pipe  with necessary PVC/GI specials</t>
  </si>
  <si>
    <t>G.I Pipe 20mm dia for Hot water line (Fully Concealed in walls)</t>
  </si>
  <si>
    <t xml:space="preserve">supplying, laying and fixing of 20 mm dia gi pipe ‘b’ class of best approved quality for hot water line fully concealed in walls including cost of pipes and specials, labour charges for laying, jointing, testing and redoing the dismantled portions with neat finish etc., all complete and  as  directed  by  the  departmental officers.                                                         
</t>
  </si>
  <si>
    <t>Wash basin</t>
  </si>
  <si>
    <t>S &amp; F  of  C.I. Manhole cover 45 x 45 cm
 (20 kg. weight)</t>
  </si>
  <si>
    <t>C.I. Steps ( 5 kg)</t>
  </si>
  <si>
    <t xml:space="preserve">Supplying and fixing of C.I. steps of approved quality and brand (not less than 5kg each) including cost of material labour charges for fixing etc., all complete and as directed by the departmental officers.
</t>
  </si>
  <si>
    <t>Brass tap (with ISI mark)</t>
  </si>
  <si>
    <t xml:space="preserve">supplying and fixing of brass screw down  tap 15mm dia heavy not less than 430 grams weight with isi mark.
</t>
  </si>
  <si>
    <t xml:space="preserve">C.P tap long body </t>
  </si>
  <si>
    <t>supplying and fixing of 15mm dia brass core c.p long body tap of best quality including cost of fittings with required specials, bends, labour for fixing etc, all complete and as directed by the departmental officers., (the quality and brand of fittings should be got approved from executive engineer before use).</t>
  </si>
  <si>
    <t xml:space="preserve">C.P tap short body </t>
  </si>
  <si>
    <t>supplying and fixing of 15mm dia brass core c.p short body tap of best quality including cost of fittings with required specials, bends, labour for fixing etc, all complete and as directed by the departmental officers., (the quality and brand of fittings should be got approved from executive engineer before use).</t>
  </si>
  <si>
    <t>Squat Urinal</t>
  </si>
  <si>
    <t>supplying and fixing of approved brand porcelain squat urinal superior variety, in cm 1:1 (one of cement and one of sand) including cost of squat urinal with foot rests etc. all   complete   as    directed by the departmental officers (the quality and brand shall be got approved from the executive engineer before use)</t>
  </si>
  <si>
    <t>Flat Back Urinal</t>
  </si>
  <si>
    <t>Supplying and fixing of approved brand porcelain flat back urinal superior variety including cost of urinal lead pipe, waste pipe, 15mm wheel valve, tw plug and labour for fixing etc., all complete as directed by the departmental officers (the brand and quality shall be got approved from the executive engineer before use)</t>
  </si>
  <si>
    <t xml:space="preserve">S &amp; F of Orissapan  - in G.F.  </t>
  </si>
  <si>
    <t xml:space="preserve">S &amp; F of Orissapan - other than G.F. </t>
  </si>
  <si>
    <t>Supplying and fixing EWC (white) superior variety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(EWC and plastic cover shall be got approved from the executive engineer before fixing)</t>
  </si>
  <si>
    <t>S &amp; F of E.W.C.(colour)</t>
  </si>
  <si>
    <t>supplying and fixing ewc superior variety (colour)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(brand, colour of ewc and plastic cover shall be got approved from the executive engineer before fixing)</t>
  </si>
  <si>
    <t>PVC SWR pipe (Soil line)</t>
  </si>
  <si>
    <t>a. 110 mm dia.</t>
  </si>
  <si>
    <t>b. 75 mm dia.</t>
  </si>
  <si>
    <t>PVC Ventilating shaft with cowl</t>
  </si>
  <si>
    <t>Gully Trap using Chamber burnt bricks 23 x 11.2 x 7 cm.</t>
  </si>
  <si>
    <t>supplying and fixing 150mm x 100mm size stone ware gully trap with iron gratings over a bed of 150mm thick brick jelly concrete in c.c.1:8:16 (one of cement, eight of sand and sixteen of broken brick jelly) using 40mm size brick jelly and brick masonry wall 114 mm thick using chamber burnt bricks of size 9"x4-1/2"x3" (23x11.4x7.5cm) in c.m. 1:5 (one of cement and five of sand) plastered with c.m. 1:3 (one of cement and three of sand) 12mm thick etc., complete and as directed by the departmental officers</t>
  </si>
  <si>
    <t>Gully Trap using Chamber burnt bricks 23 x 11 x 7 cm.</t>
  </si>
  <si>
    <t>Gully Trap using Chamber burnt bricks 22 x 11 x 7 cm.</t>
  </si>
  <si>
    <t>Gully Trap using Kiln burnt country bricks 22 x 11 x 7 cm.</t>
  </si>
  <si>
    <t>supplying and fixing 150mm x 100mm size stone ware gully trap with iron gratings over a bed of 150mm thick brick jelly concrete in cc 1:8:16 (one of cement, eight of sand and sixteen of broken brick jelly) using 40mm size brick jelly and brick masonry wall 110 mm thick using kiln burnt country bricks of size 8¾”x4¼”x2¾” (22x11x7cm) in cm 1:5 (one of cement and five of sand) plastered with cm 1:3 (one of cement and three of sand) 12mm thick etc., complete and as directed by the departmental officers.</t>
  </si>
  <si>
    <t>Gully Trap using Kiln burnt country bricks 22 x 11 x 5.7 cm.</t>
  </si>
  <si>
    <t>Supplying and fixing of PVC Nahani trap of 75mmx50mm 4way / 2 way (superior variety) having minimum  of water seal of 50mm confirm to relevant i.s. specifications with its latest amendments  including resting on the bed of brick jelly concrete  1:5:10  (one of cement, five of sand and ten of 40mm guage brick jelly) etc., complete and as directed by the departmental officers. (the pvc nahani trap should be got apporved from the executive engineer before use)</t>
  </si>
  <si>
    <t>Stoneware pipe</t>
  </si>
  <si>
    <t>(a) 100mm dia s.w. pipe</t>
  </si>
  <si>
    <t>(b) 150mm dia s.w. pipe</t>
  </si>
  <si>
    <t>Stoneware pipe dry condition</t>
  </si>
  <si>
    <t xml:space="preserve">supplying and laying and loose jointing the following dia stone ware pipes with isi mark superior variety (glazed) with sipgot and socket ends in dry conditions and tested with water, after the pipes are laid to proper gradient to the alignment etc., complete and as directed by the departmental officers. </t>
  </si>
  <si>
    <t>Stoneware bend</t>
  </si>
  <si>
    <t>supplying and fixing of the following  dia stone ware bend superior variety and jointing with cement and tarred yarn laid to proper gradient including earth work excavation, refilling trenches, concreting, curing and testing the joint etc., complete.</t>
  </si>
  <si>
    <t>a. 100 mm dia Stoneware bend</t>
  </si>
  <si>
    <t>(a)100 mm dia s.w. bend</t>
  </si>
  <si>
    <t>b. 150 mm dia Stoneware bend</t>
  </si>
  <si>
    <t>(b)150 mm dia s.w. bend</t>
  </si>
  <si>
    <t>Stoneware Tee</t>
  </si>
  <si>
    <t xml:space="preserve">supplying and fixing of the following dia stone ware tee superior variety and jointing with cement and tarred yarn laid to proper gradient including earth work excavation, refilling trenches, concreting, curing and testing the joint etc., complete., </t>
  </si>
  <si>
    <t>a. 100 mm dia Stoneware Tee</t>
  </si>
  <si>
    <t>(a)100 mm dia s.w. tee</t>
  </si>
  <si>
    <t>b. 150 mm dia Stoneware Tee</t>
  </si>
  <si>
    <t>(b)150 mm dia s.w. tee</t>
  </si>
  <si>
    <t>32 mm dia PVC waste pipe</t>
  </si>
  <si>
    <t>c. Calling bell point with Buzzer/Calling bell</t>
  </si>
  <si>
    <t xml:space="preserve">Fan point </t>
  </si>
  <si>
    <t>Staircase light point</t>
  </si>
  <si>
    <t>5 amps 5 pin Plug point (Switch board itself)</t>
  </si>
  <si>
    <t>5 amps 5 pin Plug point (Convenient places)</t>
  </si>
  <si>
    <t>Supplying and fixing 15 amps 3 pin plug type socket on a suitable MS box 16g thick concealed and covered with 3mm thick laminated hylem sheet inclusive of  all connections and cost of all materials.</t>
  </si>
  <si>
    <t>supplying and fixing of water tight bulk head fittings with guard, suitable for 60/100 watts including necessary connections, cost of materials etc., all complete.</t>
  </si>
  <si>
    <t>S &amp; F of Tube light with fittings</t>
  </si>
  <si>
    <t>supplying, assembling and fixing of fluorescent tubular lamp of 40watts, 4 feet long with fittings with copper choke and starter with necessary bulb and socket arrangement on teakwood round block of 75mm dia 40mm deep suspended from ceiling (or) mounted on walls etc. (entire fittings shall be got approved from the ee before use.)</t>
  </si>
  <si>
    <t>S &amp; F of 40/ 60 w bulb</t>
  </si>
  <si>
    <t>supplying &amp; fixing of 40/60 watts bulbs suitable for fixing it to pendent / bakelite battern holder of          best approved variety and as directed by the departmental officers.</t>
  </si>
  <si>
    <t>S &amp; F of plastic  shade</t>
  </si>
  <si>
    <t>supplying and fixing of plastic shade of best approved make and quality to reflect the light and also match to the wall colour etc., all complete and as directed by the departmental officers. (the quality of plastic shade should be got approved from the executive engineer before use.)</t>
  </si>
  <si>
    <t>Double pole main switch</t>
  </si>
  <si>
    <t>Supplying and fixing of 16 Amps Double pole main switch with fuse and neutral link on a suitable well varnished teak wood board including necessary inter connections and earth connections, cost of all materials etc., all complete</t>
  </si>
  <si>
    <t>Supplying and fixing of best approved superior variety concealed type fibre box with M.S Fan hook of 100 mm dia 75 mm depth and 3 mm thick including cost and fixing in position etc., complete and as directed by the departmental officers (the quality should be got approved by the executive engineer before use)</t>
  </si>
  <si>
    <t>6 way - D.B.</t>
  </si>
  <si>
    <t>Supplying and fixing of 1 no. three phase distribution board with 6 way per phase 30A / per way with neutral link on suitable well varnished teakwood plank including necessary inter connections and earth connections cost of all materials etc., all complete.</t>
  </si>
  <si>
    <t>4 way - D.B.</t>
  </si>
  <si>
    <t>Supplying and fixing of 1 No. three phase distribution board with 4 way per phase 30A per way with neutral link on suitable well varnished teakwood plank including necessary inter connections and earth connections, cost of all materials etc., all complete.</t>
  </si>
  <si>
    <t>Charges for assembling and fixing of ceiling fan of different sweep with  necessary connections and fixing of fan regulator on the existing board etc., all complete (excluding cost of fan).</t>
  </si>
  <si>
    <t>Supply and delivery of Fan</t>
  </si>
  <si>
    <t>a. 48" (1200 mm)</t>
  </si>
  <si>
    <t>b. 42" (1050 mm)</t>
  </si>
  <si>
    <t>Supplying and laying of 8 SWG GI wire on wall below ground levels with  necessary 'U' nails earth work excavation and refilling etc., including  cost of all materials etc., all complete.</t>
  </si>
  <si>
    <t>Providing and fixing 25mm x 3mm copper strip on surface or in recess for connections as required -</t>
  </si>
  <si>
    <t>Run of main 2 wires of 1.50 Sqm.m.</t>
  </si>
  <si>
    <t>Run of 2 wires of 4 Sqm.m with continuous earth by means of 2.5Sqm.m</t>
  </si>
  <si>
    <t>Supplying, fixing, connecting and commissioning of 20amps metal clad switch for Air’ conditioner (superior variety) combined with 20amps SP MCB in manufactures mount box fixed flush with the wall including cost of material, necessary inter connection etc, switch on suitable angle iron frame work with necessary tw entry boxes with earthing etc., all complete and as directed by the departmental officers., (the quality and brand of fittings should be got approved from executive engineer before use).</t>
  </si>
  <si>
    <t>Supplying, fixing and concealing T.W box of size 8"x6"x4" covered with 3mm thick hylem sheet including cost of T.V.line socket / Telephone line socket etc., all complete and as directed by the departmental officers.</t>
  </si>
  <si>
    <t>supplying, laying and concealing of pvc pipe of 20mm dia with necessary specials and other materials including run off 1 no fish wire (g.i. 22g) for drawing cable for t.v./telephone etc., all complete and as directed by the departmental officers.</t>
  </si>
  <si>
    <t>Providing Earthing Station (Type I)  using pipe electrode as per is 3043 using 2.5 m of 40mm dia and 1.0 m of 20mm dia 'B-class GI pipe including earth work excavation, brick work  in cement mortar and plastering and cost of funnel, GI nuts, bolts, washers, check nuts, G`I bend, reducer and coupling, C.I cover  of 30x30 cm and including charcoal of 40 kgs and salt 10 kgs etc., all complete.</t>
  </si>
  <si>
    <t xml:space="preserve">Plate earthing with copper plate of size 600 x 600 x 3 mm </t>
  </si>
  <si>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</si>
  <si>
    <t>Earthing Station (Type II)</t>
  </si>
  <si>
    <t>providing earthing station (type ii) using 2.0m of 440mm dia b class g.i. pipe electrode as per pwd (tnbp) and supplying and laying of 8swg gi wire including earth work excavation, brick work in cement mortar, plastering, rcc cover slab, g.i. wire 0.50 kg, 20 kg of charcoal, 9 kg of salt including cost of all materials etc. all complete and as directed by the departmental officers.</t>
  </si>
  <si>
    <t>1 No.of 30Amps - Fuse Unit</t>
  </si>
  <si>
    <t>3 Nos.of 30Amps - Fuse Unit</t>
  </si>
  <si>
    <t>Supplying and fixing 3 Nos of 30 amps 500 volts grade porcelain fuse unit on suitable teakwood plank varnished to be fixed on the top of pole eb street pole with necessary clamps including cost of all materials etc., all complete.</t>
  </si>
  <si>
    <t>375 x 300 x 20 mm T.W. plank</t>
  </si>
  <si>
    <t>Supplying and fixing of 1 no. of 375x300x20mm thick tw plank  varnished with 1 no. of 25 amps 250 volts fuse unit and 1 no. copper earth plate of suitable size bolts and nuts on wall for eb service connections including cost of all materials etc., all complete (single phase service conncetion).</t>
  </si>
  <si>
    <t>Meter cupboard</t>
  </si>
  <si>
    <t>supplying and fixing best country wood meter cupboard with shutters double leaves with 230mmx25mm size cw planks for alround sides 62.5mmx31.25mm styles and rails for shutters and 75mmx25mm weld mesh of 6 and 10 gauge for panels including labour charges for fixing in position of shutters and cost of 'l'  clamps, 6 nos of size 150x150mm size with 25mmx4mm ms flats, 1 no of 6"x1/2" aluminium  aldrop with bolts and nuts , 6 nos of 3" size i.o. butt hinges with screws, 2 nos of 2" size i. o. hooks and eyes, tw plugs, screws etc., complete and as directed by the departmental officers and as per drawings.</t>
  </si>
  <si>
    <t>Street lights</t>
  </si>
  <si>
    <t xml:space="preserve">supplying and delivery of single fluorescent tubular lamp street light fittings complete with heavy gauge aluminium sheet fabricated canophy treated primered and painted with stove enameled crca sheet steel contract gear Cum. reflector tray duly finished glossy white for optimum reflection with clear ribbed acrylic bowl fixed to aluminium frame with gasket lining secured to canophy by means of hinges on one side and foggle catches in the other side for effective projection against dust and water entry all prewired up to terminal block complete with all accessories such as copper wire, tube light of 40 watts 4 feet long, wound ballast capacitor, starter etc., complete with side entry mounting </t>
  </si>
  <si>
    <t>M.S Angle</t>
  </si>
  <si>
    <t xml:space="preserve">conforming to is 10322 / and including labour charges for fixing street light fittings in the eb pole/wall with gi pipe 20 mm dia 2 m. length and accessories etc., with 15 amps  500v fuse unit on a tw plank 150x100x20mm thick etc., complete and as directed by the departmental officers. (the quality of the entire fittings should be got approved from the executive engineer before use) </t>
  </si>
  <si>
    <t>Run off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</si>
  <si>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 of G.I pipe 25mm dia</t>
  </si>
  <si>
    <t>Supply of GI pipe of 25mm dia ‘B’ class for eb service connection (Single phase) for passing through from top of house to the EB board.</t>
  </si>
  <si>
    <t>Anti termite treatment</t>
  </si>
  <si>
    <t>providing pre-constructional  antitermite treatment including cost of chemicals  labour as per standard specifications for preparing the area for treatment  by spraying chemicals and other incidental charges etc,. complete. the rate should be  for curing antitermite treatment from the plinth beam and brick  masonry with super structure in contact with the back fill earth and at the  junction of the walls. the top surface of filled earth for flooring and the soil along with the perimeter of the building by making holes with the crow bar and poured 5% termicide. "chloripyrifos" and spraying the same termicide solution on the wooden frames and treating the other periphery of buildings etc., complete in all respects as per is 6313 (part-ii) / 1981 and as directed by the departmental officers.</t>
  </si>
  <si>
    <t>ELCB Single phase</t>
  </si>
  <si>
    <t xml:space="preserve">Supplying and fixing 40 amps Earth Leakage Circuit Creaker/residual current circuit breaker (ELCB/RCCB) 30 milli amps sensitive 6ka breaking capacity with ISI marked single phase unit (IS 12640) for incoming. 2 nos 6 amps single pole `B' series miniature circuit breaker for outgoing lighting 1 no 16 amps single pole miniature circuit `C' series breaker isi marked (is 8828) for power plugs outgoing in suitable breaking capacity of mcb should have 9 ka (MCB and ELCB/RCCB should be of same manufacture). the ELCB and MCB will be fixed on the 18 gauge thick ms box of size 12"x15"x2 1/2" all concealed in wall and covered with 3mm thick laminated hylem sheet with brass screws and all inter connections etc., complete. </t>
  </si>
  <si>
    <t>supplying and fixing of 300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</si>
  <si>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Anticorrosive treatment for steel grills</t>
  </si>
  <si>
    <t xml:space="preserve">applying one coat of anticorrosive treatment on steel reinforcement rods (20 ltrs. of anticorrosive chemical for one mertic tonne of steel reinforcement rods) at site including cost of required quantity of anticorrosive chemicals, (best approved quality) cement, consumables such as brushes, gloves and labour for anticorrosive coating etc. complete and as directed by the departmental officers. (the quality and brand of anticorrosive chemical should be got approved by the ee before use). </t>
  </si>
  <si>
    <t>ANNEXURE</t>
  </si>
  <si>
    <t>a. In Ground Floor</t>
  </si>
  <si>
    <t>c. In Third Floor</t>
  </si>
  <si>
    <t>c. In fourth Floor</t>
  </si>
  <si>
    <t>a. Foundation &amp; basement</t>
  </si>
  <si>
    <t>b. In Ground Floor</t>
  </si>
  <si>
    <t>Precast Cupboard slab 20 mm tk.using standardised concrete mix M20 (annexure)</t>
  </si>
  <si>
    <t>Supplying and fixing of Precast Cupboard slab 20 mm tk for cupboard/ward robes shelves, cover slab for chambers, baffle walls side slabs of boxing around windows and other similar works in standardized cement concrete M20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t>
  </si>
  <si>
    <t>a. In Ground floor Precast Cupboard slab 20 mm tk.using standardised concrete mix M20 (annexure)</t>
  </si>
  <si>
    <t>b. In First floor Precast Cupboard slab 20 mm tk.using standardised concrete mix M20 (annexure)</t>
  </si>
  <si>
    <t>c. In Second floor Precast Cupboard slab 20 mm tk.using standardised concrete mix M20 (annexure)</t>
  </si>
  <si>
    <t>d. In Third floor Precast Cupboard slab 20 mm tk.using standardised concrete mix M20 (annexure)</t>
  </si>
  <si>
    <t>e.  In Fourth floor Precast Cupboard slab 20 mm tk.using standardised concrete mix M20 (annexure)</t>
  </si>
  <si>
    <t xml:space="preserve">e.  In Fourth floor </t>
  </si>
  <si>
    <t>Supplying and fixing of Precast cupboard slab 40 mm  for cupboard/ward robes shelves, cover slab for chambers, baffle walls side slabs of boxing around windows and other similar works in standardized cement concrete M20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t>
  </si>
  <si>
    <t xml:space="preserve">f.  In Fourth floor </t>
  </si>
  <si>
    <t>Precast Cupboard slab 20 mm tk.using standardised concrete mix M25 (annexure)</t>
  </si>
  <si>
    <t>Precast cupboard slab 40 mm tkusing standardised concrete mix M25 (annexure)</t>
  </si>
  <si>
    <t>Precast Cupboard slab 20 mm tk.using standardised concrete mix M30 (annexure)</t>
  </si>
  <si>
    <t>Supplying and fixing of Precast cupboard slab 40 mm  for cupboard/ward robes shelves, cover slab for chambers, baffle walls side slabs of boxing around windows and other similar works in standardized cement concrete M30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t>
  </si>
  <si>
    <t>Precast cupboard slab 40 mm tkusing standardised concrete mix M30 (annexure)</t>
  </si>
  <si>
    <t xml:space="preserve"> 20mm thick</t>
  </si>
  <si>
    <t>Precast Jally ventilator 50mm tk.using standardised concrete mix M30 (annexure) without vibrating charges</t>
  </si>
  <si>
    <t xml:space="preserve">a. In Ground floor </t>
  </si>
  <si>
    <t>Precast Jally ventilator 50mm tk.using standardised concrete mix M20 (annexure) without vibrating charges</t>
  </si>
  <si>
    <t>Precast cement concrete jally ventilator in standardized cement concrete M20 using 20mm gauge hard broken stone jelly for the following thickness excluding the cost and fabrication of reinforcement grills but including precasting, moulding, curing, finishing and fixing in position complying with relevant standard specifications  etc., complete in the following floors. 50 mm thick</t>
  </si>
  <si>
    <t>Standardised concrete Mix M20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t>
  </si>
  <si>
    <t>A. In Foundation and basement 1.5 m to 4.0 m Standardised concrete Mix M20 Grade Concrete</t>
  </si>
  <si>
    <t>A. In Foundation and basement 1.5 m to 4.0 m</t>
  </si>
  <si>
    <t>b. Ground Floor Standardised concrete Mix M20 Grade Concrete</t>
  </si>
  <si>
    <t>b. Ground Floor</t>
  </si>
  <si>
    <t>c. In First Floor Standardised concrete Mix M20 Grade Concrete</t>
  </si>
  <si>
    <t>d. In Second Floor Standardised concrete Mix M20 Grade Concrete</t>
  </si>
  <si>
    <t>e. In Third floor Standardised concrete Mix M20 Grade Concrete</t>
  </si>
  <si>
    <t>f.In fourth floor Standardised concrete Mix M20 Grade Concrete</t>
  </si>
  <si>
    <t>f.In fourth floor</t>
  </si>
  <si>
    <t>Standardised concrete Mix M30 Grade Concrete</t>
  </si>
  <si>
    <t>Standardised concrete Mix M30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t>
  </si>
  <si>
    <t>RCC M30 mix using hard broken stone jelly for foundation and basement</t>
  </si>
  <si>
    <t>Mix M30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 in foundation and basement. 
a. In Foundation and basement</t>
  </si>
  <si>
    <t>b.Stilt floor</t>
  </si>
  <si>
    <t>Standardised concrete Mix M25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t>
  </si>
  <si>
    <t>b. In Stilt /Ground Floor</t>
  </si>
  <si>
    <t>j.in Eighth floor</t>
  </si>
  <si>
    <t>k.in Ninth floor</t>
  </si>
  <si>
    <t>l.in Tenth floor</t>
  </si>
  <si>
    <t>n. In Thirteen floor</t>
  </si>
  <si>
    <t>j. In Eighth floor</t>
  </si>
  <si>
    <t xml:space="preserve">Supply and laying of Hard core layer 200mm </t>
  </si>
  <si>
    <t>Supplying and filling stone dust</t>
  </si>
  <si>
    <t xml:space="preserve">Plastering in CM 1:3 (one of cement three of sand) 12mm tk. mixed with water proof compound at 2% by weight of cement for sump including scaffolding curing, finishing etc., complete in all respects and complying with standard specifications.
</t>
  </si>
  <si>
    <t>Supplying and filling in foundation and basement with gravel in layers of 150 mm thickness well watered, rammed and consolidated complying with relevant standard specification including cost of gravel etc., all complete and as directed by the departmental officers.</t>
  </si>
  <si>
    <t>B.W in CM 1:4 in Superstructure for OHT in First floor</t>
  </si>
  <si>
    <t>B.W in CM 1:4 in Superstructure for OHT in Second  floor</t>
  </si>
  <si>
    <t>B.W in CM 1:4 in Superstructure for OHT
In Third  floor</t>
  </si>
  <si>
    <t>B.W in CM 1:4 in Superstructure for OHT In Fourth  floor</t>
  </si>
  <si>
    <t>Earth work excavation in Loose / sandy soils (including refilling)</t>
  </si>
  <si>
    <t>Earth work excavation in Loose / sandy soils (excluding refilling) for open foundation</t>
  </si>
  <si>
    <t>Earth work excavation in Loose / sandy soils (excluding refilling) for drain</t>
  </si>
  <si>
    <t>Providing earth quake resistant for Corner walls</t>
  </si>
  <si>
    <t>c. First Floor</t>
  </si>
  <si>
    <t>d. Second Floor</t>
  </si>
  <si>
    <t>Providing earth quake resistant for Door/window Jambs</t>
  </si>
  <si>
    <t>a. Ground Floor</t>
  </si>
  <si>
    <t>b. First Floor</t>
  </si>
  <si>
    <t>c. Second Floor</t>
  </si>
  <si>
    <t>Bored cast sit piles installation of vertical cast in Situ Bored piles of following dia using Standardised concrete  mix M20 Grade) as per nagapattinam data</t>
  </si>
  <si>
    <t>a.500mm dia pile</t>
  </si>
  <si>
    <t>b.450mm dia pile</t>
  </si>
  <si>
    <t>c.400mm dia pile</t>
  </si>
  <si>
    <t>Chipping of RCC pile head to the required cut of level and clearing way debries with an average lead of 3 km entirely with city limits M20 Grade</t>
  </si>
  <si>
    <t>Conducting routine vertical compression load test CER No.328/2014-15</t>
  </si>
  <si>
    <t>Mobilization charges including transporting to site CER No.328/2014-15</t>
  </si>
  <si>
    <t xml:space="preserve">Red oxide plastering in CM 1:4 </t>
  </si>
  <si>
    <t>P.C.C. 1:3:6  for foundation &amp; basement using 20mm metal</t>
  </si>
  <si>
    <t>Plain cement concrete 1:3:6 (one of cement, three of sand and six of hard broken stone jelly) for  foundation using 20mm gauge hard broken stone jelly inclusive of shoring strutting and bailing out water wherever necessary ramming, curing etc., complete in all respects complying with relevant standard specifications and as directed by the departmental officers.</t>
  </si>
  <si>
    <t>P.C.C. 1:4:8 using 40 mm broken brick jelly</t>
  </si>
  <si>
    <t>plain cement concrete 1:4:8 (one of cement, four of sand  and eight of hard broken stone jelly) for foundation and basement using 40mm gauge hard broken stone jelly inclusive of shoring, strutting and bailing out water wherever necessary ramming, curing etc., complete in all respects complying with relevant standard specifications and as directed by the departmental officers.</t>
  </si>
  <si>
    <t>P. C.C. 1:3:6 for foundation &amp; basement using 40mm metal</t>
  </si>
  <si>
    <t>Providing form work and centering for reinforced cement concrete works including supports and strutting upto 3.30m height for plain surfaces as detailed below with all cross bracings using mild steel sheets of size 90 cm x 60 cm and ms 10 gauge stiffened with welded mild steel angles of size 25 mm x 25mm x 3mm for boarding laid over silver oak or country wood joists of size 10cm x 6.5 cm spaced at about 90 cm centre to centre and supported by casurina props 10 cm to 13 cm dia spaced at 75 cm intervals and removing the same after a specified period without damaging the R.C.C works etc., complete complying with standard specifications and as directed by the departmental officers.</t>
  </si>
  <si>
    <t>(a) For Column footings, plinth beam, grade beam, raft beam, raft slab etc.,</t>
  </si>
  <si>
    <t>(b) Plain surfaces such as roof slab, floor slab, beams lintels, loft, sill slab, staircase waist, portico slab and other similar works</t>
  </si>
  <si>
    <t>(c) For square and rectangular columns, and small quantities such as sunshades, parapet Cum. drops, window boxings, fin projections and other similar works</t>
  </si>
  <si>
    <t>(d) For Vertical walls</t>
  </si>
  <si>
    <t>e.Circular column</t>
  </si>
  <si>
    <t xml:space="preserve">(e) for circular surface </t>
  </si>
  <si>
    <t>f.Curved surface</t>
  </si>
  <si>
    <t>(f) for circular column</t>
  </si>
  <si>
    <t>g.Double centering portico area</t>
  </si>
  <si>
    <t>R.C.C.Door frames of size 100 x 75mm with one edge grooves size 't' x 20 mm using M20 grade ( with out vibrating charges)</t>
  </si>
  <si>
    <t>Supplying and fixing Monolithic RCC door frames of size 100x75mm with one edge grooves size 'T' x 20 mm ('T' represents the shutter thickness) in reinforced cement concrete 1 : 1½ : 3 (one of cement, one and half of sand and three of hard broken stone jelly) using 20mm hard broken stone jelly including cost of steel and fabrication of reinforcement grills with 3 nos. of 6mm M.S rod alround and 3mm steel stirrups at 30cm centre to centre including fixing of 3 nos of  iron bracket of size 100x100x5mm or 3 nos of teak wood plug for receiving hinges and 2 nos of teak wood plug for receiving the tower bolts including fixing of 6 nos of hold fasts and cost and fixing of check nuts and aluminium sleeves and 2 nos iron oxide tower bolt receiver all as per drawings, including moulding in steel mould and casting with smooth surfaces and fine edges, curing, transporting etc., all complete as directed by the departmental officers.</t>
  </si>
  <si>
    <t>a. 900 x 2100 mm R.C.C.Door frames of size 100 x 75mm with one edge grooves size 't' x 20 mm using M20 grade ( with out vibrating charges)</t>
  </si>
  <si>
    <t>c. 1200 x 2100 mm</t>
  </si>
  <si>
    <t xml:space="preserve">c. 1000 x 2100 mm </t>
  </si>
  <si>
    <t>d. 750 x 2100 mm</t>
  </si>
  <si>
    <t>Teak wood "Window" &amp;  Ventilator Shutter with 4mm thick pin headed glasses</t>
  </si>
  <si>
    <t>Teakwood glazed window and ventilators shutters 6.25x3.12 cm  styles and rails and 4mm thick ground or frosted glass for panels including labour charges and cost of furniture fittings as per schedule ‘E’ and directed by the departmental officers.</t>
  </si>
  <si>
    <t>d. Ventilator: (75 x 75 cm)</t>
  </si>
  <si>
    <t xml:space="preserve">(e) tw. glazed ventilators swing type to suit
over all size 75x75cm
</t>
  </si>
  <si>
    <t xml:space="preserve"> MDF board (18mm thick) double leaf shutters with TW frame for cup board/ ward robes.</t>
  </si>
  <si>
    <t>T.W. frame &amp; TW styles &amp; rails with BWR double leaf shutters for cup board/ ward robes including two coat enamel paint &amp; one coat primer.</t>
  </si>
  <si>
    <t>Providing T.W. double leaf shutters for cupboard/ward robes with 9mm thick phenol bonded bwr grade plywood as per is 303-1989 (general) with is 5539-1969 (for preservative treatment) and is 848-1974 (for adhesive) with relevant is specifications and its latest amendment for shutters. the all round frame made up of TW scantling of 75mmx37.50mm and the styles made up of TW scantlings of 75mm x 37.50mm and shutter middle rail (horizontal) made up of TW scantling of 150mm x37.50mm including cost of plywood and labour for fixing in position, cost of materials, aluminium furniture fittings such as 6 nos. of 3" of aluminium butt hinges, 2 nos. of 4" x 5/8" aluminium tower bolt,2 nos of 4" ornamental handle, lock and key arrangements (leaver type) of best approved quality with brass screws and also painting with two coats of approved first class synthetic enamel ready mixed paint over one coat of wood primer of approved quality all complete and as directed by the departmental officers (the lock and key, bwr plywood quality and shade and other fittings should be got approved by the executive engineer before use)</t>
  </si>
  <si>
    <t>MDF board door shutters (35mm thick) exterior grade both side laminated with external lipping.</t>
  </si>
  <si>
    <t>supplying and fixing of medium density fibre (mdf) board - exterior grade - both side prelaminated, 35mm thick conforming to is 12406/1969 with 35 x 12 mm t.w. wood external lipping alround edges with dried soft wood for single leaf door shutter including cost and labour for fixing the furniture fittings as per schedule ‘e’ etc., complete and as directed by the departmental officers (the mdf board quality, shade and other fittings should be got approved by the executive engineer before use).</t>
  </si>
  <si>
    <t>a. 1000X2100mm.</t>
  </si>
  <si>
    <t>b. 900X2100mm.</t>
  </si>
  <si>
    <t>c.1200X2100mm.</t>
  </si>
  <si>
    <t>TW panelled  single door shutter with brass fittings.</t>
  </si>
  <si>
    <t>Supplying and fixing of Best Indian Teakwood panelled door shutters single leaf in position using 75mm x 37.5mm styles and 4 nos of 150x37.5mm rails (top, middle, bottom and lock rail) 2 nos of 75mmx37.5mm vertical shorter styles and 18.75mm thick planks for panels including cost and labour for fixing the aliminium furniture fittings  such as 1nos of door handle with CP screws, 3nos of 5" Butt hinges, 2nos of 6"x1/2" Tower bolt, 1no 10"x5/8" aldrop, 1nos nylon bush and 1nos door stopper etc., all complete and as directed by the departmental officers</t>
  </si>
  <si>
    <t>a. 1000X2100mm.(Single leaf) For Qtrs</t>
  </si>
  <si>
    <t>b.1200x2400mm</t>
  </si>
  <si>
    <t xml:space="preserve">C. 0.75X2100mm.(Single leaf) </t>
  </si>
  <si>
    <t xml:space="preserve">a. 1200X2100mm.(Single leaf)  Four horizontal Panel
</t>
  </si>
  <si>
    <t xml:space="preserve">a. 1200X2100mm.(Single leaf)  Five horizontal Panel
</t>
  </si>
  <si>
    <t>b. 900X2100mm  without Brass fittings ( Single leaf)</t>
  </si>
  <si>
    <t>TW double leaves shutter  with Brass Fittings</t>
  </si>
  <si>
    <t>TW double leaves shutter of size  2000X2400mm.(Double leaves) with Brass fittings</t>
  </si>
  <si>
    <t>TW panelled door double leaves shutter with brass fittings of size . 2000X2100mm. Thiruvarur AR  Garage</t>
  </si>
  <si>
    <t>TW double leaves shutter of size  with brass fittings
a.1800 x 2100mm For PS</t>
  </si>
  <si>
    <t>a. 1500X2400mm.(Double leaves) with Brass  Screws only ( DPO Ariyalur)</t>
  </si>
  <si>
    <t>a. 1500X2100mm.(Double leaves) with Brass fittings</t>
  </si>
  <si>
    <t>TW panelled door double leaves shutter with brass fittings of size . 1200X2100mm.( Crime &amp; Traffic)</t>
  </si>
  <si>
    <t>TW paneled door shutter  size  2400 x 2400mm  with french window  (two end fixed 5.5mm thick glass and doble leaf shutter , Trichy Community hall )</t>
  </si>
  <si>
    <t xml:space="preserve">TW styles &amp; rails with 9mm thick BWR single and Double  leaf shutters  with brass screws </t>
  </si>
  <si>
    <t>Supplying and fixing of best indian TW single leaf panelled door shutters using 9 mm thick phenol bonded BWR grade plywood as per IS 303-1989 (general) with IS 5539-1969 (for preservative treatment and IS 848 –1974 (for adhesives) with relevant IS specification and its latest amendments for shutters with 75mmx37.50mm teak wood styles and 3 nos.of 150x37.50 mm tw rails (top, bottom and lock rails) using the above panels including labour charges and cost of furniture fittings as per schedule ‘E’ with brass screws and as directed by the departmental officers (The quality of BWR plywood should be got approved from the Executive Engineer before use).0</t>
  </si>
  <si>
    <t>TW styles &amp; rails with 9mm thick BWR single leaf shutters  with brass screws size of 1200 x 2100 mm</t>
  </si>
  <si>
    <t>1200 x 2100 mm</t>
  </si>
  <si>
    <t>TW styles &amp; rails with 9mm thick BWR single leaf shutters  with brass screws size of 1000 x 2100 mm</t>
  </si>
  <si>
    <t>1000 x 2100 mm</t>
  </si>
  <si>
    <t>TW styles &amp; rails with 9mm thick BWR single leaf shutters  with brass screws size of 900 x 2100 mm</t>
  </si>
  <si>
    <t>0900 x 2100 mm</t>
  </si>
  <si>
    <t>TW styles &amp; rails with 9mm thick BWR single leaf shutters  with brass screws size of 750 x 2100 mm</t>
  </si>
  <si>
    <t>750 x 2100 mm</t>
  </si>
  <si>
    <t>TW styles &amp; rails with 9mm thick BWR Double leaves shutters  with brass screws size of 1500 x  2100 mm</t>
  </si>
  <si>
    <t>1500 x  2100 mm</t>
  </si>
  <si>
    <t>Supply and Fixing Soild UPVC door Shutter with frame</t>
  </si>
  <si>
    <t>Providing and fixing of factory made unplasticizied polyvinyl chloride (upvc) door frame of size 50X47MM with a wall thickness of 5MM, made out of extruded 5MM rigid upvc foam sheet, mitered at two corners and joined with 2 nos. Of 150MM long brackets of 15X15MM m.s square tube. The two vertical and horizontal door profiles are to be reinforced with 19X19MM m.s square tube of 19 gauges with primer coat. The door frame shall be fixed to the wall using 65MM/100MM long m.s screw through the frame by using pvc fasteners. A minimum of 4 nos. Screws to be provided for each vertical member and minimum 2 nos. For horizontal member etc., providing and fixing of 30MM thick factory made door shutter with unplasticized polyvinyl chloride (upvc) solid panel foam sheet, structured with m.s.tube of 19 gauge thickness and size 19MM x 19MM for styles and 15MM x 15MM for top rail and bottom rail. Paneling of 5MM thick upvc one side printed lamination single sheet to be fitted in the m.s.frame welded / sealed to the styles and rails covered with 5MM thick heat moulded upvc ‘c’ channel of 30MMX50MM and  5MM thick 75MM wide upvc sheet for top rail, lock rail and bottom rail on either side and 10MM (5MM x 2 nos.) Thick, 20MM wide cross upvc sheet as gap insert for top rail and bottom rail, and joined together with pvc solvent cement adhesive. An additional 5mm thick upvc strip of 20mm width is to be stuck on the interior side of the ‘c’ channel using pvc solvent cement adhesive. The  cost and labour charges for fixing of 3 nos. 4” ss butt hinges and aluminium furniture fitting such as 1 no. 4” tower bolt, 1 no.5” aldrop, 2 nos. 6” flat ‘d’ type handle, etc are included. The fitting provided shall bear isi marks. To ensure the genuinity of product, the door set should have 4 numbers of manufacturer’s logo hologram of approved brand, each at frame, style, rail and inner panel. (the quality and brand of door shutter and furniture fittings should be got approved by the executive engineer before use)</t>
  </si>
  <si>
    <t>4mm thick pin headed Glass panels with Aluminium beedings</t>
  </si>
  <si>
    <t>Supplying and fixing of 4mm thick pin headed glass panels with aluminium anodized 'U'  shape beeding of size 12x12 mm with 107 gram in average weight for 1 m length with aluminium bolts and nuts for the shutters of the steel windows already supplied to suit all the size and as directed by the departmental officers.(The quality of glass and aluminium beeding should be got approved from the executive engineer before use)</t>
  </si>
  <si>
    <t>Cuddappa slab 20 mm tk.for kitchen hearth slab.</t>
  </si>
  <si>
    <t xml:space="preserve">supplying cuddappah slab of 20mm thick and laying in cm 1:3, 12mm thick over the rcc platform for kitchen hearth slab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t>
  </si>
  <si>
    <t>(a) In Ground floor</t>
  </si>
  <si>
    <t xml:space="preserve">Providing cuddappah slab of 20mm thick, finishing with two sides for cupboard, wardrobes shelves,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t>
  </si>
  <si>
    <t>Cuddappa slab 40 mm tk.for C/B  slab.</t>
  </si>
  <si>
    <t>Providing cuddappah slab of 40mm thick finishing with two sides for cupboard, sunshade, wardrobes, shelves, side slabs of boxing around windows, kitchen platform slabs, sink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cuddappah sunshade shall be provided with cuddappah beeding of required size to prevent rain water in the rooms without any extra cost)</t>
  </si>
  <si>
    <t>Cuddappa slab 40 mm tk.for Sunshade.</t>
  </si>
  <si>
    <t>Supplying and fixing of colour glazed tiles of size 100x200x6mm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grout (tile joint filler), curing, finishing etc., all complete and as directed by the departmental officers. (the brand quality of tiles should be got approved from the executive engineer before use).</t>
  </si>
  <si>
    <t>Floor ceramic tiles  using Grout (Tile Joint Filler).</t>
  </si>
  <si>
    <t xml:space="preserve">Supplying and fixing of ceramic tiles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 </t>
  </si>
  <si>
    <t>Supplying and laying of ceramic tiles (Anti-Skid)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 (the brand quality of tiles should be got approved from the executive engineer before use).</t>
  </si>
  <si>
    <t>Painting two coats using approved quality of best cement paint over the priming coat on cement plastered / concrete wall surfaces, ceiling or other  similar works including cost of cement paints, putty, brushes, watering, curing, etc., all complete and as directed by the departmental officers (paints and its shade shall be got approved from the executive engineer before using)</t>
  </si>
  <si>
    <t>Painting primer coat using approved quality of white cement over the cement plastered / concrete wall surfaces, ceiling or other similar works including cost of white cement, putty, brushes, watering, curing, etc., all complete and as directed by the departmental officers.</t>
  </si>
  <si>
    <t>Fabrication of Mild steel / RTS grills
(with cement slurry wash) for all sizes of rods.</t>
  </si>
  <si>
    <t>supplying, fabricating and placing in position of mild steel grills/ribbed tor steels of all diameters for reinforcement for all floors including cost of  binding wire, bending, tying  and applying one coat of cement slurry etc., all complete in all respects.</t>
  </si>
  <si>
    <t>Supplying and fixing of 110mm dia PVC SWR pipe with ISI mark confirming to IS 13952:1992- type 'A  for rain water down fall pipe  with relevant specials such as gratings, shoes, bends, offsets confirming to is 14735 including  jointing with seal ring confirming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t>
  </si>
  <si>
    <t>Precast slab 50 mm tk.in C.C. 1:3:6 with fibre</t>
  </si>
  <si>
    <t>Supplying and fixing of fibre mixed precast slab of 50mm thick of all required shapes made in cement concrete 1:3:6 (one of cement, three of sand and six of 20mm hard broken stone jelly) using 20mm hard broken stone jelly mixed with secondary reinforcement fibre of approved quality at 0.25% by weight of cement (125gm of fibre for 1 bag i.e., 50kg of cement) used including cost of all materials, moulding, curing, transportation, laying, pointing etc., for approach road, pavement slab and other similar works etc., complete as per the relevant standard specifications and as directed by the departmental officers. (the shape of slab and brand and quality of fibre should be got approved from the executive engineer before use)</t>
  </si>
  <si>
    <t>20mm dia PVC water supply ASTM pipe (fully consealed in walls)</t>
  </si>
  <si>
    <t>Supplying, laying, fixing and jointing the following pvc pipes as per ASTM-D-1785 of schedule 40 of wall thickness not less than the specified in is 4985 suitable for plumbing by threading of wall thickness including the cost of suitable pvc/gi specials/gm specials like elbow, tee reducers, plug, unions, bend, coupler, nipple/gm gate valve, check and wheel valve etc., wherever required above the ground level including the cost of teflon tape etc., fully concealed in walls to the proper gradient and alignment and redoing the chipped portion of masonry etc.,all complete and as directed by the departmental officers. (c) 20mm ASTM D schedule 40 threaded pvc pipe with necessary PVC/GI specials</t>
  </si>
  <si>
    <t xml:space="preserve">Supplying and fixing of C.I. manhole cover with locking arrangements of approved quality and brand of size 0.6 m x 0.6 m (50 kg) as per standard specifications including cost of material, labour charges for fixing etc. all complete and as directed by the departmental officers
</t>
  </si>
  <si>
    <t xml:space="preserve">Supplying and fixing of porcelin wash hand basin (White), superior variety of size 550x400mm with all accessories such as powder coated cast iron brackets, 32mm dia c.p. waste coupling, rubber plug and aluminium chain, 32mm dia 'B' class G.I. PVC waste pipe, angle valve, 15mm dia nylon connection, 15mm dia brass nipples, 15mm C.P. pillar tap &amp; required grating etc., complete in all respects (wash hand basin shall be got approved by the executive engineer before fixing).
</t>
  </si>
  <si>
    <t xml:space="preserve">Supplying and fixing of Brass Chromium plated screw down tap 15mm dia (heavy type not less than 430 grms weight)  with ISI mark.
</t>
  </si>
  <si>
    <t xml:space="preserve">S &amp; F of Indian Water closet white glazed (Oriya type) of size 580 x 440mm  - in G.F.  </t>
  </si>
  <si>
    <t xml:space="preserve">S &amp; F of Indian Water closet white glazed (Oriya type) of size 580 x 440mm  - Other than  G.F.  </t>
  </si>
  <si>
    <t>Supplying and fixing the following dia PVC (SWR) pipe with ISI mark confirming to IS 13952:1992- type 'B' for soil line with 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t>
  </si>
  <si>
    <t>(a)110mm dia PVC SWR pipe including all required PVC specials etc., all complete.,</t>
  </si>
  <si>
    <t>(b) 75mm dia PVC SWR pipe including all required PVC specials etc., all complete.,</t>
  </si>
  <si>
    <t>Supplying, Laying &amp; Concealing the 50mm dia PVC ( SWR) pipe with ISI mark type - 'B' with relevant specials.</t>
  </si>
  <si>
    <t>PVC(SWR) pipe with ISI mark - type 'A' for Ventilating shaft with cowl</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</si>
  <si>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PVC rigid conduit pipe heavy duty with isi mark with suitable size ms box of 1 no. (each) 16 g thick concealed and covered with 3mm thick laminated hylem sheet for 5 amps flush type switch including circuit mains, cost of all materials, specials etc., all complete</t>
  </si>
  <si>
    <t>(a) Light point with ceiling rose</t>
  </si>
  <si>
    <t>(b) Light point without ceiling rose</t>
  </si>
  <si>
    <t>(c) Point wiring for calling bell/ buzzer with push type switch</t>
  </si>
  <si>
    <t>Wiring with 1.5 Sqm.m pvc insulated single core multi strand fire retardant flexible copper cable with ISI mark conforming to IS:694/1990,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16g thick concealed and covered with 3mm thick laminated hylem sheet for FAN POINT controlled by 5 amps flush type switch including circuit mains, cost of all materials, specials, etc., all complete</t>
  </si>
  <si>
    <t>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16g thick concealed and covered with 3mm thick laminated hylem sheet for staircase light point controlled by 5 amps flush type two way switch including circuit mains, cost of all materials, specials, etc., all complete.</t>
  </si>
  <si>
    <t>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is:694/1990,1.1.k.v. grade cable in fully concealed pvc rigid conduit pipe heavy duty with isi mark with suitable size ms box  of 16g thick concealed and covered with 3mm thick laminated hylem sheet  for 5 amps 5 pin plug socket point at SWITCH BOARD ITSELF including circuit  mains, cost of all materials, specials, etc., all complete</t>
  </si>
  <si>
    <t>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 no (each) 16g thick concealed and covered with 3mm thick laminated hylem sheet for 5 amps 5 pin plug socket point at CONVENIENT PLACES including circuit mains, cost of all materials, specials, etc., all complete</t>
  </si>
  <si>
    <t>S &amp; F of Tube light fitting  (patty  type ) with Electronic ballast and 36 W slim tube light</t>
  </si>
  <si>
    <t>Supplying and fixing of patty type fluorescent tubular lamp with fitting of four feet long ordinary patti, electronic ballast, slim tube light of 36 watts and fixing the tube light fittings on teak wood round blocks of 75mm dia 40mm deep suspended from ceiling or mounted on the wall including cost of all materials and labour for fixing in position and as directed by the departmental officers. (the entire fittings should be got approved from the executive  engineer before use)</t>
  </si>
  <si>
    <t>Supplying and delivery of following electric ceiling fan with ISI mark with blades and double ball bearing, capacitor, etc., complete with 300mm down rod, canopies, capacitor, shackle blades with electronic dimmer suitable for operation on                                    230 volts 50 htz single phase ac supply conforming to ISS no.374/79 and provided with insulation. (the brand should be got approved from the executive engineer before supply made).</t>
  </si>
  <si>
    <t>Run of 2 Wires of 4 Sqm.m PVC insulated single core multi strand fire retardant flexible copper cable with ISI mark confirming IS: 694:1990.</t>
  </si>
  <si>
    <t>Run off main with 2 wires of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is:694/1990, 1.1. k.v. grade cable in fully concealed 19mm/20mm dia rigid pvc conduit pipe heavy duty with isi mark cost of all materials, specials etc., all complete.</t>
  </si>
  <si>
    <t>Run off main with 2 wires of 2.5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19/20mm dia rigid pvc conduit pipe with isi mark etc. including cost of all materials, specials etc. all complete and as directed by the departmental officers.</t>
  </si>
  <si>
    <t>4 x 4  Sq mm copper PVC insulated unsheathed single core cable for 3 phase EB service connection</t>
  </si>
  <si>
    <t xml:space="preserve">Run of 4 Wires of 6 Sqm.m PVC insulated single core multi strand </t>
  </si>
  <si>
    <t xml:space="preserve">Run of 4 Wires of 10 Sqm.m PVC insulated single core multi strand </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</si>
  <si>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</si>
  <si>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S &amp; F of Exsaust Fan 225mm dia</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</si>
  <si>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</si>
  <si>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Compact Fluoresent Lamp (CFL)</t>
  </si>
  <si>
    <t>a. 14W bulb for Bath &amp; WC</t>
  </si>
  <si>
    <t>b. 18w bulb for Bulk Head fittings</t>
  </si>
  <si>
    <t>S &amp; F of Bulk head fitting suitable for CFL</t>
  </si>
  <si>
    <t>Earth work excavation for providing Rain water Harvesting Pit of 1m dia and 600mm depth and filling the pit with 40mm stone jelly to a depth of 300mm from the top of the augering portion and filling with filling  sand to a depth of 300mm over the stone jelly and covered with the precast rcc perforated slab of 40mm thick excluding the cost and fabrication of reinforcement grills but including precasting, moulding, curing, finishing and fixing in position etc., all complete and as directed  by the departmental officers.</t>
  </si>
  <si>
    <t>Augering 30cm dia bore hole in all soils and sub soils required depth to providing rain water harvesting from the centre of the rain water harvesting pit already excavated and filling the auguering portion with 40mm size stone jelly etc., all complete and as directed  by the departmental officers.</t>
  </si>
  <si>
    <t>S&amp;F of M.S. Angle of size 35x35x5mm for staircase steps</t>
  </si>
  <si>
    <t>Supplying &amp; fixing of bevelled edge mirror of approved quality and brand of size 500x400x5.5mm  shelf type mounted in the pvc/fibre glass framed with necessary hard board backing including labour for fixing in position etc., complete and as directed by the departmental officers.</t>
  </si>
  <si>
    <t>S&amp;F of Cuddapah sink 600 x 600 x 200mm</t>
  </si>
  <si>
    <t>Supply, delivery and fixing of cuddappah slab sink of size 600mmx600mmx200mm thick 32mm dia ‘B’ class GI. waste water pipe and 32 mm dia CP. waste coupling (sample should be got approved by the executive engineer before use) true to spirit level including finishing neatly, and fixing in position complying with relevant standard specifications etc., complete in all floors.</t>
  </si>
  <si>
    <t>Providing nosing to the edges of Granite slab</t>
  </si>
  <si>
    <t xml:space="preserve">providing nosing to the edges of cuddapah slab of 20mm thick including labour, power consumption, tools &amp; plants required, true to horizontal etc., for kitchen platform in all floors and as directed by the departmental officers. </t>
  </si>
  <si>
    <t>Supply and fixing of PVC water supply (ASTM)
a.50mm dia</t>
  </si>
  <si>
    <t>S&amp;F of PVC flushing cistern</t>
  </si>
  <si>
    <t>supplying and fixing of 10 litre capacity handle type pvc low level flushing tank (cistern - wall mounting type) of superior variety (white) with all fittings inclusive of cost of all materials, labour charges for fixing in position in appropriate level (suitable for iwc) as directed by the departmental officers and as per relevant standard specifications (the colour quality and brand should be got approved from the executive engineer before use)</t>
  </si>
  <si>
    <t>S&amp;F of cloth drying arrangement</t>
  </si>
  <si>
    <t>Providing cloth drying arrangements using 32mm dia GI pipe post with MS angle , Clamps&amp; fixure hooks and labour charges for fixing of GI Pipe &amp; screws etc., all complete and as directed by the departmental officers</t>
  </si>
  <si>
    <t>Anticorrosive treatment for window grills</t>
  </si>
  <si>
    <t xml:space="preserve">supplying and fixing of 32 amps triple pole main switch with fuse and neutral link on a suitable well varnished teak wood board including necessary inter connection cost of all materials etc., all complete and as directed by the departmental officers. </t>
  </si>
  <si>
    <t>450 x 375 x 20 mm   thick TW plank</t>
  </si>
  <si>
    <t>Supplying and fixing of 1 no of 450x375x20mm thick tw plank well varnished with 3 nos. of 32 amps 250 volts grade parceling fuse unit and 1 no. copper earth plate of suitable size bolts and nuts on wall for eb service connections including cost of all materials etc., all complete</t>
  </si>
  <si>
    <t>3 Nos.of 32Amps - Fuse Unit</t>
  </si>
  <si>
    <t>Supplying and fixing 3 Nos of 32amps 500 volts grade porcelain fuse unit on suitable teakwood plank varnished to be fixed on the top of pole eb street pole with necessary clamps including cost of all materials etc., all complete.</t>
  </si>
  <si>
    <t>1 Nos.of 32Amps - Fuse Unit</t>
  </si>
  <si>
    <t>Supplying and fixing 1 Nos of 32 amps 500 volts grade porcelain fuse unit on suitable teakwood plank varnished to be fixed on the top of pole eb street pole with necessary clamps including cost of all materials etc., all complete.</t>
  </si>
  <si>
    <t>Supplying and delivery of Three phase ELCB/RCCB</t>
  </si>
  <si>
    <t>Supplying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 suitable sheet steel enclosure confirming to is 12640/1988 including cost of ELCB/RCCB on fully concealed suitable M.S box with necessary inter connections and earth connections using copper cable including cost of all materials etc., all complete</t>
  </si>
  <si>
    <t>Supply of G.I pipe 40mm dia 'B' Class</t>
  </si>
  <si>
    <t>Supply of GI pipe of 40mm dia ‘B’ class for eb service connection (Single phase) for passing through from top of house to the EB board.</t>
  </si>
  <si>
    <t xml:space="preserve">Two coat of OBD over Two coat white cement for inner walls </t>
  </si>
  <si>
    <t>Painting the new walls with two coats of Oil Bound Distemper over the existing primer coat of white cement of approved brand over new cement plastered wall surfaces including cost of paints, putty, brushes, watering, curing, etc., all complete as directed by the departmental officers (paints and its shade shall be got approved from the executive engineer before use)</t>
  </si>
  <si>
    <t>Supplying and fixing of Three phase ELCB</t>
  </si>
  <si>
    <t xml:space="preserve">S&amp;F of stainless steel sink 600mm x 450mm x 200mm </t>
  </si>
  <si>
    <t>Supplying, delivery and fixing of stainless steel sink of size 600mm x 450mm x 200mm thick 32mm dia ‘b’ class g.i. waste water pipe and 32 mm dia c.p. waste coupling (sample should be got approved from the executive engineer before use) true to spirit level including finishing neatly, and fixing in position complying with relevant standard specifications etc., complete in all floors.</t>
  </si>
  <si>
    <t>supplying and fixing of pvc tee with end cap of 32mm dia and coupling of best approved quality with isi mark to the sink and wash basin instead of bottle trap etc., complete complying with relevant standard specifications and as directed by the departmental officers. (the brand and quality of pvc specials should be got approved from the executive engineer before use)</t>
  </si>
  <si>
    <t>supplying and laying of granite tile flooring (super fine polished with machine cut edges of size 2’ x 1’, 10mm thick (ruby red/ raw silk) using grout joint) over cement plastering in cm 1:3 (one of cement and three of sand 20mm thick including fixing in position, cutting the tiles to the required size wherever necessary pointing the joints with grout, curing, finishing etc., all complete and as directed by the departmental officers.</t>
  </si>
  <si>
    <t xml:space="preserve">Providing wooden melamen polish for main door new wood by removing by blade scrapping the existing dirt from the wooden surface sand paper with m50 and repeat m80 paper to get a smooth surface leaves atleast 4hrs drying sand  paper and prepare surface by m100 and clear the surface apply one coat of touch wood stainer by brush and leaves for two hrs. for drying prepare the  surface by m100 sand paper and apply one coat of ash sanding sealer mixed with approved quality thinner after drying apply one coat of sanding sealer and attend the surface to get thoroughly dired smoother surface with no.220 water emery wood cleaner fill the holes and dots by putty and packing to get the surface clean apply surface by wax emery no.220 apply first coat of melamen sealer with the thinner for preparing the surface and apply second coat of the same by dry </t>
  </si>
  <si>
    <t>Supplying and fixing of staineless steel hand rails</t>
  </si>
  <si>
    <t>Manufacturing, Supplying and Fixing of Stainless Steel Hand rails for staircase using 50mm dia 304L Grade Stainless Steel pipe of 1.60mm thick at required locations to a height of 900mm from finished floor level welded to 38mm dia Stainless Steel pipe post of 1.00mm thick as vertical at 900mm centre with 2 Nos. of 25mm dia intermediate horizontal stainless steel pipe of 1.60mm thick in between.The vertical pipe has to be welded to the 100 X 100 X 6mmMS base plate encased in the base concrete. The rate is inclusive of the charges for cutting, bending, welding, grinding, polishing, conveyance, electrical charges, etc.complete .SR.P.63 Item.239</t>
  </si>
  <si>
    <t>Vitrified Tiles flooring (ivory)</t>
  </si>
  <si>
    <t>Supplying and fixing of coloured marbonite vetrified tiles flooring Iivory colour) 600mmx600mmx8mm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t>
  </si>
  <si>
    <t>Supplying and fixing of coloured marbonite vetrified tiles flooring 600mmx600mmx8mm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t>
  </si>
  <si>
    <t>Antiskid Vitrified Flooring with 1st Quality homogeneous tiles</t>
  </si>
  <si>
    <t>Supplying and fixing of Antiskid Vitrified Flooring with 1st Quality homogeneous tiles 600mmx600mmx8mm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t>
  </si>
  <si>
    <t>Providing rajasthan kota stone of 20mm thick in C.M 1:3</t>
  </si>
  <si>
    <t>Supplying and fixing of rajasthan kota stone of 20mm thick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t>
  </si>
  <si>
    <t>Supplying and laying concrete tiles superior variety such as (Hindustan/Eurocon tiles etc.) for flooring in CM 1:3 (one of cement and three of sand) 20mm thick, including fixing in position, cutting the tiles to the required size wherever necessary, pointing the joints with colour cement, finishing, curing etc., complete and as directed by the departmental officers. (the brand quality of tiles should be got approved from the executive engineer before use).</t>
  </si>
  <si>
    <t xml:space="preserve">Eurocon Tiles flooring </t>
  </si>
  <si>
    <t>Supplying and fixing of Aluminium sliding window</t>
  </si>
  <si>
    <t xml:space="preserve">supplying, fabricating fixing in position of aluminium anodized natural colour matt finish sliding windows in all floors with sliding arrangements and gutter arrangements so as to drain the water entering and made with aluminium extruded section of following sizes with necessary accessories such as rubber beedings, lock, handle and fixing 4mm thick plain glass including cost of materials and labour and power consumption required for fabrication, drilling holes with power drill etc., complete. the aluminium frame is to be anodized with matt finish for an average anodic film thickness of not less than 15 microns under electrically controlled condition in accordance with isi 1868 / 1962. the materials should be got approved before use. for three track sliding window frame gutter section 92.34x39.0x1.5mm at 1.637kg/m  side top and </t>
  </si>
  <si>
    <t>a. 1.20x1.35m (Two track )</t>
  </si>
  <si>
    <t>b. 2.40x1.80m (Two track)</t>
  </si>
  <si>
    <t>c. 2.40x1.05m (Two track)</t>
  </si>
  <si>
    <t>d. 0.90x1.35m (Two track)</t>
  </si>
  <si>
    <t>supplying and fixing of colour matt finish floor tiles of size 12"x12" ( for officers)</t>
  </si>
  <si>
    <t>supplying and fixing of colour matt finish floor tiles of size 12"x12" ( for wall tiles)</t>
  </si>
  <si>
    <t>S &amp; F of wall panelling DPO ARIYALUR</t>
  </si>
  <si>
    <t>Providing and fixing of Wall Paneling with Aluminium frameof size 2"x1" at 2' clc bolh ways anc fixed into wall with proper inserts and it should be fixed with 6mm thick ISI mark commercial Plywood or MDF over Aluminium frame with including cost and conveyance of all materials including labour charges etc complete and as directed by thedepartmental offrcers (The brand and quality of material should be got approved from the Execulive Engineer before use)</t>
  </si>
  <si>
    <t>Supply of material and lab ourfor Mineralfbre 600mmx600mm Grid false ceiling work</t>
  </si>
  <si>
    <t>Supplying, fabricating, erecting and fixing  Gyp board false ceiling using perforated sheet 10mm thk</t>
  </si>
  <si>
    <t xml:space="preserve">Providing and fixing in position of 10mm thick gyp board false ceiling using GI perimeter channel of size 0.55mm thick (having one flange of 20mm thick another flange of 30mm and web of 27mm) along with perimeter of ceiling, screws, fixing brick wall/partition/ rcc work with the help of nylon sleeves and screws at 610mm centre to centre. then suspending gi intermediate channels of 45mm (0.90mm thick with two flanges of 15mm each) from the soffits at 1220mm centre to centre with ceiling angle of width 25x10x0.55mm thick fixed to soffits with gi cleat and steel expansion fasteners ceiling section of size of 0.55mm thick having knurled web of 51.50mm and two flanges of 26mm each with lips of 10.50mm are fixed to the intermediate channel with the help of connecting clips in direction perpendicular to the intermediate channel at 457mm  </t>
  </si>
  <si>
    <t>Supplying and fixing of 100mm dia GI pipe</t>
  </si>
  <si>
    <t>Supplying and fixing of Geyser (Data -SD 103)</t>
  </si>
  <si>
    <t>Supplying and fixing of  CP wall mixer two in one (without telephone shower) including cost of all materials and all labour charges etc complete.
CER No.178/13-14</t>
  </si>
  <si>
    <t>Supplying and fixing of shower arm 9" long including cost of all materials and all labour charges etc. complete  
CER No.178/13-14</t>
  </si>
  <si>
    <t>Supplying  and fixing of GM wheel valves ISI mark</t>
  </si>
  <si>
    <t>a.100mm  GM Gate valves</t>
  </si>
  <si>
    <t xml:space="preserve">Supplying and delivery of 100mm dia GM Gate valve including cost of all materials and labour charges all complete complying with relevant standard specifications and as directed by the departmental officers 
</t>
  </si>
  <si>
    <t>b.50mm GM Gate valves</t>
  </si>
  <si>
    <t xml:space="preserve">Supplying and delivery of 50mm dia GM Gate valve including cost of all materials and labour charges all complete complying with relevant standard specifications and as directed by the departmental officers 
</t>
  </si>
  <si>
    <t>c.32mm GM Gate valves</t>
  </si>
  <si>
    <t xml:space="preserve">Supplying and delivery of 32mm dia GM Gate valve including cost of all materials and labour charges all complete complying with relevant standard specifications and as directed by the departmental officers 
</t>
  </si>
  <si>
    <t>Wiring with 1.5 Sqm.m PVC insulated single core multi strand fire retardant flexible copper cable with ISI mark confirming IS: 694:1990. (Modular)</t>
  </si>
  <si>
    <t>Wiring with 1.5 Sqm.m PVC insulated single core multi strand fire retardant flexible copper cable with ISI mark confirming IS: 694:1990 for 5 amps 5 pin Modular plug socket point @ Convenient Places.</t>
  </si>
  <si>
    <t>Wiring with 1.5 Sqm.m PVC insulated single core multi strand fire retardant flexible copper cable with ISI mark confirming IS: 694:1990 for 5 amps 5 pin Modular plug socket point @ Switch Board Itself.</t>
  </si>
  <si>
    <t>Supplying and laying of 3.5 core 70 sq.mm PVC armoured LTUG cable (below GL)</t>
  </si>
  <si>
    <t>S&amp;F 3.5 X 70mm LTUG CABLE Above GL</t>
  </si>
  <si>
    <t>S&amp;F 3.5 X 35mm LTUG CABLE Above GL</t>
  </si>
  <si>
    <t>S&amp;F 3.5 X 25mm LTUG CABLE Above GL</t>
  </si>
  <si>
    <t>S&amp;F 2X6 Sq.mm LTUG CABLE</t>
  </si>
  <si>
    <t>Supplying and fixing of brass cable gland suitable for 3.5 core 70 Sqm.m PVC armoured LTUG cable  SD 189</t>
  </si>
  <si>
    <t xml:space="preserve">Supply and fixing of Aluminium openable window with 4mm thick Glass with 'I' max hinges of not less than 3mm thick, 304 grade
</t>
  </si>
  <si>
    <t>FW 1.80 x 1.65 m ( Eight Leaves)</t>
  </si>
  <si>
    <t>1.80 x 1.35 mt.window (Three leaves)</t>
  </si>
  <si>
    <t>KW 1.20 x 1.05 m (Two leaves)</t>
  </si>
  <si>
    <t>1.50 x 1.35 mt.window  (three leaves)</t>
  </si>
  <si>
    <t xml:space="preserve"> 0.75 x 1.35 mt.window  ( single leaf)</t>
  </si>
  <si>
    <t xml:space="preserve">Aluminium window openable 1.35x1.35m (Two leaves)Cochin House </t>
  </si>
  <si>
    <t>Aluminium window openable 1.35x1.05m (Two leaves)</t>
  </si>
  <si>
    <t>Aluminium window openable 1.2x1.35m (Two leaves)</t>
  </si>
  <si>
    <t>Aluminium window openable 1.80 x 1.65 m =2.97m2 FRENCH WINDOW (Reference Data Nagapattinam AR - Ph-xix</t>
  </si>
  <si>
    <t>Supply and fixing of 100 amps TPN sheet double break switch with HRC fuse and neutral on suitable angle iron frame work with MS cable entry boxes and PWD earthing(SR-14-15(p-65)</t>
  </si>
  <si>
    <t>Supply and fixing of 100 Amps TPN sheet double break switch with HRC fuse and neutral on suitable angle iron framework with MS cable entry boxes and with PWD earthing including cost of all materials and labour charges, etc all complete as per relevant standard specification and as directed by the departmental officers. (The quality and brand should be got approved from the executive engineer before use)
Electrical Data 2017-2018,SD-168</t>
  </si>
  <si>
    <t>Supply and fixing of 200 amps fuse unit 
SRP-66</t>
  </si>
  <si>
    <t>Supplying and fixing 1 No 200 Amps 500 volts grade/well porcelin fuse unit on suitable teak wood plank to be fixed on the top of the pole / EB street poles with necessary clamps and including cost of all materials and labour charges, etc all complete as per relevant standard specification and as directed by the departmental officers. (the quality and brand should be got approved from the executive engineer before use)</t>
  </si>
  <si>
    <t>Supply and fixing of 200 amps TPN switch with HRC fuses sheet steel double break
SRP-65, 3 ©</t>
  </si>
  <si>
    <t xml:space="preserve">supplying and fixing of 200 amps tpn sheet steel double break switch with hrc fuses and neutral on suitable angle iron frame work with ms cable entry boxes and with earth connection only etc., all complete as per relevant standard specification and as directed by the departmental officers. (the quality and brand should be got approved from the executive engineer before use)
</t>
  </si>
  <si>
    <t>Supply and fixing of 250 amps cubical type panel board</t>
  </si>
  <si>
    <t xml:space="preserve">Supplying and fixing of  SS Soap Tray  including cost of all materials and all labour charges etc complete </t>
  </si>
  <si>
    <t xml:space="preserve">Supplying and fixing of CP Angle valve Stop cock  including cost of all materials and all labour charges etc complete </t>
  </si>
  <si>
    <t>supplying and fixing of Angle value of best quality including cost of fittings with required specials, bends, labour for fixing etc, all complete and as directed by the departmental officers., (the quality and brand of fittings should be got approved from executive engineer before use).</t>
  </si>
  <si>
    <t>Supplying and fixing of 25x 3mm  Copper flat</t>
  </si>
  <si>
    <t xml:space="preserve">Supply and fixing of Health faucet approved quality with ISI mark </t>
  </si>
  <si>
    <t>S&amp;F TPN 12 way DB encloser (SR-p-80)</t>
  </si>
  <si>
    <t>S&amp;F TPN 8 way DB encloser 
CER No.178/2013-14</t>
  </si>
  <si>
    <t>Supplying and fixing of 1 no. three phase distribution board with 8 way per phase 30A / per way with neutral link on suitable well varnished teakwood plank including necessary inter connections and earth connections cost of all materials etc., all complete.</t>
  </si>
  <si>
    <t>S&amp;F TPN 6 way DB encloser
CER No.178/2013-14</t>
  </si>
  <si>
    <t>S&amp;F TPN 4 way DB encloser
CER No.178/2013-14</t>
  </si>
  <si>
    <t>Supply and fixing of spot light of approved make and company with ISI CFL bulb  CER No.178/13-14</t>
  </si>
  <si>
    <t>Supplying and fixing UPVC (Un-Plasticized Polyvinyl Chloride) Windows of casement type (open) from the profile the size of outer frame 60mm x 58mm and shutter profile are reinforcement with GI/1mm 125GSM and 100% corrosion free, the profiles are multi chambered sections with wall thick of 2mm. The EPDM rubber (black colour) covered with over all the edges of frame and shutter the shutter will be provided with Espag multi power point locks and also it operates as handle. The corners and joints should be welded and cleaned. Radiations free pin headed plain or brown colour glass 4mm thick should be provided to the shutter and it should not allow leakage of water even at most ranging storms and should have key lockable action, security protective hinges, strong locking systems and as per size for arresting noise and energy loss. The connecting mechanism between sash and outer frame that enables opening of the window. The window should be fixed to the wall with 100% packing with screws and silicon packing all round the frames. The window should be got approved from the Executive Engineer before use on work</t>
  </si>
  <si>
    <t>a) FW 900 X 2100</t>
  </si>
  <si>
    <t>b) W 1800 X 1650</t>
  </si>
  <si>
    <t>c) W1 1500 X 1650</t>
  </si>
  <si>
    <t>d) W0 2400 X 1650</t>
  </si>
  <si>
    <t>e) W2 1200 X 1650</t>
  </si>
  <si>
    <t>g) FW1 4800 X 2300</t>
  </si>
  <si>
    <t>h) FW2 4200 X 2300</t>
  </si>
  <si>
    <t>S &amp; F of sodium vapour lamp with fitting 250watts</t>
  </si>
  <si>
    <t>Supplying and fixing in position of UPVC window of casement type( open) for all sizes Revised SR 2018-19 p-57 it-191</t>
  </si>
  <si>
    <t>Supply and fixing of colour wash basin oval shape CER No.178/2013-14</t>
  </si>
  <si>
    <t>Supplying and Fixing of Rolling shutters of all sizes (Gear Operated)(  from 8m2  to 12m2 )Annex-Vi-P-45   SR 18-19 item -102-A-b</t>
  </si>
  <si>
    <t>Supplying and fixing of solid core flush door shutter of thickness 35mm</t>
  </si>
  <si>
    <t>a) door size 1.80 m x 2.40 (Double leaf)</t>
  </si>
  <si>
    <t>b) door size 1.80 m x 2.10 (Double leaf)</t>
  </si>
  <si>
    <t>c) door size 1.50 m x 2.40 (Double leaf)</t>
  </si>
  <si>
    <t>d).  door size 1.50 m x 2.100 (Double leaf)</t>
  </si>
  <si>
    <t>e). door size 1.200 m x 2.400 (double Leaf)</t>
  </si>
  <si>
    <t>f). door size 1.200m x 2.100 (Double leaf)</t>
  </si>
  <si>
    <t>g).  door size 1.000 m x 2.100 (Single Leaf)</t>
  </si>
  <si>
    <t>h).  door size 1.00 m x 2.400 (Single Leaf)</t>
  </si>
  <si>
    <t>i.  door size 0.900 m x 2.100 (Single Leaf)</t>
  </si>
  <si>
    <t>Providing  Double stage centering .</t>
  </si>
  <si>
    <t>S &amp; F of Granite tile of size 2'x 1', 10mm Thick For kitchen arrangements (jet black)</t>
  </si>
  <si>
    <t>c. In Third floor</t>
  </si>
  <si>
    <t>S &amp; F of Granite slab of size 4'x2', 18 to 20mm Thick For kitchen arrangements (jet black)</t>
  </si>
  <si>
    <t>Aluminum Louvered ventilators</t>
  </si>
  <si>
    <t>a. 1.35 x 0.60 mt ventilators</t>
  </si>
  <si>
    <t>d. 1.0 x 0.60 mt ventilators</t>
  </si>
  <si>
    <t>a. 0.90 x 0.60 mt ventilators</t>
  </si>
  <si>
    <t>c. 0.75 x 0.60 mt ventilators</t>
  </si>
  <si>
    <t>b. 0.60 x 0.60 mt ventilators</t>
  </si>
  <si>
    <t>Supply &amp; Fixing of MS door  (for lockup door )</t>
  </si>
  <si>
    <t>MS door of Size 1000 x 2100mm</t>
  </si>
  <si>
    <t>MS door of Size 750 x 1350mm</t>
  </si>
  <si>
    <t xml:space="preserve">Supply &amp; Fixing of MS ventilator of size 
( lockup)
</t>
  </si>
  <si>
    <t>MS Ventilator of Size 1350 x 600mm</t>
  </si>
  <si>
    <t xml:space="preserve"> MS ventilator of size  1200 x 800 mm
</t>
  </si>
  <si>
    <t xml:space="preserve"> MS ventilator of size  1200 x 600 mm
</t>
  </si>
  <si>
    <t xml:space="preserve"> MS ventilator of size  1000 x 800 mm
</t>
  </si>
  <si>
    <t>MS Ventilator of Size 900 x 600mm</t>
  </si>
  <si>
    <t>MS Ventilator of Size 600 x 600mm</t>
  </si>
  <si>
    <t>MS Ventilator of Size 1285 x 600mm</t>
  </si>
  <si>
    <t>Supply and fixing of 19mm dia steam pipe for down rod of fan (SD 106)</t>
  </si>
  <si>
    <t>Supply and fixing of  SS Towel rail (75cm length) CER No.178/13-14</t>
  </si>
  <si>
    <t>Supply and fixing of weld mesh of size 7.5x2.5cmx10gauge</t>
  </si>
  <si>
    <t>Supply and fixing of Chicken mesh</t>
  </si>
  <si>
    <t>S &amp; F of 15mm dia Engineering Polymer Tap (long body ) for coastal area only</t>
  </si>
  <si>
    <t>S &amp; F of 15mm dia Engineering Polymer Tap  short body tap for coastal area only</t>
  </si>
  <si>
    <t xml:space="preserve">S &amp; F of CFL road way lighting luminaries suitable for fixing 36w CFL lamp </t>
  </si>
  <si>
    <t>Augering  30 cm dia for compound wall</t>
  </si>
  <si>
    <t>Finishing the top of terrace floor with one course of solar reflective water proof, heat proof and cool roof ceramic tiles of size 305mmx305mmx7mm thick of approved quality laid in cement mortar 1:3 20mm tk (one part of cement and three parts of sand) mixed with calcium based mineral powder (60 kg for 1000 sqft) (before laying the tiles, the tiles should be dipped with salin based nano liquid) and top grouting with cement mortar 1:3 (one part of cement and three parts of sand) mixed with white cement, silicon powder and polimer adhesive (20 kg for 1000 sqft.) And joint pointed with zycosil oil (200gm for 1000 sqft.) After grouting acrylic saline based liquid without base concrete including pointing etc., complete complying with standard specification including cost of all materials labour charges for lifting to open terrace, laying and finishing and other incidental charges etc., complete and as directed by the departmental officers. (brand, quality of tiles should be got approved from executive engineer before use)</t>
  </si>
  <si>
    <t>HDPE water tank 200 lit capacity with ISI mark</t>
  </si>
  <si>
    <t>Supplying and fixing the following dia  Non Pressure pipe of SN8 SDR 34 with ISI mark confirming toIS 15328/2003 for soil line with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t>
  </si>
  <si>
    <t>PVC Specials  as per IS 10124/1982 Part II</t>
  </si>
  <si>
    <t>Supplying, laying and fixing of following Dia PVC specials of best approved quality including cost of specials and labour charges for fixing etc., all complete and  as  directed  by  the  departmental officers.</t>
  </si>
  <si>
    <t>a. 110 mm dia PVC bend (TWAD SR 20-21  P-22 S.No-4 )</t>
  </si>
  <si>
    <t>a. 110 mm dia PVC bend</t>
  </si>
  <si>
    <t>b. 160 mm dia PVC bend (TWAD SR 20-21  P-22 S.No-4 )</t>
  </si>
  <si>
    <t>b. 160 mm dia PVC bend</t>
  </si>
  <si>
    <t xml:space="preserve">PVC Equal Tee  as per  BIS 7834/1975 </t>
  </si>
  <si>
    <t>PVC Equal Tee  as per</t>
  </si>
  <si>
    <t>a. 110 mm dia PVC Equal tee(TWAD SR 20-21  P-22 S.No-4 )</t>
  </si>
  <si>
    <t>110 mm dia PVC Equal tee</t>
  </si>
  <si>
    <t>b. 160 mm dia PVC Equal tee(TWAD SR 20-21  P-22 S.No-4 )</t>
  </si>
  <si>
    <t>160 mm dia PVC Equal tee</t>
  </si>
  <si>
    <t xml:space="preserve">Supplying and fixing of Indian water closet white glazed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</si>
  <si>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Supplying and fixing of Indian water closet white glazed (oriya type) of size 580mmx440mm of approved make with isi mark (to be got approved from ee before use) with p or s trap confirming to is 2556 part 12, including concrete filling the sunk portion with brick jelly lime concrete proportion of brick jelly to lime being 32:12½ by volume (32 cft of 20mm gauge brick jelly and 12 ½ cft of slaked lime) (no sand) and top 75mm thick brick jelly concrete in cc 1:8:16 (one of cement, eight of sand and sixteen of broken brick jelly) using 40mm size brick jelly including plastering the sides of sunk portion in cm 1:3 (one of cement and three of sand) 12mm thick mixed with water proofing compound at 2kg/10 Sqm.  and  top left  rough  to  receive  the floor plastering but including antisyphonage connection, one coat of bitumen for the sides, bottom and curing etc., complete in all floors. (Other than Ground floor)</t>
  </si>
  <si>
    <t xml:space="preserve">S &amp; F of E.W.C.(White) 500 mm with PVC SWR grade "P" or "S" TRAP </t>
  </si>
  <si>
    <t xml:space="preserve">S &amp; F of E.W.C.( Colour) 500 mm with PVC SWR grade "P" or "S" TRAP </t>
  </si>
  <si>
    <t>French window  ( SP Perambalur)</t>
  </si>
  <si>
    <t xml:space="preserve">a. FW  (2.1 x 2.0 m ) 3 bay openable </t>
  </si>
  <si>
    <t xml:space="preserve">b.FW 1 (1.80 x 2.0 m )3 bay openable </t>
  </si>
  <si>
    <t xml:space="preserve">c. FW 2  (1.20 x 2.0 m ) 2 bay openable </t>
  </si>
  <si>
    <t xml:space="preserve">d.FW 3 (0.75 x 2.0 m ) Single  bay openable </t>
  </si>
  <si>
    <t>e. FD/ FW  (0.57 x 2.0 m )Single  bay openable</t>
  </si>
  <si>
    <t xml:space="preserve">f. 1.50 x 2.00 mt.window  sankar nagar DSP </t>
  </si>
  <si>
    <t xml:space="preserve">TW Double leaf glazed window shutter of size 1250X2000 MM </t>
  </si>
  <si>
    <t>Wiring with 1.5 Sqm.m PVC insulated single core multi strand fire retardant flexible copper cable with ISI mark confirming IS: 694:1990.
( PVC Box , Fire Retarded Box) For Coastal only</t>
  </si>
  <si>
    <t>Wiring with 1.5 Sqm.m PVC insulated single core multi strand fire retardant flexible copper cable with ISI mark confirming IS: 694:1990 for Fan point.(PVC Electrical Box )</t>
  </si>
  <si>
    <t>Wiring with 1.5 Sqm.m PVC insulated single core multi strand fire retardant flexible copper cable with ISI mark confirming IS: 694:1990 for Staircase Light Point.(PVC Electrical Box )</t>
  </si>
  <si>
    <t>Wiring with 1.5 Sqm.m PVC insulated single core multi strand fire retardant flexible copper cable with ISI mark confirming IS: 694:1990 for 5 amps 5 pin plug socket point @ Convenient Places.(PVC Electrical Box )</t>
  </si>
  <si>
    <t>Supplying and fixing of 15 Amps 3 pin flush type plug using ( PVC Box , Fire Retarded Box)</t>
  </si>
  <si>
    <t xml:space="preserve">Fabrication of Mild steel / RTS grills (without cement slurry) for all sizes of rods.(BINDING WIRE insulated with PVC)
</t>
  </si>
  <si>
    <t>PVC SWR 110 mm dia with ISI mark type- A for Rain water down fall pipe(UPVC SPECIAL CLAMP )</t>
  </si>
  <si>
    <t>Supply and fixing in posistion of 6 rows of 10 guage GI barbed wire 20 guage</t>
  </si>
  <si>
    <t xml:space="preserve">Supply ,laying &amp; jointing the following pipes as per ASTM D 1785 of schedule 40 with  UPVC Specials </t>
  </si>
  <si>
    <t xml:space="preserve">Supplying and delivery of 32mm dia UPVC Pipe including cost of all materials and labour charges all complete complying with relevant standard specifications and as directed by the departmental officers </t>
  </si>
  <si>
    <t xml:space="preserve">Supplying and delivery of 25mm dia UPVC Pipe including cost of all materials and labour charges all complete complying with relevant standard specifications and as directed by the departmental officers </t>
  </si>
  <si>
    <t>c. 20mm dia PVC water supply ASTM pipe (fully consealed in walls)</t>
  </si>
  <si>
    <t xml:space="preserve">Supplying and delivery of 20mm dia UPVC Pipe including cost of all materials and labour charges all complete complying with relevant standard specifications and as directed by the departmental officers </t>
  </si>
  <si>
    <t>Providing Colour Marble chips of size 10mm and below using 70.20Kgs of cement and 15 Cum. of Colour Marble chips for every 10 Sqm. over the existing plastered surface  ( For coastal area)</t>
  </si>
  <si>
    <t>Supplying and fixing of half turn brass core CP long body tap of 15mm dia of best quality including cost of half turn CP tap with required specials and labour for fixing etc., all complete and as directed by the departmental officers. (The quality and brand should be got approved from the executive engineer before use)</t>
  </si>
  <si>
    <t>Supplying and fixing of half turn brass core CP short body tap of 15mm dia of best quality including cost of half turn CP tap with required specials and labour for fixing etc., all complete and as directed by the departmental officers. (the quality and brand should be got approved from the executive engineer before use)</t>
  </si>
  <si>
    <t xml:space="preserve">S &amp; F of MS angle of size 50x 50x 5mm </t>
  </si>
  <si>
    <t>Granite Tiles flooring in cm1:3,20mm thk sathali steel/ grey</t>
  </si>
  <si>
    <t>supplying and laying of granite tile flooring (super fine polished with machine cut edges of size 2’ x 1’, 20mm thick (satherli grey/steel grey) using grout joint) over cement plastering in cm 1:3 (one of cement and three of sand 20mm thick including fixing in position, cutting the tiles to the required size wherever necessary pointing the joints with grout curing, finishing etc., all complete and as directed by the departmental officers.</t>
  </si>
  <si>
    <t>Granite Tiles flooring in cm1:3,20mm thk  Ruby Red</t>
  </si>
  <si>
    <t>supplying and laying of granite tile flooring (super fine polished with machine cut edges of size 2’ x 1’, 20mm thick (Ruby Red ) using grout joint) over cement plastering in cm 1:3 (one of cement and three of sand 20mm thick including fixing in position, cutting the tiles to the required size wherever necessary pointing the joints with grout curing, finishing etc., all complete and as directed by the departmental officers.</t>
  </si>
  <si>
    <t>Bored cast sit piles installation of vertical cast in Situ Bored piles of following dia using Standardised concrete  mix M30 Grade) as per nagapattinam data For Coastal area</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</si>
  <si>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</si>
  <si>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</si>
  <si>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</si>
  <si>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</si>
  <si>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False ceiling with plain gybsum board (as per PWD SR. rate 2017-18, Anx- VI -It- 154 -a)</t>
  </si>
  <si>
    <t>Wiring with 1.5 Sqm.m PVC insulated single core multi strand fire retardant flexible copper cable with ISI mark confirming IS: 694:1990. (Open wiring)</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</si>
  <si>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PVC rigid conduit pipe heavy duty with isi mark with suitable size ms box of 1 no. (each) 16 g thick concealed and covered with 3mm thick laminated hylem sheet for 5 amps flush type switch including circuit mains, cost of all materials, specials etc., all complete  (Open wiring)</t>
  </si>
  <si>
    <t>a. Light point with ceiling rose Wiring with 1.5 Sqm.m PVC insulated single core multi strand fire retardant flexible copper cable with ISI mark confirming IS: 694:1990. (Open wiring)</t>
  </si>
  <si>
    <t>(a) Light point with ceiling rose (Open wiring)</t>
  </si>
  <si>
    <t>b. Light point without ceiling rose Wiring with 1.5 Sqm.m PVC insulated single core multi strand fire retardant flexible copper cable with ISI mark confirming IS: 694:1990. (Open wiring)</t>
  </si>
  <si>
    <t>(b) Light point without ceiling rose (Open wiring)</t>
  </si>
  <si>
    <t>Wiring with 1.5 Sqm.m PVC insulated single core multi strand fire retardant flexible copper cable with ISI mark confirming IS: 694:1990 for 5 amps 5 pin  plug socket point @ Convenient Places.(Open wiring)</t>
  </si>
  <si>
    <t>Wiring with 1.5 Sqm.m PVC insulated single core multi strand fire retardant flexible copper cable with ISI mark confirming IS: 694:1990 for 5 amps 5 pin  plug socket point @ Switch Board Itself.(Open wiring)</t>
  </si>
  <si>
    <t>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is:694/1990,1.1.k.v. grade cable in fully concealed pvc rigid conduit pipe heavy duty with isi mark with suitable size ms box  of 16g thick concealed and covered with 3mm thick laminated hylem sheet  for 5 amps 5 pin plug socket point at SWITCH BOARD ITSELF including circuit  mains, cost of all materials, specials, etc., all complete(Open wiring)</t>
  </si>
  <si>
    <t>Wiring with 1.5 Sqm.m PVC insulated single core multi strand fire retardant flexible copper cable with ISI mark confirming IS: 694:1990 for Fan point .(Open wiring)</t>
  </si>
  <si>
    <t>Aluminium Partition wall 1/3 5.5mm thick glass &amp; 2/3 Novapan sheet 12mm thick outer top and bottom</t>
  </si>
  <si>
    <t>supply and fabrication, fixing in position of aluminium partition with bottom 1/3 paneled 12mm thick both side laminated sheet and top 1/3 plain glass 5.5mm thick to suit against the partition wall. the outer frame top and bottom using rectangular box section no.9221 of 101.50x44.45x2mm at weight of 1.975 kg/m vertical as well as horizontal using rectangular box section no. 9222 of 63.50x38.10x2mm at weight of 1.174 kg/m with accessories and furniture fittings including cost of materials, rubber beeding ‘l’ angle screws etc., and power consumption charges required for fabrication including making necessary holes in the columns, beams, masonry with power drill to the required extent and redoing the masonry to original conditions after fixing etc., complete. the aluminium section anodized with matt finish under electrically controlled conditions in accordance with is specification 1863/1963 for anodic film thickness of not 15 microns. all the clips</t>
  </si>
  <si>
    <t>Supply and fixing of colour matt finish door 15 microns double leaf door ( 1500 x 2100 mm)</t>
  </si>
  <si>
    <t>Supply and fixing of colour matt finish door 15 microns double leaf door ( 1000 x 2100 mm)</t>
  </si>
  <si>
    <t>supplying and fixing in position of aluminium door of bottom with novapan sheet 12mm tk and top with 5.5mm thick plain glass. the outer frame top and bottom using rectangular box section no.4617 of 101.60x44.45x 2.10mm at weight of 1.608 kg/m and shutter vertical section no. 4504 of 47.62x47.62x1.82mm at weight of 1.052 and top horizontal section no.4506 of size 47.62x10.16x 2.82mm at weight of 0.776 kg/m with accessories and furniture fittings including cost of materials, rubber beeding ‘l’ angle screws etc., and power consumption charges required for fabrication including making necessary holes in the columns, beams, masonry with power drill to the required extent and redoing the masonry to original conditions after fixing etc., complete.  the  aluminium  section  anodized with matt finish under electrically controlled conditions in accordance with is specification 1863/1963 for anodic film thickness of not less than 15 microns. all the clips</t>
  </si>
  <si>
    <t>supplying and fixing of colour matt finish floor tiles of size 12"x12" floor tiles</t>
  </si>
  <si>
    <t>supplying and fixing of colour matt finish floor tiles of size 12"x18" for wall tiles</t>
  </si>
  <si>
    <t>Supply and fixing of 20 Amps DP plug and socket in sheet enclosure with 32 A DP MCB  in Flush with wall with earth connection ( For AC Plug ) Legrand ( MDS) / Hager( L&amp; T) Equivalent/ Superior variety  
Ele SD -140 /2018-19</t>
  </si>
  <si>
    <t>Supplying nd laying of 1000 x 1000 x 300mm size ms 16 swg powder coated cable terminal box with two compartment with necessary bus bar connected with TNEB etc.,</t>
  </si>
  <si>
    <t>Supplying and fixing of 200 Amps metal clad switch with rewirable fuse units, (Revised PWD SR 18-19Pg.no.80 it-J Part c)</t>
  </si>
  <si>
    <t>Supply and Laying Rubber Moulded Hyraulic Pressed Paver Block 83 mm thick including labour charges for laying etc ( as per DB/1469/2018)</t>
  </si>
  <si>
    <t>Supplying and fixing of 250 Watts Metal halide Flood light etc.,</t>
  </si>
  <si>
    <t>R.C.C.Door frames of size 100 x 75mm with one edge grooves size 't' x 20 mm  ( with out  M20 or M30 grade old  data )</t>
  </si>
  <si>
    <t>Supplying and fixing Monolithic RCC door frames of size 100x75mm with one edge grooves size 'T' x 20 mm ('T' represents the shutter thickness) in reinforced cement concrete M20 or M30 grade  using 20mm hard broken stone jelly including cost of steel and fabrication of reinforcement grills with 3 nos. of 6mm M.S rod alround and 3mm steel stirrups at 30cm centre to centre including fixing of 3 nos of  iron bracket of size 100x100x5mm or 3 nos of teak wood plug for receiving hinges and 2 nos of teak wood plug for receiving the tower bolts including fixing of 6 nos of hold fasts and cost and fixing of check nuts and aluminium sleeves and 2 nos iron oxide tower bolt receiver all as per drawings, including moulding in steel mould and casting with smooth surfaces and fine edges, curing, transporting etc., all complete as directed by the departmental officers.</t>
  </si>
  <si>
    <t xml:space="preserve">Supplying and fixing of 9W LED Bulb and fixing the bulb including cost of all materials and labour for fixing in position and as directed by the departmental officers. (The entire fittings should be got approved from the executive  engineer before use) </t>
  </si>
  <si>
    <t>Supply and fixing of 25" LED Street light</t>
  </si>
  <si>
    <t xml:space="preserve"> Bulk Head fitting for  LED Bulb</t>
  </si>
  <si>
    <t xml:space="preserve">Supplying and fixing of 12 W LED Bulb and fixing the bulb including cost of all materials and labour for fixing in position and as directed by the departmental officers. (The entire fittings should be got approved from the executive  engineer before use) </t>
  </si>
  <si>
    <t>ABS /PVC door framed shutter (Plain pre-laminated door)</t>
  </si>
  <si>
    <t>ABS inner doors  (Design pre-laminated door)</t>
  </si>
  <si>
    <t>Providing of Granular Sub Base using Grade-I</t>
  </si>
  <si>
    <t>Providing and laying, spreading and compacting graded stone aggregate to Wet Mix Macadam (WMM)</t>
  </si>
  <si>
    <t>Supply and fixing of Prepainting G.I. Window/ Ventilator  with Grill( PWDSR-18-19)P-56 it-190</t>
  </si>
  <si>
    <t xml:space="preserve">Supply and delivery of Electric Monoset centrifugal pump conforming to IS  9079:2002 as amended from  time to time, with CI FG 200 Casing ,(lpm 200x 35 )  3 HP </t>
  </si>
  <si>
    <t xml:space="preserve">Supply and delivery of direct online starter confirming to IS13947 and IEC 947 suitable KW rating for operation in AC/single Phase/50HZ(± 5%) and 415 V(±10%) </t>
  </si>
  <si>
    <t>Labour Charges for erection of Horizontal shaft,centrifugalpumpset(Coupled/Monoblock) in bore well/Open well including fixing of suction pipe and foot valve</t>
  </si>
  <si>
    <t>Supplying and delivery of following Dia PVC Pipes</t>
  </si>
  <si>
    <t>a) 50mm PVC 10 Kg/Cm² pipe</t>
  </si>
  <si>
    <t>b) 40mm PVC 10 Kg/Cm² pipe</t>
  </si>
  <si>
    <t>Supplying and delivery of following Dia GI Pipes</t>
  </si>
  <si>
    <t>a) 65 mm dia G.I pipe ( B class )</t>
  </si>
  <si>
    <t>b) 50mm dia G.I pipe ( B class )</t>
  </si>
  <si>
    <t xml:space="preserve">a) 50 mm dia  GI pipe (Above Ground Level)    </t>
  </si>
  <si>
    <t xml:space="preserve">b)50 mm dia  GI pipe (Below Ground Level) </t>
  </si>
  <si>
    <t>Labour charges for following dia of PVC pipes (Below Ground level)</t>
  </si>
  <si>
    <t>b) 40 mm pvc  pipe</t>
  </si>
  <si>
    <t>Labour charges for following dia of GI pipes (Below Ground level)</t>
  </si>
  <si>
    <t>a) 65mm dia G.I pipe</t>
  </si>
  <si>
    <t>b) 50mm dia  G.I pipe</t>
  </si>
  <si>
    <t>Supply and delivery of following dia of PVC specials</t>
  </si>
  <si>
    <t xml:space="preserve">a) 50mm dia PVC Coupling </t>
  </si>
  <si>
    <t xml:space="preserve">b) 50mm dia PVC Elbow </t>
  </si>
  <si>
    <t xml:space="preserve">c) 50mm dia PVC Tee </t>
  </si>
  <si>
    <t>d) 40 x 32 mm dia PVC Reducer</t>
  </si>
  <si>
    <t>e) 50 mm pvc  union</t>
  </si>
  <si>
    <t>f) 40 mm  Tee</t>
  </si>
  <si>
    <t>g) 40 mm Elbow</t>
  </si>
  <si>
    <t>h) 40 mm union</t>
  </si>
  <si>
    <t>Supplying and delivery of following dia of G.I specials</t>
  </si>
  <si>
    <t>a) 50mm dia G.I Bend</t>
  </si>
  <si>
    <t>b) 50mm dia G.I Union</t>
  </si>
  <si>
    <t>c) 50mm dia G.I Hex Nipple</t>
  </si>
  <si>
    <t>d) 63mm dia  Foot Valve</t>
  </si>
  <si>
    <t>e) 50mm  dia G.I Tee</t>
  </si>
  <si>
    <t>f) 50mm dia GM Non-Return valve</t>
  </si>
  <si>
    <t>g) 32mm dia  G.I Union</t>
  </si>
  <si>
    <t>h) 32mm dia  G.I Hex Nipple</t>
  </si>
  <si>
    <t>i) 32mm dia GM Gate valve</t>
  </si>
  <si>
    <t>j)50mm dia GM Gate valve</t>
  </si>
  <si>
    <t>k) 25mm dia GM gate valve</t>
  </si>
  <si>
    <t>l) 63 mm GI Flange set</t>
  </si>
  <si>
    <t>m) 63 mm Elbow</t>
  </si>
  <si>
    <t>n) 63 mm union</t>
  </si>
  <si>
    <t>o)  50 mm coupling</t>
  </si>
  <si>
    <t xml:space="preserve">Supplying and delivery of following Dia ASTM pipes </t>
  </si>
  <si>
    <t>a) 50mm ASTM D schedule 40 threaded</t>
  </si>
  <si>
    <t>Supplying and fixing of conceled shower valve</t>
  </si>
  <si>
    <t>Supplying and fixing of CP shower arm with  rose</t>
  </si>
  <si>
    <t>Supplying and fixing of CP flange</t>
  </si>
  <si>
    <t>Supplying and fixing of CP Nipple</t>
  </si>
  <si>
    <t>Supplying and fixing of precast exhaust fan cover</t>
  </si>
  <si>
    <t>DOL STARTER WITH SINGLE PHASING PREVENTOR WITH  ANALOG AMMETER AND VOLTMETER CONFORMING TO IS 13947   WITH AUTO RESTART</t>
  </si>
  <si>
    <t>Supplying and fixing of 5 Hp Diesel motor 3" section  head 2.1/5" Delivery</t>
  </si>
  <si>
    <t xml:space="preserve">Supplying and fixing of Flexible hose of dia 2.1/2" etc.,all </t>
  </si>
  <si>
    <t>Supplying and fixing of foot valve stainer   etc  all complete</t>
  </si>
  <si>
    <t>S&amp;F of 63  Amps  3 phase  500  volts 4 pole  change over  switch over panel board  switch for  pump room etc all complete</t>
  </si>
  <si>
    <t>Supplying and fixing of MS angle of size 50 x 50 x 5 mm MS angle to hold LTUG cable in OH portion etc., all complete</t>
  </si>
  <si>
    <t>Supplying of 50 mm dia  GI pipe (Above Ground Level) approved quality</t>
  </si>
  <si>
    <t>a) 50 mm dia  GI pipe 
(Above Ground Level)</t>
  </si>
  <si>
    <t>b) 50 mm dia  GI Bend ( PWD 51)</t>
  </si>
  <si>
    <t xml:space="preserve">Run of 4 Wires of 4 sqmm PVC insulated single core multi strand fire retardant flexible copper cable with ISI mark confirming IS: 694:1990.
</t>
  </si>
  <si>
    <t xml:space="preserve">Supplying of 3.5 core of 50 sqmm PVC armoued ALTUG cable ncluding cost of all materials etc all complete complying with relevant standard specifications and as directed by the departmental officers      ( CER NO : 371/18-19)     </t>
  </si>
  <si>
    <t xml:space="preserve">Supplying of 3.5 core of 70 sqmm PVC armoued ALTUG cable including cost of all materials etc all complete complying with relevant standard specifications and as directed by the departmental officers( CER NO : 371/18-19)     
</t>
  </si>
  <si>
    <t xml:space="preserve">Supply and fixing of Brass cable gland suitable for 3.5 core 50 sqmm PVC armoured ALTUG cable( CER NO : 371/18-19)     
</t>
  </si>
  <si>
    <t xml:space="preserve">Supply and fixing of Brass cable gland suitable for 3.5 core 70 sqmm PVC armoured ALTUG cable( CER NO : 371/18-19)     
</t>
  </si>
  <si>
    <t xml:space="preserve">Supply and providing cable end termination of 3 1/2 x 50 sqmm PVC LTUG Aluminium armoured cable with necessary aluminium cable sockets by crimping etc. with electrical connection complete( CER NO : 371/18-19)     
</t>
  </si>
  <si>
    <t xml:space="preserve">Supplying and fixing of ALTUG end termination gripping for  3.5 core 70 sqmm ALTUG cable including cost of necessary materials ( CER NO : 371/18-19)     
</t>
  </si>
  <si>
    <t xml:space="preserve">Supply and fixing of TNEB Meter Board suitable for 3 Phases 100A service connection made up of suitable angle iron frame work of size 2 feet x 1 1/2 feet using angle iron of size 1 1/2" x 1 1/2" x 1/4" rigidly fixed on wall covered with hylem sheet of size 2 feet x 1/2 feet of 6mm thickness with necessary bolts and nuts supports and supply and fixing of 3 Nos 100A fuse units (500V) 1 No. Neutral link, copper earth flat of size 1" x 1/4" with inter connection of EB meter to fuse units by 7/16 PVC insulated copper wire with earth connection complete             ( ELE DATA 18-19-SD-130 </t>
  </si>
  <si>
    <t>Supplying and fixing of 100 amps (Triple pole) TPN metal clad switch with Rewirable fuse unit including cost of all materials and labour charges, etc all complete as per relevant standard specification and as directed by the departmental officers. (The quality and brand should be got approved from the executive engineer before use)</t>
  </si>
  <si>
    <t xml:space="preserve">Supplying and fixing of 3 Nos. of 100 amps 500 volts grade porcelain fuse unit on suitable teakwood plank varnished to be fixed on the top of pole/EB street pole with necessary clamps including cost of materials etc., all complete.( CER NO : 371/18-19)  </t>
  </si>
  <si>
    <t xml:space="preserve">Labour charges for laying of  3.5 core 50 sqmm PVC armoured ALTUG Cable
a) Above Ground Level( CER NO : 371/18-19)  </t>
  </si>
  <si>
    <t xml:space="preserve">Labour charges for laying of  3.5 core 70 sqmm PVC armoured ALTUG Cable
a) Above Ground Level( CER NO : 371/18-19)  
</t>
  </si>
  <si>
    <t xml:space="preserve">METERING PANEL FOR 8SERVICES (6FLAT +1 COMMON &amp; 1 SPARE )  6 IN 1 </t>
  </si>
  <si>
    <t xml:space="preserve">METERING PANEL FOR 4SERVICES (2FLAT +1 COMMON &amp; 1 SPARE )  2IN 1 </t>
  </si>
  <si>
    <t xml:space="preserve">Supply and fixing of three phase DB box with steel enclosures with cable gland plates for flush /surface mounting with busbars neutral link and each bar (Without MCB) etc( CER NO : 371/18-19)  </t>
  </si>
  <si>
    <t xml:space="preserve">Supplying and fixing of Rotary switch with 3 nos Indicator lamps including interconnection wire etc( CER NO : 371/18-19)  </t>
  </si>
  <si>
    <t xml:space="preserve">Supplying and fixing of single pole 6 Amps to 32 Amps MCB( CER NO : 371/18-19)  </t>
  </si>
  <si>
    <t xml:space="preserve">Supplying and fixing of 4' 18 W LED Tube light fittings etc.,( CER NO : 371/18-19)  </t>
  </si>
  <si>
    <t xml:space="preserve">Supplying and fixing of 12 w LED Bulb etc., all complete.( CER NO : 371/18-19)  </t>
  </si>
  <si>
    <t xml:space="preserve">Supplying and fixing of Following watt LED Lamp etc., all complete.( CER NO : 371/18-19)  </t>
  </si>
  <si>
    <t>a) 9W LED Bulb</t>
  </si>
  <si>
    <t xml:space="preserve">Supplying and fixing of BulkHead Fittings suitable for 12 w LED Bulb etc., all complete.( CER NO : 371/18-19)  </t>
  </si>
  <si>
    <t xml:space="preserve">Supplying and fixing of 25 W LED Street light fitting including labour charges for fixing of LED Street light fitting etc all complete as per relevant standard specification and as directed by the departmental officers. (The quality and brand should be got approved from the executive engineer before use) </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</si>
  <si>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</si>
  <si>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Supplying &amp; fixing of 500 watt Focus light fittings etc., all complete.</t>
  </si>
  <si>
    <t>Supplying and fixing of 250 watt sodium vapour fitting and lamp etc., all complete.</t>
  </si>
  <si>
    <t>Supplying &amp; fixing  of  12" dome light fittings and 9watts led bulb etc., all complete.</t>
  </si>
  <si>
    <t>Supplying &amp; fixing of spot light fittings and led bulb etc., all complete.</t>
  </si>
  <si>
    <t>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t>
  </si>
  <si>
    <t>TW double leaves shutter of size 1800 x 2100mm</t>
  </si>
  <si>
    <t>Ornamental TW double leaves panelled shutter of size 1800 x 2100mm</t>
  </si>
  <si>
    <t>Ornamental TW double leaves panelled shutter of size 1800 x 2400mm</t>
  </si>
  <si>
    <t>1500 liters capacity of HDPE Water Tank</t>
  </si>
  <si>
    <t>Providing shahabad stone flooring</t>
  </si>
  <si>
    <t xml:space="preserve">Vetrified Tiles flooring </t>
  </si>
  <si>
    <t xml:space="preserve">kota stone  flooring </t>
  </si>
  <si>
    <t xml:space="preserve">Granite Tiles flooring </t>
  </si>
  <si>
    <t>Plastering with ccccm 1:3, 12mm mixed with WPC</t>
  </si>
  <si>
    <t>HDPE water tank 5000 lit capacity</t>
  </si>
  <si>
    <t>T.W DOOR SHUTTER TWO LEAVES(1200 X 2100 mm ) with Brass Fittings</t>
  </si>
  <si>
    <t>TW Panelled Door 1500 X 2100MM (Double leaves)</t>
  </si>
  <si>
    <t>TW Panelled Door 1500 X 2400MM (Double leaves)</t>
  </si>
  <si>
    <t>TW Panelled Door 1200 X 2400MM (Double leaves)</t>
  </si>
  <si>
    <t>TW Panelled Door 1800 X 2400MM (Double leaves)</t>
  </si>
  <si>
    <t>Partly glazed and partly BWR panelled door shutter (Double leaves) with brass screws.
a. 1500x2400mm</t>
  </si>
  <si>
    <t>Partly glazed and partly TW panelled door shutter (Double leaves) with brass screws.
a. 1200x2400mm</t>
  </si>
  <si>
    <t>T.W DOOR SHUTTER TWO LEAVES(2000 X 2400 mm) WITH BRASS FITINGS</t>
  </si>
  <si>
    <t>BWR door 900 x 2400   single leaf</t>
  </si>
  <si>
    <t>BWR door 1050 x 2400   single leaf</t>
  </si>
  <si>
    <t>BWR door 1200 x 2400   double leaves</t>
  </si>
  <si>
    <t>BWR door 1500 x 2400   double leaves</t>
  </si>
  <si>
    <t>450 x 375 x 20 m   thick TW plank</t>
  </si>
  <si>
    <t>40 mm dia GI pipe "B"class</t>
  </si>
  <si>
    <t>MDF 900 x 2100 single</t>
  </si>
  <si>
    <t>MDF 1000 x 2100</t>
  </si>
  <si>
    <t>MDF 1200 x 2100</t>
  </si>
  <si>
    <t>MDF 1500 X 2100MM (Double Leaf)</t>
  </si>
  <si>
    <t>MDF 1200 X 2100MM (Double Leaf)</t>
  </si>
  <si>
    <t>MDF 1500 X 2400MM (Double Leaf)</t>
  </si>
  <si>
    <t>MDF  double leaf shutter with TW alround frame for ward robe / cup board</t>
  </si>
  <si>
    <t>Varnishing one coat</t>
  </si>
  <si>
    <t>Varnishing two coat</t>
  </si>
  <si>
    <t>Red oxide plastering in CM 1:4</t>
  </si>
  <si>
    <t>Under reamed pile (Single)</t>
  </si>
  <si>
    <t>LIGHT POINT WITH CEILING ROSE FOR ADMINISTRATIVE BLOCKS AND COMMUNITY CENTRE</t>
  </si>
  <si>
    <t>LIGHT POINT WITH BAKELITE BATTERN TYPE HOLDER FOR ADMINISTRATIVE BLOCKS AND COMMUNITY CENTRE</t>
  </si>
  <si>
    <t>FAN POINT FOR ADMINISTRATIVE BLOCKS AND COMMUNITY CENTRE</t>
  </si>
  <si>
    <t>STAIRCASE LIGHT POINT FOR ADMINISTRATIVE BLOCKS AND COMMUNITY CENTRE</t>
  </si>
  <si>
    <t>2 X 2.5 Sq mm in fully concealed PVC conduit</t>
  </si>
  <si>
    <t>2 X 4 Sq mm in fully concealed PVC conduit</t>
  </si>
  <si>
    <t>4 X 4 Sq mm in fully concealed PVC conduit</t>
  </si>
  <si>
    <t>32 AMPS DOUBLE POLE MAIN SWITCH ON TEAK WOOD BOARD TOP MES SERVICE CONNECTION / MOTOR PUMP( SINGLE PHASE ) SET</t>
  </si>
  <si>
    <t xml:space="preserve">supplying and fixing of 32 amps double pole main switch with fuse and neutral link on a suitable well varnished teak wood board including necessary inter connection cost of all materials etc., all complete and as directed by the departmental officers. </t>
  </si>
  <si>
    <t>Supply and fixing 4 way 250 volt single phase with neutral link metalic distribution board on suitable Teak wood board etc., all complete including connections.</t>
  </si>
  <si>
    <t>16 AMPS TPIC ON TEAK WOOD BOARD FOR 3 PHASE MES SERVICE CONNECTION AND 3 PHASE MOTOR PUMPSETS</t>
  </si>
  <si>
    <t>Supplying and fixing of 32 amps triple pole main switch with fuse and neutral link on a suitable well varnished teak wood board</t>
  </si>
  <si>
    <t>THREE PHASE DISTRIBUTION BOARD WITH 6 WAY PHASE AND 30 AMPS / WAY WITH FUSE AND NEUTRAL LINK ON SUITABLE TW PLANK TOP MES CONNECTION BOARD (FOR 12 IN 1 BLOCKS)</t>
  </si>
  <si>
    <t>THREE PHASE DISTRIBUTION BOARD WITH 4 WAY PHASE AND 3 AMPS/WAY FUSE AND NEUTRAL LINK FOR MES SERVICE CONNECTION ( 6 IN 1  BLOCKS )</t>
  </si>
  <si>
    <t>FIXING OF TUBE LIGHT FITTINGS ON WALL / CEILING</t>
  </si>
  <si>
    <t>FIXING OF TUBE FITTINGS SUSPENDED FROM CEILING</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</si>
  <si>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</si>
  <si>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</si>
  <si>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</si>
  <si>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</si>
  <si>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Supplying and delivery of Single phase ELCB/RCCB</t>
  </si>
  <si>
    <t>2 x 4 Sqm.m Copper PVC insulated unsheathed single core 1 KV grade cable for EB service single phase.</t>
  </si>
  <si>
    <t xml:space="preserve">Supply of 40 mm dia GI pipe "B"class </t>
  </si>
  <si>
    <t>Laying of U.G. Cable below Ground Level</t>
  </si>
  <si>
    <t>Fixing of UG cables on Walls / Ceiling</t>
  </si>
  <si>
    <t>Fixing of Tube light street light fitting</t>
  </si>
  <si>
    <t>Charges for fixing Mercury, Sodium Vapour lamp street light fittings ( all types ) in the existing pole with required GI pipes 'B' class and accessories ( Street light fittings alone will be supplied departmentally at free of cost ).</t>
  </si>
  <si>
    <t>S &amp; F TNEB Meter Board made up of MS box 600 x 225 mm with door and lock and key arrangements</t>
  </si>
  <si>
    <t>Supply and fixng of TNEB Moter Board suitable for 3 Phases 100A service connection made up of suitable angle iron frame work of size 2 feet x 1 1/2 feet using angle iron of size 1 1/2" x 1 1/2" x 1/4" rigidly fixed on wall covered with hylem sheet of size 2 feet x 1 1/2 feet of 12mm thickness with necessary bolts and nuts supports and supply and fixing of 3 Nos 100A fuse units (500V) 1 No. Neutral link, copper earth flat of size 1" x 1/4" with inter connection of EB meter to fuse units by 7/16 PVC insulated copper wire with earth connection complete</t>
  </si>
  <si>
    <t>25 mm dia PVC pipe Heavy duty with ISI mark for TV/ Telephone line</t>
  </si>
  <si>
    <t xml:space="preserve">TV/Telephone line junction </t>
  </si>
  <si>
    <t xml:space="preserve">Supply and erection of Tubular lamp, using 65 mm dia GI pipe 'B' class pipe with ISI mark of 6 mt length and 20 mm dia GI pipe 'B' class upto 2 mt with. </t>
  </si>
  <si>
    <t>Tube light -  Box type</t>
  </si>
  <si>
    <t>Open wiring for Light point with ceiling rose for flats/ houses</t>
  </si>
  <si>
    <t>Open wiring Light point with bakelite batern type holder for flats/ houses(Open wiring)</t>
  </si>
  <si>
    <t>Open wiring POINT WIRING FOR CALLING BELL / BUZZER WITH PUSH SWITCH FOR ALL TYPE OF BUILDING (OPEN WIRING)</t>
  </si>
  <si>
    <t>Open wiring FAN POINT FOR ADMINISTRATIVE BLOCKS AND COMMUNITY CENTRE</t>
  </si>
  <si>
    <t>Open wiring STAIRCASE LIGHT POINT FOR ADMINISTRATIVE BLOCKS AND COMMUNITY CENTRE (Open wiring)</t>
  </si>
  <si>
    <t>Open wiring 5 AMPS 5 PIN PLUG SOCKET POINT AT CONVENIENT PLACES (OPEN WIRING)</t>
  </si>
  <si>
    <t>Open wiring 2 X1.5 Sqm.m in fully concealed PVC conduit</t>
  </si>
  <si>
    <t xml:space="preserve"> Open wiring 2 X 2.5 Sq mm in fully concealed PVC conduit (open wiring)</t>
  </si>
  <si>
    <t>Run off main with 2 wires of 2.5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complete.(Open wiring)</t>
  </si>
  <si>
    <t>whitewashing one coat</t>
  </si>
  <si>
    <t>whitewashing one coat for old wall</t>
  </si>
  <si>
    <t>White washing One coats for existing surface using clean shell lime slaked including cost of lime, gum, blue, brushes including scaffolding etc., complete in all respects.</t>
  </si>
  <si>
    <t>whitewashing two coat for old wall</t>
  </si>
  <si>
    <t>White washing two coats for existing surface using clean shell lime slaked including cost of lime, gum, blue, brushes including scaffolding etc., complete in all respects.</t>
  </si>
  <si>
    <t>Thorough scrapping the old wall</t>
  </si>
  <si>
    <t>Thorough scrapping of old plastered surface and Washing of plastered surface with soap, soda and water (or with soda lime, brush and water) including the cost required tools and plants and scaffolding if necessary and clearing the debris away from the site etc., all complete and as directed by the competent authority.</t>
  </si>
  <si>
    <t>Thorough scrapping the old iron work</t>
  </si>
  <si>
    <t>Thorough scrapping the old wood work</t>
  </si>
  <si>
    <t>Cement paint one coat for old wall</t>
  </si>
  <si>
    <t>Cement paint two coat for old wall</t>
  </si>
  <si>
    <t>Painting two coats using approved quality of best cement paint over the old wall surfaces, ceiling or other  similar works including cost of cement paints, putty, brushes, watering, curing, etc., all complete and as directed by the departmental officers (paints and its shade shall be got approved from the executive engineer before using)</t>
  </si>
  <si>
    <t>painting one coat for old iron work</t>
  </si>
  <si>
    <t>Painting the old iron work and other similar works such as PVC/ASTM pipes, kerb stone and grills with one coats of approved first class synthetic enamel ready mixed paint including thorugh scrapping with approved quality and brand, the paint should be  supplied by the contractor at his own cost (the quality and the brand of paint should be got approved by the executive engineer before use) complying with relevant standard specification.</t>
  </si>
  <si>
    <t>painting two coat for old iron work</t>
  </si>
  <si>
    <t>Painting the old iron work and other similar works such as PVC/ASTM pipes, kerb stone and grills with two coats of approved first class synthetic enamel ready mixed paint including thorugh scrapping with approved quality and brand, the paint should be  supplied by the contractor at his own cost (the quality and the brand of paint should be got approved by the executive engineer before use) complying with relevant standard specification.</t>
  </si>
  <si>
    <t>painting one coat for old wood work</t>
  </si>
  <si>
    <t>Painting the old wood work with One coats of approved first class synthetic enamel ready mixed paint of approved quality and shade, the paint should be supplied by the contractor at his own cost (the quality and the shade of paint should be got approved by the executive engineer before use) complying with relevant standard specifications.</t>
  </si>
  <si>
    <t>painting two coat for old wood work</t>
  </si>
  <si>
    <t>Painting the old wood work with two coats of approved first class synthetic enamel ready mixed paint of approved quality and shade, the paint should be supplied by the contractor at his own cost (the quality and the shade of paint should be got approved by the executive engineer before use) complying with relevant standard specifications.</t>
  </si>
  <si>
    <t>Matt paint one coat for old wall</t>
  </si>
  <si>
    <t>Plastic Emulsion PAINT one coat for old wall</t>
  </si>
  <si>
    <t>Painting the Old walls with one coats of approved best ready mixed plastic emulsion paint in  cement plastered wall surfaces and ceiling including cost of plastic emulsion paint, putty, brushers etc., all complete and as directed by the departmental officers (the emulsion paint and its shade should be got approved from the executive engineer before using)</t>
  </si>
  <si>
    <t>Plastic Emulsion PAINT two coat for old wall</t>
  </si>
  <si>
    <t>Painting the Old walls with Two coats of approved best ready mixed plastic emulsion paint in  cement plastered wall surfaces and ceiling including cost of plastic emulsion paint, putty, brushers etc., all complete and as directed by the departmental officers (the emulsion paint and its shade should be got approved from the executive engineer before using)</t>
  </si>
  <si>
    <t xml:space="preserve">Supplying and fixing of 6Amps to 32 Amps single pole MCB </t>
  </si>
  <si>
    <t>Supplying and fixing of 6Amps to 32 Amps single pole MCB  including cost of all materials and labour charges, etc all complete as per relevant standard specification and as directed by the departmental officers. (The quality and brand should be got approved from the executive engineer before use)</t>
  </si>
  <si>
    <t>Dismantling the RCC etc all complete</t>
  </si>
  <si>
    <t>Dismantling clearing away and carefully stacking materials useful for reuse for Reinforced Cement Concrete including the cost of required tools and plants scaffolding if necessary and clearing the debris away from the site etc  all complete and as directed by the departmental officers.</t>
  </si>
  <si>
    <t>Dismantling the brick work under 3m height wall</t>
  </si>
  <si>
    <t>Dismantling clearing away and carefully stacking materials useful for reuse for Brick wall in Cement mortor including the cost of required tools and plants scaffolding if necessary and clearing the debris away from the site etc  all complete and as directed by the departmental officers.</t>
  </si>
  <si>
    <t>Dismantling the Pressed tiles &amp; weathering course</t>
  </si>
  <si>
    <t>Dismantling clearing away and carefully stacking materials useful for reuse for pressed tiles and weathering course  the cost of required tools and plants if necessary and clearing the debris away from the site etc  all complete and as directed by the departmental officers.</t>
  </si>
  <si>
    <t>Dismantling Plain Cement Concrete</t>
  </si>
  <si>
    <t>Dismantling clearing away and carefully stacking materials useful for reuse for Plain Cement Concrete including the cost of required tools and plants scaffolding if necessary and clearing the debris away from the site etc  all complete and as directed by the departmental officers.</t>
  </si>
  <si>
    <t>Dismantling of Mosaic Tiles / Glazed Tiles / Cuddapah Slabs</t>
  </si>
  <si>
    <t>Dismantling, clearing away and carefully stacking materials useful for re-use for Floor finish and dadooing walls in cement mortar with Mosaic Tiles / Glazed Tiles / Cuddapah Slabs</t>
  </si>
  <si>
    <t>Chipping of plastering for existing wall portion etc., all complete</t>
  </si>
  <si>
    <t>Chipping of concrete and roughening the existing ceiling surfaces including the cost required tools and plants and scaffolding if necessary and clearing the debris away from the site etc., all complete and as directed by the competent authority.</t>
  </si>
  <si>
    <t>Supplying of 2 core 10 sqmm.</t>
  </si>
  <si>
    <t>Supplying of 2 core 10 sqmm. PVC armoured LTUG cable(Aluminium UG Cable 1100V Grade) with ISI mark) including cost of cable and conveying to the site of work etc all complete complying with relevant standard specifications and as directed by the departmental officers</t>
  </si>
  <si>
    <t>Supplying of 3.5 core 25 sqmm.</t>
  </si>
  <si>
    <t>Supplying of 3.5 core 25 sqmm. PVC armoured LTUG cable(Aluminium UG Cable 1100V Grade) with ISI mark) including cost of cable and conveying to the site of work etc all complete complying with relevant standard specifications and as directed by the departmental officers</t>
  </si>
  <si>
    <t>Supplying of 3.5 core 35 sqmm.</t>
  </si>
  <si>
    <t>Supplying of 3.5 core 35 sqmm. PVC armoured LTUG cable(Aluminium UG Cable 1100V Grade) with ISI mark) including cost of cable and conveying to the site of work etc all complete complying with relevant standard specifications and as directed by the departmental officers</t>
  </si>
  <si>
    <t>Supplying of 3.5 core 50 sqmm.</t>
  </si>
  <si>
    <t>Supplying of 3.5 core 50 sqmm. PVC armoured LTUG cable(Aluminium UG Cable 1100V Grade) with ISI mark) including cost of cable and conveying to the site of work etc all complete complying with relevant standard specifications and as directed by the departmental officers</t>
  </si>
  <si>
    <t>Supplying of 3.5 core 70 sqmm.</t>
  </si>
  <si>
    <t>Supplying of 3.5 core 70 sqmm. PVC armoured LTUG cable(Aluminium UG Cable 1100V Grade) with ISI mark) including cost of cable and conveying to the site of work etc all complete complying with relevant standard specifications and as directed by the departmental officers</t>
  </si>
  <si>
    <t>Supplying of 3.5 core 95 sqmm.</t>
  </si>
  <si>
    <t>Supplying of 3.5 core 95 sqmm. PVC armoured LTUG cable(Aluminium UG Cable 1100V Grade) with ISI mark) including cost of cable and conveying to the site of work etc all complete complying with relevant standard specifications and as directed by the departmental officers</t>
  </si>
  <si>
    <t>Supplying of 3.5 core 120 sqmm.</t>
  </si>
  <si>
    <t>Supplying of 3.5 core 120 sqmm. PVC armoured LTUG cable(Aluminium UG Cable 1100V Grade) with ISI mark) including cost of cable and conveying to the site of work etc all complete complying with relevant standard specifications and as directed by the departmental officers</t>
  </si>
  <si>
    <t>Supplying of 3.5 core 150 sqmm.</t>
  </si>
  <si>
    <t>Supplying of 3.5 core 150 sqmm. PVC armoured LTUG cable(Aluminium UG Cable 1100V Grade) with ISI mark) including cost of cable and conveying to the site of work etc all complete complying with relevant standard specifications and as directed by the departmental officers</t>
  </si>
  <si>
    <t>Supplying of 4 core of 16 sqmm</t>
  </si>
  <si>
    <t>Supplying of 4 core of 10 sqmm</t>
  </si>
  <si>
    <t>Supplying of 4 core of 10 sqmm PVC armored ALTUG cable including cost of all materials etc all complete complying with relevant standard specifications and as directed by the departmental officers</t>
  </si>
  <si>
    <t>Labour charges for laying of PVC Armoured LTUG Cable excluding Civil works etc.,all complete and as directed by the departmental officers 
a) Below Ground Level</t>
  </si>
  <si>
    <t>Labour charges for fixing of PVC Armoured LTUG Cable  in Vertical wall (or) EB Pole etc., all complete and as directed by the departmental officers 
Above Ground Level</t>
  </si>
  <si>
    <t>Supplying and fixing of Galvalume sheet roofing  0.47mm thick</t>
  </si>
  <si>
    <t>Supplying and fixing of Galvalume sheet roofing  0.47mm thick with required bolt and nuts and labour for fixing etc., all complete and as directed by the departmental officers</t>
  </si>
  <si>
    <t>Supplying and fixing mild steel angles</t>
  </si>
  <si>
    <t>Supplying and fixing mild steel angles for truss and labour for fixing in position etc., all complete.
PWD SR(20-21) (P.No:23,S.No:168)+(P.No.34,S.No:167)</t>
  </si>
  <si>
    <t xml:space="preserve">Supplying and fixing the 300mm dia (NP2 class) </t>
  </si>
  <si>
    <t>Supplying and fixing the 300mm dia (NP2 class) RCC non pressure spun pipe with socket and spigot ends as per IS 458/2003 manufactured with sulphate resistant cement with 12 mm HI -alumina lining with rubber ring joints and fixing the pipes with necessary connections etc., complete in all respects and as directed by the departmental officers.
TWAD SR 2019-2020</t>
  </si>
  <si>
    <t>Special Type Cup-board Shutter for higher officer</t>
  </si>
  <si>
    <t>Supplying, testing and commission of 2 ton capacity Hi-wall counted single split type AC unit</t>
  </si>
  <si>
    <t>Supplying, testing and commission of 3 Star   2  ton capacity Hi-wall counted single split type AC unit superior variety/make consisting of outdoor condensing unit complete with compressor and air cooler condenser with fan motor and one indoor unit with evaporator blower including cost of copper piping etc., including initial charging of refrigerant gas and suitable for single phase operation (With cardless remote control facilities). all complete and as directed by departmental officers (the quality and brand should be got approved from the executive engineer before use)
(PWD SR 20-21  P141 Part-N 1 b )</t>
  </si>
  <si>
    <t>Supply and installation of 4 KVA capacity Automatic  Voltage Stabilizer with time delay relay (V-Gurad Equivalent)</t>
  </si>
  <si>
    <t>Supply and installation of 4 KVA capacity Automatic  Voltage Stabilizer with time delay relay (V-Gurad Equivalent)
(PWD SR 20-21  P141 Part-N 1 b )</t>
  </si>
  <si>
    <t>Supply and installation of 5 KVA capacity Automatic  Voltage Stabilizer with time delay relay (V-Gurad Equivalent)
(PWD SR 20-21  P141 Part-N 1 b )</t>
  </si>
  <si>
    <t>Supply and laying of 5/8" and 3/8" copper pipe (Extra beyond 3 metres supplied with AC unit)
(PWD SR 20-21 P141 Part-N 1 e )</t>
  </si>
  <si>
    <t>Supply and fixing of MS stand for fixing outdoor unit 
(PWD SR 20-21  P141 Part-N 1 b )</t>
  </si>
  <si>
    <t>WATER HEATER WITH ISI MARK 25 Liter</t>
  </si>
  <si>
    <t xml:space="preserve">Supply and fixing of 1000w/230v automatic electric water heater of 25 litres capacity including cost of fixing with all necessary connections, clamps, screws etc., complete as per relevant standard specification (electric water heater shall be got approved from the executive engineer before use) and as directed by the departmental officers. </t>
  </si>
  <si>
    <t>SS Heavy Duty Long Body Tap 15mm</t>
  </si>
  <si>
    <t>supplying and fixing of 15mm dia SS Heavy Duty  long body tap of best quality including cost of fittings with required specials, bends, labour for fixing etc, all complete and as directed by the departmental officers., (the quality and brand of fittings should be got approved from executive engineer before use).</t>
  </si>
  <si>
    <t>18W LED 3000K Square Type Recessed Fitting with LED
(PWD SR 20-21  P114  )</t>
  </si>
  <si>
    <t xml:space="preserve">Supplying and fixing of spot light (18W LED 3000K Square Type ) including labour charges for fixing of light etc all complete </t>
  </si>
  <si>
    <t>Wall Mounting Fan</t>
  </si>
  <si>
    <t>Supplying and delivery of following electric 400mm Wall Fan  with ISI mark with blades and double ball bearing, capacitor, etc., complete. operation on  230 volts 50 htz single phase ac supply conforming and provided with insulation. (the brand should be got approved from the executive engineer before supply made).</t>
  </si>
  <si>
    <t>Supplying of 20 feet street light pole</t>
  </si>
  <si>
    <t>Supplying of 20 feet street light pole complete set  with necessary accessories such as 2"3mm thick MS pipe -10 feet height ,1 1/2" 3mm thick MS pipe -10 feet height ,3/4" GI pipe 2 1/2 feet with necessary  1 1/2" 3/4" clamp-2 Nos and 6x4 street light box -1 Nos,10A Connector -1Nos,1.5 sqmm wire 15 mtrs, 1/2: foundation bolt-4 nos,25 W LED Street light fitting-1 Nos etc all complete.</t>
  </si>
  <si>
    <t>Supply and Fixing of Sigle phase DB 16A / way with 16 Amps DP Switch of 500v with metal clad  with F&amp; Non suitable TW board with PWD Earthing.
( SD- 145 -20-21 )</t>
  </si>
  <si>
    <t>Supply and Fixing of Sigle phase DB 16A / way with 16 Amps DP Switch of 500v with metal clad  with F&amp; Non suitable TW board with PWD Earthing.</t>
  </si>
  <si>
    <t xml:space="preserve">Supplying and fixing of SS Rod including Screen </t>
  </si>
  <si>
    <t>Supplying and fixing of Stainless steel Rod including Screen and labour for fixing in position etc., all complete.
Quotation</t>
  </si>
  <si>
    <t xml:space="preserve">AC Repair and Refilling Gas </t>
  </si>
  <si>
    <t>Removing and Repair , Reconditioning the AC  and Refilling Gas all complete and as directed by the departmental officers.
Quotation</t>
  </si>
  <si>
    <t xml:space="preserve">Reconditioning the AC Unit </t>
  </si>
  <si>
    <t xml:space="preserve">Reconditioning the AC Unit and Cleaning the Dust Forming in the AC  and Labour charges etc., all complete.
Quotation </t>
  </si>
  <si>
    <t>Below ground level</t>
  </si>
  <si>
    <t>a. 32 mm dia  Below Ground level</t>
  </si>
  <si>
    <t>c. 20mm Below Ground level</t>
  </si>
  <si>
    <t>Supplying and fixing of Pillar cock of best quality including cost of Pillar cock with required specials and labour for fixing etc., all complete and as directed by the departmental officers. (the quality and brand should be got approved from the executive engineer before use)  
PWD SOR 20-21-P.54</t>
  </si>
  <si>
    <t xml:space="preserve">Supplying and fixing of Angular Stop Cock - 2 way of best quality including cost of Pillar cock with required specials and labour for fixing etc., all complete and as directed by the departmental officers. (the quality and brand should be got approved from the executive engineer before use)  </t>
  </si>
  <si>
    <t xml:space="preserve">Supply and fixing of shower arm with shower rose </t>
  </si>
  <si>
    <t>Supply and fixing of shower arm with shower rose (Jaquar fittings  Model No. OHS-CHR-1755 )  of best approved quality with necessary isi mark (shower rose shall be got approved from the executive engineer before fixing) etc. complete complying with relevant standard specification and as directed by the departmental officers.</t>
  </si>
  <si>
    <t>Supply and fixing of Health faucet approved quality with ISI mark including cost of all materials and all labour charges etc complete PWD SOR 20-201-P.55</t>
  </si>
  <si>
    <t>S &amp; F SS 3 pin Coat stand</t>
  </si>
  <si>
    <t>Supplying and fixing of Stainless  with Three pins for coat stand including cost of plugs, nails, screws and labour for fixing in position etc., all complete and as directed by the departmental officers.</t>
  </si>
  <si>
    <t>Panel board -2 HP</t>
  </si>
  <si>
    <t>Supply and delivery of 2 HPdirect online starter confirming to IS13947 and IEC60947-1 suitable KW rating for operation in AC/Three Phase/50HZ(± 5%) and   415 V(±10%) including Ammeter, Voltmeter, Thermal Overload relay, 16 Amps  2 pole Magnetic Contactor with  under Voltage protection, Indication lamp, starting capacitor, running capacitor and On/Off Push button switches, 5 way connector, wiring with 1 sq. mm/1.5 sq. mm copper PVC insulated cable, powder coated vermin proof box including the capacitor (the cost of capacitor is to be taken separately).</t>
  </si>
  <si>
    <t>Supplying and fixing of G.I roofing sheet with etc. all complete</t>
  </si>
  <si>
    <t>Supplying and fixing mild steel angles for truss including cost of all materials and labour charges, etc all complete.</t>
  </si>
  <si>
    <t>Supplying and fixing mild steel angles for truss including cost of all materials and labour charges, etc all complete as per relevant standard specification and as directed by the departmental officers. (The quality and brand should be got approved from the executive engineer before use)</t>
  </si>
  <si>
    <t>GST @12%</t>
  </si>
  <si>
    <t>SUB - TOTAL - III Rs.</t>
  </si>
  <si>
    <t>Labour Welfare fund @ 1%</t>
  </si>
  <si>
    <t>Supervision Charges @ 7.5%</t>
  </si>
  <si>
    <t xml:space="preserve"> TOTAL Rs.</t>
  </si>
  <si>
    <t>Lakhs</t>
  </si>
  <si>
    <t>a</t>
  </si>
  <si>
    <t>b</t>
  </si>
  <si>
    <t>63A TPN 10 KA MCB - Data AO</t>
  </si>
  <si>
    <t>Description</t>
  </si>
  <si>
    <r>
      <t xml:space="preserve">Earth work excavation in all soils </t>
    </r>
    <r>
      <rPr>
        <b/>
        <sz val="18"/>
        <rFont val="Arial"/>
        <family val="2"/>
      </rPr>
      <t>(including refilling)</t>
    </r>
  </si>
  <si>
    <t>a. 0 to 2 mt.</t>
  </si>
  <si>
    <r>
      <t xml:space="preserve">a. 0 to 2 mt. </t>
    </r>
    <r>
      <rPr>
        <sz val="17"/>
        <color indexed="9"/>
        <rFont val="Arial"/>
        <family val="2"/>
      </rPr>
      <t xml:space="preserve"> 
Earth work excavation in all soils (including refilling) </t>
    </r>
  </si>
  <si>
    <t>Cum.</t>
  </si>
  <si>
    <t>b. 2 to 3 mt.</t>
  </si>
  <si>
    <r>
      <t xml:space="preserve">b. 2 to 3 mt.  </t>
    </r>
    <r>
      <rPr>
        <sz val="20"/>
        <color indexed="9"/>
        <rFont val="Arial"/>
        <family val="2"/>
      </rPr>
      <t xml:space="preserve">
Earth work excavation in all soils (including refilling) </t>
    </r>
  </si>
  <si>
    <r>
      <t xml:space="preserve">Earth work excavation in all soils </t>
    </r>
    <r>
      <rPr>
        <b/>
        <sz val="18"/>
        <rFont val="Arial"/>
        <family val="2"/>
      </rPr>
      <t>(excluding refilling)</t>
    </r>
  </si>
  <si>
    <r>
      <t xml:space="preserve">Earth work excavation in all soils </t>
    </r>
    <r>
      <rPr>
        <b/>
        <sz val="18"/>
        <color indexed="8"/>
        <rFont val="Arial"/>
        <family val="2"/>
      </rPr>
      <t>(excluding refilling)</t>
    </r>
  </si>
  <si>
    <r>
      <t xml:space="preserve">a. 0 to 2 mt. </t>
    </r>
    <r>
      <rPr>
        <sz val="18"/>
        <color indexed="9"/>
        <rFont val="Arial"/>
        <family val="2"/>
      </rPr>
      <t>Earth work excavation in all soils (excluding refilling)</t>
    </r>
  </si>
  <si>
    <r>
      <t xml:space="preserve">b. 2 to 3 mt. </t>
    </r>
    <r>
      <rPr>
        <sz val="18"/>
        <color indexed="9"/>
        <rFont val="Arial"/>
        <family val="2"/>
      </rPr>
      <t>Earth work excavation in all soils (excluding refilling)</t>
    </r>
  </si>
  <si>
    <r>
      <t xml:space="preserve">Earth work excavation in </t>
    </r>
    <r>
      <rPr>
        <b/>
        <sz val="20"/>
        <rFont val="Arial"/>
        <family val="2"/>
      </rPr>
      <t>Soft disintegrated rock  (including refilling)</t>
    </r>
  </si>
  <si>
    <r>
      <t xml:space="preserve">Earth work excavation in </t>
    </r>
    <r>
      <rPr>
        <b/>
        <sz val="20"/>
        <color indexed="8"/>
        <rFont val="Arial"/>
        <family val="2"/>
      </rPr>
      <t>Soft disintegrated rock  (including refilling)</t>
    </r>
  </si>
  <si>
    <r>
      <t xml:space="preserve">a. 0 to 2 mt. </t>
    </r>
    <r>
      <rPr>
        <sz val="20"/>
        <color indexed="9"/>
        <rFont val="Arial"/>
        <family val="2"/>
      </rPr>
      <t>Earth work excavation in Soft disintegrated rock  (including refilling)</t>
    </r>
  </si>
  <si>
    <r>
      <t xml:space="preserve">b. 2 to 3 mt. </t>
    </r>
    <r>
      <rPr>
        <sz val="18"/>
        <color indexed="9"/>
        <rFont val="Arial"/>
        <family val="2"/>
      </rPr>
      <t xml:space="preserve"> 
Earth work excavation in all soils (including refilling) </t>
    </r>
  </si>
  <si>
    <r>
      <t xml:space="preserve">Earth work excavation for Open foundation </t>
    </r>
    <r>
      <rPr>
        <b/>
        <sz val="18"/>
        <rFont val="Arial"/>
        <family val="2"/>
      </rPr>
      <t>(including refilling)</t>
    </r>
  </si>
  <si>
    <r>
      <t xml:space="preserve">Earth work excavation for Open foundation </t>
    </r>
    <r>
      <rPr>
        <b/>
        <sz val="18"/>
        <color indexed="8"/>
        <rFont val="Arial"/>
        <family val="2"/>
      </rPr>
      <t>(including refilling)</t>
    </r>
  </si>
  <si>
    <r>
      <t>a. 0 to 2 mt.</t>
    </r>
    <r>
      <rPr>
        <sz val="18"/>
        <color indexed="9"/>
        <rFont val="Arial"/>
        <family val="2"/>
      </rPr>
      <t>Earth work excavation for Open foundation (including refilling)</t>
    </r>
  </si>
  <si>
    <r>
      <t xml:space="preserve">b. 2 to 3 mt. </t>
    </r>
    <r>
      <rPr>
        <sz val="18"/>
        <color indexed="9"/>
        <rFont val="Arial"/>
        <family val="2"/>
      </rPr>
      <t>Earth work excavation in Soft disintegrated rock  (including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</si>
  <si>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</si>
  <si>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7"/>
        <color indexed="8"/>
        <rFont val="Arial"/>
        <family val="2"/>
      </rPr>
      <t xml:space="preserve">Open foundation </t>
    </r>
    <r>
      <rPr>
        <sz val="17"/>
        <color indexed="8"/>
        <rFont val="Arial"/>
        <family val="2"/>
      </rPr>
      <t>(excluding refilling)</t>
    </r>
  </si>
  <si>
    <r>
      <t>a. 0 to 2 mt.</t>
    </r>
    <r>
      <rPr>
        <sz val="17"/>
        <color indexed="9"/>
        <rFont val="Arial"/>
        <family val="2"/>
      </rPr>
      <t>Earth work excavation for Open foundation (excluding refilling)</t>
    </r>
  </si>
  <si>
    <r>
      <t>b. 2 to 3 mt.</t>
    </r>
    <r>
      <rPr>
        <sz val="18"/>
        <color indexed="9"/>
        <rFont val="Arial"/>
        <family val="2"/>
      </rPr>
      <t>Earth work excavation for Open foundation (excluding refilling)</t>
    </r>
  </si>
  <si>
    <r>
      <t>c. 3 to 4 mt.</t>
    </r>
    <r>
      <rPr>
        <sz val="18"/>
        <color indexed="9"/>
        <rFont val="Arial"/>
        <family val="2"/>
      </rPr>
      <t>Earth work excavation for Open foundation (excluding refilling)</t>
    </r>
  </si>
  <si>
    <r>
      <t>d. 4 to 5 mt.</t>
    </r>
    <r>
      <rPr>
        <sz val="18"/>
        <color indexed="9"/>
        <rFont val="Arial"/>
        <family val="2"/>
      </rPr>
      <t>Earth work excavation for Open foundation (excluding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</si>
  <si>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</si>
  <si>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Earth work excavation for </t>
    </r>
    <r>
      <rPr>
        <b/>
        <sz val="18"/>
        <color indexed="8"/>
        <rFont val="Arial"/>
        <family val="2"/>
      </rPr>
      <t xml:space="preserve">Open foundation </t>
    </r>
    <r>
      <rPr>
        <sz val="18"/>
        <color indexed="8"/>
        <rFont val="Arial"/>
        <family val="2"/>
      </rPr>
      <t xml:space="preserve"> for drains (excluding refilling) width  upto 1.25 m</t>
    </r>
  </si>
  <si>
    <r>
      <t>a. 0 to 2 mt.</t>
    </r>
    <r>
      <rPr>
        <sz val="18"/>
        <color indexed="9"/>
        <rFont val="Arial"/>
        <family val="2"/>
      </rPr>
      <t>Earth work excavation for Open foundation  for drains (excluding refilling) width  upto 1.25 m</t>
    </r>
  </si>
  <si>
    <r>
      <t>b. 2 to 3 mt.</t>
    </r>
    <r>
      <rPr>
        <sz val="18"/>
        <color indexed="9"/>
        <rFont val="Arial"/>
        <family val="2"/>
      </rPr>
      <t>Earth work excavation for Open foundation  for drains (excluding refilling) width  upto 1.25 m</t>
    </r>
  </si>
  <si>
    <r>
      <t xml:space="preserve">Earth work excavation in </t>
    </r>
    <r>
      <rPr>
        <b/>
        <sz val="18"/>
        <rFont val="Arial"/>
        <family val="2"/>
      </rPr>
      <t>Soft disintegrated rock 
(Excluding refilling)</t>
    </r>
  </si>
  <si>
    <r>
      <t xml:space="preserve">Earth work excavation in </t>
    </r>
    <r>
      <rPr>
        <b/>
        <sz val="18"/>
        <color indexed="8"/>
        <rFont val="Arial"/>
        <family val="2"/>
      </rPr>
      <t>Soft disintegrated rock 
(Excluding refilling)</t>
    </r>
  </si>
  <si>
    <r>
      <t>a. 0 to 2 mt.</t>
    </r>
    <r>
      <rPr>
        <sz val="18"/>
        <color indexed="9"/>
        <rFont val="Arial"/>
        <family val="2"/>
      </rPr>
      <t>Earth work excavation in Soft disintegrated rock 
(Excluding refilling)</t>
    </r>
  </si>
  <si>
    <r>
      <t>b. 2 to 3 mt.</t>
    </r>
    <r>
      <rPr>
        <sz val="18"/>
        <color indexed="9"/>
        <rFont val="Arial"/>
        <family val="2"/>
      </rPr>
      <t>Earth work excavation in 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</si>
  <si>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</si>
  <si>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 xml:space="preserve">Earth work excavation in </t>
    </r>
    <r>
      <rPr>
        <b/>
        <sz val="18"/>
        <color indexed="8"/>
        <rFont val="Arial"/>
        <family val="2"/>
      </rPr>
      <t>SDR for</t>
    </r>
    <r>
      <rPr>
        <sz val="18"/>
        <color indexed="8"/>
        <rFont val="Arial"/>
        <family val="2"/>
      </rPr>
      <t xml:space="preserve"> </t>
    </r>
    <r>
      <rPr>
        <b/>
        <sz val="18"/>
        <color indexed="8"/>
        <rFont val="Arial"/>
        <family val="2"/>
      </rPr>
      <t xml:space="preserve">Open foundation </t>
    </r>
    <r>
      <rPr>
        <sz val="18"/>
        <color indexed="8"/>
        <rFont val="Arial"/>
        <family val="2"/>
      </rPr>
      <t xml:space="preserve"> (excluding refilling)</t>
    </r>
  </si>
  <si>
    <r>
      <t>a. 0 to 2 mt.</t>
    </r>
    <r>
      <rPr>
        <sz val="18"/>
        <color indexed="9"/>
        <rFont val="Arial"/>
        <family val="2"/>
      </rPr>
      <t>Earth work excavation in SDR for Open foundation  (excluding refilling)</t>
    </r>
  </si>
  <si>
    <r>
      <t>b. 2 to 3 mt.</t>
    </r>
    <r>
      <rPr>
        <sz val="18"/>
        <color indexed="9"/>
        <rFont val="Arial"/>
        <family val="2"/>
      </rPr>
      <t>Earth work excavation in SDR for Open foundation  (excluding refilling)</t>
    </r>
  </si>
  <si>
    <r>
      <t>a. 0 to 2 mt.</t>
    </r>
    <r>
      <rPr>
        <sz val="18"/>
        <color indexed="9"/>
        <rFont val="Arial"/>
        <family val="2"/>
      </rPr>
      <t>In Medium rock and dense medium rock not requiring blasting.</t>
    </r>
  </si>
  <si>
    <r>
      <t xml:space="preserve">b. 2 to 3 mt. </t>
    </r>
    <r>
      <rPr>
        <sz val="18"/>
        <color indexed="9"/>
        <rFont val="Arial"/>
        <family val="2"/>
      </rPr>
      <t>In Medium rock and dense medium rock not requiring blasting.</t>
    </r>
  </si>
  <si>
    <r>
      <t xml:space="preserve">c. 3 to 4 mt. </t>
    </r>
    <r>
      <rPr>
        <sz val="18"/>
        <color indexed="9"/>
        <rFont val="Arial"/>
        <family val="2"/>
      </rPr>
      <t>In Medium rock and dense medium rock not requiring blasting.</t>
    </r>
  </si>
  <si>
    <t>Sqm.</t>
  </si>
  <si>
    <r>
      <t xml:space="preserve">R.C.C. 1:2:4 </t>
    </r>
    <r>
      <rPr>
        <sz val="18"/>
        <rFont val="Arial"/>
        <family val="2"/>
      </rPr>
      <t>Foundation and Basement</t>
    </r>
  </si>
  <si>
    <r>
      <t xml:space="preserve">R.C.C. 1:2:4 </t>
    </r>
    <r>
      <rPr>
        <sz val="18"/>
        <color indexed="8"/>
        <rFont val="Arial"/>
        <family val="2"/>
      </rPr>
      <t>Foundation and Basement</t>
    </r>
  </si>
  <si>
    <r>
      <t xml:space="preserve">R.C.C. 1: 11/2: 3 </t>
    </r>
    <r>
      <rPr>
        <sz val="18"/>
        <rFont val="Arial"/>
        <family val="2"/>
      </rPr>
      <t>Foundation and Basement</t>
    </r>
  </si>
  <si>
    <r>
      <t xml:space="preserve">R.C.C. 1: 11/2: 3 </t>
    </r>
    <r>
      <rPr>
        <sz val="18"/>
        <color indexed="8"/>
        <rFont val="Arial"/>
        <family val="2"/>
      </rPr>
      <t>Foundation and Basement</t>
    </r>
  </si>
  <si>
    <r>
      <t>Brick work in C.M. 1:5 (F&amp; B)</t>
    </r>
    <r>
      <rPr>
        <sz val="18"/>
        <rFont val="Arial"/>
        <family val="2"/>
      </rPr>
      <t xml:space="preserve"> using Chamber Burnt brick of size 23 x 11.2 x 7 cm (9" x 4 3/8" x 2 3/4")</t>
    </r>
  </si>
  <si>
    <r>
      <t>Brick work in C.M. 1:5 (F&amp; B)</t>
    </r>
    <r>
      <rPr>
        <sz val="18"/>
        <color indexed="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</si>
  <si>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</si>
  <si>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color indexed="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</si>
  <si>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</si>
  <si>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color indexed="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</si>
  <si>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</si>
  <si>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color indexed="8"/>
        <rFont val="Arial"/>
        <family val="2"/>
      </rPr>
      <t xml:space="preserve"> using Chamber Burnt brick of size 22 x 11 x 7 cm (8 3/4" x 4 1/4" x 2 3/4")</t>
    </r>
  </si>
  <si>
    <r>
      <t>Brick work in C.M. 1:5 (F&amp; B)</t>
    </r>
    <r>
      <rPr>
        <sz val="18"/>
        <rFont val="Arial"/>
        <family val="2"/>
      </rPr>
      <t xml:space="preserve"> using Kiln Burnt Country bricks of size 22 x 11 x 7 cm (8 3/4" x 4 1/4" x 2 3/4")</t>
    </r>
  </si>
  <si>
    <r>
      <t>Brick work in C.M. 1:5 (F&amp; B)</t>
    </r>
    <r>
      <rPr>
        <sz val="17"/>
        <color indexed="8"/>
        <rFont val="Arial"/>
        <family val="2"/>
      </rPr>
      <t xml:space="preserve"> using Kiln Burnt Country bricks of size 22 x 11 x 7 cm (8 3/4" x 4 1/4" x 2 3/4")</t>
    </r>
  </si>
  <si>
    <r>
      <t>Brick work in C.M. 1:5 (F&amp; B)</t>
    </r>
    <r>
      <rPr>
        <sz val="18"/>
        <rFont val="Arial"/>
        <family val="2"/>
      </rPr>
      <t xml:space="preserve"> using Kiln Burnt Country bricks of size 22 x 11 x 5.7 cm (8 3/4" x 4 1/4" x 2 1/4")</t>
    </r>
  </si>
  <si>
    <r>
      <t>Brick work in C.M. 1:5 (F&amp; B)</t>
    </r>
    <r>
      <rPr>
        <sz val="18"/>
        <color indexed="8"/>
        <rFont val="Arial"/>
        <family val="2"/>
      </rPr>
      <t xml:space="preserve"> using Kiln Burnt Country bricks of size 22 x 11 x 5.7 cm (8 3/4" x 4 1/4" x 2 1/4")</t>
    </r>
  </si>
  <si>
    <r>
      <t>Damp Proof Course
in C.M. 1:4, 12 MM thick</t>
    </r>
    <r>
      <rPr>
        <sz val="18"/>
        <rFont val="Arial"/>
        <family val="2"/>
      </rPr>
      <t xml:space="preserve"> mixed with Crude oil</t>
    </r>
  </si>
  <si>
    <r>
      <t>Damp Proof Course
in C.M. 1:4, 12 MM thick</t>
    </r>
    <r>
      <rPr>
        <sz val="18"/>
        <color indexed="8"/>
        <rFont val="Arial"/>
        <family val="2"/>
      </rPr>
      <t xml:space="preserve"> mixed with Crude oil</t>
    </r>
  </si>
  <si>
    <r>
      <t>Supply and fixing of</t>
    </r>
    <r>
      <rPr>
        <b/>
        <sz val="18"/>
        <rFont val="Arial"/>
        <family val="2"/>
      </rPr>
      <t xml:space="preserve"> Bituminous filler pad,</t>
    </r>
    <r>
      <rPr>
        <sz val="18"/>
        <rFont val="Arial"/>
        <family val="2"/>
      </rPr>
      <t xml:space="preserve"> 20 mm tk. for expansion joint</t>
    </r>
  </si>
  <si>
    <r>
      <t>Supply and fixing of</t>
    </r>
    <r>
      <rPr>
        <b/>
        <sz val="18"/>
        <color indexed="8"/>
        <rFont val="Arial"/>
        <family val="2"/>
      </rPr>
      <t xml:space="preserve"> Bituminous filler pad,</t>
    </r>
    <r>
      <rPr>
        <sz val="18"/>
        <color indexed="8"/>
        <rFont val="Arial"/>
        <family val="2"/>
      </rPr>
      <t xml:space="preserve"> 20 mm tk. for expansion joint</t>
    </r>
  </si>
  <si>
    <r>
      <t xml:space="preserve">Damp Proof Course </t>
    </r>
    <r>
      <rPr>
        <sz val="18"/>
        <rFont val="Arial"/>
        <family val="2"/>
      </rPr>
      <t>in C.M. 1:4, 12 MM thick mixed with Water proofing compound</t>
    </r>
  </si>
  <si>
    <r>
      <t xml:space="preserve">Damp Proof Course </t>
    </r>
    <r>
      <rPr>
        <sz val="18"/>
        <color indexed="8"/>
        <rFont val="Arial"/>
        <family val="2"/>
      </rPr>
      <t>in C.M. 1:4, 12 MM thick mixed with Water proofing compound</t>
    </r>
  </si>
  <si>
    <r>
      <t>a. In Ground floor</t>
    </r>
    <r>
      <rPr>
        <sz val="18"/>
        <color indexed="9"/>
        <rFont val="Arial"/>
        <family val="2"/>
      </rPr>
      <t xml:space="preserve"> R.C.C.1:2:4</t>
    </r>
  </si>
  <si>
    <r>
      <t>b. In First floor</t>
    </r>
    <r>
      <rPr>
        <sz val="18"/>
        <color indexed="9"/>
        <rFont val="Arial"/>
        <family val="2"/>
      </rPr>
      <t>R.C.C.1:2:4</t>
    </r>
  </si>
  <si>
    <r>
      <t xml:space="preserve">c. In Second floor </t>
    </r>
    <r>
      <rPr>
        <sz val="18"/>
        <color indexed="9"/>
        <rFont val="Arial"/>
        <family val="2"/>
      </rPr>
      <t>R.C.C.1:2:4</t>
    </r>
  </si>
  <si>
    <r>
      <t xml:space="preserve">d. In Third floor </t>
    </r>
    <r>
      <rPr>
        <sz val="18"/>
        <color indexed="9"/>
        <rFont val="Arial"/>
        <family val="2"/>
      </rPr>
      <t>R.C.C.1:2:4</t>
    </r>
  </si>
  <si>
    <r>
      <t xml:space="preserve">e.  In Fourth floor </t>
    </r>
    <r>
      <rPr>
        <sz val="18"/>
        <color indexed="9"/>
        <rFont val="Arial"/>
        <family val="2"/>
      </rPr>
      <t>R.C.C.1:2:4</t>
    </r>
  </si>
  <si>
    <r>
      <t xml:space="preserve">a. In Ground floor </t>
    </r>
    <r>
      <rPr>
        <sz val="18"/>
        <color indexed="9"/>
        <rFont val="Arial"/>
        <family val="2"/>
      </rPr>
      <t>R.C.C.1: 1 1/2 :3</t>
    </r>
  </si>
  <si>
    <r>
      <t xml:space="preserve">b. In First floor </t>
    </r>
    <r>
      <rPr>
        <sz val="18"/>
        <color indexed="9"/>
        <rFont val="Arial"/>
        <family val="2"/>
      </rPr>
      <t>R.C.C.1: 1 1/2 :3</t>
    </r>
  </si>
  <si>
    <r>
      <t xml:space="preserve">c. In Second floor </t>
    </r>
    <r>
      <rPr>
        <sz val="18"/>
        <color indexed="9"/>
        <rFont val="Arial"/>
        <family val="2"/>
      </rPr>
      <t>R.C.C.1: 1 1/2 :3</t>
    </r>
  </si>
  <si>
    <r>
      <t xml:space="preserve">d. In Third floor </t>
    </r>
    <r>
      <rPr>
        <sz val="18"/>
        <color indexed="9"/>
        <rFont val="Arial"/>
        <family val="2"/>
      </rPr>
      <t>R.C.C.1: 1 1/2 :3</t>
    </r>
  </si>
  <si>
    <r>
      <t xml:space="preserve">e.  In Fourth floor </t>
    </r>
    <r>
      <rPr>
        <sz val="18"/>
        <color indexed="9"/>
        <rFont val="Arial"/>
        <family val="2"/>
      </rPr>
      <t>R.C.C.1: 1 1/2 :3</t>
    </r>
  </si>
  <si>
    <r>
      <t xml:space="preserve">f.  In Fifth floor </t>
    </r>
    <r>
      <rPr>
        <sz val="18"/>
        <color indexed="9"/>
        <rFont val="Arial"/>
        <family val="2"/>
      </rPr>
      <t>R.C.C.1: 1 1/2 :3</t>
    </r>
  </si>
  <si>
    <r>
      <t xml:space="preserve">g.  In sixth floor </t>
    </r>
    <r>
      <rPr>
        <sz val="18"/>
        <color indexed="9"/>
        <rFont val="Arial"/>
        <family val="2"/>
      </rPr>
      <t>R.C.C.1: 1 1/2 :3</t>
    </r>
  </si>
  <si>
    <r>
      <t xml:space="preserve">h.  In seventh floor </t>
    </r>
    <r>
      <rPr>
        <sz val="18"/>
        <color indexed="9"/>
        <rFont val="Arial"/>
        <family val="2"/>
      </rPr>
      <t>R.C.C.1: 1 1/2 :3</t>
    </r>
  </si>
  <si>
    <r>
      <t xml:space="preserve">i.  In eighth floor </t>
    </r>
    <r>
      <rPr>
        <sz val="18"/>
        <color indexed="9"/>
        <rFont val="Arial"/>
        <family val="2"/>
      </rPr>
      <t>R.C.C.1: 1 1/2 :3</t>
    </r>
  </si>
  <si>
    <r>
      <t xml:space="preserve">j.  In Ninth floor </t>
    </r>
    <r>
      <rPr>
        <sz val="18"/>
        <color indexed="9"/>
        <rFont val="Arial"/>
        <family val="2"/>
      </rPr>
      <t>R.C.C.1: 1 1/2 :3</t>
    </r>
  </si>
  <si>
    <r>
      <t xml:space="preserve">k.  In Tenth floor </t>
    </r>
    <r>
      <rPr>
        <sz val="18"/>
        <color indexed="9"/>
        <rFont val="Arial"/>
        <family val="2"/>
      </rPr>
      <t>R.C.C.1: 1 1/2 :3</t>
    </r>
  </si>
  <si>
    <r>
      <t xml:space="preserve">l.  In Eleventh floor </t>
    </r>
    <r>
      <rPr>
        <sz val="18"/>
        <color indexed="9"/>
        <rFont val="Arial"/>
        <family val="2"/>
      </rPr>
      <t>R.C.C.1: 1 1/2 :3</t>
    </r>
  </si>
  <si>
    <r>
      <t xml:space="preserve">m.  In Twelth floor </t>
    </r>
    <r>
      <rPr>
        <sz val="18"/>
        <color indexed="9"/>
        <rFont val="Arial"/>
        <family val="2"/>
      </rPr>
      <t>R.C.C.1: 1 1/2 :3</t>
    </r>
  </si>
  <si>
    <r>
      <t xml:space="preserve">a. In Ground Floor </t>
    </r>
    <r>
      <rPr>
        <sz val="18"/>
        <color indexed="9"/>
        <rFont val="Arial"/>
        <family val="2"/>
      </rPr>
      <t>Brick work in C.M. 1:6  using Chamber Burnt brick of size 23 x 11.2 x 7 cm (9" x 4 3/8" x 2 3/4")</t>
    </r>
  </si>
  <si>
    <r>
      <t xml:space="preserve">b. In First floor </t>
    </r>
    <r>
      <rPr>
        <sz val="18"/>
        <color indexed="9"/>
        <rFont val="Arial"/>
        <family val="2"/>
      </rPr>
      <t>Brick work in C.M. 1:6  using Chamber Burnt brick of size 23 x 11.2 x 7 cm (9" x 4 3/8" x 2 3/4")</t>
    </r>
  </si>
  <si>
    <r>
      <t xml:space="preserve">c. In Second Floor </t>
    </r>
    <r>
      <rPr>
        <sz val="18"/>
        <color indexed="9"/>
        <rFont val="Arial"/>
        <family val="2"/>
      </rPr>
      <t>Brick work in C.M. 1:6  using Chamber Burnt brick of size 23 x 11.2 x 7 cm (9" x 4 3/8" x 2 3/4")</t>
    </r>
  </si>
  <si>
    <r>
      <t xml:space="preserve">d. In Third Floor </t>
    </r>
    <r>
      <rPr>
        <sz val="18"/>
        <color indexed="9"/>
        <rFont val="Arial"/>
        <family val="2"/>
      </rPr>
      <t>Brick work in C.M. 1:6  using Chamber Burnt brick of size 23 x 11.2 x 7 cm (9" x 4 3/8" x 2 3/4")</t>
    </r>
  </si>
  <si>
    <r>
      <t xml:space="preserve">e. In Fourth Floor </t>
    </r>
    <r>
      <rPr>
        <sz val="18"/>
        <color indexed="9"/>
        <rFont val="Arial"/>
        <family val="2"/>
      </rPr>
      <t>Brick work in C.M. 1:6  using Chamber Burnt brick of size 23 x 11.2 x 7 cm (9" x 4 3/8" x 2 3/4")</t>
    </r>
  </si>
  <si>
    <r>
      <t>Brick work in C.M. 1:6</t>
    </r>
    <r>
      <rPr>
        <sz val="18"/>
        <rFont val="Arial"/>
        <family val="2"/>
      </rPr>
      <t xml:space="preserve"> using chamber Burnt bricks of size 23 x 11.4 x 7.5 cm (9" x 4 1/2"x 3")</t>
    </r>
  </si>
  <si>
    <r>
      <t>Brick work in C.M. 1:6</t>
    </r>
    <r>
      <rPr>
        <sz val="18"/>
        <color indexed="8"/>
        <rFont val="Arial"/>
        <family val="2"/>
      </rPr>
      <t xml:space="preserve"> using chamber Burnt bricks of size 23 x 11.4 x 7.5 cm (9" x 4 1/2"x 3")</t>
    </r>
  </si>
  <si>
    <r>
      <t xml:space="preserve">a. In Ground Floor/Stilt floor </t>
    </r>
    <r>
      <rPr>
        <sz val="18"/>
        <color indexed="9"/>
        <rFont val="Arial"/>
        <family val="2"/>
      </rPr>
      <t>Brick work in C.M. 1:6 using chamber Burnt bricks of size 23 x 11.4 x 7.5 cm (9" x 4 1/2"x 3")</t>
    </r>
  </si>
  <si>
    <r>
      <t xml:space="preserve">b. In First Floor </t>
    </r>
    <r>
      <rPr>
        <sz val="18"/>
        <color indexed="9"/>
        <rFont val="Arial"/>
        <family val="2"/>
      </rPr>
      <t>Brick work in C.M. 1:6 using chamber Burnt bricks of size 23 x 11.4 x 7.5 cm (9" x 4 1/2"x 3")</t>
    </r>
  </si>
  <si>
    <r>
      <t xml:space="preserve">c. In Second Floor </t>
    </r>
    <r>
      <rPr>
        <sz val="18"/>
        <color indexed="9"/>
        <rFont val="Arial"/>
        <family val="2"/>
      </rPr>
      <t>Brick work in C.M. 1:6 using chamber Burnt bricks of size 23 x 11.4 x 7.5 cm (9" x 4 1/2"x 3")</t>
    </r>
  </si>
  <si>
    <r>
      <t xml:space="preserve">d. In Third Floor </t>
    </r>
    <r>
      <rPr>
        <sz val="18"/>
        <color indexed="9"/>
        <rFont val="Arial"/>
        <family val="2"/>
      </rPr>
      <t>Brick work in C.M. 1:6 using chamber Burnt bricks of size 23 x 11.4 x 7.5 cm (9" x 4 1/2"x 3")</t>
    </r>
  </si>
  <si>
    <r>
      <t xml:space="preserve">e. In Fourth Floor </t>
    </r>
    <r>
      <rPr>
        <sz val="18"/>
        <color indexed="9"/>
        <rFont val="Arial"/>
        <family val="2"/>
      </rPr>
      <t>Brick work in C.M. 1:6 using chamber Burnt bricks of size 23 x 11.4 x 7.5 cm (9" x 4 1/2"x 3")</t>
    </r>
  </si>
  <si>
    <r>
      <t xml:space="preserve">f.  In Fifth floor </t>
    </r>
    <r>
      <rPr>
        <sz val="18"/>
        <color indexed="9"/>
        <rFont val="Arial"/>
        <family val="2"/>
      </rPr>
      <t>Brick work in C.M. 1:6 using chamber Burnt bricks of size 23 x 11.4 x 7.5 cm (9" x 4 1/2"x 3")</t>
    </r>
  </si>
  <si>
    <r>
      <t xml:space="preserve">g.  In sixth floor </t>
    </r>
    <r>
      <rPr>
        <sz val="18"/>
        <color indexed="9"/>
        <rFont val="Arial"/>
        <family val="2"/>
      </rPr>
      <t>Brick work in C.M. 1:6 using chamber Burnt bricks of size 23 x 11.4 x 7.5 cm (9" x 4 1/2"x 3")</t>
    </r>
  </si>
  <si>
    <r>
      <t xml:space="preserve">h.  In seventh floor </t>
    </r>
    <r>
      <rPr>
        <sz val="18"/>
        <color indexed="9"/>
        <rFont val="Arial"/>
        <family val="2"/>
      </rPr>
      <t>Brick work in C.M. 1:6 using chamber Burnt bricks of size 23 x 11.4 x 7.5 cm (9" x 4 1/2"x 3")</t>
    </r>
  </si>
  <si>
    <r>
      <t xml:space="preserve">i.  In eighth floor </t>
    </r>
    <r>
      <rPr>
        <sz val="18"/>
        <color indexed="9"/>
        <rFont val="Arial"/>
        <family val="2"/>
      </rPr>
      <t>Brick work in C.M. 1:6 using chamber Burnt bricks of size 23 x 11.4 x 7.5 cm (9" x 4 1/2"x 3")</t>
    </r>
  </si>
  <si>
    <r>
      <t xml:space="preserve">j.  In Ninth floor </t>
    </r>
    <r>
      <rPr>
        <sz val="18"/>
        <color indexed="9"/>
        <rFont val="Arial"/>
        <family val="2"/>
      </rPr>
      <t>Brick work in C.M. 1:6 using chamber Burnt bricks of size 23 x 11.4 x 7.5 cm (9" x 4 1/2"x 3")</t>
    </r>
  </si>
  <si>
    <r>
      <t xml:space="preserve">k.  In Tenth floor </t>
    </r>
    <r>
      <rPr>
        <sz val="18"/>
        <color indexed="9"/>
        <rFont val="Arial"/>
        <family val="2"/>
      </rPr>
      <t>Brick work in C.M. 1:6 using chamber Burnt bricks of size 23 x 11.4 x 7.5 cm (9" x 4 1/2"x 3")</t>
    </r>
  </si>
  <si>
    <r>
      <t xml:space="preserve">l.  In Eleventh floor </t>
    </r>
    <r>
      <rPr>
        <sz val="18"/>
        <color indexed="9"/>
        <rFont val="Arial"/>
        <family val="2"/>
      </rPr>
      <t>Brick work in C.M. 1:6 using chamber Burnt bricks of size 23 x 11.4 x 7.5 cm (9" x 4 1/2"x 3")</t>
    </r>
  </si>
  <si>
    <r>
      <t xml:space="preserve">m.  In Twelth floor </t>
    </r>
    <r>
      <rPr>
        <sz val="18"/>
        <color indexed="9"/>
        <rFont val="Arial"/>
        <family val="2"/>
      </rPr>
      <t>Brick work in C.M. 1:6 using chamber Burnt bricks of size 23 x 11.4 x 7.5 cm (9" x 4 1/2"x 3")</t>
    </r>
  </si>
  <si>
    <r>
      <t xml:space="preserve">n. In thirteen floor </t>
    </r>
    <r>
      <rPr>
        <sz val="18"/>
        <color indexed="9"/>
        <rFont val="Arial"/>
        <family val="2"/>
      </rPr>
      <t>Brick work in C.M. 1:6 using chamber Burnt bricks of size 23 x 11.4 x 7.5 cm (9" x 4 1/2"x 3")</t>
    </r>
  </si>
  <si>
    <r>
      <t xml:space="preserve">a. In Ground Floor </t>
    </r>
    <r>
      <rPr>
        <sz val="18"/>
        <color indexed="9"/>
        <rFont val="Arial"/>
        <family val="2"/>
      </rPr>
      <t>Brick work in C.M. 1:6  using Chamber Burnt brick of size 23 x 11 x 7 cm (9" x 4 1/4" x 2 3/4")</t>
    </r>
  </si>
  <si>
    <r>
      <t xml:space="preserve">b. In First Floor </t>
    </r>
    <r>
      <rPr>
        <sz val="18"/>
        <color indexed="9"/>
        <rFont val="Arial"/>
        <family val="2"/>
      </rPr>
      <t>Brick work in C.M. 1:6  using Chamber Burnt brick of size 23 x 11 x 7 cm (9" x 4 1/4" x 2 3/4")</t>
    </r>
  </si>
  <si>
    <r>
      <t xml:space="preserve">c. In Second Floor </t>
    </r>
    <r>
      <rPr>
        <sz val="18"/>
        <color indexed="9"/>
        <rFont val="Arial"/>
        <family val="2"/>
      </rPr>
      <t>Brick work in C.M. 1:6  using Chamber Burnt brick of size 23 x 11 x 7 cm (9" x 4 1/4" x 2 3/4")</t>
    </r>
  </si>
  <si>
    <r>
      <t xml:space="preserve">d. In Third Floor </t>
    </r>
    <r>
      <rPr>
        <sz val="18"/>
        <color indexed="9"/>
        <rFont val="Arial"/>
        <family val="2"/>
      </rPr>
      <t>Brick work in C.M. 1:6  using Chamber Burnt brick of size 23 x 11 x 7 cm (9" x 4 1/4" x 2 3/4")</t>
    </r>
  </si>
  <si>
    <r>
      <t xml:space="preserve">e. In Fourth Floor </t>
    </r>
    <r>
      <rPr>
        <sz val="18"/>
        <color indexed="9"/>
        <rFont val="Arial"/>
        <family val="2"/>
      </rPr>
      <t>Brick work in C.M. 1:6  using Chamber Burnt brick of size 23 x 11 x 7 cm (9" x 4 1/4" x 2 3/4")</t>
    </r>
  </si>
  <si>
    <r>
      <t>Brick work in C.M. 1:6</t>
    </r>
    <r>
      <rPr>
        <b/>
        <sz val="18"/>
        <rFont val="Arial"/>
        <family val="2"/>
      </rPr>
      <t xml:space="preserve"> </t>
    </r>
    <r>
      <rPr>
        <sz val="18"/>
        <rFont val="Arial"/>
        <family val="2"/>
      </rPr>
      <t xml:space="preserve"> using Chamber Burnt brick of size 22 x 11 x 7 cm (8 3/4" x 4 1/4" x 2 3/4")</t>
    </r>
  </si>
  <si>
    <r>
      <t>Brick work in C.M. 1:6</t>
    </r>
    <r>
      <rPr>
        <b/>
        <sz val="18"/>
        <color indexed="8"/>
        <rFont val="Arial"/>
        <family val="2"/>
      </rPr>
      <t xml:space="preserve"> </t>
    </r>
    <r>
      <rPr>
        <sz val="18"/>
        <color indexed="8"/>
        <rFont val="Arial"/>
        <family val="2"/>
      </rPr>
      <t xml:space="preserve"> using Chamber Burnt brick of size 22 x 11 x 7 cm (8 3/4" x 4 1/4" x 2 3/4")</t>
    </r>
  </si>
  <si>
    <r>
      <t xml:space="preserve">a. In Ground Floor </t>
    </r>
    <r>
      <rPr>
        <sz val="18"/>
        <color indexed="9"/>
        <rFont val="Arial"/>
        <family val="2"/>
      </rPr>
      <t>Brick work in C.M. 1:6  using Chamber Burnt brick of size 22 x 11 x 7 cm (8 3/4" x 4 1/4" x 2 3/4")</t>
    </r>
  </si>
  <si>
    <r>
      <t xml:space="preserve">b. In First Floor </t>
    </r>
    <r>
      <rPr>
        <sz val="18"/>
        <color indexed="9"/>
        <rFont val="Arial"/>
        <family val="2"/>
      </rPr>
      <t>Brick work in C.M. 1:6  using Chamber Burnt brick of size 22 x 11 x 7 cm (8 3/4" x 4 1/4" x 2 3/4")</t>
    </r>
  </si>
  <si>
    <r>
      <t xml:space="preserve">c. In Second Floor </t>
    </r>
    <r>
      <rPr>
        <sz val="18"/>
        <color indexed="9"/>
        <rFont val="Arial"/>
        <family val="2"/>
      </rPr>
      <t>Brick work in C.M. 1:6  using Chamber Burnt brick of size 22 x 11 x 7 cm (8 3/4" x 4 1/4" x 2 3/4")</t>
    </r>
  </si>
  <si>
    <r>
      <t xml:space="preserve">d. In Third Floor </t>
    </r>
    <r>
      <rPr>
        <sz val="18"/>
        <color indexed="9"/>
        <rFont val="Arial"/>
        <family val="2"/>
      </rPr>
      <t>Brick work in C.M. 1:6  using Chamber Burnt brick of size 22 x 11 x 7 cm (8 3/4" x 4 1/4" x 2 3/4")</t>
    </r>
  </si>
  <si>
    <r>
      <t xml:space="preserve">e. In Fourth Floor </t>
    </r>
    <r>
      <rPr>
        <sz val="18"/>
        <color indexed="9"/>
        <rFont val="Arial"/>
        <family val="2"/>
      </rPr>
      <t>Brick work in C.M. 1:6  using Chamber Burnt brick of size 22 x 11 x 7 cm (8 3/4" x 4 1/4" x 2 3/4")</t>
    </r>
  </si>
  <si>
    <r>
      <t xml:space="preserve">a. In Ground Floor </t>
    </r>
    <r>
      <rPr>
        <sz val="18"/>
        <color indexed="9"/>
        <rFont val="Arial"/>
        <family val="2"/>
      </rPr>
      <t>Brick work in C.M. 1:6  using Kiln Burnt Country bricks of size 22 x 11 x 7 cm ( 8 3/4" x 4 1/4" x 2 3/4")</t>
    </r>
  </si>
  <si>
    <r>
      <t xml:space="preserve">b. In First Floor </t>
    </r>
    <r>
      <rPr>
        <sz val="18"/>
        <color indexed="9"/>
        <rFont val="Arial"/>
        <family val="2"/>
      </rPr>
      <t>Brick work in C.M. 1:6  using Kiln Burnt Country bricks of size 22 x 11 x 7 cm ( 8 3/4" x 4 1/4" x 2 3/4")</t>
    </r>
  </si>
  <si>
    <r>
      <t xml:space="preserve">c. In Second Floor </t>
    </r>
    <r>
      <rPr>
        <sz val="18"/>
        <color indexed="9"/>
        <rFont val="Arial"/>
        <family val="2"/>
      </rPr>
      <t>Brick work in C.M. 1:6  using Kiln Burnt Country bricks of size 22 x 11 x 7 cm ( 8 3/4" x 4 1/4" x 2 3/4")</t>
    </r>
  </si>
  <si>
    <r>
      <t xml:space="preserve">d. In Third Floor </t>
    </r>
    <r>
      <rPr>
        <sz val="18"/>
        <color indexed="9"/>
        <rFont val="Arial"/>
        <family val="2"/>
      </rPr>
      <t>Brick work in C.M. 1:6  using Kiln Burnt Country bricks of size 22 x 11 x 7 cm ( 8 3/4" x 4 1/4" x 2 3/4")</t>
    </r>
  </si>
  <si>
    <r>
      <t xml:space="preserve">e. In Fourth Floor </t>
    </r>
    <r>
      <rPr>
        <sz val="18"/>
        <color indexed="9"/>
        <rFont val="Arial"/>
        <family val="2"/>
      </rPr>
      <t>Brick work in C.M. 1:6  using Kiln Burnt Country bricks of size 22 x 11 x 7 cm ( 8 3/4" x 4 1/4" x 2 3/4")</t>
    </r>
  </si>
  <si>
    <r>
      <t>f. In Fifth Floor</t>
    </r>
    <r>
      <rPr>
        <sz val="17"/>
        <color indexed="9"/>
        <rFont val="Arial"/>
        <family val="2"/>
      </rPr>
      <t xml:space="preserve"> Brick work in C.M. 1:6  using Kiln Burnt Country bricks of size 22 x 11 x 7 cm ( 8 3/4" x 4 1/4" x 2 3/4")</t>
    </r>
  </si>
  <si>
    <r>
      <t>g. In Sixth Floor</t>
    </r>
    <r>
      <rPr>
        <sz val="17"/>
        <color indexed="9"/>
        <rFont val="Arial"/>
        <family val="2"/>
      </rPr>
      <t xml:space="preserve"> Brick work in C.M. 1:6  using Kiln Burnt Country bricks of size 22 x 11 x 7 cm ( 8 3/4" x 4 1/4" x 2 3/4")</t>
    </r>
  </si>
  <si>
    <r>
      <t>h. In Seventh Floor</t>
    </r>
    <r>
      <rPr>
        <sz val="17"/>
        <color indexed="9"/>
        <rFont val="Arial"/>
        <family val="2"/>
      </rPr>
      <t xml:space="preserve"> Brick work in C.M. 1:6  using Kiln Burnt Country bricks of size 22 x 11 x 7 cm ( 8 3/4" x 4 1/4" x 2 3/4")</t>
    </r>
  </si>
  <si>
    <r>
      <t xml:space="preserve">a. In Ground Floor </t>
    </r>
    <r>
      <rPr>
        <sz val="18"/>
        <color indexed="9"/>
        <rFont val="Arial"/>
        <family val="2"/>
      </rPr>
      <t>Brick work in C.M. 1:6  using Kiln Burnt Country bricks of size 22 x 11 x 5.7 cm (8 3/4" x 4 1/4" x 2 1/4")</t>
    </r>
  </si>
  <si>
    <r>
      <t xml:space="preserve">b. In First Floor </t>
    </r>
    <r>
      <rPr>
        <sz val="18"/>
        <color indexed="9"/>
        <rFont val="Arial"/>
        <family val="2"/>
      </rPr>
      <t>Brick work in C.M. 1:6  using Kiln Burnt Country bricks of size 22 x 11 x 5.7 cm (8 3/4" x 4 1/4" x 2 1/4")</t>
    </r>
  </si>
  <si>
    <r>
      <t xml:space="preserve">c. In Second Floor </t>
    </r>
    <r>
      <rPr>
        <sz val="18"/>
        <color indexed="9"/>
        <rFont val="Arial"/>
        <family val="2"/>
      </rPr>
      <t>Brick work in C.M. 1:6  using Kiln Burnt Country bricks of size 22 x 11 x 5.7 cm (8 3/4" x 4 1/4" x 2 1/4")</t>
    </r>
  </si>
  <si>
    <r>
      <t xml:space="preserve">d. In Third Floor </t>
    </r>
    <r>
      <rPr>
        <sz val="18"/>
        <color indexed="9"/>
        <rFont val="Arial"/>
        <family val="2"/>
      </rPr>
      <t>Brick work in C.M. 1:6  using Kiln Burnt Country bricks of size 22 x 11 x 5.7 cm (8 3/4" x 4 1/4" x 2 1/4")</t>
    </r>
  </si>
  <si>
    <r>
      <t xml:space="preserve">e. In Fourth Floor </t>
    </r>
    <r>
      <rPr>
        <sz val="18"/>
        <color indexed="9"/>
        <rFont val="Arial"/>
        <family val="2"/>
      </rPr>
      <t>Brick work in C.M. 1:6  using Kiln Burnt Country bricks of size 22 x 11 x 5.7 cm (8 3/4" x 4 1/4" x 2 1/4")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</si>
  <si>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</si>
  <si>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color indexed="8"/>
        <rFont val="Arial"/>
        <family val="2"/>
      </rPr>
      <t xml:space="preserve">
Chamber Burnt brick of size 23 x 11.2 x 7 cm (9" x 4 3/8" x 2 3/4")</t>
    </r>
    <r>
      <rPr>
        <b/>
        <sz val="18"/>
        <color indexed="8"/>
        <rFont val="Arial"/>
        <family val="2"/>
      </rPr>
      <t>112 mm tk (B.P.)</t>
    </r>
  </si>
  <si>
    <r>
      <t xml:space="preserve">a. In Foundation and basement </t>
    </r>
    <r>
      <rPr>
        <sz val="18"/>
        <color indexed="9"/>
        <rFont val="Arial"/>
        <family val="2"/>
      </rPr>
      <t>Brick partition work in C.M. 1:4 
Chamber Burnt brick of size 23 x 11.2 x 7 cm (9" x 4 3/8" x 2 3/4")112 mm tk (B.P.)</t>
    </r>
  </si>
  <si>
    <r>
      <t xml:space="preserve">b. In Ground Floor </t>
    </r>
    <r>
      <rPr>
        <sz val="18"/>
        <color indexed="9"/>
        <rFont val="Arial"/>
        <family val="2"/>
      </rPr>
      <t>Brick partition work in C.M. 1:4 
Chamber Burnt brick of size 23 x 11.2 x 7 cm (9" x 4 3/8" x 2 3/4")112 mm tk (B.P.)</t>
    </r>
  </si>
  <si>
    <r>
      <t xml:space="preserve">c. In First Floor </t>
    </r>
    <r>
      <rPr>
        <sz val="18"/>
        <color indexed="9"/>
        <rFont val="Arial"/>
        <family val="2"/>
      </rPr>
      <t>Brick partition work in C.M. 1:4 
Chamber Burnt brick of size 23 x 11.2 x 7 cm (9" x 4 3/8" x 2 3/4")112 mm tk (B.P.)</t>
    </r>
  </si>
  <si>
    <r>
      <t xml:space="preserve">d. In Second Floor </t>
    </r>
    <r>
      <rPr>
        <sz val="18"/>
        <color indexed="9"/>
        <rFont val="Arial"/>
        <family val="2"/>
      </rPr>
      <t>Brick partition work in C.M. 1:4 
Chamber Burnt brick of size 23 x 11.2 x 7 cm (9" x 4 3/8" x 2 3/4")112 mm tk (B.P.)</t>
    </r>
  </si>
  <si>
    <r>
      <t xml:space="preserve">e. In Third Floor </t>
    </r>
    <r>
      <rPr>
        <sz val="18"/>
        <color indexed="9"/>
        <rFont val="Arial"/>
        <family val="2"/>
      </rPr>
      <t>Brick partition work in C.M. 1:4 
Chamber Burnt brick of size 23 x 11.2 x 7 cm (9" x 4 3/8" x 2 3/4")112 mm tk (B.P.)</t>
    </r>
  </si>
  <si>
    <r>
      <t xml:space="preserve">f. In Fourth Floor </t>
    </r>
    <r>
      <rPr>
        <sz val="18"/>
        <color indexed="9"/>
        <rFont val="Arial"/>
        <family val="2"/>
      </rPr>
      <t>Brick partition work in C.M. 1:4 
Chamber Burnt brick of size 23 x 11.2 x 7 cm (9" x 4 3/8" x 2 3/4")112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</si>
  <si>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</si>
  <si>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color indexed="8"/>
        <rFont val="Arial"/>
        <family val="2"/>
      </rPr>
      <t xml:space="preserve">using chamber Burnt bricks of size 23 x 11.4 x 7.5 cm (9" x 4 1/2"x 3") </t>
    </r>
    <r>
      <rPr>
        <b/>
        <sz val="18"/>
        <color indexed="8"/>
        <rFont val="Arial"/>
        <family val="2"/>
      </rPr>
      <t>114 mm tk (B.P.)</t>
    </r>
  </si>
  <si>
    <r>
      <t>a. In Foundation and basement</t>
    </r>
    <r>
      <rPr>
        <sz val="18"/>
        <color indexed="9"/>
        <rFont val="Arial"/>
        <family val="2"/>
      </rPr>
      <t>Brick partition work in C.M. 1:4 using chamber Burnt bricks of size 23 x 11.4 x 7.5 cm (9" x 4 1/2"x 3") 114 mm tk (B.P.)</t>
    </r>
  </si>
  <si>
    <r>
      <t>b. In Ground Floor/stilt floor</t>
    </r>
    <r>
      <rPr>
        <sz val="18"/>
        <color indexed="9"/>
        <rFont val="Arial"/>
        <family val="2"/>
      </rPr>
      <t>Brick partition work in C.M. 1:4 using chamber Burnt bricks of size 23 x 11.4 x 7.5 cm (9" x 4 1/2"x 3") 114 mm tk (B.P.)</t>
    </r>
  </si>
  <si>
    <r>
      <t xml:space="preserve">c. In First Floor </t>
    </r>
    <r>
      <rPr>
        <sz val="18"/>
        <color indexed="9"/>
        <rFont val="Arial"/>
        <family val="2"/>
      </rPr>
      <t>Brick partition work in C.M. 1:4 using chamber Burnt bricks of size 23 x 11.4 x 7.5 cm (9" x 4 1/2"x 3") 114 mm tk (B.P.)</t>
    </r>
  </si>
  <si>
    <r>
      <t xml:space="preserve">d. In Second Floor </t>
    </r>
    <r>
      <rPr>
        <sz val="18"/>
        <color indexed="9"/>
        <rFont val="Arial"/>
        <family val="2"/>
      </rPr>
      <t>Brick partition work in C.M. 1:4 using chamber Burnt bricks of size 23 x 11.4 x 7.5 cm (9" x 4 1/2"x 3") 114 mm tk (B.P.)</t>
    </r>
  </si>
  <si>
    <r>
      <t>e. In Third Floor</t>
    </r>
    <r>
      <rPr>
        <sz val="18"/>
        <color indexed="9"/>
        <rFont val="Arial"/>
        <family val="2"/>
      </rPr>
      <t xml:space="preserve"> Brick partition work in C.M. 1:4 using chamber Burnt bricks of size 23 x 11.4 x 7.5 cm (9" x 4 1/2"x 3") 114 mm tk (B.P.)</t>
    </r>
  </si>
  <si>
    <r>
      <t>f. In Fourth Floor</t>
    </r>
    <r>
      <rPr>
        <sz val="18"/>
        <color indexed="9"/>
        <rFont val="Arial"/>
        <family val="2"/>
      </rPr>
      <t>Brick partition work in C.M. 1:4 using chamber Burnt bricks of size 23 x 11.4 x 7.5 cm (9" x 4 1/2"x 3") 114 mm tk (B.P.)</t>
    </r>
  </si>
  <si>
    <r>
      <t xml:space="preserve">f.  In Fifth floor </t>
    </r>
    <r>
      <rPr>
        <sz val="18"/>
        <color indexed="9"/>
        <rFont val="Arial"/>
        <family val="2"/>
      </rPr>
      <t>Brick partition work in C.M. 1:4 using chamber Burnt bricks of size 23 x 11.4 x 7.5 cm (9" x 4 1/2"x 3") 114 mm tk (B.P.)</t>
    </r>
  </si>
  <si>
    <r>
      <t xml:space="preserve">g.  In sixth floor </t>
    </r>
    <r>
      <rPr>
        <sz val="18"/>
        <color indexed="9"/>
        <rFont val="Arial"/>
        <family val="2"/>
      </rPr>
      <t>Brick partition work in C.M. 1:4 using chamber Burnt bricks of size 23 x 11.4 x 7.5 cm (9" x 4 1/2"x 3") 114 mm tk (B.P.)</t>
    </r>
  </si>
  <si>
    <r>
      <t xml:space="preserve">h.  In seventh floor </t>
    </r>
    <r>
      <rPr>
        <sz val="18"/>
        <color indexed="9"/>
        <rFont val="Arial"/>
        <family val="2"/>
      </rPr>
      <t>Brick partition work in C.M. 1:4 using chamber Burnt bricks of size 23 x 11.4 x 7.5 cm (9" x 4 1/2"x 3") 114 mm tk (B.P.)</t>
    </r>
  </si>
  <si>
    <r>
      <t xml:space="preserve">i.  In eighth floor </t>
    </r>
    <r>
      <rPr>
        <sz val="18"/>
        <color indexed="9"/>
        <rFont val="Arial"/>
        <family val="2"/>
      </rPr>
      <t>Brick partition work in C.M. 1:4 using chamber Burnt bricks of size 23 x 11.4 x 7.5 cm (9" x 4 1/2"x 3") 114 mm tk (B.P.)</t>
    </r>
  </si>
  <si>
    <r>
      <t xml:space="preserve">j.  In Ninth floor </t>
    </r>
    <r>
      <rPr>
        <sz val="18"/>
        <color indexed="9"/>
        <rFont val="Arial"/>
        <family val="2"/>
      </rPr>
      <t>Brick partition work in C.M. 1:4 using chamber Burnt bricks of size 23 x 11.4 x 7.5 cm (9" x 4 1/2"x 3") 114 mm tk (B.P.)</t>
    </r>
  </si>
  <si>
    <r>
      <t xml:space="preserve">k.  In Tenth floor </t>
    </r>
    <r>
      <rPr>
        <sz val="18"/>
        <color indexed="9"/>
        <rFont val="Arial"/>
        <family val="2"/>
      </rPr>
      <t>Brick partition work in C.M. 1:4 using chamber Burnt bricks of size 23 x 11.4 x 7.5 cm (9" x 4 1/2"x 3") 114 mm tk (B.P.)</t>
    </r>
  </si>
  <si>
    <r>
      <t xml:space="preserve">l.  In Eleventh floor </t>
    </r>
    <r>
      <rPr>
        <sz val="18"/>
        <color indexed="9"/>
        <rFont val="Arial"/>
        <family val="2"/>
      </rPr>
      <t>Brick partition work in C.M. 1:4 using chamber Burnt bricks of size 23 x 11.4 x 7.5 cm (9" x 4 1/2"x 3") 114 mm tk (B.P.)</t>
    </r>
  </si>
  <si>
    <r>
      <t xml:space="preserve">m.  In Twelth floor </t>
    </r>
    <r>
      <rPr>
        <sz val="18"/>
        <color indexed="9"/>
        <rFont val="Arial"/>
        <family val="2"/>
      </rPr>
      <t>Brick partition work in C.M. 1:4 using chamber Burnt bricks of size 23 x 11.4 x 7.5 cm (9" x 4 1/2"x 3") 114 mm tk (B.P.)</t>
    </r>
  </si>
  <si>
    <r>
      <t xml:space="preserve">n. In thirteen floor </t>
    </r>
    <r>
      <rPr>
        <sz val="18"/>
        <color indexed="9"/>
        <rFont val="Arial"/>
        <family val="2"/>
      </rPr>
      <t>Brick partition work in C.M. 1:4 using chamber Burnt bricks of size 23 x 11.4 x 7.5 cm (9" x 4 1/2"x 3") 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</si>
  <si>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</si>
  <si>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color indexed="8"/>
        <rFont val="Arial"/>
        <family val="2"/>
      </rPr>
      <t xml:space="preserve">Chamber Burnt 
brick of size 23 x 11 x 7 cm (9" x 4 1/4" x 2 3/4") </t>
    </r>
    <r>
      <rPr>
        <b/>
        <sz val="18"/>
        <color indexed="8"/>
        <rFont val="Arial"/>
        <family val="2"/>
      </rPr>
      <t>110 mm tk (B.P.)</t>
    </r>
  </si>
  <si>
    <r>
      <t xml:space="preserve">a. In Foundation and basement </t>
    </r>
    <r>
      <rPr>
        <sz val="18"/>
        <color indexed="9"/>
        <rFont val="Arial"/>
        <family val="2"/>
      </rPr>
      <t>Brick partition work in C.M. 1:4 Chamber Burnt 
brick of size 23 x 11 x 7 cm (9" x 4 1/4" x 2 3/4") 110 mm tk (B.P.)</t>
    </r>
  </si>
  <si>
    <r>
      <t xml:space="preserve">b. In Ground Floor </t>
    </r>
    <r>
      <rPr>
        <sz val="18"/>
        <color indexed="9"/>
        <rFont val="Arial"/>
        <family val="2"/>
      </rPr>
      <t>Brick partition work in C.M. 1:4 Chamber Burnt 
brick of size 23 x 11 x 7 cm (9" x 4 1/4" x 2 3/4") 110 mm tk (B.P.)</t>
    </r>
  </si>
  <si>
    <r>
      <t xml:space="preserve">c. In First Floor  </t>
    </r>
    <r>
      <rPr>
        <sz val="18"/>
        <color indexed="9"/>
        <rFont val="Arial"/>
        <family val="2"/>
      </rPr>
      <t>Brick partition work in C.M. 1:4 Chamber Burnt 
brick of size 23 x 11 x 7 cm (9" x 4 1/4" x 2 3/4") 110 mm tk (B.P.)</t>
    </r>
  </si>
  <si>
    <r>
      <t xml:space="preserve">d. In Second Floor </t>
    </r>
    <r>
      <rPr>
        <sz val="18"/>
        <color indexed="9"/>
        <rFont val="Arial"/>
        <family val="2"/>
      </rPr>
      <t>Brick partition work in C.M. 1:4 Chamber Burnt 
brick of size 23 x 11 x 7 cm (9" x 4 1/4" x 2 3/4") 110 mm tk (B.P.)</t>
    </r>
  </si>
  <si>
    <r>
      <t>e. In Third Floor</t>
    </r>
    <r>
      <rPr>
        <sz val="18"/>
        <color indexed="9"/>
        <rFont val="Arial"/>
        <family val="2"/>
      </rPr>
      <t>Brick partition work in C.M. 1:4 Chamber Burnt 
brick of size 23 x 11 x 7 cm (9" x 4 1/4" x 2 3/4") 110 mm tk (B.P.)</t>
    </r>
  </si>
  <si>
    <r>
      <t xml:space="preserve">f. In Fourth Floor </t>
    </r>
    <r>
      <rPr>
        <sz val="18"/>
        <color indexed="9"/>
        <rFont val="Arial"/>
        <family val="2"/>
      </rPr>
      <t>Brick partition work in C.M. 1:4 Chamber Burnt 
brick of size 23 x 11 x 7 cm (9" x 4 1/4" x 2 3/4") 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</si>
  <si>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</si>
  <si>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color indexed="8"/>
        <rFont val="Arial"/>
        <family val="2"/>
      </rPr>
      <t xml:space="preserve">
Chamber Burnt brick of size 22 x 11 x 7 cm (8 3/4" x 4 1/4" x 2 3/4") </t>
    </r>
    <r>
      <rPr>
        <b/>
        <sz val="18"/>
        <color indexed="8"/>
        <rFont val="Arial"/>
        <family val="2"/>
      </rPr>
      <t>110 mm tk (B.P.)</t>
    </r>
  </si>
  <si>
    <r>
      <t xml:space="preserve">a. In Foundation and basement </t>
    </r>
    <r>
      <rPr>
        <sz val="18"/>
        <color indexed="9"/>
        <rFont val="Arial"/>
        <family val="2"/>
      </rPr>
      <t>Brick partition work in C.M. 1:4 
Chamber Burnt brick of size 22 x 11 x 7 cm (8 3/4" x 4 1/4" x 2 3/4") 110 mm tk (B.P.)</t>
    </r>
  </si>
  <si>
    <r>
      <t>b. In Ground Floor</t>
    </r>
    <r>
      <rPr>
        <sz val="18"/>
        <color indexed="9"/>
        <rFont val="Arial"/>
        <family val="2"/>
      </rPr>
      <t>Brick partition work in C.M. 1:4 
Chamber Burnt brick of size 22 x 11 x 7 cm (8 3/4" x 4 1/4" x 2 3/4") 110 mm tk (B.P.)</t>
    </r>
  </si>
  <si>
    <r>
      <t xml:space="preserve">c. In First Floor </t>
    </r>
    <r>
      <rPr>
        <sz val="18"/>
        <color indexed="9"/>
        <rFont val="Arial"/>
        <family val="2"/>
      </rPr>
      <t>Brick partition work in C.M. 1:4 
Chamber Burnt brick of size 22 x 11 x 7 cm (8 3/4" x 4 1/4" x 2 3/4") 110 mm tk (B.P.)</t>
    </r>
  </si>
  <si>
    <r>
      <t>d. In Second Floor</t>
    </r>
    <r>
      <rPr>
        <sz val="18"/>
        <color indexed="9"/>
        <rFont val="Arial"/>
        <family val="2"/>
      </rPr>
      <t>Brick partition work in C.M. 1:4 
Chamber Burnt brick of size 22 x 11 x 7 cm (8 3/4" x 4 1/4" x 2 3/4") 110 mm tk (B.P.)</t>
    </r>
  </si>
  <si>
    <r>
      <t xml:space="preserve">e. In Third Floor </t>
    </r>
    <r>
      <rPr>
        <sz val="18"/>
        <color indexed="9"/>
        <rFont val="Arial"/>
        <family val="2"/>
      </rPr>
      <t>Brick partition work in C.M. 1:4 
Chamber Burnt brick of size 22 x 11 x 7 cm (8 3/4" x 4 1/4" x 2 3/4") 110 mm tk (B.P.)</t>
    </r>
  </si>
  <si>
    <r>
      <t>f. In Fourth Floor</t>
    </r>
    <r>
      <rPr>
        <sz val="18"/>
        <color indexed="9"/>
        <rFont val="Arial"/>
        <family val="2"/>
      </rPr>
      <t>Brick partition work in C.M. 1:4 
Chamber Burnt brick of size 22 x 11 x 7 cm (8 3/4" x 4 1/4" x 2 3/4") 110 mm tk (B.P.)</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</si>
  <si>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</si>
  <si>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Brick partition work in C.M. 1:4 </t>
    </r>
    <r>
      <rPr>
        <sz val="17"/>
        <color indexed="8"/>
        <rFont val="Arial"/>
        <family val="2"/>
      </rPr>
      <t xml:space="preserve">Kiln Burnt Country bricks of size 22 x 11 x 7 cm (8 3/4" x 4 1/4" x 2 3/4") </t>
    </r>
    <r>
      <rPr>
        <b/>
        <sz val="17"/>
        <color indexed="8"/>
        <rFont val="Arial"/>
        <family val="2"/>
      </rPr>
      <t>110 mm tk (B.P.)</t>
    </r>
  </si>
  <si>
    <r>
      <t>a. In Foundation and basement</t>
    </r>
    <r>
      <rPr>
        <sz val="18"/>
        <color indexed="9"/>
        <rFont val="Arial"/>
        <family val="2"/>
      </rPr>
      <t>Brick partition work in C.M. 1:4 Kiln Burnt Country bricks of size 22 x 11 x 7 cm (8 3/4" x 4 1/4" x 2 3/4") 110 mm tk (B.P.)</t>
    </r>
  </si>
  <si>
    <r>
      <t>b. In Ground Floor</t>
    </r>
    <r>
      <rPr>
        <sz val="17"/>
        <color indexed="9"/>
        <rFont val="Arial"/>
        <family val="2"/>
      </rPr>
      <t>Brick partition work in C.M. 1:4 Kiln Burnt Country bricks of size 22 x 11 x 7 cm (8 3/4" x 4 1/4" x 2 3/4") 110 mm tk (B.P.)</t>
    </r>
  </si>
  <si>
    <r>
      <t xml:space="preserve">c. In First Floor </t>
    </r>
    <r>
      <rPr>
        <sz val="18"/>
        <color indexed="9"/>
        <rFont val="Arial"/>
        <family val="2"/>
      </rPr>
      <t>Brick partition work in C.M. 1:4 Kiln Burnt Country bricks of size 22 x 11 x 7 cm (8 3/4" x 4 1/4" x 2 3/4") 110 mm tk (B.P.)</t>
    </r>
  </si>
  <si>
    <r>
      <t>d. In Second Floor</t>
    </r>
    <r>
      <rPr>
        <sz val="18"/>
        <color indexed="9"/>
        <rFont val="Arial"/>
        <family val="2"/>
      </rPr>
      <t>Brick partition work in C.M. 1:4 Kiln Burnt Country bricks of size 22 x 11 x 7 cm (8 3/4" x 4 1/4" x 2 3/4") 110 mm tk (B.P.)</t>
    </r>
  </si>
  <si>
    <r>
      <t>e. In Third Floor</t>
    </r>
    <r>
      <rPr>
        <sz val="18"/>
        <color indexed="9"/>
        <rFont val="Arial"/>
        <family val="2"/>
      </rPr>
      <t>Brick partition work in C.M. 1:4 Kiln Burnt Country bricks of size 22 x 11 x 7 cm (8 3/4" x 4 1/4" x 2 3/4") 110 mm tk (B.P.)</t>
    </r>
  </si>
  <si>
    <r>
      <t>f. In Fourth Floor</t>
    </r>
    <r>
      <rPr>
        <sz val="18"/>
        <color indexed="9"/>
        <rFont val="Arial"/>
        <family val="2"/>
      </rPr>
      <t>Brick partition work in C.M. 1:4 Kiln Burnt Country bricks of size 22 x 11 x 7 cm (8 3/4" x 4 1/4" x 2 3/4") 110 mm tk (B.P.)</t>
    </r>
  </si>
  <si>
    <r>
      <t>g.  In Fifth floor</t>
    </r>
    <r>
      <rPr>
        <sz val="17"/>
        <color indexed="9"/>
        <rFont val="Arial"/>
        <family val="2"/>
      </rPr>
      <t>Brick partition work in C.M. 1:4 Kiln Burnt Country bricks of size 22 x 11 x 7 cm (8 3/4" x 4 1/4" x 2 3/4") 110 mm tk (B.P.)</t>
    </r>
  </si>
  <si>
    <r>
      <t xml:space="preserve">h.  In sixth floor </t>
    </r>
    <r>
      <rPr>
        <sz val="17"/>
        <color indexed="9"/>
        <rFont val="Arial"/>
        <family val="2"/>
      </rPr>
      <t>Brick partition work in C.M. 1:4 Kiln Burnt Country bricks of size 22 x 11 x 7 cm (8 3/4" x 4 1/4" x 2 3/4") 110 mm tk (B.P.)</t>
    </r>
  </si>
  <si>
    <r>
      <t xml:space="preserve">i.  In seventh floor </t>
    </r>
    <r>
      <rPr>
        <sz val="18"/>
        <color indexed="9"/>
        <rFont val="Arial"/>
        <family val="2"/>
      </rPr>
      <t>Brick partition work in C.M. 1:4 Kiln Burnt Country bricks of size 22 x 11 x 7 cm (8 3/4" x 4 1/4" x 2 3/4") 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</si>
  <si>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</si>
  <si>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partition work in C.M. 1:4 </t>
    </r>
    <r>
      <rPr>
        <sz val="18"/>
        <color indexed="8"/>
        <rFont val="Arial"/>
        <family val="2"/>
      </rPr>
      <t xml:space="preserve">Kiln Burnt Country bricks of size 22 x 11 x 5.7 cm (8 3/4" x 4 1/4" x 2 1/4") </t>
    </r>
    <r>
      <rPr>
        <b/>
        <sz val="18"/>
        <color indexed="8"/>
        <rFont val="Arial"/>
        <family val="2"/>
      </rPr>
      <t>110 mm tk (B.P.)</t>
    </r>
  </si>
  <si>
    <r>
      <t xml:space="preserve">a. In Foundation and basement  </t>
    </r>
    <r>
      <rPr>
        <sz val="18"/>
        <color indexed="9"/>
        <rFont val="Arial"/>
        <family val="2"/>
      </rPr>
      <t>Brick partition work in C.M. 1:4 Kiln Burnt Country bricks of size 22 x 11 x 5.7 cm (8 3/4" x 4 1/4" x 2 1/4") 110 mm tk (B.P.)</t>
    </r>
  </si>
  <si>
    <r>
      <t xml:space="preserve">b. In Ground Floor </t>
    </r>
    <r>
      <rPr>
        <sz val="18"/>
        <color indexed="9"/>
        <rFont val="Arial"/>
        <family val="2"/>
      </rPr>
      <t>Brick partition work in C.M. 1:4 Kiln Burnt Country bricks of size 22 x 11 x 5.7 cm (8 3/4" x 4 1/4" x 2 1/4") 110 mm tk (B.P.)</t>
    </r>
  </si>
  <si>
    <r>
      <t xml:space="preserve">c. In First Floor </t>
    </r>
    <r>
      <rPr>
        <sz val="18"/>
        <color indexed="9"/>
        <rFont val="Arial"/>
        <family val="2"/>
      </rPr>
      <t>Brick partition work in C.M. 1:4 Kiln Burnt Country bricks of size 22 x 11 x 5.7 cm (8 3/4" x 4 1/4" x 2 1/4") 110 mm tk (B.P.)</t>
    </r>
  </si>
  <si>
    <r>
      <t xml:space="preserve">d. In Second Floor </t>
    </r>
    <r>
      <rPr>
        <sz val="18"/>
        <color indexed="9"/>
        <rFont val="Arial"/>
        <family val="2"/>
      </rPr>
      <t>Brick partition work in C.M. 1:4 Kiln Burnt Country bricks of size 22 x 11 x 5.7 cm (8 3/4" x 4 1/4" x 2 1/4") 110 mm tk (B.P.)</t>
    </r>
  </si>
  <si>
    <r>
      <t xml:space="preserve">e. In Third Floor </t>
    </r>
    <r>
      <rPr>
        <sz val="18"/>
        <color indexed="9"/>
        <rFont val="Arial"/>
        <family val="2"/>
      </rPr>
      <t>Brick partition work in C.M. 1:4 Kiln Burnt Country bricks of size 22 x 11 x 5.7 cm (8 3/4" x 4 1/4" x 2 1/4") 110 mm tk (B.P.)</t>
    </r>
  </si>
  <si>
    <r>
      <t xml:space="preserve">f. In Fourth Floor </t>
    </r>
    <r>
      <rPr>
        <sz val="18"/>
        <color indexed="9"/>
        <rFont val="Arial"/>
        <family val="2"/>
      </rPr>
      <t>Brick partition work in C.M. 1:4 Kiln Burnt Country bricks of size 22 x 11 x 5.7 cm (8 3/4" x 4 1/4" x 2 1/4") 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</si>
  <si>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</si>
  <si>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color indexed="8"/>
        <rFont val="Arial"/>
        <family val="2"/>
      </rPr>
      <t>Chamber Burnt brick of size 23 x 11.2 x 7 cm (9" x 4 3/8" x 2 3/4")</t>
    </r>
    <r>
      <rPr>
        <b/>
        <sz val="18"/>
        <color indexed="8"/>
        <rFont val="Arial"/>
        <family val="2"/>
      </rPr>
      <t>70 mm tk (B.P.)</t>
    </r>
  </si>
  <si>
    <r>
      <t xml:space="preserve">a. In Ground Floor </t>
    </r>
    <r>
      <rPr>
        <sz val="18"/>
        <color indexed="9"/>
        <rFont val="Arial"/>
        <family val="2"/>
      </rPr>
      <t>Brick work in C.M. 1:4 Chamber Burnt brick of size 23 x 11.2 x 7 cm (9" x 4 3/8" x 2 3/4")70 mm tk (B.P.)</t>
    </r>
  </si>
  <si>
    <r>
      <t>b. In First Floor</t>
    </r>
    <r>
      <rPr>
        <sz val="18"/>
        <color indexed="9"/>
        <rFont val="Arial"/>
        <family val="2"/>
      </rPr>
      <t>Brick work in C.M. 1:4 Chamber Burnt brick of size 23 x 11.2 x 7 cm (9" x 4 3/8" x 2 3/4")70 mm tk (B.P.)</t>
    </r>
  </si>
  <si>
    <r>
      <t xml:space="preserve">c. In Second Floor </t>
    </r>
    <r>
      <rPr>
        <sz val="18"/>
        <color indexed="9"/>
        <rFont val="Arial"/>
        <family val="2"/>
      </rPr>
      <t>Brick work in C.M. 1:4 Chamber Burnt brick of size 23 x 11.2 x 7 cm (9" x 4 3/8" x 2 3/4")70 mm tk (B.P.)</t>
    </r>
  </si>
  <si>
    <r>
      <t xml:space="preserve">d. In Third Floor </t>
    </r>
    <r>
      <rPr>
        <sz val="18"/>
        <color indexed="9"/>
        <rFont val="Arial"/>
        <family val="2"/>
      </rPr>
      <t>Brick work in C.M. 1:4 Chamber Burnt brick of size 23 x 11.2 x 7 cm (9" x 4 3/8" x 2 3/4")70 mm tk (B.P.)</t>
    </r>
  </si>
  <si>
    <r>
      <t>e. In Fourth Floor</t>
    </r>
    <r>
      <rPr>
        <sz val="18"/>
        <color indexed="9"/>
        <rFont val="Arial"/>
        <family val="2"/>
      </rPr>
      <t>Brick work in C.M. 1:4 Chamber Burnt brick of size 23 x 11.2 x 7 cm (9" x 4 3/8" x 2 3/4")70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</si>
  <si>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</si>
  <si>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color indexed="8"/>
        <rFont val="Arial"/>
        <family val="2"/>
      </rPr>
      <t xml:space="preserve">using chamber Burnt bricks of size 23 x 11.4 x 7.5 cm (9" x 4 1/2"x 3") </t>
    </r>
    <r>
      <rPr>
        <b/>
        <sz val="18"/>
        <color indexed="8"/>
        <rFont val="Arial"/>
        <family val="2"/>
      </rPr>
      <t>75 mm tk (B.P.)</t>
    </r>
  </si>
  <si>
    <r>
      <t xml:space="preserve">a. In Ground Floor </t>
    </r>
    <r>
      <rPr>
        <sz val="18"/>
        <color indexed="9"/>
        <rFont val="Arial"/>
        <family val="2"/>
      </rPr>
      <t>Brick work in C.M. 1:4 using chamber Burnt bricks of size 23 x 11.4 x 7.5 cm (9" x 4 1/2"x 3") 75 mm tk (B.P.)</t>
    </r>
  </si>
  <si>
    <r>
      <t xml:space="preserve">b. In First Floor </t>
    </r>
    <r>
      <rPr>
        <sz val="18"/>
        <color indexed="9"/>
        <rFont val="Arial"/>
        <family val="2"/>
      </rPr>
      <t>Brick work in C.M. 1:4 using chamber Burnt bricks of size 23 x 11.4 x 7.5 cm (9" x 4 1/2"x 3") 75 mm tk (B.P.)</t>
    </r>
  </si>
  <si>
    <r>
      <t xml:space="preserve">c. In Second Floor </t>
    </r>
    <r>
      <rPr>
        <sz val="18"/>
        <color indexed="9"/>
        <rFont val="Arial"/>
        <family val="2"/>
      </rPr>
      <t>Brick work in C.M. 1:4 using chamber Burnt bricks of size 23 x 11.4 x 7.5 cm (9" x 4 1/2"x 3") 75 mm tk (B.P.)</t>
    </r>
  </si>
  <si>
    <r>
      <t xml:space="preserve">d. In Third Floor </t>
    </r>
    <r>
      <rPr>
        <sz val="18"/>
        <color indexed="9"/>
        <rFont val="Arial"/>
        <family val="2"/>
      </rPr>
      <t>Brick work in C.M. 1:4 using chamber Burnt bricks of size 23 x 11.4 x 7.5 cm (9" x 4 1/2"x 3") 75 mm tk (B.P.)</t>
    </r>
  </si>
  <si>
    <r>
      <t xml:space="preserve">e. In Fourth Floor </t>
    </r>
    <r>
      <rPr>
        <sz val="18"/>
        <color indexed="9"/>
        <rFont val="Arial"/>
        <family val="2"/>
      </rPr>
      <t>Brick work in C.M. 1:4 using chamber Burnt bricks of size 23 x 11.4 x 7.5 cm (9" x 4 1/2"x 3") 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</si>
  <si>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</si>
  <si>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color indexed="8"/>
        <rFont val="Arial"/>
        <family val="2"/>
      </rPr>
      <t xml:space="preserve">Chamber Burnt brick: 
of size 23 x 11 x 7 cm (9" x 4 1/4" x 2 3/4") </t>
    </r>
    <r>
      <rPr>
        <b/>
        <sz val="18"/>
        <color indexed="8"/>
        <rFont val="Arial"/>
        <family val="2"/>
      </rPr>
      <t>70 mm tk (B.P.)</t>
    </r>
  </si>
  <si>
    <r>
      <t xml:space="preserve">a. In Ground Floor </t>
    </r>
    <r>
      <rPr>
        <sz val="18"/>
        <color indexed="9"/>
        <rFont val="Arial"/>
        <family val="2"/>
      </rPr>
      <t>Brick work in C.M. 1:4 Chamber Burnt brick: 
of size 23 x 11 x 7 cm (9" x 4 1/4" x 2 3/4") 70 mm tk (B.P.)</t>
    </r>
  </si>
  <si>
    <r>
      <t xml:space="preserve">b. In First Floor </t>
    </r>
    <r>
      <rPr>
        <sz val="18"/>
        <color indexed="9"/>
        <rFont val="Arial"/>
        <family val="2"/>
      </rPr>
      <t>Brick work in C.M. 1:4 Chamber Burnt brick: 
of size 23 x 11 x 7 cm (9" x 4 1/4" x 2 3/4") 70 mm tk (B.P.)</t>
    </r>
  </si>
  <si>
    <r>
      <t xml:space="preserve">c. In Second Floor </t>
    </r>
    <r>
      <rPr>
        <sz val="18"/>
        <color indexed="9"/>
        <rFont val="Arial"/>
        <family val="2"/>
      </rPr>
      <t>Brick work in C.M. 1:4 Chamber Burnt brick: 
of size 23 x 11 x 7 cm (9" x 4 1/4" x 2 3/4") 70 mm tk (B.P.)</t>
    </r>
  </si>
  <si>
    <r>
      <t xml:space="preserve">d. In Third Floor </t>
    </r>
    <r>
      <rPr>
        <sz val="18"/>
        <color indexed="9"/>
        <rFont val="Arial"/>
        <family val="2"/>
      </rPr>
      <t>Brick work in C.M. 1:4 Chamber Burnt brick: 
of size 23 x 11 x 7 cm (9" x 4 1/4" x 2 3/4") 70 mm tk (B.P.)</t>
    </r>
  </si>
  <si>
    <r>
      <t xml:space="preserve">e. In Fourth Floor </t>
    </r>
    <r>
      <rPr>
        <sz val="18"/>
        <color indexed="9"/>
        <rFont val="Arial"/>
        <family val="2"/>
      </rPr>
      <t>Brick work in C.M. 1:4 Chamber Burnt brick: 
of size 23 x 11 x 7 cm (9" x 4 1/4" x 2 3/4") 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</si>
  <si>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</si>
  <si>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color indexed="8"/>
        <rFont val="Arial"/>
        <family val="2"/>
      </rPr>
      <t xml:space="preserve">Chamber Burnt brick of size 22 x 11 x 7 cm (8 3/4" x 4 1/4" x 2 3/4") </t>
    </r>
    <r>
      <rPr>
        <b/>
        <sz val="18"/>
        <color indexed="8"/>
        <rFont val="Arial"/>
        <family val="2"/>
      </rPr>
      <t>70 mm tk (B.P.)</t>
    </r>
  </si>
  <si>
    <r>
      <t xml:space="preserve">a. In Ground Floor </t>
    </r>
    <r>
      <rPr>
        <sz val="18"/>
        <color indexed="9"/>
        <rFont val="Arial"/>
        <family val="2"/>
      </rPr>
      <t>Brick work in C.M. 1:4 Chamber Burnt brick of size 22 x 11 x 7 cm (8 3/4" x 4 1/4" x 2 3/4") 70 mm tk (B.P.)</t>
    </r>
  </si>
  <si>
    <r>
      <t xml:space="preserve">b. In First Floor </t>
    </r>
    <r>
      <rPr>
        <sz val="18"/>
        <color indexed="9"/>
        <rFont val="Arial"/>
        <family val="2"/>
      </rPr>
      <t>Brick work in C.M. 1:4 Chamber Burnt brick of size 22 x 11 x 7 cm (8 3/4" x 4 1/4" x 2 3/4") 70 mm tk (B.P.)</t>
    </r>
  </si>
  <si>
    <r>
      <t xml:space="preserve">c. In Second Floor </t>
    </r>
    <r>
      <rPr>
        <sz val="18"/>
        <color indexed="9"/>
        <rFont val="Arial"/>
        <family val="2"/>
      </rPr>
      <t>Brick work in C.M. 1:4 Chamber Burnt brick of size 22 x 11 x 7 cm (8 3/4" x 4 1/4" x 2 3/4") 70 mm tk (B.P.)</t>
    </r>
  </si>
  <si>
    <r>
      <t>d. In Third Floor</t>
    </r>
    <r>
      <rPr>
        <sz val="18"/>
        <color indexed="9"/>
        <rFont val="Arial"/>
        <family val="2"/>
      </rPr>
      <t>Brick work in C.M. 1:4 Chamber Burnt brick of size 22 x 11 x 7 cm (8 3/4" x 4 1/4" x 2 3/4") 70 mm tk (B.P.)</t>
    </r>
  </si>
  <si>
    <r>
      <t xml:space="preserve">e. In Fourth Floor </t>
    </r>
    <r>
      <rPr>
        <sz val="18"/>
        <color indexed="9"/>
        <rFont val="Arial"/>
        <family val="2"/>
      </rPr>
      <t>Brick work in C.M. 1:4 Chamber Burnt brick of size 22 x 11 x 7 cm (8 3/4" x 4 1/4" x 2 3/4") 70 mm tk (B.P.)</t>
    </r>
  </si>
  <si>
    <r>
      <t xml:space="preserve">Brick work in C.M. 1:4 </t>
    </r>
    <r>
      <rPr>
        <sz val="18"/>
        <rFont val="Arial"/>
        <family val="2"/>
      </rPr>
      <t xml:space="preserve">Kiln Burnt Country bricks of size 22 x 11 x 7 cm (8 3/4" x 4 1/4" x 2 3/4") </t>
    </r>
    <r>
      <rPr>
        <b/>
        <sz val="18"/>
        <rFont val="Arial"/>
        <family val="2"/>
      </rPr>
      <t>70 mm tk (B.P.)</t>
    </r>
  </si>
  <si>
    <r>
      <t xml:space="preserve">Brick work in C.M. 1:4 </t>
    </r>
    <r>
      <rPr>
        <sz val="18"/>
        <color indexed="8"/>
        <rFont val="Arial"/>
        <family val="2"/>
      </rPr>
      <t xml:space="preserve">Kiln Burnt Country bricks of size 22 x 11 x 7 cm (8 3/4" x 4 1/4" x 2 3/4") </t>
    </r>
    <r>
      <rPr>
        <b/>
        <sz val="18"/>
        <color indexed="8"/>
        <rFont val="Arial"/>
        <family val="2"/>
      </rPr>
      <t>70 mm tk (B.P.)</t>
    </r>
  </si>
  <si>
    <r>
      <t xml:space="preserve">a. In Ground Floor  </t>
    </r>
    <r>
      <rPr>
        <sz val="18"/>
        <color indexed="9"/>
        <rFont val="Arial"/>
        <family val="2"/>
      </rPr>
      <t>Brick work in C.M. 1:4 Kiln Burnt Country bricks of size 22 x 11 x 7 cm (8 3/4" x 4 1/4" x 2 3/4") 70 mm tk (B.P.)</t>
    </r>
  </si>
  <si>
    <r>
      <t xml:space="preserve">b. In First Floor  </t>
    </r>
    <r>
      <rPr>
        <sz val="18"/>
        <color indexed="9"/>
        <rFont val="Arial"/>
        <family val="2"/>
      </rPr>
      <t>Brick work in C.M. 1:4 Kiln Burnt Country bricks of size 22 x 11 x 7 cm (8 3/4" x 4 1/4" x 2 3/4") 70 mm tk (B.P.)</t>
    </r>
  </si>
  <si>
    <r>
      <t xml:space="preserve">c. In Second Floor </t>
    </r>
    <r>
      <rPr>
        <sz val="18"/>
        <color indexed="9"/>
        <rFont val="Arial"/>
        <family val="2"/>
      </rPr>
      <t>Brick work in C.M. 1:4 Kiln Burnt Country bricks of size 22 x 11 x 7 cm (8 3/4" x 4 1/4" x 2 3/4") 70 mm tk (B.P.)</t>
    </r>
  </si>
  <si>
    <r>
      <t xml:space="preserve">d. In Third Floor </t>
    </r>
    <r>
      <rPr>
        <sz val="18"/>
        <color indexed="9"/>
        <rFont val="Arial"/>
        <family val="2"/>
      </rPr>
      <t>Brick work in C.M. 1:4 Kiln Burnt Country bricks of size 22 x 11 x 7 cm (8 3/4" x 4 1/4" x 2 3/4") 70 mm tk (B.P.)</t>
    </r>
  </si>
  <si>
    <r>
      <t xml:space="preserve">e. In Fourth Floor </t>
    </r>
    <r>
      <rPr>
        <sz val="18"/>
        <color indexed="9"/>
        <rFont val="Arial"/>
        <family val="2"/>
      </rPr>
      <t>Brick work in C.M. 1:4 Kiln Burnt Country bricks of size 22 x 11 x 7 cm (8 3/4" x 4 1/4" x 2 3/4") 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</si>
  <si>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</si>
  <si>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Brick work in C.M. 1:4 </t>
    </r>
    <r>
      <rPr>
        <sz val="18"/>
        <color indexed="8"/>
        <rFont val="Arial"/>
        <family val="2"/>
      </rPr>
      <t xml:space="preserve">Kiln Burnt Country bricks of size 22 x 11 x 5.7 cm (8 3/4" x 4 1/4" x 2 1/4") </t>
    </r>
    <r>
      <rPr>
        <b/>
        <sz val="18"/>
        <color indexed="8"/>
        <rFont val="Arial"/>
        <family val="2"/>
      </rPr>
      <t>57 mm tk (B.P.)</t>
    </r>
  </si>
  <si>
    <r>
      <t>a. In Ground Floor</t>
    </r>
    <r>
      <rPr>
        <sz val="18"/>
        <color indexed="9"/>
        <rFont val="Arial"/>
        <family val="2"/>
      </rPr>
      <t>Brick work in C.M. 1:4 Kiln Burnt Country bricks of size 22 x 11 x 5.7 cm (8 3/4" x 4 1/4" x 2 1/4") 57 mm tk (B.P.)</t>
    </r>
  </si>
  <si>
    <r>
      <t>c. In Second Floor</t>
    </r>
    <r>
      <rPr>
        <sz val="18"/>
        <color indexed="9"/>
        <rFont val="Arial"/>
        <family val="2"/>
      </rPr>
      <t>Brick work in C.M. 1:4 Kiln Burnt Country bricks of size 22 x 11 x 5.7 cm (8 3/4" x 4 1/4" x 2 1/4") 57 mm tk (B.P.)</t>
    </r>
  </si>
  <si>
    <r>
      <t>d. In Third Floor</t>
    </r>
    <r>
      <rPr>
        <sz val="18"/>
        <color indexed="9"/>
        <rFont val="Arial"/>
        <family val="2"/>
      </rPr>
      <t>Brick work in C.M. 1:4 Kiln Burnt Country bricks of size 22 x 11 x 5.7 cm (8 3/4" x 4 1/4" x 2 1/4") 57 mm tk (B.P.)</t>
    </r>
  </si>
  <si>
    <r>
      <t>e. In Fourth Floor</t>
    </r>
    <r>
      <rPr>
        <sz val="18"/>
        <color indexed="9"/>
        <rFont val="Arial"/>
        <family val="2"/>
      </rPr>
      <t xml:space="preserve"> Brick work in C.M. 1:4 Kiln Burnt Country bricks of size 22 x 11 x 5.7 cm (8 3/4" x 4 1/4" x 2 1/4") 57 mm tk (B.P.)</t>
    </r>
  </si>
  <si>
    <r>
      <t xml:space="preserve">Brick partition in C.M. 1:4 using country bricks of size 22 x11x5cm </t>
    </r>
    <r>
      <rPr>
        <b/>
        <sz val="18"/>
        <color indexed="8"/>
        <rFont val="Arial"/>
        <family val="2"/>
      </rPr>
      <t>50 mm thick</t>
    </r>
  </si>
  <si>
    <r>
      <t>a. In Ground Floor</t>
    </r>
    <r>
      <rPr>
        <sz val="18"/>
        <color indexed="9"/>
        <rFont val="Arial"/>
        <family val="2"/>
      </rPr>
      <t>Brick partition in C.M. 1:4 using country bricks of size 22 x11x5cm 50 mm thick</t>
    </r>
  </si>
  <si>
    <r>
      <t>b. In First Floor</t>
    </r>
    <r>
      <rPr>
        <sz val="18"/>
        <color indexed="9"/>
        <rFont val="Arial"/>
        <family val="2"/>
      </rPr>
      <t>Brick partition in C.M. 1:4 using country bricks of size 22 x11x5cm 50 mm thick</t>
    </r>
  </si>
  <si>
    <r>
      <t>c. In Second Floor</t>
    </r>
    <r>
      <rPr>
        <sz val="18"/>
        <color indexed="9"/>
        <rFont val="Arial"/>
        <family val="2"/>
      </rPr>
      <t>Brick partition in C.M. 1:4 using country bricks of size 22 x11x5cm 50 mm thick</t>
    </r>
  </si>
  <si>
    <r>
      <t>d. In Third Floor</t>
    </r>
    <r>
      <rPr>
        <sz val="18"/>
        <color indexed="9"/>
        <rFont val="Arial"/>
        <family val="2"/>
      </rPr>
      <t>Brick partition in C.M. 1:4 using country bricks of size 22 x11x5cm 50 mm thick</t>
    </r>
  </si>
  <si>
    <r>
      <t xml:space="preserve">e. In Fourth Floor </t>
    </r>
    <r>
      <rPr>
        <sz val="18"/>
        <color indexed="9"/>
        <rFont val="Arial"/>
        <family val="2"/>
      </rPr>
      <t>Brick partition in C.M. 1:4 using country bricks of size 22 x11x5cm 50 mm thick</t>
    </r>
  </si>
  <si>
    <r>
      <t xml:space="preserve">g. In Fifth Floor </t>
    </r>
    <r>
      <rPr>
        <sz val="18"/>
        <color indexed="9"/>
        <rFont val="Arial"/>
        <family val="2"/>
      </rPr>
      <t>Brick partition in C.M. 1:4 using country bricks of size 22 x11x5cm 50 mm thick</t>
    </r>
  </si>
  <si>
    <r>
      <t xml:space="preserve">h. In Sixth Floor </t>
    </r>
    <r>
      <rPr>
        <sz val="18"/>
        <color indexed="9"/>
        <rFont val="Arial"/>
        <family val="2"/>
      </rPr>
      <t>Brick partition in C.M. 1:4 using country bricks of size 22 x11x5cm 50 mm thick</t>
    </r>
  </si>
  <si>
    <r>
      <t xml:space="preserve">i. In Seventh Floor </t>
    </r>
    <r>
      <rPr>
        <sz val="18"/>
        <color indexed="9"/>
        <rFont val="Arial"/>
        <family val="2"/>
      </rPr>
      <t>Brick partition in C.M. 1:4 using country bricks of size 22 x11x5cm 50 mm thick</t>
    </r>
  </si>
  <si>
    <r>
      <t xml:space="preserve">a. In Ground Floor </t>
    </r>
    <r>
      <rPr>
        <sz val="18"/>
        <color indexed="9"/>
        <rFont val="Arial"/>
        <family val="2"/>
      </rPr>
      <t xml:space="preserve">Brick partition in C.M. 1:4 50 mm tk. (B.P.)
Kiln Burnt Country brick: 23 x 11 x 5 cm 
(9" x 4 1/4" x 2") </t>
    </r>
  </si>
  <si>
    <r>
      <t>b. In First Floor</t>
    </r>
    <r>
      <rPr>
        <sz val="18"/>
        <color indexed="9"/>
        <rFont val="Arial"/>
        <family val="2"/>
      </rPr>
      <t xml:space="preserve">Brick partition in C.M. 1:4 50 mm tk. (B.P.)
Kiln Burnt Country brick: 23 x 11 x 5 cm 
(9" x 4 1/4" x 2") </t>
    </r>
  </si>
  <si>
    <r>
      <t>c. In Second Floor</t>
    </r>
    <r>
      <rPr>
        <sz val="18"/>
        <color indexed="9"/>
        <rFont val="Arial"/>
        <family val="2"/>
      </rPr>
      <t xml:space="preserve">Brick partition in C.M. 1:4 50 mm tk. (B.P.)
Kiln Burnt Country brick: 23 x 11 x 5 cm 
(9" x 4 1/4" x 2") </t>
    </r>
  </si>
  <si>
    <r>
      <t>d. In Third Floor</t>
    </r>
    <r>
      <rPr>
        <sz val="18"/>
        <color indexed="9"/>
        <rFont val="Arial"/>
        <family val="2"/>
      </rPr>
      <t xml:space="preserve">Brick partition in C.M. 1:4 50 mm tk. (B.P.)
Kiln Burnt Country brick: 23 x 11 x 5 cm 
(9" x 4 1/4" x 2") </t>
    </r>
  </si>
  <si>
    <r>
      <t>e. In Fourth Floor</t>
    </r>
    <r>
      <rPr>
        <sz val="18"/>
        <color indexed="9"/>
        <rFont val="Arial"/>
        <family val="2"/>
      </rPr>
      <t xml:space="preserve">Brick partition in C.M. 1:4 50 mm tk. (B.P.)
Kiln Burnt Country brick: 23 x 11 x 5 cm 
(9" x 4 1/4" x 2") </t>
    </r>
  </si>
  <si>
    <t>14.I</t>
  </si>
  <si>
    <r>
      <t xml:space="preserve">a. In Ground floor </t>
    </r>
    <r>
      <rPr>
        <sz val="18"/>
        <color indexed="9"/>
        <rFont val="Arial"/>
        <family val="2"/>
      </rPr>
      <t>Precast Cupboard slab 20 mm tk.</t>
    </r>
  </si>
  <si>
    <r>
      <t xml:space="preserve">b. In First floor </t>
    </r>
    <r>
      <rPr>
        <sz val="18"/>
        <color indexed="9"/>
        <rFont val="Arial"/>
        <family val="2"/>
      </rPr>
      <t>Precast Cupboard slab 20 mm tk.</t>
    </r>
  </si>
  <si>
    <r>
      <t xml:space="preserve">c. In Second floor </t>
    </r>
    <r>
      <rPr>
        <sz val="18"/>
        <color indexed="9"/>
        <rFont val="Arial"/>
        <family val="2"/>
      </rPr>
      <t>Precast Cupboard slab 20 mm tk.</t>
    </r>
  </si>
  <si>
    <r>
      <t xml:space="preserve">d. In Third floor </t>
    </r>
    <r>
      <rPr>
        <sz val="18"/>
        <color indexed="9"/>
        <rFont val="Arial"/>
        <family val="2"/>
      </rPr>
      <t>Precast Cupboard slab 20 mm tk.</t>
    </r>
  </si>
  <si>
    <r>
      <t xml:space="preserve">e.  In Fourth floor </t>
    </r>
    <r>
      <rPr>
        <sz val="18"/>
        <color indexed="9"/>
        <rFont val="Arial"/>
        <family val="2"/>
      </rPr>
      <t>Precast Cupboard slab 20 mm tk.</t>
    </r>
  </si>
  <si>
    <r>
      <t xml:space="preserve">f.  In Fifth floor </t>
    </r>
    <r>
      <rPr>
        <sz val="18"/>
        <color indexed="9"/>
        <rFont val="Arial"/>
        <family val="2"/>
      </rPr>
      <t>Precast Cupboard slab 20 mm tk.</t>
    </r>
  </si>
  <si>
    <r>
      <t xml:space="preserve">g.  In sixth floor </t>
    </r>
    <r>
      <rPr>
        <sz val="18"/>
        <color indexed="9"/>
        <rFont val="Arial"/>
        <family val="2"/>
      </rPr>
      <t>Precast Cupboard slab 20 mm tk.</t>
    </r>
  </si>
  <si>
    <r>
      <t xml:space="preserve">h.  In seventh floor </t>
    </r>
    <r>
      <rPr>
        <sz val="18"/>
        <color indexed="9"/>
        <rFont val="Arial"/>
        <family val="2"/>
      </rPr>
      <t>Precast Cupboard slab 20 mm tk.</t>
    </r>
  </si>
  <si>
    <r>
      <t>i.  In eighth floor</t>
    </r>
    <r>
      <rPr>
        <sz val="18"/>
        <color indexed="9"/>
        <rFont val="Arial"/>
        <family val="2"/>
      </rPr>
      <t>Precast Cupboard slab 20 mm tk.</t>
    </r>
  </si>
  <si>
    <r>
      <t>j.  In Ninth floor</t>
    </r>
    <r>
      <rPr>
        <sz val="18"/>
        <color indexed="9"/>
        <rFont val="Arial"/>
        <family val="2"/>
      </rPr>
      <t>Precast Cupboard slab 20 mm tk.</t>
    </r>
  </si>
  <si>
    <r>
      <t>k.  In Tenth floor</t>
    </r>
    <r>
      <rPr>
        <sz val="18"/>
        <color indexed="9"/>
        <rFont val="Arial"/>
        <family val="2"/>
      </rPr>
      <t>Precast Cupboard slab 20 mm tk.</t>
    </r>
  </si>
  <si>
    <r>
      <t>l.  In Eleventh floor</t>
    </r>
    <r>
      <rPr>
        <sz val="18"/>
        <color indexed="9"/>
        <rFont val="Arial"/>
        <family val="2"/>
      </rPr>
      <t>Precast Cupboard slab 20 mm tk.</t>
    </r>
  </si>
  <si>
    <r>
      <t xml:space="preserve">a. In Foundation &amp; basement </t>
    </r>
    <r>
      <rPr>
        <sz val="18"/>
        <color indexed="9"/>
        <rFont val="Arial"/>
        <family val="2"/>
      </rPr>
      <t>Precast cupboard slab 40 mm tk.</t>
    </r>
  </si>
  <si>
    <r>
      <t xml:space="preserve">b. In Ground floor </t>
    </r>
    <r>
      <rPr>
        <sz val="18"/>
        <color indexed="9"/>
        <rFont val="Arial"/>
        <family val="2"/>
      </rPr>
      <t>Precast cupboard slab 40 mm tk.</t>
    </r>
  </si>
  <si>
    <r>
      <t xml:space="preserve">c. In First floor </t>
    </r>
    <r>
      <rPr>
        <sz val="18"/>
        <color indexed="9"/>
        <rFont val="Arial"/>
        <family val="2"/>
      </rPr>
      <t>Precast cupboard slab 40 mm tk.</t>
    </r>
  </si>
  <si>
    <r>
      <t>d. In Second floor</t>
    </r>
    <r>
      <rPr>
        <sz val="18"/>
        <color indexed="9"/>
        <rFont val="Arial"/>
        <family val="2"/>
      </rPr>
      <t>Precast cupboard slab 40 mm tk.</t>
    </r>
  </si>
  <si>
    <r>
      <t xml:space="preserve">e. In Third floor </t>
    </r>
    <r>
      <rPr>
        <sz val="18"/>
        <color indexed="9"/>
        <rFont val="Arial"/>
        <family val="2"/>
      </rPr>
      <t>Precast cupboard slab 40 mm tk.</t>
    </r>
  </si>
  <si>
    <r>
      <t>f.  In Fourth floor</t>
    </r>
    <r>
      <rPr>
        <sz val="18"/>
        <color indexed="9"/>
        <rFont val="Arial"/>
        <family val="2"/>
      </rPr>
      <t>Precast cupboard slab 40 mm tk.</t>
    </r>
  </si>
  <si>
    <r>
      <t xml:space="preserve">a. In Ground floor </t>
    </r>
    <r>
      <rPr>
        <sz val="18"/>
        <color indexed="9"/>
        <rFont val="Arial"/>
        <family val="2"/>
      </rPr>
      <t>Cuddappa slab 20 mm tk.</t>
    </r>
  </si>
  <si>
    <r>
      <t xml:space="preserve">b. In First floor </t>
    </r>
    <r>
      <rPr>
        <sz val="18"/>
        <color indexed="9"/>
        <rFont val="Arial"/>
        <family val="2"/>
      </rPr>
      <t>Cuddappa slab 20 mm tk.</t>
    </r>
  </si>
  <si>
    <r>
      <t xml:space="preserve">c. In Second floor </t>
    </r>
    <r>
      <rPr>
        <sz val="18"/>
        <color indexed="9"/>
        <rFont val="Arial"/>
        <family val="2"/>
      </rPr>
      <t>Cuddappa slab 20 mm tk.</t>
    </r>
  </si>
  <si>
    <r>
      <t xml:space="preserve">d. In Third floor </t>
    </r>
    <r>
      <rPr>
        <sz val="18"/>
        <color indexed="9"/>
        <rFont val="Arial"/>
        <family val="2"/>
      </rPr>
      <t>Cuddappa slab 20 mm tk.</t>
    </r>
  </si>
  <si>
    <r>
      <t xml:space="preserve">e.  In Fourth floor </t>
    </r>
    <r>
      <rPr>
        <sz val="18"/>
        <color indexed="9"/>
        <rFont val="Arial"/>
        <family val="2"/>
      </rPr>
      <t>Cuddappa slab 20 mm tk.</t>
    </r>
  </si>
  <si>
    <r>
      <t xml:space="preserve">a. In Ground floor </t>
    </r>
    <r>
      <rPr>
        <sz val="18"/>
        <color indexed="9"/>
        <rFont val="Arial"/>
        <family val="2"/>
      </rPr>
      <t>Cuddappa slab 40 mm tk.</t>
    </r>
  </si>
  <si>
    <r>
      <t xml:space="preserve">b. In First floor </t>
    </r>
    <r>
      <rPr>
        <sz val="18"/>
        <color indexed="9"/>
        <rFont val="Arial"/>
        <family val="2"/>
      </rPr>
      <t>Cuddappa slab 40 mm tk.</t>
    </r>
  </si>
  <si>
    <r>
      <t xml:space="preserve">c. In Second floor </t>
    </r>
    <r>
      <rPr>
        <sz val="18"/>
        <color indexed="9"/>
        <rFont val="Arial"/>
        <family val="2"/>
      </rPr>
      <t>Cuddappa slab 40 mm tk.</t>
    </r>
  </si>
  <si>
    <r>
      <t xml:space="preserve">d. In Third floor </t>
    </r>
    <r>
      <rPr>
        <sz val="18"/>
        <color indexed="9"/>
        <rFont val="Arial"/>
        <family val="2"/>
      </rPr>
      <t>Cuddappa slab 40 mm tk.</t>
    </r>
  </si>
  <si>
    <r>
      <t xml:space="preserve">e.  In Fourth floor </t>
    </r>
    <r>
      <rPr>
        <sz val="18"/>
        <color indexed="9"/>
        <rFont val="Arial"/>
        <family val="2"/>
      </rPr>
      <t>Cuddappa slab 40 mm tk.</t>
    </r>
  </si>
  <si>
    <r>
      <t xml:space="preserve">Precast </t>
    </r>
    <r>
      <rPr>
        <b/>
        <sz val="18"/>
        <rFont val="Arial"/>
        <family val="2"/>
      </rPr>
      <t>Jally ventilator 50mm tk.</t>
    </r>
  </si>
  <si>
    <r>
      <t xml:space="preserve">Precast </t>
    </r>
    <r>
      <rPr>
        <b/>
        <sz val="18"/>
        <color indexed="8"/>
        <rFont val="Arial"/>
        <family val="2"/>
      </rPr>
      <t>Jally ventilator 50mm tk.</t>
    </r>
  </si>
  <si>
    <r>
      <t xml:space="preserve">a. In Ground Floor </t>
    </r>
    <r>
      <rPr>
        <sz val="18"/>
        <color indexed="9"/>
        <rFont val="Arial"/>
        <family val="2"/>
      </rPr>
      <t>Precast Jally ventilator 50mm tk.</t>
    </r>
  </si>
  <si>
    <r>
      <t xml:space="preserve">b. In First floor </t>
    </r>
    <r>
      <rPr>
        <sz val="18"/>
        <color indexed="9"/>
        <rFont val="Arial"/>
        <family val="2"/>
      </rPr>
      <t>Precast Jally ventilator 50mm tk.</t>
    </r>
  </si>
  <si>
    <r>
      <t xml:space="preserve">c. In Second floor </t>
    </r>
    <r>
      <rPr>
        <sz val="18"/>
        <color indexed="9"/>
        <rFont val="Arial"/>
        <family val="2"/>
      </rPr>
      <t>Precast Jally ventilator 50mm tk.</t>
    </r>
  </si>
  <si>
    <r>
      <t xml:space="preserve">d. In Third floor </t>
    </r>
    <r>
      <rPr>
        <sz val="18"/>
        <color indexed="9"/>
        <rFont val="Arial"/>
        <family val="2"/>
      </rPr>
      <t>Precast Jally ventilator 50mm tk.</t>
    </r>
  </si>
  <si>
    <r>
      <t xml:space="preserve">e.  In Fourth floor </t>
    </r>
    <r>
      <rPr>
        <sz val="18"/>
        <color indexed="9"/>
        <rFont val="Arial"/>
        <family val="2"/>
      </rPr>
      <t>Precast Jally ventilator 50mm tk.</t>
    </r>
  </si>
  <si>
    <r>
      <t xml:space="preserve">a. In Ground Floor </t>
    </r>
    <r>
      <rPr>
        <sz val="18"/>
        <color indexed="9"/>
        <rFont val="Arial"/>
        <family val="2"/>
      </rPr>
      <t>Supplying &amp; fixing of Terra cotta jolly (not less than 50mm)</t>
    </r>
  </si>
  <si>
    <r>
      <t xml:space="preserve">b. In First Floor </t>
    </r>
    <r>
      <rPr>
        <sz val="18"/>
        <color indexed="9"/>
        <rFont val="Arial"/>
        <family val="2"/>
      </rPr>
      <t>Supplying &amp; fixing of Terra cotta jolly (not less than 50mm)</t>
    </r>
  </si>
  <si>
    <r>
      <t xml:space="preserve">c. In Second Floor </t>
    </r>
    <r>
      <rPr>
        <sz val="18"/>
        <color indexed="9"/>
        <rFont val="Arial"/>
        <family val="2"/>
      </rPr>
      <t>Supplying &amp; fixing of Terra cotta jolly (not less than 50mm)</t>
    </r>
  </si>
  <si>
    <r>
      <t xml:space="preserve">d. In Third Floor </t>
    </r>
    <r>
      <rPr>
        <sz val="18"/>
        <color indexed="9"/>
        <rFont val="Arial"/>
        <family val="2"/>
      </rPr>
      <t>Supplying &amp; fixing of Terra cotta jolly (not less than 50mm)</t>
    </r>
  </si>
  <si>
    <r>
      <t xml:space="preserve">e. In Fourth Floor </t>
    </r>
    <r>
      <rPr>
        <sz val="18"/>
        <color indexed="9"/>
        <rFont val="Arial"/>
        <family val="2"/>
      </rPr>
      <t>Supplying &amp; fixing of Terra cotta jolly (not less than 50mm)</t>
    </r>
  </si>
  <si>
    <r>
      <t xml:space="preserve">a. In Ground Floor </t>
    </r>
    <r>
      <rPr>
        <sz val="18"/>
        <color indexed="9"/>
        <rFont val="Arial"/>
        <family val="2"/>
      </rPr>
      <t>Supplying &amp; fixing of Terra cotta jolly (more than  50mm  upto 110 mm)</t>
    </r>
  </si>
  <si>
    <r>
      <t xml:space="preserve">b. In First Floor </t>
    </r>
    <r>
      <rPr>
        <sz val="18"/>
        <color indexed="9"/>
        <rFont val="Arial"/>
        <family val="2"/>
      </rPr>
      <t>Supplying &amp; fixing of Terra cotta jolly (more than  50mm  upto 110 mm)</t>
    </r>
  </si>
  <si>
    <r>
      <t xml:space="preserve">c. In Second Floor </t>
    </r>
    <r>
      <rPr>
        <sz val="18"/>
        <color indexed="9"/>
        <rFont val="Arial"/>
        <family val="2"/>
      </rPr>
      <t>Supplying &amp; fixing of Terra cotta jolly (more than  50mm  upto 110 mm)</t>
    </r>
  </si>
  <si>
    <r>
      <t xml:space="preserve">d. In Third Floor </t>
    </r>
    <r>
      <rPr>
        <sz val="18"/>
        <color indexed="9"/>
        <rFont val="Arial"/>
        <family val="2"/>
      </rPr>
      <t>Supplying &amp; fixing of Terra cotta jolly (more than  50mm  upto 110 mm)</t>
    </r>
  </si>
  <si>
    <r>
      <t xml:space="preserve">e. In Fourth Floor </t>
    </r>
    <r>
      <rPr>
        <sz val="18"/>
        <color indexed="9"/>
        <rFont val="Arial"/>
        <family val="2"/>
      </rPr>
      <t>Supplying &amp; fixing of Terra cotta jolly (more than  50mm  upto 110 mm)</t>
    </r>
  </si>
  <si>
    <r>
      <t xml:space="preserve">Form work- </t>
    </r>
    <r>
      <rPr>
        <b/>
        <sz val="18"/>
        <rFont val="Arial"/>
        <family val="2"/>
      </rPr>
      <t xml:space="preserve">Lintel </t>
    </r>
    <r>
      <rPr>
        <sz val="18"/>
        <rFont val="Arial"/>
        <family val="2"/>
      </rPr>
      <t>(C.W. planks)</t>
    </r>
  </si>
  <si>
    <r>
      <t xml:space="preserve">Form work- </t>
    </r>
    <r>
      <rPr>
        <b/>
        <sz val="18"/>
        <color indexed="8"/>
        <rFont val="Arial"/>
        <family val="2"/>
      </rPr>
      <t xml:space="preserve">Lintel </t>
    </r>
    <r>
      <rPr>
        <sz val="18"/>
        <color indexed="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</si>
  <si>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</si>
  <si>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color indexed="8"/>
        <rFont val="Arial"/>
        <family val="2"/>
      </rPr>
      <t>M.S. Sheet</t>
    </r>
    <r>
      <rPr>
        <sz val="18"/>
        <color indexed="8"/>
        <rFont val="Arial"/>
        <family val="2"/>
      </rPr>
      <t xml:space="preserve"> (slab)</t>
    </r>
  </si>
  <si>
    <r>
      <t xml:space="preserve">Form work - </t>
    </r>
    <r>
      <rPr>
        <b/>
        <sz val="18"/>
        <rFont val="Arial"/>
        <family val="2"/>
      </rPr>
      <t>Small quantities</t>
    </r>
    <r>
      <rPr>
        <sz val="18"/>
        <rFont val="Arial"/>
        <family val="2"/>
      </rPr>
      <t xml:space="preserve">  (M.S. Sheet)</t>
    </r>
  </si>
  <si>
    <r>
      <t xml:space="preserve">Form work - </t>
    </r>
    <r>
      <rPr>
        <b/>
        <sz val="18"/>
        <color indexed="8"/>
        <rFont val="Arial"/>
        <family val="2"/>
      </rPr>
      <t>Small quantities</t>
    </r>
    <r>
      <rPr>
        <sz val="18"/>
        <color indexed="8"/>
        <rFont val="Arial"/>
        <family val="2"/>
      </rPr>
      <t xml:space="preserve">  (M.S. Sheet)</t>
    </r>
  </si>
  <si>
    <r>
      <t xml:space="preserve">a. 1000 x 2100 mm </t>
    </r>
    <r>
      <rPr>
        <sz val="18"/>
        <color indexed="9"/>
        <rFont val="Arial"/>
        <family val="2"/>
      </rPr>
      <t>Teak wood panelled door shutters</t>
    </r>
  </si>
  <si>
    <r>
      <t xml:space="preserve">b. 900 x 2100 mm </t>
    </r>
    <r>
      <rPr>
        <sz val="18"/>
        <color indexed="9"/>
        <rFont val="Arial"/>
        <family val="2"/>
      </rPr>
      <t>Teak wood panelled door shutters</t>
    </r>
  </si>
  <si>
    <r>
      <t xml:space="preserve">c. 700 x 2100 mm </t>
    </r>
    <r>
      <rPr>
        <sz val="18"/>
        <color indexed="9"/>
        <rFont val="Arial"/>
        <family val="2"/>
      </rPr>
      <t>Teak wood panelled door shutters</t>
    </r>
  </si>
  <si>
    <r>
      <t xml:space="preserve">d. 1200 x 2100 mm (Single) annexure item </t>
    </r>
    <r>
      <rPr>
        <sz val="18"/>
        <color indexed="9"/>
        <rFont val="Arial"/>
        <family val="2"/>
      </rPr>
      <t>Teak wood panelled door shutters</t>
    </r>
  </si>
  <si>
    <t>Kg.</t>
  </si>
  <si>
    <r>
      <t>Floor plastering</t>
    </r>
    <r>
      <rPr>
        <sz val="18"/>
        <rFont val="Arial"/>
        <family val="2"/>
      </rPr>
      <t xml:space="preserve"> in C.M. 1:4, 20 mm tk.</t>
    </r>
  </si>
  <si>
    <r>
      <t>Floor plastering</t>
    </r>
    <r>
      <rPr>
        <sz val="17"/>
        <color indexed="8"/>
        <rFont val="Arial"/>
        <family val="2"/>
      </rPr>
      <t xml:space="preserve"> in C.M. 1:4, 20 mm tk.</t>
    </r>
  </si>
  <si>
    <r>
      <t xml:space="preserve">Mosaic tiles </t>
    </r>
    <r>
      <rPr>
        <sz val="18"/>
        <rFont val="Arial"/>
        <family val="2"/>
      </rPr>
      <t>20 cm x 20 cm x 2 cm.</t>
    </r>
  </si>
  <si>
    <r>
      <t xml:space="preserve">Mosaic tiles </t>
    </r>
    <r>
      <rPr>
        <sz val="18"/>
        <color indexed="8"/>
        <rFont val="Arial"/>
        <family val="2"/>
      </rPr>
      <t>20 cm x 20 cm x 2 cm.</t>
    </r>
  </si>
  <si>
    <r>
      <t xml:space="preserve">Mosaic tiles </t>
    </r>
    <r>
      <rPr>
        <sz val="18"/>
        <rFont val="Arial"/>
        <family val="2"/>
      </rPr>
      <t>25 cm x 25 cm x 2 cm.</t>
    </r>
  </si>
  <si>
    <r>
      <t xml:space="preserve">Mosaic tiles </t>
    </r>
    <r>
      <rPr>
        <sz val="18"/>
        <color indexed="8"/>
        <rFont val="Arial"/>
        <family val="2"/>
      </rPr>
      <t>25 cm x 25 cm x 2 cm.</t>
    </r>
  </si>
  <si>
    <r>
      <t>White washing 3 coats</t>
    </r>
    <r>
      <rPr>
        <b/>
        <sz val="18"/>
        <rFont val="Arial"/>
        <family val="2"/>
      </rPr>
      <t xml:space="preserve">  (slaked)</t>
    </r>
  </si>
  <si>
    <r>
      <t>White washing 3 coats</t>
    </r>
    <r>
      <rPr>
        <b/>
        <sz val="18"/>
        <color indexed="8"/>
        <rFont val="Arial"/>
        <family val="2"/>
      </rPr>
      <t xml:space="preserve">  (slaked)</t>
    </r>
  </si>
  <si>
    <r>
      <t>Colour washing</t>
    </r>
    <r>
      <rPr>
        <b/>
        <sz val="18"/>
        <rFont val="Arial"/>
        <family val="2"/>
      </rPr>
      <t xml:space="preserve">  ( slaked)</t>
    </r>
  </si>
  <si>
    <r>
      <t>Colour washing</t>
    </r>
    <r>
      <rPr>
        <b/>
        <sz val="18"/>
        <color indexed="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</si>
  <si>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</si>
  <si>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color indexed="8"/>
        <rFont val="Arial"/>
        <family val="2"/>
      </rPr>
      <t xml:space="preserve">Mild steel / RTS grills
</t>
    </r>
    <r>
      <rPr>
        <sz val="18"/>
        <color indexed="8"/>
        <rFont val="Arial"/>
        <family val="2"/>
      </rPr>
      <t>(with cement slurry wash)</t>
    </r>
  </si>
  <si>
    <t>a. upto 16mm dia rods</t>
  </si>
  <si>
    <r>
      <t xml:space="preserve">a. upto 16mm dia rods </t>
    </r>
    <r>
      <rPr>
        <sz val="18"/>
        <color indexed="9"/>
        <rFont val="Arial"/>
        <family val="2"/>
      </rPr>
      <t>Fabrication of Mild steel / RTS grills
(with cement slurry wash)</t>
    </r>
  </si>
  <si>
    <t>b. above 16mm dia rods</t>
  </si>
  <si>
    <r>
      <t xml:space="preserve">b. above 16mm dia rods </t>
    </r>
    <r>
      <rPr>
        <sz val="18"/>
        <color indexed="9"/>
        <rFont val="Arial"/>
        <family val="2"/>
      </rPr>
      <t>Fabrication of Mild steel / RTS grills
(with cement slurry wash)</t>
    </r>
  </si>
  <si>
    <r>
      <t xml:space="preserve">Fabrication of </t>
    </r>
    <r>
      <rPr>
        <b/>
        <sz val="18"/>
        <rFont val="Arial"/>
        <family val="2"/>
      </rPr>
      <t xml:space="preserve">Mild steel / RTS grills </t>
    </r>
    <r>
      <rPr>
        <sz val="18"/>
        <rFont val="Arial"/>
        <family val="2"/>
      </rPr>
      <t xml:space="preserve">
</t>
    </r>
  </si>
  <si>
    <r>
      <t xml:space="preserve">Fabrication of </t>
    </r>
    <r>
      <rPr>
        <b/>
        <sz val="18"/>
        <color indexed="8"/>
        <rFont val="Arial"/>
        <family val="2"/>
      </rPr>
      <t xml:space="preserve">Mild steel / RTS grills </t>
    </r>
    <r>
      <rPr>
        <sz val="18"/>
        <color indexed="8"/>
        <rFont val="Arial"/>
        <family val="2"/>
      </rPr>
      <t xml:space="preserve">
</t>
    </r>
  </si>
  <si>
    <r>
      <t xml:space="preserve">a. upto 16mm dia rods </t>
    </r>
    <r>
      <rPr>
        <sz val="18"/>
        <color indexed="9"/>
        <rFont val="Arial"/>
        <family val="2"/>
      </rPr>
      <t xml:space="preserve">Fabrication of Mild steel / RTS grills </t>
    </r>
  </si>
  <si>
    <r>
      <t>b. above 16mm dia rods</t>
    </r>
    <r>
      <rPr>
        <sz val="18"/>
        <color indexed="9"/>
        <rFont val="Arial"/>
        <family val="2"/>
      </rPr>
      <t xml:space="preserve">Fabrication of Mild steel / RTS grills </t>
    </r>
  </si>
  <si>
    <r>
      <t xml:space="preserve">PVC SWR 110 mm dia </t>
    </r>
    <r>
      <rPr>
        <b/>
        <sz val="18"/>
        <rFont val="Arial"/>
        <family val="2"/>
      </rPr>
      <t>Rain water pipe</t>
    </r>
  </si>
  <si>
    <r>
      <t xml:space="preserve">PVC SWR 110 mm dia </t>
    </r>
    <r>
      <rPr>
        <b/>
        <sz val="18"/>
        <color indexed="8"/>
        <rFont val="Arial"/>
        <family val="2"/>
      </rPr>
      <t>Rain water pipe</t>
    </r>
  </si>
  <si>
    <r>
      <t>Stucco</t>
    </r>
    <r>
      <rPr>
        <sz val="20"/>
        <rFont val="Arial"/>
        <family val="2"/>
      </rPr>
      <t xml:space="preserve"> plastering 12 mm tk.</t>
    </r>
  </si>
  <si>
    <r>
      <t>Stucco</t>
    </r>
    <r>
      <rPr>
        <sz val="18"/>
        <color indexed="8"/>
        <rFont val="Arial"/>
        <family val="2"/>
      </rPr>
      <t xml:space="preserve"> plastering 12 mm tk.</t>
    </r>
  </si>
  <si>
    <t xml:space="preserve">a. 32 mm dia </t>
  </si>
  <si>
    <r>
      <t xml:space="preserve">a. 32 mm dia  </t>
    </r>
    <r>
      <rPr>
        <sz val="18"/>
        <color indexed="9"/>
        <rFont val="Arial"/>
        <family val="2"/>
      </rPr>
      <t>PVC Water supply (ASTM)</t>
    </r>
  </si>
  <si>
    <t xml:space="preserve">b. 25 mm dia </t>
  </si>
  <si>
    <r>
      <t xml:space="preserve">b. 25 mm dia </t>
    </r>
    <r>
      <rPr>
        <sz val="18"/>
        <color indexed="9"/>
        <rFont val="Arial"/>
        <family val="2"/>
      </rPr>
      <t>PVC Water supply (ASTM)</t>
    </r>
  </si>
  <si>
    <t xml:space="preserve">c. 20 mm dia </t>
  </si>
  <si>
    <r>
      <t xml:space="preserve">c. 20 mm dia </t>
    </r>
    <r>
      <rPr>
        <sz val="18"/>
        <color indexed="9"/>
        <rFont val="Arial"/>
        <family val="2"/>
      </rPr>
      <t>PVC Water supply (ASTM)</t>
    </r>
  </si>
  <si>
    <t>a. 100 mm S.W. pipe</t>
  </si>
  <si>
    <r>
      <t xml:space="preserve">a. 100 mm S.W. pipe </t>
    </r>
    <r>
      <rPr>
        <sz val="18"/>
        <color indexed="9"/>
        <rFont val="Arial"/>
        <family val="2"/>
      </rPr>
      <t>Stoneware pipe</t>
    </r>
  </si>
  <si>
    <t>b. 150 mm S.W. pipe</t>
  </si>
  <si>
    <r>
      <t xml:space="preserve">b. 150 mm S.W. pipe </t>
    </r>
    <r>
      <rPr>
        <sz val="18"/>
        <color indexed="9"/>
        <rFont val="Arial"/>
        <family val="2"/>
      </rPr>
      <t>Stoneware pipe</t>
    </r>
  </si>
  <si>
    <t>a. 100 mm dia</t>
  </si>
  <si>
    <r>
      <t xml:space="preserve">a. 100 mm dia </t>
    </r>
    <r>
      <rPr>
        <sz val="18"/>
        <color indexed="9"/>
        <rFont val="Arial"/>
        <family val="2"/>
      </rPr>
      <t>Stoneware pipe dry condition</t>
    </r>
  </si>
  <si>
    <t>b. 150 mm dia</t>
  </si>
  <si>
    <r>
      <t xml:space="preserve">b. 150 mm dia </t>
    </r>
    <r>
      <rPr>
        <sz val="18"/>
        <color indexed="9"/>
        <rFont val="Arial"/>
        <family val="2"/>
      </rPr>
      <t>Stoneware pipe dry condition</t>
    </r>
  </si>
  <si>
    <t>Run of main 2 wires of 1.50 Sqmm.</t>
  </si>
  <si>
    <t>Run of 2 wires of 4 sqmm with continuous earth by means of 2.5sqmm</t>
  </si>
  <si>
    <t>Run of 2 wires of 4 sqmm</t>
  </si>
  <si>
    <r>
      <t xml:space="preserve">Anticorrosive treatment for </t>
    </r>
    <r>
      <rPr>
        <b/>
        <sz val="18"/>
        <rFont val="Arial"/>
        <family val="2"/>
      </rPr>
      <t>steel grills</t>
    </r>
  </si>
  <si>
    <r>
      <t xml:space="preserve">Anticorrosive treatment for </t>
    </r>
    <r>
      <rPr>
        <b/>
        <sz val="18"/>
        <color indexed="8"/>
        <rFont val="Arial"/>
        <family val="2"/>
      </rPr>
      <t>steel grills</t>
    </r>
  </si>
  <si>
    <r>
      <t>Brick work in C.M. 1:5 (F&amp; B)</t>
    </r>
    <r>
      <rPr>
        <sz val="20"/>
        <rFont val="Arial"/>
        <family val="2"/>
      </rPr>
      <t xml:space="preserve"> using Fly ash bricks of size 23 x 11 x 7 cm 
</t>
    </r>
  </si>
  <si>
    <r>
      <t>Brick work in C.M. 1:5 (F&amp; B)</t>
    </r>
    <r>
      <rPr>
        <sz val="20"/>
        <color indexed="8"/>
        <rFont val="Arial"/>
        <family val="2"/>
      </rPr>
      <t xml:space="preserve"> using Fly ash bricks of size 23 x 11 x 7 cm 
</t>
    </r>
  </si>
  <si>
    <t>cum</t>
  </si>
  <si>
    <r>
      <t>Brick work in C.M. 1:6</t>
    </r>
    <r>
      <rPr>
        <sz val="20"/>
        <rFont val="Arial"/>
        <family val="2"/>
      </rPr>
      <t xml:space="preserve"> using Fly ash  bricks of size 23 x 11 x 7 cm 
</t>
    </r>
  </si>
  <si>
    <r>
      <t>Brick work in C.M. 1:6</t>
    </r>
    <r>
      <rPr>
        <sz val="20"/>
        <color indexed="8"/>
        <rFont val="Arial"/>
        <family val="2"/>
      </rPr>
      <t xml:space="preserve"> using Fly ash  bricks of size 23 x 11 x 7 cm 
</t>
    </r>
  </si>
  <si>
    <r>
      <t xml:space="preserve">Brick partition work in C.M. 1:4 </t>
    </r>
    <r>
      <rPr>
        <sz val="20"/>
        <rFont val="Arial"/>
        <family val="2"/>
      </rPr>
      <t xml:space="preserve">using Fly ash  bricks of size 23 x 11 x 7 cm  </t>
    </r>
    <r>
      <rPr>
        <b/>
        <sz val="20"/>
        <rFont val="Arial"/>
        <family val="2"/>
      </rPr>
      <t>110 mm tk (B.P.)</t>
    </r>
  </si>
  <si>
    <r>
      <t xml:space="preserve">Brick partition work in C.M. 1:4 </t>
    </r>
    <r>
      <rPr>
        <sz val="20"/>
        <color indexed="8"/>
        <rFont val="Arial"/>
        <family val="2"/>
      </rPr>
      <t xml:space="preserve">using Fly ash  bricks of size 23 x 11 x 7 cm  </t>
    </r>
    <r>
      <rPr>
        <b/>
        <sz val="20"/>
        <color indexed="8"/>
        <rFont val="Arial"/>
        <family val="2"/>
      </rPr>
      <t>110 mm tk (B.P.)</t>
    </r>
  </si>
  <si>
    <r>
      <t xml:space="preserve">Brick work in C.M. 1:4 </t>
    </r>
    <r>
      <rPr>
        <sz val="20"/>
        <rFont val="Arial"/>
        <family val="2"/>
      </rPr>
      <t xml:space="preserve">using  using Fly ash  burnt bricks bricks of size 23 x 11 x 7 cm  </t>
    </r>
    <r>
      <rPr>
        <b/>
        <sz val="20"/>
        <rFont val="Arial"/>
        <family val="2"/>
      </rPr>
      <t>70 mm tk (B.P.)</t>
    </r>
  </si>
  <si>
    <r>
      <t xml:space="preserve">Brick work in C.M. 1:4 </t>
    </r>
    <r>
      <rPr>
        <sz val="20"/>
        <color indexed="8"/>
        <rFont val="Arial"/>
        <family val="2"/>
      </rPr>
      <t xml:space="preserve">using  using Fly ash  burnt bricks bricks of size 23 x 11 x 7 cm  </t>
    </r>
    <r>
      <rPr>
        <b/>
        <sz val="20"/>
        <color indexed="8"/>
        <rFont val="Arial"/>
        <family val="2"/>
      </rPr>
      <t>70 mm tk (B.P.)</t>
    </r>
  </si>
  <si>
    <r>
      <t xml:space="preserve">a. In Ground floor </t>
    </r>
    <r>
      <rPr>
        <sz val="18"/>
        <color indexed="9"/>
        <rFont val="Arial"/>
        <family val="2"/>
      </rPr>
      <t>Precast Cupboard slab 20 mm tk.using standardised concrete mix M20 (annexure)</t>
    </r>
  </si>
  <si>
    <r>
      <t xml:space="preserve">b. In First floor </t>
    </r>
    <r>
      <rPr>
        <sz val="18"/>
        <color indexed="9"/>
        <rFont val="Arial"/>
        <family val="2"/>
      </rPr>
      <t>Precast Cupboard slab 20 mm tk.using standardised concrete mix M20 (annexure)</t>
    </r>
  </si>
  <si>
    <r>
      <t xml:space="preserve">c. In Second floor </t>
    </r>
    <r>
      <rPr>
        <sz val="18"/>
        <color indexed="9"/>
        <rFont val="Arial"/>
        <family val="2"/>
      </rPr>
      <t>Precast Cupboard slab 20 mm tk.using standardised concrete mix M20 (annexure)</t>
    </r>
  </si>
  <si>
    <r>
      <t xml:space="preserve">d. In Third floor </t>
    </r>
    <r>
      <rPr>
        <sz val="18"/>
        <color indexed="9"/>
        <rFont val="Arial"/>
        <family val="2"/>
      </rPr>
      <t>Precast Cupboard slab 20 mm tk.using standardised concrete mix M20 (annexure)</t>
    </r>
  </si>
  <si>
    <r>
      <t xml:space="preserve">e.  In Fourth floor </t>
    </r>
    <r>
      <rPr>
        <sz val="18"/>
        <color indexed="9"/>
        <rFont val="Arial"/>
        <family val="2"/>
      </rPr>
      <t>Precast Cupboard slab 20 mm tk.using standardised concrete mix M20 (annexure)</t>
    </r>
  </si>
  <si>
    <r>
      <t xml:space="preserve">a. In Foundation &amp; basement </t>
    </r>
    <r>
      <rPr>
        <sz val="18"/>
        <color indexed="9"/>
        <rFont val="Arial"/>
        <family val="2"/>
      </rPr>
      <t>Precast cupboard slab 40 mm tkusing standardised concrete mix M20 (annexure)</t>
    </r>
  </si>
  <si>
    <r>
      <t xml:space="preserve">b. In Ground floor </t>
    </r>
    <r>
      <rPr>
        <sz val="18"/>
        <color indexed="9"/>
        <rFont val="Arial"/>
        <family val="2"/>
      </rPr>
      <t>Precast cupboard slab 40 mm tkusing standardised concrete mix M20 (annexure)</t>
    </r>
  </si>
  <si>
    <r>
      <t xml:space="preserve">c. In First floor </t>
    </r>
    <r>
      <rPr>
        <sz val="18"/>
        <color indexed="9"/>
        <rFont val="Arial"/>
        <family val="2"/>
      </rPr>
      <t>Precast cupboard slab 40 mm tkusing standardised concrete mix M20 (annexure)</t>
    </r>
  </si>
  <si>
    <r>
      <t xml:space="preserve">d. In Second floor </t>
    </r>
    <r>
      <rPr>
        <sz val="18"/>
        <color indexed="9"/>
        <rFont val="Arial"/>
        <family val="2"/>
      </rPr>
      <t>Precast cupboard slab 40 mm tkusing standardised concrete mix M20 (annexure)</t>
    </r>
  </si>
  <si>
    <r>
      <t xml:space="preserve">f.  In Fourth floor </t>
    </r>
    <r>
      <rPr>
        <sz val="18"/>
        <color indexed="9"/>
        <rFont val="Arial"/>
        <family val="2"/>
      </rPr>
      <t>Precast cupboard slab 40 mm tkusing standardised concrete mix M20 (annexure)</t>
    </r>
  </si>
  <si>
    <r>
      <t xml:space="preserve">a. In Ground floor </t>
    </r>
    <r>
      <rPr>
        <sz val="18"/>
        <color indexed="9"/>
        <rFont val="Arial"/>
        <family val="2"/>
      </rPr>
      <t>Precast Cupboard slab 20 mm tk.using standardised concrete mix M30 (annexure)</t>
    </r>
  </si>
  <si>
    <r>
      <t xml:space="preserve">b. In First floor </t>
    </r>
    <r>
      <rPr>
        <sz val="18"/>
        <color indexed="9"/>
        <rFont val="Arial"/>
        <family val="2"/>
      </rPr>
      <t>Precast Cupboard slab 20 mm tk.using standardised concrete mix M30 (annexure)</t>
    </r>
  </si>
  <si>
    <r>
      <t xml:space="preserve">c. In Second floor </t>
    </r>
    <r>
      <rPr>
        <sz val="18"/>
        <color indexed="9"/>
        <rFont val="Arial"/>
        <family val="2"/>
      </rPr>
      <t>Precast Cupboard slab 20 mm tk.using standardised concrete mix M30 (annexure)</t>
    </r>
  </si>
  <si>
    <r>
      <t xml:space="preserve">d. In Third floor </t>
    </r>
    <r>
      <rPr>
        <sz val="18"/>
        <color indexed="9"/>
        <rFont val="Arial"/>
        <family val="2"/>
      </rPr>
      <t>Precast Cupboard slab 20 mm tk.using standardised concrete mix M30 (annexure)</t>
    </r>
  </si>
  <si>
    <r>
      <t xml:space="preserve">e.  In Fourth floor </t>
    </r>
    <r>
      <rPr>
        <sz val="18"/>
        <color indexed="9"/>
        <rFont val="Arial"/>
        <family val="2"/>
      </rPr>
      <t>Precast Cupboard slab 20 mm tk.using standardised concrete mix M30 (annexure)</t>
    </r>
  </si>
  <si>
    <r>
      <t xml:space="preserve">a. In Foundation &amp; basement </t>
    </r>
    <r>
      <rPr>
        <sz val="18"/>
        <color indexed="9"/>
        <rFont val="Arial"/>
        <family val="2"/>
      </rPr>
      <t>Precast cupboard slab 40 mm tkusing standardised concrete mix M30 (annexure)</t>
    </r>
  </si>
  <si>
    <r>
      <t xml:space="preserve">b. In Ground floor </t>
    </r>
    <r>
      <rPr>
        <sz val="18"/>
        <color indexed="9"/>
        <rFont val="Arial"/>
        <family val="2"/>
      </rPr>
      <t>Precast cupboard slab 40 mm tkusing standardised concrete mix M30 (annexure)</t>
    </r>
  </si>
  <si>
    <r>
      <t xml:space="preserve">c. In First floor </t>
    </r>
    <r>
      <rPr>
        <sz val="18"/>
        <color indexed="9"/>
        <rFont val="Arial"/>
        <family val="2"/>
      </rPr>
      <t>Precast cupboard slab 40 mm tkusing standardised concrete mix M30 (annexure)</t>
    </r>
  </si>
  <si>
    <r>
      <t xml:space="preserve">d. In Second floor </t>
    </r>
    <r>
      <rPr>
        <sz val="18"/>
        <color indexed="9"/>
        <rFont val="Arial"/>
        <family val="2"/>
      </rPr>
      <t>Precast cupboard slab 40 mm tkusing standardised concrete mix M30 (annexure)</t>
    </r>
  </si>
  <si>
    <r>
      <t xml:space="preserve">e. In Third floor </t>
    </r>
    <r>
      <rPr>
        <sz val="18"/>
        <color indexed="9"/>
        <rFont val="Arial"/>
        <family val="2"/>
      </rPr>
      <t>Precast cupboard slab 40 mm tkusing standardised concrete mix M30 (annexure)</t>
    </r>
  </si>
  <si>
    <r>
      <t xml:space="preserve">f.  In Fourth floor </t>
    </r>
    <r>
      <rPr>
        <sz val="18"/>
        <color indexed="9"/>
        <rFont val="Arial"/>
        <family val="2"/>
      </rPr>
      <t>Precast cupboard slab 40 mm tkusing standardised concrete mix M30 (annexure)</t>
    </r>
  </si>
  <si>
    <r>
      <t xml:space="preserve">Precast </t>
    </r>
    <r>
      <rPr>
        <b/>
        <sz val="16"/>
        <rFont val="Arial"/>
        <family val="2"/>
      </rPr>
      <t>Jally ventilator 50mm tk.using standardised concrete mix M30 (annexure) without vibrating charges</t>
    </r>
  </si>
  <si>
    <r>
      <t xml:space="preserve">Precast </t>
    </r>
    <r>
      <rPr>
        <b/>
        <sz val="18"/>
        <color indexed="8"/>
        <rFont val="Arial"/>
        <family val="2"/>
      </rPr>
      <t>Jally ventilator 50mm tk.using standardised concrete mix M30 (annexure) without vibrating charges</t>
    </r>
  </si>
  <si>
    <r>
      <t xml:space="preserve">Precast </t>
    </r>
    <r>
      <rPr>
        <b/>
        <sz val="16"/>
        <rFont val="Arial"/>
        <family val="2"/>
      </rPr>
      <t>Jally ventilator 50mm tk.using standardised concrete mix M25 (annexure) without vibrating charges</t>
    </r>
  </si>
  <si>
    <r>
      <t xml:space="preserve">Precast </t>
    </r>
    <r>
      <rPr>
        <b/>
        <sz val="16"/>
        <color indexed="8"/>
        <rFont val="Arial"/>
        <family val="2"/>
      </rPr>
      <t>Jally ventilator 50mm tk.using standardised concrete mix M25 (annexure) without vibrating charges</t>
    </r>
  </si>
  <si>
    <r>
      <t xml:space="preserve">Precast </t>
    </r>
    <r>
      <rPr>
        <b/>
        <sz val="18"/>
        <rFont val="Arial"/>
        <family val="2"/>
      </rPr>
      <t>Jally ventilator 50mm tk.using standardised concrete mix M20 (annexure) without vibrating charges</t>
    </r>
  </si>
  <si>
    <r>
      <t xml:space="preserve">Precast </t>
    </r>
    <r>
      <rPr>
        <b/>
        <sz val="18"/>
        <color indexed="8"/>
        <rFont val="Arial"/>
        <family val="2"/>
      </rPr>
      <t>Jally ventilator 50mm tk.using standardised concrete mix M20 (annexure) without vibrating charges</t>
    </r>
  </si>
  <si>
    <r>
      <t xml:space="preserve">a. In Ground Floor </t>
    </r>
    <r>
      <rPr>
        <sz val="18"/>
        <color indexed="9"/>
        <rFont val="Arial"/>
        <family val="2"/>
      </rPr>
      <t>Precast Jally ventilator 50mm tk.using standardised concrete mix M20 (annexure) without vibrating charges</t>
    </r>
  </si>
  <si>
    <r>
      <t xml:space="preserve">b. In First floor </t>
    </r>
    <r>
      <rPr>
        <sz val="18"/>
        <color indexed="9"/>
        <rFont val="Arial"/>
        <family val="2"/>
      </rPr>
      <t>Precast Jally ventilator 50mm tk.using standardised concrete mix M20 (annexure) without vibrating charges</t>
    </r>
  </si>
  <si>
    <r>
      <t xml:space="preserve">c. In Second floor </t>
    </r>
    <r>
      <rPr>
        <sz val="18"/>
        <color indexed="9"/>
        <rFont val="Arial"/>
        <family val="2"/>
      </rPr>
      <t>Precast Jally ventilator 50mm tk.using standardised concrete mix M20 (annexure) without vibrating charges</t>
    </r>
  </si>
  <si>
    <r>
      <t xml:space="preserve">d. In Third floor </t>
    </r>
    <r>
      <rPr>
        <sz val="18"/>
        <color indexed="9"/>
        <rFont val="Arial"/>
        <family val="2"/>
      </rPr>
      <t>Precast Jally ventilator 50mm tk.using standardised concrete mix M20 (annexure) without vibrating charges</t>
    </r>
  </si>
  <si>
    <r>
      <t xml:space="preserve">e.  In Fourth floor </t>
    </r>
    <r>
      <rPr>
        <sz val="18"/>
        <color indexed="9"/>
        <rFont val="Arial"/>
        <family val="2"/>
      </rPr>
      <t>Precast Jally ventilator 50mm tk.using standardised concrete mix M20 (annexure) without vibrating charges</t>
    </r>
  </si>
  <si>
    <r>
      <t xml:space="preserve">f.  In Fifth floor </t>
    </r>
    <r>
      <rPr>
        <sz val="18"/>
        <color indexed="9"/>
        <rFont val="Arial"/>
        <family val="2"/>
      </rPr>
      <t>Precast Jally ventilator 50mm tk.using standardised concrete mix M20 (annexure) without vibrating charges</t>
    </r>
  </si>
  <si>
    <r>
      <t xml:space="preserve">A. In Foundation and basement 1.5 m to 4.0 m </t>
    </r>
    <r>
      <rPr>
        <sz val="18"/>
        <color indexed="9"/>
        <rFont val="Arial"/>
        <family val="2"/>
      </rPr>
      <t>Standardised concrete Mix M20 Grade Concrete</t>
    </r>
  </si>
  <si>
    <r>
      <t xml:space="preserve">a. In Foundation and basement </t>
    </r>
    <r>
      <rPr>
        <sz val="18"/>
        <color indexed="9"/>
        <rFont val="Arial"/>
        <family val="2"/>
      </rPr>
      <t>Standardised concrete Mix M20 Grade Concrete</t>
    </r>
  </si>
  <si>
    <r>
      <t xml:space="preserve">b. Ground Floor </t>
    </r>
    <r>
      <rPr>
        <sz val="18"/>
        <color indexed="9"/>
        <rFont val="Arial"/>
        <family val="2"/>
      </rPr>
      <t>Standardised concrete Mix M20 Grade Concrete</t>
    </r>
  </si>
  <si>
    <r>
      <t xml:space="preserve">c. In First Floor </t>
    </r>
    <r>
      <rPr>
        <sz val="18"/>
        <color indexed="9"/>
        <rFont val="Arial"/>
        <family val="2"/>
      </rPr>
      <t>Standardised concrete Mix M20 Grade Concrete</t>
    </r>
  </si>
  <si>
    <r>
      <t xml:space="preserve">d. In Second Floor </t>
    </r>
    <r>
      <rPr>
        <sz val="18"/>
        <color indexed="9"/>
        <rFont val="Arial"/>
        <family val="2"/>
      </rPr>
      <t>Standardised concrete Mix M20 Grade Concrete</t>
    </r>
  </si>
  <si>
    <r>
      <t xml:space="preserve">e. In Third floor </t>
    </r>
    <r>
      <rPr>
        <sz val="18"/>
        <color indexed="9"/>
        <rFont val="Arial"/>
        <family val="2"/>
      </rPr>
      <t>Standardised concrete Mix M20 Grade Concrete</t>
    </r>
  </si>
  <si>
    <r>
      <t xml:space="preserve">f.In fourth floor </t>
    </r>
    <r>
      <rPr>
        <sz val="18"/>
        <color indexed="9"/>
        <rFont val="Arial"/>
        <family val="2"/>
      </rPr>
      <t>Standardised concrete Mix M20 Grade Concrete</t>
    </r>
  </si>
  <si>
    <t>4.1.1</t>
  </si>
  <si>
    <r>
      <t xml:space="preserve">a. In Foundation and basement </t>
    </r>
    <r>
      <rPr>
        <sz val="18"/>
        <color indexed="9"/>
        <rFont val="Arial"/>
        <family val="2"/>
      </rPr>
      <t>Standardised concrete Mix M30 Grade Concrete</t>
    </r>
  </si>
  <si>
    <r>
      <t xml:space="preserve">b. Ground Floor </t>
    </r>
    <r>
      <rPr>
        <sz val="18"/>
        <color indexed="9"/>
        <rFont val="Arial"/>
        <family val="2"/>
      </rPr>
      <t>Standardised concrete Mix M30 Grade Concrete</t>
    </r>
  </si>
  <si>
    <r>
      <t xml:space="preserve">c. In First Floor </t>
    </r>
    <r>
      <rPr>
        <sz val="18"/>
        <color indexed="9"/>
        <rFont val="Arial"/>
        <family val="2"/>
      </rPr>
      <t>Standardised concrete Mix M30 Grade Concrete</t>
    </r>
  </si>
  <si>
    <r>
      <t xml:space="preserve">d. In Second Floor </t>
    </r>
    <r>
      <rPr>
        <sz val="18"/>
        <color indexed="9"/>
        <rFont val="Arial"/>
        <family val="2"/>
      </rPr>
      <t>Standardised concrete Mix M30 Grade Concrete</t>
    </r>
  </si>
  <si>
    <r>
      <t xml:space="preserve">e. In Third floor </t>
    </r>
    <r>
      <rPr>
        <sz val="18"/>
        <color indexed="9"/>
        <rFont val="Arial"/>
        <family val="2"/>
      </rPr>
      <t>Standardised concrete Mix M30 Grade Concrete</t>
    </r>
  </si>
  <si>
    <t>f. In fourth floor</t>
  </si>
  <si>
    <r>
      <t xml:space="preserve">a. Foundation &amp; basement 
</t>
    </r>
    <r>
      <rPr>
        <sz val="18"/>
        <color indexed="9"/>
        <rFont val="Arial"/>
        <family val="2"/>
      </rPr>
      <t>RCC M30 mix using hard broken stone jelly for foundation and basement</t>
    </r>
  </si>
  <si>
    <r>
      <t xml:space="preserve">b.Stilt floor
</t>
    </r>
    <r>
      <rPr>
        <sz val="18"/>
        <color indexed="9"/>
        <rFont val="Arial"/>
        <family val="2"/>
      </rPr>
      <t>RCC M30 mix using hard broken stone jelly for foundation and basement</t>
    </r>
  </si>
  <si>
    <t>Standardised concrete Mix M 25 Grade Concrete</t>
  </si>
  <si>
    <r>
      <t xml:space="preserve">a. In Foundation and basement </t>
    </r>
    <r>
      <rPr>
        <sz val="18"/>
        <color indexed="9"/>
        <rFont val="Arial"/>
        <family val="2"/>
      </rPr>
      <t>Cement Concrete using desing mix of grade M25 concrete</t>
    </r>
  </si>
  <si>
    <r>
      <t xml:space="preserve">b. In Stilt /Ground Floor </t>
    </r>
    <r>
      <rPr>
        <sz val="18"/>
        <color indexed="9"/>
        <rFont val="Arial"/>
        <family val="2"/>
      </rPr>
      <t>Cement Concrete using desing mix of grade M25 concrete</t>
    </r>
  </si>
  <si>
    <r>
      <t xml:space="preserve">c. In First Floor </t>
    </r>
    <r>
      <rPr>
        <sz val="18"/>
        <color indexed="9"/>
        <rFont val="Arial"/>
        <family val="2"/>
      </rPr>
      <t>Cement Concrete using desing mix of grade M25 concrete</t>
    </r>
  </si>
  <si>
    <r>
      <t xml:space="preserve">d. In Second Floor </t>
    </r>
    <r>
      <rPr>
        <sz val="18"/>
        <color indexed="9"/>
        <rFont val="Arial"/>
        <family val="2"/>
      </rPr>
      <t>Cement Concrete using desing mix of grade M25 concrete</t>
    </r>
  </si>
  <si>
    <r>
      <t xml:space="preserve">e. In Third floor </t>
    </r>
    <r>
      <rPr>
        <sz val="18"/>
        <color indexed="9"/>
        <rFont val="Arial"/>
        <family val="2"/>
      </rPr>
      <t>Cement Concrete using desing mix of grade M25 concrete</t>
    </r>
  </si>
  <si>
    <r>
      <t xml:space="preserve">f. In Fourth Floor </t>
    </r>
    <r>
      <rPr>
        <sz val="18"/>
        <color indexed="9"/>
        <rFont val="Arial"/>
        <family val="2"/>
      </rPr>
      <t>Cement Concrete using desing mix of grade M25 concrete</t>
    </r>
  </si>
  <si>
    <r>
      <t xml:space="preserve">g. In Fifth Floor </t>
    </r>
    <r>
      <rPr>
        <sz val="18"/>
        <color indexed="9"/>
        <rFont val="Arial"/>
        <family val="2"/>
      </rPr>
      <t>Cement Concrete using desing mix of grade M25 concrete</t>
    </r>
  </si>
  <si>
    <r>
      <t xml:space="preserve">h. In Sixth Floor </t>
    </r>
    <r>
      <rPr>
        <sz val="18"/>
        <color indexed="9"/>
        <rFont val="Arial"/>
        <family val="2"/>
      </rPr>
      <t>Cement Concrete using desing mix of grade M25 concrete</t>
    </r>
  </si>
  <si>
    <r>
      <t xml:space="preserve">i. In Seventh Floor </t>
    </r>
    <r>
      <rPr>
        <sz val="18"/>
        <color indexed="9"/>
        <rFont val="Arial"/>
        <family val="2"/>
      </rPr>
      <t>Cement Concrete using desing mix of grade M25 concrete</t>
    </r>
  </si>
  <si>
    <r>
      <t xml:space="preserve">j.in Eighth floor </t>
    </r>
    <r>
      <rPr>
        <sz val="18"/>
        <color indexed="9"/>
        <rFont val="Arial"/>
        <family val="2"/>
      </rPr>
      <t>Cement Concrete using desing mix of grade M25 concrete</t>
    </r>
  </si>
  <si>
    <r>
      <t xml:space="preserve">k.in Ninth floor </t>
    </r>
    <r>
      <rPr>
        <sz val="18"/>
        <color indexed="9"/>
        <rFont val="Arial"/>
        <family val="2"/>
      </rPr>
      <t>Cement Concrete using desing mix of grade M25 concrete</t>
    </r>
  </si>
  <si>
    <r>
      <t xml:space="preserve">l.in Tenth floor </t>
    </r>
    <r>
      <rPr>
        <sz val="18"/>
        <color indexed="9"/>
        <rFont val="Arial"/>
        <family val="2"/>
      </rPr>
      <t>Cement Concrete using desing mix of grade M25 concrete</t>
    </r>
  </si>
  <si>
    <r>
      <t xml:space="preserve">l.  In Eleventh floor </t>
    </r>
    <r>
      <rPr>
        <sz val="18"/>
        <color indexed="9"/>
        <rFont val="Arial"/>
        <family val="2"/>
      </rPr>
      <t>Cement Concrete using desing mix of grade M25 concrete</t>
    </r>
  </si>
  <si>
    <r>
      <t xml:space="preserve">m.  In Twelth floor </t>
    </r>
    <r>
      <rPr>
        <sz val="18"/>
        <color indexed="9"/>
        <rFont val="Arial"/>
        <family val="2"/>
      </rPr>
      <t>Cement Concrete using desing mix of grade M25 concrete</t>
    </r>
  </si>
  <si>
    <r>
      <t xml:space="preserve">n. In Thirteen floor </t>
    </r>
    <r>
      <rPr>
        <sz val="18"/>
        <color indexed="9"/>
        <rFont val="Arial"/>
        <family val="2"/>
      </rPr>
      <t>Cement Concrete using desing mix of grade M25 concrete</t>
    </r>
  </si>
  <si>
    <r>
      <t xml:space="preserve">B.W in CM 1:4 in Superstructure for </t>
    </r>
    <r>
      <rPr>
        <b/>
        <sz val="18"/>
        <rFont val="Arial"/>
        <family val="2"/>
      </rPr>
      <t>OHT in First floor</t>
    </r>
  </si>
  <si>
    <r>
      <t xml:space="preserve">B.W in CM 1:4 in Superstructure for </t>
    </r>
    <r>
      <rPr>
        <b/>
        <sz val="18"/>
        <color indexed="8"/>
        <rFont val="Arial"/>
        <family val="2"/>
      </rPr>
      <t>OHT in First floor</t>
    </r>
  </si>
  <si>
    <r>
      <t xml:space="preserve">B.W in CM 1:4 in Superstructure for </t>
    </r>
    <r>
      <rPr>
        <b/>
        <sz val="18"/>
        <rFont val="Arial"/>
        <family val="2"/>
      </rPr>
      <t>OHT in Second  floor</t>
    </r>
  </si>
  <si>
    <r>
      <t xml:space="preserve">B.W in CM 1:4 in Superstructure for </t>
    </r>
    <r>
      <rPr>
        <b/>
        <sz val="18"/>
        <color indexed="8"/>
        <rFont val="Arial"/>
        <family val="2"/>
      </rPr>
      <t>OHT in Second  floor</t>
    </r>
  </si>
  <si>
    <r>
      <t xml:space="preserve">B.W in CM 1:4 in Superstructure for OHT
</t>
    </r>
    <r>
      <rPr>
        <b/>
        <sz val="18"/>
        <rFont val="Arial"/>
        <family val="2"/>
      </rPr>
      <t>In Third  floor</t>
    </r>
  </si>
  <si>
    <r>
      <t xml:space="preserve">B.W in CM 1:4 in Superstructure for OHT
</t>
    </r>
    <r>
      <rPr>
        <b/>
        <sz val="18"/>
        <color indexed="8"/>
        <rFont val="Arial"/>
        <family val="2"/>
      </rPr>
      <t>In Third  floor</t>
    </r>
  </si>
  <si>
    <r>
      <t xml:space="preserve">B.W in CM 1:4 in Superstructure for </t>
    </r>
    <r>
      <rPr>
        <b/>
        <sz val="18"/>
        <rFont val="Arial"/>
        <family val="2"/>
      </rPr>
      <t>OHT In Fourth  floor</t>
    </r>
  </si>
  <si>
    <r>
      <t xml:space="preserve">B.W in CM 1:4 in Superstructure for </t>
    </r>
    <r>
      <rPr>
        <b/>
        <sz val="18"/>
        <color indexed="8"/>
        <rFont val="Arial"/>
        <family val="2"/>
      </rPr>
      <t>OHT In Fourth  floor</t>
    </r>
  </si>
  <si>
    <r>
      <t xml:space="preserve">Earth work excavation in Loose / sandy soils </t>
    </r>
    <r>
      <rPr>
        <b/>
        <sz val="18"/>
        <rFont val="Arial"/>
        <family val="2"/>
      </rPr>
      <t>(including refilling)</t>
    </r>
  </si>
  <si>
    <r>
      <t xml:space="preserve">Earth work excavation in Loose / sandy soils </t>
    </r>
    <r>
      <rPr>
        <b/>
        <sz val="18"/>
        <color indexed="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</si>
  <si>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</si>
  <si>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color indexed="8"/>
        <rFont val="Arial"/>
        <family val="2"/>
      </rPr>
      <t>(excluding refilling) for open foundation</t>
    </r>
  </si>
  <si>
    <r>
      <t xml:space="preserve">Earth work excavation in Loose / sandy soils </t>
    </r>
    <r>
      <rPr>
        <b/>
        <sz val="18"/>
        <rFont val="Arial"/>
        <family val="2"/>
      </rPr>
      <t>(excluding refilling) for drain</t>
    </r>
  </si>
  <si>
    <r>
      <t xml:space="preserve">Earth work excavation in Loose / sandy soils </t>
    </r>
    <r>
      <rPr>
        <b/>
        <sz val="18"/>
        <color indexed="8"/>
        <rFont val="Arial"/>
        <family val="2"/>
      </rPr>
      <t>(excluding refilling) for drain</t>
    </r>
  </si>
  <si>
    <t>Set</t>
  </si>
  <si>
    <t>R.C.C.Door frames of size 100 x 75mm with one edge grooves size 't' x 20 mm using M25 grade ( with out vibrating charges)</t>
  </si>
  <si>
    <r>
      <t xml:space="preserve">a. 900 x 2100 mm </t>
    </r>
    <r>
      <rPr>
        <sz val="18"/>
        <color indexed="9"/>
        <rFont val="Arial"/>
        <family val="2"/>
      </rPr>
      <t>R.C.C.Door frames of size 100 x 75mm with one edge grooves size 't' x 20 mm using M20 grade ( with out vibrating charges)</t>
    </r>
  </si>
  <si>
    <r>
      <t xml:space="preserve">c. 1200 x 2100 mm </t>
    </r>
    <r>
      <rPr>
        <sz val="18"/>
        <color indexed="9"/>
        <rFont val="Arial"/>
        <family val="2"/>
      </rPr>
      <t>R.C.C.Door frames of size 100 x 75mm with one edge grooves size 't' x 20 mm using M20 grade ( with out vibrating charges)</t>
    </r>
  </si>
  <si>
    <r>
      <t xml:space="preserve">c. 1000 x 2100 mm </t>
    </r>
    <r>
      <rPr>
        <sz val="18"/>
        <color indexed="9"/>
        <rFont val="Arial"/>
        <family val="2"/>
      </rPr>
      <t>R.C.C.Door frames of size 100 x 75mm with one edge grooves size 't' x 20 mm using M20 grade ( with out vibrating charges)</t>
    </r>
  </si>
  <si>
    <r>
      <t xml:space="preserve">d. 750 x 2100 mm </t>
    </r>
    <r>
      <rPr>
        <sz val="18"/>
        <color indexed="9"/>
        <rFont val="Arial"/>
        <family val="2"/>
      </rPr>
      <t>R.C.C.Door frames of size 100 x 75mm with one edge grooves size 't' x 20 mm using M20 grade ( with out vibrating charges)</t>
    </r>
  </si>
  <si>
    <t>22.3.2</t>
  </si>
  <si>
    <r>
      <t xml:space="preserve">a. 1000X2100mm. </t>
    </r>
    <r>
      <rPr>
        <sz val="18"/>
        <color indexed="9"/>
        <rFont val="Arial"/>
        <family val="2"/>
      </rPr>
      <t>MDF board door shutters (35mm thick) exterior grade both side laminated with external lipping.</t>
    </r>
  </si>
  <si>
    <r>
      <t xml:space="preserve">b. 900X2100mm. </t>
    </r>
    <r>
      <rPr>
        <sz val="18"/>
        <color indexed="9"/>
        <rFont val="Arial"/>
        <family val="2"/>
      </rPr>
      <t>MDF board door shutters (35mm thick) exterior grade both side laminated with external lipping.</t>
    </r>
  </si>
  <si>
    <r>
      <t xml:space="preserve">c.1200X2100mm. </t>
    </r>
    <r>
      <rPr>
        <sz val="18"/>
        <color indexed="9"/>
        <rFont val="Arial"/>
        <family val="2"/>
      </rPr>
      <t>MDF board door shutters (35mm thick) exterior grade both side laminated with external lipping.</t>
    </r>
  </si>
  <si>
    <r>
      <t xml:space="preserve">TW double leaves shutter of size  2000X2400mm.(Double leaves) </t>
    </r>
    <r>
      <rPr>
        <b/>
        <sz val="18"/>
        <rFont val="Arial"/>
        <family val="2"/>
      </rPr>
      <t>with Brass fittings</t>
    </r>
  </si>
  <si>
    <r>
      <t xml:space="preserve">TW double leaves shutter of size  2000X2400mm.(Double leaves) </t>
    </r>
    <r>
      <rPr>
        <b/>
        <sz val="18"/>
        <color indexed="8"/>
        <rFont val="Arial"/>
        <family val="2"/>
      </rPr>
      <t>with Brass fittings</t>
    </r>
  </si>
  <si>
    <r>
      <t xml:space="preserve">TW panelled door </t>
    </r>
    <r>
      <rPr>
        <b/>
        <sz val="17"/>
        <rFont val="Arial"/>
        <family val="2"/>
      </rPr>
      <t>double leaves</t>
    </r>
    <r>
      <rPr>
        <sz val="17"/>
        <rFont val="Arial"/>
        <family val="2"/>
      </rPr>
      <t xml:space="preserve"> shutter with </t>
    </r>
    <r>
      <rPr>
        <b/>
        <sz val="17"/>
        <rFont val="Arial"/>
        <family val="2"/>
      </rPr>
      <t>brass fittings</t>
    </r>
    <r>
      <rPr>
        <sz val="17"/>
        <rFont val="Arial"/>
        <family val="2"/>
      </rPr>
      <t xml:space="preserve"> of size . 2000X2100mm. Thiruvarur AR  Garage</t>
    </r>
  </si>
  <si>
    <r>
      <t xml:space="preserve">TW panelled door </t>
    </r>
    <r>
      <rPr>
        <b/>
        <sz val="18"/>
        <color indexed="8"/>
        <rFont val="Arial"/>
        <family val="2"/>
      </rPr>
      <t>double leaves</t>
    </r>
    <r>
      <rPr>
        <sz val="18"/>
        <color indexed="8"/>
        <rFont val="Arial"/>
        <family val="2"/>
      </rPr>
      <t xml:space="preserve"> shutter with </t>
    </r>
    <r>
      <rPr>
        <b/>
        <sz val="18"/>
        <color indexed="8"/>
        <rFont val="Arial"/>
        <family val="2"/>
      </rPr>
      <t>brass fittings</t>
    </r>
    <r>
      <rPr>
        <sz val="18"/>
        <color indexed="8"/>
        <rFont val="Arial"/>
        <family val="2"/>
      </rPr>
      <t xml:space="preserve"> of size . 2000X2100mm. Thiruvarur AR  Garage</t>
    </r>
  </si>
  <si>
    <r>
      <t xml:space="preserve">TW double leaves shutter of size  </t>
    </r>
    <r>
      <rPr>
        <b/>
        <sz val="18"/>
        <rFont val="Arial"/>
        <family val="2"/>
      </rPr>
      <t>with brass fittings</t>
    </r>
    <r>
      <rPr>
        <sz val="18"/>
        <rFont val="Arial"/>
        <family val="2"/>
      </rPr>
      <t xml:space="preserve">
a.1800 x 2100mm </t>
    </r>
    <r>
      <rPr>
        <b/>
        <sz val="18"/>
        <rFont val="Arial"/>
        <family val="2"/>
      </rPr>
      <t>For PS</t>
    </r>
  </si>
  <si>
    <r>
      <t xml:space="preserve">TW double leaves shutter of size  </t>
    </r>
    <r>
      <rPr>
        <b/>
        <sz val="18"/>
        <color indexed="8"/>
        <rFont val="Arial"/>
        <family val="2"/>
      </rPr>
      <t>with brass fittings</t>
    </r>
    <r>
      <rPr>
        <sz val="18"/>
        <color indexed="8"/>
        <rFont val="Arial"/>
        <family val="2"/>
      </rPr>
      <t xml:space="preserve">
a.1800 x 2100mm </t>
    </r>
    <r>
      <rPr>
        <b/>
        <sz val="18"/>
        <color indexed="8"/>
        <rFont val="Arial"/>
        <family val="2"/>
      </rPr>
      <t>For PS</t>
    </r>
  </si>
  <si>
    <r>
      <t xml:space="preserve">a. 1500X2400mm.(Double leaves) </t>
    </r>
    <r>
      <rPr>
        <b/>
        <sz val="18"/>
        <rFont val="Arial"/>
        <family val="2"/>
      </rPr>
      <t>with Brass  Screws only ( DPO Ariyalur)</t>
    </r>
  </si>
  <si>
    <r>
      <t xml:space="preserve">a. 1500X2400mm.(Double leaves) </t>
    </r>
    <r>
      <rPr>
        <b/>
        <sz val="18"/>
        <color indexed="8"/>
        <rFont val="Arial"/>
        <family val="2"/>
      </rPr>
      <t>with Brass  Screws only ( DPO Ariyalur)</t>
    </r>
  </si>
  <si>
    <r>
      <t xml:space="preserve">a. 1500X2100mm.(Double leaves) </t>
    </r>
    <r>
      <rPr>
        <b/>
        <sz val="18"/>
        <rFont val="Arial"/>
        <family val="2"/>
      </rPr>
      <t>with Brass fittings</t>
    </r>
  </si>
  <si>
    <r>
      <t xml:space="preserve">a. 1500X2100mm.(Double leaves) </t>
    </r>
    <r>
      <rPr>
        <b/>
        <sz val="18"/>
        <color indexed="8"/>
        <rFont val="Arial"/>
        <family val="2"/>
      </rPr>
      <t>with Brass fittings</t>
    </r>
  </si>
  <si>
    <r>
      <t xml:space="preserve">TW panelled door </t>
    </r>
    <r>
      <rPr>
        <b/>
        <sz val="17"/>
        <rFont val="Arial"/>
        <family val="2"/>
      </rPr>
      <t>double leaves</t>
    </r>
    <r>
      <rPr>
        <sz val="17"/>
        <rFont val="Arial"/>
        <family val="2"/>
      </rPr>
      <t xml:space="preserve"> shutter with </t>
    </r>
    <r>
      <rPr>
        <b/>
        <sz val="17"/>
        <rFont val="Arial"/>
        <family val="2"/>
      </rPr>
      <t>brass fittings</t>
    </r>
    <r>
      <rPr>
        <sz val="17"/>
        <rFont val="Arial"/>
        <family val="2"/>
      </rPr>
      <t xml:space="preserve"> of size . 1200X2100mm.( Crime &amp; Traffic)</t>
    </r>
  </si>
  <si>
    <r>
      <t xml:space="preserve">TW panelled door </t>
    </r>
    <r>
      <rPr>
        <b/>
        <sz val="18"/>
        <color indexed="8"/>
        <rFont val="Arial"/>
        <family val="2"/>
      </rPr>
      <t>double leaves</t>
    </r>
    <r>
      <rPr>
        <sz val="18"/>
        <color indexed="8"/>
        <rFont val="Arial"/>
        <family val="2"/>
      </rPr>
      <t xml:space="preserve"> shutter with </t>
    </r>
    <r>
      <rPr>
        <b/>
        <sz val="18"/>
        <color indexed="8"/>
        <rFont val="Arial"/>
        <family val="2"/>
      </rPr>
      <t>brass fittings</t>
    </r>
    <r>
      <rPr>
        <sz val="18"/>
        <color indexed="8"/>
        <rFont val="Arial"/>
        <family val="2"/>
      </rPr>
      <t xml:space="preserve"> of size . 1200X2100mm.( Crime &amp; Traffic)</t>
    </r>
  </si>
  <si>
    <r>
      <t xml:space="preserve">TW paneled door shutter  size  2400 x 2400mm  with french window  (two end fixed 5.5mm thick glass and doble leaf shutter , </t>
    </r>
    <r>
      <rPr>
        <b/>
        <sz val="16"/>
        <rFont val="Arial"/>
        <family val="2"/>
      </rPr>
      <t>Trichy Community hall )</t>
    </r>
  </si>
  <si>
    <r>
      <t xml:space="preserve">TW paneled door shutter  size  2400 x 2400mm  with french window  (two end fixed 5.5mm thick glass and doble leaf shutter , </t>
    </r>
    <r>
      <rPr>
        <b/>
        <sz val="18"/>
        <color indexed="8"/>
        <rFont val="Arial"/>
        <family val="2"/>
      </rPr>
      <t>Trichy Community hall )</t>
    </r>
  </si>
  <si>
    <t>21.5.2</t>
  </si>
  <si>
    <t>23.2.1</t>
  </si>
  <si>
    <r>
      <t xml:space="preserve">a. In Ground floor </t>
    </r>
    <r>
      <rPr>
        <sz val="18"/>
        <color indexed="9"/>
        <rFont val="Arial"/>
        <family val="2"/>
      </rPr>
      <t>Cuddappa slab 20 mm tk.for kitchen hearth slab.</t>
    </r>
  </si>
  <si>
    <r>
      <t xml:space="preserve">b. In First floor </t>
    </r>
    <r>
      <rPr>
        <sz val="18"/>
        <color indexed="9"/>
        <rFont val="Arial"/>
        <family val="2"/>
      </rPr>
      <t>Cuddappa slab 20 mm tk.for kitchen hearth slab.</t>
    </r>
  </si>
  <si>
    <r>
      <t xml:space="preserve">c. In Second floor </t>
    </r>
    <r>
      <rPr>
        <sz val="18"/>
        <color indexed="9"/>
        <rFont val="Arial"/>
        <family val="2"/>
      </rPr>
      <t>Cuddappa slab 20 mm tk.for kitchen hearth slab.</t>
    </r>
  </si>
  <si>
    <r>
      <t xml:space="preserve">d. In Third floor </t>
    </r>
    <r>
      <rPr>
        <sz val="18"/>
        <color indexed="9"/>
        <rFont val="Arial"/>
        <family val="2"/>
      </rPr>
      <t>Cuddappa slab 20 mm tk.for kitchen hearth slab.</t>
    </r>
  </si>
  <si>
    <r>
      <t xml:space="preserve">e.  In Fourth floor </t>
    </r>
    <r>
      <rPr>
        <sz val="18"/>
        <color indexed="9"/>
        <rFont val="Arial"/>
        <family val="2"/>
      </rPr>
      <t>Cuddappa slab 20 mm tk.for kitchen hearth slab.</t>
    </r>
  </si>
  <si>
    <t>a. Ground floor</t>
  </si>
  <si>
    <r>
      <t xml:space="preserve">a. Ground floor </t>
    </r>
    <r>
      <rPr>
        <sz val="17"/>
        <color indexed="9"/>
        <rFont val="Arial"/>
        <family val="2"/>
      </rPr>
      <t>Cuddappa slab 20 mm tk.for C/B  slab.</t>
    </r>
  </si>
  <si>
    <r>
      <t xml:space="preserve">b. In First floor </t>
    </r>
    <r>
      <rPr>
        <sz val="18"/>
        <color indexed="9"/>
        <rFont val="Arial"/>
        <family val="2"/>
      </rPr>
      <t>Cuddappa slab 20 mm tk.for C/B  slab.</t>
    </r>
  </si>
  <si>
    <r>
      <t xml:space="preserve">c. In Second floor </t>
    </r>
    <r>
      <rPr>
        <sz val="18"/>
        <color indexed="9"/>
        <rFont val="Arial"/>
        <family val="2"/>
      </rPr>
      <t>Cuddappa slab 20 mm tk.for C/B  slab.</t>
    </r>
  </si>
  <si>
    <r>
      <t xml:space="preserve">d. In Third floor </t>
    </r>
    <r>
      <rPr>
        <sz val="18"/>
        <color indexed="9"/>
        <rFont val="Arial"/>
        <family val="2"/>
      </rPr>
      <t>Cuddappa slab 20 mm tk.for C/B  slab.</t>
    </r>
  </si>
  <si>
    <r>
      <t xml:space="preserve">e.  In Fourth floor </t>
    </r>
    <r>
      <rPr>
        <sz val="18"/>
        <color indexed="9"/>
        <rFont val="Arial"/>
        <family val="2"/>
      </rPr>
      <t>Cuddappa slab 20 mm tk.for C/B  slab.</t>
    </r>
  </si>
  <si>
    <r>
      <t xml:space="preserve">a. In Ground floor </t>
    </r>
    <r>
      <rPr>
        <sz val="18"/>
        <color indexed="9"/>
        <rFont val="Arial"/>
        <family val="2"/>
      </rPr>
      <t>Cuddappa slab 40 mm tk.for C/B  slab.</t>
    </r>
  </si>
  <si>
    <r>
      <t xml:space="preserve">b. In First floor </t>
    </r>
    <r>
      <rPr>
        <sz val="18"/>
        <color indexed="9"/>
        <rFont val="Arial"/>
        <family val="2"/>
      </rPr>
      <t>Cuddappa slab 40 mm tk.for C/B  slab.</t>
    </r>
  </si>
  <si>
    <r>
      <t xml:space="preserve">c. In Second floor </t>
    </r>
    <r>
      <rPr>
        <sz val="18"/>
        <color indexed="9"/>
        <rFont val="Arial"/>
        <family val="2"/>
      </rPr>
      <t>Cuddappa slab 40 mm tk.for C/B  slab.</t>
    </r>
  </si>
  <si>
    <r>
      <t xml:space="preserve">d. In Third floor </t>
    </r>
    <r>
      <rPr>
        <sz val="18"/>
        <color indexed="9"/>
        <rFont val="Arial"/>
        <family val="2"/>
      </rPr>
      <t>Cuddappa slab 40 mm tk.for C/B  slab.</t>
    </r>
  </si>
  <si>
    <r>
      <t xml:space="preserve">e.  In Fourth floor </t>
    </r>
    <r>
      <rPr>
        <sz val="18"/>
        <color indexed="9"/>
        <rFont val="Arial"/>
        <family val="2"/>
      </rPr>
      <t>Cuddappa slab 40 mm tk.for C/B  slab.</t>
    </r>
  </si>
  <si>
    <r>
      <t xml:space="preserve">Fabrication of </t>
    </r>
    <r>
      <rPr>
        <b/>
        <sz val="18"/>
        <rFont val="Arial"/>
        <family val="2"/>
      </rPr>
      <t xml:space="preserve">Mild steel / RTS grills
</t>
    </r>
    <r>
      <rPr>
        <sz val="18"/>
        <rFont val="Arial"/>
        <family val="2"/>
      </rPr>
      <t>(with cement slurry wash) for all sizes of rods.</t>
    </r>
  </si>
  <si>
    <r>
      <t xml:space="preserve">Fabrication of </t>
    </r>
    <r>
      <rPr>
        <b/>
        <sz val="18"/>
        <color indexed="8"/>
        <rFont val="Arial"/>
        <family val="2"/>
      </rPr>
      <t xml:space="preserve">Mild steel / RTS grills
</t>
    </r>
    <r>
      <rPr>
        <sz val="18"/>
        <color indexed="8"/>
        <rFont val="Arial"/>
        <family val="2"/>
      </rPr>
      <t>(with cement slurry wash) for all sizes of rods.</t>
    </r>
  </si>
  <si>
    <r>
      <t xml:space="preserve">Fabrication of </t>
    </r>
    <r>
      <rPr>
        <b/>
        <sz val="18"/>
        <rFont val="Arial"/>
        <family val="2"/>
      </rPr>
      <t>Mild steel / RTS grills (without cement slurry) for all sizes of rods.</t>
    </r>
    <r>
      <rPr>
        <sz val="18"/>
        <rFont val="Arial"/>
        <family val="2"/>
      </rPr>
      <t xml:space="preserve">
</t>
    </r>
  </si>
  <si>
    <r>
      <t xml:space="preserve">Fabrication of </t>
    </r>
    <r>
      <rPr>
        <b/>
        <sz val="18"/>
        <color indexed="8"/>
        <rFont val="Arial"/>
        <family val="2"/>
      </rPr>
      <t>Mild steel / RTS grills (without cement slurry) for all sizes of rods.</t>
    </r>
    <r>
      <rPr>
        <sz val="18"/>
        <color indexed="8"/>
        <rFont val="Arial"/>
        <family val="2"/>
      </rPr>
      <t xml:space="preserve">
</t>
    </r>
  </si>
  <si>
    <r>
      <t xml:space="preserve">PVC SWR 110 mm dia with ISI mark type- A for </t>
    </r>
    <r>
      <rPr>
        <b/>
        <sz val="18"/>
        <rFont val="Arial"/>
        <family val="2"/>
      </rPr>
      <t>Rain water down fall pipe</t>
    </r>
  </si>
  <si>
    <r>
      <t xml:space="preserve">PVC SWR 110 mm dia with ISI mark type- A for </t>
    </r>
    <r>
      <rPr>
        <b/>
        <sz val="17"/>
        <color indexed="8"/>
        <rFont val="Arial"/>
        <family val="2"/>
      </rPr>
      <t>Rain water down fall pipe</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</si>
  <si>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</si>
  <si>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Supplying and fixing of Brass </t>
    </r>
    <r>
      <rPr>
        <b/>
        <sz val="18"/>
        <color indexed="8"/>
        <rFont val="Arial"/>
        <family val="2"/>
      </rPr>
      <t>Chromium plated screw down tap</t>
    </r>
    <r>
      <rPr>
        <sz val="18"/>
        <color indexed="8"/>
        <rFont val="Arial"/>
        <family val="2"/>
      </rPr>
      <t xml:space="preserve"> 15mm dia (heavy type not less than 430 grms weight)  with ISI mark.
</t>
    </r>
  </si>
  <si>
    <r>
      <t xml:space="preserve">a. 110 mm dia. </t>
    </r>
    <r>
      <rPr>
        <sz val="20"/>
        <color indexed="9"/>
        <rFont val="Arial"/>
        <family val="2"/>
      </rPr>
      <t>PVC SWR pipe (Soil line) with ISI mark - type 'B'.</t>
    </r>
  </si>
  <si>
    <r>
      <t xml:space="preserve">b. 75 mm dia. </t>
    </r>
    <r>
      <rPr>
        <sz val="20"/>
        <color indexed="9"/>
        <rFont val="Arial"/>
        <family val="2"/>
      </rPr>
      <t>PVC SWR pipe (Soil line) with ISI mark - type 'B'.</t>
    </r>
  </si>
  <si>
    <t>Wiring with 1.5 sqmm PVC insulated single core multi strand fire retardant flexible copper cable with ISI mark confirming IS: 694:1990.( Ordinary)</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</si>
  <si>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</si>
  <si>
    <t>Wiring with 1.5 sqmm PVC insulated single core multi strand fire retardant flexible copper cable with ISI mark confirming IS: 694:1990 for Fan point.</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</si>
  <si>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</si>
  <si>
    <t>Wiring with 1.5 sqmm PVC insulated single core multi strand fire retardant flexible copper cable with ISI mark confirming IS: 694:1990 for Staircase Light Point.</t>
  </si>
  <si>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</si>
  <si>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t>Wiring with 1.5 sqmm PVC insulated single core multi strand fire retardant flexible copper cable with ISI mark confirming IS: 694:1990 for 5 amps 5 pin plug socket point @ Switch Board Itself.</t>
  </si>
  <si>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t>
    </r>
  </si>
  <si>
    <t>Wiring with 1.5 sqmm PVC insulated single core multi strand fire retardant flexible copper cable with ISI mark confirming IS: 694:1990 for 5 amps 5 pin plug socket point @ Convenient Places.</t>
  </si>
  <si>
    <r>
      <t xml:space="preserve">Supply and delivery of  </t>
    </r>
    <r>
      <rPr>
        <b/>
        <sz val="18"/>
        <rFont val="Arial"/>
        <family val="2"/>
      </rPr>
      <t xml:space="preserve">48" (1200 mm) Fan </t>
    </r>
    <r>
      <rPr>
        <sz val="18"/>
        <rFont val="Arial"/>
        <family val="2"/>
      </rPr>
      <t>with ISI mark with Eletronic Dimmer</t>
    </r>
  </si>
  <si>
    <r>
      <t xml:space="preserve">Supply and delivery of  </t>
    </r>
    <r>
      <rPr>
        <b/>
        <sz val="18"/>
        <color indexed="8"/>
        <rFont val="Arial"/>
        <family val="2"/>
      </rPr>
      <t xml:space="preserve">48" (1200 mm) Fan </t>
    </r>
    <r>
      <rPr>
        <sz val="18"/>
        <color indexed="8"/>
        <rFont val="Arial"/>
        <family val="2"/>
      </rPr>
      <t>with ISI mark with Eletronic Dimmer</t>
    </r>
  </si>
  <si>
    <t>Run of 2 Wires of 2.5 sqmm PVC insulated single core multi strand fire retardant flexible copper cable with ISI mark confirming IS: 694:1990.</t>
  </si>
  <si>
    <r>
      <t xml:space="preserve">4 x 4  Sq mm copper PVC insulated unsheathed single core cable for </t>
    </r>
    <r>
      <rPr>
        <b/>
        <sz val="18"/>
        <rFont val="Arial"/>
        <family val="2"/>
      </rPr>
      <t>3 phase EB service connection</t>
    </r>
  </si>
  <si>
    <r>
      <t xml:space="preserve">4 x 4  Sq mm copper PVC insulated unsheathed single core cable for </t>
    </r>
    <r>
      <rPr>
        <b/>
        <sz val="18"/>
        <color indexed="8"/>
        <rFont val="Arial"/>
        <family val="2"/>
      </rPr>
      <t>3 phase EB service connection</t>
    </r>
  </si>
  <si>
    <t xml:space="preserve">Run of 4 Wires of 6 sqmm PVC insulated single core multi strand </t>
  </si>
  <si>
    <t xml:space="preserve">Run of 4 Wires of 10 sqmm PVC insulated single core multi strand </t>
  </si>
  <si>
    <t>a). Providing pit</t>
  </si>
  <si>
    <r>
      <t xml:space="preserve">a). Providing pit </t>
    </r>
    <r>
      <rPr>
        <sz val="18"/>
        <color indexed="9"/>
        <rFont val="Arial"/>
        <family val="2"/>
      </rPr>
      <t>Rain water harvesting using defunct borewell and providing perforated cover slab</t>
    </r>
  </si>
  <si>
    <t>b) Augering 30cm dia</t>
  </si>
  <si>
    <r>
      <t xml:space="preserve">b) Augering 30cm dia </t>
    </r>
    <r>
      <rPr>
        <sz val="18"/>
        <color indexed="9"/>
        <rFont val="Arial"/>
        <family val="2"/>
      </rPr>
      <t>Rain water harvesting using defunct borewell and providing perforated cover slab</t>
    </r>
  </si>
  <si>
    <t>Providing single nosing to the edges of Granite slab (PWD SR/P.42)</t>
  </si>
  <si>
    <r>
      <t>Anticorrosive treatment for window</t>
    </r>
    <r>
      <rPr>
        <b/>
        <sz val="18"/>
        <rFont val="Arial"/>
        <family val="2"/>
      </rPr>
      <t xml:space="preserve"> grills</t>
    </r>
  </si>
  <si>
    <r>
      <t>Anticorrosive treatment for window</t>
    </r>
    <r>
      <rPr>
        <b/>
        <sz val="18"/>
        <color indexed="8"/>
        <rFont val="Arial"/>
        <family val="2"/>
      </rPr>
      <t xml:space="preserve"> grills</t>
    </r>
  </si>
  <si>
    <t>38.4.1</t>
  </si>
  <si>
    <t xml:space="preserve">Two coat of OBD over one coat white cement for inner walls </t>
  </si>
  <si>
    <t>2 x 4 Sqmm Copper PVC insulated unsheathed single core 1 KV grade cable for EB service single phase.</t>
  </si>
  <si>
    <t>S&amp;F of stainless steel sink 550 x 450 x 200mm ( 1750/112 x100=1562.50 Each)</t>
  </si>
  <si>
    <r>
      <t>Granite Tiles flooring (</t>
    </r>
    <r>
      <rPr>
        <b/>
        <sz val="18"/>
        <rFont val="Arial"/>
        <family val="2"/>
      </rPr>
      <t>Ruby red)</t>
    </r>
  </si>
  <si>
    <r>
      <t>Granite Tiles flooring (</t>
    </r>
    <r>
      <rPr>
        <b/>
        <sz val="18"/>
        <color indexed="8"/>
        <rFont val="Arial"/>
        <family val="2"/>
      </rPr>
      <t>Ruby red)</t>
    </r>
  </si>
  <si>
    <r>
      <t xml:space="preserve">Providing wooden </t>
    </r>
    <r>
      <rPr>
        <b/>
        <sz val="18"/>
        <rFont val="Arial"/>
        <family val="2"/>
      </rPr>
      <t>Melamine</t>
    </r>
    <r>
      <rPr>
        <sz val="18"/>
        <rFont val="Arial"/>
        <family val="2"/>
      </rPr>
      <t xml:space="preserve"> polish for new wood work</t>
    </r>
  </si>
  <si>
    <r>
      <t xml:space="preserve">Providing wooden </t>
    </r>
    <r>
      <rPr>
        <b/>
        <sz val="18"/>
        <color indexed="8"/>
        <rFont val="Arial"/>
        <family val="2"/>
      </rPr>
      <t>Melamine</t>
    </r>
    <r>
      <rPr>
        <sz val="18"/>
        <color indexed="8"/>
        <rFont val="Arial"/>
        <family val="2"/>
      </rPr>
      <t xml:space="preserve"> polish for new wood work</t>
    </r>
  </si>
  <si>
    <t>Vitrified Tiles flooring (Ivory)</t>
  </si>
  <si>
    <r>
      <t xml:space="preserve">S &amp; F of wall panelling </t>
    </r>
    <r>
      <rPr>
        <b/>
        <sz val="17"/>
        <rFont val="Arial"/>
        <family val="2"/>
      </rPr>
      <t>DPO ARIYALUR</t>
    </r>
  </si>
  <si>
    <r>
      <t xml:space="preserve">S &amp; F of wall panelling </t>
    </r>
    <r>
      <rPr>
        <b/>
        <sz val="18"/>
        <color indexed="8"/>
        <rFont val="Arial"/>
        <family val="2"/>
      </rPr>
      <t>DPO ARIYALUR</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</si>
  <si>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</si>
  <si>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 of material and lab ourfor Mineralfbre 600mmx600mm</t>
    </r>
    <r>
      <rPr>
        <b/>
        <sz val="18"/>
        <color indexed="8"/>
        <rFont val="Arial"/>
        <family val="2"/>
      </rPr>
      <t xml:space="preserve"> Grid false</t>
    </r>
    <r>
      <rPr>
        <sz val="18"/>
        <color indexed="8"/>
        <rFont val="Arial"/>
        <family val="2"/>
      </rPr>
      <t xml:space="preserve"> </t>
    </r>
    <r>
      <rPr>
        <b/>
        <sz val="18"/>
        <color indexed="8"/>
        <rFont val="Arial"/>
        <family val="2"/>
      </rPr>
      <t>ceiling</t>
    </r>
    <r>
      <rPr>
        <sz val="18"/>
        <color indexed="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</si>
  <si>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</si>
  <si>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Supplying, fabricating, erecting and fixing  Gyp board false ceiling using</t>
    </r>
    <r>
      <rPr>
        <b/>
        <sz val="18"/>
        <color indexed="8"/>
        <rFont val="Arial"/>
        <family val="2"/>
      </rPr>
      <t xml:space="preserve"> perforated </t>
    </r>
    <r>
      <rPr>
        <sz val="18"/>
        <color indexed="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</si>
  <si>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</si>
  <si>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CP </t>
    </r>
    <r>
      <rPr>
        <b/>
        <sz val="18"/>
        <color indexed="8"/>
        <rFont val="Arial"/>
        <family val="2"/>
      </rPr>
      <t xml:space="preserve">wall mixer two in one </t>
    </r>
    <r>
      <rPr>
        <sz val="18"/>
        <color indexed="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</si>
  <si>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</si>
  <si>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 xml:space="preserve">Supplying and fixing of </t>
    </r>
    <r>
      <rPr>
        <b/>
        <sz val="18"/>
        <color indexed="8"/>
        <rFont val="Arial"/>
        <family val="2"/>
      </rPr>
      <t>shower arm 9"</t>
    </r>
    <r>
      <rPr>
        <sz val="18"/>
        <color indexed="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</si>
  <si>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</si>
  <si>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</si>
  <si>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</si>
  <si>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t>Wiring with 1.5 sqmm PVC insulated single core multi strand fire retardant flexible copper cable with ISI mark confirming IS: 694:1990 for 5 amps 5 pin Modular plug socket point @ Convenient Places.</t>
  </si>
  <si>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</si>
  <si>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t>Wiring with 1.5 sqmm PVC insulated single core multi strand fire retardant flexible copper cable with ISI mark confirming IS: 694:1990 for 5 amps 5 pin Modular plug socket point @ Switch Board Itself.</t>
  </si>
  <si>
    <t>RMT</t>
  </si>
  <si>
    <r>
      <t xml:space="preserve">Supplying and fixing of </t>
    </r>
    <r>
      <rPr>
        <b/>
        <sz val="18"/>
        <rFont val="Arial"/>
        <family val="2"/>
      </rPr>
      <t>brass cable gland</t>
    </r>
    <r>
      <rPr>
        <sz val="18"/>
        <rFont val="Arial"/>
        <family val="2"/>
      </rPr>
      <t xml:space="preserve"> suitable for 3.5 core 70 Sqmm PVC armoured LTUG cable  SD 189</t>
    </r>
  </si>
  <si>
    <t>Supplying and fixing of brass cable gland suitable for 3.5 core 70 Sqmm PVC armoured LTUG cable  SD 189</t>
  </si>
  <si>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</si>
  <si>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t>
    </r>
    <r>
      <rPr>
        <b/>
        <sz val="18"/>
        <color indexed="8"/>
        <rFont val="Arial"/>
        <family val="2"/>
      </rPr>
      <t>SS Soap Tray</t>
    </r>
    <r>
      <rPr>
        <sz val="18"/>
        <color indexed="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</si>
  <si>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</si>
  <si>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CP </t>
    </r>
    <r>
      <rPr>
        <b/>
        <sz val="18"/>
        <color indexed="8"/>
        <rFont val="Arial"/>
        <family val="2"/>
      </rPr>
      <t>Angle valve Stop cock</t>
    </r>
    <r>
      <rPr>
        <sz val="18"/>
        <color indexed="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</si>
  <si>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</si>
  <si>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Supplying and fixing of </t>
    </r>
    <r>
      <rPr>
        <b/>
        <sz val="18"/>
        <color indexed="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</si>
  <si>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</si>
  <si>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color indexed="8"/>
        <rFont val="Arial"/>
        <family val="2"/>
      </rPr>
      <t>Health faucet</t>
    </r>
    <r>
      <rPr>
        <sz val="18"/>
        <color indexed="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</si>
  <si>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</si>
  <si>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Supply and fixing of </t>
    </r>
    <r>
      <rPr>
        <b/>
        <sz val="18"/>
        <color indexed="8"/>
        <rFont val="Arial"/>
        <family val="2"/>
      </rPr>
      <t xml:space="preserve">spot light </t>
    </r>
    <r>
      <rPr>
        <sz val="18"/>
        <color indexed="8"/>
        <rFont val="Arial"/>
        <family val="2"/>
      </rPr>
      <t>of approved make and company with ISI CFL bulb  CER No.178/13-14</t>
    </r>
  </si>
  <si>
    <t xml:space="preserve">Each </t>
  </si>
  <si>
    <t>Supplying and fixing in position of UPVC Ventilator louvered ventilator  type for all sizes 
 SR 2019-2020 p-71 it-248</t>
  </si>
  <si>
    <t xml:space="preserve">0Supplying and fixing UPVC (Un-Plasticized Polyvinyl Chloride) Louvered Ventilators of from the profile the size of outer frame 60mm x 58mm and shutter profile size of 60 x 78mm both profiles are reinforced with GI/1mm 125GSM and 100% corrosion free, the profile are multi chambered 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 
</t>
  </si>
  <si>
    <t>Supplying and fixing in position of UPVC window of casement type( open) for all sizes (SR 2019-2020 p-71 it-247 )</t>
  </si>
  <si>
    <t>each</t>
  </si>
  <si>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</si>
  <si>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color indexed="8"/>
        <rFont val="Arial"/>
        <family val="2"/>
      </rPr>
      <t>Engineering Polymer Tap</t>
    </r>
    <r>
      <rPr>
        <sz val="18"/>
        <color indexed="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</si>
  <si>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</si>
  <si>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S &amp; F of 15mm dia </t>
    </r>
    <r>
      <rPr>
        <b/>
        <sz val="18"/>
        <color indexed="8"/>
        <rFont val="Arial"/>
        <family val="2"/>
      </rPr>
      <t>Engineering Polymer Tap</t>
    </r>
    <r>
      <rPr>
        <sz val="18"/>
        <color indexed="8"/>
        <rFont val="Arial"/>
        <family val="2"/>
      </rPr>
      <t xml:space="preserve">  short body tap for coastal area only</t>
    </r>
  </si>
  <si>
    <t>51. 1</t>
  </si>
  <si>
    <t>a. 110 mm dia PVC bend (TWAD SR 19-20  P-19 S.No-4 )</t>
  </si>
  <si>
    <t>b. 160 mm dia PVC bend (TWAD SR 19-20 P-19 it-1.5, S.No-4 )</t>
  </si>
  <si>
    <t>a. 110 mm dia PVC Equal tee(TWAD SR 19-20 P-19 S.No-9 )</t>
  </si>
  <si>
    <t>b. 160 mm dia PVC Equal tee(TWAD SR 19-20 P-19 S.No-9 )</t>
  </si>
  <si>
    <r>
      <t>S &amp; F of Indian Water closet white glazed (Oriya type) of size 580 x 440mm</t>
    </r>
    <r>
      <rPr>
        <b/>
        <sz val="18"/>
        <rFont val="Arial"/>
        <family val="2"/>
      </rPr>
      <t xml:space="preserve"> with PVC SWR grade ' P' or "S' trap   - in G.F.  </t>
    </r>
  </si>
  <si>
    <r>
      <t>S &amp; F of Indian Water closet white glazed (Oriya type) of size 580 x 440mm</t>
    </r>
    <r>
      <rPr>
        <b/>
        <sz val="18"/>
        <color indexed="8"/>
        <rFont val="Arial"/>
        <family val="2"/>
      </rPr>
      <t xml:space="preserve"> with PVC SWR grade ' P' or "S' trap   - in G.F.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</si>
  <si>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</si>
  <si>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r>
      <t xml:space="preserve">S &amp; F of Indian Water closet white glazed (Oriya type) of size 580 x 440mm </t>
    </r>
    <r>
      <rPr>
        <b/>
        <sz val="18"/>
        <color indexed="8"/>
        <rFont val="Arial"/>
        <family val="2"/>
      </rPr>
      <t xml:space="preserve"> with PVC SWR grade ' P' or "S' trap</t>
    </r>
    <r>
      <rPr>
        <sz val="18"/>
        <color indexed="8"/>
        <rFont val="Arial"/>
        <family val="2"/>
      </rPr>
      <t xml:space="preserve">- </t>
    </r>
    <r>
      <rPr>
        <b/>
        <sz val="18"/>
        <color indexed="8"/>
        <rFont val="Arial"/>
        <family val="2"/>
      </rPr>
      <t xml:space="preserve">Other than  G.F. </t>
    </r>
    <r>
      <rPr>
        <sz val="18"/>
        <color indexed="8"/>
        <rFont val="Arial"/>
        <family val="2"/>
      </rPr>
      <t xml:space="preserve">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</si>
  <si>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</si>
  <si>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S &amp; F of E.W.C.</t>
    </r>
    <r>
      <rPr>
        <b/>
        <sz val="18"/>
        <color indexed="8"/>
        <rFont val="Arial"/>
        <family val="2"/>
      </rPr>
      <t xml:space="preserve">(White) </t>
    </r>
    <r>
      <rPr>
        <sz val="18"/>
        <color indexed="8"/>
        <rFont val="Arial"/>
        <family val="2"/>
      </rPr>
      <t xml:space="preserve">500 mm </t>
    </r>
    <r>
      <rPr>
        <b/>
        <sz val="18"/>
        <color indexed="8"/>
        <rFont val="Arial"/>
        <family val="2"/>
      </rPr>
      <t xml:space="preserve">with PVC SWR grade "P" or "S" TRAP </t>
    </r>
  </si>
  <si>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</si>
  <si>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color indexed="8"/>
        <rFont val="Arial"/>
        <family val="2"/>
      </rPr>
      <t xml:space="preserve">( Colour) </t>
    </r>
    <r>
      <rPr>
        <sz val="18"/>
        <color indexed="8"/>
        <rFont val="Arial"/>
        <family val="2"/>
      </rPr>
      <t xml:space="preserve">500 mm </t>
    </r>
    <r>
      <rPr>
        <b/>
        <sz val="18"/>
        <color indexed="8"/>
        <rFont val="Arial"/>
        <family val="2"/>
      </rPr>
      <t xml:space="preserve">with PVC SWR grade "P" or "S" TRAP </t>
    </r>
  </si>
  <si>
    <t>Wiring with 1.5 sqmm PVC insulated single core multi strand fire retardant flexible copper cable with ISI mark confirming IS: 694:1990.
( PVC Box , Fire Retarded Box) For Coastal only</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</si>
  <si>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</si>
  <si>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t>Wiring with 1.5 sqmm PVC insulated single core multi strand fire retardant flexible copper cable with ISI mark confirming IS: 694:1990 for Fan point.(PVC Electrical Box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</si>
  <si>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</si>
  <si>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t>Wiring with 1.5 sqmm PVC insulated single core multi strand fire retardant flexible copper cable with ISI mark confirming IS: 694:1990 for Staircase Light Point.(PVC Electrical Box )</t>
  </si>
  <si>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</si>
  <si>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t>Wiring with 1.5 sqmm PVC insulated single core multi strand fire retardant flexible copper cable with ISI mark confirming IS: 694:1990 for 5 amps 5 pin plug socket point @ Convenient Places.(PVC Electrical Box )</t>
  </si>
  <si>
    <r>
      <t xml:space="preserve">Supplying and fixing of 15 Amps 3 pin flush type plug using </t>
    </r>
    <r>
      <rPr>
        <b/>
        <sz val="18"/>
        <rFont val="Arial"/>
        <family val="2"/>
      </rPr>
      <t>( PVC Box , Fire Retarded Box)</t>
    </r>
  </si>
  <si>
    <r>
      <t xml:space="preserve">Supplying and fixing of 15 Amps 3 pin flush type plug using </t>
    </r>
    <r>
      <rPr>
        <b/>
        <sz val="18"/>
        <color indexed="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</si>
  <si>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</si>
  <si>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Fabrication of </t>
    </r>
    <r>
      <rPr>
        <b/>
        <sz val="18"/>
        <color indexed="8"/>
        <rFont val="Arial"/>
        <family val="2"/>
      </rPr>
      <t>Mild steel / RTS grills (without cement slurry) for all sizes of rods.(BINDING WIRE insulated with PVC)</t>
    </r>
    <r>
      <rPr>
        <sz val="18"/>
        <color indexed="8"/>
        <rFont val="Arial"/>
        <family val="2"/>
      </rPr>
      <t xml:space="preserve">
</t>
    </r>
  </si>
  <si>
    <r>
      <t xml:space="preserve">PVC SWR 110 mm dia with ISI mark type- A for </t>
    </r>
    <r>
      <rPr>
        <b/>
        <sz val="18"/>
        <rFont val="Arial"/>
        <family val="2"/>
      </rPr>
      <t>Rain water down fall pipe(UPVC SPECIAL CLAMP )</t>
    </r>
  </si>
  <si>
    <r>
      <t xml:space="preserve">PVC SWR 110 mm dia with ISI mark type- A for </t>
    </r>
    <r>
      <rPr>
        <b/>
        <sz val="18"/>
        <color indexed="8"/>
        <rFont val="Arial"/>
        <family val="2"/>
      </rPr>
      <t>Rain water down fall pipe(UPVC SPECIAL CLAMP )</t>
    </r>
  </si>
  <si>
    <r>
      <t xml:space="preserve">a. 32 mm dia  </t>
    </r>
    <r>
      <rPr>
        <sz val="18"/>
        <color indexed="9"/>
        <rFont val="Arial"/>
        <family val="2"/>
      </rPr>
      <t xml:space="preserve">Supply ,laying &amp; jointing the following pipes as per ASTM D 1785 of schedule 40 with  UPVC Specials </t>
    </r>
  </si>
  <si>
    <r>
      <t xml:space="preserve">b. 25 mm dia  </t>
    </r>
    <r>
      <rPr>
        <sz val="18"/>
        <color indexed="9"/>
        <rFont val="Arial"/>
        <family val="2"/>
      </rPr>
      <t xml:space="preserve">Supply ,laying &amp; jointing the following pipes as per ASTM D 1785 of schedule 40 with  UPVC Specials </t>
    </r>
  </si>
  <si>
    <t>Providing Colour Marble chips of size 10mm and below using 70.20Kgs of cement and 15 cum of Colour Marble chips for every 10 sqm over the existing plastered surface  ( For coastal area)</t>
  </si>
  <si>
    <t>Supplying and fixing of 200 Amps metal clad switch with rewirable fuse units, (Revised PWD SR 17-18/Pg.no.80 it-J Part c)</t>
  </si>
  <si>
    <t>1.9.3.1</t>
  </si>
  <si>
    <r>
      <t>False ceiling with plain gybsum board</t>
    </r>
    <r>
      <rPr>
        <b/>
        <sz val="13"/>
        <rFont val="Arial"/>
        <family val="2"/>
      </rPr>
      <t xml:space="preserve"> (as per PWD SR. rate 2017-18, Anx- VI -It- 154 -a)</t>
    </r>
  </si>
  <si>
    <r>
      <t>False ceiling with plain gybsum board</t>
    </r>
    <r>
      <rPr>
        <b/>
        <sz val="18"/>
        <color indexed="8"/>
        <rFont val="Arial"/>
        <family val="2"/>
      </rPr>
      <t xml:space="preserve"> (as per PWD SR. rate 2017-18, Anx- VI -It- 154 -a)</t>
    </r>
  </si>
  <si>
    <t>Wiring with 1.5 sqmm PVC insulated single core multi strand fire retardant flexible copper cable with ISI mark confirming IS: 694:1990. (Open wiring)</t>
  </si>
  <si>
    <r>
      <t xml:space="preserve">Wiring with 1.5 sqmm PVC insulated single core multi strand fire retardant flexible copper cable with ISI mark confirming IS: 694:1990 for </t>
    </r>
    <r>
      <rPr>
        <b/>
        <sz val="17"/>
        <rFont val="Arial"/>
        <family val="2"/>
      </rPr>
      <t>5 amps 5 pin  plug socket point @ Convenient Places</t>
    </r>
    <r>
      <rPr>
        <sz val="17"/>
        <rFont val="Arial"/>
        <family val="2"/>
      </rPr>
      <t>.(Open wiring)</t>
    </r>
  </si>
  <si>
    <t>Wiring with 1.5 sqmm PVC insulated single core multi strand fire retardant flexible copper cable with ISI mark confirming IS: 694:1990 for 5 amps 5 pin  plug socket point @ Convenient Places.(Open wiring)</t>
  </si>
  <si>
    <r>
      <t xml:space="preserve">Wiring with 1.5 sqmm PVC insulated single core multi strand fire retardant flexible copper cable with ISI mark confirming IS: 694:1990 for </t>
    </r>
    <r>
      <rPr>
        <b/>
        <sz val="17"/>
        <rFont val="Arial"/>
        <family val="2"/>
      </rPr>
      <t>5 amps 5 pin  plug socket point @ Switch Board Itself</t>
    </r>
    <r>
      <rPr>
        <sz val="17"/>
        <rFont val="Arial"/>
        <family val="2"/>
      </rPr>
      <t>.(Open wiring)</t>
    </r>
  </si>
  <si>
    <t>Wiring with 1.5 sqmm PVC insulated single core multi strand fire retardant flexible copper cable with ISI mark confirming IS: 694:1990 for 5 amps 5 pin  plug socket point @ Switch Board Itself.(Open wiring)</t>
  </si>
  <si>
    <r>
      <t>Wiring with 1.5 sqmm PVC insulated single core multi strand fire retardant flexible copper cable with ISI mark confirming IS: 694:1990 for Fan</t>
    </r>
    <r>
      <rPr>
        <b/>
        <sz val="17"/>
        <rFont val="Arial"/>
        <family val="2"/>
      </rPr>
      <t xml:space="preserve"> point </t>
    </r>
    <r>
      <rPr>
        <sz val="17"/>
        <rFont val="Arial"/>
        <family val="2"/>
      </rPr>
      <t>.(Open wiring)</t>
    </r>
  </si>
  <si>
    <t>Wiring with 1.5 sqmm PVC insulated single core multi strand fire retardant flexible copper cable with ISI mark confirming IS: 694:1990 for Fan point .(Open wiring)</t>
  </si>
  <si>
    <t>Supply and fixing of 20 Amps DP plug and socket in sheet enclosure with 32 A DP MCB  in Flush with wall with earth connection ( For AC Plug ) Legrand ( MDS) / Hager( L&amp; T) Equivalent/ Superior variety  
Ele SD -140 /2019-20</t>
  </si>
  <si>
    <r>
      <t xml:space="preserve">a. 900 x 2100 mm </t>
    </r>
    <r>
      <rPr>
        <sz val="18"/>
        <color indexed="9"/>
        <rFont val="Arial"/>
        <family val="2"/>
      </rPr>
      <t>R.C.C.Door frames of size 100 x 75mm with one edge grooves size 't' x 20 mm  ( with out  M20 or M30 grade old  data )</t>
    </r>
  </si>
  <si>
    <r>
      <t xml:space="preserve">c. 1200 x 2100 mm </t>
    </r>
    <r>
      <rPr>
        <sz val="18"/>
        <color indexed="9"/>
        <rFont val="Arial"/>
        <family val="2"/>
      </rPr>
      <t>R.C.C.Door frames of size 100 x 75mm with one edge grooves size 't' x 20 mm  ( with out  M20 or M30 grade old  data )</t>
    </r>
  </si>
  <si>
    <r>
      <t xml:space="preserve">d. 750 x 2100 mm </t>
    </r>
    <r>
      <rPr>
        <sz val="18"/>
        <color indexed="9"/>
        <rFont val="Arial"/>
        <family val="2"/>
      </rPr>
      <t>R.C.C.Door frames of size 100 x 75mm with one edge grooves size 't' x 20 mm  ( with out  M20 or M30 grade old  data )</t>
    </r>
  </si>
  <si>
    <r>
      <t xml:space="preserve">c. 1000 x 2100 mm </t>
    </r>
    <r>
      <rPr>
        <sz val="18"/>
        <color indexed="9"/>
        <rFont val="Arial"/>
        <family val="2"/>
      </rPr>
      <t>R.C.C.Door frames of size 100 x 75mm with one edge grooves size 't' x 20 mm  ( with out  M20 or M30 grade old  data )</t>
    </r>
  </si>
  <si>
    <r>
      <t xml:space="preserve">9 watts  LED bulb  </t>
    </r>
    <r>
      <rPr>
        <b/>
        <sz val="18"/>
        <rFont val="Arial"/>
        <family val="2"/>
      </rPr>
      <t>qtn</t>
    </r>
  </si>
  <si>
    <r>
      <t xml:space="preserve">9 watts  LED bulb  </t>
    </r>
    <r>
      <rPr>
        <b/>
        <sz val="18"/>
        <color indexed="8"/>
        <rFont val="Arial"/>
        <family val="2"/>
      </rPr>
      <t>qtn</t>
    </r>
  </si>
  <si>
    <t>Supplying and fixing of following dia GI pipe ‘B’ class and specials of best approved quality  including cost of materials and labour charges for laying, jointing, testing and redoing the dismantled portions with neat finish etc., all complete and  as  directed  by  the  departmental officers.</t>
  </si>
  <si>
    <t xml:space="preserve">Supply and fixing of 25w LED street light  fitting including all labour charges for LED street light  fittings etc.all complete </t>
  </si>
  <si>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</si>
  <si>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</si>
  <si>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</si>
  <si>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</si>
  <si>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</si>
  <si>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</si>
  <si>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</si>
  <si>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</si>
  <si>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</si>
  <si>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</si>
  <si>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</si>
  <si>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</si>
  <si>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</si>
  <si>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</si>
  <si>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</si>
  <si>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t>Open wiring 2 X1.5 Sqmm in fully concealed PVC conduit</t>
  </si>
  <si>
    <r>
      <t xml:space="preserve"> </t>
    </r>
    <r>
      <rPr>
        <b/>
        <sz val="18"/>
        <rFont val="Arial"/>
        <family val="2"/>
      </rPr>
      <t>Open wiring</t>
    </r>
    <r>
      <rPr>
        <sz val="18"/>
        <rFont val="Arial"/>
        <family val="2"/>
      </rPr>
      <t xml:space="preserve"> 2 X 2.5 Sq mm in fully concealed PVC conduit (open wiring)</t>
    </r>
  </si>
  <si>
    <t>Supplying of 4 core of 16 sqmm PVC armored ALTUG cable including cost of all materials etc all complete complying with relevant standard specifications and as directed by the departmental officers0</t>
  </si>
  <si>
    <t>Supply and fixing of brass cable gland for XLPE armoured LTUG cable for following sizes with earth connection.</t>
  </si>
  <si>
    <t>a) 3.5 c x 120 sqmm PVC / XLPE LTUG armoured cable   (SD 191)</t>
  </si>
  <si>
    <t>b) 3.5 c x 70 sqmm PVC  / XLPE LTUG armoured cable  (SD 189</t>
  </si>
  <si>
    <t>c) 3.5 c x 25 sqmm PVC / XLPE LTUG armoured cable  (SD 186)</t>
  </si>
  <si>
    <t>d) 4 c x 16 sqmm PVC / XLPE LTUG armoured cable  (Data - AB)</t>
  </si>
  <si>
    <t>e) 4 c x 10 sqmm PVC  / XLPE LTUG armoured cable(Data - AC)</t>
  </si>
  <si>
    <t>Supply and providing cable end termination of following sizes of XLPE armoured LTUG Aluminium cable with necessary aluminium cable sockets by crimping etc. with electrical connection complete.</t>
  </si>
  <si>
    <t>a) 3.5 c x 120sqmm PVC / XLPE LTUG armoured cable  (SD 240)</t>
  </si>
  <si>
    <t>b) 3.5 c x 70 sqmm PVC / XLPE  LTUG armoured cable (SD 238)</t>
  </si>
  <si>
    <t>c) 3.5 c x 25 sqmm PVC / XLPE  LTUG armoured cable  (SD 235)</t>
  </si>
  <si>
    <t>d) 4 c x 16 sqmm PVC / XLPE  LTUG armoured cable  (Data - AG</t>
  </si>
  <si>
    <t>e) 4 c x 10 sqmm PVC  / XLPE LTUG armoured cable  (Data - AH</t>
  </si>
  <si>
    <t xml:space="preserve">Supply and fixing of triple pole and neutral four way 7 segment 3 tier </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</si>
  <si>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63A 10KA DP MCB with 63A   30 mA ELCB double pole
Outgoing:   12 Nos. 6 A / 20A 10KA SP MCB    DATA -AI
LDB : 5 Nos.
PDB : 2 Nos.</t>
  </si>
  <si>
    <t xml:space="preserve">Supply and fixing of 25 mm x 3 mm x 300 mm copper flat on wall in the lift machine room for providing earth connection to the lift machinery </t>
  </si>
  <si>
    <t xml:space="preserve">Supplying, Fixing and testing and commissioning of MCB </t>
  </si>
  <si>
    <t>40 A TPN 10 kA MCB - Data AM</t>
  </si>
  <si>
    <t>10/20/32A DP 10 KA MCB - Data AN Master control switch for each dormitory</t>
  </si>
  <si>
    <t>10/20/32A DP 10 KA MCB - Data AN  Master control switch for each dormitory</t>
  </si>
  <si>
    <t>Supply and erection of 100 Amps capacity floor mounting / wall mounting panel board (Cubical type) with bus bar</t>
  </si>
  <si>
    <t xml:space="preserve">Supply and erection of 125 Amps capacity floor mounting / wall mounting panel board (Cubical type) with bus bar </t>
  </si>
  <si>
    <t>supply and fixing of MS box of suitable size for the terrmination of cable ( with in and out arrangements) and with earth connections. - DATA AV</t>
  </si>
  <si>
    <t>Manhole Cover SFRC 750mm x 750mm</t>
  </si>
  <si>
    <t>Supplying and fixing of Rotary switch with 3 nos Indicator lamps including interconnection wire etc</t>
  </si>
  <si>
    <t>Supply, Installation, Testing and Commissioning of 2 KVA sinewave single phase inverter with exide tubular battery for 30 minutes backup time with suitable rack / trolly for inverter and batteries.Data AP</t>
  </si>
  <si>
    <t>Sq.m</t>
  </si>
  <si>
    <t>AC 1.5 ton Ac</t>
  </si>
  <si>
    <t>Supplying, testing and commission of 3 Star   1.5  ton capacity Hi-wall counted single split type AC unit superior variety/make consisting of outdoor condensing unit complete with compressor and air cooler condenser with fan motor and one indoor unit with evaporator blower including cost of copper piping etc., including initial charging of refrigerant gas and suitable for single phase operation (With cardless remote control facilities). all complete and as directed by departmental officers (the quality and brand should be got approved from the executive engineer before use)
(PWD SR 20-21  P141 Part-N 1 b )</t>
  </si>
  <si>
    <t>AC 2 ton Ac</t>
  </si>
  <si>
    <r>
      <t xml:space="preserve">b. 25 mm dia  </t>
    </r>
    <r>
      <rPr>
        <sz val="18"/>
        <color indexed="9"/>
        <rFont val="Arial"/>
        <family val="2"/>
      </rPr>
      <t xml:space="preserve"> Below Ground level</t>
    </r>
  </si>
  <si>
    <r>
      <t>Supplying and fixing of CP Pillar</t>
    </r>
    <r>
      <rPr>
        <b/>
        <sz val="18"/>
        <color indexed="8"/>
        <rFont val="Arial"/>
        <family val="2"/>
      </rPr>
      <t xml:space="preserve"> cock</t>
    </r>
    <r>
      <rPr>
        <sz val="18"/>
        <color indexed="8"/>
        <rFont val="Arial"/>
        <family val="2"/>
      </rPr>
      <t xml:space="preserve">  including cost of all materials and all labour charges etc complete </t>
    </r>
  </si>
  <si>
    <r>
      <t>Supplying and fixing of Angular Stop Cock - 2 way</t>
    </r>
    <r>
      <rPr>
        <sz val="18"/>
        <color indexed="8"/>
        <rFont val="Arial"/>
        <family val="2"/>
      </rPr>
      <t xml:space="preserve">  including cost of all materials and all labour charges etc complete </t>
    </r>
  </si>
  <si>
    <r>
      <t xml:space="preserve">Supply and fixing of </t>
    </r>
    <r>
      <rPr>
        <b/>
        <sz val="18"/>
        <color indexed="8"/>
        <rFont val="Arial"/>
        <family val="2"/>
      </rPr>
      <t>Health faucet</t>
    </r>
    <r>
      <rPr>
        <sz val="18"/>
        <color indexed="8"/>
        <rFont val="Arial"/>
        <family val="2"/>
      </rPr>
      <t xml:space="preserve"> approved quality with ISI mark including cost of all materials and all labour charges etc complete </t>
    </r>
  </si>
  <si>
    <t>0 TO 2M</t>
  </si>
  <si>
    <t>2 TO 3M</t>
  </si>
  <si>
    <t>EARTH WORK EXCAVATION FOR DRAINS</t>
  </si>
  <si>
    <t xml:space="preserve">up to 1.25m width </t>
  </si>
  <si>
    <t xml:space="preserve"> 1.5 times E.W</t>
  </si>
  <si>
    <t>2.1</t>
  </si>
  <si>
    <t>FILLING IN FOUNDATION AND</t>
  </si>
  <si>
    <t>CUM</t>
  </si>
  <si>
    <t>COST OF FILLINGSAND</t>
  </si>
  <si>
    <t>TOTAL FOR 1.0 CUM</t>
  </si>
  <si>
    <t>3.1</t>
  </si>
  <si>
    <t>CEMENT CONCRETE(1:5:10) USING</t>
  </si>
  <si>
    <t>40mm HBSTONE METEL</t>
  </si>
  <si>
    <t xml:space="preserve">  H.B.STONEJELLY 40mm</t>
  </si>
  <si>
    <t>CEMENT MORTAR(1:5)</t>
  </si>
  <si>
    <t>NO.</t>
  </si>
  <si>
    <t>MASON II</t>
  </si>
  <si>
    <t>MAZDOOR I</t>
  </si>
  <si>
    <t>MAZDOOR II</t>
  </si>
  <si>
    <t>L.S</t>
  </si>
  <si>
    <t>SUNDRIES</t>
  </si>
  <si>
    <t>TOTAL FOR 10 CUM</t>
  </si>
  <si>
    <t>RATE PER CUM</t>
  </si>
  <si>
    <t>Bricks of size 22x11x7 cm</t>
  </si>
  <si>
    <t>NOS.</t>
  </si>
  <si>
    <t xml:space="preserve"> 1000NO.</t>
  </si>
  <si>
    <t>MASON I</t>
  </si>
  <si>
    <t>G.F</t>
  </si>
  <si>
    <t>RATE PER SQM</t>
  </si>
  <si>
    <t>33.</t>
  </si>
  <si>
    <t>PLASTERING C.M(1:5) 12mmTHICK</t>
  </si>
  <si>
    <t>TOTAL FOR 10 SQM</t>
  </si>
  <si>
    <t>NO</t>
  </si>
  <si>
    <t>TOTAL FOR 0.743 SQM</t>
  </si>
  <si>
    <t>C.C(1:2:4)USING3mm-10mm HBG</t>
  </si>
  <si>
    <t>F.F</t>
  </si>
  <si>
    <t>RATE PER M.T</t>
  </si>
  <si>
    <t>43.</t>
  </si>
  <si>
    <t>a.</t>
  </si>
  <si>
    <t>SUPPLYING AND FABRICATING AND</t>
  </si>
  <si>
    <t>PLACING R.T.S RODS/MS RODS upto 16mm dia(without cement  slurry)</t>
  </si>
  <si>
    <t>QUTL</t>
  </si>
  <si>
    <t>R.T.S RODS/M.S.RODS UPTO 16MM DIA</t>
  </si>
  <si>
    <t>BINDING WIRE</t>
  </si>
  <si>
    <t>FITTER I</t>
  </si>
  <si>
    <t>Total for 8 Nos</t>
  </si>
  <si>
    <t>Rate for 1 No</t>
  </si>
  <si>
    <t>DATA   - 34</t>
  </si>
  <si>
    <t>3 Nos of Fuse units at EB pole</t>
  </si>
  <si>
    <t>Supplying and fixing 3 No 32 Amps 500 volts grade/ well porcelin fuse unit on suitable teak wood plank to be fixed on the top of the  pole / EB street poles with necessary clamps and including cost of materials etc., all complete.</t>
  </si>
  <si>
    <t>TW plank 200 x 150 x 20 mm</t>
  </si>
  <si>
    <t>Rate for 1 point</t>
  </si>
  <si>
    <t>Part   - B</t>
  </si>
  <si>
    <t>DATA   - 12</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</si>
  <si>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</si>
  <si>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</si>
  <si>
    <t>1.5 sqmm copper PVC insulated unsheathed single core cable</t>
  </si>
  <si>
    <t>PVC rigid conduit pipe 19 mm / 20mm heavy duty with ISI mark</t>
  </si>
  <si>
    <t>Bag</t>
  </si>
  <si>
    <t>Cement</t>
  </si>
  <si>
    <t>1.5 sqmm copper PVC insulated unsheathed single core cable for continuous earth connection</t>
  </si>
  <si>
    <t xml:space="preserve"> Rmt</t>
  </si>
  <si>
    <t>Labour charges</t>
  </si>
  <si>
    <t>Sundries</t>
  </si>
  <si>
    <t>Total for 90 Metres</t>
  </si>
  <si>
    <t>Rate for 1 Rmt</t>
  </si>
  <si>
    <t>DATA   - 13</t>
  </si>
  <si>
    <t>Rate for Three phase ELCB</t>
  </si>
  <si>
    <t>DATA   - 36</t>
  </si>
  <si>
    <t>EB service connection Board for Three phase</t>
  </si>
  <si>
    <t>32 Amps 500 Volts fuse unit</t>
  </si>
  <si>
    <t xml:space="preserve">TW plank 450 x 375 x 20 mm </t>
  </si>
  <si>
    <t>Earth plate ( copper ) with bolts &amp; nuts.</t>
  </si>
  <si>
    <t>LR</t>
  </si>
  <si>
    <t>Labour Charges</t>
  </si>
  <si>
    <t>Sundries such as TW plugs screws, etc.,</t>
  </si>
  <si>
    <t>No.</t>
  </si>
  <si>
    <t>(3.25 Kg)</t>
  </si>
  <si>
    <t>For 1 Rmt</t>
  </si>
  <si>
    <t>Charges for conveying and layind=g of U.G.Cable below ground level including earth work excavation and refilling and providing sand cushion, brick layer protection, etc., all complete for UG cable of sizes 4 to 25 mm and 2'/3/31/2/4 core</t>
  </si>
  <si>
    <t>SAND FOR MORTAR sl.100  p19</t>
  </si>
  <si>
    <t>1000 Nos</t>
  </si>
  <si>
    <t>Total for 90 Rmt</t>
  </si>
  <si>
    <t>Helper</t>
  </si>
  <si>
    <t>DATA   - 44</t>
  </si>
  <si>
    <t>Charges for conveying and fixing of UG cables of sizes 4 to 25 Sqmm of 2, 3,3.5 and 4 core with necessary MS clamps, brass screws including cost of all materials redoing the dismantled portion, etc., all complete.</t>
  </si>
  <si>
    <t>Gross</t>
  </si>
  <si>
    <t>Sundries for redoing on dismantled portion,etc.,</t>
  </si>
  <si>
    <t>Total for 90 Rmts</t>
  </si>
  <si>
    <t xml:space="preserve">Labour charges </t>
  </si>
  <si>
    <t>Mason Ist class</t>
  </si>
  <si>
    <t>Wiremen Grade I</t>
  </si>
  <si>
    <t>Wiremen Grade II</t>
  </si>
  <si>
    <t>Rate for  Each</t>
  </si>
  <si>
    <t>TW plank 450 x 375 x 20 mm</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</si>
  <si>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</si>
  <si>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</si>
  <si>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</si>
  <si>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</si>
  <si>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</si>
  <si>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</si>
  <si>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 xml:space="preserve">Name of Work : Providing Bored cast-in-situ pile Pile Foundation </t>
  </si>
  <si>
    <t xml:space="preserve">  DATA 2018-2019</t>
  </si>
  <si>
    <t>Setting of Bored cast-in-situ pile equipments with all accessories and tools at each of locations based on the 500 mm dia pile</t>
  </si>
  <si>
    <t>Volume of Concrete = 3.14 /x *0.5 x 0.5  x 8  = 4.02 /4=  1.57 m3</t>
  </si>
  <si>
    <t xml:space="preserve"> 500mm Dia pipe</t>
  </si>
  <si>
    <r>
      <t xml:space="preserve">Standardised concrete  mix using </t>
    </r>
    <r>
      <rPr>
        <b/>
        <sz val="13"/>
        <rFont val="Arial Narrow"/>
        <family val="2"/>
      </rPr>
      <t>M 30 Grade concrete in (F&amp;B)</t>
    </r>
  </si>
  <si>
    <t>Bentonite (10% concrete volume)</t>
  </si>
  <si>
    <t>Total for 8 Rmt</t>
  </si>
  <si>
    <t>Total for 1 Rmt</t>
  </si>
  <si>
    <t>Moving and placing of piling equipment (1000/8)</t>
  </si>
  <si>
    <t>Rate for 1 Cum</t>
  </si>
  <si>
    <t>Chipping of pile to the required cut off level and cleaning away the debris with an average lead of 5 km entirely with city limits</t>
  </si>
  <si>
    <t>Volume of Concrete = 3.14/4 x 0.5  x 0.5  x 1 km =0.196 m3</t>
  </si>
  <si>
    <t>500mm Dia pipe DATA for 1 Rmt</t>
  </si>
  <si>
    <t>Dismantling of RCC works it-35/38 p-24</t>
  </si>
  <si>
    <t>Conveyance of dismantled materials p-35</t>
  </si>
  <si>
    <t xml:space="preserve">Loading or unloading charges p-35 </t>
  </si>
  <si>
    <t>Removing of clay and conveyance charges,loading and unloading charges with an average lead of 3km entirely with city limits</t>
  </si>
  <si>
    <t>Km</t>
  </si>
  <si>
    <t>Rough stone, Bond stone, cut stone, HBG, Sand, gravel, surkhi, earth, crushed stone etc.Initial Lead (0-10 km)</t>
  </si>
  <si>
    <t>Loading or unloading charges</t>
  </si>
  <si>
    <t>9.16*10</t>
  </si>
  <si>
    <t>For 1cum</t>
  </si>
  <si>
    <t>DATA</t>
  </si>
  <si>
    <t>Setting of Bored cast-in-situ pile equipments with all accessories and tools at each of locations based on the 450 mm dia pile</t>
  </si>
  <si>
    <t>Volume of Concrete = 3.14 /x *0.45 x 0.45  x 8  = 4.02 /4=  1.272 m3</t>
  </si>
  <si>
    <t xml:space="preserve"> 450mm Dia pipe</t>
  </si>
  <si>
    <t>Volume of Concrete = 3.14/4 x 0.45  x 0.45  x 1 km =0.159 m3</t>
  </si>
  <si>
    <t>Dismantling of RCC works</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</si>
  <si>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</si>
  <si>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</si>
  <si>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</si>
  <si>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1% of cement</t>
  </si>
  <si>
    <t>Mason II</t>
  </si>
  <si>
    <t>Maz I</t>
  </si>
  <si>
    <t>Maz II</t>
  </si>
  <si>
    <t>Total for 10 cum</t>
  </si>
  <si>
    <t>for 1 cum</t>
  </si>
  <si>
    <t>Vibrating charges</t>
  </si>
  <si>
    <t>Sub Total</t>
  </si>
  <si>
    <t>Add for water charges &amp; other sundries (0.5 % of sub total</t>
  </si>
  <si>
    <t>Foundation &amp; Basement</t>
  </si>
  <si>
    <t>Setting of Bored cast-in-situ pile equipments with all accessories and tools at each of locations based on the 400 mm dia pile</t>
  </si>
  <si>
    <t>Volume of Concrete = 3.14 /x *0.40 x 0.40  x 8  = 4.02 /4=  1.272 m3</t>
  </si>
  <si>
    <t xml:space="preserve"> 400mm Dia pipe</t>
  </si>
  <si>
    <t>RCC 1:1.5:3 (F&amp;B)</t>
  </si>
  <si>
    <t>Volume of Concrete = 3.14/4 x 0.40  x 0.40  x 1 km =0.129 m3</t>
  </si>
  <si>
    <t>400mm Dia pipe DATA for 1 Rmt</t>
  </si>
  <si>
    <t>Conveyance of dismantled materials</t>
  </si>
  <si>
    <r>
      <t xml:space="preserve">Standardised concrete  mix using </t>
    </r>
    <r>
      <rPr>
        <b/>
        <sz val="13"/>
        <rFont val="Arial Narrow"/>
        <family val="2"/>
      </rPr>
      <t>M 20 Grade concrete in (F&amp;B)</t>
    </r>
  </si>
  <si>
    <t>Plasticiser /Super plasticiser @ .60% of cement (P57 item NO.198</t>
  </si>
  <si>
    <t>Vibrating charges p-28 /103</t>
  </si>
  <si>
    <t>S.F</t>
  </si>
  <si>
    <t>T.F</t>
  </si>
  <si>
    <t>Dismantling of RCC works p-24</t>
  </si>
  <si>
    <t>Tamil Nadu Police Housing Corparation Ltd.</t>
  </si>
  <si>
    <t>TAMIL NADU POLICE HOUSING CORPORATION</t>
  </si>
  <si>
    <t xml:space="preserve">  </t>
  </si>
  <si>
    <t>======================================</t>
  </si>
  <si>
    <t>PLACE:-</t>
  </si>
  <si>
    <t>Madurai TSp VIth Bn under 4000 quarters Scheme.</t>
  </si>
  <si>
    <t>2006-2007</t>
  </si>
  <si>
    <t xml:space="preserve">         </t>
  </si>
  <si>
    <t>QTY</t>
  </si>
  <si>
    <t>COST OF MATERIALS</t>
  </si>
  <si>
    <t>RATE</t>
  </si>
  <si>
    <t>PER</t>
  </si>
  <si>
    <t>AMOUNT</t>
  </si>
  <si>
    <t>SL.NO</t>
  </si>
  <si>
    <t>DESCRIPTION OF MATERIALS</t>
  </si>
  <si>
    <t>UNIT</t>
  </si>
  <si>
    <t>SOURCE</t>
  </si>
  <si>
    <t xml:space="preserve">COST OF </t>
  </si>
  <si>
    <t>LEAD</t>
  </si>
  <si>
    <t>LOAD-</t>
  </si>
  <si>
    <t>UN LO-</t>
  </si>
  <si>
    <t>MATERIAL</t>
  </si>
  <si>
    <t>LABOUR RATE</t>
  </si>
  <si>
    <t>CEMENT MORTAR(1:1.5)</t>
  </si>
  <si>
    <t>LIME MORTAR(1:2)</t>
  </si>
  <si>
    <t>Lead</t>
  </si>
  <si>
    <t>CHARGE</t>
  </si>
  <si>
    <t>ING</t>
  </si>
  <si>
    <t>ADING</t>
  </si>
  <si>
    <t>COST @ SITE</t>
  </si>
  <si>
    <t>LABOUR CHARGES</t>
  </si>
  <si>
    <t>|</t>
  </si>
  <si>
    <t xml:space="preserve"> -------------</t>
  </si>
  <si>
    <t>M.T</t>
  </si>
  <si>
    <t>CEMENT</t>
  </si>
  <si>
    <t>LIME</t>
  </si>
  <si>
    <t>1.</t>
  </si>
  <si>
    <t>ROUGH STONE</t>
  </si>
  <si>
    <t>CUM.</t>
  </si>
  <si>
    <t>Nallambakkam</t>
  </si>
  <si>
    <t>MASON-I</t>
  </si>
  <si>
    <t>MASON  I *</t>
  </si>
  <si>
    <t>SAND</t>
  </si>
  <si>
    <t>2.</t>
  </si>
  <si>
    <t>BOND STONE</t>
  </si>
  <si>
    <t>MASON-II</t>
  </si>
  <si>
    <t>MASON  II  *</t>
  </si>
  <si>
    <t>MIXING OF MORTAR</t>
  </si>
  <si>
    <t>GRINDING OF MORTAR</t>
  </si>
  <si>
    <t>3.</t>
  </si>
  <si>
    <t>HARD BROKEN STONE JELLY 3mm To 10mm</t>
  </si>
  <si>
    <t>Pallavaram</t>
  </si>
  <si>
    <t>MAZDOOR-I</t>
  </si>
  <si>
    <t>MAZDOOR I   *</t>
  </si>
  <si>
    <t>4.</t>
  </si>
  <si>
    <t>HARD BROKEN STONE JELLY 10mm</t>
  </si>
  <si>
    <t>MAZDOOR-II</t>
  </si>
  <si>
    <t>MAZDOOR II*</t>
  </si>
  <si>
    <t>5.</t>
  </si>
  <si>
    <t>HARD BROKEN STONE JELLY 12mm</t>
  </si>
  <si>
    <t>PAINTER-I</t>
  </si>
  <si>
    <t>PAINTER I/II*</t>
  </si>
  <si>
    <t>TOTAL FOR 1 CUM</t>
  </si>
  <si>
    <t>6.</t>
  </si>
  <si>
    <t>HARD BROKEN STONE JELLY 20mm</t>
  </si>
  <si>
    <t>PAINTER-II</t>
  </si>
  <si>
    <t>PLUMBER  I*</t>
  </si>
  <si>
    <t>7.</t>
  </si>
  <si>
    <t>HARD BROKEN STONE JELLY 40mm</t>
  </si>
  <si>
    <t>PLUMBER-I</t>
  </si>
  <si>
    <t>CARPENTER I/II*</t>
  </si>
  <si>
    <t>CEMENT MORTAR(1:2)</t>
  </si>
  <si>
    <t>SUPPLYING MIXINNG AND LAYING</t>
  </si>
  <si>
    <t>8.</t>
  </si>
  <si>
    <t>SAND FOR MORTAR</t>
  </si>
  <si>
    <t>Palar River</t>
  </si>
  <si>
    <t>PLUMBER-II</t>
  </si>
  <si>
    <t>FITTER I*</t>
  </si>
  <si>
    <t>LIME SAND MIX 1:1 RATIO</t>
  </si>
  <si>
    <t>9.</t>
  </si>
  <si>
    <t>SAND FOR FILLING</t>
  </si>
  <si>
    <t>Karanodai</t>
  </si>
  <si>
    <t>FITTER-I</t>
  </si>
  <si>
    <t>MIXING OF MORTAR*</t>
  </si>
  <si>
    <t>CUM*</t>
  </si>
  <si>
    <t>INCLUDING COST OF</t>
  </si>
  <si>
    <t>10.</t>
  </si>
  <si>
    <t>Kiln Burnt Country Bricks 22x11x7cm</t>
  </si>
  <si>
    <t>1000nos.</t>
  </si>
  <si>
    <t>Nerkundram</t>
  </si>
  <si>
    <t>FITTER-II</t>
  </si>
  <si>
    <t>LIFT CHARGES FOR B.W IN G.F  *</t>
  </si>
  <si>
    <t>SAND,LIME,LABOUR FOR MIXING</t>
  </si>
  <si>
    <t>11.</t>
  </si>
  <si>
    <t>BRICK JELLY 40mmGAUGE</t>
  </si>
  <si>
    <t>CARPENTER-I</t>
  </si>
  <si>
    <t>LIFT CHARGES FOR B.W IN F.F  *</t>
  </si>
  <si>
    <t>&amp;LAYING ETC COMPLETE.</t>
  </si>
  <si>
    <t>12.</t>
  </si>
  <si>
    <t>BRICK JELLY 20mmGAUGE</t>
  </si>
  <si>
    <t>CARPENTER-II</t>
  </si>
  <si>
    <t>LIFT CHARGES FOR B.W IN S.F  *</t>
  </si>
  <si>
    <t>13.</t>
  </si>
  <si>
    <t>MACHINE PRESSED TILES 23x 23x 2 Cm</t>
  </si>
  <si>
    <t>Local</t>
  </si>
  <si>
    <t>STONE CUTTER-I</t>
  </si>
  <si>
    <t>LIFT CHARGES FOR CONCRETE IN G.F  *</t>
  </si>
  <si>
    <t>COST OF SAND</t>
  </si>
  <si>
    <t>14.</t>
  </si>
  <si>
    <t>SLACKED SHELL LIME</t>
  </si>
  <si>
    <t>Kurukkupet</t>
  </si>
  <si>
    <t>STONE CUTTER-II</t>
  </si>
  <si>
    <t>LIFT CHARGES FOR CONCRETE IN F.F  *</t>
  </si>
  <si>
    <t>COST OF LIME</t>
  </si>
  <si>
    <t>15.</t>
  </si>
  <si>
    <t>SLACKED &amp;SREENED LIME STONE</t>
  </si>
  <si>
    <t>FLOOR POLISHER</t>
  </si>
  <si>
    <t>LIFT CHARGES FOR CONCRETE IN S.F  *</t>
  </si>
  <si>
    <t>LABOUR CHARGES FOR MIXING</t>
  </si>
  <si>
    <t>16.</t>
  </si>
  <si>
    <t>C.W SCANTLING UPTO 4M LONG</t>
  </si>
  <si>
    <t>local</t>
  </si>
  <si>
    <t>Mortar mix charges</t>
  </si>
  <si>
    <t>VIBRATER CHARGES  *</t>
  </si>
  <si>
    <t>CEMENT MORTAR(1:3)</t>
  </si>
  <si>
    <t>LABOUR CHARGES FOR FILLING</t>
  </si>
  <si>
    <t>17.</t>
  </si>
  <si>
    <t>C.W. PLANK UPTO 40mmTHICK UPTO 30 Cm WIDTH</t>
  </si>
  <si>
    <t>Vibrat-charges(R.C.C)</t>
  </si>
  <si>
    <t>EARTH FILLING  *</t>
  </si>
  <si>
    <t xml:space="preserve"> 1CUM</t>
  </si>
  <si>
    <t>18.</t>
  </si>
  <si>
    <t>T.W SCANTLING 2M TO 3M LONG</t>
  </si>
  <si>
    <t>Vibrat-charges(P.C.C)</t>
  </si>
  <si>
    <t>SAND FILLING  *</t>
  </si>
  <si>
    <t>19.</t>
  </si>
  <si>
    <t>T.W.SCANTLING BELOW 2M LONG</t>
  </si>
  <si>
    <t>Sand filling charges</t>
  </si>
  <si>
    <t>POLISHING STONE</t>
  </si>
  <si>
    <t>TOTAL FOR 1.5 CUM</t>
  </si>
  <si>
    <t>20.</t>
  </si>
  <si>
    <t>T.W.PLANKS 30cm to 45cm WIDTH &amp; 12to25mm Thick</t>
  </si>
  <si>
    <t>Earth filling charges</t>
  </si>
  <si>
    <t>FLOOR POLISHER (MOSAIC)  *</t>
  </si>
  <si>
    <t>21.</t>
  </si>
  <si>
    <t>Country BricksKiln Burnt of SIZE 22x11x5Cm</t>
  </si>
  <si>
    <t>E.W.</t>
  </si>
  <si>
    <t>LABOUR CHARGE FOR WROUGHT &amp; PUTUP /V-SHUTTER *</t>
  </si>
  <si>
    <t>22.</t>
  </si>
  <si>
    <t>MOSAIC TILES GRAY 25X25X2cm.</t>
  </si>
  <si>
    <t>L.C.T.W.Door-</t>
  </si>
  <si>
    <t>LABOUR CHARGE FOR DOOR/WINDOW SHUTTER  *</t>
  </si>
  <si>
    <t>23.</t>
  </si>
  <si>
    <t>CEMENT (supply at site)</t>
  </si>
  <si>
    <t>L.C.marine doors-</t>
  </si>
  <si>
    <t>COST OF RUBBER ,LUBRICATION,PLUG,CLAMP</t>
  </si>
  <si>
    <t>24.</t>
  </si>
  <si>
    <t>R.T.S. / M.S upto 16mm</t>
  </si>
  <si>
    <t>TW glazed window</t>
  </si>
  <si>
    <t>M.S. HOLD FAST WITH SCREWS *</t>
  </si>
  <si>
    <t>25.</t>
  </si>
  <si>
    <t>M.S./ R.T.S above 16mm</t>
  </si>
  <si>
    <t>Wrought&amp;putup</t>
  </si>
  <si>
    <t>M.S. SHEET/ANGLE PER M.T</t>
  </si>
  <si>
    <t>CEMENT MORTAR(1:4)</t>
  </si>
  <si>
    <t>26.</t>
  </si>
  <si>
    <t>Country BricksKiln Burnt  SIZE 22x11x5Cm</t>
  </si>
  <si>
    <t>Ventilator</t>
  </si>
  <si>
    <t>Graval</t>
  </si>
  <si>
    <t>27.</t>
  </si>
  <si>
    <t>HBSJ 11.2mm IRC metal</t>
  </si>
  <si>
    <t>Meter- Cupboard Weldmesh</t>
  </si>
  <si>
    <t>Earth work lift for addl 1M</t>
  </si>
  <si>
    <t>28.</t>
  </si>
  <si>
    <t>HBSJ 37.5mm to 26.5mm IRC metal</t>
  </si>
  <si>
    <t>E.W (SDR)</t>
  </si>
  <si>
    <t>29.</t>
  </si>
  <si>
    <t>HBSJ 63mm to 45mm IRC metal</t>
  </si>
  <si>
    <t>FITTER-II (Pipe &amp; Bar Bend)</t>
  </si>
  <si>
    <t>TRANSPORTING &amp; ERRECTION</t>
  </si>
  <si>
    <t>30.</t>
  </si>
  <si>
    <t>Gravel</t>
  </si>
  <si>
    <t>Nellore road</t>
  </si>
  <si>
    <t>LABOUR COST OF CHANNELMOULD/PAINTING ANTCORROSIVE</t>
  </si>
  <si>
    <t>COST OF PLASTERXERS/COST OF ANTI-CORROSIVE</t>
  </si>
  <si>
    <t>STONE CUTTER II  *</t>
  </si>
  <si>
    <t>CONVEYING,LOWERING&amp; JOINTING LABOUR</t>
  </si>
  <si>
    <t>CERTIFIED THAT THE LEAD PARTICULARS FURNISHED HERE ARE FOUND CORRECT UPTO BEST OF MY KNOWLEDGE</t>
  </si>
  <si>
    <t>LABOUR FOR CUTTING 15mm DIA   *</t>
  </si>
  <si>
    <t>LABOUR FOR CUTTING 20mm DIA  *</t>
  </si>
  <si>
    <t>LABOUR FOR CUTTING 25mm DIA  *</t>
  </si>
  <si>
    <t>LABOUR FOR CUTTING 32mm DIA  *</t>
  </si>
  <si>
    <t>J.E / A.E</t>
  </si>
  <si>
    <t>A.E.E</t>
  </si>
  <si>
    <t>E.E</t>
  </si>
  <si>
    <t>LABOUR FOR CUTTING 40mm DIA  *</t>
  </si>
  <si>
    <t>CEMENT CONCRETE(1:8:16) USING</t>
  </si>
  <si>
    <t>LABOUR FOR CUTTING 50mm DIA/100mm Dia  *</t>
  </si>
  <si>
    <t>40mm BRICK JELLY</t>
  </si>
  <si>
    <t>LABOUR FOR CUTTING 65mm DIA/80mm Dia  *</t>
  </si>
  <si>
    <t>LABOUR FOR THREADING 15mm DIA  *</t>
  </si>
  <si>
    <t>LABOUR FOR THREADING 20mm DIA  *</t>
  </si>
  <si>
    <t>CEMENT MORTAR(1:6)</t>
  </si>
  <si>
    <t>CEMENT MORTAR(1:8)</t>
  </si>
  <si>
    <t>LABOUR FOR THREADING 25mm DIA  *</t>
  </si>
  <si>
    <t>LABOUR FOR THREADING 32mm DIA /100mm Dia *</t>
  </si>
  <si>
    <t>LABOUR FOR THREADING 40mm DIA /80mm Dia *</t>
  </si>
  <si>
    <t>|::</t>
  </si>
  <si>
    <t>LABOUR FOR THREADING 50mm DIA /65mm Dia *</t>
  </si>
  <si>
    <t>COST OF JOINTING MATERIALS</t>
  </si>
  <si>
    <t>HIRE CHARGES FOR   POWER POLISHER</t>
  </si>
  <si>
    <t>ELC. CONSUMPTION CHARGES</t>
  </si>
  <si>
    <t>LABOUR FOR FIXING WINDOW BARS</t>
  </si>
  <si>
    <t>Kg*</t>
  </si>
  <si>
    <t>E.W.EXCAVATION SS 20B AS PER SR ITEM 62 *</t>
  </si>
  <si>
    <t>CEMENT MORTAR(1:7)</t>
  </si>
  <si>
    <t>MIXER OPERATER *</t>
  </si>
  <si>
    <t>CEMENT CONCRETE(1:2:4) USING</t>
  </si>
  <si>
    <t>TESTING CHARGES FOR S.W. LINE</t>
  </si>
  <si>
    <t>20mm HBSTONE METEL</t>
  </si>
  <si>
    <t>GRINDING MORTAR *</t>
  </si>
  <si>
    <t>G.I. SHEET SR114 1.6mmT.K,30cmWIDE</t>
  </si>
  <si>
    <t>SQM*</t>
  </si>
  <si>
    <t>FITTER II *</t>
  </si>
  <si>
    <t xml:space="preserve">ROUGH STONE </t>
  </si>
  <si>
    <t>HARD BROKEN STONE JELLY 3mmTo10mm SIZE</t>
  </si>
  <si>
    <t>HARD BROKEN STONE JELLY  10mm SIZE</t>
  </si>
  <si>
    <t>HARD BROKEN STONE JELLY 12mm SIZE</t>
  </si>
  <si>
    <t>HARD BROKEN STONE JELLY 20mm SIZE</t>
  </si>
  <si>
    <t>HARD BROKEN STONE JELLY 40mm SIZE</t>
  </si>
  <si>
    <t>TERRACOTTA JALLY 110mm/50mmT.K FIXING CHARGE</t>
  </si>
  <si>
    <t>TERRACOTTA JALLY 110mmT.K/50mmT.K</t>
  </si>
  <si>
    <t>B.W IN C.M(1:5) USING CHAMBER BURNT</t>
  </si>
  <si>
    <t>CHAMBER BURNT G.M(2D) BRICK 8-3/4"X4-1/4"X2"</t>
  </si>
  <si>
    <t>Bricks of size 22X11X5Cm</t>
  </si>
  <si>
    <t>SAND FOR MARTER</t>
  </si>
  <si>
    <t>EARTH WORK EXCAVATION</t>
  </si>
  <si>
    <t>STOCK BRICK-IISORT(2A)T.M OF SIZE 9"x4-1/2"X3"</t>
  </si>
  <si>
    <t>---------------------</t>
  </si>
  <si>
    <t>BRICK JELLY 40mm GAUGE</t>
  </si>
  <si>
    <t>EARTH WORK EXCAVATION IN SS20B</t>
  </si>
  <si>
    <t>BRICK JELLY 20mm GAUGE</t>
  </si>
  <si>
    <t>ADD 100% FOR NARROW CUTTING</t>
  </si>
  <si>
    <t>PRESSED TILES 23X23X2cm</t>
  </si>
  <si>
    <t xml:space="preserve"> 1/3REFILLING CHARGES</t>
  </si>
  <si>
    <t>SLACKED LIME</t>
  </si>
  <si>
    <t>C.W.SANDLING UP TO 4M LONG</t>
  </si>
  <si>
    <t>C.W. PLANK 40mmT.K.UPTO30cm WIDTH</t>
  </si>
  <si>
    <t>T.W SANDLING OVER2M,BLOW3M</t>
  </si>
  <si>
    <t>RATE PER CUM INCLUDING REFILLING</t>
  </si>
  <si>
    <t>T.W.SCANDLING UPTO 2M</t>
  </si>
  <si>
    <t>T.W. PLANK 12mm to 25mm T.K UPTO 45cmWIDTH</t>
  </si>
  <si>
    <t>1.2</t>
  </si>
  <si>
    <t xml:space="preserve">RATE PER CUM EXCLUDING REFILLING 
</t>
  </si>
  <si>
    <t>STOCK BRICK-ISORT(2B)T.M SIZE 9"x4-3/8"X2-3/4"</t>
  </si>
  <si>
    <t>1.3</t>
  </si>
  <si>
    <r>
      <t xml:space="preserve">EARTH WORK EXCAVATION  for </t>
    </r>
    <r>
      <rPr>
        <b/>
        <sz val="12"/>
        <rFont val="Helv"/>
      </rPr>
      <t>SDR</t>
    </r>
  </si>
  <si>
    <t>EARTH WORK EXCAVATION IN SDR</t>
  </si>
  <si>
    <t>RATE PER CUM EXCLUDING REFILLING IN SDR</t>
  </si>
  <si>
    <r>
      <t xml:space="preserve">EARTH WORK EXCAVATION  for </t>
    </r>
    <r>
      <rPr>
        <b/>
        <sz val="12"/>
        <rFont val="Helv"/>
      </rPr>
      <t>open foundation</t>
    </r>
    <r>
      <rPr>
        <sz val="11"/>
        <color theme="1"/>
        <rFont val="Calibri"/>
        <family val="2"/>
        <scheme val="minor"/>
      </rPr>
      <t>EXCLUDING REFILLING</t>
    </r>
  </si>
  <si>
    <t>RATE PER CUM EXCLUDING REFILLING</t>
  </si>
  <si>
    <r>
      <t xml:space="preserve">EARTH WORK EXCAVATION  for open foundation
</t>
    </r>
    <r>
      <rPr>
        <sz val="11"/>
        <color theme="1"/>
        <rFont val="Calibri"/>
        <family val="2"/>
        <scheme val="minor"/>
      </rPr>
      <t>IN SDR (EXCLUDING REFILLING)</t>
    </r>
  </si>
  <si>
    <r>
      <t xml:space="preserve">RATE PER CUM EXCLUDING REFILLING
</t>
    </r>
    <r>
      <rPr>
        <b/>
        <sz val="12"/>
        <rFont val="Helv"/>
      </rPr>
      <t>IN SDR (OPEN FOUNDATION)</t>
    </r>
  </si>
  <si>
    <t>MOSIC TILES GREY 25X25X2cm</t>
  </si>
  <si>
    <t xml:space="preserve"> 14a</t>
  </si>
  <si>
    <t>RTS/MS above 16mm dia</t>
  </si>
  <si>
    <r>
      <t xml:space="preserve">BASEMENT  WITH  </t>
    </r>
    <r>
      <rPr>
        <b/>
        <sz val="12"/>
        <rFont val="Helv"/>
      </rPr>
      <t>FILLING SAND</t>
    </r>
  </si>
  <si>
    <t xml:space="preserve"> 14b</t>
  </si>
  <si>
    <t>RTS/MS upto 16mm dia</t>
  </si>
  <si>
    <t xml:space="preserve"> 14c</t>
  </si>
  <si>
    <t>M.S. WIRE 3mm</t>
  </si>
  <si>
    <t xml:space="preserve"> 14d</t>
  </si>
  <si>
    <t>GRAVEL</t>
  </si>
  <si>
    <t>BITUMEN</t>
  </si>
  <si>
    <t>B.W IN C.M(1:6) USING CHAMBER BURNT</t>
  </si>
  <si>
    <t>POLISHING  STONE</t>
  </si>
  <si>
    <t>2.2</t>
  </si>
  <si>
    <r>
      <t xml:space="preserve">PROVIDING </t>
    </r>
    <r>
      <rPr>
        <b/>
        <sz val="12"/>
        <rFont val="Helv"/>
      </rPr>
      <t>SAND  GRAVEL MIX</t>
    </r>
  </si>
  <si>
    <t>IN 1:1 RATIO INCLUDING</t>
  </si>
  <si>
    <t>COST OF SAND,GRAVEL,STACKING,LABOUR FOR</t>
  </si>
  <si>
    <t>MIXING &amp;CONSOLIDATION ETC</t>
  </si>
  <si>
    <t>COMPLETE.</t>
  </si>
  <si>
    <t>STACKING CHARGES</t>
  </si>
  <si>
    <t>COST OF gravel</t>
  </si>
  <si>
    <t>LABOUR CHARGES FOR SPREADING</t>
  </si>
  <si>
    <t>WATERING&amp;POWER ROLLING</t>
  </si>
  <si>
    <t>SUPLLYING AND FILLING WITH 40MM Brick jelly</t>
  </si>
  <si>
    <t>SUPLLYING AND FILLING WITH 40MM HBSJ</t>
  </si>
  <si>
    <t>SUPLLYING AND FILLING WITH 20MM Brick jelly</t>
  </si>
  <si>
    <t>COST OF 40mm HBSJ</t>
  </si>
  <si>
    <t>SUPLLYING AND FILLING WITH 20MM HBSJ</t>
  </si>
  <si>
    <t>COST OF 20mm HBSJ</t>
  </si>
  <si>
    <t>CRUDE OIL</t>
  </si>
  <si>
    <t>RED OXIDE</t>
  </si>
  <si>
    <t>2.5</t>
  </si>
  <si>
    <r>
      <t xml:space="preserve">Providing </t>
    </r>
    <r>
      <rPr>
        <b/>
        <sz val="12"/>
        <rFont val="Helv"/>
      </rPr>
      <t>GRAVEL SOLING</t>
    </r>
    <r>
      <rPr>
        <sz val="11"/>
        <color theme="1"/>
        <rFont val="Calibri"/>
        <family val="2"/>
        <scheme val="minor"/>
      </rPr>
      <t xml:space="preserve"> of 150mm thick</t>
    </r>
  </si>
  <si>
    <t>COST OF Gravel</t>
  </si>
  <si>
    <t>WINE VERNISH</t>
  </si>
  <si>
    <t>LITTER</t>
  </si>
  <si>
    <t>LINSEED OIL (BOILED)</t>
  </si>
  <si>
    <t>BEST GOPALVARNISH REDY MIX</t>
  </si>
  <si>
    <t>READY MIX PAINT II ND/ IST for wood</t>
  </si>
  <si>
    <t>READY MIX PRIMER PAINT</t>
  </si>
  <si>
    <t>M.S WASHER</t>
  </si>
  <si>
    <t>CHICKEN MESH 10X10X10G</t>
  </si>
  <si>
    <t>SQM</t>
  </si>
  <si>
    <t>WELD MESH 75X25X10G</t>
  </si>
  <si>
    <t>WELD MESH 100X100X10G</t>
  </si>
  <si>
    <t>IWC ORIYA PAN</t>
  </si>
  <si>
    <t>S.W. SIGLE Y</t>
  </si>
  <si>
    <t xml:space="preserve"> 15a</t>
  </si>
  <si>
    <t>S.W.TEE 100mm DIA WITH ISI MARK</t>
  </si>
  <si>
    <t xml:space="preserve"> 15b</t>
  </si>
  <si>
    <t>S.W.PIPE 100mm DIAWITH ISI MARK</t>
  </si>
  <si>
    <t xml:space="preserve"> 15c</t>
  </si>
  <si>
    <t>S.W.PIPE 150mm DIAWITH ISI MARK</t>
  </si>
  <si>
    <t xml:space="preserve"> 15d</t>
  </si>
  <si>
    <t>S.W.BEND 100mm DIAWITH ISI MARK</t>
  </si>
  <si>
    <t>READY MIX PAINT II ND/ IST for iron</t>
  </si>
  <si>
    <t>LTR</t>
  </si>
  <si>
    <t>3.2</t>
  </si>
  <si>
    <r>
      <t>CEMENT CONCRETE</t>
    </r>
    <r>
      <rPr>
        <b/>
        <sz val="12"/>
        <rFont val="Helv"/>
      </rPr>
      <t xml:space="preserve"> PCC (1:2:4)</t>
    </r>
    <r>
      <rPr>
        <sz val="11"/>
        <color theme="1"/>
        <rFont val="Calibri"/>
        <family val="2"/>
        <scheme val="minor"/>
      </rPr>
      <t xml:space="preserve"> USING</t>
    </r>
  </si>
  <si>
    <t>S.W.TEE 150mm DIA WITH ISI MARK</t>
  </si>
  <si>
    <t>A.</t>
  </si>
  <si>
    <t>DOOR OF SIZE 70X210Cm</t>
  </si>
  <si>
    <t xml:space="preserve">  H.B.STONEJELLY 20mm</t>
  </si>
  <si>
    <t>T.W.SCANTLING above 2M length</t>
  </si>
  <si>
    <t>T.W.SCANTLING below 2M length</t>
  </si>
  <si>
    <t>Phenol bonded BWR Plywood 9mm</t>
  </si>
  <si>
    <t>LABOUR CHARGE</t>
  </si>
  <si>
    <t xml:space="preserve"> 6"X1/2"ALU.TOWER BOLT</t>
  </si>
  <si>
    <t xml:space="preserve"> 5" ALU.BUTT HINGS</t>
  </si>
  <si>
    <t xml:space="preserve"> 10"X5/8" ALU. ALDROP</t>
  </si>
  <si>
    <t>NYLON BUSH</t>
  </si>
  <si>
    <t>ALU.HANDLE WITH C.P.SCREWS</t>
  </si>
  <si>
    <t>DOOR STOPPER</t>
  </si>
  <si>
    <t>TOTAL FOR 1.23 SQM</t>
  </si>
  <si>
    <t>3.3</t>
  </si>
  <si>
    <r>
      <t>CEMENT CONCRETE</t>
    </r>
    <r>
      <rPr>
        <b/>
        <sz val="12"/>
        <rFont val="Helv"/>
      </rPr>
      <t>(1:8:16)</t>
    </r>
    <r>
      <rPr>
        <sz val="11"/>
        <color theme="1"/>
        <rFont val="Calibri"/>
        <family val="2"/>
        <scheme val="minor"/>
      </rPr>
      <t xml:space="preserve"> USING</t>
    </r>
  </si>
  <si>
    <t>20mm brick jelly</t>
  </si>
  <si>
    <t xml:space="preserve"> 20mmbrick jelly</t>
  </si>
  <si>
    <r>
      <t xml:space="preserve">PROVIDING  </t>
    </r>
    <r>
      <rPr>
        <b/>
        <sz val="12"/>
        <rFont val="Helv"/>
      </rPr>
      <t>WBM 125mm</t>
    </r>
    <r>
      <rPr>
        <sz val="11"/>
        <color theme="1"/>
        <rFont val="Calibri"/>
        <family val="2"/>
        <scheme val="minor"/>
      </rPr>
      <t xml:space="preserve"> CONSOLIDATED</t>
    </r>
  </si>
  <si>
    <t>THICK WITH GRAVEL BLINDAGE</t>
  </si>
  <si>
    <t>Stacking charges</t>
  </si>
  <si>
    <t>63mm to 46.5mm IRC metal</t>
  </si>
  <si>
    <t>37.5mm to 26.5mm IRC metal</t>
  </si>
  <si>
    <t>Gravel blindage 2 layers</t>
  </si>
  <si>
    <t>sqm</t>
  </si>
  <si>
    <t>Spreading charges for 2 layers</t>
  </si>
  <si>
    <t>(10.1+7.72)</t>
  </si>
  <si>
    <t>Total for 10 m2</t>
  </si>
  <si>
    <t>for 1 m2</t>
  </si>
  <si>
    <r>
      <t xml:space="preserve">SURFACE DRESSING OVER </t>
    </r>
    <r>
      <rPr>
        <b/>
        <sz val="12"/>
        <rFont val="Helv"/>
      </rPr>
      <t>WBM 25mm TK.</t>
    </r>
  </si>
  <si>
    <t>11.2mm IRC metal</t>
  </si>
  <si>
    <t>kg</t>
  </si>
  <si>
    <t>Bitumen</t>
  </si>
  <si>
    <t>Total for 100M2</t>
  </si>
  <si>
    <t>S.W.BEND 150mm DIA</t>
  </si>
  <si>
    <t>4.1</t>
  </si>
  <si>
    <t xml:space="preserve">REINFORCED CEMENT CONCRETE </t>
  </si>
  <si>
    <t>**</t>
  </si>
  <si>
    <t>PARTITION WALL OF 114mmTHICK</t>
  </si>
  <si>
    <t>S.W.GULLY TRAP 150X100mm</t>
  </si>
  <si>
    <t>NAHANI TRAP 63mm/PVC TYP</t>
  </si>
  <si>
    <t>C.C(1:2:4)USING 20mm HBSTONE</t>
  </si>
  <si>
    <t>PRATITION B.W IN C.M(1:4)</t>
  </si>
  <si>
    <t>CENTERING C.W BOARDING 40mmT.K</t>
  </si>
  <si>
    <t>JELLY FOR ALL RCCWORK</t>
  </si>
  <si>
    <t>CENTERING C.W. JOIST</t>
  </si>
  <si>
    <t>CASURINA POST 10mmMTO 13mm DIA *</t>
  </si>
  <si>
    <t xml:space="preserve"> 20mm HB STONE JELLY</t>
  </si>
  <si>
    <t>CEMENT PAINT</t>
  </si>
  <si>
    <t>GLASS 3mmTHICK</t>
  </si>
  <si>
    <t>A.C. PIPE 100mm DIA</t>
  </si>
  <si>
    <t>A.C.BEND100mm DIA</t>
  </si>
  <si>
    <t>A.C. SHOE 100mm DIA</t>
  </si>
  <si>
    <t xml:space="preserve"> 20a</t>
  </si>
  <si>
    <t>C.I EVERITE CLAMOE 100mm DIA</t>
  </si>
  <si>
    <t xml:space="preserve"> 20b</t>
  </si>
  <si>
    <t>CI GREATINGS 100mm DIA</t>
  </si>
  <si>
    <t xml:space="preserve"> 20c</t>
  </si>
  <si>
    <t>G.I.SHEET 22G</t>
  </si>
  <si>
    <t>TOTAL FOR 10CUM</t>
  </si>
  <si>
    <t xml:space="preserve"> 20d</t>
  </si>
  <si>
    <t>ALU  HINGS 5"</t>
  </si>
  <si>
    <t>ALU  HINGS 4"</t>
  </si>
  <si>
    <t>DADOING WALL WITH MASAIC</t>
  </si>
  <si>
    <t>ALU  HINGS 3"</t>
  </si>
  <si>
    <t>GRADED CHIPS</t>
  </si>
  <si>
    <t>ALU  HINGS 2"</t>
  </si>
  <si>
    <t>VIBRATING CHARGES</t>
  </si>
  <si>
    <t>ALU TOWER BOLT 6"X1/2"</t>
  </si>
  <si>
    <t>MASIC TILES LAID IN CM 1:3</t>
  </si>
  <si>
    <t>ALU TOWER BOLT 2"X5/10"</t>
  </si>
  <si>
    <t>for foundation  and basement</t>
  </si>
  <si>
    <t>ALU ALDROP 10"X5.8"</t>
  </si>
  <si>
    <t>ALU ALDROP 6"X1/2"</t>
  </si>
  <si>
    <t>NYLON BUSH FOR D</t>
  </si>
  <si>
    <t>NYLON BUSH FOR W&amp;V</t>
  </si>
  <si>
    <t>VENTILATER PIVET</t>
  </si>
  <si>
    <t>PAIR</t>
  </si>
  <si>
    <t>ALU HOOKS &amp; EYES8"</t>
  </si>
  <si>
    <t>Forth floor</t>
  </si>
  <si>
    <t>ALU HOOKS &amp; EYES6"</t>
  </si>
  <si>
    <t>ALU HOOKS &amp; EYES3"</t>
  </si>
  <si>
    <t>RANDUM RABBLE MASONRY IN CM 1:5</t>
  </si>
  <si>
    <t>I.O. HINGES 4"</t>
  </si>
  <si>
    <t>PLASTERING C.M(1:3) 12mmTHICK</t>
  </si>
  <si>
    <t>I.O. HINGES 5"</t>
  </si>
  <si>
    <t>I.O SPL HING 8"LONG</t>
  </si>
  <si>
    <t>I.O. HINGES 3"</t>
  </si>
  <si>
    <t>I.O. HINGES 2"</t>
  </si>
  <si>
    <t>I.O. TOWER BOLT 6"X1/2"</t>
  </si>
  <si>
    <t>I.O. TOWER BOLT 2"X5/8"</t>
  </si>
  <si>
    <t>I.O. ALDROP 10"X5.8"</t>
  </si>
  <si>
    <t>I.O. ALDROP 6"X1/2"</t>
  </si>
  <si>
    <t>PLASTERING C.M(1:2) 12mmTHICK</t>
  </si>
  <si>
    <t>I.O HOOKS &amp; EYES8"</t>
  </si>
  <si>
    <t>I.O HOOKS &amp; EYES6"</t>
  </si>
  <si>
    <t>I.O HOOKS &amp; EYES3"</t>
  </si>
  <si>
    <t>B.W IN C.M(1:5) USING kiln Burnt Country Bricks</t>
  </si>
  <si>
    <t>C.I. SOIL PIPE</t>
  </si>
  <si>
    <t xml:space="preserve"> 50mm DIA</t>
  </si>
  <si>
    <t xml:space="preserve"> 75mm DIA</t>
  </si>
  <si>
    <t xml:space="preserve"> 100mm DIA</t>
  </si>
  <si>
    <t xml:space="preserve"> 150mm DIA</t>
  </si>
  <si>
    <t>C.I. SOIL BEND</t>
  </si>
  <si>
    <t>PLASTERING C.M(1:2) 10mmTHICK</t>
  </si>
  <si>
    <t>C.I. SOIL BEND WITHDOOR</t>
  </si>
  <si>
    <t>A.C. SOIL PIPE</t>
  </si>
  <si>
    <t>7.2</t>
  </si>
  <si>
    <r>
      <t xml:space="preserve">PROVIDING </t>
    </r>
    <r>
      <rPr>
        <b/>
        <sz val="12"/>
        <rFont val="Helv"/>
      </rPr>
      <t>BITUMEN PAD</t>
    </r>
    <r>
      <rPr>
        <sz val="11"/>
        <color theme="1"/>
        <rFont val="Calibri"/>
        <family val="2"/>
        <scheme val="minor"/>
      </rPr>
      <t xml:space="preserve"> FOR EXPANISION </t>
    </r>
  </si>
  <si>
    <t>470/SQM</t>
  </si>
  <si>
    <t>JOINT</t>
  </si>
  <si>
    <t>B.W IN C.M(1:6) USING kiln Burnt Country Bricks</t>
  </si>
  <si>
    <t>A.C. SOIL BEND</t>
  </si>
  <si>
    <t>PLASTERING C.M(1:5) 20mmTHICK</t>
  </si>
  <si>
    <t>A.C. SOIL BEND WITHDOOR</t>
  </si>
  <si>
    <t>A.C. SOIL TEE</t>
  </si>
  <si>
    <t>PLASTERING C.M(1:3) 20mmTHICK</t>
  </si>
  <si>
    <t>A.C. SOIL TEE WITH DOOR</t>
  </si>
  <si>
    <t>A.C. SOIL  SINGLE YEE</t>
  </si>
  <si>
    <t>B.W IN C.M(1:4) USING kiln Burnt Country Bricks</t>
  </si>
  <si>
    <t>A.C. SOIL  SINGLE YEE WITHDOOR</t>
  </si>
  <si>
    <t>PLASTERING C.M(1:4) 20mmTHICK</t>
  </si>
  <si>
    <t>MIXEDWITH RED OXIDE @9.8</t>
  </si>
  <si>
    <t>Kg/10 SQM</t>
  </si>
  <si>
    <t>A.C. SOIL  DOUBLE YEE WITHDOOR</t>
  </si>
  <si>
    <t>no.</t>
  </si>
  <si>
    <t>mason for polishing</t>
  </si>
  <si>
    <t>A.C. SOIL DOUBLE YEE</t>
  </si>
  <si>
    <t>A.C. SOIL COWL</t>
  </si>
  <si>
    <t>Average rate for staircase steps</t>
  </si>
  <si>
    <t>A.C. SOIL SHOE</t>
  </si>
  <si>
    <t>PARTITION WALL</t>
  </si>
  <si>
    <t>WHITE WASHING ONE COAT</t>
  </si>
  <si>
    <t>A.C. SOIL SOCKETS</t>
  </si>
  <si>
    <t>SUNDRIES FOR BRUSH ETC</t>
  </si>
  <si>
    <t>A.C.DRAIN SPOUT 18" LONG</t>
  </si>
  <si>
    <t>TOTAL FOR 100 SQM</t>
  </si>
  <si>
    <t>A.C.DRAIN SPOUT 24" LONG</t>
  </si>
  <si>
    <t>WHITE WASHING TWO COAT</t>
  </si>
  <si>
    <t>G.I. PIPE A  CLASS</t>
  </si>
  <si>
    <t xml:space="preserve"> 15mmDIA</t>
  </si>
  <si>
    <t xml:space="preserve"> 20mm DIA</t>
  </si>
  <si>
    <t>PARTITION WALL OF 110 mm thick</t>
  </si>
  <si>
    <t xml:space="preserve"> 25mm DIA</t>
  </si>
  <si>
    <t xml:space="preserve"> 32mm DIA</t>
  </si>
  <si>
    <t>PARATITION B.W IN C.M(1:4)</t>
  </si>
  <si>
    <t xml:space="preserve"> 40mm DIA</t>
  </si>
  <si>
    <t xml:space="preserve"> 65mm DIA</t>
  </si>
  <si>
    <t>G.I. BEND</t>
  </si>
  <si>
    <t>COLOUR WASHING  TWO COATS</t>
  </si>
  <si>
    <t>ADD 50% EXYRA FOR COLOURING</t>
  </si>
  <si>
    <t>MAATERIAL</t>
  </si>
  <si>
    <t>G.I.COUPLER</t>
  </si>
  <si>
    <t>1000NO.</t>
  </si>
  <si>
    <t xml:space="preserve">COLOUR  WASHING TWO COATS OVER </t>
  </si>
  <si>
    <t>ONE COAT OF WHITE WASHING.</t>
  </si>
  <si>
    <t>G.I. ELBOW</t>
  </si>
  <si>
    <t>G.I. UNION</t>
  </si>
  <si>
    <t>WATER SUPPLY</t>
  </si>
  <si>
    <t>***</t>
  </si>
  <si>
    <t>PARTITION WALL OF 70mm thick</t>
  </si>
  <si>
    <t>LABOUR CHARGE FOR  LAYING</t>
  </si>
  <si>
    <t>JOINTING GI PIPE AND SPECIALS</t>
  </si>
  <si>
    <t>BELOW G.L</t>
  </si>
  <si>
    <t>A</t>
  </si>
  <si>
    <t>15mm DIA  GI PIPE BELOW G.L</t>
  </si>
  <si>
    <t>G.I. PLUG</t>
  </si>
  <si>
    <t>E.W EXCLUDING REFILLING</t>
  </si>
  <si>
    <t>REFILLING CHARGE</t>
  </si>
  <si>
    <t>CONVEYING,LOWERING  ANDLAYING</t>
  </si>
  <si>
    <t>TO PROPER GRADEAND</t>
  </si>
  <si>
    <t>ALIGNMENT,JOINTING</t>
  </si>
  <si>
    <t>ETC BUT EXCLUDING  COST OF</t>
  </si>
  <si>
    <t>JOINTING MATERIALS.</t>
  </si>
  <si>
    <t>Forth Floor</t>
  </si>
  <si>
    <t xml:space="preserve">PARTITION WALL </t>
  </si>
  <si>
    <t>CUTTING CHARGES</t>
  </si>
  <si>
    <t>G.I. TEE</t>
  </si>
  <si>
    <t>==============</t>
  </si>
  <si>
    <t>THREADING CHARGES</t>
  </si>
  <si>
    <t>B.W IN C.M(1:4) USING 4-A Categery</t>
  </si>
  <si>
    <t>COST OF JOINTING  MATERIALS</t>
  </si>
  <si>
    <t>Bricks of size 22X11X5 cm</t>
  </si>
  <si>
    <t>TOTAL FOR 30M</t>
  </si>
  <si>
    <t>RATE PER RMT</t>
  </si>
  <si>
    <t>G.I.HEX NIPPLE</t>
  </si>
  <si>
    <t>20mm DIA  GI PIPE BELOW G.L</t>
  </si>
  <si>
    <t>G.M. FERRULE</t>
  </si>
  <si>
    <t>PARTITION WALL OF 50mmTHICK</t>
  </si>
  <si>
    <t>SCRAPING THE OLD PLASTER SURFACE *</t>
  </si>
  <si>
    <t>WASHING PLASTERED AREA WITH SOAP&amp;SODA WATER *</t>
  </si>
  <si>
    <t>PILE DRIVING CHARGES FOR 330mmDIA/375mm DIA</t>
  </si>
  <si>
    <t>PILE DRIVING CHARGES FOR 400mmDIA/450mm DIA</t>
  </si>
  <si>
    <t>PILE DRIVING CHARGES FOR 500mmDIA/600mm DIA</t>
  </si>
  <si>
    <t xml:space="preserve"> 15mmDIA G.M.CHEKVALUE</t>
  </si>
  <si>
    <t xml:space="preserve"> 20mm DIA G.M.CHEKVALUE</t>
  </si>
  <si>
    <t>C</t>
  </si>
  <si>
    <t>25mm DIA  GI PIPE BELOW G.L</t>
  </si>
  <si>
    <t>G.M.GATE VALUE</t>
  </si>
  <si>
    <t>13.1</t>
  </si>
  <si>
    <t xml:space="preserve">FILLING IN BASEMENT  WITH </t>
  </si>
  <si>
    <t>EXCAVATED EARTH</t>
  </si>
  <si>
    <t>AS  PER SR 85</t>
  </si>
  <si>
    <t>DAMP PROOF COURSE IN C.M(1:4),12mm thick</t>
  </si>
  <si>
    <t>mixed with Water Proof Compound at 1KG per Bag of Cement</t>
  </si>
  <si>
    <t>G.M.WHEELVALUE</t>
  </si>
  <si>
    <t xml:space="preserve">Water Proof Compound </t>
  </si>
  <si>
    <t>ABOVE G.L</t>
  </si>
  <si>
    <t xml:space="preserve">G.I.REDUCER </t>
  </si>
  <si>
    <t xml:space="preserve"> 15mmDIAX20mmDIA</t>
  </si>
  <si>
    <t>15mm  DIA G.I PIPE ABOVE G.L</t>
  </si>
  <si>
    <t xml:space="preserve"> 15mmDIAX25mmDIA</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</si>
  <si>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</si>
  <si>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</si>
  <si>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</si>
  <si>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</si>
  <si>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</si>
  <si>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</si>
  <si>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</si>
  <si>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</si>
  <si>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STONE CUTTER II</t>
  </si>
  <si>
    <t>MADON I</t>
  </si>
  <si>
    <t>COST OF CLAMPS PLUGS PAINTING</t>
  </si>
  <si>
    <t>G.I.REDUCER  ELBOW</t>
  </si>
  <si>
    <t>REDOING WORKS ETC</t>
  </si>
  <si>
    <t>TOTAL FOR 30 M</t>
  </si>
  <si>
    <t xml:space="preserve"> 32mmX15mmDIA</t>
  </si>
  <si>
    <t>P.V.C.PIPE</t>
  </si>
  <si>
    <t xml:space="preserve"> 4KG/SQ.CM</t>
  </si>
  <si>
    <t>20mm  DIA G.I PIPE ABOVE G.L</t>
  </si>
  <si>
    <t xml:space="preserve"> 15mmDIA OF WALL THICK 2.8mm A.S.T.M</t>
  </si>
  <si>
    <t xml:space="preserve"> 20mm DIA----DO----2.9mm</t>
  </si>
  <si>
    <t>RATE PER CUM with vibrating</t>
  </si>
  <si>
    <t xml:space="preserve"> 25mm DIA----DO-----3.4mm</t>
  </si>
  <si>
    <t xml:space="preserve"> 32mm DIA-----DO----3.6mm</t>
  </si>
  <si>
    <t xml:space="preserve"> 25a</t>
  </si>
  <si>
    <t xml:space="preserve"> 40mm DIA----DO----3.7mm</t>
  </si>
  <si>
    <t xml:space="preserve"> 25b</t>
  </si>
  <si>
    <t xml:space="preserve"> 50mm DIA----DO----3.9mm</t>
  </si>
  <si>
    <t xml:space="preserve"> 25c</t>
  </si>
  <si>
    <t>P.V.C.SOCKET</t>
  </si>
  <si>
    <t xml:space="preserve"> 25d</t>
  </si>
  <si>
    <t xml:space="preserve"> P.C.C,R.C.C SLAB OF20mm THICK</t>
  </si>
  <si>
    <t>P.V.C.ELBOW</t>
  </si>
  <si>
    <t>25mm  DIA G.I PIPE ABOVE G.L</t>
  </si>
  <si>
    <t>P.V.C.TEE</t>
  </si>
  <si>
    <t xml:space="preserve"> P.C.C,R.C.C SLAB OF40mm THICK</t>
  </si>
  <si>
    <t>P.V.C.REDUCER SOCKET</t>
  </si>
  <si>
    <t xml:space="preserve"> 12mmDIAX25mmDIA</t>
  </si>
  <si>
    <t xml:space="preserve"> 40mmDIAX25mmDIA</t>
  </si>
  <si>
    <t xml:space="preserve"> 32mmDIAX40mmDIA</t>
  </si>
  <si>
    <t>P.V.C.REDUCER TEE</t>
  </si>
  <si>
    <t xml:space="preserve"> 32mmDIAX25mmDIA</t>
  </si>
  <si>
    <t>JOINTING P.V.C  PIPE AND SPECIALS</t>
  </si>
  <si>
    <t>Providing CUDDAPPAH SLAB for cupboard</t>
  </si>
  <si>
    <t>P.V.C.REDUCER ELBOW</t>
  </si>
  <si>
    <t>wardrobe, shelves, kitchen sinks,</t>
  </si>
  <si>
    <t>hearth slab and sunshade etc., for the</t>
  </si>
  <si>
    <t>UP 40MM PVC PIPE</t>
  </si>
  <si>
    <t>following thickness including cost of</t>
  </si>
  <si>
    <t>Cuddappah slab and labour charges for</t>
  </si>
  <si>
    <t>fixing in position etc., all complete</t>
  </si>
  <si>
    <t xml:space="preserve"> 40mmDIAX32mmDIA</t>
  </si>
  <si>
    <r>
      <t>(Both sides polished)</t>
    </r>
    <r>
      <rPr>
        <b/>
        <sz val="12"/>
        <rFont val="Helv"/>
      </rPr>
      <t>FOR COASTAL AREAS</t>
    </r>
  </si>
  <si>
    <t xml:space="preserve"> 50mmDIAX40mmDIA</t>
  </si>
  <si>
    <t>TO PROPER GRADE AND</t>
  </si>
  <si>
    <t>C.I.COVER SLAB 18"X18"X56LBS(25Kg)</t>
  </si>
  <si>
    <t xml:space="preserve"> 20mm Thick slab:-</t>
  </si>
  <si>
    <t>C.I.COVER SLAB 18"X18"X36LBS(16Kg)</t>
  </si>
  <si>
    <t>==================</t>
  </si>
  <si>
    <t>C.I.COVER SLAB 24"X24"X112LBS(50Kg)</t>
  </si>
  <si>
    <t>Cuddappah slab</t>
  </si>
  <si>
    <t>C.I.STEEPS(5Kg)</t>
  </si>
  <si>
    <t>Mason Ist</t>
  </si>
  <si>
    <t>C.I..BRACKET FOR W.B.</t>
  </si>
  <si>
    <t>Mazdoor Ist</t>
  </si>
  <si>
    <t>BRASS TAP 15mm(HEAVY)</t>
  </si>
  <si>
    <t>Packing with C.M., Scaffolding</t>
  </si>
  <si>
    <t>C.P.TAP15mm DIA</t>
  </si>
  <si>
    <t>and Polishing etc.,</t>
  </si>
  <si>
    <t>C.P.WASTE PLUGE WITH ALU CHAIN 32mm DIA</t>
  </si>
  <si>
    <t>Total for Ten sqm</t>
  </si>
  <si>
    <t>P.V.C. WASTE PIPE32mmDIA 2.5'LONG</t>
  </si>
  <si>
    <t>P.V.C.FLUSHING PIPE 32mm DIA 6'LONG</t>
  </si>
  <si>
    <t>Rate for one SQM</t>
  </si>
  <si>
    <t>P.V.C. CONECTION 1/2"X15"</t>
  </si>
  <si>
    <t>ALU TOWEL RAIL 12mm ,2'LONG</t>
  </si>
  <si>
    <t>CONSTRN. OF INSPECTION</t>
  </si>
  <si>
    <t>ALU TOWEL RAIL 20mm ,2'LONG</t>
  </si>
  <si>
    <t>CHAMBER OF SIZE 60X60X60cm</t>
  </si>
  <si>
    <t>P.V.C. LOW LEVEL CISTERN 10 LITCAPACITY</t>
  </si>
  <si>
    <t>FOURTH FLOOR</t>
  </si>
  <si>
    <t>P.V.C. S.D TAP 15mm DIA</t>
  </si>
  <si>
    <t xml:space="preserve"> 40mm Thick slab:- for sun shade only</t>
  </si>
  <si>
    <t>E.W AND REFILLING</t>
  </si>
  <si>
    <t>E.W.C./SEAT COVER BLACK(H)</t>
  </si>
  <si>
    <t>C.C(1:8:16)USING 40mmB.J METEL</t>
  </si>
  <si>
    <t>EVERITE CLAMP IRON CLAMP</t>
  </si>
  <si>
    <t>B.W IN C.M(1:5)</t>
  </si>
  <si>
    <t>AL.HANDLE WITH CP SCREWS/DOOR STOPPER</t>
  </si>
  <si>
    <t>PLASTERING IN C.M(1:3) 12 mmT.K</t>
  </si>
  <si>
    <t>C.P.STOPCOCK 20mM DIA 500 gm</t>
  </si>
  <si>
    <t>R.C.C(1:2:4) PETTY WORKS</t>
  </si>
  <si>
    <t>C.P.STOPCOCK 15mM DIA 300gm</t>
  </si>
  <si>
    <t>StonecutterII</t>
  </si>
  <si>
    <t>(50mmT.K PCC SLAB)</t>
  </si>
  <si>
    <t>CERAMIC-FLOOR TILES WHITE/PLAINCOLOUR-6MM T.K</t>
  </si>
  <si>
    <t>SUNDRIES FOR MOULDIN ETC</t>
  </si>
  <si>
    <t>Glazed-WALL TILES WHITE/PLAINCOLOUR-6MM T.K</t>
  </si>
  <si>
    <t>G.M.VALUE WITH POLYTHENE BALL OF 15mmDIA</t>
  </si>
  <si>
    <t>Total for one sqm</t>
  </si>
  <si>
    <t>TOTAL FOR ONE NUMBER</t>
  </si>
  <si>
    <t>G.M.VALUE WITH POLYTHENE BALL OF 20mmDIA</t>
  </si>
  <si>
    <t>G.M.VALUE WITH POLYTHENE BALL OF 25mmDIA</t>
  </si>
  <si>
    <t>C.P. SHOWER ROSE 1/2"X4"</t>
  </si>
  <si>
    <t>CHAMBER OF SIZE 60X60X75cm</t>
  </si>
  <si>
    <t>TARRED HEMP YARN</t>
  </si>
  <si>
    <t>WHITE CEMENT</t>
  </si>
  <si>
    <t>COLOUR CEMENT</t>
  </si>
  <si>
    <t>C.</t>
  </si>
  <si>
    <r>
      <t xml:space="preserve"> 20mm Thick slab:- For </t>
    </r>
    <r>
      <rPr>
        <b/>
        <sz val="12"/>
        <rFont val="Helv"/>
      </rPr>
      <t>kitchen arrangements only</t>
    </r>
  </si>
  <si>
    <t>BROSS HEX NIPPLE15mm DIA</t>
  </si>
  <si>
    <t>BROSS HEX NIPPLE 20mm DIA</t>
  </si>
  <si>
    <t>COLOUR</t>
  </si>
  <si>
    <t>E.W.C. WITH S  TRAP</t>
  </si>
  <si>
    <t>SET</t>
  </si>
  <si>
    <t>C.M 1:3</t>
  </si>
  <si>
    <t>ANGLO INDIAN WATER CLOSET WITH P OR S TRAP</t>
  </si>
  <si>
    <t>I.W.C. 18" WITH P OR S TRAP WITH FOOT REST</t>
  </si>
  <si>
    <t>PORCELIN FOOT REAT</t>
  </si>
  <si>
    <t>WASH BASIN 480x400mm</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</si>
  <si>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</si>
  <si>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</si>
  <si>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</si>
  <si>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</si>
  <si>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</si>
  <si>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</si>
  <si>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</si>
  <si>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</si>
  <si>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</si>
  <si>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</si>
  <si>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P.V.C. SOIL BENDWITH DOOR 110mm DIA</t>
  </si>
  <si>
    <t>C.C(1:8:16)USING 40mm HBS</t>
  </si>
  <si>
    <t>P.V.C. SOIL BENDWITH DOOR 75mm DIA</t>
  </si>
  <si>
    <t>B.W. IN C.M(1:6) USING COUNTRY BRICK</t>
  </si>
  <si>
    <t>P.V.C. SOIL BENDWITH DOOR 50mm DIA</t>
  </si>
  <si>
    <t>DRY BRICK WORK</t>
  </si>
  <si>
    <t>P.V.C. SOIL SHOE 110mm DIA</t>
  </si>
  <si>
    <t>16.1</t>
  </si>
  <si>
    <t>CEMENT CONCRETE(1:2:4) FOR</t>
  </si>
  <si>
    <t xml:space="preserve"> 40mm HBS JELLY</t>
  </si>
  <si>
    <t>P.V.C. SOIL SHOE 75mm DIA</t>
  </si>
  <si>
    <t xml:space="preserve">PETTY WORKS EXCLUDING COST </t>
  </si>
  <si>
    <t>P.V.C. SOIL SHOE 50mm DIA</t>
  </si>
  <si>
    <t>OF STEEL</t>
  </si>
  <si>
    <t>PLASTERING IN C.M(1:5)12mm T.K</t>
  </si>
  <si>
    <t>P.V.C. SOIL BEND W.O.D 110mm DIA</t>
  </si>
  <si>
    <t>SUPPLY OF 100mmS.W TEE</t>
  </si>
  <si>
    <t>P.V.C. SOIL BEND 75mm DIA</t>
  </si>
  <si>
    <t>C.C(1:2:4)USING 20mmHB JELLY</t>
  </si>
  <si>
    <t>R.C.C.(1:2:4) FOR PETTY WORK</t>
  </si>
  <si>
    <t>P.V.C. SOIL BEND 50mm DIA</t>
  </si>
  <si>
    <t xml:space="preserve">SUNDRIES FOR MOULDING </t>
  </si>
  <si>
    <t>PCC-75MM T.K SLAB</t>
  </si>
  <si>
    <t>P.V.C. SOIL YEE 110mm DIA</t>
  </si>
  <si>
    <t>FINISHING,OIL ETC</t>
  </si>
  <si>
    <t>P.V.C. SOIL YEE 75mm DIA</t>
  </si>
  <si>
    <t>P.V.C. SOIL YEE 50mm DIA</t>
  </si>
  <si>
    <t>TOTAL FOR .01 CUM</t>
  </si>
  <si>
    <t>P.V.C. SOIL YEEWITH DOOR 110mm DIA</t>
  </si>
  <si>
    <t>P.V.C. SOIL YEEWITH DOOR 75mm DIA</t>
  </si>
  <si>
    <t>CONSTRUCTION OF DISPERSION</t>
  </si>
  <si>
    <t>P.V.C. SOIL YEEWITH DOOR 50mm DIA</t>
  </si>
  <si>
    <t>TRENCH OF SIZE 3MX1MX1M</t>
  </si>
  <si>
    <t xml:space="preserve">P.V.C. SOIL DOUBLE  YEE WITH DOOR 110mm </t>
  </si>
  <si>
    <t>CC(1:2:4) USING 20mmHB</t>
  </si>
  <si>
    <t xml:space="preserve">P.V.C. SOIL DOUBLE YEE WITH DOOR 75mm </t>
  </si>
  <si>
    <t>JALLY-50mm THICK</t>
  </si>
  <si>
    <t>E.W EXCAVATION</t>
  </si>
  <si>
    <t xml:space="preserve">P.V.C. SOIL DOUBLE YEE WITH DOOR 50mm </t>
  </si>
  <si>
    <t>SUPPLY OF 40mmB.J. METEL</t>
  </si>
  <si>
    <t>P.V.C. SOIL TEE 110mm DIA</t>
  </si>
  <si>
    <t>C.C(1:2:4)USING 20mmJELLY</t>
  </si>
  <si>
    <t xml:space="preserve"> 100mm DIA S.W.PIPE</t>
  </si>
  <si>
    <t>P.V.C. SOIL TEE 75mm DIA</t>
  </si>
  <si>
    <t>FOR PETTY WORKS</t>
  </si>
  <si>
    <t>P.V.C. SOIL TEE 50mm DIA</t>
  </si>
  <si>
    <t>P.V.C. SOIL TEE WITH DOOR  110mm DIA</t>
  </si>
  <si>
    <t>P.V.C. SOIL TEE WITH DOOR  75mm DIA</t>
  </si>
  <si>
    <t>P.V.C. SOIL TEE WITH DOOR  50mm DIA</t>
  </si>
  <si>
    <t>P.V.C. SOIL SLOTTED COWL 110mm DIA</t>
  </si>
  <si>
    <t>TOTAL FOR0.372 SQM</t>
  </si>
  <si>
    <t>CONSTRUCTION OF SEPTIC TANK</t>
  </si>
  <si>
    <t>P.V.C. SOIL  SLOTTED COWL PIPE 75mm DIA</t>
  </si>
  <si>
    <t>OF SIZE 150X75X100cm( BER NO</t>
  </si>
  <si>
    <t>P.V.C. SOIL SLOTTEDCOWL 50mm DIA</t>
  </si>
  <si>
    <t>6/91-92)</t>
  </si>
  <si>
    <t>P.V.C. SOIL DOUBLE YEEE 110mm DIA</t>
  </si>
  <si>
    <t>P.V.C. SOIL DOUBLE YEE 75mm DIA</t>
  </si>
  <si>
    <t>WATER PROOF COMPOUND</t>
  </si>
  <si>
    <t xml:space="preserve"> CC(1:2:4)IN20mmmHBS(PLAIN)</t>
  </si>
  <si>
    <t>ROUND RING</t>
  </si>
  <si>
    <t>A.C. SHEETFULLY CORRUGATED 6mmT.K</t>
  </si>
  <si>
    <t>PLASTERING IN C.M(1:3)12mmT.K</t>
  </si>
  <si>
    <t>A.C. SHEET SEMI CORRUGATED 6mmT.K</t>
  </si>
  <si>
    <t>R.C.C(1:2:4)USING 20mmHBS</t>
  </si>
  <si>
    <t>A.C. RIDGE FOR FULLYCORRUGATED AC SHEET</t>
  </si>
  <si>
    <t>16.2</t>
  </si>
  <si>
    <t>SUPPLYING &amp; FIXING OF TERRACOTTA</t>
  </si>
  <si>
    <t xml:space="preserve">PCC SLAB 50mm T.K </t>
  </si>
  <si>
    <t>A.C. RIDGE FOR SEMI CORRUGATED AC SHEET</t>
  </si>
  <si>
    <t>JALLY(NOT BELOW 50MM THICK) OF BEST</t>
  </si>
  <si>
    <t>S/F OF S.W. TEE 1000mmmDIA</t>
  </si>
  <si>
    <t>U ORJ BOLT ANDBITUMENWASHERS</t>
  </si>
  <si>
    <t>GI HOT</t>
  </si>
  <si>
    <t>QUALITY AND FIXING IN POSITION WITH</t>
  </si>
  <si>
    <t>MTS</t>
  </si>
  <si>
    <t>S/F OF 50mmDIA A.C PIPE</t>
  </si>
  <si>
    <t>M.S.WINDOW GRILLS *</t>
  </si>
  <si>
    <t>CEMENT PASTE AND REDOXIDE PUTTY INCLUDING</t>
  </si>
  <si>
    <t>S/F OF 50mmDIA A.C COWL</t>
  </si>
  <si>
    <t>CONVEY,ALAIGN,JIONT ETC UP TO40mmPVC PIPE</t>
  </si>
  <si>
    <t>COST OF ALL FLOOR(THE TERRA COTTA JALLY</t>
  </si>
  <si>
    <t>CONVEY,ALAIGN,JIONT ETC OVER TO40mmPVC PIPE</t>
  </si>
  <si>
    <t>QUALITY AND DESIGN SHALL BE GOT APPROVED</t>
  </si>
  <si>
    <t xml:space="preserve">CUTTING CHARGE OF PVC pipe </t>
  </si>
  <si>
    <t>BY THE DEPARTMENTAL OFFICERS</t>
  </si>
  <si>
    <t>THREADING CHARGES FOR PVC 20mm/25mm</t>
  </si>
  <si>
    <t>COST OFPVC PIPE JOINTING MATERIALS UPTO 40mm</t>
  </si>
  <si>
    <t>COST OF TERRACOTTA JALLY OF50mm</t>
  </si>
  <si>
    <t>COST OFPVC PIPE JOINTING MATERIALS OVER 40mm</t>
  </si>
  <si>
    <t>LABOUR FOR FIXING JALLY</t>
  </si>
  <si>
    <t>MISCELLANCEOUS ITEMS</t>
  </si>
  <si>
    <t>C.I.DOUBLE YEE JUNCTION WITH DOOR  100mmDIA</t>
  </si>
  <si>
    <t>FOR PLASTERING &amp; REDOXIDE PUTTY</t>
  </si>
  <si>
    <t>S.F OF A.C.SPOUT PIPE OF50 mm DIA</t>
  </si>
  <si>
    <t>C.I.DOUBLE YEE JUNCTION WITH DOOR  75mmDIA</t>
  </si>
  <si>
    <t xml:space="preserve"> 18" LONG</t>
  </si>
  <si>
    <t>THREADING CHARGES FOR PVC 32mm/63mm</t>
  </si>
  <si>
    <t>C.I.DOUBLE YEE JUNCTION WITHOUT DOOR  100mmDIA</t>
  </si>
  <si>
    <t xml:space="preserve">           </t>
  </si>
  <si>
    <t>SPOUT PIPE OF 50mm DIA</t>
  </si>
  <si>
    <t>C.I.DOUBLE YEE JUNCTION WITHOUT DOOR  75mmDIA</t>
  </si>
  <si>
    <t>LABOUR FOR FIXING INCLUDING</t>
  </si>
  <si>
    <t>C.I.DOUBLE YEE JUNCTION WITHOUT DOOR  50mmDIA</t>
  </si>
  <si>
    <t>CLAMP ETC</t>
  </si>
  <si>
    <t>C.I. YEE JUNCTION WITH DOOR  100mmDIA</t>
  </si>
  <si>
    <t>C.I. YEE JUNCTION WITH DOOR  75mmDIA</t>
  </si>
  <si>
    <t>TOTAL FOR  ONE NOS.</t>
  </si>
  <si>
    <t>C.I. YEE JUNCTION WITH  DOOR  50mmDIA</t>
  </si>
  <si>
    <t>C.I. YEE JUNCTION WITHOUT DOOR  100mmDIA</t>
  </si>
  <si>
    <t>16.3</t>
  </si>
  <si>
    <t>C.I. YEE JUNCTION WITHOUT DOOR  75mmDIA</t>
  </si>
  <si>
    <t>JALLY(NOT BELOW 110MM THICK) OF BEST</t>
  </si>
  <si>
    <t>S.F OF A.C.SPOUT PIPE OF75 mm DIA</t>
  </si>
  <si>
    <t>C.I. YEE JUNCTION WITH OUT DOOR  50mmDIA</t>
  </si>
  <si>
    <t>C.I. TEE JUNCTION WITH DOOR  100mmDIA</t>
  </si>
  <si>
    <t>C.I. TEE JUNCTION WITH DOOR  75mmDIA</t>
  </si>
  <si>
    <t>SPOUT PIPE OF 75mm DIA</t>
  </si>
  <si>
    <t>C.I. TEE JUNCTION WITH  DOOR  50mmDIA</t>
  </si>
  <si>
    <t>C.I. TEE JUNCTION WITHOUT DOOR  100mmDIA</t>
  </si>
  <si>
    <t>BY THE DEPARTMENTAL OFFICERS)</t>
  </si>
  <si>
    <t>C.I. TEE JUNCTION WITHOUT DOOR  75mmDIA</t>
  </si>
  <si>
    <t>COST OF TERRACOTTA JALLY OF 110mm</t>
  </si>
  <si>
    <t>C.I.SLOTTED COWL  100mmDIA</t>
  </si>
  <si>
    <t>C.I.SLOTTED COWL  75mmDIA</t>
  </si>
  <si>
    <t>C.I.SLOTTED COWL  50mmDIA</t>
  </si>
  <si>
    <t>S.F OF A.C.SPOUT PIPE OF100mm DIA</t>
  </si>
  <si>
    <t>C.I. GREATING 100mmDIA</t>
  </si>
  <si>
    <t>C.I. GREATING 75mmDIA</t>
  </si>
  <si>
    <t>G.I PIPE "A"CLASS 80mmDIA</t>
  </si>
  <si>
    <t>SPOUT PIPE OF 100mm DIA</t>
  </si>
  <si>
    <t>G.I. 80MM DIA BEND</t>
  </si>
  <si>
    <t>G.I. 80MM DIA CUPPLER</t>
  </si>
  <si>
    <t>G.I. 80MM DIA UNION</t>
  </si>
  <si>
    <t>G.I. 80MM DIA PLUG</t>
  </si>
  <si>
    <t>G.I. 80MM DIA TEE</t>
  </si>
  <si>
    <t>G.I. 80MM DIA HEX.NIPPLE</t>
  </si>
  <si>
    <t>G.I. 80MM X50mm REDUCER</t>
  </si>
  <si>
    <t xml:space="preserve">PROVIDING FORM WORK AND CENTERING FOR </t>
  </si>
  <si>
    <t>S.F OF G.I OUT LET PIPE OF 25mm DIA</t>
  </si>
  <si>
    <t>G.I. 80MM X65mm REDUCER</t>
  </si>
  <si>
    <t>PLAIN CONCRETE SURFACES FOR ALL R.C.C</t>
  </si>
  <si>
    <t xml:space="preserve"> 30cm LONG</t>
  </si>
  <si>
    <t>G.I. 80MM X50mm REDUCER TEE</t>
  </si>
  <si>
    <t>WORKS(beams &amp; lintels)</t>
  </si>
  <si>
    <t>G.I. 80MM X65mm REDUCER TEE</t>
  </si>
  <si>
    <t xml:space="preserve"> PIPE COST 25mm DIA</t>
  </si>
  <si>
    <t>PLAIN GLASS</t>
  </si>
  <si>
    <t>C.W BOARDING 40mm T.K</t>
  </si>
  <si>
    <t>P.V.C BEND</t>
  </si>
  <si>
    <t>C.W JOIST(AVE.SIZE 100X6.5mm</t>
  </si>
  <si>
    <t xml:space="preserve"> 15mm DIA</t>
  </si>
  <si>
    <t>@90cm C/C)</t>
  </si>
  <si>
    <t>CASURNA POST 10TO 13cmDIA</t>
  </si>
  <si>
    <t>AT75cm CENTERS</t>
  </si>
  <si>
    <t>COUNTRY WOOD ITEM</t>
  </si>
  <si>
    <t>TOTAL FOR   5 Operations for 10 sqm</t>
  </si>
  <si>
    <t>=================</t>
  </si>
  <si>
    <t>P.V.C. COUPLER</t>
  </si>
  <si>
    <t>DOOR OF SIZE 100X200Cm</t>
  </si>
  <si>
    <t>COST  OF ONE OPERATION</t>
  </si>
  <si>
    <t>100mm DIA</t>
  </si>
  <si>
    <t>CARPENTER I</t>
  </si>
  <si>
    <t>C.W.SCANTLING(PLLLI,KARIMURUTH)</t>
  </si>
  <si>
    <t>P.V.C ELBOW</t>
  </si>
  <si>
    <t>MARINE PLYWOOD 12mm THICK</t>
  </si>
  <si>
    <t>SUNDRIES FOR WEDGES,NAILS,COIR</t>
  </si>
  <si>
    <t xml:space="preserve"> 6"X1/2" I.O.TOWER BOLT</t>
  </si>
  <si>
    <t>PLYWOOD FLUSH DOOR 30mm T.K FOR ALL SIZE</t>
  </si>
  <si>
    <t xml:space="preserve"> 5" I.O.BUTT HINGS</t>
  </si>
  <si>
    <t>P.V.C.FLUSH D/F &amp; D/S 20mm T.K FOR 75X200cm</t>
  </si>
  <si>
    <t xml:space="preserve"> 10"X5/8" I.O ALDROP</t>
  </si>
  <si>
    <t>SINTEX WATER TANK OF 750 LIT</t>
  </si>
  <si>
    <t>3.25/lit</t>
  </si>
  <si>
    <t>EACH</t>
  </si>
  <si>
    <t>STEEL DOOR FRAMEOF SIZE 100X200</t>
  </si>
  <si>
    <t>STEEL DOOR FRAMEOF SIZE 90X200</t>
  </si>
  <si>
    <t>STEEL DOOR FRAMEOF SIZE 75X200</t>
  </si>
  <si>
    <t>Centering for soffits for R.C.C.Slabs or</t>
  </si>
  <si>
    <t>TOTAL FOR 1.815 SQM</t>
  </si>
  <si>
    <t>STEEL WINDOW FRAME&amp;SHUTTER WITHOUT GLASS</t>
  </si>
  <si>
    <t>plane surfaces including shuttering up to 3m</t>
  </si>
  <si>
    <t xml:space="preserve"> "   OF SIZE 132.5X120cm</t>
  </si>
  <si>
    <t>height using M.S sheets of size 90mmx60mm and</t>
  </si>
  <si>
    <t xml:space="preserve"> "   OF SIZE 90X120cm</t>
  </si>
  <si>
    <t>HP 10G stiffened with welded M.S angle of</t>
  </si>
  <si>
    <t xml:space="preserve"> "   OF SIZE 47.5X120cm</t>
  </si>
  <si>
    <t>size 25x25x3mm laid over silver oak (C.W)</t>
  </si>
  <si>
    <t>b.</t>
  </si>
  <si>
    <t>DOOR OF SIZE 90X200Cm</t>
  </si>
  <si>
    <t xml:space="preserve"> "   OF SIZE 90X105cm</t>
  </si>
  <si>
    <t>joist 10cmx6.5cm spaced at75cm c/c complying</t>
  </si>
  <si>
    <t xml:space="preserve"> "   OF SIZE 47.5X105cm</t>
  </si>
  <si>
    <t>with standard specification</t>
  </si>
  <si>
    <t xml:space="preserve"> "   OF SIZE 90X90cm</t>
  </si>
  <si>
    <t xml:space="preserve"> "   OF SIZE 47.5X90cm</t>
  </si>
  <si>
    <t>Cost of M.S sheet of size</t>
  </si>
  <si>
    <t>STEEL VENTILATTER FRAME&amp;SHUTTER WITHOUT GLASS</t>
  </si>
  <si>
    <t>90x60cm of 10 gauge</t>
  </si>
  <si>
    <t xml:space="preserve"> "   OF SIZE 75X47.5cm</t>
  </si>
  <si>
    <t>Cost of M.S angle of size</t>
  </si>
  <si>
    <t xml:space="preserve"> "   OF SIZE 90X47.5cm</t>
  </si>
  <si>
    <t xml:space="preserve"> 25x25x3mm</t>
  </si>
  <si>
    <t>Add for cutting, bending,</t>
  </si>
  <si>
    <t>P.V.C REDUCER ELBOW</t>
  </si>
  <si>
    <t>welding charges etc.</t>
  </si>
  <si>
    <t xml:space="preserve"> 50X25MM</t>
  </si>
  <si>
    <t>Total for 40 operations</t>
  </si>
  <si>
    <t xml:space="preserve"> 50X40MM</t>
  </si>
  <si>
    <t>TOTAL FOR 1.6191 SQM</t>
  </si>
  <si>
    <t>PORCELINE WHITE GLASED SOAP DISH 200X100mm</t>
  </si>
  <si>
    <t>Cost of one operation</t>
  </si>
  <si>
    <t>PORCEINE WASH BASIN OVAL SHAPE 480X400mm</t>
  </si>
  <si>
    <t>END CAP SULATED P.V.C. MANHOLE STEP</t>
  </si>
  <si>
    <t>Adopting 40 uses for steel sheet and</t>
  </si>
  <si>
    <t>P.V.C. DOUBLE TEE WITH DOOR 75mm DIA</t>
  </si>
  <si>
    <t>angles and 5 uses for C.W.joist and</t>
  </si>
  <si>
    <t>P.V.C. DOUBLE TEE WITH DOOR 100mm DIA</t>
  </si>
  <si>
    <t>casurina props</t>
  </si>
  <si>
    <t>c.</t>
  </si>
  <si>
    <t>DOOR OF SIZE 75X200Cm</t>
  </si>
  <si>
    <t>P.V.C. DOUBLE TEE WITH OUT DOOR 75mm DIA</t>
  </si>
  <si>
    <t>P.V.C. DOUBLE TEE WITH OUT DOOR 100mm DIA</t>
  </si>
  <si>
    <t>Cost of M.S Sheet and Angles</t>
  </si>
  <si>
    <t xml:space="preserve"> 1Use</t>
  </si>
  <si>
    <t xml:space="preserve">POISHED CUDDAPAH SLAB 20mmTHICK WELL POISHED </t>
  </si>
  <si>
    <t>for one operation</t>
  </si>
  <si>
    <t>CUDDAPAH SLAB SINK 60X45cm,20mmT.K</t>
  </si>
  <si>
    <t>Cost of silver oak</t>
  </si>
  <si>
    <t>CUDDAPAH SLAB SINK 45X45cm,20mmT.K</t>
  </si>
  <si>
    <t>Casurnia props 10 to 13cm dia</t>
  </si>
  <si>
    <t>GRANITE SLAB 20mm THICK OF BEST QUALITY</t>
  </si>
  <si>
    <t>Add for Silver oak planks</t>
  </si>
  <si>
    <t xml:space="preserve"> 4" I.O.BUTT HINGS</t>
  </si>
  <si>
    <t>ELECTRICAL ARRANGEMENT:- BOARD APPROVED RATES</t>
  </si>
  <si>
    <t>Carpenter Ist</t>
  </si>
  <si>
    <t xml:space="preserve"> 6"X1/2" I.O ALDROP</t>
  </si>
  <si>
    <t>WRING WITH 1.5SQMM COPPER WIRE  CONCELLED</t>
  </si>
  <si>
    <t>TYPE FOR LIGHT POINT WITH CEILING ROSE</t>
  </si>
  <si>
    <t>POINT</t>
  </si>
  <si>
    <t>Fitter IInd</t>
  </si>
  <si>
    <t>---DO---FOR LIGHT POINT WITH BATTERN HODER</t>
  </si>
  <si>
    <t>Add for nails, wedges,oils etc</t>
  </si>
  <si>
    <t xml:space="preserve"> ---DO---FOR FAN POINT </t>
  </si>
  <si>
    <t>Add for periodical cleaning,</t>
  </si>
  <si>
    <t>TOTAL FOR 1.3247 SQM</t>
  </si>
  <si>
    <t xml:space="preserve"> --DO--FOR 5AMP 5PIN PLUG AT SWITCH BOARD</t>
  </si>
  <si>
    <t>painting etc  for M.S. Sheet</t>
  </si>
  <si>
    <t xml:space="preserve"> --DO--FOR 5AMP 5PIN PLUG AT CONVENTENT PLACE</t>
  </si>
  <si>
    <t xml:space="preserve"> ---DO---FOR STAIR CASE LIGHT POINT </t>
  </si>
  <si>
    <t>S/F OF BULKHEAD FITTING SUITABLE FOR 100/60W</t>
  </si>
  <si>
    <t>FLUSH SHUTTER P.V.C. 30mm THICK</t>
  </si>
  <si>
    <t>RUN OF MAINS 2-1.5 SQMM COPPER CONCELLED TYPE</t>
  </si>
  <si>
    <t xml:space="preserve"> SOLIDCORE OF BLACKBOARD</t>
  </si>
  <si>
    <t xml:space="preserve">S/F OF 16 AMP DPIC MAIN SWITCH </t>
  </si>
  <si>
    <t>PROVIDING FORMWORK AND</t>
  </si>
  <si>
    <t>TYPE WITH COMMERCIAL TYPE</t>
  </si>
  <si>
    <t>EARTHING STATION ASPER IS3043</t>
  </si>
  <si>
    <t>CENTERING FOR PLAIN CONCRETE</t>
  </si>
  <si>
    <t>LIPPING BOTH SIDES</t>
  </si>
  <si>
    <t>S/L OF 8SWG G.I WIRE FOREARTH TO MAIN</t>
  </si>
  <si>
    <t>SURFACES FOR SMALL QTY such as sunshade etc</t>
  </si>
  <si>
    <t>SUPPLY OF 5-10AMP/10-20AMP ELE. ENERGY METER</t>
  </si>
  <si>
    <t>S/F OF CONSUMER UNIT OF 4NO OF 16AMP WAY</t>
  </si>
  <si>
    <t>MS angles &amp; sheets for one</t>
  </si>
  <si>
    <t>FOR ALL SIZE OF DOORS/SQM</t>
  </si>
  <si>
    <t>RUN OF MAINS 4-4 SQMM COPPER CONCELLED TYPE</t>
  </si>
  <si>
    <t>use (1.2 times of operation</t>
  </si>
  <si>
    <t>LABOUR FOR FIXING CEIING FAN OF AL SWEEP</t>
  </si>
  <si>
    <t>for plain surface)</t>
  </si>
  <si>
    <t xml:space="preserve">S/F OF S.C TW BOARD,3-30AMPFUSE, EARTHPLATE </t>
  </si>
  <si>
    <t>C.W Joist for one use (1.2</t>
  </si>
  <si>
    <t>STEEL DOOR FRAMES AND WINDOW FRAMES WITH SHUTTER</t>
  </si>
  <si>
    <t xml:space="preserve">RUN OF S.C WIRING WITH 2-4 SQMM COPPER ,7/20 GI </t>
  </si>
  <si>
    <t>times of operation for plain</t>
  </si>
  <si>
    <t>====</t>
  </si>
  <si>
    <t>S/F OF AERI FUSE UNIT 30AMP 500V AT E.B POLE</t>
  </si>
  <si>
    <t>surface)</t>
  </si>
  <si>
    <t>ITEM NO 1:-MANUFACTURING AND</t>
  </si>
  <si>
    <t>S/F OF 40mmDIA B-CASS G.I PIPE</t>
  </si>
  <si>
    <t>SUPPLYING OF STEEL DOOR frame OF</t>
  </si>
  <si>
    <t>S/F OF 40mmDIA B-CASS G.I COUPLER</t>
  </si>
  <si>
    <t>ALL SIZES WITH OUT SHUTTER</t>
  </si>
  <si>
    <t>S/F OF 40mmDIA B-CASS G.I BEND</t>
  </si>
  <si>
    <t>MADE OF 100X50 18GAUGE CRCA</t>
  </si>
  <si>
    <t>S/F OF 40X40X6mmANGLE TO SUPPORT G.I.PIPE.</t>
  </si>
  <si>
    <t>STELL WITH ALL FOURNITURE AND</t>
  </si>
  <si>
    <t>S/F OF 15AMP 3PIN POWER PLUG WITH SWITCH</t>
  </si>
  <si>
    <t>ADD FOR SILVER OKE PLANKS</t>
  </si>
  <si>
    <t>FITTINGS.</t>
  </si>
  <si>
    <t>RUN OF MAINS 2-2.5 SQMM COPPER CONCELLED TYPE</t>
  </si>
  <si>
    <t>S/F OF SINGE PHASE ELCB OF CONCEAED TYPE</t>
  </si>
  <si>
    <t>Add for periodical cleaning</t>
  </si>
  <si>
    <t>MARINE PLYWOOD OF 12mm THICK OF BWR GRADE L.R</t>
  </si>
  <si>
    <t>and painting etc for M.S. Sheet</t>
  </si>
  <si>
    <t>Manufacturing and supplying of</t>
  </si>
  <si>
    <t>m.s.angle window shutter  and</t>
  </si>
  <si>
    <t>m.s grills with out glass of</t>
  </si>
  <si>
    <t>all sizes of windows,ventilaters.</t>
  </si>
  <si>
    <t xml:space="preserve"> ---DO---FOR CALLING BELL POINT </t>
  </si>
  <si>
    <t>Supply and fixing of window</t>
  </si>
  <si>
    <t>glass panels of 3mm thick for</t>
  </si>
  <si>
    <t>steel window and ventilaters.</t>
  </si>
  <si>
    <t xml:space="preserve"> --DO--FOR 15AMP OWER PLUG</t>
  </si>
  <si>
    <t>SURFACES FOR PLINTH BEAM ETC.</t>
  </si>
  <si>
    <t>Cost of 3mm window glass</t>
  </si>
  <si>
    <t>S/F OF BULK HEAD FITTING</t>
  </si>
  <si>
    <t>S/F OF DOUBLE POLE MAIN SWITCH</t>
  </si>
  <si>
    <t>HALF THE RATE  OF F.W USING C.W.PLANKS</t>
  </si>
  <si>
    <t>nos.</t>
  </si>
  <si>
    <t>Carpenter I class</t>
  </si>
  <si>
    <t>S/F OF 6 WAY D.B</t>
  </si>
  <si>
    <t>FOR LINTEL &amp; BEAMS</t>
  </si>
  <si>
    <t>LABOUR CHARGE FOR FIXING FAN</t>
  </si>
  <si>
    <t>4.2</t>
  </si>
  <si>
    <t>R.C.C 1:1.5:3 USING 20mmHBG</t>
  </si>
  <si>
    <t>Cost of binding meterials etc.,</t>
  </si>
  <si>
    <t>SUPPLY AND DELIVERY OF FAN 48"SWEEP</t>
  </si>
  <si>
    <t>JELLY FOR ALL WATER RETAINING</t>
  </si>
  <si>
    <t>SUPPLY AND DELIVERY OF FAN 42"SWEEP</t>
  </si>
  <si>
    <t>STRUCTURES AND R.C.C DOOR FRAMES</t>
  </si>
  <si>
    <t>total for 0.4sqm</t>
  </si>
  <si>
    <t>S/F OF 8SWG G.I WIRE</t>
  </si>
  <si>
    <t>RUN OFF MAIN WITH 2NO OF 1.50sq.mm WIRE</t>
  </si>
  <si>
    <t xml:space="preserve"> 20mmH.B.JELLY</t>
  </si>
  <si>
    <t>Rate for one sqm</t>
  </si>
  <si>
    <t>EARTHING STATION AS PER ISI</t>
  </si>
  <si>
    <t>S/F OF 1 NO OF 30 AMP FUSE UNIT.</t>
  </si>
  <si>
    <t>Manufactoring and supplying of</t>
  </si>
  <si>
    <t>S/F OF 375mmX300mmX20mmT.W.PLANK FOR S.C.</t>
  </si>
  <si>
    <t xml:space="preserve">steel window, confirming to </t>
  </si>
  <si>
    <t>S/F OF METRE CUPBOARD</t>
  </si>
  <si>
    <t>IS 1038/1983.</t>
  </si>
  <si>
    <t>S/F OF STREET LIGHTS.</t>
  </si>
  <si>
    <t>PROVIDING ANTI-TERMITE TREATMENT</t>
  </si>
  <si>
    <t>Window size 90x120cm</t>
  </si>
  <si>
    <t>PROVIDING ELCB WITH MCB IN MS BOX</t>
  </si>
  <si>
    <t xml:space="preserve"> ---------------------</t>
  </si>
  <si>
    <t>Flat back urinal WITH ALL ACCESSORIES</t>
  </si>
  <si>
    <t>Steel window with 10mm square</t>
  </si>
  <si>
    <t>WIRE MAN GR-I</t>
  </si>
  <si>
    <t>horizontal with one coat of</t>
  </si>
  <si>
    <t>HELPER</t>
  </si>
  <si>
    <t>red oxide primer paint.</t>
  </si>
  <si>
    <t>Frosted glass 3mmthick</t>
  </si>
  <si>
    <t>Iron hinge special type</t>
  </si>
  <si>
    <t>Stays and pegs</t>
  </si>
  <si>
    <t>Locking arrangements</t>
  </si>
  <si>
    <t xml:space="preserve"> 12x12mm thick alu.beedings</t>
  </si>
  <si>
    <t>Mason II / I</t>
  </si>
  <si>
    <t>MAISTRY</t>
  </si>
  <si>
    <t>Labour Charges for fixing</t>
  </si>
  <si>
    <t>WIREMEN GRADE I</t>
  </si>
  <si>
    <t>Alu. bolt and nuts</t>
  </si>
  <si>
    <t>WIREMEN GRADE Ii</t>
  </si>
  <si>
    <t>GI PIPE 40 MM DIA</t>
  </si>
  <si>
    <t>Total for 1No</t>
  </si>
  <si>
    <t>GI PIPE 20 MM DIA</t>
  </si>
  <si>
    <t>15 mm dia GI pipe</t>
  </si>
  <si>
    <t>R.C.C DOOR FRAME</t>
  </si>
  <si>
    <t xml:space="preserve">GI PIPE 25 MM </t>
  </si>
  <si>
    <t>GI PIPE 40 MM</t>
  </si>
  <si>
    <t>Window size 90x105cm</t>
  </si>
  <si>
    <t>INCANDESCENT BULBS 230 V / 250 V GRADE B.C / E.S WITH ISI</t>
  </si>
  <si>
    <t>21.1</t>
  </si>
  <si>
    <t>SUPPLYING AND FIXING MONOLITHIC RCC DOOR</t>
  </si>
  <si>
    <t>15 Watts</t>
  </si>
  <si>
    <t>FRAME OF SIZEM 100MMX75MM WITH ONE EDGE</t>
  </si>
  <si>
    <t>25 Watts</t>
  </si>
  <si>
    <t>GROOVE OF SIZE 30MMX20MM IN RCC(1:1.5:3)USING</t>
  </si>
  <si>
    <t>40 Watts</t>
  </si>
  <si>
    <t>20MM HBS JELLY INCLUDING COST OF STEEL AND</t>
  </si>
  <si>
    <t>60 Watts</t>
  </si>
  <si>
    <t>FABRICATION OF REINFORCEMENT WITH -6MM M.S</t>
  </si>
  <si>
    <t>100 Watts</t>
  </si>
  <si>
    <t>ROD AROUND AND 3MM STEEL STIRRUP AT 30CM C/C</t>
  </si>
  <si>
    <t>150 Watts</t>
  </si>
  <si>
    <t>Deleted</t>
  </si>
  <si>
    <t>INCLUDING FIXING OF 3NOS OF IRON BRACKET OF</t>
  </si>
  <si>
    <t>200 Watts</t>
  </si>
  <si>
    <t>SIZE 100MMX100MMX5MM, 6NOS OF HOLDFAST</t>
  </si>
  <si>
    <t>300 Watts</t>
  </si>
  <si>
    <t>CHECKNUTS AND ALUMINIUM SLEEVES AND 2 NOS OF</t>
  </si>
  <si>
    <t>500 Watts</t>
  </si>
  <si>
    <t>I.O.TOWER BOLT RECEIVER ALL AS PER DRAWING</t>
  </si>
  <si>
    <t>1000 Watts</t>
  </si>
  <si>
    <t>INCLUDING MOULDING INSTEEL MOULD PRECASTING</t>
  </si>
  <si>
    <t xml:space="preserve">INCANDESCENT BULBS 230 V / 250 V GRADE B.C / E.S </t>
  </si>
  <si>
    <t>WITH SMOOTH SURFACE AND FINE EDGES, CURING,</t>
  </si>
  <si>
    <t>Colour  15 Watts</t>
  </si>
  <si>
    <t>TRANSPORTING ETC., ALL COMPLETE, AS DIRECTED</t>
  </si>
  <si>
    <t>Blended Lamp 160 Watts</t>
  </si>
  <si>
    <t>BY DEPT.OFFICERS.</t>
  </si>
  <si>
    <t>3a</t>
  </si>
  <si>
    <t>PLLAMP ( PHILIPS/ OSRAM)</t>
  </si>
  <si>
    <t>9 Watts</t>
  </si>
  <si>
    <t>11 Watts</t>
  </si>
  <si>
    <t>1000MMX2100MM SIZE OF DOOR FRAME</t>
  </si>
  <si>
    <t>FLUORESCENT TUBULAR LAMPS WITH ISI MARK</t>
  </si>
  <si>
    <t>-------------------------------</t>
  </si>
  <si>
    <t>Cool Day light 2 Ft 20 Watts</t>
  </si>
  <si>
    <t>R.C.C.IN C.C 1:1.5:3</t>
  </si>
  <si>
    <t>Cool Day light and 4 Ft 40 Watts</t>
  </si>
  <si>
    <t>FAB OF M.S STEEL</t>
  </si>
  <si>
    <t>Cool Day light and 4 Ft 36 Watts</t>
  </si>
  <si>
    <t>HANGER BRACKET</t>
  </si>
  <si>
    <t xml:space="preserve">MERCURY VAPOUR DISCHARGE LAMP 230 V GRADE 3 PIN BC </t>
  </si>
  <si>
    <t>ALU.SLEEVES</t>
  </si>
  <si>
    <t>80 Watts</t>
  </si>
  <si>
    <t>TOWER BOLT RECEIVER</t>
  </si>
  <si>
    <t>125 Watts</t>
  </si>
  <si>
    <t>TAILNUT FOR BOLT</t>
  </si>
  <si>
    <t>250 Watts</t>
  </si>
  <si>
    <t>MASON Ist</t>
  </si>
  <si>
    <t>400 Watts</t>
  </si>
  <si>
    <t>MAZDOOR Ist</t>
  </si>
  <si>
    <t>BOX TYPE SINGLE FLUORESCENT FITTING WITH COPPER CHOKE AND CONDENSOR COMPLETE WITH ISI MARK</t>
  </si>
  <si>
    <t>MOULDING CHARGES</t>
  </si>
  <si>
    <t>2 Ft 20 Watts</t>
  </si>
  <si>
    <t>HANDLING CHARGES MAZDOOR-II</t>
  </si>
  <si>
    <t>4 Ft 40 Watts</t>
  </si>
  <si>
    <t>ADD FOR OIL,CONVEYANCE ETC.,</t>
  </si>
  <si>
    <t>4 Ft 40 Watts Box type of ( Philips, Crompton,Wipro ) without Ballast</t>
  </si>
  <si>
    <t>BOX TYPE TWIN FLUORESCENT FITTING WITH COPPER CHOKE AND CONDENSOR COMPLETE WITH ISI MARK</t>
  </si>
  <si>
    <t>TOTAL FOR 1 NO</t>
  </si>
  <si>
    <t>INDUSTRIAL TYPE FLUORESCENTFITTING STOVE ENAMELLED WITH COPPER CHOKE AND CONDENSOR (HPF)</t>
  </si>
  <si>
    <t>4 Ft 40 W single type suitable for 1 No tube</t>
  </si>
  <si>
    <t>900MMX2100MM SIZE OF DOOR FRAME</t>
  </si>
  <si>
    <t>4 Ft 40 W Twin type suitable for 2 Nos tube</t>
  </si>
  <si>
    <t>Window size 60x120cm</t>
  </si>
  <si>
    <t>DECORATIVE  &amp; SINGLE FLUORESCENT TYPE FITTING WITH COPPER CHOKE &amp; CONDENSOR (HPF)COMPLETE SUITABLE FOR 2 NOS FLUORESCENT TUBES.</t>
  </si>
  <si>
    <t>2 Ft 20 Watts with perspex</t>
  </si>
  <si>
    <t>4 Ft 40 Watts with perspex</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</si>
  <si>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</si>
  <si>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</si>
  <si>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</si>
  <si>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</si>
  <si>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</si>
  <si>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</si>
  <si>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4'40 W Twin mirror optic Recessed Suspension type fitting
 ( Philips, Crompton, Wipro ).</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</si>
  <si>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</si>
  <si>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</si>
  <si>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</si>
  <si>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</si>
  <si>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700MMX2100MM SIZE OF DOOR FRAME</t>
  </si>
  <si>
    <t>Suitable for 125 Watts M.V.Lamp</t>
  </si>
  <si>
    <t>Suitable for 70 Watts S.V.Lamp</t>
  </si>
  <si>
    <t>21.2</t>
  </si>
  <si>
    <t>SUPPLING  AND FIXING OF BEST T.W.WROUGHT AND</t>
  </si>
  <si>
    <t>Post top lanthern fitting with S.C holder suitable for 160 W blended lamp/ incandescent lamp.</t>
  </si>
  <si>
    <t>PUTUP FOR DOORS, WINDOWS AND VENTILATERS ETC</t>
  </si>
  <si>
    <t>CUT OFF TYPE STREET LIGHT LANTHERN COMPLETE WITH COPPER CHOKE AND CONDENSOR.</t>
  </si>
  <si>
    <t>Suitable for 1 No 400 W HP MV lamp</t>
  </si>
  <si>
    <t>Suitable for 1 No 250 W HPMV lamp</t>
  </si>
  <si>
    <t>LABOUR CHARGES:-</t>
  </si>
  <si>
    <t>Siuiitable for 1 No 125 W HPMV lamp</t>
  </si>
  <si>
    <t>SEMI CUT OFF TYPE STREET LIGHT LANTHERN COMPLETE WITH COPPER CHOKE AND CONDENSOR.</t>
  </si>
  <si>
    <t>Siuiitable for 1 No 125 W MV lamp</t>
  </si>
  <si>
    <t>Suitable for 1 No 250 W MV lamp</t>
  </si>
  <si>
    <t>TOTAL FOR .0283 CUM</t>
  </si>
  <si>
    <t>Suitable for 1 No 400 W MV lamp</t>
  </si>
  <si>
    <t>STARTERS FOR FLUORESCENT TUBES</t>
  </si>
  <si>
    <t>TOTAL FOR ONE CUM</t>
  </si>
  <si>
    <t>Starter capacity 20 Watts</t>
  </si>
  <si>
    <t>Starter capacity 40 Watts</t>
  </si>
  <si>
    <t xml:space="preserve">POLYSTER FILLED COPPER CHOKE 250 V/50 HZ GRADE SUITABLE FOR </t>
  </si>
  <si>
    <t>20 Watts fluorescent tube</t>
  </si>
  <si>
    <t>40 Watts fluorescent tube</t>
  </si>
  <si>
    <t>36/40w Electronic Ballast for Flu.tube(Phylips/Crompton)</t>
  </si>
  <si>
    <t>36/40w Electronic Ballast for Flu.tube(Indo Asean/Equivalent)</t>
  </si>
  <si>
    <t>S&amp;F P.V.C. 20mmTHICK DOOR SHUTTER WITH DOOR FRAME OF SIZE 40mmX57mm FOR OUTER FRAME AND THE SINGLE LEAF SHUTTER MADEOF PLASTIC SHEET 20mmX200mm FOR SHUTTER PANNEL AND SHUTTER FRAME OF PLASTIC 24mmX59mm WITH 8 NOS OF 3 HINGS ALU,2N0S OFAL. HANDLES</t>
  </si>
  <si>
    <t>HP 80 Watts MV Lamp</t>
  </si>
  <si>
    <t>Deletd</t>
  </si>
  <si>
    <t>FOR DOORS OF ALL SIZE</t>
  </si>
  <si>
    <t>HP  125 Watts MV Lamp</t>
  </si>
  <si>
    <t>HP 250 Watts MV Lamp</t>
  </si>
  <si>
    <t>HP 400 Watts MV Lamp</t>
  </si>
  <si>
    <t>CONDENSOR FOR SV/MV LAMP</t>
  </si>
  <si>
    <t>8 Mfd for 80 Watts bulb</t>
  </si>
  <si>
    <t>TEAK WOODS</t>
  </si>
  <si>
    <t>10 Mfd for 125 Watts bulb</t>
  </si>
  <si>
    <t xml:space="preserve">========= </t>
  </si>
  <si>
    <t>15 Mfd for 250 Watts bulb</t>
  </si>
  <si>
    <t>TEAK WOOD WROUGHT &amp; PUT UP</t>
  </si>
  <si>
    <t>20 Mfd for 400 Watts</t>
  </si>
  <si>
    <t>Vitreous EI Conical Lamp Holder 250 x 90 mm</t>
  </si>
  <si>
    <t>T.W.SCANTLING 2M-3M LONG</t>
  </si>
  <si>
    <t>Vitreous EI Conical Lamp Holder 280 x 120 mm</t>
  </si>
  <si>
    <t>C.G. Lamp Holder 40 mm size</t>
  </si>
  <si>
    <t>LABOUR CHARGE FOR WROUGHT &amp; PUTUP</t>
  </si>
  <si>
    <t>Pendent type Brass Holder</t>
  </si>
  <si>
    <t>Battern type Brass Holder</t>
  </si>
  <si>
    <t>S.L. BRACKET</t>
  </si>
  <si>
    <t>RATE FOR T.W.SCANDLING 2M-3M LONG</t>
  </si>
  <si>
    <t>225 mm Size</t>
  </si>
  <si>
    <t>300 mm size</t>
  </si>
  <si>
    <t>T.W.SCANTLING UP TO 2M LONG</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</si>
  <si>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</si>
  <si>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</si>
  <si>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</si>
  <si>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</si>
  <si>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</si>
  <si>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RATE FOR T.W.SCANTLING 2M LONG</t>
  </si>
  <si>
    <t>(For items  6 to 15, 25 &amp; 27 the rates are exclusive of cost of tubes and lamps)</t>
  </si>
  <si>
    <t>Lamp lock screw type</t>
  </si>
  <si>
    <t>Lamp lock mesh type</t>
  </si>
  <si>
    <t>22.1 (a)</t>
  </si>
  <si>
    <t>T.W.SINGLY LEAF FULLY PANELLED</t>
  </si>
  <si>
    <t>Fan clamp Fasteners complete</t>
  </si>
  <si>
    <t>DOOR SHUTTER FOR DOOR OF SIZE</t>
  </si>
  <si>
    <t>Fan clamp (12mm dia) with 6mm side plates &amp; 45 cm cross arm</t>
  </si>
  <si>
    <t>1000 X 2100MM</t>
  </si>
  <si>
    <t>Call Bells</t>
  </si>
  <si>
    <t>Call bell / Buzzer 6 mm suitable for AC/DC</t>
  </si>
  <si>
    <t>SHUTTER SIZE-.9X2.025   =1.823M2</t>
  </si>
  <si>
    <t>Push bell</t>
  </si>
  <si>
    <t>STYLES(OVER 2M) -1X2X2.025X0.075X0.0375=0.0114</t>
  </si>
  <si>
    <t>Gang bell 9" size suitable for 250 V</t>
  </si>
  <si>
    <t>Gang bell 12" size suitable for 250 V</t>
  </si>
  <si>
    <t>RAILS(BELOW 2M)- 1X4X0.9X0.15X0.0375=      0.0203</t>
  </si>
  <si>
    <t xml:space="preserve">Automatic Electrical water Heater with copper container with Glass wool/ Puf insulation with MS powder coated cell suitable for 25 litres capacity  230 V/ 1000 W </t>
  </si>
  <si>
    <t xml:space="preserve">               - 1X2X0.70625X0.075X0.0375 =0.0040</t>
  </si>
  <si>
    <t>Automatic Electrical water Heater with copper container with Glass wool/ Puf insulation with MS powder coated cell suitable for 25 litres capacity  230 V/ 1500 W (Venus/Racold)</t>
  </si>
  <si>
    <t xml:space="preserve">Automatic Electrical water Heater with copper container with Glass Wool /Puf insulation with MS powder coated cell suitable for 35 litres capacity,230V/1000W </t>
  </si>
  <si>
    <t>PLANKS      -1X4X0.58125X0.3375X0.01875=</t>
  </si>
  <si>
    <t>FANS - CONFORMING TO ISS 374 / 1979</t>
  </si>
  <si>
    <t xml:space="preserve">             -1X1X0.725X0.3375X0.01875=</t>
  </si>
  <si>
    <t>A.C Ceiling fan complete 1200 mm (48") sweep ( with steped electronic 300W regulator )  with 300mm down rod.</t>
  </si>
  <si>
    <t>A.C Ceiling fan complete 1400 mm (56") sweep ( with steped electronic 300W regulator )  with 300mm down rod.</t>
  </si>
  <si>
    <t>EXHAUST FAN S</t>
  </si>
  <si>
    <t>A.C Exaust Fan 225 mm (9") sweep (light duty)</t>
  </si>
  <si>
    <t>A.C Exaust Fan 300 mm (12") sweep (light duty)</t>
  </si>
  <si>
    <t>T.W SCANTLING  ABOVE 2M LONG</t>
  </si>
  <si>
    <t>A.C Exaust Fan 375 mm (15") sweep (light duty)</t>
  </si>
  <si>
    <t>T.W SCANTLING  BELOW 2M LONG</t>
  </si>
  <si>
    <t>A.C Exaust Fan 450 mm (18") sweep (light duty)</t>
  </si>
  <si>
    <t>T.W PLANKS OVER 15TO 30cm</t>
  </si>
  <si>
    <t>A.C Exaust Fan 375 mm (15") sweep (Heavy duty)</t>
  </si>
  <si>
    <t>WIDE&amp;12TO15mm T.K</t>
  </si>
  <si>
    <t>A.C Exaust Fan 450 mm (18") sweep (Heavy duty)</t>
  </si>
  <si>
    <t>LABOUR FOR WROUGHT&amp;PUTUP</t>
  </si>
  <si>
    <t>LOUVER SHUTTERS ARRANGEMENTS</t>
  </si>
  <si>
    <t>DOOR HANDLE WITH CP SCREWS</t>
  </si>
  <si>
    <t>MS/Fibre Louvers shutters arrangements for 300mm A.C Exaust Fan</t>
  </si>
  <si>
    <t xml:space="preserve">  5"BUTT HINGS</t>
  </si>
  <si>
    <t>MS/Fibre Louvers shutters arrangements for 375mm A.C Exaust Fan</t>
  </si>
  <si>
    <t xml:space="preserve"> 6"X1/2"TOWER BOLT</t>
  </si>
  <si>
    <t>MS/Fibre Louvers shutters arrangements for 450mm A.C Exaust Fan</t>
  </si>
  <si>
    <t>10"X5/8"ALDROP</t>
  </si>
  <si>
    <t xml:space="preserve">TABLE FANS </t>
  </si>
  <si>
    <t>NYLONBUSH</t>
  </si>
  <si>
    <t>Cabin Fan 400mm (16") osillating type</t>
  </si>
  <si>
    <t xml:space="preserve">Pedestal Fan 400mm (16")Sweep osillating type </t>
  </si>
  <si>
    <t>Air circulators, 600mm (24") sweep (Domestic purpose) with speed regulators (2  blades) pedestal type</t>
  </si>
  <si>
    <t>TOTAL FOR 1.8230SQM</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</si>
  <si>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</si>
  <si>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</si>
  <si>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</si>
  <si>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</si>
  <si>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</si>
  <si>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</si>
  <si>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</si>
  <si>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22.1 (b)</t>
  </si>
  <si>
    <t>16 Amps DPIC switch with fuse and neutral (side Handle)</t>
  </si>
  <si>
    <t>32 Amps DPIC switch with fuse and neutral (side Handle)</t>
  </si>
  <si>
    <t>900 X 2100MM</t>
  </si>
  <si>
    <t>16 Amps DP switch with metal clade  (Front  Handle)</t>
  </si>
  <si>
    <t>32 Amps DP switch with metal clade  (Front  Handle)</t>
  </si>
  <si>
    <t>16 Amps DP switch with metal clade (side Handle)</t>
  </si>
  <si>
    <t>SHUTTER SIZE0-.8X2.05   =1.64M2</t>
  </si>
  <si>
    <t>32 Amps DP switch with metal clade (side Handle)</t>
  </si>
  <si>
    <t>STYLES(OVER 2M) -1X2X2.05X0.075X0.0375=0.0115</t>
  </si>
  <si>
    <t>TRIPLE POLE SWITCHES  (SIDE HANDLE)</t>
  </si>
  <si>
    <t>16 Amps TPIC switch with fuse and neutral (500 V)</t>
  </si>
  <si>
    <t>RAILS(BELOW 2M)- 1X4X0.8X0.15X0.0375=      0.018</t>
  </si>
  <si>
    <t>32 Amps TPIC switch with fuse and neutral (500 V)</t>
  </si>
  <si>
    <t xml:space="preserve">               - 1X2X0.73125X0.075X0.0375 =0.0040</t>
  </si>
  <si>
    <t>63 Amps TPIC switch with fuse and neutral (500 V)</t>
  </si>
  <si>
    <t>100 Amps TPN switch with HRC fuses sheet steel double break</t>
  </si>
  <si>
    <t>PLANKS      -1X4X0.60625X0.2875X0.01875=</t>
  </si>
  <si>
    <t>200 Amps TPN switch with HRC fuses sheet steel double break</t>
  </si>
  <si>
    <t xml:space="preserve">             -1X1X0.625X0.2875X0.01875=</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</si>
  <si>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</si>
  <si>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</si>
  <si>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</si>
  <si>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</si>
  <si>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</si>
  <si>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</si>
  <si>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SWITCH  DISCONNECTOR  FUSE (SDF)(L&amp;T/SIEMENS)</t>
  </si>
  <si>
    <t>63A TPN switch disconnector fuse in sheet steel enclosure with  HRC fuses</t>
  </si>
  <si>
    <t>63A TPN switch disconnector fuse interior only with  HRC fuses</t>
  </si>
  <si>
    <t>100A TPN switch disconnector fuse in sheet steel enclosure with  HRC fuses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</si>
  <si>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</si>
  <si>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</si>
  <si>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</si>
  <si>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</si>
  <si>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</si>
  <si>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</si>
  <si>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TOTAL FOR 1.6400SQM</t>
  </si>
  <si>
    <t>250A TPN switch disconnector fuse interior only with  HRC fuses</t>
  </si>
  <si>
    <t>315A TPN switch disconnector fuse in sheet steel enclosure with  HRC fuses</t>
  </si>
  <si>
    <t>315A TPN switch disconnector fuse interior only with  HRC fuses</t>
  </si>
  <si>
    <t>400A TPN switch disconnector fuse in sheet steel enclosure with  HRC fuses</t>
  </si>
  <si>
    <t>22.1 (c)</t>
  </si>
  <si>
    <t>400A TPN switch disconnector fuse interior only with  HRC fuses</t>
  </si>
  <si>
    <t xml:space="preserve">FUSE UNITS </t>
  </si>
  <si>
    <t>700 X 2100MM</t>
  </si>
  <si>
    <t>16Amps porcelin Fuse unit (250V)</t>
  </si>
  <si>
    <t>16Amps porcelin Fuse unit (500V)</t>
  </si>
  <si>
    <t>SHUTTER SIZE0-.6X2.025   =1.215M2</t>
  </si>
  <si>
    <t>32Amps porcelin Fuse unit (500V)</t>
  </si>
  <si>
    <t>63Amps porcelin Fuse unit (500V)</t>
  </si>
  <si>
    <t>100Amps porcelin Fuse unit (500V)</t>
  </si>
  <si>
    <t>RAILS(BELOW 2M)- 1X2X0.6X0.15X0.0375=      0.0068</t>
  </si>
  <si>
    <t>SINGLE PHASE DBS</t>
  </si>
  <si>
    <t xml:space="preserve">               - 1X3X0.6X0.075X0.0375 =0.0051</t>
  </si>
  <si>
    <t>4 way DB 16Amps / ways with fuse &amp; Neutral each (250V)</t>
  </si>
  <si>
    <t>6 way DB 16Amps / ways with fuse &amp; Neutral each (250V)</t>
  </si>
  <si>
    <t>PLANKS      -1X5X0.425X0.295X0.01875=</t>
  </si>
  <si>
    <t>8 way DB 16Amps / ways with fuse &amp; Neutral each (250V)</t>
  </si>
  <si>
    <t xml:space="preserve">THREE PHASE DBS </t>
  </si>
  <si>
    <t>4 way TPDB 16A / ways with fuse &amp; Neutral  link</t>
  </si>
  <si>
    <t>6 way TPDB 16A / ways with fuse &amp; Neutral  link</t>
  </si>
  <si>
    <t>8 way TPDB 16A / ways with fuse &amp; Neutral  link</t>
  </si>
  <si>
    <t>4 way TPDB 32A / ways with fuse &amp; Neutral  link</t>
  </si>
  <si>
    <t>6 way TPDB 32A / ways with fuse &amp; Neutral  link</t>
  </si>
  <si>
    <t>8 way TPDB 32A / ways with fuse &amp; Neutral  link</t>
  </si>
  <si>
    <t>12 way TPDB 32A / ways with fuse &amp; Neutral  link</t>
  </si>
  <si>
    <t>4 way TPDB 63A / ways with fuse &amp; Neutral  link</t>
  </si>
  <si>
    <t>6 way TPDB 63A / ways with fuse &amp; Neutral  link</t>
  </si>
  <si>
    <t>CHANGE OVER SWITCHES (GEM HAVELLS /STANDARD /EQUIVALENT)</t>
  </si>
  <si>
    <t>16 Amps three phase 500V 4 pole change over switch</t>
  </si>
  <si>
    <t>32 Amps three phase 500V 4 pole change over switch</t>
  </si>
  <si>
    <t>63 Amps three phase 500V 4 pole change over switch</t>
  </si>
  <si>
    <t>TOTAL FOR 1.215SQM</t>
  </si>
  <si>
    <t>100 Amps three phase 500V 4 pole change over switch</t>
  </si>
  <si>
    <t>200 Amps three phase 500V 4 pole change over switch</t>
  </si>
  <si>
    <t>5Amps /15Amps 3 pin combined flush type wall sacket only</t>
  </si>
  <si>
    <t xml:space="preserve">5Amps 3 pin top </t>
  </si>
  <si>
    <t xml:space="preserve">15Amps 3 pin top </t>
  </si>
  <si>
    <t>23.1.</t>
  </si>
  <si>
    <t>S/F OF BWR PLYWOOD DOOR</t>
  </si>
  <si>
    <t xml:space="preserve">15Amps flush type switch </t>
  </si>
  <si>
    <t>SHUTTER WITH VERTICALS AND</t>
  </si>
  <si>
    <t>10Amps M.C plug with 3 pin top</t>
  </si>
  <si>
    <t>TOP RAIL AND BOTTOM RAILS</t>
  </si>
  <si>
    <t>20Amps M.C plug with 3 pin top</t>
  </si>
  <si>
    <t>WITH 9mm THICK MARINE GRADE</t>
  </si>
  <si>
    <t>METERS</t>
  </si>
  <si>
    <t>BWR  PLYWOOD WITH</t>
  </si>
  <si>
    <t>A.C single phase 230V/250V/50HZ 5Amps Meter</t>
  </si>
  <si>
    <t>I.O FITTINGS AS PER SCHEDULE E</t>
  </si>
  <si>
    <t>A.C single phase 230V/250V/50HZ 10Amps Meter</t>
  </si>
  <si>
    <t>A.C single phase 230V/250V/50HZ 20Amps Meter</t>
  </si>
  <si>
    <t>A.C 3 phase 400V 50HZ unbalanced load 4 wire 10 Amps watt hour meter</t>
  </si>
  <si>
    <t>STYLES(OVER 2M) -1X2X2.05X0.075X0.0375=0.01153</t>
  </si>
  <si>
    <t>A.C 3 phase 400V 50HZ unbalanced load 4 wire 25 Amps watt hour meter</t>
  </si>
  <si>
    <t>A.C 3 phase 400V 50HZ unbalanced load 4 wire 50 Amps watt hour meter</t>
  </si>
  <si>
    <t>RAILS(BELOW 2M)- 1X3X0.8X0.15X0.0375=      0.0135</t>
  </si>
  <si>
    <t>SERVICE CONNECTION ACCESSORIES L.T 1100V PVC ARMOURED UNDER GROUND  CABLE  WITH ISI MARK</t>
  </si>
  <si>
    <t xml:space="preserve">1 core 4 sq mm pvc armoured UG cable </t>
  </si>
  <si>
    <t xml:space="preserve">2 core 6 sq mm pvc armoured UG cable </t>
  </si>
  <si>
    <t>PLANKS      -1X1X0.625X0.64=0.40</t>
  </si>
  <si>
    <t xml:space="preserve">2 core 10 sq mm pvc armoured UG cable </t>
  </si>
  <si>
    <t>PLANKS      -1X1X0.985X0.625=0.616</t>
  </si>
  <si>
    <t>1.016M2</t>
  </si>
  <si>
    <t xml:space="preserve">2 core 16 sq mm pvc armoured UG cable </t>
  </si>
  <si>
    <t xml:space="preserve">2 core 25 sq mm pvc armoured UG cable </t>
  </si>
  <si>
    <t xml:space="preserve">3 1/2 core 25 sq mm pvc armoured UG cable </t>
  </si>
  <si>
    <t xml:space="preserve">3 1/2 core 35 sq mm pvc armoured UG cable </t>
  </si>
  <si>
    <t>(a)</t>
  </si>
  <si>
    <t>DOOR OF SIZE 900 X2100 MM</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</si>
  <si>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</si>
  <si>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</si>
  <si>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</si>
  <si>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</si>
  <si>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</si>
  <si>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 xml:space="preserve">3 1/2 core 185 sq mm pvc armoured UG cable </t>
  </si>
  <si>
    <t xml:space="preserve">3 1/2 core 225 sq mm pvc armoured UG cable </t>
  </si>
  <si>
    <t xml:space="preserve"> 5" ALU BUTT HINGES</t>
  </si>
  <si>
    <t xml:space="preserve">3 1/2 core 240 sq mm pvc armoured UG cable </t>
  </si>
  <si>
    <t xml:space="preserve">3 1/2 core 300 sq mm pvc armoured UG cable </t>
  </si>
  <si>
    <t xml:space="preserve">3 1/2 core 400 sq mm pvc armoured UG cable </t>
  </si>
  <si>
    <t xml:space="preserve">4 core 6 sq mm pvc armoured UG cable </t>
  </si>
  <si>
    <t xml:space="preserve">4 core 10 sq mm pvc armoured UG cable </t>
  </si>
  <si>
    <t xml:space="preserve">4 core 16 sq mm pvc armoured UG cable </t>
  </si>
  <si>
    <t>TOTAL FOR 1.64 SQM</t>
  </si>
  <si>
    <t xml:space="preserve">PVC SHEATHED CABLE ALUMINIUM SC CONDUCTOR </t>
  </si>
  <si>
    <t xml:space="preserve">1.5  sq mm (1/1.4) cable 250V Grade </t>
  </si>
  <si>
    <t xml:space="preserve">2.5  sq mm (1/1.8) cable 1100V Grade </t>
  </si>
  <si>
    <t xml:space="preserve">4 sq mm (1/2.24) cable 1100V Grade </t>
  </si>
  <si>
    <t>22.2(a)</t>
  </si>
  <si>
    <t>TW single leaf glazed window</t>
  </si>
  <si>
    <t xml:space="preserve">6 sq mm (1/2.8) cable 1100V Grade </t>
  </si>
  <si>
    <t xml:space="preserve">shutter  for frame of overall height 135cm </t>
  </si>
  <si>
    <t xml:space="preserve">10 sq mm (1/3.5) cable 1100V Grade </t>
  </si>
  <si>
    <t xml:space="preserve">16 sq mm (7/1.7) cable 1100V Grade </t>
  </si>
  <si>
    <t>TW scantling below 2m length</t>
  </si>
  <si>
    <t xml:space="preserve">25 sq mm (7/2.14) cable 1100V Grade </t>
  </si>
  <si>
    <t>frosted glass 3mmthick</t>
  </si>
  <si>
    <t xml:space="preserve">PVC SHEATHED CABLE SC ALUMINIUM  CONDUCTOR </t>
  </si>
  <si>
    <t xml:space="preserve">1.5 sq mm 1/1.4 or equivalent multi core cable 1100V Grade </t>
  </si>
  <si>
    <t xml:space="preserve"> 3" ALU BUTT HINGES</t>
  </si>
  <si>
    <t xml:space="preserve">2.5 sq mm 1/1.8 or equivalent multi core cable 1100V Grade </t>
  </si>
  <si>
    <t xml:space="preserve"> 2"X5/16" ALU. TOWERBOLT</t>
  </si>
  <si>
    <t xml:space="preserve">4 sq mm 1/2.24 or equivalent multi core cable 1100V Grade </t>
  </si>
  <si>
    <t>NYLON BUSH with screws</t>
  </si>
  <si>
    <t xml:space="preserve">6 sq mm 1/2.8 or equivalent multi core cable 1100V Grade </t>
  </si>
  <si>
    <t>6" hooks and eyes</t>
  </si>
  <si>
    <t xml:space="preserve">10 sq mm 1/2.8 or equivalent multi core cable 1100V Grade </t>
  </si>
  <si>
    <t xml:space="preserve">16 sq mm 1/1.7 or equivalent multi core cable 1100V Grade </t>
  </si>
  <si>
    <t>TOTAL FOR .4766 SQM</t>
  </si>
  <si>
    <t xml:space="preserve">25 sq mm 7/2.14 or equivalent multi core cable 1100V Grade </t>
  </si>
  <si>
    <t xml:space="preserve">35 sq mm 7/2.5 or equivalent multi core cable 1100V Grade </t>
  </si>
  <si>
    <t xml:space="preserve">50 sq mm 7/3.06 or equivalent multi core cable 1100V Grade </t>
  </si>
  <si>
    <t>22.2(c)</t>
  </si>
  <si>
    <t xml:space="preserve">shutter  for frame of overall height 105cm </t>
  </si>
  <si>
    <t>TOTAL FOR .362 SQM</t>
  </si>
  <si>
    <t>22.2(d)</t>
  </si>
  <si>
    <t>TW Swing type ventilater</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</si>
  <si>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</si>
  <si>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</si>
  <si>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</si>
  <si>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</si>
  <si>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</si>
  <si>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</si>
  <si>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</si>
  <si>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</si>
  <si>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TW scantling(below 2M) -1X2X1.2X0.075X0.0375=0.00675</t>
  </si>
  <si>
    <t>Shutter styles(vertical) -1X4X1.95X0.075X0.0375=0.02194</t>
  </si>
  <si>
    <t>Shutter styles(Horizantal) -2X2X0.4X0.075X0.0375=0.0045</t>
  </si>
  <si>
    <t>Shutter(OSL Board)      -1X2X1.825X0.4=1.46m2</t>
  </si>
  <si>
    <t>Shutter area      -1X1X1.05X1.95=2.05 m2</t>
  </si>
  <si>
    <t>LABOUR FOR WROUGHT &amp;PUTUP</t>
  </si>
  <si>
    <t>BISON PANEL  8MMTK. OSL</t>
  </si>
  <si>
    <t>LABOUR CHARGE FOR SHUTTER</t>
  </si>
  <si>
    <t xml:space="preserve"> 3"X5/8"ALU.TOWER BOLT</t>
  </si>
  <si>
    <t xml:space="preserve"> ORNAMENTAL; HANDLE WITH SCREWS</t>
  </si>
  <si>
    <t>LOCKS &amp;KEY</t>
  </si>
  <si>
    <t>VARNISH TWO COATS</t>
  </si>
  <si>
    <t>SUNDRIES FOR NAILS,PLUGS ETC.</t>
  </si>
  <si>
    <t>TOTAL FOR 2.52 SQM</t>
  </si>
  <si>
    <t>BEST VARNISHING ONE COAT OVER WOOD WORK</t>
  </si>
  <si>
    <t>Lit.</t>
  </si>
  <si>
    <t>BEST VARNISH</t>
  </si>
  <si>
    <t>LINSEED OIL BOILED</t>
  </si>
  <si>
    <t>SUNDRIES FOR BRUSHES,ETC</t>
  </si>
  <si>
    <t>TOTAL FOR TEN SQM</t>
  </si>
  <si>
    <t>BEST VARNISHING TWO COAT OVER WOOD WORK</t>
  </si>
  <si>
    <t>Supplying and fixing of Magnetic Door Catches</t>
  </si>
  <si>
    <t>23.2</t>
  </si>
  <si>
    <t>Supplying and fixing 3mm thick pin</t>
  </si>
  <si>
    <t>headed glass panels 450x1350</t>
  </si>
  <si>
    <t xml:space="preserve"> 3mm glass frosted </t>
  </si>
  <si>
    <t xml:space="preserve"> 12x12mm Alu.Beedings</t>
  </si>
  <si>
    <t>Alu. bolts and nuts</t>
  </si>
  <si>
    <t>Labour for fixing glass paneles</t>
  </si>
  <si>
    <t xml:space="preserve"> (1.08SQM LABOUR =.25CARPENTER-II)</t>
  </si>
  <si>
    <t>Total for 0.5334 Sqm</t>
  </si>
  <si>
    <t>Rate for one Sqm.</t>
  </si>
  <si>
    <t>STEEL GRILLS FOR WINDOWS &amp; VENTILATER</t>
  </si>
  <si>
    <t>WITH SUITABLE LEDGES</t>
  </si>
  <si>
    <t>RATE AS PER SR</t>
  </si>
  <si>
    <t>Supplying and fixing M.S.Hold</t>
  </si>
  <si>
    <t>fast with screws</t>
  </si>
  <si>
    <t>FINISHING THE TOP OF FLOORING</t>
  </si>
  <si>
    <t>WITH C.M(1:4)20mm THICK</t>
  </si>
  <si>
    <t>MAZDOOR  I</t>
  </si>
  <si>
    <t>29.2</t>
  </si>
  <si>
    <t>MOSAIC FLOORING IN C.M(1:3)</t>
  </si>
  <si>
    <t>USING GREY COLOUR TILES</t>
  </si>
  <si>
    <t>NOS</t>
  </si>
  <si>
    <t>COST OF GRAY COLOUR  TILES</t>
  </si>
  <si>
    <t>25X25X2cm</t>
  </si>
  <si>
    <t>C.M(1:3)</t>
  </si>
  <si>
    <t>LABOUR FOR LAYING &amp; POINTING</t>
  </si>
  <si>
    <t>POLISHING</t>
  </si>
  <si>
    <t>HIRE CHARGES FOR POWER POLISH</t>
  </si>
  <si>
    <t>ELCT.CHARGES</t>
  </si>
  <si>
    <t>COST OF POLISHING STONE</t>
  </si>
  <si>
    <t>MOSAIC POLISHER FOR POLISHING</t>
  </si>
  <si>
    <t>MAZDOORII FOR WATER,WASHING ETC</t>
  </si>
  <si>
    <t>Providing White/Color ceramic floor tiles (Anti-skid)of</t>
  </si>
  <si>
    <t>any size 0f 6mm T.K including pointing etc.,</t>
  </si>
  <si>
    <t>as directed by the Dept.Officers.</t>
  </si>
  <si>
    <t>COST OF CERAMIC FLOOR TILES</t>
  </si>
  <si>
    <t>WHITE CEMENT/COLOUR CEMENT</t>
  </si>
  <si>
    <t>Suppling and laying White/Plain colour</t>
  </si>
  <si>
    <t xml:space="preserve">Glazed tiles in C.M(1:2)  </t>
  </si>
  <si>
    <t>COST OF GLAZED  TILES</t>
  </si>
  <si>
    <t>White Cement / Colour cement</t>
  </si>
  <si>
    <t>C.M(1:2)</t>
  </si>
  <si>
    <t>Mazdoor-I</t>
  </si>
  <si>
    <t>TOTAL FOR 1.860 SQM</t>
  </si>
  <si>
    <t xml:space="preserve"> (NO SAND)USING GRANITECHIPS</t>
  </si>
  <si>
    <r>
      <t xml:space="preserve">OF 10mm&amp;BELOW </t>
    </r>
    <r>
      <rPr>
        <b/>
        <sz val="12"/>
        <rFont val="Helv"/>
      </rPr>
      <t>(ELLISPATTERN)</t>
    </r>
  </si>
  <si>
    <t xml:space="preserve">STONE JELLY 3mm to 10mm </t>
  </si>
  <si>
    <t>31.</t>
  </si>
  <si>
    <r>
      <t>WEATHERING COURSE</t>
    </r>
    <r>
      <rPr>
        <sz val="11"/>
        <color theme="1"/>
        <rFont val="Calibri"/>
        <family val="2"/>
        <scheme val="minor"/>
      </rPr>
      <t xml:space="preserve"> WITH BRICK</t>
    </r>
  </si>
  <si>
    <t>JELLY LIME IN RATIO 32:121/2</t>
  </si>
  <si>
    <t>BY VOLUMN WELL WATERING</t>
  </si>
  <si>
    <t>CONSOLIDATED WITH WOODEN</t>
  </si>
  <si>
    <t>BEATERS TO REQUIRED SLOP</t>
  </si>
  <si>
    <t>BROKEN BRICKJELLY2OmmGAUGE</t>
  </si>
  <si>
    <t>COST OF LIME STONE</t>
  </si>
  <si>
    <t>POINTING WITH C.M.(1:3)FOR</t>
  </si>
  <si>
    <t>PRESSED TILES</t>
  </si>
  <si>
    <t>CEMENT MORTER(1:3)</t>
  </si>
  <si>
    <t>FINISHING TOP OF ROOF WITH</t>
  </si>
  <si>
    <t>ONE  COURSE OF PRESSED TILES</t>
  </si>
  <si>
    <t>OVER A BED OF C.M(1:3),</t>
  </si>
  <si>
    <t>20mmTHICK MIXED WITH WATER PROOF COMPOUND</t>
  </si>
  <si>
    <t>AT 2% BY WEIGHT OF CEMENT</t>
  </si>
  <si>
    <t>POINTING WITH C.M(1:3)</t>
  </si>
  <si>
    <t>WPC</t>
  </si>
  <si>
    <t>PRESSED TILES 23X23X18MM</t>
  </si>
  <si>
    <t>34.</t>
  </si>
  <si>
    <t>PLASTERING C.M(1:4) 12mmTHICK</t>
  </si>
  <si>
    <t>35.</t>
  </si>
  <si>
    <t>PLASTERING C.M(1:3) 10mmTHICK</t>
  </si>
  <si>
    <t>PLASTERING C.M(1:3)12mmTHICK</t>
  </si>
  <si>
    <t>MIXEDWITH WATER PROOF COMPOUND</t>
  </si>
  <si>
    <t xml:space="preserve">  2Kg/10 SQM</t>
  </si>
  <si>
    <t>WATER PROOF COMPOUNDS</t>
  </si>
  <si>
    <t>36.</t>
  </si>
  <si>
    <t>Providing Band with C.M 1:5, 12mm thick</t>
  </si>
  <si>
    <t>and 75mmwide in all floors including</t>
  </si>
  <si>
    <t>finishing with neat cement scaffolding</t>
  </si>
  <si>
    <t>curing etc complete.</t>
  </si>
  <si>
    <t xml:space="preserve"> 150mm Thick Band</t>
  </si>
  <si>
    <t>Cement mortar1:5</t>
  </si>
  <si>
    <t>Masn Ist</t>
  </si>
  <si>
    <t>Total for 6.77Rmt</t>
  </si>
  <si>
    <t>Rate per Rmt.</t>
  </si>
  <si>
    <t xml:space="preserve"> 75mm Thick Band</t>
  </si>
  <si>
    <t>50mm Thick Band</t>
  </si>
  <si>
    <t>WHITE WASHING THREE COAT</t>
  </si>
  <si>
    <t>SUNDRIES FOR BRUSH,BLUE,GUM ETC</t>
  </si>
  <si>
    <t>38.1.</t>
  </si>
  <si>
    <t>CEMENT PAINTING TWO COATS</t>
  </si>
  <si>
    <t>OVER THE PRIMER COAT OF</t>
  </si>
  <si>
    <t>APPROVED CEMENT PAINT FOR NEW</t>
  </si>
  <si>
    <t>PLASTERED SURFACES</t>
  </si>
  <si>
    <t>PAINTER I</t>
  </si>
  <si>
    <t>38.2</t>
  </si>
  <si>
    <t>Lts</t>
  </si>
  <si>
    <t>Painter Ist</t>
  </si>
  <si>
    <t>Mazdoor IInd</t>
  </si>
  <si>
    <t>Total for 10 Sqm</t>
  </si>
  <si>
    <t>40.</t>
  </si>
  <si>
    <t>PAINTING TWO COATS OVER NEW</t>
  </si>
  <si>
    <t>WOOD WORKS WITH IIND CLASS</t>
  </si>
  <si>
    <t>SYNTHETIC ENAMEL PAINT</t>
  </si>
  <si>
    <t>LIT</t>
  </si>
  <si>
    <t>READY MIXED PRIMER PAINT</t>
  </si>
  <si>
    <t xml:space="preserve">PAINTER I </t>
  </si>
  <si>
    <t>READY MIXED IIND CLASS PAINT</t>
  </si>
  <si>
    <t>IRON WORKS WITH IIND CLASS</t>
  </si>
  <si>
    <t>ANTI-CORROSIVE TREATMENT FOR STEEL</t>
  </si>
  <si>
    <t>FEBRICATION  (RCC WORKS)</t>
  </si>
  <si>
    <t>ANTI-CORROSIVE(COROLOK-CP</t>
  </si>
  <si>
    <t>/PROTEKLOL) CHEMICALS</t>
  </si>
  <si>
    <t>BRUSHES GLOVES ETC</t>
  </si>
  <si>
    <t>TRANSPORTING AND HANDLING</t>
  </si>
  <si>
    <t>PAINTERII</t>
  </si>
  <si>
    <t>SUNDRIES FOR BRUSHES,CLOTH ETC</t>
  </si>
  <si>
    <t>TOTTAL FOR 1 MT</t>
  </si>
  <si>
    <t>42.</t>
  </si>
  <si>
    <t>PLACING  M.S RODS/RTS ROD (upto 16mm dia)</t>
  </si>
  <si>
    <t>Cement for slurry</t>
  </si>
  <si>
    <t>Painter-II</t>
  </si>
  <si>
    <t>TOTTAL FOR 1 QTL</t>
  </si>
  <si>
    <t>b. above 16mm dia</t>
  </si>
  <si>
    <t>R.T.S RODS/M.S.RODS ABOVE 16MM DIA</t>
  </si>
  <si>
    <t>PLACING R.T.S RODS/MS RODS above 16mm dia(without cement  slurry)</t>
  </si>
  <si>
    <t>SUPPLY AND FIXING OF</t>
  </si>
  <si>
    <t>110mmDIA P.V.C RAIN WATER</t>
  </si>
  <si>
    <t>DOWN FALL PIPE</t>
  </si>
  <si>
    <t xml:space="preserve"> 110mmDIA P.V.C PIPE</t>
  </si>
  <si>
    <t xml:space="preserve"> 110mmDIA P.V.C PLAIN BEND</t>
  </si>
  <si>
    <t xml:space="preserve"> 110mmDIA P.V.C SHOE</t>
  </si>
  <si>
    <t>SPECIAL CLAMP</t>
  </si>
  <si>
    <t>C.I. GRATING 100mm DIA</t>
  </si>
  <si>
    <t>PLUMBER I</t>
  </si>
  <si>
    <t>COST OF PLUG SCREWS , RUBBER</t>
  </si>
  <si>
    <t>LUBRICANT ETC</t>
  </si>
  <si>
    <t>TOTAL FOR 3 RMT</t>
  </si>
  <si>
    <t>45.</t>
  </si>
  <si>
    <t>STUCCO PLASTERING 12mm tk.</t>
  </si>
  <si>
    <t>CHIPSUSING 86.5KgCEMENT AND</t>
  </si>
  <si>
    <t>.15CUM FOR 10  SQM</t>
  </si>
  <si>
    <t>BLUE METEL 3-10mm HBG</t>
  </si>
  <si>
    <t>46.</t>
  </si>
  <si>
    <t>SUPPLYING AND FIXING OF 20MM</t>
  </si>
  <si>
    <t>DIA  ALUMINIUM HANGER ROD TO</t>
  </si>
  <si>
    <t>THE  REQUIRED LENGTH WITH</t>
  </si>
  <si>
    <t>ALUMINUM END BRACKETS INCLUDING</t>
  </si>
  <si>
    <t>COST OF SCREWS TW PLUGS AND</t>
  </si>
  <si>
    <t>LABOUR CHARGES FOR FIXING IN</t>
  </si>
  <si>
    <t>POSTION COMPLETE IN ALL RESPECT</t>
  </si>
  <si>
    <t>AND AS DIRECTED BY THE DEPT,</t>
  </si>
  <si>
    <t>OFFICERS</t>
  </si>
  <si>
    <t xml:space="preserve"> 2omm alu. hanger rod</t>
  </si>
  <si>
    <t>Alu.Bracket with screws</t>
  </si>
  <si>
    <t>Sundries FOR PLUGS ,NAILS AND LABOUR ETC.,</t>
  </si>
  <si>
    <t>47.</t>
  </si>
  <si>
    <r>
      <t xml:space="preserve">SUPPLY AND FIXING ALUMINUM </t>
    </r>
    <r>
      <rPr>
        <b/>
        <sz val="12"/>
        <rFont val="Helv"/>
      </rPr>
      <t xml:space="preserve">TOWEL RAIL </t>
    </r>
    <r>
      <rPr>
        <sz val="11"/>
        <color theme="1"/>
        <rFont val="Calibri"/>
        <family val="2"/>
        <scheme val="minor"/>
      </rPr>
      <t>OF</t>
    </r>
  </si>
  <si>
    <t>70CM LONG INCLUDING COST OF SCREW TW</t>
  </si>
  <si>
    <t>PLUGS AND LABOURS CHARGES FOR FIXING IN</t>
  </si>
  <si>
    <t>POSITION ETC COMPLETE IN ALL RESPECT AND</t>
  </si>
  <si>
    <t>AS DIRECTED BY THE DEPT OFFICERS.</t>
  </si>
  <si>
    <t>no</t>
  </si>
  <si>
    <t>Alu.Towel rail 75Cm long</t>
  </si>
  <si>
    <t>Alu. Bolt With screws</t>
  </si>
  <si>
    <t>Labour for fixing and cost of</t>
  </si>
  <si>
    <t>T.W.Pluges</t>
  </si>
  <si>
    <t>48.</t>
  </si>
  <si>
    <r>
      <t xml:space="preserve">SUPPLING AND FIXING </t>
    </r>
    <r>
      <rPr>
        <b/>
        <sz val="12"/>
        <rFont val="Helv"/>
      </rPr>
      <t>COAT STAND</t>
    </r>
  </si>
  <si>
    <t>WITH FIVE PINS</t>
  </si>
  <si>
    <t>Cost of Coat stand</t>
  </si>
  <si>
    <t xml:space="preserve">Labour for fixing </t>
  </si>
  <si>
    <t>Total for 1 No.</t>
  </si>
  <si>
    <t>49.</t>
  </si>
  <si>
    <r>
      <t xml:space="preserve">SUPPLING AND FIXING OF </t>
    </r>
    <r>
      <rPr>
        <b/>
        <sz val="12"/>
        <rFont val="Helv"/>
      </rPr>
      <t>PICTURE HOOKS</t>
    </r>
  </si>
  <si>
    <t>Cost of Picture hooks</t>
  </si>
  <si>
    <t>Supplying and fixing of Precast slab</t>
  </si>
  <si>
    <t>50mm thick made in C.C 1:3:6 using 20mm</t>
  </si>
  <si>
    <t>Hbs jelly ,moulding the slab, laying,</t>
  </si>
  <si>
    <t>curing,transporting and placing in</t>
  </si>
  <si>
    <t>possition etc complete</t>
  </si>
  <si>
    <t xml:space="preserve"> 20mm HBS Jelly</t>
  </si>
  <si>
    <t>C.M. 1:3</t>
  </si>
  <si>
    <t>Mason IInd</t>
  </si>
  <si>
    <t>Total for 10  cum</t>
  </si>
  <si>
    <t>Rate per  cum</t>
  </si>
  <si>
    <t>PRECAST Plain cement concrete P.C.C</t>
  </si>
  <si>
    <r>
      <t xml:space="preserve">Slabs of 50mm thick </t>
    </r>
    <r>
      <rPr>
        <b/>
        <sz val="12"/>
        <rFont val="Helv"/>
      </rPr>
      <t>(precast slab 50mm Thick)</t>
    </r>
  </si>
  <si>
    <t>C.C. 1:3:6 using 20mm HBS</t>
  </si>
  <si>
    <t>Precasting Charges</t>
  </si>
  <si>
    <t>Transporting</t>
  </si>
  <si>
    <t>Laying and Pointing</t>
  </si>
  <si>
    <t>Total for 6.28 Sqm</t>
  </si>
  <si>
    <t>Rate per Sqm</t>
  </si>
  <si>
    <t>PCC 1:3:6, for petty works</t>
  </si>
  <si>
    <t>moulding charges</t>
  </si>
  <si>
    <t>Total for .01 cum</t>
  </si>
  <si>
    <t>Rate per cum</t>
  </si>
  <si>
    <t>50.2</t>
  </si>
  <si>
    <r>
      <t>KERB STONE</t>
    </r>
    <r>
      <rPr>
        <sz val="11"/>
        <color theme="1"/>
        <rFont val="Calibri"/>
        <family val="2"/>
        <scheme val="minor"/>
      </rPr>
      <t xml:space="preserve"> 450x300x150mm</t>
    </r>
  </si>
  <si>
    <t xml:space="preserve"> 'including Transporting charges</t>
  </si>
  <si>
    <t>Total for 9 m</t>
  </si>
  <si>
    <t>Rate per M</t>
  </si>
  <si>
    <t>50.3</t>
  </si>
  <si>
    <t>PLANTING AVENUE TREES</t>
  </si>
  <si>
    <t>Earth work excavation</t>
  </si>
  <si>
    <t>Manure</t>
  </si>
  <si>
    <t>RED EARTH</t>
  </si>
  <si>
    <t>River sand</t>
  </si>
  <si>
    <t>mixing charges</t>
  </si>
  <si>
    <t>nos</t>
  </si>
  <si>
    <t>Avenue trees</t>
  </si>
  <si>
    <t>RM</t>
  </si>
  <si>
    <t>Casurina props</t>
  </si>
  <si>
    <t>filling chares</t>
  </si>
  <si>
    <t>l.s</t>
  </si>
  <si>
    <t>Maintenance charges</t>
  </si>
  <si>
    <t>Total for 20 no.</t>
  </si>
  <si>
    <t>Total for 1 no.</t>
  </si>
  <si>
    <t>50.4</t>
  </si>
  <si>
    <t xml:space="preserve"> AVENUE TREE GUARD</t>
  </si>
  <si>
    <t>CW reepers 50x25 cm</t>
  </si>
  <si>
    <t>Chicken mesh</t>
  </si>
  <si>
    <t>Carpenter II</t>
  </si>
  <si>
    <t>Fitter I</t>
  </si>
  <si>
    <t xml:space="preserve">sundries </t>
  </si>
  <si>
    <t>50.5</t>
  </si>
  <si>
    <t>PROVIDING SCHME NAME BOARD</t>
  </si>
  <si>
    <t>CC 1:5:10</t>
  </si>
  <si>
    <t>KG</t>
  </si>
  <si>
    <t>MS angle</t>
  </si>
  <si>
    <t>MS Stiffner</t>
  </si>
  <si>
    <t>MS Sheet</t>
  </si>
  <si>
    <t>Welding charges</t>
  </si>
  <si>
    <t>Painting charges</t>
  </si>
  <si>
    <t>Labour for erection of board</t>
  </si>
  <si>
    <t>Bolts &amp;nuts</t>
  </si>
  <si>
    <t>51.</t>
  </si>
  <si>
    <t>PVC WATER TANK OF 700 LITRE CAPACITY</t>
  </si>
  <si>
    <t>Ex. free board with ISI mark</t>
  </si>
  <si>
    <t>JOINTING P.V.C PIPE AND SPECIALS</t>
  </si>
  <si>
    <t>c</t>
  </si>
  <si>
    <t xml:space="preserve"> 20mm Dia</t>
  </si>
  <si>
    <t>MASAN I</t>
  </si>
  <si>
    <t xml:space="preserve">COST OF CLAMPS PLUGS </t>
  </si>
  <si>
    <t>JOINTING MATERIALS ETC</t>
  </si>
  <si>
    <t xml:space="preserve"> 25mm</t>
  </si>
  <si>
    <t>32mm</t>
  </si>
  <si>
    <t>SUPPLYING AND LAYING THE FOLLOWING PVC</t>
  </si>
  <si>
    <t>PIPES WITH NECESSARY SPECIALS ELBOWS,</t>
  </si>
  <si>
    <t>TEE,REDUCE ,PLUG,UNION,BEND,COUPLE,</t>
  </si>
  <si>
    <t>NIPPLE,GATE VLVE,CHECK AND WHEEL VALVE</t>
  </si>
  <si>
    <t>WHEREVER NECESSARY INCLUDING LABOUR BELOW</t>
  </si>
  <si>
    <t>GROUND LEVEL(OR) FIXING ON WALLS  TO THE</t>
  </si>
  <si>
    <t>PROPER GRADIENT AND ALIGNMENT ETC.ALL</t>
  </si>
  <si>
    <t>COMPLETE AS DIRECTED BY DEPT. OFFICERS.</t>
  </si>
  <si>
    <t>ASTM-D SCHEDULE- 40 THREADED PVC PIPE</t>
  </si>
  <si>
    <t>WITH NECESSARY PVC-GI SPECIALS</t>
  </si>
  <si>
    <t xml:space="preserve"> 20MM DIA PVC PIPE ABOVE G.L:-</t>
  </si>
  <si>
    <t xml:space="preserve">COST OF 20MM DIA PVC PIPE </t>
  </si>
  <si>
    <t>ADD 70% FOR PVC/GI SPECIALS</t>
  </si>
  <si>
    <t>LABOUR FOR LAYING &amp; FIXING</t>
  </si>
  <si>
    <t>TOTAL FOR 1 RMT</t>
  </si>
  <si>
    <t xml:space="preserve"> 25MM DIA PVC PIPE ABOVE G.L:-</t>
  </si>
  <si>
    <t xml:space="preserve">COST OF 25MM DIA PVC PIPE </t>
  </si>
  <si>
    <t>ADD 40% FOR PVC/GI SPECIALS</t>
  </si>
  <si>
    <t xml:space="preserve"> 32MM DIA PVC PIPE ABOVE G.L:-</t>
  </si>
  <si>
    <t xml:space="preserve">COST OF 32MM DIA PVC PIPE </t>
  </si>
  <si>
    <t>ADD 20% FOR PVC/GI SPECIALS</t>
  </si>
  <si>
    <t>S &amp; F of GI Pipe 20mm dia for Hot Water line Pipe
Fully Consealed in Wall</t>
  </si>
  <si>
    <t xml:space="preserve">GI PIPE 20MM DIA </t>
  </si>
  <si>
    <t>LAYING,FIXING AND CONSELING GI PIPE</t>
  </si>
  <si>
    <t>20MM DIA GI PIPE FOR HOT WATER LINE</t>
  </si>
  <si>
    <t xml:space="preserve">COST OF 20MM DIA GI PIPE </t>
  </si>
  <si>
    <t>ADD 20% FOR GI SPECIALS</t>
  </si>
  <si>
    <t>L.S FOR CONSEALING GI PIPE IN WALLS
PAKING ETC.,</t>
  </si>
  <si>
    <t>SUPPLYING AND FIXING</t>
  </si>
  <si>
    <r>
      <t>WASHBASIN</t>
    </r>
    <r>
      <rPr>
        <sz val="11"/>
        <color theme="1"/>
        <rFont val="Calibri"/>
        <family val="2"/>
        <scheme val="minor"/>
      </rPr>
      <t xml:space="preserve"> 22"X16" INCLUDING</t>
    </r>
  </si>
  <si>
    <t>COST OF ALL MATERIALS AND</t>
  </si>
  <si>
    <t>FIXING CHARGES</t>
  </si>
  <si>
    <t>WASHBASIN 22"X16" INCLUDING ALL ACCESSORIES SUCH AS C.I BRACKETS 32MM DIA ETC.,</t>
  </si>
  <si>
    <t>SUNDRIES FOR PLUGSCREW,PAINT</t>
  </si>
  <si>
    <t>53.2</t>
  </si>
  <si>
    <t xml:space="preserve">CI MANHOLE COVER 45CMX45CMX20KG </t>
  </si>
  <si>
    <t>538/EACH</t>
  </si>
  <si>
    <t>53.3</t>
  </si>
  <si>
    <t>CI STEPS (5Kg)</t>
  </si>
  <si>
    <t>90/EACH</t>
  </si>
  <si>
    <t>Brass Tap with ISI Mark</t>
  </si>
  <si>
    <t>CP TAP (LONG BODY)</t>
  </si>
  <si>
    <t>CP TAP (SHORT BODY)</t>
  </si>
  <si>
    <t>56.1.</t>
  </si>
  <si>
    <t>SUPPLYING AND FIXING OF I.W.C</t>
  </si>
  <si>
    <t>20"WITH TOP LEFT ROUGH TO RECEIVE</t>
  </si>
  <si>
    <t xml:space="preserve">FLOOR FINISH </t>
  </si>
  <si>
    <t xml:space="preserve"> IN G.FLOOR.</t>
  </si>
  <si>
    <t xml:space="preserve"> I.W.C 20"SIZE(Orissa pan)</t>
  </si>
  <si>
    <t xml:space="preserve">E.W EXCAVATION </t>
  </si>
  <si>
    <t>REFILLING</t>
  </si>
  <si>
    <t>BRICK JELLY CONCRETE USING 40mm(1:8:16)</t>
  </si>
  <si>
    <t>56.2.</t>
  </si>
  <si>
    <t xml:space="preserve"> IN OTHER THAN G.FLOOR.</t>
  </si>
  <si>
    <t>WEATERING COURSE</t>
  </si>
  <si>
    <t>USING20mmBRICK JELLY</t>
  </si>
  <si>
    <t>PLASTERING IN C.M(1:3)</t>
  </si>
  <si>
    <t>12mMT.K MIXED WITH W.P.C.</t>
  </si>
  <si>
    <t>BRICK JELLY CONCRETE (1:8:16)</t>
  </si>
  <si>
    <t>USING 40 mm BRICK JELLY</t>
  </si>
  <si>
    <r>
      <t>SUPPLY AND FIXING OF E.W.C.   18" SIZE</t>
    </r>
    <r>
      <rPr>
        <b/>
        <sz val="12"/>
        <rFont val="Helv"/>
      </rPr>
      <t xml:space="preserve"> (WHITE)</t>
    </r>
  </si>
  <si>
    <t>WITH DOUBLE FLAPPED PLASTIC SEAT COVER</t>
  </si>
  <si>
    <t>LOW LEVEL FLUSHING CISTERN 10 LIT.</t>
  </si>
  <si>
    <t>EUROPEAN WATER CLOSET WITH "P" OR "S" TRAP WITH DOUBLE FLAPPED SEAT AND SEAT COVER WITH BRASS HINGES AND 10LIT CAPACITY PVC L;OW LEVEL FLUSHING TANK WITH ALL INTERNAL FITTINGS</t>
  </si>
  <si>
    <t>LABOUR FOR FIXING OF EWC</t>
  </si>
  <si>
    <t>LABOUR FOR FIXING OF FLUSHING TANK</t>
  </si>
  <si>
    <r>
      <t xml:space="preserve">SUPPLY AND FIXING OF E.W.C.   18" SIZE </t>
    </r>
    <r>
      <rPr>
        <b/>
        <sz val="12"/>
        <rFont val="Helv"/>
      </rPr>
      <t>(COLOUR)</t>
    </r>
  </si>
  <si>
    <t>58.1(a)</t>
  </si>
  <si>
    <t>SUPPLY AND FIXING P.V.C.SOIL</t>
  </si>
  <si>
    <t>PIPESPECIALS OF FOLLOWING DIA:-</t>
  </si>
  <si>
    <t>SUPPLY AND FIXING OF PVC soil PIPE</t>
  </si>
  <si>
    <t xml:space="preserve">110MM DIA OF 4Kg/sqmINCLUDING </t>
  </si>
  <si>
    <t>PACKING THE JOINTS WITH RUBBER</t>
  </si>
  <si>
    <t>LUBRICANT AND FIXING IN TO</t>
  </si>
  <si>
    <t>WALL WITH WOODEN PLUGS</t>
  </si>
  <si>
    <t>SCREWSHOLDING CLAMPSETC</t>
  </si>
  <si>
    <t>COMPLETE</t>
  </si>
  <si>
    <t>P.V.C. PIPE 110mm DIA</t>
  </si>
  <si>
    <t>P.V.C BEND WITH DOOR 110MM</t>
  </si>
  <si>
    <t>P.V.C COWL 110MM</t>
  </si>
  <si>
    <t>P.V.C DOOR TEE 110MM</t>
  </si>
  <si>
    <t>COST OF RUBBER</t>
  </si>
  <si>
    <t>LUBRICANTT.W.PLUGS AND</t>
  </si>
  <si>
    <t>C.I.CLAMPS ETC</t>
  </si>
  <si>
    <t>SUNDERS</t>
  </si>
  <si>
    <t>58.1(b)</t>
  </si>
  <si>
    <t>B.</t>
  </si>
  <si>
    <t>SUPPLY AND FIXING OF PVC PIPE</t>
  </si>
  <si>
    <t xml:space="preserve">75MM DIA OF 4Kg/sqmINCLUDING </t>
  </si>
  <si>
    <t>LUBERICANT AND FIXING IN TO</t>
  </si>
  <si>
    <t>WALL WITH WOODEN PLUGES</t>
  </si>
  <si>
    <t>P.V.C. PIPE 75mm DIA</t>
  </si>
  <si>
    <t>P.V.C BEND WITH DOOR</t>
  </si>
  <si>
    <t>P.V.C COWL</t>
  </si>
  <si>
    <t>P.V.C DOOR TEE</t>
  </si>
  <si>
    <t>58.2</t>
  </si>
  <si>
    <t xml:space="preserve">Supplying &amp;fixing 110mm dia PVC </t>
  </si>
  <si>
    <t xml:space="preserve">SWR pipe for ventilating shaft </t>
  </si>
  <si>
    <t xml:space="preserve">of 3M length with cowl </t>
  </si>
  <si>
    <t>110mm dia PVC SWR pipe</t>
  </si>
  <si>
    <t>110mm dia cowl</t>
  </si>
  <si>
    <t>Labour for fixing</t>
  </si>
  <si>
    <t>Sundries for PVC solution etc.</t>
  </si>
  <si>
    <t>Rate for 1 no.</t>
  </si>
  <si>
    <t>59.</t>
  </si>
  <si>
    <t>SUPLY ING AND FIXING OF</t>
  </si>
  <si>
    <t>150X100mm S.W. GULLY TRAPS</t>
  </si>
  <si>
    <t>BRICK JELLY CONCRETE (1:8:16)40MM</t>
  </si>
  <si>
    <t>60.</t>
  </si>
  <si>
    <t xml:space="preserve">SUPPLY AND FIXING OF P.V.C. </t>
  </si>
  <si>
    <t>NAHANI TRAP 63mm DIA</t>
  </si>
  <si>
    <t xml:space="preserve"> PVC NAHANI TRAP (4WAY/2WAY)</t>
  </si>
  <si>
    <t>SUNDRIES FOR B.J.C,PLASTERING ETC</t>
  </si>
  <si>
    <t>61.1(a)</t>
  </si>
  <si>
    <t>SUPPLY AND FIXING OF 100mm</t>
  </si>
  <si>
    <t>DIA S.W.PIPE</t>
  </si>
  <si>
    <t xml:space="preserve"> 100mmDIA S.W.PIPE WITH ISI MARK</t>
  </si>
  <si>
    <t>E.W. EXCAVATION</t>
  </si>
  <si>
    <t>TAARRED HOMP YARN</t>
  </si>
  <si>
    <t>FITTER II</t>
  </si>
  <si>
    <t>TESTING CHARGES 10%of LABOUR</t>
  </si>
  <si>
    <t>TOTAL FOR 30RMT</t>
  </si>
  <si>
    <t>RATE PER  RMT</t>
  </si>
  <si>
    <t>61.2(b)</t>
  </si>
  <si>
    <t>SUPPLY AND FIXING OF 150mm</t>
  </si>
  <si>
    <t xml:space="preserve"> 150mmDIA S.W.PIPE WITH ISI MARK</t>
  </si>
  <si>
    <t>61.2(a)</t>
  </si>
  <si>
    <t>DIA S.W.PIPE(LOOSE JOINTING)</t>
  </si>
  <si>
    <t xml:space="preserve"> 100mmDIA S.W.PIPE</t>
  </si>
  <si>
    <t xml:space="preserve"> 150mmDIA S.W.PIPE</t>
  </si>
  <si>
    <t>Total for One Number</t>
  </si>
  <si>
    <t>62.1(a)</t>
  </si>
  <si>
    <t xml:space="preserve"> STONEWARE BEND</t>
  </si>
  <si>
    <t xml:space="preserve"> 100mmDIA S.W.BEND </t>
  </si>
  <si>
    <t>EXCAVATION,REFILLING,JOINTING</t>
  </si>
  <si>
    <t>AND CONCRETING</t>
  </si>
  <si>
    <t xml:space="preserve"> 150mmDIA S.W.BEND </t>
  </si>
  <si>
    <t>62.2.a.</t>
  </si>
  <si>
    <t xml:space="preserve"> STONEWARE TEE</t>
  </si>
  <si>
    <t xml:space="preserve"> 100mmDIA S.W.TEE </t>
  </si>
  <si>
    <t>62.2.b.</t>
  </si>
  <si>
    <t xml:space="preserve"> 150mmDIA S.W.TEE </t>
  </si>
  <si>
    <t>63</t>
  </si>
  <si>
    <t>32mm dia P.V.C Waste Pipe and</t>
  </si>
  <si>
    <t xml:space="preserve">C.P.Coupling of best quality. </t>
  </si>
  <si>
    <t>Rft</t>
  </si>
  <si>
    <t>C.P.Coupling</t>
  </si>
  <si>
    <t>Labour Charge for fixing</t>
  </si>
  <si>
    <t>81</t>
  </si>
  <si>
    <t>Supplying and fixing B.I.C.W.Meter cupboard with</t>
  </si>
  <si>
    <t>shutter double leaves with 230mmx25mm size CW</t>
  </si>
  <si>
    <t>plank for alround sides 62.5x31.25mm styles and</t>
  </si>
  <si>
    <t>rails for shutters and 75x25mm weldmesh of bamd</t>
  </si>
  <si>
    <t>10 gauge for panels including labour charges for</t>
  </si>
  <si>
    <t>fixing inposition of shutters and cost of</t>
  </si>
  <si>
    <t>L-clamps 6nos of size 150x150mm size with</t>
  </si>
  <si>
    <t>25mmx4mm MS flats 1 no 6"x1/2" alumium aldrop</t>
  </si>
  <si>
    <t>with bolt and nuts 6 nos of 2" size I.O. hooks</t>
  </si>
  <si>
    <t>and eyes T.W.plugs screws etc complete and as</t>
  </si>
  <si>
    <t>directed by the Departmental Officers as per</t>
  </si>
  <si>
    <t>Drawings</t>
  </si>
  <si>
    <t>C.W.Scantling for Shutter</t>
  </si>
  <si>
    <t>C.W.Planks</t>
  </si>
  <si>
    <t>Weldmesh</t>
  </si>
  <si>
    <t xml:space="preserve"> 3"ButtHinges</t>
  </si>
  <si>
    <t xml:space="preserve"> 6"x1/2" Aldrops</t>
  </si>
  <si>
    <t xml:space="preserve"> 2" I.O.Hooks and Eyes</t>
  </si>
  <si>
    <t>M.S."L" Clamps</t>
  </si>
  <si>
    <t>SUNDRIES FOR T.W.Plugs etc</t>
  </si>
  <si>
    <t>Total for 1.62 Sqm</t>
  </si>
  <si>
    <t>Total for 1.00 Sqm</t>
  </si>
  <si>
    <t>================================================</t>
  </si>
  <si>
    <t>WIRING WITH 1.5SQMM COPPER WIRE  CONCEALED</t>
  </si>
  <si>
    <t>64.a.</t>
  </si>
  <si>
    <t>64.b</t>
  </si>
  <si>
    <t>64.c</t>
  </si>
  <si>
    <t xml:space="preserve"> --DO--FOR 15AMP POWER PLUG</t>
  </si>
  <si>
    <t>70.1</t>
  </si>
  <si>
    <t>70.2</t>
  </si>
  <si>
    <t>S/F OF TUBELIGHT FITTING</t>
  </si>
  <si>
    <t>70.3</t>
  </si>
  <si>
    <t>S/F OF 40W/60W BULB</t>
  </si>
  <si>
    <t>70.4</t>
  </si>
  <si>
    <t>S/F OF PLASTIC SHADE</t>
  </si>
  <si>
    <t>S/F of Fibre Fan Hook</t>
  </si>
  <si>
    <t>73.1</t>
  </si>
  <si>
    <t>73.2</t>
  </si>
  <si>
    <t>S/F OF 4 WAY D.B</t>
  </si>
  <si>
    <t>75(a)</t>
  </si>
  <si>
    <t>75(b)</t>
  </si>
  <si>
    <t>SUPPLY AND FIXING EXSAUST FAN 300MM SWEEP</t>
  </si>
  <si>
    <t>RUN OF MAIN WITH 2NO OF 1.50sq.mm WIRE</t>
  </si>
  <si>
    <t xml:space="preserve">RUN OF 2 WIRES OF 4 SQMM WITH CONTINUOUS EARTHING BY MEANS OF 2.5SQMM FOR A/C </t>
  </si>
  <si>
    <t>SUPPLYING AND FIXING OF A/C METAL CLAD</t>
  </si>
  <si>
    <t>SUPPLYING AND FIXING OF TV/TELEPHONE LINE SOCKET</t>
  </si>
  <si>
    <t>SUPPLYING AND FIXING OF 20MM DIA PVC PIPE FOR TV/TELEPHONE LINE</t>
  </si>
  <si>
    <t>Mtr</t>
  </si>
  <si>
    <t>PVC RIGID CONDUIT PIPE 19M/20MM HEAVY DUTY WITH ISI</t>
  </si>
  <si>
    <t>WIREMAN GR-I</t>
  </si>
  <si>
    <t>SUNDRIES FOR PVC SPECIALS &amp; FISH WIRE ETC.,</t>
  </si>
  <si>
    <t>TOTAL FOR 90RMT</t>
  </si>
  <si>
    <t>EARTHING STATION (TYPE II)</t>
  </si>
  <si>
    <t>GI PIPE 40MM DIA</t>
  </si>
  <si>
    <t>CHARCOAL</t>
  </si>
  <si>
    <t>SALT</t>
  </si>
  <si>
    <t>GI WIRE 8 GAUGE</t>
  </si>
  <si>
    <t>CIVIL WORK SUCH AS EXCAVATION FILLING MASONRY WORK, COVER SLAB ETC.,</t>
  </si>
  <si>
    <t>BOLTS,NUTS &amp; CHOCK NUTS ETC.,</t>
  </si>
  <si>
    <t xml:space="preserve">CI MANHOLE COVER 60 CMX60 CMX50KG </t>
  </si>
  <si>
    <t>22.3.1</t>
  </si>
  <si>
    <t>Shutter middle rails ( Horizontal) - 1x2x0.4x.15x.375=.0045</t>
  </si>
  <si>
    <t>Shutter(OSL Board)      -2X2X0.85X0.4=1.36m2</t>
  </si>
  <si>
    <t xml:space="preserve"> 4"X5/8"ALU.TOWER BOLT</t>
  </si>
  <si>
    <t>S/ F of Cuddapah Sink of Size 600x600x200 mm with 32 mm G.I waste pipe and 32 mm C.P waste coupling</t>
  </si>
  <si>
    <t xml:space="preserve">S/ F of  Wash basin mirror  Size 600x 450 mm </t>
  </si>
  <si>
    <t xml:space="preserve">S/ F of  Wash basin mirror  Size 500x 400 mm </t>
  </si>
  <si>
    <t>S/ F of Flushing Tank with all fittings 10 litres Capacity</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</si>
  <si>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</si>
  <si>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</si>
  <si>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</si>
  <si>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</si>
  <si>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</si>
  <si>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</si>
  <si>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</si>
  <si>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</si>
  <si>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</si>
  <si>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Packet</t>
  </si>
  <si>
    <t>Fibre (125g/ Packet )</t>
  </si>
  <si>
    <t>Moulding Charges</t>
  </si>
  <si>
    <t>……………………….</t>
  </si>
  <si>
    <t>Rate for       =</t>
  </si>
  <si>
    <t>………………………..</t>
  </si>
  <si>
    <t>Rate for 1  Sqm</t>
  </si>
  <si>
    <t>Supplying, Manufacturing and fixing of Colth drying arrangements data for 1 Set</t>
  </si>
  <si>
    <t>Cost of 32 mm dia G.I pipe</t>
  </si>
  <si>
    <t>Cost of MS angle 35x35x4mm (2x0.6x2.1 kg/m)</t>
  </si>
  <si>
    <t>Cost of Square bars (2x0.5x1.13 kg/m)</t>
  </si>
  <si>
    <t>Cost of  1 clamp  10 mm (3x0.15x0.78)</t>
  </si>
  <si>
    <t xml:space="preserve">Labour charges for welding </t>
  </si>
  <si>
    <t>Cost of Fixture hooks</t>
  </si>
  <si>
    <t>Mazdoor I Class</t>
  </si>
  <si>
    <t>Mazdoor II Class</t>
  </si>
  <si>
    <t>Fixing of screws, painting etc,</t>
  </si>
  <si>
    <t>…………………………….</t>
  </si>
  <si>
    <t>Rate for         =</t>
  </si>
  <si>
    <t>( 1   Set   )</t>
  </si>
  <si>
    <t xml:space="preserve">Data for form works using M.S sheet </t>
  </si>
  <si>
    <t>per</t>
  </si>
  <si>
    <t>e</t>
  </si>
  <si>
    <r>
      <t>Grid beam and slabs</t>
    </r>
    <r>
      <rPr>
        <sz val="14"/>
        <rFont val="Arial"/>
        <family val="2"/>
      </rPr>
      <t xml:space="preserve"> </t>
    </r>
  </si>
  <si>
    <t>Grid floor</t>
  </si>
  <si>
    <r>
      <t>Grid floor  Area 7.75 mm x8 mm =68  m</t>
    </r>
    <r>
      <rPr>
        <vertAlign val="superscript"/>
        <sz val="14"/>
        <rFont val="Arial"/>
        <family val="2"/>
      </rPr>
      <t>2</t>
    </r>
  </si>
  <si>
    <r>
      <t>Grid clear size 0.98 x1.01=0.99 m</t>
    </r>
    <r>
      <rPr>
        <vertAlign val="superscript"/>
        <sz val="14"/>
        <rFont val="Arial"/>
        <family val="2"/>
      </rPr>
      <t xml:space="preserve">2 </t>
    </r>
  </si>
  <si>
    <t xml:space="preserve">No. of grid 49 Nos  </t>
  </si>
  <si>
    <r>
      <t>Centering for floor slab Area
7.75 mm x8 mm =68  m</t>
    </r>
    <r>
      <rPr>
        <vertAlign val="superscript"/>
        <sz val="14"/>
        <rFont val="Arial"/>
        <family val="2"/>
      </rPr>
      <t>2</t>
    </r>
  </si>
  <si>
    <t>Centering for sides of  grid beam 
  49x2 x0.98x0.375=36.02
  49x2x1.01x3.75=37.12    
 Total 73.14</t>
  </si>
  <si>
    <t>Centering for bottom of grid slab             49x0.98x1.01=48.50</t>
  </si>
  <si>
    <r>
      <t>Total Centering area                              73.14+48.50 = 121.64 m</t>
    </r>
    <r>
      <rPr>
        <vertAlign val="superscript"/>
        <sz val="14"/>
        <rFont val="Arial"/>
        <family val="2"/>
      </rPr>
      <t xml:space="preserve">2 </t>
    </r>
  </si>
  <si>
    <r>
      <t>m</t>
    </r>
    <r>
      <rPr>
        <vertAlign val="superscript"/>
        <sz val="14"/>
        <rFont val="Arial"/>
        <family val="2"/>
      </rPr>
      <t xml:space="preserve">2 </t>
    </r>
  </si>
  <si>
    <t xml:space="preserve">Slab centering   up to 4 m height </t>
  </si>
  <si>
    <t>Centring with out strutting</t>
  </si>
  <si>
    <r>
      <t>m</t>
    </r>
    <r>
      <rPr>
        <vertAlign val="superscript"/>
        <sz val="14"/>
        <rFont val="Arial"/>
        <family val="2"/>
      </rPr>
      <t>2</t>
    </r>
  </si>
  <si>
    <r>
      <t>Total for 62m</t>
    </r>
    <r>
      <rPr>
        <vertAlign val="superscript"/>
        <sz val="14"/>
        <rFont val="Arial"/>
        <family val="2"/>
      </rPr>
      <t>2</t>
    </r>
  </si>
  <si>
    <r>
      <t>Rate for 1m</t>
    </r>
    <r>
      <rPr>
        <vertAlign val="superscript"/>
        <sz val="14"/>
        <rFont val="Arial"/>
        <family val="2"/>
      </rPr>
      <t>2</t>
    </r>
  </si>
  <si>
    <t>Form work for Plain surfaces such as Roof slab</t>
  </si>
  <si>
    <t>Cost of M.S Sheet BG 10</t>
  </si>
  <si>
    <t>Cost of M.S angle 25x25x3mm</t>
  </si>
  <si>
    <t>L.s</t>
  </si>
  <si>
    <t>Add for Centring bending including labour charges</t>
  </si>
  <si>
    <t>For 40 operation</t>
  </si>
  <si>
    <t>For 1 operation</t>
  </si>
  <si>
    <t>Cost of 1 operation</t>
  </si>
  <si>
    <t>M3</t>
  </si>
  <si>
    <t>Cost of silver oke</t>
  </si>
  <si>
    <t>Casurina props 10 to 13 cm dia</t>
  </si>
  <si>
    <t>Add for silver plank</t>
  </si>
  <si>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</si>
  <si>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</si>
  <si>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</si>
  <si>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t>For welding rails etc.,</t>
  </si>
  <si>
    <t>Periodical cleaning</t>
  </si>
  <si>
    <r>
      <t>Rate per 1 m</t>
    </r>
    <r>
      <rPr>
        <vertAlign val="superscript"/>
        <sz val="14"/>
        <rFont val="Arial"/>
        <family val="2"/>
      </rPr>
      <t>2</t>
    </r>
  </si>
  <si>
    <t>Rate for 4m height ( 202.09+12.32 ) =214.40</t>
  </si>
  <si>
    <t>Form work for Column footings, plinthbeam, Grade beam, Raft slab, Raft beam etc.,</t>
  </si>
  <si>
    <t>Form work with Casurina props</t>
  </si>
  <si>
    <t>( - )</t>
  </si>
  <si>
    <t>Sub - data</t>
  </si>
  <si>
    <t>Strutting to centering of R.C.C plane surfaces 3.00m height in all floors</t>
  </si>
  <si>
    <t>Props 10 to 13 cm dia @ 75 Cm c/c ( cost of 1 operation Rs.15/5=3)</t>
  </si>
  <si>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</si>
  <si>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</si>
  <si>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t>Add for sundries</t>
  </si>
  <si>
    <r>
      <t>Rate for 10 m</t>
    </r>
    <r>
      <rPr>
        <vertAlign val="superscript"/>
        <sz val="14"/>
        <rFont val="Arial"/>
        <family val="2"/>
      </rPr>
      <t>2</t>
    </r>
  </si>
  <si>
    <r>
      <t xml:space="preserve">Rate for 1m </t>
    </r>
    <r>
      <rPr>
        <vertAlign val="superscript"/>
        <sz val="14"/>
        <rFont val="Arial"/>
        <family val="2"/>
      </rPr>
      <t>2</t>
    </r>
  </si>
  <si>
    <t>For 1 m height</t>
  </si>
  <si>
    <t>For square  &amp; rectangular columns and small quantities extra 20 % of Form work using M.S sheet</t>
  </si>
  <si>
    <t>d</t>
  </si>
  <si>
    <t>For Vertical walls extra 10 % of Form work using M.S sheet</t>
  </si>
  <si>
    <t>Annexure Items</t>
  </si>
  <si>
    <t>From work for Column footings, plinthbeam, Grade beam, Raft slab, Raft beam etc.,</t>
  </si>
  <si>
    <t>Ls</t>
  </si>
  <si>
    <t>-------------------</t>
  </si>
  <si>
    <t>Rate for From work for Column footings, plinthbeam, Grade beam, Raft slab, Raft beam etc.,</t>
  </si>
  <si>
    <t>1 Sqm</t>
  </si>
  <si>
    <t>Form work for Plain surfaces such as Roof slab,floor slab,beams, lintels, loft,sill slab,Stair case waist, portico slab and other similar works</t>
  </si>
  <si>
    <t>==========</t>
  </si>
  <si>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</si>
  <si>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</si>
  <si>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r>
      <t>39.20 x 0.05                                      =1.96m</t>
    </r>
    <r>
      <rPr>
        <vertAlign val="superscript"/>
        <sz val="12"/>
        <rFont val="Helv"/>
      </rPr>
      <t>2</t>
    </r>
  </si>
  <si>
    <t>Mason I class</t>
  </si>
  <si>
    <t>Mazdoor II class</t>
  </si>
  <si>
    <t>Moulding charges</t>
  </si>
  <si>
    <t>Curing, Transporting, Laying and Pointing charges</t>
  </si>
  <si>
    <t>Packets</t>
  </si>
  <si>
    <t>Fibre</t>
  </si>
  <si>
    <t>Rate for 39.20 Sqm</t>
  </si>
  <si>
    <t>---------------</t>
  </si>
  <si>
    <t>Rate for 1 Sqm</t>
  </si>
  <si>
    <t>Sub-Data</t>
  </si>
  <si>
    <t>C.W.Planks Moulding</t>
  </si>
  <si>
    <t>100 Operations</t>
  </si>
  <si>
    <t>500/100</t>
  </si>
  <si>
    <t>5 sets</t>
  </si>
  <si>
    <t>5 x 1.12 x 0.05</t>
  </si>
  <si>
    <t>0.28 Sqm</t>
  </si>
  <si>
    <t>Cement Adequacy</t>
  </si>
  <si>
    <t>1 m3  of CC 1:3:6</t>
  </si>
  <si>
    <t>216 Kg</t>
  </si>
  <si>
    <t>1.96m3</t>
  </si>
  <si>
    <t>423.36 Kg (ie) 8.5 Bags of Cement</t>
  </si>
  <si>
    <t>1 Fibre packet for 1 bag of cement</t>
  </si>
  <si>
    <t>Supply of MS angle 40 X 40 X 6mm for above data to support the above GI pipe and fixing the GI  stay wire service connection wire .</t>
  </si>
  <si>
    <t>------------------------------------------------------------------</t>
  </si>
  <si>
    <t>Kg( 1 Rmt = 3.25 Kg )]</t>
  </si>
  <si>
    <t>40 X 40 X 6mm</t>
  </si>
  <si>
    <t>Rate Per Rmt</t>
  </si>
  <si>
    <t>S&amp;F of 1 No of 30amps Fuse Unit</t>
  </si>
  <si>
    <t>------------------------------------------------</t>
  </si>
  <si>
    <t>30 amps 500V Fuse Unit</t>
  </si>
  <si>
    <t>T.W.Plank 150x100x20mm</t>
  </si>
  <si>
    <t xml:space="preserve">Sundries </t>
  </si>
  <si>
    <t>--------------------</t>
  </si>
  <si>
    <t>============</t>
  </si>
  <si>
    <t>Wire man Gr-I</t>
  </si>
  <si>
    <t>Wire man Gr-II</t>
  </si>
  <si>
    <t>Rate for 8 nos</t>
  </si>
  <si>
    <t>Rate for 1 nos</t>
  </si>
  <si>
    <t>23.1. ( b)</t>
  </si>
  <si>
    <t>DOOR OF SIZE 1000 X2100 MM</t>
  </si>
  <si>
    <t>TOTAL FOR 1.845 SQM</t>
  </si>
  <si>
    <t>T.W.DoubleLEAF FULLY PANELLED</t>
  </si>
  <si>
    <t>1500 X 2100MM</t>
  </si>
  <si>
    <t>SHUTTER SIZE-2x0.7X2.025   =2.835M2</t>
  </si>
  <si>
    <t>STYLES(OVER 2M) -2X2X2.025X0.075X0.0375=0.0228</t>
  </si>
  <si>
    <t>RAILS(BELOW 2M)- 2X3X0.70X0.15X0.0375=      0.0236</t>
  </si>
  <si>
    <t xml:space="preserve">               - 2X3X0.70X0.075X0.0375 =0.0118</t>
  </si>
  <si>
    <t>PLANKS      -2X4X0.575X0.3X0.01875=</t>
  </si>
  <si>
    <t xml:space="preserve">                          -2X1X0.575X0.3X0.01875=</t>
  </si>
  <si>
    <t>WIDE&amp;12TO25mm T.K</t>
  </si>
  <si>
    <t>TOTAL FOR 2.835 SQM</t>
  </si>
  <si>
    <t>1200 X 2100MM</t>
  </si>
  <si>
    <t>SHUTTER SIZE-1.10X2.025   =2.2275M2</t>
  </si>
  <si>
    <t>RAILS(BELOW 2M)- 2X4X0.45X0.15X0.0375=      0.020</t>
  </si>
  <si>
    <t xml:space="preserve">               - 2X2X0.45X0.075X0.0375 =0.005</t>
  </si>
  <si>
    <t>PLANKS      -2X4X0.425X0.28X0.01875=</t>
  </si>
  <si>
    <t xml:space="preserve">                          -2X1X0.425X0.28X0.01875=</t>
  </si>
  <si>
    <t>TOTAL FOR 2.2275 SQM</t>
  </si>
  <si>
    <t>FLATBACK URINAL</t>
  </si>
  <si>
    <t>Flatback Urinal including all accessories</t>
  </si>
  <si>
    <t>Plumber I class</t>
  </si>
  <si>
    <t>Mason I Class</t>
  </si>
  <si>
    <t>Providing Rain Water Harvesting</t>
  </si>
  <si>
    <t>Labour charges for augering</t>
  </si>
  <si>
    <t>HBSJ 40mm</t>
  </si>
  <si>
    <t>Precasted slab</t>
  </si>
  <si>
    <t>-----------------</t>
  </si>
  <si>
    <t>Sub -data for 3</t>
  </si>
  <si>
    <t>Mazdoor I</t>
  </si>
  <si>
    <t>Tool  Plants</t>
  </si>
  <si>
    <t>Total for 3 Rmt</t>
  </si>
  <si>
    <t>Rate for 1 rmt</t>
  </si>
  <si>
    <t xml:space="preserve">2x4 sqmm copper PVC insulated unseathed single core 1KV grade cable for EB service </t>
  </si>
  <si>
    <t>4 Sqmm copper PVC unsulated unsheathed single core cable</t>
  </si>
  <si>
    <t>7/20 GI stay wire</t>
  </si>
  <si>
    <t>PVC reel insulator</t>
  </si>
  <si>
    <t>GI wire for fixing reel insulator</t>
  </si>
  <si>
    <t>Electrical Maistry</t>
  </si>
  <si>
    <t>Wiremen Gr.I</t>
  </si>
  <si>
    <t>Wiremen Gr.II</t>
  </si>
  <si>
    <t>Sundries for masonry work clamps bolts and nuts etc.,</t>
  </si>
  <si>
    <t>Total for 90 Mtrs</t>
  </si>
  <si>
    <t>Rate per Rmt</t>
  </si>
  <si>
    <t>Shutter middle rail(Horizantal) -1X2X0.4X0.15X0.0375=0.0045</t>
  </si>
  <si>
    <t>Shutter(OSL Board)      -2X2X.85X0.4=1.36m2</t>
  </si>
  <si>
    <t xml:space="preserve"> ORNAMENTAL  HANDLE WITH SCREWS</t>
  </si>
  <si>
    <t xml:space="preserve">Rain water harvesting pit by augering </t>
  </si>
  <si>
    <t>Augering</t>
  </si>
  <si>
    <t>Stone jelly 40mm size</t>
  </si>
  <si>
    <t>HBS jelly 20mm size</t>
  </si>
  <si>
    <t>River Sand</t>
  </si>
  <si>
    <t>Total  for 4.90 Rmt</t>
  </si>
  <si>
    <t>Rate for Rmt</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</si>
  <si>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</si>
  <si>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</si>
  <si>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</si>
  <si>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</si>
  <si>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</si>
  <si>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</si>
  <si>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t>
  </si>
  <si>
    <t>63 Amphs Triple Pole main switch with fuse and neutral link</t>
  </si>
  <si>
    <t>T.W Board of size 46 x 31 x 6 cm screws well varnished.</t>
  </si>
  <si>
    <t>Sundries screw  TW plugs screw wire and earth connections</t>
  </si>
  <si>
    <t>Labour</t>
  </si>
  <si>
    <t>Wireman Gr.I</t>
  </si>
  <si>
    <t>Helpers</t>
  </si>
  <si>
    <t>----------------</t>
  </si>
  <si>
    <t>Labour for 3 Nos</t>
  </si>
  <si>
    <t>Labour for 1 no</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</si>
  <si>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</si>
  <si>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</si>
  <si>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</si>
  <si>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</si>
  <si>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</si>
  <si>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</si>
  <si>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t>
  </si>
  <si>
    <t>For 8 Nos</t>
  </si>
  <si>
    <t>Per labour</t>
  </si>
  <si>
    <t>Supply and fixing of 4way TPN MCB sheet with 100/63A 4pole Islotor</t>
  </si>
  <si>
    <t>Triple pole &amp; Neutral 4way</t>
  </si>
  <si>
    <t>63A / 100A 4 pole MCB Isolotor</t>
  </si>
  <si>
    <t>32ATPN MCB</t>
  </si>
  <si>
    <t xml:space="preserve">Angle Iron </t>
  </si>
  <si>
    <t>Sundries 1%</t>
  </si>
  <si>
    <t>Supply and fixing of Copper flats</t>
  </si>
  <si>
    <t>25x3mm Copper flats</t>
  </si>
  <si>
    <t>procelin Insulator</t>
  </si>
  <si>
    <t>Supply and fixing of 4'40W twin decorative mirror optics with bulb</t>
  </si>
  <si>
    <t xml:space="preserve">4'40w twin decorative </t>
  </si>
  <si>
    <t>4'40w F.tube</t>
  </si>
  <si>
    <t>19mm dia conduit pipe</t>
  </si>
  <si>
    <t>T.W round blocks</t>
  </si>
  <si>
    <t>Ball &amp; Socket</t>
  </si>
  <si>
    <t>connecting lead</t>
  </si>
  <si>
    <t>Supply and fixing of Cloth drying arrangements</t>
  </si>
  <si>
    <t>-----------------------------------------------------------------</t>
  </si>
  <si>
    <t>32mm dia G.I Pipe</t>
  </si>
  <si>
    <t>M.S. angle(35x35x4 mm)</t>
  </si>
  <si>
    <t>Squre Rod ( 2x.5x1.13 Kg/m )</t>
  </si>
  <si>
    <t>Cost of Clamp 10mm</t>
  </si>
  <si>
    <t>Labour Charges for welding</t>
  </si>
  <si>
    <t>Cost of fixed hooks</t>
  </si>
  <si>
    <t>Mazdoor II</t>
  </si>
  <si>
    <t>Rate for 2 Nos</t>
  </si>
  <si>
    <t>Exhaust Fan 9" Swep ( 225 mm )</t>
  </si>
  <si>
    <t>----------------------------------------------</t>
  </si>
  <si>
    <t>Provision of hole in the wall and making good of the wall</t>
  </si>
  <si>
    <t>Clamp fixing by coche screws bolts and nuts including connections</t>
  </si>
  <si>
    <t>Add 1% sundries</t>
  </si>
  <si>
    <t>=============</t>
  </si>
  <si>
    <t>Electrical Wire man Gr.I</t>
  </si>
  <si>
    <t>Rate for 4 Nos</t>
  </si>
  <si>
    <t>Rate for 1 Nos</t>
  </si>
  <si>
    <t>Tube light fitting with Electronic Ballast ( Patti type )</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</si>
  <si>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</si>
  <si>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</si>
  <si>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</si>
  <si>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</si>
  <si>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</si>
  <si>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</si>
  <si>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</si>
  <si>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</si>
  <si>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</si>
  <si>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</si>
  <si>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</si>
  <si>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Tamil Nadu Police Housing Corporation</t>
  </si>
  <si>
    <t>TNHB ELECTRICAL DATA FOR COASTAL AREA ONLY</t>
  </si>
  <si>
    <t>Part   - A</t>
  </si>
  <si>
    <t>DATA  - 1</t>
  </si>
  <si>
    <t>WIRING IN CONCEALED PVC PIPE</t>
  </si>
  <si>
    <t>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</si>
  <si>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</si>
  <si>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theme="1"/>
        <rFont val="Calibri"/>
        <family val="2"/>
        <scheme val="minor"/>
      </rPr>
      <t xml:space="preserve"> FOR ADMINISTRATIVE BLOCKS AND COMMUNITY CENTRE controlled by 5 amps flush type switch including citcuit mains, cost of all materials, specials, etc., all complete,</t>
    </r>
    <r>
      <rPr>
        <b/>
        <sz val="12"/>
        <rFont val="Helv"/>
      </rPr>
      <t>(Open wiring)</t>
    </r>
  </si>
  <si>
    <t>1.5 sqmm copper PVC insulated unsheathed single core cable (P-79 it-2/b)</t>
  </si>
  <si>
    <t>PVC rigid conduit pipe 19 mm / 20mm heavy duty with ISI mark p-82 part -I IX-1 b</t>
  </si>
  <si>
    <t>1 Rmt</t>
  </si>
  <si>
    <t>19 mm PVC rigid bends - p-82 part -I IX-2b</t>
  </si>
  <si>
    <t>19 mm PVC rigid tees (p-83 4b, 16.7/12=1.39)</t>
  </si>
  <si>
    <t>6" PVC Electrical Box (150mm)</t>
  </si>
  <si>
    <t>19 mm PVC saddles / p 72</t>
  </si>
  <si>
    <t>Dozen</t>
  </si>
  <si>
    <t>Hylem sheet 3 mm thick with lamination p-83 it-7a part-I</t>
  </si>
  <si>
    <t>19 mm PVC rigid bends</t>
  </si>
  <si>
    <t>5 amps flush type switch p-72, Part-C,1 a ( 207/12=17.25)</t>
  </si>
  <si>
    <t>19 mm PVC rigid tees</t>
  </si>
  <si>
    <t>Ceiling rose p-70 it-23</t>
  </si>
  <si>
    <t>Teakwood plugs</t>
  </si>
  <si>
    <t>19 mm PVC junction box  ( p-83,6-b( 44.8/12=3.73)</t>
  </si>
  <si>
    <t>PVC JUNCTION BOX 19 mm</t>
  </si>
  <si>
    <t>Ceiling rose</t>
  </si>
  <si>
    <t>5 amps switch (flush type)</t>
  </si>
  <si>
    <t>Brass screws 40mmX6</t>
  </si>
  <si>
    <t>1.5 sqmm copper PVC insulated unsheathed single core cable for continuous earth connection  (P-79 it-2/b)</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</si>
  <si>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</si>
  <si>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</si>
  <si>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</si>
  <si>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</si>
  <si>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</si>
  <si>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</si>
  <si>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</si>
  <si>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</si>
  <si>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</si>
  <si>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</si>
  <si>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</si>
  <si>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</si>
  <si>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For Concreting work</t>
  </si>
  <si>
    <r>
      <t>Mason II</t>
    </r>
    <r>
      <rPr>
        <vertAlign val="superscript"/>
        <sz val="12"/>
        <rFont val="Helv"/>
      </rPr>
      <t>nd</t>
    </r>
    <r>
      <rPr>
        <sz val="11"/>
        <color theme="1"/>
        <rFont val="Calibri"/>
        <family val="2"/>
        <scheme val="minor"/>
      </rPr>
      <t xml:space="preserve"> class</t>
    </r>
  </si>
  <si>
    <t>DATA  - 2</t>
  </si>
  <si>
    <r>
      <t xml:space="preserve">LIGHT POINT WITH CEILING ROSE FOR ADMINISTRATIVE BLOCKS AND COMMUNITY CENTRE </t>
    </r>
    <r>
      <rPr>
        <b/>
        <sz val="14"/>
        <rFont val="Helv"/>
      </rPr>
      <t>Open wiring</t>
    </r>
  </si>
  <si>
    <t>Light point with bakelite batern type holder for flats/ houses</t>
  </si>
  <si>
    <t>1175/6=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</si>
  <si>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</si>
  <si>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</si>
  <si>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</si>
  <si>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</si>
  <si>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Add cost of Bakelite battern type holders 10 Nos @ Rs 20.20 / Each</t>
  </si>
  <si>
    <t>19 mm PVC saddles</t>
  </si>
  <si>
    <t>Total for 10 points</t>
  </si>
  <si>
    <t>Rate for 1 points</t>
  </si>
  <si>
    <t>DATA  - 3</t>
  </si>
  <si>
    <t>POINT WIRING FOR CALLING BELL / BUZZER WITH PUSH SWITCH FOR ALL TYPE OF BUILDING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</si>
  <si>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</si>
  <si>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MS box  4"X4" mm(5 sided) covered with 3mm thick Hylem sheet</t>
  </si>
  <si>
    <t>Total of Data 1 excluding sundries</t>
  </si>
  <si>
    <t>Deduct cost of 10 Nos ceiling rose</t>
  </si>
  <si>
    <t>Deduct cost of 10 Nos 19 mm PVC junction box</t>
  </si>
  <si>
    <t>Deduct 10 Nos 5 A switch</t>
  </si>
  <si>
    <t>Add the cost of 10 Nos Buzer/Bell @ 50.40/Each</t>
  </si>
  <si>
    <t>Add the cost of 10 nos 5A type push switch @ Rs 9.00/ Each</t>
  </si>
  <si>
    <t>Add the cost of 10 nos  15 x 10 x 7.5 cm TW box @ Rs 20.10/Each</t>
  </si>
  <si>
    <t>DATA  -  4</t>
  </si>
  <si>
    <t>FAN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</si>
  <si>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</si>
  <si>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12" PVC Electrical Box (300mm)</t>
  </si>
  <si>
    <t>3 mm thick laminated Hylem sheet</t>
  </si>
  <si>
    <t>MS box  300 x 200 x 75 mm</t>
  </si>
  <si>
    <t>200x150x75 mm=90</t>
  </si>
  <si>
    <t xml:space="preserve">A 200x150x75 mm=0.0825 </t>
  </si>
  <si>
    <r>
      <t>A 300x200x75 mm=0.135m</t>
    </r>
    <r>
      <rPr>
        <vertAlign val="superscript"/>
        <sz val="12"/>
        <rFont val="Helv"/>
      </rPr>
      <t>2</t>
    </r>
  </si>
  <si>
    <t xml:space="preserve">DATA  - 5 </t>
  </si>
  <si>
    <t>STAIRCASE LIGHT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</si>
  <si>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</si>
  <si>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 p-72</t>
  </si>
  <si>
    <t>Total for 5 points</t>
  </si>
  <si>
    <t>DATA   - 6</t>
  </si>
  <si>
    <t xml:space="preserve">5 AMPS 5 PIN PLUG SOCKET POINT AT CONVENIENT PLACES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</si>
  <si>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</si>
  <si>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 xml:space="preserve">3 mm thick laminated Hylem sheet </t>
  </si>
  <si>
    <t>5 A 5 pin non - inter locking switch and plug ( flush type ) part - c (I a) + part - d (I a)( Rs. 207/12 + 28.20)</t>
  </si>
  <si>
    <t>SQqm</t>
  </si>
  <si>
    <t>Total for 15 points</t>
  </si>
  <si>
    <t xml:space="preserve">DATA   - 7 </t>
  </si>
  <si>
    <t xml:space="preserve">5 AMPS 5 PIN PLUG SOCKET POINT AT SWITCH BOARD ITSELF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</si>
  <si>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</si>
  <si>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5 A 5 pin non - inter locking switch and plug ( flush type ) part - c (I a) + part - d (I a)( Rs. 207/12 + 28.20) p-72+77</t>
  </si>
  <si>
    <t xml:space="preserve">DATA    - 8 </t>
  </si>
  <si>
    <t>15 AMPS POWER PLUG</t>
  </si>
  <si>
    <r>
      <t xml:space="preserve">Supplying and fixing of </t>
    </r>
    <r>
      <rPr>
        <b/>
        <sz val="12"/>
        <rFont val="Helv"/>
      </rPr>
      <t>15 Amps 3 pin flush type plug</t>
    </r>
    <r>
      <rPr>
        <sz val="11"/>
        <color theme="1"/>
        <rFont val="Calibri"/>
        <family val="2"/>
        <scheme val="minor"/>
      </rPr>
      <t xml:space="preserve"> socket on suitable MS box of 16g thick concealed and covered with 3 mm thick laminated hylem sheet inclusive of all materials, etc., all complete.</t>
    </r>
  </si>
  <si>
    <t>15 Amps 3 pin flush type plug socket</t>
  </si>
  <si>
    <t xml:space="preserve">3 mm thick laminated hulem sheet </t>
  </si>
  <si>
    <t>Labour charges and sundries such as cement, screws etc.,</t>
  </si>
  <si>
    <t>Rate for Each</t>
  </si>
  <si>
    <t>DATA    - 9</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</si>
  <si>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</si>
  <si>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Hylem sheet 3 mm thick with lamination </t>
  </si>
  <si>
    <t>5 amps flush type switch</t>
  </si>
  <si>
    <t>19 mm PVC junction box</t>
  </si>
  <si>
    <t>DATA    -   10</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</si>
  <si>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</si>
  <si>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</si>
  <si>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Deduct cost of ceiling rose 6 nos</t>
  </si>
  <si>
    <r>
      <t>Add cost of Bakelite battern type holders 6 nos @</t>
    </r>
    <r>
      <rPr>
        <sz val="12"/>
        <color indexed="10"/>
        <rFont val="Helv"/>
      </rPr>
      <t xml:space="preserve"> 15.80/E</t>
    </r>
    <r>
      <rPr>
        <sz val="11"/>
        <color theme="1"/>
        <rFont val="Calibri"/>
        <family val="2"/>
        <scheme val="minor"/>
      </rPr>
      <t>ach9 (New item 22-p-77)</t>
    </r>
  </si>
  <si>
    <t>Total for 6 points</t>
  </si>
  <si>
    <t>For 1 points</t>
  </si>
  <si>
    <t>DATA   - 11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</si>
  <si>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</si>
  <si>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PVC junction box 19 mm</t>
  </si>
  <si>
    <t>DATA  - 12 a</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</si>
  <si>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</si>
  <si>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5 A flush type two way switches ( Staircase switch )</t>
  </si>
  <si>
    <t>Total for 3 points</t>
  </si>
  <si>
    <t>DATA   - 14</t>
  </si>
  <si>
    <t>2 X 6 Sq mm in fully concealed PVC conduit</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</si>
  <si>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</si>
  <si>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t>
  </si>
  <si>
    <t>2.5 sqmm copper PVC insulated unsheathed single core cable for continuous earth connection</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</si>
  <si>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</si>
  <si>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</si>
  <si>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Add 180 mt 2.5 Sqmm copper PVC insulated unsheathed S.C. cable p-86, it- 2 c</t>
  </si>
  <si>
    <t>Deduct 1.5 Sqmm copper PVC insulated unsheathed S.C. cable</t>
  </si>
  <si>
    <t>Total for 90 metres</t>
  </si>
  <si>
    <t>4 sqmm copper PVC insulated unsheathed single core cable,P-86 it-2-d</t>
  </si>
  <si>
    <t>DATA   - 15</t>
  </si>
  <si>
    <t>4 X 6 Sq mm in fully concealed PVC conduit</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</si>
  <si>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</si>
  <si>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</si>
  <si>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cable,P-79 it-2-d</t>
  </si>
  <si>
    <t>25mm dia rigid PVC pipe heavy duty with ISI heavy duty with ISI mark part -I 1c P-89, Part -I</t>
  </si>
  <si>
    <t>25mm dia rigid PVC pipe heavy duty with ISI heavy duty with ISI mark</t>
  </si>
  <si>
    <t>Labour charges ( 1.5 x Labour charges + Labour for ducting - sub data - A)</t>
  </si>
  <si>
    <t>( 1.5  x 5914) - ( (888 +1232 ) / 2)</t>
  </si>
  <si>
    <t>4 X 10 Sq mm in fully concealed PVC conduit</t>
  </si>
  <si>
    <t>10 sqmm copper PVC insulated unsheathed single core cable</t>
  </si>
  <si>
    <t>Bulk head fittings P-77 it-22</t>
  </si>
  <si>
    <t xml:space="preserve">Helper </t>
  </si>
  <si>
    <t>Total for 15 Nos</t>
  </si>
  <si>
    <t>DATA   - 17</t>
  </si>
  <si>
    <t>16 AMPS DOUBLE POLE MAIN SWITCH ON TEAK WOOD BOARD TOP MES SERVICE CONNECTION / MOTOR PUMP( SINGLE PHASE ) SET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</si>
  <si>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</si>
  <si>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</si>
  <si>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 (as per PWD Elec. Data)</t>
  </si>
  <si>
    <t>Sundries for TW plugs,screws, wire and earth connection etc.,</t>
  </si>
  <si>
    <t>Total for 4 Nos</t>
  </si>
  <si>
    <t>DATA   - 19</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</si>
  <si>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</si>
  <si>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</si>
  <si>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TW board of size 31x20x6 cm with brass hinge screw hooks well varnished</t>
  </si>
  <si>
    <t>DATA   - 18</t>
  </si>
  <si>
    <t>4 way 16 amps, way 250 volts single phase and neutral link metalic distribution board p-81 7a</t>
  </si>
  <si>
    <t>T.W board of size 31 x 20x 6 cm with well varnished</t>
  </si>
  <si>
    <t>Labour charges  as per Data No 17</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</si>
  <si>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</si>
  <si>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</si>
  <si>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TW board of size 46 x31 x 6 cm with brass hinges hooks screws  well varnished</t>
  </si>
  <si>
    <t>Sundries screw TW plugs screws wire and earth connections.</t>
  </si>
  <si>
    <t>Wiremen  Grade I</t>
  </si>
  <si>
    <t>DATA   - 22</t>
  </si>
  <si>
    <r>
      <t xml:space="preserve">Supplying and fixing of 32 amps triple pole main switch with fuse and neutral link </t>
    </r>
    <r>
      <rPr>
        <sz val="11"/>
        <color theme="1"/>
        <rFont val="Calibri"/>
        <family val="2"/>
        <scheme val="minor"/>
      </rPr>
      <t>o</t>
    </r>
    <r>
      <rPr>
        <sz val="11"/>
        <color theme="1"/>
        <rFont val="Calibri"/>
        <family val="2"/>
        <scheme val="minor"/>
      </rPr>
      <t>n a suitable well varnished teak wood board including necessary interconnection and earth connection cost of all materials, etc., all complete.</t>
    </r>
  </si>
  <si>
    <t>32 Amps triple pole main switch with fuse and neutral link</t>
  </si>
  <si>
    <t>DATA   - 20</t>
  </si>
  <si>
    <t>Supplying and fixing of 1 No three phase distribution board with 4 way/ phase and 30 A/way with neutral link on a suitable well varnished teak wood plank including necessary interconnections and earth connections cost of all materials, etc., all complete.</t>
  </si>
  <si>
    <t>Three phase distribution board with 4 way/phase and 32 A / Way with fuse and neutral link. P-81 8d</t>
  </si>
  <si>
    <t>TW plank of size 750 x 450 x 12 mm thick</t>
  </si>
  <si>
    <t>Sundries such as screws plugs, cement, wire and earth connection.</t>
  </si>
  <si>
    <t>TW plank of size 750 x 450 x 12 mm thick(99600+7460)</t>
  </si>
  <si>
    <t>DATA   - 24</t>
  </si>
  <si>
    <t>( For 12 flats common &amp; pump )</t>
  </si>
  <si>
    <t>As per above data</t>
  </si>
  <si>
    <t>Add for 6 way TPDB 32A/way p-81, 8e</t>
  </si>
  <si>
    <t>Less 4 way TPDB 32 A/way p-81, 8d</t>
  </si>
  <si>
    <t>Charges for assembling and fixing of flouresent tubular lamp fittings of different types ( supplied by the department at free of cost ) with necessary teak wood round block of 75 mm dia 40 mm deep on walls/ ceiling including cost of materials, etc., all complete.</t>
  </si>
  <si>
    <t xml:space="preserve">TW round block P-91 Part -J -X- F </t>
  </si>
  <si>
    <t>0.5 Sqmm copper twin core flex wire</t>
  </si>
  <si>
    <t>100 Rmts</t>
  </si>
  <si>
    <t>sundries such as screws, nails etc.,</t>
  </si>
  <si>
    <t>Labour charges for assembling and fixing</t>
  </si>
  <si>
    <t>Labour charges for 16 Nos</t>
  </si>
  <si>
    <t>Total for 16 Nos</t>
  </si>
  <si>
    <t>DATA   - 23</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</si>
  <si>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</si>
  <si>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Conduit pipe 19 mm (MS) (heavy gauge)p-81 Part-H 1-b</t>
  </si>
  <si>
    <t>Round block 75 mm dia 40 mm deep</t>
  </si>
  <si>
    <t xml:space="preserve">Sundries such as ball and socket arrangement, choke, nails, screws, etc., </t>
  </si>
  <si>
    <t>Total for 10  Nos</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</si>
  <si>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</si>
  <si>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</si>
  <si>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</si>
  <si>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</si>
  <si>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</si>
  <si>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</si>
  <si>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</si>
  <si>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</si>
  <si>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Supplying and laying of 8 SWG GI wire on walls/below ground level with necessary 'U' nails/ earth work excavation and re- filling etc., including cost of all materials, all complete.</t>
  </si>
  <si>
    <t xml:space="preserve">8 SWG GI wire  (Part- E, 3 -c P-84) </t>
  </si>
  <si>
    <t xml:space="preserve"> 'U' nails (SD-74 ,17-18)</t>
  </si>
  <si>
    <t>Tatal for 90 Rmts</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</si>
  <si>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</si>
  <si>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</si>
  <si>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</si>
  <si>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</si>
  <si>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</si>
  <si>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</si>
  <si>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</si>
  <si>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GI reducer 40x25mm</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</si>
  <si>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</si>
  <si>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</si>
  <si>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</si>
  <si>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</si>
  <si>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</si>
  <si>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</si>
  <si>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</si>
  <si>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</si>
  <si>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</si>
  <si>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Charges for fixing single phase RCCB/ELCB ( to be supplied by the department free of cost ) on suitable well varnished teak wood plank with a necessary inter   connection and earth connections using copper cable including cost of all materials, etc., all complete.</t>
  </si>
  <si>
    <t>Sundries such as TW plugs, screws, cement, PVC insulated unsheathed copper wires and earth connections.</t>
  </si>
  <si>
    <t xml:space="preserve">TW Plank </t>
  </si>
  <si>
    <t>Wire men Grade I</t>
  </si>
  <si>
    <t>Total for 10 units</t>
  </si>
  <si>
    <t>Rate for 1 unit</t>
  </si>
  <si>
    <t>DATA   - 28</t>
  </si>
  <si>
    <r>
      <t xml:space="preserve">Charges for fixing single phase RCCB/ELCB ( to be supplied by the department at free of cost ) on fully concealed suitable </t>
    </r>
    <r>
      <rPr>
        <b/>
        <sz val="12"/>
        <rFont val="Helv"/>
      </rPr>
      <t>12" PVC Electrical Box (300mm)</t>
    </r>
    <r>
      <rPr>
        <sz val="11"/>
        <color theme="1"/>
        <rFont val="Calibri"/>
        <family val="2"/>
        <scheme val="minor"/>
      </rPr>
      <t xml:space="preserve"> with a necessary inter connection and earth connections using copper cable including cost of all materials, re- doing the disturbed portion etc., all complete.</t>
    </r>
  </si>
  <si>
    <t>Sundries such as cement, 1.5Sqmm copper PVC insulated unsheathed wire &amp; earth connections etc., all complete.</t>
  </si>
  <si>
    <t>Total for 10 Nos</t>
  </si>
  <si>
    <t>For 1 No</t>
  </si>
  <si>
    <t>DATA   - 29</t>
  </si>
  <si>
    <t>ELCB ( 3 PHASE ) on surface teak wood plank</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</si>
  <si>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</si>
  <si>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</si>
  <si>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</si>
  <si>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 xml:space="preserve">ELCB (3 phase ) inconcealed MS Box </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</si>
  <si>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</si>
  <si>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DATA   - 31</t>
  </si>
  <si>
    <t>DATA   - 32</t>
  </si>
  <si>
    <r>
      <t xml:space="preserve">32 Amps rating </t>
    </r>
    <r>
      <rPr>
        <b/>
        <sz val="12"/>
        <rFont val="Helv"/>
      </rPr>
      <t xml:space="preserve">Three phase </t>
    </r>
    <r>
      <rPr>
        <sz val="11"/>
        <color theme="1"/>
        <rFont val="Calibri"/>
        <family val="2"/>
        <scheme val="minor"/>
      </rPr>
      <t>ELCB with 20 to 30 MA sensitivity (P-94  10-a)</t>
    </r>
  </si>
  <si>
    <t>DATA   - 33</t>
  </si>
  <si>
    <t>1  no of 32 amps Fuse unit</t>
  </si>
  <si>
    <t xml:space="preserve">External Installation </t>
  </si>
  <si>
    <t>Supplying and fixing 1 No 30 Amps 500 volts grade/well porcelin fuse unit on suitable teak wood plank to be fixed on the top of the pole / EB street poles with necessary clamps and including cost of materials etc., all complete.</t>
  </si>
  <si>
    <t>63 Amps 500 V fuse units</t>
  </si>
  <si>
    <t>16 Amps 500 V fuse units</t>
  </si>
  <si>
    <t>100 Amps 500 V fuse units</t>
  </si>
  <si>
    <t>200 Amps 500 V fuse units</t>
  </si>
  <si>
    <t>32 Amps 500 V fuse units</t>
  </si>
  <si>
    <t>TW plank 150 x 100 x 20 mm</t>
  </si>
  <si>
    <t>Sundries such as MS clamps screws etc.,</t>
  </si>
  <si>
    <t xml:space="preserve">TW plank 150 x 100 x 20  </t>
  </si>
  <si>
    <t>63 AMPS</t>
  </si>
  <si>
    <t>DATA   - 35</t>
  </si>
  <si>
    <t>EB service connection Board for single phase</t>
  </si>
  <si>
    <t>Supplying and fixing 1 No of 375 x 300 x 20 m   thick TW plank well varnished with 1 No 15 amps 250 volts fuse unit and 1 No of copper earth plate of suitable size bolts and nuta on walls for EB service connections including cost of all materials, etc., all complete.</t>
  </si>
  <si>
    <t>16 Amps 250 Volts fuse unit (P-81  6-a</t>
  </si>
  <si>
    <t xml:space="preserve">TW plank 375 x 300 x 20 mm </t>
  </si>
  <si>
    <t>TW plank 375 x 300 x 20 mm</t>
  </si>
  <si>
    <t xml:space="preserve">DATA   </t>
  </si>
  <si>
    <t>Supplying and fixing of Single phase ELCB</t>
  </si>
  <si>
    <t>Single phase ELCB (ISI 25 Amps 30 MA)</t>
  </si>
  <si>
    <t>Labour charges ( as per data No:28)</t>
  </si>
  <si>
    <t>Rate for Single  phase ELCB</t>
  </si>
  <si>
    <t>Labour charges ( as per data No:30)</t>
  </si>
  <si>
    <r>
      <t xml:space="preserve">Supplying and fixing </t>
    </r>
    <r>
      <rPr>
        <b/>
        <sz val="12"/>
        <rFont val="Helv"/>
      </rPr>
      <t xml:space="preserve">1 No of 450 x 375 x 20 m   thick TW plank </t>
    </r>
    <r>
      <rPr>
        <sz val="11"/>
        <color theme="1"/>
        <rFont val="Calibri"/>
        <family val="2"/>
        <scheme val="minor"/>
      </rPr>
      <t>well varnished with 3 No 30 amps 500 volts fuse unit and 1 No of copper earth plate of suitable size bolts and nuta on walls for EB service connections including cost of all materials, etc., all complete.</t>
    </r>
  </si>
  <si>
    <t>Total for 3 Nos</t>
  </si>
  <si>
    <t>DATA   - 37</t>
  </si>
  <si>
    <t>2 x 2.5 Sqmm Copper PVC insulated unsheathed single core 1 KV grade cable for EB service single phase.</t>
  </si>
  <si>
    <t>4 Sqmm copper PVC insulated unsheathed single core cableP-79 2 d</t>
  </si>
  <si>
    <t>2.5 Sqmm copper PVC insulated unsheathed single core cable</t>
  </si>
  <si>
    <t>PVC reel insulater</t>
  </si>
  <si>
    <t>GI wire for fixing reel insulater</t>
  </si>
  <si>
    <t>Sundries for masonry works clamps bolts and nuts etc.,</t>
  </si>
  <si>
    <t>Electrician Maistry</t>
  </si>
  <si>
    <t>DATA   - 38</t>
  </si>
  <si>
    <t>SUPPLY OF GI PIPES FOR EB SERVICE               ( SINGLE PHASE )</t>
  </si>
  <si>
    <t>Supply of 25 mm dia GI pipe "B"class ( for the above Data ) for passing through from top of Houses to the MES Board to meet the EB requirement.</t>
  </si>
  <si>
    <t>GI pipe of 25 mm dia  (P-46 118 V)</t>
  </si>
  <si>
    <t>Rate Each Rmt</t>
  </si>
  <si>
    <t>DATA   - 39</t>
  </si>
  <si>
    <t>Supply of MS angle for EB service ( single phase )</t>
  </si>
  <si>
    <t>Supply of MS angles 40 x 40 x 6 mm for above data to support the above GI pipe and fixing the GI stay wire service connection wires for above data</t>
  </si>
  <si>
    <t>40 x 40 x 6 mm MS angle (P-87  part -G)</t>
  </si>
  <si>
    <t>DATA   - 40</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</si>
  <si>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</si>
  <si>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4 Sqmm copper PVC insulated unsheathed single core cable</t>
  </si>
  <si>
    <t>Labour charges 1.5 times dataNo 42</t>
  </si>
  <si>
    <t>DATA   - 41</t>
  </si>
  <si>
    <t>SUPPLY OF GI PIPES FOR EB SERVICE               ( THREE PHASE )</t>
  </si>
  <si>
    <t>Supply of 40 mm dia GI pipe "B"class ( for the above Data ) for passing through from top of Houses to the MES Board to meet the EB requirement.</t>
  </si>
  <si>
    <t>DATA   - 42</t>
  </si>
  <si>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1"/>
        <color theme="1"/>
        <rFont val="Calibri"/>
        <family val="2"/>
        <scheme val="minor"/>
      </rPr>
      <t>/4 core</t>
    </r>
  </si>
  <si>
    <t>Earth work excavation and refilling(63.60+63.6+(22.20/3)</t>
  </si>
  <si>
    <t>Bricks p15/ 5a</t>
  </si>
  <si>
    <t>Total for 1 day</t>
  </si>
  <si>
    <t>For 2 day</t>
  </si>
  <si>
    <t>DATA   - 46</t>
  </si>
  <si>
    <t xml:space="preserve">Specification for MV/SV lamp street light fittings </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</si>
  <si>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</si>
  <si>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Specification for Flurescent Tubular lamp street light fittings</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</si>
  <si>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</si>
  <si>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</si>
  <si>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</si>
  <si>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</si>
  <si>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</si>
  <si>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</si>
  <si>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Fittings P-74 /6 b, c/92 c and a</t>
  </si>
  <si>
    <t>MV/SV lamps P-74/6 b</t>
  </si>
  <si>
    <t>Total Rs</t>
  </si>
  <si>
    <t>DATA   - 48</t>
  </si>
  <si>
    <t>Charges for fixing flurescent tubular lamp street light fittings ( all types) in the existing street poles with a required GI pipes 'B' class and accessories ( street light fittings alone will be supplied departmentally at free of cost ).</t>
  </si>
  <si>
    <t>Supply and  Fixing of 36 W  CFL street light fitting</t>
  </si>
  <si>
    <t xml:space="preserve">Charges for fixing 36 W CFL lamp street light fittings ( all types) in the existing street pole/wall with  required GI pipe 'B' class and accessories </t>
  </si>
  <si>
    <t>Back lamp with bolts &amp; nuts</t>
  </si>
  <si>
    <t>25 mm dia GI 'B' class pipe</t>
  </si>
  <si>
    <t>16 Amps 500 v fuse unit</t>
  </si>
  <si>
    <t>TW plank for fixing the fuse unit 150 x 100 x 20 mm</t>
  </si>
  <si>
    <t>2.5 Sqmm PVC insulated unsheathed copper cable</t>
  </si>
  <si>
    <t>Labour charges for fixing the street light fitting with the required accessories in the E.B pole including connection etc., complete.</t>
  </si>
  <si>
    <t>Sundries for painting the GI pipes, MS clamps, screws, etc., complete in all respects.</t>
  </si>
  <si>
    <t>Labour charges for 3 Nos</t>
  </si>
  <si>
    <t>TW plank if 150 x 100 x 20 mm</t>
  </si>
  <si>
    <t>Street light Fittings (single)</t>
  </si>
  <si>
    <t>36 W CFL Street light Fittings (single)</t>
  </si>
  <si>
    <t>CFL Tube light fittings with Lamp</t>
  </si>
  <si>
    <t>DATA   - 47</t>
  </si>
  <si>
    <t>Pair</t>
  </si>
  <si>
    <t>Back clamps with bolts and nuts</t>
  </si>
  <si>
    <t>15 Amps 500 V fuse unit</t>
  </si>
  <si>
    <t xml:space="preserve">TW plank for fixing the fuse unit of 150 x 100 x 20 mm </t>
  </si>
  <si>
    <t>Street light service connection</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</si>
  <si>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</si>
  <si>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For TNEB Meter</t>
  </si>
  <si>
    <t>MS box 300 x 200 x 100mm with door and lock and key arrangements with necessary MS clamps to bolts &amp; nuts with washers. P70</t>
  </si>
  <si>
    <t xml:space="preserve">TW plank 600 x 225 x 20 mm </t>
  </si>
  <si>
    <t>30 Amps 500 v fuse units</t>
  </si>
  <si>
    <t>Earth plate with brass bolts &amp; nuts with washers</t>
  </si>
  <si>
    <t>20 mm dia 'B' class GI pipe</t>
  </si>
  <si>
    <t>For control Gear</t>
  </si>
  <si>
    <t>M.S box 600 x 225 mm with door and lock and key arrangement and MS clamp with bolts &amp; nuts with washers.</t>
  </si>
  <si>
    <t>40 A single pole MCB isolator</t>
  </si>
  <si>
    <t>MS enclousure for MCB</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</si>
  <si>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</si>
  <si>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</si>
  <si>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</si>
  <si>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</si>
  <si>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</si>
  <si>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</si>
  <si>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</si>
  <si>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Hylem sheet</t>
  </si>
  <si>
    <t xml:space="preserve"> Labour charges for fixing including necessary materials</t>
  </si>
  <si>
    <t>DATA   - 51</t>
  </si>
  <si>
    <r>
      <t xml:space="preserve">Supplying and concealing </t>
    </r>
    <r>
      <rPr>
        <b/>
        <sz val="12"/>
        <rFont val="Helv"/>
      </rPr>
      <t>TV/Telephone socket</t>
    </r>
    <r>
      <rPr>
        <sz val="11"/>
        <color theme="1"/>
        <rFont val="Calibri"/>
        <family val="2"/>
        <scheme val="minor"/>
      </rPr>
      <t xml:space="preserve"> with top pin with suitable TW box fully concealed and covered with 3 mm thick Hylem sheet etc., all complete.</t>
    </r>
  </si>
  <si>
    <t>Sqmm</t>
  </si>
  <si>
    <t>TV/Telephone socket</t>
  </si>
  <si>
    <t>Labour charges including fixing etc., all complete.</t>
  </si>
  <si>
    <t>Rate for each</t>
  </si>
  <si>
    <t>DATA   - 52</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</si>
  <si>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</si>
  <si>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Base plate 45 cm x45 cm x 6mm thick</t>
  </si>
  <si>
    <t>MS box 8" x 6" with cover p-87 Fc</t>
  </si>
  <si>
    <t>conrete 1:2:4 using 20 mm HBSJ ( 0.45 x 1.5 mt)</t>
  </si>
  <si>
    <t xml:space="preserve">Transportation charges welding GI reducer all incidential charges, painting etc., all complete.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</si>
  <si>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</si>
  <si>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</si>
  <si>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</si>
  <si>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</si>
  <si>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Exhaust fan of 300 mm dia ( Part- B 2 b p-74</t>
  </si>
  <si>
    <r>
      <t xml:space="preserve">Clamp fixing by cheche screws bolts and nuts including connections ( </t>
    </r>
    <r>
      <rPr>
        <b/>
        <sz val="12"/>
        <rFont val="Helv"/>
      </rPr>
      <t>as per SD-114, Elec Data 2017-18)</t>
    </r>
  </si>
  <si>
    <t>Add 1 % sundries</t>
  </si>
  <si>
    <t>Labour charges for fixing</t>
  </si>
  <si>
    <t xml:space="preserve">Rate for each </t>
  </si>
  <si>
    <t>For 4 Nos</t>
  </si>
  <si>
    <t>DATA   - 57</t>
  </si>
  <si>
    <t>Exhaust fan of 225 mm  dia ( 9 ") sweep</t>
  </si>
  <si>
    <t>Exhaust fan of 225 mm dia ( Part- B 2 a p-74</t>
  </si>
  <si>
    <t>Clamp fixing by cheche screws bolts and nuts including connections</t>
  </si>
  <si>
    <t>Supply of ceiling fan 1200mm</t>
  </si>
  <si>
    <t>Cost of electronic regulator</t>
  </si>
  <si>
    <t>Tube light -  Box type(36W)</t>
  </si>
  <si>
    <t>Tube light -  Box type(40W)</t>
  </si>
  <si>
    <t>4' tube light fitting with \electronic ballast</t>
  </si>
  <si>
    <t>slim tube light 36 w</t>
  </si>
  <si>
    <t>slim tube light 40 w</t>
  </si>
  <si>
    <t>Labour charges (as per Data 22 )</t>
  </si>
  <si>
    <t>Tube light -  Patty type(36W)</t>
  </si>
  <si>
    <t>Tube light -  Patty type</t>
  </si>
  <si>
    <t>OPEN WIRING IN PVC PIPE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</si>
  <si>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</si>
  <si>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</si>
  <si>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</si>
  <si>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</si>
  <si>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Brass screws (40mm x No.6) P-74 - Item No.1c</t>
  </si>
  <si>
    <t>19 mm MS clamp (Conduit saddles) P-75 It-3(b)</t>
  </si>
  <si>
    <t>TW switch  box  100 x 100 x 75 mm</t>
  </si>
  <si>
    <t>TW junction  box  150 x 100 x 75 mm</t>
  </si>
  <si>
    <t>3 mm thick laminated Hylem sheet (10X0.1X0.1)</t>
  </si>
  <si>
    <t>Litre</t>
  </si>
  <si>
    <t>Paint SEP</t>
  </si>
  <si>
    <t>Sundries 1% on materials</t>
  </si>
  <si>
    <t>Light point with bakelite batern type holder for flats/ houses(Open wiring)</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</si>
  <si>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</si>
  <si>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POINT WIRING FOR CALLING BELL / BUZZER WITH PUSH SWITCH FOR ALL TYPE OF BUILDING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</si>
  <si>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</si>
  <si>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Add the cost of 10 nos 5A type push switch @ Rs 17.25/ Each</t>
  </si>
  <si>
    <t>Deduct cost of TW Box 10X10 @ 16.70/each</t>
  </si>
  <si>
    <t>Deduct cost of Hylem sheet</t>
  </si>
  <si>
    <t>Add cost of TW box 12" x 8" x3" for switch and regulator 10 nos  @ Rs 84.20 / Each</t>
  </si>
  <si>
    <t>Hylem sheet 0.60 Sq m@ 685/Sq m</t>
  </si>
  <si>
    <t>Add Sundries 1%</t>
  </si>
  <si>
    <t>STAIRCASE LIGHT POINT FOR ADMINISTRATIVE BLOCKS AND COMMUNITY CENTRE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</si>
  <si>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</si>
  <si>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</si>
  <si>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</si>
  <si>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5 AMPS 5 PIN PLUG SOCKET POINT AT CONVENIENT PLACES (OPEN WIRING)</t>
  </si>
  <si>
    <t>MS box  150x 100 x 75 mm</t>
  </si>
  <si>
    <t>5 A 5 pin non - inter locking switch and plug ( flush type )</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</si>
  <si>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</si>
  <si>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gross</t>
  </si>
  <si>
    <t>MS saddles 19mm</t>
  </si>
  <si>
    <t>TW plugs 38x25x19mm</t>
  </si>
  <si>
    <t>1000Nos</t>
  </si>
  <si>
    <t>Brass screws 38mm</t>
  </si>
  <si>
    <t>2/3</t>
  </si>
  <si>
    <t>2 X 2.5 Sq mm in fully concealed PVC conduit (open wiring)</t>
  </si>
  <si>
    <t xml:space="preserve">Total as per Data No. </t>
  </si>
  <si>
    <t>Add 180 mt 2.5 Sqmm copper PVC insulated unsheathed S.C. cable</t>
  </si>
  <si>
    <t>With Brass fittings</t>
  </si>
  <si>
    <t>T.W SCANTLING above 2m</t>
  </si>
  <si>
    <t>T.W SCANTLING below 2m</t>
  </si>
  <si>
    <t>T.W PLANKS (30.45 CM) (12 TO 25CM THICK)</t>
  </si>
  <si>
    <t>LABOUR CHARGES FOR WROUGHT AND PUT UP</t>
  </si>
  <si>
    <t>DOOR HANDLE Mejastic</t>
  </si>
  <si>
    <t>6" Brass HINGES</t>
  </si>
  <si>
    <t>8" BRASS TOWER BOLTS</t>
  </si>
  <si>
    <t>Mortice lock with handle</t>
  </si>
  <si>
    <t>RUBBER BUSH</t>
  </si>
  <si>
    <t>Brass screw</t>
  </si>
  <si>
    <t>RATE FOR 2.835 SQM</t>
  </si>
  <si>
    <t>Aluminium window openable 1.20x1.35m =1.62m2</t>
  </si>
  <si>
    <t>Aluminium section</t>
  </si>
  <si>
    <t>Rubber beeding</t>
  </si>
  <si>
    <t>Glass 4mm pin headed</t>
  </si>
  <si>
    <t>Handle</t>
  </si>
  <si>
    <t>10" I Max hinges (304 grade) qtn</t>
  </si>
  <si>
    <t>Holdfast</t>
  </si>
  <si>
    <t>Labbour charges</t>
  </si>
  <si>
    <t xml:space="preserve">TOTAL </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</si>
  <si>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</si>
  <si>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</si>
  <si>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</si>
  <si>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</si>
  <si>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</si>
  <si>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</si>
  <si>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</si>
  <si>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</si>
  <si>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</si>
  <si>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</si>
  <si>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</si>
  <si>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</si>
  <si>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Rubber beeding it-64 p-39</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</si>
  <si>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</si>
  <si>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</si>
  <si>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</si>
  <si>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</si>
  <si>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</si>
  <si>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</si>
  <si>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</si>
  <si>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TOTAL RS.</t>
  </si>
  <si>
    <t>Aluminium window openable 1.50x1.35m =2.03m2</t>
  </si>
  <si>
    <t>glass 4mm pin headed</t>
  </si>
  <si>
    <t>rubber beeding</t>
  </si>
  <si>
    <t>Aluminium handle with screws</t>
  </si>
  <si>
    <t xml:space="preserve">Aluminium holdfast 6"/4mm thick </t>
  </si>
  <si>
    <t>labbour charges</t>
  </si>
  <si>
    <t>sundries</t>
  </si>
  <si>
    <t>RATE FOR 2.025 SQM</t>
  </si>
  <si>
    <t xml:space="preserve"> Aluminium window openable 0.75x1.35m 2=1.013 m2</t>
  </si>
  <si>
    <t>RATE FOR 1.013 SQM</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</si>
  <si>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</si>
  <si>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</si>
  <si>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</si>
  <si>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</si>
  <si>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</si>
  <si>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</si>
  <si>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TOP &amp; BOTTOM (2 X2 )   3.X 0.15X 0.15</t>
  </si>
  <si>
    <t xml:space="preserve">VERTICALS (4 X 2 ) 0.15 X 0.15 X2.4     </t>
  </si>
  <si>
    <t xml:space="preserve">Styles 2 to 3 mt long </t>
  </si>
  <si>
    <t xml:space="preserve">For shutters middle </t>
  </si>
  <si>
    <t>HORIZONTAL RAILS = (3x 1) 1.8 x0.15x 0.05 = 0.0405</t>
  </si>
  <si>
    <t>Styles - verticals = ( 6x 1) 0.1x 0.05x 2.15=0.0645</t>
  </si>
  <si>
    <t>For side rails french window =(2x 3) 0.35x 0.15x 0.05=0.0158</t>
  </si>
  <si>
    <r>
      <t xml:space="preserve"> </t>
    </r>
    <r>
      <rPr>
        <b/>
        <u/>
        <sz val="12"/>
        <rFont val="Arial"/>
        <family val="2"/>
      </rPr>
      <t xml:space="preserve">TW PLANKS 30 TO 45 cm WIDE 12 TO 25MM Thk </t>
    </r>
    <r>
      <rPr>
        <sz val="12"/>
        <rFont val="Arial"/>
        <family val="2"/>
      </rPr>
      <t xml:space="preserve">   MIDDLE SHUTTERS = ( 8 x10 0.815 x 0.35x 0.01875 m3</t>
    </r>
  </si>
  <si>
    <t>LABOUR CHARGES FOR DOOR SHUUTERS=1.85 x2.15=3.98  m2</t>
  </si>
  <si>
    <t>ORNAMENTAL GROOVES v =(6X2+3X1.8)=17.4 m</t>
  </si>
  <si>
    <t xml:space="preserve"> Supply of 5.5 MM THICK PLAIN GLASS</t>
  </si>
  <si>
    <t>5.5 MM THICK PLAIN GLASS for French window top = ( 2 x1 ) 0.35 x1.4 =0.98 m2 ( SR 18-19 it- 107 p-45)</t>
  </si>
  <si>
    <t>5.5 MM THICK PLAIN GLASS for French window  Bottom = ( 2 x1 ) 0.35 x0.4 =0.28 m2</t>
  </si>
  <si>
    <t>T.W. REEPER FOR GLASS WINDOW 50mm x 12 mm(2X2X2+2X4X0.35)=9.8( SR 18-19 it- 126 p-20)</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</si>
  <si>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</si>
  <si>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</si>
  <si>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</si>
  <si>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</si>
  <si>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</si>
  <si>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</si>
  <si>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</si>
  <si>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</si>
  <si>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 xml:space="preserve"> Add LS  for special item for forming etc</t>
  </si>
  <si>
    <t>Rs.</t>
  </si>
  <si>
    <t>Aluminium Door  ( 1.5 x2.1m thick)</t>
  </si>
  <si>
    <t>Aluminium section ''it-61 a( SR-13-14)</t>
  </si>
  <si>
    <t>Rubber beeding (An-VI -it-63</t>
  </si>
  <si>
    <t>Glass 5.5mm plain  it-107</t>
  </si>
  <si>
    <t>Novapan Sheet 12mm Thick</t>
  </si>
  <si>
    <t>Power Grapping</t>
  </si>
  <si>
    <t>PVC Felt ( It-65)</t>
  </si>
  <si>
    <t>DOOR STOPPER   It-82</t>
  </si>
  <si>
    <t>DOOR Closer It-67</t>
  </si>
  <si>
    <t xml:space="preserve">  SCREWS (75x 10mm)it-108 ii</t>
  </si>
  <si>
    <t>Bolts &amp; Nuts ( 3/4"x 1/4") It-78-b</t>
  </si>
  <si>
    <t>Bolts &amp; Nuts ( 6"x 1/2") it-78-e</t>
  </si>
  <si>
    <t>TOTAL FOR 3.15 SQM</t>
  </si>
  <si>
    <t>SR16-17</t>
  </si>
  <si>
    <t>Aluminium Door  ( 1.0 x2.1m thick)</t>
  </si>
  <si>
    <t>Aluminium section ''it-61 a( SR-16-17)</t>
  </si>
  <si>
    <t xml:space="preserve">  SCREWS (75x 10mm)(An-VI -it-163</t>
  </si>
  <si>
    <t>Aluminium window openable 1.20x1.05m (Two leaves)</t>
  </si>
  <si>
    <t>Aluminium section H</t>
  </si>
  <si>
    <t>Aluminium section  Z</t>
  </si>
  <si>
    <t>Aluminium section intermediate</t>
  </si>
  <si>
    <t>Clip Beeding</t>
  </si>
  <si>
    <t>Max hinges 10"/ 1</t>
  </si>
  <si>
    <t>Sets</t>
  </si>
  <si>
    <t>holdfast</t>
  </si>
  <si>
    <t>Rate per each</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</si>
  <si>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</si>
  <si>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</si>
  <si>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</si>
  <si>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</si>
  <si>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</si>
  <si>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</si>
  <si>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</si>
  <si>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</si>
  <si>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</si>
  <si>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</si>
  <si>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</si>
  <si>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</si>
  <si>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</si>
  <si>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</si>
  <si>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</si>
  <si>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</si>
  <si>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</si>
  <si>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</si>
  <si>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</si>
  <si>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</si>
  <si>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</si>
  <si>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</si>
  <si>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</si>
  <si>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</si>
  <si>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</si>
  <si>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</si>
  <si>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</si>
  <si>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</si>
  <si>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</si>
  <si>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</si>
  <si>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</si>
  <si>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</si>
  <si>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</si>
  <si>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</si>
  <si>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</si>
  <si>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</si>
  <si>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</si>
  <si>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</si>
  <si>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</si>
  <si>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</si>
  <si>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</si>
  <si>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</si>
  <si>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</si>
  <si>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</si>
  <si>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</si>
  <si>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</si>
  <si>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</si>
  <si>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</si>
  <si>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</si>
  <si>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</si>
  <si>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</si>
  <si>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</si>
  <si>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</si>
  <si>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</si>
  <si>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</si>
  <si>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</si>
  <si>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</si>
  <si>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</si>
  <si>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</si>
  <si>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</si>
  <si>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</si>
  <si>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</si>
  <si>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</si>
  <si>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</si>
  <si>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</si>
  <si>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</si>
  <si>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</si>
  <si>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</si>
  <si>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</si>
  <si>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</si>
  <si>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</si>
  <si>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</si>
  <si>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</si>
  <si>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</si>
  <si>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</si>
  <si>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</si>
  <si>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</si>
  <si>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</si>
  <si>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</si>
  <si>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Aluminium Louvered Ventilator 0.90x0.60m</t>
  </si>
  <si>
    <t xml:space="preserve">Frame Vertical  </t>
  </si>
  <si>
    <t>1x2x0.6</t>
  </si>
  <si>
    <t xml:space="preserve">Frame Horizondal </t>
  </si>
  <si>
    <t>1x2x0.90</t>
  </si>
  <si>
    <t>3x1.558Kgs</t>
  </si>
  <si>
    <t>Glass area</t>
  </si>
  <si>
    <t>0.90x0.6</t>
  </si>
  <si>
    <t>0.9x0.6</t>
  </si>
  <si>
    <t>TOTAL FOR 0.54 SQM</t>
  </si>
  <si>
    <t xml:space="preserve"> SP PERAMBALUR</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</si>
  <si>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</si>
  <si>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</si>
  <si>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</si>
  <si>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</si>
  <si>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</si>
  <si>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</si>
  <si>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</si>
  <si>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</si>
  <si>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</si>
  <si>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</si>
  <si>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</si>
  <si>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</si>
  <si>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below 2M LONG</t>
  </si>
  <si>
    <t>LABOUR FOR WROUGHT&amp;PUTUP ( p-31 it -146</t>
  </si>
  <si>
    <t>TW  Beeding ( 15 x 12mm )</t>
  </si>
  <si>
    <t>200 mm x 12 mm Alu. Towerbolt</t>
  </si>
  <si>
    <t xml:space="preserve">6" Handle </t>
  </si>
  <si>
    <t>Brass scrwew</t>
  </si>
  <si>
    <t xml:space="preserve">Total For 2.850 Sqm </t>
  </si>
  <si>
    <t xml:space="preserve">Rate For 1 Sqm </t>
  </si>
  <si>
    <t>2.10 X 2.0M (3 bay openable )</t>
  </si>
  <si>
    <t>TW scantling styles (upto 2M) -3X2X1.90 X 0.075 x 0.0375</t>
  </si>
  <si>
    <t>TW scantling rails(above 2 M) -3X2X0.60X0.075 x 0.0375</t>
  </si>
  <si>
    <t>3X1.90X0.60</t>
  </si>
  <si>
    <t>3X1.775X0.475</t>
  </si>
  <si>
    <t>3 [ 2 (1.775 + 0.475)]</t>
  </si>
  <si>
    <t>T.W SCANTLING  upto 2M LONG</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</si>
  <si>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</si>
  <si>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</si>
  <si>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</si>
  <si>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</si>
  <si>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</si>
  <si>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</si>
  <si>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</si>
  <si>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</si>
  <si>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</si>
  <si>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</si>
  <si>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</si>
  <si>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</si>
  <si>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</si>
  <si>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</si>
  <si>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</si>
  <si>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</si>
  <si>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</si>
  <si>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</si>
  <si>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</si>
  <si>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</si>
  <si>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</si>
  <si>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</si>
  <si>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Sand</t>
  </si>
  <si>
    <t>Supply and fixing of 3 no of 63amphs 500 volts Grade/well porceling fuse on suitable teakwood and plank/to be varnished fixed on the top of pole/EB street poles with a necessary clamps including cost of all materials etc., all complete 
3 Nos. of Fuse uni</t>
  </si>
  <si>
    <t>TNHB ELECTRICAL DATA</t>
  </si>
  <si>
    <t>Wirng with 1.5 sqmm copper PVC insulated unsheathed single core 1.1 KV grade cable with continuous earth by means of 1.5 sqmm copper PVC insulated unsheathed single core 1.1 KV grade cable confirming to IS 694 / 1980 with ISI mark in fully concealed PVC r</t>
  </si>
  <si>
    <t>Wirng with 1.5 sqmm copper PVC insulated unsheathed single core 1.1 KV grade cable with continuous earth by means of 1.5 sqmm copper PVC insulated unsheathed single core 1.1 KV grade cable confirming to IS 694 / 1980 with ISI mark in  PVC rigid conduit pi</t>
  </si>
  <si>
    <t>MS joint box 150 x 100 x 75 mm</t>
  </si>
  <si>
    <t>MS box  150 x 100 x 75 mm</t>
  </si>
  <si>
    <t>Add cost of Bakelite battern type holders 10 Nos @ Rs 18.90 / Each</t>
  </si>
  <si>
    <t>Add the cost of 10 Nos Buzer/Bell @ 47.25/Each</t>
  </si>
  <si>
    <t>Add the cost of 10 nos  15 x 10 x 7.5 cm TW box @ Rs 18.90/Each</t>
  </si>
  <si>
    <t>MS joint box (150 x 100 x 75 mm )</t>
  </si>
  <si>
    <t xml:space="preserve">MS box 150 x 100 x 75mm </t>
  </si>
  <si>
    <t>Add cost of Bakelite battern type holders 6 nos @ 18.90/Each</t>
  </si>
  <si>
    <t>Run off mains with 2 wires of 2.5 Sqmm copper PVC insulated unsheathed single core 1.1KV cable wire contuinuous earth by means of 1.5 Sqmm copper PVC insulated unsheathed single core 1.1 KV grade cable in fully concealed 19 mm / 20 mm dia rigid PVC condui</t>
  </si>
  <si>
    <t xml:space="preserve">Run off mains with 2 wires of 4 Sqmm copper PVC insulated unsheathed single core 1.1KV cable wire contuinuous earth by means of 2.5 Sqmm copper PVC insulated unsheathed single core 1.1 KV grade cable in fully concealed 19 mm / 20 mm dia rigid PVC conduit </t>
  </si>
  <si>
    <t>4 sqmm copper PVC insulated unsheathed single core cable</t>
  </si>
  <si>
    <t xml:space="preserve">Run off mains with 4 wires of 4 Sqmm copper PVC insulated unsheathed single core 1.1KV cable wire contuinuous earth by means of 2.5 Sqmm copper PVC insulated unsheathed single core 1.1 KV grade cable in fully concealed 19 mm / 20 mm dia rigid PVC conduit </t>
  </si>
  <si>
    <t>( 1.5  x  3475 ) - ( ( 522 + 724 ) / 2)</t>
  </si>
  <si>
    <t>Bulk head fittings</t>
  </si>
  <si>
    <t>4 way 16 amps, way 250 volts single phase and neutral link metalic distribution board</t>
  </si>
  <si>
    <t>Three phase distribution board with 4 way/phase and 32 A / Way with fuse and neutral link.</t>
  </si>
  <si>
    <t>TW plank of size 750 x 450 x 12 mm thick(69410+4450)</t>
  </si>
  <si>
    <t>Add for 6 way TPDB 32A/way</t>
  </si>
  <si>
    <t>Less 4 way TPDB 32 A/way</t>
  </si>
  <si>
    <t>Charges for assembling and fixing of flouresent tubular lamp fittings of different types ( supplied by the department at free of cost ) with necessary teak wood round block of 75 mm dia 40 mm deep on walls/ ceiling including cost of materials, etc., all c</t>
  </si>
  <si>
    <t>TW round block</t>
  </si>
  <si>
    <t>Charges for assembling and fixing of flouresent tubular lampfittings of different types ( to be supplied by the departmental at free of cost ) with necessary heavy gauge conduit pipe with ball and socket arrangement on teak wood round block of 75 mm dia 4</t>
  </si>
  <si>
    <t>Conduit pipe 19 mm (MS)</t>
  </si>
  <si>
    <t>8 SWG GI wire</t>
  </si>
  <si>
    <t xml:space="preserve"> 'U' nails</t>
  </si>
  <si>
    <t>GI reducer 40x20mm</t>
  </si>
  <si>
    <t xml:space="preserve">Charges for fixing single phase RCCB/ELCB ( to be supplied by the department free of cost ) on suitable well varnished teak wood plank with a necessary inter   connection and earth connections using copper cable including cost of all materials, etc., all </t>
  </si>
  <si>
    <t>Charges for fixing single phase RCCB/ELCB ( to be supplied by the department at free of cost ) on fully concealed suitable MS BOX with a necessary inter connection and earth connections using copper cable including cost of all materials, re- doing the dis</t>
  </si>
  <si>
    <t>MS BOX with cover 300 x 200 x 100 mm</t>
  </si>
  <si>
    <t>Mason I</t>
  </si>
  <si>
    <t>Charges for fixing three phase RCCB/ ELCB ( to be supplied by the department to free of cost ) on suitable well varnished teak wood plank on the wall s ( Surface ) with necessary inter connecteion and earth connections using copper cable including cost of</t>
  </si>
  <si>
    <t>Charges for fixing Three  phase RCCB/ELCB ( to be supplied by the department at free of cost ) on fully concealed suitable MS BOX with a necessary inter connection and earth connections using copper cable including cost of all materials, re- doing the dis</t>
  </si>
  <si>
    <t>25 Amps rating single phase ELCB with 10 to 25 MA sensitivity (ISI make ) (DP)</t>
  </si>
  <si>
    <r>
      <t xml:space="preserve">32 Amps rating </t>
    </r>
    <r>
      <rPr>
        <b/>
        <sz val="12"/>
        <rFont val="Helv"/>
      </rPr>
      <t xml:space="preserve">Three phase </t>
    </r>
    <r>
      <rPr>
        <sz val="11"/>
        <color theme="1"/>
        <rFont val="Calibri"/>
        <family val="2"/>
        <scheme val="minor"/>
      </rPr>
      <t>ELCB with 20 to 30 MA sensitivity</t>
    </r>
  </si>
  <si>
    <t>Supplying and fixing 1 No of 375 x 300 x 20 m   thick TW plank well varnished with 1 No 15 amps 250 volts fuse unit and 1 No of copper earth plate of suitable size bolts and nuta on walls for EB service connections including cost of all materials, etc., a</t>
  </si>
  <si>
    <t>15 Amps 260 Volts fuse unit</t>
  </si>
  <si>
    <t xml:space="preserve">3 No of 30 amps MCB </t>
  </si>
  <si>
    <t>Three phase ELCB</t>
  </si>
  <si>
    <r>
      <t xml:space="preserve">Supplying and fixing </t>
    </r>
    <r>
      <rPr>
        <b/>
        <sz val="12"/>
        <rFont val="Helv"/>
      </rPr>
      <t xml:space="preserve">1 No of 450 x 375 x 20 m   thick TW plank </t>
    </r>
    <r>
      <rPr>
        <sz val="11"/>
        <color theme="1"/>
        <rFont val="Calibri"/>
        <family val="2"/>
        <scheme val="minor"/>
      </rPr>
      <t>well varnished with 3 No 30 amps 500 volts fuse unit and 1 No of copper earth plate of suitable size bolts and nuta on walls for EB service connections including cost of all materials, etc., a</t>
    </r>
  </si>
  <si>
    <t>GI pipe of 25 mm dia</t>
  </si>
  <si>
    <t>40 x 40 x 6 mm MS angle</t>
  </si>
  <si>
    <t>Run of 4 wires of 4 Sqmm copper PVC insulated unsheathed single cosre/ 1.1 KV grade cable with one run of 7/20 GI stay wire suspended with porcelin reel insulater at 1.0 m C/C for support of phase and neautral cable from the top of street pole to the hous</t>
  </si>
  <si>
    <t>GI pipe of 40 mm dia</t>
  </si>
  <si>
    <t>Earth work excavation and refilling</t>
  </si>
  <si>
    <t>Bricks</t>
  </si>
  <si>
    <t>M.S. Clamps/ Saddles 32mm It-III d p-77</t>
  </si>
  <si>
    <t>Brass screws  ( 40 mm x 6 no)</t>
  </si>
  <si>
    <t>TW plugs</t>
  </si>
  <si>
    <t xml:space="preserve">Supply and delivery of integral HP sodium/Mercury of aluminium sheet deep drawn, treated, prewired stove enamelled painting and inside brightended and anodised for optimum reflection and die cast aluminium control gear near compartments complete with all </t>
  </si>
  <si>
    <t>Supply and delivery of Single/ twin flurescent tubular lamp street light fittings complete with heavy gauge aluminium sheet fabricated canopy, treated premered and painted with stove enamelled CRCA sheet steel control gear cum reflection tray duly finishe</t>
  </si>
  <si>
    <t>MV/SV lamps</t>
  </si>
  <si>
    <t>20 mm dia GI 'B' class pipe</t>
  </si>
  <si>
    <t>15 Amps 500 v fuse unit</t>
  </si>
  <si>
    <t>Tube light fittinhs</t>
  </si>
  <si>
    <t>Tubular lamp</t>
  </si>
  <si>
    <t>50 mm dia GI pipe 'B' class</t>
  </si>
  <si>
    <t>Supplying and fixing of 2 Nos ( two ) of MS box of size not less than 600 x 225, 16 g with door and lock and key arrangements for obtaining EB service connection for street lights with one box comprising off 1 No 30 Amps 500 V fuse units, 1 No copper eart</t>
  </si>
  <si>
    <t>MS box 600 x 225 mm with door and lock and key arrangements with necessary MS clamps to bolts &amp; nuts with washers.</t>
  </si>
  <si>
    <t>32 A DPIC switch</t>
  </si>
  <si>
    <t>40 A single pole MCb isolator</t>
  </si>
  <si>
    <t>Add cost of 25 mm dia PVC pipe heavy duty</t>
  </si>
  <si>
    <t>TW board 8" x6" 41/2"</t>
  </si>
  <si>
    <t>TW box 4" x4"</t>
  </si>
  <si>
    <t>Supply and erection of Tubular lamp, using 65 mm dia GI pipe 'B' class pipe with ISI mark of 6 mt length and 20 mm dia GI pipe 'B' class upto 2 mt with necessary reducer couplings and pipe firmly fixed with MS plate of 45 cm x 45 cm x 6 mm thick at the  b</t>
  </si>
  <si>
    <t>65 mm dia GI pipe ' B' class</t>
  </si>
  <si>
    <t>20 mm dia GI pipe ' B' class</t>
  </si>
  <si>
    <t>MS box 8" x 6" with cover</t>
  </si>
  <si>
    <t>Exhaust fan of 300 mm dia</t>
  </si>
  <si>
    <t>Exhaust fan of 225 mm dia</t>
  </si>
  <si>
    <t>1200mm AcC ceiling fan (without regulator)</t>
  </si>
  <si>
    <t>Brass screws</t>
  </si>
  <si>
    <t>19 mm MS clamp</t>
  </si>
  <si>
    <t>Paint</t>
  </si>
  <si>
    <t>Wirng with 1.5 sqmm copper PVC insulated unsheathed single core 1.1 KV grade cable with continuous earth by means of 1.5 sqmm copper PVC insulated unsheathed single core 1.1 KV grade cable confirming to IS 694 / 1980 with ISI mark in PVC rigid conduit pip</t>
  </si>
  <si>
    <t>Add the cost of 10 Nos Buzer/Bell @ 45.00/Each</t>
  </si>
  <si>
    <t>Add the cost of 10 nos  15 x 10 x 7.5 cm TW box @ Rs 18.00/Each</t>
  </si>
  <si>
    <t>Deduct cost of TW Box 10X10 @ 15.00/each</t>
  </si>
  <si>
    <t>Add cost of TW box 12" x 8" x3" for switch and regulator 10 nos  @ Rs 78.70 / Each</t>
  </si>
  <si>
    <t>Hylem sheet 0.60 Sq m@ 640/Sq m</t>
  </si>
  <si>
    <t xml:space="preserve">POINT WIRING FOR CALLING BELL / BUZZER </t>
  </si>
  <si>
    <t>Supplying and fixing of 32 amps triple pole main switch with fuse and neutral link on a suitable well varnished teak wood board including necessary interconnection and earth connection cost of all materials, etc., all complete.</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</si>
  <si>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</si>
  <si>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</si>
  <si>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Supplying and fixing 1 No of 450 x 375 x 20 m   thick TW plank well varnished with 3 No 30 amps 500 volts fuse unit and 1 No of copper earth plate of suitable size bolts and nuta on walls for EB service connections including cost of all materials, etc., all complete.</t>
  </si>
  <si>
    <t>Supplying and concealing TV/Telephone socket with top pin with suitable TW box fully concealed and covered with 3 mm thick Hylem sheet etc., all complete.</t>
  </si>
  <si>
    <t>Supply &amp; Fixing of Exhaust fan of 300 mm  dia ( 12 ") sweep</t>
  </si>
  <si>
    <t>Supply &amp; Fixing of Exhaust fan of 225 mm  dia ( 9 ") sweep</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</si>
  <si>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complete,(Open wiring)</t>
  </si>
  <si>
    <t xml:space="preserve">Name of Work : </t>
  </si>
  <si>
    <t>25mm DIA  PVC PIPE BELOW G.L</t>
  </si>
  <si>
    <t>25mm</t>
  </si>
  <si>
    <t>32mm DIA  PVC PIPE BELOW G.L</t>
  </si>
  <si>
    <t>40mm DIA  PVC PIPE BELOW G.L</t>
  </si>
  <si>
    <t>40mm</t>
  </si>
  <si>
    <t>32mm  DIA G.I PIPE BELOW G.L</t>
  </si>
  <si>
    <t>32mm  DIA G.I PIPE ABOVE G.L</t>
  </si>
  <si>
    <t>50mm DIA  PVC PIPE BELOW G.L</t>
  </si>
  <si>
    <t>50mm</t>
  </si>
  <si>
    <t>E</t>
  </si>
  <si>
    <t>40mm  DIA G.I PIPE BELOW G.L</t>
  </si>
  <si>
    <t>40mm  DIA G.I PIPE ABOVE G.L</t>
  </si>
  <si>
    <t>F</t>
  </si>
  <si>
    <t>50mm  DIA G.I PIPE BELOW G.L</t>
  </si>
  <si>
    <t>50mm  DIA G.I PIPE ABOVE G.L</t>
  </si>
  <si>
    <t xml:space="preserve">Material requirement </t>
  </si>
  <si>
    <r>
      <t>0.01 m</t>
    </r>
    <r>
      <rPr>
        <vertAlign val="superscript"/>
        <sz val="12"/>
        <rFont val="Arial"/>
        <family val="2"/>
      </rPr>
      <t>3</t>
    </r>
  </si>
  <si>
    <t>4.03 Kg</t>
  </si>
  <si>
    <t>5.04Kg</t>
  </si>
  <si>
    <t>Mason - I</t>
  </si>
  <si>
    <t>0.11 Nos</t>
  </si>
  <si>
    <t>0.05 Nos</t>
  </si>
  <si>
    <t>Mazdoor-II</t>
  </si>
  <si>
    <t>PVC Pipe Below Ground Level</t>
  </si>
  <si>
    <t xml:space="preserve">Rmt </t>
  </si>
  <si>
    <t>15 mm PVC Pipe 10 KG/CM2</t>
  </si>
  <si>
    <t>PWD SR 19-20 P 99</t>
  </si>
  <si>
    <t>Earth work</t>
  </si>
  <si>
    <t>TWAD SR 2019-20</t>
  </si>
  <si>
    <t>Refilling</t>
  </si>
  <si>
    <t>Lowering</t>
  </si>
  <si>
    <t>20 mm PVC Pipe 10 KG/CM2</t>
  </si>
  <si>
    <t>25 mm PVC Pipe 10 KG/CM2</t>
  </si>
  <si>
    <t>32 mm PVC Pipe 10 KG/CM2</t>
  </si>
  <si>
    <t>40 mm PVC Pipe 10 KG/CM2</t>
  </si>
  <si>
    <t>50 mm PVC Pipe 10 KG/CM2</t>
  </si>
  <si>
    <t>63 mm PVC Pipe 6 KG/CM2</t>
  </si>
  <si>
    <t>75 mm PVC Pipe 6 KG/CM2</t>
  </si>
  <si>
    <t>90 mm PVC Pipe 6 KG/CM2</t>
  </si>
  <si>
    <t>110 mm PVC Pipe 6 KG/CM2</t>
  </si>
  <si>
    <t>160 mm PVC Pipe 6 KG/CM2</t>
  </si>
  <si>
    <t>PVC Pipe Above Ground Level</t>
  </si>
  <si>
    <t>90 mm PVC Pipe 10 KG/CM2</t>
  </si>
  <si>
    <t>110 mm PVC Pipe 10 KG/CM2</t>
  </si>
  <si>
    <t>160 mm PVC Pipe 10 KG/CM2</t>
  </si>
  <si>
    <t>UPVC (Schedule-40) Below Ground Level</t>
  </si>
  <si>
    <t>15 mm UPVC (Schedule-40)</t>
  </si>
  <si>
    <t>20 mm UPVC (Schedule-40)</t>
  </si>
  <si>
    <t>25 mm UPVC (Schedule-40)</t>
  </si>
  <si>
    <t>32 mm UPVC (Schedule-40)</t>
  </si>
  <si>
    <t>40 mm UPVC (Schedule-40)</t>
  </si>
  <si>
    <t>50 mm UPVC (Schedule-40)</t>
  </si>
  <si>
    <t>65 mm UPVC Pipe 6 KG/CM2</t>
  </si>
  <si>
    <t>80 mm UPVC Pipe 6 KG/CM2</t>
  </si>
  <si>
    <t>100 mm UPVC (Schedule-40)</t>
  </si>
  <si>
    <t>160 mm UPVC (Schedule-40)</t>
  </si>
  <si>
    <t>UPVC (Schedule-40) Above Ground Level</t>
  </si>
  <si>
    <t>Providing Cup-board Shutter using termite / water proof plywood of 19mm thick over which laminated sheet of 6mm tk Plywood over wall and the outer surface lipped by 4mm tk veneer plywood of best and approved quality ,The inner face of rack and Cupboard are lipped and finished by white colour sunmica sheet of best and approved quality. Cupboard shall be provided ,double leaves openable shutter Cupboard shall be provided ,double leaves openable shutter with frame work of 19 mm tk. Plywood  All the above work are including cost of all materials Such as Plywood Venner sheet fevicol, 3 " Brass Hinges,Magnetic door catcher, Drawer lock and keys and 1" x 1/2" Tw Oranamental beeding, Box Hinges, 2 1/2 " Brass Ornamental handle for side openable Shutter. Top, 2" Nail ,1/2 " nail,3/4 x 17 Gauge Nail,50 x 10 steel screw and labour charges for all works Power consumption hire charges for all tools and machineries etc all complete and as directed by the departement officer. (the quality and brand should be got approved from the executive engineer before use)</t>
  </si>
  <si>
    <t>Materials requirements as follows</t>
  </si>
  <si>
    <t>a)</t>
  </si>
  <si>
    <t>18mm tk water proof plywood: - Exterior Finising ( Exterior )</t>
  </si>
  <si>
    <t>vertical (V1 TO V2 )</t>
  </si>
  <si>
    <t>C/B bottom &amp;  Middle</t>
  </si>
  <si>
    <t>C/B Top &amp;  Middle</t>
  </si>
  <si>
    <t>Openable Shutters</t>
  </si>
  <si>
    <t xml:space="preserve">C/b Shutters </t>
  </si>
  <si>
    <t>b)</t>
  </si>
  <si>
    <t>6mm tk Plywood  ( Attached to Wall )</t>
  </si>
  <si>
    <t>C/B Wall side</t>
  </si>
  <si>
    <t>c)</t>
  </si>
  <si>
    <t xml:space="preserve">Sunmica sheet for C/B inner surface </t>
  </si>
  <si>
    <t>C/B openable Shutter</t>
  </si>
  <si>
    <t>C/B wall and Vertical Sides inner at end</t>
  </si>
  <si>
    <t>intermidiate Horizontal  (Top and bottom )</t>
  </si>
  <si>
    <t>wall side</t>
  </si>
  <si>
    <t>d)</t>
  </si>
  <si>
    <t>4mm tk veneer for Exterior Surface</t>
  </si>
  <si>
    <t>C/B wall and Vertical Sides Outer at end</t>
  </si>
  <si>
    <t>Front side</t>
  </si>
  <si>
    <t>e)</t>
  </si>
  <si>
    <t>3 Brass Hinges</t>
  </si>
  <si>
    <t xml:space="preserve">C/B wall </t>
  </si>
  <si>
    <t>C/B wall and Vertical Sides inner</t>
  </si>
  <si>
    <t>f)</t>
  </si>
  <si>
    <t>Box Hinges</t>
  </si>
  <si>
    <t>g)</t>
  </si>
  <si>
    <t xml:space="preserve">2 1/2 " Brass Ornamental handle </t>
  </si>
  <si>
    <t>h)</t>
  </si>
  <si>
    <t>Magnetic door catcher</t>
  </si>
  <si>
    <t>i)</t>
  </si>
  <si>
    <t>Drawer lock and keys</t>
  </si>
  <si>
    <t>j)</t>
  </si>
  <si>
    <t>white favicol for sunmic sheet and 4mm tk veneer sheet</t>
  </si>
  <si>
    <t>As per  Sunmica sheet  qty</t>
  </si>
  <si>
    <t>As per  4mm tk veneer  qty</t>
  </si>
  <si>
    <t>1 Sqm = 0.75 Kg</t>
  </si>
  <si>
    <t>k)</t>
  </si>
  <si>
    <t xml:space="preserve">2" Nail </t>
  </si>
  <si>
    <t>l)</t>
  </si>
  <si>
    <t>1/2 " nail</t>
  </si>
  <si>
    <t>m)</t>
  </si>
  <si>
    <t xml:space="preserve">3/4 x 17 Gauge Nail </t>
  </si>
  <si>
    <t>n)</t>
  </si>
  <si>
    <t>50 x 10 steel screw</t>
  </si>
  <si>
    <t>o)</t>
  </si>
  <si>
    <t xml:space="preserve">1" x 1/2 " Tw Oranamental beeding </t>
  </si>
  <si>
    <t>Plywood area =1.50 * 2.10 = 3.15</t>
  </si>
  <si>
    <t>s)</t>
  </si>
  <si>
    <t>Carpentary labour charges</t>
  </si>
  <si>
    <t xml:space="preserve">Nos </t>
  </si>
  <si>
    <t>D/F Joineries</t>
  </si>
  <si>
    <t>a) 50 mm dia G.I pipe ( B class )</t>
  </si>
  <si>
    <t>Lift wall Concrete</t>
  </si>
  <si>
    <t>Main Building</t>
  </si>
  <si>
    <t xml:space="preserve">Painting the new walls with two coats of approved best ready mixed plastic emulsion paint </t>
  </si>
  <si>
    <t>As per  Ceiling Qty</t>
  </si>
  <si>
    <t>Piller</t>
  </si>
  <si>
    <t>FIRST FLOOR</t>
  </si>
  <si>
    <t>SECOND FLOOR</t>
  </si>
  <si>
    <t>THIRD FLOOR</t>
  </si>
  <si>
    <t xml:space="preserve">Stilt Floor </t>
  </si>
  <si>
    <t>MD-1</t>
  </si>
  <si>
    <t>OD</t>
  </si>
  <si>
    <t>OD-1</t>
  </si>
  <si>
    <t>GD</t>
  </si>
  <si>
    <t>FW-1</t>
  </si>
  <si>
    <t>FW-2</t>
  </si>
  <si>
    <t>FW-3</t>
  </si>
  <si>
    <t>FW-4</t>
  </si>
  <si>
    <t>W1A</t>
  </si>
  <si>
    <t>SFW</t>
  </si>
  <si>
    <t>DT</t>
  </si>
  <si>
    <t>SLW</t>
  </si>
  <si>
    <t>SLD</t>
  </si>
  <si>
    <t>RVT</t>
  </si>
  <si>
    <t>ENTRANCE LOBBY</t>
  </si>
  <si>
    <t>1800X2400</t>
  </si>
  <si>
    <t>1800X2100</t>
  </si>
  <si>
    <t>1000X2100</t>
  </si>
  <si>
    <t>750X2100</t>
  </si>
  <si>
    <t>900X2100</t>
  </si>
  <si>
    <t>D1 (LOCKU DOOR)</t>
  </si>
  <si>
    <t>750X1350</t>
  </si>
  <si>
    <t>1200X2100</t>
  </si>
  <si>
    <t>1800X1800</t>
  </si>
  <si>
    <t>813X1800</t>
  </si>
  <si>
    <t>1500X1800</t>
  </si>
  <si>
    <t>2000X1800</t>
  </si>
  <si>
    <t>1200X1800</t>
  </si>
  <si>
    <t>1500X1350</t>
  </si>
  <si>
    <t>1800X1350</t>
  </si>
  <si>
    <t>1200X1350</t>
  </si>
  <si>
    <t>1000X1350</t>
  </si>
  <si>
    <t>2100X1350</t>
  </si>
  <si>
    <t>1350X600</t>
  </si>
  <si>
    <t>900X600</t>
  </si>
  <si>
    <t>1000X600</t>
  </si>
  <si>
    <t>600X600</t>
  </si>
  <si>
    <t>900X750</t>
  </si>
  <si>
    <t>TOILET</t>
  </si>
  <si>
    <t>STAIR</t>
  </si>
  <si>
    <t>HALL</t>
  </si>
  <si>
    <t>STAIR/LOBBY</t>
  </si>
  <si>
    <t>WRITER</t>
  </si>
  <si>
    <t>SI ROOM</t>
  </si>
  <si>
    <t>SI TOILET</t>
  </si>
  <si>
    <t>INS ROOM</t>
  </si>
  <si>
    <t>INS TOILET</t>
  </si>
  <si>
    <t>OPEN TERRACE</t>
  </si>
  <si>
    <t>LIFT</t>
  </si>
  <si>
    <t>LOCK UP MEN &amp; WOMEN</t>
  </si>
  <si>
    <t>CD FILE/STORE</t>
  </si>
  <si>
    <t>COMPUTER  CCTNS</t>
  </si>
  <si>
    <t>STATION  WRITER / VHF</t>
  </si>
  <si>
    <t>ARMS &amp; AMMUNITION</t>
  </si>
  <si>
    <t>PROPERTY / RECORD</t>
  </si>
  <si>
    <t>WOMEN  REST ROOM</t>
  </si>
  <si>
    <t>WOMEN  REST ROOM TOILET</t>
  </si>
  <si>
    <t>INS CRIME</t>
  </si>
  <si>
    <t>INS CRIME TOILET</t>
  </si>
  <si>
    <t>COMPUTER ROOM</t>
  </si>
  <si>
    <t>RECORD ROOM</t>
  </si>
  <si>
    <t>INTERROGATION</t>
  </si>
  <si>
    <t>INTERROGATION TOILET</t>
  </si>
  <si>
    <t>MEN REST ROOM</t>
  </si>
  <si>
    <t>MEN REST ROOM TOILET</t>
  </si>
  <si>
    <t>INS TRAFIC</t>
  </si>
  <si>
    <t>INS TRAFIC TOILET</t>
  </si>
  <si>
    <t>STORE</t>
  </si>
  <si>
    <t>BALCONY</t>
  </si>
  <si>
    <t>MEETING HALL</t>
  </si>
  <si>
    <t>TD-1</t>
  </si>
  <si>
    <t>HEAD ROOM</t>
  </si>
  <si>
    <t>TOTAL</t>
  </si>
  <si>
    <t>TOTAL-4F</t>
  </si>
  <si>
    <t>TOTAL-3F</t>
  </si>
  <si>
    <t>TOTAL-2F</t>
  </si>
  <si>
    <t>TOTAL-1F</t>
  </si>
  <si>
    <t>TOTAL-Stilt floor</t>
  </si>
  <si>
    <t>Lift Front Wall</t>
  </si>
  <si>
    <t>Lift Side Wall</t>
  </si>
  <si>
    <t>Front Entrance Verandah Side Wall</t>
  </si>
  <si>
    <t>Cross wall between Toilet and Lift</t>
  </si>
  <si>
    <t>Deduction for Joinery</t>
  </si>
  <si>
    <t>Cross wall between Stair case lobby / Hall</t>
  </si>
  <si>
    <t>SI Room</t>
  </si>
  <si>
    <t>Cross wall between SI Room  / Lift Stair</t>
  </si>
  <si>
    <t>Writer</t>
  </si>
  <si>
    <t>Cross wall between  Writer / Stair case lobby</t>
  </si>
  <si>
    <t>Cross wall between  Writer / Hall</t>
  </si>
  <si>
    <t>C/B Piller</t>
  </si>
  <si>
    <t>Ins L&amp;O</t>
  </si>
  <si>
    <t>Cross wall between  Ins L&amp;O / Hall , Toilet</t>
  </si>
  <si>
    <t>Cross wall between  Ins L&amp;O / Hall , Toilet Piller</t>
  </si>
  <si>
    <t>Lock up women</t>
  </si>
  <si>
    <t>Cross wall between Lock up women / Hall</t>
  </si>
  <si>
    <t>Cross wall between Lock up women / CD File / Store</t>
  </si>
  <si>
    <t>Lock up men</t>
  </si>
  <si>
    <t>Cross wall between Lock up men / Hall</t>
  </si>
  <si>
    <t>Cross wall between Lock up men / Toilet</t>
  </si>
  <si>
    <t>CD File / Store</t>
  </si>
  <si>
    <t>Cross wall between CD File / Store and Toilet</t>
  </si>
  <si>
    <t>Cross wall between CD File / CCTN</t>
  </si>
  <si>
    <t>Computer CCTN</t>
  </si>
  <si>
    <t>Cross wall between Computer CCTN /Hall</t>
  </si>
  <si>
    <t>Station Writer</t>
  </si>
  <si>
    <t xml:space="preserve">Cross wall between Station Writer / Arm </t>
  </si>
  <si>
    <t>Arm Ammunition</t>
  </si>
  <si>
    <t xml:space="preserve">Cross wall between Hall/ Arm </t>
  </si>
  <si>
    <t xml:space="preserve">Cross wall between Record / Arm </t>
  </si>
  <si>
    <t>Record</t>
  </si>
  <si>
    <t>Cross wall between  Record / Toilet</t>
  </si>
  <si>
    <t>Cross wall between SI Room  / Toilet /Hall</t>
  </si>
  <si>
    <t>D/F Toilet Open</t>
  </si>
  <si>
    <t>D/F Passage Open</t>
  </si>
  <si>
    <t>D/F Partion wall</t>
  </si>
  <si>
    <t>Elevation Piller</t>
  </si>
  <si>
    <t>Portico Parapet</t>
  </si>
  <si>
    <t>Cross wall between Station Writer / Hall</t>
  </si>
  <si>
    <t>Cross wall between Station Writer / Hall Loft above</t>
  </si>
  <si>
    <t>\</t>
  </si>
  <si>
    <t>\`++1041049:1091</t>
  </si>
  <si>
    <t>Women Rest Room</t>
  </si>
  <si>
    <t>Cross wall between Women Rest Room  / Toilet /Hall</t>
  </si>
  <si>
    <t>Cross wall between Women Rest Room  / Lift Stair</t>
  </si>
  <si>
    <t>Ins crime</t>
  </si>
  <si>
    <t>Cross wall between  Ins crime / Hall , Toilet</t>
  </si>
  <si>
    <t>Cross wall between  Ins crime  / Hall , Toilet Piller</t>
  </si>
  <si>
    <t>Cross wall between Lock up women / Compute room</t>
  </si>
  <si>
    <t>Compute room</t>
  </si>
  <si>
    <t>Cross wall between Compute room / SI</t>
  </si>
  <si>
    <t>Cross wall between Compute room  and Toilet</t>
  </si>
  <si>
    <t>Cross wall between SI Room  /Hall</t>
  </si>
  <si>
    <t>Cross wall between SI Room / Record</t>
  </si>
  <si>
    <t>D/F Partition wall</t>
  </si>
  <si>
    <t>Interrogationn Room</t>
  </si>
  <si>
    <t>Cross wall between  Interrogationn Room / Toilet</t>
  </si>
  <si>
    <t>Men Rest Room</t>
  </si>
  <si>
    <t>Cross wall between Men Rest Room  / Toilet /Hall</t>
  </si>
  <si>
    <t>Cross wall between Men Rest Room  / Lift Stair</t>
  </si>
  <si>
    <t xml:space="preserve">Ins Trafic </t>
  </si>
  <si>
    <t>Cross wall between  Ins Trafic  / Hall , Toilet</t>
  </si>
  <si>
    <t>Cross wall between  Ins Trafic  / Hall , Toilet Piller</t>
  </si>
  <si>
    <t>Cross wall between Store / Hall</t>
  </si>
  <si>
    <t>Cross wall between Store / Men Rest Room</t>
  </si>
  <si>
    <t>Cross wall between Men Rest Room / Hall</t>
  </si>
  <si>
    <t>Main wall all alround Lift Machine Room</t>
  </si>
  <si>
    <t>Cross wall between Toilet / Ph Toilet</t>
  </si>
  <si>
    <t>Cross wall between Passage/ Ph Toilet</t>
  </si>
  <si>
    <t>Cross wall between Passage/  Toilet</t>
  </si>
  <si>
    <t>Wash basin wall</t>
  </si>
  <si>
    <t>Cross wall between Toilet / Passage</t>
  </si>
  <si>
    <t>Cross wall between Writer / Ins L &amp;O</t>
  </si>
  <si>
    <t>Ins L &amp; O</t>
  </si>
  <si>
    <t>Cross wall between Hall  / Passage</t>
  </si>
  <si>
    <t>Lockup Men</t>
  </si>
  <si>
    <t>Toilet wall</t>
  </si>
  <si>
    <t>Lockup Women</t>
  </si>
  <si>
    <t xml:space="preserve">C/B Wall </t>
  </si>
  <si>
    <t xml:space="preserve">Cross wall between Toilet / Passage </t>
  </si>
  <si>
    <t xml:space="preserve">Cross wall between Hall  / Passage </t>
  </si>
  <si>
    <t>Cross wall between Toilet / CD File / Store</t>
  </si>
  <si>
    <t>Computer CCTNS</t>
  </si>
  <si>
    <t>Cross wall between Toilet / Computer CCTNS</t>
  </si>
  <si>
    <t>Property / Record</t>
  </si>
  <si>
    <t>Cross wall between SProperty  Record / Hall</t>
  </si>
  <si>
    <t>Deduction For</t>
  </si>
  <si>
    <t>Ins Crime</t>
  </si>
  <si>
    <t>Computer Room</t>
  </si>
  <si>
    <t xml:space="preserve">Cross wall between Halll / Passage </t>
  </si>
  <si>
    <t>Cross wall between Toilet / SI Room</t>
  </si>
  <si>
    <t>Cross wall between Record / SI Room</t>
  </si>
  <si>
    <t>Record Room</t>
  </si>
  <si>
    <t>Cross wall between Record Room / Hall</t>
  </si>
  <si>
    <t>Cross wall between Record Room / Interrogation</t>
  </si>
  <si>
    <t>For C3,c1</t>
  </si>
  <si>
    <t>F4</t>
  </si>
  <si>
    <t>Open Foundation</t>
  </si>
  <si>
    <t>Open Foundation extra 0.75 for Sides</t>
  </si>
  <si>
    <t>GB</t>
  </si>
  <si>
    <t>A3 to B3, A5 to B5 , A6 to B6 and A6 to B6</t>
  </si>
  <si>
    <t>B3 to F3</t>
  </si>
  <si>
    <t>F3 to H3</t>
  </si>
  <si>
    <t>C4 to F4 , C5 to F5</t>
  </si>
  <si>
    <t>B4 to C4 , B5 to C5</t>
  </si>
  <si>
    <t xml:space="preserve">F5 to G5 </t>
  </si>
  <si>
    <t xml:space="preserve">G5 to H5 </t>
  </si>
  <si>
    <t>B6' to D6'</t>
  </si>
  <si>
    <t>GB-3</t>
  </si>
  <si>
    <t>B7 to E7</t>
  </si>
  <si>
    <t>G6 to H6</t>
  </si>
  <si>
    <t>E7 to H7</t>
  </si>
  <si>
    <t>A8 to H8</t>
  </si>
  <si>
    <t>D1 to F1 &amp; D2 to F2</t>
  </si>
  <si>
    <t>D1 to D3 &amp; F1 to F3</t>
  </si>
  <si>
    <t>A3 to A8 ,B3 to B8 &amp; H3 to H8</t>
  </si>
  <si>
    <t>D5 to D7</t>
  </si>
  <si>
    <t>E7 to E8 &amp; G7 to G8</t>
  </si>
  <si>
    <t>F3 To F5</t>
  </si>
  <si>
    <t>G5 to G7</t>
  </si>
  <si>
    <t xml:space="preserve">For C1 Round Column Dia 0.3 Radius = 0.15 </t>
  </si>
  <si>
    <t>Part-1</t>
  </si>
  <si>
    <t>Part-2</t>
  </si>
  <si>
    <t>Part-3</t>
  </si>
  <si>
    <t>Part-4</t>
  </si>
  <si>
    <t>Part-5</t>
  </si>
  <si>
    <t>Part-7</t>
  </si>
  <si>
    <t>Tie beam at Below Ground Level @ 2.00 m</t>
  </si>
  <si>
    <t>Parking Area  Stilt Portion</t>
  </si>
  <si>
    <t>Rear Side Parking Area  Stilt Portion</t>
  </si>
  <si>
    <t>Left Side Parking Area  Stilt Portion</t>
  </si>
  <si>
    <t>Column raising up to Tie beam</t>
  </si>
  <si>
    <t>Tie beam</t>
  </si>
  <si>
    <t>Dedution for Column</t>
  </si>
  <si>
    <t>Column raising Tie Beam to grade beam</t>
  </si>
  <si>
    <t>Tie beam formwork</t>
  </si>
  <si>
    <t>Garde beam formwork</t>
  </si>
  <si>
    <t>A1 to B1 , A5 to B5 , A6 to B6 &amp; A7 to B7</t>
  </si>
  <si>
    <t>B3 to G3</t>
  </si>
  <si>
    <t>B5 to G5</t>
  </si>
  <si>
    <t>B7 to G7</t>
  </si>
  <si>
    <t>B4 to F4</t>
  </si>
  <si>
    <t>G3 to H3 , G5 to H5 , G6 to H6 &amp; G7 to H7</t>
  </si>
  <si>
    <t>Cross beams</t>
  </si>
  <si>
    <t>B3 To B8</t>
  </si>
  <si>
    <t>C4 to C5</t>
  </si>
  <si>
    <t>E7 to E8</t>
  </si>
  <si>
    <t>G7 to G8</t>
  </si>
  <si>
    <t>H3 To H8</t>
  </si>
  <si>
    <t>D1 to D3 , F1 to F3</t>
  </si>
  <si>
    <t>F3 to F5</t>
  </si>
  <si>
    <t xml:space="preserve">C5 to C7 &amp; F5 to F7 </t>
  </si>
  <si>
    <t>SI Room Toilet</t>
  </si>
  <si>
    <t>Lock up Women</t>
  </si>
  <si>
    <t>CD Files/Store</t>
  </si>
  <si>
    <t>Below Roof</t>
  </si>
  <si>
    <t>Computer / CCTNS</t>
  </si>
  <si>
    <t>Arms Ammunication</t>
  </si>
  <si>
    <t>Property Record</t>
  </si>
  <si>
    <t>Lock up Men</t>
  </si>
  <si>
    <t>INS Room</t>
  </si>
  <si>
    <t>INS Room Toilet</t>
  </si>
  <si>
    <t>Stair Case Lobby-1</t>
  </si>
  <si>
    <t>Women Rest Room Toilet</t>
  </si>
  <si>
    <t>Introgation</t>
  </si>
  <si>
    <t>Men Rest Room Toilet</t>
  </si>
  <si>
    <t>Meeting Hall</t>
  </si>
  <si>
    <t>Hall</t>
  </si>
  <si>
    <t>B5 to F5</t>
  </si>
  <si>
    <t>B3 to B5</t>
  </si>
  <si>
    <t>Cross Beam</t>
  </si>
  <si>
    <t>Lobby</t>
  </si>
  <si>
    <t>Water Tank Center wall Concrete</t>
  </si>
  <si>
    <t>Head Room Parapet</t>
  </si>
  <si>
    <t>A3 To A5</t>
  </si>
  <si>
    <t>A5 To A8</t>
  </si>
  <si>
    <t>G3 to G7</t>
  </si>
  <si>
    <t>Introgation Room</t>
  </si>
  <si>
    <t>Cross wall between  Introgation Room / Hall</t>
  </si>
  <si>
    <t>Ins Traffic</t>
  </si>
  <si>
    <t>Cross wall between Meeting Hall / Men Rest Room</t>
  </si>
  <si>
    <t>Cross wall between Writer / Ins Traffic</t>
  </si>
  <si>
    <t>Cross wall between Toilet</t>
  </si>
  <si>
    <t>Cross wall betweenToilet / Common Toilet</t>
  </si>
  <si>
    <t>Cross wall for Toilet Front wall</t>
  </si>
  <si>
    <t>Cross wall betweenToilet / Men Rest Room</t>
  </si>
  <si>
    <t>Deduction for Partition wall Lintel</t>
  </si>
  <si>
    <t>Wash Basin Wall</t>
  </si>
  <si>
    <t xml:space="preserve">Waist slab -1 </t>
  </si>
  <si>
    <t>Waist slab -2</t>
  </si>
  <si>
    <t>Waist slab -3</t>
  </si>
  <si>
    <t>Waist slab -4</t>
  </si>
  <si>
    <t>Waist slab -5</t>
  </si>
  <si>
    <t>Waist slab -6</t>
  </si>
  <si>
    <t>Waist slab -7</t>
  </si>
  <si>
    <t>Waist slab -8</t>
  </si>
  <si>
    <t>Landing Wall</t>
  </si>
  <si>
    <t>Ins</t>
  </si>
  <si>
    <t xml:space="preserve">CD File </t>
  </si>
  <si>
    <t>CCTNS</t>
  </si>
  <si>
    <t>Station  Writer</t>
  </si>
  <si>
    <t>Interogation</t>
  </si>
  <si>
    <t>Vertical</t>
  </si>
  <si>
    <t>Horizontal</t>
  </si>
  <si>
    <t>First Floor Ins &amp; SI</t>
  </si>
  <si>
    <t>First Floor Common Toilet</t>
  </si>
  <si>
    <t>Third Floor Common Toilet</t>
  </si>
  <si>
    <t>Second Floor  Ins &amp; Women Rest Room</t>
  </si>
  <si>
    <t>Second  Floor  Common Toilet</t>
  </si>
  <si>
    <t>Third Floor  Ins  &amp;  men Rest Room</t>
  </si>
  <si>
    <t>Ground floor /Stilit Floor</t>
  </si>
  <si>
    <t>Entrance Lobby</t>
  </si>
  <si>
    <t>Entrance Verandah</t>
  </si>
  <si>
    <t>Toilet Verandah</t>
  </si>
  <si>
    <t>Front Entrance Verandah</t>
  </si>
  <si>
    <t>Staircase Lift / lobby</t>
  </si>
  <si>
    <t>Ins  L &amp; O Room</t>
  </si>
  <si>
    <t>Writer Room</t>
  </si>
  <si>
    <t>CD File</t>
  </si>
  <si>
    <t>CD File Verandah</t>
  </si>
  <si>
    <t>C/B</t>
  </si>
  <si>
    <t>Property Record Lobby</t>
  </si>
  <si>
    <t>Ins  L &amp; O Room Lobby</t>
  </si>
  <si>
    <t>SI Room Lobby</t>
  </si>
  <si>
    <t>Women Rest Room Lobby</t>
  </si>
  <si>
    <t>Ins  Crime  Room</t>
  </si>
  <si>
    <t xml:space="preserve"> Ins Crime Room Lobby</t>
  </si>
  <si>
    <t>Computer Room Verandah</t>
  </si>
  <si>
    <t>SI room</t>
  </si>
  <si>
    <t>Interogation Lobby</t>
  </si>
  <si>
    <t>Thiord Floor</t>
  </si>
  <si>
    <t>Men Rest Room Lobby</t>
  </si>
  <si>
    <t>Ins  Traffic  Room</t>
  </si>
  <si>
    <t>Ins TrafficRoom Lobby</t>
  </si>
  <si>
    <t>Balcony Entrance</t>
  </si>
  <si>
    <t>Skirting Tiles</t>
  </si>
  <si>
    <t>Groun floor / Stilt Floor</t>
  </si>
  <si>
    <t>Ph.Toilet</t>
  </si>
  <si>
    <t>Toilet Passage</t>
  </si>
  <si>
    <t>O</t>
  </si>
  <si>
    <t>SI Room Toilet Passage</t>
  </si>
  <si>
    <t>INS  Room Toilet</t>
  </si>
  <si>
    <t>INS  Room Toilet Passage</t>
  </si>
  <si>
    <t xml:space="preserve">Lock up Women &amp; Men </t>
  </si>
  <si>
    <t xml:space="preserve"> Passage</t>
  </si>
  <si>
    <t>Common Toilet-II</t>
  </si>
  <si>
    <t>Women Rest Room  Toilet Passage</t>
  </si>
  <si>
    <t>Mn Rest Room Toilet</t>
  </si>
  <si>
    <t>Men Rest Room  Toilet Passage</t>
  </si>
  <si>
    <t>Mn Rest Room bath</t>
  </si>
  <si>
    <t>Urinal</t>
  </si>
  <si>
    <t>w/b</t>
  </si>
  <si>
    <t>Passage</t>
  </si>
  <si>
    <t>Lift MACHINE Room</t>
  </si>
  <si>
    <t>Roof area-4</t>
  </si>
  <si>
    <t>Roof area-5</t>
  </si>
  <si>
    <t>Ph Toilet</t>
  </si>
  <si>
    <t>D/f SLD</t>
  </si>
  <si>
    <t>D/f TD</t>
  </si>
  <si>
    <t>D/f O</t>
  </si>
  <si>
    <t>Lift well</t>
  </si>
  <si>
    <t>D/f LD</t>
  </si>
  <si>
    <t>Stair Case</t>
  </si>
  <si>
    <t>Stilt Floor Outer</t>
  </si>
  <si>
    <t>Lockup Men and Women</t>
  </si>
  <si>
    <t>Lockup Men Women</t>
  </si>
  <si>
    <t>Toilets area</t>
  </si>
  <si>
    <t>Deduction For Joinery</t>
  </si>
  <si>
    <t>Inner Parapet</t>
  </si>
  <si>
    <t>Allround Outer Plastering  FF  to Third Floor</t>
  </si>
  <si>
    <t>Stilt floor Column plastering</t>
  </si>
  <si>
    <t>Stilt floor Basement Plastering</t>
  </si>
  <si>
    <t>water tank alround</t>
  </si>
  <si>
    <t xml:space="preserve">water tank base </t>
  </si>
  <si>
    <t>water tank ceiling</t>
  </si>
  <si>
    <t>Portico</t>
  </si>
  <si>
    <t>WELFARE WOMENS GOVRNMENT HOSTEL BUILDING  AT TIRUCHIRAPPALLI</t>
  </si>
  <si>
    <t>Stilt cum Ground Floor - Distribution of Electrical Fixtures</t>
  </si>
  <si>
    <t>Room Description</t>
  </si>
  <si>
    <t>Ceiling Fan</t>
  </si>
  <si>
    <t>4' 20W LED Batten</t>
  </si>
  <si>
    <t>Exhaust Fan</t>
  </si>
  <si>
    <t>Call Bell</t>
  </si>
  <si>
    <t>Master Control Switch</t>
  </si>
  <si>
    <t>15A / 5A Plug</t>
  </si>
  <si>
    <t>20A AC Plug</t>
  </si>
  <si>
    <t>Street Light</t>
  </si>
  <si>
    <t>Open Terrace</t>
  </si>
  <si>
    <t xml:space="preserve">STILT CUM GROUND FLOOR </t>
  </si>
  <si>
    <t>Room Size</t>
  </si>
  <si>
    <t>PH TOILET</t>
  </si>
  <si>
    <t>TOILET PASSAGE</t>
  </si>
  <si>
    <t xml:space="preserve">VERANDAH REAR </t>
  </si>
  <si>
    <t>TOILET PASSAGE-1</t>
  </si>
  <si>
    <t>PARKING AREA  STILT PORTION</t>
  </si>
  <si>
    <t>REAR SIDE PARKING AREA  STILT PORTION</t>
  </si>
  <si>
    <t>LEFT SIDE PARKING AREA  STILT PORTION</t>
  </si>
  <si>
    <t>PASSAGE</t>
  </si>
  <si>
    <t>LOCK UP WOMEN</t>
  </si>
  <si>
    <t xml:space="preserve">LOCK UP MEN </t>
  </si>
  <si>
    <t>ENTRANCE PASSAGE</t>
  </si>
  <si>
    <t>MEN REST ROOM BATH</t>
  </si>
  <si>
    <t>MEN REST ROOM PASSAGE</t>
  </si>
  <si>
    <t>URINAL</t>
  </si>
  <si>
    <t>W/B</t>
  </si>
  <si>
    <t>AREA IN SQM</t>
  </si>
  <si>
    <t>AREA IN SQ.FT</t>
  </si>
  <si>
    <t>9W</t>
  </si>
  <si>
    <t>TOTAL-</t>
  </si>
  <si>
    <t>5A Plug (Convenient places)</t>
  </si>
  <si>
    <t>5A Plug (Switch board itself)</t>
  </si>
  <si>
    <t>OUTER BUILDING</t>
  </si>
  <si>
    <t>COMMON TOILET PASSAGE</t>
  </si>
  <si>
    <t>Wall fan</t>
  </si>
  <si>
    <t>Bulk Head</t>
  </si>
  <si>
    <t>12w</t>
  </si>
  <si>
    <t>Balcony</t>
  </si>
  <si>
    <t>Head room</t>
  </si>
  <si>
    <t>Rear</t>
  </si>
  <si>
    <t>Ins traffic</t>
  </si>
  <si>
    <t xml:space="preserve">At GF to 4 F and Head room </t>
  </si>
  <si>
    <t>4F right side</t>
  </si>
  <si>
    <t>4F left side</t>
  </si>
  <si>
    <t xml:space="preserve">From Third  floor panel to power panel </t>
  </si>
  <si>
    <t>Ins &amp; Si</t>
  </si>
  <si>
    <t>CD FILE</t>
  </si>
  <si>
    <t xml:space="preserve">Ins </t>
  </si>
  <si>
    <t>INS L&amp;O</t>
  </si>
  <si>
    <t>INS TRAFFIC</t>
  </si>
  <si>
    <t>Property</t>
  </si>
  <si>
    <t xml:space="preserve">Providing MDF  Double leafshutter with TW alround frame for ward robe / cup boardThe all round frame made up of </t>
  </si>
  <si>
    <t>Lockup Door D1</t>
  </si>
  <si>
    <t>OD - Portico Out</t>
  </si>
  <si>
    <t>D-1.00X2.10</t>
  </si>
  <si>
    <t xml:space="preserve">Door </t>
  </si>
  <si>
    <t>OD-1 at OTS</t>
  </si>
  <si>
    <t>upvc</t>
  </si>
  <si>
    <t>LOCKUP TOILET</t>
  </si>
  <si>
    <t>sunshade Bottom</t>
  </si>
  <si>
    <t>sunshade 3 sides</t>
  </si>
  <si>
    <t>Roof beam 2sides</t>
  </si>
  <si>
    <t>Roof beam bottom</t>
  </si>
  <si>
    <t>foundation Basement</t>
  </si>
  <si>
    <t>OHT to Vertical GF</t>
  </si>
  <si>
    <t>OHT to Vertical FF</t>
  </si>
  <si>
    <t>OHT to Vertical SF</t>
  </si>
  <si>
    <t>OHT to Vertical TF</t>
  </si>
  <si>
    <t>Toilet Inner in GF</t>
  </si>
  <si>
    <t>Toilet Inner in FF</t>
  </si>
  <si>
    <t>Toilet Inner in SF</t>
  </si>
  <si>
    <t>Toilet Inner in TF</t>
  </si>
  <si>
    <t>Ground floor Toilets</t>
  </si>
  <si>
    <t xml:space="preserve">Second floor and </t>
  </si>
  <si>
    <t xml:space="preserve"> MS ventilator of size  1000 x 600 mm
</t>
  </si>
  <si>
    <t>Y-</t>
  </si>
  <si>
    <t>4`20W LED Batten</t>
  </si>
  <si>
    <t>Ceiling Fixture 10W</t>
  </si>
  <si>
    <t>5A Plug</t>
  </si>
  <si>
    <t>15A Plug</t>
  </si>
  <si>
    <t xml:space="preserve">computer earthing </t>
  </si>
  <si>
    <t>Rise</t>
  </si>
  <si>
    <t>Alround</t>
  </si>
  <si>
    <t>As per Inner Plastering Qty</t>
  </si>
  <si>
    <t>As Per Primer Qty</t>
  </si>
  <si>
    <t>Plinth Area of the building Portico</t>
  </si>
  <si>
    <t>As per Outer plastering qty</t>
  </si>
  <si>
    <t xml:space="preserve">c. 3 to 4 mt. .  
Earth work excavation in all soils (including refilling) </t>
  </si>
  <si>
    <r>
      <rPr>
        <b/>
        <sz val="13"/>
        <rFont val="Times New Roman"/>
        <family val="1"/>
      </rPr>
      <t xml:space="preserve"> </t>
    </r>
    <r>
      <rPr>
        <b/>
        <u/>
        <sz val="13"/>
        <rFont val="Times New Roman"/>
        <family val="1"/>
      </rPr>
      <t>DETAILED ESTIMATE</t>
    </r>
  </si>
  <si>
    <r>
      <t>White washing 3 coats</t>
    </r>
    <r>
      <rPr>
        <b/>
        <sz val="13"/>
        <rFont val="Times New Roman"/>
        <family val="1"/>
      </rPr>
      <t xml:space="preserve">  (slaked)</t>
    </r>
  </si>
</sst>
</file>

<file path=xl/styles.xml><?xml version="1.0" encoding="utf-8"?>
<styleSheet xmlns="http://schemas.openxmlformats.org/spreadsheetml/2006/main">
  <numFmts count="26">
    <numFmt numFmtId="6" formatCode="&quot;$&quot;#,##0_);[Red]\(&quot;$&quot;#,##0\)"/>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_ * #,##0.00_ ;_ * \-#,##0.00_ ;_ * &quot;-&quot;??_ ;_ @_ "/>
    <numFmt numFmtId="167" formatCode="0.00_)"/>
    <numFmt numFmtId="168" formatCode="0_)"/>
    <numFmt numFmtId="169" formatCode="0.0"/>
    <numFmt numFmtId="170" formatCode="0.0_)"/>
    <numFmt numFmtId="171" formatCode="0.000_)"/>
    <numFmt numFmtId="172" formatCode="0.0000_)"/>
    <numFmt numFmtId="173" formatCode="0.00000_)"/>
    <numFmt numFmtId="174" formatCode="0.0000"/>
    <numFmt numFmtId="175" formatCode="0.000"/>
    <numFmt numFmtId="176" formatCode="0;;;@"/>
    <numFmt numFmtId="177" formatCode="0.00;;;@"/>
    <numFmt numFmtId="178" formatCode="0.000000"/>
    <numFmt numFmtId="179" formatCode="0.000;;;@"/>
    <numFmt numFmtId="180" formatCode="0.000000_)"/>
    <numFmt numFmtId="181" formatCode="0.00000000_)"/>
    <numFmt numFmtId="182" formatCode="&quot;£&quot;#,##0.00;[Red]\-&quot;£&quot;#,##0.00"/>
    <numFmt numFmtId="183" formatCode="&quot;Rs.&quot;\ #,##0;&quot;Rs.&quot;\ \-#,##0"/>
    <numFmt numFmtId="184" formatCode="_-* #,##0.00_-;\-* #,##0.00_-;_-* &quot;-&quot;??_-;_-@_-"/>
    <numFmt numFmtId="185" formatCode="_-&quot;€&quot;* #,##0.00_-;\-&quot;€&quot;* #,##0.00_-;_-&quot;€&quot;* &quot;-&quot;??_-;_-@_-"/>
    <numFmt numFmtId="186" formatCode="0.0000000"/>
  </numFmts>
  <fonts count="166">
    <font>
      <sz val="11"/>
      <color theme="1"/>
      <name val="Calibri"/>
      <family val="2"/>
      <scheme val="minor"/>
    </font>
    <font>
      <sz val="11"/>
      <color theme="1"/>
      <name val="Calibri"/>
      <family val="2"/>
      <scheme val="minor"/>
    </font>
    <font>
      <sz val="12"/>
      <name val="Helv"/>
    </font>
    <font>
      <b/>
      <sz val="12"/>
      <name val="Arial Narrow"/>
      <family val="2"/>
    </font>
    <font>
      <b/>
      <sz val="12"/>
      <name val="Helv"/>
    </font>
    <font>
      <sz val="12"/>
      <name val="Arial Narrow"/>
      <family val="2"/>
    </font>
    <font>
      <sz val="10"/>
      <name val="Arial"/>
      <family val="2"/>
    </font>
    <font>
      <sz val="13"/>
      <name val="Arial Narrow"/>
      <family val="2"/>
    </font>
    <font>
      <b/>
      <sz val="13"/>
      <name val="Arial Narrow"/>
      <family val="2"/>
    </font>
    <font>
      <b/>
      <u/>
      <sz val="13"/>
      <name val="Arial Narrow"/>
      <family val="2"/>
    </font>
    <font>
      <u/>
      <sz val="10"/>
      <color indexed="12"/>
      <name val="Arial"/>
      <family val="2"/>
    </font>
    <font>
      <b/>
      <sz val="13"/>
      <color theme="1"/>
      <name val="Arial Narrow"/>
      <family val="2"/>
    </font>
    <font>
      <sz val="10"/>
      <name val="Times New Roman"/>
      <family val="1"/>
    </font>
    <font>
      <b/>
      <sz val="10"/>
      <name val="Times New Roman"/>
      <family val="1"/>
    </font>
    <font>
      <vertAlign val="superscript"/>
      <sz val="10"/>
      <name val="Times New Roman"/>
      <family val="1"/>
    </font>
    <font>
      <b/>
      <sz val="14"/>
      <color theme="1"/>
      <name val="Calibri"/>
      <family val="2"/>
      <scheme val="minor"/>
    </font>
    <font>
      <sz val="14"/>
      <color theme="1"/>
      <name val="Calibri"/>
      <family val="2"/>
      <scheme val="minor"/>
    </font>
    <font>
      <b/>
      <sz val="8"/>
      <color theme="1"/>
      <name val="Calibri"/>
      <family val="2"/>
      <scheme val="minor"/>
    </font>
    <font>
      <b/>
      <sz val="13"/>
      <name val="Times New Roman"/>
      <family val="1"/>
    </font>
    <font>
      <sz val="13"/>
      <name val="Times New Roman"/>
      <family val="1"/>
    </font>
    <font>
      <b/>
      <u/>
      <sz val="13"/>
      <name val="Times New Roman"/>
      <family val="1"/>
    </font>
    <font>
      <b/>
      <sz val="13"/>
      <color theme="0"/>
      <name val="Arial Narrow"/>
      <family val="2"/>
    </font>
    <font>
      <sz val="18"/>
      <name val="Arial Narrow"/>
      <family val="2"/>
    </font>
    <font>
      <sz val="17"/>
      <name val="Arial Narrow"/>
      <family val="2"/>
    </font>
    <font>
      <sz val="12"/>
      <name val="Times New Roman"/>
      <family val="1"/>
    </font>
    <font>
      <b/>
      <u/>
      <sz val="12"/>
      <name val="Times New Roman"/>
      <family val="1"/>
    </font>
    <font>
      <b/>
      <sz val="12"/>
      <name val="Times New Roman"/>
      <family val="1"/>
    </font>
    <font>
      <b/>
      <sz val="17"/>
      <name val="Arial"/>
      <family val="2"/>
    </font>
    <font>
      <b/>
      <sz val="20"/>
      <name val="Arial"/>
      <family val="2"/>
    </font>
    <font>
      <sz val="17"/>
      <name val="Arial"/>
      <family val="2"/>
    </font>
    <font>
      <b/>
      <sz val="18"/>
      <name val="Arial"/>
      <family val="2"/>
    </font>
    <font>
      <i/>
      <sz val="17"/>
      <name val="Arial"/>
      <family val="2"/>
    </font>
    <font>
      <sz val="18"/>
      <name val="Arial"/>
      <family val="2"/>
    </font>
    <font>
      <sz val="17"/>
      <color indexed="8"/>
      <name val="Arial"/>
      <family val="2"/>
    </font>
    <font>
      <sz val="18"/>
      <color indexed="10"/>
      <name val="Arial"/>
      <family val="2"/>
    </font>
    <font>
      <sz val="18"/>
      <color indexed="9"/>
      <name val="Arial"/>
      <family val="2"/>
    </font>
    <font>
      <sz val="20"/>
      <name val="Arial"/>
      <family val="2"/>
    </font>
    <font>
      <i/>
      <sz val="20"/>
      <name val="Arial"/>
      <family val="2"/>
    </font>
    <font>
      <sz val="17"/>
      <color indexed="9"/>
      <name val="Arial"/>
      <family val="2"/>
    </font>
    <font>
      <sz val="20"/>
      <color indexed="9"/>
      <name val="Arial"/>
      <family val="2"/>
    </font>
    <font>
      <sz val="20"/>
      <color indexed="10"/>
      <name val="Arial"/>
      <family val="2"/>
    </font>
    <font>
      <sz val="17"/>
      <color indexed="10"/>
      <name val="Arial"/>
      <family val="2"/>
    </font>
    <font>
      <sz val="19"/>
      <name val="Arial"/>
      <family val="2"/>
    </font>
    <font>
      <b/>
      <sz val="17"/>
      <color indexed="9"/>
      <name val="Arial"/>
      <family val="2"/>
    </font>
    <font>
      <b/>
      <sz val="20"/>
      <color indexed="10"/>
      <name val="Arial"/>
      <family val="2"/>
    </font>
    <font>
      <b/>
      <sz val="18"/>
      <color indexed="8"/>
      <name val="Arial"/>
      <family val="2"/>
    </font>
    <font>
      <b/>
      <sz val="20"/>
      <color indexed="8"/>
      <name val="Arial"/>
      <family val="2"/>
    </font>
    <font>
      <b/>
      <sz val="17"/>
      <color indexed="8"/>
      <name val="Arial"/>
      <family val="2"/>
    </font>
    <font>
      <sz val="19"/>
      <color indexed="9"/>
      <name val="Arial"/>
      <family val="2"/>
    </font>
    <font>
      <sz val="18"/>
      <color indexed="8"/>
      <name val="Arial"/>
      <family val="2"/>
    </font>
    <font>
      <sz val="20"/>
      <color indexed="8"/>
      <name val="Arial"/>
      <family val="2"/>
    </font>
    <font>
      <b/>
      <sz val="19"/>
      <name val="Arial"/>
      <family val="2"/>
    </font>
    <font>
      <sz val="16"/>
      <name val="Arial"/>
      <family val="2"/>
    </font>
    <font>
      <b/>
      <sz val="16"/>
      <name val="Arial"/>
      <family val="2"/>
    </font>
    <font>
      <b/>
      <sz val="16"/>
      <color indexed="8"/>
      <name val="Arial"/>
      <family val="2"/>
    </font>
    <font>
      <b/>
      <sz val="17"/>
      <color indexed="10"/>
      <name val="Arial"/>
      <family val="2"/>
    </font>
    <font>
      <sz val="20"/>
      <name val="Times New Roman"/>
      <family val="1"/>
    </font>
    <font>
      <sz val="17"/>
      <name val="Book Antiqua"/>
      <family val="1"/>
    </font>
    <font>
      <b/>
      <sz val="13"/>
      <name val="Arial"/>
      <family val="2"/>
    </font>
    <font>
      <sz val="15"/>
      <name val="Arial Narrow"/>
      <family val="2"/>
    </font>
    <font>
      <b/>
      <sz val="15"/>
      <name val="Arial Narrow"/>
      <family val="2"/>
    </font>
    <font>
      <sz val="16"/>
      <name val="Arial Narrow"/>
      <family val="2"/>
    </font>
    <font>
      <b/>
      <u/>
      <sz val="16"/>
      <color indexed="8"/>
      <name val="Arial Narrow"/>
      <family val="2"/>
    </font>
    <font>
      <b/>
      <sz val="13"/>
      <color indexed="8"/>
      <name val="Arial Narrow"/>
      <family val="2"/>
    </font>
    <font>
      <sz val="12"/>
      <color indexed="10"/>
      <name val="Helv"/>
    </font>
    <font>
      <sz val="12"/>
      <color indexed="8"/>
      <name val="Helv"/>
    </font>
    <font>
      <b/>
      <sz val="12"/>
      <color indexed="8"/>
      <name val="Helv"/>
    </font>
    <font>
      <b/>
      <u/>
      <sz val="12"/>
      <name val="Arial"/>
      <family val="2"/>
    </font>
    <font>
      <b/>
      <u/>
      <sz val="14"/>
      <name val="Arial"/>
      <family val="2"/>
    </font>
    <font>
      <b/>
      <sz val="14"/>
      <name val="Arial"/>
      <family val="2"/>
    </font>
    <font>
      <sz val="13"/>
      <name val="Arial"/>
      <family val="2"/>
    </font>
    <font>
      <b/>
      <sz val="12"/>
      <name val="Arial"/>
      <family val="2"/>
    </font>
    <font>
      <sz val="12"/>
      <name val="Arial"/>
      <family val="2"/>
    </font>
    <font>
      <sz val="12"/>
      <color indexed="9"/>
      <name val="Arial"/>
      <family val="2"/>
    </font>
    <font>
      <sz val="15"/>
      <name val="Arial"/>
      <family val="2"/>
    </font>
    <font>
      <b/>
      <sz val="15"/>
      <name val="Arial"/>
      <family val="2"/>
    </font>
    <font>
      <sz val="14"/>
      <name val="Arial"/>
      <family val="2"/>
    </font>
    <font>
      <b/>
      <u/>
      <sz val="13"/>
      <color indexed="8"/>
      <name val="Arial Narrow"/>
      <family val="2"/>
    </font>
    <font>
      <b/>
      <sz val="16"/>
      <name val="Helv"/>
      <family val="2"/>
    </font>
    <font>
      <sz val="11"/>
      <name val="Helv"/>
      <family val="2"/>
    </font>
    <font>
      <b/>
      <sz val="12"/>
      <name val="Helv"/>
      <family val="2"/>
    </font>
    <font>
      <b/>
      <u/>
      <sz val="12"/>
      <name val="Helv"/>
      <family val="2"/>
    </font>
    <font>
      <sz val="12"/>
      <color indexed="14"/>
      <name val="Helv"/>
    </font>
    <font>
      <sz val="12"/>
      <color indexed="12"/>
      <name val="Helv"/>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3"/>
      <name val="Helv"/>
    </font>
    <font>
      <sz val="16"/>
      <name val="Helv"/>
    </font>
    <font>
      <b/>
      <sz val="11"/>
      <name val="Arial"/>
      <family val="2"/>
    </font>
    <font>
      <vertAlign val="superscript"/>
      <sz val="12"/>
      <name val="Helv"/>
    </font>
    <font>
      <b/>
      <u/>
      <sz val="12"/>
      <name val="Helv"/>
    </font>
    <font>
      <sz val="14"/>
      <name val="Helv"/>
    </font>
    <font>
      <b/>
      <u/>
      <sz val="14"/>
      <name val="Helv"/>
    </font>
    <font>
      <u/>
      <sz val="12"/>
      <name val="Helv"/>
    </font>
    <font>
      <b/>
      <sz val="14"/>
      <name val="Helv"/>
    </font>
    <font>
      <b/>
      <sz val="12"/>
      <color indexed="10"/>
      <name val="Helv"/>
    </font>
    <font>
      <sz val="12"/>
      <color indexed="13"/>
      <name val="Helv"/>
    </font>
    <font>
      <sz val="12"/>
      <color indexed="9"/>
      <name val="Helv"/>
    </font>
    <font>
      <sz val="12"/>
      <color indexed="51"/>
      <name val="Helv"/>
    </font>
    <font>
      <b/>
      <sz val="12"/>
      <color indexed="13"/>
      <name val="Helv"/>
    </font>
    <font>
      <sz val="12"/>
      <color indexed="10"/>
      <name val="Arial"/>
      <family val="2"/>
    </font>
    <font>
      <u/>
      <sz val="12"/>
      <name val="Arial"/>
      <family val="2"/>
    </font>
    <font>
      <b/>
      <sz val="12"/>
      <color indexed="9"/>
      <name val="Arial"/>
      <family val="2"/>
    </font>
    <font>
      <sz val="12"/>
      <color indexed="12"/>
      <name val="Arial"/>
      <family val="2"/>
    </font>
    <font>
      <sz val="11.9"/>
      <name val="Helv"/>
    </font>
    <font>
      <sz val="12"/>
      <color indexed="49"/>
      <name val="Helv"/>
    </font>
    <font>
      <b/>
      <sz val="11"/>
      <color indexed="8"/>
      <name val="Calibri"/>
      <family val="2"/>
    </font>
    <font>
      <vertAlign val="superscript"/>
      <sz val="11"/>
      <color indexed="8"/>
      <name val="Calibri"/>
      <family val="2"/>
    </font>
    <font>
      <b/>
      <vertAlign val="superscript"/>
      <sz val="11"/>
      <color indexed="8"/>
      <name val="Calibri"/>
      <family val="2"/>
    </font>
    <font>
      <sz val="12"/>
      <color indexed="57"/>
      <name val="Helv"/>
    </font>
    <font>
      <b/>
      <sz val="16"/>
      <color indexed="10"/>
      <name val="Helv"/>
      <family val="2"/>
    </font>
    <font>
      <b/>
      <u/>
      <sz val="12"/>
      <color indexed="10"/>
      <name val="Helv"/>
    </font>
    <font>
      <b/>
      <sz val="12"/>
      <color indexed="10"/>
      <name val="Helv"/>
      <family val="2"/>
    </font>
    <font>
      <b/>
      <sz val="15"/>
      <color indexed="10"/>
      <name val="Helv"/>
    </font>
    <font>
      <b/>
      <sz val="14"/>
      <color indexed="10"/>
      <name val="Helv"/>
    </font>
    <font>
      <sz val="13"/>
      <color indexed="10"/>
      <name val="Arial"/>
      <family val="2"/>
    </font>
    <font>
      <b/>
      <sz val="12"/>
      <color indexed="10"/>
      <name val="Arial"/>
      <family val="2"/>
    </font>
    <font>
      <sz val="11"/>
      <color indexed="10"/>
      <name val="Helv"/>
    </font>
    <font>
      <b/>
      <sz val="11"/>
      <color indexed="10"/>
      <name val="Helv"/>
    </font>
    <font>
      <b/>
      <sz val="10"/>
      <color indexed="10"/>
      <name val="Arial"/>
      <family val="2"/>
    </font>
    <font>
      <sz val="14"/>
      <color indexed="10"/>
      <name val="Arial"/>
      <family val="2"/>
    </font>
    <font>
      <b/>
      <sz val="14"/>
      <color indexed="10"/>
      <name val="Arial"/>
      <family val="2"/>
    </font>
    <font>
      <sz val="11"/>
      <color indexed="10"/>
      <name val="Arial"/>
      <family val="2"/>
    </font>
    <font>
      <vertAlign val="superscript"/>
      <sz val="12"/>
      <name val="Arial"/>
      <family val="2"/>
    </font>
    <font>
      <b/>
      <sz val="8"/>
      <name val="Arial Narrow"/>
      <family val="2"/>
    </font>
    <font>
      <sz val="10"/>
      <name val="Courier"/>
      <family val="3"/>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7.5"/>
      <color indexed="12"/>
      <name val="Arial"/>
      <family val="2"/>
    </font>
    <font>
      <sz val="11"/>
      <color indexed="62"/>
      <name val="Calibri"/>
      <family val="2"/>
    </font>
    <font>
      <sz val="11"/>
      <color indexed="52"/>
      <name val="Calibri"/>
      <family val="2"/>
    </font>
    <font>
      <sz val="11"/>
      <color indexed="60"/>
      <name val="Calibri"/>
      <family val="2"/>
    </font>
    <font>
      <sz val="12"/>
      <color rgb="FF000000"/>
      <name val="Helv"/>
    </font>
    <font>
      <sz val="11"/>
      <name val="Times New Roman"/>
      <family val="1"/>
    </font>
    <font>
      <b/>
      <sz val="11"/>
      <color indexed="63"/>
      <name val="Calibri"/>
      <family val="2"/>
    </font>
    <font>
      <b/>
      <sz val="18"/>
      <color indexed="56"/>
      <name val="Cambria"/>
      <family val="1"/>
    </font>
    <font>
      <sz val="11"/>
      <color indexed="10"/>
      <name val="Calibri"/>
      <family val="2"/>
    </font>
    <font>
      <sz val="10"/>
      <name val="Arial"/>
      <family val="2"/>
    </font>
    <font>
      <sz val="8"/>
      <name val="Calibri"/>
      <family val="2"/>
      <scheme val="minor"/>
    </font>
    <font>
      <b/>
      <sz val="20"/>
      <name val="Arial Narrow"/>
      <family val="2"/>
    </font>
    <font>
      <sz val="20"/>
      <name val="Arial Narrow"/>
      <family val="2"/>
    </font>
    <font>
      <sz val="10"/>
      <name val="Arial"/>
      <family val="2"/>
    </font>
    <font>
      <b/>
      <sz val="18"/>
      <name val="Arial Narrow"/>
      <family val="2"/>
    </font>
    <font>
      <sz val="18"/>
      <color theme="1"/>
      <name val="Calibri"/>
      <family val="2"/>
      <scheme val="minor"/>
    </font>
    <font>
      <b/>
      <vertAlign val="subscript"/>
      <sz val="13"/>
      <name val="Times New Roman"/>
      <family val="1"/>
    </font>
    <font>
      <sz val="13"/>
      <color theme="1"/>
      <name val="Calibri"/>
      <family val="2"/>
      <scheme val="minor"/>
    </font>
    <font>
      <sz val="13"/>
      <color rgb="FFFF0000"/>
      <name val="Times New Roman"/>
      <family val="1"/>
    </font>
    <font>
      <b/>
      <sz val="13"/>
      <color rgb="FFFF0000"/>
      <name val="Times New Roman"/>
      <family val="1"/>
    </font>
    <font>
      <sz val="13"/>
      <color rgb="FF000000"/>
      <name val="Times New Roman"/>
      <family val="1"/>
    </font>
    <font>
      <sz val="13"/>
      <color theme="1"/>
      <name val="Times New Roman"/>
      <family val="1"/>
    </font>
    <font>
      <b/>
      <sz val="13"/>
      <color rgb="FF000000"/>
      <name val="Times New Roman"/>
      <family val="1"/>
    </font>
    <font>
      <sz val="13"/>
      <color indexed="8"/>
      <name val="Times New Roman"/>
      <family val="1"/>
    </font>
    <font>
      <sz val="20"/>
      <color theme="1"/>
      <name val="Calibri"/>
      <family val="2"/>
      <scheme val="minor"/>
    </font>
  </fonts>
  <fills count="44">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bgColor theme="4"/>
      </patternFill>
    </fill>
    <fill>
      <patternFill patternType="solid">
        <fgColor theme="0"/>
        <bgColor indexed="64"/>
      </patternFill>
    </fill>
    <fill>
      <patternFill patternType="solid">
        <fgColor indexed="9"/>
        <bgColor indexed="64"/>
      </patternFill>
    </fill>
    <fill>
      <patternFill patternType="solid">
        <fgColor indexed="62"/>
        <bgColor indexed="62"/>
      </patternFill>
    </fill>
    <fill>
      <patternFill patternType="solid">
        <fgColor indexed="10"/>
        <bgColor indexed="64"/>
      </patternFill>
    </fill>
    <fill>
      <patternFill patternType="solid">
        <fgColor indexed="13"/>
        <bgColor indexed="64"/>
      </patternFill>
    </fill>
    <fill>
      <patternFill patternType="solid">
        <fgColor indexed="44"/>
        <bgColor indexed="44"/>
      </patternFill>
    </fill>
    <fill>
      <patternFill patternType="solid">
        <fgColor indexed="31"/>
        <bgColor indexed="31"/>
      </patternFill>
    </fill>
    <fill>
      <patternFill patternType="solid">
        <fgColor indexed="8"/>
        <bgColor indexed="64"/>
      </patternFill>
    </fill>
    <fill>
      <patternFill patternType="solid">
        <fgColor indexed="51"/>
        <bgColor indexed="64"/>
      </patternFill>
    </fill>
    <fill>
      <patternFill patternType="solid">
        <fgColor indexed="15"/>
        <bgColor indexed="64"/>
      </patternFill>
    </fill>
    <fill>
      <patternFill patternType="solid">
        <fgColor indexed="60"/>
        <bgColor indexed="64"/>
      </patternFill>
    </fill>
    <fill>
      <patternFill patternType="solid">
        <fgColor indexed="53"/>
        <bgColor indexed="64"/>
      </patternFill>
    </fill>
    <fill>
      <patternFill patternType="solid">
        <fgColor indexed="46"/>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57"/>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theme="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7"/>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rgb="FF00B0F0"/>
        <bgColor indexed="64"/>
      </patternFill>
    </fill>
  </fills>
  <borders count="75">
    <border>
      <left/>
      <right/>
      <top/>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theme="0"/>
      </left>
      <right/>
      <top/>
      <bottom/>
      <diagonal/>
    </border>
    <border>
      <left/>
      <right/>
      <top style="thin">
        <color indexed="64"/>
      </top>
      <bottom/>
      <diagonal/>
    </border>
    <border>
      <left style="thin">
        <color theme="0"/>
      </left>
      <right/>
      <top style="thin">
        <color indexed="64"/>
      </top>
      <bottom/>
      <diagonal/>
    </border>
    <border>
      <left style="hair">
        <color indexed="64"/>
      </left>
      <right/>
      <top style="hair">
        <color indexed="64"/>
      </top>
      <bottom style="hair">
        <color indexed="64"/>
      </bottom>
      <diagonal/>
    </border>
    <border>
      <left style="thin">
        <color indexed="64"/>
      </left>
      <right style="thin">
        <color indexed="64"/>
      </right>
      <top style="thin">
        <color indexed="64"/>
      </top>
      <bottom/>
      <diagonal/>
    </border>
    <border>
      <left/>
      <right style="hair">
        <color indexed="64"/>
      </right>
      <top style="hair">
        <color indexed="64"/>
      </top>
      <bottom style="hair">
        <color indexed="64"/>
      </bottom>
      <diagonal/>
    </border>
    <border>
      <left style="hair">
        <color indexed="64"/>
      </left>
      <right/>
      <top style="hair">
        <color indexed="64"/>
      </top>
      <bottom/>
      <diagonal/>
    </border>
    <border>
      <left style="thin">
        <color indexed="64"/>
      </left>
      <right/>
      <top style="hair">
        <color indexed="64"/>
      </top>
      <bottom/>
      <diagonal/>
    </border>
    <border>
      <left style="hair">
        <color indexed="64"/>
      </left>
      <right style="hair">
        <color indexed="64"/>
      </right>
      <top style="hair">
        <color indexed="64"/>
      </top>
      <bottom/>
      <diagonal/>
    </border>
    <border>
      <left style="thin">
        <color indexed="64"/>
      </left>
      <right/>
      <top style="thin">
        <color indexed="64"/>
      </top>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diagonal/>
    </border>
    <border>
      <left/>
      <right style="hair">
        <color indexed="64"/>
      </right>
      <top/>
      <bottom style="hair">
        <color indexed="64"/>
      </bottom>
      <diagonal/>
    </border>
    <border>
      <left style="dotted">
        <color indexed="64"/>
      </left>
      <right style="dotted">
        <color indexed="64"/>
      </right>
      <top style="dotted">
        <color indexed="64"/>
      </top>
      <bottom style="dotted">
        <color indexed="64"/>
      </bottom>
      <diagonal/>
    </border>
    <border>
      <left/>
      <right style="thin">
        <color indexed="9"/>
      </right>
      <top style="thin">
        <color indexed="9"/>
      </top>
      <bottom style="thin">
        <color indexed="9"/>
      </bottom>
      <diagonal/>
    </border>
    <border>
      <left style="thin">
        <color indexed="64"/>
      </left>
      <right style="thin">
        <color indexed="9"/>
      </right>
      <top style="thin">
        <color indexed="64"/>
      </top>
      <bottom style="thin">
        <color indexed="64"/>
      </bottom>
      <diagonal/>
    </border>
    <border>
      <left/>
      <right/>
      <top style="thin">
        <color indexed="9"/>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bottom/>
      <diagonal/>
    </border>
    <border>
      <left/>
      <right style="thin">
        <color indexed="64"/>
      </right>
      <top/>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s>
  <cellStyleXfs count="1252">
    <xf numFmtId="0" fontId="0" fillId="0" borderId="0"/>
    <xf numFmtId="167" fontId="2" fillId="0" borderId="0"/>
    <xf numFmtId="0" fontId="6" fillId="0" borderId="0"/>
    <xf numFmtId="0" fontId="10" fillId="0" borderId="0" applyNumberFormat="0" applyFill="0" applyBorder="0" applyAlignment="0" applyProtection="0">
      <alignment vertical="top"/>
      <protection locked="0"/>
    </xf>
    <xf numFmtId="167" fontId="2" fillId="0" borderId="0"/>
    <xf numFmtId="167" fontId="2" fillId="0" borderId="0"/>
    <xf numFmtId="0" fontId="6" fillId="0" borderId="0"/>
    <xf numFmtId="0" fontId="6" fillId="0" borderId="0"/>
    <xf numFmtId="0" fontId="6" fillId="0" borderId="0"/>
    <xf numFmtId="173" fontId="2" fillId="0" borderId="0"/>
    <xf numFmtId="0" fontId="6" fillId="0" borderId="0"/>
    <xf numFmtId="0" fontId="1" fillId="0" borderId="0"/>
    <xf numFmtId="0" fontId="6" fillId="0" borderId="0"/>
    <xf numFmtId="165" fontId="2" fillId="0" borderId="0"/>
    <xf numFmtId="0" fontId="6" fillId="0" borderId="0"/>
    <xf numFmtId="0" fontId="6" fillId="0" borderId="0"/>
    <xf numFmtId="9" fontId="6" fillId="0" borderId="0" applyFont="0" applyFill="0" applyBorder="0" applyAlignment="0" applyProtection="0"/>
    <xf numFmtId="0" fontId="1" fillId="0" borderId="0"/>
    <xf numFmtId="0" fontId="6" fillId="0" borderId="0"/>
    <xf numFmtId="0" fontId="2" fillId="0" borderId="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19"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0"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21"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2"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3"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5"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26"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18"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2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1" fillId="14"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7"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5"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6"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0"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31"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9"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32"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8"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29"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2" fillId="17"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3" fillId="20" borderId="0" applyNumberFormat="0" applyBorder="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4" fillId="33" borderId="63"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0" fontId="135" fillId="34" borderId="64" applyNumberFormat="0" applyAlignment="0" applyProtection="0"/>
    <xf numFmtId="168" fontId="6" fillId="0" borderId="0" applyFont="0" applyFill="0" applyBorder="0" applyAlignment="0" applyProtection="0"/>
    <xf numFmtId="0" fontId="6" fillId="0" borderId="0" applyFont="0" applyFill="0" applyBorder="0" applyAlignment="0" applyProtection="0"/>
    <xf numFmtId="168" fontId="6" fillId="0" borderId="0" applyFont="0" applyFill="0" applyBorder="0" applyAlignment="0" applyProtection="0"/>
    <xf numFmtId="6" fontId="6" fillId="0" borderId="0" applyFont="0" applyFill="0" applyBorder="0" applyAlignment="0" applyProtection="0"/>
    <xf numFmtId="166"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7" fillId="21" borderId="0" applyNumberFormat="0" applyBorder="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8" fillId="0" borderId="65"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39" fillId="0" borderId="66"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67" applyNumberFormat="0" applyFill="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1" fillId="0" borderId="0" applyNumberFormat="0" applyFill="0" applyBorder="0" applyAlignment="0" applyProtection="0">
      <alignment vertical="top"/>
      <protection locked="0"/>
    </xf>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2" fillId="23" borderId="63" applyNumberFormat="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3" fillId="0" borderId="68" applyNumberFormat="0" applyFill="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144" fillId="35" borderId="0" applyNumberFormat="0" applyBorder="0" applyAlignment="0" applyProtection="0"/>
    <xf numFmtId="0" fontId="6" fillId="0" borderId="0"/>
    <xf numFmtId="183" fontId="2" fillId="0" borderId="0"/>
    <xf numFmtId="167" fontId="145" fillId="0" borderId="0"/>
    <xf numFmtId="183" fontId="2" fillId="0" borderId="0"/>
    <xf numFmtId="167" fontId="2" fillId="0" borderId="0"/>
    <xf numFmtId="167" fontId="2" fillId="0" borderId="0"/>
    <xf numFmtId="183"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xf numFmtId="167" fontId="2" fillId="0" borderId="0"/>
    <xf numFmtId="167" fontId="2" fillId="0" borderId="0"/>
    <xf numFmtId="0" fontId="6" fillId="0" borderId="0"/>
    <xf numFmtId="0" fontId="6" fillId="0" borderId="0"/>
    <xf numFmtId="0" fontId="2" fillId="0" borderId="0"/>
    <xf numFmtId="0" fontId="6" fillId="0" borderId="0"/>
    <xf numFmtId="0" fontId="24"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164" fontId="2" fillId="0" borderId="0"/>
    <xf numFmtId="164" fontId="2" fillId="0" borderId="0"/>
    <xf numFmtId="164" fontId="2" fillId="0" borderId="0"/>
    <xf numFmtId="164" fontId="2" fillId="0" borderId="0"/>
    <xf numFmtId="0" fontId="6" fillId="0" borderId="0"/>
    <xf numFmtId="183" fontId="2" fillId="0" borderId="0"/>
    <xf numFmtId="183" fontId="2" fillId="0" borderId="0"/>
    <xf numFmtId="164" fontId="2" fillId="0" borderId="0"/>
    <xf numFmtId="183" fontId="2" fillId="0" borderId="0"/>
    <xf numFmtId="164" fontId="2" fillId="0" borderId="0"/>
    <xf numFmtId="164" fontId="2" fillId="0" borderId="0"/>
    <xf numFmtId="0" fontId="6" fillId="0" borderId="0"/>
    <xf numFmtId="183" fontId="2" fillId="0" borderId="0"/>
    <xf numFmtId="164" fontId="2" fillId="0" borderId="0"/>
    <xf numFmtId="183" fontId="2" fillId="0" borderId="0"/>
    <xf numFmtId="164" fontId="2" fillId="0" borderId="0"/>
    <xf numFmtId="164" fontId="2" fillId="0" borderId="0"/>
    <xf numFmtId="183" fontId="2" fillId="0" borderId="0"/>
    <xf numFmtId="0" fontId="130" fillId="0" borderId="0"/>
    <xf numFmtId="167" fontId="2"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46" fillId="0" borderId="0"/>
    <xf numFmtId="0" fontId="1" fillId="0" borderId="0"/>
    <xf numFmtId="0" fontId="2" fillId="0" borderId="0"/>
    <xf numFmtId="183" fontId="145" fillId="0" borderId="0"/>
    <xf numFmtId="0" fontId="6" fillId="0" borderId="0"/>
    <xf numFmtId="0" fontId="24" fillId="0" borderId="0"/>
    <xf numFmtId="0" fontId="6" fillId="0" borderId="0"/>
    <xf numFmtId="0" fontId="6" fillId="0" borderId="0"/>
    <xf numFmtId="0" fontId="6" fillId="0" borderId="0"/>
    <xf numFmtId="167" fontId="2" fillId="0" borderId="0"/>
    <xf numFmtId="167" fontId="2" fillId="0" borderId="0"/>
    <xf numFmtId="167" fontId="2" fillId="0" borderId="0"/>
    <xf numFmtId="167" fontId="2" fillId="0" borderId="0"/>
    <xf numFmtId="0" fontId="6" fillId="0" borderId="0"/>
    <xf numFmtId="0" fontId="1" fillId="0" borderId="0"/>
    <xf numFmtId="0" fontId="6" fillId="0" borderId="0"/>
    <xf numFmtId="0" fontId="6" fillId="0" borderId="0"/>
    <xf numFmtId="0" fontId="6" fillId="0" borderId="0"/>
    <xf numFmtId="0" fontId="6" fillId="0" borderId="0"/>
    <xf numFmtId="0" fontId="6" fillId="0" borderId="0"/>
    <xf numFmtId="0" fontId="6" fillId="0" borderId="0"/>
    <xf numFmtId="173" fontId="2" fillId="0" borderId="0"/>
    <xf numFmtId="173" fontId="2" fillId="0" borderId="0"/>
    <xf numFmtId="167" fontId="2" fillId="0" borderId="0"/>
    <xf numFmtId="167" fontId="2" fillId="0" borderId="0"/>
    <xf numFmtId="167" fontId="2" fillId="0" borderId="0"/>
    <xf numFmtId="167" fontId="2" fillId="0" borderId="0"/>
    <xf numFmtId="164" fontId="2" fillId="0" borderId="0"/>
    <xf numFmtId="0" fontId="1" fillId="0" borderId="0"/>
    <xf numFmtId="0" fontId="24" fillId="0" borderId="0"/>
    <xf numFmtId="0" fontId="1" fillId="0" borderId="0"/>
    <xf numFmtId="0" fontId="1" fillId="0" borderId="0"/>
    <xf numFmtId="0" fontId="1" fillId="0" borderId="0"/>
    <xf numFmtId="165" fontId="2" fillId="0" borderId="0"/>
    <xf numFmtId="167" fontId="2" fillId="0" borderId="0"/>
    <xf numFmtId="165" fontId="2" fillId="0" borderId="0"/>
    <xf numFmtId="167" fontId="2" fillId="0" borderId="0"/>
    <xf numFmtId="184" fontId="2" fillId="0" borderId="0"/>
    <xf numFmtId="167" fontId="2" fillId="0" borderId="0"/>
    <xf numFmtId="185" fontId="2" fillId="0" borderId="0"/>
    <xf numFmtId="0" fontId="1" fillId="0" borderId="0"/>
    <xf numFmtId="165" fontId="2" fillId="0" borderId="0"/>
    <xf numFmtId="0" fontId="146" fillId="0" borderId="0"/>
    <xf numFmtId="0" fontId="24" fillId="0" borderId="0"/>
    <xf numFmtId="183" fontId="145" fillId="0" borderId="0"/>
    <xf numFmtId="175" fontId="2" fillId="0" borderId="0"/>
    <xf numFmtId="172" fontId="2" fillId="0" borderId="0"/>
    <xf numFmtId="167" fontId="2" fillId="0" borderId="0"/>
    <xf numFmtId="167" fontId="2" fillId="0" borderId="0"/>
    <xf numFmtId="0" fontId="6" fillId="0" borderId="0"/>
    <xf numFmtId="183" fontId="72" fillId="0" borderId="0"/>
    <xf numFmtId="0" fontId="130" fillId="0" borderId="0"/>
    <xf numFmtId="183" fontId="72" fillId="0" borderId="0"/>
    <xf numFmtId="0" fontId="1" fillId="0" borderId="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2" fillId="36" borderId="69" applyNumberFormat="0" applyFon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0" fontId="147" fillId="33" borderId="70"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11" fillId="0" borderId="71" applyNumberFormat="0" applyFill="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43" fontId="6" fillId="0" borderId="0" applyFont="0" applyFill="0" applyBorder="0" applyAlignment="0" applyProtection="0"/>
    <xf numFmtId="0" fontId="6" fillId="0" borderId="0"/>
    <xf numFmtId="0" fontId="6" fillId="0" borderId="0"/>
    <xf numFmtId="0" fontId="154" fillId="0" borderId="0"/>
  </cellStyleXfs>
  <cellXfs count="1693">
    <xf numFmtId="0" fontId="0" fillId="0" borderId="0" xfId="0"/>
    <xf numFmtId="167" fontId="2" fillId="0" borderId="0" xfId="1" applyAlignment="1">
      <alignment wrapText="1"/>
    </xf>
    <xf numFmtId="167" fontId="2" fillId="0" borderId="0" xfId="1"/>
    <xf numFmtId="167" fontId="7" fillId="0" borderId="0" xfId="1" applyFont="1" applyFill="1" applyBorder="1" applyAlignment="1">
      <alignment horizontal="center" vertical="center" wrapText="1"/>
    </xf>
    <xf numFmtId="1" fontId="7" fillId="0" borderId="5" xfId="1" applyNumberFormat="1" applyFont="1" applyFill="1" applyBorder="1" applyAlignment="1">
      <alignment horizontal="center" vertical="center" wrapText="1"/>
    </xf>
    <xf numFmtId="167" fontId="7" fillId="0" borderId="5" xfId="1" applyNumberFormat="1" applyFont="1" applyFill="1" applyBorder="1" applyAlignment="1">
      <alignment horizontal="center" vertical="center" wrapText="1"/>
    </xf>
    <xf numFmtId="167" fontId="7" fillId="0" borderId="0" xfId="1" applyNumberFormat="1" applyFont="1" applyFill="1" applyBorder="1" applyAlignment="1">
      <alignment horizontal="center" vertical="center" wrapText="1"/>
    </xf>
    <xf numFmtId="0" fontId="7" fillId="0" borderId="5" xfId="1" applyNumberFormat="1" applyFont="1" applyFill="1" applyBorder="1" applyAlignment="1">
      <alignment horizontal="center" vertical="center"/>
    </xf>
    <xf numFmtId="167" fontId="12" fillId="0" borderId="0" xfId="1" applyFont="1" applyBorder="1" applyAlignment="1">
      <alignment horizontal="right" vertical="center"/>
    </xf>
    <xf numFmtId="167" fontId="12" fillId="0" borderId="0" xfId="1" applyFont="1" applyBorder="1" applyAlignment="1">
      <alignment horizontal="left" vertical="center" wrapText="1"/>
    </xf>
    <xf numFmtId="2" fontId="12" fillId="0" borderId="0" xfId="1" applyNumberFormat="1" applyFont="1" applyBorder="1" applyAlignment="1">
      <alignment horizontal="center" vertical="center"/>
    </xf>
    <xf numFmtId="1" fontId="12" fillId="0" borderId="0" xfId="1" applyNumberFormat="1" applyFont="1" applyBorder="1" applyAlignment="1">
      <alignment horizontal="center" vertical="center"/>
    </xf>
    <xf numFmtId="167" fontId="12" fillId="0" borderId="0" xfId="1" applyFont="1" applyBorder="1" applyAlignment="1">
      <alignment horizontal="center" vertical="center"/>
    </xf>
    <xf numFmtId="167" fontId="12" fillId="0" borderId="0" xfId="1" applyFont="1" applyBorder="1" applyAlignment="1">
      <alignment horizontal="right"/>
    </xf>
    <xf numFmtId="167" fontId="12" fillId="0" borderId="0" xfId="1" applyFont="1" applyBorder="1"/>
    <xf numFmtId="167" fontId="13" fillId="0" borderId="0" xfId="1" applyFont="1" applyBorder="1" applyAlignment="1">
      <alignment horizontal="center" vertical="center"/>
    </xf>
    <xf numFmtId="0" fontId="13" fillId="0" borderId="13" xfId="1" applyNumberFormat="1" applyFont="1" applyBorder="1" applyAlignment="1">
      <alignment horizontal="center" vertical="center"/>
    </xf>
    <xf numFmtId="169" fontId="12" fillId="0" borderId="13" xfId="2" applyNumberFormat="1" applyFont="1" applyBorder="1" applyAlignment="1">
      <alignment horizontal="right" vertical="center" wrapText="1"/>
    </xf>
    <xf numFmtId="2" fontId="12" fillId="0" borderId="13" xfId="2" applyNumberFormat="1" applyFont="1" applyBorder="1" applyAlignment="1">
      <alignment horizontal="left" vertical="center" wrapText="1"/>
    </xf>
    <xf numFmtId="1" fontId="12" fillId="0" borderId="13" xfId="2" applyNumberFormat="1" applyFont="1" applyBorder="1" applyAlignment="1">
      <alignment horizontal="center" vertical="center" wrapText="1"/>
    </xf>
    <xf numFmtId="1" fontId="12" fillId="0" borderId="13" xfId="1" applyNumberFormat="1" applyFont="1" applyBorder="1" applyAlignment="1">
      <alignment horizontal="center" vertical="center"/>
    </xf>
    <xf numFmtId="167" fontId="12" fillId="0" borderId="13" xfId="1" applyFont="1" applyBorder="1" applyAlignment="1">
      <alignment horizontal="center" vertical="center"/>
    </xf>
    <xf numFmtId="167" fontId="12" fillId="0" borderId="13" xfId="1" applyFont="1" applyBorder="1" applyAlignment="1">
      <alignment horizontal="right" vertical="center"/>
    </xf>
    <xf numFmtId="167" fontId="12" fillId="0" borderId="0" xfId="1" applyFont="1" applyBorder="1" applyAlignment="1">
      <alignment vertical="center"/>
    </xf>
    <xf numFmtId="167" fontId="12" fillId="0" borderId="13" xfId="1" applyFont="1" applyBorder="1" applyAlignment="1">
      <alignment horizontal="left" vertical="center" wrapText="1"/>
    </xf>
    <xf numFmtId="167" fontId="12" fillId="0" borderId="0" xfId="1" applyFont="1" applyAlignment="1">
      <alignment vertical="center"/>
    </xf>
    <xf numFmtId="167" fontId="13" fillId="0" borderId="13" xfId="1" applyFont="1" applyBorder="1" applyAlignment="1">
      <alignment horizontal="center" vertical="center"/>
    </xf>
    <xf numFmtId="167" fontId="13" fillId="0" borderId="13" xfId="1" applyFont="1" applyBorder="1" applyAlignment="1">
      <alignment horizontal="left" vertical="center"/>
    </xf>
    <xf numFmtId="167" fontId="13" fillId="0" borderId="13" xfId="1" applyFont="1" applyBorder="1" applyAlignment="1">
      <alignment horizontal="right" vertical="center"/>
    </xf>
    <xf numFmtId="171" fontId="12" fillId="0" borderId="13" xfId="1" applyNumberFormat="1" applyFont="1" applyBorder="1" applyAlignment="1">
      <alignment horizontal="center" vertical="center"/>
    </xf>
    <xf numFmtId="2" fontId="12" fillId="0" borderId="13" xfId="2" applyNumberFormat="1" applyFont="1" applyBorder="1" applyAlignment="1">
      <alignment horizontal="right" vertical="center" wrapText="1"/>
    </xf>
    <xf numFmtId="167" fontId="12" fillId="0" borderId="13" xfId="1" applyFont="1" applyFill="1" applyBorder="1" applyAlignment="1">
      <alignment horizontal="center" vertical="center"/>
    </xf>
    <xf numFmtId="169" fontId="12" fillId="4" borderId="13" xfId="2" applyNumberFormat="1" applyFont="1" applyFill="1" applyBorder="1" applyAlignment="1">
      <alignment horizontal="right" vertical="center" wrapText="1"/>
    </xf>
    <xf numFmtId="167" fontId="12" fillId="4" borderId="13" xfId="1" applyFont="1" applyFill="1" applyBorder="1" applyAlignment="1">
      <alignment horizontal="left" vertical="center" wrapText="1"/>
    </xf>
    <xf numFmtId="1" fontId="12" fillId="4" borderId="13" xfId="1" applyNumberFormat="1" applyFont="1" applyFill="1" applyBorder="1" applyAlignment="1">
      <alignment horizontal="center" vertical="center"/>
    </xf>
    <xf numFmtId="167" fontId="12" fillId="4" borderId="13" xfId="1" applyFont="1" applyFill="1" applyBorder="1" applyAlignment="1">
      <alignment horizontal="center" vertical="center"/>
    </xf>
    <xf numFmtId="167" fontId="12" fillId="4" borderId="13" xfId="1" applyFont="1" applyFill="1" applyBorder="1" applyAlignment="1">
      <alignment horizontal="right" vertical="center"/>
    </xf>
    <xf numFmtId="167" fontId="13" fillId="4" borderId="13" xfId="1" applyFont="1" applyFill="1" applyBorder="1" applyAlignment="1">
      <alignment horizontal="center" vertical="center"/>
    </xf>
    <xf numFmtId="171" fontId="13" fillId="4" borderId="13" xfId="1" applyNumberFormat="1" applyFont="1" applyFill="1" applyBorder="1" applyAlignment="1">
      <alignment horizontal="center" vertical="center"/>
    </xf>
    <xf numFmtId="167" fontId="13" fillId="4" borderId="13" xfId="1" applyFont="1" applyFill="1" applyBorder="1" applyAlignment="1">
      <alignment horizontal="left" vertical="center"/>
    </xf>
    <xf numFmtId="0" fontId="16" fillId="0" borderId="0" xfId="1" applyNumberFormat="1" applyFont="1"/>
    <xf numFmtId="0" fontId="16" fillId="0" borderId="0" xfId="1" applyNumberFormat="1" applyFont="1" applyAlignment="1">
      <alignment horizontal="center"/>
    </xf>
    <xf numFmtId="9" fontId="16" fillId="0" borderId="0" xfId="1" applyNumberFormat="1" applyFont="1" applyAlignment="1">
      <alignment horizontal="center"/>
    </xf>
    <xf numFmtId="16" fontId="17" fillId="0" borderId="0" xfId="1" quotePrefix="1" applyNumberFormat="1" applyFont="1" applyAlignment="1">
      <alignment horizontal="center" vertical="center"/>
    </xf>
    <xf numFmtId="0" fontId="16" fillId="0" borderId="0" xfId="1" applyNumberFormat="1" applyFont="1" applyAlignment="1"/>
    <xf numFmtId="0" fontId="15" fillId="0" borderId="0" xfId="1" applyNumberFormat="1" applyFont="1" applyAlignment="1">
      <alignment horizontal="right"/>
    </xf>
    <xf numFmtId="2" fontId="15" fillId="0" borderId="0" xfId="1" applyNumberFormat="1" applyFont="1" applyAlignment="1">
      <alignment horizontal="center"/>
    </xf>
    <xf numFmtId="0" fontId="15" fillId="0" borderId="0" xfId="1" applyNumberFormat="1" applyFont="1"/>
    <xf numFmtId="9" fontId="16" fillId="0" borderId="0" xfId="1" applyNumberFormat="1" applyFont="1"/>
    <xf numFmtId="2" fontId="16" fillId="0" borderId="0" xfId="1" applyNumberFormat="1" applyFont="1" applyAlignment="1">
      <alignment horizontal="center"/>
    </xf>
    <xf numFmtId="0" fontId="16" fillId="0" borderId="0" xfId="1" quotePrefix="1" applyNumberFormat="1" applyFont="1" applyAlignment="1">
      <alignment vertical="center"/>
    </xf>
    <xf numFmtId="2" fontId="16" fillId="0" borderId="0" xfId="1" applyNumberFormat="1" applyFont="1"/>
    <xf numFmtId="0" fontId="16" fillId="0" borderId="0" xfId="1" quotePrefix="1" applyNumberFormat="1" applyFont="1" applyAlignment="1">
      <alignment horizontal="center"/>
    </xf>
    <xf numFmtId="2" fontId="15" fillId="0" borderId="0" xfId="1" applyNumberFormat="1" applyFont="1" applyAlignment="1">
      <alignment horizontal="right"/>
    </xf>
    <xf numFmtId="2" fontId="15" fillId="0" borderId="0" xfId="1" applyNumberFormat="1" applyFont="1" applyFill="1"/>
    <xf numFmtId="0" fontId="18" fillId="0" borderId="0" xfId="1" applyNumberFormat="1" applyFont="1" applyFill="1" applyBorder="1" applyAlignment="1">
      <alignment horizontal="center" vertical="center" wrapText="1"/>
    </xf>
    <xf numFmtId="167" fontId="19" fillId="0" borderId="0" xfId="1" applyFont="1" applyFill="1" applyBorder="1" applyAlignment="1">
      <alignment horizontal="center" vertical="center"/>
    </xf>
    <xf numFmtId="0" fontId="20" fillId="0" borderId="0" xfId="1" applyNumberFormat="1" applyFont="1" applyFill="1" applyBorder="1" applyAlignment="1">
      <alignment horizontal="left" vertical="center"/>
    </xf>
    <xf numFmtId="0" fontId="20" fillId="0" borderId="0" xfId="1" applyNumberFormat="1" applyFont="1" applyFill="1" applyBorder="1" applyAlignment="1">
      <alignment horizontal="center" vertical="center" wrapText="1"/>
    </xf>
    <xf numFmtId="0" fontId="18" fillId="0" borderId="0" xfId="1" applyNumberFormat="1" applyFont="1" applyFill="1" applyBorder="1" applyAlignment="1">
      <alignment horizontal="justify" vertical="center" wrapText="1"/>
    </xf>
    <xf numFmtId="0" fontId="18" fillId="0" borderId="0" xfId="1" applyNumberFormat="1" applyFont="1" applyFill="1" applyBorder="1" applyAlignment="1">
      <alignment horizontal="center" vertical="center"/>
    </xf>
    <xf numFmtId="0" fontId="18" fillId="0" borderId="11" xfId="1" applyNumberFormat="1" applyFont="1" applyFill="1" applyBorder="1" applyAlignment="1">
      <alignment horizontal="center" vertical="center"/>
    </xf>
    <xf numFmtId="167" fontId="18" fillId="0" borderId="0" xfId="1" applyFont="1" applyFill="1" applyBorder="1" applyAlignment="1">
      <alignment horizontal="center" vertical="center"/>
    </xf>
    <xf numFmtId="1" fontId="19" fillId="0" borderId="19" xfId="2" applyNumberFormat="1" applyFont="1" applyFill="1" applyBorder="1" applyAlignment="1">
      <alignment horizontal="center" vertical="center" wrapText="1"/>
    </xf>
    <xf numFmtId="167" fontId="19" fillId="0" borderId="23" xfId="4" applyNumberFormat="1" applyFont="1" applyFill="1" applyBorder="1" applyAlignment="1">
      <alignment horizontal="center" vertical="center"/>
    </xf>
    <xf numFmtId="167" fontId="19" fillId="0" borderId="0" xfId="1" applyFont="1" applyFill="1" applyBorder="1" applyAlignment="1">
      <alignment horizontal="right"/>
    </xf>
    <xf numFmtId="1" fontId="19" fillId="0" borderId="24" xfId="4" applyNumberFormat="1" applyFont="1" applyFill="1" applyBorder="1" applyAlignment="1">
      <alignment horizontal="center" vertical="center"/>
    </xf>
    <xf numFmtId="167" fontId="18" fillId="0" borderId="5" xfId="1" applyFont="1" applyFill="1" applyBorder="1" applyAlignment="1">
      <alignment vertical="center" wrapText="1"/>
    </xf>
    <xf numFmtId="1" fontId="19" fillId="0" borderId="5" xfId="1" applyNumberFormat="1" applyFont="1" applyFill="1" applyBorder="1" applyAlignment="1">
      <alignment horizontal="center" vertical="center"/>
    </xf>
    <xf numFmtId="167" fontId="19" fillId="0" borderId="5" xfId="1" applyFont="1" applyFill="1" applyBorder="1" applyAlignment="1">
      <alignment horizontal="center" vertical="center"/>
    </xf>
    <xf numFmtId="167" fontId="19" fillId="0" borderId="5" xfId="1" applyNumberFormat="1" applyFont="1" applyFill="1" applyBorder="1" applyAlignment="1">
      <alignment horizontal="center" vertical="center"/>
    </xf>
    <xf numFmtId="167" fontId="19" fillId="0" borderId="25" xfId="4" applyNumberFormat="1" applyFont="1" applyFill="1" applyBorder="1" applyAlignment="1">
      <alignment horizontal="center" vertical="center"/>
    </xf>
    <xf numFmtId="167" fontId="19" fillId="0" borderId="0" xfId="1" applyFont="1" applyFill="1" applyBorder="1" applyAlignment="1">
      <alignment horizontal="right" vertical="center"/>
    </xf>
    <xf numFmtId="167" fontId="19" fillId="0" borderId="5" xfId="1" applyFont="1" applyFill="1" applyBorder="1" applyAlignment="1">
      <alignment vertical="center" wrapText="1"/>
    </xf>
    <xf numFmtId="167" fontId="19" fillId="0" borderId="5" xfId="4" applyNumberFormat="1" applyFont="1" applyFill="1" applyBorder="1" applyAlignment="1">
      <alignment horizontal="left" vertical="center"/>
    </xf>
    <xf numFmtId="1" fontId="19" fillId="0" borderId="5" xfId="4" applyNumberFormat="1" applyFont="1" applyFill="1" applyBorder="1" applyAlignment="1">
      <alignment horizontal="center" vertical="center"/>
    </xf>
    <xf numFmtId="168" fontId="19" fillId="0" borderId="5" xfId="4" applyNumberFormat="1" applyFont="1" applyFill="1" applyBorder="1" applyAlignment="1">
      <alignment horizontal="center" vertical="center"/>
    </xf>
    <xf numFmtId="167" fontId="19" fillId="0" borderId="5" xfId="4" applyNumberFormat="1" applyFont="1" applyFill="1" applyBorder="1" applyAlignment="1">
      <alignment horizontal="center" vertical="center"/>
    </xf>
    <xf numFmtId="2" fontId="19" fillId="0" borderId="25" xfId="1" applyNumberFormat="1" applyFont="1" applyFill="1" applyBorder="1" applyAlignment="1">
      <alignment horizontal="center" vertical="center"/>
    </xf>
    <xf numFmtId="0" fontId="19" fillId="0" borderId="0" xfId="1" applyNumberFormat="1" applyFont="1" applyFill="1" applyBorder="1" applyAlignment="1">
      <alignment horizontal="right" vertical="center"/>
    </xf>
    <xf numFmtId="170" fontId="19" fillId="0" borderId="5" xfId="4" applyNumberFormat="1" applyFont="1" applyFill="1" applyBorder="1" applyAlignment="1">
      <alignment horizontal="center" vertical="center"/>
    </xf>
    <xf numFmtId="2" fontId="18" fillId="0" borderId="25" xfId="1" applyNumberFormat="1" applyFont="1" applyFill="1" applyBorder="1" applyAlignment="1">
      <alignment horizontal="center" vertical="center"/>
    </xf>
    <xf numFmtId="167" fontId="19" fillId="0" borderId="0" xfId="5" applyFont="1" applyFill="1" applyBorder="1" applyAlignment="1">
      <alignment horizontal="right" vertical="center" wrapText="1"/>
    </xf>
    <xf numFmtId="167" fontId="18" fillId="0" borderId="5" xfId="4" applyNumberFormat="1" applyFont="1" applyFill="1" applyBorder="1" applyAlignment="1">
      <alignment horizontal="center" vertical="center"/>
    </xf>
    <xf numFmtId="167" fontId="18" fillId="0" borderId="25" xfId="4" applyNumberFormat="1" applyFont="1" applyFill="1" applyBorder="1" applyAlignment="1">
      <alignment horizontal="center" vertical="center"/>
    </xf>
    <xf numFmtId="1" fontId="19" fillId="0" borderId="24" xfId="2" applyNumberFormat="1" applyFont="1" applyFill="1" applyBorder="1" applyAlignment="1">
      <alignment horizontal="center" vertical="center" wrapText="1"/>
    </xf>
    <xf numFmtId="167" fontId="19" fillId="0" borderId="5" xfId="4" applyNumberFormat="1" applyFont="1" applyFill="1" applyBorder="1" applyAlignment="1">
      <alignment horizontal="right" vertical="center"/>
    </xf>
    <xf numFmtId="167" fontId="19" fillId="0" borderId="6" xfId="4" applyNumberFormat="1" applyFont="1" applyFill="1" applyBorder="1" applyAlignment="1">
      <alignment horizontal="right" vertical="center"/>
    </xf>
    <xf numFmtId="168" fontId="19" fillId="0" borderId="24" xfId="1" applyNumberFormat="1" applyFont="1" applyFill="1" applyBorder="1" applyAlignment="1">
      <alignment horizontal="center" vertical="center" wrapText="1"/>
    </xf>
    <xf numFmtId="167" fontId="19" fillId="0" borderId="25" xfId="1" applyFont="1" applyFill="1" applyBorder="1" applyAlignment="1">
      <alignment horizontal="center" vertical="center" wrapText="1"/>
    </xf>
    <xf numFmtId="167" fontId="19" fillId="0" borderId="0" xfId="1" applyFont="1" applyFill="1" applyBorder="1" applyAlignment="1">
      <alignment horizontal="right" wrapText="1"/>
    </xf>
    <xf numFmtId="167" fontId="19" fillId="0" borderId="5" xfId="1" applyFont="1" applyFill="1" applyBorder="1" applyAlignment="1">
      <alignment horizontal="center" vertical="center" wrapText="1"/>
    </xf>
    <xf numFmtId="167" fontId="19" fillId="0" borderId="5" xfId="1" applyNumberFormat="1" applyFont="1" applyFill="1" applyBorder="1" applyAlignment="1">
      <alignment horizontal="center" vertical="center" wrapText="1"/>
    </xf>
    <xf numFmtId="167" fontId="19" fillId="0" borderId="0" xfId="1" applyFont="1" applyFill="1" applyBorder="1" applyAlignment="1">
      <alignment horizontal="right" vertical="center" wrapText="1"/>
    </xf>
    <xf numFmtId="167" fontId="19" fillId="0" borderId="5" xfId="1" applyFont="1" applyFill="1" applyBorder="1" applyAlignment="1">
      <alignment horizontal="left" vertical="center" wrapText="1"/>
    </xf>
    <xf numFmtId="1" fontId="19" fillId="0" borderId="5" xfId="1" applyNumberFormat="1" applyFont="1" applyFill="1" applyBorder="1" applyAlignment="1">
      <alignment horizontal="center" vertical="center" wrapText="1"/>
    </xf>
    <xf numFmtId="168" fontId="19" fillId="0" borderId="5" xfId="1" applyNumberFormat="1" applyFont="1" applyFill="1" applyBorder="1" applyAlignment="1">
      <alignment horizontal="center" vertical="center" wrapText="1"/>
    </xf>
    <xf numFmtId="167" fontId="18" fillId="0" borderId="5" xfId="1" applyFont="1" applyFill="1" applyBorder="1" applyAlignment="1">
      <alignment horizontal="center" vertical="center"/>
    </xf>
    <xf numFmtId="167" fontId="18" fillId="0" borderId="25" xfId="1" applyFont="1" applyFill="1" applyBorder="1" applyAlignment="1">
      <alignment horizontal="center" vertical="center"/>
    </xf>
    <xf numFmtId="168" fontId="19" fillId="0" borderId="5" xfId="1" applyNumberFormat="1" applyFont="1" applyFill="1" applyBorder="1" applyAlignment="1">
      <alignment horizontal="center" vertical="center"/>
    </xf>
    <xf numFmtId="168" fontId="19" fillId="0" borderId="24" xfId="6" applyNumberFormat="1" applyFont="1" applyFill="1" applyBorder="1" applyAlignment="1">
      <alignment horizontal="center" vertical="center" wrapText="1"/>
    </xf>
    <xf numFmtId="168" fontId="19" fillId="0" borderId="24" xfId="4" applyNumberFormat="1" applyFont="1" applyFill="1" applyBorder="1" applyAlignment="1">
      <alignment horizontal="center" vertical="center" wrapText="1"/>
    </xf>
    <xf numFmtId="2" fontId="19" fillId="0" borderId="5" xfId="6" applyNumberFormat="1" applyFont="1" applyFill="1" applyBorder="1" applyAlignment="1">
      <alignment horizontal="left" vertical="center" wrapText="1"/>
    </xf>
    <xf numFmtId="0" fontId="19" fillId="0" borderId="5" xfId="1" applyNumberFormat="1" applyFont="1" applyFill="1" applyBorder="1" applyAlignment="1">
      <alignment horizontal="center" vertical="center" wrapText="1"/>
    </xf>
    <xf numFmtId="171" fontId="19" fillId="0" borderId="5" xfId="1" applyNumberFormat="1" applyFont="1" applyFill="1" applyBorder="1" applyAlignment="1">
      <alignment horizontal="center" vertical="center" wrapText="1"/>
    </xf>
    <xf numFmtId="2" fontId="18" fillId="0" borderId="5" xfId="6" applyNumberFormat="1" applyFont="1" applyFill="1" applyBorder="1" applyAlignment="1">
      <alignment horizontal="left" vertical="center" wrapText="1"/>
    </xf>
    <xf numFmtId="1" fontId="19" fillId="0" borderId="5" xfId="6" applyNumberFormat="1" applyFont="1" applyFill="1" applyBorder="1" applyAlignment="1">
      <alignment horizontal="center" vertical="center" wrapText="1"/>
    </xf>
    <xf numFmtId="167" fontId="19" fillId="0" borderId="5" xfId="1" applyFont="1" applyFill="1" applyBorder="1" applyAlignment="1">
      <alignment horizontal="right" vertical="center" wrapText="1"/>
    </xf>
    <xf numFmtId="168" fontId="19" fillId="0" borderId="0" xfId="4" applyNumberFormat="1" applyFont="1" applyFill="1" applyBorder="1" applyAlignment="1">
      <alignment horizontal="center" vertical="center" wrapText="1"/>
    </xf>
    <xf numFmtId="2" fontId="19" fillId="0" borderId="0" xfId="6" applyNumberFormat="1" applyFont="1" applyFill="1" applyBorder="1" applyAlignment="1">
      <alignment horizontal="left" vertical="center" wrapText="1"/>
    </xf>
    <xf numFmtId="0" fontId="19" fillId="0" borderId="0" xfId="1" applyNumberFormat="1" applyFont="1" applyFill="1" applyBorder="1" applyAlignment="1">
      <alignment horizontal="center" vertical="center" wrapText="1"/>
    </xf>
    <xf numFmtId="167" fontId="19" fillId="0" borderId="0" xfId="1" applyFont="1" applyFill="1" applyBorder="1" applyAlignment="1">
      <alignment horizontal="center" vertical="center" wrapText="1"/>
    </xf>
    <xf numFmtId="167" fontId="18" fillId="0" borderId="0" xfId="4" applyNumberFormat="1" applyFont="1" applyFill="1" applyBorder="1" applyAlignment="1">
      <alignment horizontal="center" vertical="center"/>
    </xf>
    <xf numFmtId="1" fontId="19" fillId="0" borderId="0" xfId="1" applyNumberFormat="1" applyFont="1" applyFill="1" applyBorder="1" applyAlignment="1">
      <alignment horizontal="center" vertical="center"/>
    </xf>
    <xf numFmtId="167" fontId="18" fillId="0" borderId="0" xfId="1" applyFont="1" applyFill="1" applyBorder="1" applyAlignment="1">
      <alignment horizontal="left" vertical="center"/>
    </xf>
    <xf numFmtId="0" fontId="7" fillId="0" borderId="0" xfId="1" applyNumberFormat="1" applyFont="1" applyFill="1" applyBorder="1" applyAlignment="1">
      <alignment horizontal="center" vertical="center" wrapText="1"/>
    </xf>
    <xf numFmtId="0" fontId="8" fillId="0" borderId="27" xfId="1" applyNumberFormat="1" applyFont="1" applyFill="1" applyBorder="1" applyAlignment="1">
      <alignment vertical="center" wrapText="1"/>
    </xf>
    <xf numFmtId="2" fontId="8" fillId="0" borderId="27" xfId="1" applyNumberFormat="1" applyFont="1" applyFill="1" applyBorder="1" applyAlignment="1">
      <alignment vertical="center" wrapText="1"/>
    </xf>
    <xf numFmtId="0" fontId="8" fillId="0" borderId="27" xfId="1" applyNumberFormat="1" applyFont="1" applyFill="1" applyBorder="1" applyAlignment="1">
      <alignment horizontal="center" vertical="center" wrapText="1"/>
    </xf>
    <xf numFmtId="0" fontId="8" fillId="0" borderId="0" xfId="1" applyNumberFormat="1" applyFont="1" applyFill="1" applyBorder="1" applyAlignment="1">
      <alignment vertical="center" wrapText="1"/>
    </xf>
    <xf numFmtId="0" fontId="7" fillId="0" borderId="5" xfId="1" applyNumberFormat="1" applyFont="1" applyFill="1" applyBorder="1" applyAlignment="1">
      <alignment horizontal="center" vertical="center" wrapText="1"/>
    </xf>
    <xf numFmtId="0" fontId="8" fillId="0" borderId="5" xfId="1" applyNumberFormat="1" applyFont="1" applyFill="1" applyBorder="1" applyAlignment="1">
      <alignment vertical="center" wrapText="1"/>
    </xf>
    <xf numFmtId="2" fontId="8" fillId="0" borderId="5" xfId="1" applyNumberFormat="1" applyFont="1" applyFill="1" applyBorder="1" applyAlignment="1">
      <alignment vertical="center" wrapText="1"/>
    </xf>
    <xf numFmtId="2" fontId="7" fillId="0" borderId="5" xfId="1" applyNumberFormat="1" applyFont="1" applyFill="1" applyBorder="1" applyAlignment="1">
      <alignment horizontal="center" vertical="center" wrapText="1"/>
    </xf>
    <xf numFmtId="2" fontId="7" fillId="0" borderId="0" xfId="1" applyNumberFormat="1" applyFont="1" applyFill="1" applyBorder="1" applyAlignment="1">
      <alignment horizontal="center" vertical="center" wrapText="1"/>
    </xf>
    <xf numFmtId="0" fontId="7" fillId="0" borderId="27" xfId="1" applyNumberFormat="1" applyFont="1" applyFill="1" applyBorder="1" applyAlignment="1">
      <alignment horizontal="center" vertical="center" wrapText="1"/>
    </xf>
    <xf numFmtId="2" fontId="7" fillId="0" borderId="27" xfId="1" applyNumberFormat="1" applyFont="1" applyFill="1" applyBorder="1" applyAlignment="1">
      <alignment horizontal="center" vertical="center" wrapText="1"/>
    </xf>
    <xf numFmtId="2" fontId="8" fillId="0" borderId="27" xfId="1" applyNumberFormat="1" applyFont="1" applyFill="1" applyBorder="1" applyAlignment="1">
      <alignment horizontal="center" vertical="center" wrapText="1"/>
    </xf>
    <xf numFmtId="0" fontId="21" fillId="5" borderId="0" xfId="1" applyNumberFormat="1" applyFont="1" applyFill="1" applyBorder="1" applyAlignment="1">
      <alignment horizontal="center" vertical="center" wrapText="1"/>
    </xf>
    <xf numFmtId="0" fontId="21" fillId="5" borderId="28" xfId="1" applyNumberFormat="1" applyFont="1" applyFill="1" applyBorder="1" applyAlignment="1">
      <alignment horizontal="center" vertical="center" wrapText="1"/>
    </xf>
    <xf numFmtId="0" fontId="11" fillId="2" borderId="29" xfId="1" applyNumberFormat="1" applyFont="1" applyFill="1" applyBorder="1" applyAlignment="1">
      <alignment horizontal="center" vertical="center" wrapText="1"/>
    </xf>
    <xf numFmtId="0" fontId="11" fillId="2" borderId="30" xfId="1" applyNumberFormat="1" applyFont="1" applyFill="1" applyBorder="1" applyAlignment="1">
      <alignment horizontal="center" vertical="center" wrapText="1"/>
    </xf>
    <xf numFmtId="2" fontId="8" fillId="0" borderId="0" xfId="1" applyNumberFormat="1" applyFont="1" applyFill="1" applyBorder="1" applyAlignment="1">
      <alignment vertical="center" wrapText="1"/>
    </xf>
    <xf numFmtId="0" fontId="11" fillId="3" borderId="30" xfId="1" applyNumberFormat="1" applyFont="1" applyFill="1" applyBorder="1" applyAlignment="1">
      <alignment horizontal="center" vertical="center" wrapText="1"/>
    </xf>
    <xf numFmtId="0" fontId="21" fillId="5" borderId="28" xfId="1" applyNumberFormat="1" applyFont="1" applyFill="1" applyBorder="1" applyAlignment="1">
      <alignment vertical="center" wrapText="1"/>
    </xf>
    <xf numFmtId="2" fontId="21" fillId="5" borderId="28" xfId="1" applyNumberFormat="1" applyFont="1" applyFill="1" applyBorder="1" applyAlignment="1">
      <alignment vertical="center" wrapText="1"/>
    </xf>
    <xf numFmtId="0" fontId="11" fillId="2" borderId="30" xfId="1" applyNumberFormat="1" applyFont="1" applyFill="1" applyBorder="1" applyAlignment="1">
      <alignment vertical="center" wrapText="1"/>
    </xf>
    <xf numFmtId="2" fontId="11" fillId="2" borderId="30" xfId="1" applyNumberFormat="1" applyFont="1" applyFill="1" applyBorder="1" applyAlignment="1">
      <alignment vertical="center" wrapText="1"/>
    </xf>
    <xf numFmtId="0" fontId="11" fillId="3" borderId="29" xfId="1" applyNumberFormat="1" applyFont="1" applyFill="1" applyBorder="1" applyAlignment="1">
      <alignment horizontal="center" vertical="center" wrapText="1"/>
    </xf>
    <xf numFmtId="2" fontId="11" fillId="3" borderId="30" xfId="1" applyNumberFormat="1" applyFont="1" applyFill="1" applyBorder="1" applyAlignment="1">
      <alignment vertical="center" wrapText="1"/>
    </xf>
    <xf numFmtId="2" fontId="11" fillId="0" borderId="29" xfId="1" applyNumberFormat="1" applyFont="1" applyBorder="1" applyAlignment="1">
      <alignment vertical="center" wrapText="1"/>
    </xf>
    <xf numFmtId="0" fontId="8" fillId="0" borderId="5" xfId="1" applyNumberFormat="1" applyFont="1" applyFill="1" applyBorder="1" applyAlignment="1">
      <alignment horizontal="center" vertical="center" wrapText="1"/>
    </xf>
    <xf numFmtId="2" fontId="8" fillId="0" borderId="5" xfId="1" applyNumberFormat="1" applyFont="1" applyFill="1" applyBorder="1" applyAlignment="1">
      <alignment horizontal="center" vertical="center" wrapText="1"/>
    </xf>
    <xf numFmtId="2" fontId="8" fillId="0" borderId="0" xfId="1" applyNumberFormat="1" applyFont="1" applyFill="1" applyBorder="1" applyAlignment="1">
      <alignment horizontal="center" vertical="center" wrapText="1"/>
    </xf>
    <xf numFmtId="0" fontId="8" fillId="0" borderId="7" xfId="1" applyNumberFormat="1" applyFont="1" applyFill="1" applyBorder="1" applyAlignment="1">
      <alignment vertical="center" wrapText="1"/>
    </xf>
    <xf numFmtId="0" fontId="7" fillId="0" borderId="5" xfId="1" applyNumberFormat="1" applyFont="1" applyFill="1" applyBorder="1" applyAlignment="1">
      <alignment vertical="center" wrapText="1"/>
    </xf>
    <xf numFmtId="2" fontId="7" fillId="0" borderId="5" xfId="1" applyNumberFormat="1" applyFont="1" applyFill="1" applyBorder="1" applyAlignment="1">
      <alignment vertical="center" wrapText="1"/>
    </xf>
    <xf numFmtId="175" fontId="7" fillId="0" borderId="5" xfId="1" applyNumberFormat="1" applyFont="1" applyFill="1" applyBorder="1" applyAlignment="1">
      <alignment horizontal="center" vertical="center" wrapText="1"/>
    </xf>
    <xf numFmtId="0" fontId="7" fillId="0" borderId="5" xfId="7" applyFont="1" applyFill="1" applyBorder="1" applyAlignment="1">
      <alignment vertical="center" wrapText="1"/>
    </xf>
    <xf numFmtId="2" fontId="7" fillId="0" borderId="5" xfId="7" applyNumberFormat="1" applyFont="1" applyFill="1" applyBorder="1" applyAlignment="1">
      <alignment vertical="center" wrapText="1"/>
    </xf>
    <xf numFmtId="0" fontId="7" fillId="0" borderId="5" xfId="7" applyFont="1" applyFill="1" applyBorder="1" applyAlignment="1">
      <alignment horizontal="center" vertical="center" wrapText="1"/>
    </xf>
    <xf numFmtId="2" fontId="7" fillId="0" borderId="5" xfId="7" applyNumberFormat="1" applyFont="1" applyFill="1" applyBorder="1" applyAlignment="1">
      <alignment horizontal="center" vertical="center" wrapText="1"/>
    </xf>
    <xf numFmtId="2" fontId="7" fillId="0" borderId="0" xfId="7" applyNumberFormat="1" applyFont="1" applyFill="1" applyBorder="1" applyAlignment="1">
      <alignment horizontal="center" vertical="center" wrapText="1"/>
    </xf>
    <xf numFmtId="167" fontId="7" fillId="0" borderId="5" xfId="5" applyFont="1" applyFill="1" applyBorder="1" applyAlignment="1">
      <alignment horizontal="center" vertical="center" wrapText="1"/>
    </xf>
    <xf numFmtId="167" fontId="7" fillId="0" borderId="5" xfId="5" applyFont="1" applyFill="1" applyBorder="1" applyAlignment="1">
      <alignment vertical="center" wrapText="1"/>
    </xf>
    <xf numFmtId="2" fontId="7" fillId="0" borderId="5" xfId="5" applyNumberFormat="1" applyFont="1" applyFill="1" applyBorder="1" applyAlignment="1">
      <alignment vertical="center" wrapText="1"/>
    </xf>
    <xf numFmtId="168" fontId="7" fillId="0" borderId="5" xfId="5" applyNumberFormat="1" applyFont="1" applyFill="1" applyBorder="1" applyAlignment="1">
      <alignment horizontal="center" vertical="center" wrapText="1"/>
    </xf>
    <xf numFmtId="2" fontId="7" fillId="0" borderId="5" xfId="5" applyNumberFormat="1" applyFont="1" applyFill="1" applyBorder="1" applyAlignment="1">
      <alignment horizontal="center" vertical="center" wrapText="1"/>
    </xf>
    <xf numFmtId="167" fontId="7" fillId="0" borderId="0" xfId="5" applyFont="1" applyFill="1" applyBorder="1" applyAlignment="1">
      <alignment horizontal="center" vertical="center" wrapText="1"/>
    </xf>
    <xf numFmtId="167" fontId="8" fillId="0" borderId="0" xfId="5" applyFont="1" applyFill="1" applyBorder="1" applyAlignment="1">
      <alignment horizontal="center" vertical="center" wrapText="1"/>
    </xf>
    <xf numFmtId="0" fontId="7" fillId="0" borderId="5" xfId="1" quotePrefix="1" applyNumberFormat="1" applyFont="1" applyFill="1" applyBorder="1" applyAlignment="1">
      <alignment vertical="center" wrapText="1"/>
    </xf>
    <xf numFmtId="2" fontId="8" fillId="0" borderId="5" xfId="5" applyNumberFormat="1" applyFont="1" applyFill="1" applyBorder="1" applyAlignment="1">
      <alignment horizontal="center" vertical="center" wrapText="1"/>
    </xf>
    <xf numFmtId="167" fontId="7" fillId="4" borderId="5" xfId="5" applyFont="1" applyFill="1" applyBorder="1" applyAlignment="1">
      <alignment horizontal="center" vertical="center" wrapText="1"/>
    </xf>
    <xf numFmtId="0" fontId="8" fillId="4" borderId="5" xfId="1" applyNumberFormat="1" applyFont="1" applyFill="1" applyBorder="1" applyAlignment="1">
      <alignment vertical="center" wrapText="1"/>
    </xf>
    <xf numFmtId="2" fontId="8" fillId="4" borderId="5" xfId="1" applyNumberFormat="1" applyFont="1" applyFill="1" applyBorder="1" applyAlignment="1">
      <alignment vertical="center" wrapText="1"/>
    </xf>
    <xf numFmtId="0" fontId="7" fillId="4" borderId="5" xfId="1" applyNumberFormat="1" applyFont="1" applyFill="1" applyBorder="1" applyAlignment="1">
      <alignment horizontal="center" vertical="center" wrapText="1"/>
    </xf>
    <xf numFmtId="1" fontId="7" fillId="0" borderId="0" xfId="1" applyNumberFormat="1" applyFont="1" applyFill="1" applyBorder="1" applyAlignment="1">
      <alignment horizontal="center" vertical="center" wrapText="1"/>
    </xf>
    <xf numFmtId="2" fontId="7" fillId="4" borderId="5" xfId="1" applyNumberFormat="1" applyFont="1" applyFill="1" applyBorder="1" applyAlignment="1">
      <alignment vertical="center" wrapText="1"/>
    </xf>
    <xf numFmtId="175" fontId="7" fillId="4" borderId="5" xfId="1" applyNumberFormat="1" applyFont="1" applyFill="1" applyBorder="1" applyAlignment="1">
      <alignment horizontal="center" vertical="center" wrapText="1"/>
    </xf>
    <xf numFmtId="2" fontId="7" fillId="4" borderId="0" xfId="1" applyNumberFormat="1" applyFont="1" applyFill="1" applyBorder="1" applyAlignment="1">
      <alignment horizontal="center" vertical="center" wrapText="1"/>
    </xf>
    <xf numFmtId="1" fontId="7" fillId="4" borderId="0" xfId="1" applyNumberFormat="1" applyFont="1" applyFill="1" applyBorder="1" applyAlignment="1">
      <alignment horizontal="center" vertical="center" wrapText="1"/>
    </xf>
    <xf numFmtId="175" fontId="7" fillId="4" borderId="0" xfId="1" applyNumberFormat="1" applyFont="1" applyFill="1" applyBorder="1" applyAlignment="1">
      <alignment horizontal="center" vertical="center" wrapText="1"/>
    </xf>
    <xf numFmtId="0" fontId="7" fillId="4" borderId="0" xfId="1" applyNumberFormat="1" applyFont="1" applyFill="1" applyBorder="1" applyAlignment="1">
      <alignment horizontal="center" vertical="center" wrapText="1"/>
    </xf>
    <xf numFmtId="0" fontId="8" fillId="0" borderId="7" xfId="1" applyNumberFormat="1" applyFont="1" applyFill="1" applyBorder="1" applyAlignment="1">
      <alignment horizontal="left" vertical="center"/>
    </xf>
    <xf numFmtId="0" fontId="8" fillId="0" borderId="8" xfId="1" applyNumberFormat="1" applyFont="1" applyFill="1" applyBorder="1" applyAlignment="1">
      <alignment horizontal="left" vertical="center" wrapText="1"/>
    </xf>
    <xf numFmtId="0" fontId="8" fillId="0" borderId="9" xfId="1" applyNumberFormat="1" applyFont="1" applyFill="1" applyBorder="1" applyAlignment="1">
      <alignment horizontal="left" vertical="center"/>
    </xf>
    <xf numFmtId="0" fontId="7" fillId="0" borderId="0" xfId="1" applyNumberFormat="1" applyFont="1" applyFill="1" applyBorder="1" applyAlignment="1">
      <alignment horizontal="left" vertical="center"/>
    </xf>
    <xf numFmtId="0" fontId="8" fillId="4" borderId="5" xfId="8" applyFont="1" applyFill="1" applyBorder="1" applyAlignment="1">
      <alignment horizontal="center" vertical="center" wrapText="1"/>
    </xf>
    <xf numFmtId="0" fontId="7" fillId="4" borderId="5" xfId="8" applyFont="1" applyFill="1" applyBorder="1" applyAlignment="1">
      <alignment vertical="center" wrapText="1"/>
    </xf>
    <xf numFmtId="2" fontId="7" fillId="4" borderId="5" xfId="8" applyNumberFormat="1" applyFont="1" applyFill="1" applyBorder="1" applyAlignment="1">
      <alignment vertical="center" wrapText="1"/>
    </xf>
    <xf numFmtId="4" fontId="8" fillId="0" borderId="0" xfId="8" applyNumberFormat="1" applyFont="1" applyFill="1" applyBorder="1" applyAlignment="1">
      <alignment horizontal="center" vertical="center" wrapText="1"/>
    </xf>
    <xf numFmtId="0" fontId="8" fillId="0" borderId="0" xfId="8" applyFont="1" applyFill="1" applyBorder="1" applyAlignment="1">
      <alignment horizontal="center" vertical="center" wrapText="1"/>
    </xf>
    <xf numFmtId="0" fontId="7" fillId="0" borderId="0" xfId="8" applyFont="1" applyFill="1" applyBorder="1" applyAlignment="1">
      <alignment horizontal="center" vertical="center" wrapText="1"/>
    </xf>
    <xf numFmtId="4" fontId="8" fillId="4" borderId="0" xfId="8" applyNumberFormat="1" applyFont="1" applyFill="1" applyBorder="1" applyAlignment="1">
      <alignment horizontal="center" vertical="center" wrapText="1"/>
    </xf>
    <xf numFmtId="0" fontId="8" fillId="4" borderId="0" xfId="8" applyFont="1" applyFill="1" applyBorder="1" applyAlignment="1">
      <alignment horizontal="center" vertical="center" wrapText="1"/>
    </xf>
    <xf numFmtId="0" fontId="7" fillId="4" borderId="0" xfId="8" applyFont="1" applyFill="1" applyBorder="1" applyAlignment="1">
      <alignment horizontal="center" vertical="center" wrapText="1"/>
    </xf>
    <xf numFmtId="0" fontId="8" fillId="0" borderId="5" xfId="8" applyFont="1" applyFill="1" applyBorder="1" applyAlignment="1">
      <alignment horizontal="center" vertical="center" wrapText="1"/>
    </xf>
    <xf numFmtId="175" fontId="7" fillId="4" borderId="5" xfId="8" applyNumberFormat="1" applyFont="1" applyFill="1" applyBorder="1" applyAlignment="1">
      <alignment horizontal="center" vertical="center" wrapText="1"/>
    </xf>
    <xf numFmtId="2" fontId="7" fillId="4" borderId="5" xfId="8" applyNumberFormat="1" applyFont="1" applyFill="1" applyBorder="1" applyAlignment="1">
      <alignment horizontal="center" vertical="center" wrapText="1"/>
    </xf>
    <xf numFmtId="2" fontId="7" fillId="0" borderId="0" xfId="8" applyNumberFormat="1" applyFont="1" applyFill="1" applyBorder="1" applyAlignment="1">
      <alignment horizontal="center" vertical="center" wrapText="1"/>
    </xf>
    <xf numFmtId="0" fontId="7" fillId="0" borderId="5" xfId="8" applyFont="1" applyFill="1" applyBorder="1" applyAlignment="1">
      <alignment vertical="center" wrapText="1"/>
    </xf>
    <xf numFmtId="2" fontId="7" fillId="0" borderId="5" xfId="8" applyNumberFormat="1" applyFont="1" applyFill="1" applyBorder="1" applyAlignment="1">
      <alignment vertical="center" wrapText="1"/>
    </xf>
    <xf numFmtId="0" fontId="7" fillId="0" borderId="5" xfId="8" applyFont="1" applyFill="1" applyBorder="1" applyAlignment="1">
      <alignment horizontal="center" vertical="center" wrapText="1"/>
    </xf>
    <xf numFmtId="175" fontId="7" fillId="0" borderId="5" xfId="8" applyNumberFormat="1" applyFont="1" applyFill="1" applyBorder="1" applyAlignment="1">
      <alignment horizontal="center" vertical="center" wrapText="1"/>
    </xf>
    <xf numFmtId="2" fontId="7" fillId="0" borderId="5" xfId="8" applyNumberFormat="1" applyFont="1" applyFill="1" applyBorder="1" applyAlignment="1">
      <alignment horizontal="center" vertical="center" wrapText="1"/>
    </xf>
    <xf numFmtId="170" fontId="8" fillId="0" borderId="5" xfId="9" applyNumberFormat="1" applyFont="1" applyFill="1" applyBorder="1" applyAlignment="1">
      <alignment horizontal="center" vertical="center" wrapText="1"/>
    </xf>
    <xf numFmtId="167" fontId="7" fillId="0" borderId="5" xfId="9" applyNumberFormat="1" applyFont="1" applyFill="1" applyBorder="1" applyAlignment="1">
      <alignment horizontal="center" vertical="center" wrapText="1"/>
    </xf>
    <xf numFmtId="175" fontId="7" fillId="0" borderId="0" xfId="1" applyNumberFormat="1" applyFont="1" applyFill="1" applyBorder="1" applyAlignment="1">
      <alignment horizontal="center" vertical="center" wrapText="1"/>
    </xf>
    <xf numFmtId="2" fontId="7" fillId="0" borderId="5" xfId="1" quotePrefix="1" applyNumberFormat="1" applyFont="1" applyFill="1" applyBorder="1" applyAlignment="1">
      <alignment vertical="center" wrapText="1"/>
    </xf>
    <xf numFmtId="0" fontId="7" fillId="0" borderId="0" xfId="1" applyNumberFormat="1" applyFont="1" applyFill="1" applyBorder="1" applyAlignment="1">
      <alignment vertical="center" wrapText="1"/>
    </xf>
    <xf numFmtId="2" fontId="22" fillId="0" borderId="0" xfId="1" applyNumberFormat="1" applyFont="1" applyFill="1" applyBorder="1" applyAlignment="1">
      <alignment horizontal="center" vertical="center" wrapText="1"/>
    </xf>
    <xf numFmtId="1" fontId="23" fillId="0" borderId="5" xfId="1" applyNumberFormat="1" applyFont="1" applyFill="1" applyBorder="1" applyAlignment="1">
      <alignment horizontal="center" vertical="center" wrapText="1"/>
    </xf>
    <xf numFmtId="169" fontId="8" fillId="0" borderId="5" xfId="1" applyNumberFormat="1" applyFont="1" applyFill="1" applyBorder="1" applyAlignment="1">
      <alignment horizontal="center" vertical="center" wrapText="1"/>
    </xf>
    <xf numFmtId="167" fontId="8" fillId="0" borderId="5" xfId="5" applyFont="1" applyFill="1" applyBorder="1" applyAlignment="1">
      <alignment vertical="center" wrapText="1"/>
    </xf>
    <xf numFmtId="2" fontId="8" fillId="0" borderId="5" xfId="5" applyNumberFormat="1" applyFont="1" applyFill="1" applyBorder="1" applyAlignment="1">
      <alignment vertical="center" wrapText="1"/>
    </xf>
    <xf numFmtId="169" fontId="8" fillId="0" borderId="5" xfId="2" applyNumberFormat="1" applyFont="1" applyFill="1" applyBorder="1" applyAlignment="1">
      <alignment horizontal="center" vertical="center" wrapText="1"/>
    </xf>
    <xf numFmtId="2" fontId="8" fillId="0" borderId="5" xfId="2" applyNumberFormat="1" applyFont="1" applyFill="1" applyBorder="1" applyAlignment="1">
      <alignment vertical="center" wrapText="1"/>
    </xf>
    <xf numFmtId="169" fontId="7" fillId="0" borderId="5" xfId="1" applyNumberFormat="1" applyFont="1" applyFill="1" applyBorder="1" applyAlignment="1">
      <alignment horizontal="center" vertical="center" wrapText="1"/>
    </xf>
    <xf numFmtId="0" fontId="9" fillId="0" borderId="5" xfId="1" applyNumberFormat="1" applyFont="1" applyFill="1" applyBorder="1" applyAlignment="1">
      <alignment vertical="center" wrapText="1"/>
    </xf>
    <xf numFmtId="2" fontId="9" fillId="0" borderId="5" xfId="1" applyNumberFormat="1" applyFont="1" applyFill="1" applyBorder="1" applyAlignment="1">
      <alignment vertical="center" wrapText="1"/>
    </xf>
    <xf numFmtId="0" fontId="8" fillId="0" borderId="5" xfId="1" applyNumberFormat="1" applyFont="1" applyFill="1" applyBorder="1" applyAlignment="1">
      <alignment horizontal="left" vertical="center" wrapText="1"/>
    </xf>
    <xf numFmtId="2" fontId="8" fillId="0" borderId="5" xfId="1" applyNumberFormat="1" applyFont="1" applyFill="1" applyBorder="1" applyAlignment="1">
      <alignment horizontal="left" vertical="center" wrapText="1"/>
    </xf>
    <xf numFmtId="0" fontId="7" fillId="0" borderId="5" xfId="1" applyNumberFormat="1" applyFont="1" applyFill="1" applyBorder="1" applyAlignment="1">
      <alignment horizontal="left" vertical="center" wrapText="1"/>
    </xf>
    <xf numFmtId="2" fontId="7" fillId="0" borderId="5" xfId="1" applyNumberFormat="1" applyFont="1" applyFill="1" applyBorder="1" applyAlignment="1">
      <alignment horizontal="left" vertical="center" wrapText="1"/>
    </xf>
    <xf numFmtId="174" fontId="7" fillId="0" borderId="5" xfId="1" applyNumberFormat="1" applyFont="1" applyFill="1" applyBorder="1" applyAlignment="1">
      <alignment horizontal="center" vertical="center" wrapText="1"/>
    </xf>
    <xf numFmtId="0" fontId="7" fillId="0" borderId="5" xfId="10" applyFont="1" applyFill="1" applyBorder="1" applyAlignment="1">
      <alignment horizontal="center" vertical="center" wrapText="1"/>
    </xf>
    <xf numFmtId="0" fontId="7" fillId="0" borderId="5" xfId="10" applyFont="1" applyFill="1" applyBorder="1" applyAlignment="1">
      <alignment vertical="center" wrapText="1"/>
    </xf>
    <xf numFmtId="2" fontId="7" fillId="0" borderId="5" xfId="10" applyNumberFormat="1" applyFont="1" applyFill="1" applyBorder="1" applyAlignment="1">
      <alignment vertical="center" wrapText="1"/>
    </xf>
    <xf numFmtId="175" fontId="7" fillId="0" borderId="5" xfId="10" applyNumberFormat="1" applyFont="1" applyFill="1" applyBorder="1" applyAlignment="1">
      <alignment horizontal="center" vertical="center" wrapText="1"/>
    </xf>
    <xf numFmtId="2" fontId="7" fillId="0" borderId="5" xfId="10" applyNumberFormat="1" applyFont="1" applyFill="1" applyBorder="1" applyAlignment="1">
      <alignment horizontal="center" vertical="center" wrapText="1"/>
    </xf>
    <xf numFmtId="2" fontId="7" fillId="0" borderId="0" xfId="10" applyNumberFormat="1" applyFont="1" applyFill="1" applyBorder="1" applyAlignment="1">
      <alignment horizontal="center" vertical="center" wrapText="1"/>
    </xf>
    <xf numFmtId="0" fontId="8" fillId="0" borderId="0" xfId="10" applyFont="1" applyFill="1" applyBorder="1" applyAlignment="1">
      <alignment horizontal="center" vertical="center" wrapText="1"/>
    </xf>
    <xf numFmtId="2" fontId="7" fillId="0" borderId="0" xfId="1" applyNumberFormat="1" applyFont="1" applyFill="1" applyBorder="1" applyAlignment="1">
      <alignment vertical="center" wrapText="1"/>
    </xf>
    <xf numFmtId="167" fontId="29" fillId="0" borderId="0" xfId="1" applyFont="1" applyFill="1" applyAlignment="1">
      <alignment vertical="top"/>
    </xf>
    <xf numFmtId="167" fontId="30" fillId="0" borderId="13" xfId="1" applyFont="1" applyFill="1" applyBorder="1" applyAlignment="1">
      <alignment horizontal="center" vertical="top" wrapText="1"/>
    </xf>
    <xf numFmtId="167" fontId="27" fillId="0" borderId="31" xfId="1" applyFont="1" applyFill="1" applyBorder="1" applyAlignment="1">
      <alignment horizontal="center" vertical="top" wrapText="1"/>
    </xf>
    <xf numFmtId="167" fontId="29" fillId="0" borderId="0" xfId="1" applyFont="1" applyFill="1" applyAlignment="1">
      <alignment horizontal="center" vertical="top"/>
    </xf>
    <xf numFmtId="167" fontId="30" fillId="0" borderId="33" xfId="1" applyFont="1" applyFill="1" applyBorder="1" applyAlignment="1">
      <alignment horizontal="center" vertical="center" wrapText="1"/>
    </xf>
    <xf numFmtId="167" fontId="30" fillId="0" borderId="13" xfId="1" applyFont="1" applyFill="1" applyBorder="1" applyAlignment="1">
      <alignment horizontal="center" vertical="center" wrapText="1"/>
    </xf>
    <xf numFmtId="171" fontId="30" fillId="0" borderId="13" xfId="1" applyNumberFormat="1" applyFont="1" applyFill="1" applyBorder="1" applyAlignment="1">
      <alignment horizontal="center" vertical="center" wrapText="1"/>
    </xf>
    <xf numFmtId="167" fontId="30" fillId="0" borderId="31" xfId="1" applyFont="1" applyFill="1" applyBorder="1" applyAlignment="1">
      <alignment horizontal="center" vertical="center" wrapText="1"/>
    </xf>
    <xf numFmtId="167" fontId="27" fillId="0" borderId="5" xfId="1" applyFont="1" applyFill="1" applyBorder="1" applyAlignment="1">
      <alignment horizontal="center" vertical="top" wrapText="1"/>
    </xf>
    <xf numFmtId="167" fontId="28" fillId="0" borderId="13" xfId="1" applyFont="1" applyFill="1" applyBorder="1" applyAlignment="1">
      <alignment horizontal="center" vertical="top" wrapText="1"/>
    </xf>
    <xf numFmtId="167" fontId="31" fillId="0" borderId="5" xfId="1" applyFont="1" applyFill="1" applyBorder="1" applyAlignment="1">
      <alignment horizontal="center" vertical="center"/>
    </xf>
    <xf numFmtId="169" fontId="29" fillId="0" borderId="5" xfId="2" applyNumberFormat="1" applyFont="1" applyFill="1" applyBorder="1" applyAlignment="1">
      <alignment vertical="top" wrapText="1"/>
    </xf>
    <xf numFmtId="2" fontId="32" fillId="0" borderId="0" xfId="2" applyNumberFormat="1" applyFont="1" applyFill="1" applyBorder="1" applyAlignment="1">
      <alignment vertical="top" wrapText="1"/>
    </xf>
    <xf numFmtId="167" fontId="29" fillId="0" borderId="5" xfId="1" applyFont="1" applyFill="1" applyBorder="1" applyAlignment="1">
      <alignment horizontal="center" vertical="center" wrapText="1"/>
    </xf>
    <xf numFmtId="167" fontId="36" fillId="0" borderId="38" xfId="1" applyFont="1" applyFill="1" applyBorder="1" applyAlignment="1">
      <alignment horizontal="center" vertical="center" wrapText="1"/>
    </xf>
    <xf numFmtId="167" fontId="37" fillId="0" borderId="0" xfId="1" applyFont="1" applyFill="1" applyAlignment="1">
      <alignment horizontal="center" vertical="center"/>
    </xf>
    <xf numFmtId="167" fontId="36" fillId="0" borderId="0" xfId="1" applyFont="1" applyFill="1" applyAlignment="1">
      <alignment vertical="top"/>
    </xf>
    <xf numFmtId="167" fontId="36" fillId="0" borderId="13" xfId="1" applyFont="1" applyFill="1" applyBorder="1" applyAlignment="1">
      <alignment horizontal="center" vertical="center" wrapText="1"/>
    </xf>
    <xf numFmtId="167" fontId="29" fillId="7" borderId="0" xfId="1" applyFont="1" applyFill="1" applyAlignment="1">
      <alignment vertical="top"/>
    </xf>
    <xf numFmtId="167" fontId="36" fillId="0" borderId="36" xfId="1" applyFont="1" applyFill="1" applyBorder="1" applyAlignment="1">
      <alignment horizontal="center" vertical="center" wrapText="1"/>
    </xf>
    <xf numFmtId="167" fontId="29" fillId="7" borderId="13" xfId="1" applyFont="1" applyFill="1" applyBorder="1" applyAlignment="1">
      <alignment vertical="top"/>
    </xf>
    <xf numFmtId="167" fontId="29" fillId="0" borderId="13" xfId="1" applyFont="1" applyFill="1" applyBorder="1" applyAlignment="1">
      <alignment vertical="top"/>
    </xf>
    <xf numFmtId="167" fontId="36" fillId="0" borderId="39" xfId="1" applyFont="1" applyFill="1" applyBorder="1" applyAlignment="1">
      <alignment horizontal="center" vertical="center" wrapText="1"/>
    </xf>
    <xf numFmtId="167" fontId="36" fillId="0" borderId="13" xfId="1" applyFont="1" applyFill="1" applyBorder="1" applyAlignment="1">
      <alignment vertical="top"/>
    </xf>
    <xf numFmtId="167" fontId="40" fillId="0" borderId="13" xfId="1" applyFont="1" applyFill="1" applyBorder="1" applyAlignment="1">
      <alignment vertical="top"/>
    </xf>
    <xf numFmtId="167" fontId="37" fillId="0" borderId="13" xfId="1" applyFont="1" applyFill="1" applyBorder="1" applyAlignment="1">
      <alignment vertical="top"/>
    </xf>
    <xf numFmtId="167" fontId="31" fillId="7" borderId="0" xfId="1" applyFont="1" applyFill="1" applyAlignment="1">
      <alignment vertical="top"/>
    </xf>
    <xf numFmtId="167" fontId="31" fillId="7" borderId="0" xfId="1" applyFont="1" applyFill="1" applyBorder="1" applyAlignment="1">
      <alignment vertical="top"/>
    </xf>
    <xf numFmtId="167" fontId="29" fillId="7" borderId="0" xfId="1" applyFont="1" applyFill="1" applyBorder="1" applyAlignment="1">
      <alignment vertical="top"/>
    </xf>
    <xf numFmtId="167" fontId="41" fillId="0" borderId="0" xfId="1" applyFont="1" applyFill="1" applyAlignment="1">
      <alignment vertical="top"/>
    </xf>
    <xf numFmtId="167" fontId="36" fillId="7" borderId="0" xfId="1" applyFont="1" applyFill="1" applyAlignment="1">
      <alignment vertical="top"/>
    </xf>
    <xf numFmtId="2" fontId="33" fillId="7" borderId="37" xfId="2" applyNumberFormat="1" applyFont="1" applyFill="1" applyBorder="1" applyAlignment="1">
      <alignment vertical="top" wrapText="1"/>
    </xf>
    <xf numFmtId="167" fontId="27" fillId="7" borderId="0" xfId="1" applyFont="1" applyFill="1" applyAlignment="1">
      <alignment vertical="top"/>
    </xf>
    <xf numFmtId="167" fontId="29" fillId="0" borderId="0" xfId="1" applyFont="1" applyFill="1" applyBorder="1" applyAlignment="1">
      <alignment horizontal="center" vertical="center" wrapText="1"/>
    </xf>
    <xf numFmtId="167" fontId="31" fillId="0" borderId="0" xfId="1" applyFont="1" applyFill="1" applyBorder="1" applyAlignment="1">
      <alignment horizontal="center" vertical="center"/>
    </xf>
    <xf numFmtId="167" fontId="31" fillId="7" borderId="0" xfId="1" applyFont="1" applyFill="1" applyAlignment="1">
      <alignment horizontal="center" vertical="center"/>
    </xf>
    <xf numFmtId="167" fontId="29" fillId="0" borderId="5" xfId="1" applyFont="1" applyFill="1" applyBorder="1" applyAlignment="1">
      <alignment vertical="top"/>
    </xf>
    <xf numFmtId="2" fontId="29" fillId="0" borderId="5" xfId="2" applyNumberFormat="1" applyFont="1" applyFill="1" applyBorder="1" applyAlignment="1">
      <alignment horizontal="center" vertical="center" wrapText="1"/>
    </xf>
    <xf numFmtId="2" fontId="27" fillId="0" borderId="5" xfId="2" applyNumberFormat="1" applyFont="1" applyFill="1" applyBorder="1" applyAlignment="1">
      <alignment horizontal="center" vertical="center" wrapText="1"/>
    </xf>
    <xf numFmtId="167" fontId="29" fillId="0" borderId="5" xfId="1" applyFont="1" applyFill="1" applyBorder="1" applyAlignment="1">
      <alignment horizontal="center" vertical="center"/>
    </xf>
    <xf numFmtId="167" fontId="29" fillId="0" borderId="0" xfId="1" applyFont="1" applyFill="1" applyAlignment="1">
      <alignment vertical="top" wrapText="1"/>
    </xf>
    <xf numFmtId="167" fontId="29" fillId="0" borderId="5" xfId="1" applyFont="1" applyFill="1" applyBorder="1" applyAlignment="1">
      <alignment vertical="top" wrapText="1"/>
    </xf>
    <xf numFmtId="175" fontId="27" fillId="0" borderId="5" xfId="2" applyNumberFormat="1" applyFont="1" applyFill="1" applyBorder="1" applyAlignment="1">
      <alignment horizontal="center" vertical="center" wrapText="1"/>
    </xf>
    <xf numFmtId="167" fontId="40" fillId="0" borderId="0" xfId="1" applyFont="1" applyFill="1" applyAlignment="1">
      <alignment horizontal="center" vertical="center"/>
    </xf>
    <xf numFmtId="171" fontId="36" fillId="0" borderId="0" xfId="1" applyNumberFormat="1" applyFont="1" applyFill="1" applyAlignment="1">
      <alignment horizontal="center" vertical="center"/>
    </xf>
    <xf numFmtId="171" fontId="36" fillId="0" borderId="13" xfId="1" applyNumberFormat="1" applyFont="1" applyFill="1" applyBorder="1" applyAlignment="1">
      <alignment horizontal="center" vertical="center" wrapText="1"/>
    </xf>
    <xf numFmtId="167" fontId="36" fillId="0" borderId="0" xfId="1" applyFont="1" applyFill="1" applyAlignment="1">
      <alignment horizontal="center" vertical="center"/>
    </xf>
    <xf numFmtId="167" fontId="42" fillId="0" borderId="13" xfId="1" applyFont="1" applyFill="1" applyBorder="1" applyAlignment="1">
      <alignment horizontal="center" vertical="center" wrapText="1"/>
    </xf>
    <xf numFmtId="167" fontId="36" fillId="0" borderId="31" xfId="1" applyFont="1" applyFill="1" applyBorder="1" applyAlignment="1">
      <alignment horizontal="center" vertical="center" wrapText="1"/>
    </xf>
    <xf numFmtId="167" fontId="29" fillId="0" borderId="0" xfId="1" applyFont="1" applyFill="1" applyAlignment="1">
      <alignment horizontal="center" vertical="center"/>
    </xf>
    <xf numFmtId="175" fontId="8" fillId="0" borderId="40" xfId="2" applyNumberFormat="1" applyFont="1" applyFill="1" applyBorder="1" applyAlignment="1">
      <alignment horizontal="center" vertical="center" wrapText="1"/>
    </xf>
    <xf numFmtId="175" fontId="8" fillId="0" borderId="41" xfId="2" applyNumberFormat="1" applyFont="1" applyFill="1" applyBorder="1" applyAlignment="1">
      <alignment horizontal="center" vertical="center" wrapText="1"/>
    </xf>
    <xf numFmtId="175" fontId="8" fillId="0" borderId="42" xfId="2" applyNumberFormat="1" applyFont="1" applyFill="1" applyBorder="1" applyAlignment="1">
      <alignment horizontal="center" vertical="center" wrapText="1"/>
    </xf>
    <xf numFmtId="171" fontId="37" fillId="0" borderId="0" xfId="1" applyNumberFormat="1" applyFont="1" applyFill="1" applyAlignment="1">
      <alignment horizontal="center" vertical="center"/>
    </xf>
    <xf numFmtId="167" fontId="31" fillId="0" borderId="0" xfId="1" applyFont="1" applyFill="1" applyAlignment="1">
      <alignment horizontal="center" vertical="center"/>
    </xf>
    <xf numFmtId="167" fontId="28" fillId="0" borderId="33" xfId="1" applyFont="1" applyFill="1" applyBorder="1" applyAlignment="1">
      <alignment horizontal="center" vertical="top" wrapText="1"/>
    </xf>
    <xf numFmtId="167" fontId="43" fillId="8" borderId="34" xfId="1" applyFont="1" applyFill="1" applyBorder="1" applyAlignment="1">
      <alignment horizontal="center" vertical="top" wrapText="1"/>
    </xf>
    <xf numFmtId="167" fontId="43" fillId="7" borderId="35" xfId="1" applyFont="1" applyFill="1" applyBorder="1" applyAlignment="1">
      <alignment horizontal="center" vertical="top" wrapText="1"/>
    </xf>
    <xf numFmtId="167" fontId="43" fillId="7" borderId="35" xfId="1" applyFont="1" applyFill="1" applyBorder="1" applyAlignment="1">
      <alignment horizontal="center" vertical="center" wrapText="1"/>
    </xf>
    <xf numFmtId="167" fontId="43" fillId="7" borderId="46" xfId="1" applyFont="1" applyFill="1" applyBorder="1" applyAlignment="1">
      <alignment horizontal="center" vertical="center" wrapText="1"/>
    </xf>
    <xf numFmtId="167" fontId="44" fillId="7" borderId="33" xfId="1" applyFont="1" applyFill="1" applyBorder="1" applyAlignment="1">
      <alignment horizontal="center" vertical="center" wrapText="1"/>
    </xf>
    <xf numFmtId="167" fontId="28" fillId="7" borderId="13" xfId="1" applyFont="1" applyFill="1" applyBorder="1" applyAlignment="1">
      <alignment horizontal="center" vertical="center" wrapText="1"/>
    </xf>
    <xf numFmtId="171" fontId="36" fillId="0" borderId="13" xfId="2" applyNumberFormat="1" applyFont="1" applyFill="1" applyBorder="1" applyAlignment="1">
      <alignment horizontal="center" vertical="center" wrapText="1"/>
    </xf>
    <xf numFmtId="2" fontId="36" fillId="0" borderId="13" xfId="2" applyNumberFormat="1" applyFont="1" applyFill="1" applyBorder="1" applyAlignment="1">
      <alignment horizontal="center" vertical="center" wrapText="1"/>
    </xf>
    <xf numFmtId="171" fontId="28" fillId="0" borderId="13" xfId="1" applyNumberFormat="1" applyFont="1" applyFill="1" applyBorder="1" applyAlignment="1">
      <alignment horizontal="center" vertical="center" wrapText="1"/>
    </xf>
    <xf numFmtId="167" fontId="28" fillId="0" borderId="31" xfId="1" applyFont="1" applyFill="1" applyBorder="1" applyAlignment="1">
      <alignment horizontal="center" vertical="center" wrapText="1"/>
    </xf>
    <xf numFmtId="2" fontId="32" fillId="0" borderId="33" xfId="2" applyNumberFormat="1" applyFont="1" applyFill="1" applyBorder="1" applyAlignment="1">
      <alignment vertical="top" wrapText="1"/>
    </xf>
    <xf numFmtId="2" fontId="32" fillId="0" borderId="13" xfId="2" applyNumberFormat="1" applyFont="1" applyFill="1" applyBorder="1" applyAlignment="1">
      <alignment vertical="top" wrapText="1"/>
    </xf>
    <xf numFmtId="167" fontId="34" fillId="7" borderId="33" xfId="1" applyFont="1" applyFill="1" applyBorder="1" applyAlignment="1">
      <alignment horizontal="center" vertical="center" wrapText="1"/>
    </xf>
    <xf numFmtId="167" fontId="32" fillId="7" borderId="13" xfId="1" applyFont="1" applyFill="1" applyBorder="1" applyAlignment="1">
      <alignment horizontal="center" vertical="center" wrapText="1"/>
    </xf>
    <xf numFmtId="171" fontId="35" fillId="0" borderId="13" xfId="2" applyNumberFormat="1" applyFont="1" applyFill="1" applyBorder="1" applyAlignment="1">
      <alignment horizontal="center" vertical="center" wrapText="1"/>
    </xf>
    <xf numFmtId="2" fontId="35" fillId="0" borderId="13" xfId="2" applyNumberFormat="1" applyFont="1" applyFill="1" applyBorder="1" applyAlignment="1">
      <alignment horizontal="center" vertical="center" wrapText="1"/>
    </xf>
    <xf numFmtId="171" fontId="35" fillId="0" borderId="13" xfId="1" applyNumberFormat="1" applyFont="1" applyFill="1" applyBorder="1" applyAlignment="1">
      <alignment horizontal="center" vertical="center" wrapText="1"/>
    </xf>
    <xf numFmtId="167" fontId="35" fillId="0" borderId="31" xfId="1" applyFont="1" applyFill="1" applyBorder="1" applyAlignment="1">
      <alignment horizontal="center" vertical="center" wrapText="1"/>
    </xf>
    <xf numFmtId="167" fontId="33" fillId="7" borderId="37" xfId="1" applyFont="1" applyFill="1" applyBorder="1" applyAlignment="1">
      <alignment vertical="top" wrapText="1"/>
    </xf>
    <xf numFmtId="167" fontId="33" fillId="7" borderId="37" xfId="1" applyFont="1" applyFill="1" applyBorder="1" applyAlignment="1">
      <alignment horizontal="center" vertical="center"/>
    </xf>
    <xf numFmtId="167" fontId="42" fillId="7" borderId="33" xfId="1" applyFont="1" applyFill="1" applyBorder="1" applyAlignment="1">
      <alignment horizontal="center" vertical="center" wrapText="1"/>
    </xf>
    <xf numFmtId="167" fontId="42" fillId="7" borderId="13" xfId="1" applyFont="1" applyFill="1" applyBorder="1" applyAlignment="1">
      <alignment horizontal="center" vertical="center" wrapText="1"/>
    </xf>
    <xf numFmtId="171" fontId="42" fillId="0" borderId="13" xfId="1" applyNumberFormat="1" applyFont="1" applyFill="1" applyBorder="1" applyAlignment="1">
      <alignment horizontal="center" vertical="center" wrapText="1"/>
    </xf>
    <xf numFmtId="167" fontId="42" fillId="0" borderId="31" xfId="1" applyFont="1" applyFill="1" applyBorder="1" applyAlignment="1">
      <alignment horizontal="center" vertical="center" wrapText="1"/>
    </xf>
    <xf numFmtId="169" fontId="36" fillId="0" borderId="38" xfId="2" applyNumberFormat="1" applyFont="1" applyFill="1" applyBorder="1" applyAlignment="1">
      <alignment vertical="top" wrapText="1"/>
    </xf>
    <xf numFmtId="2" fontId="36" fillId="0" borderId="38" xfId="2" applyNumberFormat="1" applyFont="1" applyFill="1" applyBorder="1" applyAlignment="1">
      <alignment vertical="top" wrapText="1"/>
    </xf>
    <xf numFmtId="169" fontId="32" fillId="7" borderId="13" xfId="2" applyNumberFormat="1" applyFont="1" applyFill="1" applyBorder="1" applyAlignment="1">
      <alignment vertical="top" wrapText="1"/>
    </xf>
    <xf numFmtId="2" fontId="32" fillId="7" borderId="13" xfId="2" applyNumberFormat="1" applyFont="1" applyFill="1" applyBorder="1" applyAlignment="1">
      <alignment vertical="top" wrapText="1"/>
    </xf>
    <xf numFmtId="169" fontId="36" fillId="0" borderId="13" xfId="2" applyNumberFormat="1" applyFont="1" applyFill="1" applyBorder="1" applyAlignment="1">
      <alignment vertical="top" wrapText="1"/>
    </xf>
    <xf numFmtId="2" fontId="36" fillId="0" borderId="13" xfId="2" applyNumberFormat="1" applyFont="1" applyFill="1" applyBorder="1" applyAlignment="1">
      <alignment vertical="top" wrapText="1"/>
    </xf>
    <xf numFmtId="169" fontId="32" fillId="7" borderId="38" xfId="2" applyNumberFormat="1" applyFont="1" applyFill="1" applyBorder="1" applyAlignment="1">
      <alignment vertical="top" wrapText="1"/>
    </xf>
    <xf numFmtId="2" fontId="32" fillId="7" borderId="38" xfId="2" applyNumberFormat="1" applyFont="1" applyFill="1" applyBorder="1" applyAlignment="1">
      <alignment vertical="top" wrapText="1"/>
    </xf>
    <xf numFmtId="169" fontId="32" fillId="7" borderId="36" xfId="2" applyNumberFormat="1" applyFont="1" applyFill="1" applyBorder="1" applyAlignment="1">
      <alignment vertical="top" wrapText="1"/>
    </xf>
    <xf numFmtId="171" fontId="48" fillId="0" borderId="13" xfId="1" applyNumberFormat="1" applyFont="1" applyFill="1" applyBorder="1" applyAlignment="1">
      <alignment horizontal="center" vertical="center" wrapText="1"/>
    </xf>
    <xf numFmtId="2" fontId="32" fillId="7" borderId="33" xfId="2" applyNumberFormat="1" applyFont="1" applyFill="1" applyBorder="1" applyAlignment="1">
      <alignment vertical="top" wrapText="1"/>
    </xf>
    <xf numFmtId="2" fontId="30" fillId="7" borderId="13" xfId="2" applyNumberFormat="1" applyFont="1" applyFill="1" applyBorder="1" applyAlignment="1">
      <alignment vertical="top" wrapText="1"/>
    </xf>
    <xf numFmtId="2" fontId="30" fillId="0" borderId="33" xfId="2" applyNumberFormat="1" applyFont="1" applyFill="1" applyBorder="1" applyAlignment="1">
      <alignment vertical="top" wrapText="1"/>
    </xf>
    <xf numFmtId="2" fontId="30" fillId="0" borderId="13" xfId="2" applyNumberFormat="1" applyFont="1" applyFill="1" applyBorder="1" applyAlignment="1">
      <alignment vertical="top" wrapText="1"/>
    </xf>
    <xf numFmtId="2" fontId="30" fillId="7" borderId="38" xfId="2" applyNumberFormat="1" applyFont="1" applyFill="1" applyBorder="1" applyAlignment="1">
      <alignment vertical="top" wrapText="1"/>
    </xf>
    <xf numFmtId="169" fontId="32" fillId="7" borderId="13" xfId="1" applyNumberFormat="1" applyFont="1" applyFill="1" applyBorder="1" applyAlignment="1">
      <alignment vertical="top" wrapText="1"/>
    </xf>
    <xf numFmtId="169" fontId="32" fillId="7" borderId="13" xfId="1" applyNumberFormat="1" applyFont="1" applyFill="1" applyBorder="1" applyAlignment="1">
      <alignment vertical="top"/>
    </xf>
    <xf numFmtId="169" fontId="32" fillId="0" borderId="13" xfId="2" applyNumberFormat="1" applyFont="1" applyFill="1" applyBorder="1" applyAlignment="1">
      <alignment vertical="top" wrapText="1"/>
    </xf>
    <xf numFmtId="169" fontId="32" fillId="0" borderId="38" xfId="2" applyNumberFormat="1" applyFont="1" applyFill="1" applyBorder="1" applyAlignment="1">
      <alignment vertical="top" wrapText="1"/>
    </xf>
    <xf numFmtId="2" fontId="32" fillId="0" borderId="38" xfId="2" applyNumberFormat="1" applyFont="1" applyFill="1" applyBorder="1" applyAlignment="1">
      <alignment vertical="top" wrapText="1"/>
    </xf>
    <xf numFmtId="169" fontId="32" fillId="0" borderId="13" xfId="1" applyNumberFormat="1" applyFont="1" applyFill="1" applyBorder="1" applyAlignment="1">
      <alignment vertical="top" wrapText="1"/>
    </xf>
    <xf numFmtId="169" fontId="32" fillId="7" borderId="36" xfId="1" applyNumberFormat="1" applyFont="1" applyFill="1" applyBorder="1" applyAlignment="1">
      <alignment vertical="top"/>
    </xf>
    <xf numFmtId="169" fontId="32" fillId="0" borderId="39" xfId="2" applyNumberFormat="1" applyFont="1" applyFill="1" applyBorder="1" applyAlignment="1">
      <alignment vertical="top" wrapText="1"/>
    </xf>
    <xf numFmtId="167" fontId="32" fillId="7" borderId="13" xfId="1" applyFont="1" applyFill="1" applyBorder="1" applyAlignment="1">
      <alignment vertical="top"/>
    </xf>
    <xf numFmtId="170" fontId="32" fillId="0" borderId="13" xfId="2" applyNumberFormat="1" applyFont="1" applyFill="1" applyBorder="1" applyAlignment="1">
      <alignment vertical="top" wrapText="1"/>
    </xf>
    <xf numFmtId="170" fontId="32" fillId="0" borderId="38" xfId="2" applyNumberFormat="1" applyFont="1" applyFill="1" applyBorder="1" applyAlignment="1">
      <alignment vertical="top" wrapText="1"/>
    </xf>
    <xf numFmtId="170" fontId="32" fillId="7" borderId="13" xfId="1" applyNumberFormat="1" applyFont="1" applyFill="1" applyBorder="1" applyAlignment="1">
      <alignment vertical="top"/>
    </xf>
    <xf numFmtId="170" fontId="32" fillId="7" borderId="13" xfId="2" applyNumberFormat="1" applyFont="1" applyFill="1" applyBorder="1" applyAlignment="1">
      <alignment vertical="top" wrapText="1"/>
    </xf>
    <xf numFmtId="169" fontId="49" fillId="0" borderId="13" xfId="2" applyNumberFormat="1" applyFont="1" applyFill="1" applyBorder="1" applyAlignment="1">
      <alignment vertical="top" wrapText="1"/>
    </xf>
    <xf numFmtId="2" fontId="49" fillId="0" borderId="13" xfId="2" applyNumberFormat="1" applyFont="1" applyFill="1" applyBorder="1" applyAlignment="1">
      <alignment vertical="top" wrapText="1"/>
    </xf>
    <xf numFmtId="169" fontId="49" fillId="7" borderId="38" xfId="2" applyNumberFormat="1" applyFont="1" applyFill="1" applyBorder="1" applyAlignment="1">
      <alignment vertical="top" wrapText="1"/>
    </xf>
    <xf numFmtId="2" fontId="49" fillId="7" borderId="38" xfId="2" applyNumberFormat="1" applyFont="1" applyFill="1" applyBorder="1" applyAlignment="1">
      <alignment vertical="top" wrapText="1"/>
    </xf>
    <xf numFmtId="2" fontId="49" fillId="7" borderId="13" xfId="2" applyNumberFormat="1" applyFont="1" applyFill="1" applyBorder="1" applyAlignment="1">
      <alignment horizontal="right" vertical="top" wrapText="1"/>
    </xf>
    <xf numFmtId="2" fontId="45" fillId="7" borderId="13" xfId="2" applyNumberFormat="1" applyFont="1" applyFill="1" applyBorder="1" applyAlignment="1">
      <alignment vertical="top" wrapText="1"/>
    </xf>
    <xf numFmtId="2" fontId="49" fillId="7" borderId="13" xfId="2" applyNumberFormat="1" applyFont="1" applyFill="1" applyBorder="1" applyAlignment="1">
      <alignment vertical="top" wrapText="1"/>
    </xf>
    <xf numFmtId="2" fontId="32" fillId="7" borderId="13" xfId="2" applyNumberFormat="1" applyFont="1" applyFill="1" applyBorder="1" applyAlignment="1">
      <alignment horizontal="right" vertical="top" wrapText="1"/>
    </xf>
    <xf numFmtId="171" fontId="42" fillId="7" borderId="13" xfId="1" applyNumberFormat="1" applyFont="1" applyFill="1" applyBorder="1" applyAlignment="1">
      <alignment horizontal="center" vertical="center" wrapText="1"/>
    </xf>
    <xf numFmtId="169" fontId="32" fillId="0" borderId="36" xfId="2" applyNumberFormat="1" applyFont="1" applyFill="1" applyBorder="1" applyAlignment="1">
      <alignment vertical="top" wrapText="1"/>
    </xf>
    <xf numFmtId="167" fontId="32" fillId="0" borderId="38" xfId="1" applyFont="1" applyFill="1" applyBorder="1" applyAlignment="1">
      <alignment vertical="top" wrapText="1"/>
    </xf>
    <xf numFmtId="2" fontId="28" fillId="0" borderId="13" xfId="2" applyNumberFormat="1" applyFont="1" applyFill="1" applyBorder="1" applyAlignment="1">
      <alignment vertical="top" wrapText="1"/>
    </xf>
    <xf numFmtId="167" fontId="32" fillId="7" borderId="38" xfId="1" applyFont="1" applyFill="1" applyBorder="1" applyAlignment="1">
      <alignment vertical="top"/>
    </xf>
    <xf numFmtId="1" fontId="32" fillId="7" borderId="38" xfId="2" applyNumberFormat="1" applyFont="1" applyFill="1" applyBorder="1" applyAlignment="1">
      <alignment vertical="top" wrapText="1"/>
    </xf>
    <xf numFmtId="1" fontId="32" fillId="7" borderId="13" xfId="2" applyNumberFormat="1" applyFont="1" applyFill="1" applyBorder="1" applyAlignment="1">
      <alignment vertical="top" wrapText="1"/>
    </xf>
    <xf numFmtId="169" fontId="32" fillId="7" borderId="38" xfId="2" applyNumberFormat="1" applyFont="1" applyFill="1" applyBorder="1" applyAlignment="1">
      <alignment horizontal="right" vertical="top" wrapText="1"/>
    </xf>
    <xf numFmtId="169" fontId="32" fillId="0" borderId="13" xfId="2" applyNumberFormat="1" applyFont="1" applyFill="1" applyBorder="1" applyAlignment="1">
      <alignment horizontal="right" vertical="top" wrapText="1"/>
    </xf>
    <xf numFmtId="169" fontId="32" fillId="7" borderId="13" xfId="2" applyNumberFormat="1" applyFont="1" applyFill="1" applyBorder="1" applyAlignment="1">
      <alignment horizontal="right" vertical="top" wrapText="1"/>
    </xf>
    <xf numFmtId="167" fontId="28" fillId="0" borderId="13" xfId="1" applyFont="1" applyFill="1" applyBorder="1" applyAlignment="1">
      <alignment horizontal="left" vertical="top" wrapText="1"/>
    </xf>
    <xf numFmtId="169" fontId="36" fillId="0" borderId="13" xfId="2" applyNumberFormat="1" applyFont="1" applyFill="1" applyBorder="1" applyAlignment="1">
      <alignment horizontal="right" vertical="top" wrapText="1"/>
    </xf>
    <xf numFmtId="2" fontId="28" fillId="7" borderId="13" xfId="2" applyNumberFormat="1" applyFont="1" applyFill="1" applyBorder="1" applyAlignment="1">
      <alignment vertical="top" wrapText="1"/>
    </xf>
    <xf numFmtId="2" fontId="36" fillId="7" borderId="13" xfId="2" applyNumberFormat="1" applyFont="1" applyFill="1" applyBorder="1" applyAlignment="1">
      <alignment vertical="top" wrapText="1"/>
    </xf>
    <xf numFmtId="169" fontId="36" fillId="0" borderId="36" xfId="2" applyNumberFormat="1" applyFont="1" applyFill="1" applyBorder="1" applyAlignment="1">
      <alignment horizontal="right" vertical="top" wrapText="1"/>
    </xf>
    <xf numFmtId="2" fontId="32" fillId="7" borderId="36" xfId="2" applyNumberFormat="1" applyFont="1" applyFill="1" applyBorder="1" applyAlignment="1">
      <alignment vertical="top" wrapText="1"/>
    </xf>
    <xf numFmtId="2" fontId="32" fillId="0" borderId="13" xfId="2" applyNumberFormat="1" applyFont="1" applyFill="1" applyBorder="1" applyAlignment="1">
      <alignment horizontal="right" vertical="top" wrapText="1"/>
    </xf>
    <xf numFmtId="167" fontId="32" fillId="7" borderId="36" xfId="1" applyFont="1" applyFill="1" applyBorder="1" applyAlignment="1">
      <alignment vertical="top"/>
    </xf>
    <xf numFmtId="2" fontId="51" fillId="0" borderId="13" xfId="2" applyNumberFormat="1" applyFont="1" applyFill="1" applyBorder="1" applyAlignment="1">
      <alignment vertical="top" wrapText="1"/>
    </xf>
    <xf numFmtId="2" fontId="29" fillId="7" borderId="13" xfId="2" applyNumberFormat="1" applyFont="1" applyFill="1" applyBorder="1" applyAlignment="1">
      <alignment vertical="top" wrapText="1"/>
    </xf>
    <xf numFmtId="2" fontId="29" fillId="7" borderId="13" xfId="2" applyNumberFormat="1" applyFont="1" applyFill="1" applyBorder="1" applyAlignment="1">
      <alignment horizontal="right" vertical="top" wrapText="1"/>
    </xf>
    <xf numFmtId="2" fontId="27" fillId="7" borderId="13" xfId="2" applyNumberFormat="1" applyFont="1" applyFill="1" applyBorder="1" applyAlignment="1">
      <alignment vertical="top" wrapText="1"/>
    </xf>
    <xf numFmtId="2" fontId="29" fillId="7" borderId="38" xfId="2" applyNumberFormat="1" applyFont="1" applyFill="1" applyBorder="1" applyAlignment="1">
      <alignment vertical="top" wrapText="1"/>
    </xf>
    <xf numFmtId="167" fontId="29" fillId="7" borderId="36" xfId="1" applyFont="1" applyFill="1" applyBorder="1" applyAlignment="1">
      <alignment vertical="top"/>
    </xf>
    <xf numFmtId="2" fontId="29" fillId="7" borderId="36" xfId="2" applyNumberFormat="1" applyFont="1" applyFill="1" applyBorder="1" applyAlignment="1">
      <alignment vertical="top" wrapText="1"/>
    </xf>
    <xf numFmtId="2" fontId="52" fillId="7" borderId="13" xfId="2" applyNumberFormat="1" applyFont="1" applyFill="1" applyBorder="1" applyAlignment="1">
      <alignment vertical="top" wrapText="1"/>
    </xf>
    <xf numFmtId="2" fontId="52" fillId="7" borderId="36" xfId="2" applyNumberFormat="1" applyFont="1" applyFill="1" applyBorder="1" applyAlignment="1">
      <alignment vertical="top" wrapText="1"/>
    </xf>
    <xf numFmtId="2" fontId="42" fillId="7" borderId="39" xfId="2" applyNumberFormat="1" applyFont="1" applyFill="1" applyBorder="1" applyAlignment="1">
      <alignment vertical="top" wrapText="1"/>
    </xf>
    <xf numFmtId="2" fontId="42" fillId="7" borderId="13" xfId="2" applyNumberFormat="1" applyFont="1" applyFill="1" applyBorder="1" applyAlignment="1">
      <alignment vertical="top" wrapText="1"/>
    </xf>
    <xf numFmtId="2" fontId="29" fillId="7" borderId="39" xfId="2" applyNumberFormat="1" applyFont="1" applyFill="1" applyBorder="1" applyAlignment="1">
      <alignment vertical="top" wrapText="1"/>
    </xf>
    <xf numFmtId="178" fontId="32" fillId="0" borderId="13" xfId="2" applyNumberFormat="1" applyFont="1" applyFill="1" applyBorder="1" applyAlignment="1">
      <alignment vertical="top" wrapText="1"/>
    </xf>
    <xf numFmtId="169" fontId="32" fillId="0" borderId="13" xfId="1" applyNumberFormat="1" applyFont="1" applyFill="1" applyBorder="1" applyAlignment="1">
      <alignment vertical="top"/>
    </xf>
    <xf numFmtId="169" fontId="29" fillId="7" borderId="13" xfId="1" applyNumberFormat="1" applyFont="1" applyFill="1" applyBorder="1" applyAlignment="1">
      <alignment vertical="top"/>
    </xf>
    <xf numFmtId="169" fontId="32" fillId="0" borderId="38" xfId="2" applyNumberFormat="1" applyFont="1" applyFill="1" applyBorder="1" applyAlignment="1">
      <alignment horizontal="right" vertical="top" wrapText="1"/>
    </xf>
    <xf numFmtId="169" fontId="29" fillId="7" borderId="38" xfId="2" applyNumberFormat="1" applyFont="1" applyFill="1" applyBorder="1" applyAlignment="1">
      <alignment horizontal="right" vertical="top" wrapText="1"/>
    </xf>
    <xf numFmtId="0" fontId="30" fillId="7" borderId="13" xfId="1" applyNumberFormat="1" applyFont="1" applyFill="1" applyBorder="1" applyAlignment="1">
      <alignment horizontal="left" vertical="top" wrapText="1"/>
    </xf>
    <xf numFmtId="167" fontId="32" fillId="7" borderId="13" xfId="1" applyFont="1" applyFill="1" applyBorder="1" applyAlignment="1">
      <alignment horizontal="left" vertical="top"/>
    </xf>
    <xf numFmtId="167" fontId="32" fillId="0" borderId="36" xfId="1" applyFont="1" applyFill="1" applyBorder="1" applyAlignment="1">
      <alignment vertical="top" wrapText="1"/>
    </xf>
    <xf numFmtId="167" fontId="55" fillId="0" borderId="5" xfId="1" applyFont="1" applyFill="1" applyBorder="1" applyAlignment="1">
      <alignment horizontal="center" vertical="top" wrapText="1"/>
    </xf>
    <xf numFmtId="167" fontId="28" fillId="0" borderId="38" xfId="1" applyFont="1" applyFill="1" applyBorder="1" applyAlignment="1">
      <alignment horizontal="center" vertical="top" wrapText="1"/>
    </xf>
    <xf numFmtId="167" fontId="30" fillId="7" borderId="13" xfId="1" applyFont="1" applyFill="1" applyBorder="1" applyAlignment="1">
      <alignment horizontal="center" vertical="top"/>
    </xf>
    <xf numFmtId="2" fontId="32" fillId="7" borderId="13" xfId="2" applyNumberFormat="1" applyFont="1" applyFill="1" applyBorder="1" applyAlignment="1">
      <alignment horizontal="left" vertical="center" wrapText="1"/>
    </xf>
    <xf numFmtId="2" fontId="32" fillId="7" borderId="13" xfId="2" applyNumberFormat="1" applyFont="1" applyFill="1" applyBorder="1" applyAlignment="1">
      <alignment horizontal="right" vertical="center" wrapText="1"/>
    </xf>
    <xf numFmtId="2" fontId="56" fillId="7" borderId="13" xfId="2" applyNumberFormat="1" applyFont="1" applyFill="1" applyBorder="1" applyAlignment="1">
      <alignment vertical="top" wrapText="1"/>
    </xf>
    <xf numFmtId="167" fontId="32" fillId="7" borderId="13" xfId="1" applyFont="1" applyFill="1" applyBorder="1" applyAlignment="1">
      <alignment vertical="top" wrapText="1"/>
    </xf>
    <xf numFmtId="167" fontId="32" fillId="0" borderId="13" xfId="1" applyFont="1" applyFill="1" applyBorder="1" applyAlignment="1">
      <alignment vertical="top"/>
    </xf>
    <xf numFmtId="2" fontId="27" fillId="0" borderId="13" xfId="2" applyNumberFormat="1" applyFont="1" applyFill="1" applyBorder="1" applyAlignment="1">
      <alignment vertical="top" wrapText="1"/>
    </xf>
    <xf numFmtId="1" fontId="32" fillId="0" borderId="13" xfId="2" applyNumberFormat="1" applyFont="1" applyFill="1" applyBorder="1" applyAlignment="1">
      <alignment vertical="top" wrapText="1"/>
    </xf>
    <xf numFmtId="169" fontId="32" fillId="7" borderId="36" xfId="2" applyNumberFormat="1" applyFont="1" applyFill="1" applyBorder="1" applyAlignment="1">
      <alignment horizontal="right" vertical="top" wrapText="1"/>
    </xf>
    <xf numFmtId="169" fontId="29" fillId="7" borderId="5" xfId="2" applyNumberFormat="1" applyFont="1" applyFill="1" applyBorder="1" applyAlignment="1">
      <alignment horizontal="right" vertical="top" wrapText="1"/>
    </xf>
    <xf numFmtId="2" fontId="36" fillId="7" borderId="33" xfId="2" applyNumberFormat="1" applyFont="1" applyFill="1" applyBorder="1" applyAlignment="1">
      <alignment vertical="top" wrapText="1"/>
    </xf>
    <xf numFmtId="167" fontId="32" fillId="0" borderId="13" xfId="1" applyFont="1" applyFill="1" applyBorder="1" applyAlignment="1">
      <alignment vertical="top" wrapText="1"/>
    </xf>
    <xf numFmtId="2" fontId="52" fillId="0" borderId="13" xfId="2" applyNumberFormat="1" applyFont="1" applyBorder="1" applyAlignment="1">
      <alignment vertical="top" wrapText="1"/>
    </xf>
    <xf numFmtId="2" fontId="52" fillId="0" borderId="0" xfId="2" applyNumberFormat="1" applyFont="1" applyBorder="1" applyAlignment="1">
      <alignment vertical="top" wrapText="1"/>
    </xf>
    <xf numFmtId="2" fontId="30" fillId="0" borderId="0" xfId="2" applyNumberFormat="1" applyFont="1" applyFill="1" applyBorder="1" applyAlignment="1">
      <alignment vertical="top" wrapText="1"/>
    </xf>
    <xf numFmtId="1" fontId="32" fillId="0" borderId="38" xfId="2" applyNumberFormat="1" applyFont="1" applyFill="1" applyBorder="1" applyAlignment="1">
      <alignment horizontal="right" vertical="top" wrapText="1"/>
    </xf>
    <xf numFmtId="2" fontId="28" fillId="0" borderId="33" xfId="2" applyNumberFormat="1" applyFont="1" applyFill="1" applyBorder="1" applyAlignment="1">
      <alignment vertical="top" wrapText="1"/>
    </xf>
    <xf numFmtId="169" fontId="29" fillId="0" borderId="5" xfId="2" applyNumberFormat="1" applyFont="1" applyFill="1" applyBorder="1" applyAlignment="1">
      <alignment horizontal="right" vertical="top" wrapText="1"/>
    </xf>
    <xf numFmtId="2" fontId="32" fillId="7" borderId="47" xfId="2" applyNumberFormat="1" applyFont="1" applyFill="1" applyBorder="1" applyAlignment="1">
      <alignment vertical="top" wrapText="1"/>
    </xf>
    <xf numFmtId="0" fontId="32" fillId="7" borderId="13" xfId="1" applyNumberFormat="1" applyFont="1" applyFill="1" applyBorder="1" applyAlignment="1">
      <alignment horizontal="left" vertical="center" wrapText="1"/>
    </xf>
    <xf numFmtId="1" fontId="32" fillId="0" borderId="38" xfId="2" applyNumberFormat="1" applyFont="1" applyFill="1" applyBorder="1" applyAlignment="1">
      <alignment vertical="top" wrapText="1"/>
    </xf>
    <xf numFmtId="2" fontId="32" fillId="9" borderId="33" xfId="2" applyNumberFormat="1" applyFont="1" applyFill="1" applyBorder="1" applyAlignment="1">
      <alignment vertical="top" wrapText="1"/>
    </xf>
    <xf numFmtId="2" fontId="32" fillId="9" borderId="13" xfId="2" applyNumberFormat="1" applyFont="1" applyFill="1" applyBorder="1" applyAlignment="1">
      <alignment vertical="top" wrapText="1"/>
    </xf>
    <xf numFmtId="169" fontId="32" fillId="7" borderId="39" xfId="2" applyNumberFormat="1" applyFont="1" applyFill="1" applyBorder="1" applyAlignment="1">
      <alignment vertical="top" wrapText="1"/>
    </xf>
    <xf numFmtId="169" fontId="32" fillId="7" borderId="0" xfId="2" applyNumberFormat="1" applyFont="1" applyFill="1" applyBorder="1" applyAlignment="1">
      <alignment vertical="top" wrapText="1"/>
    </xf>
    <xf numFmtId="167" fontId="36" fillId="0" borderId="0" xfId="1" applyFont="1" applyFill="1" applyBorder="1" applyAlignment="1">
      <alignment horizontal="center" vertical="center" wrapText="1"/>
    </xf>
    <xf numFmtId="2" fontId="30" fillId="10" borderId="13" xfId="2" applyNumberFormat="1" applyFont="1" applyFill="1" applyBorder="1" applyAlignment="1">
      <alignment horizontal="left" vertical="center" wrapText="1"/>
    </xf>
    <xf numFmtId="2" fontId="32" fillId="10" borderId="13" xfId="2" applyNumberFormat="1" applyFont="1" applyFill="1" applyBorder="1" applyAlignment="1">
      <alignment horizontal="left" vertical="center" wrapText="1"/>
    </xf>
    <xf numFmtId="2" fontId="30" fillId="10" borderId="13" xfId="2" applyNumberFormat="1" applyFont="1" applyFill="1" applyBorder="1" applyAlignment="1">
      <alignment vertical="top" wrapText="1"/>
    </xf>
    <xf numFmtId="0" fontId="32" fillId="7" borderId="13" xfId="8" applyNumberFormat="1" applyFont="1" applyFill="1" applyBorder="1" applyAlignment="1">
      <alignment horizontal="left" vertical="center" wrapText="1"/>
    </xf>
    <xf numFmtId="169" fontId="30" fillId="7" borderId="13" xfId="2" applyNumberFormat="1" applyFont="1" applyFill="1" applyBorder="1" applyAlignment="1">
      <alignment vertical="top" wrapText="1"/>
    </xf>
    <xf numFmtId="2" fontId="30" fillId="7" borderId="13" xfId="2" applyNumberFormat="1" applyFont="1" applyFill="1" applyBorder="1" applyAlignment="1">
      <alignment horizontal="left" vertical="center" wrapText="1"/>
    </xf>
    <xf numFmtId="2" fontId="32" fillId="7" borderId="38" xfId="2" applyNumberFormat="1" applyFont="1" applyFill="1" applyBorder="1" applyAlignment="1">
      <alignment horizontal="left" vertical="center" wrapText="1"/>
    </xf>
    <xf numFmtId="2" fontId="32" fillId="7" borderId="13" xfId="2" applyNumberFormat="1" applyFont="1" applyFill="1" applyBorder="1" applyAlignment="1">
      <alignment horizontal="left" vertical="top" wrapText="1"/>
    </xf>
    <xf numFmtId="2" fontId="32" fillId="10" borderId="13" xfId="2" applyNumberFormat="1" applyFont="1" applyFill="1" applyBorder="1" applyAlignment="1">
      <alignment vertical="top" wrapText="1"/>
    </xf>
    <xf numFmtId="2" fontId="32" fillId="0" borderId="39" xfId="2" applyNumberFormat="1" applyFont="1" applyFill="1" applyBorder="1" applyAlignment="1">
      <alignment vertical="top" wrapText="1"/>
    </xf>
    <xf numFmtId="2" fontId="30" fillId="10" borderId="38" xfId="2" applyNumberFormat="1" applyFont="1" applyFill="1" applyBorder="1" applyAlignment="1">
      <alignment vertical="top" wrapText="1"/>
    </xf>
    <xf numFmtId="2" fontId="29" fillId="10" borderId="38" xfId="2" applyNumberFormat="1" applyFont="1" applyFill="1" applyBorder="1" applyAlignment="1">
      <alignment vertical="top" wrapText="1"/>
    </xf>
    <xf numFmtId="2" fontId="57" fillId="7" borderId="48" xfId="2" applyNumberFormat="1" applyFont="1" applyFill="1" applyBorder="1" applyAlignment="1">
      <alignment vertical="top" wrapText="1"/>
    </xf>
    <xf numFmtId="2" fontId="30" fillId="7" borderId="13" xfId="2" applyNumberFormat="1" applyFont="1" applyFill="1" applyBorder="1" applyAlignment="1">
      <alignment vertical="center" wrapText="1"/>
    </xf>
    <xf numFmtId="169" fontId="29" fillId="7" borderId="5" xfId="2" applyNumberFormat="1" applyFont="1" applyFill="1" applyBorder="1" applyAlignment="1">
      <alignment vertical="top" wrapText="1"/>
    </xf>
    <xf numFmtId="2" fontId="30" fillId="7" borderId="33" xfId="2" applyNumberFormat="1" applyFont="1" applyFill="1" applyBorder="1" applyAlignment="1">
      <alignment vertical="top" wrapText="1"/>
    </xf>
    <xf numFmtId="2" fontId="29" fillId="7" borderId="33" xfId="2" applyNumberFormat="1" applyFont="1" applyFill="1" applyBorder="1" applyAlignment="1">
      <alignment vertical="top" wrapText="1"/>
    </xf>
    <xf numFmtId="2" fontId="27" fillId="7" borderId="39" xfId="2" applyNumberFormat="1" applyFont="1" applyFill="1" applyBorder="1" applyAlignment="1">
      <alignment vertical="top" wrapText="1"/>
    </xf>
    <xf numFmtId="2" fontId="36" fillId="0" borderId="0" xfId="2" applyNumberFormat="1" applyFont="1" applyFill="1" applyBorder="1" applyAlignment="1">
      <alignment vertical="top" wrapText="1"/>
    </xf>
    <xf numFmtId="2" fontId="36" fillId="0" borderId="13" xfId="2" applyNumberFormat="1" applyFont="1" applyFill="1" applyBorder="1" applyAlignment="1">
      <alignment horizontal="left" vertical="top" wrapText="1"/>
    </xf>
    <xf numFmtId="167" fontId="57" fillId="7" borderId="48" xfId="1" applyFont="1" applyFill="1" applyBorder="1" applyAlignment="1">
      <alignment horizontal="left" vertical="top" wrapText="1"/>
    </xf>
    <xf numFmtId="1" fontId="36" fillId="0" borderId="13" xfId="2" applyNumberFormat="1" applyFont="1" applyFill="1" applyBorder="1" applyAlignment="1">
      <alignment vertical="top" wrapText="1"/>
    </xf>
    <xf numFmtId="1" fontId="32" fillId="7" borderId="36" xfId="2" applyNumberFormat="1" applyFont="1" applyFill="1" applyBorder="1" applyAlignment="1">
      <alignment vertical="top" wrapText="1"/>
    </xf>
    <xf numFmtId="1" fontId="29" fillId="0" borderId="5" xfId="2" applyNumberFormat="1" applyFont="1" applyFill="1" applyBorder="1" applyAlignment="1">
      <alignment vertical="top" wrapText="1"/>
    </xf>
    <xf numFmtId="1" fontId="32" fillId="7" borderId="39" xfId="2" applyNumberFormat="1" applyFont="1" applyFill="1" applyBorder="1" applyAlignment="1">
      <alignment vertical="top" wrapText="1"/>
    </xf>
    <xf numFmtId="1" fontId="29" fillId="0" borderId="0" xfId="2" applyNumberFormat="1" applyFont="1" applyFill="1" applyBorder="1" applyAlignment="1">
      <alignment vertical="top" wrapText="1"/>
    </xf>
    <xf numFmtId="2" fontId="30" fillId="9" borderId="13" xfId="2" applyNumberFormat="1" applyFont="1" applyFill="1" applyBorder="1" applyAlignment="1">
      <alignment vertical="top" wrapText="1"/>
    </xf>
    <xf numFmtId="167" fontId="32" fillId="7" borderId="0" xfId="1" applyFont="1" applyFill="1" applyAlignment="1">
      <alignment vertical="top"/>
    </xf>
    <xf numFmtId="167" fontId="36" fillId="7" borderId="13" xfId="1" applyFont="1" applyFill="1" applyBorder="1" applyAlignment="1">
      <alignment horizontal="center" vertical="center" wrapText="1"/>
    </xf>
    <xf numFmtId="2" fontId="30" fillId="7" borderId="0" xfId="2" applyNumberFormat="1" applyFont="1" applyFill="1" applyBorder="1" applyAlignment="1">
      <alignment vertical="top" wrapText="1"/>
    </xf>
    <xf numFmtId="2" fontId="32" fillId="7" borderId="0" xfId="2" applyNumberFormat="1" applyFont="1" applyFill="1" applyBorder="1" applyAlignment="1">
      <alignment vertical="top" wrapText="1"/>
    </xf>
    <xf numFmtId="167" fontId="32" fillId="7" borderId="0" xfId="1" applyFont="1" applyFill="1" applyBorder="1" applyAlignment="1">
      <alignment horizontal="left" vertical="top"/>
    </xf>
    <xf numFmtId="167" fontId="32" fillId="7" borderId="0" xfId="1" applyFont="1" applyFill="1" applyAlignment="1">
      <alignment vertical="top" wrapText="1"/>
    </xf>
    <xf numFmtId="167" fontId="30" fillId="7" borderId="0" xfId="1" applyFont="1" applyFill="1" applyAlignment="1">
      <alignment vertical="top" wrapText="1"/>
    </xf>
    <xf numFmtId="167" fontId="41" fillId="7" borderId="0" xfId="1" applyFont="1" applyFill="1" applyAlignment="1">
      <alignment horizontal="center" vertical="center"/>
    </xf>
    <xf numFmtId="167" fontId="27" fillId="7" borderId="13" xfId="1" applyFont="1" applyFill="1" applyBorder="1" applyAlignment="1">
      <alignment horizontal="center" vertical="center" wrapText="1"/>
    </xf>
    <xf numFmtId="167" fontId="29" fillId="7" borderId="5" xfId="1" applyFont="1" applyFill="1" applyBorder="1" applyAlignment="1">
      <alignment vertical="top"/>
    </xf>
    <xf numFmtId="2" fontId="36" fillId="7" borderId="13" xfId="2" applyNumberFormat="1" applyFont="1" applyFill="1" applyBorder="1" applyAlignment="1">
      <alignment horizontal="center" vertical="center" wrapText="1"/>
    </xf>
    <xf numFmtId="2" fontId="36" fillId="7" borderId="0" xfId="2" applyNumberFormat="1" applyFont="1" applyFill="1" applyBorder="1" applyAlignment="1">
      <alignment horizontal="center" vertical="center" wrapText="1"/>
    </xf>
    <xf numFmtId="167" fontId="29" fillId="7" borderId="0" xfId="1" applyFont="1" applyFill="1" applyAlignment="1"/>
    <xf numFmtId="167" fontId="29" fillId="0" borderId="5" xfId="1" applyFont="1" applyFill="1" applyBorder="1" applyAlignment="1"/>
    <xf numFmtId="167" fontId="40" fillId="7" borderId="0" xfId="1" applyFont="1" applyFill="1" applyAlignment="1">
      <alignment horizontal="center" vertical="center"/>
    </xf>
    <xf numFmtId="2" fontId="36" fillId="0" borderId="0" xfId="2" applyNumberFormat="1" applyFont="1" applyFill="1" applyBorder="1" applyAlignment="1">
      <alignment horizontal="center" vertical="center" wrapText="1"/>
    </xf>
    <xf numFmtId="167" fontId="33" fillId="4" borderId="37" xfId="1" applyFont="1" applyFill="1" applyBorder="1" applyAlignment="1">
      <alignment horizontal="center" vertical="center"/>
    </xf>
    <xf numFmtId="177" fontId="49" fillId="11" borderId="49" xfId="6" applyNumberFormat="1" applyFont="1" applyFill="1" applyBorder="1" applyAlignment="1">
      <alignment horizontal="justify" vertical="top" wrapText="1"/>
    </xf>
    <xf numFmtId="177" fontId="49" fillId="12" borderId="49" xfId="6" applyNumberFormat="1" applyFont="1" applyFill="1" applyBorder="1" applyAlignment="1">
      <alignment horizontal="justify" vertical="top" wrapText="1"/>
    </xf>
    <xf numFmtId="167" fontId="49" fillId="7" borderId="49" xfId="1" applyFont="1" applyFill="1" applyBorder="1" applyAlignment="1">
      <alignment horizontal="justify" vertical="top"/>
    </xf>
    <xf numFmtId="167" fontId="33" fillId="7" borderId="50" xfId="1" applyFont="1" applyFill="1" applyBorder="1" applyAlignment="1">
      <alignment horizontal="justify" vertical="top" wrapText="1"/>
    </xf>
    <xf numFmtId="167" fontId="33" fillId="7" borderId="51" xfId="1" applyFont="1" applyFill="1" applyBorder="1" applyAlignment="1">
      <alignment vertical="top" wrapText="1"/>
    </xf>
    <xf numFmtId="167" fontId="33" fillId="7" borderId="32" xfId="1" applyFont="1" applyFill="1" applyBorder="1" applyAlignment="1">
      <alignment horizontal="center" vertical="center"/>
    </xf>
    <xf numFmtId="169" fontId="33" fillId="7" borderId="37" xfId="2" applyNumberFormat="1" applyFont="1" applyFill="1" applyBorder="1" applyAlignment="1">
      <alignment vertical="top" wrapText="1"/>
    </xf>
    <xf numFmtId="0" fontId="33" fillId="7" borderId="37" xfId="2" applyNumberFormat="1" applyFont="1" applyFill="1" applyBorder="1" applyAlignment="1">
      <alignment vertical="top" wrapText="1"/>
    </xf>
    <xf numFmtId="0" fontId="33" fillId="7" borderId="7" xfId="2" applyNumberFormat="1" applyFont="1" applyFill="1" applyBorder="1" applyAlignment="1">
      <alignment vertical="top" wrapText="1"/>
    </xf>
    <xf numFmtId="167" fontId="33" fillId="7" borderId="7" xfId="1" applyFont="1" applyFill="1" applyBorder="1" applyAlignment="1">
      <alignment horizontal="center" vertical="center"/>
    </xf>
    <xf numFmtId="167" fontId="33" fillId="7" borderId="5" xfId="1" applyFont="1" applyFill="1" applyBorder="1" applyAlignment="1">
      <alignment horizontal="center" vertical="center"/>
    </xf>
    <xf numFmtId="167" fontId="4" fillId="0" borderId="0" xfId="1" applyFont="1" applyBorder="1" applyAlignment="1">
      <alignment horizontal="left" vertical="top"/>
    </xf>
    <xf numFmtId="167" fontId="7" fillId="0" borderId="0" xfId="1" applyNumberFormat="1" applyFont="1" applyFill="1" applyAlignment="1">
      <alignment vertical="center"/>
    </xf>
    <xf numFmtId="0" fontId="59" fillId="0" borderId="0" xfId="1" applyNumberFormat="1" applyFont="1" applyFill="1" applyAlignment="1">
      <alignment vertical="top" wrapText="1"/>
    </xf>
    <xf numFmtId="167" fontId="2" fillId="0" borderId="0" xfId="1" applyAlignment="1">
      <alignment horizontal="center"/>
    </xf>
    <xf numFmtId="0" fontId="7" fillId="0" borderId="0" xfId="1" applyNumberFormat="1" applyFont="1" applyFill="1" applyAlignment="1">
      <alignment horizontal="left" vertical="top" wrapText="1"/>
    </xf>
    <xf numFmtId="171" fontId="2" fillId="0" borderId="0" xfId="1" applyNumberFormat="1"/>
    <xf numFmtId="0" fontId="7" fillId="0" borderId="0" xfId="1" applyNumberFormat="1" applyFont="1" applyFill="1"/>
    <xf numFmtId="0" fontId="62" fillId="10" borderId="0" xfId="1" applyNumberFormat="1" applyFont="1" applyFill="1"/>
    <xf numFmtId="175" fontId="7" fillId="0" borderId="0" xfId="1" applyNumberFormat="1" applyFont="1" applyFill="1"/>
    <xf numFmtId="2" fontId="7" fillId="0" borderId="0" xfId="1" applyNumberFormat="1" applyFont="1" applyFill="1"/>
    <xf numFmtId="174" fontId="7" fillId="0" borderId="0" xfId="1" applyNumberFormat="1" applyFont="1" applyFill="1"/>
    <xf numFmtId="2" fontId="63" fillId="0" borderId="0" xfId="1" applyNumberFormat="1" applyFont="1" applyFill="1"/>
    <xf numFmtId="0" fontId="8" fillId="0" borderId="0" xfId="1" applyNumberFormat="1" applyFont="1" applyFill="1" applyAlignment="1">
      <alignment vertical="top" wrapText="1"/>
    </xf>
    <xf numFmtId="167" fontId="4" fillId="0" borderId="0" xfId="1" applyFont="1"/>
    <xf numFmtId="0" fontId="7" fillId="0" borderId="0" xfId="1" applyNumberFormat="1" applyFont="1" applyFill="1" applyAlignment="1">
      <alignment horizontal="center" vertical="top" wrapText="1"/>
    </xf>
    <xf numFmtId="0" fontId="8" fillId="0" borderId="0" xfId="1" applyNumberFormat="1" applyFont="1" applyFill="1"/>
    <xf numFmtId="167" fontId="8" fillId="0" borderId="0" xfId="1" applyNumberFormat="1" applyFont="1" applyFill="1" applyAlignment="1">
      <alignment vertical="center" wrapText="1"/>
    </xf>
    <xf numFmtId="167" fontId="7" fillId="0" borderId="0" xfId="1" applyNumberFormat="1" applyFont="1" applyAlignment="1">
      <alignment horizontal="center" vertical="center"/>
    </xf>
    <xf numFmtId="167" fontId="7" fillId="0" borderId="0" xfId="1" applyNumberFormat="1" applyFont="1" applyAlignment="1">
      <alignment horizontal="left" vertical="center" wrapText="1"/>
    </xf>
    <xf numFmtId="0" fontId="7" fillId="0" borderId="0" xfId="1" applyNumberFormat="1" applyFont="1" applyFill="1" applyAlignment="1">
      <alignment vertical="center" wrapText="1"/>
    </xf>
    <xf numFmtId="167" fontId="7" fillId="0" borderId="0" xfId="1" applyNumberFormat="1" applyFont="1" applyAlignment="1">
      <alignment horizontal="left" vertical="center"/>
    </xf>
    <xf numFmtId="167" fontId="8" fillId="0" borderId="0" xfId="1" applyNumberFormat="1" applyFont="1" applyAlignment="1">
      <alignment horizontal="center" vertical="center"/>
    </xf>
    <xf numFmtId="167" fontId="8" fillId="0" borderId="0" xfId="1" applyNumberFormat="1" applyFont="1" applyFill="1" applyAlignment="1">
      <alignment vertical="center"/>
    </xf>
    <xf numFmtId="177" fontId="2" fillId="0" borderId="0" xfId="1" applyNumberFormat="1"/>
    <xf numFmtId="171" fontId="2" fillId="0" borderId="0" xfId="1" applyNumberFormat="1" applyAlignment="1">
      <alignment horizontal="right"/>
    </xf>
    <xf numFmtId="167" fontId="2" fillId="0" borderId="0" xfId="1" applyAlignment="1"/>
    <xf numFmtId="167" fontId="2" fillId="0" borderId="0" xfId="1" applyAlignment="1">
      <alignment horizontal="left"/>
    </xf>
    <xf numFmtId="167" fontId="4" fillId="0" borderId="0" xfId="1" applyNumberFormat="1" applyFont="1" applyProtection="1"/>
    <xf numFmtId="170" fontId="2" fillId="0" borderId="0" xfId="1" applyNumberFormat="1" applyAlignment="1" applyProtection="1">
      <alignment horizontal="center"/>
    </xf>
    <xf numFmtId="167" fontId="2" fillId="0" borderId="0" xfId="1" applyNumberFormat="1" applyAlignment="1" applyProtection="1"/>
    <xf numFmtId="167" fontId="2" fillId="0" borderId="0" xfId="1" applyNumberFormat="1" applyAlignment="1" applyProtection="1">
      <alignment horizontal="left"/>
    </xf>
    <xf numFmtId="167" fontId="2" fillId="0" borderId="0" xfId="1" applyNumberFormat="1" applyAlignment="1" applyProtection="1">
      <alignment horizontal="fill"/>
    </xf>
    <xf numFmtId="167" fontId="2" fillId="0" borderId="0" xfId="1" applyNumberFormat="1" applyProtection="1"/>
    <xf numFmtId="167" fontId="4" fillId="0" borderId="0" xfId="1" applyNumberFormat="1" applyFont="1" applyAlignment="1" applyProtection="1"/>
    <xf numFmtId="167" fontId="4" fillId="0" borderId="0" xfId="1" applyNumberFormat="1" applyFont="1" applyAlignment="1" applyProtection="1">
      <alignment horizontal="left"/>
    </xf>
    <xf numFmtId="167" fontId="4" fillId="0" borderId="0" xfId="1" applyNumberFormat="1" applyFont="1" applyAlignment="1" applyProtection="1">
      <alignment horizontal="center"/>
    </xf>
    <xf numFmtId="167" fontId="4" fillId="0" borderId="0" xfId="1" applyFont="1" applyAlignment="1">
      <alignment horizontal="left"/>
    </xf>
    <xf numFmtId="171" fontId="2" fillId="0" borderId="0" xfId="1" applyNumberFormat="1" applyAlignment="1" applyProtection="1">
      <alignment horizontal="center"/>
    </xf>
    <xf numFmtId="171" fontId="2" fillId="0" borderId="0" xfId="1" applyNumberFormat="1" applyProtection="1"/>
    <xf numFmtId="167" fontId="2" fillId="0" borderId="0" xfId="1" applyNumberFormat="1" applyFont="1" applyProtection="1"/>
    <xf numFmtId="167" fontId="2" fillId="0" borderId="0" xfId="1" applyNumberFormat="1" applyAlignment="1" applyProtection="1">
      <alignment horizontal="center"/>
    </xf>
    <xf numFmtId="167" fontId="64" fillId="0" borderId="0" xfId="1" applyFont="1"/>
    <xf numFmtId="167" fontId="65" fillId="0" borderId="0" xfId="1" applyFont="1"/>
    <xf numFmtId="167" fontId="66" fillId="0" borderId="0" xfId="1" applyFont="1" applyAlignment="1">
      <alignment horizontal="center"/>
    </xf>
    <xf numFmtId="167" fontId="66" fillId="0" borderId="0" xfId="1" applyFont="1"/>
    <xf numFmtId="0" fontId="77" fillId="0" borderId="0" xfId="1" applyNumberFormat="1" applyFont="1" applyFill="1"/>
    <xf numFmtId="167" fontId="2" fillId="0" borderId="0" xfId="1" applyAlignment="1">
      <alignment vertical="top" wrapText="1"/>
    </xf>
    <xf numFmtId="0" fontId="4" fillId="0" borderId="0" xfId="1" applyNumberFormat="1" applyFont="1" applyProtection="1"/>
    <xf numFmtId="0" fontId="77" fillId="10" borderId="0" xfId="1" applyNumberFormat="1" applyFont="1" applyFill="1"/>
    <xf numFmtId="167" fontId="2" fillId="0" borderId="0" xfId="1" applyNumberFormat="1" applyBorder="1" applyAlignment="1" applyProtection="1">
      <alignment horizontal="left"/>
    </xf>
    <xf numFmtId="167" fontId="2" fillId="0" borderId="0" xfId="1" applyNumberFormat="1" applyBorder="1" applyAlignment="1" applyProtection="1">
      <alignment horizontal="center"/>
    </xf>
    <xf numFmtId="167" fontId="2" fillId="0" borderId="0" xfId="1" applyBorder="1"/>
    <xf numFmtId="167" fontId="2" fillId="0" borderId="0" xfId="1" applyBorder="1" applyAlignment="1"/>
    <xf numFmtId="167" fontId="2" fillId="0" borderId="0" xfId="1" applyBorder="1" applyAlignment="1">
      <alignment horizontal="center"/>
    </xf>
    <xf numFmtId="167" fontId="78" fillId="0" borderId="0" xfId="1" applyNumberFormat="1" applyFont="1" applyBorder="1" applyAlignment="1" applyProtection="1">
      <alignment horizontal="center"/>
    </xf>
    <xf numFmtId="167" fontId="2" fillId="0" borderId="0" xfId="1" applyNumberFormat="1" applyBorder="1" applyAlignment="1" applyProtection="1">
      <alignment horizontal="fill"/>
    </xf>
    <xf numFmtId="167" fontId="79" fillId="0" borderId="0" xfId="1" applyNumberFormat="1" applyFont="1" applyBorder="1" applyAlignment="1" applyProtection="1">
      <alignment horizontal="left"/>
    </xf>
    <xf numFmtId="167" fontId="2" fillId="0" borderId="0" xfId="1" applyNumberFormat="1" applyBorder="1" applyAlignment="1" applyProtection="1">
      <alignment horizontal="right"/>
    </xf>
    <xf numFmtId="167" fontId="2" fillId="0" borderId="0" xfId="1" applyNumberFormat="1" applyBorder="1" applyAlignment="1" applyProtection="1"/>
    <xf numFmtId="167" fontId="2" fillId="0" borderId="0" xfId="1" applyNumberFormat="1" applyBorder="1" applyProtection="1"/>
    <xf numFmtId="167" fontId="80" fillId="0" borderId="0" xfId="1" applyNumberFormat="1" applyFont="1" applyBorder="1" applyProtection="1"/>
    <xf numFmtId="168" fontId="2" fillId="0" borderId="0" xfId="1" applyNumberFormat="1" applyBorder="1" applyProtection="1"/>
    <xf numFmtId="167" fontId="2" fillId="0" borderId="0" xfId="1" applyBorder="1" applyAlignment="1">
      <alignment horizontal="left"/>
    </xf>
    <xf numFmtId="167" fontId="2" fillId="0" borderId="0" xfId="1" applyBorder="1" applyAlignment="1" applyProtection="1">
      <alignment horizontal="left"/>
    </xf>
    <xf numFmtId="168" fontId="2" fillId="0" borderId="0" xfId="1" applyNumberFormat="1" applyBorder="1" applyAlignment="1" applyProtection="1">
      <alignment horizontal="center"/>
    </xf>
    <xf numFmtId="167" fontId="2" fillId="0" borderId="0" xfId="1" applyNumberFormat="1" applyFont="1" applyAlignment="1" applyProtection="1">
      <alignment horizontal="right"/>
    </xf>
    <xf numFmtId="167" fontId="2" fillId="0" borderId="0" xfId="1" applyNumberFormat="1" applyAlignment="1" applyProtection="1">
      <alignment horizontal="right"/>
    </xf>
    <xf numFmtId="167" fontId="81" fillId="0" borderId="0" xfId="1" applyNumberFormat="1" applyFont="1" applyBorder="1" applyAlignment="1" applyProtection="1">
      <alignment horizontal="left" wrapText="1"/>
    </xf>
    <xf numFmtId="171" fontId="2" fillId="0" borderId="0" xfId="1" applyNumberFormat="1" applyBorder="1" applyProtection="1"/>
    <xf numFmtId="170" fontId="2" fillId="0" borderId="0" xfId="1" applyNumberFormat="1" applyBorder="1" applyAlignment="1" applyProtection="1">
      <alignment horizontal="center"/>
    </xf>
    <xf numFmtId="170" fontId="2" fillId="0" borderId="0" xfId="1" applyNumberFormat="1" applyBorder="1" applyAlignment="1" applyProtection="1">
      <alignment horizontal="left"/>
    </xf>
    <xf numFmtId="167" fontId="4" fillId="0" borderId="0" xfId="1" applyNumberFormat="1" applyFont="1" applyBorder="1" applyAlignment="1" applyProtection="1">
      <alignment horizontal="left"/>
    </xf>
    <xf numFmtId="167" fontId="4" fillId="0" borderId="0" xfId="1" applyFont="1" applyAlignment="1">
      <alignment horizontal="center"/>
    </xf>
    <xf numFmtId="167" fontId="4" fillId="0" borderId="0" xfId="1" applyNumberFormat="1" applyFont="1" applyAlignment="1" applyProtection="1">
      <alignment horizontal="right"/>
    </xf>
    <xf numFmtId="167" fontId="4" fillId="0" borderId="0" xfId="1" applyNumberFormat="1" applyFont="1" applyBorder="1" applyAlignment="1" applyProtection="1">
      <alignment horizontal="left" wrapText="1"/>
    </xf>
    <xf numFmtId="167" fontId="4" fillId="0" borderId="0" xfId="1" applyNumberFormat="1" applyFont="1" applyAlignment="1" applyProtection="1">
      <alignment horizontal="fill"/>
    </xf>
    <xf numFmtId="167" fontId="2" fillId="0" borderId="0" xfId="1" applyNumberFormat="1" applyBorder="1" applyAlignment="1" applyProtection="1">
      <alignment horizontal="left" wrapText="1"/>
    </xf>
    <xf numFmtId="170" fontId="2" fillId="0" borderId="0" xfId="1" applyNumberFormat="1" applyBorder="1" applyAlignment="1">
      <alignment horizontal="center" vertical="top"/>
    </xf>
    <xf numFmtId="170" fontId="2" fillId="0" borderId="0" xfId="1" applyNumberFormat="1" applyFont="1" applyBorder="1" applyAlignment="1">
      <alignment horizontal="center"/>
    </xf>
    <xf numFmtId="167" fontId="2" fillId="0" borderId="0" xfId="1" applyNumberFormat="1" applyBorder="1" applyAlignment="1" applyProtection="1">
      <alignment horizontal="left" vertical="top" wrapText="1"/>
    </xf>
    <xf numFmtId="170" fontId="2" fillId="0" borderId="0" xfId="1" applyNumberFormat="1" applyBorder="1"/>
    <xf numFmtId="173" fontId="2" fillId="0" borderId="0" xfId="1" applyNumberFormat="1" applyBorder="1" applyProtection="1"/>
    <xf numFmtId="172" fontId="2" fillId="0" borderId="0" xfId="1" applyNumberFormat="1" applyBorder="1" applyProtection="1"/>
    <xf numFmtId="170" fontId="2" fillId="0" borderId="0" xfId="1" applyNumberFormat="1" applyBorder="1" applyAlignment="1">
      <alignment horizontal="center"/>
    </xf>
    <xf numFmtId="168" fontId="2" fillId="0" borderId="0" xfId="1" applyNumberFormat="1" applyBorder="1" applyAlignment="1" applyProtection="1">
      <alignment horizontal="left"/>
    </xf>
    <xf numFmtId="167" fontId="64" fillId="0" borderId="0" xfId="1" applyNumberFormat="1" applyFont="1" applyProtection="1"/>
    <xf numFmtId="167" fontId="82" fillId="0" borderId="0" xfId="1" applyFont="1"/>
    <xf numFmtId="167" fontId="2" fillId="0" borderId="0" xfId="1" applyFill="1" applyBorder="1"/>
    <xf numFmtId="168" fontId="2" fillId="0" borderId="0" xfId="1" applyNumberFormat="1" applyBorder="1" applyAlignment="1" applyProtection="1">
      <alignment horizontal="center" vertical="top"/>
    </xf>
    <xf numFmtId="167" fontId="4" fillId="0" borderId="0" xfId="1" applyFont="1" applyFill="1" applyBorder="1" applyAlignment="1">
      <alignment wrapText="1"/>
    </xf>
    <xf numFmtId="167" fontId="83" fillId="0" borderId="0" xfId="1" applyFont="1"/>
    <xf numFmtId="168" fontId="2" fillId="0" borderId="0" xfId="1" applyNumberFormat="1" applyBorder="1" applyAlignment="1">
      <alignment horizontal="center" vertical="top"/>
    </xf>
    <xf numFmtId="167" fontId="2" fillId="0" borderId="0" xfId="1" applyAlignment="1">
      <alignment horizontal="right"/>
    </xf>
    <xf numFmtId="167" fontId="4" fillId="0" borderId="0" xfId="1" applyFont="1" applyFill="1" applyBorder="1"/>
    <xf numFmtId="167" fontId="64" fillId="0" borderId="0" xfId="1" applyFont="1" applyAlignment="1">
      <alignment horizontal="right"/>
    </xf>
    <xf numFmtId="167" fontId="2" fillId="0" borderId="0" xfId="1" applyFont="1" applyFill="1" applyBorder="1" applyAlignment="1">
      <alignment wrapText="1"/>
    </xf>
    <xf numFmtId="167" fontId="2" fillId="0" borderId="0" xfId="1" applyFill="1" applyBorder="1" applyAlignment="1">
      <alignment wrapText="1"/>
    </xf>
    <xf numFmtId="167" fontId="2" fillId="0" borderId="0" xfId="1" applyFill="1" applyBorder="1" applyAlignment="1">
      <alignment horizontal="left" vertical="top" wrapText="1"/>
    </xf>
    <xf numFmtId="167" fontId="4" fillId="0" borderId="0" xfId="1" applyFont="1" applyFill="1" applyBorder="1" applyAlignment="1">
      <alignment horizontal="left" vertical="top" wrapText="1"/>
    </xf>
    <xf numFmtId="167" fontId="2" fillId="0" borderId="0" xfId="1" applyBorder="1" applyAlignment="1">
      <alignment horizontal="center" vertical="top"/>
    </xf>
    <xf numFmtId="170" fontId="2" fillId="0" borderId="0" xfId="1" applyNumberFormat="1" applyBorder="1" applyAlignment="1" applyProtection="1">
      <alignment horizontal="center" vertical="top" wrapText="1"/>
    </xf>
    <xf numFmtId="167" fontId="2" fillId="0" borderId="0" xfId="1" applyNumberFormat="1" applyBorder="1" applyAlignment="1" applyProtection="1">
      <alignment horizontal="justify" vertical="top" wrapText="1"/>
    </xf>
    <xf numFmtId="167" fontId="4" fillId="0" borderId="0" xfId="1" applyFont="1" applyBorder="1"/>
    <xf numFmtId="173" fontId="2" fillId="0" borderId="0" xfId="1" applyNumberFormat="1" applyProtection="1"/>
    <xf numFmtId="173" fontId="2" fillId="0" borderId="0" xfId="1" applyNumberFormat="1" applyAlignment="1" applyProtection="1">
      <alignment horizontal="center"/>
    </xf>
    <xf numFmtId="173" fontId="2" fillId="0" borderId="0" xfId="1" applyNumberFormat="1" applyAlignment="1" applyProtection="1">
      <alignment horizontal="fill"/>
    </xf>
    <xf numFmtId="173" fontId="2" fillId="0" borderId="0" xfId="1" applyNumberFormat="1" applyAlignment="1" applyProtection="1">
      <alignment horizontal="left"/>
    </xf>
    <xf numFmtId="180" fontId="2" fillId="0" borderId="0" xfId="1" applyNumberFormat="1" applyBorder="1" applyProtection="1"/>
    <xf numFmtId="167" fontId="80" fillId="0" borderId="0" xfId="1" applyFont="1" applyBorder="1"/>
    <xf numFmtId="171" fontId="2" fillId="0" borderId="0" xfId="1" applyNumberFormat="1" applyBorder="1" applyAlignment="1" applyProtection="1">
      <alignment horizontal="center"/>
    </xf>
    <xf numFmtId="168" fontId="2" fillId="0" borderId="0" xfId="1" applyNumberFormat="1" applyBorder="1" applyAlignment="1">
      <alignment horizontal="center"/>
    </xf>
    <xf numFmtId="167" fontId="2" fillId="0" borderId="0" xfId="1" applyBorder="1" applyAlignment="1">
      <alignment wrapText="1"/>
    </xf>
    <xf numFmtId="167" fontId="2" fillId="0" borderId="0" xfId="1" applyNumberFormat="1" applyBorder="1" applyAlignment="1" applyProtection="1">
      <alignment vertical="center"/>
    </xf>
    <xf numFmtId="167" fontId="2" fillId="0" borderId="0" xfId="1" applyNumberFormat="1" applyAlignment="1" applyProtection="1">
      <alignment vertical="center"/>
    </xf>
    <xf numFmtId="167" fontId="2" fillId="0" borderId="0" xfId="1" applyNumberFormat="1" applyAlignment="1" applyProtection="1">
      <alignment horizontal="center" vertical="center"/>
    </xf>
    <xf numFmtId="167" fontId="80" fillId="0" borderId="0" xfId="1" applyNumberFormat="1" applyFont="1" applyBorder="1" applyAlignment="1" applyProtection="1">
      <alignment horizontal="left"/>
    </xf>
    <xf numFmtId="170" fontId="2" fillId="0" borderId="0" xfId="1" applyNumberFormat="1" applyBorder="1" applyAlignment="1" applyProtection="1">
      <alignment horizontal="center" vertical="top"/>
    </xf>
    <xf numFmtId="167" fontId="2" fillId="0" borderId="0" xfId="1" applyNumberFormat="1" applyAlignment="1" applyProtection="1">
      <alignment horizontal="right" vertical="top"/>
    </xf>
    <xf numFmtId="170" fontId="2" fillId="0" borderId="0" xfId="1" applyNumberFormat="1" applyBorder="1" applyAlignment="1">
      <alignment horizontal="center" vertical="top" wrapText="1"/>
    </xf>
    <xf numFmtId="167" fontId="84" fillId="0" borderId="0" xfId="1" applyFont="1" applyBorder="1"/>
    <xf numFmtId="167" fontId="84" fillId="0" borderId="0" xfId="1" applyFont="1" applyBorder="1" applyAlignment="1"/>
    <xf numFmtId="167" fontId="85" fillId="0" borderId="0" xfId="1" applyFont="1" applyBorder="1"/>
    <xf numFmtId="167" fontId="84" fillId="0" borderId="0" xfId="1" applyFont="1" applyBorder="1" applyAlignment="1">
      <alignment horizontal="center"/>
    </xf>
    <xf numFmtId="167" fontId="84" fillId="0" borderId="0" xfId="1" applyNumberFormat="1" applyFont="1" applyBorder="1" applyProtection="1"/>
    <xf numFmtId="167" fontId="84" fillId="0" borderId="0" xfId="1" applyFont="1" applyBorder="1" applyAlignment="1">
      <alignment horizontal="right"/>
    </xf>
    <xf numFmtId="167" fontId="86" fillId="0" borderId="0" xfId="1" applyFont="1" applyBorder="1" applyAlignment="1">
      <alignment wrapText="1"/>
    </xf>
    <xf numFmtId="167" fontId="84" fillId="0" borderId="0" xfId="1" applyFont="1" applyBorder="1" applyAlignment="1">
      <alignment wrapText="1"/>
    </xf>
    <xf numFmtId="180" fontId="84" fillId="0" borderId="0" xfId="1" applyNumberFormat="1" applyFont="1" applyBorder="1" applyAlignment="1"/>
    <xf numFmtId="167" fontId="84" fillId="0" borderId="0" xfId="1" applyNumberFormat="1" applyFont="1" applyBorder="1" applyAlignment="1"/>
    <xf numFmtId="167" fontId="84" fillId="0" borderId="0" xfId="1" applyNumberFormat="1" applyFont="1" applyBorder="1" applyAlignment="1" applyProtection="1">
      <alignment horizontal="fill"/>
    </xf>
    <xf numFmtId="167" fontId="86" fillId="0" borderId="0" xfId="1" applyFont="1" applyBorder="1"/>
    <xf numFmtId="167" fontId="84" fillId="0" borderId="0" xfId="1" applyFont="1" applyBorder="1" applyAlignment="1">
      <alignment horizontal="left"/>
    </xf>
    <xf numFmtId="167" fontId="87" fillId="0" borderId="0" xfId="1" applyFont="1" applyBorder="1" applyAlignment="1">
      <alignment horizontal="center" wrapText="1"/>
    </xf>
    <xf numFmtId="167" fontId="69" fillId="0" borderId="0" xfId="1" applyFont="1" applyBorder="1" applyAlignment="1">
      <alignment horizontal="center" wrapText="1"/>
    </xf>
    <xf numFmtId="2" fontId="69" fillId="0" borderId="0" xfId="1" applyNumberFormat="1" applyFont="1" applyBorder="1" applyAlignment="1">
      <alignment horizontal="center" vertical="center" wrapText="1"/>
    </xf>
    <xf numFmtId="167" fontId="72" fillId="0" borderId="0" xfId="1" applyFont="1" applyBorder="1"/>
    <xf numFmtId="167" fontId="76" fillId="0" borderId="0" xfId="1" applyFont="1" applyBorder="1" applyAlignment="1">
      <alignment horizontal="left" vertical="justify" wrapText="1"/>
    </xf>
    <xf numFmtId="167" fontId="76" fillId="0" borderId="0" xfId="1" applyFont="1" applyBorder="1"/>
    <xf numFmtId="167" fontId="69" fillId="0" borderId="0" xfId="1" applyFont="1" applyBorder="1" applyAlignment="1">
      <alignment horizontal="center" vertical="center" wrapText="1"/>
    </xf>
    <xf numFmtId="2" fontId="76" fillId="0" borderId="0" xfId="1" applyNumberFormat="1" applyFont="1" applyBorder="1"/>
    <xf numFmtId="169" fontId="69" fillId="0" borderId="0" xfId="1" applyNumberFormat="1" applyFont="1" applyBorder="1" applyAlignment="1">
      <alignment horizontal="center" vertical="center"/>
    </xf>
    <xf numFmtId="2" fontId="69" fillId="0" borderId="0" xfId="1" applyNumberFormat="1" applyFont="1" applyBorder="1" applyAlignment="1">
      <alignment horizontal="center" vertical="center"/>
    </xf>
    <xf numFmtId="167" fontId="69" fillId="0" borderId="0" xfId="1" applyFont="1" applyBorder="1" applyAlignment="1">
      <alignment horizontal="left" vertical="justify" wrapText="1"/>
    </xf>
    <xf numFmtId="167" fontId="76" fillId="0" borderId="0" xfId="1" applyFont="1" applyBorder="1" applyAlignment="1">
      <alignment horizontal="justify" vertical="justify" wrapText="1"/>
    </xf>
    <xf numFmtId="2" fontId="76" fillId="0" borderId="0" xfId="1" applyNumberFormat="1" applyFont="1" applyBorder="1" applyAlignment="1">
      <alignment horizontal="center" vertical="center"/>
    </xf>
    <xf numFmtId="167" fontId="76" fillId="0" borderId="0" xfId="1" applyFont="1" applyBorder="1" applyAlignment="1">
      <alignment horizontal="center" vertical="center"/>
    </xf>
    <xf numFmtId="167" fontId="76" fillId="0" borderId="0" xfId="1" applyFont="1" applyBorder="1" applyAlignment="1">
      <alignment horizontal="left" vertical="center"/>
    </xf>
    <xf numFmtId="2" fontId="68" fillId="0" borderId="0" xfId="1" applyNumberFormat="1" applyFont="1" applyBorder="1"/>
    <xf numFmtId="2" fontId="69" fillId="0" borderId="0" xfId="1" applyNumberFormat="1" applyFont="1" applyBorder="1"/>
    <xf numFmtId="167" fontId="69" fillId="0" borderId="0" xfId="1" applyFont="1" applyBorder="1" applyAlignment="1">
      <alignment horizontal="center" vertical="center"/>
    </xf>
    <xf numFmtId="167" fontId="69" fillId="0" borderId="0" xfId="1" applyFont="1" applyBorder="1" applyAlignment="1">
      <alignment horizontal="justify" vertical="justify" wrapText="1"/>
    </xf>
    <xf numFmtId="2" fontId="89" fillId="0" borderId="0" xfId="1" applyNumberFormat="1" applyFont="1" applyBorder="1"/>
    <xf numFmtId="167" fontId="76" fillId="0" borderId="0" xfId="1" applyFont="1" applyBorder="1" applyAlignment="1">
      <alignment horizontal="right"/>
    </xf>
    <xf numFmtId="2" fontId="76" fillId="0" borderId="0" xfId="1" quotePrefix="1" applyNumberFormat="1" applyFont="1" applyBorder="1"/>
    <xf numFmtId="2" fontId="76" fillId="0" borderId="0" xfId="1" applyNumberFormat="1" applyFont="1" applyBorder="1" applyAlignment="1">
      <alignment horizontal="right" vertical="center"/>
    </xf>
    <xf numFmtId="167" fontId="69" fillId="0" borderId="0" xfId="1" applyFont="1" applyBorder="1"/>
    <xf numFmtId="167" fontId="69" fillId="0" borderId="0" xfId="1" applyFont="1" applyBorder="1" applyAlignment="1">
      <alignment wrapText="1"/>
    </xf>
    <xf numFmtId="167" fontId="76" fillId="0" borderId="0" xfId="1" applyFont="1" applyBorder="1" applyAlignment="1">
      <alignment wrapText="1"/>
    </xf>
    <xf numFmtId="167" fontId="76" fillId="0" borderId="0" xfId="1" applyFont="1" applyBorder="1" applyAlignment="1">
      <alignment horizontal="right" wrapText="1"/>
    </xf>
    <xf numFmtId="167" fontId="69" fillId="0" borderId="0" xfId="1" applyFont="1" applyBorder="1" applyAlignment="1">
      <alignment horizontal="left" vertical="center" wrapText="1"/>
    </xf>
    <xf numFmtId="167" fontId="69" fillId="0" borderId="0" xfId="1" applyFont="1" applyBorder="1" applyAlignment="1">
      <alignment horizontal="left" wrapText="1"/>
    </xf>
    <xf numFmtId="167" fontId="72" fillId="0" borderId="0" xfId="1" applyFont="1" applyBorder="1" applyAlignment="1"/>
    <xf numFmtId="167" fontId="72" fillId="0" borderId="0" xfId="1" applyFont="1" applyBorder="1" applyAlignment="1">
      <alignment horizontal="center"/>
    </xf>
    <xf numFmtId="167" fontId="90" fillId="0" borderId="0" xfId="1" applyNumberFormat="1" applyFont="1" applyAlignment="1" applyProtection="1">
      <alignment horizontal="center" vertical="center"/>
    </xf>
    <xf numFmtId="170" fontId="91" fillId="0" borderId="0" xfId="1" applyNumberFormat="1" applyFont="1" applyAlignment="1" applyProtection="1">
      <alignment horizontal="center"/>
    </xf>
    <xf numFmtId="167" fontId="92" fillId="0" borderId="0" xfId="1" applyFont="1" applyAlignment="1">
      <alignment horizontal="right" vertical="top"/>
    </xf>
    <xf numFmtId="167" fontId="93" fillId="0" borderId="0" xfId="1" applyFont="1" applyBorder="1" applyAlignment="1">
      <alignment horizontal="justify" vertical="top" wrapText="1"/>
    </xf>
    <xf numFmtId="167" fontId="2" fillId="0" borderId="0" xfId="1" quotePrefix="1"/>
    <xf numFmtId="167" fontId="2" fillId="0" borderId="0" xfId="1" applyNumberFormat="1" applyAlignment="1" applyProtection="1">
      <alignment horizontal="left" wrapText="1"/>
    </xf>
    <xf numFmtId="167" fontId="2" fillId="0" borderId="0" xfId="1" quotePrefix="1" applyNumberFormat="1" applyAlignment="1" applyProtection="1">
      <alignment horizontal="fill"/>
    </xf>
    <xf numFmtId="167" fontId="95" fillId="0" borderId="0" xfId="1" applyFont="1"/>
    <xf numFmtId="168" fontId="96" fillId="0" borderId="0" xfId="1" applyNumberFormat="1" applyFont="1" applyAlignment="1">
      <alignment vertical="top"/>
    </xf>
    <xf numFmtId="167" fontId="2" fillId="0" borderId="0" xfId="1" applyAlignment="1">
      <alignment vertical="top"/>
    </xf>
    <xf numFmtId="167" fontId="2" fillId="0" borderId="0" xfId="1" applyAlignment="1">
      <alignment horizontal="fill"/>
    </xf>
    <xf numFmtId="170" fontId="96" fillId="0" borderId="0" xfId="1" applyNumberFormat="1" applyFont="1"/>
    <xf numFmtId="180" fontId="2" fillId="0" borderId="0" xfId="1" applyNumberFormat="1" applyProtection="1"/>
    <xf numFmtId="172" fontId="2" fillId="0" borderId="0" xfId="1" applyNumberFormat="1" applyAlignment="1">
      <alignment horizontal="center"/>
    </xf>
    <xf numFmtId="172" fontId="2" fillId="0" borderId="0" xfId="1" applyNumberFormat="1" applyProtection="1"/>
    <xf numFmtId="167" fontId="2" fillId="0" borderId="0" xfId="1" applyAlignment="1">
      <alignment horizontal="fill" vertical="top"/>
    </xf>
    <xf numFmtId="167" fontId="2" fillId="0" borderId="27" xfId="1" applyBorder="1"/>
    <xf numFmtId="167" fontId="2" fillId="0" borderId="0" xfId="1" applyAlignment="1">
      <alignment horizontal="fill" vertical="top" wrapText="1"/>
    </xf>
    <xf numFmtId="170" fontId="2" fillId="0" borderId="0" xfId="1" applyNumberFormat="1"/>
    <xf numFmtId="167" fontId="2" fillId="0" borderId="0" xfId="1" applyNumberFormat="1" applyAlignment="1">
      <alignment vertical="top" wrapText="1"/>
    </xf>
    <xf numFmtId="170" fontId="66" fillId="0" borderId="0" xfId="1" applyNumberFormat="1" applyFont="1" applyAlignment="1">
      <alignment vertical="top"/>
    </xf>
    <xf numFmtId="167" fontId="65" fillId="0" borderId="0" xfId="1" applyFont="1" applyAlignment="1"/>
    <xf numFmtId="167" fontId="65" fillId="0" borderId="0" xfId="1" applyFont="1" applyAlignment="1">
      <alignment wrapText="1"/>
    </xf>
    <xf numFmtId="167" fontId="65" fillId="0" borderId="0" xfId="1" applyFont="1" applyAlignment="1">
      <alignment horizontal="center"/>
    </xf>
    <xf numFmtId="167" fontId="65" fillId="0" borderId="0" xfId="1" quotePrefix="1" applyFont="1" applyAlignment="1">
      <alignment vertical="top"/>
    </xf>
    <xf numFmtId="167" fontId="65" fillId="0" borderId="0" xfId="1" quotePrefix="1" applyFont="1"/>
    <xf numFmtId="170" fontId="4" fillId="0" borderId="0" xfId="1" applyNumberFormat="1" applyFont="1" applyAlignment="1">
      <alignment vertical="top"/>
    </xf>
    <xf numFmtId="167" fontId="2" fillId="0" borderId="0" xfId="1" applyFont="1" applyAlignment="1"/>
    <xf numFmtId="167" fontId="2" fillId="0" borderId="0" xfId="1" applyFont="1" applyAlignment="1">
      <alignment horizontal="center"/>
    </xf>
    <xf numFmtId="167" fontId="2" fillId="0" borderId="0" xfId="1" applyFont="1"/>
    <xf numFmtId="167" fontId="2" fillId="0" borderId="0" xfId="1" applyFont="1" applyAlignment="1">
      <alignment vertical="top"/>
    </xf>
    <xf numFmtId="167" fontId="2" fillId="0" borderId="0" xfId="1" applyFont="1" applyAlignment="1">
      <alignment horizontal="left" vertical="top" wrapText="1"/>
    </xf>
    <xf numFmtId="167" fontId="2" fillId="0" borderId="0" xfId="1" quotePrefix="1" applyFont="1"/>
    <xf numFmtId="168" fontId="4" fillId="0" borderId="0" xfId="1" applyNumberFormat="1" applyFont="1"/>
    <xf numFmtId="168" fontId="2" fillId="0" borderId="0" xfId="1" applyNumberFormat="1" applyAlignment="1">
      <alignment vertical="top"/>
    </xf>
    <xf numFmtId="170" fontId="2" fillId="0" borderId="0" xfId="1" applyNumberFormat="1" applyAlignment="1">
      <alignment vertical="top"/>
    </xf>
    <xf numFmtId="168" fontId="96" fillId="0" borderId="0" xfId="1" applyNumberFormat="1" applyFont="1"/>
    <xf numFmtId="167" fontId="96" fillId="0" borderId="0" xfId="1" applyFont="1"/>
    <xf numFmtId="167" fontId="97" fillId="0" borderId="0" xfId="1" applyFont="1" applyBorder="1" applyAlignment="1">
      <alignment horizontal="center" vertical="center"/>
    </xf>
    <xf numFmtId="167" fontId="4" fillId="0" borderId="0" xfId="1" applyFont="1" applyBorder="1" applyAlignment="1">
      <alignment horizontal="center"/>
    </xf>
    <xf numFmtId="167" fontId="4" fillId="0" borderId="0" xfId="1" applyFont="1" applyBorder="1" applyAlignment="1">
      <alignment horizontal="center" vertical="center"/>
    </xf>
    <xf numFmtId="167" fontId="4" fillId="0" borderId="0" xfId="1" applyFont="1" applyBorder="1" applyAlignment="1">
      <alignment vertical="top"/>
    </xf>
    <xf numFmtId="167" fontId="4" fillId="0" borderId="0" xfId="1" applyFont="1" applyBorder="1" applyAlignment="1">
      <alignment horizontal="left" vertical="top" wrapText="1"/>
    </xf>
    <xf numFmtId="167" fontId="2" fillId="0" borderId="0" xfId="1" applyBorder="1" applyAlignment="1">
      <alignment vertical="top"/>
    </xf>
    <xf numFmtId="167" fontId="2" fillId="0" borderId="0" xfId="1" applyBorder="1" applyAlignment="1">
      <alignment horizontal="left" vertical="top" wrapText="1"/>
    </xf>
    <xf numFmtId="167" fontId="2" fillId="0" borderId="0" xfId="1" applyBorder="1" applyAlignment="1">
      <alignment horizontal="left" vertical="top"/>
    </xf>
    <xf numFmtId="167" fontId="2" fillId="0" borderId="0" xfId="1" applyBorder="1" applyAlignment="1">
      <alignment vertical="top" wrapText="1"/>
    </xf>
    <xf numFmtId="167" fontId="64" fillId="0" borderId="0" xfId="1" applyFont="1" applyBorder="1" applyAlignment="1">
      <alignment horizontal="left" vertical="top"/>
    </xf>
    <xf numFmtId="167" fontId="83" fillId="0" borderId="0" xfId="1" applyFont="1" applyBorder="1" applyAlignment="1">
      <alignment horizontal="left" vertical="top"/>
    </xf>
    <xf numFmtId="171" fontId="2" fillId="0" borderId="0" xfId="1" applyNumberFormat="1" applyBorder="1" applyAlignment="1">
      <alignment horizontal="left" vertical="top"/>
    </xf>
    <xf numFmtId="12" fontId="2" fillId="0" borderId="0" xfId="1" applyNumberFormat="1" applyBorder="1" applyAlignment="1">
      <alignment horizontal="left" vertical="top"/>
    </xf>
    <xf numFmtId="167" fontId="2" fillId="0" borderId="0" xfId="1" applyBorder="1" applyAlignment="1">
      <alignment horizontal="right" vertical="top"/>
    </xf>
    <xf numFmtId="167" fontId="98" fillId="0" borderId="0" xfId="1" applyFont="1" applyBorder="1" applyAlignment="1">
      <alignment horizontal="left" vertical="top"/>
    </xf>
    <xf numFmtId="167" fontId="4" fillId="0" borderId="0" xfId="1" applyFont="1" applyBorder="1" applyAlignment="1">
      <alignment horizontal="right" vertical="top"/>
    </xf>
    <xf numFmtId="167" fontId="95" fillId="0" borderId="0" xfId="1" applyFont="1" applyBorder="1" applyAlignment="1">
      <alignment horizontal="left" vertical="top"/>
    </xf>
    <xf numFmtId="167" fontId="4" fillId="0" borderId="0" xfId="1" applyFont="1" applyBorder="1" applyAlignment="1">
      <alignment horizontal="left" wrapText="1"/>
    </xf>
    <xf numFmtId="167" fontId="4" fillId="0" borderId="0" xfId="1" applyFont="1" applyFill="1" applyBorder="1" applyAlignment="1">
      <alignment horizontal="left" vertical="top"/>
    </xf>
    <xf numFmtId="167" fontId="2" fillId="0" borderId="0" xfId="1" applyFill="1" applyBorder="1" applyAlignment="1">
      <alignment horizontal="left" vertical="top"/>
    </xf>
    <xf numFmtId="167" fontId="4" fillId="0" borderId="0" xfId="1" applyFont="1" applyBorder="1" applyAlignment="1">
      <alignment horizontal="left"/>
    </xf>
    <xf numFmtId="167" fontId="100" fillId="0" borderId="0" xfId="1" applyFont="1" applyBorder="1" applyAlignment="1">
      <alignment horizontal="left" vertical="top"/>
    </xf>
    <xf numFmtId="167" fontId="101" fillId="0" borderId="0" xfId="1" applyFont="1" applyBorder="1" applyAlignment="1">
      <alignment horizontal="left" vertical="top"/>
    </xf>
    <xf numFmtId="167" fontId="2" fillId="0" borderId="0" xfId="1" applyFont="1" applyBorder="1" applyAlignment="1">
      <alignment horizontal="right" vertical="top"/>
    </xf>
    <xf numFmtId="172" fontId="2" fillId="0" borderId="0" xfId="1" applyNumberFormat="1" applyBorder="1" applyAlignment="1">
      <alignment horizontal="left" vertical="top"/>
    </xf>
    <xf numFmtId="167" fontId="2" fillId="0" borderId="0" xfId="1" applyFont="1" applyBorder="1" applyAlignment="1">
      <alignment horizontal="left" vertical="top"/>
    </xf>
    <xf numFmtId="167" fontId="102" fillId="0" borderId="0" xfId="1" applyFont="1" applyBorder="1" applyAlignment="1">
      <alignment horizontal="left" vertical="top"/>
    </xf>
    <xf numFmtId="167" fontId="95" fillId="0" borderId="0" xfId="1" applyFont="1" applyBorder="1" applyAlignment="1">
      <alignment horizontal="center" vertical="top"/>
    </xf>
    <xf numFmtId="167" fontId="2" fillId="10" borderId="0" xfId="1" applyFill="1" applyBorder="1" applyAlignment="1">
      <alignment wrapText="1"/>
    </xf>
    <xf numFmtId="167" fontId="2" fillId="7" borderId="0" xfId="1" applyFill="1" applyBorder="1" applyAlignment="1">
      <alignment horizontal="left" vertical="top"/>
    </xf>
    <xf numFmtId="167" fontId="4" fillId="7" borderId="0" xfId="1" applyFont="1" applyFill="1" applyBorder="1" applyAlignment="1">
      <alignment horizontal="left" vertical="top"/>
    </xf>
    <xf numFmtId="167" fontId="2" fillId="7" borderId="0" xfId="1" applyFill="1" applyBorder="1"/>
    <xf numFmtId="167" fontId="2" fillId="10" borderId="0" xfId="1" applyFill="1" applyBorder="1" applyAlignment="1">
      <alignment horizontal="left" vertical="top"/>
    </xf>
    <xf numFmtId="167" fontId="2" fillId="10" borderId="0" xfId="1" applyFill="1" applyBorder="1" applyAlignment="1">
      <alignment horizontal="left" vertical="top" wrapText="1"/>
    </xf>
    <xf numFmtId="167" fontId="64" fillId="10" borderId="0" xfId="1" applyFont="1" applyFill="1" applyBorder="1" applyAlignment="1">
      <alignment horizontal="left" vertical="top"/>
    </xf>
    <xf numFmtId="167" fontId="2" fillId="10" borderId="0" xfId="1" applyFill="1" applyBorder="1"/>
    <xf numFmtId="173" fontId="2" fillId="0" borderId="0" xfId="1" applyNumberFormat="1" applyBorder="1" applyAlignment="1">
      <alignment horizontal="left" vertical="top"/>
    </xf>
    <xf numFmtId="167" fontId="103" fillId="0" borderId="0" xfId="1" applyFont="1" applyBorder="1" applyAlignment="1">
      <alignment horizontal="left" vertical="top"/>
    </xf>
    <xf numFmtId="167" fontId="4" fillId="0" borderId="0" xfId="1" applyFont="1" applyBorder="1" applyAlignment="1">
      <alignment horizontal="center" vertical="top"/>
    </xf>
    <xf numFmtId="172" fontId="2" fillId="0" borderId="0" xfId="1" applyNumberFormat="1" applyFont="1" applyBorder="1" applyAlignment="1">
      <alignment horizontal="left" vertical="top"/>
    </xf>
    <xf numFmtId="167" fontId="104" fillId="13" borderId="0" xfId="1" applyFont="1" applyFill="1" applyBorder="1" applyAlignment="1">
      <alignment horizontal="left" vertical="top"/>
    </xf>
    <xf numFmtId="180" fontId="2" fillId="0" borderId="0" xfId="1" applyNumberFormat="1" applyBorder="1" applyAlignment="1">
      <alignment horizontal="left" vertical="top"/>
    </xf>
    <xf numFmtId="167" fontId="2" fillId="0" borderId="0" xfId="1" applyFont="1" applyBorder="1" applyAlignment="1">
      <alignment horizontal="left" vertical="top" wrapText="1"/>
    </xf>
    <xf numFmtId="167" fontId="82" fillId="0" borderId="0" xfId="1" applyFont="1" applyBorder="1" applyAlignment="1">
      <alignment horizontal="left" vertical="top"/>
    </xf>
    <xf numFmtId="167" fontId="72" fillId="0" borderId="0" xfId="1" applyFont="1" applyBorder="1" applyAlignment="1">
      <alignment horizontal="left" vertical="top"/>
    </xf>
    <xf numFmtId="167" fontId="72" fillId="0" borderId="0" xfId="1" applyFont="1" applyBorder="1" applyAlignment="1">
      <alignment horizontal="right" vertical="top"/>
    </xf>
    <xf numFmtId="167" fontId="105" fillId="0" borderId="0" xfId="1" applyFont="1" applyBorder="1" applyAlignment="1">
      <alignment horizontal="right" vertical="top"/>
    </xf>
    <xf numFmtId="167" fontId="72" fillId="0" borderId="0" xfId="1" applyFont="1" applyBorder="1" applyAlignment="1">
      <alignment horizontal="left" vertical="top" wrapText="1"/>
    </xf>
    <xf numFmtId="167" fontId="71" fillId="0" borderId="0" xfId="1" applyFont="1" applyBorder="1" applyAlignment="1">
      <alignment horizontal="right" vertical="top"/>
    </xf>
    <xf numFmtId="167" fontId="106" fillId="0" borderId="0" xfId="1" applyFont="1" applyBorder="1" applyAlignment="1">
      <alignment horizontal="left" vertical="top"/>
    </xf>
    <xf numFmtId="167" fontId="71" fillId="0" borderId="0" xfId="1" applyFont="1" applyBorder="1" applyAlignment="1">
      <alignment horizontal="left" vertical="top"/>
    </xf>
    <xf numFmtId="167" fontId="107" fillId="0" borderId="0" xfId="1" applyFont="1" applyBorder="1" applyAlignment="1">
      <alignment horizontal="left" vertical="top"/>
    </xf>
    <xf numFmtId="167" fontId="73" fillId="0" borderId="0" xfId="1" applyFont="1" applyBorder="1" applyAlignment="1">
      <alignment horizontal="left" vertical="top"/>
    </xf>
    <xf numFmtId="172" fontId="73" fillId="0" borderId="0" xfId="1" applyNumberFormat="1" applyFont="1" applyBorder="1" applyAlignment="1">
      <alignment horizontal="left" vertical="top"/>
    </xf>
    <xf numFmtId="167" fontId="108" fillId="0" borderId="0" xfId="1" applyFont="1" applyBorder="1" applyAlignment="1">
      <alignment horizontal="right" vertical="top"/>
    </xf>
    <xf numFmtId="172" fontId="2" fillId="0" borderId="0" xfId="1" applyNumberFormat="1" applyBorder="1"/>
    <xf numFmtId="167" fontId="4" fillId="0" borderId="0" xfId="1" applyNumberFormat="1" applyFont="1" applyBorder="1" applyAlignment="1">
      <alignment horizontal="left" vertical="top"/>
    </xf>
    <xf numFmtId="167" fontId="109" fillId="0" borderId="0" xfId="1" applyFont="1" applyBorder="1" applyAlignment="1">
      <alignment horizontal="left" vertical="top" wrapText="1"/>
    </xf>
    <xf numFmtId="167" fontId="4" fillId="0" borderId="0" xfId="1" applyFont="1" applyBorder="1" applyAlignment="1">
      <alignment horizontal="left" vertical="center"/>
    </xf>
    <xf numFmtId="167" fontId="64" fillId="7" borderId="0" xfId="1" applyFont="1" applyFill="1" applyBorder="1" applyAlignment="1">
      <alignment horizontal="left" vertical="top"/>
    </xf>
    <xf numFmtId="167" fontId="2" fillId="0" borderId="0" xfId="1" quotePrefix="1" applyBorder="1" applyAlignment="1">
      <alignment horizontal="left" vertical="top"/>
    </xf>
    <xf numFmtId="172" fontId="2" fillId="0" borderId="0" xfId="1" applyNumberFormat="1" applyFont="1"/>
    <xf numFmtId="167" fontId="2" fillId="0" borderId="0" xfId="1" applyFont="1" applyAlignment="1">
      <alignment horizontal="left"/>
    </xf>
    <xf numFmtId="173" fontId="2" fillId="0" borderId="0" xfId="1" applyNumberFormat="1" applyFont="1"/>
    <xf numFmtId="171" fontId="2" fillId="0" borderId="0" xfId="1" applyNumberFormat="1" applyFont="1"/>
    <xf numFmtId="167" fontId="110" fillId="0" borderId="0" xfId="1" applyFont="1"/>
    <xf numFmtId="167" fontId="4" fillId="0" borderId="0" xfId="1" applyFont="1" applyAlignment="1"/>
    <xf numFmtId="167" fontId="70" fillId="0" borderId="0" xfId="1" applyNumberFormat="1" applyFont="1"/>
    <xf numFmtId="167" fontId="70" fillId="0" borderId="0" xfId="1" applyNumberFormat="1" applyFont="1" applyAlignment="1">
      <alignment horizontal="center"/>
    </xf>
    <xf numFmtId="167" fontId="70" fillId="0" borderId="0" xfId="1" applyNumberFormat="1" applyFont="1" applyProtection="1"/>
    <xf numFmtId="171" fontId="70" fillId="0" borderId="0" xfId="1" applyNumberFormat="1" applyFont="1"/>
    <xf numFmtId="172" fontId="70" fillId="0" borderId="0" xfId="1" applyNumberFormat="1" applyFont="1" applyProtection="1"/>
    <xf numFmtId="167" fontId="70" fillId="0" borderId="0" xfId="1" applyNumberFormat="1" applyFont="1" applyAlignment="1" applyProtection="1"/>
    <xf numFmtId="167" fontId="70" fillId="0" borderId="0" xfId="1" applyNumberFormat="1" applyFont="1" applyAlignment="1" applyProtection="1">
      <alignment horizontal="left"/>
    </xf>
    <xf numFmtId="167" fontId="70" fillId="0" borderId="0" xfId="1" applyNumberFormat="1" applyFont="1" applyAlignment="1"/>
    <xf numFmtId="167" fontId="58" fillId="0" borderId="0" xfId="1" applyNumberFormat="1" applyFont="1" applyAlignment="1" applyProtection="1">
      <alignment horizontal="right"/>
    </xf>
    <xf numFmtId="167" fontId="58" fillId="0" borderId="0" xfId="1" applyNumberFormat="1" applyFont="1" applyProtection="1"/>
    <xf numFmtId="167" fontId="58" fillId="0" borderId="0" xfId="1" applyNumberFormat="1" applyFont="1"/>
    <xf numFmtId="167" fontId="58" fillId="0" borderId="0" xfId="1" applyNumberFormat="1" applyFont="1" applyAlignment="1" applyProtection="1">
      <alignment horizontal="left"/>
    </xf>
    <xf numFmtId="167" fontId="58" fillId="0" borderId="0" xfId="1" applyNumberFormat="1" applyFont="1" applyAlignment="1">
      <alignment horizontal="center"/>
    </xf>
    <xf numFmtId="167" fontId="58" fillId="0" borderId="0" xfId="1" applyNumberFormat="1" applyFont="1" applyAlignment="1" applyProtection="1">
      <alignment horizontal="center"/>
    </xf>
    <xf numFmtId="167" fontId="70" fillId="0" borderId="0" xfId="1" applyNumberFormat="1" applyFont="1" applyAlignment="1" applyProtection="1">
      <alignment horizontal="right"/>
    </xf>
    <xf numFmtId="167" fontId="70" fillId="0" borderId="0" xfId="1" applyNumberFormat="1" applyFont="1" applyAlignment="1">
      <alignment horizontal="left"/>
    </xf>
    <xf numFmtId="167" fontId="70" fillId="0" borderId="0" xfId="1" applyNumberFormat="1" applyFont="1" applyAlignment="1" applyProtection="1">
      <alignment horizontal="fill"/>
    </xf>
    <xf numFmtId="167" fontId="99" fillId="0" borderId="0" xfId="1" applyFont="1"/>
    <xf numFmtId="167" fontId="72" fillId="0" borderId="0" xfId="1" applyNumberFormat="1" applyFont="1" applyAlignment="1" applyProtection="1">
      <alignment horizontal="center"/>
    </xf>
    <xf numFmtId="167" fontId="72" fillId="0" borderId="0" xfId="1" applyNumberFormat="1" applyFont="1" applyAlignment="1" applyProtection="1"/>
    <xf numFmtId="167" fontId="72" fillId="0" borderId="0" xfId="1" applyNumberFormat="1" applyFont="1" applyAlignment="1" applyProtection="1">
      <alignment horizontal="left"/>
    </xf>
    <xf numFmtId="167" fontId="72" fillId="0" borderId="0" xfId="1" applyFont="1"/>
    <xf numFmtId="167" fontId="72" fillId="0" borderId="0" xfId="1" applyFont="1" applyAlignment="1">
      <alignment horizontal="center"/>
    </xf>
    <xf numFmtId="167" fontId="72" fillId="0" borderId="0" xfId="1" applyFont="1" applyAlignment="1"/>
    <xf numFmtId="167" fontId="69" fillId="0" borderId="0" xfId="1" applyNumberFormat="1" applyFont="1" applyAlignment="1" applyProtection="1">
      <alignment horizontal="left"/>
    </xf>
    <xf numFmtId="167" fontId="72" fillId="0" borderId="0" xfId="1" applyNumberFormat="1" applyFont="1" applyAlignment="1" applyProtection="1">
      <alignment horizontal="fill"/>
    </xf>
    <xf numFmtId="167" fontId="67" fillId="0" borderId="0" xfId="1" applyNumberFormat="1" applyFont="1" applyAlignment="1" applyProtection="1">
      <alignment horizontal="left"/>
    </xf>
    <xf numFmtId="167" fontId="72" fillId="0" borderId="0" xfId="1" applyFont="1" applyAlignment="1">
      <alignment horizontal="right"/>
    </xf>
    <xf numFmtId="171" fontId="71" fillId="0" borderId="0" xfId="1" applyNumberFormat="1" applyFont="1" applyAlignment="1">
      <alignment horizontal="right"/>
    </xf>
    <xf numFmtId="172" fontId="71" fillId="0" borderId="0" xfId="1" applyNumberFormat="1" applyFont="1" applyAlignment="1">
      <alignment horizontal="right"/>
    </xf>
    <xf numFmtId="173" fontId="72" fillId="0" borderId="0" xfId="1" applyNumberFormat="1" applyFont="1" applyProtection="1"/>
    <xf numFmtId="171" fontId="4" fillId="0" borderId="0" xfId="1" applyNumberFormat="1" applyFont="1"/>
    <xf numFmtId="172" fontId="4" fillId="0" borderId="0" xfId="1" applyNumberFormat="1" applyFont="1" applyAlignment="1">
      <alignment horizontal="right"/>
    </xf>
    <xf numFmtId="173" fontId="72" fillId="0" borderId="0" xfId="1" applyNumberFormat="1" applyFont="1" applyAlignment="1" applyProtection="1">
      <alignment horizontal="left"/>
    </xf>
    <xf numFmtId="172" fontId="71" fillId="0" borderId="0" xfId="1" applyNumberFormat="1" applyFont="1" applyAlignment="1" applyProtection="1">
      <alignment horizontal="right"/>
    </xf>
    <xf numFmtId="172" fontId="72" fillId="0" borderId="0" xfId="1" applyNumberFormat="1" applyFont="1"/>
    <xf numFmtId="167" fontId="72" fillId="0" borderId="0" xfId="1" applyFont="1" applyAlignment="1">
      <alignment wrapText="1"/>
    </xf>
    <xf numFmtId="172" fontId="2" fillId="0" borderId="0" xfId="1" applyNumberFormat="1"/>
    <xf numFmtId="167" fontId="72" fillId="0" borderId="0" xfId="1" applyNumberFormat="1" applyFont="1" applyProtection="1"/>
    <xf numFmtId="172" fontId="71" fillId="0" borderId="0" xfId="1" applyNumberFormat="1" applyFont="1"/>
    <xf numFmtId="167" fontId="72" fillId="0" borderId="0" xfId="1" applyNumberFormat="1" applyFont="1" applyAlignment="1" applyProtection="1">
      <alignment horizontal="left" wrapText="1"/>
    </xf>
    <xf numFmtId="173" fontId="2" fillId="0" borderId="0" xfId="1" applyNumberFormat="1"/>
    <xf numFmtId="172" fontId="72" fillId="0" borderId="0" xfId="1" applyNumberFormat="1" applyFont="1" applyProtection="1"/>
    <xf numFmtId="167" fontId="67" fillId="0" borderId="0" xfId="1" applyNumberFormat="1" applyFont="1" applyAlignment="1" applyProtection="1">
      <alignment horizontal="left" wrapText="1"/>
    </xf>
    <xf numFmtId="167" fontId="71" fillId="0" borderId="0" xfId="1" applyNumberFormat="1" applyFont="1" applyAlignment="1" applyProtection="1">
      <alignment horizontal="left"/>
    </xf>
    <xf numFmtId="167" fontId="72" fillId="10" borderId="0" xfId="1" applyNumberFormat="1" applyFont="1" applyFill="1" applyProtection="1"/>
    <xf numFmtId="171" fontId="72" fillId="0" borderId="0" xfId="1" applyNumberFormat="1" applyFont="1" applyAlignment="1" applyProtection="1">
      <alignment horizontal="right"/>
    </xf>
    <xf numFmtId="167" fontId="72" fillId="0" borderId="0" xfId="1" applyNumberFormat="1" applyFont="1" applyAlignment="1" applyProtection="1">
      <alignment horizontal="right"/>
    </xf>
    <xf numFmtId="167" fontId="71" fillId="0" borderId="0" xfId="1" applyFont="1" applyAlignment="1">
      <alignment horizontal="right"/>
    </xf>
    <xf numFmtId="167" fontId="71" fillId="0" borderId="0" xfId="1" applyNumberFormat="1" applyFont="1" applyProtection="1"/>
    <xf numFmtId="167" fontId="70" fillId="0" borderId="0" xfId="1" applyNumberFormat="1" applyFont="1" applyAlignment="1" applyProtection="1">
      <alignment horizontal="left" wrapText="1"/>
    </xf>
    <xf numFmtId="172" fontId="70" fillId="0" borderId="0" xfId="1" applyNumberFormat="1" applyFont="1" applyAlignment="1" applyProtection="1">
      <alignment horizontal="right"/>
    </xf>
    <xf numFmtId="0" fontId="2" fillId="0" borderId="0" xfId="1" applyNumberFormat="1"/>
    <xf numFmtId="167" fontId="76" fillId="0" borderId="0" xfId="1" applyNumberFormat="1" applyFont="1"/>
    <xf numFmtId="167" fontId="76" fillId="0" borderId="0" xfId="1" applyNumberFormat="1" applyFont="1" applyAlignment="1"/>
    <xf numFmtId="167" fontId="76" fillId="0" borderId="0" xfId="1" applyNumberFormat="1" applyFont="1" applyProtection="1"/>
    <xf numFmtId="167" fontId="76" fillId="0" borderId="0" xfId="1" applyNumberFormat="1" applyFont="1" applyAlignment="1">
      <alignment horizontal="left"/>
    </xf>
    <xf numFmtId="167" fontId="4" fillId="0" borderId="0" xfId="1" applyNumberFormat="1" applyFont="1"/>
    <xf numFmtId="167" fontId="4" fillId="0" borderId="0" xfId="1" applyNumberFormat="1" applyFont="1" applyAlignment="1"/>
    <xf numFmtId="167" fontId="4" fillId="0" borderId="0" xfId="1" applyNumberFormat="1" applyFont="1" applyAlignment="1">
      <alignment horizontal="left"/>
    </xf>
    <xf numFmtId="167" fontId="2" fillId="0" borderId="0" xfId="1" applyNumberFormat="1"/>
    <xf numFmtId="171" fontId="74" fillId="0" borderId="0" xfId="1" applyNumberFormat="1" applyFont="1"/>
    <xf numFmtId="167" fontId="74" fillId="0" borderId="0" xfId="1" applyFont="1" applyAlignment="1"/>
    <xf numFmtId="167" fontId="75" fillId="0" borderId="0" xfId="1" applyFont="1"/>
    <xf numFmtId="167" fontId="74" fillId="0" borderId="0" xfId="1" applyFont="1"/>
    <xf numFmtId="167" fontId="74" fillId="0" borderId="0" xfId="1" applyFont="1" applyAlignment="1">
      <alignment horizontal="left"/>
    </xf>
    <xf numFmtId="0" fontId="74" fillId="0" borderId="0" xfId="1" applyNumberFormat="1" applyFont="1"/>
    <xf numFmtId="171" fontId="74" fillId="0" borderId="0" xfId="1" applyNumberFormat="1" applyFont="1" applyProtection="1"/>
    <xf numFmtId="167" fontId="74" fillId="0" borderId="0" xfId="1" applyNumberFormat="1" applyFont="1" applyAlignment="1" applyProtection="1"/>
    <xf numFmtId="167" fontId="74" fillId="0" borderId="0" xfId="1" applyNumberFormat="1" applyFont="1" applyAlignment="1" applyProtection="1">
      <alignment horizontal="left"/>
    </xf>
    <xf numFmtId="167" fontId="74" fillId="0" borderId="0" xfId="1" applyNumberFormat="1" applyFont="1" applyProtection="1"/>
    <xf numFmtId="167" fontId="74" fillId="0" borderId="0" xfId="1" applyFont="1" applyAlignment="1">
      <alignment horizontal="center"/>
    </xf>
    <xf numFmtId="167" fontId="75" fillId="0" borderId="0" xfId="1" applyNumberFormat="1" applyFont="1" applyAlignment="1" applyProtection="1">
      <alignment horizontal="right"/>
    </xf>
    <xf numFmtId="167" fontId="75" fillId="0" borderId="0" xfId="1" applyNumberFormat="1" applyFont="1" applyProtection="1"/>
    <xf numFmtId="2" fontId="2" fillId="0" borderId="0" xfId="1" applyNumberFormat="1"/>
    <xf numFmtId="2" fontId="111" fillId="0" borderId="0" xfId="1" applyNumberFormat="1" applyFont="1"/>
    <xf numFmtId="0" fontId="2" fillId="0" borderId="0" xfId="1" applyNumberFormat="1" applyAlignment="1">
      <alignment horizontal="center" vertical="center"/>
    </xf>
    <xf numFmtId="167" fontId="2" fillId="0" borderId="0" xfId="1" applyNumberFormat="1" applyAlignment="1"/>
    <xf numFmtId="167" fontId="2" fillId="0" borderId="0" xfId="1" applyNumberFormat="1" applyAlignment="1">
      <alignment horizontal="center"/>
    </xf>
    <xf numFmtId="167" fontId="111" fillId="0" borderId="0" xfId="1" applyNumberFormat="1" applyFont="1" applyAlignment="1" applyProtection="1">
      <alignment horizontal="right"/>
    </xf>
    <xf numFmtId="167" fontId="111" fillId="0" borderId="0" xfId="1" applyNumberFormat="1" applyFont="1"/>
    <xf numFmtId="0" fontId="111" fillId="0" borderId="0" xfId="1" applyNumberFormat="1" applyFont="1"/>
    <xf numFmtId="167" fontId="2" fillId="0" borderId="0" xfId="1" applyNumberFormat="1" applyAlignment="1">
      <alignment horizontal="left"/>
    </xf>
    <xf numFmtId="167" fontId="2" fillId="10" borderId="0" xfId="1" applyNumberFormat="1" applyFill="1"/>
    <xf numFmtId="167" fontId="2" fillId="10" borderId="0" xfId="1" applyNumberFormat="1" applyFill="1" applyAlignment="1"/>
    <xf numFmtId="167" fontId="2" fillId="10" borderId="0" xfId="1" applyNumberFormat="1" applyFill="1" applyAlignment="1" applyProtection="1">
      <alignment horizontal="left"/>
    </xf>
    <xf numFmtId="167" fontId="2" fillId="10" borderId="0" xfId="1" applyNumberFormat="1" applyFill="1" applyAlignment="1">
      <alignment horizontal="left"/>
    </xf>
    <xf numFmtId="167" fontId="2" fillId="10" borderId="0" xfId="1" applyNumberFormat="1" applyFill="1" applyProtection="1"/>
    <xf numFmtId="0" fontId="2" fillId="10" borderId="0" xfId="1" applyNumberFormat="1" applyFill="1"/>
    <xf numFmtId="175" fontId="2" fillId="0" borderId="0" xfId="1" applyNumberFormat="1"/>
    <xf numFmtId="175" fontId="111" fillId="0" borderId="0" xfId="1" applyNumberFormat="1" applyFont="1"/>
    <xf numFmtId="167" fontId="99" fillId="0" borderId="0" xfId="1" applyNumberFormat="1" applyFont="1" applyAlignment="1">
      <alignment horizontal="center"/>
    </xf>
    <xf numFmtId="2" fontId="4" fillId="0" borderId="0" xfId="1" applyNumberFormat="1" applyFont="1"/>
    <xf numFmtId="167" fontId="72" fillId="10" borderId="0" xfId="1" applyNumberFormat="1" applyFont="1" applyFill="1" applyAlignment="1" applyProtection="1">
      <alignment horizontal="center"/>
    </xf>
    <xf numFmtId="167" fontId="72" fillId="0" borderId="0" xfId="1" applyNumberFormat="1" applyFont="1"/>
    <xf numFmtId="167" fontId="72" fillId="0" borderId="0" xfId="1" applyNumberFormat="1" applyFont="1" applyAlignment="1">
      <alignment horizontal="center"/>
    </xf>
    <xf numFmtId="167" fontId="72" fillId="0" borderId="0" xfId="1" applyNumberFormat="1" applyFont="1" applyAlignment="1"/>
    <xf numFmtId="167" fontId="72" fillId="0" borderId="0" xfId="1" applyNumberFormat="1" applyFont="1" applyAlignment="1">
      <alignment horizontal="right"/>
    </xf>
    <xf numFmtId="172" fontId="111" fillId="0" borderId="0" xfId="1" applyNumberFormat="1" applyFont="1" applyAlignment="1">
      <alignment vertical="top"/>
    </xf>
    <xf numFmtId="173" fontId="72" fillId="0" borderId="0" xfId="1" applyNumberFormat="1" applyFont="1" applyAlignment="1">
      <alignment horizontal="right"/>
    </xf>
    <xf numFmtId="172" fontId="107" fillId="0" borderId="0" xfId="1" applyNumberFormat="1" applyFont="1" applyAlignment="1">
      <alignment horizontal="right"/>
    </xf>
    <xf numFmtId="172" fontId="72" fillId="0" borderId="0" xfId="1" applyNumberFormat="1" applyFont="1" applyAlignment="1">
      <alignment horizontal="center"/>
    </xf>
    <xf numFmtId="167" fontId="71" fillId="0" borderId="0" xfId="1" applyNumberFormat="1" applyFont="1" applyAlignment="1" applyProtection="1">
      <alignment horizontal="center"/>
    </xf>
    <xf numFmtId="167" fontId="71" fillId="0" borderId="0" xfId="1" applyNumberFormat="1" applyFont="1" applyAlignment="1">
      <alignment vertical="top"/>
    </xf>
    <xf numFmtId="167" fontId="72" fillId="10" borderId="0" xfId="1" applyNumberFormat="1" applyFont="1" applyFill="1"/>
    <xf numFmtId="167" fontId="72" fillId="0" borderId="0" xfId="1" applyNumberFormat="1" applyFont="1" applyAlignment="1">
      <alignment vertical="top"/>
    </xf>
    <xf numFmtId="167" fontId="2" fillId="0" borderId="0" xfId="1" applyBorder="1" applyAlignment="1">
      <alignment horizontal="right"/>
    </xf>
    <xf numFmtId="173" fontId="2" fillId="0" borderId="0" xfId="1" applyNumberFormat="1" applyAlignment="1" applyProtection="1">
      <alignment horizontal="right"/>
    </xf>
    <xf numFmtId="167" fontId="2" fillId="0" borderId="0" xfId="1" applyNumberFormat="1" applyAlignment="1" applyProtection="1">
      <alignment horizontal="right" vertical="center"/>
    </xf>
    <xf numFmtId="167" fontId="84" fillId="0" borderId="0" xfId="1" applyNumberFormat="1" applyFont="1" applyBorder="1" applyAlignment="1" applyProtection="1">
      <alignment horizontal="right"/>
    </xf>
    <xf numFmtId="167" fontId="86" fillId="0" borderId="0" xfId="1" applyFont="1" applyBorder="1" applyAlignment="1">
      <alignment horizontal="right"/>
    </xf>
    <xf numFmtId="167" fontId="87" fillId="0" borderId="0" xfId="1" applyFont="1" applyBorder="1" applyAlignment="1">
      <alignment horizontal="right" wrapText="1"/>
    </xf>
    <xf numFmtId="167" fontId="72" fillId="0" borderId="0" xfId="1" applyFont="1" applyBorder="1" applyAlignment="1">
      <alignment horizontal="right"/>
    </xf>
    <xf numFmtId="2" fontId="69" fillId="0" borderId="0" xfId="1" applyNumberFormat="1" applyFont="1" applyBorder="1" applyAlignment="1">
      <alignment horizontal="right" vertical="center" wrapText="1"/>
    </xf>
    <xf numFmtId="167" fontId="76" fillId="0" borderId="0" xfId="1" applyFont="1" applyBorder="1" applyAlignment="1">
      <alignment horizontal="right" vertical="justify" wrapText="1"/>
    </xf>
    <xf numFmtId="2" fontId="76" fillId="0" borderId="0" xfId="1" applyNumberFormat="1" applyFont="1" applyBorder="1" applyAlignment="1">
      <alignment horizontal="right"/>
    </xf>
    <xf numFmtId="2" fontId="68" fillId="0" borderId="0" xfId="1" applyNumberFormat="1" applyFont="1" applyBorder="1" applyAlignment="1">
      <alignment horizontal="right"/>
    </xf>
    <xf numFmtId="2" fontId="69" fillId="0" borderId="0" xfId="1" applyNumberFormat="1" applyFont="1" applyBorder="1" applyAlignment="1">
      <alignment horizontal="right"/>
    </xf>
    <xf numFmtId="2" fontId="89" fillId="0" borderId="0" xfId="1" applyNumberFormat="1" applyFont="1" applyBorder="1" applyAlignment="1">
      <alignment horizontal="right"/>
    </xf>
    <xf numFmtId="2" fontId="76" fillId="0" borderId="0" xfId="1" quotePrefix="1" applyNumberFormat="1" applyFont="1" applyBorder="1" applyAlignment="1">
      <alignment horizontal="right"/>
    </xf>
    <xf numFmtId="2" fontId="69" fillId="0" borderId="0" xfId="1" applyNumberFormat="1" applyFont="1" applyBorder="1" applyAlignment="1">
      <alignment horizontal="right" vertical="center"/>
    </xf>
    <xf numFmtId="167" fontId="2" fillId="0" borderId="0" xfId="1" quotePrefix="1" applyAlignment="1">
      <alignment horizontal="right"/>
    </xf>
    <xf numFmtId="167" fontId="2" fillId="0" borderId="0" xfId="1" quotePrefix="1" applyNumberFormat="1" applyAlignment="1" applyProtection="1">
      <alignment horizontal="right"/>
    </xf>
    <xf numFmtId="167" fontId="2" fillId="0" borderId="0" xfId="1" applyAlignment="1">
      <alignment horizontal="right" vertical="top" wrapText="1"/>
    </xf>
    <xf numFmtId="167" fontId="65" fillId="0" borderId="0" xfId="1" applyFont="1" applyAlignment="1">
      <alignment horizontal="right"/>
    </xf>
    <xf numFmtId="167" fontId="65" fillId="0" borderId="0" xfId="1" quotePrefix="1" applyFont="1" applyAlignment="1">
      <alignment horizontal="right"/>
    </xf>
    <xf numFmtId="167" fontId="2" fillId="0" borderId="0" xfId="1" applyFont="1" applyAlignment="1">
      <alignment horizontal="right"/>
    </xf>
    <xf numFmtId="167" fontId="2" fillId="0" borderId="0" xfId="1" quotePrefix="1" applyFont="1" applyAlignment="1">
      <alignment horizontal="right"/>
    </xf>
    <xf numFmtId="167" fontId="98" fillId="0" borderId="0" xfId="1" applyFont="1" applyBorder="1" applyAlignment="1">
      <alignment horizontal="right" vertical="top"/>
    </xf>
    <xf numFmtId="167" fontId="95" fillId="0" borderId="0" xfId="1" applyFont="1" applyBorder="1" applyAlignment="1">
      <alignment horizontal="right" vertical="top"/>
    </xf>
    <xf numFmtId="167" fontId="64" fillId="0" borderId="0" xfId="1" applyFont="1" applyBorder="1" applyAlignment="1">
      <alignment horizontal="right" vertical="top"/>
    </xf>
    <xf numFmtId="167" fontId="114" fillId="0" borderId="0" xfId="1" applyFont="1" applyBorder="1" applyAlignment="1">
      <alignment horizontal="left" vertical="top"/>
    </xf>
    <xf numFmtId="167" fontId="100" fillId="0" borderId="0" xfId="1" applyFont="1" applyBorder="1" applyAlignment="1">
      <alignment horizontal="right" vertical="top"/>
    </xf>
    <xf numFmtId="167" fontId="82" fillId="0" borderId="0" xfId="1" applyFont="1" applyBorder="1" applyAlignment="1">
      <alignment horizontal="right" vertical="top"/>
    </xf>
    <xf numFmtId="167" fontId="4" fillId="0" borderId="0" xfId="1" applyNumberFormat="1" applyFont="1" applyBorder="1" applyAlignment="1">
      <alignment horizontal="right" vertical="top"/>
    </xf>
    <xf numFmtId="167" fontId="4" fillId="0" borderId="0" xfId="1" applyFont="1" applyFill="1" applyBorder="1" applyAlignment="1">
      <alignment horizontal="right" vertical="top"/>
    </xf>
    <xf numFmtId="167" fontId="4" fillId="0" borderId="0" xfId="1" applyFont="1" applyBorder="1" applyAlignment="1">
      <alignment horizontal="right"/>
    </xf>
    <xf numFmtId="168" fontId="2" fillId="0" borderId="52" xfId="1" applyNumberFormat="1" applyBorder="1" applyAlignment="1">
      <alignment horizontal="center" vertical="top"/>
    </xf>
    <xf numFmtId="167" fontId="2" fillId="0" borderId="54" xfId="1" applyBorder="1" applyAlignment="1">
      <alignment horizontal="right" vertical="top"/>
    </xf>
    <xf numFmtId="168" fontId="2" fillId="0" borderId="55" xfId="1" applyNumberFormat="1" applyBorder="1" applyAlignment="1">
      <alignment horizontal="center" vertical="top"/>
    </xf>
    <xf numFmtId="167" fontId="2" fillId="0" borderId="56" xfId="1" applyBorder="1" applyAlignment="1">
      <alignment horizontal="right" vertical="top"/>
    </xf>
    <xf numFmtId="168" fontId="2" fillId="0" borderId="55" xfId="1" applyNumberFormat="1" applyFill="1" applyBorder="1" applyAlignment="1">
      <alignment horizontal="center" vertical="top"/>
    </xf>
    <xf numFmtId="167" fontId="2" fillId="0" borderId="57" xfId="1" applyBorder="1" applyAlignment="1">
      <alignment horizontal="left" vertical="top"/>
    </xf>
    <xf numFmtId="167" fontId="2" fillId="0" borderId="59" xfId="1" applyBorder="1" applyAlignment="1">
      <alignment horizontal="right" vertical="top"/>
    </xf>
    <xf numFmtId="167" fontId="100" fillId="0" borderId="0" xfId="1" applyNumberFormat="1" applyFont="1" applyAlignment="1" applyProtection="1">
      <alignment horizontal="center"/>
    </xf>
    <xf numFmtId="167" fontId="64" fillId="10" borderId="0" xfId="1" applyFont="1" applyFill="1"/>
    <xf numFmtId="167" fontId="64" fillId="0" borderId="0" xfId="1" applyFont="1" applyAlignment="1">
      <alignment horizontal="left"/>
    </xf>
    <xf numFmtId="167" fontId="100" fillId="0" borderId="0" xfId="1" applyNumberFormat="1" applyFont="1" applyAlignment="1" applyProtection="1">
      <alignment horizontal="left"/>
    </xf>
    <xf numFmtId="167" fontId="64" fillId="0" borderId="0" xfId="1" applyNumberFormat="1" applyFont="1" applyAlignment="1" applyProtection="1">
      <alignment horizontal="left"/>
    </xf>
    <xf numFmtId="171" fontId="64" fillId="0" borderId="0" xfId="1" applyNumberFormat="1" applyFont="1"/>
    <xf numFmtId="167" fontId="64" fillId="0" borderId="0" xfId="1" applyFont="1" applyAlignment="1">
      <alignment horizontal="center"/>
    </xf>
    <xf numFmtId="167" fontId="115" fillId="0" borderId="0" xfId="1" applyNumberFormat="1" applyFont="1" applyAlignment="1" applyProtection="1"/>
    <xf numFmtId="167" fontId="64" fillId="0" borderId="0" xfId="1" applyNumberFormat="1" applyFont="1" applyAlignment="1" applyProtection="1">
      <alignment horizontal="center"/>
    </xf>
    <xf numFmtId="167" fontId="64" fillId="0" borderId="0" xfId="1" applyNumberFormat="1" applyFont="1" applyAlignment="1" applyProtection="1">
      <alignment horizontal="fill"/>
    </xf>
    <xf numFmtId="167" fontId="64" fillId="0" borderId="0" xfId="1" applyNumberFormat="1" applyFont="1" applyAlignment="1" applyProtection="1">
      <alignment horizontal="right"/>
    </xf>
    <xf numFmtId="167" fontId="100" fillId="0" borderId="0" xfId="1" applyNumberFormat="1" applyFont="1" applyAlignment="1" applyProtection="1">
      <alignment horizontal="right"/>
    </xf>
    <xf numFmtId="167" fontId="64" fillId="0" borderId="0" xfId="1" applyNumberFormat="1" applyFont="1" applyBorder="1" applyAlignment="1" applyProtection="1">
      <alignment horizontal="fill"/>
    </xf>
    <xf numFmtId="167" fontId="100" fillId="0" borderId="0" xfId="1" applyFont="1"/>
    <xf numFmtId="167" fontId="100" fillId="0" borderId="0" xfId="1" quotePrefix="1" applyNumberFormat="1" applyFont="1" applyAlignment="1" applyProtection="1">
      <alignment horizontal="center"/>
    </xf>
    <xf numFmtId="167" fontId="100" fillId="0" borderId="0" xfId="1" quotePrefix="1" applyFont="1" applyAlignment="1">
      <alignment horizontal="center"/>
    </xf>
    <xf numFmtId="167" fontId="64" fillId="10" borderId="0" xfId="1" applyNumberFormat="1" applyFont="1" applyFill="1" applyProtection="1"/>
    <xf numFmtId="167" fontId="64" fillId="7" borderId="0" xfId="1" applyNumberFormat="1" applyFont="1" applyFill="1" applyProtection="1"/>
    <xf numFmtId="167" fontId="64" fillId="0" borderId="0" xfId="1" applyNumberFormat="1" applyFont="1" applyFill="1" applyProtection="1"/>
    <xf numFmtId="167" fontId="64" fillId="0" borderId="0" xfId="1" applyFont="1" applyAlignment="1" applyProtection="1">
      <alignment horizontal="left"/>
    </xf>
    <xf numFmtId="167" fontId="100" fillId="0" borderId="0" xfId="1" applyNumberFormat="1" applyFont="1" applyProtection="1"/>
    <xf numFmtId="167" fontId="100" fillId="0" borderId="0" xfId="1" applyFont="1" applyAlignment="1" applyProtection="1">
      <alignment horizontal="left"/>
    </xf>
    <xf numFmtId="167" fontId="116" fillId="0" borderId="0" xfId="1" applyNumberFormat="1" applyFont="1" applyAlignment="1" applyProtection="1">
      <alignment horizontal="left"/>
    </xf>
    <xf numFmtId="167" fontId="100" fillId="0" borderId="0" xfId="1" applyFont="1" applyAlignment="1">
      <alignment horizontal="left"/>
    </xf>
    <xf numFmtId="167" fontId="116" fillId="0" borderId="0" xfId="1" applyNumberFormat="1" applyFont="1" applyAlignment="1" applyProtection="1">
      <alignment horizontal="fill"/>
    </xf>
    <xf numFmtId="167" fontId="64" fillId="15" borderId="0" xfId="1" applyFont="1" applyFill="1"/>
    <xf numFmtId="167" fontId="117" fillId="0" borderId="0" xfId="1" applyNumberFormat="1" applyFont="1" applyProtection="1"/>
    <xf numFmtId="167" fontId="100" fillId="0" borderId="0" xfId="1" applyFont="1" applyAlignment="1">
      <alignment horizontal="right"/>
    </xf>
    <xf numFmtId="168" fontId="64" fillId="0" borderId="0" xfId="1" applyNumberFormat="1" applyFont="1" applyAlignment="1" applyProtection="1">
      <alignment horizontal="center"/>
    </xf>
    <xf numFmtId="167" fontId="64" fillId="0" borderId="0" xfId="1" applyNumberFormat="1" applyFont="1" applyAlignment="1" applyProtection="1"/>
    <xf numFmtId="167" fontId="64" fillId="0" borderId="0" xfId="1" applyFont="1" applyAlignment="1"/>
    <xf numFmtId="167" fontId="64" fillId="0" borderId="0" xfId="1" quotePrefix="1" applyFont="1"/>
    <xf numFmtId="171" fontId="64" fillId="0" borderId="0" xfId="1" applyNumberFormat="1" applyFont="1" applyProtection="1"/>
    <xf numFmtId="171" fontId="64" fillId="0" borderId="0" xfId="1" applyNumberFormat="1" applyFont="1" applyAlignment="1" applyProtection="1">
      <alignment horizontal="center"/>
    </xf>
    <xf numFmtId="171" fontId="64" fillId="0" borderId="0" xfId="1" applyNumberFormat="1" applyFont="1" applyAlignment="1" applyProtection="1">
      <alignment horizontal="left"/>
    </xf>
    <xf numFmtId="167" fontId="100" fillId="0" borderId="0" xfId="1" applyNumberFormat="1" applyFont="1" applyAlignment="1" applyProtection="1">
      <alignment horizontal="left" wrapText="1"/>
    </xf>
    <xf numFmtId="167" fontId="64" fillId="0" borderId="0" xfId="1" applyNumberFormat="1" applyFont="1" applyAlignment="1" applyProtection="1">
      <alignment horizontal="left" wrapText="1"/>
    </xf>
    <xf numFmtId="171" fontId="64" fillId="0" borderId="0" xfId="1" applyNumberFormat="1" applyFont="1" applyAlignment="1">
      <alignment horizontal="center" vertical="top"/>
    </xf>
    <xf numFmtId="167" fontId="64" fillId="0" borderId="0" xfId="1" applyNumberFormat="1" applyFont="1" applyAlignment="1" applyProtection="1">
      <alignment horizontal="left" vertical="top" wrapText="1"/>
    </xf>
    <xf numFmtId="171" fontId="64" fillId="0" borderId="0" xfId="1" applyNumberFormat="1" applyFont="1" applyAlignment="1">
      <alignment horizontal="center"/>
    </xf>
    <xf numFmtId="167" fontId="100" fillId="0" borderId="0" xfId="1" applyNumberFormat="1" applyFont="1" applyAlignment="1" applyProtection="1">
      <alignment horizontal="fill"/>
    </xf>
    <xf numFmtId="167" fontId="64" fillId="16" borderId="0" xfId="1" applyNumberFormat="1" applyFont="1" applyFill="1" applyAlignment="1" applyProtection="1">
      <alignment horizontal="left"/>
    </xf>
    <xf numFmtId="167" fontId="64" fillId="9" borderId="0" xfId="1" applyNumberFormat="1" applyFont="1" applyFill="1" applyProtection="1"/>
    <xf numFmtId="167" fontId="64" fillId="7" borderId="0" xfId="1" applyFont="1" applyFill="1"/>
    <xf numFmtId="167" fontId="64" fillId="7" borderId="0" xfId="1" applyNumberFormat="1" applyFont="1" applyFill="1" applyAlignment="1" applyProtection="1">
      <alignment horizontal="left"/>
    </xf>
    <xf numFmtId="168" fontId="64" fillId="0" borderId="0" xfId="1" applyNumberFormat="1" applyFont="1" applyProtection="1"/>
    <xf numFmtId="167" fontId="64" fillId="7" borderId="0" xfId="1" applyNumberFormat="1" applyFont="1" applyFill="1" applyAlignment="1" applyProtection="1">
      <alignment horizontal="center"/>
    </xf>
    <xf numFmtId="173" fontId="64" fillId="0" borderId="0" xfId="1" applyNumberFormat="1" applyFont="1" applyProtection="1"/>
    <xf numFmtId="170" fontId="64" fillId="0" borderId="0" xfId="1" applyNumberFormat="1" applyFont="1" applyAlignment="1" applyProtection="1">
      <alignment horizontal="center"/>
    </xf>
    <xf numFmtId="170" fontId="64" fillId="7" borderId="0" xfId="1" applyNumberFormat="1" applyFont="1" applyFill="1" applyAlignment="1" applyProtection="1">
      <alignment horizontal="center"/>
    </xf>
    <xf numFmtId="172" fontId="64" fillId="0" borderId="0" xfId="1" applyNumberFormat="1" applyFont="1" applyProtection="1"/>
    <xf numFmtId="172" fontId="64" fillId="7" borderId="0" xfId="1" applyNumberFormat="1" applyFont="1" applyFill="1" applyProtection="1"/>
    <xf numFmtId="171" fontId="64" fillId="7" borderId="0" xfId="1" applyNumberFormat="1" applyFont="1" applyFill="1" applyProtection="1"/>
    <xf numFmtId="167" fontId="100" fillId="9" borderId="0" xfId="1" applyNumberFormat="1" applyFont="1" applyFill="1" applyAlignment="1" applyProtection="1">
      <alignment horizontal="right"/>
    </xf>
    <xf numFmtId="168" fontId="64" fillId="7" borderId="0" xfId="1" applyNumberFormat="1" applyFont="1" applyFill="1" applyAlignment="1" applyProtection="1">
      <alignment horizontal="center"/>
    </xf>
    <xf numFmtId="172" fontId="64" fillId="0" borderId="0" xfId="1" applyNumberFormat="1" applyFont="1"/>
    <xf numFmtId="168" fontId="64" fillId="0" borderId="0" xfId="1" applyNumberFormat="1" applyFont="1" applyAlignment="1" applyProtection="1">
      <alignment vertical="center" wrapText="1"/>
    </xf>
    <xf numFmtId="170" fontId="64" fillId="0" borderId="0" xfId="1" applyNumberFormat="1" applyFont="1" applyAlignment="1">
      <alignment horizontal="center"/>
    </xf>
    <xf numFmtId="170" fontId="64" fillId="7" borderId="0" xfId="1" applyNumberFormat="1" applyFont="1" applyFill="1" applyAlignment="1">
      <alignment horizontal="center"/>
    </xf>
    <xf numFmtId="167" fontId="64" fillId="10" borderId="0" xfId="1" applyNumberFormat="1" applyFont="1" applyFill="1" applyAlignment="1" applyProtection="1">
      <alignment horizontal="left"/>
    </xf>
    <xf numFmtId="167" fontId="64" fillId="9" borderId="0" xfId="1" applyNumberFormat="1" applyFont="1" applyFill="1" applyAlignment="1" applyProtection="1">
      <alignment horizontal="left"/>
    </xf>
    <xf numFmtId="167" fontId="64" fillId="9" borderId="0" xfId="1" applyFont="1" applyFill="1"/>
    <xf numFmtId="168" fontId="64" fillId="0" borderId="0" xfId="1" applyNumberFormat="1" applyFont="1" applyAlignment="1" applyProtection="1">
      <alignment horizontal="left"/>
    </xf>
    <xf numFmtId="171" fontId="64" fillId="0" borderId="0" xfId="1" applyNumberFormat="1" applyFont="1" applyAlignment="1">
      <alignment horizontal="right"/>
    </xf>
    <xf numFmtId="167" fontId="64" fillId="7" borderId="0" xfId="1" applyNumberFormat="1" applyFont="1" applyFill="1" applyAlignment="1" applyProtection="1">
      <alignment horizontal="right"/>
    </xf>
    <xf numFmtId="172" fontId="64" fillId="0" borderId="0" xfId="1" quotePrefix="1" applyNumberFormat="1" applyFont="1" applyProtection="1"/>
    <xf numFmtId="173" fontId="64" fillId="7" borderId="0" xfId="1" applyNumberFormat="1" applyFont="1" applyFill="1" applyProtection="1"/>
    <xf numFmtId="167" fontId="64" fillId="0" borderId="0" xfId="1" quotePrefix="1" applyNumberFormat="1" applyFont="1" applyProtection="1"/>
    <xf numFmtId="167" fontId="64" fillId="7" borderId="0" xfId="1" quotePrefix="1" applyNumberFormat="1" applyFont="1" applyFill="1" applyProtection="1"/>
    <xf numFmtId="167" fontId="100" fillId="0" borderId="0" xfId="1" applyNumberFormat="1" applyFont="1" applyAlignment="1" applyProtection="1"/>
    <xf numFmtId="170" fontId="64" fillId="0" borderId="0" xfId="1" applyNumberFormat="1" applyFont="1" applyAlignment="1" applyProtection="1">
      <alignment horizontal="center" vertical="top" wrapText="1"/>
    </xf>
    <xf numFmtId="170" fontId="64" fillId="7" borderId="0" xfId="1" applyNumberFormat="1" applyFont="1" applyFill="1" applyAlignment="1" applyProtection="1">
      <alignment horizontal="center" vertical="top" wrapText="1"/>
    </xf>
    <xf numFmtId="167" fontId="64" fillId="0" borderId="0" xfId="1" applyNumberFormat="1" applyFont="1" applyAlignment="1" applyProtection="1">
      <alignment horizontal="justify" vertical="top" wrapText="1"/>
    </xf>
    <xf numFmtId="173" fontId="64" fillId="0" borderId="0" xfId="1" applyNumberFormat="1" applyFont="1" applyAlignment="1" applyProtection="1">
      <alignment horizontal="left"/>
    </xf>
    <xf numFmtId="173" fontId="64" fillId="0" borderId="0" xfId="1" applyNumberFormat="1" applyFont="1" applyAlignment="1" applyProtection="1">
      <alignment horizontal="right"/>
    </xf>
    <xf numFmtId="180" fontId="64" fillId="17" borderId="0" xfId="1" applyNumberFormat="1" applyFont="1" applyFill="1" applyProtection="1"/>
    <xf numFmtId="167" fontId="64" fillId="17" borderId="0" xfId="1" applyNumberFormat="1" applyFont="1" applyFill="1" applyAlignment="1" applyProtection="1"/>
    <xf numFmtId="167" fontId="64" fillId="17" borderId="0" xfId="1" applyNumberFormat="1" applyFont="1" applyFill="1" applyAlignment="1" applyProtection="1">
      <alignment horizontal="left"/>
    </xf>
    <xf numFmtId="167" fontId="64" fillId="17" borderId="0" xfId="1" applyNumberFormat="1" applyFont="1" applyFill="1" applyProtection="1"/>
    <xf numFmtId="180" fontId="64" fillId="0" borderId="0" xfId="1" applyNumberFormat="1" applyFont="1" applyProtection="1"/>
    <xf numFmtId="167" fontId="118" fillId="10" borderId="0" xfId="1" applyFont="1" applyFill="1"/>
    <xf numFmtId="167" fontId="118" fillId="10" borderId="0" xfId="1" applyFont="1" applyFill="1" applyAlignment="1">
      <alignment horizontal="left"/>
    </xf>
    <xf numFmtId="167" fontId="118" fillId="10" borderId="0" xfId="1" applyFont="1" applyFill="1" applyAlignment="1">
      <alignment horizontal="right"/>
    </xf>
    <xf numFmtId="167" fontId="64" fillId="17" borderId="0" xfId="1" applyFont="1" applyFill="1"/>
    <xf numFmtId="171" fontId="64" fillId="17" borderId="0" xfId="1" applyNumberFormat="1" applyFont="1" applyFill="1" applyProtection="1"/>
    <xf numFmtId="180" fontId="64" fillId="7" borderId="0" xfId="1" applyNumberFormat="1" applyFont="1" applyFill="1" applyProtection="1"/>
    <xf numFmtId="167" fontId="64" fillId="17" borderId="0" xfId="1" applyNumberFormat="1" applyFont="1" applyFill="1" applyAlignment="1" applyProtection="1">
      <alignment horizontal="right"/>
    </xf>
    <xf numFmtId="171" fontId="64" fillId="0" borderId="0" xfId="1" applyNumberFormat="1" applyFont="1" applyAlignment="1" applyProtection="1">
      <alignment horizontal="fill"/>
    </xf>
    <xf numFmtId="173" fontId="64" fillId="0" borderId="0" xfId="1" applyNumberFormat="1" applyFont="1"/>
    <xf numFmtId="167" fontId="100" fillId="0" borderId="0" xfId="1" applyFont="1" applyAlignment="1"/>
    <xf numFmtId="167" fontId="119" fillId="0" borderId="0" xfId="1" applyFont="1"/>
    <xf numFmtId="171" fontId="100" fillId="0" borderId="0" xfId="1" applyNumberFormat="1" applyFont="1" applyAlignment="1">
      <alignment horizontal="right"/>
    </xf>
    <xf numFmtId="167" fontId="64" fillId="10" borderId="0" xfId="1" applyFont="1" applyFill="1" applyAlignment="1"/>
    <xf numFmtId="167" fontId="64" fillId="10" borderId="0" xfId="1" applyNumberFormat="1" applyFont="1" applyFill="1" applyAlignment="1" applyProtection="1"/>
    <xf numFmtId="167" fontId="64" fillId="10" borderId="0" xfId="1" applyNumberFormat="1" applyFont="1" applyFill="1" applyAlignment="1" applyProtection="1">
      <alignment horizontal="right"/>
    </xf>
    <xf numFmtId="167" fontId="100" fillId="16" borderId="0" xfId="1" applyNumberFormat="1" applyFont="1" applyFill="1" applyAlignment="1" applyProtection="1">
      <alignment horizontal="left"/>
    </xf>
    <xf numFmtId="167" fontId="105" fillId="0" borderId="0" xfId="1" applyNumberFormat="1" applyFont="1" applyProtection="1"/>
    <xf numFmtId="167" fontId="64" fillId="16" borderId="0" xfId="1" applyFont="1" applyFill="1"/>
    <xf numFmtId="173" fontId="64" fillId="0" borderId="0" xfId="1" applyNumberFormat="1" applyFont="1" applyAlignment="1"/>
    <xf numFmtId="173" fontId="64" fillId="0" borderId="0" xfId="1" applyNumberFormat="1" applyFont="1" applyAlignment="1" applyProtection="1"/>
    <xf numFmtId="173" fontId="105" fillId="0" borderId="0" xfId="1" applyNumberFormat="1" applyFont="1" applyAlignment="1" applyProtection="1"/>
    <xf numFmtId="167" fontId="105" fillId="0" borderId="0" xfId="1" applyNumberFormat="1" applyFont="1" applyAlignment="1" applyProtection="1">
      <alignment horizontal="left"/>
    </xf>
    <xf numFmtId="167" fontId="105" fillId="0" borderId="0" xfId="1" applyNumberFormat="1" applyFont="1" applyAlignment="1" applyProtection="1">
      <alignment horizontal="center"/>
    </xf>
    <xf numFmtId="167" fontId="64" fillId="0" borderId="43" xfId="1" applyFont="1" applyBorder="1"/>
    <xf numFmtId="167" fontId="64" fillId="0" borderId="61" xfId="1" applyFont="1" applyBorder="1"/>
    <xf numFmtId="167" fontId="64" fillId="0" borderId="45" xfId="1" applyFont="1" applyBorder="1"/>
    <xf numFmtId="168" fontId="64" fillId="0" borderId="37" xfId="1" applyNumberFormat="1" applyFont="1" applyBorder="1" applyAlignment="1" applyProtection="1">
      <alignment horizontal="center"/>
    </xf>
    <xf numFmtId="168" fontId="64" fillId="7" borderId="29" xfId="1" applyNumberFormat="1" applyFont="1" applyFill="1" applyBorder="1" applyAlignment="1" applyProtection="1">
      <alignment horizontal="center"/>
    </xf>
    <xf numFmtId="168" fontId="64" fillId="0" borderId="29" xfId="1" applyNumberFormat="1" applyFont="1" applyBorder="1" applyAlignment="1" applyProtection="1">
      <alignment horizontal="center"/>
    </xf>
    <xf numFmtId="167" fontId="64" fillId="0" borderId="29" xfId="1" applyNumberFormat="1" applyFont="1" applyBorder="1" applyAlignment="1" applyProtection="1">
      <alignment horizontal="left"/>
    </xf>
    <xf numFmtId="167" fontId="64" fillId="0" borderId="29" xfId="1" applyFont="1" applyBorder="1"/>
    <xf numFmtId="167" fontId="64" fillId="0" borderId="29" xfId="1" applyFont="1" applyBorder="1" applyAlignment="1">
      <alignment horizontal="left"/>
    </xf>
    <xf numFmtId="167" fontId="64" fillId="0" borderId="29" xfId="1" applyFont="1" applyBorder="1" applyAlignment="1">
      <alignment horizontal="right"/>
    </xf>
    <xf numFmtId="167" fontId="64" fillId="0" borderId="60" xfId="1" applyFont="1" applyBorder="1"/>
    <xf numFmtId="167" fontId="64" fillId="7" borderId="0" xfId="1" applyFont="1" applyFill="1" applyBorder="1"/>
    <xf numFmtId="167" fontId="64" fillId="0" borderId="0" xfId="1" applyFont="1" applyBorder="1"/>
    <xf numFmtId="167" fontId="64" fillId="0" borderId="0" xfId="1" applyFont="1" applyBorder="1" applyAlignment="1">
      <alignment horizontal="left"/>
    </xf>
    <xf numFmtId="167" fontId="64" fillId="0" borderId="0" xfId="1" applyNumberFormat="1" applyFont="1" applyBorder="1" applyAlignment="1" applyProtection="1">
      <alignment horizontal="left"/>
    </xf>
    <xf numFmtId="167" fontId="64" fillId="0" borderId="0" xfId="1" applyFont="1" applyBorder="1" applyAlignment="1">
      <alignment horizontal="right"/>
    </xf>
    <xf numFmtId="167" fontId="64" fillId="0" borderId="60" xfId="1" applyNumberFormat="1" applyFont="1" applyBorder="1" applyProtection="1"/>
    <xf numFmtId="167" fontId="64" fillId="7" borderId="0" xfId="1" applyNumberFormat="1" applyFont="1" applyFill="1" applyBorder="1" applyProtection="1"/>
    <xf numFmtId="167" fontId="64" fillId="0" borderId="0" xfId="1" applyNumberFormat="1" applyFont="1" applyBorder="1" applyProtection="1"/>
    <xf numFmtId="167" fontId="64" fillId="0" borderId="0" xfId="1" applyNumberFormat="1" applyFont="1" applyBorder="1" applyAlignment="1" applyProtection="1">
      <alignment horizontal="right"/>
    </xf>
    <xf numFmtId="167" fontId="64" fillId="16" borderId="0" xfId="1" applyNumberFormat="1" applyFont="1" applyFill="1" applyBorder="1" applyProtection="1"/>
    <xf numFmtId="167" fontId="100" fillId="0" borderId="0" xfId="1" applyNumberFormat="1" applyFont="1" applyBorder="1" applyAlignment="1" applyProtection="1">
      <alignment horizontal="center"/>
    </xf>
    <xf numFmtId="167" fontId="100" fillId="0" borderId="0" xfId="1" applyFont="1" applyBorder="1"/>
    <xf numFmtId="167" fontId="100" fillId="0" borderId="0" xfId="1" applyFont="1" applyBorder="1" applyAlignment="1">
      <alignment horizontal="left"/>
    </xf>
    <xf numFmtId="167" fontId="100" fillId="0" borderId="0" xfId="1" applyNumberFormat="1" applyFont="1" applyBorder="1" applyAlignment="1" applyProtection="1">
      <alignment horizontal="right"/>
    </xf>
    <xf numFmtId="167" fontId="64" fillId="0" borderId="44" xfId="1" applyFont="1" applyBorder="1"/>
    <xf numFmtId="167" fontId="64" fillId="7" borderId="27" xfId="1" applyFont="1" applyFill="1" applyBorder="1"/>
    <xf numFmtId="167" fontId="64" fillId="0" borderId="27" xfId="1" applyFont="1" applyBorder="1"/>
    <xf numFmtId="167" fontId="64" fillId="0" borderId="27" xfId="1" applyFont="1" applyBorder="1" applyAlignment="1">
      <alignment horizontal="left"/>
    </xf>
    <xf numFmtId="167" fontId="64" fillId="0" borderId="27" xfId="1" applyNumberFormat="1" applyFont="1" applyBorder="1" applyAlignment="1" applyProtection="1">
      <alignment horizontal="right"/>
    </xf>
    <xf numFmtId="167" fontId="64" fillId="0" borderId="37" xfId="1" applyNumberFormat="1" applyFont="1" applyBorder="1" applyAlignment="1" applyProtection="1">
      <alignment horizontal="center"/>
    </xf>
    <xf numFmtId="167" fontId="64" fillId="7" borderId="29" xfId="1" applyNumberFormat="1" applyFont="1" applyFill="1" applyBorder="1" applyAlignment="1" applyProtection="1">
      <alignment horizontal="center"/>
    </xf>
    <xf numFmtId="167" fontId="64" fillId="0" borderId="29" xfId="1" applyNumberFormat="1" applyFont="1" applyBorder="1" applyAlignment="1" applyProtection="1">
      <alignment horizontal="center"/>
    </xf>
    <xf numFmtId="171" fontId="64" fillId="0" borderId="60" xfId="1" applyNumberFormat="1" applyFont="1" applyBorder="1" applyProtection="1"/>
    <xf numFmtId="171" fontId="64" fillId="7" borderId="0" xfId="1" applyNumberFormat="1" applyFont="1" applyFill="1" applyBorder="1" applyProtection="1"/>
    <xf numFmtId="171" fontId="64" fillId="0" borderId="0" xfId="1" applyNumberFormat="1" applyFont="1" applyBorder="1" applyProtection="1"/>
    <xf numFmtId="171" fontId="64" fillId="0" borderId="44" xfId="1" applyNumberFormat="1" applyFont="1" applyBorder="1" applyProtection="1"/>
    <xf numFmtId="171" fontId="64" fillId="7" borderId="27" xfId="1" applyNumberFormat="1" applyFont="1" applyFill="1" applyBorder="1" applyProtection="1"/>
    <xf numFmtId="171" fontId="64" fillId="0" borderId="27" xfId="1" applyNumberFormat="1" applyFont="1" applyBorder="1" applyProtection="1"/>
    <xf numFmtId="167" fontId="100" fillId="0" borderId="27" xfId="1" applyNumberFormat="1" applyFont="1" applyBorder="1" applyAlignment="1" applyProtection="1">
      <alignment horizontal="center"/>
    </xf>
    <xf numFmtId="167" fontId="100" fillId="0" borderId="27" xfId="1" applyFont="1" applyBorder="1"/>
    <xf numFmtId="167" fontId="100" fillId="0" borderId="27" xfId="1" applyFont="1" applyBorder="1" applyAlignment="1">
      <alignment horizontal="left"/>
    </xf>
    <xf numFmtId="167" fontId="100" fillId="0" borderId="27" xfId="1" applyNumberFormat="1" applyFont="1" applyBorder="1" applyAlignment="1" applyProtection="1">
      <alignment horizontal="right"/>
    </xf>
    <xf numFmtId="167" fontId="117" fillId="0" borderId="0" xfId="1" applyFont="1"/>
    <xf numFmtId="171" fontId="64" fillId="7" borderId="0" xfId="1" applyNumberFormat="1" applyFont="1" applyFill="1" applyAlignment="1" applyProtection="1">
      <alignment horizontal="center"/>
    </xf>
    <xf numFmtId="168" fontId="64" fillId="0" borderId="0" xfId="1" applyNumberFormat="1" applyFont="1" applyAlignment="1">
      <alignment horizontal="center"/>
    </xf>
    <xf numFmtId="168" fontId="64" fillId="7" borderId="0" xfId="1" applyNumberFormat="1" applyFont="1" applyFill="1" applyAlignment="1">
      <alignment horizontal="center"/>
    </xf>
    <xf numFmtId="170" fontId="64" fillId="0" borderId="0" xfId="1" applyNumberFormat="1" applyFont="1"/>
    <xf numFmtId="170" fontId="64" fillId="7" borderId="0" xfId="1" applyNumberFormat="1" applyFont="1" applyFill="1"/>
    <xf numFmtId="167" fontId="64" fillId="0" borderId="0" xfId="1" applyFont="1" applyAlignment="1">
      <alignment wrapText="1"/>
    </xf>
    <xf numFmtId="167" fontId="64" fillId="0" borderId="0" xfId="1" applyNumberFormat="1" applyFont="1" applyAlignment="1" applyProtection="1">
      <alignment vertical="center"/>
    </xf>
    <xf numFmtId="167" fontId="64" fillId="7" borderId="0" xfId="1" applyNumberFormat="1" applyFont="1" applyFill="1" applyAlignment="1" applyProtection="1">
      <alignment vertical="center"/>
    </xf>
    <xf numFmtId="167" fontId="64" fillId="0" borderId="0" xfId="1" applyNumberFormat="1" applyFont="1" applyAlignment="1" applyProtection="1">
      <alignment horizontal="left" vertical="center"/>
    </xf>
    <xf numFmtId="167" fontId="64" fillId="0" borderId="0" xfId="1" applyNumberFormat="1" applyFont="1" applyAlignment="1" applyProtection="1">
      <alignment horizontal="right" vertical="center"/>
    </xf>
    <xf numFmtId="167" fontId="64" fillId="16" borderId="0" xfId="1" applyNumberFormat="1" applyFont="1" applyFill="1" applyProtection="1"/>
    <xf numFmtId="167" fontId="64" fillId="9" borderId="0" xfId="1" applyNumberFormat="1" applyFont="1" applyFill="1" applyAlignment="1" applyProtection="1">
      <alignment horizontal="right" vertical="center"/>
    </xf>
    <xf numFmtId="167" fontId="64" fillId="9" borderId="0" xfId="1" applyNumberFormat="1" applyFont="1" applyFill="1" applyAlignment="1" applyProtection="1">
      <alignment horizontal="right"/>
    </xf>
    <xf numFmtId="167" fontId="117" fillId="0" borderId="0" xfId="1" applyNumberFormat="1" applyFont="1" applyAlignment="1" applyProtection="1">
      <alignment horizontal="left"/>
    </xf>
    <xf numFmtId="167" fontId="64" fillId="16" borderId="0" xfId="1" applyNumberFormat="1" applyFont="1" applyFill="1" applyAlignment="1" applyProtection="1">
      <alignment horizontal="right"/>
    </xf>
    <xf numFmtId="167" fontId="64" fillId="16" borderId="0" xfId="1" applyFont="1" applyFill="1" applyAlignment="1">
      <alignment horizontal="right"/>
    </xf>
    <xf numFmtId="170" fontId="64" fillId="0" borderId="0" xfId="1" applyNumberFormat="1" applyFont="1" applyAlignment="1" applyProtection="1">
      <alignment horizontal="center" vertical="top"/>
    </xf>
    <xf numFmtId="170" fontId="64" fillId="7" borderId="0" xfId="1" applyNumberFormat="1" applyFont="1" applyFill="1" applyAlignment="1" applyProtection="1">
      <alignment horizontal="center" vertical="top"/>
    </xf>
    <xf numFmtId="2" fontId="120" fillId="0" borderId="13" xfId="18" applyNumberFormat="1" applyFont="1" applyBorder="1" applyAlignment="1">
      <alignment vertical="top" wrapText="1"/>
    </xf>
    <xf numFmtId="167" fontId="64" fillId="0" borderId="0" xfId="1" applyNumberFormat="1" applyFont="1" applyFill="1" applyBorder="1" applyAlignment="1" applyProtection="1">
      <alignment horizontal="left"/>
    </xf>
    <xf numFmtId="170" fontId="64" fillId="0" borderId="0" xfId="1" applyNumberFormat="1" applyFont="1" applyAlignment="1">
      <alignment horizontal="center" vertical="top" wrapText="1"/>
    </xf>
    <xf numFmtId="170" fontId="64" fillId="7" borderId="0" xfId="1" applyNumberFormat="1" applyFont="1" applyFill="1" applyAlignment="1">
      <alignment horizontal="center" vertical="top" wrapText="1"/>
    </xf>
    <xf numFmtId="167" fontId="100" fillId="0" borderId="0" xfId="1" applyNumberFormat="1" applyFont="1" applyAlignment="1" applyProtection="1">
      <alignment horizontal="left" vertical="top" wrapText="1"/>
    </xf>
    <xf numFmtId="167" fontId="64" fillId="0" borderId="0" xfId="1" applyFont="1" applyAlignment="1">
      <alignment vertical="top" wrapText="1"/>
    </xf>
    <xf numFmtId="171" fontId="64" fillId="7" borderId="0" xfId="1" applyNumberFormat="1" applyFont="1" applyFill="1"/>
    <xf numFmtId="167" fontId="100" fillId="0" borderId="0" xfId="1" applyFont="1" applyAlignment="1">
      <alignment horizontal="left" vertical="top" wrapText="1"/>
    </xf>
    <xf numFmtId="167" fontId="100" fillId="16" borderId="0" xfId="1" applyFont="1" applyFill="1" applyAlignment="1">
      <alignment wrapText="1"/>
    </xf>
    <xf numFmtId="167" fontId="100" fillId="0" borderId="0" xfId="1" applyFont="1" applyAlignment="1">
      <alignment horizontal="left" vertical="top"/>
    </xf>
    <xf numFmtId="167" fontId="64" fillId="9" borderId="0" xfId="1" quotePrefix="1" applyFont="1" applyFill="1"/>
    <xf numFmtId="167" fontId="100" fillId="0" borderId="0" xfId="1" applyFont="1" applyAlignment="1">
      <alignment horizontal="center"/>
    </xf>
    <xf numFmtId="167" fontId="64" fillId="0" borderId="0" xfId="1" quotePrefix="1" applyFont="1" applyAlignment="1">
      <alignment horizontal="right"/>
    </xf>
    <xf numFmtId="167" fontId="100" fillId="0" borderId="0" xfId="1" applyFont="1" applyAlignment="1">
      <alignment horizontal="left" wrapText="1"/>
    </xf>
    <xf numFmtId="167" fontId="64" fillId="0" borderId="0" xfId="1" applyFont="1" applyAlignment="1">
      <alignment horizontal="left" wrapText="1"/>
    </xf>
    <xf numFmtId="167" fontId="64" fillId="0" borderId="0" xfId="1" quotePrefix="1" applyNumberFormat="1" applyFont="1" applyAlignment="1" applyProtection="1">
      <alignment horizontal="right"/>
    </xf>
    <xf numFmtId="167" fontId="100" fillId="0" borderId="0" xfId="1" quotePrefix="1" applyNumberFormat="1" applyFont="1" applyAlignment="1" applyProtection="1">
      <alignment horizontal="right"/>
    </xf>
    <xf numFmtId="167" fontId="64" fillId="0" borderId="0" xfId="1" quotePrefix="1" applyNumberFormat="1" applyFont="1" applyAlignment="1" applyProtection="1">
      <alignment horizontal="fill"/>
    </xf>
    <xf numFmtId="167" fontId="100" fillId="0" borderId="0" xfId="1" quotePrefix="1" applyNumberFormat="1" applyFont="1" applyProtection="1"/>
    <xf numFmtId="167" fontId="64" fillId="7" borderId="0" xfId="1" applyFont="1" applyFill="1" applyAlignment="1">
      <alignment horizontal="left"/>
    </xf>
    <xf numFmtId="167" fontId="100" fillId="7" borderId="0" xfId="1" applyFont="1" applyFill="1"/>
    <xf numFmtId="170" fontId="100" fillId="0" borderId="0" xfId="1" applyNumberFormat="1" applyFont="1"/>
    <xf numFmtId="167" fontId="64" fillId="0" borderId="0" xfId="1" applyFont="1" applyAlignment="1">
      <alignment horizontal="fill"/>
    </xf>
    <xf numFmtId="167" fontId="64" fillId="0" borderId="0" xfId="1" quotePrefix="1" applyFont="1" applyAlignment="1">
      <alignment horizontal="fill"/>
    </xf>
    <xf numFmtId="167" fontId="64" fillId="0" borderId="0" xfId="1" applyNumberFormat="1" applyFont="1" applyAlignment="1">
      <alignment horizontal="right"/>
    </xf>
    <xf numFmtId="172" fontId="100" fillId="0" borderId="0" xfId="1" applyNumberFormat="1" applyFont="1"/>
    <xf numFmtId="172" fontId="100" fillId="0" borderId="0" xfId="1" applyNumberFormat="1" applyFont="1" applyAlignment="1">
      <alignment horizontal="right"/>
    </xf>
    <xf numFmtId="172" fontId="64" fillId="7" borderId="0" xfId="1" applyNumberFormat="1" applyFont="1" applyFill="1"/>
    <xf numFmtId="173" fontId="64" fillId="7" borderId="0" xfId="1" applyNumberFormat="1" applyFont="1" applyFill="1"/>
    <xf numFmtId="167" fontId="121" fillId="0" borderId="0" xfId="1" applyFont="1" applyAlignment="1">
      <alignment horizontal="left" vertical="top"/>
    </xf>
    <xf numFmtId="170" fontId="122" fillId="0" borderId="0" xfId="1" applyNumberFormat="1" applyFont="1" applyAlignment="1" applyProtection="1">
      <alignment horizontal="center"/>
    </xf>
    <xf numFmtId="170" fontId="122" fillId="7" borderId="0" xfId="1" applyNumberFormat="1" applyFont="1" applyFill="1" applyAlignment="1" applyProtection="1">
      <alignment horizontal="center"/>
    </xf>
    <xf numFmtId="167" fontId="122" fillId="0" borderId="0" xfId="1" applyFont="1" applyAlignment="1">
      <alignment horizontal="left"/>
    </xf>
    <xf numFmtId="167" fontId="122" fillId="0" borderId="0" xfId="1" applyNumberFormat="1" applyFont="1" applyAlignment="1" applyProtection="1">
      <alignment horizontal="left"/>
    </xf>
    <xf numFmtId="167" fontId="122" fillId="0" borderId="0" xfId="1" applyFont="1"/>
    <xf numFmtId="167" fontId="122" fillId="0" borderId="0" xfId="1" applyFont="1" applyAlignment="1">
      <alignment horizontal="right"/>
    </xf>
    <xf numFmtId="167" fontId="122" fillId="7" borderId="0" xfId="1" applyFont="1" applyFill="1"/>
    <xf numFmtId="167" fontId="122" fillId="0" borderId="0" xfId="1" applyNumberFormat="1" applyFont="1" applyAlignment="1" applyProtection="1">
      <alignment horizontal="fill"/>
    </xf>
    <xf numFmtId="173" fontId="122" fillId="0" borderId="0" xfId="1" applyNumberFormat="1" applyFont="1" applyAlignment="1" applyProtection="1">
      <alignment horizontal="right"/>
    </xf>
    <xf numFmtId="173" fontId="122" fillId="0" borderId="0" xfId="1" applyNumberFormat="1" applyFont="1" applyAlignment="1" applyProtection="1">
      <alignment horizontal="left"/>
    </xf>
    <xf numFmtId="180" fontId="122" fillId="0" borderId="0" xfId="1" applyNumberFormat="1" applyFont="1" applyProtection="1"/>
    <xf numFmtId="180" fontId="122" fillId="7" borderId="0" xfId="1" applyNumberFormat="1" applyFont="1" applyFill="1" applyProtection="1"/>
    <xf numFmtId="167" fontId="122" fillId="0" borderId="0" xfId="1" applyNumberFormat="1" applyFont="1" applyProtection="1"/>
    <xf numFmtId="167" fontId="122" fillId="0" borderId="0" xfId="1" applyNumberFormat="1" applyFont="1" applyAlignment="1" applyProtection="1">
      <alignment horizontal="right"/>
    </xf>
    <xf numFmtId="167" fontId="122" fillId="9" borderId="0" xfId="1" applyNumberFormat="1" applyFont="1" applyFill="1" applyProtection="1"/>
    <xf numFmtId="167" fontId="122" fillId="7" borderId="0" xfId="1" applyNumberFormat="1" applyFont="1" applyFill="1" applyProtection="1"/>
    <xf numFmtId="167" fontId="122" fillId="9" borderId="0" xfId="1" applyNumberFormat="1" applyFont="1" applyFill="1" applyAlignment="1" applyProtection="1">
      <alignment horizontal="left"/>
    </xf>
    <xf numFmtId="167" fontId="122" fillId="0" borderId="0" xfId="1" applyNumberFormat="1" applyFont="1" applyAlignment="1" applyProtection="1">
      <alignment horizontal="center"/>
    </xf>
    <xf numFmtId="167" fontId="123" fillId="0" borderId="0" xfId="1" applyFont="1"/>
    <xf numFmtId="167" fontId="123" fillId="0" borderId="0" xfId="1" applyFont="1" applyAlignment="1">
      <alignment horizontal="left"/>
    </xf>
    <xf numFmtId="167" fontId="123" fillId="0" borderId="0" xfId="1" applyNumberFormat="1" applyFont="1" applyAlignment="1" applyProtection="1">
      <alignment horizontal="right"/>
    </xf>
    <xf numFmtId="167" fontId="123" fillId="0" borderId="0" xfId="1" applyNumberFormat="1" applyFont="1" applyAlignment="1" applyProtection="1">
      <alignment horizontal="center"/>
    </xf>
    <xf numFmtId="167" fontId="123" fillId="0" borderId="0" xfId="1" applyFont="1" applyAlignment="1">
      <alignment horizontal="right"/>
    </xf>
    <xf numFmtId="167" fontId="121" fillId="7" borderId="0" xfId="1" applyFont="1" applyFill="1" applyAlignment="1">
      <alignment horizontal="left" vertical="top"/>
    </xf>
    <xf numFmtId="167" fontId="121" fillId="0" borderId="0" xfId="1" applyFont="1" applyAlignment="1">
      <alignment horizontal="right" vertical="top"/>
    </xf>
    <xf numFmtId="2" fontId="64" fillId="0" borderId="0" xfId="1" applyNumberFormat="1" applyFont="1"/>
    <xf numFmtId="2" fontId="64" fillId="7" borderId="0" xfId="1" applyNumberFormat="1" applyFont="1" applyFill="1"/>
    <xf numFmtId="2" fontId="64" fillId="0" borderId="0" xfId="1" applyNumberFormat="1" applyFont="1" applyAlignment="1">
      <alignment horizontal="right"/>
    </xf>
    <xf numFmtId="167" fontId="124" fillId="0" borderId="0" xfId="1" applyFont="1" applyAlignment="1">
      <alignment horizontal="right"/>
    </xf>
    <xf numFmtId="2" fontId="100" fillId="0" borderId="0" xfId="1" applyNumberFormat="1" applyFont="1" applyAlignment="1">
      <alignment horizontal="right"/>
    </xf>
    <xf numFmtId="167" fontId="105" fillId="0" borderId="0" xfId="1" applyFont="1"/>
    <xf numFmtId="167" fontId="105" fillId="7" borderId="0" xfId="1" applyFont="1" applyFill="1"/>
    <xf numFmtId="167" fontId="105" fillId="0" borderId="0" xfId="1" applyFont="1" applyAlignment="1">
      <alignment horizontal="left"/>
    </xf>
    <xf numFmtId="167" fontId="121" fillId="0" borderId="27" xfId="1" applyFont="1" applyBorder="1"/>
    <xf numFmtId="167" fontId="105" fillId="0" borderId="0" xfId="1" applyFont="1" applyAlignment="1">
      <alignment horizontal="center"/>
    </xf>
    <xf numFmtId="167" fontId="105" fillId="0" borderId="0" xfId="1" applyFont="1" applyAlignment="1">
      <alignment horizontal="right"/>
    </xf>
    <xf numFmtId="167" fontId="121" fillId="0" borderId="0" xfId="1" applyFont="1" applyAlignment="1">
      <alignment horizontal="right"/>
    </xf>
    <xf numFmtId="167" fontId="121" fillId="0" borderId="0" xfId="1" applyFont="1"/>
    <xf numFmtId="167" fontId="105" fillId="7" borderId="0" xfId="1" applyNumberFormat="1" applyFont="1" applyFill="1" applyAlignment="1" applyProtection="1">
      <alignment horizontal="center"/>
    </xf>
    <xf numFmtId="167" fontId="105" fillId="0" borderId="0" xfId="1" applyNumberFormat="1" applyFont="1" applyAlignment="1" applyProtection="1">
      <alignment horizontal="fill"/>
    </xf>
    <xf numFmtId="167" fontId="105" fillId="7" borderId="0" xfId="1" applyNumberFormat="1" applyFont="1" applyFill="1" applyProtection="1"/>
    <xf numFmtId="167" fontId="105" fillId="9" borderId="0" xfId="1" applyNumberFormat="1" applyFont="1" applyFill="1" applyAlignment="1" applyProtection="1">
      <alignment horizontal="left"/>
    </xf>
    <xf numFmtId="167" fontId="105" fillId="0" borderId="0" xfId="1" applyNumberFormat="1" applyFont="1" applyAlignment="1" applyProtection="1">
      <alignment horizontal="right"/>
    </xf>
    <xf numFmtId="167" fontId="121" fillId="0" borderId="0" xfId="1" applyFont="1" applyAlignment="1">
      <alignment horizontal="center"/>
    </xf>
    <xf numFmtId="167" fontId="121" fillId="0" borderId="0" xfId="1" applyNumberFormat="1" applyFont="1" applyAlignment="1" applyProtection="1">
      <alignment horizontal="right"/>
    </xf>
    <xf numFmtId="167" fontId="121" fillId="0" borderId="0" xfId="1" applyNumberFormat="1" applyFont="1" applyAlignment="1" applyProtection="1">
      <alignment horizontal="left"/>
    </xf>
    <xf numFmtId="170" fontId="105" fillId="0" borderId="0" xfId="1" applyNumberFormat="1" applyFont="1" applyAlignment="1" applyProtection="1">
      <alignment horizontal="center"/>
    </xf>
    <xf numFmtId="170" fontId="105" fillId="7" borderId="0" xfId="1" applyNumberFormat="1" applyFont="1" applyFill="1" applyAlignment="1" applyProtection="1">
      <alignment horizontal="center"/>
    </xf>
    <xf numFmtId="167" fontId="105" fillId="7" borderId="0" xfId="1" applyNumberFormat="1" applyFont="1" applyFill="1" applyAlignment="1" applyProtection="1">
      <alignment horizontal="left"/>
    </xf>
    <xf numFmtId="167" fontId="105" fillId="0" borderId="0" xfId="1" applyNumberFormat="1" applyFont="1" applyAlignment="1" applyProtection="1">
      <alignment horizontal="left" wrapText="1"/>
    </xf>
    <xf numFmtId="168" fontId="105" fillId="0" borderId="0" xfId="1" applyNumberFormat="1" applyFont="1" applyAlignment="1">
      <alignment horizontal="center"/>
    </xf>
    <xf numFmtId="168" fontId="105" fillId="7" borderId="0" xfId="1" applyNumberFormat="1" applyFont="1" applyFill="1" applyAlignment="1">
      <alignment horizontal="center"/>
    </xf>
    <xf numFmtId="171" fontId="105" fillId="0" borderId="0" xfId="1" applyNumberFormat="1" applyFont="1"/>
    <xf numFmtId="171" fontId="105" fillId="0" borderId="0" xfId="1" applyNumberFormat="1" applyFont="1" applyAlignment="1" applyProtection="1">
      <alignment horizontal="center"/>
    </xf>
    <xf numFmtId="167" fontId="105" fillId="0" borderId="37" xfId="1" applyFont="1" applyBorder="1"/>
    <xf numFmtId="167" fontId="105" fillId="7" borderId="29" xfId="1" applyFont="1" applyFill="1" applyBorder="1"/>
    <xf numFmtId="167" fontId="105" fillId="0" borderId="29" xfId="1" applyFont="1" applyBorder="1"/>
    <xf numFmtId="167" fontId="105" fillId="0" borderId="29" xfId="1" applyFont="1" applyBorder="1" applyAlignment="1">
      <alignment horizontal="left"/>
    </xf>
    <xf numFmtId="167" fontId="105" fillId="0" borderId="29" xfId="1" applyFont="1" applyBorder="1" applyAlignment="1">
      <alignment horizontal="right"/>
    </xf>
    <xf numFmtId="170" fontId="105" fillId="0" borderId="60" xfId="1" applyNumberFormat="1" applyFont="1" applyBorder="1" applyAlignment="1" applyProtection="1">
      <alignment horizontal="center"/>
    </xf>
    <xf numFmtId="170" fontId="105" fillId="7" borderId="0" xfId="1" applyNumberFormat="1" applyFont="1" applyFill="1" applyBorder="1" applyAlignment="1" applyProtection="1">
      <alignment horizontal="center"/>
    </xf>
    <xf numFmtId="170" fontId="105" fillId="0" borderId="0" xfId="1" applyNumberFormat="1" applyFont="1" applyBorder="1" applyAlignment="1" applyProtection="1">
      <alignment horizontal="center"/>
    </xf>
    <xf numFmtId="167" fontId="121" fillId="0" borderId="0" xfId="1" applyFont="1" applyBorder="1" applyAlignment="1">
      <alignment horizontal="left"/>
    </xf>
    <xf numFmtId="167" fontId="105" fillId="0" borderId="0" xfId="1" applyFont="1" applyBorder="1"/>
    <xf numFmtId="167" fontId="105" fillId="0" borderId="0" xfId="1" applyFont="1" applyBorder="1" applyAlignment="1">
      <alignment horizontal="center"/>
    </xf>
    <xf numFmtId="167" fontId="105" fillId="0" borderId="0" xfId="1" applyFont="1" applyBorder="1" applyAlignment="1">
      <alignment horizontal="right"/>
    </xf>
    <xf numFmtId="167" fontId="105" fillId="0" borderId="60" xfId="1" applyFont="1" applyBorder="1"/>
    <xf numFmtId="167" fontId="105" fillId="7" borderId="0" xfId="1" applyFont="1" applyFill="1" applyBorder="1"/>
    <xf numFmtId="167" fontId="105" fillId="0" borderId="0" xfId="1" applyFont="1" applyBorder="1" applyAlignment="1">
      <alignment horizontal="left"/>
    </xf>
    <xf numFmtId="167" fontId="125" fillId="0" borderId="0" xfId="1" applyFont="1" applyBorder="1" applyAlignment="1">
      <alignment horizontal="right"/>
    </xf>
    <xf numFmtId="167" fontId="121" fillId="0" borderId="0" xfId="1" applyFont="1" applyBorder="1" applyAlignment="1">
      <alignment horizontal="right"/>
    </xf>
    <xf numFmtId="167" fontId="105" fillId="0" borderId="44" xfId="1" applyFont="1" applyBorder="1"/>
    <xf numFmtId="167" fontId="105" fillId="7" borderId="27" xfId="1" applyFont="1" applyFill="1" applyBorder="1"/>
    <xf numFmtId="167" fontId="105" fillId="0" borderId="27" xfId="1" applyFont="1" applyBorder="1"/>
    <xf numFmtId="167" fontId="105" fillId="0" borderId="27" xfId="1" applyFont="1" applyBorder="1" applyAlignment="1">
      <alignment horizontal="left"/>
    </xf>
    <xf numFmtId="167" fontId="105" fillId="0" borderId="27" xfId="1" applyFont="1" applyBorder="1" applyAlignment="1">
      <alignment horizontal="center"/>
    </xf>
    <xf numFmtId="167" fontId="125" fillId="0" borderId="27" xfId="1" applyFont="1" applyBorder="1" applyAlignment="1">
      <alignment horizontal="right"/>
    </xf>
    <xf numFmtId="171" fontId="105" fillId="0" borderId="0" xfId="1" applyNumberFormat="1" applyFont="1" applyProtection="1"/>
    <xf numFmtId="171" fontId="105" fillId="0" borderId="0" xfId="1" applyNumberFormat="1" applyFont="1" applyAlignment="1">
      <alignment horizontal="left"/>
    </xf>
    <xf numFmtId="181" fontId="100" fillId="0" borderId="0" xfId="1" applyNumberFormat="1" applyFont="1"/>
    <xf numFmtId="167" fontId="121" fillId="7" borderId="0" xfId="1" applyFont="1" applyFill="1"/>
    <xf numFmtId="173" fontId="100" fillId="0" borderId="0" xfId="1" applyNumberFormat="1" applyFont="1"/>
    <xf numFmtId="171" fontId="105" fillId="7" borderId="0" xfId="1" applyNumberFormat="1" applyFont="1" applyFill="1"/>
    <xf numFmtId="167" fontId="100" fillId="0" borderId="0" xfId="1" quotePrefix="1" applyFont="1"/>
    <xf numFmtId="167" fontId="105" fillId="0" borderId="0" xfId="1" applyFont="1" applyAlignment="1"/>
    <xf numFmtId="167" fontId="105" fillId="0" borderId="0" xfId="1" applyNumberFormat="1" applyFont="1" applyAlignment="1" applyProtection="1"/>
    <xf numFmtId="173" fontId="105" fillId="0" borderId="0" xfId="1" applyNumberFormat="1" applyFont="1" applyAlignment="1" applyProtection="1">
      <alignment horizontal="right"/>
    </xf>
    <xf numFmtId="173" fontId="105" fillId="0" borderId="0" xfId="1" applyNumberFormat="1" applyFont="1" applyAlignment="1" applyProtection="1">
      <alignment horizontal="center"/>
    </xf>
    <xf numFmtId="180" fontId="105" fillId="0" borderId="0" xfId="1" applyNumberFormat="1" applyFont="1"/>
    <xf numFmtId="180" fontId="105" fillId="7" borderId="0" xfId="1" applyNumberFormat="1" applyFont="1" applyFill="1"/>
    <xf numFmtId="173" fontId="105" fillId="0" borderId="0" xfId="1" applyNumberFormat="1" applyFont="1" applyProtection="1"/>
    <xf numFmtId="173" fontId="105" fillId="7" borderId="0" xfId="1" applyNumberFormat="1" applyFont="1" applyFill="1" applyProtection="1"/>
    <xf numFmtId="172" fontId="105" fillId="0" borderId="0" xfId="1" applyNumberFormat="1" applyFont="1" applyProtection="1"/>
    <xf numFmtId="172" fontId="105" fillId="7" borderId="0" xfId="1" applyNumberFormat="1" applyFont="1" applyFill="1" applyProtection="1"/>
    <xf numFmtId="167" fontId="105" fillId="9" borderId="0" xfId="1" applyNumberFormat="1" applyFont="1" applyFill="1" applyProtection="1"/>
    <xf numFmtId="167" fontId="105" fillId="9" borderId="0" xfId="1" applyFont="1" applyFill="1"/>
    <xf numFmtId="171" fontId="105" fillId="7" borderId="0" xfId="1" applyNumberFormat="1" applyFont="1" applyFill="1" applyProtection="1"/>
    <xf numFmtId="173" fontId="105" fillId="0" borderId="0" xfId="1" applyNumberFormat="1" applyFont="1" applyAlignment="1" applyProtection="1">
      <alignment horizontal="left"/>
    </xf>
    <xf numFmtId="172" fontId="105" fillId="0" borderId="0" xfId="1" applyNumberFormat="1" applyFont="1" applyAlignment="1">
      <alignment horizontal="right"/>
    </xf>
    <xf numFmtId="173" fontId="105" fillId="0" borderId="0" xfId="1" applyNumberFormat="1" applyFont="1"/>
    <xf numFmtId="180" fontId="105" fillId="0" borderId="0" xfId="1" applyNumberFormat="1" applyFont="1" applyProtection="1"/>
    <xf numFmtId="180" fontId="105" fillId="7" borderId="0" xfId="1" applyNumberFormat="1" applyFont="1" applyFill="1" applyProtection="1"/>
    <xf numFmtId="167" fontId="121" fillId="0" borderId="0" xfId="1" applyFont="1" applyAlignment="1">
      <alignment horizontal="left"/>
    </xf>
    <xf numFmtId="167" fontId="121" fillId="0" borderId="0" xfId="1" applyNumberFormat="1" applyFont="1" applyAlignment="1" applyProtection="1">
      <alignment horizontal="center"/>
    </xf>
    <xf numFmtId="167" fontId="121" fillId="0" borderId="0" xfId="1" applyFont="1" applyAlignment="1">
      <alignment vertical="top" wrapText="1"/>
    </xf>
    <xf numFmtId="172" fontId="105" fillId="0" borderId="0" xfId="1" applyNumberFormat="1" applyFont="1"/>
    <xf numFmtId="172" fontId="105" fillId="7" borderId="0" xfId="1" applyNumberFormat="1" applyFont="1" applyFill="1"/>
    <xf numFmtId="167" fontId="105" fillId="0" borderId="0" xfId="1" applyFont="1" applyAlignment="1">
      <alignment vertical="top" wrapText="1"/>
    </xf>
    <xf numFmtId="167" fontId="105" fillId="16" borderId="0" xfId="1" applyFont="1" applyFill="1"/>
    <xf numFmtId="172" fontId="105" fillId="0" borderId="0" xfId="1" applyNumberFormat="1" applyFont="1" applyBorder="1" applyAlignment="1">
      <alignment horizontal="left"/>
    </xf>
    <xf numFmtId="167" fontId="121" fillId="0" borderId="0" xfId="1" applyFont="1" applyBorder="1"/>
    <xf numFmtId="167" fontId="121" fillId="7" borderId="0" xfId="1" applyFont="1" applyFill="1" applyBorder="1"/>
    <xf numFmtId="172" fontId="105" fillId="0" borderId="0" xfId="1" applyNumberFormat="1" applyFont="1" applyBorder="1"/>
    <xf numFmtId="172" fontId="105" fillId="7" borderId="0" xfId="1" applyNumberFormat="1" applyFont="1" applyFill="1" applyBorder="1"/>
    <xf numFmtId="167" fontId="105" fillId="0" borderId="0" xfId="1" applyFont="1" applyFill="1" applyBorder="1"/>
    <xf numFmtId="167" fontId="105" fillId="0" borderId="0" xfId="1" applyFont="1" applyFill="1" applyBorder="1" applyAlignment="1">
      <alignment horizontal="left"/>
    </xf>
    <xf numFmtId="167" fontId="64" fillId="9" borderId="0" xfId="1" applyFont="1" applyFill="1" applyAlignment="1">
      <alignment horizontal="right"/>
    </xf>
    <xf numFmtId="167" fontId="126" fillId="0" borderId="0" xfId="1" applyNumberFormat="1" applyFont="1" applyAlignment="1" applyProtection="1">
      <alignment horizontal="left"/>
    </xf>
    <xf numFmtId="171" fontId="121" fillId="0" borderId="0" xfId="1" applyNumberFormat="1" applyFont="1" applyAlignment="1">
      <alignment horizontal="right"/>
    </xf>
    <xf numFmtId="172" fontId="121" fillId="0" borderId="0" xfId="1" applyNumberFormat="1" applyFont="1" applyAlignment="1">
      <alignment horizontal="right"/>
    </xf>
    <xf numFmtId="173" fontId="105" fillId="0" borderId="0" xfId="1" applyNumberFormat="1" applyFont="1" applyAlignment="1">
      <alignment horizontal="right"/>
    </xf>
    <xf numFmtId="173" fontId="121" fillId="0" borderId="0" xfId="1" applyNumberFormat="1" applyFont="1" applyAlignment="1" applyProtection="1">
      <alignment horizontal="right"/>
    </xf>
    <xf numFmtId="172" fontId="64" fillId="0" borderId="0" xfId="1" applyNumberFormat="1" applyFont="1" applyAlignment="1">
      <alignment horizontal="right"/>
    </xf>
    <xf numFmtId="172" fontId="105" fillId="0" borderId="0" xfId="1" applyNumberFormat="1" applyFont="1" applyAlignment="1" applyProtection="1">
      <alignment horizontal="right"/>
    </xf>
    <xf numFmtId="172" fontId="121" fillId="0" borderId="0" xfId="1" applyNumberFormat="1" applyFont="1" applyAlignment="1" applyProtection="1">
      <alignment horizontal="right"/>
    </xf>
    <xf numFmtId="167" fontId="105" fillId="16" borderId="0" xfId="1" applyNumberFormat="1" applyFont="1" applyFill="1" applyAlignment="1" applyProtection="1">
      <alignment horizontal="left"/>
    </xf>
    <xf numFmtId="167" fontId="121" fillId="0" borderId="0" xfId="1" applyNumberFormat="1" applyFont="1" applyProtection="1"/>
    <xf numFmtId="167" fontId="105" fillId="0" borderId="0" xfId="1" quotePrefix="1" applyNumberFormat="1" applyFont="1" applyAlignment="1" applyProtection="1">
      <alignment horizontal="left"/>
    </xf>
    <xf numFmtId="180" fontId="105" fillId="0" borderId="0" xfId="1" applyNumberFormat="1" applyFont="1" applyAlignment="1">
      <alignment horizontal="right"/>
    </xf>
    <xf numFmtId="171" fontId="100" fillId="0" borderId="0" xfId="1" applyNumberFormat="1" applyFont="1"/>
    <xf numFmtId="181" fontId="100" fillId="7" borderId="0" xfId="1" applyNumberFormat="1" applyFont="1" applyFill="1"/>
    <xf numFmtId="167" fontId="100" fillId="9" borderId="0" xfId="1" applyFont="1" applyFill="1"/>
    <xf numFmtId="173" fontId="100" fillId="7" borderId="0" xfId="1" applyNumberFormat="1" applyFont="1" applyFill="1"/>
    <xf numFmtId="167" fontId="100" fillId="0" borderId="0" xfId="1" applyFont="1" applyAlignment="1">
      <alignment wrapText="1"/>
    </xf>
    <xf numFmtId="167" fontId="100" fillId="0" borderId="0" xfId="1" quotePrefix="1" applyFont="1" applyAlignment="1">
      <alignment horizontal="right"/>
    </xf>
    <xf numFmtId="172" fontId="64" fillId="7" borderId="0" xfId="1" quotePrefix="1" applyNumberFormat="1" applyFont="1" applyFill="1" applyProtection="1"/>
    <xf numFmtId="171" fontId="105" fillId="0" borderId="0" xfId="1" applyNumberFormat="1" applyFont="1" applyAlignment="1" applyProtection="1">
      <alignment horizontal="right"/>
    </xf>
    <xf numFmtId="167" fontId="100" fillId="16" borderId="0" xfId="1" applyNumberFormat="1" applyFont="1" applyFill="1" applyAlignment="1" applyProtection="1">
      <alignment horizontal="right"/>
    </xf>
    <xf numFmtId="168" fontId="100" fillId="0" borderId="0" xfId="1" applyNumberFormat="1" applyFont="1" applyAlignment="1">
      <alignment horizontal="left" vertical="center"/>
    </xf>
    <xf numFmtId="2" fontId="120" fillId="0" borderId="0" xfId="18" applyNumberFormat="1" applyFont="1" applyBorder="1" applyAlignment="1">
      <alignment vertical="top" wrapText="1"/>
    </xf>
    <xf numFmtId="167" fontId="64" fillId="18" borderId="0" xfId="1" applyFont="1" applyFill="1"/>
    <xf numFmtId="167" fontId="125" fillId="0" borderId="0" xfId="1" applyFont="1"/>
    <xf numFmtId="167" fontId="125" fillId="7" borderId="0" xfId="1" applyFont="1" applyFill="1"/>
    <xf numFmtId="167" fontId="125" fillId="0" borderId="0" xfId="1" applyFont="1" applyAlignment="1">
      <alignment horizontal="left"/>
    </xf>
    <xf numFmtId="167" fontId="120" fillId="0" borderId="0" xfId="1" applyFont="1"/>
    <xf numFmtId="167" fontId="125" fillId="0" borderId="0" xfId="1" applyFont="1" applyAlignment="1"/>
    <xf numFmtId="167" fontId="125" fillId="0" borderId="0" xfId="1" applyFont="1" applyAlignment="1">
      <alignment horizontal="right"/>
    </xf>
    <xf numFmtId="167" fontId="126" fillId="0" borderId="0" xfId="1" applyFont="1"/>
    <xf numFmtId="167" fontId="127" fillId="0" borderId="0" xfId="1" applyFont="1"/>
    <xf numFmtId="171" fontId="125" fillId="0" borderId="0" xfId="1" applyNumberFormat="1" applyFont="1"/>
    <xf numFmtId="171" fontId="125" fillId="7" borderId="0" xfId="1" applyNumberFormat="1" applyFont="1" applyFill="1"/>
    <xf numFmtId="167" fontId="116" fillId="0" borderId="0" xfId="1" applyFont="1"/>
    <xf numFmtId="167" fontId="72" fillId="0" borderId="52" xfId="1" applyNumberFormat="1" applyFont="1" applyBorder="1" applyAlignment="1" applyProtection="1">
      <alignment horizontal="center"/>
    </xf>
    <xf numFmtId="167" fontId="72" fillId="0" borderId="53" xfId="1" applyNumberFormat="1" applyFont="1" applyBorder="1" applyAlignment="1" applyProtection="1"/>
    <xf numFmtId="167" fontId="71" fillId="0" borderId="53" xfId="1" applyNumberFormat="1" applyFont="1" applyBorder="1" applyAlignment="1" applyProtection="1">
      <alignment horizontal="left" wrapText="1"/>
    </xf>
    <xf numFmtId="167" fontId="72" fillId="0" borderId="53" xfId="1" applyFont="1" applyBorder="1"/>
    <xf numFmtId="167" fontId="72" fillId="0" borderId="53" xfId="1" applyFont="1" applyBorder="1" applyAlignment="1">
      <alignment horizontal="left"/>
    </xf>
    <xf numFmtId="167" fontId="72" fillId="0" borderId="54" xfId="1" applyFont="1" applyBorder="1"/>
    <xf numFmtId="167" fontId="72" fillId="0" borderId="52" xfId="1" applyFont="1" applyBorder="1"/>
    <xf numFmtId="167" fontId="71" fillId="0" borderId="53" xfId="1" applyFont="1" applyBorder="1" applyAlignment="1">
      <alignment wrapText="1"/>
    </xf>
    <xf numFmtId="167" fontId="72" fillId="0" borderId="55" xfId="1" applyFont="1" applyBorder="1"/>
    <xf numFmtId="167" fontId="72" fillId="0" borderId="13" xfId="1" applyFont="1" applyBorder="1" applyAlignment="1"/>
    <xf numFmtId="167" fontId="72" fillId="0" borderId="13" xfId="1" applyNumberFormat="1" applyFont="1" applyBorder="1" applyAlignment="1" applyProtection="1">
      <alignment horizontal="fill"/>
    </xf>
    <xf numFmtId="167" fontId="72" fillId="0" borderId="13" xfId="1" applyFont="1" applyBorder="1"/>
    <xf numFmtId="167" fontId="72" fillId="0" borderId="13" xfId="1" applyFont="1" applyBorder="1" applyAlignment="1">
      <alignment horizontal="left"/>
    </xf>
    <xf numFmtId="167" fontId="72" fillId="0" borderId="56" xfId="1" applyFont="1" applyBorder="1"/>
    <xf numFmtId="167" fontId="72" fillId="0" borderId="55" xfId="1" applyNumberFormat="1" applyFont="1" applyBorder="1" applyProtection="1"/>
    <xf numFmtId="167" fontId="72" fillId="0" borderId="13" xfId="1" applyNumberFormat="1" applyFont="1" applyBorder="1" applyAlignment="1" applyProtection="1"/>
    <xf numFmtId="167" fontId="72" fillId="0" borderId="13" xfId="1" applyNumberFormat="1" applyFont="1" applyBorder="1" applyAlignment="1" applyProtection="1">
      <alignment horizontal="left"/>
    </xf>
    <xf numFmtId="167" fontId="73" fillId="0" borderId="13" xfId="1" applyNumberFormat="1" applyFont="1" applyBorder="1" applyProtection="1"/>
    <xf numFmtId="167" fontId="73" fillId="0" borderId="13" xfId="1" applyFont="1" applyBorder="1"/>
    <xf numFmtId="167" fontId="73" fillId="0" borderId="56" xfId="1" applyFont="1" applyBorder="1"/>
    <xf numFmtId="167" fontId="73" fillId="0" borderId="13" xfId="1" applyNumberFormat="1" applyFont="1" applyBorder="1" applyAlignment="1" applyProtection="1">
      <alignment horizontal="left"/>
    </xf>
    <xf numFmtId="167" fontId="73" fillId="0" borderId="13" xfId="1" applyNumberFormat="1" applyFont="1" applyBorder="1" applyAlignment="1" applyProtection="1">
      <alignment horizontal="fill"/>
    </xf>
    <xf numFmtId="167" fontId="71" fillId="0" borderId="13" xfId="1" applyNumberFormat="1" applyFont="1" applyBorder="1" applyAlignment="1" applyProtection="1">
      <alignment horizontal="center"/>
    </xf>
    <xf numFmtId="167" fontId="107" fillId="0" borderId="13" xfId="1" applyNumberFormat="1" applyFont="1" applyBorder="1" applyProtection="1"/>
    <xf numFmtId="167" fontId="71" fillId="0" borderId="13" xfId="1" applyFont="1" applyBorder="1"/>
    <xf numFmtId="167" fontId="72" fillId="0" borderId="55" xfId="1" applyNumberFormat="1" applyFont="1" applyBorder="1" applyAlignment="1" applyProtection="1">
      <alignment horizontal="left"/>
    </xf>
    <xf numFmtId="167" fontId="107" fillId="0" borderId="13" xfId="1" applyFont="1" applyBorder="1"/>
    <xf numFmtId="167" fontId="107" fillId="0" borderId="56" xfId="1" applyFont="1" applyBorder="1"/>
    <xf numFmtId="167" fontId="72" fillId="0" borderId="57" xfId="1" applyFont="1" applyBorder="1"/>
    <xf numFmtId="167" fontId="71" fillId="0" borderId="58" xfId="1" applyFont="1" applyBorder="1"/>
    <xf numFmtId="167" fontId="72" fillId="0" borderId="58" xfId="1" applyFont="1" applyBorder="1"/>
    <xf numFmtId="167" fontId="72" fillId="0" borderId="59" xfId="1" applyFont="1" applyBorder="1"/>
    <xf numFmtId="177" fontId="5" fillId="0" borderId="0" xfId="1" applyNumberFormat="1" applyFont="1" applyFill="1"/>
    <xf numFmtId="177" fontId="3" fillId="0" borderId="0" xfId="1" applyNumberFormat="1" applyFont="1" applyFill="1" applyAlignment="1">
      <alignment vertical="center"/>
    </xf>
    <xf numFmtId="177" fontId="3" fillId="0" borderId="0" xfId="1" applyNumberFormat="1" applyFont="1" applyFill="1" applyAlignment="1">
      <alignment horizontal="right" vertical="center" wrapText="1"/>
    </xf>
    <xf numFmtId="177" fontId="3" fillId="0" borderId="0" xfId="1" applyNumberFormat="1" applyFont="1" applyFill="1" applyAlignment="1">
      <alignment horizontal="left" vertical="center"/>
    </xf>
    <xf numFmtId="177" fontId="5" fillId="0" borderId="0" xfId="1" applyNumberFormat="1" applyFont="1" applyFill="1" applyAlignment="1">
      <alignment horizontal="center" vertical="center"/>
    </xf>
    <xf numFmtId="167" fontId="3" fillId="0" borderId="0" xfId="1" applyFont="1" applyFill="1" applyAlignment="1">
      <alignment horizontal="left" wrapText="1"/>
    </xf>
    <xf numFmtId="167" fontId="5" fillId="0" borderId="0" xfId="1" applyFont="1" applyFill="1"/>
    <xf numFmtId="167" fontId="5" fillId="0" borderId="0" xfId="1" applyFont="1" applyFill="1" applyAlignment="1">
      <alignment horizontal="center"/>
    </xf>
    <xf numFmtId="167" fontId="129" fillId="0" borderId="0" xfId="1" applyFont="1" applyFill="1" applyAlignment="1">
      <alignment horizontal="left" wrapText="1"/>
    </xf>
    <xf numFmtId="167" fontId="5" fillId="0" borderId="0" xfId="1" applyFont="1" applyFill="1" applyAlignment="1">
      <alignment horizontal="left" wrapText="1"/>
    </xf>
    <xf numFmtId="167" fontId="3" fillId="0" borderId="0" xfId="1" applyFont="1" applyFill="1"/>
    <xf numFmtId="177" fontId="3" fillId="0" borderId="0" xfId="1" applyNumberFormat="1" applyFont="1" applyFill="1" applyAlignment="1">
      <alignment horizontal="left" vertical="center" wrapText="1"/>
    </xf>
    <xf numFmtId="177" fontId="5" fillId="0" borderId="0" xfId="1" applyNumberFormat="1" applyFont="1" applyFill="1" applyAlignment="1">
      <alignment horizontal="left" vertical="center" wrapText="1"/>
    </xf>
    <xf numFmtId="177" fontId="7" fillId="0" borderId="0" xfId="1" applyNumberFormat="1" applyFont="1" applyFill="1"/>
    <xf numFmtId="177" fontId="8" fillId="0" borderId="0" xfId="1" applyNumberFormat="1" applyFont="1" applyFill="1"/>
    <xf numFmtId="177" fontId="7" fillId="0" borderId="0" xfId="1" applyNumberFormat="1" applyFont="1" applyFill="1" applyAlignment="1"/>
    <xf numFmtId="177" fontId="5" fillId="0" borderId="0" xfId="1" applyNumberFormat="1" applyFont="1" applyFill="1" applyAlignment="1">
      <alignment vertical="center"/>
    </xf>
    <xf numFmtId="179" fontId="5" fillId="0" borderId="0" xfId="1" applyNumberFormat="1" applyFont="1" applyFill="1" applyAlignment="1">
      <alignment horizontal="center" vertical="center"/>
    </xf>
    <xf numFmtId="2" fontId="5" fillId="0" borderId="0" xfId="1" applyNumberFormat="1" applyFont="1" applyFill="1" applyAlignment="1">
      <alignment horizontal="center" vertical="center"/>
    </xf>
    <xf numFmtId="177" fontId="3" fillId="0" borderId="0" xfId="1" applyNumberFormat="1" applyFont="1" applyFill="1" applyAlignment="1">
      <alignment horizontal="center" vertical="center"/>
    </xf>
    <xf numFmtId="177" fontId="5" fillId="0" borderId="0" xfId="1" applyNumberFormat="1" applyFont="1" applyFill="1" applyAlignment="1">
      <alignment wrapText="1"/>
    </xf>
    <xf numFmtId="167" fontId="25" fillId="0" borderId="0" xfId="1" applyFont="1" applyFill="1" applyBorder="1" applyAlignment="1">
      <alignment horizontal="left" vertical="center"/>
    </xf>
    <xf numFmtId="167" fontId="25" fillId="0" borderId="0" xfId="1" applyFont="1" applyFill="1" applyBorder="1" applyAlignment="1">
      <alignment horizontal="right" vertical="center"/>
    </xf>
    <xf numFmtId="167" fontId="25" fillId="0" borderId="0" xfId="1" applyFont="1" applyFill="1" applyBorder="1" applyAlignment="1">
      <alignment horizontal="center" vertical="center" wrapText="1"/>
    </xf>
    <xf numFmtId="168" fontId="25" fillId="0" borderId="0" xfId="1" applyNumberFormat="1" applyFont="1" applyFill="1" applyBorder="1" applyAlignment="1">
      <alignment horizontal="center" vertical="center"/>
    </xf>
    <xf numFmtId="171" fontId="25" fillId="0" borderId="0" xfId="1" applyNumberFormat="1" applyFont="1" applyFill="1" applyBorder="1" applyAlignment="1">
      <alignment horizontal="center" vertical="center"/>
    </xf>
    <xf numFmtId="167" fontId="25" fillId="0" borderId="0" xfId="1" applyFont="1" applyFill="1" applyBorder="1" applyAlignment="1">
      <alignment horizontal="center" vertical="center"/>
    </xf>
    <xf numFmtId="167" fontId="24" fillId="0" borderId="0" xfId="1" applyFont="1" applyFill="1" applyBorder="1"/>
    <xf numFmtId="167" fontId="25" fillId="0" borderId="0" xfId="1" applyFont="1" applyFill="1" applyBorder="1" applyAlignment="1">
      <alignment vertical="center" wrapText="1"/>
    </xf>
    <xf numFmtId="167" fontId="25" fillId="0" borderId="0" xfId="1" applyFont="1" applyFill="1" applyBorder="1" applyAlignment="1">
      <alignment horizontal="left" vertical="center" wrapText="1"/>
    </xf>
    <xf numFmtId="167" fontId="26" fillId="0" borderId="0" xfId="1" applyFont="1" applyFill="1" applyBorder="1"/>
    <xf numFmtId="167" fontId="24" fillId="0" borderId="0" xfId="1" applyFont="1" applyFill="1" applyBorder="1" applyAlignment="1">
      <alignment horizontal="right"/>
    </xf>
    <xf numFmtId="167" fontId="24" fillId="0" borderId="0" xfId="1" applyFont="1" applyFill="1" applyBorder="1" applyAlignment="1">
      <alignment wrapText="1"/>
    </xf>
    <xf numFmtId="168" fontId="24" fillId="0" borderId="0" xfId="1" applyNumberFormat="1" applyFont="1" applyFill="1" applyBorder="1" applyAlignment="1">
      <alignment horizontal="center"/>
    </xf>
    <xf numFmtId="171" fontId="24" fillId="0" borderId="0" xfId="1" applyNumberFormat="1" applyFont="1" applyFill="1" applyBorder="1" applyAlignment="1">
      <alignment horizontal="center" vertical="center"/>
    </xf>
    <xf numFmtId="167" fontId="24" fillId="0" borderId="0" xfId="1" applyFont="1" applyFill="1" applyBorder="1" applyAlignment="1">
      <alignment horizontal="center"/>
    </xf>
    <xf numFmtId="167" fontId="24" fillId="0" borderId="0" xfId="1" applyFont="1" applyFill="1" applyBorder="1" applyAlignment="1">
      <alignment vertical="center" wrapText="1"/>
    </xf>
    <xf numFmtId="167" fontId="24" fillId="0" borderId="0" xfId="1" applyFont="1" applyFill="1" applyBorder="1" applyAlignment="1">
      <alignment horizontal="right" vertical="center" wrapText="1"/>
    </xf>
    <xf numFmtId="171" fontId="24" fillId="0" borderId="0" xfId="1" applyNumberFormat="1" applyFont="1" applyFill="1" applyBorder="1" applyAlignment="1">
      <alignment horizontal="center"/>
    </xf>
    <xf numFmtId="172" fontId="24" fillId="0" borderId="0" xfId="1" applyNumberFormat="1" applyFont="1" applyFill="1" applyBorder="1" applyProtection="1"/>
    <xf numFmtId="167" fontId="24" fillId="0" borderId="0" xfId="1" applyNumberFormat="1" applyFont="1" applyFill="1" applyBorder="1" applyAlignment="1" applyProtection="1">
      <alignment horizontal="right"/>
    </xf>
    <xf numFmtId="167" fontId="24" fillId="0" borderId="0" xfId="1" applyNumberFormat="1" applyFont="1" applyFill="1" applyBorder="1" applyAlignment="1" applyProtection="1">
      <alignment horizontal="left" wrapText="1"/>
    </xf>
    <xf numFmtId="168" fontId="24" fillId="0" borderId="0" xfId="1" applyNumberFormat="1" applyFont="1" applyFill="1" applyBorder="1" applyAlignment="1" applyProtection="1">
      <alignment horizontal="center"/>
    </xf>
    <xf numFmtId="171" fontId="24" fillId="0" borderId="0" xfId="1" applyNumberFormat="1" applyFont="1" applyFill="1" applyBorder="1" applyAlignment="1" applyProtection="1">
      <alignment horizontal="center" vertical="center"/>
    </xf>
    <xf numFmtId="167" fontId="24" fillId="0" borderId="0" xfId="1" applyNumberFormat="1" applyFont="1" applyFill="1" applyBorder="1" applyProtection="1"/>
    <xf numFmtId="167" fontId="24" fillId="0" borderId="0" xfId="1" applyNumberFormat="1" applyFont="1" applyFill="1" applyBorder="1" applyAlignment="1" applyProtection="1">
      <alignment horizontal="fill"/>
    </xf>
    <xf numFmtId="167" fontId="24" fillId="0" borderId="0" xfId="1" applyNumberFormat="1" applyFont="1" applyFill="1" applyBorder="1" applyAlignment="1" applyProtection="1">
      <alignment horizontal="center"/>
    </xf>
    <xf numFmtId="168" fontId="24" fillId="0" borderId="0" xfId="1" applyNumberFormat="1" applyFont="1" applyFill="1" applyBorder="1" applyAlignment="1">
      <alignment horizontal="center" vertical="center"/>
    </xf>
    <xf numFmtId="167" fontId="26" fillId="0" borderId="0" xfId="1" applyFont="1" applyFill="1" applyBorder="1" applyAlignment="1">
      <alignment wrapText="1"/>
    </xf>
    <xf numFmtId="0" fontId="8" fillId="0" borderId="0" xfId="1" applyNumberFormat="1" applyFont="1" applyFill="1" applyBorder="1" applyAlignment="1">
      <alignment horizontal="center" vertical="center" wrapText="1"/>
    </xf>
    <xf numFmtId="0" fontId="9" fillId="0" borderId="0" xfId="1" applyNumberFormat="1" applyFont="1" applyFill="1" applyBorder="1" applyAlignment="1">
      <alignment horizontal="center" vertical="center" wrapText="1"/>
    </xf>
    <xf numFmtId="0" fontId="8" fillId="0" borderId="5" xfId="1" applyNumberFormat="1" applyFont="1" applyFill="1" applyBorder="1" applyAlignment="1">
      <alignment horizontal="center" vertical="center" wrapText="1"/>
    </xf>
    <xf numFmtId="2" fontId="7" fillId="0" borderId="5" xfId="1" applyNumberFormat="1" applyFont="1" applyFill="1" applyBorder="1" applyAlignment="1">
      <alignment horizontal="center" vertical="center" wrapText="1"/>
    </xf>
    <xf numFmtId="167" fontId="8" fillId="0" borderId="5" xfId="5" applyFont="1" applyFill="1" applyBorder="1" applyAlignment="1">
      <alignment horizontal="center" vertical="center" wrapText="1"/>
    </xf>
    <xf numFmtId="2" fontId="7" fillId="4" borderId="5" xfId="1" applyNumberFormat="1" applyFont="1" applyFill="1" applyBorder="1" applyAlignment="1">
      <alignment horizontal="center" vertical="center" wrapText="1"/>
    </xf>
    <xf numFmtId="0" fontId="26" fillId="6" borderId="5" xfId="0" applyFont="1" applyFill="1" applyBorder="1" applyAlignment="1">
      <alignment horizontal="left" vertical="center" wrapText="1"/>
    </xf>
    <xf numFmtId="0" fontId="24" fillId="6" borderId="5" xfId="0" applyFont="1" applyFill="1" applyBorder="1" applyAlignment="1">
      <alignment horizontal="left" vertical="center" wrapText="1"/>
    </xf>
    <xf numFmtId="0" fontId="8" fillId="0" borderId="0" xfId="1" applyNumberFormat="1" applyFont="1" applyFill="1" applyBorder="1" applyAlignment="1">
      <alignment horizontal="left" vertical="center" wrapText="1"/>
    </xf>
    <xf numFmtId="0" fontId="152" fillId="0" borderId="5" xfId="1" applyNumberFormat="1" applyFont="1" applyFill="1" applyBorder="1" applyAlignment="1">
      <alignment horizontal="center" vertical="center" wrapText="1"/>
    </xf>
    <xf numFmtId="0" fontId="152" fillId="0" borderId="5" xfId="1" applyNumberFormat="1" applyFont="1" applyFill="1" applyBorder="1" applyAlignment="1">
      <alignment vertical="center" wrapText="1"/>
    </xf>
    <xf numFmtId="1" fontId="152" fillId="0" borderId="5" xfId="1" applyNumberFormat="1" applyFont="1" applyFill="1" applyBorder="1" applyAlignment="1">
      <alignment horizontal="center" vertical="center" wrapText="1"/>
    </xf>
    <xf numFmtId="167" fontId="152" fillId="0" borderId="5" xfId="1" applyNumberFormat="1" applyFont="1" applyFill="1" applyBorder="1" applyAlignment="1">
      <alignment horizontal="center" vertical="center" wrapText="1"/>
    </xf>
    <xf numFmtId="167" fontId="153" fillId="0" borderId="5" xfId="1" applyNumberFormat="1" applyFont="1" applyFill="1" applyBorder="1" applyAlignment="1">
      <alignment horizontal="center" vertical="center" wrapText="1"/>
    </xf>
    <xf numFmtId="167" fontId="153" fillId="0" borderId="0" xfId="1" applyNumberFormat="1" applyFont="1" applyFill="1" applyBorder="1" applyAlignment="1">
      <alignment horizontal="center" vertical="center" wrapText="1"/>
    </xf>
    <xf numFmtId="176" fontId="152" fillId="0" borderId="5" xfId="1" applyNumberFormat="1" applyFont="1" applyFill="1" applyBorder="1" applyAlignment="1">
      <alignment horizontal="center" vertical="center" wrapText="1"/>
    </xf>
    <xf numFmtId="0" fontId="153" fillId="0" borderId="5" xfId="1" applyNumberFormat="1" applyFont="1" applyFill="1" applyBorder="1" applyAlignment="1">
      <alignment horizontal="center" vertical="center" wrapText="1"/>
    </xf>
    <xf numFmtId="0" fontId="153" fillId="0" borderId="0" xfId="1" applyNumberFormat="1" applyFont="1" applyFill="1" applyBorder="1" applyAlignment="1">
      <alignment horizontal="center" vertical="center" wrapText="1"/>
    </xf>
    <xf numFmtId="169" fontId="152" fillId="0" borderId="26" xfId="1" applyNumberFormat="1" applyFont="1" applyFill="1" applyBorder="1" applyAlignment="1">
      <alignment horizontal="center" vertical="center" wrapText="1"/>
    </xf>
    <xf numFmtId="1" fontId="152" fillId="0" borderId="26" xfId="1" applyNumberFormat="1" applyFont="1" applyFill="1" applyBorder="1" applyAlignment="1">
      <alignment horizontal="center" vertical="center" wrapText="1"/>
    </xf>
    <xf numFmtId="167" fontId="153" fillId="0" borderId="5" xfId="5" applyFont="1" applyFill="1" applyBorder="1" applyAlignment="1">
      <alignment horizontal="center" vertical="center" wrapText="1"/>
    </xf>
    <xf numFmtId="167" fontId="153" fillId="0" borderId="0" xfId="5" applyFont="1" applyFill="1" applyBorder="1" applyAlignment="1">
      <alignment horizontal="center" vertical="center" wrapText="1"/>
    </xf>
    <xf numFmtId="0" fontId="152" fillId="0" borderId="5" xfId="1" quotePrefix="1" applyNumberFormat="1" applyFont="1" applyFill="1" applyBorder="1" applyAlignment="1">
      <alignment vertical="center" wrapText="1"/>
    </xf>
    <xf numFmtId="0" fontId="152" fillId="0" borderId="5" xfId="1" applyNumberFormat="1" applyFont="1" applyFill="1" applyBorder="1" applyAlignment="1">
      <alignment horizontal="left" vertical="center" wrapText="1"/>
    </xf>
    <xf numFmtId="1" fontId="153" fillId="0" borderId="5" xfId="1" applyNumberFormat="1" applyFont="1" applyFill="1" applyBorder="1" applyAlignment="1">
      <alignment horizontal="center" vertical="center" wrapText="1"/>
    </xf>
    <xf numFmtId="0" fontId="152" fillId="0" borderId="5" xfId="1" applyNumberFormat="1" applyFont="1" applyFill="1" applyBorder="1" applyAlignment="1">
      <alignment horizontal="center" vertical="center" textRotation="90" wrapText="1"/>
    </xf>
    <xf numFmtId="0" fontId="8" fillId="0" borderId="27" xfId="1" applyNumberFormat="1" applyFont="1" applyFill="1" applyBorder="1" applyAlignment="1">
      <alignment horizontal="left" vertical="center" wrapText="1"/>
    </xf>
    <xf numFmtId="0" fontId="21" fillId="5" borderId="0" xfId="1" applyNumberFormat="1" applyFont="1" applyFill="1" applyBorder="1" applyAlignment="1">
      <alignment horizontal="left" vertical="center" wrapText="1"/>
    </xf>
    <xf numFmtId="0" fontId="11" fillId="2" borderId="29" xfId="1" applyNumberFormat="1" applyFont="1" applyFill="1" applyBorder="1" applyAlignment="1">
      <alignment horizontal="left" vertical="center" wrapText="1"/>
    </xf>
    <xf numFmtId="0" fontId="11" fillId="3" borderId="29" xfId="1" applyNumberFormat="1" applyFont="1" applyFill="1" applyBorder="1" applyAlignment="1">
      <alignment horizontal="left" vertical="center" wrapText="1"/>
    </xf>
    <xf numFmtId="0" fontId="11" fillId="0" borderId="29" xfId="1" applyNumberFormat="1" applyFont="1" applyBorder="1" applyAlignment="1">
      <alignment horizontal="left" vertical="center" wrapText="1"/>
    </xf>
    <xf numFmtId="0" fontId="8" fillId="0" borderId="9" xfId="1" applyNumberFormat="1" applyFont="1" applyFill="1" applyBorder="1" applyAlignment="1">
      <alignment horizontal="left" vertical="center" wrapText="1"/>
    </xf>
    <xf numFmtId="0" fontId="7" fillId="0" borderId="5" xfId="1" quotePrefix="1" applyNumberFormat="1" applyFont="1" applyFill="1" applyBorder="1" applyAlignment="1">
      <alignment horizontal="left" vertical="center" wrapText="1"/>
    </xf>
    <xf numFmtId="0" fontId="7" fillId="4" borderId="5" xfId="1" applyNumberFormat="1" applyFont="1" applyFill="1" applyBorder="1" applyAlignment="1">
      <alignment horizontal="left" vertical="center" wrapText="1"/>
    </xf>
    <xf numFmtId="0" fontId="7" fillId="0" borderId="5" xfId="8" applyFont="1" applyFill="1" applyBorder="1" applyAlignment="1">
      <alignment horizontal="left" vertical="center" wrapText="1"/>
    </xf>
    <xf numFmtId="0" fontId="8" fillId="0" borderId="5" xfId="8" applyFont="1" applyFill="1" applyBorder="1" applyAlignment="1">
      <alignment horizontal="left" vertical="center" wrapText="1"/>
    </xf>
    <xf numFmtId="167" fontId="7" fillId="0" borderId="5" xfId="5" applyFont="1" applyFill="1" applyBorder="1" applyAlignment="1">
      <alignment horizontal="left" vertical="center" wrapText="1"/>
    </xf>
    <xf numFmtId="0" fontId="7" fillId="0" borderId="5" xfId="7" applyFont="1" applyFill="1" applyBorder="1" applyAlignment="1">
      <alignment horizontal="left" vertical="center" wrapText="1"/>
    </xf>
    <xf numFmtId="176" fontId="152" fillId="0" borderId="5" xfId="1" applyNumberFormat="1" applyFont="1" applyFill="1" applyBorder="1" applyAlignment="1">
      <alignment horizontal="left" vertical="center" wrapText="1"/>
    </xf>
    <xf numFmtId="167" fontId="8" fillId="0" borderId="5" xfId="5" applyFont="1" applyFill="1" applyBorder="1" applyAlignment="1">
      <alignment horizontal="left" vertical="center" wrapText="1"/>
    </xf>
    <xf numFmtId="2" fontId="8" fillId="0" borderId="5" xfId="2" applyNumberFormat="1" applyFont="1" applyFill="1" applyBorder="1" applyAlignment="1">
      <alignment horizontal="left" vertical="center" wrapText="1"/>
    </xf>
    <xf numFmtId="0" fontId="9" fillId="0" borderId="5" xfId="1" applyNumberFormat="1" applyFont="1" applyFill="1" applyBorder="1" applyAlignment="1">
      <alignment horizontal="left" vertical="center" wrapText="1"/>
    </xf>
    <xf numFmtId="0" fontId="7" fillId="0" borderId="5" xfId="10" applyFont="1" applyFill="1" applyBorder="1" applyAlignment="1">
      <alignment horizontal="left" vertical="center" wrapText="1"/>
    </xf>
    <xf numFmtId="0" fontId="7" fillId="0" borderId="0" xfId="1" applyNumberFormat="1" applyFont="1" applyFill="1" applyBorder="1" applyAlignment="1">
      <alignment horizontal="left" vertical="center" wrapText="1"/>
    </xf>
    <xf numFmtId="176" fontId="0" fillId="0" borderId="0" xfId="0" applyNumberFormat="1" applyAlignment="1">
      <alignment horizontal="center"/>
    </xf>
    <xf numFmtId="176" fontId="0" fillId="0" borderId="0" xfId="0" applyNumberFormat="1"/>
    <xf numFmtId="0" fontId="0" fillId="0" borderId="0" xfId="0" applyAlignment="1">
      <alignment horizontal="center"/>
    </xf>
    <xf numFmtId="2" fontId="7" fillId="0" borderId="5" xfId="1" applyNumberFormat="1" applyFont="1" applyFill="1" applyBorder="1" applyAlignment="1">
      <alignment horizontal="center" vertical="center" wrapText="1"/>
    </xf>
    <xf numFmtId="2" fontId="7" fillId="0" borderId="5" xfId="1" applyNumberFormat="1" applyFont="1" applyFill="1" applyBorder="1" applyAlignment="1">
      <alignment horizontal="center" vertical="center" wrapText="1"/>
    </xf>
    <xf numFmtId="2" fontId="7" fillId="0" borderId="5" xfId="1" applyNumberFormat="1" applyFont="1" applyFill="1" applyBorder="1" applyAlignment="1">
      <alignment horizontal="center" vertical="center" wrapText="1"/>
    </xf>
    <xf numFmtId="2" fontId="7" fillId="0" borderId="5" xfId="1" applyNumberFormat="1" applyFont="1" applyFill="1" applyBorder="1" applyAlignment="1">
      <alignment horizontal="center" vertical="center" wrapText="1"/>
    </xf>
    <xf numFmtId="2" fontId="7" fillId="0" borderId="5" xfId="1" applyNumberFormat="1" applyFont="1" applyFill="1" applyBorder="1" applyAlignment="1">
      <alignment horizontal="center" vertical="center" wrapText="1"/>
    </xf>
    <xf numFmtId="0" fontId="24" fillId="0" borderId="0" xfId="1251" applyFont="1" applyAlignment="1">
      <alignment horizontal="center" vertical="center"/>
    </xf>
    <xf numFmtId="0" fontId="24" fillId="0" borderId="0" xfId="1251" applyFont="1" applyAlignment="1">
      <alignment horizontal="center" vertical="center" wrapText="1"/>
    </xf>
    <xf numFmtId="0" fontId="24" fillId="4" borderId="0" xfId="1251" applyFont="1" applyFill="1" applyAlignment="1">
      <alignment horizontal="center" vertical="center"/>
    </xf>
    <xf numFmtId="0" fontId="24" fillId="0" borderId="0" xfId="1251" applyFont="1" applyAlignment="1">
      <alignment horizontal="left" vertical="center"/>
    </xf>
    <xf numFmtId="0" fontId="26" fillId="0" borderId="5" xfId="1251" applyFont="1" applyFill="1" applyBorder="1" applyAlignment="1">
      <alignment horizontal="center" vertical="center" wrapText="1"/>
    </xf>
    <xf numFmtId="0" fontId="26" fillId="0" borderId="5" xfId="1251" applyFont="1" applyFill="1" applyBorder="1" applyAlignment="1">
      <alignment horizontal="left" vertical="center" wrapText="1"/>
    </xf>
    <xf numFmtId="0" fontId="24" fillId="0" borderId="5" xfId="1251" applyFont="1" applyFill="1" applyBorder="1" applyAlignment="1">
      <alignment horizontal="center" vertical="center" wrapText="1"/>
    </xf>
    <xf numFmtId="0" fontId="24" fillId="0" borderId="5" xfId="1251" applyFont="1" applyFill="1" applyBorder="1" applyAlignment="1">
      <alignment horizontal="center" vertical="center"/>
    </xf>
    <xf numFmtId="0" fontId="26" fillId="0" borderId="9" xfId="1251" applyFont="1" applyFill="1" applyBorder="1" applyAlignment="1">
      <alignment horizontal="center" vertical="center" wrapText="1"/>
    </xf>
    <xf numFmtId="176" fontId="26" fillId="0" borderId="5" xfId="1251" applyNumberFormat="1" applyFont="1" applyFill="1" applyBorder="1" applyAlignment="1">
      <alignment horizontal="center" vertical="center"/>
    </xf>
    <xf numFmtId="177" fontId="24" fillId="6" borderId="5" xfId="0" applyNumberFormat="1" applyFont="1" applyFill="1" applyBorder="1" applyAlignment="1">
      <alignment horizontal="center" vertical="center" wrapText="1"/>
    </xf>
    <xf numFmtId="176" fontId="24" fillId="6" borderId="5" xfId="0" applyNumberFormat="1" applyFont="1" applyFill="1" applyBorder="1" applyAlignment="1">
      <alignment horizontal="center" vertical="center" wrapText="1"/>
    </xf>
    <xf numFmtId="0" fontId="26" fillId="0" borderId="5" xfId="1251" applyFont="1" applyFill="1" applyBorder="1" applyAlignment="1">
      <alignment horizontal="center" vertical="center"/>
    </xf>
    <xf numFmtId="177" fontId="152" fillId="0" borderId="5" xfId="1" applyNumberFormat="1" applyFont="1" applyFill="1" applyBorder="1" applyAlignment="1">
      <alignment horizontal="center" vertical="center" wrapText="1"/>
    </xf>
    <xf numFmtId="0" fontId="0" fillId="40" borderId="0" xfId="0" applyFill="1"/>
    <xf numFmtId="176" fontId="0" fillId="40" borderId="0" xfId="0" applyNumberFormat="1" applyFill="1" applyAlignment="1">
      <alignment horizontal="center"/>
    </xf>
    <xf numFmtId="0" fontId="0" fillId="38" borderId="0" xfId="0" applyFill="1"/>
    <xf numFmtId="176" fontId="0" fillId="38" borderId="0" xfId="0" applyNumberFormat="1" applyFill="1" applyAlignment="1">
      <alignment horizontal="center"/>
    </xf>
    <xf numFmtId="0" fontId="155" fillId="0" borderId="5" xfId="1" applyNumberFormat="1" applyFont="1" applyFill="1" applyBorder="1" applyAlignment="1">
      <alignment horizontal="center" vertical="center" wrapText="1"/>
    </xf>
    <xf numFmtId="0" fontId="155" fillId="0" borderId="5" xfId="1" applyNumberFormat="1" applyFont="1" applyFill="1" applyBorder="1" applyAlignment="1">
      <alignment horizontal="left" vertical="center" wrapText="1"/>
    </xf>
    <xf numFmtId="176" fontId="155" fillId="0" borderId="5" xfId="1" applyNumberFormat="1" applyFont="1" applyFill="1" applyBorder="1" applyAlignment="1">
      <alignment horizontal="center" vertical="center" wrapText="1"/>
    </xf>
    <xf numFmtId="0" fontId="156" fillId="0" borderId="0" xfId="0" applyFont="1"/>
    <xf numFmtId="176" fontId="155" fillId="0" borderId="5" xfId="1" applyNumberFormat="1" applyFont="1" applyFill="1" applyBorder="1" applyAlignment="1">
      <alignment horizontal="center" vertical="center" textRotation="90" wrapText="1"/>
    </xf>
    <xf numFmtId="0" fontId="156" fillId="0" borderId="0" xfId="0" applyFont="1" applyAlignment="1">
      <alignment wrapText="1"/>
    </xf>
    <xf numFmtId="0" fontId="0" fillId="37" borderId="0" xfId="0" applyFill="1"/>
    <xf numFmtId="176" fontId="0" fillId="37" borderId="0" xfId="0" applyNumberFormat="1" applyFill="1" applyAlignment="1">
      <alignment horizontal="center"/>
    </xf>
    <xf numFmtId="0" fontId="0" fillId="41" borderId="0" xfId="0" applyFill="1"/>
    <xf numFmtId="176" fontId="0" fillId="41" borderId="0" xfId="0" applyNumberFormat="1" applyFill="1" applyAlignment="1">
      <alignment horizontal="center"/>
    </xf>
    <xf numFmtId="0" fontId="0" fillId="42" borderId="0" xfId="0" applyFill="1"/>
    <xf numFmtId="176" fontId="0" fillId="42" borderId="0" xfId="0" applyNumberFormat="1" applyFill="1" applyAlignment="1">
      <alignment horizontal="center"/>
    </xf>
    <xf numFmtId="0" fontId="0" fillId="39" borderId="0" xfId="0" applyFill="1"/>
    <xf numFmtId="176" fontId="0" fillId="39" borderId="0" xfId="0" applyNumberFormat="1" applyFill="1" applyAlignment="1">
      <alignment horizontal="center"/>
    </xf>
    <xf numFmtId="0" fontId="0" fillId="43" borderId="0" xfId="0" applyFill="1"/>
    <xf numFmtId="176" fontId="0" fillId="43" borderId="0" xfId="0" applyNumberFormat="1" applyFill="1" applyAlignment="1">
      <alignment horizontal="center"/>
    </xf>
    <xf numFmtId="0" fontId="24" fillId="0" borderId="5" xfId="0" applyFont="1" applyBorder="1" applyAlignment="1">
      <alignment wrapText="1"/>
    </xf>
    <xf numFmtId="0" fontId="24" fillId="0" borderId="5" xfId="0" applyFont="1" applyBorder="1" applyAlignment="1">
      <alignment horizontal="center"/>
    </xf>
    <xf numFmtId="176" fontId="24" fillId="0" borderId="5" xfId="0" applyNumberFormat="1" applyFont="1" applyBorder="1" applyAlignment="1">
      <alignment horizontal="center"/>
    </xf>
    <xf numFmtId="168" fontId="19" fillId="0" borderId="5" xfId="5" applyNumberFormat="1" applyFont="1" applyFill="1" applyBorder="1" applyAlignment="1">
      <alignment horizontal="center" vertical="center" wrapText="1"/>
    </xf>
    <xf numFmtId="2" fontId="19" fillId="0" borderId="7" xfId="18" applyNumberFormat="1" applyFont="1" applyFill="1" applyBorder="1" applyAlignment="1">
      <alignment vertical="top" wrapText="1"/>
    </xf>
    <xf numFmtId="0" fontId="18" fillId="0" borderId="0" xfId="1" applyNumberFormat="1" applyFont="1" applyFill="1" applyBorder="1" applyAlignment="1">
      <alignment horizontal="center" vertical="center" wrapText="1"/>
    </xf>
    <xf numFmtId="169" fontId="18" fillId="0" borderId="4" xfId="2" applyNumberFormat="1" applyFont="1" applyFill="1" applyBorder="1" applyAlignment="1">
      <alignment horizontal="center" vertical="center" wrapText="1"/>
    </xf>
    <xf numFmtId="167" fontId="18" fillId="0" borderId="5" xfId="1" applyFont="1" applyFill="1" applyBorder="1" applyAlignment="1">
      <alignment horizontal="center" vertical="center" wrapText="1"/>
    </xf>
    <xf numFmtId="167" fontId="19" fillId="0" borderId="0" xfId="5" applyFont="1" applyFill="1" applyBorder="1" applyAlignment="1">
      <alignment horizontal="center" vertical="center" wrapText="1"/>
    </xf>
    <xf numFmtId="0" fontId="19" fillId="0" borderId="0" xfId="1" applyNumberFormat="1" applyFont="1" applyFill="1" applyBorder="1" applyAlignment="1">
      <alignment vertical="center" wrapText="1"/>
    </xf>
    <xf numFmtId="175" fontId="19" fillId="0" borderId="0" xfId="1" applyNumberFormat="1" applyFont="1" applyFill="1" applyBorder="1" applyAlignment="1">
      <alignment horizontal="center" vertical="center" wrapText="1"/>
    </xf>
    <xf numFmtId="2" fontId="19" fillId="0" borderId="0" xfId="1" applyNumberFormat="1" applyFont="1" applyFill="1" applyBorder="1" applyAlignment="1">
      <alignment horizontal="center" vertical="center" wrapText="1"/>
    </xf>
    <xf numFmtId="167" fontId="19" fillId="0" borderId="0" xfId="1" applyNumberFormat="1" applyFont="1" applyFill="1" applyBorder="1" applyAlignment="1">
      <alignment horizontal="center" vertical="center" wrapText="1"/>
    </xf>
    <xf numFmtId="0" fontId="19" fillId="0" borderId="0" xfId="1" applyNumberFormat="1" applyFont="1" applyFill="1" applyBorder="1" applyAlignment="1">
      <alignment horizontal="center" vertical="top" wrapText="1"/>
    </xf>
    <xf numFmtId="0" fontId="18" fillId="0" borderId="1" xfId="1" applyNumberFormat="1" applyFont="1" applyFill="1" applyBorder="1" applyAlignment="1">
      <alignment horizontal="center" vertical="center" wrapText="1"/>
    </xf>
    <xf numFmtId="0" fontId="18" fillId="0" borderId="2" xfId="1" applyNumberFormat="1" applyFont="1" applyFill="1" applyBorder="1" applyAlignment="1">
      <alignment horizontal="center" vertical="center" wrapText="1"/>
    </xf>
    <xf numFmtId="175" fontId="18" fillId="0" borderId="2" xfId="1" applyNumberFormat="1" applyFont="1" applyFill="1" applyBorder="1" applyAlignment="1">
      <alignment horizontal="center" vertical="center" wrapText="1"/>
    </xf>
    <xf numFmtId="2" fontId="18" fillId="0" borderId="2" xfId="1" applyNumberFormat="1" applyFont="1" applyFill="1" applyBorder="1" applyAlignment="1">
      <alignment horizontal="center" vertical="center" wrapText="1"/>
    </xf>
    <xf numFmtId="167" fontId="18" fillId="0" borderId="3" xfId="1" applyNumberFormat="1" applyFont="1" applyFill="1" applyBorder="1" applyAlignment="1">
      <alignment horizontal="center" vertical="center" wrapText="1"/>
    </xf>
    <xf numFmtId="0" fontId="18" fillId="0" borderId="4" xfId="1" applyNumberFormat="1" applyFont="1" applyFill="1" applyBorder="1" applyAlignment="1">
      <alignment horizontal="center" vertical="center" wrapText="1"/>
    </xf>
    <xf numFmtId="167" fontId="19" fillId="0" borderId="6" xfId="1" applyNumberFormat="1" applyFont="1" applyFill="1" applyBorder="1" applyAlignment="1">
      <alignment horizontal="center" vertical="center" wrapText="1"/>
    </xf>
    <xf numFmtId="0" fontId="19" fillId="0" borderId="4" xfId="1" applyNumberFormat="1" applyFont="1" applyFill="1" applyBorder="1" applyAlignment="1">
      <alignment horizontal="center" vertical="center" wrapText="1"/>
    </xf>
    <xf numFmtId="0" fontId="19" fillId="0" borderId="5" xfId="1016" applyNumberFormat="1" applyFont="1" applyFill="1" applyBorder="1" applyAlignment="1">
      <alignment vertical="center" wrapText="1"/>
    </xf>
    <xf numFmtId="0" fontId="19" fillId="0" borderId="5" xfId="1016" applyNumberFormat="1" applyFont="1" applyFill="1" applyBorder="1" applyAlignment="1">
      <alignment horizontal="center" vertical="center" wrapText="1"/>
    </xf>
    <xf numFmtId="175" fontId="19" fillId="0" borderId="5" xfId="1016" applyNumberFormat="1" applyFont="1" applyFill="1" applyBorder="1" applyAlignment="1">
      <alignment horizontal="center" vertical="center" wrapText="1"/>
    </xf>
    <xf numFmtId="2" fontId="19" fillId="0" borderId="5" xfId="1016" applyNumberFormat="1" applyFont="1" applyFill="1" applyBorder="1" applyAlignment="1">
      <alignment horizontal="center" vertical="center" wrapText="1"/>
    </xf>
    <xf numFmtId="0" fontId="18" fillId="0" borderId="5" xfId="1" applyNumberFormat="1" applyFont="1" applyFill="1" applyBorder="1" applyAlignment="1">
      <alignment vertical="center" wrapText="1"/>
    </xf>
    <xf numFmtId="175" fontId="19" fillId="0" borderId="5" xfId="1" applyNumberFormat="1" applyFont="1" applyFill="1" applyBorder="1" applyAlignment="1">
      <alignment horizontal="center" vertical="center" wrapText="1"/>
    </xf>
    <xf numFmtId="2" fontId="19" fillId="0" borderId="5" xfId="1" applyNumberFormat="1" applyFont="1" applyFill="1" applyBorder="1" applyAlignment="1">
      <alignment horizontal="center" vertical="center" wrapText="1"/>
    </xf>
    <xf numFmtId="0" fontId="18" fillId="0" borderId="5" xfId="1016" applyNumberFormat="1" applyFont="1" applyFill="1" applyBorder="1" applyAlignment="1">
      <alignment vertical="center" wrapText="1"/>
    </xf>
    <xf numFmtId="1" fontId="19" fillId="0" borderId="5" xfId="1016" applyNumberFormat="1" applyFont="1" applyFill="1" applyBorder="1" applyAlignment="1">
      <alignment horizontal="center" vertical="center" wrapText="1"/>
    </xf>
    <xf numFmtId="0" fontId="19" fillId="0" borderId="5" xfId="1249" applyFont="1" applyFill="1" applyBorder="1" applyAlignment="1">
      <alignment vertical="center" wrapText="1"/>
    </xf>
    <xf numFmtId="0" fontId="19" fillId="0" borderId="5" xfId="1249" applyFont="1" applyFill="1" applyBorder="1" applyAlignment="1">
      <alignment horizontal="center" vertical="center" wrapText="1"/>
    </xf>
    <xf numFmtId="175" fontId="19" fillId="0" borderId="5" xfId="1249" applyNumberFormat="1" applyFont="1" applyFill="1" applyBorder="1" applyAlignment="1">
      <alignment horizontal="center" vertical="center" wrapText="1"/>
    </xf>
    <xf numFmtId="2" fontId="19" fillId="0" borderId="5" xfId="1249" applyNumberFormat="1" applyFont="1" applyFill="1" applyBorder="1" applyAlignment="1">
      <alignment horizontal="center" vertical="center" wrapText="1"/>
    </xf>
    <xf numFmtId="167" fontId="19" fillId="0" borderId="4" xfId="5" applyFont="1" applyFill="1" applyBorder="1" applyAlignment="1">
      <alignment horizontal="center" vertical="center" wrapText="1"/>
    </xf>
    <xf numFmtId="167" fontId="19" fillId="0" borderId="5" xfId="5" applyFont="1" applyFill="1" applyBorder="1" applyAlignment="1">
      <alignment vertical="center" wrapText="1"/>
    </xf>
    <xf numFmtId="175" fontId="19" fillId="0" borderId="5" xfId="5" applyNumberFormat="1" applyFont="1" applyFill="1" applyBorder="1" applyAlignment="1">
      <alignment horizontal="center" vertical="center" wrapText="1"/>
    </xf>
    <xf numFmtId="2" fontId="19" fillId="0" borderId="5" xfId="5" applyNumberFormat="1" applyFont="1" applyFill="1" applyBorder="1" applyAlignment="1">
      <alignment horizontal="center" vertical="center" wrapText="1"/>
    </xf>
    <xf numFmtId="167" fontId="19" fillId="0" borderId="6" xfId="5" applyNumberFormat="1" applyFont="1" applyFill="1" applyBorder="1" applyAlignment="1">
      <alignment horizontal="center" vertical="center" wrapText="1"/>
    </xf>
    <xf numFmtId="167" fontId="19" fillId="0" borderId="0" xfId="5" applyFont="1" applyFill="1" applyBorder="1" applyAlignment="1">
      <alignment horizontal="center" vertical="top" wrapText="1"/>
    </xf>
    <xf numFmtId="167" fontId="18" fillId="0" borderId="6" xfId="5" applyNumberFormat="1" applyFont="1" applyFill="1" applyBorder="1" applyAlignment="1">
      <alignment horizontal="center" vertical="center" wrapText="1"/>
    </xf>
    <xf numFmtId="175" fontId="18" fillId="0" borderId="5" xfId="5" applyNumberFormat="1" applyFont="1" applyFill="1" applyBorder="1" applyAlignment="1">
      <alignment horizontal="center" vertical="center" wrapText="1"/>
    </xf>
    <xf numFmtId="2" fontId="18" fillId="0" borderId="5" xfId="5" applyNumberFormat="1" applyFont="1" applyFill="1" applyBorder="1" applyAlignment="1">
      <alignment horizontal="center" vertical="center" wrapText="1"/>
    </xf>
    <xf numFmtId="175" fontId="19" fillId="0" borderId="5" xfId="1016" applyNumberFormat="1" applyFont="1" applyFill="1" applyBorder="1" applyAlignment="1">
      <alignment vertical="center" wrapText="1"/>
    </xf>
    <xf numFmtId="167" fontId="157" fillId="0" borderId="6" xfId="1" applyNumberFormat="1" applyFont="1" applyFill="1" applyBorder="1" applyAlignment="1">
      <alignment horizontal="center" vertical="center" wrapText="1"/>
    </xf>
    <xf numFmtId="0" fontId="19" fillId="0" borderId="5" xfId="1016" quotePrefix="1" applyNumberFormat="1" applyFont="1" applyFill="1" applyBorder="1" applyAlignment="1">
      <alignment vertical="center" wrapText="1"/>
    </xf>
    <xf numFmtId="0" fontId="18" fillId="0" borderId="5" xfId="1016" quotePrefix="1" applyNumberFormat="1" applyFont="1" applyFill="1" applyBorder="1" applyAlignment="1">
      <alignment vertical="center" wrapText="1"/>
    </xf>
    <xf numFmtId="0" fontId="18" fillId="0" borderId="0" xfId="8" applyFont="1" applyFill="1" applyBorder="1" applyAlignment="1">
      <alignment horizontal="center" vertical="center" wrapText="1"/>
    </xf>
    <xf numFmtId="0" fontId="18" fillId="0" borderId="4" xfId="8" applyFont="1" applyFill="1" applyBorder="1" applyAlignment="1">
      <alignment horizontal="center" vertical="center" wrapText="1"/>
    </xf>
    <xf numFmtId="4" fontId="18" fillId="0" borderId="0" xfId="8" applyNumberFormat="1" applyFont="1" applyFill="1" applyBorder="1" applyAlignment="1">
      <alignment horizontal="center" vertical="center" wrapText="1"/>
    </xf>
    <xf numFmtId="0" fontId="19" fillId="0" borderId="0" xfId="8" applyFont="1" applyFill="1" applyBorder="1" applyAlignment="1">
      <alignment horizontal="center" vertical="top" wrapText="1"/>
    </xf>
    <xf numFmtId="0" fontId="19" fillId="0" borderId="0" xfId="8" applyFont="1" applyFill="1" applyBorder="1" applyAlignment="1">
      <alignment horizontal="center" vertical="center" wrapText="1"/>
    </xf>
    <xf numFmtId="170" fontId="18" fillId="0" borderId="4" xfId="9" applyNumberFormat="1" applyFont="1" applyFill="1" applyBorder="1" applyAlignment="1">
      <alignment horizontal="center" vertical="center" wrapText="1"/>
    </xf>
    <xf numFmtId="167" fontId="19" fillId="0" borderId="4" xfId="9" applyNumberFormat="1" applyFont="1" applyFill="1" applyBorder="1" applyAlignment="1">
      <alignment horizontal="center" vertical="center" wrapText="1"/>
    </xf>
    <xf numFmtId="167" fontId="19" fillId="0" borderId="5" xfId="9" applyNumberFormat="1" applyFont="1" applyFill="1" applyBorder="1" applyAlignment="1">
      <alignment vertical="center" wrapText="1"/>
    </xf>
    <xf numFmtId="0" fontId="19" fillId="0" borderId="5" xfId="1250" applyFont="1" applyFill="1" applyBorder="1" applyAlignment="1">
      <alignment vertical="center" wrapText="1"/>
    </xf>
    <xf numFmtId="0" fontId="19" fillId="0" borderId="5" xfId="1250" applyFont="1" applyFill="1" applyBorder="1" applyAlignment="1">
      <alignment horizontal="center" vertical="center" wrapText="1"/>
    </xf>
    <xf numFmtId="175" fontId="19" fillId="0" borderId="5" xfId="1250" applyNumberFormat="1" applyFont="1" applyFill="1" applyBorder="1" applyAlignment="1">
      <alignment horizontal="center" vertical="center" wrapText="1"/>
    </xf>
    <xf numFmtId="2" fontId="19" fillId="0" borderId="5" xfId="1250" applyNumberFormat="1" applyFont="1" applyFill="1" applyBorder="1" applyAlignment="1">
      <alignment horizontal="center" vertical="center" wrapText="1"/>
    </xf>
    <xf numFmtId="0" fontId="19" fillId="0" borderId="5" xfId="8" applyFont="1" applyFill="1" applyBorder="1" applyAlignment="1">
      <alignment vertical="center" wrapText="1"/>
    </xf>
    <xf numFmtId="0" fontId="19" fillId="0" borderId="5" xfId="8" applyFont="1" applyFill="1" applyBorder="1" applyAlignment="1">
      <alignment horizontal="center" vertical="center" wrapText="1"/>
    </xf>
    <xf numFmtId="175" fontId="19" fillId="0" borderId="5" xfId="8" applyNumberFormat="1" applyFont="1" applyFill="1" applyBorder="1" applyAlignment="1">
      <alignment horizontal="center" vertical="center" wrapText="1"/>
    </xf>
    <xf numFmtId="2" fontId="19" fillId="0" borderId="5" xfId="8" applyNumberFormat="1" applyFont="1" applyFill="1" applyBorder="1" applyAlignment="1">
      <alignment horizontal="center" vertical="center" wrapText="1"/>
    </xf>
    <xf numFmtId="167" fontId="19" fillId="0" borderId="0" xfId="5" applyNumberFormat="1" applyFont="1" applyFill="1" applyBorder="1" applyAlignment="1">
      <alignment horizontal="center" vertical="center" wrapText="1"/>
    </xf>
    <xf numFmtId="0" fontId="19" fillId="0" borderId="5" xfId="7" applyFont="1" applyFill="1" applyBorder="1" applyAlignment="1">
      <alignment vertical="center" wrapText="1"/>
    </xf>
    <xf numFmtId="0" fontId="19" fillId="0" borderId="5" xfId="7" applyFont="1" applyFill="1" applyBorder="1" applyAlignment="1">
      <alignment horizontal="center" vertical="center" wrapText="1"/>
    </xf>
    <xf numFmtId="175" fontId="19" fillId="0" borderId="5" xfId="7" applyNumberFormat="1" applyFont="1" applyFill="1" applyBorder="1" applyAlignment="1">
      <alignment horizontal="center" vertical="center" wrapText="1"/>
    </xf>
    <xf numFmtId="167" fontId="19" fillId="0" borderId="6" xfId="7" applyNumberFormat="1" applyFont="1" applyFill="1" applyBorder="1" applyAlignment="1">
      <alignment horizontal="center" vertical="center" wrapText="1"/>
    </xf>
    <xf numFmtId="0" fontId="19" fillId="0" borderId="5" xfId="1" applyNumberFormat="1" applyFont="1" applyFill="1" applyBorder="1" applyAlignment="1">
      <alignment vertical="center" wrapText="1"/>
    </xf>
    <xf numFmtId="167" fontId="158" fillId="0" borderId="0" xfId="0" applyNumberFormat="1" applyFont="1" applyFill="1"/>
    <xf numFmtId="167" fontId="18" fillId="0" borderId="5" xfId="5" applyFont="1" applyFill="1" applyBorder="1" applyAlignment="1">
      <alignment vertical="center" wrapText="1"/>
    </xf>
    <xf numFmtId="168" fontId="19" fillId="0" borderId="11" xfId="5" applyNumberFormat="1" applyFont="1" applyFill="1" applyBorder="1" applyAlignment="1">
      <alignment horizontal="center" vertical="center" wrapText="1"/>
    </xf>
    <xf numFmtId="175" fontId="19" fillId="0" borderId="11" xfId="5" applyNumberFormat="1" applyFont="1" applyFill="1" applyBorder="1" applyAlignment="1">
      <alignment horizontal="center" vertical="center" wrapText="1"/>
    </xf>
    <xf numFmtId="175" fontId="18" fillId="0" borderId="11" xfId="5" applyNumberFormat="1" applyFont="1" applyFill="1" applyBorder="1" applyAlignment="1">
      <alignment horizontal="center" vertical="center" wrapText="1"/>
    </xf>
    <xf numFmtId="2" fontId="18" fillId="0" borderId="11" xfId="5" applyNumberFormat="1" applyFont="1" applyFill="1" applyBorder="1" applyAlignment="1">
      <alignment horizontal="center" vertical="center" wrapText="1"/>
    </xf>
    <xf numFmtId="167" fontId="18" fillId="0" borderId="12" xfId="5" applyNumberFormat="1" applyFont="1" applyFill="1" applyBorder="1" applyAlignment="1">
      <alignment horizontal="center" vertical="center" wrapText="1"/>
    </xf>
    <xf numFmtId="167" fontId="19" fillId="0" borderId="0" xfId="5" applyFont="1" applyFill="1" applyBorder="1" applyAlignment="1">
      <alignment vertical="center" wrapText="1"/>
    </xf>
    <xf numFmtId="168" fontId="19" fillId="0" borderId="0" xfId="5" applyNumberFormat="1" applyFont="1" applyFill="1" applyBorder="1" applyAlignment="1">
      <alignment horizontal="center" vertical="center" wrapText="1"/>
    </xf>
    <xf numFmtId="175" fontId="19" fillId="0" borderId="0" xfId="5" applyNumberFormat="1" applyFont="1" applyFill="1" applyBorder="1" applyAlignment="1">
      <alignment horizontal="center" vertical="center" wrapText="1"/>
    </xf>
    <xf numFmtId="175" fontId="18" fillId="0" borderId="0" xfId="5" applyNumberFormat="1" applyFont="1" applyFill="1" applyBorder="1" applyAlignment="1">
      <alignment horizontal="center" vertical="center" wrapText="1"/>
    </xf>
    <xf numFmtId="2" fontId="18" fillId="0" borderId="0" xfId="5" applyNumberFormat="1" applyFont="1" applyFill="1" applyBorder="1" applyAlignment="1">
      <alignment horizontal="center" vertical="center" wrapText="1"/>
    </xf>
    <xf numFmtId="167" fontId="18" fillId="0" borderId="0" xfId="5" applyNumberFormat="1" applyFont="1" applyFill="1" applyBorder="1" applyAlignment="1">
      <alignment horizontal="center" vertical="center" wrapText="1"/>
    </xf>
    <xf numFmtId="0" fontId="18" fillId="0" borderId="0" xfId="1" applyNumberFormat="1" applyFont="1" applyFill="1" applyBorder="1" applyAlignment="1">
      <alignment vertical="center" wrapText="1"/>
    </xf>
    <xf numFmtId="0" fontId="19" fillId="0" borderId="4" xfId="1016" applyNumberFormat="1" applyFont="1" applyFill="1" applyBorder="1" applyAlignment="1">
      <alignment horizontal="center" vertical="center" wrapText="1"/>
    </xf>
    <xf numFmtId="167" fontId="19" fillId="0" borderId="6" xfId="1016" applyNumberFormat="1" applyFont="1" applyFill="1" applyBorder="1" applyAlignment="1">
      <alignment horizontal="center" vertical="center" wrapText="1"/>
    </xf>
    <xf numFmtId="0" fontId="18" fillId="0" borderId="4" xfId="1016" applyNumberFormat="1" applyFont="1" applyFill="1" applyBorder="1" applyAlignment="1">
      <alignment horizontal="center" vertical="center" wrapText="1"/>
    </xf>
    <xf numFmtId="174" fontId="19" fillId="0" borderId="5" xfId="1016" applyNumberFormat="1" applyFont="1" applyFill="1" applyBorder="1" applyAlignment="1">
      <alignment horizontal="center" vertical="center" wrapText="1"/>
    </xf>
    <xf numFmtId="175" fontId="19" fillId="0" borderId="0" xfId="1" applyNumberFormat="1" applyFont="1" applyFill="1" applyBorder="1" applyAlignment="1">
      <alignment horizontal="center" vertical="top" wrapText="1"/>
    </xf>
    <xf numFmtId="2" fontId="159" fillId="0" borderId="5" xfId="1016" applyNumberFormat="1" applyFont="1" applyFill="1" applyBorder="1" applyAlignment="1">
      <alignment horizontal="center" vertical="center" wrapText="1"/>
    </xf>
    <xf numFmtId="0" fontId="19" fillId="0" borderId="0" xfId="1016" applyNumberFormat="1" applyFont="1" applyFill="1" applyBorder="1" applyAlignment="1">
      <alignment vertical="center" wrapText="1"/>
    </xf>
    <xf numFmtId="2" fontId="19" fillId="0" borderId="26" xfId="18" applyNumberFormat="1" applyFont="1" applyFill="1" applyBorder="1" applyAlignment="1">
      <alignment vertical="top" wrapText="1"/>
    </xf>
    <xf numFmtId="2" fontId="18" fillId="0" borderId="5" xfId="1" applyNumberFormat="1" applyFont="1" applyFill="1" applyBorder="1" applyAlignment="1">
      <alignment horizontal="center" vertical="center" wrapText="1"/>
    </xf>
    <xf numFmtId="167" fontId="18" fillId="0" borderId="6" xfId="1" applyNumberFormat="1" applyFont="1" applyFill="1" applyBorder="1" applyAlignment="1">
      <alignment horizontal="center" vertical="center" wrapText="1"/>
    </xf>
    <xf numFmtId="0" fontId="160" fillId="0" borderId="5" xfId="1016" applyNumberFormat="1" applyFont="1" applyFill="1" applyBorder="1" applyAlignment="1">
      <alignment vertical="center" wrapText="1"/>
    </xf>
    <xf numFmtId="2" fontId="19" fillId="0" borderId="5" xfId="18" applyNumberFormat="1" applyFont="1" applyFill="1" applyBorder="1" applyAlignment="1">
      <alignment vertical="top" wrapText="1"/>
    </xf>
    <xf numFmtId="0" fontId="19" fillId="0" borderId="5" xfId="1016" applyNumberFormat="1" applyFont="1" applyFill="1" applyBorder="1" applyAlignment="1">
      <alignment horizontal="left" vertical="center" wrapText="1"/>
    </xf>
    <xf numFmtId="175" fontId="18" fillId="0" borderId="5" xfId="1" applyNumberFormat="1" applyFont="1" applyFill="1" applyBorder="1" applyAlignment="1">
      <alignment horizontal="center" vertical="center" wrapText="1"/>
    </xf>
    <xf numFmtId="0" fontId="18" fillId="0" borderId="5" xfId="1016" applyNumberFormat="1" applyFont="1" applyFill="1" applyBorder="1" applyAlignment="1">
      <alignment horizontal="center" vertical="center" wrapText="1"/>
    </xf>
    <xf numFmtId="175" fontId="18" fillId="0" borderId="5" xfId="1016" applyNumberFormat="1" applyFont="1" applyFill="1" applyBorder="1" applyAlignment="1">
      <alignment horizontal="center" vertical="center" wrapText="1"/>
    </xf>
    <xf numFmtId="2" fontId="18" fillId="0" borderId="5" xfId="1016" applyNumberFormat="1" applyFont="1" applyFill="1" applyBorder="1" applyAlignment="1">
      <alignment horizontal="center" vertical="center" wrapText="1"/>
    </xf>
    <xf numFmtId="167" fontId="18" fillId="0" borderId="6" xfId="1016" applyNumberFormat="1" applyFont="1" applyFill="1" applyBorder="1" applyAlignment="1">
      <alignment horizontal="center" vertical="center" wrapText="1"/>
    </xf>
    <xf numFmtId="0" fontId="18" fillId="0" borderId="0" xfId="1" applyNumberFormat="1" applyFont="1" applyFill="1" applyBorder="1" applyAlignment="1">
      <alignment horizontal="center" vertical="top" wrapText="1"/>
    </xf>
    <xf numFmtId="2" fontId="19" fillId="0" borderId="0" xfId="1016" applyNumberFormat="1" applyFont="1" applyFill="1" applyBorder="1" applyAlignment="1">
      <alignment horizontal="center" vertical="center" wrapText="1"/>
    </xf>
    <xf numFmtId="2" fontId="19" fillId="0" borderId="0" xfId="5" applyNumberFormat="1" applyFont="1" applyFill="1" applyBorder="1" applyAlignment="1">
      <alignment horizontal="center" vertical="center" wrapText="1"/>
    </xf>
    <xf numFmtId="0" fontId="19" fillId="0" borderId="5" xfId="1" applyNumberFormat="1" applyFont="1" applyFill="1" applyBorder="1" applyAlignment="1">
      <alignment horizontal="left" vertical="center" wrapText="1"/>
    </xf>
    <xf numFmtId="0" fontId="18" fillId="0" borderId="5" xfId="1" applyNumberFormat="1" applyFont="1" applyFill="1" applyBorder="1" applyAlignment="1">
      <alignment horizontal="left" vertical="center" wrapText="1"/>
    </xf>
    <xf numFmtId="175" fontId="18" fillId="0" borderId="5" xfId="1" applyNumberFormat="1" applyFont="1" applyFill="1" applyBorder="1" applyAlignment="1">
      <alignment horizontal="left" vertical="center" wrapText="1"/>
    </xf>
    <xf numFmtId="167" fontId="18" fillId="0" borderId="5" xfId="1" applyFont="1" applyFill="1" applyBorder="1" applyAlignment="1">
      <alignment horizontal="left" vertical="center"/>
    </xf>
    <xf numFmtId="175" fontId="19" fillId="0" borderId="5" xfId="1" applyNumberFormat="1" applyFont="1" applyFill="1" applyBorder="1" applyAlignment="1">
      <alignment horizontal="center" vertical="center"/>
    </xf>
    <xf numFmtId="171" fontId="19" fillId="0" borderId="6" xfId="1" applyNumberFormat="1" applyFont="1" applyFill="1" applyBorder="1" applyAlignment="1">
      <alignment horizontal="center" vertical="center" wrapText="1"/>
    </xf>
    <xf numFmtId="167" fontId="19" fillId="0" borderId="5" xfId="1" applyFont="1" applyFill="1" applyBorder="1" applyAlignment="1">
      <alignment horizontal="left" vertical="center"/>
    </xf>
    <xf numFmtId="171" fontId="18" fillId="0" borderId="6" xfId="1" applyNumberFormat="1" applyFont="1" applyFill="1" applyBorder="1" applyAlignment="1">
      <alignment horizontal="center" vertical="center" wrapText="1"/>
    </xf>
    <xf numFmtId="175" fontId="19" fillId="0" borderId="5" xfId="1" applyNumberFormat="1" applyFont="1" applyFill="1" applyBorder="1" applyAlignment="1">
      <alignment horizontal="right" vertical="center"/>
    </xf>
    <xf numFmtId="167" fontId="19" fillId="0" borderId="5" xfId="1" applyFont="1" applyFill="1" applyBorder="1" applyAlignment="1">
      <alignment horizontal="right" vertical="center"/>
    </xf>
    <xf numFmtId="2" fontId="19" fillId="0" borderId="5" xfId="1" applyNumberFormat="1" applyFont="1" applyFill="1" applyBorder="1" applyAlignment="1">
      <alignment horizontal="center" vertical="center"/>
    </xf>
    <xf numFmtId="167" fontId="19" fillId="0" borderId="5" xfId="15" applyNumberFormat="1" applyFont="1" applyFill="1" applyBorder="1" applyAlignment="1">
      <alignment horizontal="left" vertical="center" wrapText="1"/>
    </xf>
    <xf numFmtId="0" fontId="19" fillId="0" borderId="5" xfId="1019" applyNumberFormat="1" applyFont="1" applyFill="1" applyBorder="1" applyAlignment="1">
      <alignment horizontal="center" vertical="center" wrapText="1"/>
    </xf>
    <xf numFmtId="175" fontId="19" fillId="0" borderId="5" xfId="1019" applyNumberFormat="1" applyFont="1" applyFill="1" applyBorder="1" applyAlignment="1">
      <alignment horizontal="center" vertical="center" wrapText="1"/>
    </xf>
    <xf numFmtId="2" fontId="19" fillId="0" borderId="5" xfId="1019" applyNumberFormat="1" applyFont="1" applyFill="1" applyBorder="1" applyAlignment="1">
      <alignment horizontal="center" vertical="center" wrapText="1"/>
    </xf>
    <xf numFmtId="167" fontId="19" fillId="0" borderId="0" xfId="1" applyFont="1" applyFill="1"/>
    <xf numFmtId="167" fontId="19" fillId="0" borderId="4" xfId="1" applyFont="1" applyFill="1" applyBorder="1" applyAlignment="1">
      <alignment horizontal="center" vertical="center"/>
    </xf>
    <xf numFmtId="167" fontId="19" fillId="0" borderId="6" xfId="11" applyNumberFormat="1" applyFont="1" applyFill="1" applyBorder="1" applyAlignment="1">
      <alignment horizontal="center" vertical="center"/>
    </xf>
    <xf numFmtId="167" fontId="19" fillId="0" borderId="0" xfId="1" applyFont="1" applyFill="1" applyAlignment="1">
      <alignment vertical="top"/>
    </xf>
    <xf numFmtId="168" fontId="18" fillId="0" borderId="5" xfId="1" applyNumberFormat="1" applyFont="1" applyFill="1" applyBorder="1" applyAlignment="1">
      <alignment horizontal="center" vertical="center"/>
    </xf>
    <xf numFmtId="175" fontId="18" fillId="0" borderId="5" xfId="1" applyNumberFormat="1" applyFont="1" applyFill="1" applyBorder="1" applyAlignment="1">
      <alignment horizontal="center" vertical="center"/>
    </xf>
    <xf numFmtId="167" fontId="18" fillId="0" borderId="6" xfId="11" applyNumberFormat="1" applyFont="1" applyFill="1" applyBorder="1" applyAlignment="1">
      <alignment horizontal="center" vertical="center"/>
    </xf>
    <xf numFmtId="169" fontId="18" fillId="0" borderId="4" xfId="1" applyNumberFormat="1" applyFont="1" applyFill="1" applyBorder="1" applyAlignment="1">
      <alignment horizontal="center" vertical="center" wrapText="1"/>
    </xf>
    <xf numFmtId="167" fontId="19" fillId="0" borderId="5" xfId="1" applyNumberFormat="1" applyFont="1" applyFill="1" applyBorder="1" applyAlignment="1">
      <alignment vertical="center" wrapText="1"/>
    </xf>
    <xf numFmtId="167" fontId="18" fillId="0" borderId="5" xfId="1" applyNumberFormat="1" applyFont="1" applyFill="1" applyBorder="1" applyAlignment="1">
      <alignment vertical="center" wrapText="1"/>
    </xf>
    <xf numFmtId="0" fontId="18" fillId="0" borderId="5" xfId="1" applyNumberFormat="1" applyFont="1" applyFill="1" applyBorder="1" applyAlignment="1">
      <alignment horizontal="justify" vertical="center" wrapText="1"/>
    </xf>
    <xf numFmtId="175" fontId="18" fillId="0" borderId="5" xfId="1" applyNumberFormat="1" applyFont="1" applyFill="1" applyBorder="1" applyAlignment="1">
      <alignment horizontal="justify" vertical="center" wrapText="1"/>
    </xf>
    <xf numFmtId="175" fontId="18" fillId="0" borderId="5" xfId="1016" applyNumberFormat="1" applyFont="1" applyFill="1" applyBorder="1" applyAlignment="1">
      <alignment vertical="center" wrapText="1"/>
    </xf>
    <xf numFmtId="167" fontId="19" fillId="0" borderId="4" xfId="15" applyNumberFormat="1" applyFont="1" applyFill="1" applyBorder="1" applyAlignment="1">
      <alignment horizontal="center" vertical="center" wrapText="1"/>
    </xf>
    <xf numFmtId="2" fontId="19" fillId="0" borderId="5" xfId="1019" applyNumberFormat="1" applyFont="1" applyFill="1" applyBorder="1" applyAlignment="1">
      <alignment horizontal="justify" vertical="center" wrapText="1"/>
    </xf>
    <xf numFmtId="0" fontId="19" fillId="0" borderId="4" xfId="1" applyNumberFormat="1" applyFont="1" applyFill="1" applyBorder="1" applyAlignment="1">
      <alignment vertical="center" wrapText="1"/>
    </xf>
    <xf numFmtId="167" fontId="161" fillId="0" borderId="5" xfId="1" applyFont="1" applyFill="1" applyBorder="1" applyAlignment="1">
      <alignment vertical="center" wrapText="1"/>
    </xf>
    <xf numFmtId="168" fontId="19" fillId="0" borderId="5" xfId="12" applyNumberFormat="1" applyFont="1" applyFill="1" applyBorder="1" applyAlignment="1">
      <alignment horizontal="center" vertical="center" wrapText="1"/>
    </xf>
    <xf numFmtId="175" fontId="19" fillId="0" borderId="5" xfId="12" applyNumberFormat="1" applyFont="1" applyFill="1" applyBorder="1" applyAlignment="1">
      <alignment horizontal="right" vertical="center" wrapText="1"/>
    </xf>
    <xf numFmtId="2" fontId="19" fillId="0" borderId="5" xfId="1" applyNumberFormat="1" applyFont="1" applyFill="1" applyBorder="1" applyAlignment="1">
      <alignment horizontal="right" vertical="center"/>
    </xf>
    <xf numFmtId="0" fontId="19" fillId="0" borderId="5" xfId="13" applyNumberFormat="1" applyFont="1" applyFill="1" applyBorder="1" applyAlignment="1">
      <alignment horizontal="center" vertical="center" wrapText="1"/>
    </xf>
    <xf numFmtId="175" fontId="19" fillId="0" borderId="5" xfId="14" applyNumberFormat="1" applyFont="1" applyFill="1" applyBorder="1" applyAlignment="1">
      <alignment horizontal="right" vertical="center" wrapText="1"/>
    </xf>
    <xf numFmtId="2" fontId="19" fillId="0" borderId="5" xfId="2" applyNumberFormat="1" applyFont="1" applyFill="1" applyBorder="1" applyAlignment="1">
      <alignment vertical="center" wrapText="1"/>
    </xf>
    <xf numFmtId="167" fontId="18" fillId="0" borderId="0" xfId="1" applyNumberFormat="1" applyFont="1" applyFill="1" applyBorder="1" applyAlignment="1">
      <alignment horizontal="center" vertical="center" wrapText="1"/>
    </xf>
    <xf numFmtId="167" fontId="19" fillId="0" borderId="0" xfId="1" applyNumberFormat="1" applyFont="1" applyFill="1" applyBorder="1" applyAlignment="1">
      <alignment horizontal="center" vertical="top" wrapText="1"/>
    </xf>
    <xf numFmtId="167" fontId="162" fillId="0" borderId="5" xfId="1" applyFont="1" applyFill="1" applyBorder="1" applyAlignment="1">
      <alignment vertical="center" wrapText="1"/>
    </xf>
    <xf numFmtId="167" fontId="163" fillId="0" borderId="5" xfId="1" applyFont="1" applyFill="1" applyBorder="1" applyAlignment="1">
      <alignment vertical="center" wrapText="1"/>
    </xf>
    <xf numFmtId="167" fontId="19" fillId="0" borderId="5" xfId="12" applyNumberFormat="1" applyFont="1" applyFill="1" applyBorder="1" applyAlignment="1">
      <alignment horizontal="right" vertical="center" wrapText="1"/>
    </xf>
    <xf numFmtId="175" fontId="19" fillId="0" borderId="5" xfId="1" applyNumberFormat="1" applyFont="1" applyFill="1" applyBorder="1"/>
    <xf numFmtId="169" fontId="19" fillId="0" borderId="4" xfId="1" applyNumberFormat="1" applyFont="1" applyFill="1" applyBorder="1" applyAlignment="1">
      <alignment horizontal="center" vertical="center" wrapText="1"/>
    </xf>
    <xf numFmtId="0" fontId="20" fillId="0" borderId="5" xfId="1" applyNumberFormat="1" applyFont="1" applyFill="1" applyBorder="1" applyAlignment="1">
      <alignment vertical="center" wrapText="1"/>
    </xf>
    <xf numFmtId="167" fontId="18" fillId="0" borderId="5" xfId="1" applyFont="1" applyFill="1" applyBorder="1" applyAlignment="1">
      <alignment vertical="center"/>
    </xf>
    <xf numFmtId="0" fontId="18" fillId="0" borderId="5" xfId="0" applyFont="1" applyFill="1" applyBorder="1" applyAlignment="1">
      <alignment horizontal="left" vertical="center" wrapText="1"/>
    </xf>
    <xf numFmtId="177" fontId="19" fillId="0" borderId="5" xfId="0" applyNumberFormat="1" applyFont="1" applyFill="1" applyBorder="1" applyAlignment="1">
      <alignment horizontal="center" vertical="center" wrapText="1"/>
    </xf>
    <xf numFmtId="0" fontId="19" fillId="0" borderId="5" xfId="0" applyFont="1" applyFill="1" applyBorder="1" applyAlignment="1">
      <alignment horizontal="left" vertical="center" wrapText="1"/>
    </xf>
    <xf numFmtId="176" fontId="19" fillId="0" borderId="5" xfId="0" applyNumberFormat="1" applyFont="1" applyFill="1" applyBorder="1" applyAlignment="1">
      <alignment horizontal="center" vertical="center" wrapText="1"/>
    </xf>
    <xf numFmtId="0" fontId="19" fillId="0" borderId="5" xfId="0" applyFont="1" applyFill="1" applyBorder="1" applyAlignment="1">
      <alignment horizontal="center" vertical="center" wrapText="1"/>
    </xf>
    <xf numFmtId="0" fontId="19" fillId="0" borderId="5" xfId="0" applyFont="1" applyFill="1" applyBorder="1" applyAlignment="1">
      <alignment horizontal="center" vertical="center"/>
    </xf>
    <xf numFmtId="0" fontId="19" fillId="0" borderId="5" xfId="0" applyFont="1" applyFill="1" applyBorder="1" applyAlignment="1">
      <alignment vertical="center"/>
    </xf>
    <xf numFmtId="177" fontId="19" fillId="0" borderId="5" xfId="0" applyNumberFormat="1" applyFont="1" applyFill="1" applyBorder="1" applyAlignment="1">
      <alignment horizontal="center" wrapText="1"/>
    </xf>
    <xf numFmtId="2" fontId="18" fillId="0" borderId="5" xfId="2" applyNumberFormat="1" applyFont="1" applyFill="1" applyBorder="1" applyAlignment="1">
      <alignment vertical="center" wrapText="1"/>
    </xf>
    <xf numFmtId="169" fontId="19" fillId="0" borderId="4" xfId="2" applyNumberFormat="1" applyFont="1" applyFill="1" applyBorder="1" applyAlignment="1">
      <alignment horizontal="center" vertical="center" wrapText="1"/>
    </xf>
    <xf numFmtId="0" fontId="19" fillId="0" borderId="0" xfId="1" applyNumberFormat="1" applyFont="1" applyFill="1" applyAlignment="1">
      <alignment horizontal="center" vertical="center" wrapText="1"/>
    </xf>
    <xf numFmtId="0" fontId="19" fillId="0" borderId="0" xfId="1" applyNumberFormat="1" applyFont="1" applyFill="1" applyAlignment="1">
      <alignment horizontal="left" vertical="top"/>
    </xf>
    <xf numFmtId="167" fontId="19" fillId="0" borderId="0" xfId="5" applyFont="1" applyFill="1" applyAlignment="1">
      <alignment horizontal="center" vertical="center" wrapText="1"/>
    </xf>
    <xf numFmtId="167" fontId="19" fillId="0" borderId="0" xfId="5" applyFont="1" applyFill="1" applyAlignment="1">
      <alignment horizontal="left" vertical="top"/>
    </xf>
    <xf numFmtId="167" fontId="19" fillId="0" borderId="0" xfId="5" applyFont="1" applyFill="1" applyAlignment="1">
      <alignment horizontal="left" vertical="center"/>
    </xf>
    <xf numFmtId="0" fontId="18" fillId="0" borderId="5" xfId="1016" applyNumberFormat="1" applyFont="1" applyFill="1" applyBorder="1" applyAlignment="1">
      <alignment horizontal="left" vertical="center" wrapText="1"/>
    </xf>
    <xf numFmtId="0" fontId="18" fillId="0" borderId="8" xfId="1" applyNumberFormat="1" applyFont="1" applyFill="1" applyBorder="1" applyAlignment="1">
      <alignment vertical="center" wrapText="1"/>
    </xf>
    <xf numFmtId="0" fontId="18" fillId="0" borderId="9" xfId="1" applyNumberFormat="1" applyFont="1" applyFill="1" applyBorder="1" applyAlignment="1">
      <alignment vertical="center" wrapText="1"/>
    </xf>
    <xf numFmtId="0" fontId="18" fillId="0" borderId="5" xfId="1" applyNumberFormat="1" applyFont="1" applyFill="1" applyBorder="1" applyAlignment="1">
      <alignment horizontal="center" vertical="center" wrapText="1"/>
    </xf>
    <xf numFmtId="2" fontId="19" fillId="0" borderId="0" xfId="2" applyNumberFormat="1" applyFont="1" applyFill="1" applyBorder="1" applyAlignment="1">
      <alignment horizontal="justify" vertical="center" wrapText="1"/>
    </xf>
    <xf numFmtId="167" fontId="18" fillId="0" borderId="0" xfId="5" applyFont="1" applyFill="1" applyBorder="1" applyAlignment="1">
      <alignment horizontal="center" vertical="center" wrapText="1"/>
    </xf>
    <xf numFmtId="0" fontId="19" fillId="0" borderId="4" xfId="10" applyFont="1" applyFill="1" applyBorder="1" applyAlignment="1">
      <alignment horizontal="center" vertical="center" wrapText="1"/>
    </xf>
    <xf numFmtId="167" fontId="19" fillId="0" borderId="6" xfId="10" applyNumberFormat="1" applyFont="1" applyFill="1" applyBorder="1" applyAlignment="1">
      <alignment horizontal="center" vertical="center" wrapText="1"/>
    </xf>
    <xf numFmtId="0" fontId="18" fillId="0" borderId="0" xfId="10" applyFont="1" applyFill="1" applyBorder="1" applyAlignment="1">
      <alignment horizontal="center" vertical="center" wrapText="1"/>
    </xf>
    <xf numFmtId="167" fontId="19" fillId="0" borderId="0" xfId="1" applyFont="1" applyFill="1" applyBorder="1" applyAlignment="1">
      <alignment horizontal="center" vertical="top" wrapText="1"/>
    </xf>
    <xf numFmtId="167" fontId="19" fillId="0" borderId="5" xfId="5" applyFont="1" applyFill="1" applyBorder="1" applyAlignment="1">
      <alignment horizontal="center" vertical="center" wrapText="1"/>
    </xf>
    <xf numFmtId="0" fontId="19" fillId="0" borderId="5" xfId="10" applyFont="1" applyFill="1" applyBorder="1" applyAlignment="1">
      <alignment vertical="center" wrapText="1"/>
    </xf>
    <xf numFmtId="0" fontId="19" fillId="0" borderId="5" xfId="10" applyFont="1" applyFill="1" applyBorder="1" applyAlignment="1">
      <alignment horizontal="center" vertical="center" wrapText="1"/>
    </xf>
    <xf numFmtId="175" fontId="19" fillId="0" borderId="5" xfId="10" applyNumberFormat="1" applyFont="1" applyFill="1" applyBorder="1" applyAlignment="1">
      <alignment horizontal="center" vertical="center" wrapText="1"/>
    </xf>
    <xf numFmtId="168" fontId="19" fillId="0" borderId="4" xfId="1" applyNumberFormat="1" applyFont="1" applyFill="1" applyBorder="1" applyAlignment="1">
      <alignment horizontal="center" vertical="center"/>
    </xf>
    <xf numFmtId="167" fontId="19" fillId="0" borderId="6" xfId="1" applyNumberFormat="1" applyFont="1" applyFill="1" applyBorder="1" applyAlignment="1">
      <alignment horizontal="center" vertical="center"/>
    </xf>
    <xf numFmtId="167" fontId="18" fillId="0" borderId="6" xfId="1" applyNumberFormat="1" applyFont="1" applyFill="1" applyBorder="1" applyAlignment="1">
      <alignment horizontal="center" vertical="center"/>
    </xf>
    <xf numFmtId="167" fontId="19" fillId="0" borderId="5" xfId="1" applyFont="1" applyFill="1" applyBorder="1" applyAlignment="1">
      <alignment horizontal="justify" vertical="center" wrapText="1"/>
    </xf>
    <xf numFmtId="170" fontId="18" fillId="0" borderId="4" xfId="1" applyNumberFormat="1" applyFont="1" applyFill="1" applyBorder="1" applyAlignment="1">
      <alignment horizontal="center" vertical="center"/>
    </xf>
    <xf numFmtId="167" fontId="18" fillId="0" borderId="5" xfId="15" applyNumberFormat="1" applyFont="1" applyFill="1" applyBorder="1" applyAlignment="1">
      <alignment horizontal="left" vertical="center" wrapText="1"/>
    </xf>
    <xf numFmtId="168" fontId="18" fillId="0" borderId="5" xfId="15" applyNumberFormat="1" applyFont="1" applyFill="1" applyBorder="1" applyAlignment="1">
      <alignment horizontal="center" vertical="center" wrapText="1"/>
    </xf>
    <xf numFmtId="168" fontId="19" fillId="0" borderId="5" xfId="15" applyNumberFormat="1" applyFont="1" applyFill="1" applyBorder="1" applyAlignment="1">
      <alignment horizontal="center" vertical="center" wrapText="1"/>
    </xf>
    <xf numFmtId="176" fontId="8" fillId="0" borderId="5" xfId="1" applyNumberFormat="1" applyFont="1" applyFill="1" applyBorder="1" applyAlignment="1">
      <alignment horizontal="center" vertical="center" wrapText="1"/>
    </xf>
    <xf numFmtId="167" fontId="18" fillId="0" borderId="5" xfId="1" applyFont="1" applyFill="1" applyBorder="1" applyAlignment="1">
      <alignment horizontal="justify" vertical="center" wrapText="1"/>
    </xf>
    <xf numFmtId="167" fontId="164" fillId="0" borderId="5" xfId="1" applyFont="1" applyFill="1" applyBorder="1" applyAlignment="1">
      <alignment horizontal="center" vertical="center"/>
    </xf>
    <xf numFmtId="167" fontId="164" fillId="0" borderId="5" xfId="1" applyFont="1" applyFill="1" applyBorder="1" applyAlignment="1">
      <alignment horizontal="left" vertical="center" wrapText="1"/>
    </xf>
    <xf numFmtId="186" fontId="19" fillId="0" borderId="0" xfId="1" applyNumberFormat="1" applyFont="1" applyFill="1" applyBorder="1" applyAlignment="1">
      <alignment horizontal="center" vertical="center" wrapText="1"/>
    </xf>
    <xf numFmtId="167" fontId="19" fillId="0" borderId="6" xfId="1016" applyNumberFormat="1" applyFont="1" applyFill="1" applyBorder="1" applyAlignment="1">
      <alignment vertical="center" wrapText="1"/>
    </xf>
    <xf numFmtId="0" fontId="18" fillId="0" borderId="40" xfId="1" applyNumberFormat="1" applyFont="1" applyFill="1" applyBorder="1" applyAlignment="1">
      <alignment horizontal="center" vertical="center" wrapText="1"/>
    </xf>
    <xf numFmtId="0" fontId="18" fillId="0" borderId="41" xfId="1" applyNumberFormat="1" applyFont="1" applyFill="1" applyBorder="1" applyAlignment="1">
      <alignment horizontal="center" vertical="center" wrapText="1"/>
    </xf>
    <xf numFmtId="175" fontId="18" fillId="0" borderId="41" xfId="1" applyNumberFormat="1" applyFont="1" applyFill="1" applyBorder="1" applyAlignment="1">
      <alignment horizontal="center" vertical="center" wrapText="1"/>
    </xf>
    <xf numFmtId="2" fontId="18" fillId="0" borderId="41" xfId="1" applyNumberFormat="1" applyFont="1" applyFill="1" applyBorder="1" applyAlignment="1">
      <alignment horizontal="center" vertical="center" wrapText="1"/>
    </xf>
    <xf numFmtId="167" fontId="18" fillId="0" borderId="42" xfId="1" applyNumberFormat="1" applyFont="1" applyFill="1" applyBorder="1" applyAlignment="1">
      <alignment horizontal="center" vertical="center" wrapText="1"/>
    </xf>
    <xf numFmtId="0" fontId="19" fillId="0" borderId="10" xfId="10" applyFont="1" applyFill="1" applyBorder="1" applyAlignment="1">
      <alignment horizontal="center" vertical="center" wrapText="1"/>
    </xf>
    <xf numFmtId="0" fontId="19" fillId="0" borderId="11" xfId="10" applyFont="1" applyFill="1" applyBorder="1" applyAlignment="1">
      <alignment vertical="center" wrapText="1"/>
    </xf>
    <xf numFmtId="0" fontId="19" fillId="0" borderId="11" xfId="10" applyFont="1" applyFill="1" applyBorder="1" applyAlignment="1">
      <alignment horizontal="center" vertical="center" wrapText="1"/>
    </xf>
    <xf numFmtId="175" fontId="19" fillId="0" borderId="11" xfId="10" applyNumberFormat="1" applyFont="1" applyFill="1" applyBorder="1" applyAlignment="1">
      <alignment horizontal="center" vertical="center" wrapText="1"/>
    </xf>
    <xf numFmtId="167" fontId="19" fillId="0" borderId="3" xfId="1" applyNumberFormat="1" applyFont="1" applyFill="1" applyBorder="1" applyAlignment="1">
      <alignment horizontal="center" vertical="center" wrapText="1"/>
    </xf>
    <xf numFmtId="167" fontId="19" fillId="0" borderId="10" xfId="5" applyFont="1" applyFill="1" applyBorder="1" applyAlignment="1">
      <alignment vertical="center" wrapText="1"/>
    </xf>
    <xf numFmtId="167" fontId="19" fillId="0" borderId="11" xfId="5" applyFont="1" applyFill="1" applyBorder="1" applyAlignment="1">
      <alignment horizontal="center" vertical="center" wrapText="1"/>
    </xf>
    <xf numFmtId="0" fontId="18" fillId="0" borderId="72" xfId="1" applyNumberFormat="1" applyFont="1" applyFill="1" applyBorder="1" applyAlignment="1">
      <alignment horizontal="center" vertical="center" wrapText="1"/>
    </xf>
    <xf numFmtId="0" fontId="18" fillId="0" borderId="73" xfId="1" applyNumberFormat="1" applyFont="1" applyFill="1" applyBorder="1" applyAlignment="1">
      <alignment horizontal="center" vertical="center" wrapText="1"/>
    </xf>
    <xf numFmtId="175" fontId="18" fillId="0" borderId="73" xfId="1" applyNumberFormat="1" applyFont="1" applyFill="1" applyBorder="1" applyAlignment="1">
      <alignment horizontal="center" vertical="center" wrapText="1"/>
    </xf>
    <xf numFmtId="2" fontId="18" fillId="0" borderId="73" xfId="1" applyNumberFormat="1" applyFont="1" applyFill="1" applyBorder="1" applyAlignment="1">
      <alignment horizontal="center" vertical="center" wrapText="1"/>
    </xf>
    <xf numFmtId="167" fontId="18" fillId="0" borderId="74" xfId="1" applyNumberFormat="1" applyFont="1" applyFill="1" applyBorder="1" applyAlignment="1">
      <alignment horizontal="center" vertical="center" wrapText="1"/>
    </xf>
    <xf numFmtId="0" fontId="155" fillId="0" borderId="5" xfId="1" applyNumberFormat="1" applyFont="1" applyFill="1" applyBorder="1" applyAlignment="1">
      <alignment horizontal="center" vertical="top" wrapText="1"/>
    </xf>
    <xf numFmtId="0" fontId="155" fillId="0" borderId="5" xfId="1" applyNumberFormat="1" applyFont="1" applyFill="1" applyBorder="1" applyAlignment="1">
      <alignment horizontal="left" vertical="top" wrapText="1"/>
    </xf>
    <xf numFmtId="176" fontId="155" fillId="0" borderId="5" xfId="1" applyNumberFormat="1" applyFont="1" applyFill="1" applyBorder="1" applyAlignment="1">
      <alignment horizontal="center" vertical="top" wrapText="1"/>
    </xf>
    <xf numFmtId="0" fontId="156" fillId="0" borderId="0" xfId="0" applyFont="1" applyAlignment="1">
      <alignment vertical="top"/>
    </xf>
    <xf numFmtId="0" fontId="156" fillId="0" borderId="0" xfId="0" applyFont="1" applyAlignment="1">
      <alignment vertical="center"/>
    </xf>
    <xf numFmtId="0" fontId="165" fillId="0" borderId="0" xfId="0" applyFont="1"/>
    <xf numFmtId="176" fontId="152" fillId="0" borderId="5" xfId="1" applyNumberFormat="1" applyFont="1" applyFill="1" applyBorder="1" applyAlignment="1">
      <alignment vertical="center" wrapText="1"/>
    </xf>
    <xf numFmtId="176" fontId="152" fillId="0" borderId="5" xfId="1" quotePrefix="1" applyNumberFormat="1" applyFont="1" applyFill="1" applyBorder="1" applyAlignment="1">
      <alignment vertical="center" wrapText="1"/>
    </xf>
    <xf numFmtId="176" fontId="152" fillId="0" borderId="26" xfId="1" applyNumberFormat="1" applyFont="1" applyFill="1" applyBorder="1" applyAlignment="1">
      <alignment horizontal="center" vertical="center" wrapText="1"/>
    </xf>
    <xf numFmtId="176" fontId="165" fillId="0" borderId="0" xfId="0" applyNumberFormat="1" applyFont="1"/>
    <xf numFmtId="167" fontId="8" fillId="0" borderId="0" xfId="1" applyNumberFormat="1" applyFont="1" applyFill="1" applyAlignment="1">
      <alignment horizontal="left" vertical="center" wrapText="1"/>
    </xf>
    <xf numFmtId="0" fontId="7" fillId="0" borderId="0" xfId="1" applyNumberFormat="1" applyFont="1" applyFill="1" applyAlignment="1">
      <alignment horizontal="left" wrapText="1"/>
    </xf>
    <xf numFmtId="0" fontId="8" fillId="0" borderId="0" xfId="1" applyNumberFormat="1" applyFont="1" applyFill="1" applyBorder="1" applyAlignment="1">
      <alignment horizontal="center" vertical="center" wrapText="1"/>
    </xf>
    <xf numFmtId="167" fontId="8" fillId="0" borderId="0" xfId="1" applyNumberFormat="1" applyFont="1" applyFill="1" applyAlignment="1">
      <alignment horizontal="center" vertical="center" wrapText="1"/>
    </xf>
    <xf numFmtId="167" fontId="8" fillId="0" borderId="0" xfId="1" applyNumberFormat="1" applyFont="1" applyFill="1" applyAlignment="1">
      <alignment horizontal="center" vertical="center"/>
    </xf>
    <xf numFmtId="0" fontId="60" fillId="0" borderId="0" xfId="1" applyNumberFormat="1" applyFont="1" applyFill="1" applyAlignment="1">
      <alignment horizontal="left" vertical="top" wrapText="1"/>
    </xf>
    <xf numFmtId="0" fontId="61" fillId="0" borderId="0" xfId="1" applyNumberFormat="1" applyFont="1" applyFill="1" applyAlignment="1">
      <alignment horizontal="left" vertical="top" wrapText="1"/>
    </xf>
    <xf numFmtId="0" fontId="8" fillId="0" borderId="0" xfId="1" applyNumberFormat="1" applyFont="1" applyFill="1" applyAlignment="1">
      <alignment horizontal="center" vertical="top" wrapText="1"/>
    </xf>
    <xf numFmtId="167" fontId="2" fillId="0" borderId="0" xfId="1" applyBorder="1" applyAlignment="1">
      <alignment horizontal="left" vertical="top"/>
    </xf>
    <xf numFmtId="167" fontId="2" fillId="0" borderId="13" xfId="1" applyBorder="1" applyAlignment="1">
      <alignment horizontal="left" vertical="top"/>
    </xf>
    <xf numFmtId="167" fontId="2" fillId="0" borderId="58" xfId="1" applyBorder="1" applyAlignment="1">
      <alignment horizontal="left" vertical="top"/>
    </xf>
    <xf numFmtId="167" fontId="69" fillId="0" borderId="0" xfId="1" applyFont="1" applyBorder="1" applyAlignment="1">
      <alignment horizontal="center" wrapText="1"/>
    </xf>
    <xf numFmtId="167" fontId="76" fillId="0" borderId="0" xfId="1" applyFont="1" applyBorder="1" applyAlignment="1">
      <alignment horizontal="center" vertical="center"/>
    </xf>
    <xf numFmtId="2" fontId="76" fillId="0" borderId="0" xfId="1" applyNumberFormat="1" applyFont="1" applyBorder="1" applyAlignment="1">
      <alignment horizontal="center"/>
    </xf>
    <xf numFmtId="167" fontId="2" fillId="0" borderId="0" xfId="1" applyFont="1" applyAlignment="1">
      <alignment horizontal="left" vertical="top" wrapText="1"/>
    </xf>
    <xf numFmtId="167" fontId="2" fillId="0" borderId="53" xfId="1" applyBorder="1" applyAlignment="1">
      <alignment horizontal="left" vertical="top"/>
    </xf>
    <xf numFmtId="167" fontId="2" fillId="0" borderId="0" xfId="1"/>
    <xf numFmtId="167" fontId="4" fillId="0" borderId="0" xfId="1" applyFont="1" applyAlignment="1">
      <alignment horizontal="center"/>
    </xf>
    <xf numFmtId="0" fontId="111" fillId="0" borderId="0" xfId="1" applyNumberFormat="1" applyFont="1" applyAlignment="1">
      <alignment horizontal="center" vertical="center" wrapText="1"/>
    </xf>
    <xf numFmtId="167" fontId="71" fillId="0" borderId="0" xfId="1" applyNumberFormat="1" applyFont="1" applyAlignment="1">
      <alignment horizontal="center"/>
    </xf>
    <xf numFmtId="167" fontId="58" fillId="0" borderId="0" xfId="1" applyNumberFormat="1" applyFont="1" applyAlignment="1">
      <alignment horizontal="center"/>
    </xf>
    <xf numFmtId="167" fontId="58" fillId="0" borderId="0" xfId="1" applyNumberFormat="1" applyFont="1" applyAlignment="1">
      <alignment horizontal="left"/>
    </xf>
    <xf numFmtId="167" fontId="2" fillId="0" borderId="0" xfId="1" applyBorder="1" applyAlignment="1">
      <alignment horizontal="center" vertical="top" wrapText="1"/>
    </xf>
    <xf numFmtId="167" fontId="67" fillId="0" borderId="0" xfId="1" applyFont="1" applyBorder="1" applyAlignment="1">
      <alignment horizontal="center" vertical="center"/>
    </xf>
    <xf numFmtId="167" fontId="72" fillId="0" borderId="0" xfId="1" applyFont="1" applyBorder="1" applyAlignment="1">
      <alignment horizontal="center" vertical="center" wrapText="1"/>
    </xf>
    <xf numFmtId="167" fontId="72" fillId="0" borderId="0" xfId="1" applyFont="1" applyBorder="1" applyAlignment="1">
      <alignment horizontal="center" vertical="top"/>
    </xf>
    <xf numFmtId="2" fontId="19" fillId="0" borderId="7" xfId="6" applyNumberFormat="1" applyFont="1" applyFill="1" applyBorder="1" applyAlignment="1">
      <alignment horizontal="justify" vertical="center" wrapText="1"/>
    </xf>
    <xf numFmtId="2" fontId="19" fillId="0" borderId="8" xfId="6" applyNumberFormat="1" applyFont="1" applyFill="1" applyBorder="1" applyAlignment="1">
      <alignment horizontal="justify" vertical="center" wrapText="1"/>
    </xf>
    <xf numFmtId="2" fontId="19" fillId="0" borderId="9" xfId="6" applyNumberFormat="1" applyFont="1" applyFill="1" applyBorder="1" applyAlignment="1">
      <alignment horizontal="justify" vertical="center" wrapText="1"/>
    </xf>
    <xf numFmtId="167" fontId="18" fillId="0" borderId="0" xfId="1" applyFont="1" applyFill="1" applyBorder="1" applyAlignment="1">
      <alignment horizontal="left" vertical="center"/>
    </xf>
    <xf numFmtId="167" fontId="19" fillId="0" borderId="20" xfId="1" applyFont="1" applyFill="1" applyBorder="1" applyAlignment="1">
      <alignment horizontal="left" vertical="center" wrapText="1"/>
    </xf>
    <xf numFmtId="167" fontId="19" fillId="0" borderId="21" xfId="1" applyFont="1" applyFill="1" applyBorder="1" applyAlignment="1">
      <alignment horizontal="left" vertical="center" wrapText="1"/>
    </xf>
    <xf numFmtId="167" fontId="19" fillId="0" borderId="22" xfId="1" applyFont="1" applyFill="1" applyBorder="1" applyAlignment="1">
      <alignment horizontal="left" vertical="center" wrapText="1"/>
    </xf>
    <xf numFmtId="2" fontId="19" fillId="0" borderId="7" xfId="2" applyNumberFormat="1" applyFont="1" applyFill="1" applyBorder="1" applyAlignment="1">
      <alignment horizontal="justify" vertical="center" wrapText="1"/>
    </xf>
    <xf numFmtId="2" fontId="19" fillId="0" borderId="8" xfId="2" applyNumberFormat="1" applyFont="1" applyFill="1" applyBorder="1" applyAlignment="1">
      <alignment horizontal="justify" vertical="center" wrapText="1"/>
    </xf>
    <xf numFmtId="2" fontId="19" fillId="0" borderId="9" xfId="2" applyNumberFormat="1" applyFont="1" applyFill="1" applyBorder="1" applyAlignment="1">
      <alignment horizontal="justify" vertical="center" wrapText="1"/>
    </xf>
    <xf numFmtId="0" fontId="18" fillId="0" borderId="0" xfId="1" applyNumberFormat="1" applyFont="1" applyFill="1" applyBorder="1" applyAlignment="1">
      <alignment horizontal="center" vertical="center" wrapText="1"/>
    </xf>
    <xf numFmtId="0" fontId="20" fillId="0" borderId="0" xfId="1" applyNumberFormat="1" applyFont="1" applyFill="1" applyBorder="1" applyAlignment="1">
      <alignment horizontal="left" vertical="center"/>
    </xf>
    <xf numFmtId="0" fontId="18" fillId="0" borderId="0" xfId="1" applyNumberFormat="1" applyFont="1" applyFill="1" applyBorder="1" applyAlignment="1">
      <alignment horizontal="justify" vertical="center" wrapText="1"/>
    </xf>
    <xf numFmtId="0" fontId="18" fillId="0" borderId="0" xfId="1" applyNumberFormat="1" applyFont="1" applyFill="1" applyBorder="1" applyAlignment="1">
      <alignment horizontal="center" vertical="center"/>
    </xf>
    <xf numFmtId="0" fontId="18" fillId="0" borderId="14" xfId="1" applyNumberFormat="1" applyFont="1" applyFill="1" applyBorder="1" applyAlignment="1">
      <alignment horizontal="center" vertical="center" wrapText="1"/>
    </xf>
    <xf numFmtId="167" fontId="19" fillId="0" borderId="17" xfId="1" applyFont="1" applyFill="1" applyBorder="1" applyAlignment="1">
      <alignment horizontal="center" vertical="center"/>
    </xf>
    <xf numFmtId="0" fontId="18" fillId="0" borderId="15" xfId="1" applyNumberFormat="1" applyFont="1" applyFill="1" applyBorder="1" applyAlignment="1">
      <alignment horizontal="center" vertical="center"/>
    </xf>
    <xf numFmtId="0" fontId="18" fillId="0" borderId="11" xfId="1" applyNumberFormat="1" applyFont="1" applyFill="1" applyBorder="1" applyAlignment="1">
      <alignment horizontal="center" vertical="center"/>
    </xf>
    <xf numFmtId="1" fontId="18" fillId="0" borderId="15" xfId="1" applyNumberFormat="1" applyFont="1" applyFill="1" applyBorder="1" applyAlignment="1">
      <alignment horizontal="center" vertical="center"/>
    </xf>
    <xf numFmtId="1" fontId="18" fillId="0" borderId="11" xfId="1" applyNumberFormat="1" applyFont="1" applyFill="1" applyBorder="1" applyAlignment="1">
      <alignment horizontal="center" vertical="center"/>
    </xf>
    <xf numFmtId="0" fontId="18" fillId="0" borderId="16" xfId="1" applyNumberFormat="1" applyFont="1" applyFill="1" applyBorder="1" applyAlignment="1">
      <alignment horizontal="center" vertical="center"/>
    </xf>
    <xf numFmtId="0" fontId="18" fillId="0" borderId="18" xfId="1" applyNumberFormat="1" applyFont="1" applyFill="1" applyBorder="1" applyAlignment="1">
      <alignment horizontal="center" vertical="center"/>
    </xf>
    <xf numFmtId="0" fontId="15" fillId="0" borderId="0" xfId="1" applyNumberFormat="1" applyFont="1" applyAlignment="1">
      <alignment horizontal="center" vertical="center" wrapText="1"/>
    </xf>
    <xf numFmtId="0" fontId="16" fillId="0" borderId="0" xfId="1" applyNumberFormat="1" applyFont="1" applyAlignment="1">
      <alignment horizontal="center"/>
    </xf>
    <xf numFmtId="2" fontId="16" fillId="0" borderId="0" xfId="1" applyNumberFormat="1" applyFont="1" applyAlignment="1">
      <alignment horizontal="center"/>
    </xf>
    <xf numFmtId="0" fontId="16" fillId="0" borderId="0" xfId="1" applyNumberFormat="1" applyFont="1" applyAlignment="1">
      <alignment horizontal="center" vertical="center"/>
    </xf>
    <xf numFmtId="2" fontId="12" fillId="4" borderId="13" xfId="1" applyNumberFormat="1" applyFont="1" applyFill="1" applyBorder="1" applyAlignment="1">
      <alignment horizontal="center" vertical="center"/>
    </xf>
    <xf numFmtId="167" fontId="12" fillId="4" borderId="13" xfId="1" applyFont="1" applyFill="1" applyBorder="1" applyAlignment="1">
      <alignment horizontal="center" vertical="center"/>
    </xf>
    <xf numFmtId="0" fontId="13" fillId="0" borderId="0" xfId="1" applyNumberFormat="1" applyFont="1" applyBorder="1" applyAlignment="1">
      <alignment horizontal="center" vertical="center" wrapText="1"/>
    </xf>
    <xf numFmtId="0" fontId="13" fillId="0" borderId="0" xfId="1" applyNumberFormat="1" applyFont="1" applyBorder="1" applyAlignment="1">
      <alignment horizontal="center" vertical="center"/>
    </xf>
    <xf numFmtId="0" fontId="13" fillId="0" borderId="0" xfId="1" applyNumberFormat="1" applyFont="1" applyBorder="1" applyAlignment="1">
      <alignment horizontal="center"/>
    </xf>
    <xf numFmtId="0" fontId="13" fillId="0" borderId="13" xfId="1" applyNumberFormat="1" applyFont="1" applyBorder="1" applyAlignment="1">
      <alignment horizontal="center" vertical="center" wrapText="1"/>
    </xf>
    <xf numFmtId="0" fontId="13" fillId="0" borderId="13" xfId="1" applyNumberFormat="1" applyFont="1" applyBorder="1" applyAlignment="1">
      <alignment horizontal="center" vertical="center"/>
    </xf>
    <xf numFmtId="1" fontId="13" fillId="0" borderId="13" xfId="1" applyNumberFormat="1" applyFont="1" applyBorder="1" applyAlignment="1">
      <alignment horizontal="center" vertical="center"/>
    </xf>
    <xf numFmtId="0" fontId="9" fillId="0" borderId="0" xfId="1" applyNumberFormat="1" applyFont="1" applyFill="1" applyBorder="1" applyAlignment="1">
      <alignment horizontal="center" vertical="center" wrapText="1"/>
    </xf>
    <xf numFmtId="0" fontId="8" fillId="0" borderId="7" xfId="1" applyNumberFormat="1" applyFont="1" applyFill="1" applyBorder="1" applyAlignment="1">
      <alignment horizontal="center" vertical="center" wrapText="1"/>
    </xf>
    <xf numFmtId="0" fontId="8" fillId="0" borderId="8" xfId="1" applyNumberFormat="1" applyFont="1" applyFill="1" applyBorder="1" applyAlignment="1">
      <alignment horizontal="center" vertical="center" wrapText="1"/>
    </xf>
    <xf numFmtId="0" fontId="8" fillId="0" borderId="5" xfId="1" applyNumberFormat="1" applyFont="1" applyFill="1" applyBorder="1" applyAlignment="1">
      <alignment horizontal="center" vertical="center" wrapText="1"/>
    </xf>
    <xf numFmtId="0" fontId="26" fillId="0" borderId="7" xfId="1251" applyFont="1" applyBorder="1" applyAlignment="1">
      <alignment horizontal="center" vertical="center"/>
    </xf>
    <xf numFmtId="0" fontId="26" fillId="0" borderId="8" xfId="1251" applyFont="1" applyBorder="1" applyAlignment="1">
      <alignment horizontal="center" vertical="center"/>
    </xf>
    <xf numFmtId="0" fontId="26" fillId="0" borderId="9" xfId="1251" applyFont="1" applyBorder="1" applyAlignment="1">
      <alignment horizontal="center" vertical="center"/>
    </xf>
    <xf numFmtId="0" fontId="26" fillId="0" borderId="5" xfId="1251" applyFont="1" applyBorder="1" applyAlignment="1">
      <alignment horizontal="center" vertical="center"/>
    </xf>
    <xf numFmtId="0" fontId="26" fillId="0" borderId="7" xfId="1251" applyFont="1" applyFill="1" applyBorder="1" applyAlignment="1">
      <alignment horizontal="center" vertical="center" wrapText="1"/>
    </xf>
    <xf numFmtId="0" fontId="26" fillId="0" borderId="9" xfId="1251" applyFont="1" applyFill="1" applyBorder="1" applyAlignment="1">
      <alignment horizontal="center" vertical="center" wrapText="1"/>
    </xf>
    <xf numFmtId="0" fontId="18" fillId="0" borderId="5" xfId="1" applyNumberFormat="1" applyFont="1" applyFill="1" applyBorder="1" applyAlignment="1">
      <alignment horizontal="justify" vertical="center" wrapText="1"/>
    </xf>
    <xf numFmtId="0" fontId="18" fillId="0" borderId="5" xfId="1" applyNumberFormat="1" applyFont="1" applyFill="1" applyBorder="1" applyAlignment="1">
      <alignment horizontal="justify" vertical="top" wrapText="1"/>
    </xf>
    <xf numFmtId="167" fontId="18" fillId="0" borderId="5" xfId="1" applyFont="1" applyFill="1" applyBorder="1" applyAlignment="1">
      <alignment horizontal="justify" vertical="center" wrapText="1"/>
    </xf>
    <xf numFmtId="0" fontId="18" fillId="0" borderId="5" xfId="1" applyNumberFormat="1" applyFont="1" applyFill="1" applyBorder="1" applyAlignment="1">
      <alignment horizontal="justify" vertical="justify" wrapText="1"/>
    </xf>
    <xf numFmtId="0" fontId="18" fillId="0" borderId="5" xfId="1" applyNumberFormat="1" applyFont="1" applyFill="1" applyBorder="1" applyAlignment="1">
      <alignment horizontal="left" vertical="center" wrapText="1"/>
    </xf>
    <xf numFmtId="0" fontId="20" fillId="0" borderId="0" xfId="1" applyNumberFormat="1" applyFont="1" applyFill="1" applyBorder="1" applyAlignment="1">
      <alignment horizontal="center" vertical="center" wrapText="1"/>
    </xf>
    <xf numFmtId="0" fontId="18" fillId="0" borderId="41" xfId="1" applyNumberFormat="1" applyFont="1" applyFill="1" applyBorder="1" applyAlignment="1">
      <alignment horizontal="center" vertical="center" wrapText="1"/>
    </xf>
    <xf numFmtId="0" fontId="18" fillId="0" borderId="2" xfId="1" applyNumberFormat="1" applyFont="1" applyFill="1" applyBorder="1" applyAlignment="1">
      <alignment horizontal="justify" vertical="center" wrapText="1"/>
    </xf>
    <xf numFmtId="2" fontId="18" fillId="0" borderId="5" xfId="1" applyNumberFormat="1" applyFont="1" applyFill="1" applyBorder="1" applyAlignment="1">
      <alignment horizontal="center" vertical="center" wrapText="1"/>
    </xf>
    <xf numFmtId="167" fontId="18" fillId="0" borderId="0" xfId="5" applyFont="1" applyFill="1" applyBorder="1" applyAlignment="1">
      <alignment horizontal="center" vertical="center" wrapText="1"/>
    </xf>
    <xf numFmtId="0" fontId="18" fillId="0" borderId="7" xfId="1" applyNumberFormat="1" applyFont="1" applyFill="1" applyBorder="1" applyAlignment="1">
      <alignment horizontal="left" vertical="center" wrapText="1"/>
    </xf>
    <xf numFmtId="0" fontId="18" fillId="0" borderId="8" xfId="1" applyNumberFormat="1" applyFont="1" applyFill="1" applyBorder="1" applyAlignment="1">
      <alignment horizontal="left" vertical="center" wrapText="1"/>
    </xf>
    <xf numFmtId="0" fontId="18" fillId="0" borderId="9" xfId="1" applyNumberFormat="1" applyFont="1" applyFill="1" applyBorder="1" applyAlignment="1">
      <alignment horizontal="left" vertical="center" wrapText="1"/>
    </xf>
    <xf numFmtId="167" fontId="18" fillId="0" borderId="62" xfId="5" applyFont="1" applyFill="1" applyBorder="1" applyAlignment="1">
      <alignment horizontal="center" vertical="center" wrapText="1"/>
    </xf>
    <xf numFmtId="0" fontId="18" fillId="0" borderId="2" xfId="1" applyNumberFormat="1" applyFont="1" applyFill="1" applyBorder="1" applyAlignment="1">
      <alignment horizontal="center" vertical="center" wrapText="1"/>
    </xf>
  </cellXfs>
  <cellStyles count="1252">
    <cellStyle name="20% - Accent1 10" xfId="20"/>
    <cellStyle name="20% - Accent1 10 2" xfId="21"/>
    <cellStyle name="20% - Accent1 11" xfId="22"/>
    <cellStyle name="20% - Accent1 2" xfId="23"/>
    <cellStyle name="20% - Accent1 2 2" xfId="24"/>
    <cellStyle name="20% - Accent1 2 3" xfId="25"/>
    <cellStyle name="20% - Accent1 3" xfId="26"/>
    <cellStyle name="20% - Accent1 3 2" xfId="27"/>
    <cellStyle name="20% - Accent1 3 3" xfId="28"/>
    <cellStyle name="20% - Accent1 4" xfId="29"/>
    <cellStyle name="20% - Accent1 4 2" xfId="30"/>
    <cellStyle name="20% - Accent1 4 3" xfId="31"/>
    <cellStyle name="20% - Accent1 5" xfId="32"/>
    <cellStyle name="20% - Accent1 5 2" xfId="33"/>
    <cellStyle name="20% - Accent1 5 3" xfId="34"/>
    <cellStyle name="20% - Accent1 6" xfId="35"/>
    <cellStyle name="20% - Accent1 6 2" xfId="36"/>
    <cellStyle name="20% - Accent1 6 3" xfId="37"/>
    <cellStyle name="20% - Accent1 7" xfId="38"/>
    <cellStyle name="20% - Accent1 7 2" xfId="39"/>
    <cellStyle name="20% - Accent1 7 3" xfId="40"/>
    <cellStyle name="20% - Accent1 8" xfId="41"/>
    <cellStyle name="20% - Accent1 8 2" xfId="42"/>
    <cellStyle name="20% - Accent1 8 3" xfId="43"/>
    <cellStyle name="20% - Accent1 9" xfId="44"/>
    <cellStyle name="20% - Accent1 9 2" xfId="45"/>
    <cellStyle name="20% - Accent1 9 3" xfId="46"/>
    <cellStyle name="20% - Accent2 10" xfId="47"/>
    <cellStyle name="20% - Accent2 10 2" xfId="48"/>
    <cellStyle name="20% - Accent2 11" xfId="49"/>
    <cellStyle name="20% - Accent2 2" xfId="50"/>
    <cellStyle name="20% - Accent2 2 2" xfId="51"/>
    <cellStyle name="20% - Accent2 2 3" xfId="52"/>
    <cellStyle name="20% - Accent2 3" xfId="53"/>
    <cellStyle name="20% - Accent2 3 2" xfId="54"/>
    <cellStyle name="20% - Accent2 3 3" xfId="55"/>
    <cellStyle name="20% - Accent2 4" xfId="56"/>
    <cellStyle name="20% - Accent2 4 2" xfId="57"/>
    <cellStyle name="20% - Accent2 4 3" xfId="58"/>
    <cellStyle name="20% - Accent2 5" xfId="59"/>
    <cellStyle name="20% - Accent2 5 2" xfId="60"/>
    <cellStyle name="20% - Accent2 5 3" xfId="61"/>
    <cellStyle name="20% - Accent2 6" xfId="62"/>
    <cellStyle name="20% - Accent2 6 2" xfId="63"/>
    <cellStyle name="20% - Accent2 6 3" xfId="64"/>
    <cellStyle name="20% - Accent2 7" xfId="65"/>
    <cellStyle name="20% - Accent2 7 2" xfId="66"/>
    <cellStyle name="20% - Accent2 7 3" xfId="67"/>
    <cellStyle name="20% - Accent2 8" xfId="68"/>
    <cellStyle name="20% - Accent2 8 2" xfId="69"/>
    <cellStyle name="20% - Accent2 8 3" xfId="70"/>
    <cellStyle name="20% - Accent2 9" xfId="71"/>
    <cellStyle name="20% - Accent2 9 2" xfId="72"/>
    <cellStyle name="20% - Accent2 9 3" xfId="73"/>
    <cellStyle name="20% - Accent3 10" xfId="74"/>
    <cellStyle name="20% - Accent3 10 2" xfId="75"/>
    <cellStyle name="20% - Accent3 11" xfId="76"/>
    <cellStyle name="20% - Accent3 2" xfId="77"/>
    <cellStyle name="20% - Accent3 2 2" xfId="78"/>
    <cellStyle name="20% - Accent3 2 3" xfId="79"/>
    <cellStyle name="20% - Accent3 3" xfId="80"/>
    <cellStyle name="20% - Accent3 3 2" xfId="81"/>
    <cellStyle name="20% - Accent3 3 3" xfId="82"/>
    <cellStyle name="20% - Accent3 4" xfId="83"/>
    <cellStyle name="20% - Accent3 4 2" xfId="84"/>
    <cellStyle name="20% - Accent3 4 3" xfId="85"/>
    <cellStyle name="20% - Accent3 5" xfId="86"/>
    <cellStyle name="20% - Accent3 5 2" xfId="87"/>
    <cellStyle name="20% - Accent3 5 3" xfId="88"/>
    <cellStyle name="20% - Accent3 6" xfId="89"/>
    <cellStyle name="20% - Accent3 6 2" xfId="90"/>
    <cellStyle name="20% - Accent3 6 3" xfId="91"/>
    <cellStyle name="20% - Accent3 7" xfId="92"/>
    <cellStyle name="20% - Accent3 7 2" xfId="93"/>
    <cellStyle name="20% - Accent3 7 3" xfId="94"/>
    <cellStyle name="20% - Accent3 8" xfId="95"/>
    <cellStyle name="20% - Accent3 8 2" xfId="96"/>
    <cellStyle name="20% - Accent3 8 3" xfId="97"/>
    <cellStyle name="20% - Accent3 9" xfId="98"/>
    <cellStyle name="20% - Accent3 9 2" xfId="99"/>
    <cellStyle name="20% - Accent3 9 3" xfId="100"/>
    <cellStyle name="20% - Accent4 10" xfId="101"/>
    <cellStyle name="20% - Accent4 10 2" xfId="102"/>
    <cellStyle name="20% - Accent4 11" xfId="103"/>
    <cellStyle name="20% - Accent4 2" xfId="104"/>
    <cellStyle name="20% - Accent4 2 2" xfId="105"/>
    <cellStyle name="20% - Accent4 2 3" xfId="106"/>
    <cellStyle name="20% - Accent4 3" xfId="107"/>
    <cellStyle name="20% - Accent4 3 2" xfId="108"/>
    <cellStyle name="20% - Accent4 3 3" xfId="109"/>
    <cellStyle name="20% - Accent4 4" xfId="110"/>
    <cellStyle name="20% - Accent4 4 2" xfId="111"/>
    <cellStyle name="20% - Accent4 4 3" xfId="112"/>
    <cellStyle name="20% - Accent4 5" xfId="113"/>
    <cellStyle name="20% - Accent4 5 2" xfId="114"/>
    <cellStyle name="20% - Accent4 5 3" xfId="115"/>
    <cellStyle name="20% - Accent4 6" xfId="116"/>
    <cellStyle name="20% - Accent4 6 2" xfId="117"/>
    <cellStyle name="20% - Accent4 6 3" xfId="118"/>
    <cellStyle name="20% - Accent4 7" xfId="119"/>
    <cellStyle name="20% - Accent4 7 2" xfId="120"/>
    <cellStyle name="20% - Accent4 7 3" xfId="121"/>
    <cellStyle name="20% - Accent4 8" xfId="122"/>
    <cellStyle name="20% - Accent4 8 2" xfId="123"/>
    <cellStyle name="20% - Accent4 8 3" xfId="124"/>
    <cellStyle name="20% - Accent4 9" xfId="125"/>
    <cellStyle name="20% - Accent4 9 2" xfId="126"/>
    <cellStyle name="20% - Accent4 9 3" xfId="127"/>
    <cellStyle name="20% - Accent5 10" xfId="128"/>
    <cellStyle name="20% - Accent5 10 2" xfId="129"/>
    <cellStyle name="20% - Accent5 11" xfId="130"/>
    <cellStyle name="20% - Accent5 2" xfId="131"/>
    <cellStyle name="20% - Accent5 2 2" xfId="132"/>
    <cellStyle name="20% - Accent5 2 3" xfId="133"/>
    <cellStyle name="20% - Accent5 3" xfId="134"/>
    <cellStyle name="20% - Accent5 3 2" xfId="135"/>
    <cellStyle name="20% - Accent5 3 3" xfId="136"/>
    <cellStyle name="20% - Accent5 4" xfId="137"/>
    <cellStyle name="20% - Accent5 4 2" xfId="138"/>
    <cellStyle name="20% - Accent5 4 3" xfId="139"/>
    <cellStyle name="20% - Accent5 5" xfId="140"/>
    <cellStyle name="20% - Accent5 5 2" xfId="141"/>
    <cellStyle name="20% - Accent5 5 3" xfId="142"/>
    <cellStyle name="20% - Accent5 6" xfId="143"/>
    <cellStyle name="20% - Accent5 6 2" xfId="144"/>
    <cellStyle name="20% - Accent5 6 3" xfId="145"/>
    <cellStyle name="20% - Accent5 7" xfId="146"/>
    <cellStyle name="20% - Accent5 7 2" xfId="147"/>
    <cellStyle name="20% - Accent5 7 3" xfId="148"/>
    <cellStyle name="20% - Accent5 8" xfId="149"/>
    <cellStyle name="20% - Accent5 8 2" xfId="150"/>
    <cellStyle name="20% - Accent5 8 3" xfId="151"/>
    <cellStyle name="20% - Accent5 9" xfId="152"/>
    <cellStyle name="20% - Accent5 9 2" xfId="153"/>
    <cellStyle name="20% - Accent5 9 3" xfId="154"/>
    <cellStyle name="20% - Accent6 10" xfId="155"/>
    <cellStyle name="20% - Accent6 10 2" xfId="156"/>
    <cellStyle name="20% - Accent6 11" xfId="157"/>
    <cellStyle name="20% - Accent6 2" xfId="158"/>
    <cellStyle name="20% - Accent6 2 2" xfId="159"/>
    <cellStyle name="20% - Accent6 2 3" xfId="160"/>
    <cellStyle name="20% - Accent6 3" xfId="161"/>
    <cellStyle name="20% - Accent6 3 2" xfId="162"/>
    <cellStyle name="20% - Accent6 3 3" xfId="163"/>
    <cellStyle name="20% - Accent6 4" xfId="164"/>
    <cellStyle name="20% - Accent6 4 2" xfId="165"/>
    <cellStyle name="20% - Accent6 4 3" xfId="166"/>
    <cellStyle name="20% - Accent6 5" xfId="167"/>
    <cellStyle name="20% - Accent6 5 2" xfId="168"/>
    <cellStyle name="20% - Accent6 5 3" xfId="169"/>
    <cellStyle name="20% - Accent6 6" xfId="170"/>
    <cellStyle name="20% - Accent6 6 2" xfId="171"/>
    <cellStyle name="20% - Accent6 6 3" xfId="172"/>
    <cellStyle name="20% - Accent6 7" xfId="173"/>
    <cellStyle name="20% - Accent6 7 2" xfId="174"/>
    <cellStyle name="20% - Accent6 7 3" xfId="175"/>
    <cellStyle name="20% - Accent6 8" xfId="176"/>
    <cellStyle name="20% - Accent6 8 2" xfId="177"/>
    <cellStyle name="20% - Accent6 8 3" xfId="178"/>
    <cellStyle name="20% - Accent6 9" xfId="179"/>
    <cellStyle name="20% - Accent6 9 2" xfId="180"/>
    <cellStyle name="20% - Accent6 9 3" xfId="181"/>
    <cellStyle name="40% - Accent1 10" xfId="182"/>
    <cellStyle name="40% - Accent1 10 2" xfId="183"/>
    <cellStyle name="40% - Accent1 11" xfId="184"/>
    <cellStyle name="40% - Accent1 2" xfId="185"/>
    <cellStyle name="40% - Accent1 2 2" xfId="186"/>
    <cellStyle name="40% - Accent1 2 3" xfId="187"/>
    <cellStyle name="40% - Accent1 3" xfId="188"/>
    <cellStyle name="40% - Accent1 3 2" xfId="189"/>
    <cellStyle name="40% - Accent1 3 3" xfId="190"/>
    <cellStyle name="40% - Accent1 4" xfId="191"/>
    <cellStyle name="40% - Accent1 4 2" xfId="192"/>
    <cellStyle name="40% - Accent1 4 3" xfId="193"/>
    <cellStyle name="40% - Accent1 5" xfId="194"/>
    <cellStyle name="40% - Accent1 5 2" xfId="195"/>
    <cellStyle name="40% - Accent1 5 3" xfId="196"/>
    <cellStyle name="40% - Accent1 6" xfId="197"/>
    <cellStyle name="40% - Accent1 6 2" xfId="198"/>
    <cellStyle name="40% - Accent1 6 3" xfId="199"/>
    <cellStyle name="40% - Accent1 7" xfId="200"/>
    <cellStyle name="40% - Accent1 7 2" xfId="201"/>
    <cellStyle name="40% - Accent1 7 3" xfId="202"/>
    <cellStyle name="40% - Accent1 8" xfId="203"/>
    <cellStyle name="40% - Accent1 8 2" xfId="204"/>
    <cellStyle name="40% - Accent1 8 3" xfId="205"/>
    <cellStyle name="40% - Accent1 9" xfId="206"/>
    <cellStyle name="40% - Accent1 9 2" xfId="207"/>
    <cellStyle name="40% - Accent1 9 3" xfId="208"/>
    <cellStyle name="40% - Accent2 10" xfId="209"/>
    <cellStyle name="40% - Accent2 10 2" xfId="210"/>
    <cellStyle name="40% - Accent2 11" xfId="211"/>
    <cellStyle name="40% - Accent2 2" xfId="212"/>
    <cellStyle name="40% - Accent2 2 2" xfId="213"/>
    <cellStyle name="40% - Accent2 2 3" xfId="214"/>
    <cellStyle name="40% - Accent2 3" xfId="215"/>
    <cellStyle name="40% - Accent2 3 2" xfId="216"/>
    <cellStyle name="40% - Accent2 3 3" xfId="217"/>
    <cellStyle name="40% - Accent2 4" xfId="218"/>
    <cellStyle name="40% - Accent2 4 2" xfId="219"/>
    <cellStyle name="40% - Accent2 4 3" xfId="220"/>
    <cellStyle name="40% - Accent2 5" xfId="221"/>
    <cellStyle name="40% - Accent2 5 2" xfId="222"/>
    <cellStyle name="40% - Accent2 5 3" xfId="223"/>
    <cellStyle name="40% - Accent2 6" xfId="224"/>
    <cellStyle name="40% - Accent2 6 2" xfId="225"/>
    <cellStyle name="40% - Accent2 6 3" xfId="226"/>
    <cellStyle name="40% - Accent2 7" xfId="227"/>
    <cellStyle name="40% - Accent2 7 2" xfId="228"/>
    <cellStyle name="40% - Accent2 7 3" xfId="229"/>
    <cellStyle name="40% - Accent2 8" xfId="230"/>
    <cellStyle name="40% - Accent2 8 2" xfId="231"/>
    <cellStyle name="40% - Accent2 8 3" xfId="232"/>
    <cellStyle name="40% - Accent2 9" xfId="233"/>
    <cellStyle name="40% - Accent2 9 2" xfId="234"/>
    <cellStyle name="40% - Accent2 9 3" xfId="235"/>
    <cellStyle name="40% - Accent3 10" xfId="236"/>
    <cellStyle name="40% - Accent3 10 2" xfId="237"/>
    <cellStyle name="40% - Accent3 11" xfId="238"/>
    <cellStyle name="40% - Accent3 2" xfId="239"/>
    <cellStyle name="40% - Accent3 2 2" xfId="240"/>
    <cellStyle name="40% - Accent3 2 3" xfId="241"/>
    <cellStyle name="40% - Accent3 3" xfId="242"/>
    <cellStyle name="40% - Accent3 3 2" xfId="243"/>
    <cellStyle name="40% - Accent3 3 3" xfId="244"/>
    <cellStyle name="40% - Accent3 4" xfId="245"/>
    <cellStyle name="40% - Accent3 4 2" xfId="246"/>
    <cellStyle name="40% - Accent3 4 3" xfId="247"/>
    <cellStyle name="40% - Accent3 5" xfId="248"/>
    <cellStyle name="40% - Accent3 5 2" xfId="249"/>
    <cellStyle name="40% - Accent3 5 3" xfId="250"/>
    <cellStyle name="40% - Accent3 6" xfId="251"/>
    <cellStyle name="40% - Accent3 6 2" xfId="252"/>
    <cellStyle name="40% - Accent3 6 3" xfId="253"/>
    <cellStyle name="40% - Accent3 7" xfId="254"/>
    <cellStyle name="40% - Accent3 7 2" xfId="255"/>
    <cellStyle name="40% - Accent3 7 3" xfId="256"/>
    <cellStyle name="40% - Accent3 8" xfId="257"/>
    <cellStyle name="40% - Accent3 8 2" xfId="258"/>
    <cellStyle name="40% - Accent3 8 3" xfId="259"/>
    <cellStyle name="40% - Accent3 9" xfId="260"/>
    <cellStyle name="40% - Accent3 9 2" xfId="261"/>
    <cellStyle name="40% - Accent3 9 3" xfId="262"/>
    <cellStyle name="40% - Accent4 10" xfId="263"/>
    <cellStyle name="40% - Accent4 10 2" xfId="264"/>
    <cellStyle name="40% - Accent4 11" xfId="265"/>
    <cellStyle name="40% - Accent4 2" xfId="266"/>
    <cellStyle name="40% - Accent4 2 2" xfId="267"/>
    <cellStyle name="40% - Accent4 2 3" xfId="268"/>
    <cellStyle name="40% - Accent4 3" xfId="269"/>
    <cellStyle name="40% - Accent4 3 2" xfId="270"/>
    <cellStyle name="40% - Accent4 3 3" xfId="271"/>
    <cellStyle name="40% - Accent4 4" xfId="272"/>
    <cellStyle name="40% - Accent4 4 2" xfId="273"/>
    <cellStyle name="40% - Accent4 4 3" xfId="274"/>
    <cellStyle name="40% - Accent4 5" xfId="275"/>
    <cellStyle name="40% - Accent4 5 2" xfId="276"/>
    <cellStyle name="40% - Accent4 5 3" xfId="277"/>
    <cellStyle name="40% - Accent4 6" xfId="278"/>
    <cellStyle name="40% - Accent4 6 2" xfId="279"/>
    <cellStyle name="40% - Accent4 6 3" xfId="280"/>
    <cellStyle name="40% - Accent4 7" xfId="281"/>
    <cellStyle name="40% - Accent4 7 2" xfId="282"/>
    <cellStyle name="40% - Accent4 7 3" xfId="283"/>
    <cellStyle name="40% - Accent4 8" xfId="284"/>
    <cellStyle name="40% - Accent4 8 2" xfId="285"/>
    <cellStyle name="40% - Accent4 8 3" xfId="286"/>
    <cellStyle name="40% - Accent4 9" xfId="287"/>
    <cellStyle name="40% - Accent4 9 2" xfId="288"/>
    <cellStyle name="40% - Accent4 9 3" xfId="289"/>
    <cellStyle name="40% - Accent5 10" xfId="290"/>
    <cellStyle name="40% - Accent5 10 2" xfId="291"/>
    <cellStyle name="40% - Accent5 11" xfId="292"/>
    <cellStyle name="40% - Accent5 2" xfId="293"/>
    <cellStyle name="40% - Accent5 2 2" xfId="294"/>
    <cellStyle name="40% - Accent5 2 3" xfId="295"/>
    <cellStyle name="40% - Accent5 3" xfId="296"/>
    <cellStyle name="40% - Accent5 3 2" xfId="297"/>
    <cellStyle name="40% - Accent5 3 3" xfId="298"/>
    <cellStyle name="40% - Accent5 4" xfId="299"/>
    <cellStyle name="40% - Accent5 4 2" xfId="300"/>
    <cellStyle name="40% - Accent5 4 3" xfId="301"/>
    <cellStyle name="40% - Accent5 5" xfId="302"/>
    <cellStyle name="40% - Accent5 5 2" xfId="303"/>
    <cellStyle name="40% - Accent5 5 3" xfId="304"/>
    <cellStyle name="40% - Accent5 6" xfId="305"/>
    <cellStyle name="40% - Accent5 6 2" xfId="306"/>
    <cellStyle name="40% - Accent5 6 3" xfId="307"/>
    <cellStyle name="40% - Accent5 7" xfId="308"/>
    <cellStyle name="40% - Accent5 7 2" xfId="309"/>
    <cellStyle name="40% - Accent5 7 3" xfId="310"/>
    <cellStyle name="40% - Accent5 8" xfId="311"/>
    <cellStyle name="40% - Accent5 8 2" xfId="312"/>
    <cellStyle name="40% - Accent5 8 3" xfId="313"/>
    <cellStyle name="40% - Accent5 9" xfId="314"/>
    <cellStyle name="40% - Accent5 9 2" xfId="315"/>
    <cellStyle name="40% - Accent5 9 3" xfId="316"/>
    <cellStyle name="40% - Accent6 10" xfId="317"/>
    <cellStyle name="40% - Accent6 10 2" xfId="318"/>
    <cellStyle name="40% - Accent6 11" xfId="319"/>
    <cellStyle name="40% - Accent6 2" xfId="320"/>
    <cellStyle name="40% - Accent6 2 2" xfId="321"/>
    <cellStyle name="40% - Accent6 2 3" xfId="322"/>
    <cellStyle name="40% - Accent6 3" xfId="323"/>
    <cellStyle name="40% - Accent6 3 2" xfId="324"/>
    <cellStyle name="40% - Accent6 3 3" xfId="325"/>
    <cellStyle name="40% - Accent6 4" xfId="326"/>
    <cellStyle name="40% - Accent6 4 2" xfId="327"/>
    <cellStyle name="40% - Accent6 4 3" xfId="328"/>
    <cellStyle name="40% - Accent6 5" xfId="329"/>
    <cellStyle name="40% - Accent6 5 2" xfId="330"/>
    <cellStyle name="40% - Accent6 5 3" xfId="331"/>
    <cellStyle name="40% - Accent6 6" xfId="332"/>
    <cellStyle name="40% - Accent6 6 2" xfId="333"/>
    <cellStyle name="40% - Accent6 6 3" xfId="334"/>
    <cellStyle name="40% - Accent6 7" xfId="335"/>
    <cellStyle name="40% - Accent6 7 2" xfId="336"/>
    <cellStyle name="40% - Accent6 7 3" xfId="337"/>
    <cellStyle name="40% - Accent6 8" xfId="338"/>
    <cellStyle name="40% - Accent6 8 2" xfId="339"/>
    <cellStyle name="40% - Accent6 8 3" xfId="340"/>
    <cellStyle name="40% - Accent6 9" xfId="341"/>
    <cellStyle name="40% - Accent6 9 2" xfId="342"/>
    <cellStyle name="40% - Accent6 9 3" xfId="343"/>
    <cellStyle name="60% - Accent1 10" xfId="344"/>
    <cellStyle name="60% - Accent1 10 2" xfId="345"/>
    <cellStyle name="60% - Accent1 11" xfId="346"/>
    <cellStyle name="60% - Accent1 2" xfId="347"/>
    <cellStyle name="60% - Accent1 2 2" xfId="348"/>
    <cellStyle name="60% - Accent1 2 3" xfId="349"/>
    <cellStyle name="60% - Accent1 3" xfId="350"/>
    <cellStyle name="60% - Accent1 3 2" xfId="351"/>
    <cellStyle name="60% - Accent1 3 3" xfId="352"/>
    <cellStyle name="60% - Accent1 4" xfId="353"/>
    <cellStyle name="60% - Accent1 4 2" xfId="354"/>
    <cellStyle name="60% - Accent1 4 3" xfId="355"/>
    <cellStyle name="60% - Accent1 5" xfId="356"/>
    <cellStyle name="60% - Accent1 5 2" xfId="357"/>
    <cellStyle name="60% - Accent1 5 3" xfId="358"/>
    <cellStyle name="60% - Accent1 6" xfId="359"/>
    <cellStyle name="60% - Accent1 6 2" xfId="360"/>
    <cellStyle name="60% - Accent1 6 3" xfId="361"/>
    <cellStyle name="60% - Accent1 7" xfId="362"/>
    <cellStyle name="60% - Accent1 7 2" xfId="363"/>
    <cellStyle name="60% - Accent1 7 3" xfId="364"/>
    <cellStyle name="60% - Accent1 8" xfId="365"/>
    <cellStyle name="60% - Accent1 8 2" xfId="366"/>
    <cellStyle name="60% - Accent1 8 3" xfId="367"/>
    <cellStyle name="60% - Accent1 9" xfId="368"/>
    <cellStyle name="60% - Accent1 9 2" xfId="369"/>
    <cellStyle name="60% - Accent1 9 3" xfId="370"/>
    <cellStyle name="60% - Accent2 10" xfId="371"/>
    <cellStyle name="60% - Accent2 10 2" xfId="372"/>
    <cellStyle name="60% - Accent2 11" xfId="373"/>
    <cellStyle name="60% - Accent2 2" xfId="374"/>
    <cellStyle name="60% - Accent2 2 2" xfId="375"/>
    <cellStyle name="60% - Accent2 2 3" xfId="376"/>
    <cellStyle name="60% - Accent2 3" xfId="377"/>
    <cellStyle name="60% - Accent2 3 2" xfId="378"/>
    <cellStyle name="60% - Accent2 3 3" xfId="379"/>
    <cellStyle name="60% - Accent2 4" xfId="380"/>
    <cellStyle name="60% - Accent2 4 2" xfId="381"/>
    <cellStyle name="60% - Accent2 4 3" xfId="382"/>
    <cellStyle name="60% - Accent2 5" xfId="383"/>
    <cellStyle name="60% - Accent2 5 2" xfId="384"/>
    <cellStyle name="60% - Accent2 5 3" xfId="385"/>
    <cellStyle name="60% - Accent2 6" xfId="386"/>
    <cellStyle name="60% - Accent2 6 2" xfId="387"/>
    <cellStyle name="60% - Accent2 6 3" xfId="388"/>
    <cellStyle name="60% - Accent2 7" xfId="389"/>
    <cellStyle name="60% - Accent2 7 2" xfId="390"/>
    <cellStyle name="60% - Accent2 7 3" xfId="391"/>
    <cellStyle name="60% - Accent2 8" xfId="392"/>
    <cellStyle name="60% - Accent2 8 2" xfId="393"/>
    <cellStyle name="60% - Accent2 8 3" xfId="394"/>
    <cellStyle name="60% - Accent2 9" xfId="395"/>
    <cellStyle name="60% - Accent2 9 2" xfId="396"/>
    <cellStyle name="60% - Accent2 9 3" xfId="397"/>
    <cellStyle name="60% - Accent3 10" xfId="398"/>
    <cellStyle name="60% - Accent3 10 2" xfId="399"/>
    <cellStyle name="60% - Accent3 11" xfId="400"/>
    <cellStyle name="60% - Accent3 2" xfId="401"/>
    <cellStyle name="60% - Accent3 2 2" xfId="402"/>
    <cellStyle name="60% - Accent3 2 3" xfId="403"/>
    <cellStyle name="60% - Accent3 3" xfId="404"/>
    <cellStyle name="60% - Accent3 3 2" xfId="405"/>
    <cellStyle name="60% - Accent3 3 3" xfId="406"/>
    <cellStyle name="60% - Accent3 4" xfId="407"/>
    <cellStyle name="60% - Accent3 4 2" xfId="408"/>
    <cellStyle name="60% - Accent3 4 3" xfId="409"/>
    <cellStyle name="60% - Accent3 5" xfId="410"/>
    <cellStyle name="60% - Accent3 5 2" xfId="411"/>
    <cellStyle name="60% - Accent3 5 3" xfId="412"/>
    <cellStyle name="60% - Accent3 6" xfId="413"/>
    <cellStyle name="60% - Accent3 6 2" xfId="414"/>
    <cellStyle name="60% - Accent3 6 3" xfId="415"/>
    <cellStyle name="60% - Accent3 7" xfId="416"/>
    <cellStyle name="60% - Accent3 7 2" xfId="417"/>
    <cellStyle name="60% - Accent3 7 3" xfId="418"/>
    <cellStyle name="60% - Accent3 8" xfId="419"/>
    <cellStyle name="60% - Accent3 8 2" xfId="420"/>
    <cellStyle name="60% - Accent3 8 3" xfId="421"/>
    <cellStyle name="60% - Accent3 9" xfId="422"/>
    <cellStyle name="60% - Accent3 9 2" xfId="423"/>
    <cellStyle name="60% - Accent3 9 3" xfId="424"/>
    <cellStyle name="60% - Accent4 10" xfId="425"/>
    <cellStyle name="60% - Accent4 10 2" xfId="426"/>
    <cellStyle name="60% - Accent4 11" xfId="427"/>
    <cellStyle name="60% - Accent4 2" xfId="428"/>
    <cellStyle name="60% - Accent4 2 2" xfId="429"/>
    <cellStyle name="60% - Accent4 2 3" xfId="430"/>
    <cellStyle name="60% - Accent4 3" xfId="431"/>
    <cellStyle name="60% - Accent4 3 2" xfId="432"/>
    <cellStyle name="60% - Accent4 3 3" xfId="433"/>
    <cellStyle name="60% - Accent4 4" xfId="434"/>
    <cellStyle name="60% - Accent4 4 2" xfId="435"/>
    <cellStyle name="60% - Accent4 4 3" xfId="436"/>
    <cellStyle name="60% - Accent4 5" xfId="437"/>
    <cellStyle name="60% - Accent4 5 2" xfId="438"/>
    <cellStyle name="60% - Accent4 5 3" xfId="439"/>
    <cellStyle name="60% - Accent4 6" xfId="440"/>
    <cellStyle name="60% - Accent4 6 2" xfId="441"/>
    <cellStyle name="60% - Accent4 6 3" xfId="442"/>
    <cellStyle name="60% - Accent4 7" xfId="443"/>
    <cellStyle name="60% - Accent4 7 2" xfId="444"/>
    <cellStyle name="60% - Accent4 7 3" xfId="445"/>
    <cellStyle name="60% - Accent4 8" xfId="446"/>
    <cellStyle name="60% - Accent4 8 2" xfId="447"/>
    <cellStyle name="60% - Accent4 8 3" xfId="448"/>
    <cellStyle name="60% - Accent4 9" xfId="449"/>
    <cellStyle name="60% - Accent4 9 2" xfId="450"/>
    <cellStyle name="60% - Accent4 9 3" xfId="451"/>
    <cellStyle name="60% - Accent5 10" xfId="452"/>
    <cellStyle name="60% - Accent5 10 2" xfId="453"/>
    <cellStyle name="60% - Accent5 11" xfId="454"/>
    <cellStyle name="60% - Accent5 2" xfId="455"/>
    <cellStyle name="60% - Accent5 2 2" xfId="456"/>
    <cellStyle name="60% - Accent5 2 3" xfId="457"/>
    <cellStyle name="60% - Accent5 3" xfId="458"/>
    <cellStyle name="60% - Accent5 3 2" xfId="459"/>
    <cellStyle name="60% - Accent5 3 3" xfId="460"/>
    <cellStyle name="60% - Accent5 4" xfId="461"/>
    <cellStyle name="60% - Accent5 4 2" xfId="462"/>
    <cellStyle name="60% - Accent5 4 3" xfId="463"/>
    <cellStyle name="60% - Accent5 5" xfId="464"/>
    <cellStyle name="60% - Accent5 5 2" xfId="465"/>
    <cellStyle name="60% - Accent5 5 3" xfId="466"/>
    <cellStyle name="60% - Accent5 6" xfId="467"/>
    <cellStyle name="60% - Accent5 6 2" xfId="468"/>
    <cellStyle name="60% - Accent5 6 3" xfId="469"/>
    <cellStyle name="60% - Accent5 7" xfId="470"/>
    <cellStyle name="60% - Accent5 7 2" xfId="471"/>
    <cellStyle name="60% - Accent5 7 3" xfId="472"/>
    <cellStyle name="60% - Accent5 8" xfId="473"/>
    <cellStyle name="60% - Accent5 8 2" xfId="474"/>
    <cellStyle name="60% - Accent5 8 3" xfId="475"/>
    <cellStyle name="60% - Accent5 9" xfId="476"/>
    <cellStyle name="60% - Accent5 9 2" xfId="477"/>
    <cellStyle name="60% - Accent5 9 3" xfId="478"/>
    <cellStyle name="60% - Accent6 10" xfId="479"/>
    <cellStyle name="60% - Accent6 10 2" xfId="480"/>
    <cellStyle name="60% - Accent6 11" xfId="481"/>
    <cellStyle name="60% - Accent6 2" xfId="482"/>
    <cellStyle name="60% - Accent6 2 2" xfId="483"/>
    <cellStyle name="60% - Accent6 2 3" xfId="484"/>
    <cellStyle name="60% - Accent6 3" xfId="485"/>
    <cellStyle name="60% - Accent6 3 2" xfId="486"/>
    <cellStyle name="60% - Accent6 3 3" xfId="487"/>
    <cellStyle name="60% - Accent6 4" xfId="488"/>
    <cellStyle name="60% - Accent6 4 2" xfId="489"/>
    <cellStyle name="60% - Accent6 4 3" xfId="490"/>
    <cellStyle name="60% - Accent6 5" xfId="491"/>
    <cellStyle name="60% - Accent6 5 2" xfId="492"/>
    <cellStyle name="60% - Accent6 5 3" xfId="493"/>
    <cellStyle name="60% - Accent6 6" xfId="494"/>
    <cellStyle name="60% - Accent6 6 2" xfId="495"/>
    <cellStyle name="60% - Accent6 6 3" xfId="496"/>
    <cellStyle name="60% - Accent6 7" xfId="497"/>
    <cellStyle name="60% - Accent6 7 2" xfId="498"/>
    <cellStyle name="60% - Accent6 7 3" xfId="499"/>
    <cellStyle name="60% - Accent6 8" xfId="500"/>
    <cellStyle name="60% - Accent6 8 2" xfId="501"/>
    <cellStyle name="60% - Accent6 8 3" xfId="502"/>
    <cellStyle name="60% - Accent6 9" xfId="503"/>
    <cellStyle name="60% - Accent6 9 2" xfId="504"/>
    <cellStyle name="60% - Accent6 9 3" xfId="505"/>
    <cellStyle name="Accent1 10" xfId="506"/>
    <cellStyle name="Accent1 10 2" xfId="507"/>
    <cellStyle name="Accent1 11" xfId="508"/>
    <cellStyle name="Accent1 2" xfId="509"/>
    <cellStyle name="Accent1 2 2" xfId="510"/>
    <cellStyle name="Accent1 2 3" xfId="511"/>
    <cellStyle name="Accent1 3" xfId="512"/>
    <cellStyle name="Accent1 3 2" xfId="513"/>
    <cellStyle name="Accent1 3 3" xfId="514"/>
    <cellStyle name="Accent1 4" xfId="515"/>
    <cellStyle name="Accent1 4 2" xfId="516"/>
    <cellStyle name="Accent1 4 3" xfId="517"/>
    <cellStyle name="Accent1 5" xfId="518"/>
    <cellStyle name="Accent1 5 2" xfId="519"/>
    <cellStyle name="Accent1 5 3" xfId="520"/>
    <cellStyle name="Accent1 6" xfId="521"/>
    <cellStyle name="Accent1 6 2" xfId="522"/>
    <cellStyle name="Accent1 6 3" xfId="523"/>
    <cellStyle name="Accent1 7" xfId="524"/>
    <cellStyle name="Accent1 7 2" xfId="525"/>
    <cellStyle name="Accent1 7 3" xfId="526"/>
    <cellStyle name="Accent1 8" xfId="527"/>
    <cellStyle name="Accent1 8 2" xfId="528"/>
    <cellStyle name="Accent1 8 3" xfId="529"/>
    <cellStyle name="Accent1 9" xfId="530"/>
    <cellStyle name="Accent1 9 2" xfId="531"/>
    <cellStyle name="Accent1 9 3" xfId="532"/>
    <cellStyle name="Accent2 10" xfId="533"/>
    <cellStyle name="Accent2 10 2" xfId="534"/>
    <cellStyle name="Accent2 11" xfId="535"/>
    <cellStyle name="Accent2 2" xfId="536"/>
    <cellStyle name="Accent2 2 2" xfId="537"/>
    <cellStyle name="Accent2 2 3" xfId="538"/>
    <cellStyle name="Accent2 3" xfId="539"/>
    <cellStyle name="Accent2 3 2" xfId="540"/>
    <cellStyle name="Accent2 3 3" xfId="541"/>
    <cellStyle name="Accent2 4" xfId="542"/>
    <cellStyle name="Accent2 4 2" xfId="543"/>
    <cellStyle name="Accent2 4 3" xfId="544"/>
    <cellStyle name="Accent2 5" xfId="545"/>
    <cellStyle name="Accent2 5 2" xfId="546"/>
    <cellStyle name="Accent2 5 3" xfId="547"/>
    <cellStyle name="Accent2 6" xfId="548"/>
    <cellStyle name="Accent2 6 2" xfId="549"/>
    <cellStyle name="Accent2 6 3" xfId="550"/>
    <cellStyle name="Accent2 7" xfId="551"/>
    <cellStyle name="Accent2 7 2" xfId="552"/>
    <cellStyle name="Accent2 7 3" xfId="553"/>
    <cellStyle name="Accent2 8" xfId="554"/>
    <cellStyle name="Accent2 8 2" xfId="555"/>
    <cellStyle name="Accent2 8 3" xfId="556"/>
    <cellStyle name="Accent2 9" xfId="557"/>
    <cellStyle name="Accent2 9 2" xfId="558"/>
    <cellStyle name="Accent2 9 3" xfId="559"/>
    <cellStyle name="Accent3 10" xfId="560"/>
    <cellStyle name="Accent3 10 2" xfId="561"/>
    <cellStyle name="Accent3 11" xfId="562"/>
    <cellStyle name="Accent3 2" xfId="563"/>
    <cellStyle name="Accent3 2 2" xfId="564"/>
    <cellStyle name="Accent3 2 3" xfId="565"/>
    <cellStyle name="Accent3 3" xfId="566"/>
    <cellStyle name="Accent3 3 2" xfId="567"/>
    <cellStyle name="Accent3 3 3" xfId="568"/>
    <cellStyle name="Accent3 4" xfId="569"/>
    <cellStyle name="Accent3 4 2" xfId="570"/>
    <cellStyle name="Accent3 4 3" xfId="571"/>
    <cellStyle name="Accent3 5" xfId="572"/>
    <cellStyle name="Accent3 5 2" xfId="573"/>
    <cellStyle name="Accent3 5 3" xfId="574"/>
    <cellStyle name="Accent3 6" xfId="575"/>
    <cellStyle name="Accent3 6 2" xfId="576"/>
    <cellStyle name="Accent3 6 3" xfId="577"/>
    <cellStyle name="Accent3 7" xfId="578"/>
    <cellStyle name="Accent3 7 2" xfId="579"/>
    <cellStyle name="Accent3 7 3" xfId="580"/>
    <cellStyle name="Accent3 8" xfId="581"/>
    <cellStyle name="Accent3 8 2" xfId="582"/>
    <cellStyle name="Accent3 8 3" xfId="583"/>
    <cellStyle name="Accent3 9" xfId="584"/>
    <cellStyle name="Accent3 9 2" xfId="585"/>
    <cellStyle name="Accent3 9 3" xfId="586"/>
    <cellStyle name="Accent4 10" xfId="587"/>
    <cellStyle name="Accent4 10 2" xfId="588"/>
    <cellStyle name="Accent4 11" xfId="589"/>
    <cellStyle name="Accent4 2" xfId="590"/>
    <cellStyle name="Accent4 2 2" xfId="591"/>
    <cellStyle name="Accent4 2 3" xfId="592"/>
    <cellStyle name="Accent4 3" xfId="593"/>
    <cellStyle name="Accent4 3 2" xfId="594"/>
    <cellStyle name="Accent4 3 3" xfId="595"/>
    <cellStyle name="Accent4 4" xfId="596"/>
    <cellStyle name="Accent4 4 2" xfId="597"/>
    <cellStyle name="Accent4 4 3" xfId="598"/>
    <cellStyle name="Accent4 5" xfId="599"/>
    <cellStyle name="Accent4 5 2" xfId="600"/>
    <cellStyle name="Accent4 5 3" xfId="601"/>
    <cellStyle name="Accent4 6" xfId="602"/>
    <cellStyle name="Accent4 6 2" xfId="603"/>
    <cellStyle name="Accent4 6 3" xfId="604"/>
    <cellStyle name="Accent4 7" xfId="605"/>
    <cellStyle name="Accent4 7 2" xfId="606"/>
    <cellStyle name="Accent4 7 3" xfId="607"/>
    <cellStyle name="Accent4 8" xfId="608"/>
    <cellStyle name="Accent4 8 2" xfId="609"/>
    <cellStyle name="Accent4 8 3" xfId="610"/>
    <cellStyle name="Accent4 9" xfId="611"/>
    <cellStyle name="Accent4 9 2" xfId="612"/>
    <cellStyle name="Accent4 9 3" xfId="613"/>
    <cellStyle name="Accent5 10" xfId="614"/>
    <cellStyle name="Accent5 10 2" xfId="615"/>
    <cellStyle name="Accent5 11" xfId="616"/>
    <cellStyle name="Accent5 2" xfId="617"/>
    <cellStyle name="Accent5 2 2" xfId="618"/>
    <cellStyle name="Accent5 2 3" xfId="619"/>
    <cellStyle name="Accent5 3" xfId="620"/>
    <cellStyle name="Accent5 3 2" xfId="621"/>
    <cellStyle name="Accent5 3 3" xfId="622"/>
    <cellStyle name="Accent5 4" xfId="623"/>
    <cellStyle name="Accent5 4 2" xfId="624"/>
    <cellStyle name="Accent5 4 3" xfId="625"/>
    <cellStyle name="Accent5 5" xfId="626"/>
    <cellStyle name="Accent5 5 2" xfId="627"/>
    <cellStyle name="Accent5 5 3" xfId="628"/>
    <cellStyle name="Accent5 6" xfId="629"/>
    <cellStyle name="Accent5 6 2" xfId="630"/>
    <cellStyle name="Accent5 6 3" xfId="631"/>
    <cellStyle name="Accent5 7" xfId="632"/>
    <cellStyle name="Accent5 7 2" xfId="633"/>
    <cellStyle name="Accent5 7 3" xfId="634"/>
    <cellStyle name="Accent5 8" xfId="635"/>
    <cellStyle name="Accent5 8 2" xfId="636"/>
    <cellStyle name="Accent5 8 3" xfId="637"/>
    <cellStyle name="Accent5 9" xfId="638"/>
    <cellStyle name="Accent5 9 2" xfId="639"/>
    <cellStyle name="Accent5 9 3" xfId="640"/>
    <cellStyle name="Accent6 10" xfId="641"/>
    <cellStyle name="Accent6 10 2" xfId="642"/>
    <cellStyle name="Accent6 11" xfId="643"/>
    <cellStyle name="Accent6 2" xfId="644"/>
    <cellStyle name="Accent6 2 2" xfId="645"/>
    <cellStyle name="Accent6 2 3" xfId="646"/>
    <cellStyle name="Accent6 3" xfId="647"/>
    <cellStyle name="Accent6 3 2" xfId="648"/>
    <cellStyle name="Accent6 3 3" xfId="649"/>
    <cellStyle name="Accent6 4" xfId="650"/>
    <cellStyle name="Accent6 4 2" xfId="651"/>
    <cellStyle name="Accent6 4 3" xfId="652"/>
    <cellStyle name="Accent6 5" xfId="653"/>
    <cellStyle name="Accent6 5 2" xfId="654"/>
    <cellStyle name="Accent6 5 3" xfId="655"/>
    <cellStyle name="Accent6 6" xfId="656"/>
    <cellStyle name="Accent6 6 2" xfId="657"/>
    <cellStyle name="Accent6 6 3" xfId="658"/>
    <cellStyle name="Accent6 7" xfId="659"/>
    <cellStyle name="Accent6 7 2" xfId="660"/>
    <cellStyle name="Accent6 7 3" xfId="661"/>
    <cellStyle name="Accent6 8" xfId="662"/>
    <cellStyle name="Accent6 8 2" xfId="663"/>
    <cellStyle name="Accent6 8 3" xfId="664"/>
    <cellStyle name="Accent6 9" xfId="665"/>
    <cellStyle name="Accent6 9 2" xfId="666"/>
    <cellStyle name="Accent6 9 3" xfId="667"/>
    <cellStyle name="Bad 10" xfId="668"/>
    <cellStyle name="Bad 10 2" xfId="669"/>
    <cellStyle name="Bad 11" xfId="670"/>
    <cellStyle name="Bad 2" xfId="671"/>
    <cellStyle name="Bad 2 2" xfId="672"/>
    <cellStyle name="Bad 2 3" xfId="673"/>
    <cellStyle name="Bad 3" xfId="674"/>
    <cellStyle name="Bad 3 2" xfId="675"/>
    <cellStyle name="Bad 3 3" xfId="676"/>
    <cellStyle name="Bad 4" xfId="677"/>
    <cellStyle name="Bad 4 2" xfId="678"/>
    <cellStyle name="Bad 4 3" xfId="679"/>
    <cellStyle name="Bad 5" xfId="680"/>
    <cellStyle name="Bad 5 2" xfId="681"/>
    <cellStyle name="Bad 5 3" xfId="682"/>
    <cellStyle name="Bad 6" xfId="683"/>
    <cellStyle name="Bad 6 2" xfId="684"/>
    <cellStyle name="Bad 6 3" xfId="685"/>
    <cellStyle name="Bad 7" xfId="686"/>
    <cellStyle name="Bad 7 2" xfId="687"/>
    <cellStyle name="Bad 7 3" xfId="688"/>
    <cellStyle name="Bad 8" xfId="689"/>
    <cellStyle name="Bad 8 2" xfId="690"/>
    <cellStyle name="Bad 8 3" xfId="691"/>
    <cellStyle name="Bad 9" xfId="692"/>
    <cellStyle name="Bad 9 2" xfId="693"/>
    <cellStyle name="Bad 9 3" xfId="694"/>
    <cellStyle name="Calculation 10" xfId="695"/>
    <cellStyle name="Calculation 10 2" xfId="696"/>
    <cellStyle name="Calculation 11" xfId="697"/>
    <cellStyle name="Calculation 2" xfId="698"/>
    <cellStyle name="Calculation 2 2" xfId="699"/>
    <cellStyle name="Calculation 2 3" xfId="700"/>
    <cellStyle name="Calculation 3" xfId="701"/>
    <cellStyle name="Calculation 3 2" xfId="702"/>
    <cellStyle name="Calculation 3 3" xfId="703"/>
    <cellStyle name="Calculation 4" xfId="704"/>
    <cellStyle name="Calculation 4 2" xfId="705"/>
    <cellStyle name="Calculation 4 3" xfId="706"/>
    <cellStyle name="Calculation 5" xfId="707"/>
    <cellStyle name="Calculation 5 2" xfId="708"/>
    <cellStyle name="Calculation 5 3" xfId="709"/>
    <cellStyle name="Calculation 6" xfId="710"/>
    <cellStyle name="Calculation 6 2" xfId="711"/>
    <cellStyle name="Calculation 6 3" xfId="712"/>
    <cellStyle name="Calculation 7" xfId="713"/>
    <cellStyle name="Calculation 7 2" xfId="714"/>
    <cellStyle name="Calculation 7 3" xfId="715"/>
    <cellStyle name="Calculation 8" xfId="716"/>
    <cellStyle name="Calculation 8 2" xfId="717"/>
    <cellStyle name="Calculation 8 3" xfId="718"/>
    <cellStyle name="Calculation 9" xfId="719"/>
    <cellStyle name="Calculation 9 2" xfId="720"/>
    <cellStyle name="Calculation 9 3" xfId="721"/>
    <cellStyle name="Check Cell 10" xfId="722"/>
    <cellStyle name="Check Cell 10 2" xfId="723"/>
    <cellStyle name="Check Cell 11" xfId="724"/>
    <cellStyle name="Check Cell 2" xfId="725"/>
    <cellStyle name="Check Cell 2 2" xfId="726"/>
    <cellStyle name="Check Cell 2 3" xfId="727"/>
    <cellStyle name="Check Cell 3" xfId="728"/>
    <cellStyle name="Check Cell 3 2" xfId="729"/>
    <cellStyle name="Check Cell 3 3" xfId="730"/>
    <cellStyle name="Check Cell 4" xfId="731"/>
    <cellStyle name="Check Cell 4 2" xfId="732"/>
    <cellStyle name="Check Cell 4 3" xfId="733"/>
    <cellStyle name="Check Cell 5" xfId="734"/>
    <cellStyle name="Check Cell 5 2" xfId="735"/>
    <cellStyle name="Check Cell 5 3" xfId="736"/>
    <cellStyle name="Check Cell 6" xfId="737"/>
    <cellStyle name="Check Cell 6 2" xfId="738"/>
    <cellStyle name="Check Cell 6 3" xfId="739"/>
    <cellStyle name="Check Cell 7" xfId="740"/>
    <cellStyle name="Check Cell 7 2" xfId="741"/>
    <cellStyle name="Check Cell 7 3" xfId="742"/>
    <cellStyle name="Check Cell 8" xfId="743"/>
    <cellStyle name="Check Cell 8 2" xfId="744"/>
    <cellStyle name="Check Cell 8 3" xfId="745"/>
    <cellStyle name="Check Cell 9" xfId="746"/>
    <cellStyle name="Check Cell 9 2" xfId="747"/>
    <cellStyle name="Check Cell 9 3" xfId="748"/>
    <cellStyle name="Comma 2" xfId="749"/>
    <cellStyle name="Comma 2 2" xfId="750"/>
    <cellStyle name="Comma 2 3" xfId="751"/>
    <cellStyle name="Comma 2 4" xfId="1248"/>
    <cellStyle name="Comma 3" xfId="752"/>
    <cellStyle name="Comma 4" xfId="753"/>
    <cellStyle name="Currency 2" xfId="754"/>
    <cellStyle name="Currency 2 2" xfId="755"/>
    <cellStyle name="Currency 3" xfId="756"/>
    <cellStyle name="Currency 3 2" xfId="757"/>
    <cellStyle name="Explanatory Text 10" xfId="758"/>
    <cellStyle name="Explanatory Text 10 2" xfId="759"/>
    <cellStyle name="Explanatory Text 11" xfId="760"/>
    <cellStyle name="Explanatory Text 2" xfId="761"/>
    <cellStyle name="Explanatory Text 2 2" xfId="762"/>
    <cellStyle name="Explanatory Text 2 3" xfId="763"/>
    <cellStyle name="Explanatory Text 3" xfId="764"/>
    <cellStyle name="Explanatory Text 3 2" xfId="765"/>
    <cellStyle name="Explanatory Text 3 3" xfId="766"/>
    <cellStyle name="Explanatory Text 4" xfId="767"/>
    <cellStyle name="Explanatory Text 4 2" xfId="768"/>
    <cellStyle name="Explanatory Text 4 3" xfId="769"/>
    <cellStyle name="Explanatory Text 5" xfId="770"/>
    <cellStyle name="Explanatory Text 5 2" xfId="771"/>
    <cellStyle name="Explanatory Text 5 3" xfId="772"/>
    <cellStyle name="Explanatory Text 6" xfId="773"/>
    <cellStyle name="Explanatory Text 6 2" xfId="774"/>
    <cellStyle name="Explanatory Text 6 3" xfId="775"/>
    <cellStyle name="Explanatory Text 7" xfId="776"/>
    <cellStyle name="Explanatory Text 7 2" xfId="777"/>
    <cellStyle name="Explanatory Text 7 3" xfId="778"/>
    <cellStyle name="Explanatory Text 8" xfId="779"/>
    <cellStyle name="Explanatory Text 8 2" xfId="780"/>
    <cellStyle name="Explanatory Text 8 3" xfId="781"/>
    <cellStyle name="Explanatory Text 9" xfId="782"/>
    <cellStyle name="Explanatory Text 9 2" xfId="783"/>
    <cellStyle name="Explanatory Text 9 3" xfId="784"/>
    <cellStyle name="Good 10" xfId="785"/>
    <cellStyle name="Good 10 2" xfId="786"/>
    <cellStyle name="Good 11" xfId="787"/>
    <cellStyle name="Good 2" xfId="788"/>
    <cellStyle name="Good 2 2" xfId="789"/>
    <cellStyle name="Good 2 3" xfId="790"/>
    <cellStyle name="Good 3" xfId="791"/>
    <cellStyle name="Good 3 2" xfId="792"/>
    <cellStyle name="Good 3 3" xfId="793"/>
    <cellStyle name="Good 4" xfId="794"/>
    <cellStyle name="Good 4 2" xfId="795"/>
    <cellStyle name="Good 4 3" xfId="796"/>
    <cellStyle name="Good 5" xfId="797"/>
    <cellStyle name="Good 5 2" xfId="798"/>
    <cellStyle name="Good 5 3" xfId="799"/>
    <cellStyle name="Good 6" xfId="800"/>
    <cellStyle name="Good 6 2" xfId="801"/>
    <cellStyle name="Good 6 3" xfId="802"/>
    <cellStyle name="Good 7" xfId="803"/>
    <cellStyle name="Good 7 2" xfId="804"/>
    <cellStyle name="Good 7 3" xfId="805"/>
    <cellStyle name="Good 8" xfId="806"/>
    <cellStyle name="Good 8 2" xfId="807"/>
    <cellStyle name="Good 8 3" xfId="808"/>
    <cellStyle name="Good 9" xfId="809"/>
    <cellStyle name="Good 9 2" xfId="810"/>
    <cellStyle name="Good 9 3" xfId="811"/>
    <cellStyle name="Heading 1 10" xfId="812"/>
    <cellStyle name="Heading 1 10 2" xfId="813"/>
    <cellStyle name="Heading 1 11" xfId="814"/>
    <cellStyle name="Heading 1 2" xfId="815"/>
    <cellStyle name="Heading 1 2 2" xfId="816"/>
    <cellStyle name="Heading 1 2 3" xfId="817"/>
    <cellStyle name="Heading 1 3" xfId="818"/>
    <cellStyle name="Heading 1 3 2" xfId="819"/>
    <cellStyle name="Heading 1 3 3" xfId="820"/>
    <cellStyle name="Heading 1 4" xfId="821"/>
    <cellStyle name="Heading 1 4 2" xfId="822"/>
    <cellStyle name="Heading 1 4 3" xfId="823"/>
    <cellStyle name="Heading 1 5" xfId="824"/>
    <cellStyle name="Heading 1 5 2" xfId="825"/>
    <cellStyle name="Heading 1 5 3" xfId="826"/>
    <cellStyle name="Heading 1 6" xfId="827"/>
    <cellStyle name="Heading 1 6 2" xfId="828"/>
    <cellStyle name="Heading 1 6 3" xfId="829"/>
    <cellStyle name="Heading 1 7" xfId="830"/>
    <cellStyle name="Heading 1 7 2" xfId="831"/>
    <cellStyle name="Heading 1 7 3" xfId="832"/>
    <cellStyle name="Heading 1 8" xfId="833"/>
    <cellStyle name="Heading 1 8 2" xfId="834"/>
    <cellStyle name="Heading 1 8 3" xfId="835"/>
    <cellStyle name="Heading 1 9" xfId="836"/>
    <cellStyle name="Heading 1 9 2" xfId="837"/>
    <cellStyle name="Heading 1 9 3" xfId="838"/>
    <cellStyle name="Heading 2 10" xfId="839"/>
    <cellStyle name="Heading 2 10 2" xfId="840"/>
    <cellStyle name="Heading 2 11" xfId="841"/>
    <cellStyle name="Heading 2 2" xfId="842"/>
    <cellStyle name="Heading 2 2 2" xfId="843"/>
    <cellStyle name="Heading 2 2 3" xfId="844"/>
    <cellStyle name="Heading 2 3" xfId="845"/>
    <cellStyle name="Heading 2 3 2" xfId="846"/>
    <cellStyle name="Heading 2 3 3" xfId="847"/>
    <cellStyle name="Heading 2 4" xfId="848"/>
    <cellStyle name="Heading 2 4 2" xfId="849"/>
    <cellStyle name="Heading 2 4 3" xfId="850"/>
    <cellStyle name="Heading 2 5" xfId="851"/>
    <cellStyle name="Heading 2 5 2" xfId="852"/>
    <cellStyle name="Heading 2 5 3" xfId="853"/>
    <cellStyle name="Heading 2 6" xfId="854"/>
    <cellStyle name="Heading 2 6 2" xfId="855"/>
    <cellStyle name="Heading 2 6 3" xfId="856"/>
    <cellStyle name="Heading 2 7" xfId="857"/>
    <cellStyle name="Heading 2 7 2" xfId="858"/>
    <cellStyle name="Heading 2 7 3" xfId="859"/>
    <cellStyle name="Heading 2 8" xfId="860"/>
    <cellStyle name="Heading 2 8 2" xfId="861"/>
    <cellStyle name="Heading 2 8 3" xfId="862"/>
    <cellStyle name="Heading 2 9" xfId="863"/>
    <cellStyle name="Heading 2 9 2" xfId="864"/>
    <cellStyle name="Heading 2 9 3" xfId="865"/>
    <cellStyle name="Heading 3 10" xfId="866"/>
    <cellStyle name="Heading 3 10 2" xfId="867"/>
    <cellStyle name="Heading 3 11" xfId="868"/>
    <cellStyle name="Heading 3 2" xfId="869"/>
    <cellStyle name="Heading 3 2 2" xfId="870"/>
    <cellStyle name="Heading 3 2 3" xfId="871"/>
    <cellStyle name="Heading 3 3" xfId="872"/>
    <cellStyle name="Heading 3 3 2" xfId="873"/>
    <cellStyle name="Heading 3 3 3" xfId="874"/>
    <cellStyle name="Heading 3 4" xfId="875"/>
    <cellStyle name="Heading 3 4 2" xfId="876"/>
    <cellStyle name="Heading 3 4 3" xfId="877"/>
    <cellStyle name="Heading 3 5" xfId="878"/>
    <cellStyle name="Heading 3 5 2" xfId="879"/>
    <cellStyle name="Heading 3 5 3" xfId="880"/>
    <cellStyle name="Heading 3 6" xfId="881"/>
    <cellStyle name="Heading 3 6 2" xfId="882"/>
    <cellStyle name="Heading 3 6 3" xfId="883"/>
    <cellStyle name="Heading 3 7" xfId="884"/>
    <cellStyle name="Heading 3 7 2" xfId="885"/>
    <cellStyle name="Heading 3 7 3" xfId="886"/>
    <cellStyle name="Heading 3 8" xfId="887"/>
    <cellStyle name="Heading 3 8 2" xfId="888"/>
    <cellStyle name="Heading 3 8 3" xfId="889"/>
    <cellStyle name="Heading 3 9" xfId="890"/>
    <cellStyle name="Heading 3 9 2" xfId="891"/>
    <cellStyle name="Heading 3 9 3" xfId="892"/>
    <cellStyle name="Heading 4 10" xfId="893"/>
    <cellStyle name="Heading 4 10 2" xfId="894"/>
    <cellStyle name="Heading 4 11" xfId="895"/>
    <cellStyle name="Heading 4 2" xfId="896"/>
    <cellStyle name="Heading 4 2 2" xfId="897"/>
    <cellStyle name="Heading 4 2 3" xfId="898"/>
    <cellStyle name="Heading 4 3" xfId="899"/>
    <cellStyle name="Heading 4 3 2" xfId="900"/>
    <cellStyle name="Heading 4 3 3" xfId="901"/>
    <cellStyle name="Heading 4 4" xfId="902"/>
    <cellStyle name="Heading 4 4 2" xfId="903"/>
    <cellStyle name="Heading 4 4 3" xfId="904"/>
    <cellStyle name="Heading 4 5" xfId="905"/>
    <cellStyle name="Heading 4 5 2" xfId="906"/>
    <cellStyle name="Heading 4 5 3" xfId="907"/>
    <cellStyle name="Heading 4 6" xfId="908"/>
    <cellStyle name="Heading 4 6 2" xfId="909"/>
    <cellStyle name="Heading 4 6 3" xfId="910"/>
    <cellStyle name="Heading 4 7" xfId="911"/>
    <cellStyle name="Heading 4 7 2" xfId="912"/>
    <cellStyle name="Heading 4 7 3" xfId="913"/>
    <cellStyle name="Heading 4 8" xfId="914"/>
    <cellStyle name="Heading 4 8 2" xfId="915"/>
    <cellStyle name="Heading 4 8 3" xfId="916"/>
    <cellStyle name="Heading 4 9" xfId="917"/>
    <cellStyle name="Heading 4 9 2" xfId="918"/>
    <cellStyle name="Heading 4 9 3" xfId="919"/>
    <cellStyle name="Hyperlink 2" xfId="3"/>
    <cellStyle name="Hyperlink 3" xfId="920"/>
    <cellStyle name="Input 10" xfId="921"/>
    <cellStyle name="Input 10 2" xfId="922"/>
    <cellStyle name="Input 11" xfId="923"/>
    <cellStyle name="Input 2" xfId="924"/>
    <cellStyle name="Input 2 2" xfId="925"/>
    <cellStyle name="Input 2 3" xfId="926"/>
    <cellStyle name="Input 3" xfId="927"/>
    <cellStyle name="Input 3 2" xfId="928"/>
    <cellStyle name="Input 3 3" xfId="929"/>
    <cellStyle name="Input 4" xfId="930"/>
    <cellStyle name="Input 4 2" xfId="931"/>
    <cellStyle name="Input 4 3" xfId="932"/>
    <cellStyle name="Input 5" xfId="933"/>
    <cellStyle name="Input 5 2" xfId="934"/>
    <cellStyle name="Input 5 3" xfId="935"/>
    <cellStyle name="Input 6" xfId="936"/>
    <cellStyle name="Input 6 2" xfId="937"/>
    <cellStyle name="Input 6 3" xfId="938"/>
    <cellStyle name="Input 7" xfId="939"/>
    <cellStyle name="Input 7 2" xfId="940"/>
    <cellStyle name="Input 7 3" xfId="941"/>
    <cellStyle name="Input 8" xfId="942"/>
    <cellStyle name="Input 8 2" xfId="943"/>
    <cellStyle name="Input 8 3" xfId="944"/>
    <cellStyle name="Input 9" xfId="945"/>
    <cellStyle name="Input 9 2" xfId="946"/>
    <cellStyle name="Input 9 3" xfId="947"/>
    <cellStyle name="Linked Cell 10" xfId="948"/>
    <cellStyle name="Linked Cell 10 2" xfId="949"/>
    <cellStyle name="Linked Cell 11" xfId="950"/>
    <cellStyle name="Linked Cell 2" xfId="951"/>
    <cellStyle name="Linked Cell 2 2" xfId="952"/>
    <cellStyle name="Linked Cell 2 3" xfId="953"/>
    <cellStyle name="Linked Cell 3" xfId="954"/>
    <cellStyle name="Linked Cell 3 2" xfId="955"/>
    <cellStyle name="Linked Cell 3 3" xfId="956"/>
    <cellStyle name="Linked Cell 4" xfId="957"/>
    <cellStyle name="Linked Cell 4 2" xfId="958"/>
    <cellStyle name="Linked Cell 4 3" xfId="959"/>
    <cellStyle name="Linked Cell 5" xfId="960"/>
    <cellStyle name="Linked Cell 5 2" xfId="961"/>
    <cellStyle name="Linked Cell 5 3" xfId="962"/>
    <cellStyle name="Linked Cell 6" xfId="963"/>
    <cellStyle name="Linked Cell 6 2" xfId="964"/>
    <cellStyle name="Linked Cell 6 3" xfId="965"/>
    <cellStyle name="Linked Cell 7" xfId="966"/>
    <cellStyle name="Linked Cell 7 2" xfId="967"/>
    <cellStyle name="Linked Cell 7 3" xfId="968"/>
    <cellStyle name="Linked Cell 8" xfId="969"/>
    <cellStyle name="Linked Cell 8 2" xfId="970"/>
    <cellStyle name="Linked Cell 8 3" xfId="971"/>
    <cellStyle name="Linked Cell 9" xfId="972"/>
    <cellStyle name="Linked Cell 9 2" xfId="973"/>
    <cellStyle name="Linked Cell 9 3" xfId="974"/>
    <cellStyle name="Neutral 10" xfId="975"/>
    <cellStyle name="Neutral 10 2" xfId="976"/>
    <cellStyle name="Neutral 11" xfId="977"/>
    <cellStyle name="Neutral 2" xfId="978"/>
    <cellStyle name="Neutral 2 2" xfId="979"/>
    <cellStyle name="Neutral 2 3" xfId="980"/>
    <cellStyle name="Neutral 3" xfId="981"/>
    <cellStyle name="Neutral 3 2" xfId="982"/>
    <cellStyle name="Neutral 3 3" xfId="983"/>
    <cellStyle name="Neutral 4" xfId="984"/>
    <cellStyle name="Neutral 4 2" xfId="985"/>
    <cellStyle name="Neutral 4 3" xfId="986"/>
    <cellStyle name="Neutral 5" xfId="987"/>
    <cellStyle name="Neutral 5 2" xfId="988"/>
    <cellStyle name="Neutral 5 3" xfId="989"/>
    <cellStyle name="Neutral 6" xfId="990"/>
    <cellStyle name="Neutral 6 2" xfId="991"/>
    <cellStyle name="Neutral 6 3" xfId="992"/>
    <cellStyle name="Neutral 7" xfId="993"/>
    <cellStyle name="Neutral 7 2" xfId="994"/>
    <cellStyle name="Neutral 7 3" xfId="995"/>
    <cellStyle name="Neutral 8" xfId="996"/>
    <cellStyle name="Neutral 8 2" xfId="997"/>
    <cellStyle name="Neutral 8 3" xfId="998"/>
    <cellStyle name="Neutral 9" xfId="999"/>
    <cellStyle name="Neutral 9 2" xfId="1000"/>
    <cellStyle name="Neutral 9 3" xfId="1001"/>
    <cellStyle name="Normal" xfId="0" builtinId="0"/>
    <cellStyle name="Normal - Style1" xfId="1002"/>
    <cellStyle name="Normal 10" xfId="1003"/>
    <cellStyle name="Normal 10 2" xfId="1004"/>
    <cellStyle name="Normal 11" xfId="1005"/>
    <cellStyle name="Normal 11 2" xfId="1006"/>
    <cellStyle name="Normal 11 3" xfId="1007"/>
    <cellStyle name="Normal 12" xfId="1008"/>
    <cellStyle name="Normal 13" xfId="1009"/>
    <cellStyle name="Normal 14" xfId="1010"/>
    <cellStyle name="Normal 15" xfId="1011"/>
    <cellStyle name="Normal 16" xfId="1012"/>
    <cellStyle name="Normal 17" xfId="1013"/>
    <cellStyle name="Normal 18" xfId="1014"/>
    <cellStyle name="Normal 19" xfId="1015"/>
    <cellStyle name="Normal 2" xfId="1"/>
    <cellStyle name="Normal 2 10" xfId="1016"/>
    <cellStyle name="Normal 2 11" xfId="1017"/>
    <cellStyle name="Normal 2 12" xfId="1018"/>
    <cellStyle name="Normal 2 13" xfId="1019"/>
    <cellStyle name="Normal 2 2" xfId="8"/>
    <cellStyle name="Normal 2 2 2" xfId="1020"/>
    <cellStyle name="Normal 2 2 2 2" xfId="1250"/>
    <cellStyle name="Normal 2 2 3" xfId="1021"/>
    <cellStyle name="Normal 2 2 4" xfId="1022"/>
    <cellStyle name="Normal 2 3" xfId="7"/>
    <cellStyle name="Normal 2 3 2" xfId="1023"/>
    <cellStyle name="Normal 2 3 2 2" xfId="1024"/>
    <cellStyle name="Normal 2 3 2 2 2" xfId="1025"/>
    <cellStyle name="Normal 2 3 2 2 2 2" xfId="1249"/>
    <cellStyle name="Normal 2 3 2 3" xfId="1026"/>
    <cellStyle name="Normal 2 3 3" xfId="1027"/>
    <cellStyle name="Normal 2 3 3 2" xfId="1028"/>
    <cellStyle name="Normal 2 3 3 2 2" xfId="1029"/>
    <cellStyle name="Normal 2 3 3 2 3" xfId="1030"/>
    <cellStyle name="Normal 2 3 3 3" xfId="1031"/>
    <cellStyle name="Normal 2 3 4" xfId="1032"/>
    <cellStyle name="Normal 2 3 5" xfId="1033"/>
    <cellStyle name="Normal 2 3 6" xfId="1034"/>
    <cellStyle name="Normal 2 3 7" xfId="1035"/>
    <cellStyle name="Normal 2 3 8" xfId="1036"/>
    <cellStyle name="Normal 2 3 9" xfId="1037"/>
    <cellStyle name="Normal 2 4" xfId="19"/>
    <cellStyle name="Normal 2 4 2" xfId="1038"/>
    <cellStyle name="Normal 2 4 3" xfId="1039"/>
    <cellStyle name="Normal 2 4 4" xfId="1040"/>
    <cellStyle name="Normal 2 5" xfId="1041"/>
    <cellStyle name="Normal 2 5 2" xfId="1042"/>
    <cellStyle name="Normal 2 5 3" xfId="1043"/>
    <cellStyle name="Normal 2 5 4" xfId="1044"/>
    <cellStyle name="Normal 2 6" xfId="1045"/>
    <cellStyle name="Normal 2 6 2" xfId="1046"/>
    <cellStyle name="Normal 2 6 3" xfId="1047"/>
    <cellStyle name="Normal 2 7" xfId="1048"/>
    <cellStyle name="Normal 2 7 2" xfId="1049"/>
    <cellStyle name="Normal 2 7 3" xfId="1050"/>
    <cellStyle name="Normal 2 8" xfId="1051"/>
    <cellStyle name="Normal 2 9" xfId="1052"/>
    <cellStyle name="Normal 2_model school copy kundadam" xfId="1053"/>
    <cellStyle name="Normal 20" xfId="1054"/>
    <cellStyle name="Normal 21" xfId="1055"/>
    <cellStyle name="Normal 22" xfId="1056"/>
    <cellStyle name="Normal 23" xfId="1057"/>
    <cellStyle name="Normal 24" xfId="1058"/>
    <cellStyle name="Normal 25" xfId="1059"/>
    <cellStyle name="Normal 26" xfId="1060"/>
    <cellStyle name="Normal 27" xfId="1061"/>
    <cellStyle name="Normal 28" xfId="1062"/>
    <cellStyle name="Normal 28 2" xfId="11"/>
    <cellStyle name="Normal 29" xfId="1063"/>
    <cellStyle name="Normal 3" xfId="10"/>
    <cellStyle name="Normal 3 2" xfId="1064"/>
    <cellStyle name="Normal 3 2 2" xfId="5"/>
    <cellStyle name="Normal 3 2 2 2" xfId="1065"/>
    <cellStyle name="Normal 3 2 2 2 2" xfId="1066"/>
    <cellStyle name="Normal 3 2 2 3" xfId="1067"/>
    <cellStyle name="Normal 3 2 3" xfId="1068"/>
    <cellStyle name="Normal 3 3" xfId="1069"/>
    <cellStyle name="Normal 3 3 2" xfId="1070"/>
    <cellStyle name="Normal 3 4" xfId="1071"/>
    <cellStyle name="Normal 3 4 2" xfId="1072"/>
    <cellStyle name="Normal 3 5" xfId="1073"/>
    <cellStyle name="Normal 3 6" xfId="1074"/>
    <cellStyle name="Normal 3 7" xfId="1075"/>
    <cellStyle name="Normal 3 8" xfId="1076"/>
    <cellStyle name="Normal 3 9" xfId="1077"/>
    <cellStyle name="Normal 30" xfId="1078"/>
    <cellStyle name="Normal 31" xfId="1251"/>
    <cellStyle name="Normal 4" xfId="1079"/>
    <cellStyle name="Normal 4 10" xfId="1080"/>
    <cellStyle name="Normal 4 2" xfId="1081"/>
    <cellStyle name="Normal 4 2 2" xfId="1082"/>
    <cellStyle name="Normal 4 3" xfId="1083"/>
    <cellStyle name="Normal 4 3 2" xfId="1084"/>
    <cellStyle name="Normal 4 4" xfId="1085"/>
    <cellStyle name="Normal 4 5" xfId="1086"/>
    <cellStyle name="Normal 4 6" xfId="1087"/>
    <cellStyle name="Normal 4 7" xfId="1088"/>
    <cellStyle name="Normal 4 8" xfId="1089"/>
    <cellStyle name="Normal 4 9" xfId="1090"/>
    <cellStyle name="Normal 5" xfId="17"/>
    <cellStyle name="Normal 5 2" xfId="1091"/>
    <cellStyle name="Normal 5 2 2" xfId="1092"/>
    <cellStyle name="Normal 5 2 3" xfId="1093"/>
    <cellStyle name="Normal 5 2 4" xfId="1094"/>
    <cellStyle name="Normal 5 2 4 2" xfId="1095"/>
    <cellStyle name="Normal 5 2 4 3" xfId="1096"/>
    <cellStyle name="Normal 5 3" xfId="13"/>
    <cellStyle name="Normal 5 3 2" xfId="1097"/>
    <cellStyle name="Normal 5 4" xfId="1098"/>
    <cellStyle name="Normal 5 4 2" xfId="1099"/>
    <cellStyle name="Normal 5 5" xfId="1100"/>
    <cellStyle name="Normal 5 5 2" xfId="1101"/>
    <cellStyle name="Normal 5 6" xfId="1102"/>
    <cellStyle name="Normal 5 6 2" xfId="1103"/>
    <cellStyle name="Normal 5 7" xfId="1104"/>
    <cellStyle name="Normal 5 8" xfId="1105"/>
    <cellStyle name="Normal 6" xfId="1106"/>
    <cellStyle name="Normal 6 2" xfId="1107"/>
    <cellStyle name="Normal 6 2 2" xfId="1108"/>
    <cellStyle name="Normal 6 3" xfId="1109"/>
    <cellStyle name="Normal 6 4" xfId="1110"/>
    <cellStyle name="Normal 6 5" xfId="1111"/>
    <cellStyle name="Normal 6 6" xfId="1112"/>
    <cellStyle name="Normal 7" xfId="1113"/>
    <cellStyle name="Normal 7 2" xfId="1114"/>
    <cellStyle name="Normal 8" xfId="1115"/>
    <cellStyle name="Normal 8 2" xfId="1116"/>
    <cellStyle name="Normal 9" xfId="1117"/>
    <cellStyle name="Normal_Alandur Detail 2" xfId="12"/>
    <cellStyle name="Normal_June-2004 2" xfId="14"/>
    <cellStyle name="Normal_Phase XI QS 2 2" xfId="18"/>
    <cellStyle name="Normal_Phase XI QS 2 3 2" xfId="2"/>
    <cellStyle name="Normal_Phase XI QS 2 4" xfId="6"/>
    <cellStyle name="Normal_Sheet1" xfId="15"/>
    <cellStyle name="Normal_Sheet1 4" xfId="9"/>
    <cellStyle name="Normal_Sheet1 8" xfId="4"/>
    <cellStyle name="Note 10" xfId="1118"/>
    <cellStyle name="Note 11" xfId="1119"/>
    <cellStyle name="Note 2" xfId="1120"/>
    <cellStyle name="Note 3" xfId="1121"/>
    <cellStyle name="Note 4" xfId="1122"/>
    <cellStyle name="Note 5" xfId="1123"/>
    <cellStyle name="Note 6" xfId="1124"/>
    <cellStyle name="Note 7" xfId="1125"/>
    <cellStyle name="Note 8" xfId="1126"/>
    <cellStyle name="Note 9" xfId="1127"/>
    <cellStyle name="Output 10" xfId="1128"/>
    <cellStyle name="Output 10 2" xfId="1129"/>
    <cellStyle name="Output 11" xfId="1130"/>
    <cellStyle name="Output 2" xfId="1131"/>
    <cellStyle name="Output 2 2" xfId="1132"/>
    <cellStyle name="Output 2 3" xfId="1133"/>
    <cellStyle name="Output 3" xfId="1134"/>
    <cellStyle name="Output 3 2" xfId="1135"/>
    <cellStyle name="Output 3 3" xfId="1136"/>
    <cellStyle name="Output 4" xfId="1137"/>
    <cellStyle name="Output 4 2" xfId="1138"/>
    <cellStyle name="Output 4 3" xfId="1139"/>
    <cellStyle name="Output 5" xfId="1140"/>
    <cellStyle name="Output 5 2" xfId="1141"/>
    <cellStyle name="Output 5 3" xfId="1142"/>
    <cellStyle name="Output 6" xfId="1143"/>
    <cellStyle name="Output 6 2" xfId="1144"/>
    <cellStyle name="Output 6 3" xfId="1145"/>
    <cellStyle name="Output 7" xfId="1146"/>
    <cellStyle name="Output 7 2" xfId="1147"/>
    <cellStyle name="Output 7 3" xfId="1148"/>
    <cellStyle name="Output 8" xfId="1149"/>
    <cellStyle name="Output 8 2" xfId="1150"/>
    <cellStyle name="Output 8 3" xfId="1151"/>
    <cellStyle name="Output 9" xfId="1152"/>
    <cellStyle name="Output 9 2" xfId="1153"/>
    <cellStyle name="Output 9 3" xfId="1154"/>
    <cellStyle name="Percent 12" xfId="1155"/>
    <cellStyle name="Percent 13" xfId="1156"/>
    <cellStyle name="Percent 2" xfId="16"/>
    <cellStyle name="Percent 2 2" xfId="1157"/>
    <cellStyle name="Percent 2 2 2" xfId="1158"/>
    <cellStyle name="Percent 3" xfId="1159"/>
    <cellStyle name="Percent 4" xfId="1160"/>
    <cellStyle name="Percent 5" xfId="1161"/>
    <cellStyle name="Percent 5 2" xfId="1162"/>
    <cellStyle name="Percent 5 2 2" xfId="1163"/>
    <cellStyle name="Percent 6" xfId="1164"/>
    <cellStyle name="Percent 7" xfId="1165"/>
    <cellStyle name="Percent 8" xfId="1166"/>
    <cellStyle name="Title 10" xfId="1167"/>
    <cellStyle name="Title 10 2" xfId="1168"/>
    <cellStyle name="Title 11" xfId="1169"/>
    <cellStyle name="Title 2" xfId="1170"/>
    <cellStyle name="Title 2 2" xfId="1171"/>
    <cellStyle name="Title 2 3" xfId="1172"/>
    <cellStyle name="Title 3" xfId="1173"/>
    <cellStyle name="Title 3 2" xfId="1174"/>
    <cellStyle name="Title 3 3" xfId="1175"/>
    <cellStyle name="Title 4" xfId="1176"/>
    <cellStyle name="Title 4 2" xfId="1177"/>
    <cellStyle name="Title 4 3" xfId="1178"/>
    <cellStyle name="Title 5" xfId="1179"/>
    <cellStyle name="Title 5 2" xfId="1180"/>
    <cellStyle name="Title 5 3" xfId="1181"/>
    <cellStyle name="Title 6" xfId="1182"/>
    <cellStyle name="Title 6 2" xfId="1183"/>
    <cellStyle name="Title 6 3" xfId="1184"/>
    <cellStyle name="Title 7" xfId="1185"/>
    <cellStyle name="Title 7 2" xfId="1186"/>
    <cellStyle name="Title 7 3" xfId="1187"/>
    <cellStyle name="Title 8" xfId="1188"/>
    <cellStyle name="Title 8 2" xfId="1189"/>
    <cellStyle name="Title 8 3" xfId="1190"/>
    <cellStyle name="Title 9" xfId="1191"/>
    <cellStyle name="Title 9 2" xfId="1192"/>
    <cellStyle name="Title 9 3" xfId="1193"/>
    <cellStyle name="Total 10" xfId="1194"/>
    <cellStyle name="Total 10 2" xfId="1195"/>
    <cellStyle name="Total 11" xfId="1196"/>
    <cellStyle name="Total 2" xfId="1197"/>
    <cellStyle name="Total 2 2" xfId="1198"/>
    <cellStyle name="Total 2 3" xfId="1199"/>
    <cellStyle name="Total 3" xfId="1200"/>
    <cellStyle name="Total 3 2" xfId="1201"/>
    <cellStyle name="Total 3 3" xfId="1202"/>
    <cellStyle name="Total 4" xfId="1203"/>
    <cellStyle name="Total 4 2" xfId="1204"/>
    <cellStyle name="Total 4 3" xfId="1205"/>
    <cellStyle name="Total 5" xfId="1206"/>
    <cellStyle name="Total 5 2" xfId="1207"/>
    <cellStyle name="Total 5 3" xfId="1208"/>
    <cellStyle name="Total 6" xfId="1209"/>
    <cellStyle name="Total 6 2" xfId="1210"/>
    <cellStyle name="Total 6 3" xfId="1211"/>
    <cellStyle name="Total 7" xfId="1212"/>
    <cellStyle name="Total 7 2" xfId="1213"/>
    <cellStyle name="Total 7 3" xfId="1214"/>
    <cellStyle name="Total 8" xfId="1215"/>
    <cellStyle name="Total 8 2" xfId="1216"/>
    <cellStyle name="Total 8 3" xfId="1217"/>
    <cellStyle name="Total 9" xfId="1218"/>
    <cellStyle name="Total 9 2" xfId="1219"/>
    <cellStyle name="Total 9 3" xfId="1220"/>
    <cellStyle name="Warning Text 10" xfId="1221"/>
    <cellStyle name="Warning Text 10 2" xfId="1222"/>
    <cellStyle name="Warning Text 11" xfId="1223"/>
    <cellStyle name="Warning Text 2" xfId="1224"/>
    <cellStyle name="Warning Text 2 2" xfId="1225"/>
    <cellStyle name="Warning Text 2 3" xfId="1226"/>
    <cellStyle name="Warning Text 3" xfId="1227"/>
    <cellStyle name="Warning Text 3 2" xfId="1228"/>
    <cellStyle name="Warning Text 3 3" xfId="1229"/>
    <cellStyle name="Warning Text 4" xfId="1230"/>
    <cellStyle name="Warning Text 4 2" xfId="1231"/>
    <cellStyle name="Warning Text 4 3" xfId="1232"/>
    <cellStyle name="Warning Text 5" xfId="1233"/>
    <cellStyle name="Warning Text 5 2" xfId="1234"/>
    <cellStyle name="Warning Text 5 3" xfId="1235"/>
    <cellStyle name="Warning Text 6" xfId="1236"/>
    <cellStyle name="Warning Text 6 2" xfId="1237"/>
    <cellStyle name="Warning Text 6 3" xfId="1238"/>
    <cellStyle name="Warning Text 7" xfId="1239"/>
    <cellStyle name="Warning Text 7 2" xfId="1240"/>
    <cellStyle name="Warning Text 7 3" xfId="1241"/>
    <cellStyle name="Warning Text 8" xfId="1242"/>
    <cellStyle name="Warning Text 8 2" xfId="1243"/>
    <cellStyle name="Warning Text 8 3" xfId="1244"/>
    <cellStyle name="Warning Text 9" xfId="1245"/>
    <cellStyle name="Warning Text 9 2" xfId="1246"/>
    <cellStyle name="Warning Text 9 3" xfId="1247"/>
  </cellStyles>
  <dxfs count="8">
    <dxf>
      <alignment horizontal="left" vertical="center" textRotation="0" wrapText="1" indent="0" relativeIndent="255" justifyLastLine="0" shrinkToFit="0" readingOrder="0"/>
    </dxf>
    <dxf>
      <border outline="0">
        <left style="thin">
          <color theme="4" tint="0.39997558519241921"/>
        </left>
        <right style="thin">
          <color theme="4" tint="0.39997558519241921"/>
        </right>
        <top style="thin">
          <color indexed="64"/>
        </top>
        <bottom style="thin">
          <color indexed="64"/>
        </bottom>
      </border>
    </dxf>
    <dxf>
      <font>
        <b/>
        <i val="0"/>
        <strike val="0"/>
        <condense val="0"/>
        <extend val="0"/>
        <outline val="0"/>
        <shadow val="0"/>
        <u val="none"/>
        <vertAlign val="baseline"/>
        <sz val="13"/>
        <color theme="1"/>
        <name val="Arial Narrow"/>
        <scheme val="none"/>
      </font>
      <numFmt numFmtId="0" formatCode="General"/>
      <fill>
        <patternFill patternType="solid">
          <fgColor theme="4" tint="0.59999389629810485"/>
          <bgColor theme="4" tint="0.59999389629810485"/>
        </patternFill>
      </fill>
      <alignment horizontal="center" vertical="center" textRotation="0" wrapText="1" indent="0" relativeIndent="0" justifyLastLine="0" shrinkToFit="0" readingOrder="0"/>
      <border diagonalUp="0" diagonalDown="0">
        <left/>
        <right/>
        <top style="thin">
          <color indexed="64"/>
        </top>
        <bottom/>
        <vertical/>
        <horizontal/>
      </border>
    </dxf>
    <dxf>
      <border outline="0">
        <left style="thin">
          <color theme="4" tint="0.39997558519241921"/>
        </left>
        <right style="thin">
          <color theme="4" tint="0.39997558519241921"/>
        </right>
        <top style="thin">
          <color indexed="64"/>
        </top>
        <bottom style="thin">
          <color indexed="64"/>
        </bottom>
      </border>
    </dxf>
    <dxf>
      <font>
        <b/>
        <i val="0"/>
        <strike val="0"/>
        <condense val="0"/>
        <extend val="0"/>
        <outline val="0"/>
        <shadow val="0"/>
        <u val="none"/>
        <vertAlign val="baseline"/>
        <sz val="13"/>
        <color theme="0"/>
        <name val="Arial Narrow"/>
        <scheme val="none"/>
      </font>
      <numFmt numFmtId="0" formatCode="General"/>
      <fill>
        <patternFill patternType="solid">
          <fgColor theme="4"/>
          <bgColor theme="4"/>
        </patternFill>
      </fill>
      <alignment horizontal="center" vertical="center" textRotation="0" wrapText="1" indent="0" relativeIndent="0" justifyLastLine="0" shrinkToFit="0" readingOrder="0"/>
    </dxf>
    <dxf>
      <font>
        <b val="0"/>
        <i val="0"/>
        <strike val="0"/>
        <condense val="0"/>
        <extend val="0"/>
        <outline val="0"/>
        <shadow val="0"/>
        <u val="none"/>
        <vertAlign val="baseline"/>
        <sz val="17"/>
        <color indexed="8"/>
        <name val="Arial"/>
        <scheme val="none"/>
      </font>
      <fill>
        <patternFill patternType="solid">
          <fgColor indexed="64"/>
          <bgColor indexed="9"/>
        </patternFill>
      </fill>
      <alignment horizontal="center" vertical="center" textRotation="0" wrapText="0" indent="0" relativeIndent="255" justifyLastLine="0" shrinkToFit="0" readingOrder="0"/>
      <border diagonalUp="0" diagonalDown="0">
        <left style="thin">
          <color indexed="64"/>
        </left>
        <right/>
        <top style="thin">
          <color indexed="64"/>
        </top>
        <bottom/>
      </border>
    </dxf>
    <dxf>
      <font>
        <b val="0"/>
        <i val="0"/>
        <strike val="0"/>
        <condense val="0"/>
        <extend val="0"/>
        <outline val="0"/>
        <shadow val="0"/>
        <u val="none"/>
        <vertAlign val="baseline"/>
        <sz val="17"/>
        <color indexed="8"/>
        <name val="Arial"/>
        <scheme val="none"/>
      </font>
      <fill>
        <patternFill patternType="solid">
          <fgColor indexed="64"/>
          <bgColor indexed="9"/>
        </patternFill>
      </fill>
      <alignment horizontal="general" vertical="top" textRotation="0" wrapText="1" indent="0" relativeIndent="255" justifyLastLine="0" shrinkToFit="0" readingOrder="0"/>
      <border diagonalUp="0" diagonalDown="0">
        <left style="thin">
          <color indexed="64"/>
        </left>
        <right/>
        <top style="thin">
          <color indexed="64"/>
        </top>
        <bottom/>
      </border>
    </dxf>
    <dxf>
      <border outline="0">
        <top style="thin">
          <color indexed="64"/>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7728</xdr:row>
      <xdr:rowOff>190500</xdr:rowOff>
    </xdr:from>
    <xdr:to>
      <xdr:col>14</xdr:col>
      <xdr:colOff>542925</xdr:colOff>
      <xdr:row>7730</xdr:row>
      <xdr:rowOff>19050</xdr:rowOff>
    </xdr:to>
    <xdr:sp macro="" textlink="">
      <xdr:nvSpPr>
        <xdr:cNvPr id="2" name="Text Box 1">
          <a:extLst>
            <a:ext uri="{FF2B5EF4-FFF2-40B4-BE49-F238E27FC236}">
              <a16:creationId xmlns:a16="http://schemas.microsoft.com/office/drawing/2014/main" xmlns="" id="{00000000-0008-0000-0100-000002000000}"/>
            </a:ext>
          </a:extLst>
        </xdr:cNvPr>
        <xdr:cNvSpPr txBox="1">
          <a:spLocks noChangeArrowheads="1"/>
        </xdr:cNvSpPr>
      </xdr:nvSpPr>
      <xdr:spPr bwMode="auto">
        <a:xfrm>
          <a:off x="10487025" y="1098508725"/>
          <a:ext cx="95250" cy="228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457200</xdr:colOff>
      <xdr:row>7779</xdr:row>
      <xdr:rowOff>190500</xdr:rowOff>
    </xdr:from>
    <xdr:to>
      <xdr:col>16</xdr:col>
      <xdr:colOff>561975</xdr:colOff>
      <xdr:row>7779</xdr:row>
      <xdr:rowOff>200025</xdr:rowOff>
    </xdr:to>
    <xdr:sp macro="" textlink="">
      <xdr:nvSpPr>
        <xdr:cNvPr id="2" name="Text Box 1">
          <a:extLst>
            <a:ext uri="{FF2B5EF4-FFF2-40B4-BE49-F238E27FC236}">
              <a16:creationId xmlns:a16="http://schemas.microsoft.com/office/drawing/2014/main" xmlns="" id="{00000000-0008-0000-0200-000002000000}"/>
            </a:ext>
          </a:extLst>
        </xdr:cNvPr>
        <xdr:cNvSpPr txBox="1">
          <a:spLocks noChangeArrowheads="1"/>
        </xdr:cNvSpPr>
      </xdr:nvSpPr>
      <xdr:spPr bwMode="auto">
        <a:xfrm>
          <a:off x="20926425" y="2380735650"/>
          <a:ext cx="104775" cy="95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9</xdr:col>
      <xdr:colOff>2505075</xdr:colOff>
      <xdr:row>0</xdr:row>
      <xdr:rowOff>0</xdr:rowOff>
    </xdr:from>
    <xdr:to>
      <xdr:col>9</xdr:col>
      <xdr:colOff>2571750</xdr:colOff>
      <xdr:row>0</xdr:row>
      <xdr:rowOff>47625</xdr:rowOff>
    </xdr:to>
    <xdr:sp macro="" textlink="">
      <xdr:nvSpPr>
        <xdr:cNvPr id="3" name="Text Box 2">
          <a:extLst>
            <a:ext uri="{FF2B5EF4-FFF2-40B4-BE49-F238E27FC236}">
              <a16:creationId xmlns:a16="http://schemas.microsoft.com/office/drawing/2014/main" xmlns="" id="{00000000-0008-0000-0200-000003000000}"/>
            </a:ext>
          </a:extLst>
        </xdr:cNvPr>
        <xdr:cNvSpPr txBox="1">
          <a:spLocks noChangeArrowheads="1"/>
        </xdr:cNvSpPr>
      </xdr:nvSpPr>
      <xdr:spPr bwMode="auto">
        <a:xfrm>
          <a:off x="13277850" y="0"/>
          <a:ext cx="6667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19051</xdr:rowOff>
    </xdr:to>
    <xdr:sp macro="" textlink="">
      <xdr:nvSpPr>
        <xdr:cNvPr id="2" name="Text Box 1">
          <a:extLst>
            <a:ext uri="{FF2B5EF4-FFF2-40B4-BE49-F238E27FC236}">
              <a16:creationId xmlns:a16="http://schemas.microsoft.com/office/drawing/2014/main" xmlns="" id="{00000000-0008-0000-0E00-000002000000}"/>
            </a:ext>
          </a:extLst>
        </xdr:cNvPr>
        <xdr:cNvSpPr txBox="1">
          <a:spLocks noChangeArrowheads="1"/>
        </xdr:cNvSpPr>
      </xdr:nvSpPr>
      <xdr:spPr bwMode="auto">
        <a:xfrm>
          <a:off x="11258550" y="1113605850"/>
          <a:ext cx="95250" cy="228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Vambay%20Phase-IV%20Estimates\VELLAKOI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nphc-pc\new%20folder\Users\ACER\Desktop\CAP%20&amp;%20TAILORING%20additional%20proposa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HN-DB-12\Users\AEE%20PDKT\Desktop\New%20Volume%20F\NEW%20FOLDER\Working%20Women%20Hostel\Main%20Estimate\SENT%20TO%20HO%20-%20Copy\Copy%20of%20SOR%2020-21%20final%20dinesh.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DB-12\Users\AEE%20PDKT\Desktop\SOR%2020-21%20final%20dinesh%20sent%20to%20H.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DB-12\Users\AEE%20PDKT\Desktop\New%20Volume%20F\NEW%20FOLDER\Working%20Women%20Hostel\Main%20Estimate\SENT%20TO%20HO%20-%20Copy\Copy%20of%20detail%20rec%20sump-4thRevision.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DB-12\Users\JDO1\Desktop\WWH%20HO%20FINAL%20without%206%20th%20floo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HN-DB-12\Working%20Women%20Hostel\Main%20Estimate\SENT%20TO%20HO\SOR%2020-21%20final%20dinesh%20sent%20to%20H.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HN-DB-12\New%20Volume%20F\NEW%20FOLDER\Working%20Women%20Hostel\Main%20Estimate\wwh%20final\09.11.2020\WWH%20HO%20FINAL%20developement%20works%20final-From%20H.O.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ata"/>
      <sheetName val="Feed"/>
      <sheetName val="detailed Pro"/>
      <sheetName val="abstract Pro"/>
      <sheetName val="abstract Pro (2)"/>
      <sheetName val="Lead statement"/>
    </sheetNames>
    <sheetDataSet>
      <sheetData sheetId="0">
        <row r="195">
          <cell r="X195" t="str">
            <v xml:space="preserve">DATA FOR THE YEAR 2004 - 2005 FOR </v>
          </cell>
        </row>
        <row r="196">
          <cell r="X196" t="str">
            <v xml:space="preserve">SIVANATHAPURAM, AMMAN KOIL STREET &amp; MAHALIAMMAN KOIL STREET in VELLAKOIL MUNICIPALITY, ERODE </v>
          </cell>
        </row>
        <row r="197">
          <cell r="X197" t="str">
            <v>Sl No</v>
          </cell>
          <cell r="Y197" t="str">
            <v>Qty.</v>
          </cell>
          <cell r="AA197" t="str">
            <v>Description</v>
          </cell>
          <cell r="AB197" t="str">
            <v xml:space="preserve">Rate </v>
          </cell>
          <cell r="AC197" t="str">
            <v>Unit</v>
          </cell>
          <cell r="AD197" t="str">
            <v>Amount</v>
          </cell>
        </row>
        <row r="199">
          <cell r="X199">
            <v>1</v>
          </cell>
          <cell r="Y199" t="str">
            <v>Cement mortar 1:2 for 1 M³</v>
          </cell>
        </row>
        <row r="200">
          <cell r="Y200">
            <v>0.72</v>
          </cell>
          <cell r="Z200" t="str">
            <v>MT</v>
          </cell>
          <cell r="AA200" t="str">
            <v>Cement</v>
          </cell>
          <cell r="AB200">
            <v>2840</v>
          </cell>
          <cell r="AC200" t="str">
            <v>1M.T.</v>
          </cell>
          <cell r="AD200">
            <v>2044.8</v>
          </cell>
        </row>
        <row r="201">
          <cell r="Y201">
            <v>1</v>
          </cell>
          <cell r="Z201" t="str">
            <v>M³</v>
          </cell>
          <cell r="AA201" t="str">
            <v>Sand for mortar</v>
          </cell>
          <cell r="AB201">
            <v>165.6</v>
          </cell>
          <cell r="AC201" t="str">
            <v>1M³</v>
          </cell>
          <cell r="AD201">
            <v>165.6</v>
          </cell>
        </row>
        <row r="202">
          <cell r="Y202">
            <v>1</v>
          </cell>
          <cell r="Z202" t="str">
            <v>M³</v>
          </cell>
          <cell r="AA202" t="str">
            <v>Mixing charges</v>
          </cell>
          <cell r="AB202">
            <v>26</v>
          </cell>
          <cell r="AC202" t="str">
            <v>1M³</v>
          </cell>
          <cell r="AD202">
            <v>26</v>
          </cell>
        </row>
        <row r="204">
          <cell r="AC204" t="str">
            <v>Total=</v>
          </cell>
          <cell r="AD204">
            <v>2236.4</v>
          </cell>
        </row>
        <row r="205">
          <cell r="X205">
            <v>2</v>
          </cell>
          <cell r="Y205" t="str">
            <v>Cement mortar 1:3 for 1 M³</v>
          </cell>
        </row>
        <row r="206">
          <cell r="Y206">
            <v>0.48</v>
          </cell>
          <cell r="Z206" t="str">
            <v>MT</v>
          </cell>
          <cell r="AA206" t="str">
            <v>Cement</v>
          </cell>
          <cell r="AB206">
            <v>2840</v>
          </cell>
          <cell r="AC206" t="str">
            <v>1M.T.</v>
          </cell>
          <cell r="AD206">
            <v>1363.2</v>
          </cell>
        </row>
        <row r="207">
          <cell r="Y207">
            <v>1</v>
          </cell>
          <cell r="Z207" t="str">
            <v>M³</v>
          </cell>
          <cell r="AA207" t="str">
            <v>Sand for mortar</v>
          </cell>
          <cell r="AB207">
            <v>165.6</v>
          </cell>
          <cell r="AC207" t="str">
            <v>1M³</v>
          </cell>
          <cell r="AD207">
            <v>165.6</v>
          </cell>
        </row>
        <row r="208">
          <cell r="Y208">
            <v>1</v>
          </cell>
          <cell r="Z208" t="str">
            <v>M³</v>
          </cell>
          <cell r="AA208" t="str">
            <v>Mixing charges</v>
          </cell>
          <cell r="AB208">
            <v>26</v>
          </cell>
          <cell r="AC208" t="str">
            <v>1M³</v>
          </cell>
          <cell r="AD208">
            <v>26</v>
          </cell>
        </row>
        <row r="210">
          <cell r="AC210" t="str">
            <v>Total=</v>
          </cell>
          <cell r="AD210">
            <v>1554.8</v>
          </cell>
        </row>
        <row r="211">
          <cell r="X211">
            <v>3</v>
          </cell>
          <cell r="Y211" t="str">
            <v>Cement mortar 1:4 for 1 M³</v>
          </cell>
        </row>
        <row r="212">
          <cell r="Y212">
            <v>0.36</v>
          </cell>
          <cell r="Z212" t="str">
            <v>MT</v>
          </cell>
          <cell r="AA212" t="str">
            <v>Cement</v>
          </cell>
          <cell r="AB212">
            <v>2840</v>
          </cell>
          <cell r="AC212" t="str">
            <v>1M.T.</v>
          </cell>
          <cell r="AD212">
            <v>1022.4</v>
          </cell>
        </row>
        <row r="213">
          <cell r="Y213">
            <v>1</v>
          </cell>
          <cell r="Z213" t="str">
            <v>M³</v>
          </cell>
          <cell r="AA213" t="str">
            <v>Sand for mortar</v>
          </cell>
          <cell r="AB213">
            <v>165.6</v>
          </cell>
          <cell r="AC213" t="str">
            <v>1M³</v>
          </cell>
          <cell r="AD213">
            <v>165.6</v>
          </cell>
        </row>
        <row r="214">
          <cell r="Y214">
            <v>1</v>
          </cell>
          <cell r="Z214" t="str">
            <v>M³</v>
          </cell>
          <cell r="AA214" t="str">
            <v>Mixing charges</v>
          </cell>
          <cell r="AB214">
            <v>26</v>
          </cell>
          <cell r="AC214" t="str">
            <v>1M³</v>
          </cell>
          <cell r="AD214">
            <v>26</v>
          </cell>
        </row>
        <row r="216">
          <cell r="AC216" t="str">
            <v>Total=</v>
          </cell>
          <cell r="AD216">
            <v>1214</v>
          </cell>
        </row>
        <row r="217">
          <cell r="X217">
            <v>4</v>
          </cell>
          <cell r="Y217" t="str">
            <v>Cement mortar 1:5 for 1 M³</v>
          </cell>
        </row>
        <row r="218">
          <cell r="Y218">
            <v>0.28799999999999998</v>
          </cell>
          <cell r="Z218" t="str">
            <v>MT</v>
          </cell>
          <cell r="AA218" t="str">
            <v>Cement</v>
          </cell>
          <cell r="AB218">
            <v>2840</v>
          </cell>
          <cell r="AC218" t="str">
            <v>1M.T.</v>
          </cell>
          <cell r="AD218">
            <v>817.92</v>
          </cell>
        </row>
        <row r="219">
          <cell r="Y219">
            <v>1</v>
          </cell>
          <cell r="Z219" t="str">
            <v>M³</v>
          </cell>
          <cell r="AA219" t="str">
            <v>Sand for mortar</v>
          </cell>
          <cell r="AB219">
            <v>165.6</v>
          </cell>
          <cell r="AC219" t="str">
            <v>1M³</v>
          </cell>
          <cell r="AD219">
            <v>165.6</v>
          </cell>
        </row>
        <row r="220">
          <cell r="Y220">
            <v>1</v>
          </cell>
          <cell r="Z220" t="str">
            <v>M³</v>
          </cell>
          <cell r="AA220" t="str">
            <v>Mixing charges</v>
          </cell>
          <cell r="AB220">
            <v>26</v>
          </cell>
          <cell r="AC220" t="str">
            <v>1M³</v>
          </cell>
          <cell r="AD220">
            <v>26</v>
          </cell>
        </row>
        <row r="222">
          <cell r="AC222" t="str">
            <v>Total=</v>
          </cell>
          <cell r="AD222">
            <v>1009.52</v>
          </cell>
        </row>
        <row r="223">
          <cell r="X223">
            <v>5</v>
          </cell>
          <cell r="Y223" t="str">
            <v>Cement mortar 1:6 for 1 M³</v>
          </cell>
        </row>
        <row r="224">
          <cell r="Y224">
            <v>0.24</v>
          </cell>
          <cell r="Z224" t="str">
            <v>MT</v>
          </cell>
          <cell r="AA224" t="str">
            <v>Cement</v>
          </cell>
          <cell r="AB224">
            <v>2840</v>
          </cell>
          <cell r="AC224" t="str">
            <v>1M.T.</v>
          </cell>
          <cell r="AD224">
            <v>681.6</v>
          </cell>
        </row>
        <row r="225">
          <cell r="Y225">
            <v>1</v>
          </cell>
          <cell r="Z225" t="str">
            <v>M³</v>
          </cell>
          <cell r="AA225" t="str">
            <v>Sand for mortar</v>
          </cell>
          <cell r="AB225">
            <v>165.6</v>
          </cell>
          <cell r="AC225" t="str">
            <v>1M³</v>
          </cell>
          <cell r="AD225">
            <v>165.6</v>
          </cell>
        </row>
        <row r="226">
          <cell r="Y226">
            <v>1</v>
          </cell>
          <cell r="Z226" t="str">
            <v>M³</v>
          </cell>
          <cell r="AA226" t="str">
            <v>Mixing charges</v>
          </cell>
          <cell r="AB226">
            <v>26</v>
          </cell>
          <cell r="AC226" t="str">
            <v>1M³</v>
          </cell>
          <cell r="AD226">
            <v>26</v>
          </cell>
        </row>
        <row r="228">
          <cell r="AC228" t="str">
            <v>Total=</v>
          </cell>
          <cell r="AD228">
            <v>873.2</v>
          </cell>
        </row>
        <row r="230">
          <cell r="X230">
            <v>6</v>
          </cell>
          <cell r="Y230" t="str">
            <v>Earth work excavation for foundation with all leads and lifts in all soils and sub soils and to the required depth as may be directed except hard rock requiring blasting inclusive of shoring, strutting and bailing out water wherever necessary refilling th</v>
          </cell>
        </row>
        <row r="231">
          <cell r="Y231">
            <v>1</v>
          </cell>
          <cell r="Z231" t="str">
            <v>M³</v>
          </cell>
          <cell r="AA231" t="str">
            <v>Sand ordinary soil SS20B</v>
          </cell>
          <cell r="AB231">
            <v>16.399999999999999</v>
          </cell>
          <cell r="AC231" t="str">
            <v>1M³</v>
          </cell>
          <cell r="AD231">
            <v>16.399999999999999</v>
          </cell>
        </row>
        <row r="232">
          <cell r="Y232">
            <v>1</v>
          </cell>
          <cell r="Z232" t="str">
            <v>M³</v>
          </cell>
          <cell r="AA232" t="str">
            <v>Hard stiff clay SS20B</v>
          </cell>
          <cell r="AB232">
            <v>24.9</v>
          </cell>
          <cell r="AC232" t="str">
            <v>1M³</v>
          </cell>
          <cell r="AD232">
            <v>24.9</v>
          </cell>
        </row>
        <row r="234">
          <cell r="AD234">
            <v>41.3</v>
          </cell>
        </row>
        <row r="235">
          <cell r="AA235" t="str">
            <v>Average rate</v>
          </cell>
          <cell r="AB235">
            <v>41.3</v>
          </cell>
          <cell r="AC235" t="str">
            <v xml:space="preserve"> / 2</v>
          </cell>
          <cell r="AD235">
            <v>20.65</v>
          </cell>
        </row>
        <row r="237">
          <cell r="Y237">
            <v>1</v>
          </cell>
          <cell r="Z237" t="str">
            <v>M³</v>
          </cell>
          <cell r="AA237" t="str">
            <v>Double the relevant rate for narrow excavation</v>
          </cell>
          <cell r="AB237">
            <v>41.3</v>
          </cell>
          <cell r="AC237" t="str">
            <v>1M³</v>
          </cell>
          <cell r="AD237">
            <v>41.3</v>
          </cell>
        </row>
        <row r="238">
          <cell r="Y238">
            <v>0.33333333333333331</v>
          </cell>
          <cell r="Z238" t="str">
            <v>M³</v>
          </cell>
          <cell r="AA238" t="str">
            <v>Add 1/3 of refilling rate</v>
          </cell>
          <cell r="AB238">
            <v>8.75</v>
          </cell>
          <cell r="AC238" t="str">
            <v>1M³</v>
          </cell>
          <cell r="AD238">
            <v>2.92</v>
          </cell>
        </row>
        <row r="239">
          <cell r="AB239" t="str">
            <v>FOR  1  M³      =</v>
          </cell>
          <cell r="AD239">
            <v>44.22</v>
          </cell>
        </row>
        <row r="240">
          <cell r="X240">
            <v>7</v>
          </cell>
          <cell r="Y240" t="str">
            <v>Cement concrete 1:5:10 (One of cement, five of sand and ten of hard broken stone) using 40mm size hard broken stone inclusive of shoring, strutting, bailing out water, ramming, curing etc., complete in all respects as directed by the departmental officers</v>
          </cell>
        </row>
        <row r="241">
          <cell r="Y241">
            <v>9</v>
          </cell>
          <cell r="Z241" t="str">
            <v>M³</v>
          </cell>
          <cell r="AA241" t="str">
            <v>Hard broken granite stones 40mm-ISS</v>
          </cell>
          <cell r="AB241">
            <v>346.8</v>
          </cell>
          <cell r="AC241" t="str">
            <v>1M³</v>
          </cell>
          <cell r="AD241">
            <v>3121.2</v>
          </cell>
        </row>
        <row r="242">
          <cell r="Y242">
            <v>4.5</v>
          </cell>
          <cell r="Z242" t="str">
            <v>M³</v>
          </cell>
          <cell r="AA242" t="str">
            <v>Cement mortar 1:5</v>
          </cell>
          <cell r="AB242">
            <v>1009.52</v>
          </cell>
          <cell r="AC242" t="str">
            <v>1M³</v>
          </cell>
          <cell r="AD242">
            <v>4542.84</v>
          </cell>
        </row>
        <row r="243">
          <cell r="Y243">
            <v>1.8</v>
          </cell>
          <cell r="Z243" t="str">
            <v>No</v>
          </cell>
          <cell r="AA243" t="str">
            <v>Mason II class</v>
          </cell>
          <cell r="AB243">
            <v>126</v>
          </cell>
          <cell r="AC243" t="str">
            <v>Each</v>
          </cell>
          <cell r="AD243">
            <v>226.8</v>
          </cell>
        </row>
        <row r="244">
          <cell r="Y244">
            <v>17.7</v>
          </cell>
          <cell r="Z244" t="str">
            <v>No</v>
          </cell>
          <cell r="AA244" t="str">
            <v>Mazdoor category I</v>
          </cell>
          <cell r="AB244">
            <v>85</v>
          </cell>
          <cell r="AC244" t="str">
            <v>Each</v>
          </cell>
          <cell r="AD244">
            <v>1504.5</v>
          </cell>
        </row>
        <row r="245">
          <cell r="Y245">
            <v>14.1</v>
          </cell>
          <cell r="Z245" t="str">
            <v>No</v>
          </cell>
          <cell r="AA245" t="str">
            <v>Mazdoor category II</v>
          </cell>
          <cell r="AB245">
            <v>80</v>
          </cell>
          <cell r="AC245" t="str">
            <v>Each</v>
          </cell>
          <cell r="AD245">
            <v>1128</v>
          </cell>
        </row>
        <row r="247">
          <cell r="AB247" t="str">
            <v>FOR 10 M³      =</v>
          </cell>
          <cell r="AD247">
            <v>10523.34</v>
          </cell>
        </row>
        <row r="249">
          <cell r="AA249" t="str">
            <v>For foundation &amp; Basement</v>
          </cell>
          <cell r="AB249" t="str">
            <v>FOR  1  M³      =</v>
          </cell>
          <cell r="AD249">
            <v>1052.33</v>
          </cell>
        </row>
        <row r="251">
          <cell r="X251">
            <v>8</v>
          </cell>
          <cell r="Y251" t="str">
            <v>Cement concrete 1:2:4 (One of cement, two of sand and four of hard broken granite stones ) using 20mm gauge hard broken granite stones for all reinforced cement concrete works viz. Raft slabs, raft beams, column footing, plinth beam, lintel, square or cir</v>
          </cell>
        </row>
        <row r="252">
          <cell r="Y252">
            <v>9</v>
          </cell>
          <cell r="Z252" t="str">
            <v>M³</v>
          </cell>
          <cell r="AA252" t="str">
            <v xml:space="preserve">20 mm H.B.G.  ISS. Stone </v>
          </cell>
          <cell r="AB252">
            <v>421.8</v>
          </cell>
          <cell r="AC252" t="str">
            <v>1M³</v>
          </cell>
          <cell r="AD252">
            <v>3796.2</v>
          </cell>
        </row>
        <row r="253">
          <cell r="Y253">
            <v>4.5</v>
          </cell>
          <cell r="Z253" t="str">
            <v>M³</v>
          </cell>
          <cell r="AA253" t="str">
            <v>Sand for mortar</v>
          </cell>
          <cell r="AB253">
            <v>165.6</v>
          </cell>
          <cell r="AC253" t="str">
            <v>1M³</v>
          </cell>
          <cell r="AD253">
            <v>745.2</v>
          </cell>
        </row>
        <row r="254">
          <cell r="Y254">
            <v>3.2309999999999999</v>
          </cell>
          <cell r="Z254" t="str">
            <v>MT</v>
          </cell>
          <cell r="AA254" t="str">
            <v>Cement</v>
          </cell>
          <cell r="AB254">
            <v>2840</v>
          </cell>
          <cell r="AC254" t="str">
            <v>1MT</v>
          </cell>
          <cell r="AD254">
            <v>9176.0400000000009</v>
          </cell>
        </row>
        <row r="255">
          <cell r="Y255">
            <v>3.5</v>
          </cell>
          <cell r="Z255" t="str">
            <v>No</v>
          </cell>
          <cell r="AA255" t="str">
            <v>Mason II Class</v>
          </cell>
          <cell r="AB255">
            <v>126</v>
          </cell>
          <cell r="AC255" t="str">
            <v>Each</v>
          </cell>
          <cell r="AD255">
            <v>441</v>
          </cell>
        </row>
        <row r="256">
          <cell r="Y256">
            <v>21.2</v>
          </cell>
          <cell r="Z256" t="str">
            <v>No</v>
          </cell>
          <cell r="AA256" t="str">
            <v>Mazdoor Category I</v>
          </cell>
          <cell r="AB256">
            <v>85</v>
          </cell>
          <cell r="AC256" t="str">
            <v>Each</v>
          </cell>
          <cell r="AD256">
            <v>1802</v>
          </cell>
        </row>
        <row r="257">
          <cell r="Y257">
            <v>35.299999999999997</v>
          </cell>
          <cell r="Z257" t="str">
            <v>No</v>
          </cell>
          <cell r="AA257" t="str">
            <v>Mazdoor Category II</v>
          </cell>
          <cell r="AB257">
            <v>80</v>
          </cell>
          <cell r="AC257" t="str">
            <v>Each</v>
          </cell>
          <cell r="AD257">
            <v>2824</v>
          </cell>
        </row>
        <row r="259">
          <cell r="AA259" t="str">
            <v>Rate excluding vibration charges</v>
          </cell>
          <cell r="AB259" t="str">
            <v xml:space="preserve">FOR 10 M³    =     </v>
          </cell>
          <cell r="AD259">
            <v>18784.440000000002</v>
          </cell>
        </row>
        <row r="261">
          <cell r="AB261" t="str">
            <v xml:space="preserve"> FOR 1 M³     =</v>
          </cell>
          <cell r="AD261">
            <v>1878.44</v>
          </cell>
        </row>
        <row r="262">
          <cell r="AA262" t="str">
            <v>Add vibration charges</v>
          </cell>
          <cell r="AB262" t="str">
            <v xml:space="preserve"> FOR 1 M³     =</v>
          </cell>
          <cell r="AD262">
            <v>20.6</v>
          </cell>
        </row>
        <row r="264">
          <cell r="Z264" t="str">
            <v>A</v>
          </cell>
          <cell r="AA264" t="str">
            <v xml:space="preserve">In Foundation &amp; basement </v>
          </cell>
          <cell r="AB264" t="str">
            <v xml:space="preserve"> FOR 1 M³     =</v>
          </cell>
          <cell r="AD264">
            <v>1899.04</v>
          </cell>
        </row>
        <row r="265">
          <cell r="AA265" t="str">
            <v>Add for lift charges</v>
          </cell>
          <cell r="AC265" t="str">
            <v>`</v>
          </cell>
          <cell r="AD265">
            <v>26.3</v>
          </cell>
        </row>
        <row r="266">
          <cell r="Z266" t="str">
            <v>B</v>
          </cell>
          <cell r="AA266" t="str">
            <v>In Ground floor</v>
          </cell>
          <cell r="AB266" t="str">
            <v xml:space="preserve"> FOR 1 M³     =</v>
          </cell>
          <cell r="AD266">
            <v>1925.34</v>
          </cell>
        </row>
        <row r="268">
          <cell r="X268">
            <v>9</v>
          </cell>
          <cell r="Y268" t="str">
            <v>Reinforced cement concrete 1:2:4 (One of cement, two of sand and four of hard broken granite stones ) using 20mm gauge hard broken granite stones for petty works excluding the cost and fabrication  of reinforcement grills in position but including cost of</v>
          </cell>
        </row>
        <row r="269">
          <cell r="Y269">
            <v>1</v>
          </cell>
          <cell r="Z269" t="str">
            <v>M³</v>
          </cell>
          <cell r="AA269" t="str">
            <v>RCC 1:2:4 (without vibration charges)</v>
          </cell>
          <cell r="AB269">
            <v>1878.44</v>
          </cell>
          <cell r="AC269" t="str">
            <v>1M³</v>
          </cell>
          <cell r="AD269">
            <v>1878.44</v>
          </cell>
        </row>
        <row r="270">
          <cell r="Y270" t="str">
            <v xml:space="preserve">               LS</v>
          </cell>
          <cell r="AA270" t="str">
            <v>Sundries including cost of casting, moulding,curing,finishing etc.</v>
          </cell>
          <cell r="AB270" t="str">
            <v xml:space="preserve">               LS</v>
          </cell>
          <cell r="AD270">
            <v>61.559999999999945</v>
          </cell>
        </row>
        <row r="272">
          <cell r="AA272" t="str">
            <v>In all Floors</v>
          </cell>
          <cell r="AB272" t="str">
            <v xml:space="preserve"> FOR 1 M³     =</v>
          </cell>
          <cell r="AD272">
            <v>1940</v>
          </cell>
        </row>
        <row r="274">
          <cell r="X274">
            <v>10</v>
          </cell>
          <cell r="Y274" t="str">
            <v>Fabricating and placing the following kinds of steel grills for reinforcement for all reinforced cement concrete works such as plinth beam, lintels, beams, sunshade, roof and floor slabs etc., including cost of steel and fabricating the reinforcement gril</v>
          </cell>
        </row>
        <row r="275">
          <cell r="X275" t="str">
            <v>a)</v>
          </cell>
          <cell r="Y275" t="str">
            <v>Steel upto 16mm dia - 100 Kg.</v>
          </cell>
        </row>
        <row r="276">
          <cell r="Y276">
            <v>0.1</v>
          </cell>
          <cell r="Z276" t="str">
            <v>MT</v>
          </cell>
          <cell r="AA276" t="str">
            <v>Steel upto 16mm dia</v>
          </cell>
          <cell r="AB276">
            <v>28000</v>
          </cell>
          <cell r="AC276" t="str">
            <v>1MT</v>
          </cell>
          <cell r="AD276">
            <v>2800</v>
          </cell>
        </row>
        <row r="277">
          <cell r="Y277">
            <v>1</v>
          </cell>
          <cell r="Z277" t="str">
            <v>KG</v>
          </cell>
          <cell r="AA277" t="str">
            <v>Binding wire</v>
          </cell>
          <cell r="AB277">
            <v>30</v>
          </cell>
          <cell r="AC277" t="str">
            <v>1KG</v>
          </cell>
          <cell r="AD277">
            <v>30</v>
          </cell>
        </row>
        <row r="278">
          <cell r="Y278">
            <v>3.5</v>
          </cell>
          <cell r="Z278" t="str">
            <v>No</v>
          </cell>
          <cell r="AA278" t="str">
            <v>Fitter I class for bar bending,tying</v>
          </cell>
          <cell r="AB278">
            <v>106</v>
          </cell>
          <cell r="AC278" t="str">
            <v>Each</v>
          </cell>
          <cell r="AD278">
            <v>371</v>
          </cell>
        </row>
        <row r="280">
          <cell r="AB280" t="str">
            <v>FOR 100KG    =</v>
          </cell>
          <cell r="AD280">
            <v>3201</v>
          </cell>
        </row>
        <row r="282">
          <cell r="AB282" t="str">
            <v>FOR 1 M.T.     =</v>
          </cell>
          <cell r="AD282">
            <v>32010</v>
          </cell>
        </row>
        <row r="284">
          <cell r="X284" t="str">
            <v>b)</v>
          </cell>
          <cell r="Y284" t="str">
            <v>Steel above 16mm dia - 100Kg.</v>
          </cell>
        </row>
        <row r="285">
          <cell r="Y285">
            <v>0.1</v>
          </cell>
          <cell r="Z285" t="str">
            <v>MT</v>
          </cell>
          <cell r="AA285" t="str">
            <v>Steel above 16mm dia</v>
          </cell>
          <cell r="AB285">
            <v>24000</v>
          </cell>
          <cell r="AC285" t="str">
            <v>1MT</v>
          </cell>
          <cell r="AD285">
            <v>2400</v>
          </cell>
        </row>
        <row r="286">
          <cell r="Y286">
            <v>1</v>
          </cell>
          <cell r="Z286" t="str">
            <v>KG</v>
          </cell>
          <cell r="AA286" t="str">
            <v>Binding wire</v>
          </cell>
          <cell r="AB286">
            <v>30</v>
          </cell>
          <cell r="AC286" t="str">
            <v>1KG</v>
          </cell>
          <cell r="AD286">
            <v>30</v>
          </cell>
        </row>
        <row r="287">
          <cell r="Y287">
            <v>3.5</v>
          </cell>
          <cell r="Z287" t="str">
            <v>No</v>
          </cell>
          <cell r="AA287" t="str">
            <v>Fitter I class for bar bending,tying</v>
          </cell>
          <cell r="AB287">
            <v>106</v>
          </cell>
          <cell r="AC287" t="str">
            <v>Each</v>
          </cell>
          <cell r="AD287">
            <v>371</v>
          </cell>
        </row>
        <row r="289">
          <cell r="AB289" t="str">
            <v>FOR 100KG    =</v>
          </cell>
          <cell r="AD289">
            <v>2801</v>
          </cell>
        </row>
        <row r="291">
          <cell r="AB291" t="str">
            <v>FOR 1 M.T.     =</v>
          </cell>
          <cell r="AD291">
            <v>28010</v>
          </cell>
        </row>
        <row r="293">
          <cell r="X293">
            <v>11</v>
          </cell>
          <cell r="Y293" t="str">
            <v>Providing form work for  all reinforced cement concrete works like lintels, beams,etc., including strutting 3M high using Mild steel sheets of size 90cm × 60cm and B.G. 10, stiffened with Mild steel Angles of size 25mm × 25mm × 3mm laid over Silver oak (c</v>
          </cell>
        </row>
        <row r="294">
          <cell r="Y294" t="str">
            <v>cost of M.S. Sheet and angles for each set weight of M.S.Sheet B.G. 10 of size 90cm × 60cm × 3.175mm (3.175mm thick)</v>
          </cell>
        </row>
        <row r="295">
          <cell r="Y295" t="str">
            <v>(Weight of M.S.Sheet =7850 kg/ M³)</v>
          </cell>
        </row>
        <row r="296">
          <cell r="Y296" t="str">
            <v>3.175mm × 7850kg/ 1000cm³=24.924kg × 0.54M²=13.46kg.</v>
          </cell>
        </row>
        <row r="297">
          <cell r="Y297" t="str">
            <v>weight of M.S.angles of size 25mm × 25mm × 3mm= 3.6M × 1.10kg/ M= 4kg</v>
          </cell>
        </row>
        <row r="298">
          <cell r="Y298" t="str">
            <v>SUB DATA 1 FOR COST OF ONE SHEET WITH ANGLES</v>
          </cell>
        </row>
        <row r="299">
          <cell r="Y299">
            <v>13.46</v>
          </cell>
          <cell r="Z299" t="str">
            <v>kg</v>
          </cell>
          <cell r="AA299" t="str">
            <v>Cost of M.S. Sheet</v>
          </cell>
          <cell r="AB299">
            <v>30</v>
          </cell>
          <cell r="AC299" t="str">
            <v>1Kg</v>
          </cell>
          <cell r="AD299">
            <v>403.8</v>
          </cell>
        </row>
        <row r="300">
          <cell r="Y300">
            <v>4</v>
          </cell>
          <cell r="Z300" t="str">
            <v>kg</v>
          </cell>
          <cell r="AA300" t="str">
            <v>Cost of M.S. Angles</v>
          </cell>
          <cell r="AB300">
            <v>30</v>
          </cell>
          <cell r="AC300" t="str">
            <v>1Kg</v>
          </cell>
          <cell r="AD300">
            <v>120</v>
          </cell>
        </row>
        <row r="301">
          <cell r="Y301" t="str">
            <v>L.S.</v>
          </cell>
          <cell r="AA301" t="str">
            <v>Add for cutting, bending, welding etc.,</v>
          </cell>
          <cell r="AC301" t="str">
            <v>L.S.</v>
          </cell>
          <cell r="AD301">
            <v>26.2</v>
          </cell>
        </row>
        <row r="302">
          <cell r="AB302" t="str">
            <v>FOR 1No  =</v>
          </cell>
          <cell r="AD302">
            <v>550</v>
          </cell>
        </row>
        <row r="303">
          <cell r="Y303" t="str">
            <v xml:space="preserve">SUB DATA 2 FOR COST OF M.S. SHEETS AND ANGLES FOR 1 USE ADOPTING 40 USES - 10M² </v>
          </cell>
        </row>
        <row r="304">
          <cell r="Y304">
            <v>19</v>
          </cell>
          <cell r="Z304" t="str">
            <v>nos</v>
          </cell>
          <cell r="AA304" t="str">
            <v>Cost of M.S.Sheet and Angle for 40 Uses</v>
          </cell>
          <cell r="AB304">
            <v>550</v>
          </cell>
          <cell r="AC304" t="str">
            <v>Each</v>
          </cell>
          <cell r="AD304">
            <v>10450</v>
          </cell>
        </row>
        <row r="306">
          <cell r="Y306" t="str">
            <v>Hence cost of M.S.Sheet and Angle for 1 Use =</v>
          </cell>
          <cell r="AB306">
            <v>10450</v>
          </cell>
          <cell r="AC306" t="str">
            <v xml:space="preserve"> ÷ 40   = </v>
          </cell>
          <cell r="AD306">
            <v>261.25</v>
          </cell>
        </row>
        <row r="308">
          <cell r="Y308" t="str">
            <v xml:space="preserve">SUB DATA 3 FOR COST OF  SILVER OAK JOISTS AND CASURINA PROPS ADOPTING 5 USES - 10M² </v>
          </cell>
        </row>
        <row r="309">
          <cell r="Y309">
            <v>0.12</v>
          </cell>
          <cell r="Z309" t="str">
            <v>M³</v>
          </cell>
          <cell r="AA309" t="str">
            <v>Silver oak (C.W.) joists 10cm × 6.5cm at about 90cm c/c</v>
          </cell>
          <cell r="AB309">
            <v>9300</v>
          </cell>
          <cell r="AC309" t="str">
            <v>1M³</v>
          </cell>
          <cell r="AD309">
            <v>1116</v>
          </cell>
        </row>
        <row r="310">
          <cell r="Y310">
            <v>98.5</v>
          </cell>
          <cell r="Z310" t="str">
            <v>RM</v>
          </cell>
          <cell r="AA310" t="str">
            <v>Casurina poles 10cm to 13cm dia at about 75cm c/c</v>
          </cell>
          <cell r="AB310">
            <v>15</v>
          </cell>
          <cell r="AC310" t="str">
            <v>1RM</v>
          </cell>
          <cell r="AD310">
            <v>1477.5</v>
          </cell>
        </row>
        <row r="311">
          <cell r="AA311" t="str">
            <v>FOR 5 USES OF 10M²  =</v>
          </cell>
          <cell r="AD311">
            <v>2593.5</v>
          </cell>
        </row>
        <row r="313">
          <cell r="Y313" t="str">
            <v>Hence cost of silver oak joists and casurina props for 1 Use =</v>
          </cell>
          <cell r="AB313">
            <v>2593.5</v>
          </cell>
          <cell r="AC313" t="str">
            <v xml:space="preserve"> ÷ 5   = </v>
          </cell>
          <cell r="AD313">
            <v>518.70000000000005</v>
          </cell>
        </row>
        <row r="314">
          <cell r="Y314" t="str">
            <v>MAIN DATA FOR CENTERING FOR  10M²</v>
          </cell>
        </row>
        <row r="315">
          <cell r="Y315">
            <v>10</v>
          </cell>
          <cell r="Z315" t="str">
            <v>M²</v>
          </cell>
          <cell r="AA315" t="str">
            <v xml:space="preserve"> M.S.Sheet and Angle for 1 Use </v>
          </cell>
          <cell r="AB315">
            <v>261.25</v>
          </cell>
          <cell r="AC315" t="str">
            <v>10M²</v>
          </cell>
          <cell r="AD315">
            <v>261.25</v>
          </cell>
        </row>
        <row r="316">
          <cell r="Y316">
            <v>10</v>
          </cell>
          <cell r="Z316" t="str">
            <v>M²</v>
          </cell>
          <cell r="AA316" t="str">
            <v xml:space="preserve">Silver oak joists and casurina props for 1 Use </v>
          </cell>
          <cell r="AB316">
            <v>518.70000000000005</v>
          </cell>
          <cell r="AC316" t="str">
            <v>10M²</v>
          </cell>
          <cell r="AD316">
            <v>518.70000000000005</v>
          </cell>
        </row>
        <row r="317">
          <cell r="Y317">
            <v>3.8</v>
          </cell>
          <cell r="Z317" t="str">
            <v>Nos</v>
          </cell>
          <cell r="AA317" t="str">
            <v>Carpenter I class</v>
          </cell>
          <cell r="AB317">
            <v>148</v>
          </cell>
          <cell r="AC317" t="str">
            <v>Each</v>
          </cell>
          <cell r="AD317">
            <v>562.4</v>
          </cell>
        </row>
        <row r="318">
          <cell r="Y318">
            <v>5.4</v>
          </cell>
          <cell r="Z318" t="str">
            <v>Nos</v>
          </cell>
          <cell r="AA318" t="str">
            <v>Mazdoor I class</v>
          </cell>
          <cell r="AB318">
            <v>85</v>
          </cell>
          <cell r="AC318" t="str">
            <v>Each</v>
          </cell>
          <cell r="AD318">
            <v>459</v>
          </cell>
        </row>
        <row r="319">
          <cell r="Y319">
            <v>1</v>
          </cell>
          <cell r="Z319" t="str">
            <v>No</v>
          </cell>
          <cell r="AA319" t="str">
            <v>Fitter II class</v>
          </cell>
          <cell r="AB319">
            <v>98</v>
          </cell>
          <cell r="AC319" t="str">
            <v>Each</v>
          </cell>
          <cell r="AD319">
            <v>98</v>
          </cell>
        </row>
        <row r="320">
          <cell r="Y320" t="str">
            <v>L.S.</v>
          </cell>
          <cell r="AA320" t="str">
            <v>Silver oak planks</v>
          </cell>
          <cell r="AB320" t="str">
            <v>L.S.</v>
          </cell>
          <cell r="AD320">
            <v>9</v>
          </cell>
        </row>
        <row r="321">
          <cell r="Y321" t="str">
            <v>L.S.</v>
          </cell>
          <cell r="AA321" t="str">
            <v>Wedges nails coir etc.,</v>
          </cell>
          <cell r="AB321" t="str">
            <v>L.S.</v>
          </cell>
          <cell r="AD321">
            <v>10</v>
          </cell>
        </row>
        <row r="322">
          <cell r="Y322" t="str">
            <v>L.S.</v>
          </cell>
          <cell r="AA322" t="str">
            <v>Periodical cleaning and painting of the MS Sheet &amp; angles</v>
          </cell>
          <cell r="AB322" t="str">
            <v>L.S.</v>
          </cell>
          <cell r="AD322">
            <v>50</v>
          </cell>
        </row>
        <row r="324">
          <cell r="AB324" t="str">
            <v>FOR 10 M²    =</v>
          </cell>
          <cell r="AD324">
            <v>1968.35</v>
          </cell>
        </row>
        <row r="326">
          <cell r="Z326" t="str">
            <v>a)</v>
          </cell>
          <cell r="AA326" t="str">
            <v>For Slabs, Lintels, Beams etc.</v>
          </cell>
          <cell r="AB326" t="str">
            <v>FOR 1 M²      =</v>
          </cell>
          <cell r="AD326">
            <v>196.84</v>
          </cell>
        </row>
        <row r="328">
          <cell r="Z328" t="str">
            <v>b)</v>
          </cell>
          <cell r="AA328" t="str">
            <v>For Plinth Beam/Raft Beam etc.not requiring strutting 3 metre high.</v>
          </cell>
          <cell r="AB328" t="str">
            <v>FOR 1 M²      =</v>
          </cell>
          <cell r="AD328">
            <v>98.42</v>
          </cell>
        </row>
        <row r="330">
          <cell r="X330">
            <v>12</v>
          </cell>
          <cell r="Y330" t="str">
            <v>Plastering the top of flooring with cement mortar 1:5 (One of cement and five of sand) 20mm thick including providing band cornice, finishing smooth, proper setting, curing etc., complete as directed by the departmental officers - 10M²</v>
          </cell>
        </row>
        <row r="331">
          <cell r="Y331">
            <v>0.22</v>
          </cell>
          <cell r="Z331" t="str">
            <v>M³</v>
          </cell>
          <cell r="AA331" t="str">
            <v>Cement Mortar 1:5</v>
          </cell>
          <cell r="AB331">
            <v>1009.52</v>
          </cell>
          <cell r="AC331" t="str">
            <v>1M³</v>
          </cell>
          <cell r="AD331">
            <v>222.09</v>
          </cell>
        </row>
        <row r="332">
          <cell r="Y332">
            <v>2.2000000000000002</v>
          </cell>
          <cell r="Z332" t="str">
            <v>No</v>
          </cell>
          <cell r="AA332" t="str">
            <v>Mason I class</v>
          </cell>
          <cell r="AB332">
            <v>148</v>
          </cell>
          <cell r="AC332" t="str">
            <v>Each</v>
          </cell>
          <cell r="AD332">
            <v>325.60000000000002</v>
          </cell>
        </row>
        <row r="333">
          <cell r="Y333">
            <v>0.5</v>
          </cell>
          <cell r="Z333" t="str">
            <v>No</v>
          </cell>
          <cell r="AA333" t="str">
            <v>Mazdoor I class</v>
          </cell>
          <cell r="AB333">
            <v>85</v>
          </cell>
          <cell r="AC333" t="str">
            <v>Each</v>
          </cell>
          <cell r="AD333">
            <v>42.5</v>
          </cell>
        </row>
        <row r="334">
          <cell r="Y334">
            <v>3.2</v>
          </cell>
          <cell r="Z334" t="str">
            <v>No</v>
          </cell>
          <cell r="AA334" t="str">
            <v>Mazdoor II class</v>
          </cell>
          <cell r="AB334">
            <v>80</v>
          </cell>
          <cell r="AC334" t="str">
            <v>Each</v>
          </cell>
          <cell r="AD334">
            <v>256</v>
          </cell>
        </row>
        <row r="335">
          <cell r="Y335" t="str">
            <v/>
          </cell>
        </row>
        <row r="336">
          <cell r="AB336" t="str">
            <v>FOR 10 M²    =</v>
          </cell>
          <cell r="AD336">
            <v>846.19</v>
          </cell>
        </row>
        <row r="338">
          <cell r="AA338" t="str">
            <v>In all Floors</v>
          </cell>
          <cell r="AB338" t="str">
            <v>FOR 1 M²      =</v>
          </cell>
          <cell r="AD338">
            <v>84.62</v>
          </cell>
        </row>
        <row r="340">
          <cell r="X340">
            <v>13</v>
          </cell>
          <cell r="Y340" t="str">
            <v>Plastering the walls with cement mortar 1:5 (One of cement and five of sand) 12mm thick including finishing smooth, scaffolding, setting, curing etc., complete as directed by the departmental officers - 10M².</v>
          </cell>
        </row>
        <row r="341">
          <cell r="Y341">
            <v>0.14000000000000001</v>
          </cell>
          <cell r="Z341" t="str">
            <v>M³</v>
          </cell>
          <cell r="AA341" t="str">
            <v>Cement Mortar 1:5</v>
          </cell>
          <cell r="AB341">
            <v>1009.52</v>
          </cell>
          <cell r="AC341" t="str">
            <v>1M³</v>
          </cell>
          <cell r="AD341">
            <v>141.33000000000001</v>
          </cell>
        </row>
        <row r="342">
          <cell r="Y342">
            <v>1.1000000000000001</v>
          </cell>
          <cell r="Z342" t="str">
            <v>No</v>
          </cell>
          <cell r="AA342" t="str">
            <v>Mason I class</v>
          </cell>
          <cell r="AB342">
            <v>148</v>
          </cell>
          <cell r="AC342" t="str">
            <v>Each</v>
          </cell>
          <cell r="AD342">
            <v>162.80000000000001</v>
          </cell>
        </row>
        <row r="343">
          <cell r="Y343">
            <v>0.5</v>
          </cell>
          <cell r="Z343" t="str">
            <v>No</v>
          </cell>
          <cell r="AA343" t="str">
            <v>Mazdoor I class</v>
          </cell>
          <cell r="AB343">
            <v>85</v>
          </cell>
          <cell r="AC343" t="str">
            <v>Each</v>
          </cell>
          <cell r="AD343">
            <v>42.5</v>
          </cell>
        </row>
        <row r="344">
          <cell r="Y344">
            <v>1.1000000000000001</v>
          </cell>
          <cell r="Z344" t="str">
            <v>No</v>
          </cell>
          <cell r="AA344" t="str">
            <v>Mazdoor II class</v>
          </cell>
          <cell r="AB344">
            <v>80</v>
          </cell>
          <cell r="AC344" t="str">
            <v>Each</v>
          </cell>
          <cell r="AD344">
            <v>88</v>
          </cell>
        </row>
        <row r="345">
          <cell r="Y345" t="str">
            <v/>
          </cell>
        </row>
        <row r="346">
          <cell r="AB346" t="str">
            <v>FOR 10 M²    =</v>
          </cell>
          <cell r="AD346">
            <v>434.63</v>
          </cell>
        </row>
        <row r="348">
          <cell r="AA348" t="str">
            <v>In all Floors</v>
          </cell>
          <cell r="AB348" t="str">
            <v>FOR 1 M²      =</v>
          </cell>
          <cell r="AD348">
            <v>43.46</v>
          </cell>
        </row>
        <row r="350">
          <cell r="X350">
            <v>14</v>
          </cell>
          <cell r="Y350" t="str">
            <v>Plastering the top of roof slab with cement mortar 1:5 (One of cement and five of sand) 12mm thick with crude oil 5%by weight of cement used including finishing smooth, scaffolding, setting, curing etc., complete as directed by the departmental officers -</v>
          </cell>
        </row>
        <row r="351">
          <cell r="Y351">
            <v>10</v>
          </cell>
          <cell r="Z351" t="str">
            <v>M²</v>
          </cell>
          <cell r="AA351" t="str">
            <v>Cement Mortar 1:5, 12mm thick</v>
          </cell>
          <cell r="AB351">
            <v>434.63</v>
          </cell>
          <cell r="AC351" t="str">
            <v>10M²</v>
          </cell>
          <cell r="AD351">
            <v>434.63</v>
          </cell>
        </row>
        <row r="352">
          <cell r="Y352">
            <v>2.02</v>
          </cell>
          <cell r="Z352" t="str">
            <v>Kg</v>
          </cell>
          <cell r="AA352" t="str">
            <v>Crude oil</v>
          </cell>
          <cell r="AB352">
            <v>16</v>
          </cell>
          <cell r="AC352" t="str">
            <v>1Kg</v>
          </cell>
          <cell r="AD352">
            <v>32.32</v>
          </cell>
        </row>
        <row r="353">
          <cell r="Y353" t="str">
            <v/>
          </cell>
        </row>
        <row r="354">
          <cell r="AB354" t="str">
            <v>FOR 10 M²    =</v>
          </cell>
          <cell r="AD354">
            <v>466.95</v>
          </cell>
        </row>
        <row r="356">
          <cell r="AA356" t="str">
            <v>In all Floors</v>
          </cell>
          <cell r="AB356" t="str">
            <v>FOR 1 M²      =</v>
          </cell>
          <cell r="AD356">
            <v>46.7</v>
          </cell>
        </row>
        <row r="358">
          <cell r="X358">
            <v>15</v>
          </cell>
          <cell r="Y358" t="str">
            <v>Refilling with selected excavated earth complying with standard specifications for refilling in foundation and basement etc., complete as directed by the departmental officers - 1M³</v>
          </cell>
        </row>
        <row r="359">
          <cell r="Y359">
            <v>1</v>
          </cell>
          <cell r="Z359" t="str">
            <v>M³</v>
          </cell>
          <cell r="AA359" t="str">
            <v>Filling in foundation and basement</v>
          </cell>
          <cell r="AB359">
            <v>8.75</v>
          </cell>
          <cell r="AC359" t="str">
            <v>1M³</v>
          </cell>
          <cell r="AD359">
            <v>8.75</v>
          </cell>
        </row>
        <row r="361">
          <cell r="AB361" t="str">
            <v>FOR  1  M³      =</v>
          </cell>
          <cell r="AD361">
            <v>8.75</v>
          </cell>
        </row>
        <row r="362">
          <cell r="X362">
            <v>16</v>
          </cell>
          <cell r="Y362" t="str">
            <v xml:space="preserve">Brick work in cement mortar 1:6 (One of cement and six of sand) using  II Class Chamber Burnt Bricks  (Table moulded) of size 9"×4-3/8"×2-3/4" including proper setting, curing, etc., complete in all respects - 10M³. </v>
          </cell>
        </row>
        <row r="363">
          <cell r="Y363">
            <v>4600</v>
          </cell>
          <cell r="Z363" t="str">
            <v>No</v>
          </cell>
          <cell r="AA363" t="str">
            <v>Bricks Class II (Table moulded) Chamber Burnt  of size 9"×4-3/8"×2-3/4"</v>
          </cell>
          <cell r="AB363">
            <v>1840.1</v>
          </cell>
          <cell r="AC363" t="str">
            <v>1000No</v>
          </cell>
          <cell r="AD363">
            <v>8464.4599999999991</v>
          </cell>
        </row>
        <row r="364">
          <cell r="Y364">
            <v>2.5</v>
          </cell>
          <cell r="Z364" t="str">
            <v>M³</v>
          </cell>
          <cell r="AA364" t="str">
            <v>Cement mortar 1:6</v>
          </cell>
          <cell r="AB364">
            <v>873.2</v>
          </cell>
          <cell r="AC364" t="str">
            <v>1M³</v>
          </cell>
          <cell r="AD364">
            <v>2183</v>
          </cell>
        </row>
        <row r="365">
          <cell r="Y365">
            <v>3.5</v>
          </cell>
          <cell r="Z365" t="str">
            <v>No</v>
          </cell>
          <cell r="AA365" t="str">
            <v>Mason I class</v>
          </cell>
          <cell r="AB365">
            <v>148</v>
          </cell>
          <cell r="AC365" t="str">
            <v>Each</v>
          </cell>
          <cell r="AD365">
            <v>518</v>
          </cell>
        </row>
        <row r="366">
          <cell r="Y366">
            <v>10.6</v>
          </cell>
          <cell r="Z366" t="str">
            <v>No</v>
          </cell>
          <cell r="AA366" t="str">
            <v>Mason II class</v>
          </cell>
          <cell r="AB366">
            <v>126</v>
          </cell>
          <cell r="AC366" t="str">
            <v>Each</v>
          </cell>
          <cell r="AD366">
            <v>1335.6</v>
          </cell>
        </row>
        <row r="367">
          <cell r="Y367">
            <v>7.1</v>
          </cell>
          <cell r="Z367" t="str">
            <v>No</v>
          </cell>
          <cell r="AA367" t="str">
            <v>Mazdoor category I</v>
          </cell>
          <cell r="AB367">
            <v>85</v>
          </cell>
          <cell r="AC367" t="str">
            <v>Each</v>
          </cell>
          <cell r="AD367">
            <v>603.5</v>
          </cell>
        </row>
        <row r="368">
          <cell r="Y368">
            <v>21.2</v>
          </cell>
          <cell r="Z368" t="str">
            <v>No</v>
          </cell>
          <cell r="AA368" t="str">
            <v>Mazdoor category II</v>
          </cell>
          <cell r="AB368">
            <v>80</v>
          </cell>
          <cell r="AC368" t="str">
            <v>Each</v>
          </cell>
          <cell r="AD368">
            <v>1696</v>
          </cell>
        </row>
        <row r="370">
          <cell r="AB370" t="str">
            <v>FOR 10 M³      =</v>
          </cell>
          <cell r="AD370">
            <v>14800.56</v>
          </cell>
        </row>
        <row r="372">
          <cell r="Z372" t="str">
            <v>A</v>
          </cell>
          <cell r="AA372" t="str">
            <v>In Foundation &amp; Basement</v>
          </cell>
          <cell r="AB372" t="str">
            <v>FOR  1  M³      =</v>
          </cell>
          <cell r="AD372">
            <v>1480.06</v>
          </cell>
        </row>
        <row r="373">
          <cell r="AA373" t="str">
            <v>Add for lift charges</v>
          </cell>
          <cell r="AD373">
            <v>17.5</v>
          </cell>
        </row>
        <row r="374">
          <cell r="Z374" t="str">
            <v>B</v>
          </cell>
          <cell r="AA374" t="str">
            <v>In ground Floor</v>
          </cell>
          <cell r="AB374" t="str">
            <v>FOR  1  M³      =</v>
          </cell>
          <cell r="AD374">
            <v>1497.56</v>
          </cell>
        </row>
        <row r="376">
          <cell r="X376">
            <v>17</v>
          </cell>
          <cell r="Y376" t="str">
            <v>Brick partition wall 11cm thick in cement mortar 1:6 (One of cement and six of sand) using II Class Chamber Burnt Bricks (Table moulded) of size 9"×4-3/8"×2-3/4" including  proper setting, curing, etc., complete in all respects. - 10M²</v>
          </cell>
        </row>
        <row r="377">
          <cell r="AA377" t="str">
            <v>Sub-Data                                  --10M³</v>
          </cell>
        </row>
        <row r="378">
          <cell r="Y378">
            <v>4600</v>
          </cell>
          <cell r="Z378" t="str">
            <v>No</v>
          </cell>
          <cell r="AA378" t="str">
            <v>Bricks Class II (Table moulded) Chamber Burnt  of size 9"×4-3/8"×2-3/4"</v>
          </cell>
          <cell r="AB378">
            <v>1840.1</v>
          </cell>
          <cell r="AC378" t="str">
            <v>1000No</v>
          </cell>
          <cell r="AD378">
            <v>8464.4599999999991</v>
          </cell>
        </row>
        <row r="379">
          <cell r="Y379">
            <v>1.59</v>
          </cell>
          <cell r="Z379" t="str">
            <v>M³</v>
          </cell>
          <cell r="AA379" t="str">
            <v>Cement mortar 1:6</v>
          </cell>
          <cell r="AB379">
            <v>873.2</v>
          </cell>
          <cell r="AC379" t="str">
            <v>1M³</v>
          </cell>
          <cell r="AD379">
            <v>1388.39</v>
          </cell>
        </row>
        <row r="380">
          <cell r="Y380">
            <v>7</v>
          </cell>
          <cell r="Z380" t="str">
            <v>No</v>
          </cell>
          <cell r="AA380" t="str">
            <v>Mason I class</v>
          </cell>
          <cell r="AB380">
            <v>148</v>
          </cell>
          <cell r="AC380" t="str">
            <v>Each</v>
          </cell>
          <cell r="AD380">
            <v>1036</v>
          </cell>
        </row>
        <row r="381">
          <cell r="Y381">
            <v>7.1</v>
          </cell>
          <cell r="Z381" t="str">
            <v>No</v>
          </cell>
          <cell r="AA381" t="str">
            <v>Mason II class</v>
          </cell>
          <cell r="AB381">
            <v>126</v>
          </cell>
          <cell r="AC381" t="str">
            <v>Each</v>
          </cell>
          <cell r="AD381">
            <v>894.6</v>
          </cell>
        </row>
        <row r="382">
          <cell r="Y382">
            <v>7.1</v>
          </cell>
          <cell r="Z382" t="str">
            <v>No</v>
          </cell>
          <cell r="AA382" t="str">
            <v>Mazdoor category I</v>
          </cell>
          <cell r="AB382">
            <v>85</v>
          </cell>
          <cell r="AC382" t="str">
            <v>Each</v>
          </cell>
          <cell r="AD382">
            <v>603.5</v>
          </cell>
        </row>
        <row r="383">
          <cell r="Y383">
            <v>21.2</v>
          </cell>
          <cell r="Z383" t="str">
            <v>No</v>
          </cell>
          <cell r="AA383" t="str">
            <v>Mazdoor category II</v>
          </cell>
          <cell r="AB383">
            <v>80</v>
          </cell>
          <cell r="AC383" t="str">
            <v>Each</v>
          </cell>
          <cell r="AD383">
            <v>1696</v>
          </cell>
        </row>
        <row r="385">
          <cell r="AB385" t="str">
            <v>FOR 10 M³      =</v>
          </cell>
          <cell r="AD385">
            <v>14082.949999999999</v>
          </cell>
        </row>
        <row r="387">
          <cell r="AB387" t="str">
            <v>FOR  1 M³       =</v>
          </cell>
          <cell r="AD387">
            <v>1408.3</v>
          </cell>
        </row>
        <row r="388">
          <cell r="AA388" t="str">
            <v>Main-Data                                 --10M²</v>
          </cell>
        </row>
        <row r="390">
          <cell r="Y390">
            <v>1.1100000000000001</v>
          </cell>
          <cell r="Z390" t="str">
            <v>M³</v>
          </cell>
          <cell r="AA390" t="str">
            <v>Brick partition wall in cement mortar 1:6</v>
          </cell>
          <cell r="AB390">
            <v>1408.3</v>
          </cell>
          <cell r="AC390" t="str">
            <v>1M³</v>
          </cell>
          <cell r="AD390">
            <v>1563.21</v>
          </cell>
        </row>
        <row r="391">
          <cell r="Y391">
            <v>1</v>
          </cell>
          <cell r="Z391" t="str">
            <v>No</v>
          </cell>
          <cell r="AA391" t="str">
            <v>Mason I class</v>
          </cell>
          <cell r="AB391">
            <v>148</v>
          </cell>
          <cell r="AC391" t="str">
            <v>Each</v>
          </cell>
          <cell r="AD391">
            <v>148</v>
          </cell>
        </row>
        <row r="393">
          <cell r="AB393" t="str">
            <v>FOR 10 M²      =</v>
          </cell>
          <cell r="AD393">
            <v>1711.21</v>
          </cell>
        </row>
        <row r="395">
          <cell r="Z395" t="str">
            <v>A</v>
          </cell>
          <cell r="AA395" t="str">
            <v>In Foundation &amp; Basement</v>
          </cell>
          <cell r="AB395" t="str">
            <v>FOR  1 M²       =</v>
          </cell>
          <cell r="AD395">
            <v>171.12</v>
          </cell>
        </row>
        <row r="396">
          <cell r="AA396" t="str">
            <v>Add for lift charges</v>
          </cell>
          <cell r="AD396">
            <v>1.92</v>
          </cell>
        </row>
        <row r="397">
          <cell r="Z397" t="str">
            <v>B</v>
          </cell>
          <cell r="AA397" t="str">
            <v>In ground Floor</v>
          </cell>
          <cell r="AB397" t="str">
            <v>FOR  1 M²       =</v>
          </cell>
          <cell r="AD397">
            <v>173.04</v>
          </cell>
        </row>
        <row r="399">
          <cell r="X399">
            <v>18</v>
          </cell>
          <cell r="Y399" t="e">
            <v>#REF!</v>
          </cell>
        </row>
        <row r="400">
          <cell r="Y400">
            <v>1</v>
          </cell>
          <cell r="Z400" t="str">
            <v>M³</v>
          </cell>
          <cell r="AA400" t="str">
            <v>Filling with brick jelly 40mm size</v>
          </cell>
          <cell r="AB400">
            <v>235.2</v>
          </cell>
          <cell r="AC400" t="str">
            <v>1M³</v>
          </cell>
          <cell r="AD400">
            <v>235.2</v>
          </cell>
        </row>
        <row r="402">
          <cell r="AB402" t="str">
            <v>FOR 1 M3      =</v>
          </cell>
          <cell r="AD402">
            <v>235.2</v>
          </cell>
        </row>
        <row r="404">
          <cell r="X404">
            <v>16</v>
          </cell>
          <cell r="Y404" t="str">
            <v xml:space="preserve">Brick work in cement mortar 1:6 (One of cement and six of sand) using III class Kiln burnt country bricks of size 8-¾"×4-¼"×2-¼" including proper setting, curing, etc., complete in all respects - 10M³. </v>
          </cell>
        </row>
        <row r="405">
          <cell r="Y405">
            <v>6000</v>
          </cell>
          <cell r="Z405" t="str">
            <v>Nos</v>
          </cell>
          <cell r="AA405" t="str">
            <v>III class Kiln burnt country bricks of size 8-¾"×4-¼"×2-¼"</v>
          </cell>
          <cell r="AB405">
            <v>1337.3</v>
          </cell>
          <cell r="AC405" t="str">
            <v>1000No</v>
          </cell>
          <cell r="AD405">
            <v>8023.8</v>
          </cell>
        </row>
        <row r="406">
          <cell r="Y406">
            <v>2.8</v>
          </cell>
          <cell r="Z406" t="str">
            <v>M³</v>
          </cell>
          <cell r="AA406" t="str">
            <v>Cement mortar 1:6</v>
          </cell>
          <cell r="AB406">
            <v>873.2</v>
          </cell>
          <cell r="AC406" t="str">
            <v>1M³</v>
          </cell>
          <cell r="AD406">
            <v>2444.96</v>
          </cell>
        </row>
        <row r="407">
          <cell r="Y407">
            <v>3.5</v>
          </cell>
          <cell r="Z407" t="str">
            <v>No</v>
          </cell>
          <cell r="AA407" t="str">
            <v>Mason I class</v>
          </cell>
          <cell r="AB407">
            <v>148</v>
          </cell>
          <cell r="AC407" t="str">
            <v>Each</v>
          </cell>
          <cell r="AD407">
            <v>518</v>
          </cell>
        </row>
        <row r="408">
          <cell r="Y408">
            <v>7.1</v>
          </cell>
          <cell r="Z408" t="str">
            <v>No</v>
          </cell>
          <cell r="AA408" t="str">
            <v>Mason II class</v>
          </cell>
          <cell r="AB408">
            <v>126</v>
          </cell>
          <cell r="AC408" t="str">
            <v>Each</v>
          </cell>
          <cell r="AD408">
            <v>894.6</v>
          </cell>
        </row>
        <row r="409">
          <cell r="Y409">
            <v>7.1</v>
          </cell>
          <cell r="Z409" t="str">
            <v>No</v>
          </cell>
          <cell r="AA409" t="str">
            <v>Mazdoor category I</v>
          </cell>
          <cell r="AB409">
            <v>85</v>
          </cell>
          <cell r="AC409" t="str">
            <v>Each</v>
          </cell>
          <cell r="AD409">
            <v>603.5</v>
          </cell>
        </row>
        <row r="410">
          <cell r="Y410">
            <v>14.1</v>
          </cell>
          <cell r="Z410" t="str">
            <v>No</v>
          </cell>
          <cell r="AA410" t="str">
            <v>Mazdoor category II</v>
          </cell>
          <cell r="AB410">
            <v>80</v>
          </cell>
          <cell r="AC410" t="str">
            <v>Each</v>
          </cell>
          <cell r="AD410">
            <v>1128</v>
          </cell>
        </row>
        <row r="412">
          <cell r="AB412" t="str">
            <v>FOR 10 M³      =</v>
          </cell>
          <cell r="AD412">
            <v>13612.86</v>
          </cell>
        </row>
        <row r="414">
          <cell r="Z414" t="str">
            <v>A</v>
          </cell>
          <cell r="AA414" t="str">
            <v>In Foundation &amp; Basement</v>
          </cell>
          <cell r="AB414" t="str">
            <v>FOR  1  M³      =</v>
          </cell>
          <cell r="AD414">
            <v>1361.29</v>
          </cell>
        </row>
        <row r="415">
          <cell r="AA415" t="str">
            <v>Add for lift charges</v>
          </cell>
          <cell r="AD415">
            <v>17.5</v>
          </cell>
        </row>
        <row r="416">
          <cell r="Z416" t="str">
            <v>B</v>
          </cell>
          <cell r="AA416" t="str">
            <v>In ground Floor</v>
          </cell>
          <cell r="AB416" t="str">
            <v>FOR  1  M³      =</v>
          </cell>
          <cell r="AD416">
            <v>1378.79</v>
          </cell>
        </row>
        <row r="418">
          <cell r="X418">
            <v>17</v>
          </cell>
          <cell r="Y418" t="str">
            <v>Brick partition wall 11cm thick in cement mortar 1:6 (One of cement and six of sand) using III class Kiln burnt country bricks of size 8-¾"×4-¼"×2-¼" including  proper setting, curing, etc., complete in all respects. - 10M²</v>
          </cell>
        </row>
        <row r="419">
          <cell r="AA419" t="str">
            <v>Sub-Data                                  --10M³</v>
          </cell>
        </row>
        <row r="420">
          <cell r="Y420">
            <v>6000</v>
          </cell>
          <cell r="Z420" t="str">
            <v>Nos</v>
          </cell>
          <cell r="AA420" t="str">
            <v>III class Kiln burnt country bricks of size 8-¾"×4-¼"×2-¼"</v>
          </cell>
          <cell r="AB420">
            <v>1337.3</v>
          </cell>
          <cell r="AC420" t="str">
            <v>1000No</v>
          </cell>
          <cell r="AD420">
            <v>8023.8</v>
          </cell>
        </row>
        <row r="421">
          <cell r="Y421">
            <v>1.79</v>
          </cell>
          <cell r="Z421" t="str">
            <v>M³</v>
          </cell>
          <cell r="AA421" t="str">
            <v>Cement mortar 1:6</v>
          </cell>
          <cell r="AB421">
            <v>873.2</v>
          </cell>
          <cell r="AC421" t="str">
            <v>1M³</v>
          </cell>
          <cell r="AD421">
            <v>1563.03</v>
          </cell>
        </row>
        <row r="422">
          <cell r="Y422">
            <v>7</v>
          </cell>
          <cell r="Z422" t="str">
            <v>No</v>
          </cell>
          <cell r="AA422" t="str">
            <v>Mason I class</v>
          </cell>
          <cell r="AB422">
            <v>148</v>
          </cell>
          <cell r="AC422" t="str">
            <v>Each</v>
          </cell>
          <cell r="AD422">
            <v>1036</v>
          </cell>
        </row>
        <row r="423">
          <cell r="Y423">
            <v>3.6</v>
          </cell>
          <cell r="Z423" t="str">
            <v>No</v>
          </cell>
          <cell r="AA423" t="str">
            <v>Mason II class</v>
          </cell>
          <cell r="AB423">
            <v>126</v>
          </cell>
          <cell r="AC423" t="str">
            <v>Each</v>
          </cell>
          <cell r="AD423">
            <v>453.6</v>
          </cell>
        </row>
        <row r="424">
          <cell r="Y424">
            <v>7.1</v>
          </cell>
          <cell r="Z424" t="str">
            <v>No</v>
          </cell>
          <cell r="AA424" t="str">
            <v>Mazdoor category I</v>
          </cell>
          <cell r="AB424">
            <v>85</v>
          </cell>
          <cell r="AC424" t="str">
            <v>Each</v>
          </cell>
          <cell r="AD424">
            <v>603.5</v>
          </cell>
        </row>
        <row r="425">
          <cell r="Y425">
            <v>14.1</v>
          </cell>
          <cell r="Z425" t="str">
            <v>No</v>
          </cell>
          <cell r="AA425" t="str">
            <v>Mazdoor category II</v>
          </cell>
          <cell r="AB425">
            <v>80</v>
          </cell>
          <cell r="AC425" t="str">
            <v>Each</v>
          </cell>
          <cell r="AD425">
            <v>1128</v>
          </cell>
        </row>
        <row r="427">
          <cell r="AB427" t="str">
            <v>FOR 10 M³      =</v>
          </cell>
          <cell r="AD427">
            <v>12807.93</v>
          </cell>
        </row>
        <row r="429">
          <cell r="AB429" t="str">
            <v>FOR  1 M³       =</v>
          </cell>
          <cell r="AD429">
            <v>1280.79</v>
          </cell>
        </row>
        <row r="430">
          <cell r="AA430" t="str">
            <v>Main-Data                                 --10M²</v>
          </cell>
        </row>
        <row r="432">
          <cell r="Y432">
            <v>1.1000000000000001</v>
          </cell>
          <cell r="Z432" t="str">
            <v>M³</v>
          </cell>
          <cell r="AA432" t="str">
            <v>Brick partition wall in cement mortar 1:6</v>
          </cell>
          <cell r="AB432">
            <v>1280.79</v>
          </cell>
          <cell r="AC432" t="str">
            <v>1M³</v>
          </cell>
          <cell r="AD432">
            <v>1408.87</v>
          </cell>
        </row>
        <row r="433">
          <cell r="Y433">
            <v>1</v>
          </cell>
          <cell r="Z433" t="str">
            <v>No</v>
          </cell>
          <cell r="AA433" t="str">
            <v>Mason I class</v>
          </cell>
          <cell r="AB433">
            <v>148</v>
          </cell>
          <cell r="AC433" t="str">
            <v>Each</v>
          </cell>
          <cell r="AD433">
            <v>148</v>
          </cell>
        </row>
        <row r="435">
          <cell r="AB435" t="str">
            <v>FOR 10 M²      =</v>
          </cell>
          <cell r="AD435">
            <v>1556.87</v>
          </cell>
        </row>
        <row r="437">
          <cell r="Z437" t="str">
            <v>A</v>
          </cell>
          <cell r="AA437" t="str">
            <v>In Foundation &amp; Basement</v>
          </cell>
          <cell r="AB437" t="str">
            <v>FOR  1 M²       =</v>
          </cell>
          <cell r="AD437">
            <v>155.69</v>
          </cell>
        </row>
        <row r="438">
          <cell r="AA438" t="str">
            <v>Add for lift charges</v>
          </cell>
          <cell r="AD438">
            <v>1.92</v>
          </cell>
        </row>
        <row r="439">
          <cell r="Z439" t="str">
            <v>B</v>
          </cell>
          <cell r="AA439" t="str">
            <v>In ground Floor</v>
          </cell>
          <cell r="AB439" t="str">
            <v>FOR  1 M²       =</v>
          </cell>
          <cell r="AD439">
            <v>157.60999999999999</v>
          </cell>
        </row>
        <row r="441">
          <cell r="X441">
            <v>18</v>
          </cell>
          <cell r="Y441" t="str">
            <v xml:space="preserve">White washing two coats with best shell lime including cost of lime, gum, cunjee, brushes, scaffolding, etc., complete in all respects as directed by the departmental officers </v>
          </cell>
        </row>
        <row r="442">
          <cell r="Y442">
            <v>7.0000000000000007E-2</v>
          </cell>
          <cell r="Z442" t="str">
            <v>M³</v>
          </cell>
          <cell r="AA442" t="str">
            <v>Fine screened Shell Lime</v>
          </cell>
          <cell r="AB442">
            <v>775.2</v>
          </cell>
          <cell r="AC442" t="str">
            <v>1M³</v>
          </cell>
          <cell r="AD442">
            <v>54.26</v>
          </cell>
        </row>
        <row r="443">
          <cell r="Y443">
            <v>1.6</v>
          </cell>
          <cell r="Z443" t="str">
            <v>No</v>
          </cell>
          <cell r="AA443" t="str">
            <v>Mason II class</v>
          </cell>
          <cell r="AB443">
            <v>126</v>
          </cell>
          <cell r="AC443" t="str">
            <v>Each</v>
          </cell>
          <cell r="AD443">
            <v>201.6</v>
          </cell>
        </row>
        <row r="444">
          <cell r="Y444">
            <v>0.5</v>
          </cell>
          <cell r="Z444" t="str">
            <v>No</v>
          </cell>
          <cell r="AA444" t="str">
            <v>Mazdoor I class</v>
          </cell>
          <cell r="AB444">
            <v>85</v>
          </cell>
          <cell r="AC444" t="str">
            <v>Each</v>
          </cell>
          <cell r="AD444">
            <v>42.5</v>
          </cell>
        </row>
        <row r="445">
          <cell r="Y445">
            <v>2.7</v>
          </cell>
          <cell r="Z445" t="str">
            <v>No</v>
          </cell>
          <cell r="AA445" t="str">
            <v>Mazdoor II class</v>
          </cell>
          <cell r="AB445">
            <v>80</v>
          </cell>
          <cell r="AC445" t="str">
            <v>Each</v>
          </cell>
          <cell r="AD445">
            <v>216</v>
          </cell>
        </row>
        <row r="446">
          <cell r="Y446" t="str">
            <v>LS</v>
          </cell>
          <cell r="AA446" t="str">
            <v>Gum, conjee, water or prickly pear juice</v>
          </cell>
          <cell r="AB446" t="str">
            <v xml:space="preserve">              LS</v>
          </cell>
          <cell r="AD446">
            <v>1.81</v>
          </cell>
        </row>
        <row r="448">
          <cell r="AB448" t="str">
            <v>FOR 100 M²  =</v>
          </cell>
          <cell r="AD448">
            <v>516.16999999999996</v>
          </cell>
        </row>
        <row r="450">
          <cell r="AA450" t="str">
            <v>In all Floors</v>
          </cell>
          <cell r="AB450" t="str">
            <v>FOR 1 M²      =</v>
          </cell>
          <cell r="AD450">
            <v>5.16</v>
          </cell>
        </row>
        <row r="452">
          <cell r="X452">
            <v>20</v>
          </cell>
          <cell r="Y452" t="e">
            <v>#REF!</v>
          </cell>
        </row>
        <row r="453">
          <cell r="Y453">
            <v>1</v>
          </cell>
          <cell r="Z453" t="str">
            <v>M²</v>
          </cell>
          <cell r="AA453" t="str">
            <v>Cuddapah slab 38mm/40mm thick</v>
          </cell>
          <cell r="AB453">
            <v>245</v>
          </cell>
          <cell r="AC453" t="str">
            <v>1M²</v>
          </cell>
          <cell r="AD453">
            <v>245</v>
          </cell>
        </row>
        <row r="455">
          <cell r="AB455" t="str">
            <v>FOR 1 M²      =</v>
          </cell>
          <cell r="AD455">
            <v>245</v>
          </cell>
        </row>
        <row r="459">
          <cell r="Y459">
            <v>1</v>
          </cell>
          <cell r="Z459" t="str">
            <v>RM</v>
          </cell>
          <cell r="AA459" t="str">
            <v>63mm dia pvc pipe 4kg/cm2</v>
          </cell>
          <cell r="AB459">
            <v>26</v>
          </cell>
          <cell r="AC459" t="str">
            <v>RM</v>
          </cell>
          <cell r="AD459">
            <v>26</v>
          </cell>
        </row>
        <row r="460">
          <cell r="AB460" t="str">
            <v>FOR 1m      =</v>
          </cell>
          <cell r="AD460">
            <v>26</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pile data ( M30 grade) (2)"/>
      <sheetName val="Abstract (21.4.18)"/>
      <sheetName val="Development - ii"/>
      <sheetName val="pile data ( M20 grade)"/>
      <sheetName val="  Coastal  Elec.Data "/>
      <sheetName val="Sliding and french window"/>
      <sheetName val="lead  charge"/>
      <sheetName val="Elec.abs"/>
      <sheetName val="OHT(A4)"/>
      <sheetName val="Sheet3"/>
      <sheetName val="paver"/>
      <sheetName val="SEPTIC TANK (A4)"/>
      <sheetName val="P.P WALL (A4)"/>
      <sheetName val="SL DRAIN (A4)"/>
      <sheetName val="Storm Water Drain"/>
      <sheetName val="SUMP (A4)"/>
      <sheetName val="Culvert"/>
      <sheetName val="precast RCC panel "/>
      <sheetName val="Precast Compound wall "/>
      <sheetName val="New Data"/>
      <sheetName val="G.Abstract (2)"/>
      <sheetName val="Building (2)"/>
      <sheetName val="Building (3)"/>
      <sheetName val="G. Abstractfinal"/>
      <sheetName val="Water supply Data"/>
      <sheetName val="Sheet2"/>
      <sheetName val="Data water"/>
      <sheetName val="Data water (2)"/>
      <sheetName val="  external water supply "/>
      <sheetName val="cub data"/>
      <sheetName val="water pipe data"/>
      <sheetName val="Data estimate"/>
      <sheetName val="Data"/>
      <sheetName val="Elec.Data"/>
      <sheetName val="Development - i"/>
      <sheetName val="Det"/>
      <sheetName val="Abs"/>
      <sheetName val="data -1"/>
    </sheetNames>
    <sheetDataSet>
      <sheetData sheetId="0"/>
      <sheetData sheetId="1">
        <row r="17">
          <cell r="F17">
            <v>2837.02</v>
          </cell>
        </row>
        <row r="28">
          <cell r="F28">
            <v>876.36</v>
          </cell>
        </row>
        <row r="81">
          <cell r="F81">
            <v>2530.5</v>
          </cell>
        </row>
        <row r="92">
          <cell r="F92">
            <v>710.92</v>
          </cell>
        </row>
        <row r="141">
          <cell r="F141">
            <v>2255.87</v>
          </cell>
        </row>
        <row r="152">
          <cell r="F152">
            <v>563.37</v>
          </cell>
        </row>
      </sheetData>
      <sheetData sheetId="2"/>
      <sheetData sheetId="3">
        <row r="6">
          <cell r="O6">
            <v>0</v>
          </cell>
        </row>
      </sheetData>
      <sheetData sheetId="4">
        <row r="17">
          <cell r="F17">
            <v>2837.02</v>
          </cell>
        </row>
        <row r="81">
          <cell r="F81">
            <v>2530.5</v>
          </cell>
        </row>
        <row r="92">
          <cell r="F92">
            <v>710.92</v>
          </cell>
        </row>
        <row r="141">
          <cell r="F141">
            <v>2255.87</v>
          </cell>
        </row>
        <row r="152">
          <cell r="F152">
            <v>563.37</v>
          </cell>
        </row>
      </sheetData>
      <sheetData sheetId="5">
        <row r="2860">
          <cell r="K2860">
            <v>1376.73</v>
          </cell>
        </row>
        <row r="2884">
          <cell r="K2884">
            <v>1379.73</v>
          </cell>
        </row>
        <row r="2899">
          <cell r="K2899">
            <v>1376</v>
          </cell>
        </row>
        <row r="2921">
          <cell r="K2921">
            <v>1427.73</v>
          </cell>
        </row>
        <row r="2945">
          <cell r="K2945">
            <v>2542.73</v>
          </cell>
        </row>
        <row r="2965">
          <cell r="K2965">
            <v>937</v>
          </cell>
        </row>
        <row r="2977">
          <cell r="K2977">
            <v>688</v>
          </cell>
        </row>
        <row r="2988">
          <cell r="K2988">
            <v>132</v>
          </cell>
        </row>
      </sheetData>
      <sheetData sheetId="6">
        <row r="32">
          <cell r="F32">
            <v>4548.7299999999996</v>
          </cell>
        </row>
        <row r="46">
          <cell r="F46">
            <v>4317.55</v>
          </cell>
        </row>
        <row r="145">
          <cell r="F145">
            <v>4896.41</v>
          </cell>
        </row>
        <row r="167">
          <cell r="F167">
            <v>4255.05</v>
          </cell>
        </row>
        <row r="310">
          <cell r="F310">
            <v>4910.1499999999996</v>
          </cell>
        </row>
      </sheetData>
      <sheetData sheetId="7">
        <row r="10">
          <cell r="D10">
            <v>6</v>
          </cell>
        </row>
      </sheetData>
      <sheetData sheetId="8"/>
      <sheetData sheetId="9"/>
      <sheetData sheetId="10"/>
      <sheetData sheetId="11"/>
      <sheetData sheetId="12"/>
      <sheetData sheetId="13"/>
      <sheetData sheetId="14"/>
      <sheetData sheetId="15"/>
      <sheetData sheetId="16"/>
      <sheetData sheetId="17"/>
      <sheetData sheetId="18"/>
      <sheetData sheetId="19">
        <row r="101">
          <cell r="H101">
            <v>704</v>
          </cell>
        </row>
        <row r="109">
          <cell r="H109">
            <v>4.3</v>
          </cell>
        </row>
        <row r="120">
          <cell r="H120">
            <v>9.6999999999999993</v>
          </cell>
        </row>
        <row r="149">
          <cell r="H149">
            <v>5</v>
          </cell>
        </row>
        <row r="158">
          <cell r="H158">
            <v>8</v>
          </cell>
        </row>
        <row r="166">
          <cell r="H166">
            <v>33</v>
          </cell>
        </row>
        <row r="175">
          <cell r="H175">
            <v>5</v>
          </cell>
        </row>
        <row r="187">
          <cell r="H187">
            <v>29</v>
          </cell>
        </row>
        <row r="197">
          <cell r="H197">
            <v>48</v>
          </cell>
        </row>
        <row r="204">
          <cell r="H204">
            <v>19</v>
          </cell>
        </row>
        <row r="217">
          <cell r="H217">
            <v>13</v>
          </cell>
        </row>
        <row r="225">
          <cell r="H225">
            <v>9</v>
          </cell>
        </row>
        <row r="230">
          <cell r="H230">
            <v>20</v>
          </cell>
        </row>
        <row r="236">
          <cell r="H236">
            <v>13</v>
          </cell>
        </row>
        <row r="241">
          <cell r="H241">
            <v>2</v>
          </cell>
        </row>
        <row r="246">
          <cell r="H246">
            <v>15</v>
          </cell>
        </row>
        <row r="251">
          <cell r="H251">
            <v>4</v>
          </cell>
        </row>
        <row r="257">
          <cell r="H257">
            <v>5</v>
          </cell>
        </row>
        <row r="263">
          <cell r="H263">
            <v>1</v>
          </cell>
        </row>
        <row r="269">
          <cell r="H269">
            <v>1</v>
          </cell>
        </row>
        <row r="275">
          <cell r="H275">
            <v>5</v>
          </cell>
        </row>
        <row r="281">
          <cell r="H281">
            <v>2</v>
          </cell>
        </row>
        <row r="299">
          <cell r="H299">
            <v>32</v>
          </cell>
        </row>
        <row r="305">
          <cell r="H305">
            <v>2</v>
          </cell>
        </row>
        <row r="311">
          <cell r="H311">
            <v>3</v>
          </cell>
        </row>
        <row r="317">
          <cell r="H317">
            <v>1</v>
          </cell>
        </row>
        <row r="323">
          <cell r="H323">
            <v>15</v>
          </cell>
        </row>
        <row r="329">
          <cell r="H329">
            <v>4</v>
          </cell>
        </row>
        <row r="335">
          <cell r="H335">
            <v>1</v>
          </cell>
        </row>
        <row r="341">
          <cell r="H341">
            <v>1</v>
          </cell>
        </row>
        <row r="347">
          <cell r="H347">
            <v>1</v>
          </cell>
        </row>
        <row r="353">
          <cell r="H353">
            <v>1</v>
          </cell>
        </row>
        <row r="359">
          <cell r="H359">
            <v>140</v>
          </cell>
        </row>
        <row r="365">
          <cell r="H365">
            <v>140</v>
          </cell>
        </row>
        <row r="372">
          <cell r="H372">
            <v>4</v>
          </cell>
        </row>
        <row r="379">
          <cell r="H379">
            <v>29</v>
          </cell>
        </row>
        <row r="412">
          <cell r="H412">
            <v>509.3</v>
          </cell>
        </row>
        <row r="429">
          <cell r="H429">
            <v>54</v>
          </cell>
        </row>
        <row r="436">
          <cell r="H436">
            <v>2</v>
          </cell>
        </row>
      </sheetData>
      <sheetData sheetId="20"/>
      <sheetData sheetId="21"/>
      <sheetData sheetId="22">
        <row r="1">
          <cell r="A1" t="str">
            <v>Name of work :  Construction of  Fire and Rescue Service station, 1 No. Of SFO Quarters and 12 Nos. Of Firemen Quarters at Thalainayaru  in Nagapattinam District</v>
          </cell>
        </row>
      </sheetData>
      <sheetData sheetId="23"/>
      <sheetData sheetId="24"/>
      <sheetData sheetId="25"/>
      <sheetData sheetId="26"/>
      <sheetData sheetId="27"/>
      <sheetData sheetId="28"/>
      <sheetData sheetId="29">
        <row r="22">
          <cell r="F22">
            <v>82.89</v>
          </cell>
        </row>
      </sheetData>
      <sheetData sheetId="30">
        <row r="122">
          <cell r="H122">
            <v>12279.187</v>
          </cell>
        </row>
      </sheetData>
      <sheetData sheetId="31">
        <row r="241">
          <cell r="F241">
            <v>217.57</v>
          </cell>
        </row>
        <row r="253">
          <cell r="F253">
            <v>241.07</v>
          </cell>
        </row>
        <row r="265">
          <cell r="F265">
            <v>267.97000000000003</v>
          </cell>
        </row>
        <row r="480">
          <cell r="F480">
            <v>420.71</v>
          </cell>
        </row>
        <row r="574">
          <cell r="F574">
            <v>225.31</v>
          </cell>
        </row>
      </sheetData>
      <sheetData sheetId="32"/>
      <sheetData sheetId="33">
        <row r="7">
          <cell r="G7" t="str">
            <v>*</v>
          </cell>
        </row>
        <row r="11">
          <cell r="AE11">
            <v>527.1</v>
          </cell>
        </row>
        <row r="17">
          <cell r="AE17">
            <v>712.95</v>
          </cell>
        </row>
        <row r="18">
          <cell r="Y18">
            <v>5438</v>
          </cell>
        </row>
        <row r="20">
          <cell r="AE20">
            <v>753.9</v>
          </cell>
        </row>
        <row r="23">
          <cell r="C23">
            <v>185.85</v>
          </cell>
        </row>
        <row r="25">
          <cell r="C25">
            <v>74.239999999999995</v>
          </cell>
        </row>
        <row r="27">
          <cell r="C27">
            <v>26.99</v>
          </cell>
        </row>
        <row r="30">
          <cell r="AE30">
            <v>1212.75</v>
          </cell>
        </row>
        <row r="32">
          <cell r="AE32">
            <v>1131.9000000000001</v>
          </cell>
        </row>
        <row r="65">
          <cell r="AE65">
            <v>202.65</v>
          </cell>
        </row>
        <row r="78">
          <cell r="AS78">
            <v>6098.15</v>
          </cell>
        </row>
        <row r="84">
          <cell r="AE84">
            <v>348.6</v>
          </cell>
        </row>
        <row r="85">
          <cell r="AE85">
            <v>5297.25</v>
          </cell>
        </row>
        <row r="86">
          <cell r="AE86">
            <v>28.98</v>
          </cell>
        </row>
        <row r="87">
          <cell r="AE87">
            <v>32.97</v>
          </cell>
        </row>
        <row r="92">
          <cell r="AE92">
            <v>43.68</v>
          </cell>
        </row>
        <row r="93">
          <cell r="K93">
            <v>186.66</v>
          </cell>
          <cell r="X93">
            <v>126.82</v>
          </cell>
        </row>
        <row r="94">
          <cell r="K94">
            <v>194.76</v>
          </cell>
        </row>
        <row r="95">
          <cell r="K95">
            <v>176.4</v>
          </cell>
        </row>
        <row r="96">
          <cell r="K96">
            <v>184.5</v>
          </cell>
        </row>
        <row r="104">
          <cell r="AS104">
            <v>6090.7</v>
          </cell>
        </row>
        <row r="105">
          <cell r="AS105">
            <v>6215.97</v>
          </cell>
        </row>
        <row r="106">
          <cell r="K106">
            <v>273.18</v>
          </cell>
          <cell r="AS106">
            <v>6341.24</v>
          </cell>
        </row>
        <row r="107">
          <cell r="K107">
            <v>281.27999999999997</v>
          </cell>
          <cell r="AS107">
            <v>6466.51</v>
          </cell>
        </row>
        <row r="108">
          <cell r="AS108">
            <v>6591.78</v>
          </cell>
        </row>
        <row r="109">
          <cell r="K109">
            <v>262.92</v>
          </cell>
        </row>
        <row r="110">
          <cell r="K110">
            <v>271.02</v>
          </cell>
        </row>
        <row r="121">
          <cell r="K121">
            <v>98.46</v>
          </cell>
          <cell r="L121">
            <v>106.56</v>
          </cell>
        </row>
        <row r="123">
          <cell r="K123">
            <v>88.2</v>
          </cell>
          <cell r="X123">
            <v>58.91</v>
          </cell>
        </row>
        <row r="124">
          <cell r="K124">
            <v>96.3</v>
          </cell>
        </row>
        <row r="125">
          <cell r="K125">
            <v>104.4</v>
          </cell>
        </row>
        <row r="126">
          <cell r="K126">
            <v>112.5</v>
          </cell>
        </row>
        <row r="134">
          <cell r="K134">
            <v>131.46</v>
          </cell>
        </row>
        <row r="135">
          <cell r="K135">
            <v>139.56</v>
          </cell>
        </row>
        <row r="138">
          <cell r="K138">
            <v>132.30000000000001</v>
          </cell>
          <cell r="X138">
            <v>88.37</v>
          </cell>
        </row>
        <row r="139">
          <cell r="K139">
            <v>140.4</v>
          </cell>
        </row>
        <row r="149">
          <cell r="K149">
            <v>1630.29</v>
          </cell>
          <cell r="R149">
            <v>344.77</v>
          </cell>
        </row>
        <row r="158">
          <cell r="AS158">
            <v>763.03</v>
          </cell>
        </row>
        <row r="159">
          <cell r="R159">
            <v>150.87</v>
          </cell>
        </row>
        <row r="160">
          <cell r="AS160">
            <v>769.87</v>
          </cell>
        </row>
        <row r="161">
          <cell r="AS161">
            <v>783.65</v>
          </cell>
        </row>
        <row r="162">
          <cell r="AS162">
            <v>797.43</v>
          </cell>
        </row>
        <row r="163">
          <cell r="AS163">
            <v>811.21</v>
          </cell>
        </row>
        <row r="164">
          <cell r="AS164">
            <v>824.99</v>
          </cell>
        </row>
        <row r="166">
          <cell r="K166">
            <v>1459.72</v>
          </cell>
        </row>
        <row r="170">
          <cell r="C170">
            <v>774.17</v>
          </cell>
        </row>
        <row r="171">
          <cell r="C171">
            <v>851.17</v>
          </cell>
        </row>
        <row r="176">
          <cell r="K176">
            <v>1097.17</v>
          </cell>
        </row>
        <row r="184">
          <cell r="K184">
            <v>1491.17</v>
          </cell>
        </row>
        <row r="192">
          <cell r="AS192">
            <v>519.27</v>
          </cell>
        </row>
        <row r="193">
          <cell r="AS193">
            <v>528.04</v>
          </cell>
        </row>
        <row r="194">
          <cell r="K194">
            <v>332.65</v>
          </cell>
          <cell r="AS194">
            <v>536.80999999999995</v>
          </cell>
        </row>
        <row r="195">
          <cell r="AS195">
            <v>545.58000000000004</v>
          </cell>
        </row>
        <row r="209">
          <cell r="K209">
            <v>4152.67</v>
          </cell>
          <cell r="R209">
            <v>5008.3900000000003</v>
          </cell>
          <cell r="X209">
            <v>4653.79</v>
          </cell>
        </row>
        <row r="224">
          <cell r="K224">
            <v>5634.79</v>
          </cell>
        </row>
        <row r="239">
          <cell r="K239">
            <v>3649.39</v>
          </cell>
        </row>
        <row r="245">
          <cell r="R245">
            <v>4340.59</v>
          </cell>
        </row>
        <row r="254">
          <cell r="K254">
            <v>139.38999999999999</v>
          </cell>
        </row>
        <row r="266">
          <cell r="K266">
            <v>137.97999999999999</v>
          </cell>
        </row>
        <row r="290">
          <cell r="K290">
            <v>6892.46</v>
          </cell>
        </row>
        <row r="292">
          <cell r="K292">
            <v>6986.86</v>
          </cell>
        </row>
        <row r="293">
          <cell r="K293">
            <v>7172.71</v>
          </cell>
        </row>
        <row r="294">
          <cell r="K294">
            <v>7358.56</v>
          </cell>
        </row>
        <row r="295">
          <cell r="K295">
            <v>7544.41</v>
          </cell>
        </row>
        <row r="296">
          <cell r="K296">
            <v>7730.26</v>
          </cell>
        </row>
        <row r="311">
          <cell r="K311">
            <v>4438.3599999999997</v>
          </cell>
        </row>
        <row r="326">
          <cell r="K326">
            <v>5866.74</v>
          </cell>
          <cell r="X326">
            <v>6104.08</v>
          </cell>
          <cell r="AG326">
            <v>5788.96</v>
          </cell>
        </row>
        <row r="334">
          <cell r="K334">
            <v>705</v>
          </cell>
        </row>
        <row r="352">
          <cell r="K352">
            <v>5859.3</v>
          </cell>
          <cell r="X352">
            <v>6096.64</v>
          </cell>
          <cell r="AG352">
            <v>5795.44</v>
          </cell>
        </row>
        <row r="353">
          <cell r="K353">
            <v>5984.57</v>
          </cell>
          <cell r="X353">
            <v>6221.91</v>
          </cell>
          <cell r="AG353">
            <v>5920.71</v>
          </cell>
        </row>
        <row r="354">
          <cell r="K354">
            <v>6109.84</v>
          </cell>
          <cell r="X354">
            <v>6347.18</v>
          </cell>
          <cell r="AG354">
            <v>6045.98</v>
          </cell>
        </row>
        <row r="355">
          <cell r="K355">
            <v>6235.11</v>
          </cell>
          <cell r="X355">
            <v>6472.45</v>
          </cell>
          <cell r="AG355">
            <v>6171.25</v>
          </cell>
        </row>
        <row r="356">
          <cell r="K356">
            <v>6360.38</v>
          </cell>
          <cell r="X356">
            <v>6597.72</v>
          </cell>
          <cell r="AG356">
            <v>6296.52</v>
          </cell>
        </row>
        <row r="360">
          <cell r="AG360">
            <v>6421.79</v>
          </cell>
        </row>
        <row r="361">
          <cell r="AG361">
            <v>6547.06</v>
          </cell>
        </row>
        <row r="362">
          <cell r="AG362">
            <v>6672.33</v>
          </cell>
        </row>
        <row r="363">
          <cell r="AG363">
            <v>6797.6</v>
          </cell>
        </row>
        <row r="364">
          <cell r="AG364">
            <v>6922.87</v>
          </cell>
        </row>
        <row r="365">
          <cell r="AG365">
            <v>7048.14</v>
          </cell>
        </row>
        <row r="366">
          <cell r="AG366">
            <v>7173.41</v>
          </cell>
        </row>
        <row r="367">
          <cell r="AG367">
            <v>7298.68</v>
          </cell>
        </row>
        <row r="368">
          <cell r="AG368">
            <v>7423.95</v>
          </cell>
        </row>
        <row r="376">
          <cell r="K376">
            <v>6158.57</v>
          </cell>
          <cell r="Y376">
            <v>6333.28</v>
          </cell>
        </row>
        <row r="377">
          <cell r="K377">
            <v>6283.84</v>
          </cell>
        </row>
        <row r="378">
          <cell r="K378">
            <v>6409.11</v>
          </cell>
        </row>
        <row r="379">
          <cell r="K379">
            <v>6534.38</v>
          </cell>
        </row>
        <row r="380">
          <cell r="K380">
            <v>6221.21</v>
          </cell>
        </row>
        <row r="389">
          <cell r="AG389">
            <v>6122.55</v>
          </cell>
        </row>
        <row r="392">
          <cell r="R392">
            <v>18.760000000000002</v>
          </cell>
        </row>
        <row r="406">
          <cell r="R406">
            <v>27.31</v>
          </cell>
        </row>
        <row r="408">
          <cell r="K408">
            <v>701.77</v>
          </cell>
          <cell r="X408">
            <v>739.64</v>
          </cell>
        </row>
        <row r="410">
          <cell r="K410">
            <v>708.61</v>
          </cell>
          <cell r="X410">
            <v>746.6</v>
          </cell>
        </row>
        <row r="411">
          <cell r="K411">
            <v>722.39</v>
          </cell>
          <cell r="X411">
            <v>760.63</v>
          </cell>
        </row>
        <row r="412">
          <cell r="K412">
            <v>736.17</v>
          </cell>
          <cell r="X412">
            <v>774.66</v>
          </cell>
        </row>
        <row r="413">
          <cell r="K413">
            <v>749.95</v>
          </cell>
          <cell r="X413">
            <v>788.69</v>
          </cell>
        </row>
        <row r="414">
          <cell r="K414">
            <v>763.73</v>
          </cell>
          <cell r="X414">
            <v>802.72</v>
          </cell>
        </row>
        <row r="415">
          <cell r="K415">
            <v>777.51</v>
          </cell>
        </row>
        <row r="416">
          <cell r="K416">
            <v>791.29</v>
          </cell>
        </row>
        <row r="417">
          <cell r="K417">
            <v>805.07</v>
          </cell>
        </row>
        <row r="423">
          <cell r="AG423">
            <v>720.87</v>
          </cell>
        </row>
        <row r="425">
          <cell r="AG425">
            <v>727.96</v>
          </cell>
        </row>
        <row r="426">
          <cell r="AG426">
            <v>742.24</v>
          </cell>
        </row>
        <row r="427">
          <cell r="AG427">
            <v>756.52</v>
          </cell>
        </row>
        <row r="428">
          <cell r="AG428">
            <v>770.8</v>
          </cell>
        </row>
        <row r="429">
          <cell r="AG429">
            <v>785.08</v>
          </cell>
        </row>
        <row r="430">
          <cell r="AG430">
            <v>799.36</v>
          </cell>
        </row>
        <row r="431">
          <cell r="AG431">
            <v>813.64</v>
          </cell>
        </row>
        <row r="432">
          <cell r="AG432">
            <v>827.92</v>
          </cell>
        </row>
        <row r="433">
          <cell r="AG433">
            <v>842.2</v>
          </cell>
        </row>
        <row r="434">
          <cell r="AG434">
            <v>856.48</v>
          </cell>
        </row>
        <row r="435">
          <cell r="AG435">
            <v>870.76</v>
          </cell>
        </row>
        <row r="436">
          <cell r="AG436">
            <v>885.04</v>
          </cell>
          <cell r="AI436">
            <v>899.32</v>
          </cell>
        </row>
        <row r="437">
          <cell r="AI437">
            <v>913.6</v>
          </cell>
        </row>
        <row r="448">
          <cell r="K448">
            <v>480.29</v>
          </cell>
          <cell r="X448">
            <v>496.91</v>
          </cell>
        </row>
        <row r="449">
          <cell r="K449">
            <v>489.06</v>
          </cell>
          <cell r="X449">
            <v>505.68</v>
          </cell>
        </row>
        <row r="450">
          <cell r="K450">
            <v>497.83</v>
          </cell>
          <cell r="X450">
            <v>514.45000000000005</v>
          </cell>
        </row>
        <row r="451">
          <cell r="K451">
            <v>506.6</v>
          </cell>
          <cell r="X451">
            <v>523.22</v>
          </cell>
        </row>
        <row r="452">
          <cell r="K452">
            <v>515.37</v>
          </cell>
          <cell r="X452">
            <v>531.99</v>
          </cell>
        </row>
        <row r="462">
          <cell r="AG462">
            <v>506.54</v>
          </cell>
        </row>
        <row r="463">
          <cell r="AG463">
            <v>515.94000000000005</v>
          </cell>
        </row>
        <row r="464">
          <cell r="AG464">
            <v>525.34</v>
          </cell>
        </row>
        <row r="465">
          <cell r="AG465">
            <v>534.74</v>
          </cell>
        </row>
        <row r="466">
          <cell r="AG466">
            <v>544.14</v>
          </cell>
        </row>
        <row r="469">
          <cell r="AG469">
            <v>572.34</v>
          </cell>
        </row>
        <row r="470">
          <cell r="AG470">
            <v>581.74</v>
          </cell>
        </row>
        <row r="471">
          <cell r="AG471">
            <v>591.14</v>
          </cell>
        </row>
        <row r="472">
          <cell r="AG472">
            <v>600.54</v>
          </cell>
        </row>
        <row r="473">
          <cell r="AG473">
            <v>609.94000000000005</v>
          </cell>
        </row>
        <row r="481">
          <cell r="K481">
            <v>348.43</v>
          </cell>
        </row>
        <row r="482">
          <cell r="K482">
            <v>354.69</v>
          </cell>
        </row>
        <row r="483">
          <cell r="K483">
            <v>360.95</v>
          </cell>
        </row>
        <row r="484">
          <cell r="K484">
            <v>367.21</v>
          </cell>
        </row>
        <row r="485">
          <cell r="K485">
            <v>373.47</v>
          </cell>
        </row>
        <row r="486">
          <cell r="K486">
            <v>379.73</v>
          </cell>
        </row>
        <row r="487">
          <cell r="K487">
            <v>385.99</v>
          </cell>
        </row>
        <row r="488">
          <cell r="K488">
            <v>392.25</v>
          </cell>
        </row>
        <row r="496">
          <cell r="K496">
            <v>30.77</v>
          </cell>
        </row>
        <row r="500">
          <cell r="X500">
            <v>2411.8000000000002</v>
          </cell>
          <cell r="AD500">
            <v>2431.56</v>
          </cell>
        </row>
        <row r="501">
          <cell r="X501">
            <v>2418.79</v>
          </cell>
          <cell r="AD501">
            <v>2438.5500000000002</v>
          </cell>
        </row>
        <row r="502">
          <cell r="X502">
            <v>2425.7800000000002</v>
          </cell>
          <cell r="AD502">
            <v>2445.54</v>
          </cell>
        </row>
        <row r="503">
          <cell r="X503">
            <v>2432.77</v>
          </cell>
          <cell r="AD503">
            <v>2452.5300000000002</v>
          </cell>
        </row>
        <row r="504">
          <cell r="X504">
            <v>2439.7600000000002</v>
          </cell>
          <cell r="AD504">
            <v>2459.52</v>
          </cell>
        </row>
        <row r="511">
          <cell r="K511">
            <v>263.10000000000002</v>
          </cell>
        </row>
        <row r="534">
          <cell r="AD534">
            <v>2418.66</v>
          </cell>
        </row>
        <row r="535">
          <cell r="AD535">
            <v>2425.65</v>
          </cell>
        </row>
        <row r="536">
          <cell r="AD536">
            <v>2432.64</v>
          </cell>
        </row>
        <row r="537">
          <cell r="AD537">
            <v>2439.63</v>
          </cell>
        </row>
        <row r="538">
          <cell r="AD538">
            <v>2446.62</v>
          </cell>
        </row>
        <row r="549">
          <cell r="K549">
            <v>1202.81</v>
          </cell>
        </row>
        <row r="550">
          <cell r="K550">
            <v>1206.56</v>
          </cell>
        </row>
        <row r="551">
          <cell r="K551">
            <v>1210.31</v>
          </cell>
          <cell r="X551">
            <v>1205.17</v>
          </cell>
          <cell r="AD551">
            <v>1215.76</v>
          </cell>
          <cell r="AK551">
            <v>1208.8399999999999</v>
          </cell>
        </row>
        <row r="552">
          <cell r="K552">
            <v>1214.06</v>
          </cell>
          <cell r="X552">
            <v>1208.92</v>
          </cell>
          <cell r="AD552">
            <v>1219.51</v>
          </cell>
          <cell r="AK552">
            <v>1212.5899999999999</v>
          </cell>
        </row>
        <row r="553">
          <cell r="K553">
            <v>1217.81</v>
          </cell>
          <cell r="X553">
            <v>1212.67</v>
          </cell>
          <cell r="AD553">
            <v>1223.26</v>
          </cell>
          <cell r="AK553">
            <v>1216.3399999999999</v>
          </cell>
        </row>
        <row r="554">
          <cell r="K554">
            <v>1221.56</v>
          </cell>
          <cell r="X554">
            <v>1216.42</v>
          </cell>
          <cell r="AD554">
            <v>1227.01</v>
          </cell>
          <cell r="AK554">
            <v>1220.0899999999999</v>
          </cell>
        </row>
        <row r="555">
          <cell r="K555">
            <v>1225.31</v>
          </cell>
          <cell r="X555">
            <v>1220.17</v>
          </cell>
          <cell r="AD555">
            <v>1230.76</v>
          </cell>
          <cell r="AK555">
            <v>1223.8399999999999</v>
          </cell>
        </row>
        <row r="556">
          <cell r="K556">
            <v>1229.06</v>
          </cell>
        </row>
        <row r="557">
          <cell r="K557">
            <v>1232.81</v>
          </cell>
        </row>
        <row r="558">
          <cell r="K558">
            <v>1236.56</v>
          </cell>
        </row>
        <row r="559">
          <cell r="K559">
            <v>1240.31</v>
          </cell>
        </row>
        <row r="560">
          <cell r="K560">
            <v>1244.06</v>
          </cell>
        </row>
        <row r="571">
          <cell r="K571">
            <v>1326.35</v>
          </cell>
        </row>
        <row r="573">
          <cell r="K573">
            <v>1330.16</v>
          </cell>
          <cell r="X573">
            <v>1331.05</v>
          </cell>
          <cell r="AD573">
            <v>1352.23</v>
          </cell>
          <cell r="AK573">
            <v>1338.4</v>
          </cell>
        </row>
        <row r="574">
          <cell r="K574">
            <v>1337.66</v>
          </cell>
        </row>
        <row r="575">
          <cell r="K575">
            <v>1345.16</v>
          </cell>
          <cell r="X575">
            <v>1334.86</v>
          </cell>
          <cell r="AD575">
            <v>1356.04</v>
          </cell>
          <cell r="AK575">
            <v>1342.21</v>
          </cell>
        </row>
        <row r="576">
          <cell r="K576">
            <v>1352.66</v>
          </cell>
          <cell r="X576">
            <v>1342.36</v>
          </cell>
          <cell r="AD576">
            <v>1363.54</v>
          </cell>
          <cell r="AK576">
            <v>1349.71</v>
          </cell>
        </row>
        <row r="577">
          <cell r="K577">
            <v>1360.16</v>
          </cell>
          <cell r="X577">
            <v>1349.86</v>
          </cell>
          <cell r="AD577">
            <v>1371.04</v>
          </cell>
          <cell r="AK577">
            <v>1357.21</v>
          </cell>
        </row>
        <row r="578">
          <cell r="X578">
            <v>1357.36</v>
          </cell>
          <cell r="AD578">
            <v>1378.54</v>
          </cell>
          <cell r="AK578">
            <v>1364.71</v>
          </cell>
        </row>
        <row r="579">
          <cell r="X579">
            <v>1364.86</v>
          </cell>
          <cell r="AD579">
            <v>1386.04</v>
          </cell>
          <cell r="AK579">
            <v>1372.21</v>
          </cell>
        </row>
        <row r="603">
          <cell r="X603">
            <v>542.46</v>
          </cell>
        </row>
        <row r="604">
          <cell r="K604">
            <v>513.35</v>
          </cell>
          <cell r="X604">
            <v>546.24</v>
          </cell>
        </row>
        <row r="605">
          <cell r="K605">
            <v>517.07000000000005</v>
          </cell>
          <cell r="X605">
            <v>553.66999999999996</v>
          </cell>
        </row>
        <row r="606">
          <cell r="K606">
            <v>520.79</v>
          </cell>
          <cell r="X606">
            <v>561.1</v>
          </cell>
        </row>
        <row r="607">
          <cell r="K607">
            <v>524.51</v>
          </cell>
          <cell r="X607">
            <v>568.53</v>
          </cell>
        </row>
        <row r="608">
          <cell r="K608">
            <v>528.23</v>
          </cell>
        </row>
        <row r="626">
          <cell r="K626">
            <v>1753.93</v>
          </cell>
        </row>
        <row r="627">
          <cell r="K627">
            <v>1761.36</v>
          </cell>
        </row>
        <row r="628">
          <cell r="K628">
            <v>1768.79</v>
          </cell>
        </row>
        <row r="629">
          <cell r="K629">
            <v>1776.22</v>
          </cell>
        </row>
        <row r="630">
          <cell r="K630">
            <v>1783.65</v>
          </cell>
        </row>
        <row r="642">
          <cell r="K642">
            <v>555.12</v>
          </cell>
        </row>
        <row r="643">
          <cell r="K643">
            <v>558.84</v>
          </cell>
        </row>
        <row r="644">
          <cell r="K644">
            <v>562.55999999999995</v>
          </cell>
        </row>
        <row r="645">
          <cell r="K645">
            <v>566.28</v>
          </cell>
        </row>
        <row r="646">
          <cell r="K646">
            <v>570</v>
          </cell>
        </row>
        <row r="673">
          <cell r="K673">
            <v>2412.4699999999998</v>
          </cell>
        </row>
        <row r="674">
          <cell r="K674">
            <v>2419.46</v>
          </cell>
        </row>
        <row r="675">
          <cell r="K675">
            <v>2426.4499999999998</v>
          </cell>
        </row>
        <row r="676">
          <cell r="K676">
            <v>2433.44</v>
          </cell>
        </row>
        <row r="677">
          <cell r="K677">
            <v>2440.4299999999998</v>
          </cell>
        </row>
        <row r="700">
          <cell r="K700">
            <v>483.11</v>
          </cell>
        </row>
        <row r="701">
          <cell r="K701">
            <v>489.37</v>
          </cell>
        </row>
        <row r="702">
          <cell r="K702">
            <v>495.63</v>
          </cell>
          <cell r="X702">
            <v>7399.23</v>
          </cell>
        </row>
        <row r="703">
          <cell r="K703">
            <v>501.89</v>
          </cell>
        </row>
        <row r="704">
          <cell r="K704">
            <v>508.15</v>
          </cell>
          <cell r="X704">
            <v>7493.63</v>
          </cell>
        </row>
        <row r="705">
          <cell r="X705">
            <v>7679.48</v>
          </cell>
        </row>
        <row r="706">
          <cell r="X706">
            <v>7865.33</v>
          </cell>
        </row>
        <row r="707">
          <cell r="X707">
            <v>8051.18</v>
          </cell>
        </row>
        <row r="708">
          <cell r="X708">
            <v>8237.0300000000007</v>
          </cell>
        </row>
        <row r="718">
          <cell r="C718">
            <v>2828</v>
          </cell>
          <cell r="U718" t="str">
            <v>Standardised concrete Mix M20 Grade Concrete</v>
          </cell>
        </row>
        <row r="719">
          <cell r="S719">
            <v>5</v>
          </cell>
          <cell r="T719" t="str">
            <v>cum</v>
          </cell>
          <cell r="U719" t="str">
            <v>20mm HBG Machine crushed stone jelly    (7730 Kg)</v>
          </cell>
          <cell r="V719">
            <v>1460.4</v>
          </cell>
          <cell r="X719">
            <v>7302</v>
          </cell>
          <cell r="Z719">
            <v>7302</v>
          </cell>
        </row>
        <row r="720">
          <cell r="K720">
            <v>656.84</v>
          </cell>
          <cell r="S720">
            <v>3.3</v>
          </cell>
          <cell r="T720" t="str">
            <v>cum</v>
          </cell>
          <cell r="U720" t="str">
            <v>10-12mm HBG Machine crushed stone jelly    (5156 Kg)</v>
          </cell>
          <cell r="V720">
            <v>1187.9000000000001</v>
          </cell>
          <cell r="X720">
            <v>3920.07</v>
          </cell>
          <cell r="Z720">
            <v>3920.07</v>
          </cell>
        </row>
        <row r="721">
          <cell r="K721">
            <v>670.62</v>
          </cell>
          <cell r="S721">
            <v>4.79</v>
          </cell>
          <cell r="T721" t="str">
            <v>cum</v>
          </cell>
          <cell r="U721" t="str">
            <v>Sand    (7670 Kg)</v>
          </cell>
          <cell r="V721">
            <v>1603.3</v>
          </cell>
          <cell r="X721">
            <v>7679.81</v>
          </cell>
          <cell r="Z721">
            <v>7679.81</v>
          </cell>
        </row>
        <row r="722">
          <cell r="K722">
            <v>684.4</v>
          </cell>
          <cell r="S722">
            <v>3.25</v>
          </cell>
          <cell r="T722" t="str">
            <v>MT</v>
          </cell>
          <cell r="U722" t="str">
            <v>Cement</v>
          </cell>
          <cell r="V722">
            <v>5800</v>
          </cell>
          <cell r="X722">
            <v>18850</v>
          </cell>
          <cell r="Z722">
            <v>18850</v>
          </cell>
        </row>
        <row r="723">
          <cell r="K723">
            <v>698.18</v>
          </cell>
          <cell r="S723">
            <v>19.5</v>
          </cell>
          <cell r="T723" t="str">
            <v>Kg</v>
          </cell>
          <cell r="U723" t="str">
            <v>Plasticiser /Super plasticiser @ .60% of cement (P57 item NO.198</v>
          </cell>
          <cell r="V723">
            <v>42.4</v>
          </cell>
          <cell r="X723">
            <v>826.8</v>
          </cell>
          <cell r="Z723">
            <v>826.8</v>
          </cell>
        </row>
        <row r="724">
          <cell r="K724">
            <v>711.96</v>
          </cell>
          <cell r="S724">
            <v>3.5</v>
          </cell>
          <cell r="T724" t="str">
            <v>Nos</v>
          </cell>
          <cell r="U724" t="str">
            <v>Mason II</v>
          </cell>
          <cell r="V724">
            <v>753.9</v>
          </cell>
          <cell r="W724">
            <v>0</v>
          </cell>
          <cell r="X724">
            <v>2638.65</v>
          </cell>
          <cell r="Z724">
            <v>2638.65</v>
          </cell>
        </row>
        <row r="725">
          <cell r="S725">
            <v>21.2</v>
          </cell>
          <cell r="T725" t="str">
            <v>Nos</v>
          </cell>
          <cell r="U725" t="str">
            <v>Maz I</v>
          </cell>
          <cell r="V725">
            <v>527.1</v>
          </cell>
          <cell r="X725">
            <v>11174.52</v>
          </cell>
          <cell r="Z725">
            <v>11174.52</v>
          </cell>
        </row>
        <row r="726">
          <cell r="S726">
            <v>35.299999999999997</v>
          </cell>
          <cell r="T726" t="str">
            <v>Nos</v>
          </cell>
          <cell r="U726" t="str">
            <v>Maz II</v>
          </cell>
          <cell r="V726">
            <v>432.6</v>
          </cell>
          <cell r="X726">
            <v>15270.78</v>
          </cell>
          <cell r="Z726">
            <v>15270.78</v>
          </cell>
        </row>
        <row r="727">
          <cell r="U727" t="str">
            <v>Total for 10 cum</v>
          </cell>
          <cell r="V727">
            <v>0</v>
          </cell>
          <cell r="X727">
            <v>67662.63</v>
          </cell>
          <cell r="Z727">
            <v>67662.63</v>
          </cell>
        </row>
        <row r="728">
          <cell r="U728" t="str">
            <v>for 1 cum</v>
          </cell>
          <cell r="V728">
            <v>0</v>
          </cell>
          <cell r="X728">
            <v>6766.26</v>
          </cell>
          <cell r="Z728">
            <v>6766.26</v>
          </cell>
        </row>
        <row r="729">
          <cell r="S729">
            <v>1</v>
          </cell>
          <cell r="T729" t="str">
            <v>cum</v>
          </cell>
          <cell r="U729" t="str">
            <v>Vibrating charges p-28 /103</v>
          </cell>
          <cell r="V729">
            <v>74.239999999999995</v>
          </cell>
          <cell r="X729">
            <v>74.239999999999995</v>
          </cell>
        </row>
        <row r="730">
          <cell r="U730" t="str">
            <v>Sub Total</v>
          </cell>
          <cell r="V730">
            <v>0</v>
          </cell>
          <cell r="X730">
            <v>6840.5</v>
          </cell>
          <cell r="Z730">
            <v>6766.26</v>
          </cell>
        </row>
        <row r="731">
          <cell r="S731" t="str">
            <v>LS</v>
          </cell>
          <cell r="U731" t="str">
            <v>Add for water charges &amp; other sundries (0.5 % of sub total</v>
          </cell>
          <cell r="V731" t="str">
            <v>LS</v>
          </cell>
          <cell r="X731">
            <v>34.200000000000003</v>
          </cell>
          <cell r="Z731">
            <v>33.83</v>
          </cell>
        </row>
        <row r="732">
          <cell r="U732" t="str">
            <v>Foundation &amp; Basement</v>
          </cell>
          <cell r="X732">
            <v>6874.7</v>
          </cell>
          <cell r="Z732">
            <v>6800.09</v>
          </cell>
        </row>
        <row r="733">
          <cell r="X733" t="str">
            <v>-</v>
          </cell>
        </row>
        <row r="734">
          <cell r="U734" t="str">
            <v>G.F</v>
          </cell>
          <cell r="X734">
            <v>6969.1</v>
          </cell>
        </row>
        <row r="735">
          <cell r="U735" t="str">
            <v>F.F</v>
          </cell>
          <cell r="X735">
            <v>7154.95</v>
          </cell>
        </row>
        <row r="736">
          <cell r="U736" t="str">
            <v>S.F</v>
          </cell>
          <cell r="X736">
            <v>7340.8</v>
          </cell>
        </row>
        <row r="737">
          <cell r="U737" t="str">
            <v>T.F</v>
          </cell>
          <cell r="X737">
            <v>7526.65</v>
          </cell>
        </row>
        <row r="738">
          <cell r="U738" t="str">
            <v>Fourth Floor</v>
          </cell>
          <cell r="X738">
            <v>7712.5</v>
          </cell>
        </row>
        <row r="740">
          <cell r="X740">
            <v>6963.2</v>
          </cell>
        </row>
        <row r="756">
          <cell r="X756">
            <v>7056.65</v>
          </cell>
        </row>
        <row r="758">
          <cell r="X758">
            <v>7151.05</v>
          </cell>
        </row>
        <row r="759">
          <cell r="X759">
            <v>7336.9</v>
          </cell>
        </row>
        <row r="760">
          <cell r="X760">
            <v>7522.75</v>
          </cell>
        </row>
        <row r="761">
          <cell r="X761">
            <v>7708.6</v>
          </cell>
        </row>
        <row r="762">
          <cell r="X762">
            <v>7894.45</v>
          </cell>
        </row>
        <row r="763">
          <cell r="X763">
            <v>8080.3</v>
          </cell>
        </row>
        <row r="764">
          <cell r="X764">
            <v>8266.15</v>
          </cell>
        </row>
        <row r="778">
          <cell r="C778">
            <v>1000</v>
          </cell>
        </row>
        <row r="835">
          <cell r="K835">
            <v>7517.12</v>
          </cell>
        </row>
        <row r="837">
          <cell r="K837">
            <v>7611.52</v>
          </cell>
        </row>
        <row r="838">
          <cell r="K838">
            <v>7797.37</v>
          </cell>
        </row>
        <row r="839">
          <cell r="K839">
            <v>7983.22</v>
          </cell>
        </row>
        <row r="840">
          <cell r="K840">
            <v>8169.07</v>
          </cell>
        </row>
        <row r="841">
          <cell r="K841">
            <v>8354.92</v>
          </cell>
        </row>
        <row r="842">
          <cell r="K842">
            <v>8540.77</v>
          </cell>
        </row>
        <row r="843">
          <cell r="K843">
            <v>8726.6200000000008</v>
          </cell>
        </row>
        <row r="844">
          <cell r="K844">
            <v>8912.4699999999993</v>
          </cell>
        </row>
        <row r="845">
          <cell r="K845">
            <v>9098.32</v>
          </cell>
        </row>
        <row r="846">
          <cell r="K846">
            <v>9284.17</v>
          </cell>
        </row>
        <row r="847">
          <cell r="K847">
            <v>9470.02</v>
          </cell>
        </row>
        <row r="848">
          <cell r="K848">
            <v>9655.8700000000008</v>
          </cell>
        </row>
        <row r="849">
          <cell r="K849">
            <v>9841.7199999999993</v>
          </cell>
        </row>
        <row r="878">
          <cell r="R878">
            <v>2715.94</v>
          </cell>
        </row>
        <row r="885">
          <cell r="K885">
            <v>2291.41</v>
          </cell>
        </row>
        <row r="903">
          <cell r="K903">
            <v>2273.63</v>
          </cell>
        </row>
        <row r="919">
          <cell r="K919">
            <v>2243.25</v>
          </cell>
        </row>
        <row r="926">
          <cell r="K926">
            <v>2828</v>
          </cell>
        </row>
        <row r="937">
          <cell r="K937">
            <v>122388.75</v>
          </cell>
        </row>
        <row r="944">
          <cell r="K944">
            <v>110188.75</v>
          </cell>
        </row>
        <row r="965">
          <cell r="I965">
            <v>99400</v>
          </cell>
        </row>
        <row r="978">
          <cell r="K978">
            <v>4590.84</v>
          </cell>
        </row>
        <row r="1014">
          <cell r="K1014">
            <v>4672.99</v>
          </cell>
          <cell r="R1014">
            <v>3731.35</v>
          </cell>
        </row>
        <row r="1044">
          <cell r="K1044">
            <v>4680.3999999999996</v>
          </cell>
        </row>
        <row r="1080">
          <cell r="K1080">
            <v>3311.83</v>
          </cell>
        </row>
        <row r="1086">
          <cell r="I1086">
            <v>208.8</v>
          </cell>
        </row>
        <row r="1091">
          <cell r="R1091">
            <v>3199.01</v>
          </cell>
        </row>
        <row r="1095">
          <cell r="K1095">
            <v>3235.61</v>
          </cell>
        </row>
        <row r="1111">
          <cell r="K1111">
            <v>3417.82</v>
          </cell>
        </row>
        <row r="1126">
          <cell r="K1126">
            <v>2552.9</v>
          </cell>
        </row>
        <row r="1138">
          <cell r="R1138">
            <v>4908.87</v>
          </cell>
        </row>
        <row r="1168">
          <cell r="K1168">
            <v>104.26</v>
          </cell>
        </row>
        <row r="1181">
          <cell r="K1181">
            <v>163.33000000000001</v>
          </cell>
        </row>
        <row r="1184">
          <cell r="K1184">
            <v>52</v>
          </cell>
        </row>
        <row r="1201">
          <cell r="R1201">
            <v>7301.31</v>
          </cell>
        </row>
        <row r="1202">
          <cell r="R1202">
            <v>7395.71</v>
          </cell>
        </row>
        <row r="1203">
          <cell r="K1203">
            <v>696.5</v>
          </cell>
        </row>
        <row r="1209">
          <cell r="K1209">
            <v>61.5</v>
          </cell>
        </row>
        <row r="1211">
          <cell r="K1211">
            <v>54.5</v>
          </cell>
        </row>
        <row r="1212">
          <cell r="K1212">
            <v>9.6</v>
          </cell>
        </row>
        <row r="1214">
          <cell r="AD1214">
            <v>1915.91</v>
          </cell>
        </row>
        <row r="1215">
          <cell r="AK1215">
            <v>1054.8499999999999</v>
          </cell>
        </row>
        <row r="1216">
          <cell r="AD1216">
            <v>1918.71</v>
          </cell>
          <cell r="AK1216">
            <v>1056.71</v>
          </cell>
        </row>
        <row r="1217">
          <cell r="AD1217">
            <v>1920.57</v>
          </cell>
          <cell r="AK1217">
            <v>1058.57</v>
          </cell>
        </row>
        <row r="1218">
          <cell r="AD1218">
            <v>1922.43</v>
          </cell>
          <cell r="AK1218">
            <v>1060.43</v>
          </cell>
        </row>
        <row r="1231">
          <cell r="K1231">
            <v>426.14</v>
          </cell>
        </row>
        <row r="1247">
          <cell r="AD1247">
            <v>1281.9100000000001</v>
          </cell>
        </row>
        <row r="1248">
          <cell r="R1248">
            <v>1287.46</v>
          </cell>
        </row>
        <row r="1259">
          <cell r="K1259">
            <v>1046.23</v>
          </cell>
        </row>
        <row r="1267">
          <cell r="R1267">
            <v>1287.32</v>
          </cell>
        </row>
        <row r="1275">
          <cell r="AD1275">
            <v>1446.32</v>
          </cell>
        </row>
        <row r="1282">
          <cell r="K1282">
            <v>1036.46</v>
          </cell>
        </row>
        <row r="1290">
          <cell r="R1290">
            <v>1111.6199999999999</v>
          </cell>
        </row>
        <row r="1296">
          <cell r="K1296">
            <v>1173.3900000000001</v>
          </cell>
        </row>
        <row r="1310">
          <cell r="K1310">
            <v>2727.33</v>
          </cell>
        </row>
        <row r="1311">
          <cell r="X1311">
            <v>1228.53</v>
          </cell>
          <cell r="AD1311">
            <v>2285.3200000000002</v>
          </cell>
        </row>
        <row r="1330">
          <cell r="K1330">
            <v>371.17</v>
          </cell>
        </row>
        <row r="1344">
          <cell r="R1344">
            <v>197.07</v>
          </cell>
        </row>
        <row r="1348">
          <cell r="K1348">
            <v>3226.6</v>
          </cell>
        </row>
        <row r="1365">
          <cell r="X1365">
            <v>1255.58</v>
          </cell>
        </row>
        <row r="1370">
          <cell r="V1370">
            <v>287</v>
          </cell>
        </row>
        <row r="1375">
          <cell r="V1375">
            <v>28.6</v>
          </cell>
        </row>
        <row r="1381">
          <cell r="AD1381">
            <v>6012.6</v>
          </cell>
        </row>
        <row r="1383">
          <cell r="K1383">
            <v>1034.6099999999999</v>
          </cell>
          <cell r="X1383">
            <v>8934</v>
          </cell>
        </row>
        <row r="1398">
          <cell r="AD1398">
            <v>7669.17</v>
          </cell>
        </row>
        <row r="1400">
          <cell r="X1400">
            <v>7034.25</v>
          </cell>
        </row>
        <row r="1415">
          <cell r="AD1415">
            <v>3827.88</v>
          </cell>
        </row>
        <row r="1417">
          <cell r="X1417">
            <v>13866.51</v>
          </cell>
        </row>
        <row r="1418">
          <cell r="K1418">
            <v>210.37</v>
          </cell>
        </row>
        <row r="1422">
          <cell r="R1422">
            <v>10454.030000000001</v>
          </cell>
        </row>
        <row r="1432">
          <cell r="K1432">
            <v>216.22</v>
          </cell>
        </row>
        <row r="1439">
          <cell r="R1439">
            <v>8300.31</v>
          </cell>
        </row>
        <row r="1444">
          <cell r="K1444">
            <v>239.67</v>
          </cell>
        </row>
        <row r="1456">
          <cell r="R1456">
            <v>3617.83</v>
          </cell>
        </row>
        <row r="1458">
          <cell r="X1458">
            <v>4806.6099999999997</v>
          </cell>
        </row>
        <row r="1460">
          <cell r="K1460">
            <v>234.34</v>
          </cell>
        </row>
        <row r="1465">
          <cell r="X1465">
            <v>4510.84</v>
          </cell>
        </row>
        <row r="1473">
          <cell r="R1473">
            <v>5345.59</v>
          </cell>
        </row>
        <row r="1478">
          <cell r="K1478">
            <v>66.099999999999994</v>
          </cell>
        </row>
        <row r="1481">
          <cell r="X1481">
            <v>6887.19</v>
          </cell>
        </row>
        <row r="1490">
          <cell r="K1490">
            <v>42.91</v>
          </cell>
        </row>
        <row r="1497">
          <cell r="R1497">
            <v>4307.8100000000004</v>
          </cell>
        </row>
        <row r="1503">
          <cell r="K1503">
            <v>31.91</v>
          </cell>
        </row>
        <row r="1504">
          <cell r="R1504">
            <v>4310.43</v>
          </cell>
        </row>
        <row r="1516">
          <cell r="K1516">
            <v>36.840000000000003</v>
          </cell>
        </row>
        <row r="1531">
          <cell r="K1531">
            <v>163.52000000000001</v>
          </cell>
        </row>
        <row r="1544">
          <cell r="K1544">
            <v>141.13999999999999</v>
          </cell>
        </row>
        <row r="1558">
          <cell r="K1558">
            <v>203.43</v>
          </cell>
        </row>
        <row r="1571">
          <cell r="K1571">
            <v>120.73</v>
          </cell>
        </row>
        <row r="1585">
          <cell r="K1585">
            <v>4292.38</v>
          </cell>
        </row>
        <row r="1600">
          <cell r="K1600">
            <v>71587.100000000006</v>
          </cell>
        </row>
        <row r="1613">
          <cell r="K1613">
            <v>71587.100000000006</v>
          </cell>
        </row>
        <row r="1626">
          <cell r="K1626">
            <v>69949.8</v>
          </cell>
        </row>
        <row r="1627">
          <cell r="R1627">
            <v>70226.600000000006</v>
          </cell>
        </row>
        <row r="1638">
          <cell r="K1638">
            <v>69949.8</v>
          </cell>
        </row>
        <row r="1656">
          <cell r="K1656">
            <v>310.89999999999998</v>
          </cell>
        </row>
        <row r="1658">
          <cell r="R1658">
            <v>315.58999999999997</v>
          </cell>
        </row>
        <row r="1671">
          <cell r="K1671">
            <v>265.14</v>
          </cell>
        </row>
        <row r="1688">
          <cell r="K1688">
            <v>58</v>
          </cell>
        </row>
        <row r="1700">
          <cell r="K1700">
            <v>95</v>
          </cell>
        </row>
        <row r="1708">
          <cell r="K1708">
            <v>55</v>
          </cell>
        </row>
        <row r="1715">
          <cell r="K1715">
            <v>1.5</v>
          </cell>
        </row>
        <row r="1764">
          <cell r="K1764">
            <v>230.76</v>
          </cell>
        </row>
        <row r="1780">
          <cell r="K1780">
            <v>353.01</v>
          </cell>
        </row>
        <row r="1793">
          <cell r="K1793">
            <v>774.12</v>
          </cell>
        </row>
        <row r="1808">
          <cell r="K1808">
            <v>15447.31</v>
          </cell>
        </row>
        <row r="1814">
          <cell r="K1814">
            <v>6020</v>
          </cell>
        </row>
        <row r="1815">
          <cell r="K1815">
            <v>1720</v>
          </cell>
        </row>
        <row r="1892">
          <cell r="K1892">
            <v>193.3</v>
          </cell>
        </row>
        <row r="1900">
          <cell r="K1900">
            <v>200.94</v>
          </cell>
        </row>
        <row r="1908">
          <cell r="K1908">
            <v>216.76</v>
          </cell>
        </row>
        <row r="1930">
          <cell r="R1930">
            <v>256.5</v>
          </cell>
        </row>
        <row r="1945">
          <cell r="K1945">
            <v>281.02999999999997</v>
          </cell>
        </row>
        <row r="1966">
          <cell r="K1966">
            <v>3004.83</v>
          </cell>
        </row>
        <row r="1969">
          <cell r="K1969">
            <v>1828</v>
          </cell>
        </row>
        <row r="1970">
          <cell r="K1970">
            <v>30</v>
          </cell>
        </row>
        <row r="1972">
          <cell r="K1972">
            <v>202</v>
          </cell>
        </row>
        <row r="1975">
          <cell r="K1975">
            <v>300</v>
          </cell>
        </row>
        <row r="1978">
          <cell r="K1978">
            <v>250</v>
          </cell>
        </row>
        <row r="1995">
          <cell r="K1995">
            <v>2944.29</v>
          </cell>
        </row>
        <row r="1996">
          <cell r="R1996">
            <v>2913.46</v>
          </cell>
        </row>
        <row r="2016">
          <cell r="K2016">
            <v>4561.54</v>
          </cell>
        </row>
        <row r="2017">
          <cell r="R2017">
            <v>4531.08</v>
          </cell>
        </row>
        <row r="2033">
          <cell r="K2033">
            <v>6285.18</v>
          </cell>
        </row>
        <row r="2036">
          <cell r="R2036">
            <v>6255.28</v>
          </cell>
        </row>
        <row r="2052">
          <cell r="K2052">
            <v>6675.18</v>
          </cell>
        </row>
        <row r="2055">
          <cell r="R2055">
            <v>6645.28</v>
          </cell>
        </row>
        <row r="2081">
          <cell r="K2081">
            <v>626.17999999999995</v>
          </cell>
        </row>
        <row r="2105">
          <cell r="K2105">
            <v>513.38</v>
          </cell>
        </row>
        <row r="2116">
          <cell r="K2116">
            <v>441.7</v>
          </cell>
        </row>
        <row r="2129">
          <cell r="K2129">
            <v>1656.52</v>
          </cell>
        </row>
        <row r="2137">
          <cell r="K2137">
            <v>136.69999999999999</v>
          </cell>
        </row>
        <row r="2156">
          <cell r="K2156">
            <v>477.8</v>
          </cell>
        </row>
        <row r="2176">
          <cell r="K2176">
            <v>637.16999999999996</v>
          </cell>
        </row>
        <row r="2187">
          <cell r="K2187">
            <v>214.22</v>
          </cell>
        </row>
        <row r="2202">
          <cell r="K2202">
            <v>317.39999999999998</v>
          </cell>
        </row>
        <row r="2211">
          <cell r="K2211">
            <v>102.1</v>
          </cell>
        </row>
        <row r="2218">
          <cell r="K2218">
            <v>140.5</v>
          </cell>
        </row>
        <row r="2224">
          <cell r="K2224">
            <v>128.6</v>
          </cell>
        </row>
        <row r="2234">
          <cell r="K2234">
            <v>165.9</v>
          </cell>
        </row>
        <row r="2243">
          <cell r="K2243">
            <v>31.87</v>
          </cell>
        </row>
        <row r="2279">
          <cell r="K2279">
            <v>1340</v>
          </cell>
        </row>
        <row r="2280">
          <cell r="K2280">
            <v>1344</v>
          </cell>
        </row>
        <row r="2281">
          <cell r="K2281">
            <v>1372</v>
          </cell>
        </row>
        <row r="2282">
          <cell r="K2282">
            <v>1398</v>
          </cell>
        </row>
        <row r="2283">
          <cell r="K2283">
            <v>2539.73</v>
          </cell>
        </row>
        <row r="2284">
          <cell r="K2284">
            <v>688</v>
          </cell>
        </row>
        <row r="2285">
          <cell r="K2285">
            <v>932</v>
          </cell>
        </row>
        <row r="2286">
          <cell r="K2286">
            <v>129</v>
          </cell>
        </row>
        <row r="2287">
          <cell r="K2287">
            <v>462</v>
          </cell>
        </row>
        <row r="2289">
          <cell r="K2289">
            <v>12</v>
          </cell>
        </row>
        <row r="2290">
          <cell r="K2290">
            <v>10</v>
          </cell>
        </row>
        <row r="2291">
          <cell r="K2291">
            <v>815</v>
          </cell>
        </row>
        <row r="2292">
          <cell r="K2292">
            <v>33.9</v>
          </cell>
        </row>
        <row r="2293">
          <cell r="K2293">
            <v>4016</v>
          </cell>
        </row>
        <row r="2294">
          <cell r="K2294">
            <v>3250</v>
          </cell>
        </row>
        <row r="2295">
          <cell r="K2295">
            <v>467</v>
          </cell>
        </row>
        <row r="2298">
          <cell r="K2298">
            <v>1919</v>
          </cell>
        </row>
        <row r="2300">
          <cell r="K2300">
            <v>172</v>
          </cell>
        </row>
        <row r="2301">
          <cell r="K2301">
            <v>219</v>
          </cell>
        </row>
        <row r="2302">
          <cell r="K2302">
            <v>1830</v>
          </cell>
        </row>
        <row r="2303">
          <cell r="K2303">
            <v>76</v>
          </cell>
        </row>
        <row r="2304">
          <cell r="K2304">
            <v>2588</v>
          </cell>
        </row>
        <row r="2305">
          <cell r="K2305">
            <v>718</v>
          </cell>
        </row>
        <row r="2306">
          <cell r="K2306">
            <v>2251.83</v>
          </cell>
        </row>
        <row r="2307">
          <cell r="K2307">
            <v>2579</v>
          </cell>
        </row>
        <row r="2308">
          <cell r="K2308">
            <v>2505</v>
          </cell>
        </row>
        <row r="2322">
          <cell r="K2322">
            <v>72.8</v>
          </cell>
        </row>
        <row r="2349">
          <cell r="K2349">
            <v>31.75</v>
          </cell>
        </row>
        <row r="2368">
          <cell r="R2368">
            <v>1791.9</v>
          </cell>
        </row>
        <row r="2372">
          <cell r="I2372">
            <v>693.56</v>
          </cell>
        </row>
        <row r="2374">
          <cell r="I2374">
            <v>782.8</v>
          </cell>
        </row>
        <row r="2375">
          <cell r="R2375">
            <v>398.31</v>
          </cell>
        </row>
        <row r="2376">
          <cell r="I2376">
            <v>939.36</v>
          </cell>
        </row>
        <row r="2378">
          <cell r="I2378">
            <v>861.08</v>
          </cell>
        </row>
        <row r="2383">
          <cell r="R2383">
            <v>322.60000000000002</v>
          </cell>
        </row>
        <row r="2410">
          <cell r="K2410">
            <v>353.66</v>
          </cell>
        </row>
        <row r="2421">
          <cell r="K2421">
            <v>795.45</v>
          </cell>
        </row>
        <row r="2433">
          <cell r="K2433">
            <v>1939.71</v>
          </cell>
        </row>
        <row r="2434">
          <cell r="R2434">
            <v>1244.1400000000001</v>
          </cell>
        </row>
        <row r="2453">
          <cell r="K2453">
            <v>1276.43</v>
          </cell>
        </row>
        <row r="2454">
          <cell r="X2454">
            <v>1448.63</v>
          </cell>
        </row>
        <row r="2460">
          <cell r="R2460">
            <v>1448.63</v>
          </cell>
        </row>
        <row r="2466">
          <cell r="K2466">
            <v>654.53</v>
          </cell>
        </row>
        <row r="2491">
          <cell r="K2491">
            <v>3351.56</v>
          </cell>
        </row>
        <row r="2510">
          <cell r="K2510">
            <v>3814.33</v>
          </cell>
        </row>
        <row r="2533">
          <cell r="K2533">
            <v>4038.14</v>
          </cell>
        </row>
        <row r="2539">
          <cell r="R2539">
            <v>3386.79</v>
          </cell>
        </row>
        <row r="2563">
          <cell r="K2563">
            <v>7463.7</v>
          </cell>
        </row>
        <row r="2598">
          <cell r="K2598">
            <v>4865.33</v>
          </cell>
          <cell r="R2598">
            <v>3477.23</v>
          </cell>
        </row>
        <row r="2644">
          <cell r="O2644" t="str">
            <v>T.W DOOR SHUTTER TWO LEAVES(1200 X 2100 mm ) with Brass Fittings</v>
          </cell>
        </row>
        <row r="2647">
          <cell r="AG2647">
            <v>5184.83</v>
          </cell>
        </row>
        <row r="2651">
          <cell r="I2651">
            <v>111600</v>
          </cell>
        </row>
        <row r="2652">
          <cell r="I2652">
            <v>99400</v>
          </cell>
        </row>
        <row r="2653">
          <cell r="I2653">
            <v>107000</v>
          </cell>
        </row>
        <row r="2663">
          <cell r="P2663">
            <v>79</v>
          </cell>
        </row>
        <row r="2664">
          <cell r="P2664">
            <v>130</v>
          </cell>
        </row>
        <row r="2665">
          <cell r="K2665">
            <v>5731.62</v>
          </cell>
        </row>
        <row r="2672">
          <cell r="R2672">
            <v>6085.64</v>
          </cell>
        </row>
        <row r="2681">
          <cell r="AG2681">
            <v>5418.92</v>
          </cell>
        </row>
        <row r="2708">
          <cell r="K2708">
            <v>722.17</v>
          </cell>
        </row>
        <row r="2721">
          <cell r="K2721">
            <v>216.58</v>
          </cell>
        </row>
        <row r="2734">
          <cell r="K2734">
            <v>50.62</v>
          </cell>
        </row>
        <row r="2743">
          <cell r="K2743">
            <v>108.13</v>
          </cell>
        </row>
        <row r="2785">
          <cell r="K2785">
            <v>195.3</v>
          </cell>
        </row>
        <row r="2796">
          <cell r="K2796">
            <v>2489.63</v>
          </cell>
        </row>
        <row r="2816">
          <cell r="K2816">
            <v>1425.87</v>
          </cell>
        </row>
        <row r="2845">
          <cell r="K2845">
            <v>5610.61</v>
          </cell>
        </row>
        <row r="2852">
          <cell r="R2852">
            <v>5171.0200000000004</v>
          </cell>
        </row>
        <row r="2863">
          <cell r="K2863">
            <v>2895.86</v>
          </cell>
        </row>
        <row r="2885">
          <cell r="R2885">
            <v>4875.3500000000004</v>
          </cell>
        </row>
        <row r="2895">
          <cell r="K2895">
            <v>2060.92</v>
          </cell>
        </row>
        <row r="2906">
          <cell r="K2906">
            <v>81.2</v>
          </cell>
        </row>
        <row r="2929">
          <cell r="K2929">
            <v>6214.02</v>
          </cell>
        </row>
        <row r="2931">
          <cell r="K2931">
            <v>6308.42</v>
          </cell>
        </row>
        <row r="2932">
          <cell r="K2932">
            <v>6494.27</v>
          </cell>
        </row>
        <row r="2933">
          <cell r="K2933">
            <v>6680.12</v>
          </cell>
        </row>
        <row r="2949">
          <cell r="K2949">
            <v>569.59</v>
          </cell>
        </row>
        <row r="2958">
          <cell r="K2958">
            <v>572.77</v>
          </cell>
        </row>
        <row r="2968">
          <cell r="K2968">
            <v>575.96</v>
          </cell>
        </row>
        <row r="2999">
          <cell r="K2999">
            <v>2936.45</v>
          </cell>
        </row>
        <row r="3006">
          <cell r="R3006">
            <v>2825.67</v>
          </cell>
        </row>
        <row r="3032">
          <cell r="K3032">
            <v>375.7</v>
          </cell>
        </row>
        <row r="3036">
          <cell r="K3036">
            <v>1768</v>
          </cell>
        </row>
        <row r="3049">
          <cell r="K3049">
            <v>130</v>
          </cell>
        </row>
        <row r="3051">
          <cell r="K3051">
            <v>170</v>
          </cell>
        </row>
        <row r="3054">
          <cell r="K3054">
            <v>443</v>
          </cell>
        </row>
        <row r="3056">
          <cell r="K3056">
            <v>1284</v>
          </cell>
        </row>
        <row r="3064">
          <cell r="K3064">
            <v>1460.73</v>
          </cell>
        </row>
        <row r="3084">
          <cell r="K3084">
            <v>3142.85</v>
          </cell>
        </row>
        <row r="3091">
          <cell r="R3091">
            <v>2973.44</v>
          </cell>
        </row>
        <row r="3103">
          <cell r="K3103">
            <v>3025.75</v>
          </cell>
        </row>
        <row r="3132">
          <cell r="K3132">
            <v>3907.97</v>
          </cell>
        </row>
        <row r="3133">
          <cell r="AF3133">
            <v>458</v>
          </cell>
          <cell r="AH3133">
            <v>410</v>
          </cell>
        </row>
        <row r="3134">
          <cell r="AQ3134">
            <v>223</v>
          </cell>
          <cell r="AR3134">
            <v>212</v>
          </cell>
        </row>
        <row r="3141">
          <cell r="R3141">
            <v>113.91</v>
          </cell>
        </row>
        <row r="3177">
          <cell r="V3177">
            <v>45.7</v>
          </cell>
        </row>
        <row r="3178">
          <cell r="V3178">
            <v>79.099999999999994</v>
          </cell>
        </row>
        <row r="3179">
          <cell r="V3179">
            <v>68.5</v>
          </cell>
        </row>
        <row r="3180">
          <cell r="V3180">
            <v>50.9</v>
          </cell>
        </row>
        <row r="3181">
          <cell r="V3181">
            <v>7.3</v>
          </cell>
        </row>
        <row r="3182">
          <cell r="V3182">
            <v>2.37</v>
          </cell>
        </row>
        <row r="3184">
          <cell r="R3184">
            <v>3009.45</v>
          </cell>
        </row>
        <row r="3186">
          <cell r="X3186">
            <v>3142.34</v>
          </cell>
        </row>
        <row r="3190">
          <cell r="I3190">
            <v>3.36</v>
          </cell>
        </row>
        <row r="3193">
          <cell r="K3193">
            <v>112.6</v>
          </cell>
        </row>
        <row r="3206">
          <cell r="K3206">
            <v>58.96</v>
          </cell>
        </row>
        <row r="3216">
          <cell r="I3216">
            <v>7.25</v>
          </cell>
        </row>
        <row r="3220">
          <cell r="K3220">
            <v>77.5</v>
          </cell>
        </row>
        <row r="3221">
          <cell r="R3221">
            <v>6049.48</v>
          </cell>
        </row>
        <row r="3230">
          <cell r="I3230">
            <v>7.77</v>
          </cell>
        </row>
        <row r="3234">
          <cell r="K3234">
            <v>84.14</v>
          </cell>
        </row>
        <row r="3245">
          <cell r="P3245">
            <v>1078</v>
          </cell>
        </row>
        <row r="3249">
          <cell r="K3249">
            <v>137.94</v>
          </cell>
        </row>
        <row r="3265">
          <cell r="K3265">
            <v>120.24</v>
          </cell>
        </row>
        <row r="3290">
          <cell r="R3290">
            <v>6021.16</v>
          </cell>
        </row>
        <row r="3293">
          <cell r="K3293">
            <v>78.05</v>
          </cell>
        </row>
        <row r="3323">
          <cell r="R3323">
            <v>5320.6</v>
          </cell>
        </row>
        <row r="3349">
          <cell r="K3349">
            <v>4717.82</v>
          </cell>
        </row>
        <row r="3357">
          <cell r="R3357">
            <v>4755.8</v>
          </cell>
        </row>
        <row r="3366">
          <cell r="K3366">
            <v>103.21</v>
          </cell>
        </row>
        <row r="3369">
          <cell r="H3369" t="str">
            <v>Plastic Emulsion PAINT two coat for old wall</v>
          </cell>
        </row>
        <row r="3376">
          <cell r="K3376">
            <v>141.19</v>
          </cell>
        </row>
        <row r="3382">
          <cell r="H3382" t="str">
            <v>Plastic Emulsion PAINT one coat for old wall</v>
          </cell>
        </row>
        <row r="3389">
          <cell r="K3389">
            <v>71.75</v>
          </cell>
        </row>
        <row r="3392">
          <cell r="R3392">
            <v>5337.52</v>
          </cell>
        </row>
        <row r="3426">
          <cell r="R3426">
            <v>4783.26</v>
          </cell>
        </row>
        <row r="3452">
          <cell r="K3452">
            <v>4937.8999999999996</v>
          </cell>
        </row>
        <row r="3470">
          <cell r="R3470">
            <v>5599.35</v>
          </cell>
        </row>
        <row r="3551">
          <cell r="K3551">
            <v>3205.08</v>
          </cell>
        </row>
        <row r="3567">
          <cell r="K3567">
            <v>2952.19</v>
          </cell>
          <cell r="X3567">
            <v>2915.08</v>
          </cell>
          <cell r="AG3567">
            <v>3023.81</v>
          </cell>
        </row>
        <row r="3583">
          <cell r="X3583">
            <v>3154.45</v>
          </cell>
        </row>
        <row r="3587">
          <cell r="K3587">
            <v>3004.83</v>
          </cell>
        </row>
        <row r="3599">
          <cell r="X3599">
            <v>3118.37</v>
          </cell>
        </row>
        <row r="3601">
          <cell r="R3601">
            <v>2876.5</v>
          </cell>
        </row>
        <row r="3614">
          <cell r="X3614">
            <v>2899.14</v>
          </cell>
        </row>
        <row r="3631">
          <cell r="X3631">
            <v>2964.4</v>
          </cell>
        </row>
        <row r="3646">
          <cell r="X3646">
            <v>2762.15</v>
          </cell>
        </row>
        <row r="3666">
          <cell r="K3666">
            <v>319</v>
          </cell>
        </row>
        <row r="3686">
          <cell r="X3686">
            <v>5310.14</v>
          </cell>
        </row>
        <row r="3695">
          <cell r="K3695">
            <v>343.73</v>
          </cell>
        </row>
        <row r="3714">
          <cell r="X3714">
            <v>6869.96</v>
          </cell>
        </row>
        <row r="3715">
          <cell r="K3715">
            <v>561.02</v>
          </cell>
        </row>
        <row r="3724">
          <cell r="R3724">
            <v>2991</v>
          </cell>
        </row>
        <row r="3727">
          <cell r="K3727">
            <v>838.89</v>
          </cell>
        </row>
        <row r="3729">
          <cell r="X3729">
            <v>3584</v>
          </cell>
        </row>
        <row r="3738">
          <cell r="K3738">
            <v>3282</v>
          </cell>
        </row>
        <row r="3743">
          <cell r="X3743">
            <v>3873</v>
          </cell>
        </row>
        <row r="3756">
          <cell r="K3756">
            <v>78.36</v>
          </cell>
        </row>
        <row r="3810">
          <cell r="K3810">
            <v>3627.29</v>
          </cell>
        </row>
        <row r="3832">
          <cell r="K3832">
            <v>1487.78</v>
          </cell>
        </row>
        <row r="3855">
          <cell r="K3855">
            <v>1228.53</v>
          </cell>
        </row>
        <row r="3877">
          <cell r="J3877">
            <v>3669.64</v>
          </cell>
        </row>
        <row r="3898">
          <cell r="J3898">
            <v>3582.64</v>
          </cell>
        </row>
        <row r="3950">
          <cell r="K3950">
            <v>2318.73</v>
          </cell>
        </row>
        <row r="3968">
          <cell r="K3968">
            <v>2300.02</v>
          </cell>
        </row>
        <row r="3984">
          <cell r="K3984">
            <v>2268.56</v>
          </cell>
        </row>
        <row r="4001">
          <cell r="K4001">
            <v>2762.54</v>
          </cell>
        </row>
        <row r="4024">
          <cell r="F4024">
            <v>12.08</v>
          </cell>
          <cell r="I4024">
            <v>287</v>
          </cell>
          <cell r="K4024">
            <v>3466.96</v>
          </cell>
        </row>
        <row r="4025">
          <cell r="F4025">
            <v>1.823</v>
          </cell>
          <cell r="I4025">
            <v>208.8</v>
          </cell>
        </row>
        <row r="4026">
          <cell r="F4026">
            <v>8.1</v>
          </cell>
          <cell r="I4026">
            <v>28.6</v>
          </cell>
        </row>
        <row r="4027">
          <cell r="F4027">
            <v>2</v>
          </cell>
          <cell r="I4027">
            <v>350</v>
          </cell>
        </row>
        <row r="4028">
          <cell r="F4028">
            <v>2</v>
          </cell>
          <cell r="I4028">
            <v>48</v>
          </cell>
        </row>
        <row r="4029">
          <cell r="F4029">
            <v>4</v>
          </cell>
          <cell r="I4029">
            <v>15</v>
          </cell>
        </row>
        <row r="4030">
          <cell r="F4030">
            <v>1.823</v>
          </cell>
          <cell r="I4030">
            <v>1617</v>
          </cell>
        </row>
        <row r="4102">
          <cell r="K4102">
            <v>84.88</v>
          </cell>
        </row>
      </sheetData>
      <sheetData sheetId="34">
        <row r="2840">
          <cell r="H2840" t="str">
            <v>Light point with ceiling rose for flats/ houses</v>
          </cell>
        </row>
        <row r="2843">
          <cell r="I2843">
            <v>13.5</v>
          </cell>
        </row>
        <row r="2844">
          <cell r="I2844">
            <v>17.100000000000001</v>
          </cell>
        </row>
        <row r="2845">
          <cell r="I2845">
            <v>2.7</v>
          </cell>
        </row>
        <row r="2846">
          <cell r="I2846">
            <v>1.1399999999999999</v>
          </cell>
        </row>
        <row r="2849">
          <cell r="I2849">
            <v>563</v>
          </cell>
        </row>
        <row r="2850">
          <cell r="I2850">
            <v>15.89</v>
          </cell>
        </row>
        <row r="2851">
          <cell r="I2851">
            <v>13.6</v>
          </cell>
          <cell r="P2851">
            <v>287</v>
          </cell>
        </row>
        <row r="2852">
          <cell r="I2852">
            <v>36.799999999999997</v>
          </cell>
        </row>
        <row r="2853">
          <cell r="I2853">
            <v>290</v>
          </cell>
        </row>
        <row r="2854">
          <cell r="P2854">
            <v>175.24</v>
          </cell>
        </row>
        <row r="2855">
          <cell r="I2855">
            <v>563</v>
          </cell>
        </row>
        <row r="2856">
          <cell r="I2856">
            <v>13.5</v>
          </cell>
        </row>
        <row r="2860">
          <cell r="K2860">
            <v>1340</v>
          </cell>
        </row>
        <row r="2866">
          <cell r="I2866">
            <v>730</v>
          </cell>
        </row>
        <row r="2867">
          <cell r="I2867">
            <v>636</v>
          </cell>
        </row>
        <row r="2868">
          <cell r="I2868">
            <v>633</v>
          </cell>
        </row>
        <row r="2869">
          <cell r="I2869">
            <v>497</v>
          </cell>
        </row>
        <row r="2871">
          <cell r="I2871">
            <v>718</v>
          </cell>
        </row>
        <row r="2872">
          <cell r="I2872">
            <v>497</v>
          </cell>
        </row>
        <row r="2881">
          <cell r="K2881">
            <v>163.5</v>
          </cell>
        </row>
        <row r="2884">
          <cell r="K2884">
            <v>1344</v>
          </cell>
        </row>
        <row r="2894">
          <cell r="K2894">
            <v>409</v>
          </cell>
        </row>
        <row r="2896">
          <cell r="K2896">
            <v>165</v>
          </cell>
        </row>
        <row r="2899">
          <cell r="K2899">
            <v>1372</v>
          </cell>
        </row>
        <row r="2921">
          <cell r="K2921">
            <v>1398</v>
          </cell>
        </row>
        <row r="2945">
          <cell r="K2945">
            <v>2539.73</v>
          </cell>
        </row>
        <row r="2957">
          <cell r="I2957">
            <v>39.590000000000003</v>
          </cell>
        </row>
        <row r="2965">
          <cell r="K2965">
            <v>932</v>
          </cell>
        </row>
        <row r="2977">
          <cell r="K2977">
            <v>688</v>
          </cell>
        </row>
        <row r="2984">
          <cell r="I2984">
            <v>53.5</v>
          </cell>
        </row>
        <row r="2988">
          <cell r="K2988">
            <v>129</v>
          </cell>
        </row>
        <row r="3011">
          <cell r="K3011">
            <v>2199.73</v>
          </cell>
        </row>
        <row r="3023">
          <cell r="K3023">
            <v>2200.73</v>
          </cell>
        </row>
        <row r="3044">
          <cell r="K3044">
            <v>2258.73</v>
          </cell>
        </row>
        <row r="3063">
          <cell r="K3063">
            <v>4103.7299999999996</v>
          </cell>
        </row>
        <row r="3080">
          <cell r="K3080">
            <v>172</v>
          </cell>
        </row>
        <row r="3092">
          <cell r="K3092">
            <v>187</v>
          </cell>
        </row>
        <row r="3105">
          <cell r="K3105">
            <v>219</v>
          </cell>
        </row>
        <row r="3119">
          <cell r="K3119">
            <v>326</v>
          </cell>
          <cell r="R3119">
            <v>403</v>
          </cell>
        </row>
        <row r="3133">
          <cell r="R3133">
            <v>518</v>
          </cell>
        </row>
        <row r="3135">
          <cell r="K3135">
            <v>462</v>
          </cell>
        </row>
        <row r="3154">
          <cell r="K3154">
            <v>815</v>
          </cell>
        </row>
        <row r="3173">
          <cell r="K3173">
            <v>1238</v>
          </cell>
        </row>
        <row r="3184">
          <cell r="K3184">
            <v>932</v>
          </cell>
        </row>
        <row r="3195">
          <cell r="K3195">
            <v>1590</v>
          </cell>
        </row>
        <row r="3210">
          <cell r="K3210">
            <v>2007</v>
          </cell>
        </row>
        <row r="3221">
          <cell r="K3221">
            <v>3250</v>
          </cell>
        </row>
        <row r="3233">
          <cell r="K3233">
            <v>4016</v>
          </cell>
        </row>
        <row r="3244">
          <cell r="K3244">
            <v>250</v>
          </cell>
        </row>
        <row r="3262">
          <cell r="K3262">
            <v>417</v>
          </cell>
        </row>
        <row r="3277">
          <cell r="K3277">
            <v>467</v>
          </cell>
        </row>
        <row r="3294">
          <cell r="K3294">
            <v>21</v>
          </cell>
        </row>
        <row r="3306">
          <cell r="I3306">
            <v>163</v>
          </cell>
        </row>
        <row r="3307">
          <cell r="I3307">
            <v>98.6</v>
          </cell>
        </row>
        <row r="3308">
          <cell r="I3308">
            <v>69.8</v>
          </cell>
        </row>
        <row r="3309">
          <cell r="I3309">
            <v>52</v>
          </cell>
        </row>
        <row r="3310">
          <cell r="I3310" t="str">
            <v>LS</v>
          </cell>
        </row>
        <row r="3311">
          <cell r="I3311" t="str">
            <v>LS</v>
          </cell>
        </row>
        <row r="3312">
          <cell r="I3312">
            <v>100</v>
          </cell>
        </row>
        <row r="3313">
          <cell r="I3313">
            <v>4.96</v>
          </cell>
        </row>
        <row r="3314">
          <cell r="I3314">
            <v>13.6</v>
          </cell>
        </row>
        <row r="3315">
          <cell r="I3315">
            <v>13.6</v>
          </cell>
        </row>
        <row r="3316">
          <cell r="I3316">
            <v>3.7</v>
          </cell>
        </row>
        <row r="3319">
          <cell r="K3319">
            <v>2588</v>
          </cell>
        </row>
        <row r="3333">
          <cell r="K3333">
            <v>330</v>
          </cell>
        </row>
        <row r="3348">
          <cell r="K3348">
            <v>633</v>
          </cell>
        </row>
        <row r="3354">
          <cell r="H3354" t="str">
            <v>Mason I ( it-29 /37  ,p-12)</v>
          </cell>
          <cell r="I3354">
            <v>769</v>
          </cell>
        </row>
        <row r="3366">
          <cell r="K3366">
            <v>418</v>
          </cell>
        </row>
        <row r="3379">
          <cell r="K3379">
            <v>647</v>
          </cell>
        </row>
        <row r="3384">
          <cell r="H3384" t="str">
            <v>25 Amps rating single phase ELCB with 10 to 25 MA sensitivity (ISI make ) (DP) P-132   9-b havells  part -L</v>
          </cell>
          <cell r="I3384">
            <v>1492</v>
          </cell>
          <cell r="K3384">
            <v>1492</v>
          </cell>
        </row>
        <row r="3389">
          <cell r="I3389">
            <v>1840</v>
          </cell>
          <cell r="K3389">
            <v>1840</v>
          </cell>
        </row>
        <row r="3396">
          <cell r="I3396">
            <v>83.6</v>
          </cell>
          <cell r="L3396">
            <v>186.6</v>
          </cell>
          <cell r="M3396">
            <v>47.2</v>
          </cell>
          <cell r="N3396">
            <v>337</v>
          </cell>
          <cell r="O3396">
            <v>545</v>
          </cell>
        </row>
        <row r="3400">
          <cell r="K3400">
            <v>466</v>
          </cell>
        </row>
        <row r="3419">
          <cell r="K3419">
            <v>725</v>
          </cell>
        </row>
        <row r="3441">
          <cell r="K3441">
            <v>718</v>
          </cell>
        </row>
        <row r="3454">
          <cell r="H3454" t="str">
            <v>Single phase ELCB (ISI 25 Amps 30 MA)P-94  9-b</v>
          </cell>
          <cell r="I3454">
            <v>1492</v>
          </cell>
        </row>
        <row r="3455">
          <cell r="H3455" t="str">
            <v>3 No of 30 amps MCB ( Part -L, P-131   6-a havells)</v>
          </cell>
          <cell r="I3455">
            <v>126</v>
          </cell>
        </row>
        <row r="3458">
          <cell r="K3458">
            <v>2505</v>
          </cell>
        </row>
        <row r="3468">
          <cell r="K3468">
            <v>2870</v>
          </cell>
        </row>
        <row r="3481">
          <cell r="K3481">
            <v>1170</v>
          </cell>
        </row>
        <row r="3501">
          <cell r="K3501">
            <v>126</v>
          </cell>
        </row>
        <row r="3515">
          <cell r="K3515">
            <v>130</v>
          </cell>
        </row>
        <row r="3524">
          <cell r="K3524">
            <v>147.6</v>
          </cell>
        </row>
        <row r="3539">
          <cell r="K3539">
            <v>221</v>
          </cell>
        </row>
        <row r="3545">
          <cell r="H3545" t="str">
            <v>GI pipe of 40 mm dia  (P-51 142 -iii)</v>
          </cell>
          <cell r="I3545">
            <v>163</v>
          </cell>
        </row>
        <row r="3547">
          <cell r="K3547">
            <v>165</v>
          </cell>
        </row>
        <row r="3553">
          <cell r="H3553" t="str">
            <v>40 x 40 x 6 mm MS angle (P-125  part -G)</v>
          </cell>
        </row>
        <row r="3556">
          <cell r="K3556">
            <v>148</v>
          </cell>
        </row>
        <row r="3567">
          <cell r="K3567">
            <v>228.93</v>
          </cell>
        </row>
        <row r="3578">
          <cell r="H3578" t="str">
            <v>M.S. Clamps/ Saddles 32mm (It- 3d p-131 ,part-L )</v>
          </cell>
          <cell r="I3578">
            <v>59.1</v>
          </cell>
        </row>
        <row r="3579">
          <cell r="H3579" t="str">
            <v>Brass screws  ( 40 mm x 6 no) P130  Part-L 1-c</v>
          </cell>
          <cell r="I3579">
            <v>68.2</v>
          </cell>
        </row>
        <row r="3580">
          <cell r="H3580" t="str">
            <v>TW plugs 1 1/2x 1'x2"( part-J 1-e P-129  )</v>
          </cell>
          <cell r="I3580">
            <v>287</v>
          </cell>
        </row>
        <row r="3584">
          <cell r="K3584">
            <v>135</v>
          </cell>
        </row>
        <row r="3612">
          <cell r="H3612" t="str">
            <v>GI pipe of 20 mm dia  (P-50 142 -iv)</v>
          </cell>
          <cell r="I3612">
            <v>98.6</v>
          </cell>
        </row>
        <row r="3614">
          <cell r="I3614">
            <v>47.2</v>
          </cell>
        </row>
        <row r="3619">
          <cell r="K3619">
            <v>1903</v>
          </cell>
        </row>
        <row r="3634">
          <cell r="H3634" t="str">
            <v>Tube light fittings P-111 ,11a-An-VII</v>
          </cell>
          <cell r="I3634">
            <v>636</v>
          </cell>
        </row>
        <row r="3635">
          <cell r="H3635" t="str">
            <v>Tubular lamp P-110 ,4b</v>
          </cell>
          <cell r="I3635">
            <v>35.6</v>
          </cell>
        </row>
        <row r="3638">
          <cell r="K3638">
            <v>2579</v>
          </cell>
          <cell r="R3638">
            <v>2620</v>
          </cell>
        </row>
        <row r="3643">
          <cell r="H3643" t="str">
            <v>GI pipe B class of 50 mm dia  (P-51 150 -ii)</v>
          </cell>
          <cell r="I3643">
            <v>209</v>
          </cell>
        </row>
        <row r="3646">
          <cell r="R3646">
            <v>8461</v>
          </cell>
        </row>
        <row r="3650">
          <cell r="K3650">
            <v>2018</v>
          </cell>
        </row>
        <row r="3662">
          <cell r="I3662">
            <v>270</v>
          </cell>
        </row>
        <row r="3664">
          <cell r="I3664">
            <v>83.6</v>
          </cell>
        </row>
        <row r="3666">
          <cell r="I3666">
            <v>98.6</v>
          </cell>
        </row>
        <row r="3670">
          <cell r="H3670" t="str">
            <v>32 A DPIC switch p-118 2d, Part-C</v>
          </cell>
          <cell r="I3670">
            <v>761</v>
          </cell>
        </row>
        <row r="3676">
          <cell r="K3676">
            <v>4685</v>
          </cell>
        </row>
        <row r="3683">
          <cell r="I3683">
            <v>5800</v>
          </cell>
        </row>
        <row r="3689">
          <cell r="K3689">
            <v>73</v>
          </cell>
        </row>
        <row r="3694">
          <cell r="H3694" t="str">
            <v>Add cost of 25 mm dia PVC pipe heavy dutyp-89 part -I c</v>
          </cell>
          <cell r="I3694">
            <v>25.4</v>
          </cell>
        </row>
        <row r="3695">
          <cell r="K3695">
            <v>81.3</v>
          </cell>
        </row>
        <row r="3699">
          <cell r="H3699" t="str">
            <v>TW board 8" x6" x3" (p-129, part-j/b)</v>
          </cell>
          <cell r="I3699">
            <v>37.1</v>
          </cell>
        </row>
        <row r="3702">
          <cell r="K3702">
            <v>53</v>
          </cell>
        </row>
        <row r="3708">
          <cell r="H3708" t="str">
            <v>TW board 4" x4" x3" (p-129, part-j/d)</v>
          </cell>
          <cell r="I3708">
            <v>13.7</v>
          </cell>
        </row>
        <row r="3710">
          <cell r="I3710">
            <v>49.5</v>
          </cell>
        </row>
        <row r="3712">
          <cell r="K3712">
            <v>76</v>
          </cell>
        </row>
        <row r="3718">
          <cell r="H3718" t="str">
            <v>65 mm dia GI pipe ' B' class p51,150-i</v>
          </cell>
          <cell r="I3718">
            <v>244.4</v>
          </cell>
        </row>
        <row r="3719">
          <cell r="H3719" t="str">
            <v>20 mm dia 'B' class GI pipe p- 50 it-142 iv</v>
          </cell>
          <cell r="I3719">
            <v>98.6</v>
          </cell>
        </row>
        <row r="3721">
          <cell r="I3721">
            <v>89.3</v>
          </cell>
        </row>
        <row r="3722">
          <cell r="I3722">
            <v>6400</v>
          </cell>
        </row>
        <row r="3727">
          <cell r="K3727">
            <v>6505</v>
          </cell>
        </row>
        <row r="3744">
          <cell r="K3744">
            <v>1919</v>
          </cell>
        </row>
        <row r="3762">
          <cell r="K3762">
            <v>1768</v>
          </cell>
        </row>
        <row r="3764">
          <cell r="H3764" t="str">
            <v>Supply of ceiling fan 1200mm</v>
          </cell>
        </row>
        <row r="3765">
          <cell r="H3765" t="str">
            <v>1200mm A.C ceiling fan (without regulator)( Part- B 1 a p-115</v>
          </cell>
          <cell r="I3765">
            <v>1130</v>
          </cell>
        </row>
        <row r="3766">
          <cell r="I3766">
            <v>153.80000000000001</v>
          </cell>
        </row>
        <row r="3767">
          <cell r="K3767">
            <v>1284</v>
          </cell>
        </row>
        <row r="3770">
          <cell r="H3770" t="str">
            <v>4' tube 40' w light fitting with \electronic ballast (SD 88 P-  112 7 a)</v>
          </cell>
          <cell r="I3770">
            <v>303</v>
          </cell>
        </row>
        <row r="3774">
          <cell r="K3774">
            <v>591.94000000000005</v>
          </cell>
        </row>
        <row r="3777">
          <cell r="H3777" t="str">
            <v>4' tube light fitting with \electronic ballast p-111 it-20 c</v>
          </cell>
          <cell r="I3777">
            <v>269</v>
          </cell>
        </row>
        <row r="3778">
          <cell r="I3778">
            <v>35.6</v>
          </cell>
        </row>
        <row r="3781">
          <cell r="K3781">
            <v>556.1</v>
          </cell>
        </row>
        <row r="3787">
          <cell r="K3787">
            <v>635</v>
          </cell>
        </row>
        <row r="3815">
          <cell r="K3815">
            <v>745</v>
          </cell>
        </row>
        <row r="3841">
          <cell r="K3841">
            <v>748</v>
          </cell>
        </row>
        <row r="3857">
          <cell r="K3857">
            <v>786</v>
          </cell>
        </row>
        <row r="3879">
          <cell r="K3879">
            <v>829</v>
          </cell>
        </row>
        <row r="3899">
          <cell r="K3899">
            <v>1760</v>
          </cell>
        </row>
        <row r="3901">
          <cell r="H3901" t="str">
            <v>5 AMPS 5 PIN PLUG SOCKET POINT AT CONVENIENT PLACES (OPEN WIRING)</v>
          </cell>
        </row>
        <row r="3918">
          <cell r="K3918">
            <v>572</v>
          </cell>
        </row>
        <row r="3927">
          <cell r="H3927" t="str">
            <v>2 X1.5 Sqmm in fully concealed PVC conduit</v>
          </cell>
        </row>
        <row r="3933">
          <cell r="I3933">
            <v>38.700000000000003</v>
          </cell>
        </row>
        <row r="3934">
          <cell r="I3934">
            <v>287</v>
          </cell>
        </row>
        <row r="3942">
          <cell r="K3942">
            <v>106</v>
          </cell>
        </row>
        <row r="3944">
          <cell r="H3944" t="str">
            <v>2 X 2.5 Sq mm in fully concealed PVC conduit (open wiring)</v>
          </cell>
        </row>
        <row r="3953">
          <cell r="K3953">
            <v>121</v>
          </cell>
        </row>
        <row r="4087">
          <cell r="K4087">
            <v>34310</v>
          </cell>
        </row>
      </sheetData>
      <sheetData sheetId="35">
        <row r="6">
          <cell r="A6">
            <v>1.1000000000000001</v>
          </cell>
        </row>
      </sheetData>
      <sheetData sheetId="36">
        <row r="1">
          <cell r="A1" t="str">
            <v>TAMILNADU POLICE HOUSING CORPORATION LIMITED</v>
          </cell>
        </row>
      </sheetData>
      <sheetData sheetId="37"/>
      <sheetData sheetId="38">
        <row r="314">
          <cell r="C314" t="str">
            <v xml:space="preserve">TW Double leaf glazed window shutter of size 1250X2000 MM </v>
          </cell>
        </row>
        <row r="343">
          <cell r="F343">
            <v>4623.1099999999997</v>
          </cell>
        </row>
        <row r="373">
          <cell r="F373">
            <v>5524.96</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pile data ( M30 grade) (2)"/>
      <sheetName val="Abstract (21.4.18)"/>
      <sheetName val="Development - ii"/>
      <sheetName val="pile data ( M20 grade)"/>
      <sheetName val="  Coastal  Elec.Data "/>
      <sheetName val="Sliding and french window"/>
      <sheetName val="lead  charge"/>
      <sheetName val="Elec.abs"/>
      <sheetName val="OHT(A4)"/>
      <sheetName val="Sheet3"/>
      <sheetName val="paver"/>
      <sheetName val="SEPTIC TANK (A4)"/>
      <sheetName val="P.P WALL (A4)"/>
      <sheetName val="SL DRAIN (A4)"/>
      <sheetName val="Storm Water Drain"/>
      <sheetName val="SUMP (A4)"/>
      <sheetName val="Culvert"/>
      <sheetName val="precast RCC panel "/>
      <sheetName val="Precast Compound wall "/>
      <sheetName val="New Data"/>
      <sheetName val="G.Abstract (2)"/>
      <sheetName val="Building (2)"/>
      <sheetName val="Building (3)"/>
      <sheetName val="G. Abstractfinal"/>
      <sheetName val="Water supply Data"/>
      <sheetName val="Sheet2"/>
      <sheetName val="Data water"/>
      <sheetName val="Data water (2)"/>
      <sheetName val="  external water supply "/>
      <sheetName val="cub data"/>
      <sheetName val="water pipe data"/>
      <sheetName val="Data estimate"/>
      <sheetName val="Data"/>
      <sheetName val="Sheet4"/>
      <sheetName val="Elec.Data"/>
      <sheetName val="Development - i"/>
      <sheetName val="Electrical Estimate"/>
      <sheetName val="Bore &amp; Ex.water Supply"/>
      <sheetName val="Det"/>
      <sheetName val="Abs"/>
      <sheetName val="data -1"/>
      <sheetName val="Main Building Details"/>
      <sheetName val="det -detail"/>
      <sheetName val="Electrical E DATA"/>
      <sheetName val="Sheet5"/>
      <sheetName val="General. Abstrac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5">
          <cell r="E5" t="str">
            <v>Earth work excavation in all soils (including refilling)</v>
          </cell>
        </row>
        <row r="6">
          <cell r="E6" t="str">
            <v xml:space="preserve">a. 0 to 2 mt.  Earth work excavation in all soils (including refilling) </v>
          </cell>
        </row>
        <row r="7">
          <cell r="E7" t="str">
            <v xml:space="preserve">b. 2 to 3 mt.  Earth work excavation in all soils (including refilling) </v>
          </cell>
        </row>
        <row r="8">
          <cell r="E8" t="str">
            <v>Earth work excavation in all soils (excluding refilling)</v>
          </cell>
        </row>
        <row r="9">
          <cell r="E9" t="str">
            <v>a. 0 to 2 mt. Earth work excavation in all soils (excluding refilling)</v>
          </cell>
        </row>
        <row r="10">
          <cell r="E10" t="str">
            <v>b. 2 to 3 mt. Earth work excavation in all soils (excluding refilling)</v>
          </cell>
        </row>
        <row r="11">
          <cell r="E11" t="str">
            <v>Earth work excavation in Soft disintegrated rock  (including refilling)</v>
          </cell>
        </row>
        <row r="12">
          <cell r="E12" t="str">
            <v>a. 0 to 2 mt. Earth work excavation in Soft disintegrated rock  (including refilling)</v>
          </cell>
        </row>
        <row r="13">
          <cell r="E13" t="str">
            <v xml:space="preserve">b. 2 to 3 mt.  Earth work excavation in all soils (including refilling) </v>
          </cell>
        </row>
        <row r="14">
          <cell r="E14" t="str">
            <v>Earth work excavation for Open foundation (including refilling)</v>
          </cell>
        </row>
        <row r="15">
          <cell r="E15" t="str">
            <v>a. 0 to 2 mt.Earth work excavation for Open foundation (including refilling)</v>
          </cell>
        </row>
        <row r="16">
          <cell r="E16" t="str">
            <v>b. 2 to 3 mt. Earth work excavation in Soft disintegrated rock  (including refilling)</v>
          </cell>
        </row>
        <row r="17">
          <cell r="E17" t="str">
            <v>Earth work excavation for Open foundation (excluding refilling)</v>
          </cell>
        </row>
        <row r="18">
          <cell r="E18" t="str">
            <v>a. 0 to 2 mt.Earth work excavation for Open foundation (excluding refilling)</v>
          </cell>
        </row>
        <row r="19">
          <cell r="E19" t="str">
            <v>b. 2 to 3 mt.Earth work excavation for Open foundation (excluding refilling)</v>
          </cell>
        </row>
        <row r="20">
          <cell r="E20" t="str">
            <v>c. 3 to 4 mt.Earth work excavation for Open foundation (excluding refilling)</v>
          </cell>
        </row>
        <row r="21">
          <cell r="E21" t="str">
            <v>d. 4 to 5 mt.Earth work excavation for Open foundation (excluding refilling)</v>
          </cell>
        </row>
        <row r="22">
          <cell r="E22" t="str">
            <v>Earth work excavation for Open foundation  for drains (excluding refilling) width  upto 1.25 m</v>
          </cell>
        </row>
        <row r="23">
          <cell r="E23" t="str">
            <v>a. 0 to 2 mt.Earth work excavation for Open foundation  for drains (excluding refilling) width  upto 1.25 m</v>
          </cell>
        </row>
        <row r="24">
          <cell r="E24" t="str">
            <v>b. 2 to 3 mt.Earth work excavation for Open foundation  for drains (excluding refilling) width  upto 1.25 m</v>
          </cell>
        </row>
        <row r="25">
          <cell r="E25" t="str">
            <v>Earth work excavation in Soft disintegrated rock (Excluding refilling)</v>
          </cell>
        </row>
        <row r="26">
          <cell r="E26" t="str">
            <v>a. 0 to 2 mt.Earth work excavation in Soft disintegrated rock (Excluding refilling)</v>
          </cell>
        </row>
        <row r="27">
          <cell r="E27" t="str">
            <v>b. 2 to 3 mt.Earth work excavation in Soft disintegrated rock (Excluding refilling)</v>
          </cell>
        </row>
        <row r="28">
          <cell r="E28" t="str">
            <v>Earth work excavation in SDR for Open foundation  (excluding refilling)</v>
          </cell>
        </row>
        <row r="29">
          <cell r="E29" t="str">
            <v>a. 0 to 2 mt.Earth work excavation in SDR for Open foundation  (excluding refilling)</v>
          </cell>
        </row>
        <row r="30">
          <cell r="E30" t="str">
            <v>b. 2 to 3 mt.Earth work excavation in SDR for Open foundation  (excluding refilling)</v>
          </cell>
        </row>
        <row r="31">
          <cell r="E31" t="str">
            <v>Earth work excavation and depositing on bank withinitiallead of 10m and lift of 2.00m in narrow trenches for laying of pipes for water supply and sewerage works in the following types of soil strata as directed by departmental officers</v>
          </cell>
        </row>
        <row r="32">
          <cell r="E32" t="str">
            <v>In Medium rock and dense medium rock not requiringblasting.</v>
          </cell>
        </row>
        <row r="33">
          <cell r="E33" t="str">
            <v>a. 0 to 2 mt.In Medium rock and dense medium rock not requiring blasting.</v>
          </cell>
        </row>
        <row r="34">
          <cell r="E34" t="str">
            <v>b. 2 to 3 mt. In Medium rock and dense medium rock not requiring blasting.</v>
          </cell>
        </row>
        <row r="35">
          <cell r="E35" t="str">
            <v>c. 3 to 4 mt. In Medium rock and dense medium rock not requiring blasting.</v>
          </cell>
        </row>
        <row r="36">
          <cell r="E36" t="str">
            <v>Providing Driven PILES</v>
          </cell>
        </row>
        <row r="37">
          <cell r="E37" t="str">
            <v>a.300mm dia</v>
          </cell>
        </row>
        <row r="38">
          <cell r="E38" t="str">
            <v>b.330mm dia</v>
          </cell>
        </row>
        <row r="39">
          <cell r="E39" t="str">
            <v>c.375mm dia</v>
          </cell>
        </row>
        <row r="40">
          <cell r="E40" t="str">
            <v>d.400mm dia</v>
          </cell>
        </row>
        <row r="41">
          <cell r="E41" t="str">
            <v>e.450mm dia</v>
          </cell>
        </row>
        <row r="42">
          <cell r="E42" t="str">
            <v>f.500mm dia</v>
          </cell>
        </row>
        <row r="43">
          <cell r="E43" t="str">
            <v>Filling sand</v>
          </cell>
        </row>
        <row r="44">
          <cell r="E44" t="str">
            <v>Sand Gravel Mix</v>
          </cell>
        </row>
        <row r="45">
          <cell r="E45" t="str">
            <v>Supply and filling of 40 mm Brick jelly</v>
          </cell>
        </row>
        <row r="46">
          <cell r="E46" t="str">
            <v>Supply and filling of 20 mm Brick jelly</v>
          </cell>
        </row>
        <row r="47">
          <cell r="E47" t="str">
            <v>Gravel soling</v>
          </cell>
        </row>
        <row r="48">
          <cell r="E48" t="str">
            <v>Supply and filling of 40 mm HBSJ</v>
          </cell>
        </row>
        <row r="49">
          <cell r="E49" t="str">
            <v>Supply and filling of 20 mm HBSJ</v>
          </cell>
        </row>
        <row r="50">
          <cell r="E50" t="str">
            <v>C.C.1:5:10 for Foundation &amp; Basement</v>
          </cell>
        </row>
        <row r="51">
          <cell r="E51" t="str">
            <v>P.C.C. 1:2:4 for Foundation &amp; Basement and other similar works</v>
          </cell>
        </row>
        <row r="52">
          <cell r="E52" t="str">
            <v>P.C.C. 1:8:16 using 20 mm broken brick jelly</v>
          </cell>
        </row>
        <row r="53">
          <cell r="E53" t="str">
            <v>Providing  WBM 125  mm consolidated thick with gravel blindage</v>
          </cell>
        </row>
        <row r="54">
          <cell r="E54" t="str">
            <v>Surface dressing over WBM  25 mm thick</v>
          </cell>
        </row>
        <row r="55">
          <cell r="E55" t="str">
            <v>Providing  WBM 125  mm consolidated thick with gravel blindage(IRC 63 to 45mm for 75mm thick and 37.5 to 26.5mm for 50.mm thick)</v>
          </cell>
        </row>
        <row r="56">
          <cell r="E56" t="str">
            <v>Surface dressing over WBM  25 mm tk.with pre-coated chips using 11.2mm size IRC</v>
          </cell>
        </row>
        <row r="57">
          <cell r="E57" t="str">
            <v>R.C.C. 1:2:4 Foundation and Basement</v>
          </cell>
        </row>
        <row r="58">
          <cell r="E58" t="str">
            <v>R.C.C. 1: 11/2: 3 Foundation and Basement</v>
          </cell>
        </row>
        <row r="59">
          <cell r="E59" t="str">
            <v>R.R. masonry in C.M. 1:5 Foundation and Basment</v>
          </cell>
        </row>
        <row r="60">
          <cell r="E60" t="str">
            <v>Brick work in C.M. 1:5 (F&amp; B) using Chamber Burnt brick of size 23 x 11.2 x 7 cm (9" x 4 3/8" x 2 3/4")</v>
          </cell>
        </row>
        <row r="61">
          <cell r="E61" t="str">
            <v>Brick work in C.M. 1:5 (F&amp; B) using chamber Burnt bricks of size 23 x 11.4 x 7.5 cm (9" x 4 1/2"x 3")</v>
          </cell>
        </row>
        <row r="62">
          <cell r="E62" t="str">
            <v>Brick work in C.M. 1:5 (F&amp; B) using Chamber Burnt brick of size 23 x 11 x 7 cm (9" x 4 1/4" x 2 3/4")</v>
          </cell>
        </row>
        <row r="63">
          <cell r="E63" t="str">
            <v>Brick work in C.M. 1:5 (F&amp; B) using Chamber Burnt brick of size 22 x 11 x 7 cm (8 3/4" x 4 1/4" x 2 3/4")</v>
          </cell>
        </row>
        <row r="64">
          <cell r="E64" t="str">
            <v>Brick work in C.M. 1:5 (F&amp; B) using Kiln Burnt Country bricks of size 22 x 11 x 7 cm (8 3/4" x 4 1/4" x 2 3/4")</v>
          </cell>
        </row>
        <row r="65">
          <cell r="E65" t="str">
            <v>Brick work in C.M. 1:5 (F&amp; B) using Kiln Burnt Country bricks of size 22 x 11 x 5.7 cm (8 3/4" x 4 1/4" x 2 1/4")</v>
          </cell>
        </row>
        <row r="66">
          <cell r="E66" t="str">
            <v>Damp Proof Coursein C.M. 1:4, 12 MM thick mixed with Crude oil</v>
          </cell>
        </row>
        <row r="67">
          <cell r="E67" t="str">
            <v>Supply and fixing of Bituminous filler pad, 20 mm tk. for expansion joint</v>
          </cell>
        </row>
        <row r="68">
          <cell r="E68" t="str">
            <v>Damp Proof Course in C.M. 1:4, 12 MM thick mixed with Water proofing compound</v>
          </cell>
        </row>
        <row r="69">
          <cell r="E69" t="str">
            <v>R.C.C.1:2:4</v>
          </cell>
        </row>
        <row r="70">
          <cell r="E70" t="str">
            <v>a. In Ground floor R.C.C.1:2:4</v>
          </cell>
        </row>
        <row r="71">
          <cell r="E71" t="str">
            <v>b. In First floorR.C.C.1:2:4</v>
          </cell>
        </row>
        <row r="72">
          <cell r="E72" t="str">
            <v>c. In Second floor R.C.C.1:2:4</v>
          </cell>
        </row>
        <row r="73">
          <cell r="E73" t="str">
            <v>d. In Third floor R.C.C.1:2:4</v>
          </cell>
        </row>
        <row r="74">
          <cell r="E74" t="str">
            <v>e.  In Fourth floor R.C.C.1:2:4</v>
          </cell>
        </row>
        <row r="75">
          <cell r="E75" t="str">
            <v>R.C.C.1: 1 1/2 :3</v>
          </cell>
        </row>
        <row r="76">
          <cell r="E76" t="str">
            <v>a. In Ground floor R.C.C.1: 1 1/2 :3</v>
          </cell>
        </row>
        <row r="77">
          <cell r="E77" t="str">
            <v>b. In First floor R.C.C.1: 1 1/2 :3</v>
          </cell>
        </row>
        <row r="78">
          <cell r="E78" t="str">
            <v>c. In Second floor R.C.C.1: 1 1/2 :3</v>
          </cell>
        </row>
        <row r="79">
          <cell r="E79" t="str">
            <v>d. In Third floor R.C.C.1: 1 1/2 :3</v>
          </cell>
        </row>
        <row r="80">
          <cell r="E80" t="str">
            <v>e.  In Fourth floor R.C.C.1: 1 1/2 :3</v>
          </cell>
        </row>
        <row r="81">
          <cell r="E81" t="str">
            <v>f.  In Fifth floor R.C.C.1: 1 1/2 :3</v>
          </cell>
        </row>
        <row r="82">
          <cell r="E82" t="str">
            <v>g.  In sixth floor R.C.C.1: 1 1/2 :3</v>
          </cell>
        </row>
        <row r="83">
          <cell r="E83" t="str">
            <v>h.  In seventh floor R.C.C.1: 1 1/2 :3</v>
          </cell>
        </row>
        <row r="84">
          <cell r="E84" t="str">
            <v>i.  In eighth floor R.C.C.1: 1 1/2 :3</v>
          </cell>
        </row>
        <row r="85">
          <cell r="E85" t="str">
            <v>j.  In Ninth floor R.C.C.1: 1 1/2 :3</v>
          </cell>
        </row>
        <row r="86">
          <cell r="E86" t="str">
            <v>k.  In Tenth floor R.C.C.1: 1 1/2 :3</v>
          </cell>
        </row>
        <row r="87">
          <cell r="E87" t="str">
            <v>l.  In Eleventh floor R.C.C.1: 1 1/2 :3</v>
          </cell>
        </row>
        <row r="88">
          <cell r="E88" t="str">
            <v>m.  In Twelth floor R.C.C.1: 1 1/2 :3</v>
          </cell>
        </row>
        <row r="89">
          <cell r="E89" t="str">
            <v>Brick work in C.M. 1:6  using Chamber Burnt brick of size 23 x 11.2 x 7 cm (9" x 4 3/8" x 2 3/4")</v>
          </cell>
        </row>
        <row r="90">
          <cell r="E90" t="str">
            <v>a. In Ground Floor Brick work in C.M. 1:6  using Chamber Burnt brick of size 23 x 11.2 x 7 cm (9" x 4 3/8" x 2 3/4")</v>
          </cell>
        </row>
        <row r="91">
          <cell r="E91" t="str">
            <v>b. In First floor Brick work in C.M. 1:6  using Chamber Burnt brick of size 23 x 11.2 x 7 cm (9" x 4 3/8" x 2 3/4")</v>
          </cell>
        </row>
        <row r="92">
          <cell r="E92" t="str">
            <v>c. In Second Floor Brick work in C.M. 1:6  using Chamber Burnt brick of size 23 x 11.2 x 7 cm (9" x 4 3/8" x 2 3/4")</v>
          </cell>
        </row>
        <row r="93">
          <cell r="E93" t="str">
            <v>d. In Third Floor Brick work in C.M. 1:6  using Chamber Burnt brick of size 23 x 11.2 x 7 cm (9" x 4 3/8" x 2 3/4")</v>
          </cell>
        </row>
        <row r="94">
          <cell r="E94" t="str">
            <v>e. In Fourth Floor Brick work in C.M. 1:6  using Chamber Burnt brick of size 23 x 11.2 x 7 cm (9" x 4 3/8" x 2 3/4")</v>
          </cell>
        </row>
        <row r="95">
          <cell r="E95" t="str">
            <v>Brick work in C.M. 1:6 using chamber Burnt bricks of size 23 x 11.4 x 7.5 cm (9" x 4 1/2"x 3")</v>
          </cell>
        </row>
        <row r="96">
          <cell r="E96" t="str">
            <v>a. In Ground Floor/Stilt floor Brick work in C.M. 1:6 using chamber Burnt bricks of size 23 x 11.4 x 7.5 cm (9" x 4 1/2"x 3")</v>
          </cell>
        </row>
        <row r="97">
          <cell r="E97" t="str">
            <v>b. In First Floor Brick work in C.M. 1:6 using chamber Burnt bricks of size 23 x 11.4 x 7.5 cm (9" x 4 1/2"x 3")</v>
          </cell>
        </row>
        <row r="98">
          <cell r="E98" t="str">
            <v>c. In Second Floor Brick work in C.M. 1:6 using chamber Burnt bricks of size 23 x 11.4 x 7.5 cm (9" x 4 1/2"x 3")</v>
          </cell>
        </row>
        <row r="99">
          <cell r="E99" t="str">
            <v>d. In Third Floor Brick work in C.M. 1:6 using chamber Burnt bricks of size 23 x 11.4 x 7.5 cm (9" x 4 1/2"x 3")</v>
          </cell>
        </row>
        <row r="100">
          <cell r="E100" t="str">
            <v>e. In Fourth Floor Brick work in C.M. 1:6 using chamber Burnt bricks of size 23 x 11.4 x 7.5 cm (9" x 4 1/2"x 3")</v>
          </cell>
        </row>
        <row r="101">
          <cell r="E101" t="str">
            <v>f.  In Fifth floor Brick work in C.M. 1:6 using chamber Burnt bricks of size 23 x 11.4 x 7.5 cm (9" x 4 1/2"x 3")</v>
          </cell>
        </row>
        <row r="102">
          <cell r="E102" t="str">
            <v>g.  In sixth floor Brick work in C.M. 1:6 using chamber Burnt bricks of size 23 x 11.4 x 7.5 cm (9" x 4 1/2"x 3")</v>
          </cell>
        </row>
        <row r="103">
          <cell r="E103" t="str">
            <v>h.  In seventh floor Brick work in C.M. 1:6 using chamber Burnt bricks of size 23 x 11.4 x 7.5 cm (9" x 4 1/2"x 3")</v>
          </cell>
        </row>
        <row r="104">
          <cell r="E104" t="str">
            <v>i.  In eighth floor Brick work in C.M. 1:6 using chamber Burnt bricks of size 23 x 11.4 x 7.5 cm (9" x 4 1/2"x 3")</v>
          </cell>
        </row>
        <row r="105">
          <cell r="E105" t="str">
            <v>j.  In Ninth floor Brick work in C.M. 1:6 using chamber Burnt bricks of size 23 x 11.4 x 7.5 cm (9" x 4 1/2"x 3")</v>
          </cell>
        </row>
        <row r="106">
          <cell r="E106" t="str">
            <v>k.  In Tenth floor Brick work in C.M. 1:6 using chamber Burnt bricks of size 23 x 11.4 x 7.5 cm (9" x 4 1/2"x 3")</v>
          </cell>
        </row>
        <row r="107">
          <cell r="E107" t="str">
            <v>l.  In Eleventh floor Brick work in C.M. 1:6 using chamber Burnt bricks of size 23 x 11.4 x 7.5 cm (9" x 4 1/2"x 3")</v>
          </cell>
        </row>
        <row r="108">
          <cell r="E108" t="str">
            <v>m.  In Twelth floor Brick work in C.M. 1:6 using chamber Burnt bricks of size 23 x 11.4 x 7.5 cm (9" x 4 1/2"x 3")</v>
          </cell>
        </row>
        <row r="109">
          <cell r="E109" t="str">
            <v>n. In thirteen floor Brick work in C.M. 1:6 using chamber Burnt bricks of size 23 x 11.4 x 7.5 cm (9" x 4 1/2"x 3")</v>
          </cell>
        </row>
        <row r="110">
          <cell r="E110" t="str">
            <v>Brick work in C.M. 1:6  using Chamber Burnt brick of size 23 x 11 x 7 cm (9" x 4 1/4" x 2 3/4")</v>
          </cell>
        </row>
        <row r="111">
          <cell r="E111" t="str">
            <v>a. In Ground Floor Brick work in C.M. 1:6  using Chamber Burnt brick of size 23 x 11 x 7 cm (9" x 4 1/4" x 2 3/4")</v>
          </cell>
        </row>
        <row r="112">
          <cell r="E112" t="str">
            <v>b. In First Floor Brick work in C.M. 1:6  using Chamber Burnt brick of size 23 x 11 x 7 cm (9" x 4 1/4" x 2 3/4")</v>
          </cell>
        </row>
        <row r="113">
          <cell r="E113" t="str">
            <v>c. In Second Floor Brick work in C.M. 1:6  using Chamber Burnt brick of size 23 x 11 x 7 cm (9" x 4 1/4" x 2 3/4")</v>
          </cell>
        </row>
        <row r="114">
          <cell r="E114" t="str">
            <v>d. In Third Floor Brick work in C.M. 1:6  using Chamber Burnt brick of size 23 x 11 x 7 cm (9" x 4 1/4" x 2 3/4")</v>
          </cell>
        </row>
        <row r="115">
          <cell r="E115" t="str">
            <v>e. In Fourth Floor Brick work in C.M. 1:6  using Chamber Burnt brick of size 23 x 11 x 7 cm (9" x 4 1/4" x 2 3/4")</v>
          </cell>
        </row>
        <row r="116">
          <cell r="E116" t="str">
            <v>Brick work in C.M. 1:6  using Chamber Burnt brick of size 22 x 11 x 7 cm (8 3/4" x 4 1/4" x 2 3/4")</v>
          </cell>
        </row>
        <row r="117">
          <cell r="E117" t="str">
            <v>a. In Ground Floor Brick work in C.M. 1:6  using Chamber Burnt brick of size 22 x 11 x 7 cm (8 3/4" x 4 1/4" x 2 3/4")</v>
          </cell>
        </row>
        <row r="118">
          <cell r="E118" t="str">
            <v>b. In First Floor Brick work in C.M. 1:6  using Chamber Burnt brick of size 22 x 11 x 7 cm (8 3/4" x 4 1/4" x 2 3/4")</v>
          </cell>
        </row>
        <row r="119">
          <cell r="E119" t="str">
            <v>c. In Second Floor Brick work in C.M. 1:6  using Chamber Burnt brick of size 22 x 11 x 7 cm (8 3/4" x 4 1/4" x 2 3/4")</v>
          </cell>
        </row>
        <row r="120">
          <cell r="E120" t="str">
            <v>d. In Third Floor Brick work in C.M. 1:6  using Chamber Burnt brick of size 22 x 11 x 7 cm (8 3/4" x 4 1/4" x 2 3/4")</v>
          </cell>
        </row>
        <row r="121">
          <cell r="E121" t="str">
            <v>e. In Fourth Floor Brick work in C.M. 1:6  using Chamber Burnt brick of size 22 x 11 x 7 cm (8 3/4" x 4 1/4" x 2 3/4")</v>
          </cell>
        </row>
        <row r="122">
          <cell r="E122" t="str">
            <v>Brick work in C.M. 1:6  using Kiln Burnt Country bricks of size 22 x 11 x 7 cm ( 8 3/4" x 4 1/4" x 2 3/4")</v>
          </cell>
        </row>
        <row r="123">
          <cell r="E123" t="str">
            <v>a. In Ground Floor Brick work in C.M. 1:6  using Kiln Burnt Country bricks of size 22 x 11 x 7 cm ( 8 3/4" x 4 1/4" x 2 3/4")</v>
          </cell>
        </row>
        <row r="124">
          <cell r="E124" t="str">
            <v>b. In First Floor Brick work in C.M. 1:6  using Kiln Burnt Country bricks of size 22 x 11 x 7 cm ( 8 3/4" x 4 1/4" x 2 3/4")</v>
          </cell>
        </row>
        <row r="125">
          <cell r="E125" t="str">
            <v>c. In Second Floor Brick work in C.M. 1:6  using Kiln Burnt Country bricks of size 22 x 11 x 7 cm ( 8 3/4" x 4 1/4" x 2 3/4")</v>
          </cell>
        </row>
        <row r="126">
          <cell r="E126" t="str">
            <v>d. In Third Floor Brick work in C.M. 1:6  using Kiln Burnt Country bricks of size 22 x 11 x 7 cm ( 8 3/4" x 4 1/4" x 2 3/4")</v>
          </cell>
        </row>
        <row r="127">
          <cell r="E127" t="str">
            <v>e. In Fourth Floor Brick work in C.M. 1:6  using Kiln Burnt Country bricks of size 22 x 11 x 7 cm ( 8 3/4" x 4 1/4" x 2 3/4")</v>
          </cell>
        </row>
        <row r="128">
          <cell r="E128" t="str">
            <v>f. In Fifth Floor Brick work in C.M. 1:6  using Kiln Burnt Country bricks of size 22 x 11 x 7 cm ( 8 3/4" x 4 1/4" x 2 3/4")</v>
          </cell>
        </row>
        <row r="129">
          <cell r="E129" t="str">
            <v>g. In Sixth Floor Brick work in C.M. 1:6  using Kiln Burnt Country bricks of size 22 x 11 x 7 cm ( 8 3/4" x 4 1/4" x 2 3/4")</v>
          </cell>
        </row>
        <row r="130">
          <cell r="E130" t="str">
            <v>h. In Seventh Floor Brick work in C.M. 1:6  using Kiln Burnt Country bricks of size 22 x 11 x 7 cm ( 8 3/4" x 4 1/4" x 2 3/4")</v>
          </cell>
        </row>
        <row r="132">
          <cell r="E132" t="str">
            <v>Brick work in C.M. 1:6  using Kiln Burnt Country bricks of size 22 x 11 x 5.7 cm (8 3/4" x 4 1/4" x 2 1/4")</v>
          </cell>
        </row>
        <row r="133">
          <cell r="E133" t="str">
            <v>a. In Ground Floor Brick work in C.M. 1:6  using Kiln Burnt Country bricks of size 22 x 11 x 5.7 cm (8 3/4" x 4 1/4" x 2 1/4")</v>
          </cell>
        </row>
        <row r="134">
          <cell r="E134" t="str">
            <v>b. In First Floor Brick work in C.M. 1:6  using Kiln Burnt Country bricks of size 22 x 11 x 5.7 cm (8 3/4" x 4 1/4" x 2 1/4")</v>
          </cell>
        </row>
        <row r="135">
          <cell r="E135" t="str">
            <v>c. In Second Floor Brick work in C.M. 1:6  using Kiln Burnt Country bricks of size 22 x 11 x 5.7 cm (8 3/4" x 4 1/4" x 2 1/4")</v>
          </cell>
        </row>
        <row r="136">
          <cell r="E136" t="str">
            <v>d. In Third Floor Brick work in C.M. 1:6  using Kiln Burnt Country bricks of size 22 x 11 x 5.7 cm (8 3/4" x 4 1/4" x 2 1/4")</v>
          </cell>
        </row>
        <row r="137">
          <cell r="E137" t="str">
            <v>e. In Fourth Floor Brick work in C.M. 1:6  using Kiln Burnt Country bricks of size 22 x 11 x 5.7 cm (8 3/4" x 4 1/4" x 2 1/4")</v>
          </cell>
        </row>
        <row r="138">
          <cell r="E138" t="str">
            <v>Brick partition work in C.M. 1:4 Chamber Burnt brick of size 23 x 11.2 x 7 cm (9" x 4 3/8" x 2 3/4")112 mm tk (B.P.)</v>
          </cell>
        </row>
        <row r="139">
          <cell r="E139" t="str">
            <v>a. In Foundation and basement Brick partition work in C.M. 1:4 Chamber Burnt brick of size 23 x 11.2 x 7 cm (9" x 4 3/8" x 2 3/4")112 mm tk (B.P.)</v>
          </cell>
        </row>
        <row r="140">
          <cell r="E140" t="str">
            <v>b. In Ground Floor Brick partition work in C.M. 1:4 Chamber Burnt brick of size 23 x 11.2 x 7 cm (9" x 4 3/8" x 2 3/4")112 mm tk (B.P.)</v>
          </cell>
        </row>
        <row r="141">
          <cell r="E141" t="str">
            <v>c. In First Floor Brick partition work in C.M. 1:4 Chamber Burnt brick of size 23 x 11.2 x 7 cm (9" x 4 3/8" x 2 3/4")112 mm tk (B.P.)</v>
          </cell>
        </row>
        <row r="142">
          <cell r="E142" t="str">
            <v>d. In Second Floor Brick partition work in C.M. 1:4 Chamber Burnt brick of size 23 x 11.2 x 7 cm (9" x 4 3/8" x 2 3/4")112 mm tk (B.P.)</v>
          </cell>
        </row>
        <row r="143">
          <cell r="E143" t="str">
            <v>e. In Third Floor Brick partition work in C.M. 1:4 Chamber Burnt brick of size 23 x 11.2 x 7 cm (9" x 4 3/8" x 2 3/4")112 mm tk (B.P.)</v>
          </cell>
        </row>
        <row r="144">
          <cell r="E144" t="str">
            <v>f. In Fourth Floor Brick partition work in C.M. 1:4 Chamber Burnt brick of size 23 x 11.2 x 7 cm (9" x 4 3/8" x 2 3/4")112 mm tk (B.P.)</v>
          </cell>
        </row>
        <row r="145">
          <cell r="E145" t="str">
            <v>Brick partition work in C.M. 1:4 using chamber Burnt bricks of size 23 x 11.4 x 7.5 cm (9" x 4 1/2"x 3") 114 mm tk (B.P.)</v>
          </cell>
        </row>
        <row r="146">
          <cell r="E146" t="str">
            <v>a. In Foundation and basementBrick partition work in C.M. 1:4 using chamber Burnt bricks of size 23 x 11.4 x 7.5 cm (9" x 4 1/2"x 3") 114 mm tk (B.P.)</v>
          </cell>
        </row>
        <row r="147">
          <cell r="E147" t="str">
            <v>b. In Ground Floor/stilt floorBrick partition work in C.M. 1:4 using chamber Burnt bricks of size 23 x 11.4 x 7.5 cm (9" x 4 1/2"x 3") 114 mm tk (B.P.)</v>
          </cell>
        </row>
        <row r="148">
          <cell r="E148" t="str">
            <v>c. In First Floor Brick partition work in C.M. 1:4 using chamber Burnt bricks of size 23 x 11.4 x 7.5 cm (9" x 4 1/2"x 3") 114 mm tk (B.P.)</v>
          </cell>
        </row>
        <row r="149">
          <cell r="E149" t="str">
            <v>d. In Second Floor Brick partition work in C.M. 1:4 using chamber Burnt bricks of size 23 x 11.4 x 7.5 cm (9" x 4 1/2"x 3") 114 mm tk (B.P.)</v>
          </cell>
        </row>
        <row r="150">
          <cell r="E150" t="str">
            <v>e. In Third Floor Brick partition work in C.M. 1:4 using chamber Burnt bricks of size 23 x 11.4 x 7.5 cm (9" x 4 1/2"x 3") 114 mm tk (B.P.)</v>
          </cell>
        </row>
        <row r="151">
          <cell r="E151" t="str">
            <v>f. In Fourth FloorBrick partition work in C.M. 1:4 using chamber Burnt bricks of size 23 x 11.4 x 7.5 cm (9" x 4 1/2"x 3") 114 mm tk (B.P.)</v>
          </cell>
        </row>
        <row r="152">
          <cell r="E152" t="str">
            <v>f.  In Fifth floor Brick partition work in C.M. 1:4 using chamber Burnt bricks of size 23 x 11.4 x 7.5 cm (9" x 4 1/2"x 3") 114 mm tk (B.P.)</v>
          </cell>
        </row>
        <row r="153">
          <cell r="E153" t="str">
            <v>g.  In sixth floor Brick partition work in C.M. 1:4 using chamber Burnt bricks of size 23 x 11.4 x 7.5 cm (9" x 4 1/2"x 3") 114 mm tk (B.P.)</v>
          </cell>
        </row>
        <row r="154">
          <cell r="E154" t="str">
            <v>h.  In seventh floor Brick partition work in C.M. 1:4 using chamber Burnt bricks of size 23 x 11.4 x 7.5 cm (9" x 4 1/2"x 3") 114 mm tk (B.P.)</v>
          </cell>
        </row>
        <row r="155">
          <cell r="E155" t="str">
            <v>i.  In eighth floor Brick partition work in C.M. 1:4 using chamber Burnt bricks of size 23 x 11.4 x 7.5 cm (9" x 4 1/2"x 3") 114 mm tk (B.P.)</v>
          </cell>
        </row>
        <row r="156">
          <cell r="E156" t="str">
            <v>j.  In Ninth floor Brick partition work in C.M. 1:4 using chamber Burnt bricks of size 23 x 11.4 x 7.5 cm (9" x 4 1/2"x 3") 114 mm tk (B.P.)</v>
          </cell>
        </row>
        <row r="157">
          <cell r="E157" t="str">
            <v>k.  In Tenth floor Brick partition work in C.M. 1:4 using chamber Burnt bricks of size 23 x 11.4 x 7.5 cm (9" x 4 1/2"x 3") 114 mm tk (B.P.)</v>
          </cell>
        </row>
        <row r="158">
          <cell r="E158" t="str">
            <v>l.  In Eleventh floor Brick partition work in C.M. 1:4 using chamber Burnt bricks of size 23 x 11.4 x 7.5 cm (9" x 4 1/2"x 3") 114 mm tk (B.P.)</v>
          </cell>
        </row>
        <row r="159">
          <cell r="E159" t="str">
            <v>m.  In Twelth floor Brick partition work in C.M. 1:4 using chamber Burnt bricks of size 23 x 11.4 x 7.5 cm (9" x 4 1/2"x 3") 114 mm tk (B.P.)</v>
          </cell>
        </row>
        <row r="160">
          <cell r="E160" t="str">
            <v>n. In thirteen floor Brick partition work in C.M. 1:4 using chamber Burnt bricks of size 23 x 11.4 x 7.5 cm (9" x 4 1/2"x 3") 114 mm tk (B.P.)</v>
          </cell>
        </row>
        <row r="161">
          <cell r="E161" t="str">
            <v>Brick partition work in C.M. 1:4 Chamber Burnt brick of size 23 x 11 x 7 cm (9" x 4 1/4" x 2 3/4") 110 mm tk (B.P.)</v>
          </cell>
        </row>
        <row r="162">
          <cell r="E162" t="str">
            <v>a. In Foundation and basement Brick partition work in C.M. 1:4 Chamber Burnt brick of size 23 x 11 x 7 cm (9" x 4 1/4" x 2 3/4") 110 mm tk (B.P.)</v>
          </cell>
        </row>
        <row r="163">
          <cell r="E163" t="str">
            <v>b. In Ground Floor Brick partition work in C.M. 1:4 Chamber Burnt brick of size 23 x 11 x 7 cm (9" x 4 1/4" x 2 3/4") 110 mm tk (B.P.)</v>
          </cell>
        </row>
        <row r="164">
          <cell r="E164" t="str">
            <v>c. In First Floor  Brick partition work in C.M. 1:4 Chamber Burnt brick of size 23 x 11 x 7 cm (9" x 4 1/4" x 2 3/4") 110 mm tk (B.P.)</v>
          </cell>
        </row>
        <row r="165">
          <cell r="E165" t="str">
            <v>d. In Second Floor Brick partition work in C.M. 1:4 Chamber Burnt brick of size 23 x 11 x 7 cm (9" x 4 1/4" x 2 3/4") 110 mm tk (B.P.)</v>
          </cell>
        </row>
        <row r="166">
          <cell r="E166" t="str">
            <v>e. In Third FloorBrick partition work in C.M. 1:4 Chamber Burnt brick of size 23 x 11 x 7 cm (9" x 4 1/4" x 2 3/4") 110 mm tk (B.P.)</v>
          </cell>
        </row>
        <row r="167">
          <cell r="E167" t="str">
            <v>f. In Fourth Floor Brick partition work in C.M. 1:4 Chamber Burnt brick of size 23 x 11 x 7 cm (9" x 4 1/4" x 2 3/4") 110 mm tk (B.P.)</v>
          </cell>
        </row>
        <row r="168">
          <cell r="E168" t="str">
            <v>Brick partition work in C.M. 1:4 Chamber Burnt brick of size 22 x 11 x 7 cm (8 3/4" x 4 1/4" x 2 3/4") 110 mm tk (B.P.)</v>
          </cell>
        </row>
        <row r="169">
          <cell r="E169" t="str">
            <v>a. In Foundation and basement Brick partition work in C.M. 1:4 Chamber Burnt brick of size 22 x 11 x 7 cm (8 3/4" x 4 1/4" x 2 3/4") 110 mm tk (B.P.)</v>
          </cell>
        </row>
        <row r="170">
          <cell r="E170" t="str">
            <v>b. In Ground FloorBrick partition work in C.M. 1:4 Chamber Burnt brick of size 22 x 11 x 7 cm (8 3/4" x 4 1/4" x 2 3/4") 110 mm tk (B.P.)</v>
          </cell>
        </row>
        <row r="171">
          <cell r="E171" t="str">
            <v>c. In First Floor Brick partition work in C.M. 1:4 Chamber Burnt brick of size 22 x 11 x 7 cm (8 3/4" x 4 1/4" x 2 3/4") 110 mm tk (B.P.)</v>
          </cell>
        </row>
        <row r="172">
          <cell r="E172" t="str">
            <v>d. In Second FloorBrick partition work in C.M. 1:4 Chamber Burnt brick of size 22 x 11 x 7 cm (8 3/4" x 4 1/4" x 2 3/4") 110 mm tk (B.P.)</v>
          </cell>
        </row>
        <row r="173">
          <cell r="E173" t="str">
            <v>e. In Third Floor Brick partition work in C.M. 1:4 Chamber Burnt brick of size 22 x 11 x 7 cm (8 3/4" x 4 1/4" x 2 3/4") 110 mm tk (B.P.)</v>
          </cell>
        </row>
        <row r="174">
          <cell r="E174" t="str">
            <v>f. In Fourth FloorBrick partition work in C.M. 1:4 Chamber Burnt brick of size 22 x 11 x 7 cm (8 3/4" x 4 1/4" x 2 3/4") 110 mm tk (B.P.)</v>
          </cell>
        </row>
        <row r="175">
          <cell r="E175" t="str">
            <v>Brick partition work in C.M. 1:4 Kiln Burnt Country bricks of size 22 x 11 x 7 cm (8 3/4" x 4 1/4" x 2 3/4") 110 mm tk (B.P.)</v>
          </cell>
        </row>
        <row r="176">
          <cell r="E176" t="str">
            <v>a. In Foundation and basementBrick partition work in C.M. 1:4 Kiln Burnt Country bricks of size 22 x 11 x 7 cm (8 3/4" x 4 1/4" x 2 3/4") 110 mm tk (B.P.)</v>
          </cell>
        </row>
        <row r="177">
          <cell r="E177" t="str">
            <v>b. In Ground FloorBrick partition work in C.M. 1:4 Kiln Burnt Country bricks of size 22 x 11 x 7 cm (8 3/4" x 4 1/4" x 2 3/4") 110 mm tk (B.P.)</v>
          </cell>
        </row>
        <row r="178">
          <cell r="E178" t="str">
            <v>c. In First Floor Brick partition work in C.M. 1:4 Kiln Burnt Country bricks of size 22 x 11 x 7 cm (8 3/4" x 4 1/4" x 2 3/4") 110 mm tk (B.P.)</v>
          </cell>
        </row>
        <row r="179">
          <cell r="E179" t="str">
            <v>d. In Second FloorBrick partition work in C.M. 1:4 Kiln Burnt Country bricks of size 22 x 11 x 7 cm (8 3/4" x 4 1/4" x 2 3/4") 110 mm tk (B.P.)</v>
          </cell>
        </row>
        <row r="180">
          <cell r="E180" t="str">
            <v>e. In Third FloorBrick partition work in C.M. 1:4 Kiln Burnt Country bricks of size 22 x 11 x 7 cm (8 3/4" x 4 1/4" x 2 3/4") 110 mm tk (B.P.)</v>
          </cell>
        </row>
        <row r="181">
          <cell r="E181" t="str">
            <v>f. In Fourth FloorBrick partition work in C.M. 1:4 Kiln Burnt Country bricks of size 22 x 11 x 7 cm (8 3/4" x 4 1/4" x 2 3/4") 110 mm tk (B.P.)</v>
          </cell>
        </row>
        <row r="182">
          <cell r="E182" t="str">
            <v>g.  In Fifth floorBrick partition work in C.M. 1:4 Kiln Burnt Country bricks of size 22 x 11 x 7 cm (8 3/4" x 4 1/4" x 2 3/4") 110 mm tk (B.P.)</v>
          </cell>
        </row>
        <row r="183">
          <cell r="E183" t="str">
            <v>h.  In sixth floor Brick partition work in C.M. 1:4 Kiln Burnt Country bricks of size 22 x 11 x 7 cm (8 3/4" x 4 1/4" x 2 3/4") 110 mm tk (B.P.)</v>
          </cell>
        </row>
        <row r="184">
          <cell r="E184" t="str">
            <v>i.  In seventh floor Brick partition work in C.M. 1:4 Kiln Burnt Country bricks of size 22 x 11 x 7 cm (8 3/4" x 4 1/4" x 2 3/4") 110 mm tk (B.P.)</v>
          </cell>
        </row>
        <row r="185">
          <cell r="E185" t="str">
            <v>Brick partition work in C.M. 1:4 Kiln Burnt Country bricks of size 22 x 11 x 5.7 cm (8 3/4" x 4 1/4" x 2 1/4") 110 mm tk (B.P.)</v>
          </cell>
        </row>
        <row r="186">
          <cell r="E186" t="str">
            <v>a. In Foundation and basement  Brick partition work in C.M. 1:4 Kiln Burnt Country bricks of size 22 x 11 x 5.7 cm (8 3/4" x 4 1/4" x 2 1/4") 110 mm tk (B.P.)</v>
          </cell>
        </row>
        <row r="187">
          <cell r="E187" t="str">
            <v>b. In Ground Floor Brick partition work in C.M. 1:4 Kiln Burnt Country bricks of size 22 x 11 x 5.7 cm (8 3/4" x 4 1/4" x 2 1/4") 110 mm tk (B.P.)</v>
          </cell>
        </row>
        <row r="188">
          <cell r="E188" t="str">
            <v>c. In First Floor Brick partition work in C.M. 1:4 Kiln Burnt Country bricks of size 22 x 11 x 5.7 cm (8 3/4" x 4 1/4" x 2 1/4") 110 mm tk (B.P.)</v>
          </cell>
        </row>
        <row r="189">
          <cell r="E189" t="str">
            <v>d. In Second Floor Brick partition work in C.M. 1:4 Kiln Burnt Country bricks of size 22 x 11 x 5.7 cm (8 3/4" x 4 1/4" x 2 1/4") 110 mm tk (B.P.)</v>
          </cell>
        </row>
        <row r="190">
          <cell r="E190" t="str">
            <v>e. In Third Floor Brick partition work in C.M. 1:4 Kiln Burnt Country bricks of size 22 x 11 x 5.7 cm (8 3/4" x 4 1/4" x 2 1/4") 110 mm tk (B.P.)</v>
          </cell>
        </row>
        <row r="191">
          <cell r="E191" t="str">
            <v>f. In Fourth Floor Brick partition work in C.M. 1:4 Kiln Burnt Country bricks of size 22 x 11 x 5.7 cm (8 3/4" x 4 1/4" x 2 1/4") 110 mm tk (B.P.)</v>
          </cell>
        </row>
        <row r="192">
          <cell r="E192" t="str">
            <v>Brick work in C.M. 1:4 Chamber Burnt brick of size 23 x 11.2 x 7 cm (9" x 4 3/8" x 2 3/4")70 mm tk (B.P.)</v>
          </cell>
        </row>
        <row r="193">
          <cell r="E193" t="str">
            <v>a. In Ground Floor Brick work in C.M. 1:4 Chamber Burnt brick of size 23 x 11.2 x 7 cm (9" x 4 3/8" x 2 3/4")70 mm tk (B.P.)</v>
          </cell>
        </row>
        <row r="194">
          <cell r="E194" t="str">
            <v>b. In First FloorBrick work in C.M. 1:4 Chamber Burnt brick of size 23 x 11.2 x 7 cm (9" x 4 3/8" x 2 3/4")70 mm tk (B.P.)</v>
          </cell>
        </row>
        <row r="195">
          <cell r="E195" t="str">
            <v>c. In Second Floor Brick work in C.M. 1:4 Chamber Burnt brick of size 23 x 11.2 x 7 cm (9" x 4 3/8" x 2 3/4")70 mm tk (B.P.)</v>
          </cell>
        </row>
        <row r="196">
          <cell r="E196" t="str">
            <v>d. In Third Floor Brick work in C.M. 1:4 Chamber Burnt brick of size 23 x 11.2 x 7 cm (9" x 4 3/8" x 2 3/4")70 mm tk (B.P.)</v>
          </cell>
        </row>
        <row r="197">
          <cell r="E197" t="str">
            <v>e. In Fourth FloorBrick work in C.M. 1:4 Chamber Burnt brick of size 23 x 11.2 x 7 cm (9" x 4 3/8" x 2 3/4")70 mm tk (B.P.)</v>
          </cell>
        </row>
        <row r="198">
          <cell r="E198" t="str">
            <v>Brick work in C.M. 1:4 using chamber Burnt bricks of size 23 x 11.4 x 7.5 cm (9" x 4 1/2"x 3") 75 mm tk (B.P.)</v>
          </cell>
        </row>
        <row r="199">
          <cell r="E199" t="str">
            <v>a. In Ground Floor Brick work in C.M. 1:4 using chamber Burnt bricks of size 23 x 11.4 x 7.5 cm (9" x 4 1/2"x 3") 75 mm tk (B.P.)</v>
          </cell>
        </row>
        <row r="200">
          <cell r="E200" t="str">
            <v>b. In First Floor Brick work in C.M. 1:4 using chamber Burnt bricks of size 23 x 11.4 x 7.5 cm (9" x 4 1/2"x 3") 75 mm tk (B.P.)</v>
          </cell>
        </row>
        <row r="201">
          <cell r="E201" t="str">
            <v>c. In Second Floor Brick work in C.M. 1:4 using chamber Burnt bricks of size 23 x 11.4 x 7.5 cm (9" x 4 1/2"x 3") 75 mm tk (B.P.)</v>
          </cell>
        </row>
        <row r="202">
          <cell r="E202" t="str">
            <v>d. In Third Floor Brick work in C.M. 1:4 using chamber Burnt bricks of size 23 x 11.4 x 7.5 cm (9" x 4 1/2"x 3") 75 mm tk (B.P.)</v>
          </cell>
        </row>
        <row r="203">
          <cell r="E203" t="str">
            <v>e. In Fourth Floor Brick work in C.M. 1:4 using chamber Burnt bricks of size 23 x 11.4 x 7.5 cm (9" x 4 1/2"x 3") 75 mm tk (B.P.)</v>
          </cell>
        </row>
        <row r="204">
          <cell r="E204" t="str">
            <v>Brick work in C.M. 1:4 Chamber Burnt brick: of size 23 x 11 x 7 cm (9" x 4 1/4" x 2 3/4") 70 mm tk (B.P.)</v>
          </cell>
        </row>
        <row r="205">
          <cell r="E205" t="str">
            <v>a. In Ground Floor Brick work in C.M. 1:4 Chamber Burnt brick: of size 23 x 11 x 7 cm (9" x 4 1/4" x 2 3/4") 70 mm tk (B.P.)</v>
          </cell>
        </row>
        <row r="206">
          <cell r="E206" t="str">
            <v>b. In First Floor Brick work in C.M. 1:4 Chamber Burnt brick: of size 23 x 11 x 7 cm (9" x 4 1/4" x 2 3/4") 70 mm tk (B.P.)</v>
          </cell>
        </row>
        <row r="207">
          <cell r="E207" t="str">
            <v>c. In Second Floor Brick work in C.M. 1:4 Chamber Burnt brick: of size 23 x 11 x 7 cm (9" x 4 1/4" x 2 3/4") 70 mm tk (B.P.)</v>
          </cell>
        </row>
        <row r="208">
          <cell r="E208" t="str">
            <v>d. In Third Floor Brick work in C.M. 1:4 Chamber Burnt brick: of size 23 x 11 x 7 cm (9" x 4 1/4" x 2 3/4") 70 mm tk (B.P.)</v>
          </cell>
        </row>
        <row r="209">
          <cell r="E209" t="str">
            <v>e. In Fourth Floor Brick work in C.M. 1:4 Chamber Burnt brick: of size 23 x 11 x 7 cm (9" x 4 1/4" x 2 3/4") 70 mm tk (B.P.)</v>
          </cell>
        </row>
        <row r="210">
          <cell r="E210" t="str">
            <v>Brick work in C.M. 1:4 Chamber Burnt brick of size 22 x 11 x 7 cm (8 3/4" x 4 1/4" x 2 3/4") 70 mm tk (B.P.)</v>
          </cell>
        </row>
        <row r="211">
          <cell r="E211" t="str">
            <v>a. In Ground Floor Brick work in C.M. 1:4 Chamber Burnt brick of size 22 x 11 x 7 cm (8 3/4" x 4 1/4" x 2 3/4") 70 mm tk (B.P.)</v>
          </cell>
        </row>
        <row r="212">
          <cell r="E212" t="str">
            <v>b. In First Floor Brick work in C.M. 1:4 Chamber Burnt brick of size 22 x 11 x 7 cm (8 3/4" x 4 1/4" x 2 3/4") 70 mm tk (B.P.)</v>
          </cell>
        </row>
        <row r="213">
          <cell r="E213" t="str">
            <v>c. In Second Floor Brick work in C.M. 1:4 Chamber Burnt brick of size 22 x 11 x 7 cm (8 3/4" x 4 1/4" x 2 3/4") 70 mm tk (B.P.)</v>
          </cell>
        </row>
        <row r="214">
          <cell r="E214" t="str">
            <v>d. In Third FloorBrick work in C.M. 1:4 Chamber Burnt brick of size 22 x 11 x 7 cm (8 3/4" x 4 1/4" x 2 3/4") 70 mm tk (B.P.)</v>
          </cell>
        </row>
        <row r="215">
          <cell r="E215" t="str">
            <v>e. In Fourth Floor Brick work in C.M. 1:4 Chamber Burnt brick of size 22 x 11 x 7 cm (8 3/4" x 4 1/4" x 2 3/4") 70 mm tk (B.P.)</v>
          </cell>
        </row>
        <row r="216">
          <cell r="E216" t="str">
            <v>Brick work in C.M. 1:4 Kiln Burnt Country bricks of size 22 x 11 x 7 cm (8 3/4" x 4 1/4" x 2 3/4") 70 mm tk (B.P.)</v>
          </cell>
        </row>
        <row r="217">
          <cell r="E217" t="str">
            <v>a. In Ground Floor  Brick work in C.M. 1:4 Kiln Burnt Country bricks of size 22 x 11 x 7 cm (8 3/4" x 4 1/4" x 2 3/4") 70 mm tk (B.P.)</v>
          </cell>
        </row>
        <row r="218">
          <cell r="E218" t="str">
            <v>b. In First Floor  Brick work in C.M. 1:4 Kiln Burnt Country bricks of size 22 x 11 x 7 cm (8 3/4" x 4 1/4" x 2 3/4") 70 mm tk (B.P.)</v>
          </cell>
        </row>
        <row r="219">
          <cell r="E219" t="str">
            <v>c. In Second Floor Brick work in C.M. 1:4 Kiln Burnt Country bricks of size 22 x 11 x 7 cm (8 3/4" x 4 1/4" x 2 3/4") 70 mm tk (B.P.)</v>
          </cell>
        </row>
        <row r="220">
          <cell r="E220" t="str">
            <v>d. In Third Floor Brick work in C.M. 1:4 Kiln Burnt Country bricks of size 22 x 11 x 7 cm (8 3/4" x 4 1/4" x 2 3/4") 70 mm tk (B.P.)</v>
          </cell>
        </row>
        <row r="221">
          <cell r="E221" t="str">
            <v>e. In Fourth Floor Brick work in C.M. 1:4 Kiln Burnt Country bricks of size 22 x 11 x 7 cm (8 3/4" x 4 1/4" x 2 3/4") 70 mm tk (B.P.)</v>
          </cell>
        </row>
        <row r="222">
          <cell r="E222" t="str">
            <v>Brick work in C.M. 1:4 Kiln Burnt Country bricks of size 22 x 11 x 5.7 cm (8 3/4" x 4 1/4" x 2 1/4") 57 mm tk (B.P.)</v>
          </cell>
        </row>
        <row r="223">
          <cell r="E223" t="str">
            <v>a. In Ground FloorBrick work in C.M. 1:4 Kiln Burnt Country bricks of size 22 x 11 x 5.7 cm (8 3/4" x 4 1/4" x 2 1/4") 57 mm tk (B.P.)</v>
          </cell>
        </row>
        <row r="224">
          <cell r="E224" t="str">
            <v>b. In First Floor</v>
          </cell>
        </row>
        <row r="225">
          <cell r="E225" t="str">
            <v>c. In Second FloorBrick work in C.M. 1:4 Kiln Burnt Country bricks of size 22 x 11 x 5.7 cm (8 3/4" x 4 1/4" x 2 1/4") 57 mm tk (B.P.)</v>
          </cell>
        </row>
        <row r="226">
          <cell r="E226" t="str">
            <v>d. In Third FloorBrick work in C.M. 1:4 Kiln Burnt Country bricks of size 22 x 11 x 5.7 cm (8 3/4" x 4 1/4" x 2 1/4") 57 mm tk (B.P.)</v>
          </cell>
        </row>
        <row r="227">
          <cell r="E227" t="str">
            <v>e. In Fourth Floor Brick work in C.M. 1:4 Kiln Burnt Country bricks of size 22 x 11 x 5.7 cm (8 3/4" x 4 1/4" x 2 1/4") 57 mm tk (B.P.)</v>
          </cell>
        </row>
        <row r="228">
          <cell r="E228" t="str">
            <v>Brick partition in C.M. 1:4 using country bricks of size 22 x11x5cm 50 mm thick</v>
          </cell>
        </row>
        <row r="229">
          <cell r="E229" t="str">
            <v>a. In Ground FloorBrick partition in C.M. 1:4 using country bricks of size 22 x11x5cm 50 mm thick</v>
          </cell>
        </row>
        <row r="230">
          <cell r="E230" t="str">
            <v>b. In First FloorBrick partition in C.M. 1:4 using country bricks of size 22 x11x5cm 50 mm thick</v>
          </cell>
        </row>
        <row r="231">
          <cell r="E231" t="str">
            <v>c. In Second FloorBrick partition in C.M. 1:4 using country bricks of size 22 x11x5cm 50 mm thick</v>
          </cell>
        </row>
        <row r="232">
          <cell r="E232" t="str">
            <v>d. In Third FloorBrick partition in C.M. 1:4 using country bricks of size 22 x11x5cm 50 mm thick</v>
          </cell>
        </row>
        <row r="233">
          <cell r="E233" t="str">
            <v>e. In Fourth Floor Brick partition in C.M. 1:4 using country bricks of size 22 x11x5cm 50 mm thick</v>
          </cell>
        </row>
        <row r="234">
          <cell r="E234" t="str">
            <v>g. In Fifth Floor Brick partition in C.M. 1:4 using country bricks of size 22 x11x5cm 50 mm thick</v>
          </cell>
        </row>
        <row r="235">
          <cell r="E235" t="str">
            <v>h. In Sixth Floor Brick partition in C.M. 1:4 using country bricks of size 22 x11x5cm 50 mm thick</v>
          </cell>
        </row>
        <row r="236">
          <cell r="E236" t="str">
            <v>i. In Seventh Floor Brick partition in C.M. 1:4 using country bricks of size 22 x11x5cm 50 mm thick</v>
          </cell>
        </row>
        <row r="237">
          <cell r="E237" t="str">
            <v xml:space="preserve">Brick partition in C.M. 1:4 50 mm tk. (B.P.)Kiln Burnt Country brick: 23 x 11 x 5 cm (9" x 4 1/4" x 2") </v>
          </cell>
        </row>
        <row r="238">
          <cell r="E238" t="str">
            <v xml:space="preserve">a. In Ground Floor Brick partition in C.M. 1:4 50 mm tk. (B.P.)Kiln Burnt Country brick: 23 x 11 x 5 cm (9" x 4 1/4" x 2") </v>
          </cell>
        </row>
        <row r="239">
          <cell r="E239" t="str">
            <v xml:space="preserve">b. In First FloorBrick partition in C.M. 1:4 50 mm tk. (B.P.)Kiln Burnt Country brick: 23 x 11 x 5 cm (9" x 4 1/4" x 2") </v>
          </cell>
        </row>
        <row r="240">
          <cell r="E240" t="str">
            <v xml:space="preserve">c. In Second FloorBrick partition in C.M. 1:4 50 mm tk. (B.P.)Kiln Burnt Country brick: 23 x 11 x 5 cm (9" x 4 1/4" x 2") </v>
          </cell>
        </row>
        <row r="241">
          <cell r="E241" t="str">
            <v xml:space="preserve">d. In Third FloorBrick partition in C.M. 1:4 50 mm tk. (B.P.)Kiln Burnt Country brick: 23 x 11 x 5 cm (9" x 4 1/4" x 2") </v>
          </cell>
        </row>
        <row r="242">
          <cell r="E242" t="str">
            <v xml:space="preserve">e. In Fourth FloorBrick partition in C.M. 1:4 50 mm tk. (B.P.)Kiln Burnt Country brick: 23 x 11 x 5 cm (9" x 4 1/4" x 2") </v>
          </cell>
        </row>
        <row r="244">
          <cell r="E244" t="str">
            <v>Filling with Excavated Earth</v>
          </cell>
        </row>
        <row r="245">
          <cell r="E245" t="str">
            <v>Filling with Excavated Earth Mixed with lime in the proporation 1:4 (one of lime &amp; four of earth)</v>
          </cell>
        </row>
        <row r="246">
          <cell r="E246" t="str">
            <v>Precast Cupboard slab 20 mm tk.</v>
          </cell>
        </row>
        <row r="247">
          <cell r="E247" t="str">
            <v>a. In Ground floor Precast Cupboard slab 20 mm tk.</v>
          </cell>
        </row>
        <row r="248">
          <cell r="E248" t="str">
            <v>b. In First floor Precast Cupboard slab 20 mm tk.</v>
          </cell>
        </row>
        <row r="249">
          <cell r="E249" t="str">
            <v>c. In Second floor Precast Cupboard slab 20 mm tk.</v>
          </cell>
        </row>
        <row r="250">
          <cell r="E250" t="str">
            <v>d. In Third floor Precast Cupboard slab 20 mm tk.</v>
          </cell>
        </row>
        <row r="251">
          <cell r="E251" t="str">
            <v>e.  In Fourth floor Precast Cupboard slab 20 mm tk.</v>
          </cell>
        </row>
        <row r="252">
          <cell r="E252" t="str">
            <v>f.  In Fifth floor Precast Cupboard slab 20 mm tk.</v>
          </cell>
        </row>
        <row r="253">
          <cell r="E253" t="str">
            <v>g.  In sixth floor Precast Cupboard slab 20 mm tk.</v>
          </cell>
        </row>
        <row r="254">
          <cell r="E254" t="str">
            <v>h.  In seventh floor Precast Cupboard slab 20 mm tk.</v>
          </cell>
        </row>
        <row r="255">
          <cell r="E255" t="str">
            <v>i.  In eighth floorPrecast Cupboard slab 20 mm tk.</v>
          </cell>
        </row>
        <row r="256">
          <cell r="E256" t="str">
            <v>j.  In Ninth floorPrecast Cupboard slab 20 mm tk.</v>
          </cell>
        </row>
        <row r="257">
          <cell r="E257" t="str">
            <v>k.  In Tenth floorPrecast Cupboard slab 20 mm tk.</v>
          </cell>
        </row>
        <row r="258">
          <cell r="E258" t="str">
            <v>l.  In Eleventh floorPrecast Cupboard slab 20 mm tk.</v>
          </cell>
        </row>
        <row r="259">
          <cell r="E259" t="str">
            <v>Precast cupboard slab 40 mm tk.</v>
          </cell>
        </row>
        <row r="260">
          <cell r="E260" t="str">
            <v>a. In Foundation &amp; basement Precast cupboard slab 40 mm tk.</v>
          </cell>
        </row>
        <row r="261">
          <cell r="E261" t="str">
            <v>b. In Ground floor Precast cupboard slab 40 mm tk.</v>
          </cell>
        </row>
        <row r="262">
          <cell r="E262" t="str">
            <v>c. In First floor Precast cupboard slab 40 mm tk.</v>
          </cell>
        </row>
        <row r="263">
          <cell r="E263" t="str">
            <v>d. In Second floorPrecast cupboard slab 40 mm tk.</v>
          </cell>
        </row>
        <row r="264">
          <cell r="E264" t="str">
            <v>e. In Third floor Precast cupboard slab 40 mm tk.</v>
          </cell>
        </row>
        <row r="265">
          <cell r="E265" t="str">
            <v>f.  In Fourth floorPrecast cupboard slab 40 mm tk.</v>
          </cell>
        </row>
        <row r="266">
          <cell r="E266" t="str">
            <v>Cuddappa slab 20 mm tk.</v>
          </cell>
        </row>
        <row r="267">
          <cell r="E267" t="str">
            <v>a. In Ground floor Cuddappa slab 20 mm tk.</v>
          </cell>
        </row>
        <row r="268">
          <cell r="E268" t="str">
            <v>b. In First floor Cuddappa slab 20 mm tk.</v>
          </cell>
        </row>
        <row r="269">
          <cell r="E269" t="str">
            <v>c. In Second floor Cuddappa slab 20 mm tk.</v>
          </cell>
        </row>
        <row r="270">
          <cell r="E270" t="str">
            <v>d. In Third floor Cuddappa slab 20 mm tk.</v>
          </cell>
        </row>
        <row r="271">
          <cell r="E271" t="str">
            <v>e.  In Fourth floor Cuddappa slab 20 mm tk.</v>
          </cell>
        </row>
        <row r="272">
          <cell r="E272" t="str">
            <v>Cuddappa slab 40 mm tk.</v>
          </cell>
        </row>
        <row r="273">
          <cell r="E273" t="str">
            <v>a. In Ground floor Cuddappa slab 40 mm tk.</v>
          </cell>
        </row>
        <row r="274">
          <cell r="E274" t="str">
            <v>b. In First floor Cuddappa slab 40 mm tk.</v>
          </cell>
        </row>
        <row r="275">
          <cell r="E275" t="str">
            <v>c. In Second floor Cuddappa slab 40 mm tk.</v>
          </cell>
        </row>
        <row r="276">
          <cell r="E276" t="str">
            <v>d. In Third floor Cuddappa slab 40 mm tk.</v>
          </cell>
        </row>
        <row r="277">
          <cell r="E277" t="str">
            <v>e.  In Fourth floor Cuddappa slab 40 mm tk.</v>
          </cell>
        </row>
        <row r="278">
          <cell r="E278" t="str">
            <v>Precast Jally ventilator 50mm tk.</v>
          </cell>
        </row>
        <row r="279">
          <cell r="E279" t="str">
            <v>a. In Ground Floor Precast Jally ventilator 50mm tk.</v>
          </cell>
        </row>
        <row r="280">
          <cell r="E280" t="str">
            <v>b. In First floor Precast Jally ventilator 50mm tk.</v>
          </cell>
        </row>
        <row r="281">
          <cell r="E281" t="str">
            <v>c. In Second floor Precast Jally ventilator 50mm tk.</v>
          </cell>
        </row>
        <row r="282">
          <cell r="E282" t="str">
            <v>d. In Third floor Precast Jally ventilator 50mm tk.</v>
          </cell>
        </row>
        <row r="283">
          <cell r="E283" t="str">
            <v>e.  In Fourth floor Precast Jally ventilator 50mm tk.</v>
          </cell>
        </row>
        <row r="284">
          <cell r="E284" t="str">
            <v>Supplying &amp; fixing of Terra cotta jolly (not less than 50mm)</v>
          </cell>
        </row>
        <row r="285">
          <cell r="E285" t="str">
            <v>a. In Ground Floor Supplying &amp; fixing of Terra cotta jolly (not less than 50mm)</v>
          </cell>
        </row>
        <row r="286">
          <cell r="E286" t="str">
            <v>b. In First Floor Supplying &amp; fixing of Terra cotta jolly (not less than 50mm)</v>
          </cell>
        </row>
        <row r="287">
          <cell r="E287" t="str">
            <v>c. In Second Floor Supplying &amp; fixing of Terra cotta jolly (not less than 50mm)</v>
          </cell>
        </row>
        <row r="288">
          <cell r="E288" t="str">
            <v>d. In Third Floor Supplying &amp; fixing of Terra cotta jolly (not less than 50mm)</v>
          </cell>
        </row>
        <row r="289">
          <cell r="E289" t="str">
            <v>e. In Fourth Floor Supplying &amp; fixing of Terra cotta jolly (not less than 50mm)</v>
          </cell>
        </row>
        <row r="290">
          <cell r="E290" t="str">
            <v>Supplying &amp; fixing of Terra cotta jolly (more than  50mm  upto 110 mm)</v>
          </cell>
        </row>
        <row r="291">
          <cell r="E291" t="str">
            <v>a. In Ground Floor Supplying &amp; fixing of Terra cotta jolly (more than  50mm  upto 110 mm)</v>
          </cell>
        </row>
        <row r="292">
          <cell r="E292" t="str">
            <v>b. In First Floor Supplying &amp; fixing of Terra cotta jolly (more than  50mm  upto 110 mm)</v>
          </cell>
        </row>
        <row r="293">
          <cell r="E293" t="str">
            <v>c. In Second Floor Supplying &amp; fixing of Terra cotta jolly (more than  50mm  upto 110 mm)</v>
          </cell>
        </row>
        <row r="294">
          <cell r="E294" t="str">
            <v>d. In Third Floor Supplying &amp; fixing of Terra cotta jolly (more than  50mm  upto 110 mm)</v>
          </cell>
        </row>
        <row r="295">
          <cell r="E295" t="str">
            <v>e. In Fourth Floor Supplying &amp; fixing of Terra cotta jolly (more than  50mm  upto 110 mm)</v>
          </cell>
        </row>
        <row r="296">
          <cell r="E296" t="str">
            <v>Form work- Lintel (C.W. planks)</v>
          </cell>
        </row>
        <row r="297">
          <cell r="E297" t="str">
            <v>Form work - M.S. Sheet (slab)</v>
          </cell>
        </row>
        <row r="298">
          <cell r="E298" t="str">
            <v>Form work - Small quantities  (M.S. Sheet)</v>
          </cell>
        </row>
        <row r="299">
          <cell r="E299" t="str">
            <v>Form work - Plinth beam (C.W. planks)</v>
          </cell>
        </row>
        <row r="300">
          <cell r="E300" t="str">
            <v>R.C.C.Door frame</v>
          </cell>
        </row>
        <row r="301">
          <cell r="E301" t="str">
            <v>a. 900 x 2100 mm</v>
          </cell>
        </row>
        <row r="302">
          <cell r="E302" t="str">
            <v>b. 700 x 2100 mm</v>
          </cell>
        </row>
        <row r="303">
          <cell r="E303" t="str">
            <v>c. 1000 x 2100 mm</v>
          </cell>
        </row>
        <row r="304">
          <cell r="E304" t="str">
            <v>Teak wood Wrought &amp; Put up</v>
          </cell>
        </row>
        <row r="305">
          <cell r="E305" t="str">
            <v>a. T.W. over 2 m &amp; below 3 m</v>
          </cell>
        </row>
        <row r="306">
          <cell r="E306" t="str">
            <v>b. T.W. below 2 m length.</v>
          </cell>
        </row>
        <row r="307">
          <cell r="E307" t="str">
            <v xml:space="preserve">PVC Door frame &amp; shutter  </v>
          </cell>
        </row>
        <row r="308">
          <cell r="E308" t="str">
            <v>Teak wood panelled door shutters</v>
          </cell>
        </row>
        <row r="309">
          <cell r="E309" t="str">
            <v>a. 1000 x 2100 mm Teak wood panelled door shutters</v>
          </cell>
        </row>
        <row r="310">
          <cell r="E310" t="str">
            <v>b. 900 x 2100 mm Teak wood panelled door shutters</v>
          </cell>
        </row>
        <row r="311">
          <cell r="E311" t="str">
            <v>c. 700 x 2100 mm Teak wood panelled door shutters</v>
          </cell>
        </row>
        <row r="312">
          <cell r="E312" t="str">
            <v>d. 1200 x 2100 mm (Single) annexure item Teak wood panelled door shutters</v>
          </cell>
        </row>
        <row r="313">
          <cell r="E313" t="str">
            <v>Teak wood "Window" &amp;  Ventilator Shutter</v>
          </cell>
        </row>
        <row r="314">
          <cell r="E314" t="str">
            <v>a. Window: 135 cm ht.</v>
          </cell>
        </row>
        <row r="315">
          <cell r="E315" t="str">
            <v>b. Window: 120 cm ht.</v>
          </cell>
        </row>
        <row r="316">
          <cell r="E316" t="str">
            <v>c. Window: 105 cm ht.</v>
          </cell>
        </row>
        <row r="317">
          <cell r="E317" t="str">
            <v>d. Ventilator: (90 x 60 cm)</v>
          </cell>
        </row>
        <row r="318">
          <cell r="E318" t="str">
            <v>T.W. double leaf shutters for cup board/ ward robes</v>
          </cell>
        </row>
        <row r="319">
          <cell r="E319" t="str">
            <v>T.W. single leaf  Door shutters using    9 mm tk. phynol bonded BWR plywood</v>
          </cell>
        </row>
        <row r="320">
          <cell r="E320" t="str">
            <v>a. 900 x 2100 mm</v>
          </cell>
        </row>
        <row r="321">
          <cell r="E321" t="str">
            <v>Glass panels with Aluminium beedings</v>
          </cell>
        </row>
        <row r="322">
          <cell r="E322" t="str">
            <v>S&amp;F of Magnetic door catches</v>
          </cell>
        </row>
        <row r="323">
          <cell r="E323" t="str">
            <v xml:space="preserve">Supply and fixing of Aluminium window with 3mm thick Glass </v>
          </cell>
        </row>
        <row r="324">
          <cell r="E324" t="str">
            <v>a. 1.8 x 1.35 mt.window</v>
          </cell>
        </row>
        <row r="325">
          <cell r="E325" t="str">
            <v>b. 1.35 x 1.35 mt.window</v>
          </cell>
        </row>
        <row r="326">
          <cell r="E326" t="str">
            <v>c. 1.35 x  1.05 mt window</v>
          </cell>
        </row>
        <row r="327">
          <cell r="E327" t="str">
            <v>d. 1.2 x 1.35 mt window</v>
          </cell>
        </row>
        <row r="328">
          <cell r="E328" t="str">
            <v>e. 1.2 x 1.05 mt window</v>
          </cell>
        </row>
        <row r="329">
          <cell r="E329" t="str">
            <v>f. 1.05 x 1.35 mt window</v>
          </cell>
        </row>
        <row r="330">
          <cell r="E330" t="str">
            <v>g. 0.9 x 1.35 mt window</v>
          </cell>
        </row>
        <row r="331">
          <cell r="E331" t="str">
            <v>h. 0.9 x 1.05 mt window</v>
          </cell>
        </row>
        <row r="332">
          <cell r="E332" t="str">
            <v>i. 0.5 x 1.35 mt window</v>
          </cell>
        </row>
        <row r="333">
          <cell r="E333" t="str">
            <v>j. 0.45 x 1.35 mt window</v>
          </cell>
        </row>
        <row r="334">
          <cell r="E334" t="str">
            <v>k.0.90 x 0.60 mt.Ventilator</v>
          </cell>
        </row>
        <row r="335">
          <cell r="E335" t="str">
            <v>l. 0.60 x 0.60 mt.Ventilator</v>
          </cell>
        </row>
        <row r="336">
          <cell r="E336" t="str">
            <v>Manufacturing &amp; supply of steel windows (Weight basis)</v>
          </cell>
        </row>
        <row r="337">
          <cell r="E337" t="str">
            <v>M.S.Holdfast</v>
          </cell>
        </row>
        <row r="338">
          <cell r="E338" t="str">
            <v>Flooring in C.C.1:5:10</v>
          </cell>
        </row>
        <row r="339">
          <cell r="E339" t="str">
            <v>B.w. in C.M. 1:4 for staircase steps Chamber burnt bricks 23 x 11.2 x 7 cm.</v>
          </cell>
        </row>
        <row r="340">
          <cell r="E340" t="str">
            <v>B.w. in C.M. 1:4 for staircase steps Chamber burnt bricks 23 x 11.4 x 7.5 cm.</v>
          </cell>
        </row>
        <row r="341">
          <cell r="E341" t="str">
            <v>B.w. in C.M. 1:4 for staircase steps Chamber burnt bricks  23 x 11 x 7 cm.</v>
          </cell>
        </row>
        <row r="342">
          <cell r="E342" t="str">
            <v>B.w. in C.M. 1:4 for staircase steps Chamber burnt bricks 22 x 11 x 7 cm.</v>
          </cell>
        </row>
        <row r="343">
          <cell r="E343" t="str">
            <v>B.w. in C.M. 1:4 for staircase steps Kiln burnt country bricks 22 x 11 x 7 cm.</v>
          </cell>
        </row>
        <row r="344">
          <cell r="E344" t="str">
            <v>B.w. in C.M. 1:4 for staircase steps Kiln burnt country bricks 22 x 11 x 5.7 cm.</v>
          </cell>
        </row>
        <row r="345">
          <cell r="E345" t="str">
            <v>Floor plastering in C.M. 1:4, 20 mm tk.</v>
          </cell>
        </row>
        <row r="346">
          <cell r="E346" t="str">
            <v>Mosaic tiles 20 cm x 20 cm x 2 cm.</v>
          </cell>
        </row>
        <row r="347">
          <cell r="E347" t="str">
            <v>Mosaic tiles 25 cm x 25 cm x 2 cm.</v>
          </cell>
        </row>
        <row r="348">
          <cell r="E348" t="str">
            <v>Floor ceramic tiles</v>
          </cell>
        </row>
        <row r="349">
          <cell r="E349" t="str">
            <v>Glazed tiles</v>
          </cell>
        </row>
        <row r="350">
          <cell r="E350" t="str">
            <v>Floor ceramic tiles (Anti-skid)</v>
          </cell>
        </row>
        <row r="351">
          <cell r="E351" t="str">
            <v>Ellispattern</v>
          </cell>
        </row>
        <row r="352">
          <cell r="E352" t="str">
            <v>Weathering course</v>
          </cell>
        </row>
        <row r="353">
          <cell r="E353" t="str">
            <v>Pressed tiles (23cmx23cmx20mm) mixed with Crude oil</v>
          </cell>
        </row>
        <row r="354">
          <cell r="E354" t="str">
            <v>Pressed tiles (23cmx23cmx20mm) mixed with Water proofing compound</v>
          </cell>
        </row>
        <row r="355">
          <cell r="E355" t="str">
            <v>Pressed tiles (23cmx23cmx18mm) mixed with Water proofing compound</v>
          </cell>
        </row>
        <row r="356">
          <cell r="E356" t="str">
            <v>Plastering in C.M. 1:5, 12 mm tk.</v>
          </cell>
        </row>
        <row r="357">
          <cell r="E357" t="str">
            <v>Plastering in C.M. 1:4, 12 mm tk.</v>
          </cell>
        </row>
        <row r="358">
          <cell r="E358" t="str">
            <v>Spl. Ceiling plastering in C.M. 1:3, 10 mm tk.</v>
          </cell>
        </row>
        <row r="359">
          <cell r="E359" t="str">
            <v>Cement mortar Border in  C.M. 1:5, 12 mm tk.</v>
          </cell>
        </row>
        <row r="360">
          <cell r="E360" t="str">
            <v>a. 150 mm wide</v>
          </cell>
        </row>
        <row r="361">
          <cell r="E361" t="str">
            <v>b. 75 mm wide</v>
          </cell>
        </row>
        <row r="362">
          <cell r="E362" t="str">
            <v>c. 50 mm wide</v>
          </cell>
        </row>
        <row r="363">
          <cell r="E363" t="str">
            <v>White washing 3 coats  (slaked)</v>
          </cell>
        </row>
        <row r="364">
          <cell r="E364" t="str">
            <v>Colour washing  ( slaked)</v>
          </cell>
        </row>
        <row r="365">
          <cell r="E365" t="str">
            <v>Cement paint</v>
          </cell>
        </row>
        <row r="366">
          <cell r="E366" t="str">
            <v>Matt paint</v>
          </cell>
        </row>
        <row r="367">
          <cell r="E367" t="str">
            <v>M.s Grills</v>
          </cell>
        </row>
        <row r="368">
          <cell r="E368" t="str">
            <v>Painting - New "wood work"</v>
          </cell>
        </row>
        <row r="369">
          <cell r="E369" t="str">
            <v>Painting - New "iron work"</v>
          </cell>
        </row>
        <row r="370">
          <cell r="E370" t="str">
            <v>Fabrication of Mild steel / RTS grills(with cement slurry wash)</v>
          </cell>
        </row>
        <row r="371">
          <cell r="E371" t="str">
            <v>a. upto 16mm dia rods Fabrication of Mild steel / RTS grills(with cement slurry wash)</v>
          </cell>
        </row>
        <row r="372">
          <cell r="E372" t="str">
            <v>b. above 16mm dia rods Fabrication of Mild steel / RTS grills(with cement slurry wash)</v>
          </cell>
        </row>
        <row r="373">
          <cell r="E373" t="str">
            <v xml:space="preserve">Fabrication of Mild steel / RTS grills </v>
          </cell>
        </row>
        <row r="374">
          <cell r="E374" t="str">
            <v xml:space="preserve">a. upto 16mm dia rods Fabrication of Mild steel / RTS grills </v>
          </cell>
        </row>
        <row r="375">
          <cell r="E375" t="str">
            <v xml:space="preserve">b. above 16mm dia rodsFabrication of Mild steel / RTS grills </v>
          </cell>
        </row>
        <row r="376">
          <cell r="E376" t="str">
            <v>PVC SWR 110 mm dia Rain water pipe</v>
          </cell>
        </row>
        <row r="377">
          <cell r="E377" t="str">
            <v>Rain Water Harvesting using Defunct borewell method</v>
          </cell>
        </row>
        <row r="378">
          <cell r="E378" t="str">
            <v>Stucco plastering 12 mm tk.</v>
          </cell>
        </row>
        <row r="379">
          <cell r="E379" t="str">
            <v>S &amp; F 20 mm dia Alu. Hanger Rod</v>
          </cell>
        </row>
        <row r="380">
          <cell r="E380" t="str">
            <v>S &amp; F Alu  Towel rail 75 cm long</v>
          </cell>
        </row>
        <row r="381">
          <cell r="E381" t="str">
            <v>S &amp; F 5 pin Coat stand</v>
          </cell>
        </row>
        <row r="382">
          <cell r="E382" t="str">
            <v>S &amp; F chromium plated 8 guage Picture Hook</v>
          </cell>
        </row>
        <row r="383">
          <cell r="E383" t="str">
            <v>Precast slab 50 mm tk.in C.C. 1:3:6</v>
          </cell>
        </row>
        <row r="384">
          <cell r="E384" t="str">
            <v xml:space="preserve">Providing precast Kerb stone in C.C. 1:3:6,  450 x 300 x 150 mm </v>
          </cell>
        </row>
        <row r="385">
          <cell r="E385" t="str">
            <v>Supply and planting avenue trees</v>
          </cell>
        </row>
        <row r="386">
          <cell r="E386" t="str">
            <v>Providing Tree guard</v>
          </cell>
        </row>
        <row r="387">
          <cell r="E387" t="str">
            <v>Supplying. Fabricating and erection of M.S Scheme Name board</v>
          </cell>
        </row>
        <row r="388">
          <cell r="E388" t="str">
            <v>HDPE water tank 700 lit capacity with ISI mark</v>
          </cell>
        </row>
        <row r="389">
          <cell r="E389" t="str">
            <v>PVC Water supply (ASTM)</v>
          </cell>
        </row>
        <row r="390">
          <cell r="E390" t="str">
            <v>a. 32 mm dia  PVC Water supply (ASTM)</v>
          </cell>
        </row>
        <row r="391">
          <cell r="E391" t="str">
            <v>b. 25 mm dia PVC Water supply (ASTM)</v>
          </cell>
        </row>
        <row r="392">
          <cell r="E392" t="str">
            <v>c. 20 mm dia PVC Water supply (ASTM)</v>
          </cell>
        </row>
        <row r="393">
          <cell r="E393" t="str">
            <v>G.I Pipe 20mm dia for Hot water line (Fully Concealed in walls)</v>
          </cell>
        </row>
        <row r="394">
          <cell r="E394" t="str">
            <v>Wash basin</v>
          </cell>
        </row>
        <row r="395">
          <cell r="E395" t="str">
            <v>S &amp; F  of  C.I. Manhole cover 45 x 45 cm (20 kg. weight)</v>
          </cell>
        </row>
        <row r="396">
          <cell r="E396" t="str">
            <v>C.I. Steps ( 5 kg)</v>
          </cell>
        </row>
        <row r="397">
          <cell r="E397" t="str">
            <v>Brass tap (with ISI mark)</v>
          </cell>
        </row>
        <row r="398">
          <cell r="E398" t="str">
            <v xml:space="preserve">C.P tap long body </v>
          </cell>
        </row>
        <row r="399">
          <cell r="E399" t="str">
            <v xml:space="preserve">C.P tap short body </v>
          </cell>
        </row>
        <row r="400">
          <cell r="E400" t="str">
            <v>Squat Urinal</v>
          </cell>
        </row>
        <row r="401">
          <cell r="E401" t="str">
            <v>Flat Back Urinal</v>
          </cell>
        </row>
        <row r="402">
          <cell r="E402" t="str">
            <v xml:space="preserve">S &amp; F of Orissapan  - in G.F.  </v>
          </cell>
        </row>
        <row r="403">
          <cell r="E403" t="str">
            <v xml:space="preserve">S &amp; F of Orissapan - other than G.F. </v>
          </cell>
        </row>
        <row r="404">
          <cell r="E404" t="str">
            <v>S &amp; F of E.W.C.(white)</v>
          </cell>
        </row>
        <row r="405">
          <cell r="E405" t="str">
            <v>S &amp; F of E.W.C.(colour)</v>
          </cell>
        </row>
        <row r="406">
          <cell r="E406" t="str">
            <v>PVC SWR pipe (Soil line)</v>
          </cell>
        </row>
        <row r="407">
          <cell r="E407" t="str">
            <v>a. 110 mm dia.</v>
          </cell>
        </row>
        <row r="408">
          <cell r="E408" t="str">
            <v>b. 75 mm dia.</v>
          </cell>
        </row>
        <row r="409">
          <cell r="E409" t="str">
            <v>PVC Ventilating shaft with cowl</v>
          </cell>
        </row>
        <row r="410">
          <cell r="E410" t="str">
            <v>Gully Trap using Chamber burnt bricks 23 x 11.2 x 7 cm.</v>
          </cell>
        </row>
        <row r="411">
          <cell r="E411" t="str">
            <v>Gully Trap using chamber burnt bricks of size 23x11.4x7.5cm</v>
          </cell>
        </row>
        <row r="412">
          <cell r="E412" t="str">
            <v>Gully Trap using Chamber burnt bricks 23 x 11 x 7 cm.</v>
          </cell>
        </row>
        <row r="413">
          <cell r="E413" t="str">
            <v>Gully Trap using Chamber burnt bricks 22 x 11 x 7 cm.</v>
          </cell>
        </row>
        <row r="414">
          <cell r="E414" t="str">
            <v>Gully Trap using Kiln burnt country bricks 22 x 11 x 7 cm.</v>
          </cell>
        </row>
        <row r="415">
          <cell r="E415" t="str">
            <v>Gully Trap using Kiln burnt country bricks 22 x 11 x 5.7 cm.</v>
          </cell>
        </row>
        <row r="416">
          <cell r="E416" t="str">
            <v>PVC Nahani trap (4way/2way)</v>
          </cell>
        </row>
        <row r="417">
          <cell r="E417" t="str">
            <v>Stoneware pipe</v>
          </cell>
        </row>
        <row r="418">
          <cell r="E418" t="str">
            <v>a. 100 mm S.W. pipe Stoneware pipe</v>
          </cell>
        </row>
        <row r="419">
          <cell r="E419" t="str">
            <v>b. 150 mm S.W. pipe Stoneware pipe</v>
          </cell>
        </row>
        <row r="420">
          <cell r="E420" t="str">
            <v>Stoneware pipe dry condition</v>
          </cell>
        </row>
        <row r="421">
          <cell r="E421" t="str">
            <v>a. 100 mm dia Stoneware pipe dry condition</v>
          </cell>
        </row>
        <row r="422">
          <cell r="E422" t="str">
            <v>b. 150 mm dia Stoneware pipe dry condition</v>
          </cell>
        </row>
        <row r="423">
          <cell r="E423" t="str">
            <v>Stoneware bend</v>
          </cell>
        </row>
        <row r="424">
          <cell r="E424" t="str">
            <v>a. 100 mm dia Stoneware bend</v>
          </cell>
        </row>
        <row r="425">
          <cell r="E425" t="str">
            <v>b. 150 mm dia Stoneware bend</v>
          </cell>
        </row>
        <row r="426">
          <cell r="E426" t="str">
            <v>Stoneware Tee</v>
          </cell>
        </row>
        <row r="427">
          <cell r="E427" t="str">
            <v>a. 100 mm dia Stoneware Tee</v>
          </cell>
        </row>
        <row r="428">
          <cell r="E428" t="str">
            <v>b. 150 mm dia Stoneware Tee</v>
          </cell>
        </row>
        <row r="429">
          <cell r="E429" t="str">
            <v>32 mm dia PVC waste pipe</v>
          </cell>
        </row>
        <row r="430">
          <cell r="E430" t="str">
            <v>Electrical arrangements</v>
          </cell>
        </row>
        <row r="431">
          <cell r="E431" t="str">
            <v>a. Light point with ceiling rose</v>
          </cell>
        </row>
        <row r="432">
          <cell r="E432" t="str">
            <v>b. Light point without ceiling rose</v>
          </cell>
        </row>
        <row r="433">
          <cell r="E433" t="str">
            <v>c. Calling bell point with Buzzer/Calling bell</v>
          </cell>
        </row>
        <row r="434">
          <cell r="E434" t="str">
            <v xml:space="preserve">Fan point </v>
          </cell>
        </row>
        <row r="435">
          <cell r="E435" t="str">
            <v>Staircase light point</v>
          </cell>
        </row>
        <row r="436">
          <cell r="E436" t="str">
            <v>5 amps 5 pin Plug point (Switch board itself)</v>
          </cell>
        </row>
        <row r="437">
          <cell r="E437" t="str">
            <v>5 amps 5 pin Plug point (Convenient places)</v>
          </cell>
        </row>
        <row r="438">
          <cell r="E438" t="str">
            <v>15 Amp. Power plug</v>
          </cell>
        </row>
        <row r="439">
          <cell r="E439" t="str">
            <v>Bulk head fitting</v>
          </cell>
        </row>
        <row r="440">
          <cell r="E440" t="str">
            <v>S &amp; F of Tube light with fittings</v>
          </cell>
        </row>
        <row r="441">
          <cell r="E441" t="str">
            <v>S &amp; F of 40/ 60 w bulb</v>
          </cell>
        </row>
        <row r="442">
          <cell r="E442" t="str">
            <v>S &amp; F of plastic  shade</v>
          </cell>
        </row>
        <row r="443">
          <cell r="E443" t="str">
            <v>Double pole main switch</v>
          </cell>
        </row>
        <row r="444">
          <cell r="E444" t="str">
            <v>Box type Fibre Fan hook</v>
          </cell>
        </row>
        <row r="445">
          <cell r="E445" t="str">
            <v>6 way - D.B.</v>
          </cell>
        </row>
        <row r="446">
          <cell r="E446" t="str">
            <v>4 way - D.B.</v>
          </cell>
        </row>
        <row r="447">
          <cell r="E447" t="str">
            <v>Charges for fixing of "Fan"</v>
          </cell>
        </row>
        <row r="448">
          <cell r="E448" t="str">
            <v>Supply and delivery of Fan</v>
          </cell>
        </row>
        <row r="449">
          <cell r="E449" t="str">
            <v>a. 48" (1200 mm)</v>
          </cell>
        </row>
        <row r="450">
          <cell r="E450" t="str">
            <v>b. 42" (1050 mm)</v>
          </cell>
        </row>
        <row r="451">
          <cell r="E451" t="str">
            <v>8 SWG wire</v>
          </cell>
        </row>
        <row r="452">
          <cell r="E452" t="str">
            <v>Providing and fixing 25mm x 3mm copper strip on surface or in recess for connections as required -</v>
          </cell>
        </row>
        <row r="453">
          <cell r="E453" t="str">
            <v>Run of main 2 wires of 1.50 Sqm.m.</v>
          </cell>
        </row>
        <row r="454">
          <cell r="E454" t="str">
            <v>Run of 2 wires of 4 Sqm.m with continuous earth by means of 2.5Sqm.m</v>
          </cell>
        </row>
        <row r="455">
          <cell r="E455" t="str">
            <v>S &amp; F of A/C metal clad switch</v>
          </cell>
        </row>
        <row r="456">
          <cell r="E456" t="str">
            <v>S&amp;F of TV/Telephone line Socket</v>
          </cell>
        </row>
        <row r="457">
          <cell r="E457" t="str">
            <v>S&amp;F of 20mm dia PVC pipe for TV/Telephone line</v>
          </cell>
        </row>
        <row r="458">
          <cell r="E458" t="str">
            <v>Earthing Station IS3043 (Type I)</v>
          </cell>
        </row>
        <row r="459">
          <cell r="E459" t="str">
            <v xml:space="preserve">Plate earthing with copper plate of size 600 x 600 x 3 mm </v>
          </cell>
        </row>
        <row r="460">
          <cell r="E460" t="str">
            <v>Earthing Station (Type II)</v>
          </cell>
        </row>
        <row r="461">
          <cell r="E461" t="str">
            <v>1 No.of 30Amps - Fuse Unit</v>
          </cell>
        </row>
        <row r="462">
          <cell r="E462" t="str">
            <v>3 Nos.of 30Amps - Fuse Unit</v>
          </cell>
        </row>
        <row r="463">
          <cell r="E463" t="str">
            <v>375 x 300 x 20 mm T.W. plank</v>
          </cell>
        </row>
        <row r="464">
          <cell r="E464" t="str">
            <v>Meter cupboard</v>
          </cell>
        </row>
        <row r="465">
          <cell r="E465" t="str">
            <v>Street lights</v>
          </cell>
        </row>
        <row r="466">
          <cell r="E466" t="str">
            <v>M.S Angle</v>
          </cell>
        </row>
        <row r="467">
          <cell r="E467" t="str">
            <v>Run of 2 wires of 4 Sqm.m</v>
          </cell>
        </row>
        <row r="468">
          <cell r="E468" t="str">
            <v>Supply of G.I pipe 25mm dia</v>
          </cell>
        </row>
        <row r="469">
          <cell r="E469" t="str">
            <v>Anti termite treatment</v>
          </cell>
        </row>
        <row r="470">
          <cell r="E470" t="str">
            <v>ELCB Single phase</v>
          </cell>
        </row>
        <row r="471">
          <cell r="E471" t="str">
            <v>S &amp; F of Exsaust Fan 300 mm dia</v>
          </cell>
        </row>
        <row r="472">
          <cell r="E472" t="str">
            <v>Anticorrosive treatment for steel grills</v>
          </cell>
        </row>
        <row r="473">
          <cell r="E473" t="str">
            <v>ANNEXURE</v>
          </cell>
        </row>
        <row r="474">
          <cell r="E474" t="str">
            <v xml:space="preserve">Brick work in C.M. 1:5 (F&amp; B) using Fly ash bricks of size 23 x 11 x 7 cm </v>
          </cell>
        </row>
        <row r="475">
          <cell r="E475" t="str">
            <v xml:space="preserve">Brick work in C.M. 1:6 using Fly ash  bricks of size 23 x 11 x 7 cm </v>
          </cell>
        </row>
        <row r="476">
          <cell r="E476" t="str">
            <v>a. In Ground Floor</v>
          </cell>
        </row>
        <row r="477">
          <cell r="E477" t="str">
            <v>b. In First Floor</v>
          </cell>
        </row>
        <row r="478">
          <cell r="E478" t="str">
            <v>c. In Second Floor</v>
          </cell>
        </row>
        <row r="479">
          <cell r="E479" t="str">
            <v>c. In Third Floor</v>
          </cell>
        </row>
        <row r="480">
          <cell r="E480" t="str">
            <v>c. In fourth Floor</v>
          </cell>
        </row>
        <row r="481">
          <cell r="E481" t="str">
            <v>Brick partition work in C.M. 1:4 using Fly ash  bricks of size 23 x 11 x 7 cm  110 mm tk (B.P.)</v>
          </cell>
        </row>
        <row r="482">
          <cell r="E482" t="str">
            <v>a. Foundation &amp; basement</v>
          </cell>
        </row>
        <row r="483">
          <cell r="E483" t="str">
            <v>b. In Ground Floor</v>
          </cell>
        </row>
        <row r="484">
          <cell r="E484" t="str">
            <v>c. In First Floor</v>
          </cell>
        </row>
        <row r="485">
          <cell r="E485" t="str">
            <v>d. In Second Floor</v>
          </cell>
        </row>
        <row r="486">
          <cell r="E486" t="str">
            <v>c. In Third Floor</v>
          </cell>
        </row>
        <row r="487">
          <cell r="E487" t="str">
            <v>c. In fourth Floor</v>
          </cell>
        </row>
        <row r="488">
          <cell r="E488" t="str">
            <v>Brick work in C.M. 1:4 using  using Fly ash  burnt bricks bricks of size 23 x 11 x 7 cm  70 mm tk (B.P.)</v>
          </cell>
        </row>
        <row r="489">
          <cell r="E489" t="str">
            <v>a. In Ground Floor</v>
          </cell>
        </row>
        <row r="490">
          <cell r="E490" t="str">
            <v>c. In First Floor</v>
          </cell>
        </row>
        <row r="491">
          <cell r="E491" t="str">
            <v>d. In Second Floor</v>
          </cell>
        </row>
        <row r="492">
          <cell r="E492" t="str">
            <v>c. In Third Floor</v>
          </cell>
        </row>
        <row r="493">
          <cell r="E493" t="str">
            <v>Precast Cupboard slab 20 mm tk.using standardised concrete mix M20 (annexure)</v>
          </cell>
        </row>
        <row r="494">
          <cell r="E494" t="str">
            <v>a. In Ground floor Precast Cupboard slab 20 mm tk.using standardised concrete mix M20 (annexure)</v>
          </cell>
        </row>
        <row r="495">
          <cell r="E495" t="str">
            <v>b. In First floor Precast Cupboard slab 20 mm tk.using standardised concrete mix M20 (annexure)</v>
          </cell>
        </row>
        <row r="496">
          <cell r="E496" t="str">
            <v>c. In Second floor Precast Cupboard slab 20 mm tk.using standardised concrete mix M20 (annexure)</v>
          </cell>
        </row>
        <row r="497">
          <cell r="E497" t="str">
            <v>d. In Third floor Precast Cupboard slab 20 mm tk.using standardised concrete mix M20 (annexure)</v>
          </cell>
        </row>
        <row r="498">
          <cell r="E498" t="str">
            <v>e.  In Fourth floor Precast Cupboard slab 20 mm tk.using standardised concrete mix M20 (annexure)</v>
          </cell>
        </row>
        <row r="499">
          <cell r="E499" t="str">
            <v>Precast cupboard slab 40 mm tkusing standardised concrete mix M20 (annexure)</v>
          </cell>
        </row>
        <row r="500">
          <cell r="E500" t="str">
            <v>a. In Foundation &amp; basement Precast cupboard slab 40 mm tkusing standardised concrete mix M20 (annexure)</v>
          </cell>
        </row>
        <row r="501">
          <cell r="E501" t="str">
            <v>b. In Ground floor Precast cupboard slab 40 mm tkusing standardised concrete mix M20 (annexure)</v>
          </cell>
        </row>
        <row r="502">
          <cell r="E502" t="str">
            <v>c. In First floor Precast cupboard slab 40 mm tkusing standardised concrete mix M20 (annexure)</v>
          </cell>
        </row>
        <row r="503">
          <cell r="E503" t="str">
            <v>d. In Second floor Precast cupboard slab 40 mm tkusing standardised concrete mix M20 (annexure)</v>
          </cell>
        </row>
        <row r="504">
          <cell r="E504" t="str">
            <v>e. In Third floor</v>
          </cell>
        </row>
        <row r="505">
          <cell r="E505" t="str">
            <v>f.  In Fourth floor Precast cupboard slab 40 mm tkusing standardised concrete mix M20 (annexure)</v>
          </cell>
        </row>
        <row r="506">
          <cell r="E506" t="str">
            <v>Precast Cupboard slab 20 mm tk.using standardised concrete mix M25 (annexure)</v>
          </cell>
        </row>
        <row r="507">
          <cell r="E507" t="str">
            <v>a. In Ground floor</v>
          </cell>
        </row>
        <row r="508">
          <cell r="E508" t="str">
            <v>b. In First floor</v>
          </cell>
        </row>
        <row r="509">
          <cell r="E509" t="str">
            <v>c. In Second floor</v>
          </cell>
        </row>
        <row r="510">
          <cell r="E510" t="str">
            <v>d. In Third floor</v>
          </cell>
        </row>
        <row r="511">
          <cell r="E511" t="str">
            <v>e.  In Fourth floor</v>
          </cell>
        </row>
        <row r="512">
          <cell r="E512" t="str">
            <v>Precast cupboard slab 40 mm tkusing standardised concrete mix M25 (annexure)</v>
          </cell>
        </row>
        <row r="513">
          <cell r="E513" t="str">
            <v>a. In Foundation &amp; basement</v>
          </cell>
        </row>
        <row r="514">
          <cell r="E514" t="str">
            <v>b. In Ground floor</v>
          </cell>
        </row>
        <row r="515">
          <cell r="E515" t="str">
            <v>c. In First floor</v>
          </cell>
        </row>
        <row r="516">
          <cell r="E516" t="str">
            <v>d. In Second floor</v>
          </cell>
        </row>
        <row r="517">
          <cell r="E517" t="str">
            <v>e. In Third floor</v>
          </cell>
        </row>
        <row r="518">
          <cell r="E518" t="str">
            <v>f.  In Fourth floor</v>
          </cell>
        </row>
        <row r="519">
          <cell r="E519" t="str">
            <v>Precast Cupboard slab 20 mm tk.using standardised concrete mix M30 (annexure)</v>
          </cell>
        </row>
        <row r="520">
          <cell r="E520" t="str">
            <v>a. In Ground floor Precast Cupboard slab 20 mm tk.using standardised concrete mix M30 (annexure)</v>
          </cell>
        </row>
        <row r="521">
          <cell r="E521" t="str">
            <v>b. In First floor Precast Cupboard slab 20 mm tk.using standardised concrete mix M30 (annexure)</v>
          </cell>
        </row>
        <row r="522">
          <cell r="E522" t="str">
            <v>c. In Second floor Precast Cupboard slab 20 mm tk.using standardised concrete mix M30 (annexure)</v>
          </cell>
        </row>
        <row r="523">
          <cell r="E523" t="str">
            <v>d. In Third floor Precast Cupboard slab 20 mm tk.using standardised concrete mix M30 (annexure)</v>
          </cell>
        </row>
        <row r="524">
          <cell r="E524" t="str">
            <v>e.  In Fourth floor Precast Cupboard slab 20 mm tk.using standardised concrete mix M30 (annexure)</v>
          </cell>
        </row>
        <row r="525">
          <cell r="E525" t="str">
            <v>Precast cupboard slab 40 mm tkusing standardised concrete mix M30 (annexure)</v>
          </cell>
        </row>
        <row r="526">
          <cell r="E526" t="str">
            <v>a. In Foundation &amp; basement Precast cupboard slab 40 mm tkusing standardised concrete mix M30 (annexure)</v>
          </cell>
        </row>
        <row r="527">
          <cell r="E527" t="str">
            <v>b. In Ground floor Precast cupboard slab 40 mm tkusing standardised concrete mix M30 (annexure)</v>
          </cell>
        </row>
        <row r="528">
          <cell r="E528" t="str">
            <v>c. In First floor Precast cupboard slab 40 mm tkusing standardised concrete mix M30 (annexure)</v>
          </cell>
        </row>
        <row r="529">
          <cell r="E529" t="str">
            <v>d. In Second floor Precast cupboard slab 40 mm tkusing standardised concrete mix M30 (annexure)</v>
          </cell>
        </row>
        <row r="530">
          <cell r="E530" t="str">
            <v>e. In Third floor Precast cupboard slab 40 mm tkusing standardised concrete mix M30 (annexure)</v>
          </cell>
        </row>
        <row r="531">
          <cell r="E531" t="str">
            <v>f.  In Fourth floor Precast cupboard slab 40 mm tkusing standardised concrete mix M30 (annexure)</v>
          </cell>
        </row>
        <row r="532">
          <cell r="E532" t="str">
            <v>Precast Jally ventilator 50mm tk.using standardised concrete mix M30 (annexure) without vibrating charges</v>
          </cell>
        </row>
        <row r="533">
          <cell r="E533" t="str">
            <v xml:space="preserve">a. In Ground floor </v>
          </cell>
        </row>
        <row r="534">
          <cell r="E534" t="str">
            <v>b. In First floor</v>
          </cell>
        </row>
        <row r="535">
          <cell r="E535" t="str">
            <v>c. In Second floor</v>
          </cell>
        </row>
        <row r="536">
          <cell r="E536" t="str">
            <v>d. In Third floor</v>
          </cell>
        </row>
        <row r="537">
          <cell r="E537" t="str">
            <v>e.  In Fourth floor</v>
          </cell>
        </row>
        <row r="538">
          <cell r="E538" t="str">
            <v>Precast Jally ventilator 50mm tk.using standardised concrete mix M25 (annexure) without vibrating charges</v>
          </cell>
        </row>
        <row r="539">
          <cell r="E539" t="str">
            <v xml:space="preserve">a. In Ground floor </v>
          </cell>
        </row>
        <row r="540">
          <cell r="E540" t="str">
            <v>b. In First floor</v>
          </cell>
        </row>
        <row r="541">
          <cell r="E541" t="str">
            <v>c. In Second floor</v>
          </cell>
        </row>
        <row r="542">
          <cell r="E542" t="str">
            <v>d. In Third floor</v>
          </cell>
        </row>
        <row r="543">
          <cell r="E543" t="str">
            <v>e.  In Fourth floor</v>
          </cell>
        </row>
        <row r="544">
          <cell r="E544" t="str">
            <v>Precast Jally ventilator 50mm tk.using standardised concrete mix M20 (annexure) without vibrating charges</v>
          </cell>
        </row>
        <row r="545">
          <cell r="E545" t="str">
            <v>a. In Ground Floor Precast Jally ventilator 50mm tk.using standardised concrete mix M20 (annexure) without vibrating charges</v>
          </cell>
        </row>
        <row r="546">
          <cell r="E546" t="str">
            <v>b. In First floor Precast Jally ventilator 50mm tk.using standardised concrete mix M20 (annexure) without vibrating charges</v>
          </cell>
        </row>
        <row r="547">
          <cell r="E547" t="str">
            <v>c. In Second floor Precast Jally ventilator 50mm tk.using standardised concrete mix M20 (annexure) without vibrating charges</v>
          </cell>
        </row>
        <row r="548">
          <cell r="E548" t="str">
            <v>d. In Third floor Precast Jally ventilator 50mm tk.using standardised concrete mix M20 (annexure) without vibrating charges</v>
          </cell>
        </row>
        <row r="549">
          <cell r="E549" t="str">
            <v>e.  In Fourth floor Precast Jally ventilator 50mm tk.using standardised concrete mix M20 (annexure) without vibrating charges</v>
          </cell>
        </row>
        <row r="550">
          <cell r="E550" t="str">
            <v>f.  In Fifth floor Precast Jally ventilator 50mm tk.using standardised concrete mix M20 (annexure) without vibrating charges</v>
          </cell>
        </row>
        <row r="551">
          <cell r="E551" t="str">
            <v>Standardised concrete Mix M20 Grade Concrete</v>
          </cell>
        </row>
        <row r="552">
          <cell r="E552" t="str">
            <v>A. In Foundation and basement 1.5 m to 4.0 m Standardised concrete Mix M20 Grade Concrete</v>
          </cell>
        </row>
        <row r="553">
          <cell r="E553" t="str">
            <v>a. In Foundation and basement Standardised concrete Mix M20 Grade Concrete</v>
          </cell>
        </row>
        <row r="554">
          <cell r="E554" t="str">
            <v>b. Ground Floor Standardised concrete Mix M20 Grade Concrete</v>
          </cell>
        </row>
        <row r="555">
          <cell r="E555" t="str">
            <v>c. In First Floor Standardised concrete Mix M20 Grade Concrete</v>
          </cell>
        </row>
        <row r="556">
          <cell r="E556" t="str">
            <v>d. In Second Floor Standardised concrete Mix M20 Grade Concrete</v>
          </cell>
        </row>
        <row r="557">
          <cell r="E557" t="str">
            <v>e. In Third floor Standardised concrete Mix M20 Grade Concrete</v>
          </cell>
        </row>
        <row r="558">
          <cell r="E558" t="str">
            <v>f.In fourth floor Standardised concrete Mix M20 Grade Concrete</v>
          </cell>
        </row>
        <row r="559">
          <cell r="E559" t="str">
            <v>Standardised concrete Mix M30 Grade Concrete</v>
          </cell>
        </row>
        <row r="560">
          <cell r="E560" t="str">
            <v>a. In Foundation and basement Standardised concrete Mix M30 Grade Concrete</v>
          </cell>
        </row>
        <row r="561">
          <cell r="E561" t="str">
            <v>b. Ground Floor Standardised concrete Mix M30 Grade Concrete</v>
          </cell>
        </row>
        <row r="562">
          <cell r="E562" t="str">
            <v>c. In First Floor Standardised concrete Mix M30 Grade Concrete</v>
          </cell>
        </row>
        <row r="563">
          <cell r="E563" t="str">
            <v>d. In Second Floor Standardised concrete Mix M30 Grade Concrete</v>
          </cell>
        </row>
        <row r="564">
          <cell r="E564" t="str">
            <v>e. In Third floor Standardised concrete Mix M30 Grade Concrete</v>
          </cell>
        </row>
        <row r="566">
          <cell r="E566" t="str">
            <v>RCC M30 mix using hard broken stone jelly for foundation and basement</v>
          </cell>
        </row>
        <row r="567">
          <cell r="E567" t="str">
            <v>a. Foundation &amp; basement RCC M30 mix using hard broken stone jelly for foundation and basement</v>
          </cell>
        </row>
        <row r="568">
          <cell r="E568" t="str">
            <v>b.Stilt floorRCC M30 mix using hard broken stone jelly for foundation and basement</v>
          </cell>
        </row>
        <row r="569">
          <cell r="E569" t="str">
            <v>Cement Concrete using desing mix of grade M25 concrete</v>
          </cell>
        </row>
        <row r="570">
          <cell r="E570" t="str">
            <v>a. In Foundation and basement Cement Concrete using desing mix of grade M25 concrete</v>
          </cell>
        </row>
        <row r="571">
          <cell r="E571" t="str">
            <v>b. In Stilt /Ground Floor Cement Concrete using desing mix of grade M25 concrete</v>
          </cell>
        </row>
        <row r="572">
          <cell r="E572" t="str">
            <v>c. In First Floor Cement Concrete using desing mix of grade M25 concrete</v>
          </cell>
        </row>
        <row r="573">
          <cell r="E573" t="str">
            <v>d. In Second Floor Cement Concrete using desing mix of grade M25 concrete</v>
          </cell>
        </row>
        <row r="574">
          <cell r="E574" t="str">
            <v>e. In Third floor Cement Concrete using desing mix of grade M25 concrete</v>
          </cell>
        </row>
        <row r="575">
          <cell r="E575" t="str">
            <v>f. In Fourth Floor Cement Concrete using desing mix of grade M25 concrete</v>
          </cell>
        </row>
        <row r="576">
          <cell r="E576" t="str">
            <v>g. In Fifth Floor Cement Concrete using desing mix of grade M25 concrete</v>
          </cell>
        </row>
        <row r="577">
          <cell r="E577" t="str">
            <v>h. In Sixth Floor Cement Concrete using desing mix of grade M25 concrete</v>
          </cell>
        </row>
        <row r="578">
          <cell r="E578" t="str">
            <v>i. In Seventh Floor Cement Concrete using desing mix of grade M25 concrete</v>
          </cell>
        </row>
        <row r="579">
          <cell r="E579" t="str">
            <v>j.in Eighth floor Cement Concrete using desing mix of grade M25 concrete</v>
          </cell>
        </row>
        <row r="580">
          <cell r="E580" t="str">
            <v>k.in Ninth floor Cement Concrete using desing mix of grade M25 concrete</v>
          </cell>
        </row>
        <row r="581">
          <cell r="E581" t="str">
            <v>l.in Tenth floor Cement Concrete using desing mix of grade M25 concrete</v>
          </cell>
        </row>
        <row r="582">
          <cell r="E582" t="str">
            <v>l.  In Eleventh floor Cement Concrete using desing mix of grade M25 concrete</v>
          </cell>
        </row>
        <row r="583">
          <cell r="E583" t="str">
            <v>m.  In Twelth floor Cement Concrete using desing mix of grade M25 concrete</v>
          </cell>
        </row>
        <row r="584">
          <cell r="E584" t="str">
            <v>n. In Thirteen floor Cement Concrete using desing mix of grade M25 concrete</v>
          </cell>
        </row>
        <row r="585">
          <cell r="E585" t="str">
            <v>Brick work in C.M. 1:6 using chamber Burnt bricks of size 23 x 11.4 x 7.5 cm (9" x 4 1/2"x 3")</v>
          </cell>
        </row>
        <row r="586">
          <cell r="E586" t="str">
            <v>g. In Fifth Floor</v>
          </cell>
        </row>
        <row r="587">
          <cell r="E587" t="str">
            <v>h. In Sixth Floor</v>
          </cell>
        </row>
        <row r="588">
          <cell r="E588" t="str">
            <v>i. In Seventh Floor</v>
          </cell>
        </row>
        <row r="589">
          <cell r="E589" t="str">
            <v>j.in Eighth floor</v>
          </cell>
        </row>
        <row r="590">
          <cell r="E590" t="str">
            <v>k.in Ninth floor</v>
          </cell>
        </row>
        <row r="591">
          <cell r="E591" t="str">
            <v>l.in Tenth floor</v>
          </cell>
        </row>
        <row r="592">
          <cell r="E592" t="str">
            <v>Brick partition work in C.M. 1:4 using chamber Burnt bricks of size 23 x 11.4 x 7.5 cm (9" x 4 1/2"x 3") 114 mm tk (B.P.)</v>
          </cell>
        </row>
        <row r="593">
          <cell r="E593" t="str">
            <v>g. In Fifth Floor</v>
          </cell>
        </row>
        <row r="594">
          <cell r="E594" t="str">
            <v>h. In Sixth Floor</v>
          </cell>
        </row>
        <row r="595">
          <cell r="E595" t="str">
            <v>i. In Seventh Floor</v>
          </cell>
        </row>
        <row r="596">
          <cell r="E596" t="str">
            <v>j.in Eighth floor</v>
          </cell>
        </row>
        <row r="597">
          <cell r="E597" t="str">
            <v>k.in Ninth floor</v>
          </cell>
        </row>
        <row r="598">
          <cell r="E598" t="str">
            <v>Brick work in C.M. 1:4 using chamber Burnt bricks of size 23 x 11.4 x 7.5 cm (9" x 4 1/2"x 3") 75 mm tk (B.P.)</v>
          </cell>
        </row>
        <row r="599">
          <cell r="E599" t="str">
            <v>g. In Fifth Floor</v>
          </cell>
        </row>
        <row r="600">
          <cell r="E600" t="str">
            <v>h. In Sixth Floor</v>
          </cell>
        </row>
        <row r="601">
          <cell r="E601" t="str">
            <v>i. In Seventh Floor</v>
          </cell>
        </row>
        <row r="602">
          <cell r="E602" t="str">
            <v>j. In Eighth floor</v>
          </cell>
        </row>
        <row r="603">
          <cell r="E603" t="str">
            <v>k.in Ninth floor</v>
          </cell>
        </row>
        <row r="604">
          <cell r="E604" t="str">
            <v xml:space="preserve">Supply and laying of Hard core layer 200mm </v>
          </cell>
        </row>
        <row r="605">
          <cell r="E605" t="str">
            <v>Supplying and filling stone dust</v>
          </cell>
        </row>
        <row r="606">
          <cell r="E606" t="str">
            <v>Plastering with CM 1:3, 12mm with WPC</v>
          </cell>
        </row>
        <row r="607">
          <cell r="E607" t="str">
            <v xml:space="preserve">Supplying and filling with gravel </v>
          </cell>
        </row>
        <row r="608">
          <cell r="E608" t="str">
            <v>B.W in CM 1:4 in Superstructure for OHT in First floor</v>
          </cell>
        </row>
        <row r="609">
          <cell r="E609" t="str">
            <v>B.W in CM 1:4 in Superstructure for OHT in Second  floor</v>
          </cell>
        </row>
        <row r="610">
          <cell r="E610" t="str">
            <v>B.W in CM 1:4 in Superstructure for OHTIn Third  floor</v>
          </cell>
        </row>
        <row r="611">
          <cell r="E611" t="str">
            <v>B.W in CM 1:4 in Superstructure for OHT In Fourth  floor</v>
          </cell>
        </row>
        <row r="612">
          <cell r="E612" t="str">
            <v>Earth work excavation in Loose / sandy soils (including refilling)</v>
          </cell>
        </row>
        <row r="613">
          <cell r="E613" t="str">
            <v>Earth work excavation in Loose / sandy soils (excluding refilling) for open foundation</v>
          </cell>
        </row>
        <row r="614">
          <cell r="E614" t="str">
            <v>Earth work excavation in Loose / sandy soils (excluding refilling) for drain</v>
          </cell>
        </row>
        <row r="615">
          <cell r="E615" t="str">
            <v>Providing earth quake resistant for Corner walls</v>
          </cell>
        </row>
        <row r="616">
          <cell r="E616" t="str">
            <v>a. Foundation &amp; basement</v>
          </cell>
        </row>
        <row r="617">
          <cell r="E617" t="str">
            <v>b. Ground Floor</v>
          </cell>
        </row>
        <row r="618">
          <cell r="E618" t="str">
            <v>c. First Floor</v>
          </cell>
        </row>
        <row r="619">
          <cell r="E619" t="str">
            <v>d. Second Floor</v>
          </cell>
        </row>
        <row r="620">
          <cell r="E620" t="str">
            <v>Providing earth quake resistant for Door/window Jambs</v>
          </cell>
        </row>
        <row r="621">
          <cell r="E621" t="str">
            <v>a. Ground Floor</v>
          </cell>
        </row>
        <row r="622">
          <cell r="E622" t="str">
            <v>b. First Floor</v>
          </cell>
        </row>
        <row r="623">
          <cell r="E623" t="str">
            <v>c. Second Floor</v>
          </cell>
        </row>
        <row r="624">
          <cell r="E624" t="str">
            <v>Bored cast sit piles installation of vertical cast in Situ Bored piles of following dia using Standardised concrete  mix M20 Grade) as per nagapattinam data</v>
          </cell>
        </row>
        <row r="625">
          <cell r="E625" t="str">
            <v>a.500mm dia pile</v>
          </cell>
        </row>
        <row r="626">
          <cell r="E626" t="str">
            <v>b.450mm dia pile</v>
          </cell>
        </row>
        <row r="627">
          <cell r="E627" t="str">
            <v>c.400mm dia pile</v>
          </cell>
        </row>
        <row r="628">
          <cell r="E628" t="str">
            <v>Chipping of RCC pile head to the required cut of level and clearing way debries with an average lead of 3 km entirely with city limits M20 Grade</v>
          </cell>
        </row>
        <row r="629">
          <cell r="E629" t="str">
            <v>a.500mm dia pile</v>
          </cell>
        </row>
        <row r="630">
          <cell r="E630" t="str">
            <v>b.450mm dia pile</v>
          </cell>
        </row>
        <row r="631">
          <cell r="E631" t="str">
            <v>c.400mm dia pile</v>
          </cell>
        </row>
        <row r="632">
          <cell r="E632" t="str">
            <v>Conducting routine vertical compression load test CER No.328/2014-15</v>
          </cell>
        </row>
        <row r="633">
          <cell r="E633" t="str">
            <v>Mobilization charges including transporting to site CER No.328/2014-15</v>
          </cell>
        </row>
        <row r="634">
          <cell r="E634" t="str">
            <v xml:space="preserve">Red oxide plastering in CM 1:4 </v>
          </cell>
        </row>
        <row r="635">
          <cell r="E635" t="str">
            <v>P.C.C. 1:3:6  for foundation &amp; basement using 20mm metal</v>
          </cell>
        </row>
        <row r="636">
          <cell r="E636" t="str">
            <v>P.C.C. 1:4:8 using 40 mm broken brick jelly</v>
          </cell>
        </row>
        <row r="637">
          <cell r="E637" t="str">
            <v>P. C.C. 1:3:6 for foundation &amp; basement using 40mm metal</v>
          </cell>
        </row>
        <row r="638">
          <cell r="E638" t="str">
            <v>Formwork using M.S.Sheet</v>
          </cell>
        </row>
        <row r="639">
          <cell r="E639" t="str">
            <v>a.For Column footings,plinth beam,Grade beam,Raftbeam,Raft slab etc.,</v>
          </cell>
        </row>
        <row r="640">
          <cell r="E640" t="str">
            <v>b.Plain surfaces such as Roof slab,floorslab,Beams,lintels,lofts,sill slab,staircase,portico slab and other similar works</v>
          </cell>
        </row>
        <row r="641">
          <cell r="E641" t="str">
            <v>c.For Square and rectangular columns and small quantities</v>
          </cell>
        </row>
        <row r="642">
          <cell r="E642" t="str">
            <v>d.Vertical wall</v>
          </cell>
        </row>
        <row r="643">
          <cell r="E643" t="str">
            <v>e.Circular column</v>
          </cell>
        </row>
        <row r="644">
          <cell r="E644" t="str">
            <v>f.Curved surface</v>
          </cell>
        </row>
        <row r="645">
          <cell r="E645" t="str">
            <v>g.Double centering portico area</v>
          </cell>
        </row>
        <row r="646">
          <cell r="E646" t="str">
            <v>R.C.C.Door frames of size 100 x 75mm with one edge grooves size 't' x 20 mm using M20 grade ( with out vibrating charges)</v>
          </cell>
        </row>
        <row r="647">
          <cell r="E647" t="str">
            <v>a. 900 x 2100 mm R.C.C.Door frames of size 100 x 75mm with one edge grooves size 't' x 20 mm using M20 grade ( with out vibrating charges)</v>
          </cell>
        </row>
        <row r="648">
          <cell r="E648" t="str">
            <v>c. 1200 x 2100 mm R.C.C.Door frames of size 100 x 75mm with one edge grooves size 't' x 20 mm using M20 grade ( with out vibrating charges)</v>
          </cell>
        </row>
        <row r="649">
          <cell r="E649" t="str">
            <v>c. 1000 x 2100 mm R.C.C.Door frames of size 100 x 75mm with one edge grooves size 't' x 20 mm using M20 grade ( with out vibrating charges)</v>
          </cell>
        </row>
        <row r="650">
          <cell r="E650" t="str">
            <v>d. 750 x 2100 mm R.C.C.Door frames of size 100 x 75mm with one edge grooves size 't' x 20 mm using M20 grade ( with out vibrating charges)</v>
          </cell>
        </row>
        <row r="651">
          <cell r="E651" t="str">
            <v>Teak wood "Window" &amp;  Ventilator Shutter with 4mm thick pin headed glasses</v>
          </cell>
        </row>
        <row r="652">
          <cell r="E652" t="str">
            <v>a. Window: 135 cm ht.</v>
          </cell>
        </row>
        <row r="653">
          <cell r="E653" t="str">
            <v>b. Window: 120 cm ht.</v>
          </cell>
        </row>
        <row r="654">
          <cell r="E654" t="str">
            <v>c. Window: 105 cm ht.</v>
          </cell>
        </row>
        <row r="655">
          <cell r="E655" t="str">
            <v>d. Ventilator: (90 x 60 cm)</v>
          </cell>
        </row>
        <row r="656">
          <cell r="E656" t="str">
            <v>d. Ventilator: (75 x 75 cm)</v>
          </cell>
        </row>
        <row r="657">
          <cell r="E657" t="str">
            <v xml:space="preserve"> MDF board (18mm thick) double leaf shutters with TW frame for cup board/ ward robes.</v>
          </cell>
        </row>
        <row r="658">
          <cell r="E658" t="str">
            <v>T.W. frame &amp; TW styles &amp; rails with BWR double leaf shutters for cup board/ ward robes including two coat enamel paint &amp; one coat primer.</v>
          </cell>
        </row>
        <row r="659">
          <cell r="E659" t="str">
            <v>MDF board door shutters (35mm thick) exterior grade both side laminated with external lipping.</v>
          </cell>
        </row>
        <row r="660">
          <cell r="E660" t="str">
            <v>a. 1000X2100mm. MDF board door shutters (35mm thick) exterior grade both side laminated with external lipping.</v>
          </cell>
        </row>
        <row r="661">
          <cell r="E661" t="str">
            <v>b. 900X2100mm. MDF board door shutters (35mm thick) exterior grade both side laminated with external lipping.</v>
          </cell>
        </row>
        <row r="662">
          <cell r="E662" t="str">
            <v>c.1200X2100mm. MDF board door shutters (35mm thick) exterior grade both side laminated with external lipping.</v>
          </cell>
        </row>
        <row r="663">
          <cell r="E663" t="str">
            <v>TW panelled  single door shutter with brass fittings.</v>
          </cell>
        </row>
        <row r="664">
          <cell r="E664" t="str">
            <v>a. 1000X2100mm.(Single leaf) For Qtrs</v>
          </cell>
        </row>
        <row r="665">
          <cell r="E665" t="str">
            <v>b.1200x2400mm</v>
          </cell>
        </row>
        <row r="666">
          <cell r="E666" t="str">
            <v xml:space="preserve">C. 0.75X2100mm.(Single leaf) </v>
          </cell>
        </row>
        <row r="667">
          <cell r="E667" t="str">
            <v>a. 1200X2100mm.(Single leaf)  Four horizontal Panel</v>
          </cell>
        </row>
        <row r="668">
          <cell r="E668" t="str">
            <v>a. 1200X2100mm.(Single leaf)  Five horizontal Panel</v>
          </cell>
        </row>
        <row r="669">
          <cell r="E669" t="str">
            <v>b. 900X2100mm  without Brass fittings ( Single leaf)</v>
          </cell>
        </row>
        <row r="670">
          <cell r="E670" t="str">
            <v>TW double leaves shutter  with Brass Fittings</v>
          </cell>
        </row>
        <row r="671">
          <cell r="E671" t="str">
            <v>TW double leaves shutter of size  2000X2400mm.(Double leaves) with Brass fittings</v>
          </cell>
        </row>
        <row r="672">
          <cell r="E672" t="str">
            <v>TW panelled door double leaves shutter with brass fittings of size . 2000X2100mm. Thiruvarur AR  Garage</v>
          </cell>
        </row>
        <row r="673">
          <cell r="E673" t="str">
            <v>TW double leaves shutter of size  with brass fittingsa.1800 x 2100mm For PS</v>
          </cell>
        </row>
        <row r="674">
          <cell r="E674" t="str">
            <v>a. 1500X2400mm.(Double leaves) with Brass  Screws only ( DPO Ariyalur)</v>
          </cell>
        </row>
        <row r="675">
          <cell r="E675" t="str">
            <v>a. 1500X2100mm.(Double leaves) with Brass fittings</v>
          </cell>
        </row>
        <row r="676">
          <cell r="E676" t="str">
            <v>TW panelled door double leaves shutter with brass fittings of size . 1200X2100mm.( Crime &amp; Traffic)</v>
          </cell>
        </row>
        <row r="677">
          <cell r="E677" t="str">
            <v>TW paneled door shutter  size  2400 x 2400mm  with french window  (two end fixed 5.5mm thick glass and doble leaf shutter , Trichy Community hall )</v>
          </cell>
        </row>
        <row r="678">
          <cell r="E678" t="str">
            <v xml:space="preserve">TW styles &amp; rails with 9mm thick BWR single and Double  leaf shutters  with brass screws </v>
          </cell>
        </row>
        <row r="679">
          <cell r="E679" t="str">
            <v>TW styles &amp; rails with 9mm thick BWR single leaf shutters  with brass screws size of 1200 x 2100 mm</v>
          </cell>
        </row>
        <row r="680">
          <cell r="E680" t="str">
            <v>TW styles &amp; rails with 9mm thick BWR single leaf shutters  with brass screws size of 1000 x 2100 mm</v>
          </cell>
        </row>
        <row r="681">
          <cell r="E681" t="str">
            <v>TW styles &amp; rails with 9mm thick BWR single leaf shutters  with brass screws size of 900 x 2100 mm</v>
          </cell>
        </row>
        <row r="682">
          <cell r="E682" t="str">
            <v>TW styles &amp; rails with 9mm thick BWR single leaf shutters  with brass screws size of 750 x 2100 mm</v>
          </cell>
        </row>
        <row r="683">
          <cell r="E683" t="str">
            <v>TW styles &amp; rails with 9mm thick BWR Double leaves shutters  with brass screws size of 1500 x  2100 mm</v>
          </cell>
        </row>
        <row r="684">
          <cell r="E684" t="str">
            <v>Supply and Fixing Soild UPVC door Shutter with frame</v>
          </cell>
        </row>
        <row r="685">
          <cell r="E685" t="str">
            <v>4mm thick pin headed Glass panels with Aluminium beedings</v>
          </cell>
        </row>
        <row r="686">
          <cell r="E686" t="str">
            <v>Cuddappa slab 20 mm tk.for kitchen hearth slab.</v>
          </cell>
        </row>
        <row r="687">
          <cell r="E687" t="str">
            <v>a. In Ground floor Cuddappa slab 20 mm tk.for kitchen hearth slab.</v>
          </cell>
        </row>
        <row r="688">
          <cell r="E688" t="str">
            <v>b. In First floor Cuddappa slab 20 mm tk.for kitchen hearth slab.</v>
          </cell>
        </row>
        <row r="689">
          <cell r="E689" t="str">
            <v>c. In Second floor Cuddappa slab 20 mm tk.for kitchen hearth slab.</v>
          </cell>
        </row>
        <row r="690">
          <cell r="E690" t="str">
            <v>d. In Third floor Cuddappa slab 20 mm tk.for kitchen hearth slab.</v>
          </cell>
        </row>
        <row r="691">
          <cell r="E691" t="str">
            <v>e.  In Fourth floor Cuddappa slab 20 mm tk.for kitchen hearth slab.</v>
          </cell>
        </row>
        <row r="692">
          <cell r="E692" t="str">
            <v>Cuddappa slab 20 mm tk.for C/B  slab.</v>
          </cell>
        </row>
        <row r="693">
          <cell r="E693" t="str">
            <v>a. Ground floor Cuddappa slab 20 mm tk.for C/B  slab.</v>
          </cell>
        </row>
        <row r="694">
          <cell r="E694" t="str">
            <v>b. In First floor Cuddappa slab 20 mm tk.for C/B  slab.</v>
          </cell>
        </row>
        <row r="695">
          <cell r="E695" t="str">
            <v>c. In Second floor Cuddappa slab 20 mm tk.for C/B  slab.</v>
          </cell>
        </row>
        <row r="696">
          <cell r="E696" t="str">
            <v>d. In Third floor Cuddappa slab 20 mm tk.for C/B  slab.</v>
          </cell>
        </row>
        <row r="697">
          <cell r="E697" t="str">
            <v>e.  In Fourth floor Cuddappa slab 20 mm tk.for C/B  slab.</v>
          </cell>
        </row>
        <row r="698">
          <cell r="E698" t="str">
            <v>Cuddappa slab 40 mm tk.for C/B  slab.</v>
          </cell>
        </row>
        <row r="699">
          <cell r="E699" t="str">
            <v>a. In Ground floor Cuddappa slab 40 mm tk.for C/B  slab.</v>
          </cell>
        </row>
        <row r="700">
          <cell r="E700" t="str">
            <v>b. In First floor Cuddappa slab 40 mm tk.for C/B  slab.</v>
          </cell>
        </row>
        <row r="701">
          <cell r="E701" t="str">
            <v>c. In Second floor Cuddappa slab 40 mm tk.for C/B  slab.</v>
          </cell>
        </row>
        <row r="702">
          <cell r="E702" t="str">
            <v>d. In Third floor Cuddappa slab 40 mm tk.for C/B  slab.</v>
          </cell>
        </row>
        <row r="703">
          <cell r="E703" t="str">
            <v>e.  In Fourth floor Cuddappa slab 40 mm tk.for C/B  slab.</v>
          </cell>
        </row>
        <row r="704">
          <cell r="E704" t="str">
            <v>Cuddappa slab 40 mm tk.for Sunshade.</v>
          </cell>
        </row>
        <row r="705">
          <cell r="E705" t="str">
            <v>a. In Ground floor</v>
          </cell>
        </row>
        <row r="706">
          <cell r="E706" t="str">
            <v>b. In First floor</v>
          </cell>
        </row>
        <row r="707">
          <cell r="E707" t="str">
            <v>c. In Second floor</v>
          </cell>
        </row>
        <row r="708">
          <cell r="E708" t="str">
            <v>d. In Third floor</v>
          </cell>
        </row>
        <row r="709">
          <cell r="E709" t="str">
            <v>e.  In Fourth floor</v>
          </cell>
        </row>
        <row r="710">
          <cell r="E710" t="str">
            <v>Glazed tiles using Grout (Tile Joint Filler)</v>
          </cell>
        </row>
        <row r="711">
          <cell r="E711" t="str">
            <v>Floor ceramic tiles  using Grout (Tile Joint Filler).</v>
          </cell>
        </row>
        <row r="712">
          <cell r="E712" t="str">
            <v>Floor ceramic tiles (Anti-skid) using Grout (Tile Joint Filler).</v>
          </cell>
        </row>
        <row r="713">
          <cell r="E713" t="str">
            <v>Two coat of cement paint over one coat white cement</v>
          </cell>
        </row>
        <row r="714">
          <cell r="E714" t="str">
            <v>Matt paint</v>
          </cell>
        </row>
        <row r="715">
          <cell r="E715" t="str">
            <v>One coat white cement for new walls and other similar works.</v>
          </cell>
        </row>
        <row r="716">
          <cell r="E716" t="str">
            <v>Fabrication of Mild steel / RTS grills(with cement slurry wash) for all sizes of rods.</v>
          </cell>
        </row>
        <row r="717">
          <cell r="E717" t="str">
            <v>Fabrication of Mild steel / RTS grills (without cement slurry) for all sizes of rods.</v>
          </cell>
        </row>
        <row r="718">
          <cell r="E718" t="str">
            <v>PVC SWR 110 mm dia with ISI mark type- A for Rain water down fall pipe</v>
          </cell>
        </row>
        <row r="719">
          <cell r="E719" t="str">
            <v>Precast slab 50 mm tk.in C.C. 1:3:6 with fibre</v>
          </cell>
        </row>
        <row r="720">
          <cell r="E720" t="str">
            <v>20mm dia PVC water supply ASTM pipe (fully consealed in walls)</v>
          </cell>
        </row>
        <row r="721">
          <cell r="E721" t="str">
            <v xml:space="preserve">S&amp;F of C.I Manhole cover 60 x 60 cm (50kg weight ) </v>
          </cell>
        </row>
        <row r="722">
          <cell r="E722" t="str">
            <v>Wash Hand  Basin of size 550 x 400 mm</v>
          </cell>
        </row>
        <row r="723">
          <cell r="E723" t="str">
            <v>Supplying and fixing of Brass Chromium plated screw down tap 15mm dia (heavy type not less than 430 grms weight)  with ISI mark.</v>
          </cell>
        </row>
        <row r="724">
          <cell r="E724" t="str">
            <v xml:space="preserve">S &amp; F of Indian Water closet white glazed (Oriya type) of size 580 x 440mm  - in G.F.  </v>
          </cell>
        </row>
        <row r="725">
          <cell r="E725" t="str">
            <v xml:space="preserve">S &amp; F of Indian Water closet white glazed (Oriya type) of size 580 x 440mm  - Other than  G.F.  </v>
          </cell>
        </row>
        <row r="726">
          <cell r="E726" t="str">
            <v>PVC SWR pipe (Soil line) with ISI mark - type 'B'.</v>
          </cell>
        </row>
        <row r="727">
          <cell r="E727" t="str">
            <v>a. 110 mm dia. PVC SWR pipe (Soil line) with ISI mark - type 'B'.</v>
          </cell>
        </row>
        <row r="728">
          <cell r="E728" t="str">
            <v>b. 75 mm dia. PVC SWR pipe (Soil line) with ISI mark - type 'B'.</v>
          </cell>
        </row>
        <row r="729">
          <cell r="E729" t="str">
            <v>Supplying, Laying &amp; Concealing the 50mm dia PVC ( SWR) pipe with ISI mark type - 'B' with relevant specials.</v>
          </cell>
        </row>
        <row r="730">
          <cell r="E730" t="str">
            <v>PVC(SWR) pipe with ISI mark - type 'A' for Ventilating shaft with cowl</v>
          </cell>
        </row>
        <row r="731">
          <cell r="E731" t="str">
            <v>Wiring with 1.5 Sqm.m PVC insulated single core multi strand fire retardant flexible copper cable with ISI mark confirming IS: 694:1990.( Ordinary)</v>
          </cell>
        </row>
        <row r="732">
          <cell r="E732" t="str">
            <v>a. Light point with ceiling rose Wiring with 1.5 Sqm.m PVC insulated single core multi strand fire retardant flexible copper cable with ISI mark confirming IS: 694:1990.( Ordinary)</v>
          </cell>
        </row>
        <row r="733">
          <cell r="E733" t="str">
            <v>b. Light point without ceiling rose Wiring with 1.5 Sqm.m PVC insulated single core multi strand fire retardant flexible copper cable with ISI mark confirming IS: 694:1990.( Ordinary)</v>
          </cell>
        </row>
        <row r="734">
          <cell r="E734" t="str">
            <v>c. Calling bell point with Buzzer/Calling bell Wiring with 1.5 Sqm.m PVC insulated single core multi strand fire retardant flexible copper cable with ISI mark confirming IS: 694:1990.( Ordinary)</v>
          </cell>
        </row>
        <row r="735">
          <cell r="E735" t="str">
            <v>Wiring with 1.5 Sqm.m PVC insulated single core multi strand fire retardant flexible copper cable with ISI mark confirming IS: 694:1990 for Fan point.</v>
          </cell>
        </row>
        <row r="736">
          <cell r="E736" t="str">
            <v>Wiring with 1.5 Sqm.m PVC insulated single core multi strand fire retardant flexible copper cable with ISI mark confirming IS: 694:1990 for Staircase Light Point.</v>
          </cell>
        </row>
        <row r="737">
          <cell r="E737" t="str">
            <v>Wiring with 1.5 Sqm.m PVC insulated single core multi strand fire retardant flexible copper cable with ISI mark confirming IS: 694:1990 for 5 amps 5 pin plug socket point @ Switch Board Itself.</v>
          </cell>
        </row>
        <row r="738">
          <cell r="E738" t="str">
            <v>Wiring with 1.5 Sqm.m PVC insulated single core multi strand fire retardant flexible copper cable with ISI mark confirming IS: 694:1990 for 5 amps 5 pin plug socket point @ Convenient Places.</v>
          </cell>
        </row>
        <row r="739">
          <cell r="E739" t="str">
            <v>S &amp; F of Tube light fitting  (patty  type ) with Electronic ballast and 36 W slim tube light</v>
          </cell>
        </row>
        <row r="740">
          <cell r="E740" t="str">
            <v>Supply and delivery of  48" (1200 mm) Fan with ISI mark with Eletronic Dimmer</v>
          </cell>
        </row>
        <row r="741">
          <cell r="E741" t="str">
            <v>Run of 2 Wires of 4 Sqm.m PVC insulated single core multi strand fire retardant flexible copper cable with ISI mark confirming IS: 694:1990.</v>
          </cell>
        </row>
        <row r="742">
          <cell r="E742" t="str">
            <v>Run of 2 Wires of 1.5 Sqm.m PVC insulated single core multi strand fire retardant flexible copper cable with ISI mark confirming IS: 694:1990.</v>
          </cell>
        </row>
        <row r="743">
          <cell r="E743" t="str">
            <v>Run of 2 Wires of 2.5 Sqm.m PVC insulated single core multi strand fire retardant flexible copper cable with ISI mark confirming IS: 694:1990</v>
          </cell>
        </row>
        <row r="744">
          <cell r="E744" t="str">
            <v>Run of 2 wires of 4 Sqm.m</v>
          </cell>
        </row>
        <row r="745">
          <cell r="E745" t="str">
            <v>4 x 4  Sq mm copper PVC insulated unsheathed single core cable for 3 phase EB service connection</v>
          </cell>
        </row>
        <row r="746">
          <cell r="E746" t="str">
            <v xml:space="preserve">Run of 4 Wires of 6 Sqm.m PVC insulated single core multi strand </v>
          </cell>
        </row>
        <row r="747">
          <cell r="E747" t="str">
            <v xml:space="preserve">Run of 4 Wires of 10 Sqm.m PVC insulated single core multi strand </v>
          </cell>
        </row>
        <row r="748">
          <cell r="E748" t="str">
            <v>S &amp; F of Exsaust Fan 225mm dia</v>
          </cell>
        </row>
        <row r="749">
          <cell r="E749" t="str">
            <v>Compact Fluoresent Lamp (CFL)</v>
          </cell>
        </row>
        <row r="750">
          <cell r="E750" t="str">
            <v>a. 14W bulb for Bath &amp; WC</v>
          </cell>
        </row>
        <row r="751">
          <cell r="E751" t="str">
            <v>b. 18w bulb for Bulk Head fittings</v>
          </cell>
        </row>
        <row r="752">
          <cell r="E752" t="str">
            <v>S &amp; F of Bulk head fitting suitable for CFL</v>
          </cell>
        </row>
        <row r="753">
          <cell r="E753" t="str">
            <v>Rain water harvesting using defunct borewell and providing perforated cover slab</v>
          </cell>
        </row>
        <row r="754">
          <cell r="E754" t="str">
            <v>a). Providing pit Rain water harvesting using defunct borewell and providing perforated cover slab</v>
          </cell>
        </row>
        <row r="755">
          <cell r="E755" t="str">
            <v>b) Augering 30cm dia Rain water harvesting using defunct borewell and providing perforated cover slab</v>
          </cell>
        </row>
        <row r="756">
          <cell r="E756" t="str">
            <v>S&amp;F of M.S. Angle of size 35x35x5mm for staircase steps</v>
          </cell>
        </row>
        <row r="757">
          <cell r="E757" t="str">
            <v>S&amp;F of Bevelled edge mirror 500 x 400 x 5.5mm</v>
          </cell>
        </row>
        <row r="758">
          <cell r="E758" t="str">
            <v>S&amp;F of Cuddapah sink 600 x 600 x 200mm</v>
          </cell>
        </row>
        <row r="759">
          <cell r="E759" t="str">
            <v>Providing nosing to the edges of Granite slab</v>
          </cell>
        </row>
        <row r="760">
          <cell r="E760" t="str">
            <v>Supply and fixing of PVC water supply (ASTM)a.50mm dia</v>
          </cell>
        </row>
        <row r="761">
          <cell r="E761" t="str">
            <v>S&amp;F of PVC flushing cistern</v>
          </cell>
        </row>
        <row r="762">
          <cell r="E762" t="str">
            <v>S&amp;F of cloth drying arrangement</v>
          </cell>
        </row>
        <row r="763">
          <cell r="E763" t="str">
            <v>Anticorrosive treatment for window grills</v>
          </cell>
        </row>
        <row r="764">
          <cell r="E764" t="str">
            <v>Supplying and fixing of 32 AMPS Triple pole main switch</v>
          </cell>
        </row>
        <row r="765">
          <cell r="E765" t="str">
            <v>450 x 375 x 20 mm   thick TW plank</v>
          </cell>
        </row>
        <row r="766">
          <cell r="E766" t="str">
            <v>3 Nos.of 32Amps - Fuse Unit</v>
          </cell>
        </row>
        <row r="767">
          <cell r="E767" t="str">
            <v>1 Nos.of 32Amps - Fuse Unit</v>
          </cell>
        </row>
        <row r="768">
          <cell r="E768" t="str">
            <v>Supplying and delivery of Three phase ELCB/RCCB</v>
          </cell>
        </row>
        <row r="769">
          <cell r="E769" t="str">
            <v>Supply of G.I pipe 40mm dia 'B' Class</v>
          </cell>
        </row>
        <row r="770">
          <cell r="E770" t="str">
            <v>Plastic Emulsion PAINT including primer for outer walls</v>
          </cell>
        </row>
        <row r="771">
          <cell r="E771" t="str">
            <v xml:space="preserve">Two coat of OBD over Two coat white cement for inner walls </v>
          </cell>
        </row>
        <row r="772">
          <cell r="E772" t="str">
            <v>4 x 4  Sq mm copper PVC insulated unsheathed single core cable for 3 phase EB service connection</v>
          </cell>
        </row>
        <row r="773">
          <cell r="E773" t="str">
            <v>Supplying and fixing of Three phase ELCB</v>
          </cell>
        </row>
        <row r="774">
          <cell r="E774" t="str">
            <v xml:space="preserve">S&amp;F of stainless steel sink 600mm x 450mm x 200mm </v>
          </cell>
        </row>
        <row r="775">
          <cell r="E775" t="str">
            <v xml:space="preserve">Providing PVC Tee with end cap </v>
          </cell>
        </row>
        <row r="776">
          <cell r="E776" t="str">
            <v>Granite Tiles flooring (Ruby red)</v>
          </cell>
        </row>
        <row r="777">
          <cell r="E777" t="str">
            <v>Providing wooden Melamine polish for new wood work</v>
          </cell>
        </row>
        <row r="778">
          <cell r="E778" t="str">
            <v>Supplying and fixing of staineless steel hand rails</v>
          </cell>
        </row>
        <row r="779">
          <cell r="E779" t="str">
            <v>Vitrified Tiles flooring (ivory)</v>
          </cell>
        </row>
        <row r="780">
          <cell r="E780" t="str">
            <v>Vitrified Tiles flooring ( colour)</v>
          </cell>
        </row>
        <row r="781">
          <cell r="E781" t="str">
            <v>Antiskid Vitrified Flooring with 1st Quality homogeneous tiles</v>
          </cell>
        </row>
        <row r="782">
          <cell r="E782" t="str">
            <v>Providing rajasthan kota stone of 20mm thick in C.M 1:3</v>
          </cell>
        </row>
        <row r="783">
          <cell r="E783" t="str">
            <v>Concrete designer tiles flooring</v>
          </cell>
        </row>
        <row r="784">
          <cell r="E784" t="str">
            <v xml:space="preserve">Eurocon Tiles flooring </v>
          </cell>
        </row>
        <row r="785">
          <cell r="E785" t="str">
            <v>Supplying and fixing of Aluminium sliding window</v>
          </cell>
        </row>
        <row r="786">
          <cell r="E786" t="str">
            <v>a. 1.20x1.35m (Two track )</v>
          </cell>
        </row>
        <row r="787">
          <cell r="E787" t="str">
            <v>b. 2.40x1.80m (Two track)</v>
          </cell>
        </row>
        <row r="788">
          <cell r="E788" t="str">
            <v>c. 2.40x1.05m (Two track)</v>
          </cell>
        </row>
        <row r="789">
          <cell r="E789" t="str">
            <v>d. 0.90x1.35m (Two track)</v>
          </cell>
        </row>
        <row r="790">
          <cell r="E790" t="str">
            <v>supplying and fixing of colour matt finish floor tiles of size 12"x12" ( for officers)</v>
          </cell>
        </row>
        <row r="791">
          <cell r="E791" t="str">
            <v>supplying and fixing of colour matt finish floor tiles of size 12"x12" ( for wall tiles)</v>
          </cell>
        </row>
        <row r="792">
          <cell r="E792" t="str">
            <v>S &amp; F of wall panelling DPO ARIYALUR</v>
          </cell>
        </row>
        <row r="793">
          <cell r="E793" t="str">
            <v>Supply of material and lab ourfor Mineralfbre 600mmx600mm Grid false ceiling work</v>
          </cell>
        </row>
        <row r="794">
          <cell r="E794" t="str">
            <v>Supplying, fabricating, erecting and fixing  Gyp board false ceiling using perforated sheet 10mm thk</v>
          </cell>
        </row>
        <row r="795">
          <cell r="E795" t="str">
            <v>Supplying and fixing of 100mm dia GI pipe</v>
          </cell>
        </row>
        <row r="796">
          <cell r="E796" t="str">
            <v>Supplying and fixing of Geyser (Data -SD 103)</v>
          </cell>
        </row>
        <row r="797">
          <cell r="E797" t="str">
            <v>Supplying and fixing of  CP wall mixer two in one (without telephone shower) including cost of all materials and all labour charges etc complete.CER No.178/13-14</v>
          </cell>
        </row>
        <row r="798">
          <cell r="E798" t="str">
            <v>Supplying and fixing of shower arm 9" long including cost of all materials and all labour charges etc. complete  CER No.178/13-14</v>
          </cell>
        </row>
        <row r="799">
          <cell r="E799" t="str">
            <v>Supplying  and fixing of GM wheel valves ISI mark</v>
          </cell>
        </row>
        <row r="800">
          <cell r="E800" t="str">
            <v>a.100mm  GM Gate valves</v>
          </cell>
        </row>
        <row r="801">
          <cell r="E801" t="str">
            <v>b.50mm GM Gate valves</v>
          </cell>
        </row>
        <row r="802">
          <cell r="E802" t="str">
            <v>c.32mm GM Gate valves</v>
          </cell>
        </row>
        <row r="803">
          <cell r="E803" t="str">
            <v>Wiring with 1.5 Sqm.m PVC insulated single core multi strand fire retardant flexible copper cable with ISI mark confirming IS: 694:1990. (Modular)</v>
          </cell>
        </row>
        <row r="804">
          <cell r="E804" t="str">
            <v>a. Light point with ceiling rose</v>
          </cell>
        </row>
        <row r="805">
          <cell r="E805" t="str">
            <v>b. Light point without ceiling rose</v>
          </cell>
        </row>
        <row r="806">
          <cell r="E806" t="str">
            <v>Wiring with 1.5 Sqm.m PVC insulated single core multi strand fire retardant flexible copper cable with ISI mark confirming IS: 694:1990 for 5 amps 5 pin Modular plug socket point @ Convenient Places.</v>
          </cell>
        </row>
        <row r="807">
          <cell r="E807" t="str">
            <v>Wiring with 1.5 Sqm.m PVC insulated single core multi strand fire retardant flexible copper cable with ISI mark confirming IS: 694:1990 for 5 amps 5 pin Modular plug socket point @ Switch Board Itself.</v>
          </cell>
        </row>
        <row r="808">
          <cell r="E808" t="str">
            <v>Supplying and laying of 3.5 core 70 sq.mm PVC armoured LTUG cable (below GL)</v>
          </cell>
        </row>
        <row r="809">
          <cell r="E809" t="str">
            <v>S&amp;F 3.5 X 70mm LTUG CABLE Above GL</v>
          </cell>
        </row>
        <row r="810">
          <cell r="E810" t="str">
            <v>S&amp;F 3.5 X 35mm LTUG CABLE Above GL</v>
          </cell>
        </row>
        <row r="811">
          <cell r="E811" t="str">
            <v>S&amp;F 3.5 X 25mm LTUG CABLE Above GL</v>
          </cell>
        </row>
        <row r="812">
          <cell r="E812" t="str">
            <v>S&amp;F 2X6 Sq.mm LTUG CABLE</v>
          </cell>
        </row>
        <row r="813">
          <cell r="E813" t="str">
            <v>Supplying and fixing of brass cable gland suitable for 3.5 core 70 Sqm.m PVC armoured LTUG cable  SD 189</v>
          </cell>
        </row>
        <row r="814">
          <cell r="E814" t="str">
            <v>Supply and fixing of Aluminium openable window with 4mm thick Glass with 'I' max hinges of not less than 3mm thick, 304 grade</v>
          </cell>
        </row>
        <row r="815">
          <cell r="E815" t="str">
            <v>FW 1.80 x 1.65 m ( Eight Leaves)</v>
          </cell>
        </row>
        <row r="816">
          <cell r="E816" t="str">
            <v>1.80 x 1.35 mt.window (Three leaves)</v>
          </cell>
        </row>
        <row r="817">
          <cell r="E817" t="str">
            <v>KW 1.20 x 1.05 m (Two leaves)</v>
          </cell>
        </row>
        <row r="818">
          <cell r="E818" t="str">
            <v>1.50 x 1.35 mt.window  (three leaves)</v>
          </cell>
        </row>
        <row r="819">
          <cell r="E819" t="str">
            <v xml:space="preserve"> 0.75 x 1.35 mt.window  ( single leaf)</v>
          </cell>
        </row>
        <row r="820">
          <cell r="E820" t="str">
            <v xml:space="preserve">Aluminium window openable 1.35x1.35m (Two leaves)Cochin House </v>
          </cell>
        </row>
        <row r="821">
          <cell r="E821" t="str">
            <v>Aluminium window openable 1.35x1.05m (Two leaves)</v>
          </cell>
        </row>
        <row r="822">
          <cell r="E822" t="str">
            <v>Aluminium window openable 1.2x1.35m (Two leaves)</v>
          </cell>
        </row>
        <row r="823">
          <cell r="E823" t="str">
            <v>Aluminium window openable 1.80 x 1.65 m =2.97m2 FRENCH WINDOW (Reference Data Nagapattinam AR - Ph-xix</v>
          </cell>
        </row>
        <row r="824">
          <cell r="E824" t="str">
            <v>Supply and fixing of 100 amps TPN sheet double break switch with HRC fuse and neutral on suitable angle iron frame work with MS cable entry boxes and PWD earthing(SR-14-15(p-65)</v>
          </cell>
        </row>
        <row r="825">
          <cell r="E825" t="str">
            <v>Supply and fixing of 200 amps fuse unit SRP-66</v>
          </cell>
        </row>
        <row r="826">
          <cell r="E826" t="str">
            <v>Supply and fixing of 200 amps TPN switch with HRC fuses sheet steel double breakSRP-65, 3 ©</v>
          </cell>
        </row>
        <row r="827">
          <cell r="E827" t="str">
            <v>Supply and fixing of 250 amps cubical type panel board</v>
          </cell>
        </row>
        <row r="828">
          <cell r="E828" t="str">
            <v xml:space="preserve">Supplying and fixing of  SS Soap Tray  including cost of all materials and all labour charges etc complete </v>
          </cell>
        </row>
        <row r="829">
          <cell r="E829" t="str">
            <v xml:space="preserve">Supplying and fixing of CP Angle valve Stop cock  including cost of all materials and all labour charges etc complete </v>
          </cell>
        </row>
        <row r="830">
          <cell r="E830" t="str">
            <v>Supplying and fixing of 25x 3mm  Copper flat</v>
          </cell>
        </row>
        <row r="831">
          <cell r="E831" t="str">
            <v xml:space="preserve">Supply and fixing of Health faucet approved quality with ISI mark </v>
          </cell>
        </row>
        <row r="832">
          <cell r="E832" t="str">
            <v>S&amp;F TPN 12 way DB encloser (SR-p-80)</v>
          </cell>
        </row>
        <row r="833">
          <cell r="E833" t="str">
            <v>S&amp;F TPN 8 way DB encloser CER No.178/2013-14</v>
          </cell>
        </row>
        <row r="834">
          <cell r="E834" t="str">
            <v>S&amp;F TPN 6 way DB encloserCER No.178/2013-14</v>
          </cell>
        </row>
        <row r="835">
          <cell r="E835" t="str">
            <v>S&amp;F TPN 4 way DB encloserCER No.178/2013-14</v>
          </cell>
        </row>
        <row r="836">
          <cell r="E836" t="str">
            <v>Supply and fixing of spot light of approved make and company with ISI CFL bulb  CER No.178/13-14</v>
          </cell>
        </row>
        <row r="837">
          <cell r="E837" t="str">
            <v>S&amp;F OF UPVC  Windows ( Non  Schedule item )</v>
          </cell>
        </row>
        <row r="838">
          <cell r="E838" t="str">
            <v>a) FW 900 X 2100</v>
          </cell>
        </row>
        <row r="839">
          <cell r="E839" t="str">
            <v>b) W 1800 X 1650</v>
          </cell>
        </row>
        <row r="840">
          <cell r="E840" t="str">
            <v>c) W1 1500 X 1650</v>
          </cell>
        </row>
        <row r="841">
          <cell r="E841" t="str">
            <v>d) W0 2400 X 1650</v>
          </cell>
        </row>
        <row r="842">
          <cell r="E842" t="str">
            <v>e) W2 1200 X 1650</v>
          </cell>
        </row>
        <row r="843">
          <cell r="E843">
            <v>0</v>
          </cell>
        </row>
        <row r="844">
          <cell r="E844" t="str">
            <v>g) FW1 4800 X 2300</v>
          </cell>
        </row>
        <row r="845">
          <cell r="E845" t="str">
            <v>h) FW2 4200 X 2300</v>
          </cell>
        </row>
        <row r="846">
          <cell r="E846" t="str">
            <v>S &amp; F of sodium vapour lamp with fitting 250watts</v>
          </cell>
        </row>
        <row r="847">
          <cell r="E847" t="str">
            <v xml:space="preserve">Supplying and fixing in position of UPVC Ventilator louvered ventilator  type for all sizes </v>
          </cell>
        </row>
        <row r="848">
          <cell r="E848" t="str">
            <v>Supplying and fixing in position of UPVC window of casement type( open) for all sizes Revised SR 2018-19 p-57 it-191</v>
          </cell>
        </row>
        <row r="849">
          <cell r="E849" t="str">
            <v>Supply and fixing of colour wash basin oval shape CER No.178/2013-14</v>
          </cell>
        </row>
        <row r="850">
          <cell r="E850" t="str">
            <v>Supplying and Fixing of Rolling shutters of all sizes (Gear Operated)(  from 8m2  to 12m2 )Annex-Vi-P-45   SR 18-19 item -102-A-b</v>
          </cell>
        </row>
        <row r="851">
          <cell r="E851" t="str">
            <v>Supplying and fixing of solid core flush door shutter of thickness 35mm</v>
          </cell>
        </row>
        <row r="852">
          <cell r="E852" t="str">
            <v>a) door size 1.80 m x 2.40 (Double leaf)</v>
          </cell>
        </row>
        <row r="853">
          <cell r="E853" t="str">
            <v>b) door size 1.80 m x 2.10 (Double leaf)</v>
          </cell>
        </row>
        <row r="854">
          <cell r="E854" t="str">
            <v>c) door size 1.50 m x 2.40 (Double leaf)</v>
          </cell>
        </row>
        <row r="855">
          <cell r="E855" t="str">
            <v>d).  door size 1.50 m x 2.100 (Double leaf)</v>
          </cell>
        </row>
        <row r="856">
          <cell r="E856" t="str">
            <v>e). door size 1.200 m x 2.400 (double Leaf)</v>
          </cell>
        </row>
        <row r="857">
          <cell r="E857" t="str">
            <v>f). door size 1.200m x 2.100 (Double leaf)</v>
          </cell>
        </row>
        <row r="858">
          <cell r="E858" t="str">
            <v>g).  door size 1.000 m x 2.100 (Single Leaf)</v>
          </cell>
        </row>
        <row r="859">
          <cell r="E859" t="str">
            <v>h).  door size 1.00 m x 2.400 (Single Leaf)</v>
          </cell>
        </row>
        <row r="860">
          <cell r="E860" t="str">
            <v>i.  door size 0.900 m x 2.100 (Single Leaf)</v>
          </cell>
        </row>
        <row r="861">
          <cell r="E861" t="str">
            <v>Providing  Double stage centering .</v>
          </cell>
        </row>
        <row r="862">
          <cell r="E862" t="str">
            <v>S &amp; F of Granite tile of size 2'x 1', 10mm Thick For kitchen arrangements (jet black)</v>
          </cell>
        </row>
        <row r="863">
          <cell r="E863" t="str">
            <v>a. In Ground floor</v>
          </cell>
        </row>
        <row r="864">
          <cell r="E864" t="str">
            <v>b. In First floor</v>
          </cell>
        </row>
        <row r="865">
          <cell r="E865" t="str">
            <v>c. In Second floor</v>
          </cell>
        </row>
        <row r="866">
          <cell r="E866" t="str">
            <v>c. In Third floor</v>
          </cell>
        </row>
        <row r="867">
          <cell r="E867" t="str">
            <v>S &amp; F of Granite slab of size 4'x2', 18 to 20mm Thick For kitchen arrangements (jet black)</v>
          </cell>
        </row>
        <row r="868">
          <cell r="E868" t="str">
            <v>a. In Ground floor</v>
          </cell>
        </row>
        <row r="869">
          <cell r="E869" t="str">
            <v>b. In First floor</v>
          </cell>
        </row>
        <row r="870">
          <cell r="E870" t="str">
            <v>c. In Second floor</v>
          </cell>
        </row>
        <row r="871">
          <cell r="E871" t="str">
            <v>d. In Third floor</v>
          </cell>
        </row>
        <row r="872">
          <cell r="E872" t="str">
            <v>Aluminum Louvered ventilators</v>
          </cell>
        </row>
        <row r="873">
          <cell r="E873" t="str">
            <v>a. 1.35 x 0.60 mt ventilators</v>
          </cell>
        </row>
        <row r="874">
          <cell r="E874" t="str">
            <v>d. 1.0 x 0.60 mt ventilators</v>
          </cell>
        </row>
        <row r="875">
          <cell r="E875" t="str">
            <v>a. 0.90 x 0.60 mt ventilators</v>
          </cell>
        </row>
        <row r="876">
          <cell r="E876" t="str">
            <v>c. 0.75 x 0.60 mt ventilators</v>
          </cell>
        </row>
        <row r="877">
          <cell r="E877" t="str">
            <v>b. 0.60 x 0.60 mt ventilators</v>
          </cell>
        </row>
        <row r="878">
          <cell r="E878" t="str">
            <v>Supply &amp; Fixing of MS door  (for lockup door )</v>
          </cell>
        </row>
        <row r="879">
          <cell r="E879" t="str">
            <v>MS door of Size 1000 x 2100mm</v>
          </cell>
        </row>
        <row r="880">
          <cell r="E880" t="str">
            <v>MS door of Size 750 x 1350mm</v>
          </cell>
        </row>
        <row r="881">
          <cell r="E881" t="str">
            <v>Supply &amp; Fixing of MS ventilator of size ( lockup)</v>
          </cell>
        </row>
        <row r="882">
          <cell r="E882" t="str">
            <v>MS Ventilator of Size 1350 x 600mm</v>
          </cell>
        </row>
        <row r="883">
          <cell r="E883" t="str">
            <v xml:space="preserve"> MS ventilator of size  1200 x 800 mm</v>
          </cell>
        </row>
        <row r="884">
          <cell r="E884" t="str">
            <v xml:space="preserve"> MS ventilator of size  1200 x 600 mm</v>
          </cell>
        </row>
        <row r="885">
          <cell r="E885" t="str">
            <v xml:space="preserve"> MS ventilator of size  1000 x 800 mm</v>
          </cell>
        </row>
        <row r="886">
          <cell r="E886" t="str">
            <v>MS Ventilator of Size 900 x 600mm</v>
          </cell>
        </row>
        <row r="887">
          <cell r="E887" t="str">
            <v>MS Ventilator of Size 600 x 600mm</v>
          </cell>
        </row>
        <row r="888">
          <cell r="E888" t="str">
            <v>MS Ventilator of Size 1285 x 600mm</v>
          </cell>
        </row>
        <row r="889">
          <cell r="E889" t="str">
            <v>Supply and fixing of 19mm dia steam pipe for down rod of fan (SD 106)</v>
          </cell>
        </row>
        <row r="890">
          <cell r="E890" t="str">
            <v>Supply and fixing of  SS Towel rail (75cm length) CER No.178/13-14</v>
          </cell>
        </row>
        <row r="891">
          <cell r="E891" t="str">
            <v>Supply and fixing of weld mesh of size 7.5x2.5cmx10gauge</v>
          </cell>
        </row>
        <row r="892">
          <cell r="E892" t="str">
            <v>Supply and fixing of Chicken mesh</v>
          </cell>
        </row>
        <row r="893">
          <cell r="E893" t="str">
            <v>S &amp; F of 15mm dia Engineering Polymer Tap (long body ) for coastal area only</v>
          </cell>
        </row>
        <row r="894">
          <cell r="E894" t="str">
            <v>S &amp; F of 15mm dia Engineering Polymer Tap  short body tap for coastal area only</v>
          </cell>
        </row>
        <row r="895">
          <cell r="E895" t="str">
            <v xml:space="preserve">S &amp; F of CFL road way lighting luminaries suitable for fixing 36w CFL lamp </v>
          </cell>
        </row>
        <row r="896">
          <cell r="E896" t="str">
            <v>Augering  30 cm dia for compound wall</v>
          </cell>
        </row>
        <row r="897">
          <cell r="E897" t="str">
            <v>Finshing the top of Terrace floor with one course of solar reflective Ceramic tiles without base concrete</v>
          </cell>
        </row>
        <row r="898">
          <cell r="E898" t="str">
            <v>HDPE water tank 200 lit capacity with ISI mark</v>
          </cell>
        </row>
        <row r="899">
          <cell r="E899" t="str">
            <v>UPVC Non Pressure  pipe of SN8 SDR 34( S 16.5) as per IS 15328/2003</v>
          </cell>
        </row>
        <row r="900">
          <cell r="E900" t="str">
            <v>a. 110 mm UPVC Non Pressure  pipe</v>
          </cell>
        </row>
        <row r="901">
          <cell r="E901" t="str">
            <v>b. 160 mm UPVC Non Pressure  pipe</v>
          </cell>
        </row>
        <row r="902">
          <cell r="E902" t="str">
            <v>PVC Specials  as per IS 10124/1982 Part II</v>
          </cell>
        </row>
        <row r="903">
          <cell r="E903" t="str">
            <v>a. 110 mm dia PVC bend (TWAD SR 20-21  P-22 S.No-4 )</v>
          </cell>
        </row>
        <row r="904">
          <cell r="E904" t="str">
            <v>b. 160 mm dia PVC bend (TWAD SR 20-21  P-22 S.No-4 )</v>
          </cell>
        </row>
        <row r="905">
          <cell r="E905" t="str">
            <v xml:space="preserve">PVC Equal Tee  as per  BIS 7834/1975 </v>
          </cell>
        </row>
        <row r="906">
          <cell r="E906" t="str">
            <v>a. 110 mm dia PVC Equal tee(TWAD SR 20-21  P-22 S.No-4 )</v>
          </cell>
        </row>
        <row r="907">
          <cell r="E907" t="str">
            <v>b. 160 mm dia PVC Equal tee(TWAD SR 20-21  P-22 S.No-4 )</v>
          </cell>
        </row>
        <row r="908">
          <cell r="E908" t="str">
            <v xml:space="preserve">S &amp; F of Indian Water closet white glazed (Oriya type) of size 580 x 440mm with PVC SWR grade ' P' or "S' trap   - in G.F.  </v>
          </cell>
        </row>
        <row r="909">
          <cell r="E909" t="str">
            <v xml:space="preserve">S &amp; F of Indian Water closet white glazed (Oriya type) of size 580 x 440mm  with PVC SWR grade ' P' or "S' trap- Other than  G.F.  </v>
          </cell>
        </row>
        <row r="910">
          <cell r="E910" t="str">
            <v xml:space="preserve">S &amp; F of E.W.C.(White) 500 mm with PVC SWR grade "P" or "S" TRAP </v>
          </cell>
        </row>
        <row r="911">
          <cell r="E911" t="str">
            <v xml:space="preserve">S &amp; F of E.W.C.( Colour) 500 mm with PVC SWR grade "P" or "S" TRAP </v>
          </cell>
        </row>
        <row r="912">
          <cell r="E912" t="str">
            <v>French window  ( SP Perambalur)</v>
          </cell>
        </row>
        <row r="913">
          <cell r="E913" t="str">
            <v xml:space="preserve">a. FW  (2.1 x 2.0 m ) 3 bay openable </v>
          </cell>
        </row>
        <row r="914">
          <cell r="E914" t="str">
            <v xml:space="preserve">b.FW 1 (1.80 x 2.0 m )3 bay openable </v>
          </cell>
        </row>
        <row r="915">
          <cell r="E915" t="str">
            <v xml:space="preserve">c. FW 2  (1.20 x 2.0 m ) 2 bay openable </v>
          </cell>
        </row>
        <row r="916">
          <cell r="E916" t="str">
            <v xml:space="preserve">d.FW 3 (0.75 x 2.0 m ) Single  bay openable </v>
          </cell>
        </row>
        <row r="917">
          <cell r="E917" t="str">
            <v>e. FD/ FW  (0.57 x 2.0 m )Single  bay openable</v>
          </cell>
        </row>
        <row r="918">
          <cell r="E918" t="str">
            <v xml:space="preserve">f. 1.50 x 2.00 mt.window  sankar nagar DSP </v>
          </cell>
        </row>
        <row r="919">
          <cell r="E919" t="str">
            <v xml:space="preserve">TW Double leaf glazed window shutter of size 1250X2000 MM </v>
          </cell>
        </row>
        <row r="920">
          <cell r="E920" t="str">
            <v>Wiring with 1.5 Sqm.m PVC insulated single core multi strand fire retardant flexible copper cable with ISI mark confirming IS: 694:1990.( PVC Box , Fire Retarded Box) For Coastal only</v>
          </cell>
        </row>
        <row r="921">
          <cell r="E921" t="str">
            <v>a. Light point with ceiling rose</v>
          </cell>
        </row>
        <row r="922">
          <cell r="E922" t="str">
            <v>b. Light point without ceiling rose</v>
          </cell>
        </row>
        <row r="923">
          <cell r="E923" t="str">
            <v>c. Calling bell point with Buzzer/Calling bell</v>
          </cell>
        </row>
        <row r="924">
          <cell r="E924" t="str">
            <v>Wiring with 1.5 Sqm.m PVC insulated single core multi strand fire retardant flexible copper cable with ISI mark confirming IS: 694:1990 for Fan point.(PVC Electrical Box )</v>
          </cell>
        </row>
        <row r="925">
          <cell r="E925" t="str">
            <v>Wiring with 1.5 Sqm.m PVC insulated single core multi strand fire retardant flexible copper cable with ISI mark confirming IS: 694:1990 for Staircase Light Point.(PVC Electrical Box )</v>
          </cell>
        </row>
        <row r="926">
          <cell r="E926" t="str">
            <v>Wiring with 1.5 Sqm.m PVC insulated single core multi strand fire retardant flexible copper cable with ISI mark confirming IS: 694:1990 for 5 amps 5 pin plug socket point @ Switch Board Itself.</v>
          </cell>
        </row>
        <row r="927">
          <cell r="E927" t="str">
            <v>Wiring with 1.5 Sqm.m PVC insulated single core multi strand fire retardant flexible copper cable with ISI mark confirming IS: 694:1990 for 5 amps 5 pin plug socket point @ Convenient Places.(PVC Electrical Box )</v>
          </cell>
        </row>
        <row r="928">
          <cell r="E928" t="str">
            <v>Supplying and fixing of 15 Amps 3 pin flush type plug using ( PVC Box , Fire Retarded Box)</v>
          </cell>
        </row>
        <row r="929">
          <cell r="E929" t="str">
            <v>Fabrication of Mild steel / RTS grills (without cement slurry) for all sizes of rods.(BINDING WIRE insulated with PVC)</v>
          </cell>
        </row>
        <row r="930">
          <cell r="E930" t="str">
            <v>PVC SWR 110 mm dia with ISI mark type- A for Rain water down fall pipe(UPVC SPECIAL CLAMP )</v>
          </cell>
        </row>
        <row r="931">
          <cell r="E931" t="str">
            <v>Supply and fixing in posistion of 6 rows of 10 guage GI barbed wire 20 guage</v>
          </cell>
        </row>
        <row r="932">
          <cell r="E932" t="str">
            <v xml:space="preserve">Supply ,laying &amp; jointing the following pipes as per ASTM D 1785 of schedule 40 with  UPVC Specials </v>
          </cell>
        </row>
        <row r="933">
          <cell r="E933" t="str">
            <v xml:space="preserve">a. 32 mm dia  Supply ,laying &amp; jointing the following pipes as per ASTM D 1785 of schedule 40 with  UPVC Specials </v>
          </cell>
        </row>
        <row r="934">
          <cell r="E934" t="str">
            <v xml:space="preserve">b. 25 mm dia  Supply ,laying &amp; jointing the following pipes as per ASTM D 1785 of schedule 40 with  UPVC Specials </v>
          </cell>
        </row>
        <row r="935">
          <cell r="E935" t="str">
            <v>c. 20mm dia PVC water supply ASTM pipe (fully consealed in walls)</v>
          </cell>
        </row>
        <row r="936">
          <cell r="E936" t="str">
            <v>Providing Colour Marble chips of size 10mm and below using 70.20Kgs of cement and 15 Cum. of Colour Marble chips for every 10 Sqm. over the existing plastered surface  ( For coastal area)</v>
          </cell>
        </row>
        <row r="937">
          <cell r="E937" t="str">
            <v>S &amp; F of 15mm dia half turn CP long body tap</v>
          </cell>
        </row>
        <row r="938">
          <cell r="E938" t="str">
            <v>S &amp; F of 15mm dia half turn CP short body tap</v>
          </cell>
        </row>
        <row r="939">
          <cell r="E939" t="str">
            <v xml:space="preserve">S &amp; F of MS angle of size 50x 50x 5mm </v>
          </cell>
        </row>
        <row r="940">
          <cell r="E940" t="str">
            <v>Granite Tiles flooring in cm1:3,20mm thk sathali steel/ grey</v>
          </cell>
        </row>
        <row r="941">
          <cell r="E941" t="str">
            <v>Granite Tiles flooring in cm1:3,20mm thk  Ruby Red</v>
          </cell>
        </row>
        <row r="944">
          <cell r="E944" t="str">
            <v>Bored cast sit piles installation of vertical cast in Situ Bored piles of following dia using Standardised concrete  mix M30 Grade) as per nagapattinam data For Coastal area</v>
          </cell>
        </row>
        <row r="945">
          <cell r="E945" t="str">
            <v>a.500mm dia pile</v>
          </cell>
        </row>
        <row r="946">
          <cell r="E946" t="str">
            <v>b.450mm dia pile</v>
          </cell>
        </row>
        <row r="947">
          <cell r="E947" t="str">
            <v>c.400mm dia pile</v>
          </cell>
        </row>
        <row r="948">
          <cell r="E948" t="str">
            <v>Removing of clay from pile inlucing  conveyance charges, loading and unloading charges etc.,all complete</v>
          </cell>
        </row>
        <row r="949">
          <cell r="E949" t="str">
            <v>Chipping of RCC pile head of 500mm Dia of pile to the required cut off level and clearing away the debris from site with an average lead of 5 km  etc.</v>
          </cell>
        </row>
        <row r="950">
          <cell r="E950" t="str">
            <v>a.500mm dia pile</v>
          </cell>
        </row>
        <row r="951">
          <cell r="E951" t="str">
            <v>b.450mm dia pile</v>
          </cell>
        </row>
        <row r="952">
          <cell r="E952" t="str">
            <v>c.400mm dia pile</v>
          </cell>
        </row>
        <row r="953">
          <cell r="E953" t="str">
            <v>Mobilization Charges inclusive of Transportation to site assembling and Dismantling the rotary pile equipment employed for the works etc.(Qtn)</v>
          </cell>
        </row>
        <row r="954">
          <cell r="E954" t="str">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ell>
        </row>
        <row r="955">
          <cell r="E955" t="str">
            <v>False ceiling with plain gybsum board (as per PWD SR. rate 2017-18, Anx- VI -It- 154 -a)</v>
          </cell>
        </row>
        <row r="956">
          <cell r="E956" t="str">
            <v>Wiring with 1.5 Sqm.m PVC insulated single core multi strand fire retardant flexible copper cable with ISI mark confirming IS: 694:1990. (Open wiring)</v>
          </cell>
        </row>
        <row r="957">
          <cell r="E957" t="str">
            <v>a. Light point with ceiling rose Wiring with 1.5 Sqm.m PVC insulated single core multi strand fire retardant flexible copper cable with ISI mark confirming IS: 694:1990. (Open wiring)</v>
          </cell>
        </row>
        <row r="958">
          <cell r="E958" t="str">
            <v>b. Light point without ceiling rose Wiring with 1.5 Sqm.m PVC insulated single core multi strand fire retardant flexible copper cable with ISI mark confirming IS: 694:1990. (Open wiring)</v>
          </cell>
        </row>
        <row r="959">
          <cell r="E959" t="str">
            <v>Wiring with 1.5 Sqm.m PVC insulated single core multi strand fire retardant flexible copper cable with ISI mark confirming IS: 694:1990 for 5 amps 5 pin  plug socket point @ Convenient Places.(Open wiring)</v>
          </cell>
        </row>
        <row r="960">
          <cell r="E960" t="str">
            <v>Wiring with 1.5 Sqm.m PVC insulated single core multi strand fire retardant flexible copper cable with ISI mark confirming IS: 694:1990 for 5 amps 5 pin  plug socket point @ Switch Board Itself.(Open wiring)</v>
          </cell>
        </row>
        <row r="961">
          <cell r="E961" t="str">
            <v>Wiring with 1.5 Sqm.m PVC insulated single core multi strand fire retardant flexible copper cable with ISI mark confirming IS: 694:1990 for Fan point .(Open wiring)</v>
          </cell>
        </row>
        <row r="962">
          <cell r="E962" t="str">
            <v>Aluminium Partition wall 1/3 5.5mm thick glass &amp; 2/3 Novapan sheet 12mm thick outer top and bottom</v>
          </cell>
        </row>
        <row r="963">
          <cell r="E963" t="str">
            <v>Supply and fixing of colour matt finish door 15 microns double leaf door ( 1500 x 2100 mm)</v>
          </cell>
        </row>
        <row r="964">
          <cell r="E964" t="str">
            <v>Supply and fixing of colour matt finish door 15 microns double leaf door ( 1000 x 2100 mm)</v>
          </cell>
        </row>
        <row r="965">
          <cell r="E965" t="str">
            <v>supplying and fixing of colour matt finish floor tiles of size 12"x12" floor tiles</v>
          </cell>
        </row>
        <row r="966">
          <cell r="E966" t="str">
            <v>supplying and fixing of colour matt finish floor tiles of size 12"x18" for wall tiles</v>
          </cell>
        </row>
        <row r="967">
          <cell r="E967" t="str">
            <v>Supply and fixing of 20 Amps DP plug and socket in sheet enclosure with 32 A DP MCB  in Flush with wall with earth connection ( For AC Plug ) Legrand ( MDS) / Hager( L&amp; T) Equivalent/ Superior variety  Ele SD -140 /2018-19</v>
          </cell>
        </row>
        <row r="968">
          <cell r="E968" t="str">
            <v>Supplying nd laying of 1000 x 1000 x 300mm size ms 16 swg powder coated cable terminal box with two compartment with necessary bus bar connected with TNEB etc.,</v>
          </cell>
        </row>
        <row r="969">
          <cell r="E969" t="str">
            <v>Supplying and fixing of 200 Amps metal clad switch with rewirable fuse units, (Revised PWD SR 18-19Pg.no.80 it-J Part c)</v>
          </cell>
        </row>
        <row r="970">
          <cell r="E970" t="str">
            <v>Supply and Laying Rubber Moulded Hyraulic Pressed Paver Block 83 mm thick including labour charges for laying etc ( as per DB/1469/2018)</v>
          </cell>
        </row>
        <row r="971">
          <cell r="E971" t="str">
            <v>Supplying and fixing of 250 Watts Metal halide Flood light etc.,</v>
          </cell>
        </row>
        <row r="972">
          <cell r="E972" t="str">
            <v>R.C.C.Door frames of size 100 x 75mm with one edge grooves size 't' x 20 mm  ( with out  M20 or M30 grade old  data )</v>
          </cell>
        </row>
        <row r="973">
          <cell r="E973" t="str">
            <v>a. 900 x 2100 mm R.C.C.Door frames of size 100 x 75mm with one edge grooves size 't' x 20 mm  ( with out  M20 or M30 grade old  data )</v>
          </cell>
        </row>
        <row r="974">
          <cell r="E974" t="str">
            <v>c. 1200 x 2100 mm R.C.C.Door frames of size 100 x 75mm with one edge grooves size 't' x 20 mm  ( with out  M20 or M30 grade old  data )</v>
          </cell>
        </row>
        <row r="975">
          <cell r="E975" t="str">
            <v>d. 750 x 2100 mm R.C.C.Door frames of size 100 x 75mm with one edge grooves size 't' x 20 mm  ( with out  M20 or M30 grade old  data )</v>
          </cell>
        </row>
        <row r="976">
          <cell r="E976" t="str">
            <v>c. 1000 x 2100 mm R.C.C.Door frames of size 100 x 75mm with one edge grooves size 't' x 20 mm  ( with out  M20 or M30 grade old  data )</v>
          </cell>
        </row>
        <row r="977">
          <cell r="E977" t="str">
            <v>9 watts  LED bulb  qtn</v>
          </cell>
        </row>
        <row r="978">
          <cell r="E978" t="str">
            <v>Supply and fixing of 25" LED Street light</v>
          </cell>
        </row>
        <row r="979">
          <cell r="E979" t="str">
            <v>18 watts  LED  Tube Light</v>
          </cell>
        </row>
        <row r="980">
          <cell r="E980" t="str">
            <v xml:space="preserve"> Bulk Head fitting for  LED Bulb</v>
          </cell>
        </row>
        <row r="981">
          <cell r="E981" t="str">
            <v xml:space="preserve">S &amp; F 12 watts LED bulb for bulk head </v>
          </cell>
        </row>
        <row r="982">
          <cell r="E982" t="str">
            <v>ABS /PVC door framed shutter (Plain pre-laminated door)</v>
          </cell>
        </row>
        <row r="983">
          <cell r="E983" t="str">
            <v>ABS inner doors  (Design pre-laminated door)</v>
          </cell>
        </row>
        <row r="984">
          <cell r="E984" t="str">
            <v>Providing of Granular Sub Base using Grade-I</v>
          </cell>
        </row>
        <row r="985">
          <cell r="E985" t="str">
            <v>Providing and laying, spreading and compacting graded stone aggregate to Wet Mix Macadam (WMM)</v>
          </cell>
        </row>
        <row r="986">
          <cell r="E986" t="str">
            <v>Supply and fixing of Prepainting G.I. Window/ Ventilator  with Grill( PWDSR-18-19)P-56 it-190</v>
          </cell>
        </row>
        <row r="987">
          <cell r="E987" t="str">
            <v>Wallputty ( one coat)</v>
          </cell>
        </row>
        <row r="988">
          <cell r="E988" t="str">
            <v xml:space="preserve">Supply and delivery of Electric Monoset centrifugal pump conforming to IS  9079:2002 as amended from  time to time, with CI FG 200 Casing ,(lpm 200x 35 )  3 HP </v>
          </cell>
        </row>
        <row r="989">
          <cell r="E989" t="str">
            <v xml:space="preserve">Supply and delivery of direct online starter confirming to IS13947 and IEC 947 suitable KW rating for operation in AC/single Phase/50HZ(± 5%) and 415 V(±10%) </v>
          </cell>
        </row>
        <row r="990">
          <cell r="E990" t="str">
            <v>Labour Charges for erection of Horizontal shaft,centrifugalpumpset(Coupled/Monoblock) in bore well/Open well including fixing of suction pipe and foot valve</v>
          </cell>
        </row>
        <row r="991">
          <cell r="E991" t="str">
            <v>Supplying and delivery of following Dia PVC Pipes</v>
          </cell>
        </row>
        <row r="992">
          <cell r="E992" t="str">
            <v>a) 50mm PVC 10 Kg/Cm² pipe</v>
          </cell>
        </row>
        <row r="993">
          <cell r="E993" t="str">
            <v>b) 40mm PVC 10 Kg/Cm² pipe</v>
          </cell>
        </row>
        <row r="994">
          <cell r="E994" t="str">
            <v>Supplying and delivery of following Dia GI Pipes</v>
          </cell>
        </row>
        <row r="995">
          <cell r="E995" t="str">
            <v>a) 65 mm dia G.I pipe ( B class )</v>
          </cell>
        </row>
        <row r="996">
          <cell r="E996" t="str">
            <v>b) 50mm dia G.I pipe ( B class )</v>
          </cell>
        </row>
        <row r="997">
          <cell r="E997" t="str">
            <v xml:space="preserve">a) 50 mm dia  GI pipe (Above Ground Level)    </v>
          </cell>
        </row>
        <row r="998">
          <cell r="E998" t="str">
            <v xml:space="preserve">b)50 mm dia  GI pipe (Below Ground Level) </v>
          </cell>
        </row>
        <row r="999">
          <cell r="E999" t="str">
            <v>Labour charges for following dia of PVC pipes (Below Ground level)</v>
          </cell>
        </row>
        <row r="1000">
          <cell r="E1000" t="str">
            <v>a) 50mm PVC 10 Kg/Cm² pipe</v>
          </cell>
        </row>
        <row r="1001">
          <cell r="E1001" t="str">
            <v>b) 40 mm pvc  pipe</v>
          </cell>
        </row>
        <row r="1002">
          <cell r="E1002" t="str">
            <v>Labour charges for following dia of GI pipes (Below Ground level)</v>
          </cell>
        </row>
        <row r="1003">
          <cell r="E1003" t="str">
            <v>a) 65mm dia G.I pipe</v>
          </cell>
        </row>
        <row r="1004">
          <cell r="E1004" t="str">
            <v>b) 50mm dia  G.I pipe</v>
          </cell>
        </row>
        <row r="1005">
          <cell r="E1005" t="str">
            <v>Supply and delivery of following dia of PVC specials</v>
          </cell>
        </row>
        <row r="1006">
          <cell r="E1006" t="str">
            <v xml:space="preserve">a) 50mm dia PVC Coupling </v>
          </cell>
        </row>
        <row r="1007">
          <cell r="E1007" t="str">
            <v xml:space="preserve">b) 50mm dia PVC Elbow </v>
          </cell>
        </row>
        <row r="1008">
          <cell r="E1008" t="str">
            <v xml:space="preserve">c) 50mm dia PVC Tee </v>
          </cell>
        </row>
        <row r="1009">
          <cell r="E1009" t="str">
            <v>d) 40 x 32 mm dia PVC Reducer</v>
          </cell>
        </row>
        <row r="1010">
          <cell r="E1010" t="str">
            <v>e) 50 mm pvc  union</v>
          </cell>
        </row>
        <row r="1011">
          <cell r="E1011" t="str">
            <v>f) 40 mm  Tee</v>
          </cell>
        </row>
        <row r="1012">
          <cell r="E1012" t="str">
            <v>g) 40 mm Elbow</v>
          </cell>
        </row>
        <row r="1013">
          <cell r="E1013" t="str">
            <v>h) 40 mm union</v>
          </cell>
        </row>
        <row r="1014">
          <cell r="E1014" t="str">
            <v>Supplying and delivery of following dia of G.I specials</v>
          </cell>
        </row>
        <row r="1015">
          <cell r="E1015" t="str">
            <v>a) 50mm dia G.I Bend</v>
          </cell>
        </row>
        <row r="1016">
          <cell r="E1016" t="str">
            <v>b) 50mm dia G.I Union</v>
          </cell>
        </row>
        <row r="1017">
          <cell r="E1017" t="str">
            <v>c) 50mm dia G.I Hex Nipple</v>
          </cell>
        </row>
        <row r="1018">
          <cell r="E1018" t="str">
            <v>d) 63mm dia  Foot Valve</v>
          </cell>
        </row>
        <row r="1019">
          <cell r="E1019" t="str">
            <v>e) 50mm  dia G.I Tee</v>
          </cell>
        </row>
        <row r="1020">
          <cell r="E1020" t="str">
            <v>f) 50mm dia GM Non-Return valve</v>
          </cell>
        </row>
        <row r="1021">
          <cell r="E1021" t="str">
            <v>g) 32mm dia  G.I Union</v>
          </cell>
        </row>
        <row r="1022">
          <cell r="E1022" t="str">
            <v>h) 32mm dia  G.I Hex Nipple</v>
          </cell>
        </row>
        <row r="1023">
          <cell r="E1023" t="str">
            <v>i) 32mm dia GM Gate valve</v>
          </cell>
        </row>
        <row r="1024">
          <cell r="E1024" t="str">
            <v>j)50mm dia GM Gate valve</v>
          </cell>
        </row>
        <row r="1025">
          <cell r="E1025" t="str">
            <v>k) 25mm dia GM gate valve</v>
          </cell>
        </row>
        <row r="1026">
          <cell r="E1026" t="str">
            <v>l) 63 mm GI Flange set</v>
          </cell>
        </row>
        <row r="1027">
          <cell r="E1027" t="str">
            <v>m) 63 mm Elbow</v>
          </cell>
        </row>
        <row r="1028">
          <cell r="E1028" t="str">
            <v>n) 63 mm union</v>
          </cell>
        </row>
        <row r="1029">
          <cell r="E1029" t="str">
            <v>o)  50 mm coupling</v>
          </cell>
        </row>
        <row r="1030">
          <cell r="E1030" t="str">
            <v xml:space="preserve">Supplying and delivery of following Dia ASTM pipes </v>
          </cell>
        </row>
        <row r="1031">
          <cell r="E1031" t="str">
            <v>a) 50mm ASTM D schedule 40 threaded</v>
          </cell>
        </row>
        <row r="1032">
          <cell r="E1032" t="str">
            <v>Supplying and fixing of conceled shower valve</v>
          </cell>
        </row>
        <row r="1033">
          <cell r="E1033" t="str">
            <v>Supplying and fixing of CP shower arm with  rose</v>
          </cell>
        </row>
        <row r="1034">
          <cell r="E1034" t="str">
            <v>Supplying and fixing of CP flange</v>
          </cell>
        </row>
        <row r="1035">
          <cell r="E1035" t="str">
            <v>Supplying and fixing of CP Nipple</v>
          </cell>
        </row>
        <row r="1036">
          <cell r="E1036" t="str">
            <v>Supplying and fixing of precast exhaust fan cover</v>
          </cell>
        </row>
        <row r="1037">
          <cell r="E1037" t="str">
            <v>DOL STARTER WITH SINGLE PHASING PREVENTOR WITH  ANALOG AMMETER AND VOLTMETER CONFORMING TO IS 13947   WITH AUTO RESTART</v>
          </cell>
        </row>
        <row r="1038">
          <cell r="E1038" t="str">
            <v>Supplying and fixing of 5 Hp Diesel motor 3" section  head 2.1/5" Delivery</v>
          </cell>
        </row>
        <row r="1039">
          <cell r="E1039" t="str">
            <v xml:space="preserve">Supplying and fixing of Flexible hose of dia 2.1/2" etc.,all </v>
          </cell>
        </row>
        <row r="1040">
          <cell r="E1040" t="str">
            <v>Supplying and fixing of foot valve stainer   etc  all complete</v>
          </cell>
        </row>
        <row r="1041">
          <cell r="E1041" t="str">
            <v>S&amp;F of 63  Amps  3 phase  500  volts 4 pole  change over  switch over panel board  switch for  pump room etc all complete</v>
          </cell>
        </row>
        <row r="1042">
          <cell r="E1042" t="str">
            <v>Supplying and fixing of MS angle of size 50 x 50 x 5 mm MS angle to hold LTUG cable in OH portion etc., all complete</v>
          </cell>
        </row>
        <row r="1043">
          <cell r="E1043" t="str">
            <v>Supplying of 50 mm dia  GI pipe (Above Ground Level) approved quality</v>
          </cell>
        </row>
        <row r="1044">
          <cell r="E1044" t="str">
            <v>a) 50 mm dia  GI pipe (Above Ground Level)</v>
          </cell>
        </row>
        <row r="1045">
          <cell r="E1045" t="str">
            <v>b) 50 mm dia  GI Bend ( PWD 51)</v>
          </cell>
        </row>
        <row r="1046">
          <cell r="E1046" t="str">
            <v>Run of 4 Wires of 4 sqmm PVC insulated single core multi strand fire retardant flexible copper cable with ISI mark confirming IS: 694:1990.</v>
          </cell>
        </row>
        <row r="1047">
          <cell r="E1047" t="str">
            <v xml:space="preserve">Supplying of 3.5 core of 50 sqmm PVC armoued ALTUG cable ncluding cost of all materials etc all complete complying with relevant standard specifications and as directed by the departmental officers      ( CER NO : 371/18-19)     </v>
          </cell>
        </row>
        <row r="1048">
          <cell r="E1048" t="str">
            <v xml:space="preserve">Supplying of 3.5 core of 70 sqmm PVC armoued ALTUG cable including cost of all materials etc all complete complying with relevant standard specifications and as directed by the departmental officers( CER NO : 371/18-19)     </v>
          </cell>
        </row>
        <row r="1049">
          <cell r="E1049" t="str">
            <v xml:space="preserve">Supply and fixing of Brass cable gland suitable for 3.5 core 50 sqmm PVC armoured ALTUG cable( CER NO : 371/18-19)     </v>
          </cell>
        </row>
        <row r="1050">
          <cell r="E1050" t="str">
            <v xml:space="preserve">Supply and fixing of Brass cable gland suitable for 3.5 core 70 sqmm PVC armoured ALTUG cable( CER NO : 371/18-19)     </v>
          </cell>
        </row>
        <row r="1051">
          <cell r="E1051" t="str">
            <v xml:space="preserve">Supply and providing cable end termination of 3 1/2 x 50 sqmm PVC LTUG Aluminium armoured cable with necessary aluminium cable sockets by crimping etc. with electrical connection complete( CER NO : 371/18-19)     </v>
          </cell>
        </row>
        <row r="1052">
          <cell r="E1052" t="str">
            <v xml:space="preserve">Supplying and fixing of ALTUG end termination gripping for  3.5 core 70 sqmm ALTUG cable including cost of necessary materials ( CER NO : 371/18-19)     </v>
          </cell>
        </row>
        <row r="1053">
          <cell r="E1053" t="str">
            <v xml:space="preserve">Supply and fixing of TNEB Meter Board suitable for 3 Phases 100A service connection made up of suitable angle iron frame work of size 2 feet x 1 1/2 feet using angle iron of size 1 1/2" x 1 1/2" x 1/4" rigidly fixed on wall covered with hylem sheet of size 2 feet x 1/2 feet of 6mm thickness with necessary bolts and nuts supports and supply and fixing of 3 Nos 100A fuse units (500V) 1 No. Neutral link, copper earth flat of size 1" x 1/4" with inter connection of EB meter to fuse units by 7/16 PVC insulated copper wire with earth connection complete             ( ELE DATA 18-19-SD-130 </v>
          </cell>
        </row>
        <row r="1054">
          <cell r="E1054" t="str">
            <v>Supplying and fixing of 100 amps (Triple pole) TPN metal clad switch with Rewirable fuse unit including cost of all materials and labour charges, etc all complete as per relevant standard specification and as directed by the departmental officers. (The quality and brand should be got approved from the executive engineer before use)</v>
          </cell>
        </row>
        <row r="1055">
          <cell r="E1055" t="str">
            <v xml:space="preserve">Supplying and fixing of 3 Nos. of 100 amps 500 volts grade porcelain fuse unit on suitable teakwood plank varnished to be fixed on the top of pole/EB street pole with necessary clamps including cost of materials etc., all complete.( CER NO : 371/18-19)  </v>
          </cell>
        </row>
        <row r="1056">
          <cell r="E1056" t="str">
            <v xml:space="preserve">Labour charges for laying of  3.5 core 50 sqmm PVC armoured ALTUG Cablea) Above Ground Level( CER NO : 371/18-19)  </v>
          </cell>
        </row>
        <row r="1057">
          <cell r="E1057" t="str">
            <v xml:space="preserve">Labour charges for laying of  3.5 core 70 sqmm PVC armoured ALTUG Cablea) Above Ground Level( CER NO : 371/18-19)  </v>
          </cell>
        </row>
        <row r="1058">
          <cell r="E1058" t="str">
            <v xml:space="preserve">METERING PANEL FOR 8SERVICES (6FLAT +1 COMMON &amp; 1 SPARE )  6 IN 1 </v>
          </cell>
        </row>
        <row r="1059">
          <cell r="E1059" t="str">
            <v xml:space="preserve">METERING PANEL FOR 4SERVICES (2FLAT +1 COMMON &amp; 1 SPARE )  2IN 1 </v>
          </cell>
        </row>
        <row r="1060">
          <cell r="E1060" t="str">
            <v xml:space="preserve">Supply and fixing of three phase DB box with steel enclosures with cable gland plates for flush /surface mounting with busbars neutral link and each bar (Without MCB) etc( CER NO : 371/18-19)  </v>
          </cell>
        </row>
        <row r="1061">
          <cell r="E1061" t="str">
            <v xml:space="preserve">Supplying and fixing of Rotary switch with 3 nos Indicator lamps including interconnection wire etc( CER NO : 371/18-19)  </v>
          </cell>
        </row>
        <row r="1062">
          <cell r="E1062" t="str">
            <v xml:space="preserve">Supplying and fixing of single pole 6 Amps to 32 Amps MCB( CER NO : 371/18-19)  </v>
          </cell>
        </row>
        <row r="1063">
          <cell r="E1063" t="str">
            <v xml:space="preserve">Supplying and fixing of 4' 18 W LED Tube light fittings etc.,( CER NO : 371/18-19)  </v>
          </cell>
        </row>
        <row r="1064">
          <cell r="E1064" t="str">
            <v xml:space="preserve">Supplying and fixing of 12 w LED Bulb etc., all complete.( CER NO : 371/18-19)  </v>
          </cell>
        </row>
        <row r="1065">
          <cell r="E1065" t="str">
            <v xml:space="preserve">Supplying and fixing of Following watt LED Lamp etc., all complete.( CER NO : 371/18-19)  </v>
          </cell>
        </row>
        <row r="1066">
          <cell r="E1066" t="str">
            <v>a) 9W LED Bulb</v>
          </cell>
        </row>
        <row r="1067">
          <cell r="E1067" t="str">
            <v xml:space="preserve">Supplying and fixing of BulkHead Fittings suitable for 12 w LED Bulb etc., all complete.( CER NO : 371/18-19)  </v>
          </cell>
        </row>
        <row r="1068">
          <cell r="E1068" t="str">
            <v xml:space="preserve">Supply and fixing of 25w LED street light </v>
          </cell>
        </row>
        <row r="1069">
          <cell r="E1069" t="str">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ell>
        </row>
        <row r="1070">
          <cell r="E1070" t="str">
            <v>Supplying &amp; fixing of 500 watt Focus light fittings etc., all complete.</v>
          </cell>
        </row>
        <row r="1071">
          <cell r="E1071" t="str">
            <v>Supplying and fixing of 250 watt sodium vapour fitting and lamp etc., all complete.</v>
          </cell>
        </row>
        <row r="1072">
          <cell r="E1072" t="str">
            <v>Supplying &amp; fixing  of  12" dome light fittings and 9watts led bulb etc., all complete.</v>
          </cell>
        </row>
        <row r="1073">
          <cell r="E1073" t="str">
            <v>Supplying &amp; fixing of spot light fittings and led bulb etc., all complete.</v>
          </cell>
        </row>
        <row r="1074">
          <cell r="E1074" t="str">
            <v>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v>
          </cell>
        </row>
        <row r="1075">
          <cell r="E1075" t="str">
            <v>MS door of Size 1000 x 2100mm</v>
          </cell>
        </row>
        <row r="1076">
          <cell r="E1076" t="str">
            <v>MS door of Size 750 x 1350mm</v>
          </cell>
        </row>
        <row r="1077">
          <cell r="E1077" t="str">
            <v>MS Ventilator of Size 900 x 600mm</v>
          </cell>
        </row>
        <row r="1078">
          <cell r="E1078" t="str">
            <v>MS Ventilator of Size 600 x 600mm</v>
          </cell>
        </row>
        <row r="1079">
          <cell r="E1079" t="str">
            <v>MS Ventilator of Size 1285 x 600mm</v>
          </cell>
        </row>
        <row r="1080">
          <cell r="E1080" t="str">
            <v>MS Ventilator of Size 1350 x 600mm</v>
          </cell>
        </row>
        <row r="1081">
          <cell r="E1081" t="str">
            <v>TW double leaves shutter of size 1800 x 2100mm</v>
          </cell>
        </row>
        <row r="1082">
          <cell r="E1082" t="str">
            <v>Ornamental TW double leaves panelled shutter of size 1800 x 2100mm</v>
          </cell>
        </row>
        <row r="1083">
          <cell r="E1083" t="str">
            <v>Ornamental TW double leaves panelled shutter of size 1800 x 2400mm</v>
          </cell>
        </row>
        <row r="1084">
          <cell r="E1084" t="str">
            <v>1500 liters capacity of HDPE Water Tank</v>
          </cell>
        </row>
        <row r="1085">
          <cell r="E1085" t="str">
            <v>Providing shahabad stone flooring</v>
          </cell>
        </row>
        <row r="1086">
          <cell r="E1086" t="str">
            <v xml:space="preserve">Eurocon Tiles flooring </v>
          </cell>
        </row>
        <row r="1087">
          <cell r="E1087" t="str">
            <v xml:space="preserve">Vetrified Tiles flooring </v>
          </cell>
        </row>
        <row r="1088">
          <cell r="E1088" t="str">
            <v xml:space="preserve">kota stone  flooring </v>
          </cell>
        </row>
        <row r="1089">
          <cell r="E1089" t="str">
            <v xml:space="preserve">Granite Tiles flooring </v>
          </cell>
        </row>
        <row r="1090">
          <cell r="E1090" t="str">
            <v>Plastering with ccccm 1:3, 12mm mixed with WPC</v>
          </cell>
        </row>
        <row r="1091">
          <cell r="E1091" t="str">
            <v>HDPE water tank 5000 lit capacity</v>
          </cell>
        </row>
        <row r="1092">
          <cell r="E1092" t="str">
            <v>T.W DOOR SHUTTER TWO LEAVES(1200 X 2100 mm ) with Brass Fittings</v>
          </cell>
        </row>
        <row r="1093">
          <cell r="E1093" t="str">
            <v>TW Panelled Door 1500 X 2100MM (Double leaves)</v>
          </cell>
        </row>
        <row r="1094">
          <cell r="E1094" t="str">
            <v>TW Panelled Door 1500 X 2400MM (Double leaves)</v>
          </cell>
        </row>
        <row r="1095">
          <cell r="E1095" t="str">
            <v>TW Panelled Door 1200 X 2400MM (Double leaves)</v>
          </cell>
        </row>
        <row r="1096">
          <cell r="E1096" t="str">
            <v>TW Panelled Door 1800 X 2400MM (Double leaves)</v>
          </cell>
        </row>
        <row r="1097">
          <cell r="E1097" t="str">
            <v>Partly glazed and partly BWR panelled door shutter (Double leaves) with brass screws.a. 1500x2400mm</v>
          </cell>
        </row>
        <row r="1098">
          <cell r="E1098" t="str">
            <v>Partly glazed and partly TW panelled door shutter (Double leaves) with brass screws.a. 1200x2400mm</v>
          </cell>
        </row>
        <row r="1099">
          <cell r="E1099" t="str">
            <v>T.W DOOR SHUTTER TWO LEAVES(2000 X 2400 mm) WITH BRASS FITINGS</v>
          </cell>
        </row>
        <row r="1100">
          <cell r="E1100" t="str">
            <v>BWR door 900 x 2400   single leaf</v>
          </cell>
        </row>
        <row r="1101">
          <cell r="E1101" t="str">
            <v>BWR door 1050 x 2400   single leaf</v>
          </cell>
        </row>
        <row r="1102">
          <cell r="E1102" t="str">
            <v>BWR door 1200 x 2400   double leaves</v>
          </cell>
        </row>
        <row r="1103">
          <cell r="E1103" t="str">
            <v>BWR door 1500 x 2400   double leaves</v>
          </cell>
        </row>
        <row r="1104">
          <cell r="E1104" t="str">
            <v>450 x 375 x 20 m   thick TW plank</v>
          </cell>
        </row>
        <row r="1105">
          <cell r="E1105" t="str">
            <v>40 mm dia GI pipe "B"class</v>
          </cell>
        </row>
        <row r="1106">
          <cell r="E1106" t="str">
            <v>Supplying and fixing of Three phase ELCB</v>
          </cell>
        </row>
        <row r="1107">
          <cell r="E1107" t="str">
            <v>MDF 900 x 2100 single</v>
          </cell>
        </row>
        <row r="1108">
          <cell r="E1108" t="str">
            <v>MDF 1000 x 2100</v>
          </cell>
        </row>
        <row r="1109">
          <cell r="E1109" t="str">
            <v>MDF 1200 x 2100</v>
          </cell>
        </row>
        <row r="1110">
          <cell r="E1110" t="str">
            <v>MDF 1500 X 2100MM (Double Leaf)</v>
          </cell>
        </row>
        <row r="1111">
          <cell r="E1111" t="str">
            <v>MDF 1200 X 2100MM (Double Leaf)</v>
          </cell>
        </row>
        <row r="1112">
          <cell r="E1112" t="str">
            <v>MDF 1500 X 2400MM (Double Leaf)</v>
          </cell>
        </row>
        <row r="1113">
          <cell r="E1113" t="str">
            <v>MDF  double leaf shutter with TW alround frame for ward robe / cup board</v>
          </cell>
        </row>
        <row r="1114">
          <cell r="E1114" t="str">
            <v>Varnishing one coat</v>
          </cell>
        </row>
        <row r="1115">
          <cell r="E1115" t="str">
            <v>Varnishing two coat</v>
          </cell>
        </row>
        <row r="1116">
          <cell r="E1116" t="str">
            <v>Red oxide plastering in CM 1:4</v>
          </cell>
        </row>
        <row r="1117">
          <cell r="E1117" t="str">
            <v>Under reamed pile (Single)</v>
          </cell>
        </row>
        <row r="1118">
          <cell r="E1118" t="str">
            <v>LIGHT POINT WITH CEILING ROSE FOR ADMINISTRATIVE BLOCKS AND COMMUNITY CENTRE</v>
          </cell>
        </row>
        <row r="1119">
          <cell r="E1119" t="str">
            <v>LIGHT POINT WITH BAKELITE BATTERN TYPE HOLDER FOR ADMINISTRATIVE BLOCKS AND COMMUNITY CENTRE</v>
          </cell>
        </row>
        <row r="1120">
          <cell r="E1120" t="str">
            <v>FAN POINT FOR ADMINISTRATIVE BLOCKS AND COMMUNITY CENTRE</v>
          </cell>
        </row>
        <row r="1121">
          <cell r="E1121" t="str">
            <v>STAIRCASE LIGHT POINT FOR ADMINISTRATIVE BLOCKS AND COMMUNITY CENTRE</v>
          </cell>
        </row>
        <row r="1122">
          <cell r="E1122" t="str">
            <v>2 X 2.5 Sq mm in fully concealed PVC conduit</v>
          </cell>
        </row>
        <row r="1123">
          <cell r="E1123" t="str">
            <v>2 X 4 Sq mm in fully concealed PVC conduit</v>
          </cell>
        </row>
        <row r="1124">
          <cell r="E1124" t="str">
            <v>4 X 4 Sq mm in fully concealed PVC conduit</v>
          </cell>
        </row>
        <row r="1125">
          <cell r="E1125" t="str">
            <v>32 AMPS DOUBLE POLE MAIN SWITCH ON TEAK WOOD BOARD TOP MES SERVICE CONNECTION / MOTOR PUMP( SINGLE PHASE ) SET</v>
          </cell>
        </row>
        <row r="1126">
          <cell r="E1126" t="str">
            <v>Supply and fixing 4 way 250 volt single phase with neutral link metalic distribution board on suitable Teak wood board etc., all complete including connections.</v>
          </cell>
        </row>
        <row r="1127">
          <cell r="E1127" t="str">
            <v>16 AMPS TPIC ON TEAK WOOD BOARD FOR 3 PHASE MES SERVICE CONNECTION AND 3 PHASE MOTOR PUMPSETS</v>
          </cell>
        </row>
        <row r="1128">
          <cell r="E1128" t="str">
            <v>Supplying and fixing of 32 amps triple pole main switch with fuse and neutral link on a suitable well varnished teak wood board</v>
          </cell>
        </row>
        <row r="1129">
          <cell r="E1129" t="str">
            <v>THREE PHASE DISTRIBUTION BOARD WITH 6 WAY PHASE AND 30 AMPS / WAY WITH FUSE AND NEUTRAL LINK ON SUITABLE TW PLANK TOP MES CONNECTION BOARD (FOR 12 IN 1 BLOCKS)</v>
          </cell>
        </row>
        <row r="1130">
          <cell r="E1130" t="str">
            <v>THREE PHASE DISTRIBUTION BOARD WITH 4 WAY PHASE AND 3 AMPS/WAY FUSE AND NEUTRAL LINK FOR MES SERVICE CONNECTION ( 6 IN 1  BLOCKS )</v>
          </cell>
        </row>
        <row r="1131">
          <cell r="E1131" t="str">
            <v>FIXING OF TUBE LIGHT FITTINGS ON WALL / CEILING</v>
          </cell>
        </row>
        <row r="1132">
          <cell r="E1132" t="str">
            <v>FIXING OF TUBE FITTINGS SUSPENDED FROM CEILING</v>
          </cell>
        </row>
        <row r="1133">
          <cell r="E1133" t="str">
            <v xml:space="preserve">( to be supplied by the department free of cost ) on suitable well varnished teak wood plank </v>
          </cell>
        </row>
        <row r="1134">
          <cell r="E1134" t="str">
            <v xml:space="preserve">Charges for fixing single phase RCCB/ELCB on fully concealed suitable MS BOX </v>
          </cell>
        </row>
        <row r="1135">
          <cell r="E1135" t="str">
            <v xml:space="preserve">Charges for fixing three phase RCCB/ ELCB  on suitable well varnished teak wood plank </v>
          </cell>
        </row>
        <row r="1136">
          <cell r="E1136" t="str">
            <v xml:space="preserve">Charges for fixing Three  phase RCCB/ELCB  on fully concealed suitable MS BOX </v>
          </cell>
        </row>
        <row r="1137">
          <cell r="E1137" t="str">
            <v>Supplying and delivery of Single phase ELCB/RCCB</v>
          </cell>
        </row>
        <row r="1138">
          <cell r="E1138" t="str">
            <v>Supplying and delivery of Three phase ELCB/RCCB</v>
          </cell>
        </row>
        <row r="1139">
          <cell r="E1139" t="str">
            <v>2 x 4 Sqm.m Copper PVC insulated unsheathed single core 1 KV grade cable for EB service single phase.</v>
          </cell>
        </row>
        <row r="1140">
          <cell r="E1140" t="str">
            <v>4 x 4  Sq mm copper PVC insulated unsheathed single core cable for 3 phase EB service connection</v>
          </cell>
        </row>
        <row r="1141">
          <cell r="E1141" t="str">
            <v xml:space="preserve">Supply of 40 mm dia GI pipe "B"class </v>
          </cell>
        </row>
        <row r="1142">
          <cell r="E1142" t="str">
            <v>Laying of U.G. Cable below Ground Level</v>
          </cell>
        </row>
        <row r="1143">
          <cell r="E1143" t="str">
            <v>Fixing of UG cables on Walls / Ceiling</v>
          </cell>
        </row>
        <row r="1144">
          <cell r="E1144" t="str">
            <v>Fixing of Tube light street light fitting</v>
          </cell>
        </row>
        <row r="1145">
          <cell r="E1145" t="str">
            <v>Charges for fixing Mercury, Sodium Vapour lamp street light fittings ( all types ) in the existing pole with required GI pipes 'B' class and accessories ( Street light fittings alone will be supplied departmentally at free of cost ).</v>
          </cell>
        </row>
        <row r="1146">
          <cell r="E1146" t="str">
            <v>S &amp; F TNEB Meter Board made up of MS box 600 x 225 mm with door and lock and key arrangements</v>
          </cell>
        </row>
        <row r="1147">
          <cell r="E1147" t="str">
            <v>25 mm dia PVC pipe Heavy duty with ISI mark for TV/ Telephone line</v>
          </cell>
        </row>
        <row r="1148">
          <cell r="E1148" t="str">
            <v xml:space="preserve">TV/Telephone line junction </v>
          </cell>
        </row>
        <row r="1149">
          <cell r="E1149" t="str">
            <v xml:space="preserve">Supply and erection of Tubular lamp, using 65 mm dia GI pipe 'B' class pipe with ISI mark of 6 mt length and 20 mm dia GI pipe 'B' class upto 2 mt with. </v>
          </cell>
        </row>
        <row r="1150">
          <cell r="E1150" t="str">
            <v>Tube light -  Box type</v>
          </cell>
        </row>
        <row r="1151">
          <cell r="E1151" t="str">
            <v>Open wiring for Light point with ceiling rose for flats/ houses</v>
          </cell>
        </row>
        <row r="1152">
          <cell r="E1152" t="str">
            <v>Open wiring Light point with bakelite batern type holder for flats/ houses(Open wiring)</v>
          </cell>
        </row>
        <row r="1153">
          <cell r="E1153" t="str">
            <v>Open wiring POINT WIRING FOR CALLING BELL / BUZZER WITH PUSH SWITCH FOR ALL TYPE OF BUILDING (OPEN WIRING)</v>
          </cell>
        </row>
        <row r="1154">
          <cell r="E1154" t="str">
            <v>Open wiring FAN POINT FOR ADMINISTRATIVE BLOCKS AND COMMUNITY CENTRE</v>
          </cell>
        </row>
        <row r="1155">
          <cell r="E1155" t="str">
            <v>Open wiring STAIRCASE LIGHT POINT FOR ADMINISTRATIVE BLOCKS AND COMMUNITY CENTRE (Open wiring)</v>
          </cell>
        </row>
        <row r="1156">
          <cell r="E1156" t="str">
            <v>Open wiring 5 AMPS 5 PIN PLUG SOCKET POINT AT CONVENIENT PLACES (OPEN WIRING)</v>
          </cell>
        </row>
        <row r="1157">
          <cell r="E1157" t="str">
            <v>Open wiring 2 X1.5 Sqm.m in fully concealed PVC conduit</v>
          </cell>
        </row>
        <row r="1158">
          <cell r="E1158" t="str">
            <v xml:space="preserve"> Open wiring 2 X 2.5 Sq mm in fully concealed PVC conduit (open wiring)</v>
          </cell>
        </row>
        <row r="1159">
          <cell r="E1159" t="str">
            <v>whitewashing one coat</v>
          </cell>
        </row>
        <row r="1160">
          <cell r="E1160" t="str">
            <v>whitewashing one coat for old wall</v>
          </cell>
        </row>
        <row r="1161">
          <cell r="E1161" t="str">
            <v>whitewashing two coat for old wall</v>
          </cell>
        </row>
        <row r="1162">
          <cell r="E1162" t="str">
            <v>Thorough scrapping the old wall</v>
          </cell>
        </row>
        <row r="1163">
          <cell r="E1163" t="str">
            <v>Thorough scrapping the old iron work</v>
          </cell>
        </row>
        <row r="1164">
          <cell r="E1164" t="str">
            <v>Thorough scrapping the old wood work</v>
          </cell>
        </row>
        <row r="1165">
          <cell r="E1165" t="str">
            <v>Cement paint one coat for old wall</v>
          </cell>
        </row>
        <row r="1166">
          <cell r="E1166" t="str">
            <v>Cement paint two coat for old wall</v>
          </cell>
        </row>
        <row r="1167">
          <cell r="E1167" t="str">
            <v>painting one coat for old iron work</v>
          </cell>
        </row>
        <row r="1168">
          <cell r="E1168" t="str">
            <v>painting two coat for old iron work</v>
          </cell>
        </row>
        <row r="1169">
          <cell r="E1169" t="str">
            <v>painting one coat for old wood work</v>
          </cell>
        </row>
        <row r="1170">
          <cell r="E1170" t="str">
            <v>painting two coat for old wood work</v>
          </cell>
        </row>
        <row r="1171">
          <cell r="E1171" t="str">
            <v>Matt paint one coat for old wall</v>
          </cell>
        </row>
        <row r="1172">
          <cell r="E1172" t="str">
            <v>Plastic Emulsion PAINT one coat for old wall</v>
          </cell>
        </row>
        <row r="1173">
          <cell r="E1173" t="str">
            <v>Plastic Emulsion PAINT two coat for old wall</v>
          </cell>
        </row>
        <row r="1174">
          <cell r="E1174" t="str">
            <v xml:space="preserve">Supplying and fixing of 6Amps to 32 Amps single pole MCB </v>
          </cell>
        </row>
        <row r="1175">
          <cell r="E1175" t="str">
            <v>Dismantling the RCC etc all complete</v>
          </cell>
        </row>
        <row r="1176">
          <cell r="E1176" t="str">
            <v>Dismantling the brick work under 3m height wall</v>
          </cell>
        </row>
        <row r="1177">
          <cell r="E1177" t="str">
            <v>Dismantling the Pressed tiles &amp; weathering course</v>
          </cell>
        </row>
        <row r="1178">
          <cell r="E1178" t="str">
            <v>Dismantling Plain Cement Concrete</v>
          </cell>
        </row>
        <row r="1179">
          <cell r="E1179" t="str">
            <v>Dismantling of Mosaic Tiles / Glazed Tiles / Cuddapah Slabs</v>
          </cell>
        </row>
        <row r="1180">
          <cell r="E1180" t="str">
            <v>Chipping of plastering for existing wall portion etc., all complete</v>
          </cell>
        </row>
        <row r="1181">
          <cell r="E1181" t="str">
            <v>Supplying of 2 core 10 sqmm.</v>
          </cell>
        </row>
        <row r="1182">
          <cell r="E1182" t="str">
            <v>Supplying of 3.5 core 25 sqmm.</v>
          </cell>
        </row>
        <row r="1183">
          <cell r="E1183" t="str">
            <v>Supplying of 3.5 core 35 sqmm.</v>
          </cell>
        </row>
        <row r="1184">
          <cell r="E1184" t="str">
            <v>Supplying of 3.5 core 50 sqmm.</v>
          </cell>
        </row>
        <row r="1185">
          <cell r="E1185" t="str">
            <v>Supplying of 3.5 core 70 sqmm.</v>
          </cell>
        </row>
        <row r="1186">
          <cell r="E1186" t="str">
            <v>Supplying of 3.5 core 95 sqmm.</v>
          </cell>
        </row>
        <row r="1187">
          <cell r="E1187" t="str">
            <v>Supplying of 3.5 core 120 sqmm.</v>
          </cell>
        </row>
        <row r="1188">
          <cell r="E1188" t="str">
            <v>Supplying of 3.5 core 150 sqmm.</v>
          </cell>
        </row>
        <row r="1189">
          <cell r="E1189" t="str">
            <v>Supplying of 4 core of 16 sqmm</v>
          </cell>
        </row>
        <row r="1190">
          <cell r="E1190" t="str">
            <v>Supplying of 4 core of 10 sqmm</v>
          </cell>
        </row>
        <row r="1191">
          <cell r="E1191" t="str">
            <v>Supply and fixing of brass cable gland for XLPE armoured LTUG cable for following sizes with earth connection.</v>
          </cell>
        </row>
        <row r="1192">
          <cell r="E1192" t="str">
            <v>a) 3.5 c x 120 sqmm PVC / XLPE LTUG armoured cable   (SD 191)</v>
          </cell>
        </row>
        <row r="1193">
          <cell r="E1193" t="str">
            <v>b) 3.5 c x 70 sqmm PVC  / XLPE LTUG armoured cable  (SD 189</v>
          </cell>
        </row>
        <row r="1194">
          <cell r="E1194" t="str">
            <v>c) 3.5 c x 25 sqmm PVC / XLPE LTUG armoured cable  (SD 186)</v>
          </cell>
        </row>
        <row r="1195">
          <cell r="E1195" t="str">
            <v>d) 4 c x 16 sqmm PVC / XLPE LTUG armoured cable  (Data - AB)</v>
          </cell>
        </row>
        <row r="1196">
          <cell r="E1196" t="str">
            <v>e) 4 c x 10 sqmm PVC  / XLPE LTUG armoured cable(Data - AC)</v>
          </cell>
        </row>
        <row r="1197">
          <cell r="E1197" t="str">
            <v>Supply and providing cable end termination of following sizes of XLPE armoured LTUG Aluminium cable with necessary aluminium cable sockets by crimping etc. with electrical connection complete.</v>
          </cell>
        </row>
        <row r="1198">
          <cell r="E1198" t="str">
            <v>a) 3.5 c x 120sqmm PVC / XLPE LTUG armoured cable  (SD 240)</v>
          </cell>
        </row>
        <row r="1199">
          <cell r="E1199" t="str">
            <v>b) 3.5 c x 70 sqmm PVC / XLPE  LTUG armoured cable (SD 238)</v>
          </cell>
        </row>
        <row r="1200">
          <cell r="E1200" t="str">
            <v>c) 3.5 c x 25 sqmm PVC / XLPE  LTUG armoured cable  (SD 235)</v>
          </cell>
        </row>
        <row r="1201">
          <cell r="E1201" t="str">
            <v>d) 4 c x 16 sqmm PVC / XLPE  LTUG armoured cable  (Data - AG</v>
          </cell>
        </row>
        <row r="1202">
          <cell r="E1202" t="str">
            <v>e) 4 c x 10 sqmm PVC  / XLPE LTUG armoured cable  (Data - AH</v>
          </cell>
        </row>
        <row r="1203">
          <cell r="E1203" t="str">
            <v xml:space="preserve">Supply and fixing of triple pole and neutral four way 7 segment 3 tier </v>
          </cell>
        </row>
        <row r="1204">
          <cell r="E1204" t="str">
            <v xml:space="preserve">Supply and fixing of 25 mm x 3 mm x 300 mm copper flat on wall in the lift machine room for providing earth connection to the lift machinery </v>
          </cell>
        </row>
        <row r="1205">
          <cell r="E1205" t="str">
            <v>Supplying, Fixing and testing and commissioning of MCB i</v>
          </cell>
        </row>
        <row r="1206">
          <cell r="E1206" t="str">
            <v>40 A TPN 10 kA MCB - Data AM</v>
          </cell>
        </row>
        <row r="1207">
          <cell r="E1207" t="str">
            <v>10/20/32A DP 10 KA MCB - Data ANMaster control switch for each dormitory</v>
          </cell>
        </row>
        <row r="1208">
          <cell r="E1208" t="str">
            <v>63A TPN 10 KA MCB - Data AO</v>
          </cell>
        </row>
        <row r="1209">
          <cell r="E1209" t="str">
            <v>Supply and erection of 100 Amps capacity floor mounting / wall mounting panel board (Cubical type) with bus bar</v>
          </cell>
        </row>
        <row r="1210">
          <cell r="E1210" t="str">
            <v xml:space="preserve">Supply and erection of 125 Amps capacity floor mounting / wall mounting panel board (Cubical type) with bus bar </v>
          </cell>
        </row>
        <row r="1211">
          <cell r="E1211" t="str">
            <v>supply and fixing of MS box of suitable size for the terrmination of cable ( with in and out arrangements) and with earth connections. - DATA AV</v>
          </cell>
        </row>
        <row r="1212">
          <cell r="E1212" t="str">
            <v>Manhole Cover SFRC 750mm x 750mm</v>
          </cell>
        </row>
        <row r="1213">
          <cell r="E1213" t="str">
            <v>Supplying and fixing of Rotary switch with 3 nos Indicator lamps including interconnection wire etc</v>
          </cell>
        </row>
        <row r="1218">
          <cell r="E1218" t="str">
            <v>Supply, Installation, Testing and Commissioning of 2 KVA sinewave single phase inverter with exide tubular battery for 30 minutes backup time with suitable rack / trolly for inverter and batteries.Data AP</v>
          </cell>
        </row>
        <row r="1219">
          <cell r="E1219" t="str">
            <v>Labour charges for laying of PVC Armoured LTUG Cable excluding Civil works etc.,all complete and as directed by the departmental officers a) Below Ground Level</v>
          </cell>
        </row>
        <row r="1220">
          <cell r="E1220" t="str">
            <v>Labour charges for fixing of PVC Armoured LTUG Cable  in Vertical wall (or) EB Pole etc., all complete and as directed by the departmental officers Above Ground Level</v>
          </cell>
        </row>
        <row r="1221">
          <cell r="E1221" t="str">
            <v>Supplying and fixing of Galvalume sheet roofing  0.47mm thick</v>
          </cell>
        </row>
        <row r="1222">
          <cell r="E1222" t="str">
            <v>Supplying and fixing mild steel angles</v>
          </cell>
        </row>
        <row r="1223">
          <cell r="E1223" t="str">
            <v xml:space="preserve">Supplying and fixing the 300mm dia (NP2 class) </v>
          </cell>
        </row>
        <row r="1224">
          <cell r="E1224" t="str">
            <v>Special Type Cup-board Shutter for higher officer</v>
          </cell>
        </row>
        <row r="1225">
          <cell r="E1225" t="str">
            <v>Supplying, testing and commission of 1.5  ton capacity Hi-wall counted single split type AC unit</v>
          </cell>
        </row>
        <row r="1226">
          <cell r="E1226" t="str">
            <v>Supplying, testing and commission of 2 ton capacity Hi-wall counted single split type AC unit</v>
          </cell>
        </row>
        <row r="1227">
          <cell r="E1227" t="str">
            <v>Supply and installation of 4 KVA capacity Automatic  Voltage Stabilizer with time delay relay (V-Gurad Equivalent)</v>
          </cell>
        </row>
        <row r="1228">
          <cell r="E1228" t="str">
            <v>Supply and installation of 5 KVA capacity Automatic  Voltage Stabilizer with time delay relay (V-Gurad Equivalent)</v>
          </cell>
        </row>
        <row r="1229">
          <cell r="E1229" t="str">
            <v>Supply and laying of 5/8" and 3/8" copper pipe (Extra beyond 3 metres supplied with AC unit)</v>
          </cell>
        </row>
        <row r="1230">
          <cell r="E1230" t="str">
            <v>Supply and fixing of MS stand for fixing outdoor unit</v>
          </cell>
        </row>
        <row r="1231">
          <cell r="E1231" t="str">
            <v>WATER HEATER WITH ISI MARK 25 Liter</v>
          </cell>
        </row>
        <row r="1232">
          <cell r="E1232" t="str">
            <v>SS Heavy Duty Long Body Tap 15mm</v>
          </cell>
        </row>
        <row r="1233">
          <cell r="E1233" t="str">
            <v>18W LED 3000K Square Type Recessed Fitting with LED(PWD SR 20-21  P114  )</v>
          </cell>
        </row>
        <row r="1234">
          <cell r="E1234" t="str">
            <v>Wall Mounting Fan</v>
          </cell>
        </row>
        <row r="1235">
          <cell r="E1235" t="str">
            <v>Supplying of 20 feet street light pole</v>
          </cell>
        </row>
        <row r="1236">
          <cell r="E1236" t="str">
            <v>Supply and Fixing of Sigle phase DB 16A / way with 16 Amps DP Switch of 500v with metal clad  with F&amp; Non suitable TW board with PWD Earthing.( SD- 145 -20-21 )</v>
          </cell>
        </row>
        <row r="1237">
          <cell r="E1237" t="str">
            <v xml:space="preserve">Supplying and fixing of SS Rod including Screen </v>
          </cell>
        </row>
        <row r="1238">
          <cell r="E1238" t="str">
            <v xml:space="preserve">AC Repair and Refilling Gas </v>
          </cell>
        </row>
        <row r="1239">
          <cell r="E1239" t="str">
            <v xml:space="preserve">Reconditioning the AC Unit </v>
          </cell>
        </row>
        <row r="1240">
          <cell r="E1240" t="str">
            <v>Below ground level</v>
          </cell>
        </row>
        <row r="1241">
          <cell r="E1241" t="str">
            <v>a. 32 mm dia  Below Ground level</v>
          </cell>
        </row>
        <row r="1242">
          <cell r="E1242" t="str">
            <v>b. 25 mm dia   Below Ground level</v>
          </cell>
        </row>
        <row r="1243">
          <cell r="E1243" t="str">
            <v>c. 20mm Below Ground level</v>
          </cell>
        </row>
        <row r="1244">
          <cell r="E1244" t="str">
            <v xml:space="preserve">Supplying and fixing of CP Pillar cock  including cost of all materials and all labour charges etc complete </v>
          </cell>
        </row>
        <row r="1245">
          <cell r="E1245" t="str">
            <v xml:space="preserve">Supplying and fixing of Angular Stop Cock - 2 way  including cost of all materials and all labour charges etc complete </v>
          </cell>
        </row>
        <row r="1246">
          <cell r="E1246" t="str">
            <v xml:space="preserve">Supply and fixing of shower arm with shower rose </v>
          </cell>
        </row>
        <row r="1248">
          <cell r="E1248" t="str">
            <v xml:space="preserve">Supply and fixing of Health faucet approved quality with ISI mark including cost of all materials and all labour charges etc complete </v>
          </cell>
        </row>
        <row r="1249">
          <cell r="E1249" t="str">
            <v>S &amp; F SS 3 pin Coat stand</v>
          </cell>
        </row>
        <row r="1250">
          <cell r="E1250" t="str">
            <v>Panel board -2 HP</v>
          </cell>
        </row>
        <row r="1251">
          <cell r="E1251" t="str">
            <v>Supplying and fixing of G.I roofing sheet with etc. all complete</v>
          </cell>
        </row>
        <row r="1252">
          <cell r="E1252" t="str">
            <v>Supplying and fixing mild steel angles for truss including cost of all materials and labour charges, etc all complete.</v>
          </cell>
        </row>
        <row r="1253">
          <cell r="E1253" t="str">
            <v>Suppling and laying granite wall cladding</v>
          </cell>
        </row>
        <row r="1254">
          <cell r="E1254" t="str">
            <v xml:space="preserve">supplying and fixing of wall cladding Top granite beeding </v>
          </cell>
        </row>
        <row r="1255">
          <cell r="E1255" t="str">
            <v>Supplying &amp; Delivery for 6'x3' Full Teakwood Frame, T.W 5"x1.5" thick bar with top 12mm playwood with varnish Finishing etc., Complete.</v>
          </cell>
        </row>
        <row r="1256">
          <cell r="E1256" t="str">
            <v>Supplying &amp; Delivery for 6'x3' high density foam mattress bed etc., Complete.</v>
          </cell>
        </row>
        <row r="1257">
          <cell r="E1257" t="str">
            <v>Supplying &amp; Delivery for Size 3'x2'x2.5' study table (MDF) with revolving chair (1 set)  etc., Complete.</v>
          </cell>
        </row>
        <row r="1258">
          <cell r="E1258" t="str">
            <v>Supplying &amp; Delivery for 4 Nos Perfo powder coat, 3 seater sofa block colour  etc., Complete.</v>
          </cell>
        </row>
        <row r="1259">
          <cell r="E1259" t="str">
            <v xml:space="preserve">Supplying &amp; Delivery for 1 Nos Perfo powder coat, 2 seater sofa block colour  etc., Complete. </v>
          </cell>
        </row>
        <row r="1260">
          <cell r="E1260" t="str">
            <v>Supplying &amp; Delivery for 1 Nos Perfo powder coat, 3 seater sofa block colour  etc., Complete.</v>
          </cell>
        </row>
        <row r="1261">
          <cell r="E1261" t="str">
            <v>Supply and Fixing of Stainless Steel Mosquito Net including cost</v>
          </cell>
        </row>
      </sheetData>
      <sheetData sheetId="37"/>
      <sheetData sheetId="38"/>
      <sheetData sheetId="39" refreshError="1"/>
      <sheetData sheetId="40" refreshError="1"/>
      <sheetData sheetId="41" refreshError="1"/>
      <sheetData sheetId="42">
        <row r="47">
          <cell r="L47" t="str">
            <v xml:space="preserve">a. 0 to 2 mt.  Earth work excavation in all soils (including refilling) </v>
          </cell>
        </row>
      </sheetData>
      <sheetData sheetId="43" refreshError="1"/>
      <sheetData sheetId="44">
        <row r="526">
          <cell r="F526">
            <v>58303.48</v>
          </cell>
        </row>
        <row r="589">
          <cell r="F589">
            <v>130930.5</v>
          </cell>
        </row>
        <row r="612">
          <cell r="F612">
            <v>598.4</v>
          </cell>
        </row>
      </sheetData>
      <sheetData sheetId="45" refreshError="1"/>
      <sheetData sheetId="46"/>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ULVERT (2)"/>
      <sheetName val="PP "/>
      <sheetName val="design of Rec sump"/>
      <sheetName val="Sump det"/>
      <sheetName val="Septic tank"/>
      <sheetName val="Design of septic tank"/>
      <sheetName val="Sullage Drain"/>
      <sheetName val="TW SHED"/>
      <sheetName val="Four"/>
      <sheetName val="det -detail"/>
      <sheetName val="Main Building Details"/>
      <sheetName val="Development - i (2)"/>
    </sheetNames>
    <sheetDataSet>
      <sheetData sheetId="0"/>
      <sheetData sheetId="1">
        <row r="1">
          <cell r="B1" t="str">
            <v>Construction of  Administrative Building with development works at TSP 1st Battalion Campus in Trichy.</v>
          </cell>
        </row>
      </sheetData>
      <sheetData sheetId="2">
        <row r="30">
          <cell r="D30">
            <v>4</v>
          </cell>
        </row>
      </sheetData>
      <sheetData sheetId="3">
        <row r="18">
          <cell r="C18" t="str">
            <v>Construction of  Administrative Building with development works at TSP 1st Battalion Campus in Trichy.</v>
          </cell>
        </row>
      </sheetData>
      <sheetData sheetId="4">
        <row r="14">
          <cell r="A14" t="str">
            <v>Construction of  Administrative Building with development works at TSP 1st Battalion Campus in Trichy.</v>
          </cell>
        </row>
      </sheetData>
      <sheetData sheetId="5">
        <row r="28">
          <cell r="E28">
            <v>6</v>
          </cell>
          <cell r="G28">
            <v>2.5</v>
          </cell>
          <cell r="I28">
            <v>1.6</v>
          </cell>
        </row>
      </sheetData>
      <sheetData sheetId="6"/>
      <sheetData sheetId="7"/>
      <sheetData sheetId="8"/>
      <sheetData sheetId="9">
        <row r="8">
          <cell r="D8">
            <v>0.1</v>
          </cell>
        </row>
      </sheetData>
      <sheetData sheetId="10">
        <row r="3">
          <cell r="B3" t="str">
            <v>Construction of  Administrative Building with development works at TSP 1st Battalion Campus in Trichy.</v>
          </cell>
        </row>
      </sheetData>
      <sheetData sheetId="11">
        <row r="5">
          <cell r="C5" t="str">
            <v>Earth work excavation in all soils (including refilling)</v>
          </cell>
        </row>
      </sheetData>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TW SHED"/>
      <sheetName val="Four"/>
      <sheetName val="Development - ii"/>
      <sheetName val="pile data ( M20 grade)"/>
      <sheetName val="Elec.abs"/>
      <sheetName val="OHT(A4)"/>
      <sheetName val="Sheet3"/>
      <sheetName val="paver"/>
      <sheetName val="SEPTIC TANK (A4)"/>
      <sheetName val="P.P WALL (A4)"/>
      <sheetName val="SL DRAIN (A4)"/>
      <sheetName val="Storm Water Drain"/>
      <sheetName val="SUMP (A4)"/>
      <sheetName val="Culvert"/>
      <sheetName val="Building (2)"/>
      <sheetName val="Building (3)"/>
      <sheetName val="G. Abstractfinal"/>
      <sheetName val="Water supply Data"/>
      <sheetName val="Sheet2"/>
      <sheetName val="Data water"/>
      <sheetName val="Data water (2)"/>
      <sheetName val="data -1"/>
      <sheetName val="Abs"/>
      <sheetName val="Det"/>
      <sheetName val="Elec.Data"/>
      <sheetName val="Data"/>
      <sheetName val="Data estimate"/>
      <sheetName val="water pipe data"/>
      <sheetName val="cub data"/>
      <sheetName val="  external water supply "/>
      <sheetName val="New Data"/>
      <sheetName val="lead  charge"/>
      <sheetName val="Sliding and french window"/>
      <sheetName val="  Coastal  Elec.Data "/>
      <sheetName val="pile data ( M30 grade) (2)"/>
      <sheetName val="Sheet1 (2)"/>
      <sheetName val="electrical"/>
      <sheetName val="Electrical Estimate"/>
      <sheetName val="Development - i (2)"/>
      <sheetName val="Bore &amp; Ex.water Supply"/>
      <sheetName val="PP "/>
      <sheetName val="CULVERT (2)"/>
      <sheetName val="Development - i"/>
      <sheetName val="Main Building Details"/>
      <sheetName val="det -detail"/>
      <sheetName val="Sullage Drain"/>
      <sheetName val="Design of septic tank"/>
      <sheetName val="Septic tank"/>
      <sheetName val="design of Rec sump"/>
      <sheetName val="Furniture Arrangements"/>
      <sheetName val="cub data (2)"/>
      <sheetName val="General. Abstract "/>
      <sheetName val="Sump det"/>
      <sheetName val="WWH HO FINAL without 6 th flo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row r="3">
          <cell r="B3" t="str">
            <v>Name of work : Construction of Working Womens Hostel (G+4 Floor) 104 Nos capcity  at Trichy  in Trichy City</v>
          </cell>
        </row>
        <row r="4">
          <cell r="B4" t="str">
            <v xml:space="preserve"> DETAILED ESTIMATE</v>
          </cell>
        </row>
      </sheetData>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pile data ( M30 grade) (2)"/>
      <sheetName val="Abstract (21.4.18)"/>
      <sheetName val="Development - ii"/>
      <sheetName val="pile data ( M20 grade)"/>
      <sheetName val="  Coastal  Elec.Data "/>
      <sheetName val="Sliding and french window"/>
      <sheetName val="lead  charge"/>
      <sheetName val="Elec.abs"/>
      <sheetName val="OHT(A4)"/>
      <sheetName val="Sheet3"/>
      <sheetName val="paver"/>
      <sheetName val="SEPTIC TANK (A4)"/>
      <sheetName val="P.P WALL (A4)"/>
      <sheetName val="SL DRAIN (A4)"/>
      <sheetName val="Storm Water Drain"/>
      <sheetName val="SUMP (A4)"/>
      <sheetName val="Culvert"/>
      <sheetName val="precast RCC panel "/>
      <sheetName val="Precast Compound wall "/>
      <sheetName val="New Data"/>
      <sheetName val="G.Abstract (2)"/>
      <sheetName val="Building (2)"/>
      <sheetName val="Building (3)"/>
      <sheetName val="G. Abstractfinal"/>
      <sheetName val="Water supply Data"/>
      <sheetName val="Sheet2"/>
      <sheetName val="Data water"/>
      <sheetName val="Data water (2)"/>
      <sheetName val="  external water supply "/>
      <sheetName val="cub data"/>
      <sheetName val="water pipe data"/>
      <sheetName val="Data estimate"/>
      <sheetName val="Data"/>
      <sheetName val="Sheet4"/>
      <sheetName val="Elec.Data"/>
      <sheetName val="Development - i"/>
      <sheetName val="Electrical Estimate"/>
      <sheetName val="Bore &amp; Ex.water Supply"/>
      <sheetName val="Det"/>
      <sheetName val="Abs"/>
      <sheetName val="data -1"/>
      <sheetName val="Main Building Details"/>
      <sheetName val="det -detail"/>
      <sheetName val="Electrical E DATA"/>
      <sheetName val="Sheet5"/>
      <sheetName val="General. Abstract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390">
          <cell r="I390">
            <v>0</v>
          </cell>
        </row>
        <row r="1220">
          <cell r="G1220">
            <v>0.23</v>
          </cell>
        </row>
        <row r="1221">
          <cell r="G1221">
            <v>0.23</v>
          </cell>
        </row>
        <row r="1222">
          <cell r="G1222">
            <v>0.23</v>
          </cell>
        </row>
        <row r="1223">
          <cell r="G1223">
            <v>0.23</v>
          </cell>
        </row>
      </sheetData>
      <sheetData sheetId="43"/>
      <sheetData sheetId="44"/>
      <sheetData sheetId="45"/>
      <sheetData sheetId="46"/>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TW SHED"/>
      <sheetName val="Four"/>
      <sheetName val="Development - ii"/>
      <sheetName val="pile data ( M20 grade)"/>
      <sheetName val="Elec.abs"/>
      <sheetName val="OHT(A4)"/>
      <sheetName val="Sheet3"/>
      <sheetName val="paver"/>
      <sheetName val="SEPTIC TANK (A4)"/>
      <sheetName val="P.P WALL (A4)"/>
      <sheetName val="SL DRAIN (A4)"/>
      <sheetName val="Storm Water Drain"/>
      <sheetName val="SUMP (A4)"/>
      <sheetName val="Culvert"/>
      <sheetName val="Building (2)"/>
      <sheetName val="Building (3)"/>
      <sheetName val="G. Abstractfinal"/>
      <sheetName val="Water supply Data"/>
      <sheetName val="Sheet2"/>
      <sheetName val="Data water"/>
      <sheetName val="Data water (2)"/>
      <sheetName val="Abs"/>
      <sheetName val="Det"/>
      <sheetName val="Elec.Data"/>
      <sheetName val="Data estimate"/>
      <sheetName val="water pipe data"/>
      <sheetName val="cub data"/>
      <sheetName val="  external water supply "/>
      <sheetName val="New Data"/>
      <sheetName val="lead  charge"/>
      <sheetName val="Sliding and french window"/>
      <sheetName val="  Coastal  Elec.Data "/>
      <sheetName val="pile data ( M30 grade) (2)"/>
      <sheetName val="Sheet1 (2)"/>
      <sheetName val="electrical"/>
      <sheetName val="Development - i (2)"/>
      <sheetName val="Bore &amp; Ex.water Supply"/>
      <sheetName val="CULVERT (2)"/>
      <sheetName val="PP "/>
      <sheetName val="Pavour Block"/>
      <sheetName val="Fire Fighting Arrg"/>
      <sheetName val="CCTV Trichy"/>
      <sheetName val="Sullage Drain"/>
      <sheetName val="Design of septic tank"/>
      <sheetName val="Sump det"/>
      <sheetName val="Septic tank"/>
      <sheetName val="design of Rec sump"/>
      <sheetName val="Furniture Arrangements"/>
      <sheetName val="cub data (2)"/>
      <sheetName val="DG Set Det"/>
      <sheetName val="Development - i"/>
      <sheetName val="General. Abstract "/>
      <sheetName val="Electrical Estimate"/>
      <sheetName val="det -detail"/>
      <sheetName val="Development - i (3)"/>
      <sheetName val="Abstract"/>
      <sheetName val="D1"/>
      <sheetName val="D2"/>
      <sheetName val="D3"/>
      <sheetName val="ABSTYRACT G"/>
      <sheetName val="Data"/>
      <sheetName val="Main Building Details"/>
      <sheetName val="data -1"/>
      <sheetName val="CD-1"/>
      <sheetName val="CD-2"/>
      <sheetName val="cd-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5">
          <cell r="B5" t="str">
            <v>Earth work excavation in all soils (including refilling)</v>
          </cell>
          <cell r="C5" t="str">
            <v>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cell r="D5">
            <v>0</v>
          </cell>
        </row>
        <row r="6">
          <cell r="B6" t="str">
            <v xml:space="preserve">a. 0 to 2 mt.  Earth work excavation in all soils (including refilling) </v>
          </cell>
          <cell r="C6" t="str">
            <v>a)  0 to 2m depth.</v>
          </cell>
          <cell r="D6">
            <v>186.66</v>
          </cell>
        </row>
        <row r="7">
          <cell r="B7" t="str">
            <v xml:space="preserve">b. 2 to 3 mt.  Earth work excavation in all soils (including refilling) </v>
          </cell>
          <cell r="C7" t="str">
            <v>b)  2 to 3m depth.</v>
          </cell>
          <cell r="D7">
            <v>194.76</v>
          </cell>
        </row>
        <row r="8">
          <cell r="B8" t="str">
            <v>Earth work excavation in all soils (excluding refilling)</v>
          </cell>
          <cell r="C8" t="str">
            <v>Earth work excavation for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(Excluding Refilling)</v>
          </cell>
          <cell r="D8">
            <v>0</v>
          </cell>
        </row>
        <row r="9">
          <cell r="B9" t="str">
            <v>a. 0 to 2 mt. Earth work excavation in all soils (excluding refilling)</v>
          </cell>
          <cell r="C9" t="str">
            <v>a) 0 to 2m depth.</v>
          </cell>
          <cell r="D9">
            <v>176.4</v>
          </cell>
        </row>
        <row r="10">
          <cell r="B10" t="str">
            <v>b. 2 to 3 mt. Earth work excavation in all soils (excluding refilling)</v>
          </cell>
          <cell r="C10" t="str">
            <v>b) 2 to 3m depth.</v>
          </cell>
          <cell r="D10">
            <v>184.5</v>
          </cell>
        </row>
        <row r="11">
          <cell r="B11" t="str">
            <v>Earth work excavation in Soft disintegrated rock  (including refilling)</v>
          </cell>
          <cell r="C11" t="str">
            <v xml:space="preserve">Earth work excavation for foundation in soft disintegrated rock, soft laterite rock or kankar soft rock not requiring blasting inclusive of shoring, strutting and bailing out water wherever necessary and refilling the sides of foundation with excavated earth in 150mm thick layers well watered rammed and consolidated and depositing the surplus earth in places shown clearing and levelling the site with and initial lead of 10 metres and lift as specified hereunder etc., complete in all respects complying with relevant standard specifications. (including refilling)   </v>
          </cell>
          <cell r="D11">
            <v>0</v>
          </cell>
        </row>
        <row r="12">
          <cell r="B12" t="str">
            <v>a. 0 to 2 mt. Earth work excavation in Soft disintegrated rock  (including refilling)</v>
          </cell>
          <cell r="C12" t="str">
            <v>(a) 0 to 2m depth</v>
          </cell>
          <cell r="D12">
            <v>273.18</v>
          </cell>
        </row>
        <row r="13">
          <cell r="B13" t="str">
            <v xml:space="preserve">b. 2 to 3 mt.  Earth work excavation in all soils (including refilling) </v>
          </cell>
          <cell r="C13" t="str">
            <v>b)  2 to 3m depth.</v>
          </cell>
          <cell r="D13">
            <v>281.27999999999997</v>
          </cell>
        </row>
        <row r="14">
          <cell r="B14" t="str">
            <v>Earth work excavation for Open foundation (including refilling)</v>
          </cell>
          <cell r="C14" t="str">
            <v>earth work excavation for open foundation all soils and subsoils to the  required depth as may be directed except in hard rock requiring blasting but inclusive of shoring, strutting, and bailing out water wherever necessary and refilling the sides of foundation with  excavated earth in 150 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cell r="D14">
            <v>0</v>
          </cell>
        </row>
        <row r="15">
          <cell r="B15" t="str">
            <v>a. 0 to 2 mt.Earth work excavation for Open foundation (including refilling)</v>
          </cell>
          <cell r="C15" t="str">
            <v>(a) 0 to 2m depth</v>
          </cell>
          <cell r="D15">
            <v>98.46</v>
          </cell>
        </row>
        <row r="16">
          <cell r="B16" t="str">
            <v>b. 2 to 3 mt. Earth work excavation in Soft disintegrated rock  (including refilling)</v>
          </cell>
          <cell r="C16" t="str">
            <v>(b) 2 to 3m depth</v>
          </cell>
          <cell r="D16">
            <v>106.56</v>
          </cell>
        </row>
        <row r="17">
          <cell r="B17" t="str">
            <v>Earth work excavation for Open foundation (excluding refilling)</v>
          </cell>
          <cell r="C17" t="str">
            <v>Earth work excavation for open foundation in all soils and subsoils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 under etc. complete in all respects  complying with relevant standard specifications. (Excluding refilling)</v>
          </cell>
          <cell r="D17">
            <v>0</v>
          </cell>
        </row>
        <row r="18">
          <cell r="B18" t="str">
            <v>a. 0 to 2 mt.Earth work excavation for Open foundation (excluding refilling)</v>
          </cell>
          <cell r="C18" t="str">
            <v>(a) 0 to 2m depth</v>
          </cell>
          <cell r="D18">
            <v>88.2</v>
          </cell>
        </row>
        <row r="19">
          <cell r="B19" t="str">
            <v>b. 2 to 3 mt.Earth work excavation for Open foundation (excluding refilling)</v>
          </cell>
          <cell r="C19" t="str">
            <v>(b) 2 to 3m depth</v>
          </cell>
          <cell r="D19">
            <v>96.3</v>
          </cell>
        </row>
        <row r="20">
          <cell r="B20" t="str">
            <v>c. 3 to 4 mt.Earth work excavation for Open foundation (excluding refilling)</v>
          </cell>
          <cell r="C20" t="str">
            <v>c. 3 to 4 mt.</v>
          </cell>
          <cell r="D20">
            <v>104.4</v>
          </cell>
        </row>
        <row r="21">
          <cell r="B21" t="str">
            <v>d. 4 to 5 mt.Earth work excavation for Open foundation (excluding refilling)</v>
          </cell>
          <cell r="C21" t="str">
            <v>d. 4 to 5 mt.</v>
          </cell>
          <cell r="D21">
            <v>112.5</v>
          </cell>
        </row>
        <row r="22">
          <cell r="B22" t="str">
            <v>Earth work excavation for Open foundation  for drains (excluding refilling) width  upto 1.25 m</v>
          </cell>
          <cell r="C22" t="str">
            <v>Earth work excavation for open foundation for drains in all soils and subsoils to the required depth as may be directed except in hard rock requiring blasting, inclusive of shoring, strutting and bailing out water wherever necessary. (excluding refilling the sides of foundation) and depositing the earth in places shown clearing and leveling the site with an initial lead of 10 metres and lift as specified hereunder etc., complete in all respects complying with relevant standard specification (Excluding refilling) (drain having bed width upto 1.25 metre).</v>
          </cell>
          <cell r="D22">
            <v>0</v>
          </cell>
        </row>
        <row r="23">
          <cell r="B23" t="str">
            <v>a. 0 to 2 mt.Earth work excavation for Open foundation  for drains (excluding refilling) width  upto 1.25 m</v>
          </cell>
          <cell r="C23" t="str">
            <v>(a) 0 to 2m depth</v>
          </cell>
          <cell r="D23">
            <v>132.30000000000001</v>
          </cell>
        </row>
        <row r="24">
          <cell r="B24" t="str">
            <v>b. 2 to 3 mt.Earth work excavation for Open foundation  for drains (excluding refilling) width  upto 1.25 m</v>
          </cell>
          <cell r="C24" t="str">
            <v>(b) 2 to 3m depth</v>
          </cell>
          <cell r="D24">
            <v>140.4</v>
          </cell>
        </row>
        <row r="25">
          <cell r="B25" t="str">
            <v>Earth work excavation in Soft disintegrated rock (Excluding refilling)</v>
          </cell>
          <cell r="C25" t="str">
            <v>Earth work excavation for foundation in soft disintegrated rock, soft laterite rock or kankar soft rock not requiring blasting inclusive of shoring, strutting and bailing out water wherever necessary and refilling the sides of foundation with excavated earth in 150mm thick layers well watered rammed and consolidated and depositing the surplus earth in places shown clearing and levelling the site with and initial lead of 10 metres and lift as specified hereunder etc., complete in all respects complying with relevant standard specifications.(Excluding refilling)</v>
          </cell>
          <cell r="D25">
            <v>0</v>
          </cell>
        </row>
        <row r="26">
          <cell r="B26" t="str">
            <v>a. 0 to 2 mt.Earth work excavation in Soft disintegrated rock (Excluding refilling)</v>
          </cell>
          <cell r="C26" t="str">
            <v>(a) 0 to 2m depth</v>
          </cell>
          <cell r="D26">
            <v>262.92</v>
          </cell>
        </row>
        <row r="27">
          <cell r="B27" t="str">
            <v>b. 2 to 3 mt.Earth work excavation in Soft disintegrated rock (Excluding refilling)</v>
          </cell>
          <cell r="C27" t="str">
            <v>(b) 2 to 3m depth</v>
          </cell>
          <cell r="D27">
            <v>271.02</v>
          </cell>
        </row>
        <row r="28">
          <cell r="B28" t="str">
            <v>Earth work excavation in SDR for Open foundation  (excluding refilling)</v>
          </cell>
          <cell r="C28" t="str">
            <v>Earth work excavation for open foundation in soft disintegrated rock, laterite kankar or soft rock not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(Excluding refilling)</v>
          </cell>
          <cell r="D28">
            <v>0</v>
          </cell>
        </row>
        <row r="29">
          <cell r="B29" t="str">
            <v>a. 0 to 2 mt.Earth work excavation in SDR for Open foundation  (excluding refilling)</v>
          </cell>
          <cell r="C29" t="str">
            <v>(a) 0 to 2m depth</v>
          </cell>
          <cell r="D29">
            <v>131.46</v>
          </cell>
        </row>
        <row r="30">
          <cell r="B30" t="str">
            <v>b. 2 to 3 mt.Earth work excavation in SDR for Open foundation  (excluding refilling)</v>
          </cell>
          <cell r="C30" t="str">
            <v>(b) 2 to 3m depth</v>
          </cell>
          <cell r="D30">
            <v>139.56</v>
          </cell>
        </row>
        <row r="31">
          <cell r="B31" t="str">
            <v>Earth work excavation and depositing on bank withinitiallead of 10m and lift of 2.00m in narrow trenches for laying of pipes for water supply and sewerage works in the following types of soil strata as directed by departmental officers</v>
          </cell>
          <cell r="C31" t="str">
            <v>Earth work excavation and depositing on bank with initial lead of 10m and lift of 2.00m in narrow trenches for laying of pipes for water supply and sewerage works in the following types of soil strata as directed by departmental officers</v>
          </cell>
          <cell r="D31">
            <v>0</v>
          </cell>
        </row>
        <row r="32">
          <cell r="B32" t="str">
            <v>In Medium rock and dense medium rock not requiringblasting.</v>
          </cell>
          <cell r="C32" t="str">
            <v>In Medium rock and dense medium rock not requiring blasting.</v>
          </cell>
          <cell r="D32">
            <v>0</v>
          </cell>
        </row>
        <row r="33">
          <cell r="B33" t="str">
            <v>a. 0 to 2 mt.In Medium rock and dense medium rock not requiring blasting.</v>
          </cell>
          <cell r="C33" t="str">
            <v>(a) 0 to 2m depth</v>
          </cell>
          <cell r="D33">
            <v>0</v>
          </cell>
        </row>
        <row r="34">
          <cell r="B34" t="str">
            <v>b. 2 to 3 mt. In Medium rock and dense medium rock not requiring blasting.</v>
          </cell>
          <cell r="C34" t="str">
            <v>(b) 2 to 3m depth</v>
          </cell>
          <cell r="D34">
            <v>219.8</v>
          </cell>
        </row>
        <row r="35">
          <cell r="B35" t="str">
            <v>c. 3 to 4 mt. In Medium rock and dense medium rock not requiring blasting.</v>
          </cell>
          <cell r="C35" t="str">
            <v>(c) 3 to 4m depth</v>
          </cell>
          <cell r="D35">
            <v>230</v>
          </cell>
        </row>
        <row r="36">
          <cell r="B36" t="str">
            <v>Providing Driven PILES</v>
          </cell>
          <cell r="C36">
            <v>0</v>
          </cell>
          <cell r="D36">
            <v>0</v>
          </cell>
        </row>
        <row r="37">
          <cell r="B37" t="str">
            <v>a.300mm dia</v>
          </cell>
          <cell r="C37">
            <v>0</v>
          </cell>
          <cell r="D37">
            <v>0</v>
          </cell>
        </row>
        <row r="38">
          <cell r="B38" t="str">
            <v>b.330mm dia</v>
          </cell>
          <cell r="C38">
            <v>0</v>
          </cell>
          <cell r="D38">
            <v>0</v>
          </cell>
        </row>
        <row r="39">
          <cell r="B39" t="str">
            <v>c.375mm dia</v>
          </cell>
          <cell r="C39">
            <v>0</v>
          </cell>
          <cell r="D39">
            <v>0</v>
          </cell>
        </row>
        <row r="40">
          <cell r="B40" t="str">
            <v>d.400mm dia</v>
          </cell>
          <cell r="C40">
            <v>0</v>
          </cell>
          <cell r="D40">
            <v>0</v>
          </cell>
        </row>
        <row r="41">
          <cell r="B41" t="str">
            <v>e.450mm dia</v>
          </cell>
          <cell r="C41">
            <v>0</v>
          </cell>
          <cell r="D41">
            <v>0</v>
          </cell>
        </row>
        <row r="42">
          <cell r="B42" t="str">
            <v>f.500mm dia</v>
          </cell>
          <cell r="C42">
            <v>0</v>
          </cell>
          <cell r="D42">
            <v>0</v>
          </cell>
        </row>
        <row r="43">
          <cell r="B43" t="str">
            <v>Filling sand</v>
          </cell>
          <cell r="C43" t="str">
            <v>Supplying and filling in foundation and basement with filling sand in layers of 150 mm thickness well watered, rammed and consolidated complying with  relevant standard specification including cost of supplying filling sand.</v>
          </cell>
          <cell r="D43">
            <v>1630.29</v>
          </cell>
        </row>
        <row r="44">
          <cell r="B44" t="str">
            <v>Sand Gravel Mix</v>
          </cell>
          <cell r="C44" t="str">
            <v>providing sand gravel mix for foundation and basement in layers of 150mm thickness well watered, rammed and consolidated complying with relevant standard specifications. the sand gravel mix will be a proportion of 1:1 (i.e.) 0.70m3 of filling sand, 0.72m3 of gravel for every 1.00m3 compacted volume of sand gravel mix including cost and conveyance of sand and gravel from approved quarrys to work site including labour charges for mixing sand and gravel in the required proportion and consistency using soft potable water including all leads for water, spreading the mix in layers consolidating the same as directed by the departmental officers.</v>
          </cell>
          <cell r="D44">
            <v>1459.71</v>
          </cell>
        </row>
        <row r="45">
          <cell r="B45" t="str">
            <v>Supply and filling of 40 mm Brick jelly</v>
          </cell>
          <cell r="C45" t="str">
            <v>supplying and filling with 40mm size broken brick jelly in foundation and basement and other similar works including cost of materials, labour charges, etc., all complete and as directed by the departmental officers.</v>
          </cell>
          <cell r="D45">
            <v>774.17</v>
          </cell>
        </row>
        <row r="46">
          <cell r="B46" t="str">
            <v>Supply and filling of 20 mm Brick jelly</v>
          </cell>
          <cell r="C46" t="str">
            <v>supplying and filling with 20 mm size broken brick jelly in foundation and basement and other similar works including cost of materials, labour charges etc., all complete and as directed by the departmental officers.</v>
          </cell>
          <cell r="D46">
            <v>851.17</v>
          </cell>
        </row>
        <row r="47">
          <cell r="B47" t="str">
            <v>Gravel soling</v>
          </cell>
          <cell r="C47" t="str">
            <v>providing gravel soling of 150mm tk. (consolidated thickness) including cost and conveyance of good gravel of approved quality and stacking to departmental gauge for pre-measurement to the work spot, labour charges watering with soft potable water and including, cost and lead of water and consolidated by using power rollers at 8 to 10 tonne capacity including cost of tools and plants, fuel charges, labour charges etc., all complete and as directed by the departmental officers.</v>
          </cell>
          <cell r="D47">
            <v>332.65</v>
          </cell>
        </row>
        <row r="48">
          <cell r="B48" t="str">
            <v>Supply and filling of 40 mm HBSJ</v>
          </cell>
          <cell r="C48" t="str">
            <v>Supplying and filling with 40 mm size hard broken stone jelly in foundation and basement and other similar works including cost of materials, labour charges etc., all complete and as directed by the departmental officers.</v>
          </cell>
          <cell r="D48">
            <v>1097.17</v>
          </cell>
        </row>
        <row r="49">
          <cell r="B49" t="str">
            <v>Supply and filling of 20 mm HBSJ</v>
          </cell>
          <cell r="C49" t="str">
            <v>Supplying and filling with 20 mm size hard broken stone jelly in foundation and basement and other similar works including cost of materials, labour charges etc., all complete and as directed by the departmental officers.</v>
          </cell>
          <cell r="D49">
            <v>1491.17</v>
          </cell>
        </row>
        <row r="50">
          <cell r="B50" t="str">
            <v>C.C.1:5:10 for Foundation &amp; Basement</v>
          </cell>
          <cell r="C5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cell r="D50">
            <v>4152.67</v>
          </cell>
        </row>
        <row r="51">
          <cell r="B51" t="str">
            <v>P.C.C. 1:2:4 for Foundation &amp; Basement and other similar works</v>
          </cell>
          <cell r="C51" t="str">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and as directed by the departmental officers.</v>
          </cell>
          <cell r="D51">
            <v>5634.79</v>
          </cell>
        </row>
        <row r="52">
          <cell r="B52" t="str">
            <v>P.C.C. 1:8:16 using 20 mm broken brick jelly</v>
          </cell>
          <cell r="C52" t="str">
            <v>plain cement concrete 1:8:16 (one of cement, eight of sand and sixteen of broken brick jelly) for foundation and other similar works using 20mm gauge broken brick jelly inclusive of shoring, strutting and bailing out water wherever necessary ramming, curing etc., complete in all respects complying with relevant standard specifications and as directed by the departmental officers.</v>
          </cell>
          <cell r="D52">
            <v>3649.39</v>
          </cell>
        </row>
        <row r="53">
          <cell r="B53" t="str">
            <v>Providing  WBM 125  mm consolidated thick with gravel blindage</v>
          </cell>
          <cell r="C53" t="str">
            <v>Providing water bound macadam road 125 mm thick in two layers and the 1st layer of 75 mm thick with 50 mm size lrc metal with 25 mm thick gravel blind age and 2nd layer of 50mm thick with 40mm size irc metal with 20mm thick gravel blind age including cost and conveyance of irc metal and gravel of approved quality to work site, labour charges for spreading, and stacking to departmental gauge for pre-measurement, cost of soft potable water including lead for water and consolidated by using power rollers of 8 to 10 tonne capacity for both layers, labour charges for watering both the layers for 20 days and regulating traffic, hire charges for tools and plants, fuel charges, labour charges etc., all complete and as directed by the departmental officers.</v>
          </cell>
          <cell r="D53">
            <v>0</v>
          </cell>
        </row>
        <row r="54">
          <cell r="B54" t="str">
            <v>Surface dressing over WBM  25 mm thick</v>
          </cell>
          <cell r="C54" t="str">
            <v>surface dressing over wbm with pre-coated chips using 2.70m3 of 12mm chips per 100m2 and 44.00 kg of bitumen for 1.0m3 of chips for pre mixing and                                  100 kg of bitumen for tack coat per 100m2 and spreading river sand at the rate of 0.145m3/100m2 including cost of metal, bitumen of grade 80/100, rolling and consolidating by power roller of 8 to 10 tonne capacity including hire charges for tools and plants, fuel charges, etc. all complete and as directed by the departmental officers. (the bitumen 80/100 grade should be got approved from the executive engineer before use.)</v>
          </cell>
          <cell r="D54">
            <v>0</v>
          </cell>
        </row>
        <row r="55">
          <cell r="B55" t="str">
            <v>Providing  WBM 125  mm consolidated thick with gravel blindage(IRC 63 to 45mm for 75mm thick and 37.5 to 26.5mm for 50.mm thick)</v>
          </cell>
          <cell r="C55" t="str">
            <v>providing water bound macadam road 125 mm tk. in two layers and the 1st layer of 75 mm thick with 63mm to 45mm size irc metal with 25 mm thick gravel blind age and 2nd layer of 50mm thick with 37.5mm to 26.5mm size irc metal with 20mm thick gravel blind age including cost and conveyance of irc metal and gravel of approved quality to work site, labour charges for spreading and stacking to departmental gauge for pre-measurement, cost of soft potable water including lead for water and consolidated by using power rollers of 8 to 10 tonne capacity for both layers, labour charges for watering both the layers for 20 days and regulating traffic, hire charges for tools and plants, fuel charges, labour charges etc., all complete and as directed by the departmental officers.</v>
          </cell>
          <cell r="D55">
            <v>139.38999999999999</v>
          </cell>
        </row>
        <row r="56">
          <cell r="B56" t="str">
            <v>Surface dressing over WBM  25 mm tk.with pre-coated chips using 11.2mm size IRC</v>
          </cell>
          <cell r="C56" t="str">
            <v>surface dressing over wbm with precoated chips using 2.70m3 of 11.2mm chips per 100m2 and 44.00 kg of bitumen for 1.0m3 of chips for pre mixing and 100 kg of bitumen for tack coat per 100m2 and spreading river sand at the rate of 0.145m3/100m2 including cost of metal, bitumen of grade 80/100, rolling and consolidating by power roller of 8 to 10 tonne capacity including hire charges for tools and plants, fuel charges, etc. all complete and as directed by the departmental officers.(the bitumen 80/100 grade should be got approved from the executive engineer before use.)</v>
          </cell>
          <cell r="D56">
            <v>137.97999999999999</v>
          </cell>
        </row>
        <row r="57">
          <cell r="B57" t="str">
            <v>R.C.C. 1:2:4 Foundation and Basement</v>
          </cell>
          <cell r="C57" t="str">
            <v>cement concrete 1:2:4 (one of cement, two of sand and four of hard broken stone jelly)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 in foundation and basement.</v>
          </cell>
          <cell r="D57">
            <v>6892.46</v>
          </cell>
        </row>
        <row r="58">
          <cell r="B58" t="str">
            <v>R.C.C. 1: 11/2: 3 Foundation and Basement</v>
          </cell>
          <cell r="C58" t="str">
            <v>cement concrete 1:1½:3 (one of cement, one and half of sand and three of stone  jelly) for all reinforced cement concrete works, namely plinth beams, columns, tie beams, column footings, slab etc. using 20mm gauge hard broken stone jelly excluding the cost and fabrication of reinforcement grills, shuttering and centering but including vibrating, laying, curing with relevant standard specifications in foundation and basement.</v>
          </cell>
          <cell r="D58">
            <v>7517.1149999999998</v>
          </cell>
        </row>
        <row r="59">
          <cell r="B59" t="str">
            <v>R.R. masonry in C.M. 1:5 Foundation and Basment</v>
          </cell>
          <cell r="C59" t="str">
            <v>random rubble masonry works in cm 1:5 (one of cement and five of sand) using  selected similar size stones and bond stones in foundation and basement including dewatering wherever necessary, proper setting, curing etc., complete in all respects complying with relevant standard specifications.</v>
          </cell>
          <cell r="D59">
            <v>4438.3599999999997</v>
          </cell>
        </row>
        <row r="60">
          <cell r="B60" t="str">
            <v>Brick work in C.M. 1:5 (F&amp; B) using Chamber Burnt brick of size 23 x 11.2 x 7 cm (9" x 4 3/8" x 2 3/4")</v>
          </cell>
          <cell r="C60">
            <v>0</v>
          </cell>
          <cell r="D60">
            <v>6104.0769999999993</v>
          </cell>
        </row>
        <row r="61">
          <cell r="B61" t="str">
            <v>Brick work in C.M. 1:5 (F&amp; B) using chamber Burnt bricks of size 23 x 11.4 x 7.5 cm (9" x 4 1/2"x 3")</v>
          </cell>
          <cell r="C61" t="str">
            <v>brick work in cm 1:5 (one of cement and five of sand) using chamber burnt bricks of size 9"x4½”x3" (23x11.4x7.5cm) in foundation and basement including dewatering wherever necessary proper setting, curing etc., complete with relevant standard specifications.</v>
          </cell>
          <cell r="D61">
            <v>5788.96</v>
          </cell>
        </row>
        <row r="62">
          <cell r="B62" t="str">
            <v>Brick work in C.M. 1:5 (F&amp; B) using Chamber Burnt brick of size 23 x 11 x 7 cm (9" x 4 1/4" x 2 3/4")</v>
          </cell>
          <cell r="C62">
            <v>0</v>
          </cell>
          <cell r="D62">
            <v>0</v>
          </cell>
        </row>
        <row r="63">
          <cell r="B63" t="str">
            <v>Brick work in C.M. 1:5 (F&amp; B) using Chamber Burnt brick of size 22 x 11 x 7 cm (8 3/4" x 4 1/4" x 2 3/4")</v>
          </cell>
          <cell r="C63">
            <v>0</v>
          </cell>
          <cell r="D63">
            <v>0</v>
          </cell>
        </row>
        <row r="64">
          <cell r="B64" t="str">
            <v>Brick work in C.M. 1:5 (F&amp; B) using Kiln Burnt Country bricks of size 22 x 11 x 7 cm (8 3/4" x 4 1/4" x 2 3/4")</v>
          </cell>
          <cell r="C64" t="str">
            <v>Brick work in CM 1:5 (one of cement and five of sand) using kiln burnt country  bricks of size 8 3/4"x4 1/4"x2 3/4" (22x11x7cm) in foundation and basement including  dewatering wherever necessary proper setting curing etc., complete  with relevant standard specifications.</v>
          </cell>
          <cell r="D64">
            <v>5866.741</v>
          </cell>
        </row>
        <row r="65">
          <cell r="B65" t="str">
            <v>Brick work in C.M. 1:5 (F&amp; B) using Kiln Burnt Country bricks of size 22 x 11 x 5.7 cm (8 3/4" x 4 1/4" x 2 1/4")</v>
          </cell>
          <cell r="C65">
            <v>0</v>
          </cell>
          <cell r="D65">
            <v>0</v>
          </cell>
        </row>
        <row r="66">
          <cell r="B66" t="str">
            <v>Damp Proof Coursein C.M. 1:4, 12 MM thick mixed with Crude oil</v>
          </cell>
          <cell r="C66" t="str">
            <v>damp proof course in cm 1:4 (one of cement and four of sand) 12mm thick mixed with crude oil @ 5% by weight of cement, finishing, curing etc., complete and as directed by the departmental officers.</v>
          </cell>
          <cell r="D66">
            <v>0</v>
          </cell>
        </row>
        <row r="67">
          <cell r="B67" t="str">
            <v>Supply and fixing of Bituminous filler pad, 20 mm tk. for expansion joint</v>
          </cell>
          <cell r="C67" t="str">
            <v>Supplying and fixing of 20mm thick bituminous expansion joint filler pad of approved quality and make inclusive of conveyance charges, cutting the pad to the required size, cost of materials and labour charges for fixing in position wherever necessary for all floors etc., complete and as directed by the departmental officers.</v>
          </cell>
          <cell r="D67">
            <v>705</v>
          </cell>
        </row>
        <row r="68">
          <cell r="B68" t="str">
            <v>Damp Proof Course in C.M. 1:4, 12 MM thick mixed with Water proofing compound</v>
          </cell>
          <cell r="C68">
            <v>0</v>
          </cell>
          <cell r="D68">
            <v>263.10000000000002</v>
          </cell>
        </row>
        <row r="69">
          <cell r="B69" t="str">
            <v>R.C.C.1:2:4</v>
          </cell>
          <cell r="C69" t="str">
            <v xml:space="preserve">cement concrete 1:2:4 (one of cement, two of sand and four of hard broken stone jelly) for  all rcc works namely tee, ell or rectangular beams, lintel, parapet Cum. drops, waist and landing slab, canophy, circular column, fin projections, sunshades, window boxing slab, slab and other similar works using 20mm gauge hard  broken stone jelly excluding the cost and fabrication of reinforcement grills, shuttering and centering but including vibrating, laying, curing, finishing etc., complying with relevant standard specifications in the following floors. </v>
          </cell>
          <cell r="D69">
            <v>0</v>
          </cell>
        </row>
        <row r="70">
          <cell r="B70" t="str">
            <v>a. In Ground floor R.C.C.1:2:4</v>
          </cell>
          <cell r="C70" t="str">
            <v>(a) in ground floor</v>
          </cell>
          <cell r="D70">
            <v>6986.85</v>
          </cell>
        </row>
        <row r="71">
          <cell r="B71" t="str">
            <v>b. In First floorR.C.C.1:2:4</v>
          </cell>
          <cell r="C71" t="str">
            <v>(b) in first floor</v>
          </cell>
          <cell r="D71">
            <v>7172.7</v>
          </cell>
        </row>
        <row r="72">
          <cell r="B72" t="str">
            <v>c. In Second floor R.C.C.1:2:4</v>
          </cell>
          <cell r="C72" t="str">
            <v>(c) in second floor</v>
          </cell>
          <cell r="D72">
            <v>7358.55</v>
          </cell>
        </row>
        <row r="73">
          <cell r="B73" t="str">
            <v>d. In Third floor R.C.C.1:2:4</v>
          </cell>
          <cell r="C73" t="str">
            <v>(d) in third floor</v>
          </cell>
          <cell r="D73">
            <v>7544.4</v>
          </cell>
        </row>
        <row r="74">
          <cell r="B74" t="str">
            <v>e.  In Fourth floor R.C.C.1:2:4</v>
          </cell>
          <cell r="C74" t="str">
            <v>(e) in fourth floor</v>
          </cell>
          <cell r="D74">
            <v>7730.25</v>
          </cell>
        </row>
        <row r="75">
          <cell r="B75" t="str">
            <v>R.C.C.1: 1 1/2 :3</v>
          </cell>
          <cell r="C75" t="str">
            <v>cement concrete 1:1½:3 (one of cement, one and half of sand and three of hard broken stone jelly) for all rcc works namely tee, ell or rectangular beams, lintel, parapet Cum. drops, waist and landing slab, canophy, circular column, fin projections, sunshades, window boxing slab, loft and other similar works using 20mm gauge hard broken stone jelly excluding the cost and fabrication of reinforcement grills, shuttering and centering but including vibrating, laying, curing and finishing etc., complying with relevant standard specifications in the following floors</v>
          </cell>
          <cell r="D75">
            <v>0</v>
          </cell>
        </row>
        <row r="76">
          <cell r="B76" t="str">
            <v>a. In Ground floor R.C.C.1: 1 1/2 :3</v>
          </cell>
          <cell r="C76" t="str">
            <v>a. In Ground floor</v>
          </cell>
          <cell r="D76">
            <v>7611.51</v>
          </cell>
        </row>
        <row r="77">
          <cell r="B77" t="str">
            <v>b. In First floor R.C.C.1: 1 1/2 :3</v>
          </cell>
          <cell r="C77" t="str">
            <v>b. In First floor</v>
          </cell>
          <cell r="D77">
            <v>7797.36</v>
          </cell>
        </row>
        <row r="78">
          <cell r="B78" t="str">
            <v>c. In Second floor R.C.C.1: 1 1/2 :3</v>
          </cell>
          <cell r="C78" t="str">
            <v>c. In Second floor</v>
          </cell>
          <cell r="D78">
            <v>7983.21</v>
          </cell>
        </row>
        <row r="79">
          <cell r="B79" t="str">
            <v>d. In Third floor R.C.C.1: 1 1/2 :3</v>
          </cell>
          <cell r="C79" t="str">
            <v>d. In Third floor</v>
          </cell>
          <cell r="D79">
            <v>8169.06</v>
          </cell>
        </row>
        <row r="80">
          <cell r="B80" t="str">
            <v>e.  In Fourth floor R.C.C.1: 1 1/2 :3</v>
          </cell>
          <cell r="C80" t="str">
            <v>e.  In Fourth floor</v>
          </cell>
          <cell r="D80">
            <v>8354.91</v>
          </cell>
        </row>
        <row r="81">
          <cell r="B81" t="str">
            <v>f.  In Fifth floor R.C.C.1: 1 1/2 :3</v>
          </cell>
          <cell r="C81" t="str">
            <v>f.  In Fifth floor</v>
          </cell>
          <cell r="D81">
            <v>8540.76</v>
          </cell>
        </row>
        <row r="82">
          <cell r="B82" t="str">
            <v>g.  In sixth floor R.C.C.1: 1 1/2 :3</v>
          </cell>
          <cell r="C82" t="str">
            <v>g.  In sixth floor</v>
          </cell>
          <cell r="D82">
            <v>8726.61</v>
          </cell>
        </row>
        <row r="83">
          <cell r="B83" t="str">
            <v>h.  In seventh floor R.C.C.1: 1 1/2 :3</v>
          </cell>
          <cell r="C83" t="str">
            <v>h.  In seventh floor</v>
          </cell>
          <cell r="D83">
            <v>8912.4599999999991</v>
          </cell>
        </row>
        <row r="84">
          <cell r="B84" t="str">
            <v>i.  In eighth floor R.C.C.1: 1 1/2 :3</v>
          </cell>
          <cell r="C84" t="str">
            <v>i.  In eighth floor</v>
          </cell>
          <cell r="D84">
            <v>9098.31</v>
          </cell>
        </row>
        <row r="85">
          <cell r="B85" t="str">
            <v>j.  In Ninth floor R.C.C.1: 1 1/2 :3</v>
          </cell>
          <cell r="C85" t="str">
            <v>j.  In Ninth floor</v>
          </cell>
          <cell r="D85">
            <v>9284.16</v>
          </cell>
        </row>
        <row r="86">
          <cell r="B86" t="str">
            <v>k.  In Tenth floor R.C.C.1: 1 1/2 :3</v>
          </cell>
          <cell r="C86" t="str">
            <v>k.  In Tenth floor</v>
          </cell>
          <cell r="D86">
            <v>9470.01</v>
          </cell>
        </row>
        <row r="87">
          <cell r="B87" t="str">
            <v>l.  In Eleventh floor R.C.C.1: 1 1/2 :3</v>
          </cell>
          <cell r="C87" t="str">
            <v>l.  In Eleventh floor</v>
          </cell>
          <cell r="D87">
            <v>9655.86</v>
          </cell>
        </row>
        <row r="88">
          <cell r="B88" t="str">
            <v>m.  In Twelth floor R.C.C.1: 1 1/2 :3</v>
          </cell>
          <cell r="C88" t="str">
            <v>m.  In Twelth floor</v>
          </cell>
          <cell r="D88">
            <v>9841.7099999999991</v>
          </cell>
        </row>
        <row r="89">
          <cell r="B89" t="str">
            <v>Brick work in C.M. 1:6  using Chamber Burnt brick of size 23 x 11.2 x 7 cm (9" x 4 3/8" x 2 3/4")</v>
          </cell>
          <cell r="C89">
            <v>0</v>
          </cell>
          <cell r="D89">
            <v>0</v>
          </cell>
        </row>
        <row r="90">
          <cell r="B90" t="str">
            <v>a. In Ground Floor Brick work in C.M. 1:6  using Chamber Burnt brick of size 23 x 11.2 x 7 cm (9" x 4 3/8" x 2 3/4")</v>
          </cell>
          <cell r="C90">
            <v>0</v>
          </cell>
          <cell r="D90">
            <v>6096.6369999999997</v>
          </cell>
        </row>
        <row r="91">
          <cell r="B91" t="str">
            <v>b. In First floor Brick work in C.M. 1:6  using Chamber Burnt brick of size 23 x 11.2 x 7 cm (9" x 4 3/8" x 2 3/4")</v>
          </cell>
          <cell r="C91">
            <v>0</v>
          </cell>
          <cell r="D91">
            <v>6221.902</v>
          </cell>
        </row>
        <row r="92">
          <cell r="B92" t="str">
            <v>c. In Second Floor Brick work in C.M. 1:6  using Chamber Burnt brick of size 23 x 11.2 x 7 cm (9" x 4 3/8" x 2 3/4")</v>
          </cell>
          <cell r="C92">
            <v>0</v>
          </cell>
          <cell r="D92">
            <v>6347.1670000000004</v>
          </cell>
        </row>
        <row r="93">
          <cell r="B93" t="str">
            <v>d. In Third Floor Brick work in C.M. 1:6  using Chamber Burnt brick of size 23 x 11.2 x 7 cm (9" x 4 3/8" x 2 3/4")</v>
          </cell>
          <cell r="C93">
            <v>0</v>
          </cell>
          <cell r="D93">
            <v>6472.4320000000007</v>
          </cell>
        </row>
        <row r="94">
          <cell r="B94" t="str">
            <v>e. In Fourth Floor Brick work in C.M. 1:6  using Chamber Burnt brick of size 23 x 11.2 x 7 cm (9" x 4 3/8" x 2 3/4")</v>
          </cell>
          <cell r="C94">
            <v>0</v>
          </cell>
          <cell r="D94">
            <v>6597.697000000001</v>
          </cell>
        </row>
        <row r="95">
          <cell r="B95" t="str">
            <v>Brick work in C.M. 1:6 using chamber Burnt bricks of size 23 x 11.4 x 7.5 cm (9" x 4 1/2"x 3")</v>
          </cell>
          <cell r="C95" t="str">
            <v>brick work in cement mortar 1:6 (one of cement and six of sand) using chamber burnt bricks of size 9"x4½"x3" (23x11.4x7.5cm) for super structure in the following floors including labour for fixing the doors, windows and ventilator frames in position, fixing of hold fasts, scaffoldings, curing etc., complete in all respect complying with relevant standard specifications and drawings.</v>
          </cell>
          <cell r="D95">
            <v>0</v>
          </cell>
        </row>
        <row r="96">
          <cell r="B96" t="str">
            <v>a. In Ground Floor/Stilt floor Brick work in C.M. 1:6 using chamber Burnt bricks of size 23 x 11.4 x 7.5 cm (9" x 4 1/2"x 3")</v>
          </cell>
          <cell r="C96" t="str">
            <v>a. In Ground Floor/Stilt floor</v>
          </cell>
          <cell r="D96">
            <v>5795.44</v>
          </cell>
        </row>
        <row r="97">
          <cell r="B97" t="str">
            <v>b. In First Floor Brick work in C.M. 1:6 using chamber Burnt bricks of size 23 x 11.4 x 7.5 cm (9" x 4 1/2"x 3")</v>
          </cell>
          <cell r="C97" t="str">
            <v>b. In First Floor</v>
          </cell>
          <cell r="D97">
            <v>5920.71</v>
          </cell>
        </row>
        <row r="98">
          <cell r="B98" t="str">
            <v>c. In Second Floor Brick work in C.M. 1:6 using chamber Burnt bricks of size 23 x 11.4 x 7.5 cm (9" x 4 1/2"x 3")</v>
          </cell>
          <cell r="C98" t="str">
            <v>c. In Second Floor</v>
          </cell>
          <cell r="D98">
            <v>6045.97</v>
          </cell>
        </row>
        <row r="99">
          <cell r="B99" t="str">
            <v>d. In Third Floor Brick work in C.M. 1:6 using chamber Burnt bricks of size 23 x 11.4 x 7.5 cm (9" x 4 1/2"x 3")</v>
          </cell>
          <cell r="C99" t="str">
            <v>d. In Third Floor</v>
          </cell>
          <cell r="D99">
            <v>6171.24</v>
          </cell>
        </row>
        <row r="100">
          <cell r="B100" t="str">
            <v>e. In Fourth Floor Brick work in C.M. 1:6 using chamber Burnt bricks of size 23 x 11.4 x 7.5 cm (9" x 4 1/2"x 3")</v>
          </cell>
          <cell r="C100" t="str">
            <v>e. In Fourth Floor</v>
          </cell>
          <cell r="D100">
            <v>6296.5</v>
          </cell>
        </row>
        <row r="101">
          <cell r="B101" t="str">
            <v>f.  In Fifth floor Brick work in C.M. 1:6 using chamber Burnt bricks of size 23 x 11.4 x 7.5 cm (9" x 4 1/2"x 3")</v>
          </cell>
          <cell r="C101" t="str">
            <v>f.  In Fifth floor</v>
          </cell>
          <cell r="D101">
            <v>6421.77</v>
          </cell>
        </row>
        <row r="102">
          <cell r="B102" t="str">
            <v>g.  In sixth floor Brick work in C.M. 1:6 using chamber Burnt bricks of size 23 x 11.4 x 7.5 cm (9" x 4 1/2"x 3")</v>
          </cell>
          <cell r="C102" t="str">
            <v>g.  In sixth floor</v>
          </cell>
          <cell r="D102">
            <v>6547.03</v>
          </cell>
        </row>
        <row r="103">
          <cell r="B103" t="str">
            <v>h.  In seventh floor Brick work in C.M. 1:6 using chamber Burnt bricks of size 23 x 11.4 x 7.5 cm (9" x 4 1/2"x 3")</v>
          </cell>
          <cell r="C103" t="str">
            <v>h.  In seventh floor</v>
          </cell>
          <cell r="D103">
            <v>6672.3</v>
          </cell>
        </row>
        <row r="104">
          <cell r="B104" t="str">
            <v>i.  In eighth floor Brick work in C.M. 1:6 using chamber Burnt bricks of size 23 x 11.4 x 7.5 cm (9" x 4 1/2"x 3")</v>
          </cell>
          <cell r="C104" t="str">
            <v>i.  In eighth floor</v>
          </cell>
          <cell r="D104">
            <v>6797.56</v>
          </cell>
        </row>
        <row r="105">
          <cell r="B105" t="str">
            <v>j.  In Ninth floor Brick work in C.M. 1:6 using chamber Burnt bricks of size 23 x 11.4 x 7.5 cm (9" x 4 1/2"x 3")</v>
          </cell>
          <cell r="C105" t="str">
            <v>j.  In Ninth floor</v>
          </cell>
          <cell r="D105">
            <v>6922.83</v>
          </cell>
        </row>
        <row r="106">
          <cell r="B106" t="str">
            <v>k.  In Tenth floor Brick work in C.M. 1:6 using chamber Burnt bricks of size 23 x 11.4 x 7.5 cm (9" x 4 1/2"x 3")</v>
          </cell>
          <cell r="C106" t="str">
            <v>k.  In Tenth floor</v>
          </cell>
          <cell r="D106">
            <v>7048.09</v>
          </cell>
        </row>
        <row r="107">
          <cell r="B107" t="str">
            <v>l.  In Eleventh floor Brick work in C.M. 1:6 using chamber Burnt bricks of size 23 x 11.4 x 7.5 cm (9" x 4 1/2"x 3")</v>
          </cell>
          <cell r="C107" t="str">
            <v>l.  In Eleventh floor</v>
          </cell>
          <cell r="D107">
            <v>7173.36</v>
          </cell>
        </row>
        <row r="108">
          <cell r="B108" t="str">
            <v>m.  In Twelth floor Brick work in C.M. 1:6 using chamber Burnt bricks of size 23 x 11.4 x 7.5 cm (9" x 4 1/2"x 3")</v>
          </cell>
          <cell r="C108" t="str">
            <v>m.  In Twelth floor</v>
          </cell>
          <cell r="D108">
            <v>7298.62</v>
          </cell>
        </row>
        <row r="109">
          <cell r="B109" t="str">
            <v>n. In thirteen floor Brick work in C.M. 1:6 using chamber Burnt bricks of size 23 x 11.4 x 7.5 cm (9" x 4 1/2"x 3")</v>
          </cell>
          <cell r="C109" t="str">
            <v>n. In thirteen floor</v>
          </cell>
          <cell r="D109">
            <v>7423.89</v>
          </cell>
        </row>
        <row r="110">
          <cell r="B110" t="str">
            <v>Brick work in C.M. 1:6  using Chamber Burnt brick of size 23 x 11 x 7 cm (9" x 4 1/4" x 2 3/4")</v>
          </cell>
          <cell r="C110">
            <v>0</v>
          </cell>
          <cell r="D110">
            <v>0</v>
          </cell>
        </row>
        <row r="111">
          <cell r="B111" t="str">
            <v>a. In Ground Floor Brick work in C.M. 1:6  using Chamber Burnt brick of size 23 x 11 x 7 cm (9" x 4 1/4" x 2 3/4")</v>
          </cell>
          <cell r="C111">
            <v>0</v>
          </cell>
          <cell r="D111">
            <v>0</v>
          </cell>
        </row>
        <row r="112">
          <cell r="B112" t="str">
            <v>b. In First Floor Brick work in C.M. 1:6  using Chamber Burnt brick of size 23 x 11 x 7 cm (9" x 4 1/4" x 2 3/4")</v>
          </cell>
          <cell r="C112">
            <v>0</v>
          </cell>
          <cell r="D112">
            <v>0</v>
          </cell>
        </row>
        <row r="113">
          <cell r="B113" t="str">
            <v>c. In Second Floor Brick work in C.M. 1:6  using Chamber Burnt brick of size 23 x 11 x 7 cm (9" x 4 1/4" x 2 3/4")</v>
          </cell>
          <cell r="C113">
            <v>0</v>
          </cell>
          <cell r="D113">
            <v>0</v>
          </cell>
        </row>
        <row r="114">
          <cell r="B114" t="str">
            <v>d. In Third Floor Brick work in C.M. 1:6  using Chamber Burnt brick of size 23 x 11 x 7 cm (9" x 4 1/4" x 2 3/4")</v>
          </cell>
          <cell r="C114">
            <v>0</v>
          </cell>
          <cell r="D114">
            <v>0</v>
          </cell>
        </row>
        <row r="115">
          <cell r="B115" t="str">
            <v>e. In Fourth Floor Brick work in C.M. 1:6  using Chamber Burnt brick of size 23 x 11 x 7 cm (9" x 4 1/4" x 2 3/4")</v>
          </cell>
          <cell r="C115">
            <v>0</v>
          </cell>
          <cell r="D115">
            <v>0</v>
          </cell>
        </row>
        <row r="116">
          <cell r="B116" t="str">
            <v>Brick work in C.M. 1:6  using Chamber Burnt brick of size 22 x 11 x 7 cm (8 3/4" x 4 1/4" x 2 3/4")</v>
          </cell>
          <cell r="C116">
            <v>0</v>
          </cell>
          <cell r="D116">
            <v>0</v>
          </cell>
        </row>
        <row r="117">
          <cell r="B117" t="str">
            <v>a. In Ground Floor Brick work in C.M. 1:6  using Chamber Burnt brick of size 22 x 11 x 7 cm (8 3/4" x 4 1/4" x 2 3/4")</v>
          </cell>
          <cell r="C117">
            <v>0</v>
          </cell>
          <cell r="D117">
            <v>0</v>
          </cell>
        </row>
        <row r="118">
          <cell r="B118" t="str">
            <v>b. In First Floor Brick work in C.M. 1:6  using Chamber Burnt brick of size 22 x 11 x 7 cm (8 3/4" x 4 1/4" x 2 3/4")</v>
          </cell>
          <cell r="C118">
            <v>0</v>
          </cell>
          <cell r="D118">
            <v>0</v>
          </cell>
        </row>
        <row r="119">
          <cell r="B119" t="str">
            <v>c. In Second Floor Brick work in C.M. 1:6  using Chamber Burnt brick of size 22 x 11 x 7 cm (8 3/4" x 4 1/4" x 2 3/4")</v>
          </cell>
          <cell r="C119">
            <v>0</v>
          </cell>
          <cell r="D119">
            <v>0</v>
          </cell>
        </row>
        <row r="120">
          <cell r="B120" t="str">
            <v>d. In Third Floor Brick work in C.M. 1:6  using Chamber Burnt brick of size 22 x 11 x 7 cm (8 3/4" x 4 1/4" x 2 3/4")</v>
          </cell>
          <cell r="C120">
            <v>0</v>
          </cell>
          <cell r="D120">
            <v>0</v>
          </cell>
        </row>
        <row r="121">
          <cell r="B121" t="str">
            <v>e. In Fourth Floor Brick work in C.M. 1:6  using Chamber Burnt brick of size 22 x 11 x 7 cm (8 3/4" x 4 1/4" x 2 3/4")</v>
          </cell>
          <cell r="C121">
            <v>0</v>
          </cell>
          <cell r="D121">
            <v>0</v>
          </cell>
        </row>
        <row r="122">
          <cell r="B122" t="str">
            <v>Brick work in C.M. 1:6  using Kiln Burnt Country bricks of size 22 x 11 x 7 cm ( 8 3/4" x 4 1/4" x 2 3/4")</v>
          </cell>
          <cell r="C122" t="str">
            <v>Brick work in cement mortar 1:6 (one of cement and six of sand) using kiln burnt country bricks of size 8 3/4"x4 1/4"x2 3/4" (22x11x7cm) for super structure in the following floors including labour for fixing the doors windows and ventilator frames in position, fixing of hold fasts, scaffoldings, curing etc., complete in all respects complying with relevant standard specifications and drawings.</v>
          </cell>
          <cell r="D122">
            <v>0</v>
          </cell>
        </row>
        <row r="123">
          <cell r="B123" t="str">
            <v>a. In Ground Floor Brick work in C.M. 1:6  using Kiln Burnt Country bricks of size 22 x 11 x 7 cm ( 8 3/4" x 4 1/4" x 2 3/4")</v>
          </cell>
          <cell r="C123" t="str">
            <v>(a) In Ground Floor</v>
          </cell>
          <cell r="D123">
            <v>5859.3</v>
          </cell>
        </row>
        <row r="124">
          <cell r="B124" t="str">
            <v>b. In First Floor Brick work in C.M. 1:6  using Kiln Burnt Country bricks of size 22 x 11 x 7 cm ( 8 3/4" x 4 1/4" x 2 3/4")</v>
          </cell>
          <cell r="C124" t="str">
            <v>(b) In First Floor</v>
          </cell>
          <cell r="D124">
            <v>5984.57</v>
          </cell>
        </row>
        <row r="125">
          <cell r="B125" t="str">
            <v>c. In Second Floor Brick work in C.M. 1:6  using Kiln Burnt Country bricks of size 22 x 11 x 7 cm ( 8 3/4" x 4 1/4" x 2 3/4")</v>
          </cell>
          <cell r="C125" t="str">
            <v>(c) In second floor</v>
          </cell>
          <cell r="D125">
            <v>6109.83</v>
          </cell>
        </row>
        <row r="126">
          <cell r="B126" t="str">
            <v>d. In Third Floor Brick work in C.M. 1:6  using Kiln Burnt Country bricks of size 22 x 11 x 7 cm ( 8 3/4" x 4 1/4" x 2 3/4")</v>
          </cell>
          <cell r="C126" t="str">
            <v>(d) In third floor</v>
          </cell>
          <cell r="D126">
            <v>6235.1</v>
          </cell>
        </row>
        <row r="127">
          <cell r="B127" t="str">
            <v>e. In Fourth Floor Brick work in C.M. 1:6  using Kiln Burnt Country bricks of size 22 x 11 x 7 cm ( 8 3/4" x 4 1/4" x 2 3/4")</v>
          </cell>
          <cell r="C127" t="str">
            <v>(e) In fourth floor</v>
          </cell>
          <cell r="D127">
            <v>6360.36</v>
          </cell>
        </row>
        <row r="128">
          <cell r="B128" t="str">
            <v>f. In Fifth Floor Brick work in C.M. 1:6  using Kiln Burnt Country bricks of size 22 x 11 x 7 cm ( 8 3/4" x 4 1/4" x 2 3/4")</v>
          </cell>
          <cell r="C128" t="str">
            <v>f. In Fifth Floor</v>
          </cell>
          <cell r="D128">
            <v>6485.63</v>
          </cell>
        </row>
        <row r="129">
          <cell r="B129" t="str">
            <v>g. In Sixth Floor Brick work in C.M. 1:6  using Kiln Burnt Country bricks of size 22 x 11 x 7 cm ( 8 3/4" x 4 1/4" x 2 3/4")</v>
          </cell>
          <cell r="C129" t="str">
            <v>g. In Sixth Floor</v>
          </cell>
          <cell r="D129">
            <v>6610.89</v>
          </cell>
        </row>
        <row r="130">
          <cell r="B130" t="str">
            <v>h. In Seventh Floor Brick work in C.M. 1:6  using Kiln Burnt Country bricks of size 22 x 11 x 7 cm ( 8 3/4" x 4 1/4" x 2 3/4")</v>
          </cell>
          <cell r="C130" t="str">
            <v>h. In Seventh Floor</v>
          </cell>
          <cell r="D130">
            <v>0</v>
          </cell>
        </row>
        <row r="131">
          <cell r="B131">
            <v>0</v>
          </cell>
          <cell r="C131">
            <v>0</v>
          </cell>
          <cell r="D131">
            <v>0</v>
          </cell>
        </row>
        <row r="132">
          <cell r="B132" t="str">
            <v>Brick work in C.M. 1:6  using Kiln Burnt Country bricks of size 22 x 11 x 5.7 cm (8 3/4" x 4 1/4" x 2 1/4")</v>
          </cell>
          <cell r="C132">
            <v>0</v>
          </cell>
          <cell r="D132">
            <v>0</v>
          </cell>
        </row>
        <row r="133">
          <cell r="B133" t="str">
            <v>a. In Ground Floor Brick work in C.M. 1:6  using Kiln Burnt Country bricks of size 22 x 11 x 5.7 cm (8 3/4" x 4 1/4" x 2 1/4")</v>
          </cell>
          <cell r="C133">
            <v>0</v>
          </cell>
          <cell r="D133">
            <v>0</v>
          </cell>
        </row>
        <row r="134">
          <cell r="B134" t="str">
            <v>b. In First Floor Brick work in C.M. 1:6  using Kiln Burnt Country bricks of size 22 x 11 x 5.7 cm (8 3/4" x 4 1/4" x 2 1/4")</v>
          </cell>
          <cell r="C134">
            <v>0</v>
          </cell>
          <cell r="D134">
            <v>0</v>
          </cell>
        </row>
        <row r="135">
          <cell r="B135" t="str">
            <v>c. In Second Floor Brick work in C.M. 1:6  using Kiln Burnt Country bricks of size 22 x 11 x 5.7 cm (8 3/4" x 4 1/4" x 2 1/4")</v>
          </cell>
          <cell r="C135">
            <v>0</v>
          </cell>
          <cell r="D135">
            <v>0</v>
          </cell>
        </row>
        <row r="136">
          <cell r="B136" t="str">
            <v>d. In Third Floor Brick work in C.M. 1:6  using Kiln Burnt Country bricks of size 22 x 11 x 5.7 cm (8 3/4" x 4 1/4" x 2 1/4")</v>
          </cell>
          <cell r="C136">
            <v>0</v>
          </cell>
          <cell r="D136">
            <v>0</v>
          </cell>
        </row>
        <row r="137">
          <cell r="B137" t="str">
            <v>e. In Fourth Floor Brick work in C.M. 1:6  using Kiln Burnt Country bricks of size 22 x 11 x 5.7 cm (8 3/4" x 4 1/4" x 2 1/4")</v>
          </cell>
          <cell r="C137">
            <v>0</v>
          </cell>
          <cell r="D137">
            <v>0</v>
          </cell>
        </row>
        <row r="138">
          <cell r="B138" t="str">
            <v>Brick partition work in C.M. 1:4 Chamber Burnt brick of size 23 x 11.2 x 7 cm (9" x 4 3/8" x 2 3/4")112 mm tk (B.P.)</v>
          </cell>
          <cell r="C138">
            <v>0</v>
          </cell>
          <cell r="D138">
            <v>0</v>
          </cell>
        </row>
        <row r="139">
          <cell r="B139" t="str">
            <v>a. In Foundation and basement Brick partition work in C.M. 1:4 Chamber Burnt brick of size 23 x 11.2 x 7 cm (9" x 4 3/8" x 2 3/4")112 mm tk (B.P.)</v>
          </cell>
          <cell r="C139">
            <v>0</v>
          </cell>
          <cell r="D139">
            <v>739.64</v>
          </cell>
        </row>
        <row r="140">
          <cell r="B140" t="str">
            <v>b. In Ground Floor Brick partition work in C.M. 1:4 Chamber Burnt brick of size 23 x 11.2 x 7 cm (9" x 4 3/8" x 2 3/4")112 mm tk (B.P.)</v>
          </cell>
          <cell r="C140">
            <v>0</v>
          </cell>
          <cell r="D140">
            <v>746.6</v>
          </cell>
        </row>
        <row r="141">
          <cell r="B141" t="str">
            <v>c. In First Floor Brick partition work in C.M. 1:4 Chamber Burnt brick of size 23 x 11.2 x 7 cm (9" x 4 3/8" x 2 3/4")112 mm tk (B.P.)</v>
          </cell>
          <cell r="C141">
            <v>0</v>
          </cell>
          <cell r="D141">
            <v>760.63</v>
          </cell>
        </row>
        <row r="142">
          <cell r="B142" t="str">
            <v>d. In Second Floor Brick partition work in C.M. 1:4 Chamber Burnt brick of size 23 x 11.2 x 7 cm (9" x 4 3/8" x 2 3/4")112 mm tk (B.P.)</v>
          </cell>
          <cell r="C142">
            <v>0</v>
          </cell>
          <cell r="D142">
            <v>774.66</v>
          </cell>
        </row>
        <row r="143">
          <cell r="B143" t="str">
            <v>e. In Third Floor Brick partition work in C.M. 1:4 Chamber Burnt brick of size 23 x 11.2 x 7 cm (9" x 4 3/8" x 2 3/4")112 mm tk (B.P.)</v>
          </cell>
          <cell r="C143">
            <v>0</v>
          </cell>
          <cell r="D143">
            <v>788.69</v>
          </cell>
        </row>
        <row r="144">
          <cell r="B144" t="str">
            <v>f. In Fourth Floor Brick partition work in C.M. 1:4 Chamber Burnt brick of size 23 x 11.2 x 7 cm (9" x 4 3/8" x 2 3/4")112 mm tk (B.P.)</v>
          </cell>
          <cell r="C144">
            <v>0</v>
          </cell>
          <cell r="D144">
            <v>802.72</v>
          </cell>
        </row>
        <row r="145">
          <cell r="B145" t="str">
            <v>Brick partition work in C.M. 1:4 using chamber Burnt bricks of size 23 x 11.4 x 7.5 cm (9" x 4 1/2"x 3") 114 mm tk (B.P.)</v>
          </cell>
          <cell r="C145" t="str">
            <v>brick partition wall in cement mortar 1:4 (one of cement and four of sand) 114mm thick for super structure in the following floors using chamber burnt bricks of size 9"x4½”x3" (23x11.4x7.5cm) including labour for fixing the doors, windows and ventilator frames in position, fixing of hold fasts, scaffoldings, curing etc., complete in all respect complying with relevant standard specifications and drawings.</v>
          </cell>
          <cell r="D145">
            <v>0</v>
          </cell>
        </row>
        <row r="146">
          <cell r="B146" t="str">
            <v>a. In Foundation and basementBrick partition work in C.M. 1:4 using chamber Burnt bricks of size 23 x 11.4 x 7.5 cm (9" x 4 1/2"x 3") 114 mm tk (B.P.)</v>
          </cell>
          <cell r="C146" t="str">
            <v>a. In Foundation and basement</v>
          </cell>
          <cell r="D146">
            <v>720.87</v>
          </cell>
        </row>
        <row r="147">
          <cell r="B147" t="str">
            <v>b. In Ground Floor/stilt floorBrick partition work in C.M. 1:4 using chamber Burnt bricks of size 23 x 11.4 x 7.5 cm (9" x 4 1/2"x 3") 114 mm tk (B.P.)</v>
          </cell>
          <cell r="C147" t="str">
            <v>b. In Ground Floor/stilt floor</v>
          </cell>
          <cell r="D147">
            <v>727.95</v>
          </cell>
        </row>
        <row r="148">
          <cell r="B148" t="str">
            <v>c. In First Floor Brick partition work in C.M. 1:4 using chamber Burnt bricks of size 23 x 11.4 x 7.5 cm (9" x 4 1/2"x 3") 114 mm tk (B.P.)</v>
          </cell>
          <cell r="C148" t="str">
            <v>c. In First Floor</v>
          </cell>
          <cell r="D148">
            <v>742.23</v>
          </cell>
        </row>
        <row r="149">
          <cell r="B149" t="str">
            <v>d. In Second Floor Brick partition work in C.M. 1:4 using chamber Burnt bricks of size 23 x 11.4 x 7.5 cm (9" x 4 1/2"x 3") 114 mm tk (B.P.)</v>
          </cell>
          <cell r="C149" t="str">
            <v>d. In Second Floor</v>
          </cell>
          <cell r="D149">
            <v>756.51</v>
          </cell>
        </row>
        <row r="150">
          <cell r="B150" t="str">
            <v>e. In Third Floor Brick partition work in C.M. 1:4 using chamber Burnt bricks of size 23 x 11.4 x 7.5 cm (9" x 4 1/2"x 3") 114 mm tk (B.P.)</v>
          </cell>
          <cell r="C150" t="str">
            <v>e. In Third Floor</v>
          </cell>
          <cell r="D150">
            <v>770.79</v>
          </cell>
        </row>
        <row r="151">
          <cell r="B151" t="str">
            <v>f. In Fourth FloorBrick partition work in C.M. 1:4 using chamber Burnt bricks of size 23 x 11.4 x 7.5 cm (9" x 4 1/2"x 3") 114 mm tk (B.P.)</v>
          </cell>
          <cell r="C151" t="str">
            <v>f. In Fourth Floor</v>
          </cell>
          <cell r="D151">
            <v>785.07</v>
          </cell>
        </row>
        <row r="152">
          <cell r="B152" t="str">
            <v>f.  In Fifth floor Brick partition work in C.M. 1:4 using chamber Burnt bricks of size 23 x 11.4 x 7.5 cm (9" x 4 1/2"x 3") 114 mm tk (B.P.)</v>
          </cell>
          <cell r="C152" t="str">
            <v>f.  In Fifth floor</v>
          </cell>
          <cell r="D152">
            <v>799.35</v>
          </cell>
        </row>
        <row r="153">
          <cell r="B153" t="str">
            <v>g.  In sixth floor Brick partition work in C.M. 1:4 using chamber Burnt bricks of size 23 x 11.4 x 7.5 cm (9" x 4 1/2"x 3") 114 mm tk (B.P.)</v>
          </cell>
          <cell r="C153" t="str">
            <v>g.  In sixth floor</v>
          </cell>
          <cell r="D153">
            <v>813.63</v>
          </cell>
        </row>
        <row r="154">
          <cell r="B154" t="str">
            <v>h.  In seventh floor Brick partition work in C.M. 1:4 using chamber Burnt bricks of size 23 x 11.4 x 7.5 cm (9" x 4 1/2"x 3") 114 mm tk (B.P.)</v>
          </cell>
          <cell r="C154" t="str">
            <v>h.  In seventh floor</v>
          </cell>
          <cell r="D154">
            <v>827.91</v>
          </cell>
        </row>
        <row r="155">
          <cell r="B155" t="str">
            <v>i.  In eighth floor Brick partition work in C.M. 1:4 using chamber Burnt bricks of size 23 x 11.4 x 7.5 cm (9" x 4 1/2"x 3") 114 mm tk (B.P.)</v>
          </cell>
          <cell r="C155" t="str">
            <v>i.  In eighth floor</v>
          </cell>
          <cell r="D155">
            <v>842.19</v>
          </cell>
        </row>
        <row r="156">
          <cell r="B156" t="str">
            <v>j.  In Ninth floor Brick partition work in C.M. 1:4 using chamber Burnt bricks of size 23 x 11.4 x 7.5 cm (9" x 4 1/2"x 3") 114 mm tk (B.P.)</v>
          </cell>
          <cell r="C156" t="str">
            <v>j.  In Ninth floor</v>
          </cell>
          <cell r="D156">
            <v>856.47</v>
          </cell>
        </row>
        <row r="157">
          <cell r="B157" t="str">
            <v>k.  In Tenth floor Brick partition work in C.M. 1:4 using chamber Burnt bricks of size 23 x 11.4 x 7.5 cm (9" x 4 1/2"x 3") 114 mm tk (B.P.)</v>
          </cell>
          <cell r="C157" t="str">
            <v>k.  In Tenth floor</v>
          </cell>
          <cell r="D157">
            <v>870.75</v>
          </cell>
        </row>
        <row r="158">
          <cell r="B158" t="str">
            <v>l.  In Eleventh floor Brick partition work in C.M. 1:4 using chamber Burnt bricks of size 23 x 11.4 x 7.5 cm (9" x 4 1/2"x 3") 114 mm tk (B.P.)</v>
          </cell>
          <cell r="C158" t="str">
            <v>l.  In Eleventh floor</v>
          </cell>
          <cell r="D158">
            <v>885.03</v>
          </cell>
        </row>
        <row r="159">
          <cell r="B159" t="str">
            <v>m.  In Twelth floor Brick partition work in C.M. 1:4 using chamber Burnt bricks of size 23 x 11.4 x 7.5 cm (9" x 4 1/2"x 3") 114 mm tk (B.P.)</v>
          </cell>
          <cell r="C159" t="str">
            <v>m.  In Twelth floor</v>
          </cell>
          <cell r="D159">
            <v>899.31396870000015</v>
          </cell>
        </row>
        <row r="160">
          <cell r="B160" t="str">
            <v>n. In thirteen floor Brick partition work in C.M. 1:4 using chamber Burnt bricks of size 23 x 11.4 x 7.5 cm (9" x 4 1/2"x 3") 114 mm tk (B.P.)</v>
          </cell>
          <cell r="C160" t="str">
            <v>n. In thirteen floor</v>
          </cell>
          <cell r="D160">
            <v>913.59417870000016</v>
          </cell>
        </row>
        <row r="161">
          <cell r="B161" t="str">
            <v>Brick partition work in C.M. 1:4 Chamber Burnt brick of size 23 x 11 x 7 cm (9" x 4 1/4" x 2 3/4") 110 mm tk (B.P.)</v>
          </cell>
          <cell r="C161">
            <v>0</v>
          </cell>
          <cell r="D161">
            <v>0</v>
          </cell>
        </row>
        <row r="162">
          <cell r="B162" t="str">
            <v>a. In Foundation and basement Brick partition work in C.M. 1:4 Chamber Burnt brick of size 23 x 11 x 7 cm (9" x 4 1/4" x 2 3/4") 110 mm tk (B.P.)</v>
          </cell>
          <cell r="C162">
            <v>0</v>
          </cell>
          <cell r="D162">
            <v>0</v>
          </cell>
        </row>
        <row r="163">
          <cell r="B163" t="str">
            <v>b. In Ground Floor Brick partition work in C.M. 1:4 Chamber Burnt brick of size 23 x 11 x 7 cm (9" x 4 1/4" x 2 3/4") 110 mm tk (B.P.)</v>
          </cell>
          <cell r="C163">
            <v>0</v>
          </cell>
          <cell r="D163">
            <v>0</v>
          </cell>
        </row>
        <row r="164">
          <cell r="B164" t="str">
            <v>c. In First Floor  Brick partition work in C.M. 1:4 Chamber Burnt brick of size 23 x 11 x 7 cm (9" x 4 1/4" x 2 3/4") 110 mm tk (B.P.)</v>
          </cell>
          <cell r="C164">
            <v>0</v>
          </cell>
          <cell r="D164">
            <v>0</v>
          </cell>
        </row>
        <row r="165">
          <cell r="B165" t="str">
            <v>d. In Second Floor Brick partition work in C.M. 1:4 Chamber Burnt brick of size 23 x 11 x 7 cm (9" x 4 1/4" x 2 3/4") 110 mm tk (B.P.)</v>
          </cell>
          <cell r="C165">
            <v>0</v>
          </cell>
          <cell r="D165">
            <v>0</v>
          </cell>
        </row>
        <row r="166">
          <cell r="B166" t="str">
            <v>e. In Third FloorBrick partition work in C.M. 1:4 Chamber Burnt brick of size 23 x 11 x 7 cm (9" x 4 1/4" x 2 3/4") 110 mm tk (B.P.)</v>
          </cell>
          <cell r="C166">
            <v>0</v>
          </cell>
          <cell r="D166">
            <v>0</v>
          </cell>
        </row>
        <row r="167">
          <cell r="B167" t="str">
            <v>f. In Fourth Floor Brick partition work in C.M. 1:4 Chamber Burnt brick of size 23 x 11 x 7 cm (9" x 4 1/4" x 2 3/4") 110 mm tk (B.P.)</v>
          </cell>
          <cell r="C167">
            <v>0</v>
          </cell>
          <cell r="D167">
            <v>0</v>
          </cell>
        </row>
        <row r="168">
          <cell r="B168" t="str">
            <v>Brick partition work in C.M. 1:4 Chamber Burnt brick of size 22 x 11 x 7 cm (8 3/4" x 4 1/4" x 2 3/4") 110 mm tk (B.P.)</v>
          </cell>
          <cell r="C168">
            <v>0</v>
          </cell>
          <cell r="D168">
            <v>0</v>
          </cell>
        </row>
        <row r="169">
          <cell r="B169" t="str">
            <v>a. In Foundation and basement Brick partition work in C.M. 1:4 Chamber Burnt brick of size 22 x 11 x 7 cm (8 3/4" x 4 1/4" x 2 3/4") 110 mm tk (B.P.)</v>
          </cell>
          <cell r="C169">
            <v>0</v>
          </cell>
          <cell r="D169">
            <v>0</v>
          </cell>
        </row>
        <row r="170">
          <cell r="B170" t="str">
            <v>b. In Ground FloorBrick partition work in C.M. 1:4 Chamber Burnt brick of size 22 x 11 x 7 cm (8 3/4" x 4 1/4" x 2 3/4") 110 mm tk (B.P.)</v>
          </cell>
          <cell r="C170">
            <v>0</v>
          </cell>
          <cell r="D170">
            <v>0</v>
          </cell>
        </row>
        <row r="171">
          <cell r="B171" t="str">
            <v>c. In First Floor Brick partition work in C.M. 1:4 Chamber Burnt brick of size 22 x 11 x 7 cm (8 3/4" x 4 1/4" x 2 3/4") 110 mm tk (B.P.)</v>
          </cell>
          <cell r="C171">
            <v>0</v>
          </cell>
          <cell r="D171">
            <v>0</v>
          </cell>
        </row>
        <row r="172">
          <cell r="B172" t="str">
            <v>d. In Second FloorBrick partition work in C.M. 1:4 Chamber Burnt brick of size 22 x 11 x 7 cm (8 3/4" x 4 1/4" x 2 3/4") 110 mm tk (B.P.)</v>
          </cell>
          <cell r="C172">
            <v>0</v>
          </cell>
          <cell r="D172">
            <v>0</v>
          </cell>
        </row>
        <row r="173">
          <cell r="B173" t="str">
            <v>e. In Third Floor Brick partition work in C.M. 1:4 Chamber Burnt brick of size 22 x 11 x 7 cm (8 3/4" x 4 1/4" x 2 3/4") 110 mm tk (B.P.)</v>
          </cell>
          <cell r="C173">
            <v>0</v>
          </cell>
          <cell r="D173">
            <v>0</v>
          </cell>
        </row>
        <row r="174">
          <cell r="B174" t="str">
            <v>f. In Fourth FloorBrick partition work in C.M. 1:4 Chamber Burnt brick of size 22 x 11 x 7 cm (8 3/4" x 4 1/4" x 2 3/4") 110 mm tk (B.P.)</v>
          </cell>
          <cell r="C174">
            <v>0</v>
          </cell>
          <cell r="D174">
            <v>0</v>
          </cell>
        </row>
        <row r="175">
          <cell r="B175" t="str">
            <v>Brick partition work in C.M. 1:4 Kiln Burnt Country bricks of size 22 x 11 x 7 cm (8 3/4" x 4 1/4" x 2 3/4") 110 mm tk (B.P.)</v>
          </cell>
          <cell r="C175" t="str">
            <v>Brick partition wall in cement mortar 1:4 (one of cement and four of sand) 110mm thick for super structure in the follwing floors using kiln burnt country bricks of size  of 83/4" x 41/4" x 23/4" (22x11x7cm) including  labour for fixing the doors, windows and ventilator frames in position, fixing of hold fasts, scaffoldings, curing etc., complete in all respects complying with relevant standard specifications and drawings.</v>
          </cell>
          <cell r="D175">
            <v>0</v>
          </cell>
        </row>
        <row r="176">
          <cell r="B176" t="str">
            <v>a. In Foundation and basementBrick partition work in C.M. 1:4 Kiln Burnt Country bricks of size 22 x 11 x 7 cm (8 3/4" x 4 1/4" x 2 3/4") 110 mm tk (B.P.)</v>
          </cell>
          <cell r="C176" t="str">
            <v>(a) In Foundation and Basement</v>
          </cell>
          <cell r="D176">
            <v>701.77</v>
          </cell>
        </row>
        <row r="177">
          <cell r="B177" t="str">
            <v>b. In Ground FloorBrick partition work in C.M. 1:4 Kiln Burnt Country bricks of size 22 x 11 x 7 cm (8 3/4" x 4 1/4" x 2 3/4") 110 mm tk (B.P.)</v>
          </cell>
          <cell r="C177" t="str">
            <v>(b) In Ground Floor</v>
          </cell>
          <cell r="D177">
            <v>708.61</v>
          </cell>
        </row>
        <row r="178">
          <cell r="B178" t="str">
            <v>c. In First Floor Brick partition work in C.M. 1:4 Kiln Burnt Country bricks of size 22 x 11 x 7 cm (8 3/4" x 4 1/4" x 2 3/4") 110 mm tk (B.P.)</v>
          </cell>
          <cell r="C178" t="str">
            <v>(c) In First Floor</v>
          </cell>
          <cell r="D178">
            <v>722.38</v>
          </cell>
        </row>
        <row r="179">
          <cell r="B179" t="str">
            <v>d. In Second FloorBrick partition work in C.M. 1:4 Kiln Burnt Country bricks of size 22 x 11 x 7 cm (8 3/4" x 4 1/4" x 2 3/4") 110 mm tk (B.P.)</v>
          </cell>
          <cell r="C179" t="str">
            <v>(d) In Second Floor</v>
          </cell>
          <cell r="D179">
            <v>736.16</v>
          </cell>
        </row>
        <row r="180">
          <cell r="B180" t="str">
            <v>e. In Third FloorBrick partition work in C.M. 1:4 Kiln Burnt Country bricks of size 22 x 11 x 7 cm (8 3/4" x 4 1/4" x 2 3/4") 110 mm tk (B.P.)</v>
          </cell>
          <cell r="C180" t="str">
            <v>(e) in third floor</v>
          </cell>
          <cell r="D180">
            <v>749.94</v>
          </cell>
        </row>
        <row r="181">
          <cell r="B181" t="str">
            <v>f. In Fourth FloorBrick partition work in C.M. 1:4 Kiln Burnt Country bricks of size 22 x 11 x 7 cm (8 3/4" x 4 1/4" x 2 3/4") 110 mm tk (B.P.)</v>
          </cell>
          <cell r="C181" t="str">
            <v>(f) in fourth floor</v>
          </cell>
          <cell r="D181">
            <v>763.72</v>
          </cell>
        </row>
        <row r="182">
          <cell r="B182" t="str">
            <v>g.  In Fifth floorBrick partition work in C.M. 1:4 Kiln Burnt Country bricks of size 22 x 11 x 7 cm (8 3/4" x 4 1/4" x 2 3/4") 110 mm tk (B.P.)</v>
          </cell>
          <cell r="C182" t="str">
            <v>(g)  In Fifth floor</v>
          </cell>
          <cell r="D182">
            <v>777.5</v>
          </cell>
        </row>
        <row r="183">
          <cell r="B183" t="str">
            <v>h.  In sixth floor Brick partition work in C.M. 1:4 Kiln Burnt Country bricks of size 22 x 11 x 7 cm (8 3/4" x 4 1/4" x 2 3/4") 110 mm tk (B.P.)</v>
          </cell>
          <cell r="C183" t="str">
            <v>(h).  In sixth floor</v>
          </cell>
          <cell r="D183">
            <v>791.28</v>
          </cell>
        </row>
        <row r="184">
          <cell r="B184" t="str">
            <v>i.  In seventh floor Brick partition work in C.M. 1:4 Kiln Burnt Country bricks of size 22 x 11 x 7 cm (8 3/4" x 4 1/4" x 2 3/4") 110 mm tk (B.P.)</v>
          </cell>
          <cell r="C184" t="str">
            <v>(h).  In sixth floor</v>
          </cell>
          <cell r="D184">
            <v>805.06</v>
          </cell>
        </row>
        <row r="185">
          <cell r="B185" t="str">
            <v>Brick partition work in C.M. 1:4 Kiln Burnt Country bricks of size 22 x 11 x 5.7 cm (8 3/4" x 4 1/4" x 2 1/4") 110 mm tk (B.P.)</v>
          </cell>
          <cell r="C185">
            <v>0</v>
          </cell>
          <cell r="D185">
            <v>0</v>
          </cell>
        </row>
        <row r="186">
          <cell r="B186" t="str">
            <v>a. In Foundation and basement  Brick partition work in C.M. 1:4 Kiln Burnt Country bricks of size 22 x 11 x 5.7 cm (8 3/4" x 4 1/4" x 2 1/4") 110 mm tk (B.P.)</v>
          </cell>
          <cell r="C186">
            <v>0</v>
          </cell>
          <cell r="D186">
            <v>0</v>
          </cell>
        </row>
        <row r="187">
          <cell r="B187" t="str">
            <v>b. In Ground Floor Brick partition work in C.M. 1:4 Kiln Burnt Country bricks of size 22 x 11 x 5.7 cm (8 3/4" x 4 1/4" x 2 1/4") 110 mm tk (B.P.)</v>
          </cell>
          <cell r="C187">
            <v>0</v>
          </cell>
          <cell r="D187">
            <v>0</v>
          </cell>
        </row>
        <row r="188">
          <cell r="B188" t="str">
            <v>c. In First Floor Brick partition work in C.M. 1:4 Kiln Burnt Country bricks of size 22 x 11 x 5.7 cm (8 3/4" x 4 1/4" x 2 1/4") 110 mm tk (B.P.)</v>
          </cell>
          <cell r="C188">
            <v>0</v>
          </cell>
          <cell r="D188">
            <v>0</v>
          </cell>
        </row>
        <row r="189">
          <cell r="B189" t="str">
            <v>d. In Second Floor Brick partition work in C.M. 1:4 Kiln Burnt Country bricks of size 22 x 11 x 5.7 cm (8 3/4" x 4 1/4" x 2 1/4") 110 mm tk (B.P.)</v>
          </cell>
          <cell r="C189">
            <v>0</v>
          </cell>
          <cell r="D189">
            <v>0</v>
          </cell>
        </row>
        <row r="190">
          <cell r="B190" t="str">
            <v>e. In Third Floor Brick partition work in C.M. 1:4 Kiln Burnt Country bricks of size 22 x 11 x 5.7 cm (8 3/4" x 4 1/4" x 2 1/4") 110 mm tk (B.P.)</v>
          </cell>
          <cell r="C190">
            <v>0</v>
          </cell>
          <cell r="D190">
            <v>0</v>
          </cell>
        </row>
        <row r="191">
          <cell r="B191" t="str">
            <v>f. In Fourth Floor Brick partition work in C.M. 1:4 Kiln Burnt Country bricks of size 22 x 11 x 5.7 cm (8 3/4" x 4 1/4" x 2 1/4") 110 mm tk (B.P.)</v>
          </cell>
          <cell r="C191">
            <v>0</v>
          </cell>
          <cell r="D191">
            <v>0</v>
          </cell>
        </row>
        <row r="192">
          <cell r="B192" t="str">
            <v>Brick work in C.M. 1:4 Chamber Burnt brick of size 23 x 11.2 x 7 cm (9" x 4 3/8" x 2 3/4")70 mm tk (B.P.)</v>
          </cell>
          <cell r="C192">
            <v>0</v>
          </cell>
          <cell r="D192">
            <v>0</v>
          </cell>
        </row>
        <row r="193">
          <cell r="B193" t="str">
            <v>a. In Ground Floor Brick work in C.M. 1:4 Chamber Burnt brick of size 23 x 11.2 x 7 cm (9" x 4 3/8" x 2 3/4")70 mm tk (B.P.)</v>
          </cell>
          <cell r="C193">
            <v>0</v>
          </cell>
          <cell r="D193">
            <v>496.91</v>
          </cell>
        </row>
        <row r="194">
          <cell r="B194" t="str">
            <v>b. In First FloorBrick work in C.M. 1:4 Chamber Burnt brick of size 23 x 11.2 x 7 cm (9" x 4 3/8" x 2 3/4")70 mm tk (B.P.)</v>
          </cell>
          <cell r="C194">
            <v>0</v>
          </cell>
          <cell r="D194">
            <v>505.67</v>
          </cell>
        </row>
        <row r="195">
          <cell r="B195" t="str">
            <v>c. In Second Floor Brick work in C.M. 1:4 Chamber Burnt brick of size 23 x 11.2 x 7 cm (9" x 4 3/8" x 2 3/4")70 mm tk (B.P.)</v>
          </cell>
          <cell r="C195">
            <v>0</v>
          </cell>
          <cell r="D195">
            <v>514.44000000000005</v>
          </cell>
        </row>
        <row r="196">
          <cell r="B196" t="str">
            <v>d. In Third Floor Brick work in C.M. 1:4 Chamber Burnt brick of size 23 x 11.2 x 7 cm (9" x 4 3/8" x 2 3/4")70 mm tk (B.P.)</v>
          </cell>
          <cell r="C196">
            <v>0</v>
          </cell>
          <cell r="D196">
            <v>523.21</v>
          </cell>
        </row>
        <row r="197">
          <cell r="B197" t="str">
            <v>e. In Fourth FloorBrick work in C.M. 1:4 Chamber Burnt brick of size 23 x 11.2 x 7 cm (9" x 4 3/8" x 2 3/4")70 mm tk (B.P.)</v>
          </cell>
          <cell r="C197">
            <v>0</v>
          </cell>
          <cell r="D197">
            <v>531.98</v>
          </cell>
        </row>
        <row r="198">
          <cell r="B198" t="str">
            <v>Brick work in C.M. 1:4 using chamber Burnt bricks of size 23 x 11.4 x 7.5 cm (9" x 4 1/2"x 3") 75 mm tk (B.P.)</v>
          </cell>
          <cell r="C198" t="str">
            <v>brick partition walls 75mm thick using chamber burnt bricks of size 9"x4½x3" (23x11.4x7.5cm) in cement mortar 1:4 (one of cement and four of sand) for super structure in the following floors including scaffoldings, curing etc., complete in all respect  complying  with relevant standard specifications and drawings.</v>
          </cell>
          <cell r="D198">
            <v>0</v>
          </cell>
        </row>
        <row r="199">
          <cell r="B199" t="str">
            <v>a. In Ground Floor Brick work in C.M. 1:4 using chamber Burnt bricks of size 23 x 11.4 x 7.5 cm (9" x 4 1/2"x 3") 75 mm tk (B.P.)</v>
          </cell>
          <cell r="C199" t="str">
            <v>(a) in foundation and basement</v>
          </cell>
          <cell r="D199">
            <v>506.54</v>
          </cell>
        </row>
        <row r="200">
          <cell r="B200" t="str">
            <v>b. In First Floor Brick work in C.M. 1:4 using chamber Burnt bricks of size 23 x 11.4 x 7.5 cm (9" x 4 1/2"x 3") 75 mm tk (B.P.)</v>
          </cell>
          <cell r="C200" t="str">
            <v>(b) In Ground Floor</v>
          </cell>
          <cell r="D200">
            <v>515.92999999999995</v>
          </cell>
        </row>
        <row r="201">
          <cell r="B201" t="str">
            <v>c. In Second Floor Brick work in C.M. 1:4 using chamber Burnt bricks of size 23 x 11.4 x 7.5 cm (9" x 4 1/2"x 3") 75 mm tk (B.P.)</v>
          </cell>
          <cell r="C201" t="str">
            <v>(c) in first floor</v>
          </cell>
          <cell r="D201">
            <v>525.33000000000004</v>
          </cell>
        </row>
        <row r="202">
          <cell r="B202" t="str">
            <v>d. In Third Floor Brick work in C.M. 1:4 using chamber Burnt bricks of size 23 x 11.4 x 7.5 cm (9" x 4 1/2"x 3") 75 mm tk (B.P.)</v>
          </cell>
          <cell r="C202" t="str">
            <v>(d) in second floor</v>
          </cell>
          <cell r="D202">
            <v>534.72</v>
          </cell>
        </row>
        <row r="203">
          <cell r="B203" t="str">
            <v>e. In Fourth Floor Brick work in C.M. 1:4 using chamber Burnt bricks of size 23 x 11.4 x 7.5 cm (9" x 4 1/2"x 3") 75 mm tk (B.P.)</v>
          </cell>
          <cell r="C203" t="str">
            <v>(e) in third floor</v>
          </cell>
          <cell r="D203">
            <v>544.12</v>
          </cell>
        </row>
        <row r="204">
          <cell r="B204" t="str">
            <v>Brick work in C.M. 1:4 Chamber Burnt brick: of size 23 x 11 x 7 cm (9" x 4 1/4" x 2 3/4") 70 mm tk (B.P.)</v>
          </cell>
          <cell r="C204">
            <v>0</v>
          </cell>
          <cell r="D204">
            <v>0</v>
          </cell>
        </row>
        <row r="205">
          <cell r="B205" t="str">
            <v>a. In Ground Floor Brick work in C.M. 1:4 Chamber Burnt brick: of size 23 x 11 x 7 cm (9" x 4 1/4" x 2 3/4") 70 mm tk (B.P.)</v>
          </cell>
          <cell r="C205">
            <v>0</v>
          </cell>
          <cell r="D205">
            <v>0</v>
          </cell>
        </row>
        <row r="206">
          <cell r="B206" t="str">
            <v>b. In First Floor Brick work in C.M. 1:4 Chamber Burnt brick: of size 23 x 11 x 7 cm (9" x 4 1/4" x 2 3/4") 70 mm tk (B.P.)</v>
          </cell>
          <cell r="C206">
            <v>0</v>
          </cell>
          <cell r="D206">
            <v>0</v>
          </cell>
        </row>
        <row r="207">
          <cell r="B207" t="str">
            <v>c. In Second Floor Brick work in C.M. 1:4 Chamber Burnt brick: of size 23 x 11 x 7 cm (9" x 4 1/4" x 2 3/4") 70 mm tk (B.P.)</v>
          </cell>
          <cell r="C207">
            <v>0</v>
          </cell>
          <cell r="D207">
            <v>0</v>
          </cell>
        </row>
        <row r="208">
          <cell r="B208" t="str">
            <v>d. In Third Floor Brick work in C.M. 1:4 Chamber Burnt brick: of size 23 x 11 x 7 cm (9" x 4 1/4" x 2 3/4") 70 mm tk (B.P.)</v>
          </cell>
          <cell r="C208">
            <v>0</v>
          </cell>
          <cell r="D208">
            <v>0</v>
          </cell>
        </row>
        <row r="209">
          <cell r="B209" t="str">
            <v>e. In Fourth Floor Brick work in C.M. 1:4 Chamber Burnt brick: of size 23 x 11 x 7 cm (9" x 4 1/4" x 2 3/4") 70 mm tk (B.P.)</v>
          </cell>
          <cell r="C209">
            <v>0</v>
          </cell>
          <cell r="D209">
            <v>0</v>
          </cell>
        </row>
        <row r="210">
          <cell r="B210" t="str">
            <v>Brick work in C.M. 1:4 Chamber Burnt brick of size 22 x 11 x 7 cm (8 3/4" x 4 1/4" x 2 3/4") 70 mm tk (B.P.)</v>
          </cell>
          <cell r="C210">
            <v>0</v>
          </cell>
          <cell r="D210">
            <v>0</v>
          </cell>
        </row>
        <row r="211">
          <cell r="B211" t="str">
            <v>a. In Ground Floor Brick work in C.M. 1:4 Chamber Burnt brick of size 22 x 11 x 7 cm (8 3/4" x 4 1/4" x 2 3/4") 70 mm tk (B.P.)</v>
          </cell>
          <cell r="C211">
            <v>0</v>
          </cell>
          <cell r="D211">
            <v>0</v>
          </cell>
        </row>
        <row r="212">
          <cell r="B212" t="str">
            <v>b. In First Floor Brick work in C.M. 1:4 Chamber Burnt brick of size 22 x 11 x 7 cm (8 3/4" x 4 1/4" x 2 3/4") 70 mm tk (B.P.)</v>
          </cell>
          <cell r="C212">
            <v>0</v>
          </cell>
          <cell r="D212">
            <v>0</v>
          </cell>
        </row>
        <row r="213">
          <cell r="B213" t="str">
            <v>c. In Second Floor Brick work in C.M. 1:4 Chamber Burnt brick of size 22 x 11 x 7 cm (8 3/4" x 4 1/4" x 2 3/4") 70 mm tk (B.P.)</v>
          </cell>
          <cell r="C213">
            <v>0</v>
          </cell>
          <cell r="D213">
            <v>0</v>
          </cell>
        </row>
        <row r="214">
          <cell r="B214" t="str">
            <v>d. In Third FloorBrick work in C.M. 1:4 Chamber Burnt brick of size 22 x 11 x 7 cm (8 3/4" x 4 1/4" x 2 3/4") 70 mm tk (B.P.)</v>
          </cell>
          <cell r="C214">
            <v>0</v>
          </cell>
          <cell r="D214">
            <v>0</v>
          </cell>
        </row>
        <row r="215">
          <cell r="B215" t="str">
            <v>e. In Fourth Floor Brick work in C.M. 1:4 Chamber Burnt brick of size 22 x 11 x 7 cm (8 3/4" x 4 1/4" x 2 3/4") 70 mm tk (B.P.)</v>
          </cell>
          <cell r="C215">
            <v>0</v>
          </cell>
          <cell r="D215">
            <v>0</v>
          </cell>
        </row>
        <row r="216">
          <cell r="B216" t="str">
            <v>Brick work in C.M. 1:4 Kiln Burnt Country bricks of size 22 x 11 x 7 cm (8 3/4" x 4 1/4" x 2 3/4") 70 mm tk (B.P.)</v>
          </cell>
          <cell r="C216" t="str">
            <v>Brick partition walls 70mm thick using kiln burnt country bricks of size 8 ¾" x 4 ¼"x 2 ¾"  (22x11x7cm) in cement mortar 1:4 (one of cement and four of sand) for super structure in the following floors including scaffoldings, curing etc., complete in all respects complying with relevant standard specifications and drawings.</v>
          </cell>
          <cell r="D216">
            <v>0</v>
          </cell>
        </row>
        <row r="217">
          <cell r="B217" t="str">
            <v>a. In Ground Floor  Brick work in C.M. 1:4 Kiln Burnt Country bricks of size 22 x 11 x 7 cm (8 3/4" x 4 1/4" x 2 3/4") 70 mm tk (B.P.)</v>
          </cell>
          <cell r="C217" t="str">
            <v xml:space="preserve">a. In Ground Floor </v>
          </cell>
          <cell r="D217">
            <v>480.29</v>
          </cell>
        </row>
        <row r="218">
          <cell r="B218" t="str">
            <v>b. In First Floor  Brick work in C.M. 1:4 Kiln Burnt Country bricks of size 22 x 11 x 7 cm (8 3/4" x 4 1/4" x 2 3/4") 70 mm tk (B.P.)</v>
          </cell>
          <cell r="C218" t="str">
            <v xml:space="preserve">b. In First Floor </v>
          </cell>
          <cell r="D218">
            <v>489.06</v>
          </cell>
        </row>
        <row r="219">
          <cell r="B219" t="str">
            <v>c. In Second Floor Brick work in C.M. 1:4 Kiln Burnt Country bricks of size 22 x 11 x 7 cm (8 3/4" x 4 1/4" x 2 3/4") 70 mm tk (B.P.)</v>
          </cell>
          <cell r="C219" t="str">
            <v xml:space="preserve">b. In First Floor </v>
          </cell>
          <cell r="D219">
            <v>497.83</v>
          </cell>
        </row>
        <row r="220">
          <cell r="B220" t="str">
            <v>d. In Third Floor Brick work in C.M. 1:4 Kiln Burnt Country bricks of size 22 x 11 x 7 cm (8 3/4" x 4 1/4" x 2 3/4") 70 mm tk (B.P.)</v>
          </cell>
          <cell r="C220" t="str">
            <v>d. In Third Floor</v>
          </cell>
          <cell r="D220">
            <v>506.6</v>
          </cell>
        </row>
        <row r="221">
          <cell r="B221" t="str">
            <v>e. In Fourth Floor Brick work in C.M. 1:4 Kiln Burnt Country bricks of size 22 x 11 x 7 cm (8 3/4" x 4 1/4" x 2 3/4") 70 mm tk (B.P.)</v>
          </cell>
          <cell r="C221" t="str">
            <v>e. In Fourth Floor</v>
          </cell>
          <cell r="D221">
            <v>515.37</v>
          </cell>
        </row>
        <row r="222">
          <cell r="B222" t="str">
            <v>Brick work in C.M. 1:4 Kiln Burnt Country bricks of size 22 x 11 x 5.7 cm (8 3/4" x 4 1/4" x 2 1/4") 57 mm tk (B.P.)</v>
          </cell>
          <cell r="C222">
            <v>0</v>
          </cell>
          <cell r="D222">
            <v>0</v>
          </cell>
        </row>
        <row r="223">
          <cell r="B223" t="str">
            <v>a. In Ground FloorBrick work in C.M. 1:4 Kiln Burnt Country bricks of size 22 x 11 x 5.7 cm (8 3/4" x 4 1/4" x 2 1/4") 57 mm tk (B.P.)</v>
          </cell>
          <cell r="C223">
            <v>0</v>
          </cell>
          <cell r="D223">
            <v>0</v>
          </cell>
        </row>
        <row r="224">
          <cell r="B224" t="str">
            <v>b. In First Floor</v>
          </cell>
          <cell r="C224">
            <v>0</v>
          </cell>
          <cell r="D224">
            <v>0</v>
          </cell>
        </row>
        <row r="225">
          <cell r="B225" t="str">
            <v>c. In Second FloorBrick work in C.M. 1:4 Kiln Burnt Country bricks of size 22 x 11 x 5.7 cm (8 3/4" x 4 1/4" x 2 1/4") 57 mm tk (B.P.)</v>
          </cell>
          <cell r="C225">
            <v>0</v>
          </cell>
          <cell r="D225">
            <v>0</v>
          </cell>
        </row>
        <row r="226">
          <cell r="B226" t="str">
            <v>d. In Third FloorBrick work in C.M. 1:4 Kiln Burnt Country bricks of size 22 x 11 x 5.7 cm (8 3/4" x 4 1/4" x 2 1/4") 57 mm tk (B.P.)</v>
          </cell>
          <cell r="C226">
            <v>0</v>
          </cell>
          <cell r="D226">
            <v>0</v>
          </cell>
        </row>
        <row r="227">
          <cell r="B227" t="str">
            <v>e. In Fourth Floor Brick work in C.M. 1:4 Kiln Burnt Country bricks of size 22 x 11 x 5.7 cm (8 3/4" x 4 1/4" x 2 1/4") 57 mm tk (B.P.)</v>
          </cell>
          <cell r="C227">
            <v>0</v>
          </cell>
          <cell r="D227">
            <v>0</v>
          </cell>
        </row>
        <row r="228">
          <cell r="B228" t="str">
            <v>Brick partition in C.M. 1:4 using country bricks of size 22 x11x5cm 50 mm thick</v>
          </cell>
          <cell r="C228" t="str">
            <v>brick partition walls 50mm thick using kiln burnt country bricks of size 8 3/4"x4 1/4"x2" (22x11x5cm) in cement mortar 1:4 (one of cement and four of sand) for super  structure in the following floors including scaffolding, curing etc., complete all respets complying with relevant standard specifications and drawings.</v>
          </cell>
          <cell r="D228">
            <v>0</v>
          </cell>
        </row>
        <row r="229">
          <cell r="B229" t="str">
            <v>a. In Ground FloorBrick partition in C.M. 1:4 using country bricks of size 22 x11x5cm 50 mm thick</v>
          </cell>
          <cell r="C229" t="str">
            <v>(a) in ground floor</v>
          </cell>
          <cell r="D229">
            <v>348.42</v>
          </cell>
        </row>
        <row r="230">
          <cell r="B230" t="str">
            <v>b. In First FloorBrick partition in C.M. 1:4 using country bricks of size 22 x11x5cm 50 mm thick</v>
          </cell>
          <cell r="C230" t="str">
            <v>(b) in first floor</v>
          </cell>
          <cell r="D230">
            <v>354.69</v>
          </cell>
        </row>
        <row r="231">
          <cell r="B231" t="str">
            <v>c. In Second FloorBrick partition in C.M. 1:4 using country bricks of size 22 x11x5cm 50 mm thick</v>
          </cell>
          <cell r="C231" t="str">
            <v>(c) in second floor</v>
          </cell>
          <cell r="D231">
            <v>360.95</v>
          </cell>
        </row>
        <row r="232">
          <cell r="B232" t="str">
            <v>d. In Third FloorBrick partition in C.M. 1:4 using country bricks of size 22 x11x5cm 50 mm thick</v>
          </cell>
          <cell r="C232" t="str">
            <v>(d) in third floor</v>
          </cell>
          <cell r="D232">
            <v>367.21</v>
          </cell>
        </row>
        <row r="233">
          <cell r="B233" t="str">
            <v>e. In Fourth Floor Brick partition in C.M. 1:4 using country bricks of size 22 x11x5cm 50 mm thick</v>
          </cell>
          <cell r="C233" t="str">
            <v>(e) in fourth floor</v>
          </cell>
          <cell r="D233">
            <v>373.48</v>
          </cell>
        </row>
        <row r="234">
          <cell r="B234" t="str">
            <v>g. In Fifth Floor Brick partition in C.M. 1:4 using country bricks of size 22 x11x5cm 50 mm thick</v>
          </cell>
          <cell r="C234" t="str">
            <v>g. In Fifth Floor</v>
          </cell>
          <cell r="D234">
            <v>379.74</v>
          </cell>
        </row>
        <row r="235">
          <cell r="B235" t="str">
            <v>h. In Sixth Floor Brick partition in C.M. 1:4 using country bricks of size 22 x11x5cm 50 mm thick</v>
          </cell>
          <cell r="C235" t="str">
            <v>h. In Sixth Floor</v>
          </cell>
          <cell r="D235">
            <v>386</v>
          </cell>
        </row>
        <row r="236">
          <cell r="B236" t="str">
            <v>i. In Seventh Floor Brick partition in C.M. 1:4 using country bricks of size 22 x11x5cm 50 mm thick</v>
          </cell>
          <cell r="C236" t="str">
            <v>i. In Seventh Floor</v>
          </cell>
          <cell r="D236">
            <v>392.27</v>
          </cell>
        </row>
        <row r="237">
          <cell r="B237" t="str">
            <v xml:space="preserve">Brick partition in C.M. 1:4 50 mm tk. (B.P.)Kiln Burnt Country brick: 23 x 11 x 5 cm (9" x 4 1/4" x 2") </v>
          </cell>
          <cell r="C237">
            <v>0</v>
          </cell>
          <cell r="D237">
            <v>0</v>
          </cell>
        </row>
        <row r="238">
          <cell r="B238" t="str">
            <v xml:space="preserve">a. In Ground Floor Brick partition in C.M. 1:4 50 mm tk. (B.P.)Kiln Burnt Country brick: 23 x 11 x 5 cm (9" x 4 1/4" x 2") </v>
          </cell>
          <cell r="C238">
            <v>0</v>
          </cell>
          <cell r="D238">
            <v>0</v>
          </cell>
        </row>
        <row r="239">
          <cell r="B239" t="str">
            <v xml:space="preserve">b. In First FloorBrick partition in C.M. 1:4 50 mm tk. (B.P.)Kiln Burnt Country brick: 23 x 11 x 5 cm (9" x 4 1/4" x 2") </v>
          </cell>
          <cell r="C239">
            <v>0</v>
          </cell>
          <cell r="D239">
            <v>0</v>
          </cell>
        </row>
        <row r="240">
          <cell r="B240" t="str">
            <v xml:space="preserve">c. In Second FloorBrick partition in C.M. 1:4 50 mm tk. (B.P.)Kiln Burnt Country brick: 23 x 11 x 5 cm (9" x 4 1/4" x 2") </v>
          </cell>
          <cell r="C240">
            <v>0</v>
          </cell>
          <cell r="D240">
            <v>0</v>
          </cell>
        </row>
        <row r="241">
          <cell r="B241" t="str">
            <v xml:space="preserve">d. In Third FloorBrick partition in C.M. 1:4 50 mm tk. (B.P.)Kiln Burnt Country brick: 23 x 11 x 5 cm (9" x 4 1/4" x 2") </v>
          </cell>
          <cell r="C241">
            <v>0</v>
          </cell>
          <cell r="D241">
            <v>0</v>
          </cell>
        </row>
        <row r="242">
          <cell r="B242" t="str">
            <v xml:space="preserve">e. In Fourth FloorBrick partition in C.M. 1:4 50 mm tk. (B.P.)Kiln Burnt Country brick: 23 x 11 x 5 cm (9" x 4 1/4" x 2") </v>
          </cell>
          <cell r="C242">
            <v>0</v>
          </cell>
          <cell r="D242">
            <v>0</v>
          </cell>
        </row>
        <row r="243">
          <cell r="B243">
            <v>0</v>
          </cell>
          <cell r="C243">
            <v>0</v>
          </cell>
          <cell r="D243">
            <v>0</v>
          </cell>
        </row>
        <row r="244">
          <cell r="B244" t="str">
            <v>Filling with Excavated Earth</v>
          </cell>
          <cell r="C244" t="str">
            <v>Filling in foundation and basement and other similar works with excavated earth in layers of 150mm thick well watered rammed and consolidated complying with relevant standard specification etc.,  all complete and as directed by the departmental officers.</v>
          </cell>
          <cell r="D244">
            <v>30.77</v>
          </cell>
        </row>
        <row r="245">
          <cell r="B245" t="str">
            <v>Filling with Excavated Earth Mixed with lime in the proporation 1:4 (one of lime &amp; four of earth)</v>
          </cell>
          <cell r="C245" t="str">
            <v>filling in foundation and basement with excavated earth mixed with lime in the proportion of 1:4 (one of lime and four of earth) in layers of 150mm thick well watered rammed and consolidated complying with relevant standard specification etc., all complete and as directed by the departmental officers.</v>
          </cell>
          <cell r="D245">
            <v>0</v>
          </cell>
        </row>
        <row r="246">
          <cell r="B246" t="str">
            <v>Precast Cupboard slab 20 mm tk.</v>
          </cell>
          <cell r="C246" t="str">
            <v xml:space="preserve">Supplying and fixing of precast cement concrete slab for cupboard/ward robes shelves, cover slab for chambers, baffle walls side slabs of boxing around windows and other similar works in </v>
          </cell>
          <cell r="D246">
            <v>0</v>
          </cell>
        </row>
        <row r="247">
          <cell r="B247" t="str">
            <v>a. In Ground floor Precast Cupboard slab 20 mm tk.</v>
          </cell>
          <cell r="C247" t="str">
            <v>a. In Ground floor</v>
          </cell>
          <cell r="D247">
            <v>1202.79</v>
          </cell>
        </row>
        <row r="248">
          <cell r="B248" t="str">
            <v>b. In First floor Precast Cupboard slab 20 mm tk.</v>
          </cell>
          <cell r="C248" t="str">
            <v>b. In First floor</v>
          </cell>
          <cell r="D248">
            <v>1206.55</v>
          </cell>
        </row>
        <row r="249">
          <cell r="B249" t="str">
            <v>c. In Second floor Precast Cupboard slab 20 mm tk.</v>
          </cell>
          <cell r="C249" t="str">
            <v>c. In Second floor</v>
          </cell>
          <cell r="D249">
            <v>1210.3</v>
          </cell>
        </row>
        <row r="250">
          <cell r="B250" t="str">
            <v>d. In Third floor Precast Cupboard slab 20 mm tk.</v>
          </cell>
          <cell r="C250" t="str">
            <v>d. In Third floor</v>
          </cell>
          <cell r="D250">
            <v>1214.05</v>
          </cell>
        </row>
        <row r="251">
          <cell r="B251" t="str">
            <v>e.  In Fourth floor Precast Cupboard slab 20 mm tk.</v>
          </cell>
          <cell r="C251" t="str">
            <v>e.  In Fourth floor</v>
          </cell>
          <cell r="D251">
            <v>1217.8</v>
          </cell>
        </row>
        <row r="252">
          <cell r="B252" t="str">
            <v>f.  In Fifth floor Precast Cupboard slab 20 mm tk.</v>
          </cell>
          <cell r="C252" t="str">
            <v>f.  In Fifth floor</v>
          </cell>
          <cell r="D252">
            <v>1221.55</v>
          </cell>
        </row>
        <row r="253">
          <cell r="B253" t="str">
            <v>g.  In sixth floor Precast Cupboard slab 20 mm tk.</v>
          </cell>
          <cell r="C253" t="str">
            <v>g.  In sixth floor</v>
          </cell>
          <cell r="D253">
            <v>1225.31</v>
          </cell>
        </row>
        <row r="254">
          <cell r="B254" t="str">
            <v>h.  In seventh floor Precast Cupboard slab 20 mm tk.</v>
          </cell>
          <cell r="C254" t="str">
            <v>h.  In seventh floor</v>
          </cell>
          <cell r="D254">
            <v>1229.06</v>
          </cell>
        </row>
        <row r="255">
          <cell r="B255" t="str">
            <v>i.  In eighth floorPrecast Cupboard slab 20 mm tk.</v>
          </cell>
          <cell r="C255" t="str">
            <v>i.  In eighth floor</v>
          </cell>
          <cell r="D255">
            <v>1232.81</v>
          </cell>
        </row>
        <row r="256">
          <cell r="B256" t="str">
            <v>j.  In Ninth floorPrecast Cupboard slab 20 mm tk.</v>
          </cell>
          <cell r="C256" t="str">
            <v>j.  In Ninth floor</v>
          </cell>
          <cell r="D256">
            <v>1236.56</v>
          </cell>
        </row>
        <row r="257">
          <cell r="B257" t="str">
            <v>k.  In Tenth floorPrecast Cupboard slab 20 mm tk.</v>
          </cell>
          <cell r="C257" t="str">
            <v>k.  In Tenth floor</v>
          </cell>
          <cell r="D257">
            <v>1240.31</v>
          </cell>
        </row>
        <row r="258">
          <cell r="B258" t="str">
            <v>l.  In Eleventh floorPrecast Cupboard slab 20 mm tk.</v>
          </cell>
          <cell r="C258" t="str">
            <v>l.  In Eleventh floor</v>
          </cell>
          <cell r="D258">
            <v>1244.07</v>
          </cell>
        </row>
        <row r="259">
          <cell r="B259" t="str">
            <v>Precast cupboard slab 40 mm tk.</v>
          </cell>
          <cell r="C259" t="str">
            <v xml:space="preserve">Supplying and fixing of precast cement concrete slab for cupboard/ward robes shelves, cover slab for chambers, baffle walls side slabs of boxing around windows and other similar works in </v>
          </cell>
          <cell r="D259">
            <v>0</v>
          </cell>
        </row>
        <row r="260">
          <cell r="B260" t="str">
            <v>a. In Foundation &amp; basement Precast cupboard slab 40 mm tk.</v>
          </cell>
          <cell r="C260" t="str">
            <v>a. In Foundation &amp; basement</v>
          </cell>
          <cell r="D260">
            <v>1326.34</v>
          </cell>
        </row>
        <row r="261">
          <cell r="B261" t="str">
            <v>b. In Ground floor Precast cupboard slab 40 mm tk.</v>
          </cell>
          <cell r="C261" t="str">
            <v>b. In Ground floor</v>
          </cell>
          <cell r="D261">
            <v>1330.15</v>
          </cell>
        </row>
        <row r="262">
          <cell r="B262" t="str">
            <v>c. In First floor Precast cupboard slab 40 mm tk.</v>
          </cell>
          <cell r="C262" t="str">
            <v>c. In First floor</v>
          </cell>
          <cell r="D262">
            <v>1337.66</v>
          </cell>
        </row>
        <row r="263">
          <cell r="B263" t="str">
            <v>d. In Second floorPrecast cupboard slab 40 mm tk.</v>
          </cell>
          <cell r="C263" t="str">
            <v>d. In Second floor</v>
          </cell>
          <cell r="D263">
            <v>1345.16</v>
          </cell>
        </row>
        <row r="264">
          <cell r="B264" t="str">
            <v>e. In Third floor Precast cupboard slab 40 mm tk.</v>
          </cell>
          <cell r="C264" t="str">
            <v>e. In Third floor</v>
          </cell>
          <cell r="D264">
            <v>1352.66</v>
          </cell>
        </row>
        <row r="265">
          <cell r="B265" t="str">
            <v>f.  In Fourth floorPrecast cupboard slab 40 mm tk.</v>
          </cell>
          <cell r="C265" t="str">
            <v>f.  In Fourth floor</v>
          </cell>
          <cell r="D265">
            <v>1360.17</v>
          </cell>
        </row>
        <row r="266">
          <cell r="B266" t="str">
            <v>Cuddappa slab 20 mm tk.</v>
          </cell>
          <cell r="C266">
            <v>0</v>
          </cell>
          <cell r="D266">
            <v>0</v>
          </cell>
        </row>
        <row r="267">
          <cell r="B267" t="str">
            <v>a. In Ground floor Cuddappa slab 20 mm tk.</v>
          </cell>
          <cell r="C267">
            <v>0</v>
          </cell>
          <cell r="D267">
            <v>513.34</v>
          </cell>
        </row>
        <row r="268">
          <cell r="B268" t="str">
            <v>b. In First floor Cuddappa slab 20 mm tk.</v>
          </cell>
          <cell r="C268">
            <v>0</v>
          </cell>
          <cell r="D268">
            <v>517.05999999999995</v>
          </cell>
        </row>
        <row r="269">
          <cell r="B269" t="str">
            <v>c. In Second floor Cuddappa slab 20 mm tk.</v>
          </cell>
          <cell r="C269">
            <v>0</v>
          </cell>
          <cell r="D269">
            <v>520.78</v>
          </cell>
        </row>
        <row r="270">
          <cell r="B270" t="str">
            <v>d. In Third floor Cuddappa slab 20 mm tk.</v>
          </cell>
          <cell r="C270">
            <v>0</v>
          </cell>
          <cell r="D270">
            <v>524.49</v>
          </cell>
        </row>
        <row r="271">
          <cell r="B271" t="str">
            <v>e.  In Fourth floor Cuddappa slab 20 mm tk.</v>
          </cell>
          <cell r="C271">
            <v>0</v>
          </cell>
          <cell r="D271">
            <v>528.21</v>
          </cell>
        </row>
        <row r="272">
          <cell r="B272" t="str">
            <v>Cuddappa slab 40 mm tk.</v>
          </cell>
          <cell r="C272">
            <v>0</v>
          </cell>
          <cell r="D272">
            <v>0</v>
          </cell>
        </row>
        <row r="273">
          <cell r="B273" t="str">
            <v>a. In Ground floor Cuddappa slab 40 mm tk.</v>
          </cell>
          <cell r="C273">
            <v>0</v>
          </cell>
          <cell r="D273">
            <v>1753.91</v>
          </cell>
        </row>
        <row r="274">
          <cell r="B274" t="str">
            <v>b. In First floor Cuddappa slab 40 mm tk.</v>
          </cell>
          <cell r="C274">
            <v>0</v>
          </cell>
          <cell r="D274">
            <v>1761.35</v>
          </cell>
        </row>
        <row r="275">
          <cell r="B275" t="str">
            <v>c. In Second floor Cuddappa slab 40 mm tk.</v>
          </cell>
          <cell r="C275">
            <v>0</v>
          </cell>
          <cell r="D275">
            <v>1768.78</v>
          </cell>
        </row>
        <row r="276">
          <cell r="B276" t="str">
            <v>d. In Third floor Cuddappa slab 40 mm tk.</v>
          </cell>
          <cell r="C276">
            <v>0</v>
          </cell>
          <cell r="D276">
            <v>1776.22</v>
          </cell>
        </row>
        <row r="277">
          <cell r="B277" t="str">
            <v>e.  In Fourth floor Cuddappa slab 40 mm tk.</v>
          </cell>
          <cell r="C277">
            <v>0</v>
          </cell>
          <cell r="D277">
            <v>1783.65</v>
          </cell>
        </row>
        <row r="278">
          <cell r="B278" t="str">
            <v>Precast Jally ventilator 50mm tk.</v>
          </cell>
          <cell r="C278" t="str">
            <v>Precast cement concrete jally ventilator in s</v>
          </cell>
          <cell r="D278">
            <v>0</v>
          </cell>
        </row>
        <row r="279">
          <cell r="B279" t="str">
            <v>a. In Ground Floor Precast Jally ventilator 50mm tk.</v>
          </cell>
          <cell r="C279" t="str">
            <v>(a) In ground floor</v>
          </cell>
          <cell r="D279">
            <v>2412.4557258064515</v>
          </cell>
        </row>
        <row r="280">
          <cell r="B280" t="str">
            <v>b. In First floor Precast Jally ventilator 50mm tk.</v>
          </cell>
          <cell r="C280" t="str">
            <v>(b) In first floor</v>
          </cell>
          <cell r="D280">
            <v>2419.4499999999998</v>
          </cell>
        </row>
        <row r="281">
          <cell r="B281" t="str">
            <v>c. In Second floor Precast Jally ventilator 50mm tk.</v>
          </cell>
          <cell r="C281" t="str">
            <v>(c) In second floor</v>
          </cell>
          <cell r="D281">
            <v>2426.44</v>
          </cell>
        </row>
        <row r="282">
          <cell r="B282" t="str">
            <v>d. In Third floor Precast Jally ventilator 50mm tk.</v>
          </cell>
          <cell r="C282" t="str">
            <v>(d) In third floor</v>
          </cell>
          <cell r="D282">
            <v>2433.44</v>
          </cell>
        </row>
        <row r="283">
          <cell r="B283" t="str">
            <v>e.  In Fourth floor Precast Jally ventilator 50mm tk.</v>
          </cell>
          <cell r="C283" t="str">
            <v>(e) In fourth floor</v>
          </cell>
          <cell r="D283">
            <v>2440.4299999999998</v>
          </cell>
        </row>
        <row r="284">
          <cell r="B284" t="str">
            <v>Supplying &amp; fixing of Terra cotta jolly (not less than 50mm)</v>
          </cell>
          <cell r="C284" t="str">
            <v>supplying and fixing of terra cotta jally (not below 50mm thick) of best quality and fixing in position with cement paste and redoxide putty including cost of all materials as directed by the departmental officers. (the terra cotta jally quality and design shall be got approved by the executive engineer before use)</v>
          </cell>
          <cell r="D284">
            <v>0</v>
          </cell>
        </row>
        <row r="285">
          <cell r="B285" t="str">
            <v>a. In Ground Floor Supplying &amp; fixing of Terra cotta jolly (not less than 50mm)</v>
          </cell>
          <cell r="C285" t="str">
            <v>(a) in ground floor</v>
          </cell>
          <cell r="D285">
            <v>483.11</v>
          </cell>
        </row>
        <row r="286">
          <cell r="B286" t="str">
            <v>b. In First Floor Supplying &amp; fixing of Terra cotta jolly (not less than 50mm)</v>
          </cell>
          <cell r="C286" t="str">
            <v>(b) in first floor</v>
          </cell>
          <cell r="D286">
            <v>489.37</v>
          </cell>
        </row>
        <row r="287">
          <cell r="B287" t="str">
            <v>c. In Second Floor Supplying &amp; fixing of Terra cotta jolly (not less than 50mm)</v>
          </cell>
          <cell r="C287" t="str">
            <v>(c) in second floor</v>
          </cell>
          <cell r="D287">
            <v>495.63</v>
          </cell>
        </row>
        <row r="288">
          <cell r="B288" t="str">
            <v>d. In Third Floor Supplying &amp; fixing of Terra cotta jolly (not less than 50mm)</v>
          </cell>
          <cell r="C288" t="str">
            <v>(d) in third floor</v>
          </cell>
          <cell r="D288">
            <v>501.9</v>
          </cell>
        </row>
        <row r="289">
          <cell r="B289" t="str">
            <v>e. In Fourth Floor Supplying &amp; fixing of Terra cotta jolly (not less than 50mm)</v>
          </cell>
          <cell r="C289" t="str">
            <v>(e) in fourth floor</v>
          </cell>
          <cell r="D289">
            <v>508.16</v>
          </cell>
        </row>
        <row r="290">
          <cell r="B290" t="str">
            <v>Supplying &amp; fixing of Terra cotta jolly (more than  50mm  upto 110 mm)</v>
          </cell>
          <cell r="C290" t="str">
            <v>supplying and fixing of terra cotta jally (more than 50mm upto 110mm louvered type ) of best quality and fixing in position with cement paste and redoxide putty including cost of all materials as directed by the departmental officers. (the terra cotta jally quality and design shall be got approved by the executive engineer before use.)</v>
          </cell>
          <cell r="D290">
            <v>0</v>
          </cell>
        </row>
        <row r="291">
          <cell r="B291" t="str">
            <v>a. In Ground Floor Supplying &amp; fixing of Terra cotta jolly (more than  50mm  upto 110 mm)</v>
          </cell>
          <cell r="C291" t="str">
            <v>(a) in ground floor</v>
          </cell>
          <cell r="D291">
            <v>656.84</v>
          </cell>
        </row>
        <row r="292">
          <cell r="B292" t="str">
            <v>b. In First Floor Supplying &amp; fixing of Terra cotta jolly (more than  50mm  upto 110 mm)</v>
          </cell>
          <cell r="C292" t="str">
            <v>(b) in first floor</v>
          </cell>
          <cell r="D292">
            <v>670.62</v>
          </cell>
        </row>
        <row r="293">
          <cell r="B293" t="str">
            <v>c. In Second Floor Supplying &amp; fixing of Terra cotta jolly (more than  50mm  upto 110 mm)</v>
          </cell>
          <cell r="C293" t="str">
            <v>(c) in second floor</v>
          </cell>
          <cell r="D293">
            <v>684.4</v>
          </cell>
        </row>
        <row r="294">
          <cell r="B294" t="str">
            <v>d. In Third Floor Supplying &amp; fixing of Terra cotta jolly (more than  50mm  upto 110 mm)</v>
          </cell>
          <cell r="C294" t="str">
            <v>(d) in third floor</v>
          </cell>
          <cell r="D294">
            <v>698.18</v>
          </cell>
        </row>
        <row r="295">
          <cell r="B295" t="str">
            <v>e. In Fourth Floor Supplying &amp; fixing of Terra cotta jolly (more than  50mm  upto 110 mm)</v>
          </cell>
          <cell r="C295" t="str">
            <v>(e) in fourth floor</v>
          </cell>
          <cell r="D295">
            <v>711.95</v>
          </cell>
        </row>
        <row r="296">
          <cell r="B296" t="str">
            <v>Form work- Lintel (C.W. planks)</v>
          </cell>
          <cell r="C296">
            <v>0</v>
          </cell>
          <cell r="D296">
            <v>0</v>
          </cell>
        </row>
        <row r="297">
          <cell r="B297" t="str">
            <v>Form work - M.S. Sheet (slab)</v>
          </cell>
          <cell r="C297">
            <v>0</v>
          </cell>
          <cell r="D297">
            <v>0</v>
          </cell>
        </row>
        <row r="298">
          <cell r="B298" t="str">
            <v>Form work - Small quantities  (M.S. Sheet)</v>
          </cell>
          <cell r="C298">
            <v>0</v>
          </cell>
          <cell r="D298">
            <v>0</v>
          </cell>
        </row>
        <row r="299">
          <cell r="B299" t="str">
            <v>Form work - Plinth beam (C.W. planks)</v>
          </cell>
          <cell r="C299">
            <v>0</v>
          </cell>
          <cell r="D299">
            <v>0</v>
          </cell>
        </row>
        <row r="300">
          <cell r="B300" t="str">
            <v>R.C.C.Door frame</v>
          </cell>
          <cell r="C300">
            <v>0</v>
          </cell>
          <cell r="D300">
            <v>0</v>
          </cell>
        </row>
        <row r="301">
          <cell r="B301" t="str">
            <v>a. 900 x 2100 mm</v>
          </cell>
          <cell r="C301">
            <v>0</v>
          </cell>
          <cell r="D301">
            <v>2273.63</v>
          </cell>
        </row>
        <row r="302">
          <cell r="B302" t="str">
            <v>b. 700 x 2100 mm</v>
          </cell>
          <cell r="C302">
            <v>0</v>
          </cell>
          <cell r="D302">
            <v>2243.25</v>
          </cell>
        </row>
        <row r="303">
          <cell r="B303" t="str">
            <v>c. 1000 x 2100 mm</v>
          </cell>
          <cell r="C303">
            <v>0</v>
          </cell>
          <cell r="D303">
            <v>2291.41</v>
          </cell>
        </row>
        <row r="304">
          <cell r="B304" t="str">
            <v>Teak wood Wrought &amp; Put up</v>
          </cell>
          <cell r="C304" t="str">
            <v>Supplying and fixing of teak wood wrought and put up for frames of doors, windows, ventilators, cupboard and any other similar joinery works with necessary plugs, rebates for shutters, plaster grooves on all faces etc. including labour charges for fixing hold fasts complying with relevant standard specifications etc.. in all respects.</v>
          </cell>
          <cell r="D304">
            <v>0</v>
          </cell>
        </row>
        <row r="305">
          <cell r="B305" t="str">
            <v>a. T.W. over 2 m &amp; below 3 m</v>
          </cell>
          <cell r="C305" t="str">
            <v>(a) Teak wood over 2.00 metre and below 3.00 metre length</v>
          </cell>
          <cell r="D305">
            <v>122388.75</v>
          </cell>
        </row>
        <row r="306">
          <cell r="B306" t="str">
            <v>b. T.W. below 2 m length.</v>
          </cell>
          <cell r="C306" t="str">
            <v>(b) Teak wood below 2.00 metre length</v>
          </cell>
          <cell r="D306">
            <v>110188.75</v>
          </cell>
        </row>
        <row r="307">
          <cell r="B307" t="str">
            <v xml:space="preserve">PVC Door frame &amp; shutter  </v>
          </cell>
          <cell r="C307" t="str">
            <v>Supplying and fixing of PVC doors of required over all size (single leaf) with PVC door frame and pvc shutter (superior variety). the door frame of 60mm thick made out of superior quality polymeric material conforming to is: 10151-1982. the door frame is made of rigid thermo vinyl polymer extruded section having over all dimension of 60mmx50mm with wall thickness not less than 2.5 mm corners of door 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the door shutter of 40 mm thick made</v>
          </cell>
          <cell r="D307">
            <v>2828</v>
          </cell>
        </row>
        <row r="308">
          <cell r="B308" t="str">
            <v>Teak wood panelled door shutters</v>
          </cell>
          <cell r="C308">
            <v>0</v>
          </cell>
          <cell r="D308">
            <v>0</v>
          </cell>
        </row>
        <row r="309">
          <cell r="B309" t="str">
            <v>a. 1000 x 2100 mm Teak wood panelled door shutters</v>
          </cell>
          <cell r="C309" t="str">
            <v>a. 1000 x 2100 mm</v>
          </cell>
          <cell r="D309">
            <v>4590.84</v>
          </cell>
        </row>
        <row r="310">
          <cell r="B310" t="str">
            <v>b. 900 x 2100 mm Teak wood panelled door shutters</v>
          </cell>
          <cell r="C310" t="str">
            <v>b. 900 x 2100 mm</v>
          </cell>
          <cell r="D310">
            <v>4751.03</v>
          </cell>
        </row>
        <row r="311">
          <cell r="B311" t="str">
            <v>c. 700 x 2100 mm Teak wood panelled door shutters</v>
          </cell>
          <cell r="C311" t="str">
            <v>c. 700 x 2100 mm</v>
          </cell>
          <cell r="D311">
            <v>4680.3999999999996</v>
          </cell>
        </row>
        <row r="312">
          <cell r="B312" t="str">
            <v>d. 1200 x 2100 mm (Single) annexure item Teak wood panelled door shutters</v>
          </cell>
          <cell r="C312" t="str">
            <v>d. 1200 x 2100 mm (Single) annexure item</v>
          </cell>
          <cell r="D312">
            <v>5171.0144219977547</v>
          </cell>
        </row>
        <row r="313">
          <cell r="B313" t="str">
            <v>Teak wood "Window" &amp;  Ventilator Shutter</v>
          </cell>
          <cell r="C313" t="str">
            <v>Teak wood "Window" &amp;  Ventilator Shutter</v>
          </cell>
          <cell r="D313">
            <v>0</v>
          </cell>
        </row>
        <row r="314">
          <cell r="B314" t="str">
            <v>a. Window: 135 cm ht.</v>
          </cell>
          <cell r="C314" t="str">
            <v>a. Window: 135 cm ht.</v>
          </cell>
          <cell r="D314">
            <v>3235.61</v>
          </cell>
        </row>
        <row r="315">
          <cell r="B315" t="str">
            <v>b. Window: 120 cm ht.</v>
          </cell>
          <cell r="C315" t="str">
            <v>b. Window: 120 cm ht.</v>
          </cell>
          <cell r="D315">
            <v>0</v>
          </cell>
        </row>
        <row r="316">
          <cell r="B316" t="str">
            <v>c. Window: 105 cm ht.</v>
          </cell>
          <cell r="C316" t="str">
            <v>c. Window: 105 cm ht.</v>
          </cell>
          <cell r="D316">
            <v>3417.82</v>
          </cell>
        </row>
        <row r="317">
          <cell r="B317" t="str">
            <v>d. Ventilator: (90 x 60 cm)</v>
          </cell>
          <cell r="C317" t="str">
            <v>d. Ventilator: (90 x 60 cm)</v>
          </cell>
          <cell r="D317">
            <v>2552.89</v>
          </cell>
        </row>
        <row r="318">
          <cell r="B318" t="str">
            <v>T.W. double leaf shutters for cup board/ ward robes</v>
          </cell>
          <cell r="C318">
            <v>0</v>
          </cell>
          <cell r="D318">
            <v>0</v>
          </cell>
        </row>
        <row r="319">
          <cell r="B319" t="str">
            <v>T.W. single leaf  Door shutters using    9 mm tk. phynol bonded BWR plywood</v>
          </cell>
          <cell r="C319">
            <v>0</v>
          </cell>
          <cell r="D319">
            <v>0</v>
          </cell>
        </row>
        <row r="320">
          <cell r="B320" t="str">
            <v>a. 900 x 2100 mm</v>
          </cell>
          <cell r="C320">
            <v>0</v>
          </cell>
          <cell r="D320">
            <v>3311.82</v>
          </cell>
        </row>
        <row r="321">
          <cell r="B321" t="str">
            <v>Glass panels with Aluminium beedings</v>
          </cell>
          <cell r="C321">
            <v>0</v>
          </cell>
          <cell r="D321">
            <v>696.5</v>
          </cell>
        </row>
        <row r="322">
          <cell r="B322" t="str">
            <v>S&amp;F of Magnetic door catches</v>
          </cell>
          <cell r="C322" t="str">
            <v>Supply and fixing of best approved superior variety magnetic door catches suitable for doors including cost of door catches, aluminium / stainless steel screws fixing in position etc., complete and as directed by the departmental officers. (the quality and brand shall be got approved from the executive engineer before use)</v>
          </cell>
          <cell r="D322">
            <v>52</v>
          </cell>
        </row>
        <row r="323">
          <cell r="B323" t="str">
            <v xml:space="preserve">Supply and fixing of Aluminium window with 3mm thick Glass </v>
          </cell>
          <cell r="C323">
            <v>0</v>
          </cell>
          <cell r="D323">
            <v>0</v>
          </cell>
        </row>
        <row r="324">
          <cell r="B324" t="str">
            <v>a. 1.8 x 1.35 mt.window</v>
          </cell>
          <cell r="C324">
            <v>0</v>
          </cell>
          <cell r="D324">
            <v>13866.504400000002</v>
          </cell>
        </row>
        <row r="325">
          <cell r="B325" t="str">
            <v>b. 1.35 x 1.35 mt.window</v>
          </cell>
          <cell r="C325">
            <v>0</v>
          </cell>
          <cell r="D325">
            <v>10454.019999999999</v>
          </cell>
        </row>
        <row r="326">
          <cell r="B326" t="str">
            <v>c. 1.35 x  1.05 mt window</v>
          </cell>
          <cell r="C326">
            <v>0</v>
          </cell>
          <cell r="D326">
            <v>8933.9959999999992</v>
          </cell>
        </row>
        <row r="327">
          <cell r="B327" t="str">
            <v>d. 1.2 x 1.35 mt window</v>
          </cell>
          <cell r="C327">
            <v>0</v>
          </cell>
          <cell r="D327">
            <v>8300.3136000000013</v>
          </cell>
        </row>
        <row r="328">
          <cell r="B328" t="str">
            <v>e. 1.2 x 1.05 mt window</v>
          </cell>
          <cell r="C328">
            <v>0</v>
          </cell>
          <cell r="D328">
            <v>6887.1776000000009</v>
          </cell>
        </row>
        <row r="329">
          <cell r="B329" t="str">
            <v>f. 1.05 x 1.35 mt window</v>
          </cell>
          <cell r="C329">
            <v>0</v>
          </cell>
          <cell r="D329">
            <v>7669.1656000000003</v>
          </cell>
        </row>
        <row r="330">
          <cell r="B330" t="str">
            <v>g. 0.9 x 1.35 mt window</v>
          </cell>
          <cell r="C330">
            <v>0</v>
          </cell>
          <cell r="D330">
            <v>7034.2438000000002</v>
          </cell>
        </row>
        <row r="331">
          <cell r="B331" t="str">
            <v>h. 0.9 x 1.05 mt window</v>
          </cell>
          <cell r="C331">
            <v>0</v>
          </cell>
          <cell r="D331">
            <v>6012.5958000000001</v>
          </cell>
        </row>
        <row r="332">
          <cell r="B332" t="str">
            <v>i. 0.5 x 1.35 mt window</v>
          </cell>
          <cell r="C332">
            <v>0</v>
          </cell>
          <cell r="D332">
            <v>3827.8710000000005</v>
          </cell>
        </row>
        <row r="333">
          <cell r="B333" t="str">
            <v>j. 0.45 x 1.35 mt window</v>
          </cell>
          <cell r="C333">
            <v>0</v>
          </cell>
          <cell r="D333">
            <v>3617.8264000000004</v>
          </cell>
        </row>
        <row r="334">
          <cell r="B334" t="str">
            <v>k.0.90 x 0.60 mt.Ventilator</v>
          </cell>
          <cell r="C334">
            <v>0</v>
          </cell>
          <cell r="D334">
            <v>4307.8185185185175</v>
          </cell>
        </row>
        <row r="335">
          <cell r="B335" t="str">
            <v>l. 0.60 x 0.60 mt.Ventilator</v>
          </cell>
          <cell r="C335">
            <v>0</v>
          </cell>
          <cell r="D335">
            <v>4806.6138888888891</v>
          </cell>
        </row>
        <row r="336">
          <cell r="B336" t="str">
            <v>Manufacturing &amp; supply of steel windows (Weight basis)</v>
          </cell>
          <cell r="C336" t="str">
            <v>Manufacturing and supplying of steel windows confirming to is 1038/1983 specification  with steel section used for fabrication of windows  as per is 7452/1982 specification and as per the approved type design for all size applicable for the work with iron oxidised handles with locking arrangements, peg stays and including cost for one coat of red oxide primer etc., complete and as directed by the departmental officers. (windows should be weighed excluding aluminium beeding and glass  panel. the standard models of window with grill design drawing are enclosed in the annexure. however the windows grill and design  should be got approved by the executive engineer before use.)</v>
          </cell>
          <cell r="D336">
            <v>61.5</v>
          </cell>
        </row>
        <row r="337">
          <cell r="B337" t="str">
            <v>M.S.Holdfast</v>
          </cell>
          <cell r="C337" t="str">
            <v>Supplying and fixing of Mild steel hold fasts horizontally twisted of size 230x40x4mm  with pair of suitable iron screws.</v>
          </cell>
          <cell r="D337">
            <v>9.6</v>
          </cell>
        </row>
        <row r="338">
          <cell r="B338" t="str">
            <v>Flooring in C.C.1:5:10</v>
          </cell>
          <cell r="C338" t="str">
            <v>Flooring with a bed of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cell r="D338">
            <v>4152.67</v>
          </cell>
        </row>
        <row r="339">
          <cell r="B339" t="str">
            <v>B.w. in C.M. 1:4 for staircase steps Chamber burnt bricks 23 x 11.2 x 7 cm.</v>
          </cell>
          <cell r="C339">
            <v>0</v>
          </cell>
          <cell r="D339">
            <v>6333.27</v>
          </cell>
        </row>
        <row r="340">
          <cell r="B340" t="str">
            <v>B.w. in C.M. 1:4 for staircase steps Chamber burnt bricks 23 x 11.4 x 7.5 cm.</v>
          </cell>
          <cell r="C340" t="str">
            <v xml:space="preserve">brick work in cm 1:4 (one of cement and four of sand) using chamber burnt bricks of size 9"x41/2"x3" (23x11.4x7.5cm) for stair case steps including proper setting, scaffolding, curing etc., complete in all respects in all floors. </v>
          </cell>
          <cell r="D340">
            <v>6122.54</v>
          </cell>
        </row>
        <row r="341">
          <cell r="B341" t="str">
            <v>B.w. in C.M. 1:4 for staircase steps Chamber burnt bricks  23 x 11 x 7 cm.</v>
          </cell>
          <cell r="C341">
            <v>0</v>
          </cell>
          <cell r="D341">
            <v>0</v>
          </cell>
        </row>
        <row r="342">
          <cell r="B342" t="str">
            <v>B.w. in C.M. 1:4 for staircase steps Chamber burnt bricks 22 x 11 x 7 cm.</v>
          </cell>
          <cell r="C342">
            <v>0</v>
          </cell>
          <cell r="D342">
            <v>0</v>
          </cell>
        </row>
        <row r="343">
          <cell r="B343" t="str">
            <v>B.w. in C.M. 1:4 for staircase steps Kiln burnt country bricks 22 x 11 x 7 cm.</v>
          </cell>
          <cell r="C343">
            <v>0</v>
          </cell>
          <cell r="D343">
            <v>6221.2</v>
          </cell>
        </row>
        <row r="344">
          <cell r="B344" t="str">
            <v>B.w. in C.M. 1:4 for staircase steps Kiln burnt country bricks 22 x 11 x 5.7 cm.</v>
          </cell>
          <cell r="C344">
            <v>0</v>
          </cell>
          <cell r="D344">
            <v>0</v>
          </cell>
        </row>
        <row r="345">
          <cell r="B345" t="str">
            <v>Floor plastering in C.M. 1:4, 20 mm tk.</v>
          </cell>
          <cell r="C345" t="str">
            <v>Finishing the top of flooring in CM 1:4 (one of cement and four of sand) 20mm thick including surface rendered smooth including providing proper slopes, thread lining, curing and 150mm wide skirting alround with the same cement mortar etc., complete in all respects.</v>
          </cell>
          <cell r="D345">
            <v>426.14</v>
          </cell>
        </row>
        <row r="346">
          <cell r="B346" t="str">
            <v>Mosaic tiles 20 cm x 20 cm x 2 cm.</v>
          </cell>
          <cell r="C346">
            <v>0</v>
          </cell>
          <cell r="D346">
            <v>0</v>
          </cell>
        </row>
        <row r="347">
          <cell r="B347" t="str">
            <v>Mosaic tiles 25 cm x 25 cm x 2 cm.</v>
          </cell>
          <cell r="C347">
            <v>0</v>
          </cell>
          <cell r="D347">
            <v>1046.23</v>
          </cell>
        </row>
        <row r="348">
          <cell r="B348" t="str">
            <v>Floor ceramic tiles</v>
          </cell>
          <cell r="C348">
            <v>0</v>
          </cell>
          <cell r="D348">
            <v>1036.46</v>
          </cell>
        </row>
        <row r="349">
          <cell r="B349" t="str">
            <v>Glazed tiles</v>
          </cell>
          <cell r="C349">
            <v>0</v>
          </cell>
          <cell r="D349">
            <v>1173.3900000000001</v>
          </cell>
        </row>
        <row r="350">
          <cell r="B350" t="str">
            <v>Floor ceramic tiles (Anti-skid)</v>
          </cell>
          <cell r="C350">
            <v>0</v>
          </cell>
          <cell r="D350">
            <v>1173.3900000000001</v>
          </cell>
        </row>
        <row r="351">
          <cell r="B351" t="str">
            <v>Ellispattern</v>
          </cell>
          <cell r="C351" t="str">
            <v>Finishing the top of flooring with cement concrete 1:3 (one of cement and three of blue granite chips of size 10mm and below) 20mm thick Ellis pattern flooring (no sand) and surface rendered smooth including 50mm wide skirting, providing proper slopes, thread lining, curing etc., complete in all floors complying with relevant standard specifications.</v>
          </cell>
          <cell r="D351">
            <v>371.17</v>
          </cell>
        </row>
        <row r="352">
          <cell r="B352" t="str">
            <v>Weathering course</v>
          </cell>
          <cell r="C352" t="str">
            <v>weathering course with concrete broken brick jelly 20mm gauge in pure burnt lime stone slaked and screened (no sand) over rcc roof slab with proportion of brick jelly to lime (fat lime) being 32:12½ by volume well beaten with wooden beaters for giving the required slope and thickness complying with relevant  standard specification and as directed by the departmental officers.</v>
          </cell>
          <cell r="D352">
            <v>3226.6</v>
          </cell>
        </row>
        <row r="353">
          <cell r="B353" t="str">
            <v>Pressed tiles (23cmx23cmx20mm) mixed with Crude oil</v>
          </cell>
          <cell r="C353">
            <v>0</v>
          </cell>
          <cell r="D353">
            <v>0</v>
          </cell>
        </row>
        <row r="354">
          <cell r="B354" t="str">
            <v>Pressed tiles (23cmx23cmx20mm) mixed with Water proofing compound</v>
          </cell>
          <cell r="C354" t="str">
            <v>Finishing the top of roof with one course of hydraulic pressed tiles of approved superior quality of size 23cmx23cmx20mm thick laid over weathering course in cm 1:3 (one of cement and three of sand) 12mm thick mixed with water proofing compound  at 2% by weight of cement used and pointed neatly with the same cement morter mixed with water proofing compound including curing etc., as per standard specifications. (the quality of the tiles shall be got  approved from the executive engineer before use.)</v>
          </cell>
          <cell r="D354">
            <v>1034.6099999999999</v>
          </cell>
        </row>
        <row r="355">
          <cell r="B355" t="str">
            <v>Pressed tiles (23cmx23cmx18mm) mixed with Water proofing compound</v>
          </cell>
          <cell r="C355">
            <v>0</v>
          </cell>
          <cell r="D355">
            <v>0</v>
          </cell>
        </row>
        <row r="356">
          <cell r="B356" t="str">
            <v>Plastering in C.M. 1:5, 12 mm tk.</v>
          </cell>
          <cell r="C356" t="str">
            <v>Plastering with CM 1:5 (one of cement and five of sand) 12mm thick finished with  neat cement including providing band cornice, ceiling cornice, curing, scaffolding  etc., complete in all respects and complying with relevant standard specifications.</v>
          </cell>
          <cell r="D356">
            <v>210.37</v>
          </cell>
        </row>
        <row r="357">
          <cell r="B357" t="str">
            <v>Plastering in C.M. 1:4, 12 mm tk.</v>
          </cell>
          <cell r="C357" t="str">
            <v>Plastering with CM 1:4 (one of cement and four of sand) 12mm thick finished with  neat cement including providing band cornice, ceiling cornice, curing, scaffolding  etc., complete in all respects and complying with relevant standard specifications.</v>
          </cell>
          <cell r="D357">
            <v>216.22</v>
          </cell>
        </row>
        <row r="358">
          <cell r="B358" t="str">
            <v>Spl. Ceiling plastering in C.M. 1:3, 10 mm tk.</v>
          </cell>
          <cell r="C358" t="str">
            <v>Special ceiling plastering in cement mortar 1:3 (one of cement and three of sand)  10mm thick for bottom of roof, stair waist, landing and sunshades in all floors finished with neat cement including hacking the areas, providing band cornice, scaffolding curing etc., complete.</v>
          </cell>
          <cell r="D358">
            <v>239.67</v>
          </cell>
        </row>
        <row r="359">
          <cell r="B359" t="str">
            <v>Cement mortar Border in  C.M. 1:5, 12 mm tk.</v>
          </cell>
          <cell r="C359" t="str">
            <v>Plastering in Cement Mortar 1:5 (one of cement and five of sand) 12mm thick for border finish in all floors for elevation purposes including scaffolding, curing, finishing etc., all complete.</v>
          </cell>
          <cell r="D359">
            <v>0</v>
          </cell>
        </row>
        <row r="360">
          <cell r="B360" t="str">
            <v>a. 150 mm wide</v>
          </cell>
          <cell r="C360" t="str">
            <v>(a) 150mm wide border</v>
          </cell>
          <cell r="D360">
            <v>66.099999999999994</v>
          </cell>
        </row>
        <row r="361">
          <cell r="B361" t="str">
            <v>b. 75 mm wide</v>
          </cell>
          <cell r="C361" t="str">
            <v>(b) 75mm wide border</v>
          </cell>
          <cell r="D361">
            <v>42.9</v>
          </cell>
        </row>
        <row r="362">
          <cell r="B362" t="str">
            <v>c. 50 mm wide</v>
          </cell>
          <cell r="C362" t="str">
            <v>(c) 50mm wide border</v>
          </cell>
          <cell r="D362">
            <v>31.91</v>
          </cell>
        </row>
        <row r="363">
          <cell r="B363" t="str">
            <v>White washing 3 coats  (slaked)</v>
          </cell>
          <cell r="C363" t="str">
            <v>White washing three coats using clean shell lime slaked including cost of lime, gum, blue, brushes including scaffolding etc., complete in all respects.</v>
          </cell>
          <cell r="D363">
            <v>36.840000000000003</v>
          </cell>
        </row>
        <row r="364">
          <cell r="B364" t="str">
            <v>Colour washing  ( slaked)</v>
          </cell>
          <cell r="C364">
            <v>0</v>
          </cell>
          <cell r="D364">
            <v>0</v>
          </cell>
        </row>
        <row r="365">
          <cell r="B365" t="str">
            <v>Cement paint</v>
          </cell>
          <cell r="C365">
            <v>0</v>
          </cell>
          <cell r="D365">
            <v>163.52000000000001</v>
          </cell>
        </row>
        <row r="366">
          <cell r="B366" t="str">
            <v>Matt paint</v>
          </cell>
          <cell r="C366">
            <v>0</v>
          </cell>
          <cell r="D366">
            <v>141.13999999999999</v>
          </cell>
        </row>
        <row r="367">
          <cell r="B367" t="str">
            <v>M.s Grills</v>
          </cell>
          <cell r="C367" t="str">
            <v>Supplying and fixing Mild steel Grills as per the design approved to verandah enclosure or gate including one coat of primer and labour for fixing in position etc., all complete.</v>
          </cell>
          <cell r="D367">
            <v>54.5</v>
          </cell>
        </row>
        <row r="368">
          <cell r="B368" t="str">
            <v>Painting - New "wood work"</v>
          </cell>
          <cell r="C368" t="str">
            <v>Painting the new wood work with two coats of approved first class synthetic enamel ready mixed paint in addtion to one coat of primer of approved quality and shade, the paint should be supplied by the contractor at his own cost (the quality and the shade of paint should be got approved by the executive engineer before use) complying with relevant standard specifications.</v>
          </cell>
          <cell r="D368">
            <v>203.43</v>
          </cell>
        </row>
        <row r="369">
          <cell r="B369" t="str">
            <v>Painting - New "iron work"</v>
          </cell>
          <cell r="C369" t="str">
            <v>Painting the new iron work with two coats of approved first class synthetic enamel ready mixed paint in addtion to one coat of primer of approved quality and shade, the paint should be supplied by the contractor at his own cost (the quality and the shade of paint should be got approved by the executive engineer before use) complying with relevant standard specifications.</v>
          </cell>
          <cell r="D369">
            <v>120.73</v>
          </cell>
        </row>
        <row r="370">
          <cell r="B370" t="str">
            <v>Fabrication of Mild steel / RTS grills(with cement slurry wash)</v>
          </cell>
          <cell r="C370" t="str">
            <v>supplying, fabricating and placing in position of mild steel grills / ribbed tor steels for reinforcement for all floors including cost of binding wire, bending, tying and applying one coat of cement slurry etc., all complete in all respects.</v>
          </cell>
          <cell r="D370">
            <v>0</v>
          </cell>
        </row>
        <row r="371">
          <cell r="B371" t="str">
            <v>a. upto 16mm dia rods Fabrication of Mild steel / RTS grills(with cement slurry wash)</v>
          </cell>
          <cell r="C371" t="str">
            <v>(a) upto 16mm dia rods</v>
          </cell>
          <cell r="D371">
            <v>71587.03</v>
          </cell>
        </row>
        <row r="372">
          <cell r="B372" t="str">
            <v>b. above 16mm dia rods Fabrication of Mild steel / RTS grills(with cement slurry wash)</v>
          </cell>
          <cell r="C372" t="str">
            <v xml:space="preserve">(b) above 16mm dia rods </v>
          </cell>
          <cell r="D372">
            <v>71587.03</v>
          </cell>
        </row>
        <row r="373">
          <cell r="B373" t="str">
            <v xml:space="preserve">Fabrication of Mild steel / RTS grills </v>
          </cell>
          <cell r="C373" t="str">
            <v>Supplying, fabricating and placing in position of mild steel grills / ribbed tor steels of all diameters for reinforcement for all floors including cost of  binding wire, bending tying  and applying one coat of cement slurry etc., all complete in all respects.</v>
          </cell>
          <cell r="D373">
            <v>0</v>
          </cell>
        </row>
        <row r="374">
          <cell r="B374" t="str">
            <v xml:space="preserve">a. upto 16mm dia rods Fabrication of Mild steel / RTS grills </v>
          </cell>
          <cell r="C374" t="str">
            <v>(a) upto 16mm dia rods</v>
          </cell>
          <cell r="D374">
            <v>69949.75</v>
          </cell>
        </row>
        <row r="375">
          <cell r="B375" t="str">
            <v xml:space="preserve">b. above 16mm dia rodsFabrication of Mild steel / RTS grills </v>
          </cell>
          <cell r="C375" t="str">
            <v xml:space="preserve">(b) above 16mm dia rods </v>
          </cell>
          <cell r="D375">
            <v>69949.75</v>
          </cell>
        </row>
        <row r="376">
          <cell r="B376" t="str">
            <v>PVC SWR 110 mm dia Rain water pipe</v>
          </cell>
          <cell r="C376">
            <v>0</v>
          </cell>
          <cell r="D376">
            <v>310.89999999999998</v>
          </cell>
        </row>
        <row r="377">
          <cell r="B377" t="str">
            <v>Rain Water Harvesting using Defunct borewell method</v>
          </cell>
          <cell r="C377">
            <v>0</v>
          </cell>
          <cell r="D377">
            <v>0</v>
          </cell>
        </row>
        <row r="378">
          <cell r="B378" t="str">
            <v>Stucco plastering 12 mm tk.</v>
          </cell>
          <cell r="C378" t="str">
            <v>stucco plastering 12mm thick using hard broken stone chips of size 10mm  and below using 86.50 kgs of cement and 0.15 cu.m. blue metal chips for every 10sq.m area over the existing plastered surface including curing etc., complete complying with relevant standard specifications and as directed by the departmental officers.</v>
          </cell>
          <cell r="D378">
            <v>265.14</v>
          </cell>
        </row>
        <row r="379">
          <cell r="B379" t="str">
            <v>S &amp; F 20 mm dia Alu. Hanger Rod</v>
          </cell>
          <cell r="C379" t="str">
            <v>Supplying and fixing of 20mm dia Aluminium hanger rod to the required length with aluminium end brackets  including cost of screws, tw plugs and labour charges for fixing in position etc., complete in all respects and as directed by the departmental officers.</v>
          </cell>
          <cell r="D379">
            <v>58</v>
          </cell>
        </row>
        <row r="380">
          <cell r="B380" t="str">
            <v>S &amp; F Alu  Towel rail 75 cm long</v>
          </cell>
          <cell r="C380" t="str">
            <v>Supplying and fixing of Aluminium towel rails of 75cm long, including cost of screws, TW plug and labour charges for fixing in position etc., complete in all  respects and as directed by the departmental officers.</v>
          </cell>
          <cell r="D380">
            <v>95</v>
          </cell>
        </row>
        <row r="381">
          <cell r="B381" t="str">
            <v>S &amp; F 5 pin Coat stand</v>
          </cell>
          <cell r="C381" t="str">
            <v>Supplying and fixing of Aluminium plate with five pins for coat stand including cost of plugs, nails, screws and labour for fixing in position etc., all complete and as directed by the departmental officers.</v>
          </cell>
          <cell r="D381">
            <v>55</v>
          </cell>
        </row>
        <row r="382">
          <cell r="B382" t="str">
            <v>S &amp; F chromium plated 8 guage Picture Hook</v>
          </cell>
          <cell r="C382" t="str">
            <v>Providing and fixing of iron chromium plated 8 gauge picture hooks including fixing in position etc., all complete in all respects and as directed by the departmental officers.</v>
          </cell>
          <cell r="D382">
            <v>1.5</v>
          </cell>
        </row>
        <row r="383">
          <cell r="B383" t="str">
            <v>Precast slab 50 mm tk.in C.C. 1:3:6</v>
          </cell>
          <cell r="C383">
            <v>0</v>
          </cell>
          <cell r="D383">
            <v>0</v>
          </cell>
        </row>
        <row r="384">
          <cell r="B384" t="str">
            <v xml:space="preserve">Providing precast Kerb stone in C.C. 1:3:6,  450 x 300 x 150 mm </v>
          </cell>
          <cell r="C384" t="str">
            <v>Supplying and fixing of precast kerb stone of size 450 x 300 x150 mm made in cement concrete 1:3:6 (one of cement, three of sand and six of hard broken stone jelly) using 20mm size hard broken stone jelly including the cost of kerb stone, moulding, laying, curing, transporting, pointing and as directed by the departmental officers.</v>
          </cell>
          <cell r="D384">
            <v>230.76</v>
          </cell>
        </row>
        <row r="385">
          <cell r="B385" t="str">
            <v>Supply and planting avenue trees</v>
          </cell>
          <cell r="C385" t="str">
            <v>supplying and planting of avenue trees including earthwork excavation for pit of size 60x60x60cm filled with manure for 20cm depth and filling with river sand and red earth mix in the ratio of 1:1 for 40cm depth in the same pit and planting the avenue trees of approved varieties to a height of 200cm from the ground level and maintaining them for the period of six months including watering, periodical manuring and replacing the avenue trees if dead etc., all complete and as directed by the departmental officers. (tree sappling shall be got approved by the executive engineer before planting)</v>
          </cell>
          <cell r="D385">
            <v>353.01</v>
          </cell>
        </row>
        <row r="386">
          <cell r="B386" t="str">
            <v>Providing Tree guard</v>
          </cell>
          <cell r="C386" t="str">
            <v>supplying and fixing of triangular shape chicken mesh tree guard using 8 cm dia casurina vertical post and middle tie using country wood reaper of size 50x25 mm and 25 gauge chicken mesh including labour charges for fixing the triangular tree guard and as directed by the departmetal officers.</v>
          </cell>
          <cell r="D386">
            <v>774.11</v>
          </cell>
        </row>
        <row r="387">
          <cell r="B387" t="str">
            <v>Supplying. Fabricating and erection of M.S Scheme Name board</v>
          </cell>
          <cell r="C387" t="str">
            <v>Supplying fabrication and erecton in position of M.S.scheme name and layout  board with 50x50x6mm M.S.angle for vertical post and support posts with 2.5mm thick m.s.sheet for a size at 1.80x1.20m with 40x40x6mm M.S.angle around the board and 50x6mm flat stiffeners on both directions including cost of welding charges, painting charges  and drawing the layout and lettering the scheme details as directed by the departmental officers including earth work  excavation for 4 nos. of pits, PCC 1:5:10 (one of cement, five of sand and ten of 40 mm hb stone jelly) for pits 0.45x0.45x0.60m below ground level and PCC 1:2:4 (one of cement, two of sand and four of 20 mm hb stone jelly) at 0.30x0.30x0.30m. above ground level for erection, conveyance charges etc., all complete and as directed by the departmental officers.</v>
          </cell>
          <cell r="D387">
            <v>15447.3</v>
          </cell>
        </row>
        <row r="388">
          <cell r="B388" t="str">
            <v>HDPE water tank 700 lit capacity with ISI mark</v>
          </cell>
          <cell r="C388" t="str">
            <v>Supplying and erection of rotational moulded polyethylene water storage tanks (HDPE cylinderical vertical type) for outdoor use having capacity 1000 of  litres (excluding free board) of approved brand (superior variety) with ISI mark (marked in the tank itself) with top lid with provisions of locking including necessary specials and fittings for storing potable water and manufactured  with material which do not import any taste /odour/ any toxic effect and not to contaminate etc., with carbon block content and dispersion in accordance with relevant I.S. specification and as directed by the departmental officers etc., complete. (the tank should be got approved form the executive engineer before use)</v>
          </cell>
          <cell r="D388">
            <v>6020</v>
          </cell>
        </row>
        <row r="389">
          <cell r="B389" t="str">
            <v>PVC Water supply (ASTM)</v>
          </cell>
          <cell r="C389" t="str">
            <v>Supplying, laying, fixing and joining the following PVC pipes as per ASTM D-1785 of schedule 40 of wall thickness not less than the specified in IS 4985 suitable for  plumbing by threading of wall thickness including the cost of suitable PVC/GI specials/GM specials like elbow, tee, reducers, plug, unions, bend, coupler, nipple, gm gate valve, check and wheel valve etc., wherever required above the ground level including the cost of teflon tape, special clamps, nails etc., fixing on wall to the proper gradiant and alignment and redoing the chipped of masonry etc., as directed by the departmental officers.</v>
          </cell>
          <cell r="D389">
            <v>0</v>
          </cell>
        </row>
        <row r="390">
          <cell r="B390" t="str">
            <v>a. 32 mm dia  PVC Water supply (ASTM)</v>
          </cell>
          <cell r="C390" t="str">
            <v>(a) 32mm ASTM-D schedule 40 threaded PVC pipe  with necessary PVC/GI specials</v>
          </cell>
          <cell r="D390">
            <v>214.53</v>
          </cell>
        </row>
        <row r="391">
          <cell r="B391" t="str">
            <v>b. 25 mm dia PVC Water supply (ASTM)</v>
          </cell>
          <cell r="C391" t="str">
            <v>(b) 25mm ASTM-D schedule 40 threaded PVC pipe  with necessary PVC/GI specials</v>
          </cell>
          <cell r="D391">
            <v>197.77</v>
          </cell>
        </row>
        <row r="392">
          <cell r="B392" t="str">
            <v>c. 20 mm dia PVC Water supply (ASTM)</v>
          </cell>
          <cell r="C392" t="str">
            <v>(c) 20mm ASTM-D schedule 40 threaded PVC pipe  with necessary PVC/GI specials</v>
          </cell>
          <cell r="D392">
            <v>194.99</v>
          </cell>
        </row>
        <row r="393">
          <cell r="B393" t="str">
            <v>G.I Pipe 20mm dia for Hot water line (Fully Concealed in walls)</v>
          </cell>
          <cell r="C393" t="str">
            <v xml:space="preserve">supplying, laying and fixing of 20 mm dia gi pipe ‘b’ class of best approved quality for hot water line fully concealed in walls including cost of pipes and specials, labour charges for laying, jointing, testing and redoing the dismantled portions with neat finish etc., all complete and  as  directed  by  the  departmental officers.                                                         </v>
          </cell>
          <cell r="D393">
            <v>276.39999999999998</v>
          </cell>
        </row>
        <row r="394">
          <cell r="B394" t="str">
            <v>Wash basin</v>
          </cell>
          <cell r="C394">
            <v>0</v>
          </cell>
          <cell r="D394">
            <v>3004.82</v>
          </cell>
        </row>
        <row r="395">
          <cell r="B395" t="str">
            <v>S &amp; F  of  C.I. Manhole cover 45 x 45 cm (20 kg. weight)</v>
          </cell>
          <cell r="C395">
            <v>0</v>
          </cell>
          <cell r="D395">
            <v>0</v>
          </cell>
        </row>
        <row r="396">
          <cell r="B396" t="str">
            <v>C.I. Steps ( 5 kg)</v>
          </cell>
          <cell r="C396" t="str">
            <v>Supplying and fixing of C.I. steps of approved quality and brand (not less than 5kg each) including cost of material labour charges for fixing etc., all complete and as directed by the departmental officers.</v>
          </cell>
          <cell r="D396">
            <v>30</v>
          </cell>
        </row>
        <row r="397">
          <cell r="B397" t="str">
            <v>Brass tap (with ISI mark)</v>
          </cell>
          <cell r="C397" t="str">
            <v>supplying and fixing of brass screw down  tap 15mm dia heavy not less than 430 grams weight with isi mark.</v>
          </cell>
          <cell r="D397">
            <v>202</v>
          </cell>
        </row>
        <row r="398">
          <cell r="B398" t="str">
            <v xml:space="preserve">C.P tap long body </v>
          </cell>
          <cell r="C398" t="str">
            <v>supplying and fixing of 15mm dia brass core c.p long body tap of best quality including cost of fittings with required specials, bends, labour for fixing etc, all complete and as directed by the departmental officers., (the quality and brand of fittings should be got approved from executive engineer before use).</v>
          </cell>
          <cell r="D398">
            <v>300</v>
          </cell>
        </row>
        <row r="399">
          <cell r="B399" t="str">
            <v xml:space="preserve">C.P tap short body </v>
          </cell>
          <cell r="C399" t="str">
            <v>supplying and fixing of 15mm dia brass core c.p short body tap of best quality including cost of fittings with required specials, bends, labour for fixing etc, all complete and as directed by the departmental officers., (the quality and brand of fittings should be got approved from executive engineer before use).</v>
          </cell>
          <cell r="D399">
            <v>250</v>
          </cell>
        </row>
        <row r="400">
          <cell r="B400" t="str">
            <v>Squat Urinal</v>
          </cell>
          <cell r="C400" t="str">
            <v>supplying and fixing of approved brand porcelain squat urinal superior variety, in cm 1:1 (one of cement and one of sand) including cost of squat urinal with foot rests etc. all   complete   as    directed by the departmental officers (the quality and brand shall be got approved from the executive engineer before use)</v>
          </cell>
          <cell r="D400">
            <v>795.45049999999992</v>
          </cell>
        </row>
        <row r="401">
          <cell r="B401" t="str">
            <v>Flat Back Urinal</v>
          </cell>
          <cell r="C401" t="str">
            <v>Supplying and fixing of approved brand porcelain flat back urinal superior variety including cost of urinal lead pipe, waste pipe, 15mm wheel valve, tw plug and labour for fixing etc., all complete as directed by the departmental officers (the brand and quality shall be got approved from the executive engineer before use)</v>
          </cell>
          <cell r="D401">
            <v>1939.7</v>
          </cell>
        </row>
        <row r="402">
          <cell r="B402" t="str">
            <v xml:space="preserve">S &amp; F of Orissapan  - in G.F.  </v>
          </cell>
          <cell r="C402">
            <v>0</v>
          </cell>
          <cell r="D402">
            <v>2944.28</v>
          </cell>
        </row>
        <row r="403">
          <cell r="B403" t="str">
            <v xml:space="preserve">S &amp; F of Orissapan - other than G.F. </v>
          </cell>
          <cell r="C403">
            <v>0</v>
          </cell>
          <cell r="D403">
            <v>4561.54</v>
          </cell>
        </row>
        <row r="404">
          <cell r="B404" t="str">
            <v>S &amp; F of E.W.C.(white)</v>
          </cell>
          <cell r="C404" t="str">
            <v>Supplying and fixing EWC (white) superior variety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(EWC and plastic cover shall be got approved from the executive engineer before fixing)</v>
          </cell>
          <cell r="D404">
            <v>6255.28</v>
          </cell>
        </row>
        <row r="405">
          <cell r="B405" t="str">
            <v>S &amp; F of E.W.C.(colour)</v>
          </cell>
          <cell r="C405" t="str">
            <v>supplying and fixing ewc superior variety (colour)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(brand, colour of ewc and plastic cover shall be got approved from the executive engineer before fixing)</v>
          </cell>
          <cell r="D405">
            <v>6675.18</v>
          </cell>
        </row>
        <row r="406">
          <cell r="B406" t="str">
            <v>PVC SWR pipe (Soil line)</v>
          </cell>
          <cell r="C406">
            <v>0</v>
          </cell>
          <cell r="D406">
            <v>0</v>
          </cell>
        </row>
        <row r="407">
          <cell r="B407" t="str">
            <v>a. 110 mm dia.</v>
          </cell>
          <cell r="C407">
            <v>0</v>
          </cell>
          <cell r="D407">
            <v>626.17999999999995</v>
          </cell>
        </row>
        <row r="408">
          <cell r="B408" t="str">
            <v>b. 75 mm dia.</v>
          </cell>
          <cell r="C408">
            <v>0</v>
          </cell>
          <cell r="D408">
            <v>513.38</v>
          </cell>
        </row>
        <row r="409">
          <cell r="B409" t="str">
            <v>PVC Ventilating shaft with cowl</v>
          </cell>
          <cell r="C409">
            <v>0</v>
          </cell>
          <cell r="D409">
            <v>441.7</v>
          </cell>
        </row>
        <row r="410">
          <cell r="B410" t="str">
            <v>Gully Trap using Chamber burnt bricks 23 x 11.2 x 7 cm.</v>
          </cell>
          <cell r="C410">
            <v>0</v>
          </cell>
          <cell r="D410">
            <v>0</v>
          </cell>
        </row>
        <row r="411">
          <cell r="B411" t="str">
            <v>Gully Trap using chamber burnt bricks of size 23x11.4x7.5cm</v>
          </cell>
          <cell r="C411" t="str">
            <v>supplying and fixing 150mm x 100mm size stone ware gully trap with iron gratings over a bed of 150mm thick brick jelly concrete in c.c.1:8:16 (one of cement, eight of sand and sixteen of broken brick jelly) using 40mm size brick jelly and brick masonry wall 114 mm thick using chamber burnt bricks of size 9"x4-1/2"x3" (23x11.4x7.5cm) in c.m. 1:5 (one of cement and five of sand) plastered with c.m. 1:3 (one of cement and three of sand) 12mm thick etc., complete and as directed by the departmental officers</v>
          </cell>
          <cell r="D411">
            <v>1656.52</v>
          </cell>
        </row>
        <row r="412">
          <cell r="B412" t="str">
            <v>Gully Trap using Chamber burnt bricks 23 x 11 x 7 cm.</v>
          </cell>
          <cell r="C412">
            <v>0</v>
          </cell>
          <cell r="D412">
            <v>0</v>
          </cell>
        </row>
        <row r="413">
          <cell r="B413" t="str">
            <v>Gully Trap using Chamber burnt bricks 22 x 11 x 7 cm.</v>
          </cell>
          <cell r="C413">
            <v>0</v>
          </cell>
          <cell r="D413">
            <v>0</v>
          </cell>
        </row>
        <row r="414">
          <cell r="B414" t="str">
            <v>Gully Trap using Kiln burnt country bricks 22 x 11 x 7 cm.</v>
          </cell>
          <cell r="C414" t="str">
            <v>supplying and fixing 150mm x 100mm size stone ware gully trap with iron gratings over a bed of 150mm thick brick jelly concrete in cc 1:8:16 (one of cement, eight of sand and sixteen of broken brick jelly) using 40mm size brick jelly and brick masonry wall 110 mm thick using kiln burnt country bricks of size 8¾”x4¼”x2¾” (22x11x7cm) in cm 1:5 (one of cement and five of sand) plastered with cm 1:3 (one of cement and three of sand) 12mm thick etc., complete and as directed by the departmental officers.</v>
          </cell>
          <cell r="D414">
            <v>1656.5193749999999</v>
          </cell>
        </row>
        <row r="415">
          <cell r="B415" t="str">
            <v>Gully Trap using Kiln burnt country bricks 22 x 11 x 5.7 cm.</v>
          </cell>
          <cell r="C415">
            <v>0</v>
          </cell>
          <cell r="D415">
            <v>0</v>
          </cell>
        </row>
        <row r="416">
          <cell r="B416" t="str">
            <v>PVC Nahani trap (4way/2way)</v>
          </cell>
          <cell r="C416" t="str">
            <v>Supplying and fixing of PVC Nahani trap of 75mmx50mm 4way / 2 way (superior variety) having minimum  of water seal of 50mm confirm to relevant i.s. specifications with its latest amendments  including resting on the bed of brick jelly concrete  1:5:10  (one of cement, five of sand and ten of 40mm guage brick jelly) etc., complete and as directed by the departmental officers. (the pvc nahani trap should be got apporved from the executive engineer before use)</v>
          </cell>
          <cell r="D416">
            <v>136.69999999999999</v>
          </cell>
        </row>
        <row r="417">
          <cell r="B417" t="str">
            <v>Stoneware pipe</v>
          </cell>
          <cell r="C417" t="str">
            <v>Supplying and fixing of PVC Nahani trap of 75mmx50mm 4way / 2 way (superior variety) having minimum  of water seal of 50mm confirm to relevant i.s. specifications with its latest amendments  including resting on the bed of brick jelly concrete  1:5:10  (one of cement, five of sand and ten of 40mm guage brick jelly) etc., complete and as directed by the departmental officers. (the pvc nahani trap should be got apporved from the executive engineer before use)</v>
          </cell>
          <cell r="D417">
            <v>0</v>
          </cell>
        </row>
        <row r="418">
          <cell r="B418" t="str">
            <v>a. 100 mm S.W. pipe Stoneware pipe</v>
          </cell>
          <cell r="C418" t="str">
            <v>(a) 100mm dia s.w. pipe</v>
          </cell>
          <cell r="D418">
            <v>477.8</v>
          </cell>
        </row>
        <row r="419">
          <cell r="B419" t="str">
            <v>b. 150 mm S.W. pipe Stoneware pipe</v>
          </cell>
          <cell r="C419" t="str">
            <v>(b) 150mm dia s.w. pipe</v>
          </cell>
          <cell r="D419">
            <v>637.16999999999996</v>
          </cell>
        </row>
        <row r="420">
          <cell r="B420" t="str">
            <v>Stoneware pipe dry condition</v>
          </cell>
          <cell r="C420" t="str">
            <v xml:space="preserve">supplying and laying and loose jointing the following dia stone ware pipes with isi mark superior variety (glazed) with sipgot and socket ends in dry conditions and tested with water, after the pipes are laid to proper gradient to the alignment etc., complete and as directed by the departmental officers. </v>
          </cell>
          <cell r="D420">
            <v>0</v>
          </cell>
        </row>
        <row r="421">
          <cell r="B421" t="str">
            <v>a. 100 mm dia Stoneware pipe dry condition</v>
          </cell>
          <cell r="C421" t="str">
            <v>(a) 100mm dia s.w. pipe</v>
          </cell>
          <cell r="D421">
            <v>214.22</v>
          </cell>
        </row>
        <row r="422">
          <cell r="B422" t="str">
            <v>b. 150 mm dia Stoneware pipe dry condition</v>
          </cell>
          <cell r="C422" t="str">
            <v>(b) 150mm dia s.w. pipe</v>
          </cell>
          <cell r="D422">
            <v>317.39999999999998</v>
          </cell>
        </row>
        <row r="423">
          <cell r="B423" t="str">
            <v>Stoneware bend</v>
          </cell>
          <cell r="C423" t="str">
            <v>supplying and fixing of the following  dia stone ware bend superior variety and jointing with cement and tarred yarn laid to proper gradient including earth work excavation, refilling trenches, concreting, curing and testing the joint etc., complete.</v>
          </cell>
          <cell r="D423">
            <v>0</v>
          </cell>
        </row>
        <row r="424">
          <cell r="B424" t="str">
            <v>a. 100 mm dia Stoneware bend</v>
          </cell>
          <cell r="C424" t="str">
            <v>(a)100 mm dia s.w. bend</v>
          </cell>
          <cell r="D424">
            <v>102.1</v>
          </cell>
        </row>
        <row r="425">
          <cell r="B425" t="str">
            <v>b. 150 mm dia Stoneware bend</v>
          </cell>
          <cell r="C425" t="str">
            <v>(b)150 mm dia s.w. bend</v>
          </cell>
          <cell r="D425">
            <v>140.5</v>
          </cell>
        </row>
        <row r="426">
          <cell r="B426" t="str">
            <v>Stoneware Tee</v>
          </cell>
          <cell r="C426" t="str">
            <v xml:space="preserve">supplying and fixing of the following dia stone ware tee superior variety and jointing with cement and tarred yarn laid to proper gradient including earth work excavation, refilling trenches, concreting, curing and testing the joint etc., complete., </v>
          </cell>
          <cell r="D426">
            <v>0</v>
          </cell>
        </row>
        <row r="427">
          <cell r="B427" t="str">
            <v>a. 100 mm dia Stoneware Tee</v>
          </cell>
          <cell r="C427" t="str">
            <v>(a)100 mm dia s.w. tee</v>
          </cell>
          <cell r="D427">
            <v>128.6</v>
          </cell>
        </row>
        <row r="428">
          <cell r="B428" t="str">
            <v>b. 150 mm dia Stoneware Tee</v>
          </cell>
          <cell r="C428" t="str">
            <v>(b)150 mm dia s.w. tee</v>
          </cell>
          <cell r="D428">
            <v>165.9</v>
          </cell>
        </row>
        <row r="429">
          <cell r="B429" t="str">
            <v>32 mm dia PVC waste pipe</v>
          </cell>
          <cell r="C429">
            <v>0</v>
          </cell>
          <cell r="D429">
            <v>31.87</v>
          </cell>
        </row>
        <row r="430">
          <cell r="B430" t="str">
            <v>Electrical arrangements</v>
          </cell>
          <cell r="C430">
            <v>0</v>
          </cell>
          <cell r="D430">
            <v>0</v>
          </cell>
        </row>
        <row r="431">
          <cell r="B431" t="str">
            <v>a. Light point with ceiling rose</v>
          </cell>
          <cell r="C431">
            <v>0</v>
          </cell>
          <cell r="D431">
            <v>1340</v>
          </cell>
        </row>
        <row r="432">
          <cell r="B432" t="str">
            <v>b. Light point without ceiling rose</v>
          </cell>
          <cell r="C432">
            <v>0</v>
          </cell>
          <cell r="D432">
            <v>0</v>
          </cell>
        </row>
        <row r="433">
          <cell r="B433" t="str">
            <v>c. Calling bell point with Buzzer/Calling bell</v>
          </cell>
          <cell r="C433">
            <v>0</v>
          </cell>
          <cell r="D433">
            <v>1372</v>
          </cell>
        </row>
        <row r="434">
          <cell r="B434" t="str">
            <v xml:space="preserve">Fan point </v>
          </cell>
          <cell r="C434">
            <v>0</v>
          </cell>
          <cell r="D434">
            <v>1398</v>
          </cell>
        </row>
        <row r="435">
          <cell r="B435" t="str">
            <v>Staircase light point</v>
          </cell>
          <cell r="C435">
            <v>0</v>
          </cell>
          <cell r="D435">
            <v>2539.73</v>
          </cell>
        </row>
        <row r="436">
          <cell r="B436" t="str">
            <v>5 amps 5 pin Plug point (Switch board itself)</v>
          </cell>
          <cell r="C436">
            <v>0</v>
          </cell>
          <cell r="D436">
            <v>688</v>
          </cell>
        </row>
        <row r="437">
          <cell r="B437" t="str">
            <v>5 amps 5 pin Plug point (Convenient places)</v>
          </cell>
          <cell r="C437">
            <v>0</v>
          </cell>
          <cell r="D437">
            <v>932</v>
          </cell>
        </row>
        <row r="438">
          <cell r="B438" t="str">
            <v>15 Amp. Power plug</v>
          </cell>
          <cell r="C438" t="str">
            <v>Supplying and fixing 15 amps 3 pin plug type socket on a suitable MS box 16g thick concealed and covered with 3mm thick laminated hylem sheet inclusive of  all connections and cost of all materials.</v>
          </cell>
          <cell r="D438">
            <v>129</v>
          </cell>
        </row>
        <row r="439">
          <cell r="B439" t="str">
            <v>Bulk head fitting</v>
          </cell>
          <cell r="C439" t="str">
            <v>supplying and fixing of water tight bulk head fittings with guard, suitable for 60/100 watts including necessary connections, cost of materials etc., all complete.</v>
          </cell>
          <cell r="D439">
            <v>462</v>
          </cell>
        </row>
        <row r="440">
          <cell r="B440" t="str">
            <v>S &amp; F of Tube light with fittings</v>
          </cell>
          <cell r="C440" t="str">
            <v>supplying, assembling and fixing of fluorescent tubular lamp of 40watts, 4 feet long with fittings with copper choke and starter with necessary bulb and socket arrangement on teakwood round block of 75mm dia 40mm deep suspended from ceiling (or) mounted on walls etc. (entire fittings shall be got approved from the ee before use.)</v>
          </cell>
          <cell r="D440">
            <v>0</v>
          </cell>
        </row>
        <row r="441">
          <cell r="B441" t="str">
            <v>S &amp; F of 40/ 60 w bulb</v>
          </cell>
          <cell r="C441" t="str">
            <v>supplying &amp; fixing of 40/60 watts bulbs suitable for fixing it to pendent / bakelite battern holder of          best approved variety and as directed by the departmental officers.</v>
          </cell>
          <cell r="D441">
            <v>12</v>
          </cell>
        </row>
        <row r="442">
          <cell r="B442" t="str">
            <v>S &amp; F of plastic  shade</v>
          </cell>
          <cell r="C442" t="str">
            <v>supplying and fixing of plastic shade of best approved make and quality to reflect the light and also match to the wall colour etc., all complete and as directed by the departmental officers. (the quality of plastic shade should be got approved from the executive engineer before use.)</v>
          </cell>
          <cell r="D442">
            <v>10</v>
          </cell>
        </row>
        <row r="443">
          <cell r="B443" t="str">
            <v>Double pole main switch</v>
          </cell>
          <cell r="C443" t="str">
            <v>Supplying and fixing of 16 Amps Double pole main switch with fuse and neutral link on a suitable well varnished teak wood board including necessary inter connections and earth connections, cost of all materials etc., all complete</v>
          </cell>
          <cell r="D443">
            <v>815</v>
          </cell>
        </row>
        <row r="444">
          <cell r="B444" t="str">
            <v>Box type Fibre Fan hook</v>
          </cell>
          <cell r="C444" t="str">
            <v>Supplying and fixing of best approved superior variety concealed type fibre box with M.S Fan hook of 100 mm dia 75 mm depth and 3 mm thick including cost and fixing in position etc., complete and as directed by the departmental officers (the quality should be got approved by the executive engineer before use)</v>
          </cell>
          <cell r="D444">
            <v>33.9</v>
          </cell>
        </row>
        <row r="445">
          <cell r="B445" t="str">
            <v>6 way - D.B.</v>
          </cell>
          <cell r="C445" t="str">
            <v>Supplying and fixing of 1 no. three phase distribution board with 6 way per phase 30A / per way with neutral link on suitable well varnished teakwood plank including necessary inter connections and earth connections cost of all materials etc., all complete.</v>
          </cell>
          <cell r="D445">
            <v>4016</v>
          </cell>
        </row>
        <row r="446">
          <cell r="B446" t="str">
            <v>4 way - D.B.</v>
          </cell>
          <cell r="C446" t="str">
            <v>Supplying and fixing of 1 No. three phase distribution board with 4 way per phase 30A per way with neutral link on suitable well varnished teakwood plank including necessary inter connections and earth connections, cost of all materials etc., all complete.</v>
          </cell>
          <cell r="D446">
            <v>3250</v>
          </cell>
        </row>
        <row r="447">
          <cell r="B447" t="str">
            <v>Charges for fixing of "Fan"</v>
          </cell>
          <cell r="C447" t="str">
            <v>Charges for assembling and fixing of ceiling fan of different sweep with  necessary connections and fixing of fan regulator on the existing board etc., all complete (excluding cost of fan).</v>
          </cell>
          <cell r="D447">
            <v>467</v>
          </cell>
        </row>
        <row r="448">
          <cell r="B448" t="str">
            <v>Supply and delivery of Fan</v>
          </cell>
          <cell r="C448">
            <v>0</v>
          </cell>
          <cell r="D448">
            <v>0</v>
          </cell>
        </row>
        <row r="449">
          <cell r="B449" t="str">
            <v>a. 48" (1200 mm)</v>
          </cell>
          <cell r="C449">
            <v>0</v>
          </cell>
          <cell r="D449">
            <v>0</v>
          </cell>
        </row>
        <row r="450">
          <cell r="B450" t="str">
            <v>b. 42" (1050 mm)</v>
          </cell>
          <cell r="C450">
            <v>0</v>
          </cell>
          <cell r="D450">
            <v>0</v>
          </cell>
        </row>
        <row r="451">
          <cell r="B451" t="str">
            <v>8 SWG wire</v>
          </cell>
          <cell r="C451" t="str">
            <v>Supplying and laying of 8 SWG GI wire on wall below ground levels with  necessary 'U' nails earth work excavation and refilling etc., including  cost of all materials etc., all complete.</v>
          </cell>
          <cell r="D451">
            <v>20.998888888888889</v>
          </cell>
        </row>
        <row r="452">
          <cell r="B452" t="str">
            <v>Providing and fixing 25mm x 3mm copper strip on surface or in recess for connections as required -</v>
          </cell>
          <cell r="C452" t="str">
            <v>Providing and fixing 25mm x 3mm copper strip on surface or in recess for connections as required -</v>
          </cell>
          <cell r="D452">
            <v>380</v>
          </cell>
        </row>
        <row r="453">
          <cell r="B453" t="str">
            <v>Run of main 2 wires of 1.50 Sqm.m.</v>
          </cell>
          <cell r="C453">
            <v>0</v>
          </cell>
          <cell r="D453">
            <v>172</v>
          </cell>
        </row>
        <row r="454">
          <cell r="B454" t="str">
            <v>Run of 2 wires of 4 Sqm.m with continuous earth by means of 2.5Sqm.m</v>
          </cell>
          <cell r="C454">
            <v>0</v>
          </cell>
          <cell r="D454">
            <v>219</v>
          </cell>
        </row>
        <row r="455">
          <cell r="B455" t="str">
            <v>S &amp; F of A/C metal clad switch</v>
          </cell>
          <cell r="C455" t="str">
            <v>Supplying, fixing, connecting and commissioning of 20amps metal clad switch for Air’ conditioner (superior variety) combined with 20amps SP MCB in manufactures mount box fixed flush with the wall including cost of material, necessary inter connection etc, switch on suitable angle iron frame work with necessary tw entry boxes with earthing etc., all complete and as directed by the departmental officers., (the quality and brand of fittings should be got approved from executive engineer before use).</v>
          </cell>
          <cell r="D455">
            <v>1830</v>
          </cell>
        </row>
        <row r="456">
          <cell r="B456" t="str">
            <v>S&amp;F of TV/Telephone line Socket</v>
          </cell>
          <cell r="C456" t="str">
            <v>Supplying, fixing and concealing T.W box of size 8"x6"x4" covered with 3mm thick hylem sheet including cost of T.V.line socket / Telephone line socket etc., all complete and as directed by the departmental officers.</v>
          </cell>
          <cell r="D456">
            <v>76</v>
          </cell>
        </row>
        <row r="457">
          <cell r="B457" t="str">
            <v>S&amp;F of 20mm dia PVC pipe for TV/Telephone line</v>
          </cell>
          <cell r="C457" t="str">
            <v>supplying, laying and concealing of pvc pipe of 20mm dia with necessary specials and other materials including run off 1 no fish wire (g.i. 22g) for drawing cable for t.v./telephone etc., all complete and as directed by the departmental officers.</v>
          </cell>
          <cell r="D457">
            <v>72.803333333333342</v>
          </cell>
        </row>
        <row r="458">
          <cell r="B458" t="str">
            <v>Earthing Station IS3043 (Type I)</v>
          </cell>
          <cell r="C458" t="str">
            <v>Providing Earthing Station (Type I)  using pipe electrode as per is 3043 using 2.5 m of 40mm dia and 1.0 m of 20mm dia 'B-class GI pipe including earth work excavation, brick work  in cement mortar and plastering and cost of funnel, GI nuts, bolts, washers, check nuts, G`I bend, reducer and coupling, C.I cover  of 30x30 cm and including charcoal of 40 kgs and salt 10 kgs etc., all complete.</v>
          </cell>
          <cell r="D458">
            <v>2588</v>
          </cell>
        </row>
        <row r="459">
          <cell r="B459" t="str">
            <v xml:space="preserve">Plate earthing with copper plate of size 600 x 600 x 3 mm </v>
          </cell>
          <cell r="C459" t="str">
            <v>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v>
          </cell>
          <cell r="D459">
            <v>10245</v>
          </cell>
        </row>
        <row r="460">
          <cell r="B460" t="str">
            <v>Earthing Station (Type II)</v>
          </cell>
          <cell r="C460" t="str">
            <v>providing earthing station (type ii) using 2.0m of 440mm dia b class g.i. pipe electrode as per pwd (tnbp) and supplying and laying of 8swg gi wire including earth work excavation, brick work in cement mortar, plastering, rcc cover slab, g.i. wire 0.50 kg, 20 kg of charcoal, 9 kg of salt including cost of all materials etc. all complete and as directed by the departmental officers.</v>
          </cell>
          <cell r="D460">
            <v>0</v>
          </cell>
        </row>
        <row r="461">
          <cell r="B461" t="str">
            <v>1 No.of 30Amps - Fuse Unit</v>
          </cell>
          <cell r="C461">
            <v>0</v>
          </cell>
          <cell r="D461">
            <v>466.0025</v>
          </cell>
        </row>
        <row r="462">
          <cell r="B462" t="str">
            <v>3 Nos.of 30Amps - Fuse Unit</v>
          </cell>
          <cell r="C462" t="str">
            <v>Supplying and fixing 3 Nos of 30 amps 500 volts grade porcelain fuse unit on suitable teakwood plank varnished to be fixed on the top of pole eb street pole with necessary clamps including cost of all materials etc., all complete.</v>
          </cell>
          <cell r="D462">
            <v>724.99</v>
          </cell>
        </row>
        <row r="463">
          <cell r="B463" t="str">
            <v>375 x 300 x 20 mm T.W. plank</v>
          </cell>
          <cell r="C463" t="str">
            <v>Supplying and fixing of 1 no. of 375x300x20mm thick tw plank  varnished with 1 no. of 25 amps 250 volts fuse unit and 1 no. copper earth plate of suitable size bolts and nuts on wall for eb service connections including cost of all materials etc., all complete (single phase service conncetion).</v>
          </cell>
          <cell r="D463">
            <v>718</v>
          </cell>
        </row>
        <row r="464">
          <cell r="B464" t="str">
            <v>Meter cupboard</v>
          </cell>
          <cell r="C464" t="str">
            <v>supplying and fixing best country wood meter cupboard with shutters double leaves with 230mmx25mm size cw planks for alround sides 62.5mmx31.25mm styles and rails for shutters and 75mmx25mm weld mesh of 6 and 10 gauge for panels including labour charges for fixing in position of shutters and cost of 'l'  clamps, 6 nos of size 150x150mm size with 25mmx4mm ms flats, 1 no of 6"x1/2" aluminium  aldrop with bolts and nuts , 6 nos of 3" size i.o. butt hinges with screws, 2 nos of 2" size i. o. hooks and eyes, tw plugs, screws etc., complete and as directed by the departmental officers and as per drawings.</v>
          </cell>
          <cell r="D464">
            <v>2251.8200000000002</v>
          </cell>
        </row>
        <row r="465">
          <cell r="B465" t="str">
            <v>Street lights</v>
          </cell>
          <cell r="C465" t="str">
            <v xml:space="preserve">supplying and delivery of single fluorescent tubular lamp street light fittings complete with heavy gauge aluminium sheet fabricated canophy treated primered and painted with stove enameled crca sheet steel contract gear Cum. reflector tray duly finished glossy white for optimum reflection with clear ribbed acrylic bowl fixed to aluminium frame with gasket lining secured to canophy by means of hinges on one side and foggle catches in the other side for effective projection against dust and water entry all prewired up to terminal block complete with all accessories such as copper wire, tube light of 40 watts 4 feet long, wound ballast capacitor, starter etc., complete with side entry mounting </v>
          </cell>
          <cell r="D465">
            <v>2579</v>
          </cell>
        </row>
        <row r="466">
          <cell r="B466" t="str">
            <v>M.S Angle</v>
          </cell>
          <cell r="C466" t="str">
            <v xml:space="preserve">conforming to is 10322 / and including labour charges for fixing street light fittings in the eb pole/wall with gi pipe 20 mm dia 2 m. length and accessories etc., with 15 amps  500v fuse unit on a tw plank 150x100x20mm thick etc., complete and as directed by the departmental officers. (the quality of the entire fittings should be got approved from the executive engineer before use) </v>
          </cell>
          <cell r="D466">
            <v>147.995</v>
          </cell>
        </row>
        <row r="467">
          <cell r="B467" t="str">
            <v>Run of 2 wires of 4 Sqm.m</v>
          </cell>
          <cell r="C467" t="str">
            <v>Run off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v>
          </cell>
          <cell r="D467">
            <v>0</v>
          </cell>
        </row>
        <row r="468">
          <cell r="B468" t="str">
            <v>Supply of G.I pipe 25mm dia</v>
          </cell>
          <cell r="C468" t="str">
            <v>Supply of GI pipe of 25mm dia ‘B’ class for eb service connection (Single phase) for passing through from top of house to the EB board.</v>
          </cell>
          <cell r="D468">
            <v>130</v>
          </cell>
        </row>
        <row r="469">
          <cell r="B469" t="str">
            <v>Anti termite treatment</v>
          </cell>
          <cell r="C469" t="str">
            <v>providing pre-constructional  antitermite treatment including cost of chemicals  labour as per standard specifications for preparing the area for treatment  by spraying chemicals and other incidental charges etc,. complete. the rate should be  for curing antitermite treatment from the plinth beam and brick  masonry with super structure in contact with the back fill earth and at the  junction of the walls. the top surface of filled earth for flooring and the soil along with the perimeter of the building by making holes with the crow bar and poured 5% termicide. "chloripyrifos" and spraying the same termicide solution on the wooden frames and treating the other periphery of buildings etc., complete in all respects as per is 6313 (part-ii) / 1981 and as directed by the departmental officers.</v>
          </cell>
          <cell r="D469">
            <v>34</v>
          </cell>
        </row>
        <row r="470">
          <cell r="B470" t="str">
            <v>ELCB Single phase</v>
          </cell>
          <cell r="C470" t="str">
            <v xml:space="preserve">Supplying and fixing 40 amps Earth Leakage Circuit Creaker/residual current circuit breaker (ELCB/RCCB) 30 milli amps sensitive 6ka breaking capacity with ISI marked single phase unit (IS 12640) for incoming. 2 nos 6 amps single pole `B' series miniature circuit breaker for outgoing lighting 1 no 16 amps single pole miniature circuit `C' series breaker isi marked (is 8828) for power plugs outgoing in suitable breaking capacity of mcb should have 9 ka (MCB and ELCB/RCCB should be of same manufacture). the ELCB and MCB will be fixed on the 18 gauge thick ms box of size 12"x15"x2 1/2" all concealed in wall and covered with 3mm thick laminated hylem sheet with brass screws and all inter connections etc., complete. </v>
          </cell>
          <cell r="D470">
            <v>2505</v>
          </cell>
        </row>
        <row r="471">
          <cell r="B471" t="str">
            <v>S &amp; F of Exsaust Fan 300 mm dia</v>
          </cell>
          <cell r="C471" t="str">
            <v>supplying and fixing of 300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D471">
            <v>1919</v>
          </cell>
        </row>
        <row r="472">
          <cell r="B472" t="str">
            <v>Anticorrosive treatment for steel grills</v>
          </cell>
          <cell r="C472" t="str">
            <v xml:space="preserve">applying one coat of anticorrosive treatment on steel reinforcement rods (20 ltrs. of anticorrosive chemical for one mertic tonne of steel reinforcement rods) at site including cost of required quantity of anticorrosive chemicals, (best approved quality) cement, consumables such as brushes, gloves and labour for anticorrosive coating etc. complete and as directed by the departmental officers. (the quality and brand of anticorrosive chemical should be got approved by the ee before use). </v>
          </cell>
          <cell r="D472">
            <v>4292.38</v>
          </cell>
        </row>
        <row r="473">
          <cell r="B473" t="str">
            <v>ANNEXURE</v>
          </cell>
          <cell r="C473">
            <v>0</v>
          </cell>
          <cell r="D473">
            <v>0</v>
          </cell>
        </row>
        <row r="474">
          <cell r="B474" t="str">
            <v xml:space="preserve">Brick work in C.M. 1:5 (F&amp; B) using Fly ash bricks of size 23 x 11 x 7 cm </v>
          </cell>
          <cell r="C474">
            <v>0</v>
          </cell>
          <cell r="D474">
            <v>6098.1485902361856</v>
          </cell>
        </row>
        <row r="475">
          <cell r="B475" t="str">
            <v xml:space="preserve">Brick work in C.M. 1:6 using Fly ash  bricks of size 23 x 11 x 7 cm </v>
          </cell>
          <cell r="C475">
            <v>0</v>
          </cell>
          <cell r="D475">
            <v>0</v>
          </cell>
        </row>
        <row r="476">
          <cell r="B476" t="str">
            <v>a. In Ground Floor</v>
          </cell>
          <cell r="C476">
            <v>0</v>
          </cell>
          <cell r="D476">
            <v>6090.7007249406724</v>
          </cell>
        </row>
        <row r="477">
          <cell r="B477" t="str">
            <v>b. In First Floor</v>
          </cell>
          <cell r="C477">
            <v>0</v>
          </cell>
          <cell r="D477">
            <v>6215.9657249406728</v>
          </cell>
        </row>
        <row r="478">
          <cell r="B478" t="str">
            <v>c. In Second Floor</v>
          </cell>
          <cell r="C478">
            <v>0</v>
          </cell>
          <cell r="D478">
            <v>6341.2307249406731</v>
          </cell>
        </row>
        <row r="479">
          <cell r="B479" t="str">
            <v>c. In Third Floor</v>
          </cell>
          <cell r="C479">
            <v>0</v>
          </cell>
          <cell r="D479">
            <v>6466.4957249406734</v>
          </cell>
        </row>
        <row r="480">
          <cell r="B480" t="str">
            <v>c. In fourth Floor</v>
          </cell>
          <cell r="C480">
            <v>0</v>
          </cell>
          <cell r="D480">
            <v>6591.7607249406738</v>
          </cell>
        </row>
        <row r="481">
          <cell r="B481" t="str">
            <v>Brick partition work in C.M. 1:4 using Fly ash  bricks of size 23 x 11 x 7 cm  110 mm tk (B.P.)</v>
          </cell>
          <cell r="C481">
            <v>0</v>
          </cell>
          <cell r="D481">
            <v>0</v>
          </cell>
        </row>
        <row r="482">
          <cell r="B482" t="str">
            <v>a. Foundation &amp; basement</v>
          </cell>
          <cell r="C482">
            <v>0</v>
          </cell>
          <cell r="D482">
            <v>763.02664269974014</v>
          </cell>
        </row>
        <row r="483">
          <cell r="B483" t="str">
            <v>b. In Ground Floor</v>
          </cell>
          <cell r="C483">
            <v>0</v>
          </cell>
          <cell r="D483">
            <v>769.86424269974009</v>
          </cell>
        </row>
        <row r="484">
          <cell r="B484" t="str">
            <v>c. In First Floor</v>
          </cell>
          <cell r="C484">
            <v>0</v>
          </cell>
          <cell r="D484">
            <v>783.64339269974005</v>
          </cell>
        </row>
        <row r="485">
          <cell r="B485" t="str">
            <v>d. In Second Floor</v>
          </cell>
          <cell r="C485">
            <v>0</v>
          </cell>
          <cell r="D485">
            <v>797.42254269974001</v>
          </cell>
        </row>
        <row r="486">
          <cell r="B486" t="str">
            <v>c. In Third Floor</v>
          </cell>
          <cell r="C486">
            <v>0</v>
          </cell>
          <cell r="D486">
            <v>811.20169269973997</v>
          </cell>
        </row>
        <row r="487">
          <cell r="B487" t="str">
            <v>c. In fourth Floor</v>
          </cell>
          <cell r="C487">
            <v>0</v>
          </cell>
          <cell r="D487">
            <v>824.98084269973992</v>
          </cell>
        </row>
        <row r="488">
          <cell r="B488" t="str">
            <v>Brick work in C.M. 1:4 using  using Fly ash  burnt bricks bricks of size 23 x 11 x 7 cm  70 mm tk (B.P.)</v>
          </cell>
          <cell r="C488">
            <v>0</v>
          </cell>
          <cell r="D488">
            <v>0</v>
          </cell>
        </row>
        <row r="489">
          <cell r="B489" t="str">
            <v>a. In Ground Floor</v>
          </cell>
          <cell r="C489">
            <v>0</v>
          </cell>
          <cell r="D489">
            <v>519.27542717256176</v>
          </cell>
        </row>
        <row r="490">
          <cell r="B490" t="str">
            <v>c. In First Floor</v>
          </cell>
          <cell r="C490">
            <v>0</v>
          </cell>
          <cell r="D490">
            <v>528.04397717256177</v>
          </cell>
        </row>
        <row r="491">
          <cell r="B491" t="str">
            <v>d. In Second Floor</v>
          </cell>
          <cell r="C491">
            <v>0</v>
          </cell>
          <cell r="D491">
            <v>536.81252717256177</v>
          </cell>
        </row>
        <row r="492">
          <cell r="B492" t="str">
            <v>c. In Third Floor</v>
          </cell>
          <cell r="C492">
            <v>0</v>
          </cell>
          <cell r="D492">
            <v>545.58107717256178</v>
          </cell>
        </row>
        <row r="493">
          <cell r="B493" t="str">
            <v>Precast Cupboard slab 20 mm tk.using standardised concrete mix M20 (annexure)</v>
          </cell>
          <cell r="C493" t="str">
            <v>Supplying and fixing of Precast Cupboard slab 20 mm tk for cupboard/ward robes shelves, cover slab for chambers, baffle walls side slabs of boxing around windows and other similar works in standardized cement concrete M20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v>
          </cell>
          <cell r="D493">
            <v>0</v>
          </cell>
        </row>
        <row r="494">
          <cell r="B494" t="str">
            <v>a. In Ground floor Precast Cupboard slab 20 mm tk.using standardised concrete mix M20 (annexure)</v>
          </cell>
          <cell r="C494" t="str">
            <v>(a) In Ground Floor</v>
          </cell>
          <cell r="D494">
            <v>1205.17</v>
          </cell>
        </row>
        <row r="495">
          <cell r="B495" t="str">
            <v>b. In First floor Precast Cupboard slab 20 mm tk.using standardised concrete mix M20 (annexure)</v>
          </cell>
          <cell r="C495" t="str">
            <v>(b) in first floor</v>
          </cell>
          <cell r="D495">
            <v>1208.92</v>
          </cell>
        </row>
        <row r="496">
          <cell r="B496" t="str">
            <v>c. In Second floor Precast Cupboard slab 20 mm tk.using standardised concrete mix M20 (annexure)</v>
          </cell>
          <cell r="C496" t="str">
            <v>(c) in second floor</v>
          </cell>
          <cell r="D496">
            <v>1212.67</v>
          </cell>
        </row>
        <row r="497">
          <cell r="B497" t="str">
            <v>d. In Third floor Precast Cupboard slab 20 mm tk.using standardised concrete mix M20 (annexure)</v>
          </cell>
          <cell r="C497" t="str">
            <v>(d) in third floor</v>
          </cell>
          <cell r="D497">
            <v>1216.42</v>
          </cell>
        </row>
        <row r="498">
          <cell r="B498" t="str">
            <v>e.  In Fourth floor Precast Cupboard slab 20 mm tk.using standardised concrete mix M20 (annexure)</v>
          </cell>
          <cell r="C498" t="str">
            <v xml:space="preserve">e.  In Fourth floor </v>
          </cell>
          <cell r="D498">
            <v>1220.17</v>
          </cell>
        </row>
        <row r="499">
          <cell r="B499" t="str">
            <v>Precast cupboard slab 40 mm tkusing standardised concrete mix M20 (annexure)</v>
          </cell>
          <cell r="C499" t="str">
            <v>Supplying and fixing of Precast cupboard slab 40 mm  for cupboard/ward robes shelves, cover slab for chambers, baffle walls side slabs of boxing around windows and other similar works in standardized cement concrete M20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v>
          </cell>
          <cell r="D499">
            <v>0</v>
          </cell>
        </row>
        <row r="500">
          <cell r="B500" t="str">
            <v>a. In Foundation &amp; basement Precast cupboard slab 40 mm tkusing standardised concrete mix M20 (annexure)</v>
          </cell>
          <cell r="C500" t="str">
            <v>a. In Foundation &amp; basement</v>
          </cell>
          <cell r="D500">
            <v>1331.0422093808884</v>
          </cell>
        </row>
        <row r="501">
          <cell r="B501" t="str">
            <v>b. In Ground floor Precast cupboard slab 40 mm tkusing standardised concrete mix M20 (annexure)</v>
          </cell>
          <cell r="C501" t="str">
            <v>(a) In Ground Floor</v>
          </cell>
          <cell r="D501">
            <v>1334.853582193809</v>
          </cell>
        </row>
        <row r="502">
          <cell r="B502" t="str">
            <v>c. In First floor Precast cupboard slab 40 mm tkusing standardised concrete mix M20 (annexure)</v>
          </cell>
          <cell r="C502" t="str">
            <v>(b) in first floor</v>
          </cell>
          <cell r="D502">
            <v>1342.3576198788696</v>
          </cell>
        </row>
        <row r="503">
          <cell r="B503" t="str">
            <v>d. In Second floor Precast cupboard slab 40 mm tkusing standardised concrete mix M20 (annexure)</v>
          </cell>
          <cell r="C503" t="str">
            <v>(c) in second floor</v>
          </cell>
          <cell r="D503">
            <v>1349.8616575639303</v>
          </cell>
        </row>
        <row r="504">
          <cell r="B504" t="str">
            <v>e. In Third floor</v>
          </cell>
          <cell r="C504" t="str">
            <v>(d) in third floor</v>
          </cell>
          <cell r="D504">
            <v>1357.36</v>
          </cell>
        </row>
        <row r="505">
          <cell r="B505" t="str">
            <v>f.  In Fourth floor Precast cupboard slab 40 mm tkusing standardised concrete mix M20 (annexure)</v>
          </cell>
          <cell r="C505" t="str">
            <v xml:space="preserve">f.  In Fourth floor </v>
          </cell>
          <cell r="D505">
            <v>1364.86</v>
          </cell>
        </row>
        <row r="506">
          <cell r="B506" t="str">
            <v>Precast Cupboard slab 20 mm tk.using standardised concrete mix M25 (annexure)</v>
          </cell>
          <cell r="C506">
            <v>0</v>
          </cell>
          <cell r="D506">
            <v>0</v>
          </cell>
        </row>
        <row r="507">
          <cell r="B507" t="str">
            <v>a. In Ground floor</v>
          </cell>
          <cell r="C507">
            <v>0</v>
          </cell>
          <cell r="D507">
            <v>1208.818686117093</v>
          </cell>
        </row>
        <row r="508">
          <cell r="B508" t="str">
            <v>b. In First floor</v>
          </cell>
          <cell r="C508">
            <v>0</v>
          </cell>
          <cell r="D508">
            <v>1212.5707049596233</v>
          </cell>
        </row>
        <row r="509">
          <cell r="B509" t="str">
            <v>c. In Second floor</v>
          </cell>
          <cell r="C509">
            <v>0</v>
          </cell>
          <cell r="D509">
            <v>1216.3227238021536</v>
          </cell>
        </row>
        <row r="510">
          <cell r="B510" t="str">
            <v>d. In Third floor</v>
          </cell>
          <cell r="C510">
            <v>0</v>
          </cell>
          <cell r="D510">
            <v>1220.074742644684</v>
          </cell>
        </row>
        <row r="511">
          <cell r="B511" t="str">
            <v>e.  In Fourth floor</v>
          </cell>
          <cell r="C511">
            <v>0</v>
          </cell>
          <cell r="D511">
            <v>1223.8267614872143</v>
          </cell>
        </row>
        <row r="512">
          <cell r="B512" t="str">
            <v>Precast cupboard slab 40 mm tkusing standardised concrete mix M25 (annexure)</v>
          </cell>
          <cell r="C512">
            <v>0</v>
          </cell>
          <cell r="D512">
            <v>0</v>
          </cell>
        </row>
        <row r="513">
          <cell r="B513" t="str">
            <v>a. In Foundation &amp; basement</v>
          </cell>
          <cell r="C513">
            <v>0</v>
          </cell>
          <cell r="D513">
            <v>1338.3885835397039</v>
          </cell>
        </row>
        <row r="514">
          <cell r="B514" t="str">
            <v>b. In Ground floor</v>
          </cell>
          <cell r="C514">
            <v>0</v>
          </cell>
          <cell r="D514">
            <v>1342.1999563526244</v>
          </cell>
        </row>
        <row r="515">
          <cell r="B515" t="str">
            <v>c. In First floor</v>
          </cell>
          <cell r="C515">
            <v>0</v>
          </cell>
          <cell r="D515">
            <v>1349.7039940376851</v>
          </cell>
        </row>
        <row r="516">
          <cell r="B516" t="str">
            <v>d. In Second floor</v>
          </cell>
          <cell r="C516">
            <v>0</v>
          </cell>
          <cell r="D516">
            <v>1357.2080317227458</v>
          </cell>
        </row>
        <row r="517">
          <cell r="B517" t="str">
            <v>e. In Third floor</v>
          </cell>
          <cell r="C517">
            <v>0</v>
          </cell>
          <cell r="D517">
            <v>1364.7120694078064</v>
          </cell>
        </row>
        <row r="518">
          <cell r="B518" t="str">
            <v>f.  In Fourth floor</v>
          </cell>
          <cell r="C518">
            <v>0</v>
          </cell>
          <cell r="D518">
            <v>1372.2161070928671</v>
          </cell>
        </row>
        <row r="519">
          <cell r="B519" t="str">
            <v>Precast Cupboard slab 20 mm tk.using standardised concrete mix M30 (annexure)</v>
          </cell>
          <cell r="C519" t="str">
            <v>Supplying and fixing of Precast cupboard slab 40 mm  for cupboard/ward robes shelves, cover slab for chambers, baffle walls side slabs of boxing around windows and other similar works in standardized cement concrete M30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v>
          </cell>
          <cell r="D519">
            <v>0</v>
          </cell>
        </row>
        <row r="520">
          <cell r="B520" t="str">
            <v>a. In Ground floor Precast Cupboard slab 20 mm tk.using standardised concrete mix M30 (annexure)</v>
          </cell>
          <cell r="C520" t="str">
            <v>a. In Ground floor</v>
          </cell>
          <cell r="D520">
            <v>1215.7349256864065</v>
          </cell>
        </row>
        <row r="521">
          <cell r="B521" t="str">
            <v>b. In First floor Precast Cupboard slab 20 mm tk.using standardised concrete mix M30 (annexure)</v>
          </cell>
          <cell r="C521" t="str">
            <v>b. In First floor</v>
          </cell>
          <cell r="D521">
            <v>1219.4869445289369</v>
          </cell>
        </row>
        <row r="522">
          <cell r="B522" t="str">
            <v>c. In Second floor Precast Cupboard slab 20 mm tk.using standardised concrete mix M30 (annexure)</v>
          </cell>
          <cell r="C522" t="str">
            <v>c. In Second floor</v>
          </cell>
          <cell r="D522">
            <v>1223.2389633714672</v>
          </cell>
        </row>
        <row r="523">
          <cell r="B523" t="str">
            <v>d. In Third floor Precast Cupboard slab 20 mm tk.using standardised concrete mix M30 (annexure)</v>
          </cell>
          <cell r="C523" t="str">
            <v>d. In Third floor</v>
          </cell>
          <cell r="D523">
            <v>1226.9909822139975</v>
          </cell>
        </row>
        <row r="524">
          <cell r="B524" t="str">
            <v>e.  In Fourth floor Precast Cupboard slab 20 mm tk.using standardised concrete mix M30 (annexure)</v>
          </cell>
          <cell r="C524" t="str">
            <v>e.  In Fourth floor</v>
          </cell>
          <cell r="D524">
            <v>1230.7430010565279</v>
          </cell>
        </row>
        <row r="525">
          <cell r="B525" t="str">
            <v>Precast cupboard slab 40 mm tkusing standardised concrete mix M30 (annexure)</v>
          </cell>
          <cell r="C525" t="str">
            <v>Supplying and fixing of Precast cupboard slab 40 mm  for cupboard/ward robes shelves, cover slab for chambers, baffle walls side slabs of boxing around windows and other similar works in standardized cement concrete M30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v>
          </cell>
          <cell r="D525">
            <v>0</v>
          </cell>
        </row>
        <row r="526">
          <cell r="B526" t="str">
            <v>a. In Foundation &amp; basement Precast cupboard slab 40 mm tkusing standardised concrete mix M30 (annexure)</v>
          </cell>
          <cell r="C526" t="str">
            <v xml:space="preserve"> 20mm thick</v>
          </cell>
          <cell r="D526">
            <v>1352.2210626783312</v>
          </cell>
        </row>
        <row r="527">
          <cell r="B527" t="str">
            <v>b. In Ground floor Precast cupboard slab 40 mm tkusing standardised concrete mix M30 (annexure)</v>
          </cell>
          <cell r="C527" t="str">
            <v>(a) In Ground Floor</v>
          </cell>
          <cell r="D527">
            <v>1356.0324354912518</v>
          </cell>
        </row>
        <row r="528">
          <cell r="B528" t="str">
            <v>c. In First floor Precast cupboard slab 40 mm tkusing standardised concrete mix M30 (annexure)</v>
          </cell>
          <cell r="C528" t="str">
            <v>(b) in first floor</v>
          </cell>
          <cell r="D528">
            <v>1363.5364731763125</v>
          </cell>
        </row>
        <row r="529">
          <cell r="B529" t="str">
            <v>d. In Second floor Precast cupboard slab 40 mm tkusing standardised concrete mix M30 (annexure)</v>
          </cell>
          <cell r="C529" t="str">
            <v>(c) in second floor</v>
          </cell>
          <cell r="D529">
            <v>1371.0405108613731</v>
          </cell>
        </row>
        <row r="530">
          <cell r="B530" t="str">
            <v>e. In Third floor Precast cupboard slab 40 mm tkusing standardised concrete mix M30 (annexure)</v>
          </cell>
          <cell r="C530" t="str">
            <v>(d) in third floor</v>
          </cell>
          <cell r="D530">
            <v>1378.5445485464338</v>
          </cell>
        </row>
        <row r="531">
          <cell r="B531" t="str">
            <v>f.  In Fourth floor Precast cupboard slab 40 mm tkusing standardised concrete mix M30 (annexure)</v>
          </cell>
          <cell r="C531" t="str">
            <v>f.  In Fourth floor</v>
          </cell>
          <cell r="D531">
            <v>1386.0485862314945</v>
          </cell>
        </row>
        <row r="532">
          <cell r="B532" t="str">
            <v>Precast Jally ventilator 50mm tk.using standardised concrete mix M30 (annexure) without vibrating charges</v>
          </cell>
          <cell r="C532">
            <v>0</v>
          </cell>
          <cell r="D532">
            <v>0</v>
          </cell>
        </row>
        <row r="533">
          <cell r="B533" t="str">
            <v xml:space="preserve">a. In Ground floor </v>
          </cell>
          <cell r="C533" t="str">
            <v>(a) In Foundation and Basement</v>
          </cell>
          <cell r="D533">
            <v>2431.5363709677417</v>
          </cell>
        </row>
        <row r="534">
          <cell r="B534" t="str">
            <v>b. In First floor</v>
          </cell>
          <cell r="C534">
            <v>0</v>
          </cell>
          <cell r="D534">
            <v>2438.5307258064513</v>
          </cell>
        </row>
        <row r="535">
          <cell r="B535" t="str">
            <v>c. In Second floor</v>
          </cell>
          <cell r="C535" t="str">
            <v>(c) in first floor</v>
          </cell>
          <cell r="D535">
            <v>2445.5250806451609</v>
          </cell>
        </row>
        <row r="536">
          <cell r="B536" t="str">
            <v>d. In Third floor</v>
          </cell>
          <cell r="C536" t="str">
            <v>(d) in second floor</v>
          </cell>
          <cell r="D536">
            <v>2452.5194354838704</v>
          </cell>
        </row>
        <row r="537">
          <cell r="B537" t="str">
            <v>e.  In Fourth floor</v>
          </cell>
          <cell r="C537">
            <v>0</v>
          </cell>
          <cell r="D537">
            <v>2459.51379032258</v>
          </cell>
        </row>
        <row r="538">
          <cell r="B538" t="str">
            <v>Precast Jally ventilator 50mm tk.using standardised concrete mix M25 (annexure) without vibrating charges</v>
          </cell>
          <cell r="C538">
            <v>0</v>
          </cell>
          <cell r="D538">
            <v>0</v>
          </cell>
        </row>
        <row r="539">
          <cell r="B539" t="str">
            <v xml:space="preserve">a. In Ground floor </v>
          </cell>
          <cell r="C539">
            <v>0</v>
          </cell>
          <cell r="D539">
            <v>2418.6277688172045</v>
          </cell>
        </row>
        <row r="540">
          <cell r="B540" t="str">
            <v>b. In First floor</v>
          </cell>
          <cell r="C540">
            <v>0</v>
          </cell>
          <cell r="D540">
            <v>2425.622123655914</v>
          </cell>
        </row>
        <row r="541">
          <cell r="B541" t="str">
            <v>c. In Second floor</v>
          </cell>
          <cell r="C541">
            <v>0</v>
          </cell>
          <cell r="D541">
            <v>2432.6164784946236</v>
          </cell>
        </row>
        <row r="542">
          <cell r="B542" t="str">
            <v>d. In Third floor</v>
          </cell>
          <cell r="C542">
            <v>0</v>
          </cell>
          <cell r="D542">
            <v>2439.6108333333332</v>
          </cell>
        </row>
        <row r="543">
          <cell r="B543" t="str">
            <v>e.  In Fourth floor</v>
          </cell>
          <cell r="C543">
            <v>0</v>
          </cell>
          <cell r="D543">
            <v>2446.6051881720427</v>
          </cell>
        </row>
        <row r="544">
          <cell r="B544" t="str">
            <v>Precast Jally ventilator 50mm tk.using standardised concrete mix M20 (annexure) without vibrating charges</v>
          </cell>
          <cell r="C544" t="str">
            <v>Precast cement concrete jally ventilator in standardized cement concrete M20 using 20mm gauge hard broken stone jelly for the following thickness excluding the cost and fabrication of reinforcement grills but including precasting, moulding, curing, finishing and fixing in position complying with relevant standard specifications  etc., complete in the following floors. 50 mm thick</v>
          </cell>
          <cell r="D544">
            <v>0</v>
          </cell>
        </row>
        <row r="545">
          <cell r="B545" t="str">
            <v>a. In Ground Floor Precast Jally ventilator 50mm tk.using standardised concrete mix M20 (annexure) without vibrating charges</v>
          </cell>
          <cell r="C545" t="str">
            <v>a. In Ground Floor</v>
          </cell>
          <cell r="D545">
            <v>2411.7783064516129</v>
          </cell>
        </row>
        <row r="546">
          <cell r="B546" t="str">
            <v>b. In First floor Precast Jally ventilator 50mm tk.using standardised concrete mix M20 (annexure) without vibrating charges</v>
          </cell>
          <cell r="C546" t="str">
            <v>b. In First floor</v>
          </cell>
          <cell r="D546">
            <v>2418.7726612903225</v>
          </cell>
        </row>
        <row r="547">
          <cell r="B547" t="str">
            <v>c. In Second floor Precast Jally ventilator 50mm tk.using standardised concrete mix M20 (annexure) without vibrating charges</v>
          </cell>
          <cell r="C547" t="str">
            <v>c. In Second floor</v>
          </cell>
          <cell r="D547">
            <v>2425.7670161290321</v>
          </cell>
        </row>
        <row r="548">
          <cell r="B548" t="str">
            <v>d. In Third floor Precast Jally ventilator 50mm tk.using standardised concrete mix M20 (annexure) without vibrating charges</v>
          </cell>
          <cell r="C548" t="str">
            <v>d. In Third floor</v>
          </cell>
          <cell r="D548">
            <v>2432.7613709677416</v>
          </cell>
        </row>
        <row r="549">
          <cell r="B549" t="str">
            <v>e.  In Fourth floor Precast Jally ventilator 50mm tk.using standardised concrete mix M20 (annexure) without vibrating charges</v>
          </cell>
          <cell r="C549" t="str">
            <v>e.  In Fourth floor</v>
          </cell>
          <cell r="D549">
            <v>2439.7557258064512</v>
          </cell>
        </row>
        <row r="550">
          <cell r="B550" t="str">
            <v>f.  In Fifth floor Precast Jally ventilator 50mm tk.using standardised concrete mix M20 (annexure) without vibrating charges</v>
          </cell>
          <cell r="C550" t="str">
            <v>f.  In Fifth floor</v>
          </cell>
          <cell r="D550">
            <v>0</v>
          </cell>
        </row>
        <row r="551">
          <cell r="B551" t="str">
            <v>Standardised concrete Mix M20 Grade Concrete</v>
          </cell>
          <cell r="C551" t="str">
            <v>Standardised concrete Mix M20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v>
          </cell>
          <cell r="D551">
            <v>0</v>
          </cell>
        </row>
        <row r="552">
          <cell r="B552" t="str">
            <v>A. In Foundation and basement 1.5 m to 4.0 m Standardised concrete Mix M20 Grade Concrete</v>
          </cell>
          <cell r="C552" t="str">
            <v>A. In Foundation and basement 1.5 m to 4.0 m</v>
          </cell>
          <cell r="D552">
            <v>6963.2001885000009</v>
          </cell>
        </row>
        <row r="553">
          <cell r="B553" t="str">
            <v>a. In Foundation and basement Standardised concrete Mix M20 Grade Concrete</v>
          </cell>
          <cell r="C553" t="str">
            <v>a. In Foundation and basement</v>
          </cell>
          <cell r="D553">
            <v>6874.7001885000009</v>
          </cell>
        </row>
        <row r="554">
          <cell r="B554" t="str">
            <v>b. Ground Floor Standardised concrete Mix M20 Grade Concrete</v>
          </cell>
          <cell r="C554" t="str">
            <v>b. Ground Floor</v>
          </cell>
          <cell r="D554">
            <v>6969.0951885000013</v>
          </cell>
        </row>
        <row r="555">
          <cell r="B555" t="str">
            <v>c. In First Floor Standardised concrete Mix M20 Grade Concrete</v>
          </cell>
          <cell r="C555" t="str">
            <v>c. In First Floor</v>
          </cell>
          <cell r="D555">
            <v>7154.9451885000017</v>
          </cell>
        </row>
        <row r="556">
          <cell r="B556" t="str">
            <v>d. In Second Floor Standardised concrete Mix M20 Grade Concrete</v>
          </cell>
          <cell r="C556" t="str">
            <v>d. In Second Floor</v>
          </cell>
          <cell r="D556">
            <v>7340.795188500002</v>
          </cell>
        </row>
        <row r="557">
          <cell r="B557" t="str">
            <v>e. In Third floor Standardised concrete Mix M20 Grade Concrete</v>
          </cell>
          <cell r="C557" t="str">
            <v>e. In Third floor</v>
          </cell>
          <cell r="D557">
            <v>7526.6451885000024</v>
          </cell>
        </row>
        <row r="558">
          <cell r="B558" t="str">
            <v>f.In fourth floor Standardised concrete Mix M20 Grade Concrete</v>
          </cell>
          <cell r="C558" t="str">
            <v>f.In fourth floor</v>
          </cell>
          <cell r="D558">
            <v>7712.4951885000028</v>
          </cell>
        </row>
        <row r="559">
          <cell r="B559" t="str">
            <v>Standardised concrete Mix M30 Grade Concrete</v>
          </cell>
          <cell r="C559" t="str">
            <v>Standardised concrete Mix M30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v>
          </cell>
          <cell r="D559">
            <v>0</v>
          </cell>
        </row>
        <row r="560">
          <cell r="B560" t="str">
            <v>a. In Foundation and basement Standardised concrete Mix M30 Grade Concrete</v>
          </cell>
          <cell r="C560" t="str">
            <v>a. In Foundation and basement</v>
          </cell>
          <cell r="D560">
            <v>7399.2297884999998</v>
          </cell>
        </row>
        <row r="561">
          <cell r="B561" t="str">
            <v>b. Ground Floor Standardised concrete Mix M30 Grade Concrete</v>
          </cell>
          <cell r="C561" t="str">
            <v>b. Ground Floor</v>
          </cell>
          <cell r="D561">
            <v>7493.6247885000002</v>
          </cell>
        </row>
        <row r="562">
          <cell r="B562" t="str">
            <v>c. In First Floor Standardised concrete Mix M30 Grade Concrete</v>
          </cell>
          <cell r="C562" t="str">
            <v>c. In First Floor</v>
          </cell>
          <cell r="D562">
            <v>7679.4747885000006</v>
          </cell>
        </row>
        <row r="563">
          <cell r="B563" t="str">
            <v>d. In Second Floor Standardised concrete Mix M30 Grade Concrete</v>
          </cell>
          <cell r="C563" t="str">
            <v>d. In Second Floor</v>
          </cell>
          <cell r="D563">
            <v>7865.324788500001</v>
          </cell>
        </row>
        <row r="564">
          <cell r="B564" t="str">
            <v>e. In Third floor Standardised concrete Mix M30 Grade Concrete</v>
          </cell>
          <cell r="C564" t="str">
            <v>e. In Third floor</v>
          </cell>
          <cell r="D564">
            <v>8051.1747885000013</v>
          </cell>
        </row>
        <row r="565">
          <cell r="B565">
            <v>0</v>
          </cell>
          <cell r="C565">
            <v>0</v>
          </cell>
          <cell r="D565">
            <v>8237.0247885000008</v>
          </cell>
        </row>
        <row r="566">
          <cell r="B566" t="str">
            <v>RCC M30 mix using hard broken stone jelly for foundation and basement</v>
          </cell>
          <cell r="C566" t="str">
            <v>Mix M30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 in foundation and basement. a. In Foundation and basement</v>
          </cell>
          <cell r="D566">
            <v>0</v>
          </cell>
        </row>
        <row r="567">
          <cell r="B567" t="str">
            <v>a. Foundation &amp; basement RCC M30 mix using hard broken stone jelly for foundation and basement</v>
          </cell>
          <cell r="C567" t="str">
            <v>a. Foundation &amp; basement</v>
          </cell>
          <cell r="D567">
            <v>7301.2942000000003</v>
          </cell>
        </row>
        <row r="568">
          <cell r="B568" t="str">
            <v>b.Stilt floorRCC M30 mix using hard broken stone jelly for foundation and basement</v>
          </cell>
          <cell r="C568" t="str">
            <v>b.Stilt floor</v>
          </cell>
          <cell r="D568">
            <v>7395.6892000000007</v>
          </cell>
        </row>
        <row r="569">
          <cell r="B569" t="str">
            <v>Cement Concrete using desing mix of grade M25 concrete</v>
          </cell>
          <cell r="C569" t="str">
            <v>Standardised concrete Mix M25 Grade Concrete</v>
          </cell>
          <cell r="D569">
            <v>0</v>
          </cell>
        </row>
        <row r="570">
          <cell r="B570" t="str">
            <v>a. In Foundation and basement Cement Concrete using desing mix of grade M25 concrete</v>
          </cell>
          <cell r="C570" t="str">
            <v>a. In Foundation and basement</v>
          </cell>
          <cell r="D570">
            <v>7056.6453885000001</v>
          </cell>
        </row>
        <row r="571">
          <cell r="B571" t="str">
            <v>b. In Stilt /Ground Floor Cement Concrete using desing mix of grade M25 concrete</v>
          </cell>
          <cell r="C571" t="str">
            <v>b. In Stilt /Ground Floor</v>
          </cell>
          <cell r="D571">
            <v>7151.0403885000005</v>
          </cell>
        </row>
        <row r="572">
          <cell r="B572" t="str">
            <v>c. In First Floor Cement Concrete using desing mix of grade M25 concrete</v>
          </cell>
          <cell r="C572" t="str">
            <v>c. In First Floor</v>
          </cell>
          <cell r="D572">
            <v>7336.8903885000009</v>
          </cell>
        </row>
        <row r="573">
          <cell r="B573" t="str">
            <v>d. In Second Floor Cement Concrete using desing mix of grade M25 concrete</v>
          </cell>
          <cell r="C573" t="str">
            <v>d. In Second Floor</v>
          </cell>
          <cell r="D573">
            <v>7522.7403885000012</v>
          </cell>
        </row>
        <row r="574">
          <cell r="B574" t="str">
            <v>e. In Third floor Cement Concrete using desing mix of grade M25 concrete</v>
          </cell>
          <cell r="C574" t="str">
            <v>e. In Third floor</v>
          </cell>
          <cell r="D574">
            <v>7708.5903885000016</v>
          </cell>
        </row>
        <row r="575">
          <cell r="B575" t="str">
            <v>f. In Fourth Floor Cement Concrete using desing mix of grade M25 concrete</v>
          </cell>
          <cell r="C575" t="str">
            <v>f. In Fourth Floor</v>
          </cell>
          <cell r="D575">
            <v>7894.440388500002</v>
          </cell>
        </row>
        <row r="576">
          <cell r="B576" t="str">
            <v>g. In Fifth Floor Cement Concrete using desing mix of grade M25 concrete</v>
          </cell>
          <cell r="C576" t="str">
            <v>g. In Fifth Floor</v>
          </cell>
          <cell r="D576">
            <v>8080.2903885000023</v>
          </cell>
        </row>
        <row r="577">
          <cell r="B577" t="str">
            <v>h. In Sixth Floor Cement Concrete using desing mix of grade M25 concrete</v>
          </cell>
          <cell r="C577" t="str">
            <v>h. In Sixth Floor</v>
          </cell>
          <cell r="D577">
            <v>8266.1403885000018</v>
          </cell>
        </row>
        <row r="578">
          <cell r="B578" t="str">
            <v>i. In Seventh Floor Cement Concrete using desing mix of grade M25 concrete</v>
          </cell>
          <cell r="C578" t="str">
            <v>i. In Seventh Floor</v>
          </cell>
          <cell r="D578">
            <v>0</v>
          </cell>
        </row>
        <row r="579">
          <cell r="B579" t="str">
            <v>j.in Eighth floor Cement Concrete using desing mix of grade M25 concrete</v>
          </cell>
          <cell r="C579" t="str">
            <v>j.in Eighth floor</v>
          </cell>
          <cell r="D579">
            <v>0</v>
          </cell>
        </row>
        <row r="580">
          <cell r="B580" t="str">
            <v>k.in Ninth floor Cement Concrete using desing mix of grade M25 concrete</v>
          </cell>
          <cell r="C580" t="str">
            <v>k.in Ninth floor</v>
          </cell>
          <cell r="D580">
            <v>0</v>
          </cell>
        </row>
        <row r="581">
          <cell r="B581" t="str">
            <v>l.in Tenth floor Cement Concrete using desing mix of grade M25 concrete</v>
          </cell>
          <cell r="C581" t="str">
            <v>l.in Tenth floor</v>
          </cell>
          <cell r="D581">
            <v>0</v>
          </cell>
        </row>
        <row r="582">
          <cell r="B582" t="str">
            <v>l.  In Eleventh floor Cement Concrete using desing mix of grade M25 concrete</v>
          </cell>
          <cell r="C582" t="str">
            <v>l.  In Eleventh floor</v>
          </cell>
          <cell r="D582">
            <v>0</v>
          </cell>
        </row>
        <row r="583">
          <cell r="B583" t="str">
            <v>m.  In Twelth floor Cement Concrete using desing mix of grade M25 concrete</v>
          </cell>
          <cell r="C583" t="str">
            <v>m.  In Twelth floor</v>
          </cell>
          <cell r="D583">
            <v>0</v>
          </cell>
        </row>
        <row r="584">
          <cell r="B584" t="str">
            <v>n. In Thirteen floor Cement Concrete using desing mix of grade M25 concrete</v>
          </cell>
          <cell r="C584" t="str">
            <v>n. In Thirteen floor</v>
          </cell>
          <cell r="D584">
            <v>0</v>
          </cell>
        </row>
        <row r="585">
          <cell r="B585" t="str">
            <v>Brick work in C.M. 1:6 using chamber Burnt bricks of size 23 x 11.4 x 7.5 cm (9" x 4 1/2"x 3")</v>
          </cell>
          <cell r="C585" t="str">
            <v>brick work in cement mortar 1:6 (one of cement and six of sand) using chamber burnt bricks of size 9"x4½"x3" (23x11.4x7.5cm) for super structure in the following floors including labour for fixing the doors, windows and ventilator frames in position, fixing of hold fasts, scaffoldings, curing etc., complete in all respect complying with relevant standard specifications and drawings.</v>
          </cell>
          <cell r="D585">
            <v>0</v>
          </cell>
        </row>
        <row r="586">
          <cell r="B586" t="str">
            <v>g. In Fifth Floor</v>
          </cell>
          <cell r="C586">
            <v>0</v>
          </cell>
          <cell r="D586">
            <v>6421.7655000000013</v>
          </cell>
        </row>
        <row r="587">
          <cell r="B587" t="str">
            <v>h. In Sixth Floor</v>
          </cell>
          <cell r="C587">
            <v>0</v>
          </cell>
          <cell r="D587">
            <v>6547.0305000000017</v>
          </cell>
        </row>
        <row r="588">
          <cell r="B588" t="str">
            <v>i. In Seventh Floor</v>
          </cell>
          <cell r="C588">
            <v>0</v>
          </cell>
          <cell r="D588">
            <v>6672.295500000002</v>
          </cell>
        </row>
        <row r="589">
          <cell r="B589" t="str">
            <v>j.in Eighth floor</v>
          </cell>
          <cell r="C589">
            <v>0</v>
          </cell>
          <cell r="D589">
            <v>6797.5605000000023</v>
          </cell>
        </row>
        <row r="590">
          <cell r="B590" t="str">
            <v>k.in Ninth floor</v>
          </cell>
          <cell r="C590">
            <v>0</v>
          </cell>
          <cell r="D590">
            <v>6922.8255000000026</v>
          </cell>
        </row>
        <row r="591">
          <cell r="B591" t="str">
            <v>l.in Tenth floor</v>
          </cell>
          <cell r="C591">
            <v>0</v>
          </cell>
          <cell r="D591">
            <v>7048.090500000003</v>
          </cell>
        </row>
        <row r="592">
          <cell r="B592" t="str">
            <v>Brick partition work in C.M. 1:4 using chamber Burnt bricks of size 23 x 11.4 x 7.5 cm (9" x 4 1/2"x 3") 114 mm tk (B.P.)</v>
          </cell>
          <cell r="C592" t="str">
            <v>brick partition wall in cement mortar 1:4 (one of cement and four of sand) 114mm thick for super structure in the following floors using chamber burnt bricks of size 9"x4½”x3" (23x11.4x7.5cm) including labour for fixing the doors, windows and ventilator frames in position, fixing of hold fasts, scaffoldings, curing etc., complete in all respect complying with relevant standard specifications and drawings.</v>
          </cell>
          <cell r="D592">
            <v>0</v>
          </cell>
        </row>
        <row r="593">
          <cell r="B593" t="str">
            <v>g. In Fifth Floor</v>
          </cell>
          <cell r="C593">
            <v>0</v>
          </cell>
          <cell r="D593">
            <v>799.35249870000007</v>
          </cell>
        </row>
        <row r="594">
          <cell r="B594" t="str">
            <v>h. In Sixth Floor</v>
          </cell>
          <cell r="C594">
            <v>0</v>
          </cell>
          <cell r="D594">
            <v>813.63270870000008</v>
          </cell>
        </row>
        <row r="595">
          <cell r="B595" t="str">
            <v>i. In Seventh Floor</v>
          </cell>
          <cell r="C595">
            <v>0</v>
          </cell>
          <cell r="D595">
            <v>827.91291870000009</v>
          </cell>
        </row>
        <row r="596">
          <cell r="B596" t="str">
            <v>j.in Eighth floor</v>
          </cell>
          <cell r="C596">
            <v>0</v>
          </cell>
          <cell r="D596">
            <v>842.1931287000001</v>
          </cell>
        </row>
        <row r="597">
          <cell r="B597" t="str">
            <v>k.in Ninth floor</v>
          </cell>
          <cell r="C597">
            <v>0</v>
          </cell>
          <cell r="D597">
            <v>856.47333870000011</v>
          </cell>
        </row>
        <row r="598">
          <cell r="B598" t="str">
            <v>Brick work in C.M. 1:4 using chamber Burnt bricks of size 23 x 11.4 x 7.5 cm (9" x 4 1/2"x 3") 75 mm tk (B.P.)</v>
          </cell>
          <cell r="C598" t="str">
            <v>brick partition walls 75mm thick using chamber burnt bricks of size 9"x4½x3" (23x11.4x7.5cm) in cement mortar 1:4 (one of cement and four of sand) for super structure in the following floors including scaffoldings, curing etc., complete in all respect  complying  with relevant standard specifications and drawings.</v>
          </cell>
          <cell r="D598">
            <v>0</v>
          </cell>
        </row>
        <row r="599">
          <cell r="B599" t="str">
            <v>g. In Fifth Floor</v>
          </cell>
          <cell r="C599">
            <v>0</v>
          </cell>
          <cell r="D599">
            <v>572.30284124999969</v>
          </cell>
        </row>
        <row r="600">
          <cell r="B600" t="str">
            <v>h. In Sixth Floor</v>
          </cell>
          <cell r="C600">
            <v>0</v>
          </cell>
          <cell r="D600">
            <v>581.69771624999964</v>
          </cell>
        </row>
        <row r="601">
          <cell r="B601" t="str">
            <v>i. In Seventh Floor</v>
          </cell>
          <cell r="C601">
            <v>0</v>
          </cell>
          <cell r="D601">
            <v>591.0925912499996</v>
          </cell>
        </row>
        <row r="602">
          <cell r="B602" t="str">
            <v>j. In Eighth floor</v>
          </cell>
          <cell r="C602">
            <v>0</v>
          </cell>
          <cell r="D602">
            <v>600.48746624999956</v>
          </cell>
        </row>
        <row r="603">
          <cell r="B603" t="str">
            <v>k.in Ninth floor</v>
          </cell>
          <cell r="C603">
            <v>0</v>
          </cell>
          <cell r="D603">
            <v>609.88234124999951</v>
          </cell>
        </row>
        <row r="604">
          <cell r="B604" t="str">
            <v xml:space="preserve">Supply and laying of Hard core layer 200mm </v>
          </cell>
          <cell r="C604">
            <v>0</v>
          </cell>
          <cell r="D604">
            <v>2796.22</v>
          </cell>
        </row>
        <row r="605">
          <cell r="B605" t="str">
            <v>Supplying and filling stone dust</v>
          </cell>
          <cell r="C605">
            <v>0</v>
          </cell>
          <cell r="D605">
            <v>150.86500000000001</v>
          </cell>
        </row>
        <row r="606">
          <cell r="B606" t="str">
            <v>Plastering with CM 1:3, 12mm with WPC</v>
          </cell>
          <cell r="C606" t="str">
            <v>Plastering in CM 1:3 (one of cement three of sand) 12mm tk. mixed with water proof compound at 2% by weight of cement for sump including scaffolding curing, finishing etc., complete in all respects and complying with standard specifications.</v>
          </cell>
          <cell r="D606">
            <v>234.34160000000003</v>
          </cell>
        </row>
        <row r="607">
          <cell r="B607" t="str">
            <v xml:space="preserve">Supplying and filling with gravel </v>
          </cell>
          <cell r="C607" t="str">
            <v>Supplying and filling in foundation and basement with gravel in layers of 150 mm thickness well watered, rammed and consolidated complying with relevant standard specification including cost of gravel etc., all complete and as directed by the departmental officers.</v>
          </cell>
          <cell r="D607">
            <v>344.76499999999999</v>
          </cell>
        </row>
        <row r="608">
          <cell r="B608" t="str">
            <v>B.W in CM 1:4 in Superstructure for OHT in First floor</v>
          </cell>
          <cell r="C608">
            <v>0</v>
          </cell>
          <cell r="D608">
            <v>6158.5659999999998</v>
          </cell>
        </row>
        <row r="609">
          <cell r="B609" t="str">
            <v>B.W in CM 1:4 in Superstructure for OHT in Second  floor</v>
          </cell>
          <cell r="C609">
            <v>0</v>
          </cell>
          <cell r="D609">
            <v>6283.8310000000001</v>
          </cell>
        </row>
        <row r="610">
          <cell r="B610" t="str">
            <v>B.W in CM 1:4 in Superstructure for OHTIn Third  floor</v>
          </cell>
          <cell r="C610">
            <v>0</v>
          </cell>
          <cell r="D610">
            <v>6409.0960000000005</v>
          </cell>
        </row>
        <row r="611">
          <cell r="B611" t="str">
            <v>B.W in CM 1:4 in Superstructure for OHT In Fourth  floor</v>
          </cell>
          <cell r="C611">
            <v>0</v>
          </cell>
          <cell r="D611">
            <v>6534.3610000000008</v>
          </cell>
        </row>
        <row r="612">
          <cell r="B612" t="str">
            <v>Earth work excavation in Loose / sandy soils (including refilling)</v>
          </cell>
          <cell r="C612">
            <v>0</v>
          </cell>
          <cell r="D612">
            <v>126.80499999999999</v>
          </cell>
        </row>
        <row r="613">
          <cell r="B613" t="str">
            <v>Earth work excavation in Loose / sandy soils (excluding refilling) for open foundation</v>
          </cell>
          <cell r="C613">
            <v>0</v>
          </cell>
          <cell r="D613">
            <v>58.905000000000008</v>
          </cell>
        </row>
        <row r="614">
          <cell r="B614" t="str">
            <v>Earth work excavation in Loose / sandy soils (excluding refilling) for drain</v>
          </cell>
          <cell r="C614">
            <v>0</v>
          </cell>
          <cell r="D614">
            <v>88.357500000000002</v>
          </cell>
        </row>
        <row r="615">
          <cell r="B615" t="str">
            <v>Providing earth quake resistant for Corner walls</v>
          </cell>
          <cell r="C615">
            <v>0</v>
          </cell>
          <cell r="D615">
            <v>0</v>
          </cell>
        </row>
        <row r="616">
          <cell r="B616" t="str">
            <v>a. Foundation &amp; basement</v>
          </cell>
          <cell r="C616">
            <v>0</v>
          </cell>
          <cell r="D616">
            <v>6214.02</v>
          </cell>
        </row>
        <row r="617">
          <cell r="B617" t="str">
            <v>b. Ground Floor</v>
          </cell>
          <cell r="C617">
            <v>0</v>
          </cell>
          <cell r="D617">
            <v>6308.42</v>
          </cell>
        </row>
        <row r="618">
          <cell r="B618" t="str">
            <v>c. First Floor</v>
          </cell>
          <cell r="C618">
            <v>0</v>
          </cell>
          <cell r="D618">
            <v>6494.27</v>
          </cell>
        </row>
        <row r="619">
          <cell r="B619" t="str">
            <v>d. Second Floor</v>
          </cell>
          <cell r="C619">
            <v>0</v>
          </cell>
          <cell r="D619">
            <v>6680.12</v>
          </cell>
        </row>
        <row r="620">
          <cell r="B620" t="str">
            <v>Providing earth quake resistant for Door/window Jambs</v>
          </cell>
          <cell r="C620">
            <v>0</v>
          </cell>
          <cell r="D620">
            <v>0</v>
          </cell>
        </row>
        <row r="621">
          <cell r="B621" t="str">
            <v>a. Ground Floor</v>
          </cell>
          <cell r="C621">
            <v>0</v>
          </cell>
          <cell r="D621">
            <v>569.59</v>
          </cell>
        </row>
        <row r="622">
          <cell r="B622" t="str">
            <v>b. First Floor</v>
          </cell>
          <cell r="C622">
            <v>0</v>
          </cell>
          <cell r="D622">
            <v>572.77</v>
          </cell>
        </row>
        <row r="623">
          <cell r="B623" t="str">
            <v>c. Second Floor</v>
          </cell>
          <cell r="C623">
            <v>0</v>
          </cell>
          <cell r="D623">
            <v>575.96</v>
          </cell>
        </row>
        <row r="624">
          <cell r="B624" t="str">
            <v>Bored cast sit piles installation of vertical cast in Situ Bored piles of following dia using Standardised concrete  mix M20 Grade) as per nagapattinam data</v>
          </cell>
          <cell r="C624">
            <v>0</v>
          </cell>
          <cell r="D624">
            <v>0</v>
          </cell>
        </row>
        <row r="625">
          <cell r="B625" t="str">
            <v>a.500mm dia pile</v>
          </cell>
          <cell r="C625">
            <v>0</v>
          </cell>
          <cell r="D625">
            <v>2837.021085885</v>
          </cell>
        </row>
        <row r="626">
          <cell r="B626" t="str">
            <v>b.450mm dia pile</v>
          </cell>
          <cell r="C626">
            <v>0</v>
          </cell>
          <cell r="D626">
            <v>2530.1942224239933</v>
          </cell>
        </row>
        <row r="627">
          <cell r="B627" t="str">
            <v>c.400mm dia pile</v>
          </cell>
          <cell r="C627">
            <v>0</v>
          </cell>
          <cell r="D627">
            <v>2255.6649235378286</v>
          </cell>
        </row>
        <row r="628">
          <cell r="B628" t="str">
            <v>Chipping of RCC pile head to the required cut of level and clearing way debries with an average lead of 3 km entirely with city limits M20 Grade</v>
          </cell>
          <cell r="C628">
            <v>0</v>
          </cell>
          <cell r="D628">
            <v>0</v>
          </cell>
        </row>
        <row r="629">
          <cell r="B629" t="str">
            <v>a.500mm dia pile</v>
          </cell>
          <cell r="C629">
            <v>0</v>
          </cell>
          <cell r="D629">
            <v>2837.021085885</v>
          </cell>
        </row>
        <row r="630">
          <cell r="B630" t="str">
            <v>b.450mm dia pile</v>
          </cell>
          <cell r="C630">
            <v>0</v>
          </cell>
          <cell r="D630">
            <v>710.75471962500001</v>
          </cell>
        </row>
        <row r="631">
          <cell r="B631" t="str">
            <v>c.400mm dia pile</v>
          </cell>
          <cell r="C631">
            <v>0</v>
          </cell>
          <cell r="D631">
            <v>561.58397600000023</v>
          </cell>
        </row>
        <row r="632">
          <cell r="B632" t="str">
            <v>Conducting routine vertical compression load test CER No.328/2014-15</v>
          </cell>
          <cell r="C632">
            <v>0</v>
          </cell>
          <cell r="D632">
            <v>70000</v>
          </cell>
        </row>
        <row r="633">
          <cell r="B633" t="str">
            <v>Mobilization charges including transporting to site CER No.328/2014-15</v>
          </cell>
          <cell r="C633">
            <v>0</v>
          </cell>
          <cell r="D633">
            <v>50000</v>
          </cell>
        </row>
        <row r="634">
          <cell r="B634" t="str">
            <v xml:space="preserve">Red oxide plastering in CM 1:4 </v>
          </cell>
          <cell r="C634">
            <v>0</v>
          </cell>
          <cell r="D634">
            <v>654.53580000000011</v>
          </cell>
        </row>
        <row r="635">
          <cell r="B635" t="str">
            <v>P.C.C. 1:3:6  for foundation &amp; basement using 20mm metal</v>
          </cell>
          <cell r="C635" t="str">
            <v>Plain cement concrete 1:3:6 (one of cement, three of sand and six of hard broken stone jelly) for  foundation using 20mm gauge hard broken stone jelly inclusive of shoring strutting and bailing out water wherever necessary ramming, curing etc., complete in all respects complying with relevant standard specifications and as directed by the departmental officers.</v>
          </cell>
          <cell r="D635">
            <v>5008.3874999999998</v>
          </cell>
        </row>
        <row r="636">
          <cell r="B636" t="str">
            <v>P.C.C. 1:4:8 using 40 mm broken brick jelly</v>
          </cell>
          <cell r="C636" t="str">
            <v>plain cement concrete 1:4:8 (one of cement, four of sand  and eight of hard broken stone jelly) for foundation and basement using 40mm gauge hard broken stone jelly inclusive of shoring, strutting and bailing out water wherever necessary ramming, curing etc., complete in all respects complying with relevant standard specifications and as directed by the departmental officers.</v>
          </cell>
          <cell r="D636">
            <v>4340.5874999999996</v>
          </cell>
        </row>
        <row r="637">
          <cell r="B637" t="str">
            <v>P. C.C. 1:3:6 for foundation &amp; basement using 40mm metal</v>
          </cell>
          <cell r="C637">
            <v>0</v>
          </cell>
          <cell r="D637">
            <v>4653.7875000000004</v>
          </cell>
        </row>
        <row r="638">
          <cell r="B638" t="str">
            <v>Formwork using M.S.Sheet</v>
          </cell>
          <cell r="C638" t="str">
            <v>Providing form work and centering for reinforced cement concrete works including supports and strutting upto 3.30m height for plain surfaces as detailed below with all cross bracings using mild steel sheets of size 90 cm x 60 cm and ms 10 gauge stiffened with welded mild steel angles of size 25 mm x 25mm x 3mm for boarding laid over silver oak or country wood joists of size 10cm x 6.5 cm spaced at about 90 cm centre to centre and supported by casurina props 10 cm to 13 cm dia spaced at 75 cm intervals and removing the same after a specified period without damaging the R.C.C works etc., complete complying with standard specifications and as directed by the departmental officers.</v>
          </cell>
          <cell r="D638">
            <v>0</v>
          </cell>
        </row>
        <row r="639">
          <cell r="B639" t="str">
            <v>a.For Column footings,plinth beam,Grade beam,Raftbeam,Raft slab etc.,</v>
          </cell>
          <cell r="C639" t="str">
            <v>(a) For Column footings, plinth beam, grade beam, raft beam, raft slab etc.,</v>
          </cell>
          <cell r="D639">
            <v>693.57</v>
          </cell>
        </row>
        <row r="640">
          <cell r="B640" t="str">
            <v>b.Plain surfaces such as Roof slab,floorslab,Beams,lintels,lofts,sill slab,staircase,portico slab and other similar works</v>
          </cell>
          <cell r="C640" t="str">
            <v>(b) Plain surfaces such as roof slab, floor slab, beams lintels, loft, sill slab, staircase waist, portico slab and other similar works</v>
          </cell>
          <cell r="D640">
            <v>782.8</v>
          </cell>
        </row>
        <row r="641">
          <cell r="B641" t="str">
            <v>c.For Square and rectangular columns and small quantities</v>
          </cell>
          <cell r="C641" t="str">
            <v>(c) For square and rectangular columns, and small quantities such as sunshades, parapet Cum. drops, window boxings, fin projections and other similar works</v>
          </cell>
          <cell r="D641">
            <v>939.36</v>
          </cell>
        </row>
        <row r="642">
          <cell r="B642" t="str">
            <v>d.Vertical wall</v>
          </cell>
          <cell r="C642" t="str">
            <v>(d) For Vertical walls</v>
          </cell>
          <cell r="D642">
            <v>861.08244200000001</v>
          </cell>
        </row>
        <row r="643">
          <cell r="B643" t="str">
            <v>e.Circular column</v>
          </cell>
          <cell r="C643" t="str">
            <v xml:space="preserve">(e) for circular surface </v>
          </cell>
          <cell r="D643">
            <v>1722.164884</v>
          </cell>
        </row>
        <row r="644">
          <cell r="B644" t="str">
            <v>f.Curved surface</v>
          </cell>
          <cell r="C644" t="str">
            <v>(f) for circular column</v>
          </cell>
          <cell r="D644">
            <v>1409.04</v>
          </cell>
        </row>
        <row r="645">
          <cell r="B645" t="str">
            <v>g.Double centering portico area</v>
          </cell>
          <cell r="C645">
            <v>0</v>
          </cell>
          <cell r="D645">
            <v>1878.72</v>
          </cell>
        </row>
        <row r="646">
          <cell r="B646" t="str">
            <v>R.C.C.Door frames of size 100 x 75mm with one edge grooves size 't' x 20 mm using M20 grade ( with out vibrating charges)</v>
          </cell>
          <cell r="C646" t="str">
            <v>Supplying and fixing Monolithic RCC door frames of size 100x75mm with one edge grooves size 'T' x 20 mm ('T' represents the shutter thickness) in reinforced cement concrete 1 : 1½ : 3 (one of cement, one and half of sand and three of hard broken stone jelly) using 20mm hard broken stone jelly including cost of steel and fabrication of reinforcement grills with 3 nos. of 6mm M.S rod alround and 3mm steel stirrups at 30cm centre to centre including fixing of 3 nos of  iron bracket of size 100x100x5mm or 3 nos of teak wood plug for receiving hinges and 2 nos of teak wood plug for receiving the tower bolts including fixing of 6 nos of hold fasts and cost and fixing of check nuts and aluminium sleeves and 2 nos iron oxide tower bolt receiver all as per drawings, including moulding in steel mould and casting with smooth surfaces and fine edges, curing, transporting etc., all complete as directed by the departmental officers.</v>
          </cell>
          <cell r="D646">
            <v>0</v>
          </cell>
        </row>
        <row r="647">
          <cell r="B647" t="str">
            <v>a. 900 x 2100 mm R.C.C.Door frames of size 100 x 75mm with one edge grooves size 't' x 20 mm using M20 grade ( with out vibrating charges)</v>
          </cell>
          <cell r="C647" t="str">
            <v>a. 900 x 2100 mm</v>
          </cell>
          <cell r="D647">
            <v>2273.63</v>
          </cell>
        </row>
        <row r="648">
          <cell r="B648" t="str">
            <v>c. 1200 x 2100 mm R.C.C.Door frames of size 100 x 75mm with one edge grooves size 't' x 20 mm using M20 grade ( with out vibrating charges)</v>
          </cell>
          <cell r="C648" t="str">
            <v>c. 1200 x 2100 mm</v>
          </cell>
          <cell r="D648">
            <v>2715.9314983775002</v>
          </cell>
        </row>
        <row r="649">
          <cell r="B649" t="str">
            <v>c. 1000 x 2100 mm R.C.C.Door frames of size 100 x 75mm with one edge grooves size 't' x 20 mm using M20 grade ( with out vibrating charges)</v>
          </cell>
          <cell r="C649" t="str">
            <v xml:space="preserve">c. 1000 x 2100 mm </v>
          </cell>
          <cell r="D649">
            <v>2291.41</v>
          </cell>
        </row>
        <row r="650">
          <cell r="B650" t="str">
            <v>d. 750 x 2100 mm R.C.C.Door frames of size 100 x 75mm with one edge grooves size 't' x 20 mm using M20 grade ( with out vibrating charges)</v>
          </cell>
          <cell r="C650" t="str">
            <v>d. 750 x 2100 mm</v>
          </cell>
          <cell r="D650">
            <v>2243.2526711765499</v>
          </cell>
        </row>
        <row r="651">
          <cell r="B651" t="str">
            <v>Teak wood "Window" &amp;  Ventilator Shutter with 4mm thick pin headed glasses</v>
          </cell>
          <cell r="C651" t="str">
            <v>Teakwood glazed window and ventilators shutters 6.25x3.12 cm  styles and rails and 4mm thick ground or frosted glass for panels including labour charges and cost of furniture fittings as per schedule ‘E’ and directed by the departmental officers.</v>
          </cell>
          <cell r="D651">
            <v>0</v>
          </cell>
        </row>
        <row r="652">
          <cell r="B652" t="str">
            <v>a. Window: 135 cm ht.</v>
          </cell>
          <cell r="C652">
            <v>0</v>
          </cell>
          <cell r="D652">
            <v>3235.6105497272351</v>
          </cell>
        </row>
        <row r="653">
          <cell r="B653" t="str">
            <v>b. Window: 120 cm ht.</v>
          </cell>
          <cell r="C653">
            <v>0</v>
          </cell>
          <cell r="D653">
            <v>0</v>
          </cell>
        </row>
        <row r="654">
          <cell r="B654" t="str">
            <v>c. Window: 105 cm ht.</v>
          </cell>
          <cell r="C654">
            <v>0</v>
          </cell>
          <cell r="D654">
            <v>3417.8189171270724</v>
          </cell>
        </row>
        <row r="655">
          <cell r="B655" t="str">
            <v>d. Ventilator: (90 x 60 cm)</v>
          </cell>
          <cell r="C655" t="str">
            <v>d. Ventilator: (90 x 60 cm)</v>
          </cell>
          <cell r="D655">
            <v>2552.8890000000001</v>
          </cell>
        </row>
        <row r="656">
          <cell r="B656" t="str">
            <v>d. Ventilator: (75 x 75 cm)</v>
          </cell>
          <cell r="C656" t="str">
            <v>(e) tw. glazed ventilators swing type to suitover all size 75x75cm</v>
          </cell>
          <cell r="D656">
            <v>2203.2800000000002</v>
          </cell>
        </row>
        <row r="657">
          <cell r="B657" t="str">
            <v xml:space="preserve"> MDF board (18mm thick) double leaf shutters with TW frame for cup board/ ward robes.</v>
          </cell>
          <cell r="C657">
            <v>0</v>
          </cell>
          <cell r="D657">
            <v>2060.92</v>
          </cell>
        </row>
        <row r="658">
          <cell r="B658" t="str">
            <v>T.W. frame &amp; TW styles &amp; rails with BWR double leaf shutters for cup board/ ward robes including two coat enamel paint &amp; one coat primer.</v>
          </cell>
          <cell r="C658" t="str">
            <v>Providing T.W. double leaf shutters for cupboard/ward robes with 9mm thick phenol bonded bwr grade plywood as per is 303-1989 (general) with is 5539-1969 (for preservative treatment) and is 848-1974 (for adhesive) with relevant is specifications and its latest amendment for shutters. the all round frame made up of TW scantling of 75mmx37.50mm and the styles made up of TW scantlings of 75mm x 37.50mm and shutter middle rail (horizontal) made up of TW scantling of 150mm x37.50mm including cost of plywood and labour for fixing in position, cost of materials, aluminium furniture fittings such as 6 nos. of 3" of aluminium butt hinges, 2 nos. of 4" x 5/8" aluminium tower bolt,2 nos of 4" ornamental handle, lock and key arrangements (leaver type) of best approved quality with brass screws and also painting with two coats of approved first class synthetic enamel ready mixed paint over one coat of wood primer of approved quality all complete and as directed by the departmental officers (the lock and key, bwr plywood quality and shade and other fittings should be got approved by the executive engineer before use)</v>
          </cell>
          <cell r="D658">
            <v>3907.96</v>
          </cell>
        </row>
        <row r="659">
          <cell r="B659" t="str">
            <v>MDF board door shutters (35mm thick) exterior grade both side laminated with external lipping.</v>
          </cell>
          <cell r="C659" t="str">
            <v>supplying and fixing of medium density fibre (mdf) board - exterior grade - both side prelaminated, 35mm thick conforming to is 12406/1969 with 35 x 12 mm t.w. wood external lipping alround edges with dried soft wood for single leaf door shutter including cost and labour for fixing the furniture fittings as per schedule ‘e’ etc., complete and as directed by the departmental officers (the mdf board quality, shade and other fittings should be got approved by the executive engineer before use).</v>
          </cell>
          <cell r="D659">
            <v>0</v>
          </cell>
        </row>
        <row r="660">
          <cell r="B660" t="str">
            <v>a. 1000X2100mm. MDF board door shutters (35mm thick) exterior grade both side laminated with external lipping.</v>
          </cell>
          <cell r="C660" t="str">
            <v>a. 1000X2100mm.</v>
          </cell>
          <cell r="D660">
            <v>2895.87</v>
          </cell>
        </row>
        <row r="661">
          <cell r="B661" t="str">
            <v>b. 900X2100mm. MDF board door shutters (35mm thick) exterior grade both side laminated with external lipping.</v>
          </cell>
          <cell r="C661" t="str">
            <v>b. 900X2100mm.</v>
          </cell>
          <cell r="D661">
            <v>2936.45</v>
          </cell>
        </row>
        <row r="662">
          <cell r="B662" t="str">
            <v>c.1200X2100mm. MDF board door shutters (35mm thick) exterior grade both side laminated with external lipping.</v>
          </cell>
          <cell r="C662" t="str">
            <v>c.1200X2100mm.</v>
          </cell>
          <cell r="D662">
            <v>0</v>
          </cell>
        </row>
        <row r="663">
          <cell r="B663" t="str">
            <v>TW panelled  single door shutter with brass fittings.</v>
          </cell>
          <cell r="C663" t="str">
            <v>Supplying and fixing of Best Indian Teakwood panelled door shutters single leaf in position using 75mm x 37.5mm styles and 4 nos of 150x37.5mm rails (top, middle, bottom and lock rail) 2 nos of 75mmx37.5mm vertical shorter styles and 18.75mm thick planks for panels including cost and labour for fixing the aliminium furniture fittings  such as 1nos of door handle with CP screws, 3nos of 5" Butt hinges, 2nos of 6"x1/2" Tower bolt, 1no 10"x5/8" aldrop, 1nos nylon bush and 1nos door stopper etc., all complete and as directed by the departmental officers</v>
          </cell>
          <cell r="D663">
            <v>0</v>
          </cell>
        </row>
        <row r="664">
          <cell r="B664" t="str">
            <v>b.1200x2400mm</v>
          </cell>
          <cell r="C664" t="str">
            <v>b.1200x2400mm</v>
          </cell>
          <cell r="D664">
            <v>0</v>
          </cell>
        </row>
        <row r="665">
          <cell r="B665" t="str">
            <v xml:space="preserve">C. 0.75X2100mm.(Single leaf) </v>
          </cell>
          <cell r="C665" t="str">
            <v xml:space="preserve">C. 750 X2100mm.(Single leaf) </v>
          </cell>
          <cell r="D665">
            <v>5002.09</v>
          </cell>
        </row>
        <row r="666">
          <cell r="B666" t="str">
            <v>a. 1200X2100mm.(Single leaf)  Four horizontal Panel</v>
          </cell>
          <cell r="C666" t="str">
            <v>a. 1200X2100mm.(Single leaf)  Four horizontal Panel</v>
          </cell>
          <cell r="D666">
            <v>4875.3566518847001</v>
          </cell>
        </row>
        <row r="667">
          <cell r="B667" t="str">
            <v>a. 1200X2100mm.(Single leaf)  Five horizontal Panel</v>
          </cell>
          <cell r="C667" t="str">
            <v>a. 1200X2100mm.(Single leaf)  Five horizontal Panel</v>
          </cell>
          <cell r="D667">
            <v>5171.0144219977547</v>
          </cell>
        </row>
        <row r="668">
          <cell r="B668" t="str">
            <v>b. 900X2100mm  without Brass fittings ( Single leaf)</v>
          </cell>
          <cell r="C668" t="str">
            <v>b. 900X2100mm  without Brass fittings ( Single leaf)</v>
          </cell>
          <cell r="D668">
            <v>4751.0304878048782</v>
          </cell>
        </row>
        <row r="669">
          <cell r="B669" t="str">
            <v>TW double leaves shutter  with Brass Fittings</v>
          </cell>
          <cell r="C669">
            <v>0</v>
          </cell>
          <cell r="D669">
            <v>0</v>
          </cell>
        </row>
        <row r="670">
          <cell r="B670" t="str">
            <v>TW double leaves shutter of size  2000X2400mm.(Double leaves) with Brass fittings</v>
          </cell>
          <cell r="C670" t="str">
            <v>TW double leaves shutter of size  2000X2400mm.(Double leaves) with Brass fittings</v>
          </cell>
          <cell r="D670">
            <v>4938.4399999999996</v>
          </cell>
        </row>
        <row r="671">
          <cell r="B671" t="str">
            <v>TW panelled door double leaves shutter with brass fittings of size . 2000X2100mm. Thiruvarur AR  Garage</v>
          </cell>
          <cell r="C671">
            <v>0</v>
          </cell>
          <cell r="D671">
            <v>5184.8377192982452</v>
          </cell>
        </row>
        <row r="672">
          <cell r="B672" t="str">
            <v>TW double leaves shutter of size  with brass fittingsa.1800 x 2100mm For PS</v>
          </cell>
          <cell r="C672" t="str">
            <v>TW double leaves shutter of size  without brass fittingsa.1800 x 2100mm For PS</v>
          </cell>
          <cell r="D672">
            <v>5419.2394698620192</v>
          </cell>
        </row>
        <row r="673">
          <cell r="B673" t="str">
            <v>a. 1500X2400mm.(Double leaves) with Brass  Screws only ( DPO Ariyalur)</v>
          </cell>
          <cell r="C673">
            <v>0</v>
          </cell>
          <cell r="D673">
            <v>6049.4797885970529</v>
          </cell>
        </row>
        <row r="674">
          <cell r="B674" t="str">
            <v>Solid flush door shutters</v>
          </cell>
          <cell r="C674" t="str">
            <v>Solid flush door shutters</v>
          </cell>
          <cell r="D674">
            <v>0</v>
          </cell>
        </row>
        <row r="675">
          <cell r="B675" t="str">
            <v>a. 1000X2100mm.(Single leaf) For Qtrs</v>
          </cell>
          <cell r="C675" t="str">
            <v>a. 1000X2100mm.(Single leaf) For Qtrs</v>
          </cell>
          <cell r="D675">
            <v>2873.31</v>
          </cell>
        </row>
        <row r="676">
          <cell r="B676" t="str">
            <v>a. 1500X2100mm.(Double leaves) with Brass fittings</v>
          </cell>
          <cell r="C676" t="str">
            <v>a. 1500X2100mm.(Double leaves) with Brass fittings</v>
          </cell>
          <cell r="D676">
            <v>2992.3</v>
          </cell>
        </row>
        <row r="677">
          <cell r="B677" t="str">
            <v>TW double leaves shutter of size  with brass fittingsa.1800 x 2100mm For PS</v>
          </cell>
          <cell r="C677" t="str">
            <v>TW double leaves shutter of size  with brass fittingsa.1800 x 2100mm For PS</v>
          </cell>
          <cell r="D677">
            <v>4951.12</v>
          </cell>
        </row>
        <row r="678">
          <cell r="B678" t="str">
            <v>TW panelled door double leaves shutter with brass fittings of size . 1200X2100mm.( Crime &amp; Traffic)</v>
          </cell>
          <cell r="C678" t="str">
            <v>1200X2100mm.( Crime &amp; Traffic)</v>
          </cell>
          <cell r="D678">
            <v>3134.79</v>
          </cell>
        </row>
        <row r="679">
          <cell r="B679" t="str">
            <v>TW paneled door shutter  size  2400 x 2400mm  with french window  (two end fixed 5.5mm thick glass and doble leaf shutter , Trichy Community hall )</v>
          </cell>
          <cell r="C679">
            <v>0</v>
          </cell>
          <cell r="D679">
            <v>0</v>
          </cell>
        </row>
        <row r="680">
          <cell r="B680" t="str">
            <v xml:space="preserve">TW styles &amp; rails with 9mm thick BWR single and Double  leaf shutters  with brass screws </v>
          </cell>
          <cell r="C680" t="str">
            <v>Supplying and fixing of best indian TW single leaf panelled door shutters using 9 mm thick phenol bonded BWR grade plywood as per IS 303-1989 (general) with IS 5539-1969 (for preservative treatment and IS 848 –1974 (for adhesives) with relevant IS specification and its latest amendments for shutters with 75mmx37.50mm teak wood styles and 3 nos.of 150x37.50 mm tw rails (top, bottom and lock rails) using the above panels including labour charges and cost of furniture fittings as per schedule ‘E’ with brass screws and as directed by the departmental officers (The quality of BWR plywood should be got approved from the Executive Engineer before use).0</v>
          </cell>
          <cell r="D680">
            <v>0</v>
          </cell>
        </row>
        <row r="681">
          <cell r="B681" t="str">
            <v>TW styles &amp; rails with 9mm thick BWR single leaf shutters  with brass screws size of 1200 x 2100 mm</v>
          </cell>
          <cell r="C681" t="str">
            <v>1200 x 2100 mm</v>
          </cell>
          <cell r="D681">
            <v>3009.4159645232812</v>
          </cell>
        </row>
        <row r="682">
          <cell r="B682" t="str">
            <v>TW styles &amp; rails with 9mm thick BWR single leaf shutters  with brass screws size of 1000 x 2100 mm</v>
          </cell>
          <cell r="C682" t="str">
            <v>1000 x 2100 mm</v>
          </cell>
          <cell r="D682">
            <v>3199.0155826558262</v>
          </cell>
        </row>
        <row r="683">
          <cell r="B683" t="str">
            <v>TW styles &amp; rails with 9mm thick BWR single leaf shutters  with brass screws size of 900 x 2100 mm</v>
          </cell>
          <cell r="C683" t="str">
            <v>0900 x 2100 mm</v>
          </cell>
          <cell r="D683">
            <v>3311.8246341463414</v>
          </cell>
        </row>
        <row r="684">
          <cell r="B684" t="str">
            <v>TW styles &amp; rails with 9mm thick BWR single leaf shutters  with brass screws size of 750 x 2100 mm</v>
          </cell>
          <cell r="C684" t="str">
            <v>750 x 2100 mm</v>
          </cell>
          <cell r="D684">
            <v>3731.3530243902442</v>
          </cell>
        </row>
        <row r="685">
          <cell r="B685" t="str">
            <v>TW styles &amp; rails with 9mm thick BWR Double leaves shutters  with brass screws size of 1500 x  2100 mm</v>
          </cell>
          <cell r="C685" t="str">
            <v>1500 x  2100 mm</v>
          </cell>
          <cell r="D685">
            <v>0</v>
          </cell>
        </row>
        <row r="686">
          <cell r="B686" t="str">
            <v>Supply and Fixing Soild UPVC door Shutter with frame</v>
          </cell>
          <cell r="C686" t="str">
            <v>Providing and fixing of factory made unplasticizied polyvinyl chloride (upvc) door frame of size 50X47MM with a wall thickness of 5MM, made out of extruded 5MM rigid upvc foam sheet, mitered at two corners and joined with 2 nos. Of 150MM long brackets of 15X15MM m.s square tube. The two vertical and horizontal door profiles are to be reinforced with 19X19MM m.s square tube of 19 gauges with primer coat. The door frame shall be fixed to the wall using 65MM/100MM long m.s screw through the frame by using pvc fasteners. A minimum of 4 nos. Screws to be provided for each vertical member and minimum 2 nos. For horizontal member etc., providing and fixing of 30MM thick factory made door shutter with unplasticized polyvinyl chloride (upvc) solid panel foam sheet, structured with m.s.tube of 19 gauge thickness and size 19MM x 19MM for styles and 15MM x 15MM for top rail and bottom rail. Paneling of 5MM thick upvc one side printed lamination single sheet to be fitted in the m.s.frame welded / sealed to the styles and rails covered with 5MM thick heat moulded upvc ‘c’ channel of 30MMX50MM and  5MM thick 75MM wide upvc sheet for top rail, lock rail and bottom rail on either side and 10MM (5MM x 2 nos.) Thick, 20MM wide cross upvc sheet as gap insert for top rail and bottom rail, and joined together with pvc solvent cement adhesive. An additional 5mm thick upvc strip of 20mm width is to be stuck on the interior side of the ‘c’ channel using pvc solvent cement adhesive. The  cost and labour charges for fixing of 3 nos. 4” ss butt hinges and aluminium furniture fitting such as 1 no. 4” tower bolt, 1 no.5” aldrop, 2 nos. 6” flat ‘d’ type handle, etc are included. The fitting provided shall bear isi marks. To ensure the genuinity of product, the door set should have 4 numbers of manufacturer’s logo hologram of approved brand, each at frame, style, rail and inner panel. (the quality and brand of door shutter and furniture fittings should be got approved by the executive engineer before use)</v>
          </cell>
          <cell r="D686">
            <v>2828</v>
          </cell>
        </row>
        <row r="687">
          <cell r="B687" t="str">
            <v>4mm thick pin headed Glass panels with Aluminium beedings</v>
          </cell>
          <cell r="C687" t="str">
            <v>Supplying and fixing of 4mm thick pin headed glass panels with aluminium anodized 'U'  shape beeding of size 12x12 mm with 107 gram in average weight for 1 m length with aluminium bolts and nuts for the shutters of the steel windows already supplied to suit all the size and as directed by the departmental officers.(The quality of glass and aluminium beeding should be got approved from the executive engineer before use)</v>
          </cell>
          <cell r="D687">
            <v>696.5</v>
          </cell>
        </row>
        <row r="688">
          <cell r="B688" t="str">
            <v>Cuddappa slab 20 mm tk.for kitchen hearth slab.</v>
          </cell>
          <cell r="C688" t="str">
            <v xml:space="preserve">supplying cuddappah slab of 20mm thick and laying in cm 1:3, 12mm thick over the rcc platform for kitchen hearth slab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v>
          </cell>
          <cell r="D688">
            <v>0</v>
          </cell>
        </row>
        <row r="689">
          <cell r="B689" t="str">
            <v>a. In Ground floor Cuddappa slab 20 mm tk.for kitchen hearth slab.</v>
          </cell>
          <cell r="C689" t="str">
            <v>(a) In Ground floor</v>
          </cell>
          <cell r="D689">
            <v>555.12</v>
          </cell>
        </row>
        <row r="690">
          <cell r="B690" t="str">
            <v>b. In First floor Cuddappa slab 20 mm tk.for kitchen hearth slab.</v>
          </cell>
          <cell r="C690" t="str">
            <v>(b) in first floor</v>
          </cell>
          <cell r="D690">
            <v>558.84</v>
          </cell>
        </row>
        <row r="691">
          <cell r="B691" t="str">
            <v>c. In Second floor Cuddappa slab 20 mm tk.for kitchen hearth slab.</v>
          </cell>
          <cell r="C691" t="str">
            <v>(c) in second floor</v>
          </cell>
          <cell r="D691">
            <v>562.54999999999995</v>
          </cell>
        </row>
        <row r="692">
          <cell r="B692" t="str">
            <v>d. In Third floor Cuddappa slab 20 mm tk.for kitchen hearth slab.</v>
          </cell>
          <cell r="C692" t="str">
            <v>(d) in third floor</v>
          </cell>
          <cell r="D692">
            <v>566.27</v>
          </cell>
        </row>
        <row r="693">
          <cell r="B693" t="str">
            <v>e.  In Fourth floor Cuddappa slab 20 mm tk.for kitchen hearth slab.</v>
          </cell>
          <cell r="C693" t="str">
            <v>(e) in fourth floor</v>
          </cell>
          <cell r="D693">
            <v>569.99</v>
          </cell>
        </row>
        <row r="694">
          <cell r="B694" t="str">
            <v>Cuddappa slab 20 mm tk.for C/B  slab.</v>
          </cell>
          <cell r="C694" t="str">
            <v>Providing cuddappah slab of 20mm thick, finishing with two sides for cupboard, wardrobes shelves,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v>
          </cell>
          <cell r="D694">
            <v>0</v>
          </cell>
        </row>
        <row r="695">
          <cell r="B695" t="str">
            <v>a. Ground floor Cuddappa slab 20 mm tk.for C/B  slab.</v>
          </cell>
          <cell r="C695" t="str">
            <v>(a) In Ground floor</v>
          </cell>
          <cell r="D695">
            <v>513.34289999999999</v>
          </cell>
        </row>
        <row r="696">
          <cell r="B696" t="str">
            <v>b. In First floor Cuddappa slab 20 mm tk.for C/B  slab.</v>
          </cell>
          <cell r="C696" t="str">
            <v>(b) in first floor</v>
          </cell>
          <cell r="D696">
            <v>517.05989999999997</v>
          </cell>
        </row>
        <row r="697">
          <cell r="B697" t="str">
            <v>c. In Second floor Cuddappa slab 20 mm tk.for C/B  slab.</v>
          </cell>
          <cell r="C697" t="str">
            <v>(c) in second floor</v>
          </cell>
          <cell r="D697">
            <v>520.77689999999996</v>
          </cell>
        </row>
        <row r="698">
          <cell r="B698" t="str">
            <v>d. In Third floor Cuddappa slab 20 mm tk.for C/B  slab.</v>
          </cell>
          <cell r="C698" t="str">
            <v>(d) in third floor</v>
          </cell>
          <cell r="D698">
            <v>524.49389999999994</v>
          </cell>
        </row>
        <row r="699">
          <cell r="B699" t="str">
            <v>e.  In Fourth floor Cuddappa slab 20 mm tk.for C/B  slab.</v>
          </cell>
          <cell r="C699" t="str">
            <v>(e) in fourth floor</v>
          </cell>
          <cell r="D699">
            <v>528.21089999999992</v>
          </cell>
        </row>
        <row r="700">
          <cell r="B700" t="str">
            <v>Cuddappa slab 40 mm tk.for C/B  slab.</v>
          </cell>
          <cell r="C700" t="str">
            <v>Providing cuddappah slab of 40mm thick finishing with two sides for cupboard, sunshade, wardrobes, shelves, side slabs of boxing around windows, kitchen platform slabs, sink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cuddappah sunshade shall be provided with cuddappah beeding of required size to prevent rain water in the rooms without any extra cost)</v>
          </cell>
          <cell r="D700">
            <v>0</v>
          </cell>
        </row>
        <row r="701">
          <cell r="B701" t="str">
            <v>a. In Ground floor Cuddappa slab 40 mm tk.for C/B  slab.</v>
          </cell>
          <cell r="C701" t="str">
            <v>(a) In Ground floor</v>
          </cell>
          <cell r="D701">
            <v>542.45500000000004</v>
          </cell>
        </row>
        <row r="702">
          <cell r="B702" t="str">
            <v>b. In First floor Cuddappa slab 40 mm tk.for C/B  slab.</v>
          </cell>
          <cell r="C702" t="str">
            <v>(b) in first floor</v>
          </cell>
          <cell r="D702">
            <v>546.23080000000004</v>
          </cell>
        </row>
        <row r="703">
          <cell r="B703" t="str">
            <v>c. In Second floor Cuddappa slab 40 mm tk.for C/B  slab.</v>
          </cell>
          <cell r="C703" t="str">
            <v>(c) in second floor</v>
          </cell>
          <cell r="D703">
            <v>553.66480000000001</v>
          </cell>
        </row>
        <row r="704">
          <cell r="B704" t="str">
            <v>d. In Third floor Cuddappa slab 40 mm tk.for C/B  slab.</v>
          </cell>
          <cell r="C704" t="str">
            <v>(d) in third floor</v>
          </cell>
          <cell r="D704">
            <v>561.09879999999998</v>
          </cell>
        </row>
        <row r="705">
          <cell r="B705" t="str">
            <v>e.  In Fourth floor Cuddappa slab 40 mm tk.for C/B  slab.</v>
          </cell>
          <cell r="C705" t="str">
            <v>(e) in fourth floor</v>
          </cell>
          <cell r="D705">
            <v>568.53279999999995</v>
          </cell>
        </row>
        <row r="706">
          <cell r="B706" t="str">
            <v>Cuddappa slab 40 mm tk.for Sunshade.</v>
          </cell>
          <cell r="C706">
            <v>0</v>
          </cell>
          <cell r="D706">
            <v>0</v>
          </cell>
        </row>
        <row r="707">
          <cell r="B707" t="str">
            <v>a. In Ground floor</v>
          </cell>
          <cell r="C707">
            <v>0</v>
          </cell>
          <cell r="D707">
            <v>1753.9133000000002</v>
          </cell>
        </row>
        <row r="708">
          <cell r="B708" t="str">
            <v>b. In First floor</v>
          </cell>
          <cell r="C708">
            <v>0</v>
          </cell>
          <cell r="D708">
            <v>1761.3473000000001</v>
          </cell>
        </row>
        <row r="709">
          <cell r="B709" t="str">
            <v>c. In Second floor</v>
          </cell>
          <cell r="C709" t="str">
            <v>(c) in first floor</v>
          </cell>
          <cell r="D709">
            <v>1768.7813000000001</v>
          </cell>
        </row>
        <row r="710">
          <cell r="B710" t="str">
            <v>d. In Third floor</v>
          </cell>
          <cell r="C710" t="str">
            <v>(d) in second floor</v>
          </cell>
          <cell r="D710">
            <v>1776.2153000000001</v>
          </cell>
        </row>
        <row r="711">
          <cell r="B711" t="str">
            <v>e.  In Fourth floor</v>
          </cell>
          <cell r="C711">
            <v>0</v>
          </cell>
          <cell r="D711">
            <v>1783.6493</v>
          </cell>
        </row>
        <row r="712">
          <cell r="B712" t="str">
            <v>Glazed tiles using Grout (Tile Joint Filler)</v>
          </cell>
          <cell r="C712" t="str">
            <v>Supplying and fixing of colour glazed tiles of size 100x200x6mm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grout (tile joint filler), curing, finishing etc., all complete and as directed by the departmental officers. (the brand quality of tiles should be got approved from the executive engineer before use).</v>
          </cell>
          <cell r="D712">
            <v>1173.3900000000001</v>
          </cell>
        </row>
        <row r="713">
          <cell r="B713" t="str">
            <v>Floor ceramic tiles  using Grout (Tile Joint Filler).</v>
          </cell>
          <cell r="C713" t="str">
            <v xml:space="preserve">Supplying and fixing of ceramic tiles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 </v>
          </cell>
          <cell r="D713">
            <v>1036.46</v>
          </cell>
        </row>
        <row r="714">
          <cell r="B714" t="str">
            <v>Floor ceramic tiles (Anti-skid) using Grout (Tile Joint Filler).</v>
          </cell>
          <cell r="C714" t="str">
            <v>Supplying and laying of ceramic tiles (Anti-Skid)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 (the brand quality of tiles should be got approved from the executive engineer before use).</v>
          </cell>
          <cell r="D714">
            <v>1036.46</v>
          </cell>
        </row>
        <row r="715">
          <cell r="B715" t="str">
            <v>Two coat of cement paint over one coat white cement</v>
          </cell>
          <cell r="C715" t="str">
            <v>Painting two coats using approved quality of best cement paint over the priming coat on cement plastered / concrete wall surfaces, ceiling or other  similar works including cost of cement paints, putty, brushes, watering, curing, etc., all complete and as directed by the departmental officers (paints and its shade shall be got approved from the executive engineer before using)</v>
          </cell>
          <cell r="D715">
            <v>108.12550000000002</v>
          </cell>
        </row>
        <row r="716">
          <cell r="B716" t="str">
            <v>Matt paint</v>
          </cell>
          <cell r="C716">
            <v>0</v>
          </cell>
          <cell r="D716">
            <v>141.13999999999999</v>
          </cell>
        </row>
        <row r="717">
          <cell r="B717" t="str">
            <v>One coat white cement for new walls and other similar works.</v>
          </cell>
          <cell r="C717" t="str">
            <v>Painting primer coat using approved quality of white cement over the cement plastered / concrete wall surfaces, ceiling or other similar works including cost of white cement, putty, brushes, watering, curing, etc., all complete and as directed by the departmental officers.</v>
          </cell>
          <cell r="D717">
            <v>50.62</v>
          </cell>
        </row>
        <row r="718">
          <cell r="B718" t="str">
            <v>Fabrication of Mild steel / RTS grills(with cement slurry wash) for all sizes of rods.</v>
          </cell>
          <cell r="C718" t="str">
            <v>supplying, fabricating and placing in position of mild steel grills/ribbed tor steels of all diameters for reinforcement for all floors including cost of  binding wire, bending, tying  and applying one coat of cement slurry etc., all complete in all respects.</v>
          </cell>
          <cell r="D718">
            <v>71587.03</v>
          </cell>
        </row>
        <row r="719">
          <cell r="B719" t="str">
            <v>Fabrication of Mild steel / RTS grills (without cement slurry) for all sizes of rods.</v>
          </cell>
          <cell r="C719" t="str">
            <v>Supplying, fabricating and placing in position of mild steel grills/ribbed tor steels for reinforcement for all floors including cost of binding wire, bending, tying etc., all complete and as directed by the departmental officers.</v>
          </cell>
          <cell r="D719">
            <v>69949.75</v>
          </cell>
        </row>
        <row r="720">
          <cell r="B720" t="str">
            <v>PVC SWR 110 mm dia with ISI mark type- A for Rain water down fall pipe</v>
          </cell>
          <cell r="C720" t="str">
            <v>Supplying and fixing of 110mm dia PVC SWR pipe with ISI mark confirming to IS 13952:1992- type 'A  for rain water down fall pipe  with relevant specials such as gratings, shoes, bends, offsets confirming to is 14735 including  jointing with seal ring confirming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v>
          </cell>
          <cell r="D720">
            <v>310.89999999999998</v>
          </cell>
        </row>
        <row r="721">
          <cell r="B721" t="str">
            <v>Precast slab 50 mm tk.in C.C. 1:3:6 with fibre</v>
          </cell>
          <cell r="C721" t="str">
            <v>Supplying and fixing of fibre mixed precast slab of 50mm thick of all required shapes made in cement concrete 1:3:6 (one of cement, three of sand and six of 20mm hard broken stone jelly) using 20mm hard broken stone jelly mixed with secondary reinforcement fibre of approved quality at 0.25% by weight of cement (125gm of fibre for 1 bag i.e., 50kg of cement) used including cost of all materials, moulding, curing, transportation, laying, pointing etc., for approach road, pavement slab and other similar works etc., complete as per the relevant standard specifications and as directed by the departmental officers. (the shape of slab and brand and quality of fibre should be got approved from the executive engineer before use)</v>
          </cell>
          <cell r="D721">
            <v>353.66</v>
          </cell>
        </row>
        <row r="722">
          <cell r="B722" t="str">
            <v>20mm dia PVC water supply ASTM pipe (fully consealed in walls)</v>
          </cell>
          <cell r="C722" t="str">
            <v>Supplying, laying, fixing and jointing the following pvc pipes as per ASTM-D-1785 of schedule 40 of wall thickness not less than the specified in is 4985 suitable for plumbing by threading of wall thickness including the cost of suitable pvc/gi specials/gm specials like elbow, tee reducers, plug, unions, bend, coupler, nipple/gm gate valve, check and wheel valve etc., wherever required above the ground level including the cost of teflon tape etc., fully concealed in walls to the proper gradient and alignment and redoing the chipped portion of masonry etc.,all complete and as directed by the departmental officers. (c) 20mm ASTM D schedule 40 threaded pvc pipe with necessary PVC/GI specials</v>
          </cell>
          <cell r="D722">
            <v>196.26</v>
          </cell>
        </row>
        <row r="723">
          <cell r="B723" t="str">
            <v xml:space="preserve">S&amp;F of C.I Manhole cover 60 x 60 cm (50kg weight ) </v>
          </cell>
          <cell r="C723" t="str">
            <v>Supplying and fixing of C.I. manhole cover with locking arrangements of approved quality and brand of size 0.6 m x 0.6 m (50 kg) as per standard specifications including cost of material, labour charges for fixing etc. all complete and as directed by the departmental officers</v>
          </cell>
          <cell r="D723">
            <v>1828</v>
          </cell>
        </row>
        <row r="724">
          <cell r="B724" t="str">
            <v>Wash Hand  Basin of size 550 x 400 mm</v>
          </cell>
          <cell r="C724" t="str">
            <v>Supplying and fixing of porcelin wash hand basin (White), superior variety of size 550x400mm with all accessories such as powder coated cast iron brackets, 32mm dia c.p. waste coupling, rubber plug and aluminium chain, 32mm dia 'B' class G.I. PVC waste pipe, angle valve, 15mm dia nylon connection, 15mm dia brass nipples, 15mm C.P. pillar tap &amp; required grating etc., complete in all respects (wash hand basin shall be got approved by the executive engineer before fixing).</v>
          </cell>
          <cell r="D724">
            <v>3004.82</v>
          </cell>
        </row>
        <row r="725">
          <cell r="B725" t="str">
            <v>Supplying and fixing of Brass Chromium plated screw down tap 15mm dia (heavy type not less than 430 grms weight)  with ISI mark.</v>
          </cell>
          <cell r="C725">
            <v>0</v>
          </cell>
          <cell r="D725">
            <v>202</v>
          </cell>
        </row>
        <row r="726">
          <cell r="B726" t="str">
            <v xml:space="preserve">S &amp; F of Indian Water closet white glazed (Oriya type) of size 580 x 440mm  - in G.F.  </v>
          </cell>
          <cell r="C726">
            <v>0</v>
          </cell>
          <cell r="D726">
            <v>2944.28</v>
          </cell>
        </row>
        <row r="727">
          <cell r="B727" t="str">
            <v xml:space="preserve">S &amp; F of Indian Water closet white glazed (Oriya type) of size 580 x 440mm  - Other than  G.F.  </v>
          </cell>
          <cell r="C727">
            <v>0</v>
          </cell>
          <cell r="D727">
            <v>4561.54</v>
          </cell>
        </row>
        <row r="728">
          <cell r="B728" t="str">
            <v>PVC SWR pipe (Soil line) with ISI mark - type 'B'.</v>
          </cell>
          <cell r="C728" t="str">
            <v>Supplying and fixing the following dia PVC (SWR) pipe with ISI mark confirming to IS 13952:1992- type 'B' for soil line with 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v>
          </cell>
          <cell r="D728">
            <v>0</v>
          </cell>
        </row>
        <row r="729">
          <cell r="B729" t="str">
            <v>a. 110 mm dia. PVC SWR pipe (Soil line) with ISI mark - type 'B'.</v>
          </cell>
          <cell r="C729" t="str">
            <v>(a)110mm dia PVC SWR pipe including all required PVC specials etc., all complete.,</v>
          </cell>
          <cell r="D729">
            <v>626.17999999999995</v>
          </cell>
        </row>
        <row r="730">
          <cell r="B730" t="str">
            <v>b. 75 mm dia. PVC SWR pipe (Soil line) with ISI mark - type 'B'.</v>
          </cell>
          <cell r="C730" t="str">
            <v>(b) 75mm dia PVC SWR pipe including all required PVC specials etc., all complete.,</v>
          </cell>
          <cell r="D730">
            <v>513.38</v>
          </cell>
        </row>
        <row r="731">
          <cell r="B731" t="str">
            <v>Supplying, Laying &amp; Concealing the 50mm dia PVC ( SWR) pipe with ISI mark type - 'B' with relevant specials.</v>
          </cell>
          <cell r="C731" t="str">
            <v>Supplying, Laying &amp; Concealing the 50mm dia PVC ( SWR) pipe with ISI mark type - 'B' with relevant specials.</v>
          </cell>
          <cell r="D731">
            <v>81.2</v>
          </cell>
        </row>
        <row r="732">
          <cell r="B732" t="str">
            <v>PVC(SWR) pipe with ISI mark - type 'A' for Ventilating shaft with cowl</v>
          </cell>
          <cell r="C732">
            <v>0</v>
          </cell>
          <cell r="D732">
            <v>441.7</v>
          </cell>
        </row>
        <row r="733">
          <cell r="B733" t="str">
            <v>Wiring with 1.5 Sqm.m PVC insulated single core multi strand fire retardant flexible copper cable with ISI mark confirming IS: 694:1990.( Ordinary)</v>
          </cell>
          <cell r="C733" t="str">
            <v>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PVC rigid conduit pipe heavy duty with isi mark with suitable size ms box of 1 no. (each) 16 g thick concealed and covered with 3mm thick laminated hylem sheet for 5 amps flush type switch including circuit mains, cost of all materials, specials etc., all complete</v>
          </cell>
          <cell r="D733">
            <v>0</v>
          </cell>
        </row>
        <row r="734">
          <cell r="B734" t="str">
            <v>a. Light point with ceiling rose Wiring with 1.5 Sqm.m PVC insulated single core multi strand fire retardant flexible copper cable with ISI mark confirming IS: 694:1990.( Ordinary)</v>
          </cell>
          <cell r="C734" t="str">
            <v>(a) Light point with ceiling rose</v>
          </cell>
          <cell r="D734">
            <v>1340</v>
          </cell>
        </row>
        <row r="735">
          <cell r="B735" t="str">
            <v>b. Light point without ceiling rose Wiring with 1.5 Sqm.m PVC insulated single core multi strand fire retardant flexible copper cable with ISI mark confirming IS: 694:1990.( Ordinary)</v>
          </cell>
          <cell r="C735" t="str">
            <v>(b) Light point without ceiling rose</v>
          </cell>
          <cell r="D735">
            <v>1344</v>
          </cell>
        </row>
        <row r="736">
          <cell r="B736" t="str">
            <v>c. Calling bell point with Buzzer/Calling bell Wiring with 1.5 Sqm.m PVC insulated single core multi strand fire retardant flexible copper cable with ISI mark confirming IS: 694:1990.( Ordinary)</v>
          </cell>
          <cell r="C736" t="str">
            <v>(c) Point wiring for calling bell/ buzzer with push type switch</v>
          </cell>
          <cell r="D736">
            <v>1372</v>
          </cell>
        </row>
        <row r="737">
          <cell r="B737" t="str">
            <v>Wiring with 1.5 Sqm.m PVC insulated single core multi strand fire retardant flexible copper cable with ISI mark confirming IS: 694:1990 for Fan point.</v>
          </cell>
          <cell r="C737" t="str">
            <v>Wiring with 1.5 Sqm.m pvc insulated single core multi strand fire retardant flexible copper cable with ISI mark conforming to IS:694/1990,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16g thick concealed and covered with 3mm thick laminated hylem sheet for FAN POINT controlled by 5 amps flush type switch including circuit mains, cost of all materials, specials, etc., all complete</v>
          </cell>
          <cell r="D737">
            <v>1398</v>
          </cell>
        </row>
        <row r="738">
          <cell r="B738" t="str">
            <v>Wiring with 1.5 Sqm.m PVC insulated single core multi strand fire retardant flexible copper cable with ISI mark confirming IS: 694:1990 for Staircase Light Point.</v>
          </cell>
          <cell r="C738" t="str">
            <v>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16g thick concealed and covered with 3mm thick laminated hylem sheet for staircase light point controlled by 5 amps flush type two way switch including circuit mains, cost of all materials, specials, etc., all complete.</v>
          </cell>
          <cell r="D738">
            <v>2506</v>
          </cell>
        </row>
        <row r="739">
          <cell r="B739" t="str">
            <v>Wiring with 1.5 Sqm.m PVC insulated single core multi strand fire retardant flexible copper cable with ISI mark confirming IS: 694:1990 for 5 amps 5 pin plug socket point @ Switch Board Itself.</v>
          </cell>
          <cell r="C739" t="str">
            <v>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is:694/1990,1.1.k.v. grade cable in fully concealed pvc rigid conduit pipe heavy duty with isi mark with suitable size ms box  of 16g thick concealed and covered with 3mm thick laminated hylem sheet  for 5 amps 5 pin plug socket point at SWITCH BOARD ITSELF including circuit  mains, cost of all materials, specials, etc., all complete</v>
          </cell>
          <cell r="D739">
            <v>688</v>
          </cell>
        </row>
        <row r="740">
          <cell r="B740" t="str">
            <v>Wiring with 1.5 Sqm.m PVC insulated single core multi strand fire retardant flexible copper cable with ISI mark confirming IS: 694:1990 for 5 amps 5 pin plug socket point @ Convenient Places.</v>
          </cell>
          <cell r="C740" t="str">
            <v>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 no (each) 16g thick concealed and covered with 3mm thick laminated hylem sheet for 5 amps 5 pin plug socket point at CONVENIENT PLACES including circuit mains, cost of all materials, specials, etc., all complete</v>
          </cell>
          <cell r="D740">
            <v>932</v>
          </cell>
        </row>
        <row r="741">
          <cell r="B741" t="str">
            <v>S &amp; F of Tube light fitting  (patty  type ) with Electronic ballast and 36 W slim tube light</v>
          </cell>
          <cell r="C741" t="str">
            <v>Supplying and fixing of patty type fluorescent tubular lamp with fitting of four feet long ordinary patti, electronic ballast, slim tube light of 36 watts and fixing the tube light fittings on teak wood round blocks of 75mm dia 40mm deep suspended from ceiling or mounted on the wall including cost of all materials and labour for fixing in position and as directed by the departmental officers. (the entire fittings should be got approved from the executive  engineer before use)</v>
          </cell>
          <cell r="D741">
            <v>0</v>
          </cell>
        </row>
        <row r="742">
          <cell r="B742" t="str">
            <v>Supply and delivery of  48" (1200 mm) Fan with ISI mark with Eletronic Dimmer</v>
          </cell>
          <cell r="C742" t="str">
            <v>Supplying and delivery of following electric ceiling fan with ISI mark with blades and double ball bearing, capacitor, etc., complete with 300mm down rod, canopies, capacitor, shackle blades with electronic dimmer suitable for operation on                                    230 volts 50 htz single phase ac supply conforming to ISS no.374/79 and provided with insulation. (the brand should be got approved from the executive engineer before supply made).</v>
          </cell>
          <cell r="D742">
            <v>1284</v>
          </cell>
        </row>
        <row r="743">
          <cell r="B743" t="str">
            <v>Run of 2 Wires of 4 Sqm.m PVC insulated single core multi strand fire retardant flexible copper cable with ISI mark confirming IS: 694:1990.</v>
          </cell>
          <cell r="C743" t="str">
            <v>Run off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v>
          </cell>
          <cell r="D743">
            <v>219</v>
          </cell>
        </row>
        <row r="744">
          <cell r="B744" t="str">
            <v>Run of 2 Wires of 1.5 Sqm.m PVC insulated single core multi strand fire retardant flexible copper cable with ISI mark confirming IS: 694:1990.</v>
          </cell>
          <cell r="C744" t="str">
            <v>Run off main with 2 wires of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is:694/1990, 1.1. k.v. grade cable in fully concealed 19mm/20mm dia rigid pvc conduit pipe heavy duty with isi mark cost of all materials, specials etc., all complete.</v>
          </cell>
          <cell r="D744">
            <v>172</v>
          </cell>
        </row>
        <row r="745">
          <cell r="B745" t="str">
            <v>Run of 2 Wires of 2.5 Sqm.m PVC insulated single core multi strand fire retardant flexible copper cable with ISI mark confirming IS: 694:1990</v>
          </cell>
          <cell r="C745" t="str">
            <v>Run off main with 2 wires of 2.5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19/20mm dia rigid pvc conduit pipe with isi mark etc. including cost of all materials, specials etc. all complete and as directed by the departmental officers.</v>
          </cell>
          <cell r="D745">
            <v>187</v>
          </cell>
        </row>
        <row r="746">
          <cell r="B746" t="str">
            <v>Run of 2 wires of 4 Sqm.m</v>
          </cell>
          <cell r="C746" t="str">
            <v>Run off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v>
          </cell>
          <cell r="D746">
            <v>219</v>
          </cell>
        </row>
        <row r="747">
          <cell r="B747" t="str">
            <v>4 x 4  Sq mm copper PVC insulated unsheathed single core cable for 3 phase EB service connection</v>
          </cell>
          <cell r="C747">
            <v>0</v>
          </cell>
          <cell r="D747">
            <v>220.99555555555554</v>
          </cell>
        </row>
        <row r="748">
          <cell r="B748" t="str">
            <v xml:space="preserve">Run of 4 Wires of 6 Sqm.m PVC insulated single core multi strand </v>
          </cell>
          <cell r="C748" t="str">
            <v xml:space="preserve">Run of 4 Wires of 6 Sqm.m PVC insulated single core multi strand </v>
          </cell>
          <cell r="D748">
            <v>403.00111111111107</v>
          </cell>
        </row>
        <row r="749">
          <cell r="B749" t="str">
            <v xml:space="preserve">Run of 4 Wires of 10 Sqm.m PVC insulated single core multi strand </v>
          </cell>
          <cell r="C749" t="str">
            <v xml:space="preserve">Run of 4 Wires of 10 Sqm.m PVC insulated single core multi strand </v>
          </cell>
          <cell r="D749">
            <v>518.00111111111107</v>
          </cell>
        </row>
        <row r="750">
          <cell r="B750" t="str">
            <v>S &amp; F of Exsaust Fan 225mm dia</v>
          </cell>
          <cell r="C750"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D750">
            <v>1768</v>
          </cell>
        </row>
        <row r="751">
          <cell r="B751" t="str">
            <v>Compact Fluoresent Lamp (CFL)</v>
          </cell>
          <cell r="C751">
            <v>0</v>
          </cell>
          <cell r="D751">
            <v>0</v>
          </cell>
        </row>
        <row r="752">
          <cell r="B752" t="str">
            <v>a. 14W bulb for Bath &amp; WC</v>
          </cell>
          <cell r="C752">
            <v>0</v>
          </cell>
          <cell r="D752">
            <v>130</v>
          </cell>
        </row>
        <row r="753">
          <cell r="B753" t="str">
            <v>b. 18w bulb for Bulk Head fittings</v>
          </cell>
          <cell r="C753">
            <v>0</v>
          </cell>
          <cell r="D753">
            <v>170</v>
          </cell>
        </row>
        <row r="754">
          <cell r="B754" t="str">
            <v>S &amp; F of Bulk head fitting suitable for CFL</v>
          </cell>
          <cell r="C754">
            <v>0</v>
          </cell>
          <cell r="D754">
            <v>443</v>
          </cell>
        </row>
        <row r="755">
          <cell r="B755" t="str">
            <v>Rain water harvesting using defunct borewell and providing perforated cover slab</v>
          </cell>
          <cell r="C755" t="str">
            <v>Rain water harvesting using defunct borewell and providing perforated cover slab</v>
          </cell>
          <cell r="D755">
            <v>0</v>
          </cell>
        </row>
        <row r="756">
          <cell r="B756" t="str">
            <v>a). Providing pit Rain water harvesting using defunct borewell and providing perforated cover slab</v>
          </cell>
          <cell r="C756" t="str">
            <v>Earth work excavation for providing Rain water Harvesting Pit of 1m dia and 600mm depth and filling the pit with 40mm stone jelly to a depth of 300mm from the top of the augering portion and filling with filling  sand to a depth of 300mm over the stone jelly and covered with the precast rcc perforated slab of 40mm thick excluding the cost and fabrication of reinforcement grills but including precasting, moulding, curing, finishing and fixing in position etc., all complete and as directed  by the departmental officers.</v>
          </cell>
          <cell r="D756">
            <v>1780.972</v>
          </cell>
        </row>
        <row r="757">
          <cell r="B757" t="str">
            <v>b) Augering 30cm dia Rain water harvesting using defunct borewell and providing perforated cover slab</v>
          </cell>
          <cell r="C757" t="str">
            <v>Augering 30cm dia bore hole in all soils and sub soils required depth to providing rain water harvesting from the centre of the rain water harvesting pit already excavated and filling the auguering portion with 40mm size stone jelly etc., all complete and as directed  by the departmental officers.</v>
          </cell>
          <cell r="D757">
            <v>398.30968688524592</v>
          </cell>
        </row>
        <row r="758">
          <cell r="B758" t="str">
            <v>S&amp;F of M.S. Angle of size 35x35x5mm for staircase steps</v>
          </cell>
          <cell r="C758">
            <v>0</v>
          </cell>
          <cell r="D758">
            <v>216.58</v>
          </cell>
        </row>
        <row r="759">
          <cell r="B759" t="str">
            <v>S&amp;F of Bevelled edge mirror 500 x 400 x 5.5mm</v>
          </cell>
          <cell r="C759" t="str">
            <v>Supplying &amp; fixing of bevelled edge mirror of approved quality and brand of size 500x400x5.5mm  shelf type mounted in the pvc/fibre glass framed with necessary hard board backing including labour for fixing in position etc., complete and as directed by the departmental officers.</v>
          </cell>
          <cell r="D759">
            <v>375.7</v>
          </cell>
        </row>
        <row r="760">
          <cell r="B760" t="str">
            <v>S&amp;F of Cuddapah sink 600 x 600 x 200mm</v>
          </cell>
          <cell r="C760" t="str">
            <v>Supply, delivery and fixing of cuddappah slab sink of size 600mmx600mmx200mm thick 32mm dia ‘B’ class GI. waste water pipe and 32 mm dia CP. waste coupling (sample should be got approved by the executive engineer before use) true to spirit level including finishing neatly, and fixing in position complying with relevant standard specifications etc., complete in all floors.</v>
          </cell>
          <cell r="D760">
            <v>1000</v>
          </cell>
        </row>
        <row r="761">
          <cell r="B761" t="str">
            <v>Providing nosing to the edges of Granite slab</v>
          </cell>
          <cell r="C761" t="str">
            <v xml:space="preserve">providing Single  nosing to the edges of cuddapah,Granite  slab including labour, power consumption, tools &amp; plants required, true to horizontal etc., for kitchen platform in all floors and as directed by the departmental officers. </v>
          </cell>
          <cell r="D761">
            <v>191.9</v>
          </cell>
        </row>
        <row r="762">
          <cell r="B762" t="str">
            <v>providing Double nosing to the edges o</v>
          </cell>
          <cell r="C762" t="str">
            <v xml:space="preserve">providing Double nosing to the edges of cuddapah,Granite  slab including labour, power consumption, tools &amp; plants required, true to horizontal etc., for kitchen platform in all floors and as directed by the departmental officers. </v>
          </cell>
          <cell r="D762">
            <v>363</v>
          </cell>
        </row>
        <row r="763">
          <cell r="B763" t="str">
            <v>Supply and fixing of PVC water supply (ASTM)a.50mm dia</v>
          </cell>
          <cell r="C763">
            <v>0</v>
          </cell>
          <cell r="D763">
            <v>256.5</v>
          </cell>
        </row>
        <row r="764">
          <cell r="B764" t="str">
            <v>S&amp;F of PVC flushing cistern</v>
          </cell>
          <cell r="C764" t="str">
            <v>supplying and fixing of 10 litre capacity handle type pvc low level flushing tank (cistern - wall mounting type) of superior variety (white) with all fittings inclusive of cost of all materials, labour charges for fixing in position in appropriate level (suitable for iwc) as directed by the departmental officers and as per relevant standard specifications (the colour quality and brand should be got approved from the executive engineer before use)</v>
          </cell>
          <cell r="D764">
            <v>1460.7249999999999</v>
          </cell>
        </row>
        <row r="765">
          <cell r="B765" t="str">
            <v>S&amp;F of cloth drying arrangement</v>
          </cell>
          <cell r="C765" t="str">
            <v>Providing cloth drying arrangements using 32mm dia GI pipe post with MS angle , Clamps&amp; fixure hooks and labour charges for fixing of GI Pipe &amp; screws etc., all complete and as directed by the departmental officers</v>
          </cell>
          <cell r="D765">
            <v>722.17</v>
          </cell>
        </row>
        <row r="766">
          <cell r="B766" t="str">
            <v>Anticorrosive treatment for window grills</v>
          </cell>
          <cell r="C766">
            <v>0</v>
          </cell>
          <cell r="D766">
            <v>2489.63</v>
          </cell>
        </row>
        <row r="767">
          <cell r="B767" t="str">
            <v>Supplying and fixing of 32 AMPS Triple pole main switch</v>
          </cell>
          <cell r="C767" t="str">
            <v xml:space="preserve">supplying and fixing of 32 amps triple pole main switch with fuse and neutral link on a suitable well varnished teak wood board including necessary inter connection cost of all materials etc., all complete and as directed by the departmental officers. </v>
          </cell>
          <cell r="D767">
            <v>2007.0033333333336</v>
          </cell>
        </row>
        <row r="768">
          <cell r="B768" t="str">
            <v>450 x 375 x 20 mm   thick TW plank</v>
          </cell>
          <cell r="C768" t="str">
            <v>Supplying and fixing of 1 no of 450x375x20mm thick tw plank well varnished with 3 nos. of 32 amps 250 volts grade parceling fuse unit and 1 no. copper earth plate of suitable size bolts and nuts on wall for eb service connections including cost of all materials etc., all complete</v>
          </cell>
          <cell r="D768">
            <v>165</v>
          </cell>
        </row>
        <row r="769">
          <cell r="B769" t="str">
            <v>3 Nos.of 32Amps - Fuse Unit</v>
          </cell>
          <cell r="C769" t="str">
            <v>Supplying and fixing 3 Nos of 32amps 500 volts grade porcelain fuse unit on suitable teakwood plank varnished to be fixed on the top of pole eb street pole with necessary clamps including cost of all materials etc., all complete.</v>
          </cell>
          <cell r="D769">
            <v>724.99</v>
          </cell>
        </row>
        <row r="770">
          <cell r="B770" t="str">
            <v>1 Nos.of 32Amps - Fuse Unit</v>
          </cell>
          <cell r="C770" t="str">
            <v>Supplying and fixing 1 Nos of 32 amps 500 volts grade porcelain fuse unit on suitable teakwood plank varnished to be fixed on the top of pole eb street pole with necessary clamps including cost of all materials etc., all complete.</v>
          </cell>
          <cell r="D770">
            <v>466.0025</v>
          </cell>
        </row>
        <row r="771">
          <cell r="B771" t="str">
            <v>Supplying and delivery of Three phase ELCB/RCCB</v>
          </cell>
          <cell r="C771" t="str">
            <v>Supplying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 suitable sheet steel enclosure confirming to is 12640/1988 including cost of ELCB/RCCB on fully concealed suitable M.S box with necessary inter connections and earth connections using copper cable including cost of all materials etc., all complete</v>
          </cell>
          <cell r="D771">
            <v>2870</v>
          </cell>
        </row>
        <row r="772">
          <cell r="B772" t="str">
            <v>Supply of G.I pipe 40mm dia 'B' Class</v>
          </cell>
          <cell r="C772" t="str">
            <v>Supply of GI pipe of 40mm dia ‘B’ class for eb service connection (Single phase) for passing through from top of house to the EB board.</v>
          </cell>
          <cell r="D772">
            <v>228.92559333333335</v>
          </cell>
        </row>
        <row r="773">
          <cell r="B773" t="str">
            <v>Plastic Emulsion PAINT including primer for outer walls</v>
          </cell>
          <cell r="C773" t="str">
            <v>Painting the new walls with two coats of approved best ready mixed plastic emulsion paint in addition to one coat of approved primer coat over cement plastered wall surfaces and ceiling including cost of plastic emulsion paint, putty, brushers etc., all complete and as directed by the departmental officers (the emulsion paint and its shade should be got approved from the executive engineer before using)</v>
          </cell>
          <cell r="D773">
            <v>197.07259999999999</v>
          </cell>
        </row>
        <row r="774">
          <cell r="B774" t="str">
            <v xml:space="preserve">Two coat of OBD over Two coat white cement for inner walls </v>
          </cell>
          <cell r="C774" t="str">
            <v>Painting the new walls with two coats of Oil Bound Distemper over the existing primer coat of white cement of approved brand over new cement plastered wall surfaces including cost of paints, putty, brushes, watering, curing, etc., all complete as directed by the departmental officers (paints and its shade shall be got approved from the executive engineer before use)</v>
          </cell>
          <cell r="D774">
            <v>103.21210000000001</v>
          </cell>
        </row>
        <row r="775">
          <cell r="B775" t="str">
            <v>4 x 4  Sq mm copper PVC insulated unsheathed single core cable for 3 phase EB service connection</v>
          </cell>
          <cell r="C775" t="str">
            <v>Run off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v>
          </cell>
          <cell r="D775">
            <v>220.99555555555554</v>
          </cell>
        </row>
        <row r="776">
          <cell r="B776" t="str">
            <v>Supplying and fixing of Three phase ELCB</v>
          </cell>
          <cell r="C776" t="str">
            <v>Supplying and fixing 1 Nos of 32 amps 500 volts grade porcelain fuse unit on suitable teakwood plank varnished to be fixed on the top of pole eb street pole with necessary clamps including cost of all materials etc., all complete.</v>
          </cell>
          <cell r="D776">
            <v>2870</v>
          </cell>
        </row>
        <row r="777">
          <cell r="B777" t="str">
            <v xml:space="preserve">S&amp;F of stainless steel sink 600mm x 450mm x 200mm </v>
          </cell>
          <cell r="C777" t="str">
            <v>Supplying, delivery and fixing of stainless steel sink of size 600mm x 450mm x 200mm thick 32mm dia ‘b’ class g.i. waste water pipe and 32 mm dia c.p. waste coupling (sample should be got approved from the executive engineer before use) true to spirit level including finishing neatly, and fixing in position complying with relevant standard specifications etc., complete in all floors.</v>
          </cell>
          <cell r="D777">
            <v>7000</v>
          </cell>
        </row>
        <row r="778">
          <cell r="B778" t="str">
            <v xml:space="preserve">Providing PVC Tee with end cap </v>
          </cell>
          <cell r="C778" t="str">
            <v>supplying and fixing of pvc tee with end cap of 32mm dia and coupling of best approved quality with isi mark to the sink and wash basin instead of bottle trap etc., complete complying with relevant standard specifications and as directed by the departmental officers. (the brand and quality of pvc specials should be got approved from the executive engineer before use)</v>
          </cell>
          <cell r="D778">
            <v>113.91375000000001</v>
          </cell>
        </row>
        <row r="779">
          <cell r="B779" t="str">
            <v>Granite Tiles flooring (Ruby red)</v>
          </cell>
          <cell r="C779" t="str">
            <v>supplying and laying of granite tile flooring (super fine polished with machine cut edges of size 2’ x 1’, 10mm thick (ruby red/ raw silk) using grout joint) over cement plastering in cm 1:3 (one of cement and three of sand 20mm thick including fixing in position, cutting the tiles to the required size wherever necessary pointing the joints with grout, curing, finishing etc., all complete and as directed by the departmental officers.</v>
          </cell>
          <cell r="D779">
            <v>1446.31915</v>
          </cell>
        </row>
        <row r="780">
          <cell r="B780" t="str">
            <v>Providing wooden Melamine polish for new wood work</v>
          </cell>
          <cell r="C780" t="str">
            <v xml:space="preserve">Providing wooden melamen polish for main door new wood by removing by blade scrapping the existing dirt from the wooden surface sand paper with m50 and repeat m80 paper to get a smooth surface leaves atleast 4hrs drying sand  paper and prepare surface by m100 and clear the surface apply one coat of touch wood stainer by brush and leaves for two hrs. for drying prepare the  surface by m100 sand paper and apply one coat of ash sanding sealer mixed with approved quality thinner after drying apply one coat of sanding sealer and attend the surface to get thoroughly dired smoother surface with no.220 water emery wood cleaner fill the holes and dots by putty and packing to get the surface clean apply surface by wax emery no.220 apply first coat of melamen sealer with the thinner for preparing the surface and apply second coat of the same by dry </v>
          </cell>
          <cell r="D780">
            <v>1244.1356261022927</v>
          </cell>
        </row>
        <row r="781">
          <cell r="B781" t="str">
            <v>Supplying and fixing of staineless steel hand rails</v>
          </cell>
          <cell r="C781" t="str">
            <v>Manufacturing, Supplying and Fixing of Stainless Steel Hand rails for staircase using 50mm dia 304L Grade Stainless Steel pipe of 1.60mm thick at required locations to a height of 900mm from finished floor level welded to 38mm dia Stainless Steel pipe post of 1.00mm thick as vertical at 900mm centre with 2 Nos. of 25mm dia intermediate horizontal stainless steel pipe of 1.60mm thick in between.The vertical pipe has to be welded to the 100 X 100 X 6mmMS base plate encased in the base concrete. The rate is inclusive of the charges for cutting, bending, welding, grinding, polishing, conveyance, electrical charges, etc.complete .SR.P.63 Item.239</v>
          </cell>
          <cell r="D781">
            <v>5428</v>
          </cell>
        </row>
        <row r="782">
          <cell r="B782" t="str">
            <v>Vitrified Tiles flooring (ivory)</v>
          </cell>
          <cell r="C782" t="str">
            <v>Supplying and fixing of coloured marbonite vetrified tiles flooring Iivory colour) 600mmx600mmx8mm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v>
          </cell>
          <cell r="D782">
            <v>1111.61915</v>
          </cell>
        </row>
        <row r="783">
          <cell r="B783" t="str">
            <v>Vitrified Tiles flooring ( colour)</v>
          </cell>
          <cell r="C783" t="str">
            <v>Supplying and fixing of coloured Stain free Nano polish vetrified tiles flooring 600mmx600mmx8mm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v>
          </cell>
          <cell r="D783">
            <v>1293.32</v>
          </cell>
        </row>
        <row r="784">
          <cell r="B784" t="str">
            <v>Antiskid Vitrified Flooring with 1st Quality homogeneous tiles</v>
          </cell>
          <cell r="C784" t="str">
            <v>Supplying and fixing of Antiskid Vitrified Flooring with 1st Quality homogeneous tiles 600mmx600mmx8mm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v>
          </cell>
          <cell r="D784">
            <v>1293.32</v>
          </cell>
        </row>
        <row r="785">
          <cell r="B785" t="str">
            <v>Providing rajasthan kota stone of 20mm thick in C.M 1:3</v>
          </cell>
          <cell r="C785" t="str">
            <v>Supplying and fixing of rajasthan kota stone of 20mm thick for flooring and other similar works (best approved quality colour and shade shall be got approved from the executive engineer before using) over cement mortar 1:3 (one of cement and three of sand) 20mm thick including fixing in position cutting the tiles to the required size wherever necessary pointing the joints with grout curing finishing etc., all complete and as directed by the departmental officers.</v>
          </cell>
          <cell r="D785">
            <v>1448.6249</v>
          </cell>
        </row>
        <row r="786">
          <cell r="B786" t="str">
            <v>Concrete designer tiles flooring</v>
          </cell>
          <cell r="C786" t="str">
            <v>Supplying and laying concrete tiles superior variety such as (Hindustan/Eurocon tiles etc.) for flooring in CM 1:3 (one of cement and three of sand) 20mm thick, including fixing in position, cutting the tiles to the required size wherever necessary, pointing the joints with colour cement, finishing, curing etc., complete and as directed by the departmental officers. (the brand quality of tiles should be got approved from the executive engineer before use).</v>
          </cell>
          <cell r="D786">
            <v>1287.4591500000001</v>
          </cell>
        </row>
        <row r="787">
          <cell r="B787" t="str">
            <v xml:space="preserve">Eurocon Tiles flooring </v>
          </cell>
          <cell r="C787" t="str">
            <v>Supplying and laying concrete tiles superior variety such as (Hindustan/Eurocon tiles etc.) for flooring in CM 1:3 (one of cement and three of sand) 20mm thick, including fixing in position, cutting the tiles to the required size wherever necessary, pointing the joints with colour cement, finishing, curing etc., complete and as directed by the departmental officers. (the brand quality of tiles should be got approved from the executive engineer before use).</v>
          </cell>
          <cell r="D787">
            <v>1287.4591500000001</v>
          </cell>
        </row>
        <row r="788">
          <cell r="B788" t="str">
            <v>Supplying and fixing of Aluminium sliding window</v>
          </cell>
          <cell r="C788" t="str">
            <v xml:space="preserve">supplying, fabricating fixing in position of aluminium anodized natural colour matt finish sliding windows in all floors with sliding arrangements and gutter arrangements so as to drain the water entering and made with aluminium extruded section of following sizes with necessary accessories such as rubber beedings, lock, handle and fixing 4mm thick plain glass including cost of materials and labour and power consumption required for fabrication, drilling holes with power drill etc., complete. the aluminium frame is to be anodized with matt finish for an average anodic film thickness of not less than 15 microns under electrically controlled condition in accordance with isi 1868 / 1962. the materials should be got approved before use. for three track sliding window frame gutter section 92.34x39.0x1.5mm at 1.637kg/m  side top and </v>
          </cell>
          <cell r="D788">
            <v>0</v>
          </cell>
        </row>
        <row r="789">
          <cell r="B789" t="str">
            <v>a. 1.20x1.35m (Two track )</v>
          </cell>
          <cell r="C789" t="str">
            <v>a. 1.20x1.35m (Two track )</v>
          </cell>
          <cell r="D789">
            <v>3584</v>
          </cell>
        </row>
        <row r="790">
          <cell r="B790" t="str">
            <v>b. 2.40x1.80m (Two track)</v>
          </cell>
          <cell r="C790" t="str">
            <v>b. 2.40x1.80m (Two track)</v>
          </cell>
          <cell r="D790">
            <v>3873</v>
          </cell>
        </row>
        <row r="791">
          <cell r="B791" t="str">
            <v>c. 2.40x1.05m (Two track)</v>
          </cell>
          <cell r="C791" t="str">
            <v>c. 2.40x1.05m (Two track)</v>
          </cell>
          <cell r="D791">
            <v>0</v>
          </cell>
        </row>
        <row r="792">
          <cell r="B792" t="str">
            <v>d. 0.90x1.35m (Two track)</v>
          </cell>
          <cell r="C792" t="str">
            <v>d. 0.90x1.35m (Two track)</v>
          </cell>
          <cell r="D792">
            <v>0</v>
          </cell>
        </row>
        <row r="793">
          <cell r="B793" t="str">
            <v>supplying and fixing of colour matt finish floor tiles of size 12"x12" ( for officers)</v>
          </cell>
          <cell r="C793">
            <v>0</v>
          </cell>
          <cell r="D793">
            <v>1228.5291499999998</v>
          </cell>
        </row>
        <row r="794">
          <cell r="B794" t="str">
            <v>supplying and fixing of colour matt finish floor tiles of size 12"x12" ( for wall tiles)</v>
          </cell>
          <cell r="C794">
            <v>0</v>
          </cell>
          <cell r="D794">
            <v>2727.3370967741939</v>
          </cell>
        </row>
        <row r="795">
          <cell r="B795" t="str">
            <v>S &amp; F of wall panelling DPO ARIYALUR</v>
          </cell>
          <cell r="C795" t="str">
            <v>Providing and fixing of Wall Paneling with Aluminium frameof size 2"x1" at 2' clc bolh ways anc fixed into wall with proper inserts and it should be fixed with 6mm thick ISI mark commercial Plywood or MDF over Aluminium frame with including cost and conveyance of all materials including labour charges etc complete and as directed by thedepartmental offrcers (The brand and quality of material should be got approved from the Execulive Engineer before use)</v>
          </cell>
          <cell r="D795">
            <v>3282</v>
          </cell>
        </row>
        <row r="796">
          <cell r="B796" t="str">
            <v>Supply of material and lab ourfor Mineralfbre 600mmx600mm Grid false ceiling work</v>
          </cell>
          <cell r="C796">
            <v>0</v>
          </cell>
          <cell r="D796">
            <v>915.02</v>
          </cell>
        </row>
        <row r="797">
          <cell r="B797" t="str">
            <v>Supplying, fabricating, erecting and fixing  Gyp board false ceiling using perforated sheet 10mm thk</v>
          </cell>
          <cell r="C797" t="str">
            <v xml:space="preserve">Providing and fixing in position of 10mm thick gyp board false ceiling using GI perimeter channel of size 0.55mm thick (having one flange of 20mm thick another flange of 30mm and web of 27mm) along with perimeter of ceiling, screws, fixing brick wall/partition/ rcc work with the help of nylon sleeves and screws at 610mm centre to centre. then suspending gi intermediate channels of 45mm (0.90mm thick with two flanges of 15mm each) from the soffits at 1220mm centre to centre with ceiling angle of width 25x10x0.55mm thick fixed to soffits with gi cleat and steel expansion fasteners ceiling section of size of 0.55mm thick having knurled web of 51.50mm and two flanges of 26mm each with lips of 10.50mm are fixed to the intermediate channel with the help of connecting clips in direction perpendicular to the intermediate channel at 457mm  </v>
          </cell>
          <cell r="D797">
            <v>976</v>
          </cell>
        </row>
        <row r="798">
          <cell r="B798" t="str">
            <v>Supplying and fixing of 100mm dia GI pipe</v>
          </cell>
          <cell r="C798">
            <v>0</v>
          </cell>
          <cell r="D798">
            <v>905</v>
          </cell>
        </row>
        <row r="799">
          <cell r="B799" t="str">
            <v>Supplying and fixing of Geyser (Data -SD 103)</v>
          </cell>
          <cell r="C799">
            <v>0</v>
          </cell>
          <cell r="D799">
            <v>8467.2999999999993</v>
          </cell>
        </row>
        <row r="800">
          <cell r="B800" t="str">
            <v>Supplying and fixing of  CP wall mixer two in one (without telephone shower) including cost of all materials and all labour charges etc complete.CER No.178/13-14</v>
          </cell>
          <cell r="C800">
            <v>0</v>
          </cell>
          <cell r="D800">
            <v>3409</v>
          </cell>
        </row>
        <row r="801">
          <cell r="B801" t="str">
            <v>Supplying and fixing of shower arm 9" long including cost of all materials and all labour charges etc. complete  CER No.178/13-14</v>
          </cell>
          <cell r="C801">
            <v>0</v>
          </cell>
          <cell r="D801">
            <v>469.42</v>
          </cell>
        </row>
        <row r="802">
          <cell r="B802" t="str">
            <v>Providing shahabad stone grey colour of 20mm thick in C.M 1:3</v>
          </cell>
          <cell r="C802" t="str">
            <v>Providing shahabad stone grey colour of 20mm thick in C.M 1:3</v>
          </cell>
          <cell r="D802">
            <v>1276.4249</v>
          </cell>
        </row>
        <row r="803">
          <cell r="B803" t="str">
            <v>a.100mm  GM Gate valves</v>
          </cell>
          <cell r="C803" t="str">
            <v xml:space="preserve">Supplying and delivery of 100mm dia GM Gate valve including cost of all materials and labour charges all complete complying with relevant standard specifications and as directed by the departmental officers </v>
          </cell>
          <cell r="D803">
            <v>5640</v>
          </cell>
        </row>
        <row r="804">
          <cell r="B804" t="str">
            <v>b.50mm GM Gate valves</v>
          </cell>
          <cell r="C804" t="str">
            <v xml:space="preserve">Supplying and delivery of 50mm dia GM Gate valve including cost of all materials and labour charges all complete complying with relevant standard specifications and as directed by the departmental officers </v>
          </cell>
          <cell r="D804">
            <v>1340</v>
          </cell>
        </row>
        <row r="805">
          <cell r="B805" t="str">
            <v>c.32mm GM Gate valves</v>
          </cell>
          <cell r="C805" t="str">
            <v xml:space="preserve">Supplying and delivery of 32mm dia GM Gate valve including cost of all materials and labour charges all complete complying with relevant standard specifications and as directed by the departmental officers </v>
          </cell>
          <cell r="D805">
            <v>604</v>
          </cell>
        </row>
        <row r="806">
          <cell r="B806" t="str">
            <v>Wiring with 1.5 Sqm.m PVC insulated single core multi strand fire retardant flexible copper cable with ISI mark confirming IS: 694:1990. (Modular)</v>
          </cell>
          <cell r="C806">
            <v>0</v>
          </cell>
          <cell r="D806">
            <v>0</v>
          </cell>
        </row>
        <row r="807">
          <cell r="B807" t="str">
            <v>a. Light point with ceiling rose</v>
          </cell>
          <cell r="C807">
            <v>0</v>
          </cell>
          <cell r="D807">
            <v>1000.51</v>
          </cell>
        </row>
        <row r="808">
          <cell r="B808" t="str">
            <v>b. Light point without ceiling rose</v>
          </cell>
          <cell r="C808">
            <v>0</v>
          </cell>
          <cell r="D808">
            <v>1003.51</v>
          </cell>
        </row>
        <row r="809">
          <cell r="B809" t="str">
            <v>Wiring with 1.5 Sqm.m PVC insulated single core multi strand fire retardant flexible copper cable with ISI mark confirming IS: 694:1990 for 5 amps 5 pin Modular plug socket point @ Convenient Places.</v>
          </cell>
          <cell r="C809">
            <v>0</v>
          </cell>
          <cell r="D809">
            <v>769.3</v>
          </cell>
        </row>
        <row r="810">
          <cell r="B810" t="str">
            <v>Wiring with 1.5 Sqm.m PVC insulated single core multi strand fire retardant flexible copper cable with ISI mark confirming IS: 694:1990 for 5 amps 5 pin Modular plug socket point @ Switch Board Itself.</v>
          </cell>
          <cell r="C810">
            <v>0</v>
          </cell>
          <cell r="D810">
            <v>536.54999999999995</v>
          </cell>
        </row>
        <row r="811">
          <cell r="B811" t="str">
            <v>Supplying and laying of 3.5 core 70 sq.mm PVC armoured LTUG cable (below GL)</v>
          </cell>
          <cell r="C811">
            <v>0</v>
          </cell>
          <cell r="D811">
            <v>627.4</v>
          </cell>
        </row>
        <row r="812">
          <cell r="B812" t="str">
            <v>S&amp;F 3.5 X 70mm LTUG CABLE Above GL</v>
          </cell>
          <cell r="C812">
            <v>0</v>
          </cell>
          <cell r="D812">
            <v>435</v>
          </cell>
        </row>
        <row r="813">
          <cell r="B813" t="str">
            <v>S&amp;F 3.5 X 35mm LTUG CABLE Above GL</v>
          </cell>
          <cell r="C813">
            <v>0</v>
          </cell>
          <cell r="D813">
            <v>356</v>
          </cell>
        </row>
        <row r="814">
          <cell r="B814" t="str">
            <v>S&amp;F 3.5 X 25mm LTUG CABLE Above GL</v>
          </cell>
          <cell r="C814">
            <v>0</v>
          </cell>
          <cell r="D814">
            <v>317</v>
          </cell>
        </row>
        <row r="815">
          <cell r="B815" t="str">
            <v>S&amp;F 2X6 Sq.mm LTUG CABLE</v>
          </cell>
          <cell r="C815">
            <v>0</v>
          </cell>
          <cell r="D815">
            <v>176.84</v>
          </cell>
        </row>
        <row r="816">
          <cell r="B816" t="str">
            <v>Supplying and fixing of brass cable gland suitable for 3.5 core 70 Sqm.m PVC armoured LTUG cable  SD 189</v>
          </cell>
          <cell r="C816">
            <v>0</v>
          </cell>
          <cell r="D816">
            <v>293.25</v>
          </cell>
        </row>
        <row r="817">
          <cell r="B817" t="str">
            <v>Supply and fixing of Aluminium openable window with 4mm thick Glass with 'I' max hinges of not less than 3mm thick, 304 grade</v>
          </cell>
          <cell r="C817">
            <v>0</v>
          </cell>
          <cell r="D817">
            <v>0</v>
          </cell>
        </row>
        <row r="818">
          <cell r="B818" t="str">
            <v>FW 1.80 x 1.65 m ( Eight Leaves)</v>
          </cell>
          <cell r="C818">
            <v>0</v>
          </cell>
          <cell r="D818">
            <v>5345.5905723905726</v>
          </cell>
        </row>
        <row r="819">
          <cell r="B819" t="str">
            <v>1.80 x 1.35 mt.window (Three leaves)</v>
          </cell>
          <cell r="C819">
            <v>0</v>
          </cell>
          <cell r="D819">
            <v>4896.412345679013</v>
          </cell>
        </row>
        <row r="820">
          <cell r="B820" t="str">
            <v>KW 1.20 x 1.05 m (Two leaves)</v>
          </cell>
          <cell r="C820">
            <v>0</v>
          </cell>
          <cell r="D820">
            <v>4548.7320987654321</v>
          </cell>
        </row>
        <row r="821">
          <cell r="B821" t="str">
            <v>1.50 x 1.35 mt.window  (three leaves)</v>
          </cell>
          <cell r="C821">
            <v>0</v>
          </cell>
          <cell r="D821">
            <v>4910.1460317460314</v>
          </cell>
        </row>
        <row r="822">
          <cell r="B822" t="str">
            <v xml:space="preserve"> 0.75 x 1.35 mt.window  ( single leaf)</v>
          </cell>
          <cell r="C822">
            <v>0</v>
          </cell>
          <cell r="D822">
            <v>4255.0596248766042</v>
          </cell>
        </row>
        <row r="823">
          <cell r="B823" t="str">
            <v xml:space="preserve">Aluminium window openable 1.35x1.35m (Two leaves)Cochin House </v>
          </cell>
          <cell r="C823">
            <v>0</v>
          </cell>
          <cell r="D823">
            <v>4896.412345679013</v>
          </cell>
        </row>
        <row r="824">
          <cell r="B824" t="str">
            <v>Aluminium window openable 1.35x1.05m (Two leaves)</v>
          </cell>
          <cell r="C824">
            <v>0</v>
          </cell>
          <cell r="D824">
            <v>4317.5553483269341</v>
          </cell>
        </row>
        <row r="825">
          <cell r="B825" t="str">
            <v>Aluminium window openable 1.2x1.35m (Two leaves)</v>
          </cell>
          <cell r="C825">
            <v>0</v>
          </cell>
          <cell r="D825">
            <v>4548.7320987654321</v>
          </cell>
        </row>
        <row r="826">
          <cell r="B826" t="str">
            <v>Aluminium window openable 1.80 x 1.65 m =2.97m2 FRENCH WINDOW (Reference Data Nagapattinam AR - Ph-xix</v>
          </cell>
          <cell r="C826">
            <v>0</v>
          </cell>
          <cell r="D826">
            <v>4255.0596248766042</v>
          </cell>
        </row>
        <row r="827">
          <cell r="B827" t="str">
            <v>Supply and fixing of 100 amps TPN sheet double break switch with HRC fuse and neutral on suitable angle iron frame work with MS cable entry boxes and PWD earthing(SR-14-15(p-65)</v>
          </cell>
          <cell r="C827" t="str">
            <v>Supply and fixing of 100 Amps TPN sheet double break switch with HRC fuse and neutral on suitable angle iron framework with MS cable entry boxes and with PWD earthing including cost of all materials and labour charges, etc all complete as per relevant standard specification and as directed by the departmental officers. (The quality and brand should be got approved from the executive engineer before use)Electrical Data 2017-2018,SD-168</v>
          </cell>
          <cell r="D827">
            <v>6950</v>
          </cell>
        </row>
        <row r="828">
          <cell r="B828" t="str">
            <v>Supply and fixing of 200 amps fuse unit SRP-66</v>
          </cell>
          <cell r="C828" t="str">
            <v>Supplying and fixing 1 No 200 Amps 500 volts grade/well porcelin fuse unit on suitable teak wood plank to be fixed on the top of the pole / EB street poles with necessary clamps and including cost of all materials and labour charges, etc all complete as per relevant standard specification and as directed by the departmental officers. (the quality and brand should be got approved from the executive engineer before use)</v>
          </cell>
          <cell r="D828">
            <v>634</v>
          </cell>
        </row>
        <row r="829">
          <cell r="B829" t="str">
            <v>Supply and fixing of 200 amps TPN switch with HRC fuses sheet steel double breakSRP-65, 3 ©</v>
          </cell>
          <cell r="C829" t="str">
            <v>supplying and fixing of 200 amps tpn sheet steel double break switch with hrc fuses and neutral on suitable angle iron frame work with ms cable entry boxes and with earth connection only etc., all complete as per relevant standard specification and as directed by the departmental officers. (the quality and brand should be got approved from the executive engineer before use)</v>
          </cell>
          <cell r="D829">
            <v>9470</v>
          </cell>
        </row>
        <row r="830">
          <cell r="B830" t="str">
            <v>Supply and fixing of 250 amps cubical type panel board</v>
          </cell>
          <cell r="C830">
            <v>0</v>
          </cell>
          <cell r="D830">
            <v>123622</v>
          </cell>
        </row>
        <row r="831">
          <cell r="B831" t="str">
            <v xml:space="preserve">Supplying and fixing of  SS Soap Tray  including cost of all materials and all labour charges etc complete </v>
          </cell>
          <cell r="C831">
            <v>0</v>
          </cell>
          <cell r="D831">
            <v>704.75</v>
          </cell>
        </row>
        <row r="832">
          <cell r="B832" t="str">
            <v xml:space="preserve">Supplying and fixing of CP Angle valve Stop cock  including cost of all materials and all labour charges etc complete </v>
          </cell>
          <cell r="C832" t="str">
            <v>supplying and fixing of Angle value of best quality including cost of fittings with required specials, bends, labour for fixing etc, all complete and as directed by the departmental officers., (the quality and brand of fittings should be got approved from executive engineer before use).</v>
          </cell>
          <cell r="D832">
            <v>762</v>
          </cell>
        </row>
        <row r="833">
          <cell r="B833" t="str">
            <v>Supplying and fixing of 25x 3mm  Copper flat</v>
          </cell>
          <cell r="C833">
            <v>0</v>
          </cell>
          <cell r="D833">
            <v>473.5</v>
          </cell>
        </row>
        <row r="834">
          <cell r="B834" t="str">
            <v xml:space="preserve">Supply and fixing of Health faucet approved quality with ISI mark </v>
          </cell>
          <cell r="C834">
            <v>0</v>
          </cell>
          <cell r="D834">
            <v>952</v>
          </cell>
        </row>
        <row r="835">
          <cell r="B835" t="str">
            <v>S&amp;F TPN 12 way DB encloser (SR-p-80)</v>
          </cell>
          <cell r="C835">
            <v>0</v>
          </cell>
          <cell r="D835">
            <v>11481.8</v>
          </cell>
        </row>
        <row r="836">
          <cell r="B836" t="str">
            <v>S&amp;F TPN 8 way DB encloser CER No.178/2013-14</v>
          </cell>
          <cell r="C836" t="str">
            <v>Supplying and fixing of 1 no. three phase distribution board with 8 way per phase 30A / per way with neutral link on suitable well varnished teakwood plank including necessary inter connections and earth connections cost of all materials etc., all complete.</v>
          </cell>
          <cell r="D836">
            <v>5325.6</v>
          </cell>
        </row>
        <row r="837">
          <cell r="B837" t="str">
            <v>S&amp;F TPN 6 way DB encloserCER No.178/2013-14</v>
          </cell>
          <cell r="C837">
            <v>0</v>
          </cell>
          <cell r="D837">
            <v>8254.6</v>
          </cell>
        </row>
        <row r="838">
          <cell r="B838" t="str">
            <v>S&amp;F TPN 4 way DB encloserCER No.178/2013-14</v>
          </cell>
          <cell r="C838">
            <v>0</v>
          </cell>
          <cell r="D838">
            <v>6588</v>
          </cell>
        </row>
        <row r="839">
          <cell r="B839" t="str">
            <v>Supply and fixing of spot light of approved make and company with ISI CFL bulb  CER No.178/13-14</v>
          </cell>
          <cell r="C839">
            <v>0</v>
          </cell>
          <cell r="D839">
            <v>593</v>
          </cell>
        </row>
        <row r="840">
          <cell r="B840" t="str">
            <v>S&amp;F OF UPVC  Windows ( Non  Schedule item )</v>
          </cell>
          <cell r="C840" t="str">
            <v>Supplying and fixing UPVC (Un-Plasticized Polyvinyl Chloride) Windows of casement type (open) from the profile the size of outer frame 60mm x 58mm and shutter profile are reinforcement with GI/1mm 125GSM and 100% corrosion free, the profiles are multi chambered sections with wall thick of 2mm. The EPDM rubber (black colour) covered with over all the edges of frame and shutter the shutter will be provided with Espag multi power point locks and also it operates as handle. The corners and joints should be welded and cleaned. Radiations free pin headed plain or brown colour glass 4mm thick should be provided to the shutter and it should not allow leakage of water even at most ranging storms and should have key lockable action, security protective hinges, strong locking systems and as per size for arresting noise and energy loss. The connecting mechanism between sash and outer frame that enables opening of the window. The window should be fixed to the wall with 100% packing with screws and silicon packing all round the frames. The window should be got approved from the Executive Engineer before use on work</v>
          </cell>
          <cell r="D840">
            <v>6363</v>
          </cell>
        </row>
        <row r="841">
          <cell r="B841" t="str">
            <v>a) FW 900 X 2100</v>
          </cell>
          <cell r="C841" t="str">
            <v>a) FW 900 X 2100</v>
          </cell>
          <cell r="D841">
            <v>6363</v>
          </cell>
        </row>
        <row r="842">
          <cell r="B842" t="str">
            <v>b) W 1800 X 1650</v>
          </cell>
          <cell r="C842" t="str">
            <v>b) W 1800 X 1650</v>
          </cell>
          <cell r="D842">
            <v>6363</v>
          </cell>
        </row>
        <row r="843">
          <cell r="B843" t="str">
            <v>c) W1 1500 X 1650</v>
          </cell>
          <cell r="C843" t="str">
            <v>c) W1 1500 X 1650</v>
          </cell>
          <cell r="D843">
            <v>6363</v>
          </cell>
        </row>
        <row r="844">
          <cell r="B844" t="str">
            <v>d) W0 2400 X 1650</v>
          </cell>
          <cell r="C844" t="str">
            <v>d) W0 2400 X 1650</v>
          </cell>
          <cell r="D844">
            <v>6363</v>
          </cell>
        </row>
        <row r="845">
          <cell r="B845" t="str">
            <v>e) W2 1200 X 1650</v>
          </cell>
          <cell r="C845" t="str">
            <v>e) W2 1200 X 1650</v>
          </cell>
          <cell r="D845">
            <v>6363</v>
          </cell>
        </row>
        <row r="846">
          <cell r="B846">
            <v>0</v>
          </cell>
          <cell r="C846">
            <v>0</v>
          </cell>
          <cell r="D846">
            <v>0</v>
          </cell>
        </row>
        <row r="847">
          <cell r="B847" t="str">
            <v>g) FW1 4800 X 2300</v>
          </cell>
          <cell r="C847" t="str">
            <v>g) FW1 4800 X 2300</v>
          </cell>
          <cell r="D847">
            <v>6363</v>
          </cell>
        </row>
        <row r="848">
          <cell r="B848" t="str">
            <v>h) FW2 4200 X 2300</v>
          </cell>
          <cell r="C848" t="str">
            <v>h) FW2 4200 X 2300</v>
          </cell>
          <cell r="D848">
            <v>6363</v>
          </cell>
        </row>
        <row r="849">
          <cell r="B849" t="str">
            <v>S &amp; F of sodium vapour lamp with fitting 250watts</v>
          </cell>
          <cell r="C849">
            <v>0</v>
          </cell>
          <cell r="D849">
            <v>5654</v>
          </cell>
        </row>
        <row r="850">
          <cell r="B850" t="str">
            <v xml:space="preserve">Supplying and fixing in position of UPVC Ventilator louvered ventilator  type for all sizes </v>
          </cell>
          <cell r="C850" t="str">
            <v xml:space="preserve">0Supplying and fixing UPVC (Un-Plasticized Polyvinyl Chloride) Louvered Ventilators of from the profile the size of outer frame 60mm x 58mm and shutter profile size of 60 x 78mm both profiles are reinforced with GI/1mm 125GSM and 100% corrosion free, the profile are multi chambered 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 </v>
          </cell>
          <cell r="D850">
            <v>6893</v>
          </cell>
        </row>
        <row r="851">
          <cell r="B851" t="str">
            <v>Supplying and fixing in position of UPVC window of casement type( open) for all sizes Revised SR 2018-19 p-57 it-191</v>
          </cell>
          <cell r="C851">
            <v>0</v>
          </cell>
          <cell r="D851">
            <v>6363</v>
          </cell>
        </row>
        <row r="852">
          <cell r="B852" t="str">
            <v>Supply and fixing of colour wash basin oval shape CER No.178/2013-14</v>
          </cell>
          <cell r="C852">
            <v>0</v>
          </cell>
          <cell r="D852">
            <v>2286.4499999999998</v>
          </cell>
        </row>
        <row r="853">
          <cell r="B853" t="str">
            <v>Supplying and Fixing of Rolling shutters of all sizes (Gear Operated)(  from 8m2  to 12m2 )Annex-Vi-P-45   SR 18-19 item -102-A-b</v>
          </cell>
          <cell r="C853" t="str">
            <v xml:space="preserve">Supplying and Erecting Pull and Push Type Rolling Shutter with ISI make of approved size and section using 18 GI sheet. The shutter shall be painted with one coat of red oxide primer and the rate is inclusive of hood covers, transportation charges etc (Gear Operated Type (from 8 sqm. to 12 sqm. Area) </v>
          </cell>
          <cell r="D853">
            <v>2373</v>
          </cell>
        </row>
        <row r="854">
          <cell r="B854" t="str">
            <v>Supplying and fixing of solid core flush door shutter of thickness 35mm</v>
          </cell>
          <cell r="C854">
            <v>0</v>
          </cell>
          <cell r="D854">
            <v>0</v>
          </cell>
        </row>
        <row r="855">
          <cell r="B855" t="str">
            <v>a) door size 1.80 m x 2.40 (Double leaf)</v>
          </cell>
          <cell r="C855">
            <v>0</v>
          </cell>
          <cell r="D855">
            <v>2898.8633776091083</v>
          </cell>
        </row>
        <row r="856">
          <cell r="B856" t="str">
            <v>b) door size 1.80 m x 2.10 (Double leaf)</v>
          </cell>
          <cell r="C856">
            <v>0</v>
          </cell>
          <cell r="D856">
            <v>2964.0283224400878</v>
          </cell>
        </row>
        <row r="857">
          <cell r="B857" t="str">
            <v>c) door size 1.50 m x 2.40 (Double leaf)</v>
          </cell>
          <cell r="C857">
            <v>0</v>
          </cell>
          <cell r="D857">
            <v>3119.3812086021512</v>
          </cell>
        </row>
        <row r="858">
          <cell r="B858" t="str">
            <v>d).  door size 1.50 m x 2.100 (Double leaf)</v>
          </cell>
          <cell r="C858">
            <v>0</v>
          </cell>
          <cell r="D858">
            <v>3155.6725820105821</v>
          </cell>
        </row>
        <row r="859">
          <cell r="B859" t="str">
            <v>e). door size 1.200 m x 2.400 (double Leaf)</v>
          </cell>
          <cell r="C859">
            <v>0</v>
          </cell>
          <cell r="D859">
            <v>3205.0820580078125</v>
          </cell>
        </row>
        <row r="860">
          <cell r="B860" t="str">
            <v>f). door size 1.200m x 2.100 (Double leaf)</v>
          </cell>
          <cell r="C860">
            <v>0</v>
          </cell>
          <cell r="D860">
            <v>2762.6341189674522</v>
          </cell>
        </row>
        <row r="861">
          <cell r="B861" t="str">
            <v>g).  door size 1.000 m x 2.100 (Single Leaf)</v>
          </cell>
          <cell r="C861">
            <v>0</v>
          </cell>
          <cell r="D861">
            <v>2951.3909465020574</v>
          </cell>
        </row>
        <row r="862">
          <cell r="B862" t="str">
            <v>h).  door size 1.350 m x 2.100 (Single Leaf)</v>
          </cell>
          <cell r="C862" t="str">
            <v>h).  door size 1.350 m x 2.100 (Single Leaf)</v>
          </cell>
          <cell r="D862">
            <v>3239.2732918518518</v>
          </cell>
        </row>
        <row r="863">
          <cell r="B863" t="str">
            <v>i.  door size 0.900 m x 2.100 (Single Leaf)</v>
          </cell>
          <cell r="C863">
            <v>0</v>
          </cell>
          <cell r="D863">
            <v>3031.8648148148141</v>
          </cell>
        </row>
        <row r="864">
          <cell r="B864" t="str">
            <v>Providing  Double stage centering .</v>
          </cell>
          <cell r="C864">
            <v>0</v>
          </cell>
          <cell r="D864">
            <v>1878.72</v>
          </cell>
        </row>
        <row r="865">
          <cell r="B865" t="str">
            <v>S &amp; F of Granite tile of size 2'x 1', 10mm Thick For kitchen arrangements (jet black)</v>
          </cell>
          <cell r="C865">
            <v>0</v>
          </cell>
          <cell r="D865">
            <v>0</v>
          </cell>
        </row>
        <row r="866">
          <cell r="B866" t="str">
            <v>a. In Ground floor</v>
          </cell>
          <cell r="C866">
            <v>0</v>
          </cell>
          <cell r="D866">
            <v>1054.8557500000002</v>
          </cell>
        </row>
        <row r="867">
          <cell r="B867" t="str">
            <v>b. In First floor</v>
          </cell>
          <cell r="C867">
            <v>0</v>
          </cell>
          <cell r="D867">
            <v>1056.7142500000002</v>
          </cell>
        </row>
        <row r="868">
          <cell r="B868" t="str">
            <v>c. In Second floor</v>
          </cell>
          <cell r="C868" t="str">
            <v>(c) in first floor</v>
          </cell>
          <cell r="D868">
            <v>1058.5727500000003</v>
          </cell>
        </row>
        <row r="869">
          <cell r="B869" t="str">
            <v>c. In Third floor</v>
          </cell>
          <cell r="C869">
            <v>0</v>
          </cell>
          <cell r="D869">
            <v>1060.4312500000003</v>
          </cell>
        </row>
        <row r="870">
          <cell r="B870" t="str">
            <v>S &amp; F of Granite slab of size 4'x2', 18 to 20mm Thick For kitchen arrangements (jet black)</v>
          </cell>
          <cell r="C870" t="str">
            <v>Providing Jet Black Granite Slabs for Kitchen arrangements (Super Fine Polished with Machine Cut Edges) of sizes 4'x2' and above 18mm to 20mm thick for kitchen platform slabs including super fine polish, finishing and fixing in position and pointing with CM 1:3 (One of cement and three of sand) complying with relevant Standard specifications etc.,  (Measurement will be taken including bearing also) as directed by the departmental officers (Quality of Granite slab shall be got approved by the Exe</v>
          </cell>
          <cell r="D870">
            <v>0</v>
          </cell>
        </row>
        <row r="871">
          <cell r="B871" t="str">
            <v>a. In Ground floor</v>
          </cell>
          <cell r="C871" t="str">
            <v>a. In Ground floor    S &amp; F of Granite tile of size 2'x 1', 10mm Thick For kitchen arrangements (jet black)</v>
          </cell>
          <cell r="D871">
            <v>1893.2318000000002</v>
          </cell>
        </row>
        <row r="872">
          <cell r="B872" t="str">
            <v>b. In First floor S &amp; F of Granite tile of size 2'x 1', 10mm Thick For kitchen arrangements (jet black)</v>
          </cell>
          <cell r="C872" t="str">
            <v>b. In First floor</v>
          </cell>
          <cell r="D872">
            <v>1896.0342500000004</v>
          </cell>
        </row>
        <row r="873">
          <cell r="B873" t="str">
            <v>c. In Second floor</v>
          </cell>
          <cell r="C873" t="str">
            <v>c. In Second floor</v>
          </cell>
          <cell r="D873">
            <v>1897.8927500000004</v>
          </cell>
        </row>
        <row r="874">
          <cell r="B874" t="str">
            <v>c. In Third floor</v>
          </cell>
          <cell r="C874">
            <v>0</v>
          </cell>
          <cell r="D874">
            <v>1899.7512500000005</v>
          </cell>
        </row>
        <row r="875">
          <cell r="B875" t="str">
            <v>Aluminum Louvered ventilators</v>
          </cell>
          <cell r="C875">
            <v>0</v>
          </cell>
          <cell r="D875">
            <v>0</v>
          </cell>
        </row>
        <row r="876">
          <cell r="B876" t="str">
            <v>a. 1.35 x 0.60 mt ventilators</v>
          </cell>
          <cell r="C876">
            <v>0</v>
          </cell>
          <cell r="D876">
            <v>4310.4296296296288</v>
          </cell>
        </row>
        <row r="877">
          <cell r="B877" t="str">
            <v>d. 1.0 x 0.60 mt ventilators</v>
          </cell>
          <cell r="C877">
            <v>0</v>
          </cell>
          <cell r="D877">
            <v>4307.8185185185175</v>
          </cell>
        </row>
        <row r="878">
          <cell r="B878" t="str">
            <v>a. 0.90 x 0.60 mt ventilators</v>
          </cell>
          <cell r="C878">
            <v>0</v>
          </cell>
          <cell r="D878">
            <v>4307.8185185185175</v>
          </cell>
        </row>
        <row r="879">
          <cell r="B879" t="str">
            <v>c. 0.75 x 0.60 mt ventilators</v>
          </cell>
          <cell r="C879">
            <v>0</v>
          </cell>
          <cell r="D879">
            <v>4510.8444444444449</v>
          </cell>
        </row>
        <row r="880">
          <cell r="B880" t="str">
            <v>b. 0.60 x 0.60 mt ventilators</v>
          </cell>
          <cell r="C880">
            <v>0</v>
          </cell>
          <cell r="D880">
            <v>4806.6138888888891</v>
          </cell>
        </row>
        <row r="881">
          <cell r="B881" t="str">
            <v>Supply &amp; Fixing of MS door  (for lockup door )</v>
          </cell>
          <cell r="C881">
            <v>0</v>
          </cell>
          <cell r="D881">
            <v>0</v>
          </cell>
        </row>
        <row r="882">
          <cell r="B882" t="str">
            <v>MS door of Size 1000 x 2100mm</v>
          </cell>
          <cell r="C882">
            <v>0</v>
          </cell>
          <cell r="D882">
            <v>7463.7000000000007</v>
          </cell>
        </row>
        <row r="883">
          <cell r="B883" t="str">
            <v>MS door of Size 750 x 1350mm</v>
          </cell>
          <cell r="C883">
            <v>0</v>
          </cell>
          <cell r="D883">
            <v>4865.3249999999998</v>
          </cell>
        </row>
        <row r="884">
          <cell r="B884" t="str">
            <v>Supply &amp; Fixing of MS ventilator of size ( lockup)</v>
          </cell>
          <cell r="C884">
            <v>0</v>
          </cell>
          <cell r="D884">
            <v>0</v>
          </cell>
        </row>
        <row r="885">
          <cell r="B885" t="str">
            <v>MS Ventilator of Size 1350 x 600mm</v>
          </cell>
          <cell r="C885">
            <v>0</v>
          </cell>
          <cell r="D885">
            <v>3351.5555555555552</v>
          </cell>
        </row>
        <row r="886">
          <cell r="B886" t="str">
            <v xml:space="preserve"> MS ventilator of size  1200 x 800 mm</v>
          </cell>
          <cell r="C886">
            <v>0</v>
          </cell>
          <cell r="D886">
            <v>3669.7479166666672</v>
          </cell>
        </row>
        <row r="887">
          <cell r="B887" t="str">
            <v xml:space="preserve"> MS ventilator of size  1200 x 600 mm</v>
          </cell>
          <cell r="C887">
            <v>0</v>
          </cell>
          <cell r="D887">
            <v>3386.9324675324665</v>
          </cell>
        </row>
        <row r="888">
          <cell r="B888" t="str">
            <v xml:space="preserve"> MS ventilator of size  1000 x 800 mm</v>
          </cell>
          <cell r="C888">
            <v>0</v>
          </cell>
          <cell r="D888">
            <v>3582.4949999999999</v>
          </cell>
        </row>
        <row r="889">
          <cell r="B889" t="str">
            <v>MS Ventilator of Size 900 x 600mm</v>
          </cell>
          <cell r="C889">
            <v>0</v>
          </cell>
          <cell r="D889">
            <v>4038.1500000000005</v>
          </cell>
        </row>
        <row r="890">
          <cell r="B890" t="str">
            <v>MS Ventilator of Size 600 x 600mm</v>
          </cell>
          <cell r="C890">
            <v>0</v>
          </cell>
          <cell r="D890">
            <v>3472.717250324255</v>
          </cell>
        </row>
        <row r="891">
          <cell r="B891" t="str">
            <v>MS Ventilator of Size 1285 x 600mm</v>
          </cell>
          <cell r="C891">
            <v>0</v>
          </cell>
          <cell r="D891">
            <v>0</v>
          </cell>
        </row>
        <row r="892">
          <cell r="B892" t="str">
            <v>Supply and fixing of 19mm dia steam pipe for down rod of fan (SD 106)</v>
          </cell>
          <cell r="C892">
            <v>0</v>
          </cell>
          <cell r="D892">
            <v>61.8</v>
          </cell>
        </row>
        <row r="893">
          <cell r="B893" t="str">
            <v>Supply and fixing of  SS Towel rail (75cm length) CER No.178/13-14</v>
          </cell>
          <cell r="C893">
            <v>0</v>
          </cell>
          <cell r="D893">
            <v>405</v>
          </cell>
        </row>
        <row r="894">
          <cell r="B894" t="str">
            <v>Supply and fixing of weld mesh of size 7.5x2.5cmx10gauge</v>
          </cell>
          <cell r="C894">
            <v>0</v>
          </cell>
          <cell r="D894">
            <v>325</v>
          </cell>
        </row>
        <row r="895">
          <cell r="B895" t="str">
            <v>Supply and fixing of Chicken mesh</v>
          </cell>
          <cell r="C895">
            <v>0</v>
          </cell>
          <cell r="D895">
            <v>35</v>
          </cell>
        </row>
        <row r="896">
          <cell r="B896" t="str">
            <v>S &amp; F of 15mm dia Engineering Polymer Tap (long body ) for coastal area only</v>
          </cell>
          <cell r="C896">
            <v>0</v>
          </cell>
          <cell r="D896">
            <v>223</v>
          </cell>
        </row>
        <row r="897">
          <cell r="B897" t="str">
            <v>S &amp; F of 15mm dia Engineering Polymer Tap  short body tap for coastal area only</v>
          </cell>
          <cell r="C897">
            <v>0</v>
          </cell>
          <cell r="D897">
            <v>212</v>
          </cell>
        </row>
        <row r="898">
          <cell r="B898" t="str">
            <v xml:space="preserve">S &amp; F of CFL road way lighting luminaries suitable for fixing 36w CFL lamp </v>
          </cell>
          <cell r="C898">
            <v>0</v>
          </cell>
          <cell r="D898">
            <v>2620.0033333333331</v>
          </cell>
        </row>
        <row r="899">
          <cell r="B899" t="str">
            <v>Augering  30 cm dia for compound wall</v>
          </cell>
          <cell r="C899">
            <v>0</v>
          </cell>
          <cell r="D899">
            <v>322.59528688524591</v>
          </cell>
        </row>
        <row r="900">
          <cell r="B900" t="str">
            <v>Finshing the top of Terrace floor with one course of solar reflective Ceramic tiles without base concrete</v>
          </cell>
          <cell r="C900" t="str">
            <v>Finishing the top of terrace floor with one course of solar reflective water proof, heat proof and cool roof ceramic tiles of size 305mmx305mmx7mm thick of approved quality laid in cement mortar 1:3 20mm tk (one part of cement and three parts of sand) mixed with calcium based mineral powder (60 kg for 1000 sqft) (before laying the tiles, the tiles should be dipped with salin based nano liquid) and top grouting with cement mortar 1:3 (one part of cement and three parts of sand) mixed with white cement, silicon powder and polimer adhesive (20 kg for 1000 sqft.) And joint pointed with zycosil oil (200gm for 1000 sqft.) After grouting acrylic saline based liquid without base concrete including pointing etc., complete complying with standard specification including cost of all materials labour charges for lifting to open terrace, laying and finishing and other incidental charges etc., complete and as directed by the departmental officers. (brand, quality of tiles should be got approved from executive engineer before use)</v>
          </cell>
          <cell r="D900">
            <v>1255.58575</v>
          </cell>
        </row>
        <row r="901">
          <cell r="B901" t="str">
            <v>HDPE water tank 200 lit capacity with ISI mark</v>
          </cell>
          <cell r="C901">
            <v>0</v>
          </cell>
          <cell r="D901">
            <v>1720</v>
          </cell>
        </row>
        <row r="902">
          <cell r="B902" t="str">
            <v>UPVC Non Pressure  pipe of SN8 SDR 34( S 16.5) as per IS 15328/2003</v>
          </cell>
          <cell r="C902" t="str">
            <v>Supplying and fixing the following dia  Non Pressure pipe of SN8 SDR 34 with ISI mark confirming toIS 15328/2003 for soil line with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v>
          </cell>
          <cell r="D902">
            <v>0</v>
          </cell>
        </row>
        <row r="903">
          <cell r="B903" t="str">
            <v>a. 110 mm UPVC Non Pressure  pipe</v>
          </cell>
          <cell r="C903" t="str">
            <v>a. 110 mm UPVC Non Pressure  pipe</v>
          </cell>
          <cell r="D903">
            <v>353.73</v>
          </cell>
        </row>
        <row r="904">
          <cell r="B904" t="str">
            <v>b. 160 mm UPVC Non Pressure  pipe</v>
          </cell>
          <cell r="C904" t="str">
            <v>b. 160 mm UPVC Non Pressure  pipe</v>
          </cell>
          <cell r="D904">
            <v>581.02</v>
          </cell>
        </row>
        <row r="905">
          <cell r="B905" t="str">
            <v>PVC Specials  as per IS 10124/1982 Part II</v>
          </cell>
          <cell r="C905" t="str">
            <v>Supplying, laying and fixing of following Dia PVC specials of best approved quality including cost of specials and labour charges for fixing etc., all complete and  as  directed  by  the  departmental officers.</v>
          </cell>
          <cell r="D905">
            <v>0</v>
          </cell>
        </row>
        <row r="906">
          <cell r="B906" t="str">
            <v>a. 110 mm dia PVC bend (TWAD SR 20-21  P-22 S.No-4 )</v>
          </cell>
          <cell r="C906" t="str">
            <v>a. 110 mm dia PVC bend</v>
          </cell>
          <cell r="D906">
            <v>156</v>
          </cell>
        </row>
        <row r="907">
          <cell r="B907" t="str">
            <v>b. 160 mm dia PVC bend (TWAD SR 20-21  P-22 S.No-4 )</v>
          </cell>
          <cell r="C907" t="str">
            <v>b. 160 mm dia PVC bend</v>
          </cell>
          <cell r="D907">
            <v>497</v>
          </cell>
        </row>
        <row r="908">
          <cell r="B908" t="str">
            <v xml:space="preserve">PVC Equal Tee  as per  BIS 7834/1975 </v>
          </cell>
          <cell r="C908" t="str">
            <v>PVC Equal Tee  as per</v>
          </cell>
          <cell r="D908">
            <v>0</v>
          </cell>
        </row>
        <row r="909">
          <cell r="B909" t="str">
            <v>a. 110 mm dia PVC Equal tee(TWAD SR 20-21  P-22 S.No-4 )</v>
          </cell>
          <cell r="C909" t="str">
            <v>110 mm dia PVC Equal tee</v>
          </cell>
          <cell r="D909">
            <v>186</v>
          </cell>
        </row>
        <row r="910">
          <cell r="B910" t="str">
            <v>b. 160 mm dia PVC Equal tee(TWAD SR 20-21  P-22 S.No-4 )</v>
          </cell>
          <cell r="C910" t="str">
            <v>160 mm dia PVC Equal tee</v>
          </cell>
          <cell r="D910">
            <v>328</v>
          </cell>
        </row>
        <row r="911">
          <cell r="B911" t="str">
            <v xml:space="preserve">S &amp; F of Indian Water closet white glazed (Oriya type) of size 580 x 440mm with PVC SWR grade ' P' or "S' trap   - in G.F.  </v>
          </cell>
          <cell r="C911" t="str">
            <v xml:space="preserve">Supplying and fixing of Indian water closet white glazed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v>
          </cell>
          <cell r="D911">
            <v>2913.4531375000001</v>
          </cell>
        </row>
        <row r="912">
          <cell r="B912" t="str">
            <v xml:space="preserve">S &amp; F of Indian Water closet white glazed (Oriya type) of size 580 x 440mm  with PVC SWR grade ' P' or "S' trap- Other than  G.F.  </v>
          </cell>
          <cell r="C912" t="str">
            <v>Supplying and fixing of Indian water closet white glazed (oriya type) of size 580mmx440mm of approved make with isi mark (to be got approved from ee before use) with p or s trap confirming to is 2556 part 12, including concrete filling the sunk portion with brick jelly lime concrete proportion of brick jelly to lime being 32:12½ by volume (32 cft of 20mm gauge brick jelly and 12 ½ cft of slaked lime) (no sand) and top 75mm thick brick jelly concrete in cc 1:8:16 (one of cement, eight of sand and sixteen of broken brick jelly) using 40mm size brick jelly including plastering the sides of sunk portion in cm 1:3 (one of cement and three of sand) 12mm thick mixed with water proofing compound at 2kg/10 Sqm.  and  top left  rough  to  receive  the floor plastering but including antisyphonage connection, one coat of bitumen for the sides, bottom and curing etc., complete in all floors. (Other than Ground floor)</v>
          </cell>
          <cell r="D912">
            <v>4531.0840915000008</v>
          </cell>
        </row>
        <row r="913">
          <cell r="B913" t="str">
            <v xml:space="preserve">S &amp; F of E.W.C.(White) 500 mm with PVC SWR grade "P" or "S" TRAP </v>
          </cell>
          <cell r="C913">
            <v>0</v>
          </cell>
          <cell r="D913">
            <v>6255.2750000000005</v>
          </cell>
        </row>
        <row r="914">
          <cell r="B914" t="str">
            <v xml:space="preserve">S &amp; F of E.W.C.( Colour) 500 mm with PVC SWR grade "P" or "S" TRAP </v>
          </cell>
          <cell r="C914">
            <v>0</v>
          </cell>
          <cell r="D914">
            <v>6645.2750000000005</v>
          </cell>
        </row>
        <row r="915">
          <cell r="B915" t="str">
            <v>French window  ( SP Perambalur)</v>
          </cell>
          <cell r="C915" t="str">
            <v>French window  ( SP Perambalur)</v>
          </cell>
          <cell r="D915">
            <v>0</v>
          </cell>
        </row>
        <row r="916">
          <cell r="B916" t="str">
            <v xml:space="preserve">a. FW  (2.1 x 2.0 m ) 3 bay openable </v>
          </cell>
          <cell r="C916" t="str">
            <v xml:space="preserve">a. FW  (2.1 x 2.0 m ) 3 bay openable </v>
          </cell>
          <cell r="D916">
            <v>0</v>
          </cell>
        </row>
        <row r="917">
          <cell r="B917" t="str">
            <v xml:space="preserve">b.FW 1 (1.80 x 2.0 m )3 bay openable </v>
          </cell>
          <cell r="C917" t="str">
            <v xml:space="preserve">b.FW 1 (1.80 x 2.0 m )3 bay openable </v>
          </cell>
          <cell r="D917">
            <v>0</v>
          </cell>
        </row>
        <row r="918">
          <cell r="B918" t="str">
            <v xml:space="preserve">c. FW 2  (1.20 x 2.0 m ) 2 bay openable </v>
          </cell>
          <cell r="C918" t="str">
            <v xml:space="preserve">c. FW 2  (1.20 x 2.0 m ) 2 bay openable </v>
          </cell>
          <cell r="D918">
            <v>0</v>
          </cell>
        </row>
        <row r="919">
          <cell r="B919" t="str">
            <v xml:space="preserve">d.FW 3 (0.75 x 2.0 m ) Single  bay openable </v>
          </cell>
          <cell r="C919" t="str">
            <v xml:space="preserve">d.FW 3 (0.75 x 2.0 m ) Single  bay openable </v>
          </cell>
          <cell r="D919">
            <v>0</v>
          </cell>
        </row>
        <row r="920">
          <cell r="B920" t="str">
            <v>e. FD/ FW  (0.57 x 2.0 m )Single  bay openable</v>
          </cell>
          <cell r="C920" t="str">
            <v>e. FD/ FW  (0.57 x 2.0 m )Single  bay openable</v>
          </cell>
          <cell r="D920">
            <v>0</v>
          </cell>
        </row>
        <row r="921">
          <cell r="B921" t="str">
            <v xml:space="preserve">f. 1.50 x 2.00 mt.window  sankar nagar DSP </v>
          </cell>
          <cell r="C921" t="str">
            <v xml:space="preserve">f. 1.50 x 2.00 mt.window  sankar nagar DSP </v>
          </cell>
          <cell r="D921">
            <v>3142.3533560864626</v>
          </cell>
        </row>
        <row r="922">
          <cell r="B922" t="str">
            <v xml:space="preserve">TW Double leaf glazed window shutter of size 1250X2000 MM </v>
          </cell>
          <cell r="C922" t="str">
            <v xml:space="preserve">TW Double leaf glazed window shutter of size 1250X2000 MM </v>
          </cell>
          <cell r="D922">
            <v>4812.940209125476</v>
          </cell>
        </row>
        <row r="923">
          <cell r="B923" t="str">
            <v xml:space="preserve">TW Double leaf glazed window shutter of size 1200X2100 MM </v>
          </cell>
          <cell r="C923" t="str">
            <v xml:space="preserve">TW Double leaf glazed window shutter of size 1200X2100 MM </v>
          </cell>
          <cell r="D923">
            <v>5001.4672619047624</v>
          </cell>
        </row>
        <row r="924">
          <cell r="B924" t="str">
            <v xml:space="preserve">TW Double leaf glazed window shutter of size 1100X2100 MM </v>
          </cell>
          <cell r="C924" t="str">
            <v xml:space="preserve">TW Double leaf glazed window shutter of size 1100X2100 MM </v>
          </cell>
          <cell r="D924">
            <v>5309.2396103896099</v>
          </cell>
        </row>
        <row r="925">
          <cell r="B925" t="str">
            <v>Wiring with 1.5 Sqm.m PVC insulated single core multi strand fire retardant flexible copper cable with ISI mark confirming IS: 694:1990.( PVC Box , Fire Retarded Box) For Coastal only</v>
          </cell>
          <cell r="C925" t="str">
            <v>Wiring with 1.5 Sqm.m PVC insulated single core multi strand fire retardant flexible copper cable with ISI mark confirming IS: 694:1990.( PVC Box , Fire Retarded Box) For Coastal only</v>
          </cell>
          <cell r="D925">
            <v>0</v>
          </cell>
        </row>
        <row r="926">
          <cell r="B926" t="str">
            <v>a. Light point with ceiling rose</v>
          </cell>
          <cell r="C926">
            <v>0</v>
          </cell>
          <cell r="D926">
            <v>1376.73</v>
          </cell>
        </row>
        <row r="927">
          <cell r="B927" t="str">
            <v>b. Light point without ceiling rose</v>
          </cell>
          <cell r="C927">
            <v>0</v>
          </cell>
          <cell r="D927">
            <v>1379.73</v>
          </cell>
        </row>
        <row r="928">
          <cell r="B928" t="str">
            <v>c. Calling bell point with Buzzer/Calling bell</v>
          </cell>
          <cell r="C928">
            <v>0</v>
          </cell>
          <cell r="D928">
            <v>1376</v>
          </cell>
        </row>
        <row r="929">
          <cell r="B929" t="str">
            <v>Wiring with 1.5 Sqm.m PVC insulated single core multi strand fire retardant flexible copper cable with ISI mark confirming IS: 694:1990 for Fan point.(PVC Electrical Box )</v>
          </cell>
          <cell r="C929" t="str">
            <v>Wiring with 1.5 Sqm.m pvc insulated single core multi strand fire retardant flexible copper cable with ISI mark conforming to IS:694/1990,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16g thick concealed and covered with 3mm thick laminated hylem sheet for FAN POINT controlled by 5 amps flush type switch including circuit mains, cost of all materials, specials, etc., all complete</v>
          </cell>
          <cell r="D929">
            <v>1427.73</v>
          </cell>
        </row>
        <row r="930">
          <cell r="B930" t="str">
            <v>Wiring with 1.5 Sqm.m PVC insulated single core multi strand fire retardant flexible copper cable with ISI mark confirming IS: 694:1990 for Staircase Light Point.(PVC Electrical Box )</v>
          </cell>
          <cell r="C930" t="str">
            <v>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16g thick concealed and covered with 3mm thick laminated hylem sheet for staircase light point controlled by 5 amps flush type two way switch including circuit mains, cost of all materials, specials, etc., all complete.</v>
          </cell>
          <cell r="D930">
            <v>2542.73</v>
          </cell>
        </row>
        <row r="931">
          <cell r="B931" t="str">
            <v>Wiring with 1.5 Sqm.m PVC insulated single core multi strand fire retardant flexible copper cable with ISI mark confirming IS: 694:1990 for 5 amps 5 pin plug socket point @ Switch Board Itself.</v>
          </cell>
          <cell r="C931" t="str">
            <v>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is:694/1990,1.1.k.v. grade cable in fully concealed pvc rigid conduit pipe heavy duty with isi mark with suitable size ms box  of 16g thick concealed and covered with 3mm thick laminated hylem sheet  for 5 amps 5 pin plug socket point at SWITCH BOARD ITSELF including circuit  mains, cost of all materials, specials, etc., all complete</v>
          </cell>
          <cell r="D931">
            <v>688</v>
          </cell>
        </row>
        <row r="932">
          <cell r="B932" t="str">
            <v>Wiring with 1.5 Sqm.m PVC insulated single core multi strand fire retardant flexible copper cable with ISI mark confirming IS: 694:1990 for 5 amps 5 pin plug socket point @ Convenient Places.(PVC Electrical Box )</v>
          </cell>
          <cell r="C932" t="str">
            <v>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 1.1.k.v. grade cable in fully concealed pvc rigid conduit pipe heavy duty with isi mark with suitable size ms box of  1 no (each) 16g thick concealed and covered with 3mm thick laminated hylem sheet for 5 amps 5 pin plug socket point at CONVENIENT PLACES including circuit mains, cost of all materials, specials, etc., all complete</v>
          </cell>
          <cell r="D932">
            <v>937</v>
          </cell>
        </row>
        <row r="933">
          <cell r="B933" t="str">
            <v>Supplying and fixing of 15 Amps 3 pin flush type plug using ( PVC Box , Fire Retarded Box)</v>
          </cell>
          <cell r="C933" t="str">
            <v>Supplying and fixing 15 amps 3 pin plug type socket on a suitable MS box 16g thick concealed and covered with 3mm thick laminated hylem sheet inclusive of  all connections and cost of all materials.</v>
          </cell>
          <cell r="D933">
            <v>132</v>
          </cell>
        </row>
        <row r="934">
          <cell r="B934" t="str">
            <v>Fabrication of Mild steel / RTS grills (without cement slurry) for all sizes of rods.(BINDING WIRE insulated with PVC)</v>
          </cell>
          <cell r="C934">
            <v>0</v>
          </cell>
          <cell r="D934">
            <v>70226.53571428571</v>
          </cell>
        </row>
        <row r="935">
          <cell r="B935" t="str">
            <v>PVC SWR 110 mm dia with ISI mark type- A for Rain water down fall pipe(UPVC SPECIAL CLAMP )</v>
          </cell>
          <cell r="C935">
            <v>0</v>
          </cell>
          <cell r="D935">
            <v>315.58499999999998</v>
          </cell>
        </row>
        <row r="936">
          <cell r="B936" t="str">
            <v>Supply and fixing in posistion of 6 rows of 10 guage GI barbed wire 20 guage</v>
          </cell>
          <cell r="C936">
            <v>0</v>
          </cell>
          <cell r="D936">
            <v>31.746544117647055</v>
          </cell>
        </row>
        <row r="937">
          <cell r="B937" t="str">
            <v xml:space="preserve">Supply ,laying &amp; jointing the following pipes as per ASTM D 1785 of schedule 40 with  UPVC Specials </v>
          </cell>
          <cell r="C937" t="str">
            <v xml:space="preserve">Supply ,laying &amp; jointing the following pipes as per ASTM D 1785 of schedule 40 with  UPVC Specials </v>
          </cell>
          <cell r="D937">
            <v>0</v>
          </cell>
        </row>
        <row r="938">
          <cell r="B938" t="str">
            <v xml:space="preserve">a. 32 mm dia  Supply ,laying &amp; jointing the following pipes as per ASTM D 1785 of schedule 40 with  UPVC Specials </v>
          </cell>
          <cell r="C938" t="str">
            <v xml:space="preserve">Supplying and delivery of 32mm dia UPVC Pipe including cost of all materials and labour charges all complete complying with relevant standard specifications and as directed by the departmental officers </v>
          </cell>
          <cell r="D938">
            <v>215.80866666666668</v>
          </cell>
        </row>
        <row r="939">
          <cell r="B939" t="str">
            <v xml:space="preserve">b. 25 mm dia  Supply ,laying &amp; jointing the following pipes as per ASTM D 1785 of schedule 40 with  UPVC Specials </v>
          </cell>
          <cell r="C939" t="str">
            <v xml:space="preserve">Supplying and delivery of 25mm dia UPVC Pipe including cost of all materials and labour charges all complete complying with relevant standard specifications and as directed by the departmental officers </v>
          </cell>
          <cell r="D939">
            <v>199.05333333333334</v>
          </cell>
        </row>
        <row r="940">
          <cell r="B940" t="str">
            <v>c. 20mm dia PVC water supply ASTM pipe (fully consealed in walls)</v>
          </cell>
          <cell r="C940" t="str">
            <v xml:space="preserve">Supplying and delivery of 20mm dia UPVC Pipe including cost of all materials and labour charges all complete complying with relevant standard specifications and as directed by the departmental officers </v>
          </cell>
          <cell r="D940">
            <v>196.26166666666666</v>
          </cell>
        </row>
        <row r="941">
          <cell r="B941" t="str">
            <v>Providing Colour Marble chips of size 10mm and below using 70.20Kgs of cement and 15 Cum. of Colour Marble chips for every 10 Sqm. over the existing plastered surface  ( For coastal area)</v>
          </cell>
          <cell r="C941">
            <v>0</v>
          </cell>
          <cell r="D941">
            <v>318.99930000000006</v>
          </cell>
        </row>
        <row r="942">
          <cell r="B942" t="str">
            <v>S &amp; F of 15mm dia half turn CP long body tap</v>
          </cell>
          <cell r="C942" t="str">
            <v>Supplying and fixing of half turn brass core CP long body tap of 15mm dia of best quality including cost of half turn CP tap with required specials and labour for fixing etc., all complete and as directed by the departmental officers. (The quality and brand should be got approved from the executive engineer before use)</v>
          </cell>
          <cell r="D942">
            <v>458</v>
          </cell>
        </row>
        <row r="943">
          <cell r="B943" t="str">
            <v>S &amp; F of 15mm dia half turn CP short body tap</v>
          </cell>
          <cell r="C943" t="str">
            <v>Supplying and fixing of half turn brass core CP short body tap of 15mm dia of best quality including cost of half turn CP tap with required specials and labour for fixing etc., all complete and as directed by the departmental officers. (the quality and brand should be got approved from the executive engineer before use)</v>
          </cell>
          <cell r="D943">
            <v>410</v>
          </cell>
        </row>
        <row r="944">
          <cell r="B944" t="str">
            <v xml:space="preserve">S &amp; F of MS angle of size 50x 50x 5mm </v>
          </cell>
          <cell r="C944">
            <v>0</v>
          </cell>
          <cell r="D944">
            <v>51.4</v>
          </cell>
        </row>
        <row r="945">
          <cell r="B945" t="str">
            <v>Granite Tiles flooring in cm1:3,20mm thk sathali steel/ grey</v>
          </cell>
          <cell r="C945" t="str">
            <v>supplying and laying of granite tile flooring (super fine polished with machine cut edges of size 2’ x 1’, 20mm thick (satherli grey/steel grey) using grout joint) over cement plastering in cm 1:3 (one of cement and three of sand 20mm thick including fixing in position, cutting the tiles to the required size wherever necessary pointing the joints with grout curing, finishing etc., all complete and as directed by the departmental officers.</v>
          </cell>
          <cell r="D945">
            <v>1281.9091500000002</v>
          </cell>
        </row>
        <row r="946">
          <cell r="B946" t="str">
            <v>Granite Tiles flooring in cm1:3,20mm thk  Ruby Red</v>
          </cell>
          <cell r="C946" t="str">
            <v>supplying and laying of granite tile flooring (super fine polished with machine cut edges of size 2’ x 1’, 20mm thick (Ruby Red ) using grout joint) over cement plastering in cm 1:3 (one of cement and three of sand 20mm thick including fixing in position, cutting the tiles to the required size wherever necessary pointing the joints with grout curing, finishing etc., all complete and as directed by the departmental officers.</v>
          </cell>
          <cell r="D946">
            <v>1534.31915</v>
          </cell>
        </row>
        <row r="947">
          <cell r="B947" t="str">
            <v>Providing S &amp; F of Granite tile of size 4'x2', 20mm Sinthetic Grey</v>
          </cell>
          <cell r="C947" t="str">
            <v xml:space="preserve">Providing S &amp; F of Granite Slab of size 4'x2', 20mm Sinthetic Grey including super fine polish, finishing and fixing in position and pointing with CM 1:3 (One of cement and three of sand) complying with relevant Standard specifications etc.,  (Measurement will be taken including bearing also) as directed by the departmental officers (Quality of Granite slab shall be got approved by the Executive Engineer before fixing.  </v>
          </cell>
          <cell r="D947">
            <v>2124.3191500000003</v>
          </cell>
        </row>
        <row r="948">
          <cell r="B948">
            <v>0</v>
          </cell>
          <cell r="C948">
            <v>0</v>
          </cell>
          <cell r="D948">
            <v>0</v>
          </cell>
        </row>
        <row r="949">
          <cell r="B949" t="str">
            <v>Bored cast sit piles installation of vertical cast in Situ Bored piles of following dia using Standardised concrete  mix M30 Grade) as per nagapattinam data For Coastal area</v>
          </cell>
          <cell r="C949">
            <v>0</v>
          </cell>
          <cell r="D949">
            <v>0</v>
          </cell>
        </row>
        <row r="950">
          <cell r="B950" t="str">
            <v>a.500mm dia pile</v>
          </cell>
          <cell r="C950">
            <v>0</v>
          </cell>
          <cell r="D950">
            <v>2837.02</v>
          </cell>
        </row>
        <row r="951">
          <cell r="B951" t="str">
            <v>b.450mm dia pile</v>
          </cell>
          <cell r="C951">
            <v>0</v>
          </cell>
          <cell r="D951">
            <v>2530.5</v>
          </cell>
        </row>
        <row r="952">
          <cell r="B952" t="str">
            <v>c.400mm dia pile</v>
          </cell>
          <cell r="C952">
            <v>0</v>
          </cell>
          <cell r="D952">
            <v>2255.87</v>
          </cell>
        </row>
        <row r="953">
          <cell r="B953" t="str">
            <v>Removing of clay from pile inlucing  conveyance charges, loading and unloading charges etc.,all complete</v>
          </cell>
          <cell r="C953">
            <v>0</v>
          </cell>
          <cell r="D953">
            <v>0</v>
          </cell>
        </row>
        <row r="954">
          <cell r="B954" t="str">
            <v>Chipping of RCC pile head of 500mm Dia of pile to the required cut off level and clearing away the debris from site with an average lead of 5 km  etc.</v>
          </cell>
          <cell r="C954">
            <v>0</v>
          </cell>
          <cell r="D954">
            <v>0</v>
          </cell>
        </row>
        <row r="955">
          <cell r="B955" t="str">
            <v>a.500mm dia pile</v>
          </cell>
          <cell r="C955">
            <v>0</v>
          </cell>
          <cell r="D955">
            <v>876.36</v>
          </cell>
        </row>
        <row r="956">
          <cell r="B956" t="str">
            <v>b.450mm dia pile</v>
          </cell>
          <cell r="C956">
            <v>0</v>
          </cell>
          <cell r="D956">
            <v>710.92</v>
          </cell>
        </row>
        <row r="957">
          <cell r="B957" t="str">
            <v>c.400mm dia pile</v>
          </cell>
          <cell r="C957">
            <v>0</v>
          </cell>
          <cell r="D957">
            <v>563.37</v>
          </cell>
        </row>
        <row r="958">
          <cell r="B958" t="str">
            <v>Mobilization Charges inclusive of Transportation to site assembling and Dismantling the rotary pile equipment employed for the works etc.(Qtn)</v>
          </cell>
          <cell r="C958">
            <v>0</v>
          </cell>
          <cell r="D958">
            <v>40000</v>
          </cell>
        </row>
        <row r="959">
          <cell r="B959" t="str">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ell>
          <cell r="C959">
            <v>0</v>
          </cell>
          <cell r="D959">
            <v>70000</v>
          </cell>
        </row>
        <row r="960">
          <cell r="B960" t="str">
            <v>False ceiling with plain gybsum board (as per PWD SR. rate 2017-18, Anx- VI -It- 154 -a)</v>
          </cell>
          <cell r="C960">
            <v>0</v>
          </cell>
          <cell r="D960">
            <v>713.54</v>
          </cell>
        </row>
        <row r="961">
          <cell r="B961" t="str">
            <v>Wiring with 1.5 Sqm.m PVC insulated single core multi strand fire retardant flexible copper cable with ISI mark confirming IS: 694:1990. (Open wiring)</v>
          </cell>
          <cell r="C961" t="str">
            <v>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PVC rigid conduit pipe heavy duty with isi mark with suitable size ms box of 1 no. (each) 16 g thick concealed and covered with 3mm thick laminated hylem sheet for 5 amps flush type switch including circuit mains, cost of all materials, specials etc., all complete  (Open wiring)</v>
          </cell>
          <cell r="D961">
            <v>0</v>
          </cell>
        </row>
        <row r="962">
          <cell r="B962" t="str">
            <v>a. Light point with ceiling rose Wiring with 1.5 Sqm.m PVC insulated single core multi strand fire retardant flexible copper cable with ISI mark confirming IS: 694:1990. (Open wiring)</v>
          </cell>
          <cell r="C962" t="str">
            <v>(a) Light point with ceiling rose (Open wiring)</v>
          </cell>
          <cell r="D962">
            <v>745.00116666666668</v>
          </cell>
        </row>
        <row r="963">
          <cell r="B963" t="str">
            <v>b. Light point without ceiling rose Wiring with 1.5 Sqm.m PVC insulated single core multi strand fire retardant flexible copper cable with ISI mark confirming IS: 694:1990. (Open wiring)</v>
          </cell>
          <cell r="C963" t="str">
            <v>(b) Light point without ceiling rose (Open wiring)</v>
          </cell>
          <cell r="D963">
            <v>748.00116666666668</v>
          </cell>
        </row>
        <row r="964">
          <cell r="B964" t="str">
            <v>Wiring with 1.5 Sqm.m PVC insulated single core multi strand fire retardant flexible copper cable with ISI mark confirming IS: 694:1990 for 5 amps 5 pin  plug socket point @ Convenient Places.(Open wiring)</v>
          </cell>
          <cell r="C964" t="str">
            <v>Wiring with 1.5 Sqm.m PVC insulated single core multi strand fire retardant flexible copper cable with ISI mark confirming IS: 694:1990 for 5 amps 5 pin  plug socket point @ Convenient Places.(Open wiring)</v>
          </cell>
          <cell r="D964">
            <v>572.00077777777778</v>
          </cell>
        </row>
        <row r="965">
          <cell r="B965" t="str">
            <v>Wiring with 1.5 Sqm.m PVC insulated single core multi strand fire retardant flexible copper cable with ISI mark confirming IS: 694:1990 for 5 amps 5 pin  plug socket point @ Switch Board Itself.(Open wiring)</v>
          </cell>
          <cell r="C965" t="str">
            <v>Wiring with 1.5 sqmm pvc insulated single core multi strand fire retardant flexible copper cable with isi mark conforming to is: 694/1990, 1.1.k.v. grade cable with continuous earth by means of 1.5 sqmm pvc insulated single core multi strand fire retardant flexible copper cable with isi mark conforming to is:694/1990,1.1.k.v. grade cable in fully concealed pvc rigid conduit pipe heavy duty with isi mark with suitable size ms box  of 16g thick concealed and covered with 3mm thick laminated hylem sheet  for 5 amps 5 pin plug socket point at SWITCH BOARD ITSELF including circuit  mains, cost of all materials, specials, etc., all complete(Open wiring)</v>
          </cell>
          <cell r="D965">
            <v>688.00166666666667</v>
          </cell>
        </row>
        <row r="966">
          <cell r="B966" t="str">
            <v>Wiring with 1.5 Sqm.m PVC insulated single core multi strand fire retardant flexible copper cable with ISI mark confirming IS: 694:1990 for Fan point .(Open wiring)</v>
          </cell>
          <cell r="C966" t="str">
            <v>Wiring with 1.5 Sqm.m PVC insulated single core multi strand fire retardant flexible copper cable with ISI mark confirming IS: 694:1990 for Fan point .(Open wiring)</v>
          </cell>
          <cell r="D966">
            <v>829.00116666666668</v>
          </cell>
        </row>
        <row r="967">
          <cell r="B967" t="str">
            <v>Aluminium Partition wall 1/3 5.5mm thick glass &amp; 2/3 Novapan sheet 12mm thick outer top and bottom</v>
          </cell>
          <cell r="C967" t="str">
            <v>supply and fabrication, fixing in position of aluminium partition with bottom 1/3 paneled 12mm thick both side laminated sheet and top 1/3 plain glass 5.5mm thick to suit against the partition wall. the outer frame top and bottom using rectangular box section no.9221 of 101.50x44.45x2mm at weight of 1.975 kg/m vertical as well as horizontal using rectangular box section no. 9222 of 63.50x38.10x2mm at weight of 1.174 kg/m with accessories and furniture fittings including cost of materials, rubber beeding ‘l’ angle screws etc., and power consumption charges required for fabrication including making necessary holes in the columns, beams, masonry with power drill to the required extent and redoing the masonry to original conditions after fixing etc., complete. the aluminium section anodized with matt finish under electrically controlled conditions in accordance with is specification 1863/1963 for anodic film thickness of not 15 microns. all the clips</v>
          </cell>
          <cell r="D967">
            <v>3627.2856009070292</v>
          </cell>
        </row>
        <row r="968">
          <cell r="B968" t="str">
            <v>Supply and fixing of colour matt finish door 15 microns double leaf door ( 1500 x 2100 mm)</v>
          </cell>
          <cell r="C968">
            <v>0</v>
          </cell>
          <cell r="D968">
            <v>5310.142857142856</v>
          </cell>
        </row>
        <row r="969">
          <cell r="B969" t="str">
            <v>Supply and fixing of colour matt finish door 15 microns double leaf door ( 1000 x 2100 mm)</v>
          </cell>
          <cell r="C969" t="str">
            <v>supplying and fixing in position of aluminium door of bottom with novapan sheet 12mm tk and top with 5.5mm thick plain glass. the outer frame top and bottom using rectangular box section no.4617 of 101.60x44.45x 2.10mm at weight of 1.608 kg/m and shutter vertical section no. 4504 of 47.62x47.62x1.82mm at weight of 1.052 and top horizontal section no.4506 of size 47.62x10.16x 2.82mm at weight of 0.776 kg/m with accessories and furniture fittings including cost of materials, rubber beeding ‘l’ angle screws etc., and power consumption charges required for fabrication including making necessary holes in the columns, beams, masonry with power drill to the required extent and redoing the masonry to original conditions after fixing etc., complete.  the  aluminium  section  anodized with matt finish under electrically controlled conditions in accordance with is specification 1863/1963 for anodic film thickness of not less than 15 microns. all the clips</v>
          </cell>
          <cell r="D969">
            <v>6869.9552380952382</v>
          </cell>
        </row>
        <row r="970">
          <cell r="B970" t="str">
            <v>supplying and fixing of colour matt finish floor tiles of size 12"x12" floor tiles</v>
          </cell>
          <cell r="C970">
            <v>0</v>
          </cell>
          <cell r="D970">
            <v>1228.5291499999998</v>
          </cell>
        </row>
        <row r="971">
          <cell r="B971" t="str">
            <v>supplying and fixing of colour matt finish floor tiles of size 12"x18" for wall tiles</v>
          </cell>
          <cell r="C971">
            <v>0</v>
          </cell>
          <cell r="D971">
            <v>1487.7887096774191</v>
          </cell>
        </row>
        <row r="972">
          <cell r="B972" t="str">
            <v>Supply and fixing of 20 Amps DP plug and socket in sheet enclosure with 32 A DP MCB  in Flush with wall with earth connection ( For AC Plug ) Legrand ( MDS) / Hager( L&amp; T) Equivalent/ Superior variety  Ele SD -140 /2018-19</v>
          </cell>
          <cell r="C972" t="str">
            <v>Supply and fixing of 20 Amps DP plug and socket in sheet enclosure with 32 A DP MCB  in Flush with wall with earth connection ( For AC Plug ) Legrand ( MDS) / Hager( L&amp; T) Equivalent/ Superior variety  Ele SD -140 /2018-19</v>
          </cell>
          <cell r="D972">
            <v>1830</v>
          </cell>
        </row>
        <row r="973">
          <cell r="B973" t="str">
            <v>Supplying nd laying of 1000 x 1000 x 300mm size ms 16 swg powder coated cable terminal box with two compartment with necessary bus bar connected with TNEB etc.,</v>
          </cell>
          <cell r="C973">
            <v>0</v>
          </cell>
          <cell r="D973">
            <v>34310</v>
          </cell>
        </row>
        <row r="974">
          <cell r="B974" t="str">
            <v>Supplying and fixing of 200 Amps metal clad switch with rewirable fuse units, (Revised PWD SR 18-19Pg.no.80 it-J Part c)</v>
          </cell>
          <cell r="C974">
            <v>0</v>
          </cell>
          <cell r="D974">
            <v>8100</v>
          </cell>
        </row>
        <row r="975">
          <cell r="B975" t="str">
            <v>Supply and Laying Rubber Moulded Hyraulic Pressed Paver Block 83 mm thick including labour charges for laying etc ( as per DB/1469/2018)</v>
          </cell>
          <cell r="C975">
            <v>0</v>
          </cell>
          <cell r="D975">
            <v>829</v>
          </cell>
        </row>
        <row r="976">
          <cell r="B976" t="str">
            <v>Supplying and fixing of 250 Watts Metal halide Flood light etc.,</v>
          </cell>
          <cell r="C976">
            <v>0</v>
          </cell>
          <cell r="D976">
            <v>8461.003333333334</v>
          </cell>
        </row>
        <row r="977">
          <cell r="B977" t="str">
            <v>R.C.C.Door frames of size 100 x 75mm with one edge grooves size 't' x 20 mm  ( with out  M20 or M30 grade old  data )</v>
          </cell>
          <cell r="C977" t="str">
            <v>Supplying and fixing Monolithic RCC door frames of size 100x75mm with one edge grooves size 'T' x 20 mm ('T' represents the shutter thickness) in reinforced cement concrete M20 or M30 grade  using 20mm hard broken stone jelly including cost of steel and fabrication of reinforcement grills with 3 nos. of 6mm M.S rod alround and 3mm steel stirrups at 30cm centre to centre including fixing of 3 nos of  iron bracket of size 100x100x5mm or 3 nos of teak wood plug for receiving hinges and 2 nos of teak wood plug for receiving the tower bolts including fixing of 6 nos of hold fasts and cost and fixing of check nuts and aluminium sleeves and 2 nos iron oxide tower bolt receiver all as per drawings, including moulding in steel mould and casting with smooth surfaces and fine edges, curing, transporting etc., all complete as directed by the departmental officers.</v>
          </cell>
          <cell r="D977">
            <v>0</v>
          </cell>
        </row>
        <row r="978">
          <cell r="B978" t="str">
            <v>a. 900 x 2100 mm R.C.C.Door frames of size 100 x 75mm with one edge grooves size 't' x 20 mm  ( with out  M20 or M30 grade old  data )</v>
          </cell>
          <cell r="C978" t="str">
            <v>a. 900 x 2100 mm</v>
          </cell>
          <cell r="D978">
            <v>2300.0151145</v>
          </cell>
        </row>
        <row r="979">
          <cell r="B979" t="str">
            <v>c. 1200 x 2100 mm R.C.C.Door frames of size 100 x 75mm with one edge grooves size 't' x 20 mm  ( with out  M20 or M30 grade old  data )</v>
          </cell>
          <cell r="C979" t="str">
            <v>c. 1200 x 2100 mm</v>
          </cell>
          <cell r="D979">
            <v>2762.5378625000003</v>
          </cell>
        </row>
        <row r="980">
          <cell r="B980" t="str">
            <v>d. 750 x 2100 mm R.C.C.Door frames of size 100 x 75mm with one edge grooves size 't' x 20 mm  ( with out  M20 or M30 grade old  data )</v>
          </cell>
          <cell r="C980" t="str">
            <v>d. 750 x 2100 mm</v>
          </cell>
          <cell r="D980">
            <v>2268.5635120000002</v>
          </cell>
        </row>
        <row r="981">
          <cell r="B981" t="str">
            <v>c. 1000 x 2100 mm R.C.C.Door frames of size 100 x 75mm with one edge grooves size 't' x 20 mm  ( with out  M20 or M30 grade old  data )</v>
          </cell>
          <cell r="C981" t="str">
            <v>c. 1000 x 2100 mm</v>
          </cell>
          <cell r="D981">
            <v>2318.7303290000004</v>
          </cell>
        </row>
        <row r="982">
          <cell r="B982" t="str">
            <v>9 watts  LED bulb  qtn</v>
          </cell>
          <cell r="C982" t="str">
            <v xml:space="preserve">Supplying and fixing of 9W LED Bulb and fixing the bulb including cost of all materials and labour for fixing in position and as directed by the departmental officers. (The entire fittings should be got approved from the executive  engineer before use) </v>
          </cell>
          <cell r="D982">
            <v>81</v>
          </cell>
        </row>
        <row r="983">
          <cell r="B983" t="str">
            <v>Supply and fixing of 25" LED Street light</v>
          </cell>
          <cell r="C983">
            <v>0</v>
          </cell>
          <cell r="D983">
            <v>2991</v>
          </cell>
        </row>
        <row r="984">
          <cell r="B984" t="str">
            <v>18 watts  LED  Tube Light</v>
          </cell>
          <cell r="C984" t="str">
            <v xml:space="preserve">Supplying and fixing of  4"18 watts Crystal  LED tube light fittings on teak wood round blocks of 75mm dia 40mm deep suspended from ceiling or mounted on the wall including cost of all materials and labour for fixing in position and as directed by the departmental officers. (The entire fittings should be got approved from the executive  engineer before use)  </v>
          </cell>
          <cell r="D984">
            <v>635.00450000000001</v>
          </cell>
        </row>
        <row r="985">
          <cell r="B985" t="str">
            <v xml:space="preserve"> Bulk Head fitting for  LED Bulb</v>
          </cell>
          <cell r="C985">
            <v>0</v>
          </cell>
          <cell r="D985">
            <v>431</v>
          </cell>
        </row>
        <row r="986">
          <cell r="B986" t="str">
            <v xml:space="preserve">S &amp; F 12 watts LED bulb for bulk head </v>
          </cell>
          <cell r="C986" t="str">
            <v xml:space="preserve">Supplying and fixing of 12 W LED Bulb and fixing the bulb including cost of all materials and labour for fixing in position and as directed by the departmental officers. (The entire fittings should be got approved from the executive  engineer before use) </v>
          </cell>
          <cell r="D986">
            <v>170</v>
          </cell>
        </row>
        <row r="987">
          <cell r="B987" t="str">
            <v>ABS /PVC door framed shutter (Plain pre-laminated door)</v>
          </cell>
          <cell r="C987">
            <v>0</v>
          </cell>
          <cell r="D987">
            <v>5500</v>
          </cell>
        </row>
        <row r="988">
          <cell r="B988" t="str">
            <v>ABS inner doors  (Design pre-laminated door)</v>
          </cell>
          <cell r="C988">
            <v>0</v>
          </cell>
          <cell r="D988">
            <v>5800</v>
          </cell>
        </row>
        <row r="989">
          <cell r="B989" t="str">
            <v>Providing of Granular Sub Base using Grade-I</v>
          </cell>
          <cell r="C989">
            <v>0</v>
          </cell>
          <cell r="D989">
            <v>0</v>
          </cell>
        </row>
        <row r="990">
          <cell r="B990" t="str">
            <v>Providing and laying, spreading and compacting graded stone aggregate to Wet Mix Macadam (WMM)</v>
          </cell>
          <cell r="C990" t="str">
            <v>Providing and laying, spreading and compacting graded stone aggregate to Wet Mix Macadam (WMM)</v>
          </cell>
          <cell r="D990">
            <v>0</v>
          </cell>
        </row>
        <row r="991">
          <cell r="B991" t="str">
            <v>Supply and fixing of Prepainting G.I. Window/ Ventilator  with Grill( PWDSR-18-19)P-56 it-190</v>
          </cell>
          <cell r="C991" t="str">
            <v>Providing and applying white cement based putty of average thickness 1mm, of approved brand and manufacturer, over the plastered wall surface to prepare the surface even and smooth complete. including cost materials, Putty, Brush,and Labour required incl.all0</v>
          </cell>
          <cell r="D991">
            <v>5350</v>
          </cell>
        </row>
        <row r="992">
          <cell r="B992" t="str">
            <v>Wallputty ( one coat)</v>
          </cell>
          <cell r="C992" t="str">
            <v>Providing and applying white cement based putty of average thickness 1mm, of approved brand and manufacturer, over the plastered wall surface to prepare the surface even and smooth complete. including cost materials, Putty, Brush,and Labour required incl.all0</v>
          </cell>
          <cell r="D992">
            <v>78.8</v>
          </cell>
        </row>
        <row r="993">
          <cell r="B993" t="str">
            <v xml:space="preserve">Supply and delivery of Electric Monoset centrifugal pump conforming to IS  9079:2002 as amended from  time to time, with CI FG 200 Casing ,(lpm 200x 35 )  3 HP </v>
          </cell>
          <cell r="C993">
            <v>0</v>
          </cell>
          <cell r="D993">
            <v>25881</v>
          </cell>
        </row>
        <row r="994">
          <cell r="B994" t="str">
            <v xml:space="preserve">Supply and delivery of direct online starter confirming to IS13947 and IEC 947 suitable KW rating for operation in AC/single Phase/50HZ(± 5%) and 415 V(±10%) </v>
          </cell>
          <cell r="C994">
            <v>0</v>
          </cell>
          <cell r="D994">
            <v>12650</v>
          </cell>
        </row>
        <row r="995">
          <cell r="B995" t="str">
            <v>Labour Charges for erection of Horizontal shaft,centrifugalpumpset(Coupled/Monoblock) in bore well/Open well including fixing of suction pipe and foot valve</v>
          </cell>
          <cell r="C995">
            <v>0</v>
          </cell>
          <cell r="D995">
            <v>5474.04</v>
          </cell>
        </row>
        <row r="996">
          <cell r="B996" t="str">
            <v>Supplying and delivery of following Dia PVC Pipes</v>
          </cell>
          <cell r="C996">
            <v>0</v>
          </cell>
          <cell r="D996">
            <v>0</v>
          </cell>
        </row>
        <row r="997">
          <cell r="B997" t="str">
            <v>a) 50mm PVC 10 Kg/Cm² pipe</v>
          </cell>
          <cell r="C997">
            <v>0</v>
          </cell>
          <cell r="D997">
            <v>129</v>
          </cell>
        </row>
        <row r="998">
          <cell r="B998" t="str">
            <v>b) 40mm PVC 10 Kg/Cm² pipe</v>
          </cell>
          <cell r="C998">
            <v>0</v>
          </cell>
          <cell r="D998">
            <v>86.3</v>
          </cell>
        </row>
        <row r="999">
          <cell r="B999" t="str">
            <v>Supplying and delivery of following Dia GI Pipes</v>
          </cell>
          <cell r="C999" t="str">
            <v>Supplying and fixing of following dia GI pipe ‘B’ class and specials of best approved quality  including cost of materials and labour charges for laying, jointing, testing and redoing the dismantled portions with neat finish etc., all complete and  as  directed  by  the  departmental officers.</v>
          </cell>
          <cell r="D999">
            <v>0</v>
          </cell>
        </row>
        <row r="1000">
          <cell r="B1000" t="str">
            <v>a) 65 mm dia G.I pipe ( B class )</v>
          </cell>
          <cell r="C1000" t="str">
            <v>a) 65 mm dia G.I pipe ( B class )</v>
          </cell>
          <cell r="D1000">
            <v>242</v>
          </cell>
        </row>
        <row r="1001">
          <cell r="B1001" t="str">
            <v>b) 50mm dia G.I pipe ( B class )</v>
          </cell>
          <cell r="C1001" t="str">
            <v>a) 50 mm dia G.I pipe ( B class )</v>
          </cell>
          <cell r="D1001">
            <v>207</v>
          </cell>
        </row>
        <row r="1002">
          <cell r="B1002" t="str">
            <v xml:space="preserve">a) 50 mm dia  GI pipe (Above Ground Level)    </v>
          </cell>
          <cell r="C1002" t="str">
            <v xml:space="preserve">a) 50 mm dia  GI pipe (Above Ground Level)    </v>
          </cell>
          <cell r="D1002">
            <v>225.31</v>
          </cell>
        </row>
        <row r="1003">
          <cell r="B1003" t="str">
            <v xml:space="preserve">b)50 mm dia  GI pipe (Below Ground Level) </v>
          </cell>
          <cell r="C1003" t="str">
            <v xml:space="preserve">b)50 mm dia  GI pipe (Below Ground Level) </v>
          </cell>
          <cell r="D1003">
            <v>420.71</v>
          </cell>
        </row>
        <row r="1004">
          <cell r="B1004" t="str">
            <v>Labour charges for following dia of PVC pipes (Below Ground level)</v>
          </cell>
          <cell r="C1004">
            <v>0</v>
          </cell>
          <cell r="D1004">
            <v>0</v>
          </cell>
        </row>
        <row r="1005">
          <cell r="B1005" t="str">
            <v>a) 50mm PVC 10 Kg/Cm² pipe</v>
          </cell>
          <cell r="C1005">
            <v>0</v>
          </cell>
          <cell r="D1005">
            <v>68.319999999999993</v>
          </cell>
        </row>
        <row r="1006">
          <cell r="B1006" t="str">
            <v>b) 40 mm pvc  pipe</v>
          </cell>
          <cell r="C1006">
            <v>0</v>
          </cell>
          <cell r="D1006">
            <v>62.2</v>
          </cell>
        </row>
        <row r="1007">
          <cell r="B1007" t="str">
            <v>Labour charges for following dia of GI pipes (Below Ground level)</v>
          </cell>
          <cell r="C1007">
            <v>0</v>
          </cell>
          <cell r="D1007">
            <v>0</v>
          </cell>
        </row>
        <row r="1008">
          <cell r="B1008" t="str">
            <v>a) 65mm dia G.I pipe</v>
          </cell>
          <cell r="C1008">
            <v>0</v>
          </cell>
          <cell r="D1008">
            <v>72.180000000000007</v>
          </cell>
        </row>
        <row r="1009">
          <cell r="B1009" t="str">
            <v>b) 50mm dia  G.I pipe</v>
          </cell>
          <cell r="C1009">
            <v>0</v>
          </cell>
          <cell r="D1009">
            <v>70</v>
          </cell>
        </row>
        <row r="1010">
          <cell r="B1010" t="str">
            <v>Supply and delivery of following dia of PVC specials</v>
          </cell>
          <cell r="C1010">
            <v>0</v>
          </cell>
          <cell r="D1010">
            <v>0</v>
          </cell>
        </row>
        <row r="1011">
          <cell r="B1011" t="str">
            <v xml:space="preserve">a) 50mm dia PVC Coupling </v>
          </cell>
          <cell r="C1011">
            <v>0</v>
          </cell>
          <cell r="D1011">
            <v>12.2</v>
          </cell>
        </row>
        <row r="1012">
          <cell r="B1012" t="str">
            <v xml:space="preserve">b) 50mm dia PVC Elbow </v>
          </cell>
          <cell r="C1012">
            <v>0</v>
          </cell>
          <cell r="D1012">
            <v>24.5</v>
          </cell>
        </row>
        <row r="1013">
          <cell r="B1013" t="str">
            <v xml:space="preserve">c) 50mm dia PVC Tee </v>
          </cell>
          <cell r="C1013">
            <v>0</v>
          </cell>
          <cell r="D1013">
            <v>36.799999999999997</v>
          </cell>
        </row>
        <row r="1014">
          <cell r="B1014" t="str">
            <v>d) 40 x 32 mm dia PVC Reducer</v>
          </cell>
          <cell r="C1014">
            <v>0</v>
          </cell>
          <cell r="D1014">
            <v>11.4</v>
          </cell>
        </row>
        <row r="1015">
          <cell r="B1015" t="str">
            <v>e) 50 mm pvc  union</v>
          </cell>
          <cell r="C1015">
            <v>0</v>
          </cell>
          <cell r="D1015">
            <v>240</v>
          </cell>
        </row>
        <row r="1016">
          <cell r="B1016" t="str">
            <v>f) 40 mm  Tee</v>
          </cell>
          <cell r="C1016">
            <v>0</v>
          </cell>
          <cell r="D1016">
            <v>24.5</v>
          </cell>
        </row>
        <row r="1017">
          <cell r="B1017" t="str">
            <v>g) 40 mm Elbow</v>
          </cell>
          <cell r="C1017">
            <v>0</v>
          </cell>
          <cell r="D1017">
            <v>17.2</v>
          </cell>
        </row>
        <row r="1018">
          <cell r="B1018" t="str">
            <v>h) 40 mm union</v>
          </cell>
          <cell r="C1018">
            <v>0</v>
          </cell>
          <cell r="D1018">
            <v>112.8</v>
          </cell>
        </row>
        <row r="1019">
          <cell r="B1019" t="str">
            <v>Supplying and delivery of following dia of G.I specials</v>
          </cell>
          <cell r="C1019" t="str">
            <v>Supplying and delivery of following dia of G.I specials</v>
          </cell>
          <cell r="D1019">
            <v>0</v>
          </cell>
        </row>
        <row r="1020">
          <cell r="B1020" t="str">
            <v>a) 50mm dia G.I Bend</v>
          </cell>
          <cell r="C1020" t="str">
            <v>a) 50mm dia G.I Bend</v>
          </cell>
          <cell r="D1020">
            <v>115.2</v>
          </cell>
        </row>
        <row r="1021">
          <cell r="B1021" t="str">
            <v>b) 50mm dia G.I Union</v>
          </cell>
          <cell r="C1021">
            <v>0</v>
          </cell>
          <cell r="D1021">
            <v>263.7</v>
          </cell>
        </row>
        <row r="1022">
          <cell r="B1022" t="str">
            <v>c) 50mm dia G.I Hex Nipple</v>
          </cell>
          <cell r="C1022">
            <v>0</v>
          </cell>
          <cell r="D1022">
            <v>86.2</v>
          </cell>
        </row>
        <row r="1023">
          <cell r="B1023" t="str">
            <v>d) 63mm dia  Foot Valve</v>
          </cell>
          <cell r="C1023">
            <v>0</v>
          </cell>
          <cell r="D1023">
            <v>569</v>
          </cell>
        </row>
        <row r="1024">
          <cell r="B1024" t="str">
            <v>e) 50mm  dia G.I Tee</v>
          </cell>
          <cell r="C1024">
            <v>0</v>
          </cell>
          <cell r="D1024">
            <v>138.5</v>
          </cell>
        </row>
        <row r="1025">
          <cell r="B1025" t="str">
            <v>f) 50mm dia GM Non-Return valve</v>
          </cell>
          <cell r="C1025">
            <v>0</v>
          </cell>
          <cell r="D1025">
            <v>1836</v>
          </cell>
        </row>
        <row r="1026">
          <cell r="B1026" t="str">
            <v>g) 32mm dia  G.I Union</v>
          </cell>
          <cell r="C1026">
            <v>0</v>
          </cell>
          <cell r="D1026">
            <v>126.3</v>
          </cell>
        </row>
        <row r="1027">
          <cell r="B1027" t="str">
            <v>h) 32mm dia  G.I Hex Nipple</v>
          </cell>
          <cell r="C1027">
            <v>0</v>
          </cell>
          <cell r="D1027">
            <v>57.6</v>
          </cell>
        </row>
        <row r="1028">
          <cell r="B1028" t="str">
            <v>i) 32mm dia GM Gate valve</v>
          </cell>
          <cell r="C1028">
            <v>0</v>
          </cell>
          <cell r="D1028">
            <v>739</v>
          </cell>
        </row>
        <row r="1029">
          <cell r="B1029" t="str">
            <v>j)50mm dia GM Gate valve</v>
          </cell>
          <cell r="C1029">
            <v>0</v>
          </cell>
          <cell r="D1029">
            <v>1205</v>
          </cell>
        </row>
        <row r="1030">
          <cell r="B1030" t="str">
            <v>k) 25mm dia GM gate valve</v>
          </cell>
          <cell r="C1030">
            <v>0</v>
          </cell>
          <cell r="D1030">
            <v>577</v>
          </cell>
        </row>
        <row r="1031">
          <cell r="B1031" t="str">
            <v>l) 63 mm GI Flange set</v>
          </cell>
          <cell r="C1031">
            <v>0</v>
          </cell>
          <cell r="D1031">
            <v>86</v>
          </cell>
        </row>
        <row r="1032">
          <cell r="B1032" t="str">
            <v>m) 63 mm Elbow</v>
          </cell>
          <cell r="C1032">
            <v>0</v>
          </cell>
          <cell r="D1032">
            <v>126.8</v>
          </cell>
        </row>
        <row r="1033">
          <cell r="B1033" t="str">
            <v>n) 63 mm union</v>
          </cell>
          <cell r="C1033">
            <v>0</v>
          </cell>
          <cell r="D1033">
            <v>525</v>
          </cell>
        </row>
        <row r="1034">
          <cell r="B1034" t="str">
            <v>o)  50 mm coupling</v>
          </cell>
          <cell r="C1034">
            <v>0</v>
          </cell>
          <cell r="D1034">
            <v>69.2</v>
          </cell>
        </row>
        <row r="1035">
          <cell r="B1035" t="str">
            <v xml:space="preserve">Supplying and delivery of following Dia ASTM pipes </v>
          </cell>
          <cell r="C1035">
            <v>0</v>
          </cell>
          <cell r="D1035">
            <v>0</v>
          </cell>
        </row>
        <row r="1036">
          <cell r="B1036" t="str">
            <v>a) 50mm ASTM D schedule 40 threaded</v>
          </cell>
          <cell r="C1036">
            <v>0</v>
          </cell>
          <cell r="D1036">
            <v>156.69999999999999</v>
          </cell>
        </row>
        <row r="1037">
          <cell r="B1037" t="str">
            <v>Supplying and fixing of conceled shower valve</v>
          </cell>
          <cell r="C1037">
            <v>0</v>
          </cell>
          <cell r="D1037">
            <v>950</v>
          </cell>
        </row>
        <row r="1038">
          <cell r="B1038" t="str">
            <v>Supplying and fixing of CP shower arm with  rose</v>
          </cell>
          <cell r="C1038">
            <v>0</v>
          </cell>
          <cell r="D1038">
            <v>550</v>
          </cell>
        </row>
        <row r="1039">
          <cell r="B1039" t="str">
            <v>Supplying and fixing of CP flange</v>
          </cell>
          <cell r="C1039">
            <v>0</v>
          </cell>
          <cell r="D1039">
            <v>35</v>
          </cell>
        </row>
        <row r="1040">
          <cell r="B1040" t="str">
            <v>Supplying and fixing of CP Nipple</v>
          </cell>
          <cell r="C1040">
            <v>0</v>
          </cell>
          <cell r="D1040">
            <v>60</v>
          </cell>
        </row>
        <row r="1041">
          <cell r="B1041" t="str">
            <v>Supplying and fixing of precast exhaust fan cover</v>
          </cell>
          <cell r="C1041">
            <v>0</v>
          </cell>
          <cell r="D1041">
            <v>450</v>
          </cell>
        </row>
        <row r="1042">
          <cell r="B1042" t="str">
            <v>DOL STARTER WITH SINGLE PHASING PREVENTOR WITH  ANALOG AMMETER AND VOLTMETER CONFORMING TO IS 13947   WITH AUTO RESTART</v>
          </cell>
          <cell r="C1042">
            <v>0</v>
          </cell>
          <cell r="D1042">
            <v>4711</v>
          </cell>
        </row>
        <row r="1043">
          <cell r="B1043" t="str">
            <v>Supplying and fixing of 5 Hp Diesel motor 3" section  head 2.1/5" Delivery</v>
          </cell>
          <cell r="C1043">
            <v>0</v>
          </cell>
          <cell r="D1043">
            <v>45700</v>
          </cell>
        </row>
        <row r="1044">
          <cell r="B1044" t="str">
            <v xml:space="preserve">Supplying and fixing of Flexible hose of dia 2.1/2" etc.,all </v>
          </cell>
          <cell r="C1044">
            <v>0</v>
          </cell>
          <cell r="D1044">
            <v>210</v>
          </cell>
        </row>
        <row r="1045">
          <cell r="B1045" t="str">
            <v>Supplying and fixing of foot valve stainer   etc  all complete</v>
          </cell>
          <cell r="C1045">
            <v>0</v>
          </cell>
          <cell r="D1045">
            <v>538</v>
          </cell>
        </row>
        <row r="1046">
          <cell r="B1046" t="str">
            <v>S&amp;F of 63  Amps  3 phase  500  volts 4 pole  change over  switch over panel board  switch for  pump room etc all complete</v>
          </cell>
          <cell r="C1046">
            <v>0</v>
          </cell>
          <cell r="D1046">
            <v>3163</v>
          </cell>
        </row>
        <row r="1047">
          <cell r="B1047" t="str">
            <v>Supplying and fixing of MS angle of size 50 x 50 x 5 mm MS angle to hold LTUG cable in OH portion etc., all complete</v>
          </cell>
          <cell r="C1047" t="str">
            <v>Supplying and fixing of MS angle of size 50 x 50 x 5 mm MS angle to hold LTUG cable in OH portion etc., all complete</v>
          </cell>
          <cell r="D1047">
            <v>44.7</v>
          </cell>
        </row>
        <row r="1048">
          <cell r="B1048" t="str">
            <v>Supplying of 50 mm dia  GI pipe (Above Ground Level) approved quality</v>
          </cell>
          <cell r="C1048">
            <v>0</v>
          </cell>
          <cell r="D1048">
            <v>0</v>
          </cell>
        </row>
        <row r="1049">
          <cell r="B1049" t="str">
            <v>a) 50 mm dia  GI pipe (Above Ground Level)</v>
          </cell>
          <cell r="C1049">
            <v>0</v>
          </cell>
          <cell r="D1049">
            <v>207</v>
          </cell>
        </row>
        <row r="1050">
          <cell r="B1050" t="str">
            <v>b) 50 mm dia  GI Bend ( PWD 51)</v>
          </cell>
          <cell r="C1050">
            <v>0</v>
          </cell>
          <cell r="D1050">
            <v>115.2</v>
          </cell>
        </row>
        <row r="1051">
          <cell r="B1051" t="str">
            <v>Run of 4 Wires of 4 sqmm PVC insulated single core multi strand fire retardant flexible copper cable with ISI mark confirming IS: 694:1990.</v>
          </cell>
          <cell r="C1051">
            <v>0</v>
          </cell>
          <cell r="D1051">
            <v>234.5</v>
          </cell>
        </row>
        <row r="1052">
          <cell r="B1052" t="str">
            <v xml:space="preserve">Supplying of 3.5 core of 50 sqmm PVC armoued ALTUG cable ncluding cost of all materials etc all complete complying with relevant standard specifications and as directed by the departmental officers      ( CER NO : 371/18-19)     </v>
          </cell>
          <cell r="C1052">
            <v>0</v>
          </cell>
          <cell r="D1052">
            <v>294</v>
          </cell>
        </row>
        <row r="1053">
          <cell r="B1053" t="str">
            <v xml:space="preserve">Supplying of 3.5 core of 70 sqmm PVC armoued ALTUG cable including cost of all materials etc all complete complying with relevant standard specifications and as directed by the departmental officers( CER NO : 371/18-19)     </v>
          </cell>
          <cell r="C1053">
            <v>0</v>
          </cell>
          <cell r="D1053">
            <v>380.7</v>
          </cell>
        </row>
        <row r="1054">
          <cell r="B1054" t="str">
            <v xml:space="preserve">Supply and fixing of Brass cable gland suitable for 3.5 core 50 sqmm PVC armoured ALTUG cable( CER NO : 371/18-19)     </v>
          </cell>
          <cell r="C1054">
            <v>0</v>
          </cell>
          <cell r="D1054">
            <v>199</v>
          </cell>
        </row>
        <row r="1055">
          <cell r="B1055" t="str">
            <v xml:space="preserve">Supply and fixing of Brass cable gland suitable for 3.5 core 70 sqmm PVC armoured ALTUG cable( CER NO : 371/18-19)     </v>
          </cell>
          <cell r="C1055">
            <v>0</v>
          </cell>
          <cell r="D1055">
            <v>365</v>
          </cell>
        </row>
        <row r="1056">
          <cell r="B1056" t="str">
            <v xml:space="preserve">Supply and providing cable end termination of 3 1/2 x 50 sqmm PVC LTUG Aluminium armoured cable with necessary aluminium cable sockets by crimping etc. with electrical connection complete( CER NO : 371/18-19)     </v>
          </cell>
          <cell r="C1056">
            <v>0</v>
          </cell>
          <cell r="D1056">
            <v>229</v>
          </cell>
        </row>
        <row r="1057">
          <cell r="B1057" t="str">
            <v xml:space="preserve">Supplying and fixing of ALTUG end termination gripping for  3.5 core 70 sqmm ALTUG cable including cost of necessary materials ( CER NO : 371/18-19)     </v>
          </cell>
          <cell r="C1057">
            <v>0</v>
          </cell>
          <cell r="D1057">
            <v>247</v>
          </cell>
        </row>
        <row r="1058">
          <cell r="B1058" t="str">
            <v xml:space="preserve">Supply and fixing of TNEB Meter Board suitable for 3 Phases 100A service connection made up of suitable angle iron frame work of size 2 feet x 1 1/2 feet using angle iron of size 1 1/2" x 1 1/2" x 1/4" rigidly fixed on wall covered with hylem sheet of size 2 feet x 1/2 feet of 6mm thickness with necessary bolts and nuts supports and supply and fixing of 3 Nos 100A fuse units (500V) 1 No. Neutral link, copper earth flat of size 1" x 1/4" with inter connection of EB meter to fuse units by 7/16 PVC insulated copper wire with earth connection complete             ( ELE DATA 18-19-SD-130 </v>
          </cell>
          <cell r="C1058">
            <v>0</v>
          </cell>
          <cell r="D1058">
            <v>4133</v>
          </cell>
        </row>
        <row r="1059">
          <cell r="B1059" t="str">
            <v>Supplying and fixing of 100 amps (Triple pole) TPN metal clad switch with Rewirable fuse unit including cost of all materials and labour charges, etc all complete as per relevant standard specification and as directed by the departmental officers. (The quality and brand should be got approved from the executive engineer before use)</v>
          </cell>
          <cell r="C1059">
            <v>0</v>
          </cell>
          <cell r="D1059">
            <v>9644</v>
          </cell>
        </row>
        <row r="1060">
          <cell r="B1060" t="str">
            <v xml:space="preserve">Supplying and fixing of 3 Nos. of 100 amps 500 volts grade porcelain fuse unit on suitable teakwood plank varnished to be fixed on the top of pole/EB street pole with necessary clamps including cost of materials etc., all complete.( CER NO : 371/18-19)  </v>
          </cell>
          <cell r="C1060">
            <v>0</v>
          </cell>
          <cell r="D1060">
            <v>1415.3</v>
          </cell>
        </row>
        <row r="1061">
          <cell r="B1061" t="str">
            <v xml:space="preserve">Labour charges for laying of  3.5 core 50 sqmm PVC armoured ALTUG Cablea) Above Ground Level( CER NO : 371/18-19)  </v>
          </cell>
          <cell r="C1061">
            <v>0</v>
          </cell>
          <cell r="D1061">
            <v>100.75</v>
          </cell>
        </row>
        <row r="1062">
          <cell r="B1062" t="str">
            <v xml:space="preserve">Labour charges for laying of  3.5 core 70 sqmm PVC armoured ALTUG Cablea) Above Ground Level( CER NO : 371/18-19)  </v>
          </cell>
          <cell r="C1062">
            <v>0</v>
          </cell>
          <cell r="D1062">
            <v>116.91</v>
          </cell>
        </row>
        <row r="1063">
          <cell r="B1063" t="str">
            <v xml:space="preserve">METERING PANEL FOR 8SERVICES (6FLAT +1 COMMON &amp; 1 SPARE )  6 IN 1 </v>
          </cell>
          <cell r="C1063">
            <v>0</v>
          </cell>
          <cell r="D1063">
            <v>42200</v>
          </cell>
        </row>
        <row r="1064">
          <cell r="B1064" t="str">
            <v xml:space="preserve">METERING PANEL FOR 4SERVICES (2FLAT +1 COMMON &amp; 1 SPARE )  2IN 1 </v>
          </cell>
          <cell r="C1064">
            <v>0</v>
          </cell>
          <cell r="D1064">
            <v>28600</v>
          </cell>
        </row>
        <row r="1065">
          <cell r="B1065" t="str">
            <v xml:space="preserve">Supply and fixing of three phase DB box with steel enclosures with cable gland plates for flush /surface mounting with busbars neutral link and each bar (Without MCB) etc( CER NO : 371/18-19)  </v>
          </cell>
          <cell r="C1065">
            <v>0</v>
          </cell>
          <cell r="D1065">
            <v>3154</v>
          </cell>
        </row>
        <row r="1066">
          <cell r="B1066" t="str">
            <v xml:space="preserve">Supplying and fixing of Rotary switch with 3 nos Indicator lamps including interconnection wire etc( CER NO : 371/18-19)  </v>
          </cell>
          <cell r="C1066">
            <v>0</v>
          </cell>
          <cell r="D1066">
            <v>750</v>
          </cell>
        </row>
        <row r="1067">
          <cell r="B1067" t="str">
            <v xml:space="preserve">Supplying and fixing of single pole 6 Amps to 32 Amps MCB( CER NO : 371/18-19)  </v>
          </cell>
          <cell r="C1067">
            <v>0</v>
          </cell>
          <cell r="D1067">
            <v>125</v>
          </cell>
        </row>
        <row r="1068">
          <cell r="B1068" t="str">
            <v xml:space="preserve">Supplying and fixing of 4' 18 W LED Tube light fittings etc.,( CER NO : 371/18-19)  </v>
          </cell>
          <cell r="C1068">
            <v>0</v>
          </cell>
          <cell r="D1068">
            <v>600</v>
          </cell>
        </row>
        <row r="1069">
          <cell r="B1069" t="str">
            <v xml:space="preserve">Supplying and fixing of 12 w LED Bulb etc., all complete.( CER NO : 371/18-19)  </v>
          </cell>
          <cell r="C1069">
            <v>0</v>
          </cell>
          <cell r="D1069">
            <v>170</v>
          </cell>
        </row>
        <row r="1070">
          <cell r="B1070" t="str">
            <v xml:space="preserve">Supplying and fixing of Following watt LED Lamp etc., all complete.( CER NO : 371/18-19)  </v>
          </cell>
          <cell r="C1070">
            <v>0</v>
          </cell>
          <cell r="D1070">
            <v>0</v>
          </cell>
        </row>
        <row r="1071">
          <cell r="B1071" t="str">
            <v>a) 9W LED Bulb</v>
          </cell>
          <cell r="C1071">
            <v>0</v>
          </cell>
          <cell r="D1071">
            <v>81</v>
          </cell>
        </row>
        <row r="1072">
          <cell r="B1072" t="str">
            <v xml:space="preserve">Supplying and fixing of BulkHead Fittings suitable for 12 w LED Bulb etc., all complete.( CER NO : 371/18-19)  </v>
          </cell>
          <cell r="C1072">
            <v>0</v>
          </cell>
          <cell r="D1072">
            <v>431</v>
          </cell>
        </row>
        <row r="1073">
          <cell r="B1073" t="str">
            <v xml:space="preserve">Supply and fixing of 25w LED street light </v>
          </cell>
          <cell r="C1073" t="str">
            <v xml:space="preserve">Supplying and fixing of 25 W LED Street light fitting including labour charges for fixing of LED Street light fitting etc all complete as per relevant standard specification and as directed by the departmental officers. (The quality and brand should be got approved from the executive engineer before use) </v>
          </cell>
          <cell r="D1073">
            <v>2991</v>
          </cell>
        </row>
        <row r="1074">
          <cell r="B1074" t="str">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ell>
          <cell r="C1074">
            <v>0</v>
          </cell>
          <cell r="D1074">
            <v>140.25</v>
          </cell>
        </row>
        <row r="1075">
          <cell r="B1075" t="str">
            <v>Supplying &amp; fixing of 500 watt Focus light fittings etc., all complete.</v>
          </cell>
          <cell r="C1075">
            <v>0</v>
          </cell>
          <cell r="D1075">
            <v>800</v>
          </cell>
        </row>
        <row r="1076">
          <cell r="B1076" t="str">
            <v>Supplying and fixing of 250 watt sodium vapour fitting and lamp etc., all complete.</v>
          </cell>
          <cell r="C1076">
            <v>0</v>
          </cell>
          <cell r="D1076">
            <v>3529</v>
          </cell>
        </row>
        <row r="1077">
          <cell r="B1077" t="str">
            <v>Supplying &amp; fixing  of  12" dome light fittings and 9watts led bulb etc., all complete.</v>
          </cell>
          <cell r="C1077">
            <v>0</v>
          </cell>
          <cell r="D1077">
            <v>750</v>
          </cell>
        </row>
        <row r="1078">
          <cell r="B1078" t="str">
            <v>Supplying &amp; fixing of spot light fittings and led bulb etc., all complete.</v>
          </cell>
          <cell r="C1078">
            <v>0</v>
          </cell>
          <cell r="D1078">
            <v>475</v>
          </cell>
        </row>
        <row r="1079">
          <cell r="B1079" t="str">
            <v>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v>
          </cell>
          <cell r="C1079">
            <v>0</v>
          </cell>
          <cell r="D1079">
            <v>12940</v>
          </cell>
        </row>
        <row r="1080">
          <cell r="B1080" t="str">
            <v>MS door of Size 1000 x 2100mm</v>
          </cell>
          <cell r="C1080">
            <v>0</v>
          </cell>
          <cell r="D1080">
            <v>0</v>
          </cell>
        </row>
        <row r="1081">
          <cell r="B1081" t="str">
            <v>MS door of Size 750 x 1350mm</v>
          </cell>
          <cell r="C1081">
            <v>0</v>
          </cell>
          <cell r="D1081">
            <v>0</v>
          </cell>
        </row>
        <row r="1082">
          <cell r="B1082" t="str">
            <v>MS Ventilator of Size 900 x 600mm</v>
          </cell>
          <cell r="C1082">
            <v>0</v>
          </cell>
          <cell r="D1082">
            <v>3814.3333333333335</v>
          </cell>
        </row>
        <row r="1083">
          <cell r="B1083" t="str">
            <v>MS Ventilator of Size 600 x 600mm</v>
          </cell>
          <cell r="C1083">
            <v>0</v>
          </cell>
          <cell r="D1083">
            <v>4038.1500000000005</v>
          </cell>
        </row>
        <row r="1084">
          <cell r="B1084" t="str">
            <v>MS Ventilator of Size 1285 x 600mm</v>
          </cell>
          <cell r="C1084">
            <v>0</v>
          </cell>
          <cell r="D1084">
            <v>3472.717250324255</v>
          </cell>
        </row>
        <row r="1085">
          <cell r="B1085" t="str">
            <v>MS Ventilator of Size 1350 x 600mm</v>
          </cell>
          <cell r="C1085">
            <v>0</v>
          </cell>
          <cell r="D1085">
            <v>0</v>
          </cell>
        </row>
        <row r="1086">
          <cell r="B1086" t="str">
            <v>TW double leaves shutter of size 1800 x 2100mm</v>
          </cell>
          <cell r="C1086">
            <v>0</v>
          </cell>
          <cell r="D1086">
            <v>0</v>
          </cell>
        </row>
        <row r="1087">
          <cell r="B1087" t="str">
            <v>Ornamental TW double leaves panelled shutter of size 1800 x 2100mm</v>
          </cell>
          <cell r="C1087">
            <v>0</v>
          </cell>
          <cell r="D1087">
            <v>0</v>
          </cell>
        </row>
        <row r="1088">
          <cell r="B1088" t="str">
            <v>Ornamental TW double leaves panelled shutter of size 1800 x 2400mm</v>
          </cell>
          <cell r="C1088">
            <v>0</v>
          </cell>
          <cell r="D1088">
            <v>0</v>
          </cell>
        </row>
        <row r="1089">
          <cell r="B1089" t="str">
            <v>1500 liters capacity of HDPE Water Tank</v>
          </cell>
          <cell r="C1089">
            <v>0</v>
          </cell>
          <cell r="D1089">
            <v>12299.999999999998</v>
          </cell>
        </row>
        <row r="1090">
          <cell r="B1090" t="str">
            <v>Providing shahabad stone flooring</v>
          </cell>
          <cell r="C1090">
            <v>0</v>
          </cell>
          <cell r="D1090">
            <v>1276.4249</v>
          </cell>
        </row>
        <row r="1091">
          <cell r="B1091" t="str">
            <v xml:space="preserve">Eurocon Tiles flooring </v>
          </cell>
          <cell r="C1091" t="str">
            <v>Supplying and laying concrete tiles superior variety such as (Hindustan/Eurocon tiles etc.) for flooring in CM 1:3 (one of cement and three of sand) 20mm thick, including fixing in position, cutting the tiles to the required size wherever necessary, pointing the joints with colour cement, finishing, curing etc., complete and as directed by the departmental officers. (the brand quality of tiles should be got approved from the executive engineer before use).</v>
          </cell>
          <cell r="D1091">
            <v>1287.4591500000001</v>
          </cell>
        </row>
        <row r="1092">
          <cell r="B1092" t="str">
            <v xml:space="preserve">Vetrified Tiles flooring </v>
          </cell>
          <cell r="C1092">
            <v>0</v>
          </cell>
          <cell r="D1092">
            <v>1111.61915</v>
          </cell>
        </row>
        <row r="1093">
          <cell r="B1093" t="str">
            <v xml:space="preserve">kota stone  flooring </v>
          </cell>
          <cell r="C1093">
            <v>0</v>
          </cell>
          <cell r="D1093">
            <v>1448.6249</v>
          </cell>
        </row>
        <row r="1094">
          <cell r="B1094" t="str">
            <v xml:space="preserve">Granite Tiles flooring </v>
          </cell>
          <cell r="C1094">
            <v>0</v>
          </cell>
          <cell r="D1094">
            <v>1446.31915</v>
          </cell>
        </row>
        <row r="1095">
          <cell r="B1095" t="str">
            <v>Plastering with ccccm 1:3, 12mm mixed with WPC</v>
          </cell>
          <cell r="C1095">
            <v>0</v>
          </cell>
          <cell r="D1095">
            <v>234.34160000000003</v>
          </cell>
        </row>
        <row r="1096">
          <cell r="B1096" t="str">
            <v>HDPE water tank 5000 lit capacity</v>
          </cell>
          <cell r="C1096">
            <v>0</v>
          </cell>
          <cell r="D1096">
            <v>41000</v>
          </cell>
        </row>
        <row r="1097">
          <cell r="B1097" t="str">
            <v>T.W DOOR SHUTTER TWO LEAVES(1200 X 2100 mm ) with Brass Fittings</v>
          </cell>
          <cell r="C1097">
            <v>0</v>
          </cell>
          <cell r="D1097">
            <v>6085.6378923766815</v>
          </cell>
        </row>
        <row r="1098">
          <cell r="B1098" t="str">
            <v>TW Panelled Door 1500 X 2100MM (Double leaves)</v>
          </cell>
          <cell r="C1098">
            <v>0</v>
          </cell>
          <cell r="D1098">
            <v>4908.8699294532626</v>
          </cell>
        </row>
        <row r="1099">
          <cell r="B1099" t="str">
            <v>TW Panelled Door 1500 X 2400MM (Double leaves)</v>
          </cell>
          <cell r="C1099">
            <v>0</v>
          </cell>
          <cell r="D1099">
            <v>6049.4797885970529</v>
          </cell>
        </row>
        <row r="1100">
          <cell r="B1100" t="str">
            <v>TW Panelled Door 1200 X 2400MM (Double leaves)</v>
          </cell>
          <cell r="C1100">
            <v>0</v>
          </cell>
          <cell r="D1100">
            <v>6021.1544481054361</v>
          </cell>
        </row>
        <row r="1101">
          <cell r="B1101" t="str">
            <v>TW Panelled Door 1800 X 2400MM (Double leaves)</v>
          </cell>
          <cell r="C1101">
            <v>0</v>
          </cell>
          <cell r="D1101">
            <v>4717.8208860759487</v>
          </cell>
        </row>
        <row r="1102">
          <cell r="B1102" t="str">
            <v>Partly glazed and partly BWR panelled door shutter (Double leaves) with brass screws.a. 1500x2400mm</v>
          </cell>
          <cell r="C1102">
            <v>0</v>
          </cell>
          <cell r="D1102">
            <v>4755.8023702754645</v>
          </cell>
        </row>
        <row r="1103">
          <cell r="B1103" t="str">
            <v>Partly glazed and partly TW panelled door shutter (Double leaves) with brass screws.a. 1200x2400mm</v>
          </cell>
          <cell r="C1103">
            <v>0</v>
          </cell>
          <cell r="D1103">
            <v>5599.3528294892922</v>
          </cell>
        </row>
        <row r="1104">
          <cell r="B1104" t="str">
            <v>T.W DOOR SHUTTER TWO LEAVES(2000 X 2400 mm) WITH BRASS FITINGS</v>
          </cell>
          <cell r="C1104">
            <v>0</v>
          </cell>
          <cell r="D1104">
            <v>4935.3646010186749</v>
          </cell>
        </row>
        <row r="1105">
          <cell r="B1105" t="str">
            <v>BWR door 900 x 2400   single leaf</v>
          </cell>
          <cell r="C1105">
            <v>0</v>
          </cell>
          <cell r="D1105">
            <v>5337.5171164936555</v>
          </cell>
        </row>
        <row r="1106">
          <cell r="B1106" t="str">
            <v>BWR door 1050 x 2400   single leaf</v>
          </cell>
          <cell r="C1106">
            <v>0</v>
          </cell>
          <cell r="D1106">
            <v>4783.263945218644</v>
          </cell>
        </row>
        <row r="1107">
          <cell r="B1107" t="str">
            <v>BWR door 1200 x 2400   double leaves</v>
          </cell>
          <cell r="C1107">
            <v>0</v>
          </cell>
          <cell r="D1107">
            <v>5320.5997528830321</v>
          </cell>
        </row>
        <row r="1108">
          <cell r="B1108" t="str">
            <v>BWR door 1500 x 2400   double leaves</v>
          </cell>
          <cell r="C1108">
            <v>0</v>
          </cell>
          <cell r="D1108">
            <v>4755.8023702754645</v>
          </cell>
        </row>
        <row r="1109">
          <cell r="B1109" t="str">
            <v>450 x 375 x 20 m   thick TW plank</v>
          </cell>
          <cell r="C1109">
            <v>0</v>
          </cell>
          <cell r="D1109">
            <v>1169.9989583333333</v>
          </cell>
        </row>
        <row r="1110">
          <cell r="B1110" t="str">
            <v>40 mm dia GI pipe "B"class</v>
          </cell>
          <cell r="C1110" t="str">
            <v>Supplying and fixing 1 Nos of 32 amps 500 volts grade porcelain fuse unit on suitable teakwood plank varnished to be fixed on the top of pole eb street pole with necessary clamps including cost of all materials etc., all complete.</v>
          </cell>
          <cell r="D1110">
            <v>165</v>
          </cell>
        </row>
        <row r="1111">
          <cell r="B1111" t="str">
            <v>Supplying and fixing of Three phase ELCB</v>
          </cell>
          <cell r="C1111">
            <v>0</v>
          </cell>
          <cell r="D1111">
            <v>2870</v>
          </cell>
        </row>
        <row r="1112">
          <cell r="B1112" t="str">
            <v>MDF 900 x 2100 single</v>
          </cell>
          <cell r="C1112">
            <v>0</v>
          </cell>
          <cell r="D1112">
            <v>2936.4451219512198</v>
          </cell>
        </row>
        <row r="1113">
          <cell r="B1113" t="str">
            <v>MDF 1000 x 2100</v>
          </cell>
          <cell r="C1113">
            <v>0</v>
          </cell>
          <cell r="D1113">
            <v>2895.8656061437196</v>
          </cell>
        </row>
        <row r="1114">
          <cell r="B1114" t="str">
            <v>MDF 1200 x 2100</v>
          </cell>
          <cell r="C1114">
            <v>0</v>
          </cell>
          <cell r="D1114">
            <v>2825.6651884700668</v>
          </cell>
        </row>
        <row r="1115">
          <cell r="B1115" t="str">
            <v>MDF 1500 X 2100MM (Double Leaf)</v>
          </cell>
          <cell r="C1115">
            <v>0</v>
          </cell>
          <cell r="D1115">
            <v>3025.7526132404191</v>
          </cell>
        </row>
        <row r="1116">
          <cell r="B1116" t="str">
            <v>MDF 1200 X 2100MM (Double Leaf)</v>
          </cell>
          <cell r="C1116">
            <v>0</v>
          </cell>
          <cell r="D1116">
            <v>3142.8484848484854</v>
          </cell>
        </row>
        <row r="1117">
          <cell r="B1117" t="str">
            <v>MDF 1500 X 2400MM (Double Leaf)</v>
          </cell>
          <cell r="C1117">
            <v>0</v>
          </cell>
          <cell r="D1117">
            <v>2973.4407294832827</v>
          </cell>
        </row>
        <row r="1118">
          <cell r="B1118" t="str">
            <v>MDF  double leaf shutter with TW alround frame for ward robe / cup board</v>
          </cell>
          <cell r="C1118">
            <v>0</v>
          </cell>
          <cell r="D1118">
            <v>2060.91725</v>
          </cell>
        </row>
        <row r="1119">
          <cell r="B1119" t="str">
            <v>Varnishing one coat</v>
          </cell>
          <cell r="C1119">
            <v>0</v>
          </cell>
          <cell r="D1119">
            <v>104.2565</v>
          </cell>
        </row>
        <row r="1120">
          <cell r="B1120" t="str">
            <v>Varnishing two coat</v>
          </cell>
          <cell r="C1120">
            <v>0</v>
          </cell>
          <cell r="D1120">
            <v>163.33350000000002</v>
          </cell>
        </row>
        <row r="1121">
          <cell r="B1121" t="str">
            <v>Red oxide plastering in CM 1:4</v>
          </cell>
          <cell r="C1121">
            <v>0</v>
          </cell>
          <cell r="D1121">
            <v>654.53580000000011</v>
          </cell>
        </row>
        <row r="1122">
          <cell r="B1122" t="str">
            <v>Under reamed pile (Single)</v>
          </cell>
          <cell r="C1122">
            <v>0</v>
          </cell>
          <cell r="D1122">
            <v>1425.8637428571431</v>
          </cell>
        </row>
        <row r="1123">
          <cell r="B1123" t="str">
            <v>LIGHT POINT WITH CEILING ROSE FOR ADMINISTRATIVE BLOCKS AND COMMUNITY CENTRE</v>
          </cell>
          <cell r="C1123">
            <v>0</v>
          </cell>
          <cell r="D1123">
            <v>2199.7308333333335</v>
          </cell>
        </row>
        <row r="1124">
          <cell r="B1124" t="str">
            <v>LIGHT POINT WITH BAKELITE BATTERN TYPE HOLDER FOR ADMINISTRATIVE BLOCKS AND COMMUNITY CENTRE</v>
          </cell>
          <cell r="C1124">
            <v>0</v>
          </cell>
          <cell r="D1124">
            <v>2200.7308333333335</v>
          </cell>
        </row>
        <row r="1125">
          <cell r="B1125" t="str">
            <v>FAN POINT FOR ADMINISTRATIVE BLOCKS AND COMMUNITY CENTRE</v>
          </cell>
          <cell r="C1125">
            <v>0</v>
          </cell>
          <cell r="D1125">
            <v>2258.7308333333335</v>
          </cell>
        </row>
        <row r="1126">
          <cell r="B1126" t="str">
            <v>STAIRCASE LIGHT POINT FOR ADMINISTRATIVE BLOCKS AND COMMUNITY CENTRE</v>
          </cell>
          <cell r="C1126">
            <v>0</v>
          </cell>
          <cell r="D1126">
            <v>4103.7323333333334</v>
          </cell>
        </row>
        <row r="1127">
          <cell r="B1127" t="str">
            <v>2 X 2.5 Sq mm in fully concealed PVC conduit</v>
          </cell>
          <cell r="C1127">
            <v>0</v>
          </cell>
          <cell r="D1127">
            <v>187</v>
          </cell>
        </row>
        <row r="1128">
          <cell r="B1128" t="str">
            <v>2 X 4 Sq mm in fully concealed PVC conduit</v>
          </cell>
          <cell r="C1128">
            <v>0</v>
          </cell>
          <cell r="D1128">
            <v>219</v>
          </cell>
        </row>
        <row r="1129">
          <cell r="B1129" t="str">
            <v>4 X 4 Sq mm in fully concealed PVC conduit</v>
          </cell>
          <cell r="C1129">
            <v>0</v>
          </cell>
          <cell r="D1129">
            <v>326</v>
          </cell>
        </row>
        <row r="1130">
          <cell r="B1130" t="str">
            <v>32 AMPS DOUBLE POLE MAIN SWITCH ON TEAK WOOD BOARD TOP MES SERVICE CONNECTION / MOTOR PUMP( SINGLE PHASE ) SET</v>
          </cell>
          <cell r="C1130" t="str">
            <v xml:space="preserve">supplying and fixing of 32 amps double pole main switch with fuse and neutral link on a suitable well varnished teak wood board including necessary inter connection cost of all materials etc., all complete and as directed by the departmental officers. </v>
          </cell>
          <cell r="D1130">
            <v>1238</v>
          </cell>
        </row>
        <row r="1131">
          <cell r="B1131" t="str">
            <v>Supply and fixing 4 way 250 volt single phase with neutral link metalic distribution board on suitable Teak wood board etc., all complete including connections.</v>
          </cell>
          <cell r="C1131">
            <v>0</v>
          </cell>
          <cell r="D1131">
            <v>932</v>
          </cell>
        </row>
        <row r="1132">
          <cell r="B1132" t="str">
            <v>16 AMPS TPIC ON TEAK WOOD BOARD FOR 3 PHASE MES SERVICE CONNECTION AND 3 PHASE MOTOR PUMPSETS</v>
          </cell>
          <cell r="C1132">
            <v>0</v>
          </cell>
          <cell r="D1132">
            <v>1590.0033333333336</v>
          </cell>
        </row>
        <row r="1133">
          <cell r="B1133" t="str">
            <v>Supplying and fixing of 32 amps triple pole main switch with fuse and neutral link on a suitable well varnished teak wood board</v>
          </cell>
          <cell r="C1133">
            <v>0</v>
          </cell>
          <cell r="D1133">
            <v>2007.0033333333336</v>
          </cell>
        </row>
        <row r="1134">
          <cell r="B1134" t="str">
            <v>THREE PHASE DISTRIBUTION BOARD WITH 6 WAY PHASE AND 30 AMPS / WAY WITH FUSE AND NEUTRAL LINK ON SUITABLE TW PLANK TOP MES CONNECTION BOARD (FOR 12 IN 1 BLOCKS)</v>
          </cell>
          <cell r="C1134">
            <v>0</v>
          </cell>
          <cell r="D1134">
            <v>4016.0020833333328</v>
          </cell>
        </row>
        <row r="1135">
          <cell r="B1135" t="str">
            <v>THREE PHASE DISTRIBUTION BOARD WITH 4 WAY PHASE AND 3 AMPS/WAY FUSE AND NEUTRAL LINK FOR MES SERVICE CONNECTION ( 6 IN 1  BLOCKS )</v>
          </cell>
          <cell r="C1135">
            <v>0</v>
          </cell>
          <cell r="D1135">
            <v>3250.0020833333333</v>
          </cell>
        </row>
        <row r="1136">
          <cell r="B1136" t="str">
            <v>FIXING OF TUBE LIGHT FITTINGS ON WALL / CEILING</v>
          </cell>
          <cell r="C1136">
            <v>0</v>
          </cell>
          <cell r="D1136">
            <v>250.00450000000001</v>
          </cell>
        </row>
        <row r="1137">
          <cell r="B1137" t="str">
            <v>FIXING OF TUBE FITTINGS SUSPENDED FROM CEILING</v>
          </cell>
          <cell r="C1137">
            <v>0</v>
          </cell>
          <cell r="D1137">
            <v>417.00200000000001</v>
          </cell>
        </row>
        <row r="1138">
          <cell r="B1138" t="str">
            <v xml:space="preserve">( to be supplied by the department free of cost ) on suitable well varnished teak wood plank </v>
          </cell>
          <cell r="C1138">
            <v>0</v>
          </cell>
          <cell r="D1138">
            <v>330</v>
          </cell>
        </row>
        <row r="1139">
          <cell r="B1139" t="str">
            <v xml:space="preserve">Charges for fixing single phase RCCB/ELCB on fully concealed suitable MS BOX </v>
          </cell>
          <cell r="C1139">
            <v>0</v>
          </cell>
          <cell r="D1139">
            <v>633</v>
          </cell>
        </row>
        <row r="1140">
          <cell r="B1140" t="str">
            <v xml:space="preserve">Charges for fixing three phase RCCB/ ELCB  on suitable well varnished teak wood plank </v>
          </cell>
          <cell r="C1140">
            <v>0</v>
          </cell>
          <cell r="D1140">
            <v>418</v>
          </cell>
        </row>
        <row r="1141">
          <cell r="B1141" t="str">
            <v xml:space="preserve">Charges for fixing Three  phase RCCB/ELCB  on fully concealed suitable MS BOX </v>
          </cell>
          <cell r="C1141">
            <v>0</v>
          </cell>
          <cell r="D1141">
            <v>647</v>
          </cell>
        </row>
        <row r="1142">
          <cell r="B1142" t="str">
            <v>Supplying and delivery of Single phase ELCB/RCCB</v>
          </cell>
          <cell r="C1142">
            <v>0</v>
          </cell>
          <cell r="D1142">
            <v>1492</v>
          </cell>
        </row>
        <row r="1143">
          <cell r="B1143" t="str">
            <v>Supplying and delivery of Three phase ELCB/RCCB</v>
          </cell>
          <cell r="C1143" t="str">
            <v>Supplying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 suitable sheet steel enclosure confirming to is 12640/1988 including cost of ELCB/RCCB on fully concealed suitable M.S box with necessary inter connections and earth connections using copper cable including cost of all materials etc., all complete</v>
          </cell>
          <cell r="D1143">
            <v>1840</v>
          </cell>
        </row>
        <row r="1144">
          <cell r="B1144" t="str">
            <v>2 x 4 Sqm.m Copper PVC insulated unsheathed single core 1 KV grade cable for EB service single phase.</v>
          </cell>
          <cell r="C1144" t="str">
            <v>Run off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v>
          </cell>
          <cell r="D1144">
            <v>126.00444444444442</v>
          </cell>
        </row>
        <row r="1145">
          <cell r="B1145" t="str">
            <v>4 x 4  Sq mm copper PVC insulated unsheathed single core cable for 3 phase EB service connection</v>
          </cell>
          <cell r="C1145">
            <v>0</v>
          </cell>
          <cell r="D1145">
            <v>220.99555555555554</v>
          </cell>
        </row>
        <row r="1146">
          <cell r="B1146" t="str">
            <v xml:space="preserve">Supply of 40 mm dia GI pipe "B"class </v>
          </cell>
          <cell r="C1146">
            <v>0</v>
          </cell>
          <cell r="D1146">
            <v>165</v>
          </cell>
        </row>
        <row r="1147">
          <cell r="B1147" t="str">
            <v>Laying of U.G. Cable below Ground Level</v>
          </cell>
          <cell r="C1147">
            <v>0</v>
          </cell>
          <cell r="D1147">
            <v>228.92559333333335</v>
          </cell>
        </row>
        <row r="1148">
          <cell r="B1148" t="str">
            <v>Fixing of UG cables on Walls / Ceiling</v>
          </cell>
          <cell r="C1148">
            <v>0</v>
          </cell>
          <cell r="D1148">
            <v>135.00003703703703</v>
          </cell>
        </row>
        <row r="1149">
          <cell r="B1149" t="str">
            <v>Fixing of Tube light street light fitting</v>
          </cell>
          <cell r="C1149">
            <v>0</v>
          </cell>
          <cell r="D1149">
            <v>1903.0058333333332</v>
          </cell>
        </row>
        <row r="1150">
          <cell r="B1150" t="str">
            <v>Charges for fixing Mercury, Sodium Vapour lamp street light fittings ( all types ) in the existing pole with required GI pipes 'B' class and accessories ( Street light fittings alone will be supplied departmentally at free of cost ).</v>
          </cell>
          <cell r="C1150">
            <v>0</v>
          </cell>
          <cell r="D1150">
            <v>2018.0058333333332</v>
          </cell>
        </row>
        <row r="1151">
          <cell r="B1151" t="str">
            <v>S &amp; F TNEB Meter Board made up of MS box 600 x 225 mm with door and lock and key arrangements</v>
          </cell>
          <cell r="C1151" t="str">
            <v>Supply and fixng of TNEB Moter Board suitable for 3 Phases 100A service connection made up of suitable angle iron frame work of size 2 feet x 1 1/2 feet using angle iron of size 1 1/2" x 1 1/2" x 1/4" rigidly fixed on wall covered with hylem sheet of size 2 feet x 1 1/2 feet of 12mm thickness with necessary bolts and nuts supports and supply and fixing of 3 Nos 100A fuse units (500V) 1 No. Neutral link, copper earth flat of size 1" x 1/4" with inter connection of EB meter to fuse units by 7/16 PVC insulated copper wire with earth connection complete</v>
          </cell>
          <cell r="D1151">
            <v>4685.0083333333332</v>
          </cell>
        </row>
        <row r="1152">
          <cell r="B1152" t="str">
            <v>25 mm dia PVC pipe Heavy duty with ISI mark for TV/ Telephone line</v>
          </cell>
          <cell r="C1152">
            <v>0</v>
          </cell>
          <cell r="D1152">
            <v>81.3</v>
          </cell>
        </row>
        <row r="1153">
          <cell r="B1153" t="str">
            <v xml:space="preserve">TV/Telephone line junction </v>
          </cell>
          <cell r="C1153">
            <v>0</v>
          </cell>
          <cell r="D1153">
            <v>52.995000000000005</v>
          </cell>
        </row>
        <row r="1154">
          <cell r="B1154" t="str">
            <v xml:space="preserve">Supply and erection of Tubular lamp, using 65 mm dia GI pipe 'B' class pipe with ISI mark of 6 mt length and 20 mm dia GI pipe 'B' class upto 2 mt with. </v>
          </cell>
          <cell r="C1154">
            <v>0</v>
          </cell>
          <cell r="D1154">
            <v>6505</v>
          </cell>
        </row>
        <row r="1155">
          <cell r="B1155" t="str">
            <v>Tube light -  Box type</v>
          </cell>
          <cell r="C1155">
            <v>0</v>
          </cell>
          <cell r="D1155">
            <v>591.94450000000006</v>
          </cell>
        </row>
        <row r="1156">
          <cell r="B1156" t="str">
            <v>Open wiring for Light point with ceiling rose for flats/ houses</v>
          </cell>
          <cell r="C1156">
            <v>0</v>
          </cell>
          <cell r="D1156">
            <v>745.00116666666668</v>
          </cell>
        </row>
        <row r="1157">
          <cell r="B1157" t="str">
            <v>Open wiring Light point with bakelite batern type holder for flats/ houses(Open wiring)</v>
          </cell>
          <cell r="C1157">
            <v>0</v>
          </cell>
          <cell r="D1157">
            <v>748.00116666666668</v>
          </cell>
        </row>
        <row r="1158">
          <cell r="B1158" t="str">
            <v>Open wiring POINT WIRING FOR CALLING BELL / BUZZER WITH PUSH SWITCH FOR ALL TYPE OF BUILDING (OPEN WIRING)</v>
          </cell>
          <cell r="C1158">
            <v>0</v>
          </cell>
          <cell r="D1158">
            <v>786.00150000000008</v>
          </cell>
        </row>
        <row r="1159">
          <cell r="B1159" t="str">
            <v>Open wiring FAN POINT FOR ADMINISTRATIVE BLOCKS AND COMMUNITY CENTRE</v>
          </cell>
          <cell r="C1159">
            <v>0</v>
          </cell>
          <cell r="D1159">
            <v>829.00116666666668</v>
          </cell>
        </row>
        <row r="1160">
          <cell r="B1160" t="str">
            <v>Open wiring STAIRCASE LIGHT POINT FOR ADMINISTRATIVE BLOCKS AND COMMUNITY CENTRE (Open wiring)</v>
          </cell>
          <cell r="C1160">
            <v>0</v>
          </cell>
          <cell r="D1160">
            <v>1760.0056666666667</v>
          </cell>
        </row>
        <row r="1161">
          <cell r="B1161" t="str">
            <v>Open wiring 5 AMPS 5 PIN PLUG SOCKET POINT AT CONVENIENT PLACES (OPEN WIRING)</v>
          </cell>
          <cell r="C1161">
            <v>0</v>
          </cell>
          <cell r="D1161">
            <v>572.00077777777778</v>
          </cell>
        </row>
        <row r="1162">
          <cell r="B1162" t="str">
            <v>Open wiring 2 X1.5 Sqm.m in fully concealed PVC conduit</v>
          </cell>
          <cell r="C1162">
            <v>0</v>
          </cell>
          <cell r="D1162">
            <v>105.99888888888889</v>
          </cell>
        </row>
        <row r="1163">
          <cell r="B1163" t="str">
            <v xml:space="preserve"> Open wiring 2 X 2.5 Sq mm in fully concealed PVC conduit (open wiring)</v>
          </cell>
          <cell r="C1163" t="str">
            <v>Run off main with 2 wires of 2.5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complete.(Open wiring)</v>
          </cell>
          <cell r="D1163">
            <v>120.99888888888889</v>
          </cell>
        </row>
        <row r="1164">
          <cell r="B1164" t="str">
            <v>whitewashing one coat</v>
          </cell>
          <cell r="C1164">
            <v>0</v>
          </cell>
          <cell r="D1164">
            <v>18.756700000000002</v>
          </cell>
        </row>
        <row r="1165">
          <cell r="B1165" t="str">
            <v>whitewashing one coat for old wall</v>
          </cell>
          <cell r="C1165" t="str">
            <v>White washing One coats for existing surface using clean shell lime slaked including cost of lime, gum, blue, brushes including scaffolding etc., complete in all respects.</v>
          </cell>
          <cell r="D1165">
            <v>22.12</v>
          </cell>
        </row>
        <row r="1166">
          <cell r="B1166" t="str">
            <v>whitewashing two coat for old wall</v>
          </cell>
          <cell r="C1166" t="str">
            <v>White washing two coats for existing surface using clean shell lime slaked including cost of lime, gum, blue, brushes including scaffolding etc., complete in all respects.</v>
          </cell>
          <cell r="D1166">
            <v>27.306900000000006</v>
          </cell>
        </row>
        <row r="1167">
          <cell r="B1167" t="str">
            <v>Thorough scrapping the old wall</v>
          </cell>
          <cell r="C1167" t="str">
            <v>Thorough scrapping of old plastered surface and Washing of plastered surface with soap, soda and water (or with soda lime, brush and water) including the cost required tools and plants and scaffolding if necessary and clearing the debris away from the site etc., all complete and as directed by the competent authority.</v>
          </cell>
          <cell r="D1167">
            <v>3.3600000000000003</v>
          </cell>
        </row>
        <row r="1168">
          <cell r="B1168" t="str">
            <v>Thorough scrapping the old iron work</v>
          </cell>
          <cell r="C1168">
            <v>0</v>
          </cell>
          <cell r="D1168">
            <v>7.245000000000001</v>
          </cell>
        </row>
        <row r="1169">
          <cell r="B1169" t="str">
            <v>Thorough scrapping the old wood work</v>
          </cell>
          <cell r="C1169">
            <v>0</v>
          </cell>
          <cell r="D1169">
            <v>7.7700000000000005</v>
          </cell>
        </row>
        <row r="1170">
          <cell r="B1170" t="str">
            <v>Cement paint one coat for old wall</v>
          </cell>
          <cell r="C1170">
            <v>0</v>
          </cell>
          <cell r="D1170">
            <v>58.956249999999997</v>
          </cell>
        </row>
        <row r="1171">
          <cell r="B1171" t="str">
            <v>Cement paint two coat for old wall</v>
          </cell>
          <cell r="C1171" t="str">
            <v>Painting two coats using approved quality of best cement paint over the old wall surfaces, ceiling or other  similar works including cost of cement paints, putty, brushes, watering, curing, etc., all complete and as directed by the departmental officers (paints and its shade shall be got approved from the executive engineer before using)</v>
          </cell>
          <cell r="D1171">
            <v>112.59634999999999</v>
          </cell>
        </row>
        <row r="1172">
          <cell r="B1172" t="str">
            <v>painting one coat for old iron work</v>
          </cell>
          <cell r="C1172" t="str">
            <v>Painting the old iron work and other similar works such as PVC/ASTM pipes, kerb stone and grills with one coats of approved first class synthetic enamel ready mixed paint including thorugh scrapping with approved quality and brand, the paint should be  supplied by the contractor at his own cost (the quality and the brand of paint should be got approved by the executive engineer before use) complying with relevant standard specification.</v>
          </cell>
          <cell r="D1172">
            <v>77.494700000000009</v>
          </cell>
        </row>
        <row r="1173">
          <cell r="B1173" t="str">
            <v>painting two coat for old iron work</v>
          </cell>
          <cell r="C1173" t="str">
            <v>Painting the old iron work and other similar works such as PVC/ASTM pipes, kerb stone and grills with two coats of approved first class synthetic enamel ready mixed paint including thorugh scrapping with approved quality and brand, the paint should be  supplied by the contractor at his own cost (the quality and the brand of paint should be got approved by the executive engineer before use) complying with relevant standard specification.</v>
          </cell>
          <cell r="D1173">
            <v>120.23230000000001</v>
          </cell>
        </row>
        <row r="1174">
          <cell r="B1174" t="str">
            <v>painting one coat for old wood work</v>
          </cell>
          <cell r="C1174" t="str">
            <v>Painting the old wood work with One coats of approved first class synthetic enamel ready mixed paint of approved quality and shade, the paint should be supplied by the contractor at his own cost (the quality and the shade of paint should be got approved by the executive engineer before use) complying with relevant standard specifications.</v>
          </cell>
          <cell r="D1174">
            <v>84.134399999999999</v>
          </cell>
        </row>
        <row r="1175">
          <cell r="B1175" t="str">
            <v>painting two coat for old wood work</v>
          </cell>
          <cell r="C1175" t="str">
            <v>Painting the old wood work with two coats of approved first class synthetic enamel ready mixed paint of approved quality and shade, the paint should be supplied by the contractor at his own cost (the quality and the shade of paint should be got approved by the executive engineer before use) complying with relevant standard specifications.</v>
          </cell>
          <cell r="D1175">
            <v>137.93960000000001</v>
          </cell>
        </row>
        <row r="1176">
          <cell r="B1176" t="str">
            <v>Matt paint one coat for old wall</v>
          </cell>
          <cell r="C1176">
            <v>0</v>
          </cell>
          <cell r="D1176">
            <v>78.050250000000005</v>
          </cell>
        </row>
        <row r="1177">
          <cell r="B1177" t="str">
            <v>Plastic Emulsion PAINT one coat for old wall</v>
          </cell>
          <cell r="C1177" t="str">
            <v>Painting the Old walls with one coats of approved best ready mixed plastic emulsion paint in  cement plastered wall surfaces and ceiling including cost of plastic emulsion paint, putty, brushers etc., all complete and as directed by the departmental officers (the emulsion paint and its shade should be got approved from the executive engineer before using)</v>
          </cell>
          <cell r="D1177">
            <v>71.746499999999997</v>
          </cell>
        </row>
        <row r="1178">
          <cell r="B1178" t="str">
            <v>Plastic Emulsion PAINT two coat for old wall</v>
          </cell>
          <cell r="C1178" t="str">
            <v>Painting the Old walls with Two coats of approved best ready mixed plastic emulsion paint in  cement plastered wall surfaces and ceiling including cost of plastic emulsion paint, putty, brushers etc., all complete and as directed by the departmental officers (the emulsion paint and its shade should be got approved from the executive engineer before using)</v>
          </cell>
          <cell r="D1178">
            <v>141.18450000000001</v>
          </cell>
        </row>
        <row r="1179">
          <cell r="B1179" t="str">
            <v xml:space="preserve">Supplying and fixing of 6Amps to 32 Amps single pole MCB </v>
          </cell>
          <cell r="C1179" t="str">
            <v>Supplying and fixing of 6Amps to 32 Amps single pole MCB  including cost of all materials and labour charges, etc all complete as per relevant standard specification and as directed by the departmental officers. (The quality and brand should be got approved from the executive engineer before use)</v>
          </cell>
          <cell r="D1179">
            <v>126</v>
          </cell>
        </row>
        <row r="1180">
          <cell r="B1180" t="str">
            <v>Dismantling the RCC etc all complete</v>
          </cell>
          <cell r="C1180" t="str">
            <v>Dismantling clearing away and carefully stacking materials useful for reuse for Reinforced Cement Concrete including the cost of required tools and plants scaffolding if necessary and clearing the debris away from the site etc  all complete and as directed by the departmental officers.</v>
          </cell>
          <cell r="D1180">
            <v>5297.25</v>
          </cell>
        </row>
        <row r="1181">
          <cell r="B1181" t="str">
            <v>Dismantling the brick work under 3m height wall</v>
          </cell>
          <cell r="C1181" t="str">
            <v>Dismantling clearing away and carefully stacking materials useful for reuse for Brick wall in Cement mortor including the cost of required tools and plants scaffolding if necessary and clearing the debris away from the site etc  all complete and as directed by the departmental officers.</v>
          </cell>
          <cell r="D1181">
            <v>202.65</v>
          </cell>
        </row>
        <row r="1182">
          <cell r="B1182" t="str">
            <v>Dismantling the Pressed tiles &amp; weathering course</v>
          </cell>
          <cell r="C1182" t="str">
            <v>Dismantling clearing away and carefully stacking materials useful for reuse for pressed tiles and weathering course  the cost of required tools and plants if necessary and clearing the debris away from the site etc  all complete and as directed by the departmental officers.</v>
          </cell>
          <cell r="D1182">
            <v>32.97</v>
          </cell>
        </row>
        <row r="1183">
          <cell r="B1183" t="str">
            <v>Dismantling Plain Cement Concrete</v>
          </cell>
          <cell r="C1183" t="str">
            <v>Dismantling clearing away and carefully stacking materials useful for reuse for Plain Cement Concrete including the cost of required tools and plants scaffolding if necessary and clearing the debris away from the site etc  all complete and as directed by the departmental officers.</v>
          </cell>
          <cell r="D1183">
            <v>348.6</v>
          </cell>
        </row>
        <row r="1184">
          <cell r="B1184" t="str">
            <v>Dismantling of Mosaic Tiles / Glazed Tiles / Cuddapah Slabs</v>
          </cell>
          <cell r="C1184" t="str">
            <v>Dismantling, clearing away and carefully stacking materials useful for re-use for Floor finish and dadooing walls in cement mortar with Mosaic Tiles / Glazed Tiles / Cuddapah Slabs</v>
          </cell>
          <cell r="D1184">
            <v>43.680000000000007</v>
          </cell>
        </row>
        <row r="1185">
          <cell r="B1185" t="str">
            <v>Chipping of plastering for existing wall portion etc., all complete</v>
          </cell>
          <cell r="C1185" t="str">
            <v>Chipping of concrete and roughening the existing ceiling surfaces including the cost required tools and plants and scaffolding if necessary and clearing the debris away from the site etc., all complete and as directed by the competent authority.</v>
          </cell>
          <cell r="D1185">
            <v>28.980000000000004</v>
          </cell>
        </row>
        <row r="1186">
          <cell r="B1186" t="str">
            <v>Supplying of 2 core 10 sqmm.</v>
          </cell>
          <cell r="C1186" t="str">
            <v>Supplying of 2 core 10 sqmm. PVC armoured LTUG cable(Aluminium UG Cable 1100V Grade) with ISI mark) including cost of cable and conveying to the site of work etc all complete complying with relevant standard specifications and as directed by the departmental officers</v>
          </cell>
          <cell r="D1186">
            <v>105.2</v>
          </cell>
        </row>
        <row r="1187">
          <cell r="B1187" t="str">
            <v>Supplying of 3.5 core 25 sqmm.</v>
          </cell>
          <cell r="C1187" t="str">
            <v>Supplying of 3.5 core 25 sqmm. PVC armoured LTUG cable(Aluminium UG Cable 1100V Grade) with ISI mark) including cost of cable and conveying to the site of work etc all complete complying with relevant standard specifications and as directed by the departmental officers</v>
          </cell>
          <cell r="D1187">
            <v>195.5</v>
          </cell>
        </row>
        <row r="1188">
          <cell r="B1188" t="str">
            <v>Supplying of 3.5 core 35 sqmm.</v>
          </cell>
          <cell r="C1188" t="str">
            <v>Supplying of 3.5 core 35 sqmm. PVC armoured LTUG cable(Aluminium UG Cable 1100V Grade) with ISI mark) including cost of cable and conveying to the site of work etc all complete complying with relevant standard specifications and as directed by the departmental officers</v>
          </cell>
          <cell r="D1188">
            <v>230.1</v>
          </cell>
        </row>
        <row r="1189">
          <cell r="B1189" t="str">
            <v>Supplying of 3.5 core 50 sqmm.</v>
          </cell>
          <cell r="C1189" t="str">
            <v>Supplying of 3.5 core 50 sqmm. PVC armoured LTUG cable(Aluminium UG Cable 1100V Grade) with ISI mark) including cost of cable and conveying to the site of work etc all complete complying with relevant standard specifications and as directed by the departmental officers</v>
          </cell>
          <cell r="D1189">
            <v>299.8</v>
          </cell>
        </row>
        <row r="1190">
          <cell r="B1190" t="str">
            <v>Supplying of 3.5 core 70 sqmm.</v>
          </cell>
          <cell r="C1190" t="str">
            <v>Supplying of 3.5 core 70 sqmm. PVC armoured LTUG cable(Aluminium UG Cable 1100V Grade) with ISI mark) including cost of cable and conveying to the site of work etc all complete complying with relevant standard specifications and as directed by the departmental officers</v>
          </cell>
          <cell r="D1190">
            <v>384.5</v>
          </cell>
        </row>
        <row r="1191">
          <cell r="B1191" t="str">
            <v>Supplying of 3.5 core 95 sqmm.</v>
          </cell>
          <cell r="C1191" t="str">
            <v>Supplying of 3.5 core 95 sqmm. PVC armoured LTUG cable(Aluminium UG Cable 1100V Grade) with ISI mark) including cost of cable and conveying to the site of work etc all complete complying with relevant standard specifications and as directed by the departmental officers</v>
          </cell>
          <cell r="D1191">
            <v>497.7</v>
          </cell>
        </row>
        <row r="1192">
          <cell r="B1192" t="str">
            <v>Supplying of 3.5 core 120 sqmm.</v>
          </cell>
          <cell r="C1192" t="str">
            <v>Supplying of 3.5 core 120 sqmm. PVC armoured LTUG cable(Aluminium UG Cable 1100V Grade) with ISI mark) including cost of cable and conveying to the site of work etc all complete complying with relevant standard specifications and as directed by the departmental officers</v>
          </cell>
          <cell r="D1192">
            <v>607.9</v>
          </cell>
        </row>
        <row r="1193">
          <cell r="B1193" t="str">
            <v>Supplying of 3.5 core 150 sqmm.</v>
          </cell>
          <cell r="C1193" t="str">
            <v>Supplying of 3.5 core 150 sqmm. PVC armoured LTUG cable(Aluminium UG Cable 1100V Grade) with ISI mark) including cost of cable and conveying to the site of work etc all complete complying with relevant standard specifications and as directed by the departmental officers</v>
          </cell>
          <cell r="D1193">
            <v>720</v>
          </cell>
        </row>
        <row r="1194">
          <cell r="B1194" t="str">
            <v>Supplying of 4 core of 16 sqmm</v>
          </cell>
          <cell r="C1194" t="str">
            <v>Supplying of 4 core of 16 sqmm PVC armored ALTUG cable including cost of all materials etc all complete complying with relevant standard specifications and as directed by the departmental officers0</v>
          </cell>
          <cell r="D1194">
            <v>161.69999999999999</v>
          </cell>
        </row>
        <row r="1195">
          <cell r="B1195" t="str">
            <v>Supplying of 4 core of 10 sqmm</v>
          </cell>
          <cell r="C1195" t="str">
            <v>Supplying of 4 core of 10 sqmm PVC armored ALTUG cable including cost of all materials etc all complete complying with relevant standard specifications and as directed by the departmental officers</v>
          </cell>
          <cell r="D1195">
            <v>122.7</v>
          </cell>
        </row>
        <row r="1196">
          <cell r="B1196" t="str">
            <v>Supply and fixing of brass cable gland for XLPE armoured LTUG cable for following sizes with earth connection.</v>
          </cell>
          <cell r="C1196" t="str">
            <v>Supply and fixing of brass cable gland for XLPE armoured LTUG cable for following sizes with earth connection.</v>
          </cell>
          <cell r="D1196">
            <v>0</v>
          </cell>
        </row>
        <row r="1197">
          <cell r="B1197" t="str">
            <v>a) 3.5 c x 120 sqmm PVC / XLPE LTUG armoured cable   (SD 191)</v>
          </cell>
          <cell r="C1197" t="str">
            <v>a) 3.5 c x 120 sqmm PVC / XLPE LTUG armoured cable   (SD 191)</v>
          </cell>
          <cell r="D1197">
            <v>504</v>
          </cell>
        </row>
        <row r="1198">
          <cell r="B1198" t="str">
            <v>b) 3.5 c x 70 sqmm PVC  / XLPE LTUG armoured cable  (SD 189</v>
          </cell>
          <cell r="C1198" t="str">
            <v>b) 3.5 c x 70 sqmm PVC  / XLPE LTUG armoured cable  (SD 189</v>
          </cell>
          <cell r="D1198">
            <v>463</v>
          </cell>
        </row>
        <row r="1199">
          <cell r="B1199" t="str">
            <v>c) 3.5 c x 25 sqmm PVC / XLPE LTUG armoured cable  (SD 186)</v>
          </cell>
          <cell r="C1199" t="str">
            <v>c) 3.5 c x 25 sqmm PVC / XLPE LTUG armoured cable  (SD 186)</v>
          </cell>
          <cell r="D1199">
            <v>340</v>
          </cell>
        </row>
        <row r="1200">
          <cell r="B1200" t="str">
            <v>d) 4 c x 16 sqmm PVC / XLPE LTUG armoured cable  (Data - AB)</v>
          </cell>
          <cell r="C1200" t="str">
            <v>d) 4 c x 16 sqmm PVC / XLPE LTUG armoured cable  (Data - AB)</v>
          </cell>
          <cell r="D1200">
            <v>327</v>
          </cell>
        </row>
        <row r="1201">
          <cell r="B1201" t="str">
            <v>e) 4 c x 10 sqmm PVC  / XLPE LTUG armoured cable(Data - AC)</v>
          </cell>
          <cell r="C1201" t="str">
            <v>e) 4 c x 10 sqmm PVC  / XLPE LTUG armoured cable(Data - AC)</v>
          </cell>
          <cell r="D1201">
            <v>319</v>
          </cell>
        </row>
        <row r="1202">
          <cell r="B1202" t="str">
            <v>Supply and providing cable end termination of following sizes of XLPE armoured LTUG Aluminium cable with necessary aluminium cable sockets by crimping etc. with electrical connection complete.</v>
          </cell>
          <cell r="C1202" t="str">
            <v>Supply and providing cable end termination of following sizes of XLPE armoured LTUG Aluminium cable with necessary aluminium cable sockets by crimping etc. with electrical connection complete.</v>
          </cell>
          <cell r="D1202">
            <v>0</v>
          </cell>
        </row>
        <row r="1203">
          <cell r="B1203" t="str">
            <v>a) 3.5 c x 120sqmm PVC / XLPE LTUG armoured cable  (SD 240)</v>
          </cell>
          <cell r="C1203" t="str">
            <v>a) 3.5 c x 120sqmm PVC / XLPE LTUG armoured cable  (SD 240)</v>
          </cell>
          <cell r="D1203">
            <v>442</v>
          </cell>
        </row>
        <row r="1204">
          <cell r="B1204" t="str">
            <v>b) 3.5 c x 70 sqmm PVC / XLPE  LTUG armoured cable (SD 238)</v>
          </cell>
          <cell r="C1204" t="str">
            <v>b) 3.5 c x 70 sqmm PVC / XLPE  LTUG armoured cable (SD 238)</v>
          </cell>
          <cell r="D1204">
            <v>293</v>
          </cell>
        </row>
        <row r="1205">
          <cell r="B1205" t="str">
            <v>c) 3.5 c x 25 sqmm PVC / XLPE  LTUG armoured cable  (SD 235)</v>
          </cell>
          <cell r="C1205" t="str">
            <v>c) 3.5 c x 25 sqmm PVC / XLPE  LTUG armoured cable  (SD 235)</v>
          </cell>
          <cell r="D1205">
            <v>277</v>
          </cell>
        </row>
        <row r="1206">
          <cell r="B1206" t="str">
            <v>d) 4 c x 16 sqmm PVC / XLPE  LTUG armoured cable  (Data - AG</v>
          </cell>
          <cell r="C1206" t="str">
            <v>d) 4 c x 16 sqmm PVC / XLPE  LTUG armoured cable  (Data - AG</v>
          </cell>
          <cell r="D1206">
            <v>274</v>
          </cell>
        </row>
        <row r="1207">
          <cell r="B1207" t="str">
            <v>e) 4 c x 10 sqmm PVC  / XLPE LTUG armoured cable  (Data - AH</v>
          </cell>
          <cell r="C1207" t="str">
            <v>e) 4 c x 10 sqmm PVC  / XLPE LTUG armoured cable  (Data - AH</v>
          </cell>
          <cell r="D1207">
            <v>274</v>
          </cell>
        </row>
        <row r="1208">
          <cell r="B1208" t="str">
            <v xml:space="preserve">Supply and fixing of triple pole and neutral four way 7 segment 3 tier </v>
          </cell>
          <cell r="C1208" t="str">
            <v>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63A 10KA DP MCB with 63A   30 mA ELCB double poleOutgoing:   12 Nos. 6 A / 20A 10KA SP MCB    DATA -AILDB : 5 Nos.PDB : 2 Nos.</v>
          </cell>
          <cell r="D1208">
            <v>15777</v>
          </cell>
        </row>
        <row r="1209">
          <cell r="B1209" t="str">
            <v xml:space="preserve">Supply and fixing of 25 mm x 3 mm x 300 mm copper flat on wall in the lift machine room for providing earth connection to the lift machinery </v>
          </cell>
          <cell r="C1209" t="str">
            <v xml:space="preserve">Supply and fixing of 25 mm x 3 mm x 300 mm copper flat on wall in the lift machine room for providing earth connection to the lift machinery </v>
          </cell>
          <cell r="D1209">
            <v>222</v>
          </cell>
        </row>
        <row r="1210">
          <cell r="B1210" t="str">
            <v xml:space="preserve">Supplying, Fixing and testing and commissioning of MCB </v>
          </cell>
          <cell r="C1210" t="str">
            <v xml:space="preserve">Supplying, Fixing and testing and commissioning of MCB </v>
          </cell>
          <cell r="D1210">
            <v>0</v>
          </cell>
        </row>
        <row r="1211">
          <cell r="B1211" t="str">
            <v>40 A TPN 10 kA MCB - Data AM</v>
          </cell>
          <cell r="C1211" t="str">
            <v>40 A TPN 10 kA MCB - Data AM</v>
          </cell>
          <cell r="D1211">
            <v>1888</v>
          </cell>
        </row>
        <row r="1212">
          <cell r="B1212" t="str">
            <v>10/20/32A DP 10 KA MCB - Data AN Master control switch for each dormitory</v>
          </cell>
          <cell r="C1212" t="str">
            <v>10/20/32A DP 10 KA MCB - Data AN  Master control switch for each dormitory</v>
          </cell>
          <cell r="D1212">
            <v>1149</v>
          </cell>
        </row>
        <row r="1213">
          <cell r="B1213" t="str">
            <v>63A TPN 10 KA MCB - Data AO</v>
          </cell>
          <cell r="C1213" t="str">
            <v>63A TPN 10 KA MCB - Data AO</v>
          </cell>
          <cell r="D1213">
            <v>2417</v>
          </cell>
        </row>
        <row r="1214">
          <cell r="B1214" t="str">
            <v>Supply and erection of 100 Amps capacity floor mounting / wall mounting panel board (Cubical type) with bus bar</v>
          </cell>
          <cell r="C1214" t="str">
            <v>Supply and erection of 100 Amps capacity floor mounting / wall mounting panel board (Cubical type) with bus bar</v>
          </cell>
          <cell r="D1214">
            <v>55127</v>
          </cell>
        </row>
        <row r="1215">
          <cell r="B1215" t="str">
            <v xml:space="preserve">Supply and erection of 125 Amps capacity floor mounting / wall mounting panel board (Cubical type) with bus bar </v>
          </cell>
          <cell r="C1215" t="str">
            <v xml:space="preserve">Supply and erection of 125 Amps capacity floor mounting / wall mounting panel board (Cubical type) with bus bar </v>
          </cell>
          <cell r="D1215">
            <v>131916</v>
          </cell>
        </row>
        <row r="1216">
          <cell r="B1216" t="str">
            <v>supply and fixing of MS box of suitable size for the terrmination of cable ( with in and out arrangements) and with earth connections. - DATA AV</v>
          </cell>
          <cell r="C1216" t="str">
            <v>supply and fixing of MS box of suitable size for the terrmination of cable ( with in and out arrangements) and with earth connections. - DATA AV</v>
          </cell>
          <cell r="D1216">
            <v>598.4</v>
          </cell>
        </row>
        <row r="1217">
          <cell r="B1217" t="str">
            <v>Manhole Cover SFRC 750mm x 750mm</v>
          </cell>
          <cell r="C1217" t="str">
            <v>Supplying and fixing of Manhole Cover SFRC for the size of 750mm x 750mm  of approved quality and brand  including cost of material labour charges for fixing etc., all complete and as directed by the departmental officers.</v>
          </cell>
          <cell r="D1217">
            <v>2913</v>
          </cell>
        </row>
        <row r="1218">
          <cell r="B1218" t="str">
            <v>Supplying and fixing of Rotary switch with 3 nos Indicator lamps including interconnection wire etc</v>
          </cell>
          <cell r="C1218" t="str">
            <v>Supplying and fixing of Rotary switch with 3 nos Indicator lamps including interconnection wire etc</v>
          </cell>
          <cell r="D1218">
            <v>850</v>
          </cell>
        </row>
        <row r="1219">
          <cell r="B1219">
            <v>0</v>
          </cell>
          <cell r="C1219">
            <v>0</v>
          </cell>
          <cell r="D1219">
            <v>0</v>
          </cell>
        </row>
        <row r="1220">
          <cell r="B1220">
            <v>0</v>
          </cell>
          <cell r="C1220">
            <v>0</v>
          </cell>
          <cell r="D1220">
            <v>0</v>
          </cell>
        </row>
        <row r="1221">
          <cell r="B1221">
            <v>0</v>
          </cell>
          <cell r="C1221">
            <v>0</v>
          </cell>
          <cell r="D1221">
            <v>0</v>
          </cell>
        </row>
        <row r="1222">
          <cell r="B1222">
            <v>0</v>
          </cell>
          <cell r="C1222">
            <v>0</v>
          </cell>
          <cell r="D1222">
            <v>0</v>
          </cell>
        </row>
        <row r="1223">
          <cell r="B1223" t="str">
            <v>Supply, Installation, Testing and Commissioning of 2 KVA sinewave single phase inverter with exide tubular battery for 30 minutes backup time with suitable rack / trolly for inverter and batteries.Data AP</v>
          </cell>
          <cell r="C1223" t="str">
            <v>Supply, Installation, Testing and Commissioning of 2 KVA sinewave single phase inverter with exide tubular battery for 30 minutes backup time with suitable rack / trolly for inverter and batteries.Data AP</v>
          </cell>
          <cell r="D1223">
            <v>36300</v>
          </cell>
        </row>
        <row r="1224">
          <cell r="B1224" t="str">
            <v>Labour charges for laying of PVC Armoured LTUG Cable excluding Civil works etc.,all complete and as directed by the departmental officers a) Below Ground Level</v>
          </cell>
          <cell r="C1224" t="str">
            <v>Labour charges for laying of PVC Armoured LTUG Cable excluding Civil works etc.,all complete and as directed by the departmental officers a) Below Ground Level</v>
          </cell>
          <cell r="D1224">
            <v>228.92559333333335</v>
          </cell>
        </row>
        <row r="1225">
          <cell r="B1225" t="str">
            <v>Labour charges for fixing of PVC Armoured LTUG Cable  in Vertical wall (or) EB Pole etc., all complete and as directed by the departmental officers Above Ground Level</v>
          </cell>
          <cell r="C1225" t="str">
            <v>Labour charges for fixing of PVC Armoured LTUG Cable  in Vertical wall (or) EB Pole etc., all complete and as directed by the departmental officers Above Ground Level</v>
          </cell>
          <cell r="D1225">
            <v>135.00003703703703</v>
          </cell>
        </row>
        <row r="1226">
          <cell r="B1226" t="str">
            <v>Supplying and fixing of Galvalume sheet roofing  0.47mm thick</v>
          </cell>
          <cell r="C1226" t="str">
            <v>Supplying and fixing of Galvalume sheet roofing  0.47mm thick with required bolt and nuts and labour for fixing etc., all complete and as directed by the departmental officers</v>
          </cell>
          <cell r="D1226">
            <v>838.88800000000015</v>
          </cell>
        </row>
        <row r="1227">
          <cell r="B1227" t="str">
            <v>Supplying and fixing mild steel angles</v>
          </cell>
          <cell r="C1227" t="str">
            <v>Supplying and fixing mild steel angles for truss and labour for fixing in position etc., all complete.PWD SR(20-21) (P.No:23,S.No:168)+(P.No.34,S.No:167)</v>
          </cell>
          <cell r="D1227">
            <v>84.88000000000001</v>
          </cell>
        </row>
        <row r="1228">
          <cell r="B1228" t="str">
            <v xml:space="preserve">Supplying and fixing the 300mm dia (NP2 class) </v>
          </cell>
          <cell r="C1228" t="str">
            <v>Supplying and fixing the 300mm dia (NP2 class) RCC non pressure spun pipe with socket and spigot ends as per IS 458/2003 manufactured with sulphate resistant cement with 12 mm HI -alumina lining with rubber ring joints and fixing the pipes with necessary connections etc., complete in all respects and as directed by the departmental officers.TWAD SR 2019-2020</v>
          </cell>
          <cell r="D1228">
            <v>873</v>
          </cell>
        </row>
        <row r="1229">
          <cell r="B1229" t="str">
            <v>Special Type Cup-board Shutter for higher officer</v>
          </cell>
          <cell r="C1229">
            <v>0</v>
          </cell>
          <cell r="D1229">
            <v>12279.187</v>
          </cell>
        </row>
        <row r="1230">
          <cell r="B1230" t="str">
            <v>Supplying, testing and commission of 1.5  ton capacity Hi-wall counted single split type AC unit</v>
          </cell>
          <cell r="C1230" t="str">
            <v>Supplying, testing and commission of 3 Star   1.5  ton capacity Hi-wall counted single split type AC unit superior variety/make consisting of outdoor condensing unit complete with compressor and air cooler condenser with fan motor and one indoor unit with evaporator blower including cost of copper piping etc., including initial charging of refrigerant gas and suitable for single phase operation (With cardless remote control facilities). all complete and as directed by departmental officers (the quality and brand should be got approved from the executive engineer before use)(PWD SR 20-21  P141 Part-N 1 b )</v>
          </cell>
          <cell r="D1230">
            <v>31100</v>
          </cell>
        </row>
        <row r="1231">
          <cell r="B1231" t="str">
            <v>Supplying, testing and commission of 2 ton capacity Hi-wall counted single split type AC unit</v>
          </cell>
          <cell r="C1231" t="str">
            <v>Supplying, testing and commission of 3 Star   2  ton capacity Hi-wall counted single split type AC unit superior variety/make consisting of outdoor condensing unit complete with compressor and air cooler condenser with fan motor and one indoor unit with evaporator blower including cost of copper piping etc., including initial charging of refrigerant gas and suitable for single phase operation (With cardless remote control facilities). all complete and as directed by departmental officers (the quality and brand should be got approved from the executive engineer before use)(PWD SR 20-21  P141 Part-N 1 b )</v>
          </cell>
          <cell r="D1231">
            <v>41400</v>
          </cell>
        </row>
        <row r="1232">
          <cell r="B1232" t="str">
            <v>Supply and installation of 4 KVA capacity Automatic  Voltage Stabilizer with time delay relay (V-Gurad Equivalent)</v>
          </cell>
          <cell r="C1232" t="str">
            <v>Supply and installation of 4 KVA capacity Automatic  Voltage Stabilizer with time delay relay (V-Gurad Equivalent)(PWD SR 20-21  P141 Part-N 1 b )</v>
          </cell>
          <cell r="D1232">
            <v>4160</v>
          </cell>
        </row>
        <row r="1233">
          <cell r="B1233" t="str">
            <v>Supply and installation of 5 KVA capacity Automatic  Voltage Stabilizer with time delay relay (V-Gurad Equivalent)</v>
          </cell>
          <cell r="C1233" t="str">
            <v>Supply and installation of 5 KVA capacity Automatic  Voltage Stabilizer with time delay relay (V-Gurad Equivalent)(PWD SR 20-21  P141 Part-N 1 b )</v>
          </cell>
          <cell r="D1233">
            <v>4625</v>
          </cell>
        </row>
        <row r="1234">
          <cell r="B1234" t="str">
            <v>Supply and laying of 5/8" and 3/8" copper pipe (Extra beyond 3 metres supplied with AC unit)</v>
          </cell>
          <cell r="C1234" t="str">
            <v>Supply and laying of 5/8" and 3/8" copper pipe (Extra beyond 3 metres supplied with AC unit)(PWD SR 20-21 P141 Part-N 1 e )</v>
          </cell>
          <cell r="D1234">
            <v>880</v>
          </cell>
        </row>
        <row r="1235">
          <cell r="B1235" t="str">
            <v>Supply and fixing of MS stand for fixing outdoor unit</v>
          </cell>
          <cell r="C1235" t="str">
            <v>Supply and fixing of MS stand for fixing outdoor unit (PWD SR 20-21  P141 Part-N 1 b )</v>
          </cell>
          <cell r="D1235">
            <v>1020</v>
          </cell>
        </row>
        <row r="1236">
          <cell r="B1236" t="str">
            <v>WATER HEATER WITH ISI MARK 25 Liter</v>
          </cell>
          <cell r="C1236" t="str">
            <v xml:space="preserve">Supply and fixing of 1000w/230v automatic electric water heater of 25 litres capacity including cost of fixing with all necessary connections, clamps, screws etc., complete as per relevant standard specification (electric water heater shall be got approved from the executive engineer before use) and as directed by the departmental officers. </v>
          </cell>
          <cell r="D1236">
            <v>6710</v>
          </cell>
        </row>
        <row r="1237">
          <cell r="B1237" t="str">
            <v>SS Heavy Duty Long Body Tap 15mm</v>
          </cell>
          <cell r="C1237" t="str">
            <v>supplying and fixing of 15mm dia SS Heavy Duty  long body tap of best quality including cost of fittings with required specials, bends, labour for fixing etc, all complete and as directed by the departmental officers., (the quality and brand of fittings should be got approved from executive engineer before use).</v>
          </cell>
          <cell r="D1237">
            <v>1515</v>
          </cell>
        </row>
        <row r="1238">
          <cell r="B1238" t="str">
            <v>18W LED 3000K Square Type Recessed Fitting with LED(PWD SR 20-21  P114  )</v>
          </cell>
          <cell r="C1238" t="str">
            <v xml:space="preserve">Supplying and fixing of spot light (18W LED 3000K Square Type ) including labour charges for fixing of light etc all complete </v>
          </cell>
          <cell r="D1238">
            <v>1358</v>
          </cell>
        </row>
        <row r="1239">
          <cell r="B1239" t="str">
            <v>Wall Mounting Fan</v>
          </cell>
          <cell r="C1239" t="str">
            <v>Supplying and delivery of following electric 400mm Wall Fan  with ISI mark with blades and double ball bearing, capacitor, etc., complete. operation on  230 volts 50 htz single phase ac supply conforming and provided with insulation. (the brand should be got approved from the executive engineer before supply made).</v>
          </cell>
          <cell r="D1239">
            <v>2200</v>
          </cell>
        </row>
        <row r="1240">
          <cell r="B1240" t="str">
            <v>Supplying of 20 feet street light pole</v>
          </cell>
          <cell r="C1240" t="str">
            <v>Supplying of 20 feet street light pole complete set  with necessary accessories such as 2"3mm thick MS pipe -10 feet height ,1 1/2" 3mm thick MS pipe -10 feet height ,3/4" GI pipe 2 1/2 feet with necessary  1 1/2" 3/4" clamp-2 Nos and 6x4 street light box -1 Nos,10A Connector -1Nos,1.5 sqmm wire 15 mtrs, 1/2: foundation bolt-4 nos,25 W LED Street light fitting-1 Nos etc all complete.</v>
          </cell>
          <cell r="D1240">
            <v>4800</v>
          </cell>
        </row>
        <row r="1241">
          <cell r="B1241" t="str">
            <v>Supply and Fixing of Sigle phase DB 16A / way with 16 Amps DP Switch of 500v with metal clad  with F&amp; Non suitable TW board with PWD Earthing.( SD- 145 -20-21 )</v>
          </cell>
          <cell r="C1241" t="str">
            <v>Supply and Fixing of Sigle phase DB 16A / way with 16 Amps DP Switch of 500v with metal clad  with F&amp; Non suitable TW board with PWD Earthing.</v>
          </cell>
          <cell r="D1241">
            <v>3867</v>
          </cell>
        </row>
        <row r="1242">
          <cell r="B1242" t="str">
            <v xml:space="preserve">Supplying and fixing of SS Rod including Screen </v>
          </cell>
          <cell r="C1242" t="str">
            <v>Supplying and fixing of Stainless steel Rod including Screen and labour for fixing in position etc., all complete.Quotation</v>
          </cell>
          <cell r="D1242">
            <v>1500</v>
          </cell>
        </row>
        <row r="1243">
          <cell r="B1243" t="str">
            <v xml:space="preserve">AC Repair and Refilling Gas </v>
          </cell>
          <cell r="C1243" t="str">
            <v>Removing and Repair , Reconditioning the AC  and Refilling Gas all complete and as directed by the departmental officers.Quotation</v>
          </cell>
          <cell r="D1243">
            <v>4500</v>
          </cell>
        </row>
        <row r="1244">
          <cell r="B1244" t="str">
            <v xml:space="preserve">Reconditioning the AC Unit </v>
          </cell>
          <cell r="C1244" t="str">
            <v xml:space="preserve">Reconditioning the AC Unit and Cleaning the Dust Forming in the AC  and Labour charges etc., all complete.Quotation </v>
          </cell>
          <cell r="D1244">
            <v>800</v>
          </cell>
        </row>
        <row r="1245">
          <cell r="B1245" t="str">
            <v>Below ground level</v>
          </cell>
          <cell r="C1245">
            <v>0</v>
          </cell>
          <cell r="D1245">
            <v>0</v>
          </cell>
        </row>
        <row r="1246">
          <cell r="B1246" t="str">
            <v>a. 32 mm dia  Below Ground level</v>
          </cell>
          <cell r="C1246" t="str">
            <v xml:space="preserve">Supplying and delivery of 32mm dia UPVC Pipe including cost of all materials and labour charges all complete complying with relevant standard specifications and as directed by the departmental officers </v>
          </cell>
          <cell r="D1246">
            <v>267.97000000000003</v>
          </cell>
        </row>
        <row r="1247">
          <cell r="B1247" t="str">
            <v>b. 25 mm dia   Below Ground level</v>
          </cell>
          <cell r="C1247" t="str">
            <v xml:space="preserve">Supplying and delivery of 25mm dia UPVC Pipe including cost of all materials and labour charges all complete complying with relevant standard specifications and as directed by the departmental officers </v>
          </cell>
          <cell r="D1247">
            <v>241.07</v>
          </cell>
        </row>
        <row r="1248">
          <cell r="B1248" t="str">
            <v>c. 20mm Below Ground level</v>
          </cell>
          <cell r="C1248" t="str">
            <v xml:space="preserve">Supplying and delivery of 20mm dia UPVC Pipe including cost of all materials and labour charges all complete complying with relevant standard specifications and as directed by the departmental officers </v>
          </cell>
          <cell r="D1248">
            <v>217.57</v>
          </cell>
        </row>
        <row r="1249">
          <cell r="B1249" t="str">
            <v xml:space="preserve">Supplying and fixing of CP Pillar cock  including cost of all materials and all labour charges etc complete </v>
          </cell>
          <cell r="C1249" t="str">
            <v>Supplying and fixing of Pillar cock of best quality including cost of Pillar cock with required specials and labour for fixing etc., all complete and as directed by the departmental officers. (the quality and brand should be got approved from the executive engineer before use)  PWD SOR 20-21-P.54</v>
          </cell>
          <cell r="D1249">
            <v>265</v>
          </cell>
        </row>
        <row r="1250">
          <cell r="B1250" t="str">
            <v xml:space="preserve">Supplying and fixing of Angular Stop Cock - 2 way  including cost of all materials and all labour charges etc complete </v>
          </cell>
          <cell r="C1250" t="str">
            <v xml:space="preserve">Supplying and fixing of Angular Stop Cock - 2 way of best quality including cost of Pillar cock with required specials and labour for fixing etc., all complete and as directed by the departmental officers. (the quality and brand should be got approved from the executive engineer before use)  </v>
          </cell>
          <cell r="D1250">
            <v>1400</v>
          </cell>
        </row>
        <row r="1251">
          <cell r="B1251" t="str">
            <v xml:space="preserve">Supply and fixing of shower arm with shower rose </v>
          </cell>
          <cell r="C1251" t="str">
            <v>Supply and fixing of shower arm with shower rose (Jaquar fittings  Model No. OHS-CHR-1755 )  of best approved quality with necessary isi mark (shower rose shall be got approved from the executive engineer before fixing) etc. complete complying with relevant standard specification and as directed by the departmental officers.</v>
          </cell>
          <cell r="D1251">
            <v>4245</v>
          </cell>
        </row>
        <row r="1252">
          <cell r="B1252">
            <v>0</v>
          </cell>
          <cell r="C1252">
            <v>0</v>
          </cell>
          <cell r="D1252">
            <v>0</v>
          </cell>
        </row>
        <row r="1253">
          <cell r="B1253" t="str">
            <v xml:space="preserve">Supply and fixing of Health faucet approved quality with ISI mark including cost of all materials and all labour charges etc complete </v>
          </cell>
          <cell r="C1253" t="str">
            <v>Supply and fixing of Health faucet approved quality with ISI mark including cost of all materials and all labour charges etc complete PWD SOR 20-201-P.55</v>
          </cell>
          <cell r="D1253">
            <v>2020</v>
          </cell>
        </row>
        <row r="1254">
          <cell r="B1254" t="str">
            <v>S &amp; F SS 3 pin Coat stand</v>
          </cell>
          <cell r="C1254" t="str">
            <v>Supplying and fixing of Stainless  with Three pins for coat stand including cost of plugs, nails, screws and labour for fixing in position etc., all complete and as directed by the departmental officers.</v>
          </cell>
          <cell r="D1254">
            <v>3500</v>
          </cell>
        </row>
        <row r="1255">
          <cell r="B1255" t="str">
            <v>Panel board -2 HP</v>
          </cell>
          <cell r="C1255" t="str">
            <v>Supply and delivery of 2 HPdirect online starter confirming to IS13947 and IEC60947-1 suitable KW rating for operation in AC/Three Phase/50HZ(± 5%) and   415 V(±10%) including Ammeter, Voltmeter, Thermal Overload relay, 16 Amps  2 pole Magnetic Contactor with  under Voltage protection, Indication lamp, starting capacitor, running capacitor and On/Off Push button switches, 5 way connector, wiring with 1 sq. mm/1.5 sq. mm copper PVC insulated cable, powder coated vermin proof box including the capacitor (the cost of capacitor is to be taken separately).</v>
          </cell>
          <cell r="D1255">
            <v>13006</v>
          </cell>
        </row>
        <row r="1256">
          <cell r="B1256" t="str">
            <v>Supplying and fixing of G.I roofing sheet with etc. all complete</v>
          </cell>
          <cell r="C1256" t="str">
            <v>Supplying and fixing of Galvalume sheet roofing  0.47mm thick with required bolt and nuts and labour for fixing etc., all complete and as directed by the departmental officers</v>
          </cell>
          <cell r="D1256">
            <v>838.88800000000015</v>
          </cell>
        </row>
        <row r="1257">
          <cell r="B1257" t="str">
            <v>Supplying and fixing mild steel angles for truss including cost of all materials and labour charges, etc all complete.</v>
          </cell>
          <cell r="C1257" t="str">
            <v>Supplying and fixing mild steel angles for truss including cost of all materials and labour charges, etc all complete as per relevant standard specification and as directed by the departmental officers. (The quality and brand should be got approved from the executive engineer before use)</v>
          </cell>
          <cell r="D1257">
            <v>84.88000000000001</v>
          </cell>
        </row>
        <row r="1258">
          <cell r="B1258" t="str">
            <v>Fire fighting</v>
          </cell>
          <cell r="C1258" t="str">
            <v>Fire fighting</v>
          </cell>
          <cell r="D1258">
            <v>0</v>
          </cell>
        </row>
        <row r="1259">
          <cell r="B1259" t="str">
            <v>FOR TERRACE BOOSTER PUMP</v>
          </cell>
          <cell r="C1259" t="str">
            <v>FOR TERRACE BOOSTER PUMP</v>
          </cell>
          <cell r="D1259">
            <v>0</v>
          </cell>
        </row>
        <row r="1260">
          <cell r="B1260" t="str">
            <v>Installation , testing and commissioning of electric driven Terrace / Mono Block Booster pump suitable for automatic operation and consisting of following :complete in all respect as required.a)  Horizontal  type,  centrifugal  End  Suction  pump  of  cast  iron  body  &amp;  cast  iron  body impeller with stainless steel shaft, mechanical seal to ensure a minimum pressure of 3.5 Kg  /sq.cm.  at  highest  and  farthest  outlet  at  specified  flow  of  450  lpm  at  35  Mtr  head conforming to IS 1520, 5.5 KW,7.5hp, 2 pole, TEFC, 415 V, 3ph motorb) M.S. Fabricated common base plate, coupling, coupling guard, foundation bolts etc as required.c) Suitable cement concrete foundation duly plastered with anti vibration pads.Note: Terrace Pump</v>
          </cell>
          <cell r="C1260" t="str">
            <v>Installation , testing and commissioning of electric driven Terrace / Mono Block Booster pump suitable for automatic operation and consisting of following :complete in all respect as required.a)  Horizontal  type,  centrifugal  End  Suction  pump  of  cast  iron  body  &amp;  cast  iron  body impeller with stainless steel shaft, mechanical seal to ensure a minimum pressure of 3.5 Kg  /sq.cm.  at  highest  and  farthest  outlet  at  specified  flow  of  450  lpm  at  35  Mtr  head conforming to IS 1520, 5.5 KW,7.5hp, 2 pole, TEFC, 415 V, 3ph motorb) M.S. Fabricated common base plate, coupling, coupling guard, foundation bolts etc as required.c) Suitable cement concrete foundation duly plastered with anti vibration pads.Note: Terrace Pump</v>
          </cell>
          <cell r="D1260">
            <v>216000</v>
          </cell>
        </row>
        <row r="1261">
          <cell r="B1261" t="str">
            <v>FEEDER FOR BOOSTER PUMP - 01 Nos 10KW</v>
          </cell>
          <cell r="C1261" t="str">
            <v>FEEDER FOR BOOSTER PUMP - 01 Nos 10KW</v>
          </cell>
          <cell r="D1261">
            <v>0</v>
          </cell>
        </row>
        <row r="1262">
          <cell r="B1262" t="str">
            <v>01 Nos  32  A  TP MPCB</v>
          </cell>
          <cell r="C1262" t="str">
            <v>01 Nos  32  A  TP MPCB</v>
          </cell>
          <cell r="D1262">
            <v>0</v>
          </cell>
        </row>
        <row r="1263">
          <cell r="B1263" t="str">
            <v>Supplying, installation , testing and commissioning of Star Delta starter with  1 Nos 96 Sq.mm   0-100   Amps.   Ammeter   with   selector   switch   and   suitable   rated   current transformers.  Starter  with  over  load  relay,  single  phase  preventor,  dry  run  trip  and indicating lamps with ON / OFF push buttons.</v>
          </cell>
          <cell r="C1263" t="str">
            <v>Supplying, installation , testing and commissioning of Star Delta starter with  1 Nos 96 Sq.mm   0-100   Amps.   Ammeter   with   selector   switch   and   suitable   rated   current transformers.  Starter  with  over  load  relay,  single  phase  preventor,  dry  run  trip  and indicating lamps with ON / OFF push buttons.</v>
          </cell>
          <cell r="D1263">
            <v>27000</v>
          </cell>
        </row>
        <row r="1264">
          <cell r="B1264" t="str">
            <v>1100 V GRADE POWER / CONTROL CABLES</v>
          </cell>
          <cell r="C1264" t="str">
            <v>1100 V GRADE POWER / CONTROL CABLES</v>
          </cell>
          <cell r="D1264">
            <v>0</v>
          </cell>
        </row>
        <row r="1265">
          <cell r="B1265" t="str">
            <v/>
          </cell>
          <cell r="C1265" t="str">
            <v/>
          </cell>
          <cell r="D1265">
            <v>0</v>
          </cell>
        </row>
        <row r="1266">
          <cell r="B1266" t="str">
            <v>4 C x 16 sq.mm. Aluminum cable for Booster  pumps</v>
          </cell>
          <cell r="C1266" t="str">
            <v>4 C x 16 sq.mm. Aluminum cable for Booster  pumps</v>
          </cell>
          <cell r="D1266">
            <v>232</v>
          </cell>
        </row>
        <row r="1267">
          <cell r="B1267">
            <v>0</v>
          </cell>
          <cell r="C1267">
            <v>0</v>
          </cell>
          <cell r="D1267">
            <v>0</v>
          </cell>
        </row>
        <row r="1268">
          <cell r="B1268" t="str">
            <v>2 C x 2.5 sq.mm Copper armored for Instrumentation</v>
          </cell>
          <cell r="C1268" t="str">
            <v>2 C x 2.5 sq.mm Copper armored for Instrumentation</v>
          </cell>
          <cell r="D1268">
            <v>160</v>
          </cell>
        </row>
        <row r="1269">
          <cell r="B1269">
            <v>0</v>
          </cell>
          <cell r="C1269">
            <v>0</v>
          </cell>
          <cell r="D1269">
            <v>0</v>
          </cell>
        </row>
        <row r="1270">
          <cell r="B1270" t="str">
            <v>3 C x 2.5 sq.mm Copper armoured cables For start / stop push buttons</v>
          </cell>
          <cell r="C1270" t="str">
            <v>3 C x 2.5 sq.mm Copper armoured cables For start / stop push buttons</v>
          </cell>
          <cell r="D1270">
            <v>220</v>
          </cell>
        </row>
        <row r="1271">
          <cell r="B1271">
            <v>0</v>
          </cell>
          <cell r="C1271">
            <v>0</v>
          </cell>
          <cell r="D1271">
            <v>0</v>
          </cell>
        </row>
        <row r="1272">
          <cell r="B1272" t="str">
            <v>Supplying,  installing,  testing  and  commissioning  of  C.I.  Non-return  valves  as  per  IS standards  (PN 16) Ball -type check valve with required flanges, nuts, bolts and gasketsetc. complete.</v>
          </cell>
          <cell r="C1272" t="str">
            <v>Supplying,  installing,  testing  and  commissioning  of  C.I.  Non-return  valves  as  per  IS standards  (PN 16) Ball -type check valve with required flanges, nuts, bolts and gasketsetc. complete.</v>
          </cell>
          <cell r="D1272">
            <v>4400</v>
          </cell>
        </row>
        <row r="1273">
          <cell r="B1273" t="str">
            <v>100 mm Nominal dia</v>
          </cell>
          <cell r="C1273" t="str">
            <v>100 mm Nominal dia</v>
          </cell>
          <cell r="D1273">
            <v>0</v>
          </cell>
        </row>
        <row r="1274">
          <cell r="B1274">
            <v>0</v>
          </cell>
          <cell r="C1274">
            <v>0</v>
          </cell>
          <cell r="D1274">
            <v>0</v>
          </cell>
        </row>
        <row r="1275">
          <cell r="B1275" t="str">
            <v>Supplying, Installing, testing and commissioning CI butterfly valves as per IS standards (PN 16) slim seal Gear operated type with required flanges, nuts, bolts etc. complete.</v>
          </cell>
          <cell r="C1275" t="str">
            <v>Supplying, Installing, testing and commissioning CI butterfly valves as per IS standards (PN 16) slim seal Gear operated type with required flanges, nuts, bolts etc. complete.</v>
          </cell>
          <cell r="D1275">
            <v>16000</v>
          </cell>
        </row>
        <row r="1276">
          <cell r="B1276" t="str">
            <v>100mm Nominal dia</v>
          </cell>
          <cell r="C1276" t="str">
            <v>100mm Nominal dia</v>
          </cell>
          <cell r="D1276">
            <v>0</v>
          </cell>
        </row>
        <row r="1277">
          <cell r="B1277">
            <v>0</v>
          </cell>
          <cell r="C1277">
            <v>0</v>
          </cell>
          <cell r="D1277">
            <v>0</v>
          </cell>
        </row>
        <row r="1278">
          <cell r="B1278" t="str">
            <v>Supplying,  installing,  testing  and  commissioning  of  Gun  metal  chrome  finished  Ball valves  with fittings of screwed end type.</v>
          </cell>
          <cell r="C1278" t="str">
            <v>Supplying,  installing,  testing  and  commissioning  of  Gun  metal  chrome  finished  Ball valves  with fittings of screwed end type.</v>
          </cell>
          <cell r="D1278">
            <v>0</v>
          </cell>
        </row>
        <row r="1279">
          <cell r="B1279" t="str">
            <v>15mm dia.</v>
          </cell>
          <cell r="C1279" t="str">
            <v>15mm dia.</v>
          </cell>
          <cell r="D1279">
            <v>2400</v>
          </cell>
        </row>
        <row r="1280">
          <cell r="B1280" t="str">
            <v>25 mm dia</v>
          </cell>
          <cell r="C1280" t="str">
            <v>25 mm dia</v>
          </cell>
          <cell r="D1280">
            <v>4200</v>
          </cell>
        </row>
        <row r="1281">
          <cell r="B1281">
            <v>0</v>
          </cell>
          <cell r="C1281">
            <v>0</v>
          </cell>
          <cell r="D1281">
            <v>0</v>
          </cell>
        </row>
        <row r="1282">
          <cell r="B1282" t="str">
            <v>Supplying, installing ,testing and commissioning of  Pressure switches of suitable range for pump sets with Ball valves, Fittings like unions / colors / reducers etc. complete.</v>
          </cell>
          <cell r="C1282" t="str">
            <v>Supplying, installing ,testing and commissioning of  Pressure switches of suitable range for pump sets with Ball valves, Fittings like unions / colors / reducers etc. complete.</v>
          </cell>
          <cell r="D1282">
            <v>5500</v>
          </cell>
        </row>
        <row r="1283">
          <cell r="B1283">
            <v>0</v>
          </cell>
          <cell r="C1283">
            <v>0</v>
          </cell>
          <cell r="D1283">
            <v>0</v>
          </cell>
        </row>
        <row r="1284">
          <cell r="B1284" t="str">
            <v>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v>
          </cell>
          <cell r="C1284" t="str">
            <v>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v>
          </cell>
          <cell r="D1284">
            <v>3000</v>
          </cell>
        </row>
        <row r="1285">
          <cell r="B1285" t="str">
            <v>Supply, Installation OF Internal  Hydrant System</v>
          </cell>
          <cell r="C1285" t="str">
            <v>Supply, Installation OF Internal  Hydrant System</v>
          </cell>
          <cell r="D1285">
            <v>0</v>
          </cell>
        </row>
        <row r="1286">
          <cell r="B1286">
            <v>0</v>
          </cell>
          <cell r="C1286">
            <v>0</v>
          </cell>
          <cell r="D1286">
            <v>0</v>
          </cell>
        </row>
        <row r="1287">
          <cell r="B1287" t="str">
            <v>Supplying,  installing  ,testing  and  commissioning  of  M.S  black  pipes  of  class  'C'  to confirm  IS  3589,  6  mm  thick,  (Gr.410),  malleable  specials  extruded  type,  such  as flanges, Butt welded etc .The pipes shall be painted zinc chromate primer &amp; two coat Red Paint (with needed touch up), using approved type supports at standard spacing, anchor fasteners, Galvanized - bolts, nuts, clamps, rails "U" &amp; threaded bolt,  Including cutting, Welding, fixing in / on walls, ceiling by using the supports etc, as per drawings. The  quoted  rate  shall  also  include  for  chasing  /  chipping  walls,  making  bore  holes  in walls / floor and making them good with Non shrink filler material / RCC as required and finished in cement mortar etc. complete.</v>
          </cell>
          <cell r="C1287" t="str">
            <v>Supplying,  installing  ,testing  and  commissioning  of  M.S  black  pipes  of  class  'C'  to confirm  IS  3589,  6  mm  thick,  (Gr.410),  malleable  specials  extruded  type,  such  as flanges, Butt welded etc .The pipes shall be painted zinc chromate primer &amp; two coat Red Paint (with needed touch up), using approved type supports at standard spacing, anchor fasteners, Galvanized - bolts, nuts, clamps, rails "U" &amp; threaded bolt,  Including cutting, Welding, fixing in / on walls, ceiling by using the supports etc, as per drawings. The  quoted  rate  shall  also  include  for  chasing  /  chipping  walls,  making  bore  holes  in walls / floor and making them good with Non shrink filler material / RCC as required and finished in cement mortar etc. complete.</v>
          </cell>
          <cell r="D1287">
            <v>0</v>
          </cell>
        </row>
        <row r="1288">
          <cell r="B1288" t="str">
            <v>100mm Nominal dia</v>
          </cell>
          <cell r="C1288" t="str">
            <v>100mm Nominal dia</v>
          </cell>
          <cell r="D1288">
            <v>1850</v>
          </cell>
        </row>
        <row r="1289">
          <cell r="B1289" t="str">
            <v>80mm Nominal dia</v>
          </cell>
          <cell r="C1289" t="str">
            <v>80mm Nominal dia</v>
          </cell>
          <cell r="D1289">
            <v>900</v>
          </cell>
        </row>
        <row r="1290">
          <cell r="B1290" t="str">
            <v>Single headed hydrant valve as per IS 5290, made of Gun metal with 63 mm dia instantaneous  out  &amp;  80  mm  dia  fanged  inlet,  Blank  cap  ,  chain  and  hand  wheel  etc complete. with Orifice plate(SS304 6MM THK) as required to minimize the pressure at discharge point.</v>
          </cell>
          <cell r="C1290" t="str">
            <v>Single headed hydrant valve as per IS 5290, made of Gun metal with 63 mm dia instantaneous  out  &amp;  80  mm  dia  fanged  inlet,  Blank  cap  ,  chain  and  hand  wheel  etc complete. with Orifice plate(SS304 6MM THK) as required to minimize the pressure at discharge point.</v>
          </cell>
          <cell r="D1290">
            <v>13500</v>
          </cell>
        </row>
        <row r="1291">
          <cell r="B1291" t="str">
            <v xml:space="preserve">Double door HOSE BOX with lock and key type </v>
          </cell>
          <cell r="C1291" t="str">
            <v xml:space="preserve">Double door HOSE BOX with lock and key type </v>
          </cell>
          <cell r="D1291">
            <v>7000</v>
          </cell>
        </row>
        <row r="1292">
          <cell r="B1292" t="str">
            <v>2 lengths of 15 M long, 63mm dia RRL hose couplings made of GM   with instantaneous couplings and Hoses shall be stored in side the hose cabinet  with locking arrangement, Bracket and required accessories.</v>
          </cell>
          <cell r="C1292" t="str">
            <v>2 lengths of 15 M long, 63mm dia RRL hose couplings made of GM   with instantaneous couplings and Hoses shall be stored in side the hose cabinet  with locking arrangement, Bracket and required accessories.</v>
          </cell>
          <cell r="D1292">
            <v>18000</v>
          </cell>
        </row>
        <row r="1293">
          <cell r="B1293" t="str">
            <v>Gun metal short branch pipe with Nozzle.</v>
          </cell>
          <cell r="C1293" t="str">
            <v>Gun metal short branch pipe with Nozzle.</v>
          </cell>
          <cell r="D1293">
            <v>5200</v>
          </cell>
        </row>
        <row r="1294">
          <cell r="B1294" t="str">
            <v>Hose reel drum of  swinging type with 19mm dia Rubber braided  hose of  36M. length with Gate valve (upstream) and Shut off Nozzle, complete.</v>
          </cell>
          <cell r="C1294" t="str">
            <v>Hose reel drum of  swinging type with 19mm dia Rubber braided  hose of  36M. length with Gate valve (upstream) and Shut off Nozzle, complete.</v>
          </cell>
          <cell r="D1294">
            <v>13000</v>
          </cell>
        </row>
        <row r="1295">
          <cell r="B1295" t="str">
            <v>Supplying, installing ,testing and commissioning of approved make 25mm dia. Automatic air release valve with suitable size of ball valves and unions etc. complete.</v>
          </cell>
          <cell r="C1295" t="str">
            <v>Supplying, installing ,testing and commissioning of approved make 25mm dia. Automatic air release valve with suitable size of ball valves and unions etc. complete.</v>
          </cell>
          <cell r="D1295">
            <v>4500</v>
          </cell>
        </row>
        <row r="1296">
          <cell r="B1296" t="str">
            <v>M.S. chanell 100/100 for  structural support.</v>
          </cell>
          <cell r="C1296" t="str">
            <v>M.S. chanell 100/100 for  structural support.</v>
          </cell>
          <cell r="D1296">
            <v>180</v>
          </cell>
        </row>
        <row r="1297">
          <cell r="B1297" t="str">
            <v xml:space="preserve">Supply, Installation, Hand held &amp; Automatic Extinguisher </v>
          </cell>
          <cell r="C1297" t="str">
            <v xml:space="preserve">Supply, Installation, Hand held &amp; Automatic Extinguisher </v>
          </cell>
          <cell r="D1297">
            <v>0</v>
          </cell>
        </row>
        <row r="1298">
          <cell r="B1298" t="str">
            <v>Supply of Hand held Fire Extinguisher - CO2  - 4.5 Kg with suitable Metal Floor stand MS fabricated painted in black colour</v>
          </cell>
          <cell r="C1298" t="str">
            <v>Supply of Hand held Fire Extinguisher - CO2  - 4.5 Kg with suitable Metal Floor stand MS fabricated painted in black colour</v>
          </cell>
          <cell r="D1298">
            <v>7500</v>
          </cell>
        </row>
        <row r="1299">
          <cell r="B1299" t="str">
            <v>Supply of Hand held Fire Extinguisher - ABC Powder - 4.5 Kg with suitable Metal Floor stand MS fabricated painted in black colour</v>
          </cell>
          <cell r="C1299" t="str">
            <v>Supply of Hand held Fire Extinguisher - ABC Powder - 4.5 Kg with suitable Metal Floor stand MS fabricated painted in black colour</v>
          </cell>
          <cell r="D1299">
            <v>4500</v>
          </cell>
        </row>
        <row r="1300">
          <cell r="B1300" t="str">
            <v xml:space="preserve">Supply, Installation, of FIRE ALARM SYSTEM </v>
          </cell>
          <cell r="C1300" t="str">
            <v xml:space="preserve">Supply, Installation, of FIRE ALARM SYSTEM </v>
          </cell>
          <cell r="D1300">
            <v>0</v>
          </cell>
        </row>
        <row r="1301">
          <cell r="B1301" t="str">
            <v xml:space="preserve">Supply of 12 zone conventional type fire alam panel along with battery back in power failure condition </v>
          </cell>
          <cell r="C1301" t="str">
            <v xml:space="preserve">Supply of 12 zone conventional type fire alam panel along with battery back in power failure condition </v>
          </cell>
          <cell r="D1301">
            <v>34000</v>
          </cell>
        </row>
        <row r="1302">
          <cell r="B1302" t="str">
            <v xml:space="preserve">Conventional type Heat Detector  </v>
          </cell>
          <cell r="C1302" t="str">
            <v xml:space="preserve">Conventional type Heat Detector  </v>
          </cell>
          <cell r="D1302">
            <v>2600</v>
          </cell>
        </row>
        <row r="1303">
          <cell r="B1303" t="str">
            <v xml:space="preserve">Hooter </v>
          </cell>
          <cell r="C1303" t="str">
            <v xml:space="preserve">Hooter </v>
          </cell>
          <cell r="D1303">
            <v>2200</v>
          </cell>
        </row>
        <row r="1304">
          <cell r="B1304" t="str">
            <v xml:space="preserve">Manual call point </v>
          </cell>
          <cell r="C1304" t="str">
            <v xml:space="preserve">Manual call point </v>
          </cell>
          <cell r="D1304">
            <v>2100</v>
          </cell>
        </row>
        <row r="1305">
          <cell r="B1305" t="str">
            <v xml:space="preserve">2 x 1.5 sqmm Armoured cable </v>
          </cell>
          <cell r="C1305" t="str">
            <v xml:space="preserve">2 x 1.5 sqmm Armoured cable </v>
          </cell>
          <cell r="D1305">
            <v>160</v>
          </cell>
        </row>
        <row r="1306">
          <cell r="B1306" t="str">
            <v xml:space="preserve">Supply, Installation, of PUBLIC ADDRESS SYSTEM </v>
          </cell>
          <cell r="C1306" t="str">
            <v xml:space="preserve">Supply, Installation, of PUBLIC ADDRESS SYSTEM </v>
          </cell>
          <cell r="D1306">
            <v>0</v>
          </cell>
        </row>
        <row r="1307">
          <cell r="B1307" t="str">
            <v xml:space="preserve"> Amplifier 250 watts </v>
          </cell>
          <cell r="C1307" t="str">
            <v xml:space="preserve"> Amplifier 250 watts </v>
          </cell>
          <cell r="D1307">
            <v>28000</v>
          </cell>
        </row>
        <row r="1308">
          <cell r="B1308" t="str">
            <v xml:space="preserve">6 watts wall mount speaker </v>
          </cell>
          <cell r="C1308" t="str">
            <v xml:space="preserve">6 watts wall mount speaker </v>
          </cell>
          <cell r="D1308">
            <v>2200</v>
          </cell>
        </row>
        <row r="1309">
          <cell r="B1309" t="str">
            <v xml:space="preserve">2 x 1.5 sqmm Armoured cable </v>
          </cell>
          <cell r="C1309" t="str">
            <v xml:space="preserve">2 x 1.5 sqmm Armoured cable </v>
          </cell>
          <cell r="D1309">
            <v>160</v>
          </cell>
        </row>
        <row r="1310">
          <cell r="B1310" t="str">
            <v>Goose neck mic</v>
          </cell>
          <cell r="C1310" t="str">
            <v>Goose neck mic</v>
          </cell>
          <cell r="D1310">
            <v>14000</v>
          </cell>
        </row>
        <row r="1311">
          <cell r="B1311" t="str">
            <v xml:space="preserve">Zone selector </v>
          </cell>
          <cell r="C1311" t="str">
            <v xml:space="preserve">Zone selector </v>
          </cell>
          <cell r="D1311">
            <v>16000</v>
          </cell>
        </row>
        <row r="1312">
          <cell r="B1312" t="str">
            <v xml:space="preserve">Supply, Installation, of SIGNAGES </v>
          </cell>
          <cell r="C1312" t="str">
            <v xml:space="preserve">Supply, Installation, of SIGNAGES </v>
          </cell>
          <cell r="D1312">
            <v>0</v>
          </cell>
        </row>
        <row r="1313">
          <cell r="B1313" t="str">
            <v xml:space="preserve">Fire exit signages in self adhesive foam board </v>
          </cell>
          <cell r="C1313" t="str">
            <v xml:space="preserve">Fire exit signages in self adhesive foam board </v>
          </cell>
          <cell r="D1313">
            <v>640</v>
          </cell>
        </row>
        <row r="1314">
          <cell r="B1314">
            <v>0</v>
          </cell>
          <cell r="C1314">
            <v>0</v>
          </cell>
          <cell r="D1314">
            <v>0</v>
          </cell>
        </row>
        <row r="1315">
          <cell r="B1315" t="str">
            <v>CCTV</v>
          </cell>
          <cell r="C1315" t="str">
            <v>CCTV</v>
          </cell>
          <cell r="D1315">
            <v>0</v>
          </cell>
        </row>
        <row r="1316">
          <cell r="B1316" t="str">
            <v>Supplying and fixing of IP Camera with  4 megafixel including 1/3” progressive CMOS, ICR, O lux with IR, 2688 x 1520 : 20 fps, 4/6mm lens, IP66, DC12V and POE, DWDR, 3D DNR, BLC, IR Range upto 30m supporting mobile monitoring via EZVIZP2P with full metallic housing – complete as directed by the departmental officers.(CER.NO.01/2020-2021)</v>
          </cell>
          <cell r="C1316" t="str">
            <v>Supplying and fixing of IP Camera with  4 megafixel including 1/3” progressive CMOS, ICR, O lux with IR, 2688 x 1520 : 20 fps, 4/6mm lens, IP66, DC12V and POE, DWDR, 3D DNR, BLC, IR Range upto 30m supporting mobile monitoring via EZVIZP2P with full metallic housing – complete as directed by the departmental officers.(CER.NO.01/2020-2021)</v>
          </cell>
          <cell r="D1316">
            <v>7000</v>
          </cell>
        </row>
        <row r="1317">
          <cell r="B1317" t="str">
            <v>Supplying and installation of Network video recorder (NVR) supporting upto 8 megafixel resolution recording and 1 – ch HDMI, 1 ch VGA, HMDI upto 4K (3840 x 2160) resolution to connect 32  – ch network cameras with 80m/160m incoming bandwidth, plug and play with upto 16 independent POE network and also to support dual-OS, various VCA detection alarm, VCA search, H.265/H. 264/MPEG4 video formats – complete. as directed by the departmental officers.(QUOTATION)</v>
          </cell>
          <cell r="C1317" t="str">
            <v>Supplying and installation of Network video recorder (NVR) supporting upto 8 megafixel resolution recording and 1 – ch HDMI, 1 ch VGA, HMDI upto 4K (3840 x 2160) resolution to connect 32  – ch network cameras with 80m/160m incoming bandwidth, plug and play with upto 16 independent POE network and also to support dual-OS, various VCA detection alarm, VCA search, H.265/H. 264/MPEG4 video formats – complete. as directed by the departmental officers.(QUOTATION)</v>
          </cell>
          <cell r="D1317">
            <v>10000</v>
          </cell>
        </row>
        <row r="1318">
          <cell r="B1318" t="str">
            <v>Supply of CAT 6 UTP  cable confirming to EIA/TIA 568 – C.2 and IEC/ISO 11801 to operate at bandwidth of 250 MHZ with solid bare electrolytic grade copper, armouring in GI wire, temperature rating – 20 to + 60 deg. C including the cost of running the cable inside 25mm dia. UPVC pipe as directed by the departmental officers(CER.NO.01/2020-2021)</v>
          </cell>
          <cell r="C1318" t="str">
            <v>Supply of CAT 6 UTP  cable confirming to EIA/TIA 568 – C.2 and IEC/ISO 11801 to operate at bandwidth of 250 MHZ with solid bare electrolytic grade copper, armouring in GI wire, temperature rating – 20 to + 60 deg. C including the cost of running the cable inside 25mm dia. UPVC pipe as directed by the departmental officers(CER.NO.01/2020-2021)</v>
          </cell>
          <cell r="D1318">
            <v>104</v>
          </cell>
        </row>
        <row r="1319">
          <cell r="B1319" t="str">
            <v>Labour chrges for laying of  CAT 6 UTP armoured cable confirming to EIA/TIA 568 – C.2 and IEC/ISO 11801 to operate at bandwidth of 250 MHZ with solid bare electrolytic grade copper, armouring in GI wire, temperature rating – 20 to + 60 deg as directed by the departmental officers.</v>
          </cell>
          <cell r="C1319" t="str">
            <v>Labour chrges for laying of  CAT 6 UTP armoured cable confirming to EIA/TIA 568 – C.2 and IEC/ISO 11801 to operate at bandwidth of 250 MHZ with solid bare electrolytic grade copper, armouring in GI wire, temperature rating – 20 to + 60 deg as directed by the departmental officers.</v>
          </cell>
          <cell r="D1319">
            <v>135</v>
          </cell>
        </row>
        <row r="1320">
          <cell r="B1320" t="str">
            <v>Supplying and installation of POE (Power over Ethernet) unit with uplink option and 8 channel operating options one incoming and one outgoing provision – as directed by the departmental officers.(CER.NO.01/2020-2021)</v>
          </cell>
          <cell r="C1320" t="str">
            <v>Supplying and installation of POE (Power over Ethernet) unit with uplink option and 8 channel operating options one incoming and one outgoing provision – as directed by the departmental officers.(CER.NO.01/2020-2021)</v>
          </cell>
          <cell r="D1320">
            <v>6000</v>
          </cell>
        </row>
        <row r="1321">
          <cell r="B1321" t="str">
            <v>Supplying and installation of 8 Port POE (Power over Ethernet) BOX provision – as directed by the departmental officers.(QUOTATION)</v>
          </cell>
          <cell r="C1321" t="str">
            <v>Supplying and installation of 8 Port POE (Power over Ethernet) BOX provision – as directed by the departmental officers.(QUOTATION)</v>
          </cell>
          <cell r="D1321">
            <v>2000</v>
          </cell>
        </row>
        <row r="1322">
          <cell r="B1322" t="str">
            <v>Supplying and installation of POE (Power over Ethernet) unit with uplink option and 4 channel operating options one incoming and one outgoing provision – as directed by the departmental officers.(QUOTATION)</v>
          </cell>
          <cell r="C1322" t="str">
            <v>Supplying and installation of POE (Power over Ethernet) unit with uplink option and 4 channel operating options one incoming and one outgoing provision – as directed by the departmental officers.(QUOTATION)</v>
          </cell>
          <cell r="D1322">
            <v>2000</v>
          </cell>
        </row>
        <row r="1323">
          <cell r="B1323" t="str">
            <v>Supplying and installation of 4 Port POE (Power over Ethernet) BOX provision – as directed by the departmental officers.(QUOTATION)</v>
          </cell>
          <cell r="C1323" t="str">
            <v>Supplying and installation of 4 Port POE (Power over Ethernet) BOX provision – as directed by the departmental officers.(QUOTATION)</v>
          </cell>
          <cell r="D1323">
            <v>4000</v>
          </cell>
        </row>
        <row r="1324">
          <cell r="B1324" t="str">
            <v>Supplying and installation of 4TB internal AV – Hard disc of standard brand – as directed by the departmental officers.(CER.NO.01/2020-2021)</v>
          </cell>
          <cell r="C1324" t="str">
            <v>Supplying and installation of 4TB internal AV – Hard disc of standard brand – as directed by the departmental officers.(CER.NO.01/2020-2021)</v>
          </cell>
          <cell r="D1324">
            <v>10000</v>
          </cell>
        </row>
        <row r="1325">
          <cell r="B1325" t="str">
            <v>Supplying and installation of 2 KV UPS – 12V – 2000 VA with digital display, easy UPS bypass, MCB protection for rated power of 1680W including the cost of 24V double tubular battery  - complete as directed by the departmental officers. UPS 1 No. with 2 Nos. of 12V battery (1 set)(CER.NO.01/2020-2021)</v>
          </cell>
          <cell r="C1325" t="str">
            <v>Supplying and installation of 2 KV UPS – 12V – 2000 VA with digital display, easy UPS bypass, MCB protection for rated power of 1680W including the cost of 24V double tubular battery  - complete as directed by the departmental officers. UPS 1 No. with 2 Nos. of 12V battery (1 set)(CER.NO.01/2020-2021)</v>
          </cell>
          <cell r="D1325">
            <v>45000</v>
          </cell>
        </row>
        <row r="1326">
          <cell r="B1326" t="str">
            <v>Labour charges towards installation of all CCTV accessories cameras - as directed by the departmental officers.(CER.NO.01/2020-2021)</v>
          </cell>
          <cell r="C1326" t="str">
            <v>Labour charges towards installation of all CCTV accessories cameras - as directed by the departmental officers.(CER.NO.01/2020-2021)</v>
          </cell>
          <cell r="D1326">
            <v>600</v>
          </cell>
        </row>
        <row r="1327">
          <cell r="B1327" t="str">
            <v>Labour charges towards installation of all NVR and all accessories etc,.- as directed by the departmental officers.(CER.NO.01/2020-2021)</v>
          </cell>
          <cell r="C1327" t="str">
            <v>Labour charges towards installation of all NVR and all accessories etc,.- as directed by the departmental officers.(CER.NO.01/2020-2021)</v>
          </cell>
          <cell r="D1327">
            <v>4500</v>
          </cell>
        </row>
        <row r="1328">
          <cell r="B1328" t="str">
            <v>Supplying and installation of 32" LED TV For the following specifications Resolution: HD Ready (1366 x 768p) | Refresh Rate: 50 hertz, Connectivity: 3 HDMI ports to connect set top box, Blu Ray players, gaming console | 2 USB ports to connect hard drives and other USB devices, Sound : 20 W output, Warranty Information: 1 year warranty provided by the manufacturer from date of purchase, ThinQ AI, Active HDR, Magic remote | Share and control, Cloud photo and video, Wireless sound (2 way BT), Multi tasking (surf and watch), Expandable memory, LG content store, Web OS notify.(CER.NO.01/2020-2021)</v>
          </cell>
          <cell r="C1328" t="str">
            <v>Supplying and installation of 32" LED TV For the following specifications Resolution: HD Ready (1366 x 768p) | Refresh Rate: 50 hertz, Connectivity: 3 HDMI ports to connect set top box, Blu Ray players, gaming console | 2 USB ports to connect hard drives and other USB devices, Sound : 20 W output, Warranty Information: 1 year warranty provided by the manufacturer from date of purchase, ThinQ AI, Active HDR, Magic remote | Share and control, Cloud photo and video, Wireless sound (2 way BT), Multi tasking (surf and watch), Expandable memory, LG content store, Web OS notify.(CER.NO.01/2020-2021)</v>
          </cell>
          <cell r="D1328">
            <v>28990</v>
          </cell>
        </row>
        <row r="1329">
          <cell r="B1329" t="str">
            <v>Supply and fixing of perforated cable trays of sizes without cover as given below made out of 14 SWG CRCA sheet</v>
          </cell>
          <cell r="C1329" t="str">
            <v xml:space="preserve">Supply and fixing of perforated cable trays of sizes without cover as given below made out of 14 SWG CRCA sheet steel and hot dip galvanized with supports and at every 1.2 mtr. interval using supports of MS angle of suitable size.  The supports shall be painted with Red-oxide primer and two quotes of aluminium paints. </v>
          </cell>
          <cell r="D1329">
            <v>1200</v>
          </cell>
        </row>
        <row r="1330">
          <cell r="B1330" t="str">
            <v>Supply and fixing of perforated cable trays of sizes with cover as given below made out of 14 SWG CRCA sheet</v>
          </cell>
          <cell r="C1330" t="str">
            <v xml:space="preserve">Supply and fixing of perforated cable trays of sizes with cover as given below made out of 14 SWG CRCA sheet steel and hot dip galvanized with supports and at every 1.2 mtr. interval using supports of MS angle of suitable size.  The supports shall be painted with Red-oxide primer and two quotes of aluminium paints. </v>
          </cell>
          <cell r="D1330">
            <v>1750</v>
          </cell>
        </row>
        <row r="1331">
          <cell r="B1331" t="str">
            <v xml:space="preserve">Supplying and fixing of 6Amps to 32 Amps Double Pole MCB </v>
          </cell>
          <cell r="C1331" t="str">
            <v>Supplying and fixing of 6Amps to 32 Amps Double Pole MCB  including cost of all materials and labour charges, etc all complete as per relevant standard specification and as directed by the departmental officers. (The quality and brand should be got approved from the executive engineer before use)</v>
          </cell>
          <cell r="D1331">
            <v>420</v>
          </cell>
        </row>
        <row r="1332">
          <cell r="B1332" t="str">
            <v>Supplying and fixing of 6Amps to 32 Amps Four Pole MCB</v>
          </cell>
          <cell r="C1332" t="str">
            <v>Supplying and fixing of 6Amps to 32 Amps Four Pole MCB  including cost of all materials and labour charges, etc all complete as per relevant standard specification and as directed by the departmental officers. (The quality and brand should be got approved from the executive engineer before use)</v>
          </cell>
          <cell r="D1332">
            <v>886</v>
          </cell>
        </row>
        <row r="1333">
          <cell r="B1333" t="str">
            <v>Supplying and fixing 1 No 300 Amps 500 volts grade/well porcelin fuse unit on suitable teak wood plank to be fixed on the top of the pole / EB street</v>
          </cell>
          <cell r="C1333" t="str">
            <v>Supplying and fixing 1 No 300 Amps 500 volts grade/well porcelin fuse unit on suitable teak wood plank to be fixed on the top of the pole / EB street poles with necessary clamps and including cost of all materials and labour charges, etc all complete as per relevant standard specification and as directed by the departmental officers. (the quality and brand should be got approved from the executive engineer before use)</v>
          </cell>
          <cell r="D1333">
            <v>6500</v>
          </cell>
        </row>
        <row r="1334">
          <cell r="B1334">
            <v>0</v>
          </cell>
          <cell r="C1334">
            <v>0</v>
          </cell>
          <cell r="D1334">
            <v>0</v>
          </cell>
        </row>
        <row r="1335">
          <cell r="B1335" t="str">
            <v>Supplying &amp; Delivery for 6'x3' Full Teakwood Frame, T.W 5"x1.5" thick bar with top 12mm playwood with varnish Finishing etc., Complete.</v>
          </cell>
          <cell r="C1335" t="str">
            <v>Supplying &amp; Delivery for 6'x3' Full Teakwood Frame, T.W 5"x1.5" thick bar with top 12mm playwood with varnish Finishing etc., Complete.</v>
          </cell>
          <cell r="D1335">
            <v>10500</v>
          </cell>
        </row>
        <row r="1336">
          <cell r="B1336" t="str">
            <v>Supplying &amp; Delivery for 6'x3' high density foam mattress bed etc., Complete.</v>
          </cell>
          <cell r="C1336" t="str">
            <v>Supplying &amp; Delivery for 6'x3' high density foam mattress bed etc., Complete.</v>
          </cell>
          <cell r="D1336">
            <v>4500</v>
          </cell>
        </row>
        <row r="1337">
          <cell r="B1337" t="str">
            <v>Supplying &amp; Delivery for Size 3'x2'x2.5' study table (MDF) with revolving chair (1 set)  etc., Complete.</v>
          </cell>
          <cell r="C1337" t="str">
            <v>Supplying &amp; Delivery for Size 3'x2'x2.5' study table (MDF) with revolving chair (1 set)  etc., Complete.</v>
          </cell>
          <cell r="D1337">
            <v>6500</v>
          </cell>
        </row>
        <row r="1338">
          <cell r="B1338" t="str">
            <v>Supplying &amp; Delivery for 4 Nos Perfo powder coat, 3 seater sofa block colour  etc., Complete.</v>
          </cell>
          <cell r="C1338" t="str">
            <v>Supplying &amp; Delivery for 4 Nos Perfo powder coat, 3 seater sofa block colour  etc., Complete.</v>
          </cell>
          <cell r="D1338">
            <v>22000</v>
          </cell>
        </row>
        <row r="1339">
          <cell r="B1339" t="str">
            <v xml:space="preserve">Supplying &amp; Delivery for 1 Nos Perfo powder coat, 2 seater sofa block colour  etc., Complete. </v>
          </cell>
          <cell r="C1339" t="str">
            <v xml:space="preserve">Supplying &amp; Delivery for 1 Nos Perfo powder coat, 2 seater sofa block colour  etc., Complete. </v>
          </cell>
          <cell r="D1339">
            <v>4300</v>
          </cell>
        </row>
        <row r="1340">
          <cell r="B1340" t="str">
            <v>Supplying &amp; Delivery for 1 Nos Perfo powder coat, 3 seater sofa block colour  etc., Complete.</v>
          </cell>
          <cell r="C1340" t="str">
            <v>Supplying &amp; Delivery for 1 Nos Perfo powder coat, 3 seater sofa block colour  etc., Complete.</v>
          </cell>
          <cell r="D1340">
            <v>5500</v>
          </cell>
        </row>
        <row r="1341">
          <cell r="B1341" t="str">
            <v>Supply and Fixing of Stainless Steel Mosquito Net including cost</v>
          </cell>
          <cell r="C1341" t="str">
            <v>Supply and Fixing of Stainless Steel Mosquito Net including cost</v>
          </cell>
          <cell r="D1341">
            <v>1280</v>
          </cell>
        </row>
        <row r="1342">
          <cell r="B1342" t="str">
            <v>Supply and Fixing of Main Curtain with lining cloth , design as approved the user department including cost of eyelet curtain stiching, curtain rod, labour charges for fixing , transports etc all complete and as directed by the department official.,</v>
          </cell>
          <cell r="C1342" t="str">
            <v>Supply and Fixing of Main Curtain with lining cloth , design as approved the user department including cost of eyelet curtain stiching, curtain rod, labour charges for fixing , transports etc all complete and as directed by the department official.,</v>
          </cell>
          <cell r="D1342">
            <v>1614.6</v>
          </cell>
        </row>
        <row r="1343">
          <cell r="B1343" t="str">
            <v>Drilling of 150mm dia vertical bores in hard rock area to any required depth as directed by</v>
          </cell>
          <cell r="C1343" t="str">
            <v>Drilling of 150mm dia vertical bores in hard rock area to any required depth as directed by the departmental officers including labour charges for inserting of casing pipes and assembling in the drilled hole, including joint if necessary grouting the casing pipe etc., and including transportation charges for the rig and supporting vehicles from one place to another place etc., complete and as directed by the departmental officers.</v>
          </cell>
          <cell r="D1343">
            <v>295</v>
          </cell>
        </row>
        <row r="1344">
          <cell r="B1344" t="str">
            <v>Supplying and fixing of PVC casing pipe 200 mm Dia CS IIIrd quarter</v>
          </cell>
          <cell r="C1344" t="str">
            <v>Supplying and fixing of PVC casing pipe 200 mm Dia CS IIIrd quarterTWAD SR 2020-2021  P.17</v>
          </cell>
          <cell r="D1344">
            <v>825</v>
          </cell>
        </row>
        <row r="1345">
          <cell r="B1345" t="str">
            <v>Charges for developing the Borewell with air compressor of 600 CFM capacity (Minimum 8 Hours) including transportation, labour and fuel charges for compressor as directed by TWAD Officers and onducting yield test by 'V' notch method.</v>
          </cell>
          <cell r="C1345" t="str">
            <v>Charges for developing the Borewell with air compressor of 600 CFM capacity (Minimum 8 Hours) including transportation, labour and fuel charges for compressor as directed by TWAD Officers and conducting yield test by 'V' notch method. TWAD SR 2018-19, P.249</v>
          </cell>
          <cell r="D1345">
            <v>2197.9299999999998</v>
          </cell>
        </row>
        <row r="1346">
          <cell r="B1346" t="str">
            <v xml:space="preserve">Supplying and fixing of Bore  end cap  using PVC 200 mm Dia  etc., all complete </v>
          </cell>
          <cell r="C1346" t="str">
            <v>Supplying and fixing of Bore  end cap  using PVC 200 mm Dia  etc., all complete TWAD SR 2020-2021  P.282</v>
          </cell>
          <cell r="D1346">
            <v>287</v>
          </cell>
        </row>
        <row r="1347">
          <cell r="B1347" t="str">
            <v>Supplying and fixing of  clampset</v>
          </cell>
          <cell r="C1347" t="str">
            <v>Supplying and fixing of  clampsetTWAD SR 2020-2021  P.40</v>
          </cell>
          <cell r="D1347">
            <v>868</v>
          </cell>
        </row>
        <row r="1348">
          <cell r="B1348" t="str">
            <v>Supply and delivery of clear water vertical wet type three phase 6.0HP submersible pumpset suitable for 150mm dia borewell conforming</v>
          </cell>
          <cell r="C1348" t="str">
            <v>Supply and delivery of clear water vertical wet type three phase 6.0HP submersible pumpset suitable for 150mm dia borewell conforming to IS 8034/2002 with latest amendments and BEE 3 Star Rated capable of discharging noted LPM against head of water column due to all causes. The pump shall be with stainlesss steeel shaft and dynamically balanced bronze or Cast SS impeller, brass screws and CI FG 200 grade pump bowl/difuser with ISI mark. The pump shall be directly coupled to a continuos rated two pole suitable wet type vertical squirrel cage induction motor asper IS9283 suitable for operation in AC 3 phase 415 V+/- 10 %, 50 HZ +/- 5 %(50x40)  (TWAD SR 2020-2120-P77)</v>
          </cell>
          <cell r="D1348">
            <v>0</v>
          </cell>
        </row>
        <row r="1349">
          <cell r="B1349" t="str">
            <v>Supply and delivery of 3.00 HP Open well Submersible pump set conforming to IS 14220 /2002 and as amended thereafter and BEE 3 Star Rated capable of discharging the following duties due to all causes.</v>
          </cell>
          <cell r="C1349" t="str">
            <v>Supply and delivery of 3.00 HP Open well Submersible pump set conforming to IS 14220 /2002 and as amended thereafter and BEE 3 Star Rated capable of discharging the following duties due to all causes. The pump shall be with stainless steel shaft and dynamically balanced bronze mixed type impeller, CI FG 200 grade casing and brass screws and rotor shall be of copper rod as per IS 613/1984 with ISI mark. The pump suitable for installation in sump with 1.1KV grade 3 core suitable copper flat submersible cable to a length of 15m with necessary cable joints. The nonreturn valve located at the top of the pump in the discharge outlet connection is to be designed with minimum friction. The pump should be directly coupled to 2880 RPM, three phase, 50 Hz (±5), 415V+6% &amp; 415V-15% squirrel cage induction motor suitable for DOL upto 5 HP , Fully Automatic Air break Star Delta up to 20 HP and Auto Transformer starter for above 20 HP starting and for continuous operation.</v>
          </cell>
          <cell r="D1349">
            <v>59600</v>
          </cell>
        </row>
        <row r="1350">
          <cell r="B1350" t="str">
            <v>Supplying and delivery of wall mount type Control panel board for three phase 6.0 HP submersible pumpset etc.,all complete</v>
          </cell>
          <cell r="C1350" t="str">
            <v>Supplying and delivery of wall mount type Control panel board for three phase 6.0 HP submersible pumpset etc.,all complete</v>
          </cell>
          <cell r="D1350">
            <v>13656</v>
          </cell>
        </row>
        <row r="1351">
          <cell r="B1351" t="str">
            <v>Supply and delivery of three phase 3HP Panel board Star-Delta  starter confirming to IS 13947 and IEC 947 suitable KW rating for operation in AC/3Phase/50HZ(+/- 5%) and 415V (+/- 10%) includin</v>
          </cell>
          <cell r="C1351" t="str">
            <v>Supply and delivery of three phase 3HP Panel board Star-Delta  starter confirming to IS 13947 and IEC 947 suitable KW rating for operation in AC/3Phase/50HZ(+/- 5%) and 415V (+/- 10%) including 3 pole magnetic contactor with under voltage release - 3 nos., CT operated Ammeter(65 mm dia) with suppressed scale, Voltmeter (65mm dia), Voltmeter selector swicth, Minature circuitr braeker, Thermal Overload relay,  Air Break contactors suitable for next Standard higher KW rating, Single phasing preventor, dry running preventor and On/Off Push button switches, wiring with 1 sq.mm/4 sq. mm  copper pvc insulated cable, powder coated vermin proof box, including the capacitor(the cost of capacitor is to be taken separately).</v>
          </cell>
          <cell r="D1351">
            <v>13283</v>
          </cell>
        </row>
        <row r="1352">
          <cell r="B1352" t="str">
            <v>Labour charges for the erection of three phase Upto 6.0HP submersible pumpset in borewell/openwell including fixing and jointing submersible cable with proper clamps upto the starter to required depth</v>
          </cell>
          <cell r="C1352" t="str">
            <v xml:space="preserve">Labour charges for the erection of three phase Upto 6.0HP submersible pumpset in borewell/openwell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 </v>
          </cell>
          <cell r="D1352">
            <v>9237.02</v>
          </cell>
        </row>
        <row r="1353">
          <cell r="B1353" t="str">
            <v>Supply of 3 core 4 sqmm PVC insulated flat cable for submerssible pumpset etc.,all complete</v>
          </cell>
          <cell r="C1353" t="str">
            <v>Supply of 3 core 4 sqmm PVC insulated flat cable for submerssible pumpset etc.,all complete</v>
          </cell>
          <cell r="D1353">
            <v>161</v>
          </cell>
        </row>
        <row r="1354">
          <cell r="B1354" t="str">
            <v>Supplying of 14mm dia of Nylon rope etc., all complete.</v>
          </cell>
          <cell r="C1354" t="str">
            <v>Supplying of 14mm dia of Nylon rope etc., all complete.</v>
          </cell>
          <cell r="D1354">
            <v>60.6</v>
          </cell>
        </row>
        <row r="1355">
          <cell r="B1355" t="str">
            <v>Supplying and laying of the 40 mm dia UPVC column pipe for submersible motor etc all complete</v>
          </cell>
          <cell r="C1355" t="str">
            <v>Supplying and laying of the 40 mm dia UPVC column pipe for submersible motor etc all complete</v>
          </cell>
          <cell r="D1355">
            <v>155</v>
          </cell>
        </row>
        <row r="1356">
          <cell r="B1356" t="str">
            <v>Supplying of 40 mm Dia Cast Iron Adopter</v>
          </cell>
          <cell r="C1356" t="str">
            <v>Supplying of 40 mm Dia Cast Iron Adopter (Quotation)</v>
          </cell>
          <cell r="D1356">
            <v>600</v>
          </cell>
        </row>
        <row r="1357">
          <cell r="B1357" t="str">
            <v>Supplying and delivery of following Dia UPVC Pipes</v>
          </cell>
          <cell r="C1357" t="str">
            <v>Supplying and delivery of following Dia UPVC Pipes</v>
          </cell>
          <cell r="D1357">
            <v>0</v>
          </cell>
        </row>
        <row r="1358">
          <cell r="B1358" t="str">
            <v>a) 40mm Dia UPVC Pipe  Below Ground Level</v>
          </cell>
          <cell r="C1358" t="str">
            <v>a) 40mm Dia UPVC Pipe  Below Ground Level</v>
          </cell>
          <cell r="D1358">
            <v>279.27</v>
          </cell>
        </row>
        <row r="1359">
          <cell r="B1359" t="str">
            <v>b) 32mm UPVC Heavy pipe</v>
          </cell>
          <cell r="C1359" t="str">
            <v>b) 32mm dia UPVC pipe</v>
          </cell>
          <cell r="D1359">
            <v>267.97000000000003</v>
          </cell>
        </row>
        <row r="1360">
          <cell r="B1360" t="str">
            <v>Supply and delivery of following dia of UPVC specials</v>
          </cell>
          <cell r="C1360" t="str">
            <v>Supply and delivery of following dia of UPVC specials</v>
          </cell>
          <cell r="D1360">
            <v>0</v>
          </cell>
        </row>
        <row r="1361">
          <cell r="B1361" t="str">
            <v xml:space="preserve">a) 40mm dia UPVC Coupling </v>
          </cell>
          <cell r="C1361" t="str">
            <v>a) 40mm dia UPVC Coupling  (TWAD SR DATA 2020-21)</v>
          </cell>
          <cell r="D1361">
            <v>44</v>
          </cell>
        </row>
        <row r="1362">
          <cell r="B1362" t="str">
            <v xml:space="preserve">b) 40mm dia UPVC Elbow </v>
          </cell>
          <cell r="C1362" t="str">
            <v>b) 40mm dia UPVC Elbow (TWAD SR DATA 2020-21)</v>
          </cell>
          <cell r="D1362">
            <v>49.8</v>
          </cell>
        </row>
        <row r="1363">
          <cell r="B1363" t="str">
            <v xml:space="preserve">c) 40mm dia UPVC Tee </v>
          </cell>
          <cell r="C1363" t="str">
            <v>c) 40mm dia UPVC Tee  (TWAD SR DATA 2020-21)</v>
          </cell>
          <cell r="D1363">
            <v>64.3</v>
          </cell>
        </row>
        <row r="1364">
          <cell r="B1364" t="str">
            <v>d) 40 x 32 mm dia UPVC Reducer</v>
          </cell>
          <cell r="C1364" t="str">
            <v>d) 40 x 32 mm dia UPVC Reducer (TWAD SR DATA 2020-21)</v>
          </cell>
          <cell r="D1364">
            <v>32.799999999999997</v>
          </cell>
        </row>
        <row r="1365">
          <cell r="B1365">
            <v>0</v>
          </cell>
          <cell r="C1365">
            <v>0</v>
          </cell>
          <cell r="D1365">
            <v>0</v>
          </cell>
        </row>
        <row r="1366">
          <cell r="B1366" t="str">
            <v>Supplying and delivery of following dia of G.I specials</v>
          </cell>
          <cell r="C1366" t="str">
            <v>Supplying and delivery of following dia of G.I specials</v>
          </cell>
          <cell r="D1366">
            <v>0</v>
          </cell>
        </row>
        <row r="1367">
          <cell r="B1367" t="str">
            <v>a) 40mm dia  G.I Bend</v>
          </cell>
          <cell r="C1367" t="str">
            <v>a) 40mm dia  G.I Bend (TWAD SR DATA 2020-21)</v>
          </cell>
          <cell r="D1367">
            <v>95.55</v>
          </cell>
        </row>
        <row r="1368">
          <cell r="B1368" t="str">
            <v>b) 40mm dia G.I Union</v>
          </cell>
          <cell r="C1368" t="str">
            <v>b) 40mm dia G.I Union (TWAD SR DATA 2020-21)</v>
          </cell>
          <cell r="D1368">
            <v>206.85</v>
          </cell>
        </row>
        <row r="1369">
          <cell r="B1369" t="str">
            <v>c)40mm dia GM Non-Return Valve</v>
          </cell>
          <cell r="C1369" t="str">
            <v>c)50mm dia GM Non-Return Valve (TWAD SR DATA 2020-21)</v>
          </cell>
          <cell r="D1369">
            <v>1927.8</v>
          </cell>
        </row>
        <row r="1370">
          <cell r="B1370" t="str">
            <v>e) 32mm dia GM gate valve</v>
          </cell>
          <cell r="C1370" t="str">
            <v>e) 32mm dia GM gate valve (TWAD SR DATA 2020-21)</v>
          </cell>
          <cell r="D1370">
            <v>871</v>
          </cell>
        </row>
        <row r="1371">
          <cell r="B1371" t="str">
            <v>f) 40mm dia  G.I Hex Nipple</v>
          </cell>
          <cell r="C1371" t="str">
            <v>f) 40mm dia  G.I Hex Nipple (TWAD SR DATA 2020-21)</v>
          </cell>
          <cell r="D1371">
            <v>76.650000000000006</v>
          </cell>
        </row>
        <row r="1372">
          <cell r="B1372" t="str">
            <v>g) 25mm dia GM Gate valve</v>
          </cell>
          <cell r="C1372" t="str">
            <v xml:space="preserve">g) 25mm dia GM Gate valve </v>
          </cell>
          <cell r="D1372">
            <v>668.85</v>
          </cell>
        </row>
        <row r="1373">
          <cell r="B1373" t="str">
            <v>Supplying and Fixing of 25mm dia PVC Conduit pipe</v>
          </cell>
          <cell r="C1373" t="str">
            <v>Supplying and Fixing of 25mm dia PVC Conduit pipe (PWDSR P.No:126)</v>
          </cell>
          <cell r="D1373">
            <v>34.6</v>
          </cell>
        </row>
        <row r="1374">
          <cell r="B1374" t="str">
            <v xml:space="preserve">Supply ,laying &amp; jointing the following pipes as per ASTM D 1785 of schedule 40 with  UPVC Specials </v>
          </cell>
          <cell r="C1374">
            <v>0</v>
          </cell>
          <cell r="D1374">
            <v>0</v>
          </cell>
        </row>
        <row r="1375">
          <cell r="B1375" t="str">
            <v xml:space="preserve">a. 32 mm dia  Supply ,laying &amp; jointing the following pipes as per ASTM D 1785 of schedule 40 with  UPVC Specials </v>
          </cell>
          <cell r="C1375" t="str">
            <v xml:space="preserve">Supplying and delivery of 32mm dia UPVC Pipe including cost of all materials and labour charges all complete complying with relevant standard specifications and as directed by the departmental officers </v>
          </cell>
          <cell r="D1375">
            <v>216.76</v>
          </cell>
        </row>
        <row r="1376">
          <cell r="B1376" t="str">
            <v xml:space="preserve">b. 25 mm dia  Supply ,laying &amp; jointing the following pipes as per ASTM D 1785 of schedule 40 with  UPVC Specials </v>
          </cell>
          <cell r="C1376" t="str">
            <v xml:space="preserve">Supplying and delivery of 25mm dia UPVC Pipe including cost of all materials and labour charges all complete complying with relevant standard specifications and as directed by the departmental officers </v>
          </cell>
          <cell r="D1376">
            <v>200.94</v>
          </cell>
        </row>
        <row r="1377">
          <cell r="B1377" t="str">
            <v>c. 20mm dia PVC water supply ASTM pipe (fully consealed in walls)</v>
          </cell>
          <cell r="C1377" t="str">
            <v xml:space="preserve">Supplying and delivery of 20mm dia UPVC Pipe including cost of all materials and labour charges all complete complying with relevant standard specifications and as directed by the departmental officers </v>
          </cell>
          <cell r="D1377">
            <v>195.3</v>
          </cell>
        </row>
        <row r="1378">
          <cell r="B1378" t="str">
            <v>Providing Colour Marble chips of size 10mm and below using 70.20Kgs of cement and 15 Cum. of Colour Marble chips for every 10 Sqm. over the existing plastered surface  ( For coastal area)</v>
          </cell>
          <cell r="C1378">
            <v>0</v>
          </cell>
          <cell r="D1378">
            <v>319</v>
          </cell>
        </row>
        <row r="1379">
          <cell r="B1379" t="str">
            <v>S &amp; F of 15mm dia half turn CP long body tap</v>
          </cell>
          <cell r="C1379" t="str">
            <v>Supplying and fixing of half turn brass core CP long body tap of 15mm dia of best quality including cost of half turn CP tap with required specials and labour for fixing etc., all complete and as directed by the departmental officers. (The quality and brand should be got approved from the executive engineer before use)</v>
          </cell>
          <cell r="D1379">
            <v>458</v>
          </cell>
        </row>
        <row r="1380">
          <cell r="B1380" t="str">
            <v>S &amp; F of 15mm dia half turn CP short body tap</v>
          </cell>
          <cell r="C1380" t="str">
            <v>Supplying and fixing of half turn brass core CP short body tap of 15mm dia of best quality including cost of half turn CP tap with required specials and labour for fixing etc., all complete and as directed by the departmental officers. (the quality and brand should be got approved from the executive engineer before use)</v>
          </cell>
          <cell r="D1380">
            <v>410</v>
          </cell>
        </row>
        <row r="1381">
          <cell r="B1381" t="str">
            <v xml:space="preserve">S &amp; F of MS angle of size 50x 50x 5mm </v>
          </cell>
          <cell r="C1381">
            <v>0</v>
          </cell>
          <cell r="D1381">
            <v>51.4</v>
          </cell>
        </row>
        <row r="1382">
          <cell r="B1382" t="str">
            <v>Supplying and filling in Stone dust</v>
          </cell>
          <cell r="C1382" t="str">
            <v>Supplying and filling in Stone dust in layers of required thickness well watered, rammed and consolidated complying with relevant standard specification including cost of supplying filling sand.</v>
          </cell>
          <cell r="D1382">
            <v>362.84</v>
          </cell>
        </row>
        <row r="1383">
          <cell r="B1383" t="str">
            <v>Supplying and filling with 3-10mm size</v>
          </cell>
          <cell r="C1383" t="str">
            <v xml:space="preserve">Supplying and filling with 3-10mm size hard broken stone jelly in foundation and basement and other similar works including cost of materials, labour charges etc., all complete and as directed by the departmental officers </v>
          </cell>
          <cell r="D1383">
            <v>843.27</v>
          </cell>
        </row>
        <row r="1384">
          <cell r="B1384" t="str">
            <v>Supplying of Rubber Moulded Hydraulic Pressed Paver Block 83mm thick</v>
          </cell>
          <cell r="C1384" t="str">
            <v xml:space="preserve">Supplying of Rubber Moulded Hydraulic Pressed Paver Block 83mm thick including labour charges for laying and labour charges for loading and unloading charges and charges for conveyance etc all complete and as directed by the departmental officers. </v>
          </cell>
          <cell r="D1384">
            <v>542</v>
          </cell>
        </row>
        <row r="1385">
          <cell r="B1385" t="str">
            <v xml:space="preserve">Labour Charges for Spreading and Leveling of 3mm to 10 mm Size HBSJ </v>
          </cell>
          <cell r="C1385" t="str">
            <v xml:space="preserve">Labour Charges for Spreading and Leveling of 3mm to 10 mm Size HBSJ and Stone dust to Required Thickness with compaction by Earth Rammer Further Laying of 83mm thick pavaour block and filling gap between the paver blocks including labour charges and machinery charges etc.,all complete and as Directed by Departmental Officers. </v>
          </cell>
          <cell r="D1385">
            <v>195</v>
          </cell>
        </row>
        <row r="1386">
          <cell r="B1386" t="str">
            <v xml:space="preserve">Delivery of 83mm thickness of Paver Block </v>
          </cell>
          <cell r="C1386" t="str">
            <v xml:space="preserve">Delivery of 83mm thickness of Paver Block including Labour charges for loading and unloading Charges for conveyanse by lorry to Site including all incidental charges etc all complete and as Directed by Departmental Officers. </v>
          </cell>
          <cell r="D1386">
            <v>180</v>
          </cell>
        </row>
        <row r="1387">
          <cell r="B1387" t="str">
            <v>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v>
          </cell>
          <cell r="C1387" t="str">
            <v>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v>
          </cell>
          <cell r="D1387">
            <v>0</v>
          </cell>
        </row>
        <row r="1388">
          <cell r="B1388" t="str">
            <v>SUPPLY:</v>
          </cell>
          <cell r="C1388" t="str">
            <v>SUPPLY:</v>
          </cell>
          <cell r="D1388">
            <v>0</v>
          </cell>
        </row>
        <row r="1389">
          <cell r="B1389" t="str">
            <v>a)  Engine</v>
          </cell>
          <cell r="C1389" t="str">
            <v>a)  Engine</v>
          </cell>
          <cell r="D1389">
            <v>0</v>
          </cell>
        </row>
        <row r="1390">
          <cell r="B1390" t="str">
            <v xml:space="preserve">The engine shall be of continuous rated, turbo charged, water cooled, electric starting, multi cylinders, 1500 RPM, 4 stroke to be coupled to 100 KVA alternator. The engine shall be of radiator water cooled, high tensile strength steel forged crank shaft, induction hardened bearings, alloy cast iron removable wet liner cylinder block, corrosion resistant cylinder heads with supply and return lines and valves, crank shaft actuated injectors with integral fly wheel, ball  type  governor  for  fuel  system, </v>
          </cell>
          <cell r="C1390" t="str">
            <v xml:space="preserve">The engine shall be of continuous rated, turbo charged, water cooled, electric starting, multi cylinders, 1500 RPM, 4 stroke to be coupled to 100 KVA alternator. The engine shall be of radiator water cooled, high tensile strength steel forged crank shaft, induction hardened bearings, alloy cast iron removable wet liner cylinder block, corrosion resistant cylinder heads with supply and return lines and valves, crank shaft actuated injectors with integral fly wheel, ball  type  governor  for  fuel  system, </v>
          </cell>
          <cell r="D1390">
            <v>0</v>
          </cell>
        </row>
        <row r="1391">
          <cell r="B1391" t="str">
            <v>forced feed gear type pump for lubrication, aluminum alloy ring carrier piston with provision for thermal expansion, exhaust gas driven turbocharger for fuel economy and low smoke and noise, heat and corrosion resistant intake and exhaust valves etc. It shall also be fitted with standard components like breather crank case, air filter, coolant filter, oil filter, fuel filter, electronic governor, central pump, panel instruments provided with ammeter, hour meter, water temperature gauge, lubricating oil temperature gauge, lubricating oil pressure</v>
          </cell>
          <cell r="C1391" t="str">
            <v>forced feed gear type pump for lubrication, aluminum alloy ring carrier piston with provision for thermal expansion, exhaust gas driven turbocharger for fuel economy and low smoke and noise, heat and corrosion resistant intake and exhaust valves etc. It shall also be fitted with standard components like breather crank case, air filter, coolant filter, oil filter, fuel filter, electronic governor, central pump, panel instruments provided with ammeter, hour meter, water temperature gauge, lubricating oil temperature gauge, lubricating oil pressure</v>
          </cell>
          <cell r="D1391">
            <v>0</v>
          </cell>
        </row>
        <row r="1392">
          <cell r="B1392" t="str">
            <v>gauge,  starting  key  switch,  belt  driven  centrifuged coolant, heavy duty radiator, supports to engine from base frame with pedestal type support in the front and rear, residential silencer, alternator directly coupled to the engine, complete painting, lubricating oil measuring lever, base frame with cushion / antivibration pads, 24 volts electric startic equipment complete with starter motor alternator and batteries with cable etc.</v>
          </cell>
          <cell r="C1392" t="str">
            <v>gauge,  starting  key  switch,  belt  driven  centrifuged coolant, heavy duty radiator, supports to engine from base frame with pedestal type support in the front and rear, residential silencer, alternator directly coupled to the engine, complete painting, lubricating oil measuring lever, base frame with cushion / antivibration pads, 24 volts electric startic equipment complete with starter motor alternator and batteries with cable etc.</v>
          </cell>
          <cell r="D1392">
            <v>0</v>
          </cell>
        </row>
        <row r="1393">
          <cell r="B1393" t="str">
            <v>b)  Alternator</v>
          </cell>
          <cell r="C1393" t="str">
            <v>b)  Alternator</v>
          </cell>
          <cell r="D1393">
            <v>0</v>
          </cell>
        </row>
        <row r="1394">
          <cell r="B1394" t="str">
            <v>62.5 KVA rated for continuous duty single ended, brush less, self excited, totally enclosed IP 21/22 enclosure, class of insulation H, regulation ± 5%, terminal box suitable for one run of 3.5 core 185 Sq.mm. PVC/XLPE insulated aluminum armoured cable, terminal voltage 415 volts, 50 Hz, 3 phase, 4 wire system, automatic voltage regulator, suitable mounting arrangements and coupling with the base frame and engine etc. and painting in suitable colour.</v>
          </cell>
          <cell r="C1394" t="str">
            <v>62.5 KVA rated for continuous duty single ended, brush less, self excited, totally enclosed IP 21/22 enclosure, class of insulation H, regulation ± 5%, terminal box suitable for one run of 3.5 core 185 Sq.mm. PVC/XLPE insulated aluminum armoured cable, terminal voltage 415 volts, 50 Hz, 3 phase, 4 wire system, automatic voltage regulator, suitable mounting arrangements and coupling with the base frame and engine etc. and painting in suitable colour.</v>
          </cell>
          <cell r="D1394">
            <v>0</v>
          </cell>
        </row>
        <row r="1395">
          <cell r="B1395" t="str">
            <v xml:space="preserve">c)  Control panel </v>
          </cell>
          <cell r="C1395" t="str">
            <v xml:space="preserve">c)  Control panel </v>
          </cell>
          <cell r="D1395">
            <v>0</v>
          </cell>
        </row>
        <row r="1396">
          <cell r="B1396" t="str">
            <v>The Control panel shall be made of 14 &amp; 16 SWG sheet steel mounted on a channel frame, floor mounting, free standing, dust proof, cubical type, front operated etc. It shall be provided with 250A 25KA TPN MCCB with U/V coil and thermal magnetic realise, current transformers with suitable ratio for metering and protection, earth fault relay, square digital type ammeter (0 – 200A), square digital type voltmeter (0 - 600V), digital type frequency meter, KWH meter, indicating lamps, fuses, etc.</v>
          </cell>
          <cell r="C1396" t="str">
            <v>The Control panel shall be made of 14 &amp; 16 SWG sheet steel mounted on a channel frame, floor mounting, free standing, dust proof, cubical type, front operated etc. It shall be provided with 250A 25KA TPN MCCB with U/V coil and thermal magnetic realise, current transformers with suitable ratio for metering and protection, earth fault relay, square digital type ammeter (0 – 200A), square digital type voltmeter (0 - 600V), digital type frequency meter, KWH meter, indicating lamps, fuses, etc.</v>
          </cell>
          <cell r="D1396">
            <v>0</v>
          </cell>
        </row>
        <row r="1397">
          <cell r="B1397" t="str">
            <v>The panel shall be equipped with tinned copper bus bars of suitable size, duly provided with heat shrink PVC sleeves mounted on suitable support insulators. Separate bus bars for incoming and outgoing with cable entry at bottom of panel with removable gland plate separately for incoming and outgoing cables, panel lifting hooks, base frame etc.</v>
          </cell>
          <cell r="C1397" t="str">
            <v>The panel shall be equipped with tinned copper bus bars of suitable size, duly provided with heat shrink PVC sleeves mounted on suitable support insulators. Separate bus bars for incoming and outgoing with cable entry at bottom of panel with removable gland plate separately for incoming and outgoing cables, panel lifting hooks, base frame etc.</v>
          </cell>
          <cell r="D1397">
            <v>0</v>
          </cell>
        </row>
        <row r="1398">
          <cell r="B1398" t="str">
            <v>Battery charger comprising of</v>
          </cell>
          <cell r="C1398" t="str">
            <v>Battery charger comprising of</v>
          </cell>
          <cell r="D1398">
            <v>0</v>
          </cell>
        </row>
        <row r="1399">
          <cell r="B1399" t="str">
            <v>a) Transformer</v>
          </cell>
          <cell r="C1399" t="str">
            <v>a) Transformer</v>
          </cell>
          <cell r="D1399">
            <v>0</v>
          </cell>
        </row>
        <row r="1400">
          <cell r="B1400" t="str">
            <v>b) Rectifier</v>
          </cell>
          <cell r="C1400" t="str">
            <v>b) Rectifier</v>
          </cell>
          <cell r="D1400">
            <v>0</v>
          </cell>
        </row>
        <row r="1401">
          <cell r="B1401" t="str">
            <v>c) DC Ammeter</v>
          </cell>
          <cell r="C1401" t="str">
            <v>c) DC Ammeter</v>
          </cell>
          <cell r="D1401">
            <v>0</v>
          </cell>
        </row>
        <row r="1402">
          <cell r="B1402" t="str">
            <v>d) DC Voltmeter</v>
          </cell>
          <cell r="C1402" t="str">
            <v>d) DC Voltmeter</v>
          </cell>
          <cell r="D1402">
            <v>0</v>
          </cell>
        </row>
        <row r="1403">
          <cell r="B1403" t="str">
            <v>e) Charging rate selector</v>
          </cell>
          <cell r="C1403" t="str">
            <v>e) Charging rate selector</v>
          </cell>
          <cell r="D1403">
            <v>0</v>
          </cell>
        </row>
        <row r="1404">
          <cell r="B1404" t="str">
            <v>f) Circuit Breaker</v>
          </cell>
          <cell r="C1404" t="str">
            <v>f) Circuit Breaker</v>
          </cell>
          <cell r="D1404">
            <v>0</v>
          </cell>
        </row>
        <row r="1405">
          <cell r="B1405" t="str">
            <v>d) 400 litres fuel oil tank complete with strainer, breather cum filter, drain plug, delivery line with gate valve, fuel level indicator. Hand operated fuel oil pump is to be supplied.</v>
          </cell>
          <cell r="C1405" t="str">
            <v>d) 400 litres fuel oil tank complete with strainer, breather cum filter, drain plug, delivery line with gate valve, fuel level indicator. Hand operated fuel oil pump is to be supplied.</v>
          </cell>
          <cell r="D1405">
            <v>0</v>
          </cell>
        </row>
        <row r="1406">
          <cell r="B1406" t="str">
            <v>e) Acoustic hood for housing the above DG set to be mounted on a concrete platform. The acoustic enclosure shall be of suitable size as per norms prescribed by Central Pollution Control Board (CPCB). The guaranteed noise level shall be of 75 decibals at 1 mtr. distance.</v>
          </cell>
          <cell r="C1406" t="str">
            <v>e) Acoustic hood for housing the above DG set to be mounted on a concrete platform. The acoustic enclosure shall be of suitable size as per norms prescribed by Central Pollution Control Board (CPCB). The guaranteed noise level shall be of 75 decibals at 1 mtr. distance.</v>
          </cell>
          <cell r="D1406">
            <v>0</v>
          </cell>
        </row>
        <row r="1407">
          <cell r="B1407" t="str">
            <v>The enclosure shall be of totally weather, vermin and dust proof to enable the generator to operate at an ambient temperature of 48oC. The outer casing of the container shall be of sheet steel of suitable thickness. The total container shall be of powder coated.</v>
          </cell>
          <cell r="C1407" t="str">
            <v>The enclosure shall be of totally weather, vermin and dust proof to enable the generator to operate at an ambient temperature of 48oC. The outer casing of the container shall be of sheet steel of suitable thickness. The total container shall be of powder coated.</v>
          </cell>
          <cell r="D1407">
            <v>0</v>
          </cell>
        </row>
        <row r="1408">
          <cell r="B1408" t="str">
            <v>f) Supply and laying of MS fuel line connection between fuel tank and the engine with suitable supports</v>
          </cell>
          <cell r="C1408" t="str">
            <v>f) Supply and laying of MS fuel line connection between fuel tank and the engine with suitable supports</v>
          </cell>
          <cell r="D1408">
            <v>0</v>
          </cell>
        </row>
        <row r="1409">
          <cell r="B1409" t="str">
            <v>g) Supply of residential silencer.</v>
          </cell>
          <cell r="C1409" t="str">
            <v>g) Supply of residential silencer.</v>
          </cell>
          <cell r="D1409">
            <v>0</v>
          </cell>
        </row>
        <row r="1410">
          <cell r="B1410" t="str">
            <v>h) Mounting of starting batteries with suitable angle iron frame work support.</v>
          </cell>
          <cell r="C1410" t="str">
            <v>h) Mounting of starting batteries with suitable angle iron frame work support.</v>
          </cell>
          <cell r="D1410">
            <v>0</v>
          </cell>
        </row>
        <row r="1411">
          <cell r="B1411" t="str">
            <v>i) The base frame shall be of fabricated MS channel frame of rigid welded construction for mounting the generator set.</v>
          </cell>
          <cell r="C1411" t="str">
            <v>i) The base frame shall be of fabricated MS channel frame of rigid welded construction for mounting the generator set.</v>
          </cell>
          <cell r="D1411">
            <v>0</v>
          </cell>
        </row>
        <row r="1412">
          <cell r="B1412" t="str">
            <v>Vide data book 2018-19 Class IV Generators with standared panel sub class : (PWD SR 104)</v>
          </cell>
          <cell r="C1412" t="str">
            <v>Vide data book 2018-19 Class IV Generators with standared panel sub class : (PWD SR 104)</v>
          </cell>
          <cell r="D1412">
            <v>522900</v>
          </cell>
        </row>
        <row r="1413">
          <cell r="B1413" t="str">
            <v>Erection, Testing and commissioning of 100 KVA Diesel generator set.</v>
          </cell>
          <cell r="C1413" t="str">
            <v>Erection, Testing and commissioning of 62.5KVA Diesel generator set.</v>
          </cell>
          <cell r="D1413">
            <v>0</v>
          </cell>
        </row>
        <row r="1414">
          <cell r="B1414" t="str">
            <v>Insulation for the residential silencer (supply of residential silencer to be included under item for DG Sets)                                                    ( Quotation From Rajguru Enterprises )</v>
          </cell>
          <cell r="C1414" t="str">
            <v xml:space="preserve">Insulation for the residential silencer (supply of residential silencer to be included under item for DG Sets)  </v>
          </cell>
          <cell r="D1414">
            <v>7210.5</v>
          </cell>
        </row>
        <row r="1415">
          <cell r="B1415" t="str">
            <v>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 ( Quotation From Rajguru Enterprises )</v>
          </cell>
          <cell r="C1415" t="str">
            <v xml:space="preserve">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 </v>
          </cell>
          <cell r="D1415">
            <v>27646</v>
          </cell>
        </row>
        <row r="1416">
          <cell r="B1416" t="str">
            <v>EXHAUST PIPE</v>
          </cell>
          <cell r="C1416" t="str">
            <v>EXHAUST PIPE</v>
          </cell>
          <cell r="D1416">
            <v>0</v>
          </cell>
        </row>
        <row r="1417">
          <cell r="B1417" t="str">
            <v>Supply and installation of MS exhaust pipe of suitable thickness with 100mm dia upto 5m from the silencer complete with necessary supports, brackets etc. The supports shall have at intervals of not more than 2.5m. ( Quotation From Rajguru Enterprises )</v>
          </cell>
          <cell r="C1417" t="str">
            <v>Supply and installation of MS exhaust pipe of suitable thickness with 100mm dia upto 5m from the silencer complete with necessary supports, brackets etc. The supports shall have at intervals of not more than 2.5m. ( Quotation From Rajguru Enterprises )</v>
          </cell>
          <cell r="D1417">
            <v>339.3</v>
          </cell>
        </row>
        <row r="1418">
          <cell r="B1418" t="str">
            <v>Supply and installation of MS exhaust pipe of suitable thickness with 125 mm dia complete with MS wall / ceiling support, etc.                     ( Quotation From Rajguru Enterprises )</v>
          </cell>
          <cell r="C1418" t="str">
            <v>Supply and installation of MS exhaust pipe of suitable thickness with 125 mm dia complete with MS wall / ceiling support, etc.                     ( Quotation From Rajguru Enterprises )</v>
          </cell>
          <cell r="D1418">
            <v>2881</v>
          </cell>
        </row>
        <row r="1419">
          <cell r="B1419" t="str">
            <v>Supply and insulation of exhaust pipe thermal insulation lagging with mineral wool as per IS 3677 / 1973 reinforced with chicken mesh and cladded with aluminium sheet of 26 SWG and 50mm thick with 64 Kg/Cu. Mtr. Density. ( Quotation From Rajguru Enterprises )</v>
          </cell>
          <cell r="C1419" t="str">
            <v>Supply and insulation of exhaust pipe thermal insulation lagging with mineral wool as per IS 3677 / 1973 reinforced with chicken mesh and cladded with aluminium sheet of 26 SWG and 50mm thick with 64 Kg/Cu. Mtr. Density. ( Quotation From Rajguru Enterprises )</v>
          </cell>
          <cell r="D1419">
            <v>197</v>
          </cell>
        </row>
        <row r="1420">
          <cell r="B1420" t="str">
            <v>Supply and installation of stainless steel rain hood / rain cap / bend at top of the exhaust pipe to prevent rain water entry to exhaust pipe with provision of drain plug in the system.                                               ( Quotation From Rajguru Enterprises )</v>
          </cell>
          <cell r="C1420" t="str">
            <v>Supply and installation of stainless steel rain hood / rain cap / bend at top of the exhaust pipe to prevent rain water entry to exhaust pipe with provision of drain plug in the system.                                               ( Quotation From Rajguru Enterprises )</v>
          </cell>
          <cell r="D1420">
            <v>4882</v>
          </cell>
        </row>
        <row r="1421">
          <cell r="B1421" t="str">
            <v>APPROVAL FROM CEIG / CEA</v>
          </cell>
          <cell r="C1421" t="str">
            <v>APPROVAL FROM CEIG / CEA</v>
          </cell>
          <cell r="D1421">
            <v>0</v>
          </cell>
        </row>
        <row r="1422">
          <cell r="B1422" t="str">
            <v>Preparation of necessary drawings for both DG sets for approval by Chief Electrical Inspector to Government / CEA, obtain approval for the same, arrange for the inspection by the Electrical Inspectorate / CEA Officials and obtain safety certificate from them for commissioning the DG set (This building is fed by HT power supply)    ( Quotation From Rajguru Enterprises )</v>
          </cell>
          <cell r="C1422" t="str">
            <v>Preparation of necessary drawings for both DG sets for approval by Chief Electrical Inspector to Government / CEA, obtain approval for the same, arrange for the inspection by the Electrical Inspectorate / CEA Officials and obtain safety certificate from them for commissioning the DG set (This building is fed by HT power supply)    ( Quotation From Rajguru Enterprises )</v>
          </cell>
          <cell r="D1422">
            <v>34500</v>
          </cell>
        </row>
        <row r="1423">
          <cell r="B1423" t="str">
            <v>Providing safety equipments: CO2 fire extinguisher : 1 No.; 9 ltrs capacity fire buckets:  3 Nos., &amp; rubber mat : 1 No.                            ( Quotation From Rajguru Enterprises )</v>
          </cell>
          <cell r="C1423" t="str">
            <v>Providing safety equipments: CO2 fire extinguisher : 1 No.; 9 ltrs capacity fire buckets:  3 Nos., &amp; rubber mat : 1 No.                            ( Quotation From Rajguru Enterprises )</v>
          </cell>
          <cell r="D1423">
            <v>18113</v>
          </cell>
        </row>
        <row r="1424">
          <cell r="B1424" t="str">
            <v>CABLING AND END TERMINATION:</v>
          </cell>
          <cell r="C1424" t="str">
            <v>CABLING AND END TERMINATION:</v>
          </cell>
          <cell r="D1424">
            <v>0</v>
          </cell>
        </row>
        <row r="1425">
          <cell r="B1425" t="str">
            <v>Supply and laying of  XLPE, aluminium conductor 1.1KV grade armoured ,MV cable of the following sizes in the existing cable trays / trenches as required generally confirming to IS: 1554/Part - I / 1970</v>
          </cell>
          <cell r="C1425" t="str">
            <v>Supply and laying of  XLPE, aluminium conductor 1.1KV grade armoured ,MV cable of the following sizes in the existing cable trays / trenches as required generally confirming to IS: 1554/Part - I / 1970</v>
          </cell>
          <cell r="D1425">
            <v>0</v>
          </cell>
        </row>
        <row r="1426">
          <cell r="B1426" t="str">
            <v>Note: If necessary the cables are to be laid in ground / in a trench to be excavated at a depth of 0.75 Mtr. putting 0.15 Mtr. layer of sand and covering the cable completely with brick and sand and refilling the earth to make good.</v>
          </cell>
          <cell r="C1426" t="str">
            <v>Note: If necessary the cables are to be laid in ground / in a trench to be excavated at a depth of 0.75 Mtr. putting 0.15 Mtr. layer of sand and covering the cable completely with brick and sand and refilling the earth to make good.</v>
          </cell>
          <cell r="D1426">
            <v>0</v>
          </cell>
        </row>
        <row r="1427">
          <cell r="B1427" t="str">
            <v>a) 3 1/2 x 185 sqmm aluminium cable (Data-A) SD - 211From DG panel to the common panel</v>
          </cell>
          <cell r="C1427" t="str">
            <v>a) 3 1/2 x 185 sqmm aluminium cable (Data-A) SD - 211From DG panel to the common panel</v>
          </cell>
          <cell r="D1427">
            <v>1894</v>
          </cell>
        </row>
        <row r="1428">
          <cell r="B1428" t="str">
            <v>Supply and fixing of brass cable gland for XLPE armoured LTUG cable for following sizes with earth connection.</v>
          </cell>
          <cell r="C1428" t="str">
            <v>Supply and fixing of brass cable gland for XLPE armoured LTUG cable for following sizes with earth connection.</v>
          </cell>
          <cell r="D1428">
            <v>0</v>
          </cell>
        </row>
        <row r="1429">
          <cell r="B1429" t="str">
            <v>a) 3 1/2 x 185 sqmm aluminium cable (Data-B)  SD - 193</v>
          </cell>
          <cell r="C1429" t="str">
            <v>a) 3 1/2 x 185 sqmm aluminium cable (Data-B)  SD - 193</v>
          </cell>
          <cell r="D1429">
            <v>801</v>
          </cell>
        </row>
        <row r="1430">
          <cell r="B1430" t="str">
            <v>Supply and providing cable end termination of following sizes of XLPE armoured LTUG Aluminium cable with necessary aluminium cable sockets by crimping etc. with electrical connection complete.</v>
          </cell>
          <cell r="C1430" t="str">
            <v>Supply and providing cable end termination of following sizes of XLPE armoured LTUG Aluminium cable with necessary aluminium cable sockets by crimping etc. with electrical connection complete.</v>
          </cell>
          <cell r="D1430">
            <v>0</v>
          </cell>
        </row>
        <row r="1431">
          <cell r="B1431" t="str">
            <v>a) 3 1/2 x 185 sqmm aluminium cable (Data-C) SD- 242</v>
          </cell>
          <cell r="C1431" t="str">
            <v>a) 3 1/2 x 185 sqmm aluminium cable (Data-C) SD- 242</v>
          </cell>
          <cell r="D1431">
            <v>442</v>
          </cell>
        </row>
        <row r="1432">
          <cell r="B1432" t="str">
            <v>EARTHING AND EARTH CONNECTIONS:</v>
          </cell>
          <cell r="C1432" t="str">
            <v>EARTHING AND EARTH CONNECTIONS:</v>
          </cell>
          <cell r="D1432">
            <v>0</v>
          </cell>
        </row>
        <row r="1433">
          <cell r="B1433" t="str">
            <v>Earthing as per the ISI specification with an earth electrode of 2.1 mt class 'B' GI pipe of dia not less than 40mm, with copper earth plate of size 125mm X 50mm X 6mm, with necessary funneling arrangements with necessary masonry rork and with 38mm RCC cover slab for the brick masonry. (Data D - SD 233)</v>
          </cell>
          <cell r="C1433" t="str">
            <v>Earthing as per the ISI specification with an earth electrode of 2.1 mt class 'B' GI pipe of dia not less than 40mm, with copper earth plate of size 125mm X 50mm X 6mm, with necessary funneling arrangements with necessary masonry rork and with 38mm RCC cover slab for the brick masonry. (Data D - SD 233)</v>
          </cell>
          <cell r="D1433">
            <v>1996</v>
          </cell>
        </row>
        <row r="1434">
          <cell r="B1434" t="str">
            <v>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 ( Quotation From Rajguru Enterprises )</v>
          </cell>
          <cell r="C1434" t="str">
            <v>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 ( Quotation From Rajguru Enterprises )</v>
          </cell>
          <cell r="D1434">
            <v>9026</v>
          </cell>
        </row>
        <row r="1435">
          <cell r="B1435" t="str">
            <v>Supply and run of 2 of No.8 tin coated copper for earth connections -    ( Quotation From Rajguru Enterprises )</v>
          </cell>
          <cell r="C1435" t="str">
            <v>Supply and run of 2 of No.8 tin coated copper for earth connections -    ( Quotation From Rajguru Enterprises )</v>
          </cell>
          <cell r="D1435">
            <v>136</v>
          </cell>
        </row>
        <row r="1436">
          <cell r="B1436" t="str">
            <v>Providing and fixing 25mm x 3mm copper strip on surface or in recess for connections as required - Data G (SD - 76)</v>
          </cell>
          <cell r="C1436" t="str">
            <v>Providing and fixing 25mm x 3mm copper strip on surface or in recess for connections as required - Data G (SD - 76)</v>
          </cell>
          <cell r="D1436">
            <v>380</v>
          </cell>
        </row>
        <row r="1437">
          <cell r="B1437" t="str">
            <v>Providing and fixing 25mm x 6mm copper strip on surface or in recess for connections as required for alternator neutral -                  Data H (SD - 77)</v>
          </cell>
          <cell r="C1437" t="str">
            <v>Providing and fixing 25mm x 6mm copper strip on surface or in recess for connections as required for alternator neutral -                  Data H (SD - 77)</v>
          </cell>
          <cell r="D1437">
            <v>717</v>
          </cell>
        </row>
        <row r="1438">
          <cell r="B1438">
            <v>0</v>
          </cell>
          <cell r="C1438">
            <v>0</v>
          </cell>
          <cell r="D1438">
            <v>1683035.72</v>
          </cell>
        </row>
        <row r="1439">
          <cell r="B1439" t="str">
            <v>Suppling and laying granite wall cladding</v>
          </cell>
          <cell r="C1439" t="str">
            <v xml:space="preserve">Providing S &amp; F of Granite tile of size 2'x1', 10mm Sinthetic Grey including super fine polish, finishing and fixing in position and pointing with CM 1:3 (One of cement and three of sand) complying with relevant Standard specifications etc.,  (Measurement will be taken including bearing also) as directed by the departmental officers (Quality of Granite slab shall be got approved by the Executive Engineer before fixing.  </v>
          </cell>
          <cell r="D1439">
            <v>1502.3887096774192</v>
          </cell>
        </row>
        <row r="1440">
          <cell r="B1440" t="str">
            <v xml:space="preserve">supplying and fixing of wall cladding Top granite beeding </v>
          </cell>
          <cell r="C1440" t="str">
            <v xml:space="preserve">Providing S &amp; F of Granite tile of size 2'x1', 10mm Jet Black including super fine polish, finishing and fixing in position and pointing with CM 1:3 (One of cement and three of sand) complying with relevant Standard specifications etc.,  (Measurement will be taken including bearing also) as directed by the departmental officers (Quality of Granite slab shall be got approved by the Executive Engineer before fixing.  </v>
          </cell>
          <cell r="D1440">
            <v>2494.3887096774197</v>
          </cell>
        </row>
        <row r="1441">
          <cell r="B1441" t="str">
            <v>Providing MDF  Singlee leaf shutter with TW alround frame for ward robe / cup boardThe all round frame made up of T.W. scantling of 75mmX37.50mm and the styles made up of T.W. scantlings of 75mmX37.5mm and shutter middle Rail (Horizontal) made up of T.W. scantling of 150mm x 37.5mm, labour for fixing in position , cost of materials, Aluminium Furniture fittings such as 2 nos. of 3” of Aluminium butt hinges, 2 nos. of 4”x5/8” Aluminium Tower  bolt,    1 nos of 4” ornamental  Handle and brass screws, lock and key arrangements of best approved quality and also with two coats of approved first class synthetic enamel ready mixed paint in addition to one coat of primer of approved quality and shade, all complete &amp; as directed by the departmental officers (The lock and key, BWR Plywood quality and shade and other fittings should be got approved from Executive Engineer before use.)</v>
          </cell>
          <cell r="C1441" t="str">
            <v>Providing MDF  Singlee leaf shutter with TW alround frame for ward robe / cup boardThe all round frame made up of T.W. scantling of 75mmX37.50mm and the styles made up of T.W. scantlings of 75mmX37.5mm and shutter middle Rail (Horizontal) made up of T.W. scantling of 150mm x 37.5mm, labour for fixing in position , cost of materials, Aluminium Furniture fittings such as 2 nos. of 3” of Aluminium butt hinges, 2 nos. of 4”x5/8” Aluminium Tower  bolt,    1 nos of 4” ornamental  Handle and brass screws, lock and key arrangements of best approved quality and also with two coats of approved first class synthetic enamel ready mixed paint in addition to one coat of primer of approved quality and shade, all complete &amp; as directed by the departmental officers (The lock and key, BWR Plywood quality and shade and other fittings should be got approved from Executive Engineer before use.)</v>
          </cell>
          <cell r="D1441">
            <v>8000</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tables/table1.xml><?xml version="1.0" encoding="utf-8"?>
<table xmlns="http://schemas.openxmlformats.org/spreadsheetml/2006/main" id="6" name="spec" displayName="spec" ref="E5:H1254" totalsRowShown="0" tableBorderDxfId="7">
  <autoFilter ref="E5:H1254"/>
  <tableColumns count="4">
    <tableColumn id="1" name="Column2"/>
    <tableColumn id="2" name="Column3" dataDxfId="6"/>
    <tableColumn id="3" name="Column1" dataDxfId="5"/>
    <tableColumn id="4" name=" "/>
  </tableColumns>
  <tableStyleInfo name="TableStyleMedium9" showFirstColumn="0" showLastColumn="0" showRowStripes="1" showColumnStripes="0"/>
</table>
</file>

<file path=xl/tables/table2.xml><?xml version="1.0" encoding="utf-8"?>
<table xmlns="http://schemas.openxmlformats.org/spreadsheetml/2006/main" id="1" name="GB_2" displayName="GB_2" ref="G22:H26" totalsRowShown="0" headerRowDxfId="4" tableBorderDxfId="3" headerRowCellStyle="20% - Accent2 5 3">
  <autoFilter ref="G22:H26"/>
  <tableColumns count="2">
    <tableColumn id="1" name="Column1" dataDxfId="2" dataCellStyle="Normal 2"/>
    <tableColumn id="2" name="Column2"/>
  </tableColumns>
  <tableStyleInfo name="TableStyleMedium2" showFirstColumn="0" showLastColumn="0" showRowStripes="1" showColumnStripes="0"/>
</table>
</file>

<file path=xl/tables/table3.xml><?xml version="1.0" encoding="utf-8"?>
<table xmlns="http://schemas.openxmlformats.org/spreadsheetml/2006/main" id="2" name="DOORS3" displayName="DOORS3" ref="B25:D37" totalsRowShown="0" tableBorderDxfId="1">
  <autoFilter ref="B25:D37"/>
  <tableColumns count="3">
    <tableColumn id="1" name="Column1" dataDxfId="0"/>
    <tableColumn id="2" name="Column2"/>
    <tableColumn id="3" name="Column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Sheet21"/>
  <dimension ref="A1:M226"/>
  <sheetViews>
    <sheetView view="pageBreakPreview" topLeftCell="A134" zoomScale="80" zoomScaleSheetLayoutView="80" workbookViewId="0">
      <selection activeCell="E149" sqref="E149"/>
    </sheetView>
  </sheetViews>
  <sheetFormatPr defaultRowHeight="15.75"/>
  <cols>
    <col min="1" max="1" width="16.42578125" style="2" customWidth="1"/>
    <col min="2" max="2" width="11.28515625" style="2" customWidth="1"/>
    <col min="3" max="3" width="66.42578125" style="2" customWidth="1"/>
    <col min="4" max="4" width="10.85546875" style="2" customWidth="1"/>
    <col min="5" max="5" width="9.42578125" style="2" customWidth="1"/>
    <col min="6" max="6" width="16.42578125" style="2" customWidth="1"/>
    <col min="7" max="7" width="11.7109375" style="2" customWidth="1"/>
    <col min="8" max="8" width="11.5703125" style="2" bestFit="1" customWidth="1"/>
    <col min="9" max="9" width="21.7109375" style="2" customWidth="1"/>
    <col min="10" max="256" width="9.140625" style="2"/>
    <col min="257" max="257" width="16.42578125" style="2" customWidth="1"/>
    <col min="258" max="258" width="11.28515625" style="2" customWidth="1"/>
    <col min="259" max="259" width="66.42578125" style="2" customWidth="1"/>
    <col min="260" max="260" width="10.85546875" style="2" customWidth="1"/>
    <col min="261" max="261" width="9.42578125" style="2" customWidth="1"/>
    <col min="262" max="262" width="16.42578125" style="2" customWidth="1"/>
    <col min="263" max="263" width="11.7109375" style="2" customWidth="1"/>
    <col min="264" max="264" width="11.5703125" style="2" bestFit="1" customWidth="1"/>
    <col min="265" max="265" width="21.7109375" style="2" customWidth="1"/>
    <col min="266" max="512" width="9.140625" style="2"/>
    <col min="513" max="513" width="16.42578125" style="2" customWidth="1"/>
    <col min="514" max="514" width="11.28515625" style="2" customWidth="1"/>
    <col min="515" max="515" width="66.42578125" style="2" customWidth="1"/>
    <col min="516" max="516" width="10.85546875" style="2" customWidth="1"/>
    <col min="517" max="517" width="9.42578125" style="2" customWidth="1"/>
    <col min="518" max="518" width="16.42578125" style="2" customWidth="1"/>
    <col min="519" max="519" width="11.7109375" style="2" customWidth="1"/>
    <col min="520" max="520" width="11.5703125" style="2" bestFit="1" customWidth="1"/>
    <col min="521" max="521" width="21.7109375" style="2" customWidth="1"/>
    <col min="522" max="768" width="9.140625" style="2"/>
    <col min="769" max="769" width="16.42578125" style="2" customWidth="1"/>
    <col min="770" max="770" width="11.28515625" style="2" customWidth="1"/>
    <col min="771" max="771" width="66.42578125" style="2" customWidth="1"/>
    <col min="772" max="772" width="10.85546875" style="2" customWidth="1"/>
    <col min="773" max="773" width="9.42578125" style="2" customWidth="1"/>
    <col min="774" max="774" width="16.42578125" style="2" customWidth="1"/>
    <col min="775" max="775" width="11.7109375" style="2" customWidth="1"/>
    <col min="776" max="776" width="11.5703125" style="2" bestFit="1" customWidth="1"/>
    <col min="777" max="777" width="21.7109375" style="2" customWidth="1"/>
    <col min="778" max="1024" width="9.140625" style="2"/>
    <col min="1025" max="1025" width="16.42578125" style="2" customWidth="1"/>
    <col min="1026" max="1026" width="11.28515625" style="2" customWidth="1"/>
    <col min="1027" max="1027" width="66.42578125" style="2" customWidth="1"/>
    <col min="1028" max="1028" width="10.85546875" style="2" customWidth="1"/>
    <col min="1029" max="1029" width="9.42578125" style="2" customWidth="1"/>
    <col min="1030" max="1030" width="16.42578125" style="2" customWidth="1"/>
    <col min="1031" max="1031" width="11.7109375" style="2" customWidth="1"/>
    <col min="1032" max="1032" width="11.5703125" style="2" bestFit="1" customWidth="1"/>
    <col min="1033" max="1033" width="21.7109375" style="2" customWidth="1"/>
    <col min="1034" max="1280" width="9.140625" style="2"/>
    <col min="1281" max="1281" width="16.42578125" style="2" customWidth="1"/>
    <col min="1282" max="1282" width="11.28515625" style="2" customWidth="1"/>
    <col min="1283" max="1283" width="66.42578125" style="2" customWidth="1"/>
    <col min="1284" max="1284" width="10.85546875" style="2" customWidth="1"/>
    <col min="1285" max="1285" width="9.42578125" style="2" customWidth="1"/>
    <col min="1286" max="1286" width="16.42578125" style="2" customWidth="1"/>
    <col min="1287" max="1287" width="11.7109375" style="2" customWidth="1"/>
    <col min="1288" max="1288" width="11.5703125" style="2" bestFit="1" customWidth="1"/>
    <col min="1289" max="1289" width="21.7109375" style="2" customWidth="1"/>
    <col min="1290" max="1536" width="9.140625" style="2"/>
    <col min="1537" max="1537" width="16.42578125" style="2" customWidth="1"/>
    <col min="1538" max="1538" width="11.28515625" style="2" customWidth="1"/>
    <col min="1539" max="1539" width="66.42578125" style="2" customWidth="1"/>
    <col min="1540" max="1540" width="10.85546875" style="2" customWidth="1"/>
    <col min="1541" max="1541" width="9.42578125" style="2" customWidth="1"/>
    <col min="1542" max="1542" width="16.42578125" style="2" customWidth="1"/>
    <col min="1543" max="1543" width="11.7109375" style="2" customWidth="1"/>
    <col min="1544" max="1544" width="11.5703125" style="2" bestFit="1" customWidth="1"/>
    <col min="1545" max="1545" width="21.7109375" style="2" customWidth="1"/>
    <col min="1546" max="1792" width="9.140625" style="2"/>
    <col min="1793" max="1793" width="16.42578125" style="2" customWidth="1"/>
    <col min="1794" max="1794" width="11.28515625" style="2" customWidth="1"/>
    <col min="1795" max="1795" width="66.42578125" style="2" customWidth="1"/>
    <col min="1796" max="1796" width="10.85546875" style="2" customWidth="1"/>
    <col min="1797" max="1797" width="9.42578125" style="2" customWidth="1"/>
    <col min="1798" max="1798" width="16.42578125" style="2" customWidth="1"/>
    <col min="1799" max="1799" width="11.7109375" style="2" customWidth="1"/>
    <col min="1800" max="1800" width="11.5703125" style="2" bestFit="1" customWidth="1"/>
    <col min="1801" max="1801" width="21.7109375" style="2" customWidth="1"/>
    <col min="1802" max="2048" width="9.140625" style="2"/>
    <col min="2049" max="2049" width="16.42578125" style="2" customWidth="1"/>
    <col min="2050" max="2050" width="11.28515625" style="2" customWidth="1"/>
    <col min="2051" max="2051" width="66.42578125" style="2" customWidth="1"/>
    <col min="2052" max="2052" width="10.85546875" style="2" customWidth="1"/>
    <col min="2053" max="2053" width="9.42578125" style="2" customWidth="1"/>
    <col min="2054" max="2054" width="16.42578125" style="2" customWidth="1"/>
    <col min="2055" max="2055" width="11.7109375" style="2" customWidth="1"/>
    <col min="2056" max="2056" width="11.5703125" style="2" bestFit="1" customWidth="1"/>
    <col min="2057" max="2057" width="21.7109375" style="2" customWidth="1"/>
    <col min="2058" max="2304" width="9.140625" style="2"/>
    <col min="2305" max="2305" width="16.42578125" style="2" customWidth="1"/>
    <col min="2306" max="2306" width="11.28515625" style="2" customWidth="1"/>
    <col min="2307" max="2307" width="66.42578125" style="2" customWidth="1"/>
    <col min="2308" max="2308" width="10.85546875" style="2" customWidth="1"/>
    <col min="2309" max="2309" width="9.42578125" style="2" customWidth="1"/>
    <col min="2310" max="2310" width="16.42578125" style="2" customWidth="1"/>
    <col min="2311" max="2311" width="11.7109375" style="2" customWidth="1"/>
    <col min="2312" max="2312" width="11.5703125" style="2" bestFit="1" customWidth="1"/>
    <col min="2313" max="2313" width="21.7109375" style="2" customWidth="1"/>
    <col min="2314" max="2560" width="9.140625" style="2"/>
    <col min="2561" max="2561" width="16.42578125" style="2" customWidth="1"/>
    <col min="2562" max="2562" width="11.28515625" style="2" customWidth="1"/>
    <col min="2563" max="2563" width="66.42578125" style="2" customWidth="1"/>
    <col min="2564" max="2564" width="10.85546875" style="2" customWidth="1"/>
    <col min="2565" max="2565" width="9.42578125" style="2" customWidth="1"/>
    <col min="2566" max="2566" width="16.42578125" style="2" customWidth="1"/>
    <col min="2567" max="2567" width="11.7109375" style="2" customWidth="1"/>
    <col min="2568" max="2568" width="11.5703125" style="2" bestFit="1" customWidth="1"/>
    <col min="2569" max="2569" width="21.7109375" style="2" customWidth="1"/>
    <col min="2570" max="2816" width="9.140625" style="2"/>
    <col min="2817" max="2817" width="16.42578125" style="2" customWidth="1"/>
    <col min="2818" max="2818" width="11.28515625" style="2" customWidth="1"/>
    <col min="2819" max="2819" width="66.42578125" style="2" customWidth="1"/>
    <col min="2820" max="2820" width="10.85546875" style="2" customWidth="1"/>
    <col min="2821" max="2821" width="9.42578125" style="2" customWidth="1"/>
    <col min="2822" max="2822" width="16.42578125" style="2" customWidth="1"/>
    <col min="2823" max="2823" width="11.7109375" style="2" customWidth="1"/>
    <col min="2824" max="2824" width="11.5703125" style="2" bestFit="1" customWidth="1"/>
    <col min="2825" max="2825" width="21.7109375" style="2" customWidth="1"/>
    <col min="2826" max="3072" width="9.140625" style="2"/>
    <col min="3073" max="3073" width="16.42578125" style="2" customWidth="1"/>
    <col min="3074" max="3074" width="11.28515625" style="2" customWidth="1"/>
    <col min="3075" max="3075" width="66.42578125" style="2" customWidth="1"/>
    <col min="3076" max="3076" width="10.85546875" style="2" customWidth="1"/>
    <col min="3077" max="3077" width="9.42578125" style="2" customWidth="1"/>
    <col min="3078" max="3078" width="16.42578125" style="2" customWidth="1"/>
    <col min="3079" max="3079" width="11.7109375" style="2" customWidth="1"/>
    <col min="3080" max="3080" width="11.5703125" style="2" bestFit="1" customWidth="1"/>
    <col min="3081" max="3081" width="21.7109375" style="2" customWidth="1"/>
    <col min="3082" max="3328" width="9.140625" style="2"/>
    <col min="3329" max="3329" width="16.42578125" style="2" customWidth="1"/>
    <col min="3330" max="3330" width="11.28515625" style="2" customWidth="1"/>
    <col min="3331" max="3331" width="66.42578125" style="2" customWidth="1"/>
    <col min="3332" max="3332" width="10.85546875" style="2" customWidth="1"/>
    <col min="3333" max="3333" width="9.42578125" style="2" customWidth="1"/>
    <col min="3334" max="3334" width="16.42578125" style="2" customWidth="1"/>
    <col min="3335" max="3335" width="11.7109375" style="2" customWidth="1"/>
    <col min="3336" max="3336" width="11.5703125" style="2" bestFit="1" customWidth="1"/>
    <col min="3337" max="3337" width="21.7109375" style="2" customWidth="1"/>
    <col min="3338" max="3584" width="9.140625" style="2"/>
    <col min="3585" max="3585" width="16.42578125" style="2" customWidth="1"/>
    <col min="3586" max="3586" width="11.28515625" style="2" customWidth="1"/>
    <col min="3587" max="3587" width="66.42578125" style="2" customWidth="1"/>
    <col min="3588" max="3588" width="10.85546875" style="2" customWidth="1"/>
    <col min="3589" max="3589" width="9.42578125" style="2" customWidth="1"/>
    <col min="3590" max="3590" width="16.42578125" style="2" customWidth="1"/>
    <col min="3591" max="3591" width="11.7109375" style="2" customWidth="1"/>
    <col min="3592" max="3592" width="11.5703125" style="2" bestFit="1" customWidth="1"/>
    <col min="3593" max="3593" width="21.7109375" style="2" customWidth="1"/>
    <col min="3594" max="3840" width="9.140625" style="2"/>
    <col min="3841" max="3841" width="16.42578125" style="2" customWidth="1"/>
    <col min="3842" max="3842" width="11.28515625" style="2" customWidth="1"/>
    <col min="3843" max="3843" width="66.42578125" style="2" customWidth="1"/>
    <col min="3844" max="3844" width="10.85546875" style="2" customWidth="1"/>
    <col min="3845" max="3845" width="9.42578125" style="2" customWidth="1"/>
    <col min="3846" max="3846" width="16.42578125" style="2" customWidth="1"/>
    <col min="3847" max="3847" width="11.7109375" style="2" customWidth="1"/>
    <col min="3848" max="3848" width="11.5703125" style="2" bestFit="1" customWidth="1"/>
    <col min="3849" max="3849" width="21.7109375" style="2" customWidth="1"/>
    <col min="3850" max="4096" width="9.140625" style="2"/>
    <col min="4097" max="4097" width="16.42578125" style="2" customWidth="1"/>
    <col min="4098" max="4098" width="11.28515625" style="2" customWidth="1"/>
    <col min="4099" max="4099" width="66.42578125" style="2" customWidth="1"/>
    <col min="4100" max="4100" width="10.85546875" style="2" customWidth="1"/>
    <col min="4101" max="4101" width="9.42578125" style="2" customWidth="1"/>
    <col min="4102" max="4102" width="16.42578125" style="2" customWidth="1"/>
    <col min="4103" max="4103" width="11.7109375" style="2" customWidth="1"/>
    <col min="4104" max="4104" width="11.5703125" style="2" bestFit="1" customWidth="1"/>
    <col min="4105" max="4105" width="21.7109375" style="2" customWidth="1"/>
    <col min="4106" max="4352" width="9.140625" style="2"/>
    <col min="4353" max="4353" width="16.42578125" style="2" customWidth="1"/>
    <col min="4354" max="4354" width="11.28515625" style="2" customWidth="1"/>
    <col min="4355" max="4355" width="66.42578125" style="2" customWidth="1"/>
    <col min="4356" max="4356" width="10.85546875" style="2" customWidth="1"/>
    <col min="4357" max="4357" width="9.42578125" style="2" customWidth="1"/>
    <col min="4358" max="4358" width="16.42578125" style="2" customWidth="1"/>
    <col min="4359" max="4359" width="11.7109375" style="2" customWidth="1"/>
    <col min="4360" max="4360" width="11.5703125" style="2" bestFit="1" customWidth="1"/>
    <col min="4361" max="4361" width="21.7109375" style="2" customWidth="1"/>
    <col min="4362" max="4608" width="9.140625" style="2"/>
    <col min="4609" max="4609" width="16.42578125" style="2" customWidth="1"/>
    <col min="4610" max="4610" width="11.28515625" style="2" customWidth="1"/>
    <col min="4611" max="4611" width="66.42578125" style="2" customWidth="1"/>
    <col min="4612" max="4612" width="10.85546875" style="2" customWidth="1"/>
    <col min="4613" max="4613" width="9.42578125" style="2" customWidth="1"/>
    <col min="4614" max="4614" width="16.42578125" style="2" customWidth="1"/>
    <col min="4615" max="4615" width="11.7109375" style="2" customWidth="1"/>
    <col min="4616" max="4616" width="11.5703125" style="2" bestFit="1" customWidth="1"/>
    <col min="4617" max="4617" width="21.7109375" style="2" customWidth="1"/>
    <col min="4618" max="4864" width="9.140625" style="2"/>
    <col min="4865" max="4865" width="16.42578125" style="2" customWidth="1"/>
    <col min="4866" max="4866" width="11.28515625" style="2" customWidth="1"/>
    <col min="4867" max="4867" width="66.42578125" style="2" customWidth="1"/>
    <col min="4868" max="4868" width="10.85546875" style="2" customWidth="1"/>
    <col min="4869" max="4869" width="9.42578125" style="2" customWidth="1"/>
    <col min="4870" max="4870" width="16.42578125" style="2" customWidth="1"/>
    <col min="4871" max="4871" width="11.7109375" style="2" customWidth="1"/>
    <col min="4872" max="4872" width="11.5703125" style="2" bestFit="1" customWidth="1"/>
    <col min="4873" max="4873" width="21.7109375" style="2" customWidth="1"/>
    <col min="4874" max="5120" width="9.140625" style="2"/>
    <col min="5121" max="5121" width="16.42578125" style="2" customWidth="1"/>
    <col min="5122" max="5122" width="11.28515625" style="2" customWidth="1"/>
    <col min="5123" max="5123" width="66.42578125" style="2" customWidth="1"/>
    <col min="5124" max="5124" width="10.85546875" style="2" customWidth="1"/>
    <col min="5125" max="5125" width="9.42578125" style="2" customWidth="1"/>
    <col min="5126" max="5126" width="16.42578125" style="2" customWidth="1"/>
    <col min="5127" max="5127" width="11.7109375" style="2" customWidth="1"/>
    <col min="5128" max="5128" width="11.5703125" style="2" bestFit="1" customWidth="1"/>
    <col min="5129" max="5129" width="21.7109375" style="2" customWidth="1"/>
    <col min="5130" max="5376" width="9.140625" style="2"/>
    <col min="5377" max="5377" width="16.42578125" style="2" customWidth="1"/>
    <col min="5378" max="5378" width="11.28515625" style="2" customWidth="1"/>
    <col min="5379" max="5379" width="66.42578125" style="2" customWidth="1"/>
    <col min="5380" max="5380" width="10.85546875" style="2" customWidth="1"/>
    <col min="5381" max="5381" width="9.42578125" style="2" customWidth="1"/>
    <col min="5382" max="5382" width="16.42578125" style="2" customWidth="1"/>
    <col min="5383" max="5383" width="11.7109375" style="2" customWidth="1"/>
    <col min="5384" max="5384" width="11.5703125" style="2" bestFit="1" customWidth="1"/>
    <col min="5385" max="5385" width="21.7109375" style="2" customWidth="1"/>
    <col min="5386" max="5632" width="9.140625" style="2"/>
    <col min="5633" max="5633" width="16.42578125" style="2" customWidth="1"/>
    <col min="5634" max="5634" width="11.28515625" style="2" customWidth="1"/>
    <col min="5635" max="5635" width="66.42578125" style="2" customWidth="1"/>
    <col min="5636" max="5636" width="10.85546875" style="2" customWidth="1"/>
    <col min="5637" max="5637" width="9.42578125" style="2" customWidth="1"/>
    <col min="5638" max="5638" width="16.42578125" style="2" customWidth="1"/>
    <col min="5639" max="5639" width="11.7109375" style="2" customWidth="1"/>
    <col min="5640" max="5640" width="11.5703125" style="2" bestFit="1" customWidth="1"/>
    <col min="5641" max="5641" width="21.7109375" style="2" customWidth="1"/>
    <col min="5642" max="5888" width="9.140625" style="2"/>
    <col min="5889" max="5889" width="16.42578125" style="2" customWidth="1"/>
    <col min="5890" max="5890" width="11.28515625" style="2" customWidth="1"/>
    <col min="5891" max="5891" width="66.42578125" style="2" customWidth="1"/>
    <col min="5892" max="5892" width="10.85546875" style="2" customWidth="1"/>
    <col min="5893" max="5893" width="9.42578125" style="2" customWidth="1"/>
    <col min="5894" max="5894" width="16.42578125" style="2" customWidth="1"/>
    <col min="5895" max="5895" width="11.7109375" style="2" customWidth="1"/>
    <col min="5896" max="5896" width="11.5703125" style="2" bestFit="1" customWidth="1"/>
    <col min="5897" max="5897" width="21.7109375" style="2" customWidth="1"/>
    <col min="5898" max="6144" width="9.140625" style="2"/>
    <col min="6145" max="6145" width="16.42578125" style="2" customWidth="1"/>
    <col min="6146" max="6146" width="11.28515625" style="2" customWidth="1"/>
    <col min="6147" max="6147" width="66.42578125" style="2" customWidth="1"/>
    <col min="6148" max="6148" width="10.85546875" style="2" customWidth="1"/>
    <col min="6149" max="6149" width="9.42578125" style="2" customWidth="1"/>
    <col min="6150" max="6150" width="16.42578125" style="2" customWidth="1"/>
    <col min="6151" max="6151" width="11.7109375" style="2" customWidth="1"/>
    <col min="6152" max="6152" width="11.5703125" style="2" bestFit="1" customWidth="1"/>
    <col min="6153" max="6153" width="21.7109375" style="2" customWidth="1"/>
    <col min="6154" max="6400" width="9.140625" style="2"/>
    <col min="6401" max="6401" width="16.42578125" style="2" customWidth="1"/>
    <col min="6402" max="6402" width="11.28515625" style="2" customWidth="1"/>
    <col min="6403" max="6403" width="66.42578125" style="2" customWidth="1"/>
    <col min="6404" max="6404" width="10.85546875" style="2" customWidth="1"/>
    <col min="6405" max="6405" width="9.42578125" style="2" customWidth="1"/>
    <col min="6406" max="6406" width="16.42578125" style="2" customWidth="1"/>
    <col min="6407" max="6407" width="11.7109375" style="2" customWidth="1"/>
    <col min="6408" max="6408" width="11.5703125" style="2" bestFit="1" customWidth="1"/>
    <col min="6409" max="6409" width="21.7109375" style="2" customWidth="1"/>
    <col min="6410" max="6656" width="9.140625" style="2"/>
    <col min="6657" max="6657" width="16.42578125" style="2" customWidth="1"/>
    <col min="6658" max="6658" width="11.28515625" style="2" customWidth="1"/>
    <col min="6659" max="6659" width="66.42578125" style="2" customWidth="1"/>
    <col min="6660" max="6660" width="10.85546875" style="2" customWidth="1"/>
    <col min="6661" max="6661" width="9.42578125" style="2" customWidth="1"/>
    <col min="6662" max="6662" width="16.42578125" style="2" customWidth="1"/>
    <col min="6663" max="6663" width="11.7109375" style="2" customWidth="1"/>
    <col min="6664" max="6664" width="11.5703125" style="2" bestFit="1" customWidth="1"/>
    <col min="6665" max="6665" width="21.7109375" style="2" customWidth="1"/>
    <col min="6666" max="6912" width="9.140625" style="2"/>
    <col min="6913" max="6913" width="16.42578125" style="2" customWidth="1"/>
    <col min="6914" max="6914" width="11.28515625" style="2" customWidth="1"/>
    <col min="6915" max="6915" width="66.42578125" style="2" customWidth="1"/>
    <col min="6916" max="6916" width="10.85546875" style="2" customWidth="1"/>
    <col min="6917" max="6917" width="9.42578125" style="2" customWidth="1"/>
    <col min="6918" max="6918" width="16.42578125" style="2" customWidth="1"/>
    <col min="6919" max="6919" width="11.7109375" style="2" customWidth="1"/>
    <col min="6920" max="6920" width="11.5703125" style="2" bestFit="1" customWidth="1"/>
    <col min="6921" max="6921" width="21.7109375" style="2" customWidth="1"/>
    <col min="6922" max="7168" width="9.140625" style="2"/>
    <col min="7169" max="7169" width="16.42578125" style="2" customWidth="1"/>
    <col min="7170" max="7170" width="11.28515625" style="2" customWidth="1"/>
    <col min="7171" max="7171" width="66.42578125" style="2" customWidth="1"/>
    <col min="7172" max="7172" width="10.85546875" style="2" customWidth="1"/>
    <col min="7173" max="7173" width="9.42578125" style="2" customWidth="1"/>
    <col min="7174" max="7174" width="16.42578125" style="2" customWidth="1"/>
    <col min="7175" max="7175" width="11.7109375" style="2" customWidth="1"/>
    <col min="7176" max="7176" width="11.5703125" style="2" bestFit="1" customWidth="1"/>
    <col min="7177" max="7177" width="21.7109375" style="2" customWidth="1"/>
    <col min="7178" max="7424" width="9.140625" style="2"/>
    <col min="7425" max="7425" width="16.42578125" style="2" customWidth="1"/>
    <col min="7426" max="7426" width="11.28515625" style="2" customWidth="1"/>
    <col min="7427" max="7427" width="66.42578125" style="2" customWidth="1"/>
    <col min="7428" max="7428" width="10.85546875" style="2" customWidth="1"/>
    <col min="7429" max="7429" width="9.42578125" style="2" customWidth="1"/>
    <col min="7430" max="7430" width="16.42578125" style="2" customWidth="1"/>
    <col min="7431" max="7431" width="11.7109375" style="2" customWidth="1"/>
    <col min="7432" max="7432" width="11.5703125" style="2" bestFit="1" customWidth="1"/>
    <col min="7433" max="7433" width="21.7109375" style="2" customWidth="1"/>
    <col min="7434" max="7680" width="9.140625" style="2"/>
    <col min="7681" max="7681" width="16.42578125" style="2" customWidth="1"/>
    <col min="7682" max="7682" width="11.28515625" style="2" customWidth="1"/>
    <col min="7683" max="7683" width="66.42578125" style="2" customWidth="1"/>
    <col min="7684" max="7684" width="10.85546875" style="2" customWidth="1"/>
    <col min="7685" max="7685" width="9.42578125" style="2" customWidth="1"/>
    <col min="7686" max="7686" width="16.42578125" style="2" customWidth="1"/>
    <col min="7687" max="7687" width="11.7109375" style="2" customWidth="1"/>
    <col min="7688" max="7688" width="11.5703125" style="2" bestFit="1" customWidth="1"/>
    <col min="7689" max="7689" width="21.7109375" style="2" customWidth="1"/>
    <col min="7690" max="7936" width="9.140625" style="2"/>
    <col min="7937" max="7937" width="16.42578125" style="2" customWidth="1"/>
    <col min="7938" max="7938" width="11.28515625" style="2" customWidth="1"/>
    <col min="7939" max="7939" width="66.42578125" style="2" customWidth="1"/>
    <col min="7940" max="7940" width="10.85546875" style="2" customWidth="1"/>
    <col min="7941" max="7941" width="9.42578125" style="2" customWidth="1"/>
    <col min="7942" max="7942" width="16.42578125" style="2" customWidth="1"/>
    <col min="7943" max="7943" width="11.7109375" style="2" customWidth="1"/>
    <col min="7944" max="7944" width="11.5703125" style="2" bestFit="1" customWidth="1"/>
    <col min="7945" max="7945" width="21.7109375" style="2" customWidth="1"/>
    <col min="7946" max="8192" width="9.140625" style="2"/>
    <col min="8193" max="8193" width="16.42578125" style="2" customWidth="1"/>
    <col min="8194" max="8194" width="11.28515625" style="2" customWidth="1"/>
    <col min="8195" max="8195" width="66.42578125" style="2" customWidth="1"/>
    <col min="8196" max="8196" width="10.85546875" style="2" customWidth="1"/>
    <col min="8197" max="8197" width="9.42578125" style="2" customWidth="1"/>
    <col min="8198" max="8198" width="16.42578125" style="2" customWidth="1"/>
    <col min="8199" max="8199" width="11.7109375" style="2" customWidth="1"/>
    <col min="8200" max="8200" width="11.5703125" style="2" bestFit="1" customWidth="1"/>
    <col min="8201" max="8201" width="21.7109375" style="2" customWidth="1"/>
    <col min="8202" max="8448" width="9.140625" style="2"/>
    <col min="8449" max="8449" width="16.42578125" style="2" customWidth="1"/>
    <col min="8450" max="8450" width="11.28515625" style="2" customWidth="1"/>
    <col min="8451" max="8451" width="66.42578125" style="2" customWidth="1"/>
    <col min="8452" max="8452" width="10.85546875" style="2" customWidth="1"/>
    <col min="8453" max="8453" width="9.42578125" style="2" customWidth="1"/>
    <col min="8454" max="8454" width="16.42578125" style="2" customWidth="1"/>
    <col min="8455" max="8455" width="11.7109375" style="2" customWidth="1"/>
    <col min="8456" max="8456" width="11.5703125" style="2" bestFit="1" customWidth="1"/>
    <col min="8457" max="8457" width="21.7109375" style="2" customWidth="1"/>
    <col min="8458" max="8704" width="9.140625" style="2"/>
    <col min="8705" max="8705" width="16.42578125" style="2" customWidth="1"/>
    <col min="8706" max="8706" width="11.28515625" style="2" customWidth="1"/>
    <col min="8707" max="8707" width="66.42578125" style="2" customWidth="1"/>
    <col min="8708" max="8708" width="10.85546875" style="2" customWidth="1"/>
    <col min="8709" max="8709" width="9.42578125" style="2" customWidth="1"/>
    <col min="8710" max="8710" width="16.42578125" style="2" customWidth="1"/>
    <col min="8711" max="8711" width="11.7109375" style="2" customWidth="1"/>
    <col min="8712" max="8712" width="11.5703125" style="2" bestFit="1" customWidth="1"/>
    <col min="8713" max="8713" width="21.7109375" style="2" customWidth="1"/>
    <col min="8714" max="8960" width="9.140625" style="2"/>
    <col min="8961" max="8961" width="16.42578125" style="2" customWidth="1"/>
    <col min="8962" max="8962" width="11.28515625" style="2" customWidth="1"/>
    <col min="8963" max="8963" width="66.42578125" style="2" customWidth="1"/>
    <col min="8964" max="8964" width="10.85546875" style="2" customWidth="1"/>
    <col min="8965" max="8965" width="9.42578125" style="2" customWidth="1"/>
    <col min="8966" max="8966" width="16.42578125" style="2" customWidth="1"/>
    <col min="8967" max="8967" width="11.7109375" style="2" customWidth="1"/>
    <col min="8968" max="8968" width="11.5703125" style="2" bestFit="1" customWidth="1"/>
    <col min="8969" max="8969" width="21.7109375" style="2" customWidth="1"/>
    <col min="8970" max="9216" width="9.140625" style="2"/>
    <col min="9217" max="9217" width="16.42578125" style="2" customWidth="1"/>
    <col min="9218" max="9218" width="11.28515625" style="2" customWidth="1"/>
    <col min="9219" max="9219" width="66.42578125" style="2" customWidth="1"/>
    <col min="9220" max="9220" width="10.85546875" style="2" customWidth="1"/>
    <col min="9221" max="9221" width="9.42578125" style="2" customWidth="1"/>
    <col min="9222" max="9222" width="16.42578125" style="2" customWidth="1"/>
    <col min="9223" max="9223" width="11.7109375" style="2" customWidth="1"/>
    <col min="9224" max="9224" width="11.5703125" style="2" bestFit="1" customWidth="1"/>
    <col min="9225" max="9225" width="21.7109375" style="2" customWidth="1"/>
    <col min="9226" max="9472" width="9.140625" style="2"/>
    <col min="9473" max="9473" width="16.42578125" style="2" customWidth="1"/>
    <col min="9474" max="9474" width="11.28515625" style="2" customWidth="1"/>
    <col min="9475" max="9475" width="66.42578125" style="2" customWidth="1"/>
    <col min="9476" max="9476" width="10.85546875" style="2" customWidth="1"/>
    <col min="9477" max="9477" width="9.42578125" style="2" customWidth="1"/>
    <col min="9478" max="9478" width="16.42578125" style="2" customWidth="1"/>
    <col min="9479" max="9479" width="11.7109375" style="2" customWidth="1"/>
    <col min="9480" max="9480" width="11.5703125" style="2" bestFit="1" customWidth="1"/>
    <col min="9481" max="9481" width="21.7109375" style="2" customWidth="1"/>
    <col min="9482" max="9728" width="9.140625" style="2"/>
    <col min="9729" max="9729" width="16.42578125" style="2" customWidth="1"/>
    <col min="9730" max="9730" width="11.28515625" style="2" customWidth="1"/>
    <col min="9731" max="9731" width="66.42578125" style="2" customWidth="1"/>
    <col min="9732" max="9732" width="10.85546875" style="2" customWidth="1"/>
    <col min="9733" max="9733" width="9.42578125" style="2" customWidth="1"/>
    <col min="9734" max="9734" width="16.42578125" style="2" customWidth="1"/>
    <col min="9735" max="9735" width="11.7109375" style="2" customWidth="1"/>
    <col min="9736" max="9736" width="11.5703125" style="2" bestFit="1" customWidth="1"/>
    <col min="9737" max="9737" width="21.7109375" style="2" customWidth="1"/>
    <col min="9738" max="9984" width="9.140625" style="2"/>
    <col min="9985" max="9985" width="16.42578125" style="2" customWidth="1"/>
    <col min="9986" max="9986" width="11.28515625" style="2" customWidth="1"/>
    <col min="9987" max="9987" width="66.42578125" style="2" customWidth="1"/>
    <col min="9988" max="9988" width="10.85546875" style="2" customWidth="1"/>
    <col min="9989" max="9989" width="9.42578125" style="2" customWidth="1"/>
    <col min="9990" max="9990" width="16.42578125" style="2" customWidth="1"/>
    <col min="9991" max="9991" width="11.7109375" style="2" customWidth="1"/>
    <col min="9992" max="9992" width="11.5703125" style="2" bestFit="1" customWidth="1"/>
    <col min="9993" max="9993" width="21.7109375" style="2" customWidth="1"/>
    <col min="9994" max="10240" width="9.140625" style="2"/>
    <col min="10241" max="10241" width="16.42578125" style="2" customWidth="1"/>
    <col min="10242" max="10242" width="11.28515625" style="2" customWidth="1"/>
    <col min="10243" max="10243" width="66.42578125" style="2" customWidth="1"/>
    <col min="10244" max="10244" width="10.85546875" style="2" customWidth="1"/>
    <col min="10245" max="10245" width="9.42578125" style="2" customWidth="1"/>
    <col min="10246" max="10246" width="16.42578125" style="2" customWidth="1"/>
    <col min="10247" max="10247" width="11.7109375" style="2" customWidth="1"/>
    <col min="10248" max="10248" width="11.5703125" style="2" bestFit="1" customWidth="1"/>
    <col min="10249" max="10249" width="21.7109375" style="2" customWidth="1"/>
    <col min="10250" max="10496" width="9.140625" style="2"/>
    <col min="10497" max="10497" width="16.42578125" style="2" customWidth="1"/>
    <col min="10498" max="10498" width="11.28515625" style="2" customWidth="1"/>
    <col min="10499" max="10499" width="66.42578125" style="2" customWidth="1"/>
    <col min="10500" max="10500" width="10.85546875" style="2" customWidth="1"/>
    <col min="10501" max="10501" width="9.42578125" style="2" customWidth="1"/>
    <col min="10502" max="10502" width="16.42578125" style="2" customWidth="1"/>
    <col min="10503" max="10503" width="11.7109375" style="2" customWidth="1"/>
    <col min="10504" max="10504" width="11.5703125" style="2" bestFit="1" customWidth="1"/>
    <col min="10505" max="10505" width="21.7109375" style="2" customWidth="1"/>
    <col min="10506" max="10752" width="9.140625" style="2"/>
    <col min="10753" max="10753" width="16.42578125" style="2" customWidth="1"/>
    <col min="10754" max="10754" width="11.28515625" style="2" customWidth="1"/>
    <col min="10755" max="10755" width="66.42578125" style="2" customWidth="1"/>
    <col min="10756" max="10756" width="10.85546875" style="2" customWidth="1"/>
    <col min="10757" max="10757" width="9.42578125" style="2" customWidth="1"/>
    <col min="10758" max="10758" width="16.42578125" style="2" customWidth="1"/>
    <col min="10759" max="10759" width="11.7109375" style="2" customWidth="1"/>
    <col min="10760" max="10760" width="11.5703125" style="2" bestFit="1" customWidth="1"/>
    <col min="10761" max="10761" width="21.7109375" style="2" customWidth="1"/>
    <col min="10762" max="11008" width="9.140625" style="2"/>
    <col min="11009" max="11009" width="16.42578125" style="2" customWidth="1"/>
    <col min="11010" max="11010" width="11.28515625" style="2" customWidth="1"/>
    <col min="11011" max="11011" width="66.42578125" style="2" customWidth="1"/>
    <col min="11012" max="11012" width="10.85546875" style="2" customWidth="1"/>
    <col min="11013" max="11013" width="9.42578125" style="2" customWidth="1"/>
    <col min="11014" max="11014" width="16.42578125" style="2" customWidth="1"/>
    <col min="11015" max="11015" width="11.7109375" style="2" customWidth="1"/>
    <col min="11016" max="11016" width="11.5703125" style="2" bestFit="1" customWidth="1"/>
    <col min="11017" max="11017" width="21.7109375" style="2" customWidth="1"/>
    <col min="11018" max="11264" width="9.140625" style="2"/>
    <col min="11265" max="11265" width="16.42578125" style="2" customWidth="1"/>
    <col min="11266" max="11266" width="11.28515625" style="2" customWidth="1"/>
    <col min="11267" max="11267" width="66.42578125" style="2" customWidth="1"/>
    <col min="11268" max="11268" width="10.85546875" style="2" customWidth="1"/>
    <col min="11269" max="11269" width="9.42578125" style="2" customWidth="1"/>
    <col min="11270" max="11270" width="16.42578125" style="2" customWidth="1"/>
    <col min="11271" max="11271" width="11.7109375" style="2" customWidth="1"/>
    <col min="11272" max="11272" width="11.5703125" style="2" bestFit="1" customWidth="1"/>
    <col min="11273" max="11273" width="21.7109375" style="2" customWidth="1"/>
    <col min="11274" max="11520" width="9.140625" style="2"/>
    <col min="11521" max="11521" width="16.42578125" style="2" customWidth="1"/>
    <col min="11522" max="11522" width="11.28515625" style="2" customWidth="1"/>
    <col min="11523" max="11523" width="66.42578125" style="2" customWidth="1"/>
    <col min="11524" max="11524" width="10.85546875" style="2" customWidth="1"/>
    <col min="11525" max="11525" width="9.42578125" style="2" customWidth="1"/>
    <col min="11526" max="11526" width="16.42578125" style="2" customWidth="1"/>
    <col min="11527" max="11527" width="11.7109375" style="2" customWidth="1"/>
    <col min="11528" max="11528" width="11.5703125" style="2" bestFit="1" customWidth="1"/>
    <col min="11529" max="11529" width="21.7109375" style="2" customWidth="1"/>
    <col min="11530" max="11776" width="9.140625" style="2"/>
    <col min="11777" max="11777" width="16.42578125" style="2" customWidth="1"/>
    <col min="11778" max="11778" width="11.28515625" style="2" customWidth="1"/>
    <col min="11779" max="11779" width="66.42578125" style="2" customWidth="1"/>
    <col min="11780" max="11780" width="10.85546875" style="2" customWidth="1"/>
    <col min="11781" max="11781" width="9.42578125" style="2" customWidth="1"/>
    <col min="11782" max="11782" width="16.42578125" style="2" customWidth="1"/>
    <col min="11783" max="11783" width="11.7109375" style="2" customWidth="1"/>
    <col min="11784" max="11784" width="11.5703125" style="2" bestFit="1" customWidth="1"/>
    <col min="11785" max="11785" width="21.7109375" style="2" customWidth="1"/>
    <col min="11786" max="12032" width="9.140625" style="2"/>
    <col min="12033" max="12033" width="16.42578125" style="2" customWidth="1"/>
    <col min="12034" max="12034" width="11.28515625" style="2" customWidth="1"/>
    <col min="12035" max="12035" width="66.42578125" style="2" customWidth="1"/>
    <col min="12036" max="12036" width="10.85546875" style="2" customWidth="1"/>
    <col min="12037" max="12037" width="9.42578125" style="2" customWidth="1"/>
    <col min="12038" max="12038" width="16.42578125" style="2" customWidth="1"/>
    <col min="12039" max="12039" width="11.7109375" style="2" customWidth="1"/>
    <col min="12040" max="12040" width="11.5703125" style="2" bestFit="1" customWidth="1"/>
    <col min="12041" max="12041" width="21.7109375" style="2" customWidth="1"/>
    <col min="12042" max="12288" width="9.140625" style="2"/>
    <col min="12289" max="12289" width="16.42578125" style="2" customWidth="1"/>
    <col min="12290" max="12290" width="11.28515625" style="2" customWidth="1"/>
    <col min="12291" max="12291" width="66.42578125" style="2" customWidth="1"/>
    <col min="12292" max="12292" width="10.85546875" style="2" customWidth="1"/>
    <col min="12293" max="12293" width="9.42578125" style="2" customWidth="1"/>
    <col min="12294" max="12294" width="16.42578125" style="2" customWidth="1"/>
    <col min="12295" max="12295" width="11.7109375" style="2" customWidth="1"/>
    <col min="12296" max="12296" width="11.5703125" style="2" bestFit="1" customWidth="1"/>
    <col min="12297" max="12297" width="21.7109375" style="2" customWidth="1"/>
    <col min="12298" max="12544" width="9.140625" style="2"/>
    <col min="12545" max="12545" width="16.42578125" style="2" customWidth="1"/>
    <col min="12546" max="12546" width="11.28515625" style="2" customWidth="1"/>
    <col min="12547" max="12547" width="66.42578125" style="2" customWidth="1"/>
    <col min="12548" max="12548" width="10.85546875" style="2" customWidth="1"/>
    <col min="12549" max="12549" width="9.42578125" style="2" customWidth="1"/>
    <col min="12550" max="12550" width="16.42578125" style="2" customWidth="1"/>
    <col min="12551" max="12551" width="11.7109375" style="2" customWidth="1"/>
    <col min="12552" max="12552" width="11.5703125" style="2" bestFit="1" customWidth="1"/>
    <col min="12553" max="12553" width="21.7109375" style="2" customWidth="1"/>
    <col min="12554" max="12800" width="9.140625" style="2"/>
    <col min="12801" max="12801" width="16.42578125" style="2" customWidth="1"/>
    <col min="12802" max="12802" width="11.28515625" style="2" customWidth="1"/>
    <col min="12803" max="12803" width="66.42578125" style="2" customWidth="1"/>
    <col min="12804" max="12804" width="10.85546875" style="2" customWidth="1"/>
    <col min="12805" max="12805" width="9.42578125" style="2" customWidth="1"/>
    <col min="12806" max="12806" width="16.42578125" style="2" customWidth="1"/>
    <col min="12807" max="12807" width="11.7109375" style="2" customWidth="1"/>
    <col min="12808" max="12808" width="11.5703125" style="2" bestFit="1" customWidth="1"/>
    <col min="12809" max="12809" width="21.7109375" style="2" customWidth="1"/>
    <col min="12810" max="13056" width="9.140625" style="2"/>
    <col min="13057" max="13057" width="16.42578125" style="2" customWidth="1"/>
    <col min="13058" max="13058" width="11.28515625" style="2" customWidth="1"/>
    <col min="13059" max="13059" width="66.42578125" style="2" customWidth="1"/>
    <col min="13060" max="13060" width="10.85546875" style="2" customWidth="1"/>
    <col min="13061" max="13061" width="9.42578125" style="2" customWidth="1"/>
    <col min="13062" max="13062" width="16.42578125" style="2" customWidth="1"/>
    <col min="13063" max="13063" width="11.7109375" style="2" customWidth="1"/>
    <col min="13064" max="13064" width="11.5703125" style="2" bestFit="1" customWidth="1"/>
    <col min="13065" max="13065" width="21.7109375" style="2" customWidth="1"/>
    <col min="13066" max="13312" width="9.140625" style="2"/>
    <col min="13313" max="13313" width="16.42578125" style="2" customWidth="1"/>
    <col min="13314" max="13314" width="11.28515625" style="2" customWidth="1"/>
    <col min="13315" max="13315" width="66.42578125" style="2" customWidth="1"/>
    <col min="13316" max="13316" width="10.85546875" style="2" customWidth="1"/>
    <col min="13317" max="13317" width="9.42578125" style="2" customWidth="1"/>
    <col min="13318" max="13318" width="16.42578125" style="2" customWidth="1"/>
    <col min="13319" max="13319" width="11.7109375" style="2" customWidth="1"/>
    <col min="13320" max="13320" width="11.5703125" style="2" bestFit="1" customWidth="1"/>
    <col min="13321" max="13321" width="21.7109375" style="2" customWidth="1"/>
    <col min="13322" max="13568" width="9.140625" style="2"/>
    <col min="13569" max="13569" width="16.42578125" style="2" customWidth="1"/>
    <col min="13570" max="13570" width="11.28515625" style="2" customWidth="1"/>
    <col min="13571" max="13571" width="66.42578125" style="2" customWidth="1"/>
    <col min="13572" max="13572" width="10.85546875" style="2" customWidth="1"/>
    <col min="13573" max="13573" width="9.42578125" style="2" customWidth="1"/>
    <col min="13574" max="13574" width="16.42578125" style="2" customWidth="1"/>
    <col min="13575" max="13575" width="11.7109375" style="2" customWidth="1"/>
    <col min="13576" max="13576" width="11.5703125" style="2" bestFit="1" customWidth="1"/>
    <col min="13577" max="13577" width="21.7109375" style="2" customWidth="1"/>
    <col min="13578" max="13824" width="9.140625" style="2"/>
    <col min="13825" max="13825" width="16.42578125" style="2" customWidth="1"/>
    <col min="13826" max="13826" width="11.28515625" style="2" customWidth="1"/>
    <col min="13827" max="13827" width="66.42578125" style="2" customWidth="1"/>
    <col min="13828" max="13828" width="10.85546875" style="2" customWidth="1"/>
    <col min="13829" max="13829" width="9.42578125" style="2" customWidth="1"/>
    <col min="13830" max="13830" width="16.42578125" style="2" customWidth="1"/>
    <col min="13831" max="13831" width="11.7109375" style="2" customWidth="1"/>
    <col min="13832" max="13832" width="11.5703125" style="2" bestFit="1" customWidth="1"/>
    <col min="13833" max="13833" width="21.7109375" style="2" customWidth="1"/>
    <col min="13834" max="14080" width="9.140625" style="2"/>
    <col min="14081" max="14081" width="16.42578125" style="2" customWidth="1"/>
    <col min="14082" max="14082" width="11.28515625" style="2" customWidth="1"/>
    <col min="14083" max="14083" width="66.42578125" style="2" customWidth="1"/>
    <col min="14084" max="14084" width="10.85546875" style="2" customWidth="1"/>
    <col min="14085" max="14085" width="9.42578125" style="2" customWidth="1"/>
    <col min="14086" max="14086" width="16.42578125" style="2" customWidth="1"/>
    <col min="14087" max="14087" width="11.7109375" style="2" customWidth="1"/>
    <col min="14088" max="14088" width="11.5703125" style="2" bestFit="1" customWidth="1"/>
    <col min="14089" max="14089" width="21.7109375" style="2" customWidth="1"/>
    <col min="14090" max="14336" width="9.140625" style="2"/>
    <col min="14337" max="14337" width="16.42578125" style="2" customWidth="1"/>
    <col min="14338" max="14338" width="11.28515625" style="2" customWidth="1"/>
    <col min="14339" max="14339" width="66.42578125" style="2" customWidth="1"/>
    <col min="14340" max="14340" width="10.85546875" style="2" customWidth="1"/>
    <col min="14341" max="14341" width="9.42578125" style="2" customWidth="1"/>
    <col min="14342" max="14342" width="16.42578125" style="2" customWidth="1"/>
    <col min="14343" max="14343" width="11.7109375" style="2" customWidth="1"/>
    <col min="14344" max="14344" width="11.5703125" style="2" bestFit="1" customWidth="1"/>
    <col min="14345" max="14345" width="21.7109375" style="2" customWidth="1"/>
    <col min="14346" max="14592" width="9.140625" style="2"/>
    <col min="14593" max="14593" width="16.42578125" style="2" customWidth="1"/>
    <col min="14594" max="14594" width="11.28515625" style="2" customWidth="1"/>
    <col min="14595" max="14595" width="66.42578125" style="2" customWidth="1"/>
    <col min="14596" max="14596" width="10.85546875" style="2" customWidth="1"/>
    <col min="14597" max="14597" width="9.42578125" style="2" customWidth="1"/>
    <col min="14598" max="14598" width="16.42578125" style="2" customWidth="1"/>
    <col min="14599" max="14599" width="11.7109375" style="2" customWidth="1"/>
    <col min="14600" max="14600" width="11.5703125" style="2" bestFit="1" customWidth="1"/>
    <col min="14601" max="14601" width="21.7109375" style="2" customWidth="1"/>
    <col min="14602" max="14848" width="9.140625" style="2"/>
    <col min="14849" max="14849" width="16.42578125" style="2" customWidth="1"/>
    <col min="14850" max="14850" width="11.28515625" style="2" customWidth="1"/>
    <col min="14851" max="14851" width="66.42578125" style="2" customWidth="1"/>
    <col min="14852" max="14852" width="10.85546875" style="2" customWidth="1"/>
    <col min="14853" max="14853" width="9.42578125" style="2" customWidth="1"/>
    <col min="14854" max="14854" width="16.42578125" style="2" customWidth="1"/>
    <col min="14855" max="14855" width="11.7109375" style="2" customWidth="1"/>
    <col min="14856" max="14856" width="11.5703125" style="2" bestFit="1" customWidth="1"/>
    <col min="14857" max="14857" width="21.7109375" style="2" customWidth="1"/>
    <col min="14858" max="15104" width="9.140625" style="2"/>
    <col min="15105" max="15105" width="16.42578125" style="2" customWidth="1"/>
    <col min="15106" max="15106" width="11.28515625" style="2" customWidth="1"/>
    <col min="15107" max="15107" width="66.42578125" style="2" customWidth="1"/>
    <col min="15108" max="15108" width="10.85546875" style="2" customWidth="1"/>
    <col min="15109" max="15109" width="9.42578125" style="2" customWidth="1"/>
    <col min="15110" max="15110" width="16.42578125" style="2" customWidth="1"/>
    <col min="15111" max="15111" width="11.7109375" style="2" customWidth="1"/>
    <col min="15112" max="15112" width="11.5703125" style="2" bestFit="1" customWidth="1"/>
    <col min="15113" max="15113" width="21.7109375" style="2" customWidth="1"/>
    <col min="15114" max="15360" width="9.140625" style="2"/>
    <col min="15361" max="15361" width="16.42578125" style="2" customWidth="1"/>
    <col min="15362" max="15362" width="11.28515625" style="2" customWidth="1"/>
    <col min="15363" max="15363" width="66.42578125" style="2" customWidth="1"/>
    <col min="15364" max="15364" width="10.85546875" style="2" customWidth="1"/>
    <col min="15365" max="15365" width="9.42578125" style="2" customWidth="1"/>
    <col min="15366" max="15366" width="16.42578125" style="2" customWidth="1"/>
    <col min="15367" max="15367" width="11.7109375" style="2" customWidth="1"/>
    <col min="15368" max="15368" width="11.5703125" style="2" bestFit="1" customWidth="1"/>
    <col min="15369" max="15369" width="21.7109375" style="2" customWidth="1"/>
    <col min="15370" max="15616" width="9.140625" style="2"/>
    <col min="15617" max="15617" width="16.42578125" style="2" customWidth="1"/>
    <col min="15618" max="15618" width="11.28515625" style="2" customWidth="1"/>
    <col min="15619" max="15619" width="66.42578125" style="2" customWidth="1"/>
    <col min="15620" max="15620" width="10.85546875" style="2" customWidth="1"/>
    <col min="15621" max="15621" width="9.42578125" style="2" customWidth="1"/>
    <col min="15622" max="15622" width="16.42578125" style="2" customWidth="1"/>
    <col min="15623" max="15623" width="11.7109375" style="2" customWidth="1"/>
    <col min="15624" max="15624" width="11.5703125" style="2" bestFit="1" customWidth="1"/>
    <col min="15625" max="15625" width="21.7109375" style="2" customWidth="1"/>
    <col min="15626" max="15872" width="9.140625" style="2"/>
    <col min="15873" max="15873" width="16.42578125" style="2" customWidth="1"/>
    <col min="15874" max="15874" width="11.28515625" style="2" customWidth="1"/>
    <col min="15875" max="15875" width="66.42578125" style="2" customWidth="1"/>
    <col min="15876" max="15876" width="10.85546875" style="2" customWidth="1"/>
    <col min="15877" max="15877" width="9.42578125" style="2" customWidth="1"/>
    <col min="15878" max="15878" width="16.42578125" style="2" customWidth="1"/>
    <col min="15879" max="15879" width="11.7109375" style="2" customWidth="1"/>
    <col min="15880" max="15880" width="11.5703125" style="2" bestFit="1" customWidth="1"/>
    <col min="15881" max="15881" width="21.7109375" style="2" customWidth="1"/>
    <col min="15882" max="16128" width="9.140625" style="2"/>
    <col min="16129" max="16129" width="16.42578125" style="2" customWidth="1"/>
    <col min="16130" max="16130" width="11.28515625" style="2" customWidth="1"/>
    <col min="16131" max="16131" width="66.42578125" style="2" customWidth="1"/>
    <col min="16132" max="16132" width="10.85546875" style="2" customWidth="1"/>
    <col min="16133" max="16133" width="9.42578125" style="2" customWidth="1"/>
    <col min="16134" max="16134" width="16.42578125" style="2" customWidth="1"/>
    <col min="16135" max="16135" width="11.7109375" style="2" customWidth="1"/>
    <col min="16136" max="16136" width="11.5703125" style="2" bestFit="1" customWidth="1"/>
    <col min="16137" max="16137" width="21.7109375" style="2" customWidth="1"/>
    <col min="16138" max="16384" width="9.140625" style="2"/>
  </cols>
  <sheetData>
    <row r="1" spans="1:7" ht="17.25">
      <c r="A1" s="1610" t="s">
        <v>0</v>
      </c>
      <c r="B1" s="1610"/>
      <c r="C1" s="1610"/>
      <c r="D1" s="1610"/>
      <c r="E1" s="1610"/>
      <c r="F1" s="1610"/>
    </row>
    <row r="2" spans="1:7" ht="17.25">
      <c r="A2" s="1610" t="s">
        <v>1</v>
      </c>
      <c r="B2" s="1610"/>
      <c r="C2" s="1610"/>
      <c r="D2" s="1610"/>
      <c r="E2" s="1610"/>
      <c r="F2" s="1610"/>
    </row>
    <row r="3" spans="1:7" ht="31.5" customHeight="1">
      <c r="A3" s="1611" t="s">
        <v>2428</v>
      </c>
      <c r="B3" s="1611"/>
      <c r="C3" s="1611"/>
      <c r="D3" s="1611"/>
      <c r="E3" s="1611"/>
      <c r="F3" s="1611"/>
    </row>
    <row r="4" spans="1:7" ht="17.25">
      <c r="A4" s="1612" t="s">
        <v>2429</v>
      </c>
      <c r="B4" s="1612"/>
      <c r="C4" s="1612"/>
      <c r="D4" s="1612"/>
      <c r="E4" s="1612"/>
      <c r="F4" s="461"/>
    </row>
    <row r="5" spans="1:7" ht="6" customHeight="1">
      <c r="A5" s="461"/>
      <c r="B5" s="461"/>
      <c r="C5" s="461"/>
      <c r="D5" s="461"/>
      <c r="E5" s="461"/>
      <c r="F5" s="461"/>
    </row>
    <row r="6" spans="1:7" ht="45.75" customHeight="1">
      <c r="B6" s="462"/>
      <c r="C6" s="1613" t="s">
        <v>2430</v>
      </c>
      <c r="D6" s="1613"/>
      <c r="E6" s="1613"/>
      <c r="F6" s="462"/>
      <c r="G6" s="463" t="s">
        <v>19</v>
      </c>
    </row>
    <row r="7" spans="1:7" ht="24" customHeight="1">
      <c r="A7" s="464"/>
      <c r="B7" s="1614" t="s">
        <v>2431</v>
      </c>
      <c r="C7" s="1614"/>
      <c r="D7" s="1614"/>
      <c r="E7" s="1614"/>
      <c r="F7" s="1614"/>
      <c r="G7" s="465">
        <v>1.57</v>
      </c>
    </row>
    <row r="8" spans="1:7" ht="28.5" customHeight="1">
      <c r="A8" s="466"/>
      <c r="B8" s="466"/>
      <c r="C8" s="505" t="s">
        <v>2432</v>
      </c>
      <c r="D8" s="466"/>
      <c r="E8" s="466"/>
      <c r="F8" s="466"/>
    </row>
    <row r="9" spans="1:7" ht="30.75" customHeight="1">
      <c r="A9" s="468">
        <f>G7</f>
        <v>1.57</v>
      </c>
      <c r="B9" s="466" t="s">
        <v>19</v>
      </c>
      <c r="C9" s="466" t="s">
        <v>2477</v>
      </c>
      <c r="D9" s="461"/>
      <c r="E9" s="469">
        <f>H54</f>
        <v>6800.094013500001</v>
      </c>
      <c r="F9" s="469">
        <f>A9*E9</f>
        <v>10676.147601195002</v>
      </c>
    </row>
    <row r="10" spans="1:7" ht="30.75" customHeight="1">
      <c r="A10" s="470">
        <f>A9*10/100</f>
        <v>0.157</v>
      </c>
      <c r="B10" s="466" t="s">
        <v>22</v>
      </c>
      <c r="C10" s="466" t="s">
        <v>2434</v>
      </c>
      <c r="D10" s="461"/>
      <c r="E10" s="469">
        <v>4000</v>
      </c>
      <c r="F10" s="469">
        <f>A10*E10</f>
        <v>628</v>
      </c>
    </row>
    <row r="11" spans="1:7" ht="30.75" customHeight="1">
      <c r="A11" s="469">
        <v>8</v>
      </c>
      <c r="B11" s="466" t="s">
        <v>12</v>
      </c>
      <c r="C11" s="466" t="s">
        <v>2416</v>
      </c>
      <c r="D11" s="461"/>
      <c r="E11" s="469">
        <v>960</v>
      </c>
      <c r="F11" s="469">
        <f>A11*E11</f>
        <v>7680</v>
      </c>
    </row>
    <row r="12" spans="1:7" ht="21" customHeight="1">
      <c r="A12" s="466"/>
      <c r="B12" s="466"/>
      <c r="C12" s="466"/>
      <c r="D12" s="461"/>
      <c r="E12" s="466"/>
      <c r="F12" s="466"/>
    </row>
    <row r="13" spans="1:7" ht="21" customHeight="1">
      <c r="A13" s="466"/>
      <c r="B13" s="466"/>
      <c r="C13" s="466" t="s">
        <v>2435</v>
      </c>
      <c r="D13" s="461"/>
      <c r="E13" s="466"/>
      <c r="F13" s="469">
        <f>SUM(F9:F12)</f>
        <v>18984.147601195</v>
      </c>
    </row>
    <row r="14" spans="1:7" ht="21" customHeight="1">
      <c r="A14" s="466"/>
      <c r="B14" s="466"/>
      <c r="C14" s="466" t="s">
        <v>2436</v>
      </c>
      <c r="D14" s="461"/>
      <c r="E14" s="466"/>
      <c r="F14" s="469">
        <f>F13/7</f>
        <v>2712.021085885</v>
      </c>
    </row>
    <row r="15" spans="1:7" ht="21" customHeight="1">
      <c r="A15" s="466"/>
      <c r="B15" s="466"/>
      <c r="C15" s="466" t="s">
        <v>2437</v>
      </c>
      <c r="D15" s="461"/>
      <c r="E15" s="466"/>
      <c r="F15" s="466">
        <f>1000/8</f>
        <v>125</v>
      </c>
    </row>
    <row r="16" spans="1:7" ht="21" customHeight="1">
      <c r="A16" s="466"/>
      <c r="B16" s="466"/>
      <c r="C16" s="466"/>
      <c r="D16" s="461"/>
      <c r="E16" s="466"/>
      <c r="F16" s="466"/>
    </row>
    <row r="17" spans="1:13" ht="21" customHeight="1">
      <c r="A17" s="466"/>
      <c r="B17" s="466"/>
      <c r="C17" s="466" t="s">
        <v>2436</v>
      </c>
      <c r="D17" s="461"/>
      <c r="E17" s="466"/>
      <c r="F17" s="471">
        <f>SUM(F14:F16)</f>
        <v>2837.021085885</v>
      </c>
    </row>
    <row r="18" spans="1:13" ht="21" customHeight="1">
      <c r="A18" s="466"/>
      <c r="B18" s="466"/>
      <c r="C18" s="466" t="s">
        <v>2438</v>
      </c>
      <c r="D18" s="466"/>
      <c r="E18" s="466"/>
      <c r="F18" s="466"/>
    </row>
    <row r="19" spans="1:13" ht="21" customHeight="1">
      <c r="A19" s="466"/>
      <c r="B19" s="466"/>
      <c r="C19" s="466"/>
      <c r="D19" s="466"/>
      <c r="E19" s="466"/>
      <c r="F19" s="466"/>
    </row>
    <row r="20" spans="1:13" ht="12.75" customHeight="1">
      <c r="A20" s="466"/>
      <c r="B20" s="466"/>
      <c r="C20" s="466"/>
      <c r="D20" s="466"/>
      <c r="E20" s="466"/>
      <c r="F20" s="466"/>
    </row>
    <row r="21" spans="1:13" s="473" customFormat="1" ht="42" customHeight="1">
      <c r="A21" s="472"/>
      <c r="B21" s="472"/>
      <c r="C21" s="1615" t="s">
        <v>2439</v>
      </c>
      <c r="D21" s="1615"/>
      <c r="E21" s="1615"/>
      <c r="F21" s="472"/>
    </row>
    <row r="22" spans="1:13" ht="30.75" customHeight="1">
      <c r="A22" s="474"/>
      <c r="B22" s="1614" t="s">
        <v>2440</v>
      </c>
      <c r="C22" s="1614"/>
      <c r="D22" s="1614"/>
      <c r="E22" s="1614"/>
      <c r="F22" s="1614"/>
      <c r="G22" s="465">
        <v>0.19600000000000001</v>
      </c>
    </row>
    <row r="23" spans="1:13" ht="30.75" customHeight="1">
      <c r="A23" s="466"/>
      <c r="B23" s="466"/>
      <c r="C23" s="475" t="s">
        <v>2441</v>
      </c>
      <c r="D23" s="466"/>
      <c r="E23" s="466"/>
      <c r="F23" s="466"/>
    </row>
    <row r="24" spans="1:13" ht="30.75" customHeight="1">
      <c r="A24" s="468">
        <f>G22</f>
        <v>0.19600000000000001</v>
      </c>
      <c r="B24" s="466" t="s">
        <v>19</v>
      </c>
      <c r="C24" s="466" t="s">
        <v>2442</v>
      </c>
      <c r="D24" s="461"/>
      <c r="E24" s="469">
        <v>4390</v>
      </c>
      <c r="F24" s="469">
        <f>A24*E24</f>
        <v>860.44</v>
      </c>
    </row>
    <row r="25" spans="1:13" ht="42.75" customHeight="1">
      <c r="A25" s="468">
        <f>+A24</f>
        <v>0.19600000000000001</v>
      </c>
      <c r="B25" s="466" t="s">
        <v>19</v>
      </c>
      <c r="C25" s="1609" t="s">
        <v>2443</v>
      </c>
      <c r="D25" s="1609"/>
      <c r="E25" s="469">
        <f>9.62*5</f>
        <v>48.099999999999994</v>
      </c>
      <c r="F25" s="469">
        <f>E25*A25</f>
        <v>9.4276</v>
      </c>
      <c r="I25" s="2">
        <f>8.69*0.125</f>
        <v>1.0862499999999999</v>
      </c>
    </row>
    <row r="26" spans="1:13" ht="36" customHeight="1">
      <c r="A26" s="468">
        <f>+A25</f>
        <v>0.19600000000000001</v>
      </c>
      <c r="B26" s="466" t="s">
        <v>19</v>
      </c>
      <c r="C26" s="466" t="s">
        <v>2444</v>
      </c>
      <c r="D26" s="461"/>
      <c r="E26" s="469">
        <v>33.11</v>
      </c>
      <c r="F26" s="469">
        <f>A26*E26</f>
        <v>6.48956</v>
      </c>
      <c r="I26" s="473">
        <f>0.125*26.3</f>
        <v>3.2875000000000001</v>
      </c>
    </row>
    <row r="27" spans="1:13" ht="17.25">
      <c r="A27" s="469"/>
      <c r="B27" s="466"/>
      <c r="C27" s="466"/>
      <c r="D27" s="461"/>
      <c r="E27" s="469"/>
      <c r="F27" s="469"/>
      <c r="I27" s="2">
        <f>26.58/3</f>
        <v>8.86</v>
      </c>
    </row>
    <row r="28" spans="1:13" ht="17.25">
      <c r="A28" s="466"/>
      <c r="B28" s="466"/>
      <c r="C28" s="466" t="s">
        <v>2436</v>
      </c>
      <c r="D28" s="461"/>
      <c r="E28" s="466"/>
      <c r="F28" s="471">
        <f>SUM(F24:F27)</f>
        <v>876.35716000000002</v>
      </c>
    </row>
    <row r="29" spans="1:13" ht="17.25">
      <c r="A29" s="461"/>
      <c r="B29" s="461"/>
      <c r="C29" s="461"/>
      <c r="D29" s="461"/>
      <c r="E29" s="461"/>
      <c r="F29" s="461"/>
    </row>
    <row r="30" spans="1:13" ht="51" customHeight="1">
      <c r="B30" s="476"/>
      <c r="C30" s="1608" t="s">
        <v>2445</v>
      </c>
      <c r="D30" s="1608"/>
      <c r="E30" s="1608"/>
      <c r="F30" s="476"/>
    </row>
    <row r="31" spans="1:13" ht="17.25">
      <c r="A31" s="461"/>
      <c r="B31" s="461"/>
      <c r="C31" s="461"/>
      <c r="D31" s="461"/>
      <c r="E31" s="461"/>
      <c r="F31" s="461"/>
      <c r="M31" s="2">
        <f>8.69*3</f>
        <v>26.07</v>
      </c>
    </row>
    <row r="32" spans="1:13" ht="60" customHeight="1">
      <c r="A32" s="477" t="s">
        <v>2446</v>
      </c>
      <c r="B32" s="477">
        <v>3</v>
      </c>
      <c r="C32" s="478" t="s">
        <v>2447</v>
      </c>
      <c r="E32" s="469">
        <v>10.199999999999999</v>
      </c>
      <c r="F32" s="469"/>
      <c r="G32" s="477">
        <f>E32*B32</f>
        <v>30.599999999999998</v>
      </c>
    </row>
    <row r="33" spans="1:10" ht="21.75" customHeight="1">
      <c r="A33" s="477" t="s">
        <v>2446</v>
      </c>
      <c r="B33" s="477">
        <v>3</v>
      </c>
      <c r="C33" s="479" t="s">
        <v>2448</v>
      </c>
      <c r="E33" s="469">
        <f>E26</f>
        <v>33.11</v>
      </c>
      <c r="F33" s="469"/>
      <c r="G33" s="477">
        <f>E33*B33</f>
        <v>99.33</v>
      </c>
      <c r="J33" s="2" t="s">
        <v>2449</v>
      </c>
    </row>
    <row r="34" spans="1:10" ht="17.25">
      <c r="A34" s="477"/>
      <c r="B34" s="477"/>
      <c r="C34" s="480"/>
      <c r="E34" s="469"/>
      <c r="F34" s="469"/>
      <c r="G34" s="477"/>
    </row>
    <row r="35" spans="1:10" ht="17.25">
      <c r="A35" s="477"/>
      <c r="B35" s="477"/>
      <c r="C35" s="480" t="s">
        <v>2450</v>
      </c>
      <c r="E35" s="477"/>
      <c r="F35" s="477"/>
      <c r="G35" s="481">
        <f>SUM(G32:G34)</f>
        <v>129.93</v>
      </c>
    </row>
    <row r="36" spans="1:10" ht="17.25">
      <c r="A36" s="461"/>
      <c r="B36" s="461"/>
      <c r="C36" s="461"/>
      <c r="E36" s="461"/>
      <c r="F36" s="461"/>
      <c r="G36" s="461"/>
    </row>
    <row r="37" spans="1:10" ht="17.25" hidden="1">
      <c r="A37" s="461"/>
      <c r="B37" s="461"/>
      <c r="C37" s="461"/>
      <c r="E37" s="461"/>
      <c r="F37" s="461"/>
      <c r="G37" s="461"/>
    </row>
    <row r="38" spans="1:10" ht="17.25" hidden="1">
      <c r="A38" s="461"/>
      <c r="B38" s="461"/>
      <c r="C38" s="461"/>
      <c r="E38" s="461"/>
      <c r="F38" s="461"/>
      <c r="G38" s="461"/>
    </row>
    <row r="39" spans="1:10" ht="3" customHeight="1">
      <c r="A39" s="482"/>
      <c r="B39" s="461"/>
      <c r="C39" s="482"/>
      <c r="E39" s="461"/>
      <c r="F39" s="461"/>
      <c r="G39" s="461"/>
    </row>
    <row r="40" spans="1:10" ht="24" customHeight="1">
      <c r="A40" s="465"/>
      <c r="C40" s="473" t="s">
        <v>280</v>
      </c>
    </row>
    <row r="41" spans="1:10" ht="24" customHeight="1">
      <c r="A41" s="465">
        <v>5</v>
      </c>
      <c r="B41" s="2" t="s">
        <v>2019</v>
      </c>
      <c r="C41" s="2" t="s">
        <v>2457</v>
      </c>
      <c r="D41" s="2">
        <f>[3]Data!V719</f>
        <v>1460.4</v>
      </c>
      <c r="F41" s="2">
        <f>D41*A41</f>
        <v>7302</v>
      </c>
      <c r="H41" s="2">
        <f>F41</f>
        <v>7302</v>
      </c>
    </row>
    <row r="42" spans="1:10" ht="24" customHeight="1">
      <c r="A42" s="465">
        <v>3.3</v>
      </c>
      <c r="B42" s="2" t="s">
        <v>2019</v>
      </c>
      <c r="C42" s="2" t="s">
        <v>2458</v>
      </c>
      <c r="D42" s="2">
        <f>[3]Data!V720</f>
        <v>1187.9000000000001</v>
      </c>
      <c r="F42" s="2">
        <f t="shared" ref="F42:F48" si="0">D42*A42</f>
        <v>3920.07</v>
      </c>
      <c r="H42" s="2">
        <f t="shared" ref="H42:H50" si="1">F42</f>
        <v>3920.07</v>
      </c>
    </row>
    <row r="43" spans="1:10" ht="24" customHeight="1">
      <c r="A43" s="465">
        <v>4.79</v>
      </c>
      <c r="B43" s="2" t="s">
        <v>2019</v>
      </c>
      <c r="C43" s="2" t="s">
        <v>2459</v>
      </c>
      <c r="D43" s="2">
        <f>[3]Data!V721</f>
        <v>1603.3</v>
      </c>
      <c r="F43" s="2">
        <f t="shared" si="0"/>
        <v>7679.8069999999998</v>
      </c>
      <c r="H43" s="2">
        <f t="shared" si="1"/>
        <v>7679.8069999999998</v>
      </c>
    </row>
    <row r="44" spans="1:10" ht="24" customHeight="1">
      <c r="A44" s="465">
        <v>3.25</v>
      </c>
      <c r="B44" s="2" t="s">
        <v>22</v>
      </c>
      <c r="C44" s="2" t="s">
        <v>2386</v>
      </c>
      <c r="D44" s="2">
        <f>[3]Data!V722</f>
        <v>5800</v>
      </c>
      <c r="F44" s="2">
        <f t="shared" si="0"/>
        <v>18850</v>
      </c>
      <c r="H44" s="2">
        <f t="shared" si="1"/>
        <v>18850</v>
      </c>
    </row>
    <row r="45" spans="1:10" ht="35.25" customHeight="1">
      <c r="A45" s="465">
        <f>3250*0.6%</f>
        <v>19.5</v>
      </c>
      <c r="B45" s="2" t="s">
        <v>40</v>
      </c>
      <c r="C45" s="506" t="s">
        <v>2478</v>
      </c>
      <c r="D45" s="2">
        <f>[3]Data!V723</f>
        <v>42.4</v>
      </c>
      <c r="F45" s="2">
        <f t="shared" si="0"/>
        <v>826.8</v>
      </c>
      <c r="H45" s="2">
        <f t="shared" si="1"/>
        <v>826.8</v>
      </c>
    </row>
    <row r="46" spans="1:10" ht="24" customHeight="1">
      <c r="A46" s="465">
        <v>3.5</v>
      </c>
      <c r="B46" s="2" t="s">
        <v>13</v>
      </c>
      <c r="C46" s="2" t="s">
        <v>2461</v>
      </c>
      <c r="D46" s="2">
        <f>[3]Data!V724</f>
        <v>753.9</v>
      </c>
      <c r="F46" s="2">
        <f t="shared" si="0"/>
        <v>2638.65</v>
      </c>
      <c r="H46" s="2">
        <f t="shared" si="1"/>
        <v>2638.65</v>
      </c>
    </row>
    <row r="47" spans="1:10" ht="24" customHeight="1">
      <c r="A47" s="465">
        <v>21.2</v>
      </c>
      <c r="B47" s="2" t="s">
        <v>13</v>
      </c>
      <c r="C47" s="2" t="s">
        <v>2462</v>
      </c>
      <c r="D47" s="2">
        <f>[3]Data!V725</f>
        <v>527.1</v>
      </c>
      <c r="F47" s="2">
        <f t="shared" si="0"/>
        <v>11174.52</v>
      </c>
      <c r="H47" s="2">
        <f t="shared" si="1"/>
        <v>11174.52</v>
      </c>
    </row>
    <row r="48" spans="1:10" ht="24" customHeight="1">
      <c r="A48" s="465">
        <v>35.299999999999997</v>
      </c>
      <c r="B48" s="2" t="s">
        <v>13</v>
      </c>
      <c r="C48" s="2" t="s">
        <v>2463</v>
      </c>
      <c r="D48" s="2">
        <f>[3]Data!V726</f>
        <v>432.6</v>
      </c>
      <c r="F48" s="2">
        <f t="shared" si="0"/>
        <v>15270.779999999999</v>
      </c>
      <c r="H48" s="2">
        <f t="shared" si="1"/>
        <v>15270.779999999999</v>
      </c>
    </row>
    <row r="49" spans="1:8" ht="24" customHeight="1">
      <c r="A49" s="465"/>
      <c r="C49" s="2" t="s">
        <v>2464</v>
      </c>
      <c r="D49" s="2">
        <f>[3]Data!V727</f>
        <v>0</v>
      </c>
      <c r="F49" s="473">
        <f>SUM(F41:F48)</f>
        <v>67662.627000000008</v>
      </c>
      <c r="H49" s="2">
        <f t="shared" si="1"/>
        <v>67662.627000000008</v>
      </c>
    </row>
    <row r="50" spans="1:8" ht="24" customHeight="1">
      <c r="A50" s="465"/>
      <c r="C50" s="2" t="s">
        <v>2465</v>
      </c>
      <c r="D50" s="2">
        <f>[3]Data!V728</f>
        <v>0</v>
      </c>
      <c r="F50" s="473">
        <f>F49/10</f>
        <v>6766.2627000000011</v>
      </c>
      <c r="H50" s="2">
        <f t="shared" si="1"/>
        <v>6766.2627000000011</v>
      </c>
    </row>
    <row r="51" spans="1:8" ht="24" customHeight="1">
      <c r="A51" s="465">
        <v>1</v>
      </c>
      <c r="B51" s="2" t="s">
        <v>2019</v>
      </c>
      <c r="C51" s="2" t="s">
        <v>2479</v>
      </c>
      <c r="D51" s="2">
        <f>[3]Data!V729</f>
        <v>74.239999999999995</v>
      </c>
      <c r="F51" s="2">
        <f>D51*A51</f>
        <v>74.239999999999995</v>
      </c>
    </row>
    <row r="52" spans="1:8" ht="24" customHeight="1">
      <c r="A52" s="465"/>
      <c r="C52" s="2" t="s">
        <v>2467</v>
      </c>
      <c r="D52" s="2">
        <f>[3]Data!V730</f>
        <v>0</v>
      </c>
      <c r="F52" s="473">
        <f>SUM(F50:F51)</f>
        <v>6840.5027000000009</v>
      </c>
      <c r="H52" s="2">
        <f>H50</f>
        <v>6766.2627000000011</v>
      </c>
    </row>
    <row r="53" spans="1:8">
      <c r="A53" s="484" t="s">
        <v>170</v>
      </c>
      <c r="C53" s="2" t="s">
        <v>2468</v>
      </c>
      <c r="D53" s="2" t="str">
        <f>[3]Data!V731</f>
        <v>LS</v>
      </c>
      <c r="F53" s="2">
        <f>F52*0.5%</f>
        <v>34.202513500000002</v>
      </c>
      <c r="H53" s="2">
        <f>H52*0.5/100</f>
        <v>33.831313500000007</v>
      </c>
    </row>
    <row r="54" spans="1:8">
      <c r="A54" s="465"/>
      <c r="B54" s="485"/>
      <c r="C54" s="473" t="s">
        <v>2469</v>
      </c>
      <c r="E54" s="486"/>
      <c r="F54" s="487">
        <f>SUM(F52:F53)</f>
        <v>6874.7052135000013</v>
      </c>
      <c r="H54" s="473">
        <f>SUM(H52:H53)</f>
        <v>6800.094013500001</v>
      </c>
    </row>
    <row r="55" spans="1:8">
      <c r="A55" s="465"/>
      <c r="B55" s="485"/>
      <c r="E55" s="486"/>
      <c r="F55" s="491" t="s">
        <v>442</v>
      </c>
    </row>
    <row r="56" spans="1:8">
      <c r="A56" s="465"/>
      <c r="B56" s="485"/>
      <c r="C56" s="490" t="s">
        <v>2354</v>
      </c>
      <c r="E56" s="486"/>
      <c r="F56" s="487">
        <f>F54+[3]Data!C23</f>
        <v>7060.5552135000016</v>
      </c>
    </row>
    <row r="57" spans="1:8">
      <c r="A57" s="465"/>
      <c r="B57" s="485"/>
      <c r="C57" s="490" t="s">
        <v>2362</v>
      </c>
      <c r="E57" s="486"/>
      <c r="F57" s="507"/>
    </row>
    <row r="58" spans="1:8">
      <c r="A58" s="465"/>
      <c r="B58" s="485"/>
      <c r="C58" s="490" t="s">
        <v>2480</v>
      </c>
      <c r="E58" s="486"/>
      <c r="F58" s="487">
        <f>F56+[3]Data!C25</f>
        <v>7134.7952135000014</v>
      </c>
    </row>
    <row r="59" spans="1:8">
      <c r="A59" s="465"/>
      <c r="B59" s="485"/>
      <c r="C59" s="490" t="s">
        <v>2481</v>
      </c>
      <c r="E59" s="486"/>
      <c r="F59" s="487"/>
    </row>
    <row r="60" spans="1:8">
      <c r="A60" s="465"/>
      <c r="B60" s="485"/>
      <c r="C60" s="490" t="s">
        <v>262</v>
      </c>
      <c r="E60" s="486"/>
      <c r="F60" s="487">
        <f>F58+[3]Data!C27</f>
        <v>7161.7852135000012</v>
      </c>
    </row>
    <row r="61" spans="1:8" ht="17.25">
      <c r="A61" s="461"/>
      <c r="B61" s="461"/>
      <c r="C61" s="461"/>
      <c r="E61" s="461"/>
      <c r="F61" s="461"/>
      <c r="G61" s="461"/>
    </row>
    <row r="62" spans="1:8" ht="7.5" customHeight="1">
      <c r="A62" s="461"/>
      <c r="B62" s="461"/>
      <c r="C62" s="461"/>
      <c r="E62" s="461"/>
      <c r="F62" s="461"/>
      <c r="G62" s="461"/>
    </row>
    <row r="63" spans="1:8" ht="17.25" hidden="1">
      <c r="A63" s="461"/>
      <c r="B63" s="461"/>
      <c r="C63" s="461"/>
      <c r="E63" s="461"/>
      <c r="F63" s="461"/>
      <c r="G63" s="461"/>
    </row>
    <row r="64" spans="1:8" ht="17.25" hidden="1">
      <c r="A64" s="461"/>
      <c r="B64" s="461"/>
      <c r="C64" s="461"/>
      <c r="E64" s="461"/>
      <c r="F64" s="461"/>
      <c r="G64" s="461"/>
    </row>
    <row r="65" spans="1:7" ht="17.25">
      <c r="A65" s="1610" t="s">
        <v>0</v>
      </c>
      <c r="B65" s="1610"/>
      <c r="C65" s="1610"/>
      <c r="D65" s="1610"/>
      <c r="E65" s="1610"/>
      <c r="F65" s="1610"/>
    </row>
    <row r="66" spans="1:7" ht="17.25">
      <c r="A66" s="1610" t="s">
        <v>1</v>
      </c>
      <c r="B66" s="1610"/>
      <c r="C66" s="1610"/>
      <c r="D66" s="1610"/>
      <c r="E66" s="1610"/>
      <c r="F66" s="1610"/>
    </row>
    <row r="67" spans="1:7" ht="17.25">
      <c r="A67" s="1611" t="s">
        <v>2428</v>
      </c>
      <c r="B67" s="1611"/>
      <c r="C67" s="1611"/>
      <c r="D67" s="1611"/>
      <c r="E67" s="1611"/>
      <c r="F67" s="1611"/>
    </row>
    <row r="68" spans="1:7" ht="17.25">
      <c r="A68" s="1612" t="s">
        <v>2451</v>
      </c>
      <c r="B68" s="1612"/>
      <c r="C68" s="1612"/>
      <c r="D68" s="1612"/>
      <c r="E68" s="1612"/>
      <c r="F68" s="461"/>
    </row>
    <row r="69" spans="1:7" ht="17.25">
      <c r="A69" s="461"/>
      <c r="B69" s="461"/>
      <c r="C69" s="461"/>
      <c r="D69" s="461"/>
      <c r="E69" s="461"/>
      <c r="F69" s="461"/>
    </row>
    <row r="70" spans="1:7" ht="19.5">
      <c r="B70" s="462"/>
      <c r="C70" s="1613" t="s">
        <v>2452</v>
      </c>
      <c r="D70" s="1613"/>
      <c r="E70" s="1613"/>
      <c r="F70" s="462"/>
      <c r="G70" s="463" t="s">
        <v>19</v>
      </c>
    </row>
    <row r="71" spans="1:7" ht="20.25">
      <c r="A71" s="464"/>
      <c r="B71" s="1614" t="s">
        <v>2453</v>
      </c>
      <c r="C71" s="1614"/>
      <c r="D71" s="1614"/>
      <c r="E71" s="1614"/>
      <c r="F71" s="1614"/>
      <c r="G71" s="465">
        <f>3.14*0.45*0.45*8/4</f>
        <v>1.2717000000000001</v>
      </c>
    </row>
    <row r="72" spans="1:7" ht="31.5" customHeight="1">
      <c r="A72" s="466"/>
      <c r="B72" s="466"/>
      <c r="C72" s="467" t="s">
        <v>2454</v>
      </c>
      <c r="D72" s="466"/>
      <c r="E72" s="466"/>
      <c r="F72" s="466"/>
    </row>
    <row r="73" spans="1:7" ht="36.75" customHeight="1">
      <c r="A73" s="468">
        <f>G71</f>
        <v>1.2717000000000001</v>
      </c>
      <c r="B73" s="466" t="s">
        <v>19</v>
      </c>
      <c r="C73" s="466" t="s">
        <v>2477</v>
      </c>
      <c r="D73" s="461"/>
      <c r="E73" s="469">
        <f>E9</f>
        <v>6800.094013500001</v>
      </c>
      <c r="F73" s="469">
        <f>A73*E73</f>
        <v>8647.6795569679507</v>
      </c>
    </row>
    <row r="74" spans="1:7" ht="17.25">
      <c r="A74" s="470">
        <f>A73*10/100</f>
        <v>0.12717000000000001</v>
      </c>
      <c r="B74" s="466" t="s">
        <v>22</v>
      </c>
      <c r="C74" s="466" t="s">
        <v>2434</v>
      </c>
      <c r="D74" s="461"/>
      <c r="E74" s="469">
        <v>4000</v>
      </c>
      <c r="F74" s="469">
        <f>A74*E74</f>
        <v>508.68</v>
      </c>
    </row>
    <row r="75" spans="1:7" ht="17.25">
      <c r="A75" s="469">
        <v>8</v>
      </c>
      <c r="B75" s="466" t="s">
        <v>12</v>
      </c>
      <c r="C75" s="466" t="s">
        <v>2416</v>
      </c>
      <c r="D75" s="461"/>
      <c r="E75" s="469">
        <v>960</v>
      </c>
      <c r="F75" s="469">
        <f>A75*E75</f>
        <v>7680</v>
      </c>
    </row>
    <row r="76" spans="1:7" ht="17.25">
      <c r="A76" s="466"/>
      <c r="B76" s="466"/>
      <c r="C76" s="466"/>
      <c r="D76" s="461"/>
      <c r="E76" s="466"/>
      <c r="F76" s="466"/>
    </row>
    <row r="77" spans="1:7" ht="17.25">
      <c r="A77" s="466"/>
      <c r="B77" s="466"/>
      <c r="C77" s="466" t="s">
        <v>2435</v>
      </c>
      <c r="D77" s="461"/>
      <c r="E77" s="466"/>
      <c r="F77" s="469">
        <f>SUM(F73:F76)</f>
        <v>16836.359556967953</v>
      </c>
    </row>
    <row r="78" spans="1:7" ht="17.25">
      <c r="A78" s="466"/>
      <c r="B78" s="466"/>
      <c r="C78" s="466" t="s">
        <v>2436</v>
      </c>
      <c r="D78" s="461"/>
      <c r="E78" s="466"/>
      <c r="F78" s="469">
        <f>F77/7</f>
        <v>2405.1942224239933</v>
      </c>
    </row>
    <row r="79" spans="1:7" ht="17.25">
      <c r="A79" s="466"/>
      <c r="B79" s="466"/>
      <c r="C79" s="466" t="s">
        <v>2437</v>
      </c>
      <c r="D79" s="461"/>
      <c r="E79" s="466"/>
      <c r="F79" s="466">
        <f>1000/8</f>
        <v>125</v>
      </c>
    </row>
    <row r="80" spans="1:7" ht="17.25">
      <c r="A80" s="466"/>
      <c r="B80" s="466"/>
      <c r="C80" s="466"/>
      <c r="D80" s="461"/>
      <c r="E80" s="466"/>
      <c r="F80" s="466"/>
    </row>
    <row r="81" spans="1:7" ht="17.25">
      <c r="A81" s="466"/>
      <c r="B81" s="466"/>
      <c r="C81" s="466" t="s">
        <v>2436</v>
      </c>
      <c r="D81" s="461"/>
      <c r="E81" s="466"/>
      <c r="F81" s="471">
        <f>SUM(F78:F80)</f>
        <v>2530.1942224239933</v>
      </c>
    </row>
    <row r="82" spans="1:7" ht="17.25">
      <c r="A82" s="466"/>
      <c r="B82" s="466"/>
      <c r="C82" s="466" t="s">
        <v>2438</v>
      </c>
      <c r="D82" s="466"/>
      <c r="E82" s="466"/>
      <c r="F82" s="466"/>
    </row>
    <row r="83" spans="1:7" ht="17.25">
      <c r="A83" s="466"/>
      <c r="B83" s="466"/>
      <c r="C83" s="466"/>
      <c r="D83" s="466"/>
      <c r="E83" s="466"/>
      <c r="F83" s="466"/>
    </row>
    <row r="84" spans="1:7" ht="17.25">
      <c r="A84" s="466"/>
      <c r="B84" s="466"/>
      <c r="C84" s="466"/>
      <c r="D84" s="466"/>
      <c r="E84" s="466"/>
      <c r="F84" s="466"/>
    </row>
    <row r="85" spans="1:7" ht="17.25">
      <c r="A85" s="472"/>
      <c r="B85" s="472"/>
      <c r="C85" s="1615" t="s">
        <v>2439</v>
      </c>
      <c r="D85" s="1615"/>
      <c r="E85" s="1615"/>
      <c r="F85" s="472"/>
      <c r="G85" s="473"/>
    </row>
    <row r="86" spans="1:7" ht="20.25">
      <c r="A86" s="474"/>
      <c r="B86" s="1614" t="s">
        <v>2455</v>
      </c>
      <c r="C86" s="1614"/>
      <c r="D86" s="1614"/>
      <c r="E86" s="1614"/>
      <c r="F86" s="1614"/>
      <c r="G86" s="465">
        <f>3.14*0.45*0.45/4</f>
        <v>0.15896250000000001</v>
      </c>
    </row>
    <row r="87" spans="1:7" ht="39.75" customHeight="1">
      <c r="A87" s="466"/>
      <c r="B87" s="466"/>
      <c r="C87" s="475" t="s">
        <v>2441</v>
      </c>
      <c r="D87" s="466"/>
      <c r="E87" s="466"/>
      <c r="F87" s="466"/>
    </row>
    <row r="88" spans="1:7" ht="17.25">
      <c r="A88" s="468">
        <f>G86</f>
        <v>0.15896250000000001</v>
      </c>
      <c r="B88" s="466" t="s">
        <v>19</v>
      </c>
      <c r="C88" s="466" t="s">
        <v>2482</v>
      </c>
      <c r="D88" s="461"/>
      <c r="E88" s="469">
        <f>E24</f>
        <v>4390</v>
      </c>
      <c r="F88" s="469">
        <f>A88*E88</f>
        <v>697.84537499999999</v>
      </c>
    </row>
    <row r="89" spans="1:7" ht="17.25">
      <c r="A89" s="468">
        <f>+A88</f>
        <v>0.15896250000000001</v>
      </c>
      <c r="B89" s="466" t="s">
        <v>19</v>
      </c>
      <c r="C89" s="1609" t="s">
        <v>2443</v>
      </c>
      <c r="D89" s="1609"/>
      <c r="E89" s="469">
        <f>9.62*5</f>
        <v>48.099999999999994</v>
      </c>
      <c r="F89" s="469">
        <f>E89*A89</f>
        <v>7.6460962499999994</v>
      </c>
    </row>
    <row r="90" spans="1:7" ht="17.25">
      <c r="A90" s="468">
        <f>+A89</f>
        <v>0.15896250000000001</v>
      </c>
      <c r="B90" s="466" t="s">
        <v>19</v>
      </c>
      <c r="C90" s="466" t="s">
        <v>2444</v>
      </c>
      <c r="D90" s="461"/>
      <c r="E90" s="469">
        <f>E26</f>
        <v>33.11</v>
      </c>
      <c r="F90" s="469">
        <f>A90*E90</f>
        <v>5.2632483749999999</v>
      </c>
    </row>
    <row r="91" spans="1:7" ht="17.25">
      <c r="A91" s="469"/>
      <c r="B91" s="466"/>
      <c r="C91" s="466"/>
      <c r="D91" s="461"/>
      <c r="E91" s="469"/>
      <c r="F91" s="469"/>
    </row>
    <row r="92" spans="1:7" ht="17.25">
      <c r="A92" s="466"/>
      <c r="B92" s="466"/>
      <c r="C92" s="466" t="s">
        <v>2436</v>
      </c>
      <c r="D92" s="461"/>
      <c r="E92" s="466"/>
      <c r="F92" s="471">
        <f>SUM(F88:F91)</f>
        <v>710.75471962500001</v>
      </c>
    </row>
    <row r="93" spans="1:7" ht="17.25">
      <c r="A93" s="461"/>
      <c r="B93" s="461"/>
      <c r="C93" s="461"/>
      <c r="D93" s="461"/>
      <c r="E93" s="461"/>
      <c r="F93" s="461"/>
    </row>
    <row r="94" spans="1:7" ht="17.25">
      <c r="B94" s="476"/>
      <c r="C94" s="1608" t="s">
        <v>2445</v>
      </c>
      <c r="D94" s="1608"/>
      <c r="E94" s="1608"/>
      <c r="F94" s="476"/>
    </row>
    <row r="95" spans="1:7" ht="17.25">
      <c r="A95" s="461"/>
      <c r="B95" s="461"/>
      <c r="C95" s="461"/>
      <c r="D95" s="461"/>
      <c r="E95" s="461"/>
      <c r="F95" s="461"/>
    </row>
    <row r="96" spans="1:7" ht="34.5">
      <c r="A96" s="477" t="s">
        <v>2446</v>
      </c>
      <c r="B96" s="477">
        <v>3</v>
      </c>
      <c r="C96" s="478" t="s">
        <v>2447</v>
      </c>
      <c r="E96" s="477">
        <f>E32</f>
        <v>10.199999999999999</v>
      </c>
      <c r="F96" s="477" t="s">
        <v>2019</v>
      </c>
      <c r="G96" s="477">
        <f>E96*B96</f>
        <v>30.599999999999998</v>
      </c>
    </row>
    <row r="97" spans="1:7" ht="17.25">
      <c r="A97" s="477" t="s">
        <v>2446</v>
      </c>
      <c r="B97" s="477">
        <v>3</v>
      </c>
      <c r="C97" s="479" t="s">
        <v>2448</v>
      </c>
      <c r="E97" s="477">
        <f>E90</f>
        <v>33.11</v>
      </c>
      <c r="F97" s="477" t="s">
        <v>2019</v>
      </c>
      <c r="G97" s="477">
        <f>E97*B97</f>
        <v>99.33</v>
      </c>
    </row>
    <row r="98" spans="1:7" ht="17.25">
      <c r="A98" s="477"/>
      <c r="B98" s="477"/>
      <c r="C98" s="480"/>
      <c r="E98" s="477"/>
      <c r="F98" s="477"/>
      <c r="G98" s="477"/>
    </row>
    <row r="99" spans="1:7" ht="17.25">
      <c r="A99" s="477"/>
      <c r="B99" s="477"/>
      <c r="C99" s="480" t="s">
        <v>2450</v>
      </c>
      <c r="E99" s="477"/>
      <c r="F99" s="477"/>
      <c r="G99" s="481">
        <f>SUM(G96:G98)</f>
        <v>129.93</v>
      </c>
    </row>
    <row r="100" spans="1:7" ht="17.25">
      <c r="A100" s="461"/>
      <c r="B100" s="461"/>
      <c r="C100" s="461"/>
      <c r="E100" s="461"/>
      <c r="F100" s="461"/>
      <c r="G100" s="461"/>
    </row>
    <row r="101" spans="1:7" ht="23.25" hidden="1" customHeight="1">
      <c r="A101" s="461"/>
      <c r="B101" s="461"/>
      <c r="C101" s="461"/>
      <c r="E101" s="461"/>
      <c r="F101" s="461"/>
      <c r="G101" s="461"/>
    </row>
    <row r="102" spans="1:7" ht="23.25" hidden="1" customHeight="1">
      <c r="A102" s="461"/>
      <c r="B102" s="461"/>
      <c r="C102" s="461"/>
      <c r="E102" s="461"/>
      <c r="F102" s="461"/>
      <c r="G102" s="461"/>
    </row>
    <row r="103" spans="1:7" ht="29.25" hidden="1" customHeight="1">
      <c r="A103" s="465"/>
      <c r="B103" s="473">
        <v>4.2</v>
      </c>
      <c r="C103" s="473" t="s">
        <v>996</v>
      </c>
    </row>
    <row r="104" spans="1:7" ht="30" hidden="1" customHeight="1">
      <c r="A104" s="465">
        <v>5</v>
      </c>
      <c r="B104" s="2" t="s">
        <v>2019</v>
      </c>
      <c r="C104" s="2" t="s">
        <v>2457</v>
      </c>
      <c r="D104" s="2">
        <f>D41</f>
        <v>1460.4</v>
      </c>
      <c r="F104" s="2">
        <f>D104*A104</f>
        <v>7302</v>
      </c>
    </row>
    <row r="105" spans="1:7" ht="30" hidden="1" customHeight="1">
      <c r="A105" s="465">
        <v>3.3</v>
      </c>
      <c r="B105" s="2" t="s">
        <v>2019</v>
      </c>
      <c r="C105" s="2" t="s">
        <v>2458</v>
      </c>
      <c r="D105" s="2">
        <f t="shared" ref="D105:D116" si="2">D42</f>
        <v>1187.9000000000001</v>
      </c>
      <c r="F105" s="2">
        <f t="shared" ref="F105:F111" si="3">D105*A105</f>
        <v>3920.07</v>
      </c>
    </row>
    <row r="106" spans="1:7" ht="30" hidden="1" customHeight="1">
      <c r="A106" s="465">
        <v>4.79</v>
      </c>
      <c r="B106" s="2" t="s">
        <v>2019</v>
      </c>
      <c r="C106" s="2" t="s">
        <v>2459</v>
      </c>
      <c r="D106" s="2">
        <f t="shared" si="2"/>
        <v>1603.3</v>
      </c>
      <c r="F106" s="2">
        <f t="shared" si="3"/>
        <v>7679.8069999999998</v>
      </c>
    </row>
    <row r="107" spans="1:7" ht="30" hidden="1" customHeight="1">
      <c r="A107" s="465">
        <v>4</v>
      </c>
      <c r="B107" s="2" t="s">
        <v>22</v>
      </c>
      <c r="C107" s="2" t="s">
        <v>2386</v>
      </c>
      <c r="D107" s="2">
        <f t="shared" si="2"/>
        <v>5800</v>
      </c>
      <c r="F107" s="2">
        <f t="shared" si="3"/>
        <v>23200</v>
      </c>
    </row>
    <row r="108" spans="1:7" ht="30" hidden="1" customHeight="1">
      <c r="A108" s="465">
        <v>40</v>
      </c>
      <c r="B108" s="2" t="s">
        <v>40</v>
      </c>
      <c r="C108" s="2" t="s">
        <v>2460</v>
      </c>
      <c r="D108" s="2">
        <f t="shared" si="2"/>
        <v>42.4</v>
      </c>
      <c r="F108" s="2">
        <f t="shared" si="3"/>
        <v>1696</v>
      </c>
    </row>
    <row r="109" spans="1:7" ht="30" hidden="1" customHeight="1">
      <c r="A109" s="465">
        <v>3.5</v>
      </c>
      <c r="B109" s="2" t="s">
        <v>13</v>
      </c>
      <c r="C109" s="2" t="s">
        <v>2461</v>
      </c>
      <c r="D109" s="2">
        <f t="shared" si="2"/>
        <v>753.9</v>
      </c>
      <c r="F109" s="2">
        <f>D109*A109</f>
        <v>2638.65</v>
      </c>
    </row>
    <row r="110" spans="1:7" ht="30" hidden="1" customHeight="1">
      <c r="A110" s="465">
        <v>21.2</v>
      </c>
      <c r="B110" s="2" t="s">
        <v>13</v>
      </c>
      <c r="C110" s="2" t="s">
        <v>2462</v>
      </c>
      <c r="D110" s="2">
        <f t="shared" si="2"/>
        <v>527.1</v>
      </c>
      <c r="F110" s="2">
        <f t="shared" si="3"/>
        <v>11174.52</v>
      </c>
    </row>
    <row r="111" spans="1:7" ht="30" hidden="1" customHeight="1">
      <c r="A111" s="465">
        <v>35.299999999999997</v>
      </c>
      <c r="B111" s="2" t="s">
        <v>13</v>
      </c>
      <c r="C111" s="2" t="s">
        <v>2463</v>
      </c>
      <c r="D111" s="2">
        <f t="shared" si="2"/>
        <v>432.6</v>
      </c>
      <c r="F111" s="2">
        <f t="shared" si="3"/>
        <v>15270.779999999999</v>
      </c>
    </row>
    <row r="112" spans="1:7" ht="30" hidden="1" customHeight="1">
      <c r="A112" s="465"/>
      <c r="C112" s="473" t="s">
        <v>2464</v>
      </c>
      <c r="D112" s="2">
        <f t="shared" si="2"/>
        <v>0</v>
      </c>
      <c r="F112" s="473">
        <f>SUM(F104:F111)</f>
        <v>72881.827000000005</v>
      </c>
    </row>
    <row r="113" spans="1:7" ht="30" hidden="1" customHeight="1">
      <c r="A113" s="465"/>
      <c r="C113" s="473" t="s">
        <v>2465</v>
      </c>
      <c r="D113" s="2">
        <f t="shared" si="2"/>
        <v>0</v>
      </c>
      <c r="F113" s="473">
        <f>F112/10</f>
        <v>7288.1827000000003</v>
      </c>
      <c r="G113" s="2">
        <f>F113</f>
        <v>7288.1827000000003</v>
      </c>
    </row>
    <row r="114" spans="1:7" ht="30" hidden="1" customHeight="1">
      <c r="A114" s="465">
        <v>1</v>
      </c>
      <c r="B114" s="2" t="s">
        <v>2019</v>
      </c>
      <c r="C114" s="2" t="s">
        <v>2466</v>
      </c>
      <c r="D114" s="2">
        <f t="shared" si="2"/>
        <v>74.239999999999995</v>
      </c>
      <c r="F114" s="2">
        <f>D114</f>
        <v>74.239999999999995</v>
      </c>
    </row>
    <row r="115" spans="1:7" ht="30" hidden="1" customHeight="1">
      <c r="A115" s="465"/>
      <c r="C115" s="2" t="s">
        <v>2467</v>
      </c>
      <c r="D115" s="2">
        <f t="shared" si="2"/>
        <v>0</v>
      </c>
      <c r="F115" s="473">
        <f>SUM(F113:F114)</f>
        <v>7362.4227000000001</v>
      </c>
      <c r="G115" s="2">
        <f>SUM(G113:G114)</f>
        <v>7288.1827000000003</v>
      </c>
    </row>
    <row r="116" spans="1:7" ht="30" hidden="1" customHeight="1">
      <c r="A116" s="484" t="s">
        <v>170</v>
      </c>
      <c r="C116" s="2" t="s">
        <v>2468</v>
      </c>
      <c r="D116" s="2" t="str">
        <f t="shared" si="2"/>
        <v>LS</v>
      </c>
      <c r="F116" s="2">
        <f>F115*0.5%</f>
        <v>36.812113500000002</v>
      </c>
      <c r="G116" s="2">
        <f>G115*0.5/100</f>
        <v>36.440913500000001</v>
      </c>
    </row>
    <row r="117" spans="1:7" ht="30" hidden="1" customHeight="1">
      <c r="A117" s="465"/>
      <c r="B117" s="485"/>
      <c r="C117" s="473" t="s">
        <v>2469</v>
      </c>
      <c r="E117" s="486"/>
      <c r="F117" s="487">
        <f>SUM(F115:F116)</f>
        <v>7399.2348135000002</v>
      </c>
      <c r="G117" s="473">
        <f>SUM(G115:G116)</f>
        <v>7324.6236134999999</v>
      </c>
    </row>
    <row r="118" spans="1:7" ht="17.25" hidden="1">
      <c r="A118" s="461"/>
      <c r="B118" s="461"/>
      <c r="C118" s="461"/>
      <c r="E118" s="461"/>
      <c r="F118" s="461"/>
      <c r="G118" s="461"/>
    </row>
    <row r="119" spans="1:7" ht="17.25" hidden="1">
      <c r="A119" s="461"/>
      <c r="B119" s="461"/>
      <c r="C119" s="461"/>
      <c r="E119" s="461"/>
      <c r="F119" s="461"/>
      <c r="G119" s="461"/>
    </row>
    <row r="120" spans="1:7" ht="17.25" hidden="1">
      <c r="A120" s="461"/>
      <c r="B120" s="461"/>
      <c r="C120" s="461"/>
      <c r="E120" s="461"/>
      <c r="F120" s="461"/>
      <c r="G120" s="461"/>
    </row>
    <row r="121" spans="1:7" ht="17.25" hidden="1">
      <c r="A121" s="461"/>
      <c r="B121" s="461"/>
      <c r="C121" s="461"/>
      <c r="E121" s="461"/>
      <c r="F121" s="461"/>
      <c r="G121" s="482"/>
    </row>
    <row r="122" spans="1:7" ht="17.25" hidden="1">
      <c r="A122" s="461"/>
      <c r="B122" s="461"/>
      <c r="C122" s="461"/>
      <c r="E122" s="461"/>
      <c r="F122" s="461"/>
      <c r="G122" s="461"/>
    </row>
    <row r="123" spans="1:7" ht="17.25" hidden="1">
      <c r="A123" s="461"/>
      <c r="B123" s="461"/>
      <c r="C123" s="461"/>
      <c r="E123" s="461"/>
      <c r="F123" s="461"/>
      <c r="G123" s="461"/>
    </row>
    <row r="124" spans="1:7" ht="17.25" hidden="1">
      <c r="A124" s="461"/>
      <c r="B124" s="461"/>
      <c r="C124" s="461"/>
      <c r="E124" s="461"/>
      <c r="F124" s="461"/>
      <c r="G124" s="461"/>
    </row>
    <row r="125" spans="1:7" ht="17.25">
      <c r="A125" s="1610" t="s">
        <v>0</v>
      </c>
      <c r="B125" s="1610"/>
      <c r="C125" s="1610"/>
      <c r="D125" s="1610"/>
      <c r="E125" s="1610"/>
      <c r="F125" s="1610"/>
    </row>
    <row r="126" spans="1:7" ht="17.25">
      <c r="A126" s="1610" t="s">
        <v>1</v>
      </c>
      <c r="B126" s="1610"/>
      <c r="C126" s="1610"/>
      <c r="D126" s="1610"/>
      <c r="E126" s="1610"/>
      <c r="F126" s="1610"/>
    </row>
    <row r="127" spans="1:7" ht="17.25">
      <c r="A127" s="1611" t="s">
        <v>2428</v>
      </c>
      <c r="B127" s="1611"/>
      <c r="C127" s="1611"/>
      <c r="D127" s="1611"/>
      <c r="E127" s="1611"/>
      <c r="F127" s="1611"/>
    </row>
    <row r="128" spans="1:7" ht="17.25">
      <c r="A128" s="1612" t="s">
        <v>2451</v>
      </c>
      <c r="B128" s="1612"/>
      <c r="C128" s="1612"/>
      <c r="D128" s="1612"/>
      <c r="E128" s="1612"/>
      <c r="F128" s="461"/>
    </row>
    <row r="129" spans="1:7" ht="17.25">
      <c r="A129" s="461"/>
      <c r="B129" s="461"/>
      <c r="C129" s="461"/>
      <c r="D129" s="461"/>
      <c r="E129" s="461"/>
      <c r="F129" s="461"/>
    </row>
    <row r="130" spans="1:7" ht="19.5">
      <c r="B130" s="462"/>
      <c r="C130" s="1613" t="s">
        <v>2470</v>
      </c>
      <c r="D130" s="1613"/>
      <c r="E130" s="1613"/>
      <c r="F130" s="462"/>
      <c r="G130" s="463" t="s">
        <v>19</v>
      </c>
    </row>
    <row r="131" spans="1:7" ht="20.25">
      <c r="A131" s="464"/>
      <c r="B131" s="1614" t="s">
        <v>2471</v>
      </c>
      <c r="C131" s="1614"/>
      <c r="D131" s="1614"/>
      <c r="E131" s="1614"/>
      <c r="F131" s="1614"/>
      <c r="G131" s="465">
        <f>3.14*0.4*0.4*8/4</f>
        <v>1.0048000000000001</v>
      </c>
    </row>
    <row r="132" spans="1:7" ht="34.5" customHeight="1">
      <c r="A132" s="466"/>
      <c r="B132" s="466"/>
      <c r="C132" s="508" t="s">
        <v>2472</v>
      </c>
      <c r="D132" s="466"/>
      <c r="E132" s="466"/>
      <c r="F132" s="466"/>
    </row>
    <row r="133" spans="1:7" ht="17.25">
      <c r="A133" s="468">
        <f>G131</f>
        <v>1.0048000000000001</v>
      </c>
      <c r="B133" s="466" t="s">
        <v>19</v>
      </c>
      <c r="C133" s="466" t="s">
        <v>2473</v>
      </c>
      <c r="D133" s="461"/>
      <c r="E133" s="469">
        <f>E73</f>
        <v>6800.094013500001</v>
      </c>
      <c r="F133" s="469">
        <f>A133*E133</f>
        <v>6832.7344647648015</v>
      </c>
    </row>
    <row r="134" spans="1:7" ht="17.25">
      <c r="A134" s="470">
        <f>A133*10/100</f>
        <v>0.10048000000000001</v>
      </c>
      <c r="B134" s="466" t="s">
        <v>22</v>
      </c>
      <c r="C134" s="466" t="s">
        <v>2434</v>
      </c>
      <c r="D134" s="461"/>
      <c r="E134" s="469">
        <v>4000</v>
      </c>
      <c r="F134" s="469">
        <f>A134*E134</f>
        <v>401.92000000000007</v>
      </c>
    </row>
    <row r="135" spans="1:7" ht="17.25">
      <c r="A135" s="469">
        <v>8</v>
      </c>
      <c r="B135" s="466" t="s">
        <v>12</v>
      </c>
      <c r="C135" s="466" t="s">
        <v>2416</v>
      </c>
      <c r="D135" s="461"/>
      <c r="E135" s="469">
        <v>960</v>
      </c>
      <c r="F135" s="469">
        <f>A135*E135</f>
        <v>7680</v>
      </c>
    </row>
    <row r="136" spans="1:7" ht="17.25">
      <c r="A136" s="466"/>
      <c r="B136" s="466"/>
      <c r="C136" s="466"/>
      <c r="D136" s="461"/>
      <c r="E136" s="466"/>
      <c r="F136" s="466"/>
    </row>
    <row r="137" spans="1:7" ht="17.25">
      <c r="A137" s="466"/>
      <c r="B137" s="466"/>
      <c r="C137" s="466" t="s">
        <v>2435</v>
      </c>
      <c r="D137" s="461"/>
      <c r="E137" s="466"/>
      <c r="F137" s="469">
        <f>SUM(F133:F136)</f>
        <v>14914.654464764801</v>
      </c>
    </row>
    <row r="138" spans="1:7" ht="17.25">
      <c r="A138" s="466"/>
      <c r="B138" s="466"/>
      <c r="C138" s="466" t="s">
        <v>2436</v>
      </c>
      <c r="D138" s="461"/>
      <c r="E138" s="466"/>
      <c r="F138" s="469">
        <f>F137/7</f>
        <v>2130.6649235378286</v>
      </c>
    </row>
    <row r="139" spans="1:7" ht="17.25">
      <c r="A139" s="466"/>
      <c r="B139" s="466"/>
      <c r="C139" s="466" t="s">
        <v>2437</v>
      </c>
      <c r="D139" s="461"/>
      <c r="E139" s="466"/>
      <c r="F139" s="466">
        <f>1000/8</f>
        <v>125</v>
      </c>
    </row>
    <row r="140" spans="1:7" ht="17.25">
      <c r="A140" s="466"/>
      <c r="B140" s="466"/>
      <c r="C140" s="466"/>
      <c r="D140" s="461"/>
      <c r="E140" s="466"/>
      <c r="F140" s="466"/>
    </row>
    <row r="141" spans="1:7" ht="17.25">
      <c r="A141" s="466"/>
      <c r="B141" s="466"/>
      <c r="C141" s="466" t="s">
        <v>2436</v>
      </c>
      <c r="D141" s="461"/>
      <c r="E141" s="466"/>
      <c r="F141" s="471">
        <f>SUM(F138:F140)</f>
        <v>2255.6649235378286</v>
      </c>
    </row>
    <row r="142" spans="1:7" ht="17.25">
      <c r="A142" s="466"/>
      <c r="B142" s="466"/>
      <c r="C142" s="466" t="s">
        <v>2438</v>
      </c>
      <c r="D142" s="466"/>
      <c r="E142" s="466"/>
      <c r="F142" s="466"/>
    </row>
    <row r="143" spans="1:7" ht="17.25">
      <c r="A143" s="466"/>
      <c r="B143" s="466"/>
      <c r="C143" s="466"/>
      <c r="D143" s="466"/>
      <c r="E143" s="466"/>
      <c r="F143" s="466"/>
    </row>
    <row r="144" spans="1:7" ht="17.25">
      <c r="A144" s="466"/>
      <c r="B144" s="466"/>
      <c r="C144" s="466"/>
      <c r="D144" s="466"/>
      <c r="E144" s="466"/>
      <c r="F144" s="466"/>
    </row>
    <row r="145" spans="1:7" ht="17.25">
      <c r="A145" s="472"/>
      <c r="B145" s="472"/>
      <c r="C145" s="1615" t="s">
        <v>2439</v>
      </c>
      <c r="D145" s="1615"/>
      <c r="E145" s="1615"/>
      <c r="F145" s="472"/>
      <c r="G145" s="473"/>
    </row>
    <row r="146" spans="1:7" ht="20.25">
      <c r="A146" s="474"/>
      <c r="B146" s="1614" t="s">
        <v>2474</v>
      </c>
      <c r="C146" s="1614"/>
      <c r="D146" s="1614"/>
      <c r="E146" s="1614"/>
      <c r="F146" s="1614"/>
      <c r="G146" s="465">
        <f>3.14*0.4*0.4/4</f>
        <v>0.12560000000000002</v>
      </c>
    </row>
    <row r="147" spans="1:7" ht="17.25">
      <c r="A147" s="466"/>
      <c r="B147" s="466"/>
      <c r="C147" s="475" t="s">
        <v>2475</v>
      </c>
      <c r="D147" s="466"/>
      <c r="E147" s="466"/>
      <c r="F147" s="466"/>
    </row>
    <row r="148" spans="1:7" ht="17.25">
      <c r="A148" s="468">
        <f>G146</f>
        <v>0.12560000000000002</v>
      </c>
      <c r="B148" s="466" t="s">
        <v>19</v>
      </c>
      <c r="C148" s="466" t="s">
        <v>2456</v>
      </c>
      <c r="D148" s="461"/>
      <c r="E148" s="469">
        <f>E88</f>
        <v>4390</v>
      </c>
      <c r="F148" s="469">
        <f>A148*E148</f>
        <v>551.38400000000013</v>
      </c>
    </row>
    <row r="149" spans="1:7" ht="17.25">
      <c r="A149" s="468">
        <f>+A148</f>
        <v>0.12560000000000002</v>
      </c>
      <c r="B149" s="466" t="s">
        <v>19</v>
      </c>
      <c r="C149" s="1609" t="s">
        <v>2476</v>
      </c>
      <c r="D149" s="1609"/>
      <c r="E149" s="469">
        <f>E89</f>
        <v>48.099999999999994</v>
      </c>
      <c r="F149" s="469">
        <f>E149*A149</f>
        <v>6.0413600000000001</v>
      </c>
    </row>
    <row r="150" spans="1:7" ht="17.25">
      <c r="A150" s="468">
        <f>+A149</f>
        <v>0.12560000000000002</v>
      </c>
      <c r="B150" s="466" t="s">
        <v>19</v>
      </c>
      <c r="C150" s="466" t="s">
        <v>2448</v>
      </c>
      <c r="D150" s="461"/>
      <c r="E150" s="469">
        <f>E90</f>
        <v>33.11</v>
      </c>
      <c r="F150" s="469">
        <f>A150*E150</f>
        <v>4.1586160000000003</v>
      </c>
    </row>
    <row r="151" spans="1:7" ht="17.25">
      <c r="A151" s="469"/>
      <c r="B151" s="466"/>
      <c r="C151" s="466"/>
      <c r="D151" s="461"/>
      <c r="E151" s="469"/>
      <c r="F151" s="469"/>
    </row>
    <row r="152" spans="1:7" ht="17.25">
      <c r="A152" s="466"/>
      <c r="B152" s="466"/>
      <c r="C152" s="466" t="s">
        <v>2436</v>
      </c>
      <c r="D152" s="461"/>
      <c r="E152" s="466"/>
      <c r="F152" s="471">
        <f>SUM(F148:F151)</f>
        <v>561.58397600000023</v>
      </c>
    </row>
    <row r="153" spans="1:7" ht="17.25">
      <c r="A153" s="461"/>
      <c r="B153" s="461"/>
      <c r="C153" s="461"/>
      <c r="D153" s="461"/>
      <c r="E153" s="461"/>
      <c r="F153" s="461"/>
    </row>
    <row r="154" spans="1:7" ht="17.25">
      <c r="B154" s="476"/>
      <c r="C154" s="1608" t="s">
        <v>2445</v>
      </c>
      <c r="D154" s="1608"/>
      <c r="E154" s="1608"/>
      <c r="F154" s="476"/>
    </row>
    <row r="155" spans="1:7" ht="17.25">
      <c r="A155" s="461"/>
      <c r="B155" s="461"/>
      <c r="C155" s="461"/>
      <c r="D155" s="461"/>
      <c r="E155" s="461"/>
      <c r="F155" s="461"/>
    </row>
    <row r="156" spans="1:7" ht="34.5">
      <c r="A156" s="477" t="s">
        <v>2446</v>
      </c>
      <c r="B156" s="477">
        <v>3</v>
      </c>
      <c r="C156" s="478" t="s">
        <v>2447</v>
      </c>
      <c r="E156" s="477">
        <f>E96</f>
        <v>10.199999999999999</v>
      </c>
      <c r="F156" s="477" t="s">
        <v>2019</v>
      </c>
      <c r="G156" s="477">
        <f>E156*B156</f>
        <v>30.599999999999998</v>
      </c>
    </row>
    <row r="157" spans="1:7" ht="17.25">
      <c r="A157" s="477" t="s">
        <v>2446</v>
      </c>
      <c r="B157" s="477">
        <v>3</v>
      </c>
      <c r="C157" s="479" t="s">
        <v>2448</v>
      </c>
      <c r="E157" s="477">
        <f>E97</f>
        <v>33.11</v>
      </c>
      <c r="F157" s="477" t="s">
        <v>2019</v>
      </c>
      <c r="G157" s="477">
        <f>E157*B157</f>
        <v>99.33</v>
      </c>
    </row>
    <row r="158" spans="1:7" ht="17.25">
      <c r="A158" s="477"/>
      <c r="B158" s="477"/>
      <c r="C158" s="480"/>
      <c r="E158" s="477"/>
      <c r="F158" s="477"/>
      <c r="G158" s="477"/>
    </row>
    <row r="159" spans="1:7" ht="17.25">
      <c r="A159" s="477"/>
      <c r="B159" s="477"/>
      <c r="C159" s="480" t="s">
        <v>2450</v>
      </c>
      <c r="E159" s="477"/>
      <c r="F159" s="477"/>
      <c r="G159" s="481">
        <f>SUM(G156:G158)</f>
        <v>129.93</v>
      </c>
    </row>
    <row r="160" spans="1:7" ht="17.25">
      <c r="A160" s="461"/>
      <c r="B160" s="461"/>
      <c r="C160" s="461"/>
      <c r="E160" s="461"/>
      <c r="F160" s="461"/>
      <c r="G160" s="461"/>
    </row>
    <row r="161" spans="1:7" ht="17.25">
      <c r="A161" s="461"/>
      <c r="B161" s="461"/>
      <c r="C161" s="461"/>
      <c r="E161" s="461"/>
      <c r="F161" s="461"/>
      <c r="G161" s="461"/>
    </row>
    <row r="162" spans="1:7">
      <c r="A162" s="488"/>
      <c r="B162" s="489"/>
      <c r="C162" s="490"/>
    </row>
    <row r="163" spans="1:7">
      <c r="B163" s="485"/>
      <c r="C163" s="490"/>
    </row>
    <row r="164" spans="1:7">
      <c r="B164" s="485"/>
      <c r="C164" s="490"/>
    </row>
    <row r="165" spans="1:7">
      <c r="B165" s="485"/>
      <c r="C165" s="491"/>
    </row>
    <row r="166" spans="1:7">
      <c r="A166" s="492"/>
      <c r="B166" s="489"/>
      <c r="C166" s="490"/>
    </row>
    <row r="167" spans="1:7">
      <c r="A167" s="492"/>
      <c r="B167" s="489"/>
      <c r="C167" s="490"/>
    </row>
    <row r="168" spans="1:7">
      <c r="A168" s="492"/>
      <c r="B168" s="489"/>
      <c r="C168" s="490"/>
    </row>
    <row r="169" spans="1:7">
      <c r="A169" s="487"/>
      <c r="B169" s="493"/>
      <c r="C169" s="494"/>
    </row>
    <row r="170" spans="1:7">
      <c r="A170" s="492"/>
      <c r="B170" s="489"/>
      <c r="C170" s="490"/>
    </row>
    <row r="171" spans="1:7">
      <c r="A171" s="492"/>
      <c r="B171" s="489"/>
      <c r="C171" s="490"/>
    </row>
    <row r="172" spans="1:7">
      <c r="B172" s="489"/>
      <c r="C172" s="490"/>
    </row>
    <row r="173" spans="1:7">
      <c r="C173" s="490"/>
    </row>
    <row r="175" spans="1:7">
      <c r="C175" s="490"/>
      <c r="F175" s="473"/>
    </row>
    <row r="177" spans="1:6">
      <c r="B177" s="485"/>
      <c r="E177" s="486"/>
      <c r="F177" s="491"/>
    </row>
    <row r="178" spans="1:6">
      <c r="B178" s="485"/>
      <c r="C178" s="495"/>
      <c r="D178" s="473"/>
      <c r="E178" s="496"/>
      <c r="F178" s="487"/>
    </row>
    <row r="179" spans="1:6">
      <c r="B179" s="485"/>
      <c r="C179" s="490"/>
      <c r="E179" s="486"/>
      <c r="F179" s="491"/>
    </row>
    <row r="184" spans="1:6">
      <c r="A184" s="497"/>
      <c r="B184" s="489"/>
      <c r="C184" s="494"/>
      <c r="E184" s="486"/>
    </row>
    <row r="185" spans="1:6">
      <c r="A185" s="465"/>
      <c r="B185" s="485"/>
      <c r="C185" s="490"/>
      <c r="E185" s="486"/>
    </row>
    <row r="186" spans="1:6">
      <c r="A186" s="465"/>
      <c r="B186" s="485"/>
      <c r="C186" s="490"/>
      <c r="E186" s="486"/>
    </row>
    <row r="187" spans="1:6">
      <c r="A187" s="465"/>
      <c r="B187" s="485"/>
      <c r="C187" s="490"/>
      <c r="E187" s="486"/>
    </row>
    <row r="188" spans="1:6">
      <c r="A188" s="465"/>
      <c r="B188" s="485"/>
      <c r="C188" s="490"/>
      <c r="E188" s="486"/>
    </row>
    <row r="189" spans="1:6">
      <c r="A189" s="465"/>
      <c r="B189" s="485"/>
      <c r="C189" s="490"/>
      <c r="E189" s="486"/>
    </row>
    <row r="190" spans="1:6">
      <c r="A190" s="465"/>
      <c r="B190" s="485"/>
      <c r="C190" s="490"/>
      <c r="E190" s="486"/>
    </row>
    <row r="191" spans="1:6">
      <c r="A191" s="465"/>
      <c r="B191" s="485"/>
      <c r="C191" s="491"/>
      <c r="D191" s="491"/>
      <c r="E191" s="486"/>
    </row>
    <row r="192" spans="1:6">
      <c r="A192" s="465"/>
      <c r="B192" s="489"/>
      <c r="C192" s="490"/>
      <c r="E192" s="486"/>
    </row>
    <row r="193" spans="1:6">
      <c r="A193" s="465"/>
      <c r="B193" s="485"/>
      <c r="C193" s="490"/>
      <c r="E193" s="486"/>
    </row>
    <row r="194" spans="1:6">
      <c r="A194" s="498"/>
      <c r="B194" s="489"/>
      <c r="C194" s="490"/>
      <c r="D194" s="499"/>
      <c r="E194" s="490"/>
      <c r="F194" s="492"/>
    </row>
    <row r="195" spans="1:6">
      <c r="A195" s="498"/>
      <c r="B195" s="489"/>
      <c r="C195" s="490"/>
      <c r="D195" s="499"/>
      <c r="E195" s="490"/>
      <c r="F195" s="492"/>
    </row>
    <row r="196" spans="1:6">
      <c r="A196" s="498"/>
      <c r="B196" s="489"/>
      <c r="C196" s="490"/>
      <c r="D196" s="499"/>
      <c r="E196" s="490"/>
      <c r="F196" s="492"/>
    </row>
    <row r="197" spans="1:6">
      <c r="A197" s="465"/>
      <c r="B197" s="489"/>
      <c r="C197" s="490"/>
      <c r="D197" s="499"/>
      <c r="E197" s="490"/>
      <c r="F197" s="492"/>
    </row>
    <row r="198" spans="1:6">
      <c r="A198" s="465"/>
      <c r="B198" s="485"/>
      <c r="C198" s="490"/>
      <c r="E198" s="486"/>
      <c r="F198" s="491"/>
    </row>
    <row r="199" spans="1:6">
      <c r="A199" s="465"/>
      <c r="B199" s="485"/>
      <c r="C199" s="500"/>
      <c r="E199" s="486"/>
      <c r="F199" s="492"/>
    </row>
    <row r="200" spans="1:6">
      <c r="A200" s="465"/>
      <c r="B200" s="485"/>
      <c r="E200" s="486"/>
      <c r="F200" s="491"/>
    </row>
    <row r="201" spans="1:6">
      <c r="A201" s="465"/>
      <c r="B201" s="485"/>
      <c r="C201" s="500"/>
      <c r="E201" s="486"/>
      <c r="F201" s="492"/>
    </row>
    <row r="202" spans="1:6">
      <c r="A202" s="465"/>
      <c r="B202" s="485"/>
      <c r="C202" s="490"/>
      <c r="D202" s="492"/>
      <c r="E202" s="490"/>
      <c r="F202" s="487"/>
    </row>
    <row r="203" spans="1:6">
      <c r="A203" s="465"/>
      <c r="B203" s="485"/>
      <c r="C203" s="490"/>
      <c r="D203" s="492"/>
      <c r="E203" s="490"/>
      <c r="F203" s="487"/>
    </row>
    <row r="204" spans="1:6">
      <c r="A204" s="465"/>
      <c r="B204" s="485"/>
      <c r="C204" s="490"/>
      <c r="D204" s="492"/>
      <c r="E204" s="490"/>
      <c r="F204" s="487"/>
    </row>
    <row r="205" spans="1:6">
      <c r="A205" s="465"/>
      <c r="B205" s="485"/>
      <c r="C205" s="490"/>
      <c r="D205" s="492"/>
      <c r="E205" s="490"/>
      <c r="F205" s="487"/>
    </row>
    <row r="206" spans="1:6">
      <c r="A206" s="465"/>
      <c r="B206" s="485"/>
      <c r="C206" s="490"/>
      <c r="D206" s="492"/>
      <c r="E206" s="490"/>
      <c r="F206" s="487"/>
    </row>
    <row r="207" spans="1:6">
      <c r="A207" s="497"/>
      <c r="B207" s="489"/>
      <c r="C207" s="490"/>
      <c r="E207" s="486"/>
      <c r="F207" s="487"/>
    </row>
    <row r="208" spans="1:6">
      <c r="A208" s="465"/>
    </row>
    <row r="209" spans="1:13">
      <c r="A209" s="465"/>
    </row>
    <row r="210" spans="1:13">
      <c r="A210" s="465"/>
    </row>
    <row r="212" spans="1:13">
      <c r="J212" s="473"/>
    </row>
    <row r="213" spans="1:13">
      <c r="J213" s="473"/>
    </row>
    <row r="217" spans="1:13">
      <c r="D217" s="501"/>
    </row>
    <row r="218" spans="1:13">
      <c r="D218" s="501"/>
    </row>
    <row r="219" spans="1:13">
      <c r="M219" s="473"/>
    </row>
    <row r="221" spans="1:13">
      <c r="C221" s="502"/>
      <c r="E221" s="502"/>
      <c r="F221" s="502"/>
      <c r="J221" s="502"/>
      <c r="L221" s="503"/>
      <c r="M221" s="503"/>
    </row>
    <row r="222" spans="1:13">
      <c r="C222" s="502"/>
      <c r="D222" s="473"/>
      <c r="E222" s="504"/>
      <c r="F222" s="504"/>
      <c r="J222" s="504"/>
      <c r="K222" s="473"/>
      <c r="L222" s="473"/>
      <c r="M222" s="473"/>
    </row>
    <row r="223" spans="1:13">
      <c r="C223" s="504"/>
      <c r="E223" s="502"/>
      <c r="F223" s="502"/>
      <c r="J223" s="502"/>
      <c r="L223" s="502"/>
      <c r="M223" s="502"/>
    </row>
    <row r="224" spans="1:13">
      <c r="C224" s="502"/>
      <c r="E224" s="502"/>
      <c r="F224" s="502"/>
      <c r="L224" s="502"/>
      <c r="M224" s="502"/>
    </row>
    <row r="225" spans="3:13">
      <c r="C225" s="502"/>
      <c r="J225" s="502"/>
      <c r="L225" s="473"/>
      <c r="M225" s="473"/>
    </row>
    <row r="226" spans="3:13">
      <c r="C226" s="502"/>
      <c r="D226" s="502"/>
      <c r="E226" s="502"/>
      <c r="F226" s="502"/>
    </row>
  </sheetData>
  <mergeCells count="30">
    <mergeCell ref="B7:F7"/>
    <mergeCell ref="A1:F1"/>
    <mergeCell ref="A2:F2"/>
    <mergeCell ref="A3:F3"/>
    <mergeCell ref="A4:E4"/>
    <mergeCell ref="C6:E6"/>
    <mergeCell ref="B86:F86"/>
    <mergeCell ref="C21:E21"/>
    <mergeCell ref="B22:F22"/>
    <mergeCell ref="C25:D25"/>
    <mergeCell ref="C30:E30"/>
    <mergeCell ref="A65:F65"/>
    <mergeCell ref="A66:F66"/>
    <mergeCell ref="A67:F67"/>
    <mergeCell ref="A68:E68"/>
    <mergeCell ref="C70:E70"/>
    <mergeCell ref="B71:F71"/>
    <mergeCell ref="C85:E85"/>
    <mergeCell ref="C154:E154"/>
    <mergeCell ref="C89:D89"/>
    <mergeCell ref="C94:E94"/>
    <mergeCell ref="A125:F125"/>
    <mergeCell ref="A126:F126"/>
    <mergeCell ref="A127:F127"/>
    <mergeCell ref="A128:E128"/>
    <mergeCell ref="C130:E130"/>
    <mergeCell ref="B131:F131"/>
    <mergeCell ref="C145:E145"/>
    <mergeCell ref="B146:F146"/>
    <mergeCell ref="C149:D149"/>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syncVertical="1" syncRef="A1" transitionEvaluation="1" codeName="Sheet25"/>
  <dimension ref="A1:AK8291"/>
  <sheetViews>
    <sheetView view="pageBreakPreview" topLeftCell="F2834" zoomScale="75" zoomScaleNormal="60" workbookViewId="0">
      <selection activeCell="H2859" sqref="H2859"/>
    </sheetView>
  </sheetViews>
  <sheetFormatPr defaultColWidth="9.5703125" defaultRowHeight="15.75"/>
  <cols>
    <col min="1" max="1" width="10" style="511" hidden="1" customWidth="1"/>
    <col min="2" max="2" width="58.85546875" style="511" hidden="1" customWidth="1"/>
    <col min="3" max="3" width="15.140625" style="511" hidden="1" customWidth="1"/>
    <col min="4" max="4" width="12.5703125" style="511" hidden="1" customWidth="1"/>
    <col min="5" max="5" width="11.85546875" style="511" hidden="1" customWidth="1"/>
    <col min="6" max="6" width="11.42578125" style="511" customWidth="1"/>
    <col min="7" max="7" width="8.42578125" style="512" customWidth="1"/>
    <col min="8" max="8" width="56.28515625" style="511" customWidth="1"/>
    <col min="9" max="9" width="11.85546875" style="511" customWidth="1"/>
    <col min="10" max="10" width="11.28515625" style="513" customWidth="1"/>
    <col min="11" max="11" width="14.5703125" style="834" customWidth="1"/>
    <col min="12" max="13" width="12.5703125" style="511" customWidth="1"/>
    <col min="14" max="14" width="11.5703125" style="511" bestFit="1" customWidth="1"/>
    <col min="15" max="15" width="42.140625" style="511" customWidth="1"/>
    <col min="16" max="16" width="12.5703125" style="511" customWidth="1"/>
    <col min="17" max="17" width="10" style="511" customWidth="1"/>
    <col min="18" max="18" width="13.85546875" style="511" customWidth="1"/>
    <col min="19" max="19" width="9.5703125" style="511"/>
    <col min="20" max="20" width="10" style="511" customWidth="1"/>
    <col min="21" max="21" width="64" style="511" customWidth="1"/>
    <col min="22" max="22" width="10" style="511" hidden="1" customWidth="1"/>
    <col min="23" max="23" width="21.5703125" style="511" hidden="1" customWidth="1"/>
    <col min="24" max="24" width="11.7109375" style="511" customWidth="1"/>
    <col min="25" max="25" width="14.42578125" style="511" bestFit="1" customWidth="1"/>
    <col min="26" max="26" width="12.42578125" style="511" customWidth="1"/>
    <col min="27" max="27" width="11.140625" style="511" customWidth="1"/>
    <col min="28" max="28" width="12.42578125" style="511" customWidth="1"/>
    <col min="29" max="29" width="13.7109375" style="511" customWidth="1"/>
    <col min="30" max="30" width="29.85546875" style="511" customWidth="1"/>
    <col min="31" max="31" width="11.28515625" style="511" customWidth="1"/>
    <col min="32" max="32" width="10.42578125" style="511" bestFit="1" customWidth="1"/>
    <col min="33" max="33" width="11.5703125" style="511" customWidth="1"/>
    <col min="34" max="34" width="11.28515625" style="511" customWidth="1"/>
    <col min="35" max="256" width="9.5703125" style="511"/>
    <col min="257" max="261" width="0" style="511" hidden="1" customWidth="1"/>
    <col min="262" max="262" width="11.42578125" style="511" customWidth="1"/>
    <col min="263" max="263" width="8.42578125" style="511" customWidth="1"/>
    <col min="264" max="264" width="56.28515625" style="511" customWidth="1"/>
    <col min="265" max="265" width="11.85546875" style="511" customWidth="1"/>
    <col min="266" max="266" width="11.28515625" style="511" customWidth="1"/>
    <col min="267" max="267" width="14.5703125" style="511" customWidth="1"/>
    <col min="268" max="269" width="12.5703125" style="511" customWidth="1"/>
    <col min="270" max="270" width="11.5703125" style="511" bestFit="1" customWidth="1"/>
    <col min="271" max="271" width="42.140625" style="511" customWidth="1"/>
    <col min="272" max="272" width="12.5703125" style="511" customWidth="1"/>
    <col min="273" max="273" width="10" style="511" customWidth="1"/>
    <col min="274" max="274" width="13.85546875" style="511" customWidth="1"/>
    <col min="275" max="275" width="9.5703125" style="511"/>
    <col min="276" max="276" width="10" style="511" customWidth="1"/>
    <col min="277" max="277" width="64" style="511" customWidth="1"/>
    <col min="278" max="279" width="0" style="511" hidden="1" customWidth="1"/>
    <col min="280" max="280" width="11.7109375" style="511" customWidth="1"/>
    <col min="281" max="281" width="14.42578125" style="511" bestFit="1" customWidth="1"/>
    <col min="282" max="282" width="12.42578125" style="511" customWidth="1"/>
    <col min="283" max="283" width="11.140625" style="511" customWidth="1"/>
    <col min="284" max="284" width="12.42578125" style="511" customWidth="1"/>
    <col min="285" max="285" width="13.7109375" style="511" customWidth="1"/>
    <col min="286" max="286" width="29.85546875" style="511" customWidth="1"/>
    <col min="287" max="287" width="11.28515625" style="511" customWidth="1"/>
    <col min="288" max="288" width="10.42578125" style="511" bestFit="1" customWidth="1"/>
    <col min="289" max="289" width="11.5703125" style="511" customWidth="1"/>
    <col min="290" max="290" width="11.28515625" style="511" customWidth="1"/>
    <col min="291" max="512" width="9.5703125" style="511"/>
    <col min="513" max="517" width="0" style="511" hidden="1" customWidth="1"/>
    <col min="518" max="518" width="11.42578125" style="511" customWidth="1"/>
    <col min="519" max="519" width="8.42578125" style="511" customWidth="1"/>
    <col min="520" max="520" width="56.28515625" style="511" customWidth="1"/>
    <col min="521" max="521" width="11.85546875" style="511" customWidth="1"/>
    <col min="522" max="522" width="11.28515625" style="511" customWidth="1"/>
    <col min="523" max="523" width="14.5703125" style="511" customWidth="1"/>
    <col min="524" max="525" width="12.5703125" style="511" customWidth="1"/>
    <col min="526" max="526" width="11.5703125" style="511" bestFit="1" customWidth="1"/>
    <col min="527" max="527" width="42.140625" style="511" customWidth="1"/>
    <col min="528" max="528" width="12.5703125" style="511" customWidth="1"/>
    <col min="529" max="529" width="10" style="511" customWidth="1"/>
    <col min="530" max="530" width="13.85546875" style="511" customWidth="1"/>
    <col min="531" max="531" width="9.5703125" style="511"/>
    <col min="532" max="532" width="10" style="511" customWidth="1"/>
    <col min="533" max="533" width="64" style="511" customWidth="1"/>
    <col min="534" max="535" width="0" style="511" hidden="1" customWidth="1"/>
    <col min="536" max="536" width="11.7109375" style="511" customWidth="1"/>
    <col min="537" max="537" width="14.42578125" style="511" bestFit="1" customWidth="1"/>
    <col min="538" max="538" width="12.42578125" style="511" customWidth="1"/>
    <col min="539" max="539" width="11.140625" style="511" customWidth="1"/>
    <col min="540" max="540" width="12.42578125" style="511" customWidth="1"/>
    <col min="541" max="541" width="13.7109375" style="511" customWidth="1"/>
    <col min="542" max="542" width="29.85546875" style="511" customWidth="1"/>
    <col min="543" max="543" width="11.28515625" style="511" customWidth="1"/>
    <col min="544" max="544" width="10.42578125" style="511" bestFit="1" customWidth="1"/>
    <col min="545" max="545" width="11.5703125" style="511" customWidth="1"/>
    <col min="546" max="546" width="11.28515625" style="511" customWidth="1"/>
    <col min="547" max="768" width="9.5703125" style="511"/>
    <col min="769" max="773" width="0" style="511" hidden="1" customWidth="1"/>
    <col min="774" max="774" width="11.42578125" style="511" customWidth="1"/>
    <col min="775" max="775" width="8.42578125" style="511" customWidth="1"/>
    <col min="776" max="776" width="56.28515625" style="511" customWidth="1"/>
    <col min="777" max="777" width="11.85546875" style="511" customWidth="1"/>
    <col min="778" max="778" width="11.28515625" style="511" customWidth="1"/>
    <col min="779" max="779" width="14.5703125" style="511" customWidth="1"/>
    <col min="780" max="781" width="12.5703125" style="511" customWidth="1"/>
    <col min="782" max="782" width="11.5703125" style="511" bestFit="1" customWidth="1"/>
    <col min="783" max="783" width="42.140625" style="511" customWidth="1"/>
    <col min="784" max="784" width="12.5703125" style="511" customWidth="1"/>
    <col min="785" max="785" width="10" style="511" customWidth="1"/>
    <col min="786" max="786" width="13.85546875" style="511" customWidth="1"/>
    <col min="787" max="787" width="9.5703125" style="511"/>
    <col min="788" max="788" width="10" style="511" customWidth="1"/>
    <col min="789" max="789" width="64" style="511" customWidth="1"/>
    <col min="790" max="791" width="0" style="511" hidden="1" customWidth="1"/>
    <col min="792" max="792" width="11.7109375" style="511" customWidth="1"/>
    <col min="793" max="793" width="14.42578125" style="511" bestFit="1" customWidth="1"/>
    <col min="794" max="794" width="12.42578125" style="511" customWidth="1"/>
    <col min="795" max="795" width="11.140625" style="511" customWidth="1"/>
    <col min="796" max="796" width="12.42578125" style="511" customWidth="1"/>
    <col min="797" max="797" width="13.7109375" style="511" customWidth="1"/>
    <col min="798" max="798" width="29.85546875" style="511" customWidth="1"/>
    <col min="799" max="799" width="11.28515625" style="511" customWidth="1"/>
    <col min="800" max="800" width="10.42578125" style="511" bestFit="1" customWidth="1"/>
    <col min="801" max="801" width="11.5703125" style="511" customWidth="1"/>
    <col min="802" max="802" width="11.28515625" style="511" customWidth="1"/>
    <col min="803" max="1024" width="9.5703125" style="511"/>
    <col min="1025" max="1029" width="0" style="511" hidden="1" customWidth="1"/>
    <col min="1030" max="1030" width="11.42578125" style="511" customWidth="1"/>
    <col min="1031" max="1031" width="8.42578125" style="511" customWidth="1"/>
    <col min="1032" max="1032" width="56.28515625" style="511" customWidth="1"/>
    <col min="1033" max="1033" width="11.85546875" style="511" customWidth="1"/>
    <col min="1034" max="1034" width="11.28515625" style="511" customWidth="1"/>
    <col min="1035" max="1035" width="14.5703125" style="511" customWidth="1"/>
    <col min="1036" max="1037" width="12.5703125" style="511" customWidth="1"/>
    <col min="1038" max="1038" width="11.5703125" style="511" bestFit="1" customWidth="1"/>
    <col min="1039" max="1039" width="42.140625" style="511" customWidth="1"/>
    <col min="1040" max="1040" width="12.5703125" style="511" customWidth="1"/>
    <col min="1041" max="1041" width="10" style="511" customWidth="1"/>
    <col min="1042" max="1042" width="13.85546875" style="511" customWidth="1"/>
    <col min="1043" max="1043" width="9.5703125" style="511"/>
    <col min="1044" max="1044" width="10" style="511" customWidth="1"/>
    <col min="1045" max="1045" width="64" style="511" customWidth="1"/>
    <col min="1046" max="1047" width="0" style="511" hidden="1" customWidth="1"/>
    <col min="1048" max="1048" width="11.7109375" style="511" customWidth="1"/>
    <col min="1049" max="1049" width="14.42578125" style="511" bestFit="1" customWidth="1"/>
    <col min="1050" max="1050" width="12.42578125" style="511" customWidth="1"/>
    <col min="1051" max="1051" width="11.140625" style="511" customWidth="1"/>
    <col min="1052" max="1052" width="12.42578125" style="511" customWidth="1"/>
    <col min="1053" max="1053" width="13.7109375" style="511" customWidth="1"/>
    <col min="1054" max="1054" width="29.85546875" style="511" customWidth="1"/>
    <col min="1055" max="1055" width="11.28515625" style="511" customWidth="1"/>
    <col min="1056" max="1056" width="10.42578125" style="511" bestFit="1" customWidth="1"/>
    <col min="1057" max="1057" width="11.5703125" style="511" customWidth="1"/>
    <col min="1058" max="1058" width="11.28515625" style="511" customWidth="1"/>
    <col min="1059" max="1280" width="9.5703125" style="511"/>
    <col min="1281" max="1285" width="0" style="511" hidden="1" customWidth="1"/>
    <col min="1286" max="1286" width="11.42578125" style="511" customWidth="1"/>
    <col min="1287" max="1287" width="8.42578125" style="511" customWidth="1"/>
    <col min="1288" max="1288" width="56.28515625" style="511" customWidth="1"/>
    <col min="1289" max="1289" width="11.85546875" style="511" customWidth="1"/>
    <col min="1290" max="1290" width="11.28515625" style="511" customWidth="1"/>
    <col min="1291" max="1291" width="14.5703125" style="511" customWidth="1"/>
    <col min="1292" max="1293" width="12.5703125" style="511" customWidth="1"/>
    <col min="1294" max="1294" width="11.5703125" style="511" bestFit="1" customWidth="1"/>
    <col min="1295" max="1295" width="42.140625" style="511" customWidth="1"/>
    <col min="1296" max="1296" width="12.5703125" style="511" customWidth="1"/>
    <col min="1297" max="1297" width="10" style="511" customWidth="1"/>
    <col min="1298" max="1298" width="13.85546875" style="511" customWidth="1"/>
    <col min="1299" max="1299" width="9.5703125" style="511"/>
    <col min="1300" max="1300" width="10" style="511" customWidth="1"/>
    <col min="1301" max="1301" width="64" style="511" customWidth="1"/>
    <col min="1302" max="1303" width="0" style="511" hidden="1" customWidth="1"/>
    <col min="1304" max="1304" width="11.7109375" style="511" customWidth="1"/>
    <col min="1305" max="1305" width="14.42578125" style="511" bestFit="1" customWidth="1"/>
    <col min="1306" max="1306" width="12.42578125" style="511" customWidth="1"/>
    <col min="1307" max="1307" width="11.140625" style="511" customWidth="1"/>
    <col min="1308" max="1308" width="12.42578125" style="511" customWidth="1"/>
    <col min="1309" max="1309" width="13.7109375" style="511" customWidth="1"/>
    <col min="1310" max="1310" width="29.85546875" style="511" customWidth="1"/>
    <col min="1311" max="1311" width="11.28515625" style="511" customWidth="1"/>
    <col min="1312" max="1312" width="10.42578125" style="511" bestFit="1" customWidth="1"/>
    <col min="1313" max="1313" width="11.5703125" style="511" customWidth="1"/>
    <col min="1314" max="1314" width="11.28515625" style="511" customWidth="1"/>
    <col min="1315" max="1536" width="9.5703125" style="511"/>
    <col min="1537" max="1541" width="0" style="511" hidden="1" customWidth="1"/>
    <col min="1542" max="1542" width="11.42578125" style="511" customWidth="1"/>
    <col min="1543" max="1543" width="8.42578125" style="511" customWidth="1"/>
    <col min="1544" max="1544" width="56.28515625" style="511" customWidth="1"/>
    <col min="1545" max="1545" width="11.85546875" style="511" customWidth="1"/>
    <col min="1546" max="1546" width="11.28515625" style="511" customWidth="1"/>
    <col min="1547" max="1547" width="14.5703125" style="511" customWidth="1"/>
    <col min="1548" max="1549" width="12.5703125" style="511" customWidth="1"/>
    <col min="1550" max="1550" width="11.5703125" style="511" bestFit="1" customWidth="1"/>
    <col min="1551" max="1551" width="42.140625" style="511" customWidth="1"/>
    <col min="1552" max="1552" width="12.5703125" style="511" customWidth="1"/>
    <col min="1553" max="1553" width="10" style="511" customWidth="1"/>
    <col min="1554" max="1554" width="13.85546875" style="511" customWidth="1"/>
    <col min="1555" max="1555" width="9.5703125" style="511"/>
    <col min="1556" max="1556" width="10" style="511" customWidth="1"/>
    <col min="1557" max="1557" width="64" style="511" customWidth="1"/>
    <col min="1558" max="1559" width="0" style="511" hidden="1" customWidth="1"/>
    <col min="1560" max="1560" width="11.7109375" style="511" customWidth="1"/>
    <col min="1561" max="1561" width="14.42578125" style="511" bestFit="1" customWidth="1"/>
    <col min="1562" max="1562" width="12.42578125" style="511" customWidth="1"/>
    <col min="1563" max="1563" width="11.140625" style="511" customWidth="1"/>
    <col min="1564" max="1564" width="12.42578125" style="511" customWidth="1"/>
    <col min="1565" max="1565" width="13.7109375" style="511" customWidth="1"/>
    <col min="1566" max="1566" width="29.85546875" style="511" customWidth="1"/>
    <col min="1567" max="1567" width="11.28515625" style="511" customWidth="1"/>
    <col min="1568" max="1568" width="10.42578125" style="511" bestFit="1" customWidth="1"/>
    <col min="1569" max="1569" width="11.5703125" style="511" customWidth="1"/>
    <col min="1570" max="1570" width="11.28515625" style="511" customWidth="1"/>
    <col min="1571" max="1792" width="9.5703125" style="511"/>
    <col min="1793" max="1797" width="0" style="511" hidden="1" customWidth="1"/>
    <col min="1798" max="1798" width="11.42578125" style="511" customWidth="1"/>
    <col min="1799" max="1799" width="8.42578125" style="511" customWidth="1"/>
    <col min="1800" max="1800" width="56.28515625" style="511" customWidth="1"/>
    <col min="1801" max="1801" width="11.85546875" style="511" customWidth="1"/>
    <col min="1802" max="1802" width="11.28515625" style="511" customWidth="1"/>
    <col min="1803" max="1803" width="14.5703125" style="511" customWidth="1"/>
    <col min="1804" max="1805" width="12.5703125" style="511" customWidth="1"/>
    <col min="1806" max="1806" width="11.5703125" style="511" bestFit="1" customWidth="1"/>
    <col min="1807" max="1807" width="42.140625" style="511" customWidth="1"/>
    <col min="1808" max="1808" width="12.5703125" style="511" customWidth="1"/>
    <col min="1809" max="1809" width="10" style="511" customWidth="1"/>
    <col min="1810" max="1810" width="13.85546875" style="511" customWidth="1"/>
    <col min="1811" max="1811" width="9.5703125" style="511"/>
    <col min="1812" max="1812" width="10" style="511" customWidth="1"/>
    <col min="1813" max="1813" width="64" style="511" customWidth="1"/>
    <col min="1814" max="1815" width="0" style="511" hidden="1" customWidth="1"/>
    <col min="1816" max="1816" width="11.7109375" style="511" customWidth="1"/>
    <col min="1817" max="1817" width="14.42578125" style="511" bestFit="1" customWidth="1"/>
    <col min="1818" max="1818" width="12.42578125" style="511" customWidth="1"/>
    <col min="1819" max="1819" width="11.140625" style="511" customWidth="1"/>
    <col min="1820" max="1820" width="12.42578125" style="511" customWidth="1"/>
    <col min="1821" max="1821" width="13.7109375" style="511" customWidth="1"/>
    <col min="1822" max="1822" width="29.85546875" style="511" customWidth="1"/>
    <col min="1823" max="1823" width="11.28515625" style="511" customWidth="1"/>
    <col min="1824" max="1824" width="10.42578125" style="511" bestFit="1" customWidth="1"/>
    <col min="1825" max="1825" width="11.5703125" style="511" customWidth="1"/>
    <col min="1826" max="1826" width="11.28515625" style="511" customWidth="1"/>
    <col min="1827" max="2048" width="9.5703125" style="511"/>
    <col min="2049" max="2053" width="0" style="511" hidden="1" customWidth="1"/>
    <col min="2054" max="2054" width="11.42578125" style="511" customWidth="1"/>
    <col min="2055" max="2055" width="8.42578125" style="511" customWidth="1"/>
    <col min="2056" max="2056" width="56.28515625" style="511" customWidth="1"/>
    <col min="2057" max="2057" width="11.85546875" style="511" customWidth="1"/>
    <col min="2058" max="2058" width="11.28515625" style="511" customWidth="1"/>
    <col min="2059" max="2059" width="14.5703125" style="511" customWidth="1"/>
    <col min="2060" max="2061" width="12.5703125" style="511" customWidth="1"/>
    <col min="2062" max="2062" width="11.5703125" style="511" bestFit="1" customWidth="1"/>
    <col min="2063" max="2063" width="42.140625" style="511" customWidth="1"/>
    <col min="2064" max="2064" width="12.5703125" style="511" customWidth="1"/>
    <col min="2065" max="2065" width="10" style="511" customWidth="1"/>
    <col min="2066" max="2066" width="13.85546875" style="511" customWidth="1"/>
    <col min="2067" max="2067" width="9.5703125" style="511"/>
    <col min="2068" max="2068" width="10" style="511" customWidth="1"/>
    <col min="2069" max="2069" width="64" style="511" customWidth="1"/>
    <col min="2070" max="2071" width="0" style="511" hidden="1" customWidth="1"/>
    <col min="2072" max="2072" width="11.7109375" style="511" customWidth="1"/>
    <col min="2073" max="2073" width="14.42578125" style="511" bestFit="1" customWidth="1"/>
    <col min="2074" max="2074" width="12.42578125" style="511" customWidth="1"/>
    <col min="2075" max="2075" width="11.140625" style="511" customWidth="1"/>
    <col min="2076" max="2076" width="12.42578125" style="511" customWidth="1"/>
    <col min="2077" max="2077" width="13.7109375" style="511" customWidth="1"/>
    <col min="2078" max="2078" width="29.85546875" style="511" customWidth="1"/>
    <col min="2079" max="2079" width="11.28515625" style="511" customWidth="1"/>
    <col min="2080" max="2080" width="10.42578125" style="511" bestFit="1" customWidth="1"/>
    <col min="2081" max="2081" width="11.5703125" style="511" customWidth="1"/>
    <col min="2082" max="2082" width="11.28515625" style="511" customWidth="1"/>
    <col min="2083" max="2304" width="9.5703125" style="511"/>
    <col min="2305" max="2309" width="0" style="511" hidden="1" customWidth="1"/>
    <col min="2310" max="2310" width="11.42578125" style="511" customWidth="1"/>
    <col min="2311" max="2311" width="8.42578125" style="511" customWidth="1"/>
    <col min="2312" max="2312" width="56.28515625" style="511" customWidth="1"/>
    <col min="2313" max="2313" width="11.85546875" style="511" customWidth="1"/>
    <col min="2314" max="2314" width="11.28515625" style="511" customWidth="1"/>
    <col min="2315" max="2315" width="14.5703125" style="511" customWidth="1"/>
    <col min="2316" max="2317" width="12.5703125" style="511" customWidth="1"/>
    <col min="2318" max="2318" width="11.5703125" style="511" bestFit="1" customWidth="1"/>
    <col min="2319" max="2319" width="42.140625" style="511" customWidth="1"/>
    <col min="2320" max="2320" width="12.5703125" style="511" customWidth="1"/>
    <col min="2321" max="2321" width="10" style="511" customWidth="1"/>
    <col min="2322" max="2322" width="13.85546875" style="511" customWidth="1"/>
    <col min="2323" max="2323" width="9.5703125" style="511"/>
    <col min="2324" max="2324" width="10" style="511" customWidth="1"/>
    <col min="2325" max="2325" width="64" style="511" customWidth="1"/>
    <col min="2326" max="2327" width="0" style="511" hidden="1" customWidth="1"/>
    <col min="2328" max="2328" width="11.7109375" style="511" customWidth="1"/>
    <col min="2329" max="2329" width="14.42578125" style="511" bestFit="1" customWidth="1"/>
    <col min="2330" max="2330" width="12.42578125" style="511" customWidth="1"/>
    <col min="2331" max="2331" width="11.140625" style="511" customWidth="1"/>
    <col min="2332" max="2332" width="12.42578125" style="511" customWidth="1"/>
    <col min="2333" max="2333" width="13.7109375" style="511" customWidth="1"/>
    <col min="2334" max="2334" width="29.85546875" style="511" customWidth="1"/>
    <col min="2335" max="2335" width="11.28515625" style="511" customWidth="1"/>
    <col min="2336" max="2336" width="10.42578125" style="511" bestFit="1" customWidth="1"/>
    <col min="2337" max="2337" width="11.5703125" style="511" customWidth="1"/>
    <col min="2338" max="2338" width="11.28515625" style="511" customWidth="1"/>
    <col min="2339" max="2560" width="9.5703125" style="511"/>
    <col min="2561" max="2565" width="0" style="511" hidden="1" customWidth="1"/>
    <col min="2566" max="2566" width="11.42578125" style="511" customWidth="1"/>
    <col min="2567" max="2567" width="8.42578125" style="511" customWidth="1"/>
    <col min="2568" max="2568" width="56.28515625" style="511" customWidth="1"/>
    <col min="2569" max="2569" width="11.85546875" style="511" customWidth="1"/>
    <col min="2570" max="2570" width="11.28515625" style="511" customWidth="1"/>
    <col min="2571" max="2571" width="14.5703125" style="511" customWidth="1"/>
    <col min="2572" max="2573" width="12.5703125" style="511" customWidth="1"/>
    <col min="2574" max="2574" width="11.5703125" style="511" bestFit="1" customWidth="1"/>
    <col min="2575" max="2575" width="42.140625" style="511" customWidth="1"/>
    <col min="2576" max="2576" width="12.5703125" style="511" customWidth="1"/>
    <col min="2577" max="2577" width="10" style="511" customWidth="1"/>
    <col min="2578" max="2578" width="13.85546875" style="511" customWidth="1"/>
    <col min="2579" max="2579" width="9.5703125" style="511"/>
    <col min="2580" max="2580" width="10" style="511" customWidth="1"/>
    <col min="2581" max="2581" width="64" style="511" customWidth="1"/>
    <col min="2582" max="2583" width="0" style="511" hidden="1" customWidth="1"/>
    <col min="2584" max="2584" width="11.7109375" style="511" customWidth="1"/>
    <col min="2585" max="2585" width="14.42578125" style="511" bestFit="1" customWidth="1"/>
    <col min="2586" max="2586" width="12.42578125" style="511" customWidth="1"/>
    <col min="2587" max="2587" width="11.140625" style="511" customWidth="1"/>
    <col min="2588" max="2588" width="12.42578125" style="511" customWidth="1"/>
    <col min="2589" max="2589" width="13.7109375" style="511" customWidth="1"/>
    <col min="2590" max="2590" width="29.85546875" style="511" customWidth="1"/>
    <col min="2591" max="2591" width="11.28515625" style="511" customWidth="1"/>
    <col min="2592" max="2592" width="10.42578125" style="511" bestFit="1" customWidth="1"/>
    <col min="2593" max="2593" width="11.5703125" style="511" customWidth="1"/>
    <col min="2594" max="2594" width="11.28515625" style="511" customWidth="1"/>
    <col min="2595" max="2816" width="9.5703125" style="511"/>
    <col min="2817" max="2821" width="0" style="511" hidden="1" customWidth="1"/>
    <col min="2822" max="2822" width="11.42578125" style="511" customWidth="1"/>
    <col min="2823" max="2823" width="8.42578125" style="511" customWidth="1"/>
    <col min="2824" max="2824" width="56.28515625" style="511" customWidth="1"/>
    <col min="2825" max="2825" width="11.85546875" style="511" customWidth="1"/>
    <col min="2826" max="2826" width="11.28515625" style="511" customWidth="1"/>
    <col min="2827" max="2827" width="14.5703125" style="511" customWidth="1"/>
    <col min="2828" max="2829" width="12.5703125" style="511" customWidth="1"/>
    <col min="2830" max="2830" width="11.5703125" style="511" bestFit="1" customWidth="1"/>
    <col min="2831" max="2831" width="42.140625" style="511" customWidth="1"/>
    <col min="2832" max="2832" width="12.5703125" style="511" customWidth="1"/>
    <col min="2833" max="2833" width="10" style="511" customWidth="1"/>
    <col min="2834" max="2834" width="13.85546875" style="511" customWidth="1"/>
    <col min="2835" max="2835" width="9.5703125" style="511"/>
    <col min="2836" max="2836" width="10" style="511" customWidth="1"/>
    <col min="2837" max="2837" width="64" style="511" customWidth="1"/>
    <col min="2838" max="2839" width="0" style="511" hidden="1" customWidth="1"/>
    <col min="2840" max="2840" width="11.7109375" style="511" customWidth="1"/>
    <col min="2841" max="2841" width="14.42578125" style="511" bestFit="1" customWidth="1"/>
    <col min="2842" max="2842" width="12.42578125" style="511" customWidth="1"/>
    <col min="2843" max="2843" width="11.140625" style="511" customWidth="1"/>
    <col min="2844" max="2844" width="12.42578125" style="511" customWidth="1"/>
    <col min="2845" max="2845" width="13.7109375" style="511" customWidth="1"/>
    <col min="2846" max="2846" width="29.85546875" style="511" customWidth="1"/>
    <col min="2847" max="2847" width="11.28515625" style="511" customWidth="1"/>
    <col min="2848" max="2848" width="10.42578125" style="511" bestFit="1" customWidth="1"/>
    <col min="2849" max="2849" width="11.5703125" style="511" customWidth="1"/>
    <col min="2850" max="2850" width="11.28515625" style="511" customWidth="1"/>
    <col min="2851" max="3072" width="9.5703125" style="511"/>
    <col min="3073" max="3077" width="0" style="511" hidden="1" customWidth="1"/>
    <col min="3078" max="3078" width="11.42578125" style="511" customWidth="1"/>
    <col min="3079" max="3079" width="8.42578125" style="511" customWidth="1"/>
    <col min="3080" max="3080" width="56.28515625" style="511" customWidth="1"/>
    <col min="3081" max="3081" width="11.85546875" style="511" customWidth="1"/>
    <col min="3082" max="3082" width="11.28515625" style="511" customWidth="1"/>
    <col min="3083" max="3083" width="14.5703125" style="511" customWidth="1"/>
    <col min="3084" max="3085" width="12.5703125" style="511" customWidth="1"/>
    <col min="3086" max="3086" width="11.5703125" style="511" bestFit="1" customWidth="1"/>
    <col min="3087" max="3087" width="42.140625" style="511" customWidth="1"/>
    <col min="3088" max="3088" width="12.5703125" style="511" customWidth="1"/>
    <col min="3089" max="3089" width="10" style="511" customWidth="1"/>
    <col min="3090" max="3090" width="13.85546875" style="511" customWidth="1"/>
    <col min="3091" max="3091" width="9.5703125" style="511"/>
    <col min="3092" max="3092" width="10" style="511" customWidth="1"/>
    <col min="3093" max="3093" width="64" style="511" customWidth="1"/>
    <col min="3094" max="3095" width="0" style="511" hidden="1" customWidth="1"/>
    <col min="3096" max="3096" width="11.7109375" style="511" customWidth="1"/>
    <col min="3097" max="3097" width="14.42578125" style="511" bestFit="1" customWidth="1"/>
    <col min="3098" max="3098" width="12.42578125" style="511" customWidth="1"/>
    <col min="3099" max="3099" width="11.140625" style="511" customWidth="1"/>
    <col min="3100" max="3100" width="12.42578125" style="511" customWidth="1"/>
    <col min="3101" max="3101" width="13.7109375" style="511" customWidth="1"/>
    <col min="3102" max="3102" width="29.85546875" style="511" customWidth="1"/>
    <col min="3103" max="3103" width="11.28515625" style="511" customWidth="1"/>
    <col min="3104" max="3104" width="10.42578125" style="511" bestFit="1" customWidth="1"/>
    <col min="3105" max="3105" width="11.5703125" style="511" customWidth="1"/>
    <col min="3106" max="3106" width="11.28515625" style="511" customWidth="1"/>
    <col min="3107" max="3328" width="9.5703125" style="511"/>
    <col min="3329" max="3333" width="0" style="511" hidden="1" customWidth="1"/>
    <col min="3334" max="3334" width="11.42578125" style="511" customWidth="1"/>
    <col min="3335" max="3335" width="8.42578125" style="511" customWidth="1"/>
    <col min="3336" max="3336" width="56.28515625" style="511" customWidth="1"/>
    <col min="3337" max="3337" width="11.85546875" style="511" customWidth="1"/>
    <col min="3338" max="3338" width="11.28515625" style="511" customWidth="1"/>
    <col min="3339" max="3339" width="14.5703125" style="511" customWidth="1"/>
    <col min="3340" max="3341" width="12.5703125" style="511" customWidth="1"/>
    <col min="3342" max="3342" width="11.5703125" style="511" bestFit="1" customWidth="1"/>
    <col min="3343" max="3343" width="42.140625" style="511" customWidth="1"/>
    <col min="3344" max="3344" width="12.5703125" style="511" customWidth="1"/>
    <col min="3345" max="3345" width="10" style="511" customWidth="1"/>
    <col min="3346" max="3346" width="13.85546875" style="511" customWidth="1"/>
    <col min="3347" max="3347" width="9.5703125" style="511"/>
    <col min="3348" max="3348" width="10" style="511" customWidth="1"/>
    <col min="3349" max="3349" width="64" style="511" customWidth="1"/>
    <col min="3350" max="3351" width="0" style="511" hidden="1" customWidth="1"/>
    <col min="3352" max="3352" width="11.7109375" style="511" customWidth="1"/>
    <col min="3353" max="3353" width="14.42578125" style="511" bestFit="1" customWidth="1"/>
    <col min="3354" max="3354" width="12.42578125" style="511" customWidth="1"/>
    <col min="3355" max="3355" width="11.140625" style="511" customWidth="1"/>
    <col min="3356" max="3356" width="12.42578125" style="511" customWidth="1"/>
    <col min="3357" max="3357" width="13.7109375" style="511" customWidth="1"/>
    <col min="3358" max="3358" width="29.85546875" style="511" customWidth="1"/>
    <col min="3359" max="3359" width="11.28515625" style="511" customWidth="1"/>
    <col min="3360" max="3360" width="10.42578125" style="511" bestFit="1" customWidth="1"/>
    <col min="3361" max="3361" width="11.5703125" style="511" customWidth="1"/>
    <col min="3362" max="3362" width="11.28515625" style="511" customWidth="1"/>
    <col min="3363" max="3584" width="9.5703125" style="511"/>
    <col min="3585" max="3589" width="0" style="511" hidden="1" customWidth="1"/>
    <col min="3590" max="3590" width="11.42578125" style="511" customWidth="1"/>
    <col min="3591" max="3591" width="8.42578125" style="511" customWidth="1"/>
    <col min="3592" max="3592" width="56.28515625" style="511" customWidth="1"/>
    <col min="3593" max="3593" width="11.85546875" style="511" customWidth="1"/>
    <col min="3594" max="3594" width="11.28515625" style="511" customWidth="1"/>
    <col min="3595" max="3595" width="14.5703125" style="511" customWidth="1"/>
    <col min="3596" max="3597" width="12.5703125" style="511" customWidth="1"/>
    <col min="3598" max="3598" width="11.5703125" style="511" bestFit="1" customWidth="1"/>
    <col min="3599" max="3599" width="42.140625" style="511" customWidth="1"/>
    <col min="3600" max="3600" width="12.5703125" style="511" customWidth="1"/>
    <col min="3601" max="3601" width="10" style="511" customWidth="1"/>
    <col min="3602" max="3602" width="13.85546875" style="511" customWidth="1"/>
    <col min="3603" max="3603" width="9.5703125" style="511"/>
    <col min="3604" max="3604" width="10" style="511" customWidth="1"/>
    <col min="3605" max="3605" width="64" style="511" customWidth="1"/>
    <col min="3606" max="3607" width="0" style="511" hidden="1" customWidth="1"/>
    <col min="3608" max="3608" width="11.7109375" style="511" customWidth="1"/>
    <col min="3609" max="3609" width="14.42578125" style="511" bestFit="1" customWidth="1"/>
    <col min="3610" max="3610" width="12.42578125" style="511" customWidth="1"/>
    <col min="3611" max="3611" width="11.140625" style="511" customWidth="1"/>
    <col min="3612" max="3612" width="12.42578125" style="511" customWidth="1"/>
    <col min="3613" max="3613" width="13.7109375" style="511" customWidth="1"/>
    <col min="3614" max="3614" width="29.85546875" style="511" customWidth="1"/>
    <col min="3615" max="3615" width="11.28515625" style="511" customWidth="1"/>
    <col min="3616" max="3616" width="10.42578125" style="511" bestFit="1" customWidth="1"/>
    <col min="3617" max="3617" width="11.5703125" style="511" customWidth="1"/>
    <col min="3618" max="3618" width="11.28515625" style="511" customWidth="1"/>
    <col min="3619" max="3840" width="9.5703125" style="511"/>
    <col min="3841" max="3845" width="0" style="511" hidden="1" customWidth="1"/>
    <col min="3846" max="3846" width="11.42578125" style="511" customWidth="1"/>
    <col min="3847" max="3847" width="8.42578125" style="511" customWidth="1"/>
    <col min="3848" max="3848" width="56.28515625" style="511" customWidth="1"/>
    <col min="3849" max="3849" width="11.85546875" style="511" customWidth="1"/>
    <col min="3850" max="3850" width="11.28515625" style="511" customWidth="1"/>
    <col min="3851" max="3851" width="14.5703125" style="511" customWidth="1"/>
    <col min="3852" max="3853" width="12.5703125" style="511" customWidth="1"/>
    <col min="3854" max="3854" width="11.5703125" style="511" bestFit="1" customWidth="1"/>
    <col min="3855" max="3855" width="42.140625" style="511" customWidth="1"/>
    <col min="3856" max="3856" width="12.5703125" style="511" customWidth="1"/>
    <col min="3857" max="3857" width="10" style="511" customWidth="1"/>
    <col min="3858" max="3858" width="13.85546875" style="511" customWidth="1"/>
    <col min="3859" max="3859" width="9.5703125" style="511"/>
    <col min="3860" max="3860" width="10" style="511" customWidth="1"/>
    <col min="3861" max="3861" width="64" style="511" customWidth="1"/>
    <col min="3862" max="3863" width="0" style="511" hidden="1" customWidth="1"/>
    <col min="3864" max="3864" width="11.7109375" style="511" customWidth="1"/>
    <col min="3865" max="3865" width="14.42578125" style="511" bestFit="1" customWidth="1"/>
    <col min="3866" max="3866" width="12.42578125" style="511" customWidth="1"/>
    <col min="3867" max="3867" width="11.140625" style="511" customWidth="1"/>
    <col min="3868" max="3868" width="12.42578125" style="511" customWidth="1"/>
    <col min="3869" max="3869" width="13.7109375" style="511" customWidth="1"/>
    <col min="3870" max="3870" width="29.85546875" style="511" customWidth="1"/>
    <col min="3871" max="3871" width="11.28515625" style="511" customWidth="1"/>
    <col min="3872" max="3872" width="10.42578125" style="511" bestFit="1" customWidth="1"/>
    <col min="3873" max="3873" width="11.5703125" style="511" customWidth="1"/>
    <col min="3874" max="3874" width="11.28515625" style="511" customWidth="1"/>
    <col min="3875" max="4096" width="9.5703125" style="511"/>
    <col min="4097" max="4101" width="0" style="511" hidden="1" customWidth="1"/>
    <col min="4102" max="4102" width="11.42578125" style="511" customWidth="1"/>
    <col min="4103" max="4103" width="8.42578125" style="511" customWidth="1"/>
    <col min="4104" max="4104" width="56.28515625" style="511" customWidth="1"/>
    <col min="4105" max="4105" width="11.85546875" style="511" customWidth="1"/>
    <col min="4106" max="4106" width="11.28515625" style="511" customWidth="1"/>
    <col min="4107" max="4107" width="14.5703125" style="511" customWidth="1"/>
    <col min="4108" max="4109" width="12.5703125" style="511" customWidth="1"/>
    <col min="4110" max="4110" width="11.5703125" style="511" bestFit="1" customWidth="1"/>
    <col min="4111" max="4111" width="42.140625" style="511" customWidth="1"/>
    <col min="4112" max="4112" width="12.5703125" style="511" customWidth="1"/>
    <col min="4113" max="4113" width="10" style="511" customWidth="1"/>
    <col min="4114" max="4114" width="13.85546875" style="511" customWidth="1"/>
    <col min="4115" max="4115" width="9.5703125" style="511"/>
    <col min="4116" max="4116" width="10" style="511" customWidth="1"/>
    <col min="4117" max="4117" width="64" style="511" customWidth="1"/>
    <col min="4118" max="4119" width="0" style="511" hidden="1" customWidth="1"/>
    <col min="4120" max="4120" width="11.7109375" style="511" customWidth="1"/>
    <col min="4121" max="4121" width="14.42578125" style="511" bestFit="1" customWidth="1"/>
    <col min="4122" max="4122" width="12.42578125" style="511" customWidth="1"/>
    <col min="4123" max="4123" width="11.140625" style="511" customWidth="1"/>
    <col min="4124" max="4124" width="12.42578125" style="511" customWidth="1"/>
    <col min="4125" max="4125" width="13.7109375" style="511" customWidth="1"/>
    <col min="4126" max="4126" width="29.85546875" style="511" customWidth="1"/>
    <col min="4127" max="4127" width="11.28515625" style="511" customWidth="1"/>
    <col min="4128" max="4128" width="10.42578125" style="511" bestFit="1" customWidth="1"/>
    <col min="4129" max="4129" width="11.5703125" style="511" customWidth="1"/>
    <col min="4130" max="4130" width="11.28515625" style="511" customWidth="1"/>
    <col min="4131" max="4352" width="9.5703125" style="511"/>
    <col min="4353" max="4357" width="0" style="511" hidden="1" customWidth="1"/>
    <col min="4358" max="4358" width="11.42578125" style="511" customWidth="1"/>
    <col min="4359" max="4359" width="8.42578125" style="511" customWidth="1"/>
    <col min="4360" max="4360" width="56.28515625" style="511" customWidth="1"/>
    <col min="4361" max="4361" width="11.85546875" style="511" customWidth="1"/>
    <col min="4362" max="4362" width="11.28515625" style="511" customWidth="1"/>
    <col min="4363" max="4363" width="14.5703125" style="511" customWidth="1"/>
    <col min="4364" max="4365" width="12.5703125" style="511" customWidth="1"/>
    <col min="4366" max="4366" width="11.5703125" style="511" bestFit="1" customWidth="1"/>
    <col min="4367" max="4367" width="42.140625" style="511" customWidth="1"/>
    <col min="4368" max="4368" width="12.5703125" style="511" customWidth="1"/>
    <col min="4369" max="4369" width="10" style="511" customWidth="1"/>
    <col min="4370" max="4370" width="13.85546875" style="511" customWidth="1"/>
    <col min="4371" max="4371" width="9.5703125" style="511"/>
    <col min="4372" max="4372" width="10" style="511" customWidth="1"/>
    <col min="4373" max="4373" width="64" style="511" customWidth="1"/>
    <col min="4374" max="4375" width="0" style="511" hidden="1" customWidth="1"/>
    <col min="4376" max="4376" width="11.7109375" style="511" customWidth="1"/>
    <col min="4377" max="4377" width="14.42578125" style="511" bestFit="1" customWidth="1"/>
    <col min="4378" max="4378" width="12.42578125" style="511" customWidth="1"/>
    <col min="4379" max="4379" width="11.140625" style="511" customWidth="1"/>
    <col min="4380" max="4380" width="12.42578125" style="511" customWidth="1"/>
    <col min="4381" max="4381" width="13.7109375" style="511" customWidth="1"/>
    <col min="4382" max="4382" width="29.85546875" style="511" customWidth="1"/>
    <col min="4383" max="4383" width="11.28515625" style="511" customWidth="1"/>
    <col min="4384" max="4384" width="10.42578125" style="511" bestFit="1" customWidth="1"/>
    <col min="4385" max="4385" width="11.5703125" style="511" customWidth="1"/>
    <col min="4386" max="4386" width="11.28515625" style="511" customWidth="1"/>
    <col min="4387" max="4608" width="9.5703125" style="511"/>
    <col min="4609" max="4613" width="0" style="511" hidden="1" customWidth="1"/>
    <col min="4614" max="4614" width="11.42578125" style="511" customWidth="1"/>
    <col min="4615" max="4615" width="8.42578125" style="511" customWidth="1"/>
    <col min="4616" max="4616" width="56.28515625" style="511" customWidth="1"/>
    <col min="4617" max="4617" width="11.85546875" style="511" customWidth="1"/>
    <col min="4618" max="4618" width="11.28515625" style="511" customWidth="1"/>
    <col min="4619" max="4619" width="14.5703125" style="511" customWidth="1"/>
    <col min="4620" max="4621" width="12.5703125" style="511" customWidth="1"/>
    <col min="4622" max="4622" width="11.5703125" style="511" bestFit="1" customWidth="1"/>
    <col min="4623" max="4623" width="42.140625" style="511" customWidth="1"/>
    <col min="4624" max="4624" width="12.5703125" style="511" customWidth="1"/>
    <col min="4625" max="4625" width="10" style="511" customWidth="1"/>
    <col min="4626" max="4626" width="13.85546875" style="511" customWidth="1"/>
    <col min="4627" max="4627" width="9.5703125" style="511"/>
    <col min="4628" max="4628" width="10" style="511" customWidth="1"/>
    <col min="4629" max="4629" width="64" style="511" customWidth="1"/>
    <col min="4630" max="4631" width="0" style="511" hidden="1" customWidth="1"/>
    <col min="4632" max="4632" width="11.7109375" style="511" customWidth="1"/>
    <col min="4633" max="4633" width="14.42578125" style="511" bestFit="1" customWidth="1"/>
    <col min="4634" max="4634" width="12.42578125" style="511" customWidth="1"/>
    <col min="4635" max="4635" width="11.140625" style="511" customWidth="1"/>
    <col min="4636" max="4636" width="12.42578125" style="511" customWidth="1"/>
    <col min="4637" max="4637" width="13.7109375" style="511" customWidth="1"/>
    <col min="4638" max="4638" width="29.85546875" style="511" customWidth="1"/>
    <col min="4639" max="4639" width="11.28515625" style="511" customWidth="1"/>
    <col min="4640" max="4640" width="10.42578125" style="511" bestFit="1" customWidth="1"/>
    <col min="4641" max="4641" width="11.5703125" style="511" customWidth="1"/>
    <col min="4642" max="4642" width="11.28515625" style="511" customWidth="1"/>
    <col min="4643" max="4864" width="9.5703125" style="511"/>
    <col min="4865" max="4869" width="0" style="511" hidden="1" customWidth="1"/>
    <col min="4870" max="4870" width="11.42578125" style="511" customWidth="1"/>
    <col min="4871" max="4871" width="8.42578125" style="511" customWidth="1"/>
    <col min="4872" max="4872" width="56.28515625" style="511" customWidth="1"/>
    <col min="4873" max="4873" width="11.85546875" style="511" customWidth="1"/>
    <col min="4874" max="4874" width="11.28515625" style="511" customWidth="1"/>
    <col min="4875" max="4875" width="14.5703125" style="511" customWidth="1"/>
    <col min="4876" max="4877" width="12.5703125" style="511" customWidth="1"/>
    <col min="4878" max="4878" width="11.5703125" style="511" bestFit="1" customWidth="1"/>
    <col min="4879" max="4879" width="42.140625" style="511" customWidth="1"/>
    <col min="4880" max="4880" width="12.5703125" style="511" customWidth="1"/>
    <col min="4881" max="4881" width="10" style="511" customWidth="1"/>
    <col min="4882" max="4882" width="13.85546875" style="511" customWidth="1"/>
    <col min="4883" max="4883" width="9.5703125" style="511"/>
    <col min="4884" max="4884" width="10" style="511" customWidth="1"/>
    <col min="4885" max="4885" width="64" style="511" customWidth="1"/>
    <col min="4886" max="4887" width="0" style="511" hidden="1" customWidth="1"/>
    <col min="4888" max="4888" width="11.7109375" style="511" customWidth="1"/>
    <col min="4889" max="4889" width="14.42578125" style="511" bestFit="1" customWidth="1"/>
    <col min="4890" max="4890" width="12.42578125" style="511" customWidth="1"/>
    <col min="4891" max="4891" width="11.140625" style="511" customWidth="1"/>
    <col min="4892" max="4892" width="12.42578125" style="511" customWidth="1"/>
    <col min="4893" max="4893" width="13.7109375" style="511" customWidth="1"/>
    <col min="4894" max="4894" width="29.85546875" style="511" customWidth="1"/>
    <col min="4895" max="4895" width="11.28515625" style="511" customWidth="1"/>
    <col min="4896" max="4896" width="10.42578125" style="511" bestFit="1" customWidth="1"/>
    <col min="4897" max="4897" width="11.5703125" style="511" customWidth="1"/>
    <col min="4898" max="4898" width="11.28515625" style="511" customWidth="1"/>
    <col min="4899" max="5120" width="9.5703125" style="511"/>
    <col min="5121" max="5125" width="0" style="511" hidden="1" customWidth="1"/>
    <col min="5126" max="5126" width="11.42578125" style="511" customWidth="1"/>
    <col min="5127" max="5127" width="8.42578125" style="511" customWidth="1"/>
    <col min="5128" max="5128" width="56.28515625" style="511" customWidth="1"/>
    <col min="5129" max="5129" width="11.85546875" style="511" customWidth="1"/>
    <col min="5130" max="5130" width="11.28515625" style="511" customWidth="1"/>
    <col min="5131" max="5131" width="14.5703125" style="511" customWidth="1"/>
    <col min="5132" max="5133" width="12.5703125" style="511" customWidth="1"/>
    <col min="5134" max="5134" width="11.5703125" style="511" bestFit="1" customWidth="1"/>
    <col min="5135" max="5135" width="42.140625" style="511" customWidth="1"/>
    <col min="5136" max="5136" width="12.5703125" style="511" customWidth="1"/>
    <col min="5137" max="5137" width="10" style="511" customWidth="1"/>
    <col min="5138" max="5138" width="13.85546875" style="511" customWidth="1"/>
    <col min="5139" max="5139" width="9.5703125" style="511"/>
    <col min="5140" max="5140" width="10" style="511" customWidth="1"/>
    <col min="5141" max="5141" width="64" style="511" customWidth="1"/>
    <col min="5142" max="5143" width="0" style="511" hidden="1" customWidth="1"/>
    <col min="5144" max="5144" width="11.7109375" style="511" customWidth="1"/>
    <col min="5145" max="5145" width="14.42578125" style="511" bestFit="1" customWidth="1"/>
    <col min="5146" max="5146" width="12.42578125" style="511" customWidth="1"/>
    <col min="5147" max="5147" width="11.140625" style="511" customWidth="1"/>
    <col min="5148" max="5148" width="12.42578125" style="511" customWidth="1"/>
    <col min="5149" max="5149" width="13.7109375" style="511" customWidth="1"/>
    <col min="5150" max="5150" width="29.85546875" style="511" customWidth="1"/>
    <col min="5151" max="5151" width="11.28515625" style="511" customWidth="1"/>
    <col min="5152" max="5152" width="10.42578125" style="511" bestFit="1" customWidth="1"/>
    <col min="5153" max="5153" width="11.5703125" style="511" customWidth="1"/>
    <col min="5154" max="5154" width="11.28515625" style="511" customWidth="1"/>
    <col min="5155" max="5376" width="9.5703125" style="511"/>
    <col min="5377" max="5381" width="0" style="511" hidden="1" customWidth="1"/>
    <col min="5382" max="5382" width="11.42578125" style="511" customWidth="1"/>
    <col min="5383" max="5383" width="8.42578125" style="511" customWidth="1"/>
    <col min="5384" max="5384" width="56.28515625" style="511" customWidth="1"/>
    <col min="5385" max="5385" width="11.85546875" style="511" customWidth="1"/>
    <col min="5386" max="5386" width="11.28515625" style="511" customWidth="1"/>
    <col min="5387" max="5387" width="14.5703125" style="511" customWidth="1"/>
    <col min="5388" max="5389" width="12.5703125" style="511" customWidth="1"/>
    <col min="5390" max="5390" width="11.5703125" style="511" bestFit="1" customWidth="1"/>
    <col min="5391" max="5391" width="42.140625" style="511" customWidth="1"/>
    <col min="5392" max="5392" width="12.5703125" style="511" customWidth="1"/>
    <col min="5393" max="5393" width="10" style="511" customWidth="1"/>
    <col min="5394" max="5394" width="13.85546875" style="511" customWidth="1"/>
    <col min="5395" max="5395" width="9.5703125" style="511"/>
    <col min="5396" max="5396" width="10" style="511" customWidth="1"/>
    <col min="5397" max="5397" width="64" style="511" customWidth="1"/>
    <col min="5398" max="5399" width="0" style="511" hidden="1" customWidth="1"/>
    <col min="5400" max="5400" width="11.7109375" style="511" customWidth="1"/>
    <col min="5401" max="5401" width="14.42578125" style="511" bestFit="1" customWidth="1"/>
    <col min="5402" max="5402" width="12.42578125" style="511" customWidth="1"/>
    <col min="5403" max="5403" width="11.140625" style="511" customWidth="1"/>
    <col min="5404" max="5404" width="12.42578125" style="511" customWidth="1"/>
    <col min="5405" max="5405" width="13.7109375" style="511" customWidth="1"/>
    <col min="5406" max="5406" width="29.85546875" style="511" customWidth="1"/>
    <col min="5407" max="5407" width="11.28515625" style="511" customWidth="1"/>
    <col min="5408" max="5408" width="10.42578125" style="511" bestFit="1" customWidth="1"/>
    <col min="5409" max="5409" width="11.5703125" style="511" customWidth="1"/>
    <col min="5410" max="5410" width="11.28515625" style="511" customWidth="1"/>
    <col min="5411" max="5632" width="9.5703125" style="511"/>
    <col min="5633" max="5637" width="0" style="511" hidden="1" customWidth="1"/>
    <col min="5638" max="5638" width="11.42578125" style="511" customWidth="1"/>
    <col min="5639" max="5639" width="8.42578125" style="511" customWidth="1"/>
    <col min="5640" max="5640" width="56.28515625" style="511" customWidth="1"/>
    <col min="5641" max="5641" width="11.85546875" style="511" customWidth="1"/>
    <col min="5642" max="5642" width="11.28515625" style="511" customWidth="1"/>
    <col min="5643" max="5643" width="14.5703125" style="511" customWidth="1"/>
    <col min="5644" max="5645" width="12.5703125" style="511" customWidth="1"/>
    <col min="5646" max="5646" width="11.5703125" style="511" bestFit="1" customWidth="1"/>
    <col min="5647" max="5647" width="42.140625" style="511" customWidth="1"/>
    <col min="5648" max="5648" width="12.5703125" style="511" customWidth="1"/>
    <col min="5649" max="5649" width="10" style="511" customWidth="1"/>
    <col min="5650" max="5650" width="13.85546875" style="511" customWidth="1"/>
    <col min="5651" max="5651" width="9.5703125" style="511"/>
    <col min="5652" max="5652" width="10" style="511" customWidth="1"/>
    <col min="5653" max="5653" width="64" style="511" customWidth="1"/>
    <col min="5654" max="5655" width="0" style="511" hidden="1" customWidth="1"/>
    <col min="5656" max="5656" width="11.7109375" style="511" customWidth="1"/>
    <col min="5657" max="5657" width="14.42578125" style="511" bestFit="1" customWidth="1"/>
    <col min="5658" max="5658" width="12.42578125" style="511" customWidth="1"/>
    <col min="5659" max="5659" width="11.140625" style="511" customWidth="1"/>
    <col min="5660" max="5660" width="12.42578125" style="511" customWidth="1"/>
    <col min="5661" max="5661" width="13.7109375" style="511" customWidth="1"/>
    <col min="5662" max="5662" width="29.85546875" style="511" customWidth="1"/>
    <col min="5663" max="5663" width="11.28515625" style="511" customWidth="1"/>
    <col min="5664" max="5664" width="10.42578125" style="511" bestFit="1" customWidth="1"/>
    <col min="5665" max="5665" width="11.5703125" style="511" customWidth="1"/>
    <col min="5666" max="5666" width="11.28515625" style="511" customWidth="1"/>
    <col min="5667" max="5888" width="9.5703125" style="511"/>
    <col min="5889" max="5893" width="0" style="511" hidden="1" customWidth="1"/>
    <col min="5894" max="5894" width="11.42578125" style="511" customWidth="1"/>
    <col min="5895" max="5895" width="8.42578125" style="511" customWidth="1"/>
    <col min="5896" max="5896" width="56.28515625" style="511" customWidth="1"/>
    <col min="5897" max="5897" width="11.85546875" style="511" customWidth="1"/>
    <col min="5898" max="5898" width="11.28515625" style="511" customWidth="1"/>
    <col min="5899" max="5899" width="14.5703125" style="511" customWidth="1"/>
    <col min="5900" max="5901" width="12.5703125" style="511" customWidth="1"/>
    <col min="5902" max="5902" width="11.5703125" style="511" bestFit="1" customWidth="1"/>
    <col min="5903" max="5903" width="42.140625" style="511" customWidth="1"/>
    <col min="5904" max="5904" width="12.5703125" style="511" customWidth="1"/>
    <col min="5905" max="5905" width="10" style="511" customWidth="1"/>
    <col min="5906" max="5906" width="13.85546875" style="511" customWidth="1"/>
    <col min="5907" max="5907" width="9.5703125" style="511"/>
    <col min="5908" max="5908" width="10" style="511" customWidth="1"/>
    <col min="5909" max="5909" width="64" style="511" customWidth="1"/>
    <col min="5910" max="5911" width="0" style="511" hidden="1" customWidth="1"/>
    <col min="5912" max="5912" width="11.7109375" style="511" customWidth="1"/>
    <col min="5913" max="5913" width="14.42578125" style="511" bestFit="1" customWidth="1"/>
    <col min="5914" max="5914" width="12.42578125" style="511" customWidth="1"/>
    <col min="5915" max="5915" width="11.140625" style="511" customWidth="1"/>
    <col min="5916" max="5916" width="12.42578125" style="511" customWidth="1"/>
    <col min="5917" max="5917" width="13.7109375" style="511" customWidth="1"/>
    <col min="5918" max="5918" width="29.85546875" style="511" customWidth="1"/>
    <col min="5919" max="5919" width="11.28515625" style="511" customWidth="1"/>
    <col min="5920" max="5920" width="10.42578125" style="511" bestFit="1" customWidth="1"/>
    <col min="5921" max="5921" width="11.5703125" style="511" customWidth="1"/>
    <col min="5922" max="5922" width="11.28515625" style="511" customWidth="1"/>
    <col min="5923" max="6144" width="9.5703125" style="511"/>
    <col min="6145" max="6149" width="0" style="511" hidden="1" customWidth="1"/>
    <col min="6150" max="6150" width="11.42578125" style="511" customWidth="1"/>
    <col min="6151" max="6151" width="8.42578125" style="511" customWidth="1"/>
    <col min="6152" max="6152" width="56.28515625" style="511" customWidth="1"/>
    <col min="6153" max="6153" width="11.85546875" style="511" customWidth="1"/>
    <col min="6154" max="6154" width="11.28515625" style="511" customWidth="1"/>
    <col min="6155" max="6155" width="14.5703125" style="511" customWidth="1"/>
    <col min="6156" max="6157" width="12.5703125" style="511" customWidth="1"/>
    <col min="6158" max="6158" width="11.5703125" style="511" bestFit="1" customWidth="1"/>
    <col min="6159" max="6159" width="42.140625" style="511" customWidth="1"/>
    <col min="6160" max="6160" width="12.5703125" style="511" customWidth="1"/>
    <col min="6161" max="6161" width="10" style="511" customWidth="1"/>
    <col min="6162" max="6162" width="13.85546875" style="511" customWidth="1"/>
    <col min="6163" max="6163" width="9.5703125" style="511"/>
    <col min="6164" max="6164" width="10" style="511" customWidth="1"/>
    <col min="6165" max="6165" width="64" style="511" customWidth="1"/>
    <col min="6166" max="6167" width="0" style="511" hidden="1" customWidth="1"/>
    <col min="6168" max="6168" width="11.7109375" style="511" customWidth="1"/>
    <col min="6169" max="6169" width="14.42578125" style="511" bestFit="1" customWidth="1"/>
    <col min="6170" max="6170" width="12.42578125" style="511" customWidth="1"/>
    <col min="6171" max="6171" width="11.140625" style="511" customWidth="1"/>
    <col min="6172" max="6172" width="12.42578125" style="511" customWidth="1"/>
    <col min="6173" max="6173" width="13.7109375" style="511" customWidth="1"/>
    <col min="6174" max="6174" width="29.85546875" style="511" customWidth="1"/>
    <col min="6175" max="6175" width="11.28515625" style="511" customWidth="1"/>
    <col min="6176" max="6176" width="10.42578125" style="511" bestFit="1" customWidth="1"/>
    <col min="6177" max="6177" width="11.5703125" style="511" customWidth="1"/>
    <col min="6178" max="6178" width="11.28515625" style="511" customWidth="1"/>
    <col min="6179" max="6400" width="9.5703125" style="511"/>
    <col min="6401" max="6405" width="0" style="511" hidden="1" customWidth="1"/>
    <col min="6406" max="6406" width="11.42578125" style="511" customWidth="1"/>
    <col min="6407" max="6407" width="8.42578125" style="511" customWidth="1"/>
    <col min="6408" max="6408" width="56.28515625" style="511" customWidth="1"/>
    <col min="6409" max="6409" width="11.85546875" style="511" customWidth="1"/>
    <col min="6410" max="6410" width="11.28515625" style="511" customWidth="1"/>
    <col min="6411" max="6411" width="14.5703125" style="511" customWidth="1"/>
    <col min="6412" max="6413" width="12.5703125" style="511" customWidth="1"/>
    <col min="6414" max="6414" width="11.5703125" style="511" bestFit="1" customWidth="1"/>
    <col min="6415" max="6415" width="42.140625" style="511" customWidth="1"/>
    <col min="6416" max="6416" width="12.5703125" style="511" customWidth="1"/>
    <col min="6417" max="6417" width="10" style="511" customWidth="1"/>
    <col min="6418" max="6418" width="13.85546875" style="511" customWidth="1"/>
    <col min="6419" max="6419" width="9.5703125" style="511"/>
    <col min="6420" max="6420" width="10" style="511" customWidth="1"/>
    <col min="6421" max="6421" width="64" style="511" customWidth="1"/>
    <col min="6422" max="6423" width="0" style="511" hidden="1" customWidth="1"/>
    <col min="6424" max="6424" width="11.7109375" style="511" customWidth="1"/>
    <col min="6425" max="6425" width="14.42578125" style="511" bestFit="1" customWidth="1"/>
    <col min="6426" max="6426" width="12.42578125" style="511" customWidth="1"/>
    <col min="6427" max="6427" width="11.140625" style="511" customWidth="1"/>
    <col min="6428" max="6428" width="12.42578125" style="511" customWidth="1"/>
    <col min="6429" max="6429" width="13.7109375" style="511" customWidth="1"/>
    <col min="6430" max="6430" width="29.85546875" style="511" customWidth="1"/>
    <col min="6431" max="6431" width="11.28515625" style="511" customWidth="1"/>
    <col min="6432" max="6432" width="10.42578125" style="511" bestFit="1" customWidth="1"/>
    <col min="6433" max="6433" width="11.5703125" style="511" customWidth="1"/>
    <col min="6434" max="6434" width="11.28515625" style="511" customWidth="1"/>
    <col min="6435" max="6656" width="9.5703125" style="511"/>
    <col min="6657" max="6661" width="0" style="511" hidden="1" customWidth="1"/>
    <col min="6662" max="6662" width="11.42578125" style="511" customWidth="1"/>
    <col min="6663" max="6663" width="8.42578125" style="511" customWidth="1"/>
    <col min="6664" max="6664" width="56.28515625" style="511" customWidth="1"/>
    <col min="6665" max="6665" width="11.85546875" style="511" customWidth="1"/>
    <col min="6666" max="6666" width="11.28515625" style="511" customWidth="1"/>
    <col min="6667" max="6667" width="14.5703125" style="511" customWidth="1"/>
    <col min="6668" max="6669" width="12.5703125" style="511" customWidth="1"/>
    <col min="6670" max="6670" width="11.5703125" style="511" bestFit="1" customWidth="1"/>
    <col min="6671" max="6671" width="42.140625" style="511" customWidth="1"/>
    <col min="6672" max="6672" width="12.5703125" style="511" customWidth="1"/>
    <col min="6673" max="6673" width="10" style="511" customWidth="1"/>
    <col min="6674" max="6674" width="13.85546875" style="511" customWidth="1"/>
    <col min="6675" max="6675" width="9.5703125" style="511"/>
    <col min="6676" max="6676" width="10" style="511" customWidth="1"/>
    <col min="6677" max="6677" width="64" style="511" customWidth="1"/>
    <col min="6678" max="6679" width="0" style="511" hidden="1" customWidth="1"/>
    <col min="6680" max="6680" width="11.7109375" style="511" customWidth="1"/>
    <col min="6681" max="6681" width="14.42578125" style="511" bestFit="1" customWidth="1"/>
    <col min="6682" max="6682" width="12.42578125" style="511" customWidth="1"/>
    <col min="6683" max="6683" width="11.140625" style="511" customWidth="1"/>
    <col min="6684" max="6684" width="12.42578125" style="511" customWidth="1"/>
    <col min="6685" max="6685" width="13.7109375" style="511" customWidth="1"/>
    <col min="6686" max="6686" width="29.85546875" style="511" customWidth="1"/>
    <col min="6687" max="6687" width="11.28515625" style="511" customWidth="1"/>
    <col min="6688" max="6688" width="10.42578125" style="511" bestFit="1" customWidth="1"/>
    <col min="6689" max="6689" width="11.5703125" style="511" customWidth="1"/>
    <col min="6690" max="6690" width="11.28515625" style="511" customWidth="1"/>
    <col min="6691" max="6912" width="9.5703125" style="511"/>
    <col min="6913" max="6917" width="0" style="511" hidden="1" customWidth="1"/>
    <col min="6918" max="6918" width="11.42578125" style="511" customWidth="1"/>
    <col min="6919" max="6919" width="8.42578125" style="511" customWidth="1"/>
    <col min="6920" max="6920" width="56.28515625" style="511" customWidth="1"/>
    <col min="6921" max="6921" width="11.85546875" style="511" customWidth="1"/>
    <col min="6922" max="6922" width="11.28515625" style="511" customWidth="1"/>
    <col min="6923" max="6923" width="14.5703125" style="511" customWidth="1"/>
    <col min="6924" max="6925" width="12.5703125" style="511" customWidth="1"/>
    <col min="6926" max="6926" width="11.5703125" style="511" bestFit="1" customWidth="1"/>
    <col min="6927" max="6927" width="42.140625" style="511" customWidth="1"/>
    <col min="6928" max="6928" width="12.5703125" style="511" customWidth="1"/>
    <col min="6929" max="6929" width="10" style="511" customWidth="1"/>
    <col min="6930" max="6930" width="13.85546875" style="511" customWidth="1"/>
    <col min="6931" max="6931" width="9.5703125" style="511"/>
    <col min="6932" max="6932" width="10" style="511" customWidth="1"/>
    <col min="6933" max="6933" width="64" style="511" customWidth="1"/>
    <col min="6934" max="6935" width="0" style="511" hidden="1" customWidth="1"/>
    <col min="6936" max="6936" width="11.7109375" style="511" customWidth="1"/>
    <col min="6937" max="6937" width="14.42578125" style="511" bestFit="1" customWidth="1"/>
    <col min="6938" max="6938" width="12.42578125" style="511" customWidth="1"/>
    <col min="6939" max="6939" width="11.140625" style="511" customWidth="1"/>
    <col min="6940" max="6940" width="12.42578125" style="511" customWidth="1"/>
    <col min="6941" max="6941" width="13.7109375" style="511" customWidth="1"/>
    <col min="6942" max="6942" width="29.85546875" style="511" customWidth="1"/>
    <col min="6943" max="6943" width="11.28515625" style="511" customWidth="1"/>
    <col min="6944" max="6944" width="10.42578125" style="511" bestFit="1" customWidth="1"/>
    <col min="6945" max="6945" width="11.5703125" style="511" customWidth="1"/>
    <col min="6946" max="6946" width="11.28515625" style="511" customWidth="1"/>
    <col min="6947" max="7168" width="9.5703125" style="511"/>
    <col min="7169" max="7173" width="0" style="511" hidden="1" customWidth="1"/>
    <col min="7174" max="7174" width="11.42578125" style="511" customWidth="1"/>
    <col min="7175" max="7175" width="8.42578125" style="511" customWidth="1"/>
    <col min="7176" max="7176" width="56.28515625" style="511" customWidth="1"/>
    <col min="7177" max="7177" width="11.85546875" style="511" customWidth="1"/>
    <col min="7178" max="7178" width="11.28515625" style="511" customWidth="1"/>
    <col min="7179" max="7179" width="14.5703125" style="511" customWidth="1"/>
    <col min="7180" max="7181" width="12.5703125" style="511" customWidth="1"/>
    <col min="7182" max="7182" width="11.5703125" style="511" bestFit="1" customWidth="1"/>
    <col min="7183" max="7183" width="42.140625" style="511" customWidth="1"/>
    <col min="7184" max="7184" width="12.5703125" style="511" customWidth="1"/>
    <col min="7185" max="7185" width="10" style="511" customWidth="1"/>
    <col min="7186" max="7186" width="13.85546875" style="511" customWidth="1"/>
    <col min="7187" max="7187" width="9.5703125" style="511"/>
    <col min="7188" max="7188" width="10" style="511" customWidth="1"/>
    <col min="7189" max="7189" width="64" style="511" customWidth="1"/>
    <col min="7190" max="7191" width="0" style="511" hidden="1" customWidth="1"/>
    <col min="7192" max="7192" width="11.7109375" style="511" customWidth="1"/>
    <col min="7193" max="7193" width="14.42578125" style="511" bestFit="1" customWidth="1"/>
    <col min="7194" max="7194" width="12.42578125" style="511" customWidth="1"/>
    <col min="7195" max="7195" width="11.140625" style="511" customWidth="1"/>
    <col min="7196" max="7196" width="12.42578125" style="511" customWidth="1"/>
    <col min="7197" max="7197" width="13.7109375" style="511" customWidth="1"/>
    <col min="7198" max="7198" width="29.85546875" style="511" customWidth="1"/>
    <col min="7199" max="7199" width="11.28515625" style="511" customWidth="1"/>
    <col min="7200" max="7200" width="10.42578125" style="511" bestFit="1" customWidth="1"/>
    <col min="7201" max="7201" width="11.5703125" style="511" customWidth="1"/>
    <col min="7202" max="7202" width="11.28515625" style="511" customWidth="1"/>
    <col min="7203" max="7424" width="9.5703125" style="511"/>
    <col min="7425" max="7429" width="0" style="511" hidden="1" customWidth="1"/>
    <col min="7430" max="7430" width="11.42578125" style="511" customWidth="1"/>
    <col min="7431" max="7431" width="8.42578125" style="511" customWidth="1"/>
    <col min="7432" max="7432" width="56.28515625" style="511" customWidth="1"/>
    <col min="7433" max="7433" width="11.85546875" style="511" customWidth="1"/>
    <col min="7434" max="7434" width="11.28515625" style="511" customWidth="1"/>
    <col min="7435" max="7435" width="14.5703125" style="511" customWidth="1"/>
    <col min="7436" max="7437" width="12.5703125" style="511" customWidth="1"/>
    <col min="7438" max="7438" width="11.5703125" style="511" bestFit="1" customWidth="1"/>
    <col min="7439" max="7439" width="42.140625" style="511" customWidth="1"/>
    <col min="7440" max="7440" width="12.5703125" style="511" customWidth="1"/>
    <col min="7441" max="7441" width="10" style="511" customWidth="1"/>
    <col min="7442" max="7442" width="13.85546875" style="511" customWidth="1"/>
    <col min="7443" max="7443" width="9.5703125" style="511"/>
    <col min="7444" max="7444" width="10" style="511" customWidth="1"/>
    <col min="7445" max="7445" width="64" style="511" customWidth="1"/>
    <col min="7446" max="7447" width="0" style="511" hidden="1" customWidth="1"/>
    <col min="7448" max="7448" width="11.7109375" style="511" customWidth="1"/>
    <col min="7449" max="7449" width="14.42578125" style="511" bestFit="1" customWidth="1"/>
    <col min="7450" max="7450" width="12.42578125" style="511" customWidth="1"/>
    <col min="7451" max="7451" width="11.140625" style="511" customWidth="1"/>
    <col min="7452" max="7452" width="12.42578125" style="511" customWidth="1"/>
    <col min="7453" max="7453" width="13.7109375" style="511" customWidth="1"/>
    <col min="7454" max="7454" width="29.85546875" style="511" customWidth="1"/>
    <col min="7455" max="7455" width="11.28515625" style="511" customWidth="1"/>
    <col min="7456" max="7456" width="10.42578125" style="511" bestFit="1" customWidth="1"/>
    <col min="7457" max="7457" width="11.5703125" style="511" customWidth="1"/>
    <col min="7458" max="7458" width="11.28515625" style="511" customWidth="1"/>
    <col min="7459" max="7680" width="9.5703125" style="511"/>
    <col min="7681" max="7685" width="0" style="511" hidden="1" customWidth="1"/>
    <col min="7686" max="7686" width="11.42578125" style="511" customWidth="1"/>
    <col min="7687" max="7687" width="8.42578125" style="511" customWidth="1"/>
    <col min="7688" max="7688" width="56.28515625" style="511" customWidth="1"/>
    <col min="7689" max="7689" width="11.85546875" style="511" customWidth="1"/>
    <col min="7690" max="7690" width="11.28515625" style="511" customWidth="1"/>
    <col min="7691" max="7691" width="14.5703125" style="511" customWidth="1"/>
    <col min="7692" max="7693" width="12.5703125" style="511" customWidth="1"/>
    <col min="7694" max="7694" width="11.5703125" style="511" bestFit="1" customWidth="1"/>
    <col min="7695" max="7695" width="42.140625" style="511" customWidth="1"/>
    <col min="7696" max="7696" width="12.5703125" style="511" customWidth="1"/>
    <col min="7697" max="7697" width="10" style="511" customWidth="1"/>
    <col min="7698" max="7698" width="13.85546875" style="511" customWidth="1"/>
    <col min="7699" max="7699" width="9.5703125" style="511"/>
    <col min="7700" max="7700" width="10" style="511" customWidth="1"/>
    <col min="7701" max="7701" width="64" style="511" customWidth="1"/>
    <col min="7702" max="7703" width="0" style="511" hidden="1" customWidth="1"/>
    <col min="7704" max="7704" width="11.7109375" style="511" customWidth="1"/>
    <col min="7705" max="7705" width="14.42578125" style="511" bestFit="1" customWidth="1"/>
    <col min="7706" max="7706" width="12.42578125" style="511" customWidth="1"/>
    <col min="7707" max="7707" width="11.140625" style="511" customWidth="1"/>
    <col min="7708" max="7708" width="12.42578125" style="511" customWidth="1"/>
    <col min="7709" max="7709" width="13.7109375" style="511" customWidth="1"/>
    <col min="7710" max="7710" width="29.85546875" style="511" customWidth="1"/>
    <col min="7711" max="7711" width="11.28515625" style="511" customWidth="1"/>
    <col min="7712" max="7712" width="10.42578125" style="511" bestFit="1" customWidth="1"/>
    <col min="7713" max="7713" width="11.5703125" style="511" customWidth="1"/>
    <col min="7714" max="7714" width="11.28515625" style="511" customWidth="1"/>
    <col min="7715" max="7936" width="9.5703125" style="511"/>
    <col min="7937" max="7941" width="0" style="511" hidden="1" customWidth="1"/>
    <col min="7942" max="7942" width="11.42578125" style="511" customWidth="1"/>
    <col min="7943" max="7943" width="8.42578125" style="511" customWidth="1"/>
    <col min="7944" max="7944" width="56.28515625" style="511" customWidth="1"/>
    <col min="7945" max="7945" width="11.85546875" style="511" customWidth="1"/>
    <col min="7946" max="7946" width="11.28515625" style="511" customWidth="1"/>
    <col min="7947" max="7947" width="14.5703125" style="511" customWidth="1"/>
    <col min="7948" max="7949" width="12.5703125" style="511" customWidth="1"/>
    <col min="7950" max="7950" width="11.5703125" style="511" bestFit="1" customWidth="1"/>
    <col min="7951" max="7951" width="42.140625" style="511" customWidth="1"/>
    <col min="7952" max="7952" width="12.5703125" style="511" customWidth="1"/>
    <col min="7953" max="7953" width="10" style="511" customWidth="1"/>
    <col min="7954" max="7954" width="13.85546875" style="511" customWidth="1"/>
    <col min="7955" max="7955" width="9.5703125" style="511"/>
    <col min="7956" max="7956" width="10" style="511" customWidth="1"/>
    <col min="7957" max="7957" width="64" style="511" customWidth="1"/>
    <col min="7958" max="7959" width="0" style="511" hidden="1" customWidth="1"/>
    <col min="7960" max="7960" width="11.7109375" style="511" customWidth="1"/>
    <col min="7961" max="7961" width="14.42578125" style="511" bestFit="1" customWidth="1"/>
    <col min="7962" max="7962" width="12.42578125" style="511" customWidth="1"/>
    <col min="7963" max="7963" width="11.140625" style="511" customWidth="1"/>
    <col min="7964" max="7964" width="12.42578125" style="511" customWidth="1"/>
    <col min="7965" max="7965" width="13.7109375" style="511" customWidth="1"/>
    <col min="7966" max="7966" width="29.85546875" style="511" customWidth="1"/>
    <col min="7967" max="7967" width="11.28515625" style="511" customWidth="1"/>
    <col min="7968" max="7968" width="10.42578125" style="511" bestFit="1" customWidth="1"/>
    <col min="7969" max="7969" width="11.5703125" style="511" customWidth="1"/>
    <col min="7970" max="7970" width="11.28515625" style="511" customWidth="1"/>
    <col min="7971" max="8192" width="9.5703125" style="511"/>
    <col min="8193" max="8197" width="0" style="511" hidden="1" customWidth="1"/>
    <col min="8198" max="8198" width="11.42578125" style="511" customWidth="1"/>
    <col min="8199" max="8199" width="8.42578125" style="511" customWidth="1"/>
    <col min="8200" max="8200" width="56.28515625" style="511" customWidth="1"/>
    <col min="8201" max="8201" width="11.85546875" style="511" customWidth="1"/>
    <col min="8202" max="8202" width="11.28515625" style="511" customWidth="1"/>
    <col min="8203" max="8203" width="14.5703125" style="511" customWidth="1"/>
    <col min="8204" max="8205" width="12.5703125" style="511" customWidth="1"/>
    <col min="8206" max="8206" width="11.5703125" style="511" bestFit="1" customWidth="1"/>
    <col min="8207" max="8207" width="42.140625" style="511" customWidth="1"/>
    <col min="8208" max="8208" width="12.5703125" style="511" customWidth="1"/>
    <col min="8209" max="8209" width="10" style="511" customWidth="1"/>
    <col min="8210" max="8210" width="13.85546875" style="511" customWidth="1"/>
    <col min="8211" max="8211" width="9.5703125" style="511"/>
    <col min="8212" max="8212" width="10" style="511" customWidth="1"/>
    <col min="8213" max="8213" width="64" style="511" customWidth="1"/>
    <col min="8214" max="8215" width="0" style="511" hidden="1" customWidth="1"/>
    <col min="8216" max="8216" width="11.7109375" style="511" customWidth="1"/>
    <col min="8217" max="8217" width="14.42578125" style="511" bestFit="1" customWidth="1"/>
    <col min="8218" max="8218" width="12.42578125" style="511" customWidth="1"/>
    <col min="8219" max="8219" width="11.140625" style="511" customWidth="1"/>
    <col min="8220" max="8220" width="12.42578125" style="511" customWidth="1"/>
    <col min="8221" max="8221" width="13.7109375" style="511" customWidth="1"/>
    <col min="8222" max="8222" width="29.85546875" style="511" customWidth="1"/>
    <col min="8223" max="8223" width="11.28515625" style="511" customWidth="1"/>
    <col min="8224" max="8224" width="10.42578125" style="511" bestFit="1" customWidth="1"/>
    <col min="8225" max="8225" width="11.5703125" style="511" customWidth="1"/>
    <col min="8226" max="8226" width="11.28515625" style="511" customWidth="1"/>
    <col min="8227" max="8448" width="9.5703125" style="511"/>
    <col min="8449" max="8453" width="0" style="511" hidden="1" customWidth="1"/>
    <col min="8454" max="8454" width="11.42578125" style="511" customWidth="1"/>
    <col min="8455" max="8455" width="8.42578125" style="511" customWidth="1"/>
    <col min="8456" max="8456" width="56.28515625" style="511" customWidth="1"/>
    <col min="8457" max="8457" width="11.85546875" style="511" customWidth="1"/>
    <col min="8458" max="8458" width="11.28515625" style="511" customWidth="1"/>
    <col min="8459" max="8459" width="14.5703125" style="511" customWidth="1"/>
    <col min="8460" max="8461" width="12.5703125" style="511" customWidth="1"/>
    <col min="8462" max="8462" width="11.5703125" style="511" bestFit="1" customWidth="1"/>
    <col min="8463" max="8463" width="42.140625" style="511" customWidth="1"/>
    <col min="8464" max="8464" width="12.5703125" style="511" customWidth="1"/>
    <col min="8465" max="8465" width="10" style="511" customWidth="1"/>
    <col min="8466" max="8466" width="13.85546875" style="511" customWidth="1"/>
    <col min="8467" max="8467" width="9.5703125" style="511"/>
    <col min="8468" max="8468" width="10" style="511" customWidth="1"/>
    <col min="8469" max="8469" width="64" style="511" customWidth="1"/>
    <col min="8470" max="8471" width="0" style="511" hidden="1" customWidth="1"/>
    <col min="8472" max="8472" width="11.7109375" style="511" customWidth="1"/>
    <col min="8473" max="8473" width="14.42578125" style="511" bestFit="1" customWidth="1"/>
    <col min="8474" max="8474" width="12.42578125" style="511" customWidth="1"/>
    <col min="8475" max="8475" width="11.140625" style="511" customWidth="1"/>
    <col min="8476" max="8476" width="12.42578125" style="511" customWidth="1"/>
    <col min="8477" max="8477" width="13.7109375" style="511" customWidth="1"/>
    <col min="8478" max="8478" width="29.85546875" style="511" customWidth="1"/>
    <col min="8479" max="8479" width="11.28515625" style="511" customWidth="1"/>
    <col min="8480" max="8480" width="10.42578125" style="511" bestFit="1" customWidth="1"/>
    <col min="8481" max="8481" width="11.5703125" style="511" customWidth="1"/>
    <col min="8482" max="8482" width="11.28515625" style="511" customWidth="1"/>
    <col min="8483" max="8704" width="9.5703125" style="511"/>
    <col min="8705" max="8709" width="0" style="511" hidden="1" customWidth="1"/>
    <col min="8710" max="8710" width="11.42578125" style="511" customWidth="1"/>
    <col min="8711" max="8711" width="8.42578125" style="511" customWidth="1"/>
    <col min="8712" max="8712" width="56.28515625" style="511" customWidth="1"/>
    <col min="8713" max="8713" width="11.85546875" style="511" customWidth="1"/>
    <col min="8714" max="8714" width="11.28515625" style="511" customWidth="1"/>
    <col min="8715" max="8715" width="14.5703125" style="511" customWidth="1"/>
    <col min="8716" max="8717" width="12.5703125" style="511" customWidth="1"/>
    <col min="8718" max="8718" width="11.5703125" style="511" bestFit="1" customWidth="1"/>
    <col min="8719" max="8719" width="42.140625" style="511" customWidth="1"/>
    <col min="8720" max="8720" width="12.5703125" style="511" customWidth="1"/>
    <col min="8721" max="8721" width="10" style="511" customWidth="1"/>
    <col min="8722" max="8722" width="13.85546875" style="511" customWidth="1"/>
    <col min="8723" max="8723" width="9.5703125" style="511"/>
    <col min="8724" max="8724" width="10" style="511" customWidth="1"/>
    <col min="8725" max="8725" width="64" style="511" customWidth="1"/>
    <col min="8726" max="8727" width="0" style="511" hidden="1" customWidth="1"/>
    <col min="8728" max="8728" width="11.7109375" style="511" customWidth="1"/>
    <col min="8729" max="8729" width="14.42578125" style="511" bestFit="1" customWidth="1"/>
    <col min="8730" max="8730" width="12.42578125" style="511" customWidth="1"/>
    <col min="8731" max="8731" width="11.140625" style="511" customWidth="1"/>
    <col min="8732" max="8732" width="12.42578125" style="511" customWidth="1"/>
    <col min="8733" max="8733" width="13.7109375" style="511" customWidth="1"/>
    <col min="8734" max="8734" width="29.85546875" style="511" customWidth="1"/>
    <col min="8735" max="8735" width="11.28515625" style="511" customWidth="1"/>
    <col min="8736" max="8736" width="10.42578125" style="511" bestFit="1" customWidth="1"/>
    <col min="8737" max="8737" width="11.5703125" style="511" customWidth="1"/>
    <col min="8738" max="8738" width="11.28515625" style="511" customWidth="1"/>
    <col min="8739" max="8960" width="9.5703125" style="511"/>
    <col min="8961" max="8965" width="0" style="511" hidden="1" customWidth="1"/>
    <col min="8966" max="8966" width="11.42578125" style="511" customWidth="1"/>
    <col min="8967" max="8967" width="8.42578125" style="511" customWidth="1"/>
    <col min="8968" max="8968" width="56.28515625" style="511" customWidth="1"/>
    <col min="8969" max="8969" width="11.85546875" style="511" customWidth="1"/>
    <col min="8970" max="8970" width="11.28515625" style="511" customWidth="1"/>
    <col min="8971" max="8971" width="14.5703125" style="511" customWidth="1"/>
    <col min="8972" max="8973" width="12.5703125" style="511" customWidth="1"/>
    <col min="8974" max="8974" width="11.5703125" style="511" bestFit="1" customWidth="1"/>
    <col min="8975" max="8975" width="42.140625" style="511" customWidth="1"/>
    <col min="8976" max="8976" width="12.5703125" style="511" customWidth="1"/>
    <col min="8977" max="8977" width="10" style="511" customWidth="1"/>
    <col min="8978" max="8978" width="13.85546875" style="511" customWidth="1"/>
    <col min="8979" max="8979" width="9.5703125" style="511"/>
    <col min="8980" max="8980" width="10" style="511" customWidth="1"/>
    <col min="8981" max="8981" width="64" style="511" customWidth="1"/>
    <col min="8982" max="8983" width="0" style="511" hidden="1" customWidth="1"/>
    <col min="8984" max="8984" width="11.7109375" style="511" customWidth="1"/>
    <col min="8985" max="8985" width="14.42578125" style="511" bestFit="1" customWidth="1"/>
    <col min="8986" max="8986" width="12.42578125" style="511" customWidth="1"/>
    <col min="8987" max="8987" width="11.140625" style="511" customWidth="1"/>
    <col min="8988" max="8988" width="12.42578125" style="511" customWidth="1"/>
    <col min="8989" max="8989" width="13.7109375" style="511" customWidth="1"/>
    <col min="8990" max="8990" width="29.85546875" style="511" customWidth="1"/>
    <col min="8991" max="8991" width="11.28515625" style="511" customWidth="1"/>
    <col min="8992" max="8992" width="10.42578125" style="511" bestFit="1" customWidth="1"/>
    <col min="8993" max="8993" width="11.5703125" style="511" customWidth="1"/>
    <col min="8994" max="8994" width="11.28515625" style="511" customWidth="1"/>
    <col min="8995" max="9216" width="9.5703125" style="511"/>
    <col min="9217" max="9221" width="0" style="511" hidden="1" customWidth="1"/>
    <col min="9222" max="9222" width="11.42578125" style="511" customWidth="1"/>
    <col min="9223" max="9223" width="8.42578125" style="511" customWidth="1"/>
    <col min="9224" max="9224" width="56.28515625" style="511" customWidth="1"/>
    <col min="9225" max="9225" width="11.85546875" style="511" customWidth="1"/>
    <col min="9226" max="9226" width="11.28515625" style="511" customWidth="1"/>
    <col min="9227" max="9227" width="14.5703125" style="511" customWidth="1"/>
    <col min="9228" max="9229" width="12.5703125" style="511" customWidth="1"/>
    <col min="9230" max="9230" width="11.5703125" style="511" bestFit="1" customWidth="1"/>
    <col min="9231" max="9231" width="42.140625" style="511" customWidth="1"/>
    <col min="9232" max="9232" width="12.5703125" style="511" customWidth="1"/>
    <col min="9233" max="9233" width="10" style="511" customWidth="1"/>
    <col min="9234" max="9234" width="13.85546875" style="511" customWidth="1"/>
    <col min="9235" max="9235" width="9.5703125" style="511"/>
    <col min="9236" max="9236" width="10" style="511" customWidth="1"/>
    <col min="9237" max="9237" width="64" style="511" customWidth="1"/>
    <col min="9238" max="9239" width="0" style="511" hidden="1" customWidth="1"/>
    <col min="9240" max="9240" width="11.7109375" style="511" customWidth="1"/>
    <col min="9241" max="9241" width="14.42578125" style="511" bestFit="1" customWidth="1"/>
    <col min="9242" max="9242" width="12.42578125" style="511" customWidth="1"/>
    <col min="9243" max="9243" width="11.140625" style="511" customWidth="1"/>
    <col min="9244" max="9244" width="12.42578125" style="511" customWidth="1"/>
    <col min="9245" max="9245" width="13.7109375" style="511" customWidth="1"/>
    <col min="9246" max="9246" width="29.85546875" style="511" customWidth="1"/>
    <col min="9247" max="9247" width="11.28515625" style="511" customWidth="1"/>
    <col min="9248" max="9248" width="10.42578125" style="511" bestFit="1" customWidth="1"/>
    <col min="9249" max="9249" width="11.5703125" style="511" customWidth="1"/>
    <col min="9250" max="9250" width="11.28515625" style="511" customWidth="1"/>
    <col min="9251" max="9472" width="9.5703125" style="511"/>
    <col min="9473" max="9477" width="0" style="511" hidden="1" customWidth="1"/>
    <col min="9478" max="9478" width="11.42578125" style="511" customWidth="1"/>
    <col min="9479" max="9479" width="8.42578125" style="511" customWidth="1"/>
    <col min="9480" max="9480" width="56.28515625" style="511" customWidth="1"/>
    <col min="9481" max="9481" width="11.85546875" style="511" customWidth="1"/>
    <col min="9482" max="9482" width="11.28515625" style="511" customWidth="1"/>
    <col min="9483" max="9483" width="14.5703125" style="511" customWidth="1"/>
    <col min="9484" max="9485" width="12.5703125" style="511" customWidth="1"/>
    <col min="9486" max="9486" width="11.5703125" style="511" bestFit="1" customWidth="1"/>
    <col min="9487" max="9487" width="42.140625" style="511" customWidth="1"/>
    <col min="9488" max="9488" width="12.5703125" style="511" customWidth="1"/>
    <col min="9489" max="9489" width="10" style="511" customWidth="1"/>
    <col min="9490" max="9490" width="13.85546875" style="511" customWidth="1"/>
    <col min="9491" max="9491" width="9.5703125" style="511"/>
    <col min="9492" max="9492" width="10" style="511" customWidth="1"/>
    <col min="9493" max="9493" width="64" style="511" customWidth="1"/>
    <col min="9494" max="9495" width="0" style="511" hidden="1" customWidth="1"/>
    <col min="9496" max="9496" width="11.7109375" style="511" customWidth="1"/>
    <col min="9497" max="9497" width="14.42578125" style="511" bestFit="1" customWidth="1"/>
    <col min="9498" max="9498" width="12.42578125" style="511" customWidth="1"/>
    <col min="9499" max="9499" width="11.140625" style="511" customWidth="1"/>
    <col min="9500" max="9500" width="12.42578125" style="511" customWidth="1"/>
    <col min="9501" max="9501" width="13.7109375" style="511" customWidth="1"/>
    <col min="9502" max="9502" width="29.85546875" style="511" customWidth="1"/>
    <col min="9503" max="9503" width="11.28515625" style="511" customWidth="1"/>
    <col min="9504" max="9504" width="10.42578125" style="511" bestFit="1" customWidth="1"/>
    <col min="9505" max="9505" width="11.5703125" style="511" customWidth="1"/>
    <col min="9506" max="9506" width="11.28515625" style="511" customWidth="1"/>
    <col min="9507" max="9728" width="9.5703125" style="511"/>
    <col min="9729" max="9733" width="0" style="511" hidden="1" customWidth="1"/>
    <col min="9734" max="9734" width="11.42578125" style="511" customWidth="1"/>
    <col min="9735" max="9735" width="8.42578125" style="511" customWidth="1"/>
    <col min="9736" max="9736" width="56.28515625" style="511" customWidth="1"/>
    <col min="9737" max="9737" width="11.85546875" style="511" customWidth="1"/>
    <col min="9738" max="9738" width="11.28515625" style="511" customWidth="1"/>
    <col min="9739" max="9739" width="14.5703125" style="511" customWidth="1"/>
    <col min="9740" max="9741" width="12.5703125" style="511" customWidth="1"/>
    <col min="9742" max="9742" width="11.5703125" style="511" bestFit="1" customWidth="1"/>
    <col min="9743" max="9743" width="42.140625" style="511" customWidth="1"/>
    <col min="9744" max="9744" width="12.5703125" style="511" customWidth="1"/>
    <col min="9745" max="9745" width="10" style="511" customWidth="1"/>
    <col min="9746" max="9746" width="13.85546875" style="511" customWidth="1"/>
    <col min="9747" max="9747" width="9.5703125" style="511"/>
    <col min="9748" max="9748" width="10" style="511" customWidth="1"/>
    <col min="9749" max="9749" width="64" style="511" customWidth="1"/>
    <col min="9750" max="9751" width="0" style="511" hidden="1" customWidth="1"/>
    <col min="9752" max="9752" width="11.7109375" style="511" customWidth="1"/>
    <col min="9753" max="9753" width="14.42578125" style="511" bestFit="1" customWidth="1"/>
    <col min="9754" max="9754" width="12.42578125" style="511" customWidth="1"/>
    <col min="9755" max="9755" width="11.140625" style="511" customWidth="1"/>
    <col min="9756" max="9756" width="12.42578125" style="511" customWidth="1"/>
    <col min="9757" max="9757" width="13.7109375" style="511" customWidth="1"/>
    <col min="9758" max="9758" width="29.85546875" style="511" customWidth="1"/>
    <col min="9759" max="9759" width="11.28515625" style="511" customWidth="1"/>
    <col min="9760" max="9760" width="10.42578125" style="511" bestFit="1" customWidth="1"/>
    <col min="9761" max="9761" width="11.5703125" style="511" customWidth="1"/>
    <col min="9762" max="9762" width="11.28515625" style="511" customWidth="1"/>
    <col min="9763" max="9984" width="9.5703125" style="511"/>
    <col min="9985" max="9989" width="0" style="511" hidden="1" customWidth="1"/>
    <col min="9990" max="9990" width="11.42578125" style="511" customWidth="1"/>
    <col min="9991" max="9991" width="8.42578125" style="511" customWidth="1"/>
    <col min="9992" max="9992" width="56.28515625" style="511" customWidth="1"/>
    <col min="9993" max="9993" width="11.85546875" style="511" customWidth="1"/>
    <col min="9994" max="9994" width="11.28515625" style="511" customWidth="1"/>
    <col min="9995" max="9995" width="14.5703125" style="511" customWidth="1"/>
    <col min="9996" max="9997" width="12.5703125" style="511" customWidth="1"/>
    <col min="9998" max="9998" width="11.5703125" style="511" bestFit="1" customWidth="1"/>
    <col min="9999" max="9999" width="42.140625" style="511" customWidth="1"/>
    <col min="10000" max="10000" width="12.5703125" style="511" customWidth="1"/>
    <col min="10001" max="10001" width="10" style="511" customWidth="1"/>
    <col min="10002" max="10002" width="13.85546875" style="511" customWidth="1"/>
    <col min="10003" max="10003" width="9.5703125" style="511"/>
    <col min="10004" max="10004" width="10" style="511" customWidth="1"/>
    <col min="10005" max="10005" width="64" style="511" customWidth="1"/>
    <col min="10006" max="10007" width="0" style="511" hidden="1" customWidth="1"/>
    <col min="10008" max="10008" width="11.7109375" style="511" customWidth="1"/>
    <col min="10009" max="10009" width="14.42578125" style="511" bestFit="1" customWidth="1"/>
    <col min="10010" max="10010" width="12.42578125" style="511" customWidth="1"/>
    <col min="10011" max="10011" width="11.140625" style="511" customWidth="1"/>
    <col min="10012" max="10012" width="12.42578125" style="511" customWidth="1"/>
    <col min="10013" max="10013" width="13.7109375" style="511" customWidth="1"/>
    <col min="10014" max="10014" width="29.85546875" style="511" customWidth="1"/>
    <col min="10015" max="10015" width="11.28515625" style="511" customWidth="1"/>
    <col min="10016" max="10016" width="10.42578125" style="511" bestFit="1" customWidth="1"/>
    <col min="10017" max="10017" width="11.5703125" style="511" customWidth="1"/>
    <col min="10018" max="10018" width="11.28515625" style="511" customWidth="1"/>
    <col min="10019" max="10240" width="9.5703125" style="511"/>
    <col min="10241" max="10245" width="0" style="511" hidden="1" customWidth="1"/>
    <col min="10246" max="10246" width="11.42578125" style="511" customWidth="1"/>
    <col min="10247" max="10247" width="8.42578125" style="511" customWidth="1"/>
    <col min="10248" max="10248" width="56.28515625" style="511" customWidth="1"/>
    <col min="10249" max="10249" width="11.85546875" style="511" customWidth="1"/>
    <col min="10250" max="10250" width="11.28515625" style="511" customWidth="1"/>
    <col min="10251" max="10251" width="14.5703125" style="511" customWidth="1"/>
    <col min="10252" max="10253" width="12.5703125" style="511" customWidth="1"/>
    <col min="10254" max="10254" width="11.5703125" style="511" bestFit="1" customWidth="1"/>
    <col min="10255" max="10255" width="42.140625" style="511" customWidth="1"/>
    <col min="10256" max="10256" width="12.5703125" style="511" customWidth="1"/>
    <col min="10257" max="10257" width="10" style="511" customWidth="1"/>
    <col min="10258" max="10258" width="13.85546875" style="511" customWidth="1"/>
    <col min="10259" max="10259" width="9.5703125" style="511"/>
    <col min="10260" max="10260" width="10" style="511" customWidth="1"/>
    <col min="10261" max="10261" width="64" style="511" customWidth="1"/>
    <col min="10262" max="10263" width="0" style="511" hidden="1" customWidth="1"/>
    <col min="10264" max="10264" width="11.7109375" style="511" customWidth="1"/>
    <col min="10265" max="10265" width="14.42578125" style="511" bestFit="1" customWidth="1"/>
    <col min="10266" max="10266" width="12.42578125" style="511" customWidth="1"/>
    <col min="10267" max="10267" width="11.140625" style="511" customWidth="1"/>
    <col min="10268" max="10268" width="12.42578125" style="511" customWidth="1"/>
    <col min="10269" max="10269" width="13.7109375" style="511" customWidth="1"/>
    <col min="10270" max="10270" width="29.85546875" style="511" customWidth="1"/>
    <col min="10271" max="10271" width="11.28515625" style="511" customWidth="1"/>
    <col min="10272" max="10272" width="10.42578125" style="511" bestFit="1" customWidth="1"/>
    <col min="10273" max="10273" width="11.5703125" style="511" customWidth="1"/>
    <col min="10274" max="10274" width="11.28515625" style="511" customWidth="1"/>
    <col min="10275" max="10496" width="9.5703125" style="511"/>
    <col min="10497" max="10501" width="0" style="511" hidden="1" customWidth="1"/>
    <col min="10502" max="10502" width="11.42578125" style="511" customWidth="1"/>
    <col min="10503" max="10503" width="8.42578125" style="511" customWidth="1"/>
    <col min="10504" max="10504" width="56.28515625" style="511" customWidth="1"/>
    <col min="10505" max="10505" width="11.85546875" style="511" customWidth="1"/>
    <col min="10506" max="10506" width="11.28515625" style="511" customWidth="1"/>
    <col min="10507" max="10507" width="14.5703125" style="511" customWidth="1"/>
    <col min="10508" max="10509" width="12.5703125" style="511" customWidth="1"/>
    <col min="10510" max="10510" width="11.5703125" style="511" bestFit="1" customWidth="1"/>
    <col min="10511" max="10511" width="42.140625" style="511" customWidth="1"/>
    <col min="10512" max="10512" width="12.5703125" style="511" customWidth="1"/>
    <col min="10513" max="10513" width="10" style="511" customWidth="1"/>
    <col min="10514" max="10514" width="13.85546875" style="511" customWidth="1"/>
    <col min="10515" max="10515" width="9.5703125" style="511"/>
    <col min="10516" max="10516" width="10" style="511" customWidth="1"/>
    <col min="10517" max="10517" width="64" style="511" customWidth="1"/>
    <col min="10518" max="10519" width="0" style="511" hidden="1" customWidth="1"/>
    <col min="10520" max="10520" width="11.7109375" style="511" customWidth="1"/>
    <col min="10521" max="10521" width="14.42578125" style="511" bestFit="1" customWidth="1"/>
    <col min="10522" max="10522" width="12.42578125" style="511" customWidth="1"/>
    <col min="10523" max="10523" width="11.140625" style="511" customWidth="1"/>
    <col min="10524" max="10524" width="12.42578125" style="511" customWidth="1"/>
    <col min="10525" max="10525" width="13.7109375" style="511" customWidth="1"/>
    <col min="10526" max="10526" width="29.85546875" style="511" customWidth="1"/>
    <col min="10527" max="10527" width="11.28515625" style="511" customWidth="1"/>
    <col min="10528" max="10528" width="10.42578125" style="511" bestFit="1" customWidth="1"/>
    <col min="10529" max="10529" width="11.5703125" style="511" customWidth="1"/>
    <col min="10530" max="10530" width="11.28515625" style="511" customWidth="1"/>
    <col min="10531" max="10752" width="9.5703125" style="511"/>
    <col min="10753" max="10757" width="0" style="511" hidden="1" customWidth="1"/>
    <col min="10758" max="10758" width="11.42578125" style="511" customWidth="1"/>
    <col min="10759" max="10759" width="8.42578125" style="511" customWidth="1"/>
    <col min="10760" max="10760" width="56.28515625" style="511" customWidth="1"/>
    <col min="10761" max="10761" width="11.85546875" style="511" customWidth="1"/>
    <col min="10762" max="10762" width="11.28515625" style="511" customWidth="1"/>
    <col min="10763" max="10763" width="14.5703125" style="511" customWidth="1"/>
    <col min="10764" max="10765" width="12.5703125" style="511" customWidth="1"/>
    <col min="10766" max="10766" width="11.5703125" style="511" bestFit="1" customWidth="1"/>
    <col min="10767" max="10767" width="42.140625" style="511" customWidth="1"/>
    <col min="10768" max="10768" width="12.5703125" style="511" customWidth="1"/>
    <col min="10769" max="10769" width="10" style="511" customWidth="1"/>
    <col min="10770" max="10770" width="13.85546875" style="511" customWidth="1"/>
    <col min="10771" max="10771" width="9.5703125" style="511"/>
    <col min="10772" max="10772" width="10" style="511" customWidth="1"/>
    <col min="10773" max="10773" width="64" style="511" customWidth="1"/>
    <col min="10774" max="10775" width="0" style="511" hidden="1" customWidth="1"/>
    <col min="10776" max="10776" width="11.7109375" style="511" customWidth="1"/>
    <col min="10777" max="10777" width="14.42578125" style="511" bestFit="1" customWidth="1"/>
    <col min="10778" max="10778" width="12.42578125" style="511" customWidth="1"/>
    <col min="10779" max="10779" width="11.140625" style="511" customWidth="1"/>
    <col min="10780" max="10780" width="12.42578125" style="511" customWidth="1"/>
    <col min="10781" max="10781" width="13.7109375" style="511" customWidth="1"/>
    <col min="10782" max="10782" width="29.85546875" style="511" customWidth="1"/>
    <col min="10783" max="10783" width="11.28515625" style="511" customWidth="1"/>
    <col min="10784" max="10784" width="10.42578125" style="511" bestFit="1" customWidth="1"/>
    <col min="10785" max="10785" width="11.5703125" style="511" customWidth="1"/>
    <col min="10786" max="10786" width="11.28515625" style="511" customWidth="1"/>
    <col min="10787" max="11008" width="9.5703125" style="511"/>
    <col min="11009" max="11013" width="0" style="511" hidden="1" customWidth="1"/>
    <col min="11014" max="11014" width="11.42578125" style="511" customWidth="1"/>
    <col min="11015" max="11015" width="8.42578125" style="511" customWidth="1"/>
    <col min="11016" max="11016" width="56.28515625" style="511" customWidth="1"/>
    <col min="11017" max="11017" width="11.85546875" style="511" customWidth="1"/>
    <col min="11018" max="11018" width="11.28515625" style="511" customWidth="1"/>
    <col min="11019" max="11019" width="14.5703125" style="511" customWidth="1"/>
    <col min="11020" max="11021" width="12.5703125" style="511" customWidth="1"/>
    <col min="11022" max="11022" width="11.5703125" style="511" bestFit="1" customWidth="1"/>
    <col min="11023" max="11023" width="42.140625" style="511" customWidth="1"/>
    <col min="11024" max="11024" width="12.5703125" style="511" customWidth="1"/>
    <col min="11025" max="11025" width="10" style="511" customWidth="1"/>
    <col min="11026" max="11026" width="13.85546875" style="511" customWidth="1"/>
    <col min="11027" max="11027" width="9.5703125" style="511"/>
    <col min="11028" max="11028" width="10" style="511" customWidth="1"/>
    <col min="11029" max="11029" width="64" style="511" customWidth="1"/>
    <col min="11030" max="11031" width="0" style="511" hidden="1" customWidth="1"/>
    <col min="11032" max="11032" width="11.7109375" style="511" customWidth="1"/>
    <col min="11033" max="11033" width="14.42578125" style="511" bestFit="1" customWidth="1"/>
    <col min="11034" max="11034" width="12.42578125" style="511" customWidth="1"/>
    <col min="11035" max="11035" width="11.140625" style="511" customWidth="1"/>
    <col min="11036" max="11036" width="12.42578125" style="511" customWidth="1"/>
    <col min="11037" max="11037" width="13.7109375" style="511" customWidth="1"/>
    <col min="11038" max="11038" width="29.85546875" style="511" customWidth="1"/>
    <col min="11039" max="11039" width="11.28515625" style="511" customWidth="1"/>
    <col min="11040" max="11040" width="10.42578125" style="511" bestFit="1" customWidth="1"/>
    <col min="11041" max="11041" width="11.5703125" style="511" customWidth="1"/>
    <col min="11042" max="11042" width="11.28515625" style="511" customWidth="1"/>
    <col min="11043" max="11264" width="9.5703125" style="511"/>
    <col min="11265" max="11269" width="0" style="511" hidden="1" customWidth="1"/>
    <col min="11270" max="11270" width="11.42578125" style="511" customWidth="1"/>
    <col min="11271" max="11271" width="8.42578125" style="511" customWidth="1"/>
    <col min="11272" max="11272" width="56.28515625" style="511" customWidth="1"/>
    <col min="11273" max="11273" width="11.85546875" style="511" customWidth="1"/>
    <col min="11274" max="11274" width="11.28515625" style="511" customWidth="1"/>
    <col min="11275" max="11275" width="14.5703125" style="511" customWidth="1"/>
    <col min="11276" max="11277" width="12.5703125" style="511" customWidth="1"/>
    <col min="11278" max="11278" width="11.5703125" style="511" bestFit="1" customWidth="1"/>
    <col min="11279" max="11279" width="42.140625" style="511" customWidth="1"/>
    <col min="11280" max="11280" width="12.5703125" style="511" customWidth="1"/>
    <col min="11281" max="11281" width="10" style="511" customWidth="1"/>
    <col min="11282" max="11282" width="13.85546875" style="511" customWidth="1"/>
    <col min="11283" max="11283" width="9.5703125" style="511"/>
    <col min="11284" max="11284" width="10" style="511" customWidth="1"/>
    <col min="11285" max="11285" width="64" style="511" customWidth="1"/>
    <col min="11286" max="11287" width="0" style="511" hidden="1" customWidth="1"/>
    <col min="11288" max="11288" width="11.7109375" style="511" customWidth="1"/>
    <col min="11289" max="11289" width="14.42578125" style="511" bestFit="1" customWidth="1"/>
    <col min="11290" max="11290" width="12.42578125" style="511" customWidth="1"/>
    <col min="11291" max="11291" width="11.140625" style="511" customWidth="1"/>
    <col min="11292" max="11292" width="12.42578125" style="511" customWidth="1"/>
    <col min="11293" max="11293" width="13.7109375" style="511" customWidth="1"/>
    <col min="11294" max="11294" width="29.85546875" style="511" customWidth="1"/>
    <col min="11295" max="11295" width="11.28515625" style="511" customWidth="1"/>
    <col min="11296" max="11296" width="10.42578125" style="511" bestFit="1" customWidth="1"/>
    <col min="11297" max="11297" width="11.5703125" style="511" customWidth="1"/>
    <col min="11298" max="11298" width="11.28515625" style="511" customWidth="1"/>
    <col min="11299" max="11520" width="9.5703125" style="511"/>
    <col min="11521" max="11525" width="0" style="511" hidden="1" customWidth="1"/>
    <col min="11526" max="11526" width="11.42578125" style="511" customWidth="1"/>
    <col min="11527" max="11527" width="8.42578125" style="511" customWidth="1"/>
    <col min="11528" max="11528" width="56.28515625" style="511" customWidth="1"/>
    <col min="11529" max="11529" width="11.85546875" style="511" customWidth="1"/>
    <col min="11530" max="11530" width="11.28515625" style="511" customWidth="1"/>
    <col min="11531" max="11531" width="14.5703125" style="511" customWidth="1"/>
    <col min="11532" max="11533" width="12.5703125" style="511" customWidth="1"/>
    <col min="11534" max="11534" width="11.5703125" style="511" bestFit="1" customWidth="1"/>
    <col min="11535" max="11535" width="42.140625" style="511" customWidth="1"/>
    <col min="11536" max="11536" width="12.5703125" style="511" customWidth="1"/>
    <col min="11537" max="11537" width="10" style="511" customWidth="1"/>
    <col min="11538" max="11538" width="13.85546875" style="511" customWidth="1"/>
    <col min="11539" max="11539" width="9.5703125" style="511"/>
    <col min="11540" max="11540" width="10" style="511" customWidth="1"/>
    <col min="11541" max="11541" width="64" style="511" customWidth="1"/>
    <col min="11542" max="11543" width="0" style="511" hidden="1" customWidth="1"/>
    <col min="11544" max="11544" width="11.7109375" style="511" customWidth="1"/>
    <col min="11545" max="11545" width="14.42578125" style="511" bestFit="1" customWidth="1"/>
    <col min="11546" max="11546" width="12.42578125" style="511" customWidth="1"/>
    <col min="11547" max="11547" width="11.140625" style="511" customWidth="1"/>
    <col min="11548" max="11548" width="12.42578125" style="511" customWidth="1"/>
    <col min="11549" max="11549" width="13.7109375" style="511" customWidth="1"/>
    <col min="11550" max="11550" width="29.85546875" style="511" customWidth="1"/>
    <col min="11551" max="11551" width="11.28515625" style="511" customWidth="1"/>
    <col min="11552" max="11552" width="10.42578125" style="511" bestFit="1" customWidth="1"/>
    <col min="11553" max="11553" width="11.5703125" style="511" customWidth="1"/>
    <col min="11554" max="11554" width="11.28515625" style="511" customWidth="1"/>
    <col min="11555" max="11776" width="9.5703125" style="511"/>
    <col min="11777" max="11781" width="0" style="511" hidden="1" customWidth="1"/>
    <col min="11782" max="11782" width="11.42578125" style="511" customWidth="1"/>
    <col min="11783" max="11783" width="8.42578125" style="511" customWidth="1"/>
    <col min="11784" max="11784" width="56.28515625" style="511" customWidth="1"/>
    <col min="11785" max="11785" width="11.85546875" style="511" customWidth="1"/>
    <col min="11786" max="11786" width="11.28515625" style="511" customWidth="1"/>
    <col min="11787" max="11787" width="14.5703125" style="511" customWidth="1"/>
    <col min="11788" max="11789" width="12.5703125" style="511" customWidth="1"/>
    <col min="11790" max="11790" width="11.5703125" style="511" bestFit="1" customWidth="1"/>
    <col min="11791" max="11791" width="42.140625" style="511" customWidth="1"/>
    <col min="11792" max="11792" width="12.5703125" style="511" customWidth="1"/>
    <col min="11793" max="11793" width="10" style="511" customWidth="1"/>
    <col min="11794" max="11794" width="13.85546875" style="511" customWidth="1"/>
    <col min="11795" max="11795" width="9.5703125" style="511"/>
    <col min="11796" max="11796" width="10" style="511" customWidth="1"/>
    <col min="11797" max="11797" width="64" style="511" customWidth="1"/>
    <col min="11798" max="11799" width="0" style="511" hidden="1" customWidth="1"/>
    <col min="11800" max="11800" width="11.7109375" style="511" customWidth="1"/>
    <col min="11801" max="11801" width="14.42578125" style="511" bestFit="1" customWidth="1"/>
    <col min="11802" max="11802" width="12.42578125" style="511" customWidth="1"/>
    <col min="11803" max="11803" width="11.140625" style="511" customWidth="1"/>
    <col min="11804" max="11804" width="12.42578125" style="511" customWidth="1"/>
    <col min="11805" max="11805" width="13.7109375" style="511" customWidth="1"/>
    <col min="11806" max="11806" width="29.85546875" style="511" customWidth="1"/>
    <col min="11807" max="11807" width="11.28515625" style="511" customWidth="1"/>
    <col min="11808" max="11808" width="10.42578125" style="511" bestFit="1" customWidth="1"/>
    <col min="11809" max="11809" width="11.5703125" style="511" customWidth="1"/>
    <col min="11810" max="11810" width="11.28515625" style="511" customWidth="1"/>
    <col min="11811" max="12032" width="9.5703125" style="511"/>
    <col min="12033" max="12037" width="0" style="511" hidden="1" customWidth="1"/>
    <col min="12038" max="12038" width="11.42578125" style="511" customWidth="1"/>
    <col min="12039" max="12039" width="8.42578125" style="511" customWidth="1"/>
    <col min="12040" max="12040" width="56.28515625" style="511" customWidth="1"/>
    <col min="12041" max="12041" width="11.85546875" style="511" customWidth="1"/>
    <col min="12042" max="12042" width="11.28515625" style="511" customWidth="1"/>
    <col min="12043" max="12043" width="14.5703125" style="511" customWidth="1"/>
    <col min="12044" max="12045" width="12.5703125" style="511" customWidth="1"/>
    <col min="12046" max="12046" width="11.5703125" style="511" bestFit="1" customWidth="1"/>
    <col min="12047" max="12047" width="42.140625" style="511" customWidth="1"/>
    <col min="12048" max="12048" width="12.5703125" style="511" customWidth="1"/>
    <col min="12049" max="12049" width="10" style="511" customWidth="1"/>
    <col min="12050" max="12050" width="13.85546875" style="511" customWidth="1"/>
    <col min="12051" max="12051" width="9.5703125" style="511"/>
    <col min="12052" max="12052" width="10" style="511" customWidth="1"/>
    <col min="12053" max="12053" width="64" style="511" customWidth="1"/>
    <col min="12054" max="12055" width="0" style="511" hidden="1" customWidth="1"/>
    <col min="12056" max="12056" width="11.7109375" style="511" customWidth="1"/>
    <col min="12057" max="12057" width="14.42578125" style="511" bestFit="1" customWidth="1"/>
    <col min="12058" max="12058" width="12.42578125" style="511" customWidth="1"/>
    <col min="12059" max="12059" width="11.140625" style="511" customWidth="1"/>
    <col min="12060" max="12060" width="12.42578125" style="511" customWidth="1"/>
    <col min="12061" max="12061" width="13.7109375" style="511" customWidth="1"/>
    <col min="12062" max="12062" width="29.85546875" style="511" customWidth="1"/>
    <col min="12063" max="12063" width="11.28515625" style="511" customWidth="1"/>
    <col min="12064" max="12064" width="10.42578125" style="511" bestFit="1" customWidth="1"/>
    <col min="12065" max="12065" width="11.5703125" style="511" customWidth="1"/>
    <col min="12066" max="12066" width="11.28515625" style="511" customWidth="1"/>
    <col min="12067" max="12288" width="9.5703125" style="511"/>
    <col min="12289" max="12293" width="0" style="511" hidden="1" customWidth="1"/>
    <col min="12294" max="12294" width="11.42578125" style="511" customWidth="1"/>
    <col min="12295" max="12295" width="8.42578125" style="511" customWidth="1"/>
    <col min="12296" max="12296" width="56.28515625" style="511" customWidth="1"/>
    <col min="12297" max="12297" width="11.85546875" style="511" customWidth="1"/>
    <col min="12298" max="12298" width="11.28515625" style="511" customWidth="1"/>
    <col min="12299" max="12299" width="14.5703125" style="511" customWidth="1"/>
    <col min="12300" max="12301" width="12.5703125" style="511" customWidth="1"/>
    <col min="12302" max="12302" width="11.5703125" style="511" bestFit="1" customWidth="1"/>
    <col min="12303" max="12303" width="42.140625" style="511" customWidth="1"/>
    <col min="12304" max="12304" width="12.5703125" style="511" customWidth="1"/>
    <col min="12305" max="12305" width="10" style="511" customWidth="1"/>
    <col min="12306" max="12306" width="13.85546875" style="511" customWidth="1"/>
    <col min="12307" max="12307" width="9.5703125" style="511"/>
    <col min="12308" max="12308" width="10" style="511" customWidth="1"/>
    <col min="12309" max="12309" width="64" style="511" customWidth="1"/>
    <col min="12310" max="12311" width="0" style="511" hidden="1" customWidth="1"/>
    <col min="12312" max="12312" width="11.7109375" style="511" customWidth="1"/>
    <col min="12313" max="12313" width="14.42578125" style="511" bestFit="1" customWidth="1"/>
    <col min="12314" max="12314" width="12.42578125" style="511" customWidth="1"/>
    <col min="12315" max="12315" width="11.140625" style="511" customWidth="1"/>
    <col min="12316" max="12316" width="12.42578125" style="511" customWidth="1"/>
    <col min="12317" max="12317" width="13.7109375" style="511" customWidth="1"/>
    <col min="12318" max="12318" width="29.85546875" style="511" customWidth="1"/>
    <col min="12319" max="12319" width="11.28515625" style="511" customWidth="1"/>
    <col min="12320" max="12320" width="10.42578125" style="511" bestFit="1" customWidth="1"/>
    <col min="12321" max="12321" width="11.5703125" style="511" customWidth="1"/>
    <col min="12322" max="12322" width="11.28515625" style="511" customWidth="1"/>
    <col min="12323" max="12544" width="9.5703125" style="511"/>
    <col min="12545" max="12549" width="0" style="511" hidden="1" customWidth="1"/>
    <col min="12550" max="12550" width="11.42578125" style="511" customWidth="1"/>
    <col min="12551" max="12551" width="8.42578125" style="511" customWidth="1"/>
    <col min="12552" max="12552" width="56.28515625" style="511" customWidth="1"/>
    <col min="12553" max="12553" width="11.85546875" style="511" customWidth="1"/>
    <col min="12554" max="12554" width="11.28515625" style="511" customWidth="1"/>
    <col min="12555" max="12555" width="14.5703125" style="511" customWidth="1"/>
    <col min="12556" max="12557" width="12.5703125" style="511" customWidth="1"/>
    <col min="12558" max="12558" width="11.5703125" style="511" bestFit="1" customWidth="1"/>
    <col min="12559" max="12559" width="42.140625" style="511" customWidth="1"/>
    <col min="12560" max="12560" width="12.5703125" style="511" customWidth="1"/>
    <col min="12561" max="12561" width="10" style="511" customWidth="1"/>
    <col min="12562" max="12562" width="13.85546875" style="511" customWidth="1"/>
    <col min="12563" max="12563" width="9.5703125" style="511"/>
    <col min="12564" max="12564" width="10" style="511" customWidth="1"/>
    <col min="12565" max="12565" width="64" style="511" customWidth="1"/>
    <col min="12566" max="12567" width="0" style="511" hidden="1" customWidth="1"/>
    <col min="12568" max="12568" width="11.7109375" style="511" customWidth="1"/>
    <col min="12569" max="12569" width="14.42578125" style="511" bestFit="1" customWidth="1"/>
    <col min="12570" max="12570" width="12.42578125" style="511" customWidth="1"/>
    <col min="12571" max="12571" width="11.140625" style="511" customWidth="1"/>
    <col min="12572" max="12572" width="12.42578125" style="511" customWidth="1"/>
    <col min="12573" max="12573" width="13.7109375" style="511" customWidth="1"/>
    <col min="12574" max="12574" width="29.85546875" style="511" customWidth="1"/>
    <col min="12575" max="12575" width="11.28515625" style="511" customWidth="1"/>
    <col min="12576" max="12576" width="10.42578125" style="511" bestFit="1" customWidth="1"/>
    <col min="12577" max="12577" width="11.5703125" style="511" customWidth="1"/>
    <col min="12578" max="12578" width="11.28515625" style="511" customWidth="1"/>
    <col min="12579" max="12800" width="9.5703125" style="511"/>
    <col min="12801" max="12805" width="0" style="511" hidden="1" customWidth="1"/>
    <col min="12806" max="12806" width="11.42578125" style="511" customWidth="1"/>
    <col min="12807" max="12807" width="8.42578125" style="511" customWidth="1"/>
    <col min="12808" max="12808" width="56.28515625" style="511" customWidth="1"/>
    <col min="12809" max="12809" width="11.85546875" style="511" customWidth="1"/>
    <col min="12810" max="12810" width="11.28515625" style="511" customWidth="1"/>
    <col min="12811" max="12811" width="14.5703125" style="511" customWidth="1"/>
    <col min="12812" max="12813" width="12.5703125" style="511" customWidth="1"/>
    <col min="12814" max="12814" width="11.5703125" style="511" bestFit="1" customWidth="1"/>
    <col min="12815" max="12815" width="42.140625" style="511" customWidth="1"/>
    <col min="12816" max="12816" width="12.5703125" style="511" customWidth="1"/>
    <col min="12817" max="12817" width="10" style="511" customWidth="1"/>
    <col min="12818" max="12818" width="13.85546875" style="511" customWidth="1"/>
    <col min="12819" max="12819" width="9.5703125" style="511"/>
    <col min="12820" max="12820" width="10" style="511" customWidth="1"/>
    <col min="12821" max="12821" width="64" style="511" customWidth="1"/>
    <col min="12822" max="12823" width="0" style="511" hidden="1" customWidth="1"/>
    <col min="12824" max="12824" width="11.7109375" style="511" customWidth="1"/>
    <col min="12825" max="12825" width="14.42578125" style="511" bestFit="1" customWidth="1"/>
    <col min="12826" max="12826" width="12.42578125" style="511" customWidth="1"/>
    <col min="12827" max="12827" width="11.140625" style="511" customWidth="1"/>
    <col min="12828" max="12828" width="12.42578125" style="511" customWidth="1"/>
    <col min="12829" max="12829" width="13.7109375" style="511" customWidth="1"/>
    <col min="12830" max="12830" width="29.85546875" style="511" customWidth="1"/>
    <col min="12831" max="12831" width="11.28515625" style="511" customWidth="1"/>
    <col min="12832" max="12832" width="10.42578125" style="511" bestFit="1" customWidth="1"/>
    <col min="12833" max="12833" width="11.5703125" style="511" customWidth="1"/>
    <col min="12834" max="12834" width="11.28515625" style="511" customWidth="1"/>
    <col min="12835" max="13056" width="9.5703125" style="511"/>
    <col min="13057" max="13061" width="0" style="511" hidden="1" customWidth="1"/>
    <col min="13062" max="13062" width="11.42578125" style="511" customWidth="1"/>
    <col min="13063" max="13063" width="8.42578125" style="511" customWidth="1"/>
    <col min="13064" max="13064" width="56.28515625" style="511" customWidth="1"/>
    <col min="13065" max="13065" width="11.85546875" style="511" customWidth="1"/>
    <col min="13066" max="13066" width="11.28515625" style="511" customWidth="1"/>
    <col min="13067" max="13067" width="14.5703125" style="511" customWidth="1"/>
    <col min="13068" max="13069" width="12.5703125" style="511" customWidth="1"/>
    <col min="13070" max="13070" width="11.5703125" style="511" bestFit="1" customWidth="1"/>
    <col min="13071" max="13071" width="42.140625" style="511" customWidth="1"/>
    <col min="13072" max="13072" width="12.5703125" style="511" customWidth="1"/>
    <col min="13073" max="13073" width="10" style="511" customWidth="1"/>
    <col min="13074" max="13074" width="13.85546875" style="511" customWidth="1"/>
    <col min="13075" max="13075" width="9.5703125" style="511"/>
    <col min="13076" max="13076" width="10" style="511" customWidth="1"/>
    <col min="13077" max="13077" width="64" style="511" customWidth="1"/>
    <col min="13078" max="13079" width="0" style="511" hidden="1" customWidth="1"/>
    <col min="13080" max="13080" width="11.7109375" style="511" customWidth="1"/>
    <col min="13081" max="13081" width="14.42578125" style="511" bestFit="1" customWidth="1"/>
    <col min="13082" max="13082" width="12.42578125" style="511" customWidth="1"/>
    <col min="13083" max="13083" width="11.140625" style="511" customWidth="1"/>
    <col min="13084" max="13084" width="12.42578125" style="511" customWidth="1"/>
    <col min="13085" max="13085" width="13.7109375" style="511" customWidth="1"/>
    <col min="13086" max="13086" width="29.85546875" style="511" customWidth="1"/>
    <col min="13087" max="13087" width="11.28515625" style="511" customWidth="1"/>
    <col min="13088" max="13088" width="10.42578125" style="511" bestFit="1" customWidth="1"/>
    <col min="13089" max="13089" width="11.5703125" style="511" customWidth="1"/>
    <col min="13090" max="13090" width="11.28515625" style="511" customWidth="1"/>
    <col min="13091" max="13312" width="9.5703125" style="511"/>
    <col min="13313" max="13317" width="0" style="511" hidden="1" customWidth="1"/>
    <col min="13318" max="13318" width="11.42578125" style="511" customWidth="1"/>
    <col min="13319" max="13319" width="8.42578125" style="511" customWidth="1"/>
    <col min="13320" max="13320" width="56.28515625" style="511" customWidth="1"/>
    <col min="13321" max="13321" width="11.85546875" style="511" customWidth="1"/>
    <col min="13322" max="13322" width="11.28515625" style="511" customWidth="1"/>
    <col min="13323" max="13323" width="14.5703125" style="511" customWidth="1"/>
    <col min="13324" max="13325" width="12.5703125" style="511" customWidth="1"/>
    <col min="13326" max="13326" width="11.5703125" style="511" bestFit="1" customWidth="1"/>
    <col min="13327" max="13327" width="42.140625" style="511" customWidth="1"/>
    <col min="13328" max="13328" width="12.5703125" style="511" customWidth="1"/>
    <col min="13329" max="13329" width="10" style="511" customWidth="1"/>
    <col min="13330" max="13330" width="13.85546875" style="511" customWidth="1"/>
    <col min="13331" max="13331" width="9.5703125" style="511"/>
    <col min="13332" max="13332" width="10" style="511" customWidth="1"/>
    <col min="13333" max="13333" width="64" style="511" customWidth="1"/>
    <col min="13334" max="13335" width="0" style="511" hidden="1" customWidth="1"/>
    <col min="13336" max="13336" width="11.7109375" style="511" customWidth="1"/>
    <col min="13337" max="13337" width="14.42578125" style="511" bestFit="1" customWidth="1"/>
    <col min="13338" max="13338" width="12.42578125" style="511" customWidth="1"/>
    <col min="13339" max="13339" width="11.140625" style="511" customWidth="1"/>
    <col min="13340" max="13340" width="12.42578125" style="511" customWidth="1"/>
    <col min="13341" max="13341" width="13.7109375" style="511" customWidth="1"/>
    <col min="13342" max="13342" width="29.85546875" style="511" customWidth="1"/>
    <col min="13343" max="13343" width="11.28515625" style="511" customWidth="1"/>
    <col min="13344" max="13344" width="10.42578125" style="511" bestFit="1" customWidth="1"/>
    <col min="13345" max="13345" width="11.5703125" style="511" customWidth="1"/>
    <col min="13346" max="13346" width="11.28515625" style="511" customWidth="1"/>
    <col min="13347" max="13568" width="9.5703125" style="511"/>
    <col min="13569" max="13573" width="0" style="511" hidden="1" customWidth="1"/>
    <col min="13574" max="13574" width="11.42578125" style="511" customWidth="1"/>
    <col min="13575" max="13575" width="8.42578125" style="511" customWidth="1"/>
    <col min="13576" max="13576" width="56.28515625" style="511" customWidth="1"/>
    <col min="13577" max="13577" width="11.85546875" style="511" customWidth="1"/>
    <col min="13578" max="13578" width="11.28515625" style="511" customWidth="1"/>
    <col min="13579" max="13579" width="14.5703125" style="511" customWidth="1"/>
    <col min="13580" max="13581" width="12.5703125" style="511" customWidth="1"/>
    <col min="13582" max="13582" width="11.5703125" style="511" bestFit="1" customWidth="1"/>
    <col min="13583" max="13583" width="42.140625" style="511" customWidth="1"/>
    <col min="13584" max="13584" width="12.5703125" style="511" customWidth="1"/>
    <col min="13585" max="13585" width="10" style="511" customWidth="1"/>
    <col min="13586" max="13586" width="13.85546875" style="511" customWidth="1"/>
    <col min="13587" max="13587" width="9.5703125" style="511"/>
    <col min="13588" max="13588" width="10" style="511" customWidth="1"/>
    <col min="13589" max="13589" width="64" style="511" customWidth="1"/>
    <col min="13590" max="13591" width="0" style="511" hidden="1" customWidth="1"/>
    <col min="13592" max="13592" width="11.7109375" style="511" customWidth="1"/>
    <col min="13593" max="13593" width="14.42578125" style="511" bestFit="1" customWidth="1"/>
    <col min="13594" max="13594" width="12.42578125" style="511" customWidth="1"/>
    <col min="13595" max="13595" width="11.140625" style="511" customWidth="1"/>
    <col min="13596" max="13596" width="12.42578125" style="511" customWidth="1"/>
    <col min="13597" max="13597" width="13.7109375" style="511" customWidth="1"/>
    <col min="13598" max="13598" width="29.85546875" style="511" customWidth="1"/>
    <col min="13599" max="13599" width="11.28515625" style="511" customWidth="1"/>
    <col min="13600" max="13600" width="10.42578125" style="511" bestFit="1" customWidth="1"/>
    <col min="13601" max="13601" width="11.5703125" style="511" customWidth="1"/>
    <col min="13602" max="13602" width="11.28515625" style="511" customWidth="1"/>
    <col min="13603" max="13824" width="9.5703125" style="511"/>
    <col min="13825" max="13829" width="0" style="511" hidden="1" customWidth="1"/>
    <col min="13830" max="13830" width="11.42578125" style="511" customWidth="1"/>
    <col min="13831" max="13831" width="8.42578125" style="511" customWidth="1"/>
    <col min="13832" max="13832" width="56.28515625" style="511" customWidth="1"/>
    <col min="13833" max="13833" width="11.85546875" style="511" customWidth="1"/>
    <col min="13834" max="13834" width="11.28515625" style="511" customWidth="1"/>
    <col min="13835" max="13835" width="14.5703125" style="511" customWidth="1"/>
    <col min="13836" max="13837" width="12.5703125" style="511" customWidth="1"/>
    <col min="13838" max="13838" width="11.5703125" style="511" bestFit="1" customWidth="1"/>
    <col min="13839" max="13839" width="42.140625" style="511" customWidth="1"/>
    <col min="13840" max="13840" width="12.5703125" style="511" customWidth="1"/>
    <col min="13841" max="13841" width="10" style="511" customWidth="1"/>
    <col min="13842" max="13842" width="13.85546875" style="511" customWidth="1"/>
    <col min="13843" max="13843" width="9.5703125" style="511"/>
    <col min="13844" max="13844" width="10" style="511" customWidth="1"/>
    <col min="13845" max="13845" width="64" style="511" customWidth="1"/>
    <col min="13846" max="13847" width="0" style="511" hidden="1" customWidth="1"/>
    <col min="13848" max="13848" width="11.7109375" style="511" customWidth="1"/>
    <col min="13849" max="13849" width="14.42578125" style="511" bestFit="1" customWidth="1"/>
    <col min="13850" max="13850" width="12.42578125" style="511" customWidth="1"/>
    <col min="13851" max="13851" width="11.140625" style="511" customWidth="1"/>
    <col min="13852" max="13852" width="12.42578125" style="511" customWidth="1"/>
    <col min="13853" max="13853" width="13.7109375" style="511" customWidth="1"/>
    <col min="13854" max="13854" width="29.85546875" style="511" customWidth="1"/>
    <col min="13855" max="13855" width="11.28515625" style="511" customWidth="1"/>
    <col min="13856" max="13856" width="10.42578125" style="511" bestFit="1" customWidth="1"/>
    <col min="13857" max="13857" width="11.5703125" style="511" customWidth="1"/>
    <col min="13858" max="13858" width="11.28515625" style="511" customWidth="1"/>
    <col min="13859" max="14080" width="9.5703125" style="511"/>
    <col min="14081" max="14085" width="0" style="511" hidden="1" customWidth="1"/>
    <col min="14086" max="14086" width="11.42578125" style="511" customWidth="1"/>
    <col min="14087" max="14087" width="8.42578125" style="511" customWidth="1"/>
    <col min="14088" max="14088" width="56.28515625" style="511" customWidth="1"/>
    <col min="14089" max="14089" width="11.85546875" style="511" customWidth="1"/>
    <col min="14090" max="14090" width="11.28515625" style="511" customWidth="1"/>
    <col min="14091" max="14091" width="14.5703125" style="511" customWidth="1"/>
    <col min="14092" max="14093" width="12.5703125" style="511" customWidth="1"/>
    <col min="14094" max="14094" width="11.5703125" style="511" bestFit="1" customWidth="1"/>
    <col min="14095" max="14095" width="42.140625" style="511" customWidth="1"/>
    <col min="14096" max="14096" width="12.5703125" style="511" customWidth="1"/>
    <col min="14097" max="14097" width="10" style="511" customWidth="1"/>
    <col min="14098" max="14098" width="13.85546875" style="511" customWidth="1"/>
    <col min="14099" max="14099" width="9.5703125" style="511"/>
    <col min="14100" max="14100" width="10" style="511" customWidth="1"/>
    <col min="14101" max="14101" width="64" style="511" customWidth="1"/>
    <col min="14102" max="14103" width="0" style="511" hidden="1" customWidth="1"/>
    <col min="14104" max="14104" width="11.7109375" style="511" customWidth="1"/>
    <col min="14105" max="14105" width="14.42578125" style="511" bestFit="1" customWidth="1"/>
    <col min="14106" max="14106" width="12.42578125" style="511" customWidth="1"/>
    <col min="14107" max="14107" width="11.140625" style="511" customWidth="1"/>
    <col min="14108" max="14108" width="12.42578125" style="511" customWidth="1"/>
    <col min="14109" max="14109" width="13.7109375" style="511" customWidth="1"/>
    <col min="14110" max="14110" width="29.85546875" style="511" customWidth="1"/>
    <col min="14111" max="14111" width="11.28515625" style="511" customWidth="1"/>
    <col min="14112" max="14112" width="10.42578125" style="511" bestFit="1" customWidth="1"/>
    <col min="14113" max="14113" width="11.5703125" style="511" customWidth="1"/>
    <col min="14114" max="14114" width="11.28515625" style="511" customWidth="1"/>
    <col min="14115" max="14336" width="9.5703125" style="511"/>
    <col min="14337" max="14341" width="0" style="511" hidden="1" customWidth="1"/>
    <col min="14342" max="14342" width="11.42578125" style="511" customWidth="1"/>
    <col min="14343" max="14343" width="8.42578125" style="511" customWidth="1"/>
    <col min="14344" max="14344" width="56.28515625" style="511" customWidth="1"/>
    <col min="14345" max="14345" width="11.85546875" style="511" customWidth="1"/>
    <col min="14346" max="14346" width="11.28515625" style="511" customWidth="1"/>
    <col min="14347" max="14347" width="14.5703125" style="511" customWidth="1"/>
    <col min="14348" max="14349" width="12.5703125" style="511" customWidth="1"/>
    <col min="14350" max="14350" width="11.5703125" style="511" bestFit="1" customWidth="1"/>
    <col min="14351" max="14351" width="42.140625" style="511" customWidth="1"/>
    <col min="14352" max="14352" width="12.5703125" style="511" customWidth="1"/>
    <col min="14353" max="14353" width="10" style="511" customWidth="1"/>
    <col min="14354" max="14354" width="13.85546875" style="511" customWidth="1"/>
    <col min="14355" max="14355" width="9.5703125" style="511"/>
    <col min="14356" max="14356" width="10" style="511" customWidth="1"/>
    <col min="14357" max="14357" width="64" style="511" customWidth="1"/>
    <col min="14358" max="14359" width="0" style="511" hidden="1" customWidth="1"/>
    <col min="14360" max="14360" width="11.7109375" style="511" customWidth="1"/>
    <col min="14361" max="14361" width="14.42578125" style="511" bestFit="1" customWidth="1"/>
    <col min="14362" max="14362" width="12.42578125" style="511" customWidth="1"/>
    <col min="14363" max="14363" width="11.140625" style="511" customWidth="1"/>
    <col min="14364" max="14364" width="12.42578125" style="511" customWidth="1"/>
    <col min="14365" max="14365" width="13.7109375" style="511" customWidth="1"/>
    <col min="14366" max="14366" width="29.85546875" style="511" customWidth="1"/>
    <col min="14367" max="14367" width="11.28515625" style="511" customWidth="1"/>
    <col min="14368" max="14368" width="10.42578125" style="511" bestFit="1" customWidth="1"/>
    <col min="14369" max="14369" width="11.5703125" style="511" customWidth="1"/>
    <col min="14370" max="14370" width="11.28515625" style="511" customWidth="1"/>
    <col min="14371" max="14592" width="9.5703125" style="511"/>
    <col min="14593" max="14597" width="0" style="511" hidden="1" customWidth="1"/>
    <col min="14598" max="14598" width="11.42578125" style="511" customWidth="1"/>
    <col min="14599" max="14599" width="8.42578125" style="511" customWidth="1"/>
    <col min="14600" max="14600" width="56.28515625" style="511" customWidth="1"/>
    <col min="14601" max="14601" width="11.85546875" style="511" customWidth="1"/>
    <col min="14602" max="14602" width="11.28515625" style="511" customWidth="1"/>
    <col min="14603" max="14603" width="14.5703125" style="511" customWidth="1"/>
    <col min="14604" max="14605" width="12.5703125" style="511" customWidth="1"/>
    <col min="14606" max="14606" width="11.5703125" style="511" bestFit="1" customWidth="1"/>
    <col min="14607" max="14607" width="42.140625" style="511" customWidth="1"/>
    <col min="14608" max="14608" width="12.5703125" style="511" customWidth="1"/>
    <col min="14609" max="14609" width="10" style="511" customWidth="1"/>
    <col min="14610" max="14610" width="13.85546875" style="511" customWidth="1"/>
    <col min="14611" max="14611" width="9.5703125" style="511"/>
    <col min="14612" max="14612" width="10" style="511" customWidth="1"/>
    <col min="14613" max="14613" width="64" style="511" customWidth="1"/>
    <col min="14614" max="14615" width="0" style="511" hidden="1" customWidth="1"/>
    <col min="14616" max="14616" width="11.7109375" style="511" customWidth="1"/>
    <col min="14617" max="14617" width="14.42578125" style="511" bestFit="1" customWidth="1"/>
    <col min="14618" max="14618" width="12.42578125" style="511" customWidth="1"/>
    <col min="14619" max="14619" width="11.140625" style="511" customWidth="1"/>
    <col min="14620" max="14620" width="12.42578125" style="511" customWidth="1"/>
    <col min="14621" max="14621" width="13.7109375" style="511" customWidth="1"/>
    <col min="14622" max="14622" width="29.85546875" style="511" customWidth="1"/>
    <col min="14623" max="14623" width="11.28515625" style="511" customWidth="1"/>
    <col min="14624" max="14624" width="10.42578125" style="511" bestFit="1" customWidth="1"/>
    <col min="14625" max="14625" width="11.5703125" style="511" customWidth="1"/>
    <col min="14626" max="14626" width="11.28515625" style="511" customWidth="1"/>
    <col min="14627" max="14848" width="9.5703125" style="511"/>
    <col min="14849" max="14853" width="0" style="511" hidden="1" customWidth="1"/>
    <col min="14854" max="14854" width="11.42578125" style="511" customWidth="1"/>
    <col min="14855" max="14855" width="8.42578125" style="511" customWidth="1"/>
    <col min="14856" max="14856" width="56.28515625" style="511" customWidth="1"/>
    <col min="14857" max="14857" width="11.85546875" style="511" customWidth="1"/>
    <col min="14858" max="14858" width="11.28515625" style="511" customWidth="1"/>
    <col min="14859" max="14859" width="14.5703125" style="511" customWidth="1"/>
    <col min="14860" max="14861" width="12.5703125" style="511" customWidth="1"/>
    <col min="14862" max="14862" width="11.5703125" style="511" bestFit="1" customWidth="1"/>
    <col min="14863" max="14863" width="42.140625" style="511" customWidth="1"/>
    <col min="14864" max="14864" width="12.5703125" style="511" customWidth="1"/>
    <col min="14865" max="14865" width="10" style="511" customWidth="1"/>
    <col min="14866" max="14866" width="13.85546875" style="511" customWidth="1"/>
    <col min="14867" max="14867" width="9.5703125" style="511"/>
    <col min="14868" max="14868" width="10" style="511" customWidth="1"/>
    <col min="14869" max="14869" width="64" style="511" customWidth="1"/>
    <col min="14870" max="14871" width="0" style="511" hidden="1" customWidth="1"/>
    <col min="14872" max="14872" width="11.7109375" style="511" customWidth="1"/>
    <col min="14873" max="14873" width="14.42578125" style="511" bestFit="1" customWidth="1"/>
    <col min="14874" max="14874" width="12.42578125" style="511" customWidth="1"/>
    <col min="14875" max="14875" width="11.140625" style="511" customWidth="1"/>
    <col min="14876" max="14876" width="12.42578125" style="511" customWidth="1"/>
    <col min="14877" max="14877" width="13.7109375" style="511" customWidth="1"/>
    <col min="14878" max="14878" width="29.85546875" style="511" customWidth="1"/>
    <col min="14879" max="14879" width="11.28515625" style="511" customWidth="1"/>
    <col min="14880" max="14880" width="10.42578125" style="511" bestFit="1" customWidth="1"/>
    <col min="14881" max="14881" width="11.5703125" style="511" customWidth="1"/>
    <col min="14882" max="14882" width="11.28515625" style="511" customWidth="1"/>
    <col min="14883" max="15104" width="9.5703125" style="511"/>
    <col min="15105" max="15109" width="0" style="511" hidden="1" customWidth="1"/>
    <col min="15110" max="15110" width="11.42578125" style="511" customWidth="1"/>
    <col min="15111" max="15111" width="8.42578125" style="511" customWidth="1"/>
    <col min="15112" max="15112" width="56.28515625" style="511" customWidth="1"/>
    <col min="15113" max="15113" width="11.85546875" style="511" customWidth="1"/>
    <col min="15114" max="15114" width="11.28515625" style="511" customWidth="1"/>
    <col min="15115" max="15115" width="14.5703125" style="511" customWidth="1"/>
    <col min="15116" max="15117" width="12.5703125" style="511" customWidth="1"/>
    <col min="15118" max="15118" width="11.5703125" style="511" bestFit="1" customWidth="1"/>
    <col min="15119" max="15119" width="42.140625" style="511" customWidth="1"/>
    <col min="15120" max="15120" width="12.5703125" style="511" customWidth="1"/>
    <col min="15121" max="15121" width="10" style="511" customWidth="1"/>
    <col min="15122" max="15122" width="13.85546875" style="511" customWidth="1"/>
    <col min="15123" max="15123" width="9.5703125" style="511"/>
    <col min="15124" max="15124" width="10" style="511" customWidth="1"/>
    <col min="15125" max="15125" width="64" style="511" customWidth="1"/>
    <col min="15126" max="15127" width="0" style="511" hidden="1" customWidth="1"/>
    <col min="15128" max="15128" width="11.7109375" style="511" customWidth="1"/>
    <col min="15129" max="15129" width="14.42578125" style="511" bestFit="1" customWidth="1"/>
    <col min="15130" max="15130" width="12.42578125" style="511" customWidth="1"/>
    <col min="15131" max="15131" width="11.140625" style="511" customWidth="1"/>
    <col min="15132" max="15132" width="12.42578125" style="511" customWidth="1"/>
    <col min="15133" max="15133" width="13.7109375" style="511" customWidth="1"/>
    <col min="15134" max="15134" width="29.85546875" style="511" customWidth="1"/>
    <col min="15135" max="15135" width="11.28515625" style="511" customWidth="1"/>
    <col min="15136" max="15136" width="10.42578125" style="511" bestFit="1" customWidth="1"/>
    <col min="15137" max="15137" width="11.5703125" style="511" customWidth="1"/>
    <col min="15138" max="15138" width="11.28515625" style="511" customWidth="1"/>
    <col min="15139" max="15360" width="9.5703125" style="511"/>
    <col min="15361" max="15365" width="0" style="511" hidden="1" customWidth="1"/>
    <col min="15366" max="15366" width="11.42578125" style="511" customWidth="1"/>
    <col min="15367" max="15367" width="8.42578125" style="511" customWidth="1"/>
    <col min="15368" max="15368" width="56.28515625" style="511" customWidth="1"/>
    <col min="15369" max="15369" width="11.85546875" style="511" customWidth="1"/>
    <col min="15370" max="15370" width="11.28515625" style="511" customWidth="1"/>
    <col min="15371" max="15371" width="14.5703125" style="511" customWidth="1"/>
    <col min="15372" max="15373" width="12.5703125" style="511" customWidth="1"/>
    <col min="15374" max="15374" width="11.5703125" style="511" bestFit="1" customWidth="1"/>
    <col min="15375" max="15375" width="42.140625" style="511" customWidth="1"/>
    <col min="15376" max="15376" width="12.5703125" style="511" customWidth="1"/>
    <col min="15377" max="15377" width="10" style="511" customWidth="1"/>
    <col min="15378" max="15378" width="13.85546875" style="511" customWidth="1"/>
    <col min="15379" max="15379" width="9.5703125" style="511"/>
    <col min="15380" max="15380" width="10" style="511" customWidth="1"/>
    <col min="15381" max="15381" width="64" style="511" customWidth="1"/>
    <col min="15382" max="15383" width="0" style="511" hidden="1" customWidth="1"/>
    <col min="15384" max="15384" width="11.7109375" style="511" customWidth="1"/>
    <col min="15385" max="15385" width="14.42578125" style="511" bestFit="1" customWidth="1"/>
    <col min="15386" max="15386" width="12.42578125" style="511" customWidth="1"/>
    <col min="15387" max="15387" width="11.140625" style="511" customWidth="1"/>
    <col min="15388" max="15388" width="12.42578125" style="511" customWidth="1"/>
    <col min="15389" max="15389" width="13.7109375" style="511" customWidth="1"/>
    <col min="15390" max="15390" width="29.85546875" style="511" customWidth="1"/>
    <col min="15391" max="15391" width="11.28515625" style="511" customWidth="1"/>
    <col min="15392" max="15392" width="10.42578125" style="511" bestFit="1" customWidth="1"/>
    <col min="15393" max="15393" width="11.5703125" style="511" customWidth="1"/>
    <col min="15394" max="15394" width="11.28515625" style="511" customWidth="1"/>
    <col min="15395" max="15616" width="9.5703125" style="511"/>
    <col min="15617" max="15621" width="0" style="511" hidden="1" customWidth="1"/>
    <col min="15622" max="15622" width="11.42578125" style="511" customWidth="1"/>
    <col min="15623" max="15623" width="8.42578125" style="511" customWidth="1"/>
    <col min="15624" max="15624" width="56.28515625" style="511" customWidth="1"/>
    <col min="15625" max="15625" width="11.85546875" style="511" customWidth="1"/>
    <col min="15626" max="15626" width="11.28515625" style="511" customWidth="1"/>
    <col min="15627" max="15627" width="14.5703125" style="511" customWidth="1"/>
    <col min="15628" max="15629" width="12.5703125" style="511" customWidth="1"/>
    <col min="15630" max="15630" width="11.5703125" style="511" bestFit="1" customWidth="1"/>
    <col min="15631" max="15631" width="42.140625" style="511" customWidth="1"/>
    <col min="15632" max="15632" width="12.5703125" style="511" customWidth="1"/>
    <col min="15633" max="15633" width="10" style="511" customWidth="1"/>
    <col min="15634" max="15634" width="13.85546875" style="511" customWidth="1"/>
    <col min="15635" max="15635" width="9.5703125" style="511"/>
    <col min="15636" max="15636" width="10" style="511" customWidth="1"/>
    <col min="15637" max="15637" width="64" style="511" customWidth="1"/>
    <col min="15638" max="15639" width="0" style="511" hidden="1" customWidth="1"/>
    <col min="15640" max="15640" width="11.7109375" style="511" customWidth="1"/>
    <col min="15641" max="15641" width="14.42578125" style="511" bestFit="1" customWidth="1"/>
    <col min="15642" max="15642" width="12.42578125" style="511" customWidth="1"/>
    <col min="15643" max="15643" width="11.140625" style="511" customWidth="1"/>
    <col min="15644" max="15644" width="12.42578125" style="511" customWidth="1"/>
    <col min="15645" max="15645" width="13.7109375" style="511" customWidth="1"/>
    <col min="15646" max="15646" width="29.85546875" style="511" customWidth="1"/>
    <col min="15647" max="15647" width="11.28515625" style="511" customWidth="1"/>
    <col min="15648" max="15648" width="10.42578125" style="511" bestFit="1" customWidth="1"/>
    <col min="15649" max="15649" width="11.5703125" style="511" customWidth="1"/>
    <col min="15650" max="15650" width="11.28515625" style="511" customWidth="1"/>
    <col min="15651" max="15872" width="9.5703125" style="511"/>
    <col min="15873" max="15877" width="0" style="511" hidden="1" customWidth="1"/>
    <col min="15878" max="15878" width="11.42578125" style="511" customWidth="1"/>
    <col min="15879" max="15879" width="8.42578125" style="511" customWidth="1"/>
    <col min="15880" max="15880" width="56.28515625" style="511" customWidth="1"/>
    <col min="15881" max="15881" width="11.85546875" style="511" customWidth="1"/>
    <col min="15882" max="15882" width="11.28515625" style="511" customWidth="1"/>
    <col min="15883" max="15883" width="14.5703125" style="511" customWidth="1"/>
    <col min="15884" max="15885" width="12.5703125" style="511" customWidth="1"/>
    <col min="15886" max="15886" width="11.5703125" style="511" bestFit="1" customWidth="1"/>
    <col min="15887" max="15887" width="42.140625" style="511" customWidth="1"/>
    <col min="15888" max="15888" width="12.5703125" style="511" customWidth="1"/>
    <col min="15889" max="15889" width="10" style="511" customWidth="1"/>
    <col min="15890" max="15890" width="13.85546875" style="511" customWidth="1"/>
    <col min="15891" max="15891" width="9.5703125" style="511"/>
    <col min="15892" max="15892" width="10" style="511" customWidth="1"/>
    <col min="15893" max="15893" width="64" style="511" customWidth="1"/>
    <col min="15894" max="15895" width="0" style="511" hidden="1" customWidth="1"/>
    <col min="15896" max="15896" width="11.7109375" style="511" customWidth="1"/>
    <col min="15897" max="15897" width="14.42578125" style="511" bestFit="1" customWidth="1"/>
    <col min="15898" max="15898" width="12.42578125" style="511" customWidth="1"/>
    <col min="15899" max="15899" width="11.140625" style="511" customWidth="1"/>
    <col min="15900" max="15900" width="12.42578125" style="511" customWidth="1"/>
    <col min="15901" max="15901" width="13.7109375" style="511" customWidth="1"/>
    <col min="15902" max="15902" width="29.85546875" style="511" customWidth="1"/>
    <col min="15903" max="15903" width="11.28515625" style="511" customWidth="1"/>
    <col min="15904" max="15904" width="10.42578125" style="511" bestFit="1" customWidth="1"/>
    <col min="15905" max="15905" width="11.5703125" style="511" customWidth="1"/>
    <col min="15906" max="15906" width="11.28515625" style="511" customWidth="1"/>
    <col min="15907" max="16128" width="9.5703125" style="511"/>
    <col min="16129" max="16133" width="0" style="511" hidden="1" customWidth="1"/>
    <col min="16134" max="16134" width="11.42578125" style="511" customWidth="1"/>
    <col min="16135" max="16135" width="8.42578125" style="511" customWidth="1"/>
    <col min="16136" max="16136" width="56.28515625" style="511" customWidth="1"/>
    <col min="16137" max="16137" width="11.85546875" style="511" customWidth="1"/>
    <col min="16138" max="16138" width="11.28515625" style="511" customWidth="1"/>
    <col min="16139" max="16139" width="14.5703125" style="511" customWidth="1"/>
    <col min="16140" max="16141" width="12.5703125" style="511" customWidth="1"/>
    <col min="16142" max="16142" width="11.5703125" style="511" bestFit="1" customWidth="1"/>
    <col min="16143" max="16143" width="42.140625" style="511" customWidth="1"/>
    <col min="16144" max="16144" width="12.5703125" style="511" customWidth="1"/>
    <col min="16145" max="16145" width="10" style="511" customWidth="1"/>
    <col min="16146" max="16146" width="13.85546875" style="511" customWidth="1"/>
    <col min="16147" max="16147" width="9.5703125" style="511"/>
    <col min="16148" max="16148" width="10" style="511" customWidth="1"/>
    <col min="16149" max="16149" width="64" style="511" customWidth="1"/>
    <col min="16150" max="16151" width="0" style="511" hidden="1" customWidth="1"/>
    <col min="16152" max="16152" width="11.7109375" style="511" customWidth="1"/>
    <col min="16153" max="16153" width="14.42578125" style="511" bestFit="1" customWidth="1"/>
    <col min="16154" max="16154" width="12.42578125" style="511" customWidth="1"/>
    <col min="16155" max="16155" width="11.140625" style="511" customWidth="1"/>
    <col min="16156" max="16156" width="12.42578125" style="511" customWidth="1"/>
    <col min="16157" max="16157" width="13.7109375" style="511" customWidth="1"/>
    <col min="16158" max="16158" width="29.85546875" style="511" customWidth="1"/>
    <col min="16159" max="16159" width="11.28515625" style="511" customWidth="1"/>
    <col min="16160" max="16160" width="10.42578125" style="511" bestFit="1" customWidth="1"/>
    <col min="16161" max="16161" width="11.5703125" style="511" customWidth="1"/>
    <col min="16162" max="16162" width="11.28515625" style="511" customWidth="1"/>
    <col min="16163" max="16384" width="9.5703125" style="511"/>
  </cols>
  <sheetData>
    <row r="1" spans="1:37" ht="19.5" hidden="1">
      <c r="A1" s="509" t="s">
        <v>30</v>
      </c>
      <c r="B1" s="510" t="s">
        <v>2483</v>
      </c>
      <c r="E1" s="509" t="s">
        <v>30</v>
      </c>
      <c r="H1" s="509" t="s">
        <v>2484</v>
      </c>
      <c r="O1" s="509" t="s">
        <v>2484</v>
      </c>
      <c r="U1" s="514" t="s">
        <v>2483</v>
      </c>
      <c r="V1" s="509" t="s">
        <v>2485</v>
      </c>
      <c r="W1" s="509" t="s">
        <v>30</v>
      </c>
    </row>
    <row r="2" spans="1:37" hidden="1">
      <c r="B2" s="515" t="s">
        <v>29</v>
      </c>
      <c r="E2" s="509" t="s">
        <v>30</v>
      </c>
      <c r="H2" s="510" t="s">
        <v>2486</v>
      </c>
      <c r="O2" s="510" t="s">
        <v>2486</v>
      </c>
      <c r="U2" s="515" t="s">
        <v>29</v>
      </c>
    </row>
    <row r="3" spans="1:37" hidden="1">
      <c r="A3" s="509" t="s">
        <v>2487</v>
      </c>
      <c r="B3" s="516" t="s">
        <v>2488</v>
      </c>
      <c r="C3" s="509" t="s">
        <v>2489</v>
      </c>
      <c r="E3" s="509" t="s">
        <v>30</v>
      </c>
      <c r="F3" s="517" t="s">
        <v>2487</v>
      </c>
      <c r="G3" s="518" t="s">
        <v>30</v>
      </c>
      <c r="H3" s="519" t="str">
        <f>B3</f>
        <v>Madurai TSp VIth Bn under 4000 quarters Scheme.</v>
      </c>
      <c r="J3" s="510" t="str">
        <f>C3</f>
        <v>2006-2007</v>
      </c>
      <c r="M3" s="509" t="s">
        <v>2487</v>
      </c>
      <c r="N3" s="509" t="s">
        <v>30</v>
      </c>
      <c r="O3" s="519" t="str">
        <f>B3</f>
        <v>Madurai TSp VIth Bn under 4000 quarters Scheme.</v>
      </c>
      <c r="Q3" s="519" t="str">
        <f>C3</f>
        <v>2006-2007</v>
      </c>
      <c r="T3" s="509" t="s">
        <v>2487</v>
      </c>
      <c r="U3" s="519" t="str">
        <f>B3</f>
        <v>Madurai TSp VIth Bn under 4000 quarters Scheme.</v>
      </c>
      <c r="W3" s="520" t="str">
        <f>C3</f>
        <v>2006-2007</v>
      </c>
      <c r="AA3" s="509" t="s">
        <v>30</v>
      </c>
    </row>
    <row r="4" spans="1:37" hidden="1">
      <c r="F4" s="515" t="s">
        <v>442</v>
      </c>
      <c r="G4" s="515" t="s">
        <v>442</v>
      </c>
      <c r="H4" s="515" t="s">
        <v>442</v>
      </c>
      <c r="I4" s="515" t="s">
        <v>442</v>
      </c>
      <c r="J4" s="515" t="s">
        <v>442</v>
      </c>
      <c r="K4" s="517" t="s">
        <v>442</v>
      </c>
      <c r="M4" s="515" t="s">
        <v>442</v>
      </c>
      <c r="N4" s="515" t="s">
        <v>442</v>
      </c>
      <c r="O4" s="515" t="s">
        <v>442</v>
      </c>
      <c r="P4" s="515" t="s">
        <v>442</v>
      </c>
      <c r="Q4" s="515" t="s">
        <v>442</v>
      </c>
      <c r="R4" s="515" t="s">
        <v>442</v>
      </c>
      <c r="U4" s="509" t="s">
        <v>30</v>
      </c>
      <c r="W4" s="509" t="s">
        <v>30</v>
      </c>
      <c r="X4" s="509" t="s">
        <v>2485</v>
      </c>
      <c r="Y4" s="509" t="s">
        <v>30</v>
      </c>
      <c r="AC4" s="509" t="s">
        <v>30</v>
      </c>
      <c r="AG4" s="509" t="s">
        <v>2490</v>
      </c>
    </row>
    <row r="5" spans="1:37" hidden="1">
      <c r="A5" s="515" t="s">
        <v>442</v>
      </c>
      <c r="B5" s="515" t="s">
        <v>442</v>
      </c>
      <c r="C5" s="515" t="s">
        <v>442</v>
      </c>
      <c r="D5" s="515" t="s">
        <v>442</v>
      </c>
      <c r="E5" s="509" t="s">
        <v>30</v>
      </c>
      <c r="F5" s="517" t="s">
        <v>2491</v>
      </c>
      <c r="G5" s="518" t="s">
        <v>30</v>
      </c>
      <c r="H5" s="510" t="s">
        <v>2492</v>
      </c>
      <c r="I5" s="510" t="s">
        <v>2493</v>
      </c>
      <c r="J5" s="510" t="s">
        <v>2494</v>
      </c>
      <c r="K5" s="517" t="s">
        <v>2495</v>
      </c>
      <c r="M5" s="510" t="s">
        <v>2491</v>
      </c>
      <c r="N5" s="509" t="s">
        <v>30</v>
      </c>
      <c r="O5" s="510" t="s">
        <v>2492</v>
      </c>
      <c r="P5" s="510" t="s">
        <v>2493</v>
      </c>
      <c r="Q5" s="510" t="s">
        <v>2494</v>
      </c>
      <c r="R5" s="510" t="s">
        <v>2495</v>
      </c>
      <c r="T5" s="515" t="s">
        <v>442</v>
      </c>
      <c r="U5" s="515" t="s">
        <v>442</v>
      </c>
      <c r="V5" s="515" t="s">
        <v>442</v>
      </c>
      <c r="W5" s="515" t="s">
        <v>442</v>
      </c>
      <c r="X5" s="515" t="s">
        <v>442</v>
      </c>
      <c r="Y5" s="515" t="s">
        <v>442</v>
      </c>
      <c r="Z5" s="515" t="s">
        <v>442</v>
      </c>
      <c r="AA5" s="515" t="s">
        <v>442</v>
      </c>
      <c r="AB5" s="515" t="s">
        <v>442</v>
      </c>
      <c r="AC5" s="515" t="s">
        <v>442</v>
      </c>
      <c r="AD5" s="515" t="s">
        <v>442</v>
      </c>
      <c r="AE5" s="515" t="s">
        <v>442</v>
      </c>
    </row>
    <row r="6" spans="1:37" hidden="1">
      <c r="A6" s="509" t="s">
        <v>2496</v>
      </c>
      <c r="B6" s="509" t="s">
        <v>2492</v>
      </c>
      <c r="C6" s="509" t="s">
        <v>2493</v>
      </c>
      <c r="D6" s="509" t="s">
        <v>2494</v>
      </c>
      <c r="F6" s="515" t="s">
        <v>442</v>
      </c>
      <c r="G6" s="515" t="s">
        <v>442</v>
      </c>
      <c r="H6" s="515" t="s">
        <v>442</v>
      </c>
      <c r="I6" s="515" t="s">
        <v>442</v>
      </c>
      <c r="J6" s="515" t="s">
        <v>442</v>
      </c>
      <c r="K6" s="517" t="s">
        <v>442</v>
      </c>
      <c r="M6" s="515" t="s">
        <v>442</v>
      </c>
      <c r="N6" s="515" t="s">
        <v>442</v>
      </c>
      <c r="O6" s="515" t="s">
        <v>442</v>
      </c>
      <c r="P6" s="515" t="s">
        <v>442</v>
      </c>
      <c r="Q6" s="515" t="s">
        <v>442</v>
      </c>
      <c r="R6" s="515" t="s">
        <v>442</v>
      </c>
      <c r="T6" s="510" t="s">
        <v>2496</v>
      </c>
      <c r="U6" s="510" t="s">
        <v>2497</v>
      </c>
      <c r="V6" s="510" t="s">
        <v>2498</v>
      </c>
      <c r="W6" s="510" t="s">
        <v>2499</v>
      </c>
      <c r="X6" s="510" t="s">
        <v>28</v>
      </c>
      <c r="Y6" s="510" t="s">
        <v>2500</v>
      </c>
      <c r="Z6" s="510" t="s">
        <v>2501</v>
      </c>
      <c r="AA6" s="509" t="s">
        <v>2502</v>
      </c>
      <c r="AB6" s="509" t="s">
        <v>2503</v>
      </c>
      <c r="AC6" s="509" t="s">
        <v>2504</v>
      </c>
      <c r="AD6" s="510" t="s">
        <v>2505</v>
      </c>
      <c r="AG6" s="511">
        <f>135*1.1</f>
        <v>148.5</v>
      </c>
    </row>
    <row r="7" spans="1:37" hidden="1">
      <c r="A7" s="515" t="s">
        <v>442</v>
      </c>
      <c r="B7" s="515" t="s">
        <v>442</v>
      </c>
      <c r="C7" s="515" t="s">
        <v>442</v>
      </c>
      <c r="D7" s="515" t="s">
        <v>442</v>
      </c>
      <c r="G7" s="518" t="s">
        <v>575</v>
      </c>
      <c r="H7" s="509" t="s">
        <v>2506</v>
      </c>
      <c r="O7" s="509" t="s">
        <v>2507</v>
      </c>
      <c r="X7" s="510" t="s">
        <v>2508</v>
      </c>
      <c r="Y7" s="510" t="s">
        <v>2504</v>
      </c>
      <c r="Z7" s="510" t="s">
        <v>2509</v>
      </c>
      <c r="AA7" s="509" t="s">
        <v>2510</v>
      </c>
      <c r="AB7" s="509" t="s">
        <v>2511</v>
      </c>
      <c r="AC7" s="509" t="s">
        <v>2512</v>
      </c>
    </row>
    <row r="8" spans="1:37" hidden="1">
      <c r="B8" s="509" t="s">
        <v>2513</v>
      </c>
      <c r="C8" s="2"/>
      <c r="D8" s="2"/>
      <c r="E8" s="2"/>
      <c r="H8" s="515" t="s">
        <v>442</v>
      </c>
      <c r="O8" s="515" t="s">
        <v>442</v>
      </c>
      <c r="T8" s="515" t="s">
        <v>442</v>
      </c>
      <c r="U8" s="515" t="s">
        <v>442</v>
      </c>
      <c r="V8" s="515" t="s">
        <v>442</v>
      </c>
      <c r="W8" s="515" t="s">
        <v>442</v>
      </c>
      <c r="X8" s="515" t="s">
        <v>442</v>
      </c>
      <c r="Y8" s="515" t="s">
        <v>442</v>
      </c>
      <c r="Z8" s="515" t="s">
        <v>442</v>
      </c>
      <c r="AA8" s="515" t="s">
        <v>442</v>
      </c>
      <c r="AB8" s="515" t="s">
        <v>442</v>
      </c>
      <c r="AC8" s="515" t="s">
        <v>442</v>
      </c>
      <c r="AD8" s="515" t="s">
        <v>442</v>
      </c>
      <c r="AE8" s="515" t="s">
        <v>442</v>
      </c>
      <c r="AG8" s="509" t="s">
        <v>2514</v>
      </c>
      <c r="AI8" s="2">
        <v>148.5</v>
      </c>
      <c r="AJ8" s="511">
        <v>1.1000000000000001</v>
      </c>
      <c r="AK8" s="511">
        <f t="shared" ref="AK8:AK36" si="0">AI8*AJ8</f>
        <v>163.35000000000002</v>
      </c>
    </row>
    <row r="9" spans="1:37" hidden="1">
      <c r="B9" s="509" t="s">
        <v>2515</v>
      </c>
      <c r="C9" s="2"/>
      <c r="D9" s="2"/>
      <c r="E9" s="2"/>
      <c r="F9" s="519">
        <v>0.96</v>
      </c>
      <c r="G9" s="518" t="s">
        <v>2516</v>
      </c>
      <c r="H9" s="509" t="s">
        <v>2517</v>
      </c>
      <c r="I9" s="492">
        <f>(C67)</f>
        <v>3800</v>
      </c>
      <c r="J9" s="500" t="s">
        <v>2516</v>
      </c>
      <c r="K9" s="526">
        <f>(F9*I9)</f>
        <v>3648</v>
      </c>
      <c r="M9" s="519">
        <v>0.5</v>
      </c>
      <c r="N9" s="509" t="s">
        <v>2516</v>
      </c>
      <c r="O9" s="509" t="s">
        <v>2518</v>
      </c>
      <c r="P9" s="519" t="e">
        <f>(C85)</f>
        <v>#REF!</v>
      </c>
      <c r="Q9" s="509" t="s">
        <v>2516</v>
      </c>
      <c r="R9" s="519" t="e">
        <f>(M9*P9)</f>
        <v>#REF!</v>
      </c>
      <c r="T9" s="510" t="s">
        <v>2519</v>
      </c>
      <c r="U9" s="509" t="s">
        <v>2520</v>
      </c>
      <c r="V9" s="509" t="s">
        <v>2521</v>
      </c>
      <c r="W9" s="509" t="s">
        <v>2522</v>
      </c>
      <c r="X9" s="519" t="e">
        <f>#REF!</f>
        <v>#REF!</v>
      </c>
      <c r="Y9" s="492">
        <v>200</v>
      </c>
      <c r="Z9" s="519" t="e">
        <f>#REF!</f>
        <v>#REF!</v>
      </c>
      <c r="AA9" s="510">
        <v>0</v>
      </c>
      <c r="AB9" s="509">
        <v>0</v>
      </c>
      <c r="AC9" s="509" t="e">
        <f t="shared" ref="AC9:AC30" si="1">SUM(Y9+Z9+AA9+AB9)</f>
        <v>#REF!</v>
      </c>
      <c r="AD9" s="509" t="s">
        <v>2523</v>
      </c>
      <c r="AE9" s="492">
        <v>150</v>
      </c>
      <c r="AF9" s="519"/>
      <c r="AG9" s="519"/>
      <c r="AI9" s="2">
        <v>126.5</v>
      </c>
      <c r="AJ9" s="511">
        <v>1.1000000000000001</v>
      </c>
      <c r="AK9" s="511">
        <f t="shared" si="0"/>
        <v>139.15</v>
      </c>
    </row>
    <row r="10" spans="1:37" ht="15" hidden="1" customHeight="1">
      <c r="A10" s="521">
        <v>1</v>
      </c>
      <c r="B10" s="509" t="s">
        <v>2524</v>
      </c>
      <c r="C10" s="492">
        <f>AE9</f>
        <v>150</v>
      </c>
      <c r="D10" s="490" t="s">
        <v>2342</v>
      </c>
      <c r="E10" s="2"/>
      <c r="F10" s="519">
        <v>1</v>
      </c>
      <c r="G10" s="518" t="s">
        <v>2334</v>
      </c>
      <c r="H10" s="509" t="s">
        <v>2525</v>
      </c>
      <c r="I10" s="492" t="e">
        <f>(C78)</f>
        <v>#REF!</v>
      </c>
      <c r="J10" s="500" t="s">
        <v>2334</v>
      </c>
      <c r="K10" s="526" t="e">
        <f>(F10*I10)</f>
        <v>#REF!</v>
      </c>
      <c r="M10" s="519">
        <v>1</v>
      </c>
      <c r="N10" s="509" t="s">
        <v>2334</v>
      </c>
      <c r="O10" s="509" t="s">
        <v>2525</v>
      </c>
      <c r="P10" s="519" t="e">
        <f>(C78)</f>
        <v>#REF!</v>
      </c>
      <c r="Q10" s="509" t="s">
        <v>2334</v>
      </c>
      <c r="R10" s="519" t="e">
        <f>(M10*P10)</f>
        <v>#REF!</v>
      </c>
      <c r="T10" s="510" t="s">
        <v>2526</v>
      </c>
      <c r="U10" s="509" t="s">
        <v>2527</v>
      </c>
      <c r="V10" s="509" t="s">
        <v>2521</v>
      </c>
      <c r="W10" s="519" t="str">
        <f>W9</f>
        <v>Nallambakkam</v>
      </c>
      <c r="X10" s="519" t="e">
        <f>+X9</f>
        <v>#REF!</v>
      </c>
      <c r="Y10" s="492">
        <v>300</v>
      </c>
      <c r="Z10" s="519" t="e">
        <f t="shared" ref="Z10:Z15" si="2">+Z9</f>
        <v>#REF!</v>
      </c>
      <c r="AA10" s="513">
        <v>0</v>
      </c>
      <c r="AB10" s="522">
        <v>0</v>
      </c>
      <c r="AC10" s="509" t="e">
        <f t="shared" si="1"/>
        <v>#REF!</v>
      </c>
      <c r="AD10" s="509" t="s">
        <v>2528</v>
      </c>
      <c r="AE10" s="492">
        <v>135</v>
      </c>
      <c r="AF10" s="519"/>
      <c r="AG10" s="519"/>
      <c r="AI10" s="2">
        <v>85.5</v>
      </c>
      <c r="AJ10" s="511">
        <v>1.1000000000000001</v>
      </c>
      <c r="AK10" s="511">
        <f t="shared" si="0"/>
        <v>94.050000000000011</v>
      </c>
    </row>
    <row r="11" spans="1:37" hidden="1">
      <c r="A11" s="521">
        <f t="shared" ref="A11:A35" si="3">(A10+1)</f>
        <v>2</v>
      </c>
      <c r="B11" s="509" t="s">
        <v>2529</v>
      </c>
      <c r="C11" s="492">
        <f>AE10</f>
        <v>135</v>
      </c>
      <c r="D11" s="490" t="s">
        <v>2342</v>
      </c>
      <c r="E11" s="2"/>
      <c r="F11" s="519">
        <v>1</v>
      </c>
      <c r="G11" s="518" t="s">
        <v>2334</v>
      </c>
      <c r="H11" s="509" t="s">
        <v>2530</v>
      </c>
      <c r="I11" s="492">
        <f>(C18)</f>
        <v>26</v>
      </c>
      <c r="J11" s="500" t="s">
        <v>2334</v>
      </c>
      <c r="K11" s="526">
        <f>(F11*I11)</f>
        <v>26</v>
      </c>
      <c r="M11" s="519">
        <v>1</v>
      </c>
      <c r="N11" s="509" t="s">
        <v>2334</v>
      </c>
      <c r="O11" s="509" t="s">
        <v>2531</v>
      </c>
      <c r="P11" s="519">
        <f>(C64)</f>
        <v>62.5</v>
      </c>
      <c r="Q11" s="509" t="s">
        <v>2334</v>
      </c>
      <c r="R11" s="519">
        <f>(M11*P11)</f>
        <v>62.5</v>
      </c>
      <c r="T11" s="510" t="s">
        <v>2532</v>
      </c>
      <c r="U11" s="509" t="s">
        <v>2533</v>
      </c>
      <c r="V11" s="509" t="s">
        <v>2521</v>
      </c>
      <c r="W11" s="509" t="s">
        <v>2534</v>
      </c>
      <c r="X11" s="519" t="e">
        <f>#REF!</f>
        <v>#REF!</v>
      </c>
      <c r="Y11" s="492">
        <v>333.33</v>
      </c>
      <c r="Z11" s="519" t="e">
        <f t="shared" si="2"/>
        <v>#REF!</v>
      </c>
      <c r="AA11" s="510">
        <v>0</v>
      </c>
      <c r="AB11" s="522">
        <v>0</v>
      </c>
      <c r="AC11" s="509" t="e">
        <f t="shared" si="1"/>
        <v>#REF!</v>
      </c>
      <c r="AD11" s="509" t="s">
        <v>2535</v>
      </c>
      <c r="AE11" s="492">
        <v>95</v>
      </c>
      <c r="AF11" s="519"/>
      <c r="AG11" s="519"/>
      <c r="AI11" s="2">
        <v>80.5</v>
      </c>
      <c r="AJ11" s="511">
        <v>1.1000000000000001</v>
      </c>
      <c r="AK11" s="511">
        <f t="shared" si="0"/>
        <v>88.550000000000011</v>
      </c>
    </row>
    <row r="12" spans="1:37" hidden="1">
      <c r="A12" s="521">
        <f t="shared" si="3"/>
        <v>3</v>
      </c>
      <c r="B12" s="509" t="s">
        <v>2536</v>
      </c>
      <c r="C12" s="492">
        <f>AE11</f>
        <v>95</v>
      </c>
      <c r="D12" s="490" t="s">
        <v>2342</v>
      </c>
      <c r="E12" s="2"/>
      <c r="G12" s="518" t="s">
        <v>2346</v>
      </c>
      <c r="H12" s="509" t="s">
        <v>2347</v>
      </c>
      <c r="I12" s="490" t="s">
        <v>30</v>
      </c>
      <c r="J12" s="500" t="s">
        <v>2346</v>
      </c>
      <c r="K12" s="526">
        <v>0</v>
      </c>
      <c r="N12" s="509" t="s">
        <v>2346</v>
      </c>
      <c r="O12" s="509" t="s">
        <v>2347</v>
      </c>
      <c r="P12" s="509" t="s">
        <v>30</v>
      </c>
      <c r="Q12" s="509" t="s">
        <v>2346</v>
      </c>
      <c r="R12" s="519">
        <v>0</v>
      </c>
      <c r="T12" s="510" t="s">
        <v>2537</v>
      </c>
      <c r="U12" s="509" t="s">
        <v>2538</v>
      </c>
      <c r="V12" s="509" t="s">
        <v>2521</v>
      </c>
      <c r="W12" s="519" t="str">
        <f>W11</f>
        <v>Pallavaram</v>
      </c>
      <c r="X12" s="519" t="e">
        <f>+X11</f>
        <v>#REF!</v>
      </c>
      <c r="Y12" s="492">
        <v>425</v>
      </c>
      <c r="Z12" s="519" t="e">
        <f t="shared" si="2"/>
        <v>#REF!</v>
      </c>
      <c r="AA12" s="510">
        <v>0</v>
      </c>
      <c r="AB12" s="522">
        <v>0</v>
      </c>
      <c r="AC12" s="509" t="e">
        <f t="shared" si="1"/>
        <v>#REF!</v>
      </c>
      <c r="AD12" s="509" t="s">
        <v>2539</v>
      </c>
      <c r="AE12" s="492">
        <v>85</v>
      </c>
      <c r="AF12" s="519"/>
      <c r="AG12" s="519"/>
      <c r="AI12" s="2">
        <v>114.5</v>
      </c>
      <c r="AJ12" s="511">
        <v>1.1000000000000001</v>
      </c>
      <c r="AK12" s="511">
        <f t="shared" si="0"/>
        <v>125.95000000000002</v>
      </c>
    </row>
    <row r="13" spans="1:37" hidden="1">
      <c r="A13" s="521">
        <f t="shared" si="3"/>
        <v>4</v>
      </c>
      <c r="B13" s="509" t="s">
        <v>2540</v>
      </c>
      <c r="C13" s="492">
        <f>AE12</f>
        <v>85</v>
      </c>
      <c r="D13" s="490" t="s">
        <v>2342</v>
      </c>
      <c r="E13" s="2"/>
      <c r="I13" s="2"/>
      <c r="J13" s="463"/>
      <c r="K13" s="526" t="s">
        <v>442</v>
      </c>
      <c r="R13" s="515" t="s">
        <v>442</v>
      </c>
      <c r="T13" s="510" t="s">
        <v>2541</v>
      </c>
      <c r="U13" s="509" t="s">
        <v>2542</v>
      </c>
      <c r="V13" s="509" t="s">
        <v>2521</v>
      </c>
      <c r="W13" s="519" t="str">
        <f>W11</f>
        <v>Pallavaram</v>
      </c>
      <c r="X13" s="519" t="e">
        <f>+X12</f>
        <v>#REF!</v>
      </c>
      <c r="Y13" s="492">
        <v>630</v>
      </c>
      <c r="Z13" s="519" t="e">
        <f t="shared" si="2"/>
        <v>#REF!</v>
      </c>
      <c r="AA13" s="510">
        <v>0</v>
      </c>
      <c r="AB13" s="522">
        <v>0</v>
      </c>
      <c r="AC13" s="509" t="e">
        <f t="shared" si="1"/>
        <v>#REF!</v>
      </c>
      <c r="AD13" s="509" t="s">
        <v>2543</v>
      </c>
      <c r="AE13" s="492">
        <v>120</v>
      </c>
      <c r="AF13" s="519"/>
      <c r="AG13" s="519"/>
      <c r="AI13" s="2">
        <v>106.5</v>
      </c>
      <c r="AJ13" s="511">
        <v>1.1000000000000001</v>
      </c>
      <c r="AK13" s="511">
        <f t="shared" si="0"/>
        <v>117.15</v>
      </c>
    </row>
    <row r="14" spans="1:37" hidden="1">
      <c r="A14" s="521">
        <f t="shared" si="3"/>
        <v>5</v>
      </c>
      <c r="B14" s="509" t="s">
        <v>2544</v>
      </c>
      <c r="C14" s="492">
        <f>AE13</f>
        <v>120</v>
      </c>
      <c r="D14" s="492">
        <f>AE14</f>
        <v>110</v>
      </c>
      <c r="E14" s="2"/>
      <c r="H14" s="509" t="s">
        <v>2545</v>
      </c>
      <c r="I14" s="2"/>
      <c r="J14" s="463"/>
      <c r="K14" s="526" t="e">
        <f>SUM(K9:K12)</f>
        <v>#REF!</v>
      </c>
      <c r="N14" s="519" t="e">
        <f>SUM(K9:K12)</f>
        <v>#REF!</v>
      </c>
      <c r="O14" s="509" t="s">
        <v>2545</v>
      </c>
      <c r="R14" s="519" t="e">
        <f>SUM(R9:R12)</f>
        <v>#REF!</v>
      </c>
      <c r="T14" s="510" t="s">
        <v>2546</v>
      </c>
      <c r="U14" s="509" t="s">
        <v>2547</v>
      </c>
      <c r="V14" s="509" t="s">
        <v>2521</v>
      </c>
      <c r="W14" s="519" t="str">
        <f>W11</f>
        <v>Pallavaram</v>
      </c>
      <c r="X14" s="519" t="e">
        <f>+X13</f>
        <v>#REF!</v>
      </c>
      <c r="Y14" s="492">
        <v>685</v>
      </c>
      <c r="Z14" s="519" t="e">
        <f t="shared" si="2"/>
        <v>#REF!</v>
      </c>
      <c r="AA14" s="510">
        <v>0</v>
      </c>
      <c r="AB14" s="522">
        <v>0</v>
      </c>
      <c r="AC14" s="509" t="e">
        <f t="shared" si="1"/>
        <v>#REF!</v>
      </c>
      <c r="AD14" s="509" t="s">
        <v>2548</v>
      </c>
      <c r="AE14" s="492">
        <v>110</v>
      </c>
      <c r="AF14" s="519"/>
      <c r="AG14" s="519"/>
      <c r="AI14" s="2">
        <v>116.5</v>
      </c>
      <c r="AJ14" s="511">
        <v>1.1000000000000001</v>
      </c>
      <c r="AK14" s="511">
        <f t="shared" si="0"/>
        <v>128.15</v>
      </c>
    </row>
    <row r="15" spans="1:37" hidden="1">
      <c r="A15" s="521">
        <f t="shared" si="3"/>
        <v>6</v>
      </c>
      <c r="B15" s="509" t="s">
        <v>2549</v>
      </c>
      <c r="C15" s="492">
        <f>AE15</f>
        <v>130</v>
      </c>
      <c r="D15" s="490" t="s">
        <v>2342</v>
      </c>
      <c r="E15" s="2"/>
      <c r="I15" s="2"/>
      <c r="J15" s="463"/>
      <c r="K15" s="526" t="s">
        <v>442</v>
      </c>
      <c r="R15" s="515" t="s">
        <v>442</v>
      </c>
      <c r="T15" s="510" t="s">
        <v>2550</v>
      </c>
      <c r="U15" s="509" t="s">
        <v>2551</v>
      </c>
      <c r="V15" s="509" t="s">
        <v>2521</v>
      </c>
      <c r="W15" s="519" t="str">
        <f>W11</f>
        <v>Pallavaram</v>
      </c>
      <c r="X15" s="519" t="e">
        <f>+X14</f>
        <v>#REF!</v>
      </c>
      <c r="Y15" s="492">
        <v>490</v>
      </c>
      <c r="Z15" s="519" t="e">
        <f t="shared" si="2"/>
        <v>#REF!</v>
      </c>
      <c r="AA15" s="510">
        <v>0</v>
      </c>
      <c r="AB15" s="522">
        <v>0</v>
      </c>
      <c r="AC15" s="509" t="e">
        <f t="shared" si="1"/>
        <v>#REF!</v>
      </c>
      <c r="AD15" s="509" t="s">
        <v>2552</v>
      </c>
      <c r="AE15" s="492">
        <v>130</v>
      </c>
      <c r="AF15" s="519"/>
      <c r="AG15" s="519"/>
      <c r="AI15" s="2">
        <v>106.5</v>
      </c>
      <c r="AJ15" s="511">
        <v>1.1000000000000001</v>
      </c>
      <c r="AK15" s="511">
        <f t="shared" si="0"/>
        <v>117.15</v>
      </c>
    </row>
    <row r="16" spans="1:37" hidden="1">
      <c r="A16" s="521">
        <f t="shared" si="3"/>
        <v>7</v>
      </c>
      <c r="B16" s="509" t="s">
        <v>2553</v>
      </c>
      <c r="C16" s="492">
        <f>AE19</f>
        <v>150</v>
      </c>
      <c r="D16" s="492">
        <f>AE20</f>
        <v>135</v>
      </c>
      <c r="E16" s="2"/>
      <c r="G16" s="518" t="s">
        <v>575</v>
      </c>
      <c r="H16" s="509" t="s">
        <v>2554</v>
      </c>
      <c r="I16" s="2"/>
      <c r="J16" s="463"/>
      <c r="K16" s="552"/>
      <c r="N16" s="509" t="s">
        <v>575</v>
      </c>
      <c r="O16" s="509" t="s">
        <v>2555</v>
      </c>
      <c r="T16" s="510" t="s">
        <v>2556</v>
      </c>
      <c r="U16" s="509" t="s">
        <v>2557</v>
      </c>
      <c r="V16" s="509" t="s">
        <v>2521</v>
      </c>
      <c r="W16" s="509" t="s">
        <v>2558</v>
      </c>
      <c r="X16" s="519" t="e">
        <f>#REF!</f>
        <v>#REF!</v>
      </c>
      <c r="Y16" s="492">
        <v>110</v>
      </c>
      <c r="Z16" s="519" t="e">
        <f>#REF!</f>
        <v>#REF!</v>
      </c>
      <c r="AA16" s="510">
        <v>0</v>
      </c>
      <c r="AB16" s="522">
        <v>0</v>
      </c>
      <c r="AC16" s="509" t="e">
        <f t="shared" si="1"/>
        <v>#REF!</v>
      </c>
      <c r="AD16" s="509" t="s">
        <v>2559</v>
      </c>
      <c r="AE16" s="492">
        <v>120</v>
      </c>
      <c r="AF16" s="519"/>
      <c r="AG16" s="519"/>
      <c r="AI16" s="2">
        <v>106.5</v>
      </c>
      <c r="AJ16" s="511">
        <v>1.1000000000000001</v>
      </c>
      <c r="AK16" s="511">
        <f t="shared" si="0"/>
        <v>117.15</v>
      </c>
    </row>
    <row r="17" spans="1:37" hidden="1">
      <c r="A17" s="521">
        <f t="shared" si="3"/>
        <v>8</v>
      </c>
      <c r="B17" s="509" t="s">
        <v>2560</v>
      </c>
      <c r="C17" s="492">
        <f>AE17</f>
        <v>130</v>
      </c>
      <c r="D17" s="492">
        <f>AE18</f>
        <v>120</v>
      </c>
      <c r="E17" s="2"/>
      <c r="H17" s="515" t="s">
        <v>442</v>
      </c>
      <c r="I17" s="2"/>
      <c r="J17" s="463"/>
      <c r="K17" s="552"/>
      <c r="O17" s="509" t="s">
        <v>2561</v>
      </c>
      <c r="T17" s="510" t="s">
        <v>2562</v>
      </c>
      <c r="U17" s="509" t="s">
        <v>2563</v>
      </c>
      <c r="V17" s="509" t="s">
        <v>2521</v>
      </c>
      <c r="W17" s="509" t="s">
        <v>2564</v>
      </c>
      <c r="X17" s="519" t="e">
        <f>X16</f>
        <v>#REF!</v>
      </c>
      <c r="Y17" s="492">
        <v>110</v>
      </c>
      <c r="Z17" s="519" t="e">
        <f>Z16</f>
        <v>#REF!</v>
      </c>
      <c r="AA17" s="510">
        <v>0</v>
      </c>
      <c r="AB17" s="522">
        <v>0</v>
      </c>
      <c r="AC17" s="509" t="e">
        <f t="shared" si="1"/>
        <v>#REF!</v>
      </c>
      <c r="AD17" s="509" t="s">
        <v>2565</v>
      </c>
      <c r="AE17" s="492">
        <v>130</v>
      </c>
      <c r="AF17" s="519"/>
      <c r="AG17" s="519"/>
      <c r="AI17" s="2">
        <v>98.5</v>
      </c>
      <c r="AJ17" s="511">
        <v>1.1000000000000001</v>
      </c>
      <c r="AK17" s="511">
        <f t="shared" si="0"/>
        <v>108.35000000000001</v>
      </c>
    </row>
    <row r="18" spans="1:37" hidden="1">
      <c r="A18" s="521">
        <f t="shared" si="3"/>
        <v>9</v>
      </c>
      <c r="B18" s="509" t="s">
        <v>2566</v>
      </c>
      <c r="C18" s="492">
        <f>AE24</f>
        <v>26</v>
      </c>
      <c r="D18" s="490" t="s">
        <v>2567</v>
      </c>
      <c r="E18" s="2"/>
      <c r="F18" s="519">
        <v>0.72</v>
      </c>
      <c r="G18" s="518" t="s">
        <v>2516</v>
      </c>
      <c r="H18" s="509" t="s">
        <v>2517</v>
      </c>
      <c r="I18" s="492">
        <f>(C67)</f>
        <v>3800</v>
      </c>
      <c r="J18" s="500" t="s">
        <v>2516</v>
      </c>
      <c r="K18" s="526">
        <f>(F18*I18)</f>
        <v>2736</v>
      </c>
      <c r="O18" s="509" t="s">
        <v>2568</v>
      </c>
      <c r="T18" s="510" t="s">
        <v>2569</v>
      </c>
      <c r="U18" s="509" t="s">
        <v>2570</v>
      </c>
      <c r="V18" s="509" t="s">
        <v>2571</v>
      </c>
      <c r="W18" s="509" t="s">
        <v>2572</v>
      </c>
      <c r="X18" s="519" t="e">
        <f>#REF!</f>
        <v>#REF!</v>
      </c>
      <c r="Y18" s="492">
        <v>1950</v>
      </c>
      <c r="Z18" s="519" t="e">
        <f>#REF!</f>
        <v>#REF!</v>
      </c>
      <c r="AA18" s="510">
        <v>0</v>
      </c>
      <c r="AB18" s="522">
        <v>0</v>
      </c>
      <c r="AC18" s="509" t="e">
        <f t="shared" si="1"/>
        <v>#REF!</v>
      </c>
      <c r="AD18" s="509" t="s">
        <v>2573</v>
      </c>
      <c r="AE18" s="492">
        <v>120</v>
      </c>
      <c r="AF18" s="519"/>
      <c r="AG18" s="519"/>
      <c r="AI18" s="2">
        <v>148.5</v>
      </c>
      <c r="AJ18" s="511">
        <v>1.1000000000000001</v>
      </c>
      <c r="AK18" s="511">
        <f t="shared" si="0"/>
        <v>163.35000000000002</v>
      </c>
    </row>
    <row r="19" spans="1:37" hidden="1">
      <c r="A19" s="521">
        <f t="shared" si="3"/>
        <v>10</v>
      </c>
      <c r="B19" s="509" t="s">
        <v>2574</v>
      </c>
      <c r="C19" s="492">
        <v>17.600000000000001</v>
      </c>
      <c r="D19" s="490" t="s">
        <v>2334</v>
      </c>
      <c r="E19" s="2"/>
      <c r="F19" s="519">
        <v>1</v>
      </c>
      <c r="G19" s="518" t="s">
        <v>2334</v>
      </c>
      <c r="H19" s="509" t="s">
        <v>2525</v>
      </c>
      <c r="I19" s="492" t="e">
        <f>(C78)</f>
        <v>#REF!</v>
      </c>
      <c r="J19" s="500" t="s">
        <v>2334</v>
      </c>
      <c r="K19" s="526" t="e">
        <f>(F19*I19)</f>
        <v>#REF!</v>
      </c>
      <c r="O19" s="509" t="s">
        <v>2575</v>
      </c>
      <c r="T19" s="510" t="s">
        <v>2576</v>
      </c>
      <c r="U19" s="509" t="s">
        <v>2577</v>
      </c>
      <c r="V19" s="509" t="s">
        <v>2334</v>
      </c>
      <c r="W19" s="519" t="str">
        <f>W18</f>
        <v>Nerkundram</v>
      </c>
      <c r="X19" s="519" t="e">
        <f>#REF!</f>
        <v>#REF!</v>
      </c>
      <c r="Y19" s="492">
        <v>260</v>
      </c>
      <c r="Z19" s="519" t="e">
        <f>#REF!</f>
        <v>#REF!</v>
      </c>
      <c r="AA19" s="510">
        <v>0</v>
      </c>
      <c r="AB19" s="522">
        <v>0</v>
      </c>
      <c r="AC19" s="509" t="e">
        <f t="shared" si="1"/>
        <v>#REF!</v>
      </c>
      <c r="AD19" s="509" t="s">
        <v>2578</v>
      </c>
      <c r="AE19" s="492">
        <v>150</v>
      </c>
      <c r="AF19" s="519"/>
      <c r="AG19" s="519"/>
      <c r="AI19" s="2">
        <v>126.5</v>
      </c>
      <c r="AJ19" s="511">
        <v>1.1000000000000001</v>
      </c>
      <c r="AK19" s="511">
        <f t="shared" si="0"/>
        <v>139.15</v>
      </c>
    </row>
    <row r="20" spans="1:37" hidden="1">
      <c r="A20" s="521">
        <f t="shared" si="3"/>
        <v>11</v>
      </c>
      <c r="B20" s="509" t="s">
        <v>2579</v>
      </c>
      <c r="C20" s="492">
        <v>35.200000000000003</v>
      </c>
      <c r="D20" s="490" t="s">
        <v>2334</v>
      </c>
      <c r="E20" s="2"/>
      <c r="F20" s="519">
        <v>1</v>
      </c>
      <c r="G20" s="518" t="s">
        <v>2334</v>
      </c>
      <c r="H20" s="509" t="s">
        <v>2530</v>
      </c>
      <c r="I20" s="492">
        <f>(C18)</f>
        <v>26</v>
      </c>
      <c r="J20" s="500" t="s">
        <v>2334</v>
      </c>
      <c r="K20" s="526">
        <f>(F20*I20)</f>
        <v>26</v>
      </c>
      <c r="O20" s="509" t="s">
        <v>2580</v>
      </c>
      <c r="T20" s="510" t="s">
        <v>2581</v>
      </c>
      <c r="U20" s="509" t="s">
        <v>2582</v>
      </c>
      <c r="V20" s="509" t="s">
        <v>2334</v>
      </c>
      <c r="W20" s="519" t="str">
        <f>W18</f>
        <v>Nerkundram</v>
      </c>
      <c r="X20" s="519" t="e">
        <f>X19</f>
        <v>#REF!</v>
      </c>
      <c r="Y20" s="492">
        <v>280</v>
      </c>
      <c r="Z20" s="519" t="e">
        <f>+Z19</f>
        <v>#REF!</v>
      </c>
      <c r="AA20" s="510">
        <v>0</v>
      </c>
      <c r="AB20" s="522">
        <v>0</v>
      </c>
      <c r="AC20" s="509" t="e">
        <f t="shared" si="1"/>
        <v>#REF!</v>
      </c>
      <c r="AD20" s="509" t="s">
        <v>2583</v>
      </c>
      <c r="AE20" s="492">
        <v>135</v>
      </c>
      <c r="AF20" s="519"/>
      <c r="AG20" s="519"/>
      <c r="AI20" s="2">
        <v>116.5</v>
      </c>
      <c r="AJ20" s="511">
        <v>1.1000000000000001</v>
      </c>
      <c r="AK20" s="511">
        <f t="shared" si="0"/>
        <v>128.15</v>
      </c>
    </row>
    <row r="21" spans="1:37" hidden="1">
      <c r="A21" s="521">
        <f t="shared" si="3"/>
        <v>12</v>
      </c>
      <c r="B21" s="509" t="s">
        <v>2584</v>
      </c>
      <c r="C21" s="492">
        <v>35.200000000000003</v>
      </c>
      <c r="D21" s="490" t="s">
        <v>2334</v>
      </c>
      <c r="E21" s="2"/>
      <c r="G21" s="518" t="s">
        <v>2346</v>
      </c>
      <c r="H21" s="509" t="s">
        <v>2347</v>
      </c>
      <c r="I21" s="490" t="s">
        <v>30</v>
      </c>
      <c r="J21" s="500" t="s">
        <v>2346</v>
      </c>
      <c r="K21" s="526">
        <v>0</v>
      </c>
      <c r="O21" s="515" t="s">
        <v>442</v>
      </c>
      <c r="T21" s="510" t="s">
        <v>2585</v>
      </c>
      <c r="U21" s="509" t="s">
        <v>2586</v>
      </c>
      <c r="V21" s="509" t="s">
        <v>2571</v>
      </c>
      <c r="W21" s="509" t="s">
        <v>2587</v>
      </c>
      <c r="X21" s="519" t="e">
        <f>#REF!</f>
        <v>#REF!</v>
      </c>
      <c r="Y21" s="492">
        <v>4500</v>
      </c>
      <c r="Z21" s="519">
        <v>0</v>
      </c>
      <c r="AA21" s="510">
        <v>0</v>
      </c>
      <c r="AB21" s="522">
        <v>0</v>
      </c>
      <c r="AC21" s="509">
        <f t="shared" si="1"/>
        <v>4500</v>
      </c>
      <c r="AD21" s="509" t="s">
        <v>2588</v>
      </c>
      <c r="AE21" s="492">
        <v>120</v>
      </c>
      <c r="AF21" s="519"/>
      <c r="AG21" s="519"/>
      <c r="AI21" s="2">
        <v>106.5</v>
      </c>
      <c r="AJ21" s="511">
        <v>1.1000000000000001</v>
      </c>
      <c r="AK21" s="511">
        <f t="shared" si="0"/>
        <v>117.15</v>
      </c>
    </row>
    <row r="22" spans="1:37" hidden="1">
      <c r="A22" s="521">
        <f t="shared" si="3"/>
        <v>13</v>
      </c>
      <c r="B22" s="509" t="s">
        <v>2589</v>
      </c>
      <c r="C22" s="492">
        <v>26.45</v>
      </c>
      <c r="D22" s="490" t="s">
        <v>2334</v>
      </c>
      <c r="E22" s="2"/>
      <c r="I22" s="2"/>
      <c r="J22" s="463"/>
      <c r="K22" s="526" t="s">
        <v>442</v>
      </c>
      <c r="M22" s="519">
        <v>1</v>
      </c>
      <c r="N22" s="509" t="s">
        <v>2334</v>
      </c>
      <c r="O22" s="509" t="s">
        <v>2590</v>
      </c>
      <c r="P22" s="519" t="e">
        <f>C78</f>
        <v>#REF!</v>
      </c>
      <c r="Q22" s="509" t="s">
        <v>2334</v>
      </c>
      <c r="R22" s="519" t="e">
        <f>(M22*P22)</f>
        <v>#REF!</v>
      </c>
      <c r="T22" s="510" t="s">
        <v>2591</v>
      </c>
      <c r="U22" s="509" t="s">
        <v>2592</v>
      </c>
      <c r="V22" s="509" t="s">
        <v>2521</v>
      </c>
      <c r="W22" s="523" t="s">
        <v>2593</v>
      </c>
      <c r="X22" s="519">
        <v>0</v>
      </c>
      <c r="Y22" s="492">
        <v>773</v>
      </c>
      <c r="Z22" s="519">
        <v>0</v>
      </c>
      <c r="AA22" s="510">
        <v>0</v>
      </c>
      <c r="AB22" s="522">
        <v>0</v>
      </c>
      <c r="AC22" s="509">
        <f t="shared" si="1"/>
        <v>773</v>
      </c>
      <c r="AD22" s="509" t="s">
        <v>2594</v>
      </c>
      <c r="AE22" s="492">
        <v>110</v>
      </c>
      <c r="AF22" s="519"/>
      <c r="AG22" s="519"/>
      <c r="AI22" s="2">
        <v>106.5</v>
      </c>
      <c r="AJ22" s="511">
        <v>1.1000000000000001</v>
      </c>
      <c r="AK22" s="511">
        <f t="shared" si="0"/>
        <v>117.15</v>
      </c>
    </row>
    <row r="23" spans="1:37" hidden="1">
      <c r="A23" s="521">
        <f t="shared" si="3"/>
        <v>14</v>
      </c>
      <c r="B23" s="509" t="s">
        <v>2595</v>
      </c>
      <c r="C23" s="492">
        <v>52.85</v>
      </c>
      <c r="D23" s="490" t="s">
        <v>2334</v>
      </c>
      <c r="E23" s="2"/>
      <c r="H23" s="509" t="s">
        <v>2545</v>
      </c>
      <c r="I23" s="2"/>
      <c r="J23" s="463"/>
      <c r="K23" s="526" t="e">
        <f>SUM(K18:K21)</f>
        <v>#REF!</v>
      </c>
      <c r="M23" s="519">
        <v>1</v>
      </c>
      <c r="N23" s="509" t="s">
        <v>2334</v>
      </c>
      <c r="O23" s="509" t="s">
        <v>2596</v>
      </c>
      <c r="P23" s="519" t="e">
        <f>C85</f>
        <v>#REF!</v>
      </c>
      <c r="Q23" s="509" t="s">
        <v>2334</v>
      </c>
      <c r="R23" s="519" t="e">
        <f>(M23*P23)</f>
        <v>#REF!</v>
      </c>
      <c r="T23" s="510" t="s">
        <v>2597</v>
      </c>
      <c r="U23" s="509" t="s">
        <v>2598</v>
      </c>
      <c r="V23" s="509" t="s">
        <v>2521</v>
      </c>
      <c r="W23" s="523" t="s">
        <v>2593</v>
      </c>
      <c r="X23" s="519" t="e">
        <f>#REF!</f>
        <v>#REF!</v>
      </c>
      <c r="Y23" s="492">
        <v>565</v>
      </c>
      <c r="Z23" s="519" t="e">
        <f>#REF!</f>
        <v>#REF!</v>
      </c>
      <c r="AA23" s="510">
        <v>0</v>
      </c>
      <c r="AB23" s="522">
        <v>0</v>
      </c>
      <c r="AC23" s="509" t="e">
        <f t="shared" si="1"/>
        <v>#REF!</v>
      </c>
      <c r="AD23" s="509" t="s">
        <v>2599</v>
      </c>
      <c r="AE23" s="492">
        <v>120</v>
      </c>
      <c r="AF23" s="519"/>
      <c r="AG23" s="519"/>
      <c r="AI23" s="2">
        <v>26</v>
      </c>
      <c r="AJ23" s="511">
        <v>1.1000000000000001</v>
      </c>
      <c r="AK23" s="511">
        <f t="shared" si="0"/>
        <v>28.6</v>
      </c>
    </row>
    <row r="24" spans="1:37" hidden="1">
      <c r="A24" s="521">
        <f t="shared" si="3"/>
        <v>15</v>
      </c>
      <c r="B24" s="509" t="s">
        <v>2600</v>
      </c>
      <c r="C24" s="492">
        <v>52.85</v>
      </c>
      <c r="D24" s="490" t="s">
        <v>2334</v>
      </c>
      <c r="E24" s="2"/>
      <c r="I24" s="2"/>
      <c r="J24" s="463"/>
      <c r="K24" s="526" t="s">
        <v>442</v>
      </c>
      <c r="M24" s="519">
        <v>1.5</v>
      </c>
      <c r="N24" s="509" t="s">
        <v>2334</v>
      </c>
      <c r="O24" s="509" t="s">
        <v>2601</v>
      </c>
      <c r="P24" s="519">
        <f>C18</f>
        <v>26</v>
      </c>
      <c r="Q24" s="509" t="s">
        <v>2334</v>
      </c>
      <c r="R24" s="519">
        <f>(M24*P24)</f>
        <v>39</v>
      </c>
      <c r="T24" s="510" t="s">
        <v>2602</v>
      </c>
      <c r="U24" s="509" t="s">
        <v>2603</v>
      </c>
      <c r="V24" s="509" t="s">
        <v>2521</v>
      </c>
      <c r="W24" s="509" t="s">
        <v>2604</v>
      </c>
      <c r="X24" s="511">
        <v>0</v>
      </c>
      <c r="Y24" s="492">
        <v>20605</v>
      </c>
      <c r="Z24" s="511">
        <v>0</v>
      </c>
      <c r="AA24" s="513">
        <v>0</v>
      </c>
      <c r="AB24" s="522">
        <v>0</v>
      </c>
      <c r="AC24" s="509">
        <f t="shared" si="1"/>
        <v>20605</v>
      </c>
      <c r="AD24" s="509" t="s">
        <v>2605</v>
      </c>
      <c r="AE24" s="492">
        <v>26</v>
      </c>
      <c r="AF24" s="519"/>
      <c r="AG24" s="519"/>
      <c r="AI24" s="2">
        <v>20.7</v>
      </c>
      <c r="AJ24" s="511">
        <v>1.1000000000000001</v>
      </c>
      <c r="AK24" s="511">
        <f t="shared" si="0"/>
        <v>22.77</v>
      </c>
    </row>
    <row r="25" spans="1:37" hidden="1">
      <c r="A25" s="521">
        <f t="shared" si="3"/>
        <v>16</v>
      </c>
      <c r="B25" s="509" t="s">
        <v>2606</v>
      </c>
      <c r="C25" s="492">
        <f>AE25</f>
        <v>20.7</v>
      </c>
      <c r="D25" s="490" t="s">
        <v>2334</v>
      </c>
      <c r="E25" s="2"/>
      <c r="G25" s="518" t="s">
        <v>575</v>
      </c>
      <c r="H25" s="509" t="s">
        <v>2607</v>
      </c>
      <c r="I25" s="2"/>
      <c r="J25" s="463"/>
      <c r="K25" s="552"/>
      <c r="M25" s="519">
        <v>1.5</v>
      </c>
      <c r="N25" s="509" t="s">
        <v>2334</v>
      </c>
      <c r="O25" s="509" t="s">
        <v>2608</v>
      </c>
      <c r="P25" s="519">
        <f>C27</f>
        <v>7.8</v>
      </c>
      <c r="Q25" s="509" t="s">
        <v>2334</v>
      </c>
      <c r="R25" s="519">
        <f>(M25*P25)</f>
        <v>11.7</v>
      </c>
      <c r="T25" s="510" t="s">
        <v>2609</v>
      </c>
      <c r="U25" s="509" t="s">
        <v>2610</v>
      </c>
      <c r="V25" s="509" t="s">
        <v>2521</v>
      </c>
      <c r="W25" s="523" t="s">
        <v>2604</v>
      </c>
      <c r="X25" s="511">
        <v>0</v>
      </c>
      <c r="Y25" s="492">
        <v>23685</v>
      </c>
      <c r="Z25" s="511">
        <v>0</v>
      </c>
      <c r="AA25" s="513">
        <v>0</v>
      </c>
      <c r="AB25" s="522">
        <v>0</v>
      </c>
      <c r="AC25" s="509">
        <f t="shared" si="1"/>
        <v>23685</v>
      </c>
      <c r="AD25" s="509" t="s">
        <v>2611</v>
      </c>
      <c r="AE25" s="492">
        <v>20.7</v>
      </c>
      <c r="AF25" s="519"/>
      <c r="AG25" s="519"/>
      <c r="AI25" s="2">
        <v>15.6</v>
      </c>
      <c r="AJ25" s="511">
        <v>1.1000000000000001</v>
      </c>
      <c r="AK25" s="511">
        <f t="shared" si="0"/>
        <v>17.16</v>
      </c>
    </row>
    <row r="26" spans="1:37" hidden="1">
      <c r="A26" s="521">
        <f t="shared" si="3"/>
        <v>17</v>
      </c>
      <c r="B26" s="509" t="s">
        <v>2612</v>
      </c>
      <c r="C26" s="492">
        <f>+AE28</f>
        <v>8.8000000000000007</v>
      </c>
      <c r="D26" s="490" t="s">
        <v>2613</v>
      </c>
      <c r="E26" s="2"/>
      <c r="H26" s="515" t="s">
        <v>442</v>
      </c>
      <c r="I26" s="2"/>
      <c r="J26" s="463"/>
      <c r="K26" s="552"/>
      <c r="N26" s="509" t="s">
        <v>2346</v>
      </c>
      <c r="O26" s="509" t="s">
        <v>2347</v>
      </c>
      <c r="P26" s="509" t="s">
        <v>30</v>
      </c>
      <c r="Q26" s="509" t="s">
        <v>2346</v>
      </c>
      <c r="R26" s="519">
        <v>0</v>
      </c>
      <c r="T26" s="510" t="s">
        <v>2614</v>
      </c>
      <c r="U26" s="509" t="s">
        <v>2615</v>
      </c>
      <c r="V26" s="509" t="s">
        <v>2521</v>
      </c>
      <c r="W26" s="523" t="s">
        <v>2604</v>
      </c>
      <c r="X26" s="511">
        <v>0</v>
      </c>
      <c r="Y26" s="492">
        <v>65420</v>
      </c>
      <c r="Z26" s="511">
        <v>0</v>
      </c>
      <c r="AA26" s="513">
        <v>0</v>
      </c>
      <c r="AB26" s="522">
        <v>0</v>
      </c>
      <c r="AC26" s="509">
        <f t="shared" si="1"/>
        <v>65420</v>
      </c>
      <c r="AD26" s="509" t="s">
        <v>2616</v>
      </c>
      <c r="AE26" s="492">
        <v>15.6</v>
      </c>
      <c r="AF26" s="519"/>
      <c r="AG26" s="519"/>
      <c r="AI26" s="2">
        <v>7.8</v>
      </c>
      <c r="AJ26" s="511">
        <v>1.1000000000000001</v>
      </c>
      <c r="AK26" s="511">
        <f t="shared" si="0"/>
        <v>8.58</v>
      </c>
    </row>
    <row r="27" spans="1:37" hidden="1">
      <c r="A27" s="521">
        <f t="shared" si="3"/>
        <v>18</v>
      </c>
      <c r="B27" s="509" t="s">
        <v>2617</v>
      </c>
      <c r="C27" s="492">
        <f>+AE27</f>
        <v>7.8</v>
      </c>
      <c r="D27" s="490" t="s">
        <v>2613</v>
      </c>
      <c r="E27" s="2"/>
      <c r="F27" s="519">
        <v>0.48</v>
      </c>
      <c r="G27" s="518" t="s">
        <v>2516</v>
      </c>
      <c r="H27" s="509" t="s">
        <v>2517</v>
      </c>
      <c r="I27" s="492">
        <f>(C67)</f>
        <v>3800</v>
      </c>
      <c r="J27" s="500" t="s">
        <v>2516</v>
      </c>
      <c r="K27" s="526">
        <f>(F27*I27)</f>
        <v>1824</v>
      </c>
      <c r="R27" s="515" t="s">
        <v>442</v>
      </c>
      <c r="T27" s="510" t="s">
        <v>2618</v>
      </c>
      <c r="U27" s="509" t="s">
        <v>2619</v>
      </c>
      <c r="V27" s="509" t="s">
        <v>2521</v>
      </c>
      <c r="W27" s="523" t="s">
        <v>2604</v>
      </c>
      <c r="X27" s="511">
        <v>0</v>
      </c>
      <c r="Y27" s="492">
        <v>57165</v>
      </c>
      <c r="Z27" s="511">
        <v>0</v>
      </c>
      <c r="AA27" s="513">
        <v>0</v>
      </c>
      <c r="AB27" s="522">
        <v>0</v>
      </c>
      <c r="AC27" s="509">
        <f t="shared" si="1"/>
        <v>57165</v>
      </c>
      <c r="AD27" s="509" t="s">
        <v>2620</v>
      </c>
      <c r="AE27" s="492">
        <v>7.8</v>
      </c>
      <c r="AF27" s="519"/>
      <c r="AG27" s="519"/>
      <c r="AI27" s="2">
        <v>8.8000000000000007</v>
      </c>
      <c r="AJ27" s="511">
        <v>1.1000000000000001</v>
      </c>
      <c r="AK27" s="511">
        <f t="shared" si="0"/>
        <v>9.6800000000000015</v>
      </c>
    </row>
    <row r="28" spans="1:37" hidden="1">
      <c r="A28" s="521">
        <f t="shared" si="3"/>
        <v>19</v>
      </c>
      <c r="B28" s="509" t="s">
        <v>2621</v>
      </c>
      <c r="C28" s="492">
        <v>58.33</v>
      </c>
      <c r="D28" s="490" t="s">
        <v>2346</v>
      </c>
      <c r="E28" s="2"/>
      <c r="F28" s="519">
        <v>1</v>
      </c>
      <c r="G28" s="518" t="s">
        <v>2334</v>
      </c>
      <c r="H28" s="509" t="s">
        <v>2525</v>
      </c>
      <c r="I28" s="492" t="e">
        <f>(C78)</f>
        <v>#REF!</v>
      </c>
      <c r="J28" s="500" t="s">
        <v>2334</v>
      </c>
      <c r="K28" s="526" t="e">
        <f>(F28*I28)</f>
        <v>#REF!</v>
      </c>
      <c r="O28" s="509" t="s">
        <v>2622</v>
      </c>
      <c r="R28" s="519" t="e">
        <f>SUM(R22:R26)</f>
        <v>#REF!</v>
      </c>
      <c r="T28" s="510" t="s">
        <v>2623</v>
      </c>
      <c r="U28" s="509" t="s">
        <v>2624</v>
      </c>
      <c r="V28" s="509" t="s">
        <v>2521</v>
      </c>
      <c r="W28" s="523" t="s">
        <v>2604</v>
      </c>
      <c r="X28" s="511">
        <v>0</v>
      </c>
      <c r="Y28" s="492">
        <v>63870</v>
      </c>
      <c r="Z28" s="511">
        <v>0</v>
      </c>
      <c r="AA28" s="513">
        <v>0</v>
      </c>
      <c r="AB28" s="522">
        <v>0</v>
      </c>
      <c r="AC28" s="509">
        <f t="shared" si="1"/>
        <v>63870</v>
      </c>
      <c r="AD28" s="509" t="s">
        <v>2625</v>
      </c>
      <c r="AE28" s="492">
        <v>8.8000000000000007</v>
      </c>
      <c r="AF28" s="519"/>
      <c r="AG28" s="519"/>
      <c r="AI28" s="2">
        <v>25</v>
      </c>
      <c r="AJ28" s="511">
        <v>1.1000000000000001</v>
      </c>
      <c r="AK28" s="511">
        <f t="shared" si="0"/>
        <v>27.500000000000004</v>
      </c>
    </row>
    <row r="29" spans="1:37" hidden="1">
      <c r="A29" s="521">
        <f t="shared" si="3"/>
        <v>20</v>
      </c>
      <c r="B29" s="509" t="s">
        <v>2626</v>
      </c>
      <c r="C29" s="492">
        <f>AE23</f>
        <v>120</v>
      </c>
      <c r="D29" s="490" t="s">
        <v>2359</v>
      </c>
      <c r="E29" s="2"/>
      <c r="F29" s="519">
        <v>1</v>
      </c>
      <c r="G29" s="518" t="s">
        <v>2334</v>
      </c>
      <c r="H29" s="509" t="s">
        <v>2530</v>
      </c>
      <c r="I29" s="492">
        <f>(C18)</f>
        <v>26</v>
      </c>
      <c r="J29" s="500" t="s">
        <v>2334</v>
      </c>
      <c r="K29" s="526">
        <f>(F29*I29)</f>
        <v>26</v>
      </c>
      <c r="R29" s="515" t="s">
        <v>442</v>
      </c>
      <c r="T29" s="510" t="s">
        <v>2627</v>
      </c>
      <c r="U29" s="509" t="s">
        <v>2628</v>
      </c>
      <c r="V29" s="509" t="s">
        <v>2571</v>
      </c>
      <c r="W29" s="519" t="str">
        <f>W18</f>
        <v>Nerkundram</v>
      </c>
      <c r="X29" s="519" t="e">
        <f>X18</f>
        <v>#REF!</v>
      </c>
      <c r="Y29" s="492">
        <v>1470</v>
      </c>
      <c r="Z29" s="519" t="e">
        <f>Z18</f>
        <v>#REF!</v>
      </c>
      <c r="AA29" s="513">
        <v>0</v>
      </c>
      <c r="AB29" s="522">
        <v>0</v>
      </c>
      <c r="AC29" s="509" t="e">
        <f t="shared" si="1"/>
        <v>#REF!</v>
      </c>
      <c r="AD29" s="509" t="s">
        <v>2629</v>
      </c>
      <c r="AE29" s="492">
        <v>25</v>
      </c>
      <c r="AF29" s="519"/>
      <c r="AG29" s="519"/>
      <c r="AI29" s="2">
        <v>342</v>
      </c>
      <c r="AJ29" s="511">
        <v>1.1000000000000001</v>
      </c>
      <c r="AK29" s="511">
        <f t="shared" si="0"/>
        <v>376.20000000000005</v>
      </c>
    </row>
    <row r="30" spans="1:37" hidden="1">
      <c r="A30" s="521">
        <f t="shared" si="3"/>
        <v>21</v>
      </c>
      <c r="B30" s="509" t="s">
        <v>2630</v>
      </c>
      <c r="C30" s="492">
        <f>AE33</f>
        <v>3035</v>
      </c>
      <c r="D30" s="492">
        <f>AE31</f>
        <v>287</v>
      </c>
      <c r="E30" s="2"/>
      <c r="G30" s="518" t="s">
        <v>2346</v>
      </c>
      <c r="H30" s="509" t="s">
        <v>2347</v>
      </c>
      <c r="I30" s="490" t="s">
        <v>30</v>
      </c>
      <c r="J30" s="500" t="s">
        <v>2346</v>
      </c>
      <c r="K30" s="526">
        <v>0</v>
      </c>
      <c r="O30" s="509" t="s">
        <v>2349</v>
      </c>
      <c r="R30" s="519" t="e">
        <f>(R28/1.5)</f>
        <v>#REF!</v>
      </c>
      <c r="T30" s="510" t="s">
        <v>2631</v>
      </c>
      <c r="U30" s="509" t="s">
        <v>2632</v>
      </c>
      <c r="V30" s="509" t="s">
        <v>2571</v>
      </c>
      <c r="W30" s="523" t="s">
        <v>2604</v>
      </c>
      <c r="X30" s="519">
        <v>0</v>
      </c>
      <c r="Y30" s="492">
        <v>8240</v>
      </c>
      <c r="Z30" s="519">
        <v>0</v>
      </c>
      <c r="AA30" s="510">
        <v>0</v>
      </c>
      <c r="AB30" s="522">
        <v>0</v>
      </c>
      <c r="AC30" s="509">
        <f t="shared" si="1"/>
        <v>8240</v>
      </c>
      <c r="AD30" s="509" t="s">
        <v>2633</v>
      </c>
      <c r="AE30" s="492">
        <v>342</v>
      </c>
      <c r="AF30" s="519"/>
      <c r="AG30" s="519"/>
      <c r="AI30" s="2">
        <v>287</v>
      </c>
      <c r="AJ30" s="511">
        <v>1.1000000000000001</v>
      </c>
      <c r="AK30" s="511">
        <f t="shared" si="0"/>
        <v>315.70000000000005</v>
      </c>
    </row>
    <row r="31" spans="1:37" hidden="1">
      <c r="A31" s="521">
        <f t="shared" si="3"/>
        <v>22</v>
      </c>
      <c r="B31" s="509" t="s">
        <v>2634</v>
      </c>
      <c r="C31" s="492">
        <f>AE30</f>
        <v>342</v>
      </c>
      <c r="D31" s="492">
        <f>AE32</f>
        <v>320</v>
      </c>
      <c r="E31" s="2"/>
      <c r="I31" s="2"/>
      <c r="J31" s="463"/>
      <c r="K31" s="526" t="s">
        <v>442</v>
      </c>
      <c r="O31" s="509" t="s">
        <v>2485</v>
      </c>
      <c r="R31" s="515" t="s">
        <v>29</v>
      </c>
      <c r="T31" s="510" t="s">
        <v>2635</v>
      </c>
      <c r="U31" s="509" t="s">
        <v>2636</v>
      </c>
      <c r="V31" s="509" t="s">
        <v>2516</v>
      </c>
      <c r="W31" s="509" t="s">
        <v>2604</v>
      </c>
      <c r="X31" s="519">
        <v>0</v>
      </c>
      <c r="Y31" s="492">
        <v>3800</v>
      </c>
      <c r="Z31" s="519">
        <v>0</v>
      </c>
      <c r="AA31" s="510">
        <v>0</v>
      </c>
      <c r="AB31" s="522">
        <v>0</v>
      </c>
      <c r="AC31" s="509">
        <v>3800</v>
      </c>
      <c r="AD31" s="509" t="s">
        <v>2637</v>
      </c>
      <c r="AE31" s="492">
        <v>287</v>
      </c>
      <c r="AF31" s="519"/>
      <c r="AG31" s="519"/>
      <c r="AI31" s="2">
        <v>320</v>
      </c>
      <c r="AJ31" s="511">
        <v>1.1000000000000001</v>
      </c>
      <c r="AK31" s="511">
        <f t="shared" si="0"/>
        <v>352</v>
      </c>
    </row>
    <row r="32" spans="1:37" hidden="1">
      <c r="A32" s="521">
        <f t="shared" si="3"/>
        <v>23</v>
      </c>
      <c r="B32" s="509" t="s">
        <v>2638</v>
      </c>
      <c r="C32" s="492">
        <v>2.5</v>
      </c>
      <c r="D32" s="492">
        <f>AE34</f>
        <v>267</v>
      </c>
      <c r="E32" s="2"/>
      <c r="H32" s="509" t="s">
        <v>2545</v>
      </c>
      <c r="I32" s="2"/>
      <c r="J32" s="463"/>
      <c r="K32" s="526" t="e">
        <f>SUM(K27:K30)</f>
        <v>#REF!</v>
      </c>
      <c r="T32" s="510" t="s">
        <v>2639</v>
      </c>
      <c r="U32" s="509" t="s">
        <v>2640</v>
      </c>
      <c r="V32" s="509" t="s">
        <v>2516</v>
      </c>
      <c r="W32" s="509" t="s">
        <v>2587</v>
      </c>
      <c r="X32" s="519">
        <v>0</v>
      </c>
      <c r="Y32" s="492">
        <v>28000</v>
      </c>
      <c r="Z32" s="519">
        <v>0</v>
      </c>
      <c r="AA32" s="510">
        <v>0</v>
      </c>
      <c r="AB32" s="522">
        <v>0</v>
      </c>
      <c r="AC32" s="509">
        <f t="shared" ref="AC32:AC38" si="4">SUM(Y32+Z32+AA32+AB32)</f>
        <v>28000</v>
      </c>
      <c r="AD32" s="509" t="s">
        <v>2641</v>
      </c>
      <c r="AE32" s="492">
        <v>320</v>
      </c>
      <c r="AF32" s="519"/>
      <c r="AG32" s="519"/>
      <c r="AI32" s="2">
        <v>3035</v>
      </c>
      <c r="AJ32" s="511">
        <v>1.1000000000000001</v>
      </c>
      <c r="AK32" s="511">
        <f t="shared" si="0"/>
        <v>3338.5000000000005</v>
      </c>
    </row>
    <row r="33" spans="1:37" hidden="1">
      <c r="A33" s="521">
        <f t="shared" si="3"/>
        <v>24</v>
      </c>
      <c r="B33" s="509" t="s">
        <v>2642</v>
      </c>
      <c r="C33" s="492">
        <v>3.64</v>
      </c>
      <c r="D33" s="492">
        <f>AE35</f>
        <v>240</v>
      </c>
      <c r="E33" s="2"/>
      <c r="I33" s="2"/>
      <c r="J33" s="463"/>
      <c r="K33" s="526" t="s">
        <v>442</v>
      </c>
      <c r="T33" s="524" t="s">
        <v>2643</v>
      </c>
      <c r="U33" s="509" t="s">
        <v>2644</v>
      </c>
      <c r="V33" s="509" t="s">
        <v>2516</v>
      </c>
      <c r="W33" s="509" t="s">
        <v>2587</v>
      </c>
      <c r="X33" s="519">
        <v>0</v>
      </c>
      <c r="Y33" s="492">
        <v>26500</v>
      </c>
      <c r="Z33" s="519">
        <v>0</v>
      </c>
      <c r="AA33" s="510">
        <v>0</v>
      </c>
      <c r="AB33" s="522">
        <v>0</v>
      </c>
      <c r="AC33" s="509">
        <f t="shared" si="4"/>
        <v>26500</v>
      </c>
      <c r="AD33" s="509" t="s">
        <v>2645</v>
      </c>
      <c r="AE33" s="492">
        <v>3035</v>
      </c>
      <c r="AF33" s="519"/>
      <c r="AG33" s="519"/>
      <c r="AI33" s="2">
        <v>267</v>
      </c>
      <c r="AJ33" s="511">
        <v>1.1000000000000001</v>
      </c>
      <c r="AK33" s="511">
        <f t="shared" si="0"/>
        <v>293.70000000000005</v>
      </c>
    </row>
    <row r="34" spans="1:37" hidden="1">
      <c r="A34" s="521">
        <f t="shared" si="3"/>
        <v>25</v>
      </c>
      <c r="B34" s="509" t="s">
        <v>2646</v>
      </c>
      <c r="C34" s="492">
        <v>30000</v>
      </c>
      <c r="D34" s="492">
        <v>30000</v>
      </c>
      <c r="E34" s="2"/>
      <c r="G34" s="518" t="s">
        <v>575</v>
      </c>
      <c r="H34" s="509" t="s">
        <v>2647</v>
      </c>
      <c r="I34" s="2"/>
      <c r="J34" s="463"/>
      <c r="K34" s="552"/>
      <c r="T34" s="524" t="s">
        <v>2648</v>
      </c>
      <c r="U34" s="509" t="s">
        <v>2649</v>
      </c>
      <c r="V34" s="509" t="s">
        <v>2571</v>
      </c>
      <c r="W34" s="519" t="str">
        <f>W18</f>
        <v>Nerkundram</v>
      </c>
      <c r="X34" s="519" t="e">
        <f>X18</f>
        <v>#REF!</v>
      </c>
      <c r="Y34" s="492">
        <f>Y29</f>
        <v>1470</v>
      </c>
      <c r="Z34" s="519" t="e">
        <f>Z29</f>
        <v>#REF!</v>
      </c>
      <c r="AA34" s="510">
        <v>0</v>
      </c>
      <c r="AB34" s="522">
        <v>0</v>
      </c>
      <c r="AC34" s="509" t="e">
        <f t="shared" si="4"/>
        <v>#REF!</v>
      </c>
      <c r="AD34" s="509" t="s">
        <v>2650</v>
      </c>
      <c r="AE34" s="492">
        <v>267</v>
      </c>
      <c r="AF34" s="519"/>
      <c r="AG34" s="519"/>
      <c r="AI34" s="2">
        <v>240</v>
      </c>
      <c r="AJ34" s="511">
        <v>1.1000000000000001</v>
      </c>
      <c r="AK34" s="511">
        <f t="shared" si="0"/>
        <v>264</v>
      </c>
    </row>
    <row r="35" spans="1:37" hidden="1">
      <c r="A35" s="521">
        <f t="shared" si="3"/>
        <v>26</v>
      </c>
      <c r="B35" s="509" t="s">
        <v>2651</v>
      </c>
      <c r="C35" s="492">
        <f>AC38</f>
        <v>169</v>
      </c>
      <c r="D35" s="2"/>
      <c r="E35" s="2"/>
      <c r="F35" s="519">
        <v>0.36</v>
      </c>
      <c r="G35" s="518" t="s">
        <v>2516</v>
      </c>
      <c r="H35" s="509" t="s">
        <v>2517</v>
      </c>
      <c r="I35" s="492">
        <f>C67</f>
        <v>3800</v>
      </c>
      <c r="J35" s="500" t="s">
        <v>2516</v>
      </c>
      <c r="K35" s="526">
        <f>(F35*I35)</f>
        <v>1368</v>
      </c>
      <c r="T35" s="510" t="s">
        <v>2652</v>
      </c>
      <c r="U35" s="509" t="s">
        <v>2653</v>
      </c>
      <c r="V35" s="509" t="s">
        <v>2521</v>
      </c>
      <c r="W35" s="509" t="str">
        <f>W11</f>
        <v>Pallavaram</v>
      </c>
      <c r="X35" s="519">
        <v>18</v>
      </c>
      <c r="Y35" s="525">
        <v>278</v>
      </c>
      <c r="Z35" s="519" t="e">
        <f>Z11</f>
        <v>#REF!</v>
      </c>
      <c r="AA35" s="510">
        <v>0</v>
      </c>
      <c r="AB35" s="522">
        <v>0</v>
      </c>
      <c r="AC35" s="509" t="e">
        <f t="shared" si="4"/>
        <v>#REF!</v>
      </c>
      <c r="AD35" s="509" t="s">
        <v>2654</v>
      </c>
      <c r="AE35" s="492">
        <v>240</v>
      </c>
      <c r="AF35" s="519"/>
      <c r="AG35" s="519"/>
      <c r="AI35" s="2">
        <v>37.299999999999997</v>
      </c>
      <c r="AJ35" s="511">
        <v>1.1000000000000001</v>
      </c>
      <c r="AK35" s="511">
        <f t="shared" si="0"/>
        <v>41.03</v>
      </c>
    </row>
    <row r="36" spans="1:37" hidden="1">
      <c r="B36" s="509" t="s">
        <v>2655</v>
      </c>
      <c r="C36" s="492">
        <v>2.6</v>
      </c>
      <c r="D36" s="2"/>
      <c r="E36" s="2"/>
      <c r="F36" s="519">
        <v>1</v>
      </c>
      <c r="G36" s="518" t="s">
        <v>2334</v>
      </c>
      <c r="H36" s="509" t="s">
        <v>2525</v>
      </c>
      <c r="I36" s="492" t="e">
        <f>C78</f>
        <v>#REF!</v>
      </c>
      <c r="J36" s="500" t="s">
        <v>2334</v>
      </c>
      <c r="K36" s="526" t="e">
        <f>(F36*I36)</f>
        <v>#REF!</v>
      </c>
      <c r="T36" s="510" t="s">
        <v>2656</v>
      </c>
      <c r="U36" s="509" t="s">
        <v>2657</v>
      </c>
      <c r="V36" s="509" t="s">
        <v>2521</v>
      </c>
      <c r="W36" s="509" t="str">
        <f>W12</f>
        <v>Pallavaram</v>
      </c>
      <c r="X36" s="519">
        <v>18</v>
      </c>
      <c r="Y36" s="525">
        <v>334.5</v>
      </c>
      <c r="Z36" s="519" t="e">
        <f>Z12</f>
        <v>#REF!</v>
      </c>
      <c r="AA36" s="510">
        <v>0</v>
      </c>
      <c r="AB36" s="522">
        <v>0</v>
      </c>
      <c r="AC36" s="509" t="e">
        <f t="shared" si="4"/>
        <v>#REF!</v>
      </c>
      <c r="AD36" s="509" t="s">
        <v>2658</v>
      </c>
      <c r="AE36" s="526">
        <v>37.299999999999997</v>
      </c>
      <c r="AF36" s="517"/>
      <c r="AG36" s="517"/>
      <c r="AI36" s="2">
        <v>95.5</v>
      </c>
      <c r="AJ36" s="511">
        <v>1.1000000000000001</v>
      </c>
      <c r="AK36" s="511">
        <f t="shared" si="0"/>
        <v>105.05000000000001</v>
      </c>
    </row>
    <row r="37" spans="1:37" hidden="1">
      <c r="C37" s="2"/>
      <c r="D37" s="2"/>
      <c r="E37" s="2"/>
      <c r="F37" s="519">
        <v>1</v>
      </c>
      <c r="G37" s="518" t="s">
        <v>2334</v>
      </c>
      <c r="H37" s="509" t="s">
        <v>2530</v>
      </c>
      <c r="I37" s="492">
        <f>C18</f>
        <v>26</v>
      </c>
      <c r="J37" s="500" t="s">
        <v>2334</v>
      </c>
      <c r="K37" s="526">
        <f>(F37*I37)</f>
        <v>26</v>
      </c>
      <c r="T37" s="510" t="s">
        <v>2659</v>
      </c>
      <c r="U37" s="509" t="s">
        <v>2660</v>
      </c>
      <c r="V37" s="509" t="s">
        <v>2521</v>
      </c>
      <c r="W37" s="509" t="str">
        <f>W13</f>
        <v>Pallavaram</v>
      </c>
      <c r="X37" s="519">
        <v>18</v>
      </c>
      <c r="Y37" s="525">
        <v>278.5</v>
      </c>
      <c r="Z37" s="519" t="e">
        <f>Z13</f>
        <v>#REF!</v>
      </c>
      <c r="AA37" s="510">
        <v>0</v>
      </c>
      <c r="AB37" s="522">
        <v>0</v>
      </c>
      <c r="AC37" s="509" t="e">
        <f t="shared" si="4"/>
        <v>#REF!</v>
      </c>
      <c r="AD37" s="509" t="s">
        <v>2661</v>
      </c>
      <c r="AE37" s="492">
        <v>120</v>
      </c>
      <c r="AF37" s="519"/>
      <c r="AG37" s="519"/>
    </row>
    <row r="38" spans="1:37" hidden="1">
      <c r="A38" s="521">
        <f>(A35+1)</f>
        <v>27</v>
      </c>
      <c r="B38" s="509" t="s">
        <v>2662</v>
      </c>
      <c r="C38" s="492">
        <v>40</v>
      </c>
      <c r="D38" s="490" t="s">
        <v>2342</v>
      </c>
      <c r="E38" s="2"/>
      <c r="G38" s="518" t="s">
        <v>2346</v>
      </c>
      <c r="H38" s="509" t="s">
        <v>2347</v>
      </c>
      <c r="I38" s="490" t="s">
        <v>30</v>
      </c>
      <c r="J38" s="500" t="s">
        <v>2346</v>
      </c>
      <c r="K38" s="526">
        <v>0</v>
      </c>
      <c r="T38" s="510" t="s">
        <v>2663</v>
      </c>
      <c r="U38" s="509" t="s">
        <v>2664</v>
      </c>
      <c r="V38" s="509" t="s">
        <v>2521</v>
      </c>
      <c r="W38" s="509" t="s">
        <v>2665</v>
      </c>
      <c r="X38" s="519">
        <v>20</v>
      </c>
      <c r="Y38" s="526">
        <v>83</v>
      </c>
      <c r="Z38" s="519">
        <v>86</v>
      </c>
      <c r="AA38" s="510">
        <v>0</v>
      </c>
      <c r="AB38" s="522">
        <v>0</v>
      </c>
      <c r="AC38" s="509">
        <f t="shared" si="4"/>
        <v>169</v>
      </c>
      <c r="AD38" s="509" t="s">
        <v>30</v>
      </c>
      <c r="AE38" s="526"/>
      <c r="AG38" s="509" t="s">
        <v>2514</v>
      </c>
    </row>
    <row r="39" spans="1:37" hidden="1">
      <c r="A39" s="521">
        <f t="shared" ref="A39:A58" si="5">(A38+1)</f>
        <v>28</v>
      </c>
      <c r="B39" s="509" t="s">
        <v>2666</v>
      </c>
      <c r="C39" s="492">
        <v>41</v>
      </c>
      <c r="D39" s="492">
        <v>500</v>
      </c>
      <c r="E39" s="2"/>
      <c r="I39" s="2"/>
      <c r="J39" s="463"/>
      <c r="K39" s="526" t="s">
        <v>442</v>
      </c>
      <c r="T39" s="513"/>
      <c r="AA39" s="513"/>
      <c r="AG39" s="509" t="s">
        <v>2514</v>
      </c>
    </row>
    <row r="40" spans="1:37" hidden="1">
      <c r="A40" s="521">
        <f t="shared" si="5"/>
        <v>29</v>
      </c>
      <c r="B40" s="509" t="s">
        <v>2667</v>
      </c>
      <c r="C40" s="492">
        <v>28</v>
      </c>
      <c r="D40" s="492">
        <f>95+95*0.11</f>
        <v>105.45</v>
      </c>
      <c r="E40" s="2"/>
      <c r="H40" s="509" t="s">
        <v>2545</v>
      </c>
      <c r="I40" s="2"/>
      <c r="J40" s="463"/>
      <c r="K40" s="526" t="e">
        <f>SUM(K35:K38)</f>
        <v>#REF!</v>
      </c>
      <c r="T40" s="515" t="s">
        <v>442</v>
      </c>
      <c r="U40" s="515" t="s">
        <v>442</v>
      </c>
      <c r="V40" s="515" t="s">
        <v>442</v>
      </c>
      <c r="W40" s="515" t="s">
        <v>442</v>
      </c>
      <c r="X40" s="515" t="s">
        <v>442</v>
      </c>
      <c r="Y40" s="515" t="s">
        <v>442</v>
      </c>
      <c r="Z40" s="515" t="s">
        <v>442</v>
      </c>
      <c r="AA40" s="515" t="s">
        <v>442</v>
      </c>
      <c r="AB40" s="515" t="s">
        <v>442</v>
      </c>
      <c r="AC40" s="515" t="s">
        <v>442</v>
      </c>
      <c r="AD40" s="515" t="s">
        <v>442</v>
      </c>
      <c r="AE40" s="515" t="s">
        <v>442</v>
      </c>
      <c r="AF40" s="515"/>
      <c r="AG40" s="509" t="s">
        <v>2514</v>
      </c>
    </row>
    <row r="41" spans="1:37" ht="47.25" hidden="1" customHeight="1">
      <c r="A41" s="521">
        <f t="shared" si="5"/>
        <v>30</v>
      </c>
      <c r="B41" s="509" t="s">
        <v>2668</v>
      </c>
      <c r="C41" s="492">
        <f>AE22</f>
        <v>110</v>
      </c>
      <c r="D41" s="490" t="s">
        <v>2359</v>
      </c>
      <c r="E41" s="2"/>
      <c r="I41" s="2"/>
      <c r="J41" s="463"/>
      <c r="K41" s="526" t="s">
        <v>442</v>
      </c>
      <c r="U41" s="527"/>
      <c r="Y41" s="509" t="s">
        <v>30</v>
      </c>
      <c r="AG41" s="509" t="s">
        <v>2514</v>
      </c>
    </row>
    <row r="42" spans="1:37" hidden="1">
      <c r="A42" s="521">
        <f t="shared" si="5"/>
        <v>31</v>
      </c>
      <c r="B42" s="509" t="s">
        <v>2669</v>
      </c>
      <c r="C42" s="492">
        <v>1.75</v>
      </c>
      <c r="D42" s="490" t="s">
        <v>2205</v>
      </c>
      <c r="E42" s="2"/>
      <c r="G42" s="518" t="s">
        <v>575</v>
      </c>
      <c r="H42" s="509" t="s">
        <v>2341</v>
      </c>
      <c r="I42" s="2"/>
      <c r="J42" s="463"/>
      <c r="K42" s="552"/>
      <c r="U42" s="511" t="s">
        <v>2670</v>
      </c>
      <c r="AG42" s="509" t="s">
        <v>2514</v>
      </c>
    </row>
    <row r="43" spans="1:37" hidden="1">
      <c r="A43" s="521">
        <f t="shared" si="5"/>
        <v>32</v>
      </c>
      <c r="B43" s="509" t="s">
        <v>2671</v>
      </c>
      <c r="C43" s="492">
        <v>2.2000000000000002</v>
      </c>
      <c r="D43" s="490" t="s">
        <v>2359</v>
      </c>
      <c r="E43" s="2"/>
      <c r="H43" s="515" t="s">
        <v>442</v>
      </c>
      <c r="I43" s="2"/>
      <c r="J43" s="463"/>
      <c r="K43" s="552"/>
      <c r="AG43" s="509" t="s">
        <v>2514</v>
      </c>
    </row>
    <row r="44" spans="1:37" hidden="1">
      <c r="A44" s="521">
        <f t="shared" si="5"/>
        <v>33</v>
      </c>
      <c r="B44" s="509" t="s">
        <v>2672</v>
      </c>
      <c r="C44" s="492">
        <v>2.2000000000000002</v>
      </c>
      <c r="D44" s="490" t="s">
        <v>2359</v>
      </c>
      <c r="E44" s="2"/>
      <c r="F44" s="528">
        <v>0.28799999999999998</v>
      </c>
      <c r="G44" s="518" t="s">
        <v>2516</v>
      </c>
      <c r="H44" s="509" t="s">
        <v>2517</v>
      </c>
      <c r="I44" s="492">
        <f>(C67)</f>
        <v>3800</v>
      </c>
      <c r="J44" s="500" t="s">
        <v>2516</v>
      </c>
      <c r="K44" s="526">
        <f>(F44*I44)</f>
        <v>1094.3999999999999</v>
      </c>
      <c r="AG44" s="509" t="s">
        <v>2514</v>
      </c>
    </row>
    <row r="45" spans="1:37" hidden="1">
      <c r="A45" s="521">
        <f t="shared" si="5"/>
        <v>34</v>
      </c>
      <c r="B45" s="509" t="s">
        <v>2673</v>
      </c>
      <c r="C45" s="492">
        <v>2.7</v>
      </c>
      <c r="D45" s="490" t="s">
        <v>2359</v>
      </c>
      <c r="E45" s="2"/>
      <c r="F45" s="519">
        <v>1</v>
      </c>
      <c r="G45" s="518" t="s">
        <v>2334</v>
      </c>
      <c r="H45" s="509" t="s">
        <v>2525</v>
      </c>
      <c r="I45" s="492" t="e">
        <f>(C78)</f>
        <v>#REF!</v>
      </c>
      <c r="J45" s="500" t="s">
        <v>2334</v>
      </c>
      <c r="K45" s="526" t="e">
        <f>(F45*I45)</f>
        <v>#REF!</v>
      </c>
      <c r="AG45" s="509" t="s">
        <v>2514</v>
      </c>
    </row>
    <row r="46" spans="1:37" hidden="1">
      <c r="A46" s="521">
        <f t="shared" si="5"/>
        <v>35</v>
      </c>
      <c r="B46" s="509" t="s">
        <v>2674</v>
      </c>
      <c r="C46" s="492">
        <v>3.2</v>
      </c>
      <c r="D46" s="490" t="s">
        <v>2359</v>
      </c>
      <c r="E46" s="2"/>
      <c r="F46" s="519">
        <v>1</v>
      </c>
      <c r="G46" s="518" t="s">
        <v>2334</v>
      </c>
      <c r="H46" s="509" t="s">
        <v>2530</v>
      </c>
      <c r="I46" s="492">
        <f>(C18)</f>
        <v>26</v>
      </c>
      <c r="J46" s="500" t="s">
        <v>2334</v>
      </c>
      <c r="K46" s="526">
        <f>(F46*I46)</f>
        <v>26</v>
      </c>
      <c r="W46" s="509" t="s">
        <v>2675</v>
      </c>
      <c r="AA46" s="509" t="s">
        <v>2676</v>
      </c>
      <c r="AE46" s="511" t="s">
        <v>2677</v>
      </c>
      <c r="AG46" s="509" t="s">
        <v>2514</v>
      </c>
    </row>
    <row r="47" spans="1:37" hidden="1">
      <c r="A47" s="521">
        <f t="shared" si="5"/>
        <v>36</v>
      </c>
      <c r="B47" s="509" t="s">
        <v>2678</v>
      </c>
      <c r="C47" s="492">
        <v>4.2</v>
      </c>
      <c r="D47" s="490" t="s">
        <v>2359</v>
      </c>
      <c r="E47" s="2"/>
      <c r="G47" s="518" t="s">
        <v>2346</v>
      </c>
      <c r="H47" s="509" t="s">
        <v>2347</v>
      </c>
      <c r="I47" s="490" t="s">
        <v>30</v>
      </c>
      <c r="J47" s="500" t="s">
        <v>2346</v>
      </c>
      <c r="K47" s="526">
        <v>0</v>
      </c>
      <c r="N47" s="509" t="s">
        <v>575</v>
      </c>
      <c r="O47" s="509" t="s">
        <v>2679</v>
      </c>
      <c r="AG47" s="509" t="s">
        <v>2514</v>
      </c>
    </row>
    <row r="48" spans="1:37" hidden="1">
      <c r="A48" s="521">
        <f t="shared" si="5"/>
        <v>37</v>
      </c>
      <c r="B48" s="509" t="s">
        <v>2680</v>
      </c>
      <c r="C48" s="492">
        <v>5.35</v>
      </c>
      <c r="D48" s="492">
        <v>10.65</v>
      </c>
      <c r="E48" s="2"/>
      <c r="I48" s="2"/>
      <c r="J48" s="463"/>
      <c r="K48" s="526" t="s">
        <v>442</v>
      </c>
      <c r="O48" s="509" t="s">
        <v>2681</v>
      </c>
      <c r="AG48" s="509" t="s">
        <v>2514</v>
      </c>
    </row>
    <row r="49" spans="1:33" hidden="1">
      <c r="A49" s="521">
        <f t="shared" si="5"/>
        <v>38</v>
      </c>
      <c r="B49" s="509" t="s">
        <v>2682</v>
      </c>
      <c r="C49" s="492">
        <v>5.85</v>
      </c>
      <c r="D49" s="492">
        <v>7.45</v>
      </c>
      <c r="E49" s="2"/>
      <c r="H49" s="509" t="s">
        <v>2545</v>
      </c>
      <c r="I49" s="2"/>
      <c r="J49" s="463"/>
      <c r="K49" s="526" t="e">
        <f>SUM(K44:K47)</f>
        <v>#REF!</v>
      </c>
      <c r="O49" s="515" t="s">
        <v>442</v>
      </c>
      <c r="AG49" s="509" t="s">
        <v>2514</v>
      </c>
    </row>
    <row r="50" spans="1:33" hidden="1">
      <c r="A50" s="521">
        <f t="shared" si="5"/>
        <v>39</v>
      </c>
      <c r="B50" s="509" t="s">
        <v>2683</v>
      </c>
      <c r="C50" s="492">
        <v>3.2</v>
      </c>
      <c r="D50" s="490" t="s">
        <v>2359</v>
      </c>
      <c r="E50" s="2"/>
      <c r="I50" s="2"/>
      <c r="J50" s="463"/>
      <c r="K50" s="526" t="s">
        <v>442</v>
      </c>
      <c r="M50" s="519">
        <v>9</v>
      </c>
      <c r="N50" s="509" t="s">
        <v>2334</v>
      </c>
      <c r="O50" s="509" t="s">
        <v>2681</v>
      </c>
      <c r="P50" s="519" t="e">
        <f>(C81)</f>
        <v>#REF!</v>
      </c>
      <c r="Q50" s="509" t="s">
        <v>2334</v>
      </c>
      <c r="R50" s="519" t="e">
        <f>(M50*P50)</f>
        <v>#REF!</v>
      </c>
      <c r="AG50" s="509" t="s">
        <v>2514</v>
      </c>
    </row>
    <row r="51" spans="1:33" hidden="1">
      <c r="A51" s="521">
        <f t="shared" si="5"/>
        <v>40</v>
      </c>
      <c r="B51" s="509" t="s">
        <v>2684</v>
      </c>
      <c r="C51" s="492">
        <v>3.2</v>
      </c>
      <c r="D51" s="490" t="s">
        <v>2359</v>
      </c>
      <c r="E51" s="2"/>
      <c r="G51" s="518" t="s">
        <v>575</v>
      </c>
      <c r="H51" s="509" t="s">
        <v>2685</v>
      </c>
      <c r="I51" s="2"/>
      <c r="J51" s="463"/>
      <c r="K51" s="552"/>
      <c r="M51" s="519">
        <v>4.5</v>
      </c>
      <c r="N51" s="509" t="s">
        <v>2334</v>
      </c>
      <c r="O51" s="509" t="s">
        <v>2686</v>
      </c>
      <c r="P51" s="519" t="e">
        <f>(K77)</f>
        <v>#REF!</v>
      </c>
      <c r="Q51" s="509" t="s">
        <v>2334</v>
      </c>
      <c r="R51" s="519" t="e">
        <f>(M51*P51)</f>
        <v>#REF!</v>
      </c>
      <c r="AG51" s="509" t="s">
        <v>2514</v>
      </c>
    </row>
    <row r="52" spans="1:33" hidden="1">
      <c r="A52" s="521">
        <f t="shared" si="5"/>
        <v>41</v>
      </c>
      <c r="B52" s="509" t="s">
        <v>2687</v>
      </c>
      <c r="C52" s="492">
        <v>6.4</v>
      </c>
      <c r="D52" s="490" t="s">
        <v>2359</v>
      </c>
      <c r="E52" s="2"/>
      <c r="H52" s="515" t="s">
        <v>442</v>
      </c>
      <c r="I52" s="2"/>
      <c r="J52" s="463"/>
      <c r="K52" s="552"/>
      <c r="M52" s="519">
        <v>1.8</v>
      </c>
      <c r="N52" s="509" t="s">
        <v>2342</v>
      </c>
      <c r="O52" s="509" t="s">
        <v>2343</v>
      </c>
      <c r="P52" s="519">
        <f>(C11)</f>
        <v>135</v>
      </c>
      <c r="Q52" s="509" t="s">
        <v>2342</v>
      </c>
      <c r="R52" s="519">
        <f>(M52*P52)</f>
        <v>243</v>
      </c>
      <c r="AG52" s="509" t="s">
        <v>2514</v>
      </c>
    </row>
    <row r="53" spans="1:33" hidden="1">
      <c r="A53" s="521">
        <f t="shared" si="5"/>
        <v>42</v>
      </c>
      <c r="B53" s="509" t="s">
        <v>2688</v>
      </c>
      <c r="C53" s="492">
        <v>8.5500000000000007</v>
      </c>
      <c r="D53" s="492">
        <v>21.3</v>
      </c>
      <c r="E53" s="2"/>
      <c r="F53" s="519">
        <v>0.24</v>
      </c>
      <c r="G53" s="518" t="s">
        <v>2516</v>
      </c>
      <c r="H53" s="509" t="s">
        <v>2517</v>
      </c>
      <c r="I53" s="492">
        <f>(C67)</f>
        <v>3800</v>
      </c>
      <c r="J53" s="500" t="s">
        <v>2516</v>
      </c>
      <c r="K53" s="526">
        <f>(F53*I53)</f>
        <v>912</v>
      </c>
      <c r="M53" s="519">
        <v>17.7</v>
      </c>
      <c r="N53" s="509" t="s">
        <v>2342</v>
      </c>
      <c r="O53" s="509" t="s">
        <v>2344</v>
      </c>
      <c r="P53" s="519">
        <f>(C12)</f>
        <v>95</v>
      </c>
      <c r="Q53" s="509" t="s">
        <v>2342</v>
      </c>
      <c r="R53" s="519">
        <f>(M53*P53)</f>
        <v>1681.5</v>
      </c>
      <c r="AG53" s="509" t="s">
        <v>2514</v>
      </c>
    </row>
    <row r="54" spans="1:33" hidden="1">
      <c r="A54" s="521">
        <f t="shared" si="5"/>
        <v>43</v>
      </c>
      <c r="B54" s="509" t="s">
        <v>2689</v>
      </c>
      <c r="C54" s="492">
        <v>9.5500000000000007</v>
      </c>
      <c r="D54" s="492">
        <v>16</v>
      </c>
      <c r="E54" s="2"/>
      <c r="F54" s="519">
        <v>1</v>
      </c>
      <c r="G54" s="518" t="s">
        <v>2334</v>
      </c>
      <c r="H54" s="509" t="s">
        <v>2525</v>
      </c>
      <c r="I54" s="492" t="e">
        <f>(C78)</f>
        <v>#REF!</v>
      </c>
      <c r="J54" s="500" t="s">
        <v>2334</v>
      </c>
      <c r="K54" s="526" t="e">
        <f>(F54*I54)</f>
        <v>#REF!</v>
      </c>
      <c r="M54" s="519">
        <v>14.1</v>
      </c>
      <c r="N54" s="509" t="s">
        <v>2342</v>
      </c>
      <c r="O54" s="509" t="s">
        <v>2345</v>
      </c>
      <c r="P54" s="519">
        <f>(C13)</f>
        <v>85</v>
      </c>
      <c r="Q54" s="509" t="s">
        <v>2342</v>
      </c>
      <c r="R54" s="519">
        <f>(M54*P54)</f>
        <v>1198.5</v>
      </c>
      <c r="AG54" s="509" t="s">
        <v>2690</v>
      </c>
    </row>
    <row r="55" spans="1:33" hidden="1">
      <c r="A55" s="521">
        <f t="shared" si="5"/>
        <v>44</v>
      </c>
      <c r="B55" s="509" t="s">
        <v>2691</v>
      </c>
      <c r="C55" s="492">
        <v>10.65</v>
      </c>
      <c r="D55" s="492">
        <v>12.75</v>
      </c>
      <c r="E55" s="2"/>
      <c r="F55" s="519">
        <v>1</v>
      </c>
      <c r="G55" s="518" t="s">
        <v>2334</v>
      </c>
      <c r="H55" s="509" t="s">
        <v>2530</v>
      </c>
      <c r="I55" s="492">
        <f>(C18)</f>
        <v>26</v>
      </c>
      <c r="J55" s="500" t="s">
        <v>2334</v>
      </c>
      <c r="K55" s="526">
        <f>(F55*I55)</f>
        <v>26</v>
      </c>
      <c r="N55" s="509" t="s">
        <v>2346</v>
      </c>
      <c r="O55" s="509" t="s">
        <v>2347</v>
      </c>
      <c r="Q55" s="509" t="s">
        <v>2346</v>
      </c>
      <c r="R55" s="519">
        <v>0</v>
      </c>
    </row>
    <row r="56" spans="1:33" hidden="1">
      <c r="A56" s="521">
        <f t="shared" si="5"/>
        <v>45</v>
      </c>
      <c r="B56" s="509" t="s">
        <v>2692</v>
      </c>
      <c r="C56" s="492">
        <v>12.1</v>
      </c>
      <c r="D56" s="490" t="s">
        <v>2346</v>
      </c>
      <c r="E56" s="2"/>
      <c r="G56" s="518" t="s">
        <v>2346</v>
      </c>
      <c r="H56" s="509" t="s">
        <v>2347</v>
      </c>
      <c r="I56" s="490" t="s">
        <v>30</v>
      </c>
      <c r="J56" s="500" t="s">
        <v>2346</v>
      </c>
      <c r="K56" s="526">
        <v>0</v>
      </c>
      <c r="R56" s="515" t="s">
        <v>442</v>
      </c>
    </row>
    <row r="57" spans="1:33" hidden="1">
      <c r="A57" s="521">
        <f t="shared" si="5"/>
        <v>46</v>
      </c>
      <c r="B57" s="509" t="s">
        <v>2693</v>
      </c>
      <c r="C57" s="492">
        <v>35</v>
      </c>
      <c r="D57" s="490" t="s">
        <v>2346</v>
      </c>
      <c r="E57" s="2"/>
      <c r="I57" s="2"/>
      <c r="J57" s="463"/>
      <c r="K57" s="526" t="s">
        <v>442</v>
      </c>
      <c r="O57" s="509" t="s">
        <v>2348</v>
      </c>
      <c r="R57" s="519" t="e">
        <f>SUM(R50:R55)</f>
        <v>#REF!</v>
      </c>
      <c r="AG57" s="509" t="s">
        <v>2514</v>
      </c>
    </row>
    <row r="58" spans="1:33" hidden="1">
      <c r="A58" s="521">
        <f t="shared" si="5"/>
        <v>47</v>
      </c>
      <c r="B58" s="509" t="s">
        <v>2694</v>
      </c>
      <c r="C58" s="492">
        <v>15</v>
      </c>
      <c r="D58" s="490" t="s">
        <v>2346</v>
      </c>
      <c r="E58" s="2"/>
      <c r="H58" s="509" t="s">
        <v>2545</v>
      </c>
      <c r="I58" s="2"/>
      <c r="J58" s="463"/>
      <c r="K58" s="526" t="e">
        <f>SUM(K53:K56)</f>
        <v>#REF!</v>
      </c>
      <c r="R58" s="515" t="s">
        <v>442</v>
      </c>
      <c r="AG58" s="509" t="s">
        <v>2514</v>
      </c>
    </row>
    <row r="59" spans="1:33" hidden="1">
      <c r="C59" s="2"/>
      <c r="D59" s="2"/>
      <c r="E59" s="2"/>
      <c r="F59" s="509" t="s">
        <v>30</v>
      </c>
      <c r="I59" s="2"/>
      <c r="J59" s="463"/>
      <c r="K59" s="552"/>
    </row>
    <row r="60" spans="1:33" hidden="1">
      <c r="A60" s="521">
        <f>(A58+1)</f>
        <v>48</v>
      </c>
      <c r="B60" s="509" t="s">
        <v>2695</v>
      </c>
      <c r="C60" s="492">
        <v>6.55</v>
      </c>
      <c r="D60" s="490" t="s">
        <v>2696</v>
      </c>
      <c r="E60" s="2"/>
      <c r="I60" s="2"/>
      <c r="J60" s="463"/>
      <c r="K60" s="526" t="s">
        <v>442</v>
      </c>
      <c r="O60" s="509" t="s">
        <v>2349</v>
      </c>
      <c r="R60" s="519" t="e">
        <f>(R57/10)</f>
        <v>#REF!</v>
      </c>
      <c r="AG60" s="509" t="s">
        <v>2514</v>
      </c>
    </row>
    <row r="61" spans="1:33" hidden="1">
      <c r="A61" s="521">
        <f t="shared" ref="A61:A91" si="6">(A60+1)</f>
        <v>49</v>
      </c>
      <c r="B61" s="509" t="s">
        <v>2697</v>
      </c>
      <c r="C61" s="492">
        <f>AE29</f>
        <v>25</v>
      </c>
      <c r="D61" s="492">
        <f>AE36</f>
        <v>37.299999999999997</v>
      </c>
      <c r="E61" s="2"/>
      <c r="G61" s="518" t="s">
        <v>575</v>
      </c>
      <c r="H61" s="509" t="s">
        <v>2698</v>
      </c>
      <c r="I61" s="2"/>
      <c r="J61" s="463"/>
      <c r="K61" s="552"/>
      <c r="R61" s="515" t="s">
        <v>29</v>
      </c>
      <c r="AG61" s="509" t="s">
        <v>2514</v>
      </c>
    </row>
    <row r="62" spans="1:33" hidden="1">
      <c r="A62" s="521">
        <f t="shared" si="6"/>
        <v>50</v>
      </c>
      <c r="B62" s="509" t="s">
        <v>2699</v>
      </c>
      <c r="C62" s="492">
        <v>85.5</v>
      </c>
      <c r="D62" s="490" t="s">
        <v>2342</v>
      </c>
      <c r="E62" s="2"/>
      <c r="H62" s="515" t="s">
        <v>442</v>
      </c>
      <c r="I62" s="2"/>
      <c r="J62" s="463"/>
      <c r="K62" s="552"/>
      <c r="N62" s="509" t="s">
        <v>575</v>
      </c>
      <c r="O62" s="509" t="s">
        <v>2700</v>
      </c>
      <c r="AG62" s="509" t="s">
        <v>2514</v>
      </c>
    </row>
    <row r="63" spans="1:33" hidden="1">
      <c r="A63" s="521">
        <f t="shared" si="6"/>
        <v>51</v>
      </c>
      <c r="B63" s="509" t="s">
        <v>2701</v>
      </c>
      <c r="C63" s="492">
        <v>42</v>
      </c>
      <c r="D63" s="490" t="s">
        <v>2346</v>
      </c>
      <c r="E63" s="2"/>
      <c r="F63" s="528">
        <v>0.20599999999999999</v>
      </c>
      <c r="G63" s="518" t="s">
        <v>2516</v>
      </c>
      <c r="H63" s="509" t="s">
        <v>2517</v>
      </c>
      <c r="I63" s="492">
        <f>(C67)</f>
        <v>3800</v>
      </c>
      <c r="J63" s="500" t="s">
        <v>2516</v>
      </c>
      <c r="K63" s="526">
        <f>(F63*I63)</f>
        <v>782.8</v>
      </c>
      <c r="O63" s="509" t="s">
        <v>2702</v>
      </c>
      <c r="AG63" s="509" t="s">
        <v>2514</v>
      </c>
    </row>
    <row r="64" spans="1:33" hidden="1">
      <c r="A64" s="521">
        <f t="shared" si="6"/>
        <v>52</v>
      </c>
      <c r="B64" s="509" t="s">
        <v>2703</v>
      </c>
      <c r="C64" s="492">
        <v>62.5</v>
      </c>
      <c r="D64" s="490" t="s">
        <v>2334</v>
      </c>
      <c r="E64" s="2"/>
      <c r="F64" s="519">
        <v>1</v>
      </c>
      <c r="G64" s="518" t="s">
        <v>2334</v>
      </c>
      <c r="H64" s="509" t="s">
        <v>2525</v>
      </c>
      <c r="I64" s="492" t="e">
        <f>(C78)</f>
        <v>#REF!</v>
      </c>
      <c r="J64" s="500" t="s">
        <v>2334</v>
      </c>
      <c r="K64" s="526" t="e">
        <f>(F64*I64)</f>
        <v>#REF!</v>
      </c>
      <c r="O64" s="515" t="s">
        <v>442</v>
      </c>
      <c r="AG64" s="509" t="s">
        <v>2514</v>
      </c>
    </row>
    <row r="65" spans="1:33" hidden="1">
      <c r="A65" s="521">
        <f t="shared" si="6"/>
        <v>53</v>
      </c>
      <c r="B65" s="509" t="s">
        <v>2704</v>
      </c>
      <c r="C65" s="492">
        <v>303</v>
      </c>
      <c r="D65" s="490" t="s">
        <v>2705</v>
      </c>
      <c r="E65" s="2"/>
      <c r="F65" s="519">
        <v>1</v>
      </c>
      <c r="G65" s="518" t="s">
        <v>2334</v>
      </c>
      <c r="H65" s="509" t="s">
        <v>2530</v>
      </c>
      <c r="I65" s="492">
        <f>(C18)</f>
        <v>26</v>
      </c>
      <c r="J65" s="500" t="s">
        <v>2334</v>
      </c>
      <c r="K65" s="526">
        <f>(F65*I65)</f>
        <v>26</v>
      </c>
      <c r="M65" s="519">
        <v>9</v>
      </c>
      <c r="N65" s="509" t="s">
        <v>2334</v>
      </c>
      <c r="O65" s="509" t="s">
        <v>2702</v>
      </c>
      <c r="P65" s="519" t="e">
        <f>(C73)</f>
        <v>#REF!</v>
      </c>
      <c r="Q65" s="509" t="s">
        <v>2334</v>
      </c>
      <c r="R65" s="519" t="e">
        <f>(M65*P65)</f>
        <v>#REF!</v>
      </c>
      <c r="AG65" s="509" t="s">
        <v>2514</v>
      </c>
    </row>
    <row r="66" spans="1:33" hidden="1">
      <c r="A66" s="521">
        <f t="shared" si="6"/>
        <v>54</v>
      </c>
      <c r="B66" s="509" t="s">
        <v>2706</v>
      </c>
      <c r="C66" s="492">
        <f>AE18</f>
        <v>120</v>
      </c>
      <c r="D66" s="490" t="s">
        <v>2342</v>
      </c>
      <c r="E66" s="2"/>
      <c r="G66" s="518" t="s">
        <v>2346</v>
      </c>
      <c r="H66" s="509" t="s">
        <v>2347</v>
      </c>
      <c r="I66" s="490" t="s">
        <v>30</v>
      </c>
      <c r="J66" s="500" t="s">
        <v>2346</v>
      </c>
      <c r="K66" s="526">
        <v>0</v>
      </c>
      <c r="M66" s="519">
        <v>4.5</v>
      </c>
      <c r="N66" s="509" t="s">
        <v>2334</v>
      </c>
      <c r="O66" s="509" t="s">
        <v>2554</v>
      </c>
      <c r="P66" s="519" t="e">
        <f>(K23)</f>
        <v>#REF!</v>
      </c>
      <c r="Q66" s="509" t="s">
        <v>2334</v>
      </c>
      <c r="R66" s="519" t="e">
        <f>(M66*P66)</f>
        <v>#REF!</v>
      </c>
      <c r="AG66" s="509" t="s">
        <v>2514</v>
      </c>
    </row>
    <row r="67" spans="1:33" hidden="1">
      <c r="A67" s="521">
        <f t="shared" si="6"/>
        <v>55</v>
      </c>
      <c r="B67" s="509" t="s">
        <v>2517</v>
      </c>
      <c r="C67" s="492">
        <f>AC31</f>
        <v>3800</v>
      </c>
      <c r="D67" s="490" t="s">
        <v>2516</v>
      </c>
      <c r="E67" s="2"/>
      <c r="I67" s="2"/>
      <c r="J67" s="463"/>
      <c r="K67" s="526" t="s">
        <v>442</v>
      </c>
      <c r="M67" s="519">
        <v>1.8</v>
      </c>
      <c r="N67" s="509" t="s">
        <v>2342</v>
      </c>
      <c r="O67" s="509" t="s">
        <v>2343</v>
      </c>
      <c r="P67" s="519">
        <f>(C11)</f>
        <v>135</v>
      </c>
      <c r="Q67" s="509" t="s">
        <v>2342</v>
      </c>
      <c r="R67" s="519">
        <f>(M67*P67)</f>
        <v>243</v>
      </c>
      <c r="AG67" s="509" t="s">
        <v>2514</v>
      </c>
    </row>
    <row r="68" spans="1:33" hidden="1">
      <c r="A68" s="521">
        <f t="shared" si="6"/>
        <v>56</v>
      </c>
      <c r="B68" s="509" t="s">
        <v>2707</v>
      </c>
      <c r="C68" s="492" t="e">
        <f t="shared" ref="C68:C74" si="7">AC9</f>
        <v>#REF!</v>
      </c>
      <c r="D68" s="490" t="s">
        <v>2334</v>
      </c>
      <c r="E68" s="2"/>
      <c r="H68" s="509" t="s">
        <v>2545</v>
      </c>
      <c r="I68" s="2"/>
      <c r="J68" s="463"/>
      <c r="K68" s="526" t="e">
        <f>SUM(K63:K66)</f>
        <v>#REF!</v>
      </c>
      <c r="M68" s="519">
        <v>17.7</v>
      </c>
      <c r="N68" s="509" t="s">
        <v>2342</v>
      </c>
      <c r="O68" s="509" t="s">
        <v>2344</v>
      </c>
      <c r="P68" s="519">
        <f>(C12)</f>
        <v>95</v>
      </c>
      <c r="Q68" s="509" t="s">
        <v>2342</v>
      </c>
      <c r="R68" s="519">
        <f>(M68*P68)</f>
        <v>1681.5</v>
      </c>
      <c r="AG68" s="509" t="s">
        <v>2514</v>
      </c>
    </row>
    <row r="69" spans="1:33" hidden="1">
      <c r="A69" s="521">
        <f t="shared" si="6"/>
        <v>57</v>
      </c>
      <c r="B69" s="509" t="s">
        <v>2527</v>
      </c>
      <c r="C69" s="492" t="e">
        <f t="shared" si="7"/>
        <v>#REF!</v>
      </c>
      <c r="D69" s="490" t="s">
        <v>2334</v>
      </c>
      <c r="E69" s="2"/>
      <c r="I69" s="2"/>
      <c r="J69" s="463"/>
      <c r="K69" s="526" t="s">
        <v>442</v>
      </c>
      <c r="M69" s="519">
        <v>14.1</v>
      </c>
      <c r="N69" s="509" t="s">
        <v>2342</v>
      </c>
      <c r="O69" s="509" t="s">
        <v>2345</v>
      </c>
      <c r="P69" s="519">
        <f>(C13)</f>
        <v>85</v>
      </c>
      <c r="Q69" s="509" t="s">
        <v>2342</v>
      </c>
      <c r="R69" s="519">
        <f>(M69*P69)</f>
        <v>1198.5</v>
      </c>
      <c r="AG69" s="509" t="s">
        <v>2514</v>
      </c>
    </row>
    <row r="70" spans="1:33" hidden="1">
      <c r="A70" s="521">
        <f t="shared" si="6"/>
        <v>58</v>
      </c>
      <c r="B70" s="509" t="s">
        <v>2708</v>
      </c>
      <c r="C70" s="492" t="e">
        <f t="shared" si="7"/>
        <v>#REF!</v>
      </c>
      <c r="D70" s="490" t="s">
        <v>2334</v>
      </c>
      <c r="E70" s="2"/>
      <c r="G70" s="518" t="s">
        <v>575</v>
      </c>
      <c r="H70" s="509" t="s">
        <v>2686</v>
      </c>
      <c r="I70" s="2"/>
      <c r="J70" s="463"/>
      <c r="K70" s="552"/>
      <c r="N70" s="509" t="s">
        <v>2346</v>
      </c>
      <c r="O70" s="509" t="s">
        <v>2347</v>
      </c>
      <c r="Q70" s="509" t="s">
        <v>2346</v>
      </c>
      <c r="R70" s="519">
        <v>0</v>
      </c>
      <c r="AG70" s="509" t="s">
        <v>2514</v>
      </c>
    </row>
    <row r="71" spans="1:33" hidden="1">
      <c r="A71" s="521">
        <f t="shared" si="6"/>
        <v>59</v>
      </c>
      <c r="B71" s="509" t="s">
        <v>2709</v>
      </c>
      <c r="C71" s="492" t="e">
        <f t="shared" si="7"/>
        <v>#REF!</v>
      </c>
      <c r="D71" s="490" t="s">
        <v>2334</v>
      </c>
      <c r="E71" s="2"/>
      <c r="H71" s="515" t="s">
        <v>442</v>
      </c>
      <c r="I71" s="2"/>
      <c r="J71" s="463"/>
      <c r="K71" s="552"/>
      <c r="R71" s="515" t="s">
        <v>442</v>
      </c>
      <c r="AG71" s="509" t="s">
        <v>2514</v>
      </c>
    </row>
    <row r="72" spans="1:33" hidden="1">
      <c r="A72" s="521">
        <f t="shared" si="6"/>
        <v>60</v>
      </c>
      <c r="B72" s="509" t="s">
        <v>2710</v>
      </c>
      <c r="C72" s="492" t="e">
        <f t="shared" si="7"/>
        <v>#REF!</v>
      </c>
      <c r="D72" s="490" t="s">
        <v>2334</v>
      </c>
      <c r="E72" s="2"/>
      <c r="F72" s="519">
        <v>0.18</v>
      </c>
      <c r="G72" s="518" t="s">
        <v>2516</v>
      </c>
      <c r="H72" s="509" t="s">
        <v>2517</v>
      </c>
      <c r="I72" s="492">
        <f>(C67)</f>
        <v>3800</v>
      </c>
      <c r="J72" s="500" t="s">
        <v>2516</v>
      </c>
      <c r="K72" s="526">
        <f>(F72*I72)</f>
        <v>684</v>
      </c>
      <c r="O72" s="509" t="s">
        <v>2348</v>
      </c>
      <c r="R72" s="519" t="e">
        <f>SUM(R65:R70)</f>
        <v>#REF!</v>
      </c>
      <c r="AG72" s="509" t="s">
        <v>2514</v>
      </c>
    </row>
    <row r="73" spans="1:33" hidden="1">
      <c r="A73" s="521">
        <f t="shared" si="6"/>
        <v>61</v>
      </c>
      <c r="B73" s="509" t="s">
        <v>2711</v>
      </c>
      <c r="C73" s="492" t="e">
        <f t="shared" si="7"/>
        <v>#REF!</v>
      </c>
      <c r="D73" s="490" t="s">
        <v>2334</v>
      </c>
      <c r="E73" s="2"/>
      <c r="F73" s="519">
        <v>1</v>
      </c>
      <c r="G73" s="518" t="s">
        <v>2334</v>
      </c>
      <c r="H73" s="509" t="s">
        <v>2525</v>
      </c>
      <c r="I73" s="492" t="e">
        <f>(C78)</f>
        <v>#REF!</v>
      </c>
      <c r="J73" s="500" t="s">
        <v>2334</v>
      </c>
      <c r="K73" s="526" t="e">
        <f>(F73*I73)</f>
        <v>#REF!</v>
      </c>
      <c r="R73" s="515" t="s">
        <v>442</v>
      </c>
      <c r="AG73" s="509" t="s">
        <v>2514</v>
      </c>
    </row>
    <row r="74" spans="1:33" hidden="1">
      <c r="A74" s="521">
        <f t="shared" si="6"/>
        <v>62</v>
      </c>
      <c r="B74" s="509" t="s">
        <v>2712</v>
      </c>
      <c r="C74" s="492" t="e">
        <f t="shared" si="7"/>
        <v>#REF!</v>
      </c>
      <c r="D74" s="490" t="s">
        <v>2334</v>
      </c>
      <c r="E74" s="2"/>
      <c r="F74" s="519">
        <v>1</v>
      </c>
      <c r="G74" s="518" t="s">
        <v>2334</v>
      </c>
      <c r="H74" s="509" t="s">
        <v>2530</v>
      </c>
      <c r="I74" s="492">
        <f>(C18)</f>
        <v>26</v>
      </c>
      <c r="J74" s="500" t="s">
        <v>2334</v>
      </c>
      <c r="K74" s="526">
        <f>(F74*I74)</f>
        <v>26</v>
      </c>
      <c r="O74" s="509" t="s">
        <v>2349</v>
      </c>
      <c r="R74" s="519" t="e">
        <f>(R72/10)</f>
        <v>#REF!</v>
      </c>
      <c r="AG74" s="509" t="s">
        <v>2514</v>
      </c>
    </row>
    <row r="75" spans="1:33" hidden="1">
      <c r="A75" s="521">
        <f t="shared" si="6"/>
        <v>63</v>
      </c>
      <c r="B75" s="509" t="s">
        <v>2713</v>
      </c>
      <c r="C75" s="492">
        <v>20</v>
      </c>
      <c r="D75" s="490" t="s">
        <v>575</v>
      </c>
      <c r="E75" s="2"/>
      <c r="G75" s="518" t="s">
        <v>2346</v>
      </c>
      <c r="H75" s="509" t="s">
        <v>2347</v>
      </c>
      <c r="I75" s="490" t="s">
        <v>30</v>
      </c>
      <c r="J75" s="500" t="s">
        <v>2346</v>
      </c>
      <c r="K75" s="526">
        <v>0</v>
      </c>
      <c r="R75" s="515" t="s">
        <v>29</v>
      </c>
      <c r="AG75" s="509" t="s">
        <v>2514</v>
      </c>
    </row>
    <row r="76" spans="1:33" hidden="1">
      <c r="A76" s="521">
        <f t="shared" si="6"/>
        <v>64</v>
      </c>
      <c r="B76" s="509" t="s">
        <v>2714</v>
      </c>
      <c r="C76" s="492">
        <v>514.62</v>
      </c>
      <c r="D76" s="492">
        <v>240</v>
      </c>
      <c r="E76" s="2"/>
      <c r="I76" s="2"/>
      <c r="J76" s="463"/>
      <c r="K76" s="526" t="s">
        <v>442</v>
      </c>
      <c r="N76" s="509" t="s">
        <v>575</v>
      </c>
      <c r="O76" s="509" t="s">
        <v>2715</v>
      </c>
      <c r="AG76" s="509" t="s">
        <v>2514</v>
      </c>
    </row>
    <row r="77" spans="1:33" hidden="1">
      <c r="A77" s="521">
        <f t="shared" si="6"/>
        <v>65</v>
      </c>
      <c r="B77" s="509" t="s">
        <v>2716</v>
      </c>
      <c r="C77" s="492" t="e">
        <f>AC34</f>
        <v>#REF!</v>
      </c>
      <c r="D77" s="490" t="s">
        <v>2334</v>
      </c>
      <c r="E77" s="2"/>
      <c r="H77" s="509" t="s">
        <v>2545</v>
      </c>
      <c r="I77" s="2"/>
      <c r="J77" s="463"/>
      <c r="K77" s="526" t="e">
        <f>SUM(K72:K75)</f>
        <v>#REF!</v>
      </c>
      <c r="O77" s="509" t="s">
        <v>2717</v>
      </c>
      <c r="AG77" s="509" t="s">
        <v>2514</v>
      </c>
    </row>
    <row r="78" spans="1:33" hidden="1">
      <c r="A78" s="521">
        <f t="shared" si="6"/>
        <v>66</v>
      </c>
      <c r="B78" s="509" t="s">
        <v>2718</v>
      </c>
      <c r="C78" s="492" t="e">
        <f t="shared" ref="C78:C91" si="8">AC16</f>
        <v>#REF!</v>
      </c>
      <c r="D78" s="490" t="s">
        <v>2334</v>
      </c>
      <c r="E78" s="2"/>
      <c r="I78" s="2"/>
      <c r="J78" s="463"/>
      <c r="K78" s="526" t="s">
        <v>442</v>
      </c>
      <c r="O78" s="515" t="s">
        <v>442</v>
      </c>
      <c r="AG78" s="509" t="s">
        <v>2514</v>
      </c>
    </row>
    <row r="79" spans="1:33" hidden="1">
      <c r="A79" s="521">
        <f t="shared" si="6"/>
        <v>67</v>
      </c>
      <c r="B79" s="509" t="s">
        <v>2563</v>
      </c>
      <c r="C79" s="492" t="e">
        <f t="shared" si="8"/>
        <v>#REF!</v>
      </c>
      <c r="D79" s="490" t="s">
        <v>2334</v>
      </c>
      <c r="E79" s="2"/>
      <c r="F79" s="529">
        <v>1.1000000000000001</v>
      </c>
      <c r="G79" s="518" t="s">
        <v>30</v>
      </c>
      <c r="H79" s="509" t="s">
        <v>2719</v>
      </c>
      <c r="I79" s="2"/>
      <c r="J79" s="463"/>
      <c r="K79" s="552"/>
      <c r="M79" s="519">
        <v>4600</v>
      </c>
      <c r="N79" s="509" t="s">
        <v>2351</v>
      </c>
      <c r="O79" s="509" t="s">
        <v>2717</v>
      </c>
      <c r="P79" s="519" t="e">
        <f>(C91)</f>
        <v>#REF!</v>
      </c>
      <c r="Q79" s="509" t="s">
        <v>2352</v>
      </c>
      <c r="R79" s="519" t="e">
        <f>(M79*P79)/1000</f>
        <v>#REF!</v>
      </c>
      <c r="AG79" s="509" t="s">
        <v>2514</v>
      </c>
    </row>
    <row r="80" spans="1:33" hidden="1">
      <c r="A80" s="521">
        <f t="shared" si="6"/>
        <v>68</v>
      </c>
      <c r="B80" s="509" t="s">
        <v>2720</v>
      </c>
      <c r="C80" s="492" t="e">
        <f t="shared" si="8"/>
        <v>#REF!</v>
      </c>
      <c r="D80" s="490" t="s">
        <v>2408</v>
      </c>
      <c r="E80" s="2"/>
      <c r="F80" s="530" t="s">
        <v>30</v>
      </c>
      <c r="H80" s="509" t="s">
        <v>2721</v>
      </c>
      <c r="I80" s="2"/>
      <c r="J80" s="463"/>
      <c r="K80" s="552"/>
      <c r="M80" s="519">
        <v>2.5</v>
      </c>
      <c r="N80" s="509" t="s">
        <v>2334</v>
      </c>
      <c r="O80" s="509" t="s">
        <v>2341</v>
      </c>
      <c r="P80" s="519" t="e">
        <f>(K49)</f>
        <v>#REF!</v>
      </c>
      <c r="Q80" s="509" t="s">
        <v>2334</v>
      </c>
      <c r="R80" s="519" t="e">
        <f>(M80*P80)</f>
        <v>#REF!</v>
      </c>
      <c r="AG80" s="509" t="s">
        <v>2514</v>
      </c>
    </row>
    <row r="81" spans="1:33" hidden="1">
      <c r="A81" s="521">
        <f t="shared" si="6"/>
        <v>69</v>
      </c>
      <c r="B81" s="509" t="s">
        <v>2722</v>
      </c>
      <c r="C81" s="492" t="e">
        <f t="shared" si="8"/>
        <v>#REF!</v>
      </c>
      <c r="D81" s="490" t="s">
        <v>2334</v>
      </c>
      <c r="E81" s="2"/>
      <c r="F81" s="519">
        <v>10</v>
      </c>
      <c r="G81" s="518" t="s">
        <v>2334</v>
      </c>
      <c r="H81" s="509" t="s">
        <v>2723</v>
      </c>
      <c r="I81" s="492">
        <f>(C61)</f>
        <v>25</v>
      </c>
      <c r="J81" s="500" t="s">
        <v>2334</v>
      </c>
      <c r="K81" s="526">
        <f>(F81*I81)</f>
        <v>250</v>
      </c>
      <c r="M81" s="519">
        <v>3.5</v>
      </c>
      <c r="N81" s="509" t="s">
        <v>2342</v>
      </c>
      <c r="O81" s="509" t="s">
        <v>2353</v>
      </c>
      <c r="P81" s="519">
        <f>(C10)</f>
        <v>150</v>
      </c>
      <c r="Q81" s="509" t="s">
        <v>2342</v>
      </c>
      <c r="R81" s="519">
        <f>(M81*P81)</f>
        <v>525</v>
      </c>
      <c r="AG81" s="509" t="s">
        <v>2514</v>
      </c>
    </row>
    <row r="82" spans="1:33" hidden="1">
      <c r="A82" s="521">
        <f t="shared" si="6"/>
        <v>70</v>
      </c>
      <c r="B82" s="509" t="s">
        <v>2724</v>
      </c>
      <c r="C82" s="492" t="e">
        <f t="shared" si="8"/>
        <v>#REF!</v>
      </c>
      <c r="D82" s="490" t="s">
        <v>2334</v>
      </c>
      <c r="E82" s="2"/>
      <c r="F82" s="519">
        <v>10</v>
      </c>
      <c r="G82" s="518" t="s">
        <v>2334</v>
      </c>
      <c r="H82" s="509" t="s">
        <v>2725</v>
      </c>
      <c r="I82" s="492">
        <f>(C61)</f>
        <v>25</v>
      </c>
      <c r="J82" s="500" t="s">
        <v>2334</v>
      </c>
      <c r="K82" s="526">
        <f>(F82*I82)</f>
        <v>250</v>
      </c>
      <c r="M82" s="519">
        <v>10.6</v>
      </c>
      <c r="N82" s="509" t="s">
        <v>2342</v>
      </c>
      <c r="O82" s="509" t="s">
        <v>2343</v>
      </c>
      <c r="P82" s="519">
        <f>(C11)</f>
        <v>135</v>
      </c>
      <c r="Q82" s="509" t="s">
        <v>2342</v>
      </c>
      <c r="R82" s="519">
        <f>(M82*P82)</f>
        <v>1431</v>
      </c>
      <c r="AG82" s="509" t="s">
        <v>2514</v>
      </c>
    </row>
    <row r="83" spans="1:33" hidden="1">
      <c r="A83" s="521">
        <f t="shared" si="6"/>
        <v>71</v>
      </c>
      <c r="B83" s="509" t="s">
        <v>2726</v>
      </c>
      <c r="C83" s="492">
        <f t="shared" si="8"/>
        <v>4500</v>
      </c>
      <c r="D83" s="490" t="s">
        <v>2408</v>
      </c>
      <c r="E83" s="2">
        <v>3550</v>
      </c>
      <c r="F83" s="519">
        <v>10</v>
      </c>
      <c r="G83" s="518" t="s">
        <v>2334</v>
      </c>
      <c r="H83" s="509" t="s">
        <v>2727</v>
      </c>
      <c r="I83" s="492">
        <f>(C26)/3</f>
        <v>2.9333333333333336</v>
      </c>
      <c r="J83" s="500" t="s">
        <v>2334</v>
      </c>
      <c r="K83" s="526">
        <f>(F83*I83)</f>
        <v>29.333333333333336</v>
      </c>
      <c r="M83" s="519">
        <v>7.1</v>
      </c>
      <c r="N83" s="509" t="s">
        <v>2342</v>
      </c>
      <c r="O83" s="509" t="s">
        <v>2344</v>
      </c>
      <c r="P83" s="519">
        <f>(C12)</f>
        <v>95</v>
      </c>
      <c r="Q83" s="509" t="s">
        <v>2342</v>
      </c>
      <c r="R83" s="519">
        <f>(M83*P83)</f>
        <v>674.5</v>
      </c>
      <c r="AG83" s="509" t="s">
        <v>2514</v>
      </c>
    </row>
    <row r="84" spans="1:33" hidden="1">
      <c r="A84" s="521">
        <f t="shared" si="6"/>
        <v>72</v>
      </c>
      <c r="B84" s="509" t="s">
        <v>2728</v>
      </c>
      <c r="C84" s="492">
        <f t="shared" si="8"/>
        <v>773</v>
      </c>
      <c r="D84" s="490" t="s">
        <v>2334</v>
      </c>
      <c r="E84" s="2"/>
      <c r="G84" s="518" t="s">
        <v>2346</v>
      </c>
      <c r="H84" s="509" t="s">
        <v>2347</v>
      </c>
      <c r="I84" s="2"/>
      <c r="J84" s="500" t="s">
        <v>2346</v>
      </c>
      <c r="K84" s="526">
        <v>0</v>
      </c>
      <c r="M84" s="519">
        <v>21.2</v>
      </c>
      <c r="N84" s="509" t="s">
        <v>2342</v>
      </c>
      <c r="O84" s="509" t="s">
        <v>2345</v>
      </c>
      <c r="P84" s="519">
        <f>(C13)</f>
        <v>85</v>
      </c>
      <c r="Q84" s="509" t="s">
        <v>2342</v>
      </c>
      <c r="R84" s="519">
        <f>(M84*P84)</f>
        <v>1802</v>
      </c>
      <c r="AG84" s="509" t="s">
        <v>2514</v>
      </c>
    </row>
    <row r="85" spans="1:33" hidden="1">
      <c r="A85" s="521">
        <f t="shared" si="6"/>
        <v>73</v>
      </c>
      <c r="B85" s="509" t="s">
        <v>2592</v>
      </c>
      <c r="C85" s="492" t="e">
        <f t="shared" si="8"/>
        <v>#REF!</v>
      </c>
      <c r="D85" s="490" t="s">
        <v>2334</v>
      </c>
      <c r="E85" s="2"/>
      <c r="I85" s="2"/>
      <c r="J85" s="463"/>
      <c r="K85" s="526" t="s">
        <v>442</v>
      </c>
      <c r="N85" s="509" t="s">
        <v>2346</v>
      </c>
      <c r="O85" s="509" t="s">
        <v>2347</v>
      </c>
      <c r="Q85" s="509" t="s">
        <v>2346</v>
      </c>
      <c r="R85" s="519">
        <v>0</v>
      </c>
      <c r="AG85" s="509" t="s">
        <v>2514</v>
      </c>
    </row>
    <row r="86" spans="1:33" hidden="1">
      <c r="A86" s="521">
        <f t="shared" si="6"/>
        <v>74</v>
      </c>
      <c r="B86" s="509" t="s">
        <v>2729</v>
      </c>
      <c r="C86" s="492">
        <f t="shared" si="8"/>
        <v>20605</v>
      </c>
      <c r="D86" s="490" t="s">
        <v>2334</v>
      </c>
      <c r="E86" s="2"/>
      <c r="H86" s="509" t="s">
        <v>2348</v>
      </c>
      <c r="I86" s="2"/>
      <c r="J86" s="463"/>
      <c r="K86" s="526">
        <f>SUM(K81:K84)</f>
        <v>529.33333333333337</v>
      </c>
      <c r="R86" s="515" t="s">
        <v>442</v>
      </c>
      <c r="AG86" s="509" t="s">
        <v>2514</v>
      </c>
    </row>
    <row r="87" spans="1:33" hidden="1">
      <c r="A87" s="521">
        <f t="shared" si="6"/>
        <v>75</v>
      </c>
      <c r="B87" s="509" t="s">
        <v>2730</v>
      </c>
      <c r="C87" s="492">
        <f t="shared" si="8"/>
        <v>23685</v>
      </c>
      <c r="D87" s="490" t="s">
        <v>2334</v>
      </c>
      <c r="E87" s="2"/>
      <c r="I87" s="2"/>
      <c r="J87" s="463"/>
      <c r="K87" s="526" t="s">
        <v>442</v>
      </c>
      <c r="O87" s="509" t="s">
        <v>2348</v>
      </c>
      <c r="R87" s="519" t="e">
        <f>SUM(R79:R85)</f>
        <v>#REF!</v>
      </c>
      <c r="AG87" s="509" t="s">
        <v>2514</v>
      </c>
    </row>
    <row r="88" spans="1:33" hidden="1">
      <c r="A88" s="521">
        <f t="shared" si="6"/>
        <v>76</v>
      </c>
      <c r="B88" s="509" t="s">
        <v>2731</v>
      </c>
      <c r="C88" s="492">
        <f t="shared" si="8"/>
        <v>65420</v>
      </c>
      <c r="D88" s="490" t="s">
        <v>2334</v>
      </c>
      <c r="E88" s="2"/>
      <c r="H88" s="531" t="s">
        <v>2732</v>
      </c>
      <c r="I88" s="473" t="s">
        <v>2327</v>
      </c>
      <c r="J88" s="532"/>
      <c r="K88" s="533">
        <f>(K86/10)</f>
        <v>52.933333333333337</v>
      </c>
      <c r="R88" s="515" t="s">
        <v>442</v>
      </c>
      <c r="AG88" s="509" t="s">
        <v>2514</v>
      </c>
    </row>
    <row r="89" spans="1:33" hidden="1">
      <c r="A89" s="521">
        <f t="shared" si="6"/>
        <v>77</v>
      </c>
      <c r="B89" s="509" t="s">
        <v>2733</v>
      </c>
      <c r="C89" s="492">
        <f t="shared" si="8"/>
        <v>57165</v>
      </c>
      <c r="D89" s="490" t="s">
        <v>2334</v>
      </c>
      <c r="E89" s="2"/>
      <c r="I89" s="473" t="s">
        <v>2328</v>
      </c>
      <c r="J89" s="532"/>
      <c r="K89" s="533">
        <f>ROUND(K88+C36,2)</f>
        <v>55.53</v>
      </c>
      <c r="O89" s="509" t="s">
        <v>2349</v>
      </c>
      <c r="R89" s="519" t="e">
        <f>(R87/10)</f>
        <v>#REF!</v>
      </c>
      <c r="AG89" s="509" t="s">
        <v>2514</v>
      </c>
    </row>
    <row r="90" spans="1:33" hidden="1">
      <c r="A90" s="521">
        <f t="shared" si="6"/>
        <v>78</v>
      </c>
      <c r="B90" s="509" t="s">
        <v>2734</v>
      </c>
      <c r="C90" s="492">
        <f t="shared" si="8"/>
        <v>63870</v>
      </c>
      <c r="D90" s="490" t="s">
        <v>2334</v>
      </c>
      <c r="E90" s="2"/>
      <c r="F90" s="524" t="s">
        <v>2735</v>
      </c>
      <c r="H90" s="534" t="s">
        <v>2736</v>
      </c>
      <c r="I90" s="473" t="s">
        <v>2327</v>
      </c>
      <c r="J90" s="532"/>
      <c r="K90" s="533">
        <f>K88-K83/10</f>
        <v>50</v>
      </c>
      <c r="R90" s="515" t="s">
        <v>29</v>
      </c>
      <c r="AG90" s="509" t="s">
        <v>2514</v>
      </c>
    </row>
    <row r="91" spans="1:33" hidden="1">
      <c r="A91" s="521">
        <f t="shared" si="6"/>
        <v>79</v>
      </c>
      <c r="B91" s="509" t="s">
        <v>2737</v>
      </c>
      <c r="C91" s="492" t="e">
        <f t="shared" si="8"/>
        <v>#REF!</v>
      </c>
      <c r="D91" s="490" t="s">
        <v>2408</v>
      </c>
      <c r="E91" s="2"/>
      <c r="I91" s="473" t="s">
        <v>2328</v>
      </c>
      <c r="J91" s="532"/>
      <c r="K91" s="533">
        <f>ROUND(K90+C36,2)</f>
        <v>52.6</v>
      </c>
      <c r="AG91" s="509" t="s">
        <v>2514</v>
      </c>
    </row>
    <row r="92" spans="1:33" hidden="1">
      <c r="C92" s="2"/>
      <c r="D92" s="2"/>
      <c r="E92" s="2"/>
      <c r="F92" s="524" t="s">
        <v>2738</v>
      </c>
      <c r="G92" s="518" t="s">
        <v>30</v>
      </c>
      <c r="H92" s="509" t="s">
        <v>2739</v>
      </c>
      <c r="I92" s="2"/>
      <c r="J92" s="463"/>
      <c r="K92" s="552"/>
    </row>
    <row r="93" spans="1:33" hidden="1">
      <c r="C93" s="2"/>
      <c r="D93" s="2"/>
      <c r="E93" s="2"/>
      <c r="F93" s="530" t="s">
        <v>30</v>
      </c>
      <c r="H93" s="515" t="s">
        <v>442</v>
      </c>
      <c r="I93" s="2"/>
      <c r="J93" s="463"/>
      <c r="K93" s="552"/>
    </row>
    <row r="94" spans="1:33" hidden="1">
      <c r="C94" s="2"/>
      <c r="D94" s="2"/>
      <c r="E94" s="2"/>
      <c r="F94" s="519">
        <v>10</v>
      </c>
      <c r="G94" s="518" t="s">
        <v>2334</v>
      </c>
      <c r="H94" s="509" t="s">
        <v>2740</v>
      </c>
      <c r="I94" s="492">
        <f>D61</f>
        <v>37.299999999999997</v>
      </c>
      <c r="J94" s="500" t="s">
        <v>2334</v>
      </c>
      <c r="K94" s="526">
        <f>(F94*I94)</f>
        <v>373</v>
      </c>
    </row>
    <row r="95" spans="1:33" hidden="1">
      <c r="C95" s="2"/>
      <c r="D95" s="2"/>
      <c r="E95" s="2"/>
      <c r="F95" s="519">
        <v>10</v>
      </c>
      <c r="G95" s="518" t="s">
        <v>2334</v>
      </c>
      <c r="H95" s="509" t="s">
        <v>2725</v>
      </c>
      <c r="I95" s="492">
        <f>D61</f>
        <v>37.299999999999997</v>
      </c>
      <c r="J95" s="500" t="s">
        <v>2334</v>
      </c>
      <c r="K95" s="526">
        <f>(F95*I95)</f>
        <v>373</v>
      </c>
    </row>
    <row r="96" spans="1:33" hidden="1">
      <c r="C96" s="2"/>
      <c r="D96" s="2"/>
      <c r="E96" s="2"/>
      <c r="F96" s="519">
        <v>10</v>
      </c>
      <c r="G96" s="518" t="s">
        <v>2334</v>
      </c>
      <c r="H96" s="509" t="s">
        <v>2727</v>
      </c>
      <c r="I96" s="492">
        <f>I83</f>
        <v>2.9333333333333336</v>
      </c>
      <c r="J96" s="500" t="s">
        <v>2334</v>
      </c>
      <c r="K96" s="526">
        <f>(F96*I96)</f>
        <v>29.333333333333336</v>
      </c>
    </row>
    <row r="97" spans="3:11" hidden="1">
      <c r="C97" s="2"/>
      <c r="D97" s="2"/>
      <c r="E97" s="2"/>
      <c r="G97" s="518" t="s">
        <v>2346</v>
      </c>
      <c r="H97" s="509" t="s">
        <v>2347</v>
      </c>
      <c r="I97" s="2"/>
      <c r="J97" s="500" t="s">
        <v>2346</v>
      </c>
      <c r="K97" s="526">
        <v>0</v>
      </c>
    </row>
    <row r="98" spans="3:11" hidden="1">
      <c r="C98" s="2"/>
      <c r="D98" s="2"/>
      <c r="E98" s="2"/>
      <c r="I98" s="2"/>
      <c r="J98" s="463"/>
      <c r="K98" s="526" t="s">
        <v>442</v>
      </c>
    </row>
    <row r="99" spans="3:11" hidden="1">
      <c r="C99" s="2"/>
      <c r="D99" s="2"/>
      <c r="E99" s="2"/>
      <c r="H99" s="509" t="s">
        <v>2348</v>
      </c>
      <c r="I99" s="2"/>
      <c r="J99" s="463"/>
      <c r="K99" s="526">
        <f>SUM(K94:K97)</f>
        <v>775.33333333333337</v>
      </c>
    </row>
    <row r="100" spans="3:11" hidden="1">
      <c r="C100" s="2"/>
      <c r="D100" s="2"/>
      <c r="E100" s="2"/>
      <c r="I100" s="2"/>
      <c r="J100" s="463"/>
      <c r="K100" s="526" t="s">
        <v>442</v>
      </c>
    </row>
    <row r="101" spans="3:11" hidden="1">
      <c r="C101" s="2"/>
      <c r="D101" s="2"/>
      <c r="E101" s="2"/>
      <c r="H101" s="531" t="s">
        <v>2732</v>
      </c>
      <c r="I101" s="473" t="s">
        <v>2327</v>
      </c>
      <c r="J101" s="532"/>
      <c r="K101" s="533">
        <f>(K99/10)</f>
        <v>77.533333333333331</v>
      </c>
    </row>
    <row r="102" spans="3:11" hidden="1">
      <c r="C102" s="2"/>
      <c r="D102" s="2"/>
      <c r="E102" s="2"/>
      <c r="I102" s="473" t="s">
        <v>2328</v>
      </c>
      <c r="J102" s="532"/>
      <c r="K102" s="533">
        <f>ROUND(K101+C36,2)</f>
        <v>80.13</v>
      </c>
    </row>
    <row r="103" spans="3:11" hidden="1">
      <c r="C103" s="2"/>
      <c r="D103" s="2"/>
      <c r="E103" s="2"/>
      <c r="I103" s="473"/>
      <c r="J103" s="532"/>
      <c r="K103" s="533"/>
    </row>
    <row r="104" spans="3:11" ht="31.5" hidden="1">
      <c r="C104" s="2"/>
      <c r="D104" s="2"/>
      <c r="E104" s="2"/>
      <c r="F104" s="529">
        <v>1.7</v>
      </c>
      <c r="H104" s="534" t="s">
        <v>2741</v>
      </c>
      <c r="I104" s="473" t="s">
        <v>2327</v>
      </c>
      <c r="J104" s="532"/>
      <c r="K104" s="533">
        <f>ROUND(K101-K96/10,2)</f>
        <v>74.599999999999994</v>
      </c>
    </row>
    <row r="105" spans="3:11" hidden="1">
      <c r="C105" s="2"/>
      <c r="D105" s="2"/>
      <c r="E105" s="2"/>
      <c r="I105" s="473" t="s">
        <v>2328</v>
      </c>
      <c r="J105" s="532"/>
      <c r="K105" s="533">
        <f>ROUND(K104+C36,2)</f>
        <v>77.2</v>
      </c>
    </row>
    <row r="106" spans="3:11" hidden="1">
      <c r="C106" s="2"/>
      <c r="D106" s="2"/>
      <c r="E106" s="2"/>
      <c r="I106" s="2"/>
      <c r="J106" s="463"/>
      <c r="K106" s="526"/>
    </row>
    <row r="107" spans="3:11" hidden="1">
      <c r="C107" s="2"/>
      <c r="D107" s="2"/>
      <c r="E107" s="2"/>
      <c r="I107" s="2"/>
      <c r="J107" s="463"/>
      <c r="K107" s="526"/>
    </row>
    <row r="108" spans="3:11" ht="31.5" hidden="1">
      <c r="C108" s="2"/>
      <c r="D108" s="2"/>
      <c r="E108" s="2"/>
      <c r="F108" s="529">
        <v>1.5</v>
      </c>
      <c r="G108" s="518" t="s">
        <v>30</v>
      </c>
      <c r="H108" s="536" t="s">
        <v>2742</v>
      </c>
      <c r="I108" s="2"/>
      <c r="J108" s="463"/>
      <c r="K108" s="552"/>
    </row>
    <row r="109" spans="3:11" hidden="1">
      <c r="C109" s="2"/>
      <c r="D109" s="2"/>
      <c r="E109" s="2"/>
      <c r="I109" s="2"/>
      <c r="J109" s="463"/>
      <c r="K109" s="552"/>
    </row>
    <row r="110" spans="3:11" hidden="1">
      <c r="C110" s="2"/>
      <c r="D110" s="2"/>
      <c r="E110" s="2"/>
      <c r="F110" s="519">
        <v>10</v>
      </c>
      <c r="G110" s="518" t="s">
        <v>2334</v>
      </c>
      <c r="H110" s="509" t="s">
        <v>2723</v>
      </c>
      <c r="I110" s="492">
        <f>C61</f>
        <v>25</v>
      </c>
      <c r="J110" s="500" t="s">
        <v>2334</v>
      </c>
      <c r="K110" s="526">
        <f>(F110*I110)</f>
        <v>250</v>
      </c>
    </row>
    <row r="111" spans="3:11" hidden="1">
      <c r="C111" s="2"/>
      <c r="D111" s="2"/>
      <c r="E111" s="2"/>
      <c r="F111" s="519">
        <v>10</v>
      </c>
      <c r="G111" s="518" t="s">
        <v>2334</v>
      </c>
      <c r="H111" s="509" t="s">
        <v>2727</v>
      </c>
      <c r="I111" s="492">
        <f>I83</f>
        <v>2.9333333333333336</v>
      </c>
      <c r="J111" s="500" t="s">
        <v>2334</v>
      </c>
      <c r="K111" s="526">
        <f>(F111*I111)</f>
        <v>29.333333333333336</v>
      </c>
    </row>
    <row r="112" spans="3:11" hidden="1">
      <c r="C112" s="2"/>
      <c r="D112" s="2"/>
      <c r="E112" s="2"/>
      <c r="G112" s="518" t="s">
        <v>2346</v>
      </c>
      <c r="H112" s="509" t="s">
        <v>2347</v>
      </c>
      <c r="I112" s="2"/>
      <c r="J112" s="500" t="s">
        <v>2346</v>
      </c>
      <c r="K112" s="526">
        <v>0</v>
      </c>
    </row>
    <row r="113" spans="3:11" hidden="1">
      <c r="C113" s="2"/>
      <c r="D113" s="2"/>
      <c r="E113" s="2"/>
      <c r="I113" s="2"/>
      <c r="J113" s="463"/>
      <c r="K113" s="526" t="s">
        <v>442</v>
      </c>
    </row>
    <row r="114" spans="3:11" hidden="1">
      <c r="C114" s="2"/>
      <c r="D114" s="2"/>
      <c r="E114" s="2"/>
      <c r="H114" s="509" t="s">
        <v>2348</v>
      </c>
      <c r="I114" s="2"/>
      <c r="J114" s="463"/>
      <c r="K114" s="526">
        <f>SUM(K110:K112)</f>
        <v>279.33333333333331</v>
      </c>
    </row>
    <row r="115" spans="3:11" hidden="1">
      <c r="C115" s="2"/>
      <c r="D115" s="2"/>
      <c r="E115" s="2"/>
      <c r="I115" s="2"/>
      <c r="J115" s="463"/>
      <c r="K115" s="526" t="s">
        <v>442</v>
      </c>
    </row>
    <row r="116" spans="3:11" hidden="1">
      <c r="C116" s="2"/>
      <c r="D116" s="2"/>
      <c r="E116" s="2"/>
      <c r="H116" s="509"/>
      <c r="I116" s="2"/>
      <c r="J116" s="463"/>
      <c r="K116" s="526">
        <f>(K114/10)</f>
        <v>27.93333333333333</v>
      </c>
    </row>
    <row r="117" spans="3:11" hidden="1">
      <c r="C117" s="2"/>
      <c r="D117" s="2"/>
      <c r="E117" s="2"/>
      <c r="I117" s="2"/>
      <c r="J117" s="463"/>
      <c r="K117" s="526" t="s">
        <v>29</v>
      </c>
    </row>
    <row r="118" spans="3:11" hidden="1">
      <c r="C118" s="2"/>
      <c r="D118" s="2"/>
      <c r="E118" s="2"/>
      <c r="F118" s="524"/>
      <c r="H118" s="509" t="s">
        <v>2743</v>
      </c>
      <c r="I118" s="473" t="s">
        <v>2327</v>
      </c>
      <c r="J118" s="463"/>
      <c r="K118" s="533">
        <f>K116-K111/10</f>
        <v>24.999999999999996</v>
      </c>
    </row>
    <row r="119" spans="3:11" hidden="1">
      <c r="C119" s="2"/>
      <c r="D119" s="2"/>
      <c r="E119" s="2"/>
      <c r="I119" s="473" t="s">
        <v>2328</v>
      </c>
      <c r="J119" s="463"/>
      <c r="K119" s="533">
        <f>ROUND(K118+C36,2)</f>
        <v>27.6</v>
      </c>
    </row>
    <row r="120" spans="3:11" hidden="1">
      <c r="C120" s="2"/>
      <c r="D120" s="2"/>
      <c r="E120" s="2"/>
      <c r="I120" s="2"/>
      <c r="J120" s="463"/>
      <c r="K120" s="526"/>
    </row>
    <row r="121" spans="3:11" ht="30.75" hidden="1">
      <c r="C121" s="2"/>
      <c r="D121" s="2"/>
      <c r="E121" s="2"/>
      <c r="F121" s="537">
        <v>1.8</v>
      </c>
      <c r="H121" s="536" t="s">
        <v>2744</v>
      </c>
      <c r="I121" s="2"/>
      <c r="J121" s="463"/>
      <c r="K121" s="526"/>
    </row>
    <row r="122" spans="3:11" hidden="1">
      <c r="C122" s="2"/>
      <c r="D122" s="2"/>
      <c r="E122" s="2"/>
      <c r="I122" s="2"/>
      <c r="J122" s="463"/>
      <c r="K122" s="526"/>
    </row>
    <row r="123" spans="3:11" hidden="1">
      <c r="C123" s="2"/>
      <c r="D123" s="2"/>
      <c r="E123" s="2"/>
      <c r="F123" s="519">
        <v>10</v>
      </c>
      <c r="G123" s="518" t="s">
        <v>2334</v>
      </c>
      <c r="H123" s="509" t="s">
        <v>2740</v>
      </c>
      <c r="I123" s="2">
        <f>D61</f>
        <v>37.299999999999997</v>
      </c>
      <c r="J123" s="500" t="s">
        <v>2334</v>
      </c>
      <c r="K123" s="526">
        <f>(F123*I123)</f>
        <v>373</v>
      </c>
    </row>
    <row r="124" spans="3:11" hidden="1">
      <c r="C124" s="2"/>
      <c r="D124" s="2"/>
      <c r="E124" s="2"/>
      <c r="G124" s="512" t="s">
        <v>170</v>
      </c>
      <c r="I124" s="2"/>
      <c r="J124" s="463" t="s">
        <v>170</v>
      </c>
      <c r="K124" s="526">
        <v>0</v>
      </c>
    </row>
    <row r="125" spans="3:11" hidden="1">
      <c r="C125" s="2"/>
      <c r="D125" s="2"/>
      <c r="E125" s="2"/>
      <c r="I125" s="2"/>
      <c r="J125" s="463"/>
      <c r="K125" s="526" t="s">
        <v>442</v>
      </c>
    </row>
    <row r="126" spans="3:11" hidden="1">
      <c r="C126" s="2"/>
      <c r="D126" s="2"/>
      <c r="E126" s="2"/>
      <c r="H126" s="509" t="s">
        <v>2348</v>
      </c>
      <c r="I126" s="2"/>
      <c r="J126" s="463"/>
      <c r="K126" s="526">
        <f>SUM(K123:K124)</f>
        <v>373</v>
      </c>
    </row>
    <row r="127" spans="3:11" hidden="1">
      <c r="C127" s="2"/>
      <c r="D127" s="2"/>
      <c r="E127" s="2"/>
      <c r="I127" s="2"/>
      <c r="J127" s="463"/>
      <c r="K127" s="526" t="s">
        <v>442</v>
      </c>
    </row>
    <row r="128" spans="3:11" ht="31.5" hidden="1">
      <c r="C128" s="2"/>
      <c r="D128" s="2"/>
      <c r="E128" s="2"/>
      <c r="F128" s="538"/>
      <c r="H128" s="539" t="s">
        <v>2745</v>
      </c>
      <c r="I128" s="473" t="s">
        <v>2327</v>
      </c>
      <c r="J128" s="463"/>
      <c r="K128" s="533">
        <f>ROUND(K126/10,2)</f>
        <v>37.299999999999997</v>
      </c>
    </row>
    <row r="129" spans="1:33" hidden="1">
      <c r="C129" s="2"/>
      <c r="D129" s="2"/>
      <c r="E129" s="2"/>
      <c r="I129" s="473" t="s">
        <v>2328</v>
      </c>
      <c r="J129" s="463"/>
      <c r="K129" s="533">
        <f>ROUND(K128+C36,2)</f>
        <v>39.9</v>
      </c>
    </row>
    <row r="130" spans="1:33" hidden="1">
      <c r="C130" s="2"/>
      <c r="D130" s="2"/>
      <c r="E130" s="2"/>
      <c r="I130" s="473"/>
      <c r="J130" s="463"/>
      <c r="K130" s="526"/>
    </row>
    <row r="131" spans="1:33" hidden="1">
      <c r="C131" s="2"/>
      <c r="D131" s="2"/>
      <c r="E131" s="2"/>
      <c r="F131" s="529">
        <v>1.6</v>
      </c>
      <c r="H131" s="509" t="s">
        <v>2329</v>
      </c>
      <c r="I131" s="473"/>
      <c r="J131" s="463"/>
      <c r="K131" s="552"/>
    </row>
    <row r="132" spans="1:33" hidden="1">
      <c r="C132" s="2"/>
      <c r="D132" s="2"/>
      <c r="E132" s="2"/>
      <c r="H132" s="509" t="s">
        <v>2330</v>
      </c>
      <c r="I132" s="473" t="s">
        <v>2327</v>
      </c>
      <c r="J132" s="463"/>
      <c r="K132" s="533">
        <f>C61*1.5</f>
        <v>37.5</v>
      </c>
    </row>
    <row r="133" spans="1:33" hidden="1">
      <c r="C133" s="2"/>
      <c r="D133" s="2"/>
      <c r="E133" s="2"/>
      <c r="F133" s="509" t="s">
        <v>30</v>
      </c>
      <c r="H133" s="509" t="s">
        <v>2331</v>
      </c>
      <c r="I133" s="473" t="s">
        <v>2328</v>
      </c>
      <c r="J133" s="463"/>
      <c r="K133" s="533">
        <f>ROUND(K132+C36,2)</f>
        <v>40.1</v>
      </c>
    </row>
    <row r="134" spans="1:33" hidden="1">
      <c r="C134" s="2"/>
      <c r="D134" s="2"/>
      <c r="E134" s="2"/>
      <c r="I134" s="2"/>
      <c r="J134" s="463"/>
      <c r="K134" s="526" t="s">
        <v>29</v>
      </c>
    </row>
    <row r="135" spans="1:33" hidden="1">
      <c r="C135" s="2"/>
      <c r="D135" s="2"/>
      <c r="E135" s="2"/>
      <c r="I135" s="2"/>
      <c r="J135" s="463"/>
      <c r="K135" s="552"/>
    </row>
    <row r="136" spans="1:33" hidden="1">
      <c r="A136" s="521">
        <f>(A91+1)</f>
        <v>80</v>
      </c>
      <c r="B136" s="509" t="s">
        <v>2746</v>
      </c>
      <c r="C136" s="492">
        <f>AC30</f>
        <v>8240</v>
      </c>
      <c r="D136" s="492">
        <v>13.87</v>
      </c>
      <c r="E136" s="490" t="s">
        <v>30</v>
      </c>
      <c r="F136" s="510" t="s">
        <v>2332</v>
      </c>
      <c r="G136" s="518" t="s">
        <v>575</v>
      </c>
      <c r="H136" s="509" t="s">
        <v>2333</v>
      </c>
      <c r="I136" s="2"/>
      <c r="J136" s="463"/>
      <c r="K136" s="552"/>
      <c r="N136" s="509" t="s">
        <v>2747</v>
      </c>
      <c r="O136" s="509" t="s">
        <v>2354</v>
      </c>
      <c r="R136" s="519" t="e">
        <f>(R89+C19)</f>
        <v>#REF!</v>
      </c>
      <c r="AG136" s="509" t="s">
        <v>2514</v>
      </c>
    </row>
    <row r="137" spans="1:33" hidden="1">
      <c r="A137" s="521">
        <f t="shared" ref="A137:A142" si="9">(A136+1)</f>
        <v>81</v>
      </c>
      <c r="B137" s="509" t="s">
        <v>2748</v>
      </c>
      <c r="C137" s="492">
        <f>AC33</f>
        <v>26500</v>
      </c>
      <c r="D137" s="490" t="s">
        <v>2516</v>
      </c>
      <c r="E137" s="2"/>
      <c r="H137" s="509" t="s">
        <v>2749</v>
      </c>
      <c r="I137" s="2"/>
      <c r="J137" s="463"/>
      <c r="K137" s="552"/>
      <c r="N137" s="509" t="s">
        <v>2750</v>
      </c>
      <c r="O137" s="509" t="s">
        <v>2362</v>
      </c>
      <c r="R137" s="519" t="e">
        <f>(R136+C20)</f>
        <v>#REF!</v>
      </c>
      <c r="AG137" s="509" t="s">
        <v>2514</v>
      </c>
    </row>
    <row r="138" spans="1:33" hidden="1">
      <c r="A138" s="521">
        <f t="shared" si="9"/>
        <v>82</v>
      </c>
      <c r="B138" s="509" t="s">
        <v>2751</v>
      </c>
      <c r="C138" s="492">
        <f>AC32</f>
        <v>28000</v>
      </c>
      <c r="D138" s="490" t="s">
        <v>2516</v>
      </c>
      <c r="E138" s="2"/>
      <c r="H138" s="515" t="s">
        <v>442</v>
      </c>
      <c r="I138" s="2"/>
      <c r="J138" s="463"/>
      <c r="K138" s="552"/>
      <c r="N138" s="509" t="s">
        <v>2752</v>
      </c>
      <c r="O138" s="509" t="s">
        <v>2480</v>
      </c>
      <c r="R138" s="519" t="e">
        <f>(R137+C21)</f>
        <v>#REF!</v>
      </c>
      <c r="AG138" s="509" t="s">
        <v>2514</v>
      </c>
    </row>
    <row r="139" spans="1:33" hidden="1">
      <c r="A139" s="521">
        <f t="shared" si="9"/>
        <v>83</v>
      </c>
      <c r="B139" s="509" t="s">
        <v>2753</v>
      </c>
      <c r="C139" s="492">
        <f>AC33</f>
        <v>26500</v>
      </c>
      <c r="D139" s="490" t="s">
        <v>2516</v>
      </c>
      <c r="E139" s="2"/>
      <c r="F139" s="519">
        <v>1</v>
      </c>
      <c r="G139" s="518" t="s">
        <v>2334</v>
      </c>
      <c r="H139" s="509" t="s">
        <v>2335</v>
      </c>
      <c r="I139" s="492" t="e">
        <f>C79</f>
        <v>#REF!</v>
      </c>
      <c r="J139" s="500" t="s">
        <v>2334</v>
      </c>
      <c r="K139" s="526" t="e">
        <f>(F139*I139)</f>
        <v>#REF!</v>
      </c>
      <c r="N139" s="509" t="s">
        <v>2754</v>
      </c>
      <c r="O139" s="509" t="s">
        <v>2481</v>
      </c>
      <c r="R139" s="519" t="e">
        <f>(R138+C21)</f>
        <v>#REF!</v>
      </c>
      <c r="AG139" s="509" t="s">
        <v>2514</v>
      </c>
    </row>
    <row r="140" spans="1:33" hidden="1">
      <c r="A140" s="521">
        <f t="shared" si="9"/>
        <v>84</v>
      </c>
      <c r="B140" s="509" t="s">
        <v>2755</v>
      </c>
      <c r="C140" s="492">
        <f>AC38</f>
        <v>169</v>
      </c>
      <c r="D140" s="490" t="s">
        <v>2334</v>
      </c>
      <c r="E140" s="2"/>
      <c r="F140" s="519">
        <v>1</v>
      </c>
      <c r="G140" s="518" t="s">
        <v>2334</v>
      </c>
      <c r="H140" s="509" t="s">
        <v>2608</v>
      </c>
      <c r="I140" s="492">
        <f>C27</f>
        <v>7.8</v>
      </c>
      <c r="J140" s="500" t="s">
        <v>2334</v>
      </c>
      <c r="K140" s="526">
        <f>(F140*I140)</f>
        <v>7.8</v>
      </c>
      <c r="O140" s="509" t="s">
        <v>368</v>
      </c>
      <c r="R140" s="519" t="e">
        <f>(R139+C21)</f>
        <v>#REF!</v>
      </c>
      <c r="AG140" s="509" t="s">
        <v>2514</v>
      </c>
    </row>
    <row r="141" spans="1:33" hidden="1">
      <c r="A141" s="521">
        <f t="shared" si="9"/>
        <v>85</v>
      </c>
      <c r="B141" s="509" t="s">
        <v>2756</v>
      </c>
      <c r="C141" s="492">
        <f>I255</f>
        <v>12224.58</v>
      </c>
      <c r="D141" s="490" t="s">
        <v>2516</v>
      </c>
      <c r="E141" s="2"/>
      <c r="G141" s="518" t="s">
        <v>2346</v>
      </c>
      <c r="H141" s="509" t="s">
        <v>2347</v>
      </c>
      <c r="I141" s="490" t="s">
        <v>30</v>
      </c>
      <c r="J141" s="500" t="s">
        <v>2346</v>
      </c>
      <c r="K141" s="526">
        <v>0</v>
      </c>
      <c r="N141" s="509" t="s">
        <v>575</v>
      </c>
      <c r="O141" s="509" t="s">
        <v>2757</v>
      </c>
      <c r="AG141" s="509" t="s">
        <v>2514</v>
      </c>
    </row>
    <row r="142" spans="1:33" hidden="1">
      <c r="A142" s="521">
        <f t="shared" si="9"/>
        <v>86</v>
      </c>
      <c r="B142" s="509" t="s">
        <v>2370</v>
      </c>
      <c r="C142" s="492">
        <v>30000</v>
      </c>
      <c r="D142" s="490" t="s">
        <v>2516</v>
      </c>
      <c r="E142" s="2"/>
      <c r="I142" s="2"/>
      <c r="J142" s="463"/>
      <c r="K142" s="526" t="s">
        <v>442</v>
      </c>
      <c r="O142" s="509" t="s">
        <v>2717</v>
      </c>
      <c r="AG142" s="509" t="s">
        <v>2514</v>
      </c>
    </row>
    <row r="143" spans="1:33" hidden="1">
      <c r="B143" s="509" t="s">
        <v>30</v>
      </c>
      <c r="C143" s="2"/>
      <c r="D143" s="2"/>
      <c r="E143" s="2"/>
      <c r="H143" s="509" t="s">
        <v>2336</v>
      </c>
      <c r="I143" s="2"/>
      <c r="J143" s="463"/>
      <c r="K143" s="526" t="e">
        <f>SUM(K137:K141)</f>
        <v>#REF!</v>
      </c>
      <c r="O143" s="515" t="s">
        <v>442</v>
      </c>
      <c r="AG143" s="509" t="s">
        <v>2514</v>
      </c>
    </row>
    <row r="144" spans="1:33" hidden="1">
      <c r="A144" s="521">
        <f>(A142+1)</f>
        <v>87</v>
      </c>
      <c r="B144" s="509" t="s">
        <v>2758</v>
      </c>
      <c r="C144" s="492">
        <v>7.5</v>
      </c>
      <c r="D144" s="490" t="s">
        <v>2346</v>
      </c>
      <c r="E144" s="2"/>
      <c r="I144" s="2"/>
      <c r="J144" s="463"/>
      <c r="K144" s="526" t="s">
        <v>442</v>
      </c>
      <c r="M144" s="519">
        <v>4600</v>
      </c>
      <c r="N144" s="509" t="s">
        <v>2351</v>
      </c>
      <c r="O144" s="509" t="s">
        <v>2717</v>
      </c>
      <c r="P144" s="519" t="e">
        <f>(C91)</f>
        <v>#REF!</v>
      </c>
      <c r="Q144" s="509" t="s">
        <v>2352</v>
      </c>
      <c r="R144" s="519" t="e">
        <f>(M144*P144)/1000</f>
        <v>#REF!</v>
      </c>
      <c r="AG144" s="509" t="s">
        <v>2514</v>
      </c>
    </row>
    <row r="145" spans="3:11" hidden="1">
      <c r="C145" s="2"/>
      <c r="D145" s="2"/>
      <c r="E145" s="2"/>
      <c r="F145" s="510" t="s">
        <v>2759</v>
      </c>
      <c r="G145" s="518" t="s">
        <v>575</v>
      </c>
      <c r="H145" s="509" t="s">
        <v>2760</v>
      </c>
      <c r="I145" s="2"/>
      <c r="J145" s="463"/>
      <c r="K145" s="552"/>
    </row>
    <row r="146" spans="3:11" hidden="1">
      <c r="C146" s="2"/>
      <c r="D146" s="2"/>
      <c r="E146" s="2"/>
      <c r="H146" s="509" t="s">
        <v>2761</v>
      </c>
      <c r="I146" s="2"/>
      <c r="J146" s="463"/>
      <c r="K146" s="552"/>
    </row>
    <row r="147" spans="3:11" hidden="1">
      <c r="C147" s="2"/>
      <c r="D147" s="2"/>
      <c r="E147" s="2"/>
      <c r="H147" s="509" t="s">
        <v>2762</v>
      </c>
      <c r="I147" s="2"/>
      <c r="J147" s="463"/>
      <c r="K147" s="552"/>
    </row>
    <row r="148" spans="3:11" hidden="1">
      <c r="C148" s="2"/>
      <c r="D148" s="2"/>
      <c r="E148" s="2"/>
      <c r="H148" s="509" t="s">
        <v>2763</v>
      </c>
      <c r="I148" s="2"/>
      <c r="J148" s="463"/>
      <c r="K148" s="552"/>
    </row>
    <row r="149" spans="3:11" hidden="1">
      <c r="C149" s="2"/>
      <c r="D149" s="2"/>
      <c r="E149" s="2"/>
      <c r="H149" s="509" t="s">
        <v>2764</v>
      </c>
      <c r="I149" s="2"/>
      <c r="J149" s="463"/>
      <c r="K149" s="552"/>
    </row>
    <row r="150" spans="3:11" hidden="1">
      <c r="C150" s="2"/>
      <c r="D150" s="2"/>
      <c r="E150" s="2"/>
      <c r="H150" s="515" t="s">
        <v>442</v>
      </c>
      <c r="I150" s="2"/>
      <c r="J150" s="463"/>
      <c r="K150" s="552"/>
    </row>
    <row r="151" spans="3:11" hidden="1">
      <c r="C151" s="2"/>
      <c r="D151" s="2"/>
      <c r="E151" s="2"/>
      <c r="F151" s="519">
        <v>0.7</v>
      </c>
      <c r="G151" s="518" t="s">
        <v>2334</v>
      </c>
      <c r="H151" s="509" t="s">
        <v>2590</v>
      </c>
      <c r="I151" s="492" t="e">
        <f>C79</f>
        <v>#REF!</v>
      </c>
      <c r="J151" s="500" t="s">
        <v>2334</v>
      </c>
      <c r="K151" s="526" t="e">
        <f t="shared" ref="K151:K156" si="10">(F151*I151)</f>
        <v>#REF!</v>
      </c>
    </row>
    <row r="152" spans="3:11" hidden="1">
      <c r="C152" s="2"/>
      <c r="D152" s="2"/>
      <c r="E152" s="2"/>
      <c r="F152" s="519">
        <v>0.7</v>
      </c>
      <c r="G152" s="518" t="s">
        <v>2334</v>
      </c>
      <c r="H152" s="509" t="s">
        <v>2765</v>
      </c>
      <c r="I152" s="492">
        <f>C783</f>
        <v>3.05</v>
      </c>
      <c r="J152" s="500" t="s">
        <v>2334</v>
      </c>
      <c r="K152" s="526">
        <f t="shared" si="10"/>
        <v>2.1349999999999998</v>
      </c>
    </row>
    <row r="153" spans="3:11" hidden="1">
      <c r="C153" s="2"/>
      <c r="D153" s="2"/>
      <c r="E153" s="2"/>
      <c r="F153" s="519">
        <v>0.72</v>
      </c>
      <c r="G153" s="518" t="s">
        <v>2334</v>
      </c>
      <c r="H153" s="509" t="s">
        <v>2766</v>
      </c>
      <c r="I153" s="492">
        <f>C35</f>
        <v>169</v>
      </c>
      <c r="J153" s="500" t="s">
        <v>2334</v>
      </c>
      <c r="K153" s="526">
        <f t="shared" si="10"/>
        <v>121.67999999999999</v>
      </c>
    </row>
    <row r="154" spans="3:11" hidden="1">
      <c r="C154" s="2"/>
      <c r="D154" s="2"/>
      <c r="E154" s="2"/>
      <c r="F154" s="519">
        <v>0.72</v>
      </c>
      <c r="G154" s="518" t="s">
        <v>2334</v>
      </c>
      <c r="H154" s="509" t="s">
        <v>2765</v>
      </c>
      <c r="I154" s="492">
        <f>C783</f>
        <v>3.05</v>
      </c>
      <c r="J154" s="500" t="s">
        <v>2334</v>
      </c>
      <c r="K154" s="526">
        <f t="shared" si="10"/>
        <v>2.1959999999999997</v>
      </c>
    </row>
    <row r="155" spans="3:11" hidden="1">
      <c r="C155" s="2"/>
      <c r="D155" s="2"/>
      <c r="E155" s="2"/>
      <c r="F155" s="519">
        <v>1</v>
      </c>
      <c r="G155" s="518" t="s">
        <v>2334</v>
      </c>
      <c r="H155" s="509" t="s">
        <v>2601</v>
      </c>
      <c r="I155" s="492">
        <f>C18</f>
        <v>26</v>
      </c>
      <c r="J155" s="500" t="s">
        <v>2334</v>
      </c>
      <c r="K155" s="526">
        <f t="shared" si="10"/>
        <v>26</v>
      </c>
    </row>
    <row r="156" spans="3:11" hidden="1">
      <c r="C156" s="2"/>
      <c r="D156" s="2"/>
      <c r="E156" s="2"/>
      <c r="F156" s="519">
        <v>1</v>
      </c>
      <c r="G156" s="518" t="s">
        <v>2334</v>
      </c>
      <c r="H156" s="509" t="s">
        <v>2767</v>
      </c>
      <c r="I156" s="492">
        <v>6.05</v>
      </c>
      <c r="J156" s="500" t="s">
        <v>2334</v>
      </c>
      <c r="K156" s="526">
        <f t="shared" si="10"/>
        <v>6.05</v>
      </c>
    </row>
    <row r="157" spans="3:11" hidden="1">
      <c r="C157" s="2"/>
      <c r="D157" s="2"/>
      <c r="E157" s="2"/>
      <c r="H157" s="509" t="s">
        <v>2768</v>
      </c>
      <c r="I157" s="2"/>
      <c r="J157" s="463"/>
      <c r="K157" s="552"/>
    </row>
    <row r="158" spans="3:11" hidden="1">
      <c r="C158" s="2"/>
      <c r="D158" s="2"/>
      <c r="E158" s="2"/>
      <c r="G158" s="518" t="s">
        <v>2346</v>
      </c>
      <c r="H158" s="509" t="s">
        <v>2347</v>
      </c>
      <c r="I158" s="490" t="s">
        <v>30</v>
      </c>
      <c r="J158" s="500" t="s">
        <v>2346</v>
      </c>
      <c r="K158" s="526">
        <v>0</v>
      </c>
    </row>
    <row r="159" spans="3:11" hidden="1">
      <c r="C159" s="2"/>
      <c r="D159" s="2"/>
      <c r="E159" s="2"/>
      <c r="I159" s="2"/>
      <c r="J159" s="463"/>
      <c r="K159" s="526" t="s">
        <v>442</v>
      </c>
    </row>
    <row r="160" spans="3:11" hidden="1">
      <c r="C160" s="2"/>
      <c r="D160" s="2"/>
      <c r="E160" s="2"/>
      <c r="H160" s="509" t="s">
        <v>2336</v>
      </c>
      <c r="I160" s="2"/>
      <c r="J160" s="463"/>
      <c r="K160" s="526" t="e">
        <f>SUM(K151:K158)</f>
        <v>#REF!</v>
      </c>
    </row>
    <row r="161" spans="1:11" hidden="1">
      <c r="C161" s="2"/>
      <c r="D161" s="2"/>
      <c r="E161" s="2"/>
      <c r="I161" s="2"/>
      <c r="J161" s="463"/>
      <c r="K161" s="526" t="s">
        <v>442</v>
      </c>
    </row>
    <row r="162" spans="1:11" hidden="1">
      <c r="C162" s="2"/>
      <c r="D162" s="2"/>
      <c r="E162" s="2"/>
      <c r="H162" s="509" t="s">
        <v>30</v>
      </c>
      <c r="I162" s="2"/>
      <c r="J162" s="463"/>
      <c r="K162" s="526" t="s">
        <v>30</v>
      </c>
    </row>
    <row r="163" spans="1:11" hidden="1">
      <c r="C163" s="2"/>
      <c r="D163" s="2"/>
      <c r="E163" s="2"/>
      <c r="I163" s="2"/>
      <c r="J163" s="463"/>
      <c r="K163" s="526" t="s">
        <v>30</v>
      </c>
    </row>
    <row r="164" spans="1:11" hidden="1">
      <c r="A164" s="540">
        <v>2.2999999999999998</v>
      </c>
      <c r="B164" s="509" t="s">
        <v>2769</v>
      </c>
      <c r="C164" s="2" t="e">
        <f>AC19+I167</f>
        <v>#REF!</v>
      </c>
      <c r="D164" s="2"/>
      <c r="E164" s="2"/>
      <c r="F164" s="529">
        <v>2.6</v>
      </c>
      <c r="G164" s="518" t="s">
        <v>575</v>
      </c>
      <c r="H164" s="509" t="s">
        <v>2770</v>
      </c>
      <c r="I164" s="2"/>
      <c r="J164" s="463"/>
      <c r="K164" s="552"/>
    </row>
    <row r="165" spans="1:11" hidden="1">
      <c r="A165" s="540">
        <v>2.4</v>
      </c>
      <c r="B165" s="509" t="s">
        <v>2771</v>
      </c>
      <c r="C165" s="2" t="e">
        <f>AC20+I167</f>
        <v>#REF!</v>
      </c>
      <c r="D165" s="2"/>
      <c r="E165" s="2"/>
      <c r="H165" s="515" t="s">
        <v>442</v>
      </c>
      <c r="I165" s="2"/>
      <c r="J165" s="463"/>
      <c r="K165" s="552"/>
    </row>
    <row r="166" spans="1:11" hidden="1">
      <c r="C166" s="2"/>
      <c r="D166" s="2"/>
      <c r="E166" s="2"/>
      <c r="F166" s="519">
        <v>1</v>
      </c>
      <c r="G166" s="518" t="s">
        <v>2334</v>
      </c>
      <c r="H166" s="509" t="s">
        <v>2772</v>
      </c>
      <c r="I166" s="492" t="e">
        <f>AC15</f>
        <v>#REF!</v>
      </c>
      <c r="J166" s="500" t="s">
        <v>2334</v>
      </c>
      <c r="K166" s="526" t="e">
        <f>(F166*I166)</f>
        <v>#REF!</v>
      </c>
    </row>
    <row r="167" spans="1:11" hidden="1">
      <c r="C167" s="2"/>
      <c r="D167" s="2"/>
      <c r="E167" s="2"/>
      <c r="F167" s="519">
        <v>1</v>
      </c>
      <c r="G167" s="518" t="s">
        <v>2334</v>
      </c>
      <c r="H167" s="509" t="s">
        <v>2608</v>
      </c>
      <c r="I167" s="492">
        <f>C26</f>
        <v>8.8000000000000007</v>
      </c>
      <c r="J167" s="500" t="s">
        <v>2334</v>
      </c>
      <c r="K167" s="526">
        <f>(F167*I167)</f>
        <v>8.8000000000000007</v>
      </c>
    </row>
    <row r="168" spans="1:11" hidden="1">
      <c r="C168" s="2"/>
      <c r="D168" s="2"/>
      <c r="E168" s="2"/>
      <c r="G168" s="518" t="s">
        <v>2346</v>
      </c>
      <c r="H168" s="509" t="s">
        <v>2347</v>
      </c>
      <c r="I168" s="490" t="s">
        <v>30</v>
      </c>
      <c r="J168" s="500" t="s">
        <v>2346</v>
      </c>
      <c r="K168" s="526">
        <v>0</v>
      </c>
    </row>
    <row r="169" spans="1:11" hidden="1">
      <c r="C169" s="2"/>
      <c r="D169" s="2"/>
      <c r="E169" s="2"/>
      <c r="I169" s="2"/>
      <c r="J169" s="463"/>
      <c r="K169" s="526" t="s">
        <v>442</v>
      </c>
    </row>
    <row r="170" spans="1:11" hidden="1">
      <c r="C170" s="2"/>
      <c r="D170" s="2"/>
      <c r="E170" s="2"/>
      <c r="H170" s="509" t="s">
        <v>2336</v>
      </c>
      <c r="I170" s="2"/>
      <c r="J170" s="463"/>
      <c r="K170" s="526" t="e">
        <f>SUM(K165:K168)</f>
        <v>#REF!</v>
      </c>
    </row>
    <row r="171" spans="1:11" hidden="1">
      <c r="C171" s="2"/>
      <c r="D171" s="2"/>
      <c r="E171" s="2"/>
      <c r="I171" s="2"/>
      <c r="J171" s="463"/>
      <c r="K171" s="526" t="s">
        <v>442</v>
      </c>
    </row>
    <row r="172" spans="1:11" hidden="1">
      <c r="C172" s="2"/>
      <c r="D172" s="2"/>
      <c r="E172" s="2"/>
      <c r="F172" s="529">
        <v>2.7</v>
      </c>
      <c r="G172" s="518" t="s">
        <v>575</v>
      </c>
      <c r="H172" s="509" t="s">
        <v>2773</v>
      </c>
      <c r="I172" s="2"/>
      <c r="J172" s="463"/>
      <c r="K172" s="552"/>
    </row>
    <row r="173" spans="1:11" hidden="1">
      <c r="C173" s="2"/>
      <c r="D173" s="2"/>
      <c r="E173" s="2"/>
      <c r="H173" s="515" t="s">
        <v>442</v>
      </c>
      <c r="I173" s="2"/>
      <c r="J173" s="463"/>
      <c r="K173" s="552"/>
    </row>
    <row r="174" spans="1:11" hidden="1">
      <c r="C174" s="2"/>
      <c r="D174" s="2"/>
      <c r="E174" s="2"/>
      <c r="F174" s="519">
        <v>1</v>
      </c>
      <c r="G174" s="518" t="s">
        <v>2334</v>
      </c>
      <c r="H174" s="509" t="s">
        <v>2774</v>
      </c>
      <c r="I174" s="492" t="e">
        <f>AC14</f>
        <v>#REF!</v>
      </c>
      <c r="J174" s="500" t="s">
        <v>2334</v>
      </c>
      <c r="K174" s="526" t="e">
        <f>(F174*I174)</f>
        <v>#REF!</v>
      </c>
    </row>
    <row r="175" spans="1:11" hidden="1">
      <c r="C175" s="2"/>
      <c r="D175" s="2"/>
      <c r="E175" s="2"/>
      <c r="F175" s="519">
        <v>1</v>
      </c>
      <c r="G175" s="518" t="s">
        <v>2334</v>
      </c>
      <c r="H175" s="509" t="s">
        <v>2608</v>
      </c>
      <c r="I175" s="492">
        <f>C26</f>
        <v>8.8000000000000007</v>
      </c>
      <c r="J175" s="500" t="s">
        <v>2334</v>
      </c>
      <c r="K175" s="526">
        <f>(F175*I175)</f>
        <v>8.8000000000000007</v>
      </c>
    </row>
    <row r="176" spans="1:11" hidden="1">
      <c r="C176" s="2"/>
      <c r="D176" s="2"/>
      <c r="E176" s="2"/>
      <c r="G176" s="518" t="s">
        <v>2346</v>
      </c>
      <c r="H176" s="509" t="s">
        <v>2347</v>
      </c>
      <c r="I176" s="490" t="s">
        <v>30</v>
      </c>
      <c r="J176" s="500" t="s">
        <v>2346</v>
      </c>
      <c r="K176" s="526">
        <v>0</v>
      </c>
    </row>
    <row r="177" spans="1:33" hidden="1">
      <c r="C177" s="2"/>
      <c r="D177" s="2"/>
      <c r="E177" s="2"/>
      <c r="I177" s="2"/>
      <c r="J177" s="463"/>
      <c r="K177" s="526" t="s">
        <v>442</v>
      </c>
    </row>
    <row r="178" spans="1:33" hidden="1">
      <c r="C178" s="2"/>
      <c r="D178" s="2"/>
      <c r="E178" s="2"/>
      <c r="H178" s="509" t="s">
        <v>2336</v>
      </c>
      <c r="I178" s="2"/>
      <c r="J178" s="463"/>
      <c r="K178" s="526" t="e">
        <f>SUM(K173:K176)</f>
        <v>#REF!</v>
      </c>
    </row>
    <row r="179" spans="1:33" hidden="1">
      <c r="A179" s="521">
        <f>(A144+1)</f>
        <v>88</v>
      </c>
      <c r="B179" s="509" t="s">
        <v>2775</v>
      </c>
      <c r="C179" s="492">
        <v>15.25</v>
      </c>
      <c r="D179" s="490" t="s">
        <v>40</v>
      </c>
      <c r="E179" s="2"/>
      <c r="I179" s="2"/>
      <c r="J179" s="463"/>
      <c r="K179" s="526" t="s">
        <v>442</v>
      </c>
      <c r="M179" s="519">
        <v>2.5</v>
      </c>
      <c r="N179" s="509" t="s">
        <v>2334</v>
      </c>
      <c r="O179" s="509" t="s">
        <v>2685</v>
      </c>
      <c r="P179" s="519" t="e">
        <f>(K58)</f>
        <v>#REF!</v>
      </c>
      <c r="Q179" s="509" t="s">
        <v>2334</v>
      </c>
      <c r="R179" s="519" t="e">
        <f>(M179*P179)</f>
        <v>#REF!</v>
      </c>
      <c r="AG179" s="509" t="s">
        <v>2514</v>
      </c>
    </row>
    <row r="180" spans="1:33" hidden="1">
      <c r="A180" s="521">
        <f>(A179+1)</f>
        <v>89</v>
      </c>
      <c r="B180" s="509" t="s">
        <v>2776</v>
      </c>
      <c r="C180" s="492">
        <v>110</v>
      </c>
      <c r="D180" s="490" t="s">
        <v>40</v>
      </c>
      <c r="E180" s="2"/>
      <c r="H180" s="509" t="s">
        <v>30</v>
      </c>
      <c r="I180" s="2"/>
      <c r="J180" s="463"/>
      <c r="K180" s="552"/>
      <c r="M180" s="519">
        <v>3.5</v>
      </c>
      <c r="N180" s="509" t="s">
        <v>2342</v>
      </c>
      <c r="O180" s="509" t="s">
        <v>2353</v>
      </c>
      <c r="P180" s="519">
        <f>(C10)</f>
        <v>150</v>
      </c>
      <c r="Q180" s="509" t="s">
        <v>2342</v>
      </c>
      <c r="R180" s="519">
        <f>(M180*P180)</f>
        <v>525</v>
      </c>
      <c r="AG180" s="509" t="s">
        <v>2514</v>
      </c>
    </row>
    <row r="181" spans="1:33" hidden="1">
      <c r="C181" s="2"/>
      <c r="D181" s="2"/>
      <c r="E181" s="2"/>
      <c r="F181" s="510" t="s">
        <v>2777</v>
      </c>
      <c r="H181" s="509" t="s">
        <v>2778</v>
      </c>
      <c r="I181" s="2"/>
      <c r="J181" s="463"/>
      <c r="K181" s="552"/>
    </row>
    <row r="182" spans="1:33" hidden="1">
      <c r="C182" s="2"/>
      <c r="D182" s="2"/>
      <c r="E182" s="2"/>
      <c r="I182" s="2"/>
      <c r="J182" s="463"/>
      <c r="K182" s="552"/>
    </row>
    <row r="183" spans="1:33" hidden="1">
      <c r="C183" s="2"/>
      <c r="D183" s="2"/>
      <c r="E183" s="2"/>
      <c r="F183" s="519">
        <v>1</v>
      </c>
      <c r="G183" s="518" t="s">
        <v>2334</v>
      </c>
      <c r="H183" s="509" t="s">
        <v>2779</v>
      </c>
      <c r="I183" s="492">
        <f>C35</f>
        <v>169</v>
      </c>
      <c r="J183" s="500" t="s">
        <v>2334</v>
      </c>
      <c r="K183" s="526">
        <f>(F183*I183)</f>
        <v>169</v>
      </c>
    </row>
    <row r="184" spans="1:33" hidden="1">
      <c r="C184" s="2"/>
      <c r="D184" s="2"/>
      <c r="E184" s="2"/>
      <c r="F184" s="519">
        <v>1</v>
      </c>
      <c r="G184" s="518" t="s">
        <v>2334</v>
      </c>
      <c r="H184" s="509" t="s">
        <v>2765</v>
      </c>
      <c r="I184" s="492">
        <f>C783</f>
        <v>3.05</v>
      </c>
      <c r="J184" s="500" t="s">
        <v>2334</v>
      </c>
      <c r="K184" s="526">
        <f>(F184*I184)</f>
        <v>3.05</v>
      </c>
    </row>
    <row r="185" spans="1:33" hidden="1">
      <c r="C185" s="2"/>
      <c r="D185" s="2"/>
      <c r="E185" s="2"/>
      <c r="F185" s="519">
        <v>1</v>
      </c>
      <c r="G185" s="518" t="s">
        <v>2334</v>
      </c>
      <c r="H185" s="509" t="s">
        <v>2767</v>
      </c>
      <c r="I185" s="492">
        <v>6.05</v>
      </c>
      <c r="J185" s="500" t="s">
        <v>2334</v>
      </c>
      <c r="K185" s="526">
        <f>(F185*I185)</f>
        <v>6.05</v>
      </c>
    </row>
    <row r="186" spans="1:33" hidden="1">
      <c r="C186" s="2"/>
      <c r="D186" s="2"/>
      <c r="E186" s="2"/>
      <c r="H186" s="509" t="s">
        <v>2768</v>
      </c>
      <c r="I186" s="2"/>
      <c r="J186" s="463"/>
      <c r="K186" s="552"/>
    </row>
    <row r="187" spans="1:33" hidden="1">
      <c r="C187" s="2"/>
      <c r="D187" s="2"/>
      <c r="E187" s="2"/>
      <c r="I187" s="2"/>
      <c r="J187" s="463"/>
      <c r="K187" s="526" t="s">
        <v>442</v>
      </c>
    </row>
    <row r="188" spans="1:33" hidden="1">
      <c r="C188" s="2"/>
      <c r="D188" s="2"/>
      <c r="E188" s="2"/>
      <c r="H188" s="509" t="s">
        <v>2336</v>
      </c>
      <c r="I188" s="2"/>
      <c r="J188" s="463"/>
      <c r="K188" s="526">
        <f>SUM(K181:K186)</f>
        <v>178.10000000000002</v>
      </c>
    </row>
    <row r="189" spans="1:33" hidden="1">
      <c r="C189" s="2"/>
      <c r="D189" s="2"/>
      <c r="E189" s="2"/>
      <c r="F189" s="509" t="s">
        <v>30</v>
      </c>
      <c r="I189" s="2"/>
      <c r="J189" s="463"/>
      <c r="K189" s="526" t="s">
        <v>442</v>
      </c>
    </row>
    <row r="190" spans="1:33" hidden="1">
      <c r="C190" s="2"/>
      <c r="D190" s="2"/>
      <c r="E190" s="2"/>
      <c r="I190" s="2"/>
      <c r="J190" s="463"/>
      <c r="K190" s="526" t="s">
        <v>30</v>
      </c>
    </row>
    <row r="191" spans="1:33" hidden="1">
      <c r="A191" s="521">
        <f>(A180+1)</f>
        <v>90</v>
      </c>
      <c r="B191" s="509" t="s">
        <v>2780</v>
      </c>
      <c r="C191" s="492">
        <v>65</v>
      </c>
      <c r="D191" s="490" t="s">
        <v>2781</v>
      </c>
      <c r="E191" s="2"/>
      <c r="F191" s="510" t="s">
        <v>2337</v>
      </c>
      <c r="G191" s="518" t="s">
        <v>575</v>
      </c>
      <c r="H191" s="509" t="s">
        <v>2338</v>
      </c>
      <c r="I191" s="2"/>
      <c r="J191" s="463"/>
      <c r="K191" s="552"/>
      <c r="M191" s="519">
        <v>10.6</v>
      </c>
      <c r="N191" s="509" t="s">
        <v>2342</v>
      </c>
      <c r="O191" s="509" t="s">
        <v>2343</v>
      </c>
      <c r="P191" s="519">
        <f>(C11)</f>
        <v>135</v>
      </c>
      <c r="Q191" s="509" t="s">
        <v>2342</v>
      </c>
      <c r="R191" s="519">
        <f>(M191*P191)</f>
        <v>1431</v>
      </c>
      <c r="AG191" s="509" t="s">
        <v>2514</v>
      </c>
    </row>
    <row r="192" spans="1:33" hidden="1">
      <c r="A192" s="521">
        <f t="shared" ref="A192:A207" si="11">(A191+1)</f>
        <v>91</v>
      </c>
      <c r="B192" s="509" t="s">
        <v>2782</v>
      </c>
      <c r="C192" s="492">
        <v>25</v>
      </c>
      <c r="D192" s="490" t="s">
        <v>2781</v>
      </c>
      <c r="E192" s="2"/>
      <c r="H192" s="509" t="s">
        <v>2339</v>
      </c>
      <c r="I192" s="2"/>
      <c r="J192" s="463"/>
      <c r="K192" s="552"/>
      <c r="M192" s="519">
        <v>7.1</v>
      </c>
      <c r="N192" s="509" t="s">
        <v>2342</v>
      </c>
      <c r="O192" s="509" t="s">
        <v>2344</v>
      </c>
      <c r="P192" s="519">
        <f>(C12)</f>
        <v>95</v>
      </c>
      <c r="Q192" s="509" t="s">
        <v>2342</v>
      </c>
      <c r="R192" s="519">
        <f>(M192*P192)</f>
        <v>674.5</v>
      </c>
      <c r="AG192" s="509" t="s">
        <v>2514</v>
      </c>
    </row>
    <row r="193" spans="1:33" hidden="1">
      <c r="A193" s="521">
        <f t="shared" si="11"/>
        <v>92</v>
      </c>
      <c r="B193" s="509" t="s">
        <v>2783</v>
      </c>
      <c r="C193" s="492">
        <v>210</v>
      </c>
      <c r="D193" s="490" t="s">
        <v>2781</v>
      </c>
      <c r="E193" s="2"/>
      <c r="H193" s="515" t="s">
        <v>442</v>
      </c>
      <c r="I193" s="2"/>
      <c r="J193" s="463"/>
      <c r="K193" s="552"/>
      <c r="M193" s="519">
        <v>21.2</v>
      </c>
      <c r="N193" s="509" t="s">
        <v>2342</v>
      </c>
      <c r="O193" s="509" t="s">
        <v>2345</v>
      </c>
      <c r="P193" s="519">
        <f>(C13)</f>
        <v>85</v>
      </c>
      <c r="Q193" s="509" t="s">
        <v>2342</v>
      </c>
      <c r="R193" s="519">
        <f>(M193*P193)</f>
        <v>1802</v>
      </c>
      <c r="AG193" s="509" t="s">
        <v>2514</v>
      </c>
    </row>
    <row r="194" spans="1:33" hidden="1">
      <c r="A194" s="521">
        <f t="shared" si="11"/>
        <v>93</v>
      </c>
      <c r="B194" s="509" t="s">
        <v>2784</v>
      </c>
      <c r="C194" s="492">
        <v>160</v>
      </c>
      <c r="D194" s="492">
        <v>96.11</v>
      </c>
      <c r="E194" s="2"/>
      <c r="F194" s="519">
        <v>9</v>
      </c>
      <c r="G194" s="518" t="s">
        <v>2334</v>
      </c>
      <c r="H194" s="509" t="s">
        <v>2340</v>
      </c>
      <c r="I194" s="492" t="e">
        <f>(C74)</f>
        <v>#REF!</v>
      </c>
      <c r="J194" s="500" t="s">
        <v>2334</v>
      </c>
      <c r="K194" s="526" t="e">
        <f>(F194*I194)</f>
        <v>#REF!</v>
      </c>
      <c r="N194" s="509" t="s">
        <v>2346</v>
      </c>
      <c r="O194" s="509" t="s">
        <v>2347</v>
      </c>
      <c r="Q194" s="509" t="s">
        <v>2346</v>
      </c>
      <c r="R194" s="519">
        <v>0</v>
      </c>
      <c r="AG194" s="509" t="s">
        <v>2514</v>
      </c>
    </row>
    <row r="195" spans="1:33" hidden="1">
      <c r="A195" s="521">
        <f t="shared" si="11"/>
        <v>94</v>
      </c>
      <c r="B195" s="509" t="s">
        <v>2785</v>
      </c>
      <c r="C195" s="492">
        <v>100</v>
      </c>
      <c r="D195" s="490" t="s">
        <v>2781</v>
      </c>
      <c r="E195" s="2"/>
      <c r="F195" s="519">
        <v>4.5</v>
      </c>
      <c r="G195" s="518" t="s">
        <v>2334</v>
      </c>
      <c r="H195" s="509" t="s">
        <v>2341</v>
      </c>
      <c r="I195" s="492" t="e">
        <f>(K49)</f>
        <v>#REF!</v>
      </c>
      <c r="J195" s="500" t="s">
        <v>2334</v>
      </c>
      <c r="K195" s="526" t="e">
        <f>(F195*I195)</f>
        <v>#REF!</v>
      </c>
      <c r="R195" s="515" t="s">
        <v>442</v>
      </c>
      <c r="AG195" s="509" t="s">
        <v>2514</v>
      </c>
    </row>
    <row r="196" spans="1:33" hidden="1">
      <c r="A196" s="521">
        <f t="shared" si="11"/>
        <v>95</v>
      </c>
      <c r="B196" s="509" t="s">
        <v>2786</v>
      </c>
      <c r="C196" s="492">
        <v>0.25</v>
      </c>
      <c r="D196" s="490" t="s">
        <v>2342</v>
      </c>
      <c r="E196" s="2"/>
      <c r="F196" s="519">
        <v>1.8</v>
      </c>
      <c r="G196" s="518" t="s">
        <v>2342</v>
      </c>
      <c r="H196" s="509" t="s">
        <v>2343</v>
      </c>
      <c r="I196" s="492">
        <f>(C11)</f>
        <v>135</v>
      </c>
      <c r="J196" s="500" t="s">
        <v>2342</v>
      </c>
      <c r="K196" s="526">
        <f>(F196*I196)</f>
        <v>243</v>
      </c>
      <c r="O196" s="509" t="s">
        <v>2348</v>
      </c>
      <c r="R196" s="519" t="e">
        <f>SUM(R144:R194)</f>
        <v>#REF!</v>
      </c>
      <c r="AG196" s="509" t="s">
        <v>2514</v>
      </c>
    </row>
    <row r="197" spans="1:33" hidden="1">
      <c r="A197" s="521">
        <f t="shared" si="11"/>
        <v>96</v>
      </c>
      <c r="B197" s="509" t="s">
        <v>2787</v>
      </c>
      <c r="C197" s="492">
        <v>22.6</v>
      </c>
      <c r="D197" s="490" t="s">
        <v>2788</v>
      </c>
      <c r="E197" s="2"/>
      <c r="F197" s="519">
        <v>17.7</v>
      </c>
      <c r="G197" s="518" t="s">
        <v>2342</v>
      </c>
      <c r="H197" s="509" t="s">
        <v>2344</v>
      </c>
      <c r="I197" s="492">
        <f>(C12)</f>
        <v>95</v>
      </c>
      <c r="J197" s="500" t="s">
        <v>2342</v>
      </c>
      <c r="K197" s="526">
        <f>(F197*I197)</f>
        <v>1681.5</v>
      </c>
      <c r="R197" s="515" t="s">
        <v>442</v>
      </c>
      <c r="AG197" s="509" t="s">
        <v>2514</v>
      </c>
    </row>
    <row r="198" spans="1:33" hidden="1">
      <c r="A198" s="521">
        <f t="shared" si="11"/>
        <v>97</v>
      </c>
      <c r="B198" s="509" t="s">
        <v>2789</v>
      </c>
      <c r="C198" s="492">
        <v>212</v>
      </c>
      <c r="D198" s="490" t="s">
        <v>2788</v>
      </c>
      <c r="E198" s="2"/>
      <c r="F198" s="519">
        <v>14.1</v>
      </c>
      <c r="G198" s="518" t="s">
        <v>2342</v>
      </c>
      <c r="H198" s="509" t="s">
        <v>2345</v>
      </c>
      <c r="I198" s="492">
        <f>(C13)</f>
        <v>85</v>
      </c>
      <c r="J198" s="500" t="s">
        <v>2342</v>
      </c>
      <c r="K198" s="526">
        <f>(F198*I198)</f>
        <v>1198.5</v>
      </c>
      <c r="O198" s="509" t="s">
        <v>2349</v>
      </c>
      <c r="R198" s="519" t="e">
        <f>(R196/10)</f>
        <v>#REF!</v>
      </c>
      <c r="AG198" s="509" t="s">
        <v>2514</v>
      </c>
    </row>
    <row r="199" spans="1:33" hidden="1">
      <c r="A199" s="521">
        <f t="shared" si="11"/>
        <v>98</v>
      </c>
      <c r="B199" s="509" t="s">
        <v>2790</v>
      </c>
      <c r="C199" s="492">
        <v>85</v>
      </c>
      <c r="D199" s="490" t="s">
        <v>2359</v>
      </c>
      <c r="E199" s="2"/>
      <c r="G199" s="518" t="s">
        <v>2346</v>
      </c>
      <c r="H199" s="509" t="s">
        <v>2347</v>
      </c>
      <c r="I199" s="2"/>
      <c r="J199" s="500" t="s">
        <v>2346</v>
      </c>
      <c r="K199" s="526">
        <v>0</v>
      </c>
      <c r="R199" s="515" t="s">
        <v>29</v>
      </c>
      <c r="AG199" s="509" t="s">
        <v>2514</v>
      </c>
    </row>
    <row r="200" spans="1:33" hidden="1">
      <c r="A200" s="521">
        <f t="shared" si="11"/>
        <v>99</v>
      </c>
      <c r="B200" s="509" t="s">
        <v>2791</v>
      </c>
      <c r="C200" s="492">
        <v>750</v>
      </c>
      <c r="D200" s="490" t="s">
        <v>2359</v>
      </c>
      <c r="E200" s="2"/>
      <c r="I200" s="2"/>
      <c r="J200" s="463"/>
      <c r="K200" s="526" t="s">
        <v>442</v>
      </c>
      <c r="AG200" s="509" t="s">
        <v>2514</v>
      </c>
    </row>
    <row r="201" spans="1:33" hidden="1">
      <c r="A201" s="521">
        <f t="shared" si="11"/>
        <v>100</v>
      </c>
      <c r="B201" s="509" t="s">
        <v>2792</v>
      </c>
      <c r="C201" s="492">
        <v>47.2</v>
      </c>
      <c r="D201" s="490" t="s">
        <v>2359</v>
      </c>
      <c r="E201" s="2"/>
      <c r="I201" s="2"/>
      <c r="J201" s="463"/>
      <c r="K201" s="526" t="e">
        <f>SUM(K194:K199)</f>
        <v>#REF!</v>
      </c>
      <c r="N201" s="509" t="s">
        <v>2793</v>
      </c>
      <c r="O201" s="509" t="s">
        <v>2354</v>
      </c>
      <c r="R201" s="519" t="e">
        <f>(R198+C19)</f>
        <v>#REF!</v>
      </c>
      <c r="AG201" s="509" t="s">
        <v>2514</v>
      </c>
    </row>
    <row r="202" spans="1:33" hidden="1">
      <c r="A202" s="521">
        <f t="shared" si="11"/>
        <v>101</v>
      </c>
      <c r="B202" s="509" t="s">
        <v>2794</v>
      </c>
      <c r="C202" s="492">
        <v>75</v>
      </c>
      <c r="D202" s="490" t="s">
        <v>2359</v>
      </c>
      <c r="E202" s="2"/>
      <c r="H202" s="509" t="s">
        <v>2348</v>
      </c>
      <c r="I202" s="2"/>
      <c r="J202" s="463"/>
      <c r="K202" s="526" t="s">
        <v>442</v>
      </c>
      <c r="N202" s="509" t="s">
        <v>2795</v>
      </c>
      <c r="O202" s="509" t="s">
        <v>2362</v>
      </c>
      <c r="R202" s="519" t="e">
        <f>(R201+C20)</f>
        <v>#REF!</v>
      </c>
      <c r="AG202" s="509" t="s">
        <v>2690</v>
      </c>
    </row>
    <row r="203" spans="1:33" hidden="1">
      <c r="A203" s="521">
        <f t="shared" si="11"/>
        <v>102</v>
      </c>
      <c r="B203" s="509" t="s">
        <v>2796</v>
      </c>
      <c r="C203" s="492">
        <v>40</v>
      </c>
      <c r="D203" s="490" t="s">
        <v>2359</v>
      </c>
      <c r="E203" s="2"/>
      <c r="I203" s="2"/>
      <c r="J203" s="463"/>
      <c r="K203" s="526" t="e">
        <f>(K201/10)</f>
        <v>#REF!</v>
      </c>
      <c r="N203" s="509" t="s">
        <v>2797</v>
      </c>
      <c r="O203" s="509" t="s">
        <v>2480</v>
      </c>
      <c r="R203" s="519" t="e">
        <f>(R202+C21)</f>
        <v>#REF!</v>
      </c>
    </row>
    <row r="204" spans="1:33" hidden="1">
      <c r="A204" s="521">
        <f t="shared" si="11"/>
        <v>103</v>
      </c>
      <c r="B204" s="509" t="s">
        <v>2798</v>
      </c>
      <c r="C204" s="492">
        <v>65</v>
      </c>
      <c r="D204" s="490" t="s">
        <v>2359</v>
      </c>
      <c r="E204" s="2"/>
      <c r="H204" s="509" t="s">
        <v>2349</v>
      </c>
      <c r="I204" s="2"/>
      <c r="J204" s="463"/>
      <c r="K204" s="526" t="s">
        <v>29</v>
      </c>
      <c r="N204" s="509" t="s">
        <v>2799</v>
      </c>
      <c r="O204" s="509" t="s">
        <v>2481</v>
      </c>
      <c r="R204" s="519" t="e">
        <f>(R203+C21)</f>
        <v>#REF!</v>
      </c>
    </row>
    <row r="205" spans="1:33" hidden="1">
      <c r="A205" s="521">
        <f t="shared" si="11"/>
        <v>104</v>
      </c>
      <c r="B205" s="509" t="s">
        <v>2800</v>
      </c>
      <c r="C205" s="492">
        <v>65</v>
      </c>
      <c r="D205" s="490" t="s">
        <v>2359</v>
      </c>
      <c r="E205" s="2"/>
      <c r="I205" s="2"/>
      <c r="J205" s="463"/>
      <c r="K205" s="552"/>
      <c r="AG205" s="509" t="s">
        <v>2514</v>
      </c>
    </row>
    <row r="206" spans="1:33" hidden="1">
      <c r="A206" s="521">
        <f t="shared" si="11"/>
        <v>105</v>
      </c>
      <c r="B206" s="509" t="s">
        <v>2801</v>
      </c>
      <c r="C206" s="492">
        <v>150</v>
      </c>
      <c r="D206" s="490" t="s">
        <v>2802</v>
      </c>
      <c r="E206" s="2"/>
      <c r="F206" s="510" t="s">
        <v>2803</v>
      </c>
      <c r="G206" s="518" t="s">
        <v>575</v>
      </c>
      <c r="H206" s="509" t="s">
        <v>2804</v>
      </c>
      <c r="I206" s="2"/>
      <c r="J206" s="463"/>
      <c r="K206" s="552"/>
    </row>
    <row r="207" spans="1:33" hidden="1">
      <c r="A207" s="521">
        <f t="shared" si="11"/>
        <v>106</v>
      </c>
      <c r="B207" s="509" t="s">
        <v>2805</v>
      </c>
      <c r="C207" s="492">
        <v>100</v>
      </c>
      <c r="D207" s="490" t="s">
        <v>2359</v>
      </c>
      <c r="E207" s="2"/>
      <c r="H207" s="509" t="s">
        <v>2702</v>
      </c>
      <c r="I207" s="2"/>
      <c r="J207" s="463"/>
      <c r="K207" s="552"/>
      <c r="N207" s="509" t="s">
        <v>2806</v>
      </c>
      <c r="O207" s="509" t="s">
        <v>2807</v>
      </c>
    </row>
    <row r="208" spans="1:33" hidden="1">
      <c r="C208" s="2"/>
      <c r="D208" s="2"/>
      <c r="E208" s="2"/>
      <c r="H208" s="515" t="s">
        <v>442</v>
      </c>
      <c r="I208" s="2"/>
      <c r="J208" s="463"/>
      <c r="K208" s="552"/>
      <c r="O208" s="515" t="s">
        <v>442</v>
      </c>
    </row>
    <row r="209" spans="3:18" hidden="1">
      <c r="C209" s="2"/>
      <c r="D209" s="2"/>
      <c r="E209" s="2"/>
      <c r="F209" s="519">
        <v>9</v>
      </c>
      <c r="G209" s="518" t="s">
        <v>2334</v>
      </c>
      <c r="H209" s="509" t="s">
        <v>2808</v>
      </c>
      <c r="I209" s="492" t="e">
        <f>C73</f>
        <v>#REF!</v>
      </c>
      <c r="J209" s="500" t="s">
        <v>2334</v>
      </c>
      <c r="K209" s="526" t="e">
        <f>(F209*I209)</f>
        <v>#REF!</v>
      </c>
      <c r="M209" s="541">
        <v>1.153E-2</v>
      </c>
      <c r="N209" s="509" t="s">
        <v>2334</v>
      </c>
      <c r="O209" s="509" t="s">
        <v>2809</v>
      </c>
      <c r="P209" s="519">
        <f>C88</f>
        <v>65420</v>
      </c>
      <c r="Q209" s="509" t="s">
        <v>2334</v>
      </c>
      <c r="R209" s="519">
        <f t="shared" ref="R209:R218" si="12">(M209*P209)</f>
        <v>754.29259999999999</v>
      </c>
    </row>
    <row r="210" spans="3:18" hidden="1">
      <c r="C210" s="2"/>
      <c r="D210" s="2"/>
      <c r="E210" s="2"/>
      <c r="F210" s="519">
        <v>4.5</v>
      </c>
      <c r="G210" s="518" t="s">
        <v>2334</v>
      </c>
      <c r="H210" s="509" t="s">
        <v>2554</v>
      </c>
      <c r="I210" s="492" t="e">
        <f>K23</f>
        <v>#REF!</v>
      </c>
      <c r="J210" s="500" t="s">
        <v>2334</v>
      </c>
      <c r="K210" s="526" t="e">
        <f>(F210*I210)</f>
        <v>#REF!</v>
      </c>
      <c r="M210" s="541">
        <v>1.013E-2</v>
      </c>
      <c r="N210" s="509" t="s">
        <v>2334</v>
      </c>
      <c r="O210" s="509" t="s">
        <v>2810</v>
      </c>
      <c r="P210" s="519">
        <f>C89</f>
        <v>57165</v>
      </c>
      <c r="Q210" s="509" t="s">
        <v>2334</v>
      </c>
      <c r="R210" s="519">
        <f t="shared" si="12"/>
        <v>579.08145000000002</v>
      </c>
    </row>
    <row r="211" spans="3:18" hidden="1">
      <c r="C211" s="2"/>
      <c r="D211" s="2"/>
      <c r="E211" s="2"/>
      <c r="F211" s="519">
        <v>1.8</v>
      </c>
      <c r="G211" s="518" t="s">
        <v>2342</v>
      </c>
      <c r="H211" s="509" t="s">
        <v>2343</v>
      </c>
      <c r="I211" s="492">
        <f>C11</f>
        <v>135</v>
      </c>
      <c r="J211" s="500" t="s">
        <v>2342</v>
      </c>
      <c r="K211" s="526">
        <f>(F211*I211)</f>
        <v>243</v>
      </c>
      <c r="M211" s="541">
        <v>0.77780000000000005</v>
      </c>
      <c r="N211" s="509" t="s">
        <v>2788</v>
      </c>
      <c r="O211" s="509" t="s">
        <v>2811</v>
      </c>
      <c r="P211" s="519">
        <f>C753</f>
        <v>381.37</v>
      </c>
      <c r="Q211" s="509" t="s">
        <v>2788</v>
      </c>
      <c r="R211" s="519">
        <f t="shared" si="12"/>
        <v>296.62958600000002</v>
      </c>
    </row>
    <row r="212" spans="3:18" hidden="1">
      <c r="C212" s="2"/>
      <c r="D212" s="2"/>
      <c r="E212" s="2"/>
      <c r="F212" s="519">
        <v>17.7</v>
      </c>
      <c r="G212" s="518" t="s">
        <v>2342</v>
      </c>
      <c r="H212" s="509" t="s">
        <v>2344</v>
      </c>
      <c r="I212" s="492">
        <f>C12</f>
        <v>95</v>
      </c>
      <c r="J212" s="500" t="s">
        <v>2342</v>
      </c>
      <c r="K212" s="526">
        <f>(F212*I212)</f>
        <v>1681.5</v>
      </c>
      <c r="M212" s="541">
        <v>1.23</v>
      </c>
      <c r="N212" s="509" t="s">
        <v>2788</v>
      </c>
      <c r="O212" s="509" t="s">
        <v>2812</v>
      </c>
      <c r="P212" s="519">
        <f>D30</f>
        <v>287</v>
      </c>
      <c r="Q212" s="509" t="s">
        <v>2788</v>
      </c>
      <c r="R212" s="519">
        <f t="shared" si="12"/>
        <v>353.01</v>
      </c>
    </row>
    <row r="213" spans="3:18" hidden="1">
      <c r="C213" s="2"/>
      <c r="D213" s="2"/>
      <c r="E213" s="2"/>
      <c r="F213" s="519">
        <v>14.1</v>
      </c>
      <c r="G213" s="518" t="s">
        <v>2342</v>
      </c>
      <c r="H213" s="509" t="s">
        <v>2345</v>
      </c>
      <c r="I213" s="492">
        <f>C13</f>
        <v>85</v>
      </c>
      <c r="J213" s="500" t="s">
        <v>2342</v>
      </c>
      <c r="K213" s="526">
        <f>(F213*I213)</f>
        <v>1198.5</v>
      </c>
      <c r="M213" s="519">
        <v>2</v>
      </c>
      <c r="N213" s="509" t="s">
        <v>2342</v>
      </c>
      <c r="O213" s="509" t="s">
        <v>2813</v>
      </c>
      <c r="P213" s="519">
        <f>C283</f>
        <v>30</v>
      </c>
      <c r="Q213" s="509" t="s">
        <v>2342</v>
      </c>
      <c r="R213" s="519">
        <f t="shared" si="12"/>
        <v>60</v>
      </c>
    </row>
    <row r="214" spans="3:18" hidden="1">
      <c r="C214" s="2"/>
      <c r="D214" s="2"/>
      <c r="E214" s="2"/>
      <c r="G214" s="518" t="s">
        <v>2346</v>
      </c>
      <c r="H214" s="509" t="s">
        <v>2347</v>
      </c>
      <c r="I214" s="2"/>
      <c r="J214" s="500" t="s">
        <v>2346</v>
      </c>
      <c r="K214" s="526">
        <v>0</v>
      </c>
      <c r="M214" s="519">
        <v>3</v>
      </c>
      <c r="N214" s="509" t="s">
        <v>2342</v>
      </c>
      <c r="O214" s="509" t="s">
        <v>2814</v>
      </c>
      <c r="P214" s="519">
        <f>C278</f>
        <v>45</v>
      </c>
      <c r="Q214" s="509" t="s">
        <v>2342</v>
      </c>
      <c r="R214" s="519">
        <f t="shared" si="12"/>
        <v>135</v>
      </c>
    </row>
    <row r="215" spans="3:18" hidden="1">
      <c r="C215" s="2"/>
      <c r="D215" s="2"/>
      <c r="E215" s="2"/>
      <c r="I215" s="2"/>
      <c r="J215" s="463"/>
      <c r="K215" s="526" t="s">
        <v>442</v>
      </c>
      <c r="M215" s="519">
        <v>1</v>
      </c>
      <c r="N215" s="509" t="s">
        <v>2342</v>
      </c>
      <c r="O215" s="509" t="s">
        <v>2815</v>
      </c>
      <c r="P215" s="519">
        <f>C285</f>
        <v>95</v>
      </c>
      <c r="Q215" s="509" t="s">
        <v>2342</v>
      </c>
      <c r="R215" s="519">
        <f t="shared" si="12"/>
        <v>95</v>
      </c>
    </row>
    <row r="216" spans="3:18" hidden="1">
      <c r="C216" s="2"/>
      <c r="D216" s="2"/>
      <c r="E216" s="2"/>
      <c r="I216" s="2"/>
      <c r="J216" s="463"/>
      <c r="K216" s="526" t="e">
        <f>SUM(K209:K214)</f>
        <v>#REF!</v>
      </c>
      <c r="M216" s="519">
        <v>1</v>
      </c>
      <c r="N216" s="509" t="s">
        <v>2342</v>
      </c>
      <c r="O216" s="509" t="s">
        <v>2816</v>
      </c>
      <c r="P216" s="519">
        <f>C287</f>
        <v>8</v>
      </c>
      <c r="Q216" s="509" t="s">
        <v>2342</v>
      </c>
      <c r="R216" s="519">
        <f t="shared" si="12"/>
        <v>8</v>
      </c>
    </row>
    <row r="217" spans="3:18" hidden="1">
      <c r="C217" s="2"/>
      <c r="D217" s="2"/>
      <c r="E217" s="2"/>
      <c r="H217" s="509" t="s">
        <v>2348</v>
      </c>
      <c r="I217" s="2"/>
      <c r="J217" s="463"/>
      <c r="K217" s="526" t="s">
        <v>442</v>
      </c>
      <c r="M217" s="519">
        <v>1</v>
      </c>
      <c r="N217" s="509" t="s">
        <v>2342</v>
      </c>
      <c r="O217" s="509" t="s">
        <v>2817</v>
      </c>
      <c r="P217" s="519">
        <f>C576</f>
        <v>30</v>
      </c>
      <c r="Q217" s="509" t="s">
        <v>2342</v>
      </c>
      <c r="R217" s="519">
        <f t="shared" si="12"/>
        <v>30</v>
      </c>
    </row>
    <row r="218" spans="3:18" hidden="1">
      <c r="C218" s="2"/>
      <c r="D218" s="2"/>
      <c r="E218" s="2"/>
      <c r="I218" s="2"/>
      <c r="J218" s="463"/>
      <c r="K218" s="526" t="e">
        <f>(K216/10)</f>
        <v>#REF!</v>
      </c>
      <c r="M218" s="519">
        <v>1</v>
      </c>
      <c r="N218" s="509" t="s">
        <v>2342</v>
      </c>
      <c r="O218" s="509" t="s">
        <v>2818</v>
      </c>
      <c r="P218" s="519">
        <f>D576</f>
        <v>25</v>
      </c>
      <c r="Q218" s="509" t="s">
        <v>2342</v>
      </c>
      <c r="R218" s="519">
        <f t="shared" si="12"/>
        <v>25</v>
      </c>
    </row>
    <row r="219" spans="3:18" hidden="1">
      <c r="C219" s="2"/>
      <c r="D219" s="2"/>
      <c r="E219" s="2"/>
      <c r="H219" s="509" t="s">
        <v>2349</v>
      </c>
      <c r="I219" s="2"/>
      <c r="J219" s="463"/>
      <c r="K219" s="526" t="s">
        <v>29</v>
      </c>
      <c r="R219" s="515" t="s">
        <v>442</v>
      </c>
    </row>
    <row r="220" spans="3:18" hidden="1">
      <c r="C220" s="2"/>
      <c r="D220" s="2"/>
      <c r="E220" s="2"/>
      <c r="I220" s="2"/>
      <c r="J220" s="463"/>
      <c r="K220" s="552"/>
      <c r="O220" s="510" t="s">
        <v>2819</v>
      </c>
      <c r="R220" s="519">
        <f>SUM(R209:R218)</f>
        <v>2336.0136359999997</v>
      </c>
    </row>
    <row r="221" spans="3:18" hidden="1">
      <c r="C221" s="2"/>
      <c r="D221" s="2"/>
      <c r="E221" s="2"/>
      <c r="F221" s="510" t="s">
        <v>2820</v>
      </c>
      <c r="G221" s="518" t="s">
        <v>575</v>
      </c>
      <c r="H221" s="509" t="s">
        <v>2821</v>
      </c>
      <c r="I221" s="2"/>
      <c r="J221" s="463"/>
      <c r="K221" s="552"/>
      <c r="N221" s="509" t="s">
        <v>30</v>
      </c>
      <c r="R221" s="515" t="s">
        <v>442</v>
      </c>
    </row>
    <row r="222" spans="3:18" hidden="1">
      <c r="C222" s="2"/>
      <c r="D222" s="2"/>
      <c r="E222" s="2"/>
      <c r="H222" s="509" t="s">
        <v>2822</v>
      </c>
      <c r="I222" s="2"/>
      <c r="J222" s="463"/>
      <c r="K222" s="552"/>
      <c r="M222" s="509" t="s">
        <v>30</v>
      </c>
    </row>
    <row r="223" spans="3:18" hidden="1">
      <c r="C223" s="2"/>
      <c r="D223" s="2"/>
      <c r="E223" s="2"/>
      <c r="H223" s="515" t="s">
        <v>442</v>
      </c>
      <c r="I223" s="2"/>
      <c r="J223" s="463"/>
      <c r="K223" s="552"/>
      <c r="O223" s="510" t="s">
        <v>2355</v>
      </c>
      <c r="R223" s="519">
        <f>R220/M212</f>
        <v>1899.1980780487802</v>
      </c>
    </row>
    <row r="224" spans="3:18" hidden="1">
      <c r="C224" s="2"/>
      <c r="D224" s="2"/>
      <c r="E224" s="2"/>
      <c r="F224" s="519">
        <v>9</v>
      </c>
      <c r="G224" s="518" t="s">
        <v>2334</v>
      </c>
      <c r="H224" s="509" t="s">
        <v>2823</v>
      </c>
      <c r="I224" s="492" t="e">
        <f>AC20</f>
        <v>#REF!</v>
      </c>
      <c r="J224" s="500" t="s">
        <v>2334</v>
      </c>
      <c r="K224" s="526" t="e">
        <f>(F224*I224)</f>
        <v>#REF!</v>
      </c>
      <c r="M224" s="509" t="s">
        <v>2690</v>
      </c>
    </row>
    <row r="225" spans="3:11" hidden="1">
      <c r="C225" s="2"/>
      <c r="D225" s="2"/>
      <c r="E225" s="2"/>
      <c r="F225" s="519">
        <v>4.5</v>
      </c>
      <c r="G225" s="518" t="s">
        <v>2334</v>
      </c>
      <c r="H225" s="509" t="s">
        <v>2686</v>
      </c>
      <c r="I225" s="492" t="e">
        <f>K77</f>
        <v>#REF!</v>
      </c>
      <c r="J225" s="500" t="s">
        <v>2334</v>
      </c>
      <c r="K225" s="526" t="e">
        <f>(F225*I225)</f>
        <v>#REF!</v>
      </c>
    </row>
    <row r="226" spans="3:11" hidden="1">
      <c r="C226" s="2"/>
      <c r="D226" s="2"/>
      <c r="E226" s="2"/>
      <c r="F226" s="519">
        <v>1.8</v>
      </c>
      <c r="G226" s="518" t="s">
        <v>2342</v>
      </c>
      <c r="H226" s="509" t="s">
        <v>2343</v>
      </c>
      <c r="I226" s="492">
        <f>C11</f>
        <v>135</v>
      </c>
      <c r="J226" s="500" t="s">
        <v>2342</v>
      </c>
      <c r="K226" s="526">
        <f>(F226*I226)</f>
        <v>243</v>
      </c>
    </row>
    <row r="227" spans="3:11" hidden="1">
      <c r="C227" s="2"/>
      <c r="D227" s="2"/>
      <c r="E227" s="2"/>
      <c r="F227" s="519">
        <v>17.7</v>
      </c>
      <c r="G227" s="518" t="s">
        <v>2342</v>
      </c>
      <c r="H227" s="509" t="s">
        <v>2344</v>
      </c>
      <c r="I227" s="492">
        <f>C12</f>
        <v>95</v>
      </c>
      <c r="J227" s="500" t="s">
        <v>2342</v>
      </c>
      <c r="K227" s="526">
        <f>(F227*I227)</f>
        <v>1681.5</v>
      </c>
    </row>
    <row r="228" spans="3:11" hidden="1">
      <c r="C228" s="2"/>
      <c r="D228" s="2"/>
      <c r="E228" s="2"/>
      <c r="F228" s="519">
        <v>14.1</v>
      </c>
      <c r="G228" s="518" t="s">
        <v>2342</v>
      </c>
      <c r="H228" s="509" t="s">
        <v>2345</v>
      </c>
      <c r="I228" s="492">
        <f>C13</f>
        <v>85</v>
      </c>
      <c r="J228" s="500" t="s">
        <v>2342</v>
      </c>
      <c r="K228" s="526">
        <f>(F228*I228)</f>
        <v>1198.5</v>
      </c>
    </row>
    <row r="229" spans="3:11" hidden="1">
      <c r="C229" s="2"/>
      <c r="D229" s="2"/>
      <c r="E229" s="2"/>
      <c r="G229" s="518" t="s">
        <v>2346</v>
      </c>
      <c r="H229" s="509" t="s">
        <v>2347</v>
      </c>
      <c r="I229" s="2"/>
      <c r="J229" s="500" t="s">
        <v>2346</v>
      </c>
      <c r="K229" s="526">
        <v>0</v>
      </c>
    </row>
    <row r="230" spans="3:11" hidden="1">
      <c r="C230" s="2"/>
      <c r="D230" s="2"/>
      <c r="E230" s="2"/>
      <c r="I230" s="2"/>
      <c r="J230" s="463"/>
      <c r="K230" s="526" t="s">
        <v>442</v>
      </c>
    </row>
    <row r="231" spans="3:11" hidden="1">
      <c r="C231" s="2"/>
      <c r="D231" s="2"/>
      <c r="E231" s="2"/>
      <c r="I231" s="2"/>
      <c r="J231" s="463"/>
      <c r="K231" s="526" t="e">
        <f>SUM(K224:K229)</f>
        <v>#REF!</v>
      </c>
    </row>
    <row r="232" spans="3:11" hidden="1">
      <c r="C232" s="2"/>
      <c r="D232" s="2"/>
      <c r="E232" s="2"/>
      <c r="H232" s="509" t="s">
        <v>2348</v>
      </c>
      <c r="I232" s="2"/>
      <c r="J232" s="463"/>
      <c r="K232" s="526" t="s">
        <v>442</v>
      </c>
    </row>
    <row r="233" spans="3:11" hidden="1">
      <c r="C233" s="2"/>
      <c r="D233" s="2"/>
      <c r="E233" s="2"/>
      <c r="I233" s="2"/>
      <c r="J233" s="463"/>
      <c r="K233" s="526" t="e">
        <f>(K231/10)</f>
        <v>#REF!</v>
      </c>
    </row>
    <row r="234" spans="3:11" hidden="1">
      <c r="C234" s="2"/>
      <c r="D234" s="2"/>
      <c r="E234" s="2"/>
      <c r="H234" s="509" t="s">
        <v>2349</v>
      </c>
      <c r="I234" s="2"/>
      <c r="J234" s="463"/>
      <c r="K234" s="526" t="s">
        <v>29</v>
      </c>
    </row>
    <row r="235" spans="3:11" hidden="1">
      <c r="C235" s="2"/>
      <c r="D235" s="2"/>
      <c r="E235" s="2"/>
      <c r="I235" s="2"/>
      <c r="J235" s="463"/>
      <c r="K235" s="552"/>
    </row>
    <row r="236" spans="3:11" hidden="1">
      <c r="C236" s="2"/>
      <c r="D236" s="2"/>
      <c r="E236" s="2"/>
      <c r="I236" s="2"/>
      <c r="J236" s="463"/>
      <c r="K236" s="552"/>
    </row>
    <row r="237" spans="3:11" hidden="1">
      <c r="C237" s="2"/>
      <c r="D237" s="2"/>
      <c r="E237" s="2"/>
      <c r="F237" s="529">
        <v>3.6</v>
      </c>
      <c r="H237" s="509" t="s">
        <v>2824</v>
      </c>
      <c r="I237" s="2"/>
      <c r="J237" s="463"/>
      <c r="K237" s="552"/>
    </row>
    <row r="238" spans="3:11" hidden="1">
      <c r="C238" s="2"/>
      <c r="D238" s="2"/>
      <c r="E238" s="2"/>
      <c r="H238" s="509" t="s">
        <v>2825</v>
      </c>
      <c r="I238" s="2"/>
      <c r="J238" s="463"/>
      <c r="K238" s="552"/>
    </row>
    <row r="239" spans="3:11" hidden="1">
      <c r="C239" s="2"/>
      <c r="D239" s="2"/>
      <c r="E239" s="2"/>
      <c r="H239" s="515" t="s">
        <v>29</v>
      </c>
      <c r="I239" s="2"/>
      <c r="J239" s="463"/>
      <c r="K239" s="552"/>
    </row>
    <row r="240" spans="3:11" hidden="1">
      <c r="C240" s="2"/>
      <c r="D240" s="2"/>
      <c r="E240" s="2"/>
      <c r="F240" s="519">
        <v>1.25</v>
      </c>
      <c r="G240" s="518" t="s">
        <v>2019</v>
      </c>
      <c r="H240" s="509" t="s">
        <v>2826</v>
      </c>
      <c r="I240" s="492">
        <f>C783</f>
        <v>3.05</v>
      </c>
      <c r="J240" s="500" t="s">
        <v>2019</v>
      </c>
      <c r="K240" s="526">
        <f>(F240*I240)</f>
        <v>3.8125</v>
      </c>
    </row>
    <row r="241" spans="3:11" hidden="1">
      <c r="C241" s="2"/>
      <c r="D241" s="2"/>
      <c r="E241" s="2"/>
      <c r="F241" s="519">
        <v>0.75</v>
      </c>
      <c r="G241" s="518" t="s">
        <v>2019</v>
      </c>
      <c r="H241" s="509" t="s">
        <v>2827</v>
      </c>
      <c r="I241" s="492" t="e">
        <f>AC37</f>
        <v>#REF!</v>
      </c>
      <c r="J241" s="500" t="s">
        <v>2019</v>
      </c>
      <c r="K241" s="526" t="e">
        <f>(F241*I241)</f>
        <v>#REF!</v>
      </c>
    </row>
    <row r="242" spans="3:11" hidden="1">
      <c r="C242" s="2"/>
      <c r="D242" s="2"/>
      <c r="E242" s="2"/>
      <c r="F242" s="519">
        <v>0.5</v>
      </c>
      <c r="G242" s="518" t="s">
        <v>2019</v>
      </c>
      <c r="H242" s="509" t="s">
        <v>2828</v>
      </c>
      <c r="I242" s="492" t="e">
        <f>AC36</f>
        <v>#REF!</v>
      </c>
      <c r="J242" s="500" t="s">
        <v>2019</v>
      </c>
      <c r="K242" s="526" t="e">
        <f>(F242*I242)</f>
        <v>#REF!</v>
      </c>
    </row>
    <row r="243" spans="3:11" hidden="1">
      <c r="C243" s="2"/>
      <c r="D243" s="2"/>
      <c r="E243" s="2"/>
      <c r="F243" s="519">
        <v>0.45</v>
      </c>
      <c r="G243" s="518" t="s">
        <v>2019</v>
      </c>
      <c r="H243" s="509" t="s">
        <v>2829</v>
      </c>
      <c r="I243" s="492">
        <f>AC38</f>
        <v>169</v>
      </c>
      <c r="J243" s="500" t="s">
        <v>2019</v>
      </c>
      <c r="K243" s="526">
        <f>(F243*I243)</f>
        <v>76.05</v>
      </c>
    </row>
    <row r="244" spans="3:11" hidden="1">
      <c r="C244" s="2"/>
      <c r="D244" s="2"/>
      <c r="E244" s="2"/>
      <c r="F244" s="519">
        <v>10</v>
      </c>
      <c r="G244" s="518" t="s">
        <v>2830</v>
      </c>
      <c r="H244" s="509" t="s">
        <v>2831</v>
      </c>
      <c r="I244" s="492">
        <v>17.82</v>
      </c>
      <c r="J244" s="500" t="s">
        <v>2830</v>
      </c>
      <c r="K244" s="526">
        <f>(F244*I244)</f>
        <v>178.2</v>
      </c>
    </row>
    <row r="245" spans="3:11" hidden="1">
      <c r="C245" s="2"/>
      <c r="D245" s="2"/>
      <c r="E245" s="2"/>
      <c r="H245" s="509" t="s">
        <v>2832</v>
      </c>
      <c r="I245" s="2"/>
      <c r="J245" s="463"/>
      <c r="K245" s="526" t="s">
        <v>442</v>
      </c>
    </row>
    <row r="246" spans="3:11" hidden="1">
      <c r="C246" s="2"/>
      <c r="D246" s="2"/>
      <c r="E246" s="2"/>
      <c r="H246" s="509" t="s">
        <v>2833</v>
      </c>
      <c r="I246" s="2"/>
      <c r="J246" s="463"/>
      <c r="K246" s="526" t="e">
        <f>SUM(K240:K244)</f>
        <v>#REF!</v>
      </c>
    </row>
    <row r="247" spans="3:11" hidden="1">
      <c r="C247" s="2"/>
      <c r="D247" s="2"/>
      <c r="E247" s="2"/>
      <c r="I247" s="2"/>
      <c r="J247" s="463"/>
      <c r="K247" s="526" t="s">
        <v>442</v>
      </c>
    </row>
    <row r="248" spans="3:11" hidden="1">
      <c r="C248" s="2"/>
      <c r="D248" s="2"/>
      <c r="E248" s="2"/>
      <c r="H248" s="509" t="s">
        <v>2834</v>
      </c>
      <c r="I248" s="2"/>
      <c r="J248" s="463"/>
      <c r="K248" s="526" t="e">
        <f>K246/10</f>
        <v>#REF!</v>
      </c>
    </row>
    <row r="249" spans="3:11" hidden="1">
      <c r="C249" s="2"/>
      <c r="D249" s="2"/>
      <c r="E249" s="2"/>
      <c r="I249" s="2"/>
      <c r="J249" s="463"/>
      <c r="K249" s="526" t="s">
        <v>29</v>
      </c>
    </row>
    <row r="250" spans="3:11" hidden="1">
      <c r="C250" s="2"/>
      <c r="D250" s="2"/>
      <c r="E250" s="2"/>
      <c r="I250" s="2"/>
      <c r="J250" s="463"/>
      <c r="K250" s="552"/>
    </row>
    <row r="251" spans="3:11" hidden="1">
      <c r="C251" s="2"/>
      <c r="D251" s="2"/>
      <c r="E251" s="2"/>
      <c r="F251" s="529">
        <v>3.7</v>
      </c>
      <c r="H251" s="509" t="s">
        <v>2835</v>
      </c>
      <c r="I251" s="2"/>
      <c r="J251" s="463"/>
      <c r="K251" s="552"/>
    </row>
    <row r="252" spans="3:11" hidden="1">
      <c r="C252" s="2"/>
      <c r="D252" s="2"/>
      <c r="E252" s="2"/>
      <c r="H252" s="515" t="s">
        <v>442</v>
      </c>
      <c r="I252" s="2"/>
      <c r="J252" s="463"/>
      <c r="K252" s="552"/>
    </row>
    <row r="253" spans="3:11" hidden="1">
      <c r="C253" s="2"/>
      <c r="D253" s="2"/>
      <c r="E253" s="2"/>
      <c r="F253" s="519">
        <v>2.7</v>
      </c>
      <c r="G253" s="518" t="s">
        <v>2019</v>
      </c>
      <c r="H253" s="509" t="s">
        <v>2836</v>
      </c>
      <c r="I253" s="492" t="e">
        <f>AC35</f>
        <v>#REF!</v>
      </c>
      <c r="J253" s="500" t="s">
        <v>2019</v>
      </c>
      <c r="K253" s="526" t="e">
        <f>(F253*I253)</f>
        <v>#REF!</v>
      </c>
    </row>
    <row r="254" spans="3:11" hidden="1">
      <c r="C254" s="2"/>
      <c r="D254" s="2"/>
      <c r="E254" s="2"/>
      <c r="F254" s="542">
        <v>0.14499999999999999</v>
      </c>
      <c r="G254" s="518" t="s">
        <v>2019</v>
      </c>
      <c r="H254" s="509" t="s">
        <v>52</v>
      </c>
      <c r="I254" s="492" t="e">
        <f>AC17</f>
        <v>#REF!</v>
      </c>
      <c r="J254" s="500" t="s">
        <v>2019</v>
      </c>
      <c r="K254" s="526" t="e">
        <f>(F254*I254)</f>
        <v>#REF!</v>
      </c>
    </row>
    <row r="255" spans="3:11" hidden="1">
      <c r="C255" s="2"/>
      <c r="D255" s="2"/>
      <c r="E255" s="2"/>
      <c r="F255" s="519">
        <v>218.8</v>
      </c>
      <c r="G255" s="518" t="s">
        <v>2837</v>
      </c>
      <c r="H255" s="509" t="s">
        <v>2838</v>
      </c>
      <c r="I255" s="492">
        <v>12224.58</v>
      </c>
      <c r="J255" s="500" t="s">
        <v>2837</v>
      </c>
      <c r="K255" s="526">
        <f>(F255*I255)/1000</f>
        <v>2674.7381040000005</v>
      </c>
    </row>
    <row r="256" spans="3:11" hidden="1">
      <c r="C256" s="2"/>
      <c r="D256" s="2"/>
      <c r="E256" s="2"/>
      <c r="F256" s="519">
        <v>100</v>
      </c>
      <c r="G256" s="518" t="s">
        <v>2830</v>
      </c>
      <c r="H256" s="509" t="s">
        <v>2389</v>
      </c>
      <c r="I256" s="492">
        <v>14.3</v>
      </c>
      <c r="J256" s="500" t="s">
        <v>2830</v>
      </c>
      <c r="K256" s="526">
        <f>(F256*I256)</f>
        <v>1430</v>
      </c>
    </row>
    <row r="257" spans="1:33" hidden="1">
      <c r="C257" s="2"/>
      <c r="D257" s="2"/>
      <c r="E257" s="2"/>
      <c r="I257" s="2"/>
      <c r="J257" s="463"/>
      <c r="K257" s="526" t="s">
        <v>442</v>
      </c>
    </row>
    <row r="258" spans="1:33" hidden="1">
      <c r="C258" s="2"/>
      <c r="D258" s="2"/>
      <c r="E258" s="2"/>
      <c r="H258" s="509" t="s">
        <v>2839</v>
      </c>
      <c r="I258" s="2"/>
      <c r="J258" s="463"/>
      <c r="K258" s="526" t="e">
        <f>SUM(K253:K256)</f>
        <v>#REF!</v>
      </c>
    </row>
    <row r="259" spans="1:33" hidden="1">
      <c r="C259" s="2"/>
      <c r="D259" s="2"/>
      <c r="E259" s="2"/>
      <c r="I259" s="2"/>
      <c r="J259" s="463"/>
      <c r="K259" s="526" t="s">
        <v>442</v>
      </c>
    </row>
    <row r="260" spans="1:33" hidden="1">
      <c r="C260" s="2"/>
      <c r="D260" s="2"/>
      <c r="E260" s="2"/>
      <c r="H260" s="509" t="s">
        <v>2834</v>
      </c>
      <c r="I260" s="2"/>
      <c r="J260" s="463"/>
      <c r="K260" s="526" t="e">
        <f>K258/100</f>
        <v>#REF!</v>
      </c>
    </row>
    <row r="261" spans="1:33" hidden="1">
      <c r="C261" s="2"/>
      <c r="D261" s="2"/>
      <c r="E261" s="2"/>
      <c r="F261" s="509" t="s">
        <v>30</v>
      </c>
      <c r="G261" s="518" t="s">
        <v>30</v>
      </c>
      <c r="I261" s="2"/>
      <c r="J261" s="463"/>
      <c r="K261" s="526" t="s">
        <v>29</v>
      </c>
    </row>
    <row r="262" spans="1:33" hidden="1">
      <c r="C262" s="2"/>
      <c r="D262" s="2"/>
      <c r="E262" s="2"/>
      <c r="I262" s="2"/>
      <c r="J262" s="463"/>
      <c r="K262" s="552"/>
    </row>
    <row r="263" spans="1:33" hidden="1">
      <c r="C263" s="2"/>
      <c r="D263" s="2"/>
      <c r="E263" s="2"/>
      <c r="I263" s="2"/>
      <c r="J263" s="463"/>
      <c r="K263" s="552"/>
    </row>
    <row r="264" spans="1:33" hidden="1">
      <c r="A264" s="521">
        <f>(A205+1)</f>
        <v>105</v>
      </c>
      <c r="B264" s="509" t="s">
        <v>2840</v>
      </c>
      <c r="C264" s="492">
        <v>50.5</v>
      </c>
      <c r="D264" s="490" t="s">
        <v>2359</v>
      </c>
      <c r="E264" s="2"/>
      <c r="F264" s="510" t="s">
        <v>2841</v>
      </c>
      <c r="H264" s="509" t="s">
        <v>2842</v>
      </c>
      <c r="I264" s="2"/>
      <c r="J264" s="463"/>
      <c r="K264" s="552"/>
      <c r="N264" s="509" t="s">
        <v>2843</v>
      </c>
      <c r="O264" s="509" t="s">
        <v>2844</v>
      </c>
      <c r="AG264" s="509" t="s">
        <v>2514</v>
      </c>
    </row>
    <row r="265" spans="1:33" hidden="1">
      <c r="A265" s="521">
        <f t="shared" ref="A265:A279" si="13">(A264+1)</f>
        <v>106</v>
      </c>
      <c r="B265" s="509" t="s">
        <v>2845</v>
      </c>
      <c r="C265" s="492">
        <v>115</v>
      </c>
      <c r="D265" s="490" t="s">
        <v>2359</v>
      </c>
      <c r="E265" s="2"/>
      <c r="H265" s="515" t="s">
        <v>29</v>
      </c>
      <c r="I265" s="2"/>
      <c r="J265" s="463"/>
      <c r="K265" s="552"/>
      <c r="O265" s="515" t="s">
        <v>442</v>
      </c>
      <c r="AG265" s="509" t="s">
        <v>2514</v>
      </c>
    </row>
    <row r="266" spans="1:33" hidden="1">
      <c r="A266" s="521">
        <f t="shared" si="13"/>
        <v>107</v>
      </c>
      <c r="B266" s="509" t="s">
        <v>2846</v>
      </c>
      <c r="C266" s="492">
        <v>63</v>
      </c>
      <c r="D266" s="492">
        <v>90</v>
      </c>
      <c r="E266" s="2"/>
      <c r="G266" s="518" t="s">
        <v>575</v>
      </c>
      <c r="H266" s="509" t="s">
        <v>2847</v>
      </c>
      <c r="I266" s="2"/>
      <c r="J266" s="463"/>
      <c r="K266" s="552"/>
      <c r="M266" s="519">
        <v>1.1399999999999999</v>
      </c>
      <c r="N266" s="509" t="s">
        <v>2334</v>
      </c>
      <c r="O266" s="509" t="s">
        <v>2848</v>
      </c>
      <c r="P266" s="519" t="e">
        <f>(K419)</f>
        <v>#REF!</v>
      </c>
      <c r="Q266" s="509" t="s">
        <v>2342</v>
      </c>
      <c r="R266" s="519" t="e">
        <f>(M266*P266)</f>
        <v>#REF!</v>
      </c>
      <c r="AG266" s="509" t="s">
        <v>2514</v>
      </c>
    </row>
    <row r="267" spans="1:33" hidden="1">
      <c r="A267" s="521">
        <f t="shared" si="13"/>
        <v>108</v>
      </c>
      <c r="B267" s="509" t="s">
        <v>2849</v>
      </c>
      <c r="C267" s="492">
        <v>10705</v>
      </c>
      <c r="D267" s="490" t="s">
        <v>2334</v>
      </c>
      <c r="E267" s="2"/>
      <c r="H267" s="509" t="s">
        <v>2850</v>
      </c>
      <c r="I267" s="2"/>
      <c r="J267" s="463"/>
      <c r="K267" s="552"/>
      <c r="M267" s="519">
        <v>1</v>
      </c>
      <c r="N267" s="509" t="s">
        <v>2359</v>
      </c>
      <c r="O267" s="509" t="s">
        <v>2353</v>
      </c>
      <c r="P267" s="519">
        <f>(C10)</f>
        <v>150</v>
      </c>
      <c r="Q267" s="509" t="s">
        <v>2342</v>
      </c>
      <c r="R267" s="519">
        <f>(M267*P267)</f>
        <v>150</v>
      </c>
      <c r="AG267" s="509" t="s">
        <v>2514</v>
      </c>
    </row>
    <row r="268" spans="1:33" hidden="1">
      <c r="A268" s="521">
        <f t="shared" si="13"/>
        <v>109</v>
      </c>
      <c r="B268" s="509" t="s">
        <v>2851</v>
      </c>
      <c r="C268" s="492">
        <v>9395</v>
      </c>
      <c r="D268" s="490" t="s">
        <v>2334</v>
      </c>
      <c r="E268" s="2"/>
      <c r="H268" s="515" t="s">
        <v>442</v>
      </c>
      <c r="I268" s="2"/>
      <c r="J268" s="463"/>
      <c r="K268" s="552"/>
      <c r="N268" s="509" t="s">
        <v>2346</v>
      </c>
      <c r="O268" s="509" t="s">
        <v>2347</v>
      </c>
      <c r="P268" s="509" t="s">
        <v>30</v>
      </c>
      <c r="Q268" s="509" t="s">
        <v>2346</v>
      </c>
      <c r="R268" s="519">
        <v>0.05</v>
      </c>
      <c r="AG268" s="509" t="s">
        <v>2514</v>
      </c>
    </row>
    <row r="269" spans="1:33" hidden="1">
      <c r="A269" s="521">
        <f t="shared" si="13"/>
        <v>110</v>
      </c>
      <c r="B269" s="509" t="s">
        <v>2852</v>
      </c>
      <c r="C269" s="492">
        <v>15</v>
      </c>
      <c r="D269" s="490" t="s">
        <v>2359</v>
      </c>
      <c r="E269" s="2"/>
      <c r="F269" s="519">
        <v>9</v>
      </c>
      <c r="G269" s="518" t="s">
        <v>2334</v>
      </c>
      <c r="H269" s="509" t="s">
        <v>2853</v>
      </c>
      <c r="I269" s="492" t="e">
        <f>(C73)</f>
        <v>#REF!</v>
      </c>
      <c r="J269" s="500" t="s">
        <v>2334</v>
      </c>
      <c r="K269" s="526" t="e">
        <f t="shared" ref="K269:K274" si="14">(F269*I269)</f>
        <v>#REF!</v>
      </c>
      <c r="R269" s="515" t="s">
        <v>442</v>
      </c>
      <c r="AG269" s="509" t="s">
        <v>2514</v>
      </c>
    </row>
    <row r="270" spans="1:33" hidden="1">
      <c r="A270" s="521">
        <f t="shared" si="13"/>
        <v>111</v>
      </c>
      <c r="B270" s="509" t="s">
        <v>2854</v>
      </c>
      <c r="C270" s="492">
        <v>35</v>
      </c>
      <c r="D270" s="490" t="s">
        <v>40</v>
      </c>
      <c r="E270" s="501">
        <v>120</v>
      </c>
      <c r="F270" s="528">
        <v>3.2309999999999999</v>
      </c>
      <c r="G270" s="518" t="s">
        <v>2516</v>
      </c>
      <c r="H270" s="509" t="s">
        <v>2517</v>
      </c>
      <c r="I270" s="492">
        <f>(C67)</f>
        <v>3800</v>
      </c>
      <c r="J270" s="500" t="s">
        <v>2516</v>
      </c>
      <c r="K270" s="526">
        <f t="shared" si="14"/>
        <v>12277.8</v>
      </c>
      <c r="O270" s="509" t="s">
        <v>2358</v>
      </c>
      <c r="R270" s="519" t="e">
        <f>SUM(R266:R268)</f>
        <v>#REF!</v>
      </c>
      <c r="AG270" s="509" t="s">
        <v>2514</v>
      </c>
    </row>
    <row r="271" spans="1:33" hidden="1">
      <c r="A271" s="521">
        <f t="shared" si="13"/>
        <v>112</v>
      </c>
      <c r="B271" s="509" t="s">
        <v>2855</v>
      </c>
      <c r="C271" s="492">
        <v>160</v>
      </c>
      <c r="D271" s="492">
        <v>452.09</v>
      </c>
      <c r="E271" s="2"/>
      <c r="F271" s="519">
        <v>4.5</v>
      </c>
      <c r="G271" s="518" t="s">
        <v>2334</v>
      </c>
      <c r="H271" s="509" t="s">
        <v>2525</v>
      </c>
      <c r="I271" s="492" t="e">
        <f>(C78)</f>
        <v>#REF!</v>
      </c>
      <c r="J271" s="500" t="s">
        <v>2334</v>
      </c>
      <c r="K271" s="526" t="e">
        <f t="shared" si="14"/>
        <v>#REF!</v>
      </c>
      <c r="R271" s="515" t="s">
        <v>442</v>
      </c>
      <c r="AG271" s="509" t="s">
        <v>2514</v>
      </c>
    </row>
    <row r="272" spans="1:33" hidden="1">
      <c r="A272" s="521">
        <f t="shared" si="13"/>
        <v>113</v>
      </c>
      <c r="B272" s="509" t="s">
        <v>2856</v>
      </c>
      <c r="C272" s="492">
        <v>13.5</v>
      </c>
      <c r="D272" s="490" t="s">
        <v>2205</v>
      </c>
      <c r="E272" s="2"/>
      <c r="F272" s="519">
        <v>3.5</v>
      </c>
      <c r="G272" s="518" t="s">
        <v>2342</v>
      </c>
      <c r="H272" s="509" t="s">
        <v>2343</v>
      </c>
      <c r="I272" s="492">
        <f>(C11)</f>
        <v>135</v>
      </c>
      <c r="J272" s="500" t="s">
        <v>2342</v>
      </c>
      <c r="K272" s="526">
        <f t="shared" si="14"/>
        <v>472.5</v>
      </c>
      <c r="O272" s="509" t="s">
        <v>2355</v>
      </c>
      <c r="R272" s="519" t="e">
        <f>(R270/10)</f>
        <v>#REF!</v>
      </c>
      <c r="AG272" s="509" t="s">
        <v>2514</v>
      </c>
    </row>
    <row r="273" spans="1:33" hidden="1">
      <c r="A273" s="521">
        <f t="shared" si="13"/>
        <v>114</v>
      </c>
      <c r="B273" s="509" t="s">
        <v>2857</v>
      </c>
      <c r="C273" s="492">
        <v>18.809999999999999</v>
      </c>
      <c r="D273" s="490" t="s">
        <v>2359</v>
      </c>
      <c r="E273" s="2"/>
      <c r="F273" s="519">
        <v>21.2</v>
      </c>
      <c r="G273" s="518" t="s">
        <v>2342</v>
      </c>
      <c r="H273" s="509" t="s">
        <v>2344</v>
      </c>
      <c r="I273" s="492">
        <f>(C12)</f>
        <v>95</v>
      </c>
      <c r="J273" s="500" t="s">
        <v>2342</v>
      </c>
      <c r="K273" s="526">
        <f t="shared" si="14"/>
        <v>2014</v>
      </c>
      <c r="R273" s="515" t="s">
        <v>29</v>
      </c>
      <c r="AG273" s="509" t="s">
        <v>2514</v>
      </c>
    </row>
    <row r="274" spans="1:33" hidden="1">
      <c r="A274" s="521">
        <f t="shared" si="13"/>
        <v>115</v>
      </c>
      <c r="B274" s="509" t="s">
        <v>2858</v>
      </c>
      <c r="C274" s="492">
        <v>14.15</v>
      </c>
      <c r="D274" s="490" t="s">
        <v>2359</v>
      </c>
      <c r="E274" s="2"/>
      <c r="F274" s="519">
        <v>35.299999999999997</v>
      </c>
      <c r="G274" s="518" t="s">
        <v>2342</v>
      </c>
      <c r="H274" s="509" t="s">
        <v>2345</v>
      </c>
      <c r="I274" s="492">
        <f>(C13)</f>
        <v>85</v>
      </c>
      <c r="J274" s="500" t="s">
        <v>2342</v>
      </c>
      <c r="K274" s="526">
        <f t="shared" si="14"/>
        <v>3000.4999999999995</v>
      </c>
      <c r="N274" s="509" t="s">
        <v>2859</v>
      </c>
      <c r="O274" s="509" t="s">
        <v>2354</v>
      </c>
      <c r="R274" s="519" t="e">
        <f>(R272+C19/10*M266)</f>
        <v>#REF!</v>
      </c>
      <c r="AG274" s="509" t="s">
        <v>2514</v>
      </c>
    </row>
    <row r="275" spans="1:33" hidden="1">
      <c r="A275" s="521">
        <f t="shared" si="13"/>
        <v>116</v>
      </c>
      <c r="B275" s="509" t="s">
        <v>2860</v>
      </c>
      <c r="C275" s="492">
        <v>16.440000000000001</v>
      </c>
      <c r="D275" s="490" t="s">
        <v>2359</v>
      </c>
      <c r="E275" s="2"/>
      <c r="G275" s="518" t="s">
        <v>2346</v>
      </c>
      <c r="H275" s="509" t="s">
        <v>2347</v>
      </c>
      <c r="I275" s="490" t="s">
        <v>30</v>
      </c>
      <c r="J275" s="500" t="s">
        <v>2346</v>
      </c>
      <c r="K275" s="526">
        <v>0</v>
      </c>
      <c r="N275" s="509" t="s">
        <v>2861</v>
      </c>
      <c r="O275" s="509" t="s">
        <v>2362</v>
      </c>
      <c r="R275" s="519" t="e">
        <f>(R274+C20/10*M266)</f>
        <v>#REF!</v>
      </c>
      <c r="AG275" s="509" t="s">
        <v>2514</v>
      </c>
    </row>
    <row r="276" spans="1:33" hidden="1">
      <c r="A276" s="521">
        <f t="shared" si="13"/>
        <v>117</v>
      </c>
      <c r="B276" s="509" t="s">
        <v>2862</v>
      </c>
      <c r="C276" s="492">
        <v>8</v>
      </c>
      <c r="D276" s="492">
        <v>6.25</v>
      </c>
      <c r="E276" s="2"/>
      <c r="I276" s="2"/>
      <c r="J276" s="463"/>
      <c r="K276" s="526" t="s">
        <v>442</v>
      </c>
      <c r="N276" s="509" t="s">
        <v>2863</v>
      </c>
      <c r="O276" s="509" t="s">
        <v>2480</v>
      </c>
      <c r="R276" s="519" t="e">
        <f>(R275+C21/10*M266)</f>
        <v>#REF!</v>
      </c>
      <c r="AG276" s="509" t="s">
        <v>2514</v>
      </c>
    </row>
    <row r="277" spans="1:33" hidden="1">
      <c r="A277" s="521">
        <f t="shared" si="13"/>
        <v>118</v>
      </c>
      <c r="B277" s="509" t="s">
        <v>2864</v>
      </c>
      <c r="C277" s="492">
        <v>170.39</v>
      </c>
      <c r="D277" s="490" t="s">
        <v>2788</v>
      </c>
      <c r="E277" s="2"/>
      <c r="H277" s="509" t="s">
        <v>2865</v>
      </c>
      <c r="I277" s="2"/>
      <c r="J277" s="463"/>
      <c r="K277" s="526" t="e">
        <f>SUM(K269:K275)</f>
        <v>#REF!</v>
      </c>
      <c r="N277" s="509" t="s">
        <v>2866</v>
      </c>
      <c r="O277" s="509" t="s">
        <v>2481</v>
      </c>
      <c r="R277" s="519" t="e">
        <f>(R276+C21/10*M266)</f>
        <v>#REF!</v>
      </c>
      <c r="AG277" s="509" t="s">
        <v>2514</v>
      </c>
    </row>
    <row r="278" spans="1:33" hidden="1">
      <c r="A278" s="521">
        <f t="shared" si="13"/>
        <v>119</v>
      </c>
      <c r="B278" s="509" t="s">
        <v>2867</v>
      </c>
      <c r="C278" s="492">
        <v>45</v>
      </c>
      <c r="D278" s="490" t="s">
        <v>2359</v>
      </c>
      <c r="E278" s="2"/>
      <c r="I278" s="2"/>
      <c r="J278" s="463"/>
      <c r="K278" s="526" t="s">
        <v>442</v>
      </c>
      <c r="AG278" s="509" t="s">
        <v>2514</v>
      </c>
    </row>
    <row r="279" spans="1:33" hidden="1">
      <c r="A279" s="521">
        <f t="shared" si="13"/>
        <v>120</v>
      </c>
      <c r="B279" s="509" t="s">
        <v>2868</v>
      </c>
      <c r="C279" s="492">
        <v>31.24</v>
      </c>
      <c r="D279" s="490" t="s">
        <v>2359</v>
      </c>
      <c r="E279" s="2"/>
      <c r="H279" s="509" t="s">
        <v>2349</v>
      </c>
      <c r="I279" s="2"/>
      <c r="J279" s="463"/>
      <c r="K279" s="526" t="e">
        <f>(K277/10)</f>
        <v>#REF!</v>
      </c>
      <c r="N279" s="509" t="s">
        <v>2843</v>
      </c>
      <c r="O279" s="509" t="s">
        <v>2869</v>
      </c>
      <c r="R279" s="509" t="s">
        <v>30</v>
      </c>
      <c r="AG279" s="509" t="s">
        <v>2514</v>
      </c>
    </row>
    <row r="280" spans="1:33" hidden="1">
      <c r="C280" s="2"/>
      <c r="D280" s="2"/>
      <c r="E280" s="2"/>
      <c r="F280" s="509" t="s">
        <v>30</v>
      </c>
      <c r="I280" s="2"/>
      <c r="J280" s="463"/>
      <c r="K280" s="552"/>
    </row>
    <row r="281" spans="1:33" hidden="1">
      <c r="A281" s="521">
        <f>(A279+1)</f>
        <v>121</v>
      </c>
      <c r="B281" s="509" t="s">
        <v>2870</v>
      </c>
      <c r="C281" s="492">
        <v>25</v>
      </c>
      <c r="D281" s="490" t="s">
        <v>2359</v>
      </c>
      <c r="E281" s="2"/>
      <c r="I281" s="2"/>
      <c r="J281" s="463"/>
      <c r="K281" s="552"/>
      <c r="O281" s="509" t="s">
        <v>2871</v>
      </c>
      <c r="AG281" s="509" t="s">
        <v>2514</v>
      </c>
    </row>
    <row r="282" spans="1:33" hidden="1">
      <c r="A282" s="521">
        <f t="shared" ref="A282:A326" si="15">(A281+1)</f>
        <v>122</v>
      </c>
      <c r="B282" s="509" t="s">
        <v>2872</v>
      </c>
      <c r="C282" s="492">
        <v>13</v>
      </c>
      <c r="D282" s="490" t="s">
        <v>2359</v>
      </c>
      <c r="E282" s="2"/>
      <c r="F282" s="519">
        <v>1</v>
      </c>
      <c r="G282" s="518" t="s">
        <v>2334</v>
      </c>
      <c r="H282" s="509" t="s">
        <v>2873</v>
      </c>
      <c r="I282" s="2"/>
      <c r="J282" s="463"/>
      <c r="K282" s="526">
        <f>(C25)</f>
        <v>20.7</v>
      </c>
      <c r="O282" s="515" t="s">
        <v>442</v>
      </c>
      <c r="AG282" s="509" t="s">
        <v>2514</v>
      </c>
    </row>
    <row r="283" spans="1:33" hidden="1">
      <c r="A283" s="521">
        <f t="shared" si="15"/>
        <v>123</v>
      </c>
      <c r="B283" s="509" t="s">
        <v>2874</v>
      </c>
      <c r="C283" s="492">
        <v>30</v>
      </c>
      <c r="D283" s="490" t="s">
        <v>2359</v>
      </c>
      <c r="E283" s="2"/>
      <c r="I283" s="2"/>
      <c r="J283" s="463"/>
      <c r="K283" s="526" t="s">
        <v>442</v>
      </c>
      <c r="M283" s="519">
        <v>10</v>
      </c>
      <c r="N283" s="509" t="s">
        <v>2788</v>
      </c>
      <c r="O283" s="509" t="s">
        <v>2875</v>
      </c>
      <c r="P283" s="519" t="e">
        <f>(K1191)</f>
        <v>#REF!</v>
      </c>
      <c r="Q283" s="509" t="s">
        <v>2788</v>
      </c>
      <c r="R283" s="519" t="e">
        <f>(M283*P283)</f>
        <v>#REF!</v>
      </c>
      <c r="AG283" s="509" t="s">
        <v>2514</v>
      </c>
    </row>
    <row r="284" spans="1:33" hidden="1">
      <c r="A284" s="521">
        <f t="shared" si="15"/>
        <v>124</v>
      </c>
      <c r="B284" s="509" t="s">
        <v>2876</v>
      </c>
      <c r="C284" s="492">
        <v>20</v>
      </c>
      <c r="D284" s="490" t="s">
        <v>2359</v>
      </c>
      <c r="E284" s="501">
        <v>25</v>
      </c>
      <c r="H284" s="509" t="s">
        <v>2877</v>
      </c>
      <c r="I284" s="2"/>
      <c r="J284" s="463"/>
      <c r="K284" s="526" t="e">
        <f>SUM(K279:K282)</f>
        <v>#REF!</v>
      </c>
      <c r="M284" s="519">
        <v>1.1000000000000001</v>
      </c>
      <c r="N284" s="509" t="s">
        <v>2342</v>
      </c>
      <c r="O284" s="509" t="s">
        <v>2343</v>
      </c>
      <c r="P284" s="519">
        <f>(C11)</f>
        <v>135</v>
      </c>
      <c r="Q284" s="509" t="s">
        <v>2342</v>
      </c>
      <c r="R284" s="519">
        <f>(M284*P284)</f>
        <v>148.5</v>
      </c>
      <c r="AG284" s="509" t="s">
        <v>2514</v>
      </c>
    </row>
    <row r="285" spans="1:33" hidden="1">
      <c r="A285" s="521">
        <f t="shared" si="15"/>
        <v>125</v>
      </c>
      <c r="B285" s="509" t="s">
        <v>2878</v>
      </c>
      <c r="C285" s="492">
        <v>95</v>
      </c>
      <c r="D285" s="490" t="s">
        <v>2359</v>
      </c>
      <c r="E285" s="2"/>
      <c r="I285" s="2"/>
      <c r="J285" s="463"/>
      <c r="K285" s="526" t="s">
        <v>442</v>
      </c>
      <c r="M285" s="519">
        <v>1.1000000000000001</v>
      </c>
      <c r="N285" s="509" t="s">
        <v>2342</v>
      </c>
      <c r="O285" s="509" t="s">
        <v>2344</v>
      </c>
      <c r="P285" s="519">
        <f>(C12)</f>
        <v>95</v>
      </c>
      <c r="Q285" s="509" t="s">
        <v>2342</v>
      </c>
      <c r="R285" s="519">
        <f>(M285*P285)</f>
        <v>104.50000000000001</v>
      </c>
      <c r="AG285" s="509" t="s">
        <v>2514</v>
      </c>
    </row>
    <row r="286" spans="1:33" hidden="1">
      <c r="A286" s="521">
        <f t="shared" si="15"/>
        <v>126</v>
      </c>
      <c r="B286" s="509" t="s">
        <v>2879</v>
      </c>
      <c r="C286" s="492">
        <v>80</v>
      </c>
      <c r="D286" s="490" t="s">
        <v>2359</v>
      </c>
      <c r="E286" s="2"/>
      <c r="H286" s="509" t="s">
        <v>2354</v>
      </c>
      <c r="I286" s="2"/>
      <c r="J286" s="463"/>
      <c r="K286" s="526" t="e">
        <f>(K284+C22)</f>
        <v>#REF!</v>
      </c>
      <c r="M286" s="519">
        <v>1.1000000000000001</v>
      </c>
      <c r="N286" s="509" t="s">
        <v>2342</v>
      </c>
      <c r="O286" s="509" t="s">
        <v>2345</v>
      </c>
      <c r="P286" s="519">
        <f>(C13)</f>
        <v>85</v>
      </c>
      <c r="Q286" s="509" t="s">
        <v>2342</v>
      </c>
      <c r="R286" s="519">
        <f>(M286*P286)</f>
        <v>93.500000000000014</v>
      </c>
      <c r="AG286" s="509" t="s">
        <v>2514</v>
      </c>
    </row>
    <row r="287" spans="1:33" hidden="1">
      <c r="A287" s="521">
        <f t="shared" si="15"/>
        <v>127</v>
      </c>
      <c r="B287" s="509" t="s">
        <v>2880</v>
      </c>
      <c r="C287" s="492">
        <v>8</v>
      </c>
      <c r="D287" s="490" t="s">
        <v>2359</v>
      </c>
      <c r="E287" s="2"/>
      <c r="H287" s="509" t="s">
        <v>2362</v>
      </c>
      <c r="I287" s="2"/>
      <c r="J287" s="463"/>
      <c r="K287" s="526" t="e">
        <f>(K286+C23)</f>
        <v>#REF!</v>
      </c>
      <c r="R287" s="515" t="s">
        <v>442</v>
      </c>
      <c r="AG287" s="509" t="s">
        <v>2514</v>
      </c>
    </row>
    <row r="288" spans="1:33" hidden="1">
      <c r="A288" s="521">
        <f t="shared" si="15"/>
        <v>128</v>
      </c>
      <c r="B288" s="509" t="s">
        <v>2881</v>
      </c>
      <c r="C288" s="492">
        <v>8</v>
      </c>
      <c r="D288" s="490" t="s">
        <v>2359</v>
      </c>
      <c r="E288" s="2"/>
      <c r="H288" s="509" t="s">
        <v>2480</v>
      </c>
      <c r="I288" s="2"/>
      <c r="J288" s="463"/>
      <c r="K288" s="526" t="e">
        <f>(K287+C24)</f>
        <v>#REF!</v>
      </c>
      <c r="O288" s="509" t="s">
        <v>2358</v>
      </c>
      <c r="R288" s="519" t="e">
        <f>SUM(R283:R286)</f>
        <v>#REF!</v>
      </c>
      <c r="AG288" s="509" t="s">
        <v>2514</v>
      </c>
    </row>
    <row r="289" spans="1:33" hidden="1">
      <c r="A289" s="521">
        <f t="shared" si="15"/>
        <v>129</v>
      </c>
      <c r="B289" s="509" t="s">
        <v>2882</v>
      </c>
      <c r="C289" s="492">
        <v>2.9</v>
      </c>
      <c r="D289" s="490" t="s">
        <v>2883</v>
      </c>
      <c r="E289" s="2"/>
      <c r="H289" s="509" t="s">
        <v>2481</v>
      </c>
      <c r="I289" s="2"/>
      <c r="J289" s="463"/>
      <c r="K289" s="526" t="e">
        <f>(K288+C24)</f>
        <v>#REF!</v>
      </c>
      <c r="R289" s="515" t="s">
        <v>442</v>
      </c>
      <c r="AG289" s="509" t="s">
        <v>2514</v>
      </c>
    </row>
    <row r="290" spans="1:33" hidden="1">
      <c r="A290" s="521">
        <f t="shared" si="15"/>
        <v>130</v>
      </c>
      <c r="B290" s="509" t="s">
        <v>2884</v>
      </c>
      <c r="C290" s="492">
        <v>20.6</v>
      </c>
      <c r="D290" s="490" t="s">
        <v>2883</v>
      </c>
      <c r="E290" s="2"/>
      <c r="H290" s="509" t="s">
        <v>2885</v>
      </c>
      <c r="I290" s="2"/>
      <c r="J290" s="463"/>
      <c r="K290" s="526" t="e">
        <f>(K289+C24)</f>
        <v>#REF!</v>
      </c>
      <c r="O290" s="509" t="s">
        <v>2355</v>
      </c>
      <c r="R290" s="519" t="e">
        <f>(R288/10)</f>
        <v>#REF!</v>
      </c>
      <c r="AG290" s="509" t="s">
        <v>2514</v>
      </c>
    </row>
    <row r="291" spans="1:33" hidden="1">
      <c r="A291" s="521">
        <f t="shared" si="15"/>
        <v>131</v>
      </c>
      <c r="B291" s="509" t="s">
        <v>2886</v>
      </c>
      <c r="C291" s="492">
        <v>15.6</v>
      </c>
      <c r="D291" s="490" t="s">
        <v>2359</v>
      </c>
      <c r="E291" s="2"/>
      <c r="I291" s="2"/>
      <c r="J291" s="463"/>
      <c r="K291" s="552"/>
      <c r="R291" s="515" t="s">
        <v>29</v>
      </c>
      <c r="AG291" s="509" t="s">
        <v>2514</v>
      </c>
    </row>
    <row r="292" spans="1:33" hidden="1">
      <c r="A292" s="521">
        <f t="shared" si="15"/>
        <v>132</v>
      </c>
      <c r="B292" s="509" t="s">
        <v>2887</v>
      </c>
      <c r="C292" s="492">
        <v>12.6</v>
      </c>
      <c r="D292" s="490" t="s">
        <v>2359</v>
      </c>
      <c r="E292" s="2"/>
      <c r="F292" s="510" t="s">
        <v>2541</v>
      </c>
      <c r="G292" s="518" t="s">
        <v>575</v>
      </c>
      <c r="H292" s="509" t="s">
        <v>2888</v>
      </c>
      <c r="I292" s="2"/>
      <c r="J292" s="463"/>
      <c r="K292" s="552"/>
      <c r="AG292" s="509" t="s">
        <v>2514</v>
      </c>
    </row>
    <row r="293" spans="1:33" hidden="1">
      <c r="A293" s="521">
        <f t="shared" si="15"/>
        <v>133</v>
      </c>
      <c r="B293" s="509" t="s">
        <v>2889</v>
      </c>
      <c r="C293" s="492">
        <v>5.75</v>
      </c>
      <c r="D293" s="490" t="s">
        <v>2359</v>
      </c>
      <c r="E293" s="2"/>
      <c r="H293" s="515" t="s">
        <v>29</v>
      </c>
      <c r="I293" s="2"/>
      <c r="J293" s="463"/>
      <c r="K293" s="552"/>
      <c r="N293" s="509" t="s">
        <v>575</v>
      </c>
      <c r="O293" s="509" t="s">
        <v>2890</v>
      </c>
      <c r="AG293" s="509" t="s">
        <v>2514</v>
      </c>
    </row>
    <row r="294" spans="1:33" hidden="1">
      <c r="A294" s="521">
        <f t="shared" si="15"/>
        <v>134</v>
      </c>
      <c r="B294" s="509" t="s">
        <v>2891</v>
      </c>
      <c r="C294" s="492">
        <v>8.5</v>
      </c>
      <c r="D294" s="490" t="s">
        <v>2359</v>
      </c>
      <c r="E294" s="2"/>
      <c r="F294" s="519">
        <v>10</v>
      </c>
      <c r="G294" s="518" t="s">
        <v>2334</v>
      </c>
      <c r="H294" s="509" t="s">
        <v>2520</v>
      </c>
      <c r="I294" s="492" t="e">
        <f>(C68)</f>
        <v>#REF!</v>
      </c>
      <c r="J294" s="500" t="s">
        <v>2334</v>
      </c>
      <c r="K294" s="526" t="e">
        <f t="shared" ref="K294:K300" si="16">(F294*I294)</f>
        <v>#REF!</v>
      </c>
      <c r="O294" s="515" t="s">
        <v>442</v>
      </c>
      <c r="AG294" s="509" t="s">
        <v>2514</v>
      </c>
    </row>
    <row r="295" spans="1:33" hidden="1">
      <c r="A295" s="521">
        <f t="shared" si="15"/>
        <v>135</v>
      </c>
      <c r="B295" s="509" t="s">
        <v>2892</v>
      </c>
      <c r="C295" s="492">
        <v>10</v>
      </c>
      <c r="D295" s="490" t="s">
        <v>2359</v>
      </c>
      <c r="E295" s="2"/>
      <c r="F295" s="519">
        <v>1</v>
      </c>
      <c r="G295" s="518" t="s">
        <v>2334</v>
      </c>
      <c r="H295" s="509" t="s">
        <v>2527</v>
      </c>
      <c r="I295" s="492" t="e">
        <f>(C69)</f>
        <v>#REF!</v>
      </c>
      <c r="J295" s="500" t="s">
        <v>2334</v>
      </c>
      <c r="K295" s="526" t="e">
        <f t="shared" si="16"/>
        <v>#REF!</v>
      </c>
      <c r="M295" s="519">
        <v>0.14000000000000001</v>
      </c>
      <c r="N295" s="509" t="s">
        <v>2334</v>
      </c>
      <c r="O295" s="509" t="s">
        <v>2607</v>
      </c>
      <c r="P295" s="519" t="e">
        <f>(K32)</f>
        <v>#REF!</v>
      </c>
      <c r="Q295" s="509" t="s">
        <v>2334</v>
      </c>
      <c r="R295" s="519" t="e">
        <f>(M295*P295)</f>
        <v>#REF!</v>
      </c>
      <c r="AG295" s="509" t="s">
        <v>2514</v>
      </c>
    </row>
    <row r="296" spans="1:33" hidden="1">
      <c r="A296" s="521">
        <f t="shared" si="15"/>
        <v>136</v>
      </c>
      <c r="B296" s="509" t="s">
        <v>2893</v>
      </c>
      <c r="C296" s="492">
        <v>3.25</v>
      </c>
      <c r="D296" s="490" t="s">
        <v>2359</v>
      </c>
      <c r="E296" s="2"/>
      <c r="F296" s="519">
        <v>3.4</v>
      </c>
      <c r="G296" s="518" t="s">
        <v>2334</v>
      </c>
      <c r="H296" s="509" t="s">
        <v>2341</v>
      </c>
      <c r="I296" s="492" t="e">
        <f>(K49)</f>
        <v>#REF!</v>
      </c>
      <c r="J296" s="500" t="s">
        <v>2334</v>
      </c>
      <c r="K296" s="526" t="e">
        <f t="shared" si="16"/>
        <v>#REF!</v>
      </c>
      <c r="M296" s="519">
        <v>1.1000000000000001</v>
      </c>
      <c r="N296" s="509" t="s">
        <v>2342</v>
      </c>
      <c r="O296" s="509" t="s">
        <v>2353</v>
      </c>
      <c r="P296" s="519">
        <f>(C10)</f>
        <v>150</v>
      </c>
      <c r="Q296" s="509" t="s">
        <v>2342</v>
      </c>
      <c r="R296" s="519">
        <f>(M296*P296)</f>
        <v>165</v>
      </c>
      <c r="AG296" s="509" t="s">
        <v>2514</v>
      </c>
    </row>
    <row r="297" spans="1:33" hidden="1">
      <c r="A297" s="521">
        <f t="shared" si="15"/>
        <v>137</v>
      </c>
      <c r="B297" s="509" t="s">
        <v>2894</v>
      </c>
      <c r="C297" s="492">
        <v>2.2000000000000002</v>
      </c>
      <c r="D297" s="490" t="s">
        <v>2359</v>
      </c>
      <c r="E297" s="2"/>
      <c r="F297" s="519">
        <v>7.1</v>
      </c>
      <c r="G297" s="518" t="s">
        <v>2342</v>
      </c>
      <c r="H297" s="509" t="s">
        <v>2353</v>
      </c>
      <c r="I297" s="492">
        <f>(C10)</f>
        <v>150</v>
      </c>
      <c r="J297" s="500" t="s">
        <v>2342</v>
      </c>
      <c r="K297" s="526">
        <f t="shared" si="16"/>
        <v>1065</v>
      </c>
      <c r="M297" s="519">
        <v>0.5</v>
      </c>
      <c r="N297" s="509" t="s">
        <v>2342</v>
      </c>
      <c r="O297" s="509" t="s">
        <v>2344</v>
      </c>
      <c r="P297" s="519">
        <f>(C12)</f>
        <v>95</v>
      </c>
      <c r="Q297" s="509" t="s">
        <v>2342</v>
      </c>
      <c r="R297" s="519">
        <f>(M297*P297)</f>
        <v>47.5</v>
      </c>
      <c r="AG297" s="509" t="s">
        <v>2514</v>
      </c>
    </row>
    <row r="298" spans="1:33" hidden="1">
      <c r="A298" s="521">
        <f t="shared" si="15"/>
        <v>138</v>
      </c>
      <c r="B298" s="509" t="s">
        <v>2895</v>
      </c>
      <c r="C298" s="492">
        <v>10.5</v>
      </c>
      <c r="D298" s="490" t="s">
        <v>2359</v>
      </c>
      <c r="E298" s="2"/>
      <c r="F298" s="519">
        <v>10.6</v>
      </c>
      <c r="G298" s="518" t="s">
        <v>2342</v>
      </c>
      <c r="H298" s="509" t="s">
        <v>2343</v>
      </c>
      <c r="I298" s="492">
        <f>(C11)</f>
        <v>135</v>
      </c>
      <c r="J298" s="500" t="s">
        <v>2342</v>
      </c>
      <c r="K298" s="526">
        <f t="shared" si="16"/>
        <v>1431</v>
      </c>
      <c r="M298" s="519">
        <v>1.1000000000000001</v>
      </c>
      <c r="N298" s="509" t="s">
        <v>2342</v>
      </c>
      <c r="O298" s="509" t="s">
        <v>2345</v>
      </c>
      <c r="P298" s="519">
        <f>(C13)</f>
        <v>85</v>
      </c>
      <c r="Q298" s="509" t="s">
        <v>2342</v>
      </c>
      <c r="R298" s="519">
        <f>(M298*P298)</f>
        <v>93.500000000000014</v>
      </c>
      <c r="AG298" s="509" t="s">
        <v>2514</v>
      </c>
    </row>
    <row r="299" spans="1:33" hidden="1">
      <c r="A299" s="521">
        <f t="shared" si="15"/>
        <v>139</v>
      </c>
      <c r="B299" s="509" t="s">
        <v>2896</v>
      </c>
      <c r="C299" s="492">
        <v>5.5</v>
      </c>
      <c r="D299" s="490" t="s">
        <v>2359</v>
      </c>
      <c r="E299" s="2"/>
      <c r="F299" s="519">
        <v>14.1</v>
      </c>
      <c r="G299" s="518" t="s">
        <v>2342</v>
      </c>
      <c r="H299" s="509" t="s">
        <v>2344</v>
      </c>
      <c r="I299" s="492">
        <f>(C12)</f>
        <v>95</v>
      </c>
      <c r="J299" s="500" t="s">
        <v>2342</v>
      </c>
      <c r="K299" s="526">
        <f t="shared" si="16"/>
        <v>1339.5</v>
      </c>
      <c r="N299" s="509" t="s">
        <v>2346</v>
      </c>
      <c r="O299" s="509" t="s">
        <v>2347</v>
      </c>
      <c r="P299" s="509" t="s">
        <v>30</v>
      </c>
      <c r="Q299" s="509" t="s">
        <v>2346</v>
      </c>
      <c r="R299" s="519">
        <v>0</v>
      </c>
      <c r="AG299" s="509" t="s">
        <v>2514</v>
      </c>
    </row>
    <row r="300" spans="1:33" hidden="1">
      <c r="A300" s="521">
        <f t="shared" si="15"/>
        <v>140</v>
      </c>
      <c r="B300" s="509" t="s">
        <v>2897</v>
      </c>
      <c r="C300" s="492">
        <v>21</v>
      </c>
      <c r="D300" s="490" t="s">
        <v>2359</v>
      </c>
      <c r="E300" s="2"/>
      <c r="F300" s="519">
        <v>14.1</v>
      </c>
      <c r="G300" s="518" t="s">
        <v>2342</v>
      </c>
      <c r="H300" s="509" t="s">
        <v>2345</v>
      </c>
      <c r="I300" s="492">
        <f>(C13)</f>
        <v>85</v>
      </c>
      <c r="J300" s="500" t="s">
        <v>2342</v>
      </c>
      <c r="K300" s="526">
        <f t="shared" si="16"/>
        <v>1198.5</v>
      </c>
      <c r="R300" s="515" t="s">
        <v>442</v>
      </c>
      <c r="AG300" s="509" t="s">
        <v>2514</v>
      </c>
    </row>
    <row r="301" spans="1:33" hidden="1">
      <c r="A301" s="521">
        <f t="shared" si="15"/>
        <v>141</v>
      </c>
      <c r="B301" s="509" t="s">
        <v>2898</v>
      </c>
      <c r="C301" s="492">
        <v>10</v>
      </c>
      <c r="D301" s="490" t="s">
        <v>2359</v>
      </c>
      <c r="E301" s="2"/>
      <c r="G301" s="518" t="s">
        <v>2346</v>
      </c>
      <c r="H301" s="509" t="s">
        <v>2347</v>
      </c>
      <c r="I301" s="2"/>
      <c r="J301" s="500" t="s">
        <v>2346</v>
      </c>
      <c r="K301" s="526">
        <v>0</v>
      </c>
      <c r="O301" s="509" t="s">
        <v>2358</v>
      </c>
      <c r="R301" s="519" t="e">
        <f>SUM(R295:R299)</f>
        <v>#REF!</v>
      </c>
      <c r="AG301" s="509" t="s">
        <v>2514</v>
      </c>
    </row>
    <row r="302" spans="1:33" hidden="1">
      <c r="A302" s="521">
        <f t="shared" si="15"/>
        <v>142</v>
      </c>
      <c r="B302" s="509" t="s">
        <v>2880</v>
      </c>
      <c r="C302" s="492">
        <v>4</v>
      </c>
      <c r="D302" s="490" t="s">
        <v>2359</v>
      </c>
      <c r="E302" s="2"/>
      <c r="I302" s="2"/>
      <c r="J302" s="463"/>
      <c r="K302" s="526" t="s">
        <v>442</v>
      </c>
      <c r="R302" s="515" t="s">
        <v>442</v>
      </c>
      <c r="AG302" s="509" t="s">
        <v>2514</v>
      </c>
    </row>
    <row r="303" spans="1:33" hidden="1">
      <c r="A303" s="521">
        <f t="shared" si="15"/>
        <v>143</v>
      </c>
      <c r="B303" s="509" t="s">
        <v>2881</v>
      </c>
      <c r="C303" s="492">
        <v>8</v>
      </c>
      <c r="D303" s="490" t="s">
        <v>2342</v>
      </c>
      <c r="E303" s="2"/>
      <c r="H303" s="509" t="s">
        <v>2348</v>
      </c>
      <c r="I303" s="2"/>
      <c r="J303" s="463"/>
      <c r="K303" s="526" t="e">
        <f>SUM(K294:K301)</f>
        <v>#REF!</v>
      </c>
      <c r="O303" s="509" t="s">
        <v>2355</v>
      </c>
      <c r="R303" s="519" t="e">
        <f>(R301/10)</f>
        <v>#REF!</v>
      </c>
      <c r="AG303" s="509" t="s">
        <v>2514</v>
      </c>
    </row>
    <row r="304" spans="1:33" hidden="1">
      <c r="A304" s="521">
        <f t="shared" si="15"/>
        <v>144</v>
      </c>
      <c r="B304" s="509" t="s">
        <v>2882</v>
      </c>
      <c r="C304" s="492">
        <v>8.5</v>
      </c>
      <c r="D304" s="490" t="s">
        <v>2359</v>
      </c>
      <c r="E304" s="2"/>
      <c r="I304" s="2"/>
      <c r="J304" s="463"/>
      <c r="K304" s="526" t="s">
        <v>442</v>
      </c>
      <c r="N304" s="509" t="s">
        <v>575</v>
      </c>
      <c r="O304" s="509" t="s">
        <v>2899</v>
      </c>
      <c r="R304" s="515" t="s">
        <v>29</v>
      </c>
      <c r="AG304" s="509" t="s">
        <v>2514</v>
      </c>
    </row>
    <row r="305" spans="1:33" hidden="1">
      <c r="A305" s="521">
        <f t="shared" si="15"/>
        <v>145</v>
      </c>
      <c r="B305" s="509" t="s">
        <v>2900</v>
      </c>
      <c r="C305" s="492">
        <v>20.6</v>
      </c>
      <c r="D305" s="490" t="s">
        <v>2359</v>
      </c>
      <c r="E305" s="2"/>
      <c r="H305" s="509" t="s">
        <v>2349</v>
      </c>
      <c r="I305" s="2"/>
      <c r="J305" s="463"/>
      <c r="K305" s="526" t="e">
        <f>(K303/10)</f>
        <v>#REF!</v>
      </c>
      <c r="O305" s="515" t="s">
        <v>442</v>
      </c>
      <c r="AG305" s="509" t="s">
        <v>2514</v>
      </c>
    </row>
    <row r="306" spans="1:33" hidden="1">
      <c r="A306" s="521">
        <f t="shared" si="15"/>
        <v>146</v>
      </c>
      <c r="B306" s="509" t="s">
        <v>2901</v>
      </c>
      <c r="C306" s="492">
        <v>15.6</v>
      </c>
      <c r="D306" s="490" t="s">
        <v>2359</v>
      </c>
      <c r="E306" s="2"/>
      <c r="I306" s="2"/>
      <c r="J306" s="463"/>
      <c r="K306" s="526" t="s">
        <v>29</v>
      </c>
      <c r="M306" s="519">
        <v>0.14000000000000001</v>
      </c>
      <c r="N306" s="509" t="s">
        <v>2334</v>
      </c>
      <c r="O306" s="509" t="s">
        <v>2554</v>
      </c>
      <c r="P306" s="519" t="e">
        <f>(K23)</f>
        <v>#REF!</v>
      </c>
      <c r="Q306" s="509" t="s">
        <v>2334</v>
      </c>
      <c r="R306" s="519" t="e">
        <f>(M306*P306)</f>
        <v>#REF!</v>
      </c>
      <c r="AG306" s="509" t="s">
        <v>2514</v>
      </c>
    </row>
    <row r="307" spans="1:33" hidden="1">
      <c r="A307" s="521">
        <f t="shared" si="15"/>
        <v>147</v>
      </c>
      <c r="B307" s="509" t="s">
        <v>2902</v>
      </c>
      <c r="C307" s="492">
        <v>0.9</v>
      </c>
      <c r="D307" s="490" t="s">
        <v>2359</v>
      </c>
      <c r="E307" s="2"/>
      <c r="F307" s="524">
        <v>6</v>
      </c>
      <c r="G307" s="518" t="s">
        <v>575</v>
      </c>
      <c r="H307" s="509" t="s">
        <v>2903</v>
      </c>
      <c r="I307" s="2"/>
      <c r="J307" s="463"/>
      <c r="K307" s="552"/>
      <c r="M307" s="519">
        <v>1.1000000000000001</v>
      </c>
      <c r="N307" s="509" t="s">
        <v>2342</v>
      </c>
      <c r="O307" s="509" t="s">
        <v>2353</v>
      </c>
      <c r="P307" s="519">
        <f>(C10)</f>
        <v>150</v>
      </c>
      <c r="Q307" s="509" t="s">
        <v>2342</v>
      </c>
      <c r="R307" s="519">
        <f>(M307*P307)</f>
        <v>165</v>
      </c>
      <c r="AG307" s="509" t="s">
        <v>2514</v>
      </c>
    </row>
    <row r="308" spans="1:33" hidden="1">
      <c r="A308" s="521">
        <f t="shared" si="15"/>
        <v>148</v>
      </c>
      <c r="B308" s="509" t="s">
        <v>2904</v>
      </c>
      <c r="C308" s="490" t="s">
        <v>30</v>
      </c>
      <c r="D308" s="2"/>
      <c r="E308" s="2"/>
      <c r="H308" s="509" t="s">
        <v>2350</v>
      </c>
      <c r="I308" s="2"/>
      <c r="J308" s="463"/>
      <c r="K308" s="552"/>
      <c r="M308" s="519">
        <v>0.5</v>
      </c>
      <c r="N308" s="509" t="s">
        <v>2342</v>
      </c>
      <c r="O308" s="509" t="s">
        <v>2344</v>
      </c>
      <c r="P308" s="519">
        <f>(C12)</f>
        <v>95</v>
      </c>
      <c r="Q308" s="509" t="s">
        <v>2342</v>
      </c>
      <c r="R308" s="519">
        <f>(M308*P308)</f>
        <v>47.5</v>
      </c>
      <c r="AG308" s="509" t="s">
        <v>2514</v>
      </c>
    </row>
    <row r="309" spans="1:33" hidden="1">
      <c r="A309" s="521">
        <f t="shared" si="15"/>
        <v>149</v>
      </c>
      <c r="B309" s="509" t="s">
        <v>2905</v>
      </c>
      <c r="C309" s="492">
        <v>66.44</v>
      </c>
      <c r="D309" s="490" t="s">
        <v>2205</v>
      </c>
      <c r="E309" s="2"/>
      <c r="H309" s="515" t="s">
        <v>442</v>
      </c>
      <c r="I309" s="2"/>
      <c r="J309" s="463"/>
      <c r="K309" s="552"/>
      <c r="M309" s="519">
        <v>1.1000000000000001</v>
      </c>
      <c r="N309" s="509" t="s">
        <v>2342</v>
      </c>
      <c r="O309" s="509" t="s">
        <v>2345</v>
      </c>
      <c r="P309" s="519">
        <f>(C13)</f>
        <v>85</v>
      </c>
      <c r="Q309" s="509" t="s">
        <v>2342</v>
      </c>
      <c r="R309" s="519">
        <f>(M309*P309)</f>
        <v>93.500000000000014</v>
      </c>
      <c r="AG309" s="509" t="s">
        <v>2514</v>
      </c>
    </row>
    <row r="310" spans="1:33" hidden="1">
      <c r="A310" s="521">
        <f t="shared" si="15"/>
        <v>150</v>
      </c>
      <c r="B310" s="509" t="s">
        <v>2906</v>
      </c>
      <c r="C310" s="492">
        <v>83.5</v>
      </c>
      <c r="D310" s="490" t="s">
        <v>2205</v>
      </c>
      <c r="E310" s="2"/>
      <c r="F310" s="519">
        <v>4800</v>
      </c>
      <c r="G310" s="518" t="s">
        <v>2351</v>
      </c>
      <c r="H310" s="519" t="str">
        <f>H308</f>
        <v>Bricks of size 22x11x7 cm</v>
      </c>
      <c r="I310" s="492" t="e">
        <f>C80</f>
        <v>#REF!</v>
      </c>
      <c r="J310" s="500" t="s">
        <v>2352</v>
      </c>
      <c r="K310" s="526" t="e">
        <f>(F310*I310)/1000</f>
        <v>#REF!</v>
      </c>
      <c r="N310" s="509" t="s">
        <v>2346</v>
      </c>
      <c r="O310" s="509" t="s">
        <v>2347</v>
      </c>
      <c r="P310" s="509" t="s">
        <v>30</v>
      </c>
      <c r="Q310" s="509" t="s">
        <v>2346</v>
      </c>
      <c r="R310" s="519">
        <v>0</v>
      </c>
      <c r="AG310" s="509" t="s">
        <v>2514</v>
      </c>
    </row>
    <row r="311" spans="1:33" hidden="1">
      <c r="A311" s="521">
        <f t="shared" si="15"/>
        <v>151</v>
      </c>
      <c r="B311" s="509" t="s">
        <v>2907</v>
      </c>
      <c r="C311" s="492">
        <v>102.12</v>
      </c>
      <c r="D311" s="490" t="s">
        <v>2205</v>
      </c>
      <c r="E311" s="2"/>
      <c r="F311" s="519">
        <v>2.5</v>
      </c>
      <c r="G311" s="518" t="s">
        <v>2334</v>
      </c>
      <c r="H311" s="509" t="s">
        <v>2341</v>
      </c>
      <c r="I311" s="492" t="e">
        <f>K49</f>
        <v>#REF!</v>
      </c>
      <c r="J311" s="500" t="s">
        <v>2334</v>
      </c>
      <c r="K311" s="526" t="e">
        <f>(F311*I311)</f>
        <v>#REF!</v>
      </c>
      <c r="R311" s="515" t="s">
        <v>442</v>
      </c>
      <c r="AG311" s="509" t="s">
        <v>2514</v>
      </c>
    </row>
    <row r="312" spans="1:33" hidden="1">
      <c r="A312" s="521">
        <f t="shared" si="15"/>
        <v>152</v>
      </c>
      <c r="B312" s="509" t="s">
        <v>2908</v>
      </c>
      <c r="C312" s="492">
        <v>182.52</v>
      </c>
      <c r="D312" s="490" t="s">
        <v>2205</v>
      </c>
      <c r="E312" s="2"/>
      <c r="F312" s="519">
        <v>3.5</v>
      </c>
      <c r="G312" s="518" t="s">
        <v>2342</v>
      </c>
      <c r="H312" s="509" t="s">
        <v>2353</v>
      </c>
      <c r="I312" s="492">
        <f>C10</f>
        <v>150</v>
      </c>
      <c r="J312" s="500" t="s">
        <v>2342</v>
      </c>
      <c r="K312" s="526">
        <f>(F312*I312)</f>
        <v>525</v>
      </c>
      <c r="O312" s="509" t="s">
        <v>2358</v>
      </c>
      <c r="R312" s="519" t="e">
        <f>SUM(R306:R310)</f>
        <v>#REF!</v>
      </c>
      <c r="AG312" s="509" t="s">
        <v>2514</v>
      </c>
    </row>
    <row r="313" spans="1:33" hidden="1">
      <c r="A313" s="521">
        <f t="shared" si="15"/>
        <v>153</v>
      </c>
      <c r="B313" s="509" t="s">
        <v>2909</v>
      </c>
      <c r="C313" s="2"/>
      <c r="D313" s="2"/>
      <c r="E313" s="2"/>
      <c r="F313" s="519">
        <v>10.6</v>
      </c>
      <c r="G313" s="518" t="s">
        <v>2342</v>
      </c>
      <c r="H313" s="509" t="s">
        <v>2343</v>
      </c>
      <c r="I313" s="492">
        <f>C11</f>
        <v>135</v>
      </c>
      <c r="J313" s="500" t="s">
        <v>2342</v>
      </c>
      <c r="K313" s="526">
        <f>(F313*I313)</f>
        <v>1431</v>
      </c>
      <c r="R313" s="515" t="s">
        <v>442</v>
      </c>
      <c r="AG313" s="509" t="s">
        <v>2514</v>
      </c>
    </row>
    <row r="314" spans="1:33" hidden="1">
      <c r="A314" s="521">
        <f t="shared" si="15"/>
        <v>154</v>
      </c>
      <c r="B314" s="509" t="s">
        <v>2905</v>
      </c>
      <c r="C314" s="492">
        <v>26.62</v>
      </c>
      <c r="D314" s="490" t="s">
        <v>2359</v>
      </c>
      <c r="E314" s="2"/>
      <c r="F314" s="519">
        <v>7.1</v>
      </c>
      <c r="G314" s="518" t="s">
        <v>2342</v>
      </c>
      <c r="H314" s="509" t="s">
        <v>2344</v>
      </c>
      <c r="I314" s="492">
        <f>C12</f>
        <v>95</v>
      </c>
      <c r="J314" s="500" t="s">
        <v>2342</v>
      </c>
      <c r="K314" s="526">
        <f>(F314*I314)</f>
        <v>674.5</v>
      </c>
      <c r="O314" s="509" t="s">
        <v>2355</v>
      </c>
      <c r="R314" s="519" t="e">
        <f>(R312/10)</f>
        <v>#REF!</v>
      </c>
      <c r="AG314" s="509" t="s">
        <v>2514</v>
      </c>
    </row>
    <row r="315" spans="1:33" hidden="1">
      <c r="A315" s="521">
        <f t="shared" si="15"/>
        <v>155</v>
      </c>
      <c r="B315" s="509" t="s">
        <v>2906</v>
      </c>
      <c r="C315" s="492">
        <v>34.869999999999997</v>
      </c>
      <c r="D315" s="490" t="s">
        <v>2359</v>
      </c>
      <c r="E315" s="2"/>
      <c r="F315" s="519">
        <v>21.2</v>
      </c>
      <c r="G315" s="518" t="s">
        <v>2342</v>
      </c>
      <c r="H315" s="509" t="s">
        <v>2345</v>
      </c>
      <c r="I315" s="492">
        <f>C13</f>
        <v>85</v>
      </c>
      <c r="J315" s="500" t="s">
        <v>2342</v>
      </c>
      <c r="K315" s="526">
        <f>(F315*I315)</f>
        <v>1802</v>
      </c>
      <c r="R315" s="515" t="s">
        <v>29</v>
      </c>
      <c r="AG315" s="509" t="s">
        <v>2514</v>
      </c>
    </row>
    <row r="316" spans="1:33" hidden="1">
      <c r="A316" s="521">
        <f t="shared" si="15"/>
        <v>156</v>
      </c>
      <c r="B316" s="509" t="s">
        <v>2907</v>
      </c>
      <c r="C316" s="492">
        <v>45</v>
      </c>
      <c r="D316" s="490" t="s">
        <v>2359</v>
      </c>
      <c r="E316" s="2"/>
      <c r="G316" s="518" t="s">
        <v>2346</v>
      </c>
      <c r="H316" s="509" t="s">
        <v>2347</v>
      </c>
      <c r="I316" s="2"/>
      <c r="J316" s="500" t="s">
        <v>2346</v>
      </c>
      <c r="K316" s="526">
        <v>0</v>
      </c>
      <c r="N316" s="509" t="s">
        <v>575</v>
      </c>
      <c r="O316" s="509" t="s">
        <v>2910</v>
      </c>
      <c r="AG316" s="509" t="s">
        <v>2514</v>
      </c>
    </row>
    <row r="317" spans="1:33" hidden="1">
      <c r="A317" s="521">
        <f t="shared" si="15"/>
        <v>157</v>
      </c>
      <c r="B317" s="509" t="s">
        <v>2908</v>
      </c>
      <c r="C317" s="492">
        <v>99.75</v>
      </c>
      <c r="D317" s="490" t="s">
        <v>2359</v>
      </c>
      <c r="E317" s="2"/>
      <c r="I317" s="2"/>
      <c r="J317" s="463"/>
      <c r="K317" s="526" t="s">
        <v>442</v>
      </c>
      <c r="O317" s="515" t="s">
        <v>442</v>
      </c>
      <c r="AG317" s="509" t="s">
        <v>2514</v>
      </c>
    </row>
    <row r="318" spans="1:33" hidden="1">
      <c r="A318" s="521">
        <f t="shared" si="15"/>
        <v>158</v>
      </c>
      <c r="B318" s="509" t="s">
        <v>2911</v>
      </c>
      <c r="C318" s="2"/>
      <c r="D318" s="2"/>
      <c r="E318" s="2"/>
      <c r="H318" s="509" t="s">
        <v>2348</v>
      </c>
      <c r="I318" s="2"/>
      <c r="J318" s="463"/>
      <c r="K318" s="526" t="e">
        <f>SUM(K310:K316)</f>
        <v>#REF!</v>
      </c>
      <c r="M318" s="519">
        <v>0.1</v>
      </c>
      <c r="N318" s="509" t="s">
        <v>2334</v>
      </c>
      <c r="O318" s="509" t="s">
        <v>2554</v>
      </c>
      <c r="P318" s="519" t="e">
        <f>(K23)</f>
        <v>#REF!</v>
      </c>
      <c r="Q318" s="509" t="s">
        <v>2334</v>
      </c>
      <c r="R318" s="519" t="e">
        <f>(M318*P318)</f>
        <v>#REF!</v>
      </c>
      <c r="AG318" s="509" t="s">
        <v>2514</v>
      </c>
    </row>
    <row r="319" spans="1:33" hidden="1">
      <c r="A319" s="521">
        <f t="shared" si="15"/>
        <v>159</v>
      </c>
      <c r="B319" s="509" t="s">
        <v>2905</v>
      </c>
      <c r="C319" s="492">
        <v>43.47</v>
      </c>
      <c r="D319" s="490" t="s">
        <v>2359</v>
      </c>
      <c r="E319" s="2"/>
      <c r="I319" s="2"/>
      <c r="J319" s="463"/>
      <c r="K319" s="526" t="s">
        <v>442</v>
      </c>
      <c r="M319" s="519">
        <v>1.1000000000000001</v>
      </c>
      <c r="N319" s="509" t="s">
        <v>2342</v>
      </c>
      <c r="O319" s="509" t="s">
        <v>2353</v>
      </c>
      <c r="P319" s="519">
        <f>(C10)</f>
        <v>150</v>
      </c>
      <c r="Q319" s="509" t="s">
        <v>2342</v>
      </c>
      <c r="R319" s="519">
        <f>(M319*P319)</f>
        <v>165</v>
      </c>
      <c r="AG319" s="509" t="s">
        <v>2514</v>
      </c>
    </row>
    <row r="320" spans="1:33" hidden="1">
      <c r="A320" s="521">
        <f t="shared" si="15"/>
        <v>160</v>
      </c>
      <c r="B320" s="509" t="s">
        <v>2906</v>
      </c>
      <c r="C320" s="492">
        <v>50.34</v>
      </c>
      <c r="D320" s="490" t="s">
        <v>2359</v>
      </c>
      <c r="E320" s="2"/>
      <c r="H320" s="509" t="s">
        <v>2349</v>
      </c>
      <c r="I320" s="2"/>
      <c r="J320" s="463"/>
      <c r="K320" s="526" t="e">
        <f>(K318/10)</f>
        <v>#REF!</v>
      </c>
      <c r="M320" s="519">
        <v>1.1000000000000001</v>
      </c>
      <c r="N320" s="509" t="s">
        <v>2342</v>
      </c>
      <c r="O320" s="509" t="s">
        <v>2344</v>
      </c>
      <c r="P320" s="519">
        <f>(C12)</f>
        <v>95</v>
      </c>
      <c r="Q320" s="509" t="s">
        <v>2342</v>
      </c>
      <c r="R320" s="519">
        <f>(M320*P320)</f>
        <v>104.50000000000001</v>
      </c>
      <c r="AG320" s="509" t="s">
        <v>2690</v>
      </c>
    </row>
    <row r="321" spans="1:33" hidden="1">
      <c r="A321" s="521">
        <f t="shared" si="15"/>
        <v>161</v>
      </c>
      <c r="B321" s="509" t="s">
        <v>2907</v>
      </c>
      <c r="C321" s="492">
        <v>65.209999999999994</v>
      </c>
      <c r="D321" s="490" t="s">
        <v>2359</v>
      </c>
      <c r="E321" s="2"/>
      <c r="I321" s="2"/>
      <c r="J321" s="463"/>
      <c r="K321" s="526" t="s">
        <v>29</v>
      </c>
      <c r="M321" s="519">
        <v>1.1000000000000001</v>
      </c>
      <c r="N321" s="509" t="s">
        <v>2342</v>
      </c>
      <c r="O321" s="509" t="s">
        <v>2345</v>
      </c>
      <c r="P321" s="519">
        <f>(C13)</f>
        <v>85</v>
      </c>
      <c r="Q321" s="509" t="s">
        <v>2342</v>
      </c>
      <c r="R321" s="519">
        <f>(M321*P321)</f>
        <v>93.500000000000014</v>
      </c>
    </row>
    <row r="322" spans="1:33" hidden="1">
      <c r="A322" s="521">
        <f t="shared" si="15"/>
        <v>162</v>
      </c>
      <c r="B322" s="509" t="s">
        <v>2908</v>
      </c>
      <c r="C322" s="492">
        <v>145.29</v>
      </c>
      <c r="D322" s="490" t="s">
        <v>2359</v>
      </c>
      <c r="E322" s="2"/>
      <c r="H322" s="509" t="s">
        <v>2354</v>
      </c>
      <c r="I322" s="2"/>
      <c r="J322" s="463"/>
      <c r="K322" s="526" t="e">
        <f>(K320+C19)</f>
        <v>#REF!</v>
      </c>
      <c r="N322" s="509" t="s">
        <v>2346</v>
      </c>
      <c r="O322" s="509" t="s">
        <v>2347</v>
      </c>
      <c r="P322" s="509" t="s">
        <v>30</v>
      </c>
      <c r="Q322" s="509" t="s">
        <v>2346</v>
      </c>
      <c r="R322" s="519">
        <v>0</v>
      </c>
    </row>
    <row r="323" spans="1:33" hidden="1">
      <c r="A323" s="521">
        <f t="shared" si="15"/>
        <v>163</v>
      </c>
      <c r="B323" s="509" t="s">
        <v>2912</v>
      </c>
      <c r="C323" s="2"/>
      <c r="D323" s="2"/>
      <c r="E323" s="2"/>
      <c r="H323" s="509" t="s">
        <v>2362</v>
      </c>
      <c r="I323" s="2"/>
      <c r="J323" s="463"/>
      <c r="K323" s="526" t="e">
        <f>(K322+C20)</f>
        <v>#REF!</v>
      </c>
      <c r="R323" s="515" t="s">
        <v>442</v>
      </c>
      <c r="AG323" s="509" t="s">
        <v>2514</v>
      </c>
    </row>
    <row r="324" spans="1:33" hidden="1">
      <c r="A324" s="521">
        <f t="shared" si="15"/>
        <v>164</v>
      </c>
      <c r="B324" s="509" t="s">
        <v>2905</v>
      </c>
      <c r="C324" s="492">
        <v>14.91</v>
      </c>
      <c r="D324" s="490" t="s">
        <v>2205</v>
      </c>
      <c r="E324" s="2"/>
      <c r="H324" s="509" t="s">
        <v>2480</v>
      </c>
      <c r="I324" s="2"/>
      <c r="J324" s="463"/>
      <c r="K324" s="526" t="e">
        <f>(K323+C21)</f>
        <v>#REF!</v>
      </c>
      <c r="O324" s="509" t="s">
        <v>2358</v>
      </c>
      <c r="R324" s="519" t="e">
        <f>SUM(R318:R322)</f>
        <v>#REF!</v>
      </c>
      <c r="AG324" s="509" t="s">
        <v>2514</v>
      </c>
    </row>
    <row r="325" spans="1:33" hidden="1">
      <c r="A325" s="521">
        <f t="shared" si="15"/>
        <v>165</v>
      </c>
      <c r="B325" s="509" t="s">
        <v>2906</v>
      </c>
      <c r="C325" s="492">
        <v>19.41</v>
      </c>
      <c r="D325" s="490" t="s">
        <v>2205</v>
      </c>
      <c r="E325" s="2"/>
      <c r="H325" s="509" t="s">
        <v>2481</v>
      </c>
      <c r="I325" s="2"/>
      <c r="J325" s="463"/>
      <c r="K325" s="526" t="e">
        <f>(K324+C21)</f>
        <v>#REF!</v>
      </c>
      <c r="R325" s="515" t="s">
        <v>442</v>
      </c>
      <c r="AG325" s="509" t="s">
        <v>2514</v>
      </c>
    </row>
    <row r="326" spans="1:33" hidden="1">
      <c r="A326" s="521">
        <f t="shared" si="15"/>
        <v>166</v>
      </c>
      <c r="B326" s="509" t="s">
        <v>2907</v>
      </c>
      <c r="C326" s="492">
        <v>22.22</v>
      </c>
      <c r="D326" s="490" t="s">
        <v>2205</v>
      </c>
      <c r="E326" s="2"/>
      <c r="H326" s="509" t="s">
        <v>2885</v>
      </c>
      <c r="I326" s="2"/>
      <c r="J326" s="463"/>
      <c r="K326" s="526" t="e">
        <f>(K325+C21)</f>
        <v>#REF!</v>
      </c>
      <c r="O326" s="509" t="s">
        <v>2355</v>
      </c>
      <c r="R326" s="519" t="e">
        <f>(R324/10)</f>
        <v>#REF!</v>
      </c>
      <c r="AG326" s="509" t="s">
        <v>2514</v>
      </c>
    </row>
    <row r="327" spans="1:33" hidden="1">
      <c r="A327" s="521"/>
      <c r="B327" s="509"/>
      <c r="C327" s="492"/>
      <c r="D327" s="490"/>
      <c r="E327" s="2"/>
      <c r="H327" s="509"/>
      <c r="I327" s="2"/>
      <c r="J327" s="463"/>
      <c r="K327" s="526"/>
      <c r="O327" s="509"/>
      <c r="R327" s="519"/>
      <c r="AG327" s="509"/>
    </row>
    <row r="328" spans="1:33" hidden="1">
      <c r="A328" s="521"/>
      <c r="B328" s="509"/>
      <c r="C328" s="492"/>
      <c r="D328" s="490"/>
      <c r="E328" s="2"/>
      <c r="F328" s="510" t="s">
        <v>2913</v>
      </c>
      <c r="H328" s="509" t="s">
        <v>2914</v>
      </c>
      <c r="I328" s="2"/>
      <c r="J328" s="463"/>
      <c r="K328" s="526" t="s">
        <v>2915</v>
      </c>
      <c r="O328" s="509"/>
      <c r="R328" s="519"/>
      <c r="AG328" s="509"/>
    </row>
    <row r="329" spans="1:33" hidden="1">
      <c r="A329" s="521"/>
      <c r="B329" s="509"/>
      <c r="C329" s="492"/>
      <c r="D329" s="490"/>
      <c r="E329" s="2"/>
      <c r="H329" s="509" t="s">
        <v>2916</v>
      </c>
      <c r="I329" s="2"/>
      <c r="J329" s="463"/>
      <c r="K329" s="526" t="s">
        <v>29</v>
      </c>
      <c r="O329" s="509"/>
      <c r="R329" s="519"/>
      <c r="AG329" s="509"/>
    </row>
    <row r="330" spans="1:33" hidden="1">
      <c r="A330" s="521"/>
      <c r="B330" s="509"/>
      <c r="C330" s="492"/>
      <c r="D330" s="490"/>
      <c r="E330" s="2"/>
      <c r="H330" s="509"/>
      <c r="I330" s="2"/>
      <c r="J330" s="463"/>
      <c r="K330" s="526"/>
      <c r="O330" s="509"/>
      <c r="R330" s="519"/>
      <c r="AG330" s="509"/>
    </row>
    <row r="331" spans="1:33" hidden="1">
      <c r="A331" s="521">
        <f>(A326+1)</f>
        <v>167</v>
      </c>
      <c r="B331" s="509" t="s">
        <v>2908</v>
      </c>
      <c r="C331" s="492">
        <v>46.42</v>
      </c>
      <c r="D331" s="490" t="s">
        <v>2205</v>
      </c>
      <c r="E331" s="2"/>
      <c r="F331" s="524">
        <v>9</v>
      </c>
      <c r="G331" s="518" t="s">
        <v>575</v>
      </c>
      <c r="H331" s="509" t="s">
        <v>2917</v>
      </c>
      <c r="I331" s="2"/>
      <c r="J331" s="463"/>
      <c r="K331" s="552"/>
      <c r="R331" s="515" t="s">
        <v>29</v>
      </c>
      <c r="AG331" s="509" t="s">
        <v>2514</v>
      </c>
    </row>
    <row r="332" spans="1:33" hidden="1">
      <c r="A332" s="521">
        <f t="shared" ref="A332:A395" si="17">(A331+1)</f>
        <v>168</v>
      </c>
      <c r="B332" s="509" t="s">
        <v>2918</v>
      </c>
      <c r="C332" s="2"/>
      <c r="D332" s="2"/>
      <c r="E332" s="2"/>
      <c r="H332" s="519" t="str">
        <f>H308</f>
        <v>Bricks of size 22x11x7 cm</v>
      </c>
      <c r="I332" s="2"/>
      <c r="J332" s="463"/>
      <c r="K332" s="552"/>
      <c r="AG332" s="509" t="s">
        <v>2514</v>
      </c>
    </row>
    <row r="333" spans="1:33" hidden="1">
      <c r="A333" s="521">
        <f t="shared" si="17"/>
        <v>169</v>
      </c>
      <c r="B333" s="509" t="s">
        <v>2905</v>
      </c>
      <c r="C333" s="492">
        <v>8.58</v>
      </c>
      <c r="D333" s="490" t="s">
        <v>2359</v>
      </c>
      <c r="E333" s="2"/>
      <c r="H333" s="515" t="s">
        <v>442</v>
      </c>
      <c r="I333" s="2"/>
      <c r="J333" s="463"/>
      <c r="K333" s="552"/>
      <c r="N333" s="509" t="s">
        <v>575</v>
      </c>
      <c r="O333" s="509" t="s">
        <v>2919</v>
      </c>
      <c r="AG333" s="509" t="s">
        <v>2514</v>
      </c>
    </row>
    <row r="334" spans="1:33" hidden="1">
      <c r="A334" s="521">
        <f t="shared" si="17"/>
        <v>170</v>
      </c>
      <c r="B334" s="509" t="s">
        <v>2906</v>
      </c>
      <c r="C334" s="492">
        <v>12.26</v>
      </c>
      <c r="D334" s="490" t="s">
        <v>2359</v>
      </c>
      <c r="E334" s="2"/>
      <c r="F334" s="519">
        <f>F310</f>
        <v>4800</v>
      </c>
      <c r="G334" s="518" t="s">
        <v>2351</v>
      </c>
      <c r="H334" s="519" t="str">
        <f>H308</f>
        <v>Bricks of size 22x11x7 cm</v>
      </c>
      <c r="I334" s="492" t="e">
        <f>C80</f>
        <v>#REF!</v>
      </c>
      <c r="J334" s="500" t="s">
        <v>2352</v>
      </c>
      <c r="K334" s="526" t="e">
        <f>(F334*I334)/1000</f>
        <v>#REF!</v>
      </c>
      <c r="O334" s="515" t="s">
        <v>442</v>
      </c>
      <c r="AG334" s="509" t="s">
        <v>2514</v>
      </c>
    </row>
    <row r="335" spans="1:33" hidden="1">
      <c r="A335" s="521">
        <f t="shared" si="17"/>
        <v>171</v>
      </c>
      <c r="B335" s="509" t="s">
        <v>2907</v>
      </c>
      <c r="C335" s="492">
        <v>13.89</v>
      </c>
      <c r="D335" s="490" t="s">
        <v>2359</v>
      </c>
      <c r="E335" s="2"/>
      <c r="F335" s="519">
        <f>F311</f>
        <v>2.5</v>
      </c>
      <c r="G335" s="518" t="s">
        <v>2334</v>
      </c>
      <c r="H335" s="509" t="s">
        <v>2685</v>
      </c>
      <c r="I335" s="492" t="e">
        <f>K58</f>
        <v>#REF!</v>
      </c>
      <c r="J335" s="500" t="s">
        <v>2334</v>
      </c>
      <c r="K335" s="526" t="e">
        <f>(F335*I335)</f>
        <v>#REF!</v>
      </c>
      <c r="M335" s="519">
        <v>0.22</v>
      </c>
      <c r="N335" s="509" t="s">
        <v>2334</v>
      </c>
      <c r="O335" s="509" t="s">
        <v>2341</v>
      </c>
      <c r="P335" s="519" t="e">
        <f>(K49)</f>
        <v>#REF!</v>
      </c>
      <c r="Q335" s="509" t="s">
        <v>2334</v>
      </c>
      <c r="R335" s="519" t="e">
        <f>(M335*P335)</f>
        <v>#REF!</v>
      </c>
      <c r="AG335" s="509" t="s">
        <v>2514</v>
      </c>
    </row>
    <row r="336" spans="1:33" hidden="1">
      <c r="A336" s="521">
        <f t="shared" si="17"/>
        <v>172</v>
      </c>
      <c r="B336" s="509" t="s">
        <v>2908</v>
      </c>
      <c r="C336" s="492">
        <v>36.25</v>
      </c>
      <c r="D336" s="490" t="s">
        <v>2359</v>
      </c>
      <c r="E336" s="2"/>
      <c r="F336" s="519">
        <v>3.5</v>
      </c>
      <c r="G336" s="518" t="s">
        <v>2342</v>
      </c>
      <c r="H336" s="509" t="s">
        <v>2353</v>
      </c>
      <c r="I336" s="492">
        <f>C10</f>
        <v>150</v>
      </c>
      <c r="J336" s="500" t="s">
        <v>2342</v>
      </c>
      <c r="K336" s="526">
        <f>(F336*I336)</f>
        <v>525</v>
      </c>
      <c r="M336" s="519">
        <v>2.2000000000000002</v>
      </c>
      <c r="N336" s="509" t="s">
        <v>2342</v>
      </c>
      <c r="O336" s="509" t="s">
        <v>2353</v>
      </c>
      <c r="P336" s="519">
        <f>(C10)</f>
        <v>150</v>
      </c>
      <c r="Q336" s="509" t="s">
        <v>2342</v>
      </c>
      <c r="R336" s="519">
        <f>(M336*P336)</f>
        <v>330</v>
      </c>
      <c r="AG336" s="509" t="s">
        <v>2514</v>
      </c>
    </row>
    <row r="337" spans="1:33" hidden="1">
      <c r="A337" s="521">
        <f t="shared" si="17"/>
        <v>173</v>
      </c>
      <c r="B337" s="509" t="s">
        <v>2920</v>
      </c>
      <c r="C337" s="2"/>
      <c r="D337" s="2"/>
      <c r="E337" s="2"/>
      <c r="F337" s="519">
        <v>10.6</v>
      </c>
      <c r="G337" s="518" t="s">
        <v>2342</v>
      </c>
      <c r="H337" s="509" t="s">
        <v>2343</v>
      </c>
      <c r="I337" s="492">
        <f>C11</f>
        <v>135</v>
      </c>
      <c r="J337" s="500" t="s">
        <v>2342</v>
      </c>
      <c r="K337" s="526">
        <f>(F337*I337)</f>
        <v>1431</v>
      </c>
      <c r="M337" s="519">
        <v>0.5</v>
      </c>
      <c r="N337" s="509" t="s">
        <v>2342</v>
      </c>
      <c r="O337" s="509" t="s">
        <v>2344</v>
      </c>
      <c r="P337" s="519">
        <f>(C12)</f>
        <v>95</v>
      </c>
      <c r="Q337" s="509" t="s">
        <v>2342</v>
      </c>
      <c r="R337" s="519">
        <f>(M337*P337)</f>
        <v>47.5</v>
      </c>
      <c r="AG337" s="509" t="s">
        <v>2514</v>
      </c>
    </row>
    <row r="338" spans="1:33" hidden="1">
      <c r="A338" s="521">
        <f t="shared" si="17"/>
        <v>174</v>
      </c>
      <c r="B338" s="509" t="s">
        <v>2905</v>
      </c>
      <c r="C338" s="492">
        <v>15.7</v>
      </c>
      <c r="D338" s="490" t="s">
        <v>2359</v>
      </c>
      <c r="E338" s="2"/>
      <c r="F338" s="519">
        <v>7.1</v>
      </c>
      <c r="G338" s="518" t="s">
        <v>2342</v>
      </c>
      <c r="H338" s="509" t="s">
        <v>2344</v>
      </c>
      <c r="I338" s="492">
        <f>C12</f>
        <v>95</v>
      </c>
      <c r="J338" s="500" t="s">
        <v>2342</v>
      </c>
      <c r="K338" s="526">
        <f>(F338*I338)</f>
        <v>674.5</v>
      </c>
      <c r="M338" s="519">
        <v>3.2</v>
      </c>
      <c r="N338" s="509" t="s">
        <v>2342</v>
      </c>
      <c r="O338" s="509" t="s">
        <v>2345</v>
      </c>
      <c r="P338" s="519">
        <f>(C13)</f>
        <v>85</v>
      </c>
      <c r="Q338" s="509" t="s">
        <v>2342</v>
      </c>
      <c r="R338" s="519">
        <f>(M338*P338)</f>
        <v>272</v>
      </c>
      <c r="AG338" s="509" t="s">
        <v>2514</v>
      </c>
    </row>
    <row r="339" spans="1:33" hidden="1">
      <c r="A339" s="521">
        <f t="shared" si="17"/>
        <v>175</v>
      </c>
      <c r="B339" s="509" t="s">
        <v>2906</v>
      </c>
      <c r="C339" s="492">
        <v>22.31</v>
      </c>
      <c r="D339" s="490" t="s">
        <v>2359</v>
      </c>
      <c r="E339" s="2"/>
      <c r="F339" s="519">
        <v>21.2</v>
      </c>
      <c r="G339" s="518" t="s">
        <v>2342</v>
      </c>
      <c r="H339" s="509" t="s">
        <v>2345</v>
      </c>
      <c r="I339" s="492">
        <f>C13</f>
        <v>85</v>
      </c>
      <c r="J339" s="500" t="s">
        <v>2342</v>
      </c>
      <c r="K339" s="526">
        <f>(F339*I339)</f>
        <v>1802</v>
      </c>
      <c r="N339" s="509" t="s">
        <v>2346</v>
      </c>
      <c r="O339" s="509" t="s">
        <v>2347</v>
      </c>
      <c r="P339" s="509" t="s">
        <v>30</v>
      </c>
      <c r="Q339" s="509" t="s">
        <v>2346</v>
      </c>
      <c r="R339" s="519">
        <v>0</v>
      </c>
      <c r="AG339" s="509" t="s">
        <v>2514</v>
      </c>
    </row>
    <row r="340" spans="1:33" hidden="1">
      <c r="A340" s="521">
        <f t="shared" si="17"/>
        <v>176</v>
      </c>
      <c r="B340" s="509" t="s">
        <v>2907</v>
      </c>
      <c r="C340" s="492">
        <v>25.24</v>
      </c>
      <c r="D340" s="490" t="s">
        <v>2359</v>
      </c>
      <c r="E340" s="2"/>
      <c r="G340" s="518" t="s">
        <v>2346</v>
      </c>
      <c r="H340" s="509" t="s">
        <v>2347</v>
      </c>
      <c r="I340" s="2"/>
      <c r="J340" s="500" t="s">
        <v>2346</v>
      </c>
      <c r="K340" s="526">
        <v>0</v>
      </c>
      <c r="R340" s="515" t="s">
        <v>442</v>
      </c>
      <c r="AG340" s="509" t="s">
        <v>2514</v>
      </c>
    </row>
    <row r="341" spans="1:33" hidden="1">
      <c r="A341" s="521">
        <f t="shared" si="17"/>
        <v>177</v>
      </c>
      <c r="B341" s="509" t="s">
        <v>2908</v>
      </c>
      <c r="C341" s="492">
        <v>52.34</v>
      </c>
      <c r="D341" s="490" t="s">
        <v>2359</v>
      </c>
      <c r="E341" s="2"/>
      <c r="I341" s="2"/>
      <c r="J341" s="463"/>
      <c r="K341" s="526" t="s">
        <v>442</v>
      </c>
      <c r="O341" s="509" t="s">
        <v>2358</v>
      </c>
      <c r="R341" s="519" t="e">
        <f>SUM(R335:R339)</f>
        <v>#REF!</v>
      </c>
      <c r="AG341" s="509" t="s">
        <v>2514</v>
      </c>
    </row>
    <row r="342" spans="1:33" hidden="1">
      <c r="A342" s="521">
        <f t="shared" si="17"/>
        <v>178</v>
      </c>
      <c r="B342" s="509" t="s">
        <v>2921</v>
      </c>
      <c r="C342" s="2"/>
      <c r="D342" s="2"/>
      <c r="E342" s="2"/>
      <c r="H342" s="509" t="s">
        <v>2348</v>
      </c>
      <c r="I342" s="2"/>
      <c r="J342" s="463"/>
      <c r="K342" s="526" t="e">
        <f>SUM(K334:K340)</f>
        <v>#REF!</v>
      </c>
      <c r="R342" s="515" t="s">
        <v>442</v>
      </c>
      <c r="AG342" s="509" t="s">
        <v>2514</v>
      </c>
    </row>
    <row r="343" spans="1:33" hidden="1">
      <c r="A343" s="521">
        <f t="shared" si="17"/>
        <v>179</v>
      </c>
      <c r="B343" s="509" t="s">
        <v>2905</v>
      </c>
      <c r="C343" s="492">
        <v>13.73</v>
      </c>
      <c r="D343" s="490" t="s">
        <v>2359</v>
      </c>
      <c r="E343" s="2"/>
      <c r="I343" s="2"/>
      <c r="J343" s="463"/>
      <c r="K343" s="526" t="s">
        <v>442</v>
      </c>
      <c r="O343" s="509" t="s">
        <v>2355</v>
      </c>
      <c r="R343" s="519" t="e">
        <f>(R341/10)</f>
        <v>#REF!</v>
      </c>
      <c r="AG343" s="509" t="s">
        <v>2514</v>
      </c>
    </row>
    <row r="344" spans="1:33" hidden="1">
      <c r="A344" s="521">
        <f t="shared" si="17"/>
        <v>180</v>
      </c>
      <c r="B344" s="509" t="s">
        <v>2906</v>
      </c>
      <c r="C344" s="492">
        <v>20.16</v>
      </c>
      <c r="D344" s="490" t="s">
        <v>2359</v>
      </c>
      <c r="E344" s="2"/>
      <c r="H344" s="509" t="s">
        <v>2349</v>
      </c>
      <c r="I344" s="2"/>
      <c r="J344" s="463"/>
      <c r="K344" s="526" t="e">
        <f>(K342/10)</f>
        <v>#REF!</v>
      </c>
      <c r="R344" s="515" t="s">
        <v>29</v>
      </c>
      <c r="AG344" s="509" t="s">
        <v>2514</v>
      </c>
    </row>
    <row r="345" spans="1:33" hidden="1">
      <c r="A345" s="521">
        <f t="shared" si="17"/>
        <v>181</v>
      </c>
      <c r="B345" s="509" t="s">
        <v>2907</v>
      </c>
      <c r="C345" s="492">
        <v>22.73</v>
      </c>
      <c r="D345" s="490" t="s">
        <v>2359</v>
      </c>
      <c r="E345" s="2"/>
      <c r="I345" s="2"/>
      <c r="J345" s="463"/>
      <c r="K345" s="526" t="s">
        <v>29</v>
      </c>
      <c r="N345" s="509" t="s">
        <v>575</v>
      </c>
      <c r="O345" s="509" t="s">
        <v>2922</v>
      </c>
      <c r="AG345" s="509" t="s">
        <v>2514</v>
      </c>
    </row>
    <row r="346" spans="1:33" hidden="1">
      <c r="A346" s="521">
        <f t="shared" si="17"/>
        <v>182</v>
      </c>
      <c r="B346" s="509" t="s">
        <v>2908</v>
      </c>
      <c r="C346" s="492">
        <v>46.98</v>
      </c>
      <c r="D346" s="490" t="s">
        <v>30</v>
      </c>
      <c r="E346" s="2"/>
      <c r="H346" s="509" t="s">
        <v>2354</v>
      </c>
      <c r="I346" s="2"/>
      <c r="J346" s="463"/>
      <c r="K346" s="526" t="e">
        <f>(K344+C19)</f>
        <v>#REF!</v>
      </c>
      <c r="O346" s="515" t="s">
        <v>442</v>
      </c>
      <c r="AG346" s="509" t="s">
        <v>2514</v>
      </c>
    </row>
    <row r="347" spans="1:33" hidden="1">
      <c r="A347" s="521">
        <f t="shared" si="17"/>
        <v>183</v>
      </c>
      <c r="B347" s="509" t="s">
        <v>2923</v>
      </c>
      <c r="C347" s="2"/>
      <c r="D347" s="2"/>
      <c r="E347" s="2"/>
      <c r="H347" s="509" t="s">
        <v>2362</v>
      </c>
      <c r="I347" s="2"/>
      <c r="J347" s="463"/>
      <c r="K347" s="526" t="e">
        <f>(K346+C20)</f>
        <v>#REF!</v>
      </c>
      <c r="M347" s="519">
        <v>0.22</v>
      </c>
      <c r="N347" s="509" t="s">
        <v>2334</v>
      </c>
      <c r="O347" s="509" t="s">
        <v>2607</v>
      </c>
      <c r="P347" s="519" t="e">
        <f>(K32)</f>
        <v>#REF!</v>
      </c>
      <c r="Q347" s="509" t="s">
        <v>2334</v>
      </c>
      <c r="R347" s="519" t="e">
        <f>(M347*P347)</f>
        <v>#REF!</v>
      </c>
      <c r="AG347" s="509" t="s">
        <v>2514</v>
      </c>
    </row>
    <row r="348" spans="1:33" hidden="1">
      <c r="A348" s="521">
        <f t="shared" si="17"/>
        <v>184</v>
      </c>
      <c r="B348" s="509" t="s">
        <v>2905</v>
      </c>
      <c r="C348" s="492">
        <v>19.3</v>
      </c>
      <c r="D348" s="490" t="s">
        <v>2359</v>
      </c>
      <c r="E348" s="2"/>
      <c r="H348" s="509" t="s">
        <v>2480</v>
      </c>
      <c r="I348" s="2"/>
      <c r="J348" s="463"/>
      <c r="K348" s="526" t="e">
        <f>(K347+C21)</f>
        <v>#REF!</v>
      </c>
      <c r="M348" s="519">
        <v>2.2000000000000002</v>
      </c>
      <c r="N348" s="509" t="s">
        <v>2342</v>
      </c>
      <c r="O348" s="509" t="s">
        <v>2353</v>
      </c>
      <c r="P348" s="519">
        <f>(C10)</f>
        <v>150</v>
      </c>
      <c r="Q348" s="509" t="s">
        <v>2342</v>
      </c>
      <c r="R348" s="519">
        <f>(M348*P348)</f>
        <v>330</v>
      </c>
      <c r="AG348" s="509" t="s">
        <v>2514</v>
      </c>
    </row>
    <row r="349" spans="1:33" hidden="1">
      <c r="A349" s="521">
        <f t="shared" si="17"/>
        <v>185</v>
      </c>
      <c r="B349" s="509" t="s">
        <v>2907</v>
      </c>
      <c r="C349" s="492">
        <v>33.46</v>
      </c>
      <c r="D349" s="490" t="s">
        <v>2359</v>
      </c>
      <c r="E349" s="2"/>
      <c r="H349" s="509" t="s">
        <v>2481</v>
      </c>
      <c r="I349" s="2"/>
      <c r="J349" s="463"/>
      <c r="K349" s="526" t="e">
        <f>(K348+C21)</f>
        <v>#REF!</v>
      </c>
      <c r="M349" s="519">
        <v>0.5</v>
      </c>
      <c r="N349" s="509" t="s">
        <v>2342</v>
      </c>
      <c r="O349" s="509" t="s">
        <v>2344</v>
      </c>
      <c r="P349" s="519">
        <f>(C12)</f>
        <v>95</v>
      </c>
      <c r="Q349" s="509" t="s">
        <v>2342</v>
      </c>
      <c r="R349" s="519">
        <f>(M349*P349)</f>
        <v>47.5</v>
      </c>
      <c r="AG349" s="509" t="s">
        <v>2514</v>
      </c>
    </row>
    <row r="350" spans="1:33" hidden="1">
      <c r="A350" s="521">
        <f t="shared" si="17"/>
        <v>186</v>
      </c>
      <c r="B350" s="509" t="s">
        <v>2908</v>
      </c>
      <c r="C350" s="492">
        <v>53.62</v>
      </c>
      <c r="D350" s="490" t="s">
        <v>2359</v>
      </c>
      <c r="E350" s="2"/>
      <c r="F350" s="509" t="s">
        <v>30</v>
      </c>
      <c r="H350" s="509" t="s">
        <v>2885</v>
      </c>
      <c r="I350" s="2"/>
      <c r="J350" s="463"/>
      <c r="K350" s="526" t="e">
        <f>(K349+C21)</f>
        <v>#REF!</v>
      </c>
      <c r="M350" s="519">
        <v>3.2</v>
      </c>
      <c r="N350" s="509" t="s">
        <v>2342</v>
      </c>
      <c r="O350" s="509" t="s">
        <v>2345</v>
      </c>
      <c r="P350" s="519">
        <f>(C13)</f>
        <v>85</v>
      </c>
      <c r="Q350" s="509" t="s">
        <v>2342</v>
      </c>
      <c r="R350" s="519">
        <f>(M350*P350)</f>
        <v>272</v>
      </c>
      <c r="AG350" s="509" t="s">
        <v>2514</v>
      </c>
    </row>
    <row r="351" spans="1:33" hidden="1">
      <c r="A351" s="521">
        <f t="shared" si="17"/>
        <v>187</v>
      </c>
      <c r="B351" s="509" t="s">
        <v>2924</v>
      </c>
      <c r="C351" s="2"/>
      <c r="D351" s="2"/>
      <c r="E351" s="2"/>
      <c r="F351" s="524">
        <v>27</v>
      </c>
      <c r="G351" s="518" t="s">
        <v>575</v>
      </c>
      <c r="H351" s="509" t="s">
        <v>2925</v>
      </c>
      <c r="I351" s="2"/>
      <c r="J351" s="463"/>
      <c r="K351" s="552"/>
      <c r="N351" s="509" t="s">
        <v>2346</v>
      </c>
      <c r="O351" s="509" t="s">
        <v>2347</v>
      </c>
      <c r="P351" s="509" t="s">
        <v>30</v>
      </c>
      <c r="Q351" s="509" t="s">
        <v>2346</v>
      </c>
      <c r="R351" s="519">
        <v>0</v>
      </c>
      <c r="AG351" s="509" t="s">
        <v>2514</v>
      </c>
    </row>
    <row r="352" spans="1:33" hidden="1">
      <c r="A352" s="521">
        <f t="shared" si="17"/>
        <v>188</v>
      </c>
      <c r="B352" s="509" t="s">
        <v>2905</v>
      </c>
      <c r="C352" s="492">
        <v>13.73</v>
      </c>
      <c r="D352" s="490" t="s">
        <v>2359</v>
      </c>
      <c r="E352" s="2"/>
      <c r="H352" s="519" t="str">
        <f>H308</f>
        <v>Bricks of size 22x11x7 cm</v>
      </c>
      <c r="I352" s="2"/>
      <c r="J352" s="463"/>
      <c r="K352" s="552"/>
      <c r="R352" s="515" t="s">
        <v>442</v>
      </c>
      <c r="AG352" s="509" t="s">
        <v>2514</v>
      </c>
    </row>
    <row r="353" spans="1:33" hidden="1">
      <c r="A353" s="521">
        <f t="shared" si="17"/>
        <v>189</v>
      </c>
      <c r="B353" s="509" t="s">
        <v>2906</v>
      </c>
      <c r="C353" s="492">
        <v>20.16</v>
      </c>
      <c r="D353" s="490" t="s">
        <v>2359</v>
      </c>
      <c r="E353" s="2"/>
      <c r="H353" s="515" t="s">
        <v>442</v>
      </c>
      <c r="I353" s="2"/>
      <c r="J353" s="463"/>
      <c r="K353" s="552"/>
      <c r="O353" s="509" t="s">
        <v>2358</v>
      </c>
      <c r="R353" s="519" t="e">
        <f>SUM(R347:R351)</f>
        <v>#REF!</v>
      </c>
      <c r="AG353" s="509" t="s">
        <v>2514</v>
      </c>
    </row>
    <row r="354" spans="1:33" hidden="1">
      <c r="A354" s="521">
        <f t="shared" si="17"/>
        <v>190</v>
      </c>
      <c r="B354" s="509" t="s">
        <v>2907</v>
      </c>
      <c r="C354" s="492">
        <v>22.73</v>
      </c>
      <c r="D354" s="490" t="s">
        <v>2359</v>
      </c>
      <c r="E354" s="2"/>
      <c r="F354" s="519">
        <f>F310</f>
        <v>4800</v>
      </c>
      <c r="G354" s="518" t="s">
        <v>2351</v>
      </c>
      <c r="H354" s="519" t="str">
        <f>H308</f>
        <v>Bricks of size 22x11x7 cm</v>
      </c>
      <c r="I354" s="492" t="e">
        <f>C80</f>
        <v>#REF!</v>
      </c>
      <c r="J354" s="500" t="s">
        <v>2352</v>
      </c>
      <c r="K354" s="526" t="e">
        <f>(F354*I354)/1000</f>
        <v>#REF!</v>
      </c>
      <c r="R354" s="515" t="s">
        <v>442</v>
      </c>
      <c r="AG354" s="509" t="s">
        <v>2514</v>
      </c>
    </row>
    <row r="355" spans="1:33" hidden="1">
      <c r="A355" s="521">
        <f t="shared" si="17"/>
        <v>191</v>
      </c>
      <c r="B355" s="509" t="s">
        <v>2908</v>
      </c>
      <c r="C355" s="492">
        <v>46.98</v>
      </c>
      <c r="D355" s="490" t="s">
        <v>2359</v>
      </c>
      <c r="E355" s="2"/>
      <c r="F355" s="519">
        <f>F311</f>
        <v>2.5</v>
      </c>
      <c r="G355" s="518" t="s">
        <v>2334</v>
      </c>
      <c r="H355" s="509" t="s">
        <v>2647</v>
      </c>
      <c r="I355" s="492" t="e">
        <f>K40</f>
        <v>#REF!</v>
      </c>
      <c r="J355" s="500" t="s">
        <v>2334</v>
      </c>
      <c r="K355" s="526" t="e">
        <f>(F355*I355)</f>
        <v>#REF!</v>
      </c>
      <c r="O355" s="509" t="s">
        <v>2355</v>
      </c>
      <c r="R355" s="519" t="e">
        <f>(R353/10)</f>
        <v>#REF!</v>
      </c>
      <c r="AG355" s="509" t="s">
        <v>2514</v>
      </c>
    </row>
    <row r="356" spans="1:33" hidden="1">
      <c r="A356" s="521">
        <f t="shared" si="17"/>
        <v>192</v>
      </c>
      <c r="B356" s="509" t="s">
        <v>2926</v>
      </c>
      <c r="C356" s="2"/>
      <c r="D356" s="2"/>
      <c r="E356" s="2"/>
      <c r="F356" s="519">
        <v>3.5</v>
      </c>
      <c r="G356" s="518" t="s">
        <v>2342</v>
      </c>
      <c r="H356" s="509" t="s">
        <v>2353</v>
      </c>
      <c r="I356" s="492">
        <f>(C10)</f>
        <v>150</v>
      </c>
      <c r="J356" s="500" t="s">
        <v>2342</v>
      </c>
      <c r="K356" s="526">
        <f>(F356*I356)</f>
        <v>525</v>
      </c>
      <c r="R356" s="515" t="s">
        <v>29</v>
      </c>
      <c r="AG356" s="509" t="s">
        <v>2514</v>
      </c>
    </row>
    <row r="357" spans="1:33" hidden="1">
      <c r="A357" s="521">
        <f t="shared" si="17"/>
        <v>193</v>
      </c>
      <c r="B357" s="509" t="s">
        <v>2905</v>
      </c>
      <c r="C357" s="492">
        <v>19.3</v>
      </c>
      <c r="D357" s="490" t="s">
        <v>2359</v>
      </c>
      <c r="E357" s="2"/>
      <c r="F357" s="519">
        <v>10.6</v>
      </c>
      <c r="G357" s="518" t="s">
        <v>2342</v>
      </c>
      <c r="H357" s="509" t="s">
        <v>2343</v>
      </c>
      <c r="I357" s="492">
        <f>(C11)</f>
        <v>135</v>
      </c>
      <c r="J357" s="500" t="s">
        <v>2342</v>
      </c>
      <c r="K357" s="526">
        <f>(F357*I357)</f>
        <v>1431</v>
      </c>
      <c r="N357" s="509" t="s">
        <v>575</v>
      </c>
      <c r="O357" s="509" t="s">
        <v>2927</v>
      </c>
      <c r="AG357" s="509" t="s">
        <v>2514</v>
      </c>
    </row>
    <row r="358" spans="1:33" hidden="1">
      <c r="A358" s="521">
        <f t="shared" si="17"/>
        <v>194</v>
      </c>
      <c r="B358" s="509" t="s">
        <v>2906</v>
      </c>
      <c r="C358" s="492">
        <v>25.74</v>
      </c>
      <c r="D358" s="490" t="s">
        <v>2359</v>
      </c>
      <c r="E358" s="2"/>
      <c r="F358" s="519">
        <v>7.1</v>
      </c>
      <c r="G358" s="518" t="s">
        <v>2342</v>
      </c>
      <c r="H358" s="509" t="s">
        <v>2344</v>
      </c>
      <c r="I358" s="492">
        <f>(C12)</f>
        <v>95</v>
      </c>
      <c r="J358" s="500" t="s">
        <v>2342</v>
      </c>
      <c r="K358" s="526">
        <f>(F358*I358)</f>
        <v>674.5</v>
      </c>
      <c r="O358" s="509" t="s">
        <v>2928</v>
      </c>
      <c r="AG358" s="509" t="s">
        <v>2514</v>
      </c>
    </row>
    <row r="359" spans="1:33" hidden="1">
      <c r="A359" s="521">
        <f t="shared" si="17"/>
        <v>195</v>
      </c>
      <c r="B359" s="509" t="s">
        <v>2907</v>
      </c>
      <c r="C359" s="492">
        <v>33.46</v>
      </c>
      <c r="D359" s="490" t="s">
        <v>2359</v>
      </c>
      <c r="E359" s="2"/>
      <c r="F359" s="519">
        <v>21.2</v>
      </c>
      <c r="G359" s="518" t="s">
        <v>2342</v>
      </c>
      <c r="H359" s="509" t="s">
        <v>2345</v>
      </c>
      <c r="I359" s="492">
        <f>(C13)</f>
        <v>85</v>
      </c>
      <c r="J359" s="500" t="s">
        <v>2342</v>
      </c>
      <c r="K359" s="526">
        <f>(F359*I359)</f>
        <v>1802</v>
      </c>
      <c r="O359" s="509" t="s">
        <v>2929</v>
      </c>
      <c r="AG359" s="509" t="s">
        <v>2514</v>
      </c>
    </row>
    <row r="360" spans="1:33" hidden="1">
      <c r="A360" s="521">
        <f t="shared" si="17"/>
        <v>196</v>
      </c>
      <c r="B360" s="509" t="s">
        <v>2908</v>
      </c>
      <c r="C360" s="492">
        <v>53.62</v>
      </c>
      <c r="D360" s="490" t="s">
        <v>30</v>
      </c>
      <c r="E360" s="2"/>
      <c r="G360" s="518" t="s">
        <v>2346</v>
      </c>
      <c r="H360" s="509" t="s">
        <v>2347</v>
      </c>
      <c r="I360" s="2"/>
      <c r="J360" s="500" t="s">
        <v>2346</v>
      </c>
      <c r="K360" s="526">
        <v>0</v>
      </c>
      <c r="O360" s="515" t="s">
        <v>442</v>
      </c>
      <c r="AG360" s="509" t="s">
        <v>2514</v>
      </c>
    </row>
    <row r="361" spans="1:33" hidden="1">
      <c r="A361" s="521">
        <f t="shared" si="17"/>
        <v>197</v>
      </c>
      <c r="B361" s="509" t="s">
        <v>2930</v>
      </c>
      <c r="C361" s="2"/>
      <c r="D361" s="2"/>
      <c r="E361" s="2"/>
      <c r="I361" s="2"/>
      <c r="J361" s="463"/>
      <c r="K361" s="526" t="s">
        <v>442</v>
      </c>
      <c r="M361" s="519">
        <v>0.22</v>
      </c>
      <c r="N361" s="509" t="s">
        <v>2334</v>
      </c>
      <c r="O361" s="509" t="s">
        <v>2647</v>
      </c>
      <c r="P361" s="519" t="e">
        <f>(K40)</f>
        <v>#REF!</v>
      </c>
      <c r="Q361" s="509" t="s">
        <v>2334</v>
      </c>
      <c r="R361" s="519" t="e">
        <f t="shared" ref="R361:R366" si="18">(M361*P361)</f>
        <v>#REF!</v>
      </c>
      <c r="AG361" s="509" t="s">
        <v>2514</v>
      </c>
    </row>
    <row r="362" spans="1:33" hidden="1">
      <c r="A362" s="521">
        <f t="shared" si="17"/>
        <v>198</v>
      </c>
      <c r="B362" s="509" t="s">
        <v>2905</v>
      </c>
      <c r="C362" s="492">
        <v>26.16</v>
      </c>
      <c r="D362" s="490" t="s">
        <v>2359</v>
      </c>
      <c r="E362" s="2"/>
      <c r="H362" s="509" t="s">
        <v>2348</v>
      </c>
      <c r="I362" s="2"/>
      <c r="J362" s="463"/>
      <c r="K362" s="526" t="e">
        <f>SUM(K354:K360)</f>
        <v>#REF!</v>
      </c>
      <c r="M362" s="519">
        <v>2.2000000000000002</v>
      </c>
      <c r="N362" s="509" t="s">
        <v>2342</v>
      </c>
      <c r="O362" s="509" t="s">
        <v>2353</v>
      </c>
      <c r="P362" s="519">
        <f>(C10)</f>
        <v>150</v>
      </c>
      <c r="Q362" s="509" t="s">
        <v>2342</v>
      </c>
      <c r="R362" s="519">
        <f t="shared" si="18"/>
        <v>330</v>
      </c>
      <c r="AG362" s="509" t="s">
        <v>2514</v>
      </c>
    </row>
    <row r="363" spans="1:33" hidden="1">
      <c r="A363" s="521">
        <f t="shared" si="17"/>
        <v>199</v>
      </c>
      <c r="B363" s="509" t="s">
        <v>2906</v>
      </c>
      <c r="C363" s="492">
        <v>34.32</v>
      </c>
      <c r="D363" s="490" t="s">
        <v>2359</v>
      </c>
      <c r="E363" s="2"/>
      <c r="I363" s="2"/>
      <c r="J363" s="463"/>
      <c r="K363" s="526" t="s">
        <v>442</v>
      </c>
      <c r="M363" s="519">
        <v>0.5</v>
      </c>
      <c r="N363" s="509" t="s">
        <v>2342</v>
      </c>
      <c r="O363" s="509" t="s">
        <v>2344</v>
      </c>
      <c r="P363" s="519">
        <f>(C12)</f>
        <v>95</v>
      </c>
      <c r="Q363" s="509" t="s">
        <v>2342</v>
      </c>
      <c r="R363" s="519">
        <f t="shared" si="18"/>
        <v>47.5</v>
      </c>
      <c r="AG363" s="509" t="s">
        <v>2514</v>
      </c>
    </row>
    <row r="364" spans="1:33" hidden="1">
      <c r="A364" s="521">
        <f t="shared" si="17"/>
        <v>200</v>
      </c>
      <c r="B364" s="509" t="s">
        <v>2907</v>
      </c>
      <c r="C364" s="492">
        <v>40.33</v>
      </c>
      <c r="D364" s="490" t="s">
        <v>2359</v>
      </c>
      <c r="E364" s="2"/>
      <c r="H364" s="509" t="s">
        <v>2349</v>
      </c>
      <c r="I364" s="2"/>
      <c r="J364" s="463"/>
      <c r="K364" s="526" t="e">
        <f>(K362/10)</f>
        <v>#REF!</v>
      </c>
      <c r="M364" s="519">
        <v>1.1000000000000001</v>
      </c>
      <c r="N364" s="509" t="s">
        <v>2931</v>
      </c>
      <c r="O364" s="509" t="s">
        <v>2932</v>
      </c>
      <c r="P364" s="519">
        <f>(C10)</f>
        <v>150</v>
      </c>
      <c r="Q364" s="509" t="s">
        <v>2342</v>
      </c>
      <c r="R364" s="519">
        <f t="shared" si="18"/>
        <v>165</v>
      </c>
      <c r="AG364" s="509" t="s">
        <v>2514</v>
      </c>
    </row>
    <row r="365" spans="1:33" hidden="1">
      <c r="A365" s="521">
        <f t="shared" si="17"/>
        <v>201</v>
      </c>
      <c r="B365" s="509" t="s">
        <v>2933</v>
      </c>
      <c r="C365" s="2"/>
      <c r="D365" s="490" t="s">
        <v>30</v>
      </c>
      <c r="E365" s="2"/>
      <c r="I365" s="2"/>
      <c r="J365" s="463"/>
      <c r="K365" s="526" t="s">
        <v>29</v>
      </c>
      <c r="M365" s="519">
        <v>3.2</v>
      </c>
      <c r="N365" s="509" t="s">
        <v>2342</v>
      </c>
      <c r="O365" s="509" t="s">
        <v>2345</v>
      </c>
      <c r="P365" s="519">
        <f>(C13)</f>
        <v>85</v>
      </c>
      <c r="Q365" s="509" t="s">
        <v>2342</v>
      </c>
      <c r="R365" s="519">
        <f t="shared" si="18"/>
        <v>272</v>
      </c>
      <c r="AG365" s="509" t="s">
        <v>2514</v>
      </c>
    </row>
    <row r="366" spans="1:33" hidden="1">
      <c r="A366" s="521">
        <f t="shared" si="17"/>
        <v>202</v>
      </c>
      <c r="B366" s="509" t="s">
        <v>2905</v>
      </c>
      <c r="C366" s="492">
        <v>20.329999999999998</v>
      </c>
      <c r="D366" s="490" t="s">
        <v>2359</v>
      </c>
      <c r="E366" s="2"/>
      <c r="H366" s="509" t="s">
        <v>2354</v>
      </c>
      <c r="I366" s="2"/>
      <c r="J366" s="463"/>
      <c r="K366" s="526" t="e">
        <f>(K364+C19)</f>
        <v>#REF!</v>
      </c>
      <c r="M366" s="519">
        <v>9.8000000000000007</v>
      </c>
      <c r="N366" s="509" t="s">
        <v>40</v>
      </c>
      <c r="O366" s="509" t="s">
        <v>2776</v>
      </c>
      <c r="P366" s="519">
        <f>(C180)</f>
        <v>110</v>
      </c>
      <c r="Q366" s="509" t="s">
        <v>40</v>
      </c>
      <c r="R366" s="519">
        <f t="shared" si="18"/>
        <v>1078</v>
      </c>
      <c r="AG366" s="509" t="s">
        <v>2514</v>
      </c>
    </row>
    <row r="367" spans="1:33" hidden="1">
      <c r="A367" s="521">
        <f t="shared" si="17"/>
        <v>203</v>
      </c>
      <c r="B367" s="509" t="s">
        <v>2906</v>
      </c>
      <c r="C367" s="492">
        <v>26.6</v>
      </c>
      <c r="D367" s="490" t="s">
        <v>2359</v>
      </c>
      <c r="E367" s="2"/>
      <c r="H367" s="509" t="s">
        <v>2362</v>
      </c>
      <c r="I367" s="2"/>
      <c r="J367" s="463"/>
      <c r="K367" s="526" t="e">
        <f>(K366+C20)</f>
        <v>#REF!</v>
      </c>
      <c r="N367" s="509" t="s">
        <v>2346</v>
      </c>
      <c r="O367" s="509" t="s">
        <v>2347</v>
      </c>
      <c r="P367" s="509" t="s">
        <v>30</v>
      </c>
      <c r="Q367" s="509" t="s">
        <v>2346</v>
      </c>
      <c r="R367" s="519">
        <v>0</v>
      </c>
      <c r="AG367" s="509" t="s">
        <v>2514</v>
      </c>
    </row>
    <row r="368" spans="1:33" hidden="1">
      <c r="A368" s="521">
        <f t="shared" si="17"/>
        <v>204</v>
      </c>
      <c r="B368" s="509" t="s">
        <v>2907</v>
      </c>
      <c r="C368" s="492">
        <v>33.89</v>
      </c>
      <c r="D368" s="490" t="s">
        <v>2359</v>
      </c>
      <c r="E368" s="2"/>
      <c r="H368" s="509" t="s">
        <v>2480</v>
      </c>
      <c r="I368" s="2"/>
      <c r="J368" s="463"/>
      <c r="K368" s="526" t="e">
        <f>(K367+C21)</f>
        <v>#REF!</v>
      </c>
      <c r="R368" s="515" t="s">
        <v>442</v>
      </c>
      <c r="AG368" s="509" t="s">
        <v>2514</v>
      </c>
    </row>
    <row r="369" spans="1:33" hidden="1">
      <c r="A369" s="521">
        <f t="shared" si="17"/>
        <v>205</v>
      </c>
      <c r="B369" s="509" t="s">
        <v>2934</v>
      </c>
      <c r="C369" s="2"/>
      <c r="D369" s="2"/>
      <c r="E369" s="2"/>
      <c r="H369" s="509" t="s">
        <v>2481</v>
      </c>
      <c r="I369" s="2"/>
      <c r="J369" s="463"/>
      <c r="K369" s="526" t="e">
        <f>(K368+C21)</f>
        <v>#REF!</v>
      </c>
      <c r="O369" s="509" t="s">
        <v>2358</v>
      </c>
      <c r="R369" s="519" t="e">
        <f>SUM(R361:R367)</f>
        <v>#REF!</v>
      </c>
      <c r="AG369" s="509" t="s">
        <v>2514</v>
      </c>
    </row>
    <row r="370" spans="1:33" hidden="1">
      <c r="A370" s="521">
        <f t="shared" si="17"/>
        <v>206</v>
      </c>
      <c r="B370" s="509" t="s">
        <v>2905</v>
      </c>
      <c r="C370" s="492">
        <v>13.29</v>
      </c>
      <c r="D370" s="490" t="s">
        <v>2359</v>
      </c>
      <c r="E370" s="2"/>
      <c r="H370" s="509" t="s">
        <v>2885</v>
      </c>
      <c r="I370" s="2"/>
      <c r="J370" s="463"/>
      <c r="K370" s="526" t="e">
        <f>(K369+C21)</f>
        <v>#REF!</v>
      </c>
      <c r="R370" s="515" t="s">
        <v>442</v>
      </c>
      <c r="AG370" s="509" t="s">
        <v>2514</v>
      </c>
    </row>
    <row r="371" spans="1:33" hidden="1">
      <c r="A371" s="521">
        <f t="shared" si="17"/>
        <v>207</v>
      </c>
      <c r="B371" s="509" t="s">
        <v>2906</v>
      </c>
      <c r="C371" s="492">
        <v>18.02</v>
      </c>
      <c r="D371" s="490" t="s">
        <v>2359</v>
      </c>
      <c r="E371" s="2"/>
      <c r="H371" s="509" t="s">
        <v>2935</v>
      </c>
      <c r="I371" s="2"/>
      <c r="J371" s="463"/>
      <c r="K371" s="526" t="e">
        <f>(K366+K367+K368)/3</f>
        <v>#REF!</v>
      </c>
      <c r="O371" s="509" t="s">
        <v>2355</v>
      </c>
      <c r="R371" s="519" t="e">
        <f>(R369/10)</f>
        <v>#REF!</v>
      </c>
      <c r="AG371" s="509" t="s">
        <v>2514</v>
      </c>
    </row>
    <row r="372" spans="1:33" hidden="1">
      <c r="A372" s="521">
        <f t="shared" si="17"/>
        <v>208</v>
      </c>
      <c r="B372" s="509" t="s">
        <v>2907</v>
      </c>
      <c r="C372" s="492">
        <v>23.17</v>
      </c>
      <c r="D372" s="490" t="s">
        <v>2359</v>
      </c>
      <c r="E372" s="2"/>
      <c r="I372" s="2"/>
      <c r="J372" s="463"/>
      <c r="K372" s="552"/>
      <c r="R372" s="515" t="s">
        <v>29</v>
      </c>
      <c r="AG372" s="509" t="s">
        <v>2514</v>
      </c>
    </row>
    <row r="373" spans="1:33" hidden="1">
      <c r="A373" s="521">
        <f t="shared" si="17"/>
        <v>209</v>
      </c>
      <c r="B373" s="509" t="s">
        <v>2936</v>
      </c>
      <c r="C373" s="2"/>
      <c r="D373" s="490" t="s">
        <v>30</v>
      </c>
      <c r="E373" s="2"/>
      <c r="H373" s="510" t="s">
        <v>2937</v>
      </c>
      <c r="I373" s="2"/>
      <c r="J373" s="463"/>
      <c r="K373" s="552"/>
      <c r="N373" s="509" t="s">
        <v>575</v>
      </c>
      <c r="O373" s="509" t="s">
        <v>2938</v>
      </c>
      <c r="AG373" s="509" t="s">
        <v>2514</v>
      </c>
    </row>
    <row r="374" spans="1:33" hidden="1">
      <c r="A374" s="521">
        <f t="shared" si="17"/>
        <v>210</v>
      </c>
      <c r="B374" s="509" t="s">
        <v>2905</v>
      </c>
      <c r="C374" s="492">
        <v>9</v>
      </c>
      <c r="D374" s="490" t="s">
        <v>2359</v>
      </c>
      <c r="E374" s="2"/>
      <c r="H374" s="515" t="s">
        <v>442</v>
      </c>
      <c r="I374" s="2"/>
      <c r="J374" s="463"/>
      <c r="K374" s="552"/>
      <c r="O374" s="515" t="s">
        <v>442</v>
      </c>
      <c r="AG374" s="509" t="s">
        <v>2514</v>
      </c>
    </row>
    <row r="375" spans="1:33" hidden="1">
      <c r="A375" s="521">
        <f t="shared" si="17"/>
        <v>211</v>
      </c>
      <c r="B375" s="509" t="s">
        <v>2906</v>
      </c>
      <c r="C375" s="492">
        <v>11.58</v>
      </c>
      <c r="D375" s="490" t="s">
        <v>2359</v>
      </c>
      <c r="E375" s="2"/>
      <c r="F375" s="524">
        <v>10</v>
      </c>
      <c r="G375" s="518" t="s">
        <v>575</v>
      </c>
      <c r="H375" s="509" t="s">
        <v>2925</v>
      </c>
      <c r="I375" s="2"/>
      <c r="J375" s="463"/>
      <c r="K375" s="552"/>
      <c r="M375" s="519">
        <v>0.05</v>
      </c>
      <c r="N375" s="509" t="s">
        <v>2334</v>
      </c>
      <c r="O375" s="509" t="s">
        <v>2592</v>
      </c>
      <c r="P375" s="519">
        <f>(C84)</f>
        <v>773</v>
      </c>
      <c r="Q375" s="509" t="s">
        <v>2334</v>
      </c>
      <c r="R375" s="519">
        <f>(M375*P375)</f>
        <v>38.650000000000006</v>
      </c>
      <c r="AG375" s="509" t="s">
        <v>2514</v>
      </c>
    </row>
    <row r="376" spans="1:33" hidden="1">
      <c r="A376" s="521">
        <f t="shared" si="17"/>
        <v>212</v>
      </c>
      <c r="B376" s="509" t="s">
        <v>2907</v>
      </c>
      <c r="C376" s="492">
        <v>14.15</v>
      </c>
      <c r="D376" s="490" t="s">
        <v>2359</v>
      </c>
      <c r="E376" s="2"/>
      <c r="H376" s="519" t="str">
        <f>H308</f>
        <v>Bricks of size 22x11x7 cm</v>
      </c>
      <c r="I376" s="2"/>
      <c r="J376" s="463"/>
      <c r="K376" s="552"/>
      <c r="M376" s="519">
        <v>1.1000000000000001</v>
      </c>
      <c r="N376" s="509" t="s">
        <v>2342</v>
      </c>
      <c r="O376" s="509" t="s">
        <v>2343</v>
      </c>
      <c r="P376" s="519">
        <f>(C11)</f>
        <v>135</v>
      </c>
      <c r="Q376" s="509" t="s">
        <v>2342</v>
      </c>
      <c r="R376" s="519">
        <f>(M376*P376)</f>
        <v>148.5</v>
      </c>
      <c r="AG376" s="509" t="s">
        <v>2514</v>
      </c>
    </row>
    <row r="377" spans="1:33" hidden="1">
      <c r="A377" s="521">
        <f t="shared" si="17"/>
        <v>213</v>
      </c>
      <c r="B377" s="509" t="s">
        <v>2939</v>
      </c>
      <c r="C377" s="2"/>
      <c r="D377" s="2"/>
      <c r="E377" s="2"/>
      <c r="H377" s="515" t="s">
        <v>442</v>
      </c>
      <c r="I377" s="2"/>
      <c r="J377" s="463"/>
      <c r="K377" s="552"/>
      <c r="M377" s="519">
        <v>0.3</v>
      </c>
      <c r="N377" s="509" t="s">
        <v>2342</v>
      </c>
      <c r="O377" s="509" t="s">
        <v>2344</v>
      </c>
      <c r="P377" s="519">
        <f>(C12)</f>
        <v>95</v>
      </c>
      <c r="Q377" s="509" t="s">
        <v>2342</v>
      </c>
      <c r="R377" s="519">
        <f>(M377*P377)</f>
        <v>28.5</v>
      </c>
      <c r="AG377" s="509" t="s">
        <v>2514</v>
      </c>
    </row>
    <row r="378" spans="1:33" hidden="1">
      <c r="A378" s="521">
        <f t="shared" si="17"/>
        <v>214</v>
      </c>
      <c r="B378" s="509" t="s">
        <v>2905</v>
      </c>
      <c r="C378" s="492">
        <v>4.29</v>
      </c>
      <c r="D378" s="490" t="s">
        <v>2359</v>
      </c>
      <c r="E378" s="2"/>
      <c r="F378" s="519">
        <f>F310</f>
        <v>4800</v>
      </c>
      <c r="G378" s="518" t="s">
        <v>2351</v>
      </c>
      <c r="H378" s="519" t="str">
        <f>H308</f>
        <v>Bricks of size 22x11x7 cm</v>
      </c>
      <c r="I378" s="492" t="e">
        <f>(C80)</f>
        <v>#REF!</v>
      </c>
      <c r="J378" s="500" t="s">
        <v>2352</v>
      </c>
      <c r="K378" s="526" t="e">
        <f>(F378*I378)/1000</f>
        <v>#REF!</v>
      </c>
      <c r="M378" s="519">
        <v>1.9</v>
      </c>
      <c r="N378" s="509" t="s">
        <v>2342</v>
      </c>
      <c r="O378" s="509" t="s">
        <v>2345</v>
      </c>
      <c r="P378" s="519">
        <f>(C13)</f>
        <v>85</v>
      </c>
      <c r="Q378" s="509" t="s">
        <v>2342</v>
      </c>
      <c r="R378" s="519">
        <f>(M378*P378)</f>
        <v>161.5</v>
      </c>
      <c r="AG378" s="509" t="s">
        <v>2514</v>
      </c>
    </row>
    <row r="379" spans="1:33" hidden="1">
      <c r="A379" s="521">
        <f t="shared" si="17"/>
        <v>215</v>
      </c>
      <c r="B379" s="509" t="s">
        <v>2906</v>
      </c>
      <c r="C379" s="492">
        <v>6.01</v>
      </c>
      <c r="D379" s="490" t="s">
        <v>2359</v>
      </c>
      <c r="E379" s="2"/>
      <c r="F379" s="519">
        <v>1.59</v>
      </c>
      <c r="G379" s="518" t="s">
        <v>2334</v>
      </c>
      <c r="H379" s="509" t="s">
        <v>2647</v>
      </c>
      <c r="I379" s="492" t="e">
        <f>(K40)</f>
        <v>#REF!</v>
      </c>
      <c r="J379" s="500" t="s">
        <v>2334</v>
      </c>
      <c r="K379" s="526" t="e">
        <f>(F379*I379)</f>
        <v>#REF!</v>
      </c>
      <c r="N379" s="509" t="s">
        <v>2346</v>
      </c>
      <c r="O379" s="509" t="s">
        <v>2940</v>
      </c>
      <c r="P379" s="509" t="s">
        <v>30</v>
      </c>
      <c r="Q379" s="509" t="s">
        <v>2346</v>
      </c>
      <c r="R379" s="519">
        <v>1.46</v>
      </c>
      <c r="AG379" s="509" t="s">
        <v>2514</v>
      </c>
    </row>
    <row r="380" spans="1:33" hidden="1">
      <c r="A380" s="521">
        <f t="shared" si="17"/>
        <v>216</v>
      </c>
      <c r="B380" s="509" t="s">
        <v>2907</v>
      </c>
      <c r="C380" s="492">
        <v>6.86</v>
      </c>
      <c r="D380" s="490" t="s">
        <v>2359</v>
      </c>
      <c r="E380" s="2"/>
      <c r="F380" s="519">
        <v>7</v>
      </c>
      <c r="G380" s="518" t="s">
        <v>2342</v>
      </c>
      <c r="H380" s="509" t="s">
        <v>2353</v>
      </c>
      <c r="I380" s="492">
        <f>(C10)</f>
        <v>150</v>
      </c>
      <c r="J380" s="500" t="s">
        <v>2342</v>
      </c>
      <c r="K380" s="526">
        <f>(F380*I380)</f>
        <v>1050</v>
      </c>
      <c r="R380" s="515" t="s">
        <v>442</v>
      </c>
      <c r="AG380" s="509" t="s">
        <v>2514</v>
      </c>
    </row>
    <row r="381" spans="1:33" hidden="1">
      <c r="A381" s="521">
        <f t="shared" si="17"/>
        <v>217</v>
      </c>
      <c r="B381" s="509" t="s">
        <v>2941</v>
      </c>
      <c r="C381" s="2"/>
      <c r="D381" s="490" t="s">
        <v>30</v>
      </c>
      <c r="E381" s="2"/>
      <c r="F381" s="519">
        <v>7.1</v>
      </c>
      <c r="G381" s="518" t="s">
        <v>2342</v>
      </c>
      <c r="H381" s="509" t="s">
        <v>2343</v>
      </c>
      <c r="I381" s="492">
        <f>(C11)</f>
        <v>135</v>
      </c>
      <c r="J381" s="500" t="s">
        <v>2342</v>
      </c>
      <c r="K381" s="526">
        <f>(F381*I381)</f>
        <v>958.5</v>
      </c>
      <c r="O381" s="509" t="s">
        <v>2942</v>
      </c>
      <c r="R381" s="519">
        <f>SUM(R374:R379)</f>
        <v>378.60999999999996</v>
      </c>
      <c r="AG381" s="509" t="s">
        <v>2514</v>
      </c>
    </row>
    <row r="382" spans="1:33" hidden="1">
      <c r="A382" s="521">
        <f t="shared" si="17"/>
        <v>218</v>
      </c>
      <c r="B382" s="509" t="s">
        <v>2905</v>
      </c>
      <c r="C382" s="492">
        <v>14.91</v>
      </c>
      <c r="D382" s="490" t="s">
        <v>2359</v>
      </c>
      <c r="E382" s="2"/>
      <c r="F382" s="519">
        <v>7.1</v>
      </c>
      <c r="G382" s="518" t="s">
        <v>2342</v>
      </c>
      <c r="H382" s="509" t="s">
        <v>2344</v>
      </c>
      <c r="I382" s="492">
        <f>(C12)</f>
        <v>95</v>
      </c>
      <c r="J382" s="500" t="s">
        <v>2342</v>
      </c>
      <c r="K382" s="526">
        <f>(F382*I382)</f>
        <v>674.5</v>
      </c>
      <c r="R382" s="515" t="s">
        <v>442</v>
      </c>
      <c r="AG382" s="509" t="s">
        <v>2514</v>
      </c>
    </row>
    <row r="383" spans="1:33" hidden="1">
      <c r="A383" s="521">
        <f t="shared" si="17"/>
        <v>219</v>
      </c>
      <c r="B383" s="509" t="s">
        <v>2906</v>
      </c>
      <c r="C383" s="492">
        <v>17.579999999999998</v>
      </c>
      <c r="D383" s="490" t="s">
        <v>2359</v>
      </c>
      <c r="E383" s="2"/>
      <c r="F383" s="519">
        <v>21.2</v>
      </c>
      <c r="G383" s="518" t="s">
        <v>2342</v>
      </c>
      <c r="H383" s="509" t="s">
        <v>2345</v>
      </c>
      <c r="I383" s="492">
        <f>(C13)</f>
        <v>85</v>
      </c>
      <c r="J383" s="500" t="s">
        <v>2342</v>
      </c>
      <c r="K383" s="526">
        <f>(F383*I383)</f>
        <v>1802</v>
      </c>
      <c r="O383" s="509" t="s">
        <v>2355</v>
      </c>
      <c r="R383" s="519">
        <f>(R381/100)</f>
        <v>3.7860999999999994</v>
      </c>
      <c r="AG383" s="509" t="s">
        <v>2514</v>
      </c>
    </row>
    <row r="384" spans="1:33" hidden="1">
      <c r="A384" s="521">
        <f t="shared" si="17"/>
        <v>220</v>
      </c>
      <c r="B384" s="509" t="s">
        <v>2907</v>
      </c>
      <c r="C384" s="492">
        <v>19.3</v>
      </c>
      <c r="D384" s="490" t="s">
        <v>2359</v>
      </c>
      <c r="E384" s="2"/>
      <c r="G384" s="518" t="s">
        <v>2346</v>
      </c>
      <c r="H384" s="509" t="s">
        <v>2347</v>
      </c>
      <c r="I384" s="490" t="s">
        <v>30</v>
      </c>
      <c r="J384" s="500" t="s">
        <v>2346</v>
      </c>
      <c r="K384" s="526">
        <v>0</v>
      </c>
      <c r="R384" s="515" t="s">
        <v>29</v>
      </c>
      <c r="AG384" s="509" t="s">
        <v>2514</v>
      </c>
    </row>
    <row r="385" spans="1:33" hidden="1">
      <c r="A385" s="521">
        <f t="shared" si="17"/>
        <v>221</v>
      </c>
      <c r="B385" s="509" t="s">
        <v>2943</v>
      </c>
      <c r="C385" s="2"/>
      <c r="D385" s="2"/>
      <c r="E385" s="2"/>
      <c r="I385" s="2"/>
      <c r="J385" s="463"/>
      <c r="K385" s="526" t="s">
        <v>442</v>
      </c>
      <c r="AG385" s="509" t="s">
        <v>2690</v>
      </c>
    </row>
    <row r="386" spans="1:33" hidden="1">
      <c r="A386" s="521">
        <f t="shared" si="17"/>
        <v>222</v>
      </c>
      <c r="B386" s="509" t="s">
        <v>2905</v>
      </c>
      <c r="C386" s="492">
        <v>15.87</v>
      </c>
      <c r="D386" s="490" t="s">
        <v>2359</v>
      </c>
      <c r="E386" s="2"/>
      <c r="H386" s="509" t="s">
        <v>2348</v>
      </c>
      <c r="I386" s="2"/>
      <c r="J386" s="463"/>
      <c r="K386" s="526" t="e">
        <f>SUM(K378:K384)</f>
        <v>#REF!</v>
      </c>
    </row>
    <row r="387" spans="1:33" hidden="1">
      <c r="A387" s="521">
        <f t="shared" si="17"/>
        <v>223</v>
      </c>
      <c r="B387" s="509" t="s">
        <v>2906</v>
      </c>
      <c r="C387" s="492">
        <v>20.16</v>
      </c>
      <c r="D387" s="490" t="s">
        <v>2359</v>
      </c>
      <c r="E387" s="2"/>
      <c r="I387" s="2"/>
      <c r="J387" s="463"/>
      <c r="K387" s="526" t="s">
        <v>442</v>
      </c>
      <c r="N387" s="509" t="s">
        <v>2843</v>
      </c>
      <c r="O387" s="509" t="s">
        <v>2944</v>
      </c>
    </row>
    <row r="388" spans="1:33" hidden="1">
      <c r="A388" s="521">
        <f t="shared" si="17"/>
        <v>224</v>
      </c>
      <c r="B388" s="509" t="s">
        <v>2907</v>
      </c>
      <c r="C388" s="492">
        <v>22.31</v>
      </c>
      <c r="D388" s="490" t="s">
        <v>2359</v>
      </c>
      <c r="E388" s="2"/>
      <c r="H388" s="509" t="s">
        <v>2349</v>
      </c>
      <c r="I388" s="2"/>
      <c r="J388" s="463"/>
      <c r="K388" s="526" t="e">
        <f>(K386/10)</f>
        <v>#REF!</v>
      </c>
      <c r="O388" s="515" t="s">
        <v>442</v>
      </c>
      <c r="AG388" s="509" t="s">
        <v>2514</v>
      </c>
    </row>
    <row r="389" spans="1:33" hidden="1">
      <c r="A389" s="521">
        <f t="shared" si="17"/>
        <v>225</v>
      </c>
      <c r="B389" s="509" t="s">
        <v>2945</v>
      </c>
      <c r="C389" s="2"/>
      <c r="D389" s="490" t="s">
        <v>30</v>
      </c>
      <c r="E389" s="2"/>
      <c r="I389" s="2"/>
      <c r="J389" s="463"/>
      <c r="K389" s="526" t="s">
        <v>29</v>
      </c>
      <c r="M389" s="519">
        <v>7.0000000000000007E-2</v>
      </c>
      <c r="N389" s="509" t="s">
        <v>2334</v>
      </c>
      <c r="O389" s="509" t="s">
        <v>2592</v>
      </c>
      <c r="P389" s="519">
        <f>(C84)</f>
        <v>773</v>
      </c>
      <c r="Q389" s="509" t="s">
        <v>2334</v>
      </c>
      <c r="R389" s="519">
        <f>(M389*P389)</f>
        <v>54.110000000000007</v>
      </c>
      <c r="AG389" s="509" t="s">
        <v>2514</v>
      </c>
    </row>
    <row r="390" spans="1:33" hidden="1">
      <c r="A390" s="521">
        <f t="shared" si="17"/>
        <v>226</v>
      </c>
      <c r="B390" s="509" t="s">
        <v>2946</v>
      </c>
      <c r="C390" s="492">
        <v>26.4</v>
      </c>
      <c r="D390" s="490" t="s">
        <v>2205</v>
      </c>
      <c r="E390" s="2"/>
      <c r="I390" s="2"/>
      <c r="J390" s="463"/>
      <c r="K390" s="552"/>
      <c r="M390" s="519">
        <v>1.6</v>
      </c>
      <c r="N390" s="509" t="s">
        <v>2342</v>
      </c>
      <c r="O390" s="509" t="s">
        <v>2343</v>
      </c>
      <c r="P390" s="519">
        <f>(C11)</f>
        <v>135</v>
      </c>
      <c r="Q390" s="509" t="s">
        <v>2342</v>
      </c>
      <c r="R390" s="519">
        <f>(M390*P390)</f>
        <v>216</v>
      </c>
      <c r="AG390" s="509" t="s">
        <v>2514</v>
      </c>
    </row>
    <row r="391" spans="1:33" hidden="1">
      <c r="A391" s="521">
        <f t="shared" si="17"/>
        <v>227</v>
      </c>
      <c r="B391" s="509" t="s">
        <v>2947</v>
      </c>
      <c r="C391" s="492">
        <v>35.26</v>
      </c>
      <c r="D391" s="490" t="s">
        <v>2205</v>
      </c>
      <c r="E391" s="2"/>
      <c r="G391" s="518" t="s">
        <v>2843</v>
      </c>
      <c r="H391" s="509" t="s">
        <v>2948</v>
      </c>
      <c r="I391" s="2"/>
      <c r="J391" s="463"/>
      <c r="K391" s="552"/>
      <c r="M391" s="519">
        <v>0.5</v>
      </c>
      <c r="N391" s="509" t="s">
        <v>2342</v>
      </c>
      <c r="O391" s="509" t="s">
        <v>2344</v>
      </c>
      <c r="P391" s="519">
        <f>(C12)</f>
        <v>95</v>
      </c>
      <c r="Q391" s="509" t="s">
        <v>2342</v>
      </c>
      <c r="R391" s="519">
        <f>(M391*P391)</f>
        <v>47.5</v>
      </c>
      <c r="AG391" s="509" t="s">
        <v>2514</v>
      </c>
    </row>
    <row r="392" spans="1:33" hidden="1">
      <c r="A392" s="521">
        <f t="shared" si="17"/>
        <v>228</v>
      </c>
      <c r="B392" s="509" t="s">
        <v>2949</v>
      </c>
      <c r="C392" s="492">
        <v>48.71</v>
      </c>
      <c r="D392" s="490" t="s">
        <v>2205</v>
      </c>
      <c r="E392" s="2"/>
      <c r="H392" s="515" t="s">
        <v>442</v>
      </c>
      <c r="I392" s="2"/>
      <c r="J392" s="463"/>
      <c r="K392" s="552"/>
      <c r="M392" s="519">
        <v>2.7</v>
      </c>
      <c r="N392" s="509" t="s">
        <v>2342</v>
      </c>
      <c r="O392" s="509" t="s">
        <v>2345</v>
      </c>
      <c r="P392" s="519">
        <f>(C13)</f>
        <v>85</v>
      </c>
      <c r="Q392" s="509" t="s">
        <v>2342</v>
      </c>
      <c r="R392" s="519">
        <f>(M392*P392)</f>
        <v>229.50000000000003</v>
      </c>
      <c r="AG392" s="509" t="s">
        <v>2514</v>
      </c>
    </row>
    <row r="393" spans="1:33" hidden="1">
      <c r="A393" s="521">
        <f t="shared" si="17"/>
        <v>229</v>
      </c>
      <c r="B393" s="509" t="s">
        <v>2950</v>
      </c>
      <c r="C393" s="492">
        <v>58.75</v>
      </c>
      <c r="D393" s="490" t="s">
        <v>2205</v>
      </c>
      <c r="E393" s="2"/>
      <c r="F393" s="519">
        <v>1.1000000000000001</v>
      </c>
      <c r="G393" s="518" t="s">
        <v>2334</v>
      </c>
      <c r="H393" s="509" t="s">
        <v>2951</v>
      </c>
      <c r="I393" s="492" t="e">
        <f>(K388)</f>
        <v>#REF!</v>
      </c>
      <c r="J393" s="500" t="s">
        <v>2342</v>
      </c>
      <c r="K393" s="526" t="e">
        <f>(F393*I393)</f>
        <v>#REF!</v>
      </c>
      <c r="N393" s="509" t="s">
        <v>2346</v>
      </c>
      <c r="O393" s="509" t="s">
        <v>2940</v>
      </c>
      <c r="P393" s="509" t="s">
        <v>30</v>
      </c>
      <c r="Q393" s="509" t="s">
        <v>2346</v>
      </c>
      <c r="R393" s="519">
        <v>2.09</v>
      </c>
      <c r="AG393" s="509" t="s">
        <v>2514</v>
      </c>
    </row>
    <row r="394" spans="1:33" hidden="1">
      <c r="A394" s="521">
        <f t="shared" si="17"/>
        <v>230</v>
      </c>
      <c r="B394" s="509" t="s">
        <v>2952</v>
      </c>
      <c r="C394" s="492">
        <v>70.2</v>
      </c>
      <c r="D394" s="490" t="s">
        <v>2205</v>
      </c>
      <c r="E394" s="2"/>
      <c r="F394" s="519">
        <v>1</v>
      </c>
      <c r="G394" s="518" t="s">
        <v>2359</v>
      </c>
      <c r="H394" s="509" t="s">
        <v>2353</v>
      </c>
      <c r="I394" s="492">
        <f>(C10)</f>
        <v>150</v>
      </c>
      <c r="J394" s="500" t="s">
        <v>2342</v>
      </c>
      <c r="K394" s="526">
        <f>(F394*I394)</f>
        <v>150</v>
      </c>
      <c r="R394" s="515" t="s">
        <v>442</v>
      </c>
      <c r="AG394" s="509" t="s">
        <v>2514</v>
      </c>
    </row>
    <row r="395" spans="1:33" hidden="1">
      <c r="A395" s="521">
        <f t="shared" si="17"/>
        <v>231</v>
      </c>
      <c r="B395" s="509" t="s">
        <v>2905</v>
      </c>
      <c r="C395" s="492">
        <v>91.85</v>
      </c>
      <c r="D395" s="490" t="s">
        <v>2205</v>
      </c>
      <c r="E395" s="2"/>
      <c r="G395" s="518" t="s">
        <v>2346</v>
      </c>
      <c r="H395" s="509" t="s">
        <v>2347</v>
      </c>
      <c r="I395" s="490" t="s">
        <v>30</v>
      </c>
      <c r="J395" s="500" t="s">
        <v>2346</v>
      </c>
      <c r="K395" s="526">
        <v>0</v>
      </c>
      <c r="O395" s="509" t="s">
        <v>2942</v>
      </c>
      <c r="R395" s="519">
        <f>SUM(R388:R393)</f>
        <v>549.20000000000005</v>
      </c>
      <c r="AG395" s="509" t="s">
        <v>2514</v>
      </c>
    </row>
    <row r="396" spans="1:33" hidden="1">
      <c r="A396" s="521">
        <f t="shared" ref="A396:A420" si="19">(A395+1)</f>
        <v>232</v>
      </c>
      <c r="B396" s="509" t="s">
        <v>2953</v>
      </c>
      <c r="C396" s="492">
        <v>128</v>
      </c>
      <c r="D396" s="490" t="s">
        <v>2205</v>
      </c>
      <c r="E396" s="2"/>
      <c r="I396" s="2"/>
      <c r="J396" s="463"/>
      <c r="K396" s="526" t="s">
        <v>442</v>
      </c>
      <c r="R396" s="515" t="s">
        <v>442</v>
      </c>
      <c r="AG396" s="509" t="s">
        <v>2514</v>
      </c>
    </row>
    <row r="397" spans="1:33" hidden="1">
      <c r="A397" s="521">
        <f t="shared" si="19"/>
        <v>233</v>
      </c>
      <c r="B397" s="509" t="s">
        <v>2954</v>
      </c>
      <c r="C397" s="2"/>
      <c r="D397" s="2"/>
      <c r="E397" s="2"/>
      <c r="H397" s="509" t="s">
        <v>2358</v>
      </c>
      <c r="I397" s="2"/>
      <c r="J397" s="463"/>
      <c r="K397" s="526" t="e">
        <f>SUM(K393:K395)</f>
        <v>#REF!</v>
      </c>
      <c r="O397" s="509" t="s">
        <v>2355</v>
      </c>
      <c r="R397" s="519">
        <f>(R395/100)</f>
        <v>5.4920000000000009</v>
      </c>
      <c r="AG397" s="509" t="s">
        <v>2514</v>
      </c>
    </row>
    <row r="398" spans="1:33" hidden="1">
      <c r="A398" s="521">
        <f t="shared" si="19"/>
        <v>234</v>
      </c>
      <c r="B398" s="509" t="s">
        <v>2946</v>
      </c>
      <c r="C398" s="492">
        <v>9</v>
      </c>
      <c r="D398" s="490" t="s">
        <v>2342</v>
      </c>
      <c r="E398" s="2"/>
      <c r="I398" s="2"/>
      <c r="J398" s="463"/>
      <c r="K398" s="526" t="s">
        <v>442</v>
      </c>
      <c r="R398" s="515" t="s">
        <v>29</v>
      </c>
      <c r="AG398" s="509" t="s">
        <v>2514</v>
      </c>
    </row>
    <row r="399" spans="1:33" hidden="1">
      <c r="A399" s="521">
        <f t="shared" si="19"/>
        <v>235</v>
      </c>
      <c r="B399" s="509" t="s">
        <v>2947</v>
      </c>
      <c r="C399" s="492">
        <v>11</v>
      </c>
      <c r="D399" s="490" t="s">
        <v>2342</v>
      </c>
      <c r="E399" s="2"/>
      <c r="H399" s="509" t="s">
        <v>2355</v>
      </c>
      <c r="I399" s="2"/>
      <c r="J399" s="463"/>
      <c r="K399" s="526" t="e">
        <f>(K397/10)</f>
        <v>#REF!</v>
      </c>
      <c r="N399" s="509" t="s">
        <v>2843</v>
      </c>
      <c r="O399" s="509" t="s">
        <v>2955</v>
      </c>
      <c r="AG399" s="509" t="s">
        <v>2514</v>
      </c>
    </row>
    <row r="400" spans="1:33" hidden="1">
      <c r="A400" s="521">
        <f t="shared" si="19"/>
        <v>236</v>
      </c>
      <c r="B400" s="509" t="s">
        <v>2949</v>
      </c>
      <c r="C400" s="492">
        <v>18</v>
      </c>
      <c r="D400" s="490" t="s">
        <v>2342</v>
      </c>
      <c r="E400" s="2"/>
      <c r="I400" s="2"/>
      <c r="J400" s="463"/>
      <c r="K400" s="526" t="s">
        <v>29</v>
      </c>
      <c r="O400" s="515" t="s">
        <v>442</v>
      </c>
      <c r="AG400" s="509" t="s">
        <v>2514</v>
      </c>
    </row>
    <row r="401" spans="1:33" hidden="1">
      <c r="A401" s="521">
        <f t="shared" si="19"/>
        <v>237</v>
      </c>
      <c r="B401" s="509" t="s">
        <v>2950</v>
      </c>
      <c r="C401" s="492">
        <v>24.6</v>
      </c>
      <c r="D401" s="490" t="s">
        <v>2342</v>
      </c>
      <c r="E401" s="2"/>
      <c r="H401" s="509" t="s">
        <v>2354</v>
      </c>
      <c r="I401" s="2"/>
      <c r="J401" s="463"/>
      <c r="K401" s="526" t="e">
        <f>(K399+C19/10*F393)</f>
        <v>#REF!</v>
      </c>
      <c r="M401" s="519">
        <v>10</v>
      </c>
      <c r="N401" s="509" t="s">
        <v>2788</v>
      </c>
      <c r="O401" s="509" t="s">
        <v>2944</v>
      </c>
      <c r="P401" s="519">
        <f>(R397)</f>
        <v>5.4920000000000009</v>
      </c>
      <c r="Q401" s="509" t="s">
        <v>2788</v>
      </c>
      <c r="R401" s="519">
        <f>(M401*P401)</f>
        <v>54.920000000000009</v>
      </c>
      <c r="AG401" s="509" t="s">
        <v>2514</v>
      </c>
    </row>
    <row r="402" spans="1:33" hidden="1">
      <c r="A402" s="521">
        <f t="shared" si="19"/>
        <v>238</v>
      </c>
      <c r="B402" s="509" t="s">
        <v>2952</v>
      </c>
      <c r="C402" s="492">
        <v>31.46</v>
      </c>
      <c r="D402" s="490" t="s">
        <v>2342</v>
      </c>
      <c r="E402" s="2"/>
      <c r="H402" s="509" t="s">
        <v>2362</v>
      </c>
      <c r="I402" s="2"/>
      <c r="J402" s="463"/>
      <c r="K402" s="526" t="e">
        <f>(K401+C20/10*F393)</f>
        <v>#REF!</v>
      </c>
      <c r="M402" s="519">
        <v>10</v>
      </c>
      <c r="N402" s="509" t="s">
        <v>2788</v>
      </c>
      <c r="O402" s="509" t="s">
        <v>2956</v>
      </c>
      <c r="P402" s="519">
        <f>(R397/2)</f>
        <v>2.7460000000000004</v>
      </c>
      <c r="Q402" s="509" t="s">
        <v>2788</v>
      </c>
      <c r="R402" s="519">
        <f>(M402*P402)</f>
        <v>27.460000000000004</v>
      </c>
      <c r="AG402" s="509" t="s">
        <v>2514</v>
      </c>
    </row>
    <row r="403" spans="1:33" hidden="1">
      <c r="A403" s="521">
        <f t="shared" si="19"/>
        <v>239</v>
      </c>
      <c r="B403" s="509" t="s">
        <v>2905</v>
      </c>
      <c r="C403" s="492">
        <v>53.2</v>
      </c>
      <c r="D403" s="490" t="s">
        <v>2342</v>
      </c>
      <c r="E403" s="2"/>
      <c r="H403" s="509" t="s">
        <v>2480</v>
      </c>
      <c r="I403" s="2"/>
      <c r="J403" s="463"/>
      <c r="K403" s="526" t="e">
        <f>(K402+C21/10*F393)</f>
        <v>#REF!</v>
      </c>
      <c r="O403" s="509" t="s">
        <v>2957</v>
      </c>
      <c r="R403" s="515" t="s">
        <v>442</v>
      </c>
      <c r="AG403" s="509" t="s">
        <v>2514</v>
      </c>
    </row>
    <row r="404" spans="1:33" hidden="1">
      <c r="A404" s="521">
        <f t="shared" si="19"/>
        <v>240</v>
      </c>
      <c r="B404" s="509" t="s">
        <v>2953</v>
      </c>
      <c r="C404" s="492">
        <v>76.36</v>
      </c>
      <c r="D404" s="490" t="s">
        <v>2342</v>
      </c>
      <c r="E404" s="2"/>
      <c r="H404" s="509" t="s">
        <v>2481</v>
      </c>
      <c r="I404" s="2"/>
      <c r="J404" s="463"/>
      <c r="K404" s="526" t="e">
        <f>(K403+C21/10*F393)</f>
        <v>#REF!</v>
      </c>
      <c r="R404" s="519">
        <f>SUM(R401:R402)</f>
        <v>82.38000000000001</v>
      </c>
      <c r="AG404" s="509" t="s">
        <v>2514</v>
      </c>
    </row>
    <row r="405" spans="1:33" hidden="1">
      <c r="A405" s="521">
        <f t="shared" si="19"/>
        <v>241</v>
      </c>
      <c r="B405" s="509" t="s">
        <v>2958</v>
      </c>
      <c r="C405" s="2"/>
      <c r="D405" s="490" t="s">
        <v>30</v>
      </c>
      <c r="E405" s="2"/>
      <c r="H405" s="509" t="s">
        <v>262</v>
      </c>
      <c r="I405" s="2"/>
      <c r="J405" s="463"/>
      <c r="K405" s="526" t="e">
        <f>(K404+C21/10*F393)</f>
        <v>#REF!</v>
      </c>
      <c r="O405" s="509" t="s">
        <v>2358</v>
      </c>
      <c r="R405" s="515" t="s">
        <v>442</v>
      </c>
      <c r="AG405" s="509" t="s">
        <v>2514</v>
      </c>
    </row>
    <row r="406" spans="1:33" hidden="1">
      <c r="A406" s="521">
        <f t="shared" si="19"/>
        <v>242</v>
      </c>
      <c r="B406" s="509" t="s">
        <v>2946</v>
      </c>
      <c r="C406" s="492">
        <v>5.5</v>
      </c>
      <c r="D406" s="490" t="s">
        <v>2342</v>
      </c>
      <c r="E406" s="2"/>
      <c r="F406" s="524">
        <v>11</v>
      </c>
      <c r="G406" s="518" t="s">
        <v>575</v>
      </c>
      <c r="H406" s="509" t="s">
        <v>2925</v>
      </c>
      <c r="I406" s="2"/>
      <c r="J406" s="463"/>
      <c r="K406" s="552"/>
      <c r="R406" s="519">
        <f>(R404/10)</f>
        <v>8.2380000000000013</v>
      </c>
      <c r="AG406" s="509" t="s">
        <v>2514</v>
      </c>
    </row>
    <row r="407" spans="1:33" hidden="1">
      <c r="A407" s="521">
        <f t="shared" si="19"/>
        <v>243</v>
      </c>
      <c r="B407" s="509" t="s">
        <v>2947</v>
      </c>
      <c r="C407" s="492">
        <v>8</v>
      </c>
      <c r="D407" s="490" t="s">
        <v>2342</v>
      </c>
      <c r="E407" s="2"/>
      <c r="H407" s="519" t="str">
        <f>H308</f>
        <v>Bricks of size 22x11x7 cm</v>
      </c>
      <c r="I407" s="2"/>
      <c r="J407" s="463"/>
      <c r="K407" s="552"/>
      <c r="O407" s="509" t="s">
        <v>2355</v>
      </c>
      <c r="R407" s="515" t="s">
        <v>29</v>
      </c>
      <c r="AG407" s="509" t="s">
        <v>2514</v>
      </c>
    </row>
    <row r="408" spans="1:33" hidden="1">
      <c r="A408" s="521">
        <f t="shared" si="19"/>
        <v>244</v>
      </c>
      <c r="B408" s="509" t="s">
        <v>2949</v>
      </c>
      <c r="C408" s="492">
        <v>10.4</v>
      </c>
      <c r="D408" s="490" t="s">
        <v>2342</v>
      </c>
      <c r="E408" s="2"/>
      <c r="H408" s="515" t="s">
        <v>442</v>
      </c>
      <c r="I408" s="2"/>
      <c r="J408" s="463"/>
      <c r="K408" s="552"/>
      <c r="AG408" s="509" t="s">
        <v>2514</v>
      </c>
    </row>
    <row r="409" spans="1:33" hidden="1">
      <c r="A409" s="521">
        <f t="shared" si="19"/>
        <v>245</v>
      </c>
      <c r="B409" s="509" t="s">
        <v>2950</v>
      </c>
      <c r="C409" s="492">
        <v>22.06</v>
      </c>
      <c r="D409" s="490" t="s">
        <v>2342</v>
      </c>
      <c r="E409" s="2"/>
      <c r="F409" s="519">
        <f>F310</f>
        <v>4800</v>
      </c>
      <c r="G409" s="518" t="s">
        <v>2351</v>
      </c>
      <c r="H409" s="519" t="str">
        <f>H308</f>
        <v>Bricks of size 22x11x7 cm</v>
      </c>
      <c r="I409" s="492" t="e">
        <f>(C80)</f>
        <v>#REF!</v>
      </c>
      <c r="J409" s="500" t="s">
        <v>2959</v>
      </c>
      <c r="K409" s="526" t="e">
        <f>(F409*I409)/1000</f>
        <v>#REF!</v>
      </c>
      <c r="N409" s="509" t="s">
        <v>575</v>
      </c>
      <c r="O409" s="509" t="s">
        <v>2960</v>
      </c>
      <c r="AG409" s="509" t="s">
        <v>2514</v>
      </c>
    </row>
    <row r="410" spans="1:33" hidden="1">
      <c r="A410" s="521">
        <f t="shared" si="19"/>
        <v>246</v>
      </c>
      <c r="B410" s="509" t="s">
        <v>2952</v>
      </c>
      <c r="C410" s="492">
        <v>27.91</v>
      </c>
      <c r="D410" s="490" t="s">
        <v>2342</v>
      </c>
      <c r="E410" s="2"/>
      <c r="F410" s="519">
        <v>1.59</v>
      </c>
      <c r="G410" s="518" t="s">
        <v>2334</v>
      </c>
      <c r="H410" s="509" t="s">
        <v>2647</v>
      </c>
      <c r="I410" s="492" t="e">
        <f>(K40)</f>
        <v>#REF!</v>
      </c>
      <c r="J410" s="500" t="s">
        <v>2334</v>
      </c>
      <c r="K410" s="526" t="e">
        <f>(F410*I410)</f>
        <v>#REF!</v>
      </c>
      <c r="O410" s="509" t="s">
        <v>2961</v>
      </c>
      <c r="AG410" s="509" t="s">
        <v>2514</v>
      </c>
    </row>
    <row r="411" spans="1:33" hidden="1">
      <c r="A411" s="521">
        <f t="shared" si="19"/>
        <v>247</v>
      </c>
      <c r="B411" s="509" t="s">
        <v>2905</v>
      </c>
      <c r="C411" s="492">
        <v>49.42</v>
      </c>
      <c r="D411" s="490" t="s">
        <v>2342</v>
      </c>
      <c r="E411" s="2"/>
      <c r="F411" s="519">
        <v>7</v>
      </c>
      <c r="G411" s="518" t="s">
        <v>2342</v>
      </c>
      <c r="H411" s="509" t="s">
        <v>2353</v>
      </c>
      <c r="I411" s="492">
        <f>(C10)</f>
        <v>150</v>
      </c>
      <c r="J411" s="500" t="s">
        <v>2342</v>
      </c>
      <c r="K411" s="526">
        <f>(F411*I411)</f>
        <v>1050</v>
      </c>
      <c r="O411" s="515" t="s">
        <v>442</v>
      </c>
      <c r="AG411" s="509" t="s">
        <v>2514</v>
      </c>
    </row>
    <row r="412" spans="1:33" hidden="1">
      <c r="A412" s="521">
        <f t="shared" si="19"/>
        <v>248</v>
      </c>
      <c r="B412" s="509" t="s">
        <v>2953</v>
      </c>
      <c r="C412" s="492">
        <v>86.94</v>
      </c>
      <c r="D412" s="490" t="s">
        <v>2342</v>
      </c>
      <c r="E412" s="2"/>
      <c r="F412" s="519">
        <v>7.1</v>
      </c>
      <c r="G412" s="518" t="s">
        <v>2342</v>
      </c>
      <c r="H412" s="509" t="s">
        <v>2343</v>
      </c>
      <c r="I412" s="492">
        <f>(C11)</f>
        <v>135</v>
      </c>
      <c r="J412" s="500" t="s">
        <v>2342</v>
      </c>
      <c r="K412" s="526">
        <f>(F412*I412)</f>
        <v>958.5</v>
      </c>
      <c r="M412" s="519">
        <v>10</v>
      </c>
      <c r="N412" s="509" t="s">
        <v>2788</v>
      </c>
      <c r="O412" s="509" t="s">
        <v>2938</v>
      </c>
      <c r="P412" s="519">
        <f>(R383)</f>
        <v>3.7860999999999994</v>
      </c>
      <c r="Q412" s="509" t="s">
        <v>2788</v>
      </c>
      <c r="R412" s="519">
        <f>(M412*P412)</f>
        <v>37.86099999999999</v>
      </c>
      <c r="AG412" s="509" t="s">
        <v>2514</v>
      </c>
    </row>
    <row r="413" spans="1:33" hidden="1">
      <c r="A413" s="521">
        <f t="shared" si="19"/>
        <v>249</v>
      </c>
      <c r="B413" s="509" t="s">
        <v>2962</v>
      </c>
      <c r="C413" s="2"/>
      <c r="D413" s="490" t="s">
        <v>30</v>
      </c>
      <c r="E413" s="2"/>
      <c r="F413" s="519">
        <v>7.1</v>
      </c>
      <c r="G413" s="518" t="s">
        <v>2342</v>
      </c>
      <c r="H413" s="509" t="s">
        <v>2344</v>
      </c>
      <c r="I413" s="492">
        <f>(C12)</f>
        <v>95</v>
      </c>
      <c r="J413" s="500" t="s">
        <v>2342</v>
      </c>
      <c r="K413" s="526">
        <f>(F413*I413)</f>
        <v>674.5</v>
      </c>
      <c r="M413" s="519">
        <v>10</v>
      </c>
      <c r="N413" s="509" t="s">
        <v>2788</v>
      </c>
      <c r="O413" s="509" t="s">
        <v>2955</v>
      </c>
      <c r="P413" s="519">
        <f>(R406)</f>
        <v>8.2380000000000013</v>
      </c>
      <c r="Q413" s="509" t="s">
        <v>2788</v>
      </c>
      <c r="R413" s="519">
        <f>(M413*P413)</f>
        <v>82.38000000000001</v>
      </c>
      <c r="AG413" s="509" t="s">
        <v>2514</v>
      </c>
    </row>
    <row r="414" spans="1:33" hidden="1">
      <c r="A414" s="521">
        <f t="shared" si="19"/>
        <v>250</v>
      </c>
      <c r="B414" s="509" t="s">
        <v>2946</v>
      </c>
      <c r="C414" s="492">
        <v>5.75</v>
      </c>
      <c r="D414" s="490" t="s">
        <v>2342</v>
      </c>
      <c r="E414" s="2"/>
      <c r="F414" s="519">
        <v>21.2</v>
      </c>
      <c r="G414" s="518" t="s">
        <v>2342</v>
      </c>
      <c r="H414" s="509" t="s">
        <v>2345</v>
      </c>
      <c r="I414" s="492">
        <f>(C13)</f>
        <v>85</v>
      </c>
      <c r="J414" s="500" t="s">
        <v>2342</v>
      </c>
      <c r="K414" s="526">
        <f>(F414*I414)</f>
        <v>1802</v>
      </c>
      <c r="O414" s="509" t="s">
        <v>30</v>
      </c>
      <c r="R414" s="515" t="s">
        <v>442</v>
      </c>
      <c r="AG414" s="509" t="s">
        <v>2514</v>
      </c>
    </row>
    <row r="415" spans="1:33" hidden="1">
      <c r="A415" s="521">
        <f t="shared" si="19"/>
        <v>251</v>
      </c>
      <c r="B415" s="509" t="s">
        <v>2947</v>
      </c>
      <c r="C415" s="492">
        <v>8.5</v>
      </c>
      <c r="D415" s="490" t="s">
        <v>2342</v>
      </c>
      <c r="E415" s="2"/>
      <c r="G415" s="518" t="s">
        <v>2346</v>
      </c>
      <c r="H415" s="509" t="s">
        <v>2347</v>
      </c>
      <c r="I415" s="490" t="s">
        <v>30</v>
      </c>
      <c r="J415" s="500" t="s">
        <v>2346</v>
      </c>
      <c r="K415" s="526">
        <v>0</v>
      </c>
      <c r="R415" s="519">
        <f>SUM(R412:R413)</f>
        <v>120.241</v>
      </c>
      <c r="AG415" s="509" t="s">
        <v>2514</v>
      </c>
    </row>
    <row r="416" spans="1:33" hidden="1">
      <c r="A416" s="521">
        <f t="shared" si="19"/>
        <v>252</v>
      </c>
      <c r="B416" s="509" t="s">
        <v>2949</v>
      </c>
      <c r="C416" s="492">
        <v>14</v>
      </c>
      <c r="D416" s="490" t="s">
        <v>2342</v>
      </c>
      <c r="E416" s="2"/>
      <c r="I416" s="2"/>
      <c r="J416" s="463"/>
      <c r="K416" s="526" t="s">
        <v>442</v>
      </c>
      <c r="O416" s="509" t="s">
        <v>2358</v>
      </c>
      <c r="R416" s="515" t="s">
        <v>442</v>
      </c>
      <c r="AG416" s="509" t="s">
        <v>2514</v>
      </c>
    </row>
    <row r="417" spans="1:33" hidden="1">
      <c r="A417" s="521">
        <f t="shared" si="19"/>
        <v>253</v>
      </c>
      <c r="B417" s="509" t="s">
        <v>2950</v>
      </c>
      <c r="C417" s="492">
        <v>30.11</v>
      </c>
      <c r="D417" s="490" t="s">
        <v>2342</v>
      </c>
      <c r="E417" s="2"/>
      <c r="H417" s="509" t="s">
        <v>2348</v>
      </c>
      <c r="I417" s="2"/>
      <c r="J417" s="463"/>
      <c r="K417" s="526" t="e">
        <f>SUM(K409:K415)</f>
        <v>#REF!</v>
      </c>
      <c r="R417" s="519">
        <f>(R415/10)</f>
        <v>12.024100000000001</v>
      </c>
      <c r="AG417" s="509" t="s">
        <v>2514</v>
      </c>
    </row>
    <row r="418" spans="1:33" hidden="1">
      <c r="A418" s="521">
        <f t="shared" si="19"/>
        <v>254</v>
      </c>
      <c r="B418" s="509" t="s">
        <v>2952</v>
      </c>
      <c r="C418" s="492">
        <v>47.25</v>
      </c>
      <c r="D418" s="490" t="s">
        <v>2342</v>
      </c>
      <c r="E418" s="2"/>
      <c r="I418" s="2"/>
      <c r="J418" s="463"/>
      <c r="K418" s="526" t="s">
        <v>442</v>
      </c>
      <c r="O418" s="509" t="s">
        <v>2355</v>
      </c>
      <c r="R418" s="515" t="s">
        <v>29</v>
      </c>
      <c r="AG418" s="509" t="s">
        <v>2514</v>
      </c>
    </row>
    <row r="419" spans="1:33" hidden="1">
      <c r="A419" s="521">
        <f t="shared" si="19"/>
        <v>255</v>
      </c>
      <c r="B419" s="509" t="s">
        <v>2905</v>
      </c>
      <c r="C419" s="492">
        <v>71.16</v>
      </c>
      <c r="D419" s="490" t="s">
        <v>2342</v>
      </c>
      <c r="E419" s="2"/>
      <c r="H419" s="509" t="s">
        <v>2349</v>
      </c>
      <c r="I419" s="2"/>
      <c r="J419" s="463"/>
      <c r="K419" s="526" t="e">
        <f>(K417/10)</f>
        <v>#REF!</v>
      </c>
      <c r="AG419" s="509" t="s">
        <v>2514</v>
      </c>
    </row>
    <row r="420" spans="1:33" hidden="1">
      <c r="A420" s="521">
        <f t="shared" si="19"/>
        <v>256</v>
      </c>
      <c r="B420" s="509" t="s">
        <v>2953</v>
      </c>
      <c r="C420" s="492">
        <v>125.84</v>
      </c>
      <c r="D420" s="490" t="s">
        <v>2342</v>
      </c>
      <c r="E420" s="2"/>
      <c r="I420" s="2"/>
      <c r="J420" s="463"/>
      <c r="K420" s="526" t="s">
        <v>29</v>
      </c>
      <c r="AG420" s="509" t="s">
        <v>2514</v>
      </c>
    </row>
    <row r="421" spans="1:33" hidden="1">
      <c r="C421" s="2"/>
      <c r="D421" s="2"/>
      <c r="E421" s="2"/>
      <c r="F421" s="509" t="s">
        <v>2485</v>
      </c>
      <c r="I421" s="2"/>
      <c r="J421" s="463"/>
      <c r="K421" s="552"/>
    </row>
    <row r="422" spans="1:33" hidden="1">
      <c r="A422" s="521">
        <f>(A420+1)</f>
        <v>257</v>
      </c>
      <c r="B422" s="509" t="s">
        <v>2963</v>
      </c>
      <c r="C422" s="2"/>
      <c r="D422" s="490" t="s">
        <v>30</v>
      </c>
      <c r="E422" s="2"/>
      <c r="I422" s="2"/>
      <c r="J422" s="463"/>
      <c r="K422" s="552"/>
      <c r="O422" s="510" t="s">
        <v>2964</v>
      </c>
      <c r="AG422" s="509" t="s">
        <v>2514</v>
      </c>
    </row>
    <row r="423" spans="1:33" hidden="1">
      <c r="A423" s="521">
        <f t="shared" ref="A423:A436" si="20">(A422+1)</f>
        <v>258</v>
      </c>
      <c r="B423" s="509" t="s">
        <v>2946</v>
      </c>
      <c r="C423" s="492">
        <v>17</v>
      </c>
      <c r="D423" s="490" t="s">
        <v>2342</v>
      </c>
      <c r="E423" s="2"/>
      <c r="G423" s="518" t="s">
        <v>2965</v>
      </c>
      <c r="H423" s="509" t="s">
        <v>2966</v>
      </c>
      <c r="I423" s="2"/>
      <c r="J423" s="463"/>
      <c r="K423" s="552"/>
      <c r="O423" s="515" t="s">
        <v>442</v>
      </c>
      <c r="AG423" s="509" t="s">
        <v>2514</v>
      </c>
    </row>
    <row r="424" spans="1:33" hidden="1">
      <c r="A424" s="521">
        <f t="shared" si="20"/>
        <v>259</v>
      </c>
      <c r="B424" s="509" t="s">
        <v>2947</v>
      </c>
      <c r="C424" s="492">
        <v>23.4</v>
      </c>
      <c r="D424" s="490" t="s">
        <v>2342</v>
      </c>
      <c r="E424" s="2"/>
      <c r="H424" s="515" t="s">
        <v>442</v>
      </c>
      <c r="I424" s="2"/>
      <c r="J424" s="463"/>
      <c r="K424" s="552"/>
      <c r="N424" s="509" t="s">
        <v>575</v>
      </c>
      <c r="O424" s="509" t="s">
        <v>2967</v>
      </c>
      <c r="AG424" s="509" t="s">
        <v>2514</v>
      </c>
    </row>
    <row r="425" spans="1:33" hidden="1">
      <c r="A425" s="521">
        <f t="shared" si="20"/>
        <v>260</v>
      </c>
      <c r="B425" s="509" t="s">
        <v>2949</v>
      </c>
      <c r="C425" s="492">
        <v>33</v>
      </c>
      <c r="D425" s="490" t="s">
        <v>2342</v>
      </c>
      <c r="E425" s="2"/>
      <c r="F425" s="519">
        <v>0.7</v>
      </c>
      <c r="G425" s="518" t="s">
        <v>2334</v>
      </c>
      <c r="H425" s="509" t="s">
        <v>2848</v>
      </c>
      <c r="I425" s="492" t="e">
        <f>(K419)</f>
        <v>#REF!</v>
      </c>
      <c r="J425" s="500" t="s">
        <v>2342</v>
      </c>
      <c r="K425" s="526" t="e">
        <f>(F425*I425)</f>
        <v>#REF!</v>
      </c>
      <c r="O425" s="509" t="s">
        <v>2968</v>
      </c>
      <c r="AG425" s="509" t="s">
        <v>2514</v>
      </c>
    </row>
    <row r="426" spans="1:33" hidden="1">
      <c r="A426" s="521">
        <f t="shared" si="20"/>
        <v>261</v>
      </c>
      <c r="B426" s="509" t="s">
        <v>2950</v>
      </c>
      <c r="C426" s="492">
        <v>34.22</v>
      </c>
      <c r="D426" s="490" t="s">
        <v>2342</v>
      </c>
      <c r="E426" s="2"/>
      <c r="F426" s="519">
        <v>1</v>
      </c>
      <c r="G426" s="518" t="s">
        <v>2359</v>
      </c>
      <c r="H426" s="509" t="s">
        <v>2353</v>
      </c>
      <c r="I426" s="492">
        <f>(C10)</f>
        <v>150</v>
      </c>
      <c r="J426" s="500" t="s">
        <v>2342</v>
      </c>
      <c r="K426" s="526">
        <f>(F426*I426)</f>
        <v>150</v>
      </c>
      <c r="O426" s="509" t="s">
        <v>2969</v>
      </c>
      <c r="AG426" s="509" t="s">
        <v>2514</v>
      </c>
    </row>
    <row r="427" spans="1:33" hidden="1">
      <c r="A427" s="521">
        <f t="shared" si="20"/>
        <v>262</v>
      </c>
      <c r="B427" s="509" t="s">
        <v>2952</v>
      </c>
      <c r="C427" s="492">
        <v>75.28</v>
      </c>
      <c r="D427" s="490" t="s">
        <v>2342</v>
      </c>
      <c r="E427" s="2"/>
      <c r="G427" s="518" t="s">
        <v>2346</v>
      </c>
      <c r="H427" s="509" t="s">
        <v>2347</v>
      </c>
      <c r="I427" s="490" t="s">
        <v>30</v>
      </c>
      <c r="J427" s="500" t="s">
        <v>2346</v>
      </c>
      <c r="K427" s="526">
        <v>0</v>
      </c>
      <c r="O427" s="515" t="s">
        <v>442</v>
      </c>
      <c r="AG427" s="509" t="s">
        <v>2514</v>
      </c>
    </row>
    <row r="428" spans="1:33" hidden="1">
      <c r="A428" s="521">
        <f t="shared" si="20"/>
        <v>263</v>
      </c>
      <c r="B428" s="509" t="s">
        <v>2905</v>
      </c>
      <c r="C428" s="492">
        <v>92.66</v>
      </c>
      <c r="D428" s="490" t="s">
        <v>2342</v>
      </c>
      <c r="E428" s="2"/>
      <c r="I428" s="2"/>
      <c r="J428" s="463"/>
      <c r="K428" s="526" t="s">
        <v>442</v>
      </c>
      <c r="N428" s="509" t="s">
        <v>2970</v>
      </c>
      <c r="O428" s="510" t="s">
        <v>2971</v>
      </c>
      <c r="AG428" s="509" t="s">
        <v>2514</v>
      </c>
    </row>
    <row r="429" spans="1:33" hidden="1">
      <c r="A429" s="521">
        <f t="shared" si="20"/>
        <v>264</v>
      </c>
      <c r="B429" s="509" t="s">
        <v>2953</v>
      </c>
      <c r="C429" s="492">
        <v>141.86000000000001</v>
      </c>
      <c r="D429" s="490" t="s">
        <v>2342</v>
      </c>
      <c r="E429" s="2"/>
      <c r="H429" s="509" t="s">
        <v>2358</v>
      </c>
      <c r="I429" s="2"/>
      <c r="J429" s="463"/>
      <c r="K429" s="526" t="e">
        <f>SUM(K425:K427)</f>
        <v>#REF!</v>
      </c>
      <c r="O429" s="515" t="s">
        <v>442</v>
      </c>
      <c r="AG429" s="509" t="s">
        <v>2514</v>
      </c>
    </row>
    <row r="430" spans="1:33" hidden="1">
      <c r="A430" s="521">
        <f t="shared" si="20"/>
        <v>265</v>
      </c>
      <c r="B430" s="509" t="s">
        <v>2972</v>
      </c>
      <c r="C430" s="2"/>
      <c r="D430" s="490" t="s">
        <v>30</v>
      </c>
      <c r="E430" s="2"/>
      <c r="I430" s="2"/>
      <c r="J430" s="463"/>
      <c r="K430" s="526" t="s">
        <v>442</v>
      </c>
      <c r="M430" s="519">
        <v>8.1</v>
      </c>
      <c r="N430" s="509" t="s">
        <v>2334</v>
      </c>
      <c r="O430" s="509" t="s">
        <v>2973</v>
      </c>
      <c r="P430" s="519">
        <f>(C61)*2</f>
        <v>50</v>
      </c>
      <c r="Q430" s="509" t="s">
        <v>2334</v>
      </c>
      <c r="R430" s="519">
        <f>(M430*P430)</f>
        <v>405</v>
      </c>
      <c r="AG430" s="509" t="s">
        <v>2514</v>
      </c>
    </row>
    <row r="431" spans="1:33" hidden="1">
      <c r="A431" s="521">
        <f t="shared" si="20"/>
        <v>266</v>
      </c>
      <c r="B431" s="509" t="s">
        <v>2946</v>
      </c>
      <c r="C431" s="492">
        <v>1.8</v>
      </c>
      <c r="D431" s="490" t="s">
        <v>2342</v>
      </c>
      <c r="E431" s="2"/>
      <c r="H431" s="509" t="s">
        <v>2355</v>
      </c>
      <c r="I431" s="2"/>
      <c r="J431" s="463"/>
      <c r="K431" s="526" t="e">
        <f>(K429/10)</f>
        <v>#REF!</v>
      </c>
      <c r="M431" s="519">
        <v>8.1</v>
      </c>
      <c r="N431" s="509" t="s">
        <v>2334</v>
      </c>
      <c r="O431" s="509" t="s">
        <v>2974</v>
      </c>
      <c r="P431" s="519">
        <f>(C26)</f>
        <v>8.8000000000000007</v>
      </c>
      <c r="Q431" s="509" t="s">
        <v>2334</v>
      </c>
      <c r="R431" s="519">
        <f>(M431*P431)</f>
        <v>71.28</v>
      </c>
      <c r="AG431" s="509" t="s">
        <v>2514</v>
      </c>
    </row>
    <row r="432" spans="1:33" hidden="1">
      <c r="A432" s="521">
        <f t="shared" si="20"/>
        <v>267</v>
      </c>
      <c r="B432" s="509" t="s">
        <v>2947</v>
      </c>
      <c r="C432" s="492">
        <v>2.9</v>
      </c>
      <c r="D432" s="490" t="s">
        <v>2342</v>
      </c>
      <c r="E432" s="2"/>
      <c r="I432" s="2"/>
      <c r="J432" s="463"/>
      <c r="K432" s="526" t="s">
        <v>29</v>
      </c>
      <c r="M432" s="519">
        <v>30</v>
      </c>
      <c r="N432" s="509" t="s">
        <v>2205</v>
      </c>
      <c r="O432" s="509" t="s">
        <v>2975</v>
      </c>
      <c r="P432" s="519">
        <f>(C42)</f>
        <v>1.75</v>
      </c>
      <c r="Q432" s="509" t="s">
        <v>2205</v>
      </c>
      <c r="R432" s="519">
        <f>(M432*P432)</f>
        <v>52.5</v>
      </c>
      <c r="AG432" s="509" t="s">
        <v>2514</v>
      </c>
    </row>
    <row r="433" spans="1:33" hidden="1">
      <c r="A433" s="521">
        <f t="shared" si="20"/>
        <v>268</v>
      </c>
      <c r="B433" s="509" t="s">
        <v>2949</v>
      </c>
      <c r="C433" s="492">
        <v>4</v>
      </c>
      <c r="D433" s="490" t="s">
        <v>2342</v>
      </c>
      <c r="E433" s="2"/>
      <c r="H433" s="509" t="s">
        <v>2354</v>
      </c>
      <c r="I433" s="2"/>
      <c r="J433" s="463"/>
      <c r="K433" s="526" t="e">
        <f>(K431+C19/10*F425)</f>
        <v>#REF!</v>
      </c>
      <c r="O433" s="509" t="s">
        <v>2976</v>
      </c>
      <c r="AG433" s="509" t="s">
        <v>2514</v>
      </c>
    </row>
    <row r="434" spans="1:33" hidden="1">
      <c r="A434" s="521">
        <f t="shared" si="20"/>
        <v>269</v>
      </c>
      <c r="B434" s="509" t="s">
        <v>2950</v>
      </c>
      <c r="C434" s="492">
        <v>6.86</v>
      </c>
      <c r="D434" s="490" t="s">
        <v>2342</v>
      </c>
      <c r="E434" s="2"/>
      <c r="H434" s="509" t="s">
        <v>2362</v>
      </c>
      <c r="I434" s="2"/>
      <c r="J434" s="463"/>
      <c r="K434" s="526" t="e">
        <f>(K433+C20/10*F425)</f>
        <v>#REF!</v>
      </c>
      <c r="O434" s="509" t="s">
        <v>2977</v>
      </c>
      <c r="AG434" s="509" t="s">
        <v>2514</v>
      </c>
    </row>
    <row r="435" spans="1:33" hidden="1">
      <c r="A435" s="521">
        <f t="shared" si="20"/>
        <v>270</v>
      </c>
      <c r="B435" s="509" t="s">
        <v>2952</v>
      </c>
      <c r="C435" s="492">
        <v>9.15</v>
      </c>
      <c r="D435" s="490" t="s">
        <v>2342</v>
      </c>
      <c r="E435" s="2"/>
      <c r="H435" s="509" t="s">
        <v>2480</v>
      </c>
      <c r="I435" s="2"/>
      <c r="J435" s="463"/>
      <c r="K435" s="526" t="e">
        <f>(K434+C21/10*F425)</f>
        <v>#REF!</v>
      </c>
      <c r="O435" s="509" t="s">
        <v>2978</v>
      </c>
      <c r="AG435" s="509" t="s">
        <v>2514</v>
      </c>
    </row>
    <row r="436" spans="1:33" hidden="1">
      <c r="A436" s="521">
        <f t="shared" si="20"/>
        <v>271</v>
      </c>
      <c r="B436" s="509" t="s">
        <v>2905</v>
      </c>
      <c r="C436" s="492">
        <v>14.59</v>
      </c>
      <c r="D436" s="490" t="s">
        <v>2342</v>
      </c>
      <c r="E436" s="2"/>
      <c r="H436" s="509" t="s">
        <v>2481</v>
      </c>
      <c r="I436" s="2"/>
      <c r="J436" s="463"/>
      <c r="K436" s="526" t="e">
        <f>(K435+C21/10*F425)</f>
        <v>#REF!</v>
      </c>
      <c r="O436" s="509" t="s">
        <v>2979</v>
      </c>
      <c r="AG436" s="509" t="s">
        <v>2514</v>
      </c>
    </row>
    <row r="437" spans="1:33" hidden="1">
      <c r="A437" s="521"/>
      <c r="B437" s="509"/>
      <c r="C437" s="492"/>
      <c r="D437" s="490"/>
      <c r="E437" s="2"/>
      <c r="H437" s="509" t="s">
        <v>2980</v>
      </c>
      <c r="I437" s="2"/>
      <c r="J437" s="463"/>
      <c r="K437" s="526" t="e">
        <f>(K436+C22/10*F426)</f>
        <v>#REF!</v>
      </c>
      <c r="O437" s="509"/>
      <c r="AG437" s="509"/>
    </row>
    <row r="438" spans="1:33" hidden="1">
      <c r="A438" s="521">
        <f>(A436+1)</f>
        <v>272</v>
      </c>
      <c r="B438" s="509" t="s">
        <v>2953</v>
      </c>
      <c r="C438" s="492">
        <v>21.74</v>
      </c>
      <c r="D438" s="490" t="s">
        <v>2342</v>
      </c>
      <c r="E438" s="2"/>
      <c r="H438" s="510" t="s">
        <v>2981</v>
      </c>
      <c r="I438" s="2"/>
      <c r="J438" s="463"/>
      <c r="K438" s="552"/>
      <c r="M438" s="519">
        <v>8</v>
      </c>
      <c r="N438" s="509" t="s">
        <v>2359</v>
      </c>
      <c r="O438" s="509" t="s">
        <v>2982</v>
      </c>
      <c r="P438" s="519">
        <f>(C43)</f>
        <v>2.2000000000000002</v>
      </c>
      <c r="Q438" s="509" t="s">
        <v>2359</v>
      </c>
      <c r="R438" s="519">
        <f>(M438*P438)</f>
        <v>17.600000000000001</v>
      </c>
      <c r="AG438" s="509" t="s">
        <v>2514</v>
      </c>
    </row>
    <row r="439" spans="1:33" hidden="1">
      <c r="A439" s="521">
        <f t="shared" ref="A439:A489" si="21">(A438+1)</f>
        <v>273</v>
      </c>
      <c r="B439" s="509" t="s">
        <v>2983</v>
      </c>
      <c r="C439" s="2"/>
      <c r="D439" s="490" t="s">
        <v>30</v>
      </c>
      <c r="E439" s="2"/>
      <c r="H439" s="510" t="s">
        <v>2984</v>
      </c>
      <c r="I439" s="2"/>
      <c r="J439" s="463"/>
      <c r="K439" s="552"/>
      <c r="M439" s="519">
        <v>8</v>
      </c>
      <c r="N439" s="509" t="s">
        <v>2359</v>
      </c>
      <c r="O439" s="509" t="s">
        <v>2985</v>
      </c>
      <c r="P439" s="519">
        <f>(C50)</f>
        <v>3.2</v>
      </c>
      <c r="Q439" s="509" t="s">
        <v>2359</v>
      </c>
      <c r="R439" s="519">
        <f>(M439*P439)</f>
        <v>25.6</v>
      </c>
      <c r="AG439" s="509" t="s">
        <v>2514</v>
      </c>
    </row>
    <row r="440" spans="1:33" hidden="1">
      <c r="A440" s="521">
        <f t="shared" si="21"/>
        <v>274</v>
      </c>
      <c r="B440" s="509" t="s">
        <v>2946</v>
      </c>
      <c r="C440" s="492">
        <v>8.85</v>
      </c>
      <c r="D440" s="490" t="s">
        <v>2342</v>
      </c>
      <c r="E440" s="2"/>
      <c r="F440" s="524">
        <v>12</v>
      </c>
      <c r="G440" s="518" t="s">
        <v>575</v>
      </c>
      <c r="H440" s="509" t="s">
        <v>2986</v>
      </c>
      <c r="I440" s="2"/>
      <c r="J440" s="463"/>
      <c r="K440" s="552"/>
      <c r="M440" s="519">
        <v>1</v>
      </c>
      <c r="N440" s="509" t="s">
        <v>2346</v>
      </c>
      <c r="O440" s="509" t="s">
        <v>2987</v>
      </c>
      <c r="P440" s="519">
        <f>(C56)</f>
        <v>12.1</v>
      </c>
      <c r="Q440" s="509" t="s">
        <v>2346</v>
      </c>
      <c r="R440" s="519">
        <f>(M440*P440)</f>
        <v>12.1</v>
      </c>
      <c r="AG440" s="509" t="s">
        <v>2514</v>
      </c>
    </row>
    <row r="441" spans="1:33" hidden="1">
      <c r="A441" s="521">
        <f t="shared" si="21"/>
        <v>275</v>
      </c>
      <c r="B441" s="509" t="s">
        <v>2947</v>
      </c>
      <c r="C441" s="492">
        <v>14</v>
      </c>
      <c r="D441" s="490" t="s">
        <v>2342</v>
      </c>
      <c r="E441" s="2"/>
      <c r="H441" s="509" t="s">
        <v>2717</v>
      </c>
      <c r="I441" s="2"/>
      <c r="J441" s="463"/>
      <c r="K441" s="552"/>
      <c r="M441" s="519">
        <v>1</v>
      </c>
      <c r="N441" s="509" t="s">
        <v>2346</v>
      </c>
      <c r="O441" s="509" t="s">
        <v>2347</v>
      </c>
      <c r="Q441" s="509" t="s">
        <v>2346</v>
      </c>
      <c r="R441" s="519">
        <v>0</v>
      </c>
      <c r="AG441" s="509" t="s">
        <v>2514</v>
      </c>
    </row>
    <row r="442" spans="1:33" hidden="1">
      <c r="A442" s="521">
        <f t="shared" si="21"/>
        <v>276</v>
      </c>
      <c r="B442" s="509" t="s">
        <v>2949</v>
      </c>
      <c r="C442" s="492">
        <v>20.7</v>
      </c>
      <c r="D442" s="490" t="s">
        <v>2342</v>
      </c>
      <c r="E442" s="2"/>
      <c r="H442" s="515" t="s">
        <v>442</v>
      </c>
      <c r="I442" s="2"/>
      <c r="J442" s="463"/>
      <c r="K442" s="552"/>
      <c r="R442" s="515" t="s">
        <v>442</v>
      </c>
      <c r="AG442" s="509" t="s">
        <v>2514</v>
      </c>
    </row>
    <row r="443" spans="1:33" hidden="1">
      <c r="A443" s="521">
        <f t="shared" si="21"/>
        <v>277</v>
      </c>
      <c r="B443" s="509" t="s">
        <v>2950</v>
      </c>
      <c r="C443" s="492">
        <v>41.82</v>
      </c>
      <c r="D443" s="490" t="s">
        <v>2342</v>
      </c>
      <c r="E443" s="2"/>
      <c r="F443" s="519">
        <v>6570</v>
      </c>
      <c r="G443" s="518" t="s">
        <v>2351</v>
      </c>
      <c r="H443" s="509" t="s">
        <v>2988</v>
      </c>
      <c r="I443" s="492" t="e">
        <f>(C77)</f>
        <v>#REF!</v>
      </c>
      <c r="J443" s="500" t="s">
        <v>2352</v>
      </c>
      <c r="K443" s="526" t="e">
        <f>(F443*I443)/1000</f>
        <v>#REF!</v>
      </c>
      <c r="O443" s="509" t="s">
        <v>2989</v>
      </c>
      <c r="R443" s="519">
        <f>SUM(R430:R441)</f>
        <v>584.08000000000004</v>
      </c>
      <c r="AG443" s="509" t="s">
        <v>2690</v>
      </c>
    </row>
    <row r="444" spans="1:33" hidden="1">
      <c r="A444" s="521">
        <f t="shared" si="21"/>
        <v>278</v>
      </c>
      <c r="B444" s="509" t="s">
        <v>2952</v>
      </c>
      <c r="C444" s="492">
        <v>61.78</v>
      </c>
      <c r="D444" s="490" t="s">
        <v>2342</v>
      </c>
      <c r="E444" s="2"/>
      <c r="F444" s="519">
        <v>1.91</v>
      </c>
      <c r="G444" s="518" t="s">
        <v>2334</v>
      </c>
      <c r="H444" s="509" t="s">
        <v>2647</v>
      </c>
      <c r="I444" s="492" t="e">
        <f>(K40)</f>
        <v>#REF!</v>
      </c>
      <c r="J444" s="500" t="s">
        <v>2334</v>
      </c>
      <c r="K444" s="526" t="e">
        <f>(F444*I444)</f>
        <v>#REF!</v>
      </c>
      <c r="R444" s="515" t="s">
        <v>442</v>
      </c>
    </row>
    <row r="445" spans="1:33" hidden="1">
      <c r="A445" s="521">
        <f t="shared" si="21"/>
        <v>279</v>
      </c>
      <c r="B445" s="509" t="s">
        <v>2905</v>
      </c>
      <c r="C445" s="492">
        <v>97.93</v>
      </c>
      <c r="D445" s="490" t="s">
        <v>2342</v>
      </c>
      <c r="E445" s="2"/>
      <c r="F445" s="519">
        <v>7</v>
      </c>
      <c r="G445" s="518" t="s">
        <v>2342</v>
      </c>
      <c r="H445" s="509" t="s">
        <v>2353</v>
      </c>
      <c r="I445" s="492">
        <f>(C10)</f>
        <v>150</v>
      </c>
      <c r="J445" s="500" t="s">
        <v>2342</v>
      </c>
      <c r="K445" s="526">
        <f>(F445*I445)</f>
        <v>1050</v>
      </c>
      <c r="O445" s="509" t="s">
        <v>2990</v>
      </c>
      <c r="R445" s="519">
        <f>(R443/30)</f>
        <v>19.469333333333335</v>
      </c>
    </row>
    <row r="446" spans="1:33" hidden="1">
      <c r="A446" s="521">
        <f t="shared" si="21"/>
        <v>280</v>
      </c>
      <c r="B446" s="509" t="s">
        <v>2953</v>
      </c>
      <c r="C446" s="492">
        <v>156.5</v>
      </c>
      <c r="D446" s="490" t="s">
        <v>2342</v>
      </c>
      <c r="E446" s="2"/>
      <c r="F446" s="519">
        <v>3.6</v>
      </c>
      <c r="G446" s="518" t="s">
        <v>2342</v>
      </c>
      <c r="H446" s="509" t="s">
        <v>2343</v>
      </c>
      <c r="I446" s="492">
        <f>(C11)</f>
        <v>135</v>
      </c>
      <c r="J446" s="500" t="s">
        <v>2342</v>
      </c>
      <c r="K446" s="526">
        <f>(F446*I446)</f>
        <v>486</v>
      </c>
      <c r="R446" s="515" t="s">
        <v>442</v>
      </c>
      <c r="AG446" s="509" t="s">
        <v>2514</v>
      </c>
    </row>
    <row r="447" spans="1:33" hidden="1">
      <c r="A447" s="521">
        <f t="shared" si="21"/>
        <v>281</v>
      </c>
      <c r="B447" s="509" t="s">
        <v>2991</v>
      </c>
      <c r="C447" s="2"/>
      <c r="D447" s="490" t="s">
        <v>30</v>
      </c>
      <c r="E447" s="2"/>
      <c r="F447" s="519">
        <v>7.1</v>
      </c>
      <c r="G447" s="518" t="s">
        <v>2342</v>
      </c>
      <c r="H447" s="509" t="s">
        <v>2344</v>
      </c>
      <c r="I447" s="492">
        <f>(C12)</f>
        <v>95</v>
      </c>
      <c r="J447" s="500" t="s">
        <v>2342</v>
      </c>
      <c r="K447" s="526">
        <f>(F447*I447)</f>
        <v>674.5</v>
      </c>
      <c r="N447" s="509" t="s">
        <v>24</v>
      </c>
      <c r="O447" s="510" t="s">
        <v>2992</v>
      </c>
      <c r="AG447" s="509" t="s">
        <v>2514</v>
      </c>
    </row>
    <row r="448" spans="1:33" hidden="1">
      <c r="A448" s="521">
        <f t="shared" si="21"/>
        <v>282</v>
      </c>
      <c r="B448" s="509" t="s">
        <v>2946</v>
      </c>
      <c r="C448" s="492">
        <v>3.2</v>
      </c>
      <c r="D448" s="490" t="s">
        <v>2342</v>
      </c>
      <c r="E448" s="2"/>
      <c r="F448" s="519">
        <v>14.1</v>
      </c>
      <c r="G448" s="518" t="s">
        <v>2342</v>
      </c>
      <c r="H448" s="509" t="s">
        <v>2345</v>
      </c>
      <c r="I448" s="492">
        <f>(C13)</f>
        <v>85</v>
      </c>
      <c r="J448" s="500" t="s">
        <v>2342</v>
      </c>
      <c r="K448" s="526">
        <f>(F448*I448)</f>
        <v>1198.5</v>
      </c>
      <c r="O448" s="515" t="s">
        <v>442</v>
      </c>
      <c r="AG448" s="509" t="s">
        <v>2514</v>
      </c>
    </row>
    <row r="449" spans="1:33" hidden="1">
      <c r="A449" s="521">
        <f t="shared" si="21"/>
        <v>283</v>
      </c>
      <c r="B449" s="509" t="s">
        <v>2947</v>
      </c>
      <c r="C449" s="492">
        <v>4.7</v>
      </c>
      <c r="D449" s="490" t="s">
        <v>2342</v>
      </c>
      <c r="E449" s="2"/>
      <c r="G449" s="518" t="s">
        <v>2346</v>
      </c>
      <c r="H449" s="509" t="s">
        <v>2347</v>
      </c>
      <c r="I449" s="490" t="s">
        <v>30</v>
      </c>
      <c r="J449" s="500" t="s">
        <v>2346</v>
      </c>
      <c r="K449" s="526">
        <v>0</v>
      </c>
      <c r="M449" s="519">
        <v>8.1</v>
      </c>
      <c r="N449" s="509" t="s">
        <v>2334</v>
      </c>
      <c r="O449" s="509" t="s">
        <v>2973</v>
      </c>
      <c r="P449" s="519">
        <f>(C61)*2</f>
        <v>50</v>
      </c>
      <c r="Q449" s="509" t="s">
        <v>2334</v>
      </c>
      <c r="R449" s="519">
        <f>(M449*P449)</f>
        <v>405</v>
      </c>
      <c r="AG449" s="509" t="s">
        <v>2514</v>
      </c>
    </row>
    <row r="450" spans="1:33" hidden="1">
      <c r="A450" s="521">
        <f t="shared" si="21"/>
        <v>284</v>
      </c>
      <c r="B450" s="509" t="s">
        <v>2949</v>
      </c>
      <c r="C450" s="492">
        <v>7.65</v>
      </c>
      <c r="D450" s="490" t="s">
        <v>2342</v>
      </c>
      <c r="E450" s="2"/>
      <c r="I450" s="2"/>
      <c r="J450" s="463"/>
      <c r="K450" s="526" t="s">
        <v>442</v>
      </c>
      <c r="M450" s="519">
        <v>8.1</v>
      </c>
      <c r="N450" s="509" t="s">
        <v>2334</v>
      </c>
      <c r="O450" s="509" t="s">
        <v>2974</v>
      </c>
      <c r="P450" s="519">
        <f>(C26)</f>
        <v>8.8000000000000007</v>
      </c>
      <c r="Q450" s="509" t="s">
        <v>2334</v>
      </c>
      <c r="R450" s="519">
        <f>(M450*P450)</f>
        <v>71.28</v>
      </c>
      <c r="AG450" s="509" t="s">
        <v>2514</v>
      </c>
    </row>
    <row r="451" spans="1:33" hidden="1">
      <c r="A451" s="521">
        <f t="shared" si="21"/>
        <v>285</v>
      </c>
      <c r="B451" s="509" t="s">
        <v>2950</v>
      </c>
      <c r="C451" s="492">
        <v>30.93</v>
      </c>
      <c r="D451" s="490" t="s">
        <v>2342</v>
      </c>
      <c r="E451" s="2"/>
      <c r="H451" s="509" t="s">
        <v>2348</v>
      </c>
      <c r="I451" s="2"/>
      <c r="J451" s="463"/>
      <c r="K451" s="526" t="e">
        <f>SUM(K443:K449)</f>
        <v>#REF!</v>
      </c>
      <c r="M451" s="519">
        <v>30</v>
      </c>
      <c r="N451" s="509" t="s">
        <v>2205</v>
      </c>
      <c r="O451" s="509" t="s">
        <v>2975</v>
      </c>
      <c r="P451" s="519">
        <f>(C42)</f>
        <v>1.75</v>
      </c>
      <c r="Q451" s="509" t="s">
        <v>2205</v>
      </c>
      <c r="R451" s="519">
        <f>(M451*P451)</f>
        <v>52.5</v>
      </c>
      <c r="AG451" s="509" t="s">
        <v>2514</v>
      </c>
    </row>
    <row r="452" spans="1:33" hidden="1">
      <c r="A452" s="521">
        <f t="shared" si="21"/>
        <v>286</v>
      </c>
      <c r="B452" s="509" t="s">
        <v>2952</v>
      </c>
      <c r="C452" s="492">
        <v>39.630000000000003</v>
      </c>
      <c r="D452" s="490" t="s">
        <v>2342</v>
      </c>
      <c r="E452" s="2"/>
      <c r="I452" s="2"/>
      <c r="J452" s="463"/>
      <c r="K452" s="526" t="s">
        <v>442</v>
      </c>
      <c r="O452" s="509" t="s">
        <v>2976</v>
      </c>
      <c r="AG452" s="509" t="s">
        <v>2514</v>
      </c>
    </row>
    <row r="453" spans="1:33" hidden="1">
      <c r="A453" s="521">
        <f t="shared" si="21"/>
        <v>287</v>
      </c>
      <c r="B453" s="509" t="s">
        <v>2905</v>
      </c>
      <c r="C453" s="492">
        <v>70.47</v>
      </c>
      <c r="D453" s="490" t="s">
        <v>2342</v>
      </c>
      <c r="E453" s="2"/>
      <c r="H453" s="509" t="s">
        <v>2349</v>
      </c>
      <c r="I453" s="2"/>
      <c r="J453" s="463"/>
      <c r="K453" s="526" t="e">
        <f>(K451/10)</f>
        <v>#REF!</v>
      </c>
      <c r="O453" s="509" t="s">
        <v>2977</v>
      </c>
      <c r="AG453" s="509" t="s">
        <v>2514</v>
      </c>
    </row>
    <row r="454" spans="1:33" hidden="1">
      <c r="A454" s="521">
        <f t="shared" si="21"/>
        <v>288</v>
      </c>
      <c r="B454" s="509" t="s">
        <v>2953</v>
      </c>
      <c r="C454" s="492">
        <v>70.47</v>
      </c>
      <c r="D454" s="490" t="s">
        <v>2342</v>
      </c>
      <c r="E454" s="2"/>
      <c r="I454" s="2"/>
      <c r="J454" s="463"/>
      <c r="K454" s="526" t="s">
        <v>29</v>
      </c>
      <c r="O454" s="509" t="s">
        <v>2978</v>
      </c>
      <c r="AG454" s="509" t="s">
        <v>2514</v>
      </c>
    </row>
    <row r="455" spans="1:33" hidden="1">
      <c r="A455" s="521">
        <f t="shared" si="21"/>
        <v>289</v>
      </c>
      <c r="B455" s="509" t="s">
        <v>2993</v>
      </c>
      <c r="C455" s="2"/>
      <c r="D455" s="490" t="s">
        <v>30</v>
      </c>
      <c r="E455" s="2"/>
      <c r="I455" s="2"/>
      <c r="J455" s="463"/>
      <c r="K455" s="552"/>
      <c r="O455" s="509" t="s">
        <v>2979</v>
      </c>
      <c r="AG455" s="509" t="s">
        <v>2514</v>
      </c>
    </row>
    <row r="456" spans="1:33" hidden="1">
      <c r="A456" s="521">
        <f t="shared" si="21"/>
        <v>290</v>
      </c>
      <c r="B456" s="509" t="s">
        <v>2946</v>
      </c>
      <c r="C456" s="492">
        <v>158.91999999999999</v>
      </c>
      <c r="D456" s="490" t="s">
        <v>2342</v>
      </c>
      <c r="E456" s="2"/>
      <c r="G456" s="518" t="s">
        <v>575</v>
      </c>
      <c r="H456" s="509" t="s">
        <v>2994</v>
      </c>
      <c r="I456" s="2"/>
      <c r="J456" s="463"/>
      <c r="K456" s="552"/>
      <c r="M456" s="519">
        <v>8</v>
      </c>
      <c r="N456" s="509" t="s">
        <v>2359</v>
      </c>
      <c r="O456" s="509" t="s">
        <v>2982</v>
      </c>
      <c r="P456" s="519">
        <f>(C44)</f>
        <v>2.2000000000000002</v>
      </c>
      <c r="Q456" s="509" t="s">
        <v>2359</v>
      </c>
      <c r="R456" s="519">
        <f>(M456*P456)</f>
        <v>17.600000000000001</v>
      </c>
      <c r="AG456" s="509" t="s">
        <v>2514</v>
      </c>
    </row>
    <row r="457" spans="1:33" hidden="1">
      <c r="A457" s="521">
        <f t="shared" si="21"/>
        <v>291</v>
      </c>
      <c r="B457" s="509" t="s">
        <v>2947</v>
      </c>
      <c r="C457" s="492">
        <v>263.04000000000002</v>
      </c>
      <c r="D457" s="490" t="s">
        <v>2342</v>
      </c>
      <c r="E457" s="2"/>
      <c r="H457" s="515" t="s">
        <v>442</v>
      </c>
      <c r="I457" s="2"/>
      <c r="J457" s="463"/>
      <c r="K457" s="552"/>
      <c r="M457" s="519">
        <v>8</v>
      </c>
      <c r="N457" s="509" t="s">
        <v>2359</v>
      </c>
      <c r="O457" s="509" t="s">
        <v>2985</v>
      </c>
      <c r="P457" s="519">
        <f>(C51)</f>
        <v>3.2</v>
      </c>
      <c r="Q457" s="509" t="s">
        <v>2359</v>
      </c>
      <c r="R457" s="519">
        <f>(M457*P457)</f>
        <v>25.6</v>
      </c>
      <c r="AG457" s="509" t="s">
        <v>2514</v>
      </c>
    </row>
    <row r="458" spans="1:33" hidden="1">
      <c r="A458" s="521">
        <f t="shared" si="21"/>
        <v>292</v>
      </c>
      <c r="B458" s="509" t="s">
        <v>2949</v>
      </c>
      <c r="C458" s="2"/>
      <c r="D458" s="490" t="s">
        <v>30</v>
      </c>
      <c r="E458" s="2"/>
      <c r="F458" s="519">
        <v>0.5</v>
      </c>
      <c r="G458" s="518" t="s">
        <v>2334</v>
      </c>
      <c r="H458" s="509" t="s">
        <v>2848</v>
      </c>
      <c r="I458" s="492" t="e">
        <f>(K453)</f>
        <v>#REF!</v>
      </c>
      <c r="J458" s="500" t="s">
        <v>2342</v>
      </c>
      <c r="K458" s="526" t="e">
        <f>(F458*I458)</f>
        <v>#REF!</v>
      </c>
      <c r="M458" s="519">
        <v>1</v>
      </c>
      <c r="N458" s="509" t="s">
        <v>2346</v>
      </c>
      <c r="O458" s="509" t="s">
        <v>2987</v>
      </c>
      <c r="P458" s="519">
        <f>(C56)</f>
        <v>12.1</v>
      </c>
      <c r="Q458" s="509" t="s">
        <v>2346</v>
      </c>
      <c r="R458" s="519">
        <f>(M458*P458)</f>
        <v>12.1</v>
      </c>
      <c r="AG458" s="509" t="s">
        <v>2514</v>
      </c>
    </row>
    <row r="459" spans="1:33" hidden="1">
      <c r="A459" s="521">
        <f t="shared" si="21"/>
        <v>293</v>
      </c>
      <c r="B459" s="509" t="s">
        <v>2995</v>
      </c>
      <c r="C459" s="492">
        <v>1.2</v>
      </c>
      <c r="D459" s="490" t="s">
        <v>2342</v>
      </c>
      <c r="E459" s="2"/>
      <c r="F459" s="519">
        <v>1</v>
      </c>
      <c r="G459" s="518" t="s">
        <v>2359</v>
      </c>
      <c r="H459" s="509" t="s">
        <v>2353</v>
      </c>
      <c r="I459" s="492">
        <f>(C10)</f>
        <v>150</v>
      </c>
      <c r="J459" s="500" t="s">
        <v>2342</v>
      </c>
      <c r="K459" s="526">
        <f>(F459*I459)</f>
        <v>150</v>
      </c>
      <c r="M459" s="519">
        <v>1</v>
      </c>
      <c r="N459" s="509" t="s">
        <v>2346</v>
      </c>
      <c r="O459" s="509" t="s">
        <v>2347</v>
      </c>
      <c r="Q459" s="509" t="s">
        <v>2346</v>
      </c>
      <c r="R459" s="519">
        <v>0</v>
      </c>
      <c r="AG459" s="509" t="s">
        <v>2514</v>
      </c>
    </row>
    <row r="460" spans="1:33" hidden="1">
      <c r="A460" s="521">
        <f t="shared" si="21"/>
        <v>294</v>
      </c>
      <c r="B460" s="509" t="s">
        <v>2996</v>
      </c>
      <c r="C460" s="492">
        <v>0.85</v>
      </c>
      <c r="D460" s="490" t="s">
        <v>2342</v>
      </c>
      <c r="E460" s="2"/>
      <c r="G460" s="518" t="s">
        <v>2346</v>
      </c>
      <c r="H460" s="509" t="s">
        <v>2347</v>
      </c>
      <c r="I460" s="490" t="s">
        <v>30</v>
      </c>
      <c r="J460" s="500" t="s">
        <v>2346</v>
      </c>
      <c r="K460" s="526">
        <v>0</v>
      </c>
      <c r="R460" s="515" t="s">
        <v>442</v>
      </c>
      <c r="AG460" s="509" t="s">
        <v>2514</v>
      </c>
    </row>
    <row r="461" spans="1:33" hidden="1">
      <c r="A461" s="521">
        <f t="shared" si="21"/>
        <v>295</v>
      </c>
      <c r="B461" s="509" t="s">
        <v>2997</v>
      </c>
      <c r="C461" s="492">
        <v>350</v>
      </c>
      <c r="D461" s="492">
        <v>375</v>
      </c>
      <c r="E461" s="2"/>
      <c r="I461" s="2"/>
      <c r="J461" s="463"/>
      <c r="K461" s="526" t="s">
        <v>442</v>
      </c>
      <c r="O461" s="509" t="s">
        <v>2989</v>
      </c>
      <c r="R461" s="519">
        <f>SUM(R449:R459)</f>
        <v>584.08000000000004</v>
      </c>
      <c r="AG461" s="509" t="s">
        <v>2514</v>
      </c>
    </row>
    <row r="462" spans="1:33" hidden="1">
      <c r="A462" s="521">
        <f t="shared" si="21"/>
        <v>296</v>
      </c>
      <c r="B462" s="509" t="s">
        <v>2998</v>
      </c>
      <c r="C462" s="492">
        <v>400</v>
      </c>
      <c r="D462" s="492">
        <v>425</v>
      </c>
      <c r="E462" s="2"/>
      <c r="H462" s="509" t="s">
        <v>2358</v>
      </c>
      <c r="I462" s="2"/>
      <c r="J462" s="463"/>
      <c r="K462" s="526" t="e">
        <f>SUM(K458:K460)</f>
        <v>#REF!</v>
      </c>
      <c r="R462" s="515" t="s">
        <v>442</v>
      </c>
      <c r="AG462" s="509" t="s">
        <v>2514</v>
      </c>
    </row>
    <row r="463" spans="1:33" hidden="1">
      <c r="A463" s="521">
        <f t="shared" si="21"/>
        <v>297</v>
      </c>
      <c r="B463" s="509" t="s">
        <v>2999</v>
      </c>
      <c r="C463" s="492">
        <v>450</v>
      </c>
      <c r="D463" s="492">
        <v>500</v>
      </c>
      <c r="E463" s="2"/>
      <c r="I463" s="2"/>
      <c r="J463" s="463"/>
      <c r="K463" s="526" t="s">
        <v>442</v>
      </c>
      <c r="O463" s="509" t="s">
        <v>2990</v>
      </c>
      <c r="R463" s="519">
        <f>(R461/30)</f>
        <v>19.469333333333335</v>
      </c>
      <c r="AG463" s="509" t="s">
        <v>2514</v>
      </c>
    </row>
    <row r="464" spans="1:33" hidden="1">
      <c r="A464" s="521">
        <f t="shared" si="21"/>
        <v>298</v>
      </c>
      <c r="B464" s="509" t="s">
        <v>3000</v>
      </c>
      <c r="C464" s="492">
        <v>77.819999999999993</v>
      </c>
      <c r="D464" s="490" t="s">
        <v>2342</v>
      </c>
      <c r="E464" s="2"/>
      <c r="H464" s="509" t="s">
        <v>2355</v>
      </c>
      <c r="I464" s="2"/>
      <c r="J464" s="463"/>
      <c r="K464" s="526" t="e">
        <f>(K462/10)</f>
        <v>#REF!</v>
      </c>
      <c r="R464" s="515" t="s">
        <v>442</v>
      </c>
      <c r="AG464" s="509" t="s">
        <v>2514</v>
      </c>
    </row>
    <row r="465" spans="1:33" hidden="1">
      <c r="A465" s="521">
        <f t="shared" si="21"/>
        <v>299</v>
      </c>
      <c r="B465" s="509" t="s">
        <v>3001</v>
      </c>
      <c r="C465" s="492">
        <v>99.74</v>
      </c>
      <c r="D465" s="490" t="s">
        <v>2342</v>
      </c>
      <c r="E465" s="2"/>
      <c r="I465" s="2"/>
      <c r="J465" s="463"/>
      <c r="K465" s="526" t="s">
        <v>29</v>
      </c>
      <c r="N465" s="509" t="s">
        <v>3002</v>
      </c>
      <c r="O465" s="510" t="s">
        <v>3003</v>
      </c>
      <c r="AG465" s="509" t="s">
        <v>2514</v>
      </c>
    </row>
    <row r="466" spans="1:33" hidden="1">
      <c r="A466" s="521">
        <f t="shared" si="21"/>
        <v>300</v>
      </c>
      <c r="B466" s="509" t="s">
        <v>2949</v>
      </c>
      <c r="C466" s="492">
        <v>165</v>
      </c>
      <c r="D466" s="490" t="s">
        <v>2342</v>
      </c>
      <c r="E466" s="2"/>
      <c r="H466" s="509" t="s">
        <v>2354</v>
      </c>
      <c r="I466" s="2"/>
      <c r="J466" s="463"/>
      <c r="K466" s="526" t="e">
        <f>(K464+C19/10*F458)</f>
        <v>#REF!</v>
      </c>
      <c r="O466" s="515" t="s">
        <v>442</v>
      </c>
      <c r="AG466" s="509" t="s">
        <v>2514</v>
      </c>
    </row>
    <row r="467" spans="1:33" hidden="1">
      <c r="A467" s="521">
        <f t="shared" si="21"/>
        <v>301</v>
      </c>
      <c r="B467" s="509" t="s">
        <v>2950</v>
      </c>
      <c r="C467" s="492">
        <v>258</v>
      </c>
      <c r="D467" s="490" t="s">
        <v>2342</v>
      </c>
      <c r="E467" s="2"/>
      <c r="H467" s="509" t="s">
        <v>2362</v>
      </c>
      <c r="I467" s="2"/>
      <c r="J467" s="463"/>
      <c r="K467" s="526" t="e">
        <f>(K466+C20/10*F458)</f>
        <v>#REF!</v>
      </c>
      <c r="M467" s="519">
        <v>8.1</v>
      </c>
      <c r="N467" s="509" t="s">
        <v>2334</v>
      </c>
      <c r="O467" s="509" t="s">
        <v>2973</v>
      </c>
      <c r="P467" s="519">
        <f>(C61)*2</f>
        <v>50</v>
      </c>
      <c r="Q467" s="509" t="s">
        <v>2334</v>
      </c>
      <c r="R467" s="519">
        <f>(M467*P467)</f>
        <v>405</v>
      </c>
      <c r="AG467" s="509" t="s">
        <v>2514</v>
      </c>
    </row>
    <row r="468" spans="1:33" hidden="1">
      <c r="A468" s="521">
        <f t="shared" si="21"/>
        <v>302</v>
      </c>
      <c r="B468" s="509" t="s">
        <v>2952</v>
      </c>
      <c r="C468" s="492">
        <v>298</v>
      </c>
      <c r="D468" s="490" t="s">
        <v>2342</v>
      </c>
      <c r="E468" s="2"/>
      <c r="H468" s="509" t="s">
        <v>2480</v>
      </c>
      <c r="I468" s="2"/>
      <c r="J468" s="463"/>
      <c r="K468" s="526" t="e">
        <f>(K467+C21/10*F458)</f>
        <v>#REF!</v>
      </c>
      <c r="M468" s="519">
        <v>8.1</v>
      </c>
      <c r="N468" s="509" t="s">
        <v>2334</v>
      </c>
      <c r="O468" s="509" t="s">
        <v>2974</v>
      </c>
      <c r="P468" s="519">
        <f>(C26)</f>
        <v>8.8000000000000007</v>
      </c>
      <c r="Q468" s="509" t="s">
        <v>2334</v>
      </c>
      <c r="R468" s="519">
        <f>(M468*P468)</f>
        <v>71.28</v>
      </c>
      <c r="AG468" s="509" t="s">
        <v>2514</v>
      </c>
    </row>
    <row r="469" spans="1:33" hidden="1">
      <c r="A469" s="521">
        <f t="shared" si="21"/>
        <v>303</v>
      </c>
      <c r="B469" s="509" t="s">
        <v>2905</v>
      </c>
      <c r="C469" s="492">
        <v>398</v>
      </c>
      <c r="D469" s="490" t="s">
        <v>2342</v>
      </c>
      <c r="E469" s="2"/>
      <c r="H469" s="509" t="s">
        <v>2481</v>
      </c>
      <c r="I469" s="2"/>
      <c r="J469" s="463"/>
      <c r="K469" s="526" t="e">
        <f>(K468+C21/10*F458)</f>
        <v>#REF!</v>
      </c>
      <c r="M469" s="519">
        <v>30</v>
      </c>
      <c r="N469" s="509" t="s">
        <v>2205</v>
      </c>
      <c r="O469" s="509" t="s">
        <v>2975</v>
      </c>
      <c r="P469" s="519">
        <f>(C42)</f>
        <v>1.75</v>
      </c>
      <c r="Q469" s="509" t="s">
        <v>2205</v>
      </c>
      <c r="R469" s="519">
        <f>(M469*P469)</f>
        <v>52.5</v>
      </c>
      <c r="AG469" s="509" t="s">
        <v>2514</v>
      </c>
    </row>
    <row r="470" spans="1:33" hidden="1">
      <c r="A470" s="521">
        <f t="shared" si="21"/>
        <v>304</v>
      </c>
      <c r="B470" s="509" t="s">
        <v>2953</v>
      </c>
      <c r="C470" s="2"/>
      <c r="D470" s="490" t="s">
        <v>2342</v>
      </c>
      <c r="E470" s="2"/>
      <c r="H470" s="509" t="s">
        <v>262</v>
      </c>
      <c r="I470" s="2"/>
      <c r="J470" s="463"/>
      <c r="K470" s="526" t="e">
        <f>(K469+C22/10*F459)</f>
        <v>#REF!</v>
      </c>
      <c r="O470" s="509" t="s">
        <v>2976</v>
      </c>
      <c r="AG470" s="509" t="s">
        <v>2514</v>
      </c>
    </row>
    <row r="471" spans="1:33" hidden="1">
      <c r="A471" s="521">
        <f t="shared" si="21"/>
        <v>305</v>
      </c>
      <c r="B471" s="509" t="s">
        <v>3004</v>
      </c>
      <c r="C471" s="2"/>
      <c r="D471" s="490" t="s">
        <v>2342</v>
      </c>
      <c r="E471" s="2"/>
      <c r="F471" s="510" t="s">
        <v>3005</v>
      </c>
      <c r="G471" s="518" t="s">
        <v>575</v>
      </c>
      <c r="H471" s="509" t="s">
        <v>3006</v>
      </c>
      <c r="I471" s="2"/>
      <c r="J471" s="463"/>
      <c r="K471" s="552"/>
      <c r="O471" s="509" t="s">
        <v>2977</v>
      </c>
      <c r="AG471" s="509" t="s">
        <v>2514</v>
      </c>
    </row>
    <row r="472" spans="1:33" hidden="1">
      <c r="A472" s="521">
        <f t="shared" si="21"/>
        <v>306</v>
      </c>
      <c r="B472" s="509" t="s">
        <v>2946</v>
      </c>
      <c r="C472" s="492">
        <v>130</v>
      </c>
      <c r="D472" s="490" t="s">
        <v>2342</v>
      </c>
      <c r="E472" s="2"/>
      <c r="H472" s="509" t="s">
        <v>3007</v>
      </c>
      <c r="I472" s="2"/>
      <c r="J472" s="463"/>
      <c r="K472" s="552"/>
      <c r="O472" s="509" t="s">
        <v>2978</v>
      </c>
      <c r="AG472" s="509" t="s">
        <v>2514</v>
      </c>
    </row>
    <row r="473" spans="1:33" hidden="1">
      <c r="A473" s="521">
        <f t="shared" si="21"/>
        <v>307</v>
      </c>
      <c r="B473" s="509" t="s">
        <v>2947</v>
      </c>
      <c r="C473" s="492">
        <v>178</v>
      </c>
      <c r="D473" s="490" t="s">
        <v>2342</v>
      </c>
      <c r="E473" s="2"/>
      <c r="H473" s="515" t="s">
        <v>442</v>
      </c>
      <c r="I473" s="2"/>
      <c r="J473" s="463"/>
      <c r="K473" s="552"/>
      <c r="O473" s="509" t="s">
        <v>2979</v>
      </c>
      <c r="AG473" s="509" t="s">
        <v>2514</v>
      </c>
    </row>
    <row r="474" spans="1:33" hidden="1">
      <c r="A474" s="521">
        <f t="shared" si="21"/>
        <v>308</v>
      </c>
      <c r="B474" s="509" t="s">
        <v>2949</v>
      </c>
      <c r="C474" s="492">
        <v>279</v>
      </c>
      <c r="D474" s="490" t="s">
        <v>2342</v>
      </c>
      <c r="E474" s="2"/>
      <c r="F474" s="519">
        <v>1</v>
      </c>
      <c r="G474" s="518" t="s">
        <v>2334</v>
      </c>
      <c r="H474" s="509" t="s">
        <v>3008</v>
      </c>
      <c r="I474" s="492">
        <f>(C26)</f>
        <v>8.8000000000000007</v>
      </c>
      <c r="J474" s="500" t="s">
        <v>2334</v>
      </c>
      <c r="K474" s="526">
        <f>(F474*I474)</f>
        <v>8.8000000000000007</v>
      </c>
      <c r="M474" s="519">
        <v>8</v>
      </c>
      <c r="N474" s="509" t="s">
        <v>2359</v>
      </c>
      <c r="O474" s="509" t="s">
        <v>2982</v>
      </c>
      <c r="P474" s="519">
        <f>(C45)</f>
        <v>2.7</v>
      </c>
      <c r="Q474" s="509" t="s">
        <v>2359</v>
      </c>
      <c r="R474" s="519">
        <f>(M474*P474)</f>
        <v>21.6</v>
      </c>
      <c r="AG474" s="509" t="s">
        <v>2514</v>
      </c>
    </row>
    <row r="475" spans="1:33" hidden="1">
      <c r="A475" s="521">
        <f t="shared" si="21"/>
        <v>309</v>
      </c>
      <c r="B475" s="509" t="s">
        <v>2950</v>
      </c>
      <c r="C475" s="492">
        <v>394</v>
      </c>
      <c r="D475" s="490" t="s">
        <v>2342</v>
      </c>
      <c r="E475" s="2"/>
      <c r="I475" s="2"/>
      <c r="J475" s="463"/>
      <c r="K475" s="526" t="s">
        <v>29</v>
      </c>
      <c r="M475" s="519">
        <v>8</v>
      </c>
      <c r="N475" s="509" t="s">
        <v>2359</v>
      </c>
      <c r="O475" s="509" t="s">
        <v>2985</v>
      </c>
      <c r="P475" s="519">
        <f>(C52)</f>
        <v>6.4</v>
      </c>
      <c r="Q475" s="509" t="s">
        <v>2359</v>
      </c>
      <c r="R475" s="519">
        <f>(M475*P475)</f>
        <v>51.2</v>
      </c>
      <c r="AG475" s="509" t="s">
        <v>2514</v>
      </c>
    </row>
    <row r="476" spans="1:33" hidden="1">
      <c r="A476" s="521">
        <f t="shared" si="21"/>
        <v>310</v>
      </c>
      <c r="B476" s="509" t="s">
        <v>2952</v>
      </c>
      <c r="C476" s="492">
        <v>508</v>
      </c>
      <c r="D476" s="490" t="s">
        <v>2342</v>
      </c>
      <c r="E476" s="2"/>
      <c r="F476" s="529">
        <v>7.3</v>
      </c>
      <c r="G476" s="518" t="s">
        <v>575</v>
      </c>
      <c r="H476" s="509" t="s">
        <v>3009</v>
      </c>
      <c r="I476" s="2"/>
      <c r="J476" s="463"/>
      <c r="K476" s="552"/>
      <c r="M476" s="519">
        <v>1</v>
      </c>
      <c r="N476" s="509" t="s">
        <v>2346</v>
      </c>
      <c r="O476" s="509" t="s">
        <v>2987</v>
      </c>
      <c r="P476" s="519">
        <f>(C56)</f>
        <v>12.1</v>
      </c>
      <c r="Q476" s="509" t="s">
        <v>2346</v>
      </c>
      <c r="R476" s="519">
        <f>(M476*P476)</f>
        <v>12.1</v>
      </c>
      <c r="AG476" s="509" t="s">
        <v>2514</v>
      </c>
    </row>
    <row r="477" spans="1:33" hidden="1">
      <c r="A477" s="521">
        <f t="shared" si="21"/>
        <v>311</v>
      </c>
      <c r="B477" s="509" t="s">
        <v>2905</v>
      </c>
      <c r="C477" s="492">
        <v>709</v>
      </c>
      <c r="D477" s="490" t="s">
        <v>2342</v>
      </c>
      <c r="E477" s="2"/>
      <c r="F477" s="509" t="s">
        <v>30</v>
      </c>
      <c r="H477" s="509" t="s">
        <v>3010</v>
      </c>
      <c r="I477" s="2"/>
      <c r="J477" s="463"/>
      <c r="K477" s="552"/>
      <c r="M477" s="519">
        <v>1</v>
      </c>
      <c r="N477" s="509" t="s">
        <v>2346</v>
      </c>
      <c r="O477" s="509" t="s">
        <v>2347</v>
      </c>
      <c r="Q477" s="509" t="s">
        <v>2346</v>
      </c>
      <c r="R477" s="519">
        <v>0</v>
      </c>
      <c r="AG477" s="509" t="s">
        <v>2514</v>
      </c>
    </row>
    <row r="478" spans="1:33" hidden="1">
      <c r="A478" s="521">
        <f t="shared" si="21"/>
        <v>312</v>
      </c>
      <c r="B478" s="509" t="s">
        <v>2953</v>
      </c>
      <c r="C478" s="2"/>
      <c r="D478" s="490" t="s">
        <v>2342</v>
      </c>
      <c r="E478" s="2"/>
      <c r="F478" s="509" t="s">
        <v>30</v>
      </c>
      <c r="H478" s="515" t="s">
        <v>442</v>
      </c>
      <c r="I478" s="2"/>
      <c r="J478" s="463"/>
      <c r="K478" s="552"/>
      <c r="R478" s="515" t="s">
        <v>442</v>
      </c>
      <c r="AG478" s="509" t="s">
        <v>2514</v>
      </c>
    </row>
    <row r="479" spans="1:33" hidden="1">
      <c r="A479" s="521">
        <f t="shared" si="21"/>
        <v>313</v>
      </c>
      <c r="B479" s="509" t="s">
        <v>3011</v>
      </c>
      <c r="C479" s="2"/>
      <c r="D479" s="490" t="s">
        <v>2342</v>
      </c>
      <c r="E479" s="2"/>
      <c r="F479" s="519">
        <v>0.13</v>
      </c>
      <c r="G479" s="518" t="s">
        <v>2334</v>
      </c>
      <c r="H479" s="509" t="s">
        <v>2647</v>
      </c>
      <c r="I479" s="492" t="e">
        <f>(K40)</f>
        <v>#REF!</v>
      </c>
      <c r="J479" s="500" t="s">
        <v>2334</v>
      </c>
      <c r="K479" s="526" t="e">
        <f t="shared" ref="K479:K484" si="22">(F479*I479)</f>
        <v>#REF!</v>
      </c>
      <c r="O479" s="509" t="s">
        <v>2989</v>
      </c>
      <c r="R479" s="519">
        <f>SUM(R467:R477)</f>
        <v>613.68000000000006</v>
      </c>
      <c r="AG479" s="509" t="s">
        <v>2514</v>
      </c>
    </row>
    <row r="480" spans="1:33" hidden="1">
      <c r="A480" s="521">
        <f t="shared" si="21"/>
        <v>314</v>
      </c>
      <c r="B480" s="509" t="s">
        <v>2946</v>
      </c>
      <c r="C480" s="492">
        <v>77</v>
      </c>
      <c r="D480" s="490" t="s">
        <v>2342</v>
      </c>
      <c r="E480" s="2"/>
      <c r="F480" s="519">
        <v>0.7</v>
      </c>
      <c r="G480" s="518" t="s">
        <v>2359</v>
      </c>
      <c r="H480" s="509" t="s">
        <v>2353</v>
      </c>
      <c r="I480" s="492">
        <f>(C10)</f>
        <v>150</v>
      </c>
      <c r="J480" s="500" t="s">
        <v>2359</v>
      </c>
      <c r="K480" s="526">
        <f t="shared" si="22"/>
        <v>105</v>
      </c>
      <c r="R480" s="515" t="s">
        <v>442</v>
      </c>
      <c r="AG480" s="509" t="s">
        <v>2514</v>
      </c>
    </row>
    <row r="481" spans="1:33" hidden="1">
      <c r="A481" s="521">
        <f t="shared" si="21"/>
        <v>315</v>
      </c>
      <c r="B481" s="509" t="s">
        <v>2947</v>
      </c>
      <c r="C481" s="492">
        <v>119</v>
      </c>
      <c r="D481" s="490" t="s">
        <v>2342</v>
      </c>
      <c r="E481" s="2"/>
      <c r="F481" s="519">
        <v>0.7</v>
      </c>
      <c r="G481" s="518" t="s">
        <v>2359</v>
      </c>
      <c r="H481" s="509" t="s">
        <v>2343</v>
      </c>
      <c r="I481" s="492">
        <f>(C11)</f>
        <v>135</v>
      </c>
      <c r="J481" s="500" t="s">
        <v>2359</v>
      </c>
      <c r="K481" s="526">
        <f t="shared" si="22"/>
        <v>94.5</v>
      </c>
      <c r="O481" s="509" t="s">
        <v>2990</v>
      </c>
      <c r="R481" s="519">
        <f>(R479/30)</f>
        <v>20.456000000000003</v>
      </c>
      <c r="AG481" s="509" t="s">
        <v>2514</v>
      </c>
    </row>
    <row r="482" spans="1:33" hidden="1">
      <c r="A482" s="521">
        <f t="shared" si="21"/>
        <v>316</v>
      </c>
      <c r="B482" s="509" t="s">
        <v>2949</v>
      </c>
      <c r="C482" s="492">
        <v>175</v>
      </c>
      <c r="D482" s="490" t="s">
        <v>2342</v>
      </c>
      <c r="E482" s="2"/>
      <c r="F482" s="519">
        <v>1.5</v>
      </c>
      <c r="G482" s="518" t="s">
        <v>2359</v>
      </c>
      <c r="H482" s="509" t="s">
        <v>2344</v>
      </c>
      <c r="I482" s="492">
        <f>(C12)</f>
        <v>95</v>
      </c>
      <c r="J482" s="500" t="s">
        <v>2359</v>
      </c>
      <c r="K482" s="526">
        <f t="shared" si="22"/>
        <v>142.5</v>
      </c>
      <c r="R482" s="515" t="s">
        <v>442</v>
      </c>
      <c r="AG482" s="509" t="s">
        <v>2514</v>
      </c>
    </row>
    <row r="483" spans="1:33" hidden="1">
      <c r="A483" s="521">
        <f t="shared" si="21"/>
        <v>317</v>
      </c>
      <c r="B483" s="509" t="s">
        <v>2950</v>
      </c>
      <c r="C483" s="492">
        <v>277</v>
      </c>
      <c r="D483" s="490" t="s">
        <v>2342</v>
      </c>
      <c r="E483" s="2"/>
      <c r="F483" s="519">
        <v>0.5</v>
      </c>
      <c r="G483" s="518" t="s">
        <v>2359</v>
      </c>
      <c r="H483" s="509" t="s">
        <v>2345</v>
      </c>
      <c r="I483" s="492">
        <f>(C13)</f>
        <v>85</v>
      </c>
      <c r="J483" s="500" t="s">
        <v>2359</v>
      </c>
      <c r="K483" s="526">
        <f t="shared" si="22"/>
        <v>42.5</v>
      </c>
      <c r="M483" s="509" t="s">
        <v>30</v>
      </c>
      <c r="AG483" s="509" t="s">
        <v>2514</v>
      </c>
    </row>
    <row r="484" spans="1:33" hidden="1">
      <c r="A484" s="521">
        <f t="shared" si="21"/>
        <v>318</v>
      </c>
      <c r="B484" s="509" t="s">
        <v>2952</v>
      </c>
      <c r="C484" s="492">
        <v>353</v>
      </c>
      <c r="D484" s="490" t="s">
        <v>2342</v>
      </c>
      <c r="E484" s="2"/>
      <c r="F484" s="519">
        <v>0.94</v>
      </c>
      <c r="G484" s="518" t="s">
        <v>40</v>
      </c>
      <c r="H484" s="509" t="s">
        <v>3012</v>
      </c>
      <c r="I484" s="492">
        <f>C631</f>
        <v>30</v>
      </c>
      <c r="J484" s="500" t="s">
        <v>40</v>
      </c>
      <c r="K484" s="526">
        <f t="shared" si="22"/>
        <v>28.2</v>
      </c>
      <c r="N484" s="509" t="s">
        <v>575</v>
      </c>
      <c r="O484" s="509" t="s">
        <v>2967</v>
      </c>
      <c r="AG484" s="509" t="s">
        <v>2514</v>
      </c>
    </row>
    <row r="485" spans="1:33" hidden="1">
      <c r="A485" s="521">
        <f t="shared" si="21"/>
        <v>319</v>
      </c>
      <c r="B485" s="509" t="s">
        <v>2905</v>
      </c>
      <c r="C485" s="492">
        <v>584</v>
      </c>
      <c r="D485" s="490" t="s">
        <v>2342</v>
      </c>
      <c r="E485" s="2"/>
      <c r="H485" s="509" t="s">
        <v>2347</v>
      </c>
      <c r="I485" s="490" t="s">
        <v>30</v>
      </c>
      <c r="J485" s="500" t="s">
        <v>2346</v>
      </c>
      <c r="K485" s="526">
        <v>0</v>
      </c>
      <c r="O485" s="509" t="s">
        <v>2968</v>
      </c>
      <c r="AG485" s="509" t="s">
        <v>2514</v>
      </c>
    </row>
    <row r="486" spans="1:33" hidden="1">
      <c r="A486" s="521">
        <f t="shared" si="21"/>
        <v>320</v>
      </c>
      <c r="B486" s="509" t="s">
        <v>2953</v>
      </c>
      <c r="C486" s="2"/>
      <c r="D486" s="490" t="s">
        <v>2342</v>
      </c>
      <c r="E486" s="2"/>
      <c r="I486" s="2"/>
      <c r="J486" s="463"/>
      <c r="K486" s="526" t="s">
        <v>442</v>
      </c>
      <c r="O486" s="509" t="s">
        <v>3013</v>
      </c>
      <c r="AG486" s="509" t="s">
        <v>2514</v>
      </c>
    </row>
    <row r="487" spans="1:33" hidden="1">
      <c r="A487" s="521">
        <f t="shared" si="21"/>
        <v>321</v>
      </c>
      <c r="B487" s="509" t="s">
        <v>3014</v>
      </c>
      <c r="C487" s="2"/>
      <c r="D487" s="490" t="s">
        <v>2342</v>
      </c>
      <c r="E487" s="2"/>
      <c r="H487" s="509" t="s">
        <v>2348</v>
      </c>
      <c r="I487" s="2"/>
      <c r="J487" s="463"/>
      <c r="K487" s="526" t="e">
        <f>SUM(K478:K485)</f>
        <v>#REF!</v>
      </c>
      <c r="O487" s="515" t="s">
        <v>442</v>
      </c>
      <c r="AG487" s="509" t="s">
        <v>2514</v>
      </c>
    </row>
    <row r="488" spans="1:33" hidden="1">
      <c r="A488" s="521">
        <f t="shared" si="21"/>
        <v>322</v>
      </c>
      <c r="B488" s="509" t="s">
        <v>3015</v>
      </c>
      <c r="C488" s="492">
        <v>8.75</v>
      </c>
      <c r="D488" s="490" t="s">
        <v>2342</v>
      </c>
      <c r="E488" s="2"/>
      <c r="I488" s="2"/>
      <c r="J488" s="463"/>
      <c r="K488" s="526" t="s">
        <v>442</v>
      </c>
      <c r="N488" s="509" t="s">
        <v>2970</v>
      </c>
      <c r="O488" s="510" t="s">
        <v>3016</v>
      </c>
      <c r="AG488" s="509" t="s">
        <v>2514</v>
      </c>
    </row>
    <row r="489" spans="1:33" hidden="1">
      <c r="A489" s="521">
        <f t="shared" si="21"/>
        <v>323</v>
      </c>
      <c r="B489" s="509" t="s">
        <v>3017</v>
      </c>
      <c r="C489" s="492">
        <v>11.5</v>
      </c>
      <c r="D489" s="490" t="s">
        <v>2342</v>
      </c>
      <c r="E489" s="2"/>
      <c r="H489" s="509" t="s">
        <v>2349</v>
      </c>
      <c r="I489" s="2"/>
      <c r="J489" s="463"/>
      <c r="K489" s="526" t="e">
        <f>(K487/10)</f>
        <v>#REF!</v>
      </c>
      <c r="O489" s="515" t="s">
        <v>442</v>
      </c>
      <c r="AG489" s="509" t="s">
        <v>2514</v>
      </c>
    </row>
    <row r="490" spans="1:33" hidden="1">
      <c r="C490" s="2"/>
      <c r="D490" s="2"/>
      <c r="E490" s="2"/>
      <c r="F490" s="509" t="s">
        <v>30</v>
      </c>
      <c r="I490" s="2"/>
      <c r="J490" s="463"/>
      <c r="K490" s="552"/>
    </row>
    <row r="491" spans="1:33" hidden="1">
      <c r="A491" s="521">
        <f>(A489+1)</f>
        <v>324</v>
      </c>
      <c r="B491" s="509" t="s">
        <v>3018</v>
      </c>
      <c r="C491" s="492">
        <v>11.5</v>
      </c>
      <c r="D491" s="490" t="s">
        <v>2342</v>
      </c>
      <c r="E491" s="2"/>
      <c r="I491" s="2"/>
      <c r="J491" s="463"/>
      <c r="K491" s="526" t="s">
        <v>29</v>
      </c>
      <c r="M491" s="519">
        <v>30</v>
      </c>
      <c r="N491" s="509" t="s">
        <v>2205</v>
      </c>
      <c r="O491" s="509" t="s">
        <v>3019</v>
      </c>
      <c r="P491" s="519">
        <f>(C42)</f>
        <v>1.75</v>
      </c>
      <c r="Q491" s="509" t="s">
        <v>2205</v>
      </c>
      <c r="R491" s="519">
        <f>(M491*P491)</f>
        <v>52.5</v>
      </c>
      <c r="AG491" s="509" t="s">
        <v>2514</v>
      </c>
    </row>
    <row r="492" spans="1:33" hidden="1">
      <c r="A492" s="521">
        <f t="shared" ref="A492:A546" si="23">(A491+1)</f>
        <v>325</v>
      </c>
      <c r="B492" s="509" t="s">
        <v>3020</v>
      </c>
      <c r="C492" s="492">
        <v>56.74</v>
      </c>
      <c r="D492" s="490" t="s">
        <v>2342</v>
      </c>
      <c r="E492" s="2"/>
      <c r="F492" s="510"/>
      <c r="G492" s="518" t="s">
        <v>575</v>
      </c>
      <c r="H492" s="509" t="s">
        <v>3021</v>
      </c>
      <c r="I492" s="2"/>
      <c r="J492" s="463"/>
      <c r="K492" s="552"/>
      <c r="M492" s="509" t="s">
        <v>30</v>
      </c>
      <c r="O492" s="509" t="s">
        <v>3022</v>
      </c>
      <c r="P492" s="509" t="s">
        <v>30</v>
      </c>
      <c r="R492" s="509" t="s">
        <v>30</v>
      </c>
      <c r="AG492" s="509" t="s">
        <v>2514</v>
      </c>
    </row>
    <row r="493" spans="1:33" hidden="1">
      <c r="A493" s="521">
        <f t="shared" si="23"/>
        <v>326</v>
      </c>
      <c r="B493" s="509" t="s">
        <v>3023</v>
      </c>
      <c r="C493" s="492">
        <v>56.74</v>
      </c>
      <c r="D493" s="490" t="s">
        <v>2342</v>
      </c>
      <c r="E493" s="2"/>
      <c r="H493" s="509" t="s">
        <v>2850</v>
      </c>
      <c r="I493" s="2"/>
      <c r="J493" s="463"/>
      <c r="K493" s="552"/>
      <c r="M493" s="519">
        <v>8</v>
      </c>
      <c r="N493" s="509" t="s">
        <v>2342</v>
      </c>
      <c r="O493" s="509" t="s">
        <v>2982</v>
      </c>
      <c r="P493" s="519">
        <f>(C43)</f>
        <v>2.2000000000000002</v>
      </c>
      <c r="Q493" s="509" t="s">
        <v>2342</v>
      </c>
      <c r="R493" s="519">
        <f t="shared" ref="R493:R498" si="24">(M493*P493)</f>
        <v>17.600000000000001</v>
      </c>
      <c r="AG493" s="509" t="s">
        <v>2514</v>
      </c>
    </row>
    <row r="494" spans="1:33" hidden="1">
      <c r="A494" s="521">
        <f t="shared" si="23"/>
        <v>327</v>
      </c>
      <c r="B494" s="509" t="s">
        <v>3024</v>
      </c>
      <c r="C494" s="2"/>
      <c r="D494" s="490" t="s">
        <v>30</v>
      </c>
      <c r="E494" s="2"/>
      <c r="H494" s="515" t="s">
        <v>442</v>
      </c>
      <c r="I494" s="2"/>
      <c r="J494" s="463"/>
      <c r="K494" s="552"/>
      <c r="M494" s="519">
        <v>8</v>
      </c>
      <c r="N494" s="509" t="s">
        <v>2342</v>
      </c>
      <c r="O494" s="509" t="s">
        <v>2985</v>
      </c>
      <c r="P494" s="519">
        <f>(C50)</f>
        <v>3.2</v>
      </c>
      <c r="Q494" s="509" t="s">
        <v>2342</v>
      </c>
      <c r="R494" s="519">
        <f t="shared" si="24"/>
        <v>25.6</v>
      </c>
      <c r="AG494" s="509" t="s">
        <v>2514</v>
      </c>
    </row>
    <row r="495" spans="1:33" hidden="1">
      <c r="A495" s="521">
        <f t="shared" si="23"/>
        <v>328</v>
      </c>
      <c r="B495" s="509" t="s">
        <v>3015</v>
      </c>
      <c r="C495" s="492">
        <v>15.6</v>
      </c>
      <c r="D495" s="490" t="s">
        <v>2342</v>
      </c>
      <c r="E495" s="2"/>
      <c r="F495" s="519">
        <v>9</v>
      </c>
      <c r="G495" s="518" t="s">
        <v>2334</v>
      </c>
      <c r="H495" s="509" t="s">
        <v>3025</v>
      </c>
      <c r="I495" s="492" t="e">
        <f>(C70)</f>
        <v>#REF!</v>
      </c>
      <c r="J495" s="500" t="s">
        <v>2334</v>
      </c>
      <c r="K495" s="526" t="e">
        <f t="shared" ref="K495:K500" si="25">(F495*I495)</f>
        <v>#REF!</v>
      </c>
      <c r="M495" s="519">
        <v>3</v>
      </c>
      <c r="N495" s="509" t="s">
        <v>2342</v>
      </c>
      <c r="O495" s="509" t="s">
        <v>3026</v>
      </c>
      <c r="P495" s="519">
        <f>(C41)</f>
        <v>110</v>
      </c>
      <c r="Q495" s="509" t="s">
        <v>2342</v>
      </c>
      <c r="R495" s="519">
        <f t="shared" si="24"/>
        <v>330</v>
      </c>
      <c r="AG495" s="509" t="s">
        <v>2514</v>
      </c>
    </row>
    <row r="496" spans="1:33" hidden="1">
      <c r="A496" s="521">
        <f t="shared" si="23"/>
        <v>329</v>
      </c>
      <c r="B496" s="509" t="s">
        <v>3017</v>
      </c>
      <c r="C496" s="492">
        <v>15.6</v>
      </c>
      <c r="D496" s="490" t="s">
        <v>2342</v>
      </c>
      <c r="E496" s="2"/>
      <c r="F496" s="528">
        <v>3.2309999999999999</v>
      </c>
      <c r="G496" s="518" t="s">
        <v>2516</v>
      </c>
      <c r="H496" s="509" t="s">
        <v>2517</v>
      </c>
      <c r="I496" s="492">
        <f>(C67)</f>
        <v>3800</v>
      </c>
      <c r="J496" s="500" t="s">
        <v>2516</v>
      </c>
      <c r="K496" s="526">
        <f t="shared" si="25"/>
        <v>12277.8</v>
      </c>
      <c r="M496" s="519">
        <v>1</v>
      </c>
      <c r="N496" s="509" t="s">
        <v>2342</v>
      </c>
      <c r="O496" s="509" t="s">
        <v>3027</v>
      </c>
      <c r="P496" s="519">
        <f>(C10)</f>
        <v>150</v>
      </c>
      <c r="Q496" s="509" t="s">
        <v>2342</v>
      </c>
      <c r="R496" s="519">
        <f t="shared" si="24"/>
        <v>150</v>
      </c>
      <c r="AG496" s="509" t="s">
        <v>2514</v>
      </c>
    </row>
    <row r="497" spans="1:33" hidden="1">
      <c r="A497" s="521">
        <f t="shared" si="23"/>
        <v>330</v>
      </c>
      <c r="B497" s="509" t="s">
        <v>3018</v>
      </c>
      <c r="C497" s="492">
        <v>15.6</v>
      </c>
      <c r="D497" s="490" t="s">
        <v>2342</v>
      </c>
      <c r="E497" s="2"/>
      <c r="F497" s="519">
        <v>4.5</v>
      </c>
      <c r="G497" s="518" t="s">
        <v>2334</v>
      </c>
      <c r="H497" s="509" t="s">
        <v>2525</v>
      </c>
      <c r="I497" s="492" t="e">
        <f>(C78)</f>
        <v>#REF!</v>
      </c>
      <c r="J497" s="500" t="s">
        <v>2334</v>
      </c>
      <c r="K497" s="526" t="e">
        <f t="shared" si="25"/>
        <v>#REF!</v>
      </c>
      <c r="M497" s="519">
        <v>2</v>
      </c>
      <c r="N497" s="509" t="s">
        <v>2342</v>
      </c>
      <c r="O497" s="509" t="s">
        <v>2344</v>
      </c>
      <c r="P497" s="519">
        <f>(C12)</f>
        <v>95</v>
      </c>
      <c r="Q497" s="509" t="s">
        <v>2342</v>
      </c>
      <c r="R497" s="519">
        <f t="shared" si="24"/>
        <v>190</v>
      </c>
      <c r="AG497" s="509" t="s">
        <v>2514</v>
      </c>
    </row>
    <row r="498" spans="1:33" hidden="1">
      <c r="A498" s="521">
        <f t="shared" si="23"/>
        <v>331</v>
      </c>
      <c r="B498" s="509" t="s">
        <v>3020</v>
      </c>
      <c r="C498" s="492">
        <v>100.3</v>
      </c>
      <c r="D498" s="490" t="s">
        <v>2342</v>
      </c>
      <c r="E498" s="2"/>
      <c r="F498" s="519">
        <v>3.5</v>
      </c>
      <c r="G498" s="518" t="s">
        <v>2342</v>
      </c>
      <c r="H498" s="509" t="s">
        <v>2343</v>
      </c>
      <c r="I498" s="492">
        <f>(C11)</f>
        <v>135</v>
      </c>
      <c r="J498" s="500" t="s">
        <v>2342</v>
      </c>
      <c r="K498" s="526">
        <f t="shared" si="25"/>
        <v>472.5</v>
      </c>
      <c r="M498" s="519">
        <v>1</v>
      </c>
      <c r="N498" s="509" t="s">
        <v>2342</v>
      </c>
      <c r="O498" s="509" t="s">
        <v>2345</v>
      </c>
      <c r="P498" s="519">
        <f>(C13)</f>
        <v>85</v>
      </c>
      <c r="Q498" s="509" t="s">
        <v>2342</v>
      </c>
      <c r="R498" s="519">
        <f t="shared" si="24"/>
        <v>85</v>
      </c>
      <c r="AG498" s="509" t="s">
        <v>2690</v>
      </c>
    </row>
    <row r="499" spans="1:33" hidden="1">
      <c r="A499" s="521">
        <f t="shared" si="23"/>
        <v>332</v>
      </c>
      <c r="B499" s="509" t="s">
        <v>3023</v>
      </c>
      <c r="C499" s="492">
        <v>100.3</v>
      </c>
      <c r="D499" s="490" t="s">
        <v>2342</v>
      </c>
      <c r="E499" s="2"/>
      <c r="F499" s="519">
        <v>21.2</v>
      </c>
      <c r="G499" s="518" t="s">
        <v>2342</v>
      </c>
      <c r="H499" s="509" t="s">
        <v>2344</v>
      </c>
      <c r="I499" s="492">
        <f>(C12)</f>
        <v>95</v>
      </c>
      <c r="J499" s="500" t="s">
        <v>2342</v>
      </c>
      <c r="K499" s="526">
        <f t="shared" si="25"/>
        <v>2014</v>
      </c>
      <c r="N499" s="509" t="s">
        <v>2346</v>
      </c>
      <c r="O499" s="509" t="s">
        <v>3028</v>
      </c>
      <c r="P499" s="509" t="s">
        <v>30</v>
      </c>
      <c r="Q499" s="509" t="s">
        <v>2346</v>
      </c>
      <c r="R499" s="519">
        <f>(C56)</f>
        <v>12.1</v>
      </c>
    </row>
    <row r="500" spans="1:33" hidden="1">
      <c r="A500" s="521">
        <f t="shared" si="23"/>
        <v>333</v>
      </c>
      <c r="B500" s="509" t="s">
        <v>3029</v>
      </c>
      <c r="C500" s="2"/>
      <c r="D500" s="490" t="s">
        <v>30</v>
      </c>
      <c r="E500" s="2"/>
      <c r="F500" s="519">
        <v>35.299999999999997</v>
      </c>
      <c r="G500" s="518" t="s">
        <v>2342</v>
      </c>
      <c r="H500" s="509" t="s">
        <v>2345</v>
      </c>
      <c r="I500" s="492">
        <f>(C13)</f>
        <v>85</v>
      </c>
      <c r="J500" s="500" t="s">
        <v>2342</v>
      </c>
      <c r="K500" s="526">
        <f t="shared" si="25"/>
        <v>3000.4999999999995</v>
      </c>
      <c r="O500" s="509" t="s">
        <v>3030</v>
      </c>
      <c r="P500" s="509" t="s">
        <v>30</v>
      </c>
      <c r="R500" s="509" t="s">
        <v>30</v>
      </c>
    </row>
    <row r="501" spans="1:33" hidden="1">
      <c r="A501" s="521">
        <f t="shared" si="23"/>
        <v>334</v>
      </c>
      <c r="B501" s="509" t="s">
        <v>3015</v>
      </c>
      <c r="C501" s="492">
        <v>9.4499999999999993</v>
      </c>
      <c r="D501" s="490" t="s">
        <v>2342</v>
      </c>
      <c r="E501" s="2"/>
      <c r="G501" s="518" t="s">
        <v>2346</v>
      </c>
      <c r="H501" s="509" t="s">
        <v>2347</v>
      </c>
      <c r="I501" s="490" t="s">
        <v>30</v>
      </c>
      <c r="J501" s="500" t="s">
        <v>2346</v>
      </c>
      <c r="K501" s="526">
        <v>0</v>
      </c>
      <c r="N501" s="509" t="s">
        <v>2346</v>
      </c>
      <c r="O501" s="509" t="s">
        <v>2347</v>
      </c>
      <c r="Q501" s="509" t="s">
        <v>2346</v>
      </c>
      <c r="R501" s="519">
        <v>0</v>
      </c>
      <c r="AG501" s="509" t="s">
        <v>2514</v>
      </c>
    </row>
    <row r="502" spans="1:33" hidden="1">
      <c r="A502" s="521">
        <f t="shared" si="23"/>
        <v>335</v>
      </c>
      <c r="B502" s="509" t="s">
        <v>3017</v>
      </c>
      <c r="C502" s="492">
        <v>15.6</v>
      </c>
      <c r="D502" s="490" t="s">
        <v>2342</v>
      </c>
      <c r="E502" s="2"/>
      <c r="I502" s="2"/>
      <c r="J502" s="463"/>
      <c r="K502" s="526" t="s">
        <v>442</v>
      </c>
      <c r="R502" s="515" t="s">
        <v>442</v>
      </c>
      <c r="AG502" s="509" t="s">
        <v>2514</v>
      </c>
    </row>
    <row r="503" spans="1:33" hidden="1">
      <c r="A503" s="521">
        <f t="shared" si="23"/>
        <v>336</v>
      </c>
      <c r="B503" s="509" t="s">
        <v>3018</v>
      </c>
      <c r="C503" s="492">
        <v>15.6</v>
      </c>
      <c r="D503" s="490" t="s">
        <v>2342</v>
      </c>
      <c r="E503" s="2"/>
      <c r="H503" s="509" t="s">
        <v>2865</v>
      </c>
      <c r="I503" s="2"/>
      <c r="J503" s="463"/>
      <c r="K503" s="526" t="e">
        <f>SUM(K495:K501)</f>
        <v>#REF!</v>
      </c>
      <c r="O503" s="509" t="s">
        <v>3031</v>
      </c>
      <c r="R503" s="519">
        <f>SUM(R491:R501)</f>
        <v>862.80000000000007</v>
      </c>
      <c r="AG503" s="509" t="s">
        <v>2514</v>
      </c>
    </row>
    <row r="504" spans="1:33" hidden="1">
      <c r="A504" s="521">
        <f t="shared" si="23"/>
        <v>337</v>
      </c>
      <c r="B504" s="509" t="s">
        <v>3032</v>
      </c>
      <c r="C504" s="492">
        <v>36.61</v>
      </c>
      <c r="D504" s="490" t="s">
        <v>2342</v>
      </c>
      <c r="E504" s="2"/>
      <c r="I504" s="2"/>
      <c r="J504" s="463"/>
      <c r="K504" s="526" t="s">
        <v>442</v>
      </c>
      <c r="R504" s="515" t="s">
        <v>442</v>
      </c>
      <c r="AG504" s="509" t="s">
        <v>2514</v>
      </c>
    </row>
    <row r="505" spans="1:33" hidden="1">
      <c r="A505" s="521">
        <f t="shared" si="23"/>
        <v>338</v>
      </c>
      <c r="B505" s="509" t="s">
        <v>3020</v>
      </c>
      <c r="C505" s="492">
        <v>78.709999999999994</v>
      </c>
      <c r="D505" s="490" t="s">
        <v>2342</v>
      </c>
      <c r="E505" s="2"/>
      <c r="H505" s="509" t="s">
        <v>2349</v>
      </c>
      <c r="I505" s="2"/>
      <c r="J505" s="463"/>
      <c r="K505" s="526" t="e">
        <f>(K503/10)</f>
        <v>#REF!</v>
      </c>
      <c r="O505" s="509" t="s">
        <v>2990</v>
      </c>
      <c r="R505" s="519">
        <f>(R503/30)</f>
        <v>28.76</v>
      </c>
      <c r="AG505" s="509" t="s">
        <v>2514</v>
      </c>
    </row>
    <row r="506" spans="1:33" hidden="1">
      <c r="A506" s="521">
        <f t="shared" si="23"/>
        <v>339</v>
      </c>
      <c r="B506" s="509" t="s">
        <v>3023</v>
      </c>
      <c r="C506" s="492">
        <v>78.709999999999994</v>
      </c>
      <c r="D506" s="490" t="s">
        <v>2342</v>
      </c>
      <c r="E506" s="2"/>
      <c r="I506" s="2"/>
      <c r="J506" s="463"/>
      <c r="K506" s="552"/>
      <c r="R506" s="515" t="s">
        <v>442</v>
      </c>
      <c r="AG506" s="509" t="s">
        <v>2514</v>
      </c>
    </row>
    <row r="507" spans="1:33" hidden="1">
      <c r="A507" s="521">
        <f t="shared" si="23"/>
        <v>340</v>
      </c>
      <c r="B507" s="509" t="s">
        <v>3033</v>
      </c>
      <c r="C507" s="2"/>
      <c r="D507" s="490" t="s">
        <v>3034</v>
      </c>
      <c r="E507" s="2"/>
      <c r="F507" s="519">
        <v>1</v>
      </c>
      <c r="G507" s="518" t="s">
        <v>2334</v>
      </c>
      <c r="H507" s="509" t="s">
        <v>2873</v>
      </c>
      <c r="I507" s="2"/>
      <c r="J507" s="463"/>
      <c r="K507" s="526">
        <f>(C25)</f>
        <v>20.7</v>
      </c>
      <c r="N507" s="509" t="s">
        <v>24</v>
      </c>
      <c r="O507" s="510" t="s">
        <v>3035</v>
      </c>
      <c r="AG507" s="509" t="s">
        <v>2514</v>
      </c>
    </row>
    <row r="508" spans="1:33" hidden="1">
      <c r="A508" s="521">
        <f t="shared" si="23"/>
        <v>341</v>
      </c>
      <c r="B508" s="509" t="s">
        <v>3036</v>
      </c>
      <c r="C508" s="492">
        <v>20.55</v>
      </c>
      <c r="D508" s="490" t="s">
        <v>2205</v>
      </c>
      <c r="E508" s="2"/>
      <c r="I508" s="2"/>
      <c r="J508" s="463"/>
      <c r="K508" s="526" t="s">
        <v>442</v>
      </c>
      <c r="O508" s="515" t="s">
        <v>442</v>
      </c>
      <c r="AG508" s="509" t="s">
        <v>2514</v>
      </c>
    </row>
    <row r="509" spans="1:33" hidden="1">
      <c r="A509" s="521">
        <f t="shared" si="23"/>
        <v>342</v>
      </c>
      <c r="B509" s="509" t="s">
        <v>3037</v>
      </c>
      <c r="C509" s="492">
        <v>32.9</v>
      </c>
      <c r="D509" s="490" t="s">
        <v>2205</v>
      </c>
      <c r="E509" s="2">
        <v>70</v>
      </c>
      <c r="H509" s="509" t="s">
        <v>3038</v>
      </c>
      <c r="I509" s="2"/>
      <c r="J509" s="463"/>
      <c r="K509" s="526" t="e">
        <f>SUM(K505:K507)</f>
        <v>#REF!</v>
      </c>
      <c r="M509" s="519">
        <v>30</v>
      </c>
      <c r="N509" s="509" t="s">
        <v>2205</v>
      </c>
      <c r="O509" s="509" t="s">
        <v>3019</v>
      </c>
      <c r="P509" s="519">
        <f>(C42)</f>
        <v>1.75</v>
      </c>
      <c r="Q509" s="509" t="s">
        <v>2205</v>
      </c>
      <c r="R509" s="519">
        <f>(M509*P509)</f>
        <v>52.5</v>
      </c>
      <c r="AG509" s="509" t="s">
        <v>2514</v>
      </c>
    </row>
    <row r="510" spans="1:33" hidden="1">
      <c r="A510" s="521">
        <f t="shared" si="23"/>
        <v>343</v>
      </c>
      <c r="B510" s="509" t="s">
        <v>3039</v>
      </c>
      <c r="C510" s="492">
        <v>48.8</v>
      </c>
      <c r="D510" s="490" t="s">
        <v>2205</v>
      </c>
      <c r="E510" s="2"/>
      <c r="I510" s="2"/>
      <c r="J510" s="463"/>
      <c r="K510" s="526" t="s">
        <v>442</v>
      </c>
      <c r="M510" s="509" t="s">
        <v>30</v>
      </c>
      <c r="O510" s="509" t="s">
        <v>3022</v>
      </c>
      <c r="P510" s="509" t="s">
        <v>30</v>
      </c>
      <c r="R510" s="509" t="s">
        <v>30</v>
      </c>
      <c r="AG510" s="509" t="s">
        <v>2514</v>
      </c>
    </row>
    <row r="511" spans="1:33" hidden="1">
      <c r="A511" s="521">
        <f t="shared" si="23"/>
        <v>344</v>
      </c>
      <c r="B511" s="509" t="s">
        <v>3040</v>
      </c>
      <c r="C511" s="492">
        <v>65.7</v>
      </c>
      <c r="D511" s="490" t="s">
        <v>2205</v>
      </c>
      <c r="E511" s="2"/>
      <c r="G511" s="518" t="s">
        <v>3041</v>
      </c>
      <c r="H511" s="509" t="s">
        <v>2354</v>
      </c>
      <c r="I511" s="2"/>
      <c r="J511" s="463"/>
      <c r="K511" s="526" t="e">
        <f>(K509+C22)</f>
        <v>#REF!</v>
      </c>
      <c r="M511" s="519">
        <v>8</v>
      </c>
      <c r="N511" s="509" t="s">
        <v>2342</v>
      </c>
      <c r="O511" s="509" t="s">
        <v>2982</v>
      </c>
      <c r="P511" s="519">
        <f>(C44)</f>
        <v>2.2000000000000002</v>
      </c>
      <c r="Q511" s="509" t="s">
        <v>2342</v>
      </c>
      <c r="R511" s="519">
        <f t="shared" ref="R511:R516" si="26">(M511*P511)</f>
        <v>17.600000000000001</v>
      </c>
      <c r="AG511" s="509" t="s">
        <v>2514</v>
      </c>
    </row>
    <row r="512" spans="1:33" hidden="1">
      <c r="A512" s="521">
        <f t="shared" si="23"/>
        <v>345</v>
      </c>
      <c r="B512" s="509" t="s">
        <v>3042</v>
      </c>
      <c r="C512" s="492">
        <v>69.099999999999994</v>
      </c>
      <c r="D512" s="492">
        <v>21</v>
      </c>
      <c r="E512" s="2"/>
      <c r="G512" s="518" t="s">
        <v>3043</v>
      </c>
      <c r="H512" s="509" t="s">
        <v>2362</v>
      </c>
      <c r="I512" s="2"/>
      <c r="J512" s="463"/>
      <c r="K512" s="526" t="e">
        <f>(K511+C23)</f>
        <v>#REF!</v>
      </c>
      <c r="M512" s="519">
        <v>8</v>
      </c>
      <c r="N512" s="509" t="s">
        <v>2342</v>
      </c>
      <c r="O512" s="509" t="s">
        <v>2985</v>
      </c>
      <c r="P512" s="519">
        <f>(C51)</f>
        <v>3.2</v>
      </c>
      <c r="Q512" s="509" t="s">
        <v>2342</v>
      </c>
      <c r="R512" s="519">
        <f t="shared" si="26"/>
        <v>25.6</v>
      </c>
      <c r="AG512" s="509" t="s">
        <v>2514</v>
      </c>
    </row>
    <row r="513" spans="1:33" hidden="1">
      <c r="A513" s="521">
        <f t="shared" si="23"/>
        <v>346</v>
      </c>
      <c r="B513" s="509" t="s">
        <v>3044</v>
      </c>
      <c r="C513" s="492">
        <v>94.12</v>
      </c>
      <c r="D513" s="492">
        <v>37.15</v>
      </c>
      <c r="E513" s="2"/>
      <c r="G513" s="518" t="s">
        <v>3045</v>
      </c>
      <c r="H513" s="509" t="s">
        <v>2480</v>
      </c>
      <c r="I513" s="2"/>
      <c r="J513" s="463"/>
      <c r="K513" s="526" t="e">
        <f>(K512+C24)</f>
        <v>#REF!</v>
      </c>
      <c r="M513" s="519">
        <v>3</v>
      </c>
      <c r="N513" s="509" t="s">
        <v>2342</v>
      </c>
      <c r="O513" s="509" t="s">
        <v>3026</v>
      </c>
      <c r="P513" s="519">
        <f>(C41)</f>
        <v>110</v>
      </c>
      <c r="Q513" s="509" t="s">
        <v>2342</v>
      </c>
      <c r="R513" s="519">
        <f t="shared" si="26"/>
        <v>330</v>
      </c>
      <c r="AG513" s="509" t="s">
        <v>2514</v>
      </c>
    </row>
    <row r="514" spans="1:33" hidden="1">
      <c r="A514" s="521">
        <f t="shared" si="23"/>
        <v>347</v>
      </c>
      <c r="B514" s="509" t="s">
        <v>3046</v>
      </c>
      <c r="C514" s="2"/>
      <c r="D514" s="490" t="s">
        <v>30</v>
      </c>
      <c r="E514" s="2"/>
      <c r="G514" s="518" t="s">
        <v>3047</v>
      </c>
      <c r="H514" s="509" t="s">
        <v>2481</v>
      </c>
      <c r="I514" s="2"/>
      <c r="J514" s="463"/>
      <c r="K514" s="526" t="e">
        <f>(K513+C24)</f>
        <v>#REF!</v>
      </c>
      <c r="M514" s="519">
        <v>1</v>
      </c>
      <c r="N514" s="509" t="s">
        <v>2342</v>
      </c>
      <c r="O514" s="509" t="s">
        <v>3027</v>
      </c>
      <c r="P514" s="519">
        <f>(C10)</f>
        <v>150</v>
      </c>
      <c r="Q514" s="509" t="s">
        <v>2342</v>
      </c>
      <c r="R514" s="519">
        <f t="shared" si="26"/>
        <v>150</v>
      </c>
      <c r="AG514" s="509" t="s">
        <v>2514</v>
      </c>
    </row>
    <row r="515" spans="1:33" hidden="1">
      <c r="A515" s="521">
        <f t="shared" si="23"/>
        <v>348</v>
      </c>
      <c r="B515" s="509" t="s">
        <v>2946</v>
      </c>
      <c r="C515" s="492">
        <v>4.1900000000000004</v>
      </c>
      <c r="D515" s="490" t="s">
        <v>2342</v>
      </c>
      <c r="E515" s="2"/>
      <c r="I515" s="2"/>
      <c r="J515" s="463"/>
      <c r="K515" s="552"/>
      <c r="M515" s="519">
        <v>2</v>
      </c>
      <c r="N515" s="509" t="s">
        <v>2342</v>
      </c>
      <c r="O515" s="509" t="s">
        <v>2344</v>
      </c>
      <c r="P515" s="519">
        <f>(C12)</f>
        <v>95</v>
      </c>
      <c r="Q515" s="509" t="s">
        <v>2342</v>
      </c>
      <c r="R515" s="519">
        <f t="shared" si="26"/>
        <v>190</v>
      </c>
      <c r="AG515" s="509" t="s">
        <v>2514</v>
      </c>
    </row>
    <row r="516" spans="1:33" hidden="1">
      <c r="A516" s="521">
        <f t="shared" si="23"/>
        <v>349</v>
      </c>
      <c r="B516" s="509" t="s">
        <v>2947</v>
      </c>
      <c r="C516" s="492">
        <v>5</v>
      </c>
      <c r="D516" s="490" t="s">
        <v>2342</v>
      </c>
      <c r="E516" s="2"/>
      <c r="F516" s="510" t="s">
        <v>1917</v>
      </c>
      <c r="G516" s="518" t="s">
        <v>575</v>
      </c>
      <c r="H516" s="509" t="s">
        <v>3048</v>
      </c>
      <c r="I516" s="2"/>
      <c r="J516" s="463"/>
      <c r="K516" s="552"/>
      <c r="M516" s="519">
        <v>1</v>
      </c>
      <c r="N516" s="509" t="s">
        <v>2342</v>
      </c>
      <c r="O516" s="509" t="s">
        <v>2345</v>
      </c>
      <c r="P516" s="519">
        <f>(C13)</f>
        <v>85</v>
      </c>
      <c r="Q516" s="509" t="s">
        <v>2342</v>
      </c>
      <c r="R516" s="519">
        <f t="shared" si="26"/>
        <v>85</v>
      </c>
      <c r="AG516" s="509" t="s">
        <v>2514</v>
      </c>
    </row>
    <row r="517" spans="1:33" hidden="1">
      <c r="A517" s="521">
        <f t="shared" si="23"/>
        <v>350</v>
      </c>
      <c r="B517" s="509" t="s">
        <v>2949</v>
      </c>
      <c r="C517" s="492">
        <v>8.06</v>
      </c>
      <c r="D517" s="490" t="s">
        <v>2342</v>
      </c>
      <c r="E517" s="2"/>
      <c r="H517" s="515" t="s">
        <v>442</v>
      </c>
      <c r="I517" s="2"/>
      <c r="J517" s="463"/>
      <c r="K517" s="552"/>
      <c r="N517" s="509" t="s">
        <v>2346</v>
      </c>
      <c r="O517" s="509" t="s">
        <v>3028</v>
      </c>
      <c r="P517" s="509" t="s">
        <v>30</v>
      </c>
      <c r="Q517" s="509" t="s">
        <v>2346</v>
      </c>
      <c r="R517" s="519">
        <f>(C56)</f>
        <v>12.1</v>
      </c>
      <c r="AG517" s="509" t="s">
        <v>2514</v>
      </c>
    </row>
    <row r="518" spans="1:33" hidden="1">
      <c r="A518" s="521">
        <f t="shared" si="23"/>
        <v>351</v>
      </c>
      <c r="B518" s="509" t="s">
        <v>2950</v>
      </c>
      <c r="C518" s="492">
        <v>11.86</v>
      </c>
      <c r="D518" s="490" t="s">
        <v>2342</v>
      </c>
      <c r="E518" s="2"/>
      <c r="F518" s="528">
        <v>1.4999999999999999E-2</v>
      </c>
      <c r="G518" s="518" t="s">
        <v>2334</v>
      </c>
      <c r="H518" s="509" t="s">
        <v>2361</v>
      </c>
      <c r="I518" s="492" t="e">
        <f>(K505)</f>
        <v>#REF!</v>
      </c>
      <c r="J518" s="500" t="s">
        <v>2334</v>
      </c>
      <c r="K518" s="526" t="e">
        <f>(F518*I518)</f>
        <v>#REF!</v>
      </c>
      <c r="O518" s="509" t="s">
        <v>3030</v>
      </c>
      <c r="P518" s="509" t="s">
        <v>30</v>
      </c>
      <c r="R518" s="509" t="s">
        <v>30</v>
      </c>
      <c r="AG518" s="509" t="s">
        <v>2514</v>
      </c>
    </row>
    <row r="519" spans="1:33" hidden="1">
      <c r="A519" s="521">
        <f t="shared" si="23"/>
        <v>352</v>
      </c>
      <c r="B519" s="509" t="s">
        <v>2952</v>
      </c>
      <c r="C519" s="492">
        <v>18.88</v>
      </c>
      <c r="D519" s="490" t="s">
        <v>2342</v>
      </c>
      <c r="E519" s="2"/>
      <c r="F519" s="519">
        <v>0.5</v>
      </c>
      <c r="G519" s="518" t="s">
        <v>2359</v>
      </c>
      <c r="H519" s="509" t="s">
        <v>2353</v>
      </c>
      <c r="I519" s="492">
        <f>(C10)</f>
        <v>150</v>
      </c>
      <c r="J519" s="500" t="s">
        <v>2359</v>
      </c>
      <c r="K519" s="526">
        <f>(F519*I519)</f>
        <v>75</v>
      </c>
      <c r="N519" s="509" t="s">
        <v>2346</v>
      </c>
      <c r="O519" s="509" t="s">
        <v>2347</v>
      </c>
      <c r="Q519" s="509" t="s">
        <v>2346</v>
      </c>
      <c r="R519" s="519">
        <v>0</v>
      </c>
      <c r="AG519" s="509" t="s">
        <v>2514</v>
      </c>
    </row>
    <row r="520" spans="1:33" hidden="1">
      <c r="A520" s="521">
        <f t="shared" si="23"/>
        <v>353</v>
      </c>
      <c r="B520" s="509" t="s">
        <v>2905</v>
      </c>
      <c r="C520" s="492">
        <v>26</v>
      </c>
      <c r="D520" s="490" t="s">
        <v>2342</v>
      </c>
      <c r="E520" s="2"/>
      <c r="F520" s="519">
        <v>0.75</v>
      </c>
      <c r="G520" s="518" t="s">
        <v>2359</v>
      </c>
      <c r="H520" s="509" t="s">
        <v>2344</v>
      </c>
      <c r="I520" s="492">
        <f>(C12)</f>
        <v>95</v>
      </c>
      <c r="J520" s="500" t="s">
        <v>2359</v>
      </c>
      <c r="K520" s="526">
        <f>(F520*I520)</f>
        <v>71.25</v>
      </c>
      <c r="R520" s="515" t="s">
        <v>442</v>
      </c>
      <c r="AG520" s="509" t="s">
        <v>2514</v>
      </c>
    </row>
    <row r="521" spans="1:33" hidden="1">
      <c r="A521" s="521">
        <f t="shared" si="23"/>
        <v>354</v>
      </c>
      <c r="B521" s="509" t="s">
        <v>3049</v>
      </c>
      <c r="C521" s="2"/>
      <c r="D521" s="490" t="s">
        <v>30</v>
      </c>
      <c r="E521" s="2"/>
      <c r="G521" s="518" t="s">
        <v>2346</v>
      </c>
      <c r="H521" s="509" t="s">
        <v>2347</v>
      </c>
      <c r="I521" s="2"/>
      <c r="J521" s="500" t="s">
        <v>2346</v>
      </c>
      <c r="K521" s="526">
        <v>0</v>
      </c>
      <c r="O521" s="509" t="s">
        <v>3031</v>
      </c>
      <c r="R521" s="519">
        <f>SUM(R509:R519)</f>
        <v>862.80000000000007</v>
      </c>
      <c r="AG521" s="509" t="s">
        <v>2514</v>
      </c>
    </row>
    <row r="522" spans="1:33" hidden="1">
      <c r="A522" s="521">
        <f t="shared" si="23"/>
        <v>355</v>
      </c>
      <c r="B522" s="509" t="s">
        <v>2946</v>
      </c>
      <c r="C522" s="492">
        <v>4.62</v>
      </c>
      <c r="D522" s="490" t="s">
        <v>2342</v>
      </c>
      <c r="E522" s="2"/>
      <c r="I522" s="2"/>
      <c r="J522" s="463"/>
      <c r="K522" s="526" t="s">
        <v>442</v>
      </c>
      <c r="R522" s="515" t="s">
        <v>442</v>
      </c>
      <c r="AG522" s="509" t="s">
        <v>2514</v>
      </c>
    </row>
    <row r="523" spans="1:33" hidden="1">
      <c r="A523" s="521">
        <f t="shared" si="23"/>
        <v>356</v>
      </c>
      <c r="B523" s="509" t="s">
        <v>2947</v>
      </c>
      <c r="C523" s="492">
        <v>7.83</v>
      </c>
      <c r="D523" s="490" t="s">
        <v>2342</v>
      </c>
      <c r="E523" s="2"/>
      <c r="H523" s="509" t="s">
        <v>2360</v>
      </c>
      <c r="I523" s="2"/>
      <c r="J523" s="463"/>
      <c r="K523" s="526" t="e">
        <f>SUM(K518:K521)</f>
        <v>#REF!</v>
      </c>
      <c r="O523" s="509" t="s">
        <v>2990</v>
      </c>
      <c r="R523" s="519">
        <f>(R521/30)</f>
        <v>28.76</v>
      </c>
      <c r="AG523" s="509" t="s">
        <v>2514</v>
      </c>
    </row>
    <row r="524" spans="1:33" hidden="1">
      <c r="A524" s="521">
        <f t="shared" si="23"/>
        <v>357</v>
      </c>
      <c r="B524" s="509" t="s">
        <v>2949</v>
      </c>
      <c r="C524" s="492">
        <v>11.38</v>
      </c>
      <c r="D524" s="490" t="s">
        <v>2342</v>
      </c>
      <c r="E524" s="2"/>
      <c r="I524" s="2"/>
      <c r="J524" s="463"/>
      <c r="K524" s="526" t="s">
        <v>442</v>
      </c>
      <c r="R524" s="515" t="s">
        <v>442</v>
      </c>
      <c r="AG524" s="509" t="s">
        <v>2514</v>
      </c>
    </row>
    <row r="525" spans="1:33" hidden="1">
      <c r="A525" s="521">
        <f t="shared" si="23"/>
        <v>358</v>
      </c>
      <c r="B525" s="509" t="s">
        <v>2950</v>
      </c>
      <c r="C525" s="492">
        <v>18.75</v>
      </c>
      <c r="D525" s="490" t="s">
        <v>2342</v>
      </c>
      <c r="E525" s="2"/>
      <c r="H525" s="509" t="s">
        <v>2355</v>
      </c>
      <c r="I525" s="2"/>
      <c r="J525" s="463"/>
      <c r="K525" s="526" t="e">
        <f>(K523/0.743)</f>
        <v>#REF!</v>
      </c>
      <c r="AG525" s="509" t="s">
        <v>2514</v>
      </c>
    </row>
    <row r="526" spans="1:33" hidden="1">
      <c r="A526" s="521">
        <f t="shared" si="23"/>
        <v>359</v>
      </c>
      <c r="B526" s="509" t="s">
        <v>2952</v>
      </c>
      <c r="C526" s="492">
        <v>35.1</v>
      </c>
      <c r="D526" s="490" t="s">
        <v>2342</v>
      </c>
      <c r="E526" s="2"/>
      <c r="I526" s="2"/>
      <c r="J526" s="463"/>
      <c r="K526" s="526" t="s">
        <v>29</v>
      </c>
      <c r="AG526" s="509" t="s">
        <v>2514</v>
      </c>
    </row>
    <row r="527" spans="1:33" hidden="1">
      <c r="A527" s="521">
        <f t="shared" si="23"/>
        <v>360</v>
      </c>
      <c r="B527" s="509" t="s">
        <v>2905</v>
      </c>
      <c r="C527" s="492">
        <v>45.57</v>
      </c>
      <c r="D527" s="490" t="s">
        <v>2342</v>
      </c>
      <c r="E527" s="2"/>
      <c r="H527" s="509" t="s">
        <v>2354</v>
      </c>
      <c r="I527" s="492" t="e">
        <f>K525</f>
        <v>#REF!</v>
      </c>
      <c r="J527" s="500">
        <f>C22*0.02</f>
        <v>0.52900000000000003</v>
      </c>
      <c r="K527" s="526" t="e">
        <f>I527+J527</f>
        <v>#REF!</v>
      </c>
      <c r="N527" s="509" t="s">
        <v>3002</v>
      </c>
      <c r="O527" s="510" t="s">
        <v>3050</v>
      </c>
      <c r="AG527" s="509" t="s">
        <v>2514</v>
      </c>
    </row>
    <row r="528" spans="1:33" hidden="1">
      <c r="A528" s="521">
        <f t="shared" si="23"/>
        <v>361</v>
      </c>
      <c r="B528" s="509" t="s">
        <v>3051</v>
      </c>
      <c r="C528" s="2"/>
      <c r="D528" s="490" t="s">
        <v>30</v>
      </c>
      <c r="E528" s="2"/>
      <c r="H528" s="509" t="s">
        <v>2362</v>
      </c>
      <c r="I528" s="492" t="e">
        <f>K527</f>
        <v>#REF!</v>
      </c>
      <c r="J528" s="500">
        <f>C23*0.02</f>
        <v>1.0569999999999999</v>
      </c>
      <c r="K528" s="526" t="e">
        <f>I528+J528</f>
        <v>#REF!</v>
      </c>
      <c r="O528" s="515" t="s">
        <v>442</v>
      </c>
      <c r="AG528" s="509" t="s">
        <v>2514</v>
      </c>
    </row>
    <row r="529" spans="1:33" hidden="1">
      <c r="A529" s="521">
        <f t="shared" si="23"/>
        <v>362</v>
      </c>
      <c r="B529" s="509" t="s">
        <v>2946</v>
      </c>
      <c r="C529" s="492">
        <v>7.8</v>
      </c>
      <c r="D529" s="490" t="s">
        <v>2342</v>
      </c>
      <c r="E529" s="2"/>
      <c r="H529" s="509" t="s">
        <v>2480</v>
      </c>
      <c r="I529" s="492" t="e">
        <f>K528</f>
        <v>#REF!</v>
      </c>
      <c r="J529" s="500">
        <f>C23*0.02</f>
        <v>1.0569999999999999</v>
      </c>
      <c r="K529" s="526" t="e">
        <f>I529+J529</f>
        <v>#REF!</v>
      </c>
      <c r="M529" s="519">
        <v>30</v>
      </c>
      <c r="N529" s="509" t="s">
        <v>2205</v>
      </c>
      <c r="O529" s="509" t="s">
        <v>3019</v>
      </c>
      <c r="P529" s="519">
        <f>(C42)</f>
        <v>1.75</v>
      </c>
      <c r="Q529" s="509" t="s">
        <v>2205</v>
      </c>
      <c r="R529" s="519">
        <f>(M529*P529)</f>
        <v>52.5</v>
      </c>
      <c r="AG529" s="509" t="s">
        <v>2514</v>
      </c>
    </row>
    <row r="530" spans="1:33" hidden="1">
      <c r="A530" s="521">
        <f t="shared" si="23"/>
        <v>363</v>
      </c>
      <c r="B530" s="509" t="s">
        <v>2947</v>
      </c>
      <c r="C530" s="492">
        <v>9.49</v>
      </c>
      <c r="D530" s="490" t="s">
        <v>2342</v>
      </c>
      <c r="E530" s="2"/>
      <c r="H530" s="509" t="s">
        <v>2481</v>
      </c>
      <c r="I530" s="492" t="e">
        <f>K529</f>
        <v>#REF!</v>
      </c>
      <c r="J530" s="500">
        <f>C23*0.02</f>
        <v>1.0569999999999999</v>
      </c>
      <c r="K530" s="526" t="e">
        <f>I530+J530</f>
        <v>#REF!</v>
      </c>
      <c r="M530" s="509" t="s">
        <v>30</v>
      </c>
      <c r="O530" s="509" t="s">
        <v>3022</v>
      </c>
      <c r="P530" s="509" t="s">
        <v>30</v>
      </c>
      <c r="R530" s="509" t="s">
        <v>30</v>
      </c>
      <c r="AG530" s="509" t="s">
        <v>2514</v>
      </c>
    </row>
    <row r="531" spans="1:33" hidden="1">
      <c r="A531" s="521">
        <f t="shared" si="23"/>
        <v>364</v>
      </c>
      <c r="B531" s="509" t="s">
        <v>2949</v>
      </c>
      <c r="C531" s="492">
        <v>13.91</v>
      </c>
      <c r="D531" s="490" t="s">
        <v>2342</v>
      </c>
      <c r="E531" s="2"/>
      <c r="H531" s="509" t="s">
        <v>2362</v>
      </c>
      <c r="I531" s="492" t="e">
        <f>K530</f>
        <v>#REF!</v>
      </c>
      <c r="J531" s="500">
        <f>C24*0.02</f>
        <v>1.0569999999999999</v>
      </c>
      <c r="K531" s="526" t="e">
        <f>I531+J531</f>
        <v>#REF!</v>
      </c>
      <c r="M531" s="519">
        <v>8</v>
      </c>
      <c r="N531" s="509" t="s">
        <v>2342</v>
      </c>
      <c r="O531" s="509" t="s">
        <v>2982</v>
      </c>
      <c r="P531" s="519">
        <f>(C45)</f>
        <v>2.7</v>
      </c>
      <c r="Q531" s="509" t="s">
        <v>2342</v>
      </c>
      <c r="R531" s="519">
        <f t="shared" ref="R531:R536" si="27">(M531*P531)</f>
        <v>21.6</v>
      </c>
      <c r="AG531" s="509" t="s">
        <v>2514</v>
      </c>
    </row>
    <row r="532" spans="1:33" hidden="1">
      <c r="A532" s="521">
        <f t="shared" si="23"/>
        <v>365</v>
      </c>
      <c r="B532" s="509" t="s">
        <v>2950</v>
      </c>
      <c r="C532" s="492">
        <v>26.59</v>
      </c>
      <c r="D532" s="490" t="s">
        <v>2342</v>
      </c>
      <c r="E532" s="2"/>
      <c r="F532" s="510" t="s">
        <v>75</v>
      </c>
      <c r="G532" s="518" t="s">
        <v>575</v>
      </c>
      <c r="H532" s="509" t="s">
        <v>3052</v>
      </c>
      <c r="I532" s="2"/>
      <c r="J532" s="463"/>
      <c r="K532" s="552"/>
      <c r="M532" s="519">
        <v>8</v>
      </c>
      <c r="N532" s="509" t="s">
        <v>2342</v>
      </c>
      <c r="O532" s="509" t="s">
        <v>2985</v>
      </c>
      <c r="P532" s="519">
        <f>(C52)</f>
        <v>6.4</v>
      </c>
      <c r="Q532" s="509" t="s">
        <v>2342</v>
      </c>
      <c r="R532" s="519">
        <f t="shared" si="27"/>
        <v>51.2</v>
      </c>
      <c r="AG532" s="509" t="s">
        <v>2514</v>
      </c>
    </row>
    <row r="533" spans="1:33" hidden="1">
      <c r="A533" s="521">
        <f t="shared" si="23"/>
        <v>366</v>
      </c>
      <c r="B533" s="509" t="s">
        <v>2952</v>
      </c>
      <c r="C533" s="492">
        <v>39.909999999999997</v>
      </c>
      <c r="D533" s="490" t="s">
        <v>2342</v>
      </c>
      <c r="E533" s="2"/>
      <c r="H533" s="515" t="s">
        <v>442</v>
      </c>
      <c r="I533" s="2"/>
      <c r="J533" s="463"/>
      <c r="K533" s="552"/>
      <c r="M533" s="519">
        <v>3</v>
      </c>
      <c r="N533" s="509" t="s">
        <v>2342</v>
      </c>
      <c r="O533" s="509" t="s">
        <v>3026</v>
      </c>
      <c r="P533" s="519">
        <f>(C41)</f>
        <v>110</v>
      </c>
      <c r="Q533" s="509" t="s">
        <v>2342</v>
      </c>
      <c r="R533" s="519">
        <f t="shared" si="27"/>
        <v>330</v>
      </c>
      <c r="AG533" s="509" t="s">
        <v>2514</v>
      </c>
    </row>
    <row r="534" spans="1:33" hidden="1">
      <c r="A534" s="521">
        <f t="shared" si="23"/>
        <v>367</v>
      </c>
      <c r="B534" s="509" t="s">
        <v>2905</v>
      </c>
      <c r="C534" s="492">
        <v>66</v>
      </c>
      <c r="D534" s="490" t="s">
        <v>2342</v>
      </c>
      <c r="E534" s="2"/>
      <c r="F534" s="519">
        <v>0.03</v>
      </c>
      <c r="G534" s="518" t="s">
        <v>2334</v>
      </c>
      <c r="H534" s="509" t="s">
        <v>2361</v>
      </c>
      <c r="I534" s="492" t="e">
        <f>(K505)</f>
        <v>#REF!</v>
      </c>
      <c r="J534" s="500" t="s">
        <v>2334</v>
      </c>
      <c r="K534" s="526" t="e">
        <f>(F534*I534)</f>
        <v>#REF!</v>
      </c>
      <c r="M534" s="519">
        <v>1</v>
      </c>
      <c r="N534" s="509" t="s">
        <v>2342</v>
      </c>
      <c r="O534" s="509" t="s">
        <v>3027</v>
      </c>
      <c r="P534" s="519">
        <f>(C10)</f>
        <v>150</v>
      </c>
      <c r="Q534" s="509" t="s">
        <v>2342</v>
      </c>
      <c r="R534" s="519">
        <f t="shared" si="27"/>
        <v>150</v>
      </c>
      <c r="AG534" s="509" t="s">
        <v>2514</v>
      </c>
    </row>
    <row r="535" spans="1:33" hidden="1">
      <c r="A535" s="521">
        <f t="shared" si="23"/>
        <v>368</v>
      </c>
      <c r="B535" s="509" t="s">
        <v>3053</v>
      </c>
      <c r="C535" s="2"/>
      <c r="D535" s="490" t="s">
        <v>30</v>
      </c>
      <c r="E535" s="2"/>
      <c r="F535" s="519">
        <v>0.5</v>
      </c>
      <c r="G535" s="518" t="s">
        <v>2359</v>
      </c>
      <c r="H535" s="509" t="s">
        <v>2353</v>
      </c>
      <c r="I535" s="492">
        <f>(C10)</f>
        <v>150</v>
      </c>
      <c r="J535" s="500" t="s">
        <v>2359</v>
      </c>
      <c r="K535" s="526">
        <f>(F535*I535)</f>
        <v>75</v>
      </c>
      <c r="M535" s="519">
        <v>2</v>
      </c>
      <c r="N535" s="509" t="s">
        <v>2342</v>
      </c>
      <c r="O535" s="509" t="s">
        <v>2344</v>
      </c>
      <c r="P535" s="519">
        <f>(C12)</f>
        <v>95</v>
      </c>
      <c r="Q535" s="509" t="s">
        <v>2342</v>
      </c>
      <c r="R535" s="519">
        <f t="shared" si="27"/>
        <v>190</v>
      </c>
      <c r="AG535" s="509" t="s">
        <v>2514</v>
      </c>
    </row>
    <row r="536" spans="1:33" hidden="1">
      <c r="A536" s="521">
        <f t="shared" si="23"/>
        <v>369</v>
      </c>
      <c r="B536" s="509" t="s">
        <v>3015</v>
      </c>
      <c r="C536" s="492">
        <v>4.75</v>
      </c>
      <c r="D536" s="490" t="s">
        <v>2342</v>
      </c>
      <c r="E536" s="2"/>
      <c r="F536" s="519">
        <v>0.75</v>
      </c>
      <c r="G536" s="518" t="s">
        <v>2359</v>
      </c>
      <c r="H536" s="509" t="s">
        <v>2344</v>
      </c>
      <c r="I536" s="492">
        <f>(C12)</f>
        <v>95</v>
      </c>
      <c r="J536" s="500" t="s">
        <v>2359</v>
      </c>
      <c r="K536" s="526">
        <f>(F536*I536)</f>
        <v>71.25</v>
      </c>
      <c r="M536" s="519">
        <v>1</v>
      </c>
      <c r="N536" s="509" t="s">
        <v>2342</v>
      </c>
      <c r="O536" s="509" t="s">
        <v>2345</v>
      </c>
      <c r="P536" s="519">
        <f>(C13)</f>
        <v>85</v>
      </c>
      <c r="Q536" s="509" t="s">
        <v>2342</v>
      </c>
      <c r="R536" s="519">
        <f t="shared" si="27"/>
        <v>85</v>
      </c>
      <c r="AG536" s="509" t="s">
        <v>2514</v>
      </c>
    </row>
    <row r="537" spans="1:33" hidden="1">
      <c r="A537" s="521">
        <f t="shared" si="23"/>
        <v>370</v>
      </c>
      <c r="B537" s="509" t="s">
        <v>3017</v>
      </c>
      <c r="C537" s="492">
        <v>6.89</v>
      </c>
      <c r="D537" s="490" t="s">
        <v>2342</v>
      </c>
      <c r="E537" s="2"/>
      <c r="G537" s="518" t="s">
        <v>2346</v>
      </c>
      <c r="H537" s="509" t="s">
        <v>2347</v>
      </c>
      <c r="I537" s="2"/>
      <c r="J537" s="500" t="s">
        <v>2346</v>
      </c>
      <c r="K537" s="526">
        <v>0</v>
      </c>
      <c r="N537" s="509" t="s">
        <v>2346</v>
      </c>
      <c r="O537" s="509" t="s">
        <v>3028</v>
      </c>
      <c r="P537" s="509" t="s">
        <v>30</v>
      </c>
      <c r="Q537" s="509" t="s">
        <v>2346</v>
      </c>
      <c r="R537" s="519">
        <f>(C56)</f>
        <v>12.1</v>
      </c>
      <c r="AG537" s="509" t="s">
        <v>2514</v>
      </c>
    </row>
    <row r="538" spans="1:33" hidden="1">
      <c r="A538" s="521">
        <f t="shared" si="23"/>
        <v>371</v>
      </c>
      <c r="B538" s="509" t="s">
        <v>3018</v>
      </c>
      <c r="C538" s="492">
        <v>6.18</v>
      </c>
      <c r="D538" s="490" t="s">
        <v>2342</v>
      </c>
      <c r="E538" s="2"/>
      <c r="I538" s="2"/>
      <c r="J538" s="463"/>
      <c r="K538" s="526" t="s">
        <v>442</v>
      </c>
      <c r="O538" s="509" t="s">
        <v>3030</v>
      </c>
      <c r="P538" s="509" t="s">
        <v>30</v>
      </c>
      <c r="R538" s="509" t="s">
        <v>30</v>
      </c>
      <c r="AG538" s="509" t="s">
        <v>2514</v>
      </c>
    </row>
    <row r="539" spans="1:33" hidden="1">
      <c r="A539" s="521">
        <f t="shared" si="23"/>
        <v>372</v>
      </c>
      <c r="B539" s="509" t="s">
        <v>3054</v>
      </c>
      <c r="C539" s="492">
        <v>13.29</v>
      </c>
      <c r="D539" s="490" t="s">
        <v>2342</v>
      </c>
      <c r="E539" s="2"/>
      <c r="H539" s="509" t="s">
        <v>2360</v>
      </c>
      <c r="I539" s="2"/>
      <c r="J539" s="463"/>
      <c r="K539" s="526" t="e">
        <f>SUM(K534:K537)</f>
        <v>#REF!</v>
      </c>
      <c r="N539" s="509" t="s">
        <v>2346</v>
      </c>
      <c r="O539" s="509" t="s">
        <v>2347</v>
      </c>
      <c r="Q539" s="509" t="s">
        <v>2346</v>
      </c>
      <c r="R539" s="519">
        <v>0</v>
      </c>
      <c r="AG539" s="509" t="s">
        <v>2514</v>
      </c>
    </row>
    <row r="540" spans="1:33" hidden="1">
      <c r="A540" s="521">
        <f t="shared" si="23"/>
        <v>373</v>
      </c>
      <c r="B540" s="509" t="s">
        <v>3055</v>
      </c>
      <c r="C540" s="492">
        <v>14.11</v>
      </c>
      <c r="D540" s="490" t="s">
        <v>2342</v>
      </c>
      <c r="E540" s="2"/>
      <c r="I540" s="2"/>
      <c r="J540" s="463"/>
      <c r="K540" s="526" t="s">
        <v>442</v>
      </c>
      <c r="R540" s="515" t="s">
        <v>442</v>
      </c>
      <c r="AG540" s="509" t="s">
        <v>2514</v>
      </c>
    </row>
    <row r="541" spans="1:33" hidden="1">
      <c r="A541" s="521">
        <f t="shared" si="23"/>
        <v>374</v>
      </c>
      <c r="B541" s="509" t="s">
        <v>3056</v>
      </c>
      <c r="C541" s="492">
        <v>14.69</v>
      </c>
      <c r="D541" s="490" t="s">
        <v>2342</v>
      </c>
      <c r="E541" s="2"/>
      <c r="H541" s="509" t="s">
        <v>2355</v>
      </c>
      <c r="I541" s="2"/>
      <c r="J541" s="463"/>
      <c r="K541" s="526" t="e">
        <f>(K539/0.743)</f>
        <v>#REF!</v>
      </c>
      <c r="O541" s="509" t="s">
        <v>3031</v>
      </c>
      <c r="R541" s="519">
        <f>SUM(R529:R539)</f>
        <v>892.4</v>
      </c>
      <c r="AG541" s="509" t="s">
        <v>2514</v>
      </c>
    </row>
    <row r="542" spans="1:33" hidden="1">
      <c r="A542" s="521">
        <f t="shared" si="23"/>
        <v>375</v>
      </c>
      <c r="B542" s="509" t="s">
        <v>3057</v>
      </c>
      <c r="C542" s="2"/>
      <c r="D542" s="490" t="s">
        <v>30</v>
      </c>
      <c r="E542" s="2"/>
      <c r="I542" s="2"/>
      <c r="J542" s="463"/>
      <c r="K542" s="526" t="s">
        <v>29</v>
      </c>
      <c r="R542" s="515" t="s">
        <v>442</v>
      </c>
      <c r="AG542" s="509" t="s">
        <v>2514</v>
      </c>
    </row>
    <row r="543" spans="1:33" hidden="1">
      <c r="A543" s="521">
        <f t="shared" si="23"/>
        <v>376</v>
      </c>
      <c r="B543" s="509" t="s">
        <v>3015</v>
      </c>
      <c r="C543" s="492">
        <v>10.3</v>
      </c>
      <c r="D543" s="490" t="s">
        <v>2342</v>
      </c>
      <c r="E543" s="2"/>
      <c r="H543" s="509" t="s">
        <v>2354</v>
      </c>
      <c r="I543" s="492" t="e">
        <f>K541</f>
        <v>#REF!</v>
      </c>
      <c r="J543" s="500">
        <f>C22*0.04</f>
        <v>1.0580000000000001</v>
      </c>
      <c r="K543" s="526" t="e">
        <f>I543+J543</f>
        <v>#REF!</v>
      </c>
      <c r="O543" s="509" t="s">
        <v>2990</v>
      </c>
      <c r="R543" s="519">
        <f>(R541/30)</f>
        <v>29.746666666666666</v>
      </c>
      <c r="AG543" s="509" t="s">
        <v>2514</v>
      </c>
    </row>
    <row r="544" spans="1:33" hidden="1">
      <c r="A544" s="521">
        <f t="shared" si="23"/>
        <v>377</v>
      </c>
      <c r="B544" s="509" t="s">
        <v>3017</v>
      </c>
      <c r="C544" s="492">
        <v>19.05</v>
      </c>
      <c r="D544" s="490" t="s">
        <v>2342</v>
      </c>
      <c r="E544" s="2"/>
      <c r="H544" s="509" t="s">
        <v>2362</v>
      </c>
      <c r="I544" s="492" t="e">
        <f>K543</f>
        <v>#REF!</v>
      </c>
      <c r="J544" s="500">
        <f>C23*0.04</f>
        <v>2.1139999999999999</v>
      </c>
      <c r="K544" s="526" t="e">
        <f>I544+J544</f>
        <v>#REF!</v>
      </c>
      <c r="R544" s="515" t="s">
        <v>442</v>
      </c>
      <c r="AG544" s="509" t="s">
        <v>2514</v>
      </c>
    </row>
    <row r="545" spans="1:33" hidden="1">
      <c r="A545" s="521">
        <f t="shared" si="23"/>
        <v>378</v>
      </c>
      <c r="B545" s="509" t="s">
        <v>3018</v>
      </c>
      <c r="C545" s="492">
        <v>15.34</v>
      </c>
      <c r="D545" s="490" t="s">
        <v>2342</v>
      </c>
      <c r="E545" s="2"/>
      <c r="H545" s="509" t="s">
        <v>2480</v>
      </c>
      <c r="I545" s="492" t="e">
        <f>K544</f>
        <v>#REF!</v>
      </c>
      <c r="J545" s="500">
        <f>C23*0.04</f>
        <v>2.1139999999999999</v>
      </c>
      <c r="K545" s="526" t="e">
        <f>I545+J545</f>
        <v>#REF!</v>
      </c>
      <c r="N545" s="509" t="s">
        <v>575</v>
      </c>
      <c r="O545" s="509" t="s">
        <v>2967</v>
      </c>
      <c r="AG545" s="509" t="s">
        <v>2514</v>
      </c>
    </row>
    <row r="546" spans="1:33" hidden="1">
      <c r="A546" s="521">
        <f t="shared" si="23"/>
        <v>379</v>
      </c>
      <c r="B546" s="509" t="s">
        <v>3058</v>
      </c>
      <c r="C546" s="492">
        <v>29.41</v>
      </c>
      <c r="D546" s="490" t="s">
        <v>2342</v>
      </c>
      <c r="E546" s="2"/>
      <c r="H546" s="509" t="s">
        <v>2481</v>
      </c>
      <c r="I546" s="492" t="e">
        <f>K545</f>
        <v>#REF!</v>
      </c>
      <c r="J546" s="500">
        <f>C23*0.04</f>
        <v>2.1139999999999999</v>
      </c>
      <c r="K546" s="526" t="e">
        <f>I546+J546</f>
        <v>#REF!</v>
      </c>
      <c r="O546" s="509" t="s">
        <v>3059</v>
      </c>
      <c r="AG546" s="509" t="s">
        <v>2514</v>
      </c>
    </row>
    <row r="547" spans="1:33" hidden="1">
      <c r="C547" s="2"/>
      <c r="D547" s="2"/>
      <c r="E547" s="2"/>
      <c r="F547" s="509" t="s">
        <v>30</v>
      </c>
      <c r="H547" s="509" t="s">
        <v>2362</v>
      </c>
      <c r="I547" s="492" t="e">
        <f>K546</f>
        <v>#REF!</v>
      </c>
      <c r="J547" s="500">
        <f>C24*0.04</f>
        <v>2.1139999999999999</v>
      </c>
      <c r="K547" s="526" t="e">
        <f>I547+J547</f>
        <v>#REF!</v>
      </c>
    </row>
    <row r="548" spans="1:33" hidden="1">
      <c r="A548" s="521">
        <f>(A546+1)</f>
        <v>380</v>
      </c>
      <c r="B548" s="509" t="s">
        <v>3055</v>
      </c>
      <c r="C548" s="492">
        <v>38.35</v>
      </c>
      <c r="D548" s="490" t="s">
        <v>2342</v>
      </c>
      <c r="E548" s="2"/>
      <c r="I548" s="2"/>
      <c r="J548" s="463"/>
      <c r="K548" s="552"/>
      <c r="O548" s="509" t="s">
        <v>2969</v>
      </c>
      <c r="AG548" s="509" t="s">
        <v>2514</v>
      </c>
    </row>
    <row r="549" spans="1:33" hidden="1">
      <c r="A549" s="521">
        <f t="shared" ref="A549:A564" si="28">(A548+1)</f>
        <v>381</v>
      </c>
      <c r="B549" s="509" t="s">
        <v>3056</v>
      </c>
      <c r="C549" s="492">
        <v>37.96</v>
      </c>
      <c r="D549" s="490" t="s">
        <v>2342</v>
      </c>
      <c r="E549" s="2"/>
      <c r="F549" s="529"/>
      <c r="G549" s="518" t="s">
        <v>30</v>
      </c>
      <c r="H549" s="509" t="s">
        <v>3060</v>
      </c>
      <c r="I549" s="2"/>
      <c r="J549" s="463"/>
      <c r="K549" s="552"/>
      <c r="O549" s="515" t="s">
        <v>442</v>
      </c>
      <c r="AG549" s="509" t="s">
        <v>2514</v>
      </c>
    </row>
    <row r="550" spans="1:33" hidden="1">
      <c r="A550" s="521">
        <f t="shared" si="28"/>
        <v>382</v>
      </c>
      <c r="B550" s="509" t="s">
        <v>3061</v>
      </c>
      <c r="C550" s="2"/>
      <c r="D550" s="490" t="s">
        <v>30</v>
      </c>
      <c r="E550" s="2"/>
      <c r="H550" s="509" t="s">
        <v>3062</v>
      </c>
      <c r="I550" s="2"/>
      <c r="J550" s="463"/>
      <c r="K550" s="552"/>
      <c r="AG550" s="509" t="s">
        <v>2514</v>
      </c>
    </row>
    <row r="551" spans="1:33" hidden="1">
      <c r="A551" s="521">
        <f t="shared" si="28"/>
        <v>383</v>
      </c>
      <c r="B551" s="509" t="s">
        <v>3015</v>
      </c>
      <c r="C551" s="492">
        <v>6.68</v>
      </c>
      <c r="D551" s="490" t="s">
        <v>2342</v>
      </c>
      <c r="E551" s="2"/>
      <c r="H551" s="509" t="s">
        <v>3063</v>
      </c>
      <c r="I551" s="2"/>
      <c r="J551" s="463"/>
      <c r="K551" s="552"/>
      <c r="N551" s="509" t="s">
        <v>2970</v>
      </c>
      <c r="O551" s="509" t="s">
        <v>3064</v>
      </c>
      <c r="AG551" s="509" t="s">
        <v>2514</v>
      </c>
    </row>
    <row r="552" spans="1:33" hidden="1">
      <c r="A552" s="521">
        <f t="shared" si="28"/>
        <v>384</v>
      </c>
      <c r="B552" s="509" t="s">
        <v>3017</v>
      </c>
      <c r="C552" s="492">
        <v>9.4499999999999993</v>
      </c>
      <c r="D552" s="490" t="s">
        <v>2342</v>
      </c>
      <c r="E552" s="2"/>
      <c r="H552" s="509" t="s">
        <v>3065</v>
      </c>
      <c r="I552" s="2"/>
      <c r="J552" s="463"/>
      <c r="K552" s="552"/>
      <c r="O552" s="515" t="s">
        <v>442</v>
      </c>
      <c r="AG552" s="509" t="s">
        <v>2514</v>
      </c>
    </row>
    <row r="553" spans="1:33" hidden="1">
      <c r="A553" s="521">
        <f t="shared" si="28"/>
        <v>385</v>
      </c>
      <c r="B553" s="509" t="s">
        <v>3018</v>
      </c>
      <c r="C553" s="492">
        <v>33.04</v>
      </c>
      <c r="D553" s="490" t="s">
        <v>2342</v>
      </c>
      <c r="E553" s="2"/>
      <c r="H553" s="509" t="s">
        <v>3066</v>
      </c>
      <c r="I553" s="2"/>
      <c r="J553" s="463"/>
      <c r="K553" s="552"/>
      <c r="M553" s="519">
        <v>8.1</v>
      </c>
      <c r="N553" s="509" t="s">
        <v>2334</v>
      </c>
      <c r="O553" s="509" t="s">
        <v>2973</v>
      </c>
      <c r="P553" s="519">
        <f>(C61)*2</f>
        <v>50</v>
      </c>
      <c r="Q553" s="509" t="s">
        <v>2334</v>
      </c>
      <c r="R553" s="519">
        <f>(M553*P553)</f>
        <v>405</v>
      </c>
      <c r="AG553" s="509" t="s">
        <v>2514</v>
      </c>
    </row>
    <row r="554" spans="1:33" hidden="1">
      <c r="A554" s="521">
        <f t="shared" si="28"/>
        <v>386</v>
      </c>
      <c r="B554" s="509" t="s">
        <v>3058</v>
      </c>
      <c r="C554" s="492">
        <v>33.04</v>
      </c>
      <c r="D554" s="490" t="s">
        <v>2342</v>
      </c>
      <c r="E554" s="2"/>
      <c r="H554" s="509" t="s">
        <v>3067</v>
      </c>
      <c r="I554" s="2"/>
      <c r="J554" s="463"/>
      <c r="K554" s="552"/>
      <c r="M554" s="519">
        <v>8.1</v>
      </c>
      <c r="N554" s="509" t="s">
        <v>2334</v>
      </c>
      <c r="O554" s="509" t="s">
        <v>2974</v>
      </c>
      <c r="P554" s="519">
        <f>(C26)</f>
        <v>8.8000000000000007</v>
      </c>
      <c r="Q554" s="509" t="s">
        <v>2334</v>
      </c>
      <c r="R554" s="519">
        <f>(M554*P554)</f>
        <v>71.28</v>
      </c>
      <c r="AG554" s="509" t="s">
        <v>2514</v>
      </c>
    </row>
    <row r="555" spans="1:33" hidden="1">
      <c r="A555" s="521">
        <f t="shared" si="28"/>
        <v>387</v>
      </c>
      <c r="B555" s="509" t="s">
        <v>3068</v>
      </c>
      <c r="C555" s="492">
        <v>33.04</v>
      </c>
      <c r="D555" s="490" t="s">
        <v>2342</v>
      </c>
      <c r="E555" s="2"/>
      <c r="H555" s="509" t="s">
        <v>3069</v>
      </c>
      <c r="I555" s="2"/>
      <c r="J555" s="463"/>
      <c r="K555" s="552"/>
      <c r="M555" s="519">
        <v>30</v>
      </c>
      <c r="N555" s="509" t="s">
        <v>2205</v>
      </c>
      <c r="O555" s="509" t="s">
        <v>2975</v>
      </c>
      <c r="P555" s="519">
        <f>(C639)</f>
        <v>3</v>
      </c>
      <c r="Q555" s="509" t="s">
        <v>2205</v>
      </c>
      <c r="R555" s="519">
        <f>(M555*P555)</f>
        <v>90</v>
      </c>
      <c r="AG555" s="509" t="s">
        <v>2690</v>
      </c>
    </row>
    <row r="556" spans="1:33" hidden="1">
      <c r="A556" s="521">
        <f t="shared" si="28"/>
        <v>388</v>
      </c>
      <c r="B556" s="509" t="s">
        <v>3070</v>
      </c>
      <c r="C556" s="492">
        <v>33.04</v>
      </c>
      <c r="D556" s="490" t="s">
        <v>2342</v>
      </c>
      <c r="E556" s="2"/>
      <c r="H556" s="515" t="s">
        <v>442</v>
      </c>
      <c r="I556" s="491" t="s">
        <v>442</v>
      </c>
      <c r="J556" s="463"/>
      <c r="K556" s="552"/>
      <c r="O556" s="509" t="s">
        <v>3071</v>
      </c>
    </row>
    <row r="557" spans="1:33" hidden="1">
      <c r="A557" s="521">
        <f t="shared" si="28"/>
        <v>389</v>
      </c>
      <c r="B557" s="509" t="s">
        <v>3072</v>
      </c>
      <c r="C557" s="492">
        <v>538</v>
      </c>
      <c r="D557" s="490" t="s">
        <v>2342</v>
      </c>
      <c r="E557" s="2"/>
      <c r="G557" s="518" t="s">
        <v>2806</v>
      </c>
      <c r="H557" s="509" t="s">
        <v>3073</v>
      </c>
      <c r="I557" s="2"/>
      <c r="J557" s="463"/>
      <c r="K557" s="552"/>
      <c r="O557" s="509" t="s">
        <v>2977</v>
      </c>
    </row>
    <row r="558" spans="1:33" hidden="1">
      <c r="A558" s="521">
        <f t="shared" si="28"/>
        <v>390</v>
      </c>
      <c r="B558" s="509" t="s">
        <v>3074</v>
      </c>
      <c r="C558" s="492">
        <v>340</v>
      </c>
      <c r="D558" s="490" t="s">
        <v>2342</v>
      </c>
      <c r="E558" s="2"/>
      <c r="H558" s="509" t="s">
        <v>3075</v>
      </c>
      <c r="I558" s="2"/>
      <c r="J558" s="463"/>
      <c r="K558" s="552"/>
      <c r="O558" s="509" t="s">
        <v>2978</v>
      </c>
      <c r="AG558" s="509" t="s">
        <v>2514</v>
      </c>
    </row>
    <row r="559" spans="1:33" hidden="1">
      <c r="A559" s="521">
        <f t="shared" si="28"/>
        <v>391</v>
      </c>
      <c r="B559" s="509" t="s">
        <v>3076</v>
      </c>
      <c r="C559" s="492">
        <v>1039</v>
      </c>
      <c r="D559" s="490" t="s">
        <v>2342</v>
      </c>
      <c r="E559" s="2"/>
      <c r="F559" s="519">
        <v>10</v>
      </c>
      <c r="G559" s="518" t="s">
        <v>26</v>
      </c>
      <c r="H559" s="509" t="s">
        <v>3077</v>
      </c>
      <c r="I559" s="492">
        <f>C721</f>
        <v>227</v>
      </c>
      <c r="J559" s="500" t="s">
        <v>26</v>
      </c>
      <c r="K559" s="526">
        <f>(F559*I559)</f>
        <v>2270</v>
      </c>
      <c r="O559" s="509" t="s">
        <v>2979</v>
      </c>
      <c r="AG559" s="509" t="s">
        <v>2514</v>
      </c>
    </row>
    <row r="560" spans="1:33" hidden="1">
      <c r="A560" s="521">
        <f t="shared" si="28"/>
        <v>392</v>
      </c>
      <c r="B560" s="509" t="s">
        <v>3078</v>
      </c>
      <c r="C560" s="492">
        <v>100.44</v>
      </c>
      <c r="D560" s="490" t="s">
        <v>2342</v>
      </c>
      <c r="E560" s="2"/>
      <c r="F560" s="519">
        <v>1</v>
      </c>
      <c r="G560" s="518" t="s">
        <v>2403</v>
      </c>
      <c r="H560" s="509" t="s">
        <v>3079</v>
      </c>
      <c r="I560" s="492">
        <f>C10</f>
        <v>150</v>
      </c>
      <c r="J560" s="500" t="s">
        <v>556</v>
      </c>
      <c r="K560" s="526">
        <f>(F560*I560)</f>
        <v>150</v>
      </c>
      <c r="M560" s="519">
        <v>8</v>
      </c>
      <c r="N560" s="509" t="s">
        <v>2359</v>
      </c>
      <c r="O560" s="509" t="s">
        <v>2982</v>
      </c>
      <c r="P560" s="519">
        <f>(C641)</f>
        <v>2.2000000000000002</v>
      </c>
      <c r="Q560" s="509" t="s">
        <v>2359</v>
      </c>
      <c r="R560" s="519">
        <f>(M560*P560)</f>
        <v>17.600000000000001</v>
      </c>
      <c r="AG560" s="509" t="s">
        <v>2514</v>
      </c>
    </row>
    <row r="561" spans="1:33" hidden="1">
      <c r="A561" s="521">
        <f t="shared" si="28"/>
        <v>393</v>
      </c>
      <c r="B561" s="509" t="s">
        <v>3080</v>
      </c>
      <c r="C561" s="492">
        <v>31</v>
      </c>
      <c r="D561" s="490" t="s">
        <v>2883</v>
      </c>
      <c r="E561" s="2"/>
      <c r="F561" s="519">
        <v>1</v>
      </c>
      <c r="G561" s="518" t="s">
        <v>2403</v>
      </c>
      <c r="H561" s="509" t="s">
        <v>3081</v>
      </c>
      <c r="I561" s="492">
        <f>C12</f>
        <v>95</v>
      </c>
      <c r="J561" s="500" t="s">
        <v>556</v>
      </c>
      <c r="K561" s="526">
        <f>(F561*I561)</f>
        <v>95</v>
      </c>
      <c r="M561" s="519">
        <v>8</v>
      </c>
      <c r="N561" s="509" t="s">
        <v>2359</v>
      </c>
      <c r="O561" s="509" t="s">
        <v>2985</v>
      </c>
      <c r="P561" s="519">
        <f>(C642)</f>
        <v>3.2</v>
      </c>
      <c r="Q561" s="509" t="s">
        <v>2359</v>
      </c>
      <c r="R561" s="519">
        <f>(M561*P561)</f>
        <v>25.6</v>
      </c>
      <c r="AG561" s="509" t="s">
        <v>2514</v>
      </c>
    </row>
    <row r="562" spans="1:33" hidden="1">
      <c r="A562" s="521">
        <f t="shared" si="28"/>
        <v>394</v>
      </c>
      <c r="B562" s="509" t="s">
        <v>3082</v>
      </c>
      <c r="C562" s="492">
        <v>71.239999999999995</v>
      </c>
      <c r="D562" s="490" t="s">
        <v>2342</v>
      </c>
      <c r="E562" s="2"/>
      <c r="G562" s="518" t="s">
        <v>2346</v>
      </c>
      <c r="H562" s="509" t="s">
        <v>3083</v>
      </c>
      <c r="I562" s="2"/>
      <c r="J562" s="500" t="s">
        <v>2346</v>
      </c>
      <c r="K562" s="526">
        <v>120</v>
      </c>
      <c r="M562" s="519">
        <v>1</v>
      </c>
      <c r="N562" s="509" t="s">
        <v>2346</v>
      </c>
      <c r="O562" s="509" t="s">
        <v>2987</v>
      </c>
      <c r="P562" s="519">
        <f>(C643)</f>
        <v>4</v>
      </c>
      <c r="Q562" s="509" t="s">
        <v>2346</v>
      </c>
      <c r="R562" s="519">
        <f>(M562*P562)</f>
        <v>4</v>
      </c>
      <c r="AG562" s="509" t="s">
        <v>2514</v>
      </c>
    </row>
    <row r="563" spans="1:33" hidden="1">
      <c r="A563" s="521">
        <f t="shared" si="28"/>
        <v>395</v>
      </c>
      <c r="B563" s="509" t="s">
        <v>3084</v>
      </c>
      <c r="C563" s="492">
        <v>82.2</v>
      </c>
      <c r="D563" s="490" t="s">
        <v>2342</v>
      </c>
      <c r="E563" s="2"/>
      <c r="H563" s="509" t="s">
        <v>3085</v>
      </c>
      <c r="I563" s="2"/>
      <c r="J563" s="463"/>
      <c r="K563" s="526" t="s">
        <v>442</v>
      </c>
      <c r="M563" s="519">
        <v>1</v>
      </c>
      <c r="N563" s="509" t="s">
        <v>2346</v>
      </c>
      <c r="O563" s="509" t="s">
        <v>2347</v>
      </c>
      <c r="Q563" s="509" t="s">
        <v>2346</v>
      </c>
      <c r="R563" s="519">
        <v>0</v>
      </c>
      <c r="AG563" s="509" t="s">
        <v>2514</v>
      </c>
    </row>
    <row r="564" spans="1:33" hidden="1">
      <c r="A564" s="521">
        <f t="shared" si="28"/>
        <v>396</v>
      </c>
      <c r="B564" s="509" t="s">
        <v>3086</v>
      </c>
      <c r="C564" s="492">
        <v>57.51</v>
      </c>
      <c r="D564" s="490" t="s">
        <v>2342</v>
      </c>
      <c r="E564" s="2"/>
      <c r="H564" s="510" t="s">
        <v>3087</v>
      </c>
      <c r="I564" s="2"/>
      <c r="J564" s="463"/>
      <c r="K564" s="526">
        <f>SUM(K559:K562)</f>
        <v>2635</v>
      </c>
      <c r="R564" s="515" t="s">
        <v>442</v>
      </c>
      <c r="AG564" s="509" t="s">
        <v>2514</v>
      </c>
    </row>
    <row r="565" spans="1:33" hidden="1">
      <c r="C565" s="2"/>
      <c r="D565" s="2"/>
      <c r="E565" s="2"/>
      <c r="F565" s="509" t="s">
        <v>30</v>
      </c>
      <c r="I565" s="2"/>
      <c r="J565" s="463"/>
      <c r="K565" s="552"/>
    </row>
    <row r="566" spans="1:33" hidden="1">
      <c r="A566" s="521">
        <f>(A564+1)</f>
        <v>397</v>
      </c>
      <c r="B566" s="509" t="s">
        <v>3088</v>
      </c>
      <c r="C566" s="492">
        <v>28.5</v>
      </c>
      <c r="D566" s="490" t="s">
        <v>2342</v>
      </c>
      <c r="E566" s="2"/>
      <c r="I566" s="2"/>
      <c r="J566" s="463"/>
      <c r="K566" s="526" t="s">
        <v>442</v>
      </c>
      <c r="O566" s="509" t="s">
        <v>2989</v>
      </c>
      <c r="R566" s="519">
        <f>SUM(R553:R563)</f>
        <v>613.48</v>
      </c>
      <c r="AG566" s="509" t="s">
        <v>2514</v>
      </c>
    </row>
    <row r="567" spans="1:33" hidden="1">
      <c r="A567" s="521">
        <f>(A566+1)</f>
        <v>398</v>
      </c>
      <c r="B567" s="509" t="s">
        <v>3089</v>
      </c>
      <c r="C567" s="492">
        <v>57.51</v>
      </c>
      <c r="D567" s="490" t="s">
        <v>2342</v>
      </c>
      <c r="E567" s="2"/>
      <c r="H567" s="510" t="s">
        <v>3090</v>
      </c>
      <c r="I567" s="2"/>
      <c r="J567" s="463"/>
      <c r="K567" s="526">
        <f>K564/10</f>
        <v>263.5</v>
      </c>
      <c r="R567" s="515" t="s">
        <v>442</v>
      </c>
      <c r="AG567" s="509" t="s">
        <v>2514</v>
      </c>
    </row>
    <row r="568" spans="1:33" hidden="1">
      <c r="A568" s="521">
        <f>(A567+1)</f>
        <v>399</v>
      </c>
      <c r="B568" s="509" t="s">
        <v>3091</v>
      </c>
      <c r="C568" s="492">
        <v>20</v>
      </c>
      <c r="D568" s="490" t="s">
        <v>2342</v>
      </c>
      <c r="E568" s="2"/>
      <c r="H568" s="509" t="s">
        <v>2354</v>
      </c>
      <c r="I568" s="492">
        <f>K567</f>
        <v>263.5</v>
      </c>
      <c r="J568" s="500">
        <f>C22*0.02</f>
        <v>0.52900000000000003</v>
      </c>
      <c r="K568" s="526">
        <f>I568+J568</f>
        <v>264.029</v>
      </c>
      <c r="O568" s="509" t="s">
        <v>2990</v>
      </c>
      <c r="R568" s="519">
        <f>(R566/30)</f>
        <v>20.449333333333335</v>
      </c>
      <c r="AG568" s="509" t="s">
        <v>2514</v>
      </c>
    </row>
    <row r="569" spans="1:33" hidden="1">
      <c r="A569" s="521">
        <f>(A568+1)</f>
        <v>400</v>
      </c>
      <c r="B569" s="509" t="s">
        <v>3092</v>
      </c>
      <c r="C569" s="492">
        <v>21.92</v>
      </c>
      <c r="D569" s="490" t="s">
        <v>2342</v>
      </c>
      <c r="E569" s="2"/>
      <c r="H569" s="509" t="s">
        <v>2362</v>
      </c>
      <c r="I569" s="492">
        <f>K568</f>
        <v>264.029</v>
      </c>
      <c r="J569" s="500">
        <f>C23*0.02</f>
        <v>1.0569999999999999</v>
      </c>
      <c r="K569" s="526">
        <f>I569+J569</f>
        <v>265.08600000000001</v>
      </c>
      <c r="N569" s="509" t="s">
        <v>575</v>
      </c>
      <c r="O569" s="509" t="s">
        <v>3093</v>
      </c>
      <c r="AG569" s="509" t="s">
        <v>2514</v>
      </c>
    </row>
    <row r="570" spans="1:33" hidden="1">
      <c r="A570" s="521">
        <f>(A569+1)</f>
        <v>401</v>
      </c>
      <c r="B570" s="509" t="s">
        <v>3094</v>
      </c>
      <c r="C570" s="492">
        <v>28.5</v>
      </c>
      <c r="D570" s="490" t="s">
        <v>2342</v>
      </c>
      <c r="E570" s="2"/>
      <c r="H570" s="509" t="s">
        <v>2480</v>
      </c>
      <c r="I570" s="492">
        <f>K569</f>
        <v>265.08600000000001</v>
      </c>
      <c r="J570" s="500">
        <f>C23*0.02</f>
        <v>1.0569999999999999</v>
      </c>
      <c r="K570" s="526">
        <f>I570+J570</f>
        <v>266.14300000000003</v>
      </c>
      <c r="O570" s="509" t="s">
        <v>3095</v>
      </c>
      <c r="AG570" s="509" t="s">
        <v>2514</v>
      </c>
    </row>
    <row r="571" spans="1:33" hidden="1">
      <c r="A571" s="521">
        <f>(A570+1)</f>
        <v>402</v>
      </c>
      <c r="B571" s="509" t="s">
        <v>3096</v>
      </c>
      <c r="C571" s="492">
        <v>535</v>
      </c>
      <c r="D571" s="490" t="s">
        <v>2342</v>
      </c>
      <c r="E571" s="2"/>
      <c r="H571" s="509" t="s">
        <v>2481</v>
      </c>
      <c r="I571" s="492">
        <f>K570</f>
        <v>266.14300000000003</v>
      </c>
      <c r="J571" s="500">
        <f>C23*0.02</f>
        <v>1.0569999999999999</v>
      </c>
      <c r="K571" s="526">
        <f>I571+J571</f>
        <v>267.20000000000005</v>
      </c>
      <c r="O571" s="515" t="s">
        <v>442</v>
      </c>
      <c r="AG571" s="509" t="s">
        <v>2514</v>
      </c>
    </row>
    <row r="572" spans="1:33" hidden="1">
      <c r="A572" s="521"/>
      <c r="B572" s="509"/>
      <c r="C572" s="492"/>
      <c r="D572" s="490"/>
      <c r="E572" s="2"/>
      <c r="H572" s="509" t="s">
        <v>3097</v>
      </c>
      <c r="I572" s="492">
        <f>K571</f>
        <v>267.20000000000005</v>
      </c>
      <c r="J572" s="500">
        <f>C24*0.02</f>
        <v>1.0569999999999999</v>
      </c>
      <c r="K572" s="526">
        <f>I572+J572</f>
        <v>268.25700000000006</v>
      </c>
      <c r="O572" s="515"/>
      <c r="AG572" s="509"/>
    </row>
    <row r="573" spans="1:33" hidden="1">
      <c r="A573" s="521">
        <f>(A571+1)</f>
        <v>403</v>
      </c>
      <c r="B573" s="509" t="s">
        <v>3098</v>
      </c>
      <c r="C573" s="492">
        <v>21</v>
      </c>
      <c r="D573" s="490" t="s">
        <v>2342</v>
      </c>
      <c r="E573" s="2"/>
      <c r="F573" s="529">
        <v>15.2</v>
      </c>
      <c r="G573" s="518" t="s">
        <v>2806</v>
      </c>
      <c r="H573" s="509" t="s">
        <v>3099</v>
      </c>
      <c r="I573" s="2"/>
      <c r="J573" s="463"/>
      <c r="K573" s="552"/>
      <c r="M573" s="519">
        <v>1.08</v>
      </c>
      <c r="N573" s="509" t="s">
        <v>2334</v>
      </c>
      <c r="O573" s="509" t="s">
        <v>3100</v>
      </c>
      <c r="P573" s="519">
        <f>(K88)</f>
        <v>52.933333333333337</v>
      </c>
      <c r="Q573" s="509" t="s">
        <v>2334</v>
      </c>
      <c r="R573" s="519">
        <f>(M573*P573)</f>
        <v>57.168000000000006</v>
      </c>
      <c r="AG573" s="509" t="s">
        <v>2514</v>
      </c>
    </row>
    <row r="574" spans="1:33" hidden="1">
      <c r="A574" s="521">
        <f t="shared" ref="A574:A586" si="29">(A573+1)</f>
        <v>404</v>
      </c>
      <c r="B574" s="509" t="s">
        <v>3101</v>
      </c>
      <c r="C574" s="492">
        <v>150</v>
      </c>
      <c r="D574" s="490" t="s">
        <v>2342</v>
      </c>
      <c r="E574" s="2"/>
      <c r="H574" s="509" t="s">
        <v>3075</v>
      </c>
      <c r="I574" s="2"/>
      <c r="J574" s="463"/>
      <c r="K574" s="552"/>
      <c r="M574" s="528">
        <v>0.216</v>
      </c>
      <c r="N574" s="509" t="s">
        <v>2334</v>
      </c>
      <c r="O574" s="509" t="s">
        <v>3102</v>
      </c>
      <c r="P574" s="519" t="e">
        <f>(R60)</f>
        <v>#REF!</v>
      </c>
      <c r="Q574" s="509" t="s">
        <v>2334</v>
      </c>
      <c r="R574" s="519" t="e">
        <f>(M574*P574)</f>
        <v>#REF!</v>
      </c>
      <c r="AG574" s="509" t="s">
        <v>2514</v>
      </c>
    </row>
    <row r="575" spans="1:33" hidden="1">
      <c r="A575" s="521">
        <f t="shared" si="29"/>
        <v>405</v>
      </c>
      <c r="B575" s="509" t="s">
        <v>3103</v>
      </c>
      <c r="C575" s="492">
        <v>16.440000000000001</v>
      </c>
      <c r="D575" s="490" t="s">
        <v>2342</v>
      </c>
      <c r="E575" s="2"/>
      <c r="F575" s="519">
        <v>1</v>
      </c>
      <c r="G575" s="518" t="s">
        <v>26</v>
      </c>
      <c r="H575" s="509" t="s">
        <v>3077</v>
      </c>
      <c r="I575" s="492">
        <f>D721</f>
        <v>247</v>
      </c>
      <c r="J575" s="500" t="s">
        <v>26</v>
      </c>
      <c r="K575" s="526">
        <f>(F575*I575)</f>
        <v>247</v>
      </c>
      <c r="M575" s="528">
        <v>0.48699999999999999</v>
      </c>
      <c r="N575" s="509" t="s">
        <v>2334</v>
      </c>
      <c r="O575" s="509" t="s">
        <v>3104</v>
      </c>
      <c r="P575" s="519" t="e">
        <f>(R89)</f>
        <v>#REF!</v>
      </c>
      <c r="Q575" s="509" t="s">
        <v>2334</v>
      </c>
      <c r="R575" s="519" t="e">
        <f>(M575*P575)</f>
        <v>#REF!</v>
      </c>
      <c r="AG575" s="509" t="s">
        <v>2514</v>
      </c>
    </row>
    <row r="576" spans="1:33" hidden="1">
      <c r="A576" s="521">
        <f t="shared" si="29"/>
        <v>406</v>
      </c>
      <c r="B576" s="509" t="s">
        <v>3105</v>
      </c>
      <c r="C576" s="492">
        <v>30</v>
      </c>
      <c r="D576" s="492">
        <v>25</v>
      </c>
      <c r="E576" s="2"/>
      <c r="F576" s="519">
        <v>0.75</v>
      </c>
      <c r="G576" s="518" t="s">
        <v>2403</v>
      </c>
      <c r="H576" s="509" t="s">
        <v>3079</v>
      </c>
      <c r="I576" s="492">
        <f>C10</f>
        <v>150</v>
      </c>
      <c r="J576" s="500" t="s">
        <v>556</v>
      </c>
      <c r="K576" s="526">
        <f>(F576*I576)</f>
        <v>112.5</v>
      </c>
      <c r="M576" s="528">
        <v>5.36</v>
      </c>
      <c r="N576" s="509" t="s">
        <v>2788</v>
      </c>
      <c r="O576" s="509" t="s">
        <v>3106</v>
      </c>
      <c r="P576" s="519" t="e">
        <f>(R303)</f>
        <v>#REF!</v>
      </c>
      <c r="Q576" s="509" t="s">
        <v>2788</v>
      </c>
      <c r="R576" s="519" t="e">
        <f>(M576*P576)</f>
        <v>#REF!</v>
      </c>
      <c r="AG576" s="509" t="s">
        <v>2514</v>
      </c>
    </row>
    <row r="577" spans="1:33" hidden="1">
      <c r="A577" s="521">
        <f t="shared" si="29"/>
        <v>407</v>
      </c>
      <c r="B577" s="509" t="s">
        <v>3107</v>
      </c>
      <c r="C577" s="492">
        <v>208.5</v>
      </c>
      <c r="D577" s="490" t="s">
        <v>2342</v>
      </c>
      <c r="E577" s="2"/>
      <c r="F577" s="519">
        <v>0.75</v>
      </c>
      <c r="G577" s="518" t="s">
        <v>2403</v>
      </c>
      <c r="H577" s="509" t="s">
        <v>3081</v>
      </c>
      <c r="I577" s="492">
        <f>C12</f>
        <v>95</v>
      </c>
      <c r="J577" s="500" t="s">
        <v>556</v>
      </c>
      <c r="K577" s="526">
        <f>(F577*I577)</f>
        <v>71.25</v>
      </c>
      <c r="M577" s="528">
        <v>3.2000000000000001E-2</v>
      </c>
      <c r="N577" s="509" t="s">
        <v>2334</v>
      </c>
      <c r="O577" s="509" t="s">
        <v>3108</v>
      </c>
      <c r="P577" s="519" t="e">
        <f>(K614)</f>
        <v>#REF!</v>
      </c>
      <c r="Q577" s="509" t="s">
        <v>2334</v>
      </c>
      <c r="R577" s="519" t="e">
        <f>(M577*P577)</f>
        <v>#REF!</v>
      </c>
      <c r="AG577" s="509" t="s">
        <v>2514</v>
      </c>
    </row>
    <row r="578" spans="1:33" hidden="1">
      <c r="A578" s="521">
        <f t="shared" si="29"/>
        <v>408</v>
      </c>
      <c r="B578" s="509" t="s">
        <v>3109</v>
      </c>
      <c r="C578" s="492">
        <v>95</v>
      </c>
      <c r="D578" s="490" t="s">
        <v>2342</v>
      </c>
      <c r="E578" s="2"/>
      <c r="F578" s="519">
        <v>0.5</v>
      </c>
      <c r="G578" s="518" t="s">
        <v>2403</v>
      </c>
      <c r="H578" s="509" t="s">
        <v>3110</v>
      </c>
      <c r="I578" s="492">
        <f>C41</f>
        <v>110</v>
      </c>
      <c r="J578" s="500" t="s">
        <v>556</v>
      </c>
      <c r="K578" s="526">
        <f>(F578*I578)</f>
        <v>55</v>
      </c>
      <c r="O578" s="509" t="s">
        <v>3111</v>
      </c>
      <c r="R578" s="509" t="s">
        <v>30</v>
      </c>
      <c r="AG578" s="509" t="s">
        <v>2514</v>
      </c>
    </row>
    <row r="579" spans="1:33" hidden="1">
      <c r="A579" s="521">
        <f t="shared" si="29"/>
        <v>409</v>
      </c>
      <c r="B579" s="509" t="s">
        <v>3112</v>
      </c>
      <c r="C579" s="526">
        <v>301</v>
      </c>
      <c r="D579" s="490" t="s">
        <v>2788</v>
      </c>
      <c r="E579" s="2"/>
      <c r="G579" s="518" t="s">
        <v>2346</v>
      </c>
      <c r="H579" s="509" t="s">
        <v>3083</v>
      </c>
      <c r="I579" s="2"/>
      <c r="J579" s="500" t="s">
        <v>2346</v>
      </c>
      <c r="K579" s="526">
        <v>53.5</v>
      </c>
      <c r="N579" s="509" t="s">
        <v>2346</v>
      </c>
      <c r="O579" s="509" t="s">
        <v>3113</v>
      </c>
      <c r="Q579" s="509" t="s">
        <v>2346</v>
      </c>
      <c r="R579" s="519">
        <v>2.92</v>
      </c>
      <c r="AG579" s="509" t="s">
        <v>2514</v>
      </c>
    </row>
    <row r="580" spans="1:33" hidden="1">
      <c r="A580" s="521">
        <f t="shared" si="29"/>
        <v>410</v>
      </c>
      <c r="B580" s="509" t="s">
        <v>3114</v>
      </c>
      <c r="C580" s="492">
        <v>325</v>
      </c>
      <c r="D580" s="490" t="s">
        <v>2788</v>
      </c>
      <c r="E580" s="490" t="s">
        <v>30</v>
      </c>
      <c r="H580" s="509" t="s">
        <v>3085</v>
      </c>
      <c r="I580" s="2"/>
      <c r="J580" s="463"/>
      <c r="K580" s="526" t="s">
        <v>442</v>
      </c>
      <c r="R580" s="515" t="s">
        <v>442</v>
      </c>
      <c r="AG580" s="509" t="s">
        <v>2514</v>
      </c>
    </row>
    <row r="581" spans="1:33" hidden="1">
      <c r="A581" s="521">
        <f t="shared" si="29"/>
        <v>411</v>
      </c>
      <c r="B581" s="509" t="s">
        <v>3115</v>
      </c>
      <c r="C581" s="492">
        <v>75</v>
      </c>
      <c r="D581" s="490" t="s">
        <v>2342</v>
      </c>
      <c r="E581" s="2"/>
      <c r="H581" s="510" t="s">
        <v>3116</v>
      </c>
      <c r="I581" s="2"/>
      <c r="J581" s="463"/>
      <c r="K581" s="526">
        <f>SUM(K575:K579)</f>
        <v>539.25</v>
      </c>
      <c r="O581" s="509" t="s">
        <v>3117</v>
      </c>
      <c r="R581" s="519" t="e">
        <f>SUM(R573:R579)</f>
        <v>#REF!</v>
      </c>
      <c r="AG581" s="509" t="s">
        <v>2514</v>
      </c>
    </row>
    <row r="582" spans="1:33" hidden="1">
      <c r="A582" s="521">
        <f t="shared" si="29"/>
        <v>412</v>
      </c>
      <c r="B582" s="509" t="s">
        <v>3118</v>
      </c>
      <c r="C582" s="492">
        <v>125</v>
      </c>
      <c r="D582" s="490" t="s">
        <v>2342</v>
      </c>
      <c r="E582" s="2"/>
      <c r="I582" s="2"/>
      <c r="J582" s="463"/>
      <c r="K582" s="526" t="s">
        <v>442</v>
      </c>
      <c r="R582" s="515" t="s">
        <v>442</v>
      </c>
      <c r="AG582" s="509" t="s">
        <v>2514</v>
      </c>
    </row>
    <row r="583" spans="1:33" hidden="1">
      <c r="A583" s="521">
        <f t="shared" si="29"/>
        <v>413</v>
      </c>
      <c r="B583" s="509" t="s">
        <v>3119</v>
      </c>
      <c r="C583" s="492">
        <v>190</v>
      </c>
      <c r="D583" s="490" t="s">
        <v>2342</v>
      </c>
      <c r="E583" s="2"/>
      <c r="H583" s="509" t="s">
        <v>2354</v>
      </c>
      <c r="I583" s="492">
        <f>K581</f>
        <v>539.25</v>
      </c>
      <c r="J583" s="500">
        <f>C22*0.04</f>
        <v>1.0580000000000001</v>
      </c>
      <c r="K583" s="526">
        <f>(K581+C22*0.04)</f>
        <v>540.30799999999999</v>
      </c>
      <c r="N583" s="509" t="s">
        <v>575</v>
      </c>
      <c r="O583" s="509" t="s">
        <v>3093</v>
      </c>
      <c r="AG583" s="509" t="s">
        <v>2514</v>
      </c>
    </row>
    <row r="584" spans="1:33" hidden="1">
      <c r="A584" s="521">
        <f t="shared" si="29"/>
        <v>414</v>
      </c>
      <c r="B584" s="509" t="s">
        <v>3120</v>
      </c>
      <c r="C584" s="492">
        <v>16</v>
      </c>
      <c r="D584" s="490" t="s">
        <v>2342</v>
      </c>
      <c r="E584" s="2"/>
      <c r="H584" s="509" t="s">
        <v>2362</v>
      </c>
      <c r="I584" s="492">
        <f>K583</f>
        <v>540.30799999999999</v>
      </c>
      <c r="J584" s="500">
        <f>C23*0.04</f>
        <v>2.1139999999999999</v>
      </c>
      <c r="K584" s="526">
        <f>(K583+C23*0.04)</f>
        <v>542.42200000000003</v>
      </c>
      <c r="O584" s="509" t="s">
        <v>3121</v>
      </c>
      <c r="AG584" s="509" t="s">
        <v>2514</v>
      </c>
    </row>
    <row r="585" spans="1:33" hidden="1">
      <c r="A585" s="521">
        <f t="shared" si="29"/>
        <v>415</v>
      </c>
      <c r="B585" s="509" t="s">
        <v>3122</v>
      </c>
      <c r="C585" s="492">
        <v>7</v>
      </c>
      <c r="D585" s="490" t="s">
        <v>40</v>
      </c>
      <c r="E585" s="2"/>
      <c r="H585" s="509" t="s">
        <v>2480</v>
      </c>
      <c r="I585" s="492">
        <f>K584</f>
        <v>542.42200000000003</v>
      </c>
      <c r="J585" s="500">
        <f>C23*0.04</f>
        <v>2.1139999999999999</v>
      </c>
      <c r="K585" s="526">
        <f>(K584+C24*0.04)</f>
        <v>544.53600000000006</v>
      </c>
      <c r="O585" s="515" t="s">
        <v>442</v>
      </c>
      <c r="AG585" s="509" t="s">
        <v>2514</v>
      </c>
    </row>
    <row r="586" spans="1:33" hidden="1">
      <c r="A586" s="521">
        <f t="shared" si="29"/>
        <v>416</v>
      </c>
      <c r="B586" s="509" t="s">
        <v>3123</v>
      </c>
      <c r="C586" s="492">
        <v>19</v>
      </c>
      <c r="D586" s="490" t="s">
        <v>40</v>
      </c>
      <c r="E586" s="2"/>
      <c r="H586" s="509" t="s">
        <v>2481</v>
      </c>
      <c r="I586" s="492">
        <f>K585</f>
        <v>544.53600000000006</v>
      </c>
      <c r="J586" s="500">
        <f>C23*0.04</f>
        <v>2.1139999999999999</v>
      </c>
      <c r="K586" s="526">
        <f>(K585+C24*0.04)</f>
        <v>546.65000000000009</v>
      </c>
      <c r="M586" s="519">
        <v>1.3</v>
      </c>
      <c r="N586" s="509" t="s">
        <v>2334</v>
      </c>
      <c r="O586" s="509" t="s">
        <v>3100</v>
      </c>
      <c r="P586" s="519">
        <f>(K88)</f>
        <v>52.933333333333337</v>
      </c>
      <c r="Q586" s="509" t="s">
        <v>2334</v>
      </c>
      <c r="R586" s="519">
        <f>(M586*P586)</f>
        <v>68.813333333333347</v>
      </c>
      <c r="AG586" s="509" t="s">
        <v>2514</v>
      </c>
    </row>
    <row r="587" spans="1:33" hidden="1">
      <c r="A587" s="521"/>
      <c r="B587" s="509"/>
      <c r="C587" s="492"/>
      <c r="D587" s="490"/>
      <c r="E587" s="2"/>
      <c r="H587" s="509" t="s">
        <v>3097</v>
      </c>
      <c r="I587" s="492">
        <f>K586</f>
        <v>546.65000000000009</v>
      </c>
      <c r="J587" s="500">
        <f>C24*0.04</f>
        <v>2.1139999999999999</v>
      </c>
      <c r="K587" s="526">
        <f>(K586+C25*0.04)</f>
        <v>547.47800000000007</v>
      </c>
      <c r="M587" s="519"/>
      <c r="N587" s="509"/>
      <c r="O587" s="509"/>
      <c r="P587" s="519"/>
      <c r="Q587" s="509"/>
      <c r="R587" s="519"/>
      <c r="AG587" s="509"/>
    </row>
    <row r="588" spans="1:33" hidden="1">
      <c r="A588" s="521">
        <f>(A586+1)</f>
        <v>417</v>
      </c>
      <c r="B588" s="509" t="s">
        <v>3124</v>
      </c>
      <c r="C588" s="492">
        <v>20</v>
      </c>
      <c r="D588" s="490" t="s">
        <v>40</v>
      </c>
      <c r="E588" s="2"/>
      <c r="F588" s="543">
        <v>15.1</v>
      </c>
      <c r="G588" s="518" t="s">
        <v>3125</v>
      </c>
      <c r="H588" s="509" t="s">
        <v>3126</v>
      </c>
      <c r="I588" s="2"/>
      <c r="J588" s="463"/>
      <c r="K588" s="552"/>
      <c r="M588" s="528">
        <v>0.216</v>
      </c>
      <c r="N588" s="509" t="s">
        <v>2334</v>
      </c>
      <c r="O588" s="509" t="s">
        <v>3102</v>
      </c>
      <c r="P588" s="519" t="e">
        <f>(R60)</f>
        <v>#REF!</v>
      </c>
      <c r="Q588" s="509" t="s">
        <v>2334</v>
      </c>
      <c r="R588" s="519" t="e">
        <f>(M588*P588)</f>
        <v>#REF!</v>
      </c>
      <c r="AG588" s="509" t="s">
        <v>2514</v>
      </c>
    </row>
    <row r="589" spans="1:33" hidden="1">
      <c r="A589" s="521">
        <f t="shared" ref="A589:A614" si="30">(A588+1)</f>
        <v>418</v>
      </c>
      <c r="B589" s="509" t="s">
        <v>3127</v>
      </c>
      <c r="C589" s="492">
        <v>7.5</v>
      </c>
      <c r="D589" s="490" t="s">
        <v>2359</v>
      </c>
      <c r="E589" s="2"/>
      <c r="H589" s="509" t="s">
        <v>3075</v>
      </c>
      <c r="I589" s="2"/>
      <c r="J589" s="463"/>
      <c r="K589" s="552"/>
      <c r="M589" s="528">
        <v>0.60099999999999998</v>
      </c>
      <c r="N589" s="509" t="s">
        <v>2334</v>
      </c>
      <c r="O589" s="509" t="s">
        <v>3104</v>
      </c>
      <c r="P589" s="519" t="e">
        <f>(R89)</f>
        <v>#REF!</v>
      </c>
      <c r="Q589" s="509" t="s">
        <v>2334</v>
      </c>
      <c r="R589" s="519" t="e">
        <f>(M589*P589)</f>
        <v>#REF!</v>
      </c>
      <c r="AG589" s="509" t="s">
        <v>2514</v>
      </c>
    </row>
    <row r="590" spans="1:33" hidden="1">
      <c r="A590" s="521">
        <f t="shared" si="30"/>
        <v>419</v>
      </c>
      <c r="B590" s="509" t="s">
        <v>3128</v>
      </c>
      <c r="C590" s="492">
        <v>16</v>
      </c>
      <c r="D590" s="490" t="s">
        <v>2359</v>
      </c>
      <c r="E590" s="2" t="s">
        <v>3129</v>
      </c>
      <c r="F590" s="519">
        <v>10</v>
      </c>
      <c r="G590" s="518" t="s">
        <v>26</v>
      </c>
      <c r="H590" s="509" t="s">
        <v>3077</v>
      </c>
      <c r="I590" s="492">
        <f>C721</f>
        <v>227</v>
      </c>
      <c r="J590" s="500" t="s">
        <v>26</v>
      </c>
      <c r="K590" s="526">
        <f>(F590*I590)</f>
        <v>2270</v>
      </c>
      <c r="M590" s="528">
        <v>6.35</v>
      </c>
      <c r="N590" s="509" t="s">
        <v>2788</v>
      </c>
      <c r="O590" s="509" t="s">
        <v>3106</v>
      </c>
      <c r="P590" s="519" t="e">
        <f>(R303)</f>
        <v>#REF!</v>
      </c>
      <c r="Q590" s="509" t="s">
        <v>2788</v>
      </c>
      <c r="R590" s="519" t="e">
        <f>(M590*P590)</f>
        <v>#REF!</v>
      </c>
      <c r="AG590" s="509" t="s">
        <v>2514</v>
      </c>
    </row>
    <row r="591" spans="1:33" hidden="1">
      <c r="A591" s="521">
        <f t="shared" si="30"/>
        <v>420</v>
      </c>
      <c r="B591" s="509" t="s">
        <v>3130</v>
      </c>
      <c r="C591" s="492">
        <v>1700</v>
      </c>
      <c r="D591" s="490" t="s">
        <v>3131</v>
      </c>
      <c r="E591" s="2">
        <v>2000</v>
      </c>
      <c r="F591" s="519">
        <v>0.12</v>
      </c>
      <c r="G591" s="518" t="s">
        <v>2334</v>
      </c>
      <c r="H591" s="509" t="s">
        <v>3132</v>
      </c>
      <c r="I591" s="492" t="e">
        <f>K32</f>
        <v>#REF!</v>
      </c>
      <c r="J591" s="500" t="s">
        <v>2334</v>
      </c>
      <c r="K591" s="526" t="e">
        <f>(F591*I591)</f>
        <v>#REF!</v>
      </c>
      <c r="M591" s="528">
        <v>3.2000000000000001E-2</v>
      </c>
      <c r="N591" s="509" t="s">
        <v>2334</v>
      </c>
      <c r="O591" s="509" t="s">
        <v>3108</v>
      </c>
      <c r="P591" s="519" t="e">
        <f>(K614)</f>
        <v>#REF!</v>
      </c>
      <c r="Q591" s="509" t="s">
        <v>2334</v>
      </c>
      <c r="R591" s="519" t="e">
        <f>(M591*P591)</f>
        <v>#REF!</v>
      </c>
      <c r="AG591" s="509" t="s">
        <v>2514</v>
      </c>
    </row>
    <row r="592" spans="1:33" hidden="1">
      <c r="A592" s="521">
        <f t="shared" si="30"/>
        <v>421</v>
      </c>
      <c r="B592" s="509" t="s">
        <v>3133</v>
      </c>
      <c r="C592" s="492">
        <v>805</v>
      </c>
      <c r="D592" s="490" t="s">
        <v>3131</v>
      </c>
      <c r="E592" s="2"/>
      <c r="F592" s="519">
        <v>1</v>
      </c>
      <c r="G592" s="518" t="s">
        <v>2403</v>
      </c>
      <c r="H592" s="509" t="s">
        <v>3079</v>
      </c>
      <c r="I592" s="492">
        <f>C10</f>
        <v>150</v>
      </c>
      <c r="J592" s="500" t="s">
        <v>556</v>
      </c>
      <c r="K592" s="526">
        <f>(F592*I592)</f>
        <v>150</v>
      </c>
      <c r="O592" s="509" t="s">
        <v>3111</v>
      </c>
      <c r="R592" s="509" t="s">
        <v>30</v>
      </c>
      <c r="AG592" s="509" t="s">
        <v>2514</v>
      </c>
    </row>
    <row r="593" spans="1:33" hidden="1">
      <c r="A593" s="521">
        <f t="shared" si="30"/>
        <v>422</v>
      </c>
      <c r="B593" s="509" t="s">
        <v>3134</v>
      </c>
      <c r="C593" s="492">
        <f>204+53</f>
        <v>257</v>
      </c>
      <c r="D593" s="490" t="s">
        <v>3131</v>
      </c>
      <c r="E593" s="2"/>
      <c r="F593" s="519">
        <v>1</v>
      </c>
      <c r="G593" s="518" t="s">
        <v>2403</v>
      </c>
      <c r="H593" s="509" t="s">
        <v>3081</v>
      </c>
      <c r="I593" s="492">
        <f>C12</f>
        <v>95</v>
      </c>
      <c r="J593" s="500" t="s">
        <v>556</v>
      </c>
      <c r="K593" s="526">
        <f>(F593*I593)</f>
        <v>95</v>
      </c>
      <c r="N593" s="509" t="s">
        <v>2346</v>
      </c>
      <c r="O593" s="509" t="s">
        <v>3113</v>
      </c>
      <c r="Q593" s="509" t="s">
        <v>2346</v>
      </c>
      <c r="R593" s="519">
        <v>2.1</v>
      </c>
      <c r="AG593" s="509" t="s">
        <v>2514</v>
      </c>
    </row>
    <row r="594" spans="1:33" hidden="1">
      <c r="A594" s="521">
        <f t="shared" si="30"/>
        <v>423</v>
      </c>
      <c r="B594" s="509" t="s">
        <v>3135</v>
      </c>
      <c r="C594" s="492">
        <v>53</v>
      </c>
      <c r="D594" s="490" t="s">
        <v>2359</v>
      </c>
      <c r="E594" s="2"/>
      <c r="G594" s="518" t="s">
        <v>2346</v>
      </c>
      <c r="H594" s="509" t="s">
        <v>3083</v>
      </c>
      <c r="I594" s="2"/>
      <c r="J594" s="500" t="s">
        <v>2346</v>
      </c>
      <c r="K594" s="526">
        <v>0.33</v>
      </c>
      <c r="R594" s="515" t="s">
        <v>442</v>
      </c>
      <c r="AG594" s="509" t="s">
        <v>2514</v>
      </c>
    </row>
    <row r="595" spans="1:33" hidden="1">
      <c r="A595" s="521">
        <f t="shared" si="30"/>
        <v>424</v>
      </c>
      <c r="B595" s="509" t="s">
        <v>3136</v>
      </c>
      <c r="C595" s="492">
        <v>1050</v>
      </c>
      <c r="D595" s="490" t="s">
        <v>2359</v>
      </c>
      <c r="E595" s="2"/>
      <c r="H595" s="509" t="s">
        <v>3085</v>
      </c>
      <c r="I595" s="2"/>
      <c r="J595" s="463"/>
      <c r="K595" s="526" t="s">
        <v>442</v>
      </c>
      <c r="O595" s="509" t="s">
        <v>3117</v>
      </c>
      <c r="R595" s="519" t="e">
        <f>SUM(R586:R593)</f>
        <v>#REF!</v>
      </c>
      <c r="AG595" s="509" t="s">
        <v>2514</v>
      </c>
    </row>
    <row r="596" spans="1:33" hidden="1">
      <c r="A596" s="521">
        <f t="shared" si="30"/>
        <v>425</v>
      </c>
      <c r="B596" s="509" t="s">
        <v>3137</v>
      </c>
      <c r="C596" s="492">
        <v>196</v>
      </c>
      <c r="D596" s="490" t="s">
        <v>2359</v>
      </c>
      <c r="E596" s="2"/>
      <c r="H596" s="510" t="s">
        <v>3138</v>
      </c>
      <c r="I596" s="2"/>
      <c r="J596" s="463"/>
      <c r="K596" s="526" t="e">
        <f>SUM(K590:K594)</f>
        <v>#REF!</v>
      </c>
      <c r="R596" s="515" t="s">
        <v>442</v>
      </c>
      <c r="AG596" s="509" t="s">
        <v>2514</v>
      </c>
    </row>
    <row r="597" spans="1:33" hidden="1">
      <c r="A597" s="521">
        <f t="shared" si="30"/>
        <v>426</v>
      </c>
      <c r="B597" s="509" t="s">
        <v>3139</v>
      </c>
      <c r="C597" s="492">
        <v>206.9</v>
      </c>
      <c r="D597" s="490" t="s">
        <v>2359</v>
      </c>
      <c r="E597" s="2"/>
      <c r="I597" s="2"/>
      <c r="J597" s="463"/>
      <c r="K597" s="526" t="s">
        <v>442</v>
      </c>
      <c r="N597" s="509" t="s">
        <v>575</v>
      </c>
      <c r="O597" s="509" t="s">
        <v>3140</v>
      </c>
      <c r="AG597" s="509" t="s">
        <v>2514</v>
      </c>
    </row>
    <row r="598" spans="1:33" hidden="1">
      <c r="A598" s="521">
        <f t="shared" si="30"/>
        <v>427</v>
      </c>
      <c r="B598" s="509" t="s">
        <v>3141</v>
      </c>
      <c r="C598" s="492">
        <v>120</v>
      </c>
      <c r="D598" s="490" t="s">
        <v>2205</v>
      </c>
      <c r="E598" s="2"/>
      <c r="H598" s="510" t="s">
        <v>3142</v>
      </c>
      <c r="I598" s="2"/>
      <c r="J598" s="463"/>
      <c r="K598" s="526" t="e">
        <f>K596/10</f>
        <v>#REF!</v>
      </c>
      <c r="O598" s="509" t="s">
        <v>3143</v>
      </c>
      <c r="AG598" s="509" t="s">
        <v>2514</v>
      </c>
    </row>
    <row r="599" spans="1:33" hidden="1">
      <c r="A599" s="521">
        <f t="shared" si="30"/>
        <v>428</v>
      </c>
      <c r="B599" s="509" t="s">
        <v>3144</v>
      </c>
      <c r="C599" s="492">
        <v>80</v>
      </c>
      <c r="D599" s="490" t="s">
        <v>2205</v>
      </c>
      <c r="E599" s="2"/>
      <c r="H599" s="509" t="s">
        <v>2354</v>
      </c>
      <c r="I599" s="2"/>
      <c r="J599" s="463"/>
      <c r="K599" s="526" t="e">
        <f>(K598+C22*0.02)</f>
        <v>#REF!</v>
      </c>
      <c r="O599" s="515" t="s">
        <v>442</v>
      </c>
      <c r="AG599" s="509" t="s">
        <v>2514</v>
      </c>
    </row>
    <row r="600" spans="1:33" hidden="1">
      <c r="A600" s="521">
        <f t="shared" si="30"/>
        <v>429</v>
      </c>
      <c r="B600" s="509" t="s">
        <v>3145</v>
      </c>
      <c r="C600" s="2"/>
      <c r="D600" s="490" t="s">
        <v>2205</v>
      </c>
      <c r="E600" s="2"/>
      <c r="H600" s="509" t="s">
        <v>2362</v>
      </c>
      <c r="I600" s="2"/>
      <c r="J600" s="463"/>
      <c r="K600" s="526" t="e">
        <f>(K599+C24*0.02)</f>
        <v>#REF!</v>
      </c>
      <c r="M600" s="519">
        <v>10.37</v>
      </c>
      <c r="N600" s="509" t="s">
        <v>2334</v>
      </c>
      <c r="O600" s="509" t="s">
        <v>3146</v>
      </c>
      <c r="P600" s="519">
        <f>(C61*2)</f>
        <v>50</v>
      </c>
      <c r="Q600" s="509" t="s">
        <v>2334</v>
      </c>
      <c r="R600" s="519">
        <f t="shared" ref="R600:R608" si="31">(M600*P600)</f>
        <v>518.5</v>
      </c>
      <c r="AG600" s="509" t="s">
        <v>2514</v>
      </c>
    </row>
    <row r="601" spans="1:33" hidden="1">
      <c r="A601" s="521">
        <f t="shared" si="30"/>
        <v>430</v>
      </c>
      <c r="B601" s="509" t="s">
        <v>3147</v>
      </c>
      <c r="C601" s="492">
        <v>65</v>
      </c>
      <c r="D601" s="490" t="s">
        <v>2342</v>
      </c>
      <c r="E601" s="2"/>
      <c r="H601" s="509" t="s">
        <v>2480</v>
      </c>
      <c r="I601" s="2"/>
      <c r="J601" s="463"/>
      <c r="K601" s="526" t="e">
        <f>(K600+C24*0.02)</f>
        <v>#REF!</v>
      </c>
      <c r="M601" s="519">
        <v>0.65</v>
      </c>
      <c r="N601" s="509" t="s">
        <v>2334</v>
      </c>
      <c r="O601" s="509" t="s">
        <v>3148</v>
      </c>
      <c r="P601" s="519" t="e">
        <f>R60</f>
        <v>#REF!</v>
      </c>
      <c r="Q601" s="509" t="s">
        <v>2334</v>
      </c>
      <c r="R601" s="519" t="e">
        <f t="shared" si="31"/>
        <v>#REF!</v>
      </c>
      <c r="AG601" s="509" t="s">
        <v>2514</v>
      </c>
    </row>
    <row r="602" spans="1:33" hidden="1">
      <c r="A602" s="521">
        <f t="shared" si="30"/>
        <v>431</v>
      </c>
      <c r="B602" s="509" t="s">
        <v>3149</v>
      </c>
      <c r="C602" s="492">
        <v>40</v>
      </c>
      <c r="D602" s="490" t="s">
        <v>2342</v>
      </c>
      <c r="E602" s="2"/>
      <c r="H602" s="509" t="s">
        <v>2481</v>
      </c>
      <c r="I602" s="2"/>
      <c r="J602" s="463"/>
      <c r="K602" s="526" t="e">
        <f>(K601+C24*0.02)</f>
        <v>#REF!</v>
      </c>
      <c r="M602" s="519">
        <v>1.1399999999999999</v>
      </c>
      <c r="N602" s="509" t="s">
        <v>2334</v>
      </c>
      <c r="O602" s="509" t="s">
        <v>3150</v>
      </c>
      <c r="P602" s="519" t="e">
        <f>K320</f>
        <v>#REF!</v>
      </c>
      <c r="Q602" s="509" t="s">
        <v>2334</v>
      </c>
      <c r="R602" s="519" t="e">
        <f t="shared" si="31"/>
        <v>#REF!</v>
      </c>
      <c r="AG602" s="509" t="s">
        <v>2514</v>
      </c>
    </row>
    <row r="603" spans="1:33" hidden="1">
      <c r="A603" s="521">
        <f t="shared" si="30"/>
        <v>432</v>
      </c>
      <c r="B603" s="509" t="s">
        <v>3151</v>
      </c>
      <c r="C603" s="2"/>
      <c r="D603" s="490" t="s">
        <v>2342</v>
      </c>
      <c r="E603" s="2"/>
      <c r="H603" s="509" t="s">
        <v>3097</v>
      </c>
      <c r="I603" s="2"/>
      <c r="J603" s="463"/>
      <c r="K603" s="526" t="e">
        <f>(K602+C25*0.02)</f>
        <v>#REF!</v>
      </c>
      <c r="M603" s="519">
        <v>0.85</v>
      </c>
      <c r="N603" s="509" t="s">
        <v>2334</v>
      </c>
      <c r="O603" s="509" t="s">
        <v>3152</v>
      </c>
      <c r="P603" s="519" t="e">
        <f>K320-K311/10</f>
        <v>#REF!</v>
      </c>
      <c r="Q603" s="509" t="s">
        <v>2334</v>
      </c>
      <c r="R603" s="519" t="e">
        <f t="shared" si="31"/>
        <v>#REF!</v>
      </c>
      <c r="AG603" s="509" t="s">
        <v>2514</v>
      </c>
    </row>
    <row r="604" spans="1:33" hidden="1">
      <c r="A604" s="521">
        <f t="shared" si="30"/>
        <v>433</v>
      </c>
      <c r="B604" s="509" t="s">
        <v>3153</v>
      </c>
      <c r="C604" s="492">
        <v>45</v>
      </c>
      <c r="D604" s="490" t="s">
        <v>2342</v>
      </c>
      <c r="E604" s="2"/>
      <c r="F604" s="510" t="s">
        <v>3154</v>
      </c>
      <c r="G604" s="518" t="s">
        <v>575</v>
      </c>
      <c r="H604" s="509" t="s">
        <v>3155</v>
      </c>
      <c r="I604" s="2"/>
      <c r="J604" s="463"/>
      <c r="K604" s="552"/>
      <c r="M604" s="519">
        <v>0.98</v>
      </c>
      <c r="N604" s="509" t="s">
        <v>2334</v>
      </c>
      <c r="O604" s="509" t="s">
        <v>3156</v>
      </c>
      <c r="P604" s="519" t="e">
        <f>(C73)</f>
        <v>#REF!</v>
      </c>
      <c r="Q604" s="509" t="s">
        <v>2334</v>
      </c>
      <c r="R604" s="519" t="e">
        <f t="shared" si="31"/>
        <v>#REF!</v>
      </c>
      <c r="AG604" s="509" t="s">
        <v>2514</v>
      </c>
    </row>
    <row r="605" spans="1:33" hidden="1">
      <c r="A605" s="521">
        <f t="shared" si="30"/>
        <v>434</v>
      </c>
      <c r="B605" s="509" t="s">
        <v>3157</v>
      </c>
      <c r="C605" s="492">
        <v>36.520000000000003</v>
      </c>
      <c r="D605" s="490" t="s">
        <v>2342</v>
      </c>
      <c r="E605" s="2"/>
      <c r="H605" s="509" t="s">
        <v>3158</v>
      </c>
      <c r="I605" s="2"/>
      <c r="J605" s="463"/>
      <c r="K605" s="552"/>
      <c r="M605" s="519">
        <v>2.68</v>
      </c>
      <c r="N605" s="509" t="s">
        <v>2334</v>
      </c>
      <c r="O605" s="509" t="s">
        <v>2563</v>
      </c>
      <c r="P605" s="519" t="e">
        <f>(C79)</f>
        <v>#REF!</v>
      </c>
      <c r="Q605" s="509" t="s">
        <v>2334</v>
      </c>
      <c r="R605" s="519" t="e">
        <f t="shared" si="31"/>
        <v>#REF!</v>
      </c>
      <c r="AG605" s="509" t="s">
        <v>2514</v>
      </c>
    </row>
    <row r="606" spans="1:33" hidden="1">
      <c r="A606" s="521">
        <f t="shared" si="30"/>
        <v>435</v>
      </c>
      <c r="B606" s="509" t="s">
        <v>3159</v>
      </c>
      <c r="C606" s="2"/>
      <c r="D606" s="490" t="s">
        <v>2342</v>
      </c>
      <c r="E606" s="2"/>
      <c r="H606" s="509" t="s">
        <v>3160</v>
      </c>
      <c r="I606" s="2"/>
      <c r="J606" s="463"/>
      <c r="K606" s="552"/>
      <c r="M606" s="519">
        <v>7.24</v>
      </c>
      <c r="N606" s="509" t="s">
        <v>2788</v>
      </c>
      <c r="O606" s="509" t="s">
        <v>3161</v>
      </c>
      <c r="P606" s="519" t="e">
        <f>(K1332)</f>
        <v>#REF!</v>
      </c>
      <c r="Q606" s="509" t="s">
        <v>2788</v>
      </c>
      <c r="R606" s="519" t="e">
        <f t="shared" si="31"/>
        <v>#REF!</v>
      </c>
      <c r="AG606" s="509" t="s">
        <v>2514</v>
      </c>
    </row>
    <row r="607" spans="1:33" hidden="1">
      <c r="A607" s="521">
        <f t="shared" si="30"/>
        <v>436</v>
      </c>
      <c r="B607" s="509" t="s">
        <v>3162</v>
      </c>
      <c r="C607" s="492">
        <v>73.48</v>
      </c>
      <c r="D607" s="492">
        <v>93.72</v>
      </c>
      <c r="E607" s="2"/>
      <c r="H607" s="515" t="s">
        <v>442</v>
      </c>
      <c r="I607" s="2"/>
      <c r="J607" s="463"/>
      <c r="K607" s="552"/>
      <c r="M607" s="519">
        <v>1</v>
      </c>
      <c r="N607" s="509" t="s">
        <v>2342</v>
      </c>
      <c r="O607" s="509" t="s">
        <v>3163</v>
      </c>
      <c r="P607" s="519">
        <f>(C202)</f>
        <v>75</v>
      </c>
      <c r="Q607" s="509" t="s">
        <v>2342</v>
      </c>
      <c r="R607" s="519">
        <f t="shared" si="31"/>
        <v>75</v>
      </c>
      <c r="AG607" s="509" t="s">
        <v>2514</v>
      </c>
    </row>
    <row r="608" spans="1:33" hidden="1">
      <c r="A608" s="521">
        <f t="shared" si="30"/>
        <v>437</v>
      </c>
      <c r="B608" s="509" t="s">
        <v>3164</v>
      </c>
      <c r="C608" s="492">
        <v>43.12</v>
      </c>
      <c r="D608" s="490" t="s">
        <v>2342</v>
      </c>
      <c r="E608" s="2"/>
      <c r="F608" s="519">
        <v>0.01</v>
      </c>
      <c r="G608" s="518" t="s">
        <v>2334</v>
      </c>
      <c r="H608" s="509" t="s">
        <v>3165</v>
      </c>
      <c r="I608" s="492" t="e">
        <f>(K279)</f>
        <v>#REF!</v>
      </c>
      <c r="J608" s="500" t="s">
        <v>2334</v>
      </c>
      <c r="K608" s="526" t="e">
        <f>(F608*I608)</f>
        <v>#REF!</v>
      </c>
      <c r="M608" s="528">
        <v>0.13600000000000001</v>
      </c>
      <c r="N608" s="509" t="s">
        <v>2334</v>
      </c>
      <c r="O608" s="509" t="s">
        <v>3166</v>
      </c>
      <c r="P608" s="519" t="e">
        <f>(K614)</f>
        <v>#REF!</v>
      </c>
      <c r="Q608" s="509" t="s">
        <v>2334</v>
      </c>
      <c r="R608" s="519" t="e">
        <f t="shared" si="31"/>
        <v>#REF!</v>
      </c>
      <c r="AG608" s="509" t="s">
        <v>2514</v>
      </c>
    </row>
    <row r="609" spans="1:33" hidden="1">
      <c r="A609" s="521">
        <f t="shared" si="30"/>
        <v>438</v>
      </c>
      <c r="B609" s="509" t="s">
        <v>3167</v>
      </c>
      <c r="C609" s="2"/>
      <c r="D609" s="490" t="s">
        <v>2342</v>
      </c>
      <c r="E609" s="2"/>
      <c r="F609" s="519">
        <v>0.01</v>
      </c>
      <c r="G609" s="518" t="s">
        <v>2334</v>
      </c>
      <c r="H609" s="509" t="s">
        <v>3168</v>
      </c>
      <c r="I609" s="2"/>
      <c r="J609" s="500" t="s">
        <v>2346</v>
      </c>
      <c r="K609" s="526">
        <v>1.1499999999999999</v>
      </c>
      <c r="O609" s="509" t="s">
        <v>3169</v>
      </c>
      <c r="AG609" s="509" t="s">
        <v>2514</v>
      </c>
    </row>
    <row r="610" spans="1:33" hidden="1">
      <c r="A610" s="521">
        <f t="shared" si="30"/>
        <v>439</v>
      </c>
      <c r="B610" s="509" t="s">
        <v>3170</v>
      </c>
      <c r="C610" s="492">
        <v>121.88</v>
      </c>
      <c r="D610" s="490" t="s">
        <v>2342</v>
      </c>
      <c r="E610" s="2"/>
      <c r="H610" s="509" t="s">
        <v>3171</v>
      </c>
      <c r="I610" s="2"/>
      <c r="J610" s="463"/>
      <c r="K610" s="552"/>
      <c r="N610" s="509" t="s">
        <v>2346</v>
      </c>
      <c r="O610" s="509" t="s">
        <v>3113</v>
      </c>
      <c r="Q610" s="509" t="s">
        <v>2346</v>
      </c>
      <c r="R610" s="519">
        <v>1.5</v>
      </c>
      <c r="AG610" s="509" t="s">
        <v>2514</v>
      </c>
    </row>
    <row r="611" spans="1:33" hidden="1">
      <c r="A611" s="521">
        <f t="shared" si="30"/>
        <v>440</v>
      </c>
      <c r="B611" s="509" t="s">
        <v>3172</v>
      </c>
      <c r="C611" s="492">
        <v>66</v>
      </c>
      <c r="D611" s="490" t="s">
        <v>2342</v>
      </c>
      <c r="E611" s="2"/>
      <c r="I611" s="2"/>
      <c r="J611" s="463"/>
      <c r="K611" s="526" t="s">
        <v>442</v>
      </c>
      <c r="R611" s="515" t="s">
        <v>442</v>
      </c>
      <c r="AG611" s="509" t="s">
        <v>2514</v>
      </c>
    </row>
    <row r="612" spans="1:33" hidden="1">
      <c r="A612" s="521">
        <f t="shared" si="30"/>
        <v>441</v>
      </c>
      <c r="B612" s="509" t="s">
        <v>3173</v>
      </c>
      <c r="C612" s="2"/>
      <c r="D612" s="490" t="s">
        <v>2342</v>
      </c>
      <c r="E612" s="2"/>
      <c r="H612" s="509" t="s">
        <v>3174</v>
      </c>
      <c r="I612" s="2"/>
      <c r="J612" s="463"/>
      <c r="K612" s="526" t="e">
        <f>SUM(K608:K610)</f>
        <v>#REF!</v>
      </c>
      <c r="O612" s="509" t="s">
        <v>3117</v>
      </c>
      <c r="R612" s="519" t="e">
        <f>SUM(R600:R610)</f>
        <v>#REF!</v>
      </c>
      <c r="AG612" s="509" t="s">
        <v>2690</v>
      </c>
    </row>
    <row r="613" spans="1:33" hidden="1">
      <c r="A613" s="521">
        <f t="shared" si="30"/>
        <v>442</v>
      </c>
      <c r="B613" s="509" t="s">
        <v>3175</v>
      </c>
      <c r="C613" s="492">
        <v>149.16</v>
      </c>
      <c r="D613" s="490" t="s">
        <v>2342</v>
      </c>
      <c r="E613" s="2"/>
      <c r="I613" s="2"/>
      <c r="J613" s="463"/>
      <c r="K613" s="526" t="s">
        <v>442</v>
      </c>
      <c r="R613" s="515" t="s">
        <v>442</v>
      </c>
    </row>
    <row r="614" spans="1:33" hidden="1">
      <c r="A614" s="521">
        <f t="shared" si="30"/>
        <v>443</v>
      </c>
      <c r="B614" s="509" t="s">
        <v>3176</v>
      </c>
      <c r="C614" s="492">
        <v>84.92</v>
      </c>
      <c r="D614" s="490" t="s">
        <v>2342</v>
      </c>
      <c r="E614" s="2"/>
      <c r="H614" s="509" t="s">
        <v>2349</v>
      </c>
      <c r="I614" s="2"/>
      <c r="J614" s="463"/>
      <c r="K614" s="526" t="e">
        <f>ROUND(K612*100,0)</f>
        <v>#REF!</v>
      </c>
      <c r="N614" s="509" t="s">
        <v>575</v>
      </c>
      <c r="O614" s="509" t="s">
        <v>3177</v>
      </c>
    </row>
    <row r="615" spans="1:33" hidden="1">
      <c r="C615" s="2"/>
      <c r="D615" s="2"/>
      <c r="E615" s="2"/>
      <c r="F615" s="509" t="s">
        <v>30</v>
      </c>
      <c r="I615" s="2"/>
      <c r="J615" s="463"/>
      <c r="K615" s="552"/>
    </row>
    <row r="616" spans="1:33" hidden="1">
      <c r="A616" s="521">
        <f>(A614+1)</f>
        <v>444</v>
      </c>
      <c r="B616" s="509" t="s">
        <v>3178</v>
      </c>
      <c r="C616" s="2"/>
      <c r="D616" s="490" t="s">
        <v>2342</v>
      </c>
      <c r="E616" s="2"/>
      <c r="I616" s="2"/>
      <c r="J616" s="463"/>
      <c r="K616" s="526" t="s">
        <v>29</v>
      </c>
      <c r="O616" s="509" t="s">
        <v>3179</v>
      </c>
      <c r="AG616" s="509" t="s">
        <v>2514</v>
      </c>
    </row>
    <row r="617" spans="1:33" hidden="1">
      <c r="A617" s="521">
        <f t="shared" ref="A617:A673" si="32">(A616+1)</f>
        <v>445</v>
      </c>
      <c r="B617" s="509" t="s">
        <v>3180</v>
      </c>
      <c r="C617" s="492">
        <v>195.36</v>
      </c>
      <c r="D617" s="490" t="s">
        <v>2342</v>
      </c>
      <c r="E617" s="2"/>
      <c r="G617" s="518" t="s">
        <v>2843</v>
      </c>
      <c r="H617" s="509" t="s">
        <v>3181</v>
      </c>
      <c r="I617" s="2"/>
      <c r="J617" s="463"/>
      <c r="K617" s="552"/>
      <c r="O617" s="515" t="s">
        <v>442</v>
      </c>
      <c r="AG617" s="509" t="s">
        <v>2514</v>
      </c>
    </row>
    <row r="618" spans="1:33" hidden="1">
      <c r="A618" s="521">
        <f t="shared" si="32"/>
        <v>446</v>
      </c>
      <c r="B618" s="509" t="s">
        <v>3182</v>
      </c>
      <c r="C618" s="492">
        <v>137.28</v>
      </c>
      <c r="D618" s="490" t="s">
        <v>2342</v>
      </c>
      <c r="E618" s="2"/>
      <c r="H618" s="509" t="s">
        <v>3183</v>
      </c>
      <c r="I618" s="2"/>
      <c r="J618" s="463"/>
      <c r="K618" s="552"/>
      <c r="M618" s="519">
        <v>3</v>
      </c>
      <c r="N618" s="509" t="s">
        <v>2334</v>
      </c>
      <c r="O618" s="509" t="s">
        <v>3184</v>
      </c>
      <c r="P618" s="519">
        <f>(C61*2)</f>
        <v>50</v>
      </c>
      <c r="Q618" s="509" t="s">
        <v>2334</v>
      </c>
      <c r="R618" s="519">
        <f>(M618*P618)</f>
        <v>150</v>
      </c>
      <c r="AG618" s="509" t="s">
        <v>2514</v>
      </c>
    </row>
    <row r="619" spans="1:33" hidden="1">
      <c r="A619" s="521">
        <f t="shared" si="32"/>
        <v>447</v>
      </c>
      <c r="B619" s="509" t="s">
        <v>3185</v>
      </c>
      <c r="C619" s="2"/>
      <c r="D619" s="490" t="s">
        <v>2342</v>
      </c>
      <c r="E619" s="2"/>
      <c r="H619" s="515" t="s">
        <v>442</v>
      </c>
      <c r="I619" s="2"/>
      <c r="J619" s="463"/>
      <c r="K619" s="552"/>
      <c r="M619" s="519">
        <v>2.4</v>
      </c>
      <c r="N619" s="509" t="s">
        <v>2334</v>
      </c>
      <c r="O619" s="509" t="s">
        <v>3186</v>
      </c>
      <c r="P619" s="519" t="e">
        <f>(C81)</f>
        <v>#REF!</v>
      </c>
      <c r="Q619" s="509" t="s">
        <v>2334</v>
      </c>
      <c r="R619" s="519" t="e">
        <f>(M619*P619)</f>
        <v>#REF!</v>
      </c>
      <c r="AG619" s="509" t="s">
        <v>2514</v>
      </c>
    </row>
    <row r="620" spans="1:33" hidden="1">
      <c r="A620" s="521">
        <f t="shared" si="32"/>
        <v>448</v>
      </c>
      <c r="B620" s="509" t="s">
        <v>3187</v>
      </c>
      <c r="C620" s="492">
        <v>97.68</v>
      </c>
      <c r="D620" s="490" t="s">
        <v>2342</v>
      </c>
      <c r="E620" s="2"/>
      <c r="F620" s="528">
        <v>1.4E-2</v>
      </c>
      <c r="G620" s="518" t="s">
        <v>2334</v>
      </c>
      <c r="H620" s="509" t="s">
        <v>3188</v>
      </c>
      <c r="I620" s="492" t="e">
        <f>(K614)</f>
        <v>#REF!</v>
      </c>
      <c r="J620" s="500" t="s">
        <v>2334</v>
      </c>
      <c r="K620" s="526" t="e">
        <f>(F620*I620)</f>
        <v>#REF!</v>
      </c>
      <c r="M620" s="519">
        <v>5</v>
      </c>
      <c r="N620" s="509" t="s">
        <v>2342</v>
      </c>
      <c r="O620" s="509" t="s">
        <v>3189</v>
      </c>
      <c r="P620" s="519">
        <f>(C203)</f>
        <v>40</v>
      </c>
      <c r="Q620" s="509" t="s">
        <v>2342</v>
      </c>
      <c r="R620" s="519">
        <f>(M620*P620)</f>
        <v>200</v>
      </c>
      <c r="AG620" s="509" t="s">
        <v>2514</v>
      </c>
    </row>
    <row r="621" spans="1:33" hidden="1">
      <c r="A621" s="521">
        <f t="shared" si="32"/>
        <v>449</v>
      </c>
      <c r="B621" s="509" t="s">
        <v>3190</v>
      </c>
      <c r="C621" s="492">
        <v>54.12</v>
      </c>
      <c r="D621" s="490" t="s">
        <v>2342</v>
      </c>
      <c r="E621" s="2"/>
      <c r="F621" s="528"/>
      <c r="H621" s="509" t="s">
        <v>3191</v>
      </c>
      <c r="I621" s="2"/>
      <c r="J621" s="463"/>
      <c r="K621" s="526" t="s">
        <v>30</v>
      </c>
      <c r="O621" s="509" t="s">
        <v>2347</v>
      </c>
      <c r="Q621" s="509" t="s">
        <v>2346</v>
      </c>
      <c r="R621" s="519">
        <v>0.08</v>
      </c>
      <c r="AG621" s="509" t="s">
        <v>2514</v>
      </c>
    </row>
    <row r="622" spans="1:33" hidden="1">
      <c r="A622" s="521">
        <f t="shared" si="32"/>
        <v>450</v>
      </c>
      <c r="B622" s="509" t="s">
        <v>3192</v>
      </c>
      <c r="C622" s="2"/>
      <c r="D622" s="490" t="s">
        <v>2342</v>
      </c>
      <c r="E622" s="2"/>
      <c r="F622" s="519">
        <v>0.5</v>
      </c>
      <c r="G622" s="518" t="s">
        <v>2359</v>
      </c>
      <c r="H622" s="509" t="s">
        <v>2353</v>
      </c>
      <c r="I622" s="492">
        <f>(C10)</f>
        <v>150</v>
      </c>
      <c r="J622" s="500" t="s">
        <v>2359</v>
      </c>
      <c r="K622" s="526">
        <f>(F622*I622)</f>
        <v>75</v>
      </c>
      <c r="R622" s="515" t="s">
        <v>442</v>
      </c>
      <c r="S622" s="509" t="s">
        <v>30</v>
      </c>
      <c r="AG622" s="509" t="s">
        <v>2514</v>
      </c>
    </row>
    <row r="623" spans="1:33" hidden="1">
      <c r="A623" s="521">
        <f t="shared" si="32"/>
        <v>451</v>
      </c>
      <c r="B623" s="509" t="s">
        <v>3193</v>
      </c>
      <c r="C623" s="492">
        <v>110</v>
      </c>
      <c r="D623" s="490" t="s">
        <v>2342</v>
      </c>
      <c r="E623" s="2"/>
      <c r="F623" s="519">
        <v>0.75</v>
      </c>
      <c r="G623" s="518" t="s">
        <v>2359</v>
      </c>
      <c r="H623" s="509" t="s">
        <v>2344</v>
      </c>
      <c r="I623" s="492">
        <f>(C12)</f>
        <v>95</v>
      </c>
      <c r="J623" s="500" t="s">
        <v>2359</v>
      </c>
      <c r="K623" s="526">
        <f>(F623*I623)</f>
        <v>71.25</v>
      </c>
      <c r="O623" s="509" t="s">
        <v>3117</v>
      </c>
      <c r="R623" s="519" t="e">
        <f>SUM(R618:R621)</f>
        <v>#REF!</v>
      </c>
      <c r="AG623" s="509" t="s">
        <v>2514</v>
      </c>
    </row>
    <row r="624" spans="1:33" hidden="1">
      <c r="A624" s="521">
        <f t="shared" si="32"/>
        <v>452</v>
      </c>
      <c r="B624" s="509" t="s">
        <v>3194</v>
      </c>
      <c r="C624" s="492">
        <v>70</v>
      </c>
      <c r="D624" s="490" t="s">
        <v>2342</v>
      </c>
      <c r="E624" s="2"/>
      <c r="G624" s="518" t="s">
        <v>2346</v>
      </c>
      <c r="H624" s="509" t="s">
        <v>2347</v>
      </c>
      <c r="I624" s="2"/>
      <c r="J624" s="500" t="s">
        <v>2346</v>
      </c>
      <c r="K624" s="526">
        <v>0</v>
      </c>
      <c r="R624" s="515" t="s">
        <v>442</v>
      </c>
      <c r="AG624" s="509" t="s">
        <v>2514</v>
      </c>
    </row>
    <row r="625" spans="1:33" hidden="1">
      <c r="A625" s="521">
        <f t="shared" si="32"/>
        <v>453</v>
      </c>
      <c r="B625" s="509" t="s">
        <v>3195</v>
      </c>
      <c r="C625" s="2"/>
      <c r="D625" s="490" t="s">
        <v>2342</v>
      </c>
      <c r="E625" s="2"/>
      <c r="I625" s="2"/>
      <c r="J625" s="463"/>
      <c r="K625" s="526" t="s">
        <v>442</v>
      </c>
      <c r="AG625" s="509" t="s">
        <v>2514</v>
      </c>
    </row>
    <row r="626" spans="1:33" hidden="1">
      <c r="A626" s="521">
        <f t="shared" si="32"/>
        <v>454</v>
      </c>
      <c r="B626" s="509" t="s">
        <v>3196</v>
      </c>
      <c r="C626" s="492">
        <v>12</v>
      </c>
      <c r="D626" s="490" t="s">
        <v>2342</v>
      </c>
      <c r="E626" s="2"/>
      <c r="H626" s="509" t="s">
        <v>3197</v>
      </c>
      <c r="I626" s="2"/>
      <c r="J626" s="463"/>
      <c r="K626" s="526" t="e">
        <f>SUM(K620:K624)</f>
        <v>#REF!</v>
      </c>
      <c r="N626" s="509" t="s">
        <v>575</v>
      </c>
      <c r="O626" s="509" t="s">
        <v>3198</v>
      </c>
      <c r="AG626" s="509" t="s">
        <v>2514</v>
      </c>
    </row>
    <row r="627" spans="1:33" hidden="1">
      <c r="A627" s="521">
        <f t="shared" si="32"/>
        <v>455</v>
      </c>
      <c r="B627" s="509" t="s">
        <v>3199</v>
      </c>
      <c r="C627" s="492">
        <v>7.5</v>
      </c>
      <c r="D627" s="490" t="s">
        <v>2342</v>
      </c>
      <c r="E627" s="2"/>
      <c r="I627" s="2"/>
      <c r="J627" s="463"/>
      <c r="K627" s="526" t="s">
        <v>442</v>
      </c>
      <c r="O627" s="509" t="s">
        <v>3200</v>
      </c>
      <c r="AG627" s="509" t="s">
        <v>2514</v>
      </c>
    </row>
    <row r="628" spans="1:33" hidden="1">
      <c r="A628" s="521">
        <f t="shared" si="32"/>
        <v>456</v>
      </c>
      <c r="B628" s="509" t="s">
        <v>3201</v>
      </c>
      <c r="C628" s="2"/>
      <c r="D628" s="490" t="s">
        <v>2342</v>
      </c>
      <c r="E628" s="2"/>
      <c r="H628" s="509" t="s">
        <v>2355</v>
      </c>
      <c r="I628" s="2"/>
      <c r="J628" s="463"/>
      <c r="K628" s="526" t="e">
        <f>(K626/0.372)</f>
        <v>#REF!</v>
      </c>
      <c r="O628" s="509" t="s">
        <v>3202</v>
      </c>
      <c r="AG628" s="509" t="s">
        <v>2514</v>
      </c>
    </row>
    <row r="629" spans="1:33" hidden="1">
      <c r="A629" s="521">
        <f t="shared" si="32"/>
        <v>457</v>
      </c>
      <c r="B629" s="509" t="s">
        <v>3203</v>
      </c>
      <c r="C629" s="492">
        <v>155.32</v>
      </c>
      <c r="D629" s="490" t="s">
        <v>2342</v>
      </c>
      <c r="E629" s="2"/>
      <c r="I629" s="2"/>
      <c r="J629" s="463"/>
      <c r="K629" s="526" t="s">
        <v>29</v>
      </c>
      <c r="O629" s="515" t="s">
        <v>442</v>
      </c>
      <c r="AG629" s="509" t="s">
        <v>2514</v>
      </c>
    </row>
    <row r="630" spans="1:33" hidden="1">
      <c r="A630" s="521">
        <f t="shared" si="32"/>
        <v>458</v>
      </c>
      <c r="B630" s="509" t="s">
        <v>3204</v>
      </c>
      <c r="C630" s="492">
        <v>91.08</v>
      </c>
      <c r="D630" s="490" t="s">
        <v>2342</v>
      </c>
      <c r="E630" s="2"/>
      <c r="H630" s="509" t="s">
        <v>2354</v>
      </c>
      <c r="I630" s="2"/>
      <c r="J630" s="463"/>
      <c r="K630" s="526" t="e">
        <f>(K628+C22*0.014/0.372)</f>
        <v>#REF!</v>
      </c>
      <c r="M630" s="519">
        <v>9.5</v>
      </c>
      <c r="N630" s="509" t="s">
        <v>2334</v>
      </c>
      <c r="O630" s="509" t="s">
        <v>3184</v>
      </c>
      <c r="P630" s="519">
        <f>(C61*2)</f>
        <v>50</v>
      </c>
      <c r="Q630" s="509" t="s">
        <v>2334</v>
      </c>
      <c r="R630" s="519">
        <f t="shared" ref="R630:R638" si="33">(M630*P630)</f>
        <v>475</v>
      </c>
      <c r="AG630" s="509" t="s">
        <v>2514</v>
      </c>
    </row>
    <row r="631" spans="1:33" hidden="1">
      <c r="A631" s="521">
        <f t="shared" si="32"/>
        <v>459</v>
      </c>
      <c r="B631" s="509" t="s">
        <v>3205</v>
      </c>
      <c r="C631" s="492">
        <v>30</v>
      </c>
      <c r="D631" s="490" t="s">
        <v>40</v>
      </c>
      <c r="E631" s="2"/>
      <c r="H631" s="509" t="s">
        <v>2362</v>
      </c>
      <c r="I631" s="2"/>
      <c r="J631" s="463"/>
      <c r="K631" s="526" t="e">
        <f>(K630+C23*0.014/0.372)</f>
        <v>#REF!</v>
      </c>
      <c r="M631" s="519">
        <v>0.47</v>
      </c>
      <c r="N631" s="509" t="s">
        <v>2334</v>
      </c>
      <c r="O631" s="509" t="s">
        <v>3206</v>
      </c>
      <c r="P631" s="519" t="e">
        <f>(R74)</f>
        <v>#REF!</v>
      </c>
      <c r="Q631" s="509" t="s">
        <v>2334</v>
      </c>
      <c r="R631" s="519" t="e">
        <f t="shared" si="33"/>
        <v>#REF!</v>
      </c>
      <c r="AG631" s="509" t="s">
        <v>2514</v>
      </c>
    </row>
    <row r="632" spans="1:33" hidden="1">
      <c r="A632" s="521">
        <f t="shared" si="32"/>
        <v>460</v>
      </c>
      <c r="B632" s="509" t="s">
        <v>3207</v>
      </c>
      <c r="C632" s="492">
        <v>0.3</v>
      </c>
      <c r="D632" s="490" t="s">
        <v>2342</v>
      </c>
      <c r="E632" s="2"/>
      <c r="H632" s="509" t="s">
        <v>2480</v>
      </c>
      <c r="I632" s="2"/>
      <c r="J632" s="463"/>
      <c r="K632" s="526" t="e">
        <f>(K631+C24*0.014/0.372)</f>
        <v>#REF!</v>
      </c>
      <c r="M632" s="519">
        <v>1.62</v>
      </c>
      <c r="N632" s="509" t="s">
        <v>2334</v>
      </c>
      <c r="O632" s="509" t="s">
        <v>3104</v>
      </c>
      <c r="P632" s="519" t="e">
        <f>(R89)</f>
        <v>#REF!</v>
      </c>
      <c r="Q632" s="509" t="s">
        <v>2334</v>
      </c>
      <c r="R632" s="519" t="e">
        <f t="shared" si="33"/>
        <v>#REF!</v>
      </c>
      <c r="AG632" s="509" t="s">
        <v>2514</v>
      </c>
    </row>
    <row r="633" spans="1:33" hidden="1">
      <c r="A633" s="521">
        <f t="shared" si="32"/>
        <v>461</v>
      </c>
      <c r="B633" s="509" t="s">
        <v>3208</v>
      </c>
      <c r="C633" s="492">
        <v>99</v>
      </c>
      <c r="D633" s="490" t="s">
        <v>2788</v>
      </c>
      <c r="E633" s="2"/>
      <c r="H633" s="509" t="s">
        <v>2481</v>
      </c>
      <c r="I633" s="2"/>
      <c r="J633" s="463"/>
      <c r="K633" s="526" t="e">
        <f>(K632+C24*0.014/0.372)</f>
        <v>#REF!</v>
      </c>
      <c r="M633" s="519">
        <v>15.22</v>
      </c>
      <c r="N633" s="509" t="s">
        <v>2788</v>
      </c>
      <c r="O633" s="509" t="s">
        <v>3209</v>
      </c>
      <c r="P633" s="519" t="e">
        <f>(R303)</f>
        <v>#REF!</v>
      </c>
      <c r="Q633" s="509" t="s">
        <v>2788</v>
      </c>
      <c r="R633" s="519" t="e">
        <f t="shared" si="33"/>
        <v>#REF!</v>
      </c>
      <c r="AG633" s="509" t="s">
        <v>2514</v>
      </c>
    </row>
    <row r="634" spans="1:33" hidden="1">
      <c r="A634" s="521">
        <f t="shared" si="32"/>
        <v>462</v>
      </c>
      <c r="B634" s="509" t="s">
        <v>3210</v>
      </c>
      <c r="C634" s="492">
        <v>97.31</v>
      </c>
      <c r="D634" s="490" t="s">
        <v>2788</v>
      </c>
      <c r="E634" s="2"/>
      <c r="H634" s="509" t="s">
        <v>3097</v>
      </c>
      <c r="I634" s="2"/>
      <c r="J634" s="463"/>
      <c r="K634" s="526" t="e">
        <f>(K633+C25*0.014/0.372)</f>
        <v>#REF!</v>
      </c>
      <c r="M634" s="519">
        <v>0.18</v>
      </c>
      <c r="N634" s="509" t="s">
        <v>2334</v>
      </c>
      <c r="O634" s="509" t="s">
        <v>3211</v>
      </c>
      <c r="P634" s="519" t="e">
        <f>(K279)</f>
        <v>#REF!</v>
      </c>
      <c r="Q634" s="509" t="s">
        <v>2334</v>
      </c>
      <c r="R634" s="519" t="e">
        <f t="shared" si="33"/>
        <v>#REF!</v>
      </c>
      <c r="AG634" s="509" t="s">
        <v>2514</v>
      </c>
    </row>
    <row r="635" spans="1:33" hidden="1">
      <c r="A635" s="521">
        <f t="shared" si="32"/>
        <v>463</v>
      </c>
      <c r="B635" s="509" t="s">
        <v>3212</v>
      </c>
      <c r="C635" s="492">
        <v>105.28</v>
      </c>
      <c r="D635" s="490" t="s">
        <v>2883</v>
      </c>
      <c r="E635" s="2"/>
      <c r="F635" s="510" t="s">
        <v>3213</v>
      </c>
      <c r="H635" s="509" t="s">
        <v>3214</v>
      </c>
      <c r="I635" s="2"/>
      <c r="J635" s="463"/>
      <c r="K635" s="552"/>
      <c r="M635" s="519">
        <v>0.36</v>
      </c>
      <c r="N635" s="509" t="s">
        <v>2788</v>
      </c>
      <c r="O635" s="509" t="s">
        <v>3215</v>
      </c>
      <c r="P635" s="519" t="e">
        <f>(K466)</f>
        <v>#REF!</v>
      </c>
      <c r="Q635" s="509" t="s">
        <v>2788</v>
      </c>
      <c r="R635" s="519" t="e">
        <f t="shared" si="33"/>
        <v>#REF!</v>
      </c>
      <c r="AG635" s="509" t="s">
        <v>2514</v>
      </c>
    </row>
    <row r="636" spans="1:33" hidden="1">
      <c r="A636" s="521">
        <f t="shared" si="32"/>
        <v>464</v>
      </c>
      <c r="B636" s="509" t="s">
        <v>3216</v>
      </c>
      <c r="C636" s="492">
        <v>106.75</v>
      </c>
      <c r="D636" s="490" t="s">
        <v>2883</v>
      </c>
      <c r="E636" s="2"/>
      <c r="H636" s="509" t="s">
        <v>3217</v>
      </c>
      <c r="I636" s="2"/>
      <c r="J636" s="463"/>
      <c r="K636" s="552"/>
      <c r="M636" s="519">
        <v>1</v>
      </c>
      <c r="N636" s="509" t="s">
        <v>2342</v>
      </c>
      <c r="O636" s="509" t="s">
        <v>3218</v>
      </c>
      <c r="P636" s="519">
        <f>(C202)</f>
        <v>75</v>
      </c>
      <c r="Q636" s="509" t="s">
        <v>2342</v>
      </c>
      <c r="R636" s="519">
        <f t="shared" si="33"/>
        <v>75</v>
      </c>
      <c r="AG636" s="509" t="s">
        <v>2514</v>
      </c>
    </row>
    <row r="637" spans="1:33" hidden="1">
      <c r="A637" s="521">
        <f t="shared" si="32"/>
        <v>465</v>
      </c>
      <c r="B637" s="509" t="s">
        <v>3219</v>
      </c>
      <c r="C637" s="492">
        <v>1</v>
      </c>
      <c r="D637" s="490" t="s">
        <v>2342</v>
      </c>
      <c r="E637" s="2" t="s">
        <v>3220</v>
      </c>
      <c r="H637" s="509" t="s">
        <v>3221</v>
      </c>
      <c r="I637" s="2"/>
      <c r="J637" s="463"/>
      <c r="K637" s="552"/>
      <c r="M637" s="519">
        <v>1.8</v>
      </c>
      <c r="N637" s="509" t="s">
        <v>3222</v>
      </c>
      <c r="O637" s="509" t="s">
        <v>3223</v>
      </c>
      <c r="P637" s="519">
        <f>(C324)</f>
        <v>14.91</v>
      </c>
      <c r="Q637" s="509" t="s">
        <v>3222</v>
      </c>
      <c r="R637" s="519">
        <f t="shared" si="33"/>
        <v>26.838000000000001</v>
      </c>
      <c r="AG637" s="509" t="s">
        <v>2514</v>
      </c>
    </row>
    <row r="638" spans="1:33" hidden="1">
      <c r="A638" s="521">
        <f t="shared" si="32"/>
        <v>466</v>
      </c>
      <c r="B638" s="509" t="s">
        <v>3224</v>
      </c>
      <c r="C638" s="492">
        <v>37</v>
      </c>
      <c r="D638" s="490" t="s">
        <v>40</v>
      </c>
      <c r="E638" s="2"/>
      <c r="H638" s="509" t="s">
        <v>3225</v>
      </c>
      <c r="I638" s="2"/>
      <c r="J638" s="463"/>
      <c r="K638" s="552"/>
      <c r="M638" s="519">
        <v>1</v>
      </c>
      <c r="N638" s="509" t="s">
        <v>2342</v>
      </c>
      <c r="O638" s="509" t="s">
        <v>3226</v>
      </c>
      <c r="P638" s="519">
        <f>(C370)</f>
        <v>13.29</v>
      </c>
      <c r="Q638" s="509" t="s">
        <v>2342</v>
      </c>
      <c r="R638" s="519">
        <f t="shared" si="33"/>
        <v>13.29</v>
      </c>
      <c r="AG638" s="509" t="s">
        <v>2514</v>
      </c>
    </row>
    <row r="639" spans="1:33" hidden="1">
      <c r="A639" s="521">
        <f t="shared" si="32"/>
        <v>467</v>
      </c>
      <c r="B639" s="544" t="s">
        <v>3227</v>
      </c>
      <c r="C639" s="492">
        <v>3</v>
      </c>
      <c r="D639" s="490" t="s">
        <v>2205</v>
      </c>
      <c r="E639" s="2">
        <v>5</v>
      </c>
      <c r="H639" s="509" t="s">
        <v>3228</v>
      </c>
      <c r="I639" s="2"/>
      <c r="J639" s="463"/>
      <c r="K639" s="552"/>
      <c r="N639" s="509" t="s">
        <v>2346</v>
      </c>
      <c r="O639" s="509" t="s">
        <v>3113</v>
      </c>
      <c r="Q639" s="509" t="s">
        <v>2346</v>
      </c>
      <c r="R639" s="519">
        <v>1.6</v>
      </c>
      <c r="AG639" s="509" t="s">
        <v>2514</v>
      </c>
    </row>
    <row r="640" spans="1:33" hidden="1">
      <c r="A640" s="521">
        <f t="shared" si="32"/>
        <v>468</v>
      </c>
      <c r="B640" s="544" t="s">
        <v>3229</v>
      </c>
      <c r="C640" s="492">
        <v>2.2000000000000002</v>
      </c>
      <c r="D640" s="490" t="s">
        <v>2205</v>
      </c>
      <c r="E640" s="2"/>
      <c r="H640" s="509" t="s">
        <v>3230</v>
      </c>
      <c r="I640" s="2"/>
      <c r="J640" s="463"/>
      <c r="K640" s="552"/>
      <c r="R640" s="509" t="s">
        <v>30</v>
      </c>
      <c r="AG640" s="509" t="s">
        <v>2514</v>
      </c>
    </row>
    <row r="641" spans="1:33" hidden="1">
      <c r="A641" s="521">
        <f t="shared" si="32"/>
        <v>469</v>
      </c>
      <c r="B641" s="509" t="s">
        <v>3231</v>
      </c>
      <c r="C641" s="492">
        <v>2.2000000000000002</v>
      </c>
      <c r="D641" s="490">
        <v>2.7</v>
      </c>
      <c r="E641" s="2">
        <v>2</v>
      </c>
      <c r="H641" s="509" t="s">
        <v>3232</v>
      </c>
      <c r="I641" s="2"/>
      <c r="J641" s="463"/>
      <c r="K641" s="552"/>
      <c r="R641" s="515" t="s">
        <v>442</v>
      </c>
      <c r="AG641" s="509" t="s">
        <v>2514</v>
      </c>
    </row>
    <row r="642" spans="1:33" hidden="1">
      <c r="A642" s="521">
        <f t="shared" si="32"/>
        <v>470</v>
      </c>
      <c r="B642" s="509" t="s">
        <v>3233</v>
      </c>
      <c r="C642" s="492">
        <v>3.2</v>
      </c>
      <c r="D642" s="492">
        <v>3.2</v>
      </c>
      <c r="E642" s="2"/>
      <c r="H642" s="515" t="s">
        <v>442</v>
      </c>
      <c r="I642" s="491" t="s">
        <v>442</v>
      </c>
      <c r="J642" s="463"/>
      <c r="K642" s="552"/>
      <c r="O642" s="509" t="s">
        <v>3117</v>
      </c>
      <c r="R642" s="519" t="e">
        <f>SUM(R630:R640)</f>
        <v>#REF!</v>
      </c>
      <c r="AG642" s="509" t="s">
        <v>2514</v>
      </c>
    </row>
    <row r="643" spans="1:33" hidden="1">
      <c r="A643" s="521">
        <f t="shared" si="32"/>
        <v>471</v>
      </c>
      <c r="B643" s="509" t="s">
        <v>3234</v>
      </c>
      <c r="C643" s="492">
        <v>4</v>
      </c>
      <c r="D643" s="490" t="s">
        <v>2346</v>
      </c>
      <c r="E643" s="2"/>
      <c r="F643" s="519">
        <v>1</v>
      </c>
      <c r="G643" s="518" t="s">
        <v>2788</v>
      </c>
      <c r="H643" s="509" t="s">
        <v>3235</v>
      </c>
      <c r="I643" s="492">
        <f>D76</f>
        <v>240</v>
      </c>
      <c r="J643" s="500" t="s">
        <v>2788</v>
      </c>
      <c r="K643" s="526">
        <f>(F643*I643)</f>
        <v>240</v>
      </c>
      <c r="R643" s="515" t="s">
        <v>442</v>
      </c>
      <c r="AG643" s="509" t="s">
        <v>2514</v>
      </c>
    </row>
    <row r="644" spans="1:33" hidden="1">
      <c r="A644" s="521">
        <f t="shared" si="32"/>
        <v>472</v>
      </c>
      <c r="B644" s="509" t="s">
        <v>3236</v>
      </c>
      <c r="C644" s="492">
        <v>5</v>
      </c>
      <c r="D644" s="490" t="s">
        <v>2346</v>
      </c>
      <c r="E644" s="2"/>
      <c r="F644" s="519">
        <v>1</v>
      </c>
      <c r="G644" s="518" t="s">
        <v>2788</v>
      </c>
      <c r="H644" s="509" t="s">
        <v>3237</v>
      </c>
      <c r="I644" s="492">
        <f>C75</f>
        <v>20</v>
      </c>
      <c r="J644" s="500" t="s">
        <v>2788</v>
      </c>
      <c r="K644" s="526">
        <f>(F644*I644)</f>
        <v>20</v>
      </c>
      <c r="O644" s="509" t="s">
        <v>3238</v>
      </c>
      <c r="AG644" s="509" t="s">
        <v>2514</v>
      </c>
    </row>
    <row r="645" spans="1:33" hidden="1">
      <c r="A645" s="521">
        <f t="shared" si="32"/>
        <v>473</v>
      </c>
      <c r="B645" s="509" t="s">
        <v>3239</v>
      </c>
      <c r="C645" s="492">
        <v>96</v>
      </c>
      <c r="D645" s="490" t="s">
        <v>2342</v>
      </c>
      <c r="E645" s="2"/>
      <c r="F645" s="519">
        <v>1</v>
      </c>
      <c r="G645" s="518" t="s">
        <v>2346</v>
      </c>
      <c r="H645" s="509" t="s">
        <v>3240</v>
      </c>
      <c r="I645" s="492">
        <v>15</v>
      </c>
      <c r="J645" s="500" t="s">
        <v>2346</v>
      </c>
      <c r="K645" s="526">
        <f>(F645*I645)</f>
        <v>15</v>
      </c>
      <c r="N645" s="509" t="s">
        <v>575</v>
      </c>
      <c r="O645" s="509" t="s">
        <v>3241</v>
      </c>
      <c r="AG645" s="509" t="s">
        <v>2514</v>
      </c>
    </row>
    <row r="646" spans="1:33" hidden="1">
      <c r="A646" s="521">
        <f t="shared" si="32"/>
        <v>474</v>
      </c>
      <c r="B646" s="509" t="s">
        <v>3242</v>
      </c>
      <c r="C646" s="492">
        <v>75</v>
      </c>
      <c r="D646" s="490" t="s">
        <v>2342</v>
      </c>
      <c r="E646" s="2"/>
      <c r="I646" s="2"/>
      <c r="J646" s="463"/>
      <c r="K646" s="526" t="s">
        <v>442</v>
      </c>
      <c r="O646" s="509" t="s">
        <v>3243</v>
      </c>
      <c r="AG646" s="509" t="s">
        <v>2514</v>
      </c>
    </row>
    <row r="647" spans="1:33" hidden="1">
      <c r="A647" s="521">
        <f t="shared" si="32"/>
        <v>475</v>
      </c>
      <c r="B647" s="509" t="s">
        <v>3244</v>
      </c>
      <c r="C647" s="492">
        <v>6.4</v>
      </c>
      <c r="D647" s="492">
        <v>12.65</v>
      </c>
      <c r="E647" s="2">
        <v>3</v>
      </c>
      <c r="H647" s="509" t="s">
        <v>2355</v>
      </c>
      <c r="I647" s="2"/>
      <c r="J647" s="463"/>
      <c r="K647" s="526">
        <f>SUM(K641:K645)</f>
        <v>275</v>
      </c>
      <c r="O647" s="515" t="s">
        <v>442</v>
      </c>
      <c r="AG647" s="509" t="s">
        <v>2514</v>
      </c>
    </row>
    <row r="648" spans="1:33" hidden="1">
      <c r="A648" s="521">
        <f t="shared" si="32"/>
        <v>476</v>
      </c>
      <c r="B648" s="509" t="s">
        <v>3245</v>
      </c>
      <c r="C648" s="492">
        <v>80</v>
      </c>
      <c r="D648" s="490" t="s">
        <v>2342</v>
      </c>
      <c r="E648" s="2"/>
      <c r="H648" s="509" t="s">
        <v>3246</v>
      </c>
      <c r="I648" s="2"/>
      <c r="J648" s="463"/>
      <c r="K648" s="526" t="s">
        <v>29</v>
      </c>
      <c r="M648" s="519">
        <v>1</v>
      </c>
      <c r="N648" s="509" t="s">
        <v>2342</v>
      </c>
      <c r="O648" s="509" t="s">
        <v>3247</v>
      </c>
      <c r="P648" s="519">
        <f>(C382)</f>
        <v>14.91</v>
      </c>
      <c r="Q648" s="509" t="s">
        <v>2342</v>
      </c>
      <c r="R648" s="519">
        <f>(M648*P648)</f>
        <v>14.91</v>
      </c>
      <c r="AG648" s="509" t="s">
        <v>2514</v>
      </c>
    </row>
    <row r="649" spans="1:33" hidden="1">
      <c r="A649" s="521">
        <f t="shared" si="32"/>
        <v>477</v>
      </c>
      <c r="B649" s="509" t="s">
        <v>3248</v>
      </c>
      <c r="C649" s="492">
        <v>64</v>
      </c>
      <c r="D649" s="490" t="s">
        <v>2342</v>
      </c>
      <c r="E649" s="2"/>
      <c r="H649" s="509" t="s">
        <v>2354</v>
      </c>
      <c r="I649" s="2"/>
      <c r="J649" s="463"/>
      <c r="K649" s="526">
        <f>(K647+C19*0.05)</f>
        <v>275.88</v>
      </c>
      <c r="N649" s="509" t="s">
        <v>2346</v>
      </c>
      <c r="O649" s="509" t="s">
        <v>3249</v>
      </c>
      <c r="Q649" s="509" t="s">
        <v>2346</v>
      </c>
      <c r="R649" s="519">
        <v>2.09</v>
      </c>
      <c r="AG649" s="509" t="s">
        <v>2514</v>
      </c>
    </row>
    <row r="650" spans="1:33" hidden="1">
      <c r="A650" s="521">
        <f t="shared" si="32"/>
        <v>478</v>
      </c>
      <c r="B650" s="509" t="s">
        <v>3250</v>
      </c>
      <c r="C650" s="492">
        <v>40.5</v>
      </c>
      <c r="D650" s="490" t="s">
        <v>2342</v>
      </c>
      <c r="E650" s="2"/>
      <c r="H650" s="509" t="s">
        <v>2362</v>
      </c>
      <c r="I650" s="2"/>
      <c r="J650" s="463"/>
      <c r="K650" s="526">
        <f>(K649+C20*0.05)</f>
        <v>277.64</v>
      </c>
      <c r="O650" s="509" t="s">
        <v>3251</v>
      </c>
      <c r="R650" s="509" t="s">
        <v>30</v>
      </c>
      <c r="AG650" s="509" t="s">
        <v>2514</v>
      </c>
    </row>
    <row r="651" spans="1:33" hidden="1">
      <c r="A651" s="521">
        <f t="shared" si="32"/>
        <v>479</v>
      </c>
      <c r="B651" s="509" t="s">
        <v>3252</v>
      </c>
      <c r="C651" s="492">
        <v>92</v>
      </c>
      <c r="D651" s="490" t="s">
        <v>2342</v>
      </c>
      <c r="E651" s="2"/>
      <c r="H651" s="509" t="s">
        <v>2480</v>
      </c>
      <c r="I651" s="2"/>
      <c r="J651" s="463"/>
      <c r="K651" s="526">
        <f>(K650+C21*0.05)</f>
        <v>279.39999999999998</v>
      </c>
      <c r="R651" s="515" t="s">
        <v>442</v>
      </c>
      <c r="AG651" s="509" t="s">
        <v>2514</v>
      </c>
    </row>
    <row r="652" spans="1:33" hidden="1">
      <c r="A652" s="521">
        <f t="shared" si="32"/>
        <v>480</v>
      </c>
      <c r="B652" s="509" t="s">
        <v>3253</v>
      </c>
      <c r="C652" s="492">
        <v>60</v>
      </c>
      <c r="D652" s="490" t="s">
        <v>2342</v>
      </c>
      <c r="E652" s="2"/>
      <c r="H652" s="509" t="s">
        <v>2481</v>
      </c>
      <c r="I652" s="2"/>
      <c r="J652" s="463"/>
      <c r="K652" s="526">
        <f>(K651+C21*0.05)</f>
        <v>281.15999999999997</v>
      </c>
      <c r="O652" s="509" t="s">
        <v>3254</v>
      </c>
      <c r="R652" s="519">
        <f>SUM(R648:R650)</f>
        <v>17</v>
      </c>
      <c r="AG652" s="509" t="s">
        <v>2514</v>
      </c>
    </row>
    <row r="653" spans="1:33" hidden="1">
      <c r="A653" s="521">
        <f t="shared" si="32"/>
        <v>481</v>
      </c>
      <c r="B653" s="509" t="s">
        <v>3255</v>
      </c>
      <c r="C653" s="492">
        <v>49.87</v>
      </c>
      <c r="D653" s="490" t="s">
        <v>2342</v>
      </c>
      <c r="E653" s="2"/>
      <c r="H653" s="509" t="s">
        <v>3097</v>
      </c>
      <c r="I653" s="2"/>
      <c r="J653" s="463"/>
      <c r="K653" s="526">
        <f>(K652+C21*0.05)</f>
        <v>282.91999999999996</v>
      </c>
      <c r="R653" s="515" t="s">
        <v>442</v>
      </c>
      <c r="AG653" s="509" t="s">
        <v>2514</v>
      </c>
    </row>
    <row r="654" spans="1:33" hidden="1">
      <c r="A654" s="521">
        <f t="shared" si="32"/>
        <v>482</v>
      </c>
      <c r="B654" s="509" t="s">
        <v>3256</v>
      </c>
      <c r="C654" s="492">
        <v>80</v>
      </c>
      <c r="D654" s="490" t="s">
        <v>2342</v>
      </c>
      <c r="E654" s="2"/>
      <c r="F654" s="510" t="s">
        <v>3257</v>
      </c>
      <c r="H654" s="509" t="s">
        <v>3214</v>
      </c>
      <c r="I654" s="2"/>
      <c r="J654" s="463"/>
      <c r="K654" s="552"/>
      <c r="AG654" s="509" t="s">
        <v>2514</v>
      </c>
    </row>
    <row r="655" spans="1:33" hidden="1">
      <c r="A655" s="521">
        <f t="shared" si="32"/>
        <v>483</v>
      </c>
      <c r="B655" s="509" t="s">
        <v>3258</v>
      </c>
      <c r="C655" s="492">
        <v>52</v>
      </c>
      <c r="D655" s="490" t="s">
        <v>2342</v>
      </c>
      <c r="E655" s="2"/>
      <c r="H655" s="509" t="s">
        <v>3259</v>
      </c>
      <c r="I655" s="2"/>
      <c r="J655" s="463"/>
      <c r="K655" s="552"/>
      <c r="N655" s="509" t="s">
        <v>575</v>
      </c>
      <c r="O655" s="509" t="s">
        <v>3260</v>
      </c>
      <c r="AG655" s="509" t="s">
        <v>2514</v>
      </c>
    </row>
    <row r="656" spans="1:33" hidden="1">
      <c r="A656" s="521">
        <f t="shared" si="32"/>
        <v>484</v>
      </c>
      <c r="B656" s="509" t="s">
        <v>3261</v>
      </c>
      <c r="C656" s="492">
        <v>39</v>
      </c>
      <c r="D656" s="490" t="s">
        <v>2342</v>
      </c>
      <c r="E656" s="2"/>
      <c r="H656" s="509" t="s">
        <v>3221</v>
      </c>
      <c r="I656" s="2"/>
      <c r="J656" s="463"/>
      <c r="K656" s="552"/>
      <c r="O656" s="509" t="s">
        <v>3243</v>
      </c>
      <c r="AG656" s="509" t="s">
        <v>2514</v>
      </c>
    </row>
    <row r="657" spans="1:33" hidden="1">
      <c r="A657" s="521">
        <f t="shared" si="32"/>
        <v>485</v>
      </c>
      <c r="B657" s="509" t="s">
        <v>3262</v>
      </c>
      <c r="C657" s="492">
        <v>90</v>
      </c>
      <c r="D657" s="490" t="s">
        <v>2342</v>
      </c>
      <c r="E657" s="2"/>
      <c r="H657" s="509" t="s">
        <v>3225</v>
      </c>
      <c r="I657" s="2"/>
      <c r="J657" s="463"/>
      <c r="K657" s="552"/>
      <c r="O657" s="515" t="s">
        <v>442</v>
      </c>
      <c r="AG657" s="509" t="s">
        <v>2514</v>
      </c>
    </row>
    <row r="658" spans="1:33" hidden="1">
      <c r="A658" s="521">
        <f t="shared" si="32"/>
        <v>486</v>
      </c>
      <c r="B658" s="509" t="s">
        <v>3263</v>
      </c>
      <c r="C658" s="492">
        <v>60</v>
      </c>
      <c r="D658" s="490" t="s">
        <v>2342</v>
      </c>
      <c r="E658" s="2"/>
      <c r="H658" s="509" t="s">
        <v>3228</v>
      </c>
      <c r="I658" s="2"/>
      <c r="J658" s="463"/>
      <c r="K658" s="552"/>
      <c r="M658" s="519">
        <v>1</v>
      </c>
      <c r="N658" s="509" t="s">
        <v>2342</v>
      </c>
      <c r="O658" s="509" t="s">
        <v>3264</v>
      </c>
      <c r="P658" s="519">
        <f>(C383)</f>
        <v>17.579999999999998</v>
      </c>
      <c r="Q658" s="509" t="s">
        <v>2342</v>
      </c>
      <c r="R658" s="519">
        <f>(M658*P658)</f>
        <v>17.579999999999998</v>
      </c>
      <c r="AG658" s="509" t="s">
        <v>2514</v>
      </c>
    </row>
    <row r="659" spans="1:33" hidden="1">
      <c r="A659" s="521">
        <f t="shared" si="32"/>
        <v>487</v>
      </c>
      <c r="B659" s="509" t="s">
        <v>3265</v>
      </c>
      <c r="C659" s="492">
        <v>43.5</v>
      </c>
      <c r="D659" s="490" t="s">
        <v>2342</v>
      </c>
      <c r="E659" s="2"/>
      <c r="H659" s="509" t="s">
        <v>3230</v>
      </c>
      <c r="I659" s="2"/>
      <c r="J659" s="463"/>
      <c r="K659" s="552"/>
      <c r="N659" s="509" t="s">
        <v>2346</v>
      </c>
      <c r="O659" s="509" t="s">
        <v>3249</v>
      </c>
      <c r="Q659" s="509" t="s">
        <v>2346</v>
      </c>
      <c r="R659" s="519">
        <v>2.09</v>
      </c>
      <c r="AG659" s="509" t="s">
        <v>2514</v>
      </c>
    </row>
    <row r="660" spans="1:33" hidden="1">
      <c r="A660" s="521">
        <f t="shared" si="32"/>
        <v>488</v>
      </c>
      <c r="B660" s="509" t="s">
        <v>3266</v>
      </c>
      <c r="C660" s="492">
        <v>75</v>
      </c>
      <c r="D660" s="490" t="s">
        <v>2342</v>
      </c>
      <c r="E660" s="2"/>
      <c r="H660" s="509" t="s">
        <v>3267</v>
      </c>
      <c r="I660" s="2"/>
      <c r="J660" s="463"/>
      <c r="K660" s="552"/>
      <c r="O660" s="509" t="s">
        <v>3251</v>
      </c>
      <c r="R660" s="509" t="s">
        <v>30</v>
      </c>
      <c r="AG660" s="509" t="s">
        <v>2514</v>
      </c>
    </row>
    <row r="661" spans="1:33" hidden="1">
      <c r="A661" s="521">
        <f t="shared" si="32"/>
        <v>489</v>
      </c>
      <c r="B661" s="509" t="s">
        <v>3268</v>
      </c>
      <c r="C661" s="492">
        <v>52</v>
      </c>
      <c r="D661" s="490" t="s">
        <v>2342</v>
      </c>
      <c r="E661" s="2"/>
      <c r="H661" s="515" t="s">
        <v>442</v>
      </c>
      <c r="I661" s="491" t="s">
        <v>442</v>
      </c>
      <c r="J661" s="463"/>
      <c r="K661" s="552"/>
      <c r="R661" s="515" t="s">
        <v>442</v>
      </c>
      <c r="AG661" s="509" t="s">
        <v>2514</v>
      </c>
    </row>
    <row r="662" spans="1:33" hidden="1">
      <c r="A662" s="521">
        <f t="shared" si="32"/>
        <v>490</v>
      </c>
      <c r="B662" s="509" t="s">
        <v>3261</v>
      </c>
      <c r="C662" s="492">
        <v>35.25</v>
      </c>
      <c r="D662" s="490" t="s">
        <v>2342</v>
      </c>
      <c r="E662" s="2"/>
      <c r="F662" s="519">
        <v>1</v>
      </c>
      <c r="G662" s="518" t="s">
        <v>2788</v>
      </c>
      <c r="H662" s="509" t="s">
        <v>3269</v>
      </c>
      <c r="I662" s="492">
        <f>C76</f>
        <v>514.62</v>
      </c>
      <c r="J662" s="500" t="s">
        <v>2788</v>
      </c>
      <c r="K662" s="526">
        <f>(F662*I662)</f>
        <v>514.62</v>
      </c>
      <c r="O662" s="509" t="s">
        <v>3254</v>
      </c>
      <c r="R662" s="519">
        <f>SUM(R658:R660)</f>
        <v>19.669999999999998</v>
      </c>
      <c r="AG662" s="509" t="s">
        <v>2514</v>
      </c>
    </row>
    <row r="663" spans="1:33" hidden="1">
      <c r="A663" s="521">
        <f t="shared" si="32"/>
        <v>491</v>
      </c>
      <c r="B663" s="509" t="s">
        <v>3270</v>
      </c>
      <c r="C663" s="492">
        <v>37.5</v>
      </c>
      <c r="D663" s="490" t="s">
        <v>2342</v>
      </c>
      <c r="E663" s="2"/>
      <c r="F663" s="519">
        <v>1</v>
      </c>
      <c r="G663" s="518" t="s">
        <v>2788</v>
      </c>
      <c r="H663" s="509" t="s">
        <v>3237</v>
      </c>
      <c r="I663" s="492">
        <f>C75</f>
        <v>20</v>
      </c>
      <c r="J663" s="500" t="s">
        <v>2788</v>
      </c>
      <c r="K663" s="526">
        <f>(F663*I663)</f>
        <v>20</v>
      </c>
      <c r="R663" s="515" t="s">
        <v>442</v>
      </c>
      <c r="AG663" s="509" t="s">
        <v>2514</v>
      </c>
    </row>
    <row r="664" spans="1:33" hidden="1">
      <c r="A664" s="521">
        <f t="shared" si="32"/>
        <v>492</v>
      </c>
      <c r="B664" s="509" t="s">
        <v>3271</v>
      </c>
      <c r="C664" s="492">
        <v>24</v>
      </c>
      <c r="D664" s="490" t="s">
        <v>2342</v>
      </c>
      <c r="E664" s="2"/>
      <c r="F664" s="519">
        <v>1</v>
      </c>
      <c r="G664" s="518" t="s">
        <v>2346</v>
      </c>
      <c r="H664" s="509" t="s">
        <v>3240</v>
      </c>
      <c r="I664" s="492">
        <v>15</v>
      </c>
      <c r="J664" s="500" t="s">
        <v>2346</v>
      </c>
      <c r="K664" s="526">
        <f>(F664*I664)</f>
        <v>15</v>
      </c>
      <c r="AG664" s="509" t="s">
        <v>2514</v>
      </c>
    </row>
    <row r="665" spans="1:33" hidden="1">
      <c r="A665" s="521">
        <f t="shared" si="32"/>
        <v>493</v>
      </c>
      <c r="B665" s="509" t="s">
        <v>3272</v>
      </c>
      <c r="C665" s="492">
        <v>16</v>
      </c>
      <c r="D665" s="490" t="s">
        <v>2342</v>
      </c>
      <c r="E665" s="2"/>
      <c r="H665" s="509" t="s">
        <v>2347</v>
      </c>
      <c r="I665" s="2"/>
      <c r="J665" s="500" t="s">
        <v>2346</v>
      </c>
      <c r="K665" s="526">
        <v>0</v>
      </c>
      <c r="N665" s="509" t="s">
        <v>575</v>
      </c>
      <c r="O665" s="509" t="s">
        <v>3273</v>
      </c>
      <c r="AG665" s="509" t="s">
        <v>2514</v>
      </c>
    </row>
    <row r="666" spans="1:33" hidden="1">
      <c r="A666" s="521">
        <f t="shared" si="32"/>
        <v>494</v>
      </c>
      <c r="B666" s="509" t="s">
        <v>3274</v>
      </c>
      <c r="C666" s="492">
        <v>18</v>
      </c>
      <c r="D666" s="490" t="s">
        <v>2342</v>
      </c>
      <c r="E666" s="2"/>
      <c r="I666" s="2"/>
      <c r="J666" s="463"/>
      <c r="K666" s="526" t="s">
        <v>442</v>
      </c>
      <c r="O666" s="509" t="s">
        <v>3243</v>
      </c>
      <c r="AG666" s="509" t="s">
        <v>2514</v>
      </c>
    </row>
    <row r="667" spans="1:33" hidden="1">
      <c r="A667" s="521">
        <f t="shared" si="32"/>
        <v>495</v>
      </c>
      <c r="B667" s="509" t="s">
        <v>3275</v>
      </c>
      <c r="C667" s="492">
        <v>6</v>
      </c>
      <c r="D667" s="490" t="s">
        <v>2342</v>
      </c>
      <c r="E667" s="2"/>
      <c r="H667" s="509" t="s">
        <v>2355</v>
      </c>
      <c r="I667" s="2"/>
      <c r="J667" s="463"/>
      <c r="K667" s="526">
        <f>SUM(K662:K665)</f>
        <v>549.62</v>
      </c>
      <c r="O667" s="515" t="s">
        <v>442</v>
      </c>
      <c r="AG667" s="509" t="s">
        <v>2514</v>
      </c>
    </row>
    <row r="668" spans="1:33" hidden="1">
      <c r="A668" s="521">
        <f t="shared" si="32"/>
        <v>496</v>
      </c>
      <c r="B668" s="509" t="s">
        <v>3276</v>
      </c>
      <c r="C668" s="492">
        <v>152.5</v>
      </c>
      <c r="D668" s="490" t="s">
        <v>2205</v>
      </c>
      <c r="E668" s="2"/>
      <c r="H668" s="509" t="s">
        <v>3246</v>
      </c>
      <c r="I668" s="2"/>
      <c r="J668" s="463"/>
      <c r="K668" s="526" t="s">
        <v>29</v>
      </c>
      <c r="M668" s="519">
        <v>1</v>
      </c>
      <c r="N668" s="509" t="s">
        <v>2342</v>
      </c>
      <c r="O668" s="509" t="s">
        <v>3277</v>
      </c>
      <c r="P668" s="519">
        <f>(C384)</f>
        <v>19.3</v>
      </c>
      <c r="Q668" s="509" t="s">
        <v>2342</v>
      </c>
      <c r="R668" s="519">
        <f>(M668*P668)</f>
        <v>19.3</v>
      </c>
      <c r="AG668" s="509" t="s">
        <v>2514</v>
      </c>
    </row>
    <row r="669" spans="1:33" hidden="1">
      <c r="A669" s="521">
        <f t="shared" si="32"/>
        <v>497</v>
      </c>
      <c r="B669" s="509" t="s">
        <v>3278</v>
      </c>
      <c r="C669" s="492">
        <v>108.68</v>
      </c>
      <c r="D669" s="490" t="s">
        <v>2342</v>
      </c>
      <c r="E669" s="2"/>
      <c r="H669" s="509" t="s">
        <v>2354</v>
      </c>
      <c r="I669" s="2"/>
      <c r="J669" s="500" t="s">
        <v>30</v>
      </c>
      <c r="K669" s="526">
        <f>(K667+C19*0.11)</f>
        <v>551.55600000000004</v>
      </c>
      <c r="N669" s="509" t="s">
        <v>2346</v>
      </c>
      <c r="O669" s="509" t="s">
        <v>3249</v>
      </c>
      <c r="Q669" s="509" t="s">
        <v>2346</v>
      </c>
      <c r="R669" s="519">
        <v>2.09</v>
      </c>
      <c r="AG669" s="509" t="s">
        <v>2514</v>
      </c>
    </row>
    <row r="670" spans="1:33" hidden="1">
      <c r="A670" s="521">
        <f t="shared" si="32"/>
        <v>498</v>
      </c>
      <c r="B670" s="509" t="s">
        <v>3279</v>
      </c>
      <c r="C670" s="492">
        <v>119.89</v>
      </c>
      <c r="D670" s="490" t="s">
        <v>2342</v>
      </c>
      <c r="E670" s="2"/>
      <c r="H670" s="509" t="s">
        <v>2362</v>
      </c>
      <c r="I670" s="2"/>
      <c r="J670" s="463"/>
      <c r="K670" s="526">
        <f>(K669+C20*0.11)</f>
        <v>555.428</v>
      </c>
      <c r="O670" s="509" t="s">
        <v>3251</v>
      </c>
      <c r="R670" s="509" t="s">
        <v>30</v>
      </c>
      <c r="AG670" s="509" t="s">
        <v>2514</v>
      </c>
    </row>
    <row r="671" spans="1:33" hidden="1">
      <c r="A671" s="521">
        <f t="shared" si="32"/>
        <v>499</v>
      </c>
      <c r="B671" s="509" t="s">
        <v>3280</v>
      </c>
      <c r="C671" s="492">
        <v>297.44</v>
      </c>
      <c r="D671" s="490" t="s">
        <v>2342</v>
      </c>
      <c r="E671" s="2"/>
      <c r="H671" s="509" t="s">
        <v>2480</v>
      </c>
      <c r="I671" s="2"/>
      <c r="J671" s="463"/>
      <c r="K671" s="526">
        <f>(K670+C21*0.11)</f>
        <v>559.29999999999995</v>
      </c>
      <c r="R671" s="515" t="s">
        <v>442</v>
      </c>
      <c r="AG671" s="509" t="s">
        <v>2690</v>
      </c>
    </row>
    <row r="672" spans="1:33" hidden="1">
      <c r="A672" s="521">
        <f t="shared" si="32"/>
        <v>500</v>
      </c>
      <c r="B672" s="509" t="s">
        <v>3281</v>
      </c>
      <c r="C672" s="492">
        <v>28.6</v>
      </c>
      <c r="D672" s="490" t="s">
        <v>2342</v>
      </c>
      <c r="E672" s="2"/>
      <c r="H672" s="509" t="s">
        <v>2481</v>
      </c>
      <c r="I672" s="2"/>
      <c r="J672" s="463"/>
      <c r="K672" s="526">
        <f>(K671+C21*0.11)</f>
        <v>563.17199999999991</v>
      </c>
      <c r="O672" s="509" t="s">
        <v>3254</v>
      </c>
      <c r="R672" s="519">
        <f>SUM(R668:R670)</f>
        <v>21.39</v>
      </c>
    </row>
    <row r="673" spans="1:33" hidden="1">
      <c r="A673" s="521">
        <f t="shared" si="32"/>
        <v>501</v>
      </c>
      <c r="B673" s="509" t="s">
        <v>3282</v>
      </c>
      <c r="C673" s="492">
        <v>228.86</v>
      </c>
      <c r="D673" s="490" t="s">
        <v>2342</v>
      </c>
      <c r="E673" s="2"/>
      <c r="H673" s="509" t="s">
        <v>3097</v>
      </c>
      <c r="I673" s="2"/>
      <c r="J673" s="463"/>
      <c r="K673" s="526">
        <f>(K672+C21*0.11)</f>
        <v>567.04399999999987</v>
      </c>
      <c r="R673" s="515" t="s">
        <v>442</v>
      </c>
    </row>
    <row r="674" spans="1:33" hidden="1">
      <c r="C674" s="2"/>
      <c r="D674" s="2"/>
      <c r="E674" s="2"/>
      <c r="F674" s="509" t="s">
        <v>30</v>
      </c>
      <c r="I674" s="2"/>
      <c r="J674" s="463"/>
      <c r="K674" s="552"/>
    </row>
    <row r="675" spans="1:33" hidden="1">
      <c r="A675" s="521">
        <f>(A673+1)</f>
        <v>502</v>
      </c>
      <c r="B675" s="509" t="s">
        <v>3283</v>
      </c>
      <c r="C675" s="492">
        <v>70.47</v>
      </c>
      <c r="D675" s="490" t="s">
        <v>2342</v>
      </c>
      <c r="E675" s="2"/>
      <c r="I675" s="2"/>
      <c r="J675" s="463"/>
      <c r="K675" s="552"/>
      <c r="AG675" s="509" t="s">
        <v>2514</v>
      </c>
    </row>
    <row r="676" spans="1:33" hidden="1">
      <c r="A676" s="521">
        <f t="shared" ref="A676:A733" si="34">(A675+1)</f>
        <v>503</v>
      </c>
      <c r="B676" s="509" t="s">
        <v>3284</v>
      </c>
      <c r="C676" s="492">
        <v>133.62</v>
      </c>
      <c r="D676" s="490" t="s">
        <v>2342</v>
      </c>
      <c r="E676" s="2"/>
      <c r="F676" s="510" t="s">
        <v>2609</v>
      </c>
      <c r="H676" s="509" t="s">
        <v>3285</v>
      </c>
      <c r="I676" s="2"/>
      <c r="J676" s="463"/>
      <c r="K676" s="552"/>
      <c r="N676" s="509" t="s">
        <v>575</v>
      </c>
      <c r="O676" s="509" t="s">
        <v>3286</v>
      </c>
      <c r="AG676" s="509" t="s">
        <v>2514</v>
      </c>
    </row>
    <row r="677" spans="1:33" hidden="1">
      <c r="A677" s="521">
        <f t="shared" si="34"/>
        <v>504</v>
      </c>
      <c r="B677" s="509" t="s">
        <v>3287</v>
      </c>
      <c r="C677" s="492">
        <v>133.62</v>
      </c>
      <c r="D677" s="490" t="s">
        <v>2342</v>
      </c>
      <c r="E677" s="2"/>
      <c r="H677" s="509" t="s">
        <v>3288</v>
      </c>
      <c r="I677" s="2"/>
      <c r="J677" s="463"/>
      <c r="K677" s="552"/>
      <c r="O677" s="509" t="s">
        <v>3289</v>
      </c>
      <c r="AG677" s="509" t="s">
        <v>2514</v>
      </c>
    </row>
    <row r="678" spans="1:33" hidden="1">
      <c r="A678" s="521">
        <f t="shared" si="34"/>
        <v>505</v>
      </c>
      <c r="B678" s="509" t="s">
        <v>3290</v>
      </c>
      <c r="C678" s="492">
        <v>215</v>
      </c>
      <c r="D678" s="490" t="s">
        <v>2342</v>
      </c>
      <c r="E678" s="2"/>
      <c r="H678" s="509" t="s">
        <v>3291</v>
      </c>
      <c r="I678" s="2"/>
      <c r="J678" s="463"/>
      <c r="K678" s="552"/>
      <c r="O678" s="515" t="s">
        <v>442</v>
      </c>
      <c r="AG678" s="509" t="s">
        <v>2514</v>
      </c>
    </row>
    <row r="679" spans="1:33" hidden="1">
      <c r="A679" s="521">
        <f t="shared" si="34"/>
        <v>506</v>
      </c>
      <c r="B679" s="509" t="s">
        <v>3292</v>
      </c>
      <c r="C679" s="492">
        <v>215</v>
      </c>
      <c r="D679" s="490" t="s">
        <v>2342</v>
      </c>
      <c r="E679" s="2"/>
      <c r="H679" s="515" t="s">
        <v>442</v>
      </c>
      <c r="I679" s="2"/>
      <c r="J679" s="463"/>
      <c r="K679" s="552"/>
      <c r="M679" s="519">
        <v>1</v>
      </c>
      <c r="N679" s="509" t="s">
        <v>2342</v>
      </c>
      <c r="O679" s="509" t="s">
        <v>3293</v>
      </c>
      <c r="P679" s="519">
        <f>(C392/1*0.3)</f>
        <v>14.613</v>
      </c>
      <c r="Q679" s="509" t="s">
        <v>2342</v>
      </c>
      <c r="R679" s="519">
        <f>(M679*P679)</f>
        <v>14.613</v>
      </c>
      <c r="AG679" s="509" t="s">
        <v>2514</v>
      </c>
    </row>
    <row r="680" spans="1:33" hidden="1">
      <c r="A680" s="521">
        <f t="shared" si="34"/>
        <v>507</v>
      </c>
      <c r="B680" s="509" t="s">
        <v>3294</v>
      </c>
      <c r="C680" s="492">
        <v>107.64</v>
      </c>
      <c r="D680" s="490" t="s">
        <v>2788</v>
      </c>
      <c r="E680" s="2"/>
      <c r="F680" s="519">
        <v>0.4</v>
      </c>
      <c r="G680" s="518" t="s">
        <v>2334</v>
      </c>
      <c r="H680" s="509" t="s">
        <v>3295</v>
      </c>
      <c r="I680" s="492">
        <f>(C267)</f>
        <v>10705</v>
      </c>
      <c r="J680" s="500" t="s">
        <v>2334</v>
      </c>
      <c r="K680" s="526">
        <f>(F680*I680)</f>
        <v>4282</v>
      </c>
      <c r="N680" s="509" t="s">
        <v>2346</v>
      </c>
      <c r="O680" s="509" t="s">
        <v>3249</v>
      </c>
      <c r="Q680" s="509" t="s">
        <v>2346</v>
      </c>
      <c r="R680" s="519">
        <v>1.65</v>
      </c>
      <c r="AG680" s="509" t="s">
        <v>2514</v>
      </c>
    </row>
    <row r="681" spans="1:33" hidden="1">
      <c r="A681" s="521">
        <f t="shared" si="34"/>
        <v>508</v>
      </c>
      <c r="B681" s="509" t="s">
        <v>3296</v>
      </c>
      <c r="C681" s="2"/>
      <c r="D681" s="2"/>
      <c r="E681" s="2"/>
      <c r="F681" s="519">
        <v>0.12</v>
      </c>
      <c r="G681" s="518" t="s">
        <v>2334</v>
      </c>
      <c r="H681" s="509" t="s">
        <v>3297</v>
      </c>
      <c r="I681" s="492">
        <f>(C268)</f>
        <v>9395</v>
      </c>
      <c r="J681" s="500" t="s">
        <v>2334</v>
      </c>
      <c r="K681" s="526">
        <f>(F681*I681)</f>
        <v>1127.3999999999999</v>
      </c>
      <c r="O681" s="509" t="s">
        <v>3251</v>
      </c>
      <c r="R681" s="509" t="s">
        <v>30</v>
      </c>
      <c r="AG681" s="509" t="s">
        <v>2514</v>
      </c>
    </row>
    <row r="682" spans="1:33" hidden="1">
      <c r="A682" s="521">
        <f t="shared" si="34"/>
        <v>509</v>
      </c>
      <c r="B682" s="509" t="s">
        <v>3298</v>
      </c>
      <c r="C682" s="492">
        <v>11.55</v>
      </c>
      <c r="D682" s="490" t="s">
        <v>2342</v>
      </c>
      <c r="E682" s="2"/>
      <c r="H682" s="509" t="s">
        <v>3299</v>
      </c>
      <c r="I682" s="490" t="s">
        <v>30</v>
      </c>
      <c r="J682" s="463"/>
      <c r="K682" s="526" t="s">
        <v>30</v>
      </c>
      <c r="R682" s="515" t="s">
        <v>442</v>
      </c>
      <c r="AG682" s="509" t="s">
        <v>2514</v>
      </c>
    </row>
    <row r="683" spans="1:33" hidden="1">
      <c r="A683" s="521">
        <f t="shared" si="34"/>
        <v>510</v>
      </c>
      <c r="B683" s="509" t="s">
        <v>2947</v>
      </c>
      <c r="C683" s="492">
        <v>16.399999999999999</v>
      </c>
      <c r="D683" s="490" t="s">
        <v>2342</v>
      </c>
      <c r="E683" s="2"/>
      <c r="F683" s="519">
        <v>98.5</v>
      </c>
      <c r="G683" s="518" t="s">
        <v>2205</v>
      </c>
      <c r="H683" s="509" t="s">
        <v>3300</v>
      </c>
      <c r="I683" s="492">
        <f>(C269)</f>
        <v>15</v>
      </c>
      <c r="J683" s="500" t="s">
        <v>2205</v>
      </c>
      <c r="K683" s="526">
        <f>(F683*I683)</f>
        <v>1477.5</v>
      </c>
      <c r="O683" s="509" t="s">
        <v>3254</v>
      </c>
      <c r="R683" s="519">
        <f>SUM(R679:R681)</f>
        <v>16.262999999999998</v>
      </c>
      <c r="AG683" s="509" t="s">
        <v>2514</v>
      </c>
    </row>
    <row r="684" spans="1:33" hidden="1">
      <c r="A684" s="521">
        <f t="shared" si="34"/>
        <v>511</v>
      </c>
      <c r="B684" s="509" t="s">
        <v>2949</v>
      </c>
      <c r="C684" s="492">
        <v>27.85</v>
      </c>
      <c r="D684" s="490" t="s">
        <v>2342</v>
      </c>
      <c r="E684" s="2"/>
      <c r="H684" s="509" t="s">
        <v>3301</v>
      </c>
      <c r="I684" s="490" t="s">
        <v>30</v>
      </c>
      <c r="J684" s="463"/>
      <c r="K684" s="526" t="s">
        <v>2485</v>
      </c>
      <c r="R684" s="515" t="s">
        <v>442</v>
      </c>
      <c r="AG684" s="509" t="s">
        <v>2514</v>
      </c>
    </row>
    <row r="685" spans="1:33" hidden="1">
      <c r="A685" s="521">
        <f t="shared" si="34"/>
        <v>512</v>
      </c>
      <c r="B685" s="509" t="s">
        <v>2950</v>
      </c>
      <c r="C685" s="492">
        <v>49.9</v>
      </c>
      <c r="D685" s="490" t="s">
        <v>2342</v>
      </c>
      <c r="E685" s="2"/>
      <c r="I685" s="2"/>
      <c r="J685" s="463"/>
      <c r="K685" s="526" t="s">
        <v>442</v>
      </c>
      <c r="O685" s="510" t="s">
        <v>3302</v>
      </c>
      <c r="R685" s="509" t="s">
        <v>30</v>
      </c>
      <c r="AG685" s="509" t="s">
        <v>2514</v>
      </c>
    </row>
    <row r="686" spans="1:33" hidden="1">
      <c r="A686" s="521">
        <f t="shared" si="34"/>
        <v>513</v>
      </c>
      <c r="B686" s="509" t="s">
        <v>2952</v>
      </c>
      <c r="C686" s="492">
        <v>69.25</v>
      </c>
      <c r="D686" s="490" t="s">
        <v>2342</v>
      </c>
      <c r="E686" s="2"/>
      <c r="H686" s="509" t="s">
        <v>3303</v>
      </c>
      <c r="I686" s="2"/>
      <c r="J686" s="463"/>
      <c r="K686" s="526">
        <f>SUM(K680:K684)</f>
        <v>6886.9</v>
      </c>
      <c r="M686" s="542"/>
      <c r="O686" s="510" t="s">
        <v>3304</v>
      </c>
      <c r="AG686" s="509" t="s">
        <v>2514</v>
      </c>
    </row>
    <row r="687" spans="1:33" hidden="1">
      <c r="A687" s="521">
        <f t="shared" si="34"/>
        <v>514</v>
      </c>
      <c r="B687" s="509" t="s">
        <v>3305</v>
      </c>
      <c r="C687" s="2"/>
      <c r="D687" s="490" t="s">
        <v>30</v>
      </c>
      <c r="E687" s="2"/>
      <c r="H687" s="509" t="s">
        <v>30</v>
      </c>
      <c r="I687" s="2"/>
      <c r="J687" s="463"/>
      <c r="K687" s="526" t="s">
        <v>442</v>
      </c>
      <c r="M687" s="510" t="s">
        <v>2965</v>
      </c>
      <c r="N687" s="509" t="s">
        <v>2365</v>
      </c>
      <c r="O687" s="509" t="s">
        <v>3306</v>
      </c>
      <c r="AG687" s="509" t="s">
        <v>2514</v>
      </c>
    </row>
    <row r="688" spans="1:33" hidden="1">
      <c r="A688" s="521">
        <f t="shared" si="34"/>
        <v>515</v>
      </c>
      <c r="B688" s="509" t="s">
        <v>2906</v>
      </c>
      <c r="C688" s="492">
        <v>20</v>
      </c>
      <c r="D688" s="490" t="s">
        <v>2342</v>
      </c>
      <c r="E688" s="2"/>
      <c r="F688" s="519">
        <v>10</v>
      </c>
      <c r="G688" s="518" t="s">
        <v>2788</v>
      </c>
      <c r="H688" s="509" t="s">
        <v>3307</v>
      </c>
      <c r="I688" s="492">
        <f>(K686/50)</f>
        <v>137.738</v>
      </c>
      <c r="J688" s="500" t="s">
        <v>2788</v>
      </c>
      <c r="K688" s="526">
        <f>(F688*I688)</f>
        <v>1377.38</v>
      </c>
      <c r="O688" s="515" t="s">
        <v>442</v>
      </c>
      <c r="AG688" s="509" t="s">
        <v>2514</v>
      </c>
    </row>
    <row r="689" spans="1:33" hidden="1">
      <c r="A689" s="521">
        <f t="shared" si="34"/>
        <v>516</v>
      </c>
      <c r="B689" s="509" t="s">
        <v>3308</v>
      </c>
      <c r="C689" s="492">
        <v>45</v>
      </c>
      <c r="D689" s="490" t="s">
        <v>2342</v>
      </c>
      <c r="E689" s="2"/>
      <c r="F689" s="519">
        <v>3.8</v>
      </c>
      <c r="G689" s="518" t="s">
        <v>2359</v>
      </c>
      <c r="H689" s="509" t="s">
        <v>3309</v>
      </c>
      <c r="I689" s="492">
        <f>(C16)</f>
        <v>150</v>
      </c>
      <c r="J689" s="500" t="s">
        <v>2359</v>
      </c>
      <c r="K689" s="526">
        <f>(F689*I689)</f>
        <v>570</v>
      </c>
      <c r="M689" s="542">
        <v>2.69E-2</v>
      </c>
      <c r="N689" s="509" t="s">
        <v>2334</v>
      </c>
      <c r="O689" s="509" t="s">
        <v>3310</v>
      </c>
      <c r="P689" s="519">
        <f>C86+2500</f>
        <v>23105</v>
      </c>
      <c r="Q689" s="509" t="s">
        <v>2334</v>
      </c>
      <c r="R689" s="519">
        <f t="shared" ref="R689:R695" si="35">M689*P689</f>
        <v>621.52449999999999</v>
      </c>
      <c r="AG689" s="509" t="s">
        <v>2514</v>
      </c>
    </row>
    <row r="690" spans="1:33" hidden="1">
      <c r="A690" s="521">
        <f t="shared" si="34"/>
        <v>517</v>
      </c>
      <c r="B690" s="509" t="s">
        <v>3311</v>
      </c>
      <c r="C690" s="2"/>
      <c r="D690" s="490" t="s">
        <v>2485</v>
      </c>
      <c r="E690" s="2"/>
      <c r="F690" s="519">
        <v>5.4</v>
      </c>
      <c r="G690" s="518" t="s">
        <v>2359</v>
      </c>
      <c r="H690" s="509" t="s">
        <v>2344</v>
      </c>
      <c r="I690" s="492">
        <f>(C12)</f>
        <v>95</v>
      </c>
      <c r="J690" s="500" t="s">
        <v>2359</v>
      </c>
      <c r="K690" s="526">
        <f>(F690*I690)</f>
        <v>513</v>
      </c>
      <c r="M690" s="542">
        <v>1.2949999999999999</v>
      </c>
      <c r="N690" s="509" t="s">
        <v>2788</v>
      </c>
      <c r="O690" s="509" t="s">
        <v>3312</v>
      </c>
      <c r="P690" s="519">
        <f>C753</f>
        <v>381.37</v>
      </c>
      <c r="Q690" s="509" t="s">
        <v>2788</v>
      </c>
      <c r="R690" s="519">
        <f t="shared" si="35"/>
        <v>493.87414999999999</v>
      </c>
      <c r="AG690" s="509" t="s">
        <v>2514</v>
      </c>
    </row>
    <row r="691" spans="1:33" hidden="1">
      <c r="A691" s="521">
        <f t="shared" si="34"/>
        <v>518</v>
      </c>
      <c r="B691" s="509" t="s">
        <v>2906</v>
      </c>
      <c r="C691" s="492">
        <v>19.09</v>
      </c>
      <c r="D691" s="490" t="s">
        <v>2342</v>
      </c>
      <c r="E691" s="2"/>
      <c r="G691" s="518" t="s">
        <v>2346</v>
      </c>
      <c r="H691" s="509" t="s">
        <v>3313</v>
      </c>
      <c r="I691" s="2"/>
      <c r="J691" s="500" t="s">
        <v>2346</v>
      </c>
      <c r="K691" s="526">
        <v>5</v>
      </c>
      <c r="M691" s="542">
        <v>1.8149999999999999</v>
      </c>
      <c r="N691" s="509" t="s">
        <v>2788</v>
      </c>
      <c r="O691" s="509" t="s">
        <v>2812</v>
      </c>
      <c r="P691" s="519">
        <f>C31</f>
        <v>342</v>
      </c>
      <c r="Q691" s="509" t="s">
        <v>2788</v>
      </c>
      <c r="R691" s="519">
        <f t="shared" si="35"/>
        <v>620.73</v>
      </c>
      <c r="AG691" s="509" t="s">
        <v>2514</v>
      </c>
    </row>
    <row r="692" spans="1:33" hidden="1">
      <c r="A692" s="521">
        <f t="shared" si="34"/>
        <v>519</v>
      </c>
      <c r="B692" s="509" t="s">
        <v>3308</v>
      </c>
      <c r="C692" s="492">
        <v>50.66</v>
      </c>
      <c r="D692" s="490" t="s">
        <v>2342</v>
      </c>
      <c r="E692" s="2"/>
      <c r="I692" s="2"/>
      <c r="J692" s="463"/>
      <c r="K692" s="526" t="s">
        <v>442</v>
      </c>
      <c r="M692" s="519">
        <v>2</v>
      </c>
      <c r="N692" s="509" t="s">
        <v>2342</v>
      </c>
      <c r="O692" s="509" t="s">
        <v>3314</v>
      </c>
      <c r="P692" s="519">
        <f>C298</f>
        <v>10.5</v>
      </c>
      <c r="Q692" s="509" t="s">
        <v>2342</v>
      </c>
      <c r="R692" s="519">
        <f t="shared" si="35"/>
        <v>21</v>
      </c>
      <c r="AG692" s="509" t="s">
        <v>2514</v>
      </c>
    </row>
    <row r="693" spans="1:33" hidden="1">
      <c r="A693" s="521">
        <f t="shared" si="34"/>
        <v>520</v>
      </c>
      <c r="B693" s="509" t="s">
        <v>3315</v>
      </c>
      <c r="C693" s="492">
        <v>1183.82</v>
      </c>
      <c r="D693" s="490" t="s">
        <v>2788</v>
      </c>
      <c r="E693" s="2"/>
      <c r="H693" s="509" t="s">
        <v>2358</v>
      </c>
      <c r="I693" s="2"/>
      <c r="J693" s="463"/>
      <c r="K693" s="526">
        <f>SUM(K688:K691)</f>
        <v>2465.38</v>
      </c>
      <c r="M693" s="519">
        <v>3</v>
      </c>
      <c r="N693" s="509" t="s">
        <v>2342</v>
      </c>
      <c r="O693" s="509" t="s">
        <v>3316</v>
      </c>
      <c r="P693" s="519">
        <f>C294</f>
        <v>8.5</v>
      </c>
      <c r="Q693" s="509" t="s">
        <v>2342</v>
      </c>
      <c r="R693" s="519">
        <f t="shared" si="35"/>
        <v>25.5</v>
      </c>
      <c r="AG693" s="509" t="s">
        <v>2514</v>
      </c>
    </row>
    <row r="694" spans="1:33" hidden="1">
      <c r="A694" s="521">
        <f t="shared" si="34"/>
        <v>521</v>
      </c>
      <c r="B694" s="509" t="s">
        <v>3317</v>
      </c>
      <c r="C694" s="492">
        <v>1605</v>
      </c>
      <c r="D694" s="490" t="s">
        <v>2788</v>
      </c>
      <c r="E694" s="2"/>
      <c r="I694" s="2"/>
      <c r="J694" s="463"/>
      <c r="K694" s="526" t="s">
        <v>442</v>
      </c>
      <c r="M694" s="519">
        <v>1</v>
      </c>
      <c r="N694" s="509" t="s">
        <v>2342</v>
      </c>
      <c r="O694" s="509" t="s">
        <v>3318</v>
      </c>
      <c r="P694" s="519">
        <f>C300</f>
        <v>21</v>
      </c>
      <c r="Q694" s="509" t="s">
        <v>2342</v>
      </c>
      <c r="R694" s="519">
        <f t="shared" si="35"/>
        <v>21</v>
      </c>
      <c r="AG694" s="509" t="s">
        <v>2514</v>
      </c>
    </row>
    <row r="695" spans="1:33" hidden="1">
      <c r="A695" s="521">
        <f t="shared" si="34"/>
        <v>522</v>
      </c>
      <c r="B695" s="509" t="s">
        <v>3319</v>
      </c>
      <c r="C695" s="490" t="s">
        <v>3320</v>
      </c>
      <c r="D695" s="490" t="s">
        <v>3321</v>
      </c>
      <c r="E695" s="2"/>
      <c r="H695" s="509" t="s">
        <v>2355</v>
      </c>
      <c r="I695" s="2"/>
      <c r="J695" s="463"/>
      <c r="K695" s="526">
        <f>(K693/10)</f>
        <v>246.53800000000001</v>
      </c>
      <c r="M695" s="519">
        <v>1</v>
      </c>
      <c r="N695" s="509" t="s">
        <v>2342</v>
      </c>
      <c r="O695" s="509" t="s">
        <v>2816</v>
      </c>
      <c r="P695" s="519">
        <f>C302</f>
        <v>4</v>
      </c>
      <c r="Q695" s="509" t="s">
        <v>2342</v>
      </c>
      <c r="R695" s="519">
        <f t="shared" si="35"/>
        <v>4</v>
      </c>
      <c r="AG695" s="509" t="s">
        <v>2514</v>
      </c>
    </row>
    <row r="696" spans="1:33" hidden="1">
      <c r="A696" s="521">
        <f t="shared" si="34"/>
        <v>523</v>
      </c>
      <c r="B696" s="509" t="s">
        <v>3322</v>
      </c>
      <c r="C696" s="492">
        <v>147.6</v>
      </c>
      <c r="D696" s="490" t="s">
        <v>2205</v>
      </c>
      <c r="E696" s="2"/>
      <c r="I696" s="2"/>
      <c r="J696" s="463"/>
      <c r="K696" s="526" t="s">
        <v>29</v>
      </c>
      <c r="N696" s="509" t="s">
        <v>2346</v>
      </c>
      <c r="O696" s="509" t="s">
        <v>2347</v>
      </c>
      <c r="Q696" s="509" t="s">
        <v>2346</v>
      </c>
      <c r="R696" s="519">
        <v>0</v>
      </c>
      <c r="AG696" s="509" t="s">
        <v>2514</v>
      </c>
    </row>
    <row r="697" spans="1:33" hidden="1">
      <c r="A697" s="521">
        <f t="shared" si="34"/>
        <v>524</v>
      </c>
      <c r="B697" s="509" t="s">
        <v>3323</v>
      </c>
      <c r="C697" s="492">
        <v>147.6</v>
      </c>
      <c r="D697" s="490" t="s">
        <v>2205</v>
      </c>
      <c r="E697" s="2"/>
      <c r="I697" s="2"/>
      <c r="J697" s="463"/>
      <c r="K697" s="552"/>
      <c r="R697" s="515" t="s">
        <v>442</v>
      </c>
      <c r="AG697" s="509" t="s">
        <v>2514</v>
      </c>
    </row>
    <row r="698" spans="1:33" hidden="1">
      <c r="A698" s="521">
        <f t="shared" si="34"/>
        <v>525</v>
      </c>
      <c r="B698" s="509" t="s">
        <v>3324</v>
      </c>
      <c r="C698" s="492">
        <v>147.6</v>
      </c>
      <c r="D698" s="490" t="s">
        <v>2205</v>
      </c>
      <c r="E698" s="2"/>
      <c r="F698" s="510" t="s">
        <v>2614</v>
      </c>
      <c r="G698" s="518" t="s">
        <v>575</v>
      </c>
      <c r="H698" s="509" t="s">
        <v>3325</v>
      </c>
      <c r="I698" s="2"/>
      <c r="J698" s="463"/>
      <c r="K698" s="552"/>
      <c r="O698" s="510" t="s">
        <v>3326</v>
      </c>
      <c r="R698" s="519">
        <f>SUM(R689:R696)</f>
        <v>1807.6286500000001</v>
      </c>
      <c r="AG698" s="509" t="s">
        <v>2514</v>
      </c>
    </row>
    <row r="699" spans="1:33" hidden="1">
      <c r="A699" s="521">
        <f t="shared" si="34"/>
        <v>526</v>
      </c>
      <c r="B699" s="509" t="s">
        <v>3327</v>
      </c>
      <c r="C699" s="492">
        <v>1250</v>
      </c>
      <c r="D699" s="490" t="s">
        <v>2788</v>
      </c>
      <c r="E699" s="2"/>
      <c r="H699" s="509" t="s">
        <v>3328</v>
      </c>
      <c r="I699" s="2"/>
      <c r="J699" s="463"/>
      <c r="K699" s="552"/>
      <c r="R699" s="515" t="s">
        <v>442</v>
      </c>
      <c r="AG699" s="509" t="s">
        <v>2514</v>
      </c>
    </row>
    <row r="700" spans="1:33" hidden="1">
      <c r="A700" s="521">
        <f t="shared" si="34"/>
        <v>527</v>
      </c>
      <c r="B700" s="509" t="s">
        <v>3329</v>
      </c>
      <c r="C700" s="492">
        <v>1250</v>
      </c>
      <c r="D700" s="490" t="s">
        <v>2788</v>
      </c>
      <c r="E700" s="2"/>
      <c r="H700" s="509" t="s">
        <v>3330</v>
      </c>
      <c r="I700" s="2"/>
      <c r="J700" s="463"/>
      <c r="K700" s="552"/>
      <c r="N700" s="509" t="s">
        <v>30</v>
      </c>
      <c r="O700" s="510" t="s">
        <v>2355</v>
      </c>
      <c r="R700" s="519">
        <f>R698/M690</f>
        <v>1395.8522393822395</v>
      </c>
      <c r="AG700" s="509" t="s">
        <v>2514</v>
      </c>
    </row>
    <row r="701" spans="1:33" hidden="1">
      <c r="A701" s="521">
        <f t="shared" si="34"/>
        <v>528</v>
      </c>
      <c r="B701" s="509" t="s">
        <v>3331</v>
      </c>
      <c r="C701" s="492">
        <v>1250</v>
      </c>
      <c r="D701" s="490" t="s">
        <v>2788</v>
      </c>
      <c r="E701" s="2"/>
      <c r="H701" s="509" t="s">
        <v>3332</v>
      </c>
      <c r="I701" s="2"/>
      <c r="J701" s="463"/>
      <c r="K701" s="552"/>
      <c r="R701" s="515" t="s">
        <v>29</v>
      </c>
      <c r="AG701" s="509" t="s">
        <v>2514</v>
      </c>
    </row>
    <row r="702" spans="1:33" hidden="1">
      <c r="A702" s="521">
        <f t="shared" si="34"/>
        <v>529</v>
      </c>
      <c r="B702" s="509" t="s">
        <v>3333</v>
      </c>
      <c r="C702" s="492">
        <v>1250</v>
      </c>
      <c r="D702" s="490" t="s">
        <v>2788</v>
      </c>
      <c r="E702" s="2"/>
      <c r="H702" s="509" t="s">
        <v>3334</v>
      </c>
      <c r="I702" s="2"/>
      <c r="J702" s="463"/>
      <c r="K702" s="552"/>
      <c r="M702" s="510" t="s">
        <v>2965</v>
      </c>
      <c r="N702" s="509" t="s">
        <v>3335</v>
      </c>
      <c r="O702" s="509" t="s">
        <v>3336</v>
      </c>
      <c r="AG702" s="509" t="s">
        <v>2514</v>
      </c>
    </row>
    <row r="703" spans="1:33" hidden="1">
      <c r="A703" s="521">
        <f t="shared" si="34"/>
        <v>530</v>
      </c>
      <c r="B703" s="509" t="s">
        <v>3337</v>
      </c>
      <c r="C703" s="492">
        <v>1250</v>
      </c>
      <c r="D703" s="490" t="s">
        <v>2788</v>
      </c>
      <c r="E703" s="2"/>
      <c r="H703" s="509" t="s">
        <v>3338</v>
      </c>
      <c r="I703" s="2"/>
      <c r="J703" s="463"/>
      <c r="K703" s="552"/>
      <c r="O703" s="515" t="s">
        <v>442</v>
      </c>
      <c r="AG703" s="509" t="s">
        <v>2514</v>
      </c>
    </row>
    <row r="704" spans="1:33" hidden="1">
      <c r="A704" s="521">
        <f t="shared" si="34"/>
        <v>531</v>
      </c>
      <c r="B704" s="509" t="s">
        <v>3339</v>
      </c>
      <c r="C704" s="492">
        <v>1250</v>
      </c>
      <c r="D704" s="490" t="s">
        <v>2788</v>
      </c>
      <c r="E704" s="2"/>
      <c r="H704" s="509" t="s">
        <v>3340</v>
      </c>
      <c r="I704" s="2"/>
      <c r="J704" s="463"/>
      <c r="K704" s="552"/>
      <c r="M704" s="542">
        <v>2.5499999999999998E-2</v>
      </c>
      <c r="N704" s="509" t="s">
        <v>2334</v>
      </c>
      <c r="O704" s="509" t="s">
        <v>3310</v>
      </c>
      <c r="P704" s="519">
        <f>C86+2500</f>
        <v>23105</v>
      </c>
      <c r="Q704" s="509" t="s">
        <v>2334</v>
      </c>
      <c r="R704" s="519">
        <f t="shared" ref="R704:R710" si="36">M704*P704</f>
        <v>589.17750000000001</v>
      </c>
      <c r="AG704" s="509" t="s">
        <v>2514</v>
      </c>
    </row>
    <row r="705" spans="1:33" hidden="1">
      <c r="A705" s="521">
        <f t="shared" si="34"/>
        <v>532</v>
      </c>
      <c r="B705" s="509" t="s">
        <v>3341</v>
      </c>
      <c r="C705" s="492">
        <v>1250</v>
      </c>
      <c r="D705" s="490" t="s">
        <v>2788</v>
      </c>
      <c r="E705" s="2"/>
      <c r="H705" s="515" t="s">
        <v>442</v>
      </c>
      <c r="I705" s="491" t="s">
        <v>442</v>
      </c>
      <c r="J705" s="500" t="s">
        <v>442</v>
      </c>
      <c r="K705" s="552"/>
      <c r="M705" s="542">
        <v>1.1299999999999999</v>
      </c>
      <c r="N705" s="509" t="s">
        <v>2788</v>
      </c>
      <c r="O705" s="509" t="s">
        <v>3312</v>
      </c>
      <c r="P705" s="519">
        <f>C753</f>
        <v>381.37</v>
      </c>
      <c r="Q705" s="509" t="s">
        <v>2788</v>
      </c>
      <c r="R705" s="519">
        <f t="shared" si="36"/>
        <v>430.94809999999995</v>
      </c>
      <c r="AG705" s="509" t="s">
        <v>2514</v>
      </c>
    </row>
    <row r="706" spans="1:33" hidden="1">
      <c r="A706" s="521">
        <f t="shared" si="34"/>
        <v>533</v>
      </c>
      <c r="B706" s="509" t="s">
        <v>3342</v>
      </c>
      <c r="C706" s="492">
        <v>1250</v>
      </c>
      <c r="D706" s="490" t="s">
        <v>2788</v>
      </c>
      <c r="E706" s="2"/>
      <c r="F706" s="519">
        <v>13.46</v>
      </c>
      <c r="G706" s="518" t="s">
        <v>1973</v>
      </c>
      <c r="H706" s="509" t="s">
        <v>3343</v>
      </c>
      <c r="I706" s="492">
        <f>C34/1000</f>
        <v>30</v>
      </c>
      <c r="J706" s="500" t="s">
        <v>1973</v>
      </c>
      <c r="K706" s="526">
        <f>(F706*I706)</f>
        <v>403.8</v>
      </c>
      <c r="M706" s="542">
        <v>1.6191</v>
      </c>
      <c r="N706" s="509" t="s">
        <v>2788</v>
      </c>
      <c r="O706" s="509" t="s">
        <v>2812</v>
      </c>
      <c r="P706" s="519">
        <f>C31</f>
        <v>342</v>
      </c>
      <c r="Q706" s="509" t="s">
        <v>2788</v>
      </c>
      <c r="R706" s="519">
        <f t="shared" si="36"/>
        <v>553.73220000000003</v>
      </c>
      <c r="AG706" s="509" t="s">
        <v>2514</v>
      </c>
    </row>
    <row r="707" spans="1:33" hidden="1">
      <c r="A707" s="521">
        <f t="shared" si="34"/>
        <v>534</v>
      </c>
      <c r="B707" s="509" t="s">
        <v>3344</v>
      </c>
      <c r="C707" s="492">
        <v>1250</v>
      </c>
      <c r="D707" s="490" t="s">
        <v>2788</v>
      </c>
      <c r="E707" s="2"/>
      <c r="H707" s="509" t="s">
        <v>3345</v>
      </c>
      <c r="I707" s="2"/>
      <c r="J707" s="463"/>
      <c r="K707" s="552"/>
      <c r="M707" s="519">
        <v>2</v>
      </c>
      <c r="N707" s="509" t="s">
        <v>2342</v>
      </c>
      <c r="O707" s="509" t="s">
        <v>3314</v>
      </c>
      <c r="P707" s="519">
        <f>C298</f>
        <v>10.5</v>
      </c>
      <c r="Q707" s="509" t="s">
        <v>2342</v>
      </c>
      <c r="R707" s="519">
        <f t="shared" si="36"/>
        <v>21</v>
      </c>
      <c r="AG707" s="509" t="s">
        <v>2514</v>
      </c>
    </row>
    <row r="708" spans="1:33" hidden="1">
      <c r="A708" s="521">
        <f t="shared" si="34"/>
        <v>535</v>
      </c>
      <c r="B708" s="509" t="s">
        <v>3346</v>
      </c>
      <c r="C708" s="492">
        <v>1250</v>
      </c>
      <c r="D708" s="490" t="s">
        <v>2788</v>
      </c>
      <c r="E708" s="2"/>
      <c r="F708" s="519">
        <v>4</v>
      </c>
      <c r="G708" s="518" t="s">
        <v>1973</v>
      </c>
      <c r="H708" s="509" t="s">
        <v>3347</v>
      </c>
      <c r="I708" s="492">
        <f>D34/1000</f>
        <v>30</v>
      </c>
      <c r="J708" s="500" t="s">
        <v>1973</v>
      </c>
      <c r="K708" s="526">
        <f>(F708*I708)</f>
        <v>120</v>
      </c>
      <c r="M708" s="519">
        <v>3</v>
      </c>
      <c r="N708" s="509" t="s">
        <v>2342</v>
      </c>
      <c r="O708" s="509" t="s">
        <v>3316</v>
      </c>
      <c r="P708" s="519">
        <f>C294</f>
        <v>8.5</v>
      </c>
      <c r="Q708" s="509" t="s">
        <v>2342</v>
      </c>
      <c r="R708" s="519">
        <f t="shared" si="36"/>
        <v>25.5</v>
      </c>
      <c r="AG708" s="509" t="s">
        <v>2514</v>
      </c>
    </row>
    <row r="709" spans="1:33" hidden="1">
      <c r="A709" s="521">
        <f t="shared" si="34"/>
        <v>536</v>
      </c>
      <c r="B709" s="509" t="s">
        <v>3348</v>
      </c>
      <c r="C709" s="492">
        <v>1250</v>
      </c>
      <c r="D709" s="490" t="s">
        <v>2788</v>
      </c>
      <c r="E709" s="2"/>
      <c r="H709" s="509" t="s">
        <v>3349</v>
      </c>
      <c r="I709" s="2"/>
      <c r="J709" s="463"/>
      <c r="K709" s="552"/>
      <c r="M709" s="519">
        <v>1</v>
      </c>
      <c r="N709" s="509" t="s">
        <v>2342</v>
      </c>
      <c r="O709" s="509" t="s">
        <v>3318</v>
      </c>
      <c r="P709" s="519">
        <f>C300</f>
        <v>21</v>
      </c>
      <c r="Q709" s="509" t="s">
        <v>2342</v>
      </c>
      <c r="R709" s="519">
        <f t="shared" si="36"/>
        <v>21</v>
      </c>
      <c r="AG709" s="509" t="s">
        <v>2514</v>
      </c>
    </row>
    <row r="710" spans="1:33" hidden="1">
      <c r="A710" s="521">
        <f t="shared" si="34"/>
        <v>537</v>
      </c>
      <c r="B710" s="509" t="s">
        <v>3341</v>
      </c>
      <c r="C710" s="492">
        <v>1250</v>
      </c>
      <c r="D710" s="490" t="s">
        <v>2788</v>
      </c>
      <c r="E710" s="2"/>
      <c r="F710" s="519"/>
      <c r="G710" s="518" t="s">
        <v>2346</v>
      </c>
      <c r="H710" s="509" t="s">
        <v>3350</v>
      </c>
      <c r="I710" s="2"/>
      <c r="J710" s="500" t="s">
        <v>2346</v>
      </c>
      <c r="K710" s="526">
        <v>40</v>
      </c>
      <c r="M710" s="519">
        <v>1</v>
      </c>
      <c r="N710" s="509" t="s">
        <v>2342</v>
      </c>
      <c r="O710" s="509" t="s">
        <v>2816</v>
      </c>
      <c r="P710" s="519">
        <f>C302</f>
        <v>4</v>
      </c>
      <c r="Q710" s="509" t="s">
        <v>2342</v>
      </c>
      <c r="R710" s="519">
        <f t="shared" si="36"/>
        <v>4</v>
      </c>
      <c r="AG710" s="509" t="s">
        <v>2514</v>
      </c>
    </row>
    <row r="711" spans="1:33" hidden="1">
      <c r="A711" s="521">
        <f t="shared" si="34"/>
        <v>538</v>
      </c>
      <c r="B711" s="509" t="s">
        <v>3351</v>
      </c>
      <c r="C711" s="2"/>
      <c r="D711" s="490" t="s">
        <v>30</v>
      </c>
      <c r="E711" s="2"/>
      <c r="H711" s="509" t="s">
        <v>3352</v>
      </c>
      <c r="I711" s="2"/>
      <c r="J711" s="463"/>
      <c r="K711" s="526" t="s">
        <v>442</v>
      </c>
      <c r="N711" s="509" t="s">
        <v>2346</v>
      </c>
      <c r="O711" s="509" t="s">
        <v>2347</v>
      </c>
      <c r="Q711" s="509" t="s">
        <v>2346</v>
      </c>
      <c r="R711" s="519">
        <v>0</v>
      </c>
      <c r="AG711" s="509" t="s">
        <v>2514</v>
      </c>
    </row>
    <row r="712" spans="1:33" hidden="1">
      <c r="A712" s="521">
        <f t="shared" si="34"/>
        <v>539</v>
      </c>
      <c r="B712" s="509" t="s">
        <v>3353</v>
      </c>
      <c r="C712" s="492">
        <v>65</v>
      </c>
      <c r="D712" s="490" t="s">
        <v>3321</v>
      </c>
      <c r="E712" s="2"/>
      <c r="H712" s="510" t="s">
        <v>3354</v>
      </c>
      <c r="I712" s="2"/>
      <c r="J712" s="463"/>
      <c r="K712" s="526">
        <f>SUM(K706:K710)</f>
        <v>563.79999999999995</v>
      </c>
      <c r="R712" s="515" t="s">
        <v>442</v>
      </c>
      <c r="AG712" s="509" t="s">
        <v>2514</v>
      </c>
    </row>
    <row r="713" spans="1:33" hidden="1">
      <c r="A713" s="521">
        <f t="shared" si="34"/>
        <v>540</v>
      </c>
      <c r="B713" s="509" t="s">
        <v>3355</v>
      </c>
      <c r="C713" s="492">
        <v>64.55</v>
      </c>
      <c r="D713" s="490" t="s">
        <v>3321</v>
      </c>
      <c r="E713" s="2"/>
      <c r="I713" s="2"/>
      <c r="J713" s="463"/>
      <c r="K713" s="526" t="s">
        <v>442</v>
      </c>
      <c r="O713" s="510" t="s">
        <v>3356</v>
      </c>
      <c r="R713" s="519">
        <f>SUM(R704:R711)</f>
        <v>1645.3578</v>
      </c>
      <c r="AG713" s="509" t="s">
        <v>2514</v>
      </c>
    </row>
    <row r="714" spans="1:33" hidden="1">
      <c r="A714" s="521">
        <f t="shared" si="34"/>
        <v>541</v>
      </c>
      <c r="B714" s="509" t="s">
        <v>3357</v>
      </c>
      <c r="C714" s="492">
        <v>110.95</v>
      </c>
      <c r="D714" s="490" t="s">
        <v>3321</v>
      </c>
      <c r="E714" s="2"/>
      <c r="H714" s="510" t="s">
        <v>3358</v>
      </c>
      <c r="I714" s="2"/>
      <c r="J714" s="463"/>
      <c r="K714" s="526">
        <f>K712/40</f>
        <v>14.094999999999999</v>
      </c>
      <c r="R714" s="515" t="s">
        <v>442</v>
      </c>
      <c r="AG714" s="509" t="s">
        <v>2514</v>
      </c>
    </row>
    <row r="715" spans="1:33" hidden="1">
      <c r="A715" s="521">
        <f t="shared" si="34"/>
        <v>542</v>
      </c>
      <c r="B715" s="509" t="s">
        <v>3359</v>
      </c>
      <c r="C715" s="492">
        <v>399</v>
      </c>
      <c r="D715" s="490" t="s">
        <v>3321</v>
      </c>
      <c r="E715" s="2"/>
      <c r="I715" s="2"/>
      <c r="J715" s="463"/>
      <c r="K715" s="526" t="s">
        <v>442</v>
      </c>
      <c r="O715" s="510" t="s">
        <v>2355</v>
      </c>
      <c r="R715" s="519">
        <f>R713/M706</f>
        <v>1016.2175282564388</v>
      </c>
      <c r="AG715" s="509" t="s">
        <v>2514</v>
      </c>
    </row>
    <row r="716" spans="1:33" hidden="1">
      <c r="A716" s="521">
        <f t="shared" si="34"/>
        <v>543</v>
      </c>
      <c r="B716" s="509" t="s">
        <v>3360</v>
      </c>
      <c r="C716" s="492">
        <v>92</v>
      </c>
      <c r="D716" s="490" t="s">
        <v>3321</v>
      </c>
      <c r="E716" s="2"/>
      <c r="H716" s="509" t="s">
        <v>3361</v>
      </c>
      <c r="I716" s="2"/>
      <c r="J716" s="463"/>
      <c r="K716" s="552"/>
      <c r="R716" s="515" t="s">
        <v>29</v>
      </c>
      <c r="AG716" s="509" t="s">
        <v>2514</v>
      </c>
    </row>
    <row r="717" spans="1:33" hidden="1">
      <c r="A717" s="521">
        <f t="shared" si="34"/>
        <v>544</v>
      </c>
      <c r="B717" s="509" t="s">
        <v>3362</v>
      </c>
      <c r="C717" s="492">
        <v>174.24</v>
      </c>
      <c r="D717" s="490" t="s">
        <v>3321</v>
      </c>
      <c r="E717" s="2"/>
      <c r="H717" s="509" t="s">
        <v>3363</v>
      </c>
      <c r="I717" s="2"/>
      <c r="J717" s="463"/>
      <c r="K717" s="552"/>
      <c r="AG717" s="509" t="s">
        <v>2514</v>
      </c>
    </row>
    <row r="718" spans="1:33" hidden="1">
      <c r="A718" s="521">
        <f t="shared" si="34"/>
        <v>545</v>
      </c>
      <c r="B718" s="509" t="s">
        <v>3364</v>
      </c>
      <c r="C718" s="492">
        <v>215.06</v>
      </c>
      <c r="D718" s="490" t="s">
        <v>3321</v>
      </c>
      <c r="E718" s="2"/>
      <c r="H718" s="509" t="s">
        <v>3365</v>
      </c>
      <c r="I718" s="2"/>
      <c r="J718" s="463"/>
      <c r="K718" s="552"/>
      <c r="M718" s="510" t="s">
        <v>2965</v>
      </c>
      <c r="N718" s="509" t="s">
        <v>3366</v>
      </c>
      <c r="O718" s="509" t="s">
        <v>3367</v>
      </c>
      <c r="AG718" s="509" t="s">
        <v>2514</v>
      </c>
    </row>
    <row r="719" spans="1:33" hidden="1">
      <c r="A719" s="521">
        <f t="shared" si="34"/>
        <v>546</v>
      </c>
      <c r="B719" s="509" t="s">
        <v>3368</v>
      </c>
      <c r="C719" s="492">
        <v>97.24</v>
      </c>
      <c r="D719" s="490" t="s">
        <v>3321</v>
      </c>
      <c r="E719" s="2"/>
      <c r="I719" s="2"/>
      <c r="J719" s="463"/>
      <c r="K719" s="552"/>
      <c r="O719" s="515" t="s">
        <v>442</v>
      </c>
      <c r="AG719" s="509" t="s">
        <v>2514</v>
      </c>
    </row>
    <row r="720" spans="1:33" hidden="1">
      <c r="A720" s="521">
        <f t="shared" si="34"/>
        <v>547</v>
      </c>
      <c r="B720" s="509" t="s">
        <v>3369</v>
      </c>
      <c r="C720" s="492">
        <v>168.96</v>
      </c>
      <c r="D720" s="490" t="s">
        <v>3321</v>
      </c>
      <c r="E720" s="2"/>
      <c r="F720" s="519">
        <v>19</v>
      </c>
      <c r="G720" s="518" t="s">
        <v>13</v>
      </c>
      <c r="H720" s="509" t="s">
        <v>3370</v>
      </c>
      <c r="I720" s="492">
        <f>K714</f>
        <v>14.094999999999999</v>
      </c>
      <c r="J720" s="500" t="s">
        <v>3371</v>
      </c>
      <c r="K720" s="526">
        <f>(F720*I720)</f>
        <v>267.80499999999995</v>
      </c>
      <c r="M720" s="542">
        <v>2.35E-2</v>
      </c>
      <c r="N720" s="509" t="s">
        <v>2334</v>
      </c>
      <c r="O720" s="509" t="s">
        <v>3310</v>
      </c>
      <c r="P720" s="519">
        <f>C86+2500</f>
        <v>23105</v>
      </c>
      <c r="Q720" s="509" t="s">
        <v>2334</v>
      </c>
      <c r="R720" s="519">
        <f t="shared" ref="R720:R726" si="37">M720*P720</f>
        <v>542.96749999999997</v>
      </c>
      <c r="AG720" s="509" t="s">
        <v>2514</v>
      </c>
    </row>
    <row r="721" spans="1:33" hidden="1">
      <c r="A721" s="521">
        <f t="shared" si="34"/>
        <v>548</v>
      </c>
      <c r="B721" s="509" t="s">
        <v>3372</v>
      </c>
      <c r="C721" s="492">
        <v>227</v>
      </c>
      <c r="D721" s="492">
        <v>247</v>
      </c>
      <c r="E721" s="2"/>
      <c r="H721" s="509" t="s">
        <v>3373</v>
      </c>
      <c r="I721" s="2"/>
      <c r="J721" s="463"/>
      <c r="K721" s="552"/>
      <c r="M721" s="542">
        <v>0.872</v>
      </c>
      <c r="N721" s="509" t="s">
        <v>2788</v>
      </c>
      <c r="O721" s="509" t="s">
        <v>3312</v>
      </c>
      <c r="P721" s="519">
        <f>C753</f>
        <v>381.37</v>
      </c>
      <c r="Q721" s="509" t="s">
        <v>2788</v>
      </c>
      <c r="R721" s="519">
        <f t="shared" si="37"/>
        <v>332.55464000000001</v>
      </c>
      <c r="AG721" s="509" t="s">
        <v>2514</v>
      </c>
    </row>
    <row r="722" spans="1:33" hidden="1">
      <c r="A722" s="521">
        <f t="shared" si="34"/>
        <v>549</v>
      </c>
      <c r="B722" s="509" t="s">
        <v>3374</v>
      </c>
      <c r="C722" s="492">
        <v>250</v>
      </c>
      <c r="D722" s="490" t="s">
        <v>3321</v>
      </c>
      <c r="E722" s="2"/>
      <c r="F722" s="519">
        <v>0.12</v>
      </c>
      <c r="G722" s="518" t="s">
        <v>19</v>
      </c>
      <c r="H722" s="509" t="s">
        <v>3375</v>
      </c>
      <c r="I722" s="492">
        <f>C268/5</f>
        <v>1879</v>
      </c>
      <c r="J722" s="500" t="s">
        <v>3371</v>
      </c>
      <c r="K722" s="526">
        <f t="shared" ref="K722:K729" si="38">(F722*I722)</f>
        <v>225.48</v>
      </c>
      <c r="M722" s="542">
        <v>1.3247</v>
      </c>
      <c r="N722" s="509" t="s">
        <v>2788</v>
      </c>
      <c r="O722" s="509" t="s">
        <v>2812</v>
      </c>
      <c r="P722" s="519">
        <f>C31</f>
        <v>342</v>
      </c>
      <c r="Q722" s="509" t="s">
        <v>2788</v>
      </c>
      <c r="R722" s="519">
        <f t="shared" si="37"/>
        <v>453.04739999999998</v>
      </c>
      <c r="AG722" s="509" t="s">
        <v>2514</v>
      </c>
    </row>
    <row r="723" spans="1:33" hidden="1">
      <c r="A723" s="521">
        <f t="shared" si="34"/>
        <v>550</v>
      </c>
      <c r="B723" s="509" t="s">
        <v>3376</v>
      </c>
      <c r="C723" s="492">
        <v>210</v>
      </c>
      <c r="D723" s="490" t="s">
        <v>3321</v>
      </c>
      <c r="E723" s="2"/>
      <c r="F723" s="519">
        <v>98.5</v>
      </c>
      <c r="G723" s="518" t="s">
        <v>12</v>
      </c>
      <c r="H723" s="509" t="s">
        <v>3377</v>
      </c>
      <c r="I723" s="492">
        <f>C269/5</f>
        <v>3</v>
      </c>
      <c r="J723" s="500" t="s">
        <v>3371</v>
      </c>
      <c r="K723" s="526">
        <f t="shared" si="38"/>
        <v>295.5</v>
      </c>
      <c r="M723" s="519">
        <v>1</v>
      </c>
      <c r="N723" s="509" t="s">
        <v>2342</v>
      </c>
      <c r="O723" s="509" t="s">
        <v>3314</v>
      </c>
      <c r="P723" s="519">
        <f>C298</f>
        <v>10.5</v>
      </c>
      <c r="Q723" s="509" t="s">
        <v>2342</v>
      </c>
      <c r="R723" s="519">
        <f t="shared" si="37"/>
        <v>10.5</v>
      </c>
      <c r="AG723" s="509" t="s">
        <v>2514</v>
      </c>
    </row>
    <row r="724" spans="1:33" hidden="1">
      <c r="A724" s="521">
        <f t="shared" si="34"/>
        <v>551</v>
      </c>
      <c r="B724" s="509" t="s">
        <v>3378</v>
      </c>
      <c r="C724" s="492">
        <v>1022.58</v>
      </c>
      <c r="D724" s="490" t="s">
        <v>2788</v>
      </c>
      <c r="E724" s="2"/>
      <c r="F724" s="519">
        <v>1</v>
      </c>
      <c r="G724" s="518" t="s">
        <v>2346</v>
      </c>
      <c r="H724" s="509" t="s">
        <v>3379</v>
      </c>
      <c r="I724" s="492">
        <v>11</v>
      </c>
      <c r="J724" s="500" t="s">
        <v>2346</v>
      </c>
      <c r="K724" s="526">
        <f t="shared" si="38"/>
        <v>11</v>
      </c>
      <c r="M724" s="519">
        <v>3</v>
      </c>
      <c r="N724" s="509" t="s">
        <v>2342</v>
      </c>
      <c r="O724" s="509" t="s">
        <v>3380</v>
      </c>
      <c r="P724" s="519">
        <f>C293</f>
        <v>5.75</v>
      </c>
      <c r="Q724" s="509" t="s">
        <v>2342</v>
      </c>
      <c r="R724" s="519">
        <f t="shared" si="37"/>
        <v>17.25</v>
      </c>
      <c r="AG724" s="509" t="s">
        <v>2514</v>
      </c>
    </row>
    <row r="725" spans="1:33" hidden="1">
      <c r="A725" s="521">
        <f t="shared" si="34"/>
        <v>552</v>
      </c>
      <c r="B725" s="509" t="s">
        <v>3381</v>
      </c>
      <c r="C725" s="2"/>
      <c r="D725" s="490" t="s">
        <v>30</v>
      </c>
      <c r="E725" s="2"/>
      <c r="F725" s="519">
        <v>3.8</v>
      </c>
      <c r="G725" s="518" t="s">
        <v>5</v>
      </c>
      <c r="H725" s="509" t="s">
        <v>3382</v>
      </c>
      <c r="I725" s="492">
        <f>C16</f>
        <v>150</v>
      </c>
      <c r="J725" s="500" t="s">
        <v>556</v>
      </c>
      <c r="K725" s="526">
        <f t="shared" si="38"/>
        <v>570</v>
      </c>
      <c r="M725" s="519">
        <v>1</v>
      </c>
      <c r="N725" s="509" t="s">
        <v>2342</v>
      </c>
      <c r="O725" s="509" t="s">
        <v>3383</v>
      </c>
      <c r="P725" s="519">
        <f>C301</f>
        <v>10</v>
      </c>
      <c r="Q725" s="509" t="s">
        <v>2342</v>
      </c>
      <c r="R725" s="519">
        <f t="shared" si="37"/>
        <v>10</v>
      </c>
      <c r="AG725" s="509" t="s">
        <v>2514</v>
      </c>
    </row>
    <row r="726" spans="1:33" hidden="1">
      <c r="A726" s="521">
        <f t="shared" si="34"/>
        <v>553</v>
      </c>
      <c r="B726" s="509" t="s">
        <v>3384</v>
      </c>
      <c r="C726" s="2"/>
      <c r="D726" s="2"/>
      <c r="E726" s="2"/>
      <c r="F726" s="519">
        <v>5.4</v>
      </c>
      <c r="G726" s="518" t="s">
        <v>5</v>
      </c>
      <c r="H726" s="509" t="s">
        <v>3081</v>
      </c>
      <c r="I726" s="492">
        <f>C12</f>
        <v>95</v>
      </c>
      <c r="J726" s="500" t="s">
        <v>556</v>
      </c>
      <c r="K726" s="526">
        <f t="shared" si="38"/>
        <v>513</v>
      </c>
      <c r="M726" s="519">
        <v>1</v>
      </c>
      <c r="N726" s="509" t="s">
        <v>2342</v>
      </c>
      <c r="O726" s="509" t="s">
        <v>2816</v>
      </c>
      <c r="P726" s="519">
        <f>C302</f>
        <v>4</v>
      </c>
      <c r="Q726" s="509" t="s">
        <v>2342</v>
      </c>
      <c r="R726" s="519">
        <f t="shared" si="37"/>
        <v>4</v>
      </c>
      <c r="AG726" s="509" t="s">
        <v>2514</v>
      </c>
    </row>
    <row r="727" spans="1:33" hidden="1">
      <c r="A727" s="521">
        <f t="shared" si="34"/>
        <v>554</v>
      </c>
      <c r="B727" s="509" t="s">
        <v>3385</v>
      </c>
      <c r="C727" s="492">
        <v>300</v>
      </c>
      <c r="D727" s="490" t="s">
        <v>3386</v>
      </c>
      <c r="E727" s="2"/>
      <c r="F727" s="519">
        <v>1</v>
      </c>
      <c r="G727" s="518" t="s">
        <v>5</v>
      </c>
      <c r="H727" s="509" t="s">
        <v>3387</v>
      </c>
      <c r="I727" s="492">
        <f>C66</f>
        <v>120</v>
      </c>
      <c r="J727" s="500" t="s">
        <v>556</v>
      </c>
      <c r="K727" s="526">
        <f t="shared" si="38"/>
        <v>120</v>
      </c>
      <c r="N727" s="509" t="s">
        <v>2346</v>
      </c>
      <c r="O727" s="509" t="s">
        <v>2347</v>
      </c>
      <c r="Q727" s="509" t="s">
        <v>2346</v>
      </c>
      <c r="R727" s="519">
        <v>0</v>
      </c>
      <c r="AG727" s="509" t="s">
        <v>2514</v>
      </c>
    </row>
    <row r="728" spans="1:33" hidden="1">
      <c r="A728" s="521">
        <f t="shared" si="34"/>
        <v>555</v>
      </c>
      <c r="B728" s="510" t="s">
        <v>3388</v>
      </c>
      <c r="C728" s="492">
        <v>302</v>
      </c>
      <c r="D728" s="490" t="s">
        <v>3386</v>
      </c>
      <c r="E728" s="2"/>
      <c r="F728" s="519">
        <v>1</v>
      </c>
      <c r="G728" s="518" t="s">
        <v>2346</v>
      </c>
      <c r="H728" s="509" t="s">
        <v>3389</v>
      </c>
      <c r="I728" s="492">
        <v>10</v>
      </c>
      <c r="J728" s="500" t="s">
        <v>2346</v>
      </c>
      <c r="K728" s="526">
        <f t="shared" si="38"/>
        <v>10</v>
      </c>
      <c r="R728" s="515" t="s">
        <v>442</v>
      </c>
      <c r="AG728" s="509" t="s">
        <v>2514</v>
      </c>
    </row>
    <row r="729" spans="1:33" hidden="1">
      <c r="A729" s="521">
        <f t="shared" si="34"/>
        <v>556</v>
      </c>
      <c r="B729" s="509" t="s">
        <v>3390</v>
      </c>
      <c r="C729" s="492">
        <v>382</v>
      </c>
      <c r="D729" s="490" t="s">
        <v>3386</v>
      </c>
      <c r="E729" s="2"/>
      <c r="F729" s="519">
        <v>19</v>
      </c>
      <c r="G729" s="518" t="s">
        <v>13</v>
      </c>
      <c r="H729" s="509" t="s">
        <v>3391</v>
      </c>
      <c r="I729" s="492">
        <v>2</v>
      </c>
      <c r="J729" s="500" t="s">
        <v>13</v>
      </c>
      <c r="K729" s="526">
        <f t="shared" si="38"/>
        <v>38</v>
      </c>
      <c r="O729" s="510" t="s">
        <v>3392</v>
      </c>
      <c r="R729" s="519">
        <f>SUM(R720:R727)</f>
        <v>1370.31954</v>
      </c>
      <c r="AG729" s="509" t="s">
        <v>2514</v>
      </c>
    </row>
    <row r="730" spans="1:33" hidden="1">
      <c r="A730" s="521">
        <f t="shared" si="34"/>
        <v>557</v>
      </c>
      <c r="B730" s="509" t="s">
        <v>3393</v>
      </c>
      <c r="C730" s="492">
        <v>140</v>
      </c>
      <c r="D730" s="490" t="s">
        <v>3386</v>
      </c>
      <c r="E730" s="2"/>
      <c r="H730" s="509" t="s">
        <v>3394</v>
      </c>
      <c r="I730" s="2"/>
      <c r="J730" s="463"/>
      <c r="K730" s="526" t="s">
        <v>442</v>
      </c>
      <c r="R730" s="515" t="s">
        <v>442</v>
      </c>
      <c r="AG730" s="509" t="s">
        <v>2690</v>
      </c>
    </row>
    <row r="731" spans="1:33" hidden="1">
      <c r="A731" s="521">
        <f t="shared" si="34"/>
        <v>558</v>
      </c>
      <c r="B731" s="509" t="s">
        <v>3395</v>
      </c>
      <c r="C731" s="492">
        <v>222</v>
      </c>
      <c r="D731" s="490" t="s">
        <v>3386</v>
      </c>
      <c r="E731" s="2"/>
      <c r="H731" s="510" t="s">
        <v>2358</v>
      </c>
      <c r="I731" s="2"/>
      <c r="J731" s="463"/>
      <c r="K731" s="526">
        <f>SUM(K720:K729)</f>
        <v>2050.7849999999999</v>
      </c>
      <c r="O731" s="510" t="s">
        <v>2355</v>
      </c>
      <c r="R731" s="519">
        <f>R729/1.3247</f>
        <v>1034.4376387106515</v>
      </c>
    </row>
    <row r="732" spans="1:33" hidden="1">
      <c r="A732" s="521">
        <f t="shared" si="34"/>
        <v>559</v>
      </c>
      <c r="B732" s="509" t="s">
        <v>3396</v>
      </c>
      <c r="C732" s="492">
        <v>505</v>
      </c>
      <c r="D732" s="490" t="s">
        <v>3386</v>
      </c>
      <c r="E732" s="2"/>
      <c r="I732" s="2"/>
      <c r="J732" s="463"/>
      <c r="K732" s="526" t="s">
        <v>442</v>
      </c>
      <c r="R732" s="515" t="s">
        <v>29</v>
      </c>
    </row>
    <row r="733" spans="1:33" hidden="1">
      <c r="A733" s="521">
        <f t="shared" si="34"/>
        <v>560</v>
      </c>
      <c r="B733" s="509" t="s">
        <v>3397</v>
      </c>
      <c r="C733" s="492">
        <v>75</v>
      </c>
      <c r="D733" s="490" t="s">
        <v>3321</v>
      </c>
      <c r="E733" s="2"/>
      <c r="H733" s="510" t="s">
        <v>2355</v>
      </c>
      <c r="I733" s="2"/>
      <c r="J733" s="463"/>
      <c r="K733" s="526">
        <f>(K731/10)</f>
        <v>205.07849999999999</v>
      </c>
      <c r="N733" s="509" t="s">
        <v>575</v>
      </c>
      <c r="O733" s="509" t="s">
        <v>3398</v>
      </c>
      <c r="AG733" s="509" t="s">
        <v>2514</v>
      </c>
    </row>
    <row r="734" spans="1:33" hidden="1">
      <c r="C734" s="2"/>
      <c r="D734" s="2"/>
      <c r="E734" s="2"/>
      <c r="F734" s="509" t="s">
        <v>30</v>
      </c>
      <c r="I734" s="2"/>
      <c r="J734" s="463"/>
      <c r="K734" s="552"/>
    </row>
    <row r="735" spans="1:33" hidden="1">
      <c r="A735" s="521">
        <f>(A733+1)</f>
        <v>561</v>
      </c>
      <c r="B735" s="509" t="s">
        <v>3399</v>
      </c>
      <c r="C735" s="492">
        <v>43.3</v>
      </c>
      <c r="D735" s="490" t="s">
        <v>2205</v>
      </c>
      <c r="E735" s="2"/>
      <c r="I735" s="2"/>
      <c r="J735" s="463"/>
      <c r="K735" s="526" t="s">
        <v>29</v>
      </c>
      <c r="O735" s="509" t="s">
        <v>3400</v>
      </c>
      <c r="AG735" s="509" t="s">
        <v>2514</v>
      </c>
    </row>
    <row r="736" spans="1:33" hidden="1">
      <c r="A736" s="521">
        <f t="shared" ref="A736:A753" si="39">(A735+1)</f>
        <v>562</v>
      </c>
      <c r="B736" s="509" t="s">
        <v>3401</v>
      </c>
      <c r="C736" s="492">
        <v>218</v>
      </c>
      <c r="D736" s="490" t="s">
        <v>3321</v>
      </c>
      <c r="E736" s="2"/>
      <c r="F736" s="510" t="s">
        <v>2618</v>
      </c>
      <c r="G736" s="518" t="s">
        <v>575</v>
      </c>
      <c r="H736" s="509" t="s">
        <v>3402</v>
      </c>
      <c r="I736" s="2"/>
      <c r="J736" s="463"/>
      <c r="K736" s="552"/>
      <c r="O736" s="509" t="s">
        <v>3403</v>
      </c>
      <c r="AG736" s="509" t="s">
        <v>2514</v>
      </c>
    </row>
    <row r="737" spans="1:33" hidden="1">
      <c r="A737" s="521">
        <f t="shared" si="39"/>
        <v>563</v>
      </c>
      <c r="B737" s="509" t="s">
        <v>3404</v>
      </c>
      <c r="C737" s="492">
        <v>926</v>
      </c>
      <c r="D737" s="490" t="s">
        <v>3321</v>
      </c>
      <c r="E737" s="2"/>
      <c r="H737" s="509" t="s">
        <v>3405</v>
      </c>
      <c r="I737" s="2"/>
      <c r="J737" s="463"/>
      <c r="K737" s="552"/>
      <c r="O737" s="509" t="s">
        <v>3406</v>
      </c>
      <c r="AG737" s="509" t="s">
        <v>2514</v>
      </c>
    </row>
    <row r="738" spans="1:33" hidden="1">
      <c r="A738" s="521">
        <f t="shared" si="39"/>
        <v>564</v>
      </c>
      <c r="B738" s="509" t="s">
        <v>3407</v>
      </c>
      <c r="C738" s="492">
        <v>5.15</v>
      </c>
      <c r="D738" s="490" t="s">
        <v>2205</v>
      </c>
      <c r="E738" s="2"/>
      <c r="H738" s="509" t="s">
        <v>3408</v>
      </c>
      <c r="I738" s="2"/>
      <c r="J738" s="463"/>
      <c r="K738" s="552"/>
      <c r="O738" s="515" t="s">
        <v>442</v>
      </c>
      <c r="AG738" s="509" t="s">
        <v>2514</v>
      </c>
    </row>
    <row r="739" spans="1:33" hidden="1">
      <c r="A739" s="521">
        <f t="shared" si="39"/>
        <v>565</v>
      </c>
      <c r="B739" s="509" t="s">
        <v>3409</v>
      </c>
      <c r="C739" s="492">
        <v>550</v>
      </c>
      <c r="D739" s="490" t="s">
        <v>3321</v>
      </c>
      <c r="E739" s="2"/>
      <c r="H739" s="515" t="s">
        <v>442</v>
      </c>
      <c r="I739" s="2"/>
      <c r="J739" s="463"/>
      <c r="K739" s="552"/>
      <c r="AG739" s="509" t="s">
        <v>2514</v>
      </c>
    </row>
    <row r="740" spans="1:33" hidden="1">
      <c r="A740" s="521">
        <f t="shared" si="39"/>
        <v>566</v>
      </c>
      <c r="B740" s="509" t="s">
        <v>3410</v>
      </c>
      <c r="C740" s="492">
        <v>286</v>
      </c>
      <c r="D740" s="490" t="s">
        <v>3321</v>
      </c>
      <c r="E740" s="2"/>
      <c r="F740" s="519">
        <v>10</v>
      </c>
      <c r="G740" s="518" t="s">
        <v>2788</v>
      </c>
      <c r="H740" s="509" t="s">
        <v>3411</v>
      </c>
      <c r="I740" s="492">
        <f>(K720)*1.2</f>
        <v>321.36599999999993</v>
      </c>
      <c r="J740" s="500" t="s">
        <v>3371</v>
      </c>
      <c r="K740" s="526">
        <f>(F740*I740)/10</f>
        <v>321.36599999999993</v>
      </c>
      <c r="O740" s="509" t="s">
        <v>3412</v>
      </c>
      <c r="R740" s="519">
        <f>(C693)</f>
        <v>1183.82</v>
      </c>
      <c r="AG740" s="509" t="s">
        <v>2514</v>
      </c>
    </row>
    <row r="741" spans="1:33" hidden="1">
      <c r="A741" s="521">
        <f t="shared" si="39"/>
        <v>567</v>
      </c>
      <c r="B741" s="509" t="s">
        <v>3413</v>
      </c>
      <c r="C741" s="492">
        <v>96.3</v>
      </c>
      <c r="D741" s="490" t="s">
        <v>2205</v>
      </c>
      <c r="E741" s="2"/>
      <c r="H741" s="509" t="s">
        <v>3414</v>
      </c>
      <c r="I741" s="2"/>
      <c r="J741" s="463"/>
      <c r="K741" s="552"/>
      <c r="R741" s="515" t="s">
        <v>29</v>
      </c>
      <c r="AG741" s="509" t="s">
        <v>2514</v>
      </c>
    </row>
    <row r="742" spans="1:33" hidden="1">
      <c r="A742" s="521">
        <f t="shared" si="39"/>
        <v>568</v>
      </c>
      <c r="B742" s="509" t="s">
        <v>3415</v>
      </c>
      <c r="C742" s="492">
        <v>51</v>
      </c>
      <c r="D742" s="490" t="s">
        <v>3321</v>
      </c>
      <c r="E742" s="2"/>
      <c r="H742" s="509" t="s">
        <v>3416</v>
      </c>
      <c r="I742" s="2"/>
      <c r="J742" s="463"/>
      <c r="K742" s="552"/>
      <c r="AG742" s="509" t="s">
        <v>2514</v>
      </c>
    </row>
    <row r="743" spans="1:33" hidden="1">
      <c r="A743" s="521">
        <f t="shared" si="39"/>
        <v>569</v>
      </c>
      <c r="B743" s="509" t="s">
        <v>3417</v>
      </c>
      <c r="C743" s="492">
        <v>181</v>
      </c>
      <c r="D743" s="490" t="s">
        <v>3131</v>
      </c>
      <c r="E743" s="2"/>
      <c r="F743" s="519">
        <v>10</v>
      </c>
      <c r="G743" s="518" t="s">
        <v>2788</v>
      </c>
      <c r="H743" s="509" t="s">
        <v>3418</v>
      </c>
      <c r="I743" s="492">
        <f>K722*1.2</f>
        <v>270.57599999999996</v>
      </c>
      <c r="J743" s="500" t="s">
        <v>3371</v>
      </c>
      <c r="K743" s="526">
        <f>(F743*I743)/10</f>
        <v>270.57599999999996</v>
      </c>
      <c r="N743" s="509" t="s">
        <v>575</v>
      </c>
      <c r="O743" s="509" t="s">
        <v>3419</v>
      </c>
      <c r="AG743" s="509" t="s">
        <v>2514</v>
      </c>
    </row>
    <row r="744" spans="1:33" hidden="1">
      <c r="A744" s="521">
        <f t="shared" si="39"/>
        <v>570</v>
      </c>
      <c r="B744" s="509" t="s">
        <v>3420</v>
      </c>
      <c r="C744" s="492">
        <v>36.200000000000003</v>
      </c>
      <c r="D744" s="490" t="s">
        <v>2205</v>
      </c>
      <c r="E744" s="2"/>
      <c r="H744" s="509" t="s">
        <v>3421</v>
      </c>
      <c r="I744" s="2"/>
      <c r="J744" s="463"/>
      <c r="K744" s="552"/>
      <c r="O744" s="515" t="s">
        <v>29</v>
      </c>
      <c r="P744" s="515" t="s">
        <v>29</v>
      </c>
      <c r="Q744" s="515" t="s">
        <v>29</v>
      </c>
      <c r="R744" s="509" t="s">
        <v>3422</v>
      </c>
      <c r="AG744" s="509" t="s">
        <v>2514</v>
      </c>
    </row>
    <row r="745" spans="1:33" hidden="1">
      <c r="A745" s="521">
        <f t="shared" si="39"/>
        <v>571</v>
      </c>
      <c r="B745" s="509" t="s">
        <v>3423</v>
      </c>
      <c r="C745" s="492">
        <v>98</v>
      </c>
      <c r="D745" s="490" t="s">
        <v>3321</v>
      </c>
      <c r="E745" s="2"/>
      <c r="H745" s="509" t="s">
        <v>3424</v>
      </c>
      <c r="I745" s="2"/>
      <c r="J745" s="463"/>
      <c r="K745" s="552"/>
      <c r="O745" s="509" t="s">
        <v>3425</v>
      </c>
      <c r="Q745" s="510" t="s">
        <v>12</v>
      </c>
      <c r="R745" s="519">
        <f>(C696)</f>
        <v>147.6</v>
      </c>
      <c r="AG745" s="509" t="s">
        <v>2514</v>
      </c>
    </row>
    <row r="746" spans="1:33" hidden="1">
      <c r="A746" s="521">
        <f t="shared" si="39"/>
        <v>572</v>
      </c>
      <c r="B746" s="509" t="s">
        <v>3426</v>
      </c>
      <c r="C746" s="492">
        <v>92</v>
      </c>
      <c r="D746" s="490" t="s">
        <v>2205</v>
      </c>
      <c r="E746" s="2"/>
      <c r="F746" s="519">
        <v>98.5</v>
      </c>
      <c r="G746" s="518" t="s">
        <v>12</v>
      </c>
      <c r="H746" s="509" t="s">
        <v>3377</v>
      </c>
      <c r="I746" s="492">
        <f>C269/5</f>
        <v>3</v>
      </c>
      <c r="J746" s="500" t="s">
        <v>3371</v>
      </c>
      <c r="K746" s="526">
        <f t="shared" ref="K746:K752" si="40">(F746*I746)</f>
        <v>295.5</v>
      </c>
      <c r="O746" s="509" t="s">
        <v>3427</v>
      </c>
      <c r="AG746" s="509" t="s">
        <v>2514</v>
      </c>
    </row>
    <row r="747" spans="1:33" hidden="1">
      <c r="A747" s="521">
        <f t="shared" si="39"/>
        <v>573</v>
      </c>
      <c r="B747" s="509" t="s">
        <v>3428</v>
      </c>
      <c r="C747" s="492">
        <v>49.42</v>
      </c>
      <c r="D747" s="490" t="s">
        <v>3321</v>
      </c>
      <c r="E747" s="2"/>
      <c r="F747" s="519">
        <v>3.8</v>
      </c>
      <c r="G747" s="518" t="s">
        <v>2359</v>
      </c>
      <c r="H747" s="509" t="s">
        <v>3309</v>
      </c>
      <c r="I747" s="492">
        <f>(C16)</f>
        <v>150</v>
      </c>
      <c r="J747" s="500" t="s">
        <v>2359</v>
      </c>
      <c r="K747" s="526">
        <f t="shared" si="40"/>
        <v>570</v>
      </c>
      <c r="O747" s="509" t="s">
        <v>3429</v>
      </c>
      <c r="AG747" s="509" t="s">
        <v>2514</v>
      </c>
    </row>
    <row r="748" spans="1:33" hidden="1">
      <c r="A748" s="521">
        <f t="shared" si="39"/>
        <v>574</v>
      </c>
      <c r="B748" s="509" t="s">
        <v>3430</v>
      </c>
      <c r="C748" s="492">
        <v>53.2</v>
      </c>
      <c r="D748" s="490" t="s">
        <v>3321</v>
      </c>
      <c r="E748" s="2"/>
      <c r="F748" s="519">
        <v>5.4</v>
      </c>
      <c r="G748" s="518" t="s">
        <v>2359</v>
      </c>
      <c r="H748" s="509" t="s">
        <v>2344</v>
      </c>
      <c r="I748" s="492">
        <f>(C12)</f>
        <v>95</v>
      </c>
      <c r="J748" s="500" t="s">
        <v>2359</v>
      </c>
      <c r="K748" s="526">
        <f t="shared" si="40"/>
        <v>513</v>
      </c>
      <c r="O748" s="509" t="s">
        <v>3431</v>
      </c>
      <c r="AG748" s="509" t="s">
        <v>2514</v>
      </c>
    </row>
    <row r="749" spans="1:33" hidden="1">
      <c r="A749" s="521">
        <f t="shared" si="39"/>
        <v>575</v>
      </c>
      <c r="B749" s="509" t="s">
        <v>3432</v>
      </c>
      <c r="C749" s="492">
        <v>59</v>
      </c>
      <c r="D749" s="490" t="s">
        <v>3321</v>
      </c>
      <c r="E749" s="2"/>
      <c r="F749" s="519">
        <v>1</v>
      </c>
      <c r="G749" s="518" t="s">
        <v>2359</v>
      </c>
      <c r="H749" s="509" t="s">
        <v>3387</v>
      </c>
      <c r="I749" s="492">
        <f>C66</f>
        <v>120</v>
      </c>
      <c r="J749" s="500" t="s">
        <v>556</v>
      </c>
      <c r="K749" s="526">
        <f t="shared" si="40"/>
        <v>120</v>
      </c>
      <c r="O749" s="509" t="s">
        <v>3433</v>
      </c>
      <c r="AG749" s="509" t="s">
        <v>2514</v>
      </c>
    </row>
    <row r="750" spans="1:33" hidden="1">
      <c r="A750" s="521">
        <f t="shared" si="39"/>
        <v>576</v>
      </c>
      <c r="B750" s="509" t="s">
        <v>3434</v>
      </c>
      <c r="C750" s="492">
        <v>100</v>
      </c>
      <c r="D750" s="490" t="s">
        <v>3321</v>
      </c>
      <c r="E750" s="2"/>
      <c r="F750" s="519">
        <v>1</v>
      </c>
      <c r="G750" s="518" t="s">
        <v>2346</v>
      </c>
      <c r="H750" s="509" t="s">
        <v>3435</v>
      </c>
      <c r="I750" s="492">
        <v>11</v>
      </c>
      <c r="J750" s="500" t="s">
        <v>556</v>
      </c>
      <c r="K750" s="526">
        <f t="shared" si="40"/>
        <v>11</v>
      </c>
      <c r="O750" s="509" t="s">
        <v>3436</v>
      </c>
      <c r="R750" s="509" t="s">
        <v>30</v>
      </c>
      <c r="AG750" s="509" t="s">
        <v>2514</v>
      </c>
    </row>
    <row r="751" spans="1:33" hidden="1">
      <c r="A751" s="521">
        <f t="shared" si="39"/>
        <v>577</v>
      </c>
      <c r="B751" s="509" t="s">
        <v>3437</v>
      </c>
      <c r="C751" s="492">
        <v>49.52</v>
      </c>
      <c r="D751" s="490" t="s">
        <v>2205</v>
      </c>
      <c r="E751" s="2"/>
      <c r="F751" s="519">
        <v>1</v>
      </c>
      <c r="G751" s="518" t="s">
        <v>2346</v>
      </c>
      <c r="H751" s="509" t="s">
        <v>3313</v>
      </c>
      <c r="I751" s="492">
        <v>10</v>
      </c>
      <c r="J751" s="500" t="s">
        <v>2346</v>
      </c>
      <c r="K751" s="526">
        <f t="shared" si="40"/>
        <v>10</v>
      </c>
      <c r="O751" s="509" t="s">
        <v>30</v>
      </c>
      <c r="AG751" s="509" t="s">
        <v>2514</v>
      </c>
    </row>
    <row r="752" spans="1:33" hidden="1">
      <c r="A752" s="521">
        <f t="shared" si="39"/>
        <v>578</v>
      </c>
      <c r="B752" s="509" t="s">
        <v>3438</v>
      </c>
      <c r="C752" s="492">
        <v>1080</v>
      </c>
      <c r="D752" s="490" t="s">
        <v>3321</v>
      </c>
      <c r="E752" s="2"/>
      <c r="F752" s="519">
        <v>19</v>
      </c>
      <c r="G752" s="518" t="s">
        <v>13</v>
      </c>
      <c r="H752" s="509" t="s">
        <v>3439</v>
      </c>
      <c r="I752" s="492">
        <v>2</v>
      </c>
      <c r="J752" s="463" t="s">
        <v>13</v>
      </c>
      <c r="K752" s="526">
        <f t="shared" si="40"/>
        <v>38</v>
      </c>
      <c r="AG752" s="509" t="s">
        <v>2514</v>
      </c>
    </row>
    <row r="753" spans="1:33" hidden="1">
      <c r="A753" s="521">
        <f t="shared" si="39"/>
        <v>579</v>
      </c>
      <c r="B753" s="509" t="s">
        <v>3440</v>
      </c>
      <c r="C753" s="492">
        <v>381.37</v>
      </c>
      <c r="D753" s="490" t="s">
        <v>2788</v>
      </c>
      <c r="E753" s="2"/>
      <c r="H753" s="509" t="s">
        <v>3441</v>
      </c>
      <c r="I753" s="2"/>
      <c r="J753" s="463"/>
      <c r="K753" s="552"/>
      <c r="N753" s="509" t="s">
        <v>575</v>
      </c>
      <c r="O753" s="509" t="s">
        <v>3442</v>
      </c>
      <c r="Q753" s="510" t="s">
        <v>26</v>
      </c>
      <c r="R753" s="519">
        <f>(C700)</f>
        <v>1250</v>
      </c>
      <c r="AG753" s="509" t="s">
        <v>2514</v>
      </c>
    </row>
    <row r="754" spans="1:33" hidden="1">
      <c r="A754" s="521" t="e">
        <f>(#REF!+1)</f>
        <v>#REF!</v>
      </c>
      <c r="B754" s="509" t="s">
        <v>3384</v>
      </c>
      <c r="C754" s="2"/>
      <c r="D754" s="2"/>
      <c r="E754" s="2"/>
      <c r="I754" s="2"/>
      <c r="J754" s="463"/>
      <c r="K754" s="526" t="s">
        <v>442</v>
      </c>
      <c r="O754" s="509" t="s">
        <v>3443</v>
      </c>
      <c r="AG754" s="509" t="s">
        <v>2514</v>
      </c>
    </row>
    <row r="755" spans="1:33" hidden="1">
      <c r="A755" s="521"/>
      <c r="B755" s="509" t="s">
        <v>3385</v>
      </c>
      <c r="C755" s="492">
        <v>300</v>
      </c>
      <c r="D755" s="2"/>
      <c r="E755" s="2"/>
      <c r="H755" s="509" t="s">
        <v>2358</v>
      </c>
      <c r="I755" s="2"/>
      <c r="J755" s="463"/>
      <c r="K755" s="526">
        <f>SUM(K740:K753)</f>
        <v>2149.442</v>
      </c>
      <c r="O755" s="509" t="s">
        <v>3444</v>
      </c>
      <c r="AG755" s="509" t="s">
        <v>2514</v>
      </c>
    </row>
    <row r="756" spans="1:33" hidden="1">
      <c r="A756" s="521"/>
      <c r="B756" s="510" t="s">
        <v>3388</v>
      </c>
      <c r="C756" s="492">
        <v>302</v>
      </c>
      <c r="D756" s="2"/>
      <c r="E756" s="2"/>
      <c r="I756" s="2"/>
      <c r="J756" s="463"/>
      <c r="K756" s="526" t="s">
        <v>442</v>
      </c>
      <c r="O756" s="509" t="s">
        <v>3445</v>
      </c>
      <c r="AG756" s="509" t="s">
        <v>2514</v>
      </c>
    </row>
    <row r="757" spans="1:33" hidden="1">
      <c r="A757" s="521"/>
      <c r="B757" s="509" t="s">
        <v>3446</v>
      </c>
      <c r="C757" s="492">
        <v>324</v>
      </c>
      <c r="D757" s="2"/>
      <c r="E757" s="2"/>
      <c r="H757" s="509" t="s">
        <v>2355</v>
      </c>
      <c r="I757" s="2"/>
      <c r="J757" s="463"/>
      <c r="K757" s="526">
        <f>(K755/10)</f>
        <v>214.9442</v>
      </c>
      <c r="AG757" s="509" t="s">
        <v>2514</v>
      </c>
    </row>
    <row r="758" spans="1:33" hidden="1">
      <c r="A758" s="521"/>
      <c r="B758" s="509" t="s">
        <v>3390</v>
      </c>
      <c r="C758" s="492">
        <v>382</v>
      </c>
      <c r="D758" s="2"/>
      <c r="E758" s="2"/>
      <c r="I758" s="2"/>
      <c r="J758" s="463"/>
      <c r="K758" s="526" t="s">
        <v>29</v>
      </c>
      <c r="N758" s="509" t="s">
        <v>575</v>
      </c>
      <c r="O758" s="509" t="s">
        <v>3447</v>
      </c>
      <c r="AG758" s="509" t="s">
        <v>2514</v>
      </c>
    </row>
    <row r="759" spans="1:33" hidden="1">
      <c r="A759" s="521"/>
      <c r="B759" s="509" t="s">
        <v>3396</v>
      </c>
      <c r="C759" s="492">
        <v>505</v>
      </c>
      <c r="D759" s="2"/>
      <c r="E759" s="2"/>
      <c r="I759" s="2"/>
      <c r="J759" s="463"/>
      <c r="K759" s="552"/>
      <c r="O759" s="509" t="s">
        <v>3448</v>
      </c>
      <c r="R759" s="509" t="s">
        <v>30</v>
      </c>
      <c r="AG759" s="509" t="s">
        <v>2514</v>
      </c>
    </row>
    <row r="760" spans="1:33" hidden="1">
      <c r="A760" s="521"/>
      <c r="B760" s="509" t="s">
        <v>3393</v>
      </c>
      <c r="C760" s="492">
        <v>140</v>
      </c>
      <c r="D760" s="2"/>
      <c r="E760" s="2"/>
      <c r="F760" s="510" t="s">
        <v>2623</v>
      </c>
      <c r="G760" s="518" t="s">
        <v>575</v>
      </c>
      <c r="H760" s="509" t="s">
        <v>3402</v>
      </c>
      <c r="I760" s="2"/>
      <c r="J760" s="463"/>
      <c r="K760" s="552"/>
      <c r="O760" s="509" t="s">
        <v>3449</v>
      </c>
      <c r="AG760" s="509" t="s">
        <v>2514</v>
      </c>
    </row>
    <row r="761" spans="1:33" hidden="1">
      <c r="A761" s="521"/>
      <c r="B761" s="509" t="s">
        <v>3395</v>
      </c>
      <c r="C761" s="492">
        <v>222</v>
      </c>
      <c r="D761" s="2"/>
      <c r="E761" s="2"/>
      <c r="H761" s="509" t="s">
        <v>3405</v>
      </c>
      <c r="I761" s="2"/>
      <c r="J761" s="463"/>
      <c r="K761" s="552"/>
      <c r="O761" s="515" t="s">
        <v>442</v>
      </c>
      <c r="AG761" s="509" t="s">
        <v>2514</v>
      </c>
    </row>
    <row r="762" spans="1:33" hidden="1">
      <c r="A762" s="521"/>
      <c r="B762" s="509" t="s">
        <v>3450</v>
      </c>
      <c r="C762" s="492">
        <v>100</v>
      </c>
      <c r="D762" s="2"/>
      <c r="E762" s="2"/>
      <c r="H762" s="509" t="s">
        <v>3451</v>
      </c>
      <c r="I762" s="2"/>
      <c r="J762" s="463"/>
      <c r="K762" s="552"/>
      <c r="N762" s="509" t="s">
        <v>2830</v>
      </c>
      <c r="O762" s="509" t="s">
        <v>3452</v>
      </c>
      <c r="P762" s="519">
        <f>(C271)</f>
        <v>160</v>
      </c>
      <c r="Q762" s="509" t="s">
        <v>2830</v>
      </c>
      <c r="R762" s="519" t="e">
        <f>(#VALUE!*P762)</f>
        <v>#VALUE!</v>
      </c>
      <c r="AG762" s="509" t="s">
        <v>2514</v>
      </c>
    </row>
    <row r="763" spans="1:33" hidden="1">
      <c r="A763" s="521"/>
      <c r="B763" s="509" t="s">
        <v>3453</v>
      </c>
      <c r="C763" s="492">
        <v>75</v>
      </c>
      <c r="D763" s="2"/>
      <c r="E763" s="2"/>
      <c r="H763" s="515" t="s">
        <v>442</v>
      </c>
      <c r="I763" s="2"/>
      <c r="J763" s="463"/>
      <c r="K763" s="552"/>
      <c r="AG763" s="509" t="s">
        <v>2514</v>
      </c>
    </row>
    <row r="764" spans="1:33" hidden="1">
      <c r="A764" s="521"/>
      <c r="B764" s="509" t="s">
        <v>3454</v>
      </c>
      <c r="C764" s="492">
        <v>218</v>
      </c>
      <c r="D764" s="2"/>
      <c r="E764" s="2"/>
      <c r="H764" s="509" t="s">
        <v>3455</v>
      </c>
      <c r="I764" s="2"/>
      <c r="J764" s="463"/>
      <c r="K764" s="526">
        <f>(K695/2)</f>
        <v>123.26900000000001</v>
      </c>
      <c r="N764" s="509" t="s">
        <v>3456</v>
      </c>
      <c r="O764" s="509" t="s">
        <v>3457</v>
      </c>
      <c r="P764" s="519">
        <f>(C16)</f>
        <v>150</v>
      </c>
      <c r="Q764" s="509" t="s">
        <v>3456</v>
      </c>
      <c r="R764" s="519" t="e">
        <f>(#VALUE!*P764)</f>
        <v>#VALUE!</v>
      </c>
      <c r="AG764" s="509" t="s">
        <v>2514</v>
      </c>
    </row>
    <row r="765" spans="1:33" hidden="1">
      <c r="A765" s="521"/>
      <c r="B765" s="509" t="s">
        <v>3458</v>
      </c>
      <c r="C765" s="492">
        <v>1854</v>
      </c>
      <c r="D765" s="2"/>
      <c r="E765" s="2"/>
      <c r="H765" s="509" t="s">
        <v>3459</v>
      </c>
      <c r="I765" s="2"/>
      <c r="J765" s="463"/>
      <c r="K765" s="526" t="s">
        <v>29</v>
      </c>
      <c r="AG765" s="509" t="s">
        <v>2514</v>
      </c>
    </row>
    <row r="766" spans="1:33" hidden="1">
      <c r="C766" s="2"/>
      <c r="D766" s="2"/>
      <c r="E766" s="2"/>
      <c r="I766" s="2"/>
      <c r="J766" s="463"/>
      <c r="K766" s="552"/>
    </row>
    <row r="767" spans="1:33" hidden="1">
      <c r="A767" s="521"/>
      <c r="B767" s="509" t="s">
        <v>3460</v>
      </c>
      <c r="C767" s="492">
        <v>51</v>
      </c>
      <c r="D767" s="2"/>
      <c r="E767" s="2"/>
      <c r="F767" s="510" t="s">
        <v>3461</v>
      </c>
      <c r="G767" s="518" t="s">
        <v>575</v>
      </c>
      <c r="H767" s="509" t="s">
        <v>3462</v>
      </c>
      <c r="I767" s="2"/>
      <c r="J767" s="463"/>
      <c r="K767" s="552"/>
      <c r="O767" s="509" t="s">
        <v>3463</v>
      </c>
      <c r="P767" s="517" t="s">
        <v>2346</v>
      </c>
      <c r="R767" s="519">
        <v>0.64</v>
      </c>
      <c r="AG767" s="509" t="s">
        <v>2514</v>
      </c>
    </row>
    <row r="768" spans="1:33" hidden="1">
      <c r="A768" s="521"/>
      <c r="B768" s="509" t="s">
        <v>3464</v>
      </c>
      <c r="C768" s="492">
        <v>915</v>
      </c>
      <c r="D768" s="2"/>
      <c r="E768" s="2"/>
      <c r="H768" s="509" t="s">
        <v>3465</v>
      </c>
      <c r="I768" s="2"/>
      <c r="J768" s="463"/>
      <c r="K768" s="552"/>
      <c r="R768" s="515" t="s">
        <v>442</v>
      </c>
      <c r="AG768" s="509" t="s">
        <v>2514</v>
      </c>
    </row>
    <row r="769" spans="1:33" hidden="1">
      <c r="A769" s="521"/>
      <c r="B769" s="509" t="s">
        <v>3466</v>
      </c>
      <c r="C769" s="492">
        <v>890</v>
      </c>
      <c r="D769" s="2"/>
      <c r="E769" s="2"/>
      <c r="H769" s="509" t="s">
        <v>3467</v>
      </c>
      <c r="I769" s="2"/>
      <c r="J769" s="463"/>
      <c r="K769" s="552"/>
      <c r="O769" s="509" t="s">
        <v>3468</v>
      </c>
      <c r="R769" s="519" t="e">
        <f>SUM(R762:R767)</f>
        <v>#VALUE!</v>
      </c>
      <c r="AG769" s="509" t="s">
        <v>2514</v>
      </c>
    </row>
    <row r="770" spans="1:33" hidden="1">
      <c r="A770" s="521"/>
      <c r="B770" s="509" t="s">
        <v>3469</v>
      </c>
      <c r="C770" s="492">
        <v>5.15</v>
      </c>
      <c r="D770" s="2"/>
      <c r="E770" s="2"/>
      <c r="H770" s="515" t="s">
        <v>442</v>
      </c>
      <c r="I770" s="2"/>
      <c r="J770" s="463"/>
      <c r="K770" s="552"/>
      <c r="R770" s="515" t="s">
        <v>442</v>
      </c>
      <c r="AG770" s="509" t="s">
        <v>2514</v>
      </c>
    </row>
    <row r="771" spans="1:33" hidden="1">
      <c r="A771" s="521"/>
      <c r="B771" s="509" t="s">
        <v>3470</v>
      </c>
      <c r="C771" s="492">
        <v>43.3</v>
      </c>
      <c r="D771" s="2"/>
      <c r="E771" s="2"/>
      <c r="F771" s="528">
        <v>9</v>
      </c>
      <c r="G771" s="518" t="s">
        <v>2334</v>
      </c>
      <c r="H771" s="509" t="s">
        <v>3471</v>
      </c>
      <c r="I771" s="492" t="e">
        <f>C73</f>
        <v>#REF!</v>
      </c>
      <c r="J771" s="500" t="s">
        <v>2334</v>
      </c>
      <c r="K771" s="526" t="e">
        <f t="shared" ref="K771:K776" si="41">F771*I771</f>
        <v>#REF!</v>
      </c>
      <c r="O771" s="509" t="s">
        <v>3472</v>
      </c>
      <c r="R771" s="519" t="e">
        <f>(R769/0.4)</f>
        <v>#VALUE!</v>
      </c>
      <c r="AG771" s="509" t="s">
        <v>2514</v>
      </c>
    </row>
    <row r="772" spans="1:33" hidden="1">
      <c r="A772" s="521"/>
      <c r="B772" s="509" t="s">
        <v>3473</v>
      </c>
      <c r="C772" s="492">
        <v>920</v>
      </c>
      <c r="D772" s="2"/>
      <c r="E772" s="2"/>
      <c r="F772" s="528">
        <v>4.3079999999999998</v>
      </c>
      <c r="G772" s="518" t="s">
        <v>2516</v>
      </c>
      <c r="H772" s="509" t="s">
        <v>2517</v>
      </c>
      <c r="I772" s="492">
        <f>C67</f>
        <v>3800</v>
      </c>
      <c r="J772" s="500" t="s">
        <v>2516</v>
      </c>
      <c r="K772" s="526">
        <f t="shared" si="41"/>
        <v>16370.4</v>
      </c>
      <c r="R772" s="515" t="s">
        <v>29</v>
      </c>
      <c r="AG772" s="509" t="s">
        <v>2514</v>
      </c>
    </row>
    <row r="773" spans="1:33" hidden="1">
      <c r="A773" s="521"/>
      <c r="B773" s="509" t="s">
        <v>3474</v>
      </c>
      <c r="C773" s="492">
        <v>98</v>
      </c>
      <c r="D773" s="2"/>
      <c r="E773" s="2"/>
      <c r="F773" s="528">
        <v>4.5</v>
      </c>
      <c r="G773" s="518" t="s">
        <v>2334</v>
      </c>
      <c r="H773" s="509" t="s">
        <v>2525</v>
      </c>
      <c r="I773" s="492" t="e">
        <f>C78</f>
        <v>#REF!</v>
      </c>
      <c r="J773" s="500" t="s">
        <v>2334</v>
      </c>
      <c r="K773" s="526" t="e">
        <f t="shared" si="41"/>
        <v>#REF!</v>
      </c>
      <c r="N773" s="509" t="s">
        <v>575</v>
      </c>
      <c r="O773" s="509" t="s">
        <v>3475</v>
      </c>
      <c r="AG773" s="509" t="s">
        <v>2514</v>
      </c>
    </row>
    <row r="774" spans="1:33" hidden="1">
      <c r="A774" s="521"/>
      <c r="B774" s="509" t="s">
        <v>3476</v>
      </c>
      <c r="C774" s="492">
        <v>181</v>
      </c>
      <c r="D774" s="2"/>
      <c r="E774" s="2"/>
      <c r="F774" s="528">
        <v>3.5</v>
      </c>
      <c r="G774" s="518" t="s">
        <v>2342</v>
      </c>
      <c r="H774" s="509" t="s">
        <v>2343</v>
      </c>
      <c r="I774" s="492">
        <f>C11</f>
        <v>135</v>
      </c>
      <c r="J774" s="500" t="s">
        <v>2342</v>
      </c>
      <c r="K774" s="526">
        <f t="shared" si="41"/>
        <v>472.5</v>
      </c>
      <c r="O774" s="509" t="s">
        <v>3477</v>
      </c>
      <c r="AG774" s="509" t="s">
        <v>2514</v>
      </c>
    </row>
    <row r="775" spans="1:33" hidden="1">
      <c r="A775" s="521"/>
      <c r="B775" s="509" t="s">
        <v>3478</v>
      </c>
      <c r="C775" s="492">
        <v>1148.76</v>
      </c>
      <c r="D775" s="2"/>
      <c r="E775" s="2"/>
      <c r="F775" s="528">
        <v>21.2</v>
      </c>
      <c r="G775" s="518" t="s">
        <v>2342</v>
      </c>
      <c r="H775" s="509" t="s">
        <v>2344</v>
      </c>
      <c r="I775" s="492">
        <f>C12</f>
        <v>95</v>
      </c>
      <c r="J775" s="500" t="s">
        <v>2342</v>
      </c>
      <c r="K775" s="526">
        <f t="shared" si="41"/>
        <v>2014</v>
      </c>
      <c r="O775" s="509" t="s">
        <v>3479</v>
      </c>
      <c r="AG775" s="509" t="s">
        <v>2514</v>
      </c>
    </row>
    <row r="776" spans="1:33" hidden="1">
      <c r="A776" s="521"/>
      <c r="B776" s="509" t="s">
        <v>3480</v>
      </c>
      <c r="C776" s="492">
        <v>967</v>
      </c>
      <c r="D776" s="2"/>
      <c r="E776" s="2"/>
      <c r="F776" s="528">
        <v>35.299999999999997</v>
      </c>
      <c r="G776" s="518" t="s">
        <v>2342</v>
      </c>
      <c r="H776" s="509" t="s">
        <v>2345</v>
      </c>
      <c r="I776" s="492">
        <f>C13</f>
        <v>85</v>
      </c>
      <c r="J776" s="500" t="s">
        <v>2342</v>
      </c>
      <c r="K776" s="526">
        <f t="shared" si="41"/>
        <v>3000.4999999999995</v>
      </c>
      <c r="O776" s="515" t="s">
        <v>442</v>
      </c>
      <c r="AG776" s="509" t="s">
        <v>2514</v>
      </c>
    </row>
    <row r="777" spans="1:33" hidden="1">
      <c r="A777" s="521"/>
      <c r="B777" s="509" t="s">
        <v>3481</v>
      </c>
      <c r="C777" s="492">
        <v>30</v>
      </c>
      <c r="D777" s="2"/>
      <c r="E777" s="2"/>
      <c r="F777" s="517" t="s">
        <v>2346</v>
      </c>
      <c r="H777" s="509" t="s">
        <v>2347</v>
      </c>
      <c r="I777" s="2"/>
      <c r="J777" s="500" t="s">
        <v>2346</v>
      </c>
      <c r="K777" s="526">
        <v>0</v>
      </c>
      <c r="N777" s="517" t="s">
        <v>2365</v>
      </c>
      <c r="O777" s="509" t="s">
        <v>3482</v>
      </c>
      <c r="AG777" s="509" t="s">
        <v>2514</v>
      </c>
    </row>
    <row r="778" spans="1:33" hidden="1">
      <c r="A778" s="521"/>
      <c r="B778" s="509" t="s">
        <v>3483</v>
      </c>
      <c r="C778" s="492">
        <v>2107</v>
      </c>
      <c r="D778" s="2"/>
      <c r="E778" s="2"/>
      <c r="I778" s="2"/>
      <c r="J778" s="463"/>
      <c r="K778" s="526" t="s">
        <v>442</v>
      </c>
      <c r="O778" s="509" t="s">
        <v>3484</v>
      </c>
      <c r="AG778" s="509" t="s">
        <v>2514</v>
      </c>
    </row>
    <row r="779" spans="1:33" hidden="1">
      <c r="A779" s="521"/>
      <c r="B779" s="509" t="s">
        <v>3485</v>
      </c>
      <c r="C779" s="492">
        <v>650</v>
      </c>
      <c r="D779" s="2"/>
      <c r="E779" s="2"/>
      <c r="H779" s="510" t="s">
        <v>2348</v>
      </c>
      <c r="I779" s="2"/>
      <c r="J779" s="463"/>
      <c r="K779" s="526" t="e">
        <f>SUM(K771:K777)</f>
        <v>#REF!</v>
      </c>
      <c r="N779" s="509" t="s">
        <v>1973</v>
      </c>
      <c r="O779" s="509" t="s">
        <v>3486</v>
      </c>
      <c r="P779" s="519">
        <v>43</v>
      </c>
      <c r="R779" s="519" t="e">
        <f>(#VALUE!*P779)</f>
        <v>#VALUE!</v>
      </c>
      <c r="AG779" s="509" t="s">
        <v>2514</v>
      </c>
    </row>
    <row r="780" spans="1:33" hidden="1">
      <c r="A780" s="521"/>
      <c r="B780" s="509" t="s">
        <v>3487</v>
      </c>
      <c r="C780" s="545">
        <v>160</v>
      </c>
      <c r="D780" s="2"/>
      <c r="E780" s="2"/>
      <c r="I780" s="2"/>
      <c r="J780" s="463"/>
      <c r="K780" s="526" t="s">
        <v>29</v>
      </c>
      <c r="O780" s="509" t="s">
        <v>3488</v>
      </c>
      <c r="AG780" s="509" t="s">
        <v>2514</v>
      </c>
    </row>
    <row r="781" spans="1:33" hidden="1">
      <c r="A781" s="521"/>
      <c r="B781" s="509" t="s">
        <v>3489</v>
      </c>
      <c r="C781" s="545">
        <v>110</v>
      </c>
      <c r="D781" s="2"/>
      <c r="E781" s="2"/>
      <c r="H781" s="509" t="s">
        <v>2349</v>
      </c>
      <c r="I781" s="2"/>
      <c r="J781" s="463"/>
      <c r="K781" s="526" t="e">
        <f>K779/10</f>
        <v>#REF!</v>
      </c>
      <c r="O781" s="509" t="s">
        <v>3490</v>
      </c>
      <c r="AG781" s="509" t="s">
        <v>2514</v>
      </c>
    </row>
    <row r="782" spans="1:33" hidden="1">
      <c r="A782" s="521"/>
      <c r="C782" s="2"/>
      <c r="D782" s="2"/>
      <c r="E782" s="2"/>
      <c r="I782" s="2"/>
      <c r="J782" s="463"/>
      <c r="K782" s="552"/>
      <c r="N782" s="509" t="s">
        <v>2788</v>
      </c>
      <c r="O782" s="509" t="s">
        <v>3491</v>
      </c>
      <c r="P782" s="519">
        <f>C271</f>
        <v>160</v>
      </c>
      <c r="R782" s="519" t="e">
        <f>(#VALUE!*P782)</f>
        <v>#VALUE!</v>
      </c>
      <c r="AG782" s="509" t="s">
        <v>2514</v>
      </c>
    </row>
    <row r="783" spans="1:33" hidden="1">
      <c r="A783" s="521"/>
      <c r="C783" s="2">
        <v>3.05</v>
      </c>
      <c r="D783" s="2"/>
      <c r="E783" s="2"/>
      <c r="F783" s="519">
        <v>1</v>
      </c>
      <c r="G783" s="518" t="s">
        <v>2334</v>
      </c>
      <c r="H783" s="509" t="s">
        <v>2873</v>
      </c>
      <c r="I783" s="492">
        <f>C25</f>
        <v>20.7</v>
      </c>
      <c r="J783" s="463"/>
      <c r="K783" s="526">
        <f>F783*I783</f>
        <v>20.7</v>
      </c>
      <c r="N783" s="509" t="s">
        <v>2342</v>
      </c>
      <c r="O783" s="509" t="s">
        <v>3492</v>
      </c>
      <c r="P783" s="519">
        <v>5</v>
      </c>
      <c r="R783" s="519" t="e">
        <f>(#VALUE!*P783)</f>
        <v>#VALUE!</v>
      </c>
      <c r="AG783" s="509" t="s">
        <v>2514</v>
      </c>
    </row>
    <row r="784" spans="1:33" hidden="1">
      <c r="A784" s="521"/>
      <c r="C784" s="2">
        <v>30</v>
      </c>
      <c r="D784" s="2"/>
      <c r="E784" s="2"/>
      <c r="I784" s="2"/>
      <c r="J784" s="463"/>
      <c r="K784" s="526" t="s">
        <v>442</v>
      </c>
      <c r="N784" s="509" t="s">
        <v>2342</v>
      </c>
      <c r="O784" s="509" t="s">
        <v>3493</v>
      </c>
      <c r="P784" s="519">
        <v>10</v>
      </c>
      <c r="R784" s="519" t="e">
        <f>(#VALUE!*P784)</f>
        <v>#VALUE!</v>
      </c>
      <c r="AG784" s="509" t="s">
        <v>2514</v>
      </c>
    </row>
    <row r="785" spans="1:33" hidden="1">
      <c r="A785" s="521"/>
      <c r="C785" s="2">
        <v>35</v>
      </c>
      <c r="D785" s="2"/>
      <c r="E785" s="2"/>
      <c r="I785" s="2"/>
      <c r="J785" s="463"/>
      <c r="K785" s="526" t="e">
        <f>SUM(K781:K783)</f>
        <v>#REF!</v>
      </c>
      <c r="N785" s="509" t="s">
        <v>2342</v>
      </c>
      <c r="O785" s="509" t="s">
        <v>3494</v>
      </c>
      <c r="P785" s="519">
        <v>8</v>
      </c>
      <c r="R785" s="519" t="e">
        <f>(#VALUE!*P785)</f>
        <v>#VALUE!</v>
      </c>
      <c r="AG785" s="509" t="s">
        <v>2514</v>
      </c>
    </row>
    <row r="786" spans="1:33" hidden="1">
      <c r="A786" s="521"/>
      <c r="C786" s="2">
        <v>125</v>
      </c>
      <c r="D786" s="2"/>
      <c r="E786" s="2"/>
      <c r="I786" s="2"/>
      <c r="J786" s="463"/>
      <c r="K786" s="526" t="s">
        <v>442</v>
      </c>
      <c r="N786" s="509" t="s">
        <v>12</v>
      </c>
      <c r="O786" s="509" t="s">
        <v>3495</v>
      </c>
      <c r="P786" s="519">
        <v>13.66</v>
      </c>
      <c r="R786" s="519" t="e">
        <f>(#VALUE!*P786)</f>
        <v>#VALUE!</v>
      </c>
      <c r="AG786" s="509" t="s">
        <v>2514</v>
      </c>
    </row>
    <row r="787" spans="1:33" hidden="1">
      <c r="A787" s="521"/>
      <c r="B787" s="511" t="s">
        <v>3496</v>
      </c>
      <c r="C787" s="501">
        <v>162</v>
      </c>
      <c r="D787" s="501">
        <v>179</v>
      </c>
      <c r="E787" s="2"/>
      <c r="I787" s="2"/>
      <c r="J787" s="463"/>
      <c r="K787" s="526"/>
      <c r="N787" s="509"/>
      <c r="O787" s="509"/>
      <c r="P787" s="519"/>
      <c r="R787" s="519"/>
      <c r="AG787" s="509"/>
    </row>
    <row r="788" spans="1:33" hidden="1">
      <c r="A788" s="521"/>
      <c r="B788" s="511" t="s">
        <v>3497</v>
      </c>
      <c r="C788" s="546">
        <v>185</v>
      </c>
      <c r="D788" s="2"/>
      <c r="E788" s="2"/>
      <c r="H788" s="509" t="s">
        <v>2354</v>
      </c>
      <c r="I788" s="2"/>
      <c r="J788" s="463"/>
      <c r="K788" s="526" t="e">
        <f>(K785+C22)</f>
        <v>#REF!</v>
      </c>
      <c r="N788" s="509" t="s">
        <v>2788</v>
      </c>
      <c r="O788" s="509" t="s">
        <v>3498</v>
      </c>
      <c r="P788" s="519">
        <v>25.46</v>
      </c>
      <c r="R788" s="519" t="e">
        <f>(#VALUE!*P788)</f>
        <v>#VALUE!</v>
      </c>
      <c r="AG788" s="509" t="s">
        <v>2514</v>
      </c>
    </row>
    <row r="789" spans="1:33" hidden="1">
      <c r="A789" s="521"/>
      <c r="B789" s="511" t="s">
        <v>3499</v>
      </c>
      <c r="C789" s="546">
        <v>170</v>
      </c>
      <c r="D789" s="2"/>
      <c r="E789" s="2"/>
      <c r="H789" s="509" t="s">
        <v>2362</v>
      </c>
      <c r="I789" s="2"/>
      <c r="J789" s="463"/>
      <c r="K789" s="526" t="e">
        <f>(K788+C23)</f>
        <v>#REF!</v>
      </c>
      <c r="N789" s="509" t="s">
        <v>2342</v>
      </c>
      <c r="O789" s="509" t="s">
        <v>3500</v>
      </c>
      <c r="P789" s="519">
        <v>0.5</v>
      </c>
      <c r="R789" s="519" t="e">
        <f>(#VALUE!*P789)</f>
        <v>#VALUE!</v>
      </c>
      <c r="AG789" s="509" t="s">
        <v>2514</v>
      </c>
    </row>
    <row r="790" spans="1:33" hidden="1">
      <c r="A790" s="521"/>
      <c r="B790" s="511" t="s">
        <v>3501</v>
      </c>
      <c r="C790" s="546">
        <v>160</v>
      </c>
      <c r="D790" s="2"/>
      <c r="E790" s="2"/>
      <c r="H790" s="509" t="s">
        <v>2480</v>
      </c>
      <c r="I790" s="2"/>
      <c r="J790" s="463"/>
      <c r="K790" s="526" t="e">
        <f>(K789+C24)</f>
        <v>#REF!</v>
      </c>
      <c r="R790" s="519">
        <v>0.54</v>
      </c>
      <c r="AG790" s="509" t="s">
        <v>2690</v>
      </c>
    </row>
    <row r="791" spans="1:33" hidden="1">
      <c r="A791" s="521"/>
      <c r="B791" s="547" t="s">
        <v>3489</v>
      </c>
      <c r="C791" s="546">
        <v>121</v>
      </c>
      <c r="D791" s="2"/>
      <c r="E791" s="2"/>
      <c r="H791" s="509" t="s">
        <v>2481</v>
      </c>
      <c r="I791" s="2"/>
      <c r="J791" s="463"/>
      <c r="K791" s="526" t="e">
        <f>(K790+C24)</f>
        <v>#REF!</v>
      </c>
      <c r="R791" s="515" t="s">
        <v>442</v>
      </c>
    </row>
    <row r="792" spans="1:33" hidden="1">
      <c r="A792" s="521"/>
      <c r="B792" s="547" t="s">
        <v>3502</v>
      </c>
      <c r="C792" s="501">
        <v>120</v>
      </c>
      <c r="D792" s="2"/>
      <c r="E792" s="2"/>
      <c r="H792" s="509" t="s">
        <v>262</v>
      </c>
      <c r="I792" s="2"/>
      <c r="J792" s="463"/>
      <c r="K792" s="526" t="e">
        <f>(K791+C24)</f>
        <v>#REF!</v>
      </c>
      <c r="O792" s="510" t="s">
        <v>3503</v>
      </c>
      <c r="R792" s="519" t="e">
        <f>SUM(R779:R790)</f>
        <v>#VALUE!</v>
      </c>
    </row>
    <row r="793" spans="1:33" hidden="1">
      <c r="B793" s="547" t="s">
        <v>3504</v>
      </c>
      <c r="C793" s="501">
        <v>70</v>
      </c>
      <c r="D793" s="2"/>
      <c r="E793" s="2"/>
      <c r="F793" s="509" t="s">
        <v>30</v>
      </c>
      <c r="I793" s="2"/>
      <c r="J793" s="463"/>
      <c r="K793" s="552"/>
    </row>
    <row r="794" spans="1:33" hidden="1">
      <c r="A794" s="521"/>
      <c r="B794" s="547" t="s">
        <v>3505</v>
      </c>
      <c r="C794" s="2">
        <v>35</v>
      </c>
      <c r="D794" s="2"/>
      <c r="E794" s="2"/>
      <c r="F794" s="509" t="s">
        <v>30</v>
      </c>
      <c r="G794" s="518" t="s">
        <v>575</v>
      </c>
      <c r="H794" s="510" t="s">
        <v>3506</v>
      </c>
      <c r="I794" s="2"/>
      <c r="J794" s="463"/>
      <c r="K794" s="552"/>
      <c r="R794" s="515" t="s">
        <v>442</v>
      </c>
      <c r="AG794" s="509" t="s">
        <v>2514</v>
      </c>
    </row>
    <row r="795" spans="1:33" hidden="1">
      <c r="A795" s="521"/>
      <c r="B795" s="547" t="s">
        <v>3507</v>
      </c>
      <c r="C795" s="2">
        <v>90</v>
      </c>
      <c r="D795" s="2"/>
      <c r="E795" s="2"/>
      <c r="H795" s="515" t="s">
        <v>29</v>
      </c>
      <c r="I795" s="2"/>
      <c r="J795" s="463"/>
      <c r="K795" s="552"/>
      <c r="AG795" s="509" t="s">
        <v>2514</v>
      </c>
    </row>
    <row r="796" spans="1:33" hidden="1">
      <c r="A796" s="521"/>
      <c r="B796" s="547" t="s">
        <v>3508</v>
      </c>
      <c r="C796" s="501">
        <v>140</v>
      </c>
      <c r="D796" s="2"/>
      <c r="E796" s="2"/>
      <c r="I796" s="2"/>
      <c r="J796" s="463"/>
      <c r="K796" s="552"/>
      <c r="N796" s="509" t="s">
        <v>3335</v>
      </c>
      <c r="O796" s="509" t="s">
        <v>3509</v>
      </c>
      <c r="AG796" s="509" t="s">
        <v>2514</v>
      </c>
    </row>
    <row r="797" spans="1:33" ht="31.5" hidden="1">
      <c r="A797" s="548">
        <v>1</v>
      </c>
      <c r="B797" s="549" t="s">
        <v>3510</v>
      </c>
      <c r="C797" s="2"/>
      <c r="D797" s="2"/>
      <c r="E797" s="2"/>
      <c r="F797" s="510" t="s">
        <v>3511</v>
      </c>
      <c r="G797" s="518" t="s">
        <v>575</v>
      </c>
      <c r="H797" s="509" t="s">
        <v>3512</v>
      </c>
      <c r="I797" s="2"/>
      <c r="J797" s="463"/>
      <c r="K797" s="552"/>
      <c r="O797" s="509" t="s">
        <v>3484</v>
      </c>
      <c r="AG797" s="509" t="s">
        <v>2514</v>
      </c>
    </row>
    <row r="798" spans="1:33" hidden="1">
      <c r="A798" s="548"/>
      <c r="B798" s="547" t="s">
        <v>3513</v>
      </c>
      <c r="C798" s="550">
        <v>11</v>
      </c>
      <c r="D798" s="2"/>
      <c r="E798" s="2"/>
      <c r="H798" s="509" t="s">
        <v>3514</v>
      </c>
      <c r="I798" s="2"/>
      <c r="J798" s="463"/>
      <c r="K798" s="552"/>
      <c r="N798" s="509" t="s">
        <v>1973</v>
      </c>
      <c r="O798" s="509" t="s">
        <v>3486</v>
      </c>
      <c r="P798" s="519">
        <v>43</v>
      </c>
      <c r="R798" s="519" t="e">
        <f>(#VALUE!*P798)</f>
        <v>#VALUE!</v>
      </c>
      <c r="AG798" s="509" t="s">
        <v>2514</v>
      </c>
    </row>
    <row r="799" spans="1:33" hidden="1">
      <c r="A799" s="551"/>
      <c r="B799" s="547" t="s">
        <v>3515</v>
      </c>
      <c r="C799" s="550">
        <v>11</v>
      </c>
      <c r="D799" s="2"/>
      <c r="E799" s="2"/>
      <c r="H799" s="509" t="s">
        <v>3516</v>
      </c>
      <c r="I799" s="2"/>
      <c r="J799" s="463"/>
      <c r="K799" s="552"/>
      <c r="O799" s="509" t="s">
        <v>3488</v>
      </c>
      <c r="AG799" s="509" t="s">
        <v>2514</v>
      </c>
    </row>
    <row r="800" spans="1:33" hidden="1">
      <c r="A800" s="548"/>
      <c r="B800" s="547" t="s">
        <v>3517</v>
      </c>
      <c r="C800" s="550">
        <v>11</v>
      </c>
      <c r="D800" s="2"/>
      <c r="E800" s="2"/>
      <c r="H800" s="509" t="s">
        <v>3518</v>
      </c>
      <c r="I800" s="2"/>
      <c r="J800" s="463"/>
      <c r="K800" s="552"/>
      <c r="O800" s="509" t="s">
        <v>3490</v>
      </c>
      <c r="AG800" s="509" t="s">
        <v>2514</v>
      </c>
    </row>
    <row r="801" spans="1:33" hidden="1">
      <c r="A801" s="551"/>
      <c r="B801" s="547" t="s">
        <v>3519</v>
      </c>
      <c r="C801" s="550">
        <v>11</v>
      </c>
      <c r="D801" s="2"/>
      <c r="E801" s="2"/>
      <c r="H801" s="509" t="s">
        <v>3520</v>
      </c>
      <c r="I801" s="2"/>
      <c r="J801" s="463"/>
      <c r="K801" s="552"/>
      <c r="N801" s="509" t="s">
        <v>2788</v>
      </c>
      <c r="O801" s="509" t="s">
        <v>3491</v>
      </c>
      <c r="P801" s="519">
        <f>C271</f>
        <v>160</v>
      </c>
      <c r="R801" s="519" t="e">
        <f t="shared" ref="R801:R807" si="42">(#VALUE!*P801)</f>
        <v>#VALUE!</v>
      </c>
      <c r="AG801" s="509" t="s">
        <v>2514</v>
      </c>
    </row>
    <row r="802" spans="1:33" hidden="1">
      <c r="A802" s="548"/>
      <c r="B802" s="547" t="s">
        <v>3521</v>
      </c>
      <c r="C802" s="550">
        <v>12</v>
      </c>
      <c r="D802" s="2"/>
      <c r="E802" s="2"/>
      <c r="H802" s="509" t="s">
        <v>3522</v>
      </c>
      <c r="I802" s="2"/>
      <c r="J802" s="463"/>
      <c r="K802" s="552"/>
      <c r="N802" s="509" t="s">
        <v>2342</v>
      </c>
      <c r="O802" s="509" t="s">
        <v>3492</v>
      </c>
      <c r="P802" s="519">
        <v>5</v>
      </c>
      <c r="R802" s="519" t="e">
        <f t="shared" si="42"/>
        <v>#VALUE!</v>
      </c>
      <c r="AG802" s="509" t="s">
        <v>2514</v>
      </c>
    </row>
    <row r="803" spans="1:33" hidden="1">
      <c r="A803" s="551"/>
      <c r="B803" s="547" t="s">
        <v>3523</v>
      </c>
      <c r="C803" s="552" t="s">
        <v>3524</v>
      </c>
      <c r="D803" s="2"/>
      <c r="E803" s="2"/>
      <c r="H803" s="509" t="s">
        <v>3525</v>
      </c>
      <c r="I803" s="2"/>
      <c r="J803" s="463"/>
      <c r="K803" s="552"/>
      <c r="N803" s="509" t="s">
        <v>2342</v>
      </c>
      <c r="O803" s="509" t="s">
        <v>3493</v>
      </c>
      <c r="P803" s="519">
        <v>10</v>
      </c>
      <c r="R803" s="519" t="e">
        <f t="shared" si="42"/>
        <v>#VALUE!</v>
      </c>
      <c r="AG803" s="509" t="s">
        <v>2514</v>
      </c>
    </row>
    <row r="804" spans="1:33" hidden="1">
      <c r="A804" s="548"/>
      <c r="B804" s="547" t="s">
        <v>3526</v>
      </c>
      <c r="C804" s="501">
        <v>25</v>
      </c>
      <c r="D804" s="2"/>
      <c r="E804" s="2"/>
      <c r="H804" s="509" t="s">
        <v>3527</v>
      </c>
      <c r="I804" s="2"/>
      <c r="J804" s="463"/>
      <c r="K804" s="552"/>
      <c r="N804" s="509" t="s">
        <v>2342</v>
      </c>
      <c r="O804" s="509" t="s">
        <v>3494</v>
      </c>
      <c r="P804" s="519">
        <v>8</v>
      </c>
      <c r="R804" s="519" t="e">
        <f t="shared" si="42"/>
        <v>#VALUE!</v>
      </c>
      <c r="AG804" s="509" t="s">
        <v>2514</v>
      </c>
    </row>
    <row r="805" spans="1:33" hidden="1">
      <c r="A805" s="551"/>
      <c r="B805" s="547" t="s">
        <v>3528</v>
      </c>
      <c r="C805" s="552" t="s">
        <v>3524</v>
      </c>
      <c r="D805" s="2"/>
      <c r="E805" s="2"/>
      <c r="H805" s="509" t="s">
        <v>3529</v>
      </c>
      <c r="I805" s="2"/>
      <c r="J805" s="463"/>
      <c r="K805" s="552"/>
      <c r="N805" s="509" t="s">
        <v>12</v>
      </c>
      <c r="O805" s="509" t="s">
        <v>3495</v>
      </c>
      <c r="P805" s="519">
        <v>13.66</v>
      </c>
      <c r="R805" s="519" t="e">
        <f t="shared" si="42"/>
        <v>#VALUE!</v>
      </c>
      <c r="AG805" s="509" t="s">
        <v>2514</v>
      </c>
    </row>
    <row r="806" spans="1:33" hidden="1">
      <c r="A806" s="548"/>
      <c r="B806" s="547" t="s">
        <v>3530</v>
      </c>
      <c r="C806" s="552" t="s">
        <v>3524</v>
      </c>
      <c r="D806" s="2"/>
      <c r="E806" s="2"/>
      <c r="H806" s="509" t="s">
        <v>3531</v>
      </c>
      <c r="I806" s="2"/>
      <c r="J806" s="463"/>
      <c r="K806" s="552"/>
      <c r="N806" s="509" t="s">
        <v>2788</v>
      </c>
      <c r="O806" s="509" t="s">
        <v>3498</v>
      </c>
      <c r="P806" s="519">
        <v>25.46</v>
      </c>
      <c r="R806" s="519" t="e">
        <f t="shared" si="42"/>
        <v>#VALUE!</v>
      </c>
      <c r="AG806" s="509" t="s">
        <v>2514</v>
      </c>
    </row>
    <row r="807" spans="1:33" hidden="1">
      <c r="A807" s="551"/>
      <c r="B807" s="547" t="s">
        <v>3532</v>
      </c>
      <c r="C807" s="552" t="s">
        <v>3524</v>
      </c>
      <c r="D807" s="2"/>
      <c r="E807" s="2"/>
      <c r="H807" s="509" t="s">
        <v>3533</v>
      </c>
      <c r="I807" s="2"/>
      <c r="J807" s="463"/>
      <c r="K807" s="552"/>
      <c r="N807" s="509" t="s">
        <v>2342</v>
      </c>
      <c r="O807" s="509" t="s">
        <v>3500</v>
      </c>
      <c r="P807" s="519">
        <v>0.5</v>
      </c>
      <c r="R807" s="519" t="e">
        <f t="shared" si="42"/>
        <v>#VALUE!</v>
      </c>
      <c r="AG807" s="509" t="s">
        <v>2514</v>
      </c>
    </row>
    <row r="808" spans="1:33" ht="31.5" hidden="1">
      <c r="A808" s="548">
        <v>2</v>
      </c>
      <c r="B808" s="549" t="s">
        <v>3534</v>
      </c>
      <c r="C808" s="2"/>
      <c r="D808" s="2"/>
      <c r="E808" s="2"/>
      <c r="H808" s="509" t="s">
        <v>3535</v>
      </c>
      <c r="I808" s="2"/>
      <c r="J808" s="463"/>
      <c r="K808" s="552"/>
      <c r="R808" s="519">
        <v>0.7</v>
      </c>
      <c r="AG808" s="509" t="s">
        <v>2514</v>
      </c>
    </row>
    <row r="809" spans="1:33" hidden="1">
      <c r="A809" s="551"/>
      <c r="B809" s="547" t="s">
        <v>3536</v>
      </c>
      <c r="C809" s="550">
        <v>12.5</v>
      </c>
      <c r="D809" s="2"/>
      <c r="E809" s="2"/>
      <c r="H809" s="509" t="s">
        <v>3537</v>
      </c>
      <c r="I809" s="2"/>
      <c r="J809" s="463"/>
      <c r="K809" s="552"/>
      <c r="R809" s="515" t="s">
        <v>442</v>
      </c>
      <c r="AG809" s="509" t="s">
        <v>2514</v>
      </c>
    </row>
    <row r="810" spans="1:33" hidden="1">
      <c r="A810" s="548">
        <v>3</v>
      </c>
      <c r="B810" s="547" t="s">
        <v>3538</v>
      </c>
      <c r="C810" s="501">
        <v>242</v>
      </c>
      <c r="D810" s="2"/>
      <c r="E810" s="2"/>
      <c r="H810" s="509" t="s">
        <v>3539</v>
      </c>
      <c r="I810" s="2"/>
      <c r="J810" s="463"/>
      <c r="K810" s="552"/>
      <c r="O810" s="510" t="s">
        <v>3503</v>
      </c>
      <c r="R810" s="519" t="e">
        <f>SUM(R798:R808)</f>
        <v>#VALUE!</v>
      </c>
      <c r="AG810" s="509" t="s">
        <v>2514</v>
      </c>
    </row>
    <row r="811" spans="1:33" hidden="1">
      <c r="A811" s="551" t="s">
        <v>3540</v>
      </c>
      <c r="B811" s="553" t="s">
        <v>3541</v>
      </c>
      <c r="C811" s="2"/>
      <c r="D811" s="2"/>
      <c r="E811" s="2"/>
      <c r="I811" s="2"/>
      <c r="J811" s="463"/>
      <c r="K811" s="552"/>
      <c r="R811" s="515" t="s">
        <v>442</v>
      </c>
      <c r="AG811" s="509" t="s">
        <v>2514</v>
      </c>
    </row>
    <row r="812" spans="1:33" hidden="1">
      <c r="A812" s="548"/>
      <c r="B812" s="547" t="s">
        <v>3542</v>
      </c>
      <c r="C812" s="554">
        <v>75</v>
      </c>
      <c r="D812" s="2"/>
      <c r="E812" s="2"/>
      <c r="I812" s="2"/>
      <c r="J812" s="463"/>
      <c r="K812" s="552"/>
      <c r="R812" s="515"/>
      <c r="AG812" s="509"/>
    </row>
    <row r="813" spans="1:33" hidden="1">
      <c r="A813" s="551"/>
      <c r="B813" s="555" t="s">
        <v>3543</v>
      </c>
      <c r="C813" s="554">
        <v>80</v>
      </c>
      <c r="D813" s="2"/>
      <c r="E813" s="2"/>
      <c r="G813" s="518" t="s">
        <v>3366</v>
      </c>
      <c r="H813" s="510" t="s">
        <v>3544</v>
      </c>
      <c r="I813" s="2"/>
      <c r="J813" s="463"/>
      <c r="K813" s="552"/>
      <c r="R813" s="515"/>
      <c r="AG813" s="509"/>
    </row>
    <row r="814" spans="1:33" ht="31.5" hidden="1">
      <c r="A814" s="548">
        <v>4</v>
      </c>
      <c r="B814" s="549" t="s">
        <v>3545</v>
      </c>
      <c r="C814" s="2"/>
      <c r="D814" s="2"/>
      <c r="E814" s="2"/>
      <c r="H814" s="510" t="s">
        <v>3546</v>
      </c>
      <c r="I814" s="2"/>
      <c r="J814" s="463"/>
      <c r="K814" s="552"/>
      <c r="R814" s="515"/>
      <c r="AG814" s="509"/>
    </row>
    <row r="815" spans="1:33" hidden="1">
      <c r="A815" s="551"/>
      <c r="B815" s="547" t="s">
        <v>3547</v>
      </c>
      <c r="C815" s="501">
        <v>42</v>
      </c>
      <c r="D815" s="2"/>
      <c r="E815" s="2"/>
      <c r="F815" s="541">
        <v>3.8800000000000001E-2</v>
      </c>
      <c r="G815" s="518" t="s">
        <v>2334</v>
      </c>
      <c r="H815" s="509" t="s">
        <v>3548</v>
      </c>
      <c r="I815" s="492" t="e">
        <f>K781</f>
        <v>#REF!</v>
      </c>
      <c r="J815" s="500" t="s">
        <v>2334</v>
      </c>
      <c r="K815" s="526" t="e">
        <f>F815*I815</f>
        <v>#REF!</v>
      </c>
      <c r="R815" s="515"/>
      <c r="AG815" s="509"/>
    </row>
    <row r="816" spans="1:33" hidden="1">
      <c r="A816" s="548"/>
      <c r="B816" s="547" t="s">
        <v>3549</v>
      </c>
      <c r="C816" s="501">
        <v>46</v>
      </c>
      <c r="D816" s="2"/>
      <c r="E816" s="2"/>
      <c r="F816" s="519">
        <v>5.01</v>
      </c>
      <c r="G816" s="518" t="s">
        <v>40</v>
      </c>
      <c r="H816" s="509" t="s">
        <v>3550</v>
      </c>
      <c r="I816" s="492">
        <f>K1513</f>
        <v>33174.400000000001</v>
      </c>
      <c r="J816" s="500" t="s">
        <v>2516</v>
      </c>
      <c r="K816" s="526">
        <f>F816*I816/1000</f>
        <v>166.203744</v>
      </c>
      <c r="R816" s="515"/>
      <c r="AG816" s="509"/>
    </row>
    <row r="817" spans="1:33" hidden="1">
      <c r="A817" s="551"/>
      <c r="B817" s="547" t="s">
        <v>3551</v>
      </c>
      <c r="C817" s="501">
        <v>42</v>
      </c>
      <c r="D817" s="2"/>
      <c r="E817" s="2"/>
      <c r="F817" s="519">
        <v>3</v>
      </c>
      <c r="G817" s="518" t="s">
        <v>2342</v>
      </c>
      <c r="H817" s="509" t="s">
        <v>3552</v>
      </c>
      <c r="I817" s="492">
        <v>16.5</v>
      </c>
      <c r="J817" s="500" t="s">
        <v>2342</v>
      </c>
      <c r="K817" s="526">
        <f t="shared" ref="K817:K824" si="43">F817*I817</f>
        <v>49.5</v>
      </c>
      <c r="R817" s="515"/>
      <c r="AG817" s="509"/>
    </row>
    <row r="818" spans="1:33" ht="31.5" hidden="1">
      <c r="A818" s="548">
        <v>5</v>
      </c>
      <c r="B818" s="549" t="s">
        <v>3553</v>
      </c>
      <c r="C818" s="2"/>
      <c r="D818" s="2"/>
      <c r="E818" s="2"/>
      <c r="F818" s="519">
        <v>12</v>
      </c>
      <c r="G818" s="518" t="s">
        <v>2342</v>
      </c>
      <c r="H818" s="509" t="s">
        <v>3554</v>
      </c>
      <c r="I818" s="492">
        <v>3.85</v>
      </c>
      <c r="J818" s="500" t="s">
        <v>2342</v>
      </c>
      <c r="K818" s="526">
        <f t="shared" si="43"/>
        <v>46.2</v>
      </c>
      <c r="R818" s="515"/>
      <c r="AG818" s="509"/>
    </row>
    <row r="819" spans="1:33" hidden="1">
      <c r="A819" s="551"/>
      <c r="B819" s="547" t="s">
        <v>3555</v>
      </c>
      <c r="C819" s="501">
        <v>174</v>
      </c>
      <c r="D819" s="2"/>
      <c r="E819" s="2"/>
      <c r="F819" s="519">
        <v>2</v>
      </c>
      <c r="G819" s="518" t="s">
        <v>2342</v>
      </c>
      <c r="H819" s="509" t="s">
        <v>3556</v>
      </c>
      <c r="I819" s="492">
        <v>5</v>
      </c>
      <c r="J819" s="500" t="s">
        <v>2342</v>
      </c>
      <c r="K819" s="526">
        <f t="shared" si="43"/>
        <v>10</v>
      </c>
      <c r="R819" s="515"/>
      <c r="AG819" s="509"/>
    </row>
    <row r="820" spans="1:33" hidden="1">
      <c r="A820" s="548"/>
      <c r="B820" s="547" t="s">
        <v>3557</v>
      </c>
      <c r="C820" s="501">
        <v>182</v>
      </c>
      <c r="D820" s="2"/>
      <c r="E820" s="2"/>
      <c r="F820" s="519">
        <v>6</v>
      </c>
      <c r="G820" s="518" t="s">
        <v>2342</v>
      </c>
      <c r="H820" s="509" t="s">
        <v>3558</v>
      </c>
      <c r="I820" s="492">
        <v>3.85</v>
      </c>
      <c r="J820" s="500" t="s">
        <v>2342</v>
      </c>
      <c r="K820" s="526">
        <f t="shared" si="43"/>
        <v>23.1</v>
      </c>
      <c r="R820" s="515"/>
      <c r="AG820" s="509"/>
    </row>
    <row r="821" spans="1:33" hidden="1">
      <c r="A821" s="551"/>
      <c r="B821" s="547" t="s">
        <v>3559</v>
      </c>
      <c r="C821" s="501">
        <v>444</v>
      </c>
      <c r="D821" s="2"/>
      <c r="E821" s="2"/>
      <c r="F821" s="519">
        <v>1</v>
      </c>
      <c r="G821" s="518" t="s">
        <v>2342</v>
      </c>
      <c r="H821" s="509" t="s">
        <v>3560</v>
      </c>
      <c r="I821" s="492">
        <f>C10</f>
        <v>150</v>
      </c>
      <c r="J821" s="500" t="s">
        <v>2342</v>
      </c>
      <c r="K821" s="526">
        <f t="shared" si="43"/>
        <v>150</v>
      </c>
      <c r="R821" s="515"/>
      <c r="AG821" s="509"/>
    </row>
    <row r="822" spans="1:33" hidden="1">
      <c r="A822" s="548"/>
      <c r="B822" s="547" t="s">
        <v>3561</v>
      </c>
      <c r="C822" s="501">
        <v>626</v>
      </c>
      <c r="D822" s="2"/>
      <c r="E822" s="2"/>
      <c r="F822" s="519">
        <v>1</v>
      </c>
      <c r="G822" s="518" t="s">
        <v>2342</v>
      </c>
      <c r="H822" s="509" t="s">
        <v>3562</v>
      </c>
      <c r="I822" s="492">
        <f>C12</f>
        <v>95</v>
      </c>
      <c r="J822" s="500" t="s">
        <v>2342</v>
      </c>
      <c r="K822" s="526">
        <f t="shared" si="43"/>
        <v>95</v>
      </c>
      <c r="R822" s="515"/>
      <c r="AG822" s="509"/>
    </row>
    <row r="823" spans="1:33" ht="47.25" hidden="1">
      <c r="A823" s="551">
        <v>6</v>
      </c>
      <c r="B823" s="549" t="s">
        <v>3563</v>
      </c>
      <c r="C823" s="2"/>
      <c r="D823" s="2"/>
      <c r="E823" s="2"/>
      <c r="F823" s="519">
        <v>1</v>
      </c>
      <c r="G823" s="518" t="s">
        <v>2342</v>
      </c>
      <c r="H823" s="509" t="s">
        <v>3564</v>
      </c>
      <c r="I823" s="492">
        <v>25</v>
      </c>
      <c r="J823" s="500" t="s">
        <v>2342</v>
      </c>
      <c r="K823" s="526">
        <f t="shared" si="43"/>
        <v>25</v>
      </c>
      <c r="R823" s="515"/>
      <c r="AG823" s="509"/>
    </row>
    <row r="824" spans="1:33" hidden="1">
      <c r="A824" s="548"/>
      <c r="B824" s="547" t="s">
        <v>3565</v>
      </c>
      <c r="C824" s="552" t="s">
        <v>3524</v>
      </c>
      <c r="D824" s="2"/>
      <c r="E824" s="2"/>
      <c r="F824" s="519">
        <v>0.5</v>
      </c>
      <c r="G824" s="518" t="s">
        <v>2342</v>
      </c>
      <c r="H824" s="509" t="s">
        <v>3566</v>
      </c>
      <c r="I824" s="492">
        <f>C13</f>
        <v>85</v>
      </c>
      <c r="J824" s="500" t="s">
        <v>2342</v>
      </c>
      <c r="K824" s="526">
        <f t="shared" si="43"/>
        <v>42.5</v>
      </c>
      <c r="R824" s="515"/>
      <c r="AG824" s="509"/>
    </row>
    <row r="825" spans="1:33" hidden="1">
      <c r="A825" s="551"/>
      <c r="B825" s="547" t="s">
        <v>3567</v>
      </c>
      <c r="C825" s="501">
        <v>306</v>
      </c>
      <c r="D825" s="2"/>
      <c r="E825" s="2"/>
      <c r="G825" s="518" t="s">
        <v>2346</v>
      </c>
      <c r="H825" s="509" t="s">
        <v>3568</v>
      </c>
      <c r="I825" s="2"/>
      <c r="J825" s="500" t="s">
        <v>2346</v>
      </c>
      <c r="K825" s="526">
        <v>0.5</v>
      </c>
      <c r="R825" s="515"/>
      <c r="AG825" s="509"/>
    </row>
    <row r="826" spans="1:33" ht="31.5" hidden="1">
      <c r="A826" s="548"/>
      <c r="B826" s="556" t="s">
        <v>3569</v>
      </c>
      <c r="C826" s="501">
        <v>450</v>
      </c>
      <c r="D826" s="2"/>
      <c r="E826" s="2"/>
      <c r="I826" s="2"/>
      <c r="J826" s="463"/>
      <c r="K826" s="526" t="s">
        <v>442</v>
      </c>
      <c r="R826" s="515"/>
      <c r="AG826" s="509"/>
    </row>
    <row r="827" spans="1:33" ht="47.25" hidden="1">
      <c r="A827" s="551">
        <v>7</v>
      </c>
      <c r="B827" s="549" t="s">
        <v>3570</v>
      </c>
      <c r="C827" s="2"/>
      <c r="D827" s="2"/>
      <c r="E827" s="2"/>
      <c r="H827" s="510" t="s">
        <v>3571</v>
      </c>
      <c r="I827" s="2"/>
      <c r="J827" s="463"/>
      <c r="K827" s="526" t="e">
        <f>SUM(K815:K825)</f>
        <v>#REF!</v>
      </c>
      <c r="R827" s="515"/>
      <c r="AG827" s="509"/>
    </row>
    <row r="828" spans="1:33" hidden="1">
      <c r="A828" s="548"/>
      <c r="B828" s="547" t="s">
        <v>3567</v>
      </c>
      <c r="C828" s="501">
        <v>575</v>
      </c>
      <c r="D828" s="2"/>
      <c r="E828" s="2"/>
      <c r="I828" s="2"/>
      <c r="J828" s="463"/>
      <c r="K828" s="526" t="s">
        <v>442</v>
      </c>
      <c r="R828" s="515"/>
      <c r="AG828" s="509"/>
    </row>
    <row r="829" spans="1:33" ht="31.5" hidden="1">
      <c r="A829" s="551"/>
      <c r="B829" s="556" t="s">
        <v>3569</v>
      </c>
      <c r="C829" s="501">
        <v>750</v>
      </c>
      <c r="D829" s="2"/>
      <c r="E829" s="2"/>
      <c r="I829" s="2"/>
      <c r="J829" s="463"/>
      <c r="K829" s="552"/>
      <c r="R829" s="515"/>
      <c r="AG829" s="509"/>
    </row>
    <row r="830" spans="1:33" ht="47.25" hidden="1">
      <c r="A830" s="548">
        <v>8</v>
      </c>
      <c r="B830" s="549" t="s">
        <v>3572</v>
      </c>
      <c r="C830" s="2"/>
      <c r="D830" s="2"/>
      <c r="E830" s="2"/>
      <c r="I830" s="2"/>
      <c r="J830" s="463"/>
      <c r="K830" s="552"/>
      <c r="R830" s="515"/>
      <c r="AG830" s="509"/>
    </row>
    <row r="831" spans="1:33" hidden="1">
      <c r="A831" s="551"/>
      <c r="B831" s="511" t="s">
        <v>3573</v>
      </c>
      <c r="C831" s="501">
        <v>850</v>
      </c>
      <c r="D831" s="2"/>
      <c r="E831" s="2"/>
      <c r="G831" s="518" t="s">
        <v>2365</v>
      </c>
      <c r="H831" s="510" t="s">
        <v>3574</v>
      </c>
      <c r="I831" s="2"/>
      <c r="J831" s="463"/>
      <c r="K831" s="552"/>
      <c r="R831" s="509" t="s">
        <v>30</v>
      </c>
      <c r="AG831" s="509" t="s">
        <v>2514</v>
      </c>
    </row>
    <row r="832" spans="1:33" hidden="1">
      <c r="A832" s="548"/>
      <c r="B832" s="511" t="s">
        <v>3575</v>
      </c>
      <c r="C832" s="501">
        <v>1050</v>
      </c>
      <c r="D832" s="2"/>
      <c r="E832" s="2"/>
      <c r="H832" s="510" t="s">
        <v>3546</v>
      </c>
      <c r="I832" s="2"/>
      <c r="J832" s="463"/>
      <c r="K832" s="552"/>
      <c r="N832" s="509" t="s">
        <v>3366</v>
      </c>
      <c r="O832" s="509" t="s">
        <v>3576</v>
      </c>
      <c r="AG832" s="509" t="s">
        <v>2514</v>
      </c>
    </row>
    <row r="833" spans="1:33" ht="69" hidden="1" customHeight="1">
      <c r="A833" s="551">
        <v>9</v>
      </c>
      <c r="B833" s="549" t="s">
        <v>3577</v>
      </c>
      <c r="C833" s="2"/>
      <c r="D833" s="2"/>
      <c r="E833" s="2"/>
      <c r="F833" s="541">
        <v>3.7600000000000001E-2</v>
      </c>
      <c r="G833" s="518" t="s">
        <v>2334</v>
      </c>
      <c r="H833" s="509" t="s">
        <v>3548</v>
      </c>
      <c r="I833" s="492" t="e">
        <f>K781</f>
        <v>#REF!</v>
      </c>
      <c r="J833" s="500" t="s">
        <v>2334</v>
      </c>
      <c r="K833" s="526" t="e">
        <f>F833*I833</f>
        <v>#REF!</v>
      </c>
      <c r="O833" s="509" t="s">
        <v>3484</v>
      </c>
      <c r="AG833" s="509" t="s">
        <v>2514</v>
      </c>
    </row>
    <row r="834" spans="1:33" hidden="1">
      <c r="A834" s="548"/>
      <c r="B834" s="511" t="s">
        <v>3578</v>
      </c>
      <c r="C834" s="552" t="s">
        <v>3524</v>
      </c>
      <c r="D834" s="2"/>
      <c r="E834" s="2"/>
      <c r="F834" s="519">
        <v>4.87</v>
      </c>
      <c r="G834" s="518" t="s">
        <v>40</v>
      </c>
      <c r="H834" s="509" t="s">
        <v>3550</v>
      </c>
      <c r="I834" s="492">
        <f>K1513</f>
        <v>33174.400000000001</v>
      </c>
      <c r="J834" s="500" t="s">
        <v>2516</v>
      </c>
      <c r="K834" s="526">
        <f>F834*I834/1000</f>
        <v>161.55932800000002</v>
      </c>
      <c r="N834" s="509" t="s">
        <v>1973</v>
      </c>
      <c r="O834" s="509" t="s">
        <v>3486</v>
      </c>
      <c r="P834" s="519">
        <v>43</v>
      </c>
      <c r="R834" s="519" t="e">
        <f>(#VALUE!*P834)</f>
        <v>#VALUE!</v>
      </c>
      <c r="AG834" s="509" t="s">
        <v>2514</v>
      </c>
    </row>
    <row r="835" spans="1:33" hidden="1">
      <c r="A835" s="551"/>
      <c r="B835" s="547" t="s">
        <v>3579</v>
      </c>
      <c r="C835" s="554" t="s">
        <v>3524</v>
      </c>
      <c r="D835" s="2"/>
      <c r="E835" s="2"/>
      <c r="F835" s="519">
        <v>3</v>
      </c>
      <c r="G835" s="518" t="s">
        <v>2342</v>
      </c>
      <c r="H835" s="509" t="s">
        <v>3552</v>
      </c>
      <c r="I835" s="492">
        <v>16.5</v>
      </c>
      <c r="J835" s="500" t="s">
        <v>2342</v>
      </c>
      <c r="K835" s="526">
        <f t="shared" ref="K835:K841" si="44">F835*I835</f>
        <v>49.5</v>
      </c>
      <c r="O835" s="509" t="s">
        <v>3488</v>
      </c>
      <c r="AG835" s="509" t="s">
        <v>2514</v>
      </c>
    </row>
    <row r="836" spans="1:33" ht="70.5" hidden="1" customHeight="1">
      <c r="A836" s="548">
        <v>10</v>
      </c>
      <c r="B836" s="549" t="s">
        <v>3580</v>
      </c>
      <c r="C836" s="2"/>
      <c r="D836" s="2"/>
      <c r="E836" s="2"/>
      <c r="F836" s="519">
        <v>12</v>
      </c>
      <c r="G836" s="518" t="s">
        <v>2342</v>
      </c>
      <c r="H836" s="509" t="s">
        <v>3554</v>
      </c>
      <c r="I836" s="492">
        <v>3.85</v>
      </c>
      <c r="J836" s="500" t="s">
        <v>2342</v>
      </c>
      <c r="K836" s="526">
        <f t="shared" si="44"/>
        <v>46.2</v>
      </c>
      <c r="O836" s="509" t="s">
        <v>3490</v>
      </c>
      <c r="AG836" s="509" t="s">
        <v>2514</v>
      </c>
    </row>
    <row r="837" spans="1:33" hidden="1">
      <c r="A837" s="551"/>
      <c r="B837" s="547" t="s">
        <v>3581</v>
      </c>
      <c r="C837" s="501" t="s">
        <v>3524</v>
      </c>
      <c r="D837" s="2"/>
      <c r="E837" s="2"/>
      <c r="F837" s="519">
        <v>2</v>
      </c>
      <c r="G837" s="518" t="s">
        <v>2342</v>
      </c>
      <c r="H837" s="509" t="s">
        <v>3556</v>
      </c>
      <c r="I837" s="492">
        <v>5</v>
      </c>
      <c r="J837" s="500" t="s">
        <v>2342</v>
      </c>
      <c r="K837" s="526">
        <f t="shared" si="44"/>
        <v>10</v>
      </c>
      <c r="N837" s="509" t="s">
        <v>2788</v>
      </c>
      <c r="O837" s="509" t="s">
        <v>3491</v>
      </c>
      <c r="P837" s="519">
        <f>C271</f>
        <v>160</v>
      </c>
      <c r="R837" s="519" t="e">
        <f>(#VALUE!*P837)</f>
        <v>#VALUE!</v>
      </c>
      <c r="AG837" s="509" t="s">
        <v>2514</v>
      </c>
    </row>
    <row r="838" spans="1:33" hidden="1">
      <c r="A838" s="548"/>
      <c r="B838" s="547" t="s">
        <v>3579</v>
      </c>
      <c r="C838" s="501" t="s">
        <v>3524</v>
      </c>
      <c r="D838" s="2"/>
      <c r="E838" s="2"/>
      <c r="F838" s="519">
        <v>6</v>
      </c>
      <c r="G838" s="518" t="s">
        <v>2342</v>
      </c>
      <c r="H838" s="509" t="s">
        <v>3558</v>
      </c>
      <c r="I838" s="492">
        <v>3.85</v>
      </c>
      <c r="J838" s="500" t="s">
        <v>2342</v>
      </c>
      <c r="K838" s="526">
        <f t="shared" si="44"/>
        <v>23.1</v>
      </c>
      <c r="N838" s="509" t="s">
        <v>2342</v>
      </c>
      <c r="O838" s="509" t="s">
        <v>3492</v>
      </c>
      <c r="P838" s="519">
        <v>5</v>
      </c>
      <c r="R838" s="519" t="e">
        <f>(#VALUE!*P838)</f>
        <v>#VALUE!</v>
      </c>
      <c r="AG838" s="509" t="s">
        <v>2514</v>
      </c>
    </row>
    <row r="839" spans="1:33" hidden="1">
      <c r="A839" s="551"/>
      <c r="B839" s="547" t="s">
        <v>3582</v>
      </c>
      <c r="C839" s="501" t="s">
        <v>3524</v>
      </c>
      <c r="D839" s="2"/>
      <c r="E839" s="2"/>
      <c r="F839" s="519">
        <v>1</v>
      </c>
      <c r="G839" s="518" t="s">
        <v>2342</v>
      </c>
      <c r="H839" s="509" t="s">
        <v>3560</v>
      </c>
      <c r="I839" s="492">
        <f>C10</f>
        <v>150</v>
      </c>
      <c r="J839" s="500" t="s">
        <v>2342</v>
      </c>
      <c r="K839" s="526">
        <f t="shared" si="44"/>
        <v>150</v>
      </c>
      <c r="N839" s="509" t="s">
        <v>2342</v>
      </c>
      <c r="O839" s="509" t="s">
        <v>3493</v>
      </c>
      <c r="P839" s="519">
        <v>10</v>
      </c>
      <c r="R839" s="519" t="e">
        <f>(#VALUE!*P839)</f>
        <v>#VALUE!</v>
      </c>
      <c r="AG839" s="509" t="s">
        <v>2514</v>
      </c>
    </row>
    <row r="840" spans="1:33" hidden="1">
      <c r="A840" s="548"/>
      <c r="B840" s="547" t="s">
        <v>3583</v>
      </c>
      <c r="C840" s="552" t="s">
        <v>3524</v>
      </c>
      <c r="D840" s="2"/>
      <c r="E840" s="2"/>
      <c r="F840" s="519">
        <v>1</v>
      </c>
      <c r="G840" s="518" t="s">
        <v>2342</v>
      </c>
      <c r="H840" s="509" t="s">
        <v>3562</v>
      </c>
      <c r="I840" s="492">
        <f>C12</f>
        <v>95</v>
      </c>
      <c r="J840" s="500" t="s">
        <v>2342</v>
      </c>
      <c r="K840" s="526">
        <f t="shared" si="44"/>
        <v>95</v>
      </c>
      <c r="N840" s="509" t="s">
        <v>2342</v>
      </c>
      <c r="O840" s="509" t="s">
        <v>3494</v>
      </c>
      <c r="P840" s="519">
        <v>8</v>
      </c>
      <c r="R840" s="519" t="e">
        <f>(#VALUE!*P840)</f>
        <v>#VALUE!</v>
      </c>
      <c r="AG840" s="509" t="s">
        <v>2514</v>
      </c>
    </row>
    <row r="841" spans="1:33" hidden="1">
      <c r="A841" s="551"/>
      <c r="B841" s="547" t="s">
        <v>3584</v>
      </c>
      <c r="C841" s="501">
        <v>1459</v>
      </c>
      <c r="D841" s="2"/>
      <c r="E841" s="2"/>
      <c r="F841" s="519">
        <v>1</v>
      </c>
      <c r="G841" s="518" t="s">
        <v>2342</v>
      </c>
      <c r="H841" s="509" t="s">
        <v>3564</v>
      </c>
      <c r="I841" s="492">
        <v>25</v>
      </c>
      <c r="J841" s="500" t="s">
        <v>2342</v>
      </c>
      <c r="K841" s="526">
        <f t="shared" si="44"/>
        <v>25</v>
      </c>
      <c r="N841" s="509" t="s">
        <v>12</v>
      </c>
      <c r="O841" s="509" t="s">
        <v>3495</v>
      </c>
      <c r="P841" s="519">
        <v>13.66</v>
      </c>
      <c r="R841" s="519" t="e">
        <f>(#VALUE!*P841)</f>
        <v>#VALUE!</v>
      </c>
      <c r="AG841" s="509" t="s">
        <v>2514</v>
      </c>
    </row>
    <row r="842" spans="1:33" ht="33" hidden="1" customHeight="1">
      <c r="A842" s="551"/>
      <c r="B842" s="556" t="s">
        <v>3585</v>
      </c>
      <c r="C842" s="501">
        <v>1930</v>
      </c>
      <c r="D842" s="2"/>
      <c r="E842" s="2"/>
      <c r="F842" s="519"/>
      <c r="G842" s="518"/>
      <c r="H842" s="509"/>
      <c r="I842" s="492"/>
      <c r="J842" s="500"/>
      <c r="K842" s="526"/>
      <c r="N842" s="509"/>
      <c r="O842" s="509"/>
      <c r="P842" s="519"/>
      <c r="R842" s="519"/>
      <c r="AG842" s="509"/>
    </row>
    <row r="843" spans="1:33" ht="37.5" hidden="1" customHeight="1">
      <c r="A843" s="548"/>
      <c r="B843" s="557" t="s">
        <v>3586</v>
      </c>
      <c r="C843" s="501">
        <v>2630</v>
      </c>
      <c r="D843" s="2"/>
      <c r="E843" s="2"/>
      <c r="F843" s="519">
        <v>0.5</v>
      </c>
      <c r="G843" s="518" t="s">
        <v>2342</v>
      </c>
      <c r="H843" s="509" t="s">
        <v>3566</v>
      </c>
      <c r="I843" s="492">
        <f>C13</f>
        <v>85</v>
      </c>
      <c r="J843" s="500" t="s">
        <v>2342</v>
      </c>
      <c r="K843" s="526">
        <f>F843*I843</f>
        <v>42.5</v>
      </c>
      <c r="N843" s="509" t="s">
        <v>2788</v>
      </c>
      <c r="O843" s="509" t="s">
        <v>3498</v>
      </c>
      <c r="P843" s="519">
        <v>25.46</v>
      </c>
      <c r="R843" s="519" t="e">
        <f>(#VALUE!*P843)</f>
        <v>#VALUE!</v>
      </c>
      <c r="AG843" s="509" t="s">
        <v>2514</v>
      </c>
    </row>
    <row r="844" spans="1:33" ht="70.5" hidden="1" customHeight="1">
      <c r="A844" s="551">
        <v>11</v>
      </c>
      <c r="B844" s="549" t="s">
        <v>3587</v>
      </c>
      <c r="C844" s="2"/>
      <c r="D844" s="2"/>
      <c r="E844" s="2"/>
      <c r="G844" s="518" t="s">
        <v>2346</v>
      </c>
      <c r="H844" s="509" t="s">
        <v>3568</v>
      </c>
      <c r="I844" s="2"/>
      <c r="J844" s="500" t="s">
        <v>2346</v>
      </c>
      <c r="K844" s="526">
        <v>0.5</v>
      </c>
      <c r="N844" s="509" t="s">
        <v>2342</v>
      </c>
      <c r="O844" s="509" t="s">
        <v>3500</v>
      </c>
      <c r="P844" s="519">
        <v>0.5</v>
      </c>
      <c r="R844" s="519" t="e">
        <f>(#VALUE!*P844)</f>
        <v>#VALUE!</v>
      </c>
      <c r="AG844" s="509" t="s">
        <v>2514</v>
      </c>
    </row>
    <row r="845" spans="1:33" hidden="1">
      <c r="A845" s="548"/>
      <c r="B845" s="547" t="s">
        <v>3588</v>
      </c>
      <c r="C845" s="501">
        <v>642</v>
      </c>
      <c r="D845" s="2"/>
      <c r="E845" s="2"/>
      <c r="I845" s="2"/>
      <c r="J845" s="463"/>
      <c r="K845" s="526" t="s">
        <v>442</v>
      </c>
      <c r="R845" s="519">
        <v>0.97</v>
      </c>
      <c r="AG845" s="509" t="s">
        <v>2514</v>
      </c>
    </row>
    <row r="846" spans="1:33" ht="70.5" hidden="1" customHeight="1">
      <c r="A846" s="551">
        <v>12</v>
      </c>
      <c r="B846" s="549" t="s">
        <v>3589</v>
      </c>
      <c r="C846" s="2"/>
      <c r="D846" s="2"/>
      <c r="E846" s="2"/>
      <c r="H846" s="510" t="s">
        <v>3571</v>
      </c>
      <c r="I846" s="2"/>
      <c r="J846" s="463"/>
      <c r="K846" s="526" t="e">
        <f>SUM(K833:K844)</f>
        <v>#REF!</v>
      </c>
      <c r="R846" s="515" t="s">
        <v>442</v>
      </c>
      <c r="AG846" s="509" t="s">
        <v>2514</v>
      </c>
    </row>
    <row r="847" spans="1:33" hidden="1">
      <c r="A847" s="548"/>
      <c r="B847" s="547" t="s">
        <v>3588</v>
      </c>
      <c r="C847" s="501">
        <v>864</v>
      </c>
      <c r="D847" s="2"/>
      <c r="E847" s="2"/>
      <c r="I847" s="2"/>
      <c r="J847" s="463"/>
      <c r="K847" s="526" t="s">
        <v>442</v>
      </c>
      <c r="O847" s="510" t="s">
        <v>3503</v>
      </c>
      <c r="R847" s="519" t="e">
        <f>SUM(R834:R845)</f>
        <v>#VALUE!</v>
      </c>
      <c r="AG847" s="509" t="s">
        <v>2514</v>
      </c>
    </row>
    <row r="848" spans="1:33" ht="97.5" hidden="1" customHeight="1">
      <c r="A848" s="551">
        <v>13</v>
      </c>
      <c r="B848" s="549" t="s">
        <v>3590</v>
      </c>
      <c r="C848" s="2"/>
      <c r="D848" s="2"/>
      <c r="E848" s="2"/>
      <c r="F848" s="510"/>
      <c r="G848" s="518" t="s">
        <v>3335</v>
      </c>
      <c r="H848" s="510" t="s">
        <v>3591</v>
      </c>
      <c r="I848" s="2"/>
      <c r="J848" s="463"/>
      <c r="K848" s="552"/>
      <c r="R848" s="515" t="s">
        <v>442</v>
      </c>
      <c r="AG848" s="509" t="s">
        <v>2514</v>
      </c>
    </row>
    <row r="849" spans="1:18" hidden="1">
      <c r="A849" s="548"/>
      <c r="B849" s="547" t="s">
        <v>3592</v>
      </c>
      <c r="C849" s="501">
        <v>3100</v>
      </c>
      <c r="D849" s="2"/>
      <c r="E849" s="2"/>
      <c r="H849" s="510" t="s">
        <v>3546</v>
      </c>
      <c r="I849" s="2"/>
      <c r="J849" s="463"/>
      <c r="K849" s="552"/>
    </row>
    <row r="850" spans="1:18" hidden="1">
      <c r="A850" s="551"/>
      <c r="B850" s="555" t="s">
        <v>3593</v>
      </c>
      <c r="C850" s="501">
        <v>3267</v>
      </c>
      <c r="D850" s="2"/>
      <c r="E850" s="2"/>
      <c r="F850" s="541">
        <v>3.5299999999999998E-2</v>
      </c>
      <c r="G850" s="518" t="s">
        <v>2334</v>
      </c>
      <c r="H850" s="509" t="s">
        <v>3548</v>
      </c>
      <c r="I850" s="492" t="e">
        <f>K781</f>
        <v>#REF!</v>
      </c>
      <c r="J850" s="500" t="s">
        <v>2334</v>
      </c>
      <c r="K850" s="526" t="e">
        <f>F850*I850</f>
        <v>#REF!</v>
      </c>
      <c r="M850" s="510" t="s">
        <v>3594</v>
      </c>
      <c r="N850" s="509" t="s">
        <v>575</v>
      </c>
      <c r="O850" s="509" t="s">
        <v>3595</v>
      </c>
    </row>
    <row r="851" spans="1:18" ht="33" hidden="1" customHeight="1">
      <c r="A851" s="548"/>
      <c r="B851" s="557" t="s">
        <v>3596</v>
      </c>
      <c r="C851" s="501">
        <v>1790</v>
      </c>
      <c r="D851" s="2"/>
      <c r="E851" s="2"/>
      <c r="F851" s="519">
        <v>4.59</v>
      </c>
      <c r="G851" s="518" t="s">
        <v>40</v>
      </c>
      <c r="H851" s="509" t="s">
        <v>3550</v>
      </c>
      <c r="I851" s="492">
        <f>K1513</f>
        <v>33174.400000000001</v>
      </c>
      <c r="J851" s="500" t="s">
        <v>2516</v>
      </c>
      <c r="K851" s="526">
        <f>F851*I851/1000</f>
        <v>152.27049600000001</v>
      </c>
      <c r="O851" s="509" t="s">
        <v>3597</v>
      </c>
    </row>
    <row r="852" spans="1:18" ht="33" hidden="1" customHeight="1">
      <c r="A852" s="551">
        <v>14</v>
      </c>
      <c r="B852" s="558" t="s">
        <v>3598</v>
      </c>
      <c r="C852" s="2"/>
      <c r="D852" s="2"/>
      <c r="E852" s="2"/>
      <c r="F852" s="519"/>
      <c r="G852" s="518"/>
      <c r="H852" s="509"/>
      <c r="I852" s="492"/>
      <c r="J852" s="500"/>
      <c r="K852" s="526"/>
      <c r="O852" s="509"/>
    </row>
    <row r="853" spans="1:18" hidden="1">
      <c r="A853" s="548"/>
      <c r="B853" s="555" t="s">
        <v>3599</v>
      </c>
      <c r="C853" s="552" t="s">
        <v>3524</v>
      </c>
      <c r="D853" s="2"/>
      <c r="E853" s="2"/>
      <c r="F853" s="519">
        <v>3</v>
      </c>
      <c r="G853" s="518" t="s">
        <v>2342</v>
      </c>
      <c r="H853" s="509" t="s">
        <v>3552</v>
      </c>
      <c r="I853" s="492">
        <v>16.5</v>
      </c>
      <c r="J853" s="500" t="s">
        <v>2342</v>
      </c>
      <c r="K853" s="526">
        <f t="shared" ref="K853:K860" si="45">F853*I853</f>
        <v>49.5</v>
      </c>
      <c r="O853" s="515" t="s">
        <v>442</v>
      </c>
      <c r="P853" s="515" t="s">
        <v>442</v>
      </c>
    </row>
    <row r="854" spans="1:18" hidden="1">
      <c r="A854" s="551"/>
      <c r="B854" s="511" t="s">
        <v>3600</v>
      </c>
      <c r="C854" s="552" t="s">
        <v>3524</v>
      </c>
      <c r="D854" s="2"/>
      <c r="E854" s="2"/>
      <c r="F854" s="519">
        <v>12</v>
      </c>
      <c r="G854" s="518" t="s">
        <v>2342</v>
      </c>
      <c r="H854" s="509" t="s">
        <v>3554</v>
      </c>
      <c r="I854" s="492">
        <v>3.85</v>
      </c>
      <c r="J854" s="500" t="s">
        <v>2342</v>
      </c>
      <c r="K854" s="526">
        <f t="shared" si="45"/>
        <v>46.2</v>
      </c>
      <c r="O854" s="509" t="s">
        <v>3601</v>
      </c>
    </row>
    <row r="855" spans="1:18" hidden="1">
      <c r="A855" s="548"/>
      <c r="B855" s="511" t="s">
        <v>3602</v>
      </c>
      <c r="C855" s="552" t="s">
        <v>3524</v>
      </c>
      <c r="D855" s="2"/>
      <c r="E855" s="2"/>
      <c r="F855" s="519">
        <v>2</v>
      </c>
      <c r="G855" s="518" t="s">
        <v>2342</v>
      </c>
      <c r="H855" s="519" t="str">
        <f>H837</f>
        <v>TOWER BOLT RECEIVER</v>
      </c>
      <c r="I855" s="492">
        <v>5</v>
      </c>
      <c r="J855" s="500" t="s">
        <v>2342</v>
      </c>
      <c r="K855" s="526">
        <f t="shared" si="45"/>
        <v>10</v>
      </c>
      <c r="M855" s="519">
        <v>0.5</v>
      </c>
      <c r="N855" s="510" t="s">
        <v>2359</v>
      </c>
      <c r="O855" s="509" t="s">
        <v>2578</v>
      </c>
      <c r="P855" s="519">
        <f>C16</f>
        <v>150</v>
      </c>
      <c r="Q855" s="510" t="s">
        <v>3321</v>
      </c>
      <c r="R855" s="519">
        <f>(M855*P855)</f>
        <v>75</v>
      </c>
    </row>
    <row r="856" spans="1:18" ht="52.5" hidden="1" customHeight="1">
      <c r="A856" s="551">
        <v>15</v>
      </c>
      <c r="B856" s="558" t="s">
        <v>3603</v>
      </c>
      <c r="C856" s="552"/>
      <c r="D856" s="2"/>
      <c r="E856" s="2"/>
      <c r="F856" s="519">
        <v>6</v>
      </c>
      <c r="G856" s="518" t="s">
        <v>2342</v>
      </c>
      <c r="H856" s="509" t="s">
        <v>3558</v>
      </c>
      <c r="I856" s="492">
        <v>3.85</v>
      </c>
      <c r="J856" s="500" t="s">
        <v>2342</v>
      </c>
      <c r="K856" s="526">
        <f t="shared" si="45"/>
        <v>23.1</v>
      </c>
      <c r="M856" s="519">
        <v>0.25</v>
      </c>
      <c r="N856" s="510" t="s">
        <v>2359</v>
      </c>
      <c r="O856" s="509" t="s">
        <v>2535</v>
      </c>
      <c r="P856" s="519">
        <f>C13</f>
        <v>85</v>
      </c>
      <c r="Q856" s="510" t="s">
        <v>3321</v>
      </c>
      <c r="R856" s="519">
        <f>(M856*P856)</f>
        <v>21.25</v>
      </c>
    </row>
    <row r="857" spans="1:18" hidden="1">
      <c r="A857" s="548"/>
      <c r="B857" s="511" t="s">
        <v>3604</v>
      </c>
      <c r="C857" s="552" t="s">
        <v>3524</v>
      </c>
      <c r="D857" s="2"/>
      <c r="E857" s="2"/>
      <c r="F857" s="519">
        <v>1</v>
      </c>
      <c r="G857" s="518" t="s">
        <v>2342</v>
      </c>
      <c r="H857" s="509" t="s">
        <v>3560</v>
      </c>
      <c r="I857" s="492">
        <f>C10</f>
        <v>150</v>
      </c>
      <c r="J857" s="500" t="s">
        <v>2342</v>
      </c>
      <c r="K857" s="526">
        <f t="shared" si="45"/>
        <v>150</v>
      </c>
      <c r="R857" s="515" t="s">
        <v>442</v>
      </c>
    </row>
    <row r="858" spans="1:18" hidden="1">
      <c r="A858" s="551"/>
      <c r="B858" s="511" t="s">
        <v>3605</v>
      </c>
      <c r="C858" s="552" t="s">
        <v>3524</v>
      </c>
      <c r="D858" s="2"/>
      <c r="E858" s="2"/>
      <c r="F858" s="519">
        <v>1</v>
      </c>
      <c r="G858" s="518" t="s">
        <v>2342</v>
      </c>
      <c r="H858" s="509" t="s">
        <v>3562</v>
      </c>
      <c r="I858" s="492">
        <f>C12</f>
        <v>95</v>
      </c>
      <c r="J858" s="500" t="s">
        <v>2342</v>
      </c>
      <c r="K858" s="526">
        <f t="shared" si="45"/>
        <v>95</v>
      </c>
      <c r="O858" s="510" t="s">
        <v>3606</v>
      </c>
      <c r="R858" s="519">
        <f>SUM(R855:R856)</f>
        <v>96.25</v>
      </c>
    </row>
    <row r="859" spans="1:18" hidden="1">
      <c r="A859" s="548"/>
      <c r="B859" s="555" t="s">
        <v>3607</v>
      </c>
      <c r="C859" s="552" t="s">
        <v>3524</v>
      </c>
      <c r="D859" s="2"/>
      <c r="E859" s="2"/>
      <c r="F859" s="519">
        <v>1</v>
      </c>
      <c r="G859" s="518" t="s">
        <v>2342</v>
      </c>
      <c r="H859" s="519" t="str">
        <f>H841</f>
        <v>MOULDING CHARGES</v>
      </c>
      <c r="I859" s="492">
        <v>25</v>
      </c>
      <c r="J859" s="500" t="s">
        <v>2342</v>
      </c>
      <c r="K859" s="526">
        <f t="shared" si="45"/>
        <v>25</v>
      </c>
      <c r="R859" s="515" t="s">
        <v>442</v>
      </c>
    </row>
    <row r="860" spans="1:18" hidden="1">
      <c r="A860" s="551">
        <v>16</v>
      </c>
      <c r="B860" s="558" t="s">
        <v>3608</v>
      </c>
      <c r="C860" s="2"/>
      <c r="D860" s="2"/>
      <c r="E860" s="2"/>
      <c r="F860" s="519">
        <v>0.5</v>
      </c>
      <c r="G860" s="518" t="s">
        <v>2342</v>
      </c>
      <c r="H860" s="509" t="s">
        <v>3566</v>
      </c>
      <c r="I860" s="492">
        <f>C13</f>
        <v>85</v>
      </c>
      <c r="J860" s="500" t="s">
        <v>2342</v>
      </c>
      <c r="K860" s="526">
        <f t="shared" si="45"/>
        <v>42.5</v>
      </c>
      <c r="O860" s="510" t="s">
        <v>3609</v>
      </c>
      <c r="R860" s="519">
        <f>R858/0.0283</f>
        <v>3401.0600706713781</v>
      </c>
    </row>
    <row r="861" spans="1:18" hidden="1">
      <c r="A861" s="559"/>
      <c r="B861" s="547" t="s">
        <v>3610</v>
      </c>
      <c r="C861" s="501">
        <v>10</v>
      </c>
      <c r="D861" s="2"/>
      <c r="E861" s="2"/>
      <c r="G861" s="518" t="s">
        <v>2346</v>
      </c>
      <c r="H861" s="509" t="s">
        <v>3568</v>
      </c>
      <c r="I861" s="2"/>
      <c r="J861" s="500" t="s">
        <v>2346</v>
      </c>
      <c r="K861" s="526">
        <v>0.5</v>
      </c>
      <c r="R861" s="515" t="s">
        <v>442</v>
      </c>
    </row>
    <row r="862" spans="1:18" hidden="1">
      <c r="A862" s="559"/>
      <c r="B862" s="547" t="s">
        <v>3611</v>
      </c>
      <c r="C862" s="501">
        <v>10</v>
      </c>
      <c r="D862" s="2"/>
      <c r="E862" s="2"/>
      <c r="I862" s="2"/>
      <c r="J862" s="463"/>
      <c r="K862" s="526" t="s">
        <v>442</v>
      </c>
    </row>
    <row r="863" spans="1:18" ht="31.5" hidden="1">
      <c r="A863" s="551">
        <v>17</v>
      </c>
      <c r="B863" s="558" t="s">
        <v>3612</v>
      </c>
      <c r="C863" s="2"/>
      <c r="D863" s="2"/>
      <c r="E863" s="2"/>
      <c r="H863" s="510" t="s">
        <v>3571</v>
      </c>
      <c r="I863" s="2"/>
      <c r="J863" s="463"/>
      <c r="K863" s="526" t="e">
        <f>SUM(K850:K861)</f>
        <v>#REF!</v>
      </c>
    </row>
    <row r="864" spans="1:18" hidden="1">
      <c r="A864" s="551"/>
      <c r="B864" s="511" t="s">
        <v>3613</v>
      </c>
      <c r="C864" s="501">
        <v>170</v>
      </c>
      <c r="D864" s="2"/>
      <c r="E864" s="2"/>
      <c r="I864" s="2"/>
      <c r="J864" s="463"/>
      <c r="K864" s="526" t="s">
        <v>442</v>
      </c>
    </row>
    <row r="865" spans="1:33" hidden="1">
      <c r="A865" s="551"/>
      <c r="B865" s="547" t="s">
        <v>3614</v>
      </c>
      <c r="C865" s="501">
        <v>170</v>
      </c>
      <c r="D865" s="2"/>
      <c r="E865" s="2"/>
      <c r="I865" s="2"/>
      <c r="J865" s="463"/>
      <c r="K865" s="552"/>
    </row>
    <row r="866" spans="1:33" hidden="1">
      <c r="A866" s="551"/>
      <c r="B866" s="547" t="s">
        <v>3615</v>
      </c>
      <c r="C866" s="501">
        <v>295</v>
      </c>
      <c r="D866" s="2"/>
      <c r="E866" s="2"/>
      <c r="I866" s="2"/>
      <c r="J866" s="463"/>
      <c r="K866" s="552"/>
    </row>
    <row r="867" spans="1:33" ht="31.5" hidden="1">
      <c r="A867" s="551"/>
      <c r="B867" s="556" t="s">
        <v>3616</v>
      </c>
      <c r="C867" s="501">
        <v>240</v>
      </c>
      <c r="D867" s="2"/>
      <c r="E867" s="2"/>
      <c r="I867" s="2"/>
      <c r="J867" s="463"/>
      <c r="K867" s="552"/>
    </row>
    <row r="868" spans="1:33" ht="142.5" hidden="1" customHeight="1">
      <c r="A868" s="551"/>
      <c r="C868" s="2"/>
      <c r="D868" s="2"/>
      <c r="E868" s="2"/>
      <c r="F868" s="560">
        <v>21.3</v>
      </c>
      <c r="G868" s="518" t="s">
        <v>575</v>
      </c>
      <c r="H868" s="561" t="s">
        <v>3617</v>
      </c>
      <c r="I868" s="2"/>
      <c r="J868" s="463"/>
      <c r="K868" s="552"/>
      <c r="AG868" s="509" t="s">
        <v>2514</v>
      </c>
    </row>
    <row r="869" spans="1:33" hidden="1">
      <c r="A869" s="551"/>
      <c r="B869" s="547" t="s">
        <v>3618</v>
      </c>
      <c r="C869" s="552" t="s">
        <v>3619</v>
      </c>
      <c r="D869" s="2"/>
      <c r="E869" s="2"/>
      <c r="H869" s="509" t="s">
        <v>3620</v>
      </c>
      <c r="I869" s="2"/>
      <c r="J869" s="463"/>
      <c r="K869" s="552"/>
      <c r="M869" s="519">
        <v>11.64</v>
      </c>
      <c r="N869" s="509" t="s">
        <v>12</v>
      </c>
      <c r="O869" s="509" t="s">
        <v>3495</v>
      </c>
      <c r="P869" s="519">
        <v>13.66</v>
      </c>
      <c r="R869" s="519">
        <f>(M869*P869)</f>
        <v>159.00240000000002</v>
      </c>
      <c r="AG869" s="509" t="s">
        <v>2514</v>
      </c>
    </row>
    <row r="870" spans="1:33" hidden="1">
      <c r="A870" s="551"/>
      <c r="B870" s="547" t="s">
        <v>3621</v>
      </c>
      <c r="C870" s="552" t="s">
        <v>3619</v>
      </c>
      <c r="D870" s="2"/>
      <c r="E870" s="2"/>
      <c r="H870" s="515" t="s">
        <v>442</v>
      </c>
      <c r="I870" s="2"/>
      <c r="J870" s="463"/>
      <c r="K870" s="552"/>
      <c r="M870" s="542">
        <v>1.62</v>
      </c>
      <c r="N870" s="509" t="s">
        <v>2788</v>
      </c>
      <c r="O870" s="509" t="s">
        <v>3498</v>
      </c>
      <c r="P870" s="519">
        <v>25.46</v>
      </c>
      <c r="R870" s="519">
        <f>(M870*P870)</f>
        <v>41.245200000000004</v>
      </c>
      <c r="AG870" s="509" t="s">
        <v>2514</v>
      </c>
    </row>
    <row r="871" spans="1:33" hidden="1">
      <c r="A871" s="551"/>
      <c r="B871" s="547" t="s">
        <v>3622</v>
      </c>
      <c r="C871" s="552" t="s">
        <v>3619</v>
      </c>
      <c r="D871" s="2"/>
      <c r="E871" s="2"/>
      <c r="I871" s="2"/>
      <c r="J871" s="463"/>
      <c r="K871" s="552"/>
      <c r="M871" s="519">
        <v>48</v>
      </c>
      <c r="N871" s="509" t="s">
        <v>2342</v>
      </c>
      <c r="O871" s="509" t="s">
        <v>3500</v>
      </c>
      <c r="P871" s="519">
        <v>0.5</v>
      </c>
      <c r="R871" s="519">
        <f>(M871*P871)</f>
        <v>24</v>
      </c>
      <c r="AG871" s="509" t="s">
        <v>2514</v>
      </c>
    </row>
    <row r="872" spans="1:33" hidden="1">
      <c r="A872" s="551"/>
      <c r="B872" s="547" t="s">
        <v>3623</v>
      </c>
      <c r="C872" s="552" t="s">
        <v>3619</v>
      </c>
      <c r="D872" s="2"/>
      <c r="E872" s="2"/>
      <c r="H872" s="509" t="s">
        <v>3620</v>
      </c>
      <c r="I872" s="2"/>
      <c r="J872" s="500" t="s">
        <v>2788</v>
      </c>
      <c r="K872" s="526">
        <v>1450</v>
      </c>
      <c r="R872" s="519">
        <v>0.23</v>
      </c>
      <c r="AG872" s="509" t="s">
        <v>2514</v>
      </c>
    </row>
    <row r="873" spans="1:33" hidden="1">
      <c r="A873" s="551">
        <v>18</v>
      </c>
      <c r="B873" s="553" t="s">
        <v>3624</v>
      </c>
      <c r="C873" s="2"/>
      <c r="D873" s="2"/>
      <c r="E873" s="2"/>
      <c r="F873" s="509" t="s">
        <v>30</v>
      </c>
      <c r="I873" s="2"/>
      <c r="J873" s="463"/>
      <c r="K873" s="552"/>
    </row>
    <row r="874" spans="1:33" hidden="1">
      <c r="A874" s="551"/>
      <c r="B874" s="547" t="s">
        <v>3625</v>
      </c>
      <c r="C874" s="501">
        <v>113</v>
      </c>
      <c r="D874" s="2"/>
      <c r="E874" s="2"/>
      <c r="H874" s="510" t="s">
        <v>3626</v>
      </c>
      <c r="I874" s="2"/>
      <c r="J874" s="463"/>
      <c r="K874" s="526" t="s">
        <v>29</v>
      </c>
      <c r="R874" s="515" t="s">
        <v>442</v>
      </c>
      <c r="AG874" s="509" t="s">
        <v>2514</v>
      </c>
    </row>
    <row r="875" spans="1:33" hidden="1">
      <c r="A875" s="551"/>
      <c r="B875" s="547" t="s">
        <v>3627</v>
      </c>
      <c r="C875" s="501">
        <v>135</v>
      </c>
      <c r="D875" s="2"/>
      <c r="E875" s="2"/>
      <c r="H875" s="510" t="s">
        <v>3628</v>
      </c>
      <c r="I875" s="2"/>
      <c r="J875" s="463"/>
      <c r="K875" s="552"/>
      <c r="O875" s="510" t="s">
        <v>3503</v>
      </c>
      <c r="R875" s="519">
        <f>SUM(R869:R872)</f>
        <v>224.47760000000002</v>
      </c>
      <c r="AG875" s="509" t="s">
        <v>2514</v>
      </c>
    </row>
    <row r="876" spans="1:33" hidden="1">
      <c r="A876" s="551"/>
      <c r="B876" s="547" t="s">
        <v>3629</v>
      </c>
      <c r="C876" s="501">
        <v>180</v>
      </c>
      <c r="D876" s="2"/>
      <c r="E876" s="2"/>
      <c r="F876" s="543">
        <v>21.2</v>
      </c>
      <c r="H876" s="562" t="s">
        <v>3630</v>
      </c>
      <c r="I876" s="2"/>
      <c r="J876" s="463"/>
      <c r="K876" s="552"/>
      <c r="AG876" s="509" t="s">
        <v>2514</v>
      </c>
    </row>
    <row r="877" spans="1:33" hidden="1">
      <c r="A877" s="551"/>
      <c r="B877" s="547" t="s">
        <v>3631</v>
      </c>
      <c r="C877" s="501">
        <v>248</v>
      </c>
      <c r="D877" s="2"/>
      <c r="E877" s="2"/>
      <c r="F877" s="543"/>
      <c r="H877" s="515" t="s">
        <v>442</v>
      </c>
      <c r="I877" s="2"/>
      <c r="J877" s="463"/>
      <c r="K877" s="552"/>
      <c r="AG877" s="509"/>
    </row>
    <row r="878" spans="1:33" hidden="1">
      <c r="A878" s="551">
        <v>19</v>
      </c>
      <c r="B878" s="547" t="s">
        <v>3632</v>
      </c>
      <c r="C878" s="552" t="s">
        <v>3619</v>
      </c>
      <c r="D878" s="2"/>
      <c r="E878" s="2"/>
      <c r="G878" s="518" t="s">
        <v>2970</v>
      </c>
      <c r="H878" s="509" t="s">
        <v>3633</v>
      </c>
      <c r="I878" s="2"/>
      <c r="J878" s="463"/>
      <c r="K878" s="526" t="s">
        <v>30</v>
      </c>
      <c r="AG878" s="509" t="s">
        <v>2514</v>
      </c>
    </row>
    <row r="879" spans="1:33" hidden="1">
      <c r="A879" s="551"/>
      <c r="B879" s="547" t="s">
        <v>3634</v>
      </c>
      <c r="C879" s="552" t="s">
        <v>3619</v>
      </c>
      <c r="D879" s="2"/>
      <c r="E879" s="2"/>
      <c r="H879" s="515" t="s">
        <v>442</v>
      </c>
      <c r="I879" s="2"/>
      <c r="J879" s="463"/>
      <c r="K879" s="526" t="s">
        <v>30</v>
      </c>
      <c r="AG879" s="509" t="s">
        <v>2514</v>
      </c>
    </row>
    <row r="880" spans="1:33" hidden="1">
      <c r="A880" s="551">
        <v>20</v>
      </c>
      <c r="B880" s="547" t="s">
        <v>3635</v>
      </c>
      <c r="C880" s="552" t="s">
        <v>3619</v>
      </c>
      <c r="D880" s="2"/>
      <c r="E880" s="2"/>
      <c r="F880" s="519">
        <v>1</v>
      </c>
      <c r="G880" s="518" t="s">
        <v>2334</v>
      </c>
      <c r="H880" s="509" t="s">
        <v>3636</v>
      </c>
      <c r="I880" s="492">
        <f>C30</f>
        <v>3035</v>
      </c>
      <c r="J880" s="500" t="s">
        <v>2334</v>
      </c>
      <c r="K880" s="526">
        <f>(F880*I880)</f>
        <v>3035</v>
      </c>
      <c r="AG880" s="509" t="s">
        <v>2514</v>
      </c>
    </row>
    <row r="881" spans="1:33" hidden="1">
      <c r="A881" s="551">
        <v>21</v>
      </c>
      <c r="B881" s="547" t="s">
        <v>3637</v>
      </c>
      <c r="C881" s="554" t="s">
        <v>3619</v>
      </c>
      <c r="D881" s="2"/>
      <c r="E881" s="2"/>
      <c r="F881" s="519">
        <v>1</v>
      </c>
      <c r="G881" s="518" t="s">
        <v>2334</v>
      </c>
      <c r="H881" s="509" t="s">
        <v>3633</v>
      </c>
      <c r="I881" s="492">
        <f>C88</f>
        <v>65420</v>
      </c>
      <c r="J881" s="500" t="s">
        <v>2334</v>
      </c>
      <c r="K881" s="526">
        <f>(F881*I881)</f>
        <v>65420</v>
      </c>
      <c r="AG881" s="509" t="s">
        <v>2514</v>
      </c>
    </row>
    <row r="882" spans="1:33" hidden="1">
      <c r="A882" s="551">
        <v>22</v>
      </c>
      <c r="B882" s="547" t="s">
        <v>3638</v>
      </c>
      <c r="C882" s="554" t="s">
        <v>3619</v>
      </c>
      <c r="D882" s="2"/>
      <c r="E882" s="2"/>
      <c r="I882" s="2"/>
      <c r="J882" s="463"/>
      <c r="K882" s="526" t="s">
        <v>29</v>
      </c>
      <c r="AG882" s="509" t="s">
        <v>2514</v>
      </c>
    </row>
    <row r="883" spans="1:33" hidden="1">
      <c r="A883" s="551">
        <v>23</v>
      </c>
      <c r="B883" s="553" t="s">
        <v>3639</v>
      </c>
      <c r="C883" s="2"/>
      <c r="D883" s="2"/>
      <c r="E883" s="2"/>
      <c r="H883" s="509" t="s">
        <v>3640</v>
      </c>
      <c r="I883" s="2"/>
      <c r="J883" s="463"/>
      <c r="K883" s="526">
        <f>SUM(K880:K881)</f>
        <v>68455</v>
      </c>
      <c r="AG883" s="509" t="s">
        <v>2514</v>
      </c>
    </row>
    <row r="884" spans="1:33" hidden="1">
      <c r="A884" s="551"/>
      <c r="B884" s="547" t="s">
        <v>3641</v>
      </c>
      <c r="C884" s="552" t="s">
        <v>3619</v>
      </c>
      <c r="D884" s="2"/>
      <c r="E884" s="2"/>
      <c r="I884" s="2"/>
      <c r="J884" s="463"/>
      <c r="K884" s="526" t="s">
        <v>29</v>
      </c>
      <c r="AG884" s="509" t="s">
        <v>2514</v>
      </c>
    </row>
    <row r="885" spans="1:33" hidden="1">
      <c r="A885" s="551"/>
      <c r="B885" s="547" t="s">
        <v>3642</v>
      </c>
      <c r="C885" s="552" t="s">
        <v>3619</v>
      </c>
      <c r="D885" s="2"/>
      <c r="E885" s="2"/>
      <c r="G885" s="518" t="s">
        <v>24</v>
      </c>
      <c r="H885" s="509" t="s">
        <v>3643</v>
      </c>
      <c r="I885" s="2"/>
      <c r="J885" s="463"/>
      <c r="K885" s="526" t="s">
        <v>30</v>
      </c>
      <c r="AG885" s="509" t="s">
        <v>2514</v>
      </c>
    </row>
    <row r="886" spans="1:33" hidden="1">
      <c r="A886" s="551">
        <v>24</v>
      </c>
      <c r="B886" s="553" t="s">
        <v>3644</v>
      </c>
      <c r="C886" s="501">
        <v>18</v>
      </c>
      <c r="D886" s="2"/>
      <c r="E886" s="2"/>
      <c r="H886" s="515" t="s">
        <v>442</v>
      </c>
      <c r="I886" s="2"/>
      <c r="J886" s="463"/>
      <c r="K886" s="552"/>
      <c r="AG886" s="509" t="s">
        <v>2514</v>
      </c>
    </row>
    <row r="887" spans="1:33" ht="51" hidden="1" customHeight="1">
      <c r="A887" s="551">
        <v>25</v>
      </c>
      <c r="B887" s="557" t="s">
        <v>3645</v>
      </c>
      <c r="C887" s="501">
        <v>300</v>
      </c>
      <c r="D887" s="2"/>
      <c r="E887" s="2"/>
      <c r="F887" s="519">
        <v>1</v>
      </c>
      <c r="G887" s="518" t="s">
        <v>2334</v>
      </c>
      <c r="H887" s="509" t="s">
        <v>3636</v>
      </c>
      <c r="I887" s="492">
        <f>C30</f>
        <v>3035</v>
      </c>
      <c r="J887" s="500" t="s">
        <v>2334</v>
      </c>
      <c r="K887" s="526">
        <f>(F887*I887)</f>
        <v>3035</v>
      </c>
      <c r="AG887" s="509" t="s">
        <v>2514</v>
      </c>
    </row>
    <row r="888" spans="1:33" hidden="1">
      <c r="A888" s="551">
        <v>26</v>
      </c>
      <c r="B888" s="511" t="s">
        <v>3646</v>
      </c>
      <c r="C888" s="501">
        <v>15</v>
      </c>
      <c r="D888" s="2"/>
      <c r="E888" s="2"/>
      <c r="F888" s="519">
        <v>1</v>
      </c>
      <c r="G888" s="518" t="s">
        <v>2334</v>
      </c>
      <c r="H888" s="509" t="s">
        <v>3633</v>
      </c>
      <c r="I888" s="492">
        <f>C89</f>
        <v>57165</v>
      </c>
      <c r="J888" s="500" t="s">
        <v>2334</v>
      </c>
      <c r="K888" s="526">
        <f>(F888*I888)</f>
        <v>57165</v>
      </c>
      <c r="AG888" s="509" t="s">
        <v>2514</v>
      </c>
    </row>
    <row r="889" spans="1:33" ht="36" hidden="1" customHeight="1">
      <c r="A889" s="551">
        <v>27</v>
      </c>
      <c r="B889" s="557" t="s">
        <v>3647</v>
      </c>
      <c r="C889" s="501">
        <v>178</v>
      </c>
      <c r="D889" s="2"/>
      <c r="E889" s="2"/>
      <c r="I889" s="2"/>
      <c r="J889" s="463"/>
      <c r="K889" s="526" t="s">
        <v>29</v>
      </c>
      <c r="AG889" s="509" t="s">
        <v>2514</v>
      </c>
    </row>
    <row r="890" spans="1:33" ht="41.25" hidden="1" customHeight="1">
      <c r="A890" s="551"/>
      <c r="B890" s="557" t="s">
        <v>3648</v>
      </c>
      <c r="C890" s="501">
        <v>1120</v>
      </c>
      <c r="D890" s="2"/>
      <c r="E890" s="2"/>
      <c r="H890" s="509" t="s">
        <v>3649</v>
      </c>
      <c r="I890" s="2"/>
      <c r="J890" s="463"/>
      <c r="K890" s="526">
        <f>SUM(K887:K888)</f>
        <v>60200</v>
      </c>
      <c r="AG890" s="509" t="s">
        <v>2514</v>
      </c>
    </row>
    <row r="891" spans="1:33" ht="39" hidden="1" customHeight="1">
      <c r="A891" s="551"/>
      <c r="B891" s="558" t="s">
        <v>3650</v>
      </c>
      <c r="C891" s="2"/>
      <c r="D891" s="2"/>
      <c r="E891" s="2"/>
      <c r="I891" s="2"/>
      <c r="J891" s="463"/>
      <c r="K891" s="526" t="s">
        <v>29</v>
      </c>
      <c r="AG891" s="509" t="s">
        <v>2514</v>
      </c>
    </row>
    <row r="892" spans="1:33" hidden="1">
      <c r="A892" s="551"/>
      <c r="B892" s="557" t="s">
        <v>3651</v>
      </c>
      <c r="C892" s="552" t="s">
        <v>3619</v>
      </c>
      <c r="D892" s="2"/>
      <c r="E892" s="2"/>
      <c r="I892" s="2"/>
      <c r="J892" s="463"/>
      <c r="K892" s="552"/>
      <c r="AG892" s="509" t="s">
        <v>2514</v>
      </c>
    </row>
    <row r="893" spans="1:33" hidden="1">
      <c r="A893" s="551"/>
      <c r="B893" s="557" t="s">
        <v>3652</v>
      </c>
      <c r="C893" s="552" t="s">
        <v>3619</v>
      </c>
      <c r="D893" s="2"/>
      <c r="E893" s="2"/>
      <c r="F893" s="510" t="s">
        <v>3653</v>
      </c>
      <c r="G893" s="518" t="s">
        <v>575</v>
      </c>
      <c r="H893" s="509" t="s">
        <v>3654</v>
      </c>
      <c r="I893" s="2"/>
      <c r="J893" s="463"/>
      <c r="K893" s="552"/>
      <c r="AG893" s="509" t="s">
        <v>2514</v>
      </c>
    </row>
    <row r="894" spans="1:33" hidden="1">
      <c r="A894" s="551"/>
      <c r="B894" s="557" t="s">
        <v>3655</v>
      </c>
      <c r="C894" s="552" t="s">
        <v>3619</v>
      </c>
      <c r="D894" s="2"/>
      <c r="E894" s="2"/>
      <c r="H894" s="509" t="s">
        <v>3656</v>
      </c>
      <c r="I894" s="2"/>
      <c r="J894" s="463"/>
      <c r="K894" s="552"/>
      <c r="AG894" s="509" t="s">
        <v>2514</v>
      </c>
    </row>
    <row r="895" spans="1:33" ht="31.5" hidden="1">
      <c r="A895" s="551"/>
      <c r="B895" s="557" t="s">
        <v>3657</v>
      </c>
      <c r="C895" s="501">
        <v>120</v>
      </c>
      <c r="D895" s="2"/>
      <c r="E895" s="2"/>
      <c r="H895" s="509" t="s">
        <v>3658</v>
      </c>
      <c r="I895" s="2"/>
      <c r="J895" s="463"/>
      <c r="K895" s="552"/>
      <c r="AG895" s="509" t="s">
        <v>2514</v>
      </c>
    </row>
    <row r="896" spans="1:33" hidden="1">
      <c r="A896" s="551"/>
      <c r="B896" s="558" t="s">
        <v>3659</v>
      </c>
      <c r="C896" s="2"/>
      <c r="D896" s="2"/>
      <c r="E896" s="2"/>
      <c r="H896" s="515" t="s">
        <v>442</v>
      </c>
      <c r="I896" s="2"/>
      <c r="J896" s="463"/>
      <c r="K896" s="552"/>
      <c r="AG896" s="509" t="s">
        <v>2514</v>
      </c>
    </row>
    <row r="897" spans="1:33" hidden="1">
      <c r="A897" s="551"/>
      <c r="B897" s="557" t="s">
        <v>3660</v>
      </c>
      <c r="C897" s="501">
        <v>45</v>
      </c>
      <c r="D897" s="2"/>
      <c r="E897" s="2"/>
      <c r="H897" s="509" t="s">
        <v>3661</v>
      </c>
      <c r="I897" s="2"/>
      <c r="J897" s="463"/>
      <c r="K897" s="552"/>
    </row>
    <row r="898" spans="1:33" hidden="1">
      <c r="A898" s="551"/>
      <c r="B898" s="557" t="s">
        <v>3662</v>
      </c>
      <c r="C898" s="501">
        <v>18</v>
      </c>
      <c r="D898" s="2"/>
      <c r="E898" s="2"/>
      <c r="H898" s="509" t="s">
        <v>3663</v>
      </c>
      <c r="I898" s="2"/>
      <c r="J898" s="463"/>
      <c r="K898" s="552"/>
    </row>
    <row r="899" spans="1:33" hidden="1">
      <c r="A899" s="551"/>
      <c r="B899" s="557" t="s">
        <v>3664</v>
      </c>
      <c r="C899" s="501">
        <v>450</v>
      </c>
      <c r="D899" s="2"/>
      <c r="E899" s="2"/>
      <c r="I899" s="2"/>
      <c r="J899" s="500" t="s">
        <v>442</v>
      </c>
      <c r="K899" s="552"/>
    </row>
    <row r="900" spans="1:33" hidden="1">
      <c r="A900" s="551"/>
      <c r="B900" s="557" t="s">
        <v>3665</v>
      </c>
      <c r="C900" s="501">
        <v>650</v>
      </c>
      <c r="D900" s="2"/>
      <c r="E900" s="2"/>
      <c r="H900" s="509" t="s">
        <v>3666</v>
      </c>
      <c r="I900" s="2"/>
      <c r="J900" s="463"/>
      <c r="K900" s="552"/>
    </row>
    <row r="901" spans="1:33" ht="63" hidden="1">
      <c r="A901" s="551"/>
      <c r="B901" s="557" t="s">
        <v>3667</v>
      </c>
      <c r="C901" s="501">
        <v>5000</v>
      </c>
      <c r="D901" s="2"/>
      <c r="E901" s="2"/>
      <c r="H901" s="509" t="s">
        <v>3668</v>
      </c>
      <c r="I901" s="2"/>
      <c r="J901" s="463"/>
      <c r="K901" s="835">
        <v>2.4299999999999999E-2</v>
      </c>
    </row>
    <row r="902" spans="1:33" ht="63" hidden="1">
      <c r="A902" s="551"/>
      <c r="B902" s="557" t="s">
        <v>3669</v>
      </c>
      <c r="C902" s="501">
        <v>6750</v>
      </c>
      <c r="D902" s="2"/>
      <c r="E902" s="2"/>
      <c r="I902" s="2"/>
      <c r="J902" s="500" t="s">
        <v>30</v>
      </c>
      <c r="K902" s="526" t="s">
        <v>442</v>
      </c>
    </row>
    <row r="903" spans="1:33" ht="63" hidden="1">
      <c r="A903" s="551"/>
      <c r="B903" s="557" t="s">
        <v>3670</v>
      </c>
      <c r="C903" s="501">
        <v>5800</v>
      </c>
      <c r="D903" s="2"/>
      <c r="E903" s="2"/>
      <c r="H903" s="509" t="s">
        <v>3671</v>
      </c>
      <c r="I903" s="2"/>
      <c r="J903" s="564" t="s">
        <v>30</v>
      </c>
      <c r="K903" s="835">
        <v>1.47E-2</v>
      </c>
    </row>
    <row r="904" spans="1:33" hidden="1">
      <c r="A904" s="551"/>
      <c r="B904" s="557" t="s">
        <v>3672</v>
      </c>
      <c r="C904" s="2"/>
      <c r="D904" s="2"/>
      <c r="E904" s="2"/>
      <c r="H904" s="509" t="s">
        <v>3673</v>
      </c>
      <c r="I904" s="2"/>
      <c r="J904" s="500" t="s">
        <v>30</v>
      </c>
      <c r="K904" s="835">
        <v>4.5999999999999999E-3</v>
      </c>
    </row>
    <row r="905" spans="1:33" ht="47.25" hidden="1">
      <c r="A905" s="551"/>
      <c r="B905" s="557" t="s">
        <v>3674</v>
      </c>
      <c r="C905" s="2"/>
      <c r="D905" s="2"/>
      <c r="E905" s="2"/>
      <c r="I905" s="2"/>
      <c r="J905" s="463"/>
      <c r="K905" s="526" t="s">
        <v>442</v>
      </c>
    </row>
    <row r="906" spans="1:33" ht="47.25" hidden="1">
      <c r="A906" s="551"/>
      <c r="B906" s="557" t="s">
        <v>3674</v>
      </c>
      <c r="C906" s="2"/>
      <c r="D906" s="2"/>
      <c r="E906" s="2"/>
      <c r="I906" s="2"/>
      <c r="J906" s="463"/>
      <c r="K906" s="835">
        <v>1.9300000000000001E-2</v>
      </c>
    </row>
    <row r="907" spans="1:33" ht="47.25" hidden="1">
      <c r="A907" s="551"/>
      <c r="B907" s="557" t="s">
        <v>3675</v>
      </c>
      <c r="C907" s="2"/>
      <c r="D907" s="2"/>
      <c r="E907" s="2"/>
      <c r="I907" s="2"/>
      <c r="J907" s="463"/>
      <c r="K907" s="526" t="s">
        <v>442</v>
      </c>
    </row>
    <row r="908" spans="1:33" hidden="1">
      <c r="A908" s="551"/>
      <c r="B908" s="557" t="s">
        <v>3676</v>
      </c>
      <c r="C908" s="2"/>
      <c r="D908" s="2"/>
      <c r="E908" s="2"/>
      <c r="I908" s="2"/>
      <c r="J908" s="463"/>
      <c r="K908" s="552"/>
    </row>
    <row r="909" spans="1:33" hidden="1">
      <c r="A909" s="551"/>
      <c r="B909" s="557" t="s">
        <v>3677</v>
      </c>
      <c r="C909" s="2"/>
      <c r="D909" s="2"/>
      <c r="E909" s="2"/>
      <c r="I909" s="2"/>
      <c r="J909" s="463"/>
      <c r="K909" s="552"/>
    </row>
    <row r="910" spans="1:33" hidden="1">
      <c r="A910" s="551"/>
      <c r="B910" s="557" t="s">
        <v>3678</v>
      </c>
      <c r="C910" s="2"/>
      <c r="D910" s="2"/>
      <c r="E910" s="2"/>
      <c r="F910" s="541">
        <v>1.14E-2</v>
      </c>
      <c r="G910" s="518" t="s">
        <v>2334</v>
      </c>
      <c r="H910" s="509" t="s">
        <v>3679</v>
      </c>
      <c r="I910" s="492">
        <f>C88</f>
        <v>65420</v>
      </c>
      <c r="J910" s="500" t="s">
        <v>2334</v>
      </c>
      <c r="K910" s="526">
        <f>(F910*I910)</f>
        <v>745.78800000000001</v>
      </c>
      <c r="AG910" s="509" t="s">
        <v>2514</v>
      </c>
    </row>
    <row r="911" spans="1:33" hidden="1">
      <c r="A911" s="551"/>
      <c r="B911" s="557" t="s">
        <v>3680</v>
      </c>
      <c r="C911" s="2"/>
      <c r="D911" s="2"/>
      <c r="E911" s="2"/>
      <c r="F911" s="541">
        <v>2.4299999999999999E-2</v>
      </c>
      <c r="G911" s="518" t="s">
        <v>2334</v>
      </c>
      <c r="H911" s="509" t="s">
        <v>3681</v>
      </c>
      <c r="I911" s="492">
        <f>C89</f>
        <v>57165</v>
      </c>
      <c r="J911" s="500" t="s">
        <v>2334</v>
      </c>
      <c r="K911" s="526">
        <f>(F911*I911)</f>
        <v>1389.1095</v>
      </c>
      <c r="AG911" s="509" t="s">
        <v>2514</v>
      </c>
    </row>
    <row r="912" spans="1:33" hidden="1">
      <c r="A912" s="551"/>
      <c r="B912" s="557" t="s">
        <v>3682</v>
      </c>
      <c r="C912" s="2"/>
      <c r="D912" s="2"/>
      <c r="E912" s="2"/>
      <c r="F912" s="541">
        <v>1.9300000000000001E-2</v>
      </c>
      <c r="G912" s="518" t="s">
        <v>2334</v>
      </c>
      <c r="H912" s="509" t="s">
        <v>3683</v>
      </c>
      <c r="I912" s="492">
        <f>C90</f>
        <v>63870</v>
      </c>
      <c r="J912" s="500" t="s">
        <v>2334</v>
      </c>
      <c r="K912" s="526">
        <f>(F912*I912)</f>
        <v>1232.691</v>
      </c>
      <c r="AG912" s="509" t="s">
        <v>2514</v>
      </c>
    </row>
    <row r="913" spans="1:33" hidden="1">
      <c r="A913" s="551"/>
      <c r="B913" s="557" t="s">
        <v>3684</v>
      </c>
      <c r="C913" s="2"/>
      <c r="D913" s="2"/>
      <c r="E913" s="2"/>
      <c r="F913" s="542"/>
      <c r="H913" s="509" t="s">
        <v>3685</v>
      </c>
      <c r="I913" s="490" t="s">
        <v>30</v>
      </c>
      <c r="J913" s="463"/>
      <c r="K913" s="526" t="s">
        <v>30</v>
      </c>
      <c r="AG913" s="509" t="s">
        <v>2514</v>
      </c>
    </row>
    <row r="914" spans="1:33" hidden="1">
      <c r="A914" s="551"/>
      <c r="B914" s="557" t="s">
        <v>3686</v>
      </c>
      <c r="C914" s="2"/>
      <c r="D914" s="2"/>
      <c r="E914" s="2"/>
      <c r="F914" s="542">
        <v>1.823</v>
      </c>
      <c r="G914" s="518" t="s">
        <v>2788</v>
      </c>
      <c r="H914" s="509" t="s">
        <v>3687</v>
      </c>
      <c r="I914" s="492">
        <f>C31</f>
        <v>342</v>
      </c>
      <c r="J914" s="500" t="s">
        <v>2788</v>
      </c>
      <c r="K914" s="526">
        <f t="shared" ref="K914:K920" si="46">(F914*I914)</f>
        <v>623.46600000000001</v>
      </c>
      <c r="AG914" s="509" t="s">
        <v>2514</v>
      </c>
    </row>
    <row r="915" spans="1:33" hidden="1">
      <c r="A915" s="551"/>
      <c r="B915" s="557" t="s">
        <v>3688</v>
      </c>
      <c r="C915" s="2"/>
      <c r="D915" s="2"/>
      <c r="E915" s="2"/>
      <c r="F915" s="519">
        <v>1</v>
      </c>
      <c r="G915" s="518" t="s">
        <v>2359</v>
      </c>
      <c r="H915" s="509" t="s">
        <v>3689</v>
      </c>
      <c r="I915" s="492">
        <f>C576</f>
        <v>30</v>
      </c>
      <c r="J915" s="500" t="s">
        <v>2342</v>
      </c>
      <c r="K915" s="526">
        <f t="shared" si="46"/>
        <v>30</v>
      </c>
      <c r="AG915" s="509" t="s">
        <v>2514</v>
      </c>
    </row>
    <row r="916" spans="1:33" ht="31.5" hidden="1">
      <c r="A916" s="551"/>
      <c r="B916" s="557" t="s">
        <v>3690</v>
      </c>
      <c r="C916" s="2"/>
      <c r="D916" s="2"/>
      <c r="E916" s="2"/>
      <c r="F916" s="519">
        <v>3</v>
      </c>
      <c r="G916" s="518" t="s">
        <v>2342</v>
      </c>
      <c r="H916" s="509" t="s">
        <v>3691</v>
      </c>
      <c r="I916" s="492">
        <f>C278</f>
        <v>45</v>
      </c>
      <c r="J916" s="500" t="s">
        <v>2342</v>
      </c>
      <c r="K916" s="526">
        <f t="shared" si="46"/>
        <v>135</v>
      </c>
      <c r="AG916" s="509" t="s">
        <v>2514</v>
      </c>
    </row>
    <row r="917" spans="1:33" ht="31.5" hidden="1">
      <c r="A917" s="551"/>
      <c r="B917" s="557" t="s">
        <v>3692</v>
      </c>
      <c r="C917" s="2"/>
      <c r="D917" s="2"/>
      <c r="E917" s="2"/>
      <c r="F917" s="519">
        <v>2</v>
      </c>
      <c r="G917" s="518" t="s">
        <v>2342</v>
      </c>
      <c r="H917" s="509" t="s">
        <v>3693</v>
      </c>
      <c r="I917" s="492">
        <f>C283</f>
        <v>30</v>
      </c>
      <c r="J917" s="500" t="s">
        <v>2342</v>
      </c>
      <c r="K917" s="526">
        <f t="shared" si="46"/>
        <v>60</v>
      </c>
      <c r="AG917" s="509" t="s">
        <v>2514</v>
      </c>
    </row>
    <row r="918" spans="1:33" ht="31.5" hidden="1">
      <c r="A918" s="551"/>
      <c r="B918" s="557" t="s">
        <v>3694</v>
      </c>
      <c r="C918" s="2"/>
      <c r="D918" s="2"/>
      <c r="E918" s="2"/>
      <c r="F918" s="519">
        <v>1</v>
      </c>
      <c r="G918" s="518" t="s">
        <v>2342</v>
      </c>
      <c r="H918" s="509" t="s">
        <v>3695</v>
      </c>
      <c r="I918" s="492">
        <f>C285</f>
        <v>95</v>
      </c>
      <c r="J918" s="500" t="s">
        <v>2342</v>
      </c>
      <c r="K918" s="526">
        <f t="shared" si="46"/>
        <v>95</v>
      </c>
      <c r="AG918" s="509" t="s">
        <v>2514</v>
      </c>
    </row>
    <row r="919" spans="1:33" hidden="1">
      <c r="A919" s="551"/>
      <c r="B919" s="557" t="s">
        <v>3696</v>
      </c>
      <c r="C919" s="2"/>
      <c r="D919" s="2"/>
      <c r="E919" s="2"/>
      <c r="F919" s="519">
        <v>1</v>
      </c>
      <c r="G919" s="518" t="s">
        <v>2342</v>
      </c>
      <c r="H919" s="509" t="s">
        <v>3697</v>
      </c>
      <c r="I919" s="492">
        <f>C287</f>
        <v>8</v>
      </c>
      <c r="J919" s="500" t="s">
        <v>2342</v>
      </c>
      <c r="K919" s="526">
        <f t="shared" si="46"/>
        <v>8</v>
      </c>
      <c r="AG919" s="509" t="s">
        <v>2514</v>
      </c>
    </row>
    <row r="920" spans="1:33" hidden="1">
      <c r="A920" s="551"/>
      <c r="B920" s="557" t="s">
        <v>3698</v>
      </c>
      <c r="C920" s="2"/>
      <c r="D920" s="2"/>
      <c r="E920" s="2"/>
      <c r="F920" s="519">
        <v>1</v>
      </c>
      <c r="G920" s="518" t="s">
        <v>2342</v>
      </c>
      <c r="H920" s="509" t="s">
        <v>2818</v>
      </c>
      <c r="I920" s="492">
        <f>D576</f>
        <v>25</v>
      </c>
      <c r="J920" s="500" t="s">
        <v>2342</v>
      </c>
      <c r="K920" s="526">
        <f t="shared" si="46"/>
        <v>25</v>
      </c>
      <c r="AG920" s="509" t="s">
        <v>2514</v>
      </c>
    </row>
    <row r="921" spans="1:33" hidden="1">
      <c r="A921" s="551"/>
      <c r="B921" s="557" t="s">
        <v>3699</v>
      </c>
      <c r="C921" s="2"/>
      <c r="D921" s="2"/>
      <c r="E921" s="2"/>
      <c r="I921" s="2"/>
      <c r="J921" s="463"/>
      <c r="K921" s="526" t="s">
        <v>442</v>
      </c>
      <c r="AG921" s="509" t="s">
        <v>2514</v>
      </c>
    </row>
    <row r="922" spans="1:33" ht="31.5" hidden="1">
      <c r="A922" s="551"/>
      <c r="B922" s="557" t="s">
        <v>3700</v>
      </c>
      <c r="C922" s="2"/>
      <c r="D922" s="2"/>
      <c r="E922" s="2"/>
      <c r="H922" s="509" t="s">
        <v>3701</v>
      </c>
      <c r="I922" s="2"/>
      <c r="J922" s="463"/>
      <c r="K922" s="526">
        <f>SUM(K910:K920)</f>
        <v>4344.0545000000002</v>
      </c>
      <c r="AG922" s="509" t="s">
        <v>2514</v>
      </c>
    </row>
    <row r="923" spans="1:33" hidden="1">
      <c r="A923" s="551"/>
      <c r="B923" s="557" t="s">
        <v>3702</v>
      </c>
      <c r="C923" s="2"/>
      <c r="D923" s="2"/>
      <c r="E923" s="2"/>
      <c r="I923" s="2"/>
      <c r="J923" s="463"/>
      <c r="K923" s="526" t="s">
        <v>442</v>
      </c>
      <c r="AG923" s="509" t="s">
        <v>2514</v>
      </c>
    </row>
    <row r="924" spans="1:33" hidden="1">
      <c r="A924" s="551"/>
      <c r="B924" s="557" t="s">
        <v>3703</v>
      </c>
      <c r="C924" s="2"/>
      <c r="D924" s="2"/>
      <c r="E924" s="2"/>
      <c r="H924" s="509" t="s">
        <v>2355</v>
      </c>
      <c r="I924" s="2"/>
      <c r="J924" s="463"/>
      <c r="K924" s="526">
        <f>K922/F914</f>
        <v>2382.9152495885905</v>
      </c>
      <c r="AG924" s="509" t="s">
        <v>2514</v>
      </c>
    </row>
    <row r="925" spans="1:33" hidden="1">
      <c r="A925" s="551"/>
      <c r="B925" s="557" t="s">
        <v>3704</v>
      </c>
      <c r="C925" s="2"/>
      <c r="D925" s="2"/>
      <c r="E925" s="2"/>
      <c r="F925" s="509" t="s">
        <v>30</v>
      </c>
      <c r="I925" s="2"/>
      <c r="J925" s="463"/>
      <c r="K925" s="552"/>
    </row>
    <row r="926" spans="1:33" hidden="1">
      <c r="A926" s="551"/>
      <c r="B926" s="557" t="s">
        <v>3705</v>
      </c>
      <c r="C926" s="2"/>
      <c r="D926" s="2"/>
      <c r="E926" s="2"/>
      <c r="I926" s="2"/>
      <c r="J926" s="463"/>
      <c r="K926" s="526" t="s">
        <v>29</v>
      </c>
      <c r="AG926" s="509" t="s">
        <v>2514</v>
      </c>
    </row>
    <row r="927" spans="1:33" hidden="1">
      <c r="A927" s="551"/>
      <c r="B927" s="557" t="s">
        <v>3706</v>
      </c>
      <c r="C927" s="2"/>
      <c r="D927" s="2"/>
      <c r="E927" s="2"/>
      <c r="I927" s="2"/>
      <c r="J927" s="463"/>
      <c r="K927" s="552"/>
    </row>
    <row r="928" spans="1:33" hidden="1">
      <c r="A928" s="551"/>
      <c r="B928" s="557" t="s">
        <v>3707</v>
      </c>
      <c r="C928" s="2"/>
      <c r="D928" s="2"/>
      <c r="E928" s="2"/>
      <c r="I928" s="2"/>
      <c r="J928" s="463"/>
      <c r="K928" s="552"/>
    </row>
    <row r="929" spans="1:33" hidden="1">
      <c r="A929" s="551"/>
      <c r="B929" s="557" t="s">
        <v>3708</v>
      </c>
      <c r="C929" s="2"/>
      <c r="D929" s="2"/>
      <c r="E929" s="2"/>
      <c r="F929" s="510" t="s">
        <v>3709</v>
      </c>
      <c r="G929" s="518" t="s">
        <v>575</v>
      </c>
      <c r="H929" s="509" t="s">
        <v>3654</v>
      </c>
      <c r="I929" s="2"/>
      <c r="J929" s="463"/>
      <c r="K929" s="552"/>
      <c r="AG929" s="509" t="s">
        <v>2514</v>
      </c>
    </row>
    <row r="930" spans="1:33" ht="16.5" hidden="1" customHeight="1">
      <c r="A930" s="551"/>
      <c r="B930" s="557" t="s">
        <v>3710</v>
      </c>
      <c r="C930" s="2"/>
      <c r="D930" s="2"/>
      <c r="E930" s="2"/>
      <c r="H930" s="509" t="s">
        <v>3656</v>
      </c>
      <c r="I930" s="2"/>
      <c r="J930" s="463"/>
      <c r="K930" s="552"/>
      <c r="AG930" s="509" t="s">
        <v>2514</v>
      </c>
    </row>
    <row r="931" spans="1:33" ht="15.75" hidden="1" customHeight="1">
      <c r="A931" s="551"/>
      <c r="B931" s="557" t="s">
        <v>3711</v>
      </c>
      <c r="C931" s="2"/>
      <c r="D931" s="2"/>
      <c r="E931" s="2"/>
      <c r="H931" s="509" t="s">
        <v>3712</v>
      </c>
      <c r="I931" s="2"/>
      <c r="J931" s="463"/>
      <c r="K931" s="552"/>
      <c r="AG931" s="509" t="s">
        <v>2514</v>
      </c>
    </row>
    <row r="932" spans="1:33" hidden="1">
      <c r="A932" s="551"/>
      <c r="B932" s="557" t="s">
        <v>3713</v>
      </c>
      <c r="C932" s="2"/>
      <c r="D932" s="2"/>
      <c r="E932" s="2"/>
      <c r="H932" s="515" t="s">
        <v>442</v>
      </c>
      <c r="I932" s="2"/>
      <c r="J932" s="463"/>
      <c r="K932" s="552"/>
      <c r="AG932" s="509" t="s">
        <v>2514</v>
      </c>
    </row>
    <row r="933" spans="1:33" hidden="1">
      <c r="A933" s="551"/>
      <c r="B933" s="557" t="s">
        <v>3714</v>
      </c>
      <c r="C933" s="2"/>
      <c r="D933" s="2"/>
      <c r="E933" s="2"/>
      <c r="I933" s="2"/>
      <c r="J933" s="463"/>
      <c r="K933" s="552"/>
    </row>
    <row r="934" spans="1:33" ht="20.25" hidden="1" customHeight="1">
      <c r="A934" s="551"/>
      <c r="B934" s="557" t="s">
        <v>3715</v>
      </c>
      <c r="C934" s="2"/>
      <c r="D934" s="2"/>
      <c r="E934" s="2"/>
      <c r="H934" s="509" t="s">
        <v>3716</v>
      </c>
      <c r="I934" s="2"/>
      <c r="J934" s="463"/>
      <c r="K934" s="552"/>
    </row>
    <row r="935" spans="1:33" hidden="1">
      <c r="A935" s="551"/>
      <c r="B935" s="557" t="s">
        <v>3717</v>
      </c>
      <c r="C935" s="2"/>
      <c r="D935" s="2"/>
      <c r="E935" s="2"/>
      <c r="H935" s="509" t="s">
        <v>3718</v>
      </c>
      <c r="I935" s="2"/>
      <c r="J935" s="463"/>
      <c r="K935" s="552"/>
    </row>
    <row r="936" spans="1:33" hidden="1">
      <c r="A936" s="551"/>
      <c r="B936" s="557" t="s">
        <v>3719</v>
      </c>
      <c r="C936" s="2"/>
      <c r="D936" s="2"/>
      <c r="E936" s="2"/>
      <c r="I936" s="2"/>
      <c r="J936" s="500" t="s">
        <v>442</v>
      </c>
      <c r="K936" s="552"/>
    </row>
    <row r="937" spans="1:33" hidden="1">
      <c r="A937" s="551"/>
      <c r="B937" s="557" t="s">
        <v>3720</v>
      </c>
      <c r="C937" s="2"/>
      <c r="D937" s="2"/>
      <c r="E937" s="2"/>
      <c r="H937" s="509" t="s">
        <v>3721</v>
      </c>
      <c r="I937" s="2"/>
      <c r="J937" s="463"/>
      <c r="K937" s="552"/>
    </row>
    <row r="938" spans="1:33" hidden="1">
      <c r="A938" s="551"/>
      <c r="B938" s="557" t="s">
        <v>3722</v>
      </c>
      <c r="C938" s="2"/>
      <c r="D938" s="2"/>
      <c r="E938" s="2"/>
      <c r="H938" s="509" t="s">
        <v>3723</v>
      </c>
      <c r="I938" s="2"/>
      <c r="J938" s="463"/>
      <c r="K938" s="835">
        <v>2.1999999999999999E-2</v>
      </c>
    </row>
    <row r="939" spans="1:33" hidden="1">
      <c r="A939" s="551"/>
      <c r="B939" s="557" t="s">
        <v>3724</v>
      </c>
      <c r="C939" s="2"/>
      <c r="D939" s="2"/>
      <c r="E939" s="2"/>
      <c r="I939" s="2"/>
      <c r="J939" s="500" t="s">
        <v>30</v>
      </c>
      <c r="K939" s="526" t="s">
        <v>442</v>
      </c>
    </row>
    <row r="940" spans="1:33" ht="31.5" hidden="1">
      <c r="A940" s="551"/>
      <c r="B940" s="557" t="s">
        <v>3725</v>
      </c>
      <c r="C940" s="2"/>
      <c r="D940" s="2"/>
      <c r="E940" s="2"/>
      <c r="H940" s="509" t="s">
        <v>3726</v>
      </c>
      <c r="I940" s="2"/>
      <c r="J940" s="564" t="s">
        <v>30</v>
      </c>
      <c r="K940" s="835">
        <v>1.3100000000000001E-2</v>
      </c>
    </row>
    <row r="941" spans="1:33" ht="31.5" hidden="1">
      <c r="A941" s="551"/>
      <c r="B941" s="557" t="s">
        <v>3727</v>
      </c>
      <c r="C941" s="2"/>
      <c r="D941" s="2"/>
      <c r="E941" s="2"/>
      <c r="H941" s="509" t="s">
        <v>3728</v>
      </c>
      <c r="I941" s="2"/>
      <c r="J941" s="500" t="s">
        <v>30</v>
      </c>
      <c r="K941" s="835">
        <v>3.3999999999999998E-3</v>
      </c>
    </row>
    <row r="942" spans="1:33" ht="31.5" hidden="1">
      <c r="A942" s="551"/>
      <c r="B942" s="557" t="s">
        <v>3729</v>
      </c>
      <c r="C942" s="2"/>
      <c r="D942" s="2"/>
      <c r="E942" s="2"/>
      <c r="I942" s="2"/>
      <c r="J942" s="463"/>
      <c r="K942" s="526" t="s">
        <v>442</v>
      </c>
    </row>
    <row r="943" spans="1:33" ht="31.5" hidden="1">
      <c r="A943" s="551"/>
      <c r="B943" s="557" t="s">
        <v>3730</v>
      </c>
      <c r="C943" s="2"/>
      <c r="D943" s="2"/>
      <c r="E943" s="2"/>
      <c r="I943" s="2"/>
      <c r="J943" s="463"/>
      <c r="K943" s="835">
        <v>1.6500000000000001E-2</v>
      </c>
    </row>
    <row r="944" spans="1:33" hidden="1">
      <c r="A944" s="551"/>
      <c r="B944" s="557" t="s">
        <v>3731</v>
      </c>
      <c r="C944" s="2"/>
      <c r="D944" s="2"/>
      <c r="E944" s="2"/>
      <c r="I944" s="2"/>
      <c r="J944" s="463"/>
      <c r="K944" s="526" t="s">
        <v>442</v>
      </c>
    </row>
    <row r="945" spans="1:33" hidden="1">
      <c r="A945" s="551"/>
      <c r="B945" s="557" t="s">
        <v>3732</v>
      </c>
      <c r="C945" s="2"/>
      <c r="D945" s="2"/>
      <c r="E945" s="2"/>
      <c r="F945" s="541">
        <v>1.15E-2</v>
      </c>
      <c r="G945" s="518" t="s">
        <v>2334</v>
      </c>
      <c r="H945" s="509" t="s">
        <v>3679</v>
      </c>
      <c r="I945" s="492">
        <f>C88</f>
        <v>65420</v>
      </c>
      <c r="J945" s="500" t="s">
        <v>2334</v>
      </c>
      <c r="K945" s="526">
        <f>(F945*I945)</f>
        <v>752.33</v>
      </c>
      <c r="AG945" s="509" t="s">
        <v>2514</v>
      </c>
    </row>
    <row r="946" spans="1:33" hidden="1">
      <c r="A946" s="551"/>
      <c r="B946" s="557" t="s">
        <v>3733</v>
      </c>
      <c r="C946" s="2"/>
      <c r="D946" s="2"/>
      <c r="E946" s="2"/>
      <c r="F946" s="541">
        <v>2.1999999999999999E-2</v>
      </c>
      <c r="G946" s="518" t="s">
        <v>2334</v>
      </c>
      <c r="H946" s="509" t="s">
        <v>3681</v>
      </c>
      <c r="I946" s="492">
        <f>C89</f>
        <v>57165</v>
      </c>
      <c r="J946" s="500" t="s">
        <v>2334</v>
      </c>
      <c r="K946" s="526">
        <f>(F946*I946)</f>
        <v>1257.6299999999999</v>
      </c>
      <c r="AG946" s="509" t="s">
        <v>2514</v>
      </c>
    </row>
    <row r="947" spans="1:33" hidden="1">
      <c r="A947" s="551"/>
      <c r="B947" s="557" t="s">
        <v>3734</v>
      </c>
      <c r="C947" s="2"/>
      <c r="D947" s="2"/>
      <c r="E947" s="2"/>
      <c r="F947" s="541">
        <v>1.6500000000000001E-2</v>
      </c>
      <c r="G947" s="518" t="s">
        <v>2334</v>
      </c>
      <c r="H947" s="509" t="s">
        <v>3683</v>
      </c>
      <c r="I947" s="492">
        <f>C90</f>
        <v>63870</v>
      </c>
      <c r="J947" s="500" t="s">
        <v>2334</v>
      </c>
      <c r="K947" s="526">
        <f>(F947*I947)</f>
        <v>1053.855</v>
      </c>
      <c r="AG947" s="509" t="s">
        <v>2514</v>
      </c>
    </row>
    <row r="948" spans="1:33" ht="31.5" hidden="1">
      <c r="A948" s="551"/>
      <c r="B948" s="557" t="s">
        <v>3735</v>
      </c>
      <c r="C948" s="2"/>
      <c r="D948" s="2"/>
      <c r="E948" s="2"/>
      <c r="F948" s="541"/>
      <c r="H948" s="509" t="s">
        <v>3685</v>
      </c>
      <c r="I948" s="490" t="s">
        <v>30</v>
      </c>
      <c r="J948" s="463"/>
      <c r="K948" s="526" t="s">
        <v>30</v>
      </c>
      <c r="AG948" s="509" t="s">
        <v>2514</v>
      </c>
    </row>
    <row r="949" spans="1:33" ht="31.5" hidden="1">
      <c r="A949" s="551"/>
      <c r="B949" s="557" t="s">
        <v>3736</v>
      </c>
      <c r="C949" s="2"/>
      <c r="D949" s="2"/>
      <c r="E949" s="2"/>
      <c r="F949" s="541">
        <v>1.64</v>
      </c>
      <c r="G949" s="518" t="s">
        <v>2788</v>
      </c>
      <c r="H949" s="509" t="s">
        <v>3687</v>
      </c>
      <c r="I949" s="492">
        <f>C31</f>
        <v>342</v>
      </c>
      <c r="J949" s="500" t="s">
        <v>2788</v>
      </c>
      <c r="K949" s="526">
        <f t="shared" ref="K949:K955" si="47">(F949*I949)</f>
        <v>560.88</v>
      </c>
      <c r="AG949" s="509" t="s">
        <v>2514</v>
      </c>
    </row>
    <row r="950" spans="1:33" ht="31.5" hidden="1">
      <c r="A950" s="551"/>
      <c r="B950" s="557" t="s">
        <v>3737</v>
      </c>
      <c r="C950" s="2"/>
      <c r="D950" s="2"/>
      <c r="E950" s="2"/>
      <c r="F950" s="519">
        <v>1</v>
      </c>
      <c r="G950" s="518" t="s">
        <v>2359</v>
      </c>
      <c r="H950" s="509" t="s">
        <v>3689</v>
      </c>
      <c r="I950" s="492">
        <f>C576</f>
        <v>30</v>
      </c>
      <c r="J950" s="500" t="s">
        <v>2342</v>
      </c>
      <c r="K950" s="526">
        <f t="shared" si="47"/>
        <v>30</v>
      </c>
      <c r="AG950" s="509" t="s">
        <v>2514</v>
      </c>
    </row>
    <row r="951" spans="1:33" ht="31.5" hidden="1">
      <c r="A951" s="551"/>
      <c r="B951" s="557" t="s">
        <v>3738</v>
      </c>
      <c r="C951" s="2"/>
      <c r="D951" s="2"/>
      <c r="E951" s="2"/>
      <c r="F951" s="519">
        <v>3</v>
      </c>
      <c r="G951" s="518" t="s">
        <v>2342</v>
      </c>
      <c r="H951" s="509" t="s">
        <v>3691</v>
      </c>
      <c r="I951" s="492">
        <f>C278</f>
        <v>45</v>
      </c>
      <c r="J951" s="500" t="s">
        <v>2342</v>
      </c>
      <c r="K951" s="526">
        <f t="shared" si="47"/>
        <v>135</v>
      </c>
      <c r="AG951" s="509" t="s">
        <v>2514</v>
      </c>
    </row>
    <row r="952" spans="1:33" ht="31.5" hidden="1">
      <c r="A952" s="551"/>
      <c r="B952" s="557" t="s">
        <v>3739</v>
      </c>
      <c r="C952" s="2"/>
      <c r="D952" s="2"/>
      <c r="E952" s="2"/>
      <c r="F952" s="519">
        <v>2</v>
      </c>
      <c r="G952" s="518" t="s">
        <v>2342</v>
      </c>
      <c r="H952" s="509" t="s">
        <v>3693</v>
      </c>
      <c r="I952" s="492">
        <f>C283</f>
        <v>30</v>
      </c>
      <c r="J952" s="500" t="s">
        <v>2342</v>
      </c>
      <c r="K952" s="526">
        <f t="shared" si="47"/>
        <v>60</v>
      </c>
      <c r="AG952" s="509" t="s">
        <v>2690</v>
      </c>
    </row>
    <row r="953" spans="1:33" ht="31.5" hidden="1">
      <c r="A953" s="551"/>
      <c r="B953" s="557" t="s">
        <v>3740</v>
      </c>
      <c r="C953" s="2"/>
      <c r="D953" s="2"/>
      <c r="E953" s="2"/>
      <c r="F953" s="519">
        <v>1</v>
      </c>
      <c r="G953" s="518" t="s">
        <v>2342</v>
      </c>
      <c r="H953" s="509" t="s">
        <v>3695</v>
      </c>
      <c r="I953" s="492">
        <f>C285</f>
        <v>95</v>
      </c>
      <c r="J953" s="500" t="s">
        <v>2342</v>
      </c>
      <c r="K953" s="526">
        <f t="shared" si="47"/>
        <v>95</v>
      </c>
    </row>
    <row r="954" spans="1:33" ht="31.5" hidden="1">
      <c r="A954" s="551"/>
      <c r="B954" s="557" t="s">
        <v>3741</v>
      </c>
      <c r="C954" s="2"/>
      <c r="D954" s="2"/>
      <c r="E954" s="2"/>
      <c r="F954" s="519">
        <v>1</v>
      </c>
      <c r="G954" s="518" t="s">
        <v>2342</v>
      </c>
      <c r="H954" s="509" t="s">
        <v>3697</v>
      </c>
      <c r="I954" s="492">
        <f>C287</f>
        <v>8</v>
      </c>
      <c r="J954" s="500" t="s">
        <v>2342</v>
      </c>
      <c r="K954" s="526">
        <f t="shared" si="47"/>
        <v>8</v>
      </c>
    </row>
    <row r="955" spans="1:33" ht="31.5" hidden="1">
      <c r="A955" s="551"/>
      <c r="B955" s="557" t="s">
        <v>3742</v>
      </c>
      <c r="C955" s="2"/>
      <c r="D955" s="2"/>
      <c r="E955" s="2"/>
      <c r="F955" s="519">
        <v>1</v>
      </c>
      <c r="G955" s="518" t="s">
        <v>2342</v>
      </c>
      <c r="H955" s="509" t="s">
        <v>2818</v>
      </c>
      <c r="I955" s="492">
        <f>D576</f>
        <v>25</v>
      </c>
      <c r="J955" s="500" t="s">
        <v>2342</v>
      </c>
      <c r="K955" s="526">
        <f t="shared" si="47"/>
        <v>25</v>
      </c>
      <c r="AG955" s="509" t="s">
        <v>2514</v>
      </c>
    </row>
    <row r="956" spans="1:33" ht="31.5" hidden="1">
      <c r="A956" s="551"/>
      <c r="B956" s="557" t="s">
        <v>3743</v>
      </c>
      <c r="C956" s="2"/>
      <c r="D956" s="2"/>
      <c r="E956" s="2"/>
      <c r="I956" s="2"/>
      <c r="J956" s="463"/>
      <c r="K956" s="526" t="s">
        <v>442</v>
      </c>
      <c r="AG956" s="509" t="s">
        <v>2514</v>
      </c>
    </row>
    <row r="957" spans="1:33" ht="31.5" hidden="1">
      <c r="A957" s="551"/>
      <c r="B957" s="557" t="s">
        <v>3744</v>
      </c>
      <c r="C957" s="2"/>
      <c r="D957" s="2"/>
      <c r="E957" s="2"/>
      <c r="H957" s="509" t="s">
        <v>3745</v>
      </c>
      <c r="I957" s="2"/>
      <c r="J957" s="463"/>
      <c r="K957" s="526">
        <f>SUM(K945:K955)</f>
        <v>3977.6950000000002</v>
      </c>
      <c r="AG957" s="509" t="s">
        <v>2514</v>
      </c>
    </row>
    <row r="958" spans="1:33" ht="31.5" hidden="1">
      <c r="A958" s="551"/>
      <c r="B958" s="557" t="s">
        <v>3746</v>
      </c>
      <c r="C958" s="2"/>
      <c r="D958" s="2"/>
      <c r="E958" s="2"/>
      <c r="I958" s="2"/>
      <c r="J958" s="463"/>
      <c r="K958" s="526" t="s">
        <v>442</v>
      </c>
      <c r="AG958" s="509" t="s">
        <v>2514</v>
      </c>
    </row>
    <row r="959" spans="1:33" ht="31.5" hidden="1">
      <c r="A959" s="551"/>
      <c r="B959" s="557" t="s">
        <v>3747</v>
      </c>
      <c r="C959" s="2"/>
      <c r="D959" s="2"/>
      <c r="E959" s="2"/>
      <c r="H959" s="509" t="s">
        <v>2355</v>
      </c>
      <c r="I959" s="2"/>
      <c r="J959" s="463"/>
      <c r="K959" s="526">
        <f>K957/F949</f>
        <v>2425.4237804878053</v>
      </c>
      <c r="AG959" s="509" t="s">
        <v>2514</v>
      </c>
    </row>
    <row r="960" spans="1:33" ht="31.5" hidden="1">
      <c r="A960" s="551"/>
      <c r="B960" s="557" t="s">
        <v>3748</v>
      </c>
      <c r="C960" s="2"/>
      <c r="D960" s="2"/>
      <c r="E960" s="2"/>
      <c r="I960" s="2"/>
      <c r="J960" s="463"/>
      <c r="K960" s="526" t="s">
        <v>29</v>
      </c>
      <c r="AG960" s="509" t="s">
        <v>2514</v>
      </c>
    </row>
    <row r="961" spans="1:11" ht="31.5" hidden="1">
      <c r="A961" s="551"/>
      <c r="B961" s="557" t="s">
        <v>3749</v>
      </c>
      <c r="C961" s="2"/>
      <c r="D961" s="2"/>
      <c r="E961" s="2"/>
      <c r="F961" s="510" t="s">
        <v>3750</v>
      </c>
      <c r="G961" s="518" t="s">
        <v>575</v>
      </c>
      <c r="H961" s="509" t="s">
        <v>3654</v>
      </c>
      <c r="I961" s="2"/>
      <c r="J961" s="463"/>
      <c r="K961" s="552"/>
    </row>
    <row r="962" spans="1:11" ht="31.5" hidden="1">
      <c r="A962" s="551"/>
      <c r="B962" s="557" t="s">
        <v>3751</v>
      </c>
      <c r="C962" s="2"/>
      <c r="D962" s="2"/>
      <c r="E962" s="2"/>
      <c r="H962" s="509" t="s">
        <v>3656</v>
      </c>
      <c r="I962" s="2"/>
      <c r="J962" s="463"/>
      <c r="K962" s="552"/>
    </row>
    <row r="963" spans="1:11" hidden="1">
      <c r="A963" s="551"/>
      <c r="B963" s="557" t="s">
        <v>3752</v>
      </c>
      <c r="C963" s="2"/>
      <c r="D963" s="2"/>
      <c r="E963" s="2"/>
      <c r="H963" s="509" t="s">
        <v>3753</v>
      </c>
      <c r="I963" s="2"/>
      <c r="J963" s="463"/>
      <c r="K963" s="552"/>
    </row>
    <row r="964" spans="1:11" hidden="1">
      <c r="A964" s="551"/>
      <c r="B964" s="557" t="s">
        <v>3754</v>
      </c>
      <c r="C964" s="2"/>
      <c r="D964" s="2"/>
      <c r="E964" s="2"/>
      <c r="H964" s="515" t="s">
        <v>442</v>
      </c>
      <c r="I964" s="2"/>
      <c r="J964" s="463"/>
      <c r="K964" s="552"/>
    </row>
    <row r="965" spans="1:11" hidden="1">
      <c r="A965" s="551"/>
      <c r="B965" s="557" t="s">
        <v>3755</v>
      </c>
      <c r="C965" s="2"/>
      <c r="D965" s="2"/>
      <c r="E965" s="2"/>
      <c r="H965" s="509" t="s">
        <v>3756</v>
      </c>
      <c r="I965" s="2"/>
      <c r="J965" s="463"/>
      <c r="K965" s="552"/>
    </row>
    <row r="966" spans="1:11" hidden="1">
      <c r="A966" s="551"/>
      <c r="B966" s="557" t="s">
        <v>3757</v>
      </c>
      <c r="C966" s="2"/>
      <c r="D966" s="2"/>
      <c r="E966" s="2"/>
      <c r="H966" s="509" t="s">
        <v>3663</v>
      </c>
      <c r="I966" s="2"/>
      <c r="J966" s="463"/>
      <c r="K966" s="552"/>
    </row>
    <row r="967" spans="1:11" hidden="1">
      <c r="A967" s="551"/>
      <c r="B967" s="557" t="s">
        <v>3758</v>
      </c>
      <c r="C967" s="2"/>
      <c r="D967" s="2"/>
      <c r="E967" s="2"/>
      <c r="I967" s="2"/>
      <c r="J967" s="500" t="s">
        <v>442</v>
      </c>
      <c r="K967" s="552"/>
    </row>
    <row r="968" spans="1:11" hidden="1">
      <c r="A968" s="551"/>
      <c r="B968" s="557" t="s">
        <v>3759</v>
      </c>
      <c r="C968" s="2"/>
      <c r="D968" s="2"/>
      <c r="E968" s="2"/>
      <c r="H968" s="509" t="s">
        <v>3760</v>
      </c>
      <c r="I968" s="2"/>
      <c r="J968" s="463"/>
      <c r="K968" s="552"/>
    </row>
    <row r="969" spans="1:11" hidden="1">
      <c r="A969" s="551"/>
      <c r="B969" s="557" t="s">
        <v>3761</v>
      </c>
      <c r="C969" s="2"/>
      <c r="D969" s="2"/>
      <c r="E969" s="2"/>
      <c r="H969" s="509" t="s">
        <v>3762</v>
      </c>
      <c r="I969" s="2"/>
      <c r="J969" s="463"/>
      <c r="K969" s="835">
        <v>1.1900000000000001E-2</v>
      </c>
    </row>
    <row r="970" spans="1:11" ht="31.5" hidden="1">
      <c r="A970" s="551"/>
      <c r="B970" s="557" t="s">
        <v>3763</v>
      </c>
      <c r="C970" s="2"/>
      <c r="D970" s="2"/>
      <c r="E970" s="2"/>
      <c r="I970" s="2"/>
      <c r="J970" s="500" t="s">
        <v>30</v>
      </c>
      <c r="K970" s="526" t="s">
        <v>442</v>
      </c>
    </row>
    <row r="971" spans="1:11" ht="31.5" hidden="1">
      <c r="A971" s="551"/>
      <c r="B971" s="557" t="s">
        <v>3764</v>
      </c>
      <c r="C971" s="2"/>
      <c r="D971" s="2"/>
      <c r="E971" s="2"/>
      <c r="H971" s="509" t="s">
        <v>3765</v>
      </c>
      <c r="I971" s="2"/>
      <c r="J971" s="564" t="s">
        <v>30</v>
      </c>
      <c r="K971" s="835">
        <v>1.18E-2</v>
      </c>
    </row>
    <row r="972" spans="1:11" ht="31.5" hidden="1">
      <c r="A972" s="551"/>
      <c r="B972" s="557" t="s">
        <v>3766</v>
      </c>
      <c r="C972" s="2"/>
      <c r="D972" s="2"/>
      <c r="E972" s="2"/>
      <c r="H972" s="509" t="s">
        <v>2485</v>
      </c>
      <c r="I972" s="2"/>
      <c r="J972" s="500" t="s">
        <v>30</v>
      </c>
      <c r="K972" s="835" t="s">
        <v>442</v>
      </c>
    </row>
    <row r="973" spans="1:11" hidden="1">
      <c r="A973" s="551"/>
      <c r="B973" s="557" t="s">
        <v>3767</v>
      </c>
      <c r="C973" s="2"/>
      <c r="D973" s="2"/>
      <c r="E973" s="2"/>
      <c r="I973" s="2"/>
      <c r="J973" s="463"/>
      <c r="K973" s="552"/>
    </row>
    <row r="974" spans="1:11" hidden="1">
      <c r="A974" s="551"/>
      <c r="B974" s="557" t="s">
        <v>3768</v>
      </c>
      <c r="C974" s="2"/>
      <c r="D974" s="2"/>
      <c r="E974" s="2"/>
      <c r="F974" s="541">
        <v>1.14E-2</v>
      </c>
      <c r="G974" s="518" t="s">
        <v>2334</v>
      </c>
      <c r="H974" s="509" t="s">
        <v>3679</v>
      </c>
      <c r="I974" s="492">
        <f>C88</f>
        <v>65420</v>
      </c>
      <c r="J974" s="500" t="s">
        <v>2334</v>
      </c>
      <c r="K974" s="526">
        <f>(F974*I974)</f>
        <v>745.78800000000001</v>
      </c>
    </row>
    <row r="975" spans="1:11" hidden="1">
      <c r="A975" s="551"/>
      <c r="B975" s="557" t="s">
        <v>3769</v>
      </c>
      <c r="C975" s="2"/>
      <c r="D975" s="2"/>
      <c r="E975" s="2"/>
      <c r="F975" s="541">
        <v>1.1900000000000001E-2</v>
      </c>
      <c r="G975" s="518" t="s">
        <v>2334</v>
      </c>
      <c r="H975" s="509" t="s">
        <v>3681</v>
      </c>
      <c r="I975" s="492">
        <f>C89</f>
        <v>57165</v>
      </c>
      <c r="J975" s="500" t="s">
        <v>2334</v>
      </c>
      <c r="K975" s="526">
        <f>(F975*I975)</f>
        <v>680.26350000000002</v>
      </c>
    </row>
    <row r="976" spans="1:11" hidden="1">
      <c r="A976" s="551"/>
      <c r="B976" s="557" t="s">
        <v>3770</v>
      </c>
      <c r="C976" s="2"/>
      <c r="D976" s="2"/>
      <c r="E976" s="2"/>
      <c r="F976" s="541">
        <v>1.18E-2</v>
      </c>
      <c r="G976" s="518" t="s">
        <v>2334</v>
      </c>
      <c r="H976" s="509" t="s">
        <v>3683</v>
      </c>
      <c r="I976" s="492">
        <f>C90</f>
        <v>63870</v>
      </c>
      <c r="J976" s="500" t="s">
        <v>2334</v>
      </c>
      <c r="K976" s="526">
        <f>(F976*I976)</f>
        <v>753.66599999999994</v>
      </c>
    </row>
    <row r="977" spans="1:33" hidden="1">
      <c r="A977" s="551"/>
      <c r="B977" s="557" t="s">
        <v>3771</v>
      </c>
      <c r="C977" s="2"/>
      <c r="D977" s="2"/>
      <c r="E977" s="2"/>
      <c r="F977" s="541"/>
      <c r="H977" s="509" t="s">
        <v>3685</v>
      </c>
      <c r="I977" s="490" t="s">
        <v>30</v>
      </c>
      <c r="J977" s="463"/>
      <c r="K977" s="526" t="s">
        <v>30</v>
      </c>
    </row>
    <row r="978" spans="1:33" hidden="1">
      <c r="A978" s="551"/>
      <c r="B978" s="557" t="s">
        <v>3772</v>
      </c>
      <c r="C978" s="2"/>
      <c r="D978" s="2"/>
      <c r="E978" s="2"/>
      <c r="F978" s="541">
        <v>1.2150000000000001</v>
      </c>
      <c r="G978" s="518" t="s">
        <v>2788</v>
      </c>
      <c r="H978" s="509" t="s">
        <v>3687</v>
      </c>
      <c r="I978" s="492">
        <f>C31</f>
        <v>342</v>
      </c>
      <c r="J978" s="500" t="s">
        <v>2788</v>
      </c>
      <c r="K978" s="526">
        <f t="shared" ref="K978:K984" si="48">(F978*I978)</f>
        <v>415.53000000000003</v>
      </c>
    </row>
    <row r="979" spans="1:33" hidden="1">
      <c r="A979" s="551"/>
      <c r="B979" s="557" t="s">
        <v>3773</v>
      </c>
      <c r="C979" s="2"/>
      <c r="D979" s="2"/>
      <c r="E979" s="2"/>
      <c r="F979" s="519">
        <v>1</v>
      </c>
      <c r="G979" s="518" t="s">
        <v>2359</v>
      </c>
      <c r="H979" s="509" t="s">
        <v>3689</v>
      </c>
      <c r="I979" s="492">
        <f>C576</f>
        <v>30</v>
      </c>
      <c r="J979" s="500" t="s">
        <v>2342</v>
      </c>
      <c r="K979" s="526">
        <f t="shared" si="48"/>
        <v>30</v>
      </c>
    </row>
    <row r="980" spans="1:33" hidden="1">
      <c r="A980" s="551"/>
      <c r="B980" s="557" t="s">
        <v>3774</v>
      </c>
      <c r="C980" s="2"/>
      <c r="D980" s="2"/>
      <c r="E980" s="2"/>
      <c r="F980" s="519">
        <v>3</v>
      </c>
      <c r="G980" s="518" t="s">
        <v>2342</v>
      </c>
      <c r="H980" s="509" t="s">
        <v>3691</v>
      </c>
      <c r="I980" s="492">
        <f>C278</f>
        <v>45</v>
      </c>
      <c r="J980" s="500" t="s">
        <v>2342</v>
      </c>
      <c r="K980" s="526">
        <f t="shared" si="48"/>
        <v>135</v>
      </c>
    </row>
    <row r="981" spans="1:33" hidden="1">
      <c r="A981" s="551"/>
      <c r="B981" s="557" t="s">
        <v>3775</v>
      </c>
      <c r="C981" s="2"/>
      <c r="D981" s="2"/>
      <c r="E981" s="2"/>
      <c r="F981" s="519">
        <v>2</v>
      </c>
      <c r="G981" s="518" t="s">
        <v>2342</v>
      </c>
      <c r="H981" s="509" t="s">
        <v>3693</v>
      </c>
      <c r="I981" s="492">
        <f>C283</f>
        <v>30</v>
      </c>
      <c r="J981" s="500" t="s">
        <v>2342</v>
      </c>
      <c r="K981" s="526">
        <f t="shared" si="48"/>
        <v>60</v>
      </c>
    </row>
    <row r="982" spans="1:33" hidden="1">
      <c r="A982" s="551"/>
      <c r="B982" s="557" t="s">
        <v>3776</v>
      </c>
      <c r="C982" s="2"/>
      <c r="D982" s="2"/>
      <c r="E982" s="2"/>
      <c r="F982" s="519">
        <v>1</v>
      </c>
      <c r="G982" s="518" t="s">
        <v>2342</v>
      </c>
      <c r="H982" s="509" t="s">
        <v>3695</v>
      </c>
      <c r="I982" s="492">
        <f>C285</f>
        <v>95</v>
      </c>
      <c r="J982" s="500" t="s">
        <v>2342</v>
      </c>
      <c r="K982" s="526">
        <f t="shared" si="48"/>
        <v>95</v>
      </c>
    </row>
    <row r="983" spans="1:33" ht="31.5" hidden="1">
      <c r="A983" s="551"/>
      <c r="B983" s="557" t="s">
        <v>3777</v>
      </c>
      <c r="C983" s="2"/>
      <c r="D983" s="2"/>
      <c r="E983" s="2"/>
      <c r="F983" s="519">
        <v>1</v>
      </c>
      <c r="G983" s="518" t="s">
        <v>2342</v>
      </c>
      <c r="H983" s="509" t="s">
        <v>3697</v>
      </c>
      <c r="I983" s="492">
        <f>C287</f>
        <v>8</v>
      </c>
      <c r="J983" s="500" t="s">
        <v>2342</v>
      </c>
      <c r="K983" s="526">
        <f t="shared" si="48"/>
        <v>8</v>
      </c>
    </row>
    <row r="984" spans="1:33" hidden="1">
      <c r="A984" s="551"/>
      <c r="B984" s="557" t="s">
        <v>3778</v>
      </c>
      <c r="C984" s="2"/>
      <c r="D984" s="2"/>
      <c r="E984" s="2"/>
      <c r="F984" s="519">
        <v>1</v>
      </c>
      <c r="G984" s="518" t="s">
        <v>2342</v>
      </c>
      <c r="H984" s="509" t="s">
        <v>2818</v>
      </c>
      <c r="I984" s="492">
        <f>D576</f>
        <v>25</v>
      </c>
      <c r="J984" s="500" t="s">
        <v>2342</v>
      </c>
      <c r="K984" s="526">
        <f t="shared" si="48"/>
        <v>25</v>
      </c>
    </row>
    <row r="985" spans="1:33" hidden="1">
      <c r="A985" s="551"/>
      <c r="B985" s="557" t="s">
        <v>3779</v>
      </c>
      <c r="C985" s="2"/>
      <c r="D985" s="2"/>
      <c r="E985" s="2"/>
      <c r="I985" s="2"/>
      <c r="J985" s="463"/>
      <c r="K985" s="526" t="s">
        <v>442</v>
      </c>
    </row>
    <row r="986" spans="1:33" hidden="1">
      <c r="A986" s="551"/>
      <c r="B986" s="557" t="s">
        <v>3780</v>
      </c>
      <c r="C986" s="2"/>
      <c r="D986" s="2"/>
      <c r="E986" s="2"/>
      <c r="H986" s="509" t="s">
        <v>3781</v>
      </c>
      <c r="I986" s="2"/>
      <c r="J986" s="463"/>
      <c r="K986" s="526">
        <f>SUM(K974:K984)</f>
        <v>2948.2474999999999</v>
      </c>
    </row>
    <row r="987" spans="1:33" hidden="1">
      <c r="A987" s="551"/>
      <c r="B987" s="557" t="s">
        <v>3782</v>
      </c>
      <c r="C987" s="2"/>
      <c r="D987" s="2"/>
      <c r="E987" s="2"/>
      <c r="I987" s="2"/>
      <c r="J987" s="463"/>
      <c r="K987" s="526" t="s">
        <v>442</v>
      </c>
    </row>
    <row r="988" spans="1:33" hidden="1">
      <c r="A988" s="551"/>
      <c r="B988" s="557" t="s">
        <v>3783</v>
      </c>
      <c r="C988" s="2"/>
      <c r="D988" s="2"/>
      <c r="E988" s="2"/>
      <c r="H988" s="509" t="s">
        <v>2355</v>
      </c>
      <c r="I988" s="2"/>
      <c r="J988" s="463"/>
      <c r="K988" s="526">
        <f>K986/F978</f>
        <v>2426.5411522633744</v>
      </c>
    </row>
    <row r="989" spans="1:33" ht="31.5" hidden="1">
      <c r="A989" s="551"/>
      <c r="B989" s="557" t="s">
        <v>3784</v>
      </c>
      <c r="C989" s="2"/>
      <c r="D989" s="2"/>
      <c r="E989" s="2"/>
      <c r="I989" s="2"/>
      <c r="J989" s="463"/>
      <c r="K989" s="526" t="s">
        <v>29</v>
      </c>
    </row>
    <row r="990" spans="1:33" hidden="1">
      <c r="A990" s="551"/>
      <c r="B990" s="557" t="s">
        <v>3785</v>
      </c>
      <c r="C990" s="2"/>
      <c r="D990" s="2"/>
      <c r="E990" s="2"/>
      <c r="I990" s="2"/>
      <c r="J990" s="463"/>
      <c r="K990" s="552"/>
    </row>
    <row r="991" spans="1:33" hidden="1">
      <c r="A991" s="551"/>
      <c r="B991" s="557" t="s">
        <v>3786</v>
      </c>
      <c r="C991" s="2"/>
      <c r="D991" s="2"/>
      <c r="E991" s="2"/>
      <c r="F991" s="510" t="s">
        <v>3787</v>
      </c>
      <c r="G991" s="518" t="s">
        <v>575</v>
      </c>
      <c r="H991" s="509" t="s">
        <v>3788</v>
      </c>
      <c r="I991" s="2"/>
      <c r="J991" s="463"/>
      <c r="K991" s="552"/>
      <c r="AG991" s="509" t="s">
        <v>2514</v>
      </c>
    </row>
    <row r="992" spans="1:33" hidden="1">
      <c r="A992" s="551"/>
      <c r="B992" s="557" t="s">
        <v>3789</v>
      </c>
      <c r="C992" s="2"/>
      <c r="D992" s="2"/>
      <c r="E992" s="2"/>
      <c r="H992" s="509" t="s">
        <v>3790</v>
      </c>
      <c r="I992" s="2"/>
      <c r="J992" s="463"/>
      <c r="K992" s="552"/>
      <c r="AG992" s="509" t="s">
        <v>2514</v>
      </c>
    </row>
    <row r="993" spans="1:33" hidden="1">
      <c r="A993" s="551"/>
      <c r="B993" s="557" t="s">
        <v>3791</v>
      </c>
      <c r="C993" s="2"/>
      <c r="D993" s="2"/>
      <c r="E993" s="2"/>
      <c r="H993" s="509" t="s">
        <v>3792</v>
      </c>
      <c r="I993" s="2"/>
      <c r="J993" s="463"/>
      <c r="K993" s="552"/>
      <c r="AG993" s="509" t="s">
        <v>2514</v>
      </c>
    </row>
    <row r="994" spans="1:33" hidden="1">
      <c r="A994" s="551"/>
      <c r="B994" s="557" t="s">
        <v>3793</v>
      </c>
      <c r="C994" s="2"/>
      <c r="D994" s="2"/>
      <c r="E994" s="2"/>
      <c r="H994" s="509" t="s">
        <v>3794</v>
      </c>
      <c r="I994" s="2"/>
      <c r="J994" s="463"/>
      <c r="K994" s="552"/>
      <c r="AG994" s="509" t="s">
        <v>2514</v>
      </c>
    </row>
    <row r="995" spans="1:33" hidden="1">
      <c r="A995" s="551"/>
      <c r="B995" s="557" t="s">
        <v>3795</v>
      </c>
      <c r="C995" s="2"/>
      <c r="D995" s="2"/>
      <c r="E995" s="2"/>
      <c r="H995" s="509" t="s">
        <v>3796</v>
      </c>
      <c r="I995" s="2"/>
      <c r="J995" s="463"/>
      <c r="K995" s="552"/>
      <c r="AG995" s="509" t="s">
        <v>2514</v>
      </c>
    </row>
    <row r="996" spans="1:33" hidden="1">
      <c r="A996" s="551"/>
      <c r="B996" s="557" t="s">
        <v>3797</v>
      </c>
      <c r="C996" s="2"/>
      <c r="D996" s="2"/>
      <c r="E996" s="2"/>
      <c r="H996" s="509" t="s">
        <v>3798</v>
      </c>
      <c r="I996" s="2"/>
      <c r="J996" s="463"/>
      <c r="K996" s="552"/>
      <c r="AG996" s="509" t="s">
        <v>2514</v>
      </c>
    </row>
    <row r="997" spans="1:33" hidden="1">
      <c r="A997" s="551"/>
      <c r="B997" s="557" t="s">
        <v>3799</v>
      </c>
      <c r="C997" s="2"/>
      <c r="D997" s="2"/>
      <c r="E997" s="2"/>
      <c r="H997" s="515" t="s">
        <v>442</v>
      </c>
      <c r="I997" s="2"/>
      <c r="J997" s="463"/>
      <c r="K997" s="552"/>
      <c r="AG997" s="509" t="s">
        <v>2514</v>
      </c>
    </row>
    <row r="998" spans="1:33" hidden="1">
      <c r="A998" s="551"/>
      <c r="B998" s="557" t="s">
        <v>3800</v>
      </c>
      <c r="C998" s="2"/>
      <c r="D998" s="2"/>
      <c r="E998" s="2"/>
      <c r="H998" s="509" t="s">
        <v>3716</v>
      </c>
      <c r="I998" s="2"/>
      <c r="J998" s="463"/>
      <c r="K998" s="552"/>
      <c r="AG998" s="509" t="s">
        <v>2514</v>
      </c>
    </row>
    <row r="999" spans="1:33" ht="31.5" hidden="1">
      <c r="A999" s="551"/>
      <c r="B999" s="557" t="s">
        <v>3801</v>
      </c>
      <c r="C999" s="2"/>
      <c r="D999" s="2"/>
      <c r="E999" s="2"/>
      <c r="H999" s="509" t="s">
        <v>3802</v>
      </c>
      <c r="I999" s="2"/>
      <c r="J999" s="463"/>
      <c r="K999" s="552"/>
      <c r="AG999" s="509" t="s">
        <v>2514</v>
      </c>
    </row>
    <row r="1000" spans="1:33" ht="31.5" hidden="1">
      <c r="A1000" s="551"/>
      <c r="B1000" s="557" t="s">
        <v>3803</v>
      </c>
      <c r="C1000" s="2"/>
      <c r="D1000" s="2"/>
      <c r="E1000" s="2"/>
      <c r="I1000" s="2"/>
      <c r="J1000" s="500" t="s">
        <v>442</v>
      </c>
      <c r="K1000" s="552"/>
      <c r="AG1000" s="509" t="s">
        <v>2514</v>
      </c>
    </row>
    <row r="1001" spans="1:33" ht="31.5" hidden="1">
      <c r="A1001" s="551"/>
      <c r="B1001" s="557" t="s">
        <v>3804</v>
      </c>
      <c r="C1001" s="2"/>
      <c r="D1001" s="2"/>
      <c r="E1001" s="2"/>
      <c r="H1001" s="509" t="s">
        <v>3805</v>
      </c>
      <c r="I1001" s="2"/>
      <c r="J1001" s="463"/>
      <c r="K1001" s="552"/>
      <c r="AG1001" s="509" t="s">
        <v>2514</v>
      </c>
    </row>
    <row r="1002" spans="1:33" ht="47.25" hidden="1">
      <c r="A1002" s="551"/>
      <c r="B1002" s="557" t="s">
        <v>3806</v>
      </c>
      <c r="C1002" s="2"/>
      <c r="D1002" s="2"/>
      <c r="E1002" s="2"/>
      <c r="H1002" s="509" t="s">
        <v>30</v>
      </c>
      <c r="I1002" s="490" t="s">
        <v>30</v>
      </c>
      <c r="J1002" s="463"/>
      <c r="K1002" s="835" t="s">
        <v>30</v>
      </c>
      <c r="AG1002" s="509" t="s">
        <v>2514</v>
      </c>
    </row>
    <row r="1003" spans="1:33" hidden="1">
      <c r="A1003" s="551"/>
      <c r="B1003" s="557" t="s">
        <v>3807</v>
      </c>
      <c r="C1003" s="2"/>
      <c r="D1003" s="2"/>
      <c r="E1003" s="2"/>
      <c r="I1003" s="2"/>
      <c r="J1003" s="500" t="s">
        <v>30</v>
      </c>
      <c r="K1003" s="526" t="s">
        <v>30</v>
      </c>
      <c r="AG1003" s="509" t="s">
        <v>2514</v>
      </c>
    </row>
    <row r="1004" spans="1:33" hidden="1">
      <c r="A1004" s="551"/>
      <c r="B1004" s="557" t="s">
        <v>3808</v>
      </c>
      <c r="C1004" s="2"/>
      <c r="D1004" s="2"/>
      <c r="E1004" s="2"/>
      <c r="H1004" s="509" t="s">
        <v>3809</v>
      </c>
      <c r="I1004" s="2"/>
      <c r="J1004" s="564" t="s">
        <v>30</v>
      </c>
      <c r="K1004" s="835" t="s">
        <v>30</v>
      </c>
      <c r="AG1004" s="509" t="s">
        <v>2514</v>
      </c>
    </row>
    <row r="1005" spans="1:33" hidden="1">
      <c r="A1005" s="551"/>
      <c r="B1005" s="557" t="s">
        <v>3810</v>
      </c>
      <c r="C1005" s="2"/>
      <c r="D1005" s="2"/>
      <c r="E1005" s="2"/>
      <c r="H1005" s="509" t="s">
        <v>3811</v>
      </c>
      <c r="I1005" s="2"/>
      <c r="J1005" s="463"/>
      <c r="K1005" s="835" t="s">
        <v>3812</v>
      </c>
      <c r="AG1005" s="509" t="s">
        <v>2514</v>
      </c>
    </row>
    <row r="1006" spans="1:33" hidden="1">
      <c r="A1006" s="551"/>
      <c r="B1006" s="557" t="s">
        <v>3813</v>
      </c>
      <c r="C1006" s="2"/>
      <c r="D1006" s="2"/>
      <c r="E1006" s="2"/>
      <c r="I1006" s="2"/>
      <c r="J1006" s="463"/>
      <c r="K1006" s="526" t="s">
        <v>30</v>
      </c>
      <c r="AG1006" s="509" t="s">
        <v>2514</v>
      </c>
    </row>
    <row r="1007" spans="1:33" hidden="1">
      <c r="A1007" s="551"/>
      <c r="B1007" s="557" t="s">
        <v>3814</v>
      </c>
      <c r="C1007" s="2"/>
      <c r="D1007" s="2"/>
      <c r="E1007" s="2"/>
      <c r="I1007" s="2"/>
      <c r="J1007" s="463"/>
      <c r="K1007" s="835" t="s">
        <v>30</v>
      </c>
      <c r="AG1007" s="509" t="s">
        <v>2514</v>
      </c>
    </row>
    <row r="1008" spans="1:33" hidden="1">
      <c r="A1008" s="551"/>
      <c r="B1008" s="557" t="s">
        <v>3815</v>
      </c>
      <c r="C1008" s="2"/>
      <c r="D1008" s="2"/>
      <c r="E1008" s="2"/>
      <c r="I1008" s="2"/>
      <c r="J1008" s="463"/>
      <c r="K1008" s="526" t="s">
        <v>30</v>
      </c>
      <c r="AG1008" s="509" t="s">
        <v>2514</v>
      </c>
    </row>
    <row r="1009" spans="1:33" hidden="1">
      <c r="A1009" s="551"/>
      <c r="B1009" s="557" t="s">
        <v>3816</v>
      </c>
      <c r="C1009" s="2"/>
      <c r="D1009" s="2"/>
      <c r="E1009" s="2"/>
      <c r="F1009" s="510" t="s">
        <v>3817</v>
      </c>
      <c r="G1009" s="518"/>
      <c r="H1009" s="509" t="s">
        <v>3818</v>
      </c>
      <c r="I1009" s="2"/>
      <c r="J1009" s="463"/>
      <c r="K1009" s="526" t="s">
        <v>30</v>
      </c>
      <c r="AG1009" s="509" t="s">
        <v>2514</v>
      </c>
    </row>
    <row r="1010" spans="1:33" hidden="1">
      <c r="A1010" s="551"/>
      <c r="B1010" s="557" t="s">
        <v>3819</v>
      </c>
      <c r="C1010" s="2"/>
      <c r="D1010" s="2"/>
      <c r="E1010" s="2"/>
      <c r="H1010" s="515" t="s">
        <v>442</v>
      </c>
      <c r="I1010" s="2"/>
      <c r="J1010" s="463"/>
      <c r="K1010" s="552"/>
      <c r="AG1010" s="509" t="s">
        <v>2514</v>
      </c>
    </row>
    <row r="1011" spans="1:33" hidden="1">
      <c r="A1011" s="559"/>
      <c r="B1011" s="557" t="s">
        <v>3820</v>
      </c>
      <c r="C1011" s="2"/>
      <c r="D1011" s="2"/>
      <c r="E1011" s="2"/>
      <c r="F1011" s="567">
        <v>1.153E-2</v>
      </c>
      <c r="G1011" s="518" t="s">
        <v>2334</v>
      </c>
      <c r="H1011" s="509" t="s">
        <v>2809</v>
      </c>
      <c r="I1011" s="492">
        <f>C88</f>
        <v>65420</v>
      </c>
      <c r="J1011" s="500" t="s">
        <v>2334</v>
      </c>
      <c r="K1011" s="526">
        <f t="shared" ref="K1011:K1020" si="49">(F1011*I1011)</f>
        <v>754.29259999999999</v>
      </c>
      <c r="AG1011" s="509" t="s">
        <v>2514</v>
      </c>
    </row>
    <row r="1012" spans="1:33" hidden="1">
      <c r="A1012" s="559"/>
      <c r="B1012" s="557" t="s">
        <v>3821</v>
      </c>
      <c r="C1012" s="2"/>
      <c r="D1012" s="2"/>
      <c r="E1012" s="2"/>
      <c r="F1012" s="567">
        <v>1.35E-2</v>
      </c>
      <c r="G1012" s="518" t="s">
        <v>2334</v>
      </c>
      <c r="H1012" s="509" t="s">
        <v>2810</v>
      </c>
      <c r="I1012" s="492">
        <f>C89</f>
        <v>57165</v>
      </c>
      <c r="J1012" s="500" t="s">
        <v>2334</v>
      </c>
      <c r="K1012" s="526">
        <f t="shared" si="49"/>
        <v>771.72749999999996</v>
      </c>
      <c r="AG1012" s="509" t="s">
        <v>2514</v>
      </c>
    </row>
    <row r="1013" spans="1:33" hidden="1">
      <c r="A1013" s="559"/>
      <c r="B1013" s="557" t="s">
        <v>3822</v>
      </c>
      <c r="C1013" s="2"/>
      <c r="D1013" s="2"/>
      <c r="E1013" s="2"/>
      <c r="F1013" s="567">
        <v>1.016</v>
      </c>
      <c r="G1013" s="518" t="s">
        <v>2788</v>
      </c>
      <c r="H1013" s="509" t="s">
        <v>2811</v>
      </c>
      <c r="I1013" s="492">
        <f>C753</f>
        <v>381.37</v>
      </c>
      <c r="J1013" s="500" t="s">
        <v>2788</v>
      </c>
      <c r="K1013" s="526">
        <f t="shared" si="49"/>
        <v>387.47192000000001</v>
      </c>
      <c r="AG1013" s="509" t="s">
        <v>2514</v>
      </c>
    </row>
    <row r="1014" spans="1:33" hidden="1">
      <c r="A1014" s="559"/>
      <c r="B1014" s="557" t="s">
        <v>3823</v>
      </c>
      <c r="C1014" s="2"/>
      <c r="D1014" s="2"/>
      <c r="E1014" s="2"/>
      <c r="F1014" s="567">
        <v>1.64</v>
      </c>
      <c r="G1014" s="518" t="s">
        <v>2788</v>
      </c>
      <c r="H1014" s="509" t="s">
        <v>2812</v>
      </c>
      <c r="I1014" s="492">
        <f>D30</f>
        <v>287</v>
      </c>
      <c r="J1014" s="500" t="s">
        <v>2788</v>
      </c>
      <c r="K1014" s="526">
        <f t="shared" si="49"/>
        <v>470.67999999999995</v>
      </c>
      <c r="AG1014" s="509" t="s">
        <v>2514</v>
      </c>
    </row>
    <row r="1015" spans="1:33" hidden="1">
      <c r="A1015" s="559"/>
      <c r="B1015" s="557" t="s">
        <v>3824</v>
      </c>
      <c r="C1015" s="2"/>
      <c r="D1015" s="2"/>
      <c r="E1015" s="2"/>
      <c r="F1015" s="519">
        <v>2</v>
      </c>
      <c r="G1015" s="518" t="s">
        <v>2342</v>
      </c>
      <c r="H1015" s="509" t="s">
        <v>2813</v>
      </c>
      <c r="I1015" s="492">
        <f>C283</f>
        <v>30</v>
      </c>
      <c r="J1015" s="500" t="s">
        <v>2342</v>
      </c>
      <c r="K1015" s="526">
        <f t="shared" si="49"/>
        <v>60</v>
      </c>
      <c r="AG1015" s="509" t="s">
        <v>2514</v>
      </c>
    </row>
    <row r="1016" spans="1:33" hidden="1">
      <c r="A1016" s="559"/>
      <c r="B1016" s="557" t="s">
        <v>3825</v>
      </c>
      <c r="C1016" s="2"/>
      <c r="D1016" s="2"/>
      <c r="E1016" s="2"/>
      <c r="F1016" s="519">
        <v>3</v>
      </c>
      <c r="G1016" s="518" t="s">
        <v>2342</v>
      </c>
      <c r="H1016" s="509" t="s">
        <v>3826</v>
      </c>
      <c r="I1016" s="492">
        <f>C278</f>
        <v>45</v>
      </c>
      <c r="J1016" s="500" t="s">
        <v>2342</v>
      </c>
      <c r="K1016" s="526">
        <f t="shared" si="49"/>
        <v>135</v>
      </c>
      <c r="AG1016" s="509" t="s">
        <v>2514</v>
      </c>
    </row>
    <row r="1017" spans="1:33" hidden="1">
      <c r="A1017" s="559"/>
      <c r="B1017" s="557" t="s">
        <v>3827</v>
      </c>
      <c r="C1017" s="2"/>
      <c r="D1017" s="2"/>
      <c r="E1017" s="2"/>
      <c r="F1017" s="519">
        <v>1</v>
      </c>
      <c r="G1017" s="518" t="s">
        <v>2342</v>
      </c>
      <c r="H1017" s="509" t="s">
        <v>2815</v>
      </c>
      <c r="I1017" s="492">
        <f>C285</f>
        <v>95</v>
      </c>
      <c r="J1017" s="500" t="s">
        <v>2342</v>
      </c>
      <c r="K1017" s="526">
        <f t="shared" si="49"/>
        <v>95</v>
      </c>
      <c r="AG1017" s="509" t="s">
        <v>2514</v>
      </c>
    </row>
    <row r="1018" spans="1:33" hidden="1">
      <c r="A1018" s="559"/>
      <c r="B1018" s="557" t="s">
        <v>3828</v>
      </c>
      <c r="C1018" s="2"/>
      <c r="D1018" s="2"/>
      <c r="E1018" s="2"/>
      <c r="F1018" s="519">
        <v>1</v>
      </c>
      <c r="G1018" s="518" t="s">
        <v>2342</v>
      </c>
      <c r="H1018" s="509" t="s">
        <v>2816</v>
      </c>
      <c r="I1018" s="492">
        <f>C287</f>
        <v>8</v>
      </c>
      <c r="J1018" s="500" t="s">
        <v>2342</v>
      </c>
      <c r="K1018" s="526">
        <f t="shared" si="49"/>
        <v>8</v>
      </c>
      <c r="AG1018" s="509" t="s">
        <v>2514</v>
      </c>
    </row>
    <row r="1019" spans="1:33" hidden="1">
      <c r="A1019" s="559"/>
      <c r="B1019" s="557" t="s">
        <v>3829</v>
      </c>
      <c r="C1019" s="2"/>
      <c r="D1019" s="2"/>
      <c r="E1019" s="2"/>
      <c r="F1019" s="519">
        <v>1</v>
      </c>
      <c r="G1019" s="518" t="s">
        <v>2342</v>
      </c>
      <c r="H1019" s="509" t="s">
        <v>2817</v>
      </c>
      <c r="I1019" s="492">
        <f>C576</f>
        <v>30</v>
      </c>
      <c r="J1019" s="500" t="s">
        <v>2342</v>
      </c>
      <c r="K1019" s="526">
        <f t="shared" si="49"/>
        <v>30</v>
      </c>
      <c r="AG1019" s="509" t="s">
        <v>2514</v>
      </c>
    </row>
    <row r="1020" spans="1:33" hidden="1">
      <c r="A1020" s="559"/>
      <c r="B1020" s="557" t="s">
        <v>3830</v>
      </c>
      <c r="C1020" s="2"/>
      <c r="D1020" s="2"/>
      <c r="E1020" s="2"/>
      <c r="F1020" s="519">
        <v>1</v>
      </c>
      <c r="G1020" s="518" t="s">
        <v>2342</v>
      </c>
      <c r="H1020" s="509" t="s">
        <v>2818</v>
      </c>
      <c r="I1020" s="492">
        <f>D576</f>
        <v>25</v>
      </c>
      <c r="J1020" s="500" t="s">
        <v>2342</v>
      </c>
      <c r="K1020" s="526">
        <f t="shared" si="49"/>
        <v>25</v>
      </c>
      <c r="AG1020" s="509" t="s">
        <v>2514</v>
      </c>
    </row>
    <row r="1021" spans="1:33" hidden="1">
      <c r="A1021" s="559"/>
      <c r="B1021" s="557" t="s">
        <v>3831</v>
      </c>
      <c r="C1021" s="2"/>
      <c r="D1021" s="2"/>
      <c r="E1021" s="2"/>
      <c r="I1021" s="2"/>
      <c r="J1021" s="463"/>
      <c r="K1021" s="526" t="s">
        <v>442</v>
      </c>
      <c r="AG1021" s="509" t="s">
        <v>2514</v>
      </c>
    </row>
    <row r="1022" spans="1:33" hidden="1">
      <c r="A1022" s="559"/>
      <c r="B1022" s="557" t="s">
        <v>3832</v>
      </c>
      <c r="C1022" s="2"/>
      <c r="D1022" s="2"/>
      <c r="E1022" s="2"/>
      <c r="H1022" s="510" t="s">
        <v>3833</v>
      </c>
      <c r="I1022" s="2"/>
      <c r="J1022" s="463"/>
      <c r="K1022" s="526">
        <f>SUM(K1011:K1020)</f>
        <v>2737.17202</v>
      </c>
      <c r="AG1022" s="509" t="s">
        <v>2514</v>
      </c>
    </row>
    <row r="1023" spans="1:33" ht="31.5" hidden="1">
      <c r="A1023" s="559"/>
      <c r="B1023" s="557" t="s">
        <v>3834</v>
      </c>
      <c r="C1023" s="2"/>
      <c r="D1023" s="2"/>
      <c r="E1023" s="2"/>
      <c r="G1023" s="518" t="s">
        <v>30</v>
      </c>
      <c r="I1023" s="2"/>
      <c r="J1023" s="463"/>
      <c r="K1023" s="526" t="s">
        <v>442</v>
      </c>
      <c r="AG1023" s="509" t="s">
        <v>2514</v>
      </c>
    </row>
    <row r="1024" spans="1:33" hidden="1">
      <c r="A1024" s="559"/>
      <c r="B1024" s="557" t="s">
        <v>3835</v>
      </c>
      <c r="C1024" s="2"/>
      <c r="D1024" s="2"/>
      <c r="E1024" s="2"/>
      <c r="H1024" s="510" t="s">
        <v>2355</v>
      </c>
      <c r="I1024" s="2"/>
      <c r="J1024" s="463"/>
      <c r="K1024" s="526">
        <f>K1022/F1014</f>
        <v>1669.0073292682928</v>
      </c>
      <c r="AG1024" s="509" t="s">
        <v>2514</v>
      </c>
    </row>
    <row r="1025" spans="1:33" hidden="1">
      <c r="A1025" s="559"/>
      <c r="B1025" s="557" t="s">
        <v>3836</v>
      </c>
      <c r="C1025" s="2"/>
      <c r="D1025" s="2"/>
      <c r="E1025" s="2"/>
      <c r="I1025" s="2"/>
      <c r="J1025" s="463"/>
      <c r="K1025" s="526" t="s">
        <v>29</v>
      </c>
      <c r="AG1025" s="509" t="s">
        <v>2514</v>
      </c>
    </row>
    <row r="1026" spans="1:33" hidden="1">
      <c r="A1026" s="559"/>
      <c r="B1026" s="557" t="s">
        <v>3837</v>
      </c>
      <c r="C1026" s="2"/>
      <c r="D1026" s="2"/>
      <c r="E1026" s="2"/>
      <c r="F1026" s="510" t="s">
        <v>3838</v>
      </c>
      <c r="H1026" s="509" t="s">
        <v>3839</v>
      </c>
      <c r="I1026" s="2"/>
      <c r="J1026" s="463"/>
      <c r="K1026" s="552"/>
    </row>
    <row r="1027" spans="1:33" hidden="1">
      <c r="A1027" s="559"/>
      <c r="B1027" s="557" t="s">
        <v>3840</v>
      </c>
      <c r="C1027" s="2"/>
      <c r="D1027" s="2"/>
      <c r="E1027" s="2"/>
      <c r="H1027" s="509" t="s">
        <v>3841</v>
      </c>
      <c r="I1027" s="2"/>
      <c r="J1027" s="463"/>
      <c r="K1027" s="552"/>
    </row>
    <row r="1028" spans="1:33" hidden="1">
      <c r="A1028" s="559"/>
      <c r="B1028" s="557" t="s">
        <v>3842</v>
      </c>
      <c r="C1028" s="2"/>
      <c r="D1028" s="2"/>
      <c r="E1028" s="2"/>
      <c r="H1028" s="515" t="s">
        <v>442</v>
      </c>
      <c r="I1028" s="2"/>
      <c r="J1028" s="463"/>
      <c r="K1028" s="552"/>
    </row>
    <row r="1029" spans="1:33" hidden="1">
      <c r="A1029" s="559"/>
      <c r="B1029" s="557" t="s">
        <v>3843</v>
      </c>
      <c r="C1029" s="2"/>
      <c r="D1029" s="2"/>
      <c r="E1029" s="2"/>
      <c r="F1029" s="567">
        <v>6.6499999999999997E-3</v>
      </c>
      <c r="G1029" s="518" t="s">
        <v>2019</v>
      </c>
      <c r="H1029" s="509" t="s">
        <v>3844</v>
      </c>
      <c r="I1029" s="492">
        <f>C89</f>
        <v>57165</v>
      </c>
      <c r="J1029" s="500" t="s">
        <v>2334</v>
      </c>
      <c r="K1029" s="526">
        <f t="shared" ref="K1029:K1035" si="50">(F1029*I1029)</f>
        <v>380.14724999999999</v>
      </c>
    </row>
    <row r="1030" spans="1:33" hidden="1">
      <c r="A1030" s="559"/>
      <c r="B1030" s="557" t="s">
        <v>3845</v>
      </c>
      <c r="C1030" s="2"/>
      <c r="D1030" s="2"/>
      <c r="E1030" s="2"/>
      <c r="F1030" s="567">
        <v>0.32346000000000003</v>
      </c>
      <c r="G1030" s="518" t="s">
        <v>2788</v>
      </c>
      <c r="H1030" s="509" t="s">
        <v>3846</v>
      </c>
      <c r="I1030" s="492">
        <f>C271</f>
        <v>160</v>
      </c>
      <c r="J1030" s="500" t="s">
        <v>2334</v>
      </c>
      <c r="K1030" s="526">
        <f t="shared" si="50"/>
        <v>51.753600000000006</v>
      </c>
    </row>
    <row r="1031" spans="1:33" ht="31.5" hidden="1">
      <c r="A1031" s="559"/>
      <c r="B1031" s="557" t="s">
        <v>3847</v>
      </c>
      <c r="C1031" s="2"/>
      <c r="D1031" s="2"/>
      <c r="E1031" s="2"/>
      <c r="F1031" s="567">
        <v>0.47660000000000002</v>
      </c>
      <c r="G1031" s="518" t="s">
        <v>2788</v>
      </c>
      <c r="H1031" s="509" t="s">
        <v>2812</v>
      </c>
      <c r="I1031" s="492">
        <f>D31</f>
        <v>320</v>
      </c>
      <c r="J1031" s="500" t="s">
        <v>2788</v>
      </c>
      <c r="K1031" s="526">
        <f t="shared" si="50"/>
        <v>152.512</v>
      </c>
    </row>
    <row r="1032" spans="1:33" ht="21.75" hidden="1" customHeight="1">
      <c r="A1032" s="559"/>
      <c r="B1032" s="557" t="s">
        <v>3848</v>
      </c>
      <c r="C1032" s="2"/>
      <c r="D1032" s="2"/>
      <c r="E1032" s="2"/>
      <c r="F1032" s="519">
        <v>3</v>
      </c>
      <c r="G1032" s="518" t="s">
        <v>2342</v>
      </c>
      <c r="H1032" s="509" t="s">
        <v>3849</v>
      </c>
      <c r="I1032" s="492">
        <f>C281</f>
        <v>25</v>
      </c>
      <c r="J1032" s="500" t="s">
        <v>2342</v>
      </c>
      <c r="K1032" s="526">
        <f t="shared" si="50"/>
        <v>75</v>
      </c>
    </row>
    <row r="1033" spans="1:33" ht="20.25" hidden="1" customHeight="1">
      <c r="A1033" s="557"/>
      <c r="B1033" s="557" t="s">
        <v>3850</v>
      </c>
      <c r="C1033" s="2"/>
      <c r="D1033" s="2"/>
      <c r="E1033" s="2"/>
      <c r="F1033" s="519">
        <v>2</v>
      </c>
      <c r="G1033" s="518" t="s">
        <v>2342</v>
      </c>
      <c r="H1033" s="509" t="s">
        <v>3851</v>
      </c>
      <c r="I1033" s="492">
        <f>C284</f>
        <v>20</v>
      </c>
      <c r="J1033" s="500" t="s">
        <v>2342</v>
      </c>
      <c r="K1033" s="526">
        <f t="shared" si="50"/>
        <v>40</v>
      </c>
    </row>
    <row r="1034" spans="1:33" ht="19.5" hidden="1" customHeight="1">
      <c r="A1034" s="559"/>
      <c r="B1034" s="557" t="s">
        <v>3852</v>
      </c>
      <c r="C1034" s="2"/>
      <c r="D1034" s="2"/>
      <c r="E1034" s="2"/>
      <c r="F1034" s="519">
        <v>1</v>
      </c>
      <c r="G1034" s="518" t="s">
        <v>2342</v>
      </c>
      <c r="H1034" s="509" t="s">
        <v>3853</v>
      </c>
      <c r="I1034" s="492">
        <f>C303</f>
        <v>8</v>
      </c>
      <c r="J1034" s="500" t="s">
        <v>2342</v>
      </c>
      <c r="K1034" s="526">
        <f t="shared" si="50"/>
        <v>8</v>
      </c>
    </row>
    <row r="1035" spans="1:33" ht="18.75" hidden="1" customHeight="1">
      <c r="A1035" s="559"/>
      <c r="B1035" s="557" t="s">
        <v>3854</v>
      </c>
      <c r="C1035" s="2"/>
      <c r="D1035" s="2"/>
      <c r="E1035" s="2"/>
      <c r="F1035" s="519">
        <v>1</v>
      </c>
      <c r="G1035" s="518" t="s">
        <v>2342</v>
      </c>
      <c r="H1035" s="509" t="s">
        <v>3855</v>
      </c>
      <c r="I1035" s="492">
        <f>C291</f>
        <v>15.6</v>
      </c>
      <c r="J1035" s="500" t="s">
        <v>2342</v>
      </c>
      <c r="K1035" s="526">
        <f t="shared" si="50"/>
        <v>15.6</v>
      </c>
    </row>
    <row r="1036" spans="1:33" ht="18" hidden="1" customHeight="1">
      <c r="A1036" s="559"/>
      <c r="B1036" s="557" t="s">
        <v>3856</v>
      </c>
      <c r="C1036" s="2"/>
      <c r="D1036" s="2"/>
      <c r="E1036" s="2"/>
      <c r="I1036" s="2"/>
      <c r="J1036" s="463"/>
      <c r="K1036" s="526" t="s">
        <v>442</v>
      </c>
    </row>
    <row r="1037" spans="1:33" ht="20.25" hidden="1" customHeight="1">
      <c r="A1037" s="559"/>
      <c r="B1037" s="557" t="s">
        <v>3857</v>
      </c>
      <c r="C1037" s="2"/>
      <c r="D1037" s="2"/>
      <c r="E1037" s="2"/>
      <c r="H1037" s="510" t="s">
        <v>3858</v>
      </c>
      <c r="I1037" s="2"/>
      <c r="J1037" s="463"/>
      <c r="K1037" s="526">
        <f>SUM(K1025:K1035)</f>
        <v>723.01284999999996</v>
      </c>
    </row>
    <row r="1038" spans="1:33" ht="21.75" hidden="1" customHeight="1">
      <c r="A1038" s="559"/>
      <c r="B1038" s="557" t="s">
        <v>3859</v>
      </c>
      <c r="C1038" s="2"/>
      <c r="D1038" s="2"/>
      <c r="E1038" s="2"/>
      <c r="I1038" s="2"/>
      <c r="J1038" s="463"/>
      <c r="K1038" s="526" t="s">
        <v>442</v>
      </c>
    </row>
    <row r="1039" spans="1:33" ht="24" hidden="1" customHeight="1">
      <c r="A1039" s="559"/>
      <c r="B1039" s="557" t="s">
        <v>3859</v>
      </c>
      <c r="C1039" s="2"/>
      <c r="D1039" s="2"/>
      <c r="E1039" s="2"/>
      <c r="H1039" s="510" t="s">
        <v>2355</v>
      </c>
      <c r="I1039" s="490" t="s">
        <v>30</v>
      </c>
      <c r="J1039" s="463"/>
      <c r="K1039" s="526">
        <f>K1037/F1031</f>
        <v>1517.0223457826269</v>
      </c>
    </row>
    <row r="1040" spans="1:33" ht="31.5" hidden="1">
      <c r="A1040" s="559"/>
      <c r="B1040" s="557" t="s">
        <v>3860</v>
      </c>
      <c r="C1040" s="2"/>
      <c r="D1040" s="2"/>
      <c r="E1040" s="2"/>
      <c r="I1040" s="2"/>
      <c r="J1040" s="463"/>
      <c r="K1040" s="526" t="s">
        <v>29</v>
      </c>
    </row>
    <row r="1041" spans="1:11" ht="31.5" hidden="1">
      <c r="A1041" s="559"/>
      <c r="B1041" s="557" t="s">
        <v>3861</v>
      </c>
      <c r="C1041" s="2"/>
      <c r="D1041" s="2"/>
      <c r="E1041" s="2"/>
      <c r="F1041" s="510" t="s">
        <v>3862</v>
      </c>
      <c r="G1041" s="518" t="s">
        <v>575</v>
      </c>
      <c r="H1041" s="509" t="s">
        <v>3839</v>
      </c>
      <c r="I1041" s="2"/>
      <c r="J1041" s="463"/>
      <c r="K1041" s="552"/>
    </row>
    <row r="1042" spans="1:11" hidden="1">
      <c r="A1042" s="559"/>
      <c r="H1042" s="509" t="s">
        <v>3863</v>
      </c>
      <c r="I1042" s="2"/>
      <c r="J1042" s="463"/>
      <c r="K1042" s="552"/>
    </row>
    <row r="1043" spans="1:11" hidden="1">
      <c r="A1043" s="559"/>
      <c r="H1043" s="515" t="s">
        <v>442</v>
      </c>
      <c r="I1043" s="2"/>
      <c r="J1043" s="463"/>
      <c r="K1043" s="552"/>
    </row>
    <row r="1044" spans="1:11" hidden="1">
      <c r="A1044" s="559"/>
      <c r="F1044" s="567">
        <v>5.4000000000000003E-3</v>
      </c>
      <c r="G1044" s="518" t="s">
        <v>2019</v>
      </c>
      <c r="H1044" s="509" t="s">
        <v>3844</v>
      </c>
      <c r="I1044" s="492">
        <f>C89</f>
        <v>57165</v>
      </c>
      <c r="J1044" s="500" t="s">
        <v>2334</v>
      </c>
      <c r="K1044" s="526">
        <f t="shared" ref="K1044:K1050" si="51">(F1044*I1044)</f>
        <v>308.69100000000003</v>
      </c>
    </row>
    <row r="1045" spans="1:11" hidden="1">
      <c r="A1045" s="559"/>
      <c r="F1045" s="567">
        <v>0.23871000000000001</v>
      </c>
      <c r="G1045" s="518" t="s">
        <v>2788</v>
      </c>
      <c r="H1045" s="509" t="s">
        <v>3846</v>
      </c>
      <c r="I1045" s="492">
        <f>C271</f>
        <v>160</v>
      </c>
      <c r="J1045" s="500" t="s">
        <v>2334</v>
      </c>
      <c r="K1045" s="526">
        <f t="shared" si="51"/>
        <v>38.193600000000004</v>
      </c>
    </row>
    <row r="1046" spans="1:11" hidden="1">
      <c r="A1046" s="559"/>
      <c r="F1046" s="567">
        <v>0.36199999999999999</v>
      </c>
      <c r="G1046" s="518" t="s">
        <v>2788</v>
      </c>
      <c r="H1046" s="509" t="s">
        <v>2812</v>
      </c>
      <c r="I1046" s="492">
        <f>D31</f>
        <v>320</v>
      </c>
      <c r="J1046" s="500" t="s">
        <v>2788</v>
      </c>
      <c r="K1046" s="526">
        <f t="shared" si="51"/>
        <v>115.84</v>
      </c>
    </row>
    <row r="1047" spans="1:11" hidden="1">
      <c r="A1047" s="559"/>
      <c r="F1047" s="519">
        <v>3</v>
      </c>
      <c r="G1047" s="518" t="s">
        <v>2342</v>
      </c>
      <c r="H1047" s="509" t="s">
        <v>3849</v>
      </c>
      <c r="I1047" s="492">
        <f>C281</f>
        <v>25</v>
      </c>
      <c r="J1047" s="500" t="s">
        <v>2342</v>
      </c>
      <c r="K1047" s="526">
        <f t="shared" si="51"/>
        <v>75</v>
      </c>
    </row>
    <row r="1048" spans="1:11" hidden="1">
      <c r="A1048" s="559"/>
      <c r="F1048" s="519">
        <v>2</v>
      </c>
      <c r="G1048" s="518" t="s">
        <v>2342</v>
      </c>
      <c r="H1048" s="509" t="s">
        <v>3851</v>
      </c>
      <c r="I1048" s="492">
        <f>C284</f>
        <v>20</v>
      </c>
      <c r="J1048" s="500" t="s">
        <v>2342</v>
      </c>
      <c r="K1048" s="526">
        <f t="shared" si="51"/>
        <v>40</v>
      </c>
    </row>
    <row r="1049" spans="1:11" hidden="1">
      <c r="A1049" s="559"/>
      <c r="F1049" s="519">
        <v>1</v>
      </c>
      <c r="G1049" s="518" t="s">
        <v>2342</v>
      </c>
      <c r="H1049" s="509" t="s">
        <v>3853</v>
      </c>
      <c r="I1049" s="492">
        <f>C303</f>
        <v>8</v>
      </c>
      <c r="J1049" s="500" t="s">
        <v>2342</v>
      </c>
      <c r="K1049" s="526">
        <f t="shared" si="51"/>
        <v>8</v>
      </c>
    </row>
    <row r="1050" spans="1:11" hidden="1">
      <c r="A1050" s="559"/>
      <c r="F1050" s="519">
        <v>1</v>
      </c>
      <c r="G1050" s="518" t="s">
        <v>2342</v>
      </c>
      <c r="H1050" s="509" t="s">
        <v>3855</v>
      </c>
      <c r="I1050" s="492">
        <f>C291</f>
        <v>15.6</v>
      </c>
      <c r="J1050" s="500" t="s">
        <v>2342</v>
      </c>
      <c r="K1050" s="526">
        <f t="shared" si="51"/>
        <v>15.6</v>
      </c>
    </row>
    <row r="1051" spans="1:11" hidden="1">
      <c r="A1051" s="559"/>
      <c r="I1051" s="2"/>
      <c r="J1051" s="463"/>
      <c r="K1051" s="526" t="s">
        <v>442</v>
      </c>
    </row>
    <row r="1052" spans="1:11" hidden="1">
      <c r="A1052" s="559"/>
      <c r="H1052" s="510" t="s">
        <v>3864</v>
      </c>
      <c r="I1052" s="2"/>
      <c r="J1052" s="463"/>
      <c r="K1052" s="526">
        <f>SUM(K1040:K1050)</f>
        <v>601.32460000000003</v>
      </c>
    </row>
    <row r="1053" spans="1:11" hidden="1">
      <c r="A1053" s="559"/>
      <c r="I1053" s="2"/>
      <c r="J1053" s="463"/>
      <c r="K1053" s="526" t="s">
        <v>442</v>
      </c>
    </row>
    <row r="1054" spans="1:11" hidden="1">
      <c r="A1054" s="559"/>
      <c r="H1054" s="510" t="s">
        <v>2355</v>
      </c>
      <c r="I1054" s="490" t="s">
        <v>30</v>
      </c>
      <c r="J1054" s="463"/>
      <c r="K1054" s="526">
        <f>K1052/F1046</f>
        <v>1661.1176795580111</v>
      </c>
    </row>
    <row r="1055" spans="1:11" hidden="1">
      <c r="A1055" s="559"/>
      <c r="I1055" s="2"/>
      <c r="J1055" s="463"/>
      <c r="K1055" s="526" t="s">
        <v>29</v>
      </c>
    </row>
    <row r="1056" spans="1:11" hidden="1">
      <c r="A1056" s="559"/>
      <c r="F1056" s="510" t="s">
        <v>3865</v>
      </c>
      <c r="G1056" s="518" t="s">
        <v>575</v>
      </c>
      <c r="H1056" s="509" t="s">
        <v>3866</v>
      </c>
      <c r="I1056" s="2"/>
      <c r="J1056" s="463"/>
      <c r="K1056" s="552"/>
    </row>
    <row r="1057" spans="1:11" hidden="1">
      <c r="A1057" s="559"/>
      <c r="H1057" s="509" t="s">
        <v>3867</v>
      </c>
      <c r="I1057" s="2"/>
      <c r="J1057" s="463"/>
      <c r="K1057" s="552"/>
    </row>
    <row r="1058" spans="1:11" hidden="1">
      <c r="A1058" s="559"/>
      <c r="H1058" s="515" t="s">
        <v>442</v>
      </c>
      <c r="I1058" s="2"/>
      <c r="J1058" s="463"/>
      <c r="K1058" s="552"/>
    </row>
    <row r="1059" spans="1:11" hidden="1">
      <c r="A1059" s="559"/>
      <c r="F1059" s="567">
        <v>5.3E-3</v>
      </c>
      <c r="G1059" s="518" t="s">
        <v>2019</v>
      </c>
      <c r="H1059" s="509" t="s">
        <v>3844</v>
      </c>
      <c r="I1059" s="492">
        <f>C89</f>
        <v>57165</v>
      </c>
      <c r="J1059" s="500" t="s">
        <v>2334</v>
      </c>
      <c r="K1059" s="526">
        <f t="shared" ref="K1059:K1064" si="52">(F1059*I1059)</f>
        <v>302.97449999999998</v>
      </c>
    </row>
    <row r="1060" spans="1:11" hidden="1">
      <c r="A1060" s="559"/>
      <c r="F1060" s="567">
        <v>0.27450000000000002</v>
      </c>
      <c r="G1060" s="518" t="s">
        <v>2788</v>
      </c>
      <c r="H1060" s="509" t="s">
        <v>3846</v>
      </c>
      <c r="I1060" s="492">
        <f>C271</f>
        <v>160</v>
      </c>
      <c r="J1060" s="500" t="s">
        <v>2334</v>
      </c>
      <c r="K1060" s="526">
        <f t="shared" si="52"/>
        <v>43.92</v>
      </c>
    </row>
    <row r="1061" spans="1:11" hidden="1">
      <c r="A1061" s="559"/>
      <c r="F1061" s="567">
        <v>0.4</v>
      </c>
      <c r="G1061" s="518" t="s">
        <v>2788</v>
      </c>
      <c r="H1061" s="509" t="s">
        <v>2812</v>
      </c>
      <c r="I1061" s="492">
        <f>D32</f>
        <v>267</v>
      </c>
      <c r="J1061" s="500" t="s">
        <v>2788</v>
      </c>
      <c r="K1061" s="526">
        <f t="shared" si="52"/>
        <v>106.80000000000001</v>
      </c>
    </row>
    <row r="1062" spans="1:11" hidden="1">
      <c r="A1062" s="559"/>
      <c r="F1062" s="519">
        <v>2</v>
      </c>
      <c r="G1062" s="518" t="s">
        <v>3868</v>
      </c>
      <c r="H1062" s="509" t="s">
        <v>3869</v>
      </c>
      <c r="I1062" s="492">
        <f>C304</f>
        <v>8.5</v>
      </c>
      <c r="J1062" s="500" t="s">
        <v>3868</v>
      </c>
      <c r="K1062" s="526">
        <f t="shared" si="52"/>
        <v>17</v>
      </c>
    </row>
    <row r="1063" spans="1:11" hidden="1">
      <c r="A1063" s="559"/>
      <c r="F1063" s="519">
        <v>1</v>
      </c>
      <c r="G1063" s="518" t="s">
        <v>2342</v>
      </c>
      <c r="H1063" s="509" t="s">
        <v>3870</v>
      </c>
      <c r="I1063" s="492">
        <f>C292</f>
        <v>12.6</v>
      </c>
      <c r="J1063" s="500" t="s">
        <v>2342</v>
      </c>
      <c r="K1063" s="526">
        <f t="shared" si="52"/>
        <v>12.6</v>
      </c>
    </row>
    <row r="1064" spans="1:11" hidden="1">
      <c r="A1064" s="559"/>
      <c r="F1064" s="519">
        <v>1</v>
      </c>
      <c r="G1064" s="518" t="s">
        <v>2342</v>
      </c>
      <c r="H1064" s="509" t="s">
        <v>3871</v>
      </c>
      <c r="I1064" s="492">
        <f>C290</f>
        <v>20.6</v>
      </c>
      <c r="J1064" s="500" t="s">
        <v>2342</v>
      </c>
      <c r="K1064" s="526">
        <f t="shared" si="52"/>
        <v>20.6</v>
      </c>
    </row>
    <row r="1065" spans="1:11" hidden="1">
      <c r="A1065" s="559"/>
      <c r="I1065" s="2"/>
      <c r="J1065" s="463"/>
      <c r="K1065" s="526" t="s">
        <v>442</v>
      </c>
    </row>
    <row r="1066" spans="1:11" hidden="1">
      <c r="A1066" s="559"/>
      <c r="H1066" s="510" t="s">
        <v>3864</v>
      </c>
      <c r="I1066" s="2"/>
      <c r="J1066" s="463"/>
      <c r="K1066" s="526">
        <f>SUM(K1055:K1064)</f>
        <v>503.89450000000005</v>
      </c>
    </row>
    <row r="1067" spans="1:11" hidden="1">
      <c r="A1067" s="559"/>
      <c r="I1067" s="2"/>
      <c r="J1067" s="463"/>
      <c r="K1067" s="526" t="s">
        <v>442</v>
      </c>
    </row>
    <row r="1068" spans="1:11" hidden="1">
      <c r="A1068" s="559"/>
      <c r="H1068" s="510" t="s">
        <v>2355</v>
      </c>
      <c r="I1068" s="490" t="s">
        <v>30</v>
      </c>
      <c r="J1068" s="463"/>
      <c r="K1068" s="526">
        <f>K1066/F1061</f>
        <v>1259.7362500000002</v>
      </c>
    </row>
    <row r="1069" spans="1:11" hidden="1">
      <c r="A1069" s="559"/>
      <c r="F1069" s="509" t="s">
        <v>30</v>
      </c>
      <c r="I1069" s="2"/>
      <c r="J1069" s="463"/>
      <c r="K1069" s="552"/>
    </row>
    <row r="1070" spans="1:11" hidden="1">
      <c r="A1070" s="559"/>
      <c r="I1070" s="2"/>
      <c r="J1070" s="463"/>
      <c r="K1070" s="526" t="s">
        <v>29</v>
      </c>
    </row>
    <row r="1071" spans="1:11" hidden="1">
      <c r="A1071" s="559"/>
      <c r="F1071" s="529">
        <v>22.3</v>
      </c>
      <c r="H1071" s="509" t="s">
        <v>3872</v>
      </c>
      <c r="I1071" s="2"/>
      <c r="J1071" s="463"/>
      <c r="K1071" s="552"/>
    </row>
    <row r="1072" spans="1:11" hidden="1">
      <c r="A1072" s="559"/>
      <c r="H1072" s="515" t="s">
        <v>442</v>
      </c>
      <c r="I1072" s="491" t="s">
        <v>442</v>
      </c>
      <c r="J1072" s="500" t="s">
        <v>442</v>
      </c>
      <c r="K1072" s="552"/>
    </row>
    <row r="1073" spans="1:12" hidden="1">
      <c r="A1073" s="559"/>
      <c r="I1073" s="2"/>
      <c r="J1073" s="463"/>
      <c r="K1073" s="552"/>
    </row>
    <row r="1074" spans="1:12" hidden="1">
      <c r="A1074" s="559"/>
      <c r="H1074" s="509" t="s">
        <v>3873</v>
      </c>
      <c r="I1074" s="2"/>
      <c r="J1074" s="463"/>
      <c r="K1074" s="552"/>
    </row>
    <row r="1075" spans="1:12" hidden="1">
      <c r="A1075" s="559"/>
      <c r="H1075" s="509" t="s">
        <v>3874</v>
      </c>
      <c r="I1075" s="2"/>
      <c r="J1075" s="463"/>
      <c r="K1075" s="552"/>
    </row>
    <row r="1076" spans="1:12" hidden="1">
      <c r="A1076" s="559"/>
      <c r="H1076" s="509" t="s">
        <v>3875</v>
      </c>
      <c r="I1076" s="2"/>
      <c r="J1076" s="463"/>
      <c r="K1076" s="552"/>
    </row>
    <row r="1077" spans="1:12" hidden="1">
      <c r="A1077" s="559"/>
      <c r="H1077" s="509" t="s">
        <v>3876</v>
      </c>
      <c r="I1077" s="2"/>
      <c r="J1077" s="463"/>
      <c r="K1077" s="552"/>
    </row>
    <row r="1078" spans="1:12" hidden="1">
      <c r="A1078" s="559"/>
      <c r="H1078" s="509" t="s">
        <v>3877</v>
      </c>
      <c r="I1078" s="2"/>
      <c r="J1078" s="463"/>
      <c r="K1078" s="552"/>
      <c r="L1078" s="509" t="s">
        <v>30</v>
      </c>
    </row>
    <row r="1079" spans="1:12" hidden="1">
      <c r="A1079" s="559"/>
      <c r="I1079" s="2"/>
      <c r="J1079" s="500" t="s">
        <v>30</v>
      </c>
      <c r="K1079" s="835">
        <v>3.32E-2</v>
      </c>
    </row>
    <row r="1080" spans="1:12" hidden="1">
      <c r="A1080" s="559"/>
      <c r="H1080" s="509" t="s">
        <v>3878</v>
      </c>
      <c r="I1080" s="2"/>
      <c r="J1080" s="564" t="s">
        <v>30</v>
      </c>
      <c r="K1080" s="835" t="s">
        <v>30</v>
      </c>
    </row>
    <row r="1081" spans="1:12" hidden="1">
      <c r="A1081" s="559"/>
      <c r="H1081" s="509" t="s">
        <v>3879</v>
      </c>
      <c r="I1081" s="2"/>
      <c r="J1081" s="463"/>
      <c r="K1081" s="835" t="s">
        <v>30</v>
      </c>
    </row>
    <row r="1082" spans="1:12" hidden="1">
      <c r="A1082" s="559"/>
      <c r="I1082" s="2"/>
      <c r="J1082" s="463"/>
      <c r="K1082" s="552"/>
    </row>
    <row r="1083" spans="1:12" hidden="1">
      <c r="A1083" s="559"/>
      <c r="F1083" s="567">
        <v>1.18E-2</v>
      </c>
      <c r="G1083" s="518" t="s">
        <v>2334</v>
      </c>
      <c r="H1083" s="509" t="s">
        <v>2809</v>
      </c>
      <c r="I1083" s="492">
        <f>C88</f>
        <v>65420</v>
      </c>
      <c r="J1083" s="500" t="s">
        <v>2334</v>
      </c>
      <c r="K1083" s="526">
        <f t="shared" ref="K1083:K1092" si="53">(F1083*I1083)</f>
        <v>771.95600000000002</v>
      </c>
    </row>
    <row r="1084" spans="1:12" hidden="1">
      <c r="A1084" s="559"/>
      <c r="F1084" s="567">
        <v>3.32E-2</v>
      </c>
      <c r="G1084" s="518" t="s">
        <v>2334</v>
      </c>
      <c r="H1084" s="509" t="s">
        <v>2810</v>
      </c>
      <c r="I1084" s="492">
        <f>C89</f>
        <v>57165</v>
      </c>
      <c r="J1084" s="500" t="s">
        <v>2334</v>
      </c>
      <c r="K1084" s="526">
        <f t="shared" si="53"/>
        <v>1897.8779999999999</v>
      </c>
    </row>
    <row r="1085" spans="1:12" hidden="1">
      <c r="A1085" s="559"/>
      <c r="F1085" s="567">
        <v>1.8550000000000001E-2</v>
      </c>
      <c r="G1085" s="518" t="s">
        <v>2334</v>
      </c>
      <c r="H1085" s="509" t="s">
        <v>3880</v>
      </c>
      <c r="I1085" s="492">
        <f>C30</f>
        <v>3035</v>
      </c>
      <c r="J1085" s="500" t="s">
        <v>2334</v>
      </c>
      <c r="K1085" s="526">
        <f t="shared" si="53"/>
        <v>56.299250000000001</v>
      </c>
    </row>
    <row r="1086" spans="1:12" hidden="1">
      <c r="A1086" s="559"/>
      <c r="F1086" s="567">
        <v>1.46</v>
      </c>
      <c r="G1086" s="518" t="s">
        <v>2788</v>
      </c>
      <c r="H1086" s="509" t="s">
        <v>3881</v>
      </c>
      <c r="I1086" s="492">
        <v>385.89</v>
      </c>
      <c r="J1086" s="500" t="s">
        <v>2788</v>
      </c>
      <c r="K1086" s="526">
        <f t="shared" si="53"/>
        <v>563.39940000000001</v>
      </c>
    </row>
    <row r="1087" spans="1:12" hidden="1">
      <c r="A1087" s="559"/>
      <c r="F1087" s="567">
        <v>2.0499999999999998</v>
      </c>
      <c r="G1087" s="518" t="s">
        <v>2788</v>
      </c>
      <c r="H1087" s="509" t="s">
        <v>3882</v>
      </c>
      <c r="I1087" s="492">
        <f>D30</f>
        <v>287</v>
      </c>
      <c r="J1087" s="500" t="s">
        <v>2788</v>
      </c>
      <c r="K1087" s="526">
        <f t="shared" si="53"/>
        <v>588.34999999999991</v>
      </c>
    </row>
    <row r="1088" spans="1:12" hidden="1">
      <c r="A1088" s="559"/>
      <c r="F1088" s="519">
        <v>2</v>
      </c>
      <c r="G1088" s="518" t="s">
        <v>2342</v>
      </c>
      <c r="H1088" s="509" t="s">
        <v>3883</v>
      </c>
      <c r="I1088" s="492">
        <v>7.5</v>
      </c>
      <c r="J1088" s="500" t="s">
        <v>2342</v>
      </c>
      <c r="K1088" s="526">
        <f t="shared" si="53"/>
        <v>15</v>
      </c>
    </row>
    <row r="1089" spans="1:11" hidden="1">
      <c r="A1089" s="559"/>
      <c r="F1089" s="519">
        <v>6</v>
      </c>
      <c r="G1089" s="518" t="s">
        <v>2342</v>
      </c>
      <c r="H1089" s="509" t="s">
        <v>3849</v>
      </c>
      <c r="I1089" s="492">
        <f>C281</f>
        <v>25</v>
      </c>
      <c r="J1089" s="500" t="s">
        <v>2342</v>
      </c>
      <c r="K1089" s="526">
        <f t="shared" si="53"/>
        <v>150</v>
      </c>
    </row>
    <row r="1090" spans="1:11" hidden="1">
      <c r="A1090" s="559"/>
      <c r="F1090" s="519">
        <v>2</v>
      </c>
      <c r="G1090" s="518" t="s">
        <v>2342</v>
      </c>
      <c r="H1090" s="509" t="s">
        <v>3884</v>
      </c>
      <c r="I1090" s="492">
        <v>50</v>
      </c>
      <c r="J1090" s="500" t="s">
        <v>2342</v>
      </c>
      <c r="K1090" s="526">
        <f t="shared" si="53"/>
        <v>100</v>
      </c>
    </row>
    <row r="1091" spans="1:11" hidden="1">
      <c r="A1091" s="559"/>
      <c r="F1091" s="519">
        <v>1</v>
      </c>
      <c r="G1091" s="518" t="s">
        <v>2342</v>
      </c>
      <c r="H1091" s="509" t="s">
        <v>3885</v>
      </c>
      <c r="I1091" s="492">
        <v>50</v>
      </c>
      <c r="J1091" s="500" t="s">
        <v>2342</v>
      </c>
      <c r="K1091" s="526">
        <f t="shared" si="53"/>
        <v>50</v>
      </c>
    </row>
    <row r="1092" spans="1:11" hidden="1">
      <c r="A1092" s="559"/>
      <c r="F1092" s="519">
        <v>2.52</v>
      </c>
      <c r="G1092" s="518" t="s">
        <v>2788</v>
      </c>
      <c r="H1092" s="509" t="s">
        <v>3886</v>
      </c>
      <c r="I1092" s="492">
        <f>K1122</f>
        <v>51.25</v>
      </c>
      <c r="J1092" s="500" t="s">
        <v>2788</v>
      </c>
      <c r="K1092" s="526">
        <f t="shared" si="53"/>
        <v>129.15</v>
      </c>
    </row>
    <row r="1093" spans="1:11" hidden="1">
      <c r="A1093" s="559"/>
      <c r="H1093" s="509" t="s">
        <v>3887</v>
      </c>
      <c r="I1093" s="500" t="s">
        <v>2346</v>
      </c>
      <c r="J1093" s="463"/>
      <c r="K1093" s="526">
        <v>0.21</v>
      </c>
    </row>
    <row r="1094" spans="1:11" hidden="1">
      <c r="A1094" s="559"/>
      <c r="I1094" s="2"/>
      <c r="J1094" s="463"/>
      <c r="K1094" s="526" t="s">
        <v>442</v>
      </c>
    </row>
    <row r="1095" spans="1:11" hidden="1">
      <c r="A1095" s="559"/>
      <c r="H1095" s="510" t="s">
        <v>3888</v>
      </c>
      <c r="I1095" s="2"/>
      <c r="J1095" s="463"/>
      <c r="K1095" s="526">
        <f>SUM(K1083:K1093)</f>
        <v>4322.2426499999992</v>
      </c>
    </row>
    <row r="1096" spans="1:11" hidden="1">
      <c r="A1096" s="559"/>
      <c r="G1096" s="518" t="s">
        <v>30</v>
      </c>
      <c r="I1096" s="2"/>
      <c r="J1096" s="463"/>
      <c r="K1096" s="526" t="s">
        <v>442</v>
      </c>
    </row>
    <row r="1097" spans="1:11" hidden="1">
      <c r="A1097" s="559"/>
      <c r="H1097" s="510" t="s">
        <v>2355</v>
      </c>
      <c r="I1097" s="2"/>
      <c r="J1097" s="463"/>
      <c r="K1097" s="526">
        <f>K1095/2.52</f>
        <v>1715.1756547619045</v>
      </c>
    </row>
    <row r="1098" spans="1:11" hidden="1">
      <c r="A1098" s="559"/>
      <c r="I1098" s="2"/>
      <c r="J1098" s="463"/>
      <c r="K1098" s="526" t="s">
        <v>29</v>
      </c>
    </row>
    <row r="1099" spans="1:11" hidden="1">
      <c r="A1099" s="559"/>
      <c r="G1099" s="518" t="s">
        <v>575</v>
      </c>
      <c r="H1099" s="509" t="s">
        <v>3889</v>
      </c>
      <c r="I1099" s="2"/>
      <c r="J1099" s="463"/>
      <c r="K1099" s="552"/>
    </row>
    <row r="1100" spans="1:11" hidden="1">
      <c r="A1100" s="559"/>
      <c r="H1100" s="515" t="s">
        <v>442</v>
      </c>
      <c r="I1100" s="491" t="s">
        <v>442</v>
      </c>
      <c r="J1100" s="463"/>
      <c r="K1100" s="552"/>
    </row>
    <row r="1101" spans="1:11" hidden="1">
      <c r="A1101" s="559"/>
      <c r="F1101" s="519">
        <v>0.77</v>
      </c>
      <c r="G1101" s="518" t="s">
        <v>3890</v>
      </c>
      <c r="H1101" s="509" t="s">
        <v>3891</v>
      </c>
      <c r="I1101" s="492">
        <f>C193</f>
        <v>210</v>
      </c>
      <c r="J1101" s="500" t="s">
        <v>3890</v>
      </c>
      <c r="K1101" s="526">
        <f>(F1101*I1101)</f>
        <v>161.70000000000002</v>
      </c>
    </row>
    <row r="1102" spans="1:11" hidden="1">
      <c r="A1102" s="559"/>
      <c r="F1102" s="519">
        <v>0.61</v>
      </c>
      <c r="G1102" s="518" t="s">
        <v>3890</v>
      </c>
      <c r="H1102" s="509" t="s">
        <v>3892</v>
      </c>
      <c r="I1102" s="492">
        <f>C192</f>
        <v>25</v>
      </c>
      <c r="J1102" s="500" t="s">
        <v>3890</v>
      </c>
      <c r="K1102" s="526">
        <f>(F1102*I1102)</f>
        <v>15.25</v>
      </c>
    </row>
    <row r="1103" spans="1:11" hidden="1">
      <c r="A1103" s="559"/>
      <c r="F1103" s="519">
        <v>0.7</v>
      </c>
      <c r="G1103" s="518" t="s">
        <v>2403</v>
      </c>
      <c r="H1103" s="509" t="s">
        <v>2543</v>
      </c>
      <c r="I1103" s="492">
        <f>C14</f>
        <v>120</v>
      </c>
      <c r="J1103" s="500" t="s">
        <v>3321</v>
      </c>
      <c r="K1103" s="526">
        <f>(F1103*I1103)</f>
        <v>84</v>
      </c>
    </row>
    <row r="1104" spans="1:11" hidden="1">
      <c r="A1104" s="559"/>
      <c r="F1104" s="519">
        <v>0.7</v>
      </c>
      <c r="G1104" s="518" t="s">
        <v>2403</v>
      </c>
      <c r="H1104" s="509" t="s">
        <v>2535</v>
      </c>
      <c r="I1104" s="492">
        <f>C12</f>
        <v>95</v>
      </c>
      <c r="J1104" s="500" t="s">
        <v>3321</v>
      </c>
      <c r="K1104" s="526">
        <f>(F1104*I1104)</f>
        <v>66.5</v>
      </c>
    </row>
    <row r="1105" spans="1:11" hidden="1">
      <c r="A1105" s="559"/>
      <c r="G1105" s="518" t="s">
        <v>2346</v>
      </c>
      <c r="H1105" s="509" t="s">
        <v>3893</v>
      </c>
      <c r="I1105" s="2"/>
      <c r="J1105" s="500" t="s">
        <v>2346</v>
      </c>
      <c r="K1105" s="526">
        <v>1.5</v>
      </c>
    </row>
    <row r="1106" spans="1:11" hidden="1">
      <c r="A1106" s="559"/>
      <c r="I1106" s="2"/>
      <c r="J1106" s="463"/>
      <c r="K1106" s="526" t="s">
        <v>442</v>
      </c>
    </row>
    <row r="1107" spans="1:11" hidden="1">
      <c r="A1107" s="559"/>
      <c r="H1107" s="510" t="s">
        <v>3894</v>
      </c>
      <c r="I1107" s="2"/>
      <c r="J1107" s="463"/>
      <c r="K1107" s="526">
        <f>SUM(K1101:K1105)</f>
        <v>328.95000000000005</v>
      </c>
    </row>
    <row r="1108" spans="1:11" hidden="1">
      <c r="A1108" s="559"/>
      <c r="I1108" s="2"/>
      <c r="J1108" s="463"/>
      <c r="K1108" s="526" t="s">
        <v>442</v>
      </c>
    </row>
    <row r="1109" spans="1:11" hidden="1">
      <c r="A1109" s="559"/>
      <c r="H1109" s="510" t="s">
        <v>2355</v>
      </c>
      <c r="I1109" s="2"/>
      <c r="J1109" s="463"/>
      <c r="K1109" s="526">
        <f>(K1107/10)</f>
        <v>32.895000000000003</v>
      </c>
    </row>
    <row r="1110" spans="1:11" hidden="1">
      <c r="A1110" s="559"/>
      <c r="I1110" s="2"/>
      <c r="J1110" s="463"/>
      <c r="K1110" s="526" t="s">
        <v>29</v>
      </c>
    </row>
    <row r="1111" spans="1:11" hidden="1">
      <c r="A1111" s="559"/>
      <c r="I1111" s="2"/>
      <c r="J1111" s="463"/>
      <c r="K1111" s="552"/>
    </row>
    <row r="1112" spans="1:11" hidden="1">
      <c r="A1112" s="559"/>
      <c r="F1112" s="509" t="s">
        <v>30</v>
      </c>
      <c r="G1112" s="518" t="s">
        <v>575</v>
      </c>
      <c r="H1112" s="509" t="s">
        <v>3895</v>
      </c>
      <c r="I1112" s="2"/>
      <c r="J1112" s="463"/>
      <c r="K1112" s="552"/>
    </row>
    <row r="1113" spans="1:11" hidden="1">
      <c r="A1113" s="559"/>
      <c r="H1113" s="515" t="s">
        <v>442</v>
      </c>
      <c r="I1113" s="491" t="s">
        <v>442</v>
      </c>
      <c r="J1113" s="463"/>
      <c r="K1113" s="552"/>
    </row>
    <row r="1114" spans="1:11" hidden="1">
      <c r="A1114" s="559"/>
      <c r="F1114" s="519">
        <v>1.2</v>
      </c>
      <c r="G1114" s="518" t="s">
        <v>3890</v>
      </c>
      <c r="H1114" s="509" t="s">
        <v>3891</v>
      </c>
      <c r="I1114" s="492">
        <f>C193</f>
        <v>210</v>
      </c>
      <c r="J1114" s="500" t="s">
        <v>3890</v>
      </c>
      <c r="K1114" s="526">
        <f>(F1114*I1114)</f>
        <v>252</v>
      </c>
    </row>
    <row r="1115" spans="1:11" hidden="1">
      <c r="A1115" s="559"/>
      <c r="F1115" s="519">
        <v>0.9</v>
      </c>
      <c r="G1115" s="518" t="s">
        <v>3890</v>
      </c>
      <c r="H1115" s="509" t="s">
        <v>3892</v>
      </c>
      <c r="I1115" s="492">
        <f>C192</f>
        <v>25</v>
      </c>
      <c r="J1115" s="500" t="s">
        <v>3890</v>
      </c>
      <c r="K1115" s="526">
        <f>(F1115*I1115)</f>
        <v>22.5</v>
      </c>
    </row>
    <row r="1116" spans="1:11" hidden="1">
      <c r="A1116" s="559"/>
      <c r="F1116" s="519">
        <v>1.1000000000000001</v>
      </c>
      <c r="G1116" s="518" t="s">
        <v>2403</v>
      </c>
      <c r="H1116" s="509" t="s">
        <v>2543</v>
      </c>
      <c r="I1116" s="492">
        <f>C14</f>
        <v>120</v>
      </c>
      <c r="J1116" s="500" t="s">
        <v>3321</v>
      </c>
      <c r="K1116" s="526">
        <f>(F1116*I1116)</f>
        <v>132</v>
      </c>
    </row>
    <row r="1117" spans="1:11" hidden="1">
      <c r="A1117" s="559"/>
      <c r="F1117" s="519">
        <v>1.1000000000000001</v>
      </c>
      <c r="G1117" s="518" t="s">
        <v>2403</v>
      </c>
      <c r="H1117" s="509" t="s">
        <v>2535</v>
      </c>
      <c r="I1117" s="492">
        <f>C12</f>
        <v>95</v>
      </c>
      <c r="J1117" s="500" t="s">
        <v>3321</v>
      </c>
      <c r="K1117" s="526">
        <f>(F1117*I1117)</f>
        <v>104.50000000000001</v>
      </c>
    </row>
    <row r="1118" spans="1:11" hidden="1">
      <c r="A1118" s="559"/>
      <c r="G1118" s="518" t="s">
        <v>2346</v>
      </c>
      <c r="H1118" s="509" t="s">
        <v>3893</v>
      </c>
      <c r="I1118" s="2"/>
      <c r="J1118" s="500" t="s">
        <v>2346</v>
      </c>
      <c r="K1118" s="526">
        <v>1.5</v>
      </c>
    </row>
    <row r="1119" spans="1:11" hidden="1">
      <c r="A1119" s="559"/>
      <c r="I1119" s="2"/>
      <c r="J1119" s="463"/>
      <c r="K1119" s="526" t="s">
        <v>442</v>
      </c>
    </row>
    <row r="1120" spans="1:11" hidden="1">
      <c r="A1120" s="559"/>
      <c r="H1120" s="510" t="s">
        <v>3894</v>
      </c>
      <c r="I1120" s="2"/>
      <c r="J1120" s="463"/>
      <c r="K1120" s="526">
        <f>SUM(K1114:K1118)</f>
        <v>512.5</v>
      </c>
    </row>
    <row r="1121" spans="1:33" hidden="1">
      <c r="A1121" s="559"/>
      <c r="I1121" s="2"/>
      <c r="J1121" s="463"/>
      <c r="K1121" s="526" t="s">
        <v>442</v>
      </c>
    </row>
    <row r="1122" spans="1:33" hidden="1">
      <c r="A1122" s="559"/>
      <c r="H1122" s="510" t="s">
        <v>2355</v>
      </c>
      <c r="I1122" s="2"/>
      <c r="J1122" s="463"/>
      <c r="K1122" s="526">
        <f>(K1120/10)</f>
        <v>51.25</v>
      </c>
    </row>
    <row r="1123" spans="1:33" hidden="1">
      <c r="A1123" s="559"/>
      <c r="I1123" s="2"/>
      <c r="J1123" s="463"/>
      <c r="K1123" s="526" t="s">
        <v>29</v>
      </c>
    </row>
    <row r="1124" spans="1:33" hidden="1">
      <c r="A1124" s="559"/>
      <c r="I1124" s="2"/>
      <c r="J1124" s="463"/>
      <c r="K1124" s="552"/>
    </row>
    <row r="1125" spans="1:33" hidden="1">
      <c r="A1125" s="559"/>
      <c r="F1125" s="543">
        <v>23.3</v>
      </c>
      <c r="H1125" s="511" t="s">
        <v>3896</v>
      </c>
      <c r="I1125" s="2"/>
      <c r="J1125" s="463"/>
      <c r="K1125" s="552">
        <v>35</v>
      </c>
    </row>
    <row r="1126" spans="1:33" hidden="1">
      <c r="A1126" s="559"/>
      <c r="I1126" s="2"/>
      <c r="J1126" s="463"/>
      <c r="K1126" s="552"/>
    </row>
    <row r="1127" spans="1:33" hidden="1">
      <c r="A1127" s="559"/>
      <c r="I1127" s="2"/>
      <c r="J1127" s="463"/>
      <c r="K1127" s="552"/>
    </row>
    <row r="1128" spans="1:33" hidden="1">
      <c r="A1128" s="559"/>
      <c r="F1128" s="510" t="s">
        <v>3897</v>
      </c>
      <c r="G1128" s="518" t="s">
        <v>575</v>
      </c>
      <c r="H1128" s="509" t="s">
        <v>3898</v>
      </c>
      <c r="I1128" s="2"/>
      <c r="J1128" s="463"/>
      <c r="K1128" s="552"/>
      <c r="AG1128" s="509" t="s">
        <v>2514</v>
      </c>
    </row>
    <row r="1129" spans="1:33" hidden="1">
      <c r="A1129" s="559"/>
      <c r="H1129" s="509" t="s">
        <v>3899</v>
      </c>
      <c r="I1129" s="2"/>
      <c r="J1129" s="463"/>
      <c r="K1129" s="552"/>
      <c r="AG1129" s="509" t="s">
        <v>2514</v>
      </c>
    </row>
    <row r="1130" spans="1:33" hidden="1">
      <c r="A1130" s="559"/>
      <c r="H1130" s="515" t="s">
        <v>442</v>
      </c>
      <c r="I1130" s="491" t="s">
        <v>442</v>
      </c>
      <c r="J1130" s="463"/>
      <c r="K1130" s="552"/>
      <c r="AG1130" s="509" t="s">
        <v>2514</v>
      </c>
    </row>
    <row r="1131" spans="1:33" hidden="1">
      <c r="A1131" s="559"/>
      <c r="F1131" s="542">
        <v>0.53339999999999999</v>
      </c>
      <c r="G1131" s="518" t="s">
        <v>26</v>
      </c>
      <c r="H1131" s="509" t="s">
        <v>3900</v>
      </c>
      <c r="I1131" s="492">
        <f>C271</f>
        <v>160</v>
      </c>
      <c r="J1131" s="500" t="s">
        <v>26</v>
      </c>
      <c r="K1131" s="526">
        <f>(F1131*I1131)</f>
        <v>85.343999999999994</v>
      </c>
      <c r="AG1131" s="509" t="s">
        <v>2514</v>
      </c>
    </row>
    <row r="1132" spans="1:33" hidden="1">
      <c r="A1132" s="559"/>
      <c r="F1132" s="519">
        <v>4.24</v>
      </c>
      <c r="G1132" s="518" t="s">
        <v>12</v>
      </c>
      <c r="H1132" s="509" t="s">
        <v>3901</v>
      </c>
      <c r="I1132" s="492">
        <v>13.66</v>
      </c>
      <c r="J1132" s="500" t="s">
        <v>12</v>
      </c>
      <c r="K1132" s="526">
        <f>(F1132*I1132)</f>
        <v>57.918400000000005</v>
      </c>
      <c r="AG1132" s="509" t="s">
        <v>2514</v>
      </c>
    </row>
    <row r="1133" spans="1:33" hidden="1">
      <c r="A1133" s="559"/>
      <c r="F1133" s="519">
        <v>16</v>
      </c>
      <c r="G1133" s="518" t="s">
        <v>2403</v>
      </c>
      <c r="H1133" s="509" t="s">
        <v>3902</v>
      </c>
      <c r="I1133" s="492">
        <v>0.5</v>
      </c>
      <c r="J1133" s="500" t="s">
        <v>556</v>
      </c>
      <c r="K1133" s="526">
        <f>(F1133*I1133)</f>
        <v>8</v>
      </c>
      <c r="AG1133" s="509" t="s">
        <v>2690</v>
      </c>
    </row>
    <row r="1134" spans="1:33" hidden="1">
      <c r="A1134" s="559"/>
      <c r="F1134" s="542">
        <v>0.53339999999999999</v>
      </c>
      <c r="G1134" s="518" t="s">
        <v>26</v>
      </c>
      <c r="H1134" s="509" t="s">
        <v>3903</v>
      </c>
      <c r="I1134" s="492">
        <f>0.25/1.08*D16</f>
        <v>31.249999999999996</v>
      </c>
      <c r="J1134" s="500" t="s">
        <v>26</v>
      </c>
      <c r="K1134" s="526">
        <f>(F1134*I1134)</f>
        <v>16.668749999999999</v>
      </c>
    </row>
    <row r="1135" spans="1:33" hidden="1">
      <c r="A1135" s="559"/>
      <c r="G1135" s="518" t="s">
        <v>2346</v>
      </c>
      <c r="H1135" s="509" t="s">
        <v>2390</v>
      </c>
      <c r="I1135" s="2"/>
      <c r="J1135" s="500" t="s">
        <v>2346</v>
      </c>
      <c r="K1135" s="526">
        <v>0</v>
      </c>
    </row>
    <row r="1136" spans="1:33" hidden="1">
      <c r="A1136" s="559"/>
      <c r="H1136" s="509" t="s">
        <v>3904</v>
      </c>
      <c r="I1136" s="2"/>
      <c r="J1136" s="463"/>
      <c r="K1136" s="552"/>
      <c r="AG1136" s="509" t="s">
        <v>2514</v>
      </c>
    </row>
    <row r="1137" spans="1:33" hidden="1">
      <c r="A1137" s="559"/>
      <c r="I1137" s="2"/>
      <c r="J1137" s="463"/>
      <c r="K1137" s="526" t="s">
        <v>442</v>
      </c>
      <c r="AG1137" s="509" t="s">
        <v>2514</v>
      </c>
    </row>
    <row r="1138" spans="1:33" hidden="1">
      <c r="A1138" s="559"/>
      <c r="H1138" s="510" t="s">
        <v>3905</v>
      </c>
      <c r="I1138" s="2"/>
      <c r="J1138" s="463"/>
      <c r="K1138" s="526">
        <f>SUM(K1131:K1135)</f>
        <v>167.93115</v>
      </c>
      <c r="AG1138" s="509" t="s">
        <v>2514</v>
      </c>
    </row>
    <row r="1139" spans="1:33" hidden="1">
      <c r="A1139" s="559"/>
      <c r="I1139" s="2"/>
      <c r="J1139" s="463"/>
      <c r="K1139" s="526" t="s">
        <v>442</v>
      </c>
      <c r="AG1139" s="509" t="s">
        <v>2514</v>
      </c>
    </row>
    <row r="1140" spans="1:33" hidden="1">
      <c r="A1140" s="559"/>
      <c r="H1140" s="510" t="s">
        <v>3906</v>
      </c>
      <c r="I1140" s="2"/>
      <c r="J1140" s="463"/>
      <c r="K1140" s="526">
        <f>ROUND(K1138/0.5334,1)</f>
        <v>314.8</v>
      </c>
      <c r="AG1140" s="509" t="s">
        <v>2514</v>
      </c>
    </row>
    <row r="1141" spans="1:33" hidden="1">
      <c r="A1141" s="559"/>
      <c r="F1141" s="509" t="s">
        <v>30</v>
      </c>
      <c r="I1141" s="2"/>
      <c r="J1141" s="463"/>
      <c r="K1141" s="526" t="s">
        <v>29</v>
      </c>
    </row>
    <row r="1142" spans="1:33" hidden="1">
      <c r="A1142" s="559"/>
      <c r="F1142" s="509" t="s">
        <v>30</v>
      </c>
      <c r="G1142" s="518" t="s">
        <v>30</v>
      </c>
      <c r="H1142" s="509" t="s">
        <v>30</v>
      </c>
      <c r="I1142" s="2"/>
      <c r="J1142" s="463"/>
      <c r="K1142" s="552"/>
    </row>
    <row r="1143" spans="1:33" hidden="1">
      <c r="A1143" s="559"/>
      <c r="F1143" s="510" t="s">
        <v>2639</v>
      </c>
      <c r="G1143" s="518" t="s">
        <v>575</v>
      </c>
      <c r="H1143" s="509" t="s">
        <v>3907</v>
      </c>
      <c r="I1143" s="2"/>
      <c r="J1143" s="463"/>
      <c r="K1143" s="552"/>
      <c r="AG1143" s="509" t="s">
        <v>2514</v>
      </c>
    </row>
    <row r="1144" spans="1:33" hidden="1">
      <c r="A1144" s="559"/>
      <c r="H1144" s="509" t="s">
        <v>3908</v>
      </c>
      <c r="I1144" s="2"/>
      <c r="J1144" s="463"/>
      <c r="K1144" s="552"/>
      <c r="AG1144" s="509" t="s">
        <v>2514</v>
      </c>
    </row>
    <row r="1145" spans="1:33" hidden="1">
      <c r="A1145" s="559"/>
      <c r="H1145" s="515" t="s">
        <v>442</v>
      </c>
      <c r="I1145" s="2"/>
      <c r="J1145" s="463"/>
      <c r="K1145" s="552"/>
      <c r="AG1145" s="509" t="s">
        <v>2514</v>
      </c>
    </row>
    <row r="1146" spans="1:33" hidden="1">
      <c r="A1146" s="559"/>
      <c r="F1146" s="519">
        <v>1</v>
      </c>
      <c r="G1146" s="518" t="s">
        <v>40</v>
      </c>
      <c r="H1146" s="509" t="s">
        <v>3909</v>
      </c>
      <c r="I1146" s="492">
        <f>(C638)</f>
        <v>37</v>
      </c>
      <c r="J1146" s="500" t="s">
        <v>40</v>
      </c>
      <c r="K1146" s="526">
        <f>(F1146*I1146)</f>
        <v>37</v>
      </c>
      <c r="AG1146" s="509" t="s">
        <v>2514</v>
      </c>
    </row>
    <row r="1147" spans="1:33" hidden="1">
      <c r="A1147" s="559"/>
      <c r="I1147" s="2"/>
      <c r="J1147" s="463"/>
      <c r="K1147" s="526" t="s">
        <v>29</v>
      </c>
      <c r="AG1147" s="509" t="s">
        <v>2514</v>
      </c>
    </row>
    <row r="1148" spans="1:33" hidden="1">
      <c r="A1148" s="559"/>
      <c r="I1148" s="2"/>
      <c r="J1148" s="463"/>
      <c r="K1148" s="552"/>
      <c r="AG1148" s="509" t="s">
        <v>2514</v>
      </c>
    </row>
    <row r="1149" spans="1:33" hidden="1">
      <c r="A1149" s="559"/>
      <c r="F1149" s="510" t="s">
        <v>2643</v>
      </c>
      <c r="G1149" s="518" t="s">
        <v>575</v>
      </c>
      <c r="H1149" s="509" t="s">
        <v>3910</v>
      </c>
      <c r="I1149" s="490" t="s">
        <v>30</v>
      </c>
      <c r="J1149" s="500" t="s">
        <v>3321</v>
      </c>
      <c r="K1149" s="526">
        <v>3.7</v>
      </c>
      <c r="AG1149" s="509" t="s">
        <v>2514</v>
      </c>
    </row>
    <row r="1150" spans="1:33" hidden="1">
      <c r="A1150" s="559"/>
      <c r="H1150" s="509" t="s">
        <v>3911</v>
      </c>
      <c r="I1150" s="2"/>
      <c r="J1150" s="463"/>
      <c r="K1150" s="526" t="s">
        <v>29</v>
      </c>
      <c r="AG1150" s="509" t="s">
        <v>2514</v>
      </c>
    </row>
    <row r="1151" spans="1:33" hidden="1">
      <c r="A1151" s="559"/>
      <c r="I1151" s="2"/>
      <c r="J1151" s="463"/>
      <c r="K1151" s="552"/>
      <c r="AG1151" s="509" t="s">
        <v>2514</v>
      </c>
    </row>
    <row r="1152" spans="1:33" hidden="1">
      <c r="A1152" s="559"/>
      <c r="F1152" s="510" t="s">
        <v>2656</v>
      </c>
      <c r="G1152" s="518" t="s">
        <v>575</v>
      </c>
      <c r="H1152" s="509" t="s">
        <v>3912</v>
      </c>
      <c r="I1152" s="2"/>
      <c r="J1152" s="463"/>
      <c r="K1152" s="552"/>
      <c r="AG1152" s="509" t="s">
        <v>2514</v>
      </c>
    </row>
    <row r="1153" spans="1:33" hidden="1">
      <c r="A1153" s="559"/>
      <c r="H1153" s="509" t="s">
        <v>3913</v>
      </c>
      <c r="I1153" s="2"/>
      <c r="J1153" s="463"/>
      <c r="K1153" s="552"/>
      <c r="AG1153" s="509" t="s">
        <v>2514</v>
      </c>
    </row>
    <row r="1154" spans="1:33" hidden="1">
      <c r="A1154" s="559"/>
      <c r="H1154" s="515" t="s">
        <v>442</v>
      </c>
      <c r="I1154" s="2"/>
      <c r="J1154" s="463"/>
      <c r="K1154" s="552"/>
      <c r="AG1154" s="509" t="s">
        <v>2514</v>
      </c>
    </row>
    <row r="1155" spans="1:33" hidden="1">
      <c r="A1155" s="559"/>
      <c r="F1155" s="519">
        <v>0.22</v>
      </c>
      <c r="G1155" s="518" t="s">
        <v>2334</v>
      </c>
      <c r="H1155" s="509" t="s">
        <v>2647</v>
      </c>
      <c r="I1155" s="492" t="e">
        <f>(K40)</f>
        <v>#REF!</v>
      </c>
      <c r="J1155" s="500" t="s">
        <v>2334</v>
      </c>
      <c r="K1155" s="526" t="e">
        <f>(F1155*I1155)</f>
        <v>#REF!</v>
      </c>
      <c r="AG1155" s="509" t="s">
        <v>2514</v>
      </c>
    </row>
    <row r="1156" spans="1:33" hidden="1">
      <c r="A1156" s="559"/>
      <c r="F1156" s="519">
        <v>2.2000000000000002</v>
      </c>
      <c r="G1156" s="518" t="s">
        <v>2359</v>
      </c>
      <c r="H1156" s="509" t="s">
        <v>2353</v>
      </c>
      <c r="I1156" s="492">
        <f>(C10)</f>
        <v>150</v>
      </c>
      <c r="J1156" s="500" t="s">
        <v>2359</v>
      </c>
      <c r="K1156" s="526">
        <f>(F1156*I1156)</f>
        <v>330</v>
      </c>
      <c r="AG1156" s="509" t="s">
        <v>2514</v>
      </c>
    </row>
    <row r="1157" spans="1:33" hidden="1">
      <c r="A1157" s="559"/>
      <c r="F1157" s="519">
        <v>0.5</v>
      </c>
      <c r="G1157" s="518" t="s">
        <v>2359</v>
      </c>
      <c r="H1157" s="509" t="s">
        <v>3914</v>
      </c>
      <c r="I1157" s="492">
        <f>(C12)</f>
        <v>95</v>
      </c>
      <c r="J1157" s="500" t="s">
        <v>2359</v>
      </c>
      <c r="K1157" s="526">
        <f>(F1157*I1157)</f>
        <v>47.5</v>
      </c>
      <c r="AG1157" s="509" t="s">
        <v>2514</v>
      </c>
    </row>
    <row r="1158" spans="1:33" hidden="1">
      <c r="A1158" s="559"/>
      <c r="F1158" s="519">
        <v>3.2</v>
      </c>
      <c r="G1158" s="518" t="s">
        <v>2359</v>
      </c>
      <c r="H1158" s="509" t="s">
        <v>2345</v>
      </c>
      <c r="I1158" s="492">
        <f>(C13)</f>
        <v>85</v>
      </c>
      <c r="J1158" s="500" t="s">
        <v>2359</v>
      </c>
      <c r="K1158" s="526">
        <f>(F1158*I1158)</f>
        <v>272</v>
      </c>
      <c r="AG1158" s="509" t="s">
        <v>2514</v>
      </c>
    </row>
    <row r="1159" spans="1:33" hidden="1">
      <c r="A1159" s="559"/>
      <c r="G1159" s="518" t="s">
        <v>2346</v>
      </c>
      <c r="H1159" s="509" t="s">
        <v>2347</v>
      </c>
      <c r="I1159" s="490" t="s">
        <v>30</v>
      </c>
      <c r="J1159" s="500" t="s">
        <v>2346</v>
      </c>
      <c r="K1159" s="526">
        <v>0</v>
      </c>
      <c r="AG1159" s="509" t="s">
        <v>2514</v>
      </c>
    </row>
    <row r="1160" spans="1:33" hidden="1">
      <c r="A1160" s="559"/>
      <c r="I1160" s="2"/>
      <c r="J1160" s="463"/>
      <c r="K1160" s="526" t="s">
        <v>442</v>
      </c>
      <c r="AG1160" s="509" t="s">
        <v>2514</v>
      </c>
    </row>
    <row r="1161" spans="1:33" hidden="1">
      <c r="A1161" s="559"/>
      <c r="H1161" s="509" t="s">
        <v>2358</v>
      </c>
      <c r="I1161" s="2"/>
      <c r="J1161" s="463"/>
      <c r="K1161" s="526" t="e">
        <f>SUM(K1155:K1159)</f>
        <v>#REF!</v>
      </c>
      <c r="AG1161" s="509" t="s">
        <v>2514</v>
      </c>
    </row>
    <row r="1162" spans="1:33" hidden="1">
      <c r="A1162" s="559"/>
      <c r="I1162" s="2"/>
      <c r="J1162" s="463"/>
      <c r="K1162" s="526" t="s">
        <v>442</v>
      </c>
      <c r="AG1162" s="509" t="s">
        <v>2514</v>
      </c>
    </row>
    <row r="1163" spans="1:33" hidden="1">
      <c r="A1163" s="559"/>
      <c r="H1163" s="509" t="s">
        <v>2355</v>
      </c>
      <c r="I1163" s="2"/>
      <c r="J1163" s="463"/>
      <c r="K1163" s="526" t="e">
        <f>(K1161/10)</f>
        <v>#REF!</v>
      </c>
      <c r="AG1163" s="509" t="s">
        <v>2514</v>
      </c>
    </row>
    <row r="1164" spans="1:33" hidden="1">
      <c r="A1164" s="559"/>
      <c r="I1164" s="2"/>
      <c r="J1164" s="463"/>
      <c r="K1164" s="526" t="s">
        <v>29</v>
      </c>
      <c r="AG1164" s="509" t="s">
        <v>2514</v>
      </c>
    </row>
    <row r="1165" spans="1:33" hidden="1">
      <c r="A1165" s="559"/>
      <c r="F1165" s="510" t="s">
        <v>3915</v>
      </c>
      <c r="G1165" s="518" t="s">
        <v>575</v>
      </c>
      <c r="H1165" s="509" t="s">
        <v>3916</v>
      </c>
      <c r="I1165" s="2"/>
      <c r="J1165" s="463"/>
      <c r="K1165" s="552"/>
      <c r="AG1165" s="509" t="s">
        <v>2514</v>
      </c>
    </row>
    <row r="1166" spans="1:33" hidden="1">
      <c r="A1166" s="559"/>
      <c r="H1166" s="509" t="s">
        <v>3917</v>
      </c>
      <c r="I1166" s="2"/>
      <c r="J1166" s="463"/>
      <c r="K1166" s="552"/>
      <c r="AG1166" s="509" t="s">
        <v>2514</v>
      </c>
    </row>
    <row r="1167" spans="1:33" hidden="1">
      <c r="A1167" s="559"/>
      <c r="H1167" s="515" t="s">
        <v>442</v>
      </c>
      <c r="I1167" s="2"/>
      <c r="J1167" s="463"/>
      <c r="K1167" s="552"/>
      <c r="AG1167" s="509" t="s">
        <v>2514</v>
      </c>
    </row>
    <row r="1168" spans="1:33" hidden="1">
      <c r="A1168" s="559"/>
      <c r="F1168" s="519">
        <v>160</v>
      </c>
      <c r="G1168" s="518" t="s">
        <v>3918</v>
      </c>
      <c r="H1168" s="509" t="s">
        <v>3919</v>
      </c>
      <c r="I1168" s="492">
        <f>(C136)</f>
        <v>8240</v>
      </c>
      <c r="J1168" s="500" t="s">
        <v>2408</v>
      </c>
      <c r="K1168" s="526">
        <f>(F1168*I1168)/1000</f>
        <v>1318.4</v>
      </c>
      <c r="AG1168" s="509" t="s">
        <v>2690</v>
      </c>
    </row>
    <row r="1169" spans="1:33" hidden="1">
      <c r="A1169" s="559"/>
      <c r="H1169" s="509" t="s">
        <v>3920</v>
      </c>
      <c r="I1169" s="490" t="s">
        <v>30</v>
      </c>
      <c r="J1169" s="463"/>
      <c r="K1169" s="526" t="s">
        <v>30</v>
      </c>
    </row>
    <row r="1170" spans="1:33" hidden="1">
      <c r="A1170" s="559"/>
      <c r="F1170" s="519">
        <v>0.21</v>
      </c>
      <c r="G1170" s="518" t="s">
        <v>2334</v>
      </c>
      <c r="H1170" s="509" t="s">
        <v>3921</v>
      </c>
      <c r="I1170" s="492" t="e">
        <f>(K32)</f>
        <v>#REF!</v>
      </c>
      <c r="J1170" s="500" t="s">
        <v>2334</v>
      </c>
      <c r="K1170" s="526" t="e">
        <f>(F1170*I1170)</f>
        <v>#REF!</v>
      </c>
    </row>
    <row r="1171" spans="1:33" hidden="1">
      <c r="A1171" s="559"/>
      <c r="H1171" s="509" t="s">
        <v>3922</v>
      </c>
      <c r="I1171" s="490" t="s">
        <v>30</v>
      </c>
      <c r="J1171" s="463"/>
      <c r="K1171" s="526" t="s">
        <v>30</v>
      </c>
      <c r="AG1171" s="509" t="s">
        <v>2514</v>
      </c>
    </row>
    <row r="1172" spans="1:33" hidden="1">
      <c r="A1172" s="559"/>
      <c r="F1172" s="519">
        <v>1.1000000000000001</v>
      </c>
      <c r="G1172" s="518" t="s">
        <v>2359</v>
      </c>
      <c r="H1172" s="509" t="s">
        <v>2353</v>
      </c>
      <c r="I1172" s="492">
        <f>(C10)</f>
        <v>150</v>
      </c>
      <c r="J1172" s="500" t="s">
        <v>2359</v>
      </c>
      <c r="K1172" s="526">
        <f>(F1172*I1172)</f>
        <v>165</v>
      </c>
      <c r="AG1172" s="509" t="s">
        <v>2514</v>
      </c>
    </row>
    <row r="1173" spans="1:33" hidden="1">
      <c r="A1173" s="559"/>
      <c r="F1173" s="519">
        <v>1.1000000000000001</v>
      </c>
      <c r="G1173" s="518" t="s">
        <v>2359</v>
      </c>
      <c r="H1173" s="509" t="s">
        <v>2343</v>
      </c>
      <c r="I1173" s="492">
        <f>(C11)</f>
        <v>135</v>
      </c>
      <c r="J1173" s="500" t="s">
        <v>2359</v>
      </c>
      <c r="K1173" s="526">
        <f>(F1173*I1173)</f>
        <v>148.5</v>
      </c>
      <c r="AG1173" s="509" t="s">
        <v>2514</v>
      </c>
    </row>
    <row r="1174" spans="1:33" hidden="1">
      <c r="A1174" s="559"/>
      <c r="F1174" s="519">
        <v>2.2000000000000002</v>
      </c>
      <c r="G1174" s="518" t="s">
        <v>2359</v>
      </c>
      <c r="H1174" s="509" t="s">
        <v>2344</v>
      </c>
      <c r="I1174" s="492">
        <f>(C12)</f>
        <v>95</v>
      </c>
      <c r="J1174" s="500" t="s">
        <v>2359</v>
      </c>
      <c r="K1174" s="526">
        <f>(F1174*I1174)</f>
        <v>209.00000000000003</v>
      </c>
      <c r="AG1174" s="509" t="s">
        <v>2514</v>
      </c>
    </row>
    <row r="1175" spans="1:33" hidden="1">
      <c r="A1175" s="559"/>
      <c r="F1175" s="519">
        <v>2.2000000000000002</v>
      </c>
      <c r="G1175" s="518" t="s">
        <v>2359</v>
      </c>
      <c r="H1175" s="509" t="s">
        <v>2345</v>
      </c>
      <c r="I1175" s="492">
        <f>(C13)</f>
        <v>85</v>
      </c>
      <c r="J1175" s="500" t="s">
        <v>2359</v>
      </c>
      <c r="K1175" s="526">
        <f>(F1175*I1175)</f>
        <v>187.00000000000003</v>
      </c>
      <c r="AG1175" s="509" t="s">
        <v>2514</v>
      </c>
    </row>
    <row r="1176" spans="1:33" hidden="1">
      <c r="A1176" s="559"/>
      <c r="F1176" s="528">
        <v>22</v>
      </c>
      <c r="G1176" s="518" t="s">
        <v>40</v>
      </c>
      <c r="H1176" s="509" t="s">
        <v>2517</v>
      </c>
      <c r="I1176" s="492">
        <f>(C67)</f>
        <v>3800</v>
      </c>
      <c r="J1176" s="500" t="s">
        <v>2516</v>
      </c>
      <c r="K1176" s="526">
        <f>(F1176*I1176)/1000</f>
        <v>83.6</v>
      </c>
      <c r="AG1176" s="509" t="s">
        <v>2514</v>
      </c>
    </row>
    <row r="1177" spans="1:33" hidden="1">
      <c r="A1177" s="559"/>
      <c r="F1177" s="519">
        <v>1.6</v>
      </c>
      <c r="G1177" s="518" t="s">
        <v>2359</v>
      </c>
      <c r="H1177" s="509" t="s">
        <v>2343</v>
      </c>
      <c r="I1177" s="492">
        <f>(C11)</f>
        <v>135</v>
      </c>
      <c r="J1177" s="500" t="s">
        <v>2359</v>
      </c>
      <c r="K1177" s="526">
        <f>(F1177*I1177)</f>
        <v>216</v>
      </c>
      <c r="AG1177" s="509" t="s">
        <v>2514</v>
      </c>
    </row>
    <row r="1178" spans="1:33" hidden="1">
      <c r="A1178" s="559"/>
      <c r="F1178" s="519">
        <v>0.5</v>
      </c>
      <c r="G1178" s="518" t="s">
        <v>2359</v>
      </c>
      <c r="H1178" s="509" t="s">
        <v>2344</v>
      </c>
      <c r="I1178" s="492">
        <f>(C12)</f>
        <v>95</v>
      </c>
      <c r="J1178" s="500" t="s">
        <v>2359</v>
      </c>
      <c r="K1178" s="526">
        <f>(F1178*I1178)</f>
        <v>47.5</v>
      </c>
      <c r="AG1178" s="509" t="s">
        <v>2514</v>
      </c>
    </row>
    <row r="1179" spans="1:33" hidden="1">
      <c r="A1179" s="559"/>
      <c r="F1179" s="519">
        <v>1.1000000000000001</v>
      </c>
      <c r="G1179" s="518" t="s">
        <v>2359</v>
      </c>
      <c r="H1179" s="509" t="s">
        <v>2345</v>
      </c>
      <c r="I1179" s="492">
        <f>(C13)</f>
        <v>85</v>
      </c>
      <c r="J1179" s="500" t="s">
        <v>2359</v>
      </c>
      <c r="K1179" s="526">
        <f>(F1179*I1179)</f>
        <v>93.500000000000014</v>
      </c>
      <c r="AG1179" s="509" t="s">
        <v>2514</v>
      </c>
    </row>
    <row r="1180" spans="1:33" hidden="1">
      <c r="A1180" s="559"/>
      <c r="F1180" s="509" t="s">
        <v>2485</v>
      </c>
      <c r="H1180" s="509" t="s">
        <v>3923</v>
      </c>
      <c r="I1180" s="490" t="s">
        <v>30</v>
      </c>
      <c r="J1180" s="463"/>
      <c r="K1180" s="526" t="s">
        <v>30</v>
      </c>
      <c r="AG1180" s="509" t="s">
        <v>2514</v>
      </c>
    </row>
    <row r="1181" spans="1:33" hidden="1">
      <c r="A1181" s="559"/>
      <c r="F1181" s="519">
        <v>1</v>
      </c>
      <c r="G1181" s="518" t="s">
        <v>2346</v>
      </c>
      <c r="H1181" s="509" t="s">
        <v>3924</v>
      </c>
      <c r="I1181" s="492">
        <f>(C57)</f>
        <v>35</v>
      </c>
      <c r="J1181" s="500" t="s">
        <v>2346</v>
      </c>
      <c r="K1181" s="526">
        <f>(F1181*I1181)</f>
        <v>35</v>
      </c>
      <c r="AG1181" s="509" t="s">
        <v>2514</v>
      </c>
    </row>
    <row r="1182" spans="1:33" hidden="1">
      <c r="A1182" s="559"/>
      <c r="F1182" s="519">
        <v>1</v>
      </c>
      <c r="G1182" s="518" t="s">
        <v>2346</v>
      </c>
      <c r="H1182" s="509" t="s">
        <v>3925</v>
      </c>
      <c r="I1182" s="492">
        <f>(C58)</f>
        <v>15</v>
      </c>
      <c r="J1182" s="500" t="s">
        <v>2346</v>
      </c>
      <c r="K1182" s="526">
        <f>(F1182*I1182)</f>
        <v>15</v>
      </c>
      <c r="AG1182" s="509" t="s">
        <v>2514</v>
      </c>
    </row>
    <row r="1183" spans="1:33" hidden="1">
      <c r="A1183" s="559"/>
      <c r="F1183" s="519">
        <v>1</v>
      </c>
      <c r="G1183" s="518" t="s">
        <v>2346</v>
      </c>
      <c r="H1183" s="509" t="s">
        <v>3926</v>
      </c>
      <c r="I1183" s="492">
        <f>(C28)</f>
        <v>58.33</v>
      </c>
      <c r="J1183" s="500" t="s">
        <v>2346</v>
      </c>
      <c r="K1183" s="526">
        <f>(F1183*I1183)</f>
        <v>58.33</v>
      </c>
      <c r="AG1183" s="509" t="s">
        <v>2514</v>
      </c>
    </row>
    <row r="1184" spans="1:33" hidden="1">
      <c r="A1184" s="559"/>
      <c r="F1184" s="519">
        <v>1.1000000000000001</v>
      </c>
      <c r="G1184" s="518" t="s">
        <v>2359</v>
      </c>
      <c r="H1184" s="509" t="s">
        <v>3927</v>
      </c>
      <c r="I1184" s="492">
        <f>(C29)</f>
        <v>120</v>
      </c>
      <c r="J1184" s="500" t="s">
        <v>2359</v>
      </c>
      <c r="K1184" s="526">
        <f>(F1184*I1184)</f>
        <v>132</v>
      </c>
      <c r="AG1184" s="509" t="s">
        <v>2514</v>
      </c>
    </row>
    <row r="1185" spans="1:33" hidden="1">
      <c r="A1185" s="559"/>
      <c r="F1185" s="519">
        <v>2.2000000000000002</v>
      </c>
      <c r="G1185" s="518" t="s">
        <v>2359</v>
      </c>
      <c r="H1185" s="509" t="s">
        <v>3928</v>
      </c>
      <c r="I1185" s="492">
        <f>(C13)</f>
        <v>85</v>
      </c>
      <c r="J1185" s="500" t="s">
        <v>2359</v>
      </c>
      <c r="K1185" s="526">
        <f>(F1185*I1185)</f>
        <v>187.00000000000003</v>
      </c>
      <c r="AG1185" s="509" t="s">
        <v>2514</v>
      </c>
    </row>
    <row r="1186" spans="1:33" hidden="1">
      <c r="A1186" s="559"/>
      <c r="G1186" s="518" t="s">
        <v>2346</v>
      </c>
      <c r="H1186" s="509" t="s">
        <v>2347</v>
      </c>
      <c r="I1186" s="2"/>
      <c r="J1186" s="500" t="s">
        <v>2346</v>
      </c>
      <c r="K1186" s="526">
        <v>0</v>
      </c>
      <c r="AG1186" s="509" t="s">
        <v>2514</v>
      </c>
    </row>
    <row r="1187" spans="1:33" hidden="1">
      <c r="A1187" s="559"/>
      <c r="I1187" s="2"/>
      <c r="J1187" s="463"/>
      <c r="K1187" s="526" t="s">
        <v>442</v>
      </c>
      <c r="AG1187" s="509" t="s">
        <v>2514</v>
      </c>
    </row>
    <row r="1188" spans="1:33" hidden="1">
      <c r="A1188" s="559"/>
      <c r="H1188" s="509" t="s">
        <v>2358</v>
      </c>
      <c r="I1188" s="2"/>
      <c r="J1188" s="463"/>
      <c r="K1188" s="526" t="e">
        <f>SUM(K1168:K1186)</f>
        <v>#REF!</v>
      </c>
      <c r="AG1188" s="509" t="s">
        <v>2514</v>
      </c>
    </row>
    <row r="1189" spans="1:33" hidden="1">
      <c r="A1189" s="559"/>
      <c r="I1189" s="2"/>
      <c r="J1189" s="463"/>
      <c r="K1189" s="526" t="s">
        <v>442</v>
      </c>
      <c r="AG1189" s="509" t="s">
        <v>2514</v>
      </c>
    </row>
    <row r="1190" spans="1:33" hidden="1">
      <c r="A1190" s="559"/>
      <c r="F1190" s="509" t="s">
        <v>30</v>
      </c>
      <c r="I1190" s="2"/>
      <c r="J1190" s="463"/>
      <c r="K1190" s="552"/>
    </row>
    <row r="1191" spans="1:33" hidden="1">
      <c r="A1191" s="559"/>
      <c r="H1191" s="509" t="s">
        <v>2355</v>
      </c>
      <c r="I1191" s="2"/>
      <c r="J1191" s="463"/>
      <c r="K1191" s="526" t="e">
        <f>(K1188/10)</f>
        <v>#REF!</v>
      </c>
      <c r="AG1191" s="509" t="s">
        <v>2514</v>
      </c>
    </row>
    <row r="1192" spans="1:33" hidden="1">
      <c r="A1192" s="559"/>
      <c r="F1192" s="509" t="s">
        <v>30</v>
      </c>
      <c r="I1192" s="2"/>
      <c r="J1192" s="463"/>
      <c r="K1192" s="552"/>
    </row>
    <row r="1193" spans="1:33" hidden="1">
      <c r="A1193" s="559"/>
      <c r="I1193" s="2"/>
      <c r="J1193" s="463"/>
      <c r="K1193" s="526" t="s">
        <v>29</v>
      </c>
      <c r="AG1193" s="509" t="s">
        <v>2514</v>
      </c>
    </row>
    <row r="1194" spans="1:33" hidden="1">
      <c r="A1194" s="559"/>
      <c r="F1194" s="529">
        <v>29.5</v>
      </c>
      <c r="G1194" s="518" t="s">
        <v>575</v>
      </c>
      <c r="H1194" s="509" t="s">
        <v>3929</v>
      </c>
      <c r="I1194" s="2"/>
      <c r="J1194" s="463"/>
      <c r="K1194" s="552"/>
      <c r="AG1194" s="509" t="s">
        <v>2514</v>
      </c>
    </row>
    <row r="1195" spans="1:33" hidden="1">
      <c r="A1195" s="559"/>
      <c r="H1195" s="509" t="s">
        <v>3930</v>
      </c>
      <c r="I1195" s="2"/>
      <c r="J1195" s="463"/>
      <c r="K1195" s="552"/>
      <c r="AG1195" s="509" t="s">
        <v>2514</v>
      </c>
    </row>
    <row r="1196" spans="1:33" hidden="1">
      <c r="A1196" s="559"/>
      <c r="H1196" s="509" t="s">
        <v>3931</v>
      </c>
      <c r="I1196" s="2"/>
      <c r="J1196" s="463"/>
      <c r="K1196" s="552"/>
      <c r="AG1196" s="509" t="s">
        <v>2514</v>
      </c>
    </row>
    <row r="1197" spans="1:33" hidden="1">
      <c r="A1197" s="559"/>
      <c r="H1197" s="515" t="s">
        <v>442</v>
      </c>
      <c r="I1197" s="491" t="s">
        <v>442</v>
      </c>
      <c r="J1197" s="463"/>
      <c r="K1197" s="552"/>
      <c r="AG1197" s="509" t="s">
        <v>2514</v>
      </c>
    </row>
    <row r="1198" spans="1:33" hidden="1">
      <c r="A1198" s="559"/>
      <c r="F1198" s="519">
        <v>10</v>
      </c>
      <c r="G1198" s="518" t="s">
        <v>2788</v>
      </c>
      <c r="H1198" s="509" t="s">
        <v>3932</v>
      </c>
      <c r="I1198" s="492">
        <f>(C579)</f>
        <v>301</v>
      </c>
      <c r="J1198" s="500" t="s">
        <v>2788</v>
      </c>
      <c r="K1198" s="526">
        <f>(F1198*I1198)</f>
        <v>3010</v>
      </c>
      <c r="AG1198" s="509" t="s">
        <v>2514</v>
      </c>
    </row>
    <row r="1199" spans="1:33" hidden="1">
      <c r="A1199" s="559"/>
      <c r="F1199" s="519">
        <v>0.21</v>
      </c>
      <c r="G1199" s="518" t="s">
        <v>2334</v>
      </c>
      <c r="H1199" s="509" t="s">
        <v>3921</v>
      </c>
      <c r="I1199" s="492" t="e">
        <f>(K32)</f>
        <v>#REF!</v>
      </c>
      <c r="J1199" s="500" t="s">
        <v>2334</v>
      </c>
      <c r="K1199" s="526" t="e">
        <f>(F1199*I1199)</f>
        <v>#REF!</v>
      </c>
      <c r="AG1199" s="509" t="s">
        <v>2514</v>
      </c>
    </row>
    <row r="1200" spans="1:33" hidden="1">
      <c r="A1200" s="559"/>
      <c r="H1200" s="509" t="s">
        <v>3922</v>
      </c>
      <c r="I1200" s="490" t="s">
        <v>30</v>
      </c>
      <c r="J1200" s="463"/>
      <c r="K1200" s="526" t="s">
        <v>30</v>
      </c>
      <c r="AG1200" s="509" t="s">
        <v>2514</v>
      </c>
    </row>
    <row r="1201" spans="1:33" hidden="1">
      <c r="A1201" s="559"/>
      <c r="F1201" s="519">
        <v>1.1000000000000001</v>
      </c>
      <c r="G1201" s="518" t="s">
        <v>2359</v>
      </c>
      <c r="H1201" s="509" t="s">
        <v>2353</v>
      </c>
      <c r="I1201" s="492">
        <f>(C10)</f>
        <v>150</v>
      </c>
      <c r="J1201" s="500" t="s">
        <v>2359</v>
      </c>
      <c r="K1201" s="526">
        <f>(F1201*I1201)</f>
        <v>165</v>
      </c>
      <c r="AG1201" s="509" t="s">
        <v>2514</v>
      </c>
    </row>
    <row r="1202" spans="1:33" hidden="1">
      <c r="A1202" s="559"/>
      <c r="F1202" s="519">
        <v>1.1000000000000001</v>
      </c>
      <c r="G1202" s="518" t="s">
        <v>2359</v>
      </c>
      <c r="H1202" s="509" t="s">
        <v>2343</v>
      </c>
      <c r="I1202" s="492">
        <f>(C11)</f>
        <v>135</v>
      </c>
      <c r="J1202" s="500" t="s">
        <v>2359</v>
      </c>
      <c r="K1202" s="526">
        <f>(F1202*I1202)</f>
        <v>148.5</v>
      </c>
      <c r="AG1202" s="509" t="s">
        <v>2514</v>
      </c>
    </row>
    <row r="1203" spans="1:33" hidden="1">
      <c r="A1203" s="559"/>
      <c r="F1203" s="519">
        <v>2.2000000000000002</v>
      </c>
      <c r="G1203" s="518" t="s">
        <v>2359</v>
      </c>
      <c r="H1203" s="509" t="s">
        <v>2344</v>
      </c>
      <c r="I1203" s="492">
        <f>(C12)</f>
        <v>95</v>
      </c>
      <c r="J1203" s="500" t="s">
        <v>2359</v>
      </c>
      <c r="K1203" s="526">
        <f>(F1203*I1203)</f>
        <v>209.00000000000003</v>
      </c>
      <c r="AG1203" s="509" t="s">
        <v>2514</v>
      </c>
    </row>
    <row r="1204" spans="1:33" hidden="1">
      <c r="A1204" s="559"/>
      <c r="F1204" s="519">
        <v>2.2000000000000002</v>
      </c>
      <c r="G1204" s="518" t="s">
        <v>2359</v>
      </c>
      <c r="H1204" s="509" t="s">
        <v>2345</v>
      </c>
      <c r="I1204" s="492">
        <f>(C13)</f>
        <v>85</v>
      </c>
      <c r="J1204" s="500" t="s">
        <v>2359</v>
      </c>
      <c r="K1204" s="526">
        <f>(F1204*I1204)</f>
        <v>187.00000000000003</v>
      </c>
    </row>
    <row r="1205" spans="1:33" hidden="1">
      <c r="A1205" s="559"/>
      <c r="F1205" s="528">
        <v>20</v>
      </c>
      <c r="G1205" s="518" t="s">
        <v>40</v>
      </c>
      <c r="H1205" s="509" t="s">
        <v>2517</v>
      </c>
      <c r="I1205" s="492">
        <f>(C67)</f>
        <v>3800</v>
      </c>
      <c r="J1205" s="500" t="s">
        <v>2516</v>
      </c>
      <c r="K1205" s="526">
        <f>(F1205*I1205)/1000</f>
        <v>76</v>
      </c>
    </row>
    <row r="1206" spans="1:33" hidden="1">
      <c r="A1206" s="559"/>
      <c r="F1206" s="528">
        <v>2</v>
      </c>
      <c r="G1206" s="518" t="s">
        <v>40</v>
      </c>
      <c r="H1206" s="509" t="s">
        <v>3933</v>
      </c>
      <c r="I1206" s="492">
        <f>C586</f>
        <v>19</v>
      </c>
      <c r="J1206" s="500" t="s">
        <v>40</v>
      </c>
      <c r="K1206" s="526">
        <f>(F1206*I1206)</f>
        <v>38</v>
      </c>
      <c r="AG1206" s="509" t="s">
        <v>30</v>
      </c>
    </row>
    <row r="1207" spans="1:33" hidden="1">
      <c r="A1207" s="559"/>
      <c r="F1207" s="519">
        <v>1.6</v>
      </c>
      <c r="G1207" s="518" t="s">
        <v>2359</v>
      </c>
      <c r="H1207" s="509" t="s">
        <v>2343</v>
      </c>
      <c r="I1207" s="492">
        <f>(C11)</f>
        <v>135</v>
      </c>
      <c r="J1207" s="500" t="s">
        <v>2359</v>
      </c>
      <c r="K1207" s="526">
        <f>(F1207*I1207)</f>
        <v>216</v>
      </c>
    </row>
    <row r="1208" spans="1:33" hidden="1">
      <c r="A1208" s="559"/>
      <c r="F1208" s="519">
        <v>0.5</v>
      </c>
      <c r="G1208" s="518" t="s">
        <v>2359</v>
      </c>
      <c r="H1208" s="509" t="s">
        <v>2344</v>
      </c>
      <c r="I1208" s="492">
        <f>(C12)</f>
        <v>95</v>
      </c>
      <c r="J1208" s="500" t="s">
        <v>2359</v>
      </c>
      <c r="K1208" s="526">
        <f>(F1208*I1208)</f>
        <v>47.5</v>
      </c>
    </row>
    <row r="1209" spans="1:33" hidden="1">
      <c r="A1209" s="559"/>
      <c r="F1209" s="519">
        <v>1.1000000000000001</v>
      </c>
      <c r="G1209" s="518" t="s">
        <v>2359</v>
      </c>
      <c r="H1209" s="509" t="s">
        <v>2345</v>
      </c>
      <c r="I1209" s="492">
        <f>(C13)</f>
        <v>85</v>
      </c>
      <c r="J1209" s="500" t="s">
        <v>2359</v>
      </c>
      <c r="K1209" s="526">
        <f>(F1209*I1209)</f>
        <v>93.500000000000014</v>
      </c>
    </row>
    <row r="1210" spans="1:33" hidden="1">
      <c r="A1210" s="559"/>
      <c r="G1210" s="518" t="s">
        <v>2346</v>
      </c>
      <c r="H1210" s="509" t="s">
        <v>2347</v>
      </c>
      <c r="I1210" s="2"/>
      <c r="J1210" s="500" t="s">
        <v>2346</v>
      </c>
      <c r="K1210" s="526">
        <v>0</v>
      </c>
    </row>
    <row r="1211" spans="1:33" hidden="1">
      <c r="A1211" s="559"/>
      <c r="I1211" s="2"/>
      <c r="J1211" s="463"/>
      <c r="K1211" s="526" t="s">
        <v>442</v>
      </c>
    </row>
    <row r="1212" spans="1:33" hidden="1">
      <c r="A1212" s="559"/>
      <c r="H1212" s="509" t="s">
        <v>2358</v>
      </c>
      <c r="I1212" s="2"/>
      <c r="J1212" s="463"/>
      <c r="K1212" s="526" t="e">
        <f>SUM(K1198:K1210)</f>
        <v>#REF!</v>
      </c>
    </row>
    <row r="1213" spans="1:33" hidden="1">
      <c r="A1213" s="559"/>
      <c r="I1213" s="2"/>
      <c r="J1213" s="463"/>
      <c r="K1213" s="526" t="s">
        <v>442</v>
      </c>
    </row>
    <row r="1214" spans="1:33" hidden="1">
      <c r="A1214" s="559"/>
      <c r="H1214" s="509" t="s">
        <v>2355</v>
      </c>
      <c r="I1214" s="2"/>
      <c r="J1214" s="463"/>
      <c r="K1214" s="526" t="e">
        <f>(K1212/10)</f>
        <v>#REF!</v>
      </c>
    </row>
    <row r="1215" spans="1:33" hidden="1">
      <c r="A1215" s="559"/>
      <c r="I1215" s="2"/>
      <c r="J1215" s="463"/>
      <c r="K1215" s="526" t="s">
        <v>29</v>
      </c>
    </row>
    <row r="1216" spans="1:33" hidden="1">
      <c r="A1216" s="559"/>
      <c r="F1216" s="529">
        <v>29.4</v>
      </c>
      <c r="G1216" s="518" t="s">
        <v>575</v>
      </c>
      <c r="H1216" s="509" t="s">
        <v>3934</v>
      </c>
      <c r="I1216" s="2"/>
      <c r="J1216" s="463"/>
      <c r="K1216" s="552"/>
    </row>
    <row r="1217" spans="1:11" hidden="1">
      <c r="A1217" s="559"/>
      <c r="H1217" s="509" t="s">
        <v>3935</v>
      </c>
      <c r="I1217" s="2"/>
      <c r="J1217" s="463"/>
      <c r="K1217" s="552"/>
    </row>
    <row r="1218" spans="1:11" hidden="1">
      <c r="A1218" s="559"/>
      <c r="H1218" s="515" t="s">
        <v>442</v>
      </c>
      <c r="I1218" s="2"/>
      <c r="J1218" s="463"/>
      <c r="K1218" s="552"/>
    </row>
    <row r="1219" spans="1:11" hidden="1">
      <c r="A1219" s="559"/>
      <c r="F1219" s="519">
        <v>1.86</v>
      </c>
      <c r="G1219" s="518" t="s">
        <v>2788</v>
      </c>
      <c r="H1219" s="509" t="s">
        <v>3936</v>
      </c>
      <c r="I1219" s="492">
        <f>C580</f>
        <v>325</v>
      </c>
      <c r="J1219" s="500" t="s">
        <v>2788</v>
      </c>
      <c r="K1219" s="526">
        <f>(F1219*I1219)</f>
        <v>604.5</v>
      </c>
    </row>
    <row r="1220" spans="1:11" hidden="1">
      <c r="A1220" s="559"/>
      <c r="F1220" s="519">
        <v>0.4</v>
      </c>
      <c r="G1220" s="518" t="s">
        <v>40</v>
      </c>
      <c r="H1220" s="509" t="s">
        <v>3937</v>
      </c>
      <c r="I1220" s="492">
        <f>C586</f>
        <v>19</v>
      </c>
      <c r="J1220" s="500" t="s">
        <v>40</v>
      </c>
      <c r="K1220" s="526">
        <f>(F1220*I1220)</f>
        <v>7.6000000000000005</v>
      </c>
    </row>
    <row r="1221" spans="1:11" hidden="1">
      <c r="A1221" s="559"/>
      <c r="F1221" s="519">
        <v>0.02</v>
      </c>
      <c r="G1221" s="518" t="s">
        <v>2334</v>
      </c>
      <c r="H1221" s="509" t="s">
        <v>3938</v>
      </c>
      <c r="I1221" s="492" t="e">
        <f>K23</f>
        <v>#REF!</v>
      </c>
      <c r="J1221" s="500" t="s">
        <v>2334</v>
      </c>
      <c r="K1221" s="526" t="e">
        <f>(F1221*I1221)</f>
        <v>#REF!</v>
      </c>
    </row>
    <row r="1222" spans="1:11" hidden="1">
      <c r="A1222" s="559"/>
      <c r="F1222" s="519">
        <v>1</v>
      </c>
      <c r="G1222" s="518" t="s">
        <v>2359</v>
      </c>
      <c r="H1222" s="509" t="s">
        <v>2353</v>
      </c>
      <c r="I1222" s="492">
        <f>C10</f>
        <v>150</v>
      </c>
      <c r="J1222" s="500" t="s">
        <v>2359</v>
      </c>
      <c r="K1222" s="526">
        <f>(F1222*I1222)</f>
        <v>150</v>
      </c>
    </row>
    <row r="1223" spans="1:11" hidden="1">
      <c r="A1223" s="559"/>
      <c r="F1223" s="519">
        <v>1</v>
      </c>
      <c r="G1223" s="518" t="s">
        <v>2359</v>
      </c>
      <c r="H1223" s="509" t="s">
        <v>3939</v>
      </c>
      <c r="I1223" s="492">
        <f>C12</f>
        <v>95</v>
      </c>
      <c r="J1223" s="500" t="s">
        <v>2359</v>
      </c>
      <c r="K1223" s="526">
        <f>(F1223*I1223)</f>
        <v>95</v>
      </c>
    </row>
    <row r="1224" spans="1:11" hidden="1">
      <c r="A1224" s="559"/>
      <c r="G1224" s="518" t="s">
        <v>2346</v>
      </c>
      <c r="H1224" s="509" t="s">
        <v>2347</v>
      </c>
      <c r="I1224" s="2"/>
      <c r="J1224" s="500" t="s">
        <v>2346</v>
      </c>
      <c r="K1224" s="526">
        <v>0</v>
      </c>
    </row>
    <row r="1225" spans="1:11" hidden="1">
      <c r="A1225" s="559"/>
      <c r="I1225" s="2"/>
      <c r="J1225" s="463"/>
      <c r="K1225" s="526" t="s">
        <v>442</v>
      </c>
    </row>
    <row r="1226" spans="1:11" hidden="1">
      <c r="A1226" s="559"/>
      <c r="H1226" s="509" t="s">
        <v>3940</v>
      </c>
      <c r="I1226" s="2"/>
      <c r="J1226" s="463"/>
      <c r="K1226" s="526" t="e">
        <f>SUM(K1219:K1224)</f>
        <v>#REF!</v>
      </c>
    </row>
    <row r="1227" spans="1:11" hidden="1">
      <c r="A1227" s="559"/>
      <c r="I1227" s="2"/>
      <c r="J1227" s="463"/>
      <c r="K1227" s="526" t="s">
        <v>442</v>
      </c>
    </row>
    <row r="1228" spans="1:11" hidden="1">
      <c r="A1228" s="559"/>
      <c r="H1228" s="509" t="s">
        <v>2355</v>
      </c>
      <c r="I1228" s="2"/>
      <c r="J1228" s="463"/>
      <c r="K1228" s="526" t="e">
        <f>(K1226/1.86)</f>
        <v>#REF!</v>
      </c>
    </row>
    <row r="1229" spans="1:11" hidden="1">
      <c r="A1229" s="559"/>
      <c r="I1229" s="2"/>
      <c r="J1229" s="463"/>
      <c r="K1229" s="526" t="s">
        <v>29</v>
      </c>
    </row>
    <row r="1230" spans="1:11" hidden="1">
      <c r="A1230" s="559"/>
      <c r="F1230" s="510" t="s">
        <v>2663</v>
      </c>
      <c r="G1230" s="518" t="s">
        <v>575</v>
      </c>
      <c r="H1230" s="509" t="s">
        <v>3912</v>
      </c>
      <c r="I1230" s="2"/>
      <c r="J1230" s="463"/>
      <c r="K1230" s="552"/>
    </row>
    <row r="1231" spans="1:11" hidden="1">
      <c r="A1231" s="559"/>
      <c r="H1231" s="509" t="s">
        <v>3913</v>
      </c>
      <c r="I1231" s="2"/>
      <c r="J1231" s="463"/>
      <c r="K1231" s="552"/>
    </row>
    <row r="1232" spans="1:11" hidden="1">
      <c r="A1232" s="559"/>
      <c r="H1232" s="509" t="s">
        <v>3941</v>
      </c>
      <c r="I1232" s="2"/>
      <c r="J1232" s="463"/>
      <c r="K1232" s="552"/>
    </row>
    <row r="1233" spans="1:11" hidden="1">
      <c r="A1233" s="559"/>
      <c r="H1233" s="509" t="s">
        <v>3942</v>
      </c>
      <c r="I1233" s="2"/>
      <c r="J1233" s="463"/>
      <c r="K1233" s="552"/>
    </row>
    <row r="1234" spans="1:11" hidden="1">
      <c r="A1234" s="559"/>
      <c r="H1234" s="515" t="s">
        <v>442</v>
      </c>
      <c r="I1234" s="2"/>
      <c r="J1234" s="463"/>
      <c r="K1234" s="552"/>
    </row>
    <row r="1235" spans="1:11" hidden="1">
      <c r="A1235" s="559"/>
      <c r="F1235" s="519">
        <v>0.24</v>
      </c>
      <c r="G1235" s="518" t="s">
        <v>2334</v>
      </c>
      <c r="H1235" s="509" t="s">
        <v>3943</v>
      </c>
      <c r="I1235" s="492" t="e">
        <f>(C70)</f>
        <v>#REF!</v>
      </c>
      <c r="J1235" s="500" t="s">
        <v>2334</v>
      </c>
      <c r="K1235" s="526" t="e">
        <f>(F1235*I1235)</f>
        <v>#REF!</v>
      </c>
    </row>
    <row r="1236" spans="1:11" hidden="1">
      <c r="A1236" s="559"/>
      <c r="F1236" s="528">
        <v>0.11700000000000001</v>
      </c>
      <c r="G1236" s="518" t="s">
        <v>2516</v>
      </c>
      <c r="H1236" s="509" t="s">
        <v>2517</v>
      </c>
      <c r="I1236" s="492">
        <f>(C67)</f>
        <v>3800</v>
      </c>
      <c r="J1236" s="500" t="s">
        <v>2516</v>
      </c>
      <c r="K1236" s="526">
        <f>(F1236*I1236)</f>
        <v>444.6</v>
      </c>
    </row>
    <row r="1237" spans="1:11" hidden="1">
      <c r="A1237" s="559"/>
      <c r="F1237" s="519">
        <v>0.5</v>
      </c>
      <c r="G1237" s="518" t="s">
        <v>2359</v>
      </c>
      <c r="H1237" s="509" t="s">
        <v>2353</v>
      </c>
      <c r="I1237" s="492">
        <f>(C10)</f>
        <v>150</v>
      </c>
      <c r="J1237" s="500" t="s">
        <v>2359</v>
      </c>
      <c r="K1237" s="526">
        <f>(F1237*I1237)</f>
        <v>75</v>
      </c>
    </row>
    <row r="1238" spans="1:11" hidden="1">
      <c r="A1238" s="559"/>
      <c r="F1238" s="519">
        <v>1.1000000000000001</v>
      </c>
      <c r="G1238" s="518" t="s">
        <v>2359</v>
      </c>
      <c r="H1238" s="509" t="s">
        <v>3914</v>
      </c>
      <c r="I1238" s="492">
        <f>(C12)</f>
        <v>95</v>
      </c>
      <c r="J1238" s="500" t="s">
        <v>2359</v>
      </c>
      <c r="K1238" s="526">
        <f>(F1238*I1238)</f>
        <v>104.50000000000001</v>
      </c>
    </row>
    <row r="1239" spans="1:11" hidden="1">
      <c r="A1239" s="559"/>
      <c r="F1239" s="519">
        <v>4.3</v>
      </c>
      <c r="G1239" s="518" t="s">
        <v>2359</v>
      </c>
      <c r="H1239" s="509" t="s">
        <v>2345</v>
      </c>
      <c r="I1239" s="492">
        <f>(C13)</f>
        <v>85</v>
      </c>
      <c r="J1239" s="500" t="s">
        <v>2359</v>
      </c>
      <c r="K1239" s="526">
        <f>(F1239*I1239)</f>
        <v>365.5</v>
      </c>
    </row>
    <row r="1240" spans="1:11" hidden="1">
      <c r="A1240" s="559"/>
      <c r="G1240" s="518" t="s">
        <v>2346</v>
      </c>
      <c r="H1240" s="509" t="s">
        <v>2347</v>
      </c>
      <c r="I1240" s="2"/>
      <c r="J1240" s="500" t="s">
        <v>2346</v>
      </c>
      <c r="K1240" s="526">
        <v>0</v>
      </c>
    </row>
    <row r="1241" spans="1:11" hidden="1">
      <c r="A1241" s="559"/>
      <c r="I1241" s="2"/>
      <c r="J1241" s="463"/>
      <c r="K1241" s="526" t="s">
        <v>442</v>
      </c>
    </row>
    <row r="1242" spans="1:11" hidden="1">
      <c r="A1242" s="559"/>
      <c r="H1242" s="509" t="s">
        <v>2358</v>
      </c>
      <c r="I1242" s="2"/>
      <c r="J1242" s="463"/>
      <c r="K1242" s="526" t="e">
        <f>SUM(K1235:K1240)</f>
        <v>#REF!</v>
      </c>
    </row>
    <row r="1243" spans="1:11" hidden="1">
      <c r="A1243" s="559"/>
      <c r="I1243" s="2"/>
      <c r="J1243" s="463"/>
      <c r="K1243" s="526" t="s">
        <v>442</v>
      </c>
    </row>
    <row r="1244" spans="1:11" hidden="1">
      <c r="A1244" s="559"/>
      <c r="H1244" s="509" t="s">
        <v>2355</v>
      </c>
      <c r="I1244" s="2"/>
      <c r="J1244" s="463"/>
      <c r="K1244" s="526" t="e">
        <f>(K1242/10)</f>
        <v>#REF!</v>
      </c>
    </row>
    <row r="1245" spans="1:11" hidden="1">
      <c r="A1245" s="559"/>
      <c r="F1245" s="509" t="s">
        <v>30</v>
      </c>
      <c r="I1245" s="2"/>
      <c r="J1245" s="463"/>
      <c r="K1245" s="552"/>
    </row>
    <row r="1246" spans="1:11" hidden="1">
      <c r="A1246" s="559"/>
      <c r="I1246" s="2"/>
      <c r="J1246" s="463"/>
      <c r="K1246" s="526" t="s">
        <v>29</v>
      </c>
    </row>
    <row r="1247" spans="1:11" hidden="1">
      <c r="A1247" s="559"/>
      <c r="F1247" s="510" t="s">
        <v>3944</v>
      </c>
      <c r="G1247" s="518" t="s">
        <v>575</v>
      </c>
      <c r="H1247" s="531" t="s">
        <v>3945</v>
      </c>
      <c r="I1247" s="2"/>
      <c r="J1247" s="463"/>
      <c r="K1247" s="552"/>
    </row>
    <row r="1248" spans="1:11" hidden="1">
      <c r="A1248" s="559"/>
      <c r="H1248" s="509" t="s">
        <v>3946</v>
      </c>
      <c r="I1248" s="2"/>
      <c r="J1248" s="463"/>
      <c r="K1248" s="552"/>
    </row>
    <row r="1249" spans="1:11" hidden="1">
      <c r="A1249" s="559"/>
      <c r="H1249" s="509" t="s">
        <v>3947</v>
      </c>
      <c r="I1249" s="2"/>
      <c r="J1249" s="463"/>
      <c r="K1249" s="552"/>
    </row>
    <row r="1250" spans="1:11" hidden="1">
      <c r="A1250" s="559"/>
      <c r="H1250" s="509" t="s">
        <v>3948</v>
      </c>
      <c r="I1250" s="2"/>
      <c r="J1250" s="463"/>
      <c r="K1250" s="552"/>
    </row>
    <row r="1251" spans="1:11" hidden="1">
      <c r="A1251" s="559"/>
      <c r="H1251" s="509" t="s">
        <v>3949</v>
      </c>
      <c r="I1251" s="2"/>
      <c r="J1251" s="463"/>
      <c r="K1251" s="552"/>
    </row>
    <row r="1252" spans="1:11" hidden="1">
      <c r="A1252" s="559"/>
      <c r="H1252" s="515" t="s">
        <v>442</v>
      </c>
      <c r="I1252" s="2"/>
      <c r="J1252" s="463"/>
      <c r="K1252" s="552"/>
    </row>
    <row r="1253" spans="1:11" hidden="1">
      <c r="A1253" s="559"/>
      <c r="F1253" s="519">
        <v>12.8</v>
      </c>
      <c r="G1253" s="518" t="s">
        <v>2334</v>
      </c>
      <c r="H1253" s="509" t="s">
        <v>3950</v>
      </c>
      <c r="I1253" s="492" t="e">
        <f>(C82)</f>
        <v>#REF!</v>
      </c>
      <c r="J1253" s="500" t="s">
        <v>2334</v>
      </c>
      <c r="K1253" s="526" t="e">
        <f>(F1253*I1253)</f>
        <v>#REF!</v>
      </c>
    </row>
    <row r="1254" spans="1:11" hidden="1">
      <c r="A1254" s="559"/>
      <c r="F1254" s="519">
        <v>5</v>
      </c>
      <c r="G1254" s="518" t="s">
        <v>2334</v>
      </c>
      <c r="H1254" s="509" t="s">
        <v>3951</v>
      </c>
      <c r="I1254" s="492" t="e">
        <f>(C85)</f>
        <v>#REF!</v>
      </c>
      <c r="J1254" s="500" t="s">
        <v>2334</v>
      </c>
      <c r="K1254" s="526" t="e">
        <f>(F1254*I1254)</f>
        <v>#REF!</v>
      </c>
    </row>
    <row r="1255" spans="1:11" hidden="1">
      <c r="A1255" s="559"/>
      <c r="F1255" s="519">
        <v>1.8</v>
      </c>
      <c r="G1255" s="518" t="s">
        <v>2359</v>
      </c>
      <c r="H1255" s="509" t="s">
        <v>2353</v>
      </c>
      <c r="I1255" s="492">
        <f>(C10)</f>
        <v>150</v>
      </c>
      <c r="J1255" s="500" t="s">
        <v>2359</v>
      </c>
      <c r="K1255" s="526">
        <f>(F1255*I1255)</f>
        <v>270</v>
      </c>
    </row>
    <row r="1256" spans="1:11" hidden="1">
      <c r="A1256" s="559"/>
      <c r="F1256" s="519">
        <v>17.7</v>
      </c>
      <c r="G1256" s="518" t="s">
        <v>2359</v>
      </c>
      <c r="H1256" s="509" t="s">
        <v>3914</v>
      </c>
      <c r="I1256" s="492">
        <f>(C12)</f>
        <v>95</v>
      </c>
      <c r="J1256" s="500" t="s">
        <v>2359</v>
      </c>
      <c r="K1256" s="526">
        <f>(F1256*I1256)</f>
        <v>1681.5</v>
      </c>
    </row>
    <row r="1257" spans="1:11" hidden="1">
      <c r="A1257" s="559"/>
      <c r="F1257" s="519">
        <v>14.1</v>
      </c>
      <c r="G1257" s="518" t="s">
        <v>2359</v>
      </c>
      <c r="H1257" s="509" t="s">
        <v>2345</v>
      </c>
      <c r="I1257" s="492">
        <f>(C13)</f>
        <v>85</v>
      </c>
      <c r="J1257" s="500" t="s">
        <v>2359</v>
      </c>
      <c r="K1257" s="526">
        <f>(F1257*I1257)</f>
        <v>1198.5</v>
      </c>
    </row>
    <row r="1258" spans="1:11" hidden="1">
      <c r="A1258" s="559"/>
      <c r="G1258" s="518" t="s">
        <v>2346</v>
      </c>
      <c r="H1258" s="509" t="s">
        <v>2347</v>
      </c>
      <c r="I1258" s="2"/>
      <c r="J1258" s="500" t="s">
        <v>2346</v>
      </c>
      <c r="K1258" s="526">
        <v>0</v>
      </c>
    </row>
    <row r="1259" spans="1:11" hidden="1">
      <c r="A1259" s="559"/>
      <c r="I1259" s="2"/>
      <c r="J1259" s="463"/>
      <c r="K1259" s="526" t="s">
        <v>442</v>
      </c>
    </row>
    <row r="1260" spans="1:11" hidden="1">
      <c r="A1260" s="559"/>
      <c r="H1260" s="509" t="s">
        <v>2348</v>
      </c>
      <c r="I1260" s="2"/>
      <c r="J1260" s="463"/>
      <c r="K1260" s="526" t="e">
        <f>SUM(K1253:K1258)</f>
        <v>#REF!</v>
      </c>
    </row>
    <row r="1261" spans="1:11" hidden="1">
      <c r="A1261" s="559"/>
      <c r="I1261" s="2"/>
      <c r="J1261" s="463"/>
      <c r="K1261" s="526" t="s">
        <v>442</v>
      </c>
    </row>
    <row r="1262" spans="1:11" hidden="1">
      <c r="A1262" s="559"/>
      <c r="H1262" s="509" t="s">
        <v>2349</v>
      </c>
      <c r="I1262" s="2"/>
      <c r="J1262" s="463"/>
      <c r="K1262" s="526" t="e">
        <f>(K1260/10)</f>
        <v>#REF!</v>
      </c>
    </row>
    <row r="1263" spans="1:11" hidden="1">
      <c r="A1263" s="559"/>
      <c r="I1263" s="2"/>
      <c r="J1263" s="463"/>
      <c r="K1263" s="526" t="s">
        <v>29</v>
      </c>
    </row>
    <row r="1264" spans="1:11" hidden="1">
      <c r="A1264" s="559"/>
      <c r="I1264" s="2"/>
      <c r="J1264" s="463"/>
      <c r="K1264" s="552"/>
    </row>
    <row r="1265" spans="1:11" hidden="1">
      <c r="A1265" s="559"/>
      <c r="G1265" s="518" t="s">
        <v>2843</v>
      </c>
      <c r="H1265" s="509" t="s">
        <v>3952</v>
      </c>
      <c r="I1265" s="2"/>
      <c r="J1265" s="463"/>
      <c r="K1265" s="552"/>
    </row>
    <row r="1266" spans="1:11" hidden="1">
      <c r="A1266" s="559"/>
      <c r="H1266" s="509" t="s">
        <v>3953</v>
      </c>
      <c r="I1266" s="2"/>
      <c r="J1266" s="463"/>
      <c r="K1266" s="552"/>
    </row>
    <row r="1267" spans="1:11" hidden="1">
      <c r="A1267" s="559"/>
      <c r="H1267" s="515" t="s">
        <v>442</v>
      </c>
      <c r="I1267" s="2"/>
      <c r="J1267" s="463"/>
      <c r="K1267" s="552"/>
    </row>
    <row r="1268" spans="1:11" hidden="1">
      <c r="A1268" s="559"/>
      <c r="F1268" s="519">
        <v>0.04</v>
      </c>
      <c r="G1268" s="518" t="s">
        <v>2334</v>
      </c>
      <c r="H1268" s="509" t="s">
        <v>3954</v>
      </c>
      <c r="I1268" s="492" t="e">
        <f>(K32)</f>
        <v>#REF!</v>
      </c>
      <c r="J1268" s="500" t="s">
        <v>2334</v>
      </c>
      <c r="K1268" s="526" t="e">
        <f>(F1268*I1268)</f>
        <v>#REF!</v>
      </c>
    </row>
    <row r="1269" spans="1:11" hidden="1">
      <c r="A1269" s="559"/>
      <c r="F1269" s="519">
        <v>2.2000000000000002</v>
      </c>
      <c r="G1269" s="518" t="s">
        <v>2359</v>
      </c>
      <c r="H1269" s="509" t="s">
        <v>2343</v>
      </c>
      <c r="I1269" s="492">
        <f>(C11)</f>
        <v>135</v>
      </c>
      <c r="J1269" s="500" t="s">
        <v>2359</v>
      </c>
      <c r="K1269" s="526">
        <f>(F1269*I1269)</f>
        <v>297</v>
      </c>
    </row>
    <row r="1270" spans="1:11" hidden="1">
      <c r="A1270" s="559"/>
      <c r="F1270" s="519">
        <v>0.5</v>
      </c>
      <c r="G1270" s="518" t="s">
        <v>2359</v>
      </c>
      <c r="H1270" s="509" t="s">
        <v>2344</v>
      </c>
      <c r="I1270" s="492">
        <f>(C12)</f>
        <v>95</v>
      </c>
      <c r="J1270" s="500" t="s">
        <v>2359</v>
      </c>
      <c r="K1270" s="526">
        <f>(F1270*I1270)</f>
        <v>47.5</v>
      </c>
    </row>
    <row r="1271" spans="1:11" hidden="1">
      <c r="A1271" s="559"/>
      <c r="F1271" s="519">
        <v>1.1000000000000001</v>
      </c>
      <c r="G1271" s="518" t="s">
        <v>2359</v>
      </c>
      <c r="H1271" s="509" t="s">
        <v>2345</v>
      </c>
      <c r="I1271" s="492">
        <f>(C13)</f>
        <v>85</v>
      </c>
      <c r="J1271" s="500" t="s">
        <v>2359</v>
      </c>
      <c r="K1271" s="526">
        <f>(F1271*I1271)</f>
        <v>93.500000000000014</v>
      </c>
    </row>
    <row r="1272" spans="1:11" hidden="1">
      <c r="A1272" s="559"/>
      <c r="G1272" s="518" t="s">
        <v>2346</v>
      </c>
      <c r="H1272" s="509" t="s">
        <v>2347</v>
      </c>
      <c r="I1272" s="2"/>
      <c r="J1272" s="500" t="s">
        <v>2346</v>
      </c>
      <c r="K1272" s="526">
        <v>0</v>
      </c>
    </row>
    <row r="1273" spans="1:11" hidden="1">
      <c r="A1273" s="559"/>
      <c r="I1273" s="2"/>
      <c r="J1273" s="463"/>
      <c r="K1273" s="526" t="s">
        <v>442</v>
      </c>
    </row>
    <row r="1274" spans="1:11" hidden="1">
      <c r="A1274" s="559"/>
      <c r="H1274" s="509" t="s">
        <v>2358</v>
      </c>
      <c r="I1274" s="2"/>
      <c r="J1274" s="463"/>
      <c r="K1274" s="526" t="e">
        <f>SUM(K1268:K1272)</f>
        <v>#REF!</v>
      </c>
    </row>
    <row r="1275" spans="1:11" hidden="1">
      <c r="A1275" s="559"/>
      <c r="I1275" s="2"/>
      <c r="J1275" s="463"/>
      <c r="K1275" s="526" t="s">
        <v>442</v>
      </c>
    </row>
    <row r="1276" spans="1:11" hidden="1">
      <c r="A1276" s="559"/>
      <c r="H1276" s="509" t="s">
        <v>2355</v>
      </c>
      <c r="I1276" s="2"/>
      <c r="J1276" s="463"/>
      <c r="K1276" s="526" t="e">
        <f>(K1274/10)</f>
        <v>#REF!</v>
      </c>
    </row>
    <row r="1277" spans="1:11" hidden="1">
      <c r="A1277" s="559"/>
      <c r="I1277" s="2"/>
      <c r="J1277" s="463"/>
      <c r="K1277" s="526" t="s">
        <v>29</v>
      </c>
    </row>
    <row r="1278" spans="1:11" hidden="1">
      <c r="A1278" s="559"/>
      <c r="I1278" s="2"/>
      <c r="J1278" s="463"/>
      <c r="K1278" s="552"/>
    </row>
    <row r="1279" spans="1:11" hidden="1">
      <c r="A1279" s="559"/>
      <c r="F1279" s="529">
        <v>32.1</v>
      </c>
      <c r="G1279" s="518" t="s">
        <v>575</v>
      </c>
      <c r="H1279" s="509" t="s">
        <v>3955</v>
      </c>
      <c r="I1279" s="2"/>
      <c r="J1279" s="463"/>
      <c r="K1279" s="552"/>
    </row>
    <row r="1280" spans="1:11" hidden="1">
      <c r="A1280" s="559"/>
      <c r="H1280" s="509" t="s">
        <v>3956</v>
      </c>
      <c r="I1280" s="2"/>
      <c r="J1280" s="463"/>
      <c r="K1280" s="552"/>
    </row>
    <row r="1281" spans="1:11" hidden="1">
      <c r="A1281" s="559"/>
      <c r="H1281" s="509" t="s">
        <v>3957</v>
      </c>
      <c r="I1281" s="2"/>
      <c r="J1281" s="463"/>
      <c r="K1281" s="552"/>
    </row>
    <row r="1282" spans="1:11" hidden="1">
      <c r="A1282" s="559"/>
      <c r="H1282" s="509" t="s">
        <v>3958</v>
      </c>
      <c r="I1282" s="2"/>
      <c r="J1282" s="463"/>
      <c r="K1282" s="552"/>
    </row>
    <row r="1283" spans="1:11" hidden="1">
      <c r="A1283" s="559"/>
      <c r="H1283" s="509" t="s">
        <v>3959</v>
      </c>
      <c r="I1283" s="2"/>
      <c r="J1283" s="463"/>
      <c r="K1283" s="552"/>
    </row>
    <row r="1284" spans="1:11" hidden="1">
      <c r="A1284" s="559"/>
      <c r="H1284" s="515" t="s">
        <v>442</v>
      </c>
      <c r="I1284" s="2"/>
      <c r="J1284" s="463"/>
      <c r="K1284" s="552"/>
    </row>
    <row r="1285" spans="1:11" hidden="1">
      <c r="A1285" s="559"/>
      <c r="F1285" s="519">
        <v>190</v>
      </c>
      <c r="G1285" s="518" t="s">
        <v>3918</v>
      </c>
      <c r="H1285" s="509" t="s">
        <v>2726</v>
      </c>
      <c r="I1285" s="492">
        <f>(C83)</f>
        <v>4500</v>
      </c>
      <c r="J1285" s="500" t="s">
        <v>2408</v>
      </c>
      <c r="K1285" s="526">
        <f>(F1285*I1285)/1000</f>
        <v>855</v>
      </c>
    </row>
    <row r="1286" spans="1:11" hidden="1">
      <c r="A1286" s="559"/>
      <c r="F1286" s="519">
        <v>0.12</v>
      </c>
      <c r="G1286" s="518" t="s">
        <v>2334</v>
      </c>
      <c r="H1286" s="509" t="s">
        <v>3921</v>
      </c>
      <c r="I1286" s="492" t="e">
        <f>(K32)</f>
        <v>#REF!</v>
      </c>
      <c r="J1286" s="500" t="s">
        <v>2334</v>
      </c>
      <c r="K1286" s="526" t="e">
        <f t="shared" ref="K1286:K1292" si="54">(F1286*I1286)</f>
        <v>#REF!</v>
      </c>
    </row>
    <row r="1287" spans="1:11" hidden="1">
      <c r="A1287" s="559"/>
      <c r="F1287" s="519">
        <v>10</v>
      </c>
      <c r="G1287" s="518" t="s">
        <v>2788</v>
      </c>
      <c r="H1287" s="509" t="s">
        <v>3960</v>
      </c>
      <c r="I1287" s="492" t="e">
        <f>(K1276)</f>
        <v>#REF!</v>
      </c>
      <c r="J1287" s="500" t="s">
        <v>2788</v>
      </c>
      <c r="K1287" s="526" t="e">
        <f t="shared" si="54"/>
        <v>#REF!</v>
      </c>
    </row>
    <row r="1288" spans="1:11" hidden="1">
      <c r="A1288" s="559"/>
      <c r="F1288" s="519">
        <v>1.54</v>
      </c>
      <c r="G1288" s="518" t="s">
        <v>40</v>
      </c>
      <c r="H1288" s="509" t="s">
        <v>3961</v>
      </c>
      <c r="I1288" s="492">
        <f>C631</f>
        <v>30</v>
      </c>
      <c r="J1288" s="500" t="s">
        <v>40</v>
      </c>
      <c r="K1288" s="526">
        <f t="shared" si="54"/>
        <v>46.2</v>
      </c>
    </row>
    <row r="1289" spans="1:11" hidden="1">
      <c r="A1289" s="559"/>
      <c r="F1289" s="519">
        <v>1.1000000000000001</v>
      </c>
      <c r="G1289" s="518" t="s">
        <v>2359</v>
      </c>
      <c r="H1289" s="509" t="s">
        <v>2353</v>
      </c>
      <c r="I1289" s="492">
        <f>(C10)</f>
        <v>150</v>
      </c>
      <c r="J1289" s="500" t="s">
        <v>2359</v>
      </c>
      <c r="K1289" s="526">
        <f t="shared" si="54"/>
        <v>165</v>
      </c>
    </row>
    <row r="1290" spans="1:11" hidden="1">
      <c r="A1290" s="559"/>
      <c r="F1290" s="519">
        <v>2.1</v>
      </c>
      <c r="G1290" s="518" t="s">
        <v>2359</v>
      </c>
      <c r="H1290" s="509" t="s">
        <v>2343</v>
      </c>
      <c r="I1290" s="492">
        <f>(C11)</f>
        <v>135</v>
      </c>
      <c r="J1290" s="500" t="s">
        <v>2359</v>
      </c>
      <c r="K1290" s="526">
        <f t="shared" si="54"/>
        <v>283.5</v>
      </c>
    </row>
    <row r="1291" spans="1:11" hidden="1">
      <c r="A1291" s="559"/>
      <c r="F1291" s="519">
        <v>2.2000000000000002</v>
      </c>
      <c r="G1291" s="518" t="s">
        <v>2359</v>
      </c>
      <c r="H1291" s="509" t="s">
        <v>2344</v>
      </c>
      <c r="I1291" s="492">
        <f>(C12)</f>
        <v>95</v>
      </c>
      <c r="J1291" s="500" t="s">
        <v>2359</v>
      </c>
      <c r="K1291" s="526">
        <f t="shared" si="54"/>
        <v>209.00000000000003</v>
      </c>
    </row>
    <row r="1292" spans="1:11" hidden="1">
      <c r="A1292" s="559"/>
      <c r="F1292" s="519">
        <v>1.1000000000000001</v>
      </c>
      <c r="G1292" s="518" t="s">
        <v>2359</v>
      </c>
      <c r="H1292" s="509" t="s">
        <v>2345</v>
      </c>
      <c r="I1292" s="492">
        <f>(C13)</f>
        <v>85</v>
      </c>
      <c r="J1292" s="500" t="s">
        <v>2359</v>
      </c>
      <c r="K1292" s="526">
        <f t="shared" si="54"/>
        <v>93.500000000000014</v>
      </c>
    </row>
    <row r="1293" spans="1:11" hidden="1">
      <c r="A1293" s="559"/>
      <c r="G1293" s="518" t="s">
        <v>2346</v>
      </c>
      <c r="H1293" s="509" t="s">
        <v>2347</v>
      </c>
      <c r="I1293" s="2"/>
      <c r="J1293" s="500" t="s">
        <v>2346</v>
      </c>
      <c r="K1293" s="526">
        <v>0</v>
      </c>
    </row>
    <row r="1294" spans="1:11" hidden="1">
      <c r="A1294" s="559"/>
      <c r="I1294" s="2"/>
      <c r="J1294" s="463"/>
      <c r="K1294" s="526" t="s">
        <v>442</v>
      </c>
    </row>
    <row r="1295" spans="1:11" hidden="1">
      <c r="A1295" s="559"/>
      <c r="H1295" s="509" t="s">
        <v>2358</v>
      </c>
      <c r="I1295" s="2"/>
      <c r="J1295" s="463"/>
      <c r="K1295" s="526" t="e">
        <f>SUM(K1285:K1293)</f>
        <v>#REF!</v>
      </c>
    </row>
    <row r="1296" spans="1:11" hidden="1">
      <c r="A1296" s="559"/>
      <c r="I1296" s="2"/>
      <c r="J1296" s="463"/>
      <c r="K1296" s="526" t="s">
        <v>442</v>
      </c>
    </row>
    <row r="1297" spans="1:11" hidden="1">
      <c r="A1297" s="559"/>
      <c r="H1297" s="509" t="s">
        <v>2355</v>
      </c>
      <c r="I1297" s="2"/>
      <c r="J1297" s="463"/>
      <c r="K1297" s="526" t="e">
        <f>(K1295/10)</f>
        <v>#REF!</v>
      </c>
    </row>
    <row r="1298" spans="1:11" hidden="1">
      <c r="A1298" s="559"/>
      <c r="I1298" s="2"/>
      <c r="J1298" s="463"/>
      <c r="K1298" s="526" t="s">
        <v>29</v>
      </c>
    </row>
    <row r="1299" spans="1:11" hidden="1">
      <c r="A1299" s="559"/>
      <c r="I1299" s="2"/>
      <c r="J1299" s="463"/>
      <c r="K1299" s="526"/>
    </row>
    <row r="1300" spans="1:11" hidden="1">
      <c r="A1300" s="559"/>
      <c r="I1300" s="2"/>
      <c r="J1300" s="463"/>
      <c r="K1300" s="526"/>
    </row>
    <row r="1301" spans="1:11" hidden="1">
      <c r="A1301" s="559"/>
      <c r="F1301" s="529">
        <v>32.200000000000003</v>
      </c>
      <c r="G1301" s="518" t="s">
        <v>575</v>
      </c>
      <c r="H1301" s="509" t="s">
        <v>3955</v>
      </c>
      <c r="I1301" s="2"/>
      <c r="J1301" s="463"/>
      <c r="K1301" s="526"/>
    </row>
    <row r="1302" spans="1:11" hidden="1">
      <c r="A1302" s="559"/>
      <c r="H1302" s="509" t="s">
        <v>3956</v>
      </c>
      <c r="I1302" s="2"/>
      <c r="J1302" s="463"/>
      <c r="K1302" s="526"/>
    </row>
    <row r="1303" spans="1:11" hidden="1">
      <c r="A1303" s="559"/>
      <c r="H1303" s="509" t="s">
        <v>3957</v>
      </c>
      <c r="I1303" s="2"/>
      <c r="J1303" s="463"/>
      <c r="K1303" s="526"/>
    </row>
    <row r="1304" spans="1:11" hidden="1">
      <c r="A1304" s="559"/>
      <c r="H1304" s="509" t="s">
        <v>3958</v>
      </c>
      <c r="I1304" s="2"/>
      <c r="J1304" s="463"/>
      <c r="K1304" s="526"/>
    </row>
    <row r="1305" spans="1:11" hidden="1">
      <c r="A1305" s="559"/>
      <c r="H1305" s="509" t="s">
        <v>3959</v>
      </c>
      <c r="I1305" s="2"/>
      <c r="J1305" s="463"/>
      <c r="K1305" s="526"/>
    </row>
    <row r="1306" spans="1:11" hidden="1">
      <c r="A1306" s="559"/>
      <c r="H1306" s="515" t="s">
        <v>442</v>
      </c>
      <c r="I1306" s="2"/>
      <c r="J1306" s="463"/>
      <c r="K1306" s="526"/>
    </row>
    <row r="1307" spans="1:11" hidden="1">
      <c r="A1307" s="559"/>
      <c r="F1307" s="519">
        <v>190</v>
      </c>
      <c r="G1307" s="518" t="s">
        <v>3918</v>
      </c>
      <c r="H1307" s="509" t="s">
        <v>3962</v>
      </c>
      <c r="I1307" s="2">
        <f>E83</f>
        <v>3550</v>
      </c>
      <c r="J1307" s="500" t="s">
        <v>2408</v>
      </c>
      <c r="K1307" s="526">
        <f>(F1307*I1307)/1000</f>
        <v>674.5</v>
      </c>
    </row>
    <row r="1308" spans="1:11" hidden="1">
      <c r="A1308" s="559"/>
      <c r="F1308" s="519">
        <v>0.12</v>
      </c>
      <c r="G1308" s="518" t="s">
        <v>2334</v>
      </c>
      <c r="H1308" s="509" t="s">
        <v>3921</v>
      </c>
      <c r="I1308" s="2" t="e">
        <f>K32</f>
        <v>#REF!</v>
      </c>
      <c r="J1308" s="500" t="s">
        <v>2334</v>
      </c>
      <c r="K1308" s="526" t="e">
        <f t="shared" ref="K1308:K1314" si="55">(F1308*I1308)</f>
        <v>#REF!</v>
      </c>
    </row>
    <row r="1309" spans="1:11" hidden="1">
      <c r="A1309" s="559"/>
      <c r="F1309" s="519">
        <v>10</v>
      </c>
      <c r="G1309" s="518" t="s">
        <v>2788</v>
      </c>
      <c r="H1309" s="509" t="s">
        <v>3960</v>
      </c>
      <c r="I1309" s="2" t="e">
        <f>K1276</f>
        <v>#REF!</v>
      </c>
      <c r="J1309" s="500" t="s">
        <v>2788</v>
      </c>
      <c r="K1309" s="526" t="e">
        <f t="shared" si="55"/>
        <v>#REF!</v>
      </c>
    </row>
    <row r="1310" spans="1:11" hidden="1">
      <c r="A1310" s="559"/>
      <c r="F1310" s="519">
        <v>5.8</v>
      </c>
      <c r="G1310" s="518" t="s">
        <v>40</v>
      </c>
      <c r="H1310" s="509" t="s">
        <v>3961</v>
      </c>
      <c r="I1310" s="2">
        <f>C631</f>
        <v>30</v>
      </c>
      <c r="J1310" s="500" t="s">
        <v>40</v>
      </c>
      <c r="K1310" s="526">
        <f t="shared" si="55"/>
        <v>174</v>
      </c>
    </row>
    <row r="1311" spans="1:11" hidden="1">
      <c r="A1311" s="559"/>
      <c r="F1311" s="519">
        <v>1.1000000000000001</v>
      </c>
      <c r="G1311" s="518" t="s">
        <v>2359</v>
      </c>
      <c r="H1311" s="509" t="s">
        <v>2353</v>
      </c>
      <c r="I1311" s="2">
        <f>C10</f>
        <v>150</v>
      </c>
      <c r="J1311" s="500" t="s">
        <v>2359</v>
      </c>
      <c r="K1311" s="526">
        <f t="shared" si="55"/>
        <v>165</v>
      </c>
    </row>
    <row r="1312" spans="1:11" hidden="1">
      <c r="A1312" s="559"/>
      <c r="F1312" s="519">
        <v>2.1</v>
      </c>
      <c r="G1312" s="518" t="s">
        <v>2359</v>
      </c>
      <c r="H1312" s="509" t="s">
        <v>2343</v>
      </c>
      <c r="I1312" s="2">
        <f>C11</f>
        <v>135</v>
      </c>
      <c r="J1312" s="500" t="s">
        <v>2359</v>
      </c>
      <c r="K1312" s="526">
        <f t="shared" si="55"/>
        <v>283.5</v>
      </c>
    </row>
    <row r="1313" spans="1:11" hidden="1">
      <c r="A1313" s="559"/>
      <c r="F1313" s="519">
        <v>2.2000000000000002</v>
      </c>
      <c r="G1313" s="518" t="s">
        <v>2359</v>
      </c>
      <c r="H1313" s="509" t="s">
        <v>2344</v>
      </c>
      <c r="I1313" s="2">
        <f>C12</f>
        <v>95</v>
      </c>
      <c r="J1313" s="500" t="s">
        <v>2359</v>
      </c>
      <c r="K1313" s="526">
        <f t="shared" si="55"/>
        <v>209.00000000000003</v>
      </c>
    </row>
    <row r="1314" spans="1:11" hidden="1">
      <c r="A1314" s="559"/>
      <c r="F1314" s="519">
        <v>1.1000000000000001</v>
      </c>
      <c r="G1314" s="518" t="s">
        <v>2359</v>
      </c>
      <c r="H1314" s="509" t="s">
        <v>2345</v>
      </c>
      <c r="I1314" s="2">
        <f>C13</f>
        <v>85</v>
      </c>
      <c r="J1314" s="500" t="s">
        <v>2359</v>
      </c>
      <c r="K1314" s="526">
        <f t="shared" si="55"/>
        <v>93.500000000000014</v>
      </c>
    </row>
    <row r="1315" spans="1:11" hidden="1">
      <c r="A1315" s="559"/>
      <c r="G1315" s="518" t="s">
        <v>2346</v>
      </c>
      <c r="H1315" s="509" t="s">
        <v>2347</v>
      </c>
      <c r="I1315" s="2"/>
      <c r="J1315" s="500" t="s">
        <v>2346</v>
      </c>
      <c r="K1315" s="526">
        <v>0</v>
      </c>
    </row>
    <row r="1316" spans="1:11" hidden="1">
      <c r="A1316" s="559"/>
      <c r="I1316" s="2"/>
      <c r="J1316" s="463"/>
      <c r="K1316" s="526" t="s">
        <v>442</v>
      </c>
    </row>
    <row r="1317" spans="1:11" hidden="1">
      <c r="A1317" s="559"/>
      <c r="H1317" s="509" t="s">
        <v>2358</v>
      </c>
      <c r="I1317" s="2"/>
      <c r="J1317" s="463"/>
      <c r="K1317" s="526" t="e">
        <f>SUM(K1307:K1315)</f>
        <v>#REF!</v>
      </c>
    </row>
    <row r="1318" spans="1:11" hidden="1">
      <c r="A1318" s="559"/>
      <c r="I1318" s="2"/>
      <c r="J1318" s="463"/>
      <c r="K1318" s="526" t="s">
        <v>442</v>
      </c>
    </row>
    <row r="1319" spans="1:11" hidden="1">
      <c r="A1319" s="559"/>
      <c r="H1319" s="509" t="s">
        <v>2355</v>
      </c>
      <c r="I1319" s="2"/>
      <c r="J1319" s="463"/>
      <c r="K1319" s="526" t="e">
        <f>(K1317/10)</f>
        <v>#REF!</v>
      </c>
    </row>
    <row r="1320" spans="1:11" hidden="1">
      <c r="A1320" s="559"/>
      <c r="I1320" s="2"/>
      <c r="J1320" s="463"/>
      <c r="K1320" s="526" t="s">
        <v>29</v>
      </c>
    </row>
    <row r="1321" spans="1:11" hidden="1">
      <c r="A1321" s="559"/>
      <c r="I1321" s="2"/>
      <c r="J1321" s="463"/>
      <c r="K1321" s="526"/>
    </row>
    <row r="1322" spans="1:11" hidden="1">
      <c r="A1322" s="559"/>
      <c r="F1322" s="510" t="s">
        <v>2356</v>
      </c>
      <c r="G1322" s="518" t="s">
        <v>575</v>
      </c>
      <c r="H1322" s="509" t="s">
        <v>2357</v>
      </c>
      <c r="I1322" s="2"/>
      <c r="J1322" s="463"/>
      <c r="K1322" s="552"/>
    </row>
    <row r="1323" spans="1:11" hidden="1">
      <c r="A1323" s="559"/>
      <c r="H1323" s="515" t="s">
        <v>442</v>
      </c>
      <c r="I1323" s="2"/>
      <c r="J1323" s="463"/>
      <c r="K1323" s="552"/>
    </row>
    <row r="1324" spans="1:11" hidden="1">
      <c r="A1324" s="559"/>
      <c r="F1324" s="519">
        <v>0.14000000000000001</v>
      </c>
      <c r="G1324" s="518" t="s">
        <v>2334</v>
      </c>
      <c r="H1324" s="509" t="s">
        <v>2341</v>
      </c>
      <c r="I1324" s="492" t="e">
        <f>(K49)</f>
        <v>#REF!</v>
      </c>
      <c r="J1324" s="500" t="s">
        <v>2334</v>
      </c>
      <c r="K1324" s="526" t="e">
        <f>(F1324*I1324)</f>
        <v>#REF!</v>
      </c>
    </row>
    <row r="1325" spans="1:11" hidden="1">
      <c r="A1325" s="559"/>
      <c r="F1325" s="519">
        <v>1.1000000000000001</v>
      </c>
      <c r="G1325" s="518" t="s">
        <v>2342</v>
      </c>
      <c r="H1325" s="509" t="s">
        <v>2353</v>
      </c>
      <c r="I1325" s="492">
        <f>(C10)</f>
        <v>150</v>
      </c>
      <c r="J1325" s="500" t="s">
        <v>2342</v>
      </c>
      <c r="K1325" s="526">
        <f>(F1325*I1325)</f>
        <v>165</v>
      </c>
    </row>
    <row r="1326" spans="1:11" hidden="1">
      <c r="A1326" s="559"/>
      <c r="F1326" s="519">
        <v>0.5</v>
      </c>
      <c r="G1326" s="518" t="s">
        <v>2342</v>
      </c>
      <c r="H1326" s="509" t="s">
        <v>2344</v>
      </c>
      <c r="I1326" s="492">
        <f>(C12)</f>
        <v>95</v>
      </c>
      <c r="J1326" s="500" t="s">
        <v>2342</v>
      </c>
      <c r="K1326" s="526">
        <f>(F1326*I1326)</f>
        <v>47.5</v>
      </c>
    </row>
    <row r="1327" spans="1:11" hidden="1">
      <c r="A1327" s="559"/>
      <c r="F1327" s="519">
        <v>1.1000000000000001</v>
      </c>
      <c r="G1327" s="518" t="s">
        <v>2342</v>
      </c>
      <c r="H1327" s="509" t="s">
        <v>2345</v>
      </c>
      <c r="I1327" s="492">
        <f>(C13)</f>
        <v>85</v>
      </c>
      <c r="J1327" s="500" t="s">
        <v>2342</v>
      </c>
      <c r="K1327" s="526">
        <f>(F1327*I1327)</f>
        <v>93.500000000000014</v>
      </c>
    </row>
    <row r="1328" spans="1:11" hidden="1">
      <c r="A1328" s="559"/>
      <c r="G1328" s="518" t="s">
        <v>2346</v>
      </c>
      <c r="H1328" s="509" t="s">
        <v>2347</v>
      </c>
      <c r="I1328" s="490" t="s">
        <v>30</v>
      </c>
      <c r="J1328" s="500" t="s">
        <v>2346</v>
      </c>
      <c r="K1328" s="526">
        <v>0</v>
      </c>
    </row>
    <row r="1329" spans="1:11" hidden="1">
      <c r="A1329" s="559"/>
      <c r="I1329" s="2"/>
      <c r="J1329" s="463"/>
      <c r="K1329" s="526" t="s">
        <v>442</v>
      </c>
    </row>
    <row r="1330" spans="1:11" hidden="1">
      <c r="A1330" s="559"/>
      <c r="H1330" s="509" t="s">
        <v>2358</v>
      </c>
      <c r="I1330" s="2"/>
      <c r="J1330" s="463"/>
      <c r="K1330" s="526" t="e">
        <f>SUM(K1324:K1328)</f>
        <v>#REF!</v>
      </c>
    </row>
    <row r="1331" spans="1:11" hidden="1">
      <c r="A1331" s="559"/>
      <c r="I1331" s="2"/>
      <c r="J1331" s="463"/>
      <c r="K1331" s="526" t="s">
        <v>442</v>
      </c>
    </row>
    <row r="1332" spans="1:11" hidden="1">
      <c r="A1332" s="559"/>
      <c r="H1332" s="509" t="s">
        <v>2355</v>
      </c>
      <c r="I1332" s="2"/>
      <c r="J1332" s="463"/>
      <c r="K1332" s="526" t="e">
        <f>(K1330/10)</f>
        <v>#REF!</v>
      </c>
    </row>
    <row r="1333" spans="1:11" hidden="1">
      <c r="A1333" s="559"/>
      <c r="F1333" s="509" t="s">
        <v>30</v>
      </c>
      <c r="I1333" s="2"/>
      <c r="J1333" s="463"/>
      <c r="K1333" s="552"/>
    </row>
    <row r="1334" spans="1:11" hidden="1">
      <c r="A1334" s="559"/>
      <c r="I1334" s="2"/>
      <c r="J1334" s="463"/>
      <c r="K1334" s="526" t="s">
        <v>29</v>
      </c>
    </row>
    <row r="1335" spans="1:11" hidden="1">
      <c r="A1335" s="559"/>
      <c r="F1335" s="510" t="s">
        <v>3963</v>
      </c>
      <c r="G1335" s="518" t="s">
        <v>575</v>
      </c>
      <c r="H1335" s="509" t="s">
        <v>3964</v>
      </c>
      <c r="I1335" s="2"/>
      <c r="J1335" s="463"/>
      <c r="K1335" s="552"/>
    </row>
    <row r="1336" spans="1:11" hidden="1">
      <c r="A1336" s="559"/>
      <c r="H1336" s="515" t="s">
        <v>442</v>
      </c>
      <c r="I1336" s="2"/>
      <c r="J1336" s="463"/>
      <c r="K1336" s="552"/>
    </row>
    <row r="1337" spans="1:11" hidden="1">
      <c r="A1337" s="559"/>
      <c r="F1337" s="519">
        <v>0.14000000000000001</v>
      </c>
      <c r="G1337" s="518" t="s">
        <v>2334</v>
      </c>
      <c r="H1337" s="509" t="s">
        <v>2647</v>
      </c>
      <c r="I1337" s="492" t="e">
        <f>(K40)</f>
        <v>#REF!</v>
      </c>
      <c r="J1337" s="500" t="s">
        <v>2334</v>
      </c>
      <c r="K1337" s="526" t="e">
        <f>(F1337*I1337)</f>
        <v>#REF!</v>
      </c>
    </row>
    <row r="1338" spans="1:11" hidden="1">
      <c r="A1338" s="559"/>
      <c r="F1338" s="519">
        <v>1.1000000000000001</v>
      </c>
      <c r="G1338" s="518" t="s">
        <v>2342</v>
      </c>
      <c r="H1338" s="509" t="s">
        <v>2353</v>
      </c>
      <c r="I1338" s="492">
        <f>(C10)</f>
        <v>150</v>
      </c>
      <c r="J1338" s="500" t="s">
        <v>2342</v>
      </c>
      <c r="K1338" s="526">
        <f>(F1338*I1338)</f>
        <v>165</v>
      </c>
    </row>
    <row r="1339" spans="1:11" hidden="1">
      <c r="A1339" s="559"/>
      <c r="F1339" s="519">
        <v>0.5</v>
      </c>
      <c r="G1339" s="518" t="s">
        <v>2342</v>
      </c>
      <c r="H1339" s="509" t="s">
        <v>2344</v>
      </c>
      <c r="I1339" s="492">
        <f>(C12)</f>
        <v>95</v>
      </c>
      <c r="J1339" s="500" t="s">
        <v>2342</v>
      </c>
      <c r="K1339" s="526">
        <f>(F1339*I1339)</f>
        <v>47.5</v>
      </c>
    </row>
    <row r="1340" spans="1:11" hidden="1">
      <c r="A1340" s="559"/>
      <c r="F1340" s="519">
        <v>1.1000000000000001</v>
      </c>
      <c r="G1340" s="518" t="s">
        <v>2342</v>
      </c>
      <c r="H1340" s="509" t="s">
        <v>2345</v>
      </c>
      <c r="I1340" s="492">
        <f>(C13)</f>
        <v>85</v>
      </c>
      <c r="J1340" s="500" t="s">
        <v>2342</v>
      </c>
      <c r="K1340" s="526">
        <f>(F1340*I1340)</f>
        <v>93.500000000000014</v>
      </c>
    </row>
    <row r="1341" spans="1:11" hidden="1">
      <c r="A1341" s="559"/>
      <c r="G1341" s="518" t="s">
        <v>2346</v>
      </c>
      <c r="H1341" s="509" t="s">
        <v>2347</v>
      </c>
      <c r="I1341" s="490" t="s">
        <v>30</v>
      </c>
      <c r="J1341" s="500" t="s">
        <v>2346</v>
      </c>
      <c r="K1341" s="526">
        <v>0</v>
      </c>
    </row>
    <row r="1342" spans="1:11" hidden="1">
      <c r="A1342" s="559"/>
      <c r="I1342" s="2"/>
      <c r="J1342" s="463"/>
      <c r="K1342" s="526" t="s">
        <v>442</v>
      </c>
    </row>
    <row r="1343" spans="1:11" hidden="1">
      <c r="A1343" s="559"/>
      <c r="H1343" s="509" t="s">
        <v>2358</v>
      </c>
      <c r="I1343" s="2"/>
      <c r="J1343" s="463"/>
      <c r="K1343" s="526" t="e">
        <f>SUM(K1337:K1341)</f>
        <v>#REF!</v>
      </c>
    </row>
    <row r="1344" spans="1:11" hidden="1">
      <c r="A1344" s="559"/>
      <c r="I1344" s="2"/>
      <c r="J1344" s="463"/>
      <c r="K1344" s="526" t="s">
        <v>442</v>
      </c>
    </row>
    <row r="1345" spans="1:11" hidden="1">
      <c r="A1345" s="559"/>
      <c r="H1345" s="509" t="s">
        <v>2355</v>
      </c>
      <c r="I1345" s="2"/>
      <c r="J1345" s="463"/>
      <c r="K1345" s="526" t="e">
        <f>(K1343/10)</f>
        <v>#REF!</v>
      </c>
    </row>
    <row r="1346" spans="1:11" hidden="1">
      <c r="A1346" s="559"/>
      <c r="I1346" s="2"/>
      <c r="J1346" s="463"/>
      <c r="K1346" s="526" t="s">
        <v>29</v>
      </c>
    </row>
    <row r="1347" spans="1:11" hidden="1">
      <c r="A1347" s="559"/>
      <c r="F1347" s="510" t="s">
        <v>3965</v>
      </c>
      <c r="G1347" s="518" t="s">
        <v>575</v>
      </c>
      <c r="H1347" s="509" t="s">
        <v>3966</v>
      </c>
      <c r="I1347" s="2"/>
      <c r="J1347" s="463"/>
      <c r="K1347" s="552"/>
    </row>
    <row r="1348" spans="1:11" hidden="1">
      <c r="A1348" s="559"/>
      <c r="H1348" s="515" t="s">
        <v>442</v>
      </c>
      <c r="I1348" s="2"/>
      <c r="J1348" s="463"/>
      <c r="K1348" s="552"/>
    </row>
    <row r="1349" spans="1:11" hidden="1">
      <c r="A1349" s="559"/>
      <c r="F1349" s="519">
        <v>0.1</v>
      </c>
      <c r="G1349" s="518" t="s">
        <v>2334</v>
      </c>
      <c r="H1349" s="509" t="s">
        <v>2607</v>
      </c>
      <c r="I1349" s="492" t="e">
        <f>(K32)</f>
        <v>#REF!</v>
      </c>
      <c r="J1349" s="500" t="s">
        <v>2334</v>
      </c>
      <c r="K1349" s="526" t="e">
        <f>(F1349*I1349)</f>
        <v>#REF!</v>
      </c>
    </row>
    <row r="1350" spans="1:11" hidden="1">
      <c r="A1350" s="559"/>
      <c r="F1350" s="519">
        <v>1.1000000000000001</v>
      </c>
      <c r="G1350" s="518" t="s">
        <v>2342</v>
      </c>
      <c r="H1350" s="509" t="s">
        <v>2353</v>
      </c>
      <c r="I1350" s="492">
        <f>(C10)</f>
        <v>150</v>
      </c>
      <c r="J1350" s="500" t="s">
        <v>2342</v>
      </c>
      <c r="K1350" s="526">
        <f>(F1350*I1350)</f>
        <v>165</v>
      </c>
    </row>
    <row r="1351" spans="1:11" hidden="1">
      <c r="A1351" s="559"/>
      <c r="F1351" s="519">
        <v>1.1000000000000001</v>
      </c>
      <c r="G1351" s="518" t="s">
        <v>2342</v>
      </c>
      <c r="H1351" s="509" t="s">
        <v>2344</v>
      </c>
      <c r="I1351" s="492">
        <f>(C12)</f>
        <v>95</v>
      </c>
      <c r="J1351" s="500" t="s">
        <v>2342</v>
      </c>
      <c r="K1351" s="526">
        <f>(F1351*I1351)</f>
        <v>104.50000000000001</v>
      </c>
    </row>
    <row r="1352" spans="1:11" hidden="1">
      <c r="A1352" s="559"/>
      <c r="F1352" s="519">
        <v>1.1000000000000001</v>
      </c>
      <c r="G1352" s="518" t="s">
        <v>2342</v>
      </c>
      <c r="H1352" s="509" t="s">
        <v>2345</v>
      </c>
      <c r="I1352" s="492">
        <f>(C13)</f>
        <v>85</v>
      </c>
      <c r="J1352" s="500" t="s">
        <v>2342</v>
      </c>
      <c r="K1352" s="526">
        <f>(F1352*I1352)</f>
        <v>93.500000000000014</v>
      </c>
    </row>
    <row r="1353" spans="1:11" hidden="1">
      <c r="A1353" s="559"/>
      <c r="G1353" s="518" t="s">
        <v>2346</v>
      </c>
      <c r="H1353" s="509" t="s">
        <v>2347</v>
      </c>
      <c r="I1353" s="490" t="s">
        <v>30</v>
      </c>
      <c r="J1353" s="500" t="s">
        <v>2346</v>
      </c>
      <c r="K1353" s="526">
        <v>0</v>
      </c>
    </row>
    <row r="1354" spans="1:11" hidden="1">
      <c r="A1354" s="559"/>
      <c r="I1354" s="2"/>
      <c r="J1354" s="463"/>
      <c r="K1354" s="526" t="s">
        <v>442</v>
      </c>
    </row>
    <row r="1355" spans="1:11" hidden="1">
      <c r="A1355" s="559"/>
      <c r="H1355" s="509" t="s">
        <v>2358</v>
      </c>
      <c r="I1355" s="2"/>
      <c r="J1355" s="463"/>
      <c r="K1355" s="526" t="e">
        <f>SUM(K1349:K1353)</f>
        <v>#REF!</v>
      </c>
    </row>
    <row r="1356" spans="1:11" hidden="1">
      <c r="A1356" s="559"/>
      <c r="I1356" s="2"/>
      <c r="J1356" s="463"/>
      <c r="K1356" s="526" t="s">
        <v>442</v>
      </c>
    </row>
    <row r="1357" spans="1:11" hidden="1">
      <c r="A1357" s="559"/>
      <c r="H1357" s="509" t="s">
        <v>2355</v>
      </c>
      <c r="I1357" s="2"/>
      <c r="J1357" s="463"/>
      <c r="K1357" s="526" t="e">
        <f>(K1355/10)</f>
        <v>#REF!</v>
      </c>
    </row>
    <row r="1358" spans="1:11" hidden="1">
      <c r="A1358" s="559"/>
      <c r="I1358" s="2"/>
      <c r="J1358" s="463"/>
      <c r="K1358" s="526" t="s">
        <v>29</v>
      </c>
    </row>
    <row r="1359" spans="1:11" hidden="1">
      <c r="A1359" s="559"/>
      <c r="I1359" s="2"/>
      <c r="J1359" s="463"/>
      <c r="K1359" s="552"/>
    </row>
    <row r="1360" spans="1:11" hidden="1">
      <c r="A1360" s="559"/>
      <c r="G1360" s="518" t="s">
        <v>575</v>
      </c>
      <c r="H1360" s="509" t="s">
        <v>3967</v>
      </c>
      <c r="I1360" s="2"/>
      <c r="J1360" s="463"/>
      <c r="K1360" s="552"/>
    </row>
    <row r="1361" spans="1:11" hidden="1">
      <c r="A1361" s="559"/>
      <c r="H1361" s="509" t="s">
        <v>3968</v>
      </c>
      <c r="I1361" s="2"/>
      <c r="J1361" s="463"/>
      <c r="K1361" s="552"/>
    </row>
    <row r="1362" spans="1:11" hidden="1">
      <c r="A1362" s="559"/>
      <c r="H1362" s="509" t="s">
        <v>3969</v>
      </c>
      <c r="I1362" s="2"/>
      <c r="J1362" s="463"/>
      <c r="K1362" s="552"/>
    </row>
    <row r="1363" spans="1:11" hidden="1">
      <c r="A1363" s="559"/>
      <c r="H1363" s="515" t="s">
        <v>442</v>
      </c>
      <c r="I1363" s="2"/>
      <c r="J1363" s="463"/>
      <c r="K1363" s="552"/>
    </row>
    <row r="1364" spans="1:11" hidden="1">
      <c r="A1364" s="559"/>
      <c r="F1364" s="519">
        <v>0.14000000000000001</v>
      </c>
      <c r="G1364" s="518" t="s">
        <v>2334</v>
      </c>
      <c r="H1364" s="509" t="s">
        <v>2607</v>
      </c>
      <c r="I1364" s="492" t="e">
        <f>(K32)</f>
        <v>#REF!</v>
      </c>
      <c r="J1364" s="500" t="s">
        <v>2334</v>
      </c>
      <c r="K1364" s="526" t="e">
        <f>(F1364*I1364)</f>
        <v>#REF!</v>
      </c>
    </row>
    <row r="1365" spans="1:11" hidden="1">
      <c r="A1365" s="559"/>
      <c r="F1365" s="519">
        <v>1.1000000000000001</v>
      </c>
      <c r="G1365" s="518" t="s">
        <v>2342</v>
      </c>
      <c r="H1365" s="509" t="s">
        <v>2353</v>
      </c>
      <c r="I1365" s="492">
        <f>(C10)</f>
        <v>150</v>
      </c>
      <c r="J1365" s="500" t="s">
        <v>2342</v>
      </c>
      <c r="K1365" s="526">
        <f>(F1365*I1365)</f>
        <v>165</v>
      </c>
    </row>
    <row r="1366" spans="1:11" hidden="1">
      <c r="A1366" s="559"/>
      <c r="F1366" s="519">
        <v>0.5</v>
      </c>
      <c r="G1366" s="518" t="s">
        <v>2342</v>
      </c>
      <c r="H1366" s="509" t="s">
        <v>2344</v>
      </c>
      <c r="I1366" s="492">
        <f>(C12)</f>
        <v>95</v>
      </c>
      <c r="J1366" s="500" t="s">
        <v>2342</v>
      </c>
      <c r="K1366" s="526">
        <f>(F1366*I1366)</f>
        <v>47.5</v>
      </c>
    </row>
    <row r="1367" spans="1:11" hidden="1">
      <c r="A1367" s="559"/>
      <c r="F1367" s="519">
        <v>1.1000000000000001</v>
      </c>
      <c r="G1367" s="518" t="s">
        <v>2342</v>
      </c>
      <c r="H1367" s="509" t="s">
        <v>2345</v>
      </c>
      <c r="I1367" s="492">
        <f>(C13)</f>
        <v>85</v>
      </c>
      <c r="J1367" s="500" t="s">
        <v>2342</v>
      </c>
      <c r="K1367" s="526">
        <f>(F1367*I1367)</f>
        <v>93.500000000000014</v>
      </c>
    </row>
    <row r="1368" spans="1:11" hidden="1">
      <c r="A1368" s="559"/>
      <c r="F1368" s="519">
        <v>2</v>
      </c>
      <c r="G1368" s="518" t="s">
        <v>40</v>
      </c>
      <c r="H1368" s="509" t="s">
        <v>3970</v>
      </c>
      <c r="I1368" s="492">
        <f>(C631)</f>
        <v>30</v>
      </c>
      <c r="J1368" s="500" t="s">
        <v>40</v>
      </c>
      <c r="K1368" s="526">
        <f>(F1368*I1368)</f>
        <v>60</v>
      </c>
    </row>
    <row r="1369" spans="1:11" hidden="1">
      <c r="A1369" s="559"/>
      <c r="G1369" s="518" t="s">
        <v>2346</v>
      </c>
      <c r="H1369" s="509" t="s">
        <v>2347</v>
      </c>
      <c r="I1369" s="490" t="s">
        <v>30</v>
      </c>
      <c r="J1369" s="500" t="s">
        <v>2346</v>
      </c>
      <c r="K1369" s="526">
        <v>0</v>
      </c>
    </row>
    <row r="1370" spans="1:11" hidden="1">
      <c r="A1370" s="559"/>
      <c r="I1370" s="2"/>
      <c r="J1370" s="463"/>
      <c r="K1370" s="526" t="s">
        <v>442</v>
      </c>
    </row>
    <row r="1371" spans="1:11" hidden="1">
      <c r="A1371" s="559"/>
      <c r="F1371" s="509" t="s">
        <v>30</v>
      </c>
      <c r="H1371" s="509" t="s">
        <v>2358</v>
      </c>
      <c r="I1371" s="2"/>
      <c r="J1371" s="463"/>
      <c r="K1371" s="526" t="e">
        <f>SUM(K1364:K1369)</f>
        <v>#REF!</v>
      </c>
    </row>
    <row r="1372" spans="1:11" hidden="1">
      <c r="A1372" s="559"/>
      <c r="I1372" s="2"/>
      <c r="J1372" s="463"/>
      <c r="K1372" s="526" t="s">
        <v>442</v>
      </c>
    </row>
    <row r="1373" spans="1:11" hidden="1">
      <c r="A1373" s="559"/>
      <c r="H1373" s="509" t="s">
        <v>2355</v>
      </c>
      <c r="I1373" s="2"/>
      <c r="J1373" s="463"/>
      <c r="K1373" s="526" t="e">
        <f>(K1371/10)</f>
        <v>#REF!</v>
      </c>
    </row>
    <row r="1374" spans="1:11" hidden="1">
      <c r="A1374" s="559"/>
      <c r="I1374" s="2"/>
      <c r="J1374" s="463"/>
      <c r="K1374" s="526" t="s">
        <v>29</v>
      </c>
    </row>
    <row r="1375" spans="1:11" hidden="1">
      <c r="A1375" s="559"/>
      <c r="H1375" s="509" t="s">
        <v>30</v>
      </c>
      <c r="I1375" s="2"/>
      <c r="J1375" s="463"/>
      <c r="K1375" s="552"/>
    </row>
    <row r="1376" spans="1:11" hidden="1">
      <c r="A1376" s="559"/>
      <c r="I1376" s="2"/>
      <c r="J1376" s="463"/>
      <c r="K1376" s="552"/>
    </row>
    <row r="1377" spans="1:11" hidden="1">
      <c r="A1377" s="559"/>
      <c r="F1377" s="510" t="s">
        <v>3971</v>
      </c>
      <c r="G1377" s="518" t="s">
        <v>575</v>
      </c>
      <c r="H1377" s="509" t="s">
        <v>3972</v>
      </c>
      <c r="I1377" s="2"/>
      <c r="J1377" s="463"/>
      <c r="K1377" s="552"/>
    </row>
    <row r="1378" spans="1:11" hidden="1">
      <c r="A1378" s="559"/>
      <c r="H1378" s="509" t="s">
        <v>3973</v>
      </c>
      <c r="I1378" s="2"/>
      <c r="J1378" s="463"/>
      <c r="K1378" s="552"/>
    </row>
    <row r="1379" spans="1:11" hidden="1">
      <c r="A1379" s="559"/>
      <c r="H1379" s="509" t="s">
        <v>3974</v>
      </c>
      <c r="I1379" s="2"/>
      <c r="J1379" s="463"/>
      <c r="K1379" s="552"/>
    </row>
    <row r="1380" spans="1:11" hidden="1">
      <c r="A1380" s="559"/>
      <c r="H1380" s="509" t="s">
        <v>3975</v>
      </c>
      <c r="I1380" s="2"/>
      <c r="J1380" s="463"/>
      <c r="K1380" s="552"/>
    </row>
    <row r="1381" spans="1:11" hidden="1">
      <c r="A1381" s="559"/>
      <c r="H1381" s="515" t="s">
        <v>442</v>
      </c>
      <c r="I1381" s="491" t="s">
        <v>442</v>
      </c>
      <c r="J1381" s="463"/>
      <c r="K1381" s="552"/>
    </row>
    <row r="1382" spans="1:11" hidden="1">
      <c r="A1382" s="559"/>
      <c r="G1382" s="518" t="s">
        <v>2365</v>
      </c>
      <c r="H1382" s="509" t="s">
        <v>3976</v>
      </c>
      <c r="I1382" s="2"/>
      <c r="J1382" s="463"/>
      <c r="K1382" s="552"/>
    </row>
    <row r="1383" spans="1:11" hidden="1">
      <c r="A1383" s="559"/>
      <c r="G1383" s="518" t="s">
        <v>442</v>
      </c>
      <c r="H1383" s="515" t="s">
        <v>442</v>
      </c>
      <c r="I1383" s="2"/>
      <c r="J1383" s="463"/>
      <c r="K1383" s="552"/>
    </row>
    <row r="1384" spans="1:11" hidden="1">
      <c r="A1384" s="559"/>
      <c r="F1384" s="542">
        <v>1.4E-2</v>
      </c>
      <c r="G1384" s="518" t="s">
        <v>19</v>
      </c>
      <c r="H1384" s="509" t="s">
        <v>3977</v>
      </c>
      <c r="I1384" s="492" t="e">
        <f>K49</f>
        <v>#REF!</v>
      </c>
      <c r="J1384" s="500" t="s">
        <v>19</v>
      </c>
      <c r="K1384" s="526" t="e">
        <f>(F1384*I1384)</f>
        <v>#REF!</v>
      </c>
    </row>
    <row r="1385" spans="1:11" hidden="1">
      <c r="A1385" s="559"/>
      <c r="F1385" s="519">
        <v>0.3</v>
      </c>
      <c r="G1385" s="518" t="s">
        <v>2403</v>
      </c>
      <c r="H1385" s="509" t="s">
        <v>3978</v>
      </c>
      <c r="I1385" s="492">
        <f>C10</f>
        <v>150</v>
      </c>
      <c r="J1385" s="500" t="s">
        <v>2403</v>
      </c>
      <c r="K1385" s="526">
        <f>(F1385*I1385)</f>
        <v>45</v>
      </c>
    </row>
    <row r="1386" spans="1:11" hidden="1">
      <c r="A1386" s="559"/>
      <c r="F1386" s="519">
        <v>0.3</v>
      </c>
      <c r="G1386" s="518" t="s">
        <v>2403</v>
      </c>
      <c r="H1386" s="509" t="s">
        <v>3081</v>
      </c>
      <c r="I1386" s="492">
        <f>C12</f>
        <v>95</v>
      </c>
      <c r="J1386" s="500" t="s">
        <v>2403</v>
      </c>
      <c r="K1386" s="526">
        <f>(F1386*I1386)</f>
        <v>28.5</v>
      </c>
    </row>
    <row r="1387" spans="1:11" hidden="1">
      <c r="A1387" s="559"/>
      <c r="G1387" s="518" t="s">
        <v>2346</v>
      </c>
      <c r="H1387" s="509" t="s">
        <v>2390</v>
      </c>
      <c r="I1387" s="2"/>
      <c r="J1387" s="500" t="s">
        <v>2346</v>
      </c>
      <c r="K1387" s="552">
        <v>0</v>
      </c>
    </row>
    <row r="1388" spans="1:11" hidden="1">
      <c r="A1388" s="559"/>
      <c r="I1388" s="2"/>
      <c r="J1388" s="463"/>
      <c r="K1388" s="526" t="s">
        <v>442</v>
      </c>
    </row>
    <row r="1389" spans="1:11" hidden="1">
      <c r="A1389" s="559"/>
      <c r="H1389" s="510" t="s">
        <v>3979</v>
      </c>
      <c r="I1389" s="2"/>
      <c r="J1389" s="463"/>
      <c r="K1389" s="526" t="e">
        <f>SUM(K1384:K1387)</f>
        <v>#REF!</v>
      </c>
    </row>
    <row r="1390" spans="1:11" hidden="1">
      <c r="A1390" s="559"/>
      <c r="I1390" s="2"/>
      <c r="J1390" s="463"/>
      <c r="K1390" s="526" t="s">
        <v>442</v>
      </c>
    </row>
    <row r="1391" spans="1:11" hidden="1">
      <c r="A1391" s="559"/>
      <c r="H1391" s="510" t="s">
        <v>3980</v>
      </c>
      <c r="I1391" s="2"/>
      <c r="J1391" s="463"/>
      <c r="K1391" s="526" t="e">
        <f>K1389/6.77</f>
        <v>#REF!</v>
      </c>
    </row>
    <row r="1392" spans="1:11" hidden="1">
      <c r="A1392" s="559"/>
      <c r="F1392" s="509" t="s">
        <v>30</v>
      </c>
      <c r="I1392" s="2"/>
      <c r="J1392" s="463"/>
      <c r="K1392" s="552"/>
    </row>
    <row r="1393" spans="1:11" hidden="1">
      <c r="A1393" s="559"/>
      <c r="I1393" s="2"/>
      <c r="J1393" s="463"/>
      <c r="K1393" s="526" t="s">
        <v>29</v>
      </c>
    </row>
    <row r="1394" spans="1:11" hidden="1">
      <c r="A1394" s="559"/>
      <c r="G1394" s="518" t="s">
        <v>3335</v>
      </c>
      <c r="H1394" s="509" t="s">
        <v>3981</v>
      </c>
      <c r="I1394" s="2"/>
      <c r="J1394" s="463"/>
      <c r="K1394" s="552"/>
    </row>
    <row r="1395" spans="1:11" hidden="1">
      <c r="A1395" s="559"/>
      <c r="G1395" s="518" t="s">
        <v>442</v>
      </c>
      <c r="H1395" s="515" t="s">
        <v>442</v>
      </c>
      <c r="I1395" s="2"/>
      <c r="J1395" s="463"/>
      <c r="K1395" s="552"/>
    </row>
    <row r="1396" spans="1:11" hidden="1">
      <c r="A1396" s="559"/>
      <c r="F1396" s="542">
        <v>7.0000000000000001E-3</v>
      </c>
      <c r="G1396" s="518" t="s">
        <v>19</v>
      </c>
      <c r="H1396" s="509" t="s">
        <v>3977</v>
      </c>
      <c r="I1396" s="492" t="e">
        <f>K49</f>
        <v>#REF!</v>
      </c>
      <c r="J1396" s="500" t="s">
        <v>19</v>
      </c>
      <c r="K1396" s="526" t="e">
        <f>(F1396*I1396)</f>
        <v>#REF!</v>
      </c>
    </row>
    <row r="1397" spans="1:11" hidden="1">
      <c r="A1397" s="559"/>
      <c r="F1397" s="519">
        <v>0.2</v>
      </c>
      <c r="G1397" s="518" t="s">
        <v>2403</v>
      </c>
      <c r="H1397" s="509" t="s">
        <v>3978</v>
      </c>
      <c r="I1397" s="492">
        <f>C10</f>
        <v>150</v>
      </c>
      <c r="J1397" s="500" t="s">
        <v>2403</v>
      </c>
      <c r="K1397" s="526">
        <f>(F1397*I1397)</f>
        <v>30</v>
      </c>
    </row>
    <row r="1398" spans="1:11" hidden="1">
      <c r="A1398" s="559"/>
      <c r="F1398" s="519">
        <v>0.2</v>
      </c>
      <c r="G1398" s="518" t="s">
        <v>2403</v>
      </c>
      <c r="H1398" s="509" t="s">
        <v>3081</v>
      </c>
      <c r="I1398" s="492">
        <f>C12</f>
        <v>95</v>
      </c>
      <c r="J1398" s="500" t="s">
        <v>2403</v>
      </c>
      <c r="K1398" s="526">
        <f>(F1398*I1398)</f>
        <v>19</v>
      </c>
    </row>
    <row r="1399" spans="1:11" hidden="1">
      <c r="A1399" s="559"/>
      <c r="H1399" s="509" t="s">
        <v>2390</v>
      </c>
      <c r="I1399" s="2"/>
      <c r="J1399" s="463"/>
      <c r="K1399" s="552">
        <v>0</v>
      </c>
    </row>
    <row r="1400" spans="1:11" hidden="1">
      <c r="A1400" s="559"/>
      <c r="I1400" s="2"/>
      <c r="J1400" s="463"/>
      <c r="K1400" s="526" t="s">
        <v>442</v>
      </c>
    </row>
    <row r="1401" spans="1:11" hidden="1">
      <c r="A1401" s="559"/>
      <c r="H1401" s="510" t="s">
        <v>3979</v>
      </c>
      <c r="I1401" s="2"/>
      <c r="J1401" s="463"/>
      <c r="K1401" s="526" t="e">
        <f>SUM(K1396:K1399)</f>
        <v>#REF!</v>
      </c>
    </row>
    <row r="1402" spans="1:11" hidden="1">
      <c r="A1402" s="559"/>
      <c r="I1402" s="2"/>
      <c r="J1402" s="463"/>
      <c r="K1402" s="526" t="s">
        <v>442</v>
      </c>
    </row>
    <row r="1403" spans="1:11" hidden="1">
      <c r="A1403" s="559"/>
      <c r="H1403" s="510" t="s">
        <v>3980</v>
      </c>
      <c r="I1403" s="2"/>
      <c r="J1403" s="463"/>
      <c r="K1403" s="526" t="e">
        <f>K1401/6.77</f>
        <v>#REF!</v>
      </c>
    </row>
    <row r="1404" spans="1:11" hidden="1">
      <c r="A1404" s="559"/>
      <c r="I1404" s="2"/>
      <c r="J1404" s="463"/>
      <c r="K1404" s="526" t="s">
        <v>29</v>
      </c>
    </row>
    <row r="1405" spans="1:11" hidden="1">
      <c r="A1405" s="559"/>
      <c r="I1405" s="2"/>
      <c r="J1405" s="463"/>
      <c r="K1405" s="526"/>
    </row>
    <row r="1406" spans="1:11" hidden="1">
      <c r="A1406" s="559"/>
      <c r="I1406" s="2"/>
      <c r="J1406" s="463"/>
      <c r="K1406" s="526"/>
    </row>
    <row r="1407" spans="1:11" hidden="1">
      <c r="A1407" s="559"/>
      <c r="G1407" s="518" t="s">
        <v>3366</v>
      </c>
      <c r="H1407" s="509" t="s">
        <v>3982</v>
      </c>
      <c r="I1407" s="2"/>
      <c r="J1407" s="463"/>
      <c r="K1407" s="526"/>
    </row>
    <row r="1408" spans="1:11" hidden="1">
      <c r="A1408" s="559"/>
      <c r="G1408" s="518" t="s">
        <v>442</v>
      </c>
      <c r="H1408" s="515" t="s">
        <v>442</v>
      </c>
      <c r="I1408" s="2"/>
      <c r="J1408" s="463"/>
      <c r="K1408" s="526"/>
    </row>
    <row r="1409" spans="1:11" hidden="1">
      <c r="A1409" s="559"/>
      <c r="F1409" s="542">
        <v>4.7000000000000002E-3</v>
      </c>
      <c r="G1409" s="518" t="s">
        <v>19</v>
      </c>
      <c r="H1409" s="509" t="s">
        <v>3977</v>
      </c>
      <c r="I1409" s="2" t="e">
        <f>K49</f>
        <v>#REF!</v>
      </c>
      <c r="J1409" s="500" t="s">
        <v>19</v>
      </c>
      <c r="K1409" s="526" t="e">
        <f>(F1409*I1409)</f>
        <v>#REF!</v>
      </c>
    </row>
    <row r="1410" spans="1:11" hidden="1">
      <c r="A1410" s="559"/>
      <c r="F1410" s="519">
        <v>0.15</v>
      </c>
      <c r="G1410" s="518" t="s">
        <v>2403</v>
      </c>
      <c r="H1410" s="509" t="s">
        <v>3978</v>
      </c>
      <c r="I1410" s="2">
        <f>C10</f>
        <v>150</v>
      </c>
      <c r="J1410" s="500" t="s">
        <v>2403</v>
      </c>
      <c r="K1410" s="526">
        <f>(F1410*I1410)</f>
        <v>22.5</v>
      </c>
    </row>
    <row r="1411" spans="1:11" hidden="1">
      <c r="A1411" s="559"/>
      <c r="F1411" s="519">
        <v>0.15</v>
      </c>
      <c r="G1411" s="518" t="s">
        <v>2403</v>
      </c>
      <c r="H1411" s="509" t="s">
        <v>3081</v>
      </c>
      <c r="I1411" s="2">
        <f>C12</f>
        <v>95</v>
      </c>
      <c r="J1411" s="500" t="s">
        <v>2403</v>
      </c>
      <c r="K1411" s="526">
        <f>(F1411*I1411)</f>
        <v>14.25</v>
      </c>
    </row>
    <row r="1412" spans="1:11" hidden="1">
      <c r="A1412" s="559"/>
      <c r="H1412" s="509" t="s">
        <v>2390</v>
      </c>
      <c r="I1412" s="2"/>
      <c r="J1412" s="463"/>
      <c r="K1412" s="552">
        <v>0</v>
      </c>
    </row>
    <row r="1413" spans="1:11" hidden="1">
      <c r="A1413" s="559"/>
      <c r="I1413" s="2"/>
      <c r="J1413" s="463"/>
      <c r="K1413" s="526" t="s">
        <v>442</v>
      </c>
    </row>
    <row r="1414" spans="1:11" hidden="1">
      <c r="A1414" s="559"/>
      <c r="H1414" s="510" t="s">
        <v>3979</v>
      </c>
      <c r="I1414" s="2"/>
      <c r="J1414" s="463"/>
      <c r="K1414" s="526" t="e">
        <f>SUM(K1409:K1412)</f>
        <v>#REF!</v>
      </c>
    </row>
    <row r="1415" spans="1:11" hidden="1">
      <c r="A1415" s="559"/>
      <c r="I1415" s="2"/>
      <c r="J1415" s="463"/>
      <c r="K1415" s="526" t="s">
        <v>442</v>
      </c>
    </row>
    <row r="1416" spans="1:11" hidden="1">
      <c r="A1416" s="559"/>
      <c r="H1416" s="510" t="s">
        <v>3980</v>
      </c>
      <c r="I1416" s="2"/>
      <c r="J1416" s="463"/>
      <c r="K1416" s="526" t="e">
        <f>K1414/6.77</f>
        <v>#REF!</v>
      </c>
    </row>
    <row r="1417" spans="1:11" hidden="1">
      <c r="A1417" s="559"/>
      <c r="I1417" s="2"/>
      <c r="J1417" s="463"/>
      <c r="K1417" s="526" t="s">
        <v>29</v>
      </c>
    </row>
    <row r="1418" spans="1:11" hidden="1">
      <c r="A1418" s="559"/>
      <c r="I1418" s="2"/>
      <c r="J1418" s="463"/>
      <c r="K1418" s="526"/>
    </row>
    <row r="1419" spans="1:11" hidden="1">
      <c r="A1419" s="559"/>
      <c r="F1419" s="529">
        <v>37.1</v>
      </c>
      <c r="G1419" s="518" t="s">
        <v>575</v>
      </c>
      <c r="H1419" s="509" t="s">
        <v>3983</v>
      </c>
      <c r="I1419" s="2"/>
      <c r="J1419" s="463"/>
      <c r="K1419" s="552"/>
    </row>
    <row r="1420" spans="1:11" hidden="1">
      <c r="A1420" s="559"/>
      <c r="H1420" s="515" t="s">
        <v>442</v>
      </c>
      <c r="I1420" s="2"/>
      <c r="J1420" s="463"/>
      <c r="K1420" s="552"/>
    </row>
    <row r="1421" spans="1:11" hidden="1">
      <c r="A1421" s="559"/>
      <c r="F1421" s="519">
        <v>0.09</v>
      </c>
      <c r="G1421" s="518" t="s">
        <v>2334</v>
      </c>
      <c r="H1421" s="509" t="s">
        <v>2592</v>
      </c>
      <c r="I1421" s="492">
        <f>(C84)</f>
        <v>773</v>
      </c>
      <c r="J1421" s="500" t="s">
        <v>2334</v>
      </c>
      <c r="K1421" s="526">
        <f>(F1421*I1421)</f>
        <v>69.569999999999993</v>
      </c>
    </row>
    <row r="1422" spans="1:11" hidden="1">
      <c r="A1422" s="559"/>
      <c r="F1422" s="519">
        <v>2.2000000000000002</v>
      </c>
      <c r="G1422" s="518" t="s">
        <v>2342</v>
      </c>
      <c r="H1422" s="509" t="s">
        <v>2343</v>
      </c>
      <c r="I1422" s="492">
        <f>(C11)</f>
        <v>135</v>
      </c>
      <c r="J1422" s="500" t="s">
        <v>2342</v>
      </c>
      <c r="K1422" s="526">
        <f>(F1422*I1422)</f>
        <v>297</v>
      </c>
    </row>
    <row r="1423" spans="1:11" hidden="1">
      <c r="A1423" s="559"/>
      <c r="F1423" s="519">
        <v>0.5</v>
      </c>
      <c r="G1423" s="518" t="s">
        <v>2342</v>
      </c>
      <c r="H1423" s="509" t="s">
        <v>2344</v>
      </c>
      <c r="I1423" s="492">
        <f>(C12)</f>
        <v>95</v>
      </c>
      <c r="J1423" s="500" t="s">
        <v>2342</v>
      </c>
      <c r="K1423" s="526">
        <f>(F1423*I1423)</f>
        <v>47.5</v>
      </c>
    </row>
    <row r="1424" spans="1:11" hidden="1">
      <c r="A1424" s="559"/>
      <c r="F1424" s="519">
        <v>3.8</v>
      </c>
      <c r="G1424" s="518" t="s">
        <v>2342</v>
      </c>
      <c r="H1424" s="509" t="s">
        <v>2345</v>
      </c>
      <c r="I1424" s="492">
        <f>(C13)</f>
        <v>85</v>
      </c>
      <c r="J1424" s="500" t="s">
        <v>2342</v>
      </c>
      <c r="K1424" s="526">
        <f>(F1424*I1424)</f>
        <v>323</v>
      </c>
    </row>
    <row r="1425" spans="1:11" hidden="1">
      <c r="A1425" s="559"/>
      <c r="G1425" s="518" t="s">
        <v>2346</v>
      </c>
      <c r="H1425" s="509" t="s">
        <v>3984</v>
      </c>
      <c r="I1425" s="490" t="s">
        <v>30</v>
      </c>
      <c r="J1425" s="500" t="s">
        <v>2346</v>
      </c>
      <c r="K1425" s="526">
        <v>1.5</v>
      </c>
    </row>
    <row r="1426" spans="1:11" hidden="1">
      <c r="A1426" s="559"/>
      <c r="I1426" s="2"/>
      <c r="J1426" s="463"/>
      <c r="K1426" s="526" t="s">
        <v>442</v>
      </c>
    </row>
    <row r="1427" spans="1:11" hidden="1">
      <c r="A1427" s="559"/>
      <c r="H1427" s="509" t="s">
        <v>2942</v>
      </c>
      <c r="I1427" s="2"/>
      <c r="J1427" s="463"/>
      <c r="K1427" s="526">
        <f>SUM(K1420:K1425)</f>
        <v>738.56999999999994</v>
      </c>
    </row>
    <row r="1428" spans="1:11" hidden="1">
      <c r="A1428" s="559"/>
      <c r="I1428" s="2"/>
      <c r="J1428" s="463"/>
      <c r="K1428" s="526" t="s">
        <v>442</v>
      </c>
    </row>
    <row r="1429" spans="1:11" hidden="1">
      <c r="A1429" s="559"/>
      <c r="H1429" s="509" t="s">
        <v>2355</v>
      </c>
      <c r="I1429" s="2"/>
      <c r="J1429" s="463"/>
      <c r="K1429" s="526">
        <f>(K1427/100)</f>
        <v>7.385699999999999</v>
      </c>
    </row>
    <row r="1430" spans="1:11" hidden="1">
      <c r="A1430" s="559"/>
      <c r="I1430" s="2"/>
      <c r="J1430" s="463"/>
      <c r="K1430" s="526" t="s">
        <v>29</v>
      </c>
    </row>
    <row r="1431" spans="1:11" hidden="1">
      <c r="A1431" s="559"/>
      <c r="F1431" s="510" t="s">
        <v>3985</v>
      </c>
      <c r="G1431" s="518" t="s">
        <v>575</v>
      </c>
      <c r="H1431" s="509" t="s">
        <v>3986</v>
      </c>
      <c r="I1431" s="2"/>
      <c r="J1431" s="463"/>
      <c r="K1431" s="552"/>
    </row>
    <row r="1432" spans="1:11" hidden="1">
      <c r="A1432" s="559"/>
      <c r="H1432" s="509" t="s">
        <v>3987</v>
      </c>
      <c r="I1432" s="2"/>
      <c r="J1432" s="463"/>
      <c r="K1432" s="552"/>
    </row>
    <row r="1433" spans="1:11" hidden="1">
      <c r="A1433" s="559"/>
      <c r="H1433" s="509" t="s">
        <v>3988</v>
      </c>
      <c r="I1433" s="2"/>
      <c r="J1433" s="463"/>
      <c r="K1433" s="552"/>
    </row>
    <row r="1434" spans="1:11" hidden="1">
      <c r="A1434" s="559"/>
      <c r="H1434" s="509" t="s">
        <v>3989</v>
      </c>
      <c r="I1434" s="2"/>
      <c r="J1434" s="463"/>
      <c r="K1434" s="552"/>
    </row>
    <row r="1435" spans="1:11" hidden="1">
      <c r="A1435" s="559"/>
      <c r="H1435" s="515" t="s">
        <v>442</v>
      </c>
      <c r="I1435" s="2"/>
      <c r="J1435" s="463"/>
      <c r="K1435" s="552"/>
    </row>
    <row r="1436" spans="1:11" hidden="1">
      <c r="A1436" s="559"/>
      <c r="F1436" s="519">
        <v>4.8</v>
      </c>
      <c r="G1436" s="518" t="s">
        <v>40</v>
      </c>
      <c r="H1436" s="509" t="s">
        <v>2854</v>
      </c>
      <c r="I1436" s="492">
        <f>(C270)</f>
        <v>35</v>
      </c>
      <c r="J1436" s="500" t="s">
        <v>40</v>
      </c>
      <c r="K1436" s="526">
        <f>(F1436*I1436)</f>
        <v>168</v>
      </c>
    </row>
    <row r="1437" spans="1:11" hidden="1">
      <c r="A1437" s="559"/>
      <c r="F1437" s="519">
        <v>0.75</v>
      </c>
      <c r="G1437" s="518" t="s">
        <v>2342</v>
      </c>
      <c r="H1437" s="509" t="s">
        <v>3990</v>
      </c>
      <c r="I1437" s="492">
        <f>(C14)</f>
        <v>120</v>
      </c>
      <c r="J1437" s="500" t="s">
        <v>2342</v>
      </c>
      <c r="K1437" s="526">
        <f>(F1437*I1437)</f>
        <v>90</v>
      </c>
    </row>
    <row r="1438" spans="1:11" hidden="1">
      <c r="A1438" s="559"/>
      <c r="F1438" s="519">
        <v>0.75</v>
      </c>
      <c r="G1438" s="518" t="s">
        <v>2342</v>
      </c>
      <c r="H1438" s="509" t="s">
        <v>3914</v>
      </c>
      <c r="I1438" s="492">
        <f>(C12)</f>
        <v>95</v>
      </c>
      <c r="J1438" s="500" t="s">
        <v>2342</v>
      </c>
      <c r="K1438" s="526">
        <f>(F1438*I1438)</f>
        <v>71.25</v>
      </c>
    </row>
    <row r="1439" spans="1:11" hidden="1">
      <c r="A1439" s="559"/>
      <c r="F1439" s="519">
        <v>1.2</v>
      </c>
      <c r="G1439" s="518" t="s">
        <v>2342</v>
      </c>
      <c r="H1439" s="509" t="s">
        <v>2345</v>
      </c>
      <c r="I1439" s="492">
        <f>(C13)</f>
        <v>85</v>
      </c>
      <c r="J1439" s="500" t="s">
        <v>2342</v>
      </c>
      <c r="K1439" s="526">
        <f>(F1439*I1439)</f>
        <v>102</v>
      </c>
    </row>
    <row r="1440" spans="1:11" hidden="1">
      <c r="A1440" s="559"/>
      <c r="G1440" s="518" t="s">
        <v>2346</v>
      </c>
      <c r="H1440" s="509" t="s">
        <v>2940</v>
      </c>
      <c r="I1440" s="490" t="s">
        <v>30</v>
      </c>
      <c r="J1440" s="500" t="s">
        <v>2346</v>
      </c>
      <c r="K1440" s="526">
        <v>1.45</v>
      </c>
    </row>
    <row r="1441" spans="1:11" hidden="1">
      <c r="A1441" s="559"/>
      <c r="I1441" s="2"/>
      <c r="J1441" s="463"/>
      <c r="K1441" s="526" t="s">
        <v>442</v>
      </c>
    </row>
    <row r="1442" spans="1:11" hidden="1">
      <c r="A1442" s="559"/>
      <c r="H1442" s="509" t="s">
        <v>2358</v>
      </c>
      <c r="I1442" s="2"/>
      <c r="J1442" s="463"/>
      <c r="K1442" s="526">
        <f>SUM(K1436:K1440)</f>
        <v>432.7</v>
      </c>
    </row>
    <row r="1443" spans="1:11" hidden="1">
      <c r="A1443" s="559"/>
      <c r="I1443" s="2"/>
      <c r="J1443" s="463"/>
      <c r="K1443" s="526" t="s">
        <v>442</v>
      </c>
    </row>
    <row r="1444" spans="1:11" hidden="1">
      <c r="A1444" s="559"/>
      <c r="H1444" s="509" t="s">
        <v>2355</v>
      </c>
      <c r="I1444" s="2"/>
      <c r="J1444" s="463"/>
      <c r="K1444" s="526">
        <f>(K1442/10)</f>
        <v>43.269999999999996</v>
      </c>
    </row>
    <row r="1445" spans="1:11" hidden="1">
      <c r="A1445" s="559"/>
      <c r="I1445" s="2"/>
      <c r="J1445" s="463"/>
      <c r="K1445" s="526" t="s">
        <v>29</v>
      </c>
    </row>
    <row r="1446" spans="1:11" hidden="1">
      <c r="A1446" s="559"/>
      <c r="F1446" s="510" t="s">
        <v>3991</v>
      </c>
      <c r="G1446" s="518" t="s">
        <v>575</v>
      </c>
      <c r="H1446" s="510" t="s">
        <v>823</v>
      </c>
      <c r="I1446" s="2"/>
      <c r="J1446" s="463"/>
      <c r="K1446" s="552"/>
    </row>
    <row r="1447" spans="1:11" hidden="1">
      <c r="A1447" s="559"/>
      <c r="H1447" s="510" t="s">
        <v>31</v>
      </c>
      <c r="I1447" s="2"/>
      <c r="J1447" s="463"/>
      <c r="K1447" s="552"/>
    </row>
    <row r="1448" spans="1:11" hidden="1">
      <c r="A1448" s="559"/>
      <c r="F1448" s="519">
        <v>3.08</v>
      </c>
      <c r="G1448" s="518" t="s">
        <v>3992</v>
      </c>
      <c r="H1448" s="509" t="s">
        <v>823</v>
      </c>
      <c r="I1448" s="492">
        <v>120</v>
      </c>
      <c r="J1448" s="500" t="s">
        <v>3992</v>
      </c>
      <c r="K1448" s="526">
        <f>(F1448*I1448)</f>
        <v>369.6</v>
      </c>
    </row>
    <row r="1449" spans="1:11" hidden="1">
      <c r="A1449" s="559"/>
      <c r="F1449" s="519">
        <v>0.5</v>
      </c>
      <c r="G1449" s="518" t="s">
        <v>2403</v>
      </c>
      <c r="H1449" s="509" t="s">
        <v>3993</v>
      </c>
      <c r="I1449" s="492">
        <f>C14</f>
        <v>120</v>
      </c>
      <c r="J1449" s="500" t="s">
        <v>2403</v>
      </c>
      <c r="K1449" s="526">
        <f>(F1449*I1449)</f>
        <v>60</v>
      </c>
    </row>
    <row r="1450" spans="1:11" hidden="1">
      <c r="A1450" s="559"/>
      <c r="F1450" s="519">
        <v>0.5</v>
      </c>
      <c r="G1450" s="518" t="s">
        <v>2403</v>
      </c>
      <c r="H1450" s="509" t="s">
        <v>3081</v>
      </c>
      <c r="I1450" s="492">
        <f>C12</f>
        <v>95</v>
      </c>
      <c r="J1450" s="500" t="s">
        <v>2403</v>
      </c>
      <c r="K1450" s="526">
        <f>(F1450*I1450)</f>
        <v>47.5</v>
      </c>
    </row>
    <row r="1451" spans="1:11" hidden="1">
      <c r="A1451" s="559"/>
      <c r="F1451" s="519">
        <v>0.8</v>
      </c>
      <c r="G1451" s="518" t="s">
        <v>2403</v>
      </c>
      <c r="H1451" s="509" t="s">
        <v>3994</v>
      </c>
      <c r="I1451" s="492">
        <f>C13</f>
        <v>85</v>
      </c>
      <c r="J1451" s="500" t="s">
        <v>2403</v>
      </c>
      <c r="K1451" s="526">
        <f>(F1451*I1451)</f>
        <v>68</v>
      </c>
    </row>
    <row r="1452" spans="1:11" hidden="1">
      <c r="A1452" s="559"/>
      <c r="G1452" s="518" t="s">
        <v>2346</v>
      </c>
      <c r="H1452" s="509" t="s">
        <v>2940</v>
      </c>
      <c r="I1452" s="2"/>
      <c r="J1452" s="500" t="s">
        <v>2346</v>
      </c>
      <c r="K1452" s="526">
        <v>1.5</v>
      </c>
    </row>
    <row r="1453" spans="1:11" hidden="1">
      <c r="A1453" s="559"/>
      <c r="I1453" s="2"/>
      <c r="J1453" s="463"/>
      <c r="K1453" s="552"/>
    </row>
    <row r="1454" spans="1:11" hidden="1">
      <c r="A1454" s="559"/>
      <c r="I1454" s="2"/>
      <c r="J1454" s="463"/>
      <c r="K1454" s="526" t="s">
        <v>442</v>
      </c>
    </row>
    <row r="1455" spans="1:11" hidden="1">
      <c r="A1455" s="559"/>
      <c r="H1455" s="510" t="s">
        <v>3995</v>
      </c>
      <c r="I1455" s="2"/>
      <c r="J1455" s="463"/>
      <c r="K1455" s="526">
        <f>SUM(K1448:K1452)</f>
        <v>546.6</v>
      </c>
    </row>
    <row r="1456" spans="1:11" hidden="1">
      <c r="A1456" s="559"/>
      <c r="I1456" s="2"/>
      <c r="J1456" s="463"/>
      <c r="K1456" s="526" t="s">
        <v>442</v>
      </c>
    </row>
    <row r="1457" spans="1:11" hidden="1">
      <c r="A1457" s="559"/>
      <c r="F1457" s="509" t="s">
        <v>30</v>
      </c>
      <c r="G1457" s="518" t="s">
        <v>30</v>
      </c>
      <c r="H1457" s="510" t="s">
        <v>3906</v>
      </c>
      <c r="I1457" s="490" t="s">
        <v>30</v>
      </c>
      <c r="J1457" s="500" t="s">
        <v>30</v>
      </c>
      <c r="K1457" s="526">
        <f>K1455/10</f>
        <v>54.660000000000004</v>
      </c>
    </row>
    <row r="1458" spans="1:11" hidden="1">
      <c r="A1458" s="559"/>
      <c r="I1458" s="2"/>
      <c r="J1458" s="463"/>
      <c r="K1458" s="526" t="s">
        <v>29</v>
      </c>
    </row>
    <row r="1459" spans="1:11" hidden="1">
      <c r="A1459" s="559"/>
      <c r="F1459" s="510" t="s">
        <v>3996</v>
      </c>
      <c r="G1459" s="518" t="s">
        <v>575</v>
      </c>
      <c r="H1459" s="509" t="s">
        <v>3997</v>
      </c>
      <c r="I1459" s="2"/>
      <c r="J1459" s="463"/>
      <c r="K1459" s="552"/>
    </row>
    <row r="1460" spans="1:11" hidden="1">
      <c r="A1460" s="559"/>
      <c r="H1460" s="509" t="s">
        <v>3998</v>
      </c>
      <c r="I1460" s="2"/>
      <c r="J1460" s="463"/>
      <c r="K1460" s="552"/>
    </row>
    <row r="1461" spans="1:11" hidden="1">
      <c r="A1461" s="559"/>
      <c r="H1461" s="509" t="s">
        <v>3999</v>
      </c>
      <c r="I1461" s="2"/>
      <c r="J1461" s="463"/>
      <c r="K1461" s="552"/>
    </row>
    <row r="1462" spans="1:11" hidden="1">
      <c r="A1462" s="559"/>
      <c r="H1462" s="515" t="s">
        <v>442</v>
      </c>
      <c r="I1462" s="2"/>
      <c r="J1462" s="463"/>
      <c r="K1462" s="552"/>
    </row>
    <row r="1463" spans="1:11" hidden="1">
      <c r="A1463" s="559"/>
      <c r="F1463" s="519">
        <v>1.44</v>
      </c>
      <c r="G1463" s="518" t="s">
        <v>4000</v>
      </c>
      <c r="H1463" s="509" t="s">
        <v>4001</v>
      </c>
      <c r="I1463" s="492">
        <f>(C195)</f>
        <v>100</v>
      </c>
      <c r="J1463" s="500" t="s">
        <v>4000</v>
      </c>
      <c r="K1463" s="526">
        <f>(F1463*I1463)</f>
        <v>144</v>
      </c>
    </row>
    <row r="1464" spans="1:11" hidden="1">
      <c r="A1464" s="559"/>
      <c r="F1464" s="519">
        <v>0.7</v>
      </c>
      <c r="G1464" s="518" t="s">
        <v>2359</v>
      </c>
      <c r="H1464" s="509" t="s">
        <v>4002</v>
      </c>
      <c r="I1464" s="492">
        <f>(C14)</f>
        <v>120</v>
      </c>
      <c r="J1464" s="500" t="s">
        <v>2359</v>
      </c>
      <c r="K1464" s="526">
        <f>(F1464*I1464)</f>
        <v>84</v>
      </c>
    </row>
    <row r="1465" spans="1:11" hidden="1">
      <c r="A1465" s="559"/>
      <c r="F1465" s="519">
        <v>2.5499999999999998</v>
      </c>
      <c r="G1465" s="518" t="s">
        <v>4000</v>
      </c>
      <c r="H1465" s="509" t="s">
        <v>4003</v>
      </c>
      <c r="I1465" s="492">
        <f>(C194)</f>
        <v>160</v>
      </c>
      <c r="J1465" s="500" t="s">
        <v>4000</v>
      </c>
      <c r="K1465" s="526">
        <f>(F1465*I1465)</f>
        <v>408</v>
      </c>
    </row>
    <row r="1466" spans="1:11" hidden="1">
      <c r="A1466" s="559"/>
      <c r="F1466" s="519">
        <v>1.2</v>
      </c>
      <c r="G1466" s="518" t="s">
        <v>2359</v>
      </c>
      <c r="H1466" s="509" t="s">
        <v>4002</v>
      </c>
      <c r="I1466" s="492">
        <f>(C14)</f>
        <v>120</v>
      </c>
      <c r="J1466" s="500" t="s">
        <v>2359</v>
      </c>
      <c r="K1466" s="526">
        <f>(F1466*I1466)</f>
        <v>144</v>
      </c>
    </row>
    <row r="1467" spans="1:11" hidden="1">
      <c r="A1467" s="559"/>
      <c r="G1467" s="518" t="s">
        <v>2346</v>
      </c>
      <c r="H1467" s="509" t="s">
        <v>3893</v>
      </c>
      <c r="I1467" s="490" t="s">
        <v>30</v>
      </c>
      <c r="J1467" s="500" t="s">
        <v>2346</v>
      </c>
      <c r="K1467" s="526">
        <v>1.5</v>
      </c>
    </row>
    <row r="1468" spans="1:11" hidden="1">
      <c r="A1468" s="559"/>
      <c r="I1468" s="2"/>
      <c r="J1468" s="463"/>
      <c r="K1468" s="526" t="s">
        <v>442</v>
      </c>
    </row>
    <row r="1469" spans="1:11" hidden="1">
      <c r="A1469" s="559"/>
      <c r="H1469" s="509" t="s">
        <v>2358</v>
      </c>
      <c r="I1469" s="2"/>
      <c r="J1469" s="463"/>
      <c r="K1469" s="526">
        <f>SUM(K1463:K1467)</f>
        <v>781.5</v>
      </c>
    </row>
    <row r="1470" spans="1:11" hidden="1">
      <c r="A1470" s="559"/>
      <c r="I1470" s="2"/>
      <c r="J1470" s="463"/>
      <c r="K1470" s="526" t="s">
        <v>442</v>
      </c>
    </row>
    <row r="1471" spans="1:11" hidden="1">
      <c r="A1471" s="559"/>
      <c r="H1471" s="509" t="s">
        <v>2355</v>
      </c>
      <c r="I1471" s="2"/>
      <c r="J1471" s="463"/>
      <c r="K1471" s="526">
        <f>(K1469/10)</f>
        <v>78.150000000000006</v>
      </c>
    </row>
    <row r="1472" spans="1:11" hidden="1">
      <c r="A1472" s="559"/>
      <c r="F1472" s="509" t="s">
        <v>30</v>
      </c>
      <c r="I1472" s="2"/>
      <c r="J1472" s="463"/>
      <c r="K1472" s="552"/>
    </row>
    <row r="1473" spans="1:11" hidden="1">
      <c r="A1473" s="559"/>
      <c r="I1473" s="2"/>
      <c r="J1473" s="463"/>
      <c r="K1473" s="526" t="s">
        <v>29</v>
      </c>
    </row>
    <row r="1474" spans="1:11" hidden="1">
      <c r="A1474" s="559"/>
      <c r="F1474" s="524">
        <v>41</v>
      </c>
      <c r="G1474" s="518" t="s">
        <v>575</v>
      </c>
      <c r="H1474" s="509" t="s">
        <v>3997</v>
      </c>
      <c r="I1474" s="2"/>
      <c r="J1474" s="463"/>
      <c r="K1474" s="552"/>
    </row>
    <row r="1475" spans="1:11" hidden="1">
      <c r="A1475" s="559"/>
      <c r="H1475" s="509" t="s">
        <v>4004</v>
      </c>
      <c r="I1475" s="2"/>
      <c r="J1475" s="463"/>
      <c r="K1475" s="552"/>
    </row>
    <row r="1476" spans="1:11" hidden="1">
      <c r="A1476" s="559"/>
      <c r="H1476" s="509" t="s">
        <v>3999</v>
      </c>
      <c r="I1476" s="2"/>
      <c r="J1476" s="463"/>
      <c r="K1476" s="552"/>
    </row>
    <row r="1477" spans="1:11" hidden="1">
      <c r="A1477" s="559"/>
      <c r="H1477" s="515" t="s">
        <v>442</v>
      </c>
      <c r="I1477" s="2"/>
      <c r="J1477" s="463"/>
      <c r="K1477" s="552"/>
    </row>
    <row r="1478" spans="1:11" hidden="1">
      <c r="A1478" s="559"/>
      <c r="F1478" s="519">
        <v>2.2200000000000002</v>
      </c>
      <c r="G1478" s="518" t="s">
        <v>4000</v>
      </c>
      <c r="H1478" s="509" t="s">
        <v>4003</v>
      </c>
      <c r="I1478" s="492">
        <f>(C206)</f>
        <v>150</v>
      </c>
      <c r="J1478" s="500" t="s">
        <v>4000</v>
      </c>
      <c r="K1478" s="526">
        <f>(F1478*I1478)</f>
        <v>333.00000000000006</v>
      </c>
    </row>
    <row r="1479" spans="1:11" hidden="1">
      <c r="A1479" s="559"/>
      <c r="F1479" s="519">
        <v>1.1000000000000001</v>
      </c>
      <c r="G1479" s="518" t="s">
        <v>2359</v>
      </c>
      <c r="H1479" s="509" t="s">
        <v>4002</v>
      </c>
      <c r="I1479" s="492">
        <f>(C14)</f>
        <v>120</v>
      </c>
      <c r="J1479" s="500" t="s">
        <v>2359</v>
      </c>
      <c r="K1479" s="526">
        <f>(F1479*I1479)</f>
        <v>132</v>
      </c>
    </row>
    <row r="1480" spans="1:11" hidden="1">
      <c r="A1480" s="559"/>
      <c r="G1480" s="518" t="s">
        <v>2346</v>
      </c>
      <c r="H1480" s="509" t="s">
        <v>3893</v>
      </c>
      <c r="I1480" s="490" t="s">
        <v>30</v>
      </c>
      <c r="J1480" s="500" t="s">
        <v>2346</v>
      </c>
      <c r="K1480" s="526">
        <v>1.5</v>
      </c>
    </row>
    <row r="1481" spans="1:11" hidden="1">
      <c r="A1481" s="559"/>
      <c r="I1481" s="2"/>
      <c r="J1481" s="463"/>
      <c r="K1481" s="526" t="s">
        <v>442</v>
      </c>
    </row>
    <row r="1482" spans="1:11" hidden="1">
      <c r="A1482" s="559"/>
      <c r="H1482" s="509" t="s">
        <v>2358</v>
      </c>
      <c r="I1482" s="2"/>
      <c r="J1482" s="463"/>
      <c r="K1482" s="526">
        <f>SUM(K1478:K1480)</f>
        <v>466.50000000000006</v>
      </c>
    </row>
    <row r="1483" spans="1:11" hidden="1">
      <c r="A1483" s="559"/>
      <c r="I1483" s="2"/>
      <c r="J1483" s="463"/>
      <c r="K1483" s="526" t="s">
        <v>442</v>
      </c>
    </row>
    <row r="1484" spans="1:11" hidden="1">
      <c r="A1484" s="559"/>
      <c r="H1484" s="509" t="s">
        <v>2355</v>
      </c>
      <c r="I1484" s="2"/>
      <c r="J1484" s="463"/>
      <c r="K1484" s="526">
        <f>(K1482/10)</f>
        <v>46.650000000000006</v>
      </c>
    </row>
    <row r="1485" spans="1:11" hidden="1">
      <c r="A1485" s="559"/>
      <c r="H1485" s="509"/>
      <c r="I1485" s="2"/>
      <c r="J1485" s="463"/>
      <c r="K1485" s="526"/>
    </row>
    <row r="1486" spans="1:11" hidden="1">
      <c r="A1486" s="559"/>
      <c r="H1486" s="509"/>
      <c r="I1486" s="2"/>
      <c r="J1486" s="463"/>
      <c r="K1486" s="526"/>
    </row>
    <row r="1487" spans="1:11" hidden="1">
      <c r="A1487" s="559"/>
      <c r="F1487" s="524">
        <v>238</v>
      </c>
      <c r="G1487" s="518" t="s">
        <v>575</v>
      </c>
      <c r="H1487" s="509" t="s">
        <v>4005</v>
      </c>
      <c r="I1487" s="2"/>
      <c r="J1487" s="463"/>
      <c r="K1487" s="552"/>
    </row>
    <row r="1488" spans="1:11" hidden="1">
      <c r="A1488" s="559"/>
      <c r="H1488" s="509" t="s">
        <v>4006</v>
      </c>
      <c r="I1488" s="2"/>
      <c r="J1488" s="463"/>
      <c r="K1488" s="552"/>
    </row>
    <row r="1489" spans="1:11" hidden="1">
      <c r="A1489" s="559"/>
      <c r="H1489" s="515" t="s">
        <v>442</v>
      </c>
      <c r="I1489" s="2"/>
      <c r="J1489" s="463"/>
      <c r="K1489" s="552"/>
    </row>
    <row r="1490" spans="1:11" hidden="1">
      <c r="A1490" s="559"/>
      <c r="F1490" s="519">
        <v>20</v>
      </c>
      <c r="G1490" s="518" t="s">
        <v>4000</v>
      </c>
      <c r="H1490" s="509" t="s">
        <v>4007</v>
      </c>
      <c r="I1490" s="492">
        <f>D40</f>
        <v>105.45</v>
      </c>
      <c r="J1490" s="500" t="s">
        <v>4000</v>
      </c>
      <c r="K1490" s="526">
        <f>(F1490*I1490)</f>
        <v>2109</v>
      </c>
    </row>
    <row r="1491" spans="1:11" hidden="1">
      <c r="A1491" s="559"/>
      <c r="H1491" s="509" t="s">
        <v>4008</v>
      </c>
      <c r="I1491" s="2"/>
      <c r="J1491" s="463"/>
      <c r="K1491" s="526" t="s">
        <v>30</v>
      </c>
    </row>
    <row r="1492" spans="1:11" hidden="1">
      <c r="A1492" s="559"/>
      <c r="F1492" s="519">
        <v>50</v>
      </c>
      <c r="G1492" s="518" t="s">
        <v>40</v>
      </c>
      <c r="H1492" s="509" t="s">
        <v>2517</v>
      </c>
      <c r="I1492" s="492">
        <f>C67/1000</f>
        <v>3.8</v>
      </c>
      <c r="J1492" s="500" t="s">
        <v>40</v>
      </c>
      <c r="K1492" s="526">
        <f>(F1492*I1492)</f>
        <v>190</v>
      </c>
    </row>
    <row r="1493" spans="1:11" hidden="1">
      <c r="A1493" s="559"/>
      <c r="F1493" s="519">
        <v>1</v>
      </c>
      <c r="G1493" s="518" t="s">
        <v>2346</v>
      </c>
      <c r="H1493" s="509" t="s">
        <v>4009</v>
      </c>
      <c r="I1493" s="492">
        <v>75</v>
      </c>
      <c r="J1493" s="500" t="s">
        <v>2346</v>
      </c>
      <c r="K1493" s="526">
        <f>(F1493*I1493)</f>
        <v>75</v>
      </c>
    </row>
    <row r="1494" spans="1:11" hidden="1">
      <c r="A1494" s="559"/>
      <c r="F1494" s="519">
        <v>1</v>
      </c>
      <c r="G1494" s="518" t="s">
        <v>2346</v>
      </c>
      <c r="H1494" s="509" t="s">
        <v>4010</v>
      </c>
      <c r="I1494" s="492">
        <f>C38</f>
        <v>40</v>
      </c>
      <c r="J1494" s="500" t="s">
        <v>2346</v>
      </c>
      <c r="K1494" s="526">
        <f>(F1494*I1494)</f>
        <v>40</v>
      </c>
    </row>
    <row r="1495" spans="1:11" hidden="1">
      <c r="A1495" s="559"/>
      <c r="F1495" s="519">
        <v>2.5</v>
      </c>
      <c r="G1495" s="518" t="s">
        <v>2346</v>
      </c>
      <c r="H1495" s="509" t="s">
        <v>4011</v>
      </c>
      <c r="I1495" s="492">
        <f>D14</f>
        <v>110</v>
      </c>
      <c r="J1495" s="500" t="s">
        <v>2346</v>
      </c>
      <c r="K1495" s="526">
        <f>(F1495*I1495)</f>
        <v>275</v>
      </c>
    </row>
    <row r="1496" spans="1:11" hidden="1">
      <c r="A1496" s="559"/>
      <c r="G1496" s="518" t="s">
        <v>2346</v>
      </c>
      <c r="H1496" s="509" t="s">
        <v>4012</v>
      </c>
      <c r="I1496" s="2"/>
      <c r="J1496" s="500" t="s">
        <v>2346</v>
      </c>
      <c r="K1496" s="526">
        <v>1.5</v>
      </c>
    </row>
    <row r="1497" spans="1:11" hidden="1">
      <c r="A1497" s="559"/>
      <c r="I1497" s="2"/>
      <c r="J1497" s="463"/>
      <c r="K1497" s="526" t="s">
        <v>442</v>
      </c>
    </row>
    <row r="1498" spans="1:11" hidden="1">
      <c r="A1498" s="559"/>
      <c r="H1498" s="509" t="s">
        <v>4013</v>
      </c>
      <c r="I1498" s="2"/>
      <c r="J1498" s="463"/>
      <c r="K1498" s="526">
        <f>SUM(K1490:K1496)</f>
        <v>2690.5</v>
      </c>
    </row>
    <row r="1499" spans="1:11" hidden="1">
      <c r="A1499" s="559"/>
      <c r="H1499" s="509"/>
      <c r="I1499" s="2"/>
      <c r="J1499" s="463"/>
      <c r="K1499" s="526" t="s">
        <v>442</v>
      </c>
    </row>
    <row r="1500" spans="1:11" hidden="1">
      <c r="A1500" s="559"/>
      <c r="I1500" s="2"/>
      <c r="J1500" s="463"/>
      <c r="K1500" s="526"/>
    </row>
    <row r="1501" spans="1:11" hidden="1">
      <c r="A1501" s="559"/>
      <c r="F1501" s="510" t="s">
        <v>4014</v>
      </c>
      <c r="G1501" s="518" t="s">
        <v>575</v>
      </c>
      <c r="H1501" s="509" t="s">
        <v>2366</v>
      </c>
      <c r="I1501" s="2"/>
      <c r="J1501" s="463"/>
      <c r="K1501" s="552"/>
    </row>
    <row r="1502" spans="1:11" hidden="1">
      <c r="A1502" s="559"/>
      <c r="H1502" s="509" t="s">
        <v>4015</v>
      </c>
      <c r="I1502" s="2"/>
      <c r="J1502" s="463"/>
      <c r="K1502" s="552"/>
    </row>
    <row r="1503" spans="1:11" hidden="1">
      <c r="A1503" s="559"/>
      <c r="H1503" s="515" t="s">
        <v>442</v>
      </c>
      <c r="I1503" s="2"/>
      <c r="J1503" s="463"/>
      <c r="K1503" s="552"/>
    </row>
    <row r="1504" spans="1:11" hidden="1">
      <c r="A1504" s="559"/>
      <c r="F1504" s="519">
        <v>1</v>
      </c>
      <c r="G1504" s="518" t="s">
        <v>2368</v>
      </c>
      <c r="H1504" s="509" t="s">
        <v>2369</v>
      </c>
      <c r="I1504" s="492">
        <f>(C138)</f>
        <v>28000</v>
      </c>
      <c r="J1504" s="500" t="s">
        <v>22</v>
      </c>
      <c r="K1504" s="526">
        <f>(F1504*I1504)/10</f>
        <v>2800</v>
      </c>
    </row>
    <row r="1505" spans="1:15" hidden="1">
      <c r="A1505" s="559"/>
      <c r="F1505" s="528">
        <v>0.01</v>
      </c>
      <c r="G1505" s="518" t="s">
        <v>2368</v>
      </c>
      <c r="H1505" s="509" t="s">
        <v>2370</v>
      </c>
      <c r="I1505" s="492">
        <f>(C142)</f>
        <v>30000</v>
      </c>
      <c r="J1505" s="500" t="s">
        <v>22</v>
      </c>
      <c r="K1505" s="526">
        <f>(F1505*I1505)/10</f>
        <v>30</v>
      </c>
    </row>
    <row r="1506" spans="1:15" hidden="1">
      <c r="A1506" s="559"/>
      <c r="F1506" s="528">
        <v>3.5</v>
      </c>
      <c r="G1506" s="518" t="s">
        <v>2359</v>
      </c>
      <c r="H1506" s="509" t="s">
        <v>2371</v>
      </c>
      <c r="I1506" s="492">
        <f>(C17)</f>
        <v>130</v>
      </c>
      <c r="J1506" s="500" t="s">
        <v>556</v>
      </c>
      <c r="K1506" s="526">
        <f>(F1506*I1506)</f>
        <v>455</v>
      </c>
      <c r="O1506" s="511">
        <f>92+18.4</f>
        <v>110.4</v>
      </c>
    </row>
    <row r="1507" spans="1:15" hidden="1">
      <c r="A1507" s="559"/>
      <c r="F1507" s="519">
        <v>1.3</v>
      </c>
      <c r="G1507" s="518" t="s">
        <v>40</v>
      </c>
      <c r="H1507" s="509" t="s">
        <v>4016</v>
      </c>
      <c r="I1507" s="492">
        <f>C67/1000</f>
        <v>3.8</v>
      </c>
      <c r="J1507" s="500" t="s">
        <v>40</v>
      </c>
      <c r="K1507" s="526">
        <f>(F1507*I1507)</f>
        <v>4.9399999999999995</v>
      </c>
      <c r="O1507" s="511">
        <f>95+19</f>
        <v>114</v>
      </c>
    </row>
    <row r="1508" spans="1:15" hidden="1">
      <c r="A1508" s="559"/>
      <c r="F1508" s="519">
        <v>0.25</v>
      </c>
      <c r="G1508" s="518" t="s">
        <v>2359</v>
      </c>
      <c r="H1508" s="509" t="s">
        <v>4017</v>
      </c>
      <c r="I1508" s="492">
        <f>D14</f>
        <v>110</v>
      </c>
      <c r="J1508" s="500" t="s">
        <v>556</v>
      </c>
      <c r="K1508" s="526">
        <f>(F1508*I1508)</f>
        <v>27.5</v>
      </c>
    </row>
    <row r="1509" spans="1:15" hidden="1">
      <c r="A1509" s="559"/>
      <c r="F1509" s="528"/>
      <c r="G1509" s="518" t="s">
        <v>2346</v>
      </c>
      <c r="H1509" s="509" t="s">
        <v>2347</v>
      </c>
      <c r="I1509" s="2"/>
      <c r="J1509" s="500" t="s">
        <v>2346</v>
      </c>
      <c r="K1509" s="526">
        <f>(F1509*I1509)</f>
        <v>0</v>
      </c>
    </row>
    <row r="1510" spans="1:15" hidden="1">
      <c r="A1510" s="559"/>
      <c r="F1510" s="528"/>
      <c r="I1510" s="2"/>
      <c r="J1510" s="463"/>
      <c r="K1510" s="526" t="s">
        <v>442</v>
      </c>
    </row>
    <row r="1511" spans="1:15" hidden="1">
      <c r="A1511" s="559"/>
      <c r="F1511" s="528"/>
      <c r="H1511" s="509" t="s">
        <v>4018</v>
      </c>
      <c r="I1511" s="2"/>
      <c r="J1511" s="463"/>
      <c r="K1511" s="526">
        <f>SUM(K1504:K1509)</f>
        <v>3317.44</v>
      </c>
    </row>
    <row r="1512" spans="1:15" hidden="1">
      <c r="A1512" s="559"/>
      <c r="F1512" s="528"/>
      <c r="I1512" s="2"/>
      <c r="J1512" s="463"/>
      <c r="K1512" s="526" t="s">
        <v>442</v>
      </c>
    </row>
    <row r="1513" spans="1:15" hidden="1">
      <c r="A1513" s="559"/>
      <c r="F1513" s="528"/>
      <c r="H1513" s="509" t="s">
        <v>2363</v>
      </c>
      <c r="I1513" s="2"/>
      <c r="J1513" s="463"/>
      <c r="K1513" s="526">
        <f>(K1511*10)</f>
        <v>33174.400000000001</v>
      </c>
    </row>
    <row r="1514" spans="1:15" hidden="1">
      <c r="A1514" s="559"/>
      <c r="F1514" s="528"/>
      <c r="I1514" s="2"/>
      <c r="J1514" s="463"/>
      <c r="K1514" s="526" t="s">
        <v>29</v>
      </c>
    </row>
    <row r="1515" spans="1:15" hidden="1">
      <c r="A1515" s="559"/>
      <c r="F1515" s="528"/>
      <c r="I1515" s="2"/>
      <c r="J1515" s="463"/>
      <c r="K1515" s="526"/>
    </row>
    <row r="1516" spans="1:15" hidden="1">
      <c r="A1516" s="559"/>
      <c r="F1516" s="528"/>
      <c r="H1516" s="568" t="s">
        <v>4019</v>
      </c>
      <c r="I1516" s="2"/>
      <c r="J1516" s="463"/>
      <c r="K1516" s="526"/>
    </row>
    <row r="1517" spans="1:15" hidden="1">
      <c r="A1517" s="559"/>
      <c r="F1517" s="519">
        <v>1</v>
      </c>
      <c r="G1517" s="518" t="s">
        <v>2368</v>
      </c>
      <c r="H1517" s="509" t="s">
        <v>4020</v>
      </c>
      <c r="I1517" s="2">
        <f>C137</f>
        <v>26500</v>
      </c>
      <c r="J1517" s="500" t="s">
        <v>22</v>
      </c>
      <c r="K1517" s="526">
        <f>(F1517*I1517)/10</f>
        <v>2650</v>
      </c>
    </row>
    <row r="1518" spans="1:15" hidden="1">
      <c r="A1518" s="559"/>
      <c r="F1518" s="528">
        <v>0.01</v>
      </c>
      <c r="G1518" s="518" t="s">
        <v>2368</v>
      </c>
      <c r="H1518" s="509" t="s">
        <v>2370</v>
      </c>
      <c r="I1518" s="2">
        <f>C142</f>
        <v>30000</v>
      </c>
      <c r="J1518" s="500" t="s">
        <v>22</v>
      </c>
      <c r="K1518" s="526">
        <f>(F1518*I1518)/10</f>
        <v>30</v>
      </c>
    </row>
    <row r="1519" spans="1:15" hidden="1">
      <c r="A1519" s="559"/>
      <c r="F1519" s="528">
        <v>3.5</v>
      </c>
      <c r="G1519" s="518" t="s">
        <v>2359</v>
      </c>
      <c r="H1519" s="509" t="s">
        <v>2371</v>
      </c>
      <c r="I1519" s="2">
        <f>C17</f>
        <v>130</v>
      </c>
      <c r="J1519" s="500" t="s">
        <v>556</v>
      </c>
      <c r="K1519" s="526">
        <f>(F1519*I1519)</f>
        <v>455</v>
      </c>
    </row>
    <row r="1520" spans="1:15" hidden="1">
      <c r="A1520" s="559"/>
      <c r="F1520" s="519">
        <v>1.3</v>
      </c>
      <c r="G1520" s="518" t="s">
        <v>40</v>
      </c>
      <c r="H1520" s="509" t="s">
        <v>4016</v>
      </c>
      <c r="I1520" s="2">
        <f>C67/1000</f>
        <v>3.8</v>
      </c>
      <c r="J1520" s="500" t="s">
        <v>40</v>
      </c>
      <c r="K1520" s="526">
        <f>(F1520*I1520)</f>
        <v>4.9399999999999995</v>
      </c>
    </row>
    <row r="1521" spans="1:11" hidden="1">
      <c r="A1521" s="559"/>
      <c r="F1521" s="519">
        <v>0.25</v>
      </c>
      <c r="G1521" s="518" t="s">
        <v>2359</v>
      </c>
      <c r="H1521" s="509" t="s">
        <v>4017</v>
      </c>
      <c r="I1521" s="2">
        <f>D14</f>
        <v>110</v>
      </c>
      <c r="J1521" s="500" t="s">
        <v>556</v>
      </c>
      <c r="K1521" s="526">
        <f>(F1521*I1521)</f>
        <v>27.5</v>
      </c>
    </row>
    <row r="1522" spans="1:11" hidden="1">
      <c r="A1522" s="559"/>
      <c r="F1522" s="528"/>
      <c r="G1522" s="518" t="s">
        <v>2346</v>
      </c>
      <c r="H1522" s="509" t="s">
        <v>2347</v>
      </c>
      <c r="I1522" s="2"/>
      <c r="J1522" s="500" t="s">
        <v>2346</v>
      </c>
      <c r="K1522" s="526">
        <f>(F1522*I1522)</f>
        <v>0</v>
      </c>
    </row>
    <row r="1523" spans="1:11" hidden="1">
      <c r="A1523" s="559"/>
      <c r="F1523" s="528"/>
      <c r="I1523" s="2"/>
      <c r="J1523" s="463"/>
      <c r="K1523" s="526" t="s">
        <v>442</v>
      </c>
    </row>
    <row r="1524" spans="1:11" hidden="1">
      <c r="A1524" s="559"/>
      <c r="F1524" s="528"/>
      <c r="H1524" s="509" t="s">
        <v>4018</v>
      </c>
      <c r="I1524" s="2"/>
      <c r="J1524" s="463"/>
      <c r="K1524" s="526">
        <f>SUM(K1517:K1522)</f>
        <v>3167.44</v>
      </c>
    </row>
    <row r="1525" spans="1:11" hidden="1">
      <c r="A1525" s="559"/>
      <c r="F1525" s="528"/>
      <c r="I1525" s="2"/>
      <c r="J1525" s="463"/>
      <c r="K1525" s="526" t="s">
        <v>442</v>
      </c>
    </row>
    <row r="1526" spans="1:11" hidden="1">
      <c r="A1526" s="559"/>
      <c r="F1526" s="528"/>
      <c r="H1526" s="509" t="s">
        <v>2363</v>
      </c>
      <c r="I1526" s="2"/>
      <c r="J1526" s="463"/>
      <c r="K1526" s="526">
        <f>(K1524*10)</f>
        <v>31674.400000000001</v>
      </c>
    </row>
    <row r="1527" spans="1:11" hidden="1">
      <c r="A1527" s="559"/>
      <c r="F1527" s="528"/>
      <c r="I1527" s="2"/>
      <c r="J1527" s="463"/>
      <c r="K1527" s="526" t="s">
        <v>29</v>
      </c>
    </row>
    <row r="1528" spans="1:11" hidden="1">
      <c r="A1528" s="559"/>
      <c r="F1528" s="528"/>
      <c r="H1528" s="509" t="s">
        <v>30</v>
      </c>
      <c r="I1528" s="2"/>
      <c r="J1528" s="463"/>
      <c r="K1528" s="526" t="s">
        <v>30</v>
      </c>
    </row>
    <row r="1529" spans="1:11" hidden="1">
      <c r="A1529" s="559"/>
      <c r="F1529" s="569" t="s">
        <v>2364</v>
      </c>
      <c r="G1529" s="518" t="s">
        <v>2365</v>
      </c>
      <c r="H1529" s="509" t="s">
        <v>2366</v>
      </c>
      <c r="I1529" s="2"/>
      <c r="J1529" s="463"/>
      <c r="K1529" s="552"/>
    </row>
    <row r="1530" spans="1:11" hidden="1">
      <c r="A1530" s="559"/>
      <c r="F1530" s="528"/>
      <c r="H1530" s="509" t="s">
        <v>2367</v>
      </c>
      <c r="I1530" s="2"/>
      <c r="J1530" s="463"/>
      <c r="K1530" s="552"/>
    </row>
    <row r="1531" spans="1:11" hidden="1">
      <c r="A1531" s="559"/>
      <c r="F1531" s="528"/>
      <c r="H1531" s="515" t="s">
        <v>442</v>
      </c>
      <c r="I1531" s="2"/>
      <c r="J1531" s="463"/>
      <c r="K1531" s="552"/>
    </row>
    <row r="1532" spans="1:11" hidden="1">
      <c r="A1532" s="559"/>
      <c r="F1532" s="519">
        <v>1</v>
      </c>
      <c r="G1532" s="518" t="s">
        <v>2368</v>
      </c>
      <c r="H1532" s="509" t="s">
        <v>2369</v>
      </c>
      <c r="I1532" s="492">
        <f>(C138)</f>
        <v>28000</v>
      </c>
      <c r="J1532" s="500" t="s">
        <v>22</v>
      </c>
      <c r="K1532" s="526">
        <f>(F1532*I1532)/10</f>
        <v>2800</v>
      </c>
    </row>
    <row r="1533" spans="1:11" hidden="1">
      <c r="A1533" s="559"/>
      <c r="F1533" s="528">
        <v>0.01</v>
      </c>
      <c r="G1533" s="518" t="s">
        <v>2368</v>
      </c>
      <c r="H1533" s="509" t="s">
        <v>2370</v>
      </c>
      <c r="I1533" s="492">
        <f>(C142)</f>
        <v>30000</v>
      </c>
      <c r="J1533" s="500" t="s">
        <v>22</v>
      </c>
      <c r="K1533" s="526">
        <f>(F1533*I1533)/10</f>
        <v>30</v>
      </c>
    </row>
    <row r="1534" spans="1:11" hidden="1">
      <c r="A1534" s="559"/>
      <c r="F1534" s="528">
        <v>3.5</v>
      </c>
      <c r="G1534" s="518" t="s">
        <v>2359</v>
      </c>
      <c r="H1534" s="509" t="s">
        <v>2371</v>
      </c>
      <c r="I1534" s="492">
        <f>(C17)</f>
        <v>130</v>
      </c>
      <c r="J1534" s="500" t="s">
        <v>2359</v>
      </c>
      <c r="K1534" s="526">
        <f>(F1534*I1534)</f>
        <v>455</v>
      </c>
    </row>
    <row r="1535" spans="1:11" hidden="1">
      <c r="A1535" s="559"/>
      <c r="F1535" s="528"/>
      <c r="G1535" s="518" t="s">
        <v>2346</v>
      </c>
      <c r="H1535" s="509" t="s">
        <v>2347</v>
      </c>
      <c r="I1535" s="2"/>
      <c r="J1535" s="500" t="s">
        <v>2346</v>
      </c>
      <c r="K1535" s="526">
        <v>0</v>
      </c>
    </row>
    <row r="1536" spans="1:11" hidden="1">
      <c r="A1536" s="559"/>
      <c r="I1536" s="2"/>
      <c r="J1536" s="463"/>
      <c r="K1536" s="526" t="s">
        <v>442</v>
      </c>
    </row>
    <row r="1537" spans="1:11" hidden="1">
      <c r="A1537" s="559"/>
      <c r="H1537" s="509" t="s">
        <v>4018</v>
      </c>
      <c r="I1537" s="2"/>
      <c r="J1537" s="463"/>
      <c r="K1537" s="526">
        <f>SUM(K1532:K1535)</f>
        <v>3285</v>
      </c>
    </row>
    <row r="1538" spans="1:11" hidden="1">
      <c r="A1538" s="559"/>
      <c r="I1538" s="2"/>
      <c r="J1538" s="463"/>
      <c r="K1538" s="526" t="s">
        <v>442</v>
      </c>
    </row>
    <row r="1539" spans="1:11" hidden="1">
      <c r="A1539" s="559"/>
      <c r="H1539" s="509" t="s">
        <v>2363</v>
      </c>
      <c r="I1539" s="2"/>
      <c r="J1539" s="463"/>
      <c r="K1539" s="526">
        <f>(K1537*10)</f>
        <v>32850</v>
      </c>
    </row>
    <row r="1540" spans="1:11" hidden="1">
      <c r="A1540" s="559"/>
      <c r="H1540" s="509" t="s">
        <v>30</v>
      </c>
      <c r="I1540" s="2"/>
      <c r="J1540" s="463"/>
      <c r="K1540" s="526" t="s">
        <v>30</v>
      </c>
    </row>
    <row r="1541" spans="1:11" hidden="1">
      <c r="A1541" s="559"/>
      <c r="G1541" s="512" t="s">
        <v>3335</v>
      </c>
      <c r="H1541" s="509" t="s">
        <v>2366</v>
      </c>
      <c r="I1541" s="2"/>
      <c r="J1541" s="463"/>
      <c r="K1541" s="526"/>
    </row>
    <row r="1542" spans="1:11" hidden="1">
      <c r="A1542" s="559"/>
      <c r="H1542" s="509" t="s">
        <v>4021</v>
      </c>
      <c r="I1542" s="2"/>
      <c r="J1542" s="463"/>
      <c r="K1542" s="526"/>
    </row>
    <row r="1543" spans="1:11" hidden="1">
      <c r="A1543" s="559"/>
      <c r="F1543" s="528"/>
      <c r="H1543" s="515" t="s">
        <v>442</v>
      </c>
      <c r="I1543" s="2"/>
      <c r="J1543" s="463"/>
      <c r="K1543" s="526"/>
    </row>
    <row r="1544" spans="1:11" hidden="1">
      <c r="A1544" s="559"/>
      <c r="F1544" s="519">
        <v>1</v>
      </c>
      <c r="G1544" s="518" t="s">
        <v>2368</v>
      </c>
      <c r="H1544" s="509" t="s">
        <v>4020</v>
      </c>
      <c r="I1544" s="2">
        <f>C137</f>
        <v>26500</v>
      </c>
      <c r="J1544" s="500" t="s">
        <v>22</v>
      </c>
      <c r="K1544" s="526">
        <f>(F1544*I1544)/10</f>
        <v>2650</v>
      </c>
    </row>
    <row r="1545" spans="1:11" hidden="1">
      <c r="A1545" s="559"/>
      <c r="F1545" s="528">
        <v>0.01</v>
      </c>
      <c r="G1545" s="518" t="s">
        <v>2368</v>
      </c>
      <c r="H1545" s="509" t="s">
        <v>2370</v>
      </c>
      <c r="I1545" s="2">
        <f>C142</f>
        <v>30000</v>
      </c>
      <c r="J1545" s="500" t="s">
        <v>22</v>
      </c>
      <c r="K1545" s="526">
        <f>(F1545*I1545)/10</f>
        <v>30</v>
      </c>
    </row>
    <row r="1546" spans="1:11" hidden="1">
      <c r="A1546" s="559"/>
      <c r="F1546" s="528">
        <v>3.5</v>
      </c>
      <c r="G1546" s="518" t="s">
        <v>2359</v>
      </c>
      <c r="H1546" s="509" t="s">
        <v>2371</v>
      </c>
      <c r="I1546" s="2">
        <f>C17</f>
        <v>130</v>
      </c>
      <c r="J1546" s="500" t="s">
        <v>2359</v>
      </c>
      <c r="K1546" s="526">
        <f>(F1546*I1546)</f>
        <v>455</v>
      </c>
    </row>
    <row r="1547" spans="1:11" hidden="1">
      <c r="A1547" s="559"/>
      <c r="F1547" s="528"/>
      <c r="G1547" s="518" t="s">
        <v>2346</v>
      </c>
      <c r="H1547" s="509" t="s">
        <v>2347</v>
      </c>
      <c r="I1547" s="2"/>
      <c r="J1547" s="500" t="s">
        <v>2346</v>
      </c>
      <c r="K1547" s="526">
        <v>0</v>
      </c>
    </row>
    <row r="1548" spans="1:11" hidden="1">
      <c r="A1548" s="559"/>
      <c r="I1548" s="2"/>
      <c r="J1548" s="463"/>
      <c r="K1548" s="526" t="s">
        <v>442</v>
      </c>
    </row>
    <row r="1549" spans="1:11" hidden="1">
      <c r="A1549" s="559"/>
      <c r="H1549" s="509" t="s">
        <v>4018</v>
      </c>
      <c r="I1549" s="2"/>
      <c r="J1549" s="463"/>
      <c r="K1549" s="526">
        <f>SUM(K1544:K1547)</f>
        <v>3135</v>
      </c>
    </row>
    <row r="1550" spans="1:11" hidden="1">
      <c r="A1550" s="559"/>
      <c r="I1550" s="2"/>
      <c r="J1550" s="463"/>
      <c r="K1550" s="526" t="s">
        <v>442</v>
      </c>
    </row>
    <row r="1551" spans="1:11" hidden="1">
      <c r="A1551" s="559"/>
      <c r="H1551" s="509" t="s">
        <v>2363</v>
      </c>
      <c r="I1551" s="2"/>
      <c r="J1551" s="463"/>
      <c r="K1551" s="526">
        <f>(K1549*10)</f>
        <v>31350</v>
      </c>
    </row>
    <row r="1552" spans="1:11" hidden="1">
      <c r="A1552" s="559"/>
      <c r="H1552" s="509" t="s">
        <v>30</v>
      </c>
      <c r="I1552" s="2"/>
      <c r="J1552" s="463"/>
      <c r="K1552" s="552"/>
    </row>
    <row r="1553" spans="1:11" hidden="1">
      <c r="A1553" s="559"/>
      <c r="F1553" s="529">
        <v>44.1</v>
      </c>
      <c r="G1553" s="518" t="s">
        <v>575</v>
      </c>
      <c r="H1553" s="509" t="s">
        <v>4022</v>
      </c>
      <c r="I1553" s="2"/>
      <c r="J1553" s="463"/>
      <c r="K1553" s="552"/>
    </row>
    <row r="1554" spans="1:11" hidden="1">
      <c r="A1554" s="559"/>
      <c r="H1554" s="509" t="s">
        <v>4023</v>
      </c>
      <c r="I1554" s="2"/>
      <c r="J1554" s="463"/>
      <c r="K1554" s="552"/>
    </row>
    <row r="1555" spans="1:11" hidden="1">
      <c r="A1555" s="559"/>
      <c r="H1555" s="509" t="s">
        <v>4024</v>
      </c>
      <c r="I1555" s="2"/>
      <c r="J1555" s="463"/>
      <c r="K1555" s="552"/>
    </row>
    <row r="1556" spans="1:11" hidden="1">
      <c r="A1556" s="559"/>
      <c r="H1556" s="515" t="s">
        <v>442</v>
      </c>
      <c r="I1556" s="2"/>
      <c r="J1556" s="463"/>
      <c r="K1556" s="552"/>
    </row>
    <row r="1557" spans="1:11" hidden="1">
      <c r="A1557" s="559"/>
      <c r="F1557" s="519">
        <v>3</v>
      </c>
      <c r="G1557" s="518" t="s">
        <v>2205</v>
      </c>
      <c r="H1557" s="509" t="s">
        <v>4025</v>
      </c>
      <c r="I1557" s="492">
        <f>(C598)</f>
        <v>120</v>
      </c>
      <c r="J1557" s="500" t="s">
        <v>2205</v>
      </c>
      <c r="K1557" s="526">
        <f t="shared" ref="K1557:K1562" si="56">(F1557*I1557)</f>
        <v>360</v>
      </c>
    </row>
    <row r="1558" spans="1:11" hidden="1">
      <c r="A1558" s="559"/>
      <c r="F1558" s="519">
        <v>1</v>
      </c>
      <c r="G1558" s="518" t="s">
        <v>2342</v>
      </c>
      <c r="H1558" s="509" t="s">
        <v>4026</v>
      </c>
      <c r="I1558" s="492">
        <f>(C601)</f>
        <v>65</v>
      </c>
      <c r="J1558" s="500" t="s">
        <v>2342</v>
      </c>
      <c r="K1558" s="526">
        <f t="shared" si="56"/>
        <v>65</v>
      </c>
    </row>
    <row r="1559" spans="1:11" hidden="1">
      <c r="A1559" s="559"/>
      <c r="F1559" s="519">
        <v>1</v>
      </c>
      <c r="G1559" s="518" t="s">
        <v>2342</v>
      </c>
      <c r="H1559" s="509" t="s">
        <v>4027</v>
      </c>
      <c r="I1559" s="492">
        <f>(C604)</f>
        <v>45</v>
      </c>
      <c r="J1559" s="500" t="s">
        <v>2342</v>
      </c>
      <c r="K1559" s="526">
        <f t="shared" si="56"/>
        <v>45</v>
      </c>
    </row>
    <row r="1560" spans="1:11" hidden="1">
      <c r="A1560" s="559"/>
      <c r="F1560" s="519">
        <v>2</v>
      </c>
      <c r="G1560" s="518" t="s">
        <v>2342</v>
      </c>
      <c r="H1560" s="509" t="s">
        <v>4028</v>
      </c>
      <c r="I1560" s="492">
        <f>C575</f>
        <v>16.440000000000001</v>
      </c>
      <c r="J1560" s="500" t="s">
        <v>2342</v>
      </c>
      <c r="K1560" s="526">
        <f t="shared" si="56"/>
        <v>32.880000000000003</v>
      </c>
    </row>
    <row r="1561" spans="1:11" hidden="1">
      <c r="A1561" s="559"/>
      <c r="F1561" s="519">
        <v>1</v>
      </c>
      <c r="G1561" s="518" t="s">
        <v>2342</v>
      </c>
      <c r="H1561" s="509" t="s">
        <v>4029</v>
      </c>
      <c r="I1561" s="492">
        <f>(C666)</f>
        <v>18</v>
      </c>
      <c r="J1561" s="500" t="s">
        <v>2342</v>
      </c>
      <c r="K1561" s="526">
        <f t="shared" si="56"/>
        <v>18</v>
      </c>
    </row>
    <row r="1562" spans="1:11" hidden="1">
      <c r="A1562" s="559"/>
      <c r="F1562" s="519">
        <v>0.5</v>
      </c>
      <c r="G1562" s="518" t="s">
        <v>2342</v>
      </c>
      <c r="H1562" s="509" t="s">
        <v>4030</v>
      </c>
      <c r="I1562" s="492">
        <f>(C15)</f>
        <v>130</v>
      </c>
      <c r="J1562" s="500" t="s">
        <v>2342</v>
      </c>
      <c r="K1562" s="526">
        <f t="shared" si="56"/>
        <v>65</v>
      </c>
    </row>
    <row r="1563" spans="1:11" hidden="1">
      <c r="A1563" s="559"/>
      <c r="G1563" s="518" t="s">
        <v>2346</v>
      </c>
      <c r="H1563" s="509" t="s">
        <v>4031</v>
      </c>
      <c r="I1563" s="2"/>
      <c r="J1563" s="500" t="s">
        <v>2346</v>
      </c>
      <c r="K1563" s="526">
        <v>0.75</v>
      </c>
    </row>
    <row r="1564" spans="1:11" hidden="1">
      <c r="A1564" s="559"/>
      <c r="H1564" s="509" t="s">
        <v>4032</v>
      </c>
      <c r="I1564" s="2"/>
      <c r="J1564" s="463"/>
      <c r="K1564" s="552"/>
    </row>
    <row r="1565" spans="1:11" hidden="1">
      <c r="A1565" s="559"/>
      <c r="I1565" s="2"/>
      <c r="J1565" s="463"/>
      <c r="K1565" s="526" t="s">
        <v>442</v>
      </c>
    </row>
    <row r="1566" spans="1:11" hidden="1">
      <c r="A1566" s="559"/>
      <c r="H1566" s="509" t="s">
        <v>4033</v>
      </c>
      <c r="I1566" s="2"/>
      <c r="J1566" s="463"/>
      <c r="K1566" s="526">
        <f>SUM(K1557:K1563)</f>
        <v>586.63</v>
      </c>
    </row>
    <row r="1567" spans="1:11" hidden="1">
      <c r="A1567" s="559"/>
      <c r="F1567" s="509" t="s">
        <v>30</v>
      </c>
      <c r="I1567" s="2"/>
      <c r="J1567" s="463"/>
      <c r="K1567" s="552"/>
    </row>
    <row r="1568" spans="1:11" hidden="1">
      <c r="A1568" s="559"/>
      <c r="I1568" s="2"/>
      <c r="J1568" s="463"/>
      <c r="K1568" s="526" t="s">
        <v>442</v>
      </c>
    </row>
    <row r="1569" spans="1:11" hidden="1">
      <c r="A1569" s="559"/>
      <c r="H1569" s="509" t="s">
        <v>2990</v>
      </c>
      <c r="I1569" s="2"/>
      <c r="J1569" s="463"/>
      <c r="K1569" s="526">
        <f>(K1566/3)</f>
        <v>195.54333333333332</v>
      </c>
    </row>
    <row r="1570" spans="1:11" hidden="1">
      <c r="A1570" s="559"/>
      <c r="H1570" s="509"/>
      <c r="I1570" s="2"/>
      <c r="J1570" s="463"/>
      <c r="K1570" s="526" t="s">
        <v>29</v>
      </c>
    </row>
    <row r="1571" spans="1:11" hidden="1">
      <c r="A1571" s="559"/>
      <c r="F1571" s="510" t="s">
        <v>4034</v>
      </c>
      <c r="H1571" s="509" t="s">
        <v>4035</v>
      </c>
      <c r="I1571" s="2"/>
      <c r="J1571" s="463"/>
      <c r="K1571" s="552"/>
    </row>
    <row r="1572" spans="1:11" hidden="1">
      <c r="A1572" s="559"/>
      <c r="H1572" s="509" t="s">
        <v>4036</v>
      </c>
      <c r="I1572" s="2"/>
      <c r="J1572" s="463"/>
      <c r="K1572" s="552"/>
    </row>
    <row r="1573" spans="1:11" hidden="1">
      <c r="A1573" s="559"/>
      <c r="H1573" s="509" t="s">
        <v>4037</v>
      </c>
      <c r="I1573" s="2"/>
      <c r="J1573" s="463"/>
      <c r="K1573" s="552"/>
    </row>
    <row r="1574" spans="1:11" hidden="1">
      <c r="A1574" s="559"/>
      <c r="H1574" s="515" t="s">
        <v>442</v>
      </c>
      <c r="I1574" s="2"/>
      <c r="J1574" s="463"/>
      <c r="K1574" s="552"/>
    </row>
    <row r="1575" spans="1:11" hidden="1">
      <c r="A1575" s="559"/>
      <c r="F1575" s="519">
        <v>0.15</v>
      </c>
      <c r="G1575" s="518" t="s">
        <v>2334</v>
      </c>
      <c r="H1575" s="509" t="s">
        <v>4038</v>
      </c>
      <c r="I1575" s="492" t="e">
        <f>(C70)</f>
        <v>#REF!</v>
      </c>
      <c r="J1575" s="500" t="s">
        <v>2334</v>
      </c>
      <c r="K1575" s="526" t="e">
        <f>(F1575*I1575)</f>
        <v>#REF!</v>
      </c>
    </row>
    <row r="1576" spans="1:11" hidden="1">
      <c r="A1576" s="559"/>
      <c r="F1576" s="542">
        <v>8.6499999999999994E-2</v>
      </c>
      <c r="G1576" s="518" t="s">
        <v>2516</v>
      </c>
      <c r="H1576" s="509" t="s">
        <v>2517</v>
      </c>
      <c r="I1576" s="492">
        <f>(C67)</f>
        <v>3800</v>
      </c>
      <c r="J1576" s="500" t="s">
        <v>2516</v>
      </c>
      <c r="K1576" s="526">
        <f>(F1576*I1576)</f>
        <v>328.7</v>
      </c>
    </row>
    <row r="1577" spans="1:11" hidden="1">
      <c r="A1577" s="559"/>
      <c r="F1577" s="519">
        <v>1.6</v>
      </c>
      <c r="G1577" s="518" t="s">
        <v>2359</v>
      </c>
      <c r="H1577" s="509" t="s">
        <v>2353</v>
      </c>
      <c r="I1577" s="492">
        <f>(C10)</f>
        <v>150</v>
      </c>
      <c r="J1577" s="500" t="s">
        <v>2359</v>
      </c>
      <c r="K1577" s="526">
        <f>(F1577*I1577)</f>
        <v>240</v>
      </c>
    </row>
    <row r="1578" spans="1:11" hidden="1">
      <c r="A1578" s="559"/>
      <c r="F1578" s="519">
        <v>0.5</v>
      </c>
      <c r="G1578" s="518" t="s">
        <v>2359</v>
      </c>
      <c r="H1578" s="509" t="s">
        <v>2344</v>
      </c>
      <c r="I1578" s="492">
        <f>(C12)</f>
        <v>95</v>
      </c>
      <c r="J1578" s="500" t="s">
        <v>2359</v>
      </c>
      <c r="K1578" s="526">
        <f>(F1578*I1578)</f>
        <v>47.5</v>
      </c>
    </row>
    <row r="1579" spans="1:11" hidden="1">
      <c r="A1579" s="559"/>
      <c r="F1579" s="519">
        <v>1.1000000000000001</v>
      </c>
      <c r="G1579" s="518" t="s">
        <v>2359</v>
      </c>
      <c r="H1579" s="509" t="s">
        <v>2345</v>
      </c>
      <c r="I1579" s="492">
        <f>(C13)</f>
        <v>85</v>
      </c>
      <c r="J1579" s="500" t="s">
        <v>2359</v>
      </c>
      <c r="K1579" s="526">
        <f>(F1579*I1579)</f>
        <v>93.500000000000014</v>
      </c>
    </row>
    <row r="1580" spans="1:11" hidden="1">
      <c r="A1580" s="559"/>
      <c r="G1580" s="518" t="s">
        <v>2346</v>
      </c>
      <c r="H1580" s="509" t="s">
        <v>2347</v>
      </c>
      <c r="I1580" s="490" t="s">
        <v>30</v>
      </c>
      <c r="J1580" s="500" t="s">
        <v>2346</v>
      </c>
      <c r="K1580" s="526">
        <v>0</v>
      </c>
    </row>
    <row r="1581" spans="1:11" hidden="1">
      <c r="A1581" s="559"/>
      <c r="I1581" s="2"/>
      <c r="J1581" s="463"/>
      <c r="K1581" s="526" t="s">
        <v>442</v>
      </c>
    </row>
    <row r="1582" spans="1:11" hidden="1">
      <c r="A1582" s="559"/>
      <c r="H1582" s="509" t="s">
        <v>2358</v>
      </c>
      <c r="I1582" s="2"/>
      <c r="J1582" s="463"/>
      <c r="K1582" s="526" t="e">
        <f>SUM(K1575:K1580)</f>
        <v>#REF!</v>
      </c>
    </row>
    <row r="1583" spans="1:11" hidden="1">
      <c r="A1583" s="559"/>
      <c r="I1583" s="2"/>
      <c r="J1583" s="463"/>
      <c r="K1583" s="526" t="s">
        <v>442</v>
      </c>
    </row>
    <row r="1584" spans="1:11" hidden="1">
      <c r="A1584" s="559"/>
      <c r="H1584" s="509" t="s">
        <v>2355</v>
      </c>
      <c r="I1584" s="2"/>
      <c r="J1584" s="463"/>
      <c r="K1584" s="526" t="e">
        <f>(K1582/10)</f>
        <v>#REF!</v>
      </c>
    </row>
    <row r="1585" spans="1:11" hidden="1">
      <c r="A1585" s="559"/>
      <c r="I1585" s="2"/>
      <c r="J1585" s="463"/>
      <c r="K1585" s="526" t="s">
        <v>29</v>
      </c>
    </row>
    <row r="1586" spans="1:11" hidden="1">
      <c r="A1586" s="559"/>
      <c r="F1586" s="510" t="s">
        <v>4039</v>
      </c>
      <c r="G1586" s="518" t="s">
        <v>575</v>
      </c>
      <c r="H1586" s="509" t="s">
        <v>4040</v>
      </c>
      <c r="I1586" s="2"/>
      <c r="J1586" s="463"/>
      <c r="K1586" s="552"/>
    </row>
    <row r="1587" spans="1:11" hidden="1">
      <c r="A1587" s="559"/>
      <c r="H1587" s="509" t="s">
        <v>4041</v>
      </c>
      <c r="I1587" s="2"/>
      <c r="J1587" s="463"/>
      <c r="K1587" s="552"/>
    </row>
    <row r="1588" spans="1:11" hidden="1">
      <c r="A1588" s="559"/>
      <c r="H1588" s="509" t="s">
        <v>4042</v>
      </c>
      <c r="I1588" s="2"/>
      <c r="J1588" s="500" t="s">
        <v>30</v>
      </c>
      <c r="K1588" s="552"/>
    </row>
    <row r="1589" spans="1:11" hidden="1">
      <c r="A1589" s="559"/>
      <c r="H1589" s="509" t="s">
        <v>4043</v>
      </c>
      <c r="I1589" s="2"/>
      <c r="J1589" s="463"/>
      <c r="K1589" s="552"/>
    </row>
    <row r="1590" spans="1:11" hidden="1">
      <c r="A1590" s="559"/>
      <c r="H1590" s="509" t="s">
        <v>4044</v>
      </c>
      <c r="I1590" s="2"/>
      <c r="J1590" s="463"/>
      <c r="K1590" s="552"/>
    </row>
    <row r="1591" spans="1:11" hidden="1">
      <c r="A1591" s="559"/>
      <c r="H1591" s="509" t="s">
        <v>4045</v>
      </c>
      <c r="I1591" s="2"/>
      <c r="J1591" s="463"/>
      <c r="K1591" s="552"/>
    </row>
    <row r="1592" spans="1:11" hidden="1">
      <c r="A1592" s="559"/>
      <c r="H1592" s="509" t="s">
        <v>4046</v>
      </c>
      <c r="I1592" s="2"/>
      <c r="J1592" s="463"/>
      <c r="K1592" s="552"/>
    </row>
    <row r="1593" spans="1:11" hidden="1">
      <c r="A1593" s="559"/>
      <c r="H1593" s="509" t="s">
        <v>4047</v>
      </c>
      <c r="I1593" s="2"/>
      <c r="J1593" s="463"/>
      <c r="K1593" s="552"/>
    </row>
    <row r="1594" spans="1:11" hidden="1">
      <c r="A1594" s="559"/>
      <c r="H1594" s="509" t="s">
        <v>4048</v>
      </c>
      <c r="I1594" s="2"/>
      <c r="J1594" s="463"/>
      <c r="K1594" s="552"/>
    </row>
    <row r="1595" spans="1:11" hidden="1">
      <c r="A1595" s="559"/>
      <c r="H1595" s="515" t="s">
        <v>29</v>
      </c>
      <c r="I1595" s="2"/>
      <c r="J1595" s="463"/>
      <c r="K1595" s="552"/>
    </row>
    <row r="1596" spans="1:11" hidden="1">
      <c r="A1596" s="559"/>
      <c r="I1596" s="2"/>
      <c r="J1596" s="463"/>
      <c r="K1596" s="552"/>
    </row>
    <row r="1597" spans="1:11" hidden="1">
      <c r="A1597" s="559"/>
      <c r="F1597" s="519">
        <v>1</v>
      </c>
      <c r="G1597" s="518" t="s">
        <v>12</v>
      </c>
      <c r="H1597" s="509" t="s">
        <v>4049</v>
      </c>
      <c r="I1597" s="492">
        <v>50</v>
      </c>
      <c r="J1597" s="500" t="s">
        <v>12</v>
      </c>
      <c r="K1597" s="526">
        <f>(F1597*I1597)</f>
        <v>50</v>
      </c>
    </row>
    <row r="1598" spans="1:11" hidden="1">
      <c r="A1598" s="559"/>
      <c r="F1598" s="519">
        <v>1</v>
      </c>
      <c r="G1598" s="518" t="s">
        <v>2105</v>
      </c>
      <c r="H1598" s="509" t="s">
        <v>4050</v>
      </c>
      <c r="I1598" s="492">
        <v>9</v>
      </c>
      <c r="J1598" s="500" t="s">
        <v>2105</v>
      </c>
      <c r="K1598" s="526">
        <f>(F1598*I1598)</f>
        <v>9</v>
      </c>
    </row>
    <row r="1599" spans="1:11" hidden="1">
      <c r="A1599" s="559"/>
      <c r="G1599" s="518" t="s">
        <v>2346</v>
      </c>
      <c r="H1599" s="509" t="s">
        <v>4051</v>
      </c>
      <c r="I1599" s="2"/>
      <c r="J1599" s="500" t="s">
        <v>2346</v>
      </c>
      <c r="K1599" s="526">
        <v>7</v>
      </c>
    </row>
    <row r="1600" spans="1:11" hidden="1">
      <c r="A1600" s="559"/>
      <c r="I1600" s="2"/>
      <c r="J1600" s="463"/>
      <c r="K1600" s="526" t="s">
        <v>442</v>
      </c>
    </row>
    <row r="1601" spans="1:11" hidden="1">
      <c r="A1601" s="559"/>
      <c r="H1601" s="510" t="s">
        <v>2436</v>
      </c>
      <c r="I1601" s="2"/>
      <c r="J1601" s="463"/>
      <c r="K1601" s="526">
        <f>SUM(K1597:K1599)</f>
        <v>66</v>
      </c>
    </row>
    <row r="1602" spans="1:11" hidden="1">
      <c r="A1602" s="559"/>
      <c r="I1602" s="2"/>
      <c r="J1602" s="463"/>
      <c r="K1602" s="526" t="s">
        <v>29</v>
      </c>
    </row>
    <row r="1603" spans="1:11" hidden="1">
      <c r="A1603" s="559"/>
      <c r="F1603" s="510" t="s">
        <v>4052</v>
      </c>
      <c r="G1603" s="518" t="s">
        <v>575</v>
      </c>
      <c r="H1603" s="509" t="s">
        <v>4053</v>
      </c>
      <c r="I1603" s="2"/>
      <c r="J1603" s="463"/>
      <c r="K1603" s="552"/>
    </row>
    <row r="1604" spans="1:11" hidden="1">
      <c r="A1604" s="559"/>
      <c r="H1604" s="509" t="s">
        <v>4054</v>
      </c>
      <c r="I1604" s="2"/>
      <c r="J1604" s="463"/>
      <c r="K1604" s="552"/>
    </row>
    <row r="1605" spans="1:11" hidden="1">
      <c r="A1605" s="559"/>
      <c r="H1605" s="509" t="s">
        <v>4055</v>
      </c>
      <c r="I1605" s="2"/>
      <c r="J1605" s="463"/>
      <c r="K1605" s="552"/>
    </row>
    <row r="1606" spans="1:11" hidden="1">
      <c r="A1606" s="559"/>
      <c r="H1606" s="509" t="s">
        <v>4056</v>
      </c>
      <c r="I1606" s="2"/>
      <c r="J1606" s="463"/>
      <c r="K1606" s="552"/>
    </row>
    <row r="1607" spans="1:11" hidden="1">
      <c r="A1607" s="559"/>
      <c r="H1607" s="509" t="s">
        <v>4057</v>
      </c>
      <c r="I1607" s="2"/>
      <c r="J1607" s="463"/>
      <c r="K1607" s="552"/>
    </row>
    <row r="1608" spans="1:11" hidden="1">
      <c r="A1608" s="559"/>
      <c r="H1608" s="515" t="s">
        <v>442</v>
      </c>
      <c r="I1608" s="491" t="s">
        <v>442</v>
      </c>
      <c r="J1608" s="463"/>
      <c r="K1608" s="552"/>
    </row>
    <row r="1609" spans="1:11" hidden="1">
      <c r="A1609" s="559"/>
      <c r="F1609" s="519">
        <v>1</v>
      </c>
      <c r="G1609" s="518" t="s">
        <v>4058</v>
      </c>
      <c r="H1609" s="509" t="s">
        <v>4059</v>
      </c>
      <c r="I1609" s="492">
        <v>27.3</v>
      </c>
      <c r="J1609" s="500" t="s">
        <v>556</v>
      </c>
      <c r="K1609" s="526">
        <f>(F1609*I1609)</f>
        <v>27.3</v>
      </c>
    </row>
    <row r="1610" spans="1:11" hidden="1">
      <c r="A1610" s="559"/>
      <c r="G1610" s="518" t="s">
        <v>2346</v>
      </c>
      <c r="H1610" s="509" t="s">
        <v>4060</v>
      </c>
      <c r="I1610" s="2"/>
      <c r="J1610" s="500" t="s">
        <v>2346</v>
      </c>
      <c r="K1610" s="526">
        <v>7.5</v>
      </c>
    </row>
    <row r="1611" spans="1:11" hidden="1">
      <c r="A1611" s="559"/>
      <c r="G1611" s="518" t="s">
        <v>2346</v>
      </c>
      <c r="H1611" s="509" t="s">
        <v>4061</v>
      </c>
      <c r="I1611" s="2"/>
      <c r="J1611" s="500" t="s">
        <v>2346</v>
      </c>
      <c r="K1611" s="526">
        <v>1.2</v>
      </c>
    </row>
    <row r="1612" spans="1:11" hidden="1">
      <c r="A1612" s="559"/>
      <c r="H1612" s="509" t="s">
        <v>4062</v>
      </c>
      <c r="I1612" s="2"/>
      <c r="J1612" s="463"/>
      <c r="K1612" s="526" t="s">
        <v>442</v>
      </c>
    </row>
    <row r="1613" spans="1:11" hidden="1">
      <c r="A1613" s="559"/>
      <c r="H1613" s="510" t="s">
        <v>2436</v>
      </c>
      <c r="I1613" s="2"/>
      <c r="J1613" s="463"/>
      <c r="K1613" s="526">
        <f>SUM(K1609:K1611)</f>
        <v>36</v>
      </c>
    </row>
    <row r="1614" spans="1:11" hidden="1">
      <c r="A1614" s="559"/>
      <c r="I1614" s="2"/>
      <c r="J1614" s="463"/>
      <c r="K1614" s="526" t="s">
        <v>29</v>
      </c>
    </row>
    <row r="1615" spans="1:11" hidden="1">
      <c r="A1615" s="559"/>
      <c r="F1615" s="510" t="s">
        <v>4063</v>
      </c>
      <c r="G1615" s="518" t="s">
        <v>575</v>
      </c>
      <c r="H1615" s="509" t="s">
        <v>4064</v>
      </c>
      <c r="I1615" s="2"/>
      <c r="J1615" s="463"/>
      <c r="K1615" s="552"/>
    </row>
    <row r="1616" spans="1:11" hidden="1">
      <c r="A1616" s="559"/>
      <c r="H1616" s="509" t="s">
        <v>4065</v>
      </c>
      <c r="I1616" s="2"/>
      <c r="J1616" s="463"/>
      <c r="K1616" s="526" t="s">
        <v>30</v>
      </c>
    </row>
    <row r="1617" spans="1:11" hidden="1">
      <c r="A1617" s="559"/>
      <c r="H1617" s="515" t="s">
        <v>442</v>
      </c>
      <c r="I1617" s="2"/>
      <c r="J1617" s="463"/>
      <c r="K1617" s="552"/>
    </row>
    <row r="1618" spans="1:11" hidden="1">
      <c r="A1618" s="559"/>
      <c r="F1618" s="519">
        <v>1</v>
      </c>
      <c r="G1618" s="518" t="s">
        <v>4058</v>
      </c>
      <c r="H1618" s="509" t="s">
        <v>4066</v>
      </c>
      <c r="I1618" s="492">
        <v>20</v>
      </c>
      <c r="J1618" s="500" t="s">
        <v>556</v>
      </c>
      <c r="K1618" s="526">
        <f>(F1618*I1618)</f>
        <v>20</v>
      </c>
    </row>
    <row r="1619" spans="1:11" hidden="1">
      <c r="A1619" s="559"/>
      <c r="G1619" s="518" t="s">
        <v>2346</v>
      </c>
      <c r="H1619" s="509" t="s">
        <v>4067</v>
      </c>
      <c r="I1619" s="2"/>
      <c r="J1619" s="500" t="s">
        <v>2346</v>
      </c>
      <c r="K1619" s="526">
        <v>5</v>
      </c>
    </row>
    <row r="1620" spans="1:11" hidden="1">
      <c r="A1620" s="559"/>
      <c r="I1620" s="2"/>
      <c r="J1620" s="463"/>
      <c r="K1620" s="526" t="s">
        <v>442</v>
      </c>
    </row>
    <row r="1621" spans="1:11" hidden="1">
      <c r="A1621" s="559"/>
      <c r="H1621" s="510" t="s">
        <v>4068</v>
      </c>
      <c r="I1621" s="2"/>
      <c r="J1621" s="463"/>
      <c r="K1621" s="526">
        <f>SUM(K1617:K1619)</f>
        <v>25</v>
      </c>
    </row>
    <row r="1622" spans="1:11" hidden="1">
      <c r="A1622" s="559"/>
      <c r="I1622" s="2"/>
      <c r="J1622" s="463"/>
      <c r="K1622" s="526" t="s">
        <v>29</v>
      </c>
    </row>
    <row r="1623" spans="1:11" hidden="1">
      <c r="A1623" s="559"/>
      <c r="F1623" s="510" t="s">
        <v>4069</v>
      </c>
      <c r="G1623" s="518" t="s">
        <v>575</v>
      </c>
      <c r="H1623" s="509" t="s">
        <v>4070</v>
      </c>
      <c r="I1623" s="2"/>
      <c r="J1623" s="463"/>
      <c r="K1623" s="552"/>
    </row>
    <row r="1624" spans="1:11" hidden="1">
      <c r="A1624" s="559"/>
      <c r="H1624" s="515" t="s">
        <v>442</v>
      </c>
      <c r="I1624" s="491" t="s">
        <v>442</v>
      </c>
      <c r="J1624" s="463"/>
      <c r="K1624" s="552"/>
    </row>
    <row r="1625" spans="1:11" hidden="1">
      <c r="A1625" s="559"/>
      <c r="F1625" s="519">
        <v>1</v>
      </c>
      <c r="G1625" s="518" t="s">
        <v>4058</v>
      </c>
      <c r="H1625" s="509" t="s">
        <v>4071</v>
      </c>
      <c r="I1625" s="492">
        <v>1</v>
      </c>
      <c r="J1625" s="500" t="s">
        <v>556</v>
      </c>
      <c r="K1625" s="526">
        <f>(F1625*I1625)</f>
        <v>1</v>
      </c>
    </row>
    <row r="1626" spans="1:11" hidden="1">
      <c r="A1626" s="559"/>
      <c r="G1626" s="518" t="s">
        <v>2346</v>
      </c>
      <c r="H1626" s="509" t="s">
        <v>4067</v>
      </c>
      <c r="I1626" s="2"/>
      <c r="J1626" s="500" t="s">
        <v>2346</v>
      </c>
      <c r="K1626" s="526">
        <v>0.25</v>
      </c>
    </row>
    <row r="1627" spans="1:11" hidden="1">
      <c r="A1627" s="559"/>
      <c r="I1627" s="2"/>
      <c r="J1627" s="463"/>
      <c r="K1627" s="526" t="s">
        <v>442</v>
      </c>
    </row>
    <row r="1628" spans="1:11" hidden="1">
      <c r="A1628" s="559"/>
      <c r="H1628" s="510" t="s">
        <v>4068</v>
      </c>
      <c r="I1628" s="2"/>
      <c r="J1628" s="463"/>
      <c r="K1628" s="526">
        <f>SUM(K1623:K1626)</f>
        <v>1.25</v>
      </c>
    </row>
    <row r="1629" spans="1:11" hidden="1">
      <c r="A1629" s="559"/>
      <c r="F1629" s="509" t="s">
        <v>30</v>
      </c>
      <c r="I1629" s="2"/>
      <c r="J1629" s="463"/>
      <c r="K1629" s="526" t="s">
        <v>442</v>
      </c>
    </row>
    <row r="1630" spans="1:11" hidden="1">
      <c r="A1630" s="559"/>
      <c r="F1630" s="529">
        <v>50.1</v>
      </c>
      <c r="G1630" s="518" t="s">
        <v>575</v>
      </c>
      <c r="H1630" s="509" t="s">
        <v>4072</v>
      </c>
      <c r="I1630" s="2"/>
      <c r="J1630" s="463"/>
      <c r="K1630" s="552"/>
    </row>
    <row r="1631" spans="1:11" hidden="1">
      <c r="A1631" s="559"/>
      <c r="H1631" s="509" t="s">
        <v>4073</v>
      </c>
      <c r="I1631" s="2"/>
      <c r="J1631" s="463"/>
      <c r="K1631" s="552"/>
    </row>
    <row r="1632" spans="1:11" hidden="1">
      <c r="A1632" s="559"/>
      <c r="H1632" s="509" t="s">
        <v>4074</v>
      </c>
      <c r="I1632" s="2"/>
      <c r="J1632" s="463"/>
      <c r="K1632" s="552"/>
    </row>
    <row r="1633" spans="1:11" hidden="1">
      <c r="A1633" s="559"/>
      <c r="H1633" s="509" t="s">
        <v>4075</v>
      </c>
      <c r="I1633" s="2"/>
      <c r="J1633" s="463"/>
      <c r="K1633" s="552"/>
    </row>
    <row r="1634" spans="1:11" hidden="1">
      <c r="A1634" s="559"/>
      <c r="H1634" s="509" t="s">
        <v>4076</v>
      </c>
      <c r="I1634" s="2"/>
      <c r="J1634" s="463"/>
      <c r="K1634" s="552"/>
    </row>
    <row r="1635" spans="1:11" hidden="1">
      <c r="A1635" s="559"/>
      <c r="H1635" s="515" t="s">
        <v>442</v>
      </c>
      <c r="I1635" s="491" t="s">
        <v>442</v>
      </c>
      <c r="J1635" s="463"/>
      <c r="K1635" s="552"/>
    </row>
    <row r="1636" spans="1:11" hidden="1">
      <c r="A1636" s="559"/>
      <c r="F1636" s="519">
        <v>9</v>
      </c>
      <c r="G1636" s="518" t="s">
        <v>19</v>
      </c>
      <c r="H1636" s="509" t="s">
        <v>4077</v>
      </c>
      <c r="I1636" s="492" t="e">
        <f>C73</f>
        <v>#REF!</v>
      </c>
      <c r="J1636" s="500" t="s">
        <v>19</v>
      </c>
      <c r="K1636" s="526" t="e">
        <f>(F1636*I1636)</f>
        <v>#REF!</v>
      </c>
    </row>
    <row r="1637" spans="1:11" hidden="1">
      <c r="A1637" s="559"/>
      <c r="F1637" s="519">
        <v>4.5</v>
      </c>
      <c r="G1637" s="518" t="s">
        <v>19</v>
      </c>
      <c r="H1637" s="509" t="s">
        <v>4078</v>
      </c>
      <c r="I1637" s="492" t="e">
        <f>K32</f>
        <v>#REF!</v>
      </c>
      <c r="J1637" s="500" t="s">
        <v>19</v>
      </c>
      <c r="K1637" s="526" t="e">
        <f>(F1637*I1637)</f>
        <v>#REF!</v>
      </c>
    </row>
    <row r="1638" spans="1:11" hidden="1">
      <c r="A1638" s="559"/>
      <c r="F1638" s="519">
        <v>1.8</v>
      </c>
      <c r="G1638" s="518" t="s">
        <v>2403</v>
      </c>
      <c r="H1638" s="509" t="s">
        <v>4079</v>
      </c>
      <c r="I1638" s="492">
        <f>C11</f>
        <v>135</v>
      </c>
      <c r="J1638" s="500" t="s">
        <v>556</v>
      </c>
      <c r="K1638" s="526">
        <f>(F1638*I1638)</f>
        <v>243</v>
      </c>
    </row>
    <row r="1639" spans="1:11" hidden="1">
      <c r="A1639" s="559"/>
      <c r="F1639" s="519">
        <v>17.7</v>
      </c>
      <c r="G1639" s="518" t="s">
        <v>2403</v>
      </c>
      <c r="H1639" s="509" t="s">
        <v>3081</v>
      </c>
      <c r="I1639" s="492">
        <f>C12</f>
        <v>95</v>
      </c>
      <c r="J1639" s="500" t="s">
        <v>556</v>
      </c>
      <c r="K1639" s="526">
        <f>(F1639*I1639)</f>
        <v>1681.5</v>
      </c>
    </row>
    <row r="1640" spans="1:11" hidden="1">
      <c r="A1640" s="559"/>
      <c r="F1640" s="519">
        <v>14.1</v>
      </c>
      <c r="G1640" s="518" t="s">
        <v>2403</v>
      </c>
      <c r="H1640" s="509" t="s">
        <v>3994</v>
      </c>
      <c r="I1640" s="492">
        <f>C13</f>
        <v>85</v>
      </c>
      <c r="J1640" s="500" t="s">
        <v>556</v>
      </c>
      <c r="K1640" s="526">
        <f>(F1640*I1640)</f>
        <v>1198.5</v>
      </c>
    </row>
    <row r="1641" spans="1:11" hidden="1">
      <c r="A1641" s="559"/>
      <c r="I1641" s="2"/>
      <c r="J1641" s="463"/>
      <c r="K1641" s="526" t="s">
        <v>442</v>
      </c>
    </row>
    <row r="1642" spans="1:11" hidden="1">
      <c r="A1642" s="559"/>
      <c r="H1642" s="510" t="s">
        <v>4080</v>
      </c>
      <c r="I1642" s="2"/>
      <c r="J1642" s="463"/>
      <c r="K1642" s="526" t="e">
        <f>SUM(K1636:K1640)</f>
        <v>#REF!</v>
      </c>
    </row>
    <row r="1643" spans="1:11" hidden="1">
      <c r="A1643" s="559"/>
      <c r="I1643" s="2"/>
      <c r="J1643" s="463"/>
      <c r="K1643" s="526" t="s">
        <v>442</v>
      </c>
    </row>
    <row r="1644" spans="1:11" hidden="1">
      <c r="A1644" s="559"/>
      <c r="H1644" s="510" t="s">
        <v>4081</v>
      </c>
      <c r="I1644" s="2"/>
      <c r="J1644" s="463"/>
      <c r="K1644" s="526" t="e">
        <f>(K1642/10)</f>
        <v>#REF!</v>
      </c>
    </row>
    <row r="1645" spans="1:11" hidden="1">
      <c r="A1645" s="559"/>
      <c r="I1645" s="2"/>
      <c r="J1645" s="463"/>
      <c r="K1645" s="526" t="s">
        <v>29</v>
      </c>
    </row>
    <row r="1646" spans="1:11" hidden="1">
      <c r="A1646" s="559"/>
      <c r="I1646" s="2"/>
      <c r="J1646" s="463"/>
      <c r="K1646" s="552"/>
    </row>
    <row r="1647" spans="1:11" hidden="1">
      <c r="A1647" s="559"/>
      <c r="G1647" s="518" t="s">
        <v>2843</v>
      </c>
      <c r="H1647" s="509" t="s">
        <v>4082</v>
      </c>
      <c r="I1647" s="2"/>
      <c r="J1647" s="463"/>
      <c r="K1647" s="552"/>
    </row>
    <row r="1648" spans="1:11" hidden="1">
      <c r="A1648" s="559"/>
      <c r="H1648" s="509" t="s">
        <v>4083</v>
      </c>
      <c r="I1648" s="2"/>
      <c r="J1648" s="463"/>
      <c r="K1648" s="552"/>
    </row>
    <row r="1649" spans="1:11" hidden="1">
      <c r="A1649" s="559"/>
      <c r="H1649" s="515" t="s">
        <v>442</v>
      </c>
      <c r="I1649" s="491" t="s">
        <v>442</v>
      </c>
      <c r="J1649" s="463"/>
      <c r="K1649" s="552"/>
    </row>
    <row r="1650" spans="1:11" hidden="1">
      <c r="A1650" s="559"/>
      <c r="I1650" s="2"/>
      <c r="J1650" s="463"/>
      <c r="K1650" s="552"/>
    </row>
    <row r="1651" spans="1:11" hidden="1">
      <c r="A1651" s="559"/>
      <c r="F1651" s="528">
        <v>0.314</v>
      </c>
      <c r="G1651" s="518" t="s">
        <v>19</v>
      </c>
      <c r="H1651" s="509" t="s">
        <v>4084</v>
      </c>
      <c r="I1651" s="492" t="e">
        <f>K1644</f>
        <v>#REF!</v>
      </c>
      <c r="J1651" s="500" t="s">
        <v>19</v>
      </c>
      <c r="K1651" s="526" t="e">
        <f>(F1651*I1651)</f>
        <v>#REF!</v>
      </c>
    </row>
    <row r="1652" spans="1:11" hidden="1">
      <c r="A1652" s="559"/>
      <c r="F1652" s="519">
        <v>18</v>
      </c>
      <c r="G1652" s="518" t="s">
        <v>2403</v>
      </c>
      <c r="H1652" s="509" t="s">
        <v>4085</v>
      </c>
      <c r="I1652" s="492">
        <v>2</v>
      </c>
      <c r="J1652" s="500" t="s">
        <v>556</v>
      </c>
      <c r="K1652" s="526">
        <f>(F1652*I1652)</f>
        <v>36</v>
      </c>
    </row>
    <row r="1653" spans="1:11" hidden="1">
      <c r="A1653" s="559"/>
      <c r="F1653" s="519">
        <v>18</v>
      </c>
      <c r="G1653" s="518" t="s">
        <v>2403</v>
      </c>
      <c r="H1653" s="509" t="s">
        <v>4086</v>
      </c>
      <c r="I1653" s="492">
        <v>1</v>
      </c>
      <c r="J1653" s="500" t="s">
        <v>556</v>
      </c>
      <c r="K1653" s="526">
        <f>(F1653*I1653)</f>
        <v>18</v>
      </c>
    </row>
    <row r="1654" spans="1:11" hidden="1">
      <c r="A1654" s="559"/>
      <c r="F1654" s="519">
        <v>18</v>
      </c>
      <c r="G1654" s="518" t="s">
        <v>2403</v>
      </c>
      <c r="H1654" s="509" t="s">
        <v>4087</v>
      </c>
      <c r="I1654" s="492">
        <v>2</v>
      </c>
      <c r="J1654" s="500" t="s">
        <v>556</v>
      </c>
      <c r="K1654" s="526">
        <f>(F1654*I1654)</f>
        <v>36</v>
      </c>
    </row>
    <row r="1655" spans="1:11" hidden="1">
      <c r="A1655" s="559"/>
      <c r="I1655" s="2"/>
      <c r="J1655" s="463"/>
      <c r="K1655" s="526" t="s">
        <v>442</v>
      </c>
    </row>
    <row r="1656" spans="1:11" hidden="1">
      <c r="A1656" s="559"/>
      <c r="H1656" s="510" t="s">
        <v>4088</v>
      </c>
      <c r="I1656" s="2"/>
      <c r="J1656" s="463"/>
      <c r="K1656" s="526" t="e">
        <f>SUM(K1650:K1654)</f>
        <v>#REF!</v>
      </c>
    </row>
    <row r="1657" spans="1:11" hidden="1">
      <c r="A1657" s="559"/>
      <c r="I1657" s="2"/>
      <c r="J1657" s="463"/>
      <c r="K1657" s="526" t="s">
        <v>442</v>
      </c>
    </row>
    <row r="1658" spans="1:11" hidden="1">
      <c r="A1658" s="559"/>
      <c r="H1658" s="510" t="s">
        <v>4089</v>
      </c>
      <c r="I1658" s="2"/>
      <c r="J1658" s="463"/>
      <c r="K1658" s="526" t="e">
        <f>(K1656/6.28)</f>
        <v>#REF!</v>
      </c>
    </row>
    <row r="1659" spans="1:11" hidden="1">
      <c r="A1659" s="559"/>
      <c r="I1659" s="2"/>
      <c r="J1659" s="463"/>
      <c r="K1659" s="526" t="s">
        <v>29</v>
      </c>
    </row>
    <row r="1660" spans="1:11" hidden="1">
      <c r="A1660" s="559"/>
      <c r="F1660" s="509" t="s">
        <v>30</v>
      </c>
      <c r="H1660" s="509" t="s">
        <v>4090</v>
      </c>
      <c r="I1660" s="2"/>
      <c r="J1660" s="463"/>
      <c r="K1660" s="552"/>
    </row>
    <row r="1661" spans="1:11" hidden="1">
      <c r="A1661" s="559"/>
      <c r="H1661" s="515" t="s">
        <v>442</v>
      </c>
      <c r="I1661" s="2"/>
      <c r="J1661" s="463"/>
      <c r="K1661" s="552"/>
    </row>
    <row r="1662" spans="1:11" hidden="1">
      <c r="A1662" s="559"/>
      <c r="F1662" s="528">
        <v>0.01</v>
      </c>
      <c r="G1662" s="518" t="s">
        <v>19</v>
      </c>
      <c r="H1662" s="509" t="s">
        <v>4084</v>
      </c>
      <c r="I1662" s="492" t="e">
        <f>K1644</f>
        <v>#REF!</v>
      </c>
      <c r="J1662" s="500" t="s">
        <v>19</v>
      </c>
      <c r="K1662" s="526" t="e">
        <f>(F1662*I1662)</f>
        <v>#REF!</v>
      </c>
    </row>
    <row r="1663" spans="1:11" hidden="1">
      <c r="A1663" s="559"/>
      <c r="F1663" s="519">
        <v>0.01</v>
      </c>
      <c r="G1663" s="518" t="s">
        <v>2019</v>
      </c>
      <c r="H1663" s="509" t="s">
        <v>4091</v>
      </c>
      <c r="I1663" s="526" t="s">
        <v>170</v>
      </c>
      <c r="J1663" s="463"/>
      <c r="K1663" s="526">
        <v>1.2</v>
      </c>
    </row>
    <row r="1664" spans="1:11" hidden="1">
      <c r="A1664" s="559"/>
      <c r="I1664" s="552"/>
      <c r="J1664" s="463"/>
      <c r="K1664" s="526" t="s">
        <v>442</v>
      </c>
    </row>
    <row r="1665" spans="1:11" hidden="1">
      <c r="A1665" s="559"/>
      <c r="H1665" s="510" t="s">
        <v>4092</v>
      </c>
      <c r="I1665" s="2"/>
      <c r="J1665" s="463"/>
      <c r="K1665" s="526" t="e">
        <f>SUM(K1659:K1663)</f>
        <v>#REF!</v>
      </c>
    </row>
    <row r="1666" spans="1:11" hidden="1">
      <c r="A1666" s="559"/>
      <c r="I1666" s="2"/>
      <c r="J1666" s="463"/>
      <c r="K1666" s="526" t="s">
        <v>442</v>
      </c>
    </row>
    <row r="1667" spans="1:11" hidden="1">
      <c r="A1667" s="559"/>
      <c r="H1667" s="510" t="s">
        <v>4093</v>
      </c>
      <c r="I1667" s="2"/>
      <c r="J1667" s="463"/>
      <c r="K1667" s="526" t="e">
        <f>K1665/0.01</f>
        <v>#REF!</v>
      </c>
    </row>
    <row r="1668" spans="1:11" hidden="1">
      <c r="A1668" s="559"/>
      <c r="I1668" s="2"/>
      <c r="J1668" s="463"/>
      <c r="K1668" s="526" t="s">
        <v>29</v>
      </c>
    </row>
    <row r="1669" spans="1:11" hidden="1">
      <c r="A1669" s="559"/>
      <c r="F1669" s="510" t="s">
        <v>4094</v>
      </c>
      <c r="G1669" s="518" t="s">
        <v>2843</v>
      </c>
      <c r="H1669" s="509" t="s">
        <v>4082</v>
      </c>
      <c r="I1669" s="2"/>
      <c r="J1669" s="463"/>
      <c r="K1669" s="552"/>
    </row>
    <row r="1670" spans="1:11" hidden="1">
      <c r="A1670" s="559"/>
      <c r="H1670" s="531" t="s">
        <v>4095</v>
      </c>
      <c r="I1670" s="2"/>
      <c r="J1670" s="463"/>
      <c r="K1670" s="552"/>
    </row>
    <row r="1671" spans="1:11" hidden="1">
      <c r="A1671" s="559"/>
      <c r="H1671" s="515" t="s">
        <v>442</v>
      </c>
      <c r="I1671" s="491" t="s">
        <v>442</v>
      </c>
      <c r="J1671" s="463"/>
      <c r="K1671" s="552"/>
    </row>
    <row r="1672" spans="1:11" hidden="1">
      <c r="A1672" s="559"/>
      <c r="F1672" s="528">
        <v>0.40500000000000003</v>
      </c>
      <c r="G1672" s="518" t="s">
        <v>19</v>
      </c>
      <c r="H1672" s="509" t="s">
        <v>4084</v>
      </c>
      <c r="I1672" s="492" t="e">
        <f>K1667</f>
        <v>#REF!</v>
      </c>
      <c r="J1672" s="500" t="s">
        <v>19</v>
      </c>
      <c r="K1672" s="526" t="e">
        <f>(F1672*I1672)</f>
        <v>#REF!</v>
      </c>
    </row>
    <row r="1673" spans="1:11" hidden="1">
      <c r="A1673" s="559"/>
      <c r="F1673" s="509" t="s">
        <v>30</v>
      </c>
      <c r="G1673" s="518" t="s">
        <v>30</v>
      </c>
      <c r="H1673" s="509" t="s">
        <v>4096</v>
      </c>
      <c r="I1673" s="526" t="s">
        <v>170</v>
      </c>
      <c r="J1673" s="463"/>
      <c r="K1673" s="526" t="s">
        <v>30</v>
      </c>
    </row>
    <row r="1674" spans="1:11" hidden="1">
      <c r="A1674" s="559"/>
      <c r="I1674" s="2"/>
      <c r="J1674" s="463"/>
      <c r="K1674" s="526" t="s">
        <v>442</v>
      </c>
    </row>
    <row r="1675" spans="1:11" hidden="1">
      <c r="A1675" s="559"/>
      <c r="H1675" s="510" t="s">
        <v>4097</v>
      </c>
      <c r="I1675" s="2"/>
      <c r="J1675" s="463"/>
      <c r="K1675" s="526" t="e">
        <f>SUM(K1669:K1673)</f>
        <v>#REF!</v>
      </c>
    </row>
    <row r="1676" spans="1:11" hidden="1">
      <c r="A1676" s="559"/>
      <c r="I1676" s="2"/>
      <c r="J1676" s="463"/>
      <c r="K1676" s="526" t="s">
        <v>442</v>
      </c>
    </row>
    <row r="1677" spans="1:11" hidden="1">
      <c r="A1677" s="559"/>
      <c r="H1677" s="510" t="s">
        <v>4098</v>
      </c>
      <c r="I1677" s="2"/>
      <c r="J1677" s="463"/>
      <c r="K1677" s="526" t="e">
        <f>K1675/9</f>
        <v>#REF!</v>
      </c>
    </row>
    <row r="1678" spans="1:11" hidden="1">
      <c r="A1678" s="559"/>
      <c r="I1678" s="2"/>
      <c r="J1678" s="463"/>
      <c r="K1678" s="526" t="s">
        <v>29</v>
      </c>
    </row>
    <row r="1679" spans="1:11" hidden="1">
      <c r="A1679" s="559"/>
      <c r="F1679" s="510" t="s">
        <v>4099</v>
      </c>
      <c r="H1679" s="509" t="s">
        <v>4100</v>
      </c>
      <c r="I1679" s="2"/>
      <c r="J1679" s="463"/>
      <c r="K1679" s="552"/>
    </row>
    <row r="1680" spans="1:11" hidden="1">
      <c r="A1680" s="559"/>
      <c r="H1680" s="515" t="s">
        <v>442</v>
      </c>
      <c r="I1680" s="2"/>
      <c r="J1680" s="463"/>
      <c r="K1680" s="552"/>
    </row>
    <row r="1681" spans="1:11" hidden="1">
      <c r="A1681" s="559"/>
      <c r="F1681" s="519">
        <v>4.32</v>
      </c>
      <c r="G1681" s="518" t="s">
        <v>2334</v>
      </c>
      <c r="H1681" s="509" t="s">
        <v>4101</v>
      </c>
      <c r="I1681" s="492">
        <f>C61</f>
        <v>25</v>
      </c>
      <c r="J1681" s="500" t="s">
        <v>2334</v>
      </c>
      <c r="K1681" s="526">
        <f t="shared" ref="K1681:K1688" si="57">(F1681*I1681)</f>
        <v>108</v>
      </c>
    </row>
    <row r="1682" spans="1:11" hidden="1">
      <c r="A1682" s="559"/>
      <c r="F1682" s="519">
        <v>1.44</v>
      </c>
      <c r="G1682" s="518" t="s">
        <v>2334</v>
      </c>
      <c r="H1682" s="509" t="s">
        <v>4102</v>
      </c>
      <c r="I1682" s="492">
        <v>60.5</v>
      </c>
      <c r="J1682" s="500" t="s">
        <v>2334</v>
      </c>
      <c r="K1682" s="526">
        <f t="shared" si="57"/>
        <v>87.11999999999999</v>
      </c>
    </row>
    <row r="1683" spans="1:11" hidden="1">
      <c r="A1683" s="559"/>
      <c r="F1683" s="519">
        <v>1.44</v>
      </c>
      <c r="G1683" s="518" t="s">
        <v>2334</v>
      </c>
      <c r="H1683" s="509" t="s">
        <v>4103</v>
      </c>
      <c r="I1683" s="492">
        <f>C35</f>
        <v>169</v>
      </c>
      <c r="J1683" s="500" t="s">
        <v>2334</v>
      </c>
      <c r="K1683" s="526">
        <f t="shared" si="57"/>
        <v>243.35999999999999</v>
      </c>
    </row>
    <row r="1684" spans="1:11" hidden="1">
      <c r="A1684" s="559"/>
      <c r="F1684" s="519">
        <v>1.44</v>
      </c>
      <c r="G1684" s="518" t="s">
        <v>2334</v>
      </c>
      <c r="H1684" s="509" t="s">
        <v>4104</v>
      </c>
      <c r="I1684" s="492" t="e">
        <f>C78</f>
        <v>#REF!</v>
      </c>
      <c r="J1684" s="500" t="s">
        <v>2334</v>
      </c>
      <c r="K1684" s="526" t="e">
        <f t="shared" si="57"/>
        <v>#REF!</v>
      </c>
    </row>
    <row r="1685" spans="1:11" hidden="1">
      <c r="A1685" s="559"/>
      <c r="F1685" s="519">
        <v>2.88</v>
      </c>
      <c r="G1685" s="518" t="s">
        <v>2334</v>
      </c>
      <c r="H1685" s="509" t="s">
        <v>4105</v>
      </c>
      <c r="I1685" s="492">
        <v>10</v>
      </c>
      <c r="J1685" s="500" t="s">
        <v>2334</v>
      </c>
      <c r="K1685" s="526">
        <f t="shared" si="57"/>
        <v>28.799999999999997</v>
      </c>
    </row>
    <row r="1686" spans="1:11" hidden="1">
      <c r="A1686" s="559"/>
      <c r="F1686" s="519">
        <v>20</v>
      </c>
      <c r="G1686" s="518" t="s">
        <v>4106</v>
      </c>
      <c r="H1686" s="509" t="s">
        <v>4107</v>
      </c>
      <c r="I1686" s="492">
        <v>40</v>
      </c>
      <c r="J1686" s="500" t="s">
        <v>4106</v>
      </c>
      <c r="K1686" s="526">
        <f t="shared" si="57"/>
        <v>800</v>
      </c>
    </row>
    <row r="1687" spans="1:11" hidden="1">
      <c r="A1687" s="559"/>
      <c r="F1687" s="519">
        <v>42</v>
      </c>
      <c r="G1687" s="518" t="s">
        <v>4108</v>
      </c>
      <c r="H1687" s="509" t="s">
        <v>4109</v>
      </c>
      <c r="I1687" s="492">
        <v>10</v>
      </c>
      <c r="J1687" s="500" t="s">
        <v>4108</v>
      </c>
      <c r="K1687" s="526">
        <f t="shared" si="57"/>
        <v>420</v>
      </c>
    </row>
    <row r="1688" spans="1:11" hidden="1">
      <c r="A1688" s="559"/>
      <c r="F1688" s="519">
        <v>4.32</v>
      </c>
      <c r="G1688" s="518" t="s">
        <v>2334</v>
      </c>
      <c r="H1688" s="509" t="s">
        <v>4110</v>
      </c>
      <c r="I1688" s="492">
        <f>C27</f>
        <v>7.8</v>
      </c>
      <c r="J1688" s="500" t="s">
        <v>2334</v>
      </c>
      <c r="K1688" s="526">
        <f t="shared" si="57"/>
        <v>33.695999999999998</v>
      </c>
    </row>
    <row r="1689" spans="1:11" hidden="1">
      <c r="A1689" s="559"/>
      <c r="F1689" s="510" t="s">
        <v>4111</v>
      </c>
      <c r="H1689" s="509" t="s">
        <v>4112</v>
      </c>
      <c r="I1689" s="2"/>
      <c r="J1689" s="463"/>
      <c r="K1689" s="526">
        <v>2000</v>
      </c>
    </row>
    <row r="1690" spans="1:11" hidden="1">
      <c r="A1690" s="559"/>
      <c r="I1690" s="2"/>
      <c r="J1690" s="463"/>
      <c r="K1690" s="526" t="s">
        <v>442</v>
      </c>
    </row>
    <row r="1691" spans="1:11" hidden="1">
      <c r="A1691" s="559"/>
      <c r="H1691" s="509" t="s">
        <v>4113</v>
      </c>
      <c r="I1691" s="2"/>
      <c r="J1691" s="463"/>
      <c r="K1691" s="526" t="e">
        <f>SUM(K1681:K1689)</f>
        <v>#REF!</v>
      </c>
    </row>
    <row r="1692" spans="1:11" hidden="1">
      <c r="A1692" s="559"/>
      <c r="I1692" s="2"/>
      <c r="J1692" s="463"/>
      <c r="K1692" s="526" t="s">
        <v>442</v>
      </c>
    </row>
    <row r="1693" spans="1:11" hidden="1">
      <c r="A1693" s="559"/>
      <c r="H1693" s="509" t="s">
        <v>4114</v>
      </c>
      <c r="I1693" s="2"/>
      <c r="J1693" s="463"/>
      <c r="K1693" s="526" t="e">
        <f>K1691/20</f>
        <v>#REF!</v>
      </c>
    </row>
    <row r="1694" spans="1:11" hidden="1">
      <c r="A1694" s="559"/>
      <c r="I1694" s="2"/>
      <c r="J1694" s="463"/>
      <c r="K1694" s="526" t="s">
        <v>29</v>
      </c>
    </row>
    <row r="1695" spans="1:11" hidden="1">
      <c r="A1695" s="559"/>
      <c r="I1695" s="2"/>
      <c r="J1695" s="463"/>
      <c r="K1695" s="552"/>
    </row>
    <row r="1696" spans="1:11" hidden="1">
      <c r="A1696" s="559"/>
      <c r="F1696" s="510" t="s">
        <v>4115</v>
      </c>
      <c r="H1696" s="509" t="s">
        <v>4116</v>
      </c>
      <c r="I1696" s="2"/>
      <c r="J1696" s="463"/>
      <c r="K1696" s="552"/>
    </row>
    <row r="1697" spans="1:11" hidden="1">
      <c r="A1697" s="559"/>
      <c r="H1697" s="515" t="s">
        <v>442</v>
      </c>
      <c r="I1697" s="2"/>
      <c r="J1697" s="463"/>
      <c r="K1697" s="552"/>
    </row>
    <row r="1698" spans="1:11" hidden="1">
      <c r="A1698" s="559"/>
      <c r="F1698" s="519">
        <v>0.1</v>
      </c>
      <c r="G1698" s="518" t="s">
        <v>2334</v>
      </c>
      <c r="H1698" s="509" t="s">
        <v>4101</v>
      </c>
      <c r="I1698" s="492">
        <f>K90</f>
        <v>50</v>
      </c>
      <c r="J1698" s="500" t="s">
        <v>2334</v>
      </c>
      <c r="K1698" s="526">
        <f t="shared" ref="K1698:K1703" si="58">(F1698*I1698)</f>
        <v>5</v>
      </c>
    </row>
    <row r="1699" spans="1:11" hidden="1">
      <c r="A1699" s="559"/>
      <c r="F1699" s="519">
        <v>6.3</v>
      </c>
      <c r="G1699" s="518" t="s">
        <v>4108</v>
      </c>
      <c r="H1699" s="509" t="s">
        <v>4117</v>
      </c>
      <c r="I1699" s="545">
        <v>21</v>
      </c>
      <c r="J1699" s="500" t="s">
        <v>4108</v>
      </c>
      <c r="K1699" s="526">
        <f t="shared" si="58"/>
        <v>132.29999999999998</v>
      </c>
    </row>
    <row r="1700" spans="1:11" hidden="1">
      <c r="A1700" s="559"/>
      <c r="F1700" s="519">
        <v>6.3</v>
      </c>
      <c r="G1700" s="518" t="s">
        <v>4108</v>
      </c>
      <c r="H1700" s="509" t="s">
        <v>4109</v>
      </c>
      <c r="I1700" s="492">
        <v>10</v>
      </c>
      <c r="J1700" s="500" t="s">
        <v>4108</v>
      </c>
      <c r="K1700" s="526">
        <f t="shared" si="58"/>
        <v>63</v>
      </c>
    </row>
    <row r="1701" spans="1:11" hidden="1">
      <c r="A1701" s="559"/>
      <c r="F1701" s="519">
        <v>3.15</v>
      </c>
      <c r="G1701" s="518" t="s">
        <v>2830</v>
      </c>
      <c r="H1701" s="509" t="s">
        <v>4118</v>
      </c>
      <c r="I1701" s="545">
        <v>22.6</v>
      </c>
      <c r="J1701" s="500" t="s">
        <v>2830</v>
      </c>
      <c r="K1701" s="526">
        <f t="shared" si="58"/>
        <v>71.19</v>
      </c>
    </row>
    <row r="1702" spans="1:11" hidden="1">
      <c r="A1702" s="559"/>
      <c r="F1702" s="519">
        <v>0.25</v>
      </c>
      <c r="G1702" s="518" t="s">
        <v>4058</v>
      </c>
      <c r="H1702" s="509" t="s">
        <v>4119</v>
      </c>
      <c r="I1702" s="492">
        <f>D16</f>
        <v>135</v>
      </c>
      <c r="J1702" s="500" t="s">
        <v>4058</v>
      </c>
      <c r="K1702" s="526">
        <f t="shared" si="58"/>
        <v>33.75</v>
      </c>
    </row>
    <row r="1703" spans="1:11" hidden="1">
      <c r="A1703" s="559"/>
      <c r="F1703" s="519">
        <v>0.2</v>
      </c>
      <c r="G1703" s="518" t="s">
        <v>4058</v>
      </c>
      <c r="H1703" s="509" t="s">
        <v>4120</v>
      </c>
      <c r="I1703" s="492">
        <f>C17</f>
        <v>130</v>
      </c>
      <c r="J1703" s="500" t="s">
        <v>4058</v>
      </c>
      <c r="K1703" s="526">
        <f t="shared" si="58"/>
        <v>26</v>
      </c>
    </row>
    <row r="1704" spans="1:11" hidden="1">
      <c r="A1704" s="559"/>
      <c r="H1704" s="509" t="s">
        <v>4121</v>
      </c>
      <c r="I1704" s="490" t="s">
        <v>30</v>
      </c>
      <c r="J1704" s="500" t="s">
        <v>30</v>
      </c>
      <c r="K1704" s="526">
        <v>0</v>
      </c>
    </row>
    <row r="1705" spans="1:11" hidden="1">
      <c r="A1705" s="559"/>
      <c r="I1705" s="2"/>
      <c r="J1705" s="500" t="s">
        <v>30</v>
      </c>
      <c r="K1705" s="526" t="s">
        <v>442</v>
      </c>
    </row>
    <row r="1706" spans="1:11" hidden="1">
      <c r="A1706" s="559"/>
      <c r="F1706" s="509" t="s">
        <v>30</v>
      </c>
      <c r="G1706" s="518" t="s">
        <v>30</v>
      </c>
      <c r="H1706" s="509" t="s">
        <v>4114</v>
      </c>
      <c r="I1706" s="2"/>
      <c r="J1706" s="463"/>
      <c r="K1706" s="526">
        <f>SUM(K1698:K1704)</f>
        <v>331.24</v>
      </c>
    </row>
    <row r="1707" spans="1:11" hidden="1">
      <c r="A1707" s="559"/>
      <c r="H1707" s="509" t="s">
        <v>30</v>
      </c>
      <c r="I1707" s="2"/>
      <c r="J1707" s="463"/>
      <c r="K1707" s="526" t="s">
        <v>442</v>
      </c>
    </row>
    <row r="1708" spans="1:11" hidden="1">
      <c r="A1708" s="559"/>
      <c r="I1708" s="2"/>
      <c r="J1708" s="463"/>
      <c r="K1708" s="526"/>
    </row>
    <row r="1709" spans="1:11" hidden="1">
      <c r="A1709" s="559"/>
      <c r="F1709" s="510" t="s">
        <v>4122</v>
      </c>
      <c r="H1709" s="509" t="s">
        <v>4123</v>
      </c>
      <c r="I1709" s="2"/>
      <c r="J1709" s="463"/>
      <c r="K1709" s="552"/>
    </row>
    <row r="1710" spans="1:11" hidden="1">
      <c r="A1710" s="559"/>
      <c r="H1710" s="515" t="s">
        <v>442</v>
      </c>
      <c r="I1710" s="2"/>
      <c r="J1710" s="463"/>
      <c r="K1710" s="552"/>
    </row>
    <row r="1711" spans="1:11" hidden="1">
      <c r="A1711" s="559"/>
      <c r="F1711" s="542">
        <v>0.48599999999999999</v>
      </c>
      <c r="G1711" s="518" t="s">
        <v>2019</v>
      </c>
      <c r="H1711" s="509" t="s">
        <v>4101</v>
      </c>
      <c r="I1711" s="492">
        <f>C61</f>
        <v>25</v>
      </c>
      <c r="J1711" s="500" t="s">
        <v>2019</v>
      </c>
      <c r="K1711" s="526">
        <f t="shared" ref="K1711:K1717" si="59">(F1711*I1711)</f>
        <v>12.15</v>
      </c>
    </row>
    <row r="1712" spans="1:11" hidden="1">
      <c r="A1712" s="559"/>
      <c r="F1712" s="542">
        <v>0.48599999999999999</v>
      </c>
      <c r="G1712" s="518" t="s">
        <v>2019</v>
      </c>
      <c r="H1712" s="509" t="s">
        <v>4124</v>
      </c>
      <c r="I1712" s="492" t="e">
        <f>K203</f>
        <v>#REF!</v>
      </c>
      <c r="J1712" s="500" t="s">
        <v>2019</v>
      </c>
      <c r="K1712" s="526" t="e">
        <f t="shared" si="59"/>
        <v>#REF!</v>
      </c>
    </row>
    <row r="1713" spans="1:11" hidden="1">
      <c r="A1713" s="559"/>
      <c r="F1713" s="519">
        <v>81.75</v>
      </c>
      <c r="G1713" s="518" t="s">
        <v>4125</v>
      </c>
      <c r="H1713" s="509" t="s">
        <v>4126</v>
      </c>
      <c r="I1713" s="492">
        <v>30</v>
      </c>
      <c r="J1713" s="500" t="s">
        <v>4125</v>
      </c>
      <c r="K1713" s="526">
        <f t="shared" si="59"/>
        <v>2452.5</v>
      </c>
    </row>
    <row r="1714" spans="1:11" hidden="1">
      <c r="A1714" s="559"/>
      <c r="F1714" s="519">
        <v>7.2</v>
      </c>
      <c r="G1714" s="518" t="s">
        <v>4125</v>
      </c>
      <c r="H1714" s="509" t="s">
        <v>4127</v>
      </c>
      <c r="I1714" s="492">
        <v>30</v>
      </c>
      <c r="J1714" s="500" t="s">
        <v>4125</v>
      </c>
      <c r="K1714" s="526">
        <f t="shared" si="59"/>
        <v>216</v>
      </c>
    </row>
    <row r="1715" spans="1:11" hidden="1">
      <c r="A1715" s="559"/>
      <c r="F1715" s="519">
        <v>43.68</v>
      </c>
      <c r="G1715" s="518" t="s">
        <v>4125</v>
      </c>
      <c r="H1715" s="509" t="s">
        <v>4128</v>
      </c>
      <c r="I1715" s="492">
        <f>I1713</f>
        <v>30</v>
      </c>
      <c r="J1715" s="500" t="s">
        <v>4125</v>
      </c>
      <c r="K1715" s="526">
        <f t="shared" si="59"/>
        <v>1310.4000000000001</v>
      </c>
    </row>
    <row r="1716" spans="1:11" hidden="1">
      <c r="A1716" s="559"/>
      <c r="F1716" s="519">
        <v>132.63</v>
      </c>
      <c r="G1716" s="518" t="s">
        <v>4125</v>
      </c>
      <c r="H1716" s="509" t="s">
        <v>4129</v>
      </c>
      <c r="I1716" s="545">
        <v>12.3</v>
      </c>
      <c r="J1716" s="500" t="s">
        <v>4125</v>
      </c>
      <c r="K1716" s="526">
        <f t="shared" si="59"/>
        <v>1631.3489999999999</v>
      </c>
    </row>
    <row r="1717" spans="1:11" hidden="1">
      <c r="A1717" s="559"/>
      <c r="F1717" s="519">
        <v>2.2000000000000002</v>
      </c>
      <c r="G1717" s="518" t="s">
        <v>2830</v>
      </c>
      <c r="H1717" s="509" t="s">
        <v>4130</v>
      </c>
      <c r="I1717" s="492">
        <v>360</v>
      </c>
      <c r="J1717" s="500" t="s">
        <v>2830</v>
      </c>
      <c r="K1717" s="526">
        <f t="shared" si="59"/>
        <v>792.00000000000011</v>
      </c>
    </row>
    <row r="1718" spans="1:11" hidden="1">
      <c r="A1718" s="559"/>
      <c r="F1718" s="517" t="s">
        <v>170</v>
      </c>
      <c r="H1718" s="509" t="s">
        <v>4131</v>
      </c>
      <c r="I1718" s="526" t="s">
        <v>170</v>
      </c>
      <c r="J1718" s="463"/>
      <c r="K1718" s="526">
        <v>250</v>
      </c>
    </row>
    <row r="1719" spans="1:11" hidden="1">
      <c r="A1719" s="559"/>
      <c r="F1719" s="517" t="s">
        <v>170</v>
      </c>
      <c r="H1719" s="509" t="s">
        <v>4132</v>
      </c>
      <c r="I1719" s="526" t="s">
        <v>170</v>
      </c>
      <c r="J1719" s="463"/>
      <c r="K1719" s="526">
        <v>20</v>
      </c>
    </row>
    <row r="1720" spans="1:11" hidden="1">
      <c r="A1720" s="559"/>
      <c r="I1720" s="2"/>
      <c r="J1720" s="463"/>
      <c r="K1720" s="526" t="s">
        <v>442</v>
      </c>
    </row>
    <row r="1721" spans="1:11" hidden="1">
      <c r="A1721" s="559"/>
      <c r="I1721" s="2"/>
      <c r="J1721" s="463"/>
      <c r="K1721" s="526" t="e">
        <f>SUM(K1711:K1720)</f>
        <v>#REF!</v>
      </c>
    </row>
    <row r="1722" spans="1:11" hidden="1">
      <c r="A1722" s="559"/>
      <c r="I1722" s="2"/>
      <c r="J1722" s="463"/>
      <c r="K1722" s="526" t="s">
        <v>442</v>
      </c>
    </row>
    <row r="1723" spans="1:11" hidden="1">
      <c r="A1723" s="559"/>
      <c r="I1723" s="2"/>
      <c r="J1723" s="463"/>
      <c r="K1723" s="526"/>
    </row>
    <row r="1724" spans="1:11" hidden="1">
      <c r="A1724" s="559"/>
      <c r="F1724" s="524">
        <v>86</v>
      </c>
      <c r="H1724" s="509" t="s">
        <v>3481</v>
      </c>
      <c r="I1724" s="2"/>
      <c r="J1724" s="463"/>
      <c r="K1724" s="526">
        <f>C777</f>
        <v>30</v>
      </c>
    </row>
    <row r="1725" spans="1:11" hidden="1">
      <c r="A1725" s="559"/>
      <c r="F1725" s="529"/>
      <c r="H1725" s="509"/>
      <c r="I1725" s="2"/>
      <c r="J1725" s="463"/>
      <c r="K1725" s="526"/>
    </row>
    <row r="1726" spans="1:11" hidden="1">
      <c r="A1726" s="559"/>
      <c r="F1726" s="510" t="s">
        <v>4133</v>
      </c>
      <c r="H1726" s="509" t="s">
        <v>4134</v>
      </c>
      <c r="I1726" s="2"/>
      <c r="J1726" s="463"/>
      <c r="K1726" s="526">
        <v>3135</v>
      </c>
    </row>
    <row r="1727" spans="1:11" hidden="1">
      <c r="A1727" s="559"/>
      <c r="H1727" s="509" t="s">
        <v>4135</v>
      </c>
      <c r="I1727" s="2"/>
      <c r="J1727" s="463"/>
      <c r="K1727" s="552">
        <f>K1726</f>
        <v>3135</v>
      </c>
    </row>
    <row r="1728" spans="1:11" hidden="1">
      <c r="A1728" s="559"/>
      <c r="F1728" s="509" t="s">
        <v>30</v>
      </c>
      <c r="I1728" s="2"/>
      <c r="J1728" s="463"/>
      <c r="K1728" s="552"/>
    </row>
    <row r="1729" spans="1:11" hidden="1">
      <c r="A1729" s="559"/>
      <c r="F1729" s="529"/>
      <c r="G1729" s="518" t="s">
        <v>575</v>
      </c>
      <c r="H1729" s="509" t="s">
        <v>2967</v>
      </c>
      <c r="I1729" s="2"/>
      <c r="J1729" s="463"/>
      <c r="K1729" s="552"/>
    </row>
    <row r="1730" spans="1:11" hidden="1">
      <c r="A1730" s="559"/>
      <c r="H1730" s="509" t="s">
        <v>4136</v>
      </c>
      <c r="I1730" s="2"/>
      <c r="J1730" s="463"/>
      <c r="K1730" s="552"/>
    </row>
    <row r="1731" spans="1:11" hidden="1">
      <c r="A1731" s="559"/>
      <c r="H1731" s="509" t="s">
        <v>3013</v>
      </c>
      <c r="I1731" s="2"/>
      <c r="J1731" s="463"/>
      <c r="K1731" s="552"/>
    </row>
    <row r="1732" spans="1:11" hidden="1">
      <c r="A1732" s="559"/>
      <c r="H1732" s="515" t="s">
        <v>442</v>
      </c>
      <c r="I1732" s="2"/>
      <c r="J1732" s="463"/>
      <c r="K1732" s="552"/>
    </row>
    <row r="1733" spans="1:11" hidden="1">
      <c r="A1733" s="559"/>
      <c r="G1733" s="518" t="s">
        <v>4137</v>
      </c>
      <c r="H1733" s="509" t="s">
        <v>3013</v>
      </c>
      <c r="I1733" s="2"/>
      <c r="J1733" s="463"/>
      <c r="K1733" s="526" t="s">
        <v>4138</v>
      </c>
    </row>
    <row r="1734" spans="1:11" hidden="1">
      <c r="A1734" s="559"/>
      <c r="H1734" s="515" t="s">
        <v>442</v>
      </c>
      <c r="I1734" s="2"/>
      <c r="J1734" s="463"/>
      <c r="K1734" s="526" t="s">
        <v>29</v>
      </c>
    </row>
    <row r="1735" spans="1:11" hidden="1">
      <c r="A1735" s="559"/>
      <c r="F1735" s="519">
        <v>30</v>
      </c>
      <c r="G1735" s="518" t="s">
        <v>2205</v>
      </c>
      <c r="H1735" s="509" t="s">
        <v>3019</v>
      </c>
      <c r="I1735" s="492">
        <f>(C639)</f>
        <v>3</v>
      </c>
      <c r="J1735" s="500" t="s">
        <v>2205</v>
      </c>
      <c r="K1735" s="526">
        <f>(F1735*I1735)</f>
        <v>90</v>
      </c>
    </row>
    <row r="1736" spans="1:11" hidden="1">
      <c r="A1736" s="559"/>
      <c r="F1736" s="509" t="s">
        <v>30</v>
      </c>
      <c r="H1736" s="509" t="s">
        <v>3022</v>
      </c>
      <c r="I1736" s="490" t="s">
        <v>30</v>
      </c>
      <c r="J1736" s="463"/>
      <c r="K1736" s="526" t="s">
        <v>30</v>
      </c>
    </row>
    <row r="1737" spans="1:11" hidden="1">
      <c r="A1737" s="559"/>
      <c r="F1737" s="519">
        <v>8</v>
      </c>
      <c r="G1737" s="518" t="s">
        <v>2342</v>
      </c>
      <c r="H1737" s="509" t="s">
        <v>2982</v>
      </c>
      <c r="I1737" s="492">
        <f>(C641)</f>
        <v>2.2000000000000002</v>
      </c>
      <c r="J1737" s="500" t="s">
        <v>2342</v>
      </c>
      <c r="K1737" s="526">
        <f t="shared" ref="K1737:K1742" si="60">(F1737*I1737)</f>
        <v>17.600000000000001</v>
      </c>
    </row>
    <row r="1738" spans="1:11" hidden="1">
      <c r="A1738" s="559"/>
      <c r="F1738" s="519">
        <v>8</v>
      </c>
      <c r="G1738" s="518" t="s">
        <v>2342</v>
      </c>
      <c r="H1738" s="509" t="s">
        <v>2985</v>
      </c>
      <c r="I1738" s="492">
        <f>(C642)</f>
        <v>3.2</v>
      </c>
      <c r="J1738" s="500" t="s">
        <v>2342</v>
      </c>
      <c r="K1738" s="526">
        <f t="shared" si="60"/>
        <v>25.6</v>
      </c>
    </row>
    <row r="1739" spans="1:11" hidden="1">
      <c r="A1739" s="559"/>
      <c r="F1739" s="519">
        <v>3</v>
      </c>
      <c r="G1739" s="518" t="s">
        <v>2342</v>
      </c>
      <c r="H1739" s="509" t="s">
        <v>3026</v>
      </c>
      <c r="I1739" s="492">
        <f>(C41)</f>
        <v>110</v>
      </c>
      <c r="J1739" s="500" t="s">
        <v>2342</v>
      </c>
      <c r="K1739" s="526">
        <f t="shared" si="60"/>
        <v>330</v>
      </c>
    </row>
    <row r="1740" spans="1:11" hidden="1">
      <c r="A1740" s="559"/>
      <c r="F1740" s="519">
        <v>1</v>
      </c>
      <c r="G1740" s="518" t="s">
        <v>2342</v>
      </c>
      <c r="H1740" s="509" t="s">
        <v>4139</v>
      </c>
      <c r="I1740" s="492">
        <f>(C10)</f>
        <v>150</v>
      </c>
      <c r="J1740" s="500" t="s">
        <v>2342</v>
      </c>
      <c r="K1740" s="526">
        <f t="shared" si="60"/>
        <v>150</v>
      </c>
    </row>
    <row r="1741" spans="1:11" hidden="1">
      <c r="A1741" s="559"/>
      <c r="F1741" s="519">
        <v>2</v>
      </c>
      <c r="G1741" s="518" t="s">
        <v>2342</v>
      </c>
      <c r="H1741" s="509" t="s">
        <v>2344</v>
      </c>
      <c r="I1741" s="492">
        <f>(C12)</f>
        <v>95</v>
      </c>
      <c r="J1741" s="500" t="s">
        <v>2342</v>
      </c>
      <c r="K1741" s="526">
        <f t="shared" si="60"/>
        <v>190</v>
      </c>
    </row>
    <row r="1742" spans="1:11" hidden="1">
      <c r="A1742" s="559"/>
      <c r="F1742" s="519">
        <v>1</v>
      </c>
      <c r="G1742" s="518" t="s">
        <v>2342</v>
      </c>
      <c r="H1742" s="509" t="s">
        <v>2345</v>
      </c>
      <c r="I1742" s="492">
        <f>(C13)</f>
        <v>85</v>
      </c>
      <c r="J1742" s="500" t="s">
        <v>2342</v>
      </c>
      <c r="K1742" s="526">
        <f t="shared" si="60"/>
        <v>85</v>
      </c>
    </row>
    <row r="1743" spans="1:11" hidden="1">
      <c r="A1743" s="559"/>
      <c r="G1743" s="518" t="s">
        <v>2346</v>
      </c>
      <c r="H1743" s="509" t="s">
        <v>4140</v>
      </c>
      <c r="I1743" s="490" t="s">
        <v>30</v>
      </c>
      <c r="J1743" s="500" t="s">
        <v>2346</v>
      </c>
      <c r="K1743" s="526">
        <v>5</v>
      </c>
    </row>
    <row r="1744" spans="1:11" hidden="1">
      <c r="A1744" s="559"/>
      <c r="H1744" s="509" t="s">
        <v>4141</v>
      </c>
      <c r="I1744" s="490" t="s">
        <v>30</v>
      </c>
      <c r="J1744" s="463"/>
      <c r="K1744" s="526" t="s">
        <v>30</v>
      </c>
    </row>
    <row r="1745" spans="1:11" hidden="1">
      <c r="A1745" s="559"/>
      <c r="G1745" s="518" t="s">
        <v>2346</v>
      </c>
      <c r="H1745" s="509" t="s">
        <v>2347</v>
      </c>
      <c r="I1745" s="2"/>
      <c r="J1745" s="500" t="s">
        <v>2346</v>
      </c>
      <c r="K1745" s="526">
        <v>0</v>
      </c>
    </row>
    <row r="1746" spans="1:11" hidden="1">
      <c r="A1746" s="559"/>
      <c r="I1746" s="2"/>
      <c r="J1746" s="463"/>
      <c r="K1746" s="526" t="s">
        <v>442</v>
      </c>
    </row>
    <row r="1747" spans="1:11" hidden="1">
      <c r="A1747" s="559"/>
      <c r="H1747" s="509" t="s">
        <v>3031</v>
      </c>
      <c r="I1747" s="2"/>
      <c r="J1747" s="463"/>
      <c r="K1747" s="526">
        <f>SUM(K1735:K1745)</f>
        <v>893.2</v>
      </c>
    </row>
    <row r="1748" spans="1:11" hidden="1">
      <c r="A1748" s="559"/>
      <c r="I1748" s="2"/>
      <c r="J1748" s="463"/>
      <c r="K1748" s="526" t="s">
        <v>442</v>
      </c>
    </row>
    <row r="1749" spans="1:11" hidden="1">
      <c r="A1749" s="559"/>
      <c r="H1749" s="509" t="s">
        <v>2990</v>
      </c>
      <c r="I1749" s="2"/>
      <c r="J1749" s="463"/>
      <c r="K1749" s="526">
        <f>(K1747/30)</f>
        <v>29.773333333333333</v>
      </c>
    </row>
    <row r="1750" spans="1:11" hidden="1">
      <c r="A1750" s="559"/>
      <c r="I1750" s="2"/>
      <c r="J1750" s="463"/>
      <c r="K1750" s="526" t="s">
        <v>442</v>
      </c>
    </row>
    <row r="1751" spans="1:11" hidden="1">
      <c r="A1751" s="559"/>
      <c r="G1751" s="518" t="s">
        <v>3335</v>
      </c>
      <c r="H1751" s="509" t="s">
        <v>3013</v>
      </c>
      <c r="I1751" s="2"/>
      <c r="J1751" s="463"/>
      <c r="K1751" s="526" t="s">
        <v>4142</v>
      </c>
    </row>
    <row r="1752" spans="1:11" hidden="1">
      <c r="A1752" s="559"/>
      <c r="H1752" s="515" t="s">
        <v>442</v>
      </c>
      <c r="I1752" s="2"/>
      <c r="J1752" s="463"/>
      <c r="K1752" s="526" t="s">
        <v>29</v>
      </c>
    </row>
    <row r="1753" spans="1:11" hidden="1">
      <c r="A1753" s="559"/>
      <c r="F1753" s="519">
        <v>30</v>
      </c>
      <c r="G1753" s="518" t="s">
        <v>2205</v>
      </c>
      <c r="H1753" s="509" t="s">
        <v>3019</v>
      </c>
      <c r="I1753" s="492">
        <f>(C639)</f>
        <v>3</v>
      </c>
      <c r="J1753" s="500" t="s">
        <v>2205</v>
      </c>
      <c r="K1753" s="526">
        <f>(F1753*I1753)</f>
        <v>90</v>
      </c>
    </row>
    <row r="1754" spans="1:11" hidden="1">
      <c r="A1754" s="559"/>
      <c r="F1754" s="509" t="s">
        <v>30</v>
      </c>
      <c r="H1754" s="509" t="s">
        <v>3022</v>
      </c>
      <c r="I1754" s="490" t="s">
        <v>30</v>
      </c>
      <c r="J1754" s="463"/>
      <c r="K1754" s="526" t="s">
        <v>30</v>
      </c>
    </row>
    <row r="1755" spans="1:11" hidden="1">
      <c r="A1755" s="559"/>
      <c r="F1755" s="519">
        <v>8</v>
      </c>
      <c r="G1755" s="518" t="s">
        <v>2342</v>
      </c>
      <c r="H1755" s="509" t="s">
        <v>2982</v>
      </c>
      <c r="I1755" s="492">
        <f>(C641)</f>
        <v>2.2000000000000002</v>
      </c>
      <c r="J1755" s="500" t="s">
        <v>2342</v>
      </c>
      <c r="K1755" s="526">
        <f t="shared" ref="K1755:K1760" si="61">(F1755*I1755)</f>
        <v>17.600000000000001</v>
      </c>
    </row>
    <row r="1756" spans="1:11" hidden="1">
      <c r="A1756" s="559"/>
      <c r="F1756" s="519">
        <v>8</v>
      </c>
      <c r="G1756" s="518" t="s">
        <v>2342</v>
      </c>
      <c r="H1756" s="509" t="s">
        <v>2985</v>
      </c>
      <c r="I1756" s="492">
        <f>(D642)</f>
        <v>3.2</v>
      </c>
      <c r="J1756" s="500" t="s">
        <v>2342</v>
      </c>
      <c r="K1756" s="526">
        <f t="shared" si="61"/>
        <v>25.6</v>
      </c>
    </row>
    <row r="1757" spans="1:11" hidden="1">
      <c r="A1757" s="559"/>
      <c r="F1757" s="519">
        <v>3</v>
      </c>
      <c r="G1757" s="518" t="s">
        <v>2342</v>
      </c>
      <c r="H1757" s="509" t="s">
        <v>3026</v>
      </c>
      <c r="I1757" s="492">
        <f>(C41)</f>
        <v>110</v>
      </c>
      <c r="J1757" s="500" t="s">
        <v>2342</v>
      </c>
      <c r="K1757" s="526">
        <f t="shared" si="61"/>
        <v>330</v>
      </c>
    </row>
    <row r="1758" spans="1:11" hidden="1">
      <c r="A1758" s="559"/>
      <c r="F1758" s="519">
        <v>1</v>
      </c>
      <c r="G1758" s="518" t="s">
        <v>2342</v>
      </c>
      <c r="H1758" s="509" t="s">
        <v>4139</v>
      </c>
      <c r="I1758" s="492">
        <f>(C10)</f>
        <v>150</v>
      </c>
      <c r="J1758" s="500" t="s">
        <v>2342</v>
      </c>
      <c r="K1758" s="526">
        <f t="shared" si="61"/>
        <v>150</v>
      </c>
    </row>
    <row r="1759" spans="1:11" hidden="1">
      <c r="A1759" s="559"/>
      <c r="F1759" s="519">
        <v>2</v>
      </c>
      <c r="G1759" s="518" t="s">
        <v>2342</v>
      </c>
      <c r="H1759" s="509" t="s">
        <v>2344</v>
      </c>
      <c r="I1759" s="492">
        <f>(C12)</f>
        <v>95</v>
      </c>
      <c r="J1759" s="500" t="s">
        <v>2342</v>
      </c>
      <c r="K1759" s="526">
        <f t="shared" si="61"/>
        <v>190</v>
      </c>
    </row>
    <row r="1760" spans="1:11" hidden="1">
      <c r="A1760" s="559"/>
      <c r="F1760" s="519">
        <v>1</v>
      </c>
      <c r="G1760" s="518" t="s">
        <v>2342</v>
      </c>
      <c r="H1760" s="509" t="s">
        <v>2345</v>
      </c>
      <c r="I1760" s="492">
        <f>(C13)</f>
        <v>85</v>
      </c>
      <c r="J1760" s="500" t="s">
        <v>2342</v>
      </c>
      <c r="K1760" s="526">
        <f t="shared" si="61"/>
        <v>85</v>
      </c>
    </row>
    <row r="1761" spans="1:11" hidden="1">
      <c r="A1761" s="559"/>
      <c r="G1761" s="518" t="s">
        <v>2346</v>
      </c>
      <c r="H1761" s="509" t="s">
        <v>4140</v>
      </c>
      <c r="I1761" s="490" t="s">
        <v>30</v>
      </c>
      <c r="J1761" s="500" t="s">
        <v>2346</v>
      </c>
      <c r="K1761" s="526">
        <v>5</v>
      </c>
    </row>
    <row r="1762" spans="1:11" hidden="1">
      <c r="A1762" s="559"/>
      <c r="H1762" s="509" t="s">
        <v>4141</v>
      </c>
      <c r="I1762" s="490" t="s">
        <v>30</v>
      </c>
      <c r="J1762" s="463"/>
      <c r="K1762" s="526" t="s">
        <v>30</v>
      </c>
    </row>
    <row r="1763" spans="1:11" hidden="1">
      <c r="A1763" s="559"/>
      <c r="G1763" s="518" t="s">
        <v>2346</v>
      </c>
      <c r="H1763" s="509" t="s">
        <v>2347</v>
      </c>
      <c r="I1763" s="2"/>
      <c r="J1763" s="500" t="s">
        <v>2346</v>
      </c>
      <c r="K1763" s="526">
        <v>0</v>
      </c>
    </row>
    <row r="1764" spans="1:11" hidden="1">
      <c r="A1764" s="559"/>
      <c r="I1764" s="2"/>
      <c r="J1764" s="463"/>
      <c r="K1764" s="526" t="s">
        <v>442</v>
      </c>
    </row>
    <row r="1765" spans="1:11" hidden="1">
      <c r="A1765" s="559"/>
      <c r="H1765" s="509" t="s">
        <v>3031</v>
      </c>
      <c r="I1765" s="2"/>
      <c r="J1765" s="463"/>
      <c r="K1765" s="526">
        <f>SUM(K1753:K1763)</f>
        <v>893.2</v>
      </c>
    </row>
    <row r="1766" spans="1:11" hidden="1">
      <c r="A1766" s="559"/>
      <c r="I1766" s="2"/>
      <c r="J1766" s="463"/>
      <c r="K1766" s="526" t="s">
        <v>442</v>
      </c>
    </row>
    <row r="1767" spans="1:11" hidden="1">
      <c r="A1767" s="559"/>
      <c r="H1767" s="509" t="s">
        <v>2990</v>
      </c>
      <c r="I1767" s="2"/>
      <c r="J1767" s="463"/>
      <c r="K1767" s="526">
        <f>(K1765/30)</f>
        <v>29.773333333333333</v>
      </c>
    </row>
    <row r="1768" spans="1:11" hidden="1">
      <c r="A1768" s="559"/>
      <c r="I1768" s="2"/>
      <c r="J1768" s="463"/>
      <c r="K1768" s="526" t="s">
        <v>442</v>
      </c>
    </row>
    <row r="1769" spans="1:11" hidden="1">
      <c r="A1769" s="559"/>
      <c r="G1769" s="518" t="s">
        <v>2365</v>
      </c>
      <c r="H1769" s="509" t="s">
        <v>3013</v>
      </c>
      <c r="I1769" s="2"/>
      <c r="J1769" s="463"/>
      <c r="K1769" s="526" t="s">
        <v>4143</v>
      </c>
    </row>
    <row r="1770" spans="1:11" hidden="1">
      <c r="A1770" s="559"/>
      <c r="H1770" s="515" t="s">
        <v>442</v>
      </c>
      <c r="I1770" s="2"/>
      <c r="J1770" s="463"/>
      <c r="K1770" s="526" t="s">
        <v>29</v>
      </c>
    </row>
    <row r="1771" spans="1:11" hidden="1">
      <c r="A1771" s="559"/>
      <c r="F1771" s="519">
        <v>30</v>
      </c>
      <c r="G1771" s="518" t="s">
        <v>2205</v>
      </c>
      <c r="H1771" s="509" t="s">
        <v>3019</v>
      </c>
      <c r="I1771" s="492">
        <f>(C639)</f>
        <v>3</v>
      </c>
      <c r="J1771" s="500" t="s">
        <v>2205</v>
      </c>
      <c r="K1771" s="526">
        <f>(F1771*I1771)</f>
        <v>90</v>
      </c>
    </row>
    <row r="1772" spans="1:11" hidden="1">
      <c r="A1772" s="559"/>
      <c r="F1772" s="509" t="s">
        <v>30</v>
      </c>
      <c r="H1772" s="509" t="s">
        <v>3022</v>
      </c>
      <c r="I1772" s="490" t="s">
        <v>30</v>
      </c>
      <c r="J1772" s="463"/>
      <c r="K1772" s="526" t="s">
        <v>30</v>
      </c>
    </row>
    <row r="1773" spans="1:11" hidden="1">
      <c r="A1773" s="559"/>
      <c r="F1773" s="519">
        <v>8</v>
      </c>
      <c r="G1773" s="518" t="s">
        <v>2342</v>
      </c>
      <c r="H1773" s="509" t="s">
        <v>2982</v>
      </c>
      <c r="I1773" s="492">
        <f>(D641)</f>
        <v>2.7</v>
      </c>
      <c r="J1773" s="500" t="s">
        <v>2342</v>
      </c>
      <c r="K1773" s="526">
        <f t="shared" ref="K1773:K1778" si="62">(F1773*I1773)</f>
        <v>21.6</v>
      </c>
    </row>
    <row r="1774" spans="1:11" hidden="1">
      <c r="A1774" s="559"/>
      <c r="F1774" s="519">
        <v>8</v>
      </c>
      <c r="G1774" s="518" t="s">
        <v>2342</v>
      </c>
      <c r="H1774" s="509" t="s">
        <v>2985</v>
      </c>
      <c r="I1774" s="492">
        <f>(C647)</f>
        <v>6.4</v>
      </c>
      <c r="J1774" s="500" t="s">
        <v>2342</v>
      </c>
      <c r="K1774" s="526">
        <f t="shared" si="62"/>
        <v>51.2</v>
      </c>
    </row>
    <row r="1775" spans="1:11" hidden="1">
      <c r="A1775" s="559"/>
      <c r="F1775" s="519">
        <v>3</v>
      </c>
      <c r="G1775" s="518" t="s">
        <v>2342</v>
      </c>
      <c r="H1775" s="509" t="s">
        <v>3026</v>
      </c>
      <c r="I1775" s="492">
        <f>(C41)</f>
        <v>110</v>
      </c>
      <c r="J1775" s="500" t="s">
        <v>2342</v>
      </c>
      <c r="K1775" s="526">
        <f t="shared" si="62"/>
        <v>330</v>
      </c>
    </row>
    <row r="1776" spans="1:11" hidden="1">
      <c r="A1776" s="559"/>
      <c r="F1776" s="519">
        <v>1</v>
      </c>
      <c r="G1776" s="518" t="s">
        <v>2342</v>
      </c>
      <c r="H1776" s="509" t="s">
        <v>4139</v>
      </c>
      <c r="I1776" s="492">
        <f>(C10)</f>
        <v>150</v>
      </c>
      <c r="J1776" s="500" t="s">
        <v>2342</v>
      </c>
      <c r="K1776" s="526">
        <f t="shared" si="62"/>
        <v>150</v>
      </c>
    </row>
    <row r="1777" spans="1:11" hidden="1">
      <c r="A1777" s="559"/>
      <c r="F1777" s="519">
        <v>2</v>
      </c>
      <c r="G1777" s="518" t="s">
        <v>2342</v>
      </c>
      <c r="H1777" s="509" t="s">
        <v>2344</v>
      </c>
      <c r="I1777" s="492">
        <f>(C12)</f>
        <v>95</v>
      </c>
      <c r="J1777" s="500" t="s">
        <v>2342</v>
      </c>
      <c r="K1777" s="526">
        <f t="shared" si="62"/>
        <v>190</v>
      </c>
    </row>
    <row r="1778" spans="1:11" hidden="1">
      <c r="A1778" s="559"/>
      <c r="F1778" s="519">
        <v>1</v>
      </c>
      <c r="G1778" s="518" t="s">
        <v>2342</v>
      </c>
      <c r="H1778" s="509" t="s">
        <v>2345</v>
      </c>
      <c r="I1778" s="492">
        <f>(C13)</f>
        <v>85</v>
      </c>
      <c r="J1778" s="500" t="s">
        <v>2342</v>
      </c>
      <c r="K1778" s="526">
        <f t="shared" si="62"/>
        <v>85</v>
      </c>
    </row>
    <row r="1779" spans="1:11" hidden="1">
      <c r="A1779" s="559"/>
      <c r="G1779" s="518" t="s">
        <v>2346</v>
      </c>
      <c r="H1779" s="509" t="s">
        <v>4140</v>
      </c>
      <c r="I1779" s="490" t="s">
        <v>30</v>
      </c>
      <c r="J1779" s="500" t="s">
        <v>2346</v>
      </c>
      <c r="K1779" s="526">
        <v>5</v>
      </c>
    </row>
    <row r="1780" spans="1:11" hidden="1">
      <c r="A1780" s="559"/>
      <c r="H1780" s="509" t="s">
        <v>4141</v>
      </c>
      <c r="I1780" s="490" t="s">
        <v>30</v>
      </c>
      <c r="J1780" s="463"/>
      <c r="K1780" s="526" t="s">
        <v>30</v>
      </c>
    </row>
    <row r="1781" spans="1:11" hidden="1">
      <c r="A1781" s="559"/>
      <c r="G1781" s="518" t="s">
        <v>2346</v>
      </c>
      <c r="H1781" s="509" t="s">
        <v>2347</v>
      </c>
      <c r="I1781" s="2"/>
      <c r="J1781" s="500" t="s">
        <v>2346</v>
      </c>
      <c r="K1781" s="526">
        <v>0</v>
      </c>
    </row>
    <row r="1782" spans="1:11" hidden="1">
      <c r="A1782" s="559"/>
      <c r="I1782" s="2"/>
      <c r="J1782" s="463"/>
      <c r="K1782" s="526" t="s">
        <v>442</v>
      </c>
    </row>
    <row r="1783" spans="1:11" hidden="1">
      <c r="A1783" s="559"/>
      <c r="H1783" s="509" t="s">
        <v>3031</v>
      </c>
      <c r="I1783" s="2"/>
      <c r="J1783" s="463"/>
      <c r="K1783" s="526">
        <f>SUM(K1771:K1781)</f>
        <v>922.8</v>
      </c>
    </row>
    <row r="1784" spans="1:11" hidden="1">
      <c r="A1784" s="559"/>
      <c r="I1784" s="2"/>
      <c r="J1784" s="463"/>
      <c r="K1784" s="526" t="s">
        <v>442</v>
      </c>
    </row>
    <row r="1785" spans="1:11" hidden="1">
      <c r="A1785" s="559"/>
      <c r="H1785" s="509" t="s">
        <v>2990</v>
      </c>
      <c r="I1785" s="2"/>
      <c r="J1785" s="463"/>
      <c r="K1785" s="526">
        <f>(K1783/30)</f>
        <v>30.759999999999998</v>
      </c>
    </row>
    <row r="1786" spans="1:11" hidden="1">
      <c r="A1786" s="559"/>
      <c r="I1786" s="2"/>
      <c r="J1786" s="463"/>
      <c r="K1786" s="526" t="s">
        <v>442</v>
      </c>
    </row>
    <row r="1787" spans="1:11" hidden="1">
      <c r="A1787" s="559"/>
      <c r="I1787" s="2"/>
      <c r="J1787" s="463"/>
      <c r="K1787" s="552"/>
    </row>
    <row r="1788" spans="1:11" hidden="1">
      <c r="A1788" s="559"/>
      <c r="F1788" s="570">
        <v>52</v>
      </c>
      <c r="G1788" s="518" t="s">
        <v>575</v>
      </c>
      <c r="H1788" s="509" t="s">
        <v>4144</v>
      </c>
      <c r="I1788" s="2"/>
      <c r="J1788" s="463"/>
      <c r="K1788" s="552"/>
    </row>
    <row r="1789" spans="1:11" hidden="1">
      <c r="A1789" s="559"/>
      <c r="H1789" s="509" t="s">
        <v>4145</v>
      </c>
      <c r="I1789" s="2"/>
      <c r="J1789" s="463"/>
      <c r="K1789" s="552"/>
    </row>
    <row r="1790" spans="1:11" hidden="1">
      <c r="A1790" s="559"/>
      <c r="H1790" s="509" t="s">
        <v>4146</v>
      </c>
      <c r="I1790" s="2"/>
      <c r="J1790" s="463"/>
      <c r="K1790" s="552"/>
    </row>
    <row r="1791" spans="1:11" hidden="1">
      <c r="A1791" s="559"/>
      <c r="H1791" s="509" t="s">
        <v>4147</v>
      </c>
      <c r="I1791" s="2"/>
      <c r="J1791" s="463"/>
      <c r="K1791" s="552"/>
    </row>
    <row r="1792" spans="1:11" hidden="1">
      <c r="A1792" s="559"/>
      <c r="H1792" s="509" t="s">
        <v>4148</v>
      </c>
      <c r="I1792" s="2"/>
      <c r="J1792" s="463"/>
      <c r="K1792" s="552"/>
    </row>
    <row r="1793" spans="1:11" hidden="1">
      <c r="A1793" s="559"/>
      <c r="H1793" s="509" t="s">
        <v>4149</v>
      </c>
      <c r="I1793" s="2"/>
      <c r="J1793" s="463"/>
      <c r="K1793" s="552"/>
    </row>
    <row r="1794" spans="1:11" hidden="1">
      <c r="A1794" s="559"/>
      <c r="H1794" s="509" t="s">
        <v>4150</v>
      </c>
      <c r="I1794" s="2"/>
      <c r="J1794" s="463"/>
      <c r="K1794" s="552"/>
    </row>
    <row r="1795" spans="1:11" hidden="1">
      <c r="A1795" s="559"/>
      <c r="H1795" s="509" t="s">
        <v>4151</v>
      </c>
      <c r="I1795" s="2"/>
      <c r="J1795" s="463"/>
      <c r="K1795" s="552"/>
    </row>
    <row r="1796" spans="1:11" hidden="1">
      <c r="A1796" s="559"/>
      <c r="H1796" s="515" t="s">
        <v>29</v>
      </c>
      <c r="I1796" s="491" t="s">
        <v>29</v>
      </c>
      <c r="J1796" s="463"/>
      <c r="K1796" s="552"/>
    </row>
    <row r="1797" spans="1:11" hidden="1">
      <c r="A1797" s="559"/>
      <c r="G1797" s="518" t="s">
        <v>575</v>
      </c>
      <c r="H1797" s="509" t="s">
        <v>4152</v>
      </c>
      <c r="I1797" s="2"/>
      <c r="J1797" s="463"/>
      <c r="K1797" s="552"/>
    </row>
    <row r="1798" spans="1:11" hidden="1">
      <c r="A1798" s="559"/>
      <c r="H1798" s="509" t="s">
        <v>4153</v>
      </c>
      <c r="I1798" s="2"/>
      <c r="J1798" s="463"/>
      <c r="K1798" s="552"/>
    </row>
    <row r="1799" spans="1:11" hidden="1">
      <c r="A1799" s="559"/>
      <c r="G1799" s="518" t="s">
        <v>3366</v>
      </c>
      <c r="H1799" s="509" t="s">
        <v>4154</v>
      </c>
      <c r="I1799" s="2"/>
      <c r="J1799" s="463"/>
      <c r="K1799" s="552"/>
    </row>
    <row r="1800" spans="1:11" hidden="1">
      <c r="A1800" s="559"/>
      <c r="H1800" s="515" t="s">
        <v>442</v>
      </c>
      <c r="I1800" s="2"/>
      <c r="J1800" s="463"/>
      <c r="K1800" s="552"/>
    </row>
    <row r="1801" spans="1:11" hidden="1">
      <c r="A1801" s="559"/>
      <c r="F1801" s="519">
        <v>1</v>
      </c>
      <c r="G1801" s="518" t="s">
        <v>12</v>
      </c>
      <c r="H1801" s="509" t="s">
        <v>4155</v>
      </c>
      <c r="I1801" s="492">
        <f>C509</f>
        <v>32.9</v>
      </c>
      <c r="J1801" s="500" t="s">
        <v>12</v>
      </c>
      <c r="K1801" s="526">
        <f>(F1801*I1801)</f>
        <v>32.9</v>
      </c>
    </row>
    <row r="1802" spans="1:11" hidden="1">
      <c r="A1802" s="559"/>
      <c r="F1802" s="519">
        <v>1</v>
      </c>
      <c r="G1802" s="518" t="s">
        <v>2346</v>
      </c>
      <c r="H1802" s="509" t="s">
        <v>4156</v>
      </c>
      <c r="I1802" s="492">
        <f>I1801*0.7</f>
        <v>23.029999999999998</v>
      </c>
      <c r="J1802" s="500" t="s">
        <v>2346</v>
      </c>
      <c r="K1802" s="526">
        <f>(F1802*I1802)</f>
        <v>23.029999999999998</v>
      </c>
    </row>
    <row r="1803" spans="1:11" hidden="1">
      <c r="A1803" s="559"/>
      <c r="F1803" s="519">
        <v>1</v>
      </c>
      <c r="G1803" s="518" t="s">
        <v>12</v>
      </c>
      <c r="H1803" s="509" t="s">
        <v>4157</v>
      </c>
      <c r="I1803" s="492">
        <f>K1749</f>
        <v>29.773333333333333</v>
      </c>
      <c r="J1803" s="500" t="s">
        <v>12</v>
      </c>
      <c r="K1803" s="526">
        <f>(F1803*I1803)</f>
        <v>29.773333333333333</v>
      </c>
    </row>
    <row r="1804" spans="1:11" hidden="1">
      <c r="A1804" s="559"/>
      <c r="I1804" s="490" t="s">
        <v>30</v>
      </c>
      <c r="J1804" s="463"/>
      <c r="K1804" s="526" t="s">
        <v>442</v>
      </c>
    </row>
    <row r="1805" spans="1:11" hidden="1">
      <c r="A1805" s="559"/>
      <c r="H1805" s="509" t="s">
        <v>4158</v>
      </c>
      <c r="I1805" s="2"/>
      <c r="J1805" s="463"/>
      <c r="K1805" s="526">
        <f>SUM(K1801:K1803)</f>
        <v>85.703333333333319</v>
      </c>
    </row>
    <row r="1806" spans="1:11" hidden="1">
      <c r="A1806" s="559"/>
      <c r="H1806" s="509" t="s">
        <v>30</v>
      </c>
      <c r="I1806" s="490" t="s">
        <v>30</v>
      </c>
      <c r="J1806" s="463"/>
      <c r="K1806" s="526" t="s">
        <v>29</v>
      </c>
    </row>
    <row r="1807" spans="1:11" hidden="1">
      <c r="A1807" s="559"/>
      <c r="G1807" s="518" t="s">
        <v>3335</v>
      </c>
      <c r="H1807" s="509" t="s">
        <v>4159</v>
      </c>
      <c r="I1807" s="2"/>
      <c r="J1807" s="463"/>
      <c r="K1807" s="552"/>
    </row>
    <row r="1808" spans="1:11" hidden="1">
      <c r="A1808" s="559"/>
      <c r="H1808" s="515" t="s">
        <v>442</v>
      </c>
      <c r="I1808" s="2"/>
      <c r="J1808" s="463"/>
      <c r="K1808" s="552"/>
    </row>
    <row r="1809" spans="1:11" hidden="1">
      <c r="A1809" s="559"/>
      <c r="F1809" s="519">
        <v>1</v>
      </c>
      <c r="G1809" s="518" t="s">
        <v>12</v>
      </c>
      <c r="H1809" s="509" t="s">
        <v>4160</v>
      </c>
      <c r="I1809" s="492">
        <f>C510</f>
        <v>48.8</v>
      </c>
      <c r="J1809" s="500" t="s">
        <v>12</v>
      </c>
      <c r="K1809" s="526">
        <f>(F1809*I1809)</f>
        <v>48.8</v>
      </c>
    </row>
    <row r="1810" spans="1:11" hidden="1">
      <c r="A1810" s="559"/>
      <c r="F1810" s="519">
        <v>1</v>
      </c>
      <c r="G1810" s="518" t="s">
        <v>2346</v>
      </c>
      <c r="H1810" s="509" t="s">
        <v>4161</v>
      </c>
      <c r="I1810" s="492">
        <f>I1809*0.4</f>
        <v>19.52</v>
      </c>
      <c r="J1810" s="500" t="s">
        <v>2346</v>
      </c>
      <c r="K1810" s="526">
        <f>(F1810*I1810)</f>
        <v>19.52</v>
      </c>
    </row>
    <row r="1811" spans="1:11" hidden="1">
      <c r="A1811" s="559"/>
      <c r="F1811" s="519">
        <v>1</v>
      </c>
      <c r="G1811" s="518" t="s">
        <v>12</v>
      </c>
      <c r="H1811" s="509" t="s">
        <v>4157</v>
      </c>
      <c r="I1811" s="492">
        <f>K1767</f>
        <v>29.773333333333333</v>
      </c>
      <c r="J1811" s="500" t="s">
        <v>12</v>
      </c>
      <c r="K1811" s="526">
        <f>(F1811*I1811)</f>
        <v>29.773333333333333</v>
      </c>
    </row>
    <row r="1812" spans="1:11" hidden="1">
      <c r="A1812" s="559"/>
      <c r="I1812" s="490" t="s">
        <v>30</v>
      </c>
      <c r="J1812" s="463"/>
      <c r="K1812" s="526" t="s">
        <v>442</v>
      </c>
    </row>
    <row r="1813" spans="1:11" hidden="1">
      <c r="A1813" s="559"/>
      <c r="H1813" s="509" t="s">
        <v>4158</v>
      </c>
      <c r="I1813" s="2"/>
      <c r="J1813" s="463"/>
      <c r="K1813" s="526">
        <f>SUM(K1809:K1811)</f>
        <v>98.093333333333334</v>
      </c>
    </row>
    <row r="1814" spans="1:11" hidden="1">
      <c r="A1814" s="559"/>
      <c r="I1814" s="490" t="s">
        <v>30</v>
      </c>
      <c r="J1814" s="463"/>
      <c r="K1814" s="526" t="s">
        <v>29</v>
      </c>
    </row>
    <row r="1815" spans="1:11" hidden="1">
      <c r="A1815" s="559"/>
      <c r="G1815" s="518" t="s">
        <v>2365</v>
      </c>
      <c r="H1815" s="509" t="s">
        <v>4162</v>
      </c>
      <c r="I1815" s="2"/>
      <c r="J1815" s="463"/>
      <c r="K1815" s="552"/>
    </row>
    <row r="1816" spans="1:11" hidden="1">
      <c r="A1816" s="559"/>
      <c r="H1816" s="515" t="s">
        <v>442</v>
      </c>
      <c r="I1816" s="2"/>
      <c r="J1816" s="463"/>
      <c r="K1816" s="552"/>
    </row>
    <row r="1817" spans="1:11" hidden="1">
      <c r="A1817" s="559"/>
      <c r="F1817" s="519">
        <v>1</v>
      </c>
      <c r="G1817" s="518" t="s">
        <v>12</v>
      </c>
      <c r="H1817" s="509" t="s">
        <v>4163</v>
      </c>
      <c r="I1817" s="492">
        <f>C511</f>
        <v>65.7</v>
      </c>
      <c r="J1817" s="500" t="s">
        <v>12</v>
      </c>
      <c r="K1817" s="526">
        <f>(F1817*I1817)</f>
        <v>65.7</v>
      </c>
    </row>
    <row r="1818" spans="1:11" hidden="1">
      <c r="A1818" s="559"/>
      <c r="F1818" s="519">
        <v>1</v>
      </c>
      <c r="G1818" s="518" t="s">
        <v>2346</v>
      </c>
      <c r="H1818" s="509" t="s">
        <v>4164</v>
      </c>
      <c r="I1818" s="492">
        <f>I1817*0.2</f>
        <v>13.14</v>
      </c>
      <c r="J1818" s="500" t="s">
        <v>2346</v>
      </c>
      <c r="K1818" s="526">
        <f>(F1818*I1818)</f>
        <v>13.14</v>
      </c>
    </row>
    <row r="1819" spans="1:11" hidden="1">
      <c r="A1819" s="559"/>
      <c r="F1819" s="519">
        <v>1</v>
      </c>
      <c r="G1819" s="518" t="s">
        <v>12</v>
      </c>
      <c r="H1819" s="509" t="s">
        <v>4157</v>
      </c>
      <c r="I1819" s="492">
        <f>K1785</f>
        <v>30.759999999999998</v>
      </c>
      <c r="J1819" s="500" t="s">
        <v>12</v>
      </c>
      <c r="K1819" s="526">
        <f>(F1819*I1819)</f>
        <v>30.759999999999998</v>
      </c>
    </row>
    <row r="1820" spans="1:11" hidden="1">
      <c r="A1820" s="559"/>
      <c r="I1820" s="490" t="s">
        <v>30</v>
      </c>
      <c r="J1820" s="463"/>
      <c r="K1820" s="526" t="s">
        <v>442</v>
      </c>
    </row>
    <row r="1821" spans="1:11" hidden="1">
      <c r="A1821" s="559"/>
      <c r="H1821" s="509" t="s">
        <v>4158</v>
      </c>
      <c r="I1821" s="2"/>
      <c r="J1821" s="463"/>
      <c r="K1821" s="526">
        <f>SUM(K1817:K1819)</f>
        <v>109.6</v>
      </c>
    </row>
    <row r="1822" spans="1:11" hidden="1">
      <c r="A1822" s="559"/>
      <c r="I1822" s="490" t="s">
        <v>30</v>
      </c>
      <c r="J1822" s="463"/>
      <c r="K1822" s="526" t="s">
        <v>29</v>
      </c>
    </row>
    <row r="1823" spans="1:11" hidden="1">
      <c r="A1823" s="559"/>
      <c r="I1823" s="490"/>
      <c r="J1823" s="463"/>
      <c r="K1823" s="526"/>
    </row>
    <row r="1824" spans="1:11" ht="31.5" hidden="1">
      <c r="A1824" s="559"/>
      <c r="F1824" s="540">
        <v>52.1</v>
      </c>
      <c r="H1824" s="571" t="s">
        <v>4165</v>
      </c>
      <c r="I1824" s="490"/>
      <c r="J1824" s="463"/>
      <c r="K1824" s="526"/>
    </row>
    <row r="1825" spans="1:11" hidden="1">
      <c r="A1825" s="559"/>
      <c r="I1825" s="490"/>
      <c r="J1825" s="463"/>
      <c r="K1825" s="526"/>
    </row>
    <row r="1826" spans="1:11" hidden="1">
      <c r="A1826" s="559"/>
      <c r="F1826" s="510"/>
      <c r="G1826" s="518"/>
      <c r="H1826" s="509" t="s">
        <v>2967</v>
      </c>
      <c r="I1826" s="490"/>
      <c r="J1826" s="463"/>
      <c r="K1826" s="526"/>
    </row>
    <row r="1827" spans="1:11" hidden="1">
      <c r="A1827" s="559"/>
      <c r="G1827" s="518"/>
      <c r="H1827" s="509" t="s">
        <v>4166</v>
      </c>
      <c r="I1827" s="490"/>
      <c r="J1827" s="463"/>
      <c r="K1827" s="526"/>
    </row>
    <row r="1828" spans="1:11" hidden="1">
      <c r="A1828" s="559"/>
      <c r="H1828" s="515" t="s">
        <v>442</v>
      </c>
      <c r="I1828" s="490"/>
      <c r="J1828" s="463"/>
      <c r="K1828" s="526"/>
    </row>
    <row r="1829" spans="1:11" hidden="1">
      <c r="A1829" s="559"/>
      <c r="F1829" s="519">
        <v>30</v>
      </c>
      <c r="G1829" s="518" t="s">
        <v>2205</v>
      </c>
      <c r="H1829" s="509" t="s">
        <v>4167</v>
      </c>
      <c r="I1829" s="526">
        <f>E639</f>
        <v>5</v>
      </c>
      <c r="J1829" s="500" t="s">
        <v>2205</v>
      </c>
      <c r="K1829" s="526">
        <f t="shared" ref="K1829:K1835" si="63">(F1829*I1829)</f>
        <v>150</v>
      </c>
    </row>
    <row r="1830" spans="1:11" hidden="1">
      <c r="A1830" s="559"/>
      <c r="F1830" s="519">
        <v>8</v>
      </c>
      <c r="G1830" s="518" t="s">
        <v>2342</v>
      </c>
      <c r="H1830" s="509" t="s">
        <v>2982</v>
      </c>
      <c r="I1830" s="526">
        <f>I1737</f>
        <v>2.2000000000000002</v>
      </c>
      <c r="J1830" s="500" t="s">
        <v>2342</v>
      </c>
      <c r="K1830" s="526">
        <f t="shared" si="63"/>
        <v>17.600000000000001</v>
      </c>
    </row>
    <row r="1831" spans="1:11" hidden="1">
      <c r="A1831" s="559"/>
      <c r="F1831" s="519">
        <v>8</v>
      </c>
      <c r="G1831" s="518" t="s">
        <v>2342</v>
      </c>
      <c r="H1831" s="509" t="s">
        <v>2985</v>
      </c>
      <c r="I1831" s="526">
        <f>I1738</f>
        <v>3.2</v>
      </c>
      <c r="J1831" s="500" t="s">
        <v>2342</v>
      </c>
      <c r="K1831" s="526">
        <f t="shared" si="63"/>
        <v>25.6</v>
      </c>
    </row>
    <row r="1832" spans="1:11" hidden="1">
      <c r="A1832" s="559"/>
      <c r="F1832" s="519">
        <v>3</v>
      </c>
      <c r="G1832" s="518" t="s">
        <v>2342</v>
      </c>
      <c r="H1832" s="509" t="s">
        <v>3026</v>
      </c>
      <c r="I1832" s="526">
        <f>C41</f>
        <v>110</v>
      </c>
      <c r="J1832" s="500" t="s">
        <v>2342</v>
      </c>
      <c r="K1832" s="526">
        <f t="shared" si="63"/>
        <v>330</v>
      </c>
    </row>
    <row r="1833" spans="1:11" hidden="1">
      <c r="A1833" s="559"/>
      <c r="F1833" s="519">
        <v>1</v>
      </c>
      <c r="G1833" s="518" t="s">
        <v>2342</v>
      </c>
      <c r="H1833" s="509" t="s">
        <v>4139</v>
      </c>
      <c r="I1833" s="526">
        <f>C10</f>
        <v>150</v>
      </c>
      <c r="J1833" s="500" t="s">
        <v>2342</v>
      </c>
      <c r="K1833" s="526">
        <f t="shared" si="63"/>
        <v>150</v>
      </c>
    </row>
    <row r="1834" spans="1:11" hidden="1">
      <c r="A1834" s="559"/>
      <c r="F1834" s="519">
        <v>2</v>
      </c>
      <c r="G1834" s="518" t="s">
        <v>2342</v>
      </c>
      <c r="H1834" s="509" t="s">
        <v>2344</v>
      </c>
      <c r="I1834" s="526">
        <f>C12</f>
        <v>95</v>
      </c>
      <c r="J1834" s="500" t="s">
        <v>2342</v>
      </c>
      <c r="K1834" s="526">
        <f t="shared" si="63"/>
        <v>190</v>
      </c>
    </row>
    <row r="1835" spans="1:11" hidden="1">
      <c r="A1835" s="559"/>
      <c r="F1835" s="519">
        <v>1</v>
      </c>
      <c r="G1835" s="518" t="s">
        <v>2342</v>
      </c>
      <c r="H1835" s="509" t="s">
        <v>2345</v>
      </c>
      <c r="I1835" s="526">
        <f>C13</f>
        <v>85</v>
      </c>
      <c r="J1835" s="500" t="s">
        <v>2342</v>
      </c>
      <c r="K1835" s="526">
        <f t="shared" si="63"/>
        <v>85</v>
      </c>
    </row>
    <row r="1836" spans="1:11" hidden="1">
      <c r="A1836" s="559"/>
      <c r="I1836" s="2"/>
      <c r="J1836" s="463"/>
      <c r="K1836" s="526" t="s">
        <v>442</v>
      </c>
    </row>
    <row r="1837" spans="1:11" hidden="1">
      <c r="A1837" s="559"/>
      <c r="H1837" s="509" t="s">
        <v>3031</v>
      </c>
      <c r="I1837" s="2"/>
      <c r="J1837" s="463"/>
      <c r="K1837" s="526">
        <f>SUM(K1829:K1835)</f>
        <v>948.2</v>
      </c>
    </row>
    <row r="1838" spans="1:11" hidden="1">
      <c r="A1838" s="559"/>
      <c r="I1838" s="2"/>
      <c r="J1838" s="463"/>
      <c r="K1838" s="526" t="s">
        <v>442</v>
      </c>
    </row>
    <row r="1839" spans="1:11" hidden="1">
      <c r="A1839" s="559"/>
      <c r="H1839" s="509" t="s">
        <v>2990</v>
      </c>
      <c r="I1839" s="2"/>
      <c r="J1839" s="463"/>
      <c r="K1839" s="526">
        <f>(K1837/30)</f>
        <v>31.606666666666669</v>
      </c>
    </row>
    <row r="1840" spans="1:11" hidden="1">
      <c r="A1840" s="559"/>
      <c r="I1840" s="2"/>
      <c r="J1840" s="463"/>
      <c r="K1840" s="526" t="s">
        <v>442</v>
      </c>
    </row>
    <row r="1841" spans="1:11" hidden="1">
      <c r="A1841" s="559"/>
      <c r="I1841" s="490"/>
      <c r="J1841" s="463"/>
      <c r="K1841" s="526"/>
    </row>
    <row r="1842" spans="1:11" hidden="1">
      <c r="A1842" s="559"/>
      <c r="H1842" s="511" t="s">
        <v>4168</v>
      </c>
      <c r="I1842" s="490"/>
      <c r="J1842" s="463"/>
      <c r="K1842" s="526"/>
    </row>
    <row r="1843" spans="1:11" hidden="1">
      <c r="A1843" s="559"/>
      <c r="H1843" s="515" t="s">
        <v>442</v>
      </c>
      <c r="I1843" s="490"/>
      <c r="J1843" s="463"/>
      <c r="K1843" s="526"/>
    </row>
    <row r="1844" spans="1:11" hidden="1">
      <c r="A1844" s="559"/>
      <c r="F1844" s="519">
        <v>1</v>
      </c>
      <c r="G1844" s="518" t="s">
        <v>12</v>
      </c>
      <c r="H1844" s="509" t="s">
        <v>4169</v>
      </c>
      <c r="I1844" s="526">
        <f>E509</f>
        <v>70</v>
      </c>
      <c r="J1844" s="500" t="s">
        <v>12</v>
      </c>
      <c r="K1844" s="526">
        <f>(F1844*I1844)</f>
        <v>70</v>
      </c>
    </row>
    <row r="1845" spans="1:11" hidden="1">
      <c r="A1845" s="559"/>
      <c r="F1845" s="519">
        <v>1</v>
      </c>
      <c r="G1845" s="518" t="s">
        <v>2346</v>
      </c>
      <c r="H1845" s="509" t="s">
        <v>4170</v>
      </c>
      <c r="I1845" s="526">
        <f>I1844*0.2</f>
        <v>14</v>
      </c>
      <c r="J1845" s="500" t="s">
        <v>2346</v>
      </c>
      <c r="K1845" s="526">
        <f>(F1845*I1845)</f>
        <v>14</v>
      </c>
    </row>
    <row r="1846" spans="1:11" hidden="1">
      <c r="A1846" s="559"/>
      <c r="F1846" s="519">
        <v>1</v>
      </c>
      <c r="G1846" s="518" t="s">
        <v>12</v>
      </c>
      <c r="H1846" s="509" t="s">
        <v>4157</v>
      </c>
      <c r="I1846" s="526">
        <f>K1839</f>
        <v>31.606666666666669</v>
      </c>
      <c r="J1846" s="500" t="s">
        <v>12</v>
      </c>
      <c r="K1846" s="526">
        <f>(F1846*I1846)</f>
        <v>31.606666666666669</v>
      </c>
    </row>
    <row r="1847" spans="1:11" ht="31.5" hidden="1">
      <c r="A1847" s="559"/>
      <c r="F1847" s="519"/>
      <c r="G1847" s="518"/>
      <c r="H1847" s="536" t="s">
        <v>4171</v>
      </c>
      <c r="I1847" s="526"/>
      <c r="J1847" s="500" t="s">
        <v>2346</v>
      </c>
      <c r="K1847" s="526">
        <v>1.25</v>
      </c>
    </row>
    <row r="1848" spans="1:11" hidden="1">
      <c r="A1848" s="559"/>
      <c r="I1848" s="490"/>
      <c r="J1848" s="463"/>
      <c r="K1848" s="526" t="s">
        <v>442</v>
      </c>
    </row>
    <row r="1849" spans="1:11" hidden="1">
      <c r="A1849" s="559"/>
      <c r="H1849" s="509" t="s">
        <v>4158</v>
      </c>
      <c r="I1849" s="490"/>
      <c r="J1849" s="463"/>
      <c r="K1849" s="526">
        <f>SUM(K1844:K1847)</f>
        <v>116.85666666666667</v>
      </c>
    </row>
    <row r="1850" spans="1:11" hidden="1">
      <c r="A1850" s="559"/>
      <c r="I1850" s="490"/>
      <c r="J1850" s="463"/>
      <c r="K1850" s="526" t="s">
        <v>29</v>
      </c>
    </row>
    <row r="1851" spans="1:11" hidden="1">
      <c r="A1851" s="559"/>
      <c r="I1851" s="490"/>
      <c r="J1851" s="463"/>
      <c r="K1851" s="526"/>
    </row>
    <row r="1852" spans="1:11" hidden="1">
      <c r="A1852" s="559"/>
      <c r="I1852" s="490"/>
      <c r="J1852" s="463"/>
      <c r="K1852" s="526"/>
    </row>
    <row r="1853" spans="1:11" hidden="1">
      <c r="A1853" s="559"/>
      <c r="F1853" s="529">
        <v>53.1</v>
      </c>
      <c r="G1853" s="518" t="s">
        <v>575</v>
      </c>
      <c r="H1853" s="509" t="s">
        <v>4172</v>
      </c>
      <c r="I1853" s="2"/>
      <c r="J1853" s="463"/>
      <c r="K1853" s="552"/>
    </row>
    <row r="1854" spans="1:11" hidden="1">
      <c r="A1854" s="559"/>
      <c r="H1854" s="531" t="s">
        <v>4173</v>
      </c>
      <c r="I1854" s="2"/>
      <c r="J1854" s="463"/>
      <c r="K1854" s="552"/>
    </row>
    <row r="1855" spans="1:11" hidden="1">
      <c r="A1855" s="559"/>
      <c r="H1855" s="509" t="s">
        <v>4174</v>
      </c>
      <c r="I1855" s="2"/>
      <c r="J1855" s="463"/>
      <c r="K1855" s="552"/>
    </row>
    <row r="1856" spans="1:11" hidden="1">
      <c r="A1856" s="559"/>
      <c r="H1856" s="509" t="s">
        <v>4175</v>
      </c>
      <c r="I1856" s="2"/>
      <c r="J1856" s="463"/>
      <c r="K1856" s="552"/>
    </row>
    <row r="1857" spans="1:11" hidden="1">
      <c r="A1857" s="559"/>
      <c r="H1857" s="515" t="s">
        <v>442</v>
      </c>
      <c r="I1857" s="2"/>
      <c r="J1857" s="463"/>
      <c r="K1857" s="552"/>
    </row>
    <row r="1858" spans="1:11" ht="57" hidden="1" customHeight="1">
      <c r="A1858" s="559"/>
      <c r="F1858" s="572">
        <v>1</v>
      </c>
      <c r="G1858" s="572" t="s">
        <v>2342</v>
      </c>
      <c r="H1858" s="536" t="s">
        <v>4176</v>
      </c>
      <c r="I1858" s="573">
        <f>(C595)</f>
        <v>1050</v>
      </c>
      <c r="J1858" s="573" t="s">
        <v>2342</v>
      </c>
      <c r="K1858" s="836">
        <f>(F1858*I1858)</f>
        <v>1050</v>
      </c>
    </row>
    <row r="1859" spans="1:11" hidden="1">
      <c r="A1859" s="559"/>
      <c r="F1859" s="519"/>
      <c r="G1859" s="518"/>
      <c r="H1859" s="509"/>
      <c r="I1859" s="492"/>
      <c r="J1859" s="500"/>
      <c r="K1859" s="526"/>
    </row>
    <row r="1860" spans="1:11" hidden="1">
      <c r="A1860" s="559"/>
      <c r="F1860" s="519"/>
      <c r="G1860" s="518"/>
      <c r="H1860" s="509"/>
      <c r="I1860" s="492"/>
      <c r="J1860" s="500"/>
      <c r="K1860" s="526"/>
    </row>
    <row r="1861" spans="1:11" hidden="1">
      <c r="A1861" s="559"/>
      <c r="F1861" s="519"/>
      <c r="G1861" s="518"/>
      <c r="H1861" s="509"/>
      <c r="I1861" s="492"/>
      <c r="J1861" s="500"/>
      <c r="K1861" s="526"/>
    </row>
    <row r="1862" spans="1:11" hidden="1">
      <c r="A1862" s="559"/>
      <c r="F1862" s="519"/>
      <c r="G1862" s="518"/>
      <c r="H1862" s="509"/>
      <c r="I1862" s="492"/>
      <c r="J1862" s="500"/>
      <c r="K1862" s="526"/>
    </row>
    <row r="1863" spans="1:11" hidden="1">
      <c r="A1863" s="559"/>
      <c r="F1863" s="519"/>
      <c r="G1863" s="518"/>
      <c r="H1863" s="509"/>
      <c r="I1863" s="492"/>
      <c r="J1863" s="500"/>
      <c r="K1863" s="526"/>
    </row>
    <row r="1864" spans="1:11" hidden="1">
      <c r="A1864" s="559"/>
      <c r="F1864" s="519"/>
      <c r="G1864" s="518"/>
      <c r="H1864" s="509"/>
      <c r="I1864" s="492"/>
      <c r="J1864" s="500"/>
      <c r="K1864" s="526"/>
    </row>
    <row r="1865" spans="1:11" hidden="1">
      <c r="A1865" s="559"/>
      <c r="F1865" s="519">
        <v>0.5</v>
      </c>
      <c r="G1865" s="518" t="s">
        <v>2342</v>
      </c>
      <c r="H1865" s="509" t="s">
        <v>4030</v>
      </c>
      <c r="I1865" s="492">
        <f>(C15)</f>
        <v>130</v>
      </c>
      <c r="J1865" s="500" t="s">
        <v>2342</v>
      </c>
      <c r="K1865" s="526">
        <f>(F1865*I1865)</f>
        <v>65</v>
      </c>
    </row>
    <row r="1866" spans="1:11" hidden="1">
      <c r="A1866" s="559"/>
      <c r="F1866" s="519">
        <v>1</v>
      </c>
      <c r="G1866" s="518" t="s">
        <v>2342</v>
      </c>
      <c r="H1866" s="509" t="s">
        <v>2344</v>
      </c>
      <c r="I1866" s="492">
        <f>(C12)</f>
        <v>95</v>
      </c>
      <c r="J1866" s="500" t="s">
        <v>2342</v>
      </c>
      <c r="K1866" s="526">
        <f>(F1866*I1866)</f>
        <v>95</v>
      </c>
    </row>
    <row r="1867" spans="1:11" hidden="1">
      <c r="A1867" s="559"/>
      <c r="F1867" s="519">
        <v>0.5</v>
      </c>
      <c r="G1867" s="518" t="s">
        <v>2342</v>
      </c>
      <c r="H1867" s="509" t="s">
        <v>2353</v>
      </c>
      <c r="I1867" s="492">
        <f>(C10)</f>
        <v>150</v>
      </c>
      <c r="J1867" s="500" t="s">
        <v>2342</v>
      </c>
      <c r="K1867" s="526">
        <f>(F1867*I1867)</f>
        <v>75</v>
      </c>
    </row>
    <row r="1868" spans="1:11" hidden="1">
      <c r="A1868" s="559"/>
      <c r="G1868" s="518" t="s">
        <v>2346</v>
      </c>
      <c r="H1868" s="509" t="s">
        <v>4177</v>
      </c>
      <c r="I1868" s="2"/>
      <c r="J1868" s="500" t="s">
        <v>2346</v>
      </c>
      <c r="K1868" s="526">
        <v>0.5</v>
      </c>
    </row>
    <row r="1869" spans="1:11" hidden="1">
      <c r="A1869" s="559"/>
      <c r="I1869" s="2"/>
      <c r="J1869" s="463"/>
      <c r="K1869" s="526" t="s">
        <v>442</v>
      </c>
    </row>
    <row r="1870" spans="1:11" hidden="1">
      <c r="A1870" s="559"/>
      <c r="H1870" s="509" t="s">
        <v>3117</v>
      </c>
      <c r="I1870" s="2"/>
      <c r="J1870" s="463"/>
      <c r="K1870" s="526">
        <f>SUM(K1858:K1868)</f>
        <v>1285.5</v>
      </c>
    </row>
    <row r="1871" spans="1:11" hidden="1">
      <c r="A1871" s="559"/>
      <c r="I1871" s="2"/>
      <c r="J1871" s="463"/>
      <c r="K1871" s="526" t="s">
        <v>442</v>
      </c>
    </row>
    <row r="1872" spans="1:11" hidden="1">
      <c r="A1872" s="559"/>
      <c r="F1872" s="510" t="s">
        <v>4178</v>
      </c>
      <c r="H1872" s="509" t="s">
        <v>4179</v>
      </c>
      <c r="I1872" s="2"/>
      <c r="J1872" s="463"/>
      <c r="K1872" s="526" t="s">
        <v>4180</v>
      </c>
    </row>
    <row r="1873" spans="1:11" hidden="1">
      <c r="A1873" s="559"/>
      <c r="I1873" s="2"/>
      <c r="J1873" s="463"/>
      <c r="K1873" s="552"/>
    </row>
    <row r="1874" spans="1:11" hidden="1">
      <c r="A1874" s="559"/>
      <c r="F1874" s="510" t="s">
        <v>4181</v>
      </c>
      <c r="H1874" s="509" t="s">
        <v>4182</v>
      </c>
      <c r="I1874" s="2"/>
      <c r="J1874" s="463"/>
      <c r="K1874" s="526" t="s">
        <v>4183</v>
      </c>
    </row>
    <row r="1875" spans="1:11" hidden="1">
      <c r="A1875" s="559"/>
      <c r="F1875" s="510"/>
      <c r="H1875" s="509"/>
      <c r="I1875" s="2"/>
      <c r="J1875" s="463"/>
      <c r="K1875" s="526"/>
    </row>
    <row r="1876" spans="1:11" hidden="1">
      <c r="A1876" s="559"/>
      <c r="F1876" s="524">
        <v>54</v>
      </c>
      <c r="G1876" s="518" t="s">
        <v>575</v>
      </c>
      <c r="H1876" s="509" t="s">
        <v>4184</v>
      </c>
      <c r="I1876" s="2"/>
      <c r="J1876" s="500" t="s">
        <v>556</v>
      </c>
      <c r="K1876" s="526">
        <v>140</v>
      </c>
    </row>
    <row r="1877" spans="1:11" hidden="1">
      <c r="A1877" s="559"/>
      <c r="I1877" s="2"/>
      <c r="J1877" s="463"/>
      <c r="K1877" s="526" t="s">
        <v>29</v>
      </c>
    </row>
    <row r="1878" spans="1:11" hidden="1">
      <c r="A1878" s="559"/>
      <c r="I1878" s="2"/>
      <c r="J1878" s="463"/>
      <c r="K1878" s="552"/>
    </row>
    <row r="1879" spans="1:11" hidden="1">
      <c r="A1879" s="559"/>
      <c r="F1879" s="529">
        <v>54.1</v>
      </c>
      <c r="G1879" s="518" t="s">
        <v>575</v>
      </c>
      <c r="H1879" s="509" t="s">
        <v>4185</v>
      </c>
      <c r="I1879" s="2"/>
      <c r="J1879" s="500" t="s">
        <v>556</v>
      </c>
      <c r="K1879" s="526">
        <v>240</v>
      </c>
    </row>
    <row r="1880" spans="1:11" hidden="1">
      <c r="A1880" s="559"/>
      <c r="I1880" s="2"/>
      <c r="J1880" s="463"/>
      <c r="K1880" s="526" t="s">
        <v>29</v>
      </c>
    </row>
    <row r="1881" spans="1:11" hidden="1">
      <c r="A1881" s="559"/>
      <c r="I1881" s="2"/>
      <c r="J1881" s="463"/>
      <c r="K1881" s="552"/>
    </row>
    <row r="1882" spans="1:11" hidden="1">
      <c r="A1882" s="559"/>
      <c r="F1882" s="529">
        <v>54.2</v>
      </c>
      <c r="G1882" s="518" t="s">
        <v>575</v>
      </c>
      <c r="H1882" s="509" t="s">
        <v>4186</v>
      </c>
      <c r="I1882" s="2"/>
      <c r="J1882" s="500" t="s">
        <v>556</v>
      </c>
      <c r="K1882" s="526">
        <v>270</v>
      </c>
    </row>
    <row r="1883" spans="1:11" hidden="1">
      <c r="A1883" s="559"/>
      <c r="I1883" s="2"/>
      <c r="J1883" s="463"/>
      <c r="K1883" s="526" t="s">
        <v>29</v>
      </c>
    </row>
    <row r="1884" spans="1:11" hidden="1">
      <c r="A1884" s="559"/>
      <c r="I1884" s="2"/>
      <c r="J1884" s="463"/>
      <c r="K1884" s="552"/>
    </row>
    <row r="1885" spans="1:11" hidden="1">
      <c r="A1885" s="559"/>
      <c r="F1885" s="510" t="s">
        <v>4187</v>
      </c>
      <c r="G1885" s="518" t="s">
        <v>575</v>
      </c>
      <c r="H1885" s="509" t="s">
        <v>4188</v>
      </c>
      <c r="I1885" s="2"/>
      <c r="J1885" s="463"/>
      <c r="K1885" s="552"/>
    </row>
    <row r="1886" spans="1:11" hidden="1">
      <c r="A1886" s="559"/>
      <c r="H1886" s="509" t="s">
        <v>4189</v>
      </c>
      <c r="I1886" s="2"/>
      <c r="J1886" s="463"/>
      <c r="K1886" s="552"/>
    </row>
    <row r="1887" spans="1:11" hidden="1">
      <c r="A1887" s="559"/>
      <c r="H1887" s="509" t="s">
        <v>4190</v>
      </c>
      <c r="I1887" s="2"/>
      <c r="J1887" s="463"/>
      <c r="K1887" s="552"/>
    </row>
    <row r="1888" spans="1:11" hidden="1">
      <c r="A1888" s="559"/>
      <c r="H1888" s="509" t="s">
        <v>4191</v>
      </c>
      <c r="I1888" s="2"/>
      <c r="J1888" s="463"/>
      <c r="K1888" s="552"/>
    </row>
    <row r="1889" spans="1:22" hidden="1">
      <c r="A1889" s="559"/>
      <c r="H1889" s="515" t="s">
        <v>442</v>
      </c>
      <c r="I1889" s="2"/>
      <c r="J1889" s="463"/>
      <c r="K1889" s="552"/>
    </row>
    <row r="1890" spans="1:22" hidden="1">
      <c r="A1890" s="559"/>
      <c r="F1890" s="519">
        <v>1</v>
      </c>
      <c r="G1890" s="518" t="s">
        <v>2342</v>
      </c>
      <c r="H1890" s="509" t="s">
        <v>4192</v>
      </c>
      <c r="I1890" s="492">
        <f>(C200)</f>
        <v>750</v>
      </c>
      <c r="J1890" s="500" t="s">
        <v>2342</v>
      </c>
      <c r="K1890" s="526">
        <f t="shared" ref="K1890:K1896" si="64">(F1890*I1890)</f>
        <v>750</v>
      </c>
    </row>
    <row r="1891" spans="1:22" hidden="1">
      <c r="A1891" s="559"/>
      <c r="F1891" s="519">
        <v>0.65</v>
      </c>
      <c r="G1891" s="518" t="s">
        <v>2334</v>
      </c>
      <c r="H1891" s="509" t="s">
        <v>4193</v>
      </c>
      <c r="I1891" s="492">
        <f>(C61*2)</f>
        <v>50</v>
      </c>
      <c r="J1891" s="500" t="s">
        <v>2334</v>
      </c>
      <c r="K1891" s="526">
        <f t="shared" si="64"/>
        <v>32.5</v>
      </c>
    </row>
    <row r="1892" spans="1:22" hidden="1">
      <c r="A1892" s="559"/>
      <c r="F1892" s="519">
        <v>0.56999999999999995</v>
      </c>
      <c r="G1892" s="518" t="s">
        <v>2334</v>
      </c>
      <c r="H1892" s="509" t="s">
        <v>4194</v>
      </c>
      <c r="I1892" s="492">
        <f>(C26)</f>
        <v>8.8000000000000007</v>
      </c>
      <c r="J1892" s="500" t="s">
        <v>2334</v>
      </c>
      <c r="K1892" s="526">
        <f t="shared" si="64"/>
        <v>5.016</v>
      </c>
    </row>
    <row r="1893" spans="1:22" hidden="1">
      <c r="A1893" s="559"/>
      <c r="F1893" s="528">
        <v>8.1000000000000003E-2</v>
      </c>
      <c r="G1893" s="518" t="s">
        <v>2334</v>
      </c>
      <c r="H1893" s="509" t="s">
        <v>4195</v>
      </c>
      <c r="I1893" s="492" t="e">
        <f>(R60)</f>
        <v>#REF!</v>
      </c>
      <c r="J1893" s="500" t="s">
        <v>2334</v>
      </c>
      <c r="K1893" s="526" t="e">
        <f t="shared" si="64"/>
        <v>#REF!</v>
      </c>
    </row>
    <row r="1894" spans="1:22" hidden="1">
      <c r="A1894" s="559"/>
      <c r="F1894" s="519">
        <v>1</v>
      </c>
      <c r="G1894" s="518" t="s">
        <v>2342</v>
      </c>
      <c r="H1894" s="509" t="s">
        <v>4030</v>
      </c>
      <c r="I1894" s="492">
        <f>(C15)</f>
        <v>130</v>
      </c>
      <c r="J1894" s="500" t="s">
        <v>2342</v>
      </c>
      <c r="K1894" s="526">
        <f t="shared" si="64"/>
        <v>130</v>
      </c>
    </row>
    <row r="1895" spans="1:22" hidden="1">
      <c r="A1895" s="559"/>
      <c r="F1895" s="519">
        <v>0.5</v>
      </c>
      <c r="G1895" s="518" t="s">
        <v>2342</v>
      </c>
      <c r="H1895" s="509" t="s">
        <v>2343</v>
      </c>
      <c r="I1895" s="492">
        <f>(C11)</f>
        <v>135</v>
      </c>
      <c r="J1895" s="500" t="s">
        <v>2342</v>
      </c>
      <c r="K1895" s="526">
        <f t="shared" si="64"/>
        <v>67.5</v>
      </c>
    </row>
    <row r="1896" spans="1:22" hidden="1">
      <c r="A1896" s="559"/>
      <c r="F1896" s="519">
        <v>0.5</v>
      </c>
      <c r="G1896" s="518" t="s">
        <v>2342</v>
      </c>
      <c r="H1896" s="509" t="s">
        <v>2344</v>
      </c>
      <c r="I1896" s="492">
        <f>(C12)</f>
        <v>95</v>
      </c>
      <c r="J1896" s="500" t="s">
        <v>2342</v>
      </c>
      <c r="K1896" s="526">
        <f t="shared" si="64"/>
        <v>47.5</v>
      </c>
    </row>
    <row r="1897" spans="1:22" hidden="1">
      <c r="A1897" s="559"/>
      <c r="G1897" s="518" t="s">
        <v>2346</v>
      </c>
      <c r="H1897" s="509" t="s">
        <v>2347</v>
      </c>
      <c r="I1897" s="490" t="s">
        <v>30</v>
      </c>
      <c r="J1897" s="500" t="s">
        <v>2346</v>
      </c>
      <c r="K1897" s="526">
        <v>0</v>
      </c>
    </row>
    <row r="1898" spans="1:22" hidden="1">
      <c r="A1898" s="559"/>
      <c r="I1898" s="2"/>
      <c r="J1898" s="463"/>
      <c r="K1898" s="526" t="s">
        <v>442</v>
      </c>
    </row>
    <row r="1899" spans="1:22" hidden="1">
      <c r="A1899" s="559"/>
      <c r="H1899" s="509" t="s">
        <v>3117</v>
      </c>
      <c r="I1899" s="2"/>
      <c r="J1899" s="463"/>
      <c r="K1899" s="526" t="e">
        <f>SUM(K1890:K1897)</f>
        <v>#REF!</v>
      </c>
    </row>
    <row r="1900" spans="1:22" hidden="1">
      <c r="A1900" s="559"/>
      <c r="I1900" s="2"/>
      <c r="J1900" s="463"/>
      <c r="K1900" s="526" t="s">
        <v>29</v>
      </c>
    </row>
    <row r="1901" spans="1:22" hidden="1">
      <c r="A1901" s="559"/>
      <c r="G1901" s="518" t="s">
        <v>30</v>
      </c>
      <c r="H1901" s="509" t="s">
        <v>30</v>
      </c>
      <c r="I1901" s="2"/>
      <c r="J1901" s="463"/>
      <c r="K1901" s="526" t="s">
        <v>30</v>
      </c>
    </row>
    <row r="1902" spans="1:22" hidden="1">
      <c r="A1902" s="559"/>
      <c r="I1902" s="2"/>
      <c r="J1902" s="500" t="s">
        <v>30</v>
      </c>
      <c r="K1902" s="526" t="s">
        <v>30</v>
      </c>
    </row>
    <row r="1903" spans="1:22" hidden="1">
      <c r="A1903" s="559"/>
      <c r="F1903" s="510" t="s">
        <v>4196</v>
      </c>
      <c r="G1903" s="518" t="s">
        <v>575</v>
      </c>
      <c r="H1903" s="509" t="s">
        <v>4188</v>
      </c>
      <c r="I1903" s="2"/>
      <c r="J1903" s="463"/>
      <c r="K1903" s="552"/>
    </row>
    <row r="1904" spans="1:22" hidden="1">
      <c r="A1904" s="559"/>
      <c r="H1904" s="509" t="s">
        <v>4189</v>
      </c>
      <c r="I1904" s="2"/>
      <c r="J1904" s="463"/>
      <c r="K1904" s="552"/>
      <c r="V1904" s="509" t="s">
        <v>4138</v>
      </c>
    </row>
    <row r="1905" spans="1:11" hidden="1">
      <c r="A1905" s="559"/>
      <c r="H1905" s="509" t="s">
        <v>4190</v>
      </c>
      <c r="I1905" s="2"/>
      <c r="J1905" s="463"/>
      <c r="K1905" s="552"/>
    </row>
    <row r="1906" spans="1:11" hidden="1">
      <c r="A1906" s="559"/>
      <c r="H1906" s="509" t="s">
        <v>4197</v>
      </c>
      <c r="I1906" s="2"/>
      <c r="J1906" s="463"/>
      <c r="K1906" s="552"/>
    </row>
    <row r="1907" spans="1:11" hidden="1">
      <c r="A1907" s="559"/>
      <c r="H1907" s="515" t="s">
        <v>442</v>
      </c>
      <c r="I1907" s="2"/>
      <c r="J1907" s="463"/>
      <c r="K1907" s="552"/>
    </row>
    <row r="1908" spans="1:11" hidden="1">
      <c r="A1908" s="559"/>
      <c r="F1908" s="519">
        <v>1</v>
      </c>
      <c r="G1908" s="518" t="s">
        <v>2342</v>
      </c>
      <c r="H1908" s="509" t="s">
        <v>4192</v>
      </c>
      <c r="I1908" s="492">
        <f>(C200)</f>
        <v>750</v>
      </c>
      <c r="J1908" s="500" t="s">
        <v>2342</v>
      </c>
      <c r="K1908" s="526">
        <f>(F1908*I1908)</f>
        <v>750</v>
      </c>
    </row>
    <row r="1909" spans="1:11" hidden="1">
      <c r="A1909" s="559"/>
      <c r="F1909" s="528">
        <v>0.40500000000000003</v>
      </c>
      <c r="G1909" s="518" t="s">
        <v>2334</v>
      </c>
      <c r="H1909" s="509" t="s">
        <v>4198</v>
      </c>
      <c r="I1909" s="492" t="e">
        <f>(K1262)</f>
        <v>#REF!</v>
      </c>
      <c r="J1909" s="500" t="s">
        <v>2334</v>
      </c>
      <c r="K1909" s="526" t="e">
        <f>(F1909*I1909)</f>
        <v>#REF!</v>
      </c>
    </row>
    <row r="1910" spans="1:11" hidden="1">
      <c r="A1910" s="559"/>
      <c r="H1910" s="509" t="s">
        <v>4199</v>
      </c>
      <c r="I1910" s="490" t="s">
        <v>30</v>
      </c>
      <c r="J1910" s="463"/>
      <c r="K1910" s="526" t="s">
        <v>30</v>
      </c>
    </row>
    <row r="1911" spans="1:11" hidden="1">
      <c r="A1911" s="559"/>
      <c r="F1911" s="519">
        <v>1.89</v>
      </c>
      <c r="G1911" s="518" t="s">
        <v>2788</v>
      </c>
      <c r="H1911" s="509" t="s">
        <v>4200</v>
      </c>
      <c r="I1911" s="492" t="e">
        <f>(K1373)</f>
        <v>#REF!</v>
      </c>
      <c r="J1911" s="500" t="s">
        <v>2788</v>
      </c>
      <c r="K1911" s="526" t="e">
        <f>(F1911*I1911)</f>
        <v>#REF!</v>
      </c>
    </row>
    <row r="1912" spans="1:11" hidden="1">
      <c r="A1912" s="559"/>
      <c r="H1912" s="509" t="s">
        <v>4201</v>
      </c>
      <c r="I1912" s="490" t="s">
        <v>30</v>
      </c>
      <c r="J1912" s="463"/>
      <c r="K1912" s="526" t="s">
        <v>30</v>
      </c>
    </row>
    <row r="1913" spans="1:11" hidden="1">
      <c r="A1913" s="559"/>
      <c r="F1913" s="528">
        <v>8.1000000000000003E-2</v>
      </c>
      <c r="G1913" s="518" t="s">
        <v>2334</v>
      </c>
      <c r="H1913" s="509" t="s">
        <v>4202</v>
      </c>
      <c r="I1913" s="492" t="e">
        <f>(R60)</f>
        <v>#REF!</v>
      </c>
      <c r="J1913" s="500" t="s">
        <v>2334</v>
      </c>
      <c r="K1913" s="526" t="e">
        <f>(F1913*I1913)</f>
        <v>#REF!</v>
      </c>
    </row>
    <row r="1914" spans="1:11" hidden="1">
      <c r="A1914" s="559"/>
      <c r="H1914" s="509" t="s">
        <v>4203</v>
      </c>
      <c r="I1914" s="2"/>
      <c r="J1914" s="463"/>
      <c r="K1914" s="552"/>
    </row>
    <row r="1915" spans="1:11" hidden="1">
      <c r="A1915" s="559"/>
      <c r="F1915" s="519">
        <v>1</v>
      </c>
      <c r="G1915" s="518" t="s">
        <v>2359</v>
      </c>
      <c r="H1915" s="509" t="s">
        <v>4030</v>
      </c>
      <c r="I1915" s="492">
        <f>(C15)</f>
        <v>130</v>
      </c>
      <c r="J1915" s="500" t="s">
        <v>2359</v>
      </c>
      <c r="K1915" s="526">
        <f>(F1915*I1915)</f>
        <v>130</v>
      </c>
    </row>
    <row r="1916" spans="1:11" hidden="1">
      <c r="A1916" s="559"/>
      <c r="F1916" s="519">
        <v>0.5</v>
      </c>
      <c r="G1916" s="518" t="s">
        <v>2342</v>
      </c>
      <c r="H1916" s="509" t="s">
        <v>2343</v>
      </c>
      <c r="I1916" s="492">
        <f>(C11)</f>
        <v>135</v>
      </c>
      <c r="J1916" s="500" t="s">
        <v>2342</v>
      </c>
      <c r="K1916" s="526">
        <f>(F1916*I1916)</f>
        <v>67.5</v>
      </c>
    </row>
    <row r="1917" spans="1:11" hidden="1">
      <c r="A1917" s="559"/>
      <c r="F1917" s="519">
        <v>0.5</v>
      </c>
      <c r="G1917" s="518" t="s">
        <v>2342</v>
      </c>
      <c r="H1917" s="509" t="s">
        <v>2344</v>
      </c>
      <c r="I1917" s="492">
        <f>(C12)</f>
        <v>95</v>
      </c>
      <c r="J1917" s="500" t="s">
        <v>2342</v>
      </c>
      <c r="K1917" s="526">
        <f>(F1917*I1917)</f>
        <v>47.5</v>
      </c>
    </row>
    <row r="1918" spans="1:11" hidden="1">
      <c r="A1918" s="559"/>
      <c r="G1918" s="518" t="s">
        <v>2346</v>
      </c>
      <c r="H1918" s="509" t="s">
        <v>2347</v>
      </c>
      <c r="I1918" s="490" t="s">
        <v>30</v>
      </c>
      <c r="J1918" s="500" t="s">
        <v>2346</v>
      </c>
      <c r="K1918" s="526">
        <v>0</v>
      </c>
    </row>
    <row r="1919" spans="1:11" hidden="1">
      <c r="A1919" s="559"/>
      <c r="H1919" s="509" t="s">
        <v>30</v>
      </c>
      <c r="I1919" s="2"/>
      <c r="J1919" s="463"/>
      <c r="K1919" s="526" t="s">
        <v>442</v>
      </c>
    </row>
    <row r="1920" spans="1:11" hidden="1">
      <c r="A1920" s="559"/>
      <c r="H1920" s="509" t="s">
        <v>3117</v>
      </c>
      <c r="I1920" s="2"/>
      <c r="J1920" s="463"/>
      <c r="K1920" s="526" t="e">
        <f>SUM(K1908:K1918)</f>
        <v>#REF!</v>
      </c>
    </row>
    <row r="1921" spans="1:11" hidden="1">
      <c r="A1921" s="559"/>
      <c r="I1921" s="2"/>
      <c r="J1921" s="463"/>
      <c r="K1921" s="526" t="s">
        <v>29</v>
      </c>
    </row>
    <row r="1922" spans="1:11" hidden="1">
      <c r="A1922" s="559"/>
      <c r="G1922" s="518" t="s">
        <v>30</v>
      </c>
      <c r="H1922" s="509" t="s">
        <v>30</v>
      </c>
      <c r="I1922" s="2"/>
      <c r="J1922" s="463"/>
      <c r="K1922" s="526" t="s">
        <v>30</v>
      </c>
    </row>
    <row r="1923" spans="1:11" hidden="1">
      <c r="A1923" s="559"/>
      <c r="I1923" s="2"/>
      <c r="J1923" s="500" t="s">
        <v>30</v>
      </c>
      <c r="K1923" s="526" t="s">
        <v>2485</v>
      </c>
    </row>
    <row r="1924" spans="1:11" hidden="1">
      <c r="A1924" s="559"/>
      <c r="F1924" s="524">
        <v>57</v>
      </c>
      <c r="G1924" s="518" t="s">
        <v>575</v>
      </c>
      <c r="H1924" s="509" t="s">
        <v>4204</v>
      </c>
      <c r="I1924" s="2"/>
      <c r="J1924" s="463"/>
      <c r="K1924" s="552"/>
    </row>
    <row r="1925" spans="1:11" hidden="1">
      <c r="A1925" s="559"/>
      <c r="H1925" s="509" t="s">
        <v>4205</v>
      </c>
      <c r="I1925" s="2"/>
      <c r="J1925" s="463"/>
      <c r="K1925" s="552"/>
    </row>
    <row r="1926" spans="1:11" hidden="1">
      <c r="A1926" s="559"/>
      <c r="H1926" s="509" t="s">
        <v>4206</v>
      </c>
      <c r="I1926" s="2"/>
      <c r="J1926" s="463"/>
      <c r="K1926" s="552"/>
    </row>
    <row r="1927" spans="1:11" hidden="1">
      <c r="A1927" s="559"/>
      <c r="H1927" s="515" t="s">
        <v>442</v>
      </c>
      <c r="I1927" s="2"/>
      <c r="J1927" s="463"/>
      <c r="K1927" s="552"/>
    </row>
    <row r="1928" spans="1:11" ht="95.25" hidden="1" customHeight="1">
      <c r="A1928" s="559"/>
      <c r="F1928" s="572">
        <v>1</v>
      </c>
      <c r="G1928" s="572" t="s">
        <v>3131</v>
      </c>
      <c r="H1928" s="536" t="s">
        <v>4207</v>
      </c>
      <c r="I1928" s="573">
        <f>C591</f>
        <v>1700</v>
      </c>
      <c r="J1928" s="574" t="s">
        <v>3131</v>
      </c>
      <c r="K1928" s="836">
        <f>(F1928*I1928)</f>
        <v>1700</v>
      </c>
    </row>
    <row r="1929" spans="1:11" hidden="1">
      <c r="A1929" s="559"/>
      <c r="F1929" s="519"/>
      <c r="G1929" s="518"/>
      <c r="H1929" s="575" t="s">
        <v>4208</v>
      </c>
      <c r="I1929" s="492"/>
      <c r="J1929" s="500"/>
      <c r="K1929" s="526"/>
    </row>
    <row r="1930" spans="1:11" hidden="1">
      <c r="A1930" s="559"/>
      <c r="F1930" s="519">
        <v>1</v>
      </c>
      <c r="G1930" s="518" t="s">
        <v>2342</v>
      </c>
      <c r="H1930" s="509" t="s">
        <v>2353</v>
      </c>
      <c r="I1930" s="492">
        <f>(C10)</f>
        <v>150</v>
      </c>
      <c r="J1930" s="500" t="s">
        <v>2342</v>
      </c>
      <c r="K1930" s="526">
        <f>(F1930*I1930)</f>
        <v>150</v>
      </c>
    </row>
    <row r="1931" spans="1:11" hidden="1">
      <c r="A1931" s="559"/>
      <c r="F1931" s="519">
        <v>2</v>
      </c>
      <c r="G1931" s="518" t="s">
        <v>2342</v>
      </c>
      <c r="H1931" s="509" t="s">
        <v>4030</v>
      </c>
      <c r="I1931" s="492">
        <f>(C15)</f>
        <v>130</v>
      </c>
      <c r="J1931" s="500" t="s">
        <v>2342</v>
      </c>
      <c r="K1931" s="526">
        <f>(F1931*I1931)</f>
        <v>260</v>
      </c>
    </row>
    <row r="1932" spans="1:11" hidden="1">
      <c r="A1932" s="559"/>
      <c r="F1932" s="519">
        <v>1</v>
      </c>
      <c r="G1932" s="518" t="s">
        <v>2342</v>
      </c>
      <c r="H1932" s="509" t="s">
        <v>2345</v>
      </c>
      <c r="I1932" s="492">
        <f>(C13)</f>
        <v>85</v>
      </c>
      <c r="J1932" s="500" t="s">
        <v>2342</v>
      </c>
      <c r="K1932" s="526">
        <f>(F1932*I1932)</f>
        <v>85</v>
      </c>
    </row>
    <row r="1933" spans="1:11" hidden="1">
      <c r="A1933" s="559"/>
      <c r="F1933" s="519"/>
      <c r="G1933" s="518"/>
      <c r="H1933" s="575" t="s">
        <v>4209</v>
      </c>
      <c r="I1933" s="492"/>
      <c r="J1933" s="500"/>
      <c r="K1933" s="526"/>
    </row>
    <row r="1934" spans="1:11" hidden="1">
      <c r="A1934" s="559"/>
      <c r="F1934" s="519">
        <v>0.5</v>
      </c>
      <c r="G1934" s="518" t="s">
        <v>2342</v>
      </c>
      <c r="H1934" s="509" t="s">
        <v>4030</v>
      </c>
      <c r="I1934" s="492">
        <f>(C15)</f>
        <v>130</v>
      </c>
      <c r="J1934" s="500" t="s">
        <v>2342</v>
      </c>
      <c r="K1934" s="526">
        <f>(F1934*I1934)</f>
        <v>65</v>
      </c>
    </row>
    <row r="1935" spans="1:11" hidden="1">
      <c r="A1935" s="559"/>
      <c r="F1935" s="519">
        <v>0.5</v>
      </c>
      <c r="G1935" s="518" t="s">
        <v>2342</v>
      </c>
      <c r="H1935" s="509" t="s">
        <v>2344</v>
      </c>
      <c r="I1935" s="492">
        <f>(C12)</f>
        <v>95</v>
      </c>
      <c r="J1935" s="500" t="s">
        <v>2342</v>
      </c>
      <c r="K1935" s="526">
        <f>(F1935*I1935)</f>
        <v>47.5</v>
      </c>
    </row>
    <row r="1936" spans="1:11" hidden="1">
      <c r="A1936" s="559"/>
      <c r="G1936" s="518" t="s">
        <v>2346</v>
      </c>
      <c r="H1936" s="509" t="s">
        <v>2347</v>
      </c>
      <c r="I1936" s="2"/>
      <c r="J1936" s="500" t="s">
        <v>2346</v>
      </c>
      <c r="K1936" s="526">
        <v>0</v>
      </c>
    </row>
    <row r="1937" spans="1:11" hidden="1">
      <c r="A1937" s="559"/>
      <c r="I1937" s="2"/>
      <c r="J1937" s="463"/>
      <c r="K1937" s="526" t="s">
        <v>442</v>
      </c>
    </row>
    <row r="1938" spans="1:11" hidden="1">
      <c r="A1938" s="559"/>
      <c r="H1938" s="509" t="s">
        <v>3117</v>
      </c>
      <c r="I1938" s="2"/>
      <c r="J1938" s="463"/>
      <c r="K1938" s="526">
        <f>SUM(K1928:K1936)</f>
        <v>2307.5</v>
      </c>
    </row>
    <row r="1939" spans="1:11" hidden="1">
      <c r="A1939" s="559"/>
      <c r="F1939" s="509" t="s">
        <v>30</v>
      </c>
      <c r="I1939" s="2"/>
      <c r="J1939" s="463"/>
      <c r="K1939" s="552"/>
    </row>
    <row r="1940" spans="1:11" hidden="1">
      <c r="A1940" s="559"/>
      <c r="I1940" s="2"/>
      <c r="J1940" s="463"/>
      <c r="K1940" s="526" t="s">
        <v>442</v>
      </c>
    </row>
    <row r="1941" spans="1:11" hidden="1">
      <c r="A1941" s="559"/>
      <c r="G1941" s="518" t="s">
        <v>30</v>
      </c>
      <c r="H1941" s="509" t="s">
        <v>30</v>
      </c>
      <c r="I1941" s="2"/>
      <c r="J1941" s="463"/>
      <c r="K1941" s="526" t="s">
        <v>30</v>
      </c>
    </row>
    <row r="1942" spans="1:11" hidden="1">
      <c r="A1942" s="559"/>
      <c r="H1942" s="509" t="s">
        <v>30</v>
      </c>
      <c r="I1942" s="2"/>
      <c r="J1942" s="463"/>
      <c r="K1942" s="552"/>
    </row>
    <row r="1943" spans="1:11" hidden="1">
      <c r="A1943" s="559"/>
      <c r="F1943" s="529">
        <v>57.1</v>
      </c>
      <c r="G1943" s="518" t="s">
        <v>575</v>
      </c>
      <c r="H1943" s="509" t="s">
        <v>4210</v>
      </c>
      <c r="I1943" s="2"/>
      <c r="J1943" s="463"/>
      <c r="K1943" s="552"/>
    </row>
    <row r="1944" spans="1:11" hidden="1">
      <c r="A1944" s="559"/>
      <c r="H1944" s="509" t="s">
        <v>4205</v>
      </c>
      <c r="I1944" s="2"/>
      <c r="J1944" s="463"/>
      <c r="K1944" s="552"/>
    </row>
    <row r="1945" spans="1:11" hidden="1">
      <c r="A1945" s="559"/>
      <c r="H1945" s="509" t="s">
        <v>4206</v>
      </c>
      <c r="I1945" s="2"/>
      <c r="J1945" s="463"/>
      <c r="K1945" s="552"/>
    </row>
    <row r="1946" spans="1:11" hidden="1">
      <c r="A1946" s="559"/>
      <c r="H1946" s="515" t="s">
        <v>442</v>
      </c>
      <c r="I1946" s="2"/>
      <c r="J1946" s="463"/>
      <c r="K1946" s="552"/>
    </row>
    <row r="1947" spans="1:11" ht="78.75" hidden="1">
      <c r="A1947" s="559"/>
      <c r="F1947" s="572">
        <v>1</v>
      </c>
      <c r="G1947" s="572" t="s">
        <v>3131</v>
      </c>
      <c r="H1947" s="536" t="s">
        <v>4207</v>
      </c>
      <c r="I1947" s="2">
        <f>E591</f>
        <v>2000</v>
      </c>
      <c r="J1947" s="574" t="s">
        <v>3131</v>
      </c>
      <c r="K1947" s="836">
        <f>(F1947*I1947)</f>
        <v>2000</v>
      </c>
    </row>
    <row r="1948" spans="1:11" hidden="1">
      <c r="A1948" s="559"/>
      <c r="F1948" s="519"/>
      <c r="G1948" s="518"/>
      <c r="H1948" s="575" t="s">
        <v>4208</v>
      </c>
      <c r="I1948" s="2"/>
      <c r="J1948" s="500"/>
      <c r="K1948" s="526"/>
    </row>
    <row r="1949" spans="1:11" hidden="1">
      <c r="A1949" s="559"/>
      <c r="F1949" s="519">
        <v>1</v>
      </c>
      <c r="G1949" s="518" t="s">
        <v>2342</v>
      </c>
      <c r="H1949" s="509" t="s">
        <v>2353</v>
      </c>
      <c r="I1949" s="2">
        <f>C10</f>
        <v>150</v>
      </c>
      <c r="J1949" s="500" t="s">
        <v>2342</v>
      </c>
      <c r="K1949" s="526">
        <f>(F1949*I1949)</f>
        <v>150</v>
      </c>
    </row>
    <row r="1950" spans="1:11" hidden="1">
      <c r="A1950" s="559"/>
      <c r="F1950" s="519">
        <v>2</v>
      </c>
      <c r="G1950" s="518" t="s">
        <v>2342</v>
      </c>
      <c r="H1950" s="509" t="s">
        <v>4030</v>
      </c>
      <c r="I1950" s="2">
        <f>C15</f>
        <v>130</v>
      </c>
      <c r="J1950" s="500" t="s">
        <v>2342</v>
      </c>
      <c r="K1950" s="526">
        <f>(F1950*I1950)</f>
        <v>260</v>
      </c>
    </row>
    <row r="1951" spans="1:11" hidden="1">
      <c r="A1951" s="559"/>
      <c r="F1951" s="519">
        <v>1</v>
      </c>
      <c r="G1951" s="518" t="s">
        <v>2342</v>
      </c>
      <c r="H1951" s="509" t="s">
        <v>2345</v>
      </c>
      <c r="I1951" s="2">
        <f>C13</f>
        <v>85</v>
      </c>
      <c r="J1951" s="500" t="s">
        <v>2342</v>
      </c>
      <c r="K1951" s="526">
        <f>(F1951*I1951)</f>
        <v>85</v>
      </c>
    </row>
    <row r="1952" spans="1:11" hidden="1">
      <c r="A1952" s="559"/>
      <c r="F1952" s="519"/>
      <c r="G1952" s="518"/>
      <c r="H1952" s="575" t="s">
        <v>4209</v>
      </c>
      <c r="I1952" s="2"/>
      <c r="J1952" s="500"/>
      <c r="K1952" s="526"/>
    </row>
    <row r="1953" spans="1:11" hidden="1">
      <c r="A1953" s="559"/>
      <c r="F1953" s="519">
        <v>0.5</v>
      </c>
      <c r="G1953" s="518" t="s">
        <v>2342</v>
      </c>
      <c r="H1953" s="509" t="s">
        <v>4030</v>
      </c>
      <c r="I1953" s="2">
        <f>C15</f>
        <v>130</v>
      </c>
      <c r="J1953" s="500" t="s">
        <v>2342</v>
      </c>
      <c r="K1953" s="526">
        <f>(F1953*I1953)</f>
        <v>65</v>
      </c>
    </row>
    <row r="1954" spans="1:11" hidden="1">
      <c r="A1954" s="559"/>
      <c r="F1954" s="519">
        <v>0.5</v>
      </c>
      <c r="G1954" s="518" t="s">
        <v>2342</v>
      </c>
      <c r="H1954" s="509" t="s">
        <v>2344</v>
      </c>
      <c r="I1954" s="2">
        <f>C12</f>
        <v>95</v>
      </c>
      <c r="J1954" s="500" t="s">
        <v>2342</v>
      </c>
      <c r="K1954" s="526">
        <f>(F1954*I1954)</f>
        <v>47.5</v>
      </c>
    </row>
    <row r="1955" spans="1:11" hidden="1">
      <c r="A1955" s="559"/>
      <c r="G1955" s="518" t="s">
        <v>2346</v>
      </c>
      <c r="H1955" s="509" t="s">
        <v>2347</v>
      </c>
      <c r="I1955" s="2"/>
      <c r="J1955" s="500" t="s">
        <v>2346</v>
      </c>
      <c r="K1955" s="526">
        <v>0</v>
      </c>
    </row>
    <row r="1956" spans="1:11" hidden="1">
      <c r="A1956" s="559"/>
      <c r="I1956" s="2"/>
      <c r="J1956" s="463"/>
      <c r="K1956" s="526" t="s">
        <v>442</v>
      </c>
    </row>
    <row r="1957" spans="1:11" hidden="1">
      <c r="A1957" s="559"/>
      <c r="H1957" s="509" t="s">
        <v>3117</v>
      </c>
      <c r="I1957" s="2"/>
      <c r="J1957" s="463"/>
      <c r="K1957" s="526">
        <f>SUM(K1947:K1955)</f>
        <v>2607.5</v>
      </c>
    </row>
    <row r="1958" spans="1:11" hidden="1">
      <c r="A1958" s="559"/>
      <c r="H1958" s="509"/>
      <c r="I1958" s="2"/>
      <c r="J1958" s="463"/>
      <c r="K1958" s="552"/>
    </row>
    <row r="1959" spans="1:11" hidden="1">
      <c r="A1959" s="559"/>
      <c r="H1959" s="509"/>
      <c r="I1959" s="2"/>
      <c r="J1959" s="463"/>
      <c r="K1959" s="526" t="s">
        <v>442</v>
      </c>
    </row>
    <row r="1960" spans="1:11" hidden="1">
      <c r="A1960" s="559"/>
      <c r="H1960" s="509"/>
      <c r="I1960" s="2"/>
      <c r="J1960" s="463"/>
      <c r="K1960" s="552"/>
    </row>
    <row r="1961" spans="1:11" hidden="1">
      <c r="A1961" s="559"/>
      <c r="F1961" s="510" t="s">
        <v>4211</v>
      </c>
      <c r="G1961" s="518" t="s">
        <v>575</v>
      </c>
      <c r="H1961" s="509" t="s">
        <v>4212</v>
      </c>
      <c r="I1961" s="2"/>
      <c r="J1961" s="463"/>
      <c r="K1961" s="552"/>
    </row>
    <row r="1962" spans="1:11" hidden="1">
      <c r="A1962" s="559"/>
      <c r="H1962" s="509" t="s">
        <v>4213</v>
      </c>
      <c r="I1962" s="2"/>
      <c r="J1962" s="463"/>
      <c r="K1962" s="552"/>
    </row>
    <row r="1963" spans="1:11" hidden="1">
      <c r="A1963" s="559"/>
      <c r="H1963" s="515" t="s">
        <v>442</v>
      </c>
      <c r="I1963" s="2"/>
      <c r="J1963" s="463"/>
      <c r="K1963" s="552"/>
    </row>
    <row r="1964" spans="1:11" hidden="1">
      <c r="A1964" s="559"/>
      <c r="G1964" s="518" t="s">
        <v>2806</v>
      </c>
      <c r="H1964" s="509" t="s">
        <v>4214</v>
      </c>
      <c r="I1964" s="2"/>
      <c r="J1964" s="463"/>
      <c r="K1964" s="552"/>
    </row>
    <row r="1965" spans="1:11" hidden="1">
      <c r="A1965" s="559"/>
      <c r="H1965" s="509" t="s">
        <v>4215</v>
      </c>
      <c r="I1965" s="2"/>
      <c r="J1965" s="463"/>
      <c r="K1965" s="552"/>
    </row>
    <row r="1966" spans="1:11" hidden="1">
      <c r="A1966" s="559"/>
      <c r="H1966" s="509" t="s">
        <v>4216</v>
      </c>
      <c r="I1966" s="2"/>
      <c r="J1966" s="463"/>
      <c r="K1966" s="552"/>
    </row>
    <row r="1967" spans="1:11" hidden="1">
      <c r="A1967" s="559"/>
      <c r="H1967" s="509" t="s">
        <v>4217</v>
      </c>
      <c r="I1967" s="2"/>
      <c r="J1967" s="463"/>
      <c r="K1967" s="552"/>
    </row>
    <row r="1968" spans="1:11" hidden="1">
      <c r="A1968" s="559"/>
      <c r="H1968" s="509" t="s">
        <v>4218</v>
      </c>
      <c r="I1968" s="2"/>
      <c r="J1968" s="463"/>
      <c r="K1968" s="552"/>
    </row>
    <row r="1969" spans="1:11" hidden="1">
      <c r="A1969" s="559"/>
      <c r="H1969" s="509" t="s">
        <v>4219</v>
      </c>
      <c r="I1969" s="2"/>
      <c r="J1969" s="463"/>
      <c r="K1969" s="552"/>
    </row>
    <row r="1970" spans="1:11" hidden="1">
      <c r="A1970" s="559"/>
      <c r="H1970" s="509" t="s">
        <v>4220</v>
      </c>
      <c r="I1970" s="2"/>
      <c r="J1970" s="463"/>
      <c r="K1970" s="552"/>
    </row>
    <row r="1971" spans="1:11" hidden="1">
      <c r="A1971" s="559"/>
      <c r="H1971" s="515" t="s">
        <v>442</v>
      </c>
      <c r="I1971" s="2"/>
      <c r="J1971" s="463"/>
      <c r="K1971" s="552"/>
    </row>
    <row r="1972" spans="1:11" hidden="1">
      <c r="A1972" s="559"/>
      <c r="F1972" s="519">
        <v>3</v>
      </c>
      <c r="G1972" s="518" t="s">
        <v>2205</v>
      </c>
      <c r="H1972" s="509" t="s">
        <v>4221</v>
      </c>
      <c r="I1972" s="492">
        <f>(C598)</f>
        <v>120</v>
      </c>
      <c r="J1972" s="500" t="s">
        <v>2205</v>
      </c>
      <c r="K1972" s="526">
        <f t="shared" ref="K1972:K1978" si="65">(F1972*I1972)</f>
        <v>360</v>
      </c>
    </row>
    <row r="1973" spans="1:11" hidden="1">
      <c r="A1973" s="559"/>
      <c r="F1973" s="519">
        <v>1</v>
      </c>
      <c r="G1973" s="518" t="s">
        <v>2359</v>
      </c>
      <c r="H1973" s="509" t="s">
        <v>4222</v>
      </c>
      <c r="I1973" s="492">
        <f>C601</f>
        <v>65</v>
      </c>
      <c r="J1973" s="500" t="s">
        <v>3321</v>
      </c>
      <c r="K1973" s="526">
        <f t="shared" si="65"/>
        <v>65</v>
      </c>
    </row>
    <row r="1974" spans="1:11" hidden="1">
      <c r="A1974" s="559"/>
      <c r="F1974" s="519">
        <v>1</v>
      </c>
      <c r="G1974" s="518" t="s">
        <v>2359</v>
      </c>
      <c r="H1974" s="509" t="s">
        <v>4223</v>
      </c>
      <c r="I1974" s="492">
        <f>C626</f>
        <v>12</v>
      </c>
      <c r="J1974" s="500" t="s">
        <v>3321</v>
      </c>
      <c r="K1974" s="526">
        <f t="shared" si="65"/>
        <v>12</v>
      </c>
    </row>
    <row r="1975" spans="1:11" hidden="1">
      <c r="A1975" s="559"/>
      <c r="F1975" s="519">
        <v>1</v>
      </c>
      <c r="G1975" s="518" t="s">
        <v>2359</v>
      </c>
      <c r="H1975" s="509" t="s">
        <v>4224</v>
      </c>
      <c r="I1975" s="492">
        <f>C623</f>
        <v>110</v>
      </c>
      <c r="J1975" s="500" t="s">
        <v>3321</v>
      </c>
      <c r="K1975" s="526">
        <f t="shared" si="65"/>
        <v>110</v>
      </c>
    </row>
    <row r="1976" spans="1:11" hidden="1">
      <c r="A1976" s="559"/>
      <c r="F1976" s="519">
        <v>0.5</v>
      </c>
      <c r="G1976" s="518" t="s">
        <v>2342</v>
      </c>
      <c r="H1976" s="509" t="s">
        <v>4030</v>
      </c>
      <c r="I1976" s="492">
        <f>(C15)</f>
        <v>130</v>
      </c>
      <c r="J1976" s="500" t="s">
        <v>3321</v>
      </c>
      <c r="K1976" s="526">
        <f t="shared" si="65"/>
        <v>65</v>
      </c>
    </row>
    <row r="1977" spans="1:11" hidden="1">
      <c r="A1977" s="559"/>
      <c r="F1977" s="519">
        <v>0.5</v>
      </c>
      <c r="G1977" s="518" t="s">
        <v>2342</v>
      </c>
      <c r="H1977" s="509" t="s">
        <v>2343</v>
      </c>
      <c r="I1977" s="492">
        <f>(C11)</f>
        <v>135</v>
      </c>
      <c r="J1977" s="500" t="s">
        <v>3321</v>
      </c>
      <c r="K1977" s="526">
        <f t="shared" si="65"/>
        <v>67.5</v>
      </c>
    </row>
    <row r="1978" spans="1:11" hidden="1">
      <c r="A1978" s="559"/>
      <c r="F1978" s="519">
        <v>0.5</v>
      </c>
      <c r="G1978" s="518" t="s">
        <v>2342</v>
      </c>
      <c r="H1978" s="509" t="s">
        <v>2344</v>
      </c>
      <c r="I1978" s="492">
        <f>(C12)</f>
        <v>95</v>
      </c>
      <c r="J1978" s="500" t="s">
        <v>3321</v>
      </c>
      <c r="K1978" s="526">
        <f t="shared" si="65"/>
        <v>47.5</v>
      </c>
    </row>
    <row r="1979" spans="1:11" hidden="1">
      <c r="A1979" s="559"/>
      <c r="G1979" s="518" t="s">
        <v>2346</v>
      </c>
      <c r="H1979" s="509" t="s">
        <v>4225</v>
      </c>
      <c r="I1979" s="492">
        <v>2.79</v>
      </c>
      <c r="J1979" s="500" t="s">
        <v>2346</v>
      </c>
      <c r="K1979" s="526">
        <v>2.79</v>
      </c>
    </row>
    <row r="1980" spans="1:11" hidden="1">
      <c r="A1980" s="559"/>
      <c r="H1980" s="509" t="s">
        <v>4226</v>
      </c>
      <c r="I1980" s="2"/>
      <c r="J1980" s="463"/>
      <c r="K1980" s="552"/>
    </row>
    <row r="1981" spans="1:11" hidden="1">
      <c r="A1981" s="559"/>
      <c r="H1981" s="509" t="s">
        <v>4227</v>
      </c>
      <c r="I1981" s="2"/>
      <c r="J1981" s="463"/>
      <c r="K1981" s="552"/>
    </row>
    <row r="1982" spans="1:11" hidden="1">
      <c r="A1982" s="559"/>
      <c r="H1982" s="509" t="s">
        <v>4228</v>
      </c>
      <c r="I1982" s="2"/>
      <c r="J1982" s="500" t="s">
        <v>2346</v>
      </c>
      <c r="K1982" s="526">
        <v>0</v>
      </c>
    </row>
    <row r="1983" spans="1:11" hidden="1">
      <c r="A1983" s="559"/>
      <c r="I1983" s="2"/>
      <c r="J1983" s="463"/>
      <c r="K1983" s="526" t="s">
        <v>442</v>
      </c>
    </row>
    <row r="1984" spans="1:11" hidden="1">
      <c r="A1984" s="559"/>
      <c r="H1984" s="509" t="s">
        <v>4033</v>
      </c>
      <c r="I1984" s="2"/>
      <c r="J1984" s="463"/>
      <c r="K1984" s="526">
        <f>SUM(K1972:K1982)</f>
        <v>729.79</v>
      </c>
    </row>
    <row r="1985" spans="1:11" hidden="1">
      <c r="A1985" s="559"/>
      <c r="I1985" s="2"/>
      <c r="J1985" s="463"/>
      <c r="K1985" s="526" t="s">
        <v>442</v>
      </c>
    </row>
    <row r="1986" spans="1:11" hidden="1">
      <c r="A1986" s="559"/>
      <c r="H1986" s="509" t="s">
        <v>2990</v>
      </c>
      <c r="I1986" s="2"/>
      <c r="J1986" s="463"/>
      <c r="K1986" s="526">
        <f>(K1984/3)</f>
        <v>243.26333333333332</v>
      </c>
    </row>
    <row r="1987" spans="1:11" hidden="1">
      <c r="A1987" s="559"/>
      <c r="I1987" s="2"/>
      <c r="J1987" s="463"/>
      <c r="K1987" s="526" t="s">
        <v>442</v>
      </c>
    </row>
    <row r="1988" spans="1:11" hidden="1">
      <c r="A1988" s="559"/>
      <c r="F1988" s="510" t="s">
        <v>4229</v>
      </c>
      <c r="G1988" s="518" t="s">
        <v>4230</v>
      </c>
      <c r="H1988" s="509" t="s">
        <v>4231</v>
      </c>
      <c r="I1988" s="2"/>
      <c r="J1988" s="463"/>
      <c r="K1988" s="552"/>
    </row>
    <row r="1989" spans="1:11" hidden="1">
      <c r="A1989" s="559"/>
      <c r="H1989" s="509" t="s">
        <v>4232</v>
      </c>
      <c r="I1989" s="2"/>
      <c r="J1989" s="463"/>
      <c r="K1989" s="552"/>
    </row>
    <row r="1990" spans="1:11" hidden="1">
      <c r="A1990" s="559"/>
      <c r="H1990" s="509" t="s">
        <v>4216</v>
      </c>
      <c r="I1990" s="2"/>
      <c r="J1990" s="463"/>
      <c r="K1990" s="552"/>
    </row>
    <row r="1991" spans="1:11" hidden="1">
      <c r="A1991" s="559"/>
      <c r="H1991" s="509" t="s">
        <v>4233</v>
      </c>
      <c r="I1991" s="2"/>
      <c r="J1991" s="463"/>
      <c r="K1991" s="552"/>
    </row>
    <row r="1992" spans="1:11" hidden="1">
      <c r="A1992" s="559"/>
      <c r="H1992" s="509" t="s">
        <v>4234</v>
      </c>
      <c r="I1992" s="2"/>
      <c r="J1992" s="463"/>
      <c r="K1992" s="552"/>
    </row>
    <row r="1993" spans="1:11" hidden="1">
      <c r="A1993" s="559"/>
      <c r="H1993" s="509" t="s">
        <v>4219</v>
      </c>
      <c r="I1993" s="2"/>
      <c r="J1993" s="463"/>
      <c r="K1993" s="552"/>
    </row>
    <row r="1994" spans="1:11" hidden="1">
      <c r="A1994" s="559"/>
      <c r="H1994" s="509" t="s">
        <v>4220</v>
      </c>
      <c r="I1994" s="2"/>
      <c r="J1994" s="463"/>
      <c r="K1994" s="552"/>
    </row>
    <row r="1995" spans="1:11" hidden="1">
      <c r="A1995" s="559"/>
      <c r="H1995" s="515" t="s">
        <v>442</v>
      </c>
      <c r="I1995" s="2"/>
      <c r="J1995" s="463"/>
      <c r="K1995" s="552"/>
    </row>
    <row r="1996" spans="1:11" hidden="1">
      <c r="A1996" s="559"/>
      <c r="F1996" s="519">
        <v>3</v>
      </c>
      <c r="G1996" s="518" t="s">
        <v>2205</v>
      </c>
      <c r="H1996" s="509" t="s">
        <v>4235</v>
      </c>
      <c r="I1996" s="492">
        <f>(C599)</f>
        <v>80</v>
      </c>
      <c r="J1996" s="500" t="s">
        <v>2205</v>
      </c>
      <c r="K1996" s="526">
        <f t="shared" ref="K1996:K2002" si="66">(F1996*I1996)</f>
        <v>240</v>
      </c>
    </row>
    <row r="1997" spans="1:11" hidden="1">
      <c r="A1997" s="559"/>
      <c r="F1997" s="519">
        <v>1</v>
      </c>
      <c r="G1997" s="518" t="s">
        <v>2359</v>
      </c>
      <c r="H1997" s="509" t="s">
        <v>4236</v>
      </c>
      <c r="I1997" s="492">
        <f>C602</f>
        <v>40</v>
      </c>
      <c r="J1997" s="463" t="s">
        <v>2359</v>
      </c>
      <c r="K1997" s="526">
        <f t="shared" si="66"/>
        <v>40</v>
      </c>
    </row>
    <row r="1998" spans="1:11" hidden="1">
      <c r="A1998" s="559"/>
      <c r="F1998" s="519">
        <v>1</v>
      </c>
      <c r="G1998" s="518" t="s">
        <v>2359</v>
      </c>
      <c r="H1998" s="509" t="s">
        <v>4237</v>
      </c>
      <c r="I1998" s="492">
        <f>C627</f>
        <v>7.5</v>
      </c>
      <c r="J1998" s="463" t="s">
        <v>2359</v>
      </c>
      <c r="K1998" s="526">
        <f t="shared" si="66"/>
        <v>7.5</v>
      </c>
    </row>
    <row r="1999" spans="1:11" hidden="1">
      <c r="A1999" s="559"/>
      <c r="F1999" s="519">
        <v>1</v>
      </c>
      <c r="G1999" s="518" t="s">
        <v>2359</v>
      </c>
      <c r="H1999" s="509" t="s">
        <v>4238</v>
      </c>
      <c r="I1999" s="492">
        <f>C624</f>
        <v>70</v>
      </c>
      <c r="J1999" s="463" t="s">
        <v>2359</v>
      </c>
      <c r="K1999" s="526">
        <f t="shared" si="66"/>
        <v>70</v>
      </c>
    </row>
    <row r="2000" spans="1:11" hidden="1">
      <c r="A2000" s="559"/>
      <c r="F2000" s="519">
        <v>0.5</v>
      </c>
      <c r="G2000" s="518" t="s">
        <v>2342</v>
      </c>
      <c r="H2000" s="509" t="s">
        <v>4030</v>
      </c>
      <c r="I2000" s="492">
        <f>(C15)</f>
        <v>130</v>
      </c>
      <c r="J2000" s="500" t="s">
        <v>2342</v>
      </c>
      <c r="K2000" s="526">
        <f t="shared" si="66"/>
        <v>65</v>
      </c>
    </row>
    <row r="2001" spans="1:11" hidden="1">
      <c r="A2001" s="559"/>
      <c r="F2001" s="519">
        <v>0.5</v>
      </c>
      <c r="G2001" s="518" t="s">
        <v>2342</v>
      </c>
      <c r="H2001" s="509" t="s">
        <v>2343</v>
      </c>
      <c r="I2001" s="492">
        <f>(C11)</f>
        <v>135</v>
      </c>
      <c r="J2001" s="500" t="s">
        <v>2342</v>
      </c>
      <c r="K2001" s="526">
        <f t="shared" si="66"/>
        <v>67.5</v>
      </c>
    </row>
    <row r="2002" spans="1:11" hidden="1">
      <c r="A2002" s="559"/>
      <c r="F2002" s="519">
        <v>0.5</v>
      </c>
      <c r="G2002" s="518" t="s">
        <v>2342</v>
      </c>
      <c r="H2002" s="509" t="s">
        <v>2344</v>
      </c>
      <c r="I2002" s="492">
        <f>(C12)</f>
        <v>95</v>
      </c>
      <c r="J2002" s="500" t="s">
        <v>2342</v>
      </c>
      <c r="K2002" s="526">
        <f t="shared" si="66"/>
        <v>47.5</v>
      </c>
    </row>
    <row r="2003" spans="1:11" hidden="1">
      <c r="A2003" s="559"/>
      <c r="G2003" s="518" t="s">
        <v>2346</v>
      </c>
      <c r="H2003" s="509" t="s">
        <v>4225</v>
      </c>
      <c r="I2003" s="490" t="s">
        <v>30</v>
      </c>
      <c r="J2003" s="500" t="s">
        <v>2346</v>
      </c>
      <c r="K2003" s="526">
        <v>2.73</v>
      </c>
    </row>
    <row r="2004" spans="1:11" hidden="1">
      <c r="A2004" s="559"/>
      <c r="H2004" s="509" t="s">
        <v>4226</v>
      </c>
      <c r="I2004" s="2"/>
      <c r="J2004" s="463"/>
      <c r="K2004" s="552"/>
    </row>
    <row r="2005" spans="1:11" hidden="1">
      <c r="A2005" s="559"/>
      <c r="H2005" s="509" t="s">
        <v>4227</v>
      </c>
      <c r="I2005" s="2"/>
      <c r="J2005" s="463"/>
      <c r="K2005" s="552"/>
    </row>
    <row r="2006" spans="1:11" hidden="1">
      <c r="A2006" s="559"/>
      <c r="H2006" s="509" t="s">
        <v>4228</v>
      </c>
      <c r="I2006" s="2"/>
      <c r="J2006" s="500" t="s">
        <v>2346</v>
      </c>
      <c r="K2006" s="526">
        <v>0</v>
      </c>
    </row>
    <row r="2007" spans="1:11" hidden="1">
      <c r="A2007" s="559"/>
      <c r="I2007" s="2"/>
      <c r="J2007" s="463"/>
      <c r="K2007" s="526" t="s">
        <v>442</v>
      </c>
    </row>
    <row r="2008" spans="1:11" hidden="1">
      <c r="A2008" s="559"/>
      <c r="H2008" s="509" t="s">
        <v>4033</v>
      </c>
      <c r="I2008" s="2"/>
      <c r="J2008" s="463"/>
      <c r="K2008" s="526">
        <f>SUM(K1996:K2006)</f>
        <v>540.23</v>
      </c>
    </row>
    <row r="2009" spans="1:11" hidden="1">
      <c r="A2009" s="559"/>
      <c r="I2009" s="2"/>
      <c r="J2009" s="463"/>
      <c r="K2009" s="526" t="s">
        <v>442</v>
      </c>
    </row>
    <row r="2010" spans="1:11" hidden="1">
      <c r="A2010" s="559"/>
      <c r="H2010" s="509" t="s">
        <v>2990</v>
      </c>
      <c r="I2010" s="2"/>
      <c r="J2010" s="463"/>
      <c r="K2010" s="526">
        <f>(K2008/3)</f>
        <v>180.07666666666668</v>
      </c>
    </row>
    <row r="2011" spans="1:11" hidden="1">
      <c r="A2011" s="559"/>
      <c r="I2011" s="2"/>
      <c r="J2011" s="463"/>
      <c r="K2011" s="526" t="s">
        <v>442</v>
      </c>
    </row>
    <row r="2012" spans="1:11" hidden="1">
      <c r="A2012" s="559"/>
      <c r="F2012" s="510" t="s">
        <v>4239</v>
      </c>
      <c r="H2012" s="509" t="s">
        <v>4240</v>
      </c>
      <c r="I2012" s="2"/>
      <c r="J2012" s="463"/>
      <c r="K2012" s="552"/>
    </row>
    <row r="2013" spans="1:11" hidden="1">
      <c r="A2013" s="559"/>
      <c r="H2013" s="509" t="s">
        <v>4241</v>
      </c>
      <c r="I2013" s="2"/>
      <c r="J2013" s="463"/>
      <c r="K2013" s="552"/>
    </row>
    <row r="2014" spans="1:11" hidden="1">
      <c r="A2014" s="559"/>
      <c r="F2014" s="509" t="s">
        <v>30</v>
      </c>
      <c r="H2014" s="509" t="s">
        <v>4242</v>
      </c>
      <c r="I2014" s="2"/>
      <c r="J2014" s="463"/>
      <c r="K2014" s="552"/>
    </row>
    <row r="2015" spans="1:11" hidden="1">
      <c r="A2015" s="559"/>
      <c r="H2015" s="515" t="s">
        <v>442</v>
      </c>
      <c r="I2015" s="2"/>
      <c r="J2015" s="463"/>
      <c r="K2015" s="552"/>
    </row>
    <row r="2016" spans="1:11" hidden="1">
      <c r="A2016" s="559"/>
      <c r="F2016" s="519">
        <v>3</v>
      </c>
      <c r="G2016" s="518" t="s">
        <v>4108</v>
      </c>
      <c r="H2016" s="509" t="s">
        <v>4243</v>
      </c>
      <c r="I2016" s="492">
        <v>108</v>
      </c>
      <c r="J2016" s="500" t="s">
        <v>4108</v>
      </c>
      <c r="K2016" s="526">
        <f>(F2016*I2016)</f>
        <v>324</v>
      </c>
    </row>
    <row r="2017" spans="1:11" hidden="1">
      <c r="A2017" s="559"/>
      <c r="F2017" s="519">
        <v>1</v>
      </c>
      <c r="G2017" s="518" t="s">
        <v>4058</v>
      </c>
      <c r="H2017" s="509" t="s">
        <v>4244</v>
      </c>
      <c r="I2017" s="492">
        <v>12</v>
      </c>
      <c r="J2017" s="500" t="s">
        <v>4058</v>
      </c>
      <c r="K2017" s="526">
        <f>(F2017*I2017)</f>
        <v>12</v>
      </c>
    </row>
    <row r="2018" spans="1:11" hidden="1">
      <c r="A2018" s="559"/>
      <c r="F2018" s="519">
        <v>1</v>
      </c>
      <c r="G2018" s="518" t="s">
        <v>4058</v>
      </c>
      <c r="H2018" s="509" t="s">
        <v>4245</v>
      </c>
      <c r="I2018" s="492">
        <v>8</v>
      </c>
      <c r="J2018" s="500" t="s">
        <v>4058</v>
      </c>
      <c r="K2018" s="526">
        <f>(F2018*I2018)</f>
        <v>8</v>
      </c>
    </row>
    <row r="2019" spans="1:11" hidden="1">
      <c r="A2019" s="559"/>
      <c r="F2019" s="510" t="s">
        <v>4111</v>
      </c>
      <c r="H2019" s="509" t="s">
        <v>4246</v>
      </c>
      <c r="I2019" s="500" t="s">
        <v>4111</v>
      </c>
      <c r="J2019" s="463"/>
      <c r="K2019" s="526">
        <v>1.21</v>
      </c>
    </row>
    <row r="2020" spans="1:11" hidden="1">
      <c r="A2020" s="559"/>
      <c r="I2020" s="2"/>
      <c r="J2020" s="463"/>
      <c r="K2020" s="526" t="s">
        <v>442</v>
      </c>
    </row>
    <row r="2021" spans="1:11" hidden="1">
      <c r="A2021" s="559"/>
      <c r="H2021" s="509" t="s">
        <v>4247</v>
      </c>
      <c r="I2021" s="2"/>
      <c r="J2021" s="463"/>
      <c r="K2021" s="526">
        <f>SUM(K2016:K2019)</f>
        <v>345.21</v>
      </c>
    </row>
    <row r="2022" spans="1:11" hidden="1">
      <c r="A2022" s="559"/>
      <c r="I2022" s="2"/>
      <c r="J2022" s="463"/>
      <c r="K2022" s="526" t="s">
        <v>442</v>
      </c>
    </row>
    <row r="2023" spans="1:11" hidden="1">
      <c r="A2023" s="559"/>
      <c r="I2023" s="2"/>
      <c r="J2023" s="463"/>
      <c r="K2023" s="552"/>
    </row>
    <row r="2024" spans="1:11" hidden="1">
      <c r="A2024" s="559"/>
      <c r="F2024" s="510" t="s">
        <v>4248</v>
      </c>
      <c r="G2024" s="518" t="s">
        <v>575</v>
      </c>
      <c r="H2024" s="509" t="s">
        <v>4249</v>
      </c>
      <c r="I2024" s="2"/>
      <c r="J2024" s="463"/>
      <c r="K2024" s="552"/>
    </row>
    <row r="2025" spans="1:11" hidden="1">
      <c r="A2025" s="559"/>
      <c r="H2025" s="509" t="s">
        <v>4250</v>
      </c>
      <c r="I2025" s="2"/>
      <c r="J2025" s="463"/>
      <c r="K2025" s="552"/>
    </row>
    <row r="2026" spans="1:11" hidden="1">
      <c r="A2026" s="559"/>
      <c r="H2026" s="515" t="s">
        <v>442</v>
      </c>
      <c r="I2026" s="2"/>
      <c r="J2026" s="463"/>
      <c r="K2026" s="552"/>
    </row>
    <row r="2027" spans="1:11" hidden="1">
      <c r="A2027" s="559"/>
      <c r="F2027" s="519">
        <v>1</v>
      </c>
      <c r="G2027" s="518" t="s">
        <v>2342</v>
      </c>
      <c r="H2027" s="509" t="s">
        <v>4250</v>
      </c>
      <c r="I2027" s="492">
        <f>(C265)</f>
        <v>115</v>
      </c>
      <c r="J2027" s="500" t="s">
        <v>2342</v>
      </c>
      <c r="K2027" s="526">
        <f>(F2027*I2027)</f>
        <v>115</v>
      </c>
    </row>
    <row r="2028" spans="1:11" hidden="1">
      <c r="A2028" s="559"/>
      <c r="F2028" s="519">
        <v>0.05</v>
      </c>
      <c r="G2028" s="518" t="s">
        <v>2334</v>
      </c>
      <c r="H2028" s="509" t="s">
        <v>4251</v>
      </c>
      <c r="I2028" s="492" t="e">
        <f>(R60)</f>
        <v>#REF!</v>
      </c>
      <c r="J2028" s="500" t="s">
        <v>2334</v>
      </c>
      <c r="K2028" s="526" t="e">
        <f>(F2028*I2028)</f>
        <v>#REF!</v>
      </c>
    </row>
    <row r="2029" spans="1:11" hidden="1">
      <c r="A2029" s="559"/>
      <c r="F2029" s="519">
        <v>0.5</v>
      </c>
      <c r="G2029" s="518" t="s">
        <v>2342</v>
      </c>
      <c r="H2029" s="509" t="s">
        <v>4030</v>
      </c>
      <c r="I2029" s="492">
        <f>(C15)</f>
        <v>130</v>
      </c>
      <c r="J2029" s="500" t="s">
        <v>2342</v>
      </c>
      <c r="K2029" s="526">
        <f>(F2029*I2029)</f>
        <v>65</v>
      </c>
    </row>
    <row r="2030" spans="1:11" hidden="1">
      <c r="A2030" s="559"/>
      <c r="F2030" s="519">
        <v>1</v>
      </c>
      <c r="G2030" s="518" t="s">
        <v>2342</v>
      </c>
      <c r="H2030" s="509" t="s">
        <v>2344</v>
      </c>
      <c r="I2030" s="492">
        <f>(C12)</f>
        <v>95</v>
      </c>
      <c r="J2030" s="500" t="s">
        <v>2342</v>
      </c>
      <c r="K2030" s="526">
        <f>(F2030*I2030)</f>
        <v>95</v>
      </c>
    </row>
    <row r="2031" spans="1:11" hidden="1">
      <c r="A2031" s="559"/>
      <c r="F2031" s="519">
        <v>1</v>
      </c>
      <c r="G2031" s="518" t="s">
        <v>2342</v>
      </c>
      <c r="H2031" s="509" t="s">
        <v>2345</v>
      </c>
      <c r="I2031" s="492">
        <f>(C13)</f>
        <v>85</v>
      </c>
      <c r="J2031" s="500" t="s">
        <v>2342</v>
      </c>
      <c r="K2031" s="526">
        <f>(F2031*I2031)</f>
        <v>85</v>
      </c>
    </row>
    <row r="2032" spans="1:11" hidden="1">
      <c r="A2032" s="559"/>
      <c r="G2032" s="518" t="s">
        <v>2346</v>
      </c>
      <c r="H2032" s="509" t="s">
        <v>2347</v>
      </c>
      <c r="I2032" s="490" t="s">
        <v>30</v>
      </c>
      <c r="J2032" s="500" t="s">
        <v>2346</v>
      </c>
      <c r="K2032" s="526">
        <v>0</v>
      </c>
    </row>
    <row r="2033" spans="1:11" hidden="1">
      <c r="A2033" s="559"/>
      <c r="H2033" s="509" t="s">
        <v>30</v>
      </c>
      <c r="I2033" s="2"/>
      <c r="J2033" s="463"/>
      <c r="K2033" s="526" t="s">
        <v>442</v>
      </c>
    </row>
    <row r="2034" spans="1:11" hidden="1">
      <c r="A2034" s="559"/>
      <c r="H2034" s="509" t="s">
        <v>3117</v>
      </c>
      <c r="I2034" s="2"/>
      <c r="J2034" s="463"/>
      <c r="K2034" s="526" t="e">
        <f>SUM(K2027:K2032)</f>
        <v>#REF!</v>
      </c>
    </row>
    <row r="2035" spans="1:11" hidden="1">
      <c r="A2035" s="559"/>
      <c r="I2035" s="2"/>
      <c r="J2035" s="463"/>
      <c r="K2035" s="526" t="s">
        <v>29</v>
      </c>
    </row>
    <row r="2036" spans="1:11" hidden="1">
      <c r="A2036" s="559"/>
      <c r="F2036" s="510" t="s">
        <v>4252</v>
      </c>
      <c r="G2036" s="518" t="s">
        <v>575</v>
      </c>
      <c r="H2036" s="509" t="s">
        <v>4253</v>
      </c>
      <c r="I2036" s="2"/>
      <c r="J2036" s="463"/>
      <c r="K2036" s="552"/>
    </row>
    <row r="2037" spans="1:11" hidden="1">
      <c r="A2037" s="559"/>
      <c r="H2037" s="509" t="s">
        <v>4254</v>
      </c>
      <c r="I2037" s="2"/>
      <c r="J2037" s="463"/>
      <c r="K2037" s="552"/>
    </row>
    <row r="2038" spans="1:11" hidden="1">
      <c r="A2038" s="559"/>
      <c r="H2038" s="515" t="s">
        <v>442</v>
      </c>
      <c r="I2038" s="2"/>
      <c r="J2038" s="463"/>
      <c r="K2038" s="552"/>
    </row>
    <row r="2039" spans="1:11" hidden="1">
      <c r="A2039" s="559"/>
      <c r="F2039" s="519">
        <v>1</v>
      </c>
      <c r="G2039" s="518" t="s">
        <v>2342</v>
      </c>
      <c r="H2039" s="509" t="s">
        <v>4255</v>
      </c>
      <c r="I2039" s="492">
        <f>(D266)</f>
        <v>90</v>
      </c>
      <c r="J2039" s="500" t="s">
        <v>2342</v>
      </c>
      <c r="K2039" s="526">
        <f>(F2039*I2039)</f>
        <v>90</v>
      </c>
    </row>
    <row r="2040" spans="1:11" hidden="1">
      <c r="A2040" s="559"/>
      <c r="G2040" s="518" t="s">
        <v>2346</v>
      </c>
      <c r="H2040" s="509" t="s">
        <v>4256</v>
      </c>
      <c r="I2040" s="2"/>
      <c r="J2040" s="500" t="s">
        <v>2346</v>
      </c>
      <c r="K2040" s="526">
        <v>4</v>
      </c>
    </row>
    <row r="2041" spans="1:11" hidden="1">
      <c r="A2041" s="559"/>
      <c r="I2041" s="2"/>
      <c r="J2041" s="500" t="s">
        <v>30</v>
      </c>
      <c r="K2041" s="526" t="s">
        <v>442</v>
      </c>
    </row>
    <row r="2042" spans="1:11" hidden="1">
      <c r="A2042" s="559"/>
      <c r="H2042" s="509" t="s">
        <v>3117</v>
      </c>
      <c r="I2042" s="2"/>
      <c r="J2042" s="463"/>
      <c r="K2042" s="526">
        <f>SUM(K2039:K2041)</f>
        <v>94</v>
      </c>
    </row>
    <row r="2043" spans="1:11" hidden="1">
      <c r="A2043" s="559"/>
      <c r="I2043" s="2"/>
      <c r="J2043" s="463"/>
      <c r="K2043" s="526" t="s">
        <v>442</v>
      </c>
    </row>
    <row r="2044" spans="1:11" hidden="1">
      <c r="A2044" s="559"/>
      <c r="F2044" s="510" t="s">
        <v>4257</v>
      </c>
      <c r="G2044" s="518" t="s">
        <v>575</v>
      </c>
      <c r="H2044" s="509" t="s">
        <v>4258</v>
      </c>
      <c r="I2044" s="2"/>
      <c r="J2044" s="463"/>
      <c r="K2044" s="552"/>
    </row>
    <row r="2045" spans="1:11" hidden="1">
      <c r="A2045" s="559"/>
      <c r="H2045" s="509" t="s">
        <v>4259</v>
      </c>
      <c r="I2045" s="2"/>
      <c r="J2045" s="463"/>
      <c r="K2045" s="552"/>
    </row>
    <row r="2046" spans="1:11" hidden="1">
      <c r="A2046" s="559"/>
      <c r="H2046" s="515" t="s">
        <v>442</v>
      </c>
      <c r="I2046" s="2"/>
      <c r="J2046" s="463"/>
      <c r="K2046" s="552"/>
    </row>
    <row r="2047" spans="1:11" hidden="1">
      <c r="A2047" s="559"/>
      <c r="F2047" s="519">
        <v>50</v>
      </c>
      <c r="G2047" s="518" t="s">
        <v>2342</v>
      </c>
      <c r="H2047" s="509" t="s">
        <v>4260</v>
      </c>
      <c r="I2047" s="492">
        <f>(C203)</f>
        <v>40</v>
      </c>
      <c r="J2047" s="500" t="s">
        <v>2342</v>
      </c>
      <c r="K2047" s="526">
        <f t="shared" ref="K2047:K2056" si="67">(F2047*I2047)</f>
        <v>2000</v>
      </c>
    </row>
    <row r="2048" spans="1:11" hidden="1">
      <c r="A2048" s="559"/>
      <c r="F2048" s="519">
        <v>21.6</v>
      </c>
      <c r="G2048" s="518" t="s">
        <v>2334</v>
      </c>
      <c r="H2048" s="509" t="s">
        <v>4261</v>
      </c>
      <c r="I2048" s="492">
        <f>(C61*2)</f>
        <v>50</v>
      </c>
      <c r="J2048" s="500" t="s">
        <v>2334</v>
      </c>
      <c r="K2048" s="526">
        <f t="shared" si="67"/>
        <v>1080</v>
      </c>
    </row>
    <row r="2049" spans="1:11" hidden="1">
      <c r="A2049" s="559"/>
      <c r="F2049" s="519">
        <v>21.6</v>
      </c>
      <c r="G2049" s="518" t="s">
        <v>2334</v>
      </c>
      <c r="H2049" s="509" t="s">
        <v>4194</v>
      </c>
      <c r="I2049" s="492">
        <f>(C26)</f>
        <v>8.8000000000000007</v>
      </c>
      <c r="J2049" s="500" t="s">
        <v>2334</v>
      </c>
      <c r="K2049" s="526">
        <f t="shared" si="67"/>
        <v>190.08000000000004</v>
      </c>
    </row>
    <row r="2050" spans="1:11" hidden="1">
      <c r="A2050" s="559"/>
      <c r="F2050" s="519">
        <v>45</v>
      </c>
      <c r="G2050" s="518" t="s">
        <v>40</v>
      </c>
      <c r="H2050" s="509" t="s">
        <v>2517</v>
      </c>
      <c r="I2050" s="492">
        <f>(C67/1000)</f>
        <v>3.8</v>
      </c>
      <c r="J2050" s="500" t="s">
        <v>40</v>
      </c>
      <c r="K2050" s="526">
        <f t="shared" si="67"/>
        <v>171</v>
      </c>
    </row>
    <row r="2051" spans="1:11" hidden="1">
      <c r="A2051" s="559"/>
      <c r="F2051" s="519">
        <v>0.04</v>
      </c>
      <c r="G2051" s="518" t="s">
        <v>2334</v>
      </c>
      <c r="H2051" s="509" t="s">
        <v>2525</v>
      </c>
      <c r="I2051" s="492" t="e">
        <f>(C78)</f>
        <v>#REF!</v>
      </c>
      <c r="J2051" s="500" t="s">
        <v>2334</v>
      </c>
      <c r="K2051" s="526" t="e">
        <f t="shared" si="67"/>
        <v>#REF!</v>
      </c>
    </row>
    <row r="2052" spans="1:11" hidden="1">
      <c r="A2052" s="559"/>
      <c r="F2052" s="519">
        <v>3.63</v>
      </c>
      <c r="G2052" s="518" t="s">
        <v>40</v>
      </c>
      <c r="H2052" s="509" t="s">
        <v>4262</v>
      </c>
      <c r="I2052" s="492">
        <f>(C585)</f>
        <v>7</v>
      </c>
      <c r="J2052" s="500" t="s">
        <v>40</v>
      </c>
      <c r="K2052" s="526">
        <f t="shared" si="67"/>
        <v>25.41</v>
      </c>
    </row>
    <row r="2053" spans="1:11" hidden="1">
      <c r="A2053" s="559"/>
      <c r="F2053" s="519">
        <v>2</v>
      </c>
      <c r="G2053" s="518" t="s">
        <v>2342</v>
      </c>
      <c r="H2053" s="509" t="s">
        <v>2353</v>
      </c>
      <c r="I2053" s="492">
        <f>(C10)</f>
        <v>150</v>
      </c>
      <c r="J2053" s="500" t="s">
        <v>2342</v>
      </c>
      <c r="K2053" s="526">
        <f t="shared" si="67"/>
        <v>300</v>
      </c>
    </row>
    <row r="2054" spans="1:11" hidden="1">
      <c r="A2054" s="559"/>
      <c r="F2054" s="519">
        <v>1</v>
      </c>
      <c r="G2054" s="518" t="s">
        <v>2342</v>
      </c>
      <c r="H2054" s="509" t="s">
        <v>4263</v>
      </c>
      <c r="I2054" s="492">
        <f>AE37</f>
        <v>120</v>
      </c>
      <c r="J2054" s="500" t="s">
        <v>2342</v>
      </c>
      <c r="K2054" s="526">
        <f t="shared" si="67"/>
        <v>120</v>
      </c>
    </row>
    <row r="2055" spans="1:11" hidden="1">
      <c r="A2055" s="559"/>
      <c r="F2055" s="519">
        <v>5</v>
      </c>
      <c r="G2055" s="518" t="s">
        <v>2342</v>
      </c>
      <c r="H2055" s="509" t="s">
        <v>2344</v>
      </c>
      <c r="I2055" s="492">
        <f>(C12)</f>
        <v>95</v>
      </c>
      <c r="J2055" s="500" t="s">
        <v>2342</v>
      </c>
      <c r="K2055" s="526">
        <f t="shared" si="67"/>
        <v>475</v>
      </c>
    </row>
    <row r="2056" spans="1:11" hidden="1">
      <c r="A2056" s="559"/>
      <c r="F2056" s="519">
        <v>2</v>
      </c>
      <c r="G2056" s="518" t="s">
        <v>2342</v>
      </c>
      <c r="H2056" s="509" t="s">
        <v>2345</v>
      </c>
      <c r="I2056" s="492">
        <f>(C13)</f>
        <v>85</v>
      </c>
      <c r="J2056" s="500" t="s">
        <v>2342</v>
      </c>
      <c r="K2056" s="526">
        <f t="shared" si="67"/>
        <v>170</v>
      </c>
    </row>
    <row r="2057" spans="1:11" hidden="1">
      <c r="A2057" s="559"/>
      <c r="G2057" s="518" t="s">
        <v>2346</v>
      </c>
      <c r="H2057" s="509" t="s">
        <v>4264</v>
      </c>
      <c r="I2057" s="2"/>
      <c r="J2057" s="500" t="s">
        <v>2346</v>
      </c>
      <c r="K2057" s="526">
        <f>SUM(K2053:K2056)/10</f>
        <v>106.5</v>
      </c>
    </row>
    <row r="2058" spans="1:11" hidden="1">
      <c r="A2058" s="559"/>
      <c r="I2058" s="2"/>
      <c r="J2058" s="463"/>
      <c r="K2058" s="526" t="s">
        <v>442</v>
      </c>
    </row>
    <row r="2059" spans="1:11" hidden="1">
      <c r="A2059" s="559"/>
      <c r="H2059" s="509" t="s">
        <v>4265</v>
      </c>
      <c r="I2059" s="2"/>
      <c r="J2059" s="463"/>
      <c r="K2059" s="526" t="e">
        <f>SUM(K2047:K2057)</f>
        <v>#REF!</v>
      </c>
    </row>
    <row r="2060" spans="1:11" hidden="1">
      <c r="A2060" s="559"/>
      <c r="I2060" s="2"/>
      <c r="J2060" s="463"/>
      <c r="K2060" s="526" t="s">
        <v>442</v>
      </c>
    </row>
    <row r="2061" spans="1:11" hidden="1">
      <c r="A2061" s="559"/>
      <c r="H2061" s="509" t="s">
        <v>4266</v>
      </c>
      <c r="I2061" s="2"/>
      <c r="J2061" s="463"/>
      <c r="K2061" s="526" t="e">
        <f>(K2059/30)</f>
        <v>#REF!</v>
      </c>
    </row>
    <row r="2062" spans="1:11" hidden="1">
      <c r="A2062" s="559"/>
      <c r="I2062" s="2"/>
      <c r="J2062" s="463"/>
      <c r="K2062" s="526" t="s">
        <v>29</v>
      </c>
    </row>
    <row r="2063" spans="1:11" hidden="1">
      <c r="A2063" s="559"/>
      <c r="I2063" s="2"/>
      <c r="J2063" s="463"/>
      <c r="K2063" s="552"/>
    </row>
    <row r="2064" spans="1:11" hidden="1">
      <c r="A2064" s="559"/>
      <c r="F2064" s="510" t="s">
        <v>4267</v>
      </c>
      <c r="G2064" s="518" t="s">
        <v>575</v>
      </c>
      <c r="H2064" s="509" t="s">
        <v>4268</v>
      </c>
      <c r="I2064" s="2"/>
      <c r="J2064" s="463"/>
      <c r="K2064" s="552"/>
    </row>
    <row r="2065" spans="1:11" hidden="1">
      <c r="A2065" s="559"/>
      <c r="H2065" s="509" t="s">
        <v>4259</v>
      </c>
      <c r="I2065" s="2"/>
      <c r="J2065" s="463"/>
      <c r="K2065" s="552"/>
    </row>
    <row r="2066" spans="1:11" hidden="1">
      <c r="A2066" s="559"/>
      <c r="H2066" s="515" t="s">
        <v>442</v>
      </c>
      <c r="I2066" s="2"/>
      <c r="J2066" s="463"/>
      <c r="K2066" s="552"/>
    </row>
    <row r="2067" spans="1:11" hidden="1">
      <c r="A2067" s="559"/>
      <c r="F2067" s="519">
        <v>50</v>
      </c>
      <c r="G2067" s="518" t="s">
        <v>2342</v>
      </c>
      <c r="H2067" s="509" t="s">
        <v>4269</v>
      </c>
      <c r="I2067" s="492">
        <f>C204</f>
        <v>65</v>
      </c>
      <c r="J2067" s="500" t="s">
        <v>2342</v>
      </c>
      <c r="K2067" s="526">
        <f t="shared" ref="K2067:K2076" si="68">(F2067*I2067)</f>
        <v>3250</v>
      </c>
    </row>
    <row r="2068" spans="1:11" hidden="1">
      <c r="A2068" s="559"/>
      <c r="F2068" s="519">
        <v>21.6</v>
      </c>
      <c r="G2068" s="518" t="s">
        <v>2334</v>
      </c>
      <c r="H2068" s="509" t="s">
        <v>4261</v>
      </c>
      <c r="I2068" s="492">
        <f>(C61*2)</f>
        <v>50</v>
      </c>
      <c r="J2068" s="500" t="s">
        <v>2334</v>
      </c>
      <c r="K2068" s="526">
        <f t="shared" si="68"/>
        <v>1080</v>
      </c>
    </row>
    <row r="2069" spans="1:11" hidden="1">
      <c r="A2069" s="559"/>
      <c r="F2069" s="519">
        <v>21.6</v>
      </c>
      <c r="G2069" s="518" t="s">
        <v>2334</v>
      </c>
      <c r="H2069" s="509" t="s">
        <v>4194</v>
      </c>
      <c r="I2069" s="492">
        <f>(C26)</f>
        <v>8.8000000000000007</v>
      </c>
      <c r="J2069" s="500" t="s">
        <v>2334</v>
      </c>
      <c r="K2069" s="526">
        <f t="shared" si="68"/>
        <v>190.08000000000004</v>
      </c>
    </row>
    <row r="2070" spans="1:11" hidden="1">
      <c r="A2070" s="559"/>
      <c r="F2070" s="519">
        <v>68</v>
      </c>
      <c r="G2070" s="518" t="s">
        <v>40</v>
      </c>
      <c r="H2070" s="509" t="s">
        <v>2517</v>
      </c>
      <c r="I2070" s="492">
        <f>(C67/1000)</f>
        <v>3.8</v>
      </c>
      <c r="J2070" s="500" t="s">
        <v>40</v>
      </c>
      <c r="K2070" s="526">
        <f t="shared" si="68"/>
        <v>258.39999999999998</v>
      </c>
    </row>
    <row r="2071" spans="1:11" hidden="1">
      <c r="A2071" s="559"/>
      <c r="F2071" s="519">
        <v>7.0000000000000007E-2</v>
      </c>
      <c r="G2071" s="518" t="s">
        <v>2334</v>
      </c>
      <c r="H2071" s="509" t="s">
        <v>2525</v>
      </c>
      <c r="I2071" s="492" t="e">
        <f>(C78)</f>
        <v>#REF!</v>
      </c>
      <c r="J2071" s="500" t="s">
        <v>2334</v>
      </c>
      <c r="K2071" s="526" t="e">
        <f t="shared" si="68"/>
        <v>#REF!</v>
      </c>
    </row>
    <row r="2072" spans="1:11" hidden="1">
      <c r="A2072" s="559"/>
      <c r="F2072" s="519">
        <v>5.45</v>
      </c>
      <c r="G2072" s="518" t="s">
        <v>40</v>
      </c>
      <c r="H2072" s="509" t="s">
        <v>4262</v>
      </c>
      <c r="I2072" s="492">
        <f>(C585)</f>
        <v>7</v>
      </c>
      <c r="J2072" s="500" t="s">
        <v>40</v>
      </c>
      <c r="K2072" s="526">
        <f t="shared" si="68"/>
        <v>38.15</v>
      </c>
    </row>
    <row r="2073" spans="1:11" hidden="1">
      <c r="A2073" s="559"/>
      <c r="F2073" s="519">
        <v>3</v>
      </c>
      <c r="G2073" s="518" t="s">
        <v>2342</v>
      </c>
      <c r="H2073" s="509" t="s">
        <v>2353</v>
      </c>
      <c r="I2073" s="492">
        <f>(C10)</f>
        <v>150</v>
      </c>
      <c r="J2073" s="500" t="s">
        <v>2342</v>
      </c>
      <c r="K2073" s="526">
        <f t="shared" si="68"/>
        <v>450</v>
      </c>
    </row>
    <row r="2074" spans="1:11" hidden="1">
      <c r="A2074" s="559"/>
      <c r="F2074" s="519">
        <v>2</v>
      </c>
      <c r="G2074" s="518" t="s">
        <v>2342</v>
      </c>
      <c r="H2074" s="509" t="s">
        <v>4263</v>
      </c>
      <c r="I2074" s="492">
        <f>AE37</f>
        <v>120</v>
      </c>
      <c r="J2074" s="500" t="s">
        <v>2342</v>
      </c>
      <c r="K2074" s="526">
        <f t="shared" si="68"/>
        <v>240</v>
      </c>
    </row>
    <row r="2075" spans="1:11" hidden="1">
      <c r="A2075" s="559"/>
      <c r="F2075" s="519">
        <v>6</v>
      </c>
      <c r="G2075" s="518" t="s">
        <v>2342</v>
      </c>
      <c r="H2075" s="509" t="s">
        <v>2344</v>
      </c>
      <c r="I2075" s="492">
        <f>(C12)</f>
        <v>95</v>
      </c>
      <c r="J2075" s="500" t="s">
        <v>2342</v>
      </c>
      <c r="K2075" s="526">
        <f t="shared" si="68"/>
        <v>570</v>
      </c>
    </row>
    <row r="2076" spans="1:11" hidden="1">
      <c r="A2076" s="559"/>
      <c r="F2076" s="519">
        <v>3</v>
      </c>
      <c r="G2076" s="518" t="s">
        <v>2342</v>
      </c>
      <c r="H2076" s="509" t="s">
        <v>2345</v>
      </c>
      <c r="I2076" s="492">
        <f>(C13)</f>
        <v>85</v>
      </c>
      <c r="J2076" s="500" t="s">
        <v>2342</v>
      </c>
      <c r="K2076" s="526">
        <f t="shared" si="68"/>
        <v>255</v>
      </c>
    </row>
    <row r="2077" spans="1:11" hidden="1">
      <c r="A2077" s="559"/>
      <c r="G2077" s="518" t="s">
        <v>2346</v>
      </c>
      <c r="H2077" s="509" t="s">
        <v>4264</v>
      </c>
      <c r="I2077" s="2"/>
      <c r="J2077" s="500" t="s">
        <v>2346</v>
      </c>
      <c r="K2077" s="526">
        <f>SUM(K2073:K2076)/10</f>
        <v>151.5</v>
      </c>
    </row>
    <row r="2078" spans="1:11" hidden="1">
      <c r="A2078" s="559"/>
      <c r="I2078" s="2"/>
      <c r="J2078" s="463"/>
      <c r="K2078" s="526" t="s">
        <v>442</v>
      </c>
    </row>
    <row r="2079" spans="1:11" hidden="1">
      <c r="A2079" s="559"/>
      <c r="H2079" s="509" t="s">
        <v>4265</v>
      </c>
      <c r="I2079" s="2"/>
      <c r="J2079" s="463"/>
      <c r="K2079" s="526" t="e">
        <f>SUM(K2067:K2077)</f>
        <v>#REF!</v>
      </c>
    </row>
    <row r="2080" spans="1:11" hidden="1">
      <c r="A2080" s="559"/>
      <c r="I2080" s="2"/>
      <c r="J2080" s="463"/>
      <c r="K2080" s="526" t="s">
        <v>442</v>
      </c>
    </row>
    <row r="2081" spans="1:11" hidden="1">
      <c r="A2081" s="559"/>
      <c r="H2081" s="509" t="s">
        <v>4266</v>
      </c>
      <c r="I2081" s="2"/>
      <c r="J2081" s="463"/>
      <c r="K2081" s="526" t="e">
        <f>(K2079/30)</f>
        <v>#REF!</v>
      </c>
    </row>
    <row r="2082" spans="1:11" hidden="1">
      <c r="A2082" s="559"/>
      <c r="I2082" s="2"/>
      <c r="J2082" s="463"/>
      <c r="K2082" s="526" t="s">
        <v>29</v>
      </c>
    </row>
    <row r="2083" spans="1:11" hidden="1">
      <c r="A2083" s="559"/>
      <c r="F2083" s="510" t="s">
        <v>4270</v>
      </c>
      <c r="G2083" s="518" t="s">
        <v>575</v>
      </c>
      <c r="H2083" s="509" t="s">
        <v>4258</v>
      </c>
      <c r="I2083" s="2"/>
      <c r="J2083" s="463"/>
      <c r="K2083" s="552"/>
    </row>
    <row r="2084" spans="1:11" hidden="1">
      <c r="A2084" s="559"/>
      <c r="H2084" s="509" t="s">
        <v>4271</v>
      </c>
      <c r="I2084" s="2"/>
      <c r="J2084" s="463"/>
      <c r="K2084" s="552"/>
    </row>
    <row r="2085" spans="1:11" hidden="1">
      <c r="A2085" s="559"/>
      <c r="H2085" s="515" t="s">
        <v>442</v>
      </c>
      <c r="I2085" s="2"/>
      <c r="J2085" s="463"/>
      <c r="K2085" s="552"/>
    </row>
    <row r="2086" spans="1:11" hidden="1">
      <c r="A2086" s="559"/>
      <c r="F2086" s="519">
        <v>50</v>
      </c>
      <c r="G2086" s="518" t="s">
        <v>2342</v>
      </c>
      <c r="H2086" s="509" t="s">
        <v>4272</v>
      </c>
      <c r="I2086" s="492">
        <f>C203</f>
        <v>40</v>
      </c>
      <c r="J2086" s="500" t="s">
        <v>2342</v>
      </c>
      <c r="K2086" s="526">
        <f>(F2086*I2086)</f>
        <v>2000</v>
      </c>
    </row>
    <row r="2087" spans="1:11" hidden="1">
      <c r="A2087" s="559"/>
      <c r="F2087" s="519">
        <v>1</v>
      </c>
      <c r="G2087" s="518" t="s">
        <v>2342</v>
      </c>
      <c r="H2087" s="509" t="s">
        <v>4263</v>
      </c>
      <c r="I2087" s="492">
        <f>AE37</f>
        <v>120</v>
      </c>
      <c r="J2087" s="500" t="s">
        <v>2342</v>
      </c>
      <c r="K2087" s="526">
        <f>(F2087*I2087)</f>
        <v>120</v>
      </c>
    </row>
    <row r="2088" spans="1:11" hidden="1">
      <c r="A2088" s="559"/>
      <c r="F2088" s="519">
        <v>5</v>
      </c>
      <c r="G2088" s="518" t="s">
        <v>2342</v>
      </c>
      <c r="H2088" s="509" t="s">
        <v>2344</v>
      </c>
      <c r="I2088" s="492">
        <f>C12</f>
        <v>95</v>
      </c>
      <c r="J2088" s="500" t="s">
        <v>2342</v>
      </c>
      <c r="K2088" s="526">
        <f>(F2088*I2088)</f>
        <v>475</v>
      </c>
    </row>
    <row r="2089" spans="1:11" hidden="1">
      <c r="A2089" s="559"/>
      <c r="I2089" s="2"/>
      <c r="J2089" s="463"/>
      <c r="K2089" s="526" t="s">
        <v>442</v>
      </c>
    </row>
    <row r="2090" spans="1:11" hidden="1">
      <c r="A2090" s="559"/>
      <c r="H2090" s="509" t="s">
        <v>4265</v>
      </c>
      <c r="I2090" s="2"/>
      <c r="J2090" s="463"/>
      <c r="K2090" s="526">
        <f>SUM(K2086:K2088)</f>
        <v>2595</v>
      </c>
    </row>
    <row r="2091" spans="1:11" hidden="1">
      <c r="A2091" s="559"/>
      <c r="F2091" s="509" t="s">
        <v>30</v>
      </c>
      <c r="I2091" s="2"/>
      <c r="J2091" s="463"/>
      <c r="K2091" s="526" t="s">
        <v>442</v>
      </c>
    </row>
    <row r="2092" spans="1:11" hidden="1">
      <c r="A2092" s="559"/>
      <c r="H2092" s="509" t="s">
        <v>4266</v>
      </c>
      <c r="I2092" s="2"/>
      <c r="J2092" s="463"/>
      <c r="K2092" s="526">
        <f>(K2090/30)</f>
        <v>86.5</v>
      </c>
    </row>
    <row r="2093" spans="1:11" hidden="1">
      <c r="A2093" s="559"/>
      <c r="F2093" s="509" t="s">
        <v>30</v>
      </c>
      <c r="I2093" s="2"/>
      <c r="J2093" s="463"/>
      <c r="K2093" s="552"/>
    </row>
    <row r="2094" spans="1:11" hidden="1">
      <c r="A2094" s="559"/>
      <c r="F2094" s="509" t="s">
        <v>30</v>
      </c>
      <c r="I2094" s="2"/>
      <c r="J2094" s="463"/>
      <c r="K2094" s="552"/>
    </row>
    <row r="2095" spans="1:11" hidden="1">
      <c r="A2095" s="559"/>
      <c r="I2095" s="2"/>
      <c r="J2095" s="463"/>
      <c r="K2095" s="526" t="s">
        <v>29</v>
      </c>
    </row>
    <row r="2096" spans="1:11" hidden="1">
      <c r="A2096" s="559"/>
      <c r="F2096" s="510" t="s">
        <v>4267</v>
      </c>
      <c r="G2096" s="518" t="s">
        <v>575</v>
      </c>
      <c r="H2096" s="509" t="s">
        <v>4268</v>
      </c>
      <c r="I2096" s="2"/>
      <c r="J2096" s="463"/>
      <c r="K2096" s="552"/>
    </row>
    <row r="2097" spans="1:11" hidden="1">
      <c r="A2097" s="559"/>
      <c r="H2097" s="519" t="str">
        <f>H2084</f>
        <v>DIA S.W.PIPE(LOOSE JOINTING)</v>
      </c>
      <c r="I2097" s="2"/>
      <c r="J2097" s="463"/>
      <c r="K2097" s="552"/>
    </row>
    <row r="2098" spans="1:11" hidden="1">
      <c r="A2098" s="559"/>
      <c r="H2098" s="515" t="s">
        <v>442</v>
      </c>
      <c r="I2098" s="2"/>
      <c r="J2098" s="463"/>
      <c r="K2098" s="552"/>
    </row>
    <row r="2099" spans="1:11" hidden="1">
      <c r="A2099" s="559"/>
      <c r="F2099" s="519">
        <v>50</v>
      </c>
      <c r="G2099" s="518" t="s">
        <v>2342</v>
      </c>
      <c r="H2099" s="509" t="s">
        <v>4273</v>
      </c>
      <c r="I2099" s="492">
        <f>C204</f>
        <v>65</v>
      </c>
      <c r="J2099" s="500" t="s">
        <v>2342</v>
      </c>
      <c r="K2099" s="526">
        <f>(F2099*I2099)</f>
        <v>3250</v>
      </c>
    </row>
    <row r="2100" spans="1:11" hidden="1">
      <c r="A2100" s="559"/>
      <c r="F2100" s="519">
        <v>2</v>
      </c>
      <c r="G2100" s="518" t="s">
        <v>2342</v>
      </c>
      <c r="H2100" s="509" t="s">
        <v>4263</v>
      </c>
      <c r="I2100" s="492">
        <f>AE37</f>
        <v>120</v>
      </c>
      <c r="J2100" s="500" t="s">
        <v>2342</v>
      </c>
      <c r="K2100" s="526">
        <f>(F2100*I2100)</f>
        <v>240</v>
      </c>
    </row>
    <row r="2101" spans="1:11" hidden="1">
      <c r="A2101" s="559"/>
      <c r="F2101" s="519">
        <v>6</v>
      </c>
      <c r="G2101" s="518" t="s">
        <v>2342</v>
      </c>
      <c r="H2101" s="509" t="s">
        <v>2344</v>
      </c>
      <c r="I2101" s="492">
        <f>C12</f>
        <v>95</v>
      </c>
      <c r="J2101" s="500" t="s">
        <v>2342</v>
      </c>
      <c r="K2101" s="526">
        <f>(F2101*I2101)</f>
        <v>570</v>
      </c>
    </row>
    <row r="2102" spans="1:11" hidden="1">
      <c r="A2102" s="559"/>
      <c r="I2102" s="2"/>
      <c r="J2102" s="463"/>
      <c r="K2102" s="526" t="s">
        <v>442</v>
      </c>
    </row>
    <row r="2103" spans="1:11" hidden="1">
      <c r="A2103" s="559"/>
      <c r="H2103" s="509" t="s">
        <v>4265</v>
      </c>
      <c r="I2103" s="2"/>
      <c r="J2103" s="463"/>
      <c r="K2103" s="526">
        <f>SUM(K2099:K2101)</f>
        <v>4060</v>
      </c>
    </row>
    <row r="2104" spans="1:11" hidden="1">
      <c r="A2104" s="559"/>
      <c r="I2104" s="2"/>
      <c r="J2104" s="463"/>
      <c r="K2104" s="526" t="s">
        <v>442</v>
      </c>
    </row>
    <row r="2105" spans="1:11" hidden="1">
      <c r="A2105" s="559"/>
      <c r="H2105" s="509" t="s">
        <v>4266</v>
      </c>
      <c r="I2105" s="2"/>
      <c r="J2105" s="463"/>
      <c r="K2105" s="526">
        <f>(K2103/30)</f>
        <v>135.33333333333334</v>
      </c>
    </row>
    <row r="2106" spans="1:11" hidden="1">
      <c r="A2106" s="559"/>
      <c r="I2106" s="2"/>
      <c r="J2106" s="463"/>
      <c r="K2106" s="526" t="s">
        <v>29</v>
      </c>
    </row>
    <row r="2107" spans="1:11" hidden="1">
      <c r="A2107" s="559"/>
      <c r="H2107" s="510" t="s">
        <v>4274</v>
      </c>
      <c r="I2107" s="2"/>
      <c r="J2107" s="463"/>
      <c r="K2107" s="526">
        <f>SUM(K2104:K2105)</f>
        <v>135.33333333333334</v>
      </c>
    </row>
    <row r="2108" spans="1:11" hidden="1">
      <c r="A2108" s="559"/>
      <c r="I2108" s="2"/>
      <c r="J2108" s="463"/>
      <c r="K2108" s="526" t="s">
        <v>29</v>
      </c>
    </row>
    <row r="2109" spans="1:11" hidden="1">
      <c r="A2109" s="559"/>
      <c r="F2109" s="510" t="s">
        <v>4275</v>
      </c>
      <c r="G2109" s="518" t="s">
        <v>575</v>
      </c>
      <c r="H2109" s="509" t="s">
        <v>4258</v>
      </c>
      <c r="I2109" s="2"/>
      <c r="J2109" s="463"/>
      <c r="K2109" s="552"/>
    </row>
    <row r="2110" spans="1:11" hidden="1">
      <c r="A2110" s="559"/>
      <c r="H2110" s="509" t="s">
        <v>4276</v>
      </c>
      <c r="I2110" s="2"/>
      <c r="J2110" s="463"/>
      <c r="K2110" s="552"/>
    </row>
    <row r="2111" spans="1:11" hidden="1">
      <c r="A2111" s="559"/>
      <c r="H2111" s="515" t="s">
        <v>442</v>
      </c>
      <c r="I2111" s="2"/>
      <c r="J2111" s="463"/>
      <c r="K2111" s="552"/>
    </row>
    <row r="2112" spans="1:11" hidden="1">
      <c r="A2112" s="559"/>
      <c r="F2112" s="519">
        <v>1</v>
      </c>
      <c r="G2112" s="518" t="s">
        <v>2342</v>
      </c>
      <c r="H2112" s="509" t="s">
        <v>4277</v>
      </c>
      <c r="I2112" s="492">
        <f>C205</f>
        <v>65</v>
      </c>
      <c r="J2112" s="500" t="s">
        <v>2342</v>
      </c>
      <c r="K2112" s="526">
        <f>(F2112*I2112)</f>
        <v>65</v>
      </c>
    </row>
    <row r="2113" spans="1:11" hidden="1">
      <c r="A2113" s="559"/>
      <c r="F2113" s="509" t="s">
        <v>30</v>
      </c>
      <c r="H2113" s="509" t="s">
        <v>4278</v>
      </c>
      <c r="I2113" s="2"/>
      <c r="J2113" s="463"/>
      <c r="K2113" s="552"/>
    </row>
    <row r="2114" spans="1:11" hidden="1">
      <c r="A2114" s="559"/>
      <c r="F2114" s="509" t="s">
        <v>30</v>
      </c>
      <c r="H2114" s="509" t="s">
        <v>4279</v>
      </c>
      <c r="I2114" s="500" t="s">
        <v>2346</v>
      </c>
      <c r="J2114" s="463"/>
      <c r="K2114" s="526">
        <v>2.5</v>
      </c>
    </row>
    <row r="2115" spans="1:11" hidden="1">
      <c r="A2115" s="559"/>
      <c r="I2115" s="2"/>
      <c r="J2115" s="463"/>
      <c r="K2115" s="526" t="s">
        <v>442</v>
      </c>
    </row>
    <row r="2116" spans="1:11" hidden="1">
      <c r="A2116" s="559"/>
      <c r="H2116" s="509" t="s">
        <v>4265</v>
      </c>
      <c r="I2116" s="2"/>
      <c r="J2116" s="463"/>
      <c r="K2116" s="526">
        <f>SUM(K2112:K2114)</f>
        <v>67.5</v>
      </c>
    </row>
    <row r="2117" spans="1:11" hidden="1">
      <c r="A2117" s="559"/>
      <c r="F2117" s="510" t="s">
        <v>4275</v>
      </c>
      <c r="G2117" s="518" t="s">
        <v>575</v>
      </c>
      <c r="H2117" s="509" t="s">
        <v>4268</v>
      </c>
      <c r="I2117" s="2"/>
      <c r="J2117" s="463"/>
      <c r="K2117" s="526" t="s">
        <v>442</v>
      </c>
    </row>
    <row r="2118" spans="1:11" hidden="1">
      <c r="A2118" s="559"/>
      <c r="H2118" s="509" t="s">
        <v>4276</v>
      </c>
      <c r="I2118" s="2"/>
      <c r="J2118" s="463"/>
      <c r="K2118" s="526"/>
    </row>
    <row r="2119" spans="1:11" hidden="1">
      <c r="A2119" s="559"/>
      <c r="H2119" s="515" t="s">
        <v>442</v>
      </c>
      <c r="I2119" s="2"/>
      <c r="J2119" s="463"/>
      <c r="K2119" s="526" t="s">
        <v>442</v>
      </c>
    </row>
    <row r="2120" spans="1:11" hidden="1">
      <c r="A2120" s="559"/>
      <c r="F2120" s="511">
        <v>1</v>
      </c>
      <c r="G2120" s="512" t="s">
        <v>2359</v>
      </c>
      <c r="H2120" s="509" t="s">
        <v>4280</v>
      </c>
      <c r="I2120" s="2"/>
      <c r="J2120" s="463" t="s">
        <v>5</v>
      </c>
      <c r="K2120" s="526">
        <v>92.5</v>
      </c>
    </row>
    <row r="2121" spans="1:11" hidden="1">
      <c r="A2121" s="559"/>
      <c r="I2121" s="2"/>
      <c r="J2121" s="463"/>
      <c r="K2121" s="526" t="s">
        <v>442</v>
      </c>
    </row>
    <row r="2122" spans="1:11" hidden="1">
      <c r="A2122" s="559"/>
      <c r="F2122" s="510" t="s">
        <v>4281</v>
      </c>
      <c r="G2122" s="518" t="s">
        <v>575</v>
      </c>
      <c r="H2122" s="509" t="s">
        <v>4258</v>
      </c>
      <c r="I2122" s="2"/>
      <c r="J2122" s="463"/>
      <c r="K2122" s="552"/>
    </row>
    <row r="2123" spans="1:11" hidden="1">
      <c r="A2123" s="559"/>
      <c r="H2123" s="509" t="s">
        <v>4282</v>
      </c>
      <c r="I2123" s="2"/>
      <c r="J2123" s="463"/>
      <c r="K2123" s="552"/>
    </row>
    <row r="2124" spans="1:11" hidden="1">
      <c r="A2124" s="559"/>
      <c r="H2124" s="515" t="s">
        <v>442</v>
      </c>
      <c r="I2124" s="2"/>
      <c r="J2124" s="463"/>
      <c r="K2124" s="552"/>
    </row>
    <row r="2125" spans="1:11" hidden="1">
      <c r="A2125" s="559"/>
      <c r="F2125" s="519">
        <v>1</v>
      </c>
      <c r="G2125" s="518" t="s">
        <v>2342</v>
      </c>
      <c r="H2125" s="509" t="s">
        <v>4283</v>
      </c>
      <c r="I2125" s="492">
        <f>C202</f>
        <v>75</v>
      </c>
      <c r="J2125" s="500" t="s">
        <v>2342</v>
      </c>
      <c r="K2125" s="526">
        <f>(F2125*I2125)</f>
        <v>75</v>
      </c>
    </row>
    <row r="2126" spans="1:11" hidden="1">
      <c r="A2126" s="559"/>
      <c r="F2126" s="509" t="s">
        <v>30</v>
      </c>
      <c r="H2126" s="509" t="s">
        <v>4278</v>
      </c>
      <c r="I2126" s="2"/>
      <c r="J2126" s="463"/>
      <c r="K2126" s="552"/>
    </row>
    <row r="2127" spans="1:11" hidden="1">
      <c r="A2127" s="559"/>
      <c r="F2127" s="509" t="s">
        <v>30</v>
      </c>
      <c r="H2127" s="509" t="s">
        <v>4279</v>
      </c>
      <c r="I2127" s="500" t="s">
        <v>2346</v>
      </c>
      <c r="J2127" s="463"/>
      <c r="K2127" s="526">
        <v>3</v>
      </c>
    </row>
    <row r="2128" spans="1:11" hidden="1">
      <c r="A2128" s="559"/>
      <c r="I2128" s="2"/>
      <c r="J2128" s="463"/>
      <c r="K2128" s="526" t="s">
        <v>442</v>
      </c>
    </row>
    <row r="2129" spans="1:11" hidden="1">
      <c r="A2129" s="559"/>
      <c r="H2129" s="509" t="s">
        <v>4265</v>
      </c>
      <c r="I2129" s="2"/>
      <c r="J2129" s="463"/>
      <c r="K2129" s="526">
        <f>SUM(K2125:K2127)</f>
        <v>78</v>
      </c>
    </row>
    <row r="2130" spans="1:11" hidden="1">
      <c r="A2130" s="559"/>
      <c r="I2130" s="2"/>
      <c r="J2130" s="463"/>
      <c r="K2130" s="526" t="s">
        <v>442</v>
      </c>
    </row>
    <row r="2131" spans="1:11" hidden="1">
      <c r="A2131" s="559"/>
      <c r="I2131" s="2"/>
      <c r="J2131" s="463"/>
      <c r="K2131" s="552"/>
    </row>
    <row r="2132" spans="1:11" hidden="1">
      <c r="A2132" s="559"/>
      <c r="F2132" s="510" t="s">
        <v>4284</v>
      </c>
      <c r="G2132" s="518" t="s">
        <v>575</v>
      </c>
      <c r="H2132" s="509" t="s">
        <v>4268</v>
      </c>
      <c r="I2132" s="2"/>
      <c r="J2132" s="463"/>
      <c r="K2132" s="552"/>
    </row>
    <row r="2133" spans="1:11" hidden="1">
      <c r="A2133" s="559"/>
      <c r="H2133" s="509" t="s">
        <v>4282</v>
      </c>
      <c r="I2133" s="2"/>
      <c r="J2133" s="463"/>
      <c r="K2133" s="552"/>
    </row>
    <row r="2134" spans="1:11" hidden="1">
      <c r="A2134" s="559"/>
      <c r="H2134" s="515" t="s">
        <v>442</v>
      </c>
      <c r="I2134" s="2"/>
      <c r="J2134" s="463"/>
      <c r="K2134" s="552"/>
    </row>
    <row r="2135" spans="1:11" hidden="1">
      <c r="A2135" s="559"/>
      <c r="F2135" s="519">
        <v>1</v>
      </c>
      <c r="G2135" s="518" t="s">
        <v>2342</v>
      </c>
      <c r="H2135" s="509" t="s">
        <v>4285</v>
      </c>
      <c r="I2135" s="492">
        <f>C207</f>
        <v>100</v>
      </c>
      <c r="J2135" s="500" t="s">
        <v>2342</v>
      </c>
      <c r="K2135" s="526">
        <f>(F2135*I2135)</f>
        <v>100</v>
      </c>
    </row>
    <row r="2136" spans="1:11" hidden="1">
      <c r="A2136" s="559"/>
      <c r="F2136" s="509" t="s">
        <v>30</v>
      </c>
      <c r="H2136" s="509" t="s">
        <v>4278</v>
      </c>
      <c r="I2136" s="2"/>
      <c r="J2136" s="463"/>
      <c r="K2136" s="552"/>
    </row>
    <row r="2137" spans="1:11" hidden="1">
      <c r="A2137" s="559"/>
      <c r="F2137" s="509" t="s">
        <v>30</v>
      </c>
      <c r="H2137" s="509" t="s">
        <v>4279</v>
      </c>
      <c r="I2137" s="500" t="s">
        <v>2346</v>
      </c>
      <c r="J2137" s="463"/>
      <c r="K2137" s="526">
        <v>3</v>
      </c>
    </row>
    <row r="2138" spans="1:11" hidden="1">
      <c r="A2138" s="559"/>
      <c r="I2138" s="2"/>
      <c r="J2138" s="463"/>
      <c r="K2138" s="526" t="s">
        <v>442</v>
      </c>
    </row>
    <row r="2139" spans="1:11" hidden="1">
      <c r="A2139" s="559"/>
      <c r="H2139" s="509" t="s">
        <v>4265</v>
      </c>
      <c r="I2139" s="2"/>
      <c r="J2139" s="463"/>
      <c r="K2139" s="526">
        <f>SUM(K2135:K2137)</f>
        <v>103</v>
      </c>
    </row>
    <row r="2140" spans="1:11" hidden="1">
      <c r="A2140" s="559"/>
      <c r="I2140" s="2"/>
      <c r="J2140" s="463"/>
      <c r="K2140" s="526" t="s">
        <v>442</v>
      </c>
    </row>
    <row r="2141" spans="1:11" hidden="1">
      <c r="A2141" s="559"/>
      <c r="F2141" s="510" t="s">
        <v>4286</v>
      </c>
      <c r="H2141" s="509" t="s">
        <v>4287</v>
      </c>
      <c r="I2141" s="2"/>
      <c r="J2141" s="463"/>
      <c r="K2141" s="552"/>
    </row>
    <row r="2142" spans="1:11" hidden="1">
      <c r="A2142" s="559"/>
      <c r="H2142" s="509" t="s">
        <v>4288</v>
      </c>
      <c r="I2142" s="2"/>
      <c r="J2142" s="463"/>
      <c r="K2142" s="552"/>
    </row>
    <row r="2143" spans="1:11" hidden="1">
      <c r="A2143" s="559"/>
      <c r="H2143" s="515" t="s">
        <v>442</v>
      </c>
      <c r="I2143" s="2"/>
      <c r="J2143" s="463"/>
      <c r="K2143" s="552"/>
    </row>
    <row r="2144" spans="1:11" hidden="1">
      <c r="A2144" s="559"/>
      <c r="F2144" s="519">
        <v>2.5</v>
      </c>
      <c r="G2144" s="518" t="s">
        <v>4289</v>
      </c>
      <c r="H2144" s="509" t="s">
        <v>4287</v>
      </c>
      <c r="I2144" s="492">
        <f>C566</f>
        <v>28.5</v>
      </c>
      <c r="J2144" s="500">
        <v>2.5</v>
      </c>
      <c r="K2144" s="526">
        <f>(F2144*I2144)/F2144</f>
        <v>28.5</v>
      </c>
    </row>
    <row r="2145" spans="1:11" hidden="1">
      <c r="A2145" s="559"/>
      <c r="H2145" s="509" t="s">
        <v>4290</v>
      </c>
      <c r="I2145" s="2"/>
      <c r="J2145" s="500" t="s">
        <v>4289</v>
      </c>
      <c r="K2145" s="552"/>
    </row>
    <row r="2146" spans="1:11" hidden="1">
      <c r="A2146" s="559"/>
      <c r="G2146" s="518" t="s">
        <v>2346</v>
      </c>
      <c r="H2146" s="509" t="s">
        <v>4291</v>
      </c>
      <c r="I2146" s="2"/>
      <c r="J2146" s="500" t="s">
        <v>2346</v>
      </c>
      <c r="K2146" s="526">
        <v>1.5</v>
      </c>
    </row>
    <row r="2147" spans="1:11" hidden="1">
      <c r="A2147" s="559"/>
      <c r="I2147" s="2"/>
      <c r="J2147" s="463"/>
      <c r="K2147" s="526" t="s">
        <v>442</v>
      </c>
    </row>
    <row r="2148" spans="1:11" hidden="1">
      <c r="A2148" s="559"/>
      <c r="H2148" s="510" t="s">
        <v>4274</v>
      </c>
      <c r="I2148" s="2"/>
      <c r="J2148" s="463"/>
      <c r="K2148" s="526">
        <f>SUM(K2144:K2146)</f>
        <v>30</v>
      </c>
    </row>
    <row r="2149" spans="1:11" hidden="1">
      <c r="A2149" s="559"/>
      <c r="I2149" s="2"/>
      <c r="J2149" s="463"/>
      <c r="K2149" s="526" t="s">
        <v>29</v>
      </c>
    </row>
    <row r="2150" spans="1:11" hidden="1">
      <c r="A2150" s="559"/>
      <c r="I2150" s="2"/>
      <c r="J2150" s="463"/>
      <c r="K2150" s="552"/>
    </row>
    <row r="2151" spans="1:11" hidden="1">
      <c r="A2151" s="559"/>
      <c r="F2151" s="510" t="s">
        <v>4292</v>
      </c>
      <c r="G2151" s="518" t="s">
        <v>575</v>
      </c>
      <c r="H2151" s="509" t="s">
        <v>4293</v>
      </c>
      <c r="I2151" s="2"/>
      <c r="J2151" s="463"/>
      <c r="K2151" s="552"/>
    </row>
    <row r="2152" spans="1:11" hidden="1">
      <c r="A2152" s="559"/>
      <c r="H2152" s="509" t="s">
        <v>4294</v>
      </c>
      <c r="I2152" s="2"/>
      <c r="J2152" s="463"/>
      <c r="K2152" s="552"/>
    </row>
    <row r="2153" spans="1:11" hidden="1">
      <c r="A2153" s="559"/>
      <c r="H2153" s="509" t="s">
        <v>4295</v>
      </c>
      <c r="I2153" s="2"/>
      <c r="J2153" s="463"/>
      <c r="K2153" s="552"/>
    </row>
    <row r="2154" spans="1:11" hidden="1">
      <c r="A2154" s="559"/>
      <c r="H2154" s="509" t="s">
        <v>4296</v>
      </c>
      <c r="I2154" s="2"/>
      <c r="J2154" s="463"/>
      <c r="K2154" s="552"/>
    </row>
    <row r="2155" spans="1:11" hidden="1">
      <c r="A2155" s="559"/>
      <c r="H2155" s="509" t="s">
        <v>4297</v>
      </c>
      <c r="I2155" s="2"/>
      <c r="J2155" s="463"/>
      <c r="K2155" s="552"/>
    </row>
    <row r="2156" spans="1:11" hidden="1">
      <c r="A2156" s="559"/>
      <c r="H2156" s="509" t="s">
        <v>4298</v>
      </c>
      <c r="I2156" s="2"/>
      <c r="J2156" s="463"/>
      <c r="K2156" s="552"/>
    </row>
    <row r="2157" spans="1:11" hidden="1">
      <c r="A2157" s="559"/>
      <c r="H2157" s="509" t="s">
        <v>4299</v>
      </c>
      <c r="I2157" s="2"/>
      <c r="J2157" s="463"/>
      <c r="K2157" s="552"/>
    </row>
    <row r="2158" spans="1:11" hidden="1">
      <c r="A2158" s="559"/>
      <c r="H2158" s="509" t="s">
        <v>4300</v>
      </c>
      <c r="I2158" s="2"/>
      <c r="J2158" s="463"/>
      <c r="K2158" s="552"/>
    </row>
    <row r="2159" spans="1:11" hidden="1">
      <c r="A2159" s="559"/>
      <c r="H2159" s="509" t="s">
        <v>4301</v>
      </c>
      <c r="I2159" s="2"/>
      <c r="J2159" s="463"/>
      <c r="K2159" s="552"/>
    </row>
    <row r="2160" spans="1:11" hidden="1">
      <c r="A2160" s="559"/>
      <c r="H2160" s="509" t="s">
        <v>4302</v>
      </c>
      <c r="I2160" s="2"/>
      <c r="J2160" s="463"/>
      <c r="K2160" s="552"/>
    </row>
    <row r="2161" spans="1:11" hidden="1">
      <c r="A2161" s="559"/>
      <c r="H2161" s="509" t="s">
        <v>4303</v>
      </c>
      <c r="I2161" s="2"/>
      <c r="J2161" s="463"/>
      <c r="K2161" s="552"/>
    </row>
    <row r="2162" spans="1:11" hidden="1">
      <c r="A2162" s="559"/>
      <c r="H2162" s="509" t="s">
        <v>4304</v>
      </c>
      <c r="I2162" s="2"/>
      <c r="J2162" s="463"/>
      <c r="K2162" s="552"/>
    </row>
    <row r="2163" spans="1:11" hidden="1">
      <c r="A2163" s="559"/>
      <c r="H2163" s="515" t="s">
        <v>442</v>
      </c>
      <c r="I2163" s="491" t="s">
        <v>442</v>
      </c>
      <c r="J2163" s="463"/>
      <c r="K2163" s="552"/>
    </row>
    <row r="2164" spans="1:11" hidden="1">
      <c r="A2164" s="559"/>
      <c r="F2164" s="509" t="s">
        <v>30</v>
      </c>
      <c r="I2164" s="2"/>
      <c r="J2164" s="463"/>
      <c r="K2164" s="552"/>
    </row>
    <row r="2165" spans="1:11" hidden="1">
      <c r="A2165" s="559"/>
      <c r="F2165" s="542">
        <v>1.7399999999999999E-2</v>
      </c>
      <c r="G2165" s="518" t="s">
        <v>19</v>
      </c>
      <c r="H2165" s="509" t="s">
        <v>4305</v>
      </c>
      <c r="I2165" s="492">
        <f>C86</f>
        <v>20605</v>
      </c>
      <c r="J2165" s="500" t="s">
        <v>19</v>
      </c>
      <c r="K2165" s="526">
        <f t="shared" ref="K2165:K2172" si="69">F2165*I2165</f>
        <v>358.52699999999999</v>
      </c>
    </row>
    <row r="2166" spans="1:11" hidden="1">
      <c r="A2166" s="559"/>
      <c r="F2166" s="542">
        <v>2.93E-2</v>
      </c>
      <c r="G2166" s="518" t="s">
        <v>19</v>
      </c>
      <c r="H2166" s="509" t="s">
        <v>4306</v>
      </c>
      <c r="I2166" s="492">
        <f>C87</f>
        <v>23685</v>
      </c>
      <c r="J2166" s="500" t="s">
        <v>19</v>
      </c>
      <c r="K2166" s="526">
        <f t="shared" si="69"/>
        <v>693.97050000000002</v>
      </c>
    </row>
    <row r="2167" spans="1:11" hidden="1">
      <c r="A2167" s="559"/>
      <c r="F2167" s="542">
        <v>1.093</v>
      </c>
      <c r="G2167" s="518" t="s">
        <v>26</v>
      </c>
      <c r="H2167" s="509" t="s">
        <v>4307</v>
      </c>
      <c r="I2167" s="545">
        <f>C198</f>
        <v>212</v>
      </c>
      <c r="J2167" s="500" t="s">
        <v>26</v>
      </c>
      <c r="K2167" s="526">
        <f t="shared" si="69"/>
        <v>231.71600000000001</v>
      </c>
    </row>
    <row r="2168" spans="1:11" hidden="1">
      <c r="A2168" s="559"/>
      <c r="F2168" s="519">
        <v>6</v>
      </c>
      <c r="G2168" s="518" t="s">
        <v>2403</v>
      </c>
      <c r="H2168" s="509" t="s">
        <v>4308</v>
      </c>
      <c r="I2168" s="492">
        <f>C296</f>
        <v>3.25</v>
      </c>
      <c r="J2168" s="500" t="s">
        <v>556</v>
      </c>
      <c r="K2168" s="526">
        <f t="shared" si="69"/>
        <v>19.5</v>
      </c>
    </row>
    <row r="2169" spans="1:11" hidden="1">
      <c r="A2169" s="559"/>
      <c r="F2169" s="519">
        <v>1</v>
      </c>
      <c r="G2169" s="518" t="s">
        <v>2403</v>
      </c>
      <c r="H2169" s="509" t="s">
        <v>4309</v>
      </c>
      <c r="I2169" s="492">
        <f>C286</f>
        <v>80</v>
      </c>
      <c r="J2169" s="500" t="s">
        <v>556</v>
      </c>
      <c r="K2169" s="526">
        <f t="shared" si="69"/>
        <v>80</v>
      </c>
    </row>
    <row r="2170" spans="1:11" hidden="1">
      <c r="A2170" s="559"/>
      <c r="F2170" s="519">
        <v>2</v>
      </c>
      <c r="G2170" s="518" t="s">
        <v>2403</v>
      </c>
      <c r="H2170" s="509" t="s">
        <v>4310</v>
      </c>
      <c r="I2170" s="492">
        <f>C307</f>
        <v>0.9</v>
      </c>
      <c r="J2170" s="500" t="s">
        <v>556</v>
      </c>
      <c r="K2170" s="526">
        <f t="shared" si="69"/>
        <v>1.8</v>
      </c>
    </row>
    <row r="2171" spans="1:11" hidden="1">
      <c r="A2171" s="559"/>
      <c r="F2171" s="519">
        <v>6</v>
      </c>
      <c r="G2171" s="518" t="s">
        <v>2403</v>
      </c>
      <c r="H2171" s="509" t="s">
        <v>4311</v>
      </c>
      <c r="I2171" s="492">
        <v>8</v>
      </c>
      <c r="J2171" s="500" t="s">
        <v>556</v>
      </c>
      <c r="K2171" s="526">
        <f t="shared" si="69"/>
        <v>48</v>
      </c>
    </row>
    <row r="2172" spans="1:11" hidden="1">
      <c r="A2172" s="559"/>
      <c r="F2172" s="528">
        <v>1.62</v>
      </c>
      <c r="G2172" s="518" t="s">
        <v>26</v>
      </c>
      <c r="H2172" s="509" t="s">
        <v>2401</v>
      </c>
      <c r="I2172" s="492">
        <f>D33</f>
        <v>240</v>
      </c>
      <c r="J2172" s="500" t="s">
        <v>26</v>
      </c>
      <c r="K2172" s="526">
        <f t="shared" si="69"/>
        <v>388.8</v>
      </c>
    </row>
    <row r="2173" spans="1:11" hidden="1">
      <c r="A2173" s="559"/>
      <c r="G2173" s="518" t="s">
        <v>2346</v>
      </c>
      <c r="H2173" s="509" t="s">
        <v>4312</v>
      </c>
      <c r="I2173" s="2"/>
      <c r="J2173" s="500" t="s">
        <v>2346</v>
      </c>
      <c r="K2173" s="526">
        <v>0.25</v>
      </c>
    </row>
    <row r="2174" spans="1:11" hidden="1">
      <c r="A2174" s="559"/>
      <c r="I2174" s="2"/>
      <c r="J2174" s="463"/>
      <c r="K2174" s="526" t="s">
        <v>442</v>
      </c>
    </row>
    <row r="2175" spans="1:11" hidden="1">
      <c r="A2175" s="559"/>
      <c r="H2175" s="510" t="s">
        <v>4313</v>
      </c>
      <c r="I2175" s="2"/>
      <c r="J2175" s="463"/>
      <c r="K2175" s="526">
        <f>SUM(K2165:K2173)</f>
        <v>1822.5634999999997</v>
      </c>
    </row>
    <row r="2176" spans="1:11" hidden="1">
      <c r="A2176" s="559"/>
      <c r="I2176" s="2"/>
      <c r="J2176" s="463"/>
      <c r="K2176" s="526" t="s">
        <v>442</v>
      </c>
    </row>
    <row r="2177" spans="1:11" hidden="1">
      <c r="A2177" s="559"/>
      <c r="I2177" s="2"/>
      <c r="J2177" s="463"/>
      <c r="K2177" s="552"/>
    </row>
    <row r="2178" spans="1:11" hidden="1">
      <c r="A2178" s="559"/>
      <c r="H2178" s="510" t="s">
        <v>4314</v>
      </c>
      <c r="I2178" s="490" t="s">
        <v>30</v>
      </c>
      <c r="J2178" s="463"/>
      <c r="K2178" s="526">
        <f>K2175/1.62</f>
        <v>1125.0391975308639</v>
      </c>
    </row>
    <row r="2179" spans="1:11" hidden="1">
      <c r="A2179" s="559"/>
      <c r="F2179" s="509" t="s">
        <v>30</v>
      </c>
      <c r="G2179" s="518" t="s">
        <v>30</v>
      </c>
      <c r="H2179" s="509" t="s">
        <v>30</v>
      </c>
      <c r="I2179" s="490" t="s">
        <v>30</v>
      </c>
      <c r="J2179" s="500" t="s">
        <v>30</v>
      </c>
      <c r="K2179" s="552"/>
    </row>
    <row r="2180" spans="1:11" hidden="1">
      <c r="A2180" s="559"/>
      <c r="I2180" s="2"/>
      <c r="J2180" s="463"/>
      <c r="K2180" s="552"/>
    </row>
    <row r="2181" spans="1:11" hidden="1">
      <c r="A2181" s="559"/>
      <c r="G2181" s="518" t="s">
        <v>2965</v>
      </c>
      <c r="H2181" s="509" t="s">
        <v>3381</v>
      </c>
      <c r="I2181" s="2"/>
      <c r="J2181" s="463"/>
      <c r="K2181" s="552"/>
    </row>
    <row r="2182" spans="1:11" hidden="1">
      <c r="A2182" s="559"/>
      <c r="H2182" s="509" t="s">
        <v>4315</v>
      </c>
      <c r="I2182" s="2"/>
      <c r="J2182" s="463"/>
      <c r="K2182" s="552"/>
    </row>
    <row r="2183" spans="1:11" hidden="1">
      <c r="A2183" s="559"/>
      <c r="F2183" s="509" t="s">
        <v>30</v>
      </c>
      <c r="H2183" s="509" t="s">
        <v>4316</v>
      </c>
      <c r="I2183" s="2"/>
      <c r="J2183" s="463"/>
      <c r="K2183" s="552"/>
    </row>
    <row r="2184" spans="1:11" hidden="1">
      <c r="A2184" s="559"/>
      <c r="F2184" s="510" t="s">
        <v>4317</v>
      </c>
      <c r="H2184" s="509" t="s">
        <v>3385</v>
      </c>
      <c r="I2184" s="2"/>
      <c r="J2184" s="463"/>
      <c r="K2184" s="526">
        <f>K2860</f>
        <v>765.99833333333333</v>
      </c>
    </row>
    <row r="2185" spans="1:11" hidden="1">
      <c r="A2185" s="559"/>
      <c r="F2185" s="510" t="s">
        <v>4318</v>
      </c>
      <c r="H2185" s="510" t="s">
        <v>3388</v>
      </c>
      <c r="I2185" s="2"/>
      <c r="J2185" s="463"/>
      <c r="K2185" s="526">
        <f>K2884</f>
        <v>768.99833333333333</v>
      </c>
    </row>
    <row r="2186" spans="1:11" hidden="1">
      <c r="A2186" s="559"/>
      <c r="F2186" s="510" t="s">
        <v>4319</v>
      </c>
      <c r="H2186" s="509" t="s">
        <v>3446</v>
      </c>
      <c r="I2186" s="2"/>
      <c r="J2186" s="463"/>
      <c r="K2186" s="526">
        <f>K2899</f>
        <v>804.99833333333333</v>
      </c>
    </row>
    <row r="2187" spans="1:11" hidden="1">
      <c r="A2187" s="559"/>
      <c r="F2187" s="524">
        <v>65</v>
      </c>
      <c r="H2187" s="509" t="s">
        <v>3390</v>
      </c>
      <c r="I2187" s="2"/>
      <c r="J2187" s="463"/>
      <c r="K2187" s="526">
        <f>K2921</f>
        <v>833.99833333333333</v>
      </c>
    </row>
    <row r="2188" spans="1:11" hidden="1">
      <c r="A2188" s="559"/>
      <c r="F2188" s="524">
        <v>66</v>
      </c>
      <c r="H2188" s="509" t="s">
        <v>3396</v>
      </c>
      <c r="I2188" s="2"/>
      <c r="J2188" s="463"/>
      <c r="K2188" s="526">
        <f>K2945</f>
        <v>1341.9983333333334</v>
      </c>
    </row>
    <row r="2189" spans="1:11" hidden="1">
      <c r="A2189" s="559"/>
      <c r="F2189" s="524">
        <v>67</v>
      </c>
      <c r="H2189" s="509" t="s">
        <v>3393</v>
      </c>
      <c r="I2189" s="2"/>
      <c r="J2189" s="463"/>
      <c r="K2189" s="526">
        <f>K2977</f>
        <v>357</v>
      </c>
    </row>
    <row r="2190" spans="1:11" hidden="1">
      <c r="A2190" s="559"/>
      <c r="F2190" s="524">
        <v>68</v>
      </c>
      <c r="H2190" s="509" t="s">
        <v>3395</v>
      </c>
      <c r="I2190" s="2"/>
      <c r="J2190" s="463"/>
      <c r="K2190" s="526">
        <f>K2965</f>
        <v>545.99888888888893</v>
      </c>
    </row>
    <row r="2191" spans="1:11" hidden="1">
      <c r="A2191" s="559"/>
      <c r="F2191" s="524">
        <v>69</v>
      </c>
      <c r="H2191" s="509" t="s">
        <v>4320</v>
      </c>
      <c r="I2191" s="2"/>
      <c r="J2191" s="463"/>
      <c r="K2191" s="526">
        <f>K2988</f>
        <v>141</v>
      </c>
    </row>
    <row r="2192" spans="1:11" hidden="1">
      <c r="A2192" s="559"/>
      <c r="F2192" s="524" t="s">
        <v>4321</v>
      </c>
      <c r="H2192" s="509" t="s">
        <v>3453</v>
      </c>
      <c r="I2192" s="2"/>
      <c r="J2192" s="463"/>
      <c r="K2192" s="526">
        <f>K3135</f>
        <v>385</v>
      </c>
    </row>
    <row r="2193" spans="1:11" hidden="1">
      <c r="A2193" s="559"/>
      <c r="F2193" s="524" t="s">
        <v>4322</v>
      </c>
      <c r="H2193" s="509" t="s">
        <v>4323</v>
      </c>
      <c r="I2193" s="2"/>
      <c r="J2193" s="463"/>
      <c r="K2193" s="526"/>
    </row>
    <row r="2194" spans="1:11" hidden="1">
      <c r="A2194" s="559"/>
      <c r="F2194" s="524" t="s">
        <v>4324</v>
      </c>
      <c r="H2194" s="509" t="s">
        <v>4325</v>
      </c>
      <c r="I2194" s="2"/>
      <c r="J2194" s="463"/>
      <c r="K2194" s="526">
        <v>10</v>
      </c>
    </row>
    <row r="2195" spans="1:11" hidden="1">
      <c r="A2195" s="559"/>
      <c r="F2195" s="524" t="s">
        <v>4326</v>
      </c>
      <c r="H2195" s="509" t="s">
        <v>4327</v>
      </c>
      <c r="I2195" s="2"/>
      <c r="J2195" s="463"/>
      <c r="K2195" s="526">
        <v>8</v>
      </c>
    </row>
    <row r="2196" spans="1:11" hidden="1">
      <c r="A2196" s="559"/>
      <c r="F2196" s="524">
        <v>71</v>
      </c>
      <c r="H2196" s="509" t="s">
        <v>3454</v>
      </c>
      <c r="I2196" s="2"/>
      <c r="J2196" s="463"/>
      <c r="K2196" s="526">
        <f>K3154</f>
        <v>423</v>
      </c>
    </row>
    <row r="2197" spans="1:11" hidden="1">
      <c r="A2197" s="559"/>
      <c r="F2197" s="524">
        <v>72</v>
      </c>
      <c r="H2197" s="509" t="s">
        <v>4328</v>
      </c>
      <c r="I2197" s="2"/>
      <c r="J2197" s="463"/>
      <c r="K2197" s="526">
        <v>31</v>
      </c>
    </row>
    <row r="2198" spans="1:11" hidden="1">
      <c r="A2198" s="559"/>
      <c r="F2198" s="524" t="s">
        <v>4329</v>
      </c>
      <c r="H2198" s="509" t="s">
        <v>3458</v>
      </c>
      <c r="I2198" s="2"/>
      <c r="J2198" s="463"/>
      <c r="K2198" s="526">
        <f>K3233</f>
        <v>3876.0063333333328</v>
      </c>
    </row>
    <row r="2199" spans="1:11" hidden="1">
      <c r="A2199" s="559"/>
      <c r="F2199" s="524" t="s">
        <v>4330</v>
      </c>
      <c r="H2199" s="509" t="s">
        <v>4331</v>
      </c>
      <c r="I2199" s="2"/>
      <c r="J2199" s="463"/>
      <c r="K2199" s="526">
        <f>K3221</f>
        <v>3036.0063333333333</v>
      </c>
    </row>
    <row r="2200" spans="1:11" hidden="1">
      <c r="A2200" s="559"/>
      <c r="F2200" s="524">
        <v>74</v>
      </c>
      <c r="H2200" s="509" t="s">
        <v>3460</v>
      </c>
      <c r="I2200" s="2"/>
      <c r="J2200" s="463"/>
      <c r="K2200" s="526">
        <f>K3277</f>
        <v>182.00099999999998</v>
      </c>
    </row>
    <row r="2201" spans="1:11" hidden="1">
      <c r="A2201" s="559"/>
      <c r="F2201" s="524" t="s">
        <v>4332</v>
      </c>
      <c r="H2201" s="509" t="s">
        <v>3464</v>
      </c>
      <c r="I2201" s="2"/>
      <c r="J2201" s="463"/>
      <c r="K2201" s="526">
        <f>K3763</f>
        <v>1368</v>
      </c>
    </row>
    <row r="2202" spans="1:11" hidden="1">
      <c r="A2202" s="559"/>
      <c r="F2202" s="524" t="s">
        <v>4333</v>
      </c>
      <c r="H2202" s="509" t="s">
        <v>3466</v>
      </c>
      <c r="I2202" s="2"/>
      <c r="J2202" s="463"/>
      <c r="K2202" s="526">
        <v>0</v>
      </c>
    </row>
    <row r="2203" spans="1:11" hidden="1">
      <c r="A2203" s="559"/>
      <c r="F2203" s="524">
        <v>112</v>
      </c>
      <c r="H2203" s="509" t="s">
        <v>4334</v>
      </c>
      <c r="I2203" s="2"/>
      <c r="J2203" s="463"/>
      <c r="K2203" s="526">
        <f>K3740</f>
        <v>1557.9955</v>
      </c>
    </row>
    <row r="2204" spans="1:11" hidden="1">
      <c r="A2204" s="559"/>
      <c r="F2204" s="524">
        <v>76</v>
      </c>
      <c r="H2204" s="509" t="s">
        <v>3469</v>
      </c>
      <c r="I2204" s="2"/>
      <c r="J2204" s="463"/>
      <c r="K2204" s="526">
        <f>K3294</f>
        <v>14</v>
      </c>
    </row>
    <row r="2205" spans="1:11" hidden="1">
      <c r="A2205" s="559"/>
      <c r="F2205" s="524">
        <v>77</v>
      </c>
      <c r="H2205" s="509" t="s">
        <v>4335</v>
      </c>
      <c r="I2205" s="2"/>
      <c r="J2205" s="463"/>
      <c r="K2205" s="526">
        <f>K3080</f>
        <v>105.3</v>
      </c>
    </row>
    <row r="2206" spans="1:11" ht="47.25" hidden="1">
      <c r="A2206" s="559"/>
      <c r="F2206" s="576">
        <v>77.099999999999994</v>
      </c>
      <c r="H2206" s="536" t="s">
        <v>4336</v>
      </c>
      <c r="I2206" s="2"/>
      <c r="J2206" s="463"/>
      <c r="K2206" s="577">
        <f>K3105</f>
        <v>149.80000000000001</v>
      </c>
    </row>
    <row r="2207" spans="1:11" hidden="1">
      <c r="A2207" s="559"/>
      <c r="F2207" s="529">
        <v>77.2</v>
      </c>
      <c r="H2207" s="509" t="s">
        <v>4337</v>
      </c>
      <c r="I2207" s="2"/>
      <c r="J2207" s="463"/>
      <c r="K2207" s="526">
        <v>500</v>
      </c>
    </row>
    <row r="2208" spans="1:11" hidden="1">
      <c r="A2208" s="559"/>
      <c r="F2208" s="529">
        <v>77.3</v>
      </c>
      <c r="H2208" s="509" t="s">
        <v>4338</v>
      </c>
      <c r="I2208" s="2"/>
      <c r="J2208" s="463"/>
      <c r="K2208" s="526">
        <f>K3708</f>
        <v>52</v>
      </c>
    </row>
    <row r="2209" spans="1:11" hidden="1">
      <c r="A2209" s="559"/>
      <c r="F2209" s="524">
        <v>78</v>
      </c>
      <c r="H2209" s="509" t="s">
        <v>3473</v>
      </c>
      <c r="I2209" s="2"/>
      <c r="J2209" s="463"/>
      <c r="K2209" s="526">
        <f>K3319</f>
        <v>1576.9950000000001</v>
      </c>
    </row>
    <row r="2210" spans="1:11" hidden="1">
      <c r="A2210" s="559"/>
      <c r="F2210" s="524">
        <v>80</v>
      </c>
      <c r="H2210" s="509" t="s">
        <v>3476</v>
      </c>
      <c r="I2210" s="2"/>
      <c r="J2210" s="463"/>
      <c r="K2210" s="526">
        <f>K3441</f>
        <v>395.99499999999995</v>
      </c>
    </row>
    <row r="2211" spans="1:11" hidden="1">
      <c r="A2211" s="559"/>
      <c r="F2211" s="524">
        <v>81</v>
      </c>
      <c r="H2211" s="509" t="s">
        <v>3478</v>
      </c>
      <c r="I2211" s="2"/>
      <c r="J2211" s="463"/>
      <c r="K2211" s="526">
        <f>K2178</f>
        <v>1125.0391975308639</v>
      </c>
    </row>
    <row r="2212" spans="1:11" hidden="1">
      <c r="A2212" s="559"/>
      <c r="F2212" s="524">
        <v>82</v>
      </c>
      <c r="H2212" s="509" t="s">
        <v>3480</v>
      </c>
      <c r="I2212" s="2"/>
      <c r="J2212" s="463"/>
      <c r="K2212" s="526">
        <f>K3637</f>
        <v>1733.998</v>
      </c>
    </row>
    <row r="2213" spans="1:11" hidden="1">
      <c r="A2213" s="559"/>
      <c r="F2213" s="524">
        <v>87</v>
      </c>
      <c r="H2213" s="509" t="s">
        <v>3483</v>
      </c>
      <c r="I2213" s="2"/>
      <c r="J2213" s="463"/>
      <c r="K2213" s="526">
        <f>K3458</f>
        <v>2547</v>
      </c>
    </row>
    <row r="2214" spans="1:11" hidden="1">
      <c r="A2214" s="559"/>
      <c r="I2214" s="2"/>
      <c r="J2214" s="463"/>
      <c r="K2214" s="552"/>
    </row>
    <row r="2215" spans="1:11" hidden="1">
      <c r="A2215" s="559"/>
      <c r="I2215" s="2"/>
      <c r="J2215" s="463"/>
      <c r="K2215" s="552"/>
    </row>
    <row r="2216" spans="1:11" ht="31.5" hidden="1">
      <c r="A2216" s="559"/>
      <c r="F2216" s="578">
        <v>77.400000000000006</v>
      </c>
      <c r="H2216" s="539" t="s">
        <v>4339</v>
      </c>
      <c r="I2216" s="2"/>
      <c r="J2216" s="463"/>
      <c r="K2216" s="552"/>
    </row>
    <row r="2217" spans="1:11" hidden="1">
      <c r="A2217" s="559"/>
      <c r="H2217" s="509" t="s">
        <v>4315</v>
      </c>
      <c r="I2217" s="2"/>
      <c r="J2217" s="463"/>
      <c r="K2217" s="552"/>
    </row>
    <row r="2218" spans="1:11" ht="31.5" hidden="1">
      <c r="A2218" s="559"/>
      <c r="F2218" s="511">
        <v>90</v>
      </c>
      <c r="G2218" s="512" t="s">
        <v>4340</v>
      </c>
      <c r="H2218" s="571" t="s">
        <v>4341</v>
      </c>
      <c r="I2218" s="2">
        <v>16.95</v>
      </c>
      <c r="J2218" s="463" t="s">
        <v>4340</v>
      </c>
      <c r="K2218" s="552">
        <f>I2218*F2218</f>
        <v>1525.5</v>
      </c>
    </row>
    <row r="2219" spans="1:11" hidden="1">
      <c r="A2219" s="559"/>
      <c r="F2219" s="511">
        <v>0.15</v>
      </c>
      <c r="G2219" s="512" t="s">
        <v>22</v>
      </c>
      <c r="H2219" s="511" t="s">
        <v>2517</v>
      </c>
      <c r="I2219" s="2">
        <f>AC31</f>
        <v>3800</v>
      </c>
      <c r="J2219" s="463" t="s">
        <v>22</v>
      </c>
      <c r="K2219" s="552">
        <f>I2219*F2219</f>
        <v>570</v>
      </c>
    </row>
    <row r="2220" spans="1:11" hidden="1">
      <c r="A2220" s="559"/>
      <c r="F2220" s="511">
        <v>1</v>
      </c>
      <c r="G2220" s="512" t="s">
        <v>2359</v>
      </c>
      <c r="H2220" s="511" t="s">
        <v>4342</v>
      </c>
      <c r="I2220" s="2">
        <f>C780</f>
        <v>160</v>
      </c>
      <c r="J2220" s="463" t="s">
        <v>2359</v>
      </c>
      <c r="K2220" s="552">
        <f>I2220*F2220</f>
        <v>160</v>
      </c>
    </row>
    <row r="2221" spans="1:11" hidden="1">
      <c r="A2221" s="559"/>
      <c r="F2221" s="511">
        <v>2</v>
      </c>
      <c r="G2221" s="512" t="s">
        <v>2359</v>
      </c>
      <c r="H2221" s="511" t="s">
        <v>2343</v>
      </c>
      <c r="I2221" s="2">
        <f>AE10</f>
        <v>135</v>
      </c>
      <c r="J2221" s="463" t="s">
        <v>2359</v>
      </c>
      <c r="K2221" s="552">
        <f>I2221*F2221</f>
        <v>270</v>
      </c>
    </row>
    <row r="2222" spans="1:11" hidden="1">
      <c r="A2222" s="559"/>
      <c r="F2222" s="511">
        <v>4</v>
      </c>
      <c r="G2222" s="512" t="s">
        <v>2359</v>
      </c>
      <c r="H2222" s="511" t="s">
        <v>3489</v>
      </c>
      <c r="I2222" s="2">
        <f>C781</f>
        <v>110</v>
      </c>
      <c r="J2222" s="463" t="s">
        <v>2359</v>
      </c>
      <c r="K2222" s="552">
        <f>I2222*F2222</f>
        <v>440</v>
      </c>
    </row>
    <row r="2223" spans="1:11" hidden="1">
      <c r="A2223" s="559"/>
      <c r="H2223" s="511" t="s">
        <v>4343</v>
      </c>
      <c r="I2223" s="2"/>
      <c r="J2223" s="463"/>
      <c r="K2223" s="552">
        <v>8.5</v>
      </c>
    </row>
    <row r="2224" spans="1:11" hidden="1">
      <c r="A2224" s="559"/>
      <c r="I2224" s="2"/>
      <c r="J2224" s="463"/>
      <c r="K2224" s="526" t="s">
        <v>442</v>
      </c>
    </row>
    <row r="2225" spans="1:11" hidden="1">
      <c r="A2225" s="559"/>
      <c r="H2225" s="509" t="s">
        <v>4344</v>
      </c>
      <c r="I2225" s="2"/>
      <c r="J2225" s="463"/>
      <c r="K2225" s="526">
        <f>SUM(K2218:K2223)</f>
        <v>2974</v>
      </c>
    </row>
    <row r="2226" spans="1:11" hidden="1">
      <c r="A2226" s="559"/>
      <c r="I2226" s="2"/>
      <c r="J2226" s="463"/>
      <c r="K2226" s="526" t="s">
        <v>442</v>
      </c>
    </row>
    <row r="2227" spans="1:11" hidden="1">
      <c r="A2227" s="559"/>
      <c r="H2227" s="509" t="s">
        <v>4266</v>
      </c>
      <c r="I2227" s="2"/>
      <c r="J2227" s="463"/>
      <c r="K2227" s="526">
        <f>(K2225/90)</f>
        <v>33.044444444444444</v>
      </c>
    </row>
    <row r="2228" spans="1:11" hidden="1">
      <c r="A2228" s="559"/>
      <c r="I2228" s="2"/>
      <c r="J2228" s="463"/>
      <c r="K2228" s="526" t="s">
        <v>29</v>
      </c>
    </row>
    <row r="2229" spans="1:11" hidden="1">
      <c r="A2229" s="559"/>
      <c r="I2229" s="2"/>
      <c r="J2229" s="463"/>
      <c r="K2229" s="552"/>
    </row>
    <row r="2230" spans="1:11" hidden="1">
      <c r="A2230" s="559"/>
      <c r="F2230" s="543">
        <v>78.099999999999994</v>
      </c>
      <c r="H2230" s="509" t="s">
        <v>4345</v>
      </c>
      <c r="I2230" s="2"/>
      <c r="J2230" s="463"/>
      <c r="K2230" s="552"/>
    </row>
    <row r="2231" spans="1:11" hidden="1">
      <c r="A2231" s="559"/>
      <c r="H2231" s="509" t="s">
        <v>4315</v>
      </c>
      <c r="I2231" s="2"/>
      <c r="J2231" s="463"/>
      <c r="K2231" s="552"/>
    </row>
    <row r="2232" spans="1:11" hidden="1">
      <c r="A2232" s="559"/>
      <c r="F2232" s="511">
        <v>2.5</v>
      </c>
      <c r="G2232" s="512" t="s">
        <v>2359</v>
      </c>
      <c r="H2232" s="511" t="s">
        <v>4346</v>
      </c>
      <c r="I2232" s="2">
        <v>120</v>
      </c>
      <c r="J2232" s="463" t="s">
        <v>2359</v>
      </c>
      <c r="K2232" s="552">
        <f t="shared" ref="K2232:K2237" si="70">I2232*F2232</f>
        <v>300</v>
      </c>
    </row>
    <row r="2233" spans="1:11" hidden="1">
      <c r="A2233" s="559"/>
      <c r="F2233" s="511">
        <v>20</v>
      </c>
      <c r="G2233" s="512" t="s">
        <v>4125</v>
      </c>
      <c r="H2233" s="511" t="s">
        <v>4347</v>
      </c>
      <c r="I2233" s="2">
        <v>4</v>
      </c>
      <c r="J2233" s="463" t="s">
        <v>4125</v>
      </c>
      <c r="K2233" s="552">
        <f t="shared" si="70"/>
        <v>80</v>
      </c>
    </row>
    <row r="2234" spans="1:11" hidden="1">
      <c r="A2234" s="559"/>
      <c r="F2234" s="511">
        <v>9</v>
      </c>
      <c r="G2234" s="512" t="s">
        <v>4125</v>
      </c>
      <c r="H2234" s="511" t="s">
        <v>4348</v>
      </c>
      <c r="I2234" s="2">
        <v>4</v>
      </c>
      <c r="J2234" s="463" t="s">
        <v>4125</v>
      </c>
      <c r="K2234" s="552">
        <f t="shared" si="70"/>
        <v>36</v>
      </c>
    </row>
    <row r="2235" spans="1:11" hidden="1">
      <c r="A2235" s="559"/>
      <c r="F2235" s="511">
        <v>0.5</v>
      </c>
      <c r="G2235" s="512" t="s">
        <v>4125</v>
      </c>
      <c r="H2235" s="511" t="s">
        <v>4349</v>
      </c>
      <c r="I2235" s="2">
        <v>30</v>
      </c>
      <c r="J2235" s="463" t="s">
        <v>4125</v>
      </c>
      <c r="K2235" s="552">
        <f t="shared" si="70"/>
        <v>15</v>
      </c>
    </row>
    <row r="2236" spans="1:11" hidden="1">
      <c r="A2236" s="559"/>
      <c r="F2236" s="511">
        <v>0.5</v>
      </c>
      <c r="G2236" s="512" t="s">
        <v>2359</v>
      </c>
      <c r="H2236" s="511" t="s">
        <v>3487</v>
      </c>
      <c r="I2236" s="2">
        <f>C780</f>
        <v>160</v>
      </c>
      <c r="J2236" s="463" t="s">
        <v>2359</v>
      </c>
      <c r="K2236" s="552">
        <f t="shared" si="70"/>
        <v>80</v>
      </c>
    </row>
    <row r="2237" spans="1:11" hidden="1">
      <c r="A2237" s="559"/>
      <c r="F2237" s="511">
        <v>1</v>
      </c>
      <c r="G2237" s="512" t="s">
        <v>2359</v>
      </c>
      <c r="H2237" s="511" t="s">
        <v>3489</v>
      </c>
      <c r="I2237" s="2">
        <f>C781</f>
        <v>110</v>
      </c>
      <c r="J2237" s="463" t="s">
        <v>2359</v>
      </c>
      <c r="K2237" s="552">
        <f t="shared" si="70"/>
        <v>110</v>
      </c>
    </row>
    <row r="2238" spans="1:11" ht="31.5" hidden="1">
      <c r="A2238" s="559"/>
      <c r="G2238" s="512" t="s">
        <v>170</v>
      </c>
      <c r="H2238" s="571" t="s">
        <v>4350</v>
      </c>
      <c r="I2238" s="2"/>
      <c r="J2238" s="463" t="s">
        <v>170</v>
      </c>
      <c r="K2238" s="552">
        <v>165</v>
      </c>
    </row>
    <row r="2239" spans="1:11" hidden="1">
      <c r="A2239" s="559"/>
      <c r="G2239" s="512" t="s">
        <v>170</v>
      </c>
      <c r="H2239" s="511" t="s">
        <v>4351</v>
      </c>
      <c r="I2239" s="2"/>
      <c r="J2239" s="463" t="s">
        <v>170</v>
      </c>
      <c r="K2239" s="552">
        <v>9.5</v>
      </c>
    </row>
    <row r="2240" spans="1:11" hidden="1">
      <c r="A2240" s="559"/>
      <c r="I2240" s="2"/>
      <c r="J2240" s="463"/>
      <c r="K2240" s="526" t="s">
        <v>442</v>
      </c>
    </row>
    <row r="2241" spans="1:11" hidden="1">
      <c r="A2241" s="559"/>
      <c r="H2241" s="511" t="s">
        <v>3571</v>
      </c>
      <c r="I2241" s="2"/>
      <c r="J2241" s="463"/>
      <c r="K2241" s="526">
        <f>SUM(K2232:K2239)</f>
        <v>795.5</v>
      </c>
    </row>
    <row r="2242" spans="1:11" hidden="1">
      <c r="A2242" s="559"/>
      <c r="I2242" s="2"/>
      <c r="J2242" s="463"/>
      <c r="K2242" s="526" t="s">
        <v>442</v>
      </c>
    </row>
    <row r="2243" spans="1:11" hidden="1">
      <c r="A2243" s="559"/>
    </row>
    <row r="2244" spans="1:11" ht="21.75" hidden="1">
      <c r="A2244" s="559"/>
      <c r="E2244" s="579"/>
      <c r="F2244" s="579"/>
      <c r="G2244" s="580"/>
      <c r="H2244" s="581" t="s">
        <v>960</v>
      </c>
      <c r="I2244" s="579"/>
      <c r="J2244" s="582"/>
      <c r="K2244" s="837"/>
    </row>
    <row r="2245" spans="1:11" ht="17.25" hidden="1">
      <c r="A2245" s="559"/>
      <c r="E2245" s="579"/>
      <c r="F2245" s="580"/>
      <c r="G2245" s="579"/>
      <c r="H2245" s="579"/>
      <c r="I2245" s="582"/>
      <c r="J2245" s="579"/>
      <c r="K2245" s="584"/>
    </row>
    <row r="2246" spans="1:11" ht="17.25" hidden="1">
      <c r="A2246" s="559"/>
      <c r="E2246" s="579"/>
      <c r="F2246" s="580">
        <v>53.3</v>
      </c>
      <c r="G2246" s="579"/>
      <c r="H2246" s="579" t="s">
        <v>4352</v>
      </c>
      <c r="I2246" s="582"/>
      <c r="J2246" s="579"/>
      <c r="K2246" s="584">
        <v>957</v>
      </c>
    </row>
    <row r="2247" spans="1:11" ht="17.25" hidden="1">
      <c r="A2247" s="559"/>
      <c r="E2247" s="579"/>
      <c r="F2247" s="580"/>
      <c r="G2247" s="579"/>
      <c r="H2247" s="579"/>
      <c r="I2247" s="582"/>
      <c r="J2247" s="579"/>
      <c r="K2247" s="584"/>
    </row>
    <row r="2248" spans="1:11" ht="34.5" hidden="1">
      <c r="A2248" s="559"/>
      <c r="E2248" s="579"/>
      <c r="F2248" s="584" t="s">
        <v>4353</v>
      </c>
      <c r="G2248" s="579"/>
      <c r="H2248" s="585" t="s">
        <v>3872</v>
      </c>
      <c r="I2248" s="582"/>
      <c r="J2248" s="579"/>
      <c r="K2248" s="584"/>
    </row>
    <row r="2249" spans="1:11" ht="17.25" hidden="1">
      <c r="A2249" s="559"/>
      <c r="E2249" s="579"/>
      <c r="F2249" s="580"/>
      <c r="G2249" s="579"/>
      <c r="H2249" s="586" t="s">
        <v>442</v>
      </c>
      <c r="I2249" s="586" t="s">
        <v>442</v>
      </c>
      <c r="J2249" s="586" t="s">
        <v>442</v>
      </c>
      <c r="K2249" s="584"/>
    </row>
    <row r="2250" spans="1:11" ht="17.25" hidden="1">
      <c r="A2250" s="559"/>
      <c r="E2250" s="579"/>
      <c r="F2250" s="580"/>
      <c r="G2250" s="579"/>
      <c r="H2250" s="579"/>
      <c r="I2250" s="582"/>
      <c r="J2250" s="579"/>
      <c r="K2250" s="584"/>
    </row>
    <row r="2251" spans="1:11" ht="17.25" hidden="1">
      <c r="A2251" s="559"/>
      <c r="E2251" s="579"/>
      <c r="F2251" s="580"/>
      <c r="G2251" s="579"/>
      <c r="H2251" s="579" t="s">
        <v>3873</v>
      </c>
      <c r="I2251" s="582"/>
      <c r="J2251" s="579"/>
      <c r="K2251" s="584"/>
    </row>
    <row r="2252" spans="1:11" ht="17.25" hidden="1">
      <c r="A2252" s="559"/>
      <c r="E2252" s="579"/>
      <c r="F2252" s="580"/>
      <c r="G2252" s="579"/>
      <c r="H2252" s="579" t="s">
        <v>3874</v>
      </c>
      <c r="I2252" s="582"/>
      <c r="J2252" s="579"/>
      <c r="K2252" s="584"/>
    </row>
    <row r="2253" spans="1:11" ht="17.25" hidden="1">
      <c r="A2253" s="559"/>
      <c r="E2253" s="579"/>
      <c r="F2253" s="580"/>
      <c r="G2253" s="579"/>
      <c r="H2253" s="579" t="s">
        <v>3875</v>
      </c>
      <c r="I2253" s="582"/>
      <c r="J2253" s="579"/>
      <c r="K2253" s="584"/>
    </row>
    <row r="2254" spans="1:11" ht="17.25" hidden="1">
      <c r="A2254" s="559"/>
      <c r="E2254" s="579"/>
      <c r="F2254" s="580"/>
      <c r="G2254" s="579"/>
      <c r="H2254" s="579" t="s">
        <v>3876</v>
      </c>
      <c r="I2254" s="582"/>
      <c r="J2254" s="579"/>
      <c r="K2254" s="584"/>
    </row>
    <row r="2255" spans="1:11" ht="17.25" hidden="1">
      <c r="A2255" s="559"/>
      <c r="E2255" s="579"/>
      <c r="F2255" s="580"/>
      <c r="G2255" s="579"/>
      <c r="H2255" s="579" t="s">
        <v>3877</v>
      </c>
      <c r="I2255" s="582"/>
      <c r="J2255" s="579"/>
      <c r="K2255" s="584"/>
    </row>
    <row r="2256" spans="1:11" ht="17.25" hidden="1">
      <c r="A2256" s="559"/>
      <c r="E2256" s="579"/>
      <c r="F2256" s="580"/>
      <c r="G2256" s="579"/>
      <c r="H2256" s="579" t="s">
        <v>4354</v>
      </c>
      <c r="I2256" s="582"/>
      <c r="J2256" s="579" t="s">
        <v>30</v>
      </c>
      <c r="K2256" s="584">
        <v>3.32E-2</v>
      </c>
    </row>
    <row r="2257" spans="1:11" ht="17.25" hidden="1">
      <c r="A2257" s="559"/>
      <c r="E2257" s="579"/>
      <c r="F2257" s="580"/>
      <c r="G2257" s="579"/>
      <c r="H2257" s="579" t="s">
        <v>4355</v>
      </c>
      <c r="I2257" s="582"/>
      <c r="J2257" s="579" t="s">
        <v>30</v>
      </c>
      <c r="K2257" s="584" t="s">
        <v>30</v>
      </c>
    </row>
    <row r="2258" spans="1:11" ht="17.25" hidden="1">
      <c r="A2258" s="559"/>
      <c r="E2258" s="579"/>
      <c r="F2258" s="580"/>
      <c r="G2258" s="579"/>
      <c r="H2258" s="579" t="s">
        <v>3879</v>
      </c>
      <c r="I2258" s="582"/>
      <c r="J2258" s="579"/>
      <c r="K2258" s="584" t="s">
        <v>30</v>
      </c>
    </row>
    <row r="2259" spans="1:11" ht="17.25" hidden="1">
      <c r="A2259" s="559"/>
      <c r="E2259" s="579"/>
      <c r="F2259" s="580"/>
      <c r="G2259" s="579"/>
      <c r="H2259" s="579"/>
      <c r="I2259" s="582"/>
      <c r="J2259" s="579"/>
      <c r="K2259" s="584"/>
    </row>
    <row r="2260" spans="1:11" ht="17.25" hidden="1">
      <c r="A2260" s="559"/>
      <c r="E2260" s="579"/>
      <c r="F2260" s="587">
        <v>1.18E-2</v>
      </c>
      <c r="G2260" s="579" t="s">
        <v>2334</v>
      </c>
      <c r="H2260" s="579" t="s">
        <v>2809</v>
      </c>
      <c r="I2260" s="582">
        <f>I1083</f>
        <v>65420</v>
      </c>
      <c r="J2260" s="579" t="s">
        <v>2334</v>
      </c>
      <c r="K2260" s="584">
        <f t="shared" ref="K2260:K2269" si="71">I2260*F2260</f>
        <v>771.95600000000002</v>
      </c>
    </row>
    <row r="2261" spans="1:11" ht="17.25" hidden="1">
      <c r="A2261" s="559"/>
      <c r="E2261" s="579"/>
      <c r="F2261" s="587">
        <v>3.7699999999999997E-2</v>
      </c>
      <c r="G2261" s="579" t="s">
        <v>2334</v>
      </c>
      <c r="H2261" s="579" t="s">
        <v>2810</v>
      </c>
      <c r="I2261" s="582">
        <f>I1084</f>
        <v>57165</v>
      </c>
      <c r="J2261" s="579" t="s">
        <v>2334</v>
      </c>
      <c r="K2261" s="584">
        <f t="shared" si="71"/>
        <v>2155.1205</v>
      </c>
    </row>
    <row r="2262" spans="1:11" ht="17.25" hidden="1">
      <c r="A2262" s="559"/>
      <c r="E2262" s="579"/>
      <c r="F2262" s="587">
        <v>1.8550000000000001E-2</v>
      </c>
      <c r="G2262" s="579" t="s">
        <v>2334</v>
      </c>
      <c r="H2262" s="579" t="s">
        <v>3880</v>
      </c>
      <c r="I2262" s="582">
        <f>I1085</f>
        <v>3035</v>
      </c>
      <c r="J2262" s="579" t="s">
        <v>2334</v>
      </c>
      <c r="K2262" s="584">
        <f t="shared" si="71"/>
        <v>56.299250000000001</v>
      </c>
    </row>
    <row r="2263" spans="1:11" ht="17.25" hidden="1">
      <c r="A2263" s="559"/>
      <c r="E2263" s="579"/>
      <c r="F2263" s="587">
        <v>1.36</v>
      </c>
      <c r="G2263" s="579" t="s">
        <v>2788</v>
      </c>
      <c r="H2263" s="579" t="s">
        <v>3881</v>
      </c>
      <c r="I2263" s="582">
        <v>385.89</v>
      </c>
      <c r="J2263" s="579" t="s">
        <v>2788</v>
      </c>
      <c r="K2263" s="584">
        <f t="shared" si="71"/>
        <v>524.81040000000007</v>
      </c>
    </row>
    <row r="2264" spans="1:11" ht="17.25" hidden="1">
      <c r="A2264" s="559"/>
      <c r="E2264" s="579"/>
      <c r="F2264" s="587">
        <v>2.0499999999999998</v>
      </c>
      <c r="G2264" s="579" t="s">
        <v>2788</v>
      </c>
      <c r="H2264" s="579" t="s">
        <v>3882</v>
      </c>
      <c r="I2264" s="582">
        <f>I1087</f>
        <v>287</v>
      </c>
      <c r="J2264" s="579" t="s">
        <v>2788</v>
      </c>
      <c r="K2264" s="584">
        <f t="shared" si="71"/>
        <v>588.34999999999991</v>
      </c>
    </row>
    <row r="2265" spans="1:11" ht="17.25" hidden="1">
      <c r="A2265" s="559"/>
      <c r="E2265" s="579"/>
      <c r="F2265" s="588">
        <v>2</v>
      </c>
      <c r="G2265" s="579" t="s">
        <v>2342</v>
      </c>
      <c r="H2265" s="579" t="s">
        <v>4356</v>
      </c>
      <c r="I2265" s="582">
        <v>25</v>
      </c>
      <c r="J2265" s="579" t="s">
        <v>2342</v>
      </c>
      <c r="K2265" s="584">
        <f t="shared" si="71"/>
        <v>50</v>
      </c>
    </row>
    <row r="2266" spans="1:11" ht="17.25" hidden="1">
      <c r="A2266" s="559"/>
      <c r="E2266" s="579"/>
      <c r="F2266" s="588">
        <v>6</v>
      </c>
      <c r="G2266" s="579" t="s">
        <v>2342</v>
      </c>
      <c r="H2266" s="579" t="s">
        <v>3849</v>
      </c>
      <c r="I2266" s="582">
        <v>25</v>
      </c>
      <c r="J2266" s="579" t="s">
        <v>2342</v>
      </c>
      <c r="K2266" s="584">
        <f t="shared" si="71"/>
        <v>150</v>
      </c>
    </row>
    <row r="2267" spans="1:11" ht="17.25" hidden="1">
      <c r="A2267" s="559"/>
      <c r="E2267" s="579"/>
      <c r="F2267" s="588">
        <v>2</v>
      </c>
      <c r="G2267" s="579" t="s">
        <v>2342</v>
      </c>
      <c r="H2267" s="579" t="s">
        <v>3884</v>
      </c>
      <c r="I2267" s="582">
        <v>35</v>
      </c>
      <c r="J2267" s="579" t="s">
        <v>2342</v>
      </c>
      <c r="K2267" s="584">
        <f t="shared" si="71"/>
        <v>70</v>
      </c>
    </row>
    <row r="2268" spans="1:11" ht="17.25" hidden="1">
      <c r="A2268" s="559"/>
      <c r="E2268" s="579"/>
      <c r="F2268" s="588">
        <v>1</v>
      </c>
      <c r="G2268" s="579" t="s">
        <v>2342</v>
      </c>
      <c r="H2268" s="579" t="s">
        <v>3885</v>
      </c>
      <c r="I2268" s="582">
        <v>60</v>
      </c>
      <c r="J2268" s="579" t="s">
        <v>2342</v>
      </c>
      <c r="K2268" s="584">
        <f t="shared" si="71"/>
        <v>60</v>
      </c>
    </row>
    <row r="2269" spans="1:11" ht="17.25" hidden="1">
      <c r="A2269" s="559"/>
      <c r="E2269" s="579"/>
      <c r="F2269" s="587">
        <v>2.52</v>
      </c>
      <c r="G2269" s="579" t="s">
        <v>2788</v>
      </c>
      <c r="H2269" s="579" t="s">
        <v>3886</v>
      </c>
      <c r="I2269" s="582">
        <f>K1122</f>
        <v>51.25</v>
      </c>
      <c r="J2269" s="579" t="s">
        <v>2788</v>
      </c>
      <c r="K2269" s="584">
        <f t="shared" si="71"/>
        <v>129.15</v>
      </c>
    </row>
    <row r="2270" spans="1:11" ht="17.25" hidden="1">
      <c r="A2270" s="559"/>
      <c r="E2270" s="579"/>
      <c r="F2270" s="580"/>
      <c r="G2270" s="579"/>
      <c r="H2270" s="579" t="s">
        <v>3887</v>
      </c>
      <c r="I2270" s="582" t="s">
        <v>2346</v>
      </c>
      <c r="J2270" s="579"/>
      <c r="K2270" s="584">
        <v>0.28000000000000003</v>
      </c>
    </row>
    <row r="2271" spans="1:11" ht="17.25" hidden="1">
      <c r="A2271" s="559"/>
      <c r="E2271" s="579"/>
      <c r="F2271" s="580"/>
      <c r="G2271" s="579"/>
      <c r="H2271" s="579"/>
      <c r="I2271" s="582"/>
      <c r="J2271" s="579"/>
      <c r="K2271" s="837" t="s">
        <v>442</v>
      </c>
    </row>
    <row r="2272" spans="1:11" ht="17.25" hidden="1">
      <c r="A2272" s="559"/>
      <c r="E2272" s="579"/>
      <c r="F2272" s="580"/>
      <c r="G2272" s="579"/>
      <c r="H2272" s="579" t="s">
        <v>3888</v>
      </c>
      <c r="I2272" s="582"/>
      <c r="J2272" s="579"/>
      <c r="K2272" s="584">
        <f>SUM(K2260:K2271)</f>
        <v>4555.9661499999993</v>
      </c>
    </row>
    <row r="2273" spans="1:11" ht="17.25" hidden="1">
      <c r="A2273" s="559"/>
      <c r="E2273" s="579"/>
      <c r="F2273" s="580"/>
      <c r="G2273" s="579" t="s">
        <v>30</v>
      </c>
      <c r="H2273" s="579"/>
      <c r="I2273" s="582"/>
      <c r="J2273" s="579"/>
      <c r="K2273" s="837" t="s">
        <v>442</v>
      </c>
    </row>
    <row r="2274" spans="1:11" ht="17.25" hidden="1">
      <c r="A2274" s="559"/>
      <c r="E2274" s="579"/>
      <c r="F2274" s="580"/>
      <c r="G2274" s="579"/>
      <c r="H2274" s="579" t="s">
        <v>2355</v>
      </c>
      <c r="I2274" s="582"/>
      <c r="J2274" s="579"/>
      <c r="K2274" s="584">
        <f>K2272/F2269</f>
        <v>1807.9230753968252</v>
      </c>
    </row>
    <row r="2275" spans="1:11" ht="17.25" hidden="1">
      <c r="A2275" s="559"/>
      <c r="E2275" s="579"/>
      <c r="F2275" s="580"/>
      <c r="G2275" s="579"/>
      <c r="H2275" s="579"/>
      <c r="I2275" s="582"/>
      <c r="J2275" s="579"/>
      <c r="K2275" s="584"/>
    </row>
    <row r="2276" spans="1:11" ht="17.25" hidden="1">
      <c r="A2276" s="559"/>
      <c r="E2276" s="579"/>
      <c r="F2276" s="579"/>
      <c r="G2276" s="580"/>
      <c r="H2276" s="579"/>
      <c r="I2276" s="579"/>
      <c r="J2276" s="582"/>
      <c r="K2276" s="584"/>
    </row>
    <row r="2277" spans="1:11" ht="17.25" hidden="1">
      <c r="A2277" s="559"/>
      <c r="E2277" s="579"/>
      <c r="F2277" s="579"/>
      <c r="G2277" s="580"/>
      <c r="H2277" s="579"/>
      <c r="I2277" s="579"/>
      <c r="J2277" s="582"/>
      <c r="K2277" s="584"/>
    </row>
    <row r="2278" spans="1:11" ht="51.75" hidden="1">
      <c r="A2278" s="559"/>
      <c r="E2278" s="579"/>
      <c r="F2278" s="579"/>
      <c r="G2278" s="580"/>
      <c r="H2278" s="586" t="s">
        <v>4357</v>
      </c>
      <c r="I2278" s="579"/>
      <c r="J2278" s="582" t="s">
        <v>556</v>
      </c>
      <c r="K2278" s="584">
        <v>600</v>
      </c>
    </row>
    <row r="2279" spans="1:11" ht="17.25" hidden="1">
      <c r="A2279" s="559"/>
      <c r="E2279" s="579"/>
      <c r="F2279" s="579"/>
      <c r="G2279" s="580"/>
      <c r="H2279" s="579"/>
      <c r="I2279" s="579"/>
      <c r="J2279" s="582"/>
      <c r="K2279" s="584"/>
    </row>
    <row r="2280" spans="1:11" ht="17.25" hidden="1">
      <c r="A2280" s="559"/>
      <c r="E2280" s="579"/>
      <c r="F2280" s="579"/>
      <c r="G2280" s="580"/>
      <c r="H2280" s="579"/>
      <c r="I2280" s="579"/>
      <c r="J2280" s="582"/>
      <c r="K2280" s="584"/>
    </row>
    <row r="2281" spans="1:11" ht="17.25" hidden="1">
      <c r="A2281" s="559"/>
      <c r="E2281" s="579"/>
      <c r="F2281" s="579"/>
      <c r="G2281" s="580"/>
      <c r="H2281" s="586" t="s">
        <v>4358</v>
      </c>
      <c r="I2281" s="579"/>
      <c r="J2281" s="582" t="s">
        <v>556</v>
      </c>
      <c r="K2281" s="584">
        <v>300</v>
      </c>
    </row>
    <row r="2282" spans="1:11" ht="17.25" hidden="1">
      <c r="A2282" s="559"/>
      <c r="E2282" s="579"/>
      <c r="F2282" s="579"/>
      <c r="G2282" s="580"/>
      <c r="H2282" s="579"/>
      <c r="I2282" s="579"/>
      <c r="J2282" s="582"/>
      <c r="K2282" s="584"/>
    </row>
    <row r="2283" spans="1:11" ht="17.25" hidden="1">
      <c r="A2283" s="559"/>
      <c r="E2283" s="579"/>
      <c r="F2283" s="579"/>
      <c r="G2283" s="580"/>
      <c r="H2283" s="579"/>
      <c r="I2283" s="579"/>
      <c r="J2283" s="582"/>
      <c r="K2283" s="584"/>
    </row>
    <row r="2284" spans="1:11" ht="17.25" hidden="1">
      <c r="A2284" s="559"/>
      <c r="E2284" s="579"/>
      <c r="F2284" s="579"/>
      <c r="G2284" s="580"/>
      <c r="H2284" s="579"/>
      <c r="I2284" s="579"/>
      <c r="J2284" s="582"/>
      <c r="K2284" s="584"/>
    </row>
    <row r="2285" spans="1:11" ht="17.25" hidden="1">
      <c r="A2285" s="559"/>
      <c r="E2285" s="579"/>
      <c r="F2285" s="579"/>
      <c r="G2285" s="580"/>
      <c r="H2285" s="586" t="s">
        <v>4359</v>
      </c>
      <c r="I2285" s="579"/>
      <c r="J2285" s="582" t="s">
        <v>556</v>
      </c>
      <c r="K2285" s="584">
        <v>260</v>
      </c>
    </row>
    <row r="2286" spans="1:11" ht="17.25" hidden="1">
      <c r="A2286" s="559"/>
      <c r="E2286" s="579"/>
      <c r="F2286" s="579"/>
      <c r="G2286" s="580"/>
      <c r="H2286" s="579"/>
      <c r="I2286" s="579"/>
      <c r="J2286" s="582"/>
      <c r="K2286" s="584"/>
    </row>
    <row r="2287" spans="1:11" ht="17.25" hidden="1">
      <c r="A2287" s="559"/>
      <c r="E2287" s="579"/>
      <c r="F2287" s="579"/>
      <c r="G2287" s="580"/>
      <c r="H2287" s="579"/>
      <c r="I2287" s="579"/>
      <c r="J2287" s="582"/>
      <c r="K2287" s="584"/>
    </row>
    <row r="2288" spans="1:11" ht="17.25" hidden="1">
      <c r="A2288" s="559"/>
      <c r="E2288" s="579"/>
      <c r="F2288" s="579"/>
      <c r="G2288" s="580"/>
      <c r="H2288" s="579"/>
      <c r="I2288" s="579"/>
      <c r="J2288" s="582"/>
      <c r="K2288" s="584"/>
    </row>
    <row r="2289" spans="1:11" ht="34.5" hidden="1">
      <c r="A2289" s="559"/>
      <c r="E2289" s="579"/>
      <c r="F2289" s="579"/>
      <c r="G2289" s="580"/>
      <c r="H2289" s="586" t="s">
        <v>4360</v>
      </c>
      <c r="I2289" s="579"/>
      <c r="J2289" s="582" t="s">
        <v>556</v>
      </c>
      <c r="K2289" s="584">
        <v>650</v>
      </c>
    </row>
    <row r="2290" spans="1:11" ht="17.25" hidden="1">
      <c r="A2290" s="559"/>
      <c r="E2290" s="579"/>
      <c r="F2290" s="579"/>
      <c r="G2290" s="580"/>
      <c r="H2290" s="579"/>
      <c r="I2290" s="579"/>
      <c r="J2290" s="582"/>
      <c r="K2290" s="584"/>
    </row>
    <row r="2291" spans="1:11" ht="17.25" hidden="1">
      <c r="A2291" s="559"/>
      <c r="E2291" s="579"/>
      <c r="F2291" s="579"/>
      <c r="G2291" s="580"/>
      <c r="H2291" s="579"/>
      <c r="I2291" s="579"/>
      <c r="J2291" s="582"/>
      <c r="K2291" s="584"/>
    </row>
    <row r="2292" spans="1:11" ht="17.25" hidden="1">
      <c r="A2292" s="559"/>
      <c r="E2292" s="579"/>
      <c r="F2292" s="579"/>
      <c r="G2292" s="580"/>
      <c r="H2292" s="579" t="s">
        <v>4361</v>
      </c>
      <c r="I2292" s="579"/>
      <c r="J2292" s="582" t="s">
        <v>556</v>
      </c>
      <c r="K2292" s="584">
        <v>436</v>
      </c>
    </row>
    <row r="2293" spans="1:11" ht="17.25" hidden="1">
      <c r="A2293" s="559"/>
      <c r="E2293" s="579"/>
      <c r="F2293" s="579"/>
      <c r="G2293" s="580"/>
      <c r="H2293" s="579"/>
      <c r="I2293" s="579"/>
      <c r="J2293" s="582"/>
      <c r="K2293" s="584"/>
    </row>
    <row r="2294" spans="1:11" ht="17.25" hidden="1">
      <c r="A2294" s="559"/>
      <c r="E2294" s="579"/>
      <c r="F2294" s="579"/>
      <c r="G2294" s="580"/>
      <c r="H2294" s="579"/>
      <c r="I2294" s="579"/>
      <c r="J2294" s="582"/>
      <c r="K2294" s="584"/>
    </row>
    <row r="2295" spans="1:11" ht="17.25" hidden="1">
      <c r="A2295" s="559"/>
      <c r="E2295" s="579"/>
      <c r="F2295" s="579"/>
      <c r="G2295" s="580"/>
      <c r="H2295" s="579" t="s">
        <v>4362</v>
      </c>
      <c r="I2295" s="579"/>
      <c r="J2295" s="582" t="s">
        <v>556</v>
      </c>
      <c r="K2295" s="584">
        <v>518</v>
      </c>
    </row>
    <row r="2296" spans="1:11" ht="17.25" hidden="1">
      <c r="A2296" s="559"/>
      <c r="E2296" s="579"/>
      <c r="F2296" s="579"/>
      <c r="G2296" s="580"/>
      <c r="H2296" s="579"/>
      <c r="I2296" s="579"/>
      <c r="J2296" s="582"/>
      <c r="K2296" s="584"/>
    </row>
    <row r="2297" spans="1:11" ht="17.25" hidden="1">
      <c r="A2297" s="559"/>
      <c r="E2297" s="579"/>
      <c r="F2297" s="579"/>
      <c r="G2297" s="580"/>
      <c r="H2297" s="579"/>
      <c r="I2297" s="579"/>
      <c r="J2297" s="582"/>
      <c r="K2297" s="584"/>
    </row>
    <row r="2298" spans="1:11" ht="17.25" hidden="1">
      <c r="A2298" s="559"/>
      <c r="E2298" s="579"/>
      <c r="F2298" s="579"/>
      <c r="G2298" s="580"/>
      <c r="H2298" s="579"/>
      <c r="I2298" s="579"/>
      <c r="J2298" s="582"/>
      <c r="K2298" s="584"/>
    </row>
    <row r="2299" spans="1:11" ht="34.5" hidden="1">
      <c r="A2299" s="559"/>
      <c r="E2299" s="579"/>
      <c r="F2299" s="579"/>
      <c r="G2299" s="580"/>
      <c r="H2299" s="586" t="s">
        <v>4363</v>
      </c>
      <c r="I2299" s="579"/>
      <c r="J2299" s="582"/>
      <c r="K2299" s="584"/>
    </row>
    <row r="2300" spans="1:11" ht="17.25" hidden="1">
      <c r="A2300" s="559"/>
      <c r="E2300" s="579"/>
      <c r="F2300" s="579"/>
      <c r="G2300" s="580"/>
      <c r="H2300" s="579"/>
      <c r="I2300" s="579"/>
      <c r="J2300" s="582"/>
      <c r="K2300" s="584"/>
    </row>
    <row r="2301" spans="1:11" ht="17.25" hidden="1">
      <c r="A2301" s="559"/>
      <c r="E2301" s="579"/>
      <c r="F2301" s="579"/>
      <c r="G2301" s="580"/>
      <c r="H2301" s="579" t="s">
        <v>4364</v>
      </c>
      <c r="I2301" s="579"/>
      <c r="J2301" s="582"/>
      <c r="K2301" s="584"/>
    </row>
    <row r="2302" spans="1:11" ht="17.25" hidden="1">
      <c r="A2302" s="559"/>
      <c r="E2302" s="579"/>
      <c r="F2302" s="579"/>
      <c r="G2302" s="580"/>
      <c r="H2302" s="579" t="s">
        <v>4365</v>
      </c>
      <c r="I2302" s="579"/>
      <c r="J2302" s="582"/>
      <c r="K2302" s="584"/>
    </row>
    <row r="2303" spans="1:11" ht="17.25" hidden="1">
      <c r="A2303" s="559"/>
      <c r="E2303" s="579"/>
      <c r="F2303" s="579"/>
      <c r="G2303" s="580"/>
      <c r="H2303" s="579"/>
      <c r="I2303" s="579"/>
      <c r="J2303" s="582"/>
      <c r="K2303" s="584"/>
    </row>
    <row r="2304" spans="1:11" ht="17.25" hidden="1">
      <c r="A2304" s="559"/>
      <c r="E2304" s="579"/>
      <c r="F2304" s="579"/>
      <c r="G2304" s="580"/>
      <c r="H2304" s="579"/>
      <c r="I2304" s="579"/>
      <c r="J2304" s="582"/>
      <c r="K2304" s="584"/>
    </row>
    <row r="2305" spans="1:11" ht="17.25" hidden="1">
      <c r="A2305" s="559"/>
      <c r="E2305" s="579"/>
      <c r="F2305" s="579"/>
      <c r="G2305" s="580"/>
      <c r="H2305" s="579"/>
      <c r="I2305" s="579"/>
      <c r="J2305" s="582"/>
      <c r="K2305" s="584"/>
    </row>
    <row r="2306" spans="1:11" ht="17.25" hidden="1">
      <c r="A2306" s="559"/>
      <c r="E2306" s="579"/>
      <c r="F2306" s="579">
        <v>1.96</v>
      </c>
      <c r="G2306" s="580" t="s">
        <v>19</v>
      </c>
      <c r="H2306" s="579" t="s">
        <v>4366</v>
      </c>
      <c r="I2306" s="579" t="e">
        <f>K1644</f>
        <v>#REF!</v>
      </c>
      <c r="J2306" s="582" t="s">
        <v>19</v>
      </c>
      <c r="K2306" s="584" t="e">
        <f t="shared" ref="K2306:K2311" si="72">I2306*F2306</f>
        <v>#REF!</v>
      </c>
    </row>
    <row r="2307" spans="1:11" ht="17.25" hidden="1">
      <c r="A2307" s="559"/>
      <c r="E2307" s="579"/>
      <c r="F2307" s="579">
        <v>2</v>
      </c>
      <c r="G2307" s="580" t="s">
        <v>5</v>
      </c>
      <c r="H2307" s="579" t="s">
        <v>4367</v>
      </c>
      <c r="I2307" s="579">
        <f>C10</f>
        <v>150</v>
      </c>
      <c r="J2307" s="582" t="s">
        <v>5</v>
      </c>
      <c r="K2307" s="584">
        <f t="shared" si="72"/>
        <v>300</v>
      </c>
    </row>
    <row r="2308" spans="1:11" ht="17.25" hidden="1">
      <c r="A2308" s="559"/>
      <c r="E2308" s="579"/>
      <c r="F2308" s="579">
        <v>2</v>
      </c>
      <c r="G2308" s="580" t="s">
        <v>5</v>
      </c>
      <c r="H2308" s="579" t="s">
        <v>4368</v>
      </c>
      <c r="I2308" s="579">
        <f>C13</f>
        <v>85</v>
      </c>
      <c r="J2308" s="582" t="s">
        <v>5</v>
      </c>
      <c r="K2308" s="584">
        <f t="shared" si="72"/>
        <v>170</v>
      </c>
    </row>
    <row r="2309" spans="1:11" ht="17.25" hidden="1">
      <c r="A2309" s="559"/>
      <c r="E2309" s="579"/>
      <c r="F2309" s="579">
        <v>500</v>
      </c>
      <c r="G2309" s="580" t="s">
        <v>5</v>
      </c>
      <c r="H2309" s="579" t="s">
        <v>4369</v>
      </c>
      <c r="I2309" s="579">
        <v>2</v>
      </c>
      <c r="J2309" s="582" t="s">
        <v>5</v>
      </c>
      <c r="K2309" s="584">
        <f t="shared" si="72"/>
        <v>1000</v>
      </c>
    </row>
    <row r="2310" spans="1:11" ht="17.25" hidden="1">
      <c r="A2310" s="559"/>
      <c r="E2310" s="579"/>
      <c r="F2310" s="579">
        <v>8.5</v>
      </c>
      <c r="G2310" s="580" t="s">
        <v>4370</v>
      </c>
      <c r="H2310" s="579" t="s">
        <v>4371</v>
      </c>
      <c r="I2310" s="579">
        <v>25</v>
      </c>
      <c r="J2310" s="582" t="s">
        <v>4370</v>
      </c>
      <c r="K2310" s="584">
        <f t="shared" si="72"/>
        <v>212.5</v>
      </c>
    </row>
    <row r="2311" spans="1:11" ht="17.25" hidden="1">
      <c r="A2311" s="559"/>
      <c r="E2311" s="579"/>
      <c r="F2311" s="579">
        <v>0.28000000000000003</v>
      </c>
      <c r="G2311" s="580" t="s">
        <v>26</v>
      </c>
      <c r="H2311" s="579" t="s">
        <v>4372</v>
      </c>
      <c r="I2311" s="579">
        <f>K2448</f>
        <v>168.11849999999998</v>
      </c>
      <c r="J2311" s="582" t="s">
        <v>26</v>
      </c>
      <c r="K2311" s="584">
        <f t="shared" si="72"/>
        <v>47.073180000000001</v>
      </c>
    </row>
    <row r="2312" spans="1:11" ht="17.25" hidden="1">
      <c r="A2312" s="559"/>
      <c r="E2312" s="579"/>
      <c r="F2312" s="579"/>
      <c r="G2312" s="580"/>
      <c r="H2312" s="579"/>
      <c r="I2312" s="579"/>
      <c r="J2312" s="582"/>
      <c r="K2312" s="584" t="s">
        <v>4373</v>
      </c>
    </row>
    <row r="2313" spans="1:11" ht="17.25" hidden="1">
      <c r="A2313" s="559"/>
      <c r="E2313" s="579"/>
      <c r="F2313" s="579"/>
      <c r="G2313" s="580"/>
      <c r="H2313" s="579"/>
      <c r="I2313" s="579" t="s">
        <v>4374</v>
      </c>
      <c r="J2313" s="582">
        <v>39.200000000000003</v>
      </c>
      <c r="K2313" s="584" t="e">
        <f>SUM(K2306:K2312)</f>
        <v>#REF!</v>
      </c>
    </row>
    <row r="2314" spans="1:11" ht="17.25" hidden="1">
      <c r="A2314" s="559"/>
      <c r="E2314" s="579"/>
      <c r="F2314" s="579"/>
      <c r="G2314" s="580"/>
      <c r="H2314" s="579"/>
      <c r="I2314" s="579"/>
      <c r="J2314" s="582"/>
      <c r="K2314" s="584" t="s">
        <v>4375</v>
      </c>
    </row>
    <row r="2315" spans="1:11" ht="17.25" hidden="1">
      <c r="A2315" s="559"/>
      <c r="E2315" s="579"/>
      <c r="F2315" s="579"/>
      <c r="G2315" s="580"/>
      <c r="H2315" s="579"/>
      <c r="I2315" s="579"/>
      <c r="J2315" s="582"/>
      <c r="K2315" s="584"/>
    </row>
    <row r="2316" spans="1:11" ht="17.25" hidden="1">
      <c r="A2316" s="559"/>
      <c r="E2316" s="579"/>
      <c r="F2316" s="579"/>
      <c r="G2316" s="580"/>
      <c r="H2316" s="579"/>
      <c r="I2316" s="579" t="s">
        <v>4376</v>
      </c>
      <c r="J2316" s="582"/>
      <c r="K2316" s="838" t="e">
        <f>K2313/J2313</f>
        <v>#REF!</v>
      </c>
    </row>
    <row r="2317" spans="1:11" ht="17.25" hidden="1">
      <c r="A2317" s="559"/>
      <c r="E2317" s="579"/>
      <c r="F2317" s="579"/>
      <c r="G2317" s="580"/>
      <c r="H2317" s="579"/>
      <c r="I2317" s="579"/>
      <c r="J2317" s="582"/>
      <c r="K2317" s="837" t="s">
        <v>29</v>
      </c>
    </row>
    <row r="2318" spans="1:11" ht="17.25" hidden="1">
      <c r="A2318" s="559"/>
      <c r="E2318" s="579"/>
      <c r="F2318" s="579"/>
      <c r="G2318" s="580"/>
      <c r="H2318" s="579"/>
      <c r="I2318" s="579"/>
      <c r="J2318" s="582"/>
      <c r="K2318" s="584"/>
    </row>
    <row r="2319" spans="1:11" ht="34.5" hidden="1">
      <c r="A2319" s="559"/>
      <c r="E2319" s="579"/>
      <c r="F2319" s="579"/>
      <c r="G2319" s="580"/>
      <c r="H2319" s="586" t="s">
        <v>4377</v>
      </c>
      <c r="I2319" s="579"/>
      <c r="J2319" s="582"/>
      <c r="K2319" s="584"/>
    </row>
    <row r="2320" spans="1:11" ht="17.25" hidden="1">
      <c r="A2320" s="559"/>
      <c r="E2320" s="579"/>
      <c r="F2320" s="579"/>
      <c r="G2320" s="580"/>
      <c r="H2320" s="579"/>
      <c r="I2320" s="579"/>
      <c r="J2320" s="582"/>
      <c r="K2320" s="584"/>
    </row>
    <row r="2321" spans="1:11" ht="17.25" hidden="1">
      <c r="A2321" s="559"/>
      <c r="E2321" s="579"/>
      <c r="F2321" s="579">
        <v>4</v>
      </c>
      <c r="G2321" s="580" t="s">
        <v>12</v>
      </c>
      <c r="H2321" s="579" t="s">
        <v>4378</v>
      </c>
      <c r="I2321" s="579">
        <v>110</v>
      </c>
      <c r="J2321" s="582" t="s">
        <v>12</v>
      </c>
      <c r="K2321" s="584">
        <f t="shared" ref="K2321:K2328" si="73">I2321*F2321</f>
        <v>440</v>
      </c>
    </row>
    <row r="2322" spans="1:11" ht="17.25" hidden="1">
      <c r="A2322" s="559"/>
      <c r="E2322" s="579"/>
      <c r="F2322" s="579">
        <v>2.52</v>
      </c>
      <c r="G2322" s="580" t="s">
        <v>40</v>
      </c>
      <c r="H2322" s="579" t="s">
        <v>4379</v>
      </c>
      <c r="I2322" s="579">
        <v>30</v>
      </c>
      <c r="J2322" s="582" t="s">
        <v>40</v>
      </c>
      <c r="K2322" s="584">
        <f t="shared" si="73"/>
        <v>75.599999999999994</v>
      </c>
    </row>
    <row r="2323" spans="1:11" ht="17.25" hidden="1">
      <c r="A2323" s="559"/>
      <c r="E2323" s="579"/>
      <c r="F2323" s="579">
        <v>1.1299999999999999</v>
      </c>
      <c r="G2323" s="580" t="s">
        <v>40</v>
      </c>
      <c r="H2323" s="579" t="s">
        <v>4380</v>
      </c>
      <c r="I2323" s="579">
        <v>30</v>
      </c>
      <c r="J2323" s="582" t="s">
        <v>40</v>
      </c>
      <c r="K2323" s="584">
        <f t="shared" si="73"/>
        <v>33.9</v>
      </c>
    </row>
    <row r="2324" spans="1:11" ht="17.25" hidden="1">
      <c r="A2324" s="559"/>
      <c r="E2324" s="579"/>
      <c r="F2324" s="579">
        <v>0.35</v>
      </c>
      <c r="G2324" s="580" t="s">
        <v>40</v>
      </c>
      <c r="H2324" s="579" t="s">
        <v>4381</v>
      </c>
      <c r="I2324" s="579">
        <v>30</v>
      </c>
      <c r="J2324" s="582" t="s">
        <v>40</v>
      </c>
      <c r="K2324" s="584">
        <f t="shared" si="73"/>
        <v>10.5</v>
      </c>
    </row>
    <row r="2325" spans="1:11" ht="17.25" hidden="1">
      <c r="A2325" s="559"/>
      <c r="E2325" s="579"/>
      <c r="F2325" s="579">
        <v>4</v>
      </c>
      <c r="G2325" s="580" t="s">
        <v>40</v>
      </c>
      <c r="H2325" s="579" t="s">
        <v>4382</v>
      </c>
      <c r="I2325" s="579">
        <v>12.25</v>
      </c>
      <c r="J2325" s="582" t="s">
        <v>40</v>
      </c>
      <c r="K2325" s="584">
        <f t="shared" si="73"/>
        <v>49</v>
      </c>
    </row>
    <row r="2326" spans="1:11" ht="17.25" hidden="1">
      <c r="A2326" s="559"/>
      <c r="E2326" s="579"/>
      <c r="F2326" s="579">
        <v>6</v>
      </c>
      <c r="G2326" s="580" t="s">
        <v>13</v>
      </c>
      <c r="H2326" s="579" t="s">
        <v>4383</v>
      </c>
      <c r="I2326" s="579">
        <v>1</v>
      </c>
      <c r="J2326" s="582" t="s">
        <v>556</v>
      </c>
      <c r="K2326" s="584">
        <f t="shared" si="73"/>
        <v>6</v>
      </c>
    </row>
    <row r="2327" spans="1:11" ht="17.25" hidden="1">
      <c r="A2327" s="559"/>
      <c r="E2327" s="579"/>
      <c r="F2327" s="579">
        <v>0.5</v>
      </c>
      <c r="G2327" s="580" t="s">
        <v>13</v>
      </c>
      <c r="H2327" s="579" t="s">
        <v>4384</v>
      </c>
      <c r="I2327" s="579">
        <f>C12</f>
        <v>95</v>
      </c>
      <c r="J2327" s="582" t="s">
        <v>556</v>
      </c>
      <c r="K2327" s="584">
        <f t="shared" si="73"/>
        <v>47.5</v>
      </c>
    </row>
    <row r="2328" spans="1:11" ht="17.25" hidden="1">
      <c r="A2328" s="559"/>
      <c r="E2328" s="579"/>
      <c r="F2328" s="579">
        <v>0.5</v>
      </c>
      <c r="G2328" s="580" t="s">
        <v>13</v>
      </c>
      <c r="H2328" s="579" t="s">
        <v>4385</v>
      </c>
      <c r="I2328" s="579">
        <f>C13</f>
        <v>85</v>
      </c>
      <c r="J2328" s="582" t="s">
        <v>556</v>
      </c>
      <c r="K2328" s="584">
        <f t="shared" si="73"/>
        <v>42.5</v>
      </c>
    </row>
    <row r="2329" spans="1:11" ht="17.25" hidden="1">
      <c r="A2329" s="559"/>
      <c r="E2329" s="579"/>
      <c r="F2329" s="584" t="s">
        <v>2346</v>
      </c>
      <c r="G2329" s="580"/>
      <c r="H2329" s="579" t="s">
        <v>4386</v>
      </c>
      <c r="I2329" s="579"/>
      <c r="J2329" s="582" t="s">
        <v>2346</v>
      </c>
      <c r="K2329" s="584">
        <v>19.22</v>
      </c>
    </row>
    <row r="2330" spans="1:11" ht="17.25" hidden="1">
      <c r="A2330" s="559"/>
      <c r="E2330" s="579"/>
      <c r="F2330" s="579"/>
      <c r="G2330" s="580"/>
      <c r="H2330" s="579"/>
      <c r="I2330" s="579"/>
      <c r="J2330" s="582"/>
      <c r="K2330" s="584"/>
    </row>
    <row r="2331" spans="1:11" ht="17.25" hidden="1">
      <c r="A2331" s="559"/>
      <c r="E2331" s="579"/>
      <c r="F2331" s="579"/>
      <c r="G2331" s="580"/>
      <c r="H2331" s="579"/>
      <c r="I2331" s="579"/>
      <c r="J2331" s="582"/>
      <c r="K2331" s="584" t="s">
        <v>4387</v>
      </c>
    </row>
    <row r="2332" spans="1:11" ht="17.25" hidden="1">
      <c r="A2332" s="559"/>
      <c r="E2332" s="579"/>
      <c r="F2332" s="579"/>
      <c r="G2332" s="580"/>
      <c r="H2332" s="579"/>
      <c r="I2332" s="579" t="s">
        <v>4388</v>
      </c>
      <c r="J2332" s="582" t="s">
        <v>4389</v>
      </c>
      <c r="K2332" s="584">
        <f>SUM(K2321:K2331)</f>
        <v>724.22</v>
      </c>
    </row>
    <row r="2333" spans="1:11" ht="17.25" hidden="1">
      <c r="A2333" s="559"/>
      <c r="E2333" s="579"/>
      <c r="F2333" s="579"/>
      <c r="G2333" s="580"/>
      <c r="H2333" s="579"/>
      <c r="I2333" s="579">
        <v>2</v>
      </c>
      <c r="J2333" s="591" t="s">
        <v>13</v>
      </c>
      <c r="K2333" s="584" t="s">
        <v>4375</v>
      </c>
    </row>
    <row r="2334" spans="1:11" ht="17.25" hidden="1">
      <c r="A2334" s="559"/>
      <c r="E2334" s="579"/>
      <c r="F2334" s="579"/>
      <c r="G2334" s="580"/>
      <c r="H2334" s="579"/>
      <c r="I2334" s="586"/>
      <c r="J2334" s="582"/>
      <c r="K2334" s="584"/>
    </row>
    <row r="2335" spans="1:11" ht="17.25" hidden="1">
      <c r="A2335" s="559"/>
      <c r="E2335" s="579"/>
      <c r="F2335" s="579"/>
      <c r="G2335" s="580"/>
      <c r="H2335" s="579"/>
      <c r="I2335" s="579"/>
      <c r="J2335" s="582"/>
      <c r="K2335" s="584"/>
    </row>
    <row r="2336" spans="1:11" ht="17.25" hidden="1">
      <c r="A2336" s="559"/>
      <c r="E2336" s="579"/>
      <c r="F2336" s="579"/>
      <c r="G2336" s="580"/>
      <c r="H2336" s="579"/>
      <c r="I2336" s="579" t="s">
        <v>2373</v>
      </c>
      <c r="J2336" s="582"/>
      <c r="K2336" s="838">
        <f>K2332/I2333</f>
        <v>362.11</v>
      </c>
    </row>
    <row r="2337" spans="1:12" ht="17.25" hidden="1">
      <c r="A2337" s="559"/>
      <c r="E2337" s="579"/>
      <c r="F2337" s="579"/>
      <c r="G2337" s="580"/>
      <c r="H2337" s="579"/>
      <c r="I2337" s="579"/>
      <c r="J2337" s="582"/>
      <c r="K2337" s="837" t="s">
        <v>29</v>
      </c>
    </row>
    <row r="2338" spans="1:12" ht="17.25" hidden="1">
      <c r="A2338" s="559"/>
      <c r="E2338" s="579"/>
      <c r="F2338" s="579"/>
      <c r="G2338" s="580"/>
      <c r="H2338" s="579"/>
      <c r="I2338" s="579"/>
      <c r="J2338" s="582"/>
      <c r="K2338" s="584"/>
    </row>
    <row r="2339" spans="1:12" ht="19.5" hidden="1">
      <c r="A2339" s="559"/>
      <c r="E2339" s="579"/>
      <c r="F2339" s="592"/>
      <c r="G2339" s="592"/>
      <c r="H2339" s="592"/>
      <c r="I2339" s="592"/>
      <c r="J2339" s="592"/>
      <c r="K2339" s="839"/>
      <c r="L2339" s="593"/>
    </row>
    <row r="2340" spans="1:12" ht="17.25" hidden="1">
      <c r="A2340" s="559"/>
      <c r="E2340" s="579"/>
      <c r="F2340" s="579"/>
      <c r="G2340" s="579"/>
      <c r="H2340" s="579"/>
      <c r="I2340" s="579"/>
      <c r="J2340" s="579"/>
      <c r="K2340" s="584"/>
    </row>
    <row r="2341" spans="1:12" ht="18" hidden="1">
      <c r="A2341" s="559"/>
      <c r="E2341" s="1619" t="s">
        <v>4390</v>
      </c>
      <c r="F2341" s="1619"/>
      <c r="G2341" s="1619"/>
      <c r="H2341" s="1619"/>
      <c r="I2341" s="1619"/>
      <c r="J2341" s="1619"/>
      <c r="K2341" s="1619"/>
      <c r="L2341" s="594"/>
    </row>
    <row r="2342" spans="1:12" ht="18" hidden="1">
      <c r="A2342" s="559"/>
      <c r="E2342" s="595"/>
      <c r="F2342" s="595"/>
      <c r="G2342" s="595"/>
      <c r="H2342" s="595"/>
      <c r="I2342" s="595"/>
      <c r="J2342" s="595"/>
      <c r="K2342" s="840"/>
      <c r="L2342" s="596"/>
    </row>
    <row r="2343" spans="1:12" ht="18" hidden="1">
      <c r="A2343" s="559"/>
      <c r="E2343" s="597"/>
      <c r="F2343" s="594" t="s">
        <v>7</v>
      </c>
      <c r="G2343" s="593"/>
      <c r="H2343" s="598" t="s">
        <v>1675</v>
      </c>
      <c r="I2343" s="594" t="s">
        <v>563</v>
      </c>
      <c r="J2343" s="598" t="s">
        <v>4391</v>
      </c>
      <c r="K2343" s="841" t="s">
        <v>571</v>
      </c>
      <c r="L2343" s="599"/>
    </row>
    <row r="2344" spans="1:12" ht="18" hidden="1">
      <c r="A2344" s="559"/>
      <c r="E2344" s="600">
        <v>18.100000000000001</v>
      </c>
      <c r="F2344" s="601" t="s">
        <v>4392</v>
      </c>
      <c r="G2344" s="595"/>
      <c r="H2344" s="602" t="s">
        <v>4393</v>
      </c>
      <c r="I2344" s="596"/>
      <c r="J2344" s="596"/>
      <c r="K2344" s="842"/>
      <c r="L2344" s="599"/>
    </row>
    <row r="2345" spans="1:12" ht="18" hidden="1">
      <c r="A2345" s="559"/>
      <c r="E2345" s="597"/>
      <c r="F2345" s="599"/>
      <c r="G2345" s="597"/>
      <c r="H2345" s="603" t="s">
        <v>4394</v>
      </c>
      <c r="I2345" s="599"/>
      <c r="J2345" s="597"/>
      <c r="K2345" s="843"/>
      <c r="L2345" s="599"/>
    </row>
    <row r="2346" spans="1:12" ht="21" hidden="1">
      <c r="A2346" s="559"/>
      <c r="E2346" s="597"/>
      <c r="F2346" s="599"/>
      <c r="G2346" s="597"/>
      <c r="H2346" s="603" t="s">
        <v>4395</v>
      </c>
      <c r="I2346" s="599"/>
      <c r="J2346" s="597"/>
      <c r="K2346" s="843"/>
      <c r="L2346" s="599"/>
    </row>
    <row r="2347" spans="1:12" ht="21" hidden="1">
      <c r="A2347" s="559"/>
      <c r="E2347" s="597"/>
      <c r="F2347" s="599"/>
      <c r="G2347" s="597"/>
      <c r="H2347" s="603" t="s">
        <v>4396</v>
      </c>
      <c r="I2347" s="599"/>
      <c r="J2347" s="597"/>
      <c r="K2347" s="843"/>
      <c r="L2347" s="599"/>
    </row>
    <row r="2348" spans="1:12" ht="18" hidden="1">
      <c r="A2348" s="559"/>
      <c r="E2348" s="597"/>
      <c r="F2348" s="599"/>
      <c r="G2348" s="597"/>
      <c r="H2348" s="603" t="s">
        <v>4397</v>
      </c>
      <c r="I2348" s="599"/>
      <c r="J2348" s="597"/>
      <c r="K2348" s="843"/>
      <c r="L2348" s="599"/>
    </row>
    <row r="2349" spans="1:12" ht="39" hidden="1">
      <c r="A2349" s="559"/>
      <c r="E2349" s="597"/>
      <c r="F2349" s="599"/>
      <c r="G2349" s="597"/>
      <c r="H2349" s="603" t="s">
        <v>4398</v>
      </c>
      <c r="I2349" s="599"/>
      <c r="J2349" s="597"/>
      <c r="K2349" s="843"/>
      <c r="L2349" s="599"/>
    </row>
    <row r="2350" spans="1:12" ht="72" hidden="1">
      <c r="A2350" s="559"/>
      <c r="E2350" s="597"/>
      <c r="F2350" s="599"/>
      <c r="G2350" s="597"/>
      <c r="H2350" s="603" t="s">
        <v>4399</v>
      </c>
      <c r="I2350" s="599"/>
      <c r="J2350" s="597"/>
      <c r="K2350" s="843"/>
      <c r="L2350" s="599"/>
    </row>
    <row r="2351" spans="1:12" ht="36" hidden="1">
      <c r="A2351" s="559"/>
      <c r="E2351" s="597"/>
      <c r="F2351" s="599"/>
      <c r="G2351" s="597"/>
      <c r="H2351" s="603" t="s">
        <v>4400</v>
      </c>
      <c r="I2351" s="599"/>
      <c r="J2351" s="597"/>
      <c r="K2351" s="843"/>
      <c r="L2351" s="599"/>
    </row>
    <row r="2352" spans="1:12" ht="39" hidden="1">
      <c r="A2352" s="559"/>
      <c r="E2352" s="597"/>
      <c r="F2352" s="599"/>
      <c r="G2352" s="597"/>
      <c r="H2352" s="603" t="s">
        <v>4401</v>
      </c>
      <c r="I2352" s="599"/>
      <c r="J2352" s="597"/>
      <c r="K2352" s="843"/>
      <c r="L2352" s="599"/>
    </row>
    <row r="2353" spans="1:12" ht="18" hidden="1">
      <c r="A2353" s="559"/>
      <c r="E2353" s="597"/>
      <c r="F2353" s="599"/>
      <c r="G2353" s="597"/>
      <c r="H2353" s="597"/>
      <c r="I2353" s="599"/>
      <c r="J2353" s="597"/>
      <c r="K2353" s="843"/>
      <c r="L2353" s="599"/>
    </row>
    <row r="2354" spans="1:12" ht="21" hidden="1">
      <c r="A2354" s="559"/>
      <c r="E2354" s="597"/>
      <c r="F2354" s="604">
        <v>62</v>
      </c>
      <c r="G2354" s="605" t="s">
        <v>4402</v>
      </c>
      <c r="H2354" s="606" t="s">
        <v>4403</v>
      </c>
      <c r="I2354" s="604">
        <f>K2378</f>
        <v>217.39849999999998</v>
      </c>
      <c r="J2354" s="605" t="s">
        <v>4402</v>
      </c>
      <c r="K2354" s="843">
        <f>I2354*F2354</f>
        <v>13478.706999999999</v>
      </c>
      <c r="L2354" s="599"/>
    </row>
    <row r="2355" spans="1:12" ht="21" hidden="1">
      <c r="A2355" s="559"/>
      <c r="E2355" s="597"/>
      <c r="F2355" s="604">
        <v>121.64</v>
      </c>
      <c r="G2355" s="605" t="s">
        <v>4402</v>
      </c>
      <c r="H2355" s="606" t="s">
        <v>4404</v>
      </c>
      <c r="I2355" s="604">
        <f>I2383</f>
        <v>168.11849999999998</v>
      </c>
      <c r="J2355" s="605" t="s">
        <v>4405</v>
      </c>
      <c r="K2355" s="843">
        <f>I2355*F2355</f>
        <v>20449.93434</v>
      </c>
      <c r="L2355" s="607"/>
    </row>
    <row r="2356" spans="1:12" ht="21" hidden="1">
      <c r="A2356" s="559"/>
      <c r="E2356" s="597"/>
      <c r="F2356" s="599"/>
      <c r="G2356" s="597"/>
      <c r="H2356" s="606" t="s">
        <v>4406</v>
      </c>
      <c r="I2356" s="599"/>
      <c r="J2356" s="597"/>
      <c r="K2356" s="843">
        <f>SUM(K2354:K2355)</f>
        <v>33928.641340000002</v>
      </c>
      <c r="L2356" s="608"/>
    </row>
    <row r="2357" spans="1:12" ht="21" hidden="1">
      <c r="A2357" s="559"/>
      <c r="E2357" s="597"/>
      <c r="F2357" s="599"/>
      <c r="G2357" s="597"/>
      <c r="H2357" s="606" t="s">
        <v>4407</v>
      </c>
      <c r="I2357" s="599"/>
      <c r="J2357" s="597"/>
      <c r="K2357" s="844">
        <f>K2356/F2354</f>
        <v>547.23615064516127</v>
      </c>
      <c r="L2357" s="599"/>
    </row>
    <row r="2358" spans="1:12" ht="18" hidden="1">
      <c r="A2358" s="559"/>
      <c r="E2358" s="597"/>
      <c r="F2358" s="599"/>
      <c r="G2358" s="597"/>
      <c r="H2358" s="605"/>
      <c r="I2358" s="599"/>
      <c r="J2358" s="597"/>
      <c r="K2358" s="845"/>
      <c r="L2358" s="599"/>
    </row>
    <row r="2359" spans="1:12" ht="36" hidden="1">
      <c r="A2359" s="559"/>
      <c r="E2359" s="609">
        <v>18.100000000000001</v>
      </c>
      <c r="F2359" s="601" t="s">
        <v>1673</v>
      </c>
      <c r="G2359" s="597"/>
      <c r="H2359" s="610" t="s">
        <v>4408</v>
      </c>
      <c r="I2359" s="599"/>
      <c r="J2359" s="597"/>
      <c r="K2359" s="843"/>
      <c r="L2359" s="599"/>
    </row>
    <row r="2360" spans="1:12" ht="18" hidden="1">
      <c r="A2360" s="559"/>
      <c r="E2360" s="597"/>
      <c r="F2360" s="599"/>
      <c r="G2360" s="597"/>
      <c r="H2360" s="597"/>
      <c r="I2360" s="599"/>
      <c r="J2360" s="597"/>
      <c r="K2360" s="843"/>
      <c r="L2360" s="599"/>
    </row>
    <row r="2361" spans="1:12" ht="18" hidden="1">
      <c r="A2361" s="559"/>
      <c r="E2361" s="597"/>
      <c r="F2361" s="604">
        <v>13.46</v>
      </c>
      <c r="G2361" s="605" t="s">
        <v>40</v>
      </c>
      <c r="H2361" s="603" t="s">
        <v>4409</v>
      </c>
      <c r="I2361" s="604">
        <f>I706</f>
        <v>30</v>
      </c>
      <c r="J2361" s="605" t="s">
        <v>40</v>
      </c>
      <c r="K2361" s="843">
        <f>I2361*F2361</f>
        <v>403.8</v>
      </c>
      <c r="L2361" s="599"/>
    </row>
    <row r="2362" spans="1:12" ht="18" hidden="1">
      <c r="A2362" s="559"/>
      <c r="E2362" s="597"/>
      <c r="F2362" s="604">
        <v>4</v>
      </c>
      <c r="G2362" s="605" t="s">
        <v>40</v>
      </c>
      <c r="H2362" s="603" t="s">
        <v>4410</v>
      </c>
      <c r="I2362" s="604">
        <f>I708</f>
        <v>30</v>
      </c>
      <c r="J2362" s="605" t="s">
        <v>40</v>
      </c>
      <c r="K2362" s="843">
        <f>I2362*F2362</f>
        <v>120</v>
      </c>
      <c r="L2362" s="611"/>
    </row>
    <row r="2363" spans="1:12" ht="36" hidden="1">
      <c r="A2363" s="559"/>
      <c r="E2363" s="597"/>
      <c r="F2363" s="604">
        <v>1</v>
      </c>
      <c r="G2363" s="605" t="s">
        <v>4411</v>
      </c>
      <c r="H2363" s="603" t="s">
        <v>4412</v>
      </c>
      <c r="I2363" s="604">
        <v>40</v>
      </c>
      <c r="J2363" s="605" t="s">
        <v>2346</v>
      </c>
      <c r="K2363" s="843">
        <f>I2363*F2363</f>
        <v>40</v>
      </c>
      <c r="L2363" s="599"/>
    </row>
    <row r="2364" spans="1:12" ht="18" hidden="1">
      <c r="A2364" s="559"/>
      <c r="E2364" s="597"/>
      <c r="F2364" s="599"/>
      <c r="G2364" s="597"/>
      <c r="H2364" s="612" t="s">
        <v>4413</v>
      </c>
      <c r="I2364" s="599"/>
      <c r="J2364" s="597"/>
      <c r="K2364" s="846">
        <f>SUM(K2361:K2363)</f>
        <v>563.79999999999995</v>
      </c>
      <c r="L2364" s="599"/>
    </row>
    <row r="2365" spans="1:12" ht="18" hidden="1">
      <c r="A2365" s="559"/>
      <c r="E2365" s="597"/>
      <c r="F2365" s="599"/>
      <c r="G2365" s="597"/>
      <c r="H2365" s="612" t="s">
        <v>4414</v>
      </c>
      <c r="I2365" s="608">
        <f>K2364/40</f>
        <v>14.094999999999999</v>
      </c>
      <c r="J2365" s="597"/>
      <c r="K2365" s="843"/>
      <c r="L2365" s="599"/>
    </row>
    <row r="2366" spans="1:12" ht="18" hidden="1">
      <c r="A2366" s="559"/>
      <c r="E2366" s="597"/>
      <c r="F2366" s="599"/>
      <c r="G2366" s="597"/>
      <c r="H2366" s="597"/>
      <c r="I2366" s="599"/>
      <c r="J2366" s="597"/>
      <c r="K2366" s="843"/>
      <c r="L2366" s="599"/>
    </row>
    <row r="2367" spans="1:12" ht="18" hidden="1">
      <c r="A2367" s="559"/>
      <c r="E2367" s="597"/>
      <c r="F2367" s="604">
        <v>19</v>
      </c>
      <c r="G2367" s="605" t="s">
        <v>5</v>
      </c>
      <c r="H2367" s="597" t="s">
        <v>4415</v>
      </c>
      <c r="I2367" s="604">
        <f>I2365</f>
        <v>14.094999999999999</v>
      </c>
      <c r="J2367" s="605" t="s">
        <v>4058</v>
      </c>
      <c r="K2367" s="843">
        <f>I2367*F2367</f>
        <v>267.80499999999995</v>
      </c>
      <c r="L2367" s="599"/>
    </row>
    <row r="2368" spans="1:12" ht="18" hidden="1">
      <c r="A2368" s="559"/>
      <c r="E2368" s="597"/>
      <c r="F2368" s="604">
        <v>0.12</v>
      </c>
      <c r="G2368" s="605" t="s">
        <v>4416</v>
      </c>
      <c r="H2368" s="597" t="s">
        <v>4417</v>
      </c>
      <c r="I2368" s="604">
        <f>C268/5</f>
        <v>1879</v>
      </c>
      <c r="J2368" s="605" t="s">
        <v>4416</v>
      </c>
      <c r="K2368" s="843">
        <f>I2368*F2368</f>
        <v>225.48</v>
      </c>
      <c r="L2368" s="599"/>
    </row>
    <row r="2369" spans="1:12" ht="18" hidden="1">
      <c r="A2369" s="559"/>
      <c r="E2369" s="597"/>
      <c r="F2369" s="604">
        <v>98.5</v>
      </c>
      <c r="G2369" s="605" t="s">
        <v>34</v>
      </c>
      <c r="H2369" s="597" t="s">
        <v>4418</v>
      </c>
      <c r="I2369" s="604">
        <f>C269/5</f>
        <v>3</v>
      </c>
      <c r="J2369" s="605" t="s">
        <v>34</v>
      </c>
      <c r="K2369" s="843">
        <f>I2369*F2369</f>
        <v>295.5</v>
      </c>
      <c r="L2369" s="613"/>
    </row>
    <row r="2370" spans="1:12" ht="18" hidden="1">
      <c r="A2370" s="559"/>
      <c r="E2370" s="597"/>
      <c r="F2370" s="1620" t="s">
        <v>2346</v>
      </c>
      <c r="G2370" s="1620"/>
      <c r="H2370" s="597" t="s">
        <v>4419</v>
      </c>
      <c r="I2370" s="604">
        <v>11</v>
      </c>
      <c r="J2370" s="605" t="s">
        <v>2346</v>
      </c>
      <c r="K2370" s="843">
        <f>I2370</f>
        <v>11</v>
      </c>
      <c r="L2370" s="613"/>
    </row>
    <row r="2371" spans="1:12" ht="21" hidden="1">
      <c r="A2371" s="559"/>
      <c r="E2371" s="597"/>
      <c r="F2371" s="604">
        <v>3.8</v>
      </c>
      <c r="G2371" s="605" t="s">
        <v>5</v>
      </c>
      <c r="H2371" s="597" t="s">
        <v>4420</v>
      </c>
      <c r="I2371" s="604">
        <f>C16</f>
        <v>150</v>
      </c>
      <c r="J2371" s="605" t="s">
        <v>5</v>
      </c>
      <c r="K2371" s="847">
        <f>I2371*F2371</f>
        <v>570</v>
      </c>
      <c r="L2371" s="613"/>
    </row>
    <row r="2372" spans="1:12" ht="21" hidden="1">
      <c r="A2372" s="559"/>
      <c r="E2372" s="597"/>
      <c r="F2372" s="604">
        <v>5.4</v>
      </c>
      <c r="G2372" s="605" t="s">
        <v>5</v>
      </c>
      <c r="H2372" s="597" t="s">
        <v>4421</v>
      </c>
      <c r="I2372" s="604">
        <f>C12</f>
        <v>95</v>
      </c>
      <c r="J2372" s="605" t="s">
        <v>5</v>
      </c>
      <c r="K2372" s="847">
        <f>I2372*F2372</f>
        <v>513</v>
      </c>
      <c r="L2372" s="599"/>
    </row>
    <row r="2373" spans="1:12" ht="21" hidden="1">
      <c r="A2373" s="559"/>
      <c r="E2373" s="597"/>
      <c r="F2373" s="604">
        <v>1</v>
      </c>
      <c r="G2373" s="605" t="s">
        <v>5</v>
      </c>
      <c r="H2373" s="597" t="s">
        <v>4422</v>
      </c>
      <c r="I2373" s="604">
        <f>D17</f>
        <v>120</v>
      </c>
      <c r="J2373" s="605" t="s">
        <v>5</v>
      </c>
      <c r="K2373" s="847">
        <f>I2373*F2373</f>
        <v>120</v>
      </c>
      <c r="L2373" s="614"/>
    </row>
    <row r="2374" spans="1:12" ht="18" hidden="1">
      <c r="A2374" s="559"/>
      <c r="E2374" s="597"/>
      <c r="F2374" s="1620" t="s">
        <v>2346</v>
      </c>
      <c r="G2374" s="1620"/>
      <c r="H2374" s="597" t="s">
        <v>4423</v>
      </c>
      <c r="I2374" s="1620" t="s">
        <v>2346</v>
      </c>
      <c r="J2374" s="1620"/>
      <c r="K2374" s="843">
        <v>10</v>
      </c>
      <c r="L2374" s="608"/>
    </row>
    <row r="2375" spans="1:12" ht="18" hidden="1">
      <c r="A2375" s="559"/>
      <c r="E2375" s="597"/>
      <c r="F2375" s="604">
        <v>19</v>
      </c>
      <c r="G2375" s="605" t="s">
        <v>4058</v>
      </c>
      <c r="H2375" s="597" t="s">
        <v>4424</v>
      </c>
      <c r="I2375" s="604">
        <v>2</v>
      </c>
      <c r="J2375" s="605" t="s">
        <v>2346</v>
      </c>
      <c r="K2375" s="614">
        <f>I2375*F2375</f>
        <v>38</v>
      </c>
      <c r="L2375" s="599"/>
    </row>
    <row r="2376" spans="1:12" ht="18" hidden="1">
      <c r="A2376" s="559"/>
      <c r="E2376" s="597"/>
      <c r="F2376" s="599"/>
      <c r="G2376" s="597"/>
      <c r="H2376" s="597"/>
      <c r="I2376" s="599"/>
      <c r="J2376" s="597"/>
      <c r="K2376" s="845">
        <f>SUM(K2367:K2375)</f>
        <v>2050.7849999999999</v>
      </c>
      <c r="L2376" s="608"/>
    </row>
    <row r="2377" spans="1:12" ht="21" hidden="1">
      <c r="A2377" s="559"/>
      <c r="E2377" s="597"/>
      <c r="F2377" s="599"/>
      <c r="G2377" s="597"/>
      <c r="H2377" s="612" t="s">
        <v>4425</v>
      </c>
      <c r="I2377" s="608">
        <f>K2376/10</f>
        <v>205.07849999999999</v>
      </c>
      <c r="J2377" s="597"/>
      <c r="K2377" s="843"/>
      <c r="L2377" s="599"/>
    </row>
    <row r="2378" spans="1:12" ht="36" hidden="1">
      <c r="A2378" s="559"/>
      <c r="E2378" s="597"/>
      <c r="F2378" s="599"/>
      <c r="G2378" s="597"/>
      <c r="H2378" s="598" t="s">
        <v>4426</v>
      </c>
      <c r="I2378" s="608">
        <f>I2377</f>
        <v>205.07849999999999</v>
      </c>
      <c r="J2378" s="615">
        <f>I2393</f>
        <v>12.32</v>
      </c>
      <c r="K2378" s="845">
        <f>I2378+J2378</f>
        <v>217.39849999999998</v>
      </c>
      <c r="L2378" s="599"/>
    </row>
    <row r="2379" spans="1:12" ht="54" hidden="1">
      <c r="A2379" s="559"/>
      <c r="E2379" s="609">
        <v>18.100000000000001</v>
      </c>
      <c r="F2379" s="601" t="s">
        <v>1672</v>
      </c>
      <c r="G2379" s="597"/>
      <c r="H2379" s="616" t="s">
        <v>4427</v>
      </c>
      <c r="I2379" s="599"/>
      <c r="J2379" s="597"/>
      <c r="K2379" s="843"/>
      <c r="L2379" s="599"/>
    </row>
    <row r="2380" spans="1:12" ht="18" hidden="1">
      <c r="A2380" s="559"/>
      <c r="E2380" s="597"/>
      <c r="F2380" s="599"/>
      <c r="G2380" s="597"/>
      <c r="H2380" s="597" t="s">
        <v>4428</v>
      </c>
      <c r="I2380" s="604">
        <f>K2376</f>
        <v>2050.7849999999999</v>
      </c>
      <c r="J2380" s="597"/>
      <c r="K2380" s="843"/>
      <c r="L2380" s="599"/>
    </row>
    <row r="2381" spans="1:12" ht="18" hidden="1">
      <c r="A2381" s="559"/>
      <c r="E2381" s="597"/>
      <c r="F2381" s="599"/>
      <c r="G2381" s="597"/>
      <c r="H2381" s="597" t="s">
        <v>4418</v>
      </c>
      <c r="I2381" s="604">
        <f>K2391</f>
        <v>369.6</v>
      </c>
      <c r="J2381" s="609" t="s">
        <v>4429</v>
      </c>
      <c r="K2381" s="843"/>
      <c r="L2381" s="599"/>
    </row>
    <row r="2382" spans="1:12" ht="18" hidden="1">
      <c r="A2382" s="559"/>
      <c r="E2382" s="597"/>
      <c r="F2382" s="599"/>
      <c r="G2382" s="597"/>
      <c r="H2382" s="597"/>
      <c r="I2382" s="601">
        <f>I2380-I2381</f>
        <v>1681.1849999999999</v>
      </c>
      <c r="J2382" s="597"/>
      <c r="K2382" s="843"/>
      <c r="L2382" s="599"/>
    </row>
    <row r="2383" spans="1:12" ht="21" hidden="1">
      <c r="A2383" s="559"/>
      <c r="E2383" s="597"/>
      <c r="F2383" s="599"/>
      <c r="G2383" s="597"/>
      <c r="H2383" s="612" t="s">
        <v>4425</v>
      </c>
      <c r="I2383" s="601">
        <f>I2382/10</f>
        <v>168.11849999999998</v>
      </c>
      <c r="J2383" s="597"/>
      <c r="K2383" s="843"/>
      <c r="L2383" s="599"/>
    </row>
    <row r="2384" spans="1:12" ht="18" hidden="1">
      <c r="A2384" s="559"/>
      <c r="E2384" s="597"/>
      <c r="F2384" s="599"/>
      <c r="G2384" s="597"/>
      <c r="H2384" s="597"/>
      <c r="I2384" s="599"/>
      <c r="J2384" s="597"/>
      <c r="K2384" s="843"/>
      <c r="L2384" s="599"/>
    </row>
    <row r="2385" spans="1:12" ht="18" hidden="1">
      <c r="A2385" s="559"/>
      <c r="E2385" s="597"/>
      <c r="F2385" s="599"/>
      <c r="G2385" s="597"/>
      <c r="H2385" s="609" t="s">
        <v>4430</v>
      </c>
      <c r="I2385" s="599"/>
      <c r="J2385" s="597"/>
      <c r="K2385" s="843"/>
      <c r="L2385" s="604"/>
    </row>
    <row r="2386" spans="1:12" ht="36" hidden="1">
      <c r="A2386" s="559"/>
      <c r="E2386" s="597"/>
      <c r="F2386" s="599"/>
      <c r="G2386" s="597"/>
      <c r="H2386" s="616" t="s">
        <v>4431</v>
      </c>
      <c r="I2386" s="599"/>
      <c r="J2386" s="597"/>
      <c r="K2386" s="843"/>
      <c r="L2386" s="604"/>
    </row>
    <row r="2387" spans="1:12" ht="36" hidden="1">
      <c r="A2387" s="559"/>
      <c r="E2387" s="597"/>
      <c r="F2387" s="604">
        <v>98.5</v>
      </c>
      <c r="G2387" s="605" t="s">
        <v>34</v>
      </c>
      <c r="H2387" s="617" t="s">
        <v>4432</v>
      </c>
      <c r="I2387" s="604">
        <f>I2369</f>
        <v>3</v>
      </c>
      <c r="J2387" s="605" t="s">
        <v>34</v>
      </c>
      <c r="K2387" s="614">
        <f>I2387*F2387</f>
        <v>295.5</v>
      </c>
      <c r="L2387" s="604"/>
    </row>
    <row r="2388" spans="1:12" ht="21" hidden="1">
      <c r="A2388" s="559"/>
      <c r="E2388" s="597"/>
      <c r="F2388" s="604">
        <v>0.3</v>
      </c>
      <c r="G2388" s="605" t="s">
        <v>4058</v>
      </c>
      <c r="H2388" s="617" t="s">
        <v>4433</v>
      </c>
      <c r="I2388" s="604">
        <f>I2371</f>
        <v>150</v>
      </c>
      <c r="J2388" s="605" t="s">
        <v>4058</v>
      </c>
      <c r="K2388" s="614">
        <f>I2388*F2388</f>
        <v>45</v>
      </c>
      <c r="L2388" s="604"/>
    </row>
    <row r="2389" spans="1:12" ht="21" hidden="1">
      <c r="A2389" s="559"/>
      <c r="E2389" s="597"/>
      <c r="F2389" s="604">
        <v>0.3</v>
      </c>
      <c r="G2389" s="605" t="s">
        <v>4058</v>
      </c>
      <c r="H2389" s="617" t="s">
        <v>4434</v>
      </c>
      <c r="I2389" s="604">
        <f>I2372</f>
        <v>95</v>
      </c>
      <c r="J2389" s="605" t="s">
        <v>4058</v>
      </c>
      <c r="K2389" s="614">
        <f>I2389*F2389</f>
        <v>28.5</v>
      </c>
      <c r="L2389" s="601"/>
    </row>
    <row r="2390" spans="1:12" ht="18" hidden="1">
      <c r="A2390" s="559"/>
      <c r="E2390" s="597"/>
      <c r="F2390" s="599"/>
      <c r="G2390" s="597"/>
      <c r="H2390" s="618" t="s">
        <v>4435</v>
      </c>
      <c r="I2390" s="1621" t="s">
        <v>2346</v>
      </c>
      <c r="J2390" s="1621"/>
      <c r="K2390" s="614">
        <v>0.6</v>
      </c>
      <c r="L2390" s="599"/>
    </row>
    <row r="2391" spans="1:12" ht="21" hidden="1">
      <c r="A2391" s="559"/>
      <c r="E2391" s="597"/>
      <c r="F2391" s="599"/>
      <c r="G2391" s="597"/>
      <c r="H2391" s="618" t="s">
        <v>4436</v>
      </c>
      <c r="I2391" s="599"/>
      <c r="J2391" s="597"/>
      <c r="K2391" s="848">
        <f>SUM(K2387:K2390)</f>
        <v>369.6</v>
      </c>
      <c r="L2391" s="599"/>
    </row>
    <row r="2392" spans="1:12" ht="21" hidden="1">
      <c r="A2392" s="559"/>
      <c r="E2392" s="597"/>
      <c r="F2392" s="599"/>
      <c r="G2392" s="597"/>
      <c r="H2392" s="618" t="s">
        <v>4437</v>
      </c>
      <c r="I2392" s="608">
        <f>K2391/10</f>
        <v>36.96</v>
      </c>
      <c r="J2392" s="597"/>
      <c r="K2392" s="843"/>
      <c r="L2392" s="599"/>
    </row>
    <row r="2393" spans="1:12" ht="18" hidden="1">
      <c r="A2393" s="559"/>
      <c r="E2393" s="597"/>
      <c r="F2393" s="599"/>
      <c r="G2393" s="597"/>
      <c r="H2393" s="618" t="s">
        <v>4438</v>
      </c>
      <c r="I2393" s="608">
        <f>I2392/3</f>
        <v>12.32</v>
      </c>
      <c r="J2393" s="597"/>
      <c r="K2393" s="843"/>
      <c r="L2393" s="599"/>
    </row>
    <row r="2394" spans="1:12" ht="18" hidden="1">
      <c r="A2394" s="559"/>
      <c r="E2394" s="597"/>
      <c r="F2394" s="599"/>
      <c r="G2394" s="597"/>
      <c r="H2394" s="617"/>
      <c r="I2394" s="599"/>
      <c r="J2394" s="597"/>
      <c r="K2394" s="843"/>
      <c r="L2394" s="599"/>
    </row>
    <row r="2395" spans="1:12" ht="54" hidden="1">
      <c r="A2395" s="559"/>
      <c r="E2395" s="609">
        <v>18.100000000000001</v>
      </c>
      <c r="F2395" s="601" t="s">
        <v>4137</v>
      </c>
      <c r="G2395" s="597"/>
      <c r="H2395" s="619" t="s">
        <v>4439</v>
      </c>
      <c r="I2395" s="601">
        <f>I2377*1.2</f>
        <v>246.09419999999997</v>
      </c>
      <c r="J2395" s="597"/>
      <c r="K2395" s="843"/>
    </row>
    <row r="2396" spans="1:12" ht="36" hidden="1">
      <c r="A2396" s="559"/>
      <c r="E2396" s="600">
        <v>18.100000000000001</v>
      </c>
      <c r="F2396" s="601" t="s">
        <v>4440</v>
      </c>
      <c r="G2396" s="597"/>
      <c r="H2396" s="620" t="s">
        <v>4441</v>
      </c>
      <c r="I2396" s="601">
        <f>I2377*1.1</f>
        <v>225.58635000000001</v>
      </c>
      <c r="J2396" s="597"/>
      <c r="K2396" s="843"/>
    </row>
    <row r="2397" spans="1:12" hidden="1">
      <c r="A2397" s="559"/>
      <c r="E2397" s="595"/>
      <c r="F2397" s="595"/>
      <c r="G2397" s="621"/>
      <c r="H2397" s="595"/>
      <c r="I2397" s="595"/>
      <c r="J2397" s="622"/>
      <c r="K2397" s="840"/>
    </row>
    <row r="2398" spans="1:12" hidden="1">
      <c r="A2398" s="559"/>
      <c r="E2398" s="595"/>
      <c r="F2398" s="595"/>
      <c r="G2398" s="621"/>
      <c r="H2398" s="595"/>
      <c r="I2398" s="595"/>
      <c r="J2398" s="622"/>
      <c r="K2398" s="840"/>
    </row>
    <row r="2399" spans="1:12" ht="23.25" hidden="1">
      <c r="A2399" s="559"/>
      <c r="E2399" s="595"/>
      <c r="F2399" s="2"/>
      <c r="G2399" s="485"/>
      <c r="H2399" s="623" t="s">
        <v>4442</v>
      </c>
      <c r="I2399" s="2"/>
      <c r="J2399" s="463"/>
      <c r="K2399" s="526"/>
    </row>
    <row r="2400" spans="1:12" hidden="1">
      <c r="A2400" s="559"/>
      <c r="E2400" s="595"/>
      <c r="F2400" s="624">
        <v>18.100000000000001</v>
      </c>
      <c r="G2400" s="489" t="s">
        <v>575</v>
      </c>
      <c r="H2400" s="490" t="s">
        <v>3325</v>
      </c>
      <c r="I2400" s="2"/>
      <c r="J2400" s="463"/>
      <c r="K2400" s="552"/>
    </row>
    <row r="2401" spans="1:11" hidden="1">
      <c r="A2401" s="559"/>
      <c r="E2401" s="595"/>
      <c r="F2401" s="2"/>
      <c r="G2401" s="485"/>
      <c r="H2401" s="490" t="s">
        <v>3328</v>
      </c>
      <c r="I2401" s="2"/>
      <c r="J2401" s="463"/>
      <c r="K2401" s="552"/>
    </row>
    <row r="2402" spans="1:11" hidden="1">
      <c r="A2402" s="559"/>
      <c r="E2402" s="595"/>
      <c r="F2402" s="2"/>
      <c r="G2402" s="485"/>
      <c r="H2402" s="490" t="s">
        <v>3330</v>
      </c>
      <c r="I2402" s="2"/>
      <c r="J2402" s="463"/>
      <c r="K2402" s="552"/>
    </row>
    <row r="2403" spans="1:11" hidden="1">
      <c r="A2403" s="559"/>
      <c r="E2403" s="595"/>
      <c r="F2403" s="2"/>
      <c r="G2403" s="485"/>
      <c r="H2403" s="490" t="s">
        <v>3332</v>
      </c>
      <c r="I2403" s="2"/>
      <c r="J2403" s="463"/>
      <c r="K2403" s="552"/>
    </row>
    <row r="2404" spans="1:11" hidden="1">
      <c r="A2404" s="559"/>
      <c r="E2404" s="595"/>
      <c r="F2404" s="2"/>
      <c r="G2404" s="485"/>
      <c r="H2404" s="490" t="s">
        <v>3334</v>
      </c>
      <c r="I2404" s="2"/>
      <c r="J2404" s="463"/>
      <c r="K2404" s="552"/>
    </row>
    <row r="2405" spans="1:11" hidden="1">
      <c r="A2405" s="559"/>
      <c r="E2405" s="595"/>
      <c r="F2405" s="2"/>
      <c r="G2405" s="485"/>
      <c r="H2405" s="490" t="s">
        <v>3338</v>
      </c>
      <c r="I2405" s="2"/>
      <c r="J2405" s="463"/>
      <c r="K2405" s="552"/>
    </row>
    <row r="2406" spans="1:11" hidden="1">
      <c r="A2406" s="559"/>
      <c r="E2406" s="595"/>
      <c r="F2406" s="2"/>
      <c r="G2406" s="485"/>
      <c r="H2406" s="490" t="s">
        <v>3340</v>
      </c>
      <c r="I2406" s="2"/>
      <c r="J2406" s="463"/>
      <c r="K2406" s="552"/>
    </row>
    <row r="2407" spans="1:11" hidden="1">
      <c r="A2407" s="559"/>
      <c r="E2407" s="595"/>
      <c r="F2407" s="2"/>
      <c r="G2407" s="485"/>
      <c r="H2407" s="491" t="s">
        <v>442</v>
      </c>
      <c r="I2407" s="491" t="s">
        <v>442</v>
      </c>
      <c r="J2407" s="500" t="s">
        <v>442</v>
      </c>
      <c r="K2407" s="552"/>
    </row>
    <row r="2408" spans="1:11" hidden="1">
      <c r="A2408" s="559"/>
      <c r="E2408" s="595"/>
      <c r="F2408" s="492">
        <v>13.46</v>
      </c>
      <c r="G2408" s="489" t="s">
        <v>1973</v>
      </c>
      <c r="H2408" s="490" t="s">
        <v>3343</v>
      </c>
      <c r="I2408" s="492">
        <f>I2361</f>
        <v>30</v>
      </c>
      <c r="J2408" s="500" t="s">
        <v>1973</v>
      </c>
      <c r="K2408" s="526">
        <f>(F2408*I2408)</f>
        <v>403.8</v>
      </c>
    </row>
    <row r="2409" spans="1:11" hidden="1">
      <c r="A2409" s="559"/>
      <c r="E2409" s="595"/>
      <c r="F2409" s="2"/>
      <c r="G2409" s="485"/>
      <c r="H2409" s="490" t="s">
        <v>3345</v>
      </c>
      <c r="I2409" s="2"/>
      <c r="J2409" s="463"/>
      <c r="K2409" s="552"/>
    </row>
    <row r="2410" spans="1:11" hidden="1">
      <c r="A2410" s="559"/>
      <c r="E2410" s="595"/>
      <c r="F2410" s="492">
        <v>4</v>
      </c>
      <c r="G2410" s="489" t="s">
        <v>1973</v>
      </c>
      <c r="H2410" s="490" t="s">
        <v>3347</v>
      </c>
      <c r="I2410" s="492">
        <f>I2362</f>
        <v>30</v>
      </c>
      <c r="J2410" s="500" t="s">
        <v>1973</v>
      </c>
      <c r="K2410" s="526">
        <f>(F2410*I2410)</f>
        <v>120</v>
      </c>
    </row>
    <row r="2411" spans="1:11" hidden="1">
      <c r="A2411" s="559"/>
      <c r="E2411" s="595"/>
      <c r="F2411" s="2"/>
      <c r="G2411" s="485"/>
      <c r="H2411" s="490" t="s">
        <v>3349</v>
      </c>
      <c r="I2411" s="2"/>
      <c r="J2411" s="463"/>
      <c r="K2411" s="552"/>
    </row>
    <row r="2412" spans="1:11" hidden="1">
      <c r="A2412" s="559"/>
      <c r="E2412" s="595"/>
      <c r="F2412" s="492"/>
      <c r="G2412" s="489" t="s">
        <v>2346</v>
      </c>
      <c r="H2412" s="490" t="s">
        <v>3350</v>
      </c>
      <c r="I2412" s="2"/>
      <c r="J2412" s="500" t="s">
        <v>2346</v>
      </c>
      <c r="K2412" s="526">
        <v>40</v>
      </c>
    </row>
    <row r="2413" spans="1:11" hidden="1">
      <c r="A2413" s="559"/>
      <c r="E2413" s="595"/>
      <c r="F2413" s="2"/>
      <c r="G2413" s="485"/>
      <c r="H2413" s="490" t="s">
        <v>3352</v>
      </c>
      <c r="I2413" s="2"/>
      <c r="J2413" s="463"/>
      <c r="K2413" s="526" t="s">
        <v>442</v>
      </c>
    </row>
    <row r="2414" spans="1:11" hidden="1">
      <c r="A2414" s="559"/>
      <c r="E2414" s="595"/>
      <c r="F2414" s="2"/>
      <c r="G2414" s="485"/>
      <c r="H2414" s="500" t="s">
        <v>3354</v>
      </c>
      <c r="I2414" s="2"/>
      <c r="J2414" s="463"/>
      <c r="K2414" s="526">
        <f>SUM(K2408:K2412)</f>
        <v>563.79999999999995</v>
      </c>
    </row>
    <row r="2415" spans="1:11" ht="17.25" hidden="1">
      <c r="A2415" s="559"/>
      <c r="E2415" s="579"/>
      <c r="F2415" s="2"/>
      <c r="G2415" s="485"/>
      <c r="H2415" s="2"/>
      <c r="I2415" s="2"/>
      <c r="J2415" s="463"/>
      <c r="K2415" s="526" t="s">
        <v>442</v>
      </c>
    </row>
    <row r="2416" spans="1:11" ht="17.25" hidden="1">
      <c r="A2416" s="559"/>
      <c r="E2416" s="579"/>
      <c r="F2416" s="2"/>
      <c r="G2416" s="485"/>
      <c r="H2416" s="500" t="s">
        <v>3358</v>
      </c>
      <c r="I2416" s="2"/>
      <c r="J2416" s="463"/>
      <c r="K2416" s="526">
        <f>K2414/40</f>
        <v>14.094999999999999</v>
      </c>
    </row>
    <row r="2417" spans="1:11" ht="17.25" hidden="1">
      <c r="A2417" s="559"/>
      <c r="E2417" s="579"/>
      <c r="F2417" s="2"/>
      <c r="G2417" s="485"/>
      <c r="H2417" s="2"/>
      <c r="I2417" s="2"/>
      <c r="J2417" s="463"/>
      <c r="K2417" s="526" t="s">
        <v>442</v>
      </c>
    </row>
    <row r="2418" spans="1:11" ht="17.25" hidden="1">
      <c r="A2418" s="559"/>
      <c r="E2418" s="579"/>
      <c r="F2418" s="2"/>
      <c r="G2418" s="485"/>
      <c r="H2418" s="490" t="s">
        <v>3361</v>
      </c>
      <c r="I2418" s="2"/>
      <c r="J2418" s="463"/>
      <c r="K2418" s="552"/>
    </row>
    <row r="2419" spans="1:11" ht="17.25" hidden="1">
      <c r="A2419" s="559"/>
      <c r="E2419" s="579"/>
      <c r="F2419" s="2"/>
      <c r="G2419" s="485"/>
      <c r="H2419" s="490" t="s">
        <v>3363</v>
      </c>
      <c r="I2419" s="2"/>
      <c r="J2419" s="463"/>
      <c r="K2419" s="552"/>
    </row>
    <row r="2420" spans="1:11" ht="17.25" hidden="1">
      <c r="A2420" s="559"/>
      <c r="E2420" s="579"/>
      <c r="F2420" s="2"/>
      <c r="G2420" s="485"/>
      <c r="H2420" s="490" t="s">
        <v>3365</v>
      </c>
      <c r="I2420" s="2"/>
      <c r="J2420" s="463"/>
      <c r="K2420" s="552"/>
    </row>
    <row r="2421" spans="1:11" ht="17.25" hidden="1">
      <c r="A2421" s="559"/>
      <c r="E2421" s="579"/>
      <c r="F2421" s="2"/>
      <c r="G2421" s="485"/>
      <c r="H2421" s="2"/>
      <c r="I2421" s="2"/>
      <c r="J2421" s="463"/>
      <c r="K2421" s="552"/>
    </row>
    <row r="2422" spans="1:11" ht="17.25" hidden="1">
      <c r="A2422" s="559"/>
      <c r="E2422" s="579"/>
      <c r="F2422" s="492">
        <v>19</v>
      </c>
      <c r="G2422" s="489" t="s">
        <v>13</v>
      </c>
      <c r="H2422" s="490" t="s">
        <v>3370</v>
      </c>
      <c r="I2422" s="492">
        <f>K2416</f>
        <v>14.094999999999999</v>
      </c>
      <c r="J2422" s="500" t="s">
        <v>3371</v>
      </c>
      <c r="K2422" s="526">
        <f>(F2422*I2422)</f>
        <v>267.80499999999995</v>
      </c>
    </row>
    <row r="2423" spans="1:11" ht="17.25" hidden="1">
      <c r="A2423" s="559"/>
      <c r="E2423" s="579"/>
      <c r="F2423" s="2"/>
      <c r="G2423" s="485"/>
      <c r="H2423" s="490" t="s">
        <v>3373</v>
      </c>
      <c r="I2423" s="2"/>
      <c r="J2423" s="463"/>
      <c r="K2423" s="526"/>
    </row>
    <row r="2424" spans="1:11" ht="17.25" hidden="1">
      <c r="A2424" s="559"/>
      <c r="E2424" s="579"/>
      <c r="F2424" s="492">
        <v>0.12</v>
      </c>
      <c r="G2424" s="489" t="s">
        <v>19</v>
      </c>
      <c r="H2424" s="490" t="s">
        <v>3375</v>
      </c>
      <c r="I2424" s="492">
        <f>9395/5</f>
        <v>1879</v>
      </c>
      <c r="J2424" s="500" t="s">
        <v>3371</v>
      </c>
      <c r="K2424" s="526">
        <f t="shared" ref="K2424:K2431" si="74">(F2424*I2424)</f>
        <v>225.48</v>
      </c>
    </row>
    <row r="2425" spans="1:11" ht="17.25" hidden="1">
      <c r="A2425" s="559"/>
      <c r="E2425" s="579"/>
      <c r="F2425" s="492">
        <v>98.5</v>
      </c>
      <c r="G2425" s="489" t="s">
        <v>12</v>
      </c>
      <c r="H2425" s="490" t="s">
        <v>3377</v>
      </c>
      <c r="I2425" s="492">
        <f>I2369</f>
        <v>3</v>
      </c>
      <c r="J2425" s="500" t="s">
        <v>3371</v>
      </c>
      <c r="K2425" s="526">
        <f t="shared" si="74"/>
        <v>295.5</v>
      </c>
    </row>
    <row r="2426" spans="1:11" ht="17.25" hidden="1">
      <c r="A2426" s="559"/>
      <c r="E2426" s="579"/>
      <c r="F2426" s="492">
        <v>1</v>
      </c>
      <c r="G2426" s="489" t="s">
        <v>2346</v>
      </c>
      <c r="H2426" s="490" t="s">
        <v>3379</v>
      </c>
      <c r="I2426" s="492">
        <v>11</v>
      </c>
      <c r="J2426" s="500" t="s">
        <v>2346</v>
      </c>
      <c r="K2426" s="526">
        <f t="shared" si="74"/>
        <v>11</v>
      </c>
    </row>
    <row r="2427" spans="1:11" ht="17.25" hidden="1">
      <c r="A2427" s="559"/>
      <c r="E2427" s="579"/>
      <c r="F2427" s="492">
        <v>3.8</v>
      </c>
      <c r="G2427" s="489" t="s">
        <v>5</v>
      </c>
      <c r="H2427" s="490" t="s">
        <v>3382</v>
      </c>
      <c r="I2427" s="492">
        <f>C16</f>
        <v>150</v>
      </c>
      <c r="J2427" s="500" t="s">
        <v>556</v>
      </c>
      <c r="K2427" s="526">
        <f t="shared" si="74"/>
        <v>570</v>
      </c>
    </row>
    <row r="2428" spans="1:11" ht="17.25" hidden="1">
      <c r="A2428" s="559"/>
      <c r="E2428" s="579"/>
      <c r="F2428" s="492">
        <v>5.4</v>
      </c>
      <c r="G2428" s="489" t="s">
        <v>5</v>
      </c>
      <c r="H2428" s="490" t="s">
        <v>3081</v>
      </c>
      <c r="I2428" s="492">
        <f>C12</f>
        <v>95</v>
      </c>
      <c r="J2428" s="500" t="s">
        <v>556</v>
      </c>
      <c r="K2428" s="526">
        <f t="shared" si="74"/>
        <v>513</v>
      </c>
    </row>
    <row r="2429" spans="1:11" ht="17.25" hidden="1">
      <c r="A2429" s="559"/>
      <c r="E2429" s="579"/>
      <c r="F2429" s="492">
        <v>1</v>
      </c>
      <c r="G2429" s="489" t="s">
        <v>5</v>
      </c>
      <c r="H2429" s="490" t="s">
        <v>3387</v>
      </c>
      <c r="I2429" s="492">
        <f>D17</f>
        <v>120</v>
      </c>
      <c r="J2429" s="500" t="s">
        <v>556</v>
      </c>
      <c r="K2429" s="526">
        <f t="shared" si="74"/>
        <v>120</v>
      </c>
    </row>
    <row r="2430" spans="1:11" ht="17.25" hidden="1">
      <c r="A2430" s="559"/>
      <c r="E2430" s="579"/>
      <c r="F2430" s="492">
        <v>1</v>
      </c>
      <c r="G2430" s="489" t="s">
        <v>2346</v>
      </c>
      <c r="H2430" s="490" t="s">
        <v>3389</v>
      </c>
      <c r="I2430" s="492">
        <v>10</v>
      </c>
      <c r="J2430" s="500" t="s">
        <v>2346</v>
      </c>
      <c r="K2430" s="526">
        <f t="shared" si="74"/>
        <v>10</v>
      </c>
    </row>
    <row r="2431" spans="1:11" ht="17.25" hidden="1">
      <c r="A2431" s="559"/>
      <c r="E2431" s="579"/>
      <c r="F2431" s="492">
        <v>19</v>
      </c>
      <c r="G2431" s="489" t="s">
        <v>13</v>
      </c>
      <c r="H2431" s="490" t="s">
        <v>3391</v>
      </c>
      <c r="I2431" s="492">
        <v>2</v>
      </c>
      <c r="J2431" s="500" t="s">
        <v>13</v>
      </c>
      <c r="K2431" s="526">
        <f t="shared" si="74"/>
        <v>38</v>
      </c>
    </row>
    <row r="2432" spans="1:11" ht="17.25" hidden="1">
      <c r="A2432" s="559"/>
      <c r="E2432" s="579"/>
      <c r="F2432" s="2"/>
      <c r="G2432" s="485"/>
      <c r="H2432" s="490" t="s">
        <v>3394</v>
      </c>
      <c r="I2432" s="2"/>
      <c r="J2432" s="463"/>
      <c r="K2432" s="526" t="s">
        <v>442</v>
      </c>
    </row>
    <row r="2433" spans="1:11" ht="17.25" hidden="1">
      <c r="A2433" s="559"/>
      <c r="E2433" s="579"/>
      <c r="F2433" s="2"/>
      <c r="G2433" s="485"/>
      <c r="H2433" s="500" t="s">
        <v>2358</v>
      </c>
      <c r="I2433" s="2"/>
      <c r="J2433" s="463"/>
      <c r="K2433" s="526">
        <f>SUM(K2422:K2431)</f>
        <v>2050.7849999999999</v>
      </c>
    </row>
    <row r="2434" spans="1:11" ht="17.25" hidden="1">
      <c r="A2434" s="559"/>
      <c r="E2434" s="579"/>
      <c r="F2434" s="2"/>
      <c r="G2434" s="485"/>
      <c r="H2434" s="2"/>
      <c r="I2434" s="2"/>
      <c r="J2434" s="463"/>
      <c r="K2434" s="526" t="s">
        <v>442</v>
      </c>
    </row>
    <row r="2435" spans="1:11" ht="17.25" hidden="1">
      <c r="A2435" s="559"/>
      <c r="E2435" s="579"/>
      <c r="F2435" s="2"/>
      <c r="G2435" s="485"/>
      <c r="H2435" s="500" t="s">
        <v>2355</v>
      </c>
      <c r="I2435" s="2"/>
      <c r="J2435" s="463"/>
      <c r="K2435" s="526">
        <f>(K2433/10)</f>
        <v>205.07849999999999</v>
      </c>
    </row>
    <row r="2436" spans="1:11" ht="17.25" hidden="1">
      <c r="A2436" s="559"/>
      <c r="E2436" s="579"/>
      <c r="F2436" s="490" t="s">
        <v>30</v>
      </c>
      <c r="G2436" s="485"/>
      <c r="H2436" s="2"/>
      <c r="I2436" s="2"/>
      <c r="J2436" s="463"/>
      <c r="K2436" s="552"/>
    </row>
    <row r="2437" spans="1:11" ht="17.25" hidden="1">
      <c r="A2437" s="559"/>
      <c r="E2437" s="579"/>
      <c r="F2437" s="2"/>
      <c r="G2437" s="485"/>
      <c r="H2437" s="2"/>
      <c r="I2437" s="2"/>
      <c r="J2437" s="463"/>
      <c r="K2437" s="526" t="s">
        <v>29</v>
      </c>
    </row>
    <row r="2438" spans="1:11" ht="30" hidden="1">
      <c r="A2438" s="559"/>
      <c r="E2438" s="579"/>
      <c r="F2438" s="625" t="s">
        <v>1672</v>
      </c>
      <c r="G2438" s="552"/>
      <c r="H2438" s="626" t="s">
        <v>4443</v>
      </c>
      <c r="I2438" s="2"/>
      <c r="J2438" s="463"/>
      <c r="K2438" s="552"/>
    </row>
    <row r="2439" spans="1:11" ht="17.25" hidden="1">
      <c r="A2439" s="559"/>
      <c r="E2439" s="579"/>
      <c r="F2439" s="552"/>
      <c r="G2439" s="485"/>
      <c r="H2439" s="2"/>
      <c r="I2439" s="2"/>
      <c r="J2439" s="463"/>
      <c r="K2439" s="849"/>
    </row>
    <row r="2440" spans="1:11" ht="17.25" hidden="1">
      <c r="A2440" s="559"/>
      <c r="E2440" s="579"/>
      <c r="F2440" s="2">
        <v>98.5</v>
      </c>
      <c r="G2440" s="485" t="s">
        <v>12</v>
      </c>
      <c r="H2440" s="490" t="s">
        <v>3377</v>
      </c>
      <c r="I2440" s="492">
        <f>I2425</f>
        <v>3</v>
      </c>
      <c r="J2440" s="500" t="s">
        <v>3371</v>
      </c>
      <c r="K2440" s="552">
        <f>(F2440*I2440)</f>
        <v>295.5</v>
      </c>
    </row>
    <row r="2441" spans="1:11" ht="17.25" hidden="1">
      <c r="A2441" s="559"/>
      <c r="E2441" s="579"/>
      <c r="F2441" s="2">
        <v>0.3</v>
      </c>
      <c r="G2441" s="485" t="s">
        <v>5</v>
      </c>
      <c r="H2441" s="490" t="s">
        <v>3382</v>
      </c>
      <c r="I2441" s="492">
        <f>I2427</f>
        <v>150</v>
      </c>
      <c r="J2441" s="500" t="s">
        <v>556</v>
      </c>
      <c r="K2441" s="552">
        <f>(F2441*I2441)</f>
        <v>45</v>
      </c>
    </row>
    <row r="2442" spans="1:11" ht="17.25" hidden="1">
      <c r="A2442" s="559"/>
      <c r="E2442" s="579"/>
      <c r="F2442" s="2">
        <v>0.3</v>
      </c>
      <c r="G2442" s="485" t="s">
        <v>5</v>
      </c>
      <c r="H2442" s="490" t="s">
        <v>3081</v>
      </c>
      <c r="I2442" s="492">
        <f>I2428</f>
        <v>95</v>
      </c>
      <c r="J2442" s="500" t="s">
        <v>556</v>
      </c>
      <c r="K2442" s="552">
        <f>(F2442*I2442)</f>
        <v>28.5</v>
      </c>
    </row>
    <row r="2443" spans="1:11" ht="17.25" hidden="1">
      <c r="A2443" s="559"/>
      <c r="E2443" s="579"/>
      <c r="F2443" s="2"/>
      <c r="G2443" s="485"/>
      <c r="H2443" s="490" t="s">
        <v>2390</v>
      </c>
      <c r="I2443" s="2"/>
      <c r="J2443" s="463" t="s">
        <v>4444</v>
      </c>
      <c r="K2443" s="849">
        <v>0.6</v>
      </c>
    </row>
    <row r="2444" spans="1:11" ht="17.25" hidden="1">
      <c r="A2444" s="559"/>
      <c r="E2444" s="579"/>
      <c r="F2444" s="2"/>
      <c r="G2444" s="485"/>
      <c r="H2444" s="500" t="s">
        <v>2358</v>
      </c>
      <c r="I2444" s="2"/>
      <c r="J2444" s="463"/>
      <c r="K2444" s="552">
        <f>SUM(K2440:K2443)</f>
        <v>369.6</v>
      </c>
    </row>
    <row r="2445" spans="1:11" ht="17.25" hidden="1">
      <c r="A2445" s="559"/>
      <c r="E2445" s="579"/>
      <c r="F2445" s="2"/>
      <c r="G2445" s="485"/>
      <c r="H2445" s="490"/>
      <c r="I2445" s="2"/>
      <c r="J2445" s="463"/>
      <c r="K2445" s="849" t="s">
        <v>4445</v>
      </c>
    </row>
    <row r="2446" spans="1:11" ht="17.25" hidden="1">
      <c r="A2446" s="559"/>
      <c r="E2446" s="579"/>
      <c r="F2446" s="2"/>
      <c r="G2446" s="485"/>
      <c r="H2446" s="500" t="s">
        <v>2355</v>
      </c>
      <c r="I2446" s="2"/>
      <c r="J2446" s="463"/>
      <c r="K2446" s="552">
        <f>K2444/10</f>
        <v>36.96</v>
      </c>
    </row>
    <row r="2447" spans="1:11" ht="17.25" hidden="1">
      <c r="A2447" s="559"/>
      <c r="E2447" s="579"/>
      <c r="F2447" s="2"/>
      <c r="G2447" s="485"/>
      <c r="H2447" s="500"/>
      <c r="I2447" s="2"/>
      <c r="J2447" s="463"/>
      <c r="K2447" s="552"/>
    </row>
    <row r="2448" spans="1:11" ht="32.25" hidden="1">
      <c r="A2448" s="559"/>
      <c r="E2448" s="579"/>
      <c r="F2448" s="2"/>
      <c r="G2448" s="485"/>
      <c r="H2448" s="628" t="s">
        <v>4446</v>
      </c>
      <c r="I2448" s="2"/>
      <c r="J2448" s="463" t="s">
        <v>4447</v>
      </c>
      <c r="K2448" s="552">
        <f>K2435-K2446</f>
        <v>168.11849999999998</v>
      </c>
    </row>
    <row r="2449" spans="1:11" ht="17.25" hidden="1">
      <c r="A2449" s="559"/>
      <c r="E2449" s="579"/>
      <c r="F2449" s="2"/>
      <c r="G2449" s="485"/>
      <c r="H2449" s="490"/>
      <c r="I2449" s="2"/>
      <c r="J2449" s="463"/>
      <c r="K2449" s="849" t="s">
        <v>31</v>
      </c>
    </row>
    <row r="2450" spans="1:11" ht="17.25" hidden="1">
      <c r="A2450" s="559"/>
      <c r="E2450" s="579"/>
      <c r="F2450" s="2"/>
      <c r="G2450" s="485"/>
      <c r="H2450" s="2"/>
      <c r="I2450" s="2"/>
      <c r="J2450" s="463"/>
      <c r="K2450" s="552"/>
    </row>
    <row r="2451" spans="1:11" ht="45" hidden="1">
      <c r="A2451" s="559"/>
      <c r="E2451" s="579"/>
      <c r="F2451" s="625" t="s">
        <v>1673</v>
      </c>
      <c r="G2451" s="485"/>
      <c r="H2451" s="626" t="s">
        <v>4448</v>
      </c>
      <c r="I2451" s="2"/>
      <c r="J2451" s="463" t="s">
        <v>4447</v>
      </c>
      <c r="K2451" s="552">
        <f>K2435</f>
        <v>205.07849999999999</v>
      </c>
    </row>
    <row r="2452" spans="1:11" ht="17.25" hidden="1">
      <c r="A2452" s="559"/>
      <c r="E2452" s="579"/>
      <c r="F2452" s="2"/>
      <c r="H2452" s="509"/>
      <c r="I2452" s="2"/>
      <c r="J2452" s="463"/>
      <c r="K2452" s="849" t="s">
        <v>31</v>
      </c>
    </row>
    <row r="2453" spans="1:11" ht="30" hidden="1">
      <c r="A2453" s="559"/>
      <c r="E2453" s="579"/>
      <c r="F2453" s="625" t="s">
        <v>4137</v>
      </c>
      <c r="H2453" s="626" t="s">
        <v>4439</v>
      </c>
      <c r="I2453" s="2"/>
      <c r="J2453" s="463" t="s">
        <v>4447</v>
      </c>
      <c r="K2453" s="849">
        <f>K2451*1.2</f>
        <v>246.09419999999997</v>
      </c>
    </row>
    <row r="2454" spans="1:11" ht="17.25" hidden="1">
      <c r="A2454" s="559"/>
      <c r="E2454" s="579"/>
      <c r="F2454" s="2"/>
      <c r="I2454" s="2"/>
      <c r="J2454" s="463"/>
      <c r="K2454" s="849" t="s">
        <v>4449</v>
      </c>
    </row>
    <row r="2455" spans="1:11" ht="30" hidden="1">
      <c r="A2455" s="559"/>
      <c r="E2455" s="579"/>
      <c r="F2455" s="625" t="s">
        <v>4440</v>
      </c>
      <c r="H2455" s="626" t="s">
        <v>4441</v>
      </c>
      <c r="I2455" s="2"/>
      <c r="J2455" s="463" t="s">
        <v>4447</v>
      </c>
      <c r="K2455" s="552">
        <f>K2451*1.1</f>
        <v>225.58635000000001</v>
      </c>
    </row>
    <row r="2456" spans="1:11" ht="17.25" hidden="1">
      <c r="A2456" s="559"/>
      <c r="E2456" s="579"/>
      <c r="F2456" s="2"/>
      <c r="G2456" s="485"/>
      <c r="H2456" s="2"/>
      <c r="I2456" s="2"/>
      <c r="J2456" s="463"/>
      <c r="K2456" s="849" t="s">
        <v>4449</v>
      </c>
    </row>
    <row r="2457" spans="1:11" ht="17.25" hidden="1">
      <c r="A2457" s="559"/>
      <c r="E2457" s="579"/>
      <c r="F2457" s="2"/>
      <c r="G2457" s="485"/>
      <c r="H2457" s="2"/>
      <c r="I2457" s="2"/>
      <c r="J2457" s="463"/>
      <c r="K2457" s="552"/>
    </row>
    <row r="2458" spans="1:11" ht="17.25" hidden="1">
      <c r="A2458" s="559"/>
      <c r="E2458" s="579"/>
      <c r="F2458" s="2">
        <v>50.6</v>
      </c>
      <c r="G2458" s="489" t="s">
        <v>2843</v>
      </c>
      <c r="H2458" s="490" t="s">
        <v>4082</v>
      </c>
      <c r="I2458" s="2"/>
      <c r="J2458" s="463"/>
      <c r="K2458" s="552"/>
    </row>
    <row r="2459" spans="1:11" ht="32.25" hidden="1">
      <c r="A2459" s="559"/>
      <c r="E2459" s="579"/>
      <c r="F2459" s="2"/>
      <c r="G2459" s="485"/>
      <c r="H2459" s="628" t="s">
        <v>4450</v>
      </c>
      <c r="I2459" s="2"/>
      <c r="J2459" s="463"/>
      <c r="K2459" s="552"/>
    </row>
    <row r="2460" spans="1:11" ht="17.25" hidden="1">
      <c r="A2460" s="559"/>
      <c r="E2460" s="579"/>
      <c r="F2460" s="2"/>
      <c r="G2460" s="485"/>
      <c r="H2460" s="491" t="s">
        <v>442</v>
      </c>
      <c r="I2460" s="491" t="s">
        <v>442</v>
      </c>
      <c r="J2460" s="463"/>
      <c r="K2460" s="552"/>
    </row>
    <row r="2461" spans="1:11" ht="18.75" hidden="1">
      <c r="A2461" s="559"/>
      <c r="E2461" s="579"/>
      <c r="F2461" s="2"/>
      <c r="G2461" s="485"/>
      <c r="H2461" s="491" t="s">
        <v>4451</v>
      </c>
      <c r="I2461" s="491"/>
      <c r="J2461" s="463"/>
      <c r="K2461" s="552"/>
    </row>
    <row r="2462" spans="1:11" ht="18.75" hidden="1">
      <c r="A2462" s="559"/>
      <c r="E2462" s="579"/>
      <c r="F2462" s="2"/>
      <c r="G2462" s="485"/>
      <c r="H2462" s="491" t="s">
        <v>4452</v>
      </c>
      <c r="I2462" s="491"/>
      <c r="J2462" s="463"/>
      <c r="K2462" s="552"/>
    </row>
    <row r="2463" spans="1:11" ht="17.25" hidden="1">
      <c r="A2463" s="559"/>
      <c r="E2463" s="579"/>
      <c r="F2463" s="2"/>
      <c r="G2463" s="485"/>
      <c r="H2463" s="491"/>
      <c r="I2463" s="491"/>
      <c r="J2463" s="463"/>
      <c r="K2463" s="552"/>
    </row>
    <row r="2464" spans="1:11" ht="17.25" hidden="1">
      <c r="A2464" s="559"/>
      <c r="E2464" s="579"/>
      <c r="F2464" s="2"/>
      <c r="G2464" s="485"/>
      <c r="H2464" s="2"/>
      <c r="I2464" s="2"/>
      <c r="J2464" s="463"/>
      <c r="K2464" s="552"/>
    </row>
    <row r="2465" spans="1:11" ht="17.25" hidden="1">
      <c r="A2465" s="559"/>
      <c r="E2465" s="579"/>
      <c r="F2465" s="498">
        <v>1.96</v>
      </c>
      <c r="G2465" s="489" t="s">
        <v>19</v>
      </c>
      <c r="H2465" s="490" t="s">
        <v>4084</v>
      </c>
      <c r="I2465" s="492" t="e">
        <f>K1644</f>
        <v>#REF!</v>
      </c>
      <c r="J2465" s="500" t="s">
        <v>19</v>
      </c>
      <c r="K2465" s="526" t="e">
        <f t="shared" ref="K2465:K2470" si="75">(F2465*I2465)</f>
        <v>#REF!</v>
      </c>
    </row>
    <row r="2466" spans="1:11" ht="17.25" hidden="1">
      <c r="A2466" s="559"/>
      <c r="E2466" s="579"/>
      <c r="F2466" s="492">
        <v>2</v>
      </c>
      <c r="G2466" s="489" t="s">
        <v>2403</v>
      </c>
      <c r="H2466" s="490" t="s">
        <v>4453</v>
      </c>
      <c r="I2466" s="492">
        <f>C10</f>
        <v>150</v>
      </c>
      <c r="J2466" s="500" t="s">
        <v>556</v>
      </c>
      <c r="K2466" s="526">
        <f t="shared" si="75"/>
        <v>300</v>
      </c>
    </row>
    <row r="2467" spans="1:11" ht="17.25" hidden="1">
      <c r="A2467" s="559"/>
      <c r="E2467" s="579"/>
      <c r="F2467" s="492">
        <v>2</v>
      </c>
      <c r="G2467" s="489" t="s">
        <v>2403</v>
      </c>
      <c r="H2467" s="490" t="s">
        <v>4454</v>
      </c>
      <c r="I2467" s="492">
        <f>C13</f>
        <v>85</v>
      </c>
      <c r="J2467" s="500" t="s">
        <v>556</v>
      </c>
      <c r="K2467" s="526">
        <f t="shared" si="75"/>
        <v>170</v>
      </c>
    </row>
    <row r="2468" spans="1:11" ht="17.25" hidden="1">
      <c r="A2468" s="559"/>
      <c r="E2468" s="579"/>
      <c r="F2468" s="492">
        <v>0.28000000000000003</v>
      </c>
      <c r="G2468" s="489" t="s">
        <v>26</v>
      </c>
      <c r="H2468" s="490" t="s">
        <v>4455</v>
      </c>
      <c r="I2468" s="492">
        <f>K2448</f>
        <v>168.11849999999998</v>
      </c>
      <c r="J2468" s="500" t="s">
        <v>26</v>
      </c>
      <c r="K2468" s="526">
        <f t="shared" si="75"/>
        <v>47.073180000000001</v>
      </c>
    </row>
    <row r="2469" spans="1:11" ht="17.25" hidden="1">
      <c r="A2469" s="559"/>
      <c r="E2469" s="579"/>
      <c r="F2469" s="492">
        <v>500</v>
      </c>
      <c r="G2469" s="489" t="s">
        <v>13</v>
      </c>
      <c r="H2469" s="490" t="s">
        <v>4456</v>
      </c>
      <c r="I2469" s="2">
        <v>2</v>
      </c>
      <c r="J2469" s="463" t="s">
        <v>556</v>
      </c>
      <c r="K2469" s="526">
        <f t="shared" si="75"/>
        <v>1000</v>
      </c>
    </row>
    <row r="2470" spans="1:11" ht="17.25" hidden="1">
      <c r="A2470" s="559"/>
      <c r="E2470" s="579"/>
      <c r="F2470" s="492">
        <v>8.5</v>
      </c>
      <c r="G2470" s="489" t="s">
        <v>4457</v>
      </c>
      <c r="H2470" s="490" t="s">
        <v>4458</v>
      </c>
      <c r="I2470" s="2">
        <v>25</v>
      </c>
      <c r="J2470" s="463" t="s">
        <v>4370</v>
      </c>
      <c r="K2470" s="526">
        <f t="shared" si="75"/>
        <v>212.5</v>
      </c>
    </row>
    <row r="2471" spans="1:11" ht="17.25" hidden="1">
      <c r="A2471" s="559"/>
      <c r="E2471" s="579"/>
      <c r="F2471" s="2"/>
      <c r="G2471" s="485"/>
      <c r="H2471" s="2"/>
      <c r="I2471" s="2"/>
      <c r="J2471" s="463"/>
      <c r="K2471" s="526" t="s">
        <v>442</v>
      </c>
    </row>
    <row r="2472" spans="1:11" ht="17.25" hidden="1">
      <c r="A2472" s="559"/>
      <c r="E2472" s="579"/>
      <c r="F2472" s="2"/>
      <c r="G2472" s="485"/>
      <c r="H2472" s="500" t="s">
        <v>4459</v>
      </c>
      <c r="I2472" s="2"/>
      <c r="J2472" s="463"/>
      <c r="K2472" s="526" t="e">
        <f>SUM(K2465:K2471)</f>
        <v>#REF!</v>
      </c>
    </row>
    <row r="2473" spans="1:11" ht="17.25" hidden="1">
      <c r="A2473" s="559"/>
      <c r="E2473" s="579"/>
      <c r="F2473" s="2"/>
      <c r="G2473" s="485"/>
      <c r="H2473" s="2"/>
      <c r="I2473" s="2"/>
      <c r="J2473" s="463"/>
      <c r="K2473" s="850" t="s">
        <v>4460</v>
      </c>
    </row>
    <row r="2474" spans="1:11" ht="17.25" hidden="1">
      <c r="A2474" s="559"/>
      <c r="E2474" s="579"/>
      <c r="F2474" s="2"/>
      <c r="G2474" s="485"/>
      <c r="H2474" s="500" t="s">
        <v>4461</v>
      </c>
      <c r="I2474" s="2"/>
      <c r="J2474" s="463"/>
      <c r="K2474" s="552" t="e">
        <f>K2472/39.2</f>
        <v>#REF!</v>
      </c>
    </row>
    <row r="2475" spans="1:11" ht="17.25" hidden="1">
      <c r="A2475" s="559"/>
      <c r="E2475" s="579"/>
      <c r="F2475" s="2"/>
      <c r="G2475" s="485"/>
      <c r="H2475" s="2"/>
      <c r="I2475" s="2"/>
      <c r="J2475" s="463"/>
      <c r="K2475" s="849" t="s">
        <v>4449</v>
      </c>
    </row>
    <row r="2476" spans="1:11" ht="17.25" hidden="1">
      <c r="A2476" s="559"/>
      <c r="E2476" s="579"/>
      <c r="F2476" s="2"/>
      <c r="G2476" s="485"/>
      <c r="H2476" s="630" t="s">
        <v>4462</v>
      </c>
      <c r="I2476" s="2"/>
      <c r="J2476" s="463"/>
      <c r="K2476" s="552"/>
    </row>
    <row r="2477" spans="1:11" ht="17.25" hidden="1">
      <c r="A2477" s="559"/>
      <c r="E2477" s="579"/>
      <c r="F2477" s="2"/>
      <c r="G2477" s="485"/>
      <c r="H2477" s="2" t="s">
        <v>4463</v>
      </c>
      <c r="I2477" s="2" t="s">
        <v>4464</v>
      </c>
      <c r="J2477" s="463"/>
      <c r="K2477" s="552"/>
    </row>
    <row r="2478" spans="1:11" ht="17.25" hidden="1">
      <c r="A2478" s="559"/>
      <c r="E2478" s="579"/>
      <c r="F2478" s="2"/>
      <c r="G2478" s="485"/>
      <c r="H2478" s="2"/>
      <c r="I2478" s="627" t="s">
        <v>4465</v>
      </c>
      <c r="J2478" s="463" t="s">
        <v>4466</v>
      </c>
      <c r="K2478" s="552"/>
    </row>
    <row r="2479" spans="1:11" ht="17.25" hidden="1">
      <c r="A2479" s="559"/>
      <c r="E2479" s="579"/>
      <c r="F2479" s="2"/>
      <c r="G2479" s="485"/>
      <c r="H2479" s="2" t="s">
        <v>4467</v>
      </c>
      <c r="I2479" s="2" t="s">
        <v>4468</v>
      </c>
      <c r="J2479" s="463"/>
      <c r="K2479" s="552"/>
    </row>
    <row r="2480" spans="1:11" ht="17.25" hidden="1">
      <c r="A2480" s="559"/>
      <c r="E2480" s="579"/>
      <c r="F2480" s="2"/>
      <c r="G2480" s="485"/>
      <c r="H2480" s="2"/>
      <c r="I2480" s="2"/>
      <c r="J2480" s="463"/>
      <c r="K2480" s="552"/>
    </row>
    <row r="2481" spans="1:11" ht="17.25" hidden="1">
      <c r="A2481" s="559"/>
      <c r="E2481" s="579"/>
      <c r="F2481" s="2"/>
      <c r="G2481" s="485"/>
      <c r="H2481" s="2" t="s">
        <v>4469</v>
      </c>
      <c r="I2481" s="2"/>
      <c r="J2481" s="463"/>
      <c r="K2481" s="552"/>
    </row>
    <row r="2482" spans="1:11" ht="17.25" hidden="1">
      <c r="A2482" s="559"/>
      <c r="E2482" s="579"/>
      <c r="F2482" s="2"/>
      <c r="G2482" s="485"/>
      <c r="H2482" s="2" t="s">
        <v>4470</v>
      </c>
      <c r="I2482" s="2" t="s">
        <v>4471</v>
      </c>
      <c r="J2482" s="463"/>
      <c r="K2482" s="552"/>
    </row>
    <row r="2483" spans="1:11" ht="17.25" hidden="1">
      <c r="A2483" s="559"/>
      <c r="E2483" s="579"/>
      <c r="F2483" s="2"/>
      <c r="G2483" s="485"/>
      <c r="H2483" s="2" t="s">
        <v>4472</v>
      </c>
      <c r="I2483" s="2" t="s">
        <v>4473</v>
      </c>
      <c r="J2483" s="463"/>
      <c r="K2483" s="552"/>
    </row>
    <row r="2484" spans="1:11" ht="17.25" hidden="1">
      <c r="A2484" s="559"/>
      <c r="E2484" s="579"/>
      <c r="F2484" s="2"/>
      <c r="G2484" s="485"/>
      <c r="H2484" s="2" t="s">
        <v>4474</v>
      </c>
      <c r="I2484" s="2"/>
      <c r="J2484" s="463"/>
      <c r="K2484" s="552"/>
    </row>
    <row r="2485" spans="1:11" ht="17.25" hidden="1">
      <c r="A2485" s="559"/>
      <c r="E2485" s="579"/>
      <c r="F2485" s="2"/>
      <c r="G2485" s="485"/>
      <c r="H2485" s="2"/>
      <c r="I2485" s="2"/>
      <c r="J2485" s="463"/>
      <c r="K2485" s="552"/>
    </row>
    <row r="2486" spans="1:11" ht="17.25" hidden="1">
      <c r="A2486" s="559"/>
      <c r="E2486" s="579"/>
      <c r="F2486" s="2"/>
      <c r="G2486" s="485"/>
      <c r="H2486" s="2"/>
      <c r="I2486" s="2"/>
      <c r="J2486" s="463"/>
      <c r="K2486" s="552"/>
    </row>
    <row r="2487" spans="1:11" ht="17.25" hidden="1">
      <c r="A2487" s="559"/>
      <c r="E2487" s="579"/>
      <c r="F2487" s="2"/>
      <c r="G2487" s="485"/>
      <c r="H2487" s="2"/>
      <c r="I2487" s="2"/>
      <c r="J2487" s="463"/>
      <c r="K2487" s="552"/>
    </row>
    <row r="2488" spans="1:11" ht="48" hidden="1">
      <c r="A2488" s="559"/>
      <c r="E2488" s="579"/>
      <c r="F2488" s="631">
        <v>83</v>
      </c>
      <c r="G2488" s="485"/>
      <c r="H2488" s="1" t="s">
        <v>4475</v>
      </c>
      <c r="I2488" s="2"/>
      <c r="J2488" s="463"/>
      <c r="K2488" s="552"/>
    </row>
    <row r="2489" spans="1:11" ht="17.25" hidden="1">
      <c r="A2489" s="559"/>
      <c r="E2489" s="579"/>
      <c r="F2489" s="2"/>
      <c r="G2489" s="485"/>
      <c r="H2489" s="627" t="s">
        <v>4476</v>
      </c>
      <c r="I2489" s="2"/>
      <c r="J2489" s="463"/>
      <c r="K2489" s="552"/>
    </row>
    <row r="2490" spans="1:11" ht="63" hidden="1">
      <c r="A2490" s="559"/>
      <c r="E2490" s="579"/>
      <c r="F2490" s="632">
        <v>3.25</v>
      </c>
      <c r="G2490" s="506" t="s">
        <v>4477</v>
      </c>
      <c r="H2490" s="506" t="s">
        <v>4478</v>
      </c>
      <c r="I2490" s="506">
        <v>27</v>
      </c>
      <c r="J2490" s="506" t="s">
        <v>40</v>
      </c>
      <c r="K2490" s="851">
        <f>I2490*F2490</f>
        <v>87.75</v>
      </c>
    </row>
    <row r="2491" spans="1:11" ht="17.25" hidden="1">
      <c r="A2491" s="559"/>
      <c r="E2491" s="579"/>
      <c r="F2491" s="2"/>
      <c r="G2491" s="485"/>
      <c r="H2491" s="2" t="s">
        <v>948</v>
      </c>
      <c r="I2491" s="2"/>
      <c r="J2491" s="463"/>
      <c r="K2491" s="552">
        <v>0.25</v>
      </c>
    </row>
    <row r="2492" spans="1:11" ht="17.25" hidden="1">
      <c r="A2492" s="559"/>
      <c r="E2492" s="579"/>
      <c r="F2492" s="2"/>
      <c r="G2492" s="485"/>
      <c r="H2492" s="2"/>
      <c r="I2492" s="2"/>
      <c r="J2492" s="463"/>
      <c r="K2492" s="552" t="s">
        <v>442</v>
      </c>
    </row>
    <row r="2493" spans="1:11" ht="17.25" hidden="1">
      <c r="A2493" s="559"/>
      <c r="E2493" s="579"/>
      <c r="F2493" s="2"/>
      <c r="G2493" s="485"/>
      <c r="H2493" s="2" t="s">
        <v>4479</v>
      </c>
      <c r="I2493" s="2"/>
      <c r="J2493" s="463"/>
      <c r="K2493" s="552">
        <f>SUM(K2490:K2492)</f>
        <v>88</v>
      </c>
    </row>
    <row r="2494" spans="1:11" ht="17.25" hidden="1">
      <c r="A2494" s="559"/>
      <c r="E2494" s="579"/>
      <c r="F2494" s="2"/>
      <c r="G2494" s="485"/>
      <c r="H2494" s="2"/>
      <c r="I2494" s="2"/>
      <c r="J2494" s="463"/>
      <c r="K2494" s="552" t="s">
        <v>29</v>
      </c>
    </row>
    <row r="2495" spans="1:11" ht="19.5" hidden="1">
      <c r="A2495" s="559"/>
      <c r="E2495" s="579"/>
      <c r="F2495" s="634">
        <v>79.099999999999994</v>
      </c>
      <c r="G2495" s="485"/>
      <c r="H2495" s="2" t="s">
        <v>4480</v>
      </c>
      <c r="I2495" s="2"/>
      <c r="J2495" s="463"/>
      <c r="K2495" s="552"/>
    </row>
    <row r="2496" spans="1:11" ht="17.25" hidden="1">
      <c r="A2496" s="559"/>
      <c r="E2496" s="579"/>
      <c r="F2496" s="2"/>
      <c r="G2496" s="485"/>
      <c r="H2496" s="627" t="s">
        <v>4481</v>
      </c>
      <c r="I2496" s="2"/>
      <c r="J2496" s="463"/>
      <c r="K2496" s="552"/>
    </row>
    <row r="2497" spans="1:11" ht="17.25" hidden="1">
      <c r="A2497" s="559"/>
      <c r="E2497" s="579"/>
      <c r="F2497" s="2">
        <v>1</v>
      </c>
      <c r="G2497" s="485" t="s">
        <v>5</v>
      </c>
      <c r="H2497" s="2" t="s">
        <v>4482</v>
      </c>
      <c r="I2497" s="2">
        <v>75</v>
      </c>
      <c r="J2497" s="463" t="s">
        <v>556</v>
      </c>
      <c r="K2497" s="552">
        <f>I2497*F2497</f>
        <v>75</v>
      </c>
    </row>
    <row r="2498" spans="1:11" ht="17.25" hidden="1">
      <c r="A2498" s="559"/>
      <c r="E2498" s="579"/>
      <c r="F2498" s="2">
        <v>1</v>
      </c>
      <c r="G2498" s="485" t="s">
        <v>5</v>
      </c>
      <c r="H2498" s="2" t="s">
        <v>4483</v>
      </c>
      <c r="I2498" s="2">
        <v>17.75</v>
      </c>
      <c r="J2498" s="463" t="s">
        <v>556</v>
      </c>
      <c r="K2498" s="552">
        <f>I2498*F2498</f>
        <v>17.75</v>
      </c>
    </row>
    <row r="2499" spans="1:11" ht="17.25" hidden="1">
      <c r="A2499" s="559"/>
      <c r="E2499" s="579"/>
      <c r="F2499" s="2">
        <v>1</v>
      </c>
      <c r="G2499" s="485" t="s">
        <v>5</v>
      </c>
      <c r="H2499" s="2" t="s">
        <v>2401</v>
      </c>
      <c r="I2499" s="2">
        <f>K2510</f>
        <v>65.125</v>
      </c>
      <c r="J2499" s="463" t="s">
        <v>556</v>
      </c>
      <c r="K2499" s="552">
        <f>I2499*F2499</f>
        <v>65.125</v>
      </c>
    </row>
    <row r="2500" spans="1:11" ht="17.25" hidden="1">
      <c r="A2500" s="559"/>
      <c r="E2500" s="579"/>
      <c r="F2500" s="2"/>
      <c r="G2500" s="485"/>
      <c r="H2500" s="2" t="s">
        <v>4484</v>
      </c>
      <c r="I2500" s="2"/>
      <c r="J2500" s="463" t="s">
        <v>2346</v>
      </c>
      <c r="K2500" s="552">
        <v>3.12</v>
      </c>
    </row>
    <row r="2501" spans="1:11" ht="17.25" hidden="1">
      <c r="A2501" s="559"/>
      <c r="E2501" s="579"/>
      <c r="F2501" s="2"/>
      <c r="G2501" s="485"/>
      <c r="H2501" s="2"/>
      <c r="I2501" s="2"/>
      <c r="J2501" s="463"/>
      <c r="K2501" s="849" t="s">
        <v>4485</v>
      </c>
    </row>
    <row r="2502" spans="1:11" ht="17.25" hidden="1">
      <c r="A2502" s="559"/>
      <c r="E2502" s="579"/>
      <c r="F2502" s="2"/>
      <c r="G2502" s="485"/>
      <c r="H2502" s="2"/>
      <c r="I2502" s="2"/>
      <c r="J2502" s="463"/>
      <c r="K2502" s="552">
        <f>SUM(K2497:K2501)</f>
        <v>160.995</v>
      </c>
    </row>
    <row r="2503" spans="1:11" ht="17.25" hidden="1">
      <c r="A2503" s="559"/>
      <c r="E2503" s="579"/>
      <c r="F2503" s="2"/>
      <c r="G2503" s="485"/>
      <c r="H2503" s="2"/>
      <c r="I2503" s="2"/>
      <c r="J2503" s="463"/>
      <c r="K2503" s="849" t="s">
        <v>4486</v>
      </c>
    </row>
    <row r="2504" spans="1:11" ht="17.25" hidden="1">
      <c r="A2504" s="559"/>
      <c r="E2504" s="579"/>
      <c r="F2504" s="2" t="s">
        <v>2401</v>
      </c>
      <c r="G2504" s="485"/>
      <c r="H2504" s="2"/>
      <c r="I2504" s="2"/>
      <c r="J2504" s="463"/>
      <c r="K2504" s="552"/>
    </row>
    <row r="2505" spans="1:11" ht="17.25" hidden="1">
      <c r="A2505" s="559"/>
      <c r="E2505" s="579"/>
      <c r="F2505" s="2">
        <v>1</v>
      </c>
      <c r="G2505" s="485" t="s">
        <v>5</v>
      </c>
      <c r="H2505" s="2" t="s">
        <v>4487</v>
      </c>
      <c r="I2505" s="2">
        <v>131</v>
      </c>
      <c r="J2505" s="463" t="s">
        <v>556</v>
      </c>
      <c r="K2505" s="552">
        <f>I2505*F2505</f>
        <v>131</v>
      </c>
    </row>
    <row r="2506" spans="1:11" ht="17.25" hidden="1">
      <c r="A2506" s="559"/>
      <c r="E2506" s="579"/>
      <c r="F2506" s="2">
        <v>1</v>
      </c>
      <c r="G2506" s="485" t="s">
        <v>5</v>
      </c>
      <c r="H2506" s="2" t="s">
        <v>4488</v>
      </c>
      <c r="I2506" s="2">
        <v>117</v>
      </c>
      <c r="J2506" s="463" t="s">
        <v>556</v>
      </c>
      <c r="K2506" s="552">
        <f>I2506*F2506</f>
        <v>117</v>
      </c>
    </row>
    <row r="2507" spans="1:11" ht="17.25" hidden="1">
      <c r="A2507" s="559"/>
      <c r="E2507" s="579"/>
      <c r="F2507" s="2">
        <v>3</v>
      </c>
      <c r="G2507" s="485" t="s">
        <v>13</v>
      </c>
      <c r="H2507" s="2" t="s">
        <v>2410</v>
      </c>
      <c r="I2507" s="2">
        <v>91</v>
      </c>
      <c r="J2507" s="463" t="s">
        <v>556</v>
      </c>
      <c r="K2507" s="552">
        <f>I2507*F2507</f>
        <v>273</v>
      </c>
    </row>
    <row r="2508" spans="1:11" ht="17.25" hidden="1">
      <c r="A2508" s="559"/>
      <c r="E2508" s="579"/>
      <c r="F2508" s="2"/>
      <c r="G2508" s="485"/>
      <c r="H2508" s="2"/>
      <c r="I2508" s="2"/>
      <c r="J2508" s="463"/>
      <c r="K2508" s="849" t="s">
        <v>4445</v>
      </c>
    </row>
    <row r="2509" spans="1:11" ht="17.25" hidden="1">
      <c r="A2509" s="559"/>
      <c r="E2509" s="579"/>
      <c r="F2509" s="2"/>
      <c r="G2509" s="485"/>
      <c r="H2509" s="2" t="s">
        <v>4489</v>
      </c>
      <c r="I2509" s="2"/>
      <c r="J2509" s="463"/>
      <c r="K2509" s="552">
        <f>SUM(K2505:K2508)</f>
        <v>521</v>
      </c>
    </row>
    <row r="2510" spans="1:11" ht="17.25" hidden="1">
      <c r="A2510" s="559"/>
      <c r="E2510" s="579"/>
      <c r="F2510" s="2"/>
      <c r="G2510" s="485"/>
      <c r="H2510" s="2" t="s">
        <v>4490</v>
      </c>
      <c r="I2510" s="2"/>
      <c r="J2510" s="463"/>
      <c r="K2510" s="552">
        <f>K2509/8</f>
        <v>65.125</v>
      </c>
    </row>
    <row r="2511" spans="1:11" ht="17.25" hidden="1">
      <c r="A2511" s="559"/>
      <c r="E2511" s="579"/>
      <c r="F2511" s="2"/>
      <c r="G2511" s="485"/>
      <c r="H2511" s="2"/>
      <c r="I2511" s="2"/>
      <c r="J2511" s="463"/>
      <c r="K2511" s="552"/>
    </row>
    <row r="2512" spans="1:11" ht="17.25" hidden="1">
      <c r="A2512" s="559"/>
      <c r="E2512" s="579"/>
      <c r="F2512" s="2"/>
      <c r="G2512" s="485"/>
      <c r="H2512" s="2"/>
      <c r="I2512" s="2"/>
      <c r="J2512" s="463"/>
      <c r="K2512" s="849"/>
    </row>
    <row r="2513" spans="1:11" ht="17.25" hidden="1">
      <c r="A2513" s="559"/>
      <c r="E2513" s="579"/>
      <c r="F2513" s="500" t="s">
        <v>4491</v>
      </c>
      <c r="G2513" s="489" t="s">
        <v>575</v>
      </c>
      <c r="H2513" s="490" t="s">
        <v>3788</v>
      </c>
      <c r="I2513" s="2"/>
      <c r="J2513" s="463"/>
      <c r="K2513" s="552"/>
    </row>
    <row r="2514" spans="1:11" ht="17.25" hidden="1">
      <c r="A2514" s="559"/>
      <c r="E2514" s="579"/>
      <c r="F2514" s="2"/>
      <c r="G2514" s="485"/>
      <c r="H2514" s="490" t="s">
        <v>3790</v>
      </c>
      <c r="I2514" s="2"/>
      <c r="J2514" s="463"/>
      <c r="K2514" s="552"/>
    </row>
    <row r="2515" spans="1:11" ht="17.25" hidden="1">
      <c r="A2515" s="559"/>
      <c r="E2515" s="579"/>
      <c r="F2515" s="2"/>
      <c r="G2515" s="485"/>
      <c r="H2515" s="490" t="s">
        <v>3792</v>
      </c>
      <c r="I2515" s="2"/>
      <c r="J2515" s="463"/>
      <c r="K2515" s="552"/>
    </row>
    <row r="2516" spans="1:11" ht="17.25" hidden="1">
      <c r="A2516" s="559"/>
      <c r="E2516" s="579"/>
      <c r="F2516" s="2"/>
      <c r="G2516" s="485"/>
      <c r="H2516" s="490" t="s">
        <v>3794</v>
      </c>
      <c r="I2516" s="2"/>
      <c r="J2516" s="463"/>
      <c r="K2516" s="552"/>
    </row>
    <row r="2517" spans="1:11" ht="17.25" hidden="1">
      <c r="A2517" s="559"/>
      <c r="E2517" s="579"/>
      <c r="F2517" s="2"/>
      <c r="G2517" s="485"/>
      <c r="H2517" s="490" t="s">
        <v>3796</v>
      </c>
      <c r="I2517" s="2"/>
      <c r="J2517" s="463"/>
      <c r="K2517" s="552"/>
    </row>
    <row r="2518" spans="1:11" ht="17.25" hidden="1">
      <c r="A2518" s="559"/>
      <c r="E2518" s="579"/>
      <c r="F2518" s="2"/>
      <c r="G2518" s="485"/>
      <c r="H2518" s="490" t="s">
        <v>3798</v>
      </c>
      <c r="I2518" s="2"/>
      <c r="J2518" s="463"/>
      <c r="K2518" s="552"/>
    </row>
    <row r="2519" spans="1:11" ht="17.25" hidden="1">
      <c r="A2519" s="559"/>
      <c r="E2519" s="579"/>
      <c r="F2519" s="2"/>
      <c r="G2519" s="485"/>
      <c r="H2519" s="491" t="s">
        <v>442</v>
      </c>
      <c r="I2519" s="2"/>
      <c r="J2519" s="463"/>
      <c r="K2519" s="552"/>
    </row>
    <row r="2520" spans="1:11" ht="17.25" hidden="1">
      <c r="A2520" s="559"/>
      <c r="E2520" s="579"/>
      <c r="F2520" s="500"/>
      <c r="G2520" s="489"/>
      <c r="H2520" s="490" t="s">
        <v>4492</v>
      </c>
      <c r="I2520" s="2"/>
      <c r="J2520" s="463"/>
      <c r="K2520" s="526" t="s">
        <v>30</v>
      </c>
    </row>
    <row r="2521" spans="1:11" ht="17.25" hidden="1">
      <c r="A2521" s="559"/>
      <c r="E2521" s="579"/>
      <c r="F2521" s="2"/>
      <c r="G2521" s="485"/>
      <c r="H2521" s="491" t="s">
        <v>442</v>
      </c>
      <c r="I2521" s="2"/>
      <c r="J2521" s="463"/>
      <c r="K2521" s="552"/>
    </row>
    <row r="2522" spans="1:11" ht="17.25" hidden="1">
      <c r="A2522" s="559"/>
      <c r="E2522" s="579"/>
      <c r="F2522" s="635">
        <v>1.153E-2</v>
      </c>
      <c r="G2522" s="489" t="s">
        <v>2334</v>
      </c>
      <c r="H2522" s="490" t="s">
        <v>2809</v>
      </c>
      <c r="I2522" s="492">
        <f t="shared" ref="I2522:I2531" si="76">I1011</f>
        <v>65420</v>
      </c>
      <c r="J2522" s="500" t="s">
        <v>2334</v>
      </c>
      <c r="K2522" s="526">
        <f t="shared" ref="K2522:K2531" si="77">(F2522*I2522)</f>
        <v>754.29259999999999</v>
      </c>
    </row>
    <row r="2523" spans="1:11" ht="17.25" hidden="1">
      <c r="A2523" s="559"/>
      <c r="E2523" s="579"/>
      <c r="F2523" s="635">
        <v>1.52E-2</v>
      </c>
      <c r="G2523" s="489" t="s">
        <v>2334</v>
      </c>
      <c r="H2523" s="490" t="s">
        <v>2810</v>
      </c>
      <c r="I2523" s="492">
        <f t="shared" si="76"/>
        <v>57165</v>
      </c>
      <c r="J2523" s="500" t="s">
        <v>2334</v>
      </c>
      <c r="K2523" s="526">
        <f t="shared" si="77"/>
        <v>868.90800000000002</v>
      </c>
    </row>
    <row r="2524" spans="1:11" hidden="1">
      <c r="A2524" s="559"/>
      <c r="F2524" s="635">
        <v>1.2787999999999999</v>
      </c>
      <c r="G2524" s="489" t="s">
        <v>2788</v>
      </c>
      <c r="H2524" s="490" t="s">
        <v>2811</v>
      </c>
      <c r="I2524" s="492">
        <f t="shared" si="76"/>
        <v>381.37</v>
      </c>
      <c r="J2524" s="500" t="s">
        <v>2788</v>
      </c>
      <c r="K2524" s="526">
        <f t="shared" si="77"/>
        <v>487.69595599999997</v>
      </c>
    </row>
    <row r="2525" spans="1:11" hidden="1">
      <c r="A2525" s="559"/>
      <c r="F2525" s="635">
        <v>1.845</v>
      </c>
      <c r="G2525" s="489" t="s">
        <v>2788</v>
      </c>
      <c r="H2525" s="490" t="s">
        <v>2812</v>
      </c>
      <c r="I2525" s="492">
        <f t="shared" si="76"/>
        <v>287</v>
      </c>
      <c r="J2525" s="500" t="s">
        <v>2788</v>
      </c>
      <c r="K2525" s="526">
        <f t="shared" si="77"/>
        <v>529.51499999999999</v>
      </c>
    </row>
    <row r="2526" spans="1:11" hidden="1">
      <c r="A2526" s="559"/>
      <c r="F2526" s="492">
        <v>2</v>
      </c>
      <c r="G2526" s="489" t="s">
        <v>2342</v>
      </c>
      <c r="H2526" s="490" t="s">
        <v>2813</v>
      </c>
      <c r="I2526" s="492">
        <f t="shared" si="76"/>
        <v>30</v>
      </c>
      <c r="J2526" s="500" t="s">
        <v>2342</v>
      </c>
      <c r="K2526" s="526">
        <f t="shared" si="77"/>
        <v>60</v>
      </c>
    </row>
    <row r="2527" spans="1:11" hidden="1">
      <c r="A2527" s="559"/>
      <c r="F2527" s="492">
        <v>3</v>
      </c>
      <c r="G2527" s="489" t="s">
        <v>2342</v>
      </c>
      <c r="H2527" s="490" t="s">
        <v>3826</v>
      </c>
      <c r="I2527" s="492">
        <f t="shared" si="76"/>
        <v>45</v>
      </c>
      <c r="J2527" s="500" t="s">
        <v>2342</v>
      </c>
      <c r="K2527" s="526">
        <f t="shared" si="77"/>
        <v>135</v>
      </c>
    </row>
    <row r="2528" spans="1:11" hidden="1">
      <c r="A2528" s="559"/>
      <c r="F2528" s="492">
        <v>1</v>
      </c>
      <c r="G2528" s="489" t="s">
        <v>2342</v>
      </c>
      <c r="H2528" s="490" t="s">
        <v>2815</v>
      </c>
      <c r="I2528" s="492">
        <f t="shared" si="76"/>
        <v>95</v>
      </c>
      <c r="J2528" s="500" t="s">
        <v>2342</v>
      </c>
      <c r="K2528" s="526">
        <f t="shared" si="77"/>
        <v>95</v>
      </c>
    </row>
    <row r="2529" spans="1:11" hidden="1">
      <c r="A2529" s="559"/>
      <c r="F2529" s="492">
        <v>1</v>
      </c>
      <c r="G2529" s="489" t="s">
        <v>2342</v>
      </c>
      <c r="H2529" s="490" t="s">
        <v>2816</v>
      </c>
      <c r="I2529" s="492">
        <f t="shared" si="76"/>
        <v>8</v>
      </c>
      <c r="J2529" s="500" t="s">
        <v>2342</v>
      </c>
      <c r="K2529" s="526">
        <f t="shared" si="77"/>
        <v>8</v>
      </c>
    </row>
    <row r="2530" spans="1:11" hidden="1">
      <c r="A2530" s="559"/>
      <c r="F2530" s="492">
        <v>1</v>
      </c>
      <c r="G2530" s="489" t="s">
        <v>2342</v>
      </c>
      <c r="H2530" s="490" t="s">
        <v>2817</v>
      </c>
      <c r="I2530" s="492">
        <f t="shared" si="76"/>
        <v>30</v>
      </c>
      <c r="J2530" s="500" t="s">
        <v>2342</v>
      </c>
      <c r="K2530" s="526">
        <f t="shared" si="77"/>
        <v>30</v>
      </c>
    </row>
    <row r="2531" spans="1:11" hidden="1">
      <c r="A2531" s="559"/>
      <c r="F2531" s="492">
        <v>1</v>
      </c>
      <c r="G2531" s="489" t="s">
        <v>2342</v>
      </c>
      <c r="H2531" s="490" t="s">
        <v>2818</v>
      </c>
      <c r="I2531" s="492">
        <f t="shared" si="76"/>
        <v>25</v>
      </c>
      <c r="J2531" s="500" t="s">
        <v>2342</v>
      </c>
      <c r="K2531" s="526">
        <f t="shared" si="77"/>
        <v>25</v>
      </c>
    </row>
    <row r="2532" spans="1:11" hidden="1">
      <c r="A2532" s="559"/>
      <c r="F2532" s="2"/>
      <c r="G2532" s="485"/>
      <c r="H2532" s="2"/>
      <c r="I2532" s="2"/>
      <c r="J2532" s="463"/>
      <c r="K2532" s="526" t="s">
        <v>442</v>
      </c>
    </row>
    <row r="2533" spans="1:11" hidden="1">
      <c r="A2533" s="559"/>
      <c r="F2533" s="2"/>
      <c r="G2533" s="485"/>
      <c r="H2533" s="500" t="s">
        <v>4493</v>
      </c>
      <c r="I2533" s="2"/>
      <c r="J2533" s="463"/>
      <c r="K2533" s="526">
        <f>SUM(K2522:K2532)</f>
        <v>2993.411556</v>
      </c>
    </row>
    <row r="2534" spans="1:11" hidden="1">
      <c r="A2534" s="559"/>
      <c r="F2534" s="2"/>
      <c r="G2534" s="489" t="s">
        <v>30</v>
      </c>
      <c r="H2534" s="2"/>
      <c r="I2534" s="2"/>
      <c r="J2534" s="463"/>
      <c r="K2534" s="526" t="s">
        <v>442</v>
      </c>
    </row>
    <row r="2535" spans="1:11" hidden="1">
      <c r="A2535" s="559"/>
      <c r="F2535" s="2"/>
      <c r="G2535" s="485"/>
      <c r="H2535" s="500" t="s">
        <v>2355</v>
      </c>
      <c r="I2535" s="2"/>
      <c r="J2535" s="463"/>
      <c r="K2535" s="526">
        <f>K2533/F2525</f>
        <v>1622.445287804878</v>
      </c>
    </row>
    <row r="2536" spans="1:11" hidden="1">
      <c r="A2536" s="559"/>
      <c r="F2536" s="2"/>
      <c r="G2536" s="485"/>
      <c r="H2536" s="2"/>
      <c r="I2536" s="2"/>
      <c r="J2536" s="463"/>
      <c r="K2536" s="526" t="s">
        <v>29</v>
      </c>
    </row>
    <row r="2537" spans="1:11" hidden="1">
      <c r="A2537" s="559"/>
      <c r="F2537" s="488">
        <v>98.1</v>
      </c>
      <c r="G2537" s="489" t="s">
        <v>575</v>
      </c>
      <c r="H2537" s="490" t="s">
        <v>4494</v>
      </c>
      <c r="I2537" s="2"/>
      <c r="J2537" s="463"/>
      <c r="K2537" s="552"/>
    </row>
    <row r="2538" spans="1:11" hidden="1">
      <c r="A2538" s="559"/>
      <c r="F2538" s="2"/>
      <c r="G2538" s="485"/>
      <c r="H2538" s="490" t="s">
        <v>3656</v>
      </c>
      <c r="I2538" s="2"/>
      <c r="J2538" s="463"/>
      <c r="K2538" s="552"/>
    </row>
    <row r="2539" spans="1:11" hidden="1">
      <c r="A2539" s="559"/>
      <c r="F2539" s="2"/>
      <c r="G2539" s="485"/>
      <c r="H2539" s="494" t="s">
        <v>4495</v>
      </c>
      <c r="I2539" s="2"/>
      <c r="J2539" s="463"/>
      <c r="K2539" s="552"/>
    </row>
    <row r="2540" spans="1:11" hidden="1">
      <c r="A2540" s="559"/>
      <c r="F2540" s="2"/>
      <c r="G2540" s="485"/>
      <c r="H2540" s="491" t="s">
        <v>442</v>
      </c>
      <c r="I2540" s="2"/>
      <c r="J2540" s="463"/>
      <c r="K2540" s="552"/>
    </row>
    <row r="2541" spans="1:11" hidden="1">
      <c r="A2541" s="559"/>
      <c r="F2541" s="2"/>
      <c r="G2541" s="485"/>
      <c r="H2541" s="490" t="s">
        <v>4496</v>
      </c>
      <c r="I2541" s="2"/>
      <c r="J2541" s="636"/>
      <c r="K2541" s="552"/>
    </row>
    <row r="2542" spans="1:11" hidden="1">
      <c r="A2542" s="559"/>
      <c r="F2542" s="2"/>
      <c r="G2542" s="485"/>
      <c r="H2542" s="490" t="s">
        <v>4497</v>
      </c>
      <c r="I2542" s="2"/>
      <c r="J2542" s="463"/>
      <c r="K2542" s="552"/>
    </row>
    <row r="2543" spans="1:11" hidden="1">
      <c r="A2543" s="559"/>
      <c r="F2543" s="2"/>
      <c r="G2543" s="485"/>
      <c r="H2543" s="2"/>
      <c r="I2543" s="2"/>
      <c r="J2543" s="500" t="s">
        <v>442</v>
      </c>
      <c r="K2543" s="552"/>
    </row>
    <row r="2544" spans="1:11" hidden="1">
      <c r="A2544" s="559"/>
      <c r="F2544" s="2"/>
      <c r="G2544" s="485"/>
      <c r="H2544" s="490" t="s">
        <v>4498</v>
      </c>
      <c r="I2544" s="2"/>
      <c r="J2544" s="463"/>
      <c r="K2544" s="552"/>
    </row>
    <row r="2545" spans="1:11" hidden="1">
      <c r="A2545" s="559"/>
      <c r="F2545" s="2"/>
      <c r="G2545" s="485"/>
      <c r="H2545" s="490" t="s">
        <v>4499</v>
      </c>
      <c r="I2545" s="2"/>
      <c r="J2545" s="463"/>
      <c r="K2545" s="835">
        <v>3.5400000000000001E-2</v>
      </c>
    </row>
    <row r="2546" spans="1:11" hidden="1">
      <c r="A2546" s="559"/>
      <c r="F2546" s="2"/>
      <c r="G2546" s="485"/>
      <c r="H2546" s="2"/>
      <c r="I2546" s="2"/>
      <c r="J2546" s="500" t="s">
        <v>30</v>
      </c>
      <c r="K2546" s="526" t="s">
        <v>442</v>
      </c>
    </row>
    <row r="2547" spans="1:11" hidden="1">
      <c r="A2547" s="559"/>
      <c r="F2547" s="2"/>
      <c r="G2547" s="485"/>
      <c r="H2547" s="490" t="s">
        <v>4500</v>
      </c>
      <c r="I2547" s="2"/>
      <c r="J2547" s="564" t="s">
        <v>30</v>
      </c>
      <c r="K2547" s="835">
        <v>2.5899999999999999E-2</v>
      </c>
    </row>
    <row r="2548" spans="1:11" hidden="1">
      <c r="A2548" s="559"/>
      <c r="F2548" s="2"/>
      <c r="G2548" s="485"/>
      <c r="H2548" s="490" t="s">
        <v>4501</v>
      </c>
      <c r="I2548" s="2"/>
      <c r="J2548" s="500" t="s">
        <v>30</v>
      </c>
      <c r="K2548" s="835">
        <v>6.4999999999999997E-3</v>
      </c>
    </row>
    <row r="2549" spans="1:11" hidden="1">
      <c r="A2549" s="559"/>
      <c r="F2549" s="2"/>
      <c r="G2549" s="485"/>
      <c r="H2549" s="2"/>
      <c r="I2549" s="2"/>
      <c r="J2549" s="463"/>
      <c r="K2549" s="526" t="s">
        <v>442</v>
      </c>
    </row>
    <row r="2550" spans="1:11" hidden="1">
      <c r="A2550" s="559"/>
      <c r="F2550" s="2"/>
      <c r="G2550" s="485"/>
      <c r="H2550" s="2"/>
      <c r="I2550" s="2"/>
      <c r="J2550" s="463"/>
      <c r="K2550" s="835">
        <v>3.2300000000000002E-2</v>
      </c>
    </row>
    <row r="2551" spans="1:11" hidden="1">
      <c r="A2551" s="559"/>
      <c r="F2551" s="2"/>
      <c r="G2551" s="485"/>
      <c r="H2551" s="2"/>
      <c r="I2551" s="2"/>
      <c r="J2551" s="463"/>
      <c r="K2551" s="526" t="s">
        <v>442</v>
      </c>
    </row>
    <row r="2552" spans="1:11" hidden="1">
      <c r="A2552" s="559"/>
      <c r="F2552" s="2"/>
      <c r="G2552" s="485"/>
      <c r="H2552" s="2"/>
      <c r="I2552" s="2"/>
      <c r="J2552" s="463"/>
      <c r="K2552" s="552"/>
    </row>
    <row r="2553" spans="1:11" hidden="1">
      <c r="A2553" s="559"/>
      <c r="F2553" s="2"/>
      <c r="G2553" s="485"/>
      <c r="H2553" s="2"/>
      <c r="I2553" s="2"/>
      <c r="J2553" s="463"/>
      <c r="K2553" s="552"/>
    </row>
    <row r="2554" spans="1:11" hidden="1">
      <c r="A2554" s="559"/>
      <c r="F2554" s="563">
        <v>2.2800000000000001E-2</v>
      </c>
      <c r="G2554" s="489" t="s">
        <v>2334</v>
      </c>
      <c r="H2554" s="490" t="s">
        <v>3679</v>
      </c>
      <c r="I2554" s="492">
        <f>I910</f>
        <v>65420</v>
      </c>
      <c r="J2554" s="500" t="s">
        <v>2334</v>
      </c>
      <c r="K2554" s="526">
        <f t="shared" ref="K2554:K2564" si="78">(F2554*I2554)</f>
        <v>1491.576</v>
      </c>
    </row>
    <row r="2555" spans="1:11" hidden="1">
      <c r="A2555" s="559"/>
      <c r="F2555" s="563">
        <v>3.5400000000000001E-2</v>
      </c>
      <c r="G2555" s="489" t="s">
        <v>2334</v>
      </c>
      <c r="H2555" s="490" t="s">
        <v>3681</v>
      </c>
      <c r="I2555" s="492">
        <f>I911</f>
        <v>57165</v>
      </c>
      <c r="J2555" s="500" t="s">
        <v>2334</v>
      </c>
      <c r="K2555" s="526">
        <f t="shared" si="78"/>
        <v>2023.6410000000001</v>
      </c>
    </row>
    <row r="2556" spans="1:11" hidden="1">
      <c r="A2556" s="559"/>
      <c r="F2556" s="563">
        <v>3.2300000000000002E-2</v>
      </c>
      <c r="G2556" s="489" t="s">
        <v>2334</v>
      </c>
      <c r="H2556" s="490" t="s">
        <v>3683</v>
      </c>
      <c r="I2556" s="492">
        <f>I912</f>
        <v>63870</v>
      </c>
      <c r="J2556" s="500" t="s">
        <v>2334</v>
      </c>
      <c r="K2556" s="526">
        <f t="shared" si="78"/>
        <v>2063.0010000000002</v>
      </c>
    </row>
    <row r="2557" spans="1:11" hidden="1">
      <c r="A2557" s="559"/>
      <c r="F2557" s="637"/>
      <c r="G2557" s="485"/>
      <c r="H2557" s="490" t="s">
        <v>4502</v>
      </c>
      <c r="I2557" s="492"/>
      <c r="J2557" s="463"/>
      <c r="K2557" s="526">
        <f t="shared" si="78"/>
        <v>0</v>
      </c>
    </row>
    <row r="2558" spans="1:11" hidden="1">
      <c r="A2558" s="559"/>
      <c r="F2558" s="637">
        <v>2.835</v>
      </c>
      <c r="G2558" s="489" t="s">
        <v>2788</v>
      </c>
      <c r="H2558" s="490" t="s">
        <v>3687</v>
      </c>
      <c r="I2558" s="492">
        <f t="shared" ref="I2558:I2564" si="79">I914</f>
        <v>342</v>
      </c>
      <c r="J2558" s="500" t="s">
        <v>2788</v>
      </c>
      <c r="K2558" s="526">
        <f t="shared" si="78"/>
        <v>969.56999999999994</v>
      </c>
    </row>
    <row r="2559" spans="1:11" hidden="1">
      <c r="A2559" s="559"/>
      <c r="F2559" s="492">
        <v>2</v>
      </c>
      <c r="G2559" s="489" t="s">
        <v>2359</v>
      </c>
      <c r="H2559" s="490" t="s">
        <v>3689</v>
      </c>
      <c r="I2559" s="492">
        <f t="shared" si="79"/>
        <v>30</v>
      </c>
      <c r="J2559" s="500" t="s">
        <v>2342</v>
      </c>
      <c r="K2559" s="526">
        <f t="shared" si="78"/>
        <v>60</v>
      </c>
    </row>
    <row r="2560" spans="1:11" hidden="1">
      <c r="A2560" s="559"/>
      <c r="F2560" s="492">
        <v>6</v>
      </c>
      <c r="G2560" s="489" t="s">
        <v>2342</v>
      </c>
      <c r="H2560" s="490" t="s">
        <v>3691</v>
      </c>
      <c r="I2560" s="492">
        <f t="shared" si="79"/>
        <v>45</v>
      </c>
      <c r="J2560" s="500" t="s">
        <v>2342</v>
      </c>
      <c r="K2560" s="526">
        <f t="shared" si="78"/>
        <v>270</v>
      </c>
    </row>
    <row r="2561" spans="1:11" hidden="1">
      <c r="A2561" s="559"/>
      <c r="F2561" s="492">
        <v>4</v>
      </c>
      <c r="G2561" s="489" t="s">
        <v>2342</v>
      </c>
      <c r="H2561" s="490" t="s">
        <v>3693</v>
      </c>
      <c r="I2561" s="492">
        <f t="shared" si="79"/>
        <v>30</v>
      </c>
      <c r="J2561" s="500" t="s">
        <v>2342</v>
      </c>
      <c r="K2561" s="526">
        <f t="shared" si="78"/>
        <v>120</v>
      </c>
    </row>
    <row r="2562" spans="1:11" hidden="1">
      <c r="A2562" s="559"/>
      <c r="F2562" s="492">
        <v>1</v>
      </c>
      <c r="G2562" s="489" t="s">
        <v>2342</v>
      </c>
      <c r="H2562" s="490" t="s">
        <v>3695</v>
      </c>
      <c r="I2562" s="492">
        <f t="shared" si="79"/>
        <v>95</v>
      </c>
      <c r="J2562" s="500" t="s">
        <v>2342</v>
      </c>
      <c r="K2562" s="526">
        <f t="shared" si="78"/>
        <v>95</v>
      </c>
    </row>
    <row r="2563" spans="1:11" hidden="1">
      <c r="A2563" s="559"/>
      <c r="F2563" s="492">
        <v>2</v>
      </c>
      <c r="G2563" s="489" t="s">
        <v>2342</v>
      </c>
      <c r="H2563" s="490" t="s">
        <v>3697</v>
      </c>
      <c r="I2563" s="492">
        <f t="shared" si="79"/>
        <v>8</v>
      </c>
      <c r="J2563" s="500" t="s">
        <v>2342</v>
      </c>
      <c r="K2563" s="526">
        <f t="shared" si="78"/>
        <v>16</v>
      </c>
    </row>
    <row r="2564" spans="1:11" hidden="1">
      <c r="A2564" s="559"/>
      <c r="F2564" s="492">
        <v>2</v>
      </c>
      <c r="G2564" s="489" t="s">
        <v>2342</v>
      </c>
      <c r="H2564" s="490" t="s">
        <v>2818</v>
      </c>
      <c r="I2564" s="492">
        <f t="shared" si="79"/>
        <v>25</v>
      </c>
      <c r="J2564" s="500" t="s">
        <v>2342</v>
      </c>
      <c r="K2564" s="526">
        <f t="shared" si="78"/>
        <v>50</v>
      </c>
    </row>
    <row r="2565" spans="1:11" hidden="1">
      <c r="A2565" s="559"/>
      <c r="F2565" s="2"/>
      <c r="G2565" s="485"/>
      <c r="H2565" s="2"/>
      <c r="I2565" s="2"/>
      <c r="J2565" s="463"/>
      <c r="K2565" s="526" t="s">
        <v>442</v>
      </c>
    </row>
    <row r="2566" spans="1:11" hidden="1">
      <c r="A2566" s="559"/>
      <c r="F2566" s="2"/>
      <c r="G2566" s="485"/>
      <c r="H2566" s="490" t="s">
        <v>4503</v>
      </c>
      <c r="I2566" s="2"/>
      <c r="J2566" s="463"/>
      <c r="K2566" s="526">
        <f>SUM(K2554:K2564)</f>
        <v>7158.7880000000005</v>
      </c>
    </row>
    <row r="2567" spans="1:11" hidden="1">
      <c r="A2567" s="559"/>
      <c r="F2567" s="2"/>
      <c r="G2567" s="485"/>
      <c r="H2567" s="2"/>
      <c r="I2567" s="2"/>
      <c r="J2567" s="463"/>
      <c r="K2567" s="526" t="s">
        <v>442</v>
      </c>
    </row>
    <row r="2568" spans="1:11" hidden="1">
      <c r="A2568" s="559"/>
      <c r="F2568" s="2"/>
      <c r="G2568" s="485"/>
      <c r="H2568" s="490" t="s">
        <v>2355</v>
      </c>
      <c r="I2568" s="2"/>
      <c r="J2568" s="463"/>
      <c r="K2568" s="526">
        <f>K2566/F2558</f>
        <v>2525.1456790123457</v>
      </c>
    </row>
    <row r="2569" spans="1:11" hidden="1">
      <c r="A2569" s="559"/>
      <c r="F2569" s="2"/>
      <c r="G2569" s="485"/>
      <c r="H2569" s="490"/>
      <c r="I2569" s="2"/>
      <c r="J2569" s="463"/>
      <c r="K2569" s="526" t="s">
        <v>29</v>
      </c>
    </row>
    <row r="2570" spans="1:11" hidden="1">
      <c r="A2570" s="559"/>
      <c r="F2570" s="2"/>
      <c r="G2570" s="485"/>
      <c r="H2570" s="494" t="s">
        <v>4504</v>
      </c>
      <c r="I2570" s="2"/>
      <c r="J2570" s="463"/>
      <c r="K2570" s="552"/>
    </row>
    <row r="2571" spans="1:11" hidden="1">
      <c r="A2571" s="559"/>
      <c r="F2571" s="2"/>
      <c r="G2571" s="485"/>
      <c r="H2571" s="491" t="s">
        <v>442</v>
      </c>
      <c r="I2571" s="2"/>
      <c r="J2571" s="463"/>
      <c r="K2571" s="552"/>
    </row>
    <row r="2572" spans="1:11" hidden="1">
      <c r="A2572" s="559"/>
      <c r="F2572" s="2"/>
      <c r="G2572" s="485"/>
      <c r="H2572" s="490" t="s">
        <v>4505</v>
      </c>
      <c r="I2572" s="2"/>
      <c r="J2572" s="636"/>
      <c r="K2572" s="552"/>
    </row>
    <row r="2573" spans="1:11" hidden="1">
      <c r="A2573" s="559"/>
      <c r="F2573" s="2"/>
      <c r="G2573" s="485"/>
      <c r="H2573" s="490" t="s">
        <v>4497</v>
      </c>
      <c r="I2573" s="2"/>
      <c r="J2573" s="463"/>
      <c r="K2573" s="552"/>
    </row>
    <row r="2574" spans="1:11" hidden="1">
      <c r="A2574" s="559"/>
      <c r="F2574" s="2"/>
      <c r="G2574" s="485"/>
      <c r="H2574" s="2"/>
      <c r="I2574" s="2"/>
      <c r="J2574" s="500" t="s">
        <v>442</v>
      </c>
      <c r="K2574" s="552"/>
    </row>
    <row r="2575" spans="1:11" hidden="1">
      <c r="A2575" s="559"/>
      <c r="F2575" s="2"/>
      <c r="G2575" s="485"/>
      <c r="H2575" s="490" t="s">
        <v>4506</v>
      </c>
      <c r="I2575" s="2"/>
      <c r="J2575" s="463"/>
      <c r="K2575" s="552"/>
    </row>
    <row r="2576" spans="1:11" hidden="1">
      <c r="A2576" s="559"/>
      <c r="F2576" s="2"/>
      <c r="G2576" s="485"/>
      <c r="H2576" s="490" t="s">
        <v>4507</v>
      </c>
      <c r="I2576" s="2"/>
      <c r="J2576" s="463"/>
      <c r="K2576" s="835">
        <v>2.5000000000000001E-2</v>
      </c>
    </row>
    <row r="2577" spans="1:11" hidden="1">
      <c r="A2577" s="559"/>
      <c r="F2577" s="2"/>
      <c r="G2577" s="485"/>
      <c r="H2577" s="2"/>
      <c r="I2577" s="2"/>
      <c r="J2577" s="500" t="s">
        <v>30</v>
      </c>
      <c r="K2577" s="526" t="s">
        <v>442</v>
      </c>
    </row>
    <row r="2578" spans="1:11" hidden="1">
      <c r="A2578" s="559"/>
      <c r="F2578" s="2"/>
      <c r="G2578" s="485"/>
      <c r="H2578" s="490" t="s">
        <v>4508</v>
      </c>
      <c r="I2578" s="2"/>
      <c r="J2578" s="564" t="s">
        <v>30</v>
      </c>
      <c r="K2578" s="835">
        <v>1.7850000000000001E-2</v>
      </c>
    </row>
    <row r="2579" spans="1:11" hidden="1">
      <c r="A2579" s="559"/>
      <c r="F2579" s="2"/>
      <c r="G2579" s="485"/>
      <c r="H2579" s="490" t="s">
        <v>4509</v>
      </c>
      <c r="I2579" s="2"/>
      <c r="J2579" s="500" t="s">
        <v>30</v>
      </c>
      <c r="K2579" s="835">
        <v>1.4500000000000001E-2</v>
      </c>
    </row>
    <row r="2580" spans="1:11" hidden="1">
      <c r="A2580" s="559"/>
      <c r="F2580" s="2"/>
      <c r="G2580" s="485"/>
      <c r="H2580" s="2"/>
      <c r="I2580" s="2"/>
      <c r="J2580" s="463"/>
      <c r="K2580" s="526" t="s">
        <v>442</v>
      </c>
    </row>
    <row r="2581" spans="1:11" hidden="1">
      <c r="A2581" s="559"/>
      <c r="F2581" s="2"/>
      <c r="G2581" s="485"/>
      <c r="H2581" s="2"/>
      <c r="I2581" s="2"/>
      <c r="J2581" s="463"/>
      <c r="K2581" s="835">
        <v>2.23E-2</v>
      </c>
    </row>
    <row r="2582" spans="1:11" hidden="1">
      <c r="A2582" s="559"/>
      <c r="F2582" s="2"/>
      <c r="G2582" s="485"/>
      <c r="H2582" s="2"/>
      <c r="I2582" s="2"/>
      <c r="J2582" s="463"/>
      <c r="K2582" s="526" t="s">
        <v>442</v>
      </c>
    </row>
    <row r="2583" spans="1:11" hidden="1">
      <c r="A2583" s="559"/>
      <c r="F2583" s="2"/>
      <c r="G2583" s="485"/>
      <c r="H2583" s="2"/>
      <c r="I2583" s="2"/>
      <c r="J2583" s="463"/>
      <c r="K2583" s="552"/>
    </row>
    <row r="2584" spans="1:11" hidden="1">
      <c r="A2584" s="559"/>
      <c r="F2584" s="2"/>
      <c r="G2584" s="485"/>
      <c r="H2584" s="2"/>
      <c r="I2584" s="2"/>
      <c r="J2584" s="463"/>
      <c r="K2584" s="552"/>
    </row>
    <row r="2585" spans="1:11" hidden="1">
      <c r="A2585" s="559"/>
      <c r="F2585" s="563">
        <v>2.2800000000000001E-2</v>
      </c>
      <c r="G2585" s="489" t="s">
        <v>2334</v>
      </c>
      <c r="H2585" s="490" t="s">
        <v>3679</v>
      </c>
      <c r="I2585" s="492">
        <f>I2554</f>
        <v>65420</v>
      </c>
      <c r="J2585" s="500" t="s">
        <v>2334</v>
      </c>
      <c r="K2585" s="526">
        <f>(F2585*I2585)</f>
        <v>1491.576</v>
      </c>
    </row>
    <row r="2586" spans="1:11" hidden="1">
      <c r="A2586" s="559"/>
      <c r="F2586" s="563">
        <v>2.5000000000000001E-2</v>
      </c>
      <c r="G2586" s="489" t="s">
        <v>2334</v>
      </c>
      <c r="H2586" s="490" t="s">
        <v>3681</v>
      </c>
      <c r="I2586" s="492">
        <f>I2555</f>
        <v>57165</v>
      </c>
      <c r="J2586" s="500" t="s">
        <v>2334</v>
      </c>
      <c r="K2586" s="526">
        <f>(F2586*I2586)</f>
        <v>1429.125</v>
      </c>
    </row>
    <row r="2587" spans="1:11" hidden="1">
      <c r="A2587" s="559"/>
      <c r="F2587" s="563">
        <v>2.23E-2</v>
      </c>
      <c r="G2587" s="489" t="s">
        <v>2334</v>
      </c>
      <c r="H2587" s="490" t="s">
        <v>3683</v>
      </c>
      <c r="I2587" s="492">
        <f>I2556</f>
        <v>63870</v>
      </c>
      <c r="J2587" s="500" t="s">
        <v>2334</v>
      </c>
      <c r="K2587" s="526">
        <f>(F2587*I2587)</f>
        <v>1424.3009999999999</v>
      </c>
    </row>
    <row r="2588" spans="1:11" hidden="1">
      <c r="A2588" s="559"/>
      <c r="F2588" s="637"/>
      <c r="G2588" s="485"/>
      <c r="H2588" s="490" t="s">
        <v>4502</v>
      </c>
      <c r="I2588" s="492"/>
      <c r="J2588" s="463"/>
      <c r="K2588" s="526" t="s">
        <v>30</v>
      </c>
    </row>
    <row r="2589" spans="1:11" hidden="1">
      <c r="A2589" s="559"/>
      <c r="F2589" s="637">
        <v>2.2275</v>
      </c>
      <c r="G2589" s="489" t="s">
        <v>2788</v>
      </c>
      <c r="H2589" s="490" t="s">
        <v>3687</v>
      </c>
      <c r="I2589" s="492">
        <f t="shared" ref="I2589:I2595" si="80">I2558</f>
        <v>342</v>
      </c>
      <c r="J2589" s="500" t="s">
        <v>2788</v>
      </c>
      <c r="K2589" s="526">
        <f t="shared" ref="K2589:K2595" si="81">(F2589*I2589)</f>
        <v>761.80500000000006</v>
      </c>
    </row>
    <row r="2590" spans="1:11" hidden="1">
      <c r="A2590" s="559"/>
      <c r="F2590" s="492">
        <v>2</v>
      </c>
      <c r="G2590" s="489" t="s">
        <v>2359</v>
      </c>
      <c r="H2590" s="490" t="s">
        <v>3689</v>
      </c>
      <c r="I2590" s="492">
        <f t="shared" si="80"/>
        <v>30</v>
      </c>
      <c r="J2590" s="500" t="s">
        <v>2342</v>
      </c>
      <c r="K2590" s="526">
        <f t="shared" si="81"/>
        <v>60</v>
      </c>
    </row>
    <row r="2591" spans="1:11" hidden="1">
      <c r="A2591" s="559"/>
      <c r="F2591" s="492">
        <v>6</v>
      </c>
      <c r="G2591" s="489" t="s">
        <v>2342</v>
      </c>
      <c r="H2591" s="490" t="s">
        <v>3691</v>
      </c>
      <c r="I2591" s="492">
        <f t="shared" si="80"/>
        <v>45</v>
      </c>
      <c r="J2591" s="500" t="s">
        <v>2342</v>
      </c>
      <c r="K2591" s="526">
        <f t="shared" si="81"/>
        <v>270</v>
      </c>
    </row>
    <row r="2592" spans="1:11" hidden="1">
      <c r="A2592" s="559"/>
      <c r="F2592" s="492">
        <v>4</v>
      </c>
      <c r="G2592" s="489" t="s">
        <v>2342</v>
      </c>
      <c r="H2592" s="490" t="s">
        <v>3693</v>
      </c>
      <c r="I2592" s="492">
        <f t="shared" si="80"/>
        <v>30</v>
      </c>
      <c r="J2592" s="500" t="s">
        <v>2342</v>
      </c>
      <c r="K2592" s="526">
        <f t="shared" si="81"/>
        <v>120</v>
      </c>
    </row>
    <row r="2593" spans="1:11" hidden="1">
      <c r="A2593" s="559"/>
      <c r="F2593" s="492">
        <v>1</v>
      </c>
      <c r="G2593" s="489" t="s">
        <v>2342</v>
      </c>
      <c r="H2593" s="490" t="s">
        <v>3695</v>
      </c>
      <c r="I2593" s="492">
        <f t="shared" si="80"/>
        <v>95</v>
      </c>
      <c r="J2593" s="500" t="s">
        <v>2342</v>
      </c>
      <c r="K2593" s="526">
        <f t="shared" si="81"/>
        <v>95</v>
      </c>
    </row>
    <row r="2594" spans="1:11" hidden="1">
      <c r="A2594" s="559"/>
      <c r="F2594" s="492">
        <v>2</v>
      </c>
      <c r="G2594" s="489" t="s">
        <v>2342</v>
      </c>
      <c r="H2594" s="490" t="s">
        <v>3697</v>
      </c>
      <c r="I2594" s="492">
        <f t="shared" si="80"/>
        <v>8</v>
      </c>
      <c r="J2594" s="500" t="s">
        <v>2342</v>
      </c>
      <c r="K2594" s="526">
        <f t="shared" si="81"/>
        <v>16</v>
      </c>
    </row>
    <row r="2595" spans="1:11" hidden="1">
      <c r="A2595" s="559"/>
      <c r="F2595" s="492">
        <v>2</v>
      </c>
      <c r="G2595" s="489" t="s">
        <v>2342</v>
      </c>
      <c r="H2595" s="490" t="s">
        <v>2818</v>
      </c>
      <c r="I2595" s="492">
        <f t="shared" si="80"/>
        <v>25</v>
      </c>
      <c r="J2595" s="500" t="s">
        <v>2342</v>
      </c>
      <c r="K2595" s="526">
        <f t="shared" si="81"/>
        <v>50</v>
      </c>
    </row>
    <row r="2596" spans="1:11" hidden="1">
      <c r="A2596" s="559"/>
      <c r="F2596" s="2"/>
      <c r="G2596" s="485"/>
      <c r="H2596" s="2"/>
      <c r="I2596" s="2"/>
      <c r="J2596" s="463"/>
      <c r="K2596" s="526" t="s">
        <v>442</v>
      </c>
    </row>
    <row r="2597" spans="1:11" hidden="1">
      <c r="A2597" s="559"/>
      <c r="F2597" s="2"/>
      <c r="G2597" s="485"/>
      <c r="H2597" s="490" t="s">
        <v>4510</v>
      </c>
      <c r="I2597" s="2"/>
      <c r="J2597" s="463"/>
      <c r="K2597" s="526">
        <f>SUM(K2585:K2595)</f>
        <v>5717.8070000000007</v>
      </c>
    </row>
    <row r="2598" spans="1:11" hidden="1">
      <c r="A2598" s="559"/>
      <c r="F2598" s="2"/>
      <c r="G2598" s="485"/>
      <c r="H2598" s="2"/>
      <c r="I2598" s="2"/>
      <c r="J2598" s="463"/>
      <c r="K2598" s="526" t="s">
        <v>442</v>
      </c>
    </row>
    <row r="2599" spans="1:11" hidden="1">
      <c r="A2599" s="559"/>
      <c r="F2599" s="2"/>
      <c r="G2599" s="485"/>
      <c r="H2599" s="490" t="s">
        <v>2355</v>
      </c>
      <c r="I2599" s="2"/>
      <c r="J2599" s="463"/>
      <c r="K2599" s="526">
        <f>K2597/F2589</f>
        <v>2566.9167227833896</v>
      </c>
    </row>
    <row r="2600" spans="1:11" hidden="1">
      <c r="A2600" s="559"/>
      <c r="F2600" s="2"/>
      <c r="G2600" s="485"/>
      <c r="H2600" s="490"/>
      <c r="I2600" s="2"/>
      <c r="J2600" s="463"/>
      <c r="K2600" s="526" t="s">
        <v>29</v>
      </c>
    </row>
    <row r="2601" spans="1:11" hidden="1">
      <c r="A2601" s="559"/>
      <c r="F2601" s="2"/>
      <c r="G2601" s="485"/>
      <c r="H2601" s="2"/>
      <c r="I2601" s="2"/>
      <c r="J2601" s="463"/>
      <c r="K2601" s="552"/>
    </row>
    <row r="2602" spans="1:11" hidden="1">
      <c r="A2602" s="559"/>
      <c r="F2602" s="2">
        <v>55.2</v>
      </c>
      <c r="G2602" s="485"/>
      <c r="H2602" s="463" t="s">
        <v>4511</v>
      </c>
      <c r="I2602" s="2"/>
      <c r="J2602" s="463"/>
      <c r="K2602" s="552"/>
    </row>
    <row r="2603" spans="1:11" hidden="1">
      <c r="A2603" s="559"/>
      <c r="F2603" s="2"/>
      <c r="G2603" s="485"/>
      <c r="H2603" s="638" t="s">
        <v>442</v>
      </c>
      <c r="I2603" s="2"/>
      <c r="J2603" s="463"/>
      <c r="K2603" s="552"/>
    </row>
    <row r="2604" spans="1:11" hidden="1">
      <c r="A2604" s="559"/>
      <c r="F2604" s="2">
        <v>1</v>
      </c>
      <c r="G2604" s="485" t="s">
        <v>5</v>
      </c>
      <c r="H2604" s="2" t="s">
        <v>4512</v>
      </c>
      <c r="I2604" s="2">
        <v>650</v>
      </c>
      <c r="J2604" s="463" t="s">
        <v>5</v>
      </c>
      <c r="K2604" s="552">
        <f>F2604*I2604</f>
        <v>650</v>
      </c>
    </row>
    <row r="2605" spans="1:11" hidden="1">
      <c r="A2605" s="559"/>
      <c r="F2605" s="2">
        <v>0.5</v>
      </c>
      <c r="G2605" s="485" t="s">
        <v>5</v>
      </c>
      <c r="H2605" s="2" t="s">
        <v>4513</v>
      </c>
      <c r="I2605" s="2">
        <f>C15</f>
        <v>130</v>
      </c>
      <c r="J2605" s="463" t="s">
        <v>5</v>
      </c>
      <c r="K2605" s="552">
        <f>F2605*I2605</f>
        <v>65</v>
      </c>
    </row>
    <row r="2606" spans="1:11" hidden="1">
      <c r="A2606" s="559"/>
      <c r="F2606" s="2">
        <v>0.5</v>
      </c>
      <c r="G2606" s="485" t="s">
        <v>5</v>
      </c>
      <c r="H2606" s="2" t="s">
        <v>4514</v>
      </c>
      <c r="I2606" s="2">
        <f>C10</f>
        <v>150</v>
      </c>
      <c r="J2606" s="463" t="s">
        <v>5</v>
      </c>
      <c r="K2606" s="552">
        <f>F2606*I2606</f>
        <v>75</v>
      </c>
    </row>
    <row r="2607" spans="1:11" hidden="1">
      <c r="A2607" s="559"/>
      <c r="F2607" s="2">
        <v>0.5</v>
      </c>
      <c r="G2607" s="485" t="s">
        <v>5</v>
      </c>
      <c r="H2607" s="2" t="s">
        <v>4384</v>
      </c>
      <c r="I2607" s="2">
        <f>C12</f>
        <v>95</v>
      </c>
      <c r="J2607" s="463" t="s">
        <v>5</v>
      </c>
      <c r="K2607" s="552">
        <f>F2607*I2607</f>
        <v>47.5</v>
      </c>
    </row>
    <row r="2608" spans="1:11" hidden="1">
      <c r="A2608" s="559"/>
      <c r="F2608" s="2"/>
      <c r="G2608" s="485"/>
      <c r="H2608" s="2"/>
      <c r="I2608" s="2"/>
      <c r="J2608" s="463"/>
      <c r="K2608" s="552" t="s">
        <v>442</v>
      </c>
    </row>
    <row r="2609" spans="1:11" hidden="1">
      <c r="A2609" s="559"/>
      <c r="F2609" s="2"/>
      <c r="G2609" s="485"/>
      <c r="H2609" s="2"/>
      <c r="I2609" s="2"/>
      <c r="J2609" s="463"/>
      <c r="K2609" s="552">
        <f>SUM(K2604:K2608)</f>
        <v>837.5</v>
      </c>
    </row>
    <row r="2610" spans="1:11" hidden="1">
      <c r="A2610" s="559"/>
      <c r="F2610" s="2"/>
      <c r="G2610" s="485"/>
      <c r="H2610" s="2"/>
      <c r="I2610" s="2"/>
      <c r="J2610" s="463"/>
      <c r="K2610" s="552" t="s">
        <v>29</v>
      </c>
    </row>
    <row r="2611" spans="1:11" hidden="1">
      <c r="A2611" s="559"/>
      <c r="F2611" s="2">
        <v>44.2</v>
      </c>
      <c r="G2611" s="485" t="s">
        <v>575</v>
      </c>
      <c r="H2611" s="2" t="s">
        <v>4515</v>
      </c>
      <c r="I2611" s="2"/>
      <c r="J2611" s="463"/>
      <c r="K2611" s="552"/>
    </row>
    <row r="2612" spans="1:11" hidden="1">
      <c r="A2612" s="559"/>
      <c r="F2612" s="2"/>
      <c r="G2612" s="485"/>
      <c r="H2612" s="627" t="s">
        <v>4481</v>
      </c>
      <c r="I2612" s="2"/>
      <c r="J2612" s="463"/>
      <c r="K2612" s="552"/>
    </row>
    <row r="2613" spans="1:11" hidden="1">
      <c r="A2613" s="559"/>
      <c r="F2613" s="2">
        <v>0.47</v>
      </c>
      <c r="G2613" s="485" t="s">
        <v>2019</v>
      </c>
      <c r="H2613" s="2" t="s">
        <v>4101</v>
      </c>
      <c r="I2613" s="2">
        <f>K88</f>
        <v>52.933333333333337</v>
      </c>
      <c r="J2613" s="463" t="s">
        <v>19</v>
      </c>
      <c r="K2613" s="552">
        <f>I2613*F2613</f>
        <v>24.878666666666668</v>
      </c>
    </row>
    <row r="2614" spans="1:11" hidden="1">
      <c r="A2614" s="559"/>
      <c r="F2614" s="2">
        <v>4.9000000000000004</v>
      </c>
      <c r="G2614" s="485" t="s">
        <v>12</v>
      </c>
      <c r="H2614" s="2" t="s">
        <v>4516</v>
      </c>
      <c r="I2614" s="2">
        <f>K2629</f>
        <v>50.583333333333336</v>
      </c>
      <c r="J2614" s="463" t="s">
        <v>12</v>
      </c>
      <c r="K2614" s="552">
        <f>I2614*F2614</f>
        <v>247.85833333333338</v>
      </c>
    </row>
    <row r="2615" spans="1:11" hidden="1">
      <c r="A2615" s="559"/>
      <c r="F2615" s="2">
        <v>0.59</v>
      </c>
      <c r="G2615" s="485" t="s">
        <v>2019</v>
      </c>
      <c r="H2615" s="2" t="s">
        <v>4517</v>
      </c>
      <c r="I2615" s="2" t="e">
        <f>AC15</f>
        <v>#REF!</v>
      </c>
      <c r="J2615" s="463" t="s">
        <v>19</v>
      </c>
      <c r="K2615" s="552" t="e">
        <f>I2615*F2615</f>
        <v>#REF!</v>
      </c>
    </row>
    <row r="2616" spans="1:11" hidden="1">
      <c r="A2616" s="559"/>
      <c r="F2616" s="2">
        <v>0.79</v>
      </c>
      <c r="G2616" s="485" t="s">
        <v>26</v>
      </c>
      <c r="H2616" s="2" t="s">
        <v>4518</v>
      </c>
      <c r="I2616" s="2" t="e">
        <f>K630</f>
        <v>#REF!</v>
      </c>
      <c r="J2616" s="463" t="s">
        <v>26</v>
      </c>
      <c r="K2616" s="552" t="e">
        <f>I2616*F2616</f>
        <v>#REF!</v>
      </c>
    </row>
    <row r="2617" spans="1:11" hidden="1">
      <c r="A2617" s="559"/>
      <c r="F2617" s="2">
        <v>0.24</v>
      </c>
      <c r="G2617" s="485" t="s">
        <v>2019</v>
      </c>
      <c r="H2617" s="2" t="s">
        <v>52</v>
      </c>
      <c r="I2617" s="2" t="e">
        <f>AC17</f>
        <v>#REF!</v>
      </c>
      <c r="J2617" s="463" t="s">
        <v>19</v>
      </c>
      <c r="K2617" s="552" t="e">
        <f>I2617*F2617</f>
        <v>#REF!</v>
      </c>
    </row>
    <row r="2618" spans="1:11" hidden="1">
      <c r="A2618" s="559"/>
      <c r="F2618" s="2"/>
      <c r="G2618" s="485"/>
      <c r="H2618" s="2" t="s">
        <v>2390</v>
      </c>
      <c r="I2618" s="2"/>
      <c r="J2618" s="463"/>
      <c r="K2618" s="552"/>
    </row>
    <row r="2619" spans="1:11" hidden="1">
      <c r="A2619" s="559"/>
      <c r="F2619" s="2"/>
      <c r="G2619" s="485"/>
      <c r="H2619" s="2"/>
      <c r="I2619" s="2"/>
      <c r="J2619" s="463"/>
      <c r="K2619" s="849" t="s">
        <v>4519</v>
      </c>
    </row>
    <row r="2620" spans="1:11" hidden="1">
      <c r="A2620" s="559"/>
      <c r="F2620" s="2"/>
      <c r="G2620" s="485"/>
      <c r="H2620" s="2"/>
      <c r="I2620" s="2"/>
      <c r="J2620" s="463"/>
      <c r="K2620" s="552" t="e">
        <f>SUM(K2613:K2619)</f>
        <v>#REF!</v>
      </c>
    </row>
    <row r="2621" spans="1:11" hidden="1">
      <c r="A2621" s="559"/>
      <c r="F2621" s="2"/>
      <c r="G2621" s="485"/>
      <c r="H2621" s="2"/>
      <c r="I2621" s="2"/>
      <c r="J2621" s="463"/>
      <c r="K2621" s="849" t="s">
        <v>31</v>
      </c>
    </row>
    <row r="2622" spans="1:11" hidden="1">
      <c r="A2622" s="559"/>
      <c r="F2622" s="2"/>
      <c r="G2622" s="485"/>
      <c r="H2622" s="639" t="s">
        <v>4520</v>
      </c>
      <c r="I2622" s="2"/>
      <c r="J2622" s="463"/>
      <c r="K2622" s="552"/>
    </row>
    <row r="2623" spans="1:11" hidden="1">
      <c r="A2623" s="559"/>
      <c r="F2623" s="2"/>
      <c r="G2623" s="485"/>
      <c r="H2623" s="2"/>
      <c r="I2623" s="2"/>
      <c r="J2623" s="463"/>
      <c r="K2623" s="552"/>
    </row>
    <row r="2624" spans="1:11" hidden="1">
      <c r="A2624" s="559"/>
      <c r="F2624" s="2">
        <v>0.25</v>
      </c>
      <c r="G2624" s="485" t="s">
        <v>5</v>
      </c>
      <c r="H2624" s="2" t="s">
        <v>2461</v>
      </c>
      <c r="I2624" s="2">
        <f>C11</f>
        <v>135</v>
      </c>
      <c r="J2624" s="463" t="s">
        <v>556</v>
      </c>
      <c r="K2624" s="552">
        <f>I2624*F2624</f>
        <v>33.75</v>
      </c>
    </row>
    <row r="2625" spans="1:11" hidden="1">
      <c r="A2625" s="559"/>
      <c r="F2625" s="2">
        <v>1</v>
      </c>
      <c r="G2625" s="485" t="s">
        <v>5</v>
      </c>
      <c r="H2625" s="2" t="s">
        <v>4521</v>
      </c>
      <c r="I2625" s="2">
        <f>C12</f>
        <v>95</v>
      </c>
      <c r="J2625" s="463" t="s">
        <v>556</v>
      </c>
      <c r="K2625" s="552">
        <f>I2625*F2625</f>
        <v>95</v>
      </c>
    </row>
    <row r="2626" spans="1:11" hidden="1">
      <c r="A2626" s="559"/>
      <c r="F2626" s="2">
        <v>1</v>
      </c>
      <c r="G2626" s="485"/>
      <c r="H2626" s="2" t="s">
        <v>4522</v>
      </c>
      <c r="I2626" s="2">
        <v>23</v>
      </c>
      <c r="J2626" s="463" t="s">
        <v>2346</v>
      </c>
      <c r="K2626" s="552">
        <f>I2626*F2626</f>
        <v>23</v>
      </c>
    </row>
    <row r="2627" spans="1:11" hidden="1">
      <c r="A2627" s="559"/>
      <c r="F2627" s="2"/>
      <c r="G2627" s="485"/>
      <c r="H2627" s="2"/>
      <c r="I2627" s="2"/>
      <c r="J2627" s="463"/>
      <c r="K2627" s="849" t="s">
        <v>4519</v>
      </c>
    </row>
    <row r="2628" spans="1:11" hidden="1">
      <c r="A2628" s="559"/>
      <c r="F2628" s="2"/>
      <c r="G2628" s="485"/>
      <c r="H2628" s="2" t="s">
        <v>4523</v>
      </c>
      <c r="I2628" s="2"/>
      <c r="J2628" s="463"/>
      <c r="K2628" s="552">
        <f>SUM(K2624:K2627)</f>
        <v>151.75</v>
      </c>
    </row>
    <row r="2629" spans="1:11" hidden="1">
      <c r="A2629" s="559"/>
      <c r="F2629" s="2"/>
      <c r="G2629" s="485"/>
      <c r="H2629" s="2" t="s">
        <v>4524</v>
      </c>
      <c r="I2629" s="2"/>
      <c r="J2629" s="463"/>
      <c r="K2629" s="552">
        <f>K2628/3</f>
        <v>50.583333333333336</v>
      </c>
    </row>
    <row r="2630" spans="1:11" hidden="1">
      <c r="A2630" s="559"/>
      <c r="F2630" s="2"/>
      <c r="G2630" s="485"/>
      <c r="H2630" s="2"/>
      <c r="I2630" s="2"/>
      <c r="J2630" s="463"/>
      <c r="K2630" s="552" t="s">
        <v>442</v>
      </c>
    </row>
    <row r="2631" spans="1:11" ht="40.5" hidden="1" customHeight="1">
      <c r="A2631" s="559"/>
      <c r="F2631" s="2">
        <v>84</v>
      </c>
      <c r="G2631" s="485"/>
      <c r="H2631" s="506" t="s">
        <v>4525</v>
      </c>
      <c r="I2631" s="2"/>
      <c r="J2631" s="463"/>
      <c r="K2631" s="552"/>
    </row>
    <row r="2632" spans="1:11" hidden="1">
      <c r="A2632" s="559"/>
      <c r="F2632" s="2"/>
      <c r="G2632" s="485"/>
      <c r="H2632" s="633" t="s">
        <v>442</v>
      </c>
      <c r="I2632" s="2"/>
      <c r="J2632" s="463"/>
      <c r="K2632" s="552"/>
    </row>
    <row r="2633" spans="1:11" ht="31.5" hidden="1">
      <c r="A2633" s="559"/>
      <c r="F2633" s="506">
        <v>180</v>
      </c>
      <c r="G2633" s="506" t="s">
        <v>12</v>
      </c>
      <c r="H2633" s="506" t="s">
        <v>4526</v>
      </c>
      <c r="I2633" s="506">
        <v>15.6</v>
      </c>
      <c r="J2633" s="506" t="s">
        <v>12</v>
      </c>
      <c r="K2633" s="851">
        <f t="shared" ref="K2633:K2640" si="82">I2633*F2633</f>
        <v>2808</v>
      </c>
    </row>
    <row r="2634" spans="1:11" hidden="1">
      <c r="A2634" s="559"/>
      <c r="F2634" s="506">
        <v>4</v>
      </c>
      <c r="G2634" s="506" t="s">
        <v>40</v>
      </c>
      <c r="H2634" s="506" t="s">
        <v>4527</v>
      </c>
      <c r="I2634" s="506">
        <v>37</v>
      </c>
      <c r="J2634" s="506" t="s">
        <v>40</v>
      </c>
      <c r="K2634" s="851">
        <f t="shared" si="82"/>
        <v>148</v>
      </c>
    </row>
    <row r="2635" spans="1:11" hidden="1">
      <c r="A2635" s="559"/>
      <c r="F2635" s="506">
        <v>180</v>
      </c>
      <c r="G2635" s="506" t="s">
        <v>13</v>
      </c>
      <c r="H2635" s="506" t="s">
        <v>4528</v>
      </c>
      <c r="I2635" s="506">
        <v>0.25</v>
      </c>
      <c r="J2635" s="506" t="s">
        <v>556</v>
      </c>
      <c r="K2635" s="851">
        <f t="shared" si="82"/>
        <v>45</v>
      </c>
    </row>
    <row r="2636" spans="1:11" hidden="1">
      <c r="A2636" s="559"/>
      <c r="F2636" s="506">
        <v>1</v>
      </c>
      <c r="G2636" s="506" t="s">
        <v>40</v>
      </c>
      <c r="H2636" s="506" t="s">
        <v>4529</v>
      </c>
      <c r="I2636" s="506">
        <v>37</v>
      </c>
      <c r="J2636" s="506" t="s">
        <v>40</v>
      </c>
      <c r="K2636" s="851">
        <f t="shared" si="82"/>
        <v>37</v>
      </c>
    </row>
    <row r="2637" spans="1:11" hidden="1">
      <c r="A2637" s="559"/>
      <c r="F2637" s="506">
        <v>1</v>
      </c>
      <c r="G2637" s="506" t="s">
        <v>13</v>
      </c>
      <c r="H2637" s="506" t="s">
        <v>4530</v>
      </c>
      <c r="I2637" s="506">
        <v>148</v>
      </c>
      <c r="J2637" s="506" t="s">
        <v>556</v>
      </c>
      <c r="K2637" s="851">
        <f t="shared" si="82"/>
        <v>148</v>
      </c>
    </row>
    <row r="2638" spans="1:11" hidden="1">
      <c r="A2638" s="559"/>
      <c r="F2638" s="506">
        <v>2</v>
      </c>
      <c r="G2638" s="506" t="s">
        <v>13</v>
      </c>
      <c r="H2638" s="506" t="s">
        <v>4531</v>
      </c>
      <c r="I2638" s="506">
        <v>131</v>
      </c>
      <c r="J2638" s="506" t="s">
        <v>556</v>
      </c>
      <c r="K2638" s="851">
        <f t="shared" si="82"/>
        <v>262</v>
      </c>
    </row>
    <row r="2639" spans="1:11" hidden="1">
      <c r="A2639" s="559"/>
      <c r="F2639" s="506">
        <v>2</v>
      </c>
      <c r="G2639" s="506" t="s">
        <v>13</v>
      </c>
      <c r="H2639" s="506" t="s">
        <v>4532</v>
      </c>
      <c r="I2639" s="506">
        <v>117</v>
      </c>
      <c r="J2639" s="506" t="s">
        <v>556</v>
      </c>
      <c r="K2639" s="851">
        <f t="shared" si="82"/>
        <v>234</v>
      </c>
    </row>
    <row r="2640" spans="1:11" hidden="1">
      <c r="A2640" s="559"/>
      <c r="F2640" s="506">
        <v>3</v>
      </c>
      <c r="G2640" s="506" t="s">
        <v>13</v>
      </c>
      <c r="H2640" s="506" t="s">
        <v>2410</v>
      </c>
      <c r="I2640" s="506">
        <v>91</v>
      </c>
      <c r="J2640" s="506" t="s">
        <v>556</v>
      </c>
      <c r="K2640" s="851">
        <f t="shared" si="82"/>
        <v>273</v>
      </c>
    </row>
    <row r="2641" spans="1:11" ht="31.5" hidden="1">
      <c r="A2641" s="559"/>
      <c r="F2641" s="506"/>
      <c r="G2641" s="506"/>
      <c r="H2641" s="506" t="s">
        <v>4533</v>
      </c>
      <c r="I2641" s="506"/>
      <c r="J2641" s="506"/>
      <c r="K2641" s="851">
        <v>5</v>
      </c>
    </row>
    <row r="2642" spans="1:11" hidden="1">
      <c r="A2642" s="559"/>
      <c r="F2642" s="506"/>
      <c r="G2642" s="506"/>
      <c r="H2642" s="506"/>
      <c r="I2642" s="506"/>
      <c r="J2642" s="506"/>
      <c r="K2642" s="851" t="s">
        <v>442</v>
      </c>
    </row>
    <row r="2643" spans="1:11" hidden="1">
      <c r="A2643" s="559"/>
      <c r="F2643" s="506"/>
      <c r="G2643" s="506"/>
      <c r="H2643" s="506" t="s">
        <v>4534</v>
      </c>
      <c r="I2643" s="506"/>
      <c r="J2643" s="506"/>
      <c r="K2643" s="851">
        <f>SUM(K2633:K2642)</f>
        <v>3960</v>
      </c>
    </row>
    <row r="2644" spans="1:11" hidden="1">
      <c r="A2644" s="559"/>
      <c r="F2644" s="506"/>
      <c r="G2644" s="506"/>
      <c r="H2644" s="506"/>
      <c r="I2644" s="506"/>
      <c r="J2644" s="506"/>
      <c r="K2644" s="851" t="s">
        <v>442</v>
      </c>
    </row>
    <row r="2645" spans="1:11" hidden="1">
      <c r="A2645" s="559"/>
      <c r="F2645" s="506"/>
      <c r="G2645" s="506"/>
      <c r="H2645" s="506" t="s">
        <v>4535</v>
      </c>
      <c r="I2645" s="506"/>
      <c r="J2645" s="506"/>
      <c r="K2645" s="851">
        <f>K2643/90</f>
        <v>44</v>
      </c>
    </row>
    <row r="2646" spans="1:11" hidden="1">
      <c r="A2646" s="559"/>
      <c r="F2646" s="506"/>
      <c r="G2646" s="506"/>
      <c r="H2646" s="506"/>
      <c r="I2646" s="506"/>
      <c r="J2646" s="506"/>
      <c r="K2646" s="851" t="s">
        <v>29</v>
      </c>
    </row>
    <row r="2647" spans="1:11" hidden="1">
      <c r="A2647" s="559"/>
      <c r="F2647" s="488"/>
      <c r="G2647" s="485"/>
      <c r="H2647" s="490" t="s">
        <v>3872</v>
      </c>
      <c r="I2647" s="2"/>
      <c r="J2647" s="463"/>
      <c r="K2647" s="552"/>
    </row>
    <row r="2648" spans="1:11" hidden="1">
      <c r="A2648" s="559"/>
      <c r="F2648" s="2"/>
      <c r="G2648" s="485"/>
      <c r="H2648" s="491" t="s">
        <v>442</v>
      </c>
      <c r="I2648" s="491" t="s">
        <v>442</v>
      </c>
      <c r="J2648" s="500" t="s">
        <v>442</v>
      </c>
      <c r="K2648" s="552"/>
    </row>
    <row r="2649" spans="1:11" hidden="1">
      <c r="A2649" s="559"/>
      <c r="F2649" s="2"/>
      <c r="G2649" s="485"/>
      <c r="H2649" s="2"/>
      <c r="I2649" s="2"/>
      <c r="J2649" s="463"/>
      <c r="K2649" s="552"/>
    </row>
    <row r="2650" spans="1:11" hidden="1">
      <c r="A2650" s="559"/>
      <c r="F2650" s="641">
        <v>22.5</v>
      </c>
      <c r="G2650" s="485"/>
      <c r="H2650" s="490" t="s">
        <v>3873</v>
      </c>
      <c r="I2650" s="2"/>
      <c r="J2650" s="463"/>
      <c r="K2650" s="552"/>
    </row>
    <row r="2651" spans="1:11" hidden="1">
      <c r="A2651" s="559"/>
      <c r="F2651" s="2"/>
      <c r="G2651" s="485"/>
      <c r="H2651" s="490"/>
      <c r="I2651" s="2"/>
      <c r="J2651" s="463"/>
      <c r="K2651" s="552"/>
    </row>
    <row r="2652" spans="1:11" hidden="1">
      <c r="A2652" s="559"/>
      <c r="F2652" s="2"/>
      <c r="G2652" s="485"/>
      <c r="H2652" s="490" t="s">
        <v>3874</v>
      </c>
      <c r="I2652" s="2"/>
      <c r="J2652" s="463"/>
      <c r="K2652" s="552"/>
    </row>
    <row r="2653" spans="1:11" hidden="1">
      <c r="A2653" s="559"/>
      <c r="F2653" s="2"/>
      <c r="G2653" s="485"/>
      <c r="H2653" s="490" t="s">
        <v>3875</v>
      </c>
      <c r="I2653" s="2"/>
      <c r="J2653" s="463"/>
      <c r="K2653" s="552"/>
    </row>
    <row r="2654" spans="1:11" hidden="1">
      <c r="A2654" s="559"/>
      <c r="F2654" s="2"/>
      <c r="G2654" s="485"/>
      <c r="H2654" s="490" t="s">
        <v>3876</v>
      </c>
      <c r="I2654" s="2"/>
      <c r="J2654" s="463"/>
      <c r="K2654" s="552"/>
    </row>
    <row r="2655" spans="1:11" hidden="1">
      <c r="A2655" s="559"/>
      <c r="F2655" s="2"/>
      <c r="G2655" s="485"/>
      <c r="H2655" s="490" t="s">
        <v>3877</v>
      </c>
      <c r="I2655" s="2"/>
      <c r="J2655" s="463"/>
      <c r="K2655" s="552"/>
    </row>
    <row r="2656" spans="1:11" hidden="1">
      <c r="A2656" s="559"/>
      <c r="F2656" s="2"/>
      <c r="G2656" s="485"/>
      <c r="H2656" s="490" t="s">
        <v>4536</v>
      </c>
      <c r="I2656" s="2"/>
      <c r="J2656" s="500" t="s">
        <v>30</v>
      </c>
      <c r="K2656" s="835">
        <v>3.7699999999999997E-2</v>
      </c>
    </row>
    <row r="2657" spans="1:11" hidden="1">
      <c r="A2657" s="559"/>
      <c r="F2657" s="2"/>
      <c r="G2657" s="485"/>
      <c r="H2657" s="490" t="s">
        <v>4537</v>
      </c>
      <c r="I2657" s="2"/>
      <c r="J2657" s="564" t="s">
        <v>30</v>
      </c>
      <c r="K2657" s="835" t="s">
        <v>30</v>
      </c>
    </row>
    <row r="2658" spans="1:11" hidden="1">
      <c r="A2658" s="559"/>
      <c r="F2658" s="2"/>
      <c r="G2658" s="485"/>
      <c r="H2658" s="490" t="s">
        <v>3879</v>
      </c>
      <c r="I2658" s="2"/>
      <c r="J2658" s="463"/>
      <c r="K2658" s="835" t="s">
        <v>30</v>
      </c>
    </row>
    <row r="2659" spans="1:11" hidden="1">
      <c r="A2659" s="559"/>
      <c r="F2659" s="2"/>
      <c r="G2659" s="485"/>
      <c r="H2659" s="490"/>
      <c r="I2659" s="2"/>
      <c r="J2659" s="463"/>
      <c r="K2659" s="835"/>
    </row>
    <row r="2660" spans="1:11" hidden="1">
      <c r="A2660" s="559"/>
      <c r="F2660" s="2"/>
      <c r="G2660" s="485"/>
      <c r="H2660" s="490"/>
      <c r="I2660" s="2"/>
      <c r="J2660" s="463"/>
      <c r="K2660" s="835"/>
    </row>
    <row r="2661" spans="1:11" hidden="1">
      <c r="A2661" s="559"/>
      <c r="F2661" s="2"/>
      <c r="G2661" s="485"/>
      <c r="H2661" s="2"/>
      <c r="I2661" s="2"/>
      <c r="J2661" s="463"/>
      <c r="K2661" s="552"/>
    </row>
    <row r="2662" spans="1:11" hidden="1">
      <c r="A2662" s="559"/>
      <c r="F2662" s="635">
        <v>1.18E-2</v>
      </c>
      <c r="G2662" s="489" t="s">
        <v>2334</v>
      </c>
      <c r="H2662" s="490" t="s">
        <v>2809</v>
      </c>
      <c r="I2662" s="492">
        <f t="shared" ref="I2662:I2671" si="83">I2260</f>
        <v>65420</v>
      </c>
      <c r="J2662" s="500" t="s">
        <v>2334</v>
      </c>
      <c r="K2662" s="526">
        <f t="shared" ref="K2662:K2671" si="84">(F2662*I2662)</f>
        <v>771.95600000000002</v>
      </c>
    </row>
    <row r="2663" spans="1:11" hidden="1">
      <c r="A2663" s="559"/>
      <c r="F2663" s="635">
        <v>3.7699999999999997E-2</v>
      </c>
      <c r="G2663" s="489" t="s">
        <v>2334</v>
      </c>
      <c r="H2663" s="490" t="s">
        <v>2810</v>
      </c>
      <c r="I2663" s="492">
        <f t="shared" si="83"/>
        <v>57165</v>
      </c>
      <c r="J2663" s="500" t="s">
        <v>2334</v>
      </c>
      <c r="K2663" s="526">
        <f t="shared" si="84"/>
        <v>2155.1205</v>
      </c>
    </row>
    <row r="2664" spans="1:11" hidden="1">
      <c r="A2664" s="559"/>
      <c r="F2664" s="635">
        <v>1.8550000000000001E-2</v>
      </c>
      <c r="G2664" s="489" t="s">
        <v>2334</v>
      </c>
      <c r="H2664" s="490" t="s">
        <v>3880</v>
      </c>
      <c r="I2664" s="492">
        <f t="shared" si="83"/>
        <v>3035</v>
      </c>
      <c r="J2664" s="500" t="s">
        <v>2334</v>
      </c>
      <c r="K2664" s="526">
        <f t="shared" si="84"/>
        <v>56.299250000000001</v>
      </c>
    </row>
    <row r="2665" spans="1:11" hidden="1">
      <c r="A2665" s="559"/>
      <c r="F2665" s="635">
        <v>1.36</v>
      </c>
      <c r="G2665" s="489" t="s">
        <v>2788</v>
      </c>
      <c r="H2665" s="490" t="s">
        <v>3881</v>
      </c>
      <c r="I2665" s="492">
        <f t="shared" si="83"/>
        <v>385.89</v>
      </c>
      <c r="J2665" s="500" t="s">
        <v>2788</v>
      </c>
      <c r="K2665" s="526">
        <f t="shared" si="84"/>
        <v>524.81040000000007</v>
      </c>
    </row>
    <row r="2666" spans="1:11" hidden="1">
      <c r="A2666" s="559"/>
      <c r="F2666" s="635">
        <v>2.0499999999999998</v>
      </c>
      <c r="G2666" s="489" t="s">
        <v>2788</v>
      </c>
      <c r="H2666" s="490" t="s">
        <v>3882</v>
      </c>
      <c r="I2666" s="492">
        <f t="shared" si="83"/>
        <v>287</v>
      </c>
      <c r="J2666" s="500" t="s">
        <v>2788</v>
      </c>
      <c r="K2666" s="526">
        <f t="shared" si="84"/>
        <v>588.34999999999991</v>
      </c>
    </row>
    <row r="2667" spans="1:11" hidden="1">
      <c r="A2667" s="559"/>
      <c r="F2667" s="492">
        <v>2</v>
      </c>
      <c r="G2667" s="489" t="s">
        <v>2342</v>
      </c>
      <c r="H2667" s="490" t="s">
        <v>4356</v>
      </c>
      <c r="I2667" s="492">
        <f t="shared" si="83"/>
        <v>25</v>
      </c>
      <c r="J2667" s="500" t="s">
        <v>2342</v>
      </c>
      <c r="K2667" s="526">
        <f t="shared" si="84"/>
        <v>50</v>
      </c>
    </row>
    <row r="2668" spans="1:11" hidden="1">
      <c r="A2668" s="559"/>
      <c r="F2668" s="492">
        <v>6</v>
      </c>
      <c r="G2668" s="489" t="s">
        <v>2342</v>
      </c>
      <c r="H2668" s="490" t="s">
        <v>3849</v>
      </c>
      <c r="I2668" s="492">
        <f t="shared" si="83"/>
        <v>25</v>
      </c>
      <c r="J2668" s="500" t="s">
        <v>2342</v>
      </c>
      <c r="K2668" s="526">
        <f t="shared" si="84"/>
        <v>150</v>
      </c>
    </row>
    <row r="2669" spans="1:11" hidden="1">
      <c r="A2669" s="559"/>
      <c r="F2669" s="492">
        <v>2</v>
      </c>
      <c r="G2669" s="489" t="s">
        <v>2342</v>
      </c>
      <c r="H2669" s="490" t="s">
        <v>4538</v>
      </c>
      <c r="I2669" s="492">
        <f t="shared" si="83"/>
        <v>35</v>
      </c>
      <c r="J2669" s="500" t="s">
        <v>2342</v>
      </c>
      <c r="K2669" s="526">
        <f t="shared" si="84"/>
        <v>70</v>
      </c>
    </row>
    <row r="2670" spans="1:11" hidden="1">
      <c r="A2670" s="559"/>
      <c r="F2670" s="492">
        <v>1</v>
      </c>
      <c r="G2670" s="489" t="s">
        <v>2342</v>
      </c>
      <c r="H2670" s="490" t="s">
        <v>3885</v>
      </c>
      <c r="I2670" s="492">
        <f t="shared" si="83"/>
        <v>60</v>
      </c>
      <c r="J2670" s="500" t="s">
        <v>2342</v>
      </c>
      <c r="K2670" s="526">
        <f t="shared" si="84"/>
        <v>60</v>
      </c>
    </row>
    <row r="2671" spans="1:11" hidden="1">
      <c r="A2671" s="559"/>
      <c r="F2671" s="492">
        <v>2.52</v>
      </c>
      <c r="G2671" s="489" t="s">
        <v>2788</v>
      </c>
      <c r="H2671" s="490" t="s">
        <v>3886</v>
      </c>
      <c r="I2671" s="492">
        <f t="shared" si="83"/>
        <v>51.25</v>
      </c>
      <c r="J2671" s="500" t="s">
        <v>2788</v>
      </c>
      <c r="K2671" s="526">
        <f t="shared" si="84"/>
        <v>129.15</v>
      </c>
    </row>
    <row r="2672" spans="1:11" hidden="1">
      <c r="A2672" s="559"/>
      <c r="F2672" s="2"/>
      <c r="G2672" s="485"/>
      <c r="H2672" s="490" t="s">
        <v>3887</v>
      </c>
      <c r="I2672" s="500" t="s">
        <v>2346</v>
      </c>
      <c r="J2672" s="463"/>
      <c r="K2672" s="526">
        <v>0.28000000000000003</v>
      </c>
    </row>
    <row r="2673" spans="1:11" hidden="1">
      <c r="A2673" s="559"/>
      <c r="F2673" s="2"/>
      <c r="G2673" s="485"/>
      <c r="H2673" s="2"/>
      <c r="I2673" s="2"/>
      <c r="J2673" s="463"/>
      <c r="K2673" s="526" t="s">
        <v>442</v>
      </c>
    </row>
    <row r="2674" spans="1:11" hidden="1">
      <c r="A2674" s="559"/>
      <c r="F2674" s="2"/>
      <c r="G2674" s="485"/>
      <c r="H2674" s="500" t="s">
        <v>3888</v>
      </c>
      <c r="I2674" s="2"/>
      <c r="J2674" s="463"/>
      <c r="K2674" s="526">
        <f>SUM(K2662:K2672)</f>
        <v>4555.9661499999993</v>
      </c>
    </row>
    <row r="2675" spans="1:11" hidden="1">
      <c r="A2675" s="559"/>
      <c r="F2675" s="2"/>
      <c r="G2675" s="489" t="s">
        <v>30</v>
      </c>
      <c r="H2675" s="2"/>
      <c r="I2675" s="2"/>
      <c r="J2675" s="463"/>
      <c r="K2675" s="526" t="s">
        <v>442</v>
      </c>
    </row>
    <row r="2676" spans="1:11" hidden="1">
      <c r="A2676" s="559"/>
      <c r="F2676" s="2"/>
      <c r="G2676" s="485"/>
      <c r="H2676" s="500" t="s">
        <v>2355</v>
      </c>
      <c r="I2676" s="2"/>
      <c r="J2676" s="463"/>
      <c r="K2676" s="526">
        <f>K2674/F2671</f>
        <v>1807.9230753968252</v>
      </c>
    </row>
    <row r="2677" spans="1:11" hidden="1">
      <c r="A2677" s="559"/>
      <c r="F2677" s="2"/>
      <c r="G2677" s="485"/>
      <c r="H2677" s="2"/>
      <c r="I2677" s="2"/>
      <c r="J2677" s="463"/>
      <c r="K2677" s="526" t="s">
        <v>29</v>
      </c>
    </row>
    <row r="2678" spans="1:11" hidden="1">
      <c r="A2678" s="559"/>
      <c r="F2678" s="506">
        <v>44.4</v>
      </c>
      <c r="G2678" s="506"/>
      <c r="H2678" s="506" t="s">
        <v>4539</v>
      </c>
      <c r="I2678" s="506"/>
      <c r="J2678" s="506"/>
      <c r="K2678" s="851"/>
    </row>
    <row r="2679" spans="1:11" hidden="1">
      <c r="A2679" s="559"/>
      <c r="F2679" s="506"/>
      <c r="G2679" s="506"/>
      <c r="H2679" s="633" t="s">
        <v>442</v>
      </c>
      <c r="I2679" s="506"/>
      <c r="J2679" s="506"/>
      <c r="K2679" s="851"/>
    </row>
    <row r="2680" spans="1:11" hidden="1">
      <c r="A2680" s="559"/>
      <c r="F2680" s="506">
        <v>4.9000000000000004</v>
      </c>
      <c r="G2680" s="506" t="s">
        <v>12</v>
      </c>
      <c r="H2680" s="506" t="s">
        <v>4540</v>
      </c>
      <c r="I2680" s="506">
        <v>49.01</v>
      </c>
      <c r="J2680" s="506" t="s">
        <v>12</v>
      </c>
      <c r="K2680" s="851">
        <f>F2680*I2680</f>
        <v>240.149</v>
      </c>
    </row>
    <row r="2681" spans="1:11" hidden="1">
      <c r="A2681" s="559"/>
      <c r="F2681" s="506">
        <v>0.12</v>
      </c>
      <c r="G2681" s="506" t="s">
        <v>2334</v>
      </c>
      <c r="H2681" s="506" t="s">
        <v>4541</v>
      </c>
      <c r="I2681" s="506" t="e">
        <f>AC15</f>
        <v>#REF!</v>
      </c>
      <c r="J2681" s="506" t="s">
        <v>2334</v>
      </c>
      <c r="K2681" s="851" t="e">
        <f>F2681*I2681</f>
        <v>#REF!</v>
      </c>
    </row>
    <row r="2682" spans="1:11" hidden="1">
      <c r="A2682" s="559"/>
      <c r="F2682" s="642">
        <v>0.18</v>
      </c>
      <c r="G2682" s="506" t="s">
        <v>2334</v>
      </c>
      <c r="H2682" s="506" t="s">
        <v>4542</v>
      </c>
      <c r="I2682" s="506" t="e">
        <f>AC14</f>
        <v>#REF!</v>
      </c>
      <c r="J2682" s="506" t="s">
        <v>2334</v>
      </c>
      <c r="K2682" s="851" t="e">
        <f>F2682*I2682</f>
        <v>#REF!</v>
      </c>
    </row>
    <row r="2683" spans="1:11" hidden="1">
      <c r="A2683" s="559"/>
      <c r="F2683" s="506">
        <v>0.05</v>
      </c>
      <c r="G2683" s="506" t="s">
        <v>2334</v>
      </c>
      <c r="H2683" s="506" t="s">
        <v>4543</v>
      </c>
      <c r="I2683" s="506" t="e">
        <f>AC16</f>
        <v>#REF!</v>
      </c>
      <c r="J2683" s="506" t="s">
        <v>2334</v>
      </c>
      <c r="K2683" s="851" t="e">
        <f>F2683*I2683</f>
        <v>#REF!</v>
      </c>
    </row>
    <row r="2684" spans="1:11" hidden="1">
      <c r="A2684" s="559"/>
      <c r="F2684" s="506"/>
      <c r="G2684" s="506"/>
      <c r="H2684" s="506"/>
      <c r="I2684" s="506"/>
      <c r="J2684" s="506"/>
      <c r="K2684" s="851" t="s">
        <v>442</v>
      </c>
    </row>
    <row r="2685" spans="1:11" hidden="1">
      <c r="A2685" s="559"/>
      <c r="F2685" s="506"/>
      <c r="G2685" s="506"/>
      <c r="H2685" s="506" t="s">
        <v>4544</v>
      </c>
      <c r="I2685" s="506"/>
      <c r="J2685" s="506"/>
      <c r="K2685" s="851" t="e">
        <f>SUM(K2680:K2684)</f>
        <v>#REF!</v>
      </c>
    </row>
    <row r="2686" spans="1:11" hidden="1">
      <c r="A2686" s="559"/>
      <c r="F2686" s="506"/>
      <c r="G2686" s="506"/>
      <c r="H2686" s="506"/>
      <c r="I2686" s="506"/>
      <c r="J2686" s="506"/>
      <c r="K2686" s="851" t="s">
        <v>442</v>
      </c>
    </row>
    <row r="2687" spans="1:11" hidden="1">
      <c r="A2687" s="559"/>
      <c r="F2687" s="506"/>
      <c r="G2687" s="506"/>
      <c r="H2687" s="506" t="s">
        <v>4545</v>
      </c>
      <c r="I2687" s="506"/>
      <c r="J2687" s="506"/>
      <c r="K2687" s="851" t="e">
        <f>K2685/F2680</f>
        <v>#REF!</v>
      </c>
    </row>
    <row r="2688" spans="1:11" hidden="1">
      <c r="A2688" s="559"/>
      <c r="F2688" s="506"/>
      <c r="G2688" s="506"/>
      <c r="H2688" s="506"/>
      <c r="I2688" s="506"/>
      <c r="J2688" s="506"/>
      <c r="K2688" s="851" t="s">
        <v>29</v>
      </c>
    </row>
    <row r="2689" spans="1:11" ht="78.75" hidden="1">
      <c r="A2689" s="559"/>
      <c r="F2689" s="506">
        <v>44.5</v>
      </c>
      <c r="G2689" s="506"/>
      <c r="H2689" s="506" t="s">
        <v>4546</v>
      </c>
      <c r="I2689" s="506"/>
      <c r="J2689" s="506"/>
      <c r="K2689" s="851"/>
    </row>
    <row r="2690" spans="1:11" hidden="1">
      <c r="A2690" s="559"/>
      <c r="F2690" s="506"/>
      <c r="G2690" s="506"/>
      <c r="H2690" s="633" t="s">
        <v>442</v>
      </c>
      <c r="I2690" s="506"/>
      <c r="J2690" s="506"/>
      <c r="K2690" s="851"/>
    </row>
    <row r="2691" spans="1:11" hidden="1">
      <c r="A2691" s="559"/>
      <c r="F2691" s="506">
        <v>0.38</v>
      </c>
      <c r="G2691" s="506" t="s">
        <v>19</v>
      </c>
      <c r="H2691" s="506" t="s">
        <v>4101</v>
      </c>
      <c r="I2691" s="506">
        <f>I2613</f>
        <v>52.933333333333337</v>
      </c>
      <c r="J2691" s="506" t="s">
        <v>2334</v>
      </c>
      <c r="K2691" s="851">
        <f>I2691*F2691</f>
        <v>20.114666666666668</v>
      </c>
    </row>
    <row r="2692" spans="1:11" hidden="1">
      <c r="A2692" s="559"/>
      <c r="F2692" s="506">
        <v>0.38</v>
      </c>
      <c r="G2692" s="506" t="s">
        <v>19</v>
      </c>
      <c r="H2692" s="506" t="s">
        <v>4547</v>
      </c>
      <c r="I2692" s="506" t="e">
        <f>AC15</f>
        <v>#REF!</v>
      </c>
      <c r="J2692" s="506" t="s">
        <v>2334</v>
      </c>
      <c r="K2692" s="851" t="e">
        <f>I2692*F2692</f>
        <v>#REF!</v>
      </c>
    </row>
    <row r="2693" spans="1:11" hidden="1">
      <c r="A2693" s="559"/>
      <c r="F2693" s="506">
        <v>0.12</v>
      </c>
      <c r="G2693" s="485" t="s">
        <v>19</v>
      </c>
      <c r="H2693" s="506" t="s">
        <v>4548</v>
      </c>
      <c r="I2693" s="2" t="e">
        <f>K614</f>
        <v>#REF!</v>
      </c>
      <c r="J2693" s="506" t="s">
        <v>2334</v>
      </c>
      <c r="K2693" s="851" t="e">
        <f>I2693*F2693</f>
        <v>#REF!</v>
      </c>
    </row>
    <row r="2694" spans="1:11" hidden="1">
      <c r="A2694" s="559"/>
      <c r="F2694" s="506">
        <v>9.6</v>
      </c>
      <c r="G2694" s="506" t="s">
        <v>40</v>
      </c>
      <c r="H2694" s="506" t="s">
        <v>4549</v>
      </c>
      <c r="I2694" s="2">
        <f>AC32</f>
        <v>28000</v>
      </c>
      <c r="J2694" s="506" t="s">
        <v>22</v>
      </c>
      <c r="K2694" s="851">
        <f>I2694*F2694/1000</f>
        <v>268.8</v>
      </c>
    </row>
    <row r="2695" spans="1:11" hidden="1">
      <c r="A2695" s="559"/>
      <c r="F2695" s="2"/>
      <c r="G2695" s="485"/>
      <c r="H2695" s="2"/>
      <c r="I2695" s="2"/>
      <c r="J2695" s="463"/>
      <c r="K2695" s="552" t="s">
        <v>442</v>
      </c>
    </row>
    <row r="2696" spans="1:11" hidden="1">
      <c r="A2696" s="559"/>
      <c r="F2696" s="2"/>
      <c r="G2696" s="485"/>
      <c r="H2696" s="506" t="s">
        <v>4550</v>
      </c>
      <c r="I2696" s="2"/>
      <c r="J2696" s="463"/>
      <c r="K2696" s="552" t="e">
        <f>SUM(K2691:K2695)</f>
        <v>#REF!</v>
      </c>
    </row>
    <row r="2697" spans="1:11" hidden="1">
      <c r="A2697" s="559"/>
      <c r="F2697" s="2"/>
      <c r="G2697" s="485"/>
      <c r="H2697" s="2"/>
      <c r="I2697" s="2"/>
      <c r="J2697" s="463"/>
      <c r="K2697" s="552" t="s">
        <v>29</v>
      </c>
    </row>
    <row r="2698" spans="1:11" ht="78.75" hidden="1">
      <c r="A2698" s="559"/>
      <c r="F2698" s="643">
        <v>71.3</v>
      </c>
      <c r="G2698" s="644"/>
      <c r="H2698" s="645" t="s">
        <v>4551</v>
      </c>
      <c r="I2698" s="502"/>
      <c r="J2698" s="646"/>
      <c r="K2698" s="852"/>
    </row>
    <row r="2699" spans="1:11" hidden="1">
      <c r="A2699" s="559"/>
      <c r="F2699" s="502"/>
      <c r="G2699" s="644"/>
      <c r="H2699" s="647" t="s">
        <v>4552</v>
      </c>
      <c r="I2699" s="502"/>
      <c r="J2699" s="646"/>
      <c r="K2699" s="852"/>
    </row>
    <row r="2700" spans="1:11" hidden="1">
      <c r="A2700" s="559"/>
      <c r="F2700" s="502">
        <v>1</v>
      </c>
      <c r="G2700" s="644" t="s">
        <v>5</v>
      </c>
      <c r="H2700" s="502" t="s">
        <v>4553</v>
      </c>
      <c r="I2700" s="502"/>
      <c r="J2700" s="646">
        <v>1880</v>
      </c>
      <c r="K2700" s="852">
        <f>J2700*F2700</f>
        <v>1880</v>
      </c>
    </row>
    <row r="2701" spans="1:11" hidden="1">
      <c r="A2701" s="559"/>
      <c r="F2701" s="502">
        <v>1</v>
      </c>
      <c r="G2701" s="644" t="s">
        <v>5</v>
      </c>
      <c r="H2701" s="502" t="s">
        <v>4554</v>
      </c>
      <c r="I2701" s="502"/>
      <c r="J2701" s="646">
        <v>480</v>
      </c>
      <c r="K2701" s="852">
        <f>J2701*F2701</f>
        <v>480</v>
      </c>
    </row>
    <row r="2702" spans="1:11" hidden="1">
      <c r="A2702" s="559"/>
      <c r="F2702" s="502"/>
      <c r="G2702" s="644"/>
      <c r="H2702" s="502" t="s">
        <v>4555</v>
      </c>
      <c r="I2702" s="502"/>
      <c r="J2702" s="646"/>
      <c r="K2702" s="852">
        <v>35.67</v>
      </c>
    </row>
    <row r="2703" spans="1:11" hidden="1">
      <c r="A2703" s="559"/>
      <c r="F2703" s="502"/>
      <c r="G2703" s="644"/>
      <c r="H2703" s="502" t="s">
        <v>4556</v>
      </c>
      <c r="I2703" s="502"/>
      <c r="J2703" s="646"/>
      <c r="K2703" s="852">
        <f>K2711</f>
        <v>104.33333333333333</v>
      </c>
    </row>
    <row r="2704" spans="1:11" hidden="1">
      <c r="A2704" s="559"/>
      <c r="F2704" s="502"/>
      <c r="G2704" s="644"/>
      <c r="H2704" s="502"/>
      <c r="I2704" s="502"/>
      <c r="J2704" s="646"/>
      <c r="K2704" s="853" t="s">
        <v>4519</v>
      </c>
    </row>
    <row r="2705" spans="1:11" hidden="1">
      <c r="A2705" s="559"/>
      <c r="F2705" s="502"/>
      <c r="G2705" s="644"/>
      <c r="H2705" s="502"/>
      <c r="I2705" s="502"/>
      <c r="J2705" s="646"/>
      <c r="K2705" s="852">
        <f>SUM(K2700:K2704)</f>
        <v>2500.0033333333336</v>
      </c>
    </row>
    <row r="2706" spans="1:11" hidden="1">
      <c r="A2706" s="559"/>
      <c r="F2706" s="502"/>
      <c r="G2706" s="644"/>
      <c r="H2706" s="502" t="s">
        <v>2389</v>
      </c>
      <c r="I2706" s="502"/>
      <c r="J2706" s="646"/>
      <c r="K2706" s="853" t="s">
        <v>31</v>
      </c>
    </row>
    <row r="2707" spans="1:11" hidden="1">
      <c r="A2707" s="559"/>
      <c r="F2707" s="502">
        <v>1</v>
      </c>
      <c r="G2707" s="644" t="s">
        <v>5</v>
      </c>
      <c r="H2707" s="502" t="s">
        <v>4557</v>
      </c>
      <c r="I2707" s="502">
        <v>131</v>
      </c>
      <c r="J2707" s="646" t="s">
        <v>556</v>
      </c>
      <c r="K2707" s="852">
        <f>I2707*F2707</f>
        <v>131</v>
      </c>
    </row>
    <row r="2708" spans="1:11" hidden="1">
      <c r="A2708" s="559"/>
      <c r="F2708" s="502">
        <v>2</v>
      </c>
      <c r="G2708" s="644" t="s">
        <v>13</v>
      </c>
      <c r="H2708" s="502" t="s">
        <v>4558</v>
      </c>
      <c r="I2708" s="502">
        <v>91</v>
      </c>
      <c r="J2708" s="646" t="s">
        <v>556</v>
      </c>
      <c r="K2708" s="852">
        <f>I2708*F2708</f>
        <v>182</v>
      </c>
    </row>
    <row r="2709" spans="1:11" hidden="1">
      <c r="A2709" s="559"/>
      <c r="F2709" s="502"/>
      <c r="G2709" s="644"/>
      <c r="H2709" s="502"/>
      <c r="I2709" s="502"/>
      <c r="J2709" s="646"/>
      <c r="K2709" s="853" t="s">
        <v>4559</v>
      </c>
    </row>
    <row r="2710" spans="1:11" hidden="1">
      <c r="A2710" s="559"/>
      <c r="F2710" s="502"/>
      <c r="G2710" s="644"/>
      <c r="H2710" s="644" t="s">
        <v>4560</v>
      </c>
      <c r="I2710" s="502"/>
      <c r="J2710" s="646"/>
      <c r="K2710" s="852">
        <f>SUM(K2707:K2709)</f>
        <v>313</v>
      </c>
    </row>
    <row r="2711" spans="1:11" hidden="1">
      <c r="A2711" s="559"/>
      <c r="F2711" s="502"/>
      <c r="G2711" s="644"/>
      <c r="H2711" s="644" t="s">
        <v>4561</v>
      </c>
      <c r="I2711" s="502"/>
      <c r="J2711" s="646"/>
      <c r="K2711" s="852">
        <f>K2710/3</f>
        <v>104.33333333333333</v>
      </c>
    </row>
    <row r="2712" spans="1:11" hidden="1">
      <c r="A2712" s="559"/>
      <c r="F2712" s="2"/>
      <c r="G2712" s="485"/>
      <c r="H2712" s="2"/>
      <c r="I2712" s="2"/>
      <c r="J2712" s="463"/>
      <c r="K2712" s="552"/>
    </row>
    <row r="2713" spans="1:11" ht="15.75" hidden="1" customHeight="1">
      <c r="A2713" s="559"/>
      <c r="F2713" s="649">
        <v>79.400000000000006</v>
      </c>
      <c r="G2713" s="650"/>
      <c r="H2713" s="1622" t="s">
        <v>5293</v>
      </c>
      <c r="I2713" s="1622"/>
      <c r="J2713" s="651"/>
      <c r="K2713" s="854"/>
    </row>
    <row r="2714" spans="1:11" hidden="1">
      <c r="A2714" s="559"/>
      <c r="F2714" s="653"/>
      <c r="G2714" s="650"/>
      <c r="H2714" s="654"/>
      <c r="I2714" s="654"/>
      <c r="J2714" s="651"/>
      <c r="K2714" s="854"/>
    </row>
    <row r="2715" spans="1:11" hidden="1">
      <c r="A2715" s="559"/>
      <c r="F2715" s="652">
        <v>3</v>
      </c>
      <c r="G2715" s="650" t="s">
        <v>13</v>
      </c>
      <c r="H2715" s="652" t="s">
        <v>4563</v>
      </c>
      <c r="I2715" s="501">
        <v>190</v>
      </c>
      <c r="J2715" s="651" t="s">
        <v>556</v>
      </c>
      <c r="K2715" s="854">
        <f>I2715*F2715</f>
        <v>570</v>
      </c>
    </row>
    <row r="2716" spans="1:11" hidden="1">
      <c r="A2716" s="559"/>
      <c r="F2716" s="652">
        <v>1</v>
      </c>
      <c r="G2716" s="650" t="s">
        <v>5</v>
      </c>
      <c r="H2716" s="652" t="s">
        <v>4564</v>
      </c>
      <c r="I2716" s="652">
        <v>223.63</v>
      </c>
      <c r="J2716" s="651" t="s">
        <v>556</v>
      </c>
      <c r="K2716" s="854">
        <f>I2716*F2716</f>
        <v>223.63</v>
      </c>
    </row>
    <row r="2717" spans="1:11" hidden="1">
      <c r="A2717" s="559"/>
      <c r="F2717" s="652"/>
      <c r="G2717" s="650"/>
      <c r="H2717" s="652" t="s">
        <v>2389</v>
      </c>
      <c r="I2717" s="652"/>
      <c r="J2717" s="651"/>
      <c r="K2717" s="854">
        <f>K2728</f>
        <v>76.5</v>
      </c>
    </row>
    <row r="2718" spans="1:11" hidden="1">
      <c r="A2718" s="559"/>
      <c r="F2718" s="652"/>
      <c r="G2718" s="650"/>
      <c r="H2718" s="652" t="s">
        <v>4565</v>
      </c>
      <c r="I2718" s="652"/>
      <c r="J2718" s="651"/>
      <c r="K2718" s="854">
        <v>4.87</v>
      </c>
    </row>
    <row r="2719" spans="1:11" hidden="1">
      <c r="A2719" s="559"/>
      <c r="F2719" s="652"/>
      <c r="G2719" s="650"/>
      <c r="H2719" s="652"/>
      <c r="I2719" s="652"/>
      <c r="J2719" s="651"/>
      <c r="K2719" s="855" t="s">
        <v>4445</v>
      </c>
    </row>
    <row r="2720" spans="1:11" hidden="1">
      <c r="A2720" s="559"/>
      <c r="F2720" s="652"/>
      <c r="G2720" s="650"/>
      <c r="H2720" s="652"/>
      <c r="I2720" s="652"/>
      <c r="J2720" s="651"/>
      <c r="K2720" s="854">
        <f>SUM(K2715:K2719)</f>
        <v>875</v>
      </c>
    </row>
    <row r="2721" spans="1:11" hidden="1">
      <c r="A2721" s="559"/>
      <c r="F2721" s="652"/>
      <c r="G2721" s="650"/>
      <c r="H2721" s="652"/>
      <c r="I2721" s="652"/>
      <c r="J2721" s="651"/>
      <c r="K2721" s="855" t="s">
        <v>4486</v>
      </c>
    </row>
    <row r="2722" spans="1:11" hidden="1">
      <c r="A2722" s="559"/>
      <c r="F2722" s="652"/>
      <c r="G2722" s="650"/>
      <c r="H2722" s="652" t="s">
        <v>2389</v>
      </c>
      <c r="I2722" s="652"/>
      <c r="J2722" s="651"/>
      <c r="K2722" s="854"/>
    </row>
    <row r="2723" spans="1:11" hidden="1">
      <c r="A2723" s="559"/>
      <c r="F2723" s="652">
        <v>1</v>
      </c>
      <c r="G2723" s="650" t="s">
        <v>5</v>
      </c>
      <c r="H2723" s="652" t="s">
        <v>4566</v>
      </c>
      <c r="I2723" s="652">
        <v>131</v>
      </c>
      <c r="J2723" s="651" t="s">
        <v>556</v>
      </c>
      <c r="K2723" s="854">
        <f>I2723*F2723</f>
        <v>131</v>
      </c>
    </row>
    <row r="2724" spans="1:11" hidden="1">
      <c r="A2724" s="559"/>
      <c r="F2724" s="652">
        <v>1</v>
      </c>
      <c r="G2724" s="650" t="s">
        <v>5</v>
      </c>
      <c r="H2724" s="652" t="s">
        <v>4567</v>
      </c>
      <c r="I2724" s="652">
        <v>117</v>
      </c>
      <c r="J2724" s="651" t="s">
        <v>556</v>
      </c>
      <c r="K2724" s="854">
        <f>I2724*F2724</f>
        <v>117</v>
      </c>
    </row>
    <row r="2725" spans="1:11" hidden="1">
      <c r="A2725" s="559"/>
      <c r="F2725" s="652">
        <v>4</v>
      </c>
      <c r="G2725" s="650" t="s">
        <v>13</v>
      </c>
      <c r="H2725" s="652" t="s">
        <v>4558</v>
      </c>
      <c r="I2725" s="652">
        <v>91</v>
      </c>
      <c r="J2725" s="651" t="s">
        <v>556</v>
      </c>
      <c r="K2725" s="854">
        <f>I2725*F2725</f>
        <v>364</v>
      </c>
    </row>
    <row r="2726" spans="1:11" hidden="1">
      <c r="A2726" s="559"/>
      <c r="F2726" s="652"/>
      <c r="G2726" s="650"/>
      <c r="H2726" s="652"/>
      <c r="I2726" s="652"/>
      <c r="J2726" s="651"/>
      <c r="K2726" s="855" t="s">
        <v>4568</v>
      </c>
    </row>
    <row r="2727" spans="1:11" hidden="1">
      <c r="A2727" s="559"/>
      <c r="F2727" s="652"/>
      <c r="G2727" s="650"/>
      <c r="H2727" s="652" t="s">
        <v>4569</v>
      </c>
      <c r="I2727" s="652"/>
      <c r="J2727" s="651"/>
      <c r="K2727" s="854">
        <f>SUM(K2723:K2726)</f>
        <v>612</v>
      </c>
    </row>
    <row r="2728" spans="1:11" hidden="1">
      <c r="A2728" s="559"/>
      <c r="F2728" s="652"/>
      <c r="G2728" s="650"/>
      <c r="H2728" s="652" t="s">
        <v>4570</v>
      </c>
      <c r="I2728" s="652"/>
      <c r="J2728" s="651"/>
      <c r="K2728" s="854">
        <f>K2727/8</f>
        <v>76.5</v>
      </c>
    </row>
    <row r="2729" spans="1:11" hidden="1">
      <c r="A2729" s="559"/>
      <c r="F2729" s="2"/>
      <c r="G2729" s="485"/>
      <c r="H2729" s="2"/>
      <c r="I2729" s="2"/>
      <c r="J2729" s="463"/>
      <c r="K2729" s="552"/>
    </row>
    <row r="2730" spans="1:11" ht="31.5" hidden="1">
      <c r="A2730" s="559"/>
      <c r="F2730" s="656">
        <v>170</v>
      </c>
      <c r="G2730" s="485"/>
      <c r="H2730" s="1" t="s">
        <v>4571</v>
      </c>
      <c r="I2730" s="2"/>
      <c r="J2730" s="463"/>
      <c r="K2730" s="552"/>
    </row>
    <row r="2731" spans="1:11" hidden="1">
      <c r="A2731" s="559"/>
      <c r="F2731" s="2"/>
      <c r="G2731" s="485"/>
      <c r="H2731" s="633" t="s">
        <v>442</v>
      </c>
      <c r="I2731" s="2"/>
      <c r="J2731" s="463"/>
      <c r="K2731" s="552"/>
    </row>
    <row r="2732" spans="1:11" hidden="1">
      <c r="A2732" s="559"/>
      <c r="F2732" s="2">
        <v>1</v>
      </c>
      <c r="G2732" s="485" t="s">
        <v>5</v>
      </c>
      <c r="H2732" s="2" t="s">
        <v>4572</v>
      </c>
      <c r="I2732" s="2">
        <v>2400</v>
      </c>
      <c r="J2732" s="463" t="s">
        <v>556</v>
      </c>
      <c r="K2732" s="552">
        <f>I2732*F2732</f>
        <v>2400</v>
      </c>
    </row>
    <row r="2733" spans="1:11" hidden="1">
      <c r="A2733" s="559"/>
      <c r="F2733" s="2">
        <v>1</v>
      </c>
      <c r="G2733" s="485" t="s">
        <v>5</v>
      </c>
      <c r="H2733" s="2" t="s">
        <v>4573</v>
      </c>
      <c r="I2733" s="2">
        <v>485</v>
      </c>
      <c r="J2733" s="463" t="s">
        <v>556</v>
      </c>
      <c r="K2733" s="552">
        <f>I2733*F2733</f>
        <v>485</v>
      </c>
    </row>
    <row r="2734" spans="1:11" hidden="1">
      <c r="A2734" s="559"/>
      <c r="F2734" s="2">
        <v>4</v>
      </c>
      <c r="G2734" s="485" t="s">
        <v>13</v>
      </c>
      <c r="H2734" s="2" t="s">
        <v>4574</v>
      </c>
      <c r="I2734" s="2">
        <v>525</v>
      </c>
      <c r="J2734" s="463" t="s">
        <v>556</v>
      </c>
      <c r="K2734" s="552">
        <f>I2734*F2734</f>
        <v>2100</v>
      </c>
    </row>
    <row r="2735" spans="1:11" hidden="1">
      <c r="A2735" s="559"/>
      <c r="F2735" s="2">
        <v>4.5</v>
      </c>
      <c r="G2735" s="485" t="s">
        <v>40</v>
      </c>
      <c r="H2735" s="2" t="s">
        <v>4575</v>
      </c>
      <c r="I2735" s="2">
        <v>27</v>
      </c>
      <c r="J2735" s="463" t="s">
        <v>40</v>
      </c>
      <c r="K2735" s="552">
        <f>I2735*F2735</f>
        <v>121.5</v>
      </c>
    </row>
    <row r="2736" spans="1:11" hidden="1">
      <c r="A2736" s="559"/>
      <c r="F2736" s="2"/>
      <c r="G2736" s="485"/>
      <c r="H2736" s="2" t="s">
        <v>4576</v>
      </c>
      <c r="I2736" s="2"/>
      <c r="J2736" s="463"/>
      <c r="K2736" s="552">
        <f>SUM(K2732:K2735)*1%-0.57</f>
        <v>50.494999999999997</v>
      </c>
    </row>
    <row r="2737" spans="1:11" hidden="1">
      <c r="A2737" s="559"/>
      <c r="F2737" s="2"/>
      <c r="G2737" s="485"/>
      <c r="H2737" s="2" t="s">
        <v>2401</v>
      </c>
      <c r="I2737" s="2"/>
      <c r="J2737" s="463"/>
      <c r="K2737" s="552">
        <v>298</v>
      </c>
    </row>
    <row r="2738" spans="1:11" hidden="1">
      <c r="A2738" s="559"/>
      <c r="F2738" s="2"/>
      <c r="G2738" s="485"/>
      <c r="H2738" s="2"/>
      <c r="I2738" s="2"/>
      <c r="J2738" s="463"/>
      <c r="K2738" s="552" t="s">
        <v>442</v>
      </c>
    </row>
    <row r="2739" spans="1:11" hidden="1">
      <c r="A2739" s="559"/>
      <c r="F2739" s="2"/>
      <c r="G2739" s="485"/>
      <c r="H2739" s="2"/>
      <c r="I2739" s="2"/>
      <c r="J2739" s="463"/>
      <c r="K2739" s="552">
        <f>SUM(K2732:K2738)</f>
        <v>5454.9949999999999</v>
      </c>
    </row>
    <row r="2740" spans="1:11" hidden="1">
      <c r="A2740" s="559"/>
      <c r="F2740" s="2"/>
      <c r="G2740" s="485"/>
      <c r="H2740" s="2"/>
      <c r="I2740" s="2"/>
      <c r="J2740" s="463"/>
      <c r="K2740" s="552" t="s">
        <v>29</v>
      </c>
    </row>
    <row r="2741" spans="1:11" hidden="1">
      <c r="A2741" s="559"/>
      <c r="F2741" s="656">
        <v>180</v>
      </c>
      <c r="G2741" s="485"/>
      <c r="H2741" s="2" t="s">
        <v>4577</v>
      </c>
      <c r="I2741" s="2"/>
      <c r="J2741" s="463"/>
      <c r="K2741" s="552"/>
    </row>
    <row r="2742" spans="1:11" hidden="1">
      <c r="A2742" s="559"/>
      <c r="F2742" s="2"/>
      <c r="G2742" s="485"/>
      <c r="H2742" s="633" t="s">
        <v>442</v>
      </c>
      <c r="I2742" s="2"/>
      <c r="J2742" s="463"/>
      <c r="K2742" s="552"/>
    </row>
    <row r="2743" spans="1:11" hidden="1">
      <c r="A2743" s="559"/>
      <c r="F2743" s="2">
        <v>0.8</v>
      </c>
      <c r="G2743" s="485" t="s">
        <v>40</v>
      </c>
      <c r="H2743" s="2" t="s">
        <v>4578</v>
      </c>
      <c r="I2743" s="2">
        <v>230</v>
      </c>
      <c r="J2743" s="463" t="s">
        <v>40</v>
      </c>
      <c r="K2743" s="552">
        <f>I2743*F2743</f>
        <v>184</v>
      </c>
    </row>
    <row r="2744" spans="1:11" hidden="1">
      <c r="A2744" s="559"/>
      <c r="F2744" s="2">
        <v>3</v>
      </c>
      <c r="G2744" s="485" t="s">
        <v>13</v>
      </c>
      <c r="H2744" s="2" t="s">
        <v>4579</v>
      </c>
      <c r="I2744" s="2">
        <v>20</v>
      </c>
      <c r="J2744" s="463" t="s">
        <v>556</v>
      </c>
      <c r="K2744" s="552">
        <f>I2744*F2744</f>
        <v>60</v>
      </c>
    </row>
    <row r="2745" spans="1:11" hidden="1">
      <c r="A2745" s="559"/>
      <c r="F2745" s="2"/>
      <c r="G2745" s="485"/>
      <c r="H2745" s="2" t="s">
        <v>4576</v>
      </c>
      <c r="I2745" s="2"/>
      <c r="J2745" s="463"/>
      <c r="K2745" s="552">
        <f>SUM(K2743:K2744)*1%+1.16</f>
        <v>3.5999999999999996</v>
      </c>
    </row>
    <row r="2746" spans="1:11" hidden="1">
      <c r="A2746" s="559"/>
      <c r="F2746" s="2"/>
      <c r="G2746" s="485"/>
      <c r="H2746" s="2" t="s">
        <v>2401</v>
      </c>
      <c r="I2746" s="2"/>
      <c r="J2746" s="463"/>
      <c r="K2746" s="552">
        <v>32.4</v>
      </c>
    </row>
    <row r="2747" spans="1:11" hidden="1">
      <c r="A2747" s="559"/>
      <c r="F2747" s="2"/>
      <c r="G2747" s="485"/>
      <c r="H2747" s="2"/>
      <c r="I2747" s="2"/>
      <c r="J2747" s="463"/>
      <c r="K2747" s="552" t="s">
        <v>442</v>
      </c>
    </row>
    <row r="2748" spans="1:11" hidden="1">
      <c r="A2748" s="559"/>
      <c r="F2748" s="2"/>
      <c r="G2748" s="485"/>
      <c r="H2748" s="2"/>
      <c r="I2748" s="2"/>
      <c r="J2748" s="463"/>
      <c r="K2748" s="552">
        <f>SUM(K2743:K2747)</f>
        <v>280</v>
      </c>
    </row>
    <row r="2749" spans="1:11" hidden="1">
      <c r="A2749" s="559"/>
      <c r="F2749" s="2"/>
      <c r="G2749" s="485"/>
      <c r="H2749" s="2"/>
      <c r="I2749" s="2"/>
      <c r="J2749" s="463"/>
      <c r="K2749" s="552" t="s">
        <v>29</v>
      </c>
    </row>
    <row r="2750" spans="1:11" ht="31.5" hidden="1">
      <c r="A2750" s="559"/>
      <c r="F2750" s="656">
        <v>184</v>
      </c>
      <c r="G2750" s="485"/>
      <c r="H2750" s="1" t="s">
        <v>4580</v>
      </c>
      <c r="I2750" s="2"/>
      <c r="J2750" s="463"/>
      <c r="K2750" s="552"/>
    </row>
    <row r="2751" spans="1:11" hidden="1">
      <c r="A2751" s="559"/>
      <c r="F2751" s="2"/>
      <c r="G2751" s="485"/>
      <c r="H2751" s="633" t="s">
        <v>442</v>
      </c>
      <c r="I2751" s="2"/>
      <c r="J2751" s="463"/>
      <c r="K2751" s="552"/>
    </row>
    <row r="2752" spans="1:11" hidden="1">
      <c r="A2752" s="559"/>
      <c r="F2752" s="2">
        <v>1</v>
      </c>
      <c r="G2752" s="485" t="s">
        <v>5</v>
      </c>
      <c r="H2752" s="2" t="s">
        <v>4581</v>
      </c>
      <c r="I2752" s="2">
        <v>1860</v>
      </c>
      <c r="J2752" s="463" t="s">
        <v>556</v>
      </c>
      <c r="K2752" s="552">
        <f t="shared" ref="K2752:K2760" si="85">I2752*F2752</f>
        <v>1860</v>
      </c>
    </row>
    <row r="2753" spans="1:11" hidden="1">
      <c r="A2753" s="559"/>
      <c r="F2753" s="2">
        <v>2</v>
      </c>
      <c r="G2753" s="485" t="s">
        <v>5</v>
      </c>
      <c r="H2753" s="2" t="s">
        <v>4582</v>
      </c>
      <c r="I2753" s="2">
        <v>46</v>
      </c>
      <c r="J2753" s="463" t="s">
        <v>556</v>
      </c>
      <c r="K2753" s="552">
        <f t="shared" si="85"/>
        <v>92</v>
      </c>
    </row>
    <row r="2754" spans="1:11" hidden="1">
      <c r="A2754" s="559"/>
      <c r="F2754" s="2">
        <v>1.5</v>
      </c>
      <c r="G2754" s="485" t="s">
        <v>12</v>
      </c>
      <c r="H2754" s="2" t="s">
        <v>4583</v>
      </c>
      <c r="I2754" s="2">
        <v>31</v>
      </c>
      <c r="J2754" s="463" t="s">
        <v>12</v>
      </c>
      <c r="K2754" s="552">
        <f t="shared" si="85"/>
        <v>46.5</v>
      </c>
    </row>
    <row r="2755" spans="1:11" hidden="1">
      <c r="A2755" s="559"/>
      <c r="F2755" s="2">
        <v>2</v>
      </c>
      <c r="G2755" s="485" t="s">
        <v>5</v>
      </c>
      <c r="H2755" s="2" t="s">
        <v>4584</v>
      </c>
      <c r="I2755" s="2">
        <v>6</v>
      </c>
      <c r="J2755" s="463" t="s">
        <v>556</v>
      </c>
      <c r="K2755" s="552">
        <f t="shared" si="85"/>
        <v>12</v>
      </c>
    </row>
    <row r="2756" spans="1:11" hidden="1">
      <c r="A2756" s="559"/>
      <c r="F2756" s="2">
        <v>2</v>
      </c>
      <c r="G2756" s="485" t="s">
        <v>5</v>
      </c>
      <c r="H2756" s="2" t="s">
        <v>4585</v>
      </c>
      <c r="I2756" s="2">
        <v>12</v>
      </c>
      <c r="J2756" s="463" t="s">
        <v>556</v>
      </c>
      <c r="K2756" s="552">
        <f t="shared" si="85"/>
        <v>24</v>
      </c>
    </row>
    <row r="2757" spans="1:11" hidden="1">
      <c r="A2757" s="559"/>
      <c r="F2757" s="2">
        <v>2</v>
      </c>
      <c r="G2757" s="485" t="s">
        <v>12</v>
      </c>
      <c r="H2757" s="2" t="s">
        <v>4586</v>
      </c>
      <c r="I2757" s="2">
        <v>7.8</v>
      </c>
      <c r="J2757" s="463" t="s">
        <v>12</v>
      </c>
      <c r="K2757" s="552">
        <f t="shared" si="85"/>
        <v>15.6</v>
      </c>
    </row>
    <row r="2758" spans="1:11" hidden="1">
      <c r="A2758" s="559"/>
      <c r="F2758" s="2">
        <v>0.1</v>
      </c>
      <c r="G2758" s="485" t="s">
        <v>5</v>
      </c>
      <c r="H2758" s="2" t="s">
        <v>4566</v>
      </c>
      <c r="I2758" s="2">
        <f>I2867</f>
        <v>254</v>
      </c>
      <c r="J2758" s="463" t="s">
        <v>556</v>
      </c>
      <c r="K2758" s="552">
        <f t="shared" si="85"/>
        <v>25.400000000000002</v>
      </c>
    </row>
    <row r="2759" spans="1:11" hidden="1">
      <c r="A2759" s="559"/>
      <c r="F2759" s="2">
        <v>0.2</v>
      </c>
      <c r="G2759" s="485" t="s">
        <v>5</v>
      </c>
      <c r="H2759" s="2" t="s">
        <v>4567</v>
      </c>
      <c r="I2759" s="2">
        <f>I2868</f>
        <v>240</v>
      </c>
      <c r="J2759" s="463" t="s">
        <v>556</v>
      </c>
      <c r="K2759" s="552">
        <f t="shared" si="85"/>
        <v>48</v>
      </c>
    </row>
    <row r="2760" spans="1:11" hidden="1">
      <c r="A2760" s="559"/>
      <c r="F2760" s="2">
        <v>0.3</v>
      </c>
      <c r="G2760" s="485" t="s">
        <v>5</v>
      </c>
      <c r="H2760" s="2" t="s">
        <v>2410</v>
      </c>
      <c r="I2760" s="2">
        <f>I2869</f>
        <v>181</v>
      </c>
      <c r="J2760" s="463" t="s">
        <v>556</v>
      </c>
      <c r="K2760" s="552">
        <f t="shared" si="85"/>
        <v>54.3</v>
      </c>
    </row>
    <row r="2761" spans="1:11" hidden="1">
      <c r="A2761" s="559"/>
      <c r="F2761" s="2"/>
      <c r="G2761" s="485"/>
      <c r="H2761" s="2" t="s">
        <v>4576</v>
      </c>
      <c r="I2761" s="2"/>
      <c r="J2761" s="463"/>
      <c r="K2761" s="552">
        <f>SUM(K2752:K2760)*1%-0.63</f>
        <v>21.148000000000003</v>
      </c>
    </row>
    <row r="2762" spans="1:11" hidden="1">
      <c r="A2762" s="559"/>
      <c r="F2762" s="2"/>
      <c r="G2762" s="485"/>
      <c r="H2762" s="2"/>
      <c r="I2762" s="2"/>
      <c r="J2762" s="463"/>
      <c r="K2762" s="552"/>
    </row>
    <row r="2763" spans="1:11" hidden="1">
      <c r="A2763" s="559"/>
      <c r="F2763" s="2"/>
      <c r="G2763" s="485"/>
      <c r="H2763" s="2"/>
      <c r="I2763" s="2"/>
      <c r="J2763" s="463"/>
      <c r="K2763" s="552" t="s">
        <v>442</v>
      </c>
    </row>
    <row r="2764" spans="1:11" hidden="1">
      <c r="A2764" s="559"/>
      <c r="F2764" s="2"/>
      <c r="G2764" s="485"/>
      <c r="H2764" s="2"/>
      <c r="I2764" s="2"/>
      <c r="J2764" s="463"/>
      <c r="K2764" s="552">
        <f>SUM(K2752:K2763)</f>
        <v>2198.9480000000003</v>
      </c>
    </row>
    <row r="2765" spans="1:11" hidden="1">
      <c r="A2765" s="559"/>
      <c r="F2765" s="2"/>
      <c r="G2765" s="485"/>
      <c r="H2765" s="2"/>
      <c r="I2765" s="2"/>
      <c r="J2765" s="463"/>
      <c r="K2765" s="552" t="s">
        <v>29</v>
      </c>
    </row>
    <row r="2766" spans="1:11" hidden="1">
      <c r="A2766" s="559"/>
      <c r="F2766" s="641">
        <v>53.4</v>
      </c>
      <c r="G2766" s="485"/>
      <c r="H2766" s="490" t="s">
        <v>4352</v>
      </c>
      <c r="I2766" s="2"/>
      <c r="J2766" s="463" t="s">
        <v>556</v>
      </c>
      <c r="K2766" s="552">
        <v>957</v>
      </c>
    </row>
    <row r="2767" spans="1:11" hidden="1">
      <c r="A2767" s="559"/>
      <c r="F2767" s="2"/>
      <c r="G2767" s="485"/>
      <c r="H2767" s="2"/>
      <c r="I2767" s="2"/>
      <c r="J2767" s="463"/>
      <c r="K2767" s="552"/>
    </row>
    <row r="2768" spans="1:11" ht="47.25" hidden="1">
      <c r="A2768" s="559"/>
      <c r="F2768" s="657">
        <v>383</v>
      </c>
      <c r="G2768" s="485"/>
      <c r="H2768" s="1" t="s">
        <v>4357</v>
      </c>
      <c r="I2768" s="2"/>
      <c r="J2768" s="463" t="s">
        <v>556</v>
      </c>
      <c r="K2768" s="552">
        <v>600</v>
      </c>
    </row>
    <row r="2769" spans="1:11" hidden="1">
      <c r="A2769" s="559"/>
      <c r="F2769" s="2"/>
      <c r="G2769" s="485"/>
      <c r="H2769" s="2"/>
      <c r="I2769" s="2"/>
      <c r="J2769" s="463"/>
      <c r="K2769" s="552"/>
    </row>
    <row r="2770" spans="1:11" hidden="1">
      <c r="A2770" s="559"/>
      <c r="F2770" s="2"/>
      <c r="G2770" s="485"/>
      <c r="H2770" s="2"/>
      <c r="I2770" s="2"/>
      <c r="J2770" s="463"/>
      <c r="K2770" s="552"/>
    </row>
    <row r="2771" spans="1:11" hidden="1">
      <c r="A2771" s="559"/>
      <c r="F2771" s="658">
        <v>344.2</v>
      </c>
      <c r="G2771" s="485"/>
      <c r="H2771" s="1" t="s">
        <v>4358</v>
      </c>
      <c r="I2771" s="2"/>
      <c r="J2771" s="463" t="s">
        <v>556</v>
      </c>
      <c r="K2771" s="552">
        <v>300</v>
      </c>
    </row>
    <row r="2772" spans="1:11" hidden="1">
      <c r="A2772" s="559"/>
      <c r="F2772" s="657"/>
      <c r="G2772" s="485"/>
      <c r="H2772" s="2"/>
      <c r="I2772" s="2"/>
      <c r="J2772" s="463"/>
      <c r="K2772" s="552"/>
    </row>
    <row r="2773" spans="1:11" hidden="1">
      <c r="A2773" s="559"/>
      <c r="F2773" s="657"/>
      <c r="G2773" s="485"/>
      <c r="H2773" s="2"/>
      <c r="I2773" s="2"/>
      <c r="J2773" s="463"/>
      <c r="K2773" s="552"/>
    </row>
    <row r="2774" spans="1:11" hidden="1">
      <c r="A2774" s="559"/>
      <c r="F2774" s="657"/>
      <c r="G2774" s="485"/>
      <c r="H2774" s="2"/>
      <c r="I2774" s="2"/>
      <c r="J2774" s="463"/>
      <c r="K2774" s="552"/>
    </row>
    <row r="2775" spans="1:11" hidden="1">
      <c r="A2775" s="559"/>
      <c r="F2775" s="658">
        <v>344.1</v>
      </c>
      <c r="G2775" s="485"/>
      <c r="H2775" s="1" t="s">
        <v>4359</v>
      </c>
      <c r="I2775" s="2"/>
      <c r="J2775" s="463" t="s">
        <v>556</v>
      </c>
      <c r="K2775" s="552">
        <v>260</v>
      </c>
    </row>
    <row r="2776" spans="1:11" hidden="1">
      <c r="A2776" s="559"/>
      <c r="F2776" s="632"/>
      <c r="G2776" s="485"/>
      <c r="H2776" s="2"/>
      <c r="I2776" s="2"/>
      <c r="J2776" s="463"/>
      <c r="K2776" s="552"/>
    </row>
    <row r="2777" spans="1:11" hidden="1">
      <c r="A2777" s="559"/>
      <c r="F2777" s="632"/>
      <c r="G2777" s="485"/>
      <c r="H2777" s="2"/>
      <c r="I2777" s="2"/>
      <c r="J2777" s="463"/>
      <c r="K2777" s="552"/>
    </row>
    <row r="2778" spans="1:11" hidden="1">
      <c r="A2778" s="559"/>
      <c r="F2778" s="2">
        <v>384</v>
      </c>
      <c r="G2778" s="485"/>
      <c r="H2778" s="2"/>
      <c r="I2778" s="2"/>
      <c r="J2778" s="463"/>
      <c r="K2778" s="552"/>
    </row>
    <row r="2779" spans="1:11" ht="31.5" hidden="1">
      <c r="A2779" s="559"/>
      <c r="F2779" s="2"/>
      <c r="G2779" s="485"/>
      <c r="H2779" s="1" t="s">
        <v>4360</v>
      </c>
      <c r="I2779" s="2"/>
      <c r="J2779" s="463" t="s">
        <v>556</v>
      </c>
      <c r="K2779" s="552">
        <v>650</v>
      </c>
    </row>
    <row r="2780" spans="1:11" hidden="1">
      <c r="A2780" s="559"/>
      <c r="F2780" s="2"/>
      <c r="G2780" s="485"/>
      <c r="H2780" s="2"/>
      <c r="I2780" s="2"/>
      <c r="J2780" s="463"/>
      <c r="K2780" s="552"/>
    </row>
    <row r="2781" spans="1:11" ht="19.5" hidden="1">
      <c r="A2781" s="559"/>
      <c r="F2781" s="659">
        <v>385</v>
      </c>
      <c r="G2781" s="485"/>
      <c r="H2781" s="2" t="s">
        <v>4587</v>
      </c>
      <c r="I2781" s="2"/>
      <c r="J2781" s="463"/>
      <c r="K2781" s="552"/>
    </row>
    <row r="2782" spans="1:11" hidden="1">
      <c r="A2782" s="559"/>
      <c r="F2782" s="2"/>
      <c r="G2782" s="485"/>
      <c r="H2782" s="627" t="s">
        <v>4588</v>
      </c>
      <c r="I2782" s="2"/>
      <c r="J2782" s="463"/>
      <c r="K2782" s="552"/>
    </row>
    <row r="2783" spans="1:11" hidden="1">
      <c r="A2783" s="559"/>
      <c r="F2783" s="2">
        <v>4</v>
      </c>
      <c r="G2783" s="485" t="s">
        <v>12</v>
      </c>
      <c r="H2783" s="2" t="s">
        <v>4589</v>
      </c>
      <c r="I2783" s="2">
        <v>110</v>
      </c>
      <c r="J2783" s="485" t="s">
        <v>12</v>
      </c>
      <c r="K2783" s="552">
        <f t="shared" ref="K2783:K2790" si="86">I2783*F2783</f>
        <v>440</v>
      </c>
    </row>
    <row r="2784" spans="1:11" hidden="1">
      <c r="A2784" s="559"/>
      <c r="F2784" s="2">
        <v>2.52</v>
      </c>
      <c r="G2784" s="485" t="s">
        <v>40</v>
      </c>
      <c r="H2784" s="2" t="s">
        <v>4590</v>
      </c>
      <c r="I2784" s="2">
        <v>30</v>
      </c>
      <c r="J2784" s="485" t="s">
        <v>40</v>
      </c>
      <c r="K2784" s="552">
        <f t="shared" si="86"/>
        <v>75.599999999999994</v>
      </c>
    </row>
    <row r="2785" spans="1:11" hidden="1">
      <c r="A2785" s="559"/>
      <c r="F2785" s="2">
        <v>1.1299999999999999</v>
      </c>
      <c r="G2785" s="485" t="s">
        <v>40</v>
      </c>
      <c r="H2785" s="2" t="s">
        <v>4591</v>
      </c>
      <c r="I2785" s="2">
        <v>30</v>
      </c>
      <c r="J2785" s="485" t="s">
        <v>40</v>
      </c>
      <c r="K2785" s="552">
        <f t="shared" si="86"/>
        <v>33.9</v>
      </c>
    </row>
    <row r="2786" spans="1:11" hidden="1">
      <c r="A2786" s="559"/>
      <c r="F2786" s="2">
        <v>0.35</v>
      </c>
      <c r="G2786" s="485" t="s">
        <v>40</v>
      </c>
      <c r="H2786" s="2" t="s">
        <v>4592</v>
      </c>
      <c r="I2786" s="2">
        <v>30</v>
      </c>
      <c r="J2786" s="485" t="s">
        <v>40</v>
      </c>
      <c r="K2786" s="552">
        <f t="shared" si="86"/>
        <v>10.5</v>
      </c>
    </row>
    <row r="2787" spans="1:11" hidden="1">
      <c r="A2787" s="559"/>
      <c r="F2787" s="2">
        <v>4</v>
      </c>
      <c r="G2787" s="485" t="s">
        <v>40</v>
      </c>
      <c r="H2787" s="2" t="s">
        <v>4593</v>
      </c>
      <c r="I2787" s="2">
        <v>12.25</v>
      </c>
      <c r="J2787" s="485" t="s">
        <v>40</v>
      </c>
      <c r="K2787" s="552">
        <f t="shared" si="86"/>
        <v>49</v>
      </c>
    </row>
    <row r="2788" spans="1:11" hidden="1">
      <c r="A2788" s="559"/>
      <c r="F2788" s="2">
        <v>6</v>
      </c>
      <c r="G2788" s="485" t="s">
        <v>13</v>
      </c>
      <c r="H2788" s="2" t="s">
        <v>4594</v>
      </c>
      <c r="I2788" s="2">
        <v>1</v>
      </c>
      <c r="J2788" s="485" t="s">
        <v>13</v>
      </c>
      <c r="K2788" s="552">
        <f t="shared" si="86"/>
        <v>6</v>
      </c>
    </row>
    <row r="2789" spans="1:11" hidden="1">
      <c r="A2789" s="559"/>
      <c r="F2789" s="2">
        <v>0.5</v>
      </c>
      <c r="G2789" s="485" t="s">
        <v>13</v>
      </c>
      <c r="H2789" s="2" t="s">
        <v>4521</v>
      </c>
      <c r="I2789" s="2">
        <f>C12</f>
        <v>95</v>
      </c>
      <c r="J2789" s="485" t="s">
        <v>556</v>
      </c>
      <c r="K2789" s="552">
        <f t="shared" si="86"/>
        <v>47.5</v>
      </c>
    </row>
    <row r="2790" spans="1:11" hidden="1">
      <c r="A2790" s="559"/>
      <c r="F2790" s="2">
        <v>0.5</v>
      </c>
      <c r="G2790" s="485" t="s">
        <v>13</v>
      </c>
      <c r="H2790" s="2" t="s">
        <v>4595</v>
      </c>
      <c r="I2790" s="2">
        <f>C13</f>
        <v>85</v>
      </c>
      <c r="J2790" s="485" t="s">
        <v>556</v>
      </c>
      <c r="K2790" s="552">
        <f t="shared" si="86"/>
        <v>42.5</v>
      </c>
    </row>
    <row r="2791" spans="1:11" hidden="1">
      <c r="A2791" s="559"/>
      <c r="F2791" s="2"/>
      <c r="G2791" s="485"/>
      <c r="H2791" s="2"/>
      <c r="I2791" s="2"/>
      <c r="J2791" s="485"/>
      <c r="K2791" s="849" t="s">
        <v>4568</v>
      </c>
    </row>
    <row r="2792" spans="1:11" hidden="1">
      <c r="A2792" s="559"/>
      <c r="F2792" s="2"/>
      <c r="G2792" s="485"/>
      <c r="H2792" s="2" t="s">
        <v>4596</v>
      </c>
      <c r="I2792" s="2"/>
      <c r="J2792" s="463"/>
      <c r="K2792" s="552">
        <f>SUM(K2783:K2791)</f>
        <v>705</v>
      </c>
    </row>
    <row r="2793" spans="1:11" hidden="1">
      <c r="A2793" s="559"/>
      <c r="F2793" s="2"/>
      <c r="G2793" s="485"/>
      <c r="H2793" s="2"/>
      <c r="I2793" s="2"/>
      <c r="J2793" s="463"/>
      <c r="K2793" s="849" t="s">
        <v>4519</v>
      </c>
    </row>
    <row r="2794" spans="1:11" hidden="1">
      <c r="A2794" s="559"/>
      <c r="F2794" s="2"/>
      <c r="G2794" s="485"/>
      <c r="H2794" s="2" t="s">
        <v>2373</v>
      </c>
      <c r="I2794" s="2"/>
      <c r="J2794" s="463"/>
      <c r="K2794" s="552">
        <f>K2792/2</f>
        <v>352.5</v>
      </c>
    </row>
    <row r="2795" spans="1:11" hidden="1">
      <c r="A2795" s="559"/>
      <c r="F2795" s="2"/>
      <c r="G2795" s="485"/>
      <c r="H2795" s="2"/>
      <c r="I2795" s="2"/>
      <c r="J2795" s="463"/>
      <c r="K2795" s="849" t="s">
        <v>31</v>
      </c>
    </row>
    <row r="2796" spans="1:11" ht="19.5" hidden="1">
      <c r="A2796" s="559"/>
      <c r="F2796" s="634">
        <v>112.1</v>
      </c>
      <c r="G2796" s="485"/>
      <c r="H2796" s="660" t="s">
        <v>4597</v>
      </c>
      <c r="I2796" s="2"/>
      <c r="J2796" s="463"/>
      <c r="K2796" s="552"/>
    </row>
    <row r="2797" spans="1:11" hidden="1">
      <c r="A2797" s="559"/>
      <c r="F2797" s="2"/>
      <c r="G2797" s="485"/>
      <c r="H2797" s="627" t="s">
        <v>4598</v>
      </c>
      <c r="I2797" s="2"/>
      <c r="J2797" s="463"/>
      <c r="K2797" s="552"/>
    </row>
    <row r="2798" spans="1:11" hidden="1">
      <c r="A2798" s="559"/>
      <c r="F2798" s="2">
        <v>1</v>
      </c>
      <c r="G2798" s="485" t="s">
        <v>5</v>
      </c>
      <c r="H2798" s="1" t="s">
        <v>4597</v>
      </c>
      <c r="I2798" s="546">
        <v>1059</v>
      </c>
      <c r="J2798" s="463" t="s">
        <v>556</v>
      </c>
      <c r="K2798" s="552">
        <f>I2798*F2798</f>
        <v>1059</v>
      </c>
    </row>
    <row r="2799" spans="1:11" ht="31.5" hidden="1">
      <c r="A2799" s="559"/>
      <c r="F2799" s="2">
        <v>1</v>
      </c>
      <c r="G2799" s="485" t="s">
        <v>5</v>
      </c>
      <c r="H2799" s="1" t="s">
        <v>4599</v>
      </c>
      <c r="I2799" s="2">
        <v>95</v>
      </c>
      <c r="J2799" s="463" t="s">
        <v>556</v>
      </c>
      <c r="K2799" s="552">
        <f>I2799*F2799</f>
        <v>95</v>
      </c>
    </row>
    <row r="2800" spans="1:11" ht="31.5" hidden="1">
      <c r="A2800" s="559"/>
      <c r="F2800" s="2" t="s">
        <v>2346</v>
      </c>
      <c r="G2800" s="485"/>
      <c r="H2800" s="1" t="s">
        <v>4600</v>
      </c>
      <c r="I2800" s="2"/>
      <c r="J2800" s="463" t="s">
        <v>2346</v>
      </c>
      <c r="K2800" s="552">
        <v>16.64</v>
      </c>
    </row>
    <row r="2801" spans="1:11" hidden="1">
      <c r="A2801" s="559"/>
      <c r="F2801" s="2"/>
      <c r="G2801" s="485"/>
      <c r="H2801" s="2" t="s">
        <v>4601</v>
      </c>
      <c r="I2801" s="2"/>
      <c r="J2801" s="463"/>
      <c r="K2801" s="552">
        <v>10.11</v>
      </c>
    </row>
    <row r="2802" spans="1:11" hidden="1">
      <c r="A2802" s="559"/>
      <c r="F2802" s="2"/>
      <c r="G2802" s="485"/>
      <c r="H2802" s="2" t="s">
        <v>3498</v>
      </c>
      <c r="I2802" s="2"/>
      <c r="J2802" s="463" t="s">
        <v>556</v>
      </c>
      <c r="K2802" s="552">
        <f>K2811</f>
        <v>78.25</v>
      </c>
    </row>
    <row r="2803" spans="1:11" hidden="1">
      <c r="A2803" s="559"/>
      <c r="F2803" s="2"/>
      <c r="G2803" s="485"/>
      <c r="H2803" s="2"/>
      <c r="I2803" s="2"/>
      <c r="J2803" s="463"/>
      <c r="K2803" s="849" t="s">
        <v>4485</v>
      </c>
    </row>
    <row r="2804" spans="1:11" hidden="1">
      <c r="A2804" s="559"/>
      <c r="F2804" s="2"/>
      <c r="G2804" s="485"/>
      <c r="H2804" s="2"/>
      <c r="I2804" s="2"/>
      <c r="J2804" s="463"/>
      <c r="K2804" s="552">
        <f>SUM(K2798:K2803)</f>
        <v>1259</v>
      </c>
    </row>
    <row r="2805" spans="1:11" hidden="1">
      <c r="A2805" s="559"/>
      <c r="F2805" s="2"/>
      <c r="G2805" s="485"/>
      <c r="H2805" s="2"/>
      <c r="I2805" s="2"/>
      <c r="J2805" s="463"/>
      <c r="K2805" s="849" t="s">
        <v>4602</v>
      </c>
    </row>
    <row r="2806" spans="1:11" hidden="1">
      <c r="A2806" s="559"/>
      <c r="F2806" s="2" t="s">
        <v>2401</v>
      </c>
      <c r="G2806" s="485"/>
      <c r="H2806" s="2"/>
      <c r="I2806" s="2"/>
      <c r="J2806" s="463"/>
      <c r="K2806" s="552"/>
    </row>
    <row r="2807" spans="1:11" hidden="1">
      <c r="A2807" s="559"/>
      <c r="F2807" s="2">
        <v>1</v>
      </c>
      <c r="G2807" s="485" t="s">
        <v>5</v>
      </c>
      <c r="H2807" s="2" t="s">
        <v>4603</v>
      </c>
      <c r="I2807" s="2">
        <v>131</v>
      </c>
      <c r="J2807" s="463" t="s">
        <v>556</v>
      </c>
      <c r="K2807" s="552">
        <f>I2807*F2807</f>
        <v>131</v>
      </c>
    </row>
    <row r="2808" spans="1:11" hidden="1">
      <c r="A2808" s="559"/>
      <c r="F2808" s="2">
        <v>2</v>
      </c>
      <c r="G2808" s="485" t="s">
        <v>13</v>
      </c>
      <c r="H2808" s="2" t="s">
        <v>2410</v>
      </c>
      <c r="I2808" s="2">
        <v>91</v>
      </c>
      <c r="J2808" s="463" t="s">
        <v>556</v>
      </c>
      <c r="K2808" s="552">
        <f>I2808*F2808</f>
        <v>182</v>
      </c>
    </row>
    <row r="2809" spans="1:11" hidden="1">
      <c r="A2809" s="559"/>
      <c r="F2809" s="2"/>
      <c r="G2809" s="485"/>
      <c r="H2809" s="2"/>
      <c r="I2809" s="2"/>
      <c r="J2809" s="463"/>
      <c r="K2809" s="849" t="s">
        <v>4485</v>
      </c>
    </row>
    <row r="2810" spans="1:11" hidden="1">
      <c r="A2810" s="559"/>
      <c r="F2810" s="2"/>
      <c r="G2810" s="485"/>
      <c r="H2810" s="2" t="s">
        <v>4604</v>
      </c>
      <c r="I2810" s="2"/>
      <c r="J2810" s="463"/>
      <c r="K2810" s="552">
        <f>SUM(K2807:K2809)</f>
        <v>313</v>
      </c>
    </row>
    <row r="2811" spans="1:11" hidden="1">
      <c r="A2811" s="559"/>
      <c r="F2811" s="2"/>
      <c r="G2811" s="485"/>
      <c r="H2811" s="2" t="s">
        <v>4605</v>
      </c>
      <c r="I2811" s="2"/>
      <c r="J2811" s="463"/>
      <c r="K2811" s="552">
        <f>K2810/4</f>
        <v>78.25</v>
      </c>
    </row>
    <row r="2812" spans="1:11" hidden="1">
      <c r="A2812" s="559"/>
      <c r="F2812" s="2"/>
      <c r="G2812" s="485"/>
      <c r="H2812" s="526"/>
      <c r="I2812" s="2"/>
      <c r="J2812" s="463"/>
      <c r="K2812" s="526"/>
    </row>
    <row r="2813" spans="1:11" hidden="1">
      <c r="A2813" s="559"/>
      <c r="F2813" s="2">
        <v>70.5</v>
      </c>
      <c r="G2813" s="485"/>
      <c r="H2813" s="2" t="s">
        <v>4606</v>
      </c>
      <c r="I2813" s="2"/>
      <c r="J2813" s="463"/>
      <c r="K2813" s="552"/>
    </row>
    <row r="2814" spans="1:11" hidden="1">
      <c r="A2814" s="559"/>
      <c r="F2814" s="2"/>
      <c r="G2814" s="485"/>
      <c r="H2814" s="633" t="s">
        <v>442</v>
      </c>
      <c r="I2814" s="2"/>
      <c r="J2814" s="463"/>
      <c r="K2814" s="552"/>
    </row>
    <row r="2815" spans="1:11" ht="63" hidden="1">
      <c r="A2815" s="559"/>
      <c r="F2815" s="506">
        <v>1</v>
      </c>
      <c r="G2815" s="506" t="s">
        <v>5</v>
      </c>
      <c r="H2815" s="506" t="s">
        <v>4607</v>
      </c>
      <c r="I2815" s="2">
        <v>322</v>
      </c>
      <c r="J2815" s="463" t="s">
        <v>556</v>
      </c>
      <c r="K2815" s="552">
        <f>F2815*I2815</f>
        <v>322</v>
      </c>
    </row>
    <row r="2816" spans="1:11" hidden="1">
      <c r="A2816" s="559"/>
      <c r="F2816" s="506">
        <v>1</v>
      </c>
      <c r="G2816" s="506" t="s">
        <v>5</v>
      </c>
      <c r="H2816" s="2" t="s">
        <v>4608</v>
      </c>
      <c r="I2816" s="546">
        <v>37</v>
      </c>
      <c r="J2816" s="463" t="s">
        <v>556</v>
      </c>
      <c r="K2816" s="552">
        <f>F2816*I2816</f>
        <v>37</v>
      </c>
    </row>
    <row r="2817" spans="1:11" hidden="1">
      <c r="A2817" s="559"/>
      <c r="F2817" s="506">
        <v>2</v>
      </c>
      <c r="G2817" s="506" t="s">
        <v>5</v>
      </c>
      <c r="H2817" s="2" t="s">
        <v>4609</v>
      </c>
      <c r="I2817" s="2">
        <v>600</v>
      </c>
      <c r="J2817" s="463" t="s">
        <v>4610</v>
      </c>
      <c r="K2817" s="552">
        <f>(F2817*I2817)/100</f>
        <v>12</v>
      </c>
    </row>
    <row r="2818" spans="1:11" hidden="1">
      <c r="A2818" s="559"/>
      <c r="F2818" s="506">
        <v>2</v>
      </c>
      <c r="G2818" s="506" t="s">
        <v>5</v>
      </c>
      <c r="H2818" s="2" t="s">
        <v>4611</v>
      </c>
      <c r="I2818" s="2">
        <v>914.1</v>
      </c>
      <c r="J2818" s="463" t="s">
        <v>4612</v>
      </c>
      <c r="K2818" s="552">
        <f>(F2818*I2818)/100</f>
        <v>18.282</v>
      </c>
    </row>
    <row r="2819" spans="1:11" hidden="1">
      <c r="A2819" s="559"/>
      <c r="F2819" s="506"/>
      <c r="G2819" s="506"/>
      <c r="H2819" s="2" t="s">
        <v>4613</v>
      </c>
      <c r="I2819" s="2">
        <f>K2830</f>
        <v>49.25</v>
      </c>
      <c r="J2819" s="463" t="s">
        <v>2346</v>
      </c>
      <c r="K2819" s="552">
        <f>I2819</f>
        <v>49.25</v>
      </c>
    </row>
    <row r="2820" spans="1:11" hidden="1">
      <c r="A2820" s="559"/>
      <c r="F2820" s="2"/>
      <c r="G2820" s="485"/>
      <c r="H2820" s="2" t="s">
        <v>4614</v>
      </c>
      <c r="I2820" s="2"/>
      <c r="J2820" s="463" t="s">
        <v>2346</v>
      </c>
      <c r="K2820" s="552">
        <v>1.84</v>
      </c>
    </row>
    <row r="2821" spans="1:11" hidden="1">
      <c r="A2821" s="559"/>
      <c r="F2821" s="2"/>
      <c r="G2821" s="485"/>
      <c r="H2821" s="2"/>
      <c r="I2821" s="2"/>
      <c r="J2821" s="463"/>
      <c r="K2821" s="552" t="s">
        <v>442</v>
      </c>
    </row>
    <row r="2822" spans="1:11" hidden="1">
      <c r="A2822" s="559"/>
      <c r="F2822" s="2"/>
      <c r="G2822" s="485"/>
      <c r="H2822" s="2" t="s">
        <v>28</v>
      </c>
      <c r="I2822" s="2"/>
      <c r="J2822" s="463"/>
      <c r="K2822" s="552">
        <f>SUM(K2815:K2821)</f>
        <v>440.37199999999996</v>
      </c>
    </row>
    <row r="2823" spans="1:11" hidden="1">
      <c r="A2823" s="559"/>
      <c r="F2823" s="2"/>
      <c r="G2823" s="485"/>
      <c r="H2823" s="2"/>
      <c r="I2823" s="2"/>
      <c r="J2823" s="463"/>
      <c r="K2823" s="552" t="s">
        <v>29</v>
      </c>
    </row>
    <row r="2824" spans="1:11" hidden="1">
      <c r="A2824" s="559"/>
      <c r="F2824" s="2"/>
      <c r="G2824" s="485"/>
      <c r="H2824" s="2" t="s">
        <v>4615</v>
      </c>
      <c r="I2824" s="2"/>
      <c r="J2824" s="463"/>
      <c r="K2824" s="552"/>
    </row>
    <row r="2825" spans="1:11" hidden="1">
      <c r="A2825" s="559"/>
      <c r="F2825" s="2">
        <v>1</v>
      </c>
      <c r="G2825" s="485" t="s">
        <v>5</v>
      </c>
      <c r="H2825" s="2" t="s">
        <v>4531</v>
      </c>
      <c r="I2825" s="2">
        <v>160</v>
      </c>
      <c r="J2825" s="463" t="s">
        <v>556</v>
      </c>
      <c r="K2825" s="552">
        <f>F2825*I2825</f>
        <v>160</v>
      </c>
    </row>
    <row r="2826" spans="1:11" hidden="1">
      <c r="A2826" s="559"/>
      <c r="F2826" s="2">
        <v>2</v>
      </c>
      <c r="G2826" s="485" t="s">
        <v>5</v>
      </c>
      <c r="H2826" s="2" t="s">
        <v>4532</v>
      </c>
      <c r="I2826" s="2">
        <v>149</v>
      </c>
      <c r="J2826" s="463" t="s">
        <v>556</v>
      </c>
      <c r="K2826" s="552">
        <f>F2826*I2826</f>
        <v>298</v>
      </c>
    </row>
    <row r="2827" spans="1:11" hidden="1">
      <c r="A2827" s="559"/>
      <c r="F2827" s="2">
        <v>3</v>
      </c>
      <c r="G2827" s="485" t="s">
        <v>5</v>
      </c>
      <c r="H2827" s="2" t="s">
        <v>2410</v>
      </c>
      <c r="I2827" s="2">
        <v>110</v>
      </c>
      <c r="J2827" s="463" t="s">
        <v>556</v>
      </c>
      <c r="K2827" s="552">
        <f>F2827*I2827</f>
        <v>330</v>
      </c>
    </row>
    <row r="2828" spans="1:11" hidden="1">
      <c r="A2828" s="559"/>
      <c r="F2828" s="2"/>
      <c r="G2828" s="485"/>
      <c r="H2828" s="2"/>
      <c r="I2828" s="2"/>
      <c r="J2828" s="463"/>
      <c r="K2828" s="552" t="s">
        <v>442</v>
      </c>
    </row>
    <row r="2829" spans="1:11" hidden="1">
      <c r="A2829" s="559"/>
      <c r="F2829" s="2"/>
      <c r="G2829" s="485"/>
      <c r="H2829" s="2" t="s">
        <v>4616</v>
      </c>
      <c r="I2829" s="2"/>
      <c r="J2829" s="463"/>
      <c r="K2829" s="552">
        <f>SUM(K2825:K2828)</f>
        <v>788</v>
      </c>
    </row>
    <row r="2830" spans="1:11" hidden="1">
      <c r="A2830" s="559"/>
      <c r="F2830" s="2"/>
      <c r="G2830" s="485"/>
      <c r="H2830" s="2" t="s">
        <v>4617</v>
      </c>
      <c r="I2830" s="2"/>
      <c r="J2830" s="463"/>
      <c r="K2830" s="552">
        <f>K2829/16</f>
        <v>49.25</v>
      </c>
    </row>
    <row r="2831" spans="1:11" hidden="1">
      <c r="A2831" s="559"/>
      <c r="F2831" s="2"/>
      <c r="G2831" s="485"/>
      <c r="H2831" s="2"/>
      <c r="I2831" s="2"/>
      <c r="J2831" s="463"/>
      <c r="K2831" s="552" t="s">
        <v>442</v>
      </c>
    </row>
    <row r="2832" spans="1:11" hidden="1">
      <c r="A2832" s="559"/>
    </row>
    <row r="2833" spans="1:18">
      <c r="A2833" s="559"/>
    </row>
    <row r="2834" spans="1:18">
      <c r="A2834" s="559"/>
      <c r="H2834" s="662" t="s">
        <v>5294</v>
      </c>
    </row>
    <row r="2835" spans="1:18">
      <c r="A2835" s="559"/>
    </row>
    <row r="2836" spans="1:18">
      <c r="A2836" s="559"/>
      <c r="H2836" s="662" t="s">
        <v>4620</v>
      </c>
    </row>
    <row r="2837" spans="1:18" ht="22.5" customHeight="1">
      <c r="A2837" s="559"/>
      <c r="H2837" s="562" t="s">
        <v>4621</v>
      </c>
      <c r="O2837" s="665" t="s">
        <v>1519</v>
      </c>
    </row>
    <row r="2838" spans="1:18">
      <c r="A2838" s="559"/>
      <c r="H2838" s="562" t="s">
        <v>4622</v>
      </c>
    </row>
    <row r="2839" spans="1:18">
      <c r="A2839" s="559"/>
    </row>
    <row r="2840" spans="1:18">
      <c r="A2840" s="559"/>
      <c r="H2840" s="562" t="s">
        <v>4623</v>
      </c>
    </row>
    <row r="2841" spans="1:18">
      <c r="A2841" s="559"/>
    </row>
    <row r="2842" spans="1:18" ht="170.25" customHeight="1">
      <c r="A2842" s="559"/>
      <c r="H2842" s="667" t="s">
        <v>5295</v>
      </c>
      <c r="M2842" s="668"/>
      <c r="N2842" s="668"/>
      <c r="O2842" s="667" t="s">
        <v>5296</v>
      </c>
      <c r="P2842" s="668"/>
      <c r="Q2842" s="668"/>
      <c r="R2842" s="668"/>
    </row>
    <row r="2843" spans="1:18" ht="31.5">
      <c r="A2843" s="559"/>
      <c r="F2843" s="668">
        <v>90</v>
      </c>
      <c r="G2843" s="668" t="s">
        <v>12</v>
      </c>
      <c r="H2843" s="571" t="s">
        <v>2383</v>
      </c>
      <c r="I2843" s="670">
        <v>12.8</v>
      </c>
      <c r="J2843" s="668" t="s">
        <v>2388</v>
      </c>
      <c r="K2843" s="674">
        <f>F2843*I2843</f>
        <v>1152</v>
      </c>
      <c r="M2843" s="668"/>
      <c r="N2843" s="668"/>
      <c r="O2843" s="665"/>
      <c r="P2843" s="668"/>
      <c r="Q2843" s="668"/>
      <c r="R2843" s="668"/>
    </row>
    <row r="2844" spans="1:18" ht="31.5">
      <c r="A2844" s="559"/>
      <c r="E2844" s="668"/>
      <c r="F2844" s="668">
        <v>45</v>
      </c>
      <c r="G2844" s="668" t="s">
        <v>12</v>
      </c>
      <c r="H2844" s="667" t="s">
        <v>2384</v>
      </c>
      <c r="I2844" s="670">
        <v>19.5</v>
      </c>
      <c r="J2844" s="668" t="s">
        <v>4628</v>
      </c>
      <c r="K2844" s="674">
        <f>F2844*I2844</f>
        <v>877.5</v>
      </c>
      <c r="L2844" s="668"/>
      <c r="M2844" s="668"/>
      <c r="N2844" s="668"/>
      <c r="P2844" s="668" t="s">
        <v>30</v>
      </c>
      <c r="Q2844" s="668"/>
      <c r="R2844" s="668"/>
    </row>
    <row r="2845" spans="1:18">
      <c r="A2845" s="559"/>
      <c r="E2845" s="668"/>
      <c r="F2845" s="668">
        <v>20</v>
      </c>
      <c r="G2845" s="668" t="s">
        <v>5</v>
      </c>
      <c r="H2845" s="668" t="s">
        <v>4635</v>
      </c>
      <c r="I2845" s="670">
        <v>3.15</v>
      </c>
      <c r="J2845" s="668" t="s">
        <v>5</v>
      </c>
      <c r="K2845" s="674">
        <f>F2845*I2845</f>
        <v>63</v>
      </c>
      <c r="L2845" s="668"/>
      <c r="M2845" s="668"/>
      <c r="N2845" s="668"/>
      <c r="O2845" s="668"/>
      <c r="P2845" s="668"/>
      <c r="Q2845" s="668"/>
      <c r="R2845" s="668"/>
    </row>
    <row r="2846" spans="1:18" ht="16.5" customHeight="1">
      <c r="A2846" s="559"/>
      <c r="E2846" s="668"/>
      <c r="F2846" s="668">
        <v>10</v>
      </c>
      <c r="G2846" s="668" t="s">
        <v>5</v>
      </c>
      <c r="H2846" s="668" t="s">
        <v>4637</v>
      </c>
      <c r="I2846" s="671">
        <f>15.7/12</f>
        <v>1.3083333333333333</v>
      </c>
      <c r="J2846" s="668" t="s">
        <v>5</v>
      </c>
      <c r="K2846" s="674">
        <f>F2846*I2846</f>
        <v>13.083333333333334</v>
      </c>
      <c r="L2846" s="668"/>
      <c r="M2846" s="668">
        <v>90</v>
      </c>
      <c r="N2846" s="668" t="s">
        <v>12</v>
      </c>
      <c r="O2846" s="571" t="s">
        <v>2383</v>
      </c>
      <c r="P2846" s="668">
        <f>I2856</f>
        <v>12.8</v>
      </c>
      <c r="Q2846" s="668" t="s">
        <v>12</v>
      </c>
      <c r="R2846" s="668">
        <f>M2846*P2846</f>
        <v>1152</v>
      </c>
    </row>
    <row r="2847" spans="1:18" ht="18.75" customHeight="1">
      <c r="A2847" s="559"/>
      <c r="E2847" s="668"/>
      <c r="F2847" s="668">
        <v>1</v>
      </c>
      <c r="G2847" s="668" t="s">
        <v>5</v>
      </c>
      <c r="H2847" s="668" t="s">
        <v>5297</v>
      </c>
      <c r="I2847" s="671">
        <v>64</v>
      </c>
      <c r="J2847" s="668" t="s">
        <v>5</v>
      </c>
      <c r="K2847" s="674">
        <f>F2847*I2847</f>
        <v>64</v>
      </c>
      <c r="L2847" s="668"/>
      <c r="M2847" s="668">
        <v>45</v>
      </c>
      <c r="N2847" s="668" t="s">
        <v>12</v>
      </c>
      <c r="O2847" s="667" t="s">
        <v>2384</v>
      </c>
      <c r="P2847" s="668">
        <f>I2844</f>
        <v>19.5</v>
      </c>
      <c r="Q2847" s="668" t="s">
        <v>4628</v>
      </c>
      <c r="R2847" s="668">
        <f>M2847*P2847</f>
        <v>877.5</v>
      </c>
    </row>
    <row r="2848" spans="1:18">
      <c r="A2848" s="559"/>
      <c r="E2848" s="668"/>
      <c r="F2848" s="668"/>
      <c r="G2848" s="668"/>
      <c r="H2848" s="668"/>
      <c r="I2848" s="668"/>
      <c r="J2848" s="668"/>
      <c r="K2848" s="674"/>
      <c r="L2848" s="668"/>
      <c r="M2848" s="668">
        <v>75</v>
      </c>
      <c r="N2848" s="668" t="s">
        <v>5</v>
      </c>
      <c r="O2848" s="668" t="s">
        <v>4669</v>
      </c>
      <c r="P2848" s="668">
        <v>2.5</v>
      </c>
      <c r="Q2848" s="668" t="s">
        <v>4633</v>
      </c>
      <c r="R2848" s="668">
        <f>M2848*P2848/12</f>
        <v>15.625</v>
      </c>
    </row>
    <row r="2849" spans="1:18">
      <c r="A2849" s="559"/>
      <c r="E2849" s="668"/>
      <c r="F2849" s="672">
        <v>1.4999999999999999E-2</v>
      </c>
      <c r="G2849" s="668" t="s">
        <v>26</v>
      </c>
      <c r="H2849" s="668" t="s">
        <v>4717</v>
      </c>
      <c r="I2849" s="670">
        <v>640</v>
      </c>
      <c r="J2849" s="668" t="s">
        <v>26</v>
      </c>
      <c r="K2849" s="674">
        <f t="shared" ref="K2849:K2856" si="87">F2849*I2849</f>
        <v>9.6</v>
      </c>
      <c r="L2849" s="668"/>
      <c r="M2849" s="668">
        <v>12</v>
      </c>
      <c r="N2849" s="668" t="s">
        <v>5</v>
      </c>
      <c r="O2849" s="668" t="s">
        <v>4635</v>
      </c>
      <c r="P2849" s="668">
        <f>I2845</f>
        <v>3.15</v>
      </c>
      <c r="Q2849" s="668" t="s">
        <v>5</v>
      </c>
      <c r="R2849" s="668">
        <f>M2849*P2849</f>
        <v>37.799999999999997</v>
      </c>
    </row>
    <row r="2850" spans="1:18">
      <c r="A2850" s="559"/>
      <c r="E2850" s="668"/>
      <c r="F2850" s="668">
        <v>10</v>
      </c>
      <c r="G2850" s="668" t="s">
        <v>5</v>
      </c>
      <c r="H2850" s="668" t="s">
        <v>4718</v>
      </c>
      <c r="I2850" s="670">
        <f>ROUND(194/12,2)</f>
        <v>16.170000000000002</v>
      </c>
      <c r="J2850" s="668" t="s">
        <v>5</v>
      </c>
      <c r="K2850" s="674">
        <f t="shared" si="87"/>
        <v>161.70000000000002</v>
      </c>
      <c r="L2850" s="668"/>
      <c r="M2850" s="668">
        <v>6</v>
      </c>
      <c r="N2850" s="668" t="s">
        <v>5</v>
      </c>
      <c r="O2850" s="668" t="s">
        <v>4637</v>
      </c>
      <c r="P2850" s="668">
        <f>I2846</f>
        <v>1.3083333333333333</v>
      </c>
      <c r="Q2850" s="668" t="s">
        <v>5</v>
      </c>
      <c r="R2850" s="668">
        <f>M2850*P2850</f>
        <v>7.85</v>
      </c>
    </row>
    <row r="2851" spans="1:18">
      <c r="A2851" s="559"/>
      <c r="E2851" s="668"/>
      <c r="F2851" s="668">
        <v>10</v>
      </c>
      <c r="G2851" s="668" t="s">
        <v>5</v>
      </c>
      <c r="H2851" s="668" t="s">
        <v>4642</v>
      </c>
      <c r="I2851" s="670">
        <v>15.75</v>
      </c>
      <c r="J2851" s="668" t="s">
        <v>5</v>
      </c>
      <c r="K2851" s="674">
        <f t="shared" si="87"/>
        <v>157.5</v>
      </c>
      <c r="L2851" s="668"/>
      <c r="M2851" s="668">
        <v>150</v>
      </c>
      <c r="N2851" s="668" t="s">
        <v>13</v>
      </c>
      <c r="O2851" s="668" t="s">
        <v>4639</v>
      </c>
      <c r="P2851" s="668">
        <v>300</v>
      </c>
      <c r="Q2851" s="668">
        <v>1000</v>
      </c>
      <c r="R2851" s="668">
        <f>(M2851*P2851)/1000</f>
        <v>45</v>
      </c>
    </row>
    <row r="2852" spans="1:18">
      <c r="A2852" s="559"/>
      <c r="E2852" s="668"/>
      <c r="F2852" s="668">
        <v>10</v>
      </c>
      <c r="G2852" s="668" t="s">
        <v>5</v>
      </c>
      <c r="H2852" s="668" t="s">
        <v>4719</v>
      </c>
      <c r="I2852" s="670">
        <f>42/12</f>
        <v>3.5</v>
      </c>
      <c r="J2852" s="668" t="s">
        <v>5</v>
      </c>
      <c r="K2852" s="674">
        <f t="shared" si="87"/>
        <v>35</v>
      </c>
      <c r="L2852" s="668"/>
      <c r="M2852" s="672">
        <v>7</v>
      </c>
      <c r="N2852" s="668" t="s">
        <v>13</v>
      </c>
      <c r="O2852" s="668" t="s">
        <v>4641</v>
      </c>
      <c r="P2852" s="668">
        <f>I2852</f>
        <v>3.5</v>
      </c>
      <c r="Q2852" s="668" t="s">
        <v>5</v>
      </c>
      <c r="R2852" s="668">
        <f>M2852*P2852</f>
        <v>24.5</v>
      </c>
    </row>
    <row r="2853" spans="1:18">
      <c r="A2853" s="559"/>
      <c r="E2853" s="668"/>
      <c r="F2853" s="668">
        <v>1.25</v>
      </c>
      <c r="G2853" s="668" t="s">
        <v>2385</v>
      </c>
      <c r="H2853" s="668" t="s">
        <v>2386</v>
      </c>
      <c r="I2853" s="670">
        <v>260</v>
      </c>
      <c r="J2853" s="668" t="s">
        <v>2385</v>
      </c>
      <c r="K2853" s="674">
        <f t="shared" si="87"/>
        <v>325</v>
      </c>
      <c r="L2853" s="668"/>
      <c r="M2853" s="668">
        <v>6</v>
      </c>
      <c r="N2853" s="668" t="s">
        <v>5</v>
      </c>
      <c r="O2853" s="668" t="s">
        <v>4642</v>
      </c>
      <c r="P2853" s="668">
        <f>I2851</f>
        <v>15.75</v>
      </c>
      <c r="Q2853" s="668" t="s">
        <v>556</v>
      </c>
      <c r="R2853" s="668">
        <f>M2853*P2853</f>
        <v>94.5</v>
      </c>
    </row>
    <row r="2854" spans="1:18">
      <c r="A2854" s="559"/>
      <c r="E2854" s="668"/>
      <c r="F2854" s="668">
        <v>10</v>
      </c>
      <c r="G2854" s="668" t="s">
        <v>5</v>
      </c>
      <c r="H2854" s="668" t="s">
        <v>5298</v>
      </c>
      <c r="I2854" s="671">
        <f>I2847</f>
        <v>64</v>
      </c>
      <c r="J2854" s="668" t="s">
        <v>5</v>
      </c>
      <c r="K2854" s="674">
        <f t="shared" si="87"/>
        <v>640</v>
      </c>
      <c r="L2854" s="668"/>
      <c r="M2854" s="668">
        <v>6</v>
      </c>
      <c r="N2854" s="668" t="s">
        <v>5</v>
      </c>
      <c r="O2854" s="668" t="s">
        <v>4643</v>
      </c>
      <c r="P2854" s="668">
        <v>167</v>
      </c>
      <c r="Q2854" s="668" t="s">
        <v>4633</v>
      </c>
      <c r="R2854" s="668">
        <f>(M2854*P2854)/12</f>
        <v>83.5</v>
      </c>
    </row>
    <row r="2855" spans="1:18">
      <c r="A2855" s="559"/>
      <c r="E2855" s="668"/>
      <c r="F2855" s="668">
        <v>0.15</v>
      </c>
      <c r="G2855" s="668" t="s">
        <v>26</v>
      </c>
      <c r="H2855" s="668" t="s">
        <v>4687</v>
      </c>
      <c r="I2855" s="670">
        <f>I2849</f>
        <v>640</v>
      </c>
      <c r="J2855" s="668" t="s">
        <v>26</v>
      </c>
      <c r="K2855" s="674">
        <f t="shared" si="87"/>
        <v>96</v>
      </c>
      <c r="L2855" s="668"/>
      <c r="M2855" s="668">
        <v>1</v>
      </c>
      <c r="N2855" s="668" t="s">
        <v>2413</v>
      </c>
      <c r="O2855" s="668" t="s">
        <v>4644</v>
      </c>
      <c r="P2855" s="668">
        <v>64</v>
      </c>
      <c r="Q2855" s="668" t="s">
        <v>2413</v>
      </c>
      <c r="R2855" s="668">
        <f>(M2855*P2855)</f>
        <v>64</v>
      </c>
    </row>
    <row r="2856" spans="1:18" ht="31.5">
      <c r="A2856" s="559"/>
      <c r="E2856" s="668"/>
      <c r="F2856" s="668">
        <v>45</v>
      </c>
      <c r="G2856" s="668"/>
      <c r="H2856" s="571" t="s">
        <v>2387</v>
      </c>
      <c r="I2856" s="670">
        <f>I2843</f>
        <v>12.8</v>
      </c>
      <c r="J2856" s="668" t="s">
        <v>4646</v>
      </c>
      <c r="K2856" s="674">
        <f t="shared" si="87"/>
        <v>576</v>
      </c>
      <c r="L2856" s="668"/>
      <c r="M2856" s="668">
        <v>6</v>
      </c>
      <c r="N2856" s="668" t="s">
        <v>13</v>
      </c>
      <c r="O2856" s="667" t="s">
        <v>4647</v>
      </c>
      <c r="P2856" s="668">
        <v>168.95</v>
      </c>
      <c r="Q2856" s="668" t="s">
        <v>2385</v>
      </c>
      <c r="R2856" s="668">
        <f>M2856*P2856</f>
        <v>1013.6999999999999</v>
      </c>
    </row>
    <row r="2857" spans="1:18">
      <c r="A2857" s="559"/>
      <c r="E2857" s="668"/>
      <c r="F2857" s="668" t="s">
        <v>170</v>
      </c>
      <c r="G2857" s="668"/>
      <c r="H2857" s="668" t="s">
        <v>2389</v>
      </c>
      <c r="I2857" s="668"/>
      <c r="J2857" s="668" t="s">
        <v>170</v>
      </c>
      <c r="K2857" s="674">
        <f>K2873</f>
        <v>3475</v>
      </c>
      <c r="L2857" s="668"/>
      <c r="M2857" s="673">
        <v>0.16666666666666666</v>
      </c>
      <c r="N2857" s="668" t="s">
        <v>4648</v>
      </c>
      <c r="O2857" s="668" t="s">
        <v>2386</v>
      </c>
      <c r="P2857" s="668">
        <v>190</v>
      </c>
      <c r="Q2857" s="668" t="s">
        <v>4648</v>
      </c>
      <c r="R2857" s="668">
        <f>M2857*P2857</f>
        <v>31.666666666666664</v>
      </c>
    </row>
    <row r="2858" spans="1:18" ht="47.25">
      <c r="A2858" s="559"/>
      <c r="E2858" s="668"/>
      <c r="F2858" s="668" t="s">
        <v>170</v>
      </c>
      <c r="G2858" s="668"/>
      <c r="H2858" s="668" t="s">
        <v>2390</v>
      </c>
      <c r="I2858" s="668"/>
      <c r="J2858" s="668" t="s">
        <v>170</v>
      </c>
      <c r="K2858" s="674">
        <v>14.6</v>
      </c>
      <c r="L2858" s="668">
        <f>L2860-K2859</f>
        <v>-769.98333333333358</v>
      </c>
      <c r="M2858" s="668">
        <v>45</v>
      </c>
      <c r="N2858" s="668" t="s">
        <v>34</v>
      </c>
      <c r="O2858" s="571" t="s">
        <v>2387</v>
      </c>
      <c r="P2858" s="668">
        <f>P2846</f>
        <v>12.8</v>
      </c>
      <c r="Q2858" s="668" t="s">
        <v>26</v>
      </c>
      <c r="R2858" s="668">
        <f>M2858*P2858</f>
        <v>576</v>
      </c>
    </row>
    <row r="2859" spans="1:18">
      <c r="A2859" s="559"/>
      <c r="E2859" s="668"/>
      <c r="F2859" s="668"/>
      <c r="G2859" s="668"/>
      <c r="H2859" s="674" t="s">
        <v>4649</v>
      </c>
      <c r="I2859" s="668"/>
      <c r="J2859" s="668"/>
      <c r="K2859" s="856">
        <f>SUM(K2843:K2858)</f>
        <v>7659.9833333333336</v>
      </c>
      <c r="L2859" s="668"/>
      <c r="M2859" s="668">
        <v>6</v>
      </c>
      <c r="N2859" s="668" t="s">
        <v>4650</v>
      </c>
      <c r="O2859" s="668" t="s">
        <v>2389</v>
      </c>
      <c r="P2859" s="668">
        <f>R2877</f>
        <v>371.5</v>
      </c>
      <c r="Q2859" s="668" t="s">
        <v>4650</v>
      </c>
      <c r="R2859" s="668">
        <f>M2859*P2859</f>
        <v>2229</v>
      </c>
    </row>
    <row r="2860" spans="1:18">
      <c r="A2860" s="559"/>
      <c r="E2860" s="668"/>
      <c r="F2860" s="668"/>
      <c r="G2860" s="668"/>
      <c r="H2860" s="676" t="s">
        <v>4651</v>
      </c>
      <c r="I2860" s="668"/>
      <c r="J2860" s="668"/>
      <c r="K2860" s="676">
        <f>K2859/10</f>
        <v>765.99833333333333</v>
      </c>
      <c r="L2860" s="668">
        <f>689*10</f>
        <v>6890</v>
      </c>
      <c r="M2860" s="668"/>
      <c r="N2860" s="668" t="s">
        <v>4444</v>
      </c>
      <c r="O2860" s="668" t="s">
        <v>4652</v>
      </c>
      <c r="P2860" s="668"/>
      <c r="Q2860" s="668"/>
      <c r="R2860" s="668">
        <v>7.35</v>
      </c>
    </row>
    <row r="2861" spans="1:18">
      <c r="A2861" s="559"/>
      <c r="E2861" s="668"/>
      <c r="F2861" s="668"/>
      <c r="G2861" s="668"/>
      <c r="H2861" s="668"/>
      <c r="I2861" s="668"/>
      <c r="J2861" s="668"/>
      <c r="K2861" s="674"/>
      <c r="L2861" s="668"/>
      <c r="M2861" s="668"/>
      <c r="N2861" s="668"/>
      <c r="P2861" s="668"/>
      <c r="Q2861" s="668"/>
      <c r="R2861" s="668"/>
    </row>
    <row r="2862" spans="1:18">
      <c r="A2862" s="559"/>
      <c r="E2862" s="668"/>
      <c r="F2862" s="668"/>
      <c r="G2862" s="668"/>
      <c r="H2862" s="460" t="s">
        <v>4653</v>
      </c>
      <c r="I2862" s="668"/>
      <c r="J2862" s="668"/>
      <c r="K2862" s="674"/>
      <c r="L2862" s="668">
        <f>7660-K2859</f>
        <v>1.6666666666424135E-2</v>
      </c>
      <c r="M2862" s="668"/>
      <c r="N2862" s="668"/>
      <c r="O2862" s="674" t="s">
        <v>4654</v>
      </c>
      <c r="P2862" s="668"/>
      <c r="Q2862" s="668"/>
      <c r="R2862" s="675">
        <f>SUM(R2846:R2861)</f>
        <v>6259.9916666666668</v>
      </c>
    </row>
    <row r="2863" spans="1:18">
      <c r="A2863" s="559"/>
      <c r="E2863" s="668"/>
      <c r="F2863" s="668"/>
      <c r="G2863" s="668"/>
      <c r="H2863" s="668"/>
      <c r="I2863" s="668"/>
      <c r="J2863" s="668"/>
      <c r="K2863" s="674"/>
      <c r="L2863" s="668"/>
      <c r="M2863" s="668"/>
      <c r="N2863" s="668"/>
      <c r="O2863" s="676" t="s">
        <v>4651</v>
      </c>
      <c r="P2863" s="668"/>
      <c r="Q2863" s="668"/>
      <c r="R2863" s="460">
        <f>R2862/6</f>
        <v>1043.3319444444444</v>
      </c>
    </row>
    <row r="2864" spans="1:18">
      <c r="A2864" s="559"/>
      <c r="E2864" s="668"/>
      <c r="F2864" s="668"/>
      <c r="G2864" s="668"/>
      <c r="H2864" s="460" t="s">
        <v>4430</v>
      </c>
      <c r="I2864" s="668"/>
      <c r="J2864" s="668"/>
      <c r="K2864" s="674"/>
      <c r="L2864" s="668"/>
      <c r="M2864" s="668"/>
      <c r="N2864" s="668"/>
      <c r="O2864" s="668"/>
      <c r="P2864" s="668"/>
      <c r="Q2864" s="668"/>
      <c r="R2864" s="668"/>
    </row>
    <row r="2865" spans="1:18">
      <c r="A2865" s="559"/>
      <c r="E2865" s="668"/>
      <c r="F2865" s="668"/>
      <c r="G2865" s="668"/>
      <c r="H2865" s="668"/>
      <c r="I2865" s="668"/>
      <c r="J2865" s="668"/>
      <c r="K2865" s="674"/>
      <c r="L2865" s="668"/>
      <c r="M2865" s="668"/>
    </row>
    <row r="2866" spans="1:18">
      <c r="A2866" s="559"/>
      <c r="E2866" s="668"/>
      <c r="F2866" s="668">
        <v>1</v>
      </c>
      <c r="G2866" s="668" t="s">
        <v>5</v>
      </c>
      <c r="H2866" s="668" t="s">
        <v>4655</v>
      </c>
      <c r="I2866" s="668">
        <v>277</v>
      </c>
      <c r="J2866" s="668" t="s">
        <v>5</v>
      </c>
      <c r="K2866" s="674">
        <f>F2866*I2866</f>
        <v>277</v>
      </c>
      <c r="L2866" s="668"/>
      <c r="M2866" s="668"/>
      <c r="N2866" s="460" t="s">
        <v>4653</v>
      </c>
      <c r="O2866" s="668"/>
      <c r="P2866" s="668"/>
      <c r="Q2866" s="668"/>
    </row>
    <row r="2867" spans="1:18">
      <c r="A2867" s="559"/>
      <c r="E2867" s="668"/>
      <c r="F2867" s="668">
        <v>2</v>
      </c>
      <c r="G2867" s="668" t="s">
        <v>5</v>
      </c>
      <c r="H2867" s="668" t="s">
        <v>4656</v>
      </c>
      <c r="I2867" s="668">
        <v>254</v>
      </c>
      <c r="J2867" s="668" t="s">
        <v>5</v>
      </c>
      <c r="K2867" s="674">
        <f>F2867*I2867</f>
        <v>508</v>
      </c>
      <c r="L2867" s="668"/>
      <c r="M2867" s="668"/>
      <c r="N2867" s="668"/>
      <c r="O2867" s="668"/>
      <c r="P2867" s="668"/>
      <c r="Q2867" s="668"/>
    </row>
    <row r="2868" spans="1:18">
      <c r="A2868" s="559"/>
      <c r="E2868" s="668"/>
      <c r="F2868" s="668">
        <v>3</v>
      </c>
      <c r="G2868" s="668" t="s">
        <v>5</v>
      </c>
      <c r="H2868" s="668" t="s">
        <v>4657</v>
      </c>
      <c r="I2868" s="668">
        <v>240</v>
      </c>
      <c r="J2868" s="668" t="s">
        <v>5</v>
      </c>
      <c r="K2868" s="674">
        <f>F2868*I2868</f>
        <v>720</v>
      </c>
      <c r="L2868" s="668"/>
      <c r="M2868" s="668"/>
      <c r="N2868" s="460" t="s">
        <v>4430</v>
      </c>
      <c r="O2868" s="668"/>
      <c r="P2868" s="668"/>
      <c r="Q2868" s="668"/>
    </row>
    <row r="2869" spans="1:18">
      <c r="A2869" s="559"/>
      <c r="E2869" s="668"/>
      <c r="F2869" s="668">
        <v>4</v>
      </c>
      <c r="G2869" s="668" t="s">
        <v>5</v>
      </c>
      <c r="H2869" s="668" t="s">
        <v>2410</v>
      </c>
      <c r="I2869" s="668">
        <v>181</v>
      </c>
      <c r="J2869" s="668" t="s">
        <v>5</v>
      </c>
      <c r="K2869" s="674">
        <f>F2869*I2869</f>
        <v>724</v>
      </c>
      <c r="L2869" s="668"/>
      <c r="M2869" s="668"/>
      <c r="N2869" s="668"/>
      <c r="O2869" s="668"/>
      <c r="P2869" s="668"/>
      <c r="Q2869" s="668"/>
    </row>
    <row r="2870" spans="1:18">
      <c r="A2870" s="559"/>
      <c r="E2870" s="668"/>
      <c r="F2870" s="668"/>
      <c r="G2870" s="668"/>
      <c r="H2870" s="460" t="s">
        <v>4658</v>
      </c>
      <c r="I2870" s="668"/>
      <c r="J2870" s="668"/>
      <c r="K2870" s="674"/>
      <c r="M2870" s="668">
        <v>1</v>
      </c>
      <c r="N2870" s="668" t="s">
        <v>5</v>
      </c>
      <c r="O2870" s="668" t="s">
        <v>4655</v>
      </c>
      <c r="P2870" s="668">
        <f>I2866</f>
        <v>277</v>
      </c>
      <c r="Q2870" s="668" t="s">
        <v>5</v>
      </c>
      <c r="R2870" s="668">
        <f>M2870*P2870</f>
        <v>277</v>
      </c>
    </row>
    <row r="2871" spans="1:18" ht="18">
      <c r="A2871" s="559"/>
      <c r="E2871" s="668"/>
      <c r="F2871" s="668">
        <v>2</v>
      </c>
      <c r="G2871" s="668" t="s">
        <v>5</v>
      </c>
      <c r="H2871" s="668" t="s">
        <v>4659</v>
      </c>
      <c r="I2871" s="686">
        <v>261</v>
      </c>
      <c r="J2871" s="668" t="s">
        <v>5</v>
      </c>
      <c r="K2871" s="674">
        <f>F2871*I2871</f>
        <v>522</v>
      </c>
      <c r="M2871" s="668">
        <v>2</v>
      </c>
      <c r="N2871" s="668" t="s">
        <v>5</v>
      </c>
      <c r="O2871" s="668" t="s">
        <v>4656</v>
      </c>
      <c r="P2871" s="668">
        <f>I2867</f>
        <v>254</v>
      </c>
      <c r="Q2871" s="668" t="s">
        <v>5</v>
      </c>
      <c r="R2871" s="668">
        <f>M2871*P2871</f>
        <v>508</v>
      </c>
    </row>
    <row r="2872" spans="1:18">
      <c r="A2872" s="559"/>
      <c r="E2872" s="668"/>
      <c r="F2872" s="668">
        <v>4</v>
      </c>
      <c r="G2872" s="668" t="s">
        <v>5</v>
      </c>
      <c r="H2872" s="668" t="s">
        <v>4558</v>
      </c>
      <c r="I2872" s="668">
        <f>I2869</f>
        <v>181</v>
      </c>
      <c r="J2872" s="668" t="s">
        <v>5</v>
      </c>
      <c r="K2872" s="674">
        <f>F2872*I2872</f>
        <v>724</v>
      </c>
      <c r="M2872" s="668">
        <v>3</v>
      </c>
      <c r="N2872" s="668" t="s">
        <v>5</v>
      </c>
      <c r="O2872" s="668" t="s">
        <v>4657</v>
      </c>
      <c r="P2872" s="668">
        <f>I2868</f>
        <v>240</v>
      </c>
      <c r="Q2872" s="668" t="s">
        <v>5</v>
      </c>
      <c r="R2872" s="668">
        <f>M2872*P2872</f>
        <v>720</v>
      </c>
    </row>
    <row r="2873" spans="1:18">
      <c r="A2873" s="559"/>
      <c r="E2873" s="668"/>
      <c r="F2873" s="668"/>
      <c r="G2873" s="668"/>
      <c r="H2873" s="668"/>
      <c r="I2873" s="668"/>
      <c r="J2873" s="668"/>
      <c r="K2873" s="857">
        <f>SUM(K2866:K2872)</f>
        <v>3475</v>
      </c>
      <c r="M2873" s="668">
        <v>4</v>
      </c>
      <c r="N2873" s="668" t="s">
        <v>5</v>
      </c>
      <c r="O2873" s="668" t="s">
        <v>2410</v>
      </c>
      <c r="P2873" s="668">
        <f>I2869</f>
        <v>181</v>
      </c>
      <c r="Q2873" s="668" t="s">
        <v>5</v>
      </c>
      <c r="R2873" s="668">
        <f>M2873*P2873</f>
        <v>724</v>
      </c>
    </row>
    <row r="2874" spans="1:18">
      <c r="A2874" s="559"/>
      <c r="E2874" s="668"/>
      <c r="F2874" s="668"/>
      <c r="G2874" s="668"/>
      <c r="H2874" s="668"/>
      <c r="I2874" s="668"/>
      <c r="J2874" s="668"/>
      <c r="K2874" s="856"/>
      <c r="M2874" s="668"/>
      <c r="N2874" s="668"/>
      <c r="O2874" s="668"/>
      <c r="P2874" s="668"/>
      <c r="Q2874" s="668"/>
      <c r="R2874" s="668"/>
    </row>
    <row r="2875" spans="1:18" ht="19.5" customHeight="1">
      <c r="A2875" s="559"/>
      <c r="E2875" s="668"/>
      <c r="F2875" s="668"/>
      <c r="G2875" s="668"/>
      <c r="H2875" s="562" t="s">
        <v>4660</v>
      </c>
      <c r="I2875" s="668"/>
      <c r="J2875" s="668"/>
      <c r="K2875" s="674"/>
      <c r="L2875" s="668"/>
      <c r="M2875" s="668"/>
      <c r="O2875" s="678" t="s">
        <v>4661</v>
      </c>
      <c r="R2875" s="679">
        <f>SUM(R2870:R2873)</f>
        <v>2229</v>
      </c>
    </row>
    <row r="2876" spans="1:18">
      <c r="A2876" s="559"/>
      <c r="E2876" s="668"/>
      <c r="F2876" s="668"/>
      <c r="G2876" s="668"/>
      <c r="H2876" s="562" t="s">
        <v>4662</v>
      </c>
      <c r="I2876" s="668"/>
      <c r="J2876" s="668"/>
      <c r="K2876" s="674"/>
      <c r="L2876" s="668"/>
      <c r="M2876" s="668"/>
    </row>
    <row r="2877" spans="1:18">
      <c r="A2877" s="559"/>
      <c r="E2877" s="668"/>
      <c r="F2877" s="668"/>
      <c r="G2877" s="668"/>
      <c r="H2877" s="668"/>
      <c r="I2877" s="668"/>
      <c r="J2877" s="668"/>
      <c r="K2877" s="674"/>
      <c r="L2877" s="668"/>
      <c r="M2877" s="668"/>
      <c r="Q2877" s="680" t="s">
        <v>4663</v>
      </c>
      <c r="R2877" s="681">
        <f>R2875/6</f>
        <v>371.5</v>
      </c>
    </row>
    <row r="2878" spans="1:18" ht="195" customHeight="1">
      <c r="A2878" s="559"/>
      <c r="E2878" s="668"/>
      <c r="F2878" s="668"/>
      <c r="G2878" s="668"/>
      <c r="H2878" s="667" t="s">
        <v>5295</v>
      </c>
      <c r="I2878" s="668"/>
      <c r="J2878" s="668"/>
      <c r="K2878" s="674"/>
      <c r="L2878" s="668"/>
      <c r="M2878" s="668"/>
      <c r="O2878" s="667" t="s">
        <v>5296</v>
      </c>
    </row>
    <row r="2879" spans="1:18" ht="31.5">
      <c r="A2879" s="559"/>
      <c r="E2879" s="668"/>
      <c r="F2879" s="668"/>
      <c r="G2879" s="668"/>
      <c r="H2879" s="668" t="s">
        <v>4666</v>
      </c>
      <c r="I2879" s="668"/>
      <c r="J2879" s="668"/>
      <c r="K2879" s="674">
        <f>K2859-K2858</f>
        <v>7645.3833333333332</v>
      </c>
      <c r="L2879" s="668"/>
      <c r="M2879" s="668">
        <v>90</v>
      </c>
      <c r="N2879" s="668" t="s">
        <v>12</v>
      </c>
      <c r="O2879" s="571" t="s">
        <v>2383</v>
      </c>
      <c r="P2879" s="668">
        <f t="shared" ref="P2879:P2887" si="88">P2846</f>
        <v>12.8</v>
      </c>
      <c r="Q2879" s="668" t="s">
        <v>12</v>
      </c>
      <c r="R2879" s="668">
        <f>M2879*P2879</f>
        <v>1152</v>
      </c>
    </row>
    <row r="2880" spans="1:18" ht="31.5">
      <c r="A2880" s="559"/>
      <c r="E2880" s="668"/>
      <c r="F2880" s="668"/>
      <c r="G2880" s="668"/>
      <c r="H2880" s="668" t="s">
        <v>4667</v>
      </c>
      <c r="I2880" s="668"/>
      <c r="J2880" s="668"/>
      <c r="K2880" s="674">
        <f>K2851</f>
        <v>157.5</v>
      </c>
      <c r="L2880" s="668"/>
      <c r="M2880" s="668">
        <v>45</v>
      </c>
      <c r="N2880" s="668" t="s">
        <v>12</v>
      </c>
      <c r="O2880" s="667" t="s">
        <v>2384</v>
      </c>
      <c r="P2880" s="668">
        <f t="shared" si="88"/>
        <v>19.5</v>
      </c>
      <c r="Q2880" s="668" t="s">
        <v>4628</v>
      </c>
      <c r="R2880" s="668">
        <f>M2880*P2880</f>
        <v>877.5</v>
      </c>
    </row>
    <row r="2881" spans="1:18">
      <c r="A2881" s="559"/>
      <c r="E2881" s="668"/>
      <c r="F2881" s="668"/>
      <c r="G2881" s="668"/>
      <c r="H2881" s="668" t="s">
        <v>5299</v>
      </c>
      <c r="I2881" s="668"/>
      <c r="J2881" s="668"/>
      <c r="K2881" s="674">
        <f>10*18.9</f>
        <v>189</v>
      </c>
      <c r="L2881" s="668"/>
      <c r="M2881" s="668">
        <v>75</v>
      </c>
      <c r="N2881" s="668" t="s">
        <v>5</v>
      </c>
      <c r="O2881" s="668" t="s">
        <v>4669</v>
      </c>
      <c r="P2881" s="668">
        <f t="shared" si="88"/>
        <v>2.5</v>
      </c>
      <c r="Q2881" s="668" t="s">
        <v>4633</v>
      </c>
      <c r="R2881" s="668">
        <f>M2881*P2881/12</f>
        <v>15.625</v>
      </c>
    </row>
    <row r="2882" spans="1:18">
      <c r="A2882" s="559"/>
      <c r="E2882" s="668"/>
      <c r="F2882" s="668"/>
      <c r="G2882" s="668"/>
      <c r="H2882" s="668" t="s">
        <v>2390</v>
      </c>
      <c r="I2882" s="668"/>
      <c r="J2882" s="668"/>
      <c r="K2882" s="674">
        <v>13.1</v>
      </c>
      <c r="L2882" s="668"/>
      <c r="M2882" s="668">
        <v>12</v>
      </c>
      <c r="N2882" s="668" t="s">
        <v>5</v>
      </c>
      <c r="O2882" s="668" t="s">
        <v>4635</v>
      </c>
      <c r="P2882" s="668">
        <f t="shared" si="88"/>
        <v>3.15</v>
      </c>
      <c r="Q2882" s="668" t="s">
        <v>5</v>
      </c>
      <c r="R2882" s="668">
        <f>M2882*P2882</f>
        <v>37.799999999999997</v>
      </c>
    </row>
    <row r="2883" spans="1:18">
      <c r="A2883" s="559"/>
      <c r="E2883" s="668"/>
      <c r="F2883" s="668"/>
      <c r="G2883" s="668"/>
      <c r="H2883" s="674" t="s">
        <v>4670</v>
      </c>
      <c r="I2883" s="668"/>
      <c r="J2883" s="668"/>
      <c r="K2883" s="856">
        <f>K2879-K2880+K2881+K2882</f>
        <v>7689.9833333333336</v>
      </c>
      <c r="L2883" s="668"/>
      <c r="M2883" s="668">
        <v>6</v>
      </c>
      <c r="N2883" s="668" t="s">
        <v>5</v>
      </c>
      <c r="O2883" s="668" t="s">
        <v>4637</v>
      </c>
      <c r="P2883" s="668">
        <f t="shared" si="88"/>
        <v>1.3083333333333333</v>
      </c>
      <c r="Q2883" s="668" t="s">
        <v>5</v>
      </c>
      <c r="R2883" s="668">
        <f>M2883*P2883</f>
        <v>7.85</v>
      </c>
    </row>
    <row r="2884" spans="1:18">
      <c r="A2884" s="559"/>
      <c r="E2884" s="668"/>
      <c r="F2884" s="668"/>
      <c r="G2884" s="668"/>
      <c r="H2884" s="676" t="s">
        <v>4671</v>
      </c>
      <c r="I2884" s="668"/>
      <c r="J2884" s="668"/>
      <c r="K2884" s="676">
        <f>K2883/10</f>
        <v>768.99833333333333</v>
      </c>
      <c r="L2884" s="668"/>
      <c r="M2884" s="668">
        <v>150</v>
      </c>
      <c r="N2884" s="668" t="s">
        <v>13</v>
      </c>
      <c r="O2884" s="668" t="s">
        <v>4639</v>
      </c>
      <c r="P2884" s="668">
        <f t="shared" si="88"/>
        <v>300</v>
      </c>
      <c r="Q2884" s="668">
        <v>1000</v>
      </c>
      <c r="R2884" s="668">
        <f>(M2884*P2884)/1000</f>
        <v>45</v>
      </c>
    </row>
    <row r="2885" spans="1:18">
      <c r="A2885" s="559"/>
      <c r="E2885" s="668"/>
      <c r="F2885" s="668"/>
      <c r="G2885" s="668"/>
      <c r="H2885" s="668"/>
      <c r="I2885" s="668"/>
      <c r="J2885" s="668"/>
      <c r="K2885" s="674"/>
      <c r="L2885" s="668"/>
      <c r="M2885" s="672">
        <v>7</v>
      </c>
      <c r="N2885" s="668" t="s">
        <v>13</v>
      </c>
      <c r="O2885" s="668" t="s">
        <v>4641</v>
      </c>
      <c r="P2885" s="668">
        <f t="shared" si="88"/>
        <v>3.5</v>
      </c>
      <c r="Q2885" s="668" t="s">
        <v>5</v>
      </c>
      <c r="R2885" s="668">
        <f>M2885*P2885</f>
        <v>24.5</v>
      </c>
    </row>
    <row r="2886" spans="1:18">
      <c r="A2886" s="559"/>
      <c r="E2886" s="668"/>
      <c r="F2886" s="668"/>
      <c r="G2886" s="668"/>
      <c r="H2886" s="460" t="s">
        <v>4672</v>
      </c>
      <c r="I2886" s="668"/>
      <c r="J2886" s="668"/>
      <c r="K2886" s="674"/>
      <c r="L2886" s="668"/>
      <c r="M2886" s="668">
        <v>6</v>
      </c>
      <c r="N2886" s="668" t="s">
        <v>5</v>
      </c>
      <c r="O2886" s="668" t="s">
        <v>4642</v>
      </c>
      <c r="P2886" s="668">
        <f t="shared" si="88"/>
        <v>15.75</v>
      </c>
      <c r="Q2886" s="668" t="s">
        <v>556</v>
      </c>
      <c r="R2886" s="668">
        <f>M2886*P2886</f>
        <v>94.5</v>
      </c>
    </row>
    <row r="2887" spans="1:18" ht="47.25">
      <c r="A2887" s="559"/>
      <c r="E2887" s="668"/>
      <c r="F2887" s="668"/>
      <c r="G2887" s="668"/>
      <c r="H2887" s="665" t="s">
        <v>4673</v>
      </c>
      <c r="I2887" s="668"/>
      <c r="J2887" s="668"/>
      <c r="K2887" s="674"/>
      <c r="L2887" s="668"/>
      <c r="M2887" s="668">
        <v>6</v>
      </c>
      <c r="N2887" s="668" t="s">
        <v>5</v>
      </c>
      <c r="O2887" s="668" t="s">
        <v>4643</v>
      </c>
      <c r="P2887" s="668">
        <f t="shared" si="88"/>
        <v>167</v>
      </c>
      <c r="Q2887" s="668" t="s">
        <v>4633</v>
      </c>
      <c r="R2887" s="668">
        <f>(M2887*P2887)/12</f>
        <v>83.5</v>
      </c>
    </row>
    <row r="2888" spans="1:18">
      <c r="A2888" s="559"/>
      <c r="E2888" s="668"/>
      <c r="F2888" s="668"/>
      <c r="G2888" s="668"/>
      <c r="H2888" s="668"/>
      <c r="I2888" s="668"/>
      <c r="J2888" s="668"/>
      <c r="K2888" s="674"/>
      <c r="L2888" s="668"/>
      <c r="M2888" s="668">
        <v>1</v>
      </c>
      <c r="N2888" s="668" t="s">
        <v>2413</v>
      </c>
      <c r="O2888" s="668" t="s">
        <v>4644</v>
      </c>
      <c r="P2888" s="668">
        <v>64</v>
      </c>
      <c r="Q2888" s="668" t="s">
        <v>2413</v>
      </c>
      <c r="R2888" s="668">
        <f>(M2888*P2888)</f>
        <v>64</v>
      </c>
    </row>
    <row r="2889" spans="1:18" ht="94.5">
      <c r="A2889" s="559"/>
      <c r="E2889" s="668"/>
      <c r="F2889" s="668"/>
      <c r="G2889" s="668"/>
      <c r="H2889" s="667" t="s">
        <v>5295</v>
      </c>
      <c r="I2889" s="668"/>
      <c r="J2889" s="668"/>
      <c r="K2889" s="674"/>
      <c r="L2889" s="668"/>
      <c r="M2889" s="668">
        <v>6</v>
      </c>
      <c r="N2889" s="668" t="s">
        <v>13</v>
      </c>
      <c r="O2889" s="667" t="s">
        <v>4675</v>
      </c>
      <c r="P2889" s="668">
        <v>42.25</v>
      </c>
      <c r="Q2889" s="668" t="s">
        <v>2385</v>
      </c>
      <c r="R2889" s="668">
        <f>M2889*P2889</f>
        <v>253.5</v>
      </c>
    </row>
    <row r="2890" spans="1:18">
      <c r="A2890" s="559"/>
      <c r="E2890" s="668"/>
      <c r="F2890" s="668"/>
      <c r="G2890" s="668"/>
      <c r="H2890" s="668" t="s">
        <v>4676</v>
      </c>
      <c r="I2890" s="668"/>
      <c r="J2890" s="668"/>
      <c r="K2890" s="674">
        <f>K2879</f>
        <v>7645.3833333333332</v>
      </c>
      <c r="L2890" s="668"/>
      <c r="M2890" s="673">
        <v>0.16666666666666666</v>
      </c>
      <c r="N2890" s="668" t="s">
        <v>4648</v>
      </c>
      <c r="O2890" s="668" t="s">
        <v>2386</v>
      </c>
      <c r="P2890" s="668">
        <f>P2857</f>
        <v>190</v>
      </c>
      <c r="Q2890" s="668" t="s">
        <v>4648</v>
      </c>
      <c r="R2890" s="668">
        <f>M2890*P2890</f>
        <v>31.666666666666664</v>
      </c>
    </row>
    <row r="2891" spans="1:18">
      <c r="A2891" s="559"/>
      <c r="E2891" s="668"/>
      <c r="F2891" s="668"/>
      <c r="G2891" s="668"/>
      <c r="H2891" s="668" t="s">
        <v>4677</v>
      </c>
      <c r="I2891" s="668"/>
      <c r="J2891" s="668"/>
      <c r="K2891" s="674">
        <f>K2880</f>
        <v>157.5</v>
      </c>
      <c r="L2891" s="668"/>
      <c r="M2891" s="668"/>
      <c r="N2891" s="668"/>
      <c r="O2891" s="571"/>
      <c r="P2891" s="668"/>
      <c r="Q2891" s="668"/>
      <c r="R2891" s="668"/>
    </row>
    <row r="2892" spans="1:18">
      <c r="A2892" s="559"/>
      <c r="E2892" s="668"/>
      <c r="F2892" s="668"/>
      <c r="G2892" s="668"/>
      <c r="H2892" s="668" t="s">
        <v>4678</v>
      </c>
      <c r="I2892" s="668"/>
      <c r="J2892" s="668"/>
      <c r="K2892" s="674">
        <f>K2852</f>
        <v>35</v>
      </c>
      <c r="L2892" s="668"/>
      <c r="M2892" s="668">
        <v>6</v>
      </c>
      <c r="N2892" s="668" t="s">
        <v>4650</v>
      </c>
      <c r="O2892" s="668" t="s">
        <v>2389</v>
      </c>
      <c r="P2892" s="668">
        <f>R2877</f>
        <v>371.5</v>
      </c>
      <c r="Q2892" s="668" t="s">
        <v>4650</v>
      </c>
      <c r="R2892" s="668">
        <f>M2892*P2892</f>
        <v>2229</v>
      </c>
    </row>
    <row r="2893" spans="1:18">
      <c r="A2893" s="559"/>
      <c r="E2893" s="668"/>
      <c r="F2893" s="668"/>
      <c r="G2893" s="668"/>
      <c r="H2893" s="668" t="s">
        <v>4679</v>
      </c>
      <c r="I2893" s="668"/>
      <c r="J2893" s="668"/>
      <c r="K2893" s="674">
        <f>K2850</f>
        <v>161.70000000000002</v>
      </c>
      <c r="L2893" s="668"/>
      <c r="M2893" s="668"/>
      <c r="N2893" s="668" t="s">
        <v>4444</v>
      </c>
      <c r="O2893" s="668" t="s">
        <v>4652</v>
      </c>
      <c r="P2893" s="668"/>
      <c r="Q2893" s="668"/>
      <c r="R2893" s="668">
        <v>9.0500000000000007</v>
      </c>
    </row>
    <row r="2894" spans="1:18">
      <c r="A2894" s="559"/>
      <c r="E2894" s="668"/>
      <c r="F2894" s="668"/>
      <c r="G2894" s="668"/>
      <c r="H2894" s="668" t="s">
        <v>5300</v>
      </c>
      <c r="I2894" s="668"/>
      <c r="J2894" s="668"/>
      <c r="K2894" s="858">
        <f>10*47.25</f>
        <v>472.5</v>
      </c>
      <c r="L2894" s="668"/>
      <c r="M2894" s="668"/>
      <c r="N2894" s="668"/>
      <c r="P2894" s="668"/>
      <c r="Q2894" s="668"/>
      <c r="R2894" s="668"/>
    </row>
    <row r="2895" spans="1:18">
      <c r="A2895" s="559"/>
      <c r="E2895" s="668"/>
      <c r="F2895" s="668"/>
      <c r="G2895" s="668"/>
      <c r="H2895" s="668" t="s">
        <v>4681</v>
      </c>
      <c r="I2895" s="668"/>
      <c r="J2895" s="668"/>
      <c r="K2895" s="674">
        <f>10*9</f>
        <v>90</v>
      </c>
      <c r="L2895" s="668"/>
      <c r="M2895" s="668"/>
      <c r="N2895" s="668"/>
      <c r="O2895" s="674" t="s">
        <v>4654</v>
      </c>
      <c r="P2895" s="668"/>
      <c r="Q2895" s="668"/>
      <c r="R2895" s="675">
        <f>SUM(R2879:R2894)</f>
        <v>4925.4916666666668</v>
      </c>
    </row>
    <row r="2896" spans="1:18">
      <c r="A2896" s="559"/>
      <c r="E2896" s="668"/>
      <c r="F2896" s="668"/>
      <c r="G2896" s="668"/>
      <c r="H2896" s="668" t="s">
        <v>5301</v>
      </c>
      <c r="I2896" s="668"/>
      <c r="J2896" s="668"/>
      <c r="K2896" s="858">
        <f>18.9*10</f>
        <v>189</v>
      </c>
      <c r="L2896" s="668"/>
      <c r="M2896" s="668"/>
      <c r="N2896" s="668"/>
      <c r="O2896" s="676" t="s">
        <v>4651</v>
      </c>
      <c r="P2896" s="668"/>
      <c r="Q2896" s="668"/>
      <c r="R2896" s="460">
        <f>R2895/6</f>
        <v>820.91527777777776</v>
      </c>
    </row>
    <row r="2897" spans="1:13">
      <c r="A2897" s="559"/>
      <c r="E2897" s="668"/>
      <c r="F2897" s="668"/>
      <c r="G2897" s="668"/>
      <c r="H2897" s="668" t="s">
        <v>2390</v>
      </c>
      <c r="I2897" s="668"/>
      <c r="J2897" s="668"/>
      <c r="K2897" s="674">
        <v>7.3</v>
      </c>
      <c r="L2897" s="668"/>
      <c r="M2897" s="668"/>
    </row>
    <row r="2898" spans="1:13">
      <c r="A2898" s="559"/>
      <c r="E2898" s="668"/>
      <c r="F2898" s="668"/>
      <c r="G2898" s="668"/>
      <c r="H2898" s="674" t="s">
        <v>4670</v>
      </c>
      <c r="I2898" s="668"/>
      <c r="J2898" s="668"/>
      <c r="K2898" s="856">
        <f>(K2890-K2891-K2892-K2893)+(K2894+K2895+K2896+K2897)</f>
        <v>8049.9833333333336</v>
      </c>
      <c r="L2898" s="668"/>
      <c r="M2898" s="668"/>
    </row>
    <row r="2899" spans="1:13">
      <c r="A2899" s="559"/>
      <c r="E2899" s="668"/>
      <c r="F2899" s="668"/>
      <c r="G2899" s="668"/>
      <c r="H2899" s="676" t="s">
        <v>2378</v>
      </c>
      <c r="I2899" s="668"/>
      <c r="J2899" s="668"/>
      <c r="K2899" s="676">
        <f>K2898/10</f>
        <v>804.99833333333333</v>
      </c>
      <c r="L2899" s="668"/>
      <c r="M2899" s="668"/>
    </row>
    <row r="2900" spans="1:13">
      <c r="A2900" s="559"/>
      <c r="E2900" s="668"/>
      <c r="F2900" s="668"/>
      <c r="G2900" s="668"/>
      <c r="H2900" s="668"/>
      <c r="I2900" s="668"/>
      <c r="J2900" s="668"/>
      <c r="K2900" s="674"/>
      <c r="L2900" s="668"/>
      <c r="M2900" s="668"/>
    </row>
    <row r="2901" spans="1:13">
      <c r="A2901" s="559"/>
      <c r="E2901" s="668"/>
      <c r="F2901" s="668"/>
      <c r="G2901" s="668"/>
      <c r="H2901" s="460" t="s">
        <v>4683</v>
      </c>
      <c r="I2901" s="668"/>
      <c r="J2901" s="668"/>
      <c r="K2901" s="674"/>
      <c r="L2901" s="668"/>
      <c r="M2901" s="668"/>
    </row>
    <row r="2902" spans="1:13">
      <c r="A2902" s="559"/>
      <c r="E2902" s="668"/>
      <c r="F2902" s="668"/>
      <c r="G2902" s="668"/>
      <c r="H2902" s="460" t="s">
        <v>4684</v>
      </c>
      <c r="I2902" s="668"/>
      <c r="J2902" s="668"/>
      <c r="K2902" s="674"/>
      <c r="L2902" s="668"/>
      <c r="M2902" s="668"/>
    </row>
    <row r="2903" spans="1:13" ht="94.5">
      <c r="A2903" s="559"/>
      <c r="E2903" s="668"/>
      <c r="F2903" s="668"/>
      <c r="G2903" s="668"/>
      <c r="H2903" s="667" t="s">
        <v>5295</v>
      </c>
      <c r="I2903" s="668"/>
      <c r="J2903" s="668"/>
      <c r="K2903" s="674"/>
      <c r="L2903" s="668"/>
      <c r="M2903" s="668"/>
    </row>
    <row r="2904" spans="1:13">
      <c r="A2904" s="559"/>
      <c r="E2904" s="668"/>
      <c r="F2904" s="668"/>
      <c r="G2904" s="668"/>
      <c r="H2904" s="668"/>
      <c r="I2904" s="668"/>
      <c r="J2904" s="668"/>
      <c r="K2904" s="674"/>
      <c r="L2904" s="668"/>
      <c r="M2904" s="668"/>
    </row>
    <row r="2905" spans="1:13" ht="31.5">
      <c r="A2905" s="559"/>
      <c r="E2905" s="668"/>
      <c r="F2905" s="668">
        <v>90</v>
      </c>
      <c r="G2905" s="668" t="s">
        <v>12</v>
      </c>
      <c r="H2905" s="571" t="s">
        <v>2383</v>
      </c>
      <c r="I2905" s="668">
        <f>I2843</f>
        <v>12.8</v>
      </c>
      <c r="J2905" s="668" t="s">
        <v>4646</v>
      </c>
      <c r="K2905" s="674">
        <f t="shared" ref="K2905:K2917" si="89">F2905*I2905</f>
        <v>1152</v>
      </c>
      <c r="L2905" s="668"/>
      <c r="M2905" s="668"/>
    </row>
    <row r="2906" spans="1:13" ht="31.5">
      <c r="A2906" s="559"/>
      <c r="E2906" s="668"/>
      <c r="F2906" s="668">
        <v>45</v>
      </c>
      <c r="G2906" s="668" t="s">
        <v>12</v>
      </c>
      <c r="H2906" s="667" t="s">
        <v>2384</v>
      </c>
      <c r="I2906" s="668">
        <f>I2844</f>
        <v>19.5</v>
      </c>
      <c r="J2906" s="668" t="s">
        <v>12</v>
      </c>
      <c r="K2906" s="674">
        <f t="shared" si="89"/>
        <v>877.5</v>
      </c>
      <c r="L2906" s="668"/>
      <c r="M2906" s="668"/>
    </row>
    <row r="2907" spans="1:13">
      <c r="A2907" s="559"/>
      <c r="E2907" s="668"/>
      <c r="F2907" s="668">
        <v>20</v>
      </c>
      <c r="G2907" s="668" t="s">
        <v>5</v>
      </c>
      <c r="H2907" s="668" t="s">
        <v>4635</v>
      </c>
      <c r="I2907" s="668">
        <f>I2845</f>
        <v>3.15</v>
      </c>
      <c r="J2907" s="668" t="s">
        <v>5</v>
      </c>
      <c r="K2907" s="674">
        <f t="shared" si="89"/>
        <v>63</v>
      </c>
      <c r="L2907" s="668"/>
      <c r="M2907" s="668"/>
    </row>
    <row r="2908" spans="1:13">
      <c r="A2908" s="559"/>
      <c r="E2908" s="668"/>
      <c r="F2908" s="668">
        <v>10</v>
      </c>
      <c r="G2908" s="668" t="s">
        <v>5</v>
      </c>
      <c r="H2908" s="668" t="s">
        <v>4637</v>
      </c>
      <c r="I2908" s="668">
        <f>I2846</f>
        <v>1.3083333333333333</v>
      </c>
      <c r="J2908" s="668" t="s">
        <v>5</v>
      </c>
      <c r="K2908" s="674">
        <f t="shared" si="89"/>
        <v>13.083333333333334</v>
      </c>
      <c r="L2908" s="668"/>
      <c r="M2908" s="668"/>
    </row>
    <row r="2909" spans="1:13">
      <c r="A2909" s="559"/>
      <c r="E2909" s="668"/>
      <c r="F2909" s="668">
        <v>10</v>
      </c>
      <c r="G2909" s="668" t="s">
        <v>5</v>
      </c>
      <c r="H2909" s="668" t="s">
        <v>4729</v>
      </c>
      <c r="I2909" s="668">
        <f>I2852</f>
        <v>3.5</v>
      </c>
      <c r="J2909" s="668" t="s">
        <v>5</v>
      </c>
      <c r="K2909" s="674">
        <f t="shared" si="89"/>
        <v>35</v>
      </c>
      <c r="L2909" s="668"/>
      <c r="M2909" s="668"/>
    </row>
    <row r="2910" spans="1:13">
      <c r="A2910" s="559"/>
      <c r="E2910" s="668"/>
      <c r="F2910" s="668">
        <v>10</v>
      </c>
      <c r="G2910" s="668" t="s">
        <v>5</v>
      </c>
      <c r="H2910" s="668" t="s">
        <v>4642</v>
      </c>
      <c r="I2910" s="668">
        <f>I2851</f>
        <v>15.75</v>
      </c>
      <c r="J2910" s="668" t="s">
        <v>5</v>
      </c>
      <c r="K2910" s="674">
        <f t="shared" si="89"/>
        <v>157.5</v>
      </c>
      <c r="L2910" s="668"/>
      <c r="M2910" s="668"/>
    </row>
    <row r="2911" spans="1:13">
      <c r="A2911" s="559"/>
      <c r="E2911" s="668"/>
      <c r="F2911" s="668">
        <v>10</v>
      </c>
      <c r="G2911" s="668" t="s">
        <v>5</v>
      </c>
      <c r="H2911" s="668" t="s">
        <v>4718</v>
      </c>
      <c r="I2911" s="668">
        <f>I2850</f>
        <v>16.170000000000002</v>
      </c>
      <c r="J2911" s="668" t="s">
        <v>5</v>
      </c>
      <c r="K2911" s="674">
        <f t="shared" si="89"/>
        <v>161.70000000000002</v>
      </c>
      <c r="L2911" s="668"/>
      <c r="M2911" s="668"/>
    </row>
    <row r="2912" spans="1:13">
      <c r="A2912" s="559"/>
      <c r="E2912" s="668"/>
      <c r="F2912" s="668">
        <v>10</v>
      </c>
      <c r="G2912" s="668" t="s">
        <v>5</v>
      </c>
      <c r="H2912" s="668" t="s">
        <v>4688</v>
      </c>
      <c r="I2912" s="670">
        <v>103.9</v>
      </c>
      <c r="J2912" s="668" t="s">
        <v>5</v>
      </c>
      <c r="K2912" s="674">
        <f t="shared" si="89"/>
        <v>1039</v>
      </c>
      <c r="L2912" s="668"/>
      <c r="M2912" s="668"/>
    </row>
    <row r="2913" spans="1:13">
      <c r="A2913" s="559"/>
      <c r="E2913" s="668"/>
      <c r="F2913" s="668">
        <v>0.6</v>
      </c>
      <c r="G2913" s="668" t="s">
        <v>26</v>
      </c>
      <c r="H2913" s="668" t="s">
        <v>4687</v>
      </c>
      <c r="I2913" s="668">
        <f>I2849</f>
        <v>640</v>
      </c>
      <c r="J2913" s="668" t="s">
        <v>26</v>
      </c>
      <c r="K2913" s="674">
        <f t="shared" si="89"/>
        <v>384</v>
      </c>
      <c r="L2913" s="668"/>
      <c r="M2913" s="668"/>
    </row>
    <row r="2914" spans="1:13">
      <c r="A2914" s="559"/>
      <c r="E2914" s="668"/>
      <c r="F2914" s="668">
        <v>1</v>
      </c>
      <c r="G2914" s="668" t="s">
        <v>5</v>
      </c>
      <c r="H2914" s="668" t="s">
        <v>5302</v>
      </c>
      <c r="I2914" s="668">
        <f>I2854</f>
        <v>64</v>
      </c>
      <c r="J2914" s="668" t="s">
        <v>5</v>
      </c>
      <c r="K2914" s="674">
        <f t="shared" si="89"/>
        <v>64</v>
      </c>
      <c r="L2914" s="668"/>
      <c r="M2914" s="668"/>
    </row>
    <row r="2915" spans="1:13">
      <c r="A2915" s="559"/>
      <c r="E2915" s="668"/>
      <c r="F2915" s="672">
        <v>1.4999999999999999E-2</v>
      </c>
      <c r="G2915" s="668" t="s">
        <v>26</v>
      </c>
      <c r="H2915" s="668" t="s">
        <v>4687</v>
      </c>
      <c r="I2915" s="668">
        <f>I2913</f>
        <v>640</v>
      </c>
      <c r="J2915" s="668" t="s">
        <v>26</v>
      </c>
      <c r="K2915" s="674">
        <f t="shared" si="89"/>
        <v>9.6</v>
      </c>
      <c r="L2915" s="668"/>
      <c r="M2915" s="668"/>
    </row>
    <row r="2916" spans="1:13">
      <c r="A2916" s="559"/>
      <c r="E2916" s="668"/>
      <c r="F2916" s="668">
        <v>1.25</v>
      </c>
      <c r="G2916" s="668" t="s">
        <v>2385</v>
      </c>
      <c r="H2916" s="668" t="s">
        <v>2386</v>
      </c>
      <c r="I2916" s="668">
        <f>I2853</f>
        <v>260</v>
      </c>
      <c r="J2916" s="668" t="s">
        <v>2385</v>
      </c>
      <c r="K2916" s="674">
        <f t="shared" si="89"/>
        <v>325</v>
      </c>
      <c r="L2916" s="668"/>
      <c r="M2916" s="668"/>
    </row>
    <row r="2917" spans="1:13" ht="31.5">
      <c r="A2917" s="559"/>
      <c r="E2917" s="668"/>
      <c r="F2917" s="668">
        <v>45</v>
      </c>
      <c r="G2917" s="668" t="s">
        <v>12</v>
      </c>
      <c r="H2917" s="571" t="s">
        <v>2387</v>
      </c>
      <c r="I2917" s="668">
        <f>I2843</f>
        <v>12.8</v>
      </c>
      <c r="J2917" s="668" t="s">
        <v>4646</v>
      </c>
      <c r="K2917" s="674">
        <f t="shared" si="89"/>
        <v>576</v>
      </c>
      <c r="L2917" s="668"/>
      <c r="M2917" s="668"/>
    </row>
    <row r="2918" spans="1:13">
      <c r="A2918" s="559"/>
      <c r="E2918" s="668"/>
      <c r="F2918" s="668" t="s">
        <v>170</v>
      </c>
      <c r="G2918" s="668"/>
      <c r="H2918" s="668" t="s">
        <v>2389</v>
      </c>
      <c r="I2918" s="668"/>
      <c r="J2918" s="668"/>
      <c r="K2918" s="674">
        <f>K2873</f>
        <v>3475</v>
      </c>
      <c r="L2918" s="668"/>
      <c r="M2918" s="668"/>
    </row>
    <row r="2919" spans="1:13">
      <c r="A2919" s="559"/>
      <c r="E2919" s="668"/>
      <c r="F2919" s="668" t="s">
        <v>170</v>
      </c>
      <c r="G2919" s="668"/>
      <c r="H2919" s="668" t="s">
        <v>2390</v>
      </c>
      <c r="I2919" s="668"/>
      <c r="J2919" s="668"/>
      <c r="K2919" s="674">
        <f>5.57+2.03</f>
        <v>7.6</v>
      </c>
      <c r="L2919" s="668">
        <f>754*10</f>
        <v>7540</v>
      </c>
      <c r="M2919" s="668"/>
    </row>
    <row r="2920" spans="1:13">
      <c r="A2920" s="559"/>
      <c r="E2920" s="668"/>
      <c r="F2920" s="668"/>
      <c r="G2920" s="668"/>
      <c r="H2920" s="674" t="s">
        <v>4670</v>
      </c>
      <c r="I2920" s="668"/>
      <c r="J2920" s="668"/>
      <c r="K2920" s="856">
        <f>SUM(K2905:K2919)</f>
        <v>8339.9833333333336</v>
      </c>
      <c r="L2920" s="668">
        <f>834*10-K2920</f>
        <v>1.6666666666424135E-2</v>
      </c>
      <c r="M2920" s="668"/>
    </row>
    <row r="2921" spans="1:13">
      <c r="A2921" s="559"/>
      <c r="E2921" s="668"/>
      <c r="F2921" s="668"/>
      <c r="G2921" s="668"/>
      <c r="H2921" s="676" t="s">
        <v>2378</v>
      </c>
      <c r="I2921" s="668"/>
      <c r="J2921" s="668"/>
      <c r="K2921" s="676">
        <f>K2920/10</f>
        <v>833.99833333333333</v>
      </c>
      <c r="L2921" s="668"/>
      <c r="M2921" s="668"/>
    </row>
    <row r="2922" spans="1:13">
      <c r="A2922" s="559"/>
      <c r="E2922" s="668"/>
      <c r="F2922" s="668"/>
      <c r="G2922" s="668"/>
      <c r="H2922" s="460" t="s">
        <v>4688</v>
      </c>
      <c r="I2922" s="668"/>
      <c r="J2922" s="668"/>
      <c r="K2922" s="676"/>
      <c r="L2922" s="668"/>
      <c r="M2922" s="668"/>
    </row>
    <row r="2923" spans="1:13">
      <c r="A2923" s="559"/>
      <c r="E2923" s="668"/>
      <c r="F2923" s="668"/>
      <c r="G2923" s="668"/>
      <c r="H2923" s="684" t="s">
        <v>4689</v>
      </c>
      <c r="I2923" s="668">
        <f>90</f>
        <v>90</v>
      </c>
      <c r="J2923" s="668"/>
      <c r="K2923" s="676"/>
      <c r="L2923" s="668"/>
      <c r="M2923" s="668"/>
    </row>
    <row r="2924" spans="1:13">
      <c r="A2924" s="559"/>
      <c r="E2924" s="668"/>
      <c r="F2924" s="668"/>
      <c r="G2924" s="668"/>
      <c r="H2924" s="684" t="s">
        <v>4690</v>
      </c>
      <c r="I2924" s="685">
        <v>8.2500000000000004E-2</v>
      </c>
      <c r="J2924" s="668"/>
      <c r="K2924" s="676"/>
      <c r="L2924" s="668"/>
      <c r="M2924" s="668"/>
    </row>
    <row r="2925" spans="1:13" ht="18">
      <c r="A2925" s="559"/>
      <c r="E2925" s="668"/>
      <c r="F2925" s="668"/>
      <c r="G2925" s="668"/>
      <c r="H2925" s="684" t="s">
        <v>4691</v>
      </c>
      <c r="I2925" s="672">
        <v>0.13500000000000001</v>
      </c>
      <c r="J2925" s="668"/>
      <c r="K2925" s="676">
        <f>I2923*I2925/I2924</f>
        <v>147.27272727272728</v>
      </c>
      <c r="L2925" s="668"/>
      <c r="M2925" s="668"/>
    </row>
    <row r="2926" spans="1:13">
      <c r="A2926" s="559"/>
      <c r="E2926" s="668"/>
      <c r="F2926" s="668"/>
      <c r="G2926" s="668"/>
      <c r="H2926" s="676"/>
      <c r="I2926" s="668"/>
      <c r="J2926" s="668"/>
      <c r="K2926" s="676"/>
      <c r="L2926" s="668"/>
      <c r="M2926" s="668"/>
    </row>
    <row r="2927" spans="1:13">
      <c r="A2927" s="559"/>
      <c r="E2927" s="668"/>
      <c r="F2927" s="668"/>
      <c r="G2927" s="668"/>
      <c r="H2927" s="668"/>
      <c r="I2927" s="668"/>
      <c r="J2927" s="668"/>
      <c r="K2927" s="674"/>
      <c r="L2927" s="668"/>
      <c r="M2927" s="668"/>
    </row>
    <row r="2928" spans="1:13">
      <c r="A2928" s="559"/>
      <c r="E2928" s="668"/>
      <c r="F2928" s="668"/>
      <c r="G2928" s="668"/>
      <c r="H2928" s="460" t="s">
        <v>4692</v>
      </c>
      <c r="I2928" s="668"/>
      <c r="J2928" s="668"/>
      <c r="K2928" s="674"/>
      <c r="L2928" s="668"/>
      <c r="M2928" s="668"/>
    </row>
    <row r="2929" spans="1:13">
      <c r="A2929" s="559"/>
      <c r="E2929" s="668"/>
      <c r="F2929" s="668"/>
      <c r="G2929" s="668"/>
      <c r="H2929" s="460" t="s">
        <v>4693</v>
      </c>
      <c r="I2929" s="668"/>
      <c r="J2929" s="668"/>
      <c r="K2929" s="674"/>
      <c r="L2929" s="668"/>
      <c r="M2929" s="668"/>
    </row>
    <row r="2930" spans="1:13" ht="94.5">
      <c r="A2930" s="559"/>
      <c r="E2930" s="668"/>
      <c r="F2930" s="668"/>
      <c r="G2930" s="668"/>
      <c r="H2930" s="667" t="s">
        <v>5295</v>
      </c>
      <c r="I2930" s="668"/>
      <c r="J2930" s="668"/>
      <c r="K2930" s="674"/>
      <c r="L2930" s="668"/>
      <c r="M2930" s="668"/>
    </row>
    <row r="2931" spans="1:13" ht="31.5">
      <c r="A2931" s="559"/>
      <c r="E2931" s="668"/>
      <c r="F2931" s="668">
        <v>90</v>
      </c>
      <c r="G2931" s="668" t="s">
        <v>12</v>
      </c>
      <c r="H2931" s="571" t="s">
        <v>2383</v>
      </c>
      <c r="I2931" s="668">
        <f>I2843</f>
        <v>12.8</v>
      </c>
      <c r="J2931" s="668" t="s">
        <v>2388</v>
      </c>
      <c r="K2931" s="674">
        <f t="shared" ref="K2931:K2941" si="90">F2931*I2931</f>
        <v>1152</v>
      </c>
      <c r="L2931" s="668"/>
      <c r="M2931" s="668"/>
    </row>
    <row r="2932" spans="1:13" ht="31.5">
      <c r="A2932" s="559"/>
      <c r="E2932" s="668"/>
      <c r="F2932" s="668">
        <v>30</v>
      </c>
      <c r="G2932" s="668" t="s">
        <v>12</v>
      </c>
      <c r="H2932" s="667" t="s">
        <v>2384</v>
      </c>
      <c r="I2932" s="668">
        <f>I2906</f>
        <v>19.5</v>
      </c>
      <c r="J2932" s="668" t="s">
        <v>12</v>
      </c>
      <c r="K2932" s="674">
        <f t="shared" si="90"/>
        <v>585</v>
      </c>
      <c r="L2932" s="668"/>
      <c r="M2932" s="668"/>
    </row>
    <row r="2933" spans="1:13">
      <c r="A2933" s="559"/>
      <c r="E2933" s="668"/>
      <c r="F2933" s="668">
        <v>10</v>
      </c>
      <c r="G2933" s="668" t="s">
        <v>5</v>
      </c>
      <c r="H2933" s="668" t="s">
        <v>4635</v>
      </c>
      <c r="I2933" s="668">
        <f>I2907</f>
        <v>3.15</v>
      </c>
      <c r="J2933" s="668" t="s">
        <v>5</v>
      </c>
      <c r="K2933" s="674">
        <f t="shared" si="90"/>
        <v>31.5</v>
      </c>
      <c r="L2933" s="668"/>
      <c r="M2933" s="668"/>
    </row>
    <row r="2934" spans="1:13">
      <c r="A2934" s="559"/>
      <c r="E2934" s="668"/>
      <c r="F2934" s="668">
        <v>5</v>
      </c>
      <c r="G2934" s="668" t="s">
        <v>5</v>
      </c>
      <c r="H2934" s="668" t="s">
        <v>4637</v>
      </c>
      <c r="I2934" s="668">
        <f>I2908</f>
        <v>1.3083333333333333</v>
      </c>
      <c r="J2934" s="668" t="s">
        <v>5</v>
      </c>
      <c r="K2934" s="674">
        <f t="shared" si="90"/>
        <v>6.541666666666667</v>
      </c>
      <c r="L2934" s="668"/>
      <c r="M2934" s="668"/>
    </row>
    <row r="2935" spans="1:13">
      <c r="A2935" s="559"/>
      <c r="E2935" s="668"/>
      <c r="F2935" s="668">
        <v>10</v>
      </c>
      <c r="G2935" s="668" t="s">
        <v>5</v>
      </c>
      <c r="H2935" s="668" t="s">
        <v>4732</v>
      </c>
      <c r="I2935" s="668">
        <f>ROUND(241/12,2)</f>
        <v>20.079999999999998</v>
      </c>
      <c r="J2935" s="668" t="s">
        <v>5</v>
      </c>
      <c r="K2935" s="674">
        <f t="shared" si="90"/>
        <v>200.79999999999998</v>
      </c>
      <c r="L2935" s="668"/>
      <c r="M2935" s="668"/>
    </row>
    <row r="2936" spans="1:13">
      <c r="A2936" s="559"/>
      <c r="E2936" s="668"/>
      <c r="F2936" s="668">
        <v>5</v>
      </c>
      <c r="G2936" s="668" t="s">
        <v>5</v>
      </c>
      <c r="H2936" s="668" t="s">
        <v>4642</v>
      </c>
      <c r="I2936" s="668">
        <f>I2910</f>
        <v>15.75</v>
      </c>
      <c r="J2936" s="668" t="s">
        <v>5</v>
      </c>
      <c r="K2936" s="674">
        <f t="shared" si="90"/>
        <v>78.75</v>
      </c>
      <c r="L2936" s="668"/>
      <c r="M2936" s="668"/>
    </row>
    <row r="2937" spans="1:13">
      <c r="A2937" s="559"/>
      <c r="E2937" s="668"/>
      <c r="F2937" s="668">
        <v>5</v>
      </c>
      <c r="G2937" s="668" t="s">
        <v>5</v>
      </c>
      <c r="H2937" s="668" t="s">
        <v>4719</v>
      </c>
      <c r="I2937" s="668">
        <f>I2909</f>
        <v>3.5</v>
      </c>
      <c r="J2937" s="668" t="s">
        <v>5</v>
      </c>
      <c r="K2937" s="674">
        <f t="shared" si="90"/>
        <v>17.5</v>
      </c>
      <c r="L2937" s="668"/>
      <c r="M2937" s="668"/>
    </row>
    <row r="2938" spans="1:13">
      <c r="A2938" s="559"/>
      <c r="E2938" s="668"/>
      <c r="F2938" s="668">
        <v>6</v>
      </c>
      <c r="G2938" s="668" t="s">
        <v>5</v>
      </c>
      <c r="H2938" s="668" t="s">
        <v>5033</v>
      </c>
      <c r="I2938" s="668">
        <f>I2914</f>
        <v>64</v>
      </c>
      <c r="J2938" s="668" t="s">
        <v>5</v>
      </c>
      <c r="K2938" s="674">
        <f t="shared" si="90"/>
        <v>384</v>
      </c>
      <c r="L2938" s="668"/>
      <c r="M2938" s="668"/>
    </row>
    <row r="2939" spans="1:13">
      <c r="A2939" s="559"/>
      <c r="E2939" s="668"/>
      <c r="F2939" s="668">
        <v>0.09</v>
      </c>
      <c r="G2939" s="668" t="s">
        <v>26</v>
      </c>
      <c r="H2939" s="668" t="s">
        <v>4700</v>
      </c>
      <c r="I2939" s="668">
        <f>I2913</f>
        <v>640</v>
      </c>
      <c r="J2939" s="668" t="s">
        <v>26</v>
      </c>
      <c r="K2939" s="674">
        <f t="shared" si="90"/>
        <v>57.599999999999994</v>
      </c>
      <c r="L2939" s="668"/>
      <c r="M2939" s="668"/>
    </row>
    <row r="2940" spans="1:13">
      <c r="A2940" s="559"/>
      <c r="E2940" s="668"/>
      <c r="F2940" s="668">
        <v>1.25</v>
      </c>
      <c r="G2940" s="668" t="s">
        <v>2385</v>
      </c>
      <c r="H2940" s="668" t="s">
        <v>2386</v>
      </c>
      <c r="I2940" s="668">
        <f>I2916</f>
        <v>260</v>
      </c>
      <c r="J2940" s="668" t="s">
        <v>2385</v>
      </c>
      <c r="K2940" s="674">
        <f t="shared" si="90"/>
        <v>325</v>
      </c>
      <c r="L2940" s="668"/>
      <c r="M2940" s="668"/>
    </row>
    <row r="2941" spans="1:13" ht="31.5">
      <c r="A2941" s="559"/>
      <c r="E2941" s="668"/>
      <c r="F2941" s="668">
        <v>30</v>
      </c>
      <c r="G2941" s="668" t="s">
        <v>12</v>
      </c>
      <c r="H2941" s="571" t="s">
        <v>2387</v>
      </c>
      <c r="I2941" s="668">
        <f>I2931</f>
        <v>12.8</v>
      </c>
      <c r="J2941" s="668" t="s">
        <v>4646</v>
      </c>
      <c r="K2941" s="674">
        <f t="shared" si="90"/>
        <v>384</v>
      </c>
      <c r="L2941" s="668"/>
      <c r="M2941" s="668"/>
    </row>
    <row r="2942" spans="1:13">
      <c r="A2942" s="559"/>
      <c r="E2942" s="668"/>
      <c r="F2942" s="668"/>
      <c r="G2942" s="668"/>
      <c r="H2942" s="668" t="s">
        <v>2389</v>
      </c>
      <c r="I2942" s="668"/>
      <c r="J2942" s="668"/>
      <c r="K2942" s="674">
        <f>K2873</f>
        <v>3475</v>
      </c>
      <c r="L2942" s="668"/>
      <c r="M2942" s="668"/>
    </row>
    <row r="2943" spans="1:13">
      <c r="A2943" s="559"/>
      <c r="E2943" s="668"/>
      <c r="F2943" s="668"/>
      <c r="G2943" s="668"/>
      <c r="H2943" s="668" t="s">
        <v>2390</v>
      </c>
      <c r="I2943" s="668"/>
      <c r="J2943" s="668"/>
      <c r="K2943" s="684">
        <f>9.75+2.55</f>
        <v>12.3</v>
      </c>
      <c r="L2943" s="668"/>
      <c r="M2943" s="668"/>
    </row>
    <row r="2944" spans="1:13">
      <c r="A2944" s="559"/>
      <c r="E2944" s="668"/>
      <c r="F2944" s="668"/>
      <c r="G2944" s="668"/>
      <c r="H2944" s="674" t="s">
        <v>4696</v>
      </c>
      <c r="I2944" s="668"/>
      <c r="J2944" s="668"/>
      <c r="K2944" s="856">
        <f>SUM(K2931:K2943)</f>
        <v>6709.9916666666668</v>
      </c>
      <c r="L2944" s="668"/>
      <c r="M2944" s="668"/>
    </row>
    <row r="2945" spans="1:14">
      <c r="A2945" s="559"/>
      <c r="E2945" s="668"/>
      <c r="F2945" s="668"/>
      <c r="G2945" s="668"/>
      <c r="H2945" s="676" t="s">
        <v>2378</v>
      </c>
      <c r="I2945" s="668"/>
      <c r="J2945" s="668"/>
      <c r="K2945" s="676">
        <f>K2944/5</f>
        <v>1341.9983333333334</v>
      </c>
      <c r="L2945" s="668"/>
      <c r="M2945" s="668"/>
    </row>
    <row r="2946" spans="1:14">
      <c r="A2946" s="559"/>
      <c r="E2946" s="668"/>
      <c r="F2946" s="668"/>
      <c r="G2946" s="668"/>
      <c r="H2946" s="668"/>
      <c r="I2946" s="668"/>
      <c r="J2946" s="668"/>
      <c r="K2946" s="674"/>
      <c r="L2946" s="668"/>
      <c r="M2946" s="668"/>
    </row>
    <row r="2947" spans="1:14">
      <c r="A2947" s="559"/>
      <c r="E2947" s="668"/>
      <c r="F2947" s="668"/>
      <c r="G2947" s="668"/>
      <c r="H2947" s="460" t="s">
        <v>4697</v>
      </c>
      <c r="I2947" s="668"/>
      <c r="J2947" s="668"/>
      <c r="K2947" s="674"/>
      <c r="L2947" s="668"/>
      <c r="M2947" s="668"/>
    </row>
    <row r="2948" spans="1:14">
      <c r="A2948" s="559"/>
      <c r="E2948" s="668"/>
      <c r="F2948" s="668"/>
      <c r="G2948" s="668"/>
      <c r="H2948" s="460" t="s">
        <v>4698</v>
      </c>
      <c r="I2948" s="668"/>
      <c r="J2948" s="668"/>
      <c r="K2948" s="674"/>
      <c r="L2948" s="668"/>
      <c r="M2948" s="668"/>
    </row>
    <row r="2949" spans="1:14">
      <c r="A2949" s="559"/>
      <c r="E2949" s="668"/>
      <c r="F2949" s="668"/>
      <c r="G2949" s="668"/>
      <c r="H2949" s="668"/>
      <c r="I2949" s="668"/>
      <c r="J2949" s="668"/>
      <c r="K2949" s="674"/>
      <c r="L2949" s="668"/>
      <c r="M2949" s="668"/>
    </row>
    <row r="2950" spans="1:14" ht="94.5">
      <c r="A2950" s="559"/>
      <c r="E2950" s="668"/>
      <c r="F2950" s="668"/>
      <c r="G2950" s="668"/>
      <c r="H2950" s="667" t="s">
        <v>5295</v>
      </c>
      <c r="I2950" s="668"/>
      <c r="J2950" s="668"/>
      <c r="K2950" s="674"/>
      <c r="L2950" s="668"/>
      <c r="M2950" s="668"/>
    </row>
    <row r="2951" spans="1:14" ht="31.5">
      <c r="A2951" s="559"/>
      <c r="E2951" s="668"/>
      <c r="F2951" s="668">
        <v>90</v>
      </c>
      <c r="G2951" s="668" t="s">
        <v>12</v>
      </c>
      <c r="H2951" s="571" t="s">
        <v>2383</v>
      </c>
      <c r="I2951" s="668">
        <f>I2931</f>
        <v>12.8</v>
      </c>
      <c r="J2951" s="668" t="s">
        <v>4646</v>
      </c>
      <c r="K2951" s="674">
        <f t="shared" ref="K2951:K2961" si="91">F2951*I2951</f>
        <v>1152</v>
      </c>
      <c r="L2951" s="668"/>
      <c r="M2951" s="668"/>
    </row>
    <row r="2952" spans="1:14" ht="31.5">
      <c r="E2952" s="668"/>
      <c r="F2952" s="668">
        <v>45</v>
      </c>
      <c r="G2952" s="668" t="s">
        <v>12</v>
      </c>
      <c r="H2952" s="667" t="s">
        <v>2384</v>
      </c>
      <c r="I2952" s="668">
        <f>I2932</f>
        <v>19.5</v>
      </c>
      <c r="J2952" s="668" t="s">
        <v>12</v>
      </c>
      <c r="K2952" s="674">
        <f t="shared" si="91"/>
        <v>877.5</v>
      </c>
      <c r="L2952" s="668"/>
      <c r="M2952" s="668"/>
    </row>
    <row r="2953" spans="1:14">
      <c r="E2953" s="668"/>
      <c r="F2953" s="668">
        <v>20</v>
      </c>
      <c r="G2953" s="668" t="s">
        <v>5</v>
      </c>
      <c r="H2953" s="668" t="s">
        <v>4635</v>
      </c>
      <c r="I2953" s="668">
        <f>I2933</f>
        <v>3.15</v>
      </c>
      <c r="J2953" s="668" t="s">
        <v>4633</v>
      </c>
      <c r="K2953" s="674">
        <f t="shared" si="91"/>
        <v>63</v>
      </c>
      <c r="L2953" s="668"/>
      <c r="M2953" s="668"/>
    </row>
    <row r="2954" spans="1:14">
      <c r="E2954" s="668"/>
      <c r="F2954" s="668">
        <v>10</v>
      </c>
      <c r="G2954" s="668" t="s">
        <v>5</v>
      </c>
      <c r="H2954" s="668" t="s">
        <v>4637</v>
      </c>
      <c r="I2954" s="668">
        <f>I2934</f>
        <v>1.3083333333333333</v>
      </c>
      <c r="J2954" s="668" t="s">
        <v>4633</v>
      </c>
      <c r="K2954" s="674">
        <f t="shared" si="91"/>
        <v>13.083333333333334</v>
      </c>
      <c r="L2954" s="668"/>
      <c r="M2954" s="668"/>
    </row>
    <row r="2955" spans="1:14">
      <c r="E2955" s="668"/>
      <c r="F2955" s="668">
        <v>1</v>
      </c>
      <c r="G2955" s="668" t="s">
        <v>5</v>
      </c>
      <c r="H2955" s="668" t="s">
        <v>5033</v>
      </c>
      <c r="I2955" s="668">
        <f>I2938</f>
        <v>64</v>
      </c>
      <c r="J2955" s="668" t="s">
        <v>5</v>
      </c>
      <c r="K2955" s="674">
        <f t="shared" si="91"/>
        <v>64</v>
      </c>
      <c r="L2955" s="668"/>
      <c r="M2955" s="668"/>
    </row>
    <row r="2956" spans="1:14">
      <c r="E2956" s="668"/>
      <c r="F2956" s="672">
        <v>1.4999999999999999E-2</v>
      </c>
      <c r="G2956" s="668" t="s">
        <v>26</v>
      </c>
      <c r="H2956" s="668" t="s">
        <v>4700</v>
      </c>
      <c r="I2956" s="668">
        <f>I2849</f>
        <v>640</v>
      </c>
      <c r="J2956" s="668" t="s">
        <v>26</v>
      </c>
      <c r="K2956" s="674">
        <f t="shared" si="91"/>
        <v>9.6</v>
      </c>
      <c r="L2956" s="668"/>
      <c r="M2956" s="668"/>
    </row>
    <row r="2957" spans="1:14">
      <c r="E2957" s="668"/>
      <c r="F2957" s="668">
        <v>15</v>
      </c>
      <c r="G2957" s="668" t="s">
        <v>5</v>
      </c>
      <c r="H2957" s="668" t="s">
        <v>5034</v>
      </c>
      <c r="I2957" s="668">
        <v>35</v>
      </c>
      <c r="J2957" s="668" t="s">
        <v>5</v>
      </c>
      <c r="K2957" s="674">
        <f t="shared" si="91"/>
        <v>525</v>
      </c>
      <c r="L2957" s="668">
        <f>185+230</f>
        <v>415</v>
      </c>
      <c r="M2957" s="668">
        <f>L2957/12</f>
        <v>34.583333333333336</v>
      </c>
      <c r="N2957" s="511">
        <f>M2957/12</f>
        <v>2.8819444444444446</v>
      </c>
    </row>
    <row r="2958" spans="1:14">
      <c r="E2958" s="668"/>
      <c r="F2958" s="668">
        <v>15</v>
      </c>
      <c r="G2958" s="668" t="s">
        <v>5</v>
      </c>
      <c r="H2958" s="668" t="s">
        <v>5033</v>
      </c>
      <c r="I2958" s="668">
        <f>I2955</f>
        <v>64</v>
      </c>
      <c r="J2958" s="668" t="s">
        <v>5</v>
      </c>
      <c r="K2958" s="674">
        <f t="shared" si="91"/>
        <v>960</v>
      </c>
      <c r="L2958" s="668"/>
      <c r="M2958" s="668"/>
    </row>
    <row r="2959" spans="1:14">
      <c r="E2959" s="668"/>
      <c r="F2959" s="672">
        <v>0.22500000000000001</v>
      </c>
      <c r="G2959" s="668" t="s">
        <v>26</v>
      </c>
      <c r="H2959" s="668" t="s">
        <v>4700</v>
      </c>
      <c r="I2959" s="668">
        <f>I2956</f>
        <v>640</v>
      </c>
      <c r="J2959" s="668" t="s">
        <v>4702</v>
      </c>
      <c r="K2959" s="674">
        <f t="shared" si="91"/>
        <v>144</v>
      </c>
      <c r="L2959" s="668"/>
      <c r="M2959" s="668"/>
    </row>
    <row r="2960" spans="1:14">
      <c r="E2960" s="668"/>
      <c r="F2960" s="668">
        <v>1.25</v>
      </c>
      <c r="G2960" s="668" t="s">
        <v>2385</v>
      </c>
      <c r="H2960" s="668" t="s">
        <v>2386</v>
      </c>
      <c r="I2960" s="668">
        <f>I2940</f>
        <v>260</v>
      </c>
      <c r="J2960" s="668" t="s">
        <v>2385</v>
      </c>
      <c r="K2960" s="674">
        <f t="shared" si="91"/>
        <v>325</v>
      </c>
      <c r="L2960" s="668"/>
      <c r="M2960" s="668"/>
    </row>
    <row r="2961" spans="5:13" ht="31.5">
      <c r="E2961" s="668"/>
      <c r="F2961" s="668">
        <v>45</v>
      </c>
      <c r="G2961" s="668" t="s">
        <v>26</v>
      </c>
      <c r="H2961" s="571" t="s">
        <v>2387</v>
      </c>
      <c r="I2961" s="668">
        <f>I2951</f>
        <v>12.8</v>
      </c>
      <c r="J2961" s="668" t="s">
        <v>4646</v>
      </c>
      <c r="K2961" s="674">
        <f t="shared" si="91"/>
        <v>576</v>
      </c>
      <c r="L2961" s="668"/>
      <c r="M2961" s="668"/>
    </row>
    <row r="2962" spans="5:13">
      <c r="E2962" s="668"/>
      <c r="F2962" s="668"/>
      <c r="G2962" s="668"/>
      <c r="H2962" s="668" t="s">
        <v>2389</v>
      </c>
      <c r="I2962" s="668"/>
      <c r="J2962" s="668"/>
      <c r="K2962" s="674">
        <f>K2918</f>
        <v>3475</v>
      </c>
      <c r="L2962" s="668"/>
      <c r="M2962" s="668"/>
    </row>
    <row r="2963" spans="5:13">
      <c r="E2963" s="668"/>
      <c r="F2963" s="668"/>
      <c r="G2963" s="668"/>
      <c r="H2963" s="668" t="s">
        <v>2390</v>
      </c>
      <c r="I2963" s="668"/>
      <c r="J2963" s="668"/>
      <c r="K2963" s="674">
        <f>6.85-1.05</f>
        <v>5.8</v>
      </c>
      <c r="L2963" s="668"/>
      <c r="M2963" s="668"/>
    </row>
    <row r="2964" spans="5:13">
      <c r="E2964" s="668"/>
      <c r="F2964" s="668"/>
      <c r="G2964" s="668"/>
      <c r="H2964" s="674" t="s">
        <v>4703</v>
      </c>
      <c r="I2964" s="668"/>
      <c r="J2964" s="668"/>
      <c r="K2964" s="856">
        <f>SUM(K2951:K2963)</f>
        <v>8189.9833333333336</v>
      </c>
      <c r="L2964" s="668"/>
      <c r="M2964" s="668"/>
    </row>
    <row r="2965" spans="5:13">
      <c r="E2965" s="668"/>
      <c r="F2965" s="668"/>
      <c r="G2965" s="668"/>
      <c r="H2965" s="676" t="s">
        <v>2378</v>
      </c>
      <c r="I2965" s="668"/>
      <c r="J2965" s="668"/>
      <c r="K2965" s="676">
        <f>K2964/15</f>
        <v>545.99888888888893</v>
      </c>
      <c r="L2965" s="668"/>
      <c r="M2965" s="668"/>
    </row>
    <row r="2966" spans="5:13">
      <c r="E2966" s="668"/>
      <c r="F2966" s="668"/>
      <c r="G2966" s="668"/>
      <c r="H2966" s="668"/>
      <c r="I2966" s="668"/>
      <c r="J2966" s="668"/>
      <c r="K2966" s="674"/>
      <c r="L2966" s="668"/>
      <c r="M2966" s="668"/>
    </row>
    <row r="2967" spans="5:13">
      <c r="E2967" s="668"/>
      <c r="F2967" s="668"/>
      <c r="G2967" s="668"/>
      <c r="H2967" s="460" t="s">
        <v>4704</v>
      </c>
      <c r="I2967" s="668"/>
      <c r="J2967" s="668"/>
      <c r="K2967" s="674"/>
      <c r="L2967" s="668"/>
      <c r="M2967" s="668"/>
    </row>
    <row r="2968" spans="5:13">
      <c r="E2968" s="668"/>
      <c r="F2968" s="668"/>
      <c r="G2968" s="668"/>
      <c r="H2968" s="460" t="s">
        <v>4705</v>
      </c>
      <c r="I2968" s="668"/>
      <c r="J2968" s="668"/>
      <c r="K2968" s="674"/>
      <c r="L2968" s="668"/>
      <c r="M2968" s="668"/>
    </row>
    <row r="2969" spans="5:13">
      <c r="E2969" s="668"/>
      <c r="F2969" s="668"/>
      <c r="G2969" s="668"/>
      <c r="H2969" s="668"/>
      <c r="I2969" s="668"/>
      <c r="J2969" s="668"/>
      <c r="K2969" s="674"/>
      <c r="L2969" s="668"/>
      <c r="M2969" s="668"/>
    </row>
    <row r="2970" spans="5:13" ht="94.5">
      <c r="E2970" s="668"/>
      <c r="F2970" s="668"/>
      <c r="G2970" s="668"/>
      <c r="H2970" s="667" t="s">
        <v>5295</v>
      </c>
      <c r="I2970" s="668"/>
      <c r="J2970" s="668"/>
      <c r="K2970" s="674"/>
      <c r="L2970" s="668"/>
      <c r="M2970" s="668"/>
    </row>
    <row r="2971" spans="5:13">
      <c r="E2971" s="668"/>
      <c r="F2971" s="668"/>
      <c r="G2971" s="668"/>
      <c r="H2971" s="668"/>
      <c r="I2971" s="668"/>
      <c r="J2971" s="668"/>
      <c r="K2971" s="674"/>
      <c r="L2971" s="668"/>
      <c r="M2971" s="668"/>
    </row>
    <row r="2972" spans="5:13" ht="31.5">
      <c r="E2972" s="668"/>
      <c r="F2972" s="668">
        <v>5</v>
      </c>
      <c r="G2972" s="668" t="s">
        <v>12</v>
      </c>
      <c r="H2972" s="571" t="s">
        <v>2383</v>
      </c>
      <c r="I2972" s="668">
        <f>I2951</f>
        <v>12.8</v>
      </c>
      <c r="J2972" s="668" t="s">
        <v>4628</v>
      </c>
      <c r="K2972" s="674">
        <f>F2972*I2972</f>
        <v>64</v>
      </c>
      <c r="L2972" s="668"/>
      <c r="M2972" s="668"/>
    </row>
    <row r="2973" spans="5:13" ht="37.5" customHeight="1">
      <c r="E2973" s="668"/>
      <c r="F2973" s="668">
        <v>2.5</v>
      </c>
      <c r="G2973" s="668" t="s">
        <v>12</v>
      </c>
      <c r="H2973" s="667" t="s">
        <v>2384</v>
      </c>
      <c r="I2973" s="668">
        <f>I2952</f>
        <v>19.5</v>
      </c>
      <c r="J2973" s="668" t="s">
        <v>12</v>
      </c>
      <c r="K2973" s="674">
        <f>F2973*I2973</f>
        <v>48.75</v>
      </c>
      <c r="L2973" s="668"/>
      <c r="M2973" s="668"/>
    </row>
    <row r="2974" spans="5:13">
      <c r="E2974" s="668"/>
      <c r="F2974" s="668">
        <v>1</v>
      </c>
      <c r="G2974" s="668" t="s">
        <v>5</v>
      </c>
      <c r="H2974" s="668" t="s">
        <v>5034</v>
      </c>
      <c r="I2974" s="670">
        <f>I2957</f>
        <v>35</v>
      </c>
      <c r="J2974" s="668" t="s">
        <v>5</v>
      </c>
      <c r="K2974" s="674">
        <f>F2974*I2974</f>
        <v>35</v>
      </c>
      <c r="L2974" s="668"/>
      <c r="M2974" s="668"/>
    </row>
    <row r="2975" spans="5:13">
      <c r="E2975" s="668"/>
      <c r="F2975" s="668"/>
      <c r="G2975" s="668"/>
      <c r="H2975" s="668" t="s">
        <v>2389</v>
      </c>
      <c r="I2975" s="668"/>
      <c r="J2975" s="668"/>
      <c r="K2975" s="674">
        <f>ROUND(K2873*5/90,2)</f>
        <v>193.06</v>
      </c>
      <c r="L2975" s="668"/>
      <c r="M2975" s="668"/>
    </row>
    <row r="2976" spans="5:13">
      <c r="E2976" s="668"/>
      <c r="F2976" s="668"/>
      <c r="G2976" s="668"/>
      <c r="H2976" s="668" t="s">
        <v>2390</v>
      </c>
      <c r="I2976" s="668"/>
      <c r="J2976" s="668"/>
      <c r="K2976" s="674">
        <f>16.06+0.13</f>
        <v>16.189999999999998</v>
      </c>
      <c r="L2976" s="668"/>
      <c r="M2976" s="668"/>
    </row>
    <row r="2977" spans="5:13">
      <c r="E2977" s="668"/>
      <c r="F2977" s="668"/>
      <c r="G2977" s="668"/>
      <c r="H2977" s="676" t="s">
        <v>2378</v>
      </c>
      <c r="I2977" s="668"/>
      <c r="J2977" s="668"/>
      <c r="K2977" s="857">
        <f>SUM(K2972:K2976)</f>
        <v>357</v>
      </c>
      <c r="L2977" s="668"/>
      <c r="M2977" s="668"/>
    </row>
    <row r="2978" spans="5:13">
      <c r="E2978" s="668"/>
      <c r="F2978" s="668"/>
      <c r="G2978" s="668"/>
      <c r="H2978" s="668"/>
      <c r="I2978" s="668"/>
      <c r="J2978" s="668"/>
      <c r="K2978" s="674"/>
      <c r="L2978" s="668"/>
      <c r="M2978" s="668"/>
    </row>
    <row r="2979" spans="5:13">
      <c r="E2979" s="668"/>
      <c r="F2979" s="668"/>
      <c r="G2979" s="668"/>
      <c r="H2979" s="460" t="s">
        <v>4708</v>
      </c>
      <c r="I2979" s="668"/>
      <c r="J2979" s="668"/>
      <c r="K2979" s="674"/>
      <c r="L2979" s="668"/>
      <c r="M2979" s="668"/>
    </row>
    <row r="2980" spans="5:13">
      <c r="E2980" s="668"/>
      <c r="F2980" s="668"/>
      <c r="G2980" s="668"/>
      <c r="H2980" s="460" t="s">
        <v>4709</v>
      </c>
      <c r="I2980" s="668"/>
      <c r="J2980" s="668"/>
      <c r="K2980" s="674"/>
      <c r="L2980" s="668"/>
      <c r="M2980" s="668"/>
    </row>
    <row r="2981" spans="5:13">
      <c r="E2981" s="668"/>
      <c r="F2981" s="668"/>
      <c r="G2981" s="668"/>
      <c r="H2981" s="668"/>
      <c r="I2981" s="668"/>
      <c r="J2981" s="668"/>
      <c r="K2981" s="674"/>
      <c r="L2981" s="668"/>
      <c r="M2981" s="668"/>
    </row>
    <row r="2982" spans="5:13" ht="72" customHeight="1">
      <c r="E2982" s="668"/>
      <c r="F2982" s="668"/>
      <c r="G2982" s="668"/>
      <c r="H2982" s="667" t="s">
        <v>4710</v>
      </c>
      <c r="I2982" s="668"/>
      <c r="J2982" s="668"/>
      <c r="K2982" s="674"/>
      <c r="L2982" s="668"/>
      <c r="M2982" s="668"/>
    </row>
    <row r="2983" spans="5:13">
      <c r="E2983" s="668"/>
      <c r="F2983" s="668"/>
      <c r="G2983" s="668"/>
      <c r="H2983" s="668"/>
      <c r="I2983" s="668"/>
      <c r="J2983" s="668"/>
      <c r="K2983" s="674"/>
      <c r="L2983" s="668"/>
      <c r="M2983" s="668"/>
    </row>
    <row r="2984" spans="5:13">
      <c r="E2984" s="668"/>
      <c r="F2984" s="668">
        <v>1</v>
      </c>
      <c r="G2984" s="668" t="s">
        <v>5</v>
      </c>
      <c r="H2984" s="668" t="s">
        <v>4711</v>
      </c>
      <c r="I2984" s="859">
        <v>56.7</v>
      </c>
      <c r="J2984" s="668" t="s">
        <v>5</v>
      </c>
      <c r="K2984" s="674">
        <f>F2984*I2984</f>
        <v>56.7</v>
      </c>
      <c r="L2984" s="668"/>
      <c r="M2984" s="668"/>
    </row>
    <row r="2985" spans="5:13">
      <c r="E2985" s="668"/>
      <c r="F2985" s="668">
        <v>1</v>
      </c>
      <c r="G2985" s="668" t="s">
        <v>5</v>
      </c>
      <c r="H2985" s="668" t="s">
        <v>5303</v>
      </c>
      <c r="I2985" s="668">
        <f>I2955</f>
        <v>64</v>
      </c>
      <c r="J2985" s="668" t="s">
        <v>5</v>
      </c>
      <c r="K2985" s="674">
        <f>F2985*I2985</f>
        <v>64</v>
      </c>
      <c r="L2985" s="668"/>
      <c r="M2985" s="668"/>
    </row>
    <row r="2986" spans="5:13">
      <c r="E2986" s="668"/>
      <c r="F2986" s="672">
        <v>1.4999999999999999E-2</v>
      </c>
      <c r="G2986" s="668" t="s">
        <v>26</v>
      </c>
      <c r="H2986" s="668" t="s">
        <v>4712</v>
      </c>
      <c r="I2986" s="668">
        <f>I2956</f>
        <v>640</v>
      </c>
      <c r="J2986" s="668" t="s">
        <v>26</v>
      </c>
      <c r="K2986" s="674">
        <f>F2986*I2986</f>
        <v>9.6</v>
      </c>
      <c r="L2986" s="668"/>
      <c r="M2986" s="668"/>
    </row>
    <row r="2987" spans="5:13">
      <c r="E2987" s="668"/>
      <c r="F2987" s="668" t="s">
        <v>170</v>
      </c>
      <c r="G2987" s="668"/>
      <c r="H2987" s="668" t="s">
        <v>4713</v>
      </c>
      <c r="I2987" s="668"/>
      <c r="J2987" s="668"/>
      <c r="K2987" s="674">
        <v>10.7</v>
      </c>
      <c r="L2987" s="668"/>
      <c r="M2987" s="668"/>
    </row>
    <row r="2988" spans="5:13">
      <c r="E2988" s="668"/>
      <c r="F2988" s="668"/>
      <c r="G2988" s="668"/>
      <c r="H2988" s="676" t="s">
        <v>4714</v>
      </c>
      <c r="I2988" s="668"/>
      <c r="J2988" s="668"/>
      <c r="K2988" s="857">
        <f>SUM(K2984:K2987)</f>
        <v>141</v>
      </c>
      <c r="L2988" s="668"/>
      <c r="M2988" s="668"/>
    </row>
    <row r="2989" spans="5:13">
      <c r="E2989" s="668"/>
      <c r="F2989" s="668"/>
      <c r="G2989" s="668"/>
      <c r="H2989" s="668"/>
      <c r="I2989" s="668"/>
      <c r="J2989" s="668"/>
      <c r="K2989" s="674"/>
      <c r="L2989" s="668"/>
      <c r="M2989" s="668"/>
    </row>
    <row r="2990" spans="5:13">
      <c r="E2990" s="668"/>
      <c r="F2990" s="668"/>
      <c r="G2990" s="668"/>
      <c r="H2990" s="460" t="s">
        <v>4715</v>
      </c>
      <c r="I2990" s="668"/>
      <c r="J2990" s="668"/>
      <c r="K2990" s="674"/>
      <c r="L2990" s="668"/>
      <c r="M2990" s="668"/>
    </row>
    <row r="2991" spans="5:13" ht="47.25">
      <c r="E2991" s="668"/>
      <c r="F2991" s="668"/>
      <c r="G2991" s="668"/>
      <c r="H2991" s="665" t="s">
        <v>1517</v>
      </c>
      <c r="I2991" s="668"/>
      <c r="J2991" s="668"/>
      <c r="K2991" s="674"/>
      <c r="L2991" s="668"/>
      <c r="M2991" s="668"/>
    </row>
    <row r="2992" spans="5:13">
      <c r="E2992" s="668"/>
      <c r="F2992" s="668"/>
      <c r="G2992" s="668"/>
      <c r="H2992" s="665"/>
      <c r="I2992" s="668"/>
      <c r="J2992" s="668"/>
      <c r="K2992" s="674"/>
      <c r="L2992" s="668"/>
      <c r="M2992" s="668"/>
    </row>
    <row r="2993" spans="5:13" ht="201" customHeight="1">
      <c r="E2993" s="668"/>
      <c r="F2993" s="668"/>
      <c r="G2993" s="668"/>
      <c r="H2993" s="667" t="s">
        <v>5295</v>
      </c>
      <c r="I2993" s="668"/>
      <c r="J2993" s="668"/>
      <c r="K2993" s="674"/>
      <c r="L2993" s="668"/>
      <c r="M2993" s="668"/>
    </row>
    <row r="2994" spans="5:13">
      <c r="E2994" s="668"/>
      <c r="F2994" s="668"/>
      <c r="G2994" s="668"/>
      <c r="H2994" s="668"/>
      <c r="I2994" s="668"/>
      <c r="J2994" s="668"/>
      <c r="K2994" s="674"/>
      <c r="L2994" s="668"/>
      <c r="M2994" s="668"/>
    </row>
    <row r="2995" spans="5:13" ht="31.5">
      <c r="E2995" s="668"/>
      <c r="F2995" s="668">
        <v>90</v>
      </c>
      <c r="G2995" s="668" t="s">
        <v>12</v>
      </c>
      <c r="H2995" s="571" t="s">
        <v>2383</v>
      </c>
      <c r="I2995" s="668">
        <f>I2843</f>
        <v>12.8</v>
      </c>
      <c r="J2995" s="668" t="s">
        <v>12</v>
      </c>
      <c r="K2995" s="674">
        <f t="shared" ref="K2995:K3007" si="92">F2995*I2995</f>
        <v>1152</v>
      </c>
      <c r="L2995" s="668"/>
      <c r="M2995" s="668"/>
    </row>
    <row r="2996" spans="5:13" ht="31.5">
      <c r="E2996" s="668"/>
      <c r="F2996" s="668">
        <v>45</v>
      </c>
      <c r="G2996" s="668" t="s">
        <v>12</v>
      </c>
      <c r="H2996" s="667" t="s">
        <v>2384</v>
      </c>
      <c r="I2996" s="668">
        <f>I2844</f>
        <v>19.5</v>
      </c>
      <c r="J2996" s="668" t="s">
        <v>4628</v>
      </c>
      <c r="K2996" s="674">
        <f t="shared" si="92"/>
        <v>877.5</v>
      </c>
      <c r="L2996" s="668"/>
      <c r="M2996" s="668"/>
    </row>
    <row r="2997" spans="5:13">
      <c r="E2997" s="668"/>
      <c r="F2997" s="668">
        <v>12</v>
      </c>
      <c r="G2997" s="668" t="s">
        <v>5</v>
      </c>
      <c r="H2997" s="668" t="s">
        <v>4635</v>
      </c>
      <c r="I2997" s="668">
        <f>I2845</f>
        <v>3.15</v>
      </c>
      <c r="J2997" s="668" t="s">
        <v>5</v>
      </c>
      <c r="K2997" s="674">
        <f t="shared" si="92"/>
        <v>37.799999999999997</v>
      </c>
      <c r="L2997" s="668"/>
      <c r="M2997" s="668"/>
    </row>
    <row r="2998" spans="5:13">
      <c r="E2998" s="668"/>
      <c r="F2998" s="668">
        <v>6</v>
      </c>
      <c r="G2998" s="668" t="s">
        <v>5</v>
      </c>
      <c r="H2998" s="668" t="s">
        <v>4637</v>
      </c>
      <c r="I2998" s="668">
        <f>I2846</f>
        <v>1.3083333333333333</v>
      </c>
      <c r="J2998" s="668" t="s">
        <v>5</v>
      </c>
      <c r="K2998" s="674">
        <f t="shared" si="92"/>
        <v>7.85</v>
      </c>
      <c r="L2998" s="668"/>
      <c r="M2998" s="668"/>
    </row>
    <row r="2999" spans="5:13">
      <c r="E2999" s="668"/>
      <c r="F2999" s="668">
        <v>1</v>
      </c>
      <c r="G2999" s="668" t="s">
        <v>5</v>
      </c>
      <c r="H2999" s="668" t="s">
        <v>5297</v>
      </c>
      <c r="I2999" s="668">
        <f>I2847</f>
        <v>64</v>
      </c>
      <c r="J2999" s="668" t="s">
        <v>5</v>
      </c>
      <c r="K2999" s="674">
        <f t="shared" si="92"/>
        <v>64</v>
      </c>
      <c r="L2999" s="668"/>
      <c r="M2999" s="668"/>
    </row>
    <row r="3000" spans="5:13">
      <c r="E3000" s="668"/>
      <c r="F3000" s="672">
        <v>1.4999999999999999E-2</v>
      </c>
      <c r="G3000" s="668" t="s">
        <v>26</v>
      </c>
      <c r="H3000" s="668" t="s">
        <v>4717</v>
      </c>
      <c r="I3000" s="668">
        <f t="shared" ref="I3000:I3007" si="93">I2849</f>
        <v>640</v>
      </c>
      <c r="J3000" s="668" t="s">
        <v>26</v>
      </c>
      <c r="K3000" s="674">
        <f t="shared" si="92"/>
        <v>9.6</v>
      </c>
      <c r="L3000" s="668"/>
      <c r="M3000" s="668"/>
    </row>
    <row r="3001" spans="5:13">
      <c r="E3001" s="668"/>
      <c r="F3001" s="668">
        <v>6</v>
      </c>
      <c r="G3001" s="668" t="s">
        <v>5</v>
      </c>
      <c r="H3001" s="668" t="s">
        <v>4718</v>
      </c>
      <c r="I3001" s="668">
        <f t="shared" si="93"/>
        <v>16.170000000000002</v>
      </c>
      <c r="J3001" s="668" t="s">
        <v>4633</v>
      </c>
      <c r="K3001" s="674">
        <f t="shared" si="92"/>
        <v>97.02000000000001</v>
      </c>
      <c r="L3001" s="668"/>
      <c r="M3001" s="668"/>
    </row>
    <row r="3002" spans="5:13">
      <c r="E3002" s="668"/>
      <c r="F3002" s="668">
        <v>6</v>
      </c>
      <c r="G3002" s="668" t="s">
        <v>5</v>
      </c>
      <c r="H3002" s="668" t="s">
        <v>4642</v>
      </c>
      <c r="I3002" s="668">
        <f t="shared" si="93"/>
        <v>15.75</v>
      </c>
      <c r="J3002" s="668" t="s">
        <v>5</v>
      </c>
      <c r="K3002" s="674">
        <f t="shared" si="92"/>
        <v>94.5</v>
      </c>
      <c r="L3002" s="668"/>
      <c r="M3002" s="668"/>
    </row>
    <row r="3003" spans="5:13">
      <c r="E3003" s="668"/>
      <c r="F3003" s="668">
        <v>6</v>
      </c>
      <c r="G3003" s="668" t="s">
        <v>5</v>
      </c>
      <c r="H3003" s="668" t="s">
        <v>4719</v>
      </c>
      <c r="I3003" s="668">
        <f t="shared" si="93"/>
        <v>3.5</v>
      </c>
      <c r="J3003" s="668" t="s">
        <v>5</v>
      </c>
      <c r="K3003" s="674">
        <f t="shared" si="92"/>
        <v>21</v>
      </c>
      <c r="L3003" s="668"/>
      <c r="M3003" s="668"/>
    </row>
    <row r="3004" spans="5:13">
      <c r="E3004" s="668"/>
      <c r="F3004" s="668">
        <v>1.25</v>
      </c>
      <c r="G3004" s="668" t="s">
        <v>2385</v>
      </c>
      <c r="H3004" s="668" t="s">
        <v>2386</v>
      </c>
      <c r="I3004" s="668">
        <f t="shared" si="93"/>
        <v>260</v>
      </c>
      <c r="J3004" s="668" t="s">
        <v>2385</v>
      </c>
      <c r="K3004" s="674">
        <f t="shared" si="92"/>
        <v>325</v>
      </c>
      <c r="L3004" s="668"/>
      <c r="M3004" s="668"/>
    </row>
    <row r="3005" spans="5:13">
      <c r="E3005" s="668"/>
      <c r="F3005" s="668">
        <v>6</v>
      </c>
      <c r="G3005" s="668" t="s">
        <v>5</v>
      </c>
      <c r="H3005" s="668" t="s">
        <v>5298</v>
      </c>
      <c r="I3005" s="668">
        <f t="shared" si="93"/>
        <v>64</v>
      </c>
      <c r="J3005" s="668" t="s">
        <v>5</v>
      </c>
      <c r="K3005" s="674">
        <f t="shared" si="92"/>
        <v>384</v>
      </c>
      <c r="L3005" s="668"/>
      <c r="M3005" s="668"/>
    </row>
    <row r="3006" spans="5:13">
      <c r="E3006" s="668"/>
      <c r="F3006" s="668">
        <v>0.09</v>
      </c>
      <c r="G3006" s="668" t="s">
        <v>26</v>
      </c>
      <c r="H3006" s="668" t="s">
        <v>4687</v>
      </c>
      <c r="I3006" s="668">
        <f t="shared" si="93"/>
        <v>640</v>
      </c>
      <c r="J3006" s="668" t="s">
        <v>26</v>
      </c>
      <c r="K3006" s="674">
        <f t="shared" si="92"/>
        <v>57.599999999999994</v>
      </c>
      <c r="L3006" s="668"/>
      <c r="M3006" s="668"/>
    </row>
    <row r="3007" spans="5:13" ht="31.5">
      <c r="E3007" s="668"/>
      <c r="F3007" s="668">
        <v>45</v>
      </c>
      <c r="G3007" s="668"/>
      <c r="H3007" s="571" t="s">
        <v>2387</v>
      </c>
      <c r="I3007" s="668">
        <f t="shared" si="93"/>
        <v>12.8</v>
      </c>
      <c r="J3007" s="668" t="s">
        <v>4646</v>
      </c>
      <c r="K3007" s="674">
        <f t="shared" si="92"/>
        <v>576</v>
      </c>
      <c r="L3007" s="668"/>
      <c r="M3007" s="668"/>
    </row>
    <row r="3008" spans="5:13">
      <c r="E3008" s="668"/>
      <c r="F3008" s="668"/>
      <c r="G3008" s="668"/>
      <c r="H3008" s="668" t="s">
        <v>2389</v>
      </c>
      <c r="I3008" s="668"/>
      <c r="J3008" s="668" t="s">
        <v>170</v>
      </c>
      <c r="K3008" s="674">
        <f>K2857</f>
        <v>3475</v>
      </c>
      <c r="L3008" s="668"/>
      <c r="M3008" s="668"/>
    </row>
    <row r="3009" spans="5:13">
      <c r="E3009" s="668"/>
      <c r="F3009" s="668"/>
      <c r="G3009" s="668"/>
      <c r="H3009" s="668" t="s">
        <v>2390</v>
      </c>
      <c r="I3009" s="668"/>
      <c r="J3009" s="668" t="s">
        <v>170</v>
      </c>
      <c r="K3009" s="674">
        <v>15.12</v>
      </c>
      <c r="L3009" s="668">
        <f>971*6</f>
        <v>5826</v>
      </c>
      <c r="M3009" s="668"/>
    </row>
    <row r="3010" spans="5:13">
      <c r="E3010" s="668"/>
      <c r="F3010" s="668"/>
      <c r="G3010" s="668"/>
      <c r="H3010" s="674" t="s">
        <v>4654</v>
      </c>
      <c r="I3010" s="668"/>
      <c r="J3010" s="668"/>
      <c r="K3010" s="856">
        <f>SUM(K2995:K3009)</f>
        <v>7193.99</v>
      </c>
      <c r="L3010" s="668"/>
      <c r="M3010" s="668"/>
    </row>
    <row r="3011" spans="5:13">
      <c r="E3011" s="668"/>
      <c r="F3011" s="668"/>
      <c r="G3011" s="668"/>
      <c r="H3011" s="676" t="s">
        <v>4651</v>
      </c>
      <c r="I3011" s="668"/>
      <c r="J3011" s="668"/>
      <c r="K3011" s="676">
        <f>K3010/6</f>
        <v>1198.9983333333332</v>
      </c>
      <c r="L3011" s="668">
        <f>1075*6</f>
        <v>6450</v>
      </c>
      <c r="M3011" s="668">
        <f>K3010/15</f>
        <v>479.59933333333333</v>
      </c>
    </row>
    <row r="3012" spans="5:13">
      <c r="E3012" s="668"/>
      <c r="F3012" s="668"/>
      <c r="G3012" s="668"/>
      <c r="H3012" s="668"/>
      <c r="I3012" s="668"/>
      <c r="J3012" s="668"/>
      <c r="K3012" s="674"/>
      <c r="L3012" s="668">
        <f>L3011-K3010</f>
        <v>-743.98999999999978</v>
      </c>
      <c r="M3012" s="668"/>
    </row>
    <row r="3013" spans="5:13">
      <c r="E3013" s="668"/>
      <c r="F3013" s="668"/>
      <c r="G3013" s="668"/>
      <c r="H3013" s="460" t="s">
        <v>4720</v>
      </c>
      <c r="I3013" s="668"/>
      <c r="J3013" s="668"/>
      <c r="K3013" s="674"/>
      <c r="L3013" s="668"/>
      <c r="M3013" s="668"/>
    </row>
    <row r="3014" spans="5:13" ht="47.25">
      <c r="E3014" s="668"/>
      <c r="F3014" s="668"/>
      <c r="G3014" s="668"/>
      <c r="H3014" s="665" t="s">
        <v>1518</v>
      </c>
      <c r="I3014" s="668"/>
      <c r="J3014" s="668"/>
      <c r="K3014" s="674"/>
      <c r="L3014" s="668"/>
      <c r="M3014" s="668"/>
    </row>
    <row r="3015" spans="5:13">
      <c r="E3015" s="668"/>
      <c r="F3015" s="668"/>
      <c r="G3015" s="668"/>
      <c r="H3015" s="668"/>
      <c r="I3015" s="668"/>
      <c r="J3015" s="668"/>
      <c r="K3015" s="674"/>
      <c r="L3015" s="668"/>
      <c r="M3015" s="668"/>
    </row>
    <row r="3016" spans="5:13" ht="199.5" customHeight="1">
      <c r="E3016" s="668"/>
      <c r="F3016" s="668"/>
      <c r="G3016" s="668"/>
      <c r="H3016" s="667" t="s">
        <v>5295</v>
      </c>
      <c r="I3016" s="668"/>
      <c r="J3016" s="668"/>
      <c r="K3016" s="674"/>
      <c r="L3016" s="668"/>
      <c r="M3016" s="668"/>
    </row>
    <row r="3017" spans="5:13">
      <c r="E3017" s="668"/>
      <c r="F3017" s="668"/>
      <c r="G3017" s="668"/>
      <c r="H3017" s="668"/>
      <c r="I3017" s="668"/>
      <c r="J3017" s="668"/>
      <c r="K3017" s="674"/>
      <c r="L3017" s="668"/>
      <c r="M3017" s="668"/>
    </row>
    <row r="3018" spans="5:13">
      <c r="E3018" s="668"/>
      <c r="F3018" s="668"/>
      <c r="G3018" s="668"/>
      <c r="H3018" s="668" t="s">
        <v>4722</v>
      </c>
      <c r="I3018" s="668"/>
      <c r="J3018" s="668"/>
      <c r="K3018" s="674">
        <f>K3010-K3009</f>
        <v>7178.87</v>
      </c>
      <c r="L3018" s="668"/>
      <c r="M3018" s="668"/>
    </row>
    <row r="3019" spans="5:13">
      <c r="E3019" s="668"/>
      <c r="F3019" s="668"/>
      <c r="G3019" s="668"/>
      <c r="H3019" s="668" t="s">
        <v>4723</v>
      </c>
      <c r="I3019" s="668"/>
      <c r="J3019" s="668"/>
      <c r="K3019" s="674">
        <f>K3002</f>
        <v>94.5</v>
      </c>
      <c r="L3019" s="668"/>
      <c r="M3019" s="668"/>
    </row>
    <row r="3020" spans="5:13">
      <c r="E3020" s="668"/>
      <c r="F3020" s="668"/>
      <c r="G3020" s="668"/>
      <c r="H3020" s="668" t="s">
        <v>5304</v>
      </c>
      <c r="I3020" s="668"/>
      <c r="J3020" s="668"/>
      <c r="K3020" s="674">
        <f>18.9*6</f>
        <v>113.39999999999999</v>
      </c>
      <c r="L3020" s="668"/>
      <c r="M3020" s="668"/>
    </row>
    <row r="3021" spans="5:13">
      <c r="E3021" s="668"/>
      <c r="F3021" s="668"/>
      <c r="G3021" s="668"/>
      <c r="H3021" s="668" t="s">
        <v>2390</v>
      </c>
      <c r="I3021" s="668"/>
      <c r="J3021" s="668"/>
      <c r="K3021" s="674">
        <v>14.22</v>
      </c>
      <c r="L3021" s="668">
        <f>L3023-K3022</f>
        <v>-749.98999999999978</v>
      </c>
      <c r="M3021" s="668"/>
    </row>
    <row r="3022" spans="5:13">
      <c r="E3022" s="668"/>
      <c r="F3022" s="668"/>
      <c r="G3022" s="668"/>
      <c r="H3022" s="674" t="s">
        <v>4725</v>
      </c>
      <c r="I3022" s="668"/>
      <c r="J3022" s="668"/>
      <c r="K3022" s="856">
        <f>(K3018-K3019)+K3020+K3021</f>
        <v>7211.99</v>
      </c>
      <c r="L3022" s="668"/>
      <c r="M3022" s="668"/>
    </row>
    <row r="3023" spans="5:13">
      <c r="E3023" s="668"/>
      <c r="F3023" s="668"/>
      <c r="G3023" s="668"/>
      <c r="H3023" s="676" t="s">
        <v>4726</v>
      </c>
      <c r="I3023" s="668"/>
      <c r="J3023" s="668"/>
      <c r="K3023" s="676">
        <f>K3022/6</f>
        <v>1201.9983333333332</v>
      </c>
      <c r="L3023" s="668">
        <f>1077*6</f>
        <v>6462</v>
      </c>
      <c r="M3023" s="668"/>
    </row>
    <row r="3024" spans="5:13">
      <c r="E3024" s="668"/>
      <c r="F3024" s="668"/>
      <c r="G3024" s="668"/>
      <c r="H3024" s="668"/>
      <c r="I3024" s="668"/>
      <c r="J3024" s="668"/>
      <c r="K3024" s="674"/>
      <c r="L3024" s="668"/>
      <c r="M3024" s="668"/>
    </row>
    <row r="3025" spans="5:13">
      <c r="E3025" s="668"/>
      <c r="F3025" s="668"/>
      <c r="G3025" s="668"/>
      <c r="H3025" s="460" t="s">
        <v>4727</v>
      </c>
      <c r="I3025" s="668"/>
      <c r="J3025" s="668"/>
      <c r="K3025" s="674"/>
      <c r="L3025" s="668"/>
      <c r="M3025" s="668"/>
    </row>
    <row r="3026" spans="5:13" ht="39" customHeight="1">
      <c r="E3026" s="668"/>
      <c r="F3026" s="668"/>
      <c r="G3026" s="668"/>
      <c r="H3026" s="665" t="s">
        <v>1519</v>
      </c>
      <c r="I3026" s="668"/>
      <c r="J3026" s="668"/>
      <c r="K3026" s="674"/>
      <c r="L3026" s="668"/>
      <c r="M3026" s="668"/>
    </row>
    <row r="3027" spans="5:13" ht="94.5">
      <c r="E3027" s="668"/>
      <c r="F3027" s="668"/>
      <c r="G3027" s="668"/>
      <c r="H3027" s="667" t="s">
        <v>5295</v>
      </c>
      <c r="I3027" s="668"/>
      <c r="J3027" s="668"/>
      <c r="K3027" s="674"/>
      <c r="L3027" s="668"/>
      <c r="M3027" s="668"/>
    </row>
    <row r="3028" spans="5:13" ht="31.5">
      <c r="E3028" s="668"/>
      <c r="F3028" s="668">
        <v>90</v>
      </c>
      <c r="G3028" s="668" t="s">
        <v>12</v>
      </c>
      <c r="H3028" s="571" t="s">
        <v>2383</v>
      </c>
      <c r="I3028" s="668">
        <f t="shared" ref="I3028:I3040" si="94">I2905</f>
        <v>12.8</v>
      </c>
      <c r="J3028" s="668" t="s">
        <v>2388</v>
      </c>
      <c r="K3028" s="674">
        <f t="shared" ref="K3028:K3040" si="95">F3028*I3028</f>
        <v>1152</v>
      </c>
      <c r="L3028" s="668"/>
      <c r="M3028" s="668"/>
    </row>
    <row r="3029" spans="5:13" ht="31.5">
      <c r="E3029" s="668"/>
      <c r="F3029" s="668">
        <v>45</v>
      </c>
      <c r="G3029" s="668" t="s">
        <v>12</v>
      </c>
      <c r="H3029" s="667" t="s">
        <v>2384</v>
      </c>
      <c r="I3029" s="668">
        <f t="shared" si="94"/>
        <v>19.5</v>
      </c>
      <c r="J3029" s="668" t="s">
        <v>12</v>
      </c>
      <c r="K3029" s="674">
        <f t="shared" si="95"/>
        <v>877.5</v>
      </c>
      <c r="L3029" s="668"/>
      <c r="M3029" s="668"/>
    </row>
    <row r="3030" spans="5:13">
      <c r="E3030" s="668"/>
      <c r="F3030" s="668">
        <v>12</v>
      </c>
      <c r="G3030" s="668" t="s">
        <v>5</v>
      </c>
      <c r="H3030" s="668" t="s">
        <v>4635</v>
      </c>
      <c r="I3030" s="668">
        <f t="shared" si="94"/>
        <v>3.15</v>
      </c>
      <c r="J3030" s="668" t="s">
        <v>5</v>
      </c>
      <c r="K3030" s="674">
        <f t="shared" si="95"/>
        <v>37.799999999999997</v>
      </c>
      <c r="L3030" s="668"/>
      <c r="M3030" s="668"/>
    </row>
    <row r="3031" spans="5:13">
      <c r="E3031" s="668"/>
      <c r="F3031" s="668">
        <v>6</v>
      </c>
      <c r="G3031" s="668" t="s">
        <v>5</v>
      </c>
      <c r="H3031" s="668" t="s">
        <v>4637</v>
      </c>
      <c r="I3031" s="668">
        <f t="shared" si="94"/>
        <v>1.3083333333333333</v>
      </c>
      <c r="J3031" s="668" t="s">
        <v>5</v>
      </c>
      <c r="K3031" s="674">
        <f t="shared" si="95"/>
        <v>7.85</v>
      </c>
      <c r="L3031" s="668"/>
      <c r="M3031" s="668"/>
    </row>
    <row r="3032" spans="5:13">
      <c r="E3032" s="668"/>
      <c r="F3032" s="668">
        <v>6</v>
      </c>
      <c r="G3032" s="668" t="s">
        <v>5</v>
      </c>
      <c r="H3032" s="668" t="s">
        <v>4729</v>
      </c>
      <c r="I3032" s="668">
        <f t="shared" si="94"/>
        <v>3.5</v>
      </c>
      <c r="J3032" s="668" t="s">
        <v>5</v>
      </c>
      <c r="K3032" s="674">
        <f t="shared" si="95"/>
        <v>21</v>
      </c>
      <c r="L3032" s="668"/>
      <c r="M3032" s="668"/>
    </row>
    <row r="3033" spans="5:13">
      <c r="E3033" s="668"/>
      <c r="F3033" s="668">
        <v>6</v>
      </c>
      <c r="G3033" s="668" t="s">
        <v>5</v>
      </c>
      <c r="H3033" s="668" t="s">
        <v>4642</v>
      </c>
      <c r="I3033" s="668">
        <f t="shared" si="94"/>
        <v>15.75</v>
      </c>
      <c r="J3033" s="668" t="s">
        <v>5</v>
      </c>
      <c r="K3033" s="674">
        <f t="shared" si="95"/>
        <v>94.5</v>
      </c>
      <c r="L3033" s="668"/>
      <c r="M3033" s="668"/>
    </row>
    <row r="3034" spans="5:13">
      <c r="E3034" s="668"/>
      <c r="F3034" s="668">
        <v>6</v>
      </c>
      <c r="G3034" s="668" t="s">
        <v>5</v>
      </c>
      <c r="H3034" s="668" t="s">
        <v>4718</v>
      </c>
      <c r="I3034" s="668">
        <f t="shared" si="94"/>
        <v>16.170000000000002</v>
      </c>
      <c r="J3034" s="668" t="s">
        <v>4633</v>
      </c>
      <c r="K3034" s="674">
        <f t="shared" si="95"/>
        <v>97.02000000000001</v>
      </c>
      <c r="L3034" s="668"/>
      <c r="M3034" s="668"/>
    </row>
    <row r="3035" spans="5:13">
      <c r="E3035" s="668"/>
      <c r="F3035" s="668">
        <v>6</v>
      </c>
      <c r="G3035" s="668" t="s">
        <v>5</v>
      </c>
      <c r="H3035" s="668" t="s">
        <v>4688</v>
      </c>
      <c r="I3035" s="668">
        <f t="shared" si="94"/>
        <v>103.9</v>
      </c>
      <c r="J3035" s="668" t="s">
        <v>5</v>
      </c>
      <c r="K3035" s="674">
        <f t="shared" si="95"/>
        <v>623.40000000000009</v>
      </c>
      <c r="L3035" s="668"/>
      <c r="M3035" s="668"/>
    </row>
    <row r="3036" spans="5:13">
      <c r="E3036" s="668"/>
      <c r="F3036" s="668">
        <v>0.36</v>
      </c>
      <c r="G3036" s="668" t="s">
        <v>26</v>
      </c>
      <c r="H3036" s="668" t="s">
        <v>4687</v>
      </c>
      <c r="I3036" s="668">
        <f t="shared" si="94"/>
        <v>640</v>
      </c>
      <c r="J3036" s="668" t="s">
        <v>26</v>
      </c>
      <c r="K3036" s="674">
        <f t="shared" si="95"/>
        <v>230.39999999999998</v>
      </c>
      <c r="L3036" s="668"/>
      <c r="M3036" s="668"/>
    </row>
    <row r="3037" spans="5:13">
      <c r="E3037" s="668"/>
      <c r="F3037" s="668">
        <v>1</v>
      </c>
      <c r="G3037" s="668" t="s">
        <v>5</v>
      </c>
      <c r="H3037" s="668" t="s">
        <v>5302</v>
      </c>
      <c r="I3037" s="668">
        <f t="shared" si="94"/>
        <v>64</v>
      </c>
      <c r="J3037" s="668" t="s">
        <v>5</v>
      </c>
      <c r="K3037" s="674">
        <f t="shared" si="95"/>
        <v>64</v>
      </c>
      <c r="L3037" s="668"/>
      <c r="M3037" s="668"/>
    </row>
    <row r="3038" spans="5:13">
      <c r="E3038" s="668"/>
      <c r="F3038" s="672">
        <v>1.4999999999999999E-2</v>
      </c>
      <c r="G3038" s="668" t="s">
        <v>26</v>
      </c>
      <c r="H3038" s="668" t="s">
        <v>4687</v>
      </c>
      <c r="I3038" s="668">
        <f t="shared" si="94"/>
        <v>640</v>
      </c>
      <c r="J3038" s="668" t="s">
        <v>26</v>
      </c>
      <c r="K3038" s="674">
        <f t="shared" si="95"/>
        <v>9.6</v>
      </c>
      <c r="L3038" s="668"/>
      <c r="M3038" s="668"/>
    </row>
    <row r="3039" spans="5:13">
      <c r="E3039" s="668"/>
      <c r="F3039" s="668">
        <v>1.25</v>
      </c>
      <c r="G3039" s="668" t="s">
        <v>2385</v>
      </c>
      <c r="H3039" s="668" t="s">
        <v>2386</v>
      </c>
      <c r="I3039" s="668">
        <f t="shared" si="94"/>
        <v>260</v>
      </c>
      <c r="J3039" s="668" t="s">
        <v>2385</v>
      </c>
      <c r="K3039" s="674">
        <f t="shared" si="95"/>
        <v>325</v>
      </c>
      <c r="L3039" s="668"/>
      <c r="M3039" s="668"/>
    </row>
    <row r="3040" spans="5:13" ht="31.5">
      <c r="E3040" s="668"/>
      <c r="F3040" s="668">
        <v>45</v>
      </c>
      <c r="G3040" s="668" t="s">
        <v>12</v>
      </c>
      <c r="H3040" s="571" t="s">
        <v>2387</v>
      </c>
      <c r="I3040" s="668">
        <f t="shared" si="94"/>
        <v>12.8</v>
      </c>
      <c r="J3040" s="668" t="s">
        <v>2388</v>
      </c>
      <c r="K3040" s="674">
        <f t="shared" si="95"/>
        <v>576</v>
      </c>
      <c r="L3040" s="668"/>
      <c r="M3040" s="668"/>
    </row>
    <row r="3041" spans="5:13">
      <c r="E3041" s="668"/>
      <c r="F3041" s="668"/>
      <c r="G3041" s="668"/>
      <c r="H3041" s="668" t="s">
        <v>2389</v>
      </c>
      <c r="I3041" s="668"/>
      <c r="J3041" s="668"/>
      <c r="K3041" s="674">
        <f>K2918</f>
        <v>3475</v>
      </c>
      <c r="L3041" s="668">
        <f>1037*6</f>
        <v>6222</v>
      </c>
      <c r="M3041" s="668"/>
    </row>
    <row r="3042" spans="5:13">
      <c r="E3042" s="668"/>
      <c r="F3042" s="668"/>
      <c r="G3042" s="668"/>
      <c r="H3042" s="668" t="s">
        <v>2390</v>
      </c>
      <c r="I3042" s="668"/>
      <c r="J3042" s="668"/>
      <c r="K3042" s="674">
        <v>16.920000000000002</v>
      </c>
      <c r="L3042" s="668">
        <f>1140*6</f>
        <v>6840</v>
      </c>
      <c r="M3042" s="668">
        <f>L3042-K3043</f>
        <v>-767.98999999999978</v>
      </c>
    </row>
    <row r="3043" spans="5:13">
      <c r="E3043" s="668"/>
      <c r="F3043" s="668"/>
      <c r="G3043" s="668"/>
      <c r="H3043" s="674" t="s">
        <v>4725</v>
      </c>
      <c r="I3043" s="668"/>
      <c r="J3043" s="668"/>
      <c r="K3043" s="856">
        <f>SUM(K3028:K3042)</f>
        <v>7607.99</v>
      </c>
      <c r="L3043" s="668"/>
      <c r="M3043" s="668">
        <f>0.5*6</f>
        <v>3</v>
      </c>
    </row>
    <row r="3044" spans="5:13">
      <c r="E3044" s="668"/>
      <c r="F3044" s="668"/>
      <c r="G3044" s="668"/>
      <c r="H3044" s="676" t="s">
        <v>2378</v>
      </c>
      <c r="I3044" s="668"/>
      <c r="J3044" s="668"/>
      <c r="K3044" s="676">
        <f>K3043/6</f>
        <v>1267.9983333333332</v>
      </c>
      <c r="L3044" s="668">
        <f>894*6</f>
        <v>5364</v>
      </c>
      <c r="M3044" s="668"/>
    </row>
    <row r="3045" spans="5:13">
      <c r="E3045" s="668"/>
      <c r="F3045" s="668"/>
      <c r="G3045" s="668"/>
      <c r="H3045" s="668"/>
      <c r="I3045" s="668"/>
      <c r="J3045" s="668"/>
      <c r="K3045" s="674"/>
      <c r="L3045" s="668"/>
      <c r="M3045" s="668"/>
    </row>
    <row r="3046" spans="5:13">
      <c r="E3046" s="668"/>
      <c r="F3046" s="668"/>
      <c r="G3046" s="668"/>
      <c r="H3046" s="460" t="s">
        <v>4730</v>
      </c>
      <c r="I3046" s="668"/>
      <c r="J3046" s="668"/>
      <c r="K3046" s="674"/>
      <c r="L3046" s="668">
        <f>L3044-K3043</f>
        <v>-2243.9899999999998</v>
      </c>
      <c r="M3046" s="668"/>
    </row>
    <row r="3047" spans="5:13" ht="56.25" customHeight="1">
      <c r="E3047" s="668"/>
      <c r="F3047" s="668"/>
      <c r="G3047" s="668"/>
      <c r="H3047" s="665" t="s">
        <v>1520</v>
      </c>
      <c r="I3047" s="668"/>
      <c r="J3047" s="668"/>
      <c r="K3047" s="674"/>
      <c r="L3047" s="668"/>
      <c r="M3047" s="668"/>
    </row>
    <row r="3048" spans="5:13" ht="202.5" customHeight="1">
      <c r="E3048" s="668"/>
      <c r="F3048" s="668"/>
      <c r="G3048" s="668"/>
      <c r="H3048" s="667" t="s">
        <v>5295</v>
      </c>
      <c r="I3048" s="668"/>
      <c r="J3048" s="668"/>
      <c r="K3048" s="674"/>
      <c r="L3048" s="668"/>
      <c r="M3048" s="668"/>
    </row>
    <row r="3049" spans="5:13" ht="31.5">
      <c r="E3049" s="668"/>
      <c r="F3049" s="668">
        <v>90</v>
      </c>
      <c r="G3049" s="668" t="s">
        <v>12</v>
      </c>
      <c r="H3049" s="571" t="s">
        <v>2383</v>
      </c>
      <c r="I3049" s="668">
        <f t="shared" ref="I3049:I3059" si="96">I2931</f>
        <v>12.8</v>
      </c>
      <c r="J3049" s="668" t="s">
        <v>2388</v>
      </c>
      <c r="K3049" s="674">
        <f t="shared" ref="K3049:K3059" si="97">F3049*I3049</f>
        <v>1152</v>
      </c>
      <c r="L3049" s="668"/>
      <c r="M3049" s="668"/>
    </row>
    <row r="3050" spans="5:13" ht="31.5">
      <c r="E3050" s="668"/>
      <c r="F3050" s="668">
        <v>30</v>
      </c>
      <c r="G3050" s="668" t="s">
        <v>12</v>
      </c>
      <c r="H3050" s="667" t="s">
        <v>2384</v>
      </c>
      <c r="I3050" s="668">
        <f t="shared" si="96"/>
        <v>19.5</v>
      </c>
      <c r="J3050" s="668" t="s">
        <v>12</v>
      </c>
      <c r="K3050" s="674">
        <f t="shared" si="97"/>
        <v>585</v>
      </c>
      <c r="L3050" s="668"/>
      <c r="M3050" s="668"/>
    </row>
    <row r="3051" spans="5:13">
      <c r="E3051" s="668"/>
      <c r="F3051" s="668">
        <v>6</v>
      </c>
      <c r="G3051" s="668" t="s">
        <v>5</v>
      </c>
      <c r="H3051" s="668" t="s">
        <v>4635</v>
      </c>
      <c r="I3051" s="668">
        <f t="shared" si="96"/>
        <v>3.15</v>
      </c>
      <c r="J3051" s="668" t="s">
        <v>5</v>
      </c>
      <c r="K3051" s="674">
        <f t="shared" si="97"/>
        <v>18.899999999999999</v>
      </c>
      <c r="L3051" s="668"/>
      <c r="M3051" s="668"/>
    </row>
    <row r="3052" spans="5:13">
      <c r="E3052" s="668"/>
      <c r="F3052" s="668">
        <v>3</v>
      </c>
      <c r="G3052" s="668" t="s">
        <v>5</v>
      </c>
      <c r="H3052" s="668" t="s">
        <v>4637</v>
      </c>
      <c r="I3052" s="668">
        <f t="shared" si="96"/>
        <v>1.3083333333333333</v>
      </c>
      <c r="J3052" s="668" t="s">
        <v>5</v>
      </c>
      <c r="K3052" s="674">
        <f t="shared" si="97"/>
        <v>3.9249999999999998</v>
      </c>
      <c r="L3052" s="668"/>
      <c r="M3052" s="668"/>
    </row>
    <row r="3053" spans="5:13">
      <c r="E3053" s="668"/>
      <c r="F3053" s="668">
        <v>6</v>
      </c>
      <c r="G3053" s="668" t="s">
        <v>5</v>
      </c>
      <c r="H3053" s="668" t="s">
        <v>4732</v>
      </c>
      <c r="I3053" s="668">
        <f t="shared" si="96"/>
        <v>20.079999999999998</v>
      </c>
      <c r="J3053" s="668" t="s">
        <v>5</v>
      </c>
      <c r="K3053" s="674">
        <f t="shared" si="97"/>
        <v>120.47999999999999</v>
      </c>
      <c r="L3053" s="668"/>
      <c r="M3053" s="668"/>
    </row>
    <row r="3054" spans="5:13">
      <c r="E3054" s="668"/>
      <c r="F3054" s="668">
        <v>3</v>
      </c>
      <c r="G3054" s="668" t="s">
        <v>5</v>
      </c>
      <c r="H3054" s="668" t="s">
        <v>4642</v>
      </c>
      <c r="I3054" s="668">
        <f t="shared" si="96"/>
        <v>15.75</v>
      </c>
      <c r="J3054" s="668" t="s">
        <v>5</v>
      </c>
      <c r="K3054" s="674">
        <f t="shared" si="97"/>
        <v>47.25</v>
      </c>
      <c r="L3054" s="668"/>
      <c r="M3054" s="668"/>
    </row>
    <row r="3055" spans="5:13">
      <c r="E3055" s="668"/>
      <c r="F3055" s="668">
        <v>3</v>
      </c>
      <c r="G3055" s="668" t="s">
        <v>5</v>
      </c>
      <c r="H3055" s="668" t="s">
        <v>4719</v>
      </c>
      <c r="I3055" s="668">
        <f t="shared" si="96"/>
        <v>3.5</v>
      </c>
      <c r="J3055" s="668" t="s">
        <v>5</v>
      </c>
      <c r="K3055" s="674">
        <f t="shared" si="97"/>
        <v>10.5</v>
      </c>
      <c r="L3055" s="668"/>
      <c r="M3055" s="668"/>
    </row>
    <row r="3056" spans="5:13">
      <c r="E3056" s="668"/>
      <c r="F3056" s="668">
        <v>3</v>
      </c>
      <c r="G3056" s="668" t="s">
        <v>5</v>
      </c>
      <c r="H3056" s="668" t="s">
        <v>5033</v>
      </c>
      <c r="I3056" s="668">
        <f t="shared" si="96"/>
        <v>64</v>
      </c>
      <c r="J3056" s="668" t="s">
        <v>5</v>
      </c>
      <c r="K3056" s="674">
        <f t="shared" si="97"/>
        <v>192</v>
      </c>
      <c r="L3056" s="668"/>
      <c r="M3056" s="668"/>
    </row>
    <row r="3057" spans="5:13">
      <c r="E3057" s="668"/>
      <c r="F3057" s="672">
        <v>5.3999999999999999E-2</v>
      </c>
      <c r="G3057" s="668" t="s">
        <v>26</v>
      </c>
      <c r="H3057" s="668" t="s">
        <v>4700</v>
      </c>
      <c r="I3057" s="668">
        <f t="shared" si="96"/>
        <v>640</v>
      </c>
      <c r="J3057" s="668" t="s">
        <v>26</v>
      </c>
      <c r="K3057" s="674">
        <f t="shared" si="97"/>
        <v>34.56</v>
      </c>
      <c r="L3057" s="668"/>
      <c r="M3057" s="668"/>
    </row>
    <row r="3058" spans="5:13">
      <c r="E3058" s="668"/>
      <c r="F3058" s="668">
        <v>1.25</v>
      </c>
      <c r="G3058" s="668" t="s">
        <v>2385</v>
      </c>
      <c r="H3058" s="668" t="s">
        <v>2386</v>
      </c>
      <c r="I3058" s="668">
        <f t="shared" si="96"/>
        <v>260</v>
      </c>
      <c r="J3058" s="668" t="s">
        <v>2385</v>
      </c>
      <c r="K3058" s="674">
        <f t="shared" si="97"/>
        <v>325</v>
      </c>
      <c r="L3058" s="668"/>
      <c r="M3058" s="668"/>
    </row>
    <row r="3059" spans="5:13" ht="31.5">
      <c r="E3059" s="668"/>
      <c r="F3059" s="668">
        <v>30</v>
      </c>
      <c r="G3059" s="668" t="s">
        <v>12</v>
      </c>
      <c r="H3059" s="571" t="s">
        <v>2387</v>
      </c>
      <c r="I3059" s="668">
        <f t="shared" si="96"/>
        <v>12.8</v>
      </c>
      <c r="J3059" s="668" t="s">
        <v>2388</v>
      </c>
      <c r="K3059" s="674">
        <f t="shared" si="97"/>
        <v>384</v>
      </c>
      <c r="L3059" s="668"/>
      <c r="M3059" s="668"/>
    </row>
    <row r="3060" spans="5:13">
      <c r="E3060" s="668"/>
      <c r="F3060" s="668"/>
      <c r="G3060" s="668"/>
      <c r="H3060" s="668" t="s">
        <v>2389</v>
      </c>
      <c r="I3060" s="668"/>
      <c r="J3060" s="668"/>
      <c r="K3060" s="674">
        <f>K2942</f>
        <v>3475</v>
      </c>
      <c r="L3060" s="668"/>
      <c r="M3060" s="668"/>
    </row>
    <row r="3061" spans="5:13">
      <c r="E3061" s="668"/>
      <c r="F3061" s="668"/>
      <c r="G3061" s="668"/>
      <c r="H3061" s="668" t="s">
        <v>2390</v>
      </c>
      <c r="I3061" s="668"/>
      <c r="J3061" s="668"/>
      <c r="K3061" s="674">
        <v>8.3800000000000008</v>
      </c>
      <c r="L3061" s="668">
        <f>1678*3</f>
        <v>5034</v>
      </c>
      <c r="M3061" s="668"/>
    </row>
    <row r="3062" spans="5:13">
      <c r="E3062" s="668"/>
      <c r="F3062" s="668"/>
      <c r="G3062" s="668"/>
      <c r="H3062" s="674" t="s">
        <v>4733</v>
      </c>
      <c r="I3062" s="668"/>
      <c r="J3062" s="668"/>
      <c r="K3062" s="856">
        <f>SUM(K3049:K3061)</f>
        <v>6356.9949999999999</v>
      </c>
      <c r="L3062" s="668">
        <f>L3063-K3062</f>
        <v>-707.99499999999989</v>
      </c>
      <c r="M3062" s="668"/>
    </row>
    <row r="3063" spans="5:13">
      <c r="E3063" s="668"/>
      <c r="F3063" s="668"/>
      <c r="G3063" s="668"/>
      <c r="H3063" s="676" t="s">
        <v>2378</v>
      </c>
      <c r="I3063" s="668"/>
      <c r="J3063" s="668"/>
      <c r="K3063" s="676">
        <f>K3062/3</f>
        <v>2118.9983333333334</v>
      </c>
      <c r="L3063" s="668">
        <f>1883*3</f>
        <v>5649</v>
      </c>
      <c r="M3063" s="668"/>
    </row>
    <row r="3064" spans="5:13">
      <c r="E3064" s="668"/>
      <c r="F3064" s="668"/>
      <c r="G3064" s="668"/>
      <c r="H3064" s="668"/>
      <c r="I3064" s="668"/>
      <c r="J3064" s="668"/>
      <c r="K3064" s="674"/>
      <c r="L3064" s="668"/>
      <c r="M3064" s="668"/>
    </row>
    <row r="3065" spans="5:13">
      <c r="E3065" s="668"/>
      <c r="F3065" s="668"/>
      <c r="G3065" s="668"/>
      <c r="H3065" s="688" t="s">
        <v>2379</v>
      </c>
      <c r="I3065" s="668"/>
      <c r="J3065" s="668"/>
      <c r="K3065" s="674"/>
      <c r="L3065" s="668"/>
      <c r="M3065" s="668"/>
    </row>
    <row r="3066" spans="5:13">
      <c r="E3066" s="668"/>
      <c r="F3066" s="668"/>
      <c r="G3066" s="668"/>
      <c r="H3066" s="668"/>
      <c r="I3066" s="668"/>
      <c r="J3066" s="668"/>
      <c r="K3066" s="674"/>
      <c r="L3066" s="668"/>
      <c r="M3066" s="668"/>
    </row>
    <row r="3067" spans="5:13">
      <c r="E3067" s="668"/>
      <c r="F3067" s="668"/>
      <c r="G3067" s="668"/>
      <c r="H3067" s="460" t="s">
        <v>2380</v>
      </c>
      <c r="I3067" s="668"/>
      <c r="J3067" s="668"/>
      <c r="K3067" s="674"/>
      <c r="L3067" s="668"/>
      <c r="M3067" s="668"/>
    </row>
    <row r="3068" spans="5:13">
      <c r="E3068" s="668"/>
      <c r="F3068" s="668"/>
      <c r="G3068" s="668"/>
      <c r="H3068" s="460" t="s">
        <v>2381</v>
      </c>
      <c r="I3068" s="668"/>
      <c r="J3068" s="668"/>
      <c r="K3068" s="674"/>
      <c r="L3068" s="668"/>
      <c r="M3068" s="668"/>
    </row>
    <row r="3069" spans="5:13">
      <c r="E3069" s="668"/>
      <c r="F3069" s="668"/>
      <c r="G3069" s="668"/>
      <c r="H3069" s="668"/>
      <c r="I3069" s="668"/>
      <c r="J3069" s="668"/>
      <c r="K3069" s="674"/>
      <c r="L3069" s="668"/>
      <c r="M3069" s="668"/>
    </row>
    <row r="3070" spans="5:13" ht="121.5" customHeight="1">
      <c r="E3070" s="668"/>
      <c r="F3070" s="668"/>
      <c r="G3070" s="668"/>
      <c r="H3070" s="667" t="s">
        <v>2382</v>
      </c>
      <c r="I3070" s="668"/>
      <c r="J3070" s="668"/>
      <c r="K3070" s="674"/>
      <c r="L3070" s="668"/>
      <c r="M3070" s="668"/>
    </row>
    <row r="3071" spans="5:13">
      <c r="E3071" s="668"/>
      <c r="F3071" s="668"/>
      <c r="G3071" s="668"/>
      <c r="H3071" s="668"/>
      <c r="I3071" s="668"/>
      <c r="J3071" s="668"/>
      <c r="K3071" s="674"/>
      <c r="L3071" s="668"/>
      <c r="M3071" s="668"/>
    </row>
    <row r="3072" spans="5:13" ht="31.5">
      <c r="E3072" s="668"/>
      <c r="F3072" s="668">
        <v>180</v>
      </c>
      <c r="G3072" s="668" t="s">
        <v>12</v>
      </c>
      <c r="H3072" s="571" t="s">
        <v>2383</v>
      </c>
      <c r="I3072" s="668">
        <f>I3049</f>
        <v>12.8</v>
      </c>
      <c r="J3072" s="668" t="s">
        <v>12</v>
      </c>
      <c r="K3072" s="674">
        <f>F3072*I3072</f>
        <v>2304</v>
      </c>
      <c r="L3072" s="668"/>
      <c r="M3072" s="668"/>
    </row>
    <row r="3073" spans="5:13" ht="31.5">
      <c r="E3073" s="668"/>
      <c r="F3073" s="668">
        <v>90</v>
      </c>
      <c r="G3073" s="668" t="s">
        <v>12</v>
      </c>
      <c r="H3073" s="667" t="s">
        <v>2384</v>
      </c>
      <c r="I3073" s="668">
        <f>I3050</f>
        <v>19.5</v>
      </c>
      <c r="J3073" s="668" t="s">
        <v>12</v>
      </c>
      <c r="K3073" s="674">
        <f>F3073*I3073</f>
        <v>1755</v>
      </c>
      <c r="L3073" s="668"/>
      <c r="M3073" s="668"/>
    </row>
    <row r="3074" spans="5:13">
      <c r="E3074" s="668"/>
      <c r="F3074" s="668">
        <v>3</v>
      </c>
      <c r="G3074" s="668" t="s">
        <v>2385</v>
      </c>
      <c r="H3074" s="668" t="s">
        <v>2386</v>
      </c>
      <c r="I3074" s="668">
        <f>I3058</f>
        <v>260</v>
      </c>
      <c r="J3074" s="668" t="s">
        <v>2385</v>
      </c>
      <c r="K3074" s="674">
        <f>F3074*I3074</f>
        <v>780</v>
      </c>
      <c r="L3074" s="668"/>
      <c r="M3074" s="668"/>
    </row>
    <row r="3075" spans="5:13" ht="31.5">
      <c r="E3075" s="668"/>
      <c r="F3075" s="668">
        <v>90</v>
      </c>
      <c r="G3075" s="668" t="s">
        <v>12</v>
      </c>
      <c r="H3075" s="571" t="s">
        <v>2387</v>
      </c>
      <c r="I3075" s="668">
        <f>I3072</f>
        <v>12.8</v>
      </c>
      <c r="J3075" s="668" t="s">
        <v>2388</v>
      </c>
      <c r="K3075" s="674">
        <f>F3075*I3075</f>
        <v>1152</v>
      </c>
      <c r="L3075" s="668"/>
      <c r="M3075" s="668"/>
    </row>
    <row r="3076" spans="5:13">
      <c r="E3076" s="668"/>
      <c r="F3076" s="668"/>
      <c r="G3076" s="668"/>
      <c r="H3076" s="668" t="s">
        <v>2389</v>
      </c>
      <c r="I3076" s="668"/>
      <c r="J3076" s="668"/>
      <c r="K3076" s="674">
        <f>K3060</f>
        <v>3475</v>
      </c>
      <c r="L3076" s="668"/>
      <c r="M3076" s="668"/>
    </row>
    <row r="3077" spans="5:13">
      <c r="E3077" s="668"/>
      <c r="F3077" s="668"/>
      <c r="G3077" s="668"/>
      <c r="H3077" s="668"/>
      <c r="I3077" s="668"/>
      <c r="J3077" s="668"/>
      <c r="K3077" s="674">
        <f>SUM(K3072:K3076)</f>
        <v>9466</v>
      </c>
      <c r="L3077" s="668"/>
      <c r="M3077" s="668"/>
    </row>
    <row r="3078" spans="5:13">
      <c r="E3078" s="668"/>
      <c r="F3078" s="668"/>
      <c r="G3078" s="668"/>
      <c r="H3078" s="668" t="s">
        <v>2390</v>
      </c>
      <c r="I3078" s="668"/>
      <c r="J3078" s="668"/>
      <c r="K3078" s="674">
        <f>4.68+6.32</f>
        <v>11</v>
      </c>
      <c r="L3078" s="668"/>
      <c r="M3078" s="668"/>
    </row>
    <row r="3079" spans="5:13">
      <c r="E3079" s="668"/>
      <c r="F3079" s="668"/>
      <c r="G3079" s="668"/>
      <c r="H3079" s="674" t="s">
        <v>2391</v>
      </c>
      <c r="I3079" s="668"/>
      <c r="J3079" s="668"/>
      <c r="K3079" s="856">
        <f>SUM(K3077:K3078)</f>
        <v>9477</v>
      </c>
      <c r="L3079" s="668"/>
      <c r="M3079" s="668"/>
    </row>
    <row r="3080" spans="5:13">
      <c r="E3080" s="668"/>
      <c r="F3080" s="668"/>
      <c r="G3080" s="668"/>
      <c r="H3080" s="676" t="s">
        <v>2392</v>
      </c>
      <c r="I3080" s="668"/>
      <c r="J3080" s="668"/>
      <c r="K3080" s="676">
        <f>K3079/90</f>
        <v>105.3</v>
      </c>
      <c r="L3080" s="668"/>
      <c r="M3080" s="668"/>
    </row>
    <row r="3081" spans="5:13">
      <c r="E3081" s="668"/>
      <c r="F3081" s="668"/>
      <c r="G3081" s="668"/>
      <c r="H3081" s="668"/>
      <c r="I3081" s="668"/>
      <c r="J3081" s="668"/>
      <c r="K3081" s="674"/>
      <c r="L3081" s="668"/>
      <c r="M3081" s="668"/>
    </row>
    <row r="3082" spans="5:13">
      <c r="E3082" s="668"/>
      <c r="F3082" s="668"/>
      <c r="G3082" s="668"/>
      <c r="H3082" s="460" t="s">
        <v>2393</v>
      </c>
      <c r="I3082" s="668"/>
      <c r="J3082" s="668"/>
      <c r="K3082" s="674"/>
      <c r="L3082" s="668"/>
      <c r="M3082" s="668"/>
    </row>
    <row r="3083" spans="5:13">
      <c r="E3083" s="668"/>
      <c r="F3083" s="668"/>
      <c r="G3083" s="668"/>
      <c r="H3083" s="460" t="s">
        <v>1521</v>
      </c>
      <c r="I3083" s="668"/>
      <c r="J3083" s="668"/>
      <c r="K3083" s="674"/>
      <c r="L3083" s="668"/>
      <c r="M3083" s="668"/>
    </row>
    <row r="3084" spans="5:13">
      <c r="E3084" s="668"/>
      <c r="F3084" s="668"/>
      <c r="G3084" s="668"/>
      <c r="H3084" s="668"/>
      <c r="I3084" s="668"/>
      <c r="J3084" s="668"/>
      <c r="K3084" s="674"/>
      <c r="L3084" s="668"/>
      <c r="M3084" s="668"/>
    </row>
    <row r="3085" spans="5:13" ht="121.5" customHeight="1">
      <c r="E3085" s="668"/>
      <c r="F3085" s="668"/>
      <c r="G3085" s="668"/>
      <c r="H3085" s="667" t="s">
        <v>5305</v>
      </c>
      <c r="I3085" s="668"/>
      <c r="J3085" s="668"/>
      <c r="K3085" s="674"/>
      <c r="L3085" s="668"/>
      <c r="M3085" s="668"/>
    </row>
    <row r="3086" spans="5:13">
      <c r="E3086" s="668"/>
      <c r="F3086" s="668"/>
      <c r="G3086" s="668"/>
      <c r="H3086" s="668"/>
      <c r="I3086" s="668"/>
      <c r="J3086" s="668"/>
      <c r="K3086" s="674"/>
      <c r="L3086" s="668"/>
      <c r="M3086" s="668"/>
    </row>
    <row r="3087" spans="5:13">
      <c r="E3087" s="668"/>
      <c r="F3087" s="668"/>
      <c r="G3087" s="668"/>
      <c r="H3087" s="668" t="s">
        <v>4740</v>
      </c>
      <c r="I3087" s="668"/>
      <c r="J3087" s="668"/>
      <c r="K3087" s="674">
        <f>K3077</f>
        <v>9466</v>
      </c>
      <c r="L3087" s="668"/>
      <c r="M3087" s="668"/>
    </row>
    <row r="3088" spans="5:13" ht="41.25" customHeight="1">
      <c r="E3088" s="668"/>
      <c r="F3088" s="668">
        <v>180</v>
      </c>
      <c r="G3088" s="668" t="s">
        <v>12</v>
      </c>
      <c r="H3088" s="667" t="s">
        <v>5044</v>
      </c>
      <c r="I3088" s="668">
        <v>19.899999999999999</v>
      </c>
      <c r="J3088" s="668" t="s">
        <v>12</v>
      </c>
      <c r="K3088" s="674">
        <f>F3088*I3088</f>
        <v>3581.9999999999995</v>
      </c>
      <c r="L3088" s="668"/>
      <c r="M3088" s="668"/>
    </row>
    <row r="3089" spans="5:13" ht="36.75" customHeight="1">
      <c r="E3089" s="668"/>
      <c r="F3089" s="668">
        <v>180</v>
      </c>
      <c r="G3089" s="668" t="s">
        <v>12</v>
      </c>
      <c r="H3089" s="667" t="s">
        <v>4742</v>
      </c>
      <c r="I3089" s="668">
        <f>I3075</f>
        <v>12.8</v>
      </c>
      <c r="J3089" s="668" t="s">
        <v>2388</v>
      </c>
      <c r="K3089" s="674">
        <f>F3089*I3089</f>
        <v>2304</v>
      </c>
      <c r="L3089" s="668">
        <f>102.3*90</f>
        <v>9207</v>
      </c>
      <c r="M3089" s="668"/>
    </row>
    <row r="3090" spans="5:13" ht="25.5" customHeight="1">
      <c r="E3090" s="668"/>
      <c r="F3090" s="668"/>
      <c r="G3090" s="668"/>
      <c r="H3090" s="668" t="s">
        <v>2390</v>
      </c>
      <c r="I3090" s="668"/>
      <c r="J3090" s="668"/>
      <c r="K3090" s="674">
        <f>4.59+6.41</f>
        <v>11</v>
      </c>
      <c r="L3090" s="668">
        <f>109.4*90</f>
        <v>9846</v>
      </c>
      <c r="M3090" s="668"/>
    </row>
    <row r="3091" spans="5:13">
      <c r="E3091" s="668"/>
      <c r="F3091" s="668"/>
      <c r="G3091" s="668"/>
      <c r="H3091" s="674" t="s">
        <v>4743</v>
      </c>
      <c r="I3091" s="668"/>
      <c r="J3091" s="668"/>
      <c r="K3091" s="856">
        <f>K3087+K3088-K3089+K3090</f>
        <v>10755</v>
      </c>
      <c r="L3091" s="668">
        <f>L3090-K3091</f>
        <v>-909</v>
      </c>
      <c r="M3091" s="668"/>
    </row>
    <row r="3092" spans="5:13">
      <c r="E3092" s="668"/>
      <c r="F3092" s="668"/>
      <c r="G3092" s="668"/>
      <c r="H3092" s="676" t="s">
        <v>2392</v>
      </c>
      <c r="I3092" s="668"/>
      <c r="J3092" s="668"/>
      <c r="K3092" s="676">
        <f>K3091/90</f>
        <v>119.5</v>
      </c>
      <c r="L3092" s="668"/>
      <c r="M3092" s="668"/>
    </row>
    <row r="3093" spans="5:13">
      <c r="E3093" s="668"/>
      <c r="F3093" s="668"/>
      <c r="G3093" s="668"/>
      <c r="H3093" s="668"/>
      <c r="I3093" s="668"/>
      <c r="J3093" s="668"/>
      <c r="K3093" s="674"/>
      <c r="L3093" s="668"/>
      <c r="M3093" s="668"/>
    </row>
    <row r="3094" spans="5:13">
      <c r="E3094" s="668"/>
      <c r="F3094" s="668"/>
      <c r="G3094" s="668"/>
      <c r="H3094" s="460" t="s">
        <v>4734</v>
      </c>
      <c r="I3094" s="668"/>
      <c r="J3094" s="668"/>
      <c r="K3094" s="674"/>
      <c r="L3094" s="668"/>
      <c r="M3094" s="668"/>
    </row>
    <row r="3095" spans="5:13">
      <c r="E3095" s="668"/>
      <c r="F3095" s="668"/>
      <c r="G3095" s="668"/>
      <c r="H3095" s="460" t="s">
        <v>1522</v>
      </c>
      <c r="I3095" s="668"/>
      <c r="J3095" s="668"/>
      <c r="K3095" s="674"/>
      <c r="L3095" s="668"/>
      <c r="M3095" s="668"/>
    </row>
    <row r="3096" spans="5:13">
      <c r="E3096" s="668"/>
      <c r="F3096" s="668"/>
      <c r="G3096" s="668"/>
      <c r="H3096" s="668"/>
      <c r="I3096" s="668"/>
      <c r="J3096" s="668"/>
      <c r="K3096" s="674"/>
      <c r="L3096" s="668"/>
      <c r="M3096" s="668"/>
    </row>
    <row r="3097" spans="5:13" ht="126.75" customHeight="1">
      <c r="E3097" s="668"/>
      <c r="F3097" s="668"/>
      <c r="G3097" s="668"/>
      <c r="H3097" s="667" t="s">
        <v>5306</v>
      </c>
      <c r="I3097" s="668"/>
      <c r="J3097" s="668"/>
      <c r="K3097" s="674"/>
      <c r="L3097" s="668"/>
      <c r="M3097" s="668"/>
    </row>
    <row r="3098" spans="5:13" ht="28.5" customHeight="1">
      <c r="E3098" s="668"/>
      <c r="F3098" s="668">
        <v>180</v>
      </c>
      <c r="G3098" s="668" t="s">
        <v>12</v>
      </c>
      <c r="H3098" s="571" t="s">
        <v>5307</v>
      </c>
      <c r="I3098" s="668">
        <v>31.5</v>
      </c>
      <c r="J3098" s="668" t="s">
        <v>2388</v>
      </c>
      <c r="K3098" s="674">
        <f>F3098*I3098</f>
        <v>5670</v>
      </c>
      <c r="L3098" s="668"/>
      <c r="M3098" s="668"/>
    </row>
    <row r="3099" spans="5:13" ht="39" customHeight="1">
      <c r="E3099" s="668"/>
      <c r="F3099" s="668">
        <v>90</v>
      </c>
      <c r="G3099" s="668" t="s">
        <v>12</v>
      </c>
      <c r="H3099" s="667" t="s">
        <v>2384</v>
      </c>
      <c r="I3099" s="668">
        <f>I3073</f>
        <v>19.5</v>
      </c>
      <c r="J3099" s="668" t="s">
        <v>12</v>
      </c>
      <c r="K3099" s="674">
        <f>F3099*I3099</f>
        <v>1755</v>
      </c>
      <c r="L3099" s="668"/>
      <c r="M3099" s="668"/>
    </row>
    <row r="3100" spans="5:13">
      <c r="E3100" s="668"/>
      <c r="F3100" s="668">
        <v>3</v>
      </c>
      <c r="G3100" s="668" t="s">
        <v>2385</v>
      </c>
      <c r="H3100" s="668" t="s">
        <v>2386</v>
      </c>
      <c r="I3100" s="668">
        <f>I3074</f>
        <v>260</v>
      </c>
      <c r="J3100" s="668" t="s">
        <v>2385</v>
      </c>
      <c r="K3100" s="674">
        <f>F3100*I3100</f>
        <v>780</v>
      </c>
      <c r="L3100" s="668"/>
      <c r="M3100" s="668"/>
    </row>
    <row r="3101" spans="5:13" ht="31.5">
      <c r="E3101" s="668"/>
      <c r="F3101" s="668">
        <v>90</v>
      </c>
      <c r="G3101" s="668" t="s">
        <v>12</v>
      </c>
      <c r="H3101" s="571" t="s">
        <v>4738</v>
      </c>
      <c r="I3101" s="668">
        <f>I3088</f>
        <v>19.899999999999999</v>
      </c>
      <c r="J3101" s="668" t="s">
        <v>2388</v>
      </c>
      <c r="K3101" s="674">
        <f>F3101*I3101</f>
        <v>1790.9999999999998</v>
      </c>
      <c r="L3101" s="668"/>
      <c r="M3101" s="668"/>
    </row>
    <row r="3102" spans="5:13">
      <c r="E3102" s="668"/>
      <c r="F3102" s="668"/>
      <c r="G3102" s="668"/>
      <c r="H3102" s="668" t="s">
        <v>2389</v>
      </c>
      <c r="I3102" s="668"/>
      <c r="J3102" s="668"/>
      <c r="K3102" s="674">
        <f>K3076</f>
        <v>3475</v>
      </c>
      <c r="L3102" s="668"/>
      <c r="M3102" s="668"/>
    </row>
    <row r="3103" spans="5:13">
      <c r="E3103" s="668"/>
      <c r="F3103" s="668"/>
      <c r="G3103" s="668"/>
      <c r="H3103" s="668" t="s">
        <v>2390</v>
      </c>
      <c r="I3103" s="668"/>
      <c r="J3103" s="668"/>
      <c r="K3103" s="674">
        <v>11</v>
      </c>
      <c r="L3103" s="668"/>
      <c r="M3103" s="668"/>
    </row>
    <row r="3104" spans="5:13">
      <c r="E3104" s="668"/>
      <c r="F3104" s="668"/>
      <c r="G3104" s="668"/>
      <c r="H3104" s="674" t="s">
        <v>2391</v>
      </c>
      <c r="I3104" s="668"/>
      <c r="J3104" s="668"/>
      <c r="K3104" s="856">
        <f>SUM(K3098:K3103)</f>
        <v>13482</v>
      </c>
      <c r="L3104" s="668"/>
      <c r="M3104" s="668"/>
    </row>
    <row r="3105" spans="5:13">
      <c r="E3105" s="668"/>
      <c r="F3105" s="668"/>
      <c r="G3105" s="668"/>
      <c r="H3105" s="676" t="s">
        <v>2392</v>
      </c>
      <c r="I3105" s="668"/>
      <c r="J3105" s="668"/>
      <c r="K3105" s="676">
        <f>K3104/90</f>
        <v>149.80000000000001</v>
      </c>
      <c r="L3105" s="668"/>
      <c r="M3105" s="668"/>
    </row>
    <row r="3106" spans="5:13">
      <c r="E3106" s="668"/>
      <c r="F3106" s="668"/>
      <c r="G3106" s="668"/>
      <c r="H3106" s="668"/>
      <c r="I3106" s="668"/>
      <c r="J3106" s="668"/>
      <c r="K3106" s="674"/>
      <c r="L3106" s="668"/>
      <c r="M3106" s="668"/>
    </row>
    <row r="3107" spans="5:13">
      <c r="E3107" s="668"/>
      <c r="F3107" s="668"/>
      <c r="G3107" s="668"/>
      <c r="H3107" s="668"/>
      <c r="I3107" s="668"/>
      <c r="J3107" s="668"/>
      <c r="K3107" s="674"/>
      <c r="L3107" s="668"/>
      <c r="M3107" s="668"/>
    </row>
    <row r="3108" spans="5:13">
      <c r="E3108" s="668"/>
      <c r="F3108" s="668"/>
      <c r="G3108" s="668"/>
      <c r="H3108" s="460" t="s">
        <v>4745</v>
      </c>
      <c r="I3108" s="668"/>
      <c r="J3108" s="668"/>
      <c r="K3108" s="674"/>
      <c r="L3108" s="668"/>
      <c r="M3108" s="668"/>
    </row>
    <row r="3109" spans="5:13">
      <c r="E3109" s="668"/>
      <c r="F3109" s="668"/>
      <c r="G3109" s="668"/>
      <c r="H3109" s="460" t="s">
        <v>1523</v>
      </c>
      <c r="I3109" s="668"/>
      <c r="J3109" s="668"/>
      <c r="K3109" s="674"/>
      <c r="L3109" s="668"/>
      <c r="M3109" s="668"/>
    </row>
    <row r="3110" spans="5:13">
      <c r="E3110" s="668"/>
      <c r="F3110" s="668"/>
      <c r="G3110" s="668"/>
      <c r="H3110" s="668"/>
      <c r="I3110" s="668"/>
      <c r="J3110" s="668"/>
      <c r="K3110" s="674"/>
      <c r="L3110" s="668"/>
      <c r="M3110" s="668"/>
    </row>
    <row r="3111" spans="5:13" ht="121.5" customHeight="1">
      <c r="E3111" s="668"/>
      <c r="F3111" s="668"/>
      <c r="G3111" s="668"/>
      <c r="H3111" s="667" t="s">
        <v>5308</v>
      </c>
      <c r="I3111" s="668"/>
      <c r="J3111" s="668"/>
      <c r="K3111" s="674"/>
      <c r="L3111" s="668"/>
      <c r="M3111" s="668"/>
    </row>
    <row r="3112" spans="5:13" ht="31.5">
      <c r="E3112" s="668"/>
      <c r="F3112" s="668">
        <v>360</v>
      </c>
      <c r="G3112" s="668"/>
      <c r="H3112" s="571" t="s">
        <v>5307</v>
      </c>
      <c r="I3112" s="668">
        <f>I3098</f>
        <v>31.5</v>
      </c>
      <c r="J3112" s="668" t="s">
        <v>2388</v>
      </c>
      <c r="K3112" s="674">
        <f>F3112*I3112</f>
        <v>11340</v>
      </c>
      <c r="L3112" s="668"/>
      <c r="M3112" s="668"/>
    </row>
    <row r="3113" spans="5:13" ht="31.5">
      <c r="E3113" s="668"/>
      <c r="F3113" s="668">
        <v>90</v>
      </c>
      <c r="G3113" s="668"/>
      <c r="H3113" s="667" t="s">
        <v>4751</v>
      </c>
      <c r="I3113" s="668">
        <v>28.9</v>
      </c>
      <c r="J3113" s="668" t="s">
        <v>12</v>
      </c>
      <c r="K3113" s="674">
        <f>F3113*I3113</f>
        <v>2601</v>
      </c>
      <c r="L3113" s="668"/>
      <c r="M3113" s="668"/>
    </row>
    <row r="3114" spans="5:13">
      <c r="E3114" s="668"/>
      <c r="F3114" s="668">
        <v>3</v>
      </c>
      <c r="G3114" s="668"/>
      <c r="H3114" s="668" t="s">
        <v>2386</v>
      </c>
      <c r="I3114" s="668">
        <f>I3100</f>
        <v>260</v>
      </c>
      <c r="J3114" s="668" t="s">
        <v>2385</v>
      </c>
      <c r="K3114" s="674">
        <f>F3114*I3114</f>
        <v>780</v>
      </c>
      <c r="L3114" s="668"/>
      <c r="M3114" s="668"/>
    </row>
    <row r="3115" spans="5:13" ht="31.5">
      <c r="E3115" s="668"/>
      <c r="F3115" s="668">
        <v>90</v>
      </c>
      <c r="G3115" s="668"/>
      <c r="H3115" s="571" t="s">
        <v>4738</v>
      </c>
      <c r="I3115" s="668">
        <f>I3101</f>
        <v>19.899999999999999</v>
      </c>
      <c r="J3115" s="668" t="s">
        <v>2388</v>
      </c>
      <c r="K3115" s="674">
        <f>F3115*I3115</f>
        <v>1790.9999999999998</v>
      </c>
      <c r="L3115" s="668"/>
      <c r="M3115" s="668"/>
    </row>
    <row r="3116" spans="5:13">
      <c r="E3116" s="668"/>
      <c r="F3116" s="668"/>
      <c r="G3116" s="668"/>
      <c r="H3116" s="668" t="s">
        <v>2389</v>
      </c>
      <c r="I3116" s="668"/>
      <c r="J3116" s="668"/>
      <c r="K3116" s="674">
        <f>I3122</f>
        <v>4589.5</v>
      </c>
      <c r="L3116" s="668"/>
      <c r="M3116" s="668"/>
    </row>
    <row r="3117" spans="5:13">
      <c r="E3117" s="668"/>
      <c r="F3117" s="668"/>
      <c r="G3117" s="668"/>
      <c r="H3117" s="668" t="s">
        <v>2390</v>
      </c>
      <c r="I3117" s="668"/>
      <c r="J3117" s="668"/>
      <c r="K3117" s="674">
        <v>3.5</v>
      </c>
      <c r="L3117" s="668"/>
      <c r="M3117" s="668"/>
    </row>
    <row r="3118" spans="5:13">
      <c r="E3118" s="668"/>
      <c r="F3118" s="668"/>
      <c r="G3118" s="668"/>
      <c r="H3118" s="674" t="s">
        <v>2391</v>
      </c>
      <c r="I3118" s="668"/>
      <c r="J3118" s="668"/>
      <c r="K3118" s="856">
        <f>SUM(K3112:K3117)</f>
        <v>21105</v>
      </c>
      <c r="L3118" s="668">
        <f>217.3*90</f>
        <v>19557</v>
      </c>
      <c r="M3118" s="668"/>
    </row>
    <row r="3119" spans="5:13">
      <c r="E3119" s="668"/>
      <c r="F3119" s="668"/>
      <c r="G3119" s="668"/>
      <c r="H3119" s="676" t="s">
        <v>2392</v>
      </c>
      <c r="I3119" s="668"/>
      <c r="J3119" s="668"/>
      <c r="K3119" s="676">
        <f>K3118/90</f>
        <v>234.5</v>
      </c>
      <c r="L3119" s="668">
        <f>L3118-K3118</f>
        <v>-1548</v>
      </c>
      <c r="M3119" s="668"/>
    </row>
    <row r="3120" spans="5:13">
      <c r="E3120" s="668"/>
      <c r="F3120" s="668"/>
      <c r="G3120" s="668"/>
      <c r="H3120" s="668"/>
      <c r="I3120" s="668"/>
      <c r="J3120" s="668"/>
      <c r="K3120" s="674"/>
      <c r="L3120" s="668"/>
      <c r="M3120" s="668"/>
    </row>
    <row r="3121" spans="5:13">
      <c r="E3121" s="668"/>
      <c r="F3121" s="668"/>
      <c r="G3121" s="668"/>
      <c r="H3121" s="460" t="s">
        <v>4752</v>
      </c>
      <c r="I3121" s="668"/>
      <c r="J3121" s="668"/>
      <c r="K3121" s="674"/>
      <c r="L3121" s="668"/>
      <c r="M3121" s="668"/>
    </row>
    <row r="3122" spans="5:13">
      <c r="E3122" s="668"/>
      <c r="F3122" s="668"/>
      <c r="G3122" s="668"/>
      <c r="H3122" s="668" t="s">
        <v>5309</v>
      </c>
      <c r="I3122" s="460">
        <f>(1.5*K2873)-((K2871+K2872)/2)</f>
        <v>4589.5</v>
      </c>
      <c r="J3122" s="668"/>
      <c r="K3122" s="674"/>
      <c r="L3122" s="668"/>
      <c r="M3122" s="668"/>
    </row>
    <row r="3123" spans="5:13">
      <c r="E3123" s="668"/>
      <c r="F3123" s="668"/>
      <c r="G3123" s="668"/>
      <c r="H3123" s="668">
        <f>1.5*K2873-(K2871+K2872)/2</f>
        <v>4589.5</v>
      </c>
      <c r="I3123" s="668"/>
      <c r="J3123" s="668"/>
      <c r="K3123" s="674"/>
      <c r="L3123" s="668"/>
      <c r="M3123" s="668"/>
    </row>
    <row r="3124" spans="5:13">
      <c r="E3124" s="668"/>
      <c r="F3124" s="668"/>
      <c r="G3124" s="668"/>
      <c r="H3124" s="668"/>
      <c r="I3124" s="668"/>
      <c r="J3124" s="668"/>
      <c r="K3124" s="674"/>
      <c r="L3124" s="668"/>
      <c r="M3124" s="668"/>
    </row>
    <row r="3125" spans="5:13">
      <c r="E3125" s="668"/>
      <c r="F3125" s="668"/>
      <c r="G3125" s="668"/>
      <c r="H3125" s="688" t="s">
        <v>2422</v>
      </c>
      <c r="I3125" s="668"/>
      <c r="J3125" s="668"/>
      <c r="K3125" s="674"/>
      <c r="L3125" s="668"/>
      <c r="M3125" s="668"/>
    </row>
    <row r="3126" spans="5:13">
      <c r="E3126" s="668"/>
      <c r="F3126" s="668"/>
      <c r="G3126" s="668"/>
      <c r="H3126" s="668"/>
      <c r="I3126" s="668"/>
      <c r="J3126" s="668"/>
      <c r="K3126" s="674"/>
      <c r="L3126" s="668"/>
      <c r="M3126" s="668"/>
    </row>
    <row r="3127" spans="5:13">
      <c r="E3127" s="668"/>
      <c r="F3127" s="668"/>
      <c r="G3127" s="668"/>
      <c r="H3127" s="460" t="s">
        <v>2423</v>
      </c>
      <c r="I3127" s="668"/>
      <c r="J3127" s="668"/>
      <c r="K3127" s="674"/>
      <c r="L3127" s="668"/>
      <c r="M3127" s="668"/>
    </row>
    <row r="3128" spans="5:13">
      <c r="E3128" s="668"/>
      <c r="F3128" s="668"/>
      <c r="G3128" s="668"/>
      <c r="H3128" s="668"/>
      <c r="I3128" s="668"/>
      <c r="J3128" s="668"/>
      <c r="K3128" s="674"/>
      <c r="L3128" s="668"/>
      <c r="M3128" s="668"/>
    </row>
    <row r="3129" spans="5:13">
      <c r="E3129" s="668"/>
      <c r="F3129" s="668"/>
      <c r="G3129" s="668"/>
      <c r="H3129" s="460" t="s">
        <v>2424</v>
      </c>
      <c r="I3129" s="668"/>
      <c r="J3129" s="668"/>
      <c r="K3129" s="674"/>
      <c r="L3129" s="668"/>
      <c r="M3129" s="668"/>
    </row>
    <row r="3130" spans="5:13">
      <c r="E3130" s="668"/>
      <c r="F3130" s="668"/>
      <c r="G3130" s="668"/>
      <c r="H3130" s="668"/>
      <c r="I3130" s="668"/>
      <c r="J3130" s="668"/>
      <c r="K3130" s="674"/>
      <c r="L3130" s="668"/>
      <c r="M3130" s="668"/>
    </row>
    <row r="3131" spans="5:13" ht="63">
      <c r="E3131" s="668"/>
      <c r="F3131" s="668"/>
      <c r="G3131" s="668"/>
      <c r="H3131" s="667" t="s">
        <v>2425</v>
      </c>
      <c r="I3131" s="668"/>
      <c r="J3131" s="668"/>
      <c r="K3131" s="674"/>
      <c r="L3131" s="668"/>
      <c r="M3131" s="668"/>
    </row>
    <row r="3132" spans="5:13">
      <c r="E3132" s="668"/>
      <c r="F3132" s="668">
        <v>1</v>
      </c>
      <c r="G3132" s="668" t="s">
        <v>5</v>
      </c>
      <c r="H3132" s="668" t="s">
        <v>5310</v>
      </c>
      <c r="I3132" s="671">
        <v>315</v>
      </c>
      <c r="J3132" s="668" t="s">
        <v>5</v>
      </c>
      <c r="K3132" s="674">
        <f>F3132*I3132</f>
        <v>315</v>
      </c>
      <c r="L3132" s="668"/>
      <c r="M3132" s="668"/>
    </row>
    <row r="3133" spans="5:13">
      <c r="E3133" s="668"/>
      <c r="F3133" s="668"/>
      <c r="G3133" s="668"/>
      <c r="H3133" s="668" t="s">
        <v>2390</v>
      </c>
      <c r="I3133" s="668"/>
      <c r="J3133" s="668"/>
      <c r="K3133" s="674">
        <v>1.8</v>
      </c>
      <c r="L3133" s="668"/>
      <c r="M3133" s="668"/>
    </row>
    <row r="3134" spans="5:13">
      <c r="E3134" s="668"/>
      <c r="F3134" s="668"/>
      <c r="G3134" s="668"/>
      <c r="H3134" s="668" t="s">
        <v>2389</v>
      </c>
      <c r="I3134" s="668"/>
      <c r="J3134" s="668"/>
      <c r="K3134" s="674">
        <f>K3142</f>
        <v>68.2</v>
      </c>
      <c r="L3134" s="668"/>
      <c r="M3134" s="668"/>
    </row>
    <row r="3135" spans="5:13">
      <c r="E3135" s="668"/>
      <c r="F3135" s="668"/>
      <c r="G3135" s="668"/>
      <c r="H3135" s="676" t="s">
        <v>2426</v>
      </c>
      <c r="I3135" s="668"/>
      <c r="J3135" s="668"/>
      <c r="K3135" s="676">
        <f>SUM(K3132:K3134)</f>
        <v>385</v>
      </c>
      <c r="L3135" s="668">
        <f>357-K3135</f>
        <v>-28</v>
      </c>
      <c r="M3135" s="668"/>
    </row>
    <row r="3136" spans="5:13">
      <c r="E3136" s="668"/>
      <c r="F3136" s="668"/>
      <c r="G3136" s="668"/>
      <c r="H3136" s="668"/>
      <c r="I3136" s="668"/>
      <c r="J3136" s="668"/>
      <c r="K3136" s="674"/>
      <c r="L3136" s="668"/>
      <c r="M3136" s="668"/>
    </row>
    <row r="3137" spans="5:13">
      <c r="E3137" s="668"/>
      <c r="F3137" s="668"/>
      <c r="G3137" s="668"/>
      <c r="H3137" s="668"/>
      <c r="I3137" s="668"/>
      <c r="J3137" s="668"/>
      <c r="K3137" s="674"/>
      <c r="L3137" s="668"/>
      <c r="M3137" s="668"/>
    </row>
    <row r="3138" spans="5:13">
      <c r="E3138" s="668"/>
      <c r="F3138" s="668"/>
      <c r="G3138" s="668"/>
      <c r="H3138" s="677" t="s">
        <v>2427</v>
      </c>
      <c r="I3138" s="668"/>
      <c r="J3138" s="668"/>
      <c r="K3138" s="674"/>
      <c r="L3138" s="668"/>
      <c r="M3138" s="668"/>
    </row>
    <row r="3139" spans="5:13">
      <c r="E3139" s="668"/>
      <c r="F3139" s="668">
        <v>2</v>
      </c>
      <c r="G3139" s="668" t="s">
        <v>5</v>
      </c>
      <c r="H3139" s="668" t="s">
        <v>2419</v>
      </c>
      <c r="I3139" s="668">
        <f>I2868</f>
        <v>240</v>
      </c>
      <c r="J3139" s="668" t="s">
        <v>5</v>
      </c>
      <c r="K3139" s="674">
        <f>F3139*I3139</f>
        <v>480</v>
      </c>
      <c r="L3139" s="668"/>
      <c r="M3139" s="668"/>
    </row>
    <row r="3140" spans="5:13">
      <c r="E3140" s="668"/>
      <c r="F3140" s="668">
        <v>3</v>
      </c>
      <c r="G3140" s="668" t="s">
        <v>5</v>
      </c>
      <c r="H3140" s="668" t="s">
        <v>4757</v>
      </c>
      <c r="I3140" s="668">
        <f>I2869</f>
        <v>181</v>
      </c>
      <c r="J3140" s="668" t="s">
        <v>5</v>
      </c>
      <c r="K3140" s="674">
        <f>F3140*I3140</f>
        <v>543</v>
      </c>
      <c r="L3140" s="668"/>
      <c r="M3140" s="668"/>
    </row>
    <row r="3141" spans="5:13">
      <c r="E3141" s="668"/>
      <c r="F3141" s="668"/>
      <c r="G3141" s="668"/>
      <c r="H3141" s="674" t="s">
        <v>4758</v>
      </c>
      <c r="I3141" s="668"/>
      <c r="J3141" s="668"/>
      <c r="K3141" s="856">
        <f>SUM(K3139:K3140)</f>
        <v>1023</v>
      </c>
      <c r="L3141" s="668"/>
      <c r="M3141" s="668"/>
    </row>
    <row r="3142" spans="5:13">
      <c r="E3142" s="668"/>
      <c r="F3142" s="668"/>
      <c r="G3142" s="668"/>
      <c r="H3142" s="676" t="s">
        <v>2373</v>
      </c>
      <c r="I3142" s="668"/>
      <c r="J3142" s="668"/>
      <c r="K3142" s="676">
        <f>K3141/15</f>
        <v>68.2</v>
      </c>
      <c r="L3142" s="668"/>
      <c r="M3142" s="668"/>
    </row>
    <row r="3143" spans="5:13">
      <c r="E3143" s="668"/>
      <c r="F3143" s="668"/>
      <c r="G3143" s="668"/>
      <c r="H3143" s="668"/>
      <c r="I3143" s="668"/>
      <c r="J3143" s="668"/>
      <c r="K3143" s="674"/>
      <c r="L3143" s="668"/>
      <c r="M3143" s="668"/>
    </row>
    <row r="3144" spans="5:13">
      <c r="E3144" s="668"/>
      <c r="F3144" s="668"/>
      <c r="G3144" s="668"/>
      <c r="H3144" s="460" t="s">
        <v>4759</v>
      </c>
      <c r="I3144" s="668"/>
      <c r="J3144" s="668"/>
      <c r="K3144" s="674"/>
      <c r="L3144" s="668"/>
      <c r="M3144" s="668"/>
    </row>
    <row r="3145" spans="5:13">
      <c r="E3145" s="668"/>
      <c r="F3145" s="668"/>
      <c r="G3145" s="668"/>
      <c r="H3145" s="668"/>
      <c r="I3145" s="668"/>
      <c r="J3145" s="668"/>
      <c r="K3145" s="674"/>
      <c r="L3145" s="668"/>
      <c r="M3145" s="668"/>
    </row>
    <row r="3146" spans="5:13" ht="72.75" customHeight="1">
      <c r="E3146" s="668"/>
      <c r="F3146" s="668"/>
      <c r="G3146" s="668"/>
      <c r="H3146" s="665" t="s">
        <v>4760</v>
      </c>
      <c r="I3146" s="668"/>
      <c r="J3146" s="668"/>
      <c r="K3146" s="674"/>
      <c r="L3146" s="668"/>
      <c r="M3146" s="668"/>
    </row>
    <row r="3147" spans="5:13">
      <c r="E3147" s="668"/>
      <c r="F3147" s="668"/>
      <c r="G3147" s="668"/>
      <c r="H3147" s="668"/>
      <c r="I3147" s="668"/>
      <c r="J3147" s="668"/>
      <c r="K3147" s="674"/>
      <c r="L3147" s="668"/>
      <c r="M3147" s="668"/>
    </row>
    <row r="3148" spans="5:13" ht="72.75" customHeight="1">
      <c r="E3148" s="668"/>
      <c r="F3148" s="668"/>
      <c r="G3148" s="668"/>
      <c r="H3148" s="667" t="s">
        <v>4761</v>
      </c>
      <c r="I3148" s="668"/>
      <c r="J3148" s="668"/>
      <c r="K3148" s="674"/>
      <c r="L3148" s="668"/>
      <c r="M3148" s="668"/>
    </row>
    <row r="3149" spans="5:13">
      <c r="E3149" s="668"/>
      <c r="F3149" s="668"/>
      <c r="G3149" s="668"/>
      <c r="H3149" s="668"/>
      <c r="I3149" s="668"/>
      <c r="J3149" s="668"/>
      <c r="K3149" s="674"/>
      <c r="L3149" s="668"/>
      <c r="M3149" s="668"/>
    </row>
    <row r="3150" spans="5:13" ht="31.5">
      <c r="E3150" s="668"/>
      <c r="F3150" s="668">
        <v>1</v>
      </c>
      <c r="G3150" s="668" t="s">
        <v>5</v>
      </c>
      <c r="H3150" s="667" t="s">
        <v>4762</v>
      </c>
      <c r="I3150" s="668">
        <v>200</v>
      </c>
      <c r="J3150" s="668" t="s">
        <v>5</v>
      </c>
      <c r="K3150" s="674">
        <f>F3150*I3150</f>
        <v>200</v>
      </c>
      <c r="L3150" s="668"/>
      <c r="M3150" s="668"/>
    </row>
    <row r="3151" spans="5:13" ht="31.5">
      <c r="E3151" s="668"/>
      <c r="F3151" s="668">
        <v>1</v>
      </c>
      <c r="G3151" s="668" t="s">
        <v>5</v>
      </c>
      <c r="H3151" s="667" t="s">
        <v>4769</v>
      </c>
      <c r="I3151" s="670">
        <v>62</v>
      </c>
      <c r="J3151" s="668" t="s">
        <v>5</v>
      </c>
      <c r="K3151" s="674">
        <f>F3151*I3151</f>
        <v>62</v>
      </c>
      <c r="L3151" s="668"/>
      <c r="M3151" s="668"/>
    </row>
    <row r="3152" spans="5:13" ht="31.5">
      <c r="E3152" s="668"/>
      <c r="F3152" s="668"/>
      <c r="G3152" s="668"/>
      <c r="H3152" s="667" t="s">
        <v>4764</v>
      </c>
      <c r="I3152" s="668"/>
      <c r="J3152" s="668"/>
      <c r="K3152" s="674">
        <v>7</v>
      </c>
      <c r="L3152" s="668"/>
      <c r="M3152" s="668"/>
    </row>
    <row r="3153" spans="5:13">
      <c r="E3153" s="668"/>
      <c r="F3153" s="668"/>
      <c r="G3153" s="668"/>
      <c r="H3153" s="668" t="s">
        <v>2389</v>
      </c>
      <c r="I3153" s="668"/>
      <c r="J3153" s="668"/>
      <c r="K3153" s="674">
        <f>K3161</f>
        <v>154</v>
      </c>
      <c r="L3153" s="668"/>
      <c r="M3153" s="668"/>
    </row>
    <row r="3154" spans="5:13">
      <c r="E3154" s="668"/>
      <c r="F3154" s="668"/>
      <c r="G3154" s="668"/>
      <c r="H3154" s="676" t="s">
        <v>2373</v>
      </c>
      <c r="I3154" s="668"/>
      <c r="J3154" s="668"/>
      <c r="K3154" s="676">
        <f>SUM(K3150:K3153)</f>
        <v>423</v>
      </c>
      <c r="L3154" s="668"/>
      <c r="M3154" s="668"/>
    </row>
    <row r="3155" spans="5:13">
      <c r="E3155" s="668"/>
      <c r="F3155" s="668"/>
      <c r="G3155" s="668"/>
      <c r="H3155" s="668">
        <v>0</v>
      </c>
      <c r="I3155" s="668"/>
      <c r="J3155" s="668"/>
      <c r="K3155" s="674"/>
      <c r="L3155" s="668"/>
      <c r="M3155" s="668"/>
    </row>
    <row r="3156" spans="5:13">
      <c r="E3156" s="668"/>
      <c r="F3156" s="668"/>
      <c r="G3156" s="668"/>
      <c r="H3156" s="668"/>
      <c r="I3156" s="668"/>
      <c r="J3156" s="668"/>
      <c r="K3156" s="674"/>
      <c r="L3156" s="668"/>
      <c r="M3156" s="668"/>
    </row>
    <row r="3157" spans="5:13">
      <c r="E3157" s="668"/>
      <c r="F3157" s="668"/>
      <c r="G3157" s="668"/>
      <c r="H3157" s="677" t="s">
        <v>2389</v>
      </c>
      <c r="I3157" s="668"/>
      <c r="J3157" s="668"/>
      <c r="K3157" s="674"/>
      <c r="L3157" s="668"/>
      <c r="M3157" s="668"/>
    </row>
    <row r="3158" spans="5:13">
      <c r="E3158" s="668"/>
      <c r="F3158" s="668">
        <v>1</v>
      </c>
      <c r="G3158" s="668" t="s">
        <v>5</v>
      </c>
      <c r="H3158" s="668" t="s">
        <v>2418</v>
      </c>
      <c r="I3158" s="668">
        <f>I2867</f>
        <v>254</v>
      </c>
      <c r="J3158" s="668" t="s">
        <v>5</v>
      </c>
      <c r="K3158" s="674">
        <f>F3158*I3158</f>
        <v>254</v>
      </c>
      <c r="L3158" s="668"/>
      <c r="M3158" s="668"/>
    </row>
    <row r="3159" spans="5:13">
      <c r="E3159" s="668"/>
      <c r="F3159" s="668">
        <v>2</v>
      </c>
      <c r="G3159" s="668" t="s">
        <v>5</v>
      </c>
      <c r="H3159" s="668" t="s">
        <v>4757</v>
      </c>
      <c r="I3159" s="668">
        <f>I3140</f>
        <v>181</v>
      </c>
      <c r="J3159" s="668" t="s">
        <v>5</v>
      </c>
      <c r="K3159" s="674">
        <f>F3159*I3159</f>
        <v>362</v>
      </c>
      <c r="L3159" s="668"/>
      <c r="M3159" s="668"/>
    </row>
    <row r="3160" spans="5:13">
      <c r="E3160" s="668"/>
      <c r="F3160" s="668"/>
      <c r="G3160" s="668"/>
      <c r="H3160" s="674" t="s">
        <v>4765</v>
      </c>
      <c r="I3160" s="668"/>
      <c r="J3160" s="668"/>
      <c r="K3160" s="856">
        <f>SUM(K3158:K3159)</f>
        <v>616</v>
      </c>
      <c r="L3160" s="668"/>
      <c r="M3160" s="668"/>
    </row>
    <row r="3161" spans="5:13">
      <c r="E3161" s="668"/>
      <c r="F3161" s="668"/>
      <c r="G3161" s="668"/>
      <c r="H3161" s="676" t="s">
        <v>4617</v>
      </c>
      <c r="I3161" s="668"/>
      <c r="J3161" s="668"/>
      <c r="K3161" s="676">
        <f>K3160/4</f>
        <v>154</v>
      </c>
      <c r="L3161" s="668"/>
      <c r="M3161" s="668"/>
    </row>
    <row r="3162" spans="5:13">
      <c r="E3162" s="668"/>
      <c r="F3162" s="668"/>
      <c r="G3162" s="668"/>
      <c r="H3162" s="668"/>
      <c r="I3162" s="668"/>
      <c r="J3162" s="668"/>
      <c r="K3162" s="674"/>
      <c r="L3162" s="668"/>
      <c r="M3162" s="668"/>
    </row>
    <row r="3163" spans="5:13">
      <c r="E3163" s="668"/>
      <c r="F3163" s="668"/>
      <c r="G3163" s="668"/>
      <c r="H3163" s="460" t="s">
        <v>4766</v>
      </c>
      <c r="I3163" s="668"/>
      <c r="J3163" s="668"/>
      <c r="K3163" s="674"/>
      <c r="L3163" s="668"/>
      <c r="M3163" s="668"/>
    </row>
    <row r="3164" spans="5:13">
      <c r="E3164" s="668"/>
      <c r="F3164" s="668"/>
      <c r="G3164" s="668"/>
      <c r="H3164" s="668"/>
      <c r="I3164" s="668"/>
      <c r="J3164" s="668"/>
      <c r="K3164" s="674"/>
      <c r="L3164" s="668"/>
      <c r="M3164" s="668"/>
    </row>
    <row r="3165" spans="5:13" ht="63">
      <c r="E3165" s="668"/>
      <c r="F3165" s="668"/>
      <c r="G3165" s="668"/>
      <c r="H3165" s="665" t="s">
        <v>1524</v>
      </c>
      <c r="I3165" s="668"/>
      <c r="J3165" s="668"/>
      <c r="K3165" s="674"/>
      <c r="L3165" s="668"/>
      <c r="M3165" s="668"/>
    </row>
    <row r="3166" spans="5:13">
      <c r="E3166" s="668"/>
      <c r="F3166" s="668"/>
      <c r="G3166" s="668"/>
      <c r="H3166" s="668"/>
      <c r="I3166" s="668"/>
      <c r="J3166" s="668"/>
      <c r="K3166" s="674"/>
      <c r="L3166" s="668"/>
      <c r="M3166" s="668"/>
    </row>
    <row r="3167" spans="5:13" ht="78.75">
      <c r="E3167" s="668"/>
      <c r="F3167" s="668"/>
      <c r="G3167" s="668"/>
      <c r="H3167" s="667" t="s">
        <v>4767</v>
      </c>
      <c r="I3167" s="668"/>
      <c r="J3167" s="668"/>
      <c r="K3167" s="674"/>
      <c r="L3167" s="668"/>
      <c r="M3167" s="668"/>
    </row>
    <row r="3168" spans="5:13">
      <c r="E3168" s="668"/>
      <c r="F3168" s="668"/>
      <c r="G3168" s="668"/>
      <c r="H3168" s="668"/>
      <c r="I3168" s="668"/>
      <c r="J3168" s="668"/>
      <c r="K3168" s="674"/>
      <c r="L3168" s="668"/>
      <c r="M3168" s="668"/>
    </row>
    <row r="3169" spans="5:13" ht="31.5">
      <c r="E3169" s="668"/>
      <c r="F3169" s="668">
        <v>1</v>
      </c>
      <c r="G3169" s="668" t="s">
        <v>5</v>
      </c>
      <c r="H3169" s="667" t="s">
        <v>4768</v>
      </c>
      <c r="I3169" s="668">
        <v>455</v>
      </c>
      <c r="J3169" s="668" t="s">
        <v>5</v>
      </c>
      <c r="K3169" s="674">
        <f>F3169*I3169</f>
        <v>455</v>
      </c>
      <c r="L3169" s="668"/>
      <c r="M3169" s="668"/>
    </row>
    <row r="3170" spans="5:13" ht="31.5">
      <c r="E3170" s="668"/>
      <c r="F3170" s="668">
        <v>1</v>
      </c>
      <c r="G3170" s="668" t="s">
        <v>5</v>
      </c>
      <c r="H3170" s="667" t="s">
        <v>4769</v>
      </c>
      <c r="I3170" s="668">
        <f>I3151</f>
        <v>62</v>
      </c>
      <c r="J3170" s="668" t="s">
        <v>5</v>
      </c>
      <c r="K3170" s="674">
        <f>F3170*I3170</f>
        <v>62</v>
      </c>
      <c r="L3170" s="668"/>
      <c r="M3170" s="668"/>
    </row>
    <row r="3171" spans="5:13" ht="31.5">
      <c r="E3171" s="668"/>
      <c r="F3171" s="668"/>
      <c r="G3171" s="668"/>
      <c r="H3171" s="667" t="s">
        <v>4764</v>
      </c>
      <c r="I3171" s="668"/>
      <c r="J3171" s="668"/>
      <c r="K3171" s="674">
        <v>7</v>
      </c>
      <c r="L3171" s="668"/>
      <c r="M3171" s="668"/>
    </row>
    <row r="3172" spans="5:13">
      <c r="E3172" s="668"/>
      <c r="F3172" s="668"/>
      <c r="G3172" s="668"/>
      <c r="H3172" s="668" t="s">
        <v>2389</v>
      </c>
      <c r="I3172" s="668"/>
      <c r="J3172" s="668"/>
      <c r="K3172" s="674">
        <f>K3161</f>
        <v>154</v>
      </c>
      <c r="L3172" s="668"/>
      <c r="M3172" s="668"/>
    </row>
    <row r="3173" spans="5:13">
      <c r="E3173" s="668"/>
      <c r="F3173" s="668"/>
      <c r="G3173" s="668"/>
      <c r="H3173" s="676" t="s">
        <v>2373</v>
      </c>
      <c r="I3173" s="668"/>
      <c r="J3173" s="668"/>
      <c r="K3173" s="676">
        <f>SUM(K3169:K3172)</f>
        <v>678</v>
      </c>
      <c r="L3173" s="668"/>
      <c r="M3173" s="668"/>
    </row>
    <row r="3174" spans="5:13">
      <c r="E3174" s="668"/>
      <c r="F3174" s="668"/>
      <c r="G3174" s="668"/>
      <c r="H3174" s="668"/>
      <c r="I3174" s="668"/>
      <c r="J3174" s="668"/>
      <c r="K3174" s="674"/>
      <c r="L3174" s="668"/>
      <c r="M3174" s="668"/>
    </row>
    <row r="3175" spans="5:13">
      <c r="E3175" s="668"/>
      <c r="F3175" s="668"/>
      <c r="G3175" s="668"/>
      <c r="H3175" s="668"/>
      <c r="I3175" s="668"/>
      <c r="J3175" s="668"/>
      <c r="K3175" s="674"/>
      <c r="L3175" s="668"/>
      <c r="M3175" s="668"/>
    </row>
    <row r="3176" spans="5:13">
      <c r="E3176" s="668"/>
      <c r="F3176" s="668"/>
      <c r="G3176" s="668"/>
      <c r="H3176" s="460" t="s">
        <v>4770</v>
      </c>
      <c r="I3176" s="668"/>
      <c r="J3176" s="668"/>
      <c r="K3176" s="674"/>
      <c r="L3176" s="668"/>
      <c r="M3176" s="668"/>
    </row>
    <row r="3177" spans="5:13">
      <c r="E3177" s="668"/>
      <c r="F3177" s="668"/>
      <c r="G3177" s="668"/>
      <c r="H3177" s="668"/>
      <c r="I3177" s="668"/>
      <c r="J3177" s="668"/>
      <c r="K3177" s="674"/>
      <c r="L3177" s="668"/>
      <c r="M3177" s="668"/>
    </row>
    <row r="3178" spans="5:13" ht="58.5" customHeight="1">
      <c r="E3178" s="668"/>
      <c r="F3178" s="668"/>
      <c r="G3178" s="668"/>
      <c r="H3178" s="667" t="s">
        <v>1526</v>
      </c>
      <c r="I3178" s="668"/>
      <c r="J3178" s="668"/>
      <c r="K3178" s="674"/>
      <c r="L3178" s="668"/>
      <c r="M3178" s="668"/>
    </row>
    <row r="3179" spans="5:13">
      <c r="E3179" s="668"/>
      <c r="F3179" s="668"/>
      <c r="G3179" s="668"/>
      <c r="H3179" s="668"/>
      <c r="I3179" s="668"/>
      <c r="J3179" s="668"/>
      <c r="K3179" s="674"/>
      <c r="L3179" s="668"/>
      <c r="M3179" s="668"/>
    </row>
    <row r="3180" spans="5:13" ht="40.5" customHeight="1">
      <c r="E3180" s="668"/>
      <c r="F3180" s="668">
        <v>1</v>
      </c>
      <c r="G3180" s="668" t="s">
        <v>5</v>
      </c>
      <c r="H3180" s="667" t="s">
        <v>5311</v>
      </c>
      <c r="I3180" s="670">
        <v>504</v>
      </c>
      <c r="J3180" s="668" t="s">
        <v>5</v>
      </c>
      <c r="K3180" s="674">
        <f>F3180*I3180</f>
        <v>504</v>
      </c>
      <c r="L3180" s="668"/>
      <c r="M3180" s="668"/>
    </row>
    <row r="3181" spans="5:13">
      <c r="E3181" s="668"/>
      <c r="F3181" s="668">
        <v>1</v>
      </c>
      <c r="G3181" s="668" t="s">
        <v>5</v>
      </c>
      <c r="H3181" s="668" t="s">
        <v>4772</v>
      </c>
      <c r="I3181" s="668">
        <f>I3170</f>
        <v>62</v>
      </c>
      <c r="J3181" s="668" t="s">
        <v>5</v>
      </c>
      <c r="K3181" s="674">
        <f>F3181*I3181</f>
        <v>62</v>
      </c>
      <c r="L3181" s="668"/>
      <c r="M3181" s="668"/>
    </row>
    <row r="3182" spans="5:13">
      <c r="E3182" s="668"/>
      <c r="F3182" s="668"/>
      <c r="G3182" s="668"/>
      <c r="H3182" s="668" t="s">
        <v>2390</v>
      </c>
      <c r="I3182" s="668"/>
      <c r="J3182" s="668"/>
      <c r="K3182" s="674">
        <v>7</v>
      </c>
      <c r="L3182" s="668"/>
      <c r="M3182" s="668"/>
    </row>
    <row r="3183" spans="5:13">
      <c r="E3183" s="668"/>
      <c r="F3183" s="668"/>
      <c r="G3183" s="668"/>
      <c r="H3183" s="668" t="s">
        <v>4773</v>
      </c>
      <c r="I3183" s="668"/>
      <c r="J3183" s="668"/>
      <c r="K3183" s="674">
        <f>K3161</f>
        <v>154</v>
      </c>
      <c r="L3183" s="668"/>
      <c r="M3183" s="668"/>
    </row>
    <row r="3184" spans="5:13">
      <c r="E3184" s="668"/>
      <c r="F3184" s="668"/>
      <c r="G3184" s="668"/>
      <c r="H3184" s="676" t="s">
        <v>4714</v>
      </c>
      <c r="I3184" s="668"/>
      <c r="J3184" s="668"/>
      <c r="K3184" s="676">
        <f>SUM(K3180:K3183)</f>
        <v>727</v>
      </c>
      <c r="L3184" s="668"/>
      <c r="M3184" s="668"/>
    </row>
    <row r="3185" spans="5:13">
      <c r="E3185" s="668"/>
      <c r="F3185" s="668"/>
      <c r="G3185" s="668"/>
      <c r="H3185" s="668"/>
      <c r="I3185" s="668"/>
      <c r="J3185" s="668"/>
      <c r="K3185" s="674"/>
      <c r="L3185" s="668"/>
      <c r="M3185" s="668"/>
    </row>
    <row r="3186" spans="5:13">
      <c r="E3186" s="668"/>
      <c r="F3186" s="668"/>
      <c r="G3186" s="668"/>
      <c r="H3186" s="460" t="s">
        <v>4766</v>
      </c>
      <c r="I3186" s="668"/>
      <c r="J3186" s="668"/>
      <c r="K3186" s="674"/>
      <c r="L3186" s="668"/>
      <c r="M3186" s="668"/>
    </row>
    <row r="3187" spans="5:13">
      <c r="E3187" s="668"/>
      <c r="F3187" s="668"/>
      <c r="G3187" s="668"/>
      <c r="H3187" s="668"/>
      <c r="I3187" s="668"/>
      <c r="J3187" s="668"/>
      <c r="K3187" s="674"/>
      <c r="L3187" s="668"/>
      <c r="M3187" s="668"/>
    </row>
    <row r="3188" spans="5:13" ht="52.5" customHeight="1">
      <c r="E3188" s="668"/>
      <c r="F3188" s="668"/>
      <c r="G3188" s="668"/>
      <c r="H3188" s="665" t="s">
        <v>1527</v>
      </c>
      <c r="I3188" s="668"/>
      <c r="J3188" s="668"/>
      <c r="K3188" s="674"/>
      <c r="L3188" s="668"/>
      <c r="M3188" s="668"/>
    </row>
    <row r="3189" spans="5:13">
      <c r="E3189" s="668"/>
      <c r="F3189" s="668"/>
      <c r="G3189" s="668"/>
      <c r="H3189" s="668"/>
      <c r="I3189" s="668"/>
      <c r="J3189" s="668"/>
      <c r="K3189" s="674"/>
      <c r="L3189" s="668"/>
      <c r="M3189" s="668"/>
    </row>
    <row r="3190" spans="5:13" ht="88.5" customHeight="1">
      <c r="E3190" s="668"/>
      <c r="F3190" s="668"/>
      <c r="G3190" s="668"/>
      <c r="H3190" s="667" t="s">
        <v>4774</v>
      </c>
      <c r="I3190" s="668"/>
      <c r="J3190" s="668"/>
      <c r="K3190" s="674"/>
      <c r="L3190" s="668"/>
      <c r="M3190" s="668"/>
    </row>
    <row r="3191" spans="5:13">
      <c r="E3191" s="668"/>
      <c r="F3191" s="668">
        <v>1</v>
      </c>
      <c r="G3191" s="668" t="s">
        <v>5</v>
      </c>
      <c r="H3191" s="668" t="s">
        <v>4775</v>
      </c>
      <c r="I3191" s="668">
        <v>480</v>
      </c>
      <c r="J3191" s="668" t="s">
        <v>5</v>
      </c>
      <c r="K3191" s="674">
        <f>F3191*I3191</f>
        <v>480</v>
      </c>
      <c r="L3191" s="668"/>
      <c r="M3191" s="668"/>
    </row>
    <row r="3192" spans="5:13" ht="40.5" customHeight="1">
      <c r="E3192" s="668"/>
      <c r="F3192" s="668">
        <v>1</v>
      </c>
      <c r="G3192" s="668" t="s">
        <v>5</v>
      </c>
      <c r="H3192" s="667" t="s">
        <v>4776</v>
      </c>
      <c r="I3192" s="668">
        <v>130</v>
      </c>
      <c r="J3192" s="668" t="s">
        <v>5</v>
      </c>
      <c r="K3192" s="674">
        <f>F3192*I3192</f>
        <v>130</v>
      </c>
      <c r="L3192" s="668"/>
      <c r="M3192" s="668"/>
    </row>
    <row r="3193" spans="5:13" ht="31.5">
      <c r="E3193" s="668"/>
      <c r="F3193" s="668"/>
      <c r="G3193" s="668"/>
      <c r="H3193" s="667" t="s">
        <v>4777</v>
      </c>
      <c r="I3193" s="668"/>
      <c r="J3193" s="668"/>
      <c r="K3193" s="674">
        <f>7.33+0.34</f>
        <v>7.67</v>
      </c>
      <c r="L3193" s="668"/>
      <c r="M3193" s="668"/>
    </row>
    <row r="3194" spans="5:13">
      <c r="E3194" s="668"/>
      <c r="F3194" s="668"/>
      <c r="G3194" s="668"/>
      <c r="H3194" s="668" t="s">
        <v>2389</v>
      </c>
      <c r="I3194" s="668"/>
      <c r="J3194" s="668"/>
      <c r="K3194" s="674">
        <f>K3201</f>
        <v>205.33333333333334</v>
      </c>
      <c r="L3194" s="668"/>
      <c r="M3194" s="668"/>
    </row>
    <row r="3195" spans="5:13">
      <c r="E3195" s="668"/>
      <c r="F3195" s="668"/>
      <c r="G3195" s="668"/>
      <c r="H3195" s="676" t="s">
        <v>4714</v>
      </c>
      <c r="I3195" s="668"/>
      <c r="J3195" s="668"/>
      <c r="K3195" s="676">
        <f>SUM(K3191:K3194)</f>
        <v>823.00333333333333</v>
      </c>
      <c r="L3195" s="668"/>
      <c r="M3195" s="668"/>
    </row>
    <row r="3196" spans="5:13">
      <c r="E3196" s="668"/>
      <c r="F3196" s="668"/>
      <c r="G3196" s="668"/>
      <c r="H3196" s="668"/>
      <c r="I3196" s="668"/>
      <c r="J3196" s="668"/>
      <c r="K3196" s="674"/>
      <c r="L3196" s="668"/>
      <c r="M3196" s="668"/>
    </row>
    <row r="3197" spans="5:13">
      <c r="E3197" s="668"/>
      <c r="F3197" s="668"/>
      <c r="G3197" s="668"/>
      <c r="H3197" s="675" t="s">
        <v>2389</v>
      </c>
      <c r="I3197" s="668"/>
      <c r="J3197" s="668"/>
      <c r="K3197" s="674"/>
      <c r="L3197" s="668"/>
      <c r="M3197" s="668"/>
    </row>
    <row r="3198" spans="5:13">
      <c r="E3198" s="668"/>
      <c r="F3198" s="668">
        <v>1</v>
      </c>
      <c r="G3198" s="668" t="s">
        <v>5</v>
      </c>
      <c r="H3198" s="668" t="s">
        <v>4778</v>
      </c>
      <c r="I3198" s="668">
        <f>I3158</f>
        <v>254</v>
      </c>
      <c r="J3198" s="668" t="s">
        <v>5</v>
      </c>
      <c r="K3198" s="674">
        <f>F3198*I3198</f>
        <v>254</v>
      </c>
      <c r="L3198" s="668"/>
      <c r="M3198" s="668"/>
    </row>
    <row r="3199" spans="5:13">
      <c r="E3199" s="668"/>
      <c r="F3199" s="668">
        <v>2</v>
      </c>
      <c r="G3199" s="668" t="s">
        <v>5</v>
      </c>
      <c r="H3199" s="668" t="s">
        <v>4558</v>
      </c>
      <c r="I3199" s="668">
        <f>I3159</f>
        <v>181</v>
      </c>
      <c r="J3199" s="668" t="s">
        <v>5</v>
      </c>
      <c r="K3199" s="674">
        <f>F3199*I3199</f>
        <v>362</v>
      </c>
      <c r="L3199" s="668"/>
      <c r="M3199" s="668"/>
    </row>
    <row r="3200" spans="5:13">
      <c r="E3200" s="668"/>
      <c r="F3200" s="668"/>
      <c r="G3200" s="668"/>
      <c r="H3200" s="674" t="s">
        <v>4560</v>
      </c>
      <c r="I3200" s="668"/>
      <c r="J3200" s="668"/>
      <c r="K3200" s="674">
        <f>SUM(K3198:K3199)</f>
        <v>616</v>
      </c>
      <c r="L3200" s="668"/>
      <c r="M3200" s="668"/>
    </row>
    <row r="3201" spans="5:13">
      <c r="E3201" s="668"/>
      <c r="F3201" s="668"/>
      <c r="G3201" s="668"/>
      <c r="H3201" s="676" t="s">
        <v>2373</v>
      </c>
      <c r="I3201" s="668"/>
      <c r="J3201" s="668"/>
      <c r="K3201" s="676">
        <f>K3200/3</f>
        <v>205.33333333333334</v>
      </c>
      <c r="L3201" s="668"/>
      <c r="M3201" s="668"/>
    </row>
    <row r="3202" spans="5:13">
      <c r="E3202" s="668"/>
      <c r="F3202" s="668"/>
      <c r="G3202" s="668"/>
      <c r="H3202" s="668"/>
      <c r="I3202" s="668"/>
      <c r="J3202" s="668"/>
      <c r="K3202" s="674"/>
      <c r="L3202" s="668"/>
      <c r="M3202" s="668"/>
    </row>
    <row r="3203" spans="5:13">
      <c r="E3203" s="668"/>
      <c r="F3203" s="668"/>
      <c r="G3203" s="668"/>
      <c r="H3203" s="460" t="s">
        <v>4779</v>
      </c>
      <c r="I3203" s="668"/>
      <c r="J3203" s="668"/>
      <c r="K3203" s="674"/>
      <c r="L3203" s="668"/>
      <c r="M3203" s="668"/>
    </row>
    <row r="3204" spans="5:13">
      <c r="E3204" s="668"/>
      <c r="F3204" s="668"/>
      <c r="G3204" s="668"/>
      <c r="H3204" s="668"/>
      <c r="I3204" s="668"/>
      <c r="J3204" s="668"/>
      <c r="K3204" s="674"/>
      <c r="L3204" s="668"/>
      <c r="M3204" s="668"/>
    </row>
    <row r="3205" spans="5:13" ht="91.5" customHeight="1">
      <c r="E3205" s="668"/>
      <c r="F3205" s="668"/>
      <c r="G3205" s="668"/>
      <c r="H3205" s="665" t="s">
        <v>4780</v>
      </c>
      <c r="I3205" s="668"/>
      <c r="J3205" s="668"/>
      <c r="K3205" s="674"/>
      <c r="L3205" s="668"/>
      <c r="M3205" s="668"/>
    </row>
    <row r="3206" spans="5:13">
      <c r="E3206" s="668"/>
      <c r="F3206" s="668">
        <v>1</v>
      </c>
      <c r="G3206" s="668" t="s">
        <v>5</v>
      </c>
      <c r="H3206" s="668" t="s">
        <v>4781</v>
      </c>
      <c r="I3206" s="668">
        <v>800</v>
      </c>
      <c r="J3206" s="668" t="s">
        <v>5</v>
      </c>
      <c r="K3206" s="674">
        <f>F3206*I3206</f>
        <v>800</v>
      </c>
      <c r="L3206" s="668"/>
      <c r="M3206" s="668"/>
    </row>
    <row r="3207" spans="5:13" ht="36.75" customHeight="1">
      <c r="E3207" s="668"/>
      <c r="F3207" s="668">
        <v>1</v>
      </c>
      <c r="G3207" s="668" t="s">
        <v>5</v>
      </c>
      <c r="H3207" s="667" t="s">
        <v>4776</v>
      </c>
      <c r="I3207" s="668">
        <f>I3192</f>
        <v>130</v>
      </c>
      <c r="J3207" s="668" t="s">
        <v>5</v>
      </c>
      <c r="K3207" s="674">
        <f>F3207*I3207</f>
        <v>130</v>
      </c>
      <c r="L3207" s="668"/>
      <c r="M3207" s="668"/>
    </row>
    <row r="3208" spans="5:13" ht="35.25" customHeight="1">
      <c r="E3208" s="668"/>
      <c r="F3208" s="668"/>
      <c r="G3208" s="668"/>
      <c r="H3208" s="667" t="s">
        <v>4777</v>
      </c>
      <c r="I3208" s="668"/>
      <c r="J3208" s="668"/>
      <c r="K3208" s="674">
        <f>6.33+0.34</f>
        <v>6.67</v>
      </c>
      <c r="L3208" s="668"/>
      <c r="M3208" s="668"/>
    </row>
    <row r="3209" spans="5:13">
      <c r="E3209" s="668"/>
      <c r="F3209" s="668"/>
      <c r="G3209" s="668"/>
      <c r="H3209" s="668" t="s">
        <v>2389</v>
      </c>
      <c r="I3209" s="668"/>
      <c r="J3209" s="668"/>
      <c r="K3209" s="674">
        <f>K3201</f>
        <v>205.33333333333334</v>
      </c>
      <c r="L3209" s="668"/>
      <c r="M3209" s="668"/>
    </row>
    <row r="3210" spans="5:13">
      <c r="E3210" s="668"/>
      <c r="F3210" s="668"/>
      <c r="G3210" s="668"/>
      <c r="H3210" s="676" t="s">
        <v>4714</v>
      </c>
      <c r="I3210" s="668"/>
      <c r="J3210" s="668"/>
      <c r="K3210" s="676">
        <f>SUM(K3206:K3209)</f>
        <v>1142.0033333333333</v>
      </c>
      <c r="L3210" s="668"/>
      <c r="M3210" s="668"/>
    </row>
    <row r="3211" spans="5:13">
      <c r="E3211" s="668"/>
      <c r="F3211" s="668"/>
      <c r="G3211" s="668"/>
      <c r="H3211" s="668"/>
      <c r="I3211" s="668"/>
      <c r="J3211" s="668"/>
      <c r="K3211" s="674"/>
      <c r="L3211" s="668"/>
      <c r="M3211" s="668"/>
    </row>
    <row r="3212" spans="5:13">
      <c r="E3212" s="668"/>
      <c r="F3212" s="668"/>
      <c r="G3212" s="668"/>
      <c r="H3212" s="460" t="s">
        <v>4782</v>
      </c>
      <c r="I3212" s="668"/>
      <c r="J3212" s="668"/>
      <c r="K3212" s="674"/>
      <c r="L3212" s="668"/>
      <c r="M3212" s="668"/>
    </row>
    <row r="3213" spans="5:13">
      <c r="E3213" s="668"/>
      <c r="F3213" s="668"/>
      <c r="G3213" s="668"/>
      <c r="H3213" s="668"/>
      <c r="I3213" s="668"/>
      <c r="J3213" s="668"/>
      <c r="K3213" s="674"/>
      <c r="L3213" s="668"/>
      <c r="M3213" s="668"/>
    </row>
    <row r="3214" spans="5:13" ht="74.25" customHeight="1">
      <c r="E3214" s="668"/>
      <c r="F3214" s="668"/>
      <c r="G3214" s="668"/>
      <c r="H3214" s="665" t="s">
        <v>1530</v>
      </c>
      <c r="I3214" s="668"/>
      <c r="J3214" s="668"/>
      <c r="K3214" s="674"/>
      <c r="L3214" s="668"/>
      <c r="M3214" s="668"/>
    </row>
    <row r="3215" spans="5:13" ht="91.5" customHeight="1">
      <c r="E3215" s="668"/>
      <c r="F3215" s="668"/>
      <c r="G3215" s="668"/>
      <c r="H3215" s="667" t="s">
        <v>4783</v>
      </c>
      <c r="I3215" s="668"/>
      <c r="J3215" s="668"/>
      <c r="K3215" s="674"/>
      <c r="L3215" s="668"/>
      <c r="M3215" s="668"/>
    </row>
    <row r="3216" spans="5:13">
      <c r="E3216" s="668"/>
      <c r="F3216" s="668"/>
      <c r="G3216" s="668"/>
      <c r="H3216" s="668"/>
      <c r="I3216" s="668"/>
      <c r="J3216" s="668"/>
      <c r="K3216" s="674"/>
      <c r="L3216" s="668"/>
      <c r="M3216" s="668"/>
    </row>
    <row r="3217" spans="5:13" ht="39" customHeight="1">
      <c r="E3217" s="668"/>
      <c r="F3217" s="668">
        <v>1</v>
      </c>
      <c r="G3217" s="668" t="s">
        <v>5</v>
      </c>
      <c r="H3217" s="667" t="s">
        <v>5312</v>
      </c>
      <c r="I3217" s="670">
        <v>2520</v>
      </c>
      <c r="J3217" s="668" t="s">
        <v>5</v>
      </c>
      <c r="K3217" s="674">
        <f>F3217*I3217</f>
        <v>2520</v>
      </c>
      <c r="L3217" s="668"/>
      <c r="M3217" s="668"/>
    </row>
    <row r="3218" spans="5:13">
      <c r="E3218" s="668"/>
      <c r="F3218" s="668">
        <v>1</v>
      </c>
      <c r="G3218" s="668" t="s">
        <v>5</v>
      </c>
      <c r="H3218" s="668" t="s">
        <v>4785</v>
      </c>
      <c r="I3218" s="670">
        <f>K3222</f>
        <v>299.13300000000004</v>
      </c>
      <c r="J3218" s="668" t="s">
        <v>5</v>
      </c>
      <c r="K3218" s="674">
        <f>F3218*I3218</f>
        <v>299.13300000000004</v>
      </c>
      <c r="L3218" s="668"/>
      <c r="M3218" s="668"/>
    </row>
    <row r="3219" spans="5:13" ht="37.5" customHeight="1">
      <c r="E3219" s="668"/>
      <c r="F3219" s="668"/>
      <c r="G3219" s="668"/>
      <c r="H3219" s="667" t="s">
        <v>4786</v>
      </c>
      <c r="I3219" s="668"/>
      <c r="J3219" s="668"/>
      <c r="K3219" s="674">
        <v>11.54</v>
      </c>
      <c r="L3219" s="668"/>
      <c r="M3219" s="668"/>
    </row>
    <row r="3220" spans="5:13">
      <c r="E3220" s="668"/>
      <c r="F3220" s="668"/>
      <c r="G3220" s="668"/>
      <c r="H3220" s="668" t="s">
        <v>2389</v>
      </c>
      <c r="I3220" s="668"/>
      <c r="J3220" s="668"/>
      <c r="K3220" s="674">
        <f>K3201</f>
        <v>205.33333333333334</v>
      </c>
      <c r="L3220" s="668"/>
      <c r="M3220" s="668"/>
    </row>
    <row r="3221" spans="5:13">
      <c r="E3221" s="668"/>
      <c r="F3221" s="668"/>
      <c r="G3221" s="668"/>
      <c r="H3221" s="676" t="s">
        <v>4714</v>
      </c>
      <c r="I3221" s="668"/>
      <c r="J3221" s="668"/>
      <c r="K3221" s="676">
        <f>SUM(K3217:K3220)</f>
        <v>3036.0063333333333</v>
      </c>
      <c r="L3221" s="668"/>
      <c r="M3221" s="668"/>
    </row>
    <row r="3222" spans="5:13">
      <c r="E3222" s="668"/>
      <c r="F3222" s="668"/>
      <c r="G3222" s="668"/>
      <c r="H3222" s="668" t="s">
        <v>5313</v>
      </c>
      <c r="I3222" s="670">
        <v>73860</v>
      </c>
      <c r="J3222" s="697">
        <f>0.75*0.45*0.012</f>
        <v>4.0500000000000006E-3</v>
      </c>
      <c r="K3222" s="674">
        <f>J3222*I3222</f>
        <v>299.13300000000004</v>
      </c>
      <c r="L3222" s="668">
        <f>63100+4239</f>
        <v>67339</v>
      </c>
      <c r="M3222" s="668"/>
    </row>
    <row r="3223" spans="5:13">
      <c r="E3223" s="668"/>
      <c r="F3223" s="668"/>
      <c r="G3223" s="668"/>
      <c r="H3223" s="460" t="s">
        <v>4788</v>
      </c>
      <c r="I3223" s="668"/>
      <c r="J3223" s="668"/>
      <c r="K3223" s="674"/>
      <c r="L3223" s="668"/>
      <c r="M3223" s="668"/>
    </row>
    <row r="3224" spans="5:13">
      <c r="E3224" s="668"/>
      <c r="F3224" s="668"/>
      <c r="G3224" s="668"/>
      <c r="H3224" s="668"/>
      <c r="I3224" s="668"/>
      <c r="J3224" s="668"/>
      <c r="K3224" s="674"/>
      <c r="L3224" s="668"/>
      <c r="M3224" s="668"/>
    </row>
    <row r="3225" spans="5:13" ht="94.5">
      <c r="E3225" s="668"/>
      <c r="F3225" s="668"/>
      <c r="G3225" s="668"/>
      <c r="H3225" s="665" t="s">
        <v>1529</v>
      </c>
      <c r="I3225" s="668"/>
      <c r="J3225" s="668"/>
      <c r="K3225" s="674"/>
      <c r="L3225" s="668"/>
      <c r="M3225" s="668"/>
    </row>
    <row r="3226" spans="5:13">
      <c r="E3226" s="668"/>
      <c r="F3226" s="668"/>
      <c r="G3226" s="668"/>
      <c r="H3226" s="668"/>
      <c r="I3226" s="668"/>
      <c r="J3226" s="668"/>
      <c r="K3226" s="674"/>
      <c r="L3226" s="668"/>
      <c r="M3226" s="668"/>
    </row>
    <row r="3227" spans="5:13">
      <c r="E3227" s="668"/>
      <c r="F3227" s="668"/>
      <c r="G3227" s="668"/>
      <c r="H3227" s="668" t="s">
        <v>4789</v>
      </c>
      <c r="I3227" s="668"/>
      <c r="J3227" s="668"/>
      <c r="K3227" s="674"/>
      <c r="L3227" s="668"/>
      <c r="M3227" s="668"/>
    </row>
    <row r="3228" spans="5:13">
      <c r="E3228" s="668"/>
      <c r="F3228" s="668"/>
      <c r="G3228" s="668"/>
      <c r="H3228" s="668"/>
      <c r="I3228" s="668"/>
      <c r="J3228" s="668"/>
      <c r="K3228" s="674"/>
      <c r="L3228" s="668"/>
      <c r="M3228" s="668"/>
    </row>
    <row r="3229" spans="5:13">
      <c r="E3229" s="668"/>
      <c r="F3229" s="668"/>
      <c r="G3229" s="668"/>
      <c r="H3229" s="668" t="s">
        <v>4790</v>
      </c>
      <c r="I3229" s="668"/>
      <c r="J3229" s="668"/>
      <c r="K3229" s="674">
        <f>K3221</f>
        <v>3036.0063333333333</v>
      </c>
      <c r="L3229" s="668"/>
      <c r="M3229" s="668"/>
    </row>
    <row r="3230" spans="5:13">
      <c r="E3230" s="668"/>
      <c r="F3230" s="668">
        <v>1</v>
      </c>
      <c r="G3230" s="668" t="s">
        <v>5</v>
      </c>
      <c r="H3230" s="668" t="s">
        <v>5314</v>
      </c>
      <c r="I3230" s="670">
        <v>3360</v>
      </c>
      <c r="J3230" s="668" t="s">
        <v>5</v>
      </c>
      <c r="K3230" s="674">
        <f>F3230*I3230</f>
        <v>3360</v>
      </c>
      <c r="L3230" s="668"/>
      <c r="M3230" s="668"/>
    </row>
    <row r="3231" spans="5:13">
      <c r="E3231" s="668"/>
      <c r="F3231" s="668">
        <v>1</v>
      </c>
      <c r="G3231" s="668" t="s">
        <v>5</v>
      </c>
      <c r="H3231" s="668" t="s">
        <v>5315</v>
      </c>
      <c r="I3231" s="668">
        <f>I3217</f>
        <v>2520</v>
      </c>
      <c r="J3231" s="668" t="s">
        <v>5</v>
      </c>
      <c r="K3231" s="674">
        <f>F3231*I3231</f>
        <v>2520</v>
      </c>
      <c r="L3231" s="668"/>
      <c r="M3231" s="668"/>
    </row>
    <row r="3232" spans="5:13">
      <c r="E3232" s="668"/>
      <c r="F3232" s="668"/>
      <c r="G3232" s="668"/>
      <c r="H3232" s="668" t="s">
        <v>2390</v>
      </c>
      <c r="I3232" s="668"/>
      <c r="J3232" s="668"/>
      <c r="K3232" s="674"/>
      <c r="L3232" s="668"/>
      <c r="M3232" s="668"/>
    </row>
    <row r="3233" spans="5:13">
      <c r="E3233" s="668"/>
      <c r="F3233" s="668"/>
      <c r="G3233" s="668"/>
      <c r="H3233" s="676" t="s">
        <v>4714</v>
      </c>
      <c r="I3233" s="668"/>
      <c r="J3233" s="668"/>
      <c r="K3233" s="676">
        <f>K3229+K3230-K3231+K3232</f>
        <v>3876.0063333333328</v>
      </c>
      <c r="L3233" s="668"/>
      <c r="M3233" s="668"/>
    </row>
    <row r="3234" spans="5:13">
      <c r="E3234" s="668"/>
      <c r="F3234" s="668"/>
      <c r="G3234" s="668"/>
      <c r="H3234" s="668"/>
      <c r="I3234" s="668"/>
      <c r="J3234" s="668"/>
      <c r="K3234" s="674"/>
      <c r="L3234" s="668"/>
      <c r="M3234" s="668"/>
    </row>
    <row r="3235" spans="5:13">
      <c r="E3235" s="668"/>
      <c r="F3235" s="668"/>
      <c r="G3235" s="668"/>
      <c r="H3235" s="460" t="s">
        <v>4779</v>
      </c>
      <c r="I3235" s="668"/>
      <c r="J3235" s="668"/>
      <c r="K3235" s="674"/>
      <c r="L3235" s="668"/>
      <c r="M3235" s="668"/>
    </row>
    <row r="3236" spans="5:13">
      <c r="E3236" s="668"/>
      <c r="F3236" s="668"/>
      <c r="G3236" s="668"/>
      <c r="H3236" s="668"/>
      <c r="I3236" s="668"/>
      <c r="J3236" s="668"/>
      <c r="K3236" s="674"/>
      <c r="L3236" s="668"/>
      <c r="M3236" s="668"/>
    </row>
    <row r="3237" spans="5:13" ht="39" customHeight="1">
      <c r="E3237" s="668"/>
      <c r="F3237" s="668"/>
      <c r="G3237" s="668"/>
      <c r="H3237" s="665" t="s">
        <v>1531</v>
      </c>
      <c r="I3237" s="668"/>
      <c r="J3237" s="668"/>
      <c r="K3237" s="674"/>
      <c r="L3237" s="668"/>
      <c r="M3237" s="668"/>
    </row>
    <row r="3238" spans="5:13">
      <c r="E3238" s="668"/>
      <c r="F3238" s="668"/>
      <c r="G3238" s="668"/>
      <c r="H3238" s="668"/>
      <c r="I3238" s="668"/>
      <c r="J3238" s="668"/>
      <c r="K3238" s="674"/>
      <c r="L3238" s="668"/>
      <c r="M3238" s="668"/>
    </row>
    <row r="3239" spans="5:13" ht="95.25" customHeight="1">
      <c r="E3239" s="668"/>
      <c r="F3239" s="668"/>
      <c r="G3239" s="668"/>
      <c r="H3239" s="667" t="s">
        <v>5316</v>
      </c>
      <c r="I3239" s="668"/>
      <c r="J3239" s="668"/>
      <c r="K3239" s="674"/>
      <c r="L3239" s="668"/>
      <c r="M3239" s="668"/>
    </row>
    <row r="3240" spans="5:13">
      <c r="E3240" s="668"/>
      <c r="F3240" s="668">
        <v>2</v>
      </c>
      <c r="G3240" s="668" t="s">
        <v>5</v>
      </c>
      <c r="H3240" s="668" t="s">
        <v>5317</v>
      </c>
      <c r="I3240" s="670">
        <v>630</v>
      </c>
      <c r="J3240" s="668" t="s">
        <v>4610</v>
      </c>
      <c r="K3240" s="674">
        <f>F3240*(I3240/100)</f>
        <v>12.6</v>
      </c>
      <c r="L3240" s="668"/>
      <c r="M3240" s="668"/>
    </row>
    <row r="3241" spans="5:13">
      <c r="E3241" s="668"/>
      <c r="F3241" s="668">
        <v>2</v>
      </c>
      <c r="G3241" s="668" t="s">
        <v>12</v>
      </c>
      <c r="H3241" s="668" t="s">
        <v>4795</v>
      </c>
      <c r="I3241" s="668">
        <v>914.1</v>
      </c>
      <c r="J3241" s="668" t="s">
        <v>4796</v>
      </c>
      <c r="K3241" s="674">
        <f>F3241*(I3241/100)</f>
        <v>18.282</v>
      </c>
      <c r="L3241" s="668"/>
      <c r="M3241" s="668"/>
    </row>
    <row r="3242" spans="5:13">
      <c r="E3242" s="668"/>
      <c r="F3242" s="668"/>
      <c r="G3242" s="668"/>
      <c r="H3242" s="668" t="s">
        <v>4797</v>
      </c>
      <c r="I3242" s="668"/>
      <c r="J3242" s="668"/>
      <c r="K3242" s="674">
        <v>3.31</v>
      </c>
      <c r="L3242" s="668"/>
      <c r="M3242" s="668"/>
    </row>
    <row r="3243" spans="5:13">
      <c r="E3243" s="668"/>
      <c r="F3243" s="668"/>
      <c r="G3243" s="668"/>
      <c r="H3243" s="668" t="s">
        <v>4798</v>
      </c>
      <c r="I3243" s="668"/>
      <c r="J3243" s="668"/>
      <c r="K3243" s="674">
        <f>K3251</f>
        <v>79.8125</v>
      </c>
      <c r="L3243" s="668"/>
      <c r="M3243" s="668"/>
    </row>
    <row r="3244" spans="5:13">
      <c r="E3244" s="668"/>
      <c r="F3244" s="668"/>
      <c r="G3244" s="668"/>
      <c r="H3244" s="676" t="s">
        <v>4714</v>
      </c>
      <c r="I3244" s="668"/>
      <c r="J3244" s="668"/>
      <c r="K3244" s="676">
        <f>SUM(K3240:K3243)</f>
        <v>114.00450000000001</v>
      </c>
      <c r="L3244" s="668"/>
      <c r="M3244" s="668"/>
    </row>
    <row r="3245" spans="5:13">
      <c r="E3245" s="668"/>
      <c r="F3245" s="668"/>
      <c r="G3245" s="668"/>
      <c r="H3245" s="668"/>
      <c r="I3245" s="668"/>
      <c r="J3245" s="668"/>
      <c r="K3245" s="674"/>
      <c r="L3245" s="668"/>
      <c r="M3245" s="668"/>
    </row>
    <row r="3246" spans="5:13">
      <c r="E3246" s="668"/>
      <c r="F3246" s="668"/>
      <c r="H3246" s="675" t="s">
        <v>4799</v>
      </c>
      <c r="I3246" s="668"/>
      <c r="J3246" s="668"/>
      <c r="K3246" s="674"/>
      <c r="L3246" s="668"/>
      <c r="M3246" s="668"/>
    </row>
    <row r="3247" spans="5:13">
      <c r="E3247" s="668"/>
      <c r="F3247" s="668">
        <v>1</v>
      </c>
      <c r="G3247" s="668" t="s">
        <v>5</v>
      </c>
      <c r="H3247" s="668" t="s">
        <v>2418</v>
      </c>
      <c r="I3247" s="668">
        <f>I2867</f>
        <v>254</v>
      </c>
      <c r="J3247" s="668" t="s">
        <v>5</v>
      </c>
      <c r="K3247" s="674">
        <f>F3247*I3247</f>
        <v>254</v>
      </c>
      <c r="L3247" s="668"/>
      <c r="M3247" s="668"/>
    </row>
    <row r="3248" spans="5:13">
      <c r="E3248" s="668"/>
      <c r="F3248" s="668">
        <v>2</v>
      </c>
      <c r="G3248" s="668" t="s">
        <v>5</v>
      </c>
      <c r="H3248" s="668" t="s">
        <v>2419</v>
      </c>
      <c r="I3248" s="668">
        <f>I2868</f>
        <v>240</v>
      </c>
      <c r="J3248" s="668" t="s">
        <v>5</v>
      </c>
      <c r="K3248" s="674">
        <f>F3248*I3248</f>
        <v>480</v>
      </c>
      <c r="L3248" s="668"/>
      <c r="M3248" s="668"/>
    </row>
    <row r="3249" spans="5:13">
      <c r="E3249" s="668"/>
      <c r="F3249" s="668">
        <v>3</v>
      </c>
      <c r="G3249" s="668" t="s">
        <v>5</v>
      </c>
      <c r="H3249" s="668" t="s">
        <v>4558</v>
      </c>
      <c r="I3249" s="668">
        <f>I2869</f>
        <v>181</v>
      </c>
      <c r="J3249" s="668" t="s">
        <v>5</v>
      </c>
      <c r="K3249" s="674">
        <f>F3249*I3249</f>
        <v>543</v>
      </c>
      <c r="L3249" s="668"/>
      <c r="M3249" s="668"/>
    </row>
    <row r="3250" spans="5:13">
      <c r="E3250" s="668"/>
      <c r="F3250" s="668"/>
      <c r="G3250" s="668"/>
      <c r="H3250" s="674" t="s">
        <v>4800</v>
      </c>
      <c r="I3250" s="668"/>
      <c r="J3250" s="668"/>
      <c r="K3250" s="856">
        <f>SUM(K3247:K3249)</f>
        <v>1277</v>
      </c>
      <c r="L3250" s="668"/>
      <c r="M3250" s="668"/>
    </row>
    <row r="3251" spans="5:13">
      <c r="E3251" s="668"/>
      <c r="F3251" s="668"/>
      <c r="G3251" s="668"/>
      <c r="H3251" s="676" t="s">
        <v>2373</v>
      </c>
      <c r="I3251" s="668"/>
      <c r="J3251" s="668"/>
      <c r="K3251" s="676">
        <f>K3250/16</f>
        <v>79.8125</v>
      </c>
      <c r="L3251" s="668"/>
      <c r="M3251" s="668"/>
    </row>
    <row r="3252" spans="5:13">
      <c r="E3252" s="668"/>
      <c r="F3252" s="668"/>
      <c r="G3252" s="668"/>
      <c r="H3252" s="668"/>
      <c r="I3252" s="668"/>
      <c r="J3252" s="668"/>
      <c r="K3252" s="674"/>
      <c r="L3252" s="668"/>
      <c r="M3252" s="668"/>
    </row>
    <row r="3253" spans="5:13">
      <c r="E3253" s="668"/>
      <c r="F3253" s="668"/>
      <c r="G3253" s="668"/>
      <c r="H3253" s="460" t="s">
        <v>4801</v>
      </c>
      <c r="I3253" s="668"/>
      <c r="J3253" s="668"/>
      <c r="K3253" s="674"/>
      <c r="L3253" s="668"/>
      <c r="M3253" s="668"/>
    </row>
    <row r="3254" spans="5:13" ht="31.5">
      <c r="E3254" s="668"/>
      <c r="F3254" s="668"/>
      <c r="G3254" s="668"/>
      <c r="H3254" s="665" t="s">
        <v>1532</v>
      </c>
      <c r="I3254" s="668"/>
      <c r="J3254" s="668"/>
      <c r="K3254" s="674"/>
      <c r="L3254" s="668"/>
      <c r="M3254" s="668"/>
    </row>
    <row r="3255" spans="5:13">
      <c r="E3255" s="668"/>
      <c r="F3255" s="668"/>
      <c r="G3255" s="668"/>
      <c r="H3255" s="668"/>
      <c r="I3255" s="668"/>
      <c r="J3255" s="668"/>
      <c r="K3255" s="674"/>
      <c r="L3255" s="668"/>
      <c r="M3255" s="668"/>
    </row>
    <row r="3256" spans="5:13" ht="120" customHeight="1">
      <c r="E3256" s="668"/>
      <c r="F3256" s="668"/>
      <c r="G3256" s="668"/>
      <c r="H3256" s="667" t="s">
        <v>5318</v>
      </c>
      <c r="I3256" s="668"/>
      <c r="J3256" s="668"/>
      <c r="K3256" s="674"/>
      <c r="L3256" s="668"/>
      <c r="M3256" s="668"/>
    </row>
    <row r="3257" spans="5:13">
      <c r="E3257" s="668"/>
      <c r="F3257" s="668">
        <v>1.5</v>
      </c>
      <c r="G3257" s="668" t="s">
        <v>12</v>
      </c>
      <c r="H3257" s="668" t="s">
        <v>5319</v>
      </c>
      <c r="I3257" s="670">
        <v>32.5</v>
      </c>
      <c r="J3257" s="668" t="s">
        <v>12</v>
      </c>
      <c r="K3257" s="674">
        <f>F3257*I3257</f>
        <v>48.75</v>
      </c>
      <c r="L3257" s="668"/>
      <c r="M3257" s="668"/>
    </row>
    <row r="3258" spans="5:13">
      <c r="E3258" s="668"/>
      <c r="F3258" s="668">
        <v>2</v>
      </c>
      <c r="G3258" s="668" t="s">
        <v>5</v>
      </c>
      <c r="H3258" s="668" t="s">
        <v>4804</v>
      </c>
      <c r="I3258" s="668">
        <f>I3240</f>
        <v>630</v>
      </c>
      <c r="J3258" s="668" t="s">
        <v>4610</v>
      </c>
      <c r="K3258" s="674">
        <f>F3258*(I3258/100)</f>
        <v>12.6</v>
      </c>
      <c r="L3258" s="668"/>
      <c r="M3258" s="668"/>
    </row>
    <row r="3259" spans="5:13">
      <c r="E3259" s="668"/>
      <c r="F3259" s="668">
        <v>2</v>
      </c>
      <c r="G3259" s="668" t="s">
        <v>12</v>
      </c>
      <c r="H3259" s="668" t="s">
        <v>4795</v>
      </c>
      <c r="I3259" s="668">
        <f>I3241</f>
        <v>914.1</v>
      </c>
      <c r="J3259" s="668" t="s">
        <v>12</v>
      </c>
      <c r="K3259" s="674">
        <f>F3259*(I3259/100)</f>
        <v>18.282</v>
      </c>
      <c r="L3259" s="668"/>
      <c r="M3259" s="668"/>
    </row>
    <row r="3260" spans="5:13" ht="35.25" customHeight="1">
      <c r="E3260" s="668"/>
      <c r="F3260" s="668"/>
      <c r="G3260" s="668"/>
      <c r="H3260" s="667" t="s">
        <v>4805</v>
      </c>
      <c r="I3260" s="668"/>
      <c r="J3260" s="668"/>
      <c r="K3260" s="674">
        <v>4.67</v>
      </c>
      <c r="L3260" s="668"/>
      <c r="M3260" s="668"/>
    </row>
    <row r="3261" spans="5:13">
      <c r="E3261" s="668"/>
      <c r="F3261" s="668"/>
      <c r="G3261" s="668"/>
      <c r="H3261" s="668" t="s">
        <v>2389</v>
      </c>
      <c r="I3261" s="668"/>
      <c r="J3261" s="668"/>
      <c r="K3261" s="674">
        <f>K3269</f>
        <v>127.7</v>
      </c>
      <c r="L3261" s="668"/>
      <c r="M3261" s="668"/>
    </row>
    <row r="3262" spans="5:13">
      <c r="E3262" s="668"/>
      <c r="F3262" s="668"/>
      <c r="G3262" s="668"/>
      <c r="H3262" s="676" t="s">
        <v>4714</v>
      </c>
      <c r="I3262" s="668"/>
      <c r="J3262" s="668"/>
      <c r="K3262" s="676">
        <f>SUM(K3257:K3261)</f>
        <v>212.00200000000001</v>
      </c>
      <c r="L3262" s="668"/>
      <c r="M3262" s="668"/>
    </row>
    <row r="3263" spans="5:13">
      <c r="E3263" s="668"/>
      <c r="F3263" s="668"/>
      <c r="G3263" s="668"/>
      <c r="H3263" s="668"/>
      <c r="I3263" s="668"/>
      <c r="J3263" s="668"/>
      <c r="K3263" s="674"/>
      <c r="L3263" s="668"/>
      <c r="M3263" s="668"/>
    </row>
    <row r="3264" spans="5:13">
      <c r="E3264" s="668"/>
      <c r="F3264" s="668"/>
      <c r="G3264" s="668"/>
      <c r="H3264" s="668" t="s">
        <v>2401</v>
      </c>
      <c r="I3264" s="668"/>
      <c r="J3264" s="668"/>
      <c r="K3264" s="674"/>
      <c r="L3264" s="668"/>
      <c r="M3264" s="668"/>
    </row>
    <row r="3265" spans="5:13">
      <c r="E3265" s="668"/>
      <c r="F3265" s="668">
        <v>1</v>
      </c>
      <c r="G3265" s="668" t="s">
        <v>5</v>
      </c>
      <c r="H3265" s="668" t="s">
        <v>2418</v>
      </c>
      <c r="I3265" s="668">
        <f>I3247</f>
        <v>254</v>
      </c>
      <c r="J3265" s="668" t="s">
        <v>5</v>
      </c>
      <c r="K3265" s="674">
        <f>F3265*I3265</f>
        <v>254</v>
      </c>
      <c r="L3265" s="668"/>
      <c r="M3265" s="668"/>
    </row>
    <row r="3266" spans="5:13">
      <c r="E3266" s="668"/>
      <c r="F3266" s="668">
        <v>2</v>
      </c>
      <c r="G3266" s="668" t="s">
        <v>5</v>
      </c>
      <c r="H3266" s="668" t="s">
        <v>2419</v>
      </c>
      <c r="I3266" s="668">
        <f>I3248</f>
        <v>240</v>
      </c>
      <c r="J3266" s="668" t="s">
        <v>5</v>
      </c>
      <c r="K3266" s="674">
        <f>F3266*I3266</f>
        <v>480</v>
      </c>
      <c r="L3266" s="668"/>
      <c r="M3266" s="668"/>
    </row>
    <row r="3267" spans="5:13">
      <c r="E3267" s="668"/>
      <c r="F3267" s="668">
        <v>3</v>
      </c>
      <c r="G3267" s="668" t="s">
        <v>5</v>
      </c>
      <c r="H3267" s="668" t="s">
        <v>4558</v>
      </c>
      <c r="I3267" s="668">
        <f>I3249</f>
        <v>181</v>
      </c>
      <c r="J3267" s="668" t="s">
        <v>5</v>
      </c>
      <c r="K3267" s="674">
        <f>F3267*I3267</f>
        <v>543</v>
      </c>
      <c r="L3267" s="668"/>
      <c r="M3267" s="668"/>
    </row>
    <row r="3268" spans="5:13">
      <c r="E3268" s="668"/>
      <c r="F3268" s="668"/>
      <c r="G3268" s="668"/>
      <c r="H3268" s="674" t="s">
        <v>4806</v>
      </c>
      <c r="I3268" s="668"/>
      <c r="J3268" s="668"/>
      <c r="K3268" s="856">
        <f>SUM(K3265:K3267)</f>
        <v>1277</v>
      </c>
      <c r="L3268" s="668"/>
      <c r="M3268" s="668"/>
    </row>
    <row r="3269" spans="5:13">
      <c r="E3269" s="668"/>
      <c r="F3269" s="668"/>
      <c r="G3269" s="668"/>
      <c r="H3269" s="676" t="s">
        <v>2373</v>
      </c>
      <c r="I3269" s="668"/>
      <c r="J3269" s="668"/>
      <c r="K3269" s="676">
        <f>K3268/10</f>
        <v>127.7</v>
      </c>
      <c r="L3269" s="668"/>
      <c r="M3269" s="668"/>
    </row>
    <row r="3270" spans="5:13">
      <c r="E3270" s="668"/>
      <c r="F3270" s="668"/>
      <c r="G3270" s="668"/>
      <c r="H3270" s="668"/>
      <c r="I3270" s="668"/>
      <c r="J3270" s="668"/>
      <c r="K3270" s="674"/>
      <c r="L3270" s="668"/>
      <c r="M3270" s="668"/>
    </row>
    <row r="3271" spans="5:13">
      <c r="E3271" s="668"/>
      <c r="F3271" s="668"/>
      <c r="G3271" s="668"/>
      <c r="H3271" s="460" t="s">
        <v>4788</v>
      </c>
      <c r="I3271" s="668"/>
      <c r="J3271" s="668"/>
      <c r="K3271" s="674"/>
      <c r="L3271" s="668"/>
      <c r="M3271" s="668"/>
    </row>
    <row r="3272" spans="5:13" ht="73.5" customHeight="1">
      <c r="E3272" s="668"/>
      <c r="F3272" s="668"/>
      <c r="G3272" s="668"/>
      <c r="H3272" s="667" t="s">
        <v>4807</v>
      </c>
      <c r="I3272" s="668"/>
      <c r="J3272" s="668"/>
      <c r="K3272" s="674"/>
      <c r="L3272" s="668"/>
      <c r="M3272" s="668"/>
    </row>
    <row r="3273" spans="5:13">
      <c r="E3273" s="668"/>
      <c r="F3273" s="668"/>
      <c r="G3273" s="668"/>
      <c r="H3273" s="668"/>
      <c r="I3273" s="668"/>
      <c r="J3273" s="668"/>
      <c r="K3273" s="674"/>
      <c r="L3273" s="668"/>
      <c r="M3273" s="668"/>
    </row>
    <row r="3274" spans="5:13">
      <c r="E3274" s="668"/>
      <c r="F3274" s="668">
        <v>1</v>
      </c>
      <c r="G3274" s="668" t="s">
        <v>12</v>
      </c>
      <c r="H3274" s="668" t="s">
        <v>4795</v>
      </c>
      <c r="I3274" s="668">
        <f>I3259</f>
        <v>914.1</v>
      </c>
      <c r="J3274" s="668" t="s">
        <v>4808</v>
      </c>
      <c r="K3274" s="674">
        <f>F3274*(I3274/100)</f>
        <v>9.141</v>
      </c>
      <c r="L3274" s="668"/>
      <c r="M3274" s="668"/>
    </row>
    <row r="3275" spans="5:13">
      <c r="E3275" s="668"/>
      <c r="F3275" s="668"/>
      <c r="G3275" s="668"/>
      <c r="H3275" s="668" t="s">
        <v>2401</v>
      </c>
      <c r="I3275" s="668"/>
      <c r="J3275" s="668"/>
      <c r="K3275" s="674">
        <f>K3282</f>
        <v>171.2</v>
      </c>
      <c r="L3275" s="668"/>
      <c r="M3275" s="668"/>
    </row>
    <row r="3276" spans="5:13">
      <c r="E3276" s="668"/>
      <c r="F3276" s="668"/>
      <c r="G3276" s="668"/>
      <c r="H3276" s="668" t="s">
        <v>4484</v>
      </c>
      <c r="J3276" s="668"/>
      <c r="K3276" s="674">
        <v>1.66</v>
      </c>
      <c r="L3276" s="668"/>
      <c r="M3276" s="668"/>
    </row>
    <row r="3277" spans="5:13">
      <c r="E3277" s="668"/>
      <c r="F3277" s="668"/>
      <c r="G3277" s="668"/>
      <c r="H3277" s="675" t="s">
        <v>4809</v>
      </c>
      <c r="I3277" s="460" t="s">
        <v>4714</v>
      </c>
      <c r="J3277" s="668"/>
      <c r="K3277" s="676">
        <f>SUM(K3274:K3276)</f>
        <v>182.00099999999998</v>
      </c>
      <c r="L3277" s="668"/>
      <c r="M3277" s="668"/>
    </row>
    <row r="3278" spans="5:13">
      <c r="E3278" s="668"/>
      <c r="F3278" s="668">
        <v>1</v>
      </c>
      <c r="G3278" s="668" t="s">
        <v>5</v>
      </c>
      <c r="H3278" s="668" t="s">
        <v>2418</v>
      </c>
      <c r="I3278" s="668">
        <f>I3265</f>
        <v>254</v>
      </c>
      <c r="J3278" s="668" t="s">
        <v>5</v>
      </c>
      <c r="K3278" s="674">
        <f>F3278*I3278</f>
        <v>254</v>
      </c>
      <c r="L3278" s="668"/>
      <c r="M3278" s="668"/>
    </row>
    <row r="3279" spans="5:13">
      <c r="E3279" s="668"/>
      <c r="F3279" s="668">
        <v>1</v>
      </c>
      <c r="G3279" s="668" t="s">
        <v>5</v>
      </c>
      <c r="H3279" s="668" t="s">
        <v>2419</v>
      </c>
      <c r="I3279" s="668">
        <f>I3266</f>
        <v>240</v>
      </c>
      <c r="J3279" s="668" t="s">
        <v>5</v>
      </c>
      <c r="K3279" s="674">
        <f>F3279*I3279</f>
        <v>240</v>
      </c>
      <c r="L3279" s="668"/>
      <c r="M3279" s="668"/>
    </row>
    <row r="3280" spans="5:13">
      <c r="E3280" s="668"/>
      <c r="F3280" s="668">
        <v>2</v>
      </c>
      <c r="G3280" s="668" t="s">
        <v>5</v>
      </c>
      <c r="H3280" s="668" t="s">
        <v>4558</v>
      </c>
      <c r="I3280" s="668">
        <f>I3267</f>
        <v>181</v>
      </c>
      <c r="J3280" s="668" t="s">
        <v>5</v>
      </c>
      <c r="K3280" s="674">
        <f>F3280*I3280</f>
        <v>362</v>
      </c>
      <c r="L3280" s="668"/>
      <c r="M3280" s="668"/>
    </row>
    <row r="3281" spans="5:13">
      <c r="E3281" s="668"/>
      <c r="F3281" s="668"/>
      <c r="G3281" s="668"/>
      <c r="H3281" s="674" t="s">
        <v>4810</v>
      </c>
      <c r="I3281" s="668"/>
      <c r="J3281" s="668"/>
      <c r="K3281" s="856">
        <f>SUM(K3278:K3280)</f>
        <v>856</v>
      </c>
      <c r="L3281" s="668"/>
      <c r="M3281" s="668"/>
    </row>
    <row r="3282" spans="5:13">
      <c r="E3282" s="668"/>
      <c r="F3282" s="668"/>
      <c r="G3282" s="668"/>
      <c r="H3282" s="676" t="s">
        <v>4714</v>
      </c>
      <c r="I3282" s="668"/>
      <c r="J3282" s="668"/>
      <c r="K3282" s="676">
        <f>K3281/5</f>
        <v>171.2</v>
      </c>
      <c r="L3282" s="668"/>
      <c r="M3282" s="668"/>
    </row>
    <row r="3283" spans="5:13">
      <c r="E3283" s="668"/>
      <c r="F3283" s="668"/>
      <c r="G3283" s="668"/>
      <c r="H3283" s="699" t="s">
        <v>4811</v>
      </c>
      <c r="I3283" s="668"/>
      <c r="J3283" s="668"/>
      <c r="K3283" s="674"/>
      <c r="L3283" s="668"/>
      <c r="M3283" s="668"/>
    </row>
    <row r="3284" spans="5:13">
      <c r="E3284" s="668"/>
      <c r="F3284" s="668"/>
      <c r="G3284" s="668"/>
      <c r="H3284" s="460" t="s">
        <v>4812</v>
      </c>
      <c r="I3284" s="668"/>
      <c r="J3284" s="668"/>
      <c r="K3284" s="674"/>
      <c r="L3284" s="668"/>
      <c r="M3284" s="668"/>
    </row>
    <row r="3285" spans="5:13">
      <c r="E3285" s="668"/>
      <c r="F3285" s="668"/>
      <c r="G3285" s="668"/>
      <c r="H3285" s="460" t="s">
        <v>4813</v>
      </c>
      <c r="I3285" s="668"/>
      <c r="J3285" s="668"/>
      <c r="K3285" s="674"/>
      <c r="L3285" s="668"/>
      <c r="M3285" s="668"/>
    </row>
    <row r="3286" spans="5:13">
      <c r="E3286" s="668"/>
      <c r="F3286" s="668"/>
      <c r="G3286" s="668"/>
      <c r="H3286" s="686" t="s">
        <v>4814</v>
      </c>
      <c r="I3286" s="668"/>
      <c r="J3286" s="668"/>
      <c r="K3286" s="674"/>
      <c r="L3286" s="668"/>
      <c r="M3286" s="668"/>
    </row>
    <row r="3287" spans="5:13" ht="68.25" customHeight="1">
      <c r="E3287" s="668"/>
      <c r="F3287" s="668"/>
      <c r="G3287" s="668"/>
      <c r="H3287" s="667" t="s">
        <v>4815</v>
      </c>
      <c r="I3287" s="668"/>
      <c r="J3287" s="668"/>
      <c r="K3287" s="674"/>
      <c r="L3287" s="668"/>
      <c r="M3287" s="668"/>
    </row>
    <row r="3288" spans="5:13">
      <c r="E3288" s="668"/>
      <c r="F3288" s="668"/>
      <c r="G3288" s="668"/>
      <c r="H3288" s="668"/>
      <c r="I3288" s="668"/>
      <c r="J3288" s="668"/>
      <c r="K3288" s="674"/>
      <c r="L3288" s="668"/>
      <c r="M3288" s="668"/>
    </row>
    <row r="3289" spans="5:13">
      <c r="E3289" s="668"/>
      <c r="F3289" s="668">
        <v>9.5</v>
      </c>
      <c r="G3289" s="668" t="s">
        <v>40</v>
      </c>
      <c r="H3289" s="668" t="s">
        <v>5320</v>
      </c>
      <c r="I3289" s="670">
        <v>84</v>
      </c>
      <c r="J3289" s="668" t="s">
        <v>40</v>
      </c>
      <c r="K3289" s="674">
        <f>F3289*I3289</f>
        <v>798</v>
      </c>
      <c r="L3289" s="668"/>
      <c r="M3289" s="668"/>
    </row>
    <row r="3290" spans="5:13">
      <c r="E3290" s="668"/>
      <c r="F3290" s="668">
        <v>0.5</v>
      </c>
      <c r="G3290" s="668" t="s">
        <v>40</v>
      </c>
      <c r="H3290" s="668" t="s">
        <v>5321</v>
      </c>
      <c r="I3290" s="670">
        <v>22</v>
      </c>
      <c r="J3290" s="668"/>
      <c r="K3290" s="674">
        <f>F3290*I3290</f>
        <v>11</v>
      </c>
      <c r="L3290" s="668"/>
      <c r="M3290" s="668"/>
    </row>
    <row r="3291" spans="5:13">
      <c r="E3291" s="668"/>
      <c r="F3291" s="668"/>
      <c r="G3291" s="668"/>
      <c r="H3291" s="668" t="s">
        <v>4556</v>
      </c>
      <c r="I3291" s="668"/>
      <c r="J3291" s="668"/>
      <c r="K3291" s="674">
        <f>K3299</f>
        <v>435</v>
      </c>
      <c r="L3291" s="668"/>
      <c r="M3291" s="668"/>
    </row>
    <row r="3292" spans="5:13">
      <c r="E3292" s="668"/>
      <c r="F3292" s="668"/>
      <c r="G3292" s="668"/>
      <c r="H3292" s="668" t="s">
        <v>2390</v>
      </c>
      <c r="I3292" s="668"/>
      <c r="J3292" s="668"/>
      <c r="K3292" s="674">
        <v>16</v>
      </c>
      <c r="L3292" s="668"/>
      <c r="M3292" s="668"/>
    </row>
    <row r="3293" spans="5:13">
      <c r="E3293" s="668"/>
      <c r="F3293" s="668"/>
      <c r="G3293" s="668"/>
      <c r="H3293" s="674" t="s">
        <v>4818</v>
      </c>
      <c r="I3293" s="668"/>
      <c r="J3293" s="668"/>
      <c r="K3293" s="856">
        <f>SUM(K3289:K3292)</f>
        <v>1260</v>
      </c>
      <c r="L3293" s="668">
        <f>11.8*90</f>
        <v>1062</v>
      </c>
      <c r="M3293" s="668"/>
    </row>
    <row r="3294" spans="5:13">
      <c r="E3294" s="668"/>
      <c r="F3294" s="668"/>
      <c r="G3294" s="668"/>
      <c r="H3294" s="676" t="s">
        <v>2405</v>
      </c>
      <c r="I3294" s="668"/>
      <c r="J3294" s="668"/>
      <c r="K3294" s="676">
        <f>K3293/90</f>
        <v>14</v>
      </c>
      <c r="L3294" s="668"/>
      <c r="M3294" s="668"/>
    </row>
    <row r="3295" spans="5:13">
      <c r="E3295" s="668"/>
      <c r="F3295" s="668"/>
      <c r="G3295" s="668"/>
      <c r="H3295" s="668"/>
      <c r="I3295" s="668"/>
      <c r="J3295" s="668"/>
      <c r="K3295" s="674"/>
      <c r="L3295" s="668"/>
      <c r="M3295" s="668"/>
    </row>
    <row r="3296" spans="5:13">
      <c r="E3296" s="668"/>
      <c r="F3296" s="668"/>
      <c r="G3296" s="668"/>
      <c r="H3296" s="675" t="s">
        <v>2416</v>
      </c>
      <c r="I3296" s="668"/>
      <c r="J3296" s="668"/>
      <c r="K3296" s="674"/>
      <c r="L3296" s="668"/>
      <c r="M3296" s="668"/>
    </row>
    <row r="3297" spans="5:13">
      <c r="E3297" s="668"/>
      <c r="F3297" s="668">
        <v>1</v>
      </c>
      <c r="G3297" s="668"/>
      <c r="H3297" s="668" t="s">
        <v>2418</v>
      </c>
      <c r="I3297" s="668">
        <f>I3278</f>
        <v>254</v>
      </c>
      <c r="J3297" s="668" t="s">
        <v>5</v>
      </c>
      <c r="K3297" s="674">
        <f>F3297*I3297</f>
        <v>254</v>
      </c>
      <c r="L3297" s="668"/>
      <c r="M3297" s="668"/>
    </row>
    <row r="3298" spans="5:13">
      <c r="E3298" s="668"/>
      <c r="F3298" s="668">
        <v>1</v>
      </c>
      <c r="G3298" s="668"/>
      <c r="H3298" s="668" t="s">
        <v>4558</v>
      </c>
      <c r="I3298" s="668">
        <f>I3280</f>
        <v>181</v>
      </c>
      <c r="J3298" s="668" t="s">
        <v>5</v>
      </c>
      <c r="K3298" s="674">
        <f>F3298*I3298</f>
        <v>181</v>
      </c>
      <c r="L3298" s="668"/>
      <c r="M3298" s="668"/>
    </row>
    <row r="3299" spans="5:13">
      <c r="E3299" s="668"/>
      <c r="F3299" s="668"/>
      <c r="G3299" s="668"/>
      <c r="H3299" s="668"/>
      <c r="I3299" s="668"/>
      <c r="J3299" s="668"/>
      <c r="K3299" s="676">
        <f>SUM(K3297:K3298)</f>
        <v>435</v>
      </c>
      <c r="L3299" s="668"/>
      <c r="M3299" s="668"/>
    </row>
    <row r="3300" spans="5:13">
      <c r="E3300" s="668"/>
      <c r="F3300" s="668" t="s">
        <v>4819</v>
      </c>
      <c r="G3300" s="668"/>
      <c r="H3300" s="668"/>
      <c r="I3300" s="668"/>
      <c r="J3300" s="668"/>
      <c r="K3300" s="674"/>
      <c r="L3300" s="668"/>
      <c r="M3300" s="668"/>
    </row>
    <row r="3301" spans="5:13">
      <c r="E3301" s="668"/>
      <c r="F3301" s="668"/>
      <c r="G3301" s="668"/>
      <c r="H3301" s="668"/>
      <c r="I3301" s="668"/>
      <c r="J3301" s="668"/>
      <c r="K3301" s="674"/>
      <c r="L3301" s="668"/>
      <c r="M3301" s="668"/>
    </row>
    <row r="3302" spans="5:13">
      <c r="E3302" s="668"/>
      <c r="F3302" s="668"/>
      <c r="G3302" s="668"/>
      <c r="H3302" s="460" t="s">
        <v>4820</v>
      </c>
      <c r="I3302" s="668"/>
      <c r="J3302" s="668"/>
      <c r="K3302" s="674"/>
      <c r="L3302" s="668"/>
      <c r="M3302" s="668"/>
    </row>
    <row r="3303" spans="5:13">
      <c r="E3303" s="668"/>
      <c r="F3303" s="668"/>
      <c r="G3303" s="668"/>
      <c r="H3303" s="460" t="s">
        <v>4821</v>
      </c>
      <c r="I3303" s="668"/>
      <c r="J3303" s="668"/>
      <c r="K3303" s="674"/>
      <c r="L3303" s="668"/>
      <c r="M3303" s="668"/>
    </row>
    <row r="3304" spans="5:13">
      <c r="E3304" s="668"/>
      <c r="F3304" s="668"/>
      <c r="G3304" s="668"/>
      <c r="H3304" s="668"/>
      <c r="I3304" s="668"/>
      <c r="J3304" s="668"/>
      <c r="K3304" s="674"/>
      <c r="L3304" s="668"/>
      <c r="M3304" s="668"/>
    </row>
    <row r="3305" spans="5:13" ht="57" customHeight="1">
      <c r="E3305" s="668"/>
      <c r="F3305" s="668"/>
      <c r="G3305" s="668"/>
      <c r="H3305" s="667" t="s">
        <v>4822</v>
      </c>
      <c r="I3305" s="668"/>
      <c r="J3305" s="668"/>
      <c r="K3305" s="674"/>
      <c r="L3305" s="668"/>
      <c r="M3305" s="668"/>
    </row>
    <row r="3306" spans="5:13">
      <c r="E3306" s="668"/>
      <c r="F3306" s="668">
        <v>2.5</v>
      </c>
      <c r="G3306" s="668" t="s">
        <v>12</v>
      </c>
      <c r="H3306" s="668" t="s">
        <v>4823</v>
      </c>
      <c r="I3306" s="670">
        <v>154.35</v>
      </c>
      <c r="J3306" s="668" t="s">
        <v>12</v>
      </c>
      <c r="K3306" s="674">
        <f>F3306*I3306</f>
        <v>385.875</v>
      </c>
      <c r="L3306" s="668"/>
      <c r="M3306" s="668"/>
    </row>
    <row r="3307" spans="5:13">
      <c r="E3307" s="668"/>
      <c r="F3307" s="668">
        <v>1</v>
      </c>
      <c r="G3307" s="668" t="s">
        <v>12</v>
      </c>
      <c r="H3307" s="668" t="s">
        <v>4824</v>
      </c>
      <c r="I3307" s="670">
        <v>93.45</v>
      </c>
      <c r="J3307" s="668" t="s">
        <v>12</v>
      </c>
      <c r="K3307" s="674">
        <f>F3307*I3307</f>
        <v>93.45</v>
      </c>
      <c r="L3307" s="668"/>
      <c r="M3307" s="668"/>
    </row>
    <row r="3308" spans="5:13">
      <c r="E3308" s="668"/>
      <c r="F3308" s="668">
        <v>1</v>
      </c>
      <c r="G3308" s="668" t="s">
        <v>12</v>
      </c>
      <c r="H3308" s="668" t="s">
        <v>4825</v>
      </c>
      <c r="I3308" s="670">
        <v>66.150000000000006</v>
      </c>
      <c r="J3308" s="668" t="s">
        <v>12</v>
      </c>
      <c r="K3308" s="674">
        <f>F3308*I3308</f>
        <v>66.150000000000006</v>
      </c>
      <c r="L3308" s="668"/>
      <c r="M3308" s="668"/>
    </row>
    <row r="3309" spans="5:13">
      <c r="E3309" s="668"/>
      <c r="F3309" s="668">
        <v>1</v>
      </c>
      <c r="G3309" s="668" t="s">
        <v>5</v>
      </c>
      <c r="H3309" s="668" t="s">
        <v>5322</v>
      </c>
      <c r="I3309" s="670">
        <v>49.35</v>
      </c>
      <c r="J3309" s="668" t="s">
        <v>5</v>
      </c>
      <c r="K3309" s="674">
        <f>F3309*I3309</f>
        <v>49.35</v>
      </c>
      <c r="L3309" s="668"/>
      <c r="M3309" s="668"/>
    </row>
    <row r="3310" spans="5:13">
      <c r="E3310" s="668"/>
      <c r="F3310" s="668">
        <v>1</v>
      </c>
      <c r="G3310" s="668" t="s">
        <v>2105</v>
      </c>
      <c r="H3310" s="668" t="s">
        <v>4827</v>
      </c>
      <c r="I3310" s="668" t="s">
        <v>170</v>
      </c>
      <c r="J3310" s="668" t="s">
        <v>2105</v>
      </c>
      <c r="K3310" s="674">
        <v>15</v>
      </c>
      <c r="L3310" s="668"/>
      <c r="M3310" s="668"/>
    </row>
    <row r="3311" spans="5:13">
      <c r="E3311" s="668"/>
      <c r="F3311" s="668"/>
      <c r="G3311" s="668" t="s">
        <v>170</v>
      </c>
      <c r="H3311" s="668" t="s">
        <v>4828</v>
      </c>
      <c r="I3311" s="668" t="s">
        <v>170</v>
      </c>
      <c r="J3311" s="668" t="s">
        <v>170</v>
      </c>
      <c r="K3311" s="674">
        <v>150</v>
      </c>
      <c r="L3311" s="668"/>
      <c r="M3311" s="668"/>
    </row>
    <row r="3312" spans="5:13">
      <c r="E3312" s="668"/>
      <c r="F3312" s="668">
        <v>1</v>
      </c>
      <c r="G3312" s="668" t="s">
        <v>5</v>
      </c>
      <c r="H3312" s="668" t="s">
        <v>4829</v>
      </c>
      <c r="I3312" s="668">
        <v>100</v>
      </c>
      <c r="J3312" s="668" t="s">
        <v>5</v>
      </c>
      <c r="K3312" s="674">
        <f>F3312*I3312</f>
        <v>100</v>
      </c>
      <c r="L3312" s="668"/>
      <c r="M3312" s="668"/>
    </row>
    <row r="3313" spans="5:13">
      <c r="E3313" s="668"/>
      <c r="F3313" s="668">
        <v>40</v>
      </c>
      <c r="G3313" s="668" t="s">
        <v>40</v>
      </c>
      <c r="H3313" s="668" t="s">
        <v>4830</v>
      </c>
      <c r="I3313" s="668">
        <v>4</v>
      </c>
      <c r="J3313" s="668" t="s">
        <v>40</v>
      </c>
      <c r="K3313" s="674">
        <f>F3313*I3313</f>
        <v>160</v>
      </c>
      <c r="L3313" s="668"/>
      <c r="M3313" s="668"/>
    </row>
    <row r="3314" spans="5:13">
      <c r="E3314" s="668"/>
      <c r="F3314" s="668">
        <v>2</v>
      </c>
      <c r="G3314" s="668" t="s">
        <v>5</v>
      </c>
      <c r="H3314" s="668" t="s">
        <v>4831</v>
      </c>
      <c r="I3314" s="670">
        <v>13.1</v>
      </c>
      <c r="J3314" s="668" t="s">
        <v>5</v>
      </c>
      <c r="K3314" s="674">
        <f>F3314*I3314</f>
        <v>26.2</v>
      </c>
      <c r="L3314" s="668"/>
      <c r="M3314" s="668"/>
    </row>
    <row r="3315" spans="5:13">
      <c r="E3315" s="668"/>
      <c r="F3315" s="668">
        <v>4</v>
      </c>
      <c r="G3315" s="668" t="s">
        <v>5</v>
      </c>
      <c r="H3315" s="668" t="s">
        <v>4832</v>
      </c>
      <c r="I3315" s="670">
        <v>13.1</v>
      </c>
      <c r="J3315" s="668" t="s">
        <v>5</v>
      </c>
      <c r="K3315" s="674">
        <f>F3315*I3315</f>
        <v>52.4</v>
      </c>
      <c r="L3315" s="668"/>
      <c r="M3315" s="668"/>
    </row>
    <row r="3316" spans="5:13">
      <c r="E3316" s="668"/>
      <c r="F3316" s="668">
        <v>10</v>
      </c>
      <c r="G3316" s="668" t="s">
        <v>40</v>
      </c>
      <c r="H3316" s="668" t="s">
        <v>4833</v>
      </c>
      <c r="I3316" s="670">
        <v>4</v>
      </c>
      <c r="J3316" s="668" t="s">
        <v>40</v>
      </c>
      <c r="K3316" s="674">
        <f>F3316*I3316</f>
        <v>40</v>
      </c>
      <c r="L3316" s="668"/>
      <c r="M3316" s="668"/>
    </row>
    <row r="3317" spans="5:13">
      <c r="E3317" s="668"/>
      <c r="F3317" s="668"/>
      <c r="G3317" s="668"/>
      <c r="H3317" s="668" t="s">
        <v>2390</v>
      </c>
      <c r="I3317" s="668"/>
      <c r="J3317" s="668"/>
      <c r="K3317" s="674">
        <v>3.57</v>
      </c>
      <c r="L3317" s="668"/>
      <c r="M3317" s="668"/>
    </row>
    <row r="3318" spans="5:13">
      <c r="E3318" s="668"/>
      <c r="F3318" s="668"/>
      <c r="G3318" s="668"/>
      <c r="H3318" s="668" t="s">
        <v>2389</v>
      </c>
      <c r="I3318" s="668"/>
      <c r="J3318" s="668"/>
      <c r="K3318" s="684">
        <f>K3324</f>
        <v>435</v>
      </c>
      <c r="L3318" s="668"/>
      <c r="M3318" s="668"/>
    </row>
    <row r="3319" spans="5:13">
      <c r="E3319" s="668"/>
      <c r="F3319" s="668"/>
      <c r="G3319" s="668"/>
      <c r="H3319" s="676" t="s">
        <v>4714</v>
      </c>
      <c r="I3319" s="668"/>
      <c r="J3319" s="668"/>
      <c r="K3319" s="676">
        <f>SUM(K3306:K3318)</f>
        <v>1576.9950000000001</v>
      </c>
      <c r="L3319" s="668"/>
      <c r="M3319" s="668"/>
    </row>
    <row r="3320" spans="5:13">
      <c r="E3320" s="668"/>
      <c r="F3320" s="668"/>
      <c r="G3320" s="668"/>
      <c r="H3320" s="668"/>
      <c r="I3320" s="668"/>
      <c r="J3320" s="668"/>
      <c r="K3320" s="674"/>
      <c r="L3320" s="668"/>
      <c r="M3320" s="668"/>
    </row>
    <row r="3321" spans="5:13">
      <c r="E3321" s="668"/>
      <c r="F3321" s="668"/>
      <c r="G3321" s="668"/>
      <c r="H3321" s="675" t="s">
        <v>2389</v>
      </c>
      <c r="I3321" s="668"/>
      <c r="J3321" s="668"/>
      <c r="K3321" s="674"/>
      <c r="L3321" s="668"/>
      <c r="M3321" s="668"/>
    </row>
    <row r="3322" spans="5:13">
      <c r="E3322" s="668"/>
      <c r="F3322" s="668">
        <v>1</v>
      </c>
      <c r="G3322" s="668" t="s">
        <v>5</v>
      </c>
      <c r="H3322" s="668" t="s">
        <v>2418</v>
      </c>
      <c r="I3322" s="668">
        <f>I3297</f>
        <v>254</v>
      </c>
      <c r="J3322" s="668" t="s">
        <v>5</v>
      </c>
      <c r="K3322" s="674">
        <f>F3322*I3322</f>
        <v>254</v>
      </c>
      <c r="L3322" s="668"/>
      <c r="M3322" s="668"/>
    </row>
    <row r="3323" spans="5:13">
      <c r="E3323" s="668"/>
      <c r="F3323" s="668">
        <v>1</v>
      </c>
      <c r="G3323" s="668" t="s">
        <v>5</v>
      </c>
      <c r="H3323" s="668" t="s">
        <v>4558</v>
      </c>
      <c r="I3323" s="668">
        <f>I3298</f>
        <v>181</v>
      </c>
      <c r="J3323" s="668" t="s">
        <v>5</v>
      </c>
      <c r="K3323" s="674">
        <f>F3323*I3323</f>
        <v>181</v>
      </c>
      <c r="L3323" s="668"/>
      <c r="M3323" s="668"/>
    </row>
    <row r="3324" spans="5:13">
      <c r="E3324" s="668"/>
      <c r="F3324" s="668"/>
      <c r="G3324" s="668"/>
      <c r="H3324" s="668"/>
      <c r="I3324" s="668"/>
      <c r="J3324" s="668"/>
      <c r="K3324" s="676">
        <f>SUM(K3322:K3323)</f>
        <v>435</v>
      </c>
      <c r="L3324" s="668"/>
      <c r="M3324" s="668"/>
    </row>
    <row r="3325" spans="5:13">
      <c r="E3325" s="668"/>
      <c r="F3325" s="668"/>
      <c r="G3325" s="668"/>
      <c r="H3325" s="460" t="s">
        <v>4834</v>
      </c>
      <c r="I3325" s="668"/>
      <c r="J3325" s="668"/>
      <c r="K3325" s="674"/>
      <c r="L3325" s="668"/>
      <c r="M3325" s="668"/>
    </row>
    <row r="3326" spans="5:13">
      <c r="E3326" s="668"/>
      <c r="F3326" s="668"/>
      <c r="G3326" s="668"/>
      <c r="H3326" s="460" t="s">
        <v>4835</v>
      </c>
      <c r="I3326" s="668"/>
      <c r="J3326" s="668"/>
      <c r="K3326" s="674"/>
      <c r="L3326" s="668"/>
      <c r="M3326" s="668"/>
    </row>
    <row r="3327" spans="5:13">
      <c r="E3327" s="668"/>
      <c r="F3327" s="668"/>
      <c r="G3327" s="668"/>
      <c r="H3327" s="668"/>
      <c r="I3327" s="668"/>
      <c r="J3327" s="668"/>
      <c r="K3327" s="674"/>
      <c r="L3327" s="668"/>
      <c r="M3327" s="668"/>
    </row>
    <row r="3328" spans="5:13" ht="86.25" customHeight="1">
      <c r="E3328" s="668"/>
      <c r="F3328" s="668"/>
      <c r="G3328" s="668"/>
      <c r="H3328" s="667" t="s">
        <v>5323</v>
      </c>
      <c r="I3328" s="668"/>
      <c r="J3328" s="668"/>
      <c r="K3328" s="674"/>
      <c r="L3328" s="668"/>
      <c r="M3328" s="668"/>
    </row>
    <row r="3329" spans="5:13">
      <c r="E3329" s="668"/>
      <c r="F3329" s="668"/>
      <c r="G3329" s="668"/>
      <c r="H3329" s="668"/>
      <c r="I3329" s="668"/>
      <c r="J3329" s="668"/>
      <c r="K3329" s="674"/>
      <c r="L3329" s="668"/>
      <c r="M3329" s="668"/>
    </row>
    <row r="3330" spans="5:13">
      <c r="E3330" s="668"/>
      <c r="F3330" s="668">
        <v>1</v>
      </c>
      <c r="G3330" s="668" t="s">
        <v>5</v>
      </c>
      <c r="H3330" s="668" t="s">
        <v>2377</v>
      </c>
      <c r="I3330" s="668">
        <f>K3335</f>
        <v>44.32</v>
      </c>
      <c r="J3330" s="668" t="s">
        <v>556</v>
      </c>
      <c r="K3330" s="674">
        <f>F3330*I3330</f>
        <v>44.32</v>
      </c>
      <c r="L3330" s="668"/>
      <c r="M3330" s="668"/>
    </row>
    <row r="3331" spans="5:13" ht="56.25" customHeight="1">
      <c r="E3331" s="668"/>
      <c r="F3331" s="668"/>
      <c r="G3331" s="668"/>
      <c r="H3331" s="667" t="s">
        <v>4837</v>
      </c>
      <c r="I3331" s="668"/>
      <c r="J3331" s="668" t="s">
        <v>170</v>
      </c>
      <c r="K3331" s="674">
        <v>12.28</v>
      </c>
      <c r="L3331" s="668"/>
      <c r="M3331" s="668"/>
    </row>
    <row r="3332" spans="5:13">
      <c r="E3332" s="668"/>
      <c r="F3332" s="668"/>
      <c r="G3332" s="668"/>
      <c r="H3332" s="668" t="s">
        <v>2401</v>
      </c>
      <c r="I3332" s="668"/>
      <c r="J3332" s="668"/>
      <c r="K3332" s="674">
        <f>K3340</f>
        <v>97.4</v>
      </c>
      <c r="L3332" s="668"/>
      <c r="M3332" s="668"/>
    </row>
    <row r="3333" spans="5:13">
      <c r="E3333" s="668"/>
      <c r="F3333" s="668"/>
      <c r="G3333" s="668"/>
      <c r="H3333" s="676" t="s">
        <v>4714</v>
      </c>
      <c r="I3333" s="668"/>
      <c r="J3333" s="668"/>
      <c r="K3333" s="676">
        <f>SUM(K3330:K3332)</f>
        <v>154</v>
      </c>
      <c r="L3333" s="668"/>
      <c r="M3333" s="668"/>
    </row>
    <row r="3334" spans="5:13">
      <c r="E3334" s="668"/>
      <c r="F3334" s="668"/>
      <c r="G3334" s="668"/>
      <c r="H3334" s="668"/>
      <c r="I3334" s="668"/>
      <c r="J3334" s="668"/>
      <c r="K3334" s="674"/>
      <c r="L3334" s="668"/>
      <c r="M3334" s="668"/>
    </row>
    <row r="3335" spans="5:13">
      <c r="E3335" s="668"/>
      <c r="F3335" s="668"/>
      <c r="G3335" s="668"/>
      <c r="H3335" s="460" t="s">
        <v>4838</v>
      </c>
      <c r="I3335" s="668">
        <f>I3222</f>
        <v>73860</v>
      </c>
      <c r="J3335" s="685">
        <v>5.9999999999999995E-4</v>
      </c>
      <c r="K3335" s="674">
        <f>ROUND(I3335*J3335,2)</f>
        <v>44.32</v>
      </c>
      <c r="L3335" s="668"/>
      <c r="M3335" s="668"/>
    </row>
    <row r="3336" spans="5:13">
      <c r="E3336" s="668"/>
      <c r="F3336" s="668"/>
      <c r="G3336" s="668"/>
      <c r="H3336" s="668" t="s">
        <v>2401</v>
      </c>
      <c r="I3336" s="668"/>
      <c r="J3336" s="668"/>
      <c r="K3336" s="674"/>
      <c r="L3336" s="668"/>
      <c r="M3336" s="668"/>
    </row>
    <row r="3337" spans="5:13">
      <c r="E3337" s="668"/>
      <c r="F3337" s="668">
        <v>1</v>
      </c>
      <c r="G3337" s="668" t="s">
        <v>5</v>
      </c>
      <c r="H3337" s="668" t="s">
        <v>4839</v>
      </c>
      <c r="I3337" s="668">
        <f>I3278</f>
        <v>254</v>
      </c>
      <c r="J3337" s="668" t="s">
        <v>556</v>
      </c>
      <c r="K3337" s="674">
        <f>F3337*I3337</f>
        <v>254</v>
      </c>
      <c r="L3337" s="668"/>
      <c r="M3337" s="668"/>
    </row>
    <row r="3338" spans="5:13">
      <c r="E3338" s="668"/>
      <c r="F3338" s="668">
        <v>3</v>
      </c>
      <c r="G3338" s="668" t="s">
        <v>5</v>
      </c>
      <c r="H3338" s="668" t="s">
        <v>2419</v>
      </c>
      <c r="I3338" s="668">
        <f>I3279</f>
        <v>240</v>
      </c>
      <c r="J3338" s="668" t="s">
        <v>556</v>
      </c>
      <c r="K3338" s="674">
        <f>F3338*I3338</f>
        <v>720</v>
      </c>
      <c r="L3338" s="668"/>
      <c r="M3338" s="668"/>
    </row>
    <row r="3339" spans="5:13">
      <c r="E3339" s="668"/>
      <c r="F3339" s="668"/>
      <c r="G3339" s="668"/>
      <c r="H3339" s="674" t="s">
        <v>4840</v>
      </c>
      <c r="I3339" s="668"/>
      <c r="J3339" s="668"/>
      <c r="K3339" s="684">
        <f>SUM(K3337:K3338)</f>
        <v>974</v>
      </c>
      <c r="L3339" s="668"/>
      <c r="M3339" s="668"/>
    </row>
    <row r="3340" spans="5:13">
      <c r="E3340" s="668"/>
      <c r="F3340" s="668"/>
      <c r="G3340" s="668"/>
      <c r="H3340" s="674" t="s">
        <v>4841</v>
      </c>
      <c r="I3340" s="668"/>
      <c r="J3340" s="668"/>
      <c r="K3340" s="676">
        <f>K3339/10</f>
        <v>97.4</v>
      </c>
      <c r="L3340" s="668"/>
      <c r="M3340" s="668"/>
    </row>
    <row r="3341" spans="5:13">
      <c r="E3341" s="668"/>
      <c r="F3341" s="668"/>
      <c r="G3341" s="668"/>
      <c r="H3341" s="668"/>
      <c r="I3341" s="668"/>
      <c r="J3341" s="668"/>
      <c r="K3341" s="674"/>
      <c r="L3341" s="668"/>
      <c r="M3341" s="668"/>
    </row>
    <row r="3342" spans="5:13">
      <c r="E3342" s="668"/>
      <c r="F3342" s="668"/>
      <c r="G3342" s="668"/>
      <c r="H3342" s="460" t="s">
        <v>4842</v>
      </c>
      <c r="I3342" s="668"/>
      <c r="J3342" s="668"/>
      <c r="K3342" s="674"/>
      <c r="L3342" s="668"/>
      <c r="M3342" s="668"/>
    </row>
    <row r="3343" spans="5:13" ht="103.5" customHeight="1">
      <c r="E3343" s="668"/>
      <c r="F3343" s="668"/>
      <c r="G3343" s="668"/>
      <c r="H3343" s="667" t="s">
        <v>5324</v>
      </c>
      <c r="I3343" s="668"/>
      <c r="J3343" s="668"/>
      <c r="K3343" s="674"/>
      <c r="L3343" s="668"/>
      <c r="M3343" s="668"/>
    </row>
    <row r="3344" spans="5:13">
      <c r="E3344" s="668"/>
      <c r="F3344" s="668"/>
      <c r="G3344" s="668"/>
      <c r="H3344" s="668"/>
      <c r="I3344" s="668"/>
      <c r="J3344" s="668"/>
      <c r="K3344" s="674"/>
      <c r="L3344" s="668"/>
      <c r="M3344" s="668"/>
    </row>
    <row r="3345" spans="5:13">
      <c r="E3345" s="668"/>
      <c r="F3345" s="668">
        <v>1</v>
      </c>
      <c r="G3345" s="668" t="s">
        <v>5</v>
      </c>
      <c r="H3345" s="668" t="s">
        <v>5325</v>
      </c>
      <c r="I3345" s="670">
        <v>315</v>
      </c>
      <c r="J3345" s="668" t="s">
        <v>5</v>
      </c>
      <c r="K3345" s="674">
        <f>F3345*I3345</f>
        <v>315</v>
      </c>
      <c r="L3345" s="668"/>
      <c r="M3345" s="668"/>
    </row>
    <row r="3346" spans="5:13" ht="52.5" customHeight="1">
      <c r="E3346" s="668"/>
      <c r="F3346" s="668"/>
      <c r="G3346" s="668"/>
      <c r="H3346" s="667" t="s">
        <v>4844</v>
      </c>
      <c r="I3346" s="668"/>
      <c r="J3346" s="668"/>
      <c r="K3346" s="674">
        <v>18.95</v>
      </c>
      <c r="L3346" s="668"/>
      <c r="M3346" s="668"/>
    </row>
    <row r="3347" spans="5:13">
      <c r="E3347" s="668"/>
      <c r="F3347" s="668"/>
      <c r="G3347" s="668"/>
      <c r="H3347" s="668" t="s">
        <v>2389</v>
      </c>
      <c r="I3347" s="668"/>
      <c r="J3347" s="668"/>
      <c r="K3347" s="674">
        <f>K3356</f>
        <v>130.05000000000001</v>
      </c>
      <c r="L3347" s="668"/>
      <c r="M3347" s="668"/>
    </row>
    <row r="3348" spans="5:13">
      <c r="E3348" s="668"/>
      <c r="F3348" s="668"/>
      <c r="G3348" s="668"/>
      <c r="H3348" s="676" t="s">
        <v>4714</v>
      </c>
      <c r="I3348" s="668"/>
      <c r="J3348" s="668"/>
      <c r="K3348" s="676">
        <f>SUM(K3345:K3347)</f>
        <v>464</v>
      </c>
      <c r="L3348" s="668"/>
      <c r="M3348" s="668"/>
    </row>
    <row r="3349" spans="5:13">
      <c r="E3349" s="668"/>
      <c r="F3349" s="668"/>
      <c r="G3349" s="668"/>
      <c r="H3349" s="676"/>
      <c r="I3349" s="668"/>
      <c r="J3349" s="668"/>
      <c r="K3349" s="676"/>
      <c r="L3349" s="668"/>
      <c r="M3349" s="668"/>
    </row>
    <row r="3350" spans="5:13">
      <c r="E3350" s="668"/>
      <c r="F3350" s="668"/>
      <c r="G3350" s="668"/>
      <c r="H3350" s="668" t="s">
        <v>2401</v>
      </c>
      <c r="I3350" s="668"/>
      <c r="J3350" s="668"/>
      <c r="K3350" s="674"/>
      <c r="L3350" s="668"/>
      <c r="M3350" s="668"/>
    </row>
    <row r="3351" spans="5:13">
      <c r="E3351" s="668"/>
      <c r="F3351" s="668">
        <v>1</v>
      </c>
      <c r="G3351" s="668"/>
      <c r="H3351" s="668" t="s">
        <v>2418</v>
      </c>
      <c r="I3351" s="668">
        <f>I2867</f>
        <v>254</v>
      </c>
      <c r="J3351" s="668" t="s">
        <v>5</v>
      </c>
      <c r="K3351" s="674">
        <f>F3351*I3351</f>
        <v>254</v>
      </c>
      <c r="L3351" s="668"/>
      <c r="M3351" s="668"/>
    </row>
    <row r="3352" spans="5:13">
      <c r="E3352" s="668"/>
      <c r="F3352" s="668">
        <v>3</v>
      </c>
      <c r="G3352" s="668"/>
      <c r="H3352" s="668" t="s">
        <v>2419</v>
      </c>
      <c r="I3352" s="668">
        <f>I2868</f>
        <v>240</v>
      </c>
      <c r="J3352" s="668" t="s">
        <v>5</v>
      </c>
      <c r="K3352" s="674">
        <f>F3352*I3352</f>
        <v>720</v>
      </c>
      <c r="L3352" s="668"/>
      <c r="M3352" s="668"/>
    </row>
    <row r="3353" spans="5:13">
      <c r="E3353" s="668"/>
      <c r="F3353" s="668">
        <v>1</v>
      </c>
      <c r="G3353" s="668"/>
      <c r="H3353" s="668" t="s">
        <v>2410</v>
      </c>
      <c r="I3353" s="668">
        <f>I2869</f>
        <v>181</v>
      </c>
      <c r="J3353" s="668" t="s">
        <v>5</v>
      </c>
      <c r="K3353" s="674">
        <f>F3353*I3353</f>
        <v>181</v>
      </c>
      <c r="L3353" s="668"/>
      <c r="M3353" s="668"/>
    </row>
    <row r="3354" spans="5:13">
      <c r="E3354" s="668"/>
      <c r="F3354" s="668">
        <v>0.5</v>
      </c>
      <c r="G3354" s="668"/>
      <c r="H3354" s="668" t="s">
        <v>5326</v>
      </c>
      <c r="I3354" s="670">
        <v>291</v>
      </c>
      <c r="J3354" s="668" t="s">
        <v>5</v>
      </c>
      <c r="K3354" s="674">
        <f>F3354*I3354</f>
        <v>145.5</v>
      </c>
      <c r="L3354" s="668"/>
      <c r="M3354" s="668"/>
    </row>
    <row r="3355" spans="5:13">
      <c r="E3355" s="668"/>
      <c r="F3355" s="668"/>
      <c r="G3355" s="668"/>
      <c r="H3355" s="674" t="s">
        <v>4845</v>
      </c>
      <c r="I3355" s="668"/>
      <c r="J3355" s="668"/>
      <c r="K3355" s="856">
        <f>SUM(K3351:K3354)</f>
        <v>1300.5</v>
      </c>
      <c r="L3355" s="668"/>
      <c r="M3355" s="668"/>
    </row>
    <row r="3356" spans="5:13">
      <c r="E3356" s="668"/>
      <c r="F3356" s="668"/>
      <c r="G3356" s="668"/>
      <c r="H3356" s="676" t="s">
        <v>4846</v>
      </c>
      <c r="I3356" s="460"/>
      <c r="J3356" s="460"/>
      <c r="K3356" s="676">
        <f>K3355/10</f>
        <v>130.05000000000001</v>
      </c>
      <c r="L3356" s="668"/>
      <c r="M3356" s="668"/>
    </row>
    <row r="3357" spans="5:13">
      <c r="E3357" s="668"/>
      <c r="F3357" s="668"/>
      <c r="G3357" s="668"/>
      <c r="H3357" s="668"/>
      <c r="I3357" s="668"/>
      <c r="J3357" s="668"/>
      <c r="K3357" s="674"/>
      <c r="L3357" s="668"/>
      <c r="M3357" s="668"/>
    </row>
    <row r="3358" spans="5:13">
      <c r="E3358" s="668"/>
      <c r="F3358" s="668"/>
      <c r="G3358" s="668"/>
      <c r="H3358" s="460" t="s">
        <v>4847</v>
      </c>
      <c r="I3358" s="668"/>
      <c r="J3358" s="668"/>
      <c r="K3358" s="674"/>
      <c r="L3358" s="668"/>
      <c r="M3358" s="668"/>
    </row>
    <row r="3359" spans="5:13">
      <c r="E3359" s="668"/>
      <c r="F3359" s="668"/>
      <c r="G3359" s="668"/>
      <c r="H3359" s="460" t="s">
        <v>4848</v>
      </c>
      <c r="I3359" s="668"/>
      <c r="J3359" s="668"/>
      <c r="K3359" s="674"/>
      <c r="L3359" s="668"/>
      <c r="M3359" s="668"/>
    </row>
    <row r="3360" spans="5:13">
      <c r="E3360" s="668"/>
      <c r="F3360" s="668"/>
      <c r="G3360" s="668"/>
      <c r="H3360" s="668"/>
      <c r="I3360" s="668"/>
      <c r="J3360" s="668"/>
      <c r="K3360" s="674"/>
      <c r="L3360" s="668"/>
      <c r="M3360" s="668"/>
    </row>
    <row r="3361" spans="5:13" ht="103.5" customHeight="1">
      <c r="E3361" s="668"/>
      <c r="F3361" s="668"/>
      <c r="G3361" s="668"/>
      <c r="H3361" s="667" t="s">
        <v>5327</v>
      </c>
      <c r="I3361" s="668"/>
      <c r="J3361" s="668"/>
      <c r="K3361" s="674"/>
      <c r="L3361" s="668"/>
      <c r="M3361" s="668"/>
    </row>
    <row r="3362" spans="5:13">
      <c r="E3362" s="668"/>
      <c r="F3362" s="668"/>
      <c r="G3362" s="668"/>
      <c r="H3362" s="668"/>
      <c r="I3362" s="668"/>
      <c r="J3362" s="668"/>
      <c r="K3362" s="674"/>
      <c r="L3362" s="668"/>
      <c r="M3362" s="668"/>
    </row>
    <row r="3363" spans="5:13">
      <c r="E3363" s="668"/>
      <c r="F3363" s="668">
        <v>1</v>
      </c>
      <c r="G3363" s="668" t="s">
        <v>5</v>
      </c>
      <c r="H3363" s="668" t="s">
        <v>4850</v>
      </c>
      <c r="I3363" s="668">
        <f>K3368</f>
        <v>88.631999999999991</v>
      </c>
      <c r="J3363" s="668" t="s">
        <v>556</v>
      </c>
      <c r="K3363" s="674">
        <f>F3363*I3363</f>
        <v>88.631999999999991</v>
      </c>
      <c r="L3363" s="668"/>
      <c r="M3363" s="668"/>
    </row>
    <row r="3364" spans="5:13" ht="51" customHeight="1">
      <c r="E3364" s="668"/>
      <c r="F3364" s="668" t="s">
        <v>170</v>
      </c>
      <c r="G3364" s="668" t="s">
        <v>170</v>
      </c>
      <c r="H3364" s="667" t="s">
        <v>4851</v>
      </c>
      <c r="I3364" s="668" t="s">
        <v>170</v>
      </c>
      <c r="J3364" s="668" t="s">
        <v>170</v>
      </c>
      <c r="K3364" s="674">
        <v>37.97</v>
      </c>
      <c r="L3364" s="668">
        <f>39-0.92</f>
        <v>38.08</v>
      </c>
      <c r="M3364" s="668"/>
    </row>
    <row r="3365" spans="5:13">
      <c r="E3365" s="668"/>
      <c r="F3365" s="668"/>
      <c r="G3365" s="668"/>
      <c r="H3365" s="668" t="s">
        <v>2401</v>
      </c>
      <c r="I3365" s="668"/>
      <c r="J3365" s="668"/>
      <c r="K3365" s="674">
        <f>K3340</f>
        <v>97.4</v>
      </c>
      <c r="L3365" s="668"/>
      <c r="M3365" s="668"/>
    </row>
    <row r="3366" spans="5:13">
      <c r="E3366" s="668"/>
      <c r="F3366" s="668"/>
      <c r="G3366" s="668"/>
      <c r="H3366" s="676" t="s">
        <v>4714</v>
      </c>
      <c r="I3366" s="668"/>
      <c r="J3366" s="668"/>
      <c r="K3366" s="676">
        <f>SUM(K3363:K3365)</f>
        <v>224.00200000000001</v>
      </c>
      <c r="L3366" s="668">
        <f>158-K3366</f>
        <v>-66.00200000000001</v>
      </c>
      <c r="M3366" s="668"/>
    </row>
    <row r="3367" spans="5:13">
      <c r="E3367" s="668"/>
      <c r="F3367" s="668"/>
      <c r="G3367" s="668"/>
      <c r="H3367" s="668"/>
      <c r="I3367" s="668"/>
      <c r="J3367" s="668"/>
      <c r="K3367" s="676"/>
      <c r="L3367" s="668"/>
      <c r="M3367" s="668"/>
    </row>
    <row r="3368" spans="5:13">
      <c r="E3368" s="668"/>
      <c r="F3368" s="668"/>
      <c r="G3368" s="668"/>
      <c r="H3368" s="460" t="s">
        <v>4850</v>
      </c>
      <c r="I3368" s="668">
        <f>I3335</f>
        <v>73860</v>
      </c>
      <c r="J3368" s="685">
        <f>0.0012</f>
        <v>1.1999999999999999E-3</v>
      </c>
      <c r="K3368" s="676">
        <f>I3368*J3368</f>
        <v>88.631999999999991</v>
      </c>
      <c r="L3368" s="668"/>
      <c r="M3368" s="668"/>
    </row>
    <row r="3369" spans="5:13">
      <c r="E3369" s="668"/>
      <c r="F3369" s="668"/>
      <c r="G3369" s="668"/>
      <c r="H3369" s="668"/>
      <c r="I3369" s="668"/>
      <c r="J3369" s="668"/>
      <c r="K3369" s="674"/>
      <c r="L3369" s="668"/>
      <c r="M3369" s="668"/>
    </row>
    <row r="3370" spans="5:13">
      <c r="E3370" s="668"/>
      <c r="F3370" s="668"/>
      <c r="G3370" s="668"/>
      <c r="H3370" s="460" t="s">
        <v>4834</v>
      </c>
      <c r="I3370" s="668"/>
      <c r="J3370" s="668"/>
      <c r="K3370" s="674"/>
      <c r="L3370" s="668"/>
      <c r="M3370" s="668"/>
    </row>
    <row r="3371" spans="5:13">
      <c r="E3371" s="668"/>
      <c r="F3371" s="668"/>
      <c r="G3371" s="668"/>
      <c r="H3371" s="668"/>
      <c r="I3371" s="668"/>
      <c r="J3371" s="668"/>
      <c r="K3371" s="674"/>
      <c r="L3371" s="668"/>
      <c r="M3371" s="668"/>
    </row>
    <row r="3372" spans="5:13">
      <c r="E3372" s="668"/>
      <c r="F3372" s="668"/>
      <c r="G3372" s="668"/>
      <c r="H3372" s="460" t="s">
        <v>4852</v>
      </c>
      <c r="I3372" s="668"/>
      <c r="J3372" s="668"/>
      <c r="K3372" s="674"/>
      <c r="L3372" s="668"/>
      <c r="M3372" s="668"/>
    </row>
    <row r="3373" spans="5:13">
      <c r="E3373" s="668"/>
      <c r="F3373" s="668"/>
      <c r="G3373" s="668"/>
      <c r="H3373" s="668"/>
      <c r="I3373" s="668"/>
      <c r="J3373" s="668"/>
      <c r="K3373" s="674"/>
      <c r="L3373" s="668"/>
      <c r="M3373" s="668"/>
    </row>
    <row r="3374" spans="5:13" ht="102" customHeight="1">
      <c r="E3374" s="668"/>
      <c r="F3374" s="668"/>
      <c r="G3374" s="668"/>
      <c r="H3374" s="667" t="s">
        <v>5328</v>
      </c>
      <c r="I3374" s="668"/>
      <c r="J3374" s="668"/>
      <c r="K3374" s="674"/>
      <c r="L3374" s="668"/>
      <c r="M3374" s="668"/>
    </row>
    <row r="3375" spans="5:13">
      <c r="E3375" s="668"/>
      <c r="F3375" s="668"/>
      <c r="G3375" s="668"/>
      <c r="H3375" s="668"/>
      <c r="I3375" s="668"/>
      <c r="J3375" s="668"/>
      <c r="K3375" s="674"/>
      <c r="L3375" s="668"/>
      <c r="M3375" s="668"/>
    </row>
    <row r="3376" spans="5:13">
      <c r="E3376" s="668"/>
      <c r="F3376" s="668">
        <v>1</v>
      </c>
      <c r="G3376" s="668" t="s">
        <v>5</v>
      </c>
      <c r="H3376" s="668" t="s">
        <v>5325</v>
      </c>
      <c r="I3376" s="668">
        <f>I3345</f>
        <v>315</v>
      </c>
      <c r="J3376" s="668" t="s">
        <v>5</v>
      </c>
      <c r="K3376" s="674">
        <f>F3376*I3376</f>
        <v>315</v>
      </c>
      <c r="L3376" s="668"/>
      <c r="M3376" s="668"/>
    </row>
    <row r="3377" spans="5:13" ht="47.25">
      <c r="E3377" s="668"/>
      <c r="F3377" s="668"/>
      <c r="G3377" s="668"/>
      <c r="H3377" s="667" t="s">
        <v>4844</v>
      </c>
      <c r="I3377" s="668"/>
      <c r="J3377" s="668"/>
      <c r="K3377" s="674">
        <v>32.950000000000003</v>
      </c>
      <c r="L3377" s="668"/>
      <c r="M3377" s="668"/>
    </row>
    <row r="3378" spans="5:13">
      <c r="E3378" s="668"/>
      <c r="F3378" s="668"/>
      <c r="G3378" s="668"/>
      <c r="H3378" s="668" t="s">
        <v>2389</v>
      </c>
      <c r="I3378" s="668"/>
      <c r="J3378" s="668"/>
      <c r="K3378" s="674">
        <f>K3356</f>
        <v>130.05000000000001</v>
      </c>
      <c r="L3378" s="668"/>
      <c r="M3378" s="668"/>
    </row>
    <row r="3379" spans="5:13">
      <c r="E3379" s="668"/>
      <c r="F3379" s="668"/>
      <c r="G3379" s="668"/>
      <c r="H3379" s="676" t="s">
        <v>4714</v>
      </c>
      <c r="I3379" s="668"/>
      <c r="J3379" s="668"/>
      <c r="K3379" s="676">
        <f>SUM(K3376:K3378)</f>
        <v>478</v>
      </c>
      <c r="L3379" s="668"/>
      <c r="M3379" s="668"/>
    </row>
    <row r="3380" spans="5:13">
      <c r="E3380" s="668"/>
      <c r="F3380" s="668"/>
      <c r="G3380" s="668"/>
      <c r="H3380" s="668"/>
      <c r="I3380" s="668"/>
      <c r="J3380" s="668"/>
      <c r="K3380" s="674"/>
      <c r="L3380" s="668"/>
      <c r="M3380" s="668"/>
    </row>
    <row r="3381" spans="5:13">
      <c r="E3381" s="668"/>
      <c r="F3381" s="668"/>
      <c r="G3381" s="668"/>
      <c r="H3381" s="460" t="s">
        <v>4854</v>
      </c>
      <c r="I3381" s="668"/>
      <c r="J3381" s="668"/>
      <c r="K3381" s="674"/>
      <c r="L3381" s="668"/>
      <c r="M3381" s="668"/>
    </row>
    <row r="3382" spans="5:13">
      <c r="E3382" s="668"/>
      <c r="F3382" s="668"/>
      <c r="G3382" s="668"/>
      <c r="H3382" s="460" t="s">
        <v>1537</v>
      </c>
      <c r="I3382" s="668"/>
      <c r="J3382" s="668"/>
      <c r="K3382" s="674"/>
      <c r="L3382" s="668"/>
      <c r="M3382" s="668"/>
    </row>
    <row r="3383" spans="5:13">
      <c r="E3383" s="668"/>
      <c r="F3383" s="668"/>
      <c r="G3383" s="668"/>
      <c r="H3383" s="668"/>
      <c r="I3383" s="668"/>
      <c r="J3383" s="668"/>
      <c r="K3383" s="674"/>
      <c r="L3383" s="668"/>
      <c r="M3383" s="668"/>
    </row>
    <row r="3384" spans="5:13" ht="39" customHeight="1">
      <c r="E3384" s="668"/>
      <c r="F3384" s="668">
        <v>1</v>
      </c>
      <c r="G3384" s="668" t="s">
        <v>5</v>
      </c>
      <c r="H3384" s="667" t="s">
        <v>5329</v>
      </c>
      <c r="I3384" s="670">
        <v>1660</v>
      </c>
      <c r="J3384" s="668" t="s">
        <v>5</v>
      </c>
      <c r="K3384" s="676">
        <f>F3384*I3384</f>
        <v>1660</v>
      </c>
      <c r="L3384" s="668"/>
      <c r="M3384" s="668"/>
    </row>
    <row r="3385" spans="5:13">
      <c r="E3385" s="668"/>
      <c r="F3385" s="668"/>
      <c r="G3385" s="668"/>
      <c r="H3385" s="668"/>
      <c r="I3385" s="668"/>
      <c r="J3385" s="668"/>
      <c r="K3385" s="674"/>
      <c r="L3385" s="668"/>
      <c r="M3385" s="668"/>
    </row>
    <row r="3386" spans="5:13">
      <c r="E3386" s="668"/>
      <c r="F3386" s="668"/>
      <c r="G3386" s="668"/>
      <c r="H3386" s="460" t="s">
        <v>4855</v>
      </c>
      <c r="I3386" s="668"/>
      <c r="J3386" s="668"/>
      <c r="K3386" s="674"/>
      <c r="L3386" s="668"/>
      <c r="M3386" s="668"/>
    </row>
    <row r="3387" spans="5:13">
      <c r="E3387" s="668"/>
      <c r="F3387" s="668"/>
      <c r="G3387" s="668"/>
      <c r="H3387" s="460" t="s">
        <v>1174</v>
      </c>
      <c r="I3387" s="668"/>
      <c r="J3387" s="668"/>
      <c r="K3387" s="674"/>
      <c r="L3387" s="668"/>
      <c r="M3387" s="668"/>
    </row>
    <row r="3388" spans="5:13">
      <c r="E3388" s="668"/>
      <c r="F3388" s="668"/>
      <c r="G3388" s="668"/>
      <c r="H3388" s="668"/>
      <c r="I3388" s="668"/>
      <c r="J3388" s="668"/>
      <c r="K3388" s="674"/>
      <c r="L3388" s="668"/>
      <c r="M3388" s="668"/>
    </row>
    <row r="3389" spans="5:13" ht="36.75" customHeight="1">
      <c r="E3389" s="668"/>
      <c r="F3389" s="668">
        <v>1</v>
      </c>
      <c r="G3389" s="668" t="s">
        <v>5</v>
      </c>
      <c r="H3389" s="667" t="s">
        <v>5330</v>
      </c>
      <c r="I3389" s="670">
        <v>2040</v>
      </c>
      <c r="J3389" s="668" t="s">
        <v>5</v>
      </c>
      <c r="K3389" s="860">
        <f>F3389*I3389</f>
        <v>2040</v>
      </c>
      <c r="L3389" s="668"/>
      <c r="M3389" s="668"/>
    </row>
    <row r="3390" spans="5:13">
      <c r="E3390" s="668"/>
      <c r="F3390" s="668"/>
      <c r="G3390" s="668"/>
      <c r="H3390" s="668"/>
      <c r="I3390" s="668"/>
      <c r="J3390" s="668"/>
      <c r="K3390" s="674"/>
      <c r="L3390" s="668"/>
      <c r="M3390" s="668"/>
    </row>
    <row r="3391" spans="5:13">
      <c r="E3391" s="668"/>
      <c r="F3391" s="668"/>
      <c r="G3391" s="668"/>
      <c r="H3391" s="460" t="s">
        <v>4857</v>
      </c>
      <c r="I3391" s="668"/>
      <c r="J3391" s="668"/>
      <c r="K3391" s="674"/>
      <c r="L3391" s="668"/>
      <c r="M3391" s="668"/>
    </row>
    <row r="3392" spans="5:13">
      <c r="E3392" s="668"/>
      <c r="F3392" s="668"/>
      <c r="G3392" s="668"/>
      <c r="H3392" s="460" t="s">
        <v>4858</v>
      </c>
      <c r="I3392" s="668"/>
      <c r="J3392" s="668"/>
      <c r="K3392" s="674"/>
      <c r="L3392" s="668"/>
      <c r="M3392" s="668"/>
    </row>
    <row r="3393" spans="5:13">
      <c r="E3393" s="668"/>
      <c r="F3393" s="668"/>
      <c r="G3393" s="668"/>
      <c r="H3393" s="675" t="s">
        <v>4859</v>
      </c>
      <c r="I3393" s="668"/>
      <c r="J3393" s="668"/>
      <c r="K3393" s="674"/>
      <c r="L3393" s="668"/>
      <c r="M3393" s="668"/>
    </row>
    <row r="3394" spans="5:13">
      <c r="E3394" s="668"/>
      <c r="F3394" s="668"/>
      <c r="G3394" s="668"/>
      <c r="H3394" s="668"/>
      <c r="I3394" s="668"/>
      <c r="J3394" s="668"/>
      <c r="K3394" s="674"/>
      <c r="L3394" s="668"/>
      <c r="M3394" s="668"/>
    </row>
    <row r="3395" spans="5:13" ht="78.75">
      <c r="E3395" s="668"/>
      <c r="F3395" s="668"/>
      <c r="G3395" s="668"/>
      <c r="H3395" s="667" t="s">
        <v>4860</v>
      </c>
      <c r="I3395" s="668"/>
      <c r="J3395" s="668"/>
      <c r="K3395" s="674"/>
      <c r="L3395" s="668"/>
      <c r="M3395" s="668"/>
    </row>
    <row r="3396" spans="5:13">
      <c r="E3396" s="668"/>
      <c r="F3396" s="668">
        <v>1</v>
      </c>
      <c r="G3396" s="668" t="s">
        <v>5</v>
      </c>
      <c r="H3396" s="668" t="s">
        <v>4865</v>
      </c>
      <c r="I3396" s="670">
        <v>89</v>
      </c>
      <c r="J3396" s="668" t="s">
        <v>5</v>
      </c>
      <c r="K3396" s="674">
        <f>F3396*I3396</f>
        <v>89</v>
      </c>
      <c r="L3396" s="668"/>
      <c r="M3396" s="668"/>
    </row>
    <row r="3397" spans="5:13">
      <c r="E3397" s="668"/>
      <c r="F3397" s="668">
        <v>1</v>
      </c>
      <c r="G3397" s="668" t="s">
        <v>5</v>
      </c>
      <c r="H3397" s="668" t="s">
        <v>4866</v>
      </c>
      <c r="I3397" s="668">
        <f>K3402</f>
        <v>22.157999999999998</v>
      </c>
      <c r="J3397" s="668" t="s">
        <v>5</v>
      </c>
      <c r="K3397" s="674">
        <f>F3397*I3397</f>
        <v>22.157999999999998</v>
      </c>
      <c r="L3397" s="668"/>
      <c r="M3397" s="668"/>
    </row>
    <row r="3398" spans="5:13">
      <c r="E3398" s="668"/>
      <c r="F3398" s="668"/>
      <c r="G3398" s="668"/>
      <c r="H3398" s="668" t="s">
        <v>2389</v>
      </c>
      <c r="I3398" s="668"/>
      <c r="J3398" s="668"/>
      <c r="K3398" s="674">
        <f>K3409</f>
        <v>129.625</v>
      </c>
      <c r="L3398" s="668"/>
      <c r="M3398" s="668"/>
    </row>
    <row r="3399" spans="5:13">
      <c r="E3399" s="668"/>
      <c r="F3399" s="668"/>
      <c r="G3399" s="668"/>
      <c r="H3399" s="668" t="s">
        <v>4867</v>
      </c>
      <c r="I3399" s="668" t="s">
        <v>170</v>
      </c>
      <c r="J3399" s="668"/>
      <c r="K3399" s="674">
        <f>2.67+0.54</f>
        <v>3.21</v>
      </c>
      <c r="L3399" s="668"/>
      <c r="M3399" s="668"/>
    </row>
    <row r="3400" spans="5:13">
      <c r="E3400" s="668"/>
      <c r="F3400" s="668"/>
      <c r="G3400" s="668"/>
      <c r="H3400" s="676" t="s">
        <v>4714</v>
      </c>
      <c r="I3400" s="668"/>
      <c r="J3400" s="668"/>
      <c r="K3400" s="676">
        <f>SUM(K3396:K3399)</f>
        <v>243.99300000000002</v>
      </c>
      <c r="L3400" s="668"/>
      <c r="M3400" s="668"/>
    </row>
    <row r="3401" spans="5:13">
      <c r="E3401" s="668"/>
      <c r="F3401" s="668"/>
      <c r="G3401" s="668"/>
      <c r="H3401" s="668"/>
      <c r="I3401" s="668"/>
      <c r="J3401" s="668"/>
      <c r="K3401" s="674"/>
      <c r="L3401" s="668"/>
      <c r="M3401" s="668"/>
    </row>
    <row r="3402" spans="5:13">
      <c r="E3402" s="668"/>
      <c r="F3402" s="668"/>
      <c r="G3402" s="668"/>
      <c r="H3402" s="460" t="s">
        <v>4868</v>
      </c>
      <c r="I3402" s="668">
        <f>I3368</f>
        <v>73860</v>
      </c>
      <c r="J3402" s="685">
        <v>2.9999999999999997E-4</v>
      </c>
      <c r="K3402" s="676">
        <f>I3402*J3402</f>
        <v>22.157999999999998</v>
      </c>
      <c r="L3402" s="668"/>
      <c r="M3402" s="668"/>
    </row>
    <row r="3403" spans="5:13">
      <c r="E3403" s="668"/>
      <c r="F3403" s="668"/>
      <c r="G3403" s="668"/>
      <c r="H3403" s="668"/>
      <c r="I3403" s="668"/>
      <c r="J3403" s="668"/>
      <c r="K3403" s="674"/>
      <c r="L3403" s="668"/>
      <c r="M3403" s="668"/>
    </row>
    <row r="3404" spans="5:13">
      <c r="E3404" s="668"/>
      <c r="F3404" s="668"/>
      <c r="G3404" s="668"/>
      <c r="H3404" s="675" t="s">
        <v>2401</v>
      </c>
      <c r="I3404" s="668"/>
      <c r="J3404" s="668"/>
      <c r="K3404" s="674"/>
      <c r="L3404" s="668"/>
      <c r="M3404" s="668"/>
    </row>
    <row r="3405" spans="5:13">
      <c r="E3405" s="668"/>
      <c r="F3405" s="668">
        <v>1</v>
      </c>
      <c r="G3405" s="668" t="s">
        <v>5</v>
      </c>
      <c r="H3405" s="668" t="s">
        <v>2418</v>
      </c>
      <c r="I3405" s="668">
        <f>I3351</f>
        <v>254</v>
      </c>
      <c r="J3405" s="668" t="s">
        <v>5</v>
      </c>
      <c r="K3405" s="674">
        <f>F3405*I3405</f>
        <v>254</v>
      </c>
      <c r="L3405" s="668"/>
      <c r="M3405" s="668"/>
    </row>
    <row r="3406" spans="5:13">
      <c r="E3406" s="668"/>
      <c r="F3406" s="668">
        <v>1</v>
      </c>
      <c r="G3406" s="668" t="s">
        <v>5</v>
      </c>
      <c r="H3406" s="668" t="s">
        <v>2419</v>
      </c>
      <c r="I3406" s="668">
        <f>I3352</f>
        <v>240</v>
      </c>
      <c r="J3406" s="668" t="s">
        <v>5</v>
      </c>
      <c r="K3406" s="674">
        <f>F3406*I3406</f>
        <v>240</v>
      </c>
      <c r="L3406" s="668"/>
      <c r="M3406" s="668"/>
    </row>
    <row r="3407" spans="5:13">
      <c r="E3407" s="668"/>
      <c r="F3407" s="668">
        <v>3</v>
      </c>
      <c r="G3407" s="668" t="s">
        <v>5</v>
      </c>
      <c r="H3407" s="668" t="s">
        <v>2410</v>
      </c>
      <c r="I3407" s="668">
        <f>I3353</f>
        <v>181</v>
      </c>
      <c r="J3407" s="668" t="s">
        <v>5</v>
      </c>
      <c r="K3407" s="674">
        <f>F3407*I3407</f>
        <v>543</v>
      </c>
      <c r="L3407" s="668"/>
      <c r="M3407" s="668"/>
    </row>
    <row r="3408" spans="5:13">
      <c r="E3408" s="668"/>
      <c r="F3408" s="668"/>
      <c r="G3408" s="668"/>
      <c r="H3408" s="674" t="s">
        <v>2372</v>
      </c>
      <c r="I3408" s="668"/>
      <c r="J3408" s="668"/>
      <c r="K3408" s="674">
        <f>SUM(K3405:K3407)</f>
        <v>1037</v>
      </c>
      <c r="L3408" s="668"/>
      <c r="M3408" s="668"/>
    </row>
    <row r="3409" spans="5:13">
      <c r="E3409" s="668"/>
      <c r="F3409" s="668"/>
      <c r="G3409" s="668"/>
      <c r="H3409" s="676" t="s">
        <v>2373</v>
      </c>
      <c r="I3409" s="668"/>
      <c r="J3409" s="668"/>
      <c r="K3409" s="676">
        <f>K3408/8</f>
        <v>129.625</v>
      </c>
      <c r="L3409" s="668"/>
      <c r="M3409" s="668"/>
    </row>
    <row r="3410" spans="5:13">
      <c r="E3410" s="668"/>
      <c r="F3410" s="668"/>
      <c r="G3410" s="668"/>
      <c r="H3410" s="668"/>
      <c r="I3410" s="668"/>
      <c r="J3410" s="668"/>
      <c r="K3410" s="674"/>
      <c r="L3410" s="668"/>
      <c r="M3410" s="668"/>
    </row>
    <row r="3411" spans="5:13">
      <c r="E3411" s="668"/>
      <c r="F3411" s="668"/>
      <c r="G3411" s="668"/>
      <c r="H3411" s="460" t="s">
        <v>2374</v>
      </c>
      <c r="I3411" s="668"/>
      <c r="J3411" s="668"/>
      <c r="K3411" s="674"/>
      <c r="L3411" s="668"/>
      <c r="M3411" s="668"/>
    </row>
    <row r="3412" spans="5:13">
      <c r="E3412" s="668"/>
      <c r="F3412" s="668"/>
      <c r="G3412" s="668"/>
      <c r="H3412" s="460" t="s">
        <v>2375</v>
      </c>
      <c r="I3412" s="668"/>
      <c r="J3412" s="668"/>
      <c r="K3412" s="674"/>
      <c r="L3412" s="668"/>
      <c r="M3412" s="668"/>
    </row>
    <row r="3413" spans="5:13">
      <c r="E3413" s="668"/>
      <c r="F3413" s="668"/>
      <c r="G3413" s="668"/>
      <c r="H3413" s="668"/>
      <c r="I3413" s="668"/>
      <c r="J3413" s="668"/>
      <c r="K3413" s="674"/>
      <c r="L3413" s="668"/>
      <c r="M3413" s="668"/>
    </row>
    <row r="3414" spans="5:13" ht="78.75">
      <c r="E3414" s="668"/>
      <c r="F3414" s="668"/>
      <c r="G3414" s="668"/>
      <c r="H3414" s="667" t="s">
        <v>2376</v>
      </c>
      <c r="I3414" s="668"/>
      <c r="J3414" s="668"/>
      <c r="K3414" s="674"/>
      <c r="L3414" s="668"/>
      <c r="M3414" s="668"/>
    </row>
    <row r="3415" spans="5:13">
      <c r="E3415" s="668"/>
      <c r="F3415" s="668">
        <v>3</v>
      </c>
      <c r="G3415" s="668" t="s">
        <v>5</v>
      </c>
      <c r="H3415" s="668" t="s">
        <v>4865</v>
      </c>
      <c r="I3415" s="668">
        <v>89</v>
      </c>
      <c r="J3415" s="668" t="s">
        <v>556</v>
      </c>
      <c r="K3415" s="674">
        <f>F3415*I3415</f>
        <v>267</v>
      </c>
      <c r="L3415" s="668"/>
      <c r="M3415" s="668"/>
    </row>
    <row r="3416" spans="5:13">
      <c r="E3416" s="668"/>
      <c r="F3416" s="668">
        <v>1</v>
      </c>
      <c r="G3416" s="668" t="s">
        <v>5</v>
      </c>
      <c r="H3416" s="668" t="s">
        <v>2377</v>
      </c>
      <c r="I3416" s="668">
        <f>K3421</f>
        <v>44.315999999999995</v>
      </c>
      <c r="J3416" s="668" t="s">
        <v>5</v>
      </c>
      <c r="K3416" s="674">
        <f>F3416*I3416</f>
        <v>44.315999999999995</v>
      </c>
      <c r="L3416" s="668"/>
      <c r="M3416" s="668"/>
    </row>
    <row r="3417" spans="5:13">
      <c r="E3417" s="668"/>
      <c r="F3417" s="668"/>
      <c r="G3417" s="668"/>
      <c r="H3417" s="668" t="s">
        <v>2389</v>
      </c>
      <c r="I3417" s="668"/>
      <c r="J3417" s="668"/>
      <c r="K3417" s="674">
        <f>K3428</f>
        <v>152.25</v>
      </c>
      <c r="L3417" s="668"/>
      <c r="M3417" s="668"/>
    </row>
    <row r="3418" spans="5:13">
      <c r="E3418" s="668"/>
      <c r="F3418" s="668"/>
      <c r="G3418" s="668"/>
      <c r="H3418" s="668" t="s">
        <v>4867</v>
      </c>
      <c r="I3418" s="668" t="s">
        <v>170</v>
      </c>
      <c r="J3418" s="668"/>
      <c r="K3418" s="674">
        <f>5.6+0.83</f>
        <v>6.43</v>
      </c>
      <c r="L3418" s="668"/>
      <c r="M3418" s="668"/>
    </row>
    <row r="3419" spans="5:13">
      <c r="E3419" s="668"/>
      <c r="F3419" s="668"/>
      <c r="G3419" s="668"/>
      <c r="H3419" s="676" t="s">
        <v>4714</v>
      </c>
      <c r="I3419" s="668"/>
      <c r="J3419" s="668"/>
      <c r="K3419" s="676">
        <f>SUM(K3415:K3418)</f>
        <v>469.99599999999998</v>
      </c>
      <c r="L3419" s="668"/>
      <c r="M3419" s="668"/>
    </row>
    <row r="3420" spans="5:13">
      <c r="E3420" s="668"/>
      <c r="F3420" s="668"/>
      <c r="G3420" s="668"/>
      <c r="H3420" s="676"/>
      <c r="I3420" s="668"/>
      <c r="J3420" s="668"/>
      <c r="K3420" s="676"/>
      <c r="L3420" s="668"/>
      <c r="M3420" s="668"/>
    </row>
    <row r="3421" spans="5:13">
      <c r="E3421" s="668"/>
      <c r="F3421" s="668"/>
      <c r="G3421" s="668"/>
      <c r="H3421" s="460" t="s">
        <v>2377</v>
      </c>
      <c r="I3421" s="668">
        <f>I3402</f>
        <v>73860</v>
      </c>
      <c r="J3421" s="685">
        <v>5.9999999999999995E-4</v>
      </c>
      <c r="K3421" s="676">
        <f>I3421*J3421</f>
        <v>44.315999999999995</v>
      </c>
      <c r="L3421" s="668"/>
      <c r="M3421" s="668"/>
    </row>
    <row r="3422" spans="5:13">
      <c r="E3422" s="668"/>
      <c r="F3422" s="668"/>
      <c r="G3422" s="668"/>
      <c r="H3422" s="676"/>
      <c r="I3422" s="668"/>
      <c r="J3422" s="668"/>
      <c r="K3422" s="674"/>
      <c r="L3422" s="668"/>
      <c r="M3422" s="668"/>
    </row>
    <row r="3423" spans="5:13">
      <c r="E3423" s="668"/>
      <c r="F3423" s="668"/>
      <c r="G3423" s="668"/>
      <c r="H3423" s="675" t="s">
        <v>2401</v>
      </c>
      <c r="I3423" s="668"/>
      <c r="J3423" s="668"/>
      <c r="K3423" s="674"/>
      <c r="L3423" s="668"/>
      <c r="M3423" s="668"/>
    </row>
    <row r="3424" spans="5:13">
      <c r="E3424" s="668"/>
      <c r="F3424" s="668">
        <v>1</v>
      </c>
      <c r="G3424" s="668" t="s">
        <v>5</v>
      </c>
      <c r="H3424" s="668" t="s">
        <v>2418</v>
      </c>
      <c r="I3424" s="668">
        <f>I3405</f>
        <v>254</v>
      </c>
      <c r="J3424" s="668" t="s">
        <v>5</v>
      </c>
      <c r="K3424" s="674">
        <f>F3424*I3424</f>
        <v>254</v>
      </c>
      <c r="L3424" s="668"/>
      <c r="M3424" s="668"/>
    </row>
    <row r="3425" spans="5:13">
      <c r="E3425" s="668"/>
      <c r="F3425" s="668">
        <v>1</v>
      </c>
      <c r="G3425" s="668" t="s">
        <v>5</v>
      </c>
      <c r="H3425" s="668" t="s">
        <v>2419</v>
      </c>
      <c r="I3425" s="668">
        <f>I3406</f>
        <v>240</v>
      </c>
      <c r="J3425" s="668" t="s">
        <v>5</v>
      </c>
      <c r="K3425" s="674">
        <f>F3425*I3425</f>
        <v>240</v>
      </c>
      <c r="L3425" s="668"/>
      <c r="M3425" s="668"/>
    </row>
    <row r="3426" spans="5:13">
      <c r="E3426" s="668"/>
      <c r="F3426" s="668">
        <v>4</v>
      </c>
      <c r="G3426" s="668" t="s">
        <v>5</v>
      </c>
      <c r="H3426" s="668" t="s">
        <v>2410</v>
      </c>
      <c r="I3426" s="668">
        <f>I3407</f>
        <v>181</v>
      </c>
      <c r="J3426" s="668" t="s">
        <v>5</v>
      </c>
      <c r="K3426" s="674">
        <f>F3426*I3426</f>
        <v>724</v>
      </c>
      <c r="L3426" s="668"/>
      <c r="M3426" s="668"/>
    </row>
    <row r="3427" spans="5:13">
      <c r="E3427" s="668"/>
      <c r="F3427" s="668"/>
      <c r="G3427" s="668"/>
      <c r="H3427" s="674" t="s">
        <v>2372</v>
      </c>
      <c r="I3427" s="668"/>
      <c r="J3427" s="668"/>
      <c r="K3427" s="674">
        <f>SUM(K3424:K3426)</f>
        <v>1218</v>
      </c>
      <c r="L3427" s="668"/>
      <c r="M3427" s="668"/>
    </row>
    <row r="3428" spans="5:13">
      <c r="E3428" s="668"/>
      <c r="F3428" s="668"/>
      <c r="G3428" s="668"/>
      <c r="H3428" s="676" t="s">
        <v>4617</v>
      </c>
      <c r="I3428" s="668"/>
      <c r="J3428" s="668"/>
      <c r="K3428" s="676">
        <f>K3427/8</f>
        <v>152.25</v>
      </c>
      <c r="L3428" s="668"/>
      <c r="M3428" s="668"/>
    </row>
    <row r="3429" spans="5:13">
      <c r="E3429" s="668"/>
      <c r="F3429" s="668"/>
      <c r="G3429" s="668"/>
      <c r="H3429" s="668"/>
      <c r="I3429" s="668"/>
      <c r="J3429" s="668"/>
      <c r="K3429" s="674"/>
      <c r="L3429" s="668"/>
      <c r="M3429" s="668"/>
    </row>
    <row r="3430" spans="5:13">
      <c r="E3430" s="668"/>
      <c r="F3430" s="668"/>
      <c r="G3430" s="668"/>
      <c r="H3430" s="460" t="s">
        <v>4870</v>
      </c>
      <c r="I3430" s="668"/>
      <c r="J3430" s="668"/>
      <c r="K3430" s="674"/>
      <c r="L3430" s="668"/>
      <c r="M3430" s="668"/>
    </row>
    <row r="3431" spans="5:13">
      <c r="E3431" s="668"/>
      <c r="F3431" s="668"/>
      <c r="G3431" s="668"/>
      <c r="H3431" s="668"/>
      <c r="I3431" s="668"/>
      <c r="J3431" s="668"/>
      <c r="K3431" s="674"/>
      <c r="L3431" s="668"/>
      <c r="M3431" s="668"/>
    </row>
    <row r="3432" spans="5:13">
      <c r="E3432" s="668"/>
      <c r="F3432" s="668"/>
      <c r="G3432" s="668"/>
      <c r="H3432" s="460" t="s">
        <v>4871</v>
      </c>
      <c r="I3432" s="668"/>
      <c r="J3432" s="668"/>
      <c r="K3432" s="674"/>
      <c r="L3432" s="668"/>
      <c r="M3432" s="668"/>
    </row>
    <row r="3433" spans="5:13">
      <c r="E3433" s="668"/>
      <c r="F3433" s="668"/>
      <c r="G3433" s="668"/>
      <c r="H3433" s="668"/>
      <c r="I3433" s="668"/>
      <c r="J3433" s="668"/>
      <c r="K3433" s="674"/>
      <c r="L3433" s="668"/>
      <c r="M3433" s="668"/>
    </row>
    <row r="3434" spans="5:13" ht="78.75">
      <c r="E3434" s="668"/>
      <c r="F3434" s="668"/>
      <c r="G3434" s="668"/>
      <c r="H3434" s="667" t="s">
        <v>5331</v>
      </c>
      <c r="I3434" s="668"/>
      <c r="J3434" s="668"/>
      <c r="K3434" s="674"/>
      <c r="L3434" s="668"/>
      <c r="M3434" s="668"/>
    </row>
    <row r="3435" spans="5:13">
      <c r="E3435" s="668"/>
      <c r="F3435" s="668"/>
      <c r="G3435" s="668"/>
      <c r="H3435" s="668"/>
      <c r="I3435" s="668"/>
      <c r="J3435" s="668"/>
      <c r="K3435" s="674"/>
      <c r="L3435" s="668"/>
      <c r="M3435" s="668"/>
    </row>
    <row r="3436" spans="5:13">
      <c r="E3436" s="668"/>
      <c r="F3436" s="668">
        <v>1</v>
      </c>
      <c r="G3436" s="668" t="s">
        <v>5</v>
      </c>
      <c r="H3436" s="668" t="s">
        <v>5332</v>
      </c>
      <c r="I3436" s="668">
        <v>46</v>
      </c>
      <c r="J3436" s="668" t="s">
        <v>5</v>
      </c>
      <c r="K3436" s="674">
        <f>F3436*I3436</f>
        <v>46</v>
      </c>
      <c r="L3436" s="668"/>
      <c r="M3436" s="668"/>
    </row>
    <row r="3437" spans="5:13">
      <c r="E3437" s="668"/>
      <c r="F3437" s="668">
        <v>1</v>
      </c>
      <c r="G3437" s="668" t="s">
        <v>5</v>
      </c>
      <c r="H3437" s="667" t="s">
        <v>4874</v>
      </c>
      <c r="I3437" s="668">
        <f>K3443</f>
        <v>166.18499999999997</v>
      </c>
      <c r="J3437" s="668" t="s">
        <v>5</v>
      </c>
      <c r="K3437" s="674">
        <f>F3437*I3437</f>
        <v>166.18499999999997</v>
      </c>
      <c r="L3437" s="668"/>
      <c r="M3437" s="668"/>
    </row>
    <row r="3438" spans="5:13">
      <c r="E3438" s="668"/>
      <c r="F3438" s="668">
        <v>1</v>
      </c>
      <c r="G3438" s="668" t="s">
        <v>5</v>
      </c>
      <c r="H3438" s="668" t="s">
        <v>2399</v>
      </c>
      <c r="I3438" s="668">
        <v>25</v>
      </c>
      <c r="J3438" s="668" t="s">
        <v>2400</v>
      </c>
      <c r="K3438" s="674">
        <f>F3438*I3438</f>
        <v>25</v>
      </c>
      <c r="L3438" s="668"/>
      <c r="M3438" s="668"/>
    </row>
    <row r="3439" spans="5:13">
      <c r="E3439" s="668"/>
      <c r="F3439" s="668"/>
      <c r="G3439" s="668"/>
      <c r="H3439" s="668" t="s">
        <v>2401</v>
      </c>
      <c r="I3439" s="668"/>
      <c r="J3439" s="668"/>
      <c r="K3439" s="674">
        <f>K3449</f>
        <v>154</v>
      </c>
      <c r="L3439" s="668"/>
      <c r="M3439" s="668"/>
    </row>
    <row r="3440" spans="5:13">
      <c r="E3440" s="668"/>
      <c r="F3440" s="668"/>
      <c r="G3440" s="668"/>
      <c r="H3440" s="668" t="s">
        <v>2402</v>
      </c>
      <c r="I3440" s="668"/>
      <c r="J3440" s="668"/>
      <c r="K3440" s="674">
        <v>4.8099999999999996</v>
      </c>
      <c r="L3440" s="668"/>
      <c r="M3440" s="668"/>
    </row>
    <row r="3441" spans="5:13">
      <c r="E3441" s="668"/>
      <c r="F3441" s="668"/>
      <c r="G3441" s="668"/>
      <c r="H3441" s="676" t="s">
        <v>2420</v>
      </c>
      <c r="I3441" s="668"/>
      <c r="J3441" s="668"/>
      <c r="K3441" s="676">
        <f>SUM(K3436:K3440)</f>
        <v>395.99499999999995</v>
      </c>
      <c r="L3441" s="668"/>
      <c r="M3441" s="668"/>
    </row>
    <row r="3442" spans="5:13">
      <c r="E3442" s="668"/>
      <c r="F3442" s="668"/>
      <c r="G3442" s="668"/>
      <c r="H3442" s="668"/>
      <c r="I3442" s="668"/>
      <c r="J3442" s="668"/>
      <c r="K3442" s="674"/>
      <c r="L3442" s="668"/>
      <c r="M3442" s="668"/>
    </row>
    <row r="3443" spans="5:13">
      <c r="E3443" s="668"/>
      <c r="F3443" s="668"/>
      <c r="G3443" s="668"/>
      <c r="H3443" s="460" t="s">
        <v>4875</v>
      </c>
      <c r="I3443" s="668">
        <f>I3421</f>
        <v>73860</v>
      </c>
      <c r="J3443" s="702">
        <v>2.2499999999999998E-3</v>
      </c>
      <c r="K3443" s="674">
        <f>I3443*J3443</f>
        <v>166.18499999999997</v>
      </c>
      <c r="L3443" s="668"/>
      <c r="M3443" s="668"/>
    </row>
    <row r="3444" spans="5:13">
      <c r="E3444" s="668"/>
      <c r="F3444" s="668"/>
      <c r="G3444" s="668"/>
      <c r="H3444" s="668"/>
      <c r="I3444" s="668"/>
      <c r="J3444" s="668"/>
      <c r="K3444" s="674"/>
      <c r="L3444" s="668"/>
      <c r="M3444" s="668"/>
    </row>
    <row r="3445" spans="5:13">
      <c r="E3445" s="668"/>
      <c r="F3445" s="668"/>
      <c r="G3445" s="668"/>
      <c r="H3445" s="668" t="s">
        <v>2389</v>
      </c>
      <c r="I3445" s="668"/>
      <c r="J3445" s="668"/>
      <c r="K3445" s="674"/>
      <c r="L3445" s="668"/>
      <c r="M3445" s="668"/>
    </row>
    <row r="3446" spans="5:13">
      <c r="E3446" s="668"/>
      <c r="F3446" s="668">
        <v>1</v>
      </c>
      <c r="G3446" s="668" t="s">
        <v>5</v>
      </c>
      <c r="H3446" s="668" t="s">
        <v>2418</v>
      </c>
      <c r="I3446" s="522">
        <f>I3424</f>
        <v>254</v>
      </c>
      <c r="J3446" s="668" t="s">
        <v>5</v>
      </c>
      <c r="K3446" s="674">
        <f>F3446*I3446</f>
        <v>254</v>
      </c>
      <c r="L3446" s="668"/>
      <c r="M3446" s="668"/>
    </row>
    <row r="3447" spans="5:13">
      <c r="E3447" s="668"/>
      <c r="F3447" s="668">
        <v>2</v>
      </c>
      <c r="G3447" s="668" t="s">
        <v>5</v>
      </c>
      <c r="H3447" s="668" t="s">
        <v>4757</v>
      </c>
      <c r="I3447" s="522">
        <f>I3426</f>
        <v>181</v>
      </c>
      <c r="J3447" s="668" t="s">
        <v>5</v>
      </c>
      <c r="K3447" s="674">
        <f>F3447*I3447</f>
        <v>362</v>
      </c>
      <c r="L3447" s="668"/>
      <c r="M3447" s="668"/>
    </row>
    <row r="3448" spans="5:13">
      <c r="E3448" s="668"/>
      <c r="F3448" s="668"/>
      <c r="G3448" s="668"/>
      <c r="H3448" s="674" t="s">
        <v>4765</v>
      </c>
      <c r="I3448" s="668"/>
      <c r="J3448" s="668"/>
      <c r="K3448" s="674">
        <f>SUM(K3446:K3447)</f>
        <v>616</v>
      </c>
      <c r="L3448" s="668"/>
      <c r="M3448" s="668"/>
    </row>
    <row r="3449" spans="5:13">
      <c r="E3449" s="668"/>
      <c r="F3449" s="668"/>
      <c r="G3449" s="668"/>
      <c r="H3449" s="676" t="s">
        <v>2373</v>
      </c>
      <c r="I3449" s="668"/>
      <c r="J3449" s="668"/>
      <c r="K3449" s="676">
        <f>K3448/4</f>
        <v>154</v>
      </c>
      <c r="L3449" s="668"/>
      <c r="M3449" s="668"/>
    </row>
    <row r="3450" spans="5:13">
      <c r="E3450" s="668"/>
      <c r="F3450" s="668"/>
      <c r="G3450" s="668"/>
      <c r="H3450" s="668"/>
      <c r="I3450" s="668"/>
      <c r="J3450" s="668"/>
      <c r="K3450" s="674"/>
      <c r="L3450" s="668"/>
      <c r="M3450" s="668"/>
    </row>
    <row r="3451" spans="5:13">
      <c r="E3451" s="668"/>
      <c r="F3451" s="668"/>
      <c r="G3451" s="668"/>
      <c r="H3451" s="460" t="s">
        <v>4876</v>
      </c>
      <c r="I3451" s="668"/>
      <c r="J3451" s="668"/>
      <c r="K3451" s="674"/>
      <c r="L3451" s="668"/>
      <c r="M3451" s="668"/>
    </row>
    <row r="3452" spans="5:13">
      <c r="E3452" s="668"/>
      <c r="F3452" s="668"/>
      <c r="G3452" s="668"/>
      <c r="H3452" s="460" t="s">
        <v>4877</v>
      </c>
      <c r="I3452" s="668"/>
      <c r="J3452" s="668"/>
      <c r="K3452" s="674"/>
      <c r="L3452" s="668"/>
      <c r="M3452" s="668"/>
    </row>
    <row r="3453" spans="5:13">
      <c r="E3453" s="668"/>
      <c r="F3453" s="668"/>
      <c r="G3453" s="668"/>
      <c r="H3453" s="668" t="s">
        <v>30</v>
      </c>
      <c r="I3453" s="668"/>
      <c r="J3453" s="668"/>
      <c r="K3453" s="674"/>
      <c r="L3453" s="668"/>
      <c r="M3453" s="668"/>
    </row>
    <row r="3454" spans="5:13">
      <c r="E3454" s="668"/>
      <c r="F3454" s="668">
        <v>1</v>
      </c>
      <c r="G3454" s="668" t="s">
        <v>5</v>
      </c>
      <c r="H3454" s="668" t="s">
        <v>4878</v>
      </c>
      <c r="I3454" s="668">
        <v>1660</v>
      </c>
      <c r="J3454" s="668" t="s">
        <v>5</v>
      </c>
      <c r="K3454" s="674">
        <f>F3454*I3454</f>
        <v>1660</v>
      </c>
      <c r="L3454" s="668"/>
      <c r="M3454" s="668"/>
    </row>
    <row r="3455" spans="5:13">
      <c r="E3455" s="668"/>
      <c r="F3455" s="668">
        <v>3</v>
      </c>
      <c r="G3455" s="668" t="s">
        <v>5</v>
      </c>
      <c r="H3455" s="668" t="s">
        <v>5333</v>
      </c>
      <c r="I3455" s="671">
        <v>141</v>
      </c>
      <c r="J3455" s="668" t="s">
        <v>5</v>
      </c>
      <c r="K3455" s="674">
        <f>F3455*I3455</f>
        <v>423</v>
      </c>
      <c r="L3455" s="668"/>
      <c r="M3455" s="668"/>
    </row>
    <row r="3456" spans="5:13">
      <c r="E3456" s="668"/>
      <c r="F3456" s="668"/>
      <c r="G3456" s="668"/>
      <c r="H3456" s="668" t="s">
        <v>4879</v>
      </c>
      <c r="I3456" s="668"/>
      <c r="J3456" s="668"/>
      <c r="K3456" s="674">
        <f>K3348</f>
        <v>464</v>
      </c>
      <c r="L3456" s="668"/>
      <c r="M3456" s="668"/>
    </row>
    <row r="3457" spans="5:13">
      <c r="E3457" s="668"/>
      <c r="F3457" s="668"/>
      <c r="G3457" s="668"/>
      <c r="H3457" s="668" t="s">
        <v>2390</v>
      </c>
      <c r="I3457" s="668"/>
      <c r="J3457" s="668"/>
      <c r="K3457" s="674">
        <v>0</v>
      </c>
      <c r="L3457" s="668"/>
      <c r="M3457" s="668"/>
    </row>
    <row r="3458" spans="5:13">
      <c r="E3458" s="668"/>
      <c r="F3458" s="668"/>
      <c r="G3458" s="668"/>
      <c r="H3458" s="676" t="s">
        <v>4880</v>
      </c>
      <c r="I3458" s="668"/>
      <c r="J3458" s="668"/>
      <c r="K3458" s="676">
        <f>SUM(K3454:K3457)</f>
        <v>2547</v>
      </c>
      <c r="L3458" s="668"/>
      <c r="M3458" s="668"/>
    </row>
    <row r="3459" spans="5:13">
      <c r="E3459" s="668"/>
      <c r="F3459" s="668"/>
      <c r="G3459" s="668"/>
      <c r="H3459" s="668"/>
      <c r="I3459" s="668"/>
      <c r="J3459" s="668"/>
      <c r="K3459" s="674"/>
      <c r="L3459" s="668"/>
      <c r="M3459" s="668"/>
    </row>
    <row r="3460" spans="5:13">
      <c r="E3460" s="668"/>
      <c r="F3460" s="668"/>
      <c r="G3460" s="668"/>
      <c r="H3460" s="460" t="s">
        <v>4876</v>
      </c>
      <c r="I3460" s="668"/>
      <c r="J3460" s="668"/>
      <c r="K3460" s="674"/>
      <c r="L3460" s="668"/>
      <c r="M3460" s="668"/>
    </row>
    <row r="3461" spans="5:13">
      <c r="E3461" s="668"/>
      <c r="F3461" s="668"/>
      <c r="G3461" s="668"/>
      <c r="H3461" s="668"/>
      <c r="I3461" s="668"/>
      <c r="J3461" s="668"/>
      <c r="K3461" s="674"/>
      <c r="L3461" s="668"/>
      <c r="M3461" s="668"/>
    </row>
    <row r="3462" spans="5:13">
      <c r="E3462" s="668"/>
      <c r="F3462" s="668"/>
      <c r="G3462" s="668"/>
      <c r="H3462" s="460" t="s">
        <v>1180</v>
      </c>
      <c r="I3462" s="668"/>
      <c r="J3462" s="668"/>
      <c r="K3462" s="674"/>
      <c r="L3462" s="668"/>
      <c r="M3462" s="668"/>
    </row>
    <row r="3463" spans="5:13">
      <c r="E3463" s="668"/>
      <c r="F3463" s="668"/>
      <c r="G3463" s="668"/>
      <c r="H3463" s="668"/>
      <c r="I3463" s="668"/>
      <c r="J3463" s="668"/>
      <c r="K3463" s="674"/>
      <c r="L3463" s="668"/>
      <c r="M3463" s="668"/>
    </row>
    <row r="3464" spans="5:13">
      <c r="E3464" s="668"/>
      <c r="F3464" s="668">
        <v>1</v>
      </c>
      <c r="G3464" s="668" t="s">
        <v>5</v>
      </c>
      <c r="H3464" s="668" t="s">
        <v>5334</v>
      </c>
      <c r="I3464" s="668">
        <f>K3389</f>
        <v>2040</v>
      </c>
      <c r="J3464" s="668" t="s">
        <v>5</v>
      </c>
      <c r="K3464" s="674">
        <f>F3464*I3464</f>
        <v>2040</v>
      </c>
      <c r="L3464" s="668"/>
      <c r="M3464" s="668"/>
    </row>
    <row r="3465" spans="5:13">
      <c r="E3465" s="668"/>
      <c r="F3465" s="668">
        <v>3</v>
      </c>
      <c r="G3465" s="668" t="s">
        <v>5</v>
      </c>
      <c r="H3465" s="668" t="s">
        <v>5333</v>
      </c>
      <c r="I3465" s="668">
        <f>I3455</f>
        <v>141</v>
      </c>
      <c r="J3465" s="668" t="s">
        <v>5</v>
      </c>
      <c r="K3465" s="674">
        <f>F3465*I3465</f>
        <v>423</v>
      </c>
      <c r="L3465" s="668"/>
      <c r="M3465" s="668"/>
    </row>
    <row r="3466" spans="5:13">
      <c r="E3466" s="668"/>
      <c r="F3466" s="668"/>
      <c r="G3466" s="668"/>
      <c r="H3466" s="668" t="s">
        <v>4881</v>
      </c>
      <c r="I3466" s="668"/>
      <c r="J3466" s="668"/>
      <c r="K3466" s="674">
        <f>K3379</f>
        <v>478</v>
      </c>
      <c r="L3466" s="668"/>
      <c r="M3466" s="668"/>
    </row>
    <row r="3467" spans="5:13">
      <c r="E3467" s="668"/>
      <c r="F3467" s="668"/>
      <c r="G3467" s="668"/>
      <c r="H3467" s="668" t="s">
        <v>2390</v>
      </c>
      <c r="I3467" s="668"/>
      <c r="J3467" s="668"/>
      <c r="K3467" s="674">
        <v>0</v>
      </c>
      <c r="L3467" s="668"/>
      <c r="M3467" s="668"/>
    </row>
    <row r="3468" spans="5:13">
      <c r="E3468" s="668"/>
      <c r="F3468" s="668"/>
      <c r="G3468" s="668"/>
      <c r="H3468" s="676" t="s">
        <v>2394</v>
      </c>
      <c r="I3468" s="668"/>
      <c r="J3468" s="668"/>
      <c r="K3468" s="676">
        <f>SUM(K3464:K3467)</f>
        <v>2941</v>
      </c>
      <c r="L3468" s="668"/>
      <c r="M3468" s="668"/>
    </row>
    <row r="3469" spans="5:13">
      <c r="E3469" s="668"/>
      <c r="F3469" s="668"/>
      <c r="G3469" s="668"/>
      <c r="H3469" s="668"/>
      <c r="I3469" s="668"/>
      <c r="J3469" s="668"/>
      <c r="K3469" s="674"/>
      <c r="L3469" s="668"/>
      <c r="M3469" s="668"/>
    </row>
    <row r="3470" spans="5:13">
      <c r="E3470" s="668"/>
      <c r="F3470" s="668"/>
      <c r="G3470" s="668"/>
      <c r="H3470" s="460" t="s">
        <v>2395</v>
      </c>
      <c r="I3470" s="668"/>
      <c r="J3470" s="668"/>
      <c r="K3470" s="674"/>
      <c r="L3470" s="668"/>
      <c r="M3470" s="668"/>
    </row>
    <row r="3471" spans="5:13">
      <c r="E3471" s="668"/>
      <c r="F3471" s="668"/>
      <c r="G3471" s="668"/>
      <c r="H3471" s="668"/>
      <c r="I3471" s="668"/>
      <c r="J3471" s="668"/>
      <c r="K3471" s="674"/>
      <c r="L3471" s="668"/>
      <c r="M3471" s="668"/>
    </row>
    <row r="3472" spans="5:13">
      <c r="E3472" s="668"/>
      <c r="F3472" s="668"/>
      <c r="G3472" s="668"/>
      <c r="H3472" s="460" t="s">
        <v>2396</v>
      </c>
      <c r="I3472" s="668"/>
      <c r="J3472" s="668"/>
      <c r="K3472" s="674"/>
      <c r="L3472" s="668"/>
      <c r="M3472" s="668"/>
    </row>
    <row r="3473" spans="5:13">
      <c r="E3473" s="668"/>
      <c r="F3473" s="668"/>
      <c r="G3473" s="668"/>
      <c r="H3473" s="668"/>
      <c r="I3473" s="668"/>
      <c r="J3473" s="668"/>
      <c r="K3473" s="674"/>
      <c r="L3473" s="668"/>
      <c r="M3473" s="668"/>
    </row>
    <row r="3474" spans="5:13" ht="76.5">
      <c r="E3474" s="668"/>
      <c r="F3474" s="668"/>
      <c r="G3474" s="668"/>
      <c r="H3474" s="667" t="s">
        <v>5335</v>
      </c>
      <c r="I3474" s="668"/>
      <c r="J3474" s="668"/>
      <c r="K3474" s="674"/>
      <c r="L3474" s="668"/>
      <c r="M3474" s="668"/>
    </row>
    <row r="3475" spans="5:13">
      <c r="E3475" s="668"/>
      <c r="F3475" s="668"/>
      <c r="G3475" s="668"/>
      <c r="H3475" s="668"/>
      <c r="I3475" s="668"/>
      <c r="J3475" s="668"/>
      <c r="K3475" s="674"/>
      <c r="L3475" s="668"/>
      <c r="M3475" s="668"/>
    </row>
    <row r="3476" spans="5:13">
      <c r="E3476" s="668"/>
      <c r="F3476" s="668">
        <v>3</v>
      </c>
      <c r="G3476" s="668" t="s">
        <v>5</v>
      </c>
      <c r="H3476" s="668" t="s">
        <v>2397</v>
      </c>
      <c r="I3476" s="668">
        <f>I3396</f>
        <v>89</v>
      </c>
      <c r="J3476" s="668" t="s">
        <v>5</v>
      </c>
      <c r="K3476" s="674">
        <f>F3476*I3476</f>
        <v>267</v>
      </c>
      <c r="L3476" s="668"/>
      <c r="M3476" s="668"/>
    </row>
    <row r="3477" spans="5:13">
      <c r="E3477" s="668"/>
      <c r="F3477" s="668">
        <v>1</v>
      </c>
      <c r="G3477" s="668" t="s">
        <v>5</v>
      </c>
      <c r="H3477" s="667" t="s">
        <v>2398</v>
      </c>
      <c r="I3477" s="668">
        <f>K3483</f>
        <v>249.2775</v>
      </c>
      <c r="J3477" s="668" t="s">
        <v>5</v>
      </c>
      <c r="K3477" s="674">
        <f>F3477*I3477</f>
        <v>249.2775</v>
      </c>
      <c r="L3477" s="668"/>
      <c r="M3477" s="668"/>
    </row>
    <row r="3478" spans="5:13">
      <c r="E3478" s="668"/>
      <c r="F3478" s="668">
        <v>1</v>
      </c>
      <c r="G3478" s="668" t="s">
        <v>5</v>
      </c>
      <c r="H3478" s="668" t="s">
        <v>2399</v>
      </c>
      <c r="I3478" s="668">
        <f>I3438</f>
        <v>25</v>
      </c>
      <c r="J3478" s="668" t="s">
        <v>2400</v>
      </c>
      <c r="K3478" s="674">
        <f>F3478*I3478</f>
        <v>25</v>
      </c>
      <c r="L3478" s="668"/>
      <c r="M3478" s="668"/>
    </row>
    <row r="3479" spans="5:13">
      <c r="E3479" s="668"/>
      <c r="F3479" s="668"/>
      <c r="G3479" s="668"/>
      <c r="H3479" s="668" t="s">
        <v>2401</v>
      </c>
      <c r="I3479" s="668"/>
      <c r="J3479" s="668"/>
      <c r="K3479" s="674">
        <f>K3489</f>
        <v>205.33333333333334</v>
      </c>
      <c r="L3479" s="668"/>
      <c r="M3479" s="668"/>
    </row>
    <row r="3480" spans="5:13">
      <c r="E3480" s="668"/>
      <c r="F3480" s="668"/>
      <c r="G3480" s="668"/>
      <c r="H3480" s="668" t="s">
        <v>2402</v>
      </c>
      <c r="I3480" s="668"/>
      <c r="J3480" s="668"/>
      <c r="K3480" s="674">
        <f>2.4+0.99</f>
        <v>3.3899999999999997</v>
      </c>
      <c r="L3480" s="668"/>
      <c r="M3480" s="668"/>
    </row>
    <row r="3481" spans="5:13">
      <c r="E3481" s="668"/>
      <c r="F3481" s="668"/>
      <c r="G3481" s="668"/>
      <c r="H3481" s="676" t="s">
        <v>2420</v>
      </c>
      <c r="I3481" s="668"/>
      <c r="J3481" s="668"/>
      <c r="K3481" s="676">
        <f>SUM(K3476:K3480)</f>
        <v>750.00083333333339</v>
      </c>
      <c r="L3481" s="668">
        <f>568-K3481</f>
        <v>-182.00083333333339</v>
      </c>
      <c r="M3481" s="668"/>
    </row>
    <row r="3482" spans="5:13">
      <c r="E3482" s="668"/>
      <c r="F3482" s="668"/>
      <c r="G3482" s="668"/>
      <c r="H3482" s="668"/>
      <c r="I3482" s="668"/>
      <c r="J3482" s="668"/>
      <c r="K3482" s="674"/>
      <c r="L3482" s="668"/>
      <c r="M3482" s="668"/>
    </row>
    <row r="3483" spans="5:13">
      <c r="E3483" s="668"/>
      <c r="F3483" s="668"/>
      <c r="G3483" s="668"/>
      <c r="H3483" s="460" t="s">
        <v>2421</v>
      </c>
      <c r="I3483" s="668">
        <f>I3443</f>
        <v>73860</v>
      </c>
      <c r="J3483" s="702">
        <v>3.375E-3</v>
      </c>
      <c r="K3483" s="674">
        <f>I3483*J3483</f>
        <v>249.2775</v>
      </c>
      <c r="L3483" s="668"/>
      <c r="M3483" s="668"/>
    </row>
    <row r="3484" spans="5:13">
      <c r="E3484" s="668"/>
      <c r="F3484" s="668"/>
      <c r="G3484" s="668"/>
      <c r="H3484" s="668"/>
      <c r="I3484" s="668"/>
      <c r="J3484" s="668"/>
      <c r="K3484" s="674"/>
      <c r="L3484" s="668"/>
      <c r="M3484" s="668"/>
    </row>
    <row r="3485" spans="5:13">
      <c r="E3485" s="668"/>
      <c r="F3485" s="668"/>
      <c r="G3485" s="668"/>
      <c r="H3485" s="675" t="s">
        <v>2389</v>
      </c>
      <c r="I3485" s="668"/>
      <c r="J3485" s="668"/>
      <c r="K3485" s="674"/>
      <c r="L3485" s="668"/>
      <c r="M3485" s="668"/>
    </row>
    <row r="3486" spans="5:13">
      <c r="E3486" s="668"/>
      <c r="F3486" s="668">
        <v>1</v>
      </c>
      <c r="G3486" s="668" t="s">
        <v>5</v>
      </c>
      <c r="H3486" s="668" t="s">
        <v>2418</v>
      </c>
      <c r="I3486" s="668">
        <f>I3446</f>
        <v>254</v>
      </c>
      <c r="J3486" s="668" t="s">
        <v>5</v>
      </c>
      <c r="K3486" s="674">
        <f>F3486*I3486</f>
        <v>254</v>
      </c>
      <c r="L3486" s="668"/>
      <c r="M3486" s="668"/>
    </row>
    <row r="3487" spans="5:13">
      <c r="E3487" s="668"/>
      <c r="F3487" s="668">
        <v>2</v>
      </c>
      <c r="G3487" s="668" t="s">
        <v>5</v>
      </c>
      <c r="H3487" s="668" t="s">
        <v>4757</v>
      </c>
      <c r="I3487" s="668">
        <f>I3447</f>
        <v>181</v>
      </c>
      <c r="J3487" s="668" t="s">
        <v>5</v>
      </c>
      <c r="K3487" s="674">
        <f>F3487*I3487</f>
        <v>362</v>
      </c>
      <c r="L3487" s="668"/>
      <c r="M3487" s="668"/>
    </row>
    <row r="3488" spans="5:13">
      <c r="E3488" s="668"/>
      <c r="F3488" s="668"/>
      <c r="G3488" s="668"/>
      <c r="H3488" s="674" t="s">
        <v>4883</v>
      </c>
      <c r="I3488" s="668"/>
      <c r="J3488" s="460"/>
      <c r="K3488" s="684">
        <f>SUM(K3486:K3487)</f>
        <v>616</v>
      </c>
      <c r="L3488" s="668"/>
      <c r="M3488" s="668"/>
    </row>
    <row r="3489" spans="5:13">
      <c r="E3489" s="668"/>
      <c r="F3489" s="668"/>
      <c r="G3489" s="668"/>
      <c r="H3489" s="676" t="s">
        <v>2373</v>
      </c>
      <c r="I3489" s="668"/>
      <c r="J3489" s="460"/>
      <c r="K3489" s="676">
        <f>K3488/3</f>
        <v>205.33333333333334</v>
      </c>
      <c r="L3489" s="668"/>
      <c r="M3489" s="668"/>
    </row>
    <row r="3490" spans="5:13">
      <c r="E3490" s="668"/>
      <c r="F3490" s="668"/>
      <c r="G3490" s="668"/>
      <c r="H3490" s="668"/>
      <c r="I3490" s="668"/>
      <c r="J3490" s="668"/>
      <c r="K3490" s="674"/>
      <c r="L3490" s="668"/>
      <c r="M3490" s="668"/>
    </row>
    <row r="3491" spans="5:13">
      <c r="E3491" s="668"/>
      <c r="F3491" s="668"/>
      <c r="G3491" s="668"/>
      <c r="H3491" s="460" t="s">
        <v>4884</v>
      </c>
      <c r="I3491" s="668"/>
      <c r="J3491" s="668"/>
      <c r="K3491" s="674"/>
      <c r="L3491" s="668"/>
      <c r="M3491" s="668"/>
    </row>
    <row r="3492" spans="5:13">
      <c r="E3492" s="668"/>
      <c r="F3492" s="668"/>
      <c r="G3492" s="668"/>
      <c r="H3492" s="668"/>
      <c r="I3492" s="668"/>
      <c r="J3492" s="668"/>
      <c r="K3492" s="674"/>
      <c r="L3492" s="668"/>
      <c r="M3492" s="668"/>
    </row>
    <row r="3493" spans="5:13" ht="61.5" customHeight="1">
      <c r="E3493" s="668"/>
      <c r="F3493" s="668"/>
      <c r="G3493" s="668"/>
      <c r="H3493" s="665" t="s">
        <v>2182</v>
      </c>
      <c r="I3493" s="668"/>
      <c r="J3493" s="668"/>
      <c r="K3493" s="674"/>
      <c r="L3493" s="668"/>
      <c r="M3493" s="668"/>
    </row>
    <row r="3494" spans="5:13" ht="36" customHeight="1">
      <c r="E3494" s="668"/>
      <c r="F3494" s="668">
        <v>180</v>
      </c>
      <c r="G3494" s="668" t="s">
        <v>12</v>
      </c>
      <c r="H3494" s="667" t="s">
        <v>4903</v>
      </c>
      <c r="I3494" s="670">
        <v>31.5</v>
      </c>
      <c r="J3494" s="668" t="s">
        <v>12</v>
      </c>
      <c r="K3494" s="674">
        <f>F3494*I3494</f>
        <v>5670</v>
      </c>
      <c r="L3494" s="668"/>
      <c r="M3494" s="668"/>
    </row>
    <row r="3495" spans="5:13">
      <c r="E3495" s="668"/>
      <c r="F3495" s="668">
        <v>4</v>
      </c>
      <c r="G3495" s="668" t="s">
        <v>40</v>
      </c>
      <c r="H3495" s="668" t="s">
        <v>4527</v>
      </c>
      <c r="I3495" s="670">
        <v>84</v>
      </c>
      <c r="J3495" s="668" t="s">
        <v>40</v>
      </c>
      <c r="K3495" s="674">
        <f>F3495*I3495</f>
        <v>336</v>
      </c>
      <c r="L3495" s="668"/>
      <c r="M3495" s="668"/>
    </row>
    <row r="3496" spans="5:13">
      <c r="E3496" s="668"/>
      <c r="F3496" s="668">
        <v>180</v>
      </c>
      <c r="G3496" s="668" t="s">
        <v>556</v>
      </c>
      <c r="H3496" s="668" t="s">
        <v>4888</v>
      </c>
      <c r="I3496" s="670">
        <f>ROUND(6.7/12,2)</f>
        <v>0.56000000000000005</v>
      </c>
      <c r="J3496" s="668" t="s">
        <v>556</v>
      </c>
      <c r="K3496" s="674">
        <f>F3496*I3496</f>
        <v>100.80000000000001</v>
      </c>
      <c r="L3496" s="668"/>
      <c r="M3496" s="668"/>
    </row>
    <row r="3497" spans="5:13">
      <c r="E3497" s="668"/>
      <c r="F3497" s="668">
        <v>1</v>
      </c>
      <c r="G3497" s="668" t="s">
        <v>40</v>
      </c>
      <c r="H3497" s="668" t="s">
        <v>4889</v>
      </c>
      <c r="I3497" s="670">
        <v>84</v>
      </c>
      <c r="J3497" s="668" t="s">
        <v>40</v>
      </c>
      <c r="K3497" s="674">
        <f>F3497*I3497</f>
        <v>84</v>
      </c>
      <c r="L3497" s="668"/>
      <c r="M3497" s="668"/>
    </row>
    <row r="3498" spans="5:13">
      <c r="E3498" s="668"/>
      <c r="F3498" s="668"/>
      <c r="G3498" s="668"/>
      <c r="H3498" s="668" t="s">
        <v>2389</v>
      </c>
      <c r="I3498" s="668"/>
      <c r="J3498" s="668"/>
      <c r="K3498" s="674">
        <f>K3507</f>
        <v>1808</v>
      </c>
      <c r="L3498" s="668"/>
      <c r="M3498" s="668"/>
    </row>
    <row r="3499" spans="5:13">
      <c r="E3499" s="668"/>
      <c r="F3499" s="668"/>
      <c r="G3499" s="668"/>
      <c r="H3499" s="668" t="s">
        <v>4890</v>
      </c>
      <c r="I3499" s="668"/>
      <c r="J3499" s="668"/>
      <c r="K3499" s="674">
        <v>29.2</v>
      </c>
      <c r="L3499" s="668">
        <v>26.5</v>
      </c>
      <c r="M3499" s="668"/>
    </row>
    <row r="3500" spans="5:13">
      <c r="E3500" s="668"/>
      <c r="F3500" s="668"/>
      <c r="G3500" s="668"/>
      <c r="H3500" s="674" t="s">
        <v>2409</v>
      </c>
      <c r="I3500" s="668"/>
      <c r="J3500" s="668"/>
      <c r="K3500" s="674">
        <f>SUM(K3494:K3499)</f>
        <v>8028</v>
      </c>
      <c r="L3500" s="668"/>
      <c r="M3500" s="668"/>
    </row>
    <row r="3501" spans="5:13">
      <c r="E3501" s="668"/>
      <c r="F3501" s="668"/>
      <c r="G3501" s="668"/>
      <c r="H3501" s="676" t="s">
        <v>2392</v>
      </c>
      <c r="I3501" s="668"/>
      <c r="J3501" s="668"/>
      <c r="K3501" s="676">
        <f>K3500/90</f>
        <v>89.2</v>
      </c>
      <c r="L3501" s="668">
        <f>82.6*90</f>
        <v>7433.9999999999991</v>
      </c>
      <c r="M3501" s="668">
        <f>L3501-K3500</f>
        <v>-594.00000000000091</v>
      </c>
    </row>
    <row r="3502" spans="5:13">
      <c r="E3502" s="668"/>
      <c r="F3502" s="668"/>
      <c r="G3502" s="668"/>
      <c r="H3502" s="675" t="s">
        <v>2416</v>
      </c>
      <c r="I3502" s="668"/>
      <c r="J3502" s="668"/>
      <c r="K3502" s="674"/>
      <c r="L3502" s="668"/>
      <c r="M3502" s="668"/>
    </row>
    <row r="3503" spans="5:13">
      <c r="E3503" s="668"/>
      <c r="F3503" s="668">
        <v>1</v>
      </c>
      <c r="G3503" s="668" t="s">
        <v>5</v>
      </c>
      <c r="H3503" s="686" t="s">
        <v>4891</v>
      </c>
      <c r="I3503" s="668">
        <f>I2866</f>
        <v>277</v>
      </c>
      <c r="J3503" s="668" t="s">
        <v>5</v>
      </c>
      <c r="K3503" s="674">
        <f>F3503*I3503</f>
        <v>277</v>
      </c>
      <c r="L3503" s="668"/>
      <c r="M3503" s="668"/>
    </row>
    <row r="3504" spans="5:13">
      <c r="E3504" s="668"/>
      <c r="F3504" s="668">
        <v>2</v>
      </c>
      <c r="G3504" s="668" t="s">
        <v>5</v>
      </c>
      <c r="H3504" s="668" t="s">
        <v>2418</v>
      </c>
      <c r="I3504" s="668">
        <f>I2867</f>
        <v>254</v>
      </c>
      <c r="J3504" s="668" t="s">
        <v>5</v>
      </c>
      <c r="K3504" s="674">
        <f>F3504*I3504</f>
        <v>508</v>
      </c>
      <c r="L3504" s="668"/>
      <c r="M3504" s="668"/>
    </row>
    <row r="3505" spans="5:13">
      <c r="E3505" s="668"/>
      <c r="F3505" s="668">
        <v>2</v>
      </c>
      <c r="G3505" s="668" t="s">
        <v>5</v>
      </c>
      <c r="H3505" s="668" t="s">
        <v>2419</v>
      </c>
      <c r="I3505" s="668">
        <f>I2868</f>
        <v>240</v>
      </c>
      <c r="J3505" s="668" t="s">
        <v>5</v>
      </c>
      <c r="K3505" s="674">
        <f>F3505*I3505</f>
        <v>480</v>
      </c>
      <c r="L3505" s="668"/>
      <c r="M3505" s="668"/>
    </row>
    <row r="3506" spans="5:13">
      <c r="E3506" s="668"/>
      <c r="F3506" s="668">
        <v>3</v>
      </c>
      <c r="G3506" s="668" t="s">
        <v>5</v>
      </c>
      <c r="H3506" s="668" t="s">
        <v>2410</v>
      </c>
      <c r="I3506" s="668">
        <f>I2869</f>
        <v>181</v>
      </c>
      <c r="J3506" s="668" t="s">
        <v>5</v>
      </c>
      <c r="K3506" s="674">
        <f>F3506*I3506</f>
        <v>543</v>
      </c>
      <c r="L3506" s="668"/>
      <c r="M3506" s="668"/>
    </row>
    <row r="3507" spans="5:13">
      <c r="E3507" s="668"/>
      <c r="F3507" s="668"/>
      <c r="G3507" s="668"/>
      <c r="H3507" s="668"/>
      <c r="I3507" s="668"/>
      <c r="J3507" s="668"/>
      <c r="K3507" s="676">
        <f>SUM(K3503:K3506)</f>
        <v>1808</v>
      </c>
      <c r="L3507" s="668"/>
      <c r="M3507" s="668"/>
    </row>
    <row r="3508" spans="5:13">
      <c r="E3508" s="668"/>
      <c r="F3508" s="668"/>
      <c r="G3508" s="668"/>
      <c r="H3508" s="668"/>
      <c r="I3508" s="668"/>
      <c r="J3508" s="668"/>
      <c r="K3508" s="674"/>
      <c r="L3508" s="668"/>
      <c r="M3508" s="668"/>
    </row>
    <row r="3509" spans="5:13">
      <c r="E3509" s="668"/>
      <c r="F3509" s="668"/>
      <c r="G3509" s="668"/>
      <c r="H3509" s="460" t="s">
        <v>4892</v>
      </c>
      <c r="I3509" s="668"/>
      <c r="J3509" s="668"/>
      <c r="K3509" s="674"/>
      <c r="L3509" s="668"/>
      <c r="M3509" s="668"/>
    </row>
    <row r="3510" spans="5:13" ht="40.5" customHeight="1">
      <c r="E3510" s="668"/>
      <c r="F3510" s="668"/>
      <c r="G3510" s="668"/>
      <c r="H3510" s="665" t="s">
        <v>4893</v>
      </c>
      <c r="I3510" s="668"/>
      <c r="J3510" s="668"/>
      <c r="K3510" s="674"/>
      <c r="L3510" s="668"/>
      <c r="M3510" s="668"/>
    </row>
    <row r="3511" spans="5:13" ht="18" customHeight="1">
      <c r="E3511" s="668"/>
      <c r="F3511" s="668"/>
      <c r="G3511" s="668"/>
      <c r="H3511" s="668"/>
      <c r="I3511" s="668"/>
      <c r="J3511" s="668"/>
      <c r="K3511" s="674"/>
      <c r="L3511" s="668"/>
      <c r="M3511" s="668"/>
    </row>
    <row r="3512" spans="5:13" ht="57.75" customHeight="1">
      <c r="E3512" s="668"/>
      <c r="F3512" s="668"/>
      <c r="G3512" s="668"/>
      <c r="H3512" s="703" t="s">
        <v>4894</v>
      </c>
      <c r="I3512" s="668"/>
      <c r="J3512" s="668"/>
      <c r="K3512" s="674"/>
      <c r="L3512" s="668"/>
      <c r="M3512" s="668"/>
    </row>
    <row r="3513" spans="5:13">
      <c r="E3513" s="668"/>
      <c r="F3513" s="668">
        <v>1</v>
      </c>
      <c r="G3513" s="668" t="s">
        <v>12</v>
      </c>
      <c r="H3513" s="668" t="s">
        <v>5336</v>
      </c>
      <c r="I3513" s="670">
        <v>121.25</v>
      </c>
      <c r="J3513" s="668" t="s">
        <v>12</v>
      </c>
      <c r="K3513" s="674">
        <f>F3513*I3513</f>
        <v>121.25</v>
      </c>
      <c r="L3513" s="668"/>
      <c r="M3513" s="668"/>
    </row>
    <row r="3514" spans="5:13">
      <c r="E3514" s="668"/>
      <c r="F3514" s="668"/>
      <c r="G3514" s="668"/>
      <c r="H3514" s="668" t="s">
        <v>2390</v>
      </c>
      <c r="I3514" s="668"/>
      <c r="J3514" s="668"/>
      <c r="K3514" s="674">
        <v>0.75</v>
      </c>
      <c r="L3514" s="668"/>
      <c r="M3514" s="668"/>
    </row>
    <row r="3515" spans="5:13">
      <c r="E3515" s="668"/>
      <c r="F3515" s="668"/>
      <c r="G3515" s="668"/>
      <c r="H3515" s="676" t="s">
        <v>4896</v>
      </c>
      <c r="I3515" s="668"/>
      <c r="J3515" s="668"/>
      <c r="K3515" s="676">
        <f>SUM(K3513:K3514)</f>
        <v>122</v>
      </c>
      <c r="L3515" s="668"/>
      <c r="M3515" s="668"/>
    </row>
    <row r="3516" spans="5:13">
      <c r="E3516" s="668"/>
      <c r="F3516" s="668"/>
      <c r="G3516" s="668"/>
      <c r="H3516" s="668"/>
      <c r="I3516" s="668"/>
      <c r="J3516" s="668"/>
      <c r="K3516" s="674"/>
      <c r="L3516" s="668"/>
      <c r="M3516" s="668"/>
    </row>
    <row r="3517" spans="5:13">
      <c r="E3517" s="668"/>
      <c r="F3517" s="668"/>
      <c r="G3517" s="668"/>
      <c r="H3517" s="460" t="s">
        <v>4897</v>
      </c>
      <c r="I3517" s="668"/>
      <c r="J3517" s="668"/>
      <c r="K3517" s="674"/>
      <c r="L3517" s="668"/>
      <c r="M3517" s="668"/>
    </row>
    <row r="3518" spans="5:13">
      <c r="E3518" s="668"/>
      <c r="F3518" s="668"/>
      <c r="G3518" s="668"/>
      <c r="H3518" s="460" t="s">
        <v>4898</v>
      </c>
      <c r="I3518" s="668"/>
      <c r="J3518" s="668"/>
      <c r="K3518" s="674"/>
      <c r="L3518" s="668"/>
      <c r="M3518" s="668"/>
    </row>
    <row r="3519" spans="5:13">
      <c r="E3519" s="668"/>
      <c r="F3519" s="668"/>
      <c r="G3519" s="668"/>
      <c r="H3519" s="668"/>
      <c r="I3519" s="668"/>
      <c r="J3519" s="668"/>
      <c r="K3519" s="674"/>
      <c r="L3519" s="668"/>
      <c r="M3519" s="668"/>
    </row>
    <row r="3520" spans="5:13" ht="56.25" customHeight="1">
      <c r="E3520" s="668"/>
      <c r="F3520" s="668"/>
      <c r="G3520" s="668"/>
      <c r="H3520" s="703" t="s">
        <v>4899</v>
      </c>
      <c r="I3520" s="668"/>
      <c r="J3520" s="668"/>
      <c r="K3520" s="674"/>
      <c r="L3520" s="668"/>
      <c r="M3520" s="668"/>
    </row>
    <row r="3521" spans="5:13">
      <c r="E3521" s="668"/>
      <c r="F3521" s="668">
        <v>1</v>
      </c>
      <c r="G3521" s="668" t="s">
        <v>12</v>
      </c>
      <c r="H3521" s="668" t="s">
        <v>5337</v>
      </c>
      <c r="I3521" s="670">
        <v>48</v>
      </c>
      <c r="J3521" s="668" t="s">
        <v>4125</v>
      </c>
      <c r="K3521" s="674">
        <f>F3522*I3521</f>
        <v>156</v>
      </c>
      <c r="L3521" s="668"/>
      <c r="M3521" s="668"/>
    </row>
    <row r="3522" spans="5:13">
      <c r="E3522" s="668"/>
      <c r="F3522" s="668">
        <v>3.25</v>
      </c>
      <c r="G3522" s="668" t="s">
        <v>2404</v>
      </c>
      <c r="H3522" s="668"/>
      <c r="I3522" s="668"/>
      <c r="J3522" s="668"/>
      <c r="K3522" s="674"/>
      <c r="L3522" s="668"/>
      <c r="M3522" s="668"/>
    </row>
    <row r="3523" spans="5:13">
      <c r="E3523" s="668"/>
      <c r="F3523" s="668"/>
      <c r="G3523" s="668"/>
      <c r="H3523" s="668" t="s">
        <v>2390</v>
      </c>
      <c r="I3523" s="668"/>
      <c r="J3523" s="668"/>
      <c r="K3523" s="674">
        <v>0.5</v>
      </c>
      <c r="L3523" s="668"/>
      <c r="M3523" s="668"/>
    </row>
    <row r="3524" spans="5:13">
      <c r="E3524" s="668"/>
      <c r="F3524" s="668"/>
      <c r="G3524" s="668"/>
      <c r="H3524" s="676" t="s">
        <v>2405</v>
      </c>
      <c r="I3524" s="668"/>
      <c r="J3524" s="668"/>
      <c r="K3524" s="676">
        <f>SUM(K3521:K3523)</f>
        <v>156.5</v>
      </c>
      <c r="L3524" s="668"/>
      <c r="M3524" s="668"/>
    </row>
    <row r="3525" spans="5:13">
      <c r="E3525" s="668"/>
      <c r="F3525" s="668"/>
      <c r="G3525" s="668"/>
      <c r="H3525" s="676"/>
      <c r="I3525" s="668"/>
      <c r="J3525" s="668"/>
      <c r="K3525" s="676"/>
      <c r="L3525" s="668"/>
      <c r="M3525" s="668"/>
    </row>
    <row r="3526" spans="5:13">
      <c r="E3526" s="668"/>
      <c r="F3526" s="668"/>
      <c r="G3526" s="668"/>
      <c r="H3526" s="460" t="s">
        <v>4901</v>
      </c>
      <c r="I3526" s="668"/>
      <c r="J3526" s="668"/>
      <c r="K3526" s="674"/>
      <c r="L3526" s="668"/>
      <c r="M3526" s="668"/>
    </row>
    <row r="3527" spans="5:13">
      <c r="E3527" s="668"/>
      <c r="F3527" s="668"/>
      <c r="G3527" s="668"/>
      <c r="H3527" s="668"/>
      <c r="I3527" s="668"/>
      <c r="J3527" s="668"/>
      <c r="K3527" s="674"/>
      <c r="L3527" s="668"/>
      <c r="M3527" s="668"/>
    </row>
    <row r="3528" spans="5:13" ht="51" customHeight="1">
      <c r="E3528" s="668"/>
      <c r="F3528" s="668"/>
      <c r="G3528" s="668"/>
      <c r="H3528" s="665" t="s">
        <v>1143</v>
      </c>
      <c r="I3528" s="668"/>
      <c r="J3528" s="668"/>
      <c r="K3528" s="674"/>
      <c r="L3528" s="668"/>
      <c r="M3528" s="668"/>
    </row>
    <row r="3529" spans="5:13">
      <c r="E3529" s="668"/>
      <c r="F3529" s="668"/>
      <c r="G3529" s="668"/>
      <c r="H3529" s="668"/>
      <c r="I3529" s="668"/>
      <c r="J3529" s="668"/>
      <c r="K3529" s="674"/>
      <c r="L3529" s="668"/>
      <c r="M3529" s="668"/>
    </row>
    <row r="3530" spans="5:13" ht="135.75" customHeight="1">
      <c r="E3530" s="668"/>
      <c r="F3530" s="668"/>
      <c r="G3530" s="668"/>
      <c r="H3530" s="703" t="s">
        <v>5338</v>
      </c>
      <c r="I3530" s="668"/>
      <c r="J3530" s="668"/>
      <c r="K3530" s="674"/>
      <c r="L3530" s="668"/>
      <c r="M3530" s="668"/>
    </row>
    <row r="3531" spans="5:13">
      <c r="E3531" s="668"/>
      <c r="F3531" s="668"/>
      <c r="G3531" s="668"/>
      <c r="H3531" s="668"/>
      <c r="I3531" s="668"/>
      <c r="J3531" s="668"/>
      <c r="K3531" s="674"/>
      <c r="L3531" s="668"/>
      <c r="M3531" s="668"/>
    </row>
    <row r="3532" spans="5:13" ht="40.5" customHeight="1">
      <c r="E3532" s="668"/>
      <c r="F3532" s="668">
        <v>360</v>
      </c>
      <c r="G3532" s="668" t="s">
        <v>12</v>
      </c>
      <c r="H3532" s="667" t="s">
        <v>4903</v>
      </c>
      <c r="I3532" s="668">
        <f>I3494</f>
        <v>31.5</v>
      </c>
      <c r="J3532" s="668" t="s">
        <v>12</v>
      </c>
      <c r="K3532" s="674">
        <f>F3532*I3532</f>
        <v>11340</v>
      </c>
      <c r="L3532" s="668"/>
      <c r="M3532" s="668"/>
    </row>
    <row r="3533" spans="5:13">
      <c r="E3533" s="668"/>
      <c r="F3533" s="668">
        <v>4</v>
      </c>
      <c r="G3533" s="668" t="s">
        <v>40</v>
      </c>
      <c r="H3533" s="668" t="s">
        <v>4527</v>
      </c>
      <c r="I3533" s="668">
        <f>I3495</f>
        <v>84</v>
      </c>
      <c r="J3533" s="668" t="s">
        <v>40</v>
      </c>
      <c r="K3533" s="674">
        <f>F3533*I3533</f>
        <v>336</v>
      </c>
      <c r="L3533" s="668"/>
      <c r="M3533" s="668"/>
    </row>
    <row r="3534" spans="5:13">
      <c r="E3534" s="668"/>
      <c r="F3534" s="668">
        <v>360</v>
      </c>
      <c r="G3534" s="668" t="s">
        <v>556</v>
      </c>
      <c r="H3534" s="668" t="s">
        <v>4888</v>
      </c>
      <c r="I3534" s="668">
        <f>I3496</f>
        <v>0.56000000000000005</v>
      </c>
      <c r="J3534" s="668" t="s">
        <v>556</v>
      </c>
      <c r="K3534" s="674">
        <f>F3534*I3534</f>
        <v>201.60000000000002</v>
      </c>
      <c r="L3534" s="668"/>
      <c r="M3534" s="668"/>
    </row>
    <row r="3535" spans="5:13">
      <c r="E3535" s="668"/>
      <c r="F3535" s="668">
        <v>1.5</v>
      </c>
      <c r="G3535" s="668" t="s">
        <v>40</v>
      </c>
      <c r="H3535" s="668" t="s">
        <v>4889</v>
      </c>
      <c r="I3535" s="668">
        <f>I3497</f>
        <v>84</v>
      </c>
      <c r="J3535" s="668" t="s">
        <v>40</v>
      </c>
      <c r="K3535" s="674">
        <f>F3535*I3535</f>
        <v>126</v>
      </c>
      <c r="L3535" s="668"/>
      <c r="M3535" s="668"/>
    </row>
    <row r="3536" spans="5:13">
      <c r="E3536" s="668"/>
      <c r="F3536" s="668"/>
      <c r="G3536" s="668"/>
      <c r="H3536" s="668" t="s">
        <v>4904</v>
      </c>
      <c r="I3536" s="668"/>
      <c r="J3536" s="668"/>
      <c r="K3536" s="674">
        <f>K3507*1.5</f>
        <v>2712</v>
      </c>
      <c r="L3536" s="668"/>
      <c r="M3536" s="668"/>
    </row>
    <row r="3537" spans="5:13">
      <c r="E3537" s="668"/>
      <c r="F3537" s="668"/>
      <c r="G3537" s="668"/>
      <c r="H3537" s="668" t="s">
        <v>4890</v>
      </c>
      <c r="I3537" s="668"/>
      <c r="J3537" s="668"/>
      <c r="K3537" s="674">
        <v>26.4</v>
      </c>
      <c r="L3537" s="668">
        <f>147.5*90</f>
        <v>13275</v>
      </c>
      <c r="M3537" s="668"/>
    </row>
    <row r="3538" spans="5:13">
      <c r="E3538" s="668"/>
      <c r="F3538" s="668"/>
      <c r="G3538" s="668"/>
      <c r="H3538" s="674" t="s">
        <v>2409</v>
      </c>
      <c r="I3538" s="668"/>
      <c r="J3538" s="668"/>
      <c r="K3538" s="674">
        <f>SUM(K3532:K3537)</f>
        <v>14742</v>
      </c>
      <c r="L3538" s="668"/>
      <c r="M3538" s="668"/>
    </row>
    <row r="3539" spans="5:13">
      <c r="E3539" s="668"/>
      <c r="F3539" s="668"/>
      <c r="G3539" s="668"/>
      <c r="H3539" s="676" t="s">
        <v>2392</v>
      </c>
      <c r="I3539" s="668"/>
      <c r="J3539" s="668"/>
      <c r="K3539" s="676">
        <f>K3538/90</f>
        <v>163.80000000000001</v>
      </c>
      <c r="L3539" s="668"/>
      <c r="M3539" s="668"/>
    </row>
    <row r="3540" spans="5:13">
      <c r="E3540" s="668"/>
      <c r="F3540" s="668"/>
      <c r="G3540" s="668"/>
      <c r="H3540" s="668"/>
      <c r="I3540" s="668"/>
      <c r="J3540" s="668"/>
      <c r="K3540" s="674"/>
      <c r="L3540" s="668"/>
      <c r="M3540" s="668"/>
    </row>
    <row r="3541" spans="5:13">
      <c r="E3541" s="668"/>
      <c r="F3541" s="668"/>
      <c r="G3541" s="668"/>
      <c r="H3541" s="460" t="s">
        <v>4905</v>
      </c>
      <c r="I3541" s="668"/>
      <c r="J3541" s="668"/>
      <c r="K3541" s="674"/>
      <c r="L3541" s="668"/>
      <c r="M3541" s="668"/>
    </row>
    <row r="3542" spans="5:13" ht="40.5" customHeight="1">
      <c r="E3542" s="668"/>
      <c r="F3542" s="668"/>
      <c r="G3542" s="668"/>
      <c r="H3542" s="665" t="s">
        <v>4906</v>
      </c>
      <c r="I3542" s="668"/>
      <c r="J3542" s="668"/>
      <c r="K3542" s="674"/>
      <c r="L3542" s="668"/>
      <c r="M3542" s="668"/>
    </row>
    <row r="3543" spans="5:13">
      <c r="E3543" s="668"/>
      <c r="F3543" s="668"/>
      <c r="G3543" s="668"/>
      <c r="H3543" s="668"/>
      <c r="I3543" s="668"/>
      <c r="J3543" s="668"/>
      <c r="K3543" s="674"/>
      <c r="L3543" s="668"/>
      <c r="M3543" s="668"/>
    </row>
    <row r="3544" spans="5:13" ht="54.75" customHeight="1">
      <c r="E3544" s="668"/>
      <c r="F3544" s="668"/>
      <c r="G3544" s="668"/>
      <c r="H3544" s="703" t="s">
        <v>4907</v>
      </c>
      <c r="I3544" s="668"/>
      <c r="J3544" s="668"/>
      <c r="K3544" s="674"/>
      <c r="L3544" s="668"/>
      <c r="M3544" s="668"/>
    </row>
    <row r="3545" spans="5:13">
      <c r="E3545" s="668"/>
      <c r="F3545" s="668">
        <v>1</v>
      </c>
      <c r="G3545" s="668" t="s">
        <v>12</v>
      </c>
      <c r="H3545" s="668" t="s">
        <v>5339</v>
      </c>
      <c r="I3545" s="668">
        <v>154.35</v>
      </c>
      <c r="J3545" s="668" t="s">
        <v>12</v>
      </c>
      <c r="K3545" s="674">
        <f>F3545*I3545</f>
        <v>154.35</v>
      </c>
      <c r="L3545" s="668"/>
      <c r="M3545" s="668"/>
    </row>
    <row r="3546" spans="5:13">
      <c r="E3546" s="668"/>
      <c r="F3546" s="668"/>
      <c r="G3546" s="668"/>
      <c r="H3546" s="668" t="s">
        <v>2390</v>
      </c>
      <c r="I3546" s="668"/>
      <c r="J3546" s="668"/>
      <c r="K3546" s="674">
        <v>0.65</v>
      </c>
      <c r="L3546" s="668"/>
      <c r="M3546" s="668"/>
    </row>
    <row r="3547" spans="5:13">
      <c r="E3547" s="668"/>
      <c r="F3547" s="668"/>
      <c r="G3547" s="668"/>
      <c r="H3547" s="676" t="s">
        <v>4896</v>
      </c>
      <c r="I3547" s="668"/>
      <c r="J3547" s="668"/>
      <c r="K3547" s="676">
        <f>SUM(K3545:K3546)</f>
        <v>155</v>
      </c>
      <c r="L3547" s="668"/>
      <c r="M3547" s="668"/>
    </row>
    <row r="3548" spans="5:13">
      <c r="E3548" s="668"/>
      <c r="F3548" s="668"/>
      <c r="G3548" s="668"/>
      <c r="H3548" s="668"/>
      <c r="I3548" s="668"/>
      <c r="J3548" s="668"/>
      <c r="K3548" s="674"/>
      <c r="L3548" s="668"/>
      <c r="M3548" s="668"/>
    </row>
    <row r="3549" spans="5:13">
      <c r="E3549" s="668"/>
      <c r="F3549" s="668"/>
      <c r="G3549" s="668"/>
      <c r="H3549" s="460" t="s">
        <v>4908</v>
      </c>
      <c r="I3549" s="668"/>
      <c r="J3549" s="668"/>
      <c r="K3549" s="674"/>
      <c r="L3549" s="668"/>
      <c r="M3549" s="668"/>
    </row>
    <row r="3550" spans="5:13">
      <c r="E3550" s="668"/>
      <c r="F3550" s="668"/>
      <c r="G3550" s="668"/>
      <c r="H3550" s="460" t="s">
        <v>4898</v>
      </c>
      <c r="I3550" s="668"/>
      <c r="J3550" s="668"/>
      <c r="K3550" s="674"/>
      <c r="L3550" s="668"/>
      <c r="M3550" s="668"/>
    </row>
    <row r="3551" spans="5:13">
      <c r="E3551" s="668"/>
      <c r="F3551" s="668"/>
      <c r="G3551" s="668"/>
      <c r="H3551" s="668"/>
      <c r="I3551" s="668"/>
      <c r="J3551" s="668"/>
      <c r="K3551" s="674"/>
      <c r="L3551" s="668"/>
      <c r="M3551" s="668"/>
    </row>
    <row r="3552" spans="5:13" ht="47.25">
      <c r="E3552" s="668"/>
      <c r="F3552" s="668"/>
      <c r="G3552" s="668"/>
      <c r="H3552" s="703" t="s">
        <v>4899</v>
      </c>
      <c r="I3552" s="668"/>
      <c r="J3552" s="668"/>
      <c r="K3552" s="674"/>
      <c r="L3552" s="668"/>
      <c r="M3552" s="668"/>
    </row>
    <row r="3553" spans="5:13">
      <c r="E3553" s="668"/>
      <c r="F3553" s="668">
        <v>1</v>
      </c>
      <c r="G3553" s="668" t="s">
        <v>12</v>
      </c>
      <c r="H3553" s="668" t="s">
        <v>5337</v>
      </c>
      <c r="I3553" s="670">
        <f>I3521</f>
        <v>48</v>
      </c>
      <c r="J3553" s="668" t="s">
        <v>4125</v>
      </c>
      <c r="K3553" s="674">
        <f>F3554*I3553</f>
        <v>156</v>
      </c>
      <c r="L3553" s="668"/>
      <c r="M3553" s="668"/>
    </row>
    <row r="3554" spans="5:13">
      <c r="E3554" s="668"/>
      <c r="F3554" s="668">
        <v>3.25</v>
      </c>
      <c r="G3554" s="668" t="s">
        <v>2404</v>
      </c>
      <c r="H3554" s="668"/>
      <c r="I3554" s="668"/>
      <c r="J3554" s="668"/>
      <c r="K3554" s="674"/>
      <c r="L3554" s="668"/>
      <c r="M3554" s="668"/>
    </row>
    <row r="3555" spans="5:13">
      <c r="E3555" s="668"/>
      <c r="F3555" s="668"/>
      <c r="G3555" s="668"/>
      <c r="H3555" s="668" t="s">
        <v>2390</v>
      </c>
      <c r="I3555" s="668"/>
      <c r="J3555" s="668"/>
      <c r="K3555" s="674">
        <v>0.5</v>
      </c>
      <c r="L3555" s="668"/>
      <c r="M3555" s="668"/>
    </row>
    <row r="3556" spans="5:13">
      <c r="E3556" s="668"/>
      <c r="F3556" s="668"/>
      <c r="G3556" s="668"/>
      <c r="H3556" s="676" t="s">
        <v>2405</v>
      </c>
      <c r="I3556" s="668"/>
      <c r="J3556" s="668"/>
      <c r="K3556" s="676">
        <f>SUM(K3553:K3555)</f>
        <v>156.5</v>
      </c>
      <c r="L3556" s="668"/>
      <c r="M3556" s="668"/>
    </row>
    <row r="3557" spans="5:13">
      <c r="E3557" s="668"/>
      <c r="F3557" s="668"/>
      <c r="G3557" s="668"/>
      <c r="H3557" s="668"/>
      <c r="I3557" s="668"/>
      <c r="J3557" s="668"/>
      <c r="K3557" s="674"/>
      <c r="L3557" s="668"/>
      <c r="M3557" s="668"/>
    </row>
    <row r="3558" spans="5:13">
      <c r="E3558" s="668"/>
      <c r="F3558" s="668"/>
      <c r="G3558" s="668"/>
      <c r="H3558" s="460" t="s">
        <v>1540</v>
      </c>
      <c r="I3558" s="668"/>
      <c r="J3558" s="668"/>
      <c r="K3558" s="674"/>
      <c r="L3558" s="668"/>
      <c r="M3558" s="668"/>
    </row>
    <row r="3559" spans="5:13">
      <c r="E3559" s="668"/>
      <c r="F3559" s="668"/>
      <c r="G3559" s="668"/>
      <c r="H3559" s="668"/>
      <c r="I3559" s="668"/>
      <c r="J3559" s="668"/>
      <c r="K3559" s="674"/>
      <c r="L3559" s="668"/>
      <c r="M3559" s="668"/>
    </row>
    <row r="3560" spans="5:13" ht="90" customHeight="1">
      <c r="E3560" s="668"/>
      <c r="F3560" s="668"/>
      <c r="G3560" s="668"/>
      <c r="H3560" s="703" t="s">
        <v>4909</v>
      </c>
      <c r="I3560" s="668"/>
      <c r="J3560" s="668"/>
      <c r="K3560" s="674"/>
      <c r="L3560" s="668"/>
      <c r="M3560" s="668"/>
    </row>
    <row r="3561" spans="5:13">
      <c r="E3561" s="668"/>
      <c r="F3561" s="668">
        <v>30.42</v>
      </c>
      <c r="G3561" s="668" t="s">
        <v>19</v>
      </c>
      <c r="H3561" s="668" t="s">
        <v>5340</v>
      </c>
      <c r="I3561" s="670">
        <v>89.87</v>
      </c>
      <c r="J3561" s="668" t="s">
        <v>19</v>
      </c>
      <c r="K3561" s="674">
        <f>F3561*I3561</f>
        <v>2733.8454000000002</v>
      </c>
      <c r="L3561" s="668">
        <f>77.07+12.8</f>
        <v>89.86999999999999</v>
      </c>
      <c r="M3561" s="668"/>
    </row>
    <row r="3562" spans="5:13">
      <c r="E3562" s="668"/>
      <c r="F3562" s="668">
        <v>6.1</v>
      </c>
      <c r="G3562" s="668" t="s">
        <v>19</v>
      </c>
      <c r="H3562" s="668" t="s">
        <v>5292</v>
      </c>
      <c r="I3562" s="668">
        <v>110</v>
      </c>
      <c r="J3562" s="668" t="s">
        <v>19</v>
      </c>
      <c r="K3562" s="674">
        <f>F3562*I3562</f>
        <v>671</v>
      </c>
      <c r="L3562" s="668"/>
      <c r="M3562" s="668"/>
    </row>
    <row r="3563" spans="5:13">
      <c r="E3563" s="668"/>
      <c r="F3563" s="668">
        <v>750</v>
      </c>
      <c r="G3563" s="668" t="s">
        <v>5</v>
      </c>
      <c r="H3563" s="668" t="s">
        <v>5341</v>
      </c>
      <c r="I3563" s="670">
        <v>3625</v>
      </c>
      <c r="J3563" s="668" t="s">
        <v>2408</v>
      </c>
      <c r="K3563" s="674">
        <f>F3563*(I3563/1000)</f>
        <v>2718.75</v>
      </c>
      <c r="L3563" s="668"/>
      <c r="M3563" s="668"/>
    </row>
    <row r="3564" spans="5:13">
      <c r="E3564" s="668"/>
      <c r="F3564" s="668"/>
      <c r="G3564" s="668"/>
      <c r="H3564" s="668" t="s">
        <v>2389</v>
      </c>
      <c r="I3564" s="668"/>
      <c r="J3564" s="668"/>
      <c r="K3564" s="674">
        <f>K3573</f>
        <v>1255</v>
      </c>
      <c r="L3564" s="668">
        <f>K3564/90</f>
        <v>13.944444444444445</v>
      </c>
      <c r="M3564" s="668"/>
    </row>
    <row r="3565" spans="5:13">
      <c r="E3565" s="668"/>
      <c r="F3565" s="668"/>
      <c r="G3565" s="668"/>
      <c r="H3565" s="668" t="s">
        <v>2390</v>
      </c>
      <c r="I3565" s="668"/>
      <c r="J3565" s="668"/>
      <c r="K3565" s="674">
        <f>16+1.11+2.29</f>
        <v>19.399999999999999</v>
      </c>
      <c r="L3565" s="668"/>
      <c r="M3565" s="668"/>
    </row>
    <row r="3566" spans="5:13">
      <c r="E3566" s="668"/>
      <c r="F3566" s="668"/>
      <c r="G3566" s="668"/>
      <c r="H3566" s="674" t="s">
        <v>2409</v>
      </c>
      <c r="I3566" s="668"/>
      <c r="J3566" s="668"/>
      <c r="K3566" s="674">
        <f>SUM(K3561:K3565)</f>
        <v>7397.9953999999998</v>
      </c>
      <c r="L3566" s="668">
        <f>70.8*90</f>
        <v>6372</v>
      </c>
      <c r="M3566" s="668"/>
    </row>
    <row r="3567" spans="5:13">
      <c r="E3567" s="668"/>
      <c r="F3567" s="668"/>
      <c r="G3567" s="668"/>
      <c r="H3567" s="676" t="s">
        <v>2392</v>
      </c>
      <c r="I3567" s="668"/>
      <c r="J3567" s="668"/>
      <c r="K3567" s="676">
        <f>K3566/90</f>
        <v>82.199948888888883</v>
      </c>
      <c r="L3567" s="668">
        <f>82.2*90</f>
        <v>7398</v>
      </c>
      <c r="M3567" s="668"/>
    </row>
    <row r="3568" spans="5:13">
      <c r="E3568" s="668"/>
      <c r="F3568" s="668"/>
      <c r="G3568" s="668"/>
      <c r="H3568" s="668"/>
      <c r="I3568" s="668"/>
      <c r="J3568" s="668"/>
      <c r="K3568" s="674"/>
      <c r="L3568" s="668">
        <f>L3567-K3566</f>
        <v>4.6000000002095476E-3</v>
      </c>
      <c r="M3568" s="668"/>
    </row>
    <row r="3569" spans="5:13">
      <c r="E3569" s="668"/>
      <c r="F3569" s="668"/>
      <c r="G3569" s="668"/>
      <c r="H3569" s="675" t="s">
        <v>2401</v>
      </c>
      <c r="K3569" s="674"/>
      <c r="L3569" s="668"/>
      <c r="M3569" s="668"/>
    </row>
    <row r="3570" spans="5:13">
      <c r="E3570" s="668"/>
      <c r="F3570" s="668">
        <v>1</v>
      </c>
      <c r="G3570" s="668" t="s">
        <v>5</v>
      </c>
      <c r="H3570" s="686" t="s">
        <v>4891</v>
      </c>
      <c r="I3570" s="522">
        <f>I3503</f>
        <v>277</v>
      </c>
      <c r="J3570" s="668" t="s">
        <v>5</v>
      </c>
      <c r="K3570" s="674">
        <f>F3570*I3570</f>
        <v>277</v>
      </c>
      <c r="L3570" s="668"/>
      <c r="M3570" s="668"/>
    </row>
    <row r="3571" spans="5:13">
      <c r="E3571" s="668"/>
      <c r="F3571" s="668">
        <v>1</v>
      </c>
      <c r="G3571" s="668" t="s">
        <v>5</v>
      </c>
      <c r="H3571" s="668" t="s">
        <v>2418</v>
      </c>
      <c r="I3571" s="522">
        <f>I3504</f>
        <v>254</v>
      </c>
      <c r="J3571" s="668" t="s">
        <v>5</v>
      </c>
      <c r="K3571" s="674">
        <f>F3571*I3571</f>
        <v>254</v>
      </c>
      <c r="L3571" s="668"/>
      <c r="M3571" s="668"/>
    </row>
    <row r="3572" spans="5:13">
      <c r="E3572" s="668"/>
      <c r="F3572" s="668">
        <v>4</v>
      </c>
      <c r="G3572" s="668" t="s">
        <v>5</v>
      </c>
      <c r="H3572" s="668" t="s">
        <v>2410</v>
      </c>
      <c r="I3572" s="668">
        <f>I3506</f>
        <v>181</v>
      </c>
      <c r="J3572" s="668" t="s">
        <v>5</v>
      </c>
      <c r="K3572" s="674">
        <f>F3572*I3572</f>
        <v>724</v>
      </c>
      <c r="L3572" s="668"/>
      <c r="M3572" s="668"/>
    </row>
    <row r="3573" spans="5:13">
      <c r="E3573" s="668"/>
      <c r="F3573" s="668"/>
      <c r="G3573" s="668"/>
      <c r="H3573" s="668"/>
      <c r="I3573" s="668"/>
      <c r="J3573" s="668"/>
      <c r="K3573" s="676">
        <f>SUM(K3570:K3572)</f>
        <v>1255</v>
      </c>
      <c r="L3573" s="668"/>
      <c r="M3573" s="668"/>
    </row>
    <row r="3574" spans="5:13">
      <c r="E3574" s="668"/>
      <c r="F3574" s="668"/>
      <c r="G3574" s="668"/>
      <c r="H3574" s="460" t="s">
        <v>2411</v>
      </c>
      <c r="I3574" s="668"/>
      <c r="J3574" s="668"/>
      <c r="K3574" s="674"/>
      <c r="L3574" s="668"/>
      <c r="M3574" s="668"/>
    </row>
    <row r="3575" spans="5:13">
      <c r="E3575" s="668"/>
      <c r="F3575" s="668"/>
      <c r="G3575" s="668"/>
      <c r="H3575" s="668"/>
      <c r="I3575" s="668"/>
      <c r="J3575" s="668"/>
      <c r="K3575" s="674"/>
      <c r="L3575" s="668"/>
      <c r="M3575" s="668"/>
    </row>
    <row r="3576" spans="5:13">
      <c r="E3576" s="668"/>
      <c r="F3576" s="668"/>
      <c r="G3576" s="668"/>
      <c r="H3576" s="460" t="s">
        <v>1541</v>
      </c>
      <c r="I3576" s="668"/>
      <c r="J3576" s="668"/>
      <c r="K3576" s="674"/>
      <c r="L3576" s="668"/>
      <c r="M3576" s="668"/>
    </row>
    <row r="3577" spans="5:13" ht="78.75">
      <c r="E3577" s="668"/>
      <c r="F3577" s="668"/>
      <c r="G3577" s="668"/>
      <c r="H3577" s="703" t="s">
        <v>2412</v>
      </c>
      <c r="I3577" s="668"/>
      <c r="J3577" s="668"/>
      <c r="K3577" s="674"/>
      <c r="L3577" s="668"/>
      <c r="M3577" s="668"/>
    </row>
    <row r="3578" spans="5:13">
      <c r="E3578" s="668"/>
      <c r="F3578" s="668">
        <v>1</v>
      </c>
      <c r="G3578" s="668" t="s">
        <v>2413</v>
      </c>
      <c r="H3578" s="668" t="s">
        <v>5342</v>
      </c>
      <c r="I3578" s="670">
        <v>68.2</v>
      </c>
      <c r="J3578" s="668" t="s">
        <v>2413</v>
      </c>
      <c r="K3578" s="674">
        <f>F3578*I3578</f>
        <v>68.2</v>
      </c>
      <c r="L3578" s="668"/>
      <c r="M3578" s="668"/>
    </row>
    <row r="3579" spans="5:13">
      <c r="E3579" s="668"/>
      <c r="F3579" s="668">
        <v>300</v>
      </c>
      <c r="G3579" s="668" t="s">
        <v>5</v>
      </c>
      <c r="H3579" s="668" t="s">
        <v>5343</v>
      </c>
      <c r="I3579" s="670">
        <v>78.7</v>
      </c>
      <c r="J3579" s="668" t="s">
        <v>2413</v>
      </c>
      <c r="K3579" s="674">
        <f>F3579*(I3579/144)</f>
        <v>163.95833333333334</v>
      </c>
      <c r="L3579" s="668"/>
      <c r="M3579" s="668"/>
    </row>
    <row r="3580" spans="5:13">
      <c r="E3580" s="668"/>
      <c r="F3580" s="668">
        <v>300</v>
      </c>
      <c r="G3580" s="668" t="s">
        <v>5</v>
      </c>
      <c r="H3580" s="668" t="s">
        <v>5344</v>
      </c>
      <c r="I3580" s="670">
        <v>325</v>
      </c>
      <c r="J3580" s="668" t="s">
        <v>2408</v>
      </c>
      <c r="K3580" s="674">
        <f>F3580*(I3580/1000)</f>
        <v>97.5</v>
      </c>
      <c r="L3580" s="668"/>
      <c r="M3580" s="668"/>
    </row>
    <row r="3581" spans="5:13">
      <c r="E3581" s="668"/>
      <c r="F3581" s="668"/>
      <c r="G3581" s="668"/>
      <c r="H3581" s="668" t="s">
        <v>2414</v>
      </c>
      <c r="I3581" s="668"/>
      <c r="J3581" s="668"/>
      <c r="K3581" s="674">
        <v>17.34</v>
      </c>
      <c r="L3581" s="668">
        <f>45.2*90</f>
        <v>4068.0000000000005</v>
      </c>
      <c r="M3581" s="668"/>
    </row>
    <row r="3582" spans="5:13">
      <c r="E3582" s="668"/>
      <c r="F3582" s="668"/>
      <c r="G3582" s="668"/>
      <c r="H3582" s="668" t="s">
        <v>2389</v>
      </c>
      <c r="I3582" s="668"/>
      <c r="J3582" s="668"/>
      <c r="K3582" s="674">
        <f>K3592</f>
        <v>4486</v>
      </c>
      <c r="L3582" s="668">
        <f>36.5*90</f>
        <v>3285</v>
      </c>
      <c r="M3582" s="668"/>
    </row>
    <row r="3583" spans="5:13">
      <c r="E3583" s="668"/>
      <c r="F3583" s="668"/>
      <c r="G3583" s="668"/>
      <c r="H3583" s="674" t="s">
        <v>2415</v>
      </c>
      <c r="I3583" s="668"/>
      <c r="J3583" s="668"/>
      <c r="K3583" s="856">
        <f>SUM(K3578:K3582)</f>
        <v>4832.998333333333</v>
      </c>
      <c r="L3583" s="668">
        <f>L3582-K3583</f>
        <v>-1547.998333333333</v>
      </c>
      <c r="M3583" s="668"/>
    </row>
    <row r="3584" spans="5:13">
      <c r="E3584" s="668"/>
      <c r="F3584" s="668"/>
      <c r="G3584" s="668"/>
      <c r="H3584" s="676" t="s">
        <v>2405</v>
      </c>
      <c r="I3584" s="668"/>
      <c r="J3584" s="668"/>
      <c r="K3584" s="676">
        <f>K3583/90</f>
        <v>53.69998148148148</v>
      </c>
      <c r="L3584" s="668"/>
      <c r="M3584" s="668"/>
    </row>
    <row r="3585" spans="5:13">
      <c r="E3585" s="668"/>
      <c r="F3585" s="668"/>
      <c r="G3585" s="668"/>
      <c r="H3585" s="668"/>
      <c r="I3585" s="668"/>
      <c r="J3585" s="668"/>
      <c r="K3585" s="674"/>
      <c r="L3585" s="668"/>
      <c r="M3585" s="668"/>
    </row>
    <row r="3586" spans="5:13">
      <c r="E3586" s="668"/>
      <c r="F3586" s="668"/>
      <c r="G3586" s="668"/>
      <c r="H3586" s="675" t="s">
        <v>2416</v>
      </c>
      <c r="I3586" s="668"/>
      <c r="J3586" s="668"/>
      <c r="K3586" s="674"/>
      <c r="L3586" s="668"/>
      <c r="M3586" s="668"/>
    </row>
    <row r="3587" spans="5:13">
      <c r="E3587" s="668"/>
      <c r="F3587" s="668">
        <v>1</v>
      </c>
      <c r="G3587" s="668" t="s">
        <v>5</v>
      </c>
      <c r="H3587" s="686" t="s">
        <v>2417</v>
      </c>
      <c r="I3587" s="670">
        <f>I3354</f>
        <v>291</v>
      </c>
      <c r="J3587" s="668" t="s">
        <v>5</v>
      </c>
      <c r="K3587" s="674">
        <f>F3587*I3587</f>
        <v>291</v>
      </c>
      <c r="L3587" s="668"/>
      <c r="M3587" s="668"/>
    </row>
    <row r="3588" spans="5:13">
      <c r="E3588" s="668"/>
      <c r="F3588" s="668">
        <v>2</v>
      </c>
      <c r="G3588" s="668" t="s">
        <v>5</v>
      </c>
      <c r="H3588" s="668" t="s">
        <v>2418</v>
      </c>
      <c r="I3588" s="668">
        <f>I3504</f>
        <v>254</v>
      </c>
      <c r="J3588" s="668" t="s">
        <v>5</v>
      </c>
      <c r="K3588" s="674">
        <f>F3588*I3588</f>
        <v>508</v>
      </c>
      <c r="L3588" s="668"/>
      <c r="M3588" s="668"/>
    </row>
    <row r="3589" spans="5:13">
      <c r="E3589" s="668"/>
      <c r="F3589" s="668">
        <v>3</v>
      </c>
      <c r="G3589" s="668" t="s">
        <v>5</v>
      </c>
      <c r="H3589" s="668" t="s">
        <v>2419</v>
      </c>
      <c r="I3589" s="668">
        <f>I3505</f>
        <v>240</v>
      </c>
      <c r="J3589" s="668" t="s">
        <v>5</v>
      </c>
      <c r="K3589" s="674">
        <f>F3589*I3589</f>
        <v>720</v>
      </c>
      <c r="L3589" s="668"/>
      <c r="M3589" s="668"/>
    </row>
    <row r="3590" spans="5:13">
      <c r="E3590" s="668"/>
      <c r="F3590" s="668">
        <v>4</v>
      </c>
      <c r="G3590" s="668" t="s">
        <v>5</v>
      </c>
      <c r="H3590" s="668" t="s">
        <v>2410</v>
      </c>
      <c r="I3590" s="668">
        <f>I3506</f>
        <v>181</v>
      </c>
      <c r="J3590" s="668" t="s">
        <v>5</v>
      </c>
      <c r="K3590" s="674">
        <f>F3590*I3590</f>
        <v>724</v>
      </c>
      <c r="L3590" s="668"/>
      <c r="M3590" s="668"/>
    </row>
    <row r="3591" spans="5:13">
      <c r="E3591" s="668"/>
      <c r="F3591" s="668"/>
      <c r="G3591" s="668"/>
      <c r="H3591" s="674" t="s">
        <v>4912</v>
      </c>
      <c r="I3591" s="668"/>
      <c r="J3591" s="668"/>
      <c r="K3591" s="674">
        <f>SUM(K3587:K3590)</f>
        <v>2243</v>
      </c>
      <c r="L3591" s="668"/>
      <c r="M3591" s="668"/>
    </row>
    <row r="3592" spans="5:13">
      <c r="E3592" s="668"/>
      <c r="F3592" s="668"/>
      <c r="G3592" s="668"/>
      <c r="H3592" s="676" t="s">
        <v>4913</v>
      </c>
      <c r="I3592" s="668"/>
      <c r="J3592" s="668"/>
      <c r="K3592" s="676">
        <f>K3591*2</f>
        <v>4486</v>
      </c>
      <c r="L3592" s="668"/>
      <c r="M3592" s="668"/>
    </row>
    <row r="3593" spans="5:13" hidden="1">
      <c r="E3593" s="668"/>
      <c r="F3593" s="668"/>
      <c r="G3593" s="668"/>
      <c r="H3593" s="668"/>
      <c r="I3593" s="668"/>
      <c r="J3593" s="668"/>
      <c r="K3593" s="674"/>
      <c r="L3593" s="668"/>
      <c r="M3593" s="668"/>
    </row>
    <row r="3594" spans="5:13">
      <c r="E3594" s="668"/>
      <c r="F3594" s="668"/>
      <c r="G3594" s="668"/>
      <c r="H3594" s="460" t="s">
        <v>4914</v>
      </c>
      <c r="I3594" s="668"/>
      <c r="J3594" s="668"/>
      <c r="K3594" s="674"/>
      <c r="L3594" s="668"/>
      <c r="M3594" s="668"/>
    </row>
    <row r="3595" spans="5:13">
      <c r="E3595" s="668"/>
      <c r="F3595" s="668"/>
      <c r="G3595" s="668"/>
      <c r="H3595" s="668"/>
      <c r="I3595" s="668"/>
      <c r="J3595" s="668"/>
      <c r="K3595" s="674"/>
      <c r="L3595" s="668"/>
      <c r="M3595" s="668"/>
    </row>
    <row r="3596" spans="5:13">
      <c r="E3596" s="668"/>
      <c r="F3596" s="668"/>
      <c r="G3596" s="668"/>
      <c r="H3596" s="460" t="s">
        <v>4915</v>
      </c>
      <c r="I3596" s="668"/>
      <c r="J3596" s="668"/>
      <c r="K3596" s="674"/>
      <c r="L3596" s="668"/>
      <c r="M3596" s="668"/>
    </row>
    <row r="3597" spans="5:13">
      <c r="E3597" s="668"/>
      <c r="F3597" s="668"/>
      <c r="G3597" s="668"/>
      <c r="H3597" s="668"/>
      <c r="I3597" s="668"/>
      <c r="J3597" s="668"/>
      <c r="K3597" s="674"/>
      <c r="L3597" s="668"/>
      <c r="M3597" s="668"/>
    </row>
    <row r="3598" spans="5:13" ht="94.5">
      <c r="E3598" s="668"/>
      <c r="F3598" s="668"/>
      <c r="G3598" s="668"/>
      <c r="H3598" s="703" t="s">
        <v>5345</v>
      </c>
      <c r="I3598" s="668"/>
      <c r="J3598" s="668"/>
      <c r="K3598" s="674"/>
      <c r="L3598" s="668"/>
      <c r="M3598" s="668"/>
    </row>
    <row r="3599" spans="5:13">
      <c r="E3599" s="668"/>
      <c r="F3599" s="668"/>
      <c r="G3599" s="668"/>
      <c r="H3599" s="460" t="s">
        <v>4917</v>
      </c>
      <c r="I3599" s="668"/>
      <c r="J3599" s="668"/>
      <c r="K3599" s="674"/>
      <c r="L3599" s="668"/>
      <c r="M3599" s="668"/>
    </row>
    <row r="3600" spans="5:13">
      <c r="E3600" s="668"/>
      <c r="F3600" s="668"/>
      <c r="G3600" s="668"/>
      <c r="H3600" s="668"/>
      <c r="I3600" s="668"/>
      <c r="J3600" s="668"/>
      <c r="K3600" s="674"/>
      <c r="L3600" s="668"/>
      <c r="M3600" s="668"/>
    </row>
    <row r="3601" spans="5:13" ht="225" customHeight="1">
      <c r="E3601" s="668"/>
      <c r="F3601" s="668"/>
      <c r="G3601" s="668"/>
      <c r="H3601" s="703" t="s">
        <v>5346</v>
      </c>
      <c r="I3601" s="668"/>
      <c r="J3601" s="668"/>
      <c r="K3601" s="674"/>
      <c r="L3601" s="668"/>
      <c r="M3601" s="668"/>
    </row>
    <row r="3602" spans="5:13">
      <c r="E3602" s="668"/>
      <c r="F3602" s="668"/>
      <c r="G3602" s="668"/>
      <c r="H3602" s="675" t="s">
        <v>4919</v>
      </c>
      <c r="I3602" s="675" t="s">
        <v>4920</v>
      </c>
      <c r="J3602" s="675" t="s">
        <v>4921</v>
      </c>
      <c r="K3602" s="856" t="s">
        <v>4922</v>
      </c>
      <c r="L3602" s="675" t="s">
        <v>4923</v>
      </c>
      <c r="M3602" s="668"/>
    </row>
    <row r="3603" spans="5:13">
      <c r="E3603" s="668"/>
      <c r="F3603" s="668"/>
      <c r="G3603" s="668"/>
      <c r="H3603" s="668" t="s">
        <v>4919</v>
      </c>
      <c r="I3603" s="670">
        <v>3255</v>
      </c>
      <c r="J3603" s="670">
        <f>I3603</f>
        <v>3255</v>
      </c>
      <c r="K3603" s="858">
        <v>3280</v>
      </c>
      <c r="L3603" s="670">
        <v>3330</v>
      </c>
      <c r="M3603" s="668"/>
    </row>
    <row r="3604" spans="5:13">
      <c r="E3604" s="668"/>
      <c r="F3604" s="668"/>
      <c r="G3604" s="668"/>
      <c r="H3604" s="668" t="s">
        <v>5347</v>
      </c>
      <c r="I3604" s="668">
        <v>191</v>
      </c>
      <c r="J3604" s="668">
        <v>466</v>
      </c>
      <c r="K3604" s="861">
        <v>630</v>
      </c>
      <c r="L3604" s="704">
        <v>735</v>
      </c>
      <c r="M3604" s="668"/>
    </row>
    <row r="3605" spans="5:13">
      <c r="E3605" s="668"/>
      <c r="F3605" s="668"/>
      <c r="G3605" s="668"/>
      <c r="H3605" s="676" t="s">
        <v>4926</v>
      </c>
      <c r="I3605" s="460">
        <f>SUM(I3603:I3604)</f>
        <v>3446</v>
      </c>
      <c r="J3605" s="460">
        <f>SUM(J3603:J3604)</f>
        <v>3721</v>
      </c>
      <c r="K3605" s="860">
        <f>SUM(K3603:K3604)</f>
        <v>3910</v>
      </c>
      <c r="L3605" s="682">
        <f>SUM(L3603:L3604)</f>
        <v>4065</v>
      </c>
      <c r="M3605" s="668"/>
    </row>
    <row r="3606" spans="5:13">
      <c r="E3606" s="668"/>
      <c r="F3606" s="668"/>
      <c r="G3606" s="668"/>
      <c r="H3606" s="668"/>
      <c r="I3606" s="668"/>
      <c r="J3606" s="668"/>
      <c r="K3606" s="674"/>
      <c r="L3606" s="668"/>
      <c r="M3606" s="668"/>
    </row>
    <row r="3607" spans="5:13">
      <c r="E3607" s="668"/>
      <c r="F3607" s="668"/>
      <c r="G3607" s="668"/>
      <c r="H3607" s="460" t="s">
        <v>4927</v>
      </c>
      <c r="I3607" s="668"/>
      <c r="J3607" s="668"/>
      <c r="K3607" s="674"/>
      <c r="L3607" s="668"/>
      <c r="M3607" s="668"/>
    </row>
    <row r="3608" spans="5:13">
      <c r="E3608" s="668"/>
      <c r="F3608" s="668"/>
      <c r="G3608" s="668"/>
      <c r="H3608" s="668"/>
      <c r="I3608" s="668"/>
      <c r="J3608" s="668"/>
      <c r="K3608" s="674"/>
      <c r="L3608" s="668"/>
      <c r="M3608" s="668"/>
    </row>
    <row r="3609" spans="5:13">
      <c r="E3609" s="668"/>
      <c r="F3609" s="668"/>
      <c r="G3609" s="668"/>
      <c r="H3609" s="460" t="s">
        <v>1542</v>
      </c>
      <c r="I3609" s="668"/>
      <c r="J3609" s="668"/>
      <c r="K3609" s="674"/>
      <c r="L3609" s="668"/>
      <c r="M3609" s="668"/>
    </row>
    <row r="3610" spans="5:13" ht="86.25" customHeight="1">
      <c r="E3610" s="668"/>
      <c r="F3610" s="668"/>
      <c r="G3610" s="668"/>
      <c r="H3610" s="703" t="s">
        <v>4928</v>
      </c>
      <c r="I3610" s="668"/>
      <c r="J3610" s="668"/>
      <c r="K3610" s="674"/>
      <c r="L3610" s="668"/>
      <c r="M3610" s="668"/>
    </row>
    <row r="3611" spans="5:13">
      <c r="E3611" s="668"/>
      <c r="F3611" s="668"/>
      <c r="G3611" s="668"/>
      <c r="H3611" s="668"/>
      <c r="I3611" s="668"/>
      <c r="J3611" s="668"/>
      <c r="K3611" s="674"/>
      <c r="L3611" s="668"/>
      <c r="M3611" s="668"/>
    </row>
    <row r="3612" spans="5:13">
      <c r="E3612" s="668"/>
      <c r="F3612" s="668">
        <v>2</v>
      </c>
      <c r="G3612" s="668" t="s">
        <v>12</v>
      </c>
      <c r="H3612" s="668" t="s">
        <v>5348</v>
      </c>
      <c r="I3612" s="670">
        <v>93.45</v>
      </c>
      <c r="J3612" s="668" t="s">
        <v>12</v>
      </c>
      <c r="K3612" s="674">
        <f>F3612*I3612</f>
        <v>186.9</v>
      </c>
      <c r="L3612" s="668"/>
      <c r="M3612" s="668"/>
    </row>
    <row r="3613" spans="5:13">
      <c r="E3613" s="668"/>
      <c r="F3613" s="668">
        <v>2</v>
      </c>
      <c r="G3613" s="668" t="s">
        <v>3868</v>
      </c>
      <c r="H3613" s="668" t="s">
        <v>4931</v>
      </c>
      <c r="I3613" s="668">
        <v>35</v>
      </c>
      <c r="J3613" s="668" t="s">
        <v>3868</v>
      </c>
      <c r="K3613" s="674">
        <f>F3613*I3613</f>
        <v>70</v>
      </c>
      <c r="L3613" s="668"/>
      <c r="M3613" s="668"/>
    </row>
    <row r="3614" spans="5:13">
      <c r="E3614" s="668"/>
      <c r="F3614" s="668">
        <v>1</v>
      </c>
      <c r="G3614" s="668" t="s">
        <v>5</v>
      </c>
      <c r="H3614" s="668" t="s">
        <v>5349</v>
      </c>
      <c r="I3614" s="670">
        <v>50</v>
      </c>
      <c r="J3614" s="668" t="s">
        <v>556</v>
      </c>
      <c r="K3614" s="674">
        <f>F3614*I3614</f>
        <v>50</v>
      </c>
      <c r="L3614" s="668"/>
      <c r="M3614" s="668"/>
    </row>
    <row r="3615" spans="5:13">
      <c r="E3615" s="668"/>
      <c r="F3615" s="668">
        <v>1</v>
      </c>
      <c r="G3615" s="668" t="s">
        <v>5</v>
      </c>
      <c r="H3615" s="668" t="s">
        <v>4934</v>
      </c>
      <c r="I3615" s="668">
        <f>K3628</f>
        <v>22.157999999999998</v>
      </c>
      <c r="J3615" s="668" t="s">
        <v>556</v>
      </c>
      <c r="K3615" s="674">
        <f>F3615*I3615</f>
        <v>22.157999999999998</v>
      </c>
      <c r="L3615" s="668"/>
      <c r="M3615" s="668"/>
    </row>
    <row r="3616" spans="5:13">
      <c r="E3616" s="668"/>
      <c r="F3616" s="668">
        <v>8</v>
      </c>
      <c r="G3616" s="668" t="s">
        <v>12</v>
      </c>
      <c r="H3616" s="668" t="s">
        <v>4935</v>
      </c>
      <c r="I3616" s="668">
        <f>I3101</f>
        <v>19.899999999999999</v>
      </c>
      <c r="J3616" s="668" t="s">
        <v>4646</v>
      </c>
      <c r="K3616" s="674">
        <f>F3616*I3616</f>
        <v>159.19999999999999</v>
      </c>
      <c r="L3616" s="668"/>
      <c r="M3616" s="668"/>
    </row>
    <row r="3617" spans="5:13" ht="51" customHeight="1">
      <c r="E3617" s="668"/>
      <c r="F3617" s="668">
        <v>1</v>
      </c>
      <c r="G3617" s="668" t="s">
        <v>5</v>
      </c>
      <c r="H3617" s="703" t="s">
        <v>4936</v>
      </c>
      <c r="I3617" s="668"/>
      <c r="J3617" s="668"/>
      <c r="K3617" s="674">
        <f>K3627</f>
        <v>518</v>
      </c>
      <c r="L3617" s="668"/>
      <c r="M3617" s="668"/>
    </row>
    <row r="3618" spans="5:13" ht="36.75" customHeight="1">
      <c r="E3618" s="668"/>
      <c r="F3618" s="668"/>
      <c r="G3618" s="668"/>
      <c r="H3618" s="703" t="s">
        <v>4937</v>
      </c>
      <c r="I3618" s="668" t="s">
        <v>170</v>
      </c>
      <c r="J3618" s="668"/>
      <c r="K3618" s="674">
        <v>13.84</v>
      </c>
      <c r="L3618" s="668"/>
      <c r="M3618" s="668"/>
    </row>
    <row r="3619" spans="5:13">
      <c r="E3619" s="668"/>
      <c r="F3619" s="668"/>
      <c r="G3619" s="668"/>
      <c r="H3619" s="676" t="s">
        <v>2420</v>
      </c>
      <c r="I3619" s="668"/>
      <c r="J3619" s="668"/>
      <c r="K3619" s="676">
        <f>SUM(K3612:K3618)</f>
        <v>1020.0980000000001</v>
      </c>
      <c r="L3619" s="668"/>
      <c r="M3619" s="668"/>
    </row>
    <row r="3620" spans="5:13">
      <c r="E3620" s="668"/>
      <c r="F3620" s="668"/>
      <c r="G3620" s="668"/>
      <c r="H3620" s="668"/>
      <c r="I3620" s="668"/>
      <c r="J3620" s="668"/>
      <c r="K3620" s="674"/>
      <c r="L3620" s="668"/>
      <c r="M3620" s="668"/>
    </row>
    <row r="3621" spans="5:13">
      <c r="E3621" s="668"/>
      <c r="F3621" s="668"/>
      <c r="G3621" s="668"/>
      <c r="H3621" s="675" t="s">
        <v>4938</v>
      </c>
      <c r="I3621" s="668"/>
      <c r="J3621" s="668"/>
      <c r="K3621" s="674"/>
      <c r="L3621" s="668"/>
      <c r="M3621" s="668"/>
    </row>
    <row r="3622" spans="5:13">
      <c r="E3622" s="668"/>
      <c r="F3622" s="668">
        <v>1</v>
      </c>
      <c r="G3622" s="668" t="s">
        <v>5</v>
      </c>
      <c r="H3622" s="686" t="s">
        <v>4891</v>
      </c>
      <c r="I3622" s="668">
        <f>I3503</f>
        <v>277</v>
      </c>
      <c r="J3622" s="668" t="s">
        <v>5</v>
      </c>
      <c r="K3622" s="674">
        <f>F3622*I3622</f>
        <v>277</v>
      </c>
      <c r="L3622" s="668"/>
      <c r="M3622" s="668"/>
    </row>
    <row r="3623" spans="5:13">
      <c r="E3623" s="668"/>
      <c r="F3623" s="668">
        <v>1</v>
      </c>
      <c r="G3623" s="668" t="s">
        <v>5</v>
      </c>
      <c r="H3623" s="668" t="s">
        <v>2418</v>
      </c>
      <c r="I3623" s="668">
        <f>I3504</f>
        <v>254</v>
      </c>
      <c r="J3623" s="668" t="s">
        <v>5</v>
      </c>
      <c r="K3623" s="674">
        <f>F3623*I3623</f>
        <v>254</v>
      </c>
      <c r="L3623" s="668"/>
      <c r="M3623" s="668"/>
    </row>
    <row r="3624" spans="5:13">
      <c r="E3624" s="668"/>
      <c r="F3624" s="668">
        <v>2</v>
      </c>
      <c r="G3624" s="668" t="s">
        <v>5</v>
      </c>
      <c r="H3624" s="668" t="s">
        <v>2419</v>
      </c>
      <c r="I3624" s="668">
        <f>I3505</f>
        <v>240</v>
      </c>
      <c r="J3624" s="668" t="s">
        <v>5</v>
      </c>
      <c r="K3624" s="674">
        <f>F3624*I3624</f>
        <v>480</v>
      </c>
      <c r="L3624" s="668"/>
      <c r="M3624" s="668"/>
    </row>
    <row r="3625" spans="5:13">
      <c r="E3625" s="668"/>
      <c r="F3625" s="668">
        <v>3</v>
      </c>
      <c r="G3625" s="668" t="s">
        <v>5</v>
      </c>
      <c r="H3625" s="668" t="s">
        <v>2410</v>
      </c>
      <c r="I3625" s="668">
        <f>I3506</f>
        <v>181</v>
      </c>
      <c r="J3625" s="668" t="s">
        <v>5</v>
      </c>
      <c r="K3625" s="674">
        <f>F3625*I3625</f>
        <v>543</v>
      </c>
      <c r="L3625" s="668"/>
      <c r="M3625" s="668"/>
    </row>
    <row r="3626" spans="5:13">
      <c r="E3626" s="668"/>
      <c r="F3626" s="668"/>
      <c r="G3626" s="668"/>
      <c r="H3626" s="674" t="s">
        <v>4883</v>
      </c>
      <c r="I3626" s="668"/>
      <c r="J3626" s="668"/>
      <c r="K3626" s="856">
        <f>SUM(K3622:K3625)</f>
        <v>1554</v>
      </c>
      <c r="L3626" s="668"/>
      <c r="M3626" s="668"/>
    </row>
    <row r="3627" spans="5:13">
      <c r="E3627" s="668"/>
      <c r="F3627" s="668"/>
      <c r="G3627" s="668"/>
      <c r="H3627" s="676" t="s">
        <v>2373</v>
      </c>
      <c r="I3627" s="668"/>
      <c r="J3627" s="668"/>
      <c r="K3627" s="676">
        <f>K3626/3</f>
        <v>518</v>
      </c>
      <c r="L3627" s="668"/>
      <c r="M3627" s="668"/>
    </row>
    <row r="3628" spans="5:13">
      <c r="E3628" s="668"/>
      <c r="F3628" s="668"/>
      <c r="G3628" s="668"/>
      <c r="H3628" s="460" t="s">
        <v>4939</v>
      </c>
      <c r="I3628" s="668">
        <f>I3483</f>
        <v>73860</v>
      </c>
      <c r="J3628" s="685">
        <v>2.9999999999999997E-4</v>
      </c>
      <c r="K3628" s="676">
        <f>I3628*J3628</f>
        <v>22.157999999999998</v>
      </c>
      <c r="L3628" s="668"/>
      <c r="M3628" s="668"/>
    </row>
    <row r="3629" spans="5:13">
      <c r="E3629" s="668"/>
      <c r="F3629" s="668"/>
      <c r="G3629" s="668"/>
      <c r="H3629" s="668"/>
      <c r="I3629" s="668"/>
      <c r="J3629" s="668"/>
      <c r="K3629" s="674"/>
      <c r="L3629" s="668"/>
      <c r="M3629" s="668"/>
    </row>
    <row r="3630" spans="5:13">
      <c r="E3630" s="668"/>
      <c r="F3630" s="668"/>
      <c r="G3630" s="668"/>
      <c r="H3630" s="460" t="s">
        <v>4876</v>
      </c>
      <c r="I3630" s="668"/>
      <c r="J3630" s="668"/>
      <c r="K3630" s="674"/>
      <c r="L3630" s="668"/>
      <c r="M3630" s="668"/>
    </row>
    <row r="3631" spans="5:13">
      <c r="E3631" s="668"/>
      <c r="F3631" s="668"/>
      <c r="G3631" s="668"/>
      <c r="H3631" s="668"/>
      <c r="I3631" s="668"/>
      <c r="J3631" s="668"/>
      <c r="K3631" s="674"/>
      <c r="L3631" s="668"/>
      <c r="M3631" s="668"/>
    </row>
    <row r="3632" spans="5:13">
      <c r="E3632" s="668"/>
      <c r="F3632" s="668"/>
      <c r="G3632" s="668"/>
      <c r="H3632" s="460" t="s">
        <v>4940</v>
      </c>
      <c r="I3632" s="668"/>
      <c r="J3632" s="668"/>
      <c r="K3632" s="674"/>
      <c r="L3632" s="668"/>
      <c r="M3632" s="668"/>
    </row>
    <row r="3633" spans="5:13">
      <c r="E3633" s="668"/>
      <c r="F3633" s="668"/>
      <c r="G3633" s="668"/>
      <c r="H3633" s="668"/>
      <c r="I3633" s="668"/>
      <c r="J3633" s="668"/>
      <c r="K3633" s="674"/>
      <c r="L3633" s="668"/>
      <c r="M3633" s="668"/>
    </row>
    <row r="3634" spans="5:13">
      <c r="E3634" s="668"/>
      <c r="F3634" s="668">
        <v>1</v>
      </c>
      <c r="G3634" s="668" t="s">
        <v>5</v>
      </c>
      <c r="H3634" s="703" t="s">
        <v>5350</v>
      </c>
      <c r="I3634" s="671">
        <v>674</v>
      </c>
      <c r="J3634" s="668" t="s">
        <v>5</v>
      </c>
      <c r="K3634" s="674">
        <f>F3634*I3634</f>
        <v>674</v>
      </c>
      <c r="L3634" s="668"/>
      <c r="M3634" s="668"/>
    </row>
    <row r="3635" spans="5:13">
      <c r="E3635" s="668"/>
      <c r="F3635" s="668">
        <v>1</v>
      </c>
      <c r="G3635" s="668" t="s">
        <v>5</v>
      </c>
      <c r="H3635" s="703" t="s">
        <v>5351</v>
      </c>
      <c r="I3635" s="671">
        <v>39.9</v>
      </c>
      <c r="J3635" s="668" t="s">
        <v>5</v>
      </c>
      <c r="K3635" s="674">
        <f>F3635*I3635</f>
        <v>39.9</v>
      </c>
      <c r="L3635" s="668"/>
      <c r="M3635" s="668"/>
    </row>
    <row r="3636" spans="5:13">
      <c r="E3636" s="668"/>
      <c r="F3636" s="668">
        <v>1</v>
      </c>
      <c r="G3636" s="668" t="s">
        <v>5</v>
      </c>
      <c r="H3636" s="703" t="s">
        <v>2389</v>
      </c>
      <c r="I3636" s="668">
        <f>K3619</f>
        <v>1020.0980000000001</v>
      </c>
      <c r="J3636" s="668" t="s">
        <v>5</v>
      </c>
      <c r="K3636" s="674">
        <f>F3636*I3636</f>
        <v>1020.0980000000001</v>
      </c>
      <c r="L3636" s="668"/>
      <c r="M3636" s="668"/>
    </row>
    <row r="3637" spans="5:13">
      <c r="E3637" s="668"/>
      <c r="F3637" s="668"/>
      <c r="G3637" s="668"/>
      <c r="H3637" s="676" t="s">
        <v>4714</v>
      </c>
      <c r="I3637" s="668"/>
      <c r="J3637" s="668"/>
      <c r="K3637" s="676">
        <f>SUM(K3634:K3636)</f>
        <v>1733.998</v>
      </c>
      <c r="L3637" s="668"/>
      <c r="M3637" s="668"/>
    </row>
    <row r="3638" spans="5:13">
      <c r="E3638" s="668"/>
      <c r="F3638" s="668"/>
      <c r="G3638" s="668"/>
      <c r="H3638" s="668"/>
      <c r="I3638" s="668"/>
      <c r="J3638" s="668"/>
      <c r="K3638" s="674"/>
      <c r="L3638" s="668"/>
      <c r="M3638" s="668"/>
    </row>
    <row r="3639" spans="5:13">
      <c r="E3639" s="668"/>
      <c r="F3639" s="668"/>
      <c r="G3639" s="668"/>
      <c r="H3639" s="460" t="s">
        <v>4943</v>
      </c>
      <c r="I3639" s="668"/>
      <c r="J3639" s="668"/>
      <c r="K3639" s="674"/>
      <c r="L3639" s="668"/>
      <c r="M3639" s="668"/>
    </row>
    <row r="3640" spans="5:13" ht="78.75">
      <c r="E3640" s="668"/>
      <c r="F3640" s="668"/>
      <c r="G3640" s="668"/>
      <c r="H3640" s="703" t="s">
        <v>1543</v>
      </c>
      <c r="I3640" s="668"/>
      <c r="J3640" s="668"/>
      <c r="K3640" s="674"/>
      <c r="L3640" s="668"/>
      <c r="M3640" s="668"/>
    </row>
    <row r="3641" spans="5:13">
      <c r="E3641" s="668"/>
      <c r="F3641" s="668"/>
      <c r="G3641" s="668"/>
      <c r="H3641" s="668"/>
      <c r="I3641" s="668"/>
      <c r="J3641" s="668"/>
      <c r="K3641" s="674"/>
      <c r="L3641" s="668"/>
      <c r="M3641" s="668"/>
    </row>
    <row r="3642" spans="5:13">
      <c r="E3642" s="668"/>
      <c r="F3642" s="668">
        <v>1.5</v>
      </c>
      <c r="G3642" s="668" t="s">
        <v>12</v>
      </c>
      <c r="H3642" s="668" t="s">
        <v>5352</v>
      </c>
      <c r="I3642" s="670">
        <v>198.45</v>
      </c>
      <c r="J3642" s="668" t="s">
        <v>12</v>
      </c>
      <c r="K3642" s="674">
        <f>F3642*I3642</f>
        <v>297.67499999999995</v>
      </c>
      <c r="L3642" s="668"/>
      <c r="M3642" s="668"/>
    </row>
    <row r="3643" spans="5:13">
      <c r="E3643" s="668"/>
      <c r="F3643" s="668">
        <v>2</v>
      </c>
      <c r="G3643" s="668" t="s">
        <v>4944</v>
      </c>
      <c r="H3643" s="668" t="s">
        <v>4945</v>
      </c>
      <c r="I3643" s="668">
        <f>I3613</f>
        <v>35</v>
      </c>
      <c r="J3643" s="668" t="s">
        <v>4944</v>
      </c>
      <c r="K3643" s="674">
        <f>F3643*I3643</f>
        <v>70</v>
      </c>
      <c r="L3643" s="668"/>
      <c r="M3643" s="668"/>
    </row>
    <row r="3644" spans="5:13">
      <c r="E3644" s="668"/>
      <c r="F3644" s="668">
        <v>1</v>
      </c>
      <c r="G3644" s="668" t="s">
        <v>5</v>
      </c>
      <c r="H3644" s="668" t="s">
        <v>4946</v>
      </c>
      <c r="I3644" s="668">
        <f>I3614</f>
        <v>50</v>
      </c>
      <c r="J3644" s="668" t="s">
        <v>5</v>
      </c>
      <c r="K3644" s="674">
        <f>F3644*I3644</f>
        <v>50</v>
      </c>
      <c r="L3644" s="668"/>
      <c r="M3644" s="668"/>
    </row>
    <row r="3645" spans="5:13">
      <c r="E3645" s="668"/>
      <c r="F3645" s="668">
        <v>1</v>
      </c>
      <c r="G3645" s="668" t="s">
        <v>5</v>
      </c>
      <c r="H3645" s="668" t="s">
        <v>4947</v>
      </c>
      <c r="I3645" s="668">
        <f>I3615</f>
        <v>22.157999999999998</v>
      </c>
      <c r="J3645" s="668" t="s">
        <v>5</v>
      </c>
      <c r="K3645" s="674">
        <f>F3645*I3645</f>
        <v>22.157999999999998</v>
      </c>
      <c r="L3645" s="668"/>
      <c r="M3645" s="668"/>
    </row>
    <row r="3646" spans="5:13">
      <c r="E3646" s="668"/>
      <c r="F3646" s="668">
        <v>8</v>
      </c>
      <c r="G3646" s="668" t="s">
        <v>12</v>
      </c>
      <c r="H3646" s="668" t="s">
        <v>4935</v>
      </c>
      <c r="I3646" s="668">
        <f>I3616</f>
        <v>19.899999999999999</v>
      </c>
      <c r="J3646" s="668" t="s">
        <v>4646</v>
      </c>
      <c r="K3646" s="674">
        <f>F3646*I3646</f>
        <v>159.19999999999999</v>
      </c>
      <c r="L3646" s="668"/>
      <c r="M3646" s="668"/>
    </row>
    <row r="3647" spans="5:13" ht="51" customHeight="1">
      <c r="E3647" s="668"/>
      <c r="F3647" s="668"/>
      <c r="G3647" s="668"/>
      <c r="H3647" s="703" t="s">
        <v>4936</v>
      </c>
      <c r="I3647" s="668"/>
      <c r="J3647" s="668"/>
      <c r="K3647" s="674">
        <f>K3627</f>
        <v>518</v>
      </c>
      <c r="L3647" s="668"/>
      <c r="M3647" s="668"/>
    </row>
    <row r="3648" spans="5:13" ht="42.75" customHeight="1">
      <c r="E3648" s="668"/>
      <c r="F3648" s="668"/>
      <c r="G3648" s="668"/>
      <c r="H3648" s="703" t="s">
        <v>4937</v>
      </c>
      <c r="I3648" s="668"/>
      <c r="J3648" s="668" t="s">
        <v>170</v>
      </c>
      <c r="K3648" s="674">
        <v>8.9600000000000009</v>
      </c>
      <c r="L3648" s="668">
        <f>8.32-0.52</f>
        <v>7.8000000000000007</v>
      </c>
      <c r="M3648" s="668"/>
    </row>
    <row r="3649" spans="5:13">
      <c r="E3649" s="668"/>
      <c r="F3649" s="668"/>
      <c r="G3649" s="668"/>
      <c r="H3649" s="676" t="s">
        <v>2420</v>
      </c>
      <c r="I3649" s="668"/>
      <c r="J3649" s="668"/>
      <c r="K3649" s="676">
        <f>SUM(K3642:K3648)</f>
        <v>1125.9929999999999</v>
      </c>
      <c r="L3649" s="668"/>
      <c r="M3649" s="668"/>
    </row>
    <row r="3650" spans="5:13">
      <c r="E3650" s="668"/>
      <c r="F3650" s="668"/>
      <c r="G3650" s="668"/>
      <c r="H3650" s="668"/>
      <c r="I3650" s="668"/>
      <c r="J3650" s="668"/>
      <c r="K3650" s="674"/>
      <c r="L3650" s="668"/>
      <c r="M3650" s="668"/>
    </row>
    <row r="3651" spans="5:13">
      <c r="E3651" s="668"/>
      <c r="F3651" s="668"/>
      <c r="G3651" s="668"/>
      <c r="H3651" s="682" t="s">
        <v>4927</v>
      </c>
      <c r="I3651" s="668"/>
      <c r="J3651" s="668"/>
      <c r="K3651" s="674"/>
      <c r="L3651" s="668"/>
      <c r="M3651" s="668"/>
    </row>
    <row r="3652" spans="5:13" hidden="1">
      <c r="E3652" s="668"/>
      <c r="F3652" s="668"/>
      <c r="G3652" s="668"/>
      <c r="H3652" s="668"/>
      <c r="I3652" s="668"/>
      <c r="J3652" s="668"/>
      <c r="K3652" s="674"/>
      <c r="L3652" s="668"/>
      <c r="M3652" s="668"/>
    </row>
    <row r="3653" spans="5:13">
      <c r="E3653" s="668"/>
      <c r="F3653" s="668"/>
      <c r="G3653" s="668"/>
      <c r="H3653" s="682" t="s">
        <v>4948</v>
      </c>
      <c r="I3653" s="668"/>
      <c r="J3653" s="668"/>
      <c r="K3653" s="674"/>
      <c r="L3653" s="668"/>
      <c r="M3653" s="668"/>
    </row>
    <row r="3654" spans="5:13">
      <c r="E3654" s="668"/>
      <c r="F3654" s="668"/>
      <c r="G3654" s="668"/>
      <c r="H3654" s="668"/>
      <c r="I3654" s="668"/>
      <c r="J3654" s="668"/>
      <c r="K3654" s="674"/>
      <c r="L3654" s="668"/>
      <c r="M3654" s="668"/>
    </row>
    <row r="3655" spans="5:13" ht="78.75">
      <c r="E3655" s="668"/>
      <c r="F3655" s="668"/>
      <c r="G3655" s="668"/>
      <c r="H3655" s="703" t="s">
        <v>5353</v>
      </c>
      <c r="I3655" s="668"/>
      <c r="J3655" s="668"/>
      <c r="K3655" s="674"/>
      <c r="L3655" s="668"/>
      <c r="M3655" s="668"/>
    </row>
    <row r="3656" spans="5:13">
      <c r="E3656" s="668"/>
      <c r="F3656" s="668"/>
      <c r="G3656" s="668"/>
      <c r="H3656" s="668"/>
      <c r="I3656" s="668"/>
      <c r="J3656" s="668"/>
      <c r="K3656" s="674"/>
      <c r="L3656" s="668"/>
      <c r="M3656" s="668"/>
    </row>
    <row r="3657" spans="5:13">
      <c r="E3657" s="668"/>
      <c r="F3657" s="668"/>
      <c r="G3657" s="668"/>
      <c r="H3657" s="460" t="s">
        <v>4950</v>
      </c>
      <c r="I3657" s="668"/>
      <c r="K3657" s="674"/>
      <c r="L3657" s="668"/>
      <c r="M3657" s="668"/>
    </row>
    <row r="3658" spans="5:13" ht="47.25">
      <c r="E3658" s="668"/>
      <c r="F3658" s="668">
        <v>1</v>
      </c>
      <c r="G3658" s="668" t="s">
        <v>5</v>
      </c>
      <c r="H3658" s="703" t="s">
        <v>5354</v>
      </c>
      <c r="I3658" s="668">
        <v>225</v>
      </c>
      <c r="J3658" s="668" t="s">
        <v>5</v>
      </c>
      <c r="K3658" s="674">
        <f t="shared" ref="K3658:K3663" si="98">F3658*I3658</f>
        <v>225</v>
      </c>
      <c r="L3658" s="668"/>
      <c r="M3658" s="668"/>
    </row>
    <row r="3659" spans="5:13">
      <c r="E3659" s="668"/>
      <c r="F3659" s="668">
        <v>1</v>
      </c>
      <c r="G3659" s="668" t="s">
        <v>5</v>
      </c>
      <c r="H3659" s="668" t="s">
        <v>4952</v>
      </c>
      <c r="I3659" s="668">
        <f>K3673</f>
        <v>199.422</v>
      </c>
      <c r="J3659" s="668" t="s">
        <v>5</v>
      </c>
      <c r="K3659" s="674">
        <f t="shared" si="98"/>
        <v>199.422</v>
      </c>
      <c r="L3659" s="668"/>
      <c r="M3659" s="668"/>
    </row>
    <row r="3660" spans="5:13">
      <c r="E3660" s="668"/>
      <c r="F3660" s="668">
        <v>1</v>
      </c>
      <c r="G3660" s="668" t="s">
        <v>5</v>
      </c>
      <c r="H3660" s="668" t="s">
        <v>4953</v>
      </c>
      <c r="I3660" s="670">
        <v>89</v>
      </c>
      <c r="J3660" s="668" t="s">
        <v>5</v>
      </c>
      <c r="K3660" s="674">
        <f t="shared" si="98"/>
        <v>89</v>
      </c>
      <c r="L3660" s="668"/>
      <c r="M3660" s="668"/>
    </row>
    <row r="3661" spans="5:13">
      <c r="E3661" s="668"/>
      <c r="F3661" s="668">
        <v>1</v>
      </c>
      <c r="G3661" s="668" t="s">
        <v>5</v>
      </c>
      <c r="H3661" s="668" t="s">
        <v>4954</v>
      </c>
      <c r="I3661" s="668">
        <f>I3478</f>
        <v>25</v>
      </c>
      <c r="J3661" s="668" t="s">
        <v>5</v>
      </c>
      <c r="K3661" s="674">
        <f t="shared" si="98"/>
        <v>25</v>
      </c>
      <c r="L3661" s="668"/>
      <c r="M3661" s="668"/>
    </row>
    <row r="3662" spans="5:13">
      <c r="E3662" s="668"/>
      <c r="F3662" s="668">
        <v>5</v>
      </c>
      <c r="G3662" s="668" t="s">
        <v>12</v>
      </c>
      <c r="H3662" s="668" t="s">
        <v>4955</v>
      </c>
      <c r="I3662" s="670">
        <v>93.45</v>
      </c>
      <c r="J3662" s="668" t="s">
        <v>12</v>
      </c>
      <c r="K3662" s="674">
        <f t="shared" si="98"/>
        <v>467.25</v>
      </c>
      <c r="L3662" s="668"/>
      <c r="M3662" s="668"/>
    </row>
    <row r="3663" spans="5:13" ht="31.5">
      <c r="E3663" s="668"/>
      <c r="F3663" s="668">
        <v>20</v>
      </c>
      <c r="G3663" s="668" t="s">
        <v>12</v>
      </c>
      <c r="H3663" s="703" t="s">
        <v>4903</v>
      </c>
      <c r="I3663" s="668">
        <f>I3098</f>
        <v>31.5</v>
      </c>
      <c r="J3663" s="668" t="s">
        <v>12</v>
      </c>
      <c r="K3663" s="674">
        <f t="shared" si="98"/>
        <v>630</v>
      </c>
      <c r="L3663" s="668"/>
      <c r="M3663" s="668"/>
    </row>
    <row r="3664" spans="5:13">
      <c r="E3664" s="668"/>
      <c r="F3664" s="668"/>
      <c r="G3664" s="668"/>
      <c r="H3664" s="460" t="s">
        <v>4956</v>
      </c>
      <c r="I3664" s="668"/>
      <c r="J3664" s="668"/>
      <c r="K3664" s="674"/>
      <c r="L3664" s="668"/>
      <c r="M3664" s="668"/>
    </row>
    <row r="3665" spans="4:13" ht="56.25" customHeight="1">
      <c r="E3665" s="668"/>
      <c r="F3665" s="668">
        <v>1</v>
      </c>
      <c r="G3665" s="668" t="s">
        <v>5</v>
      </c>
      <c r="H3665" s="703" t="s">
        <v>4957</v>
      </c>
      <c r="I3665" s="668">
        <v>225</v>
      </c>
      <c r="J3665" s="668" t="s">
        <v>5</v>
      </c>
      <c r="K3665" s="674">
        <f>F3665*I3665</f>
        <v>225</v>
      </c>
      <c r="L3665" s="668"/>
      <c r="M3665" s="668"/>
    </row>
    <row r="3666" spans="4:13">
      <c r="E3666" s="668"/>
      <c r="F3666" s="668">
        <v>1</v>
      </c>
      <c r="G3666" s="668" t="s">
        <v>5</v>
      </c>
      <c r="H3666" s="668" t="s">
        <v>5355</v>
      </c>
      <c r="I3666" s="668">
        <v>808</v>
      </c>
      <c r="J3666" s="668" t="s">
        <v>5</v>
      </c>
      <c r="K3666" s="674">
        <f>F3666*I3666</f>
        <v>808</v>
      </c>
      <c r="L3666" s="668"/>
      <c r="M3666" s="668"/>
    </row>
    <row r="3667" spans="4:13">
      <c r="E3667" s="668"/>
      <c r="F3667" s="668">
        <v>1</v>
      </c>
      <c r="G3667" s="668" t="s">
        <v>5</v>
      </c>
      <c r="H3667" s="668" t="s">
        <v>5356</v>
      </c>
      <c r="I3667" s="668">
        <v>93.5</v>
      </c>
      <c r="J3667" s="668" t="s">
        <v>5</v>
      </c>
      <c r="K3667" s="674">
        <f>F3667*I3667</f>
        <v>93.5</v>
      </c>
      <c r="L3667" s="668"/>
      <c r="M3667" s="668"/>
    </row>
    <row r="3668" spans="4:13">
      <c r="E3668" s="668"/>
      <c r="F3668" s="668">
        <v>1</v>
      </c>
      <c r="G3668" s="668" t="s">
        <v>5</v>
      </c>
      <c r="H3668" s="668" t="s">
        <v>4959</v>
      </c>
      <c r="I3668" s="668">
        <v>89.6</v>
      </c>
      <c r="J3668" s="668" t="s">
        <v>5</v>
      </c>
      <c r="K3668" s="674">
        <f>F3668*I3668</f>
        <v>89.6</v>
      </c>
      <c r="L3668" s="668"/>
      <c r="M3668" s="668"/>
    </row>
    <row r="3669" spans="4:13">
      <c r="E3669" s="668"/>
      <c r="F3669" s="668">
        <v>1</v>
      </c>
      <c r="G3669" s="668" t="s">
        <v>5</v>
      </c>
      <c r="H3669" s="668" t="s">
        <v>4952</v>
      </c>
      <c r="I3669" s="668">
        <f>K3673</f>
        <v>199.422</v>
      </c>
      <c r="J3669" s="668" t="s">
        <v>5</v>
      </c>
      <c r="K3669" s="674">
        <f>F3669*I3669</f>
        <v>199.422</v>
      </c>
      <c r="L3669" s="668"/>
      <c r="M3669" s="668"/>
    </row>
    <row r="3670" spans="4:13">
      <c r="D3670" s="716">
        <f>0.6*0.225*0.02</f>
        <v>2.7000000000000001E-3</v>
      </c>
      <c r="E3670" s="668"/>
      <c r="F3670" s="668"/>
      <c r="G3670" s="668"/>
      <c r="H3670" s="668" t="s">
        <v>4960</v>
      </c>
      <c r="I3670" s="668"/>
      <c r="J3670" s="668"/>
      <c r="K3670" s="674">
        <f>K3627</f>
        <v>518</v>
      </c>
      <c r="L3670" s="668"/>
      <c r="M3670" s="668"/>
    </row>
    <row r="3671" spans="4:13" ht="41.25" customHeight="1">
      <c r="E3671" s="668"/>
      <c r="F3671" s="668"/>
      <c r="G3671" s="668"/>
      <c r="H3671" s="703" t="s">
        <v>4961</v>
      </c>
      <c r="I3671" s="668"/>
      <c r="J3671" s="668"/>
      <c r="K3671" s="674">
        <f>5.26+0.55</f>
        <v>5.81</v>
      </c>
      <c r="L3671" s="668"/>
      <c r="M3671" s="668"/>
    </row>
    <row r="3672" spans="4:13">
      <c r="E3672" s="668"/>
      <c r="F3672" s="668"/>
      <c r="G3672" s="668"/>
      <c r="H3672" s="674" t="s">
        <v>4714</v>
      </c>
      <c r="I3672" s="668"/>
      <c r="J3672" s="668"/>
      <c r="K3672" s="676">
        <f>SUM(K3658:K3671)</f>
        <v>3575.0039999999999</v>
      </c>
      <c r="L3672" s="668"/>
      <c r="M3672" s="668"/>
    </row>
    <row r="3673" spans="4:13">
      <c r="E3673" s="668"/>
      <c r="F3673" s="668"/>
      <c r="G3673" s="668"/>
      <c r="H3673" s="460" t="s">
        <v>4850</v>
      </c>
      <c r="I3673" s="668">
        <f>I3628</f>
        <v>73860</v>
      </c>
      <c r="J3673" s="685">
        <v>2.7000000000000001E-3</v>
      </c>
      <c r="K3673" s="676">
        <f>I3673*J3673</f>
        <v>199.422</v>
      </c>
      <c r="L3673" s="668"/>
      <c r="M3673" s="668"/>
    </row>
    <row r="3674" spans="4:13">
      <c r="E3674" s="668"/>
      <c r="F3674" s="668"/>
      <c r="G3674" s="668"/>
      <c r="H3674" s="460" t="s">
        <v>4962</v>
      </c>
      <c r="I3674" s="668"/>
      <c r="J3674" s="668"/>
      <c r="K3674" s="674"/>
      <c r="L3674" s="668"/>
      <c r="M3674" s="668"/>
    </row>
    <row r="3675" spans="4:13">
      <c r="E3675" s="668"/>
      <c r="F3675" s="668"/>
      <c r="G3675" s="668"/>
      <c r="H3675" s="460"/>
      <c r="I3675" s="668"/>
      <c r="J3675" s="668"/>
      <c r="K3675" s="674"/>
      <c r="L3675" s="668"/>
      <c r="M3675" s="668"/>
    </row>
    <row r="3676" spans="4:13" ht="31.5">
      <c r="E3676" s="668"/>
      <c r="F3676" s="668"/>
      <c r="G3676" s="668"/>
      <c r="H3676" s="665" t="s">
        <v>4339</v>
      </c>
      <c r="I3676" s="668"/>
      <c r="J3676" s="668"/>
      <c r="K3676" s="674"/>
      <c r="L3676" s="668"/>
      <c r="M3676" s="668"/>
    </row>
    <row r="3677" spans="4:13">
      <c r="E3677" s="668"/>
      <c r="F3677" s="668"/>
      <c r="G3677" s="668"/>
      <c r="H3677" s="668" t="s">
        <v>4315</v>
      </c>
      <c r="I3677" s="668"/>
      <c r="J3677" s="668"/>
      <c r="K3677" s="674"/>
      <c r="L3677" s="668"/>
      <c r="M3677" s="668"/>
    </row>
    <row r="3678" spans="4:13" ht="39" customHeight="1">
      <c r="E3678" s="668"/>
      <c r="F3678" s="668">
        <v>90</v>
      </c>
      <c r="G3678" s="668" t="s">
        <v>4340</v>
      </c>
      <c r="H3678" s="667" t="s">
        <v>4341</v>
      </c>
      <c r="I3678" s="668">
        <f>I2996</f>
        <v>19.5</v>
      </c>
      <c r="J3678" s="668" t="s">
        <v>4340</v>
      </c>
      <c r="K3678" s="674">
        <f>F3678*I3678</f>
        <v>1755</v>
      </c>
      <c r="L3678" s="668"/>
      <c r="M3678" s="668"/>
    </row>
    <row r="3679" spans="4:13">
      <c r="E3679" s="668"/>
      <c r="F3679" s="668">
        <v>0.15</v>
      </c>
      <c r="G3679" s="668" t="s">
        <v>22</v>
      </c>
      <c r="H3679" s="668" t="s">
        <v>2517</v>
      </c>
      <c r="I3679" s="670">
        <v>5200</v>
      </c>
      <c r="J3679" s="668" t="s">
        <v>22</v>
      </c>
      <c r="K3679" s="674">
        <f>F3679*I3679</f>
        <v>780</v>
      </c>
      <c r="L3679" s="668"/>
      <c r="M3679" s="668"/>
    </row>
    <row r="3680" spans="4:13">
      <c r="E3680" s="668"/>
      <c r="F3680" s="668">
        <v>1</v>
      </c>
      <c r="G3680" s="668" t="s">
        <v>2359</v>
      </c>
      <c r="H3680" s="668" t="s">
        <v>4342</v>
      </c>
      <c r="I3680" s="668">
        <f>I3623</f>
        <v>254</v>
      </c>
      <c r="J3680" s="668" t="s">
        <v>2359</v>
      </c>
      <c r="K3680" s="674">
        <f>F3680*I3680</f>
        <v>254</v>
      </c>
      <c r="L3680" s="668"/>
      <c r="M3680" s="668"/>
    </row>
    <row r="3681" spans="5:13">
      <c r="E3681" s="668"/>
      <c r="F3681" s="668">
        <v>2</v>
      </c>
      <c r="G3681" s="668" t="s">
        <v>2359</v>
      </c>
      <c r="H3681" s="668" t="s">
        <v>2343</v>
      </c>
      <c r="I3681" s="670">
        <f>I2871</f>
        <v>261</v>
      </c>
      <c r="J3681" s="668" t="s">
        <v>2359</v>
      </c>
      <c r="K3681" s="674">
        <f>F3681*I3681</f>
        <v>522</v>
      </c>
      <c r="L3681" s="668"/>
      <c r="M3681" s="668"/>
    </row>
    <row r="3682" spans="5:13">
      <c r="E3682" s="668"/>
      <c r="F3682" s="668">
        <v>4</v>
      </c>
      <c r="G3682" s="668" t="s">
        <v>2359</v>
      </c>
      <c r="H3682" s="668" t="s">
        <v>3489</v>
      </c>
      <c r="I3682" s="668">
        <f>I3590</f>
        <v>181</v>
      </c>
      <c r="J3682" s="668" t="s">
        <v>2359</v>
      </c>
      <c r="K3682" s="674">
        <f>F3682*I3682</f>
        <v>724</v>
      </c>
      <c r="L3682" s="668"/>
      <c r="M3682" s="668"/>
    </row>
    <row r="3683" spans="5:13" ht="31.5">
      <c r="E3683" s="668"/>
      <c r="F3683" s="668"/>
      <c r="G3683" s="668"/>
      <c r="H3683" s="667" t="s">
        <v>4343</v>
      </c>
      <c r="I3683" s="668"/>
      <c r="J3683" s="668"/>
      <c r="K3683" s="674">
        <v>6</v>
      </c>
      <c r="L3683" s="668">
        <f>37.4*90</f>
        <v>3366</v>
      </c>
      <c r="M3683" s="668"/>
    </row>
    <row r="3684" spans="5:13">
      <c r="E3684" s="668"/>
      <c r="F3684" s="668"/>
      <c r="G3684" s="668"/>
      <c r="H3684" s="674" t="s">
        <v>4344</v>
      </c>
      <c r="I3684" s="668"/>
      <c r="J3684" s="668"/>
      <c r="K3684" s="674">
        <f>SUM(K3678:K3683)</f>
        <v>4041</v>
      </c>
      <c r="L3684" s="668">
        <f>40.8*90</f>
        <v>3671.9999999999995</v>
      </c>
      <c r="M3684" s="668"/>
    </row>
    <row r="3685" spans="5:13">
      <c r="E3685" s="668"/>
      <c r="F3685" s="668"/>
      <c r="G3685" s="668"/>
      <c r="H3685" s="676" t="s">
        <v>4266</v>
      </c>
      <c r="I3685" s="668"/>
      <c r="J3685" s="668"/>
      <c r="K3685" s="862">
        <f>K3684/90</f>
        <v>44.9</v>
      </c>
      <c r="L3685" s="668">
        <f>L3684-K3684</f>
        <v>-369.00000000000045</v>
      </c>
      <c r="M3685" s="668"/>
    </row>
    <row r="3686" spans="5:13">
      <c r="E3686" s="668"/>
      <c r="F3686" s="668"/>
      <c r="G3686" s="668"/>
      <c r="H3686" s="668"/>
      <c r="I3686" s="668"/>
      <c r="J3686" s="668"/>
      <c r="K3686" s="674"/>
      <c r="L3686" s="668"/>
      <c r="M3686" s="668"/>
    </row>
    <row r="3687" spans="5:13">
      <c r="E3687" s="668"/>
      <c r="F3687" s="668"/>
      <c r="G3687" s="668"/>
      <c r="H3687" s="460" t="s">
        <v>4963</v>
      </c>
      <c r="I3687" s="668"/>
      <c r="J3687" s="668"/>
      <c r="K3687" s="674"/>
      <c r="L3687" s="668"/>
      <c r="M3687" s="668"/>
    </row>
    <row r="3688" spans="5:13">
      <c r="E3688" s="668"/>
      <c r="F3688" s="668"/>
      <c r="G3688" s="668"/>
      <c r="H3688" s="668" t="s">
        <v>4964</v>
      </c>
      <c r="I3688" s="668"/>
      <c r="J3688" s="668"/>
      <c r="K3688" s="674">
        <f>K3685</f>
        <v>44.9</v>
      </c>
      <c r="L3688" s="668"/>
      <c r="M3688" s="668"/>
    </row>
    <row r="3689" spans="5:13">
      <c r="E3689" s="668"/>
      <c r="F3689" s="668">
        <v>1</v>
      </c>
      <c r="G3689" s="668" t="s">
        <v>12</v>
      </c>
      <c r="H3689" s="668" t="s">
        <v>4965</v>
      </c>
      <c r="I3689" s="668">
        <f>I3678</f>
        <v>19.5</v>
      </c>
      <c r="J3689" s="668" t="s">
        <v>12</v>
      </c>
      <c r="K3689" s="674">
        <f>F3689*I3689</f>
        <v>19.5</v>
      </c>
      <c r="L3689" s="668"/>
      <c r="M3689" s="668"/>
    </row>
    <row r="3690" spans="5:13">
      <c r="E3690" s="668"/>
      <c r="F3690" s="668">
        <v>1</v>
      </c>
      <c r="G3690" s="668" t="s">
        <v>12</v>
      </c>
      <c r="H3690" s="668" t="s">
        <v>5357</v>
      </c>
      <c r="I3690" s="670">
        <v>28.9</v>
      </c>
      <c r="J3690" s="668" t="s">
        <v>12</v>
      </c>
      <c r="K3690" s="674">
        <f>F3690*I3690</f>
        <v>28.9</v>
      </c>
      <c r="L3690" s="668"/>
      <c r="M3690" s="668"/>
    </row>
    <row r="3691" spans="5:13">
      <c r="E3691" s="668"/>
      <c r="F3691" s="668"/>
      <c r="G3691" s="668"/>
      <c r="H3691" s="668"/>
      <c r="I3691" s="668"/>
      <c r="J3691" s="668"/>
      <c r="K3691" s="676">
        <f>(K3688-K3689)+K3690</f>
        <v>54.3</v>
      </c>
      <c r="L3691" s="668"/>
      <c r="M3691" s="668"/>
    </row>
    <row r="3692" spans="5:13">
      <c r="E3692" s="668"/>
      <c r="F3692" s="668"/>
      <c r="G3692" s="668"/>
      <c r="H3692" s="460" t="s">
        <v>4966</v>
      </c>
      <c r="I3692" s="668"/>
      <c r="J3692" s="668"/>
      <c r="K3692" s="674"/>
      <c r="L3692" s="668"/>
      <c r="M3692" s="668"/>
    </row>
    <row r="3693" spans="5:13">
      <c r="E3693" s="668"/>
      <c r="F3693" s="668"/>
      <c r="G3693" s="668"/>
      <c r="H3693" s="460"/>
      <c r="I3693" s="668"/>
      <c r="J3693" s="668"/>
      <c r="K3693" s="674"/>
      <c r="L3693" s="668"/>
      <c r="M3693" s="668"/>
    </row>
    <row r="3694" spans="5:13">
      <c r="E3694" s="668"/>
      <c r="F3694" s="668"/>
      <c r="G3694" s="668"/>
      <c r="H3694" s="460" t="s">
        <v>1547</v>
      </c>
      <c r="I3694" s="668"/>
      <c r="J3694" s="668"/>
      <c r="K3694" s="674"/>
      <c r="L3694" s="668"/>
      <c r="M3694" s="668"/>
    </row>
    <row r="3695" spans="5:13">
      <c r="E3695" s="668"/>
      <c r="F3695" s="668">
        <v>1</v>
      </c>
      <c r="G3695" s="668" t="s">
        <v>5</v>
      </c>
      <c r="H3695" s="668" t="s">
        <v>5358</v>
      </c>
      <c r="I3695" s="670">
        <v>42</v>
      </c>
      <c r="J3695" s="668" t="s">
        <v>5</v>
      </c>
      <c r="K3695" s="674">
        <f>F3695*I3695</f>
        <v>42</v>
      </c>
      <c r="L3695" s="668"/>
      <c r="M3695" s="668"/>
    </row>
    <row r="3696" spans="5:13" ht="20.25" customHeight="1">
      <c r="E3696" s="668"/>
      <c r="F3696" s="672">
        <v>1.4999999999999999E-2</v>
      </c>
      <c r="G3696" s="668" t="s">
        <v>26</v>
      </c>
      <c r="H3696" s="703" t="s">
        <v>4967</v>
      </c>
      <c r="I3696" s="668">
        <f>I3000</f>
        <v>640</v>
      </c>
      <c r="J3696" s="668" t="s">
        <v>26</v>
      </c>
      <c r="K3696" s="674">
        <f>F3696*I3696</f>
        <v>9.6</v>
      </c>
      <c r="L3696" s="668"/>
      <c r="M3696" s="668"/>
    </row>
    <row r="3697" spans="5:13">
      <c r="E3697" s="668"/>
      <c r="F3697" s="668"/>
      <c r="G3697" s="668"/>
      <c r="H3697" s="668" t="s">
        <v>4968</v>
      </c>
      <c r="I3697" s="668"/>
      <c r="J3697" s="668" t="s">
        <v>170</v>
      </c>
      <c r="K3697" s="674">
        <v>4.4000000000000004</v>
      </c>
      <c r="L3697" s="668"/>
      <c r="M3697" s="668"/>
    </row>
    <row r="3698" spans="5:13">
      <c r="E3698" s="668"/>
      <c r="F3698" s="668"/>
      <c r="G3698" s="668"/>
      <c r="H3698" s="676" t="s">
        <v>4714</v>
      </c>
      <c r="I3698" s="668"/>
      <c r="J3698" s="668"/>
      <c r="K3698" s="676">
        <f>SUM(K3695:K3697)</f>
        <v>56</v>
      </c>
      <c r="L3698" s="668"/>
      <c r="M3698" s="668"/>
    </row>
    <row r="3699" spans="5:13">
      <c r="E3699" s="668"/>
      <c r="F3699" s="668"/>
      <c r="G3699" s="668"/>
      <c r="H3699" s="668"/>
      <c r="I3699" s="668"/>
      <c r="J3699" s="668"/>
      <c r="K3699" s="674"/>
      <c r="L3699" s="668"/>
      <c r="M3699" s="668"/>
    </row>
    <row r="3700" spans="5:13">
      <c r="E3700" s="668"/>
      <c r="F3700" s="668"/>
      <c r="G3700" s="668"/>
      <c r="H3700" s="460" t="s">
        <v>4969</v>
      </c>
      <c r="I3700" s="668"/>
      <c r="J3700" s="668"/>
      <c r="K3700" s="674"/>
      <c r="L3700" s="668"/>
      <c r="M3700" s="668"/>
    </row>
    <row r="3701" spans="5:13">
      <c r="E3701" s="668"/>
      <c r="F3701" s="668"/>
      <c r="G3701" s="668"/>
      <c r="H3701" s="668"/>
      <c r="I3701" s="668"/>
      <c r="J3701" s="668"/>
      <c r="K3701" s="674"/>
      <c r="L3701" s="668"/>
      <c r="M3701" s="668"/>
    </row>
    <row r="3702" spans="5:13" ht="51.75" customHeight="1">
      <c r="E3702" s="668"/>
      <c r="F3702" s="668"/>
      <c r="G3702" s="668"/>
      <c r="H3702" s="703" t="s">
        <v>4970</v>
      </c>
      <c r="I3702" s="668"/>
      <c r="J3702" s="668"/>
      <c r="K3702" s="674"/>
      <c r="L3702" s="668"/>
      <c r="M3702" s="668"/>
    </row>
    <row r="3703" spans="5:13">
      <c r="E3703" s="668"/>
      <c r="F3703" s="668"/>
      <c r="G3703" s="668"/>
      <c r="H3703" s="668"/>
      <c r="I3703" s="668"/>
      <c r="J3703" s="668"/>
      <c r="K3703" s="674"/>
      <c r="L3703" s="668"/>
      <c r="M3703" s="668"/>
    </row>
    <row r="3704" spans="5:13">
      <c r="E3704" s="668"/>
      <c r="F3704" s="668">
        <v>1</v>
      </c>
      <c r="G3704" s="668" t="s">
        <v>5</v>
      </c>
      <c r="H3704" s="668" t="s">
        <v>5359</v>
      </c>
      <c r="I3704" s="670">
        <v>15.7</v>
      </c>
      <c r="J3704" s="668" t="s">
        <v>5</v>
      </c>
      <c r="K3704" s="674">
        <f>F3704*I3704</f>
        <v>15.7</v>
      </c>
      <c r="L3704" s="668"/>
      <c r="M3704" s="668"/>
    </row>
    <row r="3705" spans="5:13">
      <c r="E3705" s="668"/>
      <c r="F3705" s="668">
        <v>0.01</v>
      </c>
      <c r="G3705" s="668" t="s">
        <v>4971</v>
      </c>
      <c r="H3705" s="668" t="s">
        <v>4967</v>
      </c>
      <c r="I3705" s="668">
        <f>I3696</f>
        <v>640</v>
      </c>
      <c r="J3705" s="668" t="s">
        <v>26</v>
      </c>
      <c r="K3705" s="674">
        <f>F3705*I3705</f>
        <v>6.4</v>
      </c>
      <c r="L3705" s="668"/>
      <c r="M3705" s="668"/>
    </row>
    <row r="3706" spans="5:13">
      <c r="E3706" s="668"/>
      <c r="F3706" s="668">
        <v>1</v>
      </c>
      <c r="G3706" s="668" t="s">
        <v>5</v>
      </c>
      <c r="H3706" s="668" t="s">
        <v>4972</v>
      </c>
      <c r="I3706" s="670">
        <v>24</v>
      </c>
      <c r="J3706" s="668" t="s">
        <v>5</v>
      </c>
      <c r="K3706" s="674">
        <f>F3706*I3706</f>
        <v>24</v>
      </c>
      <c r="L3706" s="668"/>
      <c r="M3706" s="668"/>
    </row>
    <row r="3707" spans="5:13">
      <c r="E3707" s="668"/>
      <c r="F3707" s="668"/>
      <c r="G3707" s="668"/>
      <c r="H3707" s="668" t="s">
        <v>4973</v>
      </c>
      <c r="I3707" s="668" t="s">
        <v>170</v>
      </c>
      <c r="J3707" s="668"/>
      <c r="K3707" s="674">
        <v>5.9</v>
      </c>
      <c r="L3707" s="668"/>
      <c r="M3707" s="668"/>
    </row>
    <row r="3708" spans="5:13">
      <c r="E3708" s="668"/>
      <c r="F3708" s="668"/>
      <c r="G3708" s="668"/>
      <c r="H3708" s="676" t="s">
        <v>4974</v>
      </c>
      <c r="I3708" s="668"/>
      <c r="J3708" s="668"/>
      <c r="K3708" s="676">
        <f>SUM(K3704:K3707)</f>
        <v>52</v>
      </c>
      <c r="L3708" s="668"/>
      <c r="M3708" s="668"/>
    </row>
    <row r="3709" spans="5:13">
      <c r="E3709" s="668"/>
      <c r="F3709" s="668"/>
      <c r="G3709" s="668"/>
      <c r="H3709" s="668"/>
      <c r="I3709" s="668"/>
      <c r="J3709" s="668"/>
      <c r="K3709" s="674"/>
      <c r="L3709" s="668"/>
      <c r="M3709" s="668"/>
    </row>
    <row r="3710" spans="5:13">
      <c r="E3710" s="668"/>
      <c r="F3710" s="668"/>
      <c r="G3710" s="668"/>
      <c r="H3710" s="460" t="s">
        <v>4975</v>
      </c>
      <c r="I3710" s="668"/>
      <c r="J3710" s="668"/>
      <c r="K3710" s="674"/>
      <c r="L3710" s="668"/>
      <c r="M3710" s="668"/>
    </row>
    <row r="3711" spans="5:13">
      <c r="E3711" s="668"/>
      <c r="F3711" s="668"/>
      <c r="G3711" s="668"/>
      <c r="H3711" s="668"/>
      <c r="I3711" s="668"/>
      <c r="J3711" s="668"/>
      <c r="K3711" s="674"/>
      <c r="L3711" s="668"/>
      <c r="M3711" s="668"/>
    </row>
    <row r="3712" spans="5:13" ht="78.75">
      <c r="E3712" s="668"/>
      <c r="F3712" s="668"/>
      <c r="G3712" s="668"/>
      <c r="H3712" s="703" t="s">
        <v>5360</v>
      </c>
      <c r="I3712" s="668"/>
      <c r="J3712" s="668"/>
      <c r="K3712" s="674"/>
      <c r="L3712" s="668"/>
      <c r="M3712" s="668"/>
    </row>
    <row r="3713" spans="5:13">
      <c r="E3713" s="668"/>
      <c r="F3713" s="668"/>
      <c r="G3713" s="668"/>
      <c r="H3713" s="668"/>
      <c r="I3713" s="668"/>
      <c r="J3713" s="668"/>
      <c r="K3713" s="674"/>
      <c r="L3713" s="668"/>
      <c r="M3713" s="668"/>
    </row>
    <row r="3714" spans="5:13">
      <c r="F3714" s="668">
        <v>6</v>
      </c>
      <c r="G3714" s="668" t="s">
        <v>12</v>
      </c>
      <c r="H3714" s="668" t="s">
        <v>5361</v>
      </c>
      <c r="I3714" s="670">
        <v>231.5</v>
      </c>
      <c r="J3714" s="668" t="s">
        <v>12</v>
      </c>
      <c r="K3714" s="674">
        <f>F3714*I3714</f>
        <v>1389</v>
      </c>
      <c r="L3714" s="668"/>
      <c r="M3714" s="668"/>
    </row>
    <row r="3715" spans="5:13">
      <c r="F3715" s="668">
        <v>2</v>
      </c>
      <c r="G3715" s="668" t="s">
        <v>12</v>
      </c>
      <c r="H3715" s="668" t="s">
        <v>5362</v>
      </c>
      <c r="I3715" s="670">
        <v>93.45</v>
      </c>
      <c r="J3715" s="668" t="s">
        <v>12</v>
      </c>
      <c r="K3715" s="674">
        <f>F3715*I3715</f>
        <v>186.9</v>
      </c>
      <c r="L3715" s="668"/>
      <c r="M3715" s="668"/>
    </row>
    <row r="3716" spans="5:13">
      <c r="F3716" s="668">
        <v>1</v>
      </c>
      <c r="G3716" s="668" t="s">
        <v>5</v>
      </c>
      <c r="H3716" s="668" t="s">
        <v>4977</v>
      </c>
      <c r="I3716" s="668">
        <v>130</v>
      </c>
      <c r="J3716" s="668" t="s">
        <v>5</v>
      </c>
      <c r="K3716" s="674">
        <f>F3716*I3716</f>
        <v>130</v>
      </c>
      <c r="L3716" s="668"/>
      <c r="M3716" s="668"/>
    </row>
    <row r="3717" spans="5:13">
      <c r="F3717" s="668">
        <v>1</v>
      </c>
      <c r="G3717" s="668" t="s">
        <v>5</v>
      </c>
      <c r="H3717" s="668" t="s">
        <v>5363</v>
      </c>
      <c r="I3717" s="668">
        <v>90</v>
      </c>
      <c r="J3717" s="668" t="s">
        <v>5</v>
      </c>
      <c r="K3717" s="674">
        <f>F3717*I3717</f>
        <v>90</v>
      </c>
      <c r="L3717" s="668"/>
      <c r="M3717" s="668"/>
    </row>
    <row r="3718" spans="5:13">
      <c r="F3718" s="672">
        <v>0.23799999999999999</v>
      </c>
      <c r="G3718" s="668" t="s">
        <v>19</v>
      </c>
      <c r="H3718" s="668" t="s">
        <v>4979</v>
      </c>
      <c r="I3718" s="670">
        <v>3500</v>
      </c>
      <c r="J3718" s="668" t="s">
        <v>19</v>
      </c>
      <c r="K3718" s="674">
        <f>F3718*I3718</f>
        <v>833</v>
      </c>
      <c r="L3718" s="668">
        <f>[3]Data!K224+62.16</f>
        <v>5696.95</v>
      </c>
      <c r="M3718" s="668"/>
    </row>
    <row r="3719" spans="5:13" ht="41.25" customHeight="1">
      <c r="F3719" s="668"/>
      <c r="G3719" s="668" t="s">
        <v>170</v>
      </c>
      <c r="H3719" s="703" t="s">
        <v>4980</v>
      </c>
      <c r="I3719" s="668" t="s">
        <v>170</v>
      </c>
      <c r="J3719" s="668"/>
      <c r="K3719" s="674">
        <v>224.7</v>
      </c>
      <c r="L3719" s="668"/>
      <c r="M3719" s="668"/>
    </row>
    <row r="3720" spans="5:13" ht="52.5" customHeight="1">
      <c r="F3720" s="668">
        <v>1</v>
      </c>
      <c r="G3720" s="668" t="s">
        <v>5</v>
      </c>
      <c r="H3720" s="703" t="s">
        <v>4981</v>
      </c>
      <c r="I3720" s="668" t="s">
        <v>170</v>
      </c>
      <c r="J3720" s="668"/>
      <c r="K3720" s="674">
        <v>60</v>
      </c>
      <c r="L3720" s="668"/>
      <c r="M3720" s="668"/>
    </row>
    <row r="3721" spans="5:13" ht="37.5" customHeight="1">
      <c r="F3721" s="668">
        <v>8</v>
      </c>
      <c r="G3721" s="668" t="s">
        <v>12</v>
      </c>
      <c r="H3721" s="703" t="s">
        <v>4982</v>
      </c>
      <c r="I3721" s="668">
        <f>I2843</f>
        <v>12.8</v>
      </c>
      <c r="J3721" s="668"/>
      <c r="K3721" s="674">
        <f>F3721*I3721</f>
        <v>102.4</v>
      </c>
      <c r="L3721" s="668"/>
      <c r="M3721" s="668"/>
    </row>
    <row r="3722" spans="5:13">
      <c r="E3722" s="668"/>
      <c r="F3722" s="668"/>
      <c r="G3722" s="668"/>
      <c r="H3722" s="668" t="s">
        <v>2389</v>
      </c>
      <c r="I3722" s="668"/>
      <c r="J3722" s="668"/>
      <c r="K3722" s="674">
        <f>K3729</f>
        <v>969</v>
      </c>
      <c r="L3722" s="668"/>
      <c r="M3722" s="668"/>
    </row>
    <row r="3723" spans="5:13">
      <c r="E3723" s="668"/>
      <c r="F3723" s="668"/>
      <c r="G3723" s="668"/>
      <c r="H3723" s="676" t="s">
        <v>4714</v>
      </c>
      <c r="I3723" s="668"/>
      <c r="J3723" s="668"/>
      <c r="K3723" s="676">
        <f>SUM(K3714:K3722)</f>
        <v>3985</v>
      </c>
      <c r="L3723" s="668"/>
      <c r="M3723" s="668"/>
    </row>
    <row r="3724" spans="5:13">
      <c r="E3724" s="668"/>
      <c r="F3724" s="668"/>
      <c r="G3724" s="668"/>
      <c r="H3724" s="668"/>
      <c r="I3724" s="668"/>
      <c r="J3724" s="668"/>
      <c r="K3724" s="674"/>
      <c r="L3724" s="668"/>
      <c r="M3724" s="668"/>
    </row>
    <row r="3725" spans="5:13">
      <c r="E3725" s="668"/>
      <c r="F3725" s="668"/>
      <c r="G3725" s="668"/>
      <c r="H3725" s="675" t="s">
        <v>2401</v>
      </c>
      <c r="I3725" s="668"/>
      <c r="J3725" s="668"/>
      <c r="K3725" s="674"/>
      <c r="L3725" s="668"/>
      <c r="M3725" s="668"/>
    </row>
    <row r="3726" spans="5:13">
      <c r="E3726" s="668"/>
      <c r="F3726" s="668">
        <v>0.5</v>
      </c>
      <c r="G3726" s="668" t="s">
        <v>5</v>
      </c>
      <c r="H3726" s="668" t="s">
        <v>2418</v>
      </c>
      <c r="I3726" s="668">
        <f>I3623</f>
        <v>254</v>
      </c>
      <c r="J3726" s="668" t="s">
        <v>5</v>
      </c>
      <c r="K3726" s="674">
        <f>F3726*I3726</f>
        <v>127</v>
      </c>
      <c r="L3726" s="668"/>
      <c r="M3726" s="668"/>
    </row>
    <row r="3727" spans="5:13">
      <c r="E3727" s="668"/>
      <c r="F3727" s="668">
        <v>2</v>
      </c>
      <c r="G3727" s="668" t="s">
        <v>5</v>
      </c>
      <c r="H3727" s="668" t="s">
        <v>2419</v>
      </c>
      <c r="I3727" s="668">
        <f>I3624</f>
        <v>240</v>
      </c>
      <c r="J3727" s="668" t="s">
        <v>5</v>
      </c>
      <c r="K3727" s="674">
        <f>F3727*I3727</f>
        <v>480</v>
      </c>
      <c r="L3727" s="668"/>
      <c r="M3727" s="668"/>
    </row>
    <row r="3728" spans="5:13">
      <c r="E3728" s="668"/>
      <c r="F3728" s="668">
        <v>2</v>
      </c>
      <c r="G3728" s="668" t="s">
        <v>5</v>
      </c>
      <c r="H3728" s="668" t="s">
        <v>2410</v>
      </c>
      <c r="I3728" s="668">
        <f>I3625</f>
        <v>181</v>
      </c>
      <c r="J3728" s="668" t="s">
        <v>5</v>
      </c>
      <c r="K3728" s="674">
        <f>F3728*I3728</f>
        <v>362</v>
      </c>
      <c r="L3728" s="668"/>
      <c r="M3728" s="668"/>
    </row>
    <row r="3729" spans="5:13">
      <c r="E3729" s="668"/>
      <c r="F3729" s="668"/>
      <c r="G3729" s="668"/>
      <c r="H3729" s="668"/>
      <c r="I3729" s="668"/>
      <c r="J3729" s="668"/>
      <c r="K3729" s="856">
        <f>SUM(K3726:K3728)</f>
        <v>969</v>
      </c>
      <c r="L3729" s="668"/>
      <c r="M3729" s="668"/>
    </row>
    <row r="3730" spans="5:13">
      <c r="E3730" s="668"/>
      <c r="F3730" s="668"/>
      <c r="G3730" s="668"/>
      <c r="H3730" s="668"/>
      <c r="I3730" s="668"/>
      <c r="J3730" s="668"/>
      <c r="K3730" s="674"/>
      <c r="L3730" s="668"/>
      <c r="M3730" s="668"/>
    </row>
    <row r="3731" spans="5:13">
      <c r="E3731" s="668"/>
      <c r="F3731" s="668"/>
      <c r="G3731" s="668"/>
      <c r="H3731" s="460" t="s">
        <v>4983</v>
      </c>
      <c r="I3731" s="668"/>
      <c r="J3731" s="668"/>
      <c r="K3731" s="674"/>
      <c r="L3731" s="668"/>
      <c r="M3731" s="668"/>
    </row>
    <row r="3732" spans="5:13">
      <c r="E3732" s="668"/>
      <c r="F3732" s="668"/>
      <c r="G3732" s="668"/>
      <c r="H3732" s="668"/>
      <c r="I3732" s="668"/>
      <c r="J3732" s="668"/>
      <c r="K3732" s="674"/>
      <c r="L3732" s="668"/>
      <c r="M3732" s="668"/>
    </row>
    <row r="3733" spans="5:13">
      <c r="E3733" s="668"/>
      <c r="F3733" s="668"/>
      <c r="G3733" s="668"/>
      <c r="H3733" s="460" t="s">
        <v>4984</v>
      </c>
      <c r="I3733" s="668"/>
      <c r="J3733" s="668"/>
      <c r="K3733" s="674"/>
      <c r="L3733" s="668"/>
      <c r="M3733" s="668"/>
    </row>
    <row r="3734" spans="5:13">
      <c r="E3734" s="668"/>
      <c r="F3734" s="668"/>
      <c r="G3734" s="668"/>
      <c r="H3734" s="668"/>
      <c r="I3734" s="668"/>
      <c r="J3734" s="668"/>
      <c r="K3734" s="674"/>
      <c r="L3734" s="668"/>
      <c r="M3734" s="668"/>
    </row>
    <row r="3735" spans="5:13">
      <c r="E3735" s="668"/>
      <c r="F3735" s="668">
        <v>1</v>
      </c>
      <c r="G3735" s="668" t="s">
        <v>5</v>
      </c>
      <c r="H3735" s="668" t="s">
        <v>5364</v>
      </c>
      <c r="I3735" s="704">
        <v>1270</v>
      </c>
      <c r="J3735" s="668" t="s">
        <v>5</v>
      </c>
      <c r="K3735" s="674">
        <f>F3735*I3735</f>
        <v>1270</v>
      </c>
      <c r="L3735" s="668"/>
      <c r="M3735" s="668"/>
    </row>
    <row r="3736" spans="5:13">
      <c r="E3736" s="668"/>
      <c r="F3736" s="668"/>
      <c r="G3736" s="668"/>
      <c r="H3736" s="668" t="s">
        <v>4599</v>
      </c>
      <c r="I3736" s="670">
        <v>102.85</v>
      </c>
      <c r="J3736" s="668" t="s">
        <v>5</v>
      </c>
      <c r="K3736" s="674">
        <f>I3736</f>
        <v>102.85</v>
      </c>
      <c r="L3736" s="668"/>
      <c r="M3736" s="668"/>
    </row>
    <row r="3737" spans="5:13" ht="39" customHeight="1">
      <c r="E3737" s="668"/>
      <c r="F3737" s="668"/>
      <c r="G3737" s="668"/>
      <c r="H3737" s="703" t="s">
        <v>4994</v>
      </c>
      <c r="I3737" s="668"/>
      <c r="J3737" s="668"/>
      <c r="K3737" s="858">
        <v>15.7</v>
      </c>
      <c r="L3737" s="668"/>
      <c r="M3737" s="668"/>
    </row>
    <row r="3738" spans="5:13">
      <c r="E3738" s="668"/>
      <c r="F3738" s="668"/>
      <c r="G3738" s="668"/>
      <c r="H3738" s="668" t="s">
        <v>4987</v>
      </c>
      <c r="I3738" s="668"/>
      <c r="J3738" s="686">
        <f>SUM(K3735:K3737)</f>
        <v>1388.55</v>
      </c>
      <c r="K3738" s="674">
        <f>J3738*1%+1.56</f>
        <v>15.445500000000001</v>
      </c>
      <c r="L3738" s="668"/>
      <c r="M3738" s="668"/>
    </row>
    <row r="3739" spans="5:13">
      <c r="E3739" s="668"/>
      <c r="F3739" s="668"/>
      <c r="G3739" s="668"/>
      <c r="H3739" s="668" t="s">
        <v>4988</v>
      </c>
      <c r="I3739" s="668"/>
      <c r="J3739" s="668"/>
      <c r="K3739" s="674">
        <f>K3746</f>
        <v>154</v>
      </c>
      <c r="L3739" s="668"/>
      <c r="M3739" s="668"/>
    </row>
    <row r="3740" spans="5:13">
      <c r="E3740" s="668"/>
      <c r="F3740" s="668"/>
      <c r="G3740" s="668"/>
      <c r="H3740" s="676" t="s">
        <v>4989</v>
      </c>
      <c r="I3740" s="668"/>
      <c r="J3740" s="668"/>
      <c r="K3740" s="676">
        <f>SUM(K3735:K3739)</f>
        <v>1557.9955</v>
      </c>
      <c r="L3740" s="668"/>
      <c r="M3740" s="668"/>
    </row>
    <row r="3741" spans="5:13">
      <c r="E3741" s="668"/>
      <c r="F3741" s="668"/>
      <c r="G3741" s="668"/>
      <c r="H3741" s="668"/>
      <c r="I3741" s="668"/>
      <c r="J3741" s="668"/>
      <c r="K3741" s="674"/>
      <c r="L3741" s="668"/>
      <c r="M3741" s="668"/>
    </row>
    <row r="3742" spans="5:13">
      <c r="E3742" s="668"/>
      <c r="F3742" s="668"/>
      <c r="G3742" s="668"/>
      <c r="H3742" s="675" t="s">
        <v>2389</v>
      </c>
      <c r="I3742" s="668"/>
      <c r="J3742" s="668"/>
      <c r="K3742" s="674"/>
      <c r="L3742" s="668"/>
      <c r="M3742" s="668"/>
    </row>
    <row r="3743" spans="5:13">
      <c r="E3743" s="668"/>
      <c r="F3743" s="668">
        <v>1</v>
      </c>
      <c r="G3743" s="668" t="s">
        <v>5</v>
      </c>
      <c r="H3743" s="668" t="s">
        <v>2418</v>
      </c>
      <c r="I3743" s="668">
        <f>I3726</f>
        <v>254</v>
      </c>
      <c r="J3743" s="668" t="s">
        <v>5</v>
      </c>
      <c r="K3743" s="674">
        <f>F3743*I3743</f>
        <v>254</v>
      </c>
      <c r="L3743" s="668"/>
      <c r="M3743" s="668"/>
    </row>
    <row r="3744" spans="5:13">
      <c r="E3744" s="668"/>
      <c r="F3744" s="668">
        <v>2</v>
      </c>
      <c r="G3744" s="668" t="s">
        <v>5</v>
      </c>
      <c r="H3744" s="668" t="s">
        <v>2410</v>
      </c>
      <c r="I3744" s="668">
        <f>I3728</f>
        <v>181</v>
      </c>
      <c r="J3744" s="668" t="s">
        <v>5</v>
      </c>
      <c r="K3744" s="674">
        <f>F3744*I3744</f>
        <v>362</v>
      </c>
      <c r="L3744" s="668"/>
      <c r="M3744" s="668"/>
    </row>
    <row r="3745" spans="5:13">
      <c r="E3745" s="668"/>
      <c r="F3745" s="668"/>
      <c r="G3745" s="668"/>
      <c r="H3745" s="674" t="s">
        <v>4990</v>
      </c>
      <c r="I3745" s="668"/>
      <c r="J3745" s="668"/>
      <c r="K3745" s="856">
        <f>SUM(K3743:K3744)</f>
        <v>616</v>
      </c>
      <c r="L3745" s="668"/>
      <c r="M3745" s="668"/>
    </row>
    <row r="3746" spans="5:13">
      <c r="E3746" s="668"/>
      <c r="F3746" s="668"/>
      <c r="G3746" s="668"/>
      <c r="H3746" s="676" t="s">
        <v>2373</v>
      </c>
      <c r="I3746" s="668"/>
      <c r="J3746" s="668"/>
      <c r="K3746" s="676">
        <f>K3745/4</f>
        <v>154</v>
      </c>
      <c r="L3746" s="668"/>
      <c r="M3746" s="668"/>
    </row>
    <row r="3747" spans="5:13" hidden="1">
      <c r="E3747" s="668"/>
      <c r="F3747" s="668"/>
      <c r="G3747" s="668"/>
      <c r="H3747" s="668"/>
      <c r="I3747" s="668"/>
      <c r="J3747" s="668"/>
      <c r="K3747" s="674"/>
      <c r="L3747" s="668"/>
      <c r="M3747" s="668"/>
    </row>
    <row r="3748" spans="5:13" hidden="1">
      <c r="E3748" s="668"/>
      <c r="F3748" s="668"/>
      <c r="G3748" s="668"/>
      <c r="H3748" s="668"/>
      <c r="I3748" s="668"/>
      <c r="J3748" s="668"/>
      <c r="K3748" s="674"/>
      <c r="L3748" s="668"/>
      <c r="M3748" s="668"/>
    </row>
    <row r="3749" spans="5:13">
      <c r="E3749" s="668"/>
      <c r="F3749" s="668"/>
      <c r="G3749" s="668"/>
      <c r="H3749" s="460" t="s">
        <v>4991</v>
      </c>
      <c r="I3749" s="668"/>
      <c r="J3749" s="668"/>
      <c r="K3749" s="674"/>
      <c r="L3749" s="668"/>
      <c r="M3749" s="668"/>
    </row>
    <row r="3750" spans="5:13">
      <c r="E3750" s="668"/>
      <c r="F3750" s="668"/>
      <c r="G3750" s="668"/>
      <c r="H3750" s="668"/>
      <c r="I3750" s="668"/>
      <c r="J3750" s="668"/>
      <c r="K3750" s="674"/>
      <c r="L3750" s="668"/>
      <c r="M3750" s="668"/>
    </row>
    <row r="3751" spans="5:13">
      <c r="E3751" s="668"/>
      <c r="F3751" s="668"/>
      <c r="G3751" s="668"/>
      <c r="H3751" s="460" t="s">
        <v>4992</v>
      </c>
      <c r="I3751" s="668"/>
      <c r="J3751" s="668"/>
      <c r="K3751" s="674"/>
      <c r="L3751" s="668"/>
      <c r="M3751" s="668"/>
    </row>
    <row r="3752" spans="5:13">
      <c r="E3752" s="668"/>
      <c r="F3752" s="668"/>
      <c r="G3752" s="668"/>
      <c r="H3752" s="668"/>
      <c r="I3752" s="668"/>
      <c r="J3752" s="668"/>
      <c r="K3752" s="674"/>
      <c r="L3752" s="668"/>
      <c r="M3752" s="668"/>
    </row>
    <row r="3753" spans="5:13">
      <c r="E3753" s="668"/>
      <c r="F3753" s="668"/>
      <c r="G3753" s="668"/>
      <c r="H3753" s="668" t="s">
        <v>5365</v>
      </c>
      <c r="I3753" s="704">
        <v>1110</v>
      </c>
      <c r="J3753" s="668" t="s">
        <v>5</v>
      </c>
      <c r="K3753" s="674">
        <f>I3753</f>
        <v>1110</v>
      </c>
      <c r="L3753" s="668"/>
      <c r="M3753" s="668"/>
    </row>
    <row r="3754" spans="5:13">
      <c r="E3754" s="668"/>
      <c r="F3754" s="668"/>
      <c r="G3754" s="668"/>
      <c r="H3754" s="668" t="s">
        <v>4599</v>
      </c>
      <c r="I3754" s="668">
        <f>I3736</f>
        <v>102.85</v>
      </c>
      <c r="J3754" s="668" t="s">
        <v>5</v>
      </c>
      <c r="K3754" s="674">
        <f>I3754</f>
        <v>102.85</v>
      </c>
      <c r="L3754" s="668"/>
      <c r="M3754" s="668"/>
    </row>
    <row r="3755" spans="5:13" ht="31.5">
      <c r="E3755" s="668"/>
      <c r="F3755" s="668"/>
      <c r="G3755" s="668"/>
      <c r="H3755" s="703" t="s">
        <v>4994</v>
      </c>
      <c r="I3755" s="668"/>
      <c r="J3755" s="668"/>
      <c r="K3755" s="674">
        <f>K3737</f>
        <v>15.7</v>
      </c>
      <c r="L3755" s="668"/>
      <c r="M3755" s="668"/>
    </row>
    <row r="3756" spans="5:13">
      <c r="E3756" s="668"/>
      <c r="F3756" s="668"/>
      <c r="G3756" s="668"/>
      <c r="H3756" s="668" t="s">
        <v>4987</v>
      </c>
      <c r="I3756" s="668"/>
      <c r="J3756" s="668"/>
      <c r="K3756" s="674">
        <f>K3738</f>
        <v>15.445500000000001</v>
      </c>
      <c r="L3756" s="668"/>
      <c r="M3756" s="668"/>
    </row>
    <row r="3757" spans="5:13">
      <c r="E3757" s="668"/>
      <c r="F3757" s="668"/>
      <c r="G3757" s="668"/>
      <c r="H3757" s="668" t="s">
        <v>4988</v>
      </c>
      <c r="I3757" s="668"/>
      <c r="J3757" s="668"/>
      <c r="K3757" s="674">
        <f>K3739</f>
        <v>154</v>
      </c>
      <c r="L3757" s="668"/>
      <c r="M3757" s="668"/>
    </row>
    <row r="3758" spans="5:13">
      <c r="E3758" s="668"/>
      <c r="F3758" s="668"/>
      <c r="G3758" s="668"/>
      <c r="H3758" s="676" t="s">
        <v>4989</v>
      </c>
      <c r="I3758" s="668"/>
      <c r="J3758" s="668"/>
      <c r="K3758" s="676">
        <f>SUM(K3753:K3757)</f>
        <v>1397.9955</v>
      </c>
      <c r="L3758" s="668"/>
      <c r="M3758" s="668"/>
    </row>
    <row r="3759" spans="5:13">
      <c r="E3759" s="668"/>
      <c r="F3759" s="668"/>
      <c r="G3759" s="668"/>
      <c r="H3759" s="668"/>
      <c r="I3759" s="668"/>
      <c r="J3759" s="668"/>
      <c r="K3759" s="674"/>
      <c r="L3759" s="668"/>
      <c r="M3759" s="668"/>
    </row>
    <row r="3760" spans="5:13">
      <c r="E3760" s="668"/>
      <c r="F3760" s="668"/>
      <c r="G3760" s="668"/>
      <c r="H3760" s="675" t="s">
        <v>4995</v>
      </c>
      <c r="I3760" s="668"/>
      <c r="J3760" s="668"/>
      <c r="K3760" s="674"/>
      <c r="L3760" s="668">
        <f>1318-K3761</f>
        <v>118</v>
      </c>
      <c r="M3760" s="668"/>
    </row>
    <row r="3761" spans="5:13">
      <c r="E3761" s="668"/>
      <c r="F3761" s="668">
        <v>1</v>
      </c>
      <c r="G3761" s="668" t="s">
        <v>5</v>
      </c>
      <c r="H3761" s="668" t="s">
        <v>5366</v>
      </c>
      <c r="I3761" s="670">
        <v>1200</v>
      </c>
      <c r="J3761" s="668" t="s">
        <v>5</v>
      </c>
      <c r="K3761" s="674">
        <f>F3761*I3761</f>
        <v>1200</v>
      </c>
      <c r="L3761" s="668"/>
      <c r="M3761" s="668"/>
    </row>
    <row r="3762" spans="5:13">
      <c r="E3762" s="668"/>
      <c r="F3762" s="668">
        <v>1</v>
      </c>
      <c r="G3762" s="668" t="s">
        <v>5</v>
      </c>
      <c r="H3762" s="668" t="s">
        <v>4996</v>
      </c>
      <c r="I3762" s="668">
        <v>168</v>
      </c>
      <c r="J3762" s="668" t="s">
        <v>5</v>
      </c>
      <c r="K3762" s="674">
        <f>F3762*I3762</f>
        <v>168</v>
      </c>
      <c r="L3762" s="668"/>
      <c r="M3762" s="668"/>
    </row>
    <row r="3763" spans="5:13">
      <c r="E3763" s="668"/>
      <c r="F3763" s="668"/>
      <c r="G3763" s="668"/>
      <c r="H3763" s="674"/>
      <c r="I3763" s="668"/>
      <c r="J3763" s="668"/>
      <c r="K3763" s="676">
        <f>SUM(K3761:K3762)</f>
        <v>1368</v>
      </c>
      <c r="L3763" s="668"/>
      <c r="M3763" s="668"/>
    </row>
    <row r="3764" spans="5:13">
      <c r="E3764" s="668"/>
      <c r="F3764" s="668"/>
      <c r="G3764" s="668"/>
      <c r="H3764" s="460" t="s">
        <v>1549</v>
      </c>
      <c r="I3764" s="668"/>
      <c r="J3764" s="668"/>
      <c r="K3764" s="674"/>
      <c r="L3764" s="668"/>
      <c r="M3764" s="668"/>
    </row>
    <row r="3765" spans="5:13">
      <c r="E3765" s="668"/>
      <c r="F3765" s="668">
        <v>1</v>
      </c>
      <c r="G3765" s="668" t="s">
        <v>5</v>
      </c>
      <c r="H3765" s="668" t="s">
        <v>4999</v>
      </c>
      <c r="I3765" s="668">
        <v>404</v>
      </c>
      <c r="J3765" s="668" t="s">
        <v>5</v>
      </c>
      <c r="K3765" s="674">
        <f>F3765*I3765</f>
        <v>404</v>
      </c>
      <c r="L3765" s="668"/>
      <c r="M3765" s="668"/>
    </row>
    <row r="3766" spans="5:13">
      <c r="E3766" s="668"/>
      <c r="F3766" s="668">
        <v>1</v>
      </c>
      <c r="G3766" s="668" t="s">
        <v>5</v>
      </c>
      <c r="H3766" s="668" t="s">
        <v>5000</v>
      </c>
      <c r="I3766" s="704">
        <v>38.799999999999997</v>
      </c>
      <c r="J3766" s="668" t="s">
        <v>5</v>
      </c>
      <c r="K3766" s="674">
        <f>F3766*I3766</f>
        <v>38.799999999999997</v>
      </c>
      <c r="L3766" s="668"/>
      <c r="M3766" s="668"/>
    </row>
    <row r="3767" spans="5:13">
      <c r="E3767" s="668"/>
      <c r="F3767" s="668"/>
      <c r="G3767" s="668"/>
      <c r="H3767" s="668" t="s">
        <v>5002</v>
      </c>
      <c r="I3767" s="668"/>
      <c r="J3767" s="668"/>
      <c r="K3767" s="674">
        <f>K3244</f>
        <v>114.00450000000001</v>
      </c>
      <c r="L3767" s="668"/>
      <c r="M3767" s="668"/>
    </row>
    <row r="3768" spans="5:13">
      <c r="E3768" s="668"/>
      <c r="F3768" s="668"/>
      <c r="G3768" s="668"/>
      <c r="H3768" s="668" t="s">
        <v>2390</v>
      </c>
      <c r="I3768" s="668"/>
      <c r="J3768" s="668"/>
      <c r="K3768" s="674">
        <v>0.2</v>
      </c>
      <c r="L3768" s="668"/>
      <c r="M3768" s="668"/>
    </row>
    <row r="3769" spans="5:13">
      <c r="E3769" s="668"/>
      <c r="F3769" s="668"/>
      <c r="G3769" s="668"/>
      <c r="H3769" s="668"/>
      <c r="I3769" s="668"/>
      <c r="J3769" s="668"/>
      <c r="K3769" s="676">
        <f>SUM(K3765:K3768)</f>
        <v>557.00450000000001</v>
      </c>
      <c r="L3769" s="668"/>
      <c r="M3769" s="668"/>
    </row>
    <row r="3770" spans="5:13">
      <c r="E3770" s="668"/>
      <c r="F3770" s="668"/>
      <c r="G3770" s="668"/>
      <c r="H3770" s="668"/>
      <c r="I3770" s="668"/>
      <c r="J3770" s="668"/>
      <c r="K3770" s="674"/>
      <c r="L3770" s="668"/>
      <c r="M3770" s="668"/>
    </row>
    <row r="3771" spans="5:13">
      <c r="E3771" s="668"/>
      <c r="F3771" s="668"/>
      <c r="G3771" s="668"/>
      <c r="H3771" s="460" t="s">
        <v>5004</v>
      </c>
      <c r="I3771" s="668"/>
      <c r="J3771" s="668"/>
      <c r="K3771" s="674"/>
      <c r="L3771" s="668"/>
      <c r="M3771" s="668"/>
    </row>
    <row r="3772" spans="5:13">
      <c r="E3772" s="668"/>
      <c r="F3772" s="668">
        <v>1</v>
      </c>
      <c r="G3772" s="668" t="s">
        <v>5</v>
      </c>
      <c r="H3772" s="668" t="s">
        <v>4999</v>
      </c>
      <c r="I3772" s="668">
        <v>322</v>
      </c>
      <c r="J3772" s="668" t="s">
        <v>5</v>
      </c>
      <c r="K3772" s="674">
        <f>F3772*I3772</f>
        <v>322</v>
      </c>
      <c r="L3772" s="668"/>
      <c r="M3772" s="668"/>
    </row>
    <row r="3773" spans="5:13">
      <c r="E3773" s="668"/>
      <c r="F3773" s="668">
        <v>1</v>
      </c>
      <c r="G3773" s="668" t="s">
        <v>5</v>
      </c>
      <c r="H3773" s="668" t="s">
        <v>5000</v>
      </c>
      <c r="I3773" s="704">
        <v>38.799999999999997</v>
      </c>
      <c r="J3773" s="668" t="s">
        <v>5</v>
      </c>
      <c r="K3773" s="674">
        <f>F3773*I3773</f>
        <v>38.799999999999997</v>
      </c>
      <c r="L3773" s="668"/>
      <c r="M3773" s="668"/>
    </row>
    <row r="3774" spans="5:13">
      <c r="E3774" s="668"/>
      <c r="F3774" s="668"/>
      <c r="G3774" s="668"/>
      <c r="H3774" s="668" t="s">
        <v>5002</v>
      </c>
      <c r="I3774" s="668"/>
      <c r="J3774" s="668"/>
      <c r="K3774" s="674">
        <f>K3767</f>
        <v>114.00450000000001</v>
      </c>
      <c r="L3774" s="668"/>
      <c r="M3774" s="668"/>
    </row>
    <row r="3775" spans="5:13">
      <c r="E3775" s="668"/>
      <c r="F3775" s="668"/>
      <c r="G3775" s="668"/>
      <c r="H3775" s="668" t="s">
        <v>2390</v>
      </c>
      <c r="I3775" s="668"/>
      <c r="J3775" s="668"/>
      <c r="K3775" s="674">
        <v>0.2</v>
      </c>
      <c r="L3775" s="668"/>
      <c r="M3775" s="668"/>
    </row>
    <row r="3776" spans="5:13">
      <c r="E3776" s="668"/>
      <c r="F3776" s="668"/>
      <c r="G3776" s="668"/>
      <c r="H3776" s="668"/>
      <c r="I3776" s="668"/>
      <c r="J3776" s="668"/>
      <c r="K3776" s="676">
        <f>SUM(K3772:K3775)</f>
        <v>475.00450000000001</v>
      </c>
      <c r="L3776" s="668"/>
      <c r="M3776" s="668"/>
    </row>
    <row r="3777" spans="5:13" hidden="1">
      <c r="E3777" s="668"/>
      <c r="F3777" s="668"/>
      <c r="G3777" s="668"/>
      <c r="H3777" s="668"/>
      <c r="I3777" s="668"/>
      <c r="J3777" s="668"/>
      <c r="K3777" s="674"/>
      <c r="L3777" s="668"/>
      <c r="M3777" s="668"/>
    </row>
    <row r="3778" spans="5:13" hidden="1">
      <c r="E3778" s="668"/>
      <c r="F3778" s="668"/>
      <c r="G3778" s="668"/>
      <c r="H3778" s="668"/>
      <c r="I3778" s="668"/>
      <c r="J3778" s="668"/>
      <c r="K3778" s="674"/>
      <c r="L3778" s="668"/>
      <c r="M3778" s="668"/>
    </row>
    <row r="3779" spans="5:13" hidden="1">
      <c r="E3779" s="668"/>
      <c r="F3779" s="668"/>
      <c r="G3779" s="668"/>
      <c r="H3779" s="668"/>
      <c r="I3779" s="668"/>
      <c r="J3779" s="668"/>
      <c r="K3779" s="674"/>
      <c r="L3779" s="668"/>
      <c r="M3779" s="668"/>
    </row>
    <row r="3780" spans="5:13" hidden="1">
      <c r="E3780" s="668"/>
      <c r="F3780" s="668"/>
      <c r="G3780" s="668"/>
      <c r="H3780" s="668"/>
      <c r="I3780" s="668"/>
      <c r="J3780" s="668"/>
      <c r="K3780" s="674"/>
      <c r="L3780" s="668"/>
      <c r="M3780" s="668"/>
    </row>
    <row r="3781" spans="5:13" hidden="1">
      <c r="E3781" s="668"/>
      <c r="F3781" s="668"/>
      <c r="G3781" s="668"/>
      <c r="H3781" s="668"/>
      <c r="I3781" s="668"/>
      <c r="J3781" s="668"/>
      <c r="K3781" s="674"/>
      <c r="L3781" s="668"/>
      <c r="M3781" s="668"/>
    </row>
    <row r="3782" spans="5:13" hidden="1">
      <c r="E3782" s="668"/>
      <c r="F3782" s="668"/>
      <c r="G3782" s="668"/>
      <c r="J3782" s="511"/>
      <c r="L3782" s="668"/>
      <c r="M3782" s="668"/>
    </row>
    <row r="3783" spans="5:13" hidden="1">
      <c r="E3783" s="668"/>
      <c r="F3783" s="668"/>
      <c r="G3783" s="668"/>
      <c r="H3783" s="668"/>
      <c r="I3783" s="668"/>
      <c r="J3783" s="668"/>
      <c r="K3783" s="676"/>
      <c r="L3783" s="668"/>
      <c r="M3783" s="668"/>
    </row>
    <row r="3784" spans="5:13" hidden="1">
      <c r="E3784" s="668"/>
      <c r="F3784" s="668"/>
      <c r="G3784" s="668"/>
      <c r="H3784" s="668"/>
      <c r="I3784" s="668"/>
      <c r="J3784" s="668"/>
      <c r="K3784" s="674"/>
      <c r="L3784" s="668"/>
      <c r="M3784" s="668"/>
    </row>
    <row r="3785" spans="5:13">
      <c r="E3785" s="668"/>
      <c r="H3785" s="562" t="s">
        <v>5005</v>
      </c>
      <c r="L3785" s="668"/>
      <c r="M3785" s="668"/>
    </row>
    <row r="3786" spans="5:13">
      <c r="E3786" s="668"/>
      <c r="L3786" s="668"/>
      <c r="M3786" s="668"/>
    </row>
    <row r="3787" spans="5:13">
      <c r="E3787" s="668"/>
      <c r="H3787" s="562" t="s">
        <v>4623</v>
      </c>
      <c r="L3787" s="668"/>
      <c r="M3787" s="668"/>
    </row>
    <row r="3788" spans="5:13">
      <c r="E3788" s="668"/>
      <c r="L3788" s="668"/>
      <c r="M3788" s="668"/>
    </row>
    <row r="3789" spans="5:13" ht="94.5">
      <c r="E3789" s="668"/>
      <c r="H3789" s="667" t="s">
        <v>5296</v>
      </c>
      <c r="L3789" s="668"/>
      <c r="M3789" s="668"/>
    </row>
    <row r="3790" spans="5:13" ht="31.5">
      <c r="E3790" s="668"/>
      <c r="F3790" s="668">
        <v>90</v>
      </c>
      <c r="G3790" s="668" t="s">
        <v>12</v>
      </c>
      <c r="H3790" s="571" t="s">
        <v>2383</v>
      </c>
      <c r="I3790" s="668">
        <f>I2843</f>
        <v>12.8</v>
      </c>
      <c r="J3790" s="668" t="s">
        <v>2388</v>
      </c>
      <c r="K3790" s="674">
        <f>F3790*I3790</f>
        <v>1152</v>
      </c>
      <c r="L3790" s="668"/>
      <c r="M3790" s="668"/>
    </row>
    <row r="3791" spans="5:13" ht="31.5">
      <c r="E3791" s="668"/>
      <c r="F3791" s="668">
        <v>45</v>
      </c>
      <c r="G3791" s="668" t="s">
        <v>12</v>
      </c>
      <c r="H3791" s="667" t="s">
        <v>2384</v>
      </c>
      <c r="I3791" s="668">
        <f>I2844</f>
        <v>19.5</v>
      </c>
      <c r="J3791" s="668" t="s">
        <v>4628</v>
      </c>
      <c r="K3791" s="674">
        <f>F3791*I3791</f>
        <v>877.5</v>
      </c>
      <c r="L3791" s="668"/>
      <c r="M3791" s="668"/>
    </row>
    <row r="3792" spans="5:13">
      <c r="E3792" s="668"/>
      <c r="F3792" s="668">
        <v>20</v>
      </c>
      <c r="G3792" s="668" t="s">
        <v>5</v>
      </c>
      <c r="H3792" s="668" t="s">
        <v>4635</v>
      </c>
      <c r="I3792" s="668">
        <f>I2845</f>
        <v>3.15</v>
      </c>
      <c r="J3792" s="668" t="s">
        <v>5</v>
      </c>
      <c r="K3792" s="674">
        <f>F3792*I3792</f>
        <v>63</v>
      </c>
      <c r="L3792" s="668"/>
      <c r="M3792" s="668"/>
    </row>
    <row r="3793" spans="5:13">
      <c r="E3793" s="668"/>
      <c r="F3793" s="668">
        <v>150</v>
      </c>
      <c r="G3793" s="668" t="s">
        <v>5</v>
      </c>
      <c r="H3793" s="668" t="s">
        <v>5007</v>
      </c>
      <c r="I3793" s="670">
        <v>325</v>
      </c>
      <c r="J3793" s="668" t="s">
        <v>5008</v>
      </c>
      <c r="K3793" s="674">
        <f>(F3793*I3793)/1000</f>
        <v>48.75</v>
      </c>
      <c r="L3793" s="668"/>
      <c r="M3793" s="668"/>
    </row>
    <row r="3794" spans="5:13">
      <c r="E3794" s="668"/>
      <c r="F3794" s="668">
        <v>10</v>
      </c>
      <c r="G3794" s="668" t="s">
        <v>5</v>
      </c>
      <c r="H3794" s="668" t="s">
        <v>4637</v>
      </c>
      <c r="I3794" s="668">
        <f>I2846</f>
        <v>1.3083333333333333</v>
      </c>
      <c r="J3794" s="668" t="s">
        <v>5</v>
      </c>
      <c r="K3794" s="674">
        <f>F3794*I3794</f>
        <v>13.083333333333334</v>
      </c>
      <c r="L3794" s="668"/>
      <c r="M3794" s="668"/>
    </row>
    <row r="3795" spans="5:13">
      <c r="E3795" s="668"/>
      <c r="F3795" s="668">
        <v>10</v>
      </c>
      <c r="G3795" s="668" t="s">
        <v>5</v>
      </c>
      <c r="H3795" s="668" t="s">
        <v>5009</v>
      </c>
      <c r="I3795" s="668">
        <v>38.75</v>
      </c>
      <c r="J3795" s="668" t="s">
        <v>4633</v>
      </c>
      <c r="K3795" s="674">
        <f>(F3795*I3795)/12</f>
        <v>32.291666666666664</v>
      </c>
      <c r="L3795" s="668"/>
      <c r="M3795" s="668"/>
    </row>
    <row r="3796" spans="5:13">
      <c r="E3796" s="668"/>
      <c r="F3796" s="672">
        <v>1.4999999999999999E-2</v>
      </c>
      <c r="G3796" s="668" t="s">
        <v>26</v>
      </c>
      <c r="H3796" s="668" t="s">
        <v>4717</v>
      </c>
      <c r="I3796" s="668">
        <f>I2849</f>
        <v>640</v>
      </c>
      <c r="J3796" s="668" t="s">
        <v>26</v>
      </c>
      <c r="K3796" s="674">
        <f>F3796*I3796</f>
        <v>9.6</v>
      </c>
      <c r="L3796" s="668"/>
      <c r="M3796" s="668"/>
    </row>
    <row r="3797" spans="5:13">
      <c r="E3797" s="668"/>
      <c r="F3797" s="668">
        <v>10</v>
      </c>
      <c r="G3797" s="668" t="s">
        <v>5</v>
      </c>
      <c r="H3797" s="668" t="s">
        <v>4718</v>
      </c>
      <c r="I3797" s="668">
        <f>I2850</f>
        <v>16.170000000000002</v>
      </c>
      <c r="J3797" s="668" t="s">
        <v>5</v>
      </c>
      <c r="K3797" s="674">
        <f>(F3797*I3797)</f>
        <v>161.70000000000002</v>
      </c>
      <c r="L3797" s="668"/>
      <c r="M3797" s="668"/>
    </row>
    <row r="3798" spans="5:13">
      <c r="E3798" s="668"/>
      <c r="F3798" s="668">
        <v>10</v>
      </c>
      <c r="G3798" s="668" t="s">
        <v>5</v>
      </c>
      <c r="H3798" s="668" t="s">
        <v>4642</v>
      </c>
      <c r="I3798" s="668">
        <f>I2851</f>
        <v>15.75</v>
      </c>
      <c r="J3798" s="668" t="s">
        <v>5</v>
      </c>
      <c r="K3798" s="674">
        <f>F3798*I3798</f>
        <v>157.5</v>
      </c>
      <c r="L3798" s="668"/>
      <c r="M3798" s="668"/>
    </row>
    <row r="3799" spans="5:13">
      <c r="E3799" s="668"/>
      <c r="F3799" s="668">
        <v>1</v>
      </c>
      <c r="G3799" s="668" t="s">
        <v>2413</v>
      </c>
      <c r="H3799" s="668" t="s">
        <v>5367</v>
      </c>
      <c r="I3799" s="670">
        <v>78.7</v>
      </c>
      <c r="J3799" s="668" t="s">
        <v>2413</v>
      </c>
      <c r="K3799" s="674">
        <f>F3799*I3799</f>
        <v>78.7</v>
      </c>
      <c r="L3799" s="668"/>
      <c r="M3799" s="668"/>
    </row>
    <row r="3800" spans="5:13">
      <c r="E3800" s="668"/>
      <c r="F3800" s="668">
        <v>72</v>
      </c>
      <c r="G3800" s="668" t="s">
        <v>5</v>
      </c>
      <c r="H3800" s="668" t="s">
        <v>5368</v>
      </c>
      <c r="I3800" s="670">
        <v>42.5</v>
      </c>
      <c r="J3800" s="668" t="s">
        <v>2413</v>
      </c>
      <c r="K3800" s="674">
        <f>(F3800*I3800)/144</f>
        <v>21.25</v>
      </c>
      <c r="L3800" s="668"/>
      <c r="M3800" s="668"/>
    </row>
    <row r="3801" spans="5:13">
      <c r="E3801" s="668"/>
      <c r="F3801" s="673">
        <v>0.16666666666666666</v>
      </c>
      <c r="G3801" s="668" t="s">
        <v>2385</v>
      </c>
      <c r="H3801" s="668" t="s">
        <v>2386</v>
      </c>
      <c r="I3801" s="668">
        <v>260</v>
      </c>
      <c r="J3801" s="668" t="s">
        <v>2385</v>
      </c>
      <c r="K3801" s="674">
        <f t="shared" ref="K3801:K3806" si="99">F3801*I3801</f>
        <v>43.333333333333329</v>
      </c>
      <c r="L3801" s="668">
        <f>SUM(K3790:K3806)</f>
        <v>3584.8583333333331</v>
      </c>
      <c r="M3801" s="668"/>
    </row>
    <row r="3802" spans="5:13">
      <c r="E3802" s="668"/>
      <c r="F3802" s="668">
        <v>10</v>
      </c>
      <c r="G3802" s="668" t="s">
        <v>5</v>
      </c>
      <c r="H3802" s="668" t="s">
        <v>5012</v>
      </c>
      <c r="I3802" s="668">
        <v>15.7</v>
      </c>
      <c r="J3802" s="668" t="s">
        <v>5</v>
      </c>
      <c r="K3802" s="674">
        <f t="shared" si="99"/>
        <v>157</v>
      </c>
      <c r="L3802" s="668">
        <f>L3801*1/100</f>
        <v>35.84858333333333</v>
      </c>
      <c r="M3802" s="668"/>
    </row>
    <row r="3803" spans="5:13">
      <c r="E3803" s="668"/>
      <c r="F3803" s="668">
        <v>1</v>
      </c>
      <c r="G3803" s="668" t="s">
        <v>5</v>
      </c>
      <c r="H3803" s="668" t="s">
        <v>5013</v>
      </c>
      <c r="I3803" s="668">
        <v>18.899999999999999</v>
      </c>
      <c r="J3803" s="668" t="s">
        <v>5</v>
      </c>
      <c r="K3803" s="674">
        <f t="shared" si="99"/>
        <v>18.899999999999999</v>
      </c>
      <c r="L3803" s="668"/>
      <c r="M3803" s="668"/>
    </row>
    <row r="3804" spans="5:13">
      <c r="E3804" s="668"/>
      <c r="F3804" s="668">
        <v>0.1</v>
      </c>
      <c r="G3804" s="668" t="s">
        <v>26</v>
      </c>
      <c r="H3804" s="668" t="s">
        <v>5014</v>
      </c>
      <c r="I3804" s="668">
        <f>I2855</f>
        <v>640</v>
      </c>
      <c r="J3804" s="668" t="s">
        <v>26</v>
      </c>
      <c r="K3804" s="674">
        <f t="shared" si="99"/>
        <v>64</v>
      </c>
      <c r="L3804" s="668"/>
      <c r="M3804" s="668"/>
    </row>
    <row r="3805" spans="5:13" ht="31.5">
      <c r="E3805" s="668"/>
      <c r="F3805" s="668">
        <v>45</v>
      </c>
      <c r="G3805" s="668" t="s">
        <v>12</v>
      </c>
      <c r="H3805" s="571" t="s">
        <v>2387</v>
      </c>
      <c r="I3805" s="668">
        <f>I2856</f>
        <v>12.8</v>
      </c>
      <c r="J3805" s="668" t="s">
        <v>4646</v>
      </c>
      <c r="K3805" s="674">
        <f t="shared" si="99"/>
        <v>576</v>
      </c>
      <c r="L3805" s="668"/>
      <c r="M3805" s="668"/>
    </row>
    <row r="3806" spans="5:13">
      <c r="E3806" s="668"/>
      <c r="F3806" s="673">
        <v>0.5</v>
      </c>
      <c r="G3806" s="668" t="s">
        <v>5015</v>
      </c>
      <c r="H3806" s="571" t="s">
        <v>5369</v>
      </c>
      <c r="I3806" s="668">
        <v>220.5</v>
      </c>
      <c r="J3806" s="668" t="s">
        <v>5015</v>
      </c>
      <c r="K3806" s="674">
        <f t="shared" si="99"/>
        <v>110.25</v>
      </c>
      <c r="L3806" s="668"/>
      <c r="M3806" s="668"/>
    </row>
    <row r="3807" spans="5:13">
      <c r="E3807" s="668"/>
      <c r="F3807" s="668">
        <v>10</v>
      </c>
      <c r="G3807" s="668" t="s">
        <v>4650</v>
      </c>
      <c r="H3807" s="668" t="s">
        <v>2389</v>
      </c>
      <c r="I3807" s="668"/>
      <c r="J3807" s="668" t="s">
        <v>170</v>
      </c>
      <c r="K3807" s="674">
        <f>K3826</f>
        <v>1486</v>
      </c>
      <c r="L3807" s="668">
        <f>438.5*10</f>
        <v>4385</v>
      </c>
      <c r="M3807" s="668"/>
    </row>
    <row r="3808" spans="5:13">
      <c r="E3808" s="668"/>
      <c r="F3808" s="668" t="s">
        <v>170</v>
      </c>
      <c r="G3808" s="668"/>
      <c r="H3808" s="668" t="s">
        <v>5017</v>
      </c>
      <c r="I3808" s="668"/>
      <c r="J3808" s="668" t="s">
        <v>170</v>
      </c>
      <c r="K3808" s="674">
        <v>9.1300000000000008</v>
      </c>
      <c r="L3808" s="668"/>
      <c r="M3808" s="668"/>
    </row>
    <row r="3809" spans="5:13">
      <c r="E3809" s="668"/>
      <c r="F3809" s="668"/>
      <c r="G3809" s="668"/>
      <c r="H3809" s="674" t="s">
        <v>4649</v>
      </c>
      <c r="I3809" s="668"/>
      <c r="J3809" s="668"/>
      <c r="K3809" s="856">
        <f>SUM(K3790:K3808)</f>
        <v>5079.9883333333337</v>
      </c>
      <c r="L3809" s="668">
        <f>K3809-150+180</f>
        <v>5109.9883333333337</v>
      </c>
      <c r="M3809" s="668"/>
    </row>
    <row r="3810" spans="5:13">
      <c r="E3810" s="668"/>
      <c r="F3810" s="668"/>
      <c r="G3810" s="668"/>
      <c r="H3810" s="676" t="s">
        <v>4651</v>
      </c>
      <c r="I3810" s="668"/>
      <c r="J3810" s="668"/>
      <c r="K3810" s="676">
        <f>K3809/10</f>
        <v>507.99883333333338</v>
      </c>
      <c r="L3810" s="668">
        <f>464*10</f>
        <v>4640</v>
      </c>
      <c r="M3810" s="668"/>
    </row>
    <row r="3811" spans="5:13" hidden="1">
      <c r="E3811" s="668"/>
      <c r="F3811" s="668"/>
      <c r="G3811" s="668"/>
      <c r="H3811" s="668"/>
      <c r="I3811" s="668"/>
      <c r="J3811" s="668"/>
      <c r="K3811" s="674"/>
      <c r="L3811" s="668"/>
      <c r="M3811" s="668"/>
    </row>
    <row r="3812" spans="5:13" hidden="1">
      <c r="E3812" s="668"/>
      <c r="F3812" s="668"/>
      <c r="G3812" s="668"/>
      <c r="H3812" s="668"/>
      <c r="I3812" s="668"/>
      <c r="J3812" s="668"/>
      <c r="K3812" s="674"/>
      <c r="L3812" s="668"/>
      <c r="M3812" s="668"/>
    </row>
    <row r="3813" spans="5:13" hidden="1">
      <c r="E3813" s="668"/>
      <c r="F3813" s="668"/>
      <c r="G3813" s="668"/>
      <c r="H3813" s="668"/>
      <c r="I3813" s="668"/>
      <c r="J3813" s="668"/>
      <c r="K3813" s="674"/>
      <c r="L3813" s="668"/>
      <c r="M3813" s="668"/>
    </row>
    <row r="3814" spans="5:13">
      <c r="E3814" s="668"/>
      <c r="F3814" s="668"/>
      <c r="G3814" s="668"/>
      <c r="H3814" s="668"/>
      <c r="I3814" s="668"/>
      <c r="J3814" s="668"/>
      <c r="K3814" s="674"/>
      <c r="L3814" s="668"/>
      <c r="M3814" s="668"/>
    </row>
    <row r="3815" spans="5:13">
      <c r="E3815" s="668"/>
      <c r="F3815" s="668"/>
      <c r="G3815" s="460" t="s">
        <v>4653</v>
      </c>
      <c r="H3815" s="668"/>
      <c r="I3815" s="668"/>
      <c r="J3815" s="668"/>
      <c r="L3815" s="511">
        <f>L3810-K3809</f>
        <v>-439.98833333333369</v>
      </c>
      <c r="M3815" s="668"/>
    </row>
    <row r="3816" spans="5:13">
      <c r="E3816" s="668"/>
      <c r="F3816" s="668"/>
      <c r="G3816" s="668"/>
      <c r="H3816" s="668"/>
      <c r="I3816" s="668"/>
      <c r="J3816" s="668"/>
      <c r="M3816" s="668"/>
    </row>
    <row r="3817" spans="5:13">
      <c r="E3817" s="668"/>
      <c r="F3817" s="668"/>
      <c r="G3817" s="460" t="s">
        <v>4430</v>
      </c>
      <c r="H3817" s="668"/>
      <c r="I3817" s="668"/>
      <c r="J3817" s="668"/>
      <c r="M3817" s="668"/>
    </row>
    <row r="3818" spans="5:13">
      <c r="E3818" s="668"/>
      <c r="F3818" s="668"/>
      <c r="G3818" s="668"/>
      <c r="H3818" s="668"/>
      <c r="I3818" s="668"/>
      <c r="J3818" s="668"/>
      <c r="M3818" s="668"/>
    </row>
    <row r="3819" spans="5:13">
      <c r="F3819" s="668">
        <v>1</v>
      </c>
      <c r="G3819" s="668" t="s">
        <v>5</v>
      </c>
      <c r="H3819" s="668" t="s">
        <v>4655</v>
      </c>
      <c r="I3819" s="668">
        <f>I2866</f>
        <v>277</v>
      </c>
      <c r="J3819" s="668" t="s">
        <v>5</v>
      </c>
      <c r="K3819" s="674">
        <f>F3819*I3819</f>
        <v>277</v>
      </c>
      <c r="L3819" s="668"/>
      <c r="M3819" s="668"/>
    </row>
    <row r="3820" spans="5:13">
      <c r="F3820" s="668">
        <v>2</v>
      </c>
      <c r="G3820" s="668" t="s">
        <v>5</v>
      </c>
      <c r="H3820" s="668" t="s">
        <v>4656</v>
      </c>
      <c r="I3820" s="668">
        <f>I2867</f>
        <v>254</v>
      </c>
      <c r="J3820" s="668" t="s">
        <v>5</v>
      </c>
      <c r="K3820" s="674">
        <f>F3820*I3820</f>
        <v>508</v>
      </c>
      <c r="L3820" s="668"/>
      <c r="M3820" s="668"/>
    </row>
    <row r="3821" spans="5:13">
      <c r="F3821" s="668">
        <v>3</v>
      </c>
      <c r="G3821" s="668" t="s">
        <v>5</v>
      </c>
      <c r="H3821" s="668" t="s">
        <v>4657</v>
      </c>
      <c r="I3821" s="668">
        <f>I2868</f>
        <v>240</v>
      </c>
      <c r="J3821" s="668" t="s">
        <v>5</v>
      </c>
      <c r="K3821" s="674">
        <f>F3821*I3821</f>
        <v>720</v>
      </c>
      <c r="L3821" s="668"/>
      <c r="M3821" s="668"/>
    </row>
    <row r="3822" spans="5:13">
      <c r="F3822" s="668">
        <v>4</v>
      </c>
      <c r="G3822" s="668" t="s">
        <v>5</v>
      </c>
      <c r="H3822" s="668" t="s">
        <v>2410</v>
      </c>
      <c r="I3822" s="668">
        <f>I2869</f>
        <v>181</v>
      </c>
      <c r="J3822" s="668" t="s">
        <v>5</v>
      </c>
      <c r="K3822" s="674">
        <f>F3822*I3822</f>
        <v>724</v>
      </c>
      <c r="L3822" s="668"/>
      <c r="M3822" s="668"/>
    </row>
    <row r="3823" spans="5:13">
      <c r="F3823" s="668"/>
      <c r="G3823" s="668"/>
      <c r="H3823" s="668"/>
      <c r="I3823" s="668"/>
      <c r="J3823" s="668"/>
      <c r="K3823" s="674"/>
      <c r="L3823" s="668"/>
      <c r="M3823" s="668"/>
    </row>
    <row r="3824" spans="5:13" ht="51">
      <c r="E3824" s="668"/>
      <c r="F3824" s="668"/>
      <c r="G3824" s="511"/>
      <c r="H3824" s="678" t="s">
        <v>4661</v>
      </c>
      <c r="J3824" s="511"/>
      <c r="K3824" s="863">
        <f>SUM(K3819:K3822)</f>
        <v>2229</v>
      </c>
      <c r="L3824" s="679"/>
      <c r="M3824" s="668"/>
    </row>
    <row r="3825" spans="5:13" hidden="1">
      <c r="E3825" s="668"/>
      <c r="F3825" s="668"/>
      <c r="G3825" s="511"/>
      <c r="J3825" s="511"/>
      <c r="M3825" s="668"/>
    </row>
    <row r="3826" spans="5:13">
      <c r="E3826" s="668"/>
      <c r="F3826" s="668"/>
      <c r="G3826" s="511"/>
      <c r="J3826" s="680"/>
      <c r="K3826" s="864">
        <f>K3824*2/3</f>
        <v>1486</v>
      </c>
      <c r="L3826" s="681"/>
      <c r="M3826" s="668"/>
    </row>
    <row r="3827" spans="5:13" hidden="1">
      <c r="E3827" s="668"/>
      <c r="F3827" s="668"/>
      <c r="G3827" s="668"/>
      <c r="H3827" s="668"/>
      <c r="I3827" s="668"/>
      <c r="J3827" s="668"/>
      <c r="K3827" s="674"/>
      <c r="L3827" s="668"/>
      <c r="M3827" s="668"/>
    </row>
    <row r="3828" spans="5:13">
      <c r="E3828" s="668"/>
      <c r="F3828" s="668"/>
      <c r="G3828" s="668"/>
      <c r="H3828" s="562" t="s">
        <v>5018</v>
      </c>
      <c r="I3828" s="668"/>
      <c r="J3828" s="668"/>
      <c r="K3828" s="674"/>
      <c r="L3828" s="668"/>
      <c r="M3828" s="668"/>
    </row>
    <row r="3829" spans="5:13" hidden="1">
      <c r="E3829" s="668"/>
      <c r="F3829" s="668"/>
      <c r="G3829" s="668"/>
      <c r="H3829" s="668"/>
      <c r="I3829" s="668"/>
      <c r="J3829" s="668"/>
      <c r="K3829" s="674"/>
      <c r="L3829" s="668"/>
      <c r="M3829" s="668"/>
    </row>
    <row r="3830" spans="5:13" ht="94.5">
      <c r="E3830" s="668"/>
      <c r="F3830" s="668"/>
      <c r="G3830" s="668"/>
      <c r="H3830" s="667" t="s">
        <v>5370</v>
      </c>
      <c r="I3830" s="668"/>
      <c r="J3830" s="668"/>
      <c r="K3830" s="674"/>
      <c r="L3830" s="668"/>
      <c r="M3830" s="668"/>
    </row>
    <row r="3831" spans="5:13">
      <c r="E3831" s="668"/>
      <c r="F3831" s="668"/>
      <c r="G3831" s="668"/>
      <c r="H3831" s="668" t="s">
        <v>4666</v>
      </c>
      <c r="I3831" s="668"/>
      <c r="J3831" s="668"/>
      <c r="K3831" s="674">
        <f>K3809-K3808</f>
        <v>5070.8583333333336</v>
      </c>
      <c r="L3831" s="668"/>
      <c r="M3831" s="668"/>
    </row>
    <row r="3832" spans="5:13">
      <c r="E3832" s="668"/>
      <c r="F3832" s="668"/>
      <c r="G3832" s="668"/>
      <c r="H3832" s="668" t="s">
        <v>4667</v>
      </c>
      <c r="I3832" s="668"/>
      <c r="J3832" s="668"/>
      <c r="K3832" s="674">
        <f>K3798</f>
        <v>157.5</v>
      </c>
      <c r="L3832" s="668"/>
      <c r="M3832" s="668"/>
    </row>
    <row r="3833" spans="5:13">
      <c r="E3833" s="668"/>
      <c r="F3833" s="668"/>
      <c r="G3833" s="668"/>
      <c r="H3833" s="668" t="s">
        <v>5299</v>
      </c>
      <c r="I3833" s="668"/>
      <c r="J3833" s="668"/>
      <c r="K3833" s="674">
        <f>10*18.9</f>
        <v>189</v>
      </c>
      <c r="L3833" s="668"/>
      <c r="M3833" s="668"/>
    </row>
    <row r="3834" spans="5:13">
      <c r="E3834" s="668"/>
      <c r="F3834" s="668"/>
      <c r="G3834" s="668"/>
      <c r="H3834" s="668" t="s">
        <v>2390</v>
      </c>
      <c r="I3834" s="668"/>
      <c r="J3834" s="668"/>
      <c r="K3834" s="674">
        <v>7.63</v>
      </c>
      <c r="L3834" s="668"/>
      <c r="M3834" s="668"/>
    </row>
    <row r="3835" spans="5:13">
      <c r="E3835" s="668"/>
      <c r="F3835" s="668"/>
      <c r="G3835" s="668"/>
      <c r="H3835" s="674" t="s">
        <v>4670</v>
      </c>
      <c r="I3835" s="668"/>
      <c r="J3835" s="668"/>
      <c r="K3835" s="856">
        <f>K3831-K3832+K3833+K3834</f>
        <v>5109.9883333333337</v>
      </c>
      <c r="L3835" s="668"/>
      <c r="M3835" s="668"/>
    </row>
    <row r="3836" spans="5:13">
      <c r="E3836" s="668"/>
      <c r="F3836" s="668"/>
      <c r="G3836" s="668"/>
      <c r="H3836" s="676" t="s">
        <v>4671</v>
      </c>
      <c r="I3836" s="668"/>
      <c r="J3836" s="668"/>
      <c r="K3836" s="676">
        <f>K3835/10</f>
        <v>510.99883333333338</v>
      </c>
      <c r="L3836" s="668"/>
      <c r="M3836" s="668"/>
    </row>
    <row r="3837" spans="5:13" hidden="1">
      <c r="E3837" s="668"/>
      <c r="F3837" s="668"/>
      <c r="G3837" s="668"/>
      <c r="H3837" s="668"/>
      <c r="I3837" s="668"/>
      <c r="J3837" s="668"/>
      <c r="K3837" s="674"/>
      <c r="L3837" s="668"/>
      <c r="M3837" s="668"/>
    </row>
    <row r="3838" spans="5:13" hidden="1">
      <c r="E3838" s="668"/>
      <c r="F3838" s="668"/>
      <c r="G3838" s="668"/>
      <c r="H3838" s="668"/>
      <c r="I3838" s="668"/>
      <c r="J3838" s="668"/>
      <c r="K3838" s="674"/>
      <c r="L3838" s="668"/>
      <c r="M3838" s="668"/>
    </row>
    <row r="3839" spans="5:13">
      <c r="E3839" s="668"/>
      <c r="F3839" s="668"/>
      <c r="G3839" s="668"/>
      <c r="H3839" s="668"/>
      <c r="I3839" s="668"/>
      <c r="J3839" s="668"/>
      <c r="K3839" s="674"/>
      <c r="L3839" s="668"/>
      <c r="M3839" s="668"/>
    </row>
    <row r="3840" spans="5:13" ht="47.25">
      <c r="E3840" s="668"/>
      <c r="F3840" s="668"/>
      <c r="G3840" s="668"/>
      <c r="H3840" s="665" t="s">
        <v>5020</v>
      </c>
      <c r="I3840" s="668"/>
      <c r="J3840" s="668"/>
      <c r="K3840" s="674"/>
      <c r="L3840" s="668"/>
      <c r="M3840" s="668"/>
    </row>
    <row r="3841" spans="5:13">
      <c r="E3841" s="668"/>
      <c r="F3841" s="668"/>
      <c r="G3841" s="668"/>
      <c r="H3841" s="668"/>
      <c r="I3841" s="668"/>
      <c r="J3841" s="668"/>
      <c r="K3841" s="674"/>
      <c r="L3841" s="668"/>
      <c r="M3841" s="668"/>
    </row>
    <row r="3842" spans="5:13" ht="94.5">
      <c r="E3842" s="668"/>
      <c r="F3842" s="668"/>
      <c r="G3842" s="668"/>
      <c r="H3842" s="667" t="s">
        <v>5295</v>
      </c>
      <c r="I3842" s="668"/>
      <c r="J3842" s="668"/>
      <c r="K3842" s="674"/>
      <c r="L3842" s="668"/>
      <c r="M3842" s="668"/>
    </row>
    <row r="3843" spans="5:13">
      <c r="E3843" s="668"/>
      <c r="F3843" s="668"/>
      <c r="G3843" s="668"/>
      <c r="H3843" s="668" t="s">
        <v>4676</v>
      </c>
      <c r="I3843" s="668"/>
      <c r="J3843" s="668"/>
      <c r="K3843" s="674">
        <f>K3831</f>
        <v>5070.8583333333336</v>
      </c>
      <c r="L3843" s="668"/>
      <c r="M3843" s="668"/>
    </row>
    <row r="3844" spans="5:13">
      <c r="E3844" s="668"/>
      <c r="F3844" s="668"/>
      <c r="G3844" s="668"/>
      <c r="H3844" s="668" t="s">
        <v>4677</v>
      </c>
      <c r="I3844" s="668"/>
      <c r="J3844" s="668"/>
      <c r="K3844" s="674">
        <f>K3832</f>
        <v>157.5</v>
      </c>
      <c r="L3844" s="668"/>
      <c r="M3844" s="668"/>
    </row>
    <row r="3845" spans="5:13">
      <c r="E3845" s="668"/>
      <c r="F3845" s="668"/>
      <c r="G3845" s="668"/>
      <c r="H3845" s="668" t="s">
        <v>4678</v>
      </c>
      <c r="I3845" s="668"/>
      <c r="J3845" s="668"/>
      <c r="K3845" s="674">
        <f>K2892</f>
        <v>35</v>
      </c>
      <c r="L3845" s="668"/>
      <c r="M3845" s="668"/>
    </row>
    <row r="3846" spans="5:13">
      <c r="E3846" s="668"/>
      <c r="F3846" s="668"/>
      <c r="G3846" s="668"/>
      <c r="H3846" s="668" t="s">
        <v>4679</v>
      </c>
      <c r="I3846" s="668"/>
      <c r="J3846" s="668"/>
      <c r="K3846" s="674">
        <f>K2893</f>
        <v>161.70000000000002</v>
      </c>
      <c r="L3846" s="668"/>
      <c r="M3846" s="668"/>
    </row>
    <row r="3847" spans="5:13">
      <c r="E3847" s="668"/>
      <c r="F3847" s="668"/>
      <c r="G3847" s="668"/>
      <c r="H3847" s="668" t="s">
        <v>5371</v>
      </c>
      <c r="I3847" s="668"/>
      <c r="J3847" s="668"/>
      <c r="K3847" s="674">
        <v>450</v>
      </c>
      <c r="L3847" s="668"/>
      <c r="M3847" s="668"/>
    </row>
    <row r="3848" spans="5:13">
      <c r="E3848" s="668"/>
      <c r="F3848" s="668"/>
      <c r="G3848" s="668"/>
      <c r="H3848" s="668" t="s">
        <v>4681</v>
      </c>
      <c r="I3848" s="668"/>
      <c r="J3848" s="668"/>
      <c r="K3848" s="674">
        <f>10*9</f>
        <v>90</v>
      </c>
      <c r="L3848" s="668"/>
      <c r="M3848" s="668"/>
    </row>
    <row r="3849" spans="5:13">
      <c r="E3849" s="668"/>
      <c r="F3849" s="668"/>
      <c r="G3849" s="668"/>
      <c r="H3849" s="668" t="s">
        <v>5372</v>
      </c>
      <c r="I3849" s="668"/>
      <c r="J3849" s="668"/>
      <c r="K3849" s="674">
        <v>180</v>
      </c>
      <c r="L3849" s="668"/>
      <c r="M3849" s="668"/>
    </row>
    <row r="3850" spans="5:13">
      <c r="E3850" s="668"/>
      <c r="F3850" s="668"/>
      <c r="G3850" s="668"/>
      <c r="H3850" s="668" t="s">
        <v>2390</v>
      </c>
      <c r="I3850" s="668"/>
      <c r="J3850" s="668"/>
      <c r="K3850" s="674">
        <f>K3834+0.53+0.17+5</f>
        <v>13.33</v>
      </c>
      <c r="L3850" s="668"/>
      <c r="M3850" s="668"/>
    </row>
    <row r="3851" spans="5:13">
      <c r="E3851" s="668"/>
      <c r="F3851" s="668"/>
      <c r="G3851" s="668"/>
      <c r="H3851" s="674" t="s">
        <v>4670</v>
      </c>
      <c r="I3851" s="668"/>
      <c r="J3851" s="668"/>
      <c r="K3851" s="856">
        <f>(K3843-K3844-K3845-K3846)+(K3847+K3848+K3849+K3850)</f>
        <v>5449.9883333333337</v>
      </c>
      <c r="L3851" s="668"/>
      <c r="M3851" s="668"/>
    </row>
    <row r="3852" spans="5:13">
      <c r="E3852" s="668"/>
      <c r="F3852" s="668"/>
      <c r="G3852" s="668"/>
      <c r="H3852" s="676" t="s">
        <v>2378</v>
      </c>
      <c r="I3852" s="668"/>
      <c r="J3852" s="668"/>
      <c r="K3852" s="676">
        <f>K3851/10</f>
        <v>544.99883333333332</v>
      </c>
      <c r="L3852" s="668"/>
      <c r="M3852" s="668"/>
    </row>
    <row r="3853" spans="5:13" hidden="1">
      <c r="E3853" s="668"/>
      <c r="F3853" s="668"/>
      <c r="G3853" s="668"/>
      <c r="H3853" s="668"/>
      <c r="I3853" s="668"/>
      <c r="J3853" s="668"/>
      <c r="K3853" s="674"/>
      <c r="L3853" s="668"/>
      <c r="M3853" s="668"/>
    </row>
    <row r="3854" spans="5:13" hidden="1">
      <c r="E3854" s="668"/>
      <c r="F3854" s="668"/>
      <c r="G3854" s="668"/>
      <c r="H3854" s="668"/>
      <c r="I3854" s="668"/>
      <c r="J3854" s="668"/>
      <c r="K3854" s="674"/>
      <c r="L3854" s="668"/>
      <c r="M3854" s="668"/>
    </row>
    <row r="3855" spans="5:13" hidden="1">
      <c r="E3855" s="668"/>
      <c r="F3855" s="668"/>
      <c r="G3855" s="668"/>
      <c r="H3855" s="668"/>
      <c r="I3855" s="668"/>
      <c r="J3855" s="668"/>
      <c r="K3855" s="674"/>
      <c r="L3855" s="668"/>
      <c r="M3855" s="668"/>
    </row>
    <row r="3856" spans="5:13" hidden="1">
      <c r="E3856" s="668"/>
      <c r="F3856" s="668"/>
      <c r="G3856" s="668"/>
      <c r="H3856" s="668"/>
      <c r="I3856" s="668"/>
      <c r="J3856" s="668"/>
      <c r="K3856" s="674"/>
      <c r="L3856" s="668"/>
      <c r="M3856" s="668"/>
    </row>
    <row r="3857" spans="5:13">
      <c r="E3857" s="668"/>
      <c r="F3857" s="668"/>
      <c r="G3857" s="668"/>
      <c r="H3857" s="668"/>
      <c r="I3857" s="668"/>
      <c r="J3857" s="668"/>
      <c r="K3857" s="674"/>
      <c r="L3857" s="668"/>
      <c r="M3857" s="668"/>
    </row>
    <row r="3858" spans="5:13" ht="31.5">
      <c r="E3858" s="668"/>
      <c r="F3858" s="668"/>
      <c r="G3858" s="668"/>
      <c r="H3858" s="665" t="s">
        <v>1519</v>
      </c>
      <c r="I3858" s="668"/>
      <c r="J3858" s="668"/>
      <c r="K3858" s="674"/>
      <c r="L3858" s="668"/>
      <c r="M3858" s="668"/>
    </row>
    <row r="3859" spans="5:13" hidden="1">
      <c r="E3859" s="668"/>
      <c r="F3859" s="668"/>
      <c r="G3859" s="668"/>
      <c r="I3859" s="668"/>
      <c r="J3859" s="668"/>
      <c r="K3859" s="674"/>
      <c r="L3859" s="668"/>
      <c r="M3859" s="668"/>
    </row>
    <row r="3860" spans="5:13" hidden="1">
      <c r="E3860" s="668"/>
      <c r="F3860" s="668"/>
      <c r="G3860" s="668"/>
      <c r="I3860" s="668"/>
      <c r="J3860" s="668"/>
      <c r="K3860" s="674"/>
      <c r="L3860" s="668"/>
      <c r="M3860" s="668"/>
    </row>
    <row r="3861" spans="5:13" hidden="1">
      <c r="E3861" s="668"/>
      <c r="F3861" s="668"/>
      <c r="G3861" s="668"/>
      <c r="I3861" s="668"/>
      <c r="J3861" s="668"/>
      <c r="K3861" s="674"/>
      <c r="L3861" s="668"/>
      <c r="M3861" s="668"/>
    </row>
    <row r="3862" spans="5:13" hidden="1">
      <c r="E3862" s="668"/>
      <c r="F3862" s="668"/>
      <c r="G3862" s="668"/>
      <c r="I3862" s="668"/>
      <c r="J3862" s="668"/>
      <c r="K3862" s="674"/>
      <c r="L3862" s="668"/>
      <c r="M3862" s="668"/>
    </row>
    <row r="3863" spans="5:13" ht="94.5">
      <c r="E3863" s="668"/>
      <c r="F3863" s="668"/>
      <c r="G3863" s="668"/>
      <c r="H3863" s="667" t="s">
        <v>5296</v>
      </c>
      <c r="I3863" s="668"/>
      <c r="J3863" s="668"/>
      <c r="K3863" s="674"/>
      <c r="L3863" s="668"/>
      <c r="M3863" s="668"/>
    </row>
    <row r="3864" spans="5:13" hidden="1">
      <c r="E3864" s="668"/>
      <c r="F3864" s="668"/>
      <c r="G3864" s="668"/>
      <c r="H3864" s="668"/>
      <c r="I3864" s="668"/>
      <c r="J3864" s="668"/>
      <c r="K3864" s="674"/>
      <c r="L3864" s="668"/>
      <c r="M3864" s="668"/>
    </row>
    <row r="3865" spans="5:13" hidden="1">
      <c r="E3865" s="668"/>
      <c r="F3865" s="668"/>
      <c r="G3865" s="668"/>
      <c r="H3865" s="668"/>
      <c r="I3865" s="668"/>
      <c r="J3865" s="668"/>
      <c r="K3865" s="674"/>
      <c r="L3865" s="668"/>
      <c r="M3865" s="668"/>
    </row>
    <row r="3866" spans="5:13">
      <c r="E3866" s="668"/>
      <c r="F3866" s="668"/>
      <c r="G3866" s="668"/>
      <c r="H3866" s="668"/>
      <c r="I3866" s="668"/>
      <c r="J3866" s="668"/>
      <c r="K3866" s="674"/>
      <c r="L3866" s="668"/>
      <c r="M3866" s="668"/>
    </row>
    <row r="3867" spans="5:13">
      <c r="E3867" s="668"/>
      <c r="F3867" s="668"/>
      <c r="G3867" s="668"/>
      <c r="H3867" s="668" t="s">
        <v>4666</v>
      </c>
      <c r="I3867" s="668"/>
      <c r="J3867" s="668"/>
      <c r="K3867" s="674">
        <f>K3809</f>
        <v>5079.9883333333337</v>
      </c>
      <c r="L3867" s="668"/>
      <c r="M3867" s="668"/>
    </row>
    <row r="3868" spans="5:13">
      <c r="E3868" s="668"/>
      <c r="F3868" s="668"/>
      <c r="G3868" s="668"/>
      <c r="H3868" s="668" t="s">
        <v>5373</v>
      </c>
      <c r="I3868" s="668"/>
      <c r="J3868" s="668"/>
      <c r="K3868" s="674">
        <f>K3802</f>
        <v>157</v>
      </c>
      <c r="L3868" s="668"/>
      <c r="M3868" s="668"/>
    </row>
    <row r="3869" spans="5:13">
      <c r="E3869" s="668"/>
      <c r="F3869" s="668"/>
      <c r="G3869" s="668"/>
      <c r="H3869" s="668" t="s">
        <v>5024</v>
      </c>
      <c r="I3869" s="668"/>
      <c r="J3869" s="668"/>
      <c r="K3869" s="674">
        <f>K3804</f>
        <v>64</v>
      </c>
      <c r="L3869" s="668"/>
      <c r="M3869" s="668"/>
    </row>
    <row r="3870" spans="5:13">
      <c r="E3870" s="668"/>
      <c r="F3870" s="668"/>
      <c r="G3870" s="668"/>
      <c r="H3870" s="668" t="s">
        <v>5374</v>
      </c>
      <c r="I3870" s="668"/>
      <c r="J3870" s="668"/>
      <c r="K3870" s="674">
        <f>78.7*10</f>
        <v>787</v>
      </c>
      <c r="L3870" s="668"/>
      <c r="M3870" s="668"/>
    </row>
    <row r="3871" spans="5:13">
      <c r="E3871" s="668"/>
      <c r="F3871" s="668"/>
      <c r="G3871" s="668"/>
      <c r="H3871" s="668" t="s">
        <v>5375</v>
      </c>
      <c r="I3871" s="668"/>
      <c r="J3871" s="668"/>
      <c r="K3871" s="674">
        <f>0.6*640</f>
        <v>384</v>
      </c>
      <c r="L3871" s="668"/>
      <c r="M3871" s="668"/>
    </row>
    <row r="3872" spans="5:13">
      <c r="E3872" s="668"/>
      <c r="F3872" s="668"/>
      <c r="G3872" s="668"/>
      <c r="H3872" s="668" t="s">
        <v>5027</v>
      </c>
      <c r="I3872" s="668"/>
      <c r="J3872" s="668"/>
      <c r="K3872" s="674">
        <v>10</v>
      </c>
      <c r="L3872" s="668"/>
      <c r="M3872" s="668"/>
    </row>
    <row r="3873" spans="5:13">
      <c r="E3873" s="668"/>
      <c r="F3873" s="668"/>
      <c r="G3873" s="668"/>
      <c r="H3873" s="674" t="s">
        <v>4670</v>
      </c>
      <c r="I3873" s="668"/>
      <c r="J3873" s="668"/>
      <c r="K3873" s="856">
        <f>K3867-K3868-K3869+K3870+K3871+K3872</f>
        <v>6039.9883333333337</v>
      </c>
      <c r="L3873" s="668"/>
      <c r="M3873" s="668"/>
    </row>
    <row r="3874" spans="5:13">
      <c r="E3874" s="668"/>
      <c r="F3874" s="668"/>
      <c r="G3874" s="668"/>
      <c r="H3874" s="676" t="s">
        <v>4671</v>
      </c>
      <c r="I3874" s="668"/>
      <c r="J3874" s="668"/>
      <c r="K3874" s="676">
        <f>K3873/10</f>
        <v>603.99883333333332</v>
      </c>
      <c r="L3874" s="668"/>
      <c r="M3874" s="668"/>
    </row>
    <row r="3875" spans="5:13" hidden="1">
      <c r="E3875" s="668"/>
      <c r="F3875" s="668"/>
      <c r="G3875" s="668"/>
      <c r="H3875" s="668"/>
      <c r="I3875" s="668"/>
      <c r="J3875" s="668"/>
      <c r="K3875" s="674"/>
      <c r="L3875" s="668"/>
      <c r="M3875" s="668"/>
    </row>
    <row r="3876" spans="5:13" hidden="1">
      <c r="E3876" s="668"/>
      <c r="F3876" s="668"/>
      <c r="G3876" s="668"/>
      <c r="H3876" s="668"/>
      <c r="I3876" s="668"/>
      <c r="J3876" s="668"/>
      <c r="K3876" s="674"/>
      <c r="L3876" s="668"/>
      <c r="M3876" s="668"/>
    </row>
    <row r="3877" spans="5:13">
      <c r="E3877" s="668"/>
      <c r="F3877" s="668"/>
      <c r="G3877" s="668"/>
      <c r="H3877" s="668"/>
      <c r="I3877" s="668"/>
      <c r="J3877" s="668"/>
      <c r="K3877" s="674"/>
      <c r="L3877" s="668"/>
      <c r="M3877" s="668"/>
    </row>
    <row r="3878" spans="5:13" ht="47.25">
      <c r="E3878" s="668"/>
      <c r="F3878" s="668"/>
      <c r="G3878" s="668"/>
      <c r="H3878" s="665" t="s">
        <v>5028</v>
      </c>
      <c r="I3878" s="668"/>
      <c r="J3878" s="668"/>
      <c r="K3878" s="674"/>
      <c r="L3878" s="668"/>
      <c r="M3878" s="668"/>
    </row>
    <row r="3879" spans="5:13" ht="189" customHeight="1">
      <c r="E3879" s="668"/>
      <c r="F3879" s="668"/>
      <c r="G3879" s="668"/>
      <c r="H3879" s="667" t="s">
        <v>5295</v>
      </c>
      <c r="I3879" s="668"/>
      <c r="J3879" s="668"/>
      <c r="K3879" s="674"/>
      <c r="L3879" s="668"/>
      <c r="M3879" s="668"/>
    </row>
    <row r="3880" spans="5:13" ht="31.5">
      <c r="E3880" s="668"/>
      <c r="F3880" s="668">
        <v>90</v>
      </c>
      <c r="G3880" s="668" t="s">
        <v>12</v>
      </c>
      <c r="H3880" s="571" t="s">
        <v>2383</v>
      </c>
      <c r="I3880" s="668">
        <f>I3049</f>
        <v>12.8</v>
      </c>
      <c r="J3880" s="668" t="s">
        <v>2388</v>
      </c>
      <c r="K3880" s="674">
        <f t="shared" ref="K3880:K3890" si="100">F3880*I3880</f>
        <v>1152</v>
      </c>
      <c r="L3880" s="668"/>
      <c r="M3880" s="668"/>
    </row>
    <row r="3881" spans="5:13" ht="31.5">
      <c r="E3881" s="668"/>
      <c r="F3881" s="668">
        <v>30</v>
      </c>
      <c r="G3881" s="668" t="s">
        <v>12</v>
      </c>
      <c r="H3881" s="667" t="s">
        <v>2384</v>
      </c>
      <c r="I3881" s="668">
        <f>I3050</f>
        <v>19.5</v>
      </c>
      <c r="J3881" s="668" t="s">
        <v>12</v>
      </c>
      <c r="K3881" s="674">
        <f t="shared" si="100"/>
        <v>585</v>
      </c>
      <c r="L3881" s="668"/>
      <c r="M3881" s="668"/>
    </row>
    <row r="3882" spans="5:13">
      <c r="E3882" s="668"/>
      <c r="F3882" s="668">
        <v>10</v>
      </c>
      <c r="G3882" s="668" t="s">
        <v>5</v>
      </c>
      <c r="H3882" s="668" t="s">
        <v>4635</v>
      </c>
      <c r="I3882" s="668">
        <f>I3051</f>
        <v>3.15</v>
      </c>
      <c r="J3882" s="668" t="s">
        <v>5</v>
      </c>
      <c r="K3882" s="674">
        <f t="shared" si="100"/>
        <v>31.5</v>
      </c>
      <c r="L3882" s="668"/>
      <c r="M3882" s="668"/>
    </row>
    <row r="3883" spans="5:13">
      <c r="E3883" s="668"/>
      <c r="F3883" s="668">
        <v>5</v>
      </c>
      <c r="G3883" s="668" t="s">
        <v>5</v>
      </c>
      <c r="H3883" s="668" t="s">
        <v>4637</v>
      </c>
      <c r="I3883" s="668">
        <f>I3052</f>
        <v>1.3083333333333333</v>
      </c>
      <c r="J3883" s="668" t="s">
        <v>5</v>
      </c>
      <c r="K3883" s="674">
        <f t="shared" si="100"/>
        <v>6.541666666666667</v>
      </c>
      <c r="L3883" s="668"/>
      <c r="M3883" s="668"/>
    </row>
    <row r="3884" spans="5:13">
      <c r="E3884" s="668"/>
      <c r="F3884" s="668">
        <v>10</v>
      </c>
      <c r="G3884" s="668" t="s">
        <v>5</v>
      </c>
      <c r="H3884" s="668" t="s">
        <v>4732</v>
      </c>
      <c r="I3884" s="668">
        <f>I3053</f>
        <v>20.079999999999998</v>
      </c>
      <c r="J3884" s="668" t="s">
        <v>5</v>
      </c>
      <c r="K3884" s="674">
        <f t="shared" si="100"/>
        <v>200.79999999999998</v>
      </c>
      <c r="L3884" s="668"/>
      <c r="M3884" s="668"/>
    </row>
    <row r="3885" spans="5:13">
      <c r="E3885" s="668"/>
      <c r="F3885" s="668">
        <v>5</v>
      </c>
      <c r="G3885" s="668" t="s">
        <v>5</v>
      </c>
      <c r="H3885" s="668" t="s">
        <v>5030</v>
      </c>
      <c r="I3885" s="668">
        <v>2.5</v>
      </c>
      <c r="J3885" s="668" t="s">
        <v>556</v>
      </c>
      <c r="K3885" s="674">
        <f t="shared" si="100"/>
        <v>12.5</v>
      </c>
      <c r="L3885" s="668"/>
      <c r="M3885" s="668"/>
    </row>
    <row r="3886" spans="5:13">
      <c r="E3886" s="668"/>
      <c r="F3886" s="668">
        <v>5</v>
      </c>
      <c r="G3886" s="668" t="s">
        <v>5</v>
      </c>
      <c r="H3886" s="668" t="s">
        <v>4642</v>
      </c>
      <c r="I3886" s="668">
        <f>I3054</f>
        <v>15.75</v>
      </c>
      <c r="J3886" s="668" t="s">
        <v>5</v>
      </c>
      <c r="K3886" s="674">
        <f t="shared" si="100"/>
        <v>78.75</v>
      </c>
      <c r="L3886" s="668"/>
      <c r="M3886" s="668"/>
    </row>
    <row r="3887" spans="5:13">
      <c r="E3887" s="668"/>
      <c r="F3887" s="672">
        <v>0.09</v>
      </c>
      <c r="G3887" s="668" t="s">
        <v>26</v>
      </c>
      <c r="H3887" s="668" t="s">
        <v>4700</v>
      </c>
      <c r="I3887" s="668">
        <f>I3057</f>
        <v>640</v>
      </c>
      <c r="J3887" s="668" t="s">
        <v>26</v>
      </c>
      <c r="K3887" s="674">
        <f t="shared" si="100"/>
        <v>57.599999999999994</v>
      </c>
      <c r="L3887" s="668"/>
      <c r="M3887" s="668"/>
    </row>
    <row r="3888" spans="5:13">
      <c r="E3888" s="668"/>
      <c r="F3888" s="668">
        <v>1</v>
      </c>
      <c r="G3888" s="668" t="s">
        <v>2385</v>
      </c>
      <c r="H3888" s="668" t="s">
        <v>2386</v>
      </c>
      <c r="I3888" s="668">
        <v>260</v>
      </c>
      <c r="J3888" s="668" t="s">
        <v>2385</v>
      </c>
      <c r="K3888" s="674">
        <f t="shared" si="100"/>
        <v>260</v>
      </c>
      <c r="L3888" s="668"/>
      <c r="M3888" s="668"/>
    </row>
    <row r="3889" spans="5:13">
      <c r="E3889" s="668"/>
      <c r="F3889" s="668">
        <v>6</v>
      </c>
      <c r="G3889" s="668" t="s">
        <v>5</v>
      </c>
      <c r="H3889" s="668" t="s">
        <v>5031</v>
      </c>
      <c r="I3889" s="668">
        <v>18.899999999999999</v>
      </c>
      <c r="J3889" s="668" t="s">
        <v>556</v>
      </c>
      <c r="K3889" s="674">
        <f t="shared" si="100"/>
        <v>113.39999999999999</v>
      </c>
      <c r="L3889" s="668"/>
      <c r="M3889" s="668"/>
    </row>
    <row r="3890" spans="5:13" ht="31.5">
      <c r="E3890" s="668"/>
      <c r="F3890" s="668">
        <v>30</v>
      </c>
      <c r="G3890" s="668" t="s">
        <v>12</v>
      </c>
      <c r="H3890" s="571" t="s">
        <v>2387</v>
      </c>
      <c r="I3890" s="668">
        <f>I3880</f>
        <v>12.8</v>
      </c>
      <c r="J3890" s="668" t="s">
        <v>2388</v>
      </c>
      <c r="K3890" s="674">
        <f t="shared" si="100"/>
        <v>384</v>
      </c>
      <c r="L3890" s="668"/>
      <c r="M3890" s="668"/>
    </row>
    <row r="3891" spans="5:13">
      <c r="E3891" s="668"/>
      <c r="F3891" s="668"/>
      <c r="G3891" s="668"/>
      <c r="H3891" s="668" t="s">
        <v>2389</v>
      </c>
      <c r="I3891" s="668"/>
      <c r="J3891" s="668"/>
      <c r="K3891" s="674">
        <f>K3824</f>
        <v>2229</v>
      </c>
      <c r="L3891" s="668"/>
      <c r="M3891" s="668"/>
    </row>
    <row r="3892" spans="5:13">
      <c r="E3892" s="668"/>
      <c r="F3892" s="668"/>
      <c r="G3892" s="668"/>
      <c r="H3892" s="668" t="s">
        <v>2390</v>
      </c>
      <c r="I3892" s="668"/>
      <c r="J3892" s="668"/>
      <c r="K3892" s="674">
        <v>8.9</v>
      </c>
      <c r="L3892" s="668"/>
      <c r="M3892" s="668"/>
    </row>
    <row r="3893" spans="5:13">
      <c r="E3893" s="668"/>
      <c r="F3893" s="668"/>
      <c r="G3893" s="668"/>
      <c r="H3893" s="674" t="s">
        <v>4696</v>
      </c>
      <c r="I3893" s="668"/>
      <c r="J3893" s="668"/>
      <c r="K3893" s="856">
        <f>SUM(K3880:K3892)</f>
        <v>5119.9916666666668</v>
      </c>
      <c r="L3893" s="668">
        <f>924*5</f>
        <v>4620</v>
      </c>
      <c r="M3893" s="668"/>
    </row>
    <row r="3894" spans="5:13">
      <c r="E3894" s="668"/>
      <c r="F3894" s="668"/>
      <c r="G3894" s="668"/>
      <c r="H3894" s="676" t="s">
        <v>2378</v>
      </c>
      <c r="I3894" s="668"/>
      <c r="J3894" s="668"/>
      <c r="K3894" s="676">
        <f>K3893/5</f>
        <v>1023.9983333333333</v>
      </c>
      <c r="L3894" s="668">
        <f>L3893-K3893</f>
        <v>-499.99166666666679</v>
      </c>
      <c r="M3894" s="668"/>
    </row>
    <row r="3895" spans="5:13">
      <c r="E3895" s="668"/>
      <c r="F3895" s="668"/>
      <c r="G3895" s="668"/>
      <c r="H3895" s="460"/>
      <c r="I3895" s="668"/>
      <c r="J3895" s="668"/>
      <c r="K3895" s="674"/>
      <c r="L3895" s="668"/>
      <c r="M3895" s="668"/>
    </row>
    <row r="3896" spans="5:13">
      <c r="E3896" s="668"/>
      <c r="F3896" s="668"/>
      <c r="G3896" s="668"/>
      <c r="H3896" s="460" t="s">
        <v>5032</v>
      </c>
      <c r="I3896" s="668"/>
      <c r="J3896" s="668"/>
      <c r="K3896" s="674"/>
      <c r="L3896" s="668"/>
      <c r="M3896" s="668"/>
    </row>
    <row r="3897" spans="5:13">
      <c r="E3897" s="668"/>
      <c r="F3897" s="668"/>
      <c r="G3897" s="668"/>
      <c r="H3897" s="668"/>
      <c r="I3897" s="668"/>
      <c r="J3897" s="668"/>
      <c r="K3897" s="674"/>
      <c r="L3897" s="668"/>
      <c r="M3897" s="668"/>
    </row>
    <row r="3898" spans="5:13" ht="94.5">
      <c r="E3898" s="668"/>
      <c r="F3898" s="668"/>
      <c r="G3898" s="668"/>
      <c r="H3898" s="667" t="s">
        <v>5295</v>
      </c>
      <c r="I3898" s="668"/>
      <c r="J3898" s="668"/>
      <c r="K3898" s="674"/>
      <c r="L3898" s="668"/>
      <c r="M3898" s="668"/>
    </row>
    <row r="3899" spans="5:13" ht="31.5">
      <c r="E3899" s="668"/>
      <c r="F3899" s="668">
        <v>90</v>
      </c>
      <c r="G3899" s="668" t="s">
        <v>12</v>
      </c>
      <c r="H3899" s="571" t="s">
        <v>2383</v>
      </c>
      <c r="I3899" s="668">
        <f t="shared" ref="I3899:I3909" si="101">I2951</f>
        <v>12.8</v>
      </c>
      <c r="J3899" s="668" t="s">
        <v>4646</v>
      </c>
      <c r="K3899" s="674">
        <f t="shared" ref="K3899:K3909" si="102">F3899*I3899</f>
        <v>1152</v>
      </c>
      <c r="L3899" s="668"/>
      <c r="M3899" s="668"/>
    </row>
    <row r="3900" spans="5:13" ht="31.5">
      <c r="E3900" s="668"/>
      <c r="F3900" s="668">
        <v>45</v>
      </c>
      <c r="G3900" s="668" t="s">
        <v>12</v>
      </c>
      <c r="H3900" s="667" t="s">
        <v>2384</v>
      </c>
      <c r="I3900" s="668">
        <f t="shared" si="101"/>
        <v>19.5</v>
      </c>
      <c r="J3900" s="668" t="s">
        <v>12</v>
      </c>
      <c r="K3900" s="674">
        <f t="shared" si="102"/>
        <v>877.5</v>
      </c>
      <c r="L3900" s="668"/>
      <c r="M3900" s="668"/>
    </row>
    <row r="3901" spans="5:13">
      <c r="E3901" s="668"/>
      <c r="F3901" s="668">
        <v>20</v>
      </c>
      <c r="G3901" s="668" t="s">
        <v>5</v>
      </c>
      <c r="H3901" s="668" t="s">
        <v>4635</v>
      </c>
      <c r="I3901" s="668">
        <f t="shared" si="101"/>
        <v>3.15</v>
      </c>
      <c r="J3901" s="668" t="s">
        <v>4633</v>
      </c>
      <c r="K3901" s="674">
        <f t="shared" si="102"/>
        <v>63</v>
      </c>
      <c r="L3901" s="668"/>
      <c r="M3901" s="668"/>
    </row>
    <row r="3902" spans="5:13">
      <c r="E3902" s="668"/>
      <c r="F3902" s="668">
        <v>10</v>
      </c>
      <c r="G3902" s="668" t="s">
        <v>5</v>
      </c>
      <c r="H3902" s="668" t="s">
        <v>4637</v>
      </c>
      <c r="I3902" s="668">
        <f t="shared" si="101"/>
        <v>1.3083333333333333</v>
      </c>
      <c r="J3902" s="668" t="s">
        <v>4633</v>
      </c>
      <c r="K3902" s="674">
        <f t="shared" si="102"/>
        <v>13.083333333333334</v>
      </c>
      <c r="L3902" s="668"/>
      <c r="M3902" s="668"/>
    </row>
    <row r="3903" spans="5:13">
      <c r="E3903" s="668"/>
      <c r="F3903" s="668">
        <v>1</v>
      </c>
      <c r="G3903" s="668" t="s">
        <v>5</v>
      </c>
      <c r="H3903" s="668" t="s">
        <v>5033</v>
      </c>
      <c r="I3903" s="668">
        <f t="shared" si="101"/>
        <v>64</v>
      </c>
      <c r="J3903" s="668" t="s">
        <v>5</v>
      </c>
      <c r="K3903" s="674">
        <f t="shared" si="102"/>
        <v>64</v>
      </c>
      <c r="L3903" s="668"/>
      <c r="M3903" s="668"/>
    </row>
    <row r="3904" spans="5:13">
      <c r="E3904" s="668"/>
      <c r="F3904" s="672">
        <v>1.4999999999999999E-2</v>
      </c>
      <c r="G3904" s="668" t="s">
        <v>26</v>
      </c>
      <c r="H3904" s="668" t="s">
        <v>4700</v>
      </c>
      <c r="I3904" s="668">
        <f t="shared" si="101"/>
        <v>640</v>
      </c>
      <c r="J3904" s="668" t="s">
        <v>26</v>
      </c>
      <c r="K3904" s="674">
        <f t="shared" si="102"/>
        <v>9.6</v>
      </c>
      <c r="L3904" s="668"/>
      <c r="M3904" s="668"/>
    </row>
    <row r="3905" spans="5:13">
      <c r="E3905" s="668"/>
      <c r="F3905" s="668">
        <v>15</v>
      </c>
      <c r="G3905" s="668" t="s">
        <v>5</v>
      </c>
      <c r="H3905" s="668" t="s">
        <v>5034</v>
      </c>
      <c r="I3905" s="668">
        <f t="shared" si="101"/>
        <v>35</v>
      </c>
      <c r="J3905" s="668" t="s">
        <v>5</v>
      </c>
      <c r="K3905" s="674">
        <f t="shared" si="102"/>
        <v>525</v>
      </c>
      <c r="L3905" s="668"/>
      <c r="M3905" s="668"/>
    </row>
    <row r="3906" spans="5:13">
      <c r="E3906" s="668"/>
      <c r="F3906" s="668">
        <v>15</v>
      </c>
      <c r="G3906" s="668" t="s">
        <v>5</v>
      </c>
      <c r="H3906" s="668" t="s">
        <v>5033</v>
      </c>
      <c r="I3906" s="668">
        <f t="shared" si="101"/>
        <v>64</v>
      </c>
      <c r="J3906" s="668" t="s">
        <v>5</v>
      </c>
      <c r="K3906" s="674">
        <f t="shared" si="102"/>
        <v>960</v>
      </c>
      <c r="L3906" s="668"/>
      <c r="M3906" s="668"/>
    </row>
    <row r="3907" spans="5:13">
      <c r="E3907" s="668"/>
      <c r="F3907" s="672">
        <v>0.22500000000000001</v>
      </c>
      <c r="G3907" s="668" t="s">
        <v>26</v>
      </c>
      <c r="H3907" s="668" t="s">
        <v>4700</v>
      </c>
      <c r="I3907" s="668">
        <f t="shared" si="101"/>
        <v>640</v>
      </c>
      <c r="J3907" s="668" t="s">
        <v>4702</v>
      </c>
      <c r="K3907" s="674">
        <f t="shared" si="102"/>
        <v>144</v>
      </c>
      <c r="L3907" s="668"/>
      <c r="M3907" s="668"/>
    </row>
    <row r="3908" spans="5:13">
      <c r="E3908" s="668"/>
      <c r="F3908" s="668">
        <v>1.25</v>
      </c>
      <c r="G3908" s="668" t="s">
        <v>2385</v>
      </c>
      <c r="H3908" s="668" t="s">
        <v>2386</v>
      </c>
      <c r="I3908" s="668">
        <f t="shared" si="101"/>
        <v>260</v>
      </c>
      <c r="J3908" s="668" t="s">
        <v>2385</v>
      </c>
      <c r="K3908" s="674">
        <f t="shared" si="102"/>
        <v>325</v>
      </c>
      <c r="L3908" s="668"/>
      <c r="M3908" s="668"/>
    </row>
    <row r="3909" spans="5:13" ht="31.5">
      <c r="E3909" s="668"/>
      <c r="F3909" s="668">
        <v>45</v>
      </c>
      <c r="G3909" s="668" t="s">
        <v>26</v>
      </c>
      <c r="H3909" s="571" t="s">
        <v>2387</v>
      </c>
      <c r="I3909" s="668">
        <f t="shared" si="101"/>
        <v>12.8</v>
      </c>
      <c r="J3909" s="668" t="s">
        <v>4646</v>
      </c>
      <c r="K3909" s="674">
        <f t="shared" si="102"/>
        <v>576</v>
      </c>
      <c r="L3909" s="668">
        <f>SUM(K3899:K3909)</f>
        <v>4709.1833333333334</v>
      </c>
      <c r="M3909" s="668"/>
    </row>
    <row r="3910" spans="5:13">
      <c r="E3910" s="668"/>
      <c r="F3910" s="668"/>
      <c r="G3910" s="668"/>
      <c r="H3910" s="668" t="s">
        <v>2389</v>
      </c>
      <c r="I3910" s="668"/>
      <c r="J3910" s="668"/>
      <c r="K3910" s="674">
        <f>K3826</f>
        <v>1486</v>
      </c>
      <c r="L3910" s="668">
        <f>L3909*1%</f>
        <v>47.091833333333334</v>
      </c>
      <c r="M3910" s="668"/>
    </row>
    <row r="3911" spans="5:13">
      <c r="E3911" s="668"/>
      <c r="F3911" s="668"/>
      <c r="G3911" s="668"/>
      <c r="H3911" s="668" t="s">
        <v>2390</v>
      </c>
      <c r="I3911" s="668"/>
      <c r="J3911" s="668"/>
      <c r="K3911" s="674">
        <v>14.8</v>
      </c>
      <c r="L3911" s="668"/>
      <c r="M3911" s="668"/>
    </row>
    <row r="3912" spans="5:13">
      <c r="E3912" s="668"/>
      <c r="F3912" s="668"/>
      <c r="G3912" s="668"/>
      <c r="H3912" s="674" t="s">
        <v>4703</v>
      </c>
      <c r="I3912" s="668"/>
      <c r="J3912" s="668"/>
      <c r="K3912" s="856">
        <f>SUM(K3899:K3911)</f>
        <v>6209.9833333333336</v>
      </c>
      <c r="L3912" s="668"/>
      <c r="M3912" s="668"/>
    </row>
    <row r="3913" spans="5:13">
      <c r="E3913" s="668"/>
      <c r="F3913" s="668"/>
      <c r="G3913" s="668"/>
      <c r="H3913" s="676" t="s">
        <v>2378</v>
      </c>
      <c r="I3913" s="668"/>
      <c r="J3913" s="668"/>
      <c r="K3913" s="676">
        <f>K3912/15</f>
        <v>413.99888888888893</v>
      </c>
      <c r="L3913" s="668"/>
      <c r="M3913" s="668"/>
    </row>
    <row r="3914" spans="5:13">
      <c r="E3914" s="668"/>
      <c r="F3914" s="668"/>
      <c r="G3914" s="668"/>
      <c r="H3914" s="460" t="s">
        <v>2389</v>
      </c>
      <c r="I3914" s="668"/>
      <c r="J3914" s="668"/>
      <c r="K3914" s="676"/>
      <c r="L3914" s="668"/>
      <c r="M3914" s="668"/>
    </row>
    <row r="3915" spans="5:13">
      <c r="E3915" s="668"/>
      <c r="F3915" s="668">
        <v>1</v>
      </c>
      <c r="G3915" s="668" t="s">
        <v>5</v>
      </c>
      <c r="H3915" s="668" t="s">
        <v>4655</v>
      </c>
      <c r="I3915" s="668">
        <f>I2866</f>
        <v>277</v>
      </c>
      <c r="J3915" s="668" t="s">
        <v>5</v>
      </c>
      <c r="K3915" s="674">
        <f>F3915*I3915</f>
        <v>277</v>
      </c>
      <c r="L3915" s="668"/>
      <c r="M3915" s="668"/>
    </row>
    <row r="3916" spans="5:13">
      <c r="E3916" s="668"/>
      <c r="F3916" s="668">
        <v>2</v>
      </c>
      <c r="G3916" s="668" t="s">
        <v>5</v>
      </c>
      <c r="H3916" s="668" t="s">
        <v>4656</v>
      </c>
      <c r="I3916" s="668">
        <f>I2867</f>
        <v>254</v>
      </c>
      <c r="J3916" s="668" t="s">
        <v>5</v>
      </c>
      <c r="K3916" s="674">
        <f>F3916*I3916</f>
        <v>508</v>
      </c>
      <c r="L3916" s="668"/>
      <c r="M3916" s="668"/>
    </row>
    <row r="3917" spans="5:13">
      <c r="E3917" s="668"/>
      <c r="F3917" s="668">
        <v>3</v>
      </c>
      <c r="G3917" s="668" t="s">
        <v>5</v>
      </c>
      <c r="H3917" s="668" t="s">
        <v>4657</v>
      </c>
      <c r="I3917" s="668">
        <f>I2868</f>
        <v>240</v>
      </c>
      <c r="J3917" s="668" t="s">
        <v>5</v>
      </c>
      <c r="K3917" s="674">
        <f>F3917*I3917</f>
        <v>720</v>
      </c>
      <c r="L3917" s="668"/>
      <c r="M3917" s="668"/>
    </row>
    <row r="3918" spans="5:13">
      <c r="E3918" s="668"/>
      <c r="F3918" s="668">
        <v>4</v>
      </c>
      <c r="G3918" s="668" t="s">
        <v>5</v>
      </c>
      <c r="H3918" s="668" t="s">
        <v>2410</v>
      </c>
      <c r="I3918" s="668">
        <f>I2869</f>
        <v>181</v>
      </c>
      <c r="J3918" s="668" t="s">
        <v>5</v>
      </c>
      <c r="K3918" s="674">
        <f>F3918*I3918</f>
        <v>724</v>
      </c>
      <c r="L3918" s="668"/>
      <c r="M3918" s="668"/>
    </row>
    <row r="3919" spans="5:13">
      <c r="E3919" s="668"/>
      <c r="F3919" s="668"/>
      <c r="G3919" s="668"/>
      <c r="H3919" s="676"/>
      <c r="I3919" s="668"/>
      <c r="J3919" s="668"/>
      <c r="K3919" s="676">
        <f>SUM(K3915:K3918)</f>
        <v>2229</v>
      </c>
      <c r="L3919" s="668"/>
      <c r="M3919" s="668"/>
    </row>
    <row r="3920" spans="5:13">
      <c r="E3920" s="668"/>
      <c r="F3920" s="668"/>
      <c r="G3920" s="668"/>
      <c r="H3920" s="676"/>
      <c r="I3920" s="668"/>
      <c r="J3920" s="668"/>
      <c r="K3920" s="676"/>
      <c r="L3920" s="668"/>
      <c r="M3920" s="668"/>
    </row>
    <row r="3921" spans="5:13">
      <c r="E3921" s="668"/>
      <c r="F3921" s="668"/>
      <c r="G3921" s="668"/>
      <c r="H3921" s="676"/>
      <c r="I3921" s="668"/>
      <c r="J3921" s="668"/>
      <c r="K3921" s="676"/>
      <c r="L3921" s="668"/>
      <c r="M3921" s="668"/>
    </row>
    <row r="3922" spans="5:13">
      <c r="E3922" s="668"/>
      <c r="F3922" s="668"/>
      <c r="G3922" s="668"/>
      <c r="H3922" s="460" t="s">
        <v>2381</v>
      </c>
      <c r="I3922" s="668"/>
      <c r="J3922" s="668"/>
      <c r="K3922" s="674"/>
      <c r="L3922" s="668"/>
      <c r="M3922" s="668"/>
    </row>
    <row r="3923" spans="5:13">
      <c r="E3923" s="668"/>
      <c r="F3923" s="668"/>
      <c r="G3923" s="668"/>
      <c r="H3923" s="668"/>
      <c r="I3923" s="668"/>
      <c r="J3923" s="668"/>
      <c r="K3923" s="674"/>
      <c r="L3923" s="668"/>
      <c r="M3923" s="668"/>
    </row>
    <row r="3924" spans="5:13" ht="94.5">
      <c r="E3924" s="668"/>
      <c r="F3924" s="668"/>
      <c r="G3924" s="668"/>
      <c r="H3924" s="667" t="s">
        <v>2382</v>
      </c>
      <c r="I3924" s="668"/>
      <c r="J3924" s="668"/>
      <c r="K3924" s="674"/>
      <c r="L3924" s="668"/>
      <c r="M3924" s="668"/>
    </row>
    <row r="3925" spans="5:13">
      <c r="E3925" s="668"/>
      <c r="F3925" s="668"/>
      <c r="G3925" s="668"/>
      <c r="H3925" s="668"/>
      <c r="I3925" s="668"/>
      <c r="J3925" s="668"/>
      <c r="K3925" s="674"/>
      <c r="L3925" s="668"/>
      <c r="M3925" s="668"/>
    </row>
    <row r="3926" spans="5:13" ht="31.5">
      <c r="E3926" s="668"/>
      <c r="F3926" s="668">
        <v>180</v>
      </c>
      <c r="G3926" s="668" t="s">
        <v>12</v>
      </c>
      <c r="H3926" s="571" t="s">
        <v>2383</v>
      </c>
      <c r="I3926" s="668">
        <f>I3072</f>
        <v>12.8</v>
      </c>
      <c r="J3926" s="668" t="s">
        <v>12</v>
      </c>
      <c r="K3926" s="674">
        <f>I3926*F3926</f>
        <v>2304</v>
      </c>
      <c r="L3926" s="668"/>
      <c r="M3926" s="668"/>
    </row>
    <row r="3927" spans="5:13" ht="31.5">
      <c r="E3927" s="668"/>
      <c r="F3927" s="668">
        <v>90</v>
      </c>
      <c r="G3927" s="668" t="s">
        <v>12</v>
      </c>
      <c r="H3927" s="667" t="s">
        <v>2384</v>
      </c>
      <c r="I3927" s="668">
        <f>I3073</f>
        <v>19.5</v>
      </c>
      <c r="J3927" s="668" t="s">
        <v>12</v>
      </c>
      <c r="K3927" s="674">
        <f>I3927*F3927</f>
        <v>1755</v>
      </c>
      <c r="L3927" s="668"/>
      <c r="M3927" s="668"/>
    </row>
    <row r="3928" spans="5:13">
      <c r="E3928" s="668"/>
      <c r="F3928" s="668">
        <v>1</v>
      </c>
      <c r="G3928" s="668" t="s">
        <v>5036</v>
      </c>
      <c r="H3928" s="667" t="s">
        <v>5037</v>
      </c>
      <c r="I3928" s="671">
        <v>44.6</v>
      </c>
      <c r="J3928" s="668" t="s">
        <v>5036</v>
      </c>
      <c r="K3928" s="674">
        <f>I3928*F3928</f>
        <v>44.6</v>
      </c>
      <c r="L3928" s="668"/>
      <c r="M3928" s="668"/>
    </row>
    <row r="3929" spans="5:13">
      <c r="E3929" s="668"/>
      <c r="F3929" s="668">
        <v>300</v>
      </c>
      <c r="G3929" s="668" t="s">
        <v>13</v>
      </c>
      <c r="H3929" s="667" t="s">
        <v>5038</v>
      </c>
      <c r="I3929" s="671">
        <v>325</v>
      </c>
      <c r="J3929" s="668" t="s">
        <v>5039</v>
      </c>
      <c r="K3929" s="674">
        <f>(I3929*F3929)/1000</f>
        <v>97.5</v>
      </c>
      <c r="L3929" s="668"/>
      <c r="M3929" s="668"/>
    </row>
    <row r="3930" spans="5:13">
      <c r="E3930" s="668"/>
      <c r="F3930" s="668">
        <v>2</v>
      </c>
      <c r="G3930" s="668" t="s">
        <v>2413</v>
      </c>
      <c r="H3930" s="667" t="s">
        <v>5040</v>
      </c>
      <c r="I3930" s="668">
        <f>I3799</f>
        <v>78.7</v>
      </c>
      <c r="J3930" s="668" t="s">
        <v>5036</v>
      </c>
      <c r="K3930" s="674">
        <f>I3930*F3930</f>
        <v>157.4</v>
      </c>
      <c r="L3930" s="668"/>
      <c r="M3930" s="668"/>
    </row>
    <row r="3931" spans="5:13">
      <c r="E3931" s="668"/>
      <c r="F3931" s="668">
        <v>0.33</v>
      </c>
      <c r="G3931" s="668" t="s">
        <v>2385</v>
      </c>
      <c r="H3931" s="668" t="s">
        <v>2386</v>
      </c>
      <c r="I3931" s="668">
        <f>I3074</f>
        <v>260</v>
      </c>
      <c r="J3931" s="668" t="s">
        <v>2385</v>
      </c>
      <c r="K3931" s="674">
        <f>I3931*F3931</f>
        <v>85.8</v>
      </c>
      <c r="L3931" s="668"/>
      <c r="M3931" s="668"/>
    </row>
    <row r="3932" spans="5:13" ht="31.5">
      <c r="E3932" s="668"/>
      <c r="F3932" s="668">
        <v>90</v>
      </c>
      <c r="G3932" s="668" t="s">
        <v>12</v>
      </c>
      <c r="H3932" s="571" t="s">
        <v>2387</v>
      </c>
      <c r="I3932" s="668">
        <f>I3075</f>
        <v>12.8</v>
      </c>
      <c r="J3932" s="668" t="s">
        <v>2388</v>
      </c>
      <c r="K3932" s="674">
        <f>I3932*F3932</f>
        <v>1152</v>
      </c>
      <c r="L3932" s="668"/>
      <c r="M3932" s="668"/>
    </row>
    <row r="3933" spans="5:13">
      <c r="E3933" s="668"/>
      <c r="F3933" s="721" t="s">
        <v>5041</v>
      </c>
      <c r="G3933" s="668"/>
      <c r="H3933" s="668" t="s">
        <v>2389</v>
      </c>
      <c r="I3933" s="668">
        <f>K3919</f>
        <v>2229</v>
      </c>
      <c r="J3933" s="668"/>
      <c r="K3933" s="674">
        <f>2/3*I3933</f>
        <v>1486</v>
      </c>
      <c r="L3933" s="668"/>
      <c r="M3933" s="668"/>
    </row>
    <row r="3934" spans="5:13">
      <c r="E3934" s="668"/>
      <c r="F3934" s="668"/>
      <c r="G3934" s="668"/>
      <c r="H3934" s="668"/>
      <c r="I3934" s="668"/>
      <c r="J3934" s="668"/>
      <c r="K3934" s="674">
        <f>SUM(K3926:K3933)</f>
        <v>7082.3</v>
      </c>
      <c r="L3934" s="668"/>
      <c r="M3934" s="668"/>
    </row>
    <row r="3935" spans="5:13">
      <c r="E3935" s="668"/>
      <c r="F3935" s="668"/>
      <c r="G3935" s="668"/>
      <c r="H3935" s="668" t="s">
        <v>2390</v>
      </c>
      <c r="I3935" s="668"/>
      <c r="J3935" s="668"/>
      <c r="K3935" s="674">
        <f>54.3</f>
        <v>54.3</v>
      </c>
      <c r="L3935" s="668"/>
      <c r="M3935" s="668"/>
    </row>
    <row r="3936" spans="5:13">
      <c r="E3936" s="668"/>
      <c r="F3936" s="668"/>
      <c r="G3936" s="668"/>
      <c r="H3936" s="674" t="s">
        <v>2391</v>
      </c>
      <c r="I3936" s="668"/>
      <c r="J3936" s="668"/>
      <c r="K3936" s="856">
        <f>SUM(K3934:K3935)</f>
        <v>7136.6</v>
      </c>
      <c r="L3936" s="668"/>
      <c r="M3936" s="668"/>
    </row>
    <row r="3937" spans="5:13">
      <c r="E3937" s="668"/>
      <c r="F3937" s="668"/>
      <c r="G3937" s="668"/>
      <c r="H3937" s="676" t="s">
        <v>2392</v>
      </c>
      <c r="I3937" s="668"/>
      <c r="J3937" s="668"/>
      <c r="K3937" s="676">
        <f>K3936/90</f>
        <v>79.295555555555566</v>
      </c>
      <c r="L3937" s="668"/>
      <c r="M3937" s="668"/>
    </row>
    <row r="3938" spans="5:13">
      <c r="E3938" s="668"/>
      <c r="F3938" s="668"/>
      <c r="G3938" s="668"/>
      <c r="H3938" s="668"/>
      <c r="I3938" s="668"/>
      <c r="J3938" s="668"/>
      <c r="K3938" s="674"/>
      <c r="L3938" s="668"/>
      <c r="M3938" s="668"/>
    </row>
    <row r="3939" spans="5:13">
      <c r="E3939" s="668"/>
      <c r="F3939" s="668"/>
      <c r="G3939" s="668"/>
      <c r="H3939" s="460" t="s">
        <v>5042</v>
      </c>
      <c r="I3939" s="668"/>
      <c r="J3939" s="668"/>
      <c r="K3939" s="674"/>
      <c r="L3939" s="668"/>
      <c r="M3939" s="668"/>
    </row>
    <row r="3940" spans="5:13">
      <c r="E3940" s="668"/>
      <c r="F3940" s="668"/>
      <c r="G3940" s="668"/>
      <c r="H3940" s="668"/>
      <c r="I3940" s="668"/>
      <c r="J3940" s="668"/>
      <c r="K3940" s="674"/>
      <c r="L3940" s="668"/>
      <c r="M3940" s="668"/>
    </row>
    <row r="3941" spans="5:13" ht="94.5">
      <c r="E3941" s="668"/>
      <c r="F3941" s="668"/>
      <c r="G3941" s="668"/>
      <c r="H3941" s="667" t="s">
        <v>5305</v>
      </c>
      <c r="I3941" s="668"/>
      <c r="J3941" s="668"/>
      <c r="K3941" s="674"/>
      <c r="L3941" s="668"/>
      <c r="M3941" s="668"/>
    </row>
    <row r="3942" spans="5:13">
      <c r="E3942" s="668"/>
      <c r="F3942" s="668"/>
      <c r="G3942" s="668"/>
      <c r="H3942" s="668"/>
      <c r="I3942" s="668"/>
      <c r="J3942" s="668"/>
      <c r="K3942" s="674"/>
      <c r="L3942" s="668"/>
      <c r="M3942" s="668"/>
    </row>
    <row r="3943" spans="5:13">
      <c r="E3943" s="668"/>
      <c r="F3943" s="668"/>
      <c r="G3943" s="668"/>
      <c r="H3943" s="668" t="s">
        <v>5043</v>
      </c>
      <c r="I3943" s="668"/>
      <c r="J3943" s="668"/>
      <c r="K3943" s="674">
        <f>K3936</f>
        <v>7136.6</v>
      </c>
      <c r="L3943" s="668"/>
      <c r="M3943" s="668"/>
    </row>
    <row r="3944" spans="5:13" ht="31.5">
      <c r="E3944" s="668"/>
      <c r="F3944" s="668">
        <v>180</v>
      </c>
      <c r="G3944" s="668" t="s">
        <v>12</v>
      </c>
      <c r="H3944" s="667" t="s">
        <v>5044</v>
      </c>
      <c r="I3944" s="668">
        <f>I3088</f>
        <v>19.899999999999999</v>
      </c>
      <c r="J3944" s="668" t="s">
        <v>12</v>
      </c>
      <c r="K3944" s="674">
        <f>F3944*I3944</f>
        <v>3581.9999999999995</v>
      </c>
      <c r="L3944" s="668"/>
      <c r="M3944" s="668"/>
    </row>
    <row r="3945" spans="5:13" ht="31.5">
      <c r="E3945" s="668"/>
      <c r="F3945" s="668">
        <v>180</v>
      </c>
      <c r="G3945" s="668" t="s">
        <v>12</v>
      </c>
      <c r="H3945" s="667" t="s">
        <v>4742</v>
      </c>
      <c r="I3945" s="668">
        <f>I3926</f>
        <v>12.8</v>
      </c>
      <c r="J3945" s="668" t="s">
        <v>2388</v>
      </c>
      <c r="K3945" s="674">
        <f>F3945*I3945</f>
        <v>2304</v>
      </c>
      <c r="L3945" s="668"/>
      <c r="M3945" s="668"/>
    </row>
    <row r="3946" spans="5:13">
      <c r="E3946" s="668"/>
      <c r="F3946" s="668"/>
      <c r="G3946" s="668"/>
      <c r="H3946" s="668" t="s">
        <v>2390</v>
      </c>
      <c r="I3946" s="668"/>
      <c r="J3946" s="668"/>
      <c r="K3946" s="674">
        <v>45.8</v>
      </c>
      <c r="L3946" s="668"/>
      <c r="M3946" s="668"/>
    </row>
    <row r="3947" spans="5:13">
      <c r="E3947" s="668"/>
      <c r="F3947" s="668"/>
      <c r="G3947" s="668"/>
      <c r="H3947" s="674" t="s">
        <v>4743</v>
      </c>
      <c r="I3947" s="668"/>
      <c r="J3947" s="668"/>
      <c r="K3947" s="856">
        <f>K3943+K3944-K3945+K3946</f>
        <v>8460.4</v>
      </c>
      <c r="L3947" s="668"/>
      <c r="M3947" s="668"/>
    </row>
    <row r="3948" spans="5:13">
      <c r="E3948" s="668"/>
      <c r="F3948" s="668"/>
      <c r="G3948" s="668"/>
      <c r="H3948" s="676" t="s">
        <v>2392</v>
      </c>
      <c r="I3948" s="668"/>
      <c r="J3948" s="668"/>
      <c r="K3948" s="676">
        <f>K3947/90</f>
        <v>94.004444444444445</v>
      </c>
      <c r="L3948" s="668"/>
      <c r="M3948" s="668"/>
    </row>
    <row r="3949" spans="5:13">
      <c r="E3949" s="668"/>
      <c r="F3949" s="668"/>
      <c r="G3949" s="668"/>
      <c r="H3949" s="668"/>
      <c r="I3949" s="668"/>
      <c r="J3949" s="668"/>
      <c r="K3949" s="674"/>
      <c r="L3949" s="668"/>
      <c r="M3949" s="668"/>
    </row>
    <row r="3950" spans="5:13">
      <c r="E3950" s="668"/>
      <c r="F3950" s="668"/>
      <c r="G3950" s="668"/>
      <c r="H3950" s="668"/>
      <c r="I3950" s="668"/>
      <c r="J3950" s="668"/>
      <c r="K3950" s="674"/>
      <c r="L3950" s="668"/>
      <c r="M3950" s="668"/>
    </row>
    <row r="3951" spans="5:13">
      <c r="E3951" s="668"/>
      <c r="F3951" s="668"/>
      <c r="G3951" s="668"/>
      <c r="H3951" s="460"/>
      <c r="I3951" s="668"/>
      <c r="J3951" s="668"/>
      <c r="K3951" s="674"/>
      <c r="L3951" s="668"/>
      <c r="M3951" s="668"/>
    </row>
    <row r="3952" spans="5:13">
      <c r="E3952" s="668"/>
      <c r="F3952" s="668"/>
      <c r="G3952" s="668"/>
      <c r="H3952" s="667"/>
      <c r="I3952" s="668"/>
      <c r="J3952" s="668"/>
      <c r="K3952" s="674"/>
      <c r="L3952" s="668"/>
      <c r="M3952" s="668"/>
    </row>
    <row r="3953" spans="5:13">
      <c r="E3953" s="668"/>
      <c r="F3953" s="668"/>
      <c r="G3953" s="668"/>
      <c r="H3953" s="571"/>
      <c r="I3953" s="668"/>
      <c r="J3953" s="668"/>
      <c r="K3953" s="674"/>
      <c r="L3953" s="668"/>
      <c r="M3953" s="668"/>
    </row>
    <row r="3954" spans="5:13">
      <c r="E3954" s="668"/>
      <c r="F3954" s="668"/>
      <c r="G3954" s="668"/>
      <c r="H3954" s="667"/>
      <c r="I3954" s="668"/>
      <c r="J3954" s="668"/>
      <c r="K3954" s="674"/>
      <c r="L3954" s="668"/>
      <c r="M3954" s="668"/>
    </row>
    <row r="3955" spans="5:13">
      <c r="E3955" s="668"/>
      <c r="F3955" s="668"/>
      <c r="G3955" s="668"/>
      <c r="H3955" s="668"/>
      <c r="I3955" s="668"/>
      <c r="J3955" s="668"/>
      <c r="K3955" s="674"/>
      <c r="L3955" s="668"/>
      <c r="M3955" s="668"/>
    </row>
    <row r="3956" spans="5:13">
      <c r="E3956" s="668"/>
      <c r="F3956" s="668"/>
      <c r="G3956" s="668"/>
      <c r="H3956" s="668"/>
      <c r="I3956" s="668"/>
      <c r="J3956" s="668"/>
      <c r="K3956" s="674"/>
      <c r="L3956" s="668"/>
      <c r="M3956" s="668"/>
    </row>
    <row r="3957" spans="5:13">
      <c r="E3957" s="668"/>
      <c r="F3957" s="668"/>
      <c r="G3957" s="668"/>
      <c r="H3957" s="668"/>
      <c r="I3957" s="668"/>
      <c r="J3957" s="668"/>
      <c r="K3957" s="674"/>
      <c r="L3957" s="668"/>
      <c r="M3957" s="668"/>
    </row>
    <row r="3958" spans="5:13">
      <c r="E3958" s="668"/>
      <c r="F3958" s="668"/>
      <c r="G3958" s="668"/>
      <c r="H3958" s="668"/>
      <c r="I3958" s="668"/>
      <c r="J3958" s="668"/>
      <c r="K3958" s="674"/>
      <c r="L3958" s="668"/>
      <c r="M3958" s="668"/>
    </row>
    <row r="3959" spans="5:13">
      <c r="E3959" s="668"/>
      <c r="F3959" s="668"/>
      <c r="G3959" s="668"/>
      <c r="H3959" s="668"/>
      <c r="I3959" s="668"/>
      <c r="J3959" s="668"/>
      <c r="K3959" s="674"/>
      <c r="L3959" s="668"/>
      <c r="M3959" s="668"/>
    </row>
    <row r="3960" spans="5:13">
      <c r="E3960" s="668"/>
      <c r="F3960" s="668"/>
      <c r="G3960" s="668"/>
      <c r="H3960" s="668"/>
      <c r="I3960" s="668"/>
      <c r="J3960" s="668"/>
      <c r="K3960" s="674"/>
      <c r="L3960" s="668"/>
      <c r="M3960" s="668"/>
    </row>
    <row r="3961" spans="5:13" ht="50.1" customHeight="1">
      <c r="E3961" s="668"/>
      <c r="F3961" s="668"/>
      <c r="G3961" s="865">
        <v>1</v>
      </c>
      <c r="H3961" s="1623" t="s">
        <v>4623</v>
      </c>
      <c r="I3961" s="1623"/>
      <c r="J3961" s="1623"/>
      <c r="K3961" s="866">
        <f>[3]Elec.Data!K2860</f>
        <v>1340</v>
      </c>
      <c r="L3961" s="668"/>
      <c r="M3961" s="668"/>
    </row>
    <row r="3962" spans="5:13" ht="50.1" customHeight="1">
      <c r="E3962" s="668"/>
      <c r="F3962" s="668"/>
      <c r="G3962" s="867">
        <v>2</v>
      </c>
      <c r="H3962" s="1617" t="s">
        <v>4662</v>
      </c>
      <c r="I3962" s="1617"/>
      <c r="J3962" s="1617"/>
      <c r="K3962" s="868">
        <f>[3]Elec.Data!K2884</f>
        <v>1344</v>
      </c>
      <c r="L3962" s="668"/>
      <c r="M3962" s="668"/>
    </row>
    <row r="3963" spans="5:13" ht="50.1" customHeight="1">
      <c r="E3963" s="668"/>
      <c r="F3963" s="668"/>
      <c r="G3963" s="867">
        <v>3</v>
      </c>
      <c r="H3963" s="1617" t="s">
        <v>5376</v>
      </c>
      <c r="I3963" s="1617"/>
      <c r="J3963" s="1617"/>
      <c r="K3963" s="868">
        <f>[3]Elec.Data!K2899</f>
        <v>1372</v>
      </c>
      <c r="L3963" s="668"/>
      <c r="M3963" s="668"/>
    </row>
    <row r="3964" spans="5:13" ht="50.1" customHeight="1">
      <c r="E3964" s="668"/>
      <c r="F3964" s="668"/>
      <c r="G3964" s="869">
        <v>4</v>
      </c>
      <c r="H3964" s="1617" t="s">
        <v>4684</v>
      </c>
      <c r="I3964" s="1617"/>
      <c r="J3964" s="1617"/>
      <c r="K3964" s="868">
        <f>[3]Elec.Data!K2921</f>
        <v>1398</v>
      </c>
      <c r="L3964" s="668"/>
      <c r="M3964" s="668"/>
    </row>
    <row r="3965" spans="5:13" ht="50.1" customHeight="1">
      <c r="E3965" s="668"/>
      <c r="F3965" s="668"/>
      <c r="G3965" s="869">
        <v>5</v>
      </c>
      <c r="H3965" s="1617" t="s">
        <v>4693</v>
      </c>
      <c r="I3965" s="1617"/>
      <c r="J3965" s="1617"/>
      <c r="K3965" s="868">
        <f>[3]Elec.Data!K2945</f>
        <v>2539.73</v>
      </c>
      <c r="L3965" s="668"/>
      <c r="M3965" s="668"/>
    </row>
    <row r="3966" spans="5:13" ht="50.1" customHeight="1">
      <c r="E3966" s="668"/>
      <c r="F3966" s="668"/>
      <c r="G3966" s="869">
        <v>6</v>
      </c>
      <c r="H3966" s="1617" t="s">
        <v>4698</v>
      </c>
      <c r="I3966" s="1617"/>
      <c r="J3966" s="1617"/>
      <c r="K3966" s="868">
        <f>[3]Elec.Data!K2965</f>
        <v>932</v>
      </c>
      <c r="L3966" s="668"/>
      <c r="M3966" s="668"/>
    </row>
    <row r="3967" spans="5:13" ht="50.1" customHeight="1">
      <c r="E3967" s="668"/>
      <c r="F3967" s="668"/>
      <c r="G3967" s="869">
        <v>7</v>
      </c>
      <c r="H3967" s="1617" t="s">
        <v>4705</v>
      </c>
      <c r="I3967" s="1617"/>
      <c r="J3967" s="1617"/>
      <c r="K3967" s="868">
        <f>[3]Elec.Data!K2977</f>
        <v>688</v>
      </c>
      <c r="L3967" s="668"/>
      <c r="M3967" s="668"/>
    </row>
    <row r="3968" spans="5:13" ht="50.1" customHeight="1">
      <c r="E3968" s="668"/>
      <c r="F3968" s="668"/>
      <c r="G3968" s="869">
        <v>8</v>
      </c>
      <c r="H3968" s="1617" t="s">
        <v>4709</v>
      </c>
      <c r="I3968" s="1617"/>
      <c r="J3968" s="1617"/>
      <c r="K3968" s="868">
        <f>[3]Elec.Data!K2988</f>
        <v>129</v>
      </c>
      <c r="L3968" s="668"/>
      <c r="M3968" s="668"/>
    </row>
    <row r="3969" spans="5:13" ht="50.1" customHeight="1">
      <c r="E3969" s="668"/>
      <c r="F3969" s="668"/>
      <c r="G3969" s="869">
        <v>9</v>
      </c>
      <c r="H3969" s="1617" t="s">
        <v>1517</v>
      </c>
      <c r="I3969" s="1617"/>
      <c r="J3969" s="1617"/>
      <c r="K3969" s="868">
        <f>[3]Elec.Data!K3011</f>
        <v>2199.73</v>
      </c>
      <c r="L3969" s="668"/>
      <c r="M3969" s="668"/>
    </row>
    <row r="3970" spans="5:13" ht="50.1" customHeight="1">
      <c r="E3970" s="668"/>
      <c r="F3970" s="668"/>
      <c r="G3970" s="869">
        <v>10</v>
      </c>
      <c r="H3970" s="1617" t="s">
        <v>1518</v>
      </c>
      <c r="I3970" s="1617"/>
      <c r="J3970" s="1617"/>
      <c r="K3970" s="868">
        <f>[3]Elec.Data!K3023</f>
        <v>2200.73</v>
      </c>
      <c r="L3970" s="668"/>
      <c r="M3970" s="668"/>
    </row>
    <row r="3971" spans="5:13" ht="50.1" customHeight="1">
      <c r="E3971" s="668"/>
      <c r="F3971" s="668"/>
      <c r="G3971" s="869">
        <v>11</v>
      </c>
      <c r="H3971" s="1617" t="s">
        <v>1519</v>
      </c>
      <c r="I3971" s="1617"/>
      <c r="J3971" s="1617"/>
      <c r="K3971" s="868">
        <f>[3]Elec.Data!K3044</f>
        <v>2258.73</v>
      </c>
      <c r="L3971" s="668"/>
      <c r="M3971" s="668"/>
    </row>
    <row r="3972" spans="5:13" ht="50.1" customHeight="1">
      <c r="E3972" s="668"/>
      <c r="F3972" s="668"/>
      <c r="G3972" s="869">
        <v>12</v>
      </c>
      <c r="H3972" s="1617" t="s">
        <v>1520</v>
      </c>
      <c r="I3972" s="1617"/>
      <c r="J3972" s="1617"/>
      <c r="K3972" s="868">
        <f>[3]Elec.Data!K3063</f>
        <v>4103.7299999999996</v>
      </c>
      <c r="L3972" s="668"/>
      <c r="M3972" s="668"/>
    </row>
    <row r="3973" spans="5:13" ht="50.1" customHeight="1">
      <c r="E3973" s="668"/>
      <c r="F3973" s="668"/>
      <c r="G3973" s="869">
        <v>13</v>
      </c>
      <c r="H3973" s="1617" t="s">
        <v>2381</v>
      </c>
      <c r="I3973" s="1617"/>
      <c r="J3973" s="1617"/>
      <c r="K3973" s="868">
        <f>[3]Elec.Data!K3080</f>
        <v>172</v>
      </c>
      <c r="L3973" s="668"/>
      <c r="M3973" s="668"/>
    </row>
    <row r="3974" spans="5:13" ht="50.1" customHeight="1">
      <c r="E3974" s="668"/>
      <c r="F3974" s="668"/>
      <c r="G3974" s="869">
        <v>14</v>
      </c>
      <c r="H3974" s="1617" t="s">
        <v>1521</v>
      </c>
      <c r="I3974" s="1617"/>
      <c r="J3974" s="1617"/>
      <c r="K3974" s="868">
        <f>[3]Elec.Data!K3092</f>
        <v>187</v>
      </c>
      <c r="L3974" s="668"/>
      <c r="M3974" s="668"/>
    </row>
    <row r="3975" spans="5:13" ht="50.1" customHeight="1">
      <c r="E3975" s="668"/>
      <c r="F3975" s="668"/>
      <c r="G3975" s="869">
        <v>15</v>
      </c>
      <c r="H3975" s="1617" t="s">
        <v>1522</v>
      </c>
      <c r="I3975" s="1617"/>
      <c r="J3975" s="1617"/>
      <c r="K3975" s="868">
        <f>[3]Elec.Data!K3105</f>
        <v>219</v>
      </c>
      <c r="L3975" s="668"/>
      <c r="M3975" s="668"/>
    </row>
    <row r="3976" spans="5:13" ht="50.1" customHeight="1">
      <c r="E3976" s="668"/>
      <c r="F3976" s="668"/>
      <c r="G3976" s="869">
        <v>16</v>
      </c>
      <c r="H3976" s="1617" t="s">
        <v>1523</v>
      </c>
      <c r="I3976" s="1617"/>
      <c r="J3976" s="1617"/>
      <c r="K3976" s="868">
        <f>[3]Elec.Data!K3119</f>
        <v>326</v>
      </c>
      <c r="L3976" s="668"/>
      <c r="M3976" s="668"/>
    </row>
    <row r="3977" spans="5:13" ht="50.1" customHeight="1">
      <c r="E3977" s="668"/>
      <c r="F3977" s="668"/>
      <c r="G3977" s="869">
        <v>17</v>
      </c>
      <c r="H3977" s="1617" t="s">
        <v>2424</v>
      </c>
      <c r="I3977" s="1617"/>
      <c r="J3977" s="1617"/>
      <c r="K3977" s="868">
        <f>[3]Elec.Data!K3135</f>
        <v>462</v>
      </c>
      <c r="L3977" s="668"/>
      <c r="M3977" s="668"/>
    </row>
    <row r="3978" spans="5:13" ht="50.1" customHeight="1">
      <c r="E3978" s="668"/>
      <c r="F3978" s="668"/>
      <c r="G3978" s="869">
        <v>18</v>
      </c>
      <c r="H3978" s="1617" t="s">
        <v>4760</v>
      </c>
      <c r="I3978" s="1617"/>
      <c r="J3978" s="1617"/>
      <c r="K3978" s="868">
        <f>[3]Elec.Data!K3154</f>
        <v>815</v>
      </c>
      <c r="L3978" s="668"/>
      <c r="M3978" s="668"/>
    </row>
    <row r="3979" spans="5:13" ht="50.1" customHeight="1">
      <c r="E3979" s="668"/>
      <c r="F3979" s="668"/>
      <c r="G3979" s="869">
        <v>19</v>
      </c>
      <c r="H3979" s="1617" t="s">
        <v>1524</v>
      </c>
      <c r="I3979" s="1617"/>
      <c r="J3979" s="1617"/>
      <c r="K3979" s="868">
        <f>[3]Elec.Data!K3173</f>
        <v>1238</v>
      </c>
      <c r="L3979" s="668"/>
      <c r="M3979" s="668"/>
    </row>
    <row r="3980" spans="5:13" ht="50.1" customHeight="1">
      <c r="E3980" s="668"/>
      <c r="F3980" s="668"/>
      <c r="G3980" s="869">
        <v>20</v>
      </c>
      <c r="H3980" s="1617" t="s">
        <v>1526</v>
      </c>
      <c r="I3980" s="1617"/>
      <c r="J3980" s="1617"/>
      <c r="K3980" s="868">
        <f>[3]Elec.Data!K3184</f>
        <v>932</v>
      </c>
      <c r="L3980" s="668"/>
      <c r="M3980" s="668"/>
    </row>
    <row r="3981" spans="5:13" ht="50.1" customHeight="1">
      <c r="E3981" s="668"/>
      <c r="F3981" s="668"/>
      <c r="G3981" s="869">
        <v>21</v>
      </c>
      <c r="H3981" s="1617" t="s">
        <v>1527</v>
      </c>
      <c r="I3981" s="1617"/>
      <c r="J3981" s="1617"/>
      <c r="K3981" s="868">
        <f>[3]Elec.Data!K3195</f>
        <v>1590</v>
      </c>
      <c r="L3981" s="668"/>
      <c r="M3981" s="668"/>
    </row>
    <row r="3982" spans="5:13" ht="50.1" customHeight="1">
      <c r="E3982" s="668"/>
      <c r="F3982" s="668"/>
      <c r="G3982" s="869">
        <v>22</v>
      </c>
      <c r="H3982" s="1617" t="s">
        <v>5377</v>
      </c>
      <c r="I3982" s="1617"/>
      <c r="J3982" s="1617"/>
      <c r="K3982" s="868">
        <f>[3]Elec.Data!K3210</f>
        <v>2007</v>
      </c>
      <c r="L3982" s="668"/>
      <c r="M3982" s="668"/>
    </row>
    <row r="3983" spans="5:13" ht="50.1" customHeight="1">
      <c r="E3983" s="668"/>
      <c r="F3983" s="668"/>
      <c r="G3983" s="869">
        <v>23</v>
      </c>
      <c r="H3983" s="1617" t="s">
        <v>1530</v>
      </c>
      <c r="I3983" s="1617"/>
      <c r="J3983" s="1617"/>
      <c r="K3983" s="868">
        <f>[3]Elec.Data!K3221</f>
        <v>3250</v>
      </c>
      <c r="L3983" s="668"/>
      <c r="M3983" s="668"/>
    </row>
    <row r="3984" spans="5:13" ht="50.1" customHeight="1">
      <c r="E3984" s="668"/>
      <c r="F3984" s="668"/>
      <c r="G3984" s="869">
        <v>24</v>
      </c>
      <c r="H3984" s="1617" t="s">
        <v>1529</v>
      </c>
      <c r="I3984" s="1617"/>
      <c r="J3984" s="1617"/>
      <c r="K3984" s="868">
        <f>[3]Elec.Data!K3233</f>
        <v>4016</v>
      </c>
      <c r="L3984" s="668"/>
      <c r="M3984" s="668"/>
    </row>
    <row r="3985" spans="5:13" ht="50.1" customHeight="1">
      <c r="E3985" s="668"/>
      <c r="F3985" s="668"/>
      <c r="G3985" s="869">
        <v>25</v>
      </c>
      <c r="H3985" s="1617" t="s">
        <v>1531</v>
      </c>
      <c r="I3985" s="1617"/>
      <c r="J3985" s="1617"/>
      <c r="K3985" s="868">
        <f>[3]Elec.Data!K3244</f>
        <v>250</v>
      </c>
      <c r="L3985" s="668"/>
      <c r="M3985" s="668"/>
    </row>
    <row r="3986" spans="5:13" ht="50.1" customHeight="1">
      <c r="E3986" s="668"/>
      <c r="F3986" s="668"/>
      <c r="G3986" s="869">
        <v>26</v>
      </c>
      <c r="H3986" s="1617" t="s">
        <v>1532</v>
      </c>
      <c r="I3986" s="1617"/>
      <c r="J3986" s="1617"/>
      <c r="K3986" s="868">
        <f>[3]Elec.Data!K3262</f>
        <v>417</v>
      </c>
      <c r="L3986" s="668"/>
      <c r="M3986" s="668"/>
    </row>
    <row r="3987" spans="5:13" ht="50.1" customHeight="1">
      <c r="E3987" s="668"/>
      <c r="F3987" s="668"/>
      <c r="G3987" s="869">
        <v>27</v>
      </c>
      <c r="H3987" s="1617" t="s">
        <v>4807</v>
      </c>
      <c r="I3987" s="1617"/>
      <c r="J3987" s="1617"/>
      <c r="K3987" s="868">
        <f>[3]Elec.Data!K3277</f>
        <v>467</v>
      </c>
      <c r="L3987" s="668"/>
      <c r="M3987" s="668"/>
    </row>
    <row r="3988" spans="5:13" ht="50.1" customHeight="1">
      <c r="E3988" s="668"/>
      <c r="F3988" s="668"/>
      <c r="G3988" s="869">
        <v>28</v>
      </c>
      <c r="H3988" s="1617" t="s">
        <v>4815</v>
      </c>
      <c r="I3988" s="1617"/>
      <c r="J3988" s="1617"/>
      <c r="K3988" s="868">
        <f>[3]Elec.Data!K3294</f>
        <v>21</v>
      </c>
      <c r="L3988" s="668"/>
      <c r="M3988" s="668"/>
    </row>
    <row r="3989" spans="5:13" ht="50.1" customHeight="1">
      <c r="E3989" s="668"/>
      <c r="F3989" s="668"/>
      <c r="G3989" s="869">
        <v>29</v>
      </c>
      <c r="H3989" s="1617" t="s">
        <v>4821</v>
      </c>
      <c r="I3989" s="1617"/>
      <c r="J3989" s="1617"/>
      <c r="K3989" s="868">
        <f>[3]Elec.Data!K3319</f>
        <v>2588</v>
      </c>
      <c r="L3989" s="668"/>
      <c r="M3989" s="668"/>
    </row>
    <row r="3990" spans="5:13" ht="50.1" customHeight="1">
      <c r="E3990" s="668"/>
      <c r="F3990" s="668"/>
      <c r="G3990" s="869">
        <v>30</v>
      </c>
      <c r="H3990" s="1617" t="s">
        <v>4836</v>
      </c>
      <c r="I3990" s="1617"/>
      <c r="J3990" s="1617"/>
      <c r="K3990" s="868">
        <f>[3]Elec.Data!K3333</f>
        <v>330</v>
      </c>
      <c r="L3990" s="668"/>
      <c r="M3990" s="668"/>
    </row>
    <row r="3991" spans="5:13" ht="50.1" customHeight="1">
      <c r="E3991" s="668"/>
      <c r="F3991" s="668"/>
      <c r="G3991" s="869">
        <v>31</v>
      </c>
      <c r="H3991" s="1617" t="s">
        <v>5378</v>
      </c>
      <c r="I3991" s="1617"/>
      <c r="J3991" s="1617"/>
      <c r="K3991" s="868">
        <f>[3]Elec.Data!K3348</f>
        <v>633</v>
      </c>
      <c r="L3991" s="668"/>
      <c r="M3991" s="668"/>
    </row>
    <row r="3992" spans="5:13" ht="50.1" customHeight="1">
      <c r="E3992" s="668"/>
      <c r="F3992" s="668"/>
      <c r="G3992" s="869">
        <v>32</v>
      </c>
      <c r="H3992" s="1617" t="s">
        <v>4849</v>
      </c>
      <c r="I3992" s="1617"/>
      <c r="J3992" s="1617"/>
      <c r="K3992" s="868">
        <f>[3]Elec.Data!K3366</f>
        <v>418</v>
      </c>
      <c r="L3992" s="668"/>
      <c r="M3992" s="668"/>
    </row>
    <row r="3993" spans="5:13" ht="50.1" customHeight="1">
      <c r="E3993" s="668"/>
      <c r="F3993" s="668"/>
      <c r="G3993" s="869">
        <v>33</v>
      </c>
      <c r="H3993" s="1617" t="s">
        <v>5379</v>
      </c>
      <c r="I3993" s="1617"/>
      <c r="J3993" s="1617"/>
      <c r="K3993" s="868">
        <f>[3]Elec.Data!K3379</f>
        <v>647</v>
      </c>
      <c r="L3993" s="668"/>
      <c r="M3993" s="668"/>
    </row>
    <row r="3994" spans="5:13" ht="50.1" customHeight="1">
      <c r="E3994" s="668"/>
      <c r="F3994" s="668"/>
      <c r="G3994" s="869">
        <v>34</v>
      </c>
      <c r="H3994" s="1617" t="s">
        <v>1537</v>
      </c>
      <c r="I3994" s="1617"/>
      <c r="J3994" s="1617"/>
      <c r="K3994" s="868">
        <f>[3]Elec.Data!K3384</f>
        <v>1492</v>
      </c>
      <c r="L3994" s="668"/>
      <c r="M3994" s="668"/>
    </row>
    <row r="3995" spans="5:13" ht="50.1" customHeight="1">
      <c r="E3995" s="668"/>
      <c r="F3995" s="668"/>
      <c r="G3995" s="869">
        <v>35</v>
      </c>
      <c r="H3995" s="1617" t="s">
        <v>1174</v>
      </c>
      <c r="I3995" s="1617"/>
      <c r="J3995" s="1617"/>
      <c r="K3995" s="868">
        <f>[3]Elec.Data!K3389</f>
        <v>1840</v>
      </c>
      <c r="L3995" s="668"/>
      <c r="M3995" s="668"/>
    </row>
    <row r="3996" spans="5:13" ht="50.1" customHeight="1">
      <c r="E3996" s="668"/>
      <c r="F3996" s="668"/>
      <c r="G3996" s="869">
        <v>36</v>
      </c>
      <c r="H3996" s="1617" t="s">
        <v>4860</v>
      </c>
      <c r="I3996" s="1617"/>
      <c r="J3996" s="1617"/>
      <c r="K3996" s="868">
        <f>[3]Elec.Data!K3400</f>
        <v>466</v>
      </c>
      <c r="L3996" s="668"/>
      <c r="M3996" s="668"/>
    </row>
    <row r="3997" spans="5:13" ht="50.1" customHeight="1">
      <c r="E3997" s="668"/>
      <c r="F3997" s="668"/>
      <c r="G3997" s="869">
        <v>37</v>
      </c>
      <c r="H3997" s="1617" t="s">
        <v>2376</v>
      </c>
      <c r="I3997" s="1617"/>
      <c r="J3997" s="1617"/>
      <c r="K3997" s="868">
        <f>[3]Elec.Data!K3419</f>
        <v>725</v>
      </c>
      <c r="L3997" s="668"/>
      <c r="M3997" s="668"/>
    </row>
    <row r="3998" spans="5:13" ht="50.1" customHeight="1">
      <c r="E3998" s="668"/>
      <c r="F3998" s="668"/>
      <c r="G3998" s="869">
        <v>38</v>
      </c>
      <c r="H3998" s="1617" t="s">
        <v>4872</v>
      </c>
      <c r="I3998" s="1617"/>
      <c r="J3998" s="1617"/>
      <c r="K3998" s="868">
        <f>[3]Elec.Data!K3441</f>
        <v>718</v>
      </c>
      <c r="L3998" s="668"/>
      <c r="M3998" s="668"/>
    </row>
    <row r="3999" spans="5:13" ht="50.1" customHeight="1">
      <c r="E3999" s="668"/>
      <c r="F3999" s="668"/>
      <c r="G3999" s="869">
        <v>39</v>
      </c>
      <c r="H3999" s="1617" t="s">
        <v>4877</v>
      </c>
      <c r="I3999" s="1617"/>
      <c r="J3999" s="1617"/>
      <c r="K3999" s="868">
        <f>[3]Elec.Data!K3458</f>
        <v>2505</v>
      </c>
      <c r="L3999" s="668"/>
      <c r="M3999" s="668"/>
    </row>
    <row r="4000" spans="5:13" ht="50.1" customHeight="1">
      <c r="E4000" s="668"/>
      <c r="F4000" s="668"/>
      <c r="G4000" s="869">
        <v>40</v>
      </c>
      <c r="H4000" s="1617" t="s">
        <v>1180</v>
      </c>
      <c r="I4000" s="1617"/>
      <c r="J4000" s="1617"/>
      <c r="K4000" s="868">
        <f>[3]Elec.Data!K3468</f>
        <v>2870</v>
      </c>
      <c r="L4000" s="668"/>
      <c r="M4000" s="668"/>
    </row>
    <row r="4001" spans="5:13" ht="50.1" customHeight="1">
      <c r="E4001" s="668"/>
      <c r="F4001" s="668"/>
      <c r="G4001" s="869">
        <v>41</v>
      </c>
      <c r="H4001" s="1617" t="s">
        <v>5380</v>
      </c>
      <c r="I4001" s="1617"/>
      <c r="J4001" s="1617"/>
      <c r="K4001" s="868">
        <f>[3]Elec.Data!K3481</f>
        <v>1170</v>
      </c>
      <c r="L4001" s="668"/>
      <c r="M4001" s="668"/>
    </row>
    <row r="4002" spans="5:13" ht="50.1" customHeight="1">
      <c r="E4002" s="668"/>
      <c r="F4002" s="668"/>
      <c r="G4002" s="869">
        <v>42</v>
      </c>
      <c r="H4002" s="1617" t="s">
        <v>2182</v>
      </c>
      <c r="I4002" s="1617"/>
      <c r="J4002" s="1617"/>
      <c r="K4002" s="868">
        <f>[3]Elec.Data!K3501</f>
        <v>126</v>
      </c>
      <c r="L4002" s="668"/>
      <c r="M4002" s="668"/>
    </row>
    <row r="4003" spans="5:13" ht="50.1" customHeight="1">
      <c r="E4003" s="668"/>
      <c r="F4003" s="668"/>
      <c r="G4003" s="869">
        <v>43</v>
      </c>
      <c r="H4003" s="1617" t="s">
        <v>4893</v>
      </c>
      <c r="I4003" s="1617"/>
      <c r="J4003" s="1617"/>
      <c r="K4003" s="868">
        <f>[3]Elec.Data!K3515</f>
        <v>130</v>
      </c>
      <c r="L4003" s="668"/>
      <c r="M4003" s="668"/>
    </row>
    <row r="4004" spans="5:13" ht="50.1" customHeight="1">
      <c r="E4004" s="668"/>
      <c r="F4004" s="668"/>
      <c r="G4004" s="869">
        <v>44</v>
      </c>
      <c r="H4004" s="1617" t="s">
        <v>4899</v>
      </c>
      <c r="I4004" s="1617"/>
      <c r="J4004" s="1617"/>
      <c r="K4004" s="868">
        <f>[3]Elec.Data!K3524</f>
        <v>147.6</v>
      </c>
      <c r="L4004" s="668"/>
      <c r="M4004" s="668"/>
    </row>
    <row r="4005" spans="5:13" ht="50.1" customHeight="1">
      <c r="E4005" s="668"/>
      <c r="F4005" s="668"/>
      <c r="G4005" s="869">
        <v>45</v>
      </c>
      <c r="H4005" s="1617" t="s">
        <v>1143</v>
      </c>
      <c r="I4005" s="1617"/>
      <c r="J4005" s="1617"/>
      <c r="K4005" s="868">
        <f>[3]Elec.Data!K3539</f>
        <v>221</v>
      </c>
      <c r="L4005" s="668"/>
      <c r="M4005" s="668"/>
    </row>
    <row r="4006" spans="5:13" ht="50.1" customHeight="1">
      <c r="E4006" s="668"/>
      <c r="F4006" s="668"/>
      <c r="G4006" s="869">
        <v>46</v>
      </c>
      <c r="H4006" s="1617" t="s">
        <v>4906</v>
      </c>
      <c r="I4006" s="1617"/>
      <c r="J4006" s="1617"/>
      <c r="K4006" s="868">
        <f>[3]Elec.Data!K3547</f>
        <v>165</v>
      </c>
      <c r="L4006" s="668"/>
      <c r="M4006" s="668"/>
    </row>
    <row r="4007" spans="5:13" ht="50.1" customHeight="1">
      <c r="E4007" s="668"/>
      <c r="F4007" s="668"/>
      <c r="G4007" s="869">
        <v>47</v>
      </c>
      <c r="H4007" s="1617" t="s">
        <v>4899</v>
      </c>
      <c r="I4007" s="1617"/>
      <c r="J4007" s="1617"/>
      <c r="K4007" s="868">
        <f>[3]Elec.Data!K3556</f>
        <v>148</v>
      </c>
      <c r="L4007" s="668"/>
      <c r="M4007" s="668"/>
    </row>
    <row r="4008" spans="5:13" ht="50.1" customHeight="1">
      <c r="E4008" s="668"/>
      <c r="F4008" s="668"/>
      <c r="G4008" s="869">
        <v>48</v>
      </c>
      <c r="H4008" s="1617" t="s">
        <v>2406</v>
      </c>
      <c r="I4008" s="1617"/>
      <c r="J4008" s="1617"/>
      <c r="K4008" s="868">
        <f>[3]Elec.Data!K3567</f>
        <v>228.93</v>
      </c>
      <c r="L4008" s="668"/>
      <c r="M4008" s="668"/>
    </row>
    <row r="4009" spans="5:13" ht="50.1" customHeight="1">
      <c r="E4009" s="668"/>
      <c r="F4009" s="668"/>
      <c r="G4009" s="869">
        <v>49</v>
      </c>
      <c r="H4009" s="1617" t="s">
        <v>2412</v>
      </c>
      <c r="I4009" s="1617"/>
      <c r="J4009" s="1617"/>
      <c r="K4009" s="868">
        <f>[3]Elec.Data!K3584</f>
        <v>135</v>
      </c>
      <c r="L4009" s="668"/>
      <c r="M4009" s="668"/>
    </row>
    <row r="4010" spans="5:13" ht="50.1" customHeight="1">
      <c r="E4010" s="668"/>
      <c r="F4010" s="668"/>
      <c r="G4010" s="869">
        <v>50</v>
      </c>
      <c r="H4010" s="1617" t="s">
        <v>4916</v>
      </c>
      <c r="I4010" s="1617"/>
      <c r="J4010" s="1617"/>
      <c r="K4010" s="868">
        <f>[3]Elec.Data!K3638</f>
        <v>2579</v>
      </c>
      <c r="L4010" s="668"/>
      <c r="M4010" s="668"/>
    </row>
    <row r="4011" spans="5:13" ht="50.1" customHeight="1">
      <c r="E4011" s="668"/>
      <c r="F4011" s="668"/>
      <c r="G4011" s="869">
        <v>51</v>
      </c>
      <c r="H4011" s="1617" t="s">
        <v>4940</v>
      </c>
      <c r="I4011" s="1617"/>
      <c r="J4011" s="1617"/>
      <c r="K4011" s="868">
        <f>[3]Elec.Data!K3638</f>
        <v>2579</v>
      </c>
      <c r="L4011" s="668"/>
      <c r="M4011" s="668"/>
    </row>
    <row r="4012" spans="5:13" ht="50.1" customHeight="1">
      <c r="E4012" s="668"/>
      <c r="F4012" s="668"/>
      <c r="G4012" s="869">
        <v>52</v>
      </c>
      <c r="H4012" s="1617" t="s">
        <v>1543</v>
      </c>
      <c r="I4012" s="1617"/>
      <c r="J4012" s="1617"/>
      <c r="K4012" s="868">
        <f>[3]Elec.Data!K3650</f>
        <v>2018</v>
      </c>
      <c r="L4012" s="668"/>
      <c r="M4012" s="668"/>
    </row>
    <row r="4013" spans="5:13" ht="50.1" customHeight="1">
      <c r="E4013" s="668"/>
      <c r="F4013" s="668"/>
      <c r="G4013" s="869">
        <v>53</v>
      </c>
      <c r="H4013" s="1617" t="s">
        <v>4949</v>
      </c>
      <c r="I4013" s="1617"/>
      <c r="J4013" s="1617"/>
      <c r="K4013" s="868">
        <f>[3]Elec.Data!K3676</f>
        <v>4685</v>
      </c>
      <c r="L4013" s="668"/>
      <c r="M4013" s="668"/>
    </row>
    <row r="4014" spans="5:13" ht="50.1" customHeight="1">
      <c r="E4014" s="668"/>
      <c r="F4014" s="668"/>
      <c r="G4014" s="869">
        <v>54</v>
      </c>
      <c r="H4014" s="1617" t="s">
        <v>4339</v>
      </c>
      <c r="I4014" s="1617"/>
      <c r="J4014" s="1617"/>
      <c r="K4014" s="868">
        <f>[3]Elec.Data!K3689</f>
        <v>73</v>
      </c>
      <c r="L4014" s="668"/>
      <c r="M4014" s="668"/>
    </row>
    <row r="4015" spans="5:13" ht="50.1" customHeight="1">
      <c r="E4015" s="668"/>
      <c r="F4015" s="668"/>
      <c r="G4015" s="869">
        <v>55</v>
      </c>
      <c r="H4015" s="1617" t="s">
        <v>4963</v>
      </c>
      <c r="I4015" s="1617"/>
      <c r="J4015" s="1617"/>
      <c r="K4015" s="868">
        <f>[3]Elec.Data!K3695</f>
        <v>81.3</v>
      </c>
      <c r="L4015" s="668"/>
      <c r="M4015" s="668"/>
    </row>
    <row r="4016" spans="5:13" ht="50.1" customHeight="1">
      <c r="E4016" s="668"/>
      <c r="F4016" s="668"/>
      <c r="G4016" s="869">
        <v>56</v>
      </c>
      <c r="H4016" s="1617" t="s">
        <v>1547</v>
      </c>
      <c r="I4016" s="1617"/>
      <c r="J4016" s="1617"/>
      <c r="K4016" s="868">
        <f>[3]Elec.Data!K3702</f>
        <v>53</v>
      </c>
      <c r="L4016" s="668"/>
      <c r="M4016" s="668"/>
    </row>
    <row r="4017" spans="5:13" ht="50.1" customHeight="1">
      <c r="E4017" s="668"/>
      <c r="F4017" s="668"/>
      <c r="G4017" s="869">
        <v>57</v>
      </c>
      <c r="H4017" s="1617" t="s">
        <v>5381</v>
      </c>
      <c r="I4017" s="1617"/>
      <c r="J4017" s="1617"/>
      <c r="K4017" s="868">
        <f>[3]Elec.Data!K3712</f>
        <v>76</v>
      </c>
      <c r="L4017" s="668"/>
      <c r="M4017" s="668"/>
    </row>
    <row r="4018" spans="5:13" ht="50.1" customHeight="1">
      <c r="E4018" s="668"/>
      <c r="F4018" s="668"/>
      <c r="G4018" s="869">
        <v>58</v>
      </c>
      <c r="H4018" s="1617" t="s">
        <v>4976</v>
      </c>
      <c r="I4018" s="1617"/>
      <c r="J4018" s="1617"/>
      <c r="K4018" s="868">
        <f>[3]Elec.Data!K3727</f>
        <v>6505</v>
      </c>
      <c r="L4018" s="668"/>
      <c r="M4018" s="668"/>
    </row>
    <row r="4019" spans="5:13" ht="50.1" customHeight="1">
      <c r="E4019" s="668"/>
      <c r="F4019" s="668"/>
      <c r="G4019" s="869">
        <v>59</v>
      </c>
      <c r="H4019" s="1617" t="s">
        <v>5382</v>
      </c>
      <c r="I4019" s="1617"/>
      <c r="J4019" s="1617"/>
      <c r="K4019" s="868">
        <f>[3]Elec.Data!K3744</f>
        <v>1919</v>
      </c>
      <c r="L4019" s="668"/>
      <c r="M4019" s="668"/>
    </row>
    <row r="4020" spans="5:13" ht="50.1" customHeight="1">
      <c r="E4020" s="668"/>
      <c r="F4020" s="668"/>
      <c r="G4020" s="869">
        <v>60</v>
      </c>
      <c r="H4020" s="1617" t="s">
        <v>5383</v>
      </c>
      <c r="I4020" s="1617"/>
      <c r="J4020" s="1617"/>
      <c r="K4020" s="868">
        <f>[3]Elec.Data!K3762</f>
        <v>1768</v>
      </c>
      <c r="L4020" s="668"/>
      <c r="M4020" s="668"/>
    </row>
    <row r="4021" spans="5:13" ht="50.1" customHeight="1">
      <c r="E4021" s="668"/>
      <c r="F4021" s="668"/>
      <c r="G4021" s="869">
        <v>61</v>
      </c>
      <c r="H4021" s="1617" t="str">
        <f>[3]Elec.Data!H3764</f>
        <v>Supply of ceiling fan 1200mm</v>
      </c>
      <c r="I4021" s="1617"/>
      <c r="J4021" s="1617"/>
      <c r="K4021" s="868">
        <f>[3]Elec.Data!K3767</f>
        <v>1284</v>
      </c>
      <c r="L4021" s="668"/>
      <c r="M4021" s="668"/>
    </row>
    <row r="4022" spans="5:13" ht="50.1" customHeight="1">
      <c r="E4022" s="668"/>
      <c r="F4022" s="668"/>
      <c r="G4022" s="869">
        <v>62</v>
      </c>
      <c r="H4022" s="1617" t="s">
        <v>1549</v>
      </c>
      <c r="I4022" s="1617"/>
      <c r="J4022" s="1617"/>
      <c r="K4022" s="868">
        <f>[3]Elec.Data!K3774</f>
        <v>591.94000000000005</v>
      </c>
      <c r="L4022" s="668"/>
      <c r="M4022" s="668"/>
    </row>
    <row r="4023" spans="5:13" ht="50.1" customHeight="1">
      <c r="E4023" s="668"/>
      <c r="F4023" s="668"/>
      <c r="G4023" s="869">
        <v>63</v>
      </c>
      <c r="H4023" s="1617" t="s">
        <v>5004</v>
      </c>
      <c r="I4023" s="1617"/>
      <c r="J4023" s="1617"/>
      <c r="K4023" s="868">
        <f>[3]Elec.Data!K3781</f>
        <v>556.1</v>
      </c>
      <c r="L4023" s="668"/>
      <c r="M4023" s="668"/>
    </row>
    <row r="4024" spans="5:13" ht="50.1" customHeight="1">
      <c r="E4024" s="668"/>
      <c r="F4024" s="668"/>
      <c r="G4024" s="869"/>
      <c r="H4024" s="1617" t="s">
        <v>5005</v>
      </c>
      <c r="I4024" s="1617"/>
      <c r="J4024" s="1617"/>
      <c r="K4024" s="868"/>
      <c r="L4024" s="668"/>
      <c r="M4024" s="668"/>
    </row>
    <row r="4025" spans="5:13" ht="50.1" customHeight="1">
      <c r="E4025" s="668"/>
      <c r="F4025" s="668"/>
      <c r="G4025" s="869">
        <v>64</v>
      </c>
      <c r="H4025" s="1617" t="s">
        <v>4623</v>
      </c>
      <c r="I4025" s="1617"/>
      <c r="J4025" s="1617"/>
      <c r="K4025" s="868">
        <f>[3]Elec.Data!K3815</f>
        <v>745</v>
      </c>
      <c r="L4025" s="668"/>
      <c r="M4025" s="668"/>
    </row>
    <row r="4026" spans="5:13" ht="50.1" customHeight="1">
      <c r="E4026" s="668"/>
      <c r="F4026" s="668"/>
      <c r="G4026" s="869">
        <v>65</v>
      </c>
      <c r="H4026" s="1617" t="s">
        <v>5018</v>
      </c>
      <c r="I4026" s="1617"/>
      <c r="J4026" s="1617"/>
      <c r="K4026" s="868">
        <f>[3]Elec.Data!K3841</f>
        <v>748</v>
      </c>
      <c r="L4026" s="668"/>
      <c r="M4026" s="668"/>
    </row>
    <row r="4027" spans="5:13" ht="50.1" customHeight="1">
      <c r="E4027" s="668"/>
      <c r="F4027" s="668"/>
      <c r="G4027" s="869">
        <v>66</v>
      </c>
      <c r="H4027" s="1617" t="s">
        <v>5020</v>
      </c>
      <c r="I4027" s="1617"/>
      <c r="J4027" s="1617"/>
      <c r="K4027" s="868">
        <f>[3]Elec.Data!K3857</f>
        <v>786</v>
      </c>
      <c r="L4027" s="668"/>
      <c r="M4027" s="668"/>
    </row>
    <row r="4028" spans="5:13" ht="50.1" customHeight="1">
      <c r="E4028" s="668"/>
      <c r="F4028" s="668"/>
      <c r="G4028" s="869">
        <v>67</v>
      </c>
      <c r="H4028" s="1617" t="s">
        <v>5384</v>
      </c>
      <c r="I4028" s="1617"/>
      <c r="J4028" s="1617"/>
      <c r="K4028" s="868">
        <f>[3]Elec.Data!K3879</f>
        <v>829</v>
      </c>
      <c r="L4028" s="668"/>
      <c r="M4028" s="668"/>
    </row>
    <row r="4029" spans="5:13" ht="50.1" customHeight="1">
      <c r="E4029" s="668"/>
      <c r="F4029" s="668"/>
      <c r="G4029" s="869">
        <v>68</v>
      </c>
      <c r="H4029" s="1617" t="s">
        <v>5028</v>
      </c>
      <c r="I4029" s="1617"/>
      <c r="J4029" s="1617"/>
      <c r="K4029" s="868">
        <f>[3]Elec.Data!K3899</f>
        <v>1760</v>
      </c>
      <c r="L4029" s="668"/>
      <c r="M4029" s="668"/>
    </row>
    <row r="4030" spans="5:13" ht="50.1" customHeight="1">
      <c r="E4030" s="668"/>
      <c r="F4030" s="668"/>
      <c r="G4030" s="869">
        <v>69</v>
      </c>
      <c r="H4030" s="1617" t="str">
        <f>[3]Elec.Data!H3901</f>
        <v>5 AMPS 5 PIN PLUG SOCKET POINT AT CONVENIENT PLACES (OPEN WIRING)</v>
      </c>
      <c r="I4030" s="1617"/>
      <c r="J4030" s="1617"/>
      <c r="K4030" s="868">
        <f>[3]Elec.Data!K3918</f>
        <v>572</v>
      </c>
      <c r="L4030" s="668"/>
      <c r="M4030" s="668"/>
    </row>
    <row r="4031" spans="5:13" ht="50.1" customHeight="1">
      <c r="E4031" s="668"/>
      <c r="F4031" s="668"/>
      <c r="G4031" s="869">
        <v>70</v>
      </c>
      <c r="H4031" s="1617" t="str">
        <f>[3]Elec.Data!H3927</f>
        <v>2 X1.5 Sqmm in fully concealed PVC conduit</v>
      </c>
      <c r="I4031" s="1617"/>
      <c r="J4031" s="1617"/>
      <c r="K4031" s="868">
        <f>[3]Elec.Data!K3942</f>
        <v>106</v>
      </c>
      <c r="L4031" s="668"/>
      <c r="M4031" s="668"/>
    </row>
    <row r="4032" spans="5:13" ht="50.1" customHeight="1">
      <c r="E4032" s="668"/>
      <c r="F4032" s="668"/>
      <c r="G4032" s="870"/>
      <c r="H4032" s="1618" t="str">
        <f>[3]Elec.Data!H3944</f>
        <v>2 X 2.5 Sq mm in fully concealed PVC conduit (open wiring)</v>
      </c>
      <c r="I4032" s="1618"/>
      <c r="J4032" s="1618"/>
      <c r="K4032" s="871">
        <f>[3]Elec.Data!K3953</f>
        <v>121</v>
      </c>
      <c r="L4032" s="668"/>
      <c r="M4032" s="668"/>
    </row>
    <row r="4033" spans="5:13" ht="50.1" customHeight="1">
      <c r="E4033" s="668"/>
      <c r="F4033" s="668"/>
      <c r="G4033" s="668"/>
      <c r="H4033" s="1616"/>
      <c r="I4033" s="1616"/>
      <c r="J4033" s="1616"/>
      <c r="K4033" s="674"/>
      <c r="L4033" s="668"/>
      <c r="M4033" s="668"/>
    </row>
    <row r="4034" spans="5:13">
      <c r="E4034" s="668"/>
      <c r="F4034" s="668"/>
      <c r="G4034" s="668"/>
      <c r="H4034" s="668"/>
      <c r="I4034" s="668"/>
      <c r="J4034" s="668"/>
      <c r="K4034" s="674"/>
      <c r="L4034" s="668"/>
      <c r="M4034" s="668"/>
    </row>
    <row r="4035" spans="5:13">
      <c r="E4035" s="668"/>
      <c r="F4035" s="668"/>
      <c r="G4035" s="668"/>
      <c r="H4035" s="668"/>
      <c r="I4035" s="668"/>
      <c r="J4035" s="668"/>
      <c r="K4035" s="674"/>
      <c r="L4035" s="668"/>
      <c r="M4035" s="668"/>
    </row>
    <row r="4036" spans="5:13">
      <c r="E4036" s="668"/>
      <c r="F4036" s="668"/>
      <c r="G4036" s="668"/>
      <c r="H4036" s="668"/>
      <c r="I4036" s="668"/>
      <c r="J4036" s="668"/>
      <c r="K4036" s="674"/>
      <c r="L4036" s="668"/>
      <c r="M4036" s="668"/>
    </row>
    <row r="4037" spans="5:13">
      <c r="E4037" s="668"/>
      <c r="F4037" s="668"/>
      <c r="G4037" s="668"/>
      <c r="H4037" s="668"/>
      <c r="I4037" s="668"/>
      <c r="J4037" s="668"/>
      <c r="K4037" s="674"/>
      <c r="L4037" s="668"/>
      <c r="M4037" s="668"/>
    </row>
    <row r="4038" spans="5:13">
      <c r="E4038" s="668"/>
      <c r="F4038" s="668"/>
      <c r="G4038" s="668"/>
      <c r="H4038" s="668"/>
      <c r="I4038" s="668"/>
      <c r="J4038" s="668"/>
      <c r="K4038" s="674"/>
      <c r="L4038" s="668"/>
      <c r="M4038" s="668"/>
    </row>
    <row r="4039" spans="5:13">
      <c r="E4039" s="668"/>
      <c r="F4039" s="668"/>
      <c r="G4039" s="668"/>
      <c r="H4039" s="668"/>
      <c r="I4039" s="668"/>
      <c r="J4039" s="668"/>
      <c r="K4039" s="674"/>
      <c r="L4039" s="668"/>
      <c r="M4039" s="668"/>
    </row>
    <row r="4040" spans="5:13">
      <c r="E4040" s="668"/>
      <c r="F4040" s="668"/>
      <c r="G4040" s="668"/>
      <c r="H4040" s="668"/>
      <c r="I4040" s="668"/>
      <c r="J4040" s="668"/>
      <c r="K4040" s="674"/>
      <c r="L4040" s="668"/>
      <c r="M4040" s="668"/>
    </row>
    <row r="4041" spans="5:13">
      <c r="E4041" s="668"/>
      <c r="F4041" s="668"/>
      <c r="G4041" s="668"/>
      <c r="H4041" s="668"/>
      <c r="I4041" s="668"/>
      <c r="J4041" s="668"/>
      <c r="K4041" s="674"/>
      <c r="L4041" s="668"/>
      <c r="M4041" s="668"/>
    </row>
    <row r="4042" spans="5:13">
      <c r="E4042" s="668"/>
      <c r="F4042" s="668"/>
      <c r="G4042" s="668"/>
      <c r="H4042" s="668"/>
      <c r="I4042" s="668"/>
      <c r="J4042" s="668"/>
      <c r="K4042" s="674"/>
      <c r="L4042" s="668"/>
      <c r="M4042" s="668"/>
    </row>
    <row r="4043" spans="5:13">
      <c r="E4043" s="668"/>
      <c r="F4043" s="668"/>
      <c r="G4043" s="668"/>
      <c r="H4043" s="668"/>
      <c r="I4043" s="668"/>
      <c r="J4043" s="668"/>
      <c r="K4043" s="674"/>
      <c r="L4043" s="668"/>
      <c r="M4043" s="668"/>
    </row>
    <row r="4044" spans="5:13">
      <c r="E4044" s="668"/>
      <c r="F4044" s="668"/>
      <c r="G4044" s="668"/>
      <c r="H4044" s="668"/>
      <c r="I4044" s="668"/>
      <c r="J4044" s="668"/>
      <c r="K4044" s="674"/>
      <c r="L4044" s="668"/>
      <c r="M4044" s="668"/>
    </row>
    <row r="4045" spans="5:13">
      <c r="E4045" s="668"/>
      <c r="F4045" s="668"/>
      <c r="G4045" s="668"/>
      <c r="H4045" s="668"/>
      <c r="I4045" s="668"/>
      <c r="J4045" s="668"/>
      <c r="K4045" s="674"/>
      <c r="L4045" s="668"/>
      <c r="M4045" s="668"/>
    </row>
    <row r="4046" spans="5:13">
      <c r="E4046" s="668"/>
      <c r="F4046" s="668"/>
      <c r="G4046" s="668"/>
      <c r="H4046" s="668"/>
      <c r="I4046" s="668"/>
      <c r="J4046" s="668"/>
      <c r="K4046" s="674"/>
      <c r="L4046" s="668"/>
      <c r="M4046" s="668"/>
    </row>
    <row r="4047" spans="5:13">
      <c r="E4047" s="668"/>
      <c r="F4047" s="668"/>
      <c r="G4047" s="668"/>
      <c r="H4047" s="668"/>
      <c r="I4047" s="668"/>
      <c r="J4047" s="668"/>
      <c r="K4047" s="674"/>
      <c r="L4047" s="668"/>
      <c r="M4047" s="668"/>
    </row>
    <row r="4048" spans="5:13">
      <c r="E4048" s="668"/>
      <c r="F4048" s="668"/>
      <c r="G4048" s="668"/>
      <c r="H4048" s="668"/>
      <c r="I4048" s="668"/>
      <c r="J4048" s="668"/>
      <c r="K4048" s="674"/>
      <c r="L4048" s="668"/>
      <c r="M4048" s="668"/>
    </row>
    <row r="4049" spans="5:13">
      <c r="E4049" s="668"/>
      <c r="F4049" s="668"/>
      <c r="G4049" s="668"/>
      <c r="H4049" s="668"/>
      <c r="I4049" s="668"/>
      <c r="J4049" s="668"/>
      <c r="K4049" s="674"/>
      <c r="L4049" s="668"/>
      <c r="M4049" s="668"/>
    </row>
    <row r="4050" spans="5:13">
      <c r="E4050" s="668"/>
      <c r="F4050" s="668"/>
      <c r="G4050" s="668"/>
      <c r="H4050" s="668"/>
      <c r="I4050" s="668"/>
      <c r="J4050" s="668"/>
      <c r="K4050" s="674"/>
      <c r="L4050" s="668"/>
      <c r="M4050" s="668"/>
    </row>
    <row r="4051" spans="5:13">
      <c r="E4051" s="668"/>
      <c r="F4051" s="668"/>
      <c r="G4051" s="668"/>
      <c r="H4051" s="668"/>
      <c r="I4051" s="668"/>
      <c r="J4051" s="668"/>
      <c r="K4051" s="674"/>
      <c r="L4051" s="668"/>
      <c r="M4051" s="668"/>
    </row>
    <row r="4052" spans="5:13">
      <c r="E4052" s="668"/>
      <c r="F4052" s="668"/>
      <c r="G4052" s="668"/>
      <c r="H4052" s="668"/>
      <c r="I4052" s="668"/>
      <c r="J4052" s="668"/>
      <c r="K4052" s="674"/>
      <c r="L4052" s="668"/>
      <c r="M4052" s="668"/>
    </row>
    <row r="4053" spans="5:13">
      <c r="E4053" s="668"/>
      <c r="F4053" s="668"/>
      <c r="G4053" s="668"/>
      <c r="H4053" s="668"/>
      <c r="I4053" s="668"/>
      <c r="J4053" s="668"/>
      <c r="K4053" s="674"/>
      <c r="L4053" s="668"/>
      <c r="M4053" s="668"/>
    </row>
    <row r="4054" spans="5:13">
      <c r="E4054" s="668"/>
      <c r="F4054" s="668"/>
      <c r="G4054" s="668"/>
      <c r="H4054" s="668"/>
      <c r="I4054" s="668"/>
      <c r="J4054" s="668"/>
      <c r="K4054" s="674"/>
      <c r="L4054" s="668"/>
      <c r="M4054" s="668"/>
    </row>
    <row r="4055" spans="5:13">
      <c r="E4055" s="668"/>
      <c r="F4055" s="668"/>
      <c r="G4055" s="668"/>
      <c r="H4055" s="668"/>
      <c r="I4055" s="668"/>
      <c r="J4055" s="668"/>
      <c r="K4055" s="674"/>
      <c r="L4055" s="668"/>
      <c r="M4055" s="668"/>
    </row>
    <row r="4056" spans="5:13">
      <c r="E4056" s="668"/>
      <c r="F4056" s="668"/>
      <c r="G4056" s="668"/>
      <c r="H4056" s="668"/>
      <c r="I4056" s="668"/>
      <c r="J4056" s="668"/>
      <c r="K4056" s="674"/>
      <c r="L4056" s="668"/>
      <c r="M4056" s="668"/>
    </row>
    <row r="4057" spans="5:13">
      <c r="E4057" s="668"/>
      <c r="F4057" s="668"/>
      <c r="G4057" s="668"/>
      <c r="H4057" s="668"/>
      <c r="I4057" s="668"/>
      <c r="J4057" s="668"/>
      <c r="K4057" s="674"/>
      <c r="L4057" s="668"/>
      <c r="M4057" s="668"/>
    </row>
    <row r="4058" spans="5:13">
      <c r="E4058" s="668"/>
      <c r="F4058" s="668"/>
      <c r="G4058" s="668"/>
      <c r="H4058" s="668"/>
      <c r="I4058" s="668"/>
      <c r="J4058" s="668"/>
      <c r="K4058" s="674"/>
      <c r="L4058" s="668"/>
      <c r="M4058" s="668"/>
    </row>
    <row r="4059" spans="5:13">
      <c r="E4059" s="668"/>
      <c r="F4059" s="668"/>
      <c r="G4059" s="668"/>
      <c r="H4059" s="668"/>
      <c r="I4059" s="668"/>
      <c r="J4059" s="668"/>
      <c r="K4059" s="674"/>
      <c r="L4059" s="668"/>
      <c r="M4059" s="668"/>
    </row>
    <row r="4060" spans="5:13">
      <c r="E4060" s="668"/>
      <c r="F4060" s="668"/>
      <c r="G4060" s="668"/>
      <c r="H4060" s="668"/>
      <c r="I4060" s="668"/>
      <c r="J4060" s="668"/>
      <c r="K4060" s="674"/>
      <c r="L4060" s="668"/>
      <c r="M4060" s="668"/>
    </row>
    <row r="4061" spans="5:13">
      <c r="E4061" s="668"/>
      <c r="F4061" s="668"/>
      <c r="G4061" s="668"/>
      <c r="H4061" s="668"/>
      <c r="I4061" s="668"/>
      <c r="J4061" s="668"/>
      <c r="K4061" s="674"/>
      <c r="L4061" s="668"/>
      <c r="M4061" s="668"/>
    </row>
    <row r="4062" spans="5:13">
      <c r="E4062" s="668"/>
      <c r="F4062" s="668"/>
      <c r="G4062" s="668"/>
      <c r="H4062" s="668"/>
      <c r="I4062" s="668"/>
      <c r="J4062" s="668"/>
      <c r="K4062" s="674"/>
      <c r="L4062" s="668"/>
      <c r="M4062" s="668"/>
    </row>
    <row r="4063" spans="5:13">
      <c r="E4063" s="668"/>
      <c r="F4063" s="668"/>
      <c r="G4063" s="668"/>
      <c r="H4063" s="668"/>
      <c r="I4063" s="668"/>
      <c r="J4063" s="668"/>
      <c r="K4063" s="674"/>
      <c r="L4063" s="668"/>
      <c r="M4063" s="668"/>
    </row>
    <row r="4064" spans="5:13">
      <c r="E4064" s="668"/>
      <c r="F4064" s="668"/>
      <c r="G4064" s="668"/>
      <c r="H4064" s="668"/>
      <c r="I4064" s="668"/>
      <c r="J4064" s="668"/>
      <c r="K4064" s="674"/>
      <c r="L4064" s="668"/>
      <c r="M4064" s="668"/>
    </row>
    <row r="4065" spans="5:13">
      <c r="E4065" s="668"/>
      <c r="F4065" s="668"/>
      <c r="G4065" s="668"/>
      <c r="H4065" s="668"/>
      <c r="I4065" s="668"/>
      <c r="J4065" s="668"/>
      <c r="K4065" s="674"/>
      <c r="L4065" s="668"/>
      <c r="M4065" s="668"/>
    </row>
    <row r="4066" spans="5:13">
      <c r="E4066" s="668"/>
      <c r="F4066" s="668"/>
      <c r="G4066" s="668"/>
      <c r="H4066" s="668"/>
      <c r="I4066" s="668"/>
      <c r="J4066" s="668"/>
      <c r="K4066" s="674"/>
      <c r="L4066" s="668"/>
      <c r="M4066" s="668"/>
    </row>
    <row r="4067" spans="5:13">
      <c r="E4067" s="668"/>
      <c r="F4067" s="668"/>
      <c r="G4067" s="668"/>
      <c r="H4067" s="668"/>
      <c r="I4067" s="668"/>
      <c r="J4067" s="668"/>
      <c r="K4067" s="674"/>
      <c r="L4067" s="668"/>
      <c r="M4067" s="668"/>
    </row>
    <row r="4068" spans="5:13">
      <c r="E4068" s="668"/>
      <c r="F4068" s="668"/>
      <c r="G4068" s="668"/>
      <c r="H4068" s="668"/>
      <c r="I4068" s="668"/>
      <c r="J4068" s="668"/>
      <c r="K4068" s="674"/>
      <c r="L4068" s="668"/>
      <c r="M4068" s="668"/>
    </row>
    <row r="4069" spans="5:13">
      <c r="E4069" s="668"/>
      <c r="F4069" s="668"/>
      <c r="G4069" s="668"/>
      <c r="H4069" s="668"/>
      <c r="I4069" s="668"/>
      <c r="J4069" s="668"/>
      <c r="K4069" s="674"/>
      <c r="L4069" s="668"/>
      <c r="M4069" s="668"/>
    </row>
    <row r="4070" spans="5:13">
      <c r="E4070" s="668"/>
      <c r="F4070" s="668"/>
      <c r="G4070" s="668"/>
      <c r="H4070" s="668"/>
      <c r="I4070" s="668"/>
      <c r="J4070" s="668"/>
      <c r="K4070" s="674"/>
      <c r="L4070" s="668"/>
      <c r="M4070" s="668"/>
    </row>
    <row r="4071" spans="5:13">
      <c r="E4071" s="668"/>
      <c r="F4071" s="668"/>
      <c r="G4071" s="668"/>
      <c r="H4071" s="668"/>
      <c r="I4071" s="668"/>
      <c r="J4071" s="668"/>
      <c r="K4071" s="674"/>
      <c r="L4071" s="668"/>
      <c r="M4071" s="668"/>
    </row>
    <row r="4072" spans="5:13">
      <c r="E4072" s="668"/>
      <c r="F4072" s="668"/>
      <c r="G4072" s="668"/>
      <c r="H4072" s="668"/>
      <c r="I4072" s="668"/>
      <c r="J4072" s="668"/>
      <c r="K4072" s="674"/>
      <c r="L4072" s="668"/>
      <c r="M4072" s="668"/>
    </row>
    <row r="4073" spans="5:13">
      <c r="E4073" s="668"/>
      <c r="F4073" s="668"/>
      <c r="G4073" s="668"/>
      <c r="H4073" s="668"/>
      <c r="I4073" s="668"/>
      <c r="J4073" s="668"/>
      <c r="K4073" s="674"/>
      <c r="L4073" s="668"/>
      <c r="M4073" s="668"/>
    </row>
    <row r="4074" spans="5:13">
      <c r="E4074" s="668"/>
      <c r="F4074" s="668"/>
      <c r="G4074" s="668"/>
      <c r="H4074" s="668"/>
      <c r="I4074" s="668"/>
      <c r="J4074" s="668"/>
      <c r="K4074" s="674"/>
      <c r="L4074" s="668"/>
      <c r="M4074" s="668"/>
    </row>
    <row r="4075" spans="5:13">
      <c r="E4075" s="668"/>
      <c r="F4075" s="668"/>
      <c r="G4075" s="668"/>
      <c r="H4075" s="668"/>
      <c r="I4075" s="668"/>
      <c r="J4075" s="668"/>
      <c r="K4075" s="674"/>
      <c r="L4075" s="668"/>
      <c r="M4075" s="668"/>
    </row>
    <row r="4076" spans="5:13">
      <c r="E4076" s="668"/>
      <c r="F4076" s="668"/>
      <c r="G4076" s="668"/>
      <c r="H4076" s="668"/>
      <c r="I4076" s="668"/>
      <c r="J4076" s="668"/>
      <c r="K4076" s="674"/>
      <c r="L4076" s="668"/>
      <c r="M4076" s="668"/>
    </row>
    <row r="4077" spans="5:13">
      <c r="E4077" s="668"/>
      <c r="F4077" s="668"/>
      <c r="G4077" s="668"/>
      <c r="H4077" s="668"/>
      <c r="I4077" s="668"/>
      <c r="J4077" s="668"/>
      <c r="K4077" s="674"/>
      <c r="L4077" s="668"/>
      <c r="M4077" s="668"/>
    </row>
    <row r="4078" spans="5:13">
      <c r="E4078" s="668"/>
      <c r="F4078" s="668"/>
      <c r="G4078" s="668"/>
      <c r="H4078" s="668"/>
      <c r="I4078" s="668"/>
      <c r="J4078" s="668"/>
      <c r="K4078" s="674"/>
      <c r="L4078" s="668"/>
      <c r="M4078" s="668"/>
    </row>
    <row r="4079" spans="5:13">
      <c r="E4079" s="668"/>
      <c r="F4079" s="668"/>
      <c r="G4079" s="668"/>
      <c r="H4079" s="668"/>
      <c r="I4079" s="668"/>
      <c r="J4079" s="668"/>
      <c r="K4079" s="674"/>
      <c r="L4079" s="668"/>
      <c r="M4079" s="668"/>
    </row>
    <row r="4080" spans="5:13">
      <c r="E4080" s="668"/>
      <c r="F4080" s="668"/>
      <c r="G4080" s="668"/>
      <c r="H4080" s="668"/>
      <c r="I4080" s="668"/>
      <c r="J4080" s="668"/>
      <c r="K4080" s="674"/>
      <c r="L4080" s="668"/>
      <c r="M4080" s="668"/>
    </row>
    <row r="4081" spans="5:13">
      <c r="E4081" s="668"/>
      <c r="F4081" s="668"/>
      <c r="G4081" s="668"/>
      <c r="H4081" s="668"/>
      <c r="I4081" s="668"/>
      <c r="J4081" s="668"/>
      <c r="K4081" s="674"/>
      <c r="L4081" s="668"/>
      <c r="M4081" s="668"/>
    </row>
    <row r="4082" spans="5:13">
      <c r="E4082" s="668"/>
      <c r="F4082" s="668"/>
      <c r="G4082" s="668"/>
      <c r="H4082" s="668"/>
      <c r="I4082" s="668"/>
      <c r="J4082" s="668"/>
      <c r="K4082" s="674"/>
      <c r="L4082" s="668"/>
      <c r="M4082" s="668"/>
    </row>
    <row r="4083" spans="5:13">
      <c r="E4083" s="668"/>
      <c r="F4083" s="668"/>
      <c r="G4083" s="668"/>
      <c r="H4083" s="668"/>
      <c r="I4083" s="668"/>
      <c r="J4083" s="668"/>
      <c r="K4083" s="674"/>
      <c r="L4083" s="668"/>
      <c r="M4083" s="668"/>
    </row>
    <row r="4084" spans="5:13">
      <c r="E4084" s="668"/>
      <c r="F4084" s="668"/>
      <c r="G4084" s="668"/>
      <c r="H4084" s="668"/>
      <c r="I4084" s="668"/>
      <c r="J4084" s="668"/>
      <c r="K4084" s="674"/>
      <c r="L4084" s="668"/>
      <c r="M4084" s="668"/>
    </row>
    <row r="4085" spans="5:13">
      <c r="E4085" s="668"/>
      <c r="F4085" s="668"/>
      <c r="G4085" s="668"/>
      <c r="H4085" s="668"/>
      <c r="I4085" s="668"/>
      <c r="J4085" s="668"/>
      <c r="K4085" s="674"/>
      <c r="L4085" s="668"/>
      <c r="M4085" s="668"/>
    </row>
    <row r="4086" spans="5:13">
      <c r="E4086" s="668"/>
      <c r="F4086" s="668"/>
      <c r="G4086" s="668"/>
      <c r="H4086" s="668"/>
      <c r="I4086" s="668"/>
      <c r="J4086" s="668"/>
      <c r="K4086" s="674"/>
      <c r="L4086" s="668"/>
      <c r="M4086" s="668"/>
    </row>
    <row r="4087" spans="5:13">
      <c r="E4087" s="668"/>
      <c r="F4087" s="668"/>
      <c r="G4087" s="668"/>
      <c r="H4087" s="668"/>
      <c r="I4087" s="668"/>
      <c r="J4087" s="668"/>
      <c r="K4087" s="674"/>
      <c r="L4087" s="668"/>
      <c r="M4087" s="668"/>
    </row>
    <row r="4088" spans="5:13">
      <c r="E4088" s="668"/>
      <c r="F4088" s="668"/>
      <c r="G4088" s="668"/>
      <c r="H4088" s="668"/>
      <c r="I4088" s="668"/>
      <c r="J4088" s="668"/>
      <c r="K4088" s="674"/>
      <c r="L4088" s="668"/>
      <c r="M4088" s="668"/>
    </row>
    <row r="4089" spans="5:13">
      <c r="E4089" s="668"/>
      <c r="F4089" s="668"/>
      <c r="G4089" s="668"/>
      <c r="H4089" s="668"/>
      <c r="I4089" s="668"/>
      <c r="J4089" s="668"/>
      <c r="K4089" s="674"/>
      <c r="L4089" s="668"/>
      <c r="M4089" s="668"/>
    </row>
    <row r="4090" spans="5:13">
      <c r="E4090" s="668"/>
      <c r="F4090" s="668"/>
      <c r="G4090" s="668"/>
      <c r="H4090" s="668"/>
      <c r="I4090" s="668"/>
      <c r="J4090" s="668"/>
      <c r="K4090" s="674"/>
      <c r="L4090" s="668"/>
      <c r="M4090" s="668"/>
    </row>
    <row r="4091" spans="5:13">
      <c r="E4091" s="668"/>
      <c r="F4091" s="668"/>
      <c r="G4091" s="668"/>
      <c r="H4091" s="668"/>
      <c r="I4091" s="668"/>
      <c r="J4091" s="668"/>
      <c r="K4091" s="674"/>
      <c r="L4091" s="668"/>
      <c r="M4091" s="668"/>
    </row>
    <row r="4092" spans="5:13">
      <c r="E4092" s="668"/>
      <c r="F4092" s="668"/>
      <c r="G4092" s="668"/>
      <c r="H4092" s="668"/>
      <c r="I4092" s="668"/>
      <c r="J4092" s="668"/>
      <c r="K4092" s="674"/>
      <c r="L4092" s="668"/>
      <c r="M4092" s="668"/>
    </row>
    <row r="4093" spans="5:13">
      <c r="E4093" s="668"/>
      <c r="F4093" s="668"/>
      <c r="G4093" s="668"/>
      <c r="H4093" s="668"/>
      <c r="I4093" s="668"/>
      <c r="J4093" s="668"/>
      <c r="K4093" s="674"/>
      <c r="L4093" s="668"/>
      <c r="M4093" s="668"/>
    </row>
    <row r="4094" spans="5:13">
      <c r="E4094" s="668"/>
      <c r="F4094" s="668"/>
      <c r="G4094" s="668"/>
      <c r="H4094" s="668"/>
      <c r="I4094" s="668"/>
      <c r="J4094" s="668"/>
      <c r="K4094" s="674"/>
      <c r="L4094" s="668"/>
      <c r="M4094" s="668"/>
    </row>
    <row r="4095" spans="5:13">
      <c r="E4095" s="668"/>
      <c r="F4095" s="668"/>
      <c r="G4095" s="668"/>
      <c r="H4095" s="668"/>
      <c r="I4095" s="668"/>
      <c r="J4095" s="668"/>
      <c r="K4095" s="674"/>
      <c r="L4095" s="668"/>
      <c r="M4095" s="668"/>
    </row>
    <row r="4096" spans="5:13">
      <c r="E4096" s="668"/>
      <c r="F4096" s="668"/>
      <c r="G4096" s="668"/>
      <c r="H4096" s="668"/>
      <c r="I4096" s="668"/>
      <c r="J4096" s="668"/>
      <c r="K4096" s="674"/>
      <c r="L4096" s="668"/>
      <c r="M4096" s="668"/>
    </row>
    <row r="4097" spans="5:13">
      <c r="E4097" s="668"/>
      <c r="F4097" s="668"/>
      <c r="G4097" s="668"/>
      <c r="H4097" s="668"/>
      <c r="I4097" s="668"/>
      <c r="J4097" s="668"/>
      <c r="K4097" s="674"/>
      <c r="L4097" s="668"/>
      <c r="M4097" s="668"/>
    </row>
    <row r="4098" spans="5:13">
      <c r="E4098" s="668"/>
      <c r="F4098" s="668"/>
      <c r="G4098" s="668"/>
      <c r="H4098" s="668"/>
      <c r="I4098" s="668"/>
      <c r="J4098" s="668"/>
      <c r="K4098" s="674"/>
      <c r="L4098" s="668"/>
      <c r="M4098" s="668"/>
    </row>
    <row r="4099" spans="5:13">
      <c r="E4099" s="668"/>
      <c r="F4099" s="668"/>
      <c r="G4099" s="668"/>
      <c r="H4099" s="668"/>
      <c r="I4099" s="668"/>
      <c r="J4099" s="668"/>
      <c r="K4099" s="674"/>
      <c r="L4099" s="668"/>
      <c r="M4099" s="668"/>
    </row>
    <row r="4100" spans="5:13">
      <c r="E4100" s="668"/>
      <c r="F4100" s="668"/>
      <c r="G4100" s="668"/>
      <c r="H4100" s="668"/>
      <c r="I4100" s="668"/>
      <c r="J4100" s="668"/>
      <c r="K4100" s="674"/>
      <c r="L4100" s="668"/>
      <c r="M4100" s="668"/>
    </row>
    <row r="4101" spans="5:13">
      <c r="E4101" s="668"/>
      <c r="F4101" s="668"/>
      <c r="G4101" s="668"/>
      <c r="H4101" s="668"/>
      <c r="I4101" s="668"/>
      <c r="J4101" s="668"/>
      <c r="K4101" s="674"/>
      <c r="L4101" s="668"/>
      <c r="M4101" s="668"/>
    </row>
    <row r="4102" spans="5:13">
      <c r="E4102" s="668"/>
      <c r="F4102" s="668"/>
      <c r="G4102" s="668"/>
      <c r="H4102" s="668"/>
      <c r="I4102" s="668"/>
      <c r="J4102" s="668"/>
      <c r="K4102" s="674"/>
      <c r="L4102" s="668"/>
      <c r="M4102" s="668"/>
    </row>
    <row r="4103" spans="5:13">
      <c r="E4103" s="668"/>
      <c r="F4103" s="668"/>
      <c r="G4103" s="668"/>
      <c r="H4103" s="668"/>
      <c r="I4103" s="668"/>
      <c r="J4103" s="668"/>
      <c r="K4103" s="674"/>
      <c r="L4103" s="668"/>
      <c r="M4103" s="668"/>
    </row>
    <row r="4104" spans="5:13">
      <c r="E4104" s="668"/>
      <c r="F4104" s="668"/>
      <c r="G4104" s="668"/>
      <c r="H4104" s="668"/>
      <c r="I4104" s="668"/>
      <c r="J4104" s="668"/>
      <c r="K4104" s="674"/>
      <c r="L4104" s="668"/>
      <c r="M4104" s="668"/>
    </row>
    <row r="4105" spans="5:13">
      <c r="E4105" s="668"/>
      <c r="F4105" s="668"/>
      <c r="G4105" s="668"/>
      <c r="H4105" s="668"/>
      <c r="I4105" s="668"/>
      <c r="J4105" s="668"/>
      <c r="K4105" s="674"/>
      <c r="L4105" s="668"/>
      <c r="M4105" s="668"/>
    </row>
    <row r="4106" spans="5:13">
      <c r="E4106" s="668"/>
      <c r="F4106" s="668"/>
      <c r="G4106" s="668"/>
      <c r="H4106" s="668"/>
      <c r="I4106" s="668"/>
      <c r="J4106" s="668"/>
      <c r="K4106" s="674"/>
      <c r="L4106" s="668"/>
      <c r="M4106" s="668"/>
    </row>
    <row r="4107" spans="5:13">
      <c r="E4107" s="668"/>
      <c r="F4107" s="668"/>
      <c r="G4107" s="668"/>
      <c r="H4107" s="668"/>
      <c r="I4107" s="668"/>
      <c r="J4107" s="668"/>
      <c r="K4107" s="674"/>
      <c r="L4107" s="668"/>
      <c r="M4107" s="668"/>
    </row>
    <row r="4108" spans="5:13">
      <c r="E4108" s="668"/>
      <c r="F4108" s="668"/>
      <c r="G4108" s="668"/>
      <c r="H4108" s="668"/>
      <c r="I4108" s="668"/>
      <c r="J4108" s="668"/>
      <c r="K4108" s="674"/>
      <c r="L4108" s="668"/>
      <c r="M4108" s="668"/>
    </row>
    <row r="4109" spans="5:13">
      <c r="E4109" s="668"/>
      <c r="F4109" s="668"/>
      <c r="G4109" s="668"/>
      <c r="H4109" s="668"/>
      <c r="I4109" s="668"/>
      <c r="J4109" s="668"/>
      <c r="K4109" s="674"/>
      <c r="L4109" s="668"/>
      <c r="M4109" s="668"/>
    </row>
    <row r="4110" spans="5:13">
      <c r="E4110" s="668"/>
      <c r="F4110" s="668"/>
      <c r="G4110" s="668"/>
      <c r="H4110" s="668"/>
      <c r="I4110" s="668"/>
      <c r="J4110" s="668"/>
      <c r="K4110" s="674"/>
      <c r="L4110" s="668"/>
      <c r="M4110" s="668"/>
    </row>
    <row r="4111" spans="5:13">
      <c r="E4111" s="668"/>
      <c r="F4111" s="668"/>
      <c r="G4111" s="668"/>
      <c r="H4111" s="668"/>
      <c r="I4111" s="668"/>
      <c r="J4111" s="668"/>
      <c r="K4111" s="674"/>
      <c r="L4111" s="668"/>
      <c r="M4111" s="668"/>
    </row>
    <row r="4112" spans="5:13">
      <c r="E4112" s="668"/>
      <c r="F4112" s="668"/>
      <c r="G4112" s="668"/>
      <c r="H4112" s="668"/>
      <c r="I4112" s="668"/>
      <c r="J4112" s="668"/>
      <c r="K4112" s="674"/>
      <c r="L4112" s="668"/>
      <c r="M4112" s="668"/>
    </row>
    <row r="4113" spans="5:13">
      <c r="E4113" s="668"/>
      <c r="F4113" s="668"/>
      <c r="G4113" s="668"/>
      <c r="H4113" s="668"/>
      <c r="I4113" s="668"/>
      <c r="J4113" s="668"/>
      <c r="K4113" s="674"/>
      <c r="L4113" s="668"/>
      <c r="M4113" s="668"/>
    </row>
    <row r="4114" spans="5:13">
      <c r="E4114" s="668"/>
      <c r="F4114" s="668"/>
      <c r="G4114" s="668"/>
      <c r="H4114" s="668"/>
      <c r="I4114" s="668"/>
      <c r="J4114" s="668"/>
      <c r="K4114" s="674"/>
      <c r="L4114" s="668"/>
      <c r="M4114" s="668"/>
    </row>
    <row r="4115" spans="5:13">
      <c r="E4115" s="668"/>
      <c r="F4115" s="668"/>
      <c r="G4115" s="668"/>
      <c r="H4115" s="668"/>
      <c r="I4115" s="668"/>
      <c r="J4115" s="668"/>
      <c r="K4115" s="674"/>
      <c r="L4115" s="668"/>
      <c r="M4115" s="668"/>
    </row>
    <row r="4116" spans="5:13">
      <c r="E4116" s="668"/>
      <c r="F4116" s="668"/>
      <c r="G4116" s="668"/>
      <c r="H4116" s="668"/>
      <c r="I4116" s="668"/>
      <c r="J4116" s="668"/>
      <c r="K4116" s="674"/>
      <c r="L4116" s="668"/>
      <c r="M4116" s="668"/>
    </row>
    <row r="4117" spans="5:13">
      <c r="E4117" s="668"/>
      <c r="F4117" s="668"/>
      <c r="G4117" s="668"/>
      <c r="H4117" s="668"/>
      <c r="I4117" s="668"/>
      <c r="J4117" s="668"/>
      <c r="K4117" s="674"/>
      <c r="L4117" s="668"/>
      <c r="M4117" s="668"/>
    </row>
    <row r="4118" spans="5:13">
      <c r="E4118" s="668"/>
      <c r="F4118" s="668"/>
      <c r="G4118" s="668"/>
      <c r="H4118" s="668"/>
      <c r="I4118" s="668"/>
      <c r="J4118" s="668"/>
      <c r="K4118" s="674"/>
      <c r="L4118" s="668"/>
      <c r="M4118" s="668"/>
    </row>
    <row r="4119" spans="5:13">
      <c r="E4119" s="668"/>
      <c r="F4119" s="668"/>
      <c r="G4119" s="668"/>
      <c r="H4119" s="668"/>
      <c r="I4119" s="668"/>
      <c r="J4119" s="668"/>
      <c r="K4119" s="674"/>
      <c r="L4119" s="668"/>
      <c r="M4119" s="668"/>
    </row>
    <row r="4120" spans="5:13">
      <c r="E4120" s="668"/>
      <c r="F4120" s="668"/>
      <c r="G4120" s="668"/>
      <c r="H4120" s="668"/>
      <c r="I4120" s="668"/>
      <c r="J4120" s="668"/>
      <c r="K4120" s="674"/>
      <c r="L4120" s="668"/>
      <c r="M4120" s="668"/>
    </row>
    <row r="4121" spans="5:13">
      <c r="E4121" s="668"/>
      <c r="F4121" s="668"/>
      <c r="G4121" s="668"/>
      <c r="H4121" s="668"/>
      <c r="I4121" s="668"/>
      <c r="J4121" s="668"/>
      <c r="K4121" s="674"/>
      <c r="L4121" s="668"/>
      <c r="M4121" s="668"/>
    </row>
    <row r="4122" spans="5:13">
      <c r="E4122" s="668"/>
      <c r="F4122" s="668"/>
      <c r="G4122" s="668"/>
      <c r="H4122" s="668"/>
      <c r="I4122" s="668"/>
      <c r="J4122" s="668"/>
      <c r="K4122" s="674"/>
      <c r="L4122" s="668"/>
      <c r="M4122" s="668"/>
    </row>
    <row r="4123" spans="5:13">
      <c r="E4123" s="668"/>
      <c r="F4123" s="668"/>
      <c r="G4123" s="668"/>
      <c r="H4123" s="668"/>
      <c r="I4123" s="668"/>
      <c r="J4123" s="668"/>
      <c r="K4123" s="674"/>
      <c r="L4123" s="668"/>
      <c r="M4123" s="668"/>
    </row>
    <row r="4124" spans="5:13">
      <c r="E4124" s="668"/>
      <c r="F4124" s="668"/>
      <c r="G4124" s="668"/>
      <c r="H4124" s="668"/>
      <c r="I4124" s="668"/>
      <c r="J4124" s="668"/>
      <c r="K4124" s="674"/>
      <c r="L4124" s="668"/>
      <c r="M4124" s="668"/>
    </row>
    <row r="4125" spans="5:13">
      <c r="E4125" s="668"/>
      <c r="F4125" s="668"/>
      <c r="G4125" s="668"/>
      <c r="H4125" s="668"/>
      <c r="I4125" s="668"/>
      <c r="J4125" s="668"/>
      <c r="K4125" s="674"/>
      <c r="L4125" s="668"/>
      <c r="M4125" s="668"/>
    </row>
    <row r="4126" spans="5:13">
      <c r="E4126" s="668"/>
      <c r="F4126" s="668"/>
      <c r="G4126" s="668"/>
      <c r="H4126" s="668"/>
      <c r="I4126" s="668"/>
      <c r="J4126" s="668"/>
      <c r="K4126" s="674"/>
      <c r="L4126" s="668"/>
      <c r="M4126" s="668"/>
    </row>
    <row r="4127" spans="5:13">
      <c r="E4127" s="668"/>
      <c r="F4127" s="668"/>
      <c r="G4127" s="668"/>
      <c r="H4127" s="668"/>
      <c r="I4127" s="668"/>
      <c r="J4127" s="668"/>
      <c r="K4127" s="674"/>
      <c r="L4127" s="668"/>
      <c r="M4127" s="668"/>
    </row>
    <row r="4128" spans="5:13">
      <c r="E4128" s="668"/>
      <c r="F4128" s="668"/>
      <c r="G4128" s="668"/>
      <c r="H4128" s="668"/>
      <c r="I4128" s="668"/>
      <c r="J4128" s="668"/>
      <c r="K4128" s="674"/>
      <c r="L4128" s="668"/>
      <c r="M4128" s="668"/>
    </row>
    <row r="4129" spans="5:13">
      <c r="E4129" s="668"/>
      <c r="F4129" s="668"/>
      <c r="G4129" s="668"/>
      <c r="H4129" s="668"/>
      <c r="I4129" s="668"/>
      <c r="J4129" s="668"/>
      <c r="K4129" s="674"/>
      <c r="L4129" s="668"/>
      <c r="M4129" s="668"/>
    </row>
    <row r="4130" spans="5:13">
      <c r="E4130" s="668"/>
      <c r="F4130" s="668"/>
      <c r="G4130" s="668"/>
      <c r="H4130" s="668"/>
      <c r="I4130" s="668"/>
      <c r="J4130" s="668"/>
      <c r="K4130" s="674"/>
      <c r="L4130" s="668"/>
      <c r="M4130" s="668"/>
    </row>
    <row r="4131" spans="5:13">
      <c r="E4131" s="668"/>
      <c r="F4131" s="668"/>
      <c r="G4131" s="668"/>
      <c r="H4131" s="668"/>
      <c r="I4131" s="668"/>
      <c r="J4131" s="668"/>
      <c r="K4131" s="674"/>
      <c r="L4131" s="668"/>
      <c r="M4131" s="668"/>
    </row>
    <row r="4132" spans="5:13">
      <c r="E4132" s="668"/>
      <c r="F4132" s="668"/>
      <c r="G4132" s="668"/>
      <c r="H4132" s="668"/>
      <c r="I4132" s="668"/>
      <c r="J4132" s="668"/>
      <c r="K4132" s="674"/>
      <c r="L4132" s="668"/>
      <c r="M4132" s="668"/>
    </row>
    <row r="4133" spans="5:13">
      <c r="E4133" s="668"/>
      <c r="F4133" s="668"/>
      <c r="G4133" s="668"/>
      <c r="H4133" s="668"/>
      <c r="I4133" s="668"/>
      <c r="J4133" s="668"/>
      <c r="K4133" s="674"/>
      <c r="L4133" s="668"/>
      <c r="M4133" s="668"/>
    </row>
    <row r="4134" spans="5:13">
      <c r="E4134" s="668"/>
      <c r="F4134" s="668"/>
      <c r="G4134" s="668"/>
      <c r="H4134" s="668"/>
      <c r="I4134" s="668"/>
      <c r="J4134" s="668"/>
      <c r="K4134" s="674"/>
      <c r="L4134" s="668"/>
      <c r="M4134" s="668"/>
    </row>
    <row r="4135" spans="5:13">
      <c r="E4135" s="668"/>
      <c r="F4135" s="668"/>
      <c r="G4135" s="668"/>
      <c r="H4135" s="668"/>
      <c r="I4135" s="668"/>
      <c r="J4135" s="668"/>
      <c r="K4135" s="674"/>
      <c r="L4135" s="668"/>
      <c r="M4135" s="668"/>
    </row>
    <row r="4136" spans="5:13">
      <c r="E4136" s="668"/>
      <c r="F4136" s="668"/>
      <c r="G4136" s="668"/>
      <c r="H4136" s="668"/>
      <c r="I4136" s="668"/>
      <c r="J4136" s="668"/>
      <c r="K4136" s="674"/>
      <c r="L4136" s="668"/>
      <c r="M4136" s="668"/>
    </row>
    <row r="4137" spans="5:13">
      <c r="E4137" s="668"/>
      <c r="F4137" s="668"/>
      <c r="G4137" s="668"/>
      <c r="H4137" s="668"/>
      <c r="I4137" s="668"/>
      <c r="J4137" s="668"/>
      <c r="K4137" s="674"/>
      <c r="L4137" s="668"/>
      <c r="M4137" s="668"/>
    </row>
    <row r="4138" spans="5:13">
      <c r="E4138" s="668"/>
      <c r="F4138" s="668"/>
      <c r="G4138" s="668"/>
      <c r="H4138" s="668"/>
      <c r="I4138" s="668"/>
      <c r="J4138" s="668"/>
      <c r="K4138" s="674"/>
      <c r="L4138" s="668"/>
      <c r="M4138" s="668"/>
    </row>
    <row r="4139" spans="5:13">
      <c r="E4139" s="668"/>
      <c r="F4139" s="668"/>
      <c r="G4139" s="668"/>
      <c r="H4139" s="668"/>
      <c r="I4139" s="668"/>
      <c r="J4139" s="668"/>
      <c r="K4139" s="674"/>
      <c r="L4139" s="668"/>
      <c r="M4139" s="668"/>
    </row>
    <row r="4140" spans="5:13">
      <c r="E4140" s="668"/>
      <c r="F4140" s="668"/>
      <c r="G4140" s="668"/>
      <c r="H4140" s="668"/>
      <c r="I4140" s="668"/>
      <c r="J4140" s="668"/>
      <c r="K4140" s="674"/>
      <c r="L4140" s="668"/>
      <c r="M4140" s="668"/>
    </row>
    <row r="4141" spans="5:13">
      <c r="E4141" s="668"/>
      <c r="F4141" s="668"/>
      <c r="G4141" s="668"/>
      <c r="H4141" s="668"/>
      <c r="I4141" s="668"/>
      <c r="J4141" s="668"/>
      <c r="K4141" s="674"/>
      <c r="L4141" s="668"/>
      <c r="M4141" s="668"/>
    </row>
    <row r="4142" spans="5:13">
      <c r="E4142" s="668"/>
      <c r="F4142" s="668"/>
      <c r="G4142" s="668"/>
      <c r="H4142" s="668"/>
      <c r="I4142" s="668"/>
      <c r="J4142" s="668"/>
      <c r="K4142" s="674"/>
      <c r="L4142" s="668"/>
      <c r="M4142" s="668"/>
    </row>
    <row r="4143" spans="5:13">
      <c r="E4143" s="668"/>
      <c r="F4143" s="668"/>
      <c r="G4143" s="668"/>
      <c r="H4143" s="668"/>
      <c r="I4143" s="668"/>
      <c r="J4143" s="668"/>
      <c r="K4143" s="674"/>
      <c r="L4143" s="668"/>
      <c r="M4143" s="668"/>
    </row>
    <row r="4144" spans="5:13">
      <c r="E4144" s="668"/>
      <c r="F4144" s="668"/>
      <c r="G4144" s="668"/>
      <c r="H4144" s="668"/>
      <c r="I4144" s="668"/>
      <c r="J4144" s="668"/>
      <c r="K4144" s="674"/>
      <c r="L4144" s="668"/>
      <c r="M4144" s="668"/>
    </row>
    <row r="4145" spans="5:13">
      <c r="E4145" s="668"/>
      <c r="F4145" s="668"/>
      <c r="G4145" s="668"/>
      <c r="H4145" s="668"/>
      <c r="I4145" s="668"/>
      <c r="J4145" s="668"/>
      <c r="K4145" s="674"/>
      <c r="L4145" s="668"/>
      <c r="M4145" s="668"/>
    </row>
    <row r="4146" spans="5:13">
      <c r="E4146" s="668"/>
      <c r="F4146" s="668"/>
      <c r="G4146" s="668"/>
      <c r="H4146" s="668"/>
      <c r="I4146" s="668"/>
      <c r="J4146" s="668"/>
      <c r="K4146" s="674"/>
      <c r="L4146" s="668"/>
      <c r="M4146" s="668"/>
    </row>
    <row r="4147" spans="5:13">
      <c r="E4147" s="668"/>
      <c r="F4147" s="668"/>
      <c r="G4147" s="668"/>
      <c r="H4147" s="668"/>
      <c r="I4147" s="668"/>
      <c r="J4147" s="668"/>
      <c r="K4147" s="674"/>
      <c r="L4147" s="668"/>
      <c r="M4147" s="668"/>
    </row>
    <row r="4148" spans="5:13">
      <c r="E4148" s="668"/>
      <c r="F4148" s="668"/>
      <c r="G4148" s="668"/>
      <c r="H4148" s="668"/>
      <c r="I4148" s="668"/>
      <c r="J4148" s="668"/>
      <c r="K4148" s="674"/>
      <c r="L4148" s="668"/>
      <c r="M4148" s="668"/>
    </row>
    <row r="4149" spans="5:13">
      <c r="E4149" s="668"/>
      <c r="F4149" s="668"/>
      <c r="G4149" s="668"/>
      <c r="H4149" s="668"/>
      <c r="I4149" s="668"/>
      <c r="J4149" s="668"/>
      <c r="K4149" s="674"/>
      <c r="L4149" s="668"/>
      <c r="M4149" s="668"/>
    </row>
    <row r="4150" spans="5:13">
      <c r="E4150" s="668"/>
      <c r="F4150" s="668"/>
      <c r="G4150" s="668"/>
      <c r="H4150" s="668"/>
      <c r="I4150" s="668"/>
      <c r="J4150" s="668"/>
      <c r="K4150" s="674"/>
      <c r="L4150" s="668"/>
      <c r="M4150" s="668"/>
    </row>
    <row r="4151" spans="5:13">
      <c r="E4151" s="668"/>
      <c r="F4151" s="668"/>
      <c r="G4151" s="668"/>
      <c r="H4151" s="668"/>
      <c r="I4151" s="668"/>
      <c r="J4151" s="668"/>
      <c r="K4151" s="674"/>
      <c r="L4151" s="668"/>
      <c r="M4151" s="668"/>
    </row>
    <row r="4152" spans="5:13">
      <c r="E4152" s="668"/>
      <c r="F4152" s="668"/>
      <c r="G4152" s="668"/>
      <c r="H4152" s="668"/>
      <c r="I4152" s="668"/>
      <c r="J4152" s="668"/>
      <c r="K4152" s="674"/>
      <c r="L4152" s="668"/>
      <c r="M4152" s="668"/>
    </row>
    <row r="4153" spans="5:13">
      <c r="E4153" s="668"/>
      <c r="F4153" s="668"/>
      <c r="G4153" s="668"/>
      <c r="H4153" s="668"/>
      <c r="I4153" s="668"/>
      <c r="J4153" s="668"/>
      <c r="K4153" s="674"/>
      <c r="L4153" s="668"/>
      <c r="M4153" s="668"/>
    </row>
    <row r="4154" spans="5:13">
      <c r="E4154" s="668"/>
      <c r="F4154" s="668"/>
      <c r="G4154" s="668"/>
      <c r="H4154" s="668"/>
      <c r="I4154" s="668"/>
      <c r="J4154" s="668"/>
      <c r="K4154" s="674"/>
      <c r="L4154" s="668"/>
      <c r="M4154" s="668"/>
    </row>
    <row r="4155" spans="5:13">
      <c r="E4155" s="668"/>
      <c r="F4155" s="668"/>
      <c r="G4155" s="668"/>
      <c r="H4155" s="668"/>
      <c r="I4155" s="668"/>
      <c r="J4155" s="668"/>
      <c r="K4155" s="674"/>
      <c r="L4155" s="668"/>
      <c r="M4155" s="668"/>
    </row>
    <row r="4156" spans="5:13">
      <c r="E4156" s="668"/>
      <c r="F4156" s="668"/>
      <c r="G4156" s="668"/>
      <c r="H4156" s="668"/>
      <c r="I4156" s="668"/>
      <c r="J4156" s="668"/>
      <c r="K4156" s="674"/>
      <c r="L4156" s="668"/>
      <c r="M4156" s="668"/>
    </row>
    <row r="4157" spans="5:13">
      <c r="E4157" s="668"/>
      <c r="F4157" s="668"/>
      <c r="G4157" s="668"/>
      <c r="H4157" s="668"/>
      <c r="I4157" s="668"/>
      <c r="J4157" s="668"/>
      <c r="K4157" s="674"/>
      <c r="L4157" s="668"/>
      <c r="M4157" s="668"/>
    </row>
    <row r="4158" spans="5:13">
      <c r="E4158" s="668"/>
      <c r="F4158" s="668"/>
      <c r="G4158" s="668"/>
      <c r="H4158" s="668"/>
      <c r="I4158" s="668"/>
      <c r="J4158" s="668"/>
      <c r="K4158" s="674"/>
      <c r="L4158" s="668"/>
      <c r="M4158" s="668"/>
    </row>
    <row r="4159" spans="5:13">
      <c r="E4159" s="668"/>
      <c r="F4159" s="668"/>
      <c r="G4159" s="668"/>
      <c r="H4159" s="668"/>
      <c r="I4159" s="668"/>
      <c r="J4159" s="668"/>
      <c r="K4159" s="674"/>
      <c r="L4159" s="668"/>
      <c r="M4159" s="668"/>
    </row>
    <row r="4160" spans="5:13">
      <c r="E4160" s="668"/>
      <c r="F4160" s="668"/>
      <c r="G4160" s="668"/>
      <c r="H4160" s="668"/>
      <c r="I4160" s="668"/>
      <c r="J4160" s="668"/>
      <c r="K4160" s="674"/>
      <c r="L4160" s="668"/>
      <c r="M4160" s="668"/>
    </row>
    <row r="4161" spans="5:13">
      <c r="E4161" s="668"/>
      <c r="F4161" s="668"/>
      <c r="G4161" s="668"/>
      <c r="H4161" s="668"/>
      <c r="I4161" s="668"/>
      <c r="J4161" s="668"/>
      <c r="K4161" s="674"/>
      <c r="L4161" s="668"/>
      <c r="M4161" s="668"/>
    </row>
    <row r="4162" spans="5:13">
      <c r="E4162" s="668"/>
      <c r="F4162" s="668"/>
      <c r="G4162" s="668"/>
      <c r="H4162" s="668"/>
      <c r="I4162" s="668"/>
      <c r="J4162" s="668"/>
      <c r="K4162" s="674"/>
      <c r="L4162" s="668"/>
      <c r="M4162" s="668"/>
    </row>
    <row r="4163" spans="5:13">
      <c r="E4163" s="668"/>
      <c r="F4163" s="668"/>
      <c r="G4163" s="668"/>
      <c r="H4163" s="668"/>
      <c r="I4163" s="668"/>
      <c r="J4163" s="668"/>
      <c r="K4163" s="674"/>
      <c r="L4163" s="668"/>
      <c r="M4163" s="668"/>
    </row>
    <row r="4164" spans="5:13">
      <c r="E4164" s="668"/>
      <c r="F4164" s="668"/>
      <c r="G4164" s="668"/>
      <c r="H4164" s="668"/>
      <c r="I4164" s="668"/>
      <c r="J4164" s="668"/>
      <c r="K4164" s="674"/>
      <c r="L4164" s="668"/>
      <c r="M4164" s="668"/>
    </row>
    <row r="4165" spans="5:13">
      <c r="E4165" s="668"/>
      <c r="F4165" s="668"/>
      <c r="G4165" s="668"/>
      <c r="H4165" s="668"/>
      <c r="I4165" s="668"/>
      <c r="J4165" s="668"/>
      <c r="K4165" s="674"/>
      <c r="L4165" s="668"/>
      <c r="M4165" s="668"/>
    </row>
    <row r="4166" spans="5:13">
      <c r="E4166" s="668"/>
      <c r="F4166" s="668"/>
      <c r="G4166" s="668"/>
      <c r="H4166" s="668"/>
      <c r="I4166" s="668"/>
      <c r="J4166" s="668"/>
      <c r="K4166" s="674"/>
      <c r="L4166" s="668"/>
      <c r="M4166" s="668"/>
    </row>
    <row r="4167" spans="5:13">
      <c r="E4167" s="668"/>
      <c r="F4167" s="668"/>
      <c r="G4167" s="668"/>
      <c r="H4167" s="668"/>
      <c r="I4167" s="668"/>
      <c r="J4167" s="668"/>
      <c r="K4167" s="674"/>
      <c r="L4167" s="668"/>
      <c r="M4167" s="668"/>
    </row>
    <row r="4168" spans="5:13">
      <c r="E4168" s="668"/>
      <c r="F4168" s="668"/>
      <c r="G4168" s="668"/>
      <c r="H4168" s="668"/>
      <c r="I4168" s="668"/>
      <c r="J4168" s="668"/>
      <c r="K4168" s="674"/>
      <c r="L4168" s="668"/>
      <c r="M4168" s="668"/>
    </row>
    <row r="4169" spans="5:13">
      <c r="E4169" s="668"/>
      <c r="F4169" s="668"/>
      <c r="G4169" s="668"/>
      <c r="H4169" s="668"/>
      <c r="I4169" s="668"/>
      <c r="J4169" s="668"/>
      <c r="K4169" s="674"/>
      <c r="L4169" s="668"/>
      <c r="M4169" s="668"/>
    </row>
    <row r="4170" spans="5:13">
      <c r="E4170" s="668"/>
      <c r="F4170" s="668"/>
      <c r="G4170" s="668"/>
      <c r="H4170" s="668"/>
      <c r="I4170" s="668"/>
      <c r="J4170" s="668"/>
      <c r="K4170" s="674"/>
      <c r="L4170" s="668"/>
      <c r="M4170" s="668"/>
    </row>
    <row r="4171" spans="5:13">
      <c r="E4171" s="668"/>
      <c r="F4171" s="668"/>
      <c r="G4171" s="668"/>
      <c r="H4171" s="668"/>
      <c r="I4171" s="668"/>
      <c r="J4171" s="668"/>
      <c r="K4171" s="674"/>
      <c r="L4171" s="668"/>
      <c r="M4171" s="668"/>
    </row>
    <row r="4172" spans="5:13">
      <c r="E4172" s="668"/>
      <c r="F4172" s="668"/>
      <c r="G4172" s="668"/>
      <c r="H4172" s="668"/>
      <c r="I4172" s="668"/>
      <c r="J4172" s="668"/>
      <c r="K4172" s="674"/>
      <c r="L4172" s="668"/>
      <c r="M4172" s="668"/>
    </row>
    <row r="4173" spans="5:13">
      <c r="E4173" s="668"/>
      <c r="F4173" s="668"/>
      <c r="G4173" s="668"/>
      <c r="H4173" s="668"/>
      <c r="I4173" s="668"/>
      <c r="J4173" s="668"/>
      <c r="K4173" s="674"/>
      <c r="L4173" s="668"/>
      <c r="M4173" s="668"/>
    </row>
    <row r="4174" spans="5:13">
      <c r="E4174" s="668"/>
      <c r="F4174" s="668"/>
      <c r="G4174" s="668"/>
      <c r="H4174" s="668"/>
      <c r="I4174" s="668"/>
      <c r="J4174" s="668"/>
      <c r="K4174" s="674"/>
      <c r="L4174" s="668"/>
      <c r="M4174" s="668"/>
    </row>
    <row r="4175" spans="5:13">
      <c r="E4175" s="668"/>
      <c r="F4175" s="668"/>
      <c r="G4175" s="668"/>
      <c r="H4175" s="668"/>
      <c r="I4175" s="668"/>
      <c r="J4175" s="668"/>
      <c r="K4175" s="674"/>
      <c r="L4175" s="668"/>
      <c r="M4175" s="668"/>
    </row>
    <row r="4176" spans="5:13">
      <c r="E4176" s="668"/>
      <c r="F4176" s="668"/>
      <c r="G4176" s="668"/>
      <c r="H4176" s="668"/>
      <c r="I4176" s="668"/>
      <c r="J4176" s="668"/>
      <c r="K4176" s="674"/>
      <c r="L4176" s="668"/>
      <c r="M4176" s="668"/>
    </row>
    <row r="4177" spans="5:13">
      <c r="E4177" s="668"/>
      <c r="F4177" s="668"/>
      <c r="G4177" s="668"/>
      <c r="H4177" s="668"/>
      <c r="I4177" s="668"/>
      <c r="J4177" s="668"/>
      <c r="K4177" s="674"/>
      <c r="L4177" s="668"/>
      <c r="M4177" s="668"/>
    </row>
    <row r="4178" spans="5:13">
      <c r="E4178" s="668"/>
      <c r="F4178" s="668"/>
      <c r="G4178" s="668"/>
      <c r="H4178" s="668"/>
      <c r="I4178" s="668"/>
      <c r="J4178" s="668"/>
      <c r="K4178" s="674"/>
      <c r="L4178" s="668"/>
      <c r="M4178" s="668"/>
    </row>
    <row r="4179" spans="5:13">
      <c r="E4179" s="668"/>
      <c r="F4179" s="668"/>
      <c r="G4179" s="668"/>
      <c r="H4179" s="668"/>
      <c r="I4179" s="668"/>
      <c r="J4179" s="668"/>
      <c r="K4179" s="674"/>
      <c r="L4179" s="668"/>
      <c r="M4179" s="668"/>
    </row>
    <row r="4180" spans="5:13">
      <c r="E4180" s="668"/>
      <c r="F4180" s="668"/>
      <c r="G4180" s="668"/>
      <c r="H4180" s="668"/>
      <c r="I4180" s="668"/>
      <c r="J4180" s="668"/>
      <c r="K4180" s="674"/>
      <c r="L4180" s="668"/>
      <c r="M4180" s="668"/>
    </row>
    <row r="4181" spans="5:13">
      <c r="E4181" s="668"/>
      <c r="F4181" s="668"/>
      <c r="G4181" s="668"/>
      <c r="H4181" s="668"/>
      <c r="I4181" s="668"/>
      <c r="J4181" s="668"/>
      <c r="K4181" s="674"/>
      <c r="L4181" s="668"/>
      <c r="M4181" s="668"/>
    </row>
    <row r="4182" spans="5:13">
      <c r="E4182" s="668"/>
      <c r="F4182" s="668"/>
      <c r="G4182" s="668"/>
      <c r="H4182" s="668"/>
      <c r="I4182" s="668"/>
      <c r="J4182" s="668"/>
      <c r="K4182" s="674"/>
      <c r="L4182" s="668"/>
      <c r="M4182" s="668"/>
    </row>
    <row r="4183" spans="5:13">
      <c r="E4183" s="668"/>
      <c r="F4183" s="668"/>
      <c r="G4183" s="668"/>
      <c r="H4183" s="668"/>
      <c r="I4183" s="668"/>
      <c r="J4183" s="668"/>
      <c r="K4183" s="674"/>
      <c r="L4183" s="668"/>
      <c r="M4183" s="668"/>
    </row>
    <row r="4184" spans="5:13">
      <c r="E4184" s="668"/>
      <c r="F4184" s="668"/>
      <c r="G4184" s="668"/>
      <c r="H4184" s="668"/>
      <c r="I4184" s="668"/>
      <c r="J4184" s="668"/>
      <c r="K4184" s="674"/>
      <c r="L4184" s="668"/>
      <c r="M4184" s="668"/>
    </row>
    <row r="4185" spans="5:13">
      <c r="E4185" s="668"/>
      <c r="F4185" s="668"/>
      <c r="G4185" s="668"/>
      <c r="H4185" s="668"/>
      <c r="I4185" s="668"/>
      <c r="J4185" s="668"/>
      <c r="K4185" s="674"/>
      <c r="L4185" s="668"/>
      <c r="M4185" s="668"/>
    </row>
    <row r="4186" spans="5:13">
      <c r="E4186" s="668"/>
      <c r="F4186" s="668"/>
      <c r="G4186" s="668"/>
      <c r="H4186" s="668"/>
      <c r="I4186" s="668"/>
      <c r="J4186" s="668"/>
      <c r="K4186" s="674"/>
      <c r="L4186" s="668"/>
      <c r="M4186" s="668"/>
    </row>
    <row r="4187" spans="5:13">
      <c r="E4187" s="668"/>
      <c r="F4187" s="668"/>
      <c r="G4187" s="668"/>
      <c r="H4187" s="668"/>
      <c r="I4187" s="668"/>
      <c r="J4187" s="668"/>
      <c r="K4187" s="674"/>
      <c r="L4187" s="668"/>
      <c r="M4187" s="668"/>
    </row>
    <row r="4188" spans="5:13">
      <c r="E4188" s="668"/>
      <c r="F4188" s="668"/>
      <c r="G4188" s="668"/>
      <c r="H4188" s="668"/>
      <c r="I4188" s="668"/>
      <c r="J4188" s="668"/>
      <c r="K4188" s="674"/>
      <c r="L4188" s="668"/>
      <c r="M4188" s="668"/>
    </row>
    <row r="4189" spans="5:13">
      <c r="E4189" s="668"/>
      <c r="F4189" s="668"/>
      <c r="G4189" s="668"/>
      <c r="H4189" s="668"/>
      <c r="I4189" s="668"/>
      <c r="J4189" s="668"/>
      <c r="K4189" s="674"/>
      <c r="L4189" s="668"/>
      <c r="M4189" s="668"/>
    </row>
    <row r="4190" spans="5:13">
      <c r="E4190" s="668"/>
      <c r="F4190" s="668"/>
      <c r="G4190" s="668"/>
      <c r="H4190" s="668"/>
      <c r="I4190" s="668"/>
      <c r="J4190" s="668"/>
      <c r="K4190" s="674"/>
      <c r="L4190" s="668"/>
      <c r="M4190" s="668"/>
    </row>
    <row r="4191" spans="5:13">
      <c r="E4191" s="668"/>
      <c r="F4191" s="668"/>
      <c r="G4191" s="668"/>
      <c r="H4191" s="668"/>
      <c r="I4191" s="668"/>
      <c r="J4191" s="668"/>
      <c r="K4191" s="674"/>
      <c r="L4191" s="668"/>
      <c r="M4191" s="668"/>
    </row>
    <row r="4192" spans="5:13">
      <c r="E4192" s="668"/>
      <c r="F4192" s="668"/>
      <c r="G4192" s="668"/>
      <c r="H4192" s="668"/>
      <c r="I4192" s="668"/>
      <c r="J4192" s="668"/>
      <c r="K4192" s="674"/>
      <c r="L4192" s="668"/>
      <c r="M4192" s="668"/>
    </row>
    <row r="4193" spans="5:13">
      <c r="E4193" s="668"/>
      <c r="F4193" s="668"/>
      <c r="G4193" s="668"/>
      <c r="H4193" s="668"/>
      <c r="I4193" s="668"/>
      <c r="J4193" s="668"/>
      <c r="K4193" s="674"/>
      <c r="L4193" s="668"/>
      <c r="M4193" s="668"/>
    </row>
    <row r="4194" spans="5:13">
      <c r="E4194" s="668"/>
      <c r="F4194" s="668"/>
      <c r="G4194" s="668"/>
      <c r="H4194" s="668"/>
      <c r="I4194" s="668"/>
      <c r="J4194" s="668"/>
      <c r="K4194" s="674"/>
      <c r="L4194" s="668"/>
      <c r="M4194" s="668"/>
    </row>
    <row r="4195" spans="5:13">
      <c r="E4195" s="668"/>
      <c r="F4195" s="668"/>
      <c r="G4195" s="668"/>
      <c r="H4195" s="668"/>
      <c r="I4195" s="668"/>
      <c r="J4195" s="668"/>
      <c r="K4195" s="674"/>
      <c r="L4195" s="668"/>
      <c r="M4195" s="668"/>
    </row>
    <row r="4196" spans="5:13">
      <c r="E4196" s="668"/>
      <c r="F4196" s="668"/>
      <c r="G4196" s="668"/>
      <c r="H4196" s="668"/>
      <c r="I4196" s="668"/>
      <c r="J4196" s="668"/>
      <c r="K4196" s="674"/>
      <c r="L4196" s="668"/>
      <c r="M4196" s="668"/>
    </row>
    <row r="4197" spans="5:13">
      <c r="E4197" s="668"/>
      <c r="F4197" s="668"/>
      <c r="G4197" s="668"/>
      <c r="H4197" s="668"/>
      <c r="I4197" s="668"/>
      <c r="J4197" s="668"/>
      <c r="K4197" s="674"/>
      <c r="L4197" s="668"/>
      <c r="M4197" s="668"/>
    </row>
    <row r="4198" spans="5:13">
      <c r="E4198" s="668"/>
      <c r="F4198" s="668"/>
      <c r="G4198" s="668"/>
      <c r="H4198" s="668"/>
      <c r="I4198" s="668"/>
      <c r="J4198" s="668"/>
      <c r="K4198" s="674"/>
      <c r="L4198" s="668"/>
      <c r="M4198" s="668"/>
    </row>
    <row r="4199" spans="5:13">
      <c r="E4199" s="668"/>
      <c r="F4199" s="668"/>
      <c r="G4199" s="668"/>
      <c r="H4199" s="668"/>
      <c r="I4199" s="668"/>
      <c r="J4199" s="668"/>
      <c r="K4199" s="674"/>
      <c r="L4199" s="668"/>
      <c r="M4199" s="668"/>
    </row>
    <row r="4200" spans="5:13">
      <c r="E4200" s="668"/>
      <c r="F4200" s="668"/>
      <c r="G4200" s="668"/>
      <c r="H4200" s="668"/>
      <c r="I4200" s="668"/>
      <c r="J4200" s="668"/>
      <c r="K4200" s="674"/>
      <c r="L4200" s="668"/>
      <c r="M4200" s="668"/>
    </row>
    <row r="4201" spans="5:13">
      <c r="E4201" s="668"/>
      <c r="F4201" s="668"/>
      <c r="G4201" s="668"/>
      <c r="H4201" s="668"/>
      <c r="I4201" s="668"/>
      <c r="J4201" s="668"/>
      <c r="K4201" s="674"/>
      <c r="L4201" s="668"/>
      <c r="M4201" s="668"/>
    </row>
    <row r="4202" spans="5:13">
      <c r="E4202" s="668"/>
      <c r="F4202" s="668"/>
      <c r="G4202" s="668"/>
      <c r="H4202" s="668"/>
      <c r="I4202" s="668"/>
      <c r="J4202" s="668"/>
      <c r="K4202" s="674"/>
      <c r="L4202" s="668"/>
      <c r="M4202" s="668"/>
    </row>
    <row r="4203" spans="5:13">
      <c r="E4203" s="668"/>
      <c r="F4203" s="668"/>
      <c r="G4203" s="668"/>
      <c r="H4203" s="668"/>
      <c r="I4203" s="668"/>
      <c r="J4203" s="668"/>
      <c r="K4203" s="674"/>
      <c r="L4203" s="668"/>
      <c r="M4203" s="668"/>
    </row>
    <row r="4204" spans="5:13">
      <c r="E4204" s="668"/>
      <c r="F4204" s="668"/>
      <c r="G4204" s="668"/>
      <c r="H4204" s="668"/>
      <c r="I4204" s="668"/>
      <c r="J4204" s="668"/>
      <c r="K4204" s="674"/>
      <c r="L4204" s="668"/>
      <c r="M4204" s="668"/>
    </row>
    <row r="4205" spans="5:13">
      <c r="E4205" s="668"/>
      <c r="F4205" s="668"/>
      <c r="G4205" s="668"/>
      <c r="H4205" s="668"/>
      <c r="I4205" s="668"/>
      <c r="J4205" s="668"/>
      <c r="K4205" s="674"/>
      <c r="L4205" s="668"/>
      <c r="M4205" s="668"/>
    </row>
    <row r="4206" spans="5:13">
      <c r="E4206" s="668"/>
      <c r="F4206" s="668"/>
      <c r="G4206" s="668"/>
      <c r="H4206" s="668"/>
      <c r="I4206" s="668"/>
      <c r="J4206" s="668"/>
      <c r="K4206" s="674"/>
      <c r="L4206" s="668"/>
      <c r="M4206" s="668"/>
    </row>
    <row r="4207" spans="5:13">
      <c r="E4207" s="668"/>
      <c r="F4207" s="668"/>
      <c r="G4207" s="668"/>
      <c r="H4207" s="668"/>
      <c r="I4207" s="668"/>
      <c r="J4207" s="668"/>
      <c r="K4207" s="674"/>
      <c r="L4207" s="668"/>
      <c r="M4207" s="668"/>
    </row>
    <row r="4208" spans="5:13">
      <c r="E4208" s="668"/>
      <c r="F4208" s="668"/>
      <c r="G4208" s="668"/>
      <c r="H4208" s="668"/>
      <c r="I4208" s="668"/>
      <c r="J4208" s="668"/>
      <c r="K4208" s="674"/>
      <c r="L4208" s="668"/>
      <c r="M4208" s="668"/>
    </row>
    <row r="4209" spans="5:13">
      <c r="E4209" s="668"/>
      <c r="F4209" s="668"/>
      <c r="G4209" s="668"/>
      <c r="H4209" s="668"/>
      <c r="I4209" s="668"/>
      <c r="J4209" s="668"/>
      <c r="K4209" s="674"/>
      <c r="L4209" s="668"/>
      <c r="M4209" s="668"/>
    </row>
    <row r="4210" spans="5:13">
      <c r="E4210" s="668"/>
      <c r="F4210" s="668"/>
      <c r="G4210" s="668"/>
      <c r="H4210" s="668"/>
      <c r="I4210" s="668"/>
      <c r="J4210" s="668"/>
      <c r="K4210" s="674"/>
      <c r="L4210" s="668"/>
      <c r="M4210" s="668"/>
    </row>
    <row r="4211" spans="5:13">
      <c r="E4211" s="668"/>
      <c r="F4211" s="668"/>
      <c r="G4211" s="668"/>
      <c r="H4211" s="668"/>
      <c r="I4211" s="668"/>
      <c r="J4211" s="668"/>
      <c r="K4211" s="674"/>
      <c r="L4211" s="668"/>
      <c r="M4211" s="668"/>
    </row>
    <row r="4212" spans="5:13">
      <c r="E4212" s="668"/>
      <c r="F4212" s="668"/>
      <c r="G4212" s="668"/>
      <c r="H4212" s="668"/>
      <c r="I4212" s="668"/>
      <c r="J4212" s="668"/>
      <c r="K4212" s="674"/>
      <c r="L4212" s="668"/>
      <c r="M4212" s="668"/>
    </row>
    <row r="4213" spans="5:13">
      <c r="E4213" s="668"/>
      <c r="F4213" s="668"/>
      <c r="G4213" s="668"/>
      <c r="H4213" s="668"/>
      <c r="I4213" s="668"/>
      <c r="J4213" s="668"/>
      <c r="K4213" s="674"/>
      <c r="L4213" s="668"/>
      <c r="M4213" s="668"/>
    </row>
    <row r="4214" spans="5:13">
      <c r="E4214" s="668"/>
      <c r="F4214" s="668"/>
      <c r="G4214" s="668"/>
      <c r="H4214" s="668"/>
      <c r="I4214" s="668"/>
      <c r="J4214" s="668"/>
      <c r="K4214" s="674"/>
      <c r="L4214" s="668"/>
      <c r="M4214" s="668"/>
    </row>
    <row r="4215" spans="5:13">
      <c r="E4215" s="668"/>
      <c r="F4215" s="668"/>
      <c r="G4215" s="668"/>
      <c r="H4215" s="668"/>
      <c r="I4215" s="668"/>
      <c r="J4215" s="668"/>
      <c r="K4215" s="674"/>
      <c r="L4215" s="668"/>
      <c r="M4215" s="668"/>
    </row>
    <row r="4216" spans="5:13">
      <c r="E4216" s="668"/>
      <c r="F4216" s="668"/>
      <c r="G4216" s="668"/>
      <c r="H4216" s="668"/>
      <c r="I4216" s="668"/>
      <c r="J4216" s="668"/>
      <c r="K4216" s="674"/>
      <c r="L4216" s="668"/>
      <c r="M4216" s="668"/>
    </row>
    <row r="4217" spans="5:13">
      <c r="E4217" s="668"/>
      <c r="F4217" s="668"/>
      <c r="G4217" s="668"/>
      <c r="H4217" s="668"/>
      <c r="I4217" s="668"/>
      <c r="J4217" s="668"/>
      <c r="K4217" s="674"/>
      <c r="L4217" s="668"/>
      <c r="M4217" s="668"/>
    </row>
    <row r="4218" spans="5:13">
      <c r="E4218" s="668"/>
      <c r="F4218" s="668"/>
      <c r="G4218" s="668"/>
      <c r="H4218" s="668"/>
      <c r="I4218" s="668"/>
      <c r="J4218" s="668"/>
      <c r="K4218" s="674"/>
      <c r="L4218" s="668"/>
      <c r="M4218" s="668"/>
    </row>
    <row r="4219" spans="5:13">
      <c r="E4219" s="668"/>
      <c r="F4219" s="668"/>
      <c r="G4219" s="668"/>
      <c r="H4219" s="668"/>
      <c r="I4219" s="668"/>
      <c r="J4219" s="668"/>
      <c r="K4219" s="674"/>
      <c r="L4219" s="668"/>
      <c r="M4219" s="668"/>
    </row>
    <row r="4220" spans="5:13">
      <c r="E4220" s="668"/>
      <c r="F4220" s="668"/>
      <c r="G4220" s="668"/>
      <c r="H4220" s="668"/>
      <c r="I4220" s="668"/>
      <c r="J4220" s="668"/>
      <c r="K4220" s="674"/>
      <c r="L4220" s="668"/>
      <c r="M4220" s="668"/>
    </row>
    <row r="4221" spans="5:13">
      <c r="E4221" s="668"/>
      <c r="F4221" s="668"/>
      <c r="G4221" s="668"/>
      <c r="H4221" s="668"/>
      <c r="I4221" s="668"/>
      <c r="J4221" s="668"/>
      <c r="K4221" s="674"/>
      <c r="L4221" s="668"/>
      <c r="M4221" s="668"/>
    </row>
    <row r="4222" spans="5:13">
      <c r="E4222" s="668"/>
      <c r="F4222" s="668"/>
      <c r="G4222" s="668"/>
      <c r="H4222" s="668"/>
      <c r="I4222" s="668"/>
      <c r="J4222" s="668"/>
      <c r="K4222" s="674"/>
      <c r="L4222" s="668"/>
      <c r="M4222" s="668"/>
    </row>
    <row r="4223" spans="5:13">
      <c r="E4223" s="668"/>
      <c r="F4223" s="668"/>
      <c r="G4223" s="668"/>
      <c r="H4223" s="668"/>
      <c r="I4223" s="668"/>
      <c r="J4223" s="668"/>
      <c r="K4223" s="674"/>
      <c r="L4223" s="668"/>
      <c r="M4223" s="668"/>
    </row>
    <row r="4224" spans="5:13">
      <c r="E4224" s="668"/>
      <c r="F4224" s="668"/>
      <c r="G4224" s="668"/>
      <c r="H4224" s="668"/>
      <c r="I4224" s="668"/>
      <c r="J4224" s="668"/>
      <c r="K4224" s="674"/>
      <c r="L4224" s="668"/>
      <c r="M4224" s="668"/>
    </row>
    <row r="4225" spans="5:13">
      <c r="E4225" s="668"/>
      <c r="F4225" s="668"/>
      <c r="G4225" s="668"/>
      <c r="H4225" s="668"/>
      <c r="I4225" s="668"/>
      <c r="J4225" s="668"/>
      <c r="K4225" s="674"/>
      <c r="L4225" s="668"/>
      <c r="M4225" s="668"/>
    </row>
    <row r="4226" spans="5:13">
      <c r="E4226" s="668"/>
      <c r="F4226" s="668"/>
      <c r="G4226" s="668"/>
      <c r="H4226" s="668"/>
      <c r="I4226" s="668"/>
      <c r="J4226" s="668"/>
      <c r="K4226" s="674"/>
      <c r="L4226" s="668"/>
      <c r="M4226" s="668"/>
    </row>
    <row r="4227" spans="5:13">
      <c r="E4227" s="668"/>
      <c r="F4227" s="668"/>
      <c r="G4227" s="668"/>
      <c r="H4227" s="668"/>
      <c r="I4227" s="668"/>
      <c r="J4227" s="668"/>
      <c r="K4227" s="674"/>
      <c r="L4227" s="668"/>
      <c r="M4227" s="668"/>
    </row>
    <row r="4228" spans="5:13">
      <c r="E4228" s="668"/>
      <c r="F4228" s="668"/>
      <c r="G4228" s="668"/>
      <c r="H4228" s="668"/>
      <c r="I4228" s="668"/>
      <c r="J4228" s="668"/>
      <c r="K4228" s="674"/>
      <c r="L4228" s="668"/>
      <c r="M4228" s="668"/>
    </row>
    <row r="4229" spans="5:13">
      <c r="E4229" s="668"/>
      <c r="F4229" s="668"/>
      <c r="G4229" s="668"/>
      <c r="H4229" s="668"/>
      <c r="I4229" s="668"/>
      <c r="J4229" s="668"/>
      <c r="K4229" s="674"/>
      <c r="L4229" s="668"/>
      <c r="M4229" s="668"/>
    </row>
    <row r="4230" spans="5:13">
      <c r="E4230" s="668"/>
      <c r="F4230" s="668"/>
      <c r="G4230" s="668"/>
      <c r="H4230" s="668"/>
      <c r="I4230" s="668"/>
      <c r="J4230" s="668"/>
      <c r="K4230" s="674"/>
      <c r="L4230" s="668"/>
      <c r="M4230" s="668"/>
    </row>
    <row r="4231" spans="5:13">
      <c r="E4231" s="668"/>
      <c r="F4231" s="668"/>
      <c r="G4231" s="668"/>
      <c r="H4231" s="668"/>
      <c r="I4231" s="668"/>
      <c r="J4231" s="668"/>
      <c r="K4231" s="674"/>
      <c r="L4231" s="668"/>
      <c r="M4231" s="668"/>
    </row>
    <row r="4232" spans="5:13">
      <c r="E4232" s="668"/>
      <c r="F4232" s="668"/>
      <c r="G4232" s="668"/>
      <c r="H4232" s="668"/>
      <c r="I4232" s="668"/>
      <c r="J4232" s="668"/>
      <c r="K4232" s="674"/>
      <c r="L4232" s="668"/>
      <c r="M4232" s="668"/>
    </row>
    <row r="4233" spans="5:13">
      <c r="E4233" s="668"/>
      <c r="F4233" s="668"/>
      <c r="G4233" s="668"/>
      <c r="H4233" s="668"/>
      <c r="I4233" s="668"/>
      <c r="J4233" s="668"/>
      <c r="K4233" s="674"/>
      <c r="L4233" s="668"/>
      <c r="M4233" s="668"/>
    </row>
    <row r="4234" spans="5:13">
      <c r="E4234" s="668"/>
      <c r="F4234" s="668"/>
      <c r="G4234" s="668"/>
      <c r="H4234" s="668"/>
      <c r="I4234" s="668"/>
      <c r="J4234" s="668"/>
      <c r="K4234" s="674"/>
      <c r="L4234" s="668"/>
      <c r="M4234" s="668"/>
    </row>
    <row r="4235" spans="5:13">
      <c r="E4235" s="668"/>
      <c r="F4235" s="668"/>
      <c r="G4235" s="668"/>
      <c r="H4235" s="668"/>
      <c r="I4235" s="668"/>
      <c r="J4235" s="668"/>
      <c r="K4235" s="674"/>
      <c r="L4235" s="668"/>
      <c r="M4235" s="668"/>
    </row>
    <row r="4236" spans="5:13">
      <c r="E4236" s="668"/>
      <c r="F4236" s="668"/>
      <c r="G4236" s="668"/>
      <c r="H4236" s="668"/>
      <c r="I4236" s="668"/>
      <c r="J4236" s="668"/>
      <c r="K4236" s="674"/>
      <c r="L4236" s="668"/>
      <c r="M4236" s="668"/>
    </row>
    <row r="4237" spans="5:13">
      <c r="E4237" s="668"/>
      <c r="F4237" s="668"/>
      <c r="G4237" s="668"/>
      <c r="H4237" s="668"/>
      <c r="I4237" s="668"/>
      <c r="J4237" s="668"/>
      <c r="K4237" s="674"/>
      <c r="L4237" s="668"/>
      <c r="M4237" s="668"/>
    </row>
    <row r="4238" spans="5:13">
      <c r="E4238" s="668"/>
      <c r="F4238" s="668"/>
      <c r="G4238" s="668"/>
      <c r="H4238" s="668"/>
      <c r="I4238" s="668"/>
      <c r="J4238" s="668"/>
      <c r="K4238" s="674"/>
      <c r="L4238" s="668"/>
      <c r="M4238" s="668"/>
    </row>
    <row r="4239" spans="5:13">
      <c r="E4239" s="668"/>
      <c r="F4239" s="668"/>
      <c r="G4239" s="668"/>
      <c r="H4239" s="668"/>
      <c r="I4239" s="668"/>
      <c r="J4239" s="668"/>
      <c r="K4239" s="674"/>
      <c r="L4239" s="668"/>
      <c r="M4239" s="668"/>
    </row>
    <row r="4240" spans="5:13">
      <c r="E4240" s="668"/>
      <c r="F4240" s="668"/>
      <c r="G4240" s="668"/>
      <c r="H4240" s="668"/>
      <c r="I4240" s="668"/>
      <c r="J4240" s="668"/>
      <c r="K4240" s="674"/>
      <c r="L4240" s="668"/>
      <c r="M4240" s="668"/>
    </row>
    <row r="4241" spans="5:13">
      <c r="E4241" s="668"/>
      <c r="F4241" s="668"/>
      <c r="G4241" s="668"/>
      <c r="H4241" s="668"/>
      <c r="I4241" s="668"/>
      <c r="J4241" s="668"/>
      <c r="K4241" s="674"/>
      <c r="L4241" s="668"/>
      <c r="M4241" s="668"/>
    </row>
    <row r="4242" spans="5:13">
      <c r="E4242" s="668"/>
      <c r="F4242" s="668"/>
      <c r="G4242" s="668"/>
      <c r="H4242" s="668"/>
      <c r="I4242" s="668"/>
      <c r="J4242" s="668"/>
      <c r="K4242" s="674"/>
      <c r="L4242" s="668"/>
      <c r="M4242" s="668"/>
    </row>
    <row r="4243" spans="5:13">
      <c r="E4243" s="668"/>
      <c r="F4243" s="668"/>
      <c r="G4243" s="668"/>
      <c r="H4243" s="668"/>
      <c r="I4243" s="668"/>
      <c r="J4243" s="668"/>
      <c r="K4243" s="674"/>
      <c r="L4243" s="668"/>
      <c r="M4243" s="668"/>
    </row>
    <row r="4244" spans="5:13">
      <c r="E4244" s="668"/>
      <c r="F4244" s="668"/>
      <c r="G4244" s="668"/>
      <c r="H4244" s="668"/>
      <c r="I4244" s="668"/>
      <c r="J4244" s="668"/>
      <c r="K4244" s="674"/>
      <c r="L4244" s="668"/>
      <c r="M4244" s="668"/>
    </row>
    <row r="4245" spans="5:13">
      <c r="E4245" s="668"/>
      <c r="F4245" s="668"/>
      <c r="G4245" s="668"/>
      <c r="H4245" s="668"/>
      <c r="I4245" s="668"/>
      <c r="J4245" s="668"/>
      <c r="K4245" s="674"/>
      <c r="L4245" s="668"/>
      <c r="M4245" s="668"/>
    </row>
    <row r="4246" spans="5:13">
      <c r="E4246" s="668"/>
      <c r="F4246" s="668"/>
      <c r="G4246" s="668"/>
      <c r="H4246" s="668"/>
      <c r="I4246" s="668"/>
      <c r="J4246" s="668"/>
      <c r="K4246" s="674"/>
      <c r="L4246" s="668"/>
      <c r="M4246" s="668"/>
    </row>
    <row r="4247" spans="5:13">
      <c r="E4247" s="668"/>
      <c r="F4247" s="668"/>
      <c r="G4247" s="668"/>
      <c r="H4247" s="668"/>
      <c r="I4247" s="668"/>
      <c r="J4247" s="668"/>
      <c r="K4247" s="674"/>
      <c r="L4247" s="668"/>
      <c r="M4247" s="668"/>
    </row>
    <row r="4248" spans="5:13">
      <c r="E4248" s="668"/>
      <c r="F4248" s="668"/>
      <c r="G4248" s="668"/>
      <c r="H4248" s="668"/>
      <c r="I4248" s="668"/>
      <c r="J4248" s="668"/>
      <c r="K4248" s="674"/>
      <c r="L4248" s="668"/>
      <c r="M4248" s="668"/>
    </row>
    <row r="4249" spans="5:13">
      <c r="E4249" s="668"/>
      <c r="F4249" s="668"/>
      <c r="G4249" s="668"/>
      <c r="H4249" s="668"/>
      <c r="I4249" s="668"/>
      <c r="J4249" s="668"/>
      <c r="K4249" s="674"/>
      <c r="L4249" s="668"/>
      <c r="M4249" s="668"/>
    </row>
    <row r="4250" spans="5:13">
      <c r="E4250" s="668"/>
      <c r="F4250" s="668"/>
      <c r="G4250" s="668"/>
      <c r="H4250" s="668"/>
      <c r="I4250" s="668"/>
      <c r="J4250" s="668"/>
      <c r="K4250" s="674"/>
      <c r="L4250" s="668"/>
      <c r="M4250" s="668"/>
    </row>
    <row r="4251" spans="5:13">
      <c r="E4251" s="668"/>
      <c r="F4251" s="668"/>
      <c r="G4251" s="668"/>
      <c r="H4251" s="668"/>
      <c r="I4251" s="668"/>
      <c r="J4251" s="668"/>
      <c r="K4251" s="674"/>
      <c r="L4251" s="668"/>
      <c r="M4251" s="668"/>
    </row>
    <row r="4252" spans="5:13">
      <c r="E4252" s="668"/>
      <c r="F4252" s="668"/>
      <c r="G4252" s="668"/>
      <c r="H4252" s="668"/>
      <c r="I4252" s="668"/>
      <c r="J4252" s="668"/>
      <c r="K4252" s="674"/>
      <c r="L4252" s="668"/>
      <c r="M4252" s="668"/>
    </row>
    <row r="4253" spans="5:13">
      <c r="E4253" s="668"/>
      <c r="F4253" s="668"/>
      <c r="G4253" s="668"/>
      <c r="H4253" s="668"/>
      <c r="I4253" s="668"/>
      <c r="J4253" s="668"/>
      <c r="K4253" s="674"/>
      <c r="L4253" s="668"/>
      <c r="M4253" s="668"/>
    </row>
    <row r="4254" spans="5:13">
      <c r="E4254" s="668"/>
      <c r="F4254" s="668"/>
      <c r="G4254" s="668"/>
      <c r="H4254" s="668"/>
      <c r="I4254" s="668"/>
      <c r="J4254" s="668"/>
      <c r="K4254" s="674"/>
      <c r="L4254" s="668"/>
      <c r="M4254" s="668"/>
    </row>
    <row r="4255" spans="5:13">
      <c r="E4255" s="668"/>
      <c r="F4255" s="668"/>
      <c r="G4255" s="668"/>
      <c r="H4255" s="668"/>
      <c r="I4255" s="668"/>
      <c r="J4255" s="668"/>
      <c r="K4255" s="674"/>
      <c r="L4255" s="668"/>
      <c r="M4255" s="668"/>
    </row>
    <row r="4256" spans="5:13">
      <c r="E4256" s="668"/>
      <c r="F4256" s="668"/>
      <c r="G4256" s="668"/>
      <c r="H4256" s="668"/>
      <c r="I4256" s="668"/>
      <c r="J4256" s="668"/>
      <c r="K4256" s="674"/>
      <c r="L4256" s="668"/>
      <c r="M4256" s="668"/>
    </row>
    <row r="4257" spans="5:13">
      <c r="E4257" s="668"/>
      <c r="F4257" s="668"/>
      <c r="G4257" s="668"/>
      <c r="H4257" s="668"/>
      <c r="I4257" s="668"/>
      <c r="J4257" s="668"/>
      <c r="K4257" s="674"/>
      <c r="L4257" s="668"/>
      <c r="M4257" s="668"/>
    </row>
    <row r="4258" spans="5:13">
      <c r="E4258" s="668"/>
      <c r="F4258" s="668"/>
      <c r="G4258" s="668"/>
      <c r="H4258" s="668"/>
      <c r="I4258" s="668"/>
      <c r="J4258" s="668"/>
      <c r="K4258" s="674"/>
      <c r="L4258" s="668"/>
      <c r="M4258" s="668"/>
    </row>
    <row r="4259" spans="5:13">
      <c r="E4259" s="668"/>
      <c r="F4259" s="668"/>
      <c r="G4259" s="668"/>
      <c r="H4259" s="668"/>
      <c r="I4259" s="668"/>
      <c r="J4259" s="668"/>
      <c r="K4259" s="674"/>
      <c r="L4259" s="668"/>
      <c r="M4259" s="668"/>
    </row>
    <row r="4260" spans="5:13">
      <c r="E4260" s="668"/>
      <c r="F4260" s="668"/>
      <c r="G4260" s="668"/>
      <c r="H4260" s="668"/>
      <c r="I4260" s="668"/>
      <c r="J4260" s="668"/>
      <c r="K4260" s="674"/>
      <c r="L4260" s="668"/>
      <c r="M4260" s="668"/>
    </row>
    <row r="4261" spans="5:13">
      <c r="E4261" s="668"/>
      <c r="F4261" s="668"/>
      <c r="G4261" s="668"/>
      <c r="H4261" s="668"/>
      <c r="I4261" s="668"/>
      <c r="J4261" s="668"/>
      <c r="K4261" s="674"/>
      <c r="L4261" s="668"/>
      <c r="M4261" s="668"/>
    </row>
    <row r="4262" spans="5:13">
      <c r="E4262" s="668"/>
      <c r="F4262" s="668"/>
      <c r="G4262" s="668"/>
      <c r="H4262" s="668"/>
      <c r="I4262" s="668"/>
      <c r="J4262" s="668"/>
      <c r="K4262" s="674"/>
      <c r="L4262" s="668"/>
      <c r="M4262" s="668"/>
    </row>
    <row r="4263" spans="5:13">
      <c r="E4263" s="668"/>
      <c r="F4263" s="668"/>
      <c r="G4263" s="668"/>
      <c r="H4263" s="668"/>
      <c r="I4263" s="668"/>
      <c r="J4263" s="668"/>
      <c r="K4263" s="674"/>
      <c r="L4263" s="668"/>
      <c r="M4263" s="668"/>
    </row>
    <row r="4264" spans="5:13">
      <c r="E4264" s="668"/>
      <c r="F4264" s="668"/>
      <c r="G4264" s="668"/>
      <c r="H4264" s="668"/>
      <c r="I4264" s="668"/>
      <c r="J4264" s="668"/>
      <c r="K4264" s="674"/>
      <c r="L4264" s="668"/>
      <c r="M4264" s="668"/>
    </row>
    <row r="4265" spans="5:13">
      <c r="E4265" s="668"/>
      <c r="F4265" s="668"/>
      <c r="G4265" s="668"/>
      <c r="H4265" s="668"/>
      <c r="I4265" s="668"/>
      <c r="J4265" s="668"/>
      <c r="K4265" s="674"/>
      <c r="L4265" s="668"/>
      <c r="M4265" s="668"/>
    </row>
    <row r="4266" spans="5:13">
      <c r="E4266" s="668"/>
      <c r="F4266" s="668"/>
      <c r="G4266" s="668"/>
      <c r="H4266" s="668"/>
      <c r="I4266" s="668"/>
      <c r="J4266" s="668"/>
      <c r="K4266" s="674"/>
      <c r="L4266" s="668"/>
      <c r="M4266" s="668"/>
    </row>
    <row r="4267" spans="5:13">
      <c r="E4267" s="668"/>
      <c r="F4267" s="668"/>
      <c r="G4267" s="668"/>
      <c r="H4267" s="668"/>
      <c r="I4267" s="668"/>
      <c r="J4267" s="668"/>
      <c r="K4267" s="674"/>
      <c r="L4267" s="668"/>
      <c r="M4267" s="668"/>
    </row>
    <row r="4268" spans="5:13">
      <c r="E4268" s="668"/>
      <c r="F4268" s="668"/>
      <c r="G4268" s="668"/>
      <c r="H4268" s="668"/>
      <c r="I4268" s="668"/>
      <c r="J4268" s="668"/>
      <c r="K4268" s="674"/>
      <c r="L4268" s="668"/>
      <c r="M4268" s="668"/>
    </row>
    <row r="4269" spans="5:13">
      <c r="E4269" s="668"/>
      <c r="F4269" s="668"/>
      <c r="G4269" s="668"/>
      <c r="H4269" s="668"/>
      <c r="I4269" s="668"/>
      <c r="J4269" s="668"/>
      <c r="K4269" s="674"/>
      <c r="L4269" s="668"/>
      <c r="M4269" s="668"/>
    </row>
    <row r="4270" spans="5:13">
      <c r="E4270" s="668"/>
      <c r="F4270" s="668"/>
      <c r="G4270" s="668"/>
      <c r="H4270" s="668"/>
      <c r="I4270" s="668"/>
      <c r="J4270" s="668"/>
      <c r="K4270" s="674"/>
      <c r="L4270" s="668"/>
      <c r="M4270" s="668"/>
    </row>
    <row r="4271" spans="5:13">
      <c r="E4271" s="668"/>
      <c r="F4271" s="668"/>
      <c r="G4271" s="668"/>
      <c r="H4271" s="668"/>
      <c r="I4271" s="668"/>
      <c r="J4271" s="668"/>
      <c r="K4271" s="674"/>
      <c r="L4271" s="668"/>
      <c r="M4271" s="668"/>
    </row>
    <row r="4272" spans="5:13">
      <c r="E4272" s="668"/>
      <c r="F4272" s="668"/>
      <c r="G4272" s="668"/>
      <c r="H4272" s="668"/>
      <c r="I4272" s="668"/>
      <c r="J4272" s="668"/>
      <c r="K4272" s="674"/>
      <c r="L4272" s="668"/>
      <c r="M4272" s="668"/>
    </row>
    <row r="4273" spans="5:13">
      <c r="E4273" s="668"/>
      <c r="F4273" s="668"/>
      <c r="G4273" s="668"/>
      <c r="H4273" s="668"/>
      <c r="I4273" s="668"/>
      <c r="J4273" s="668"/>
      <c r="K4273" s="674"/>
      <c r="L4273" s="668"/>
      <c r="M4273" s="668"/>
    </row>
    <row r="4274" spans="5:13">
      <c r="E4274" s="668"/>
      <c r="F4274" s="668"/>
      <c r="G4274" s="668"/>
      <c r="H4274" s="668"/>
      <c r="I4274" s="668"/>
      <c r="J4274" s="668"/>
      <c r="K4274" s="674"/>
      <c r="L4274" s="668"/>
      <c r="M4274" s="668"/>
    </row>
    <row r="4275" spans="5:13">
      <c r="E4275" s="668"/>
      <c r="F4275" s="668"/>
      <c r="G4275" s="668"/>
      <c r="H4275" s="668"/>
      <c r="I4275" s="668"/>
      <c r="J4275" s="668"/>
      <c r="K4275" s="674"/>
      <c r="L4275" s="668"/>
      <c r="M4275" s="668"/>
    </row>
    <row r="4276" spans="5:13">
      <c r="E4276" s="668"/>
      <c r="F4276" s="668"/>
      <c r="G4276" s="668"/>
      <c r="H4276" s="668"/>
      <c r="I4276" s="668"/>
      <c r="J4276" s="668"/>
      <c r="K4276" s="674"/>
      <c r="L4276" s="668"/>
      <c r="M4276" s="668"/>
    </row>
    <row r="4277" spans="5:13">
      <c r="E4277" s="668"/>
      <c r="F4277" s="668"/>
      <c r="G4277" s="668"/>
      <c r="H4277" s="668"/>
      <c r="I4277" s="668"/>
      <c r="J4277" s="668"/>
      <c r="K4277" s="674"/>
      <c r="L4277" s="668"/>
      <c r="M4277" s="668"/>
    </row>
    <row r="4278" spans="5:13">
      <c r="E4278" s="668"/>
      <c r="F4278" s="668"/>
      <c r="G4278" s="668"/>
      <c r="H4278" s="668"/>
      <c r="I4278" s="668"/>
      <c r="J4278" s="668"/>
      <c r="K4278" s="674"/>
      <c r="L4278" s="668"/>
      <c r="M4278" s="668"/>
    </row>
    <row r="4279" spans="5:13">
      <c r="E4279" s="668"/>
      <c r="F4279" s="668"/>
      <c r="G4279" s="668"/>
      <c r="H4279" s="668"/>
      <c r="I4279" s="668"/>
      <c r="J4279" s="668"/>
      <c r="K4279" s="674"/>
      <c r="L4279" s="668"/>
      <c r="M4279" s="668"/>
    </row>
    <row r="4280" spans="5:13">
      <c r="E4280" s="668"/>
      <c r="F4280" s="668"/>
      <c r="G4280" s="668"/>
      <c r="H4280" s="668"/>
      <c r="I4280" s="668"/>
      <c r="J4280" s="668"/>
      <c r="K4280" s="674"/>
      <c r="L4280" s="668"/>
      <c r="M4280" s="668"/>
    </row>
    <row r="4281" spans="5:13">
      <c r="E4281" s="668"/>
      <c r="F4281" s="668"/>
      <c r="G4281" s="668"/>
      <c r="H4281" s="668"/>
      <c r="I4281" s="668"/>
      <c r="J4281" s="668"/>
      <c r="K4281" s="674"/>
      <c r="L4281" s="668"/>
      <c r="M4281" s="668"/>
    </row>
    <row r="4282" spans="5:13">
      <c r="E4282" s="668"/>
      <c r="F4282" s="668"/>
      <c r="G4282" s="668"/>
      <c r="H4282" s="668"/>
      <c r="I4282" s="668"/>
      <c r="J4282" s="668"/>
      <c r="K4282" s="674"/>
      <c r="L4282" s="668"/>
      <c r="M4282" s="668"/>
    </row>
    <row r="4283" spans="5:13">
      <c r="E4283" s="668"/>
      <c r="F4283" s="668"/>
      <c r="G4283" s="668"/>
      <c r="H4283" s="668"/>
      <c r="I4283" s="668"/>
      <c r="J4283" s="668"/>
      <c r="K4283" s="674"/>
      <c r="L4283" s="668"/>
      <c r="M4283" s="668"/>
    </row>
    <row r="4284" spans="5:13">
      <c r="E4284" s="668"/>
      <c r="F4284" s="668"/>
      <c r="G4284" s="668"/>
      <c r="H4284" s="668"/>
      <c r="I4284" s="668"/>
      <c r="J4284" s="668"/>
      <c r="K4284" s="674"/>
      <c r="L4284" s="668"/>
      <c r="M4284" s="668"/>
    </row>
    <row r="4285" spans="5:13">
      <c r="E4285" s="668"/>
      <c r="F4285" s="668"/>
      <c r="G4285" s="668"/>
      <c r="H4285" s="668"/>
      <c r="I4285" s="668"/>
      <c r="J4285" s="668"/>
      <c r="K4285" s="674"/>
      <c r="L4285" s="668"/>
      <c r="M4285" s="668"/>
    </row>
    <row r="4286" spans="5:13">
      <c r="E4286" s="668"/>
      <c r="F4286" s="668"/>
      <c r="G4286" s="668"/>
      <c r="H4286" s="668"/>
      <c r="I4286" s="668"/>
      <c r="J4286" s="668"/>
      <c r="K4286" s="674"/>
      <c r="L4286" s="668"/>
      <c r="M4286" s="668"/>
    </row>
    <row r="4287" spans="5:13">
      <c r="E4287" s="668"/>
      <c r="F4287" s="668"/>
      <c r="G4287" s="668"/>
      <c r="H4287" s="668"/>
      <c r="I4287" s="668"/>
      <c r="J4287" s="668"/>
      <c r="K4287" s="674"/>
      <c r="L4287" s="668"/>
      <c r="M4287" s="668"/>
    </row>
    <row r="4288" spans="5:13">
      <c r="E4288" s="668"/>
      <c r="F4288" s="668"/>
      <c r="G4288" s="668"/>
      <c r="H4288" s="668"/>
      <c r="I4288" s="668"/>
      <c r="J4288" s="668"/>
      <c r="K4288" s="674"/>
      <c r="L4288" s="668"/>
      <c r="M4288" s="668"/>
    </row>
    <row r="4289" spans="5:13">
      <c r="E4289" s="668"/>
      <c r="F4289" s="668"/>
      <c r="G4289" s="668"/>
      <c r="H4289" s="668"/>
      <c r="I4289" s="668"/>
      <c r="J4289" s="668"/>
      <c r="K4289" s="674"/>
      <c r="L4289" s="668"/>
      <c r="M4289" s="668"/>
    </row>
    <row r="4290" spans="5:13">
      <c r="E4290" s="668"/>
      <c r="F4290" s="668"/>
      <c r="G4290" s="668"/>
      <c r="H4290" s="668"/>
      <c r="I4290" s="668"/>
      <c r="J4290" s="668"/>
      <c r="K4290" s="674"/>
      <c r="L4290" s="668"/>
      <c r="M4290" s="668"/>
    </row>
    <row r="4291" spans="5:13">
      <c r="E4291" s="668"/>
      <c r="F4291" s="668"/>
      <c r="G4291" s="668"/>
      <c r="H4291" s="668"/>
      <c r="I4291" s="668"/>
      <c r="J4291" s="668"/>
      <c r="K4291" s="674"/>
      <c r="L4291" s="668"/>
      <c r="M4291" s="668"/>
    </row>
    <row r="4292" spans="5:13">
      <c r="E4292" s="668"/>
      <c r="F4292" s="668"/>
      <c r="G4292" s="668"/>
      <c r="H4292" s="668"/>
      <c r="I4292" s="668"/>
      <c r="J4292" s="668"/>
      <c r="K4292" s="674"/>
      <c r="L4292" s="668"/>
      <c r="M4292" s="668"/>
    </row>
    <row r="4293" spans="5:13">
      <c r="E4293" s="668"/>
      <c r="F4293" s="668"/>
      <c r="G4293" s="668"/>
      <c r="H4293" s="668"/>
      <c r="I4293" s="668"/>
      <c r="J4293" s="668"/>
      <c r="K4293" s="674"/>
      <c r="L4293" s="668"/>
      <c r="M4293" s="668"/>
    </row>
    <row r="4294" spans="5:13">
      <c r="E4294" s="668"/>
      <c r="F4294" s="668"/>
      <c r="G4294" s="668"/>
      <c r="H4294" s="668"/>
      <c r="I4294" s="668"/>
      <c r="J4294" s="668"/>
      <c r="K4294" s="674"/>
      <c r="L4294" s="668"/>
      <c r="M4294" s="668"/>
    </row>
    <row r="4295" spans="5:13">
      <c r="E4295" s="668"/>
      <c r="F4295" s="668"/>
      <c r="G4295" s="668"/>
      <c r="H4295" s="668"/>
      <c r="I4295" s="668"/>
      <c r="J4295" s="668"/>
      <c r="K4295" s="674"/>
      <c r="L4295" s="668"/>
      <c r="M4295" s="668"/>
    </row>
    <row r="4296" spans="5:13">
      <c r="E4296" s="668"/>
      <c r="F4296" s="668"/>
      <c r="G4296" s="668"/>
      <c r="H4296" s="668"/>
      <c r="I4296" s="668"/>
      <c r="J4296" s="668"/>
      <c r="K4296" s="674"/>
      <c r="L4296" s="668"/>
      <c r="M4296" s="668"/>
    </row>
    <row r="4297" spans="5:13">
      <c r="E4297" s="668"/>
      <c r="F4297" s="668"/>
      <c r="G4297" s="668"/>
      <c r="H4297" s="668"/>
      <c r="I4297" s="668"/>
      <c r="J4297" s="668"/>
      <c r="K4297" s="674"/>
      <c r="L4297" s="668"/>
      <c r="M4297" s="668"/>
    </row>
    <row r="4298" spans="5:13">
      <c r="E4298" s="668"/>
      <c r="F4298" s="668"/>
      <c r="G4298" s="668"/>
      <c r="H4298" s="668"/>
      <c r="I4298" s="668"/>
      <c r="J4298" s="668"/>
      <c r="K4298" s="674"/>
      <c r="L4298" s="668"/>
      <c r="M4298" s="668"/>
    </row>
    <row r="4299" spans="5:13">
      <c r="E4299" s="668"/>
      <c r="F4299" s="668"/>
      <c r="G4299" s="668"/>
      <c r="H4299" s="668"/>
      <c r="I4299" s="668"/>
      <c r="J4299" s="668"/>
      <c r="K4299" s="674"/>
      <c r="L4299" s="668"/>
      <c r="M4299" s="668"/>
    </row>
    <row r="4300" spans="5:13">
      <c r="E4300" s="668"/>
      <c r="F4300" s="668"/>
      <c r="G4300" s="668"/>
      <c r="H4300" s="668"/>
      <c r="I4300" s="668"/>
      <c r="J4300" s="668"/>
      <c r="K4300" s="674"/>
      <c r="L4300" s="668"/>
      <c r="M4300" s="668"/>
    </row>
    <row r="4301" spans="5:13">
      <c r="E4301" s="668"/>
      <c r="F4301" s="668"/>
      <c r="G4301" s="668"/>
      <c r="H4301" s="668"/>
      <c r="I4301" s="668"/>
      <c r="J4301" s="668"/>
      <c r="K4301" s="674"/>
      <c r="L4301" s="668"/>
      <c r="M4301" s="668"/>
    </row>
    <row r="4302" spans="5:13">
      <c r="E4302" s="668"/>
      <c r="F4302" s="668"/>
      <c r="G4302" s="668"/>
      <c r="H4302" s="668"/>
      <c r="I4302" s="668"/>
      <c r="J4302" s="668"/>
      <c r="K4302" s="674"/>
      <c r="L4302" s="668"/>
      <c r="M4302" s="668"/>
    </row>
    <row r="4303" spans="5:13">
      <c r="E4303" s="668"/>
      <c r="F4303" s="668"/>
      <c r="G4303" s="668"/>
      <c r="H4303" s="668"/>
      <c r="I4303" s="668"/>
      <c r="J4303" s="668"/>
      <c r="K4303" s="674"/>
      <c r="L4303" s="668"/>
      <c r="M4303" s="668"/>
    </row>
    <row r="4304" spans="5:13">
      <c r="E4304" s="668"/>
      <c r="F4304" s="668"/>
      <c r="G4304" s="668"/>
      <c r="H4304" s="668"/>
      <c r="I4304" s="668"/>
      <c r="J4304" s="668"/>
      <c r="K4304" s="674"/>
      <c r="L4304" s="668"/>
      <c r="M4304" s="668"/>
    </row>
    <row r="4305" spans="5:13">
      <c r="E4305" s="668"/>
      <c r="F4305" s="668"/>
      <c r="G4305" s="668"/>
      <c r="H4305" s="668"/>
      <c r="I4305" s="668"/>
      <c r="J4305" s="668"/>
      <c r="K4305" s="674"/>
      <c r="L4305" s="668"/>
      <c r="M4305" s="668"/>
    </row>
    <row r="4306" spans="5:13">
      <c r="E4306" s="668"/>
      <c r="F4306" s="668"/>
      <c r="G4306" s="668"/>
      <c r="H4306" s="668"/>
      <c r="I4306" s="668"/>
      <c r="J4306" s="668"/>
      <c r="K4306" s="674"/>
      <c r="L4306" s="668"/>
      <c r="M4306" s="668"/>
    </row>
    <row r="4307" spans="5:13">
      <c r="E4307" s="668"/>
      <c r="F4307" s="668"/>
      <c r="G4307" s="668"/>
      <c r="H4307" s="668"/>
      <c r="I4307" s="668"/>
      <c r="J4307" s="668"/>
      <c r="K4307" s="674"/>
      <c r="L4307" s="668"/>
      <c r="M4307" s="668"/>
    </row>
    <row r="4308" spans="5:13">
      <c r="E4308" s="668"/>
      <c r="F4308" s="668"/>
      <c r="G4308" s="668"/>
      <c r="H4308" s="668"/>
      <c r="I4308" s="668"/>
      <c r="J4308" s="668"/>
      <c r="K4308" s="674"/>
      <c r="L4308" s="668"/>
      <c r="M4308" s="668"/>
    </row>
    <row r="4309" spans="5:13">
      <c r="E4309" s="668"/>
      <c r="F4309" s="668"/>
      <c r="G4309" s="668"/>
      <c r="H4309" s="668"/>
      <c r="I4309" s="668"/>
      <c r="J4309" s="668"/>
      <c r="K4309" s="674"/>
      <c r="L4309" s="668"/>
      <c r="M4309" s="668"/>
    </row>
    <row r="4310" spans="5:13">
      <c r="E4310" s="668"/>
      <c r="F4310" s="668"/>
      <c r="G4310" s="668"/>
      <c r="H4310" s="668"/>
      <c r="I4310" s="668"/>
      <c r="J4310" s="668"/>
      <c r="K4310" s="674"/>
      <c r="L4310" s="668"/>
      <c r="M4310" s="668"/>
    </row>
    <row r="4311" spans="5:13">
      <c r="E4311" s="668"/>
      <c r="F4311" s="668"/>
      <c r="G4311" s="668"/>
      <c r="H4311" s="668"/>
      <c r="I4311" s="668"/>
      <c r="J4311" s="668"/>
      <c r="K4311" s="674"/>
      <c r="L4311" s="668"/>
      <c r="M4311" s="668"/>
    </row>
    <row r="4312" spans="5:13">
      <c r="E4312" s="668"/>
      <c r="F4312" s="668"/>
      <c r="G4312" s="668"/>
      <c r="H4312" s="668"/>
      <c r="I4312" s="668"/>
      <c r="J4312" s="668"/>
      <c r="K4312" s="674"/>
      <c r="L4312" s="668"/>
      <c r="M4312" s="668"/>
    </row>
    <row r="4313" spans="5:13">
      <c r="E4313" s="668"/>
      <c r="F4313" s="668"/>
      <c r="G4313" s="668"/>
      <c r="H4313" s="668"/>
      <c r="I4313" s="668"/>
      <c r="J4313" s="668"/>
      <c r="K4313" s="674"/>
      <c r="L4313" s="668"/>
      <c r="M4313" s="668"/>
    </row>
    <row r="4314" spans="5:13">
      <c r="E4314" s="668"/>
      <c r="F4314" s="668"/>
      <c r="G4314" s="668"/>
      <c r="H4314" s="668"/>
      <c r="I4314" s="668"/>
      <c r="J4314" s="668"/>
      <c r="K4314" s="674"/>
      <c r="L4314" s="668"/>
      <c r="M4314" s="668"/>
    </row>
    <row r="4315" spans="5:13">
      <c r="E4315" s="668"/>
      <c r="F4315" s="668"/>
      <c r="G4315" s="668"/>
      <c r="H4315" s="668"/>
      <c r="I4315" s="668"/>
      <c r="J4315" s="668"/>
      <c r="K4315" s="674"/>
      <c r="L4315" s="668"/>
      <c r="M4315" s="668"/>
    </row>
    <row r="4316" spans="5:13">
      <c r="E4316" s="668"/>
      <c r="F4316" s="668"/>
      <c r="G4316" s="668"/>
      <c r="H4316" s="668"/>
      <c r="I4316" s="668"/>
      <c r="J4316" s="668"/>
      <c r="K4316" s="674"/>
      <c r="L4316" s="668"/>
      <c r="M4316" s="668"/>
    </row>
    <row r="4317" spans="5:13">
      <c r="E4317" s="668"/>
      <c r="F4317" s="668"/>
      <c r="G4317" s="668"/>
      <c r="H4317" s="668"/>
      <c r="I4317" s="668"/>
      <c r="J4317" s="668"/>
      <c r="K4317" s="674"/>
      <c r="L4317" s="668"/>
      <c r="M4317" s="668"/>
    </row>
    <row r="4318" spans="5:13">
      <c r="E4318" s="668"/>
      <c r="F4318" s="668"/>
      <c r="G4318" s="668"/>
      <c r="H4318" s="668"/>
      <c r="I4318" s="668"/>
      <c r="J4318" s="668"/>
      <c r="K4318" s="674"/>
      <c r="L4318" s="668"/>
      <c r="M4318" s="668"/>
    </row>
    <row r="4319" spans="5:13">
      <c r="E4319" s="668"/>
      <c r="F4319" s="668"/>
      <c r="G4319" s="668"/>
      <c r="H4319" s="668"/>
      <c r="I4319" s="668"/>
      <c r="J4319" s="668"/>
      <c r="K4319" s="674"/>
      <c r="L4319" s="668"/>
      <c r="M4319" s="668"/>
    </row>
    <row r="4320" spans="5:13">
      <c r="E4320" s="668"/>
      <c r="F4320" s="668"/>
      <c r="G4320" s="668"/>
      <c r="H4320" s="668"/>
      <c r="I4320" s="668"/>
      <c r="J4320" s="668"/>
      <c r="K4320" s="674"/>
      <c r="L4320" s="668"/>
      <c r="M4320" s="668"/>
    </row>
    <row r="4321" spans="5:13">
      <c r="E4321" s="668"/>
      <c r="F4321" s="668"/>
      <c r="G4321" s="668"/>
      <c r="H4321" s="668"/>
      <c r="I4321" s="668"/>
      <c r="J4321" s="668"/>
      <c r="K4321" s="674"/>
      <c r="L4321" s="668"/>
      <c r="M4321" s="668"/>
    </row>
    <row r="4322" spans="5:13">
      <c r="E4322" s="668"/>
      <c r="F4322" s="668"/>
      <c r="G4322" s="668"/>
      <c r="H4322" s="668"/>
      <c r="I4322" s="668"/>
      <c r="J4322" s="668"/>
      <c r="K4322" s="674"/>
      <c r="L4322" s="668"/>
      <c r="M4322" s="668"/>
    </row>
    <row r="4323" spans="5:13">
      <c r="E4323" s="668"/>
      <c r="F4323" s="668"/>
      <c r="G4323" s="668"/>
      <c r="H4323" s="668"/>
      <c r="I4323" s="668"/>
      <c r="J4323" s="668"/>
      <c r="K4323" s="674"/>
      <c r="L4323" s="668"/>
      <c r="M4323" s="668"/>
    </row>
    <row r="4324" spans="5:13">
      <c r="E4324" s="668"/>
      <c r="F4324" s="668"/>
      <c r="G4324" s="668"/>
      <c r="H4324" s="668"/>
      <c r="I4324" s="668"/>
      <c r="J4324" s="668"/>
      <c r="K4324" s="674"/>
      <c r="L4324" s="668"/>
      <c r="M4324" s="668"/>
    </row>
    <row r="4325" spans="5:13">
      <c r="E4325" s="668"/>
      <c r="F4325" s="668"/>
      <c r="G4325" s="668"/>
      <c r="H4325" s="668"/>
      <c r="I4325" s="668"/>
      <c r="J4325" s="668"/>
      <c r="K4325" s="674"/>
      <c r="L4325" s="668"/>
      <c r="M4325" s="668"/>
    </row>
    <row r="4326" spans="5:13">
      <c r="E4326" s="668"/>
      <c r="F4326" s="668"/>
      <c r="G4326" s="668"/>
      <c r="H4326" s="668"/>
      <c r="I4326" s="668"/>
      <c r="J4326" s="668"/>
      <c r="K4326" s="674"/>
      <c r="L4326" s="668"/>
      <c r="M4326" s="668"/>
    </row>
    <row r="4327" spans="5:13">
      <c r="E4327" s="668"/>
      <c r="F4327" s="668"/>
      <c r="G4327" s="668"/>
      <c r="H4327" s="668"/>
      <c r="I4327" s="668"/>
      <c r="J4327" s="668"/>
      <c r="K4327" s="674"/>
      <c r="L4327" s="668"/>
      <c r="M4327" s="668"/>
    </row>
    <row r="4328" spans="5:13">
      <c r="E4328" s="668"/>
      <c r="F4328" s="668"/>
      <c r="G4328" s="668"/>
      <c r="H4328" s="668"/>
      <c r="I4328" s="668"/>
      <c r="J4328" s="668"/>
      <c r="K4328" s="674"/>
      <c r="L4328" s="668"/>
      <c r="M4328" s="668"/>
    </row>
    <row r="4329" spans="5:13">
      <c r="E4329" s="668"/>
      <c r="F4329" s="668"/>
      <c r="G4329" s="668"/>
      <c r="H4329" s="668"/>
      <c r="I4329" s="668"/>
      <c r="J4329" s="668"/>
      <c r="K4329" s="674"/>
      <c r="L4329" s="668"/>
      <c r="M4329" s="668"/>
    </row>
    <row r="4330" spans="5:13">
      <c r="E4330" s="668"/>
      <c r="F4330" s="668"/>
      <c r="G4330" s="668"/>
      <c r="H4330" s="668"/>
      <c r="I4330" s="668"/>
      <c r="J4330" s="668"/>
      <c r="K4330" s="674"/>
      <c r="L4330" s="668"/>
      <c r="M4330" s="668"/>
    </row>
    <row r="4331" spans="5:13">
      <c r="E4331" s="668"/>
      <c r="F4331" s="668"/>
      <c r="G4331" s="668"/>
      <c r="H4331" s="668"/>
      <c r="I4331" s="668"/>
      <c r="J4331" s="668"/>
      <c r="K4331" s="674"/>
      <c r="L4331" s="668"/>
      <c r="M4331" s="668"/>
    </row>
    <row r="4332" spans="5:13">
      <c r="E4332" s="668"/>
      <c r="F4332" s="668"/>
      <c r="G4332" s="668"/>
      <c r="H4332" s="668"/>
      <c r="I4332" s="668"/>
      <c r="J4332" s="668"/>
      <c r="K4332" s="674"/>
      <c r="L4332" s="668"/>
      <c r="M4332" s="668"/>
    </row>
    <row r="4333" spans="5:13">
      <c r="E4333" s="668"/>
      <c r="F4333" s="668"/>
      <c r="G4333" s="668"/>
      <c r="H4333" s="668"/>
      <c r="I4333" s="668"/>
      <c r="J4333" s="668"/>
      <c r="K4333" s="674"/>
      <c r="L4333" s="668"/>
      <c r="M4333" s="668"/>
    </row>
    <row r="4334" spans="5:13">
      <c r="E4334" s="668"/>
      <c r="F4334" s="668"/>
      <c r="G4334" s="668"/>
      <c r="H4334" s="668"/>
      <c r="I4334" s="668"/>
      <c r="J4334" s="668"/>
      <c r="K4334" s="674"/>
      <c r="L4334" s="668"/>
      <c r="M4334" s="668"/>
    </row>
    <row r="4335" spans="5:13">
      <c r="E4335" s="668"/>
      <c r="F4335" s="668"/>
      <c r="G4335" s="668"/>
      <c r="H4335" s="668"/>
      <c r="I4335" s="668"/>
      <c r="J4335" s="668"/>
      <c r="K4335" s="674"/>
      <c r="L4335" s="668"/>
      <c r="M4335" s="668"/>
    </row>
    <row r="4336" spans="5:13">
      <c r="E4336" s="668"/>
      <c r="F4336" s="668"/>
      <c r="G4336" s="668"/>
      <c r="H4336" s="668"/>
      <c r="I4336" s="668"/>
      <c r="J4336" s="668"/>
      <c r="K4336" s="674"/>
      <c r="L4336" s="668"/>
      <c r="M4336" s="668"/>
    </row>
    <row r="4337" spans="5:13">
      <c r="E4337" s="668"/>
      <c r="F4337" s="668"/>
      <c r="G4337" s="668"/>
      <c r="H4337" s="668"/>
      <c r="I4337" s="668"/>
      <c r="J4337" s="668"/>
      <c r="K4337" s="674"/>
      <c r="L4337" s="668"/>
      <c r="M4337" s="668"/>
    </row>
    <row r="4338" spans="5:13">
      <c r="E4338" s="668"/>
      <c r="F4338" s="668"/>
      <c r="G4338" s="668"/>
      <c r="H4338" s="668"/>
      <c r="I4338" s="668"/>
      <c r="J4338" s="668"/>
      <c r="K4338" s="674"/>
      <c r="L4338" s="668"/>
      <c r="M4338" s="668"/>
    </row>
    <row r="4339" spans="5:13">
      <c r="E4339" s="668"/>
      <c r="F4339" s="668"/>
      <c r="G4339" s="668"/>
      <c r="H4339" s="668"/>
      <c r="I4339" s="668"/>
      <c r="J4339" s="668"/>
      <c r="K4339" s="674"/>
      <c r="L4339" s="668"/>
      <c r="M4339" s="668"/>
    </row>
    <row r="4340" spans="5:13">
      <c r="E4340" s="668"/>
      <c r="F4340" s="668"/>
      <c r="G4340" s="668"/>
      <c r="H4340" s="668"/>
      <c r="I4340" s="668"/>
      <c r="J4340" s="668"/>
      <c r="K4340" s="674"/>
      <c r="L4340" s="668"/>
      <c r="M4340" s="668"/>
    </row>
    <row r="4341" spans="5:13">
      <c r="E4341" s="668"/>
      <c r="F4341" s="668"/>
      <c r="G4341" s="668"/>
      <c r="H4341" s="668"/>
      <c r="I4341" s="668"/>
      <c r="J4341" s="668"/>
      <c r="K4341" s="674"/>
      <c r="L4341" s="668"/>
      <c r="M4341" s="668"/>
    </row>
    <row r="4342" spans="5:13">
      <c r="E4342" s="668"/>
      <c r="F4342" s="668"/>
      <c r="G4342" s="668"/>
      <c r="H4342" s="668"/>
      <c r="I4342" s="668"/>
      <c r="J4342" s="668"/>
      <c r="K4342" s="674"/>
      <c r="L4342" s="668"/>
      <c r="M4342" s="668"/>
    </row>
    <row r="4343" spans="5:13">
      <c r="E4343" s="668"/>
      <c r="F4343" s="668"/>
      <c r="G4343" s="668"/>
      <c r="H4343" s="668"/>
      <c r="I4343" s="668"/>
      <c r="J4343" s="668"/>
      <c r="K4343" s="674"/>
      <c r="L4343" s="668"/>
      <c r="M4343" s="668"/>
    </row>
    <row r="4344" spans="5:13">
      <c r="E4344" s="668"/>
      <c r="F4344" s="668"/>
      <c r="G4344" s="668"/>
      <c r="H4344" s="668"/>
      <c r="I4344" s="668"/>
      <c r="J4344" s="668"/>
      <c r="K4344" s="674"/>
      <c r="L4344" s="668"/>
      <c r="M4344" s="668"/>
    </row>
    <row r="4345" spans="5:13">
      <c r="E4345" s="668"/>
      <c r="F4345" s="668"/>
      <c r="G4345" s="668"/>
      <c r="H4345" s="668"/>
      <c r="I4345" s="668"/>
      <c r="J4345" s="668"/>
      <c r="K4345" s="674"/>
      <c r="L4345" s="668"/>
      <c r="M4345" s="668"/>
    </row>
    <row r="4346" spans="5:13">
      <c r="E4346" s="668"/>
      <c r="F4346" s="668"/>
      <c r="G4346" s="668"/>
      <c r="H4346" s="668"/>
      <c r="I4346" s="668"/>
      <c r="J4346" s="668"/>
      <c r="K4346" s="674"/>
      <c r="L4346" s="668"/>
      <c r="M4346" s="668"/>
    </row>
    <row r="4347" spans="5:13">
      <c r="E4347" s="668"/>
      <c r="F4347" s="668"/>
      <c r="G4347" s="668"/>
      <c r="H4347" s="668"/>
      <c r="I4347" s="668"/>
      <c r="J4347" s="668"/>
      <c r="K4347" s="674"/>
      <c r="L4347" s="668"/>
      <c r="M4347" s="668"/>
    </row>
    <row r="4348" spans="5:13">
      <c r="E4348" s="668"/>
      <c r="F4348" s="668"/>
      <c r="G4348" s="668"/>
      <c r="H4348" s="668"/>
      <c r="I4348" s="668"/>
      <c r="J4348" s="668"/>
      <c r="K4348" s="674"/>
      <c r="L4348" s="668"/>
      <c r="M4348" s="668"/>
    </row>
    <row r="4349" spans="5:13">
      <c r="E4349" s="668"/>
      <c r="F4349" s="668"/>
      <c r="G4349" s="668"/>
      <c r="H4349" s="668"/>
      <c r="I4349" s="668"/>
      <c r="J4349" s="668"/>
      <c r="K4349" s="674"/>
      <c r="L4349" s="668"/>
      <c r="M4349" s="668"/>
    </row>
    <row r="4350" spans="5:13">
      <c r="E4350" s="668"/>
      <c r="F4350" s="668"/>
      <c r="G4350" s="668"/>
      <c r="H4350" s="668"/>
      <c r="I4350" s="668"/>
      <c r="J4350" s="668"/>
      <c r="K4350" s="674"/>
      <c r="L4350" s="668"/>
      <c r="M4350" s="668"/>
    </row>
    <row r="4351" spans="5:13">
      <c r="E4351" s="668"/>
      <c r="F4351" s="668"/>
      <c r="G4351" s="668"/>
      <c r="H4351" s="668"/>
      <c r="I4351" s="668"/>
      <c r="J4351" s="668"/>
      <c r="K4351" s="674"/>
      <c r="L4351" s="668"/>
      <c r="M4351" s="668"/>
    </row>
    <row r="4352" spans="5:13">
      <c r="E4352" s="668"/>
      <c r="F4352" s="668"/>
      <c r="G4352" s="668"/>
      <c r="H4352" s="668"/>
      <c r="I4352" s="668"/>
      <c r="J4352" s="668"/>
      <c r="K4352" s="674"/>
      <c r="L4352" s="668"/>
      <c r="M4352" s="668"/>
    </row>
    <row r="4353" spans="5:13">
      <c r="E4353" s="668"/>
      <c r="F4353" s="668"/>
      <c r="G4353" s="668"/>
      <c r="H4353" s="668"/>
      <c r="I4353" s="668"/>
      <c r="J4353" s="668"/>
      <c r="K4353" s="674"/>
      <c r="L4353" s="668"/>
      <c r="M4353" s="668"/>
    </row>
    <row r="4354" spans="5:13">
      <c r="E4354" s="668"/>
      <c r="F4354" s="668"/>
      <c r="G4354" s="668"/>
      <c r="H4354" s="668"/>
      <c r="I4354" s="668"/>
      <c r="J4354" s="668"/>
      <c r="K4354" s="674"/>
      <c r="L4354" s="668"/>
      <c r="M4354" s="668"/>
    </row>
    <row r="4355" spans="5:13">
      <c r="E4355" s="668"/>
      <c r="F4355" s="668"/>
      <c r="G4355" s="668"/>
      <c r="H4355" s="668"/>
      <c r="I4355" s="668"/>
      <c r="J4355" s="668"/>
      <c r="K4355" s="674"/>
      <c r="L4355" s="668"/>
      <c r="M4355" s="668"/>
    </row>
    <row r="4356" spans="5:13">
      <c r="E4356" s="668"/>
      <c r="F4356" s="668"/>
      <c r="G4356" s="668"/>
      <c r="H4356" s="668"/>
      <c r="I4356" s="668"/>
      <c r="J4356" s="668"/>
      <c r="K4356" s="674"/>
      <c r="L4356" s="668"/>
      <c r="M4356" s="668"/>
    </row>
    <row r="4357" spans="5:13">
      <c r="E4357" s="668"/>
      <c r="F4357" s="668"/>
      <c r="G4357" s="668"/>
      <c r="H4357" s="668"/>
      <c r="I4357" s="668"/>
      <c r="J4357" s="668"/>
      <c r="K4357" s="674"/>
      <c r="L4357" s="668"/>
      <c r="M4357" s="668"/>
    </row>
    <row r="4358" spans="5:13">
      <c r="E4358" s="668"/>
      <c r="F4358" s="668"/>
      <c r="G4358" s="668"/>
      <c r="H4358" s="668"/>
      <c r="I4358" s="668"/>
      <c r="J4358" s="668"/>
      <c r="K4358" s="674"/>
      <c r="L4358" s="668"/>
      <c r="M4358" s="668"/>
    </row>
    <row r="4359" spans="5:13">
      <c r="E4359" s="668"/>
      <c r="F4359" s="668"/>
      <c r="G4359" s="668"/>
      <c r="H4359" s="668"/>
      <c r="I4359" s="668"/>
      <c r="J4359" s="668"/>
      <c r="K4359" s="674"/>
      <c r="L4359" s="668"/>
      <c r="M4359" s="668"/>
    </row>
    <row r="4360" spans="5:13">
      <c r="E4360" s="668"/>
      <c r="F4360" s="668"/>
      <c r="G4360" s="668"/>
      <c r="H4360" s="668"/>
      <c r="I4360" s="668"/>
      <c r="J4360" s="668"/>
      <c r="K4360" s="674"/>
      <c r="L4360" s="668"/>
      <c r="M4360" s="668"/>
    </row>
    <row r="4361" spans="5:13">
      <c r="E4361" s="668"/>
      <c r="F4361" s="668"/>
      <c r="G4361" s="668"/>
      <c r="H4361" s="668"/>
      <c r="I4361" s="668"/>
      <c r="J4361" s="668"/>
      <c r="K4361" s="674"/>
      <c r="L4361" s="668"/>
      <c r="M4361" s="668"/>
    </row>
    <row r="4362" spans="5:13">
      <c r="E4362" s="668"/>
      <c r="F4362" s="668"/>
      <c r="G4362" s="668"/>
      <c r="H4362" s="668"/>
      <c r="I4362" s="668"/>
      <c r="J4362" s="668"/>
      <c r="K4362" s="674"/>
      <c r="L4362" s="668"/>
      <c r="M4362" s="668"/>
    </row>
    <row r="4363" spans="5:13">
      <c r="E4363" s="668"/>
      <c r="F4363" s="668"/>
      <c r="G4363" s="668"/>
      <c r="H4363" s="668"/>
      <c r="I4363" s="668"/>
      <c r="J4363" s="668"/>
      <c r="K4363" s="674"/>
      <c r="L4363" s="668"/>
      <c r="M4363" s="668"/>
    </row>
    <row r="4364" spans="5:13">
      <c r="E4364" s="668"/>
      <c r="F4364" s="668"/>
      <c r="G4364" s="668"/>
      <c r="H4364" s="668"/>
      <c r="I4364" s="668"/>
      <c r="J4364" s="668"/>
      <c r="K4364" s="674"/>
      <c r="L4364" s="668"/>
      <c r="M4364" s="668"/>
    </row>
    <row r="4365" spans="5:13">
      <c r="E4365" s="668"/>
      <c r="F4365" s="668"/>
      <c r="G4365" s="668"/>
      <c r="H4365" s="668"/>
      <c r="I4365" s="668"/>
      <c r="J4365" s="668"/>
      <c r="K4365" s="674"/>
      <c r="L4365" s="668"/>
      <c r="M4365" s="668"/>
    </row>
    <row r="4366" spans="5:13">
      <c r="E4366" s="668"/>
      <c r="F4366" s="668"/>
      <c r="G4366" s="668"/>
      <c r="H4366" s="668"/>
      <c r="I4366" s="668"/>
      <c r="J4366" s="668"/>
      <c r="K4366" s="674"/>
      <c r="L4366" s="668"/>
      <c r="M4366" s="668"/>
    </row>
    <row r="4367" spans="5:13">
      <c r="E4367" s="668"/>
      <c r="F4367" s="668"/>
      <c r="G4367" s="668"/>
      <c r="H4367" s="668"/>
      <c r="I4367" s="668"/>
      <c r="J4367" s="668"/>
      <c r="K4367" s="674"/>
      <c r="L4367" s="668"/>
      <c r="M4367" s="668"/>
    </row>
    <row r="4368" spans="5:13">
      <c r="E4368" s="668"/>
      <c r="F4368" s="668"/>
      <c r="G4368" s="668"/>
      <c r="H4368" s="668"/>
      <c r="I4368" s="668"/>
      <c r="J4368" s="668"/>
      <c r="K4368" s="674"/>
      <c r="L4368" s="668"/>
      <c r="M4368" s="668"/>
    </row>
    <row r="4369" spans="5:13">
      <c r="E4369" s="668"/>
      <c r="F4369" s="668"/>
      <c r="G4369" s="668"/>
      <c r="H4369" s="668"/>
      <c r="I4369" s="668"/>
      <c r="J4369" s="668"/>
      <c r="K4369" s="674"/>
      <c r="L4369" s="668"/>
      <c r="M4369" s="668"/>
    </row>
    <row r="4370" spans="5:13">
      <c r="E4370" s="668"/>
      <c r="F4370" s="668"/>
      <c r="G4370" s="668"/>
      <c r="H4370" s="668"/>
      <c r="I4370" s="668"/>
      <c r="J4370" s="668"/>
      <c r="K4370" s="674"/>
      <c r="L4370" s="668"/>
      <c r="M4370" s="668"/>
    </row>
    <row r="4371" spans="5:13">
      <c r="E4371" s="668"/>
      <c r="F4371" s="668"/>
      <c r="G4371" s="668"/>
      <c r="H4371" s="668"/>
      <c r="I4371" s="668"/>
      <c r="J4371" s="668"/>
      <c r="K4371" s="674"/>
      <c r="L4371" s="668"/>
      <c r="M4371" s="668"/>
    </row>
    <row r="4372" spans="5:13">
      <c r="E4372" s="668"/>
      <c r="F4372" s="668"/>
      <c r="G4372" s="668"/>
      <c r="H4372" s="668"/>
      <c r="I4372" s="668"/>
      <c r="J4372" s="668"/>
      <c r="K4372" s="674"/>
      <c r="L4372" s="668"/>
      <c r="M4372" s="668"/>
    </row>
    <row r="4373" spans="5:13">
      <c r="E4373" s="668"/>
      <c r="F4373" s="668"/>
      <c r="G4373" s="668"/>
      <c r="H4373" s="668"/>
      <c r="I4373" s="668"/>
      <c r="J4373" s="668"/>
      <c r="K4373" s="674"/>
      <c r="L4373" s="668"/>
      <c r="M4373" s="668"/>
    </row>
    <row r="4374" spans="5:13">
      <c r="E4374" s="668"/>
      <c r="F4374" s="668"/>
      <c r="G4374" s="668"/>
      <c r="H4374" s="668"/>
      <c r="I4374" s="668"/>
      <c r="J4374" s="668"/>
      <c r="K4374" s="674"/>
      <c r="L4374" s="668"/>
      <c r="M4374" s="668"/>
    </row>
    <row r="4375" spans="5:13">
      <c r="E4375" s="668"/>
      <c r="F4375" s="668"/>
      <c r="G4375" s="668"/>
      <c r="H4375" s="668"/>
      <c r="I4375" s="668"/>
      <c r="J4375" s="668"/>
      <c r="K4375" s="674"/>
      <c r="L4375" s="668"/>
      <c r="M4375" s="668"/>
    </row>
    <row r="4376" spans="5:13">
      <c r="E4376" s="668"/>
      <c r="F4376" s="668"/>
      <c r="G4376" s="668"/>
      <c r="H4376" s="668"/>
      <c r="I4376" s="668"/>
      <c r="J4376" s="668"/>
      <c r="K4376" s="674"/>
      <c r="L4376" s="668"/>
      <c r="M4376" s="668"/>
    </row>
    <row r="4377" spans="5:13">
      <c r="E4377" s="668"/>
      <c r="F4377" s="668"/>
      <c r="G4377" s="668"/>
      <c r="H4377" s="668"/>
      <c r="I4377" s="668"/>
      <c r="J4377" s="668"/>
      <c r="K4377" s="674"/>
      <c r="L4377" s="668"/>
      <c r="M4377" s="668"/>
    </row>
    <row r="4378" spans="5:13">
      <c r="E4378" s="668"/>
      <c r="F4378" s="668"/>
      <c r="G4378" s="668"/>
      <c r="H4378" s="668"/>
      <c r="I4378" s="668"/>
      <c r="J4378" s="668"/>
      <c r="K4378" s="674"/>
      <c r="L4378" s="668"/>
      <c r="M4378" s="668"/>
    </row>
    <row r="4379" spans="5:13">
      <c r="E4379" s="668"/>
      <c r="F4379" s="668"/>
      <c r="G4379" s="668"/>
      <c r="H4379" s="668"/>
      <c r="I4379" s="668"/>
      <c r="J4379" s="668"/>
      <c r="K4379" s="674"/>
      <c r="L4379" s="668"/>
      <c r="M4379" s="668"/>
    </row>
    <row r="4380" spans="5:13">
      <c r="E4380" s="668"/>
      <c r="F4380" s="668"/>
      <c r="G4380" s="668"/>
      <c r="H4380" s="668"/>
      <c r="I4380" s="668"/>
      <c r="J4380" s="668"/>
      <c r="K4380" s="674"/>
      <c r="L4380" s="668"/>
      <c r="M4380" s="668"/>
    </row>
    <row r="4381" spans="5:13">
      <c r="E4381" s="668"/>
      <c r="F4381" s="668"/>
      <c r="G4381" s="668"/>
      <c r="H4381" s="668"/>
      <c r="I4381" s="668"/>
      <c r="J4381" s="668"/>
      <c r="K4381" s="674"/>
      <c r="L4381" s="668"/>
      <c r="M4381" s="668"/>
    </row>
    <row r="4382" spans="5:13">
      <c r="E4382" s="668"/>
      <c r="F4382" s="668"/>
      <c r="G4382" s="668"/>
      <c r="H4382" s="668"/>
      <c r="I4382" s="668"/>
      <c r="J4382" s="668"/>
      <c r="K4382" s="674"/>
      <c r="L4382" s="668"/>
      <c r="M4382" s="668"/>
    </row>
    <row r="4383" spans="5:13">
      <c r="E4383" s="668"/>
      <c r="F4383" s="668"/>
      <c r="G4383" s="668"/>
      <c r="H4383" s="668"/>
      <c r="I4383" s="668"/>
      <c r="J4383" s="668"/>
      <c r="K4383" s="674"/>
      <c r="L4383" s="668"/>
      <c r="M4383" s="668"/>
    </row>
    <row r="4384" spans="5:13">
      <c r="E4384" s="668"/>
      <c r="F4384" s="668"/>
      <c r="G4384" s="668"/>
      <c r="H4384" s="668"/>
      <c r="I4384" s="668"/>
      <c r="J4384" s="668"/>
      <c r="K4384" s="674"/>
      <c r="L4384" s="668"/>
      <c r="M4384" s="668"/>
    </row>
    <row r="4385" spans="5:13">
      <c r="E4385" s="668"/>
      <c r="F4385" s="668"/>
      <c r="G4385" s="668"/>
      <c r="H4385" s="668"/>
      <c r="I4385" s="668"/>
      <c r="J4385" s="668"/>
      <c r="K4385" s="674"/>
      <c r="L4385" s="668"/>
      <c r="M4385" s="668"/>
    </row>
    <row r="4386" spans="5:13">
      <c r="E4386" s="668"/>
      <c r="F4386" s="668"/>
      <c r="G4386" s="668"/>
      <c r="H4386" s="668"/>
      <c r="I4386" s="668"/>
      <c r="J4386" s="668"/>
      <c r="K4386" s="674"/>
      <c r="L4386" s="668"/>
      <c r="M4386" s="668"/>
    </row>
    <row r="4387" spans="5:13">
      <c r="E4387" s="668"/>
      <c r="F4387" s="668"/>
      <c r="G4387" s="668"/>
      <c r="H4387" s="668"/>
      <c r="I4387" s="668"/>
      <c r="J4387" s="668"/>
      <c r="K4387" s="674"/>
      <c r="L4387" s="668"/>
      <c r="M4387" s="668"/>
    </row>
    <row r="4388" spans="5:13">
      <c r="E4388" s="668"/>
      <c r="F4388" s="668"/>
      <c r="G4388" s="668"/>
      <c r="H4388" s="668"/>
      <c r="I4388" s="668"/>
      <c r="J4388" s="668"/>
      <c r="K4388" s="674"/>
      <c r="L4388" s="668"/>
      <c r="M4388" s="668"/>
    </row>
    <row r="4389" spans="5:13">
      <c r="E4389" s="668"/>
      <c r="F4389" s="668"/>
      <c r="G4389" s="668"/>
      <c r="H4389" s="668"/>
      <c r="I4389" s="668"/>
      <c r="J4389" s="668"/>
      <c r="K4389" s="674"/>
      <c r="L4389" s="668"/>
      <c r="M4389" s="668"/>
    </row>
    <row r="4390" spans="5:13">
      <c r="E4390" s="668"/>
      <c r="F4390" s="668"/>
      <c r="G4390" s="668"/>
      <c r="H4390" s="668"/>
      <c r="I4390" s="668"/>
      <c r="J4390" s="668"/>
      <c r="K4390" s="674"/>
      <c r="L4390" s="668"/>
      <c r="M4390" s="668"/>
    </row>
    <row r="4391" spans="5:13">
      <c r="E4391" s="668"/>
      <c r="F4391" s="668"/>
      <c r="G4391" s="668"/>
      <c r="H4391" s="668"/>
      <c r="I4391" s="668"/>
      <c r="J4391" s="668"/>
      <c r="K4391" s="674"/>
      <c r="L4391" s="668"/>
      <c r="M4391" s="668"/>
    </row>
    <row r="4392" spans="5:13">
      <c r="E4392" s="668"/>
      <c r="F4392" s="668"/>
      <c r="G4392" s="668"/>
      <c r="H4392" s="668"/>
      <c r="I4392" s="668"/>
      <c r="J4392" s="668"/>
      <c r="K4392" s="674"/>
      <c r="L4392" s="668"/>
      <c r="M4392" s="668"/>
    </row>
    <row r="4393" spans="5:13">
      <c r="E4393" s="668"/>
      <c r="F4393" s="668"/>
      <c r="G4393" s="668"/>
      <c r="H4393" s="668"/>
      <c r="I4393" s="668"/>
      <c r="J4393" s="668"/>
      <c r="K4393" s="674"/>
      <c r="L4393" s="668"/>
      <c r="M4393" s="668"/>
    </row>
    <row r="4394" spans="5:13">
      <c r="E4394" s="668"/>
      <c r="F4394" s="668"/>
      <c r="G4394" s="668"/>
      <c r="H4394" s="668"/>
      <c r="I4394" s="668"/>
      <c r="J4394" s="668"/>
      <c r="K4394" s="674"/>
      <c r="L4394" s="668"/>
      <c r="M4394" s="668"/>
    </row>
    <row r="4395" spans="5:13">
      <c r="E4395" s="668"/>
      <c r="F4395" s="668"/>
      <c r="G4395" s="668"/>
      <c r="H4395" s="668"/>
      <c r="I4395" s="668"/>
      <c r="J4395" s="668"/>
      <c r="K4395" s="674"/>
      <c r="L4395" s="668"/>
      <c r="M4395" s="668"/>
    </row>
    <row r="4396" spans="5:13">
      <c r="E4396" s="668"/>
      <c r="F4396" s="668"/>
      <c r="G4396" s="668"/>
      <c r="H4396" s="668"/>
      <c r="I4396" s="668"/>
      <c r="J4396" s="668"/>
      <c r="K4396" s="674"/>
      <c r="L4396" s="668"/>
      <c r="M4396" s="668"/>
    </row>
    <row r="4397" spans="5:13">
      <c r="E4397" s="668"/>
      <c r="F4397" s="668"/>
      <c r="G4397" s="668"/>
      <c r="H4397" s="668"/>
      <c r="I4397" s="668"/>
      <c r="J4397" s="668"/>
      <c r="K4397" s="674"/>
      <c r="L4397" s="668"/>
      <c r="M4397" s="668"/>
    </row>
    <row r="4398" spans="5:13">
      <c r="E4398" s="668"/>
      <c r="F4398" s="668"/>
      <c r="G4398" s="668"/>
      <c r="H4398" s="668"/>
      <c r="I4398" s="668"/>
      <c r="J4398" s="668"/>
      <c r="K4398" s="674"/>
      <c r="L4398" s="668"/>
      <c r="M4398" s="668"/>
    </row>
    <row r="4399" spans="5:13">
      <c r="E4399" s="668"/>
      <c r="F4399" s="668"/>
      <c r="G4399" s="668"/>
      <c r="H4399" s="668"/>
      <c r="I4399" s="668"/>
      <c r="J4399" s="668"/>
      <c r="K4399" s="674"/>
      <c r="L4399" s="668"/>
      <c r="M4399" s="668"/>
    </row>
    <row r="4400" spans="5:13">
      <c r="E4400" s="668"/>
      <c r="F4400" s="668"/>
      <c r="G4400" s="668"/>
      <c r="H4400" s="668"/>
      <c r="I4400" s="668"/>
      <c r="J4400" s="668"/>
      <c r="K4400" s="674"/>
      <c r="L4400" s="668"/>
      <c r="M4400" s="668"/>
    </row>
    <row r="4401" spans="5:13">
      <c r="E4401" s="668"/>
      <c r="F4401" s="668"/>
      <c r="G4401" s="668"/>
      <c r="H4401" s="668"/>
      <c r="I4401" s="668"/>
      <c r="J4401" s="668"/>
      <c r="K4401" s="674"/>
      <c r="L4401" s="668"/>
      <c r="M4401" s="668"/>
    </row>
    <row r="4402" spans="5:13">
      <c r="E4402" s="668"/>
      <c r="F4402" s="668"/>
      <c r="G4402" s="668"/>
      <c r="H4402" s="668"/>
      <c r="I4402" s="668"/>
      <c r="J4402" s="668"/>
      <c r="K4402" s="674"/>
      <c r="L4402" s="668"/>
      <c r="M4402" s="668"/>
    </row>
    <row r="4403" spans="5:13">
      <c r="E4403" s="668"/>
      <c r="F4403" s="668"/>
      <c r="G4403" s="668"/>
      <c r="H4403" s="668"/>
      <c r="I4403" s="668"/>
      <c r="J4403" s="668"/>
      <c r="K4403" s="674"/>
      <c r="L4403" s="668"/>
      <c r="M4403" s="668"/>
    </row>
    <row r="4404" spans="5:13">
      <c r="E4404" s="668"/>
      <c r="F4404" s="668"/>
      <c r="G4404" s="668"/>
      <c r="H4404" s="668"/>
      <c r="I4404" s="668"/>
      <c r="J4404" s="668"/>
      <c r="K4404" s="674"/>
      <c r="L4404" s="668"/>
      <c r="M4404" s="668"/>
    </row>
    <row r="4405" spans="5:13">
      <c r="E4405" s="668"/>
      <c r="F4405" s="668"/>
      <c r="G4405" s="668"/>
      <c r="H4405" s="668"/>
      <c r="I4405" s="668"/>
      <c r="J4405" s="668"/>
      <c r="K4405" s="674"/>
      <c r="L4405" s="668"/>
      <c r="M4405" s="668"/>
    </row>
    <row r="4406" spans="5:13">
      <c r="E4406" s="668"/>
      <c r="F4406" s="668"/>
      <c r="G4406" s="668"/>
      <c r="H4406" s="668"/>
      <c r="I4406" s="668"/>
      <c r="J4406" s="668"/>
      <c r="K4406" s="674"/>
      <c r="L4406" s="668"/>
      <c r="M4406" s="668"/>
    </row>
    <row r="4407" spans="5:13">
      <c r="E4407" s="668"/>
      <c r="F4407" s="668"/>
      <c r="G4407" s="668"/>
      <c r="H4407" s="668"/>
      <c r="I4407" s="668"/>
      <c r="J4407" s="668"/>
      <c r="K4407" s="674"/>
      <c r="L4407" s="668"/>
      <c r="M4407" s="668"/>
    </row>
    <row r="4408" spans="5:13">
      <c r="E4408" s="668"/>
      <c r="F4408" s="668"/>
      <c r="G4408" s="668"/>
      <c r="H4408" s="668"/>
      <c r="I4408" s="668"/>
      <c r="J4408" s="668"/>
      <c r="K4408" s="674"/>
      <c r="L4408" s="668"/>
      <c r="M4408" s="668"/>
    </row>
    <row r="4409" spans="5:13">
      <c r="E4409" s="668"/>
      <c r="F4409" s="668"/>
      <c r="G4409" s="668"/>
      <c r="H4409" s="668"/>
      <c r="I4409" s="668"/>
      <c r="J4409" s="668"/>
      <c r="K4409" s="674"/>
      <c r="L4409" s="668"/>
      <c r="M4409" s="668"/>
    </row>
    <row r="4410" spans="5:13">
      <c r="E4410" s="668"/>
      <c r="F4410" s="668"/>
      <c r="G4410" s="668"/>
      <c r="H4410" s="668"/>
      <c r="I4410" s="668"/>
      <c r="J4410" s="668"/>
      <c r="K4410" s="674"/>
      <c r="L4410" s="668"/>
      <c r="M4410" s="668"/>
    </row>
    <row r="4411" spans="5:13">
      <c r="E4411" s="668"/>
      <c r="F4411" s="668"/>
      <c r="G4411" s="668"/>
      <c r="H4411" s="668"/>
      <c r="I4411" s="668"/>
      <c r="J4411" s="668"/>
      <c r="K4411" s="674"/>
      <c r="L4411" s="668"/>
      <c r="M4411" s="668"/>
    </row>
    <row r="4412" spans="5:13">
      <c r="E4412" s="668"/>
      <c r="F4412" s="668"/>
      <c r="G4412" s="668"/>
      <c r="H4412" s="668"/>
      <c r="I4412" s="668"/>
      <c r="J4412" s="668"/>
      <c r="K4412" s="674"/>
      <c r="L4412" s="668"/>
      <c r="M4412" s="668"/>
    </row>
    <row r="4413" spans="5:13">
      <c r="E4413" s="668"/>
      <c r="F4413" s="668"/>
      <c r="G4413" s="668"/>
      <c r="H4413" s="668"/>
      <c r="I4413" s="668"/>
      <c r="J4413" s="668"/>
      <c r="K4413" s="674"/>
      <c r="L4413" s="668"/>
      <c r="M4413" s="668"/>
    </row>
    <row r="4414" spans="5:13">
      <c r="E4414" s="668"/>
      <c r="F4414" s="668"/>
      <c r="G4414" s="668"/>
      <c r="H4414" s="668"/>
      <c r="I4414" s="668"/>
      <c r="J4414" s="668"/>
      <c r="K4414" s="674"/>
      <c r="L4414" s="668"/>
      <c r="M4414" s="668"/>
    </row>
    <row r="4415" spans="5:13">
      <c r="E4415" s="668"/>
      <c r="F4415" s="668"/>
      <c r="G4415" s="668"/>
      <c r="H4415" s="668"/>
      <c r="I4415" s="668"/>
      <c r="J4415" s="668"/>
      <c r="K4415" s="674"/>
      <c r="L4415" s="668"/>
      <c r="M4415" s="668"/>
    </row>
    <row r="4416" spans="5:13">
      <c r="E4416" s="668"/>
      <c r="F4416" s="668"/>
      <c r="G4416" s="668"/>
      <c r="H4416" s="668"/>
      <c r="I4416" s="668"/>
      <c r="J4416" s="668"/>
      <c r="K4416" s="674"/>
      <c r="L4416" s="668"/>
      <c r="M4416" s="668"/>
    </row>
    <row r="4417" spans="5:13">
      <c r="E4417" s="668"/>
      <c r="F4417" s="668"/>
      <c r="G4417" s="668"/>
      <c r="H4417" s="668"/>
      <c r="I4417" s="668"/>
      <c r="J4417" s="668"/>
      <c r="K4417" s="674"/>
      <c r="L4417" s="668"/>
      <c r="M4417" s="668"/>
    </row>
    <row r="4418" spans="5:13">
      <c r="E4418" s="668"/>
      <c r="F4418" s="668"/>
      <c r="G4418" s="668"/>
      <c r="H4418" s="668"/>
      <c r="I4418" s="668"/>
      <c r="J4418" s="668"/>
      <c r="K4418" s="674"/>
      <c r="L4418" s="668"/>
      <c r="M4418" s="668"/>
    </row>
    <row r="4419" spans="5:13">
      <c r="E4419" s="668"/>
      <c r="F4419" s="668"/>
      <c r="G4419" s="668"/>
      <c r="H4419" s="668"/>
      <c r="I4419" s="668"/>
      <c r="J4419" s="668"/>
      <c r="K4419" s="674"/>
      <c r="L4419" s="668"/>
      <c r="M4419" s="668"/>
    </row>
    <row r="4420" spans="5:13">
      <c r="E4420" s="668"/>
      <c r="F4420" s="668"/>
      <c r="G4420" s="668"/>
      <c r="H4420" s="668"/>
      <c r="I4420" s="668"/>
      <c r="J4420" s="668"/>
      <c r="K4420" s="674"/>
      <c r="L4420" s="668"/>
      <c r="M4420" s="668"/>
    </row>
    <row r="4421" spans="5:13">
      <c r="E4421" s="668"/>
      <c r="F4421" s="668"/>
      <c r="G4421" s="668"/>
      <c r="H4421" s="668"/>
      <c r="I4421" s="668"/>
      <c r="J4421" s="668"/>
      <c r="K4421" s="674"/>
      <c r="L4421" s="668"/>
      <c r="M4421" s="668"/>
    </row>
    <row r="4422" spans="5:13">
      <c r="E4422" s="668"/>
      <c r="F4422" s="668"/>
      <c r="G4422" s="668"/>
      <c r="H4422" s="668"/>
      <c r="I4422" s="668"/>
      <c r="J4422" s="668"/>
      <c r="K4422" s="674"/>
      <c r="L4422" s="668"/>
      <c r="M4422" s="668"/>
    </row>
    <row r="4423" spans="5:13">
      <c r="E4423" s="668"/>
      <c r="F4423" s="668"/>
      <c r="G4423" s="668"/>
      <c r="H4423" s="668"/>
      <c r="I4423" s="668"/>
      <c r="J4423" s="668"/>
      <c r="K4423" s="674"/>
      <c r="L4423" s="668"/>
      <c r="M4423" s="668"/>
    </row>
    <row r="4424" spans="5:13">
      <c r="E4424" s="668"/>
      <c r="F4424" s="668"/>
      <c r="G4424" s="668"/>
      <c r="H4424" s="668"/>
      <c r="I4424" s="668"/>
      <c r="J4424" s="668"/>
      <c r="K4424" s="674"/>
      <c r="L4424" s="668"/>
      <c r="M4424" s="668"/>
    </row>
    <row r="4425" spans="5:13">
      <c r="E4425" s="668"/>
      <c r="F4425" s="668"/>
      <c r="G4425" s="668"/>
      <c r="H4425" s="668"/>
      <c r="I4425" s="668"/>
      <c r="J4425" s="668"/>
      <c r="K4425" s="674"/>
      <c r="L4425" s="668"/>
      <c r="M4425" s="668"/>
    </row>
    <row r="4426" spans="5:13">
      <c r="E4426" s="668"/>
      <c r="F4426" s="668"/>
      <c r="G4426" s="668"/>
      <c r="H4426" s="668"/>
      <c r="I4426" s="668"/>
      <c r="J4426" s="668"/>
      <c r="K4426" s="674"/>
      <c r="L4426" s="668"/>
      <c r="M4426" s="668"/>
    </row>
    <row r="4427" spans="5:13">
      <c r="E4427" s="668"/>
      <c r="F4427" s="668"/>
      <c r="G4427" s="668"/>
      <c r="H4427" s="668"/>
      <c r="I4427" s="668"/>
      <c r="J4427" s="668"/>
      <c r="K4427" s="674"/>
      <c r="L4427" s="668"/>
      <c r="M4427" s="668"/>
    </row>
    <row r="4428" spans="5:13">
      <c r="E4428" s="668"/>
      <c r="F4428" s="668"/>
      <c r="G4428" s="668"/>
      <c r="H4428" s="668"/>
      <c r="I4428" s="668"/>
      <c r="J4428" s="668"/>
      <c r="K4428" s="674"/>
      <c r="L4428" s="668"/>
      <c r="M4428" s="668"/>
    </row>
    <row r="4429" spans="5:13">
      <c r="E4429" s="668"/>
      <c r="F4429" s="668"/>
      <c r="G4429" s="668"/>
      <c r="H4429" s="668"/>
      <c r="I4429" s="668"/>
      <c r="J4429" s="668"/>
      <c r="K4429" s="674"/>
      <c r="L4429" s="668"/>
      <c r="M4429" s="668"/>
    </row>
    <row r="4430" spans="5:13">
      <c r="E4430" s="668"/>
      <c r="F4430" s="668"/>
      <c r="G4430" s="668"/>
      <c r="H4430" s="668"/>
      <c r="I4430" s="668"/>
      <c r="J4430" s="668"/>
      <c r="K4430" s="674"/>
      <c r="L4430" s="668"/>
      <c r="M4430" s="668"/>
    </row>
    <row r="4431" spans="5:13">
      <c r="E4431" s="668"/>
      <c r="F4431" s="668"/>
      <c r="G4431" s="668"/>
      <c r="H4431" s="668"/>
      <c r="I4431" s="668"/>
      <c r="J4431" s="668"/>
      <c r="K4431" s="674"/>
      <c r="L4431" s="668"/>
      <c r="M4431" s="668"/>
    </row>
    <row r="4432" spans="5:13">
      <c r="E4432" s="668"/>
      <c r="F4432" s="668"/>
      <c r="G4432" s="668"/>
      <c r="H4432" s="668"/>
      <c r="I4432" s="668"/>
      <c r="J4432" s="668"/>
      <c r="K4432" s="674"/>
      <c r="L4432" s="668"/>
      <c r="M4432" s="668"/>
    </row>
    <row r="4433" spans="5:13">
      <c r="E4433" s="668"/>
      <c r="F4433" s="668"/>
      <c r="G4433" s="668"/>
      <c r="H4433" s="668"/>
      <c r="I4433" s="668"/>
      <c r="J4433" s="668"/>
      <c r="K4433" s="674"/>
      <c r="L4433" s="668"/>
      <c r="M4433" s="668"/>
    </row>
    <row r="4434" spans="5:13">
      <c r="E4434" s="668"/>
      <c r="F4434" s="668"/>
      <c r="G4434" s="668"/>
      <c r="H4434" s="668"/>
      <c r="I4434" s="668"/>
      <c r="J4434" s="668"/>
      <c r="K4434" s="674"/>
      <c r="L4434" s="668"/>
      <c r="M4434" s="668"/>
    </row>
    <row r="4435" spans="5:13">
      <c r="E4435" s="668"/>
      <c r="F4435" s="668"/>
      <c r="G4435" s="668"/>
      <c r="H4435" s="668"/>
      <c r="I4435" s="668"/>
      <c r="J4435" s="668"/>
      <c r="K4435" s="674"/>
      <c r="L4435" s="668"/>
      <c r="M4435" s="668"/>
    </row>
    <row r="4436" spans="5:13">
      <c r="E4436" s="668"/>
      <c r="F4436" s="668"/>
      <c r="G4436" s="668"/>
      <c r="H4436" s="668"/>
      <c r="I4436" s="668"/>
      <c r="J4436" s="668"/>
      <c r="K4436" s="674"/>
      <c r="L4436" s="668"/>
      <c r="M4436" s="668"/>
    </row>
    <row r="4437" spans="5:13">
      <c r="E4437" s="668"/>
      <c r="F4437" s="668"/>
      <c r="G4437" s="668"/>
      <c r="H4437" s="668"/>
      <c r="I4437" s="668"/>
      <c r="J4437" s="668"/>
      <c r="K4437" s="674"/>
      <c r="L4437" s="668"/>
      <c r="M4437" s="668"/>
    </row>
    <row r="4438" spans="5:13">
      <c r="E4438" s="668"/>
      <c r="F4438" s="668"/>
      <c r="G4438" s="668"/>
      <c r="H4438" s="668"/>
      <c r="I4438" s="668"/>
      <c r="J4438" s="668"/>
      <c r="K4438" s="674"/>
      <c r="L4438" s="668"/>
      <c r="M4438" s="668"/>
    </row>
    <row r="4439" spans="5:13">
      <c r="E4439" s="668"/>
      <c r="F4439" s="668"/>
      <c r="G4439" s="668"/>
      <c r="H4439" s="668"/>
      <c r="I4439" s="668"/>
      <c r="J4439" s="668"/>
      <c r="K4439" s="674"/>
      <c r="L4439" s="668"/>
      <c r="M4439" s="668"/>
    </row>
    <row r="4440" spans="5:13">
      <c r="E4440" s="668"/>
      <c r="F4440" s="668"/>
      <c r="G4440" s="668"/>
      <c r="H4440" s="668"/>
      <c r="I4440" s="668"/>
      <c r="J4440" s="668"/>
      <c r="K4440" s="674"/>
      <c r="L4440" s="668"/>
      <c r="M4440" s="668"/>
    </row>
    <row r="4441" spans="5:13">
      <c r="E4441" s="668"/>
      <c r="F4441" s="668"/>
      <c r="G4441" s="668"/>
      <c r="H4441" s="668"/>
      <c r="I4441" s="668"/>
      <c r="J4441" s="668"/>
      <c r="K4441" s="674"/>
      <c r="L4441" s="668"/>
      <c r="M4441" s="668"/>
    </row>
    <row r="4442" spans="5:13">
      <c r="E4442" s="668"/>
      <c r="F4442" s="668"/>
      <c r="G4442" s="668"/>
      <c r="H4442" s="668"/>
      <c r="I4442" s="668"/>
      <c r="J4442" s="668"/>
      <c r="K4442" s="674"/>
      <c r="L4442" s="668"/>
      <c r="M4442" s="668"/>
    </row>
    <row r="4443" spans="5:13">
      <c r="E4443" s="668"/>
      <c r="F4443" s="668"/>
      <c r="G4443" s="668"/>
      <c r="H4443" s="668"/>
      <c r="I4443" s="668"/>
      <c r="J4443" s="668"/>
      <c r="K4443" s="674"/>
      <c r="L4443" s="668"/>
      <c r="M4443" s="668"/>
    </row>
    <row r="4444" spans="5:13">
      <c r="E4444" s="668"/>
      <c r="F4444" s="668"/>
      <c r="G4444" s="668"/>
      <c r="H4444" s="668"/>
      <c r="I4444" s="668"/>
      <c r="J4444" s="668"/>
      <c r="K4444" s="674"/>
      <c r="L4444" s="668"/>
      <c r="M4444" s="668"/>
    </row>
    <row r="4445" spans="5:13">
      <c r="E4445" s="668"/>
      <c r="F4445" s="668"/>
      <c r="G4445" s="668"/>
      <c r="H4445" s="668"/>
      <c r="I4445" s="668"/>
      <c r="J4445" s="668"/>
      <c r="K4445" s="674"/>
      <c r="L4445" s="668"/>
      <c r="M4445" s="668"/>
    </row>
    <row r="4446" spans="5:13">
      <c r="E4446" s="668"/>
      <c r="F4446" s="668"/>
      <c r="G4446" s="668"/>
      <c r="H4446" s="668"/>
      <c r="I4446" s="668"/>
      <c r="J4446" s="668"/>
      <c r="K4446" s="674"/>
      <c r="L4446" s="668"/>
      <c r="M4446" s="668"/>
    </row>
    <row r="4447" spans="5:13">
      <c r="E4447" s="668"/>
      <c r="F4447" s="668"/>
      <c r="G4447" s="668"/>
      <c r="H4447" s="668"/>
      <c r="I4447" s="668"/>
      <c r="J4447" s="668"/>
      <c r="K4447" s="674"/>
      <c r="L4447" s="668"/>
      <c r="M4447" s="668"/>
    </row>
    <row r="4448" spans="5:13">
      <c r="E4448" s="668"/>
      <c r="F4448" s="668"/>
      <c r="G4448" s="668"/>
      <c r="H4448" s="668"/>
      <c r="I4448" s="668"/>
      <c r="J4448" s="668"/>
      <c r="K4448" s="674"/>
      <c r="L4448" s="668"/>
      <c r="M4448" s="668"/>
    </row>
    <row r="4449" spans="5:13">
      <c r="E4449" s="668"/>
      <c r="F4449" s="668"/>
      <c r="G4449" s="668"/>
      <c r="H4449" s="668"/>
      <c r="I4449" s="668"/>
      <c r="J4449" s="668"/>
      <c r="K4449" s="674"/>
      <c r="L4449" s="668"/>
      <c r="M4449" s="668"/>
    </row>
    <row r="4450" spans="5:13">
      <c r="E4450" s="668"/>
      <c r="F4450" s="668"/>
      <c r="G4450" s="668"/>
      <c r="H4450" s="668"/>
      <c r="I4450" s="668"/>
      <c r="J4450" s="668"/>
      <c r="K4450" s="674"/>
      <c r="L4450" s="668"/>
      <c r="M4450" s="668"/>
    </row>
    <row r="4451" spans="5:13">
      <c r="E4451" s="668"/>
      <c r="F4451" s="668"/>
      <c r="G4451" s="668"/>
      <c r="H4451" s="668"/>
      <c r="I4451" s="668"/>
      <c r="J4451" s="668"/>
      <c r="K4451" s="674"/>
      <c r="L4451" s="668"/>
      <c r="M4451" s="668"/>
    </row>
    <row r="4452" spans="5:13">
      <c r="E4452" s="668"/>
      <c r="F4452" s="668"/>
      <c r="G4452" s="668"/>
      <c r="H4452" s="668"/>
      <c r="I4452" s="668"/>
      <c r="J4452" s="668"/>
      <c r="K4452" s="674"/>
      <c r="L4452" s="668"/>
      <c r="M4452" s="668"/>
    </row>
    <row r="4453" spans="5:13">
      <c r="E4453" s="668"/>
      <c r="F4453" s="668"/>
      <c r="G4453" s="668"/>
      <c r="H4453" s="668"/>
      <c r="I4453" s="668"/>
      <c r="J4453" s="668"/>
      <c r="K4453" s="674"/>
      <c r="L4453" s="668"/>
      <c r="M4453" s="668"/>
    </row>
    <row r="4454" spans="5:13">
      <c r="E4454" s="668"/>
      <c r="F4454" s="668"/>
      <c r="G4454" s="668"/>
      <c r="H4454" s="668"/>
      <c r="I4454" s="668"/>
      <c r="J4454" s="668"/>
      <c r="K4454" s="674"/>
      <c r="L4454" s="668"/>
      <c r="M4454" s="668"/>
    </row>
    <row r="4455" spans="5:13">
      <c r="E4455" s="668"/>
      <c r="F4455" s="668"/>
      <c r="G4455" s="668"/>
      <c r="H4455" s="668"/>
      <c r="I4455" s="668"/>
      <c r="J4455" s="668"/>
      <c r="K4455" s="674"/>
      <c r="L4455" s="668"/>
      <c r="M4455" s="668"/>
    </row>
    <row r="4456" spans="5:13">
      <c r="E4456" s="668"/>
      <c r="F4456" s="668"/>
      <c r="G4456" s="668"/>
      <c r="H4456" s="668"/>
      <c r="I4456" s="668"/>
      <c r="J4456" s="668"/>
      <c r="K4456" s="674"/>
      <c r="L4456" s="668"/>
      <c r="M4456" s="668"/>
    </row>
    <row r="4457" spans="5:13">
      <c r="E4457" s="668"/>
      <c r="F4457" s="668"/>
      <c r="G4457" s="668"/>
      <c r="H4457" s="668"/>
      <c r="I4457" s="668"/>
      <c r="J4457" s="668"/>
      <c r="K4457" s="674"/>
      <c r="L4457" s="668"/>
      <c r="M4457" s="668"/>
    </row>
    <row r="4458" spans="5:13">
      <c r="E4458" s="668"/>
      <c r="F4458" s="668"/>
      <c r="G4458" s="668"/>
      <c r="H4458" s="668"/>
      <c r="I4458" s="668"/>
      <c r="J4458" s="668"/>
      <c r="K4458" s="674"/>
      <c r="L4458" s="668"/>
      <c r="M4458" s="668"/>
    </row>
    <row r="4459" spans="5:13">
      <c r="E4459" s="668"/>
      <c r="F4459" s="668"/>
      <c r="G4459" s="668"/>
      <c r="H4459" s="668"/>
      <c r="I4459" s="668"/>
      <c r="J4459" s="668"/>
      <c r="K4459" s="674"/>
      <c r="L4459" s="668"/>
      <c r="M4459" s="668"/>
    </row>
    <row r="4460" spans="5:13">
      <c r="E4460" s="668"/>
      <c r="F4460" s="668"/>
      <c r="G4460" s="668"/>
      <c r="H4460" s="668"/>
      <c r="I4460" s="668"/>
      <c r="J4460" s="668"/>
      <c r="K4460" s="674"/>
      <c r="L4460" s="668"/>
      <c r="M4460" s="668"/>
    </row>
    <row r="4461" spans="5:13">
      <c r="E4461" s="668"/>
      <c r="F4461" s="668"/>
      <c r="G4461" s="668"/>
      <c r="H4461" s="668"/>
      <c r="I4461" s="668"/>
      <c r="J4461" s="668"/>
      <c r="K4461" s="674"/>
      <c r="L4461" s="668"/>
      <c r="M4461" s="668"/>
    </row>
    <row r="4462" spans="5:13">
      <c r="E4462" s="668"/>
      <c r="F4462" s="668"/>
      <c r="G4462" s="668"/>
      <c r="H4462" s="668"/>
      <c r="I4462" s="668"/>
      <c r="J4462" s="668"/>
      <c r="K4462" s="674"/>
      <c r="L4462" s="668"/>
      <c r="M4462" s="668"/>
    </row>
    <row r="4463" spans="5:13">
      <c r="E4463" s="668"/>
      <c r="F4463" s="668"/>
      <c r="G4463" s="668"/>
      <c r="H4463" s="668"/>
      <c r="I4463" s="668"/>
      <c r="J4463" s="668"/>
      <c r="K4463" s="674"/>
      <c r="L4463" s="668"/>
      <c r="M4463" s="668"/>
    </row>
    <row r="4464" spans="5:13">
      <c r="E4464" s="668"/>
      <c r="F4464" s="668"/>
      <c r="G4464" s="668"/>
      <c r="H4464" s="668"/>
      <c r="I4464" s="668"/>
      <c r="J4464" s="668"/>
      <c r="K4464" s="674"/>
      <c r="L4464" s="668"/>
      <c r="M4464" s="668"/>
    </row>
    <row r="4465" spans="5:13">
      <c r="E4465" s="668"/>
      <c r="F4465" s="668"/>
      <c r="G4465" s="668"/>
      <c r="H4465" s="668"/>
      <c r="I4465" s="668"/>
      <c r="J4465" s="668"/>
      <c r="K4465" s="674"/>
      <c r="L4465" s="668"/>
      <c r="M4465" s="668"/>
    </row>
    <row r="4466" spans="5:13">
      <c r="E4466" s="668"/>
      <c r="F4466" s="668"/>
      <c r="G4466" s="668"/>
      <c r="H4466" s="668"/>
      <c r="I4466" s="668"/>
      <c r="J4466" s="668"/>
      <c r="K4466" s="674"/>
      <c r="L4466" s="668"/>
      <c r="M4466" s="668"/>
    </row>
    <row r="4467" spans="5:13">
      <c r="E4467" s="668"/>
      <c r="F4467" s="668"/>
      <c r="G4467" s="668"/>
      <c r="H4467" s="668"/>
      <c r="I4467" s="668"/>
      <c r="J4467" s="668"/>
      <c r="K4467" s="674"/>
      <c r="L4467" s="668"/>
      <c r="M4467" s="668"/>
    </row>
    <row r="4468" spans="5:13">
      <c r="E4468" s="668"/>
      <c r="F4468" s="668"/>
      <c r="G4468" s="668"/>
      <c r="H4468" s="668"/>
      <c r="I4468" s="668"/>
      <c r="J4468" s="668"/>
      <c r="K4468" s="674"/>
      <c r="L4468" s="668"/>
      <c r="M4468" s="668"/>
    </row>
    <row r="4469" spans="5:13">
      <c r="E4469" s="668"/>
      <c r="F4469" s="668"/>
      <c r="G4469" s="668"/>
      <c r="H4469" s="668"/>
      <c r="I4469" s="668"/>
      <c r="J4469" s="668"/>
      <c r="K4469" s="674"/>
      <c r="L4469" s="668"/>
      <c r="M4469" s="668"/>
    </row>
    <row r="4470" spans="5:13">
      <c r="E4470" s="668"/>
      <c r="F4470" s="668"/>
      <c r="G4470" s="668"/>
      <c r="H4470" s="668"/>
      <c r="I4470" s="668"/>
      <c r="J4470" s="668"/>
      <c r="K4470" s="674"/>
      <c r="L4470" s="668"/>
      <c r="M4470" s="668"/>
    </row>
    <row r="4471" spans="5:13">
      <c r="E4471" s="668"/>
      <c r="F4471" s="668"/>
      <c r="G4471" s="668"/>
      <c r="H4471" s="668"/>
      <c r="I4471" s="668"/>
      <c r="J4471" s="668"/>
      <c r="K4471" s="674"/>
      <c r="L4471" s="668"/>
      <c r="M4471" s="668"/>
    </row>
    <row r="4472" spans="5:13">
      <c r="E4472" s="668"/>
      <c r="F4472" s="668"/>
      <c r="G4472" s="668"/>
      <c r="H4472" s="668"/>
      <c r="I4472" s="668"/>
      <c r="J4472" s="668"/>
      <c r="K4472" s="674"/>
      <c r="L4472" s="668"/>
      <c r="M4472" s="668"/>
    </row>
    <row r="4473" spans="5:13">
      <c r="E4473" s="668"/>
      <c r="F4473" s="668"/>
      <c r="G4473" s="668"/>
      <c r="H4473" s="668"/>
      <c r="I4473" s="668"/>
      <c r="J4473" s="668"/>
      <c r="K4473" s="674"/>
      <c r="L4473" s="668"/>
      <c r="M4473" s="668"/>
    </row>
    <row r="4474" spans="5:13">
      <c r="E4474" s="668"/>
      <c r="F4474" s="668"/>
      <c r="G4474" s="668"/>
      <c r="H4474" s="668"/>
      <c r="I4474" s="668"/>
      <c r="J4474" s="668"/>
      <c r="K4474" s="674"/>
      <c r="L4474" s="668"/>
      <c r="M4474" s="668"/>
    </row>
    <row r="4475" spans="5:13">
      <c r="E4475" s="668"/>
      <c r="F4475" s="668"/>
      <c r="G4475" s="668"/>
      <c r="H4475" s="668"/>
      <c r="I4475" s="668"/>
      <c r="J4475" s="668"/>
      <c r="K4475" s="674"/>
      <c r="L4475" s="668"/>
      <c r="M4475" s="668"/>
    </row>
    <row r="4476" spans="5:13">
      <c r="E4476" s="668"/>
      <c r="F4476" s="668"/>
      <c r="G4476" s="668"/>
      <c r="H4476" s="668"/>
      <c r="I4476" s="668"/>
      <c r="J4476" s="668"/>
      <c r="K4476" s="674"/>
      <c r="L4476" s="668"/>
      <c r="M4476" s="668"/>
    </row>
    <row r="4477" spans="5:13">
      <c r="E4477" s="668"/>
      <c r="F4477" s="668"/>
      <c r="G4477" s="668"/>
      <c r="H4477" s="668"/>
      <c r="I4477" s="668"/>
      <c r="J4477" s="668"/>
      <c r="K4477" s="674"/>
      <c r="L4477" s="668"/>
      <c r="M4477" s="668"/>
    </row>
    <row r="4478" spans="5:13">
      <c r="E4478" s="668"/>
      <c r="F4478" s="668"/>
      <c r="G4478" s="668"/>
      <c r="H4478" s="668"/>
      <c r="I4478" s="668"/>
      <c r="J4478" s="668"/>
      <c r="K4478" s="674"/>
      <c r="L4478" s="668"/>
      <c r="M4478" s="668"/>
    </row>
    <row r="4479" spans="5:13">
      <c r="E4479" s="668"/>
      <c r="F4479" s="668"/>
      <c r="G4479" s="668"/>
      <c r="H4479" s="668"/>
      <c r="I4479" s="668"/>
      <c r="J4479" s="668"/>
      <c r="K4479" s="674"/>
      <c r="L4479" s="668"/>
      <c r="M4479" s="668"/>
    </row>
    <row r="4480" spans="5:13">
      <c r="E4480" s="668"/>
      <c r="F4480" s="668"/>
      <c r="G4480" s="668"/>
      <c r="H4480" s="668"/>
      <c r="I4480" s="668"/>
      <c r="J4480" s="668"/>
      <c r="K4480" s="674"/>
      <c r="L4480" s="668"/>
      <c r="M4480" s="668"/>
    </row>
    <row r="4481" spans="5:13">
      <c r="E4481" s="668"/>
      <c r="F4481" s="668"/>
      <c r="G4481" s="668"/>
      <c r="H4481" s="668"/>
      <c r="I4481" s="668"/>
      <c r="J4481" s="668"/>
      <c r="K4481" s="674"/>
      <c r="L4481" s="668"/>
      <c r="M4481" s="668"/>
    </row>
    <row r="4482" spans="5:13">
      <c r="E4482" s="668"/>
      <c r="F4482" s="668"/>
      <c r="G4482" s="668"/>
      <c r="H4482" s="668"/>
      <c r="I4482" s="668"/>
      <c r="J4482" s="668"/>
      <c r="K4482" s="674"/>
      <c r="L4482" s="668"/>
      <c r="M4482" s="668"/>
    </row>
    <row r="4483" spans="5:13">
      <c r="E4483" s="668"/>
      <c r="F4483" s="668"/>
      <c r="G4483" s="668"/>
      <c r="H4483" s="668"/>
      <c r="I4483" s="668"/>
      <c r="J4483" s="668"/>
      <c r="K4483" s="674"/>
      <c r="L4483" s="668"/>
      <c r="M4483" s="668"/>
    </row>
    <row r="4484" spans="5:13">
      <c r="E4484" s="668"/>
      <c r="F4484" s="668"/>
      <c r="G4484" s="668"/>
      <c r="H4484" s="668"/>
      <c r="I4484" s="668"/>
      <c r="J4484" s="668"/>
      <c r="K4484" s="674"/>
      <c r="L4484" s="668"/>
      <c r="M4484" s="668"/>
    </row>
    <row r="4485" spans="5:13">
      <c r="E4485" s="668"/>
      <c r="F4485" s="668"/>
      <c r="G4485" s="668"/>
      <c r="H4485" s="668"/>
      <c r="I4485" s="668"/>
      <c r="J4485" s="668"/>
      <c r="K4485" s="674"/>
      <c r="L4485" s="668"/>
      <c r="M4485" s="668"/>
    </row>
    <row r="4486" spans="5:13">
      <c r="E4486" s="668"/>
      <c r="F4486" s="668"/>
      <c r="G4486" s="668"/>
      <c r="H4486" s="668"/>
      <c r="I4486" s="668"/>
      <c r="J4486" s="668"/>
      <c r="K4486" s="674"/>
      <c r="L4486" s="668"/>
      <c r="M4486" s="668"/>
    </row>
    <row r="4487" spans="5:13">
      <c r="E4487" s="668"/>
      <c r="F4487" s="668"/>
      <c r="G4487" s="668"/>
      <c r="H4487" s="668"/>
      <c r="I4487" s="668"/>
      <c r="J4487" s="668"/>
      <c r="K4487" s="674"/>
      <c r="L4487" s="668"/>
      <c r="M4487" s="668"/>
    </row>
    <row r="4488" spans="5:13">
      <c r="E4488" s="668"/>
      <c r="F4488" s="668"/>
      <c r="G4488" s="668"/>
      <c r="H4488" s="668"/>
      <c r="I4488" s="668"/>
      <c r="J4488" s="668"/>
      <c r="K4488" s="674"/>
      <c r="L4488" s="668"/>
      <c r="M4488" s="668"/>
    </row>
    <row r="4489" spans="5:13">
      <c r="E4489" s="668"/>
      <c r="F4489" s="668"/>
      <c r="G4489" s="668"/>
      <c r="H4489" s="668"/>
      <c r="I4489" s="668"/>
      <c r="J4489" s="668"/>
      <c r="K4489" s="674"/>
      <c r="L4489" s="668"/>
      <c r="M4489" s="668"/>
    </row>
    <row r="4490" spans="5:13">
      <c r="E4490" s="668"/>
      <c r="F4490" s="668"/>
      <c r="G4490" s="668"/>
      <c r="H4490" s="668"/>
      <c r="I4490" s="668"/>
      <c r="J4490" s="668"/>
      <c r="K4490" s="674"/>
      <c r="L4490" s="668"/>
      <c r="M4490" s="668"/>
    </row>
    <row r="4491" spans="5:13">
      <c r="E4491" s="668"/>
      <c r="F4491" s="668"/>
      <c r="G4491" s="668"/>
      <c r="H4491" s="668"/>
      <c r="I4491" s="668"/>
      <c r="J4491" s="668"/>
      <c r="K4491" s="674"/>
      <c r="L4491" s="668"/>
      <c r="M4491" s="668"/>
    </row>
    <row r="4492" spans="5:13">
      <c r="E4492" s="668"/>
      <c r="F4492" s="668"/>
      <c r="G4492" s="668"/>
      <c r="H4492" s="668"/>
      <c r="I4492" s="668"/>
      <c r="J4492" s="668"/>
      <c r="K4492" s="674"/>
      <c r="L4492" s="668"/>
      <c r="M4492" s="668"/>
    </row>
    <row r="4493" spans="5:13">
      <c r="E4493" s="668"/>
      <c r="F4493" s="668"/>
      <c r="G4493" s="668"/>
      <c r="H4493" s="668"/>
      <c r="I4493" s="668"/>
      <c r="J4493" s="668"/>
      <c r="K4493" s="674"/>
      <c r="L4493" s="668"/>
      <c r="M4493" s="668"/>
    </row>
    <row r="4494" spans="5:13">
      <c r="E4494" s="668"/>
      <c r="F4494" s="668"/>
      <c r="G4494" s="668"/>
      <c r="H4494" s="668"/>
      <c r="I4494" s="668"/>
      <c r="J4494" s="668"/>
      <c r="K4494" s="674"/>
      <c r="L4494" s="668"/>
      <c r="M4494" s="668"/>
    </row>
    <row r="4495" spans="5:13">
      <c r="E4495" s="668"/>
      <c r="F4495" s="668"/>
      <c r="G4495" s="668"/>
      <c r="H4495" s="668"/>
      <c r="I4495" s="668"/>
      <c r="J4495" s="668"/>
      <c r="K4495" s="674"/>
      <c r="L4495" s="668"/>
      <c r="M4495" s="668"/>
    </row>
    <row r="4496" spans="5:13">
      <c r="E4496" s="668"/>
      <c r="F4496" s="668"/>
      <c r="G4496" s="668"/>
      <c r="H4496" s="668"/>
      <c r="I4496" s="668"/>
      <c r="J4496" s="668"/>
      <c r="K4496" s="674"/>
      <c r="L4496" s="668"/>
      <c r="M4496" s="668"/>
    </row>
    <row r="4497" spans="5:13">
      <c r="E4497" s="668"/>
      <c r="F4497" s="668"/>
      <c r="G4497" s="668"/>
      <c r="H4497" s="668"/>
      <c r="I4497" s="668"/>
      <c r="J4497" s="668"/>
      <c r="K4497" s="674"/>
      <c r="L4497" s="668"/>
      <c r="M4497" s="668"/>
    </row>
    <row r="4498" spans="5:13">
      <c r="E4498" s="668"/>
      <c r="F4498" s="668"/>
      <c r="G4498" s="668"/>
      <c r="H4498" s="668"/>
      <c r="I4498" s="668"/>
      <c r="J4498" s="668"/>
      <c r="K4498" s="674"/>
      <c r="L4498" s="668"/>
      <c r="M4498" s="668"/>
    </row>
    <row r="4499" spans="5:13">
      <c r="E4499" s="668"/>
      <c r="F4499" s="668"/>
      <c r="G4499" s="668"/>
      <c r="H4499" s="668"/>
      <c r="I4499" s="668"/>
      <c r="J4499" s="668"/>
      <c r="K4499" s="674"/>
      <c r="L4499" s="668"/>
      <c r="M4499" s="668"/>
    </row>
    <row r="4500" spans="5:13">
      <c r="E4500" s="668"/>
      <c r="F4500" s="668"/>
      <c r="G4500" s="668"/>
      <c r="H4500" s="668"/>
      <c r="I4500" s="668"/>
      <c r="J4500" s="668"/>
      <c r="K4500" s="674"/>
      <c r="L4500" s="668"/>
      <c r="M4500" s="668"/>
    </row>
    <row r="4501" spans="5:13">
      <c r="E4501" s="668"/>
      <c r="F4501" s="668"/>
      <c r="G4501" s="668"/>
      <c r="H4501" s="668"/>
      <c r="I4501" s="668"/>
      <c r="J4501" s="668"/>
      <c r="K4501" s="674"/>
      <c r="L4501" s="668"/>
      <c r="M4501" s="668"/>
    </row>
    <row r="4502" spans="5:13">
      <c r="E4502" s="668"/>
      <c r="F4502" s="668"/>
      <c r="G4502" s="668"/>
      <c r="H4502" s="668"/>
      <c r="I4502" s="668"/>
      <c r="J4502" s="668"/>
      <c r="K4502" s="674"/>
      <c r="L4502" s="668"/>
      <c r="M4502" s="668"/>
    </row>
    <row r="4503" spans="5:13">
      <c r="E4503" s="668"/>
      <c r="F4503" s="668"/>
      <c r="G4503" s="668"/>
      <c r="H4503" s="668"/>
      <c r="I4503" s="668"/>
      <c r="J4503" s="668"/>
      <c r="K4503" s="674"/>
      <c r="L4503" s="668"/>
      <c r="M4503" s="668"/>
    </row>
    <row r="4504" spans="5:13">
      <c r="E4504" s="668"/>
      <c r="F4504" s="668"/>
      <c r="G4504" s="668"/>
      <c r="H4504" s="668"/>
      <c r="I4504" s="668"/>
      <c r="J4504" s="668"/>
      <c r="K4504" s="674"/>
      <c r="L4504" s="668"/>
      <c r="M4504" s="668"/>
    </row>
    <row r="4505" spans="5:13">
      <c r="E4505" s="668"/>
      <c r="F4505" s="668"/>
      <c r="G4505" s="668"/>
      <c r="H4505" s="668"/>
      <c r="I4505" s="668"/>
      <c r="J4505" s="668"/>
      <c r="K4505" s="674"/>
      <c r="L4505" s="668"/>
      <c r="M4505" s="668"/>
    </row>
    <row r="4506" spans="5:13">
      <c r="E4506" s="668"/>
      <c r="F4506" s="668"/>
      <c r="G4506" s="668"/>
      <c r="H4506" s="668"/>
      <c r="I4506" s="668"/>
      <c r="J4506" s="668"/>
      <c r="K4506" s="674"/>
      <c r="L4506" s="668"/>
      <c r="M4506" s="668"/>
    </row>
    <row r="4507" spans="5:13">
      <c r="E4507" s="668"/>
      <c r="F4507" s="668"/>
      <c r="G4507" s="668"/>
      <c r="H4507" s="668"/>
      <c r="I4507" s="668"/>
      <c r="J4507" s="668"/>
      <c r="K4507" s="674"/>
      <c r="L4507" s="668"/>
      <c r="M4507" s="668"/>
    </row>
    <row r="4508" spans="5:13">
      <c r="E4508" s="668"/>
      <c r="F4508" s="668"/>
      <c r="G4508" s="668"/>
      <c r="H4508" s="668"/>
      <c r="I4508" s="668"/>
      <c r="J4508" s="668"/>
      <c r="K4508" s="674"/>
      <c r="L4508" s="668"/>
      <c r="M4508" s="668"/>
    </row>
    <row r="4509" spans="5:13">
      <c r="E4509" s="668"/>
      <c r="F4509" s="668"/>
      <c r="G4509" s="668"/>
      <c r="H4509" s="668"/>
      <c r="I4509" s="668"/>
      <c r="J4509" s="668"/>
      <c r="K4509" s="674"/>
      <c r="L4509" s="668"/>
      <c r="M4509" s="668"/>
    </row>
    <row r="4510" spans="5:13">
      <c r="E4510" s="668"/>
      <c r="F4510" s="668"/>
      <c r="G4510" s="668"/>
      <c r="H4510" s="668"/>
      <c r="I4510" s="668"/>
      <c r="J4510" s="668"/>
      <c r="K4510" s="674"/>
      <c r="L4510" s="668"/>
      <c r="M4510" s="668"/>
    </row>
    <row r="4511" spans="5:13">
      <c r="E4511" s="668"/>
      <c r="F4511" s="668"/>
      <c r="G4511" s="668"/>
      <c r="H4511" s="668"/>
      <c r="I4511" s="668"/>
      <c r="J4511" s="668"/>
      <c r="K4511" s="674"/>
      <c r="L4511" s="668"/>
      <c r="M4511" s="668"/>
    </row>
    <row r="4512" spans="5:13">
      <c r="E4512" s="668"/>
      <c r="F4512" s="668"/>
      <c r="G4512" s="668"/>
      <c r="H4512" s="668"/>
      <c r="I4512" s="668"/>
      <c r="J4512" s="668"/>
      <c r="K4512" s="674"/>
      <c r="L4512" s="668"/>
      <c r="M4512" s="668"/>
    </row>
    <row r="4513" spans="5:13">
      <c r="E4513" s="668"/>
      <c r="F4513" s="668"/>
      <c r="G4513" s="668"/>
      <c r="H4513" s="668"/>
      <c r="I4513" s="668"/>
      <c r="J4513" s="668"/>
      <c r="K4513" s="674"/>
      <c r="L4513" s="668"/>
      <c r="M4513" s="668"/>
    </row>
    <row r="4514" spans="5:13">
      <c r="E4514" s="668"/>
      <c r="F4514" s="668"/>
      <c r="G4514" s="668"/>
      <c r="H4514" s="668"/>
      <c r="I4514" s="668"/>
      <c r="J4514" s="668"/>
      <c r="K4514" s="674"/>
      <c r="L4514" s="668"/>
      <c r="M4514" s="668"/>
    </row>
    <row r="4515" spans="5:13">
      <c r="E4515" s="668"/>
      <c r="F4515" s="668"/>
      <c r="G4515" s="668"/>
      <c r="H4515" s="668"/>
      <c r="I4515" s="668"/>
      <c r="J4515" s="668"/>
      <c r="K4515" s="674"/>
      <c r="L4515" s="668"/>
      <c r="M4515" s="668"/>
    </row>
    <row r="4516" spans="5:13">
      <c r="E4516" s="668"/>
      <c r="F4516" s="668"/>
      <c r="G4516" s="668"/>
      <c r="H4516" s="668"/>
      <c r="I4516" s="668"/>
      <c r="J4516" s="668"/>
      <c r="K4516" s="674"/>
      <c r="L4516" s="668"/>
      <c r="M4516" s="668"/>
    </row>
    <row r="4517" spans="5:13">
      <c r="E4517" s="668"/>
      <c r="F4517" s="668"/>
      <c r="G4517" s="668"/>
      <c r="H4517" s="668"/>
      <c r="I4517" s="668"/>
      <c r="J4517" s="668"/>
      <c r="K4517" s="674"/>
      <c r="L4517" s="668"/>
      <c r="M4517" s="668"/>
    </row>
    <row r="4518" spans="5:13">
      <c r="E4518" s="668"/>
      <c r="F4518" s="668"/>
      <c r="G4518" s="668"/>
      <c r="H4518" s="668"/>
      <c r="I4518" s="668"/>
      <c r="J4518" s="668"/>
      <c r="K4518" s="674"/>
      <c r="L4518" s="668"/>
      <c r="M4518" s="668"/>
    </row>
    <row r="4519" spans="5:13">
      <c r="E4519" s="668"/>
      <c r="F4519" s="668"/>
      <c r="G4519" s="668"/>
      <c r="H4519" s="668"/>
      <c r="I4519" s="668"/>
      <c r="J4519" s="668"/>
      <c r="K4519" s="674"/>
      <c r="L4519" s="668"/>
      <c r="M4519" s="668"/>
    </row>
    <row r="4520" spans="5:13">
      <c r="E4520" s="668"/>
      <c r="F4520" s="668"/>
      <c r="G4520" s="668"/>
      <c r="H4520" s="668"/>
      <c r="I4520" s="668"/>
      <c r="J4520" s="668"/>
      <c r="K4520" s="674"/>
      <c r="L4520" s="668"/>
      <c r="M4520" s="668"/>
    </row>
    <row r="4521" spans="5:13">
      <c r="E4521" s="668"/>
      <c r="F4521" s="668"/>
      <c r="G4521" s="668"/>
      <c r="H4521" s="668"/>
      <c r="I4521" s="668"/>
      <c r="J4521" s="668"/>
      <c r="K4521" s="674"/>
      <c r="L4521" s="668"/>
      <c r="M4521" s="668"/>
    </row>
    <row r="4522" spans="5:13">
      <c r="E4522" s="668"/>
      <c r="F4522" s="668"/>
      <c r="G4522" s="668"/>
      <c r="H4522" s="668"/>
      <c r="I4522" s="668"/>
      <c r="J4522" s="668"/>
      <c r="K4522" s="674"/>
      <c r="L4522" s="668"/>
      <c r="M4522" s="668"/>
    </row>
    <row r="4523" spans="5:13">
      <c r="E4523" s="668"/>
      <c r="F4523" s="668"/>
      <c r="G4523" s="668"/>
      <c r="H4523" s="668"/>
      <c r="I4523" s="668"/>
      <c r="J4523" s="668"/>
      <c r="K4523" s="674"/>
      <c r="L4523" s="668"/>
      <c r="M4523" s="668"/>
    </row>
    <row r="4524" spans="5:13">
      <c r="E4524" s="668"/>
      <c r="F4524" s="668"/>
      <c r="G4524" s="668"/>
      <c r="H4524" s="668"/>
      <c r="I4524" s="668"/>
      <c r="J4524" s="668"/>
      <c r="K4524" s="674"/>
      <c r="L4524" s="668"/>
      <c r="M4524" s="668"/>
    </row>
    <row r="4525" spans="5:13">
      <c r="E4525" s="668"/>
      <c r="F4525" s="668"/>
      <c r="G4525" s="668"/>
      <c r="H4525" s="668"/>
      <c r="I4525" s="668"/>
      <c r="J4525" s="668"/>
      <c r="K4525" s="674"/>
      <c r="L4525" s="668"/>
      <c r="M4525" s="668"/>
    </row>
    <row r="4526" spans="5:13">
      <c r="E4526" s="668"/>
      <c r="F4526" s="668"/>
      <c r="G4526" s="668"/>
      <c r="H4526" s="668"/>
      <c r="I4526" s="668"/>
      <c r="J4526" s="668"/>
      <c r="K4526" s="674"/>
      <c r="L4526" s="668"/>
      <c r="M4526" s="668"/>
    </row>
    <row r="4527" spans="5:13">
      <c r="E4527" s="668"/>
      <c r="F4527" s="668"/>
      <c r="G4527" s="668"/>
      <c r="H4527" s="668"/>
      <c r="I4527" s="668"/>
      <c r="J4527" s="668"/>
      <c r="K4527" s="674"/>
      <c r="L4527" s="668"/>
      <c r="M4527" s="668"/>
    </row>
    <row r="4528" spans="5:13">
      <c r="E4528" s="668"/>
      <c r="F4528" s="668"/>
      <c r="G4528" s="668"/>
      <c r="H4528" s="668"/>
      <c r="I4528" s="668"/>
      <c r="J4528" s="668"/>
      <c r="K4528" s="674"/>
      <c r="L4528" s="668"/>
      <c r="M4528" s="668"/>
    </row>
    <row r="4529" spans="5:13">
      <c r="E4529" s="668"/>
      <c r="F4529" s="668"/>
      <c r="G4529" s="668"/>
      <c r="H4529" s="668"/>
      <c r="I4529" s="668"/>
      <c r="J4529" s="668"/>
      <c r="K4529" s="674"/>
      <c r="L4529" s="668"/>
      <c r="M4529" s="668"/>
    </row>
    <row r="4530" spans="5:13">
      <c r="E4530" s="668"/>
      <c r="F4530" s="668"/>
      <c r="G4530" s="668"/>
      <c r="H4530" s="668"/>
      <c r="I4530" s="668"/>
      <c r="J4530" s="668"/>
      <c r="K4530" s="674"/>
      <c r="L4530" s="668"/>
      <c r="M4530" s="668"/>
    </row>
    <row r="4531" spans="5:13">
      <c r="E4531" s="668"/>
      <c r="F4531" s="668"/>
      <c r="G4531" s="668"/>
      <c r="H4531" s="668"/>
      <c r="I4531" s="668"/>
      <c r="J4531" s="668"/>
      <c r="K4531" s="674"/>
      <c r="L4531" s="668"/>
      <c r="M4531" s="668"/>
    </row>
    <row r="4532" spans="5:13">
      <c r="E4532" s="668"/>
      <c r="F4532" s="668"/>
      <c r="G4532" s="668"/>
      <c r="H4532" s="668"/>
      <c r="I4532" s="668"/>
      <c r="J4532" s="668"/>
      <c r="K4532" s="674"/>
      <c r="L4532" s="668"/>
      <c r="M4532" s="668"/>
    </row>
    <row r="4533" spans="5:13">
      <c r="E4533" s="668"/>
      <c r="F4533" s="668"/>
      <c r="G4533" s="668"/>
      <c r="H4533" s="668"/>
      <c r="I4533" s="668"/>
      <c r="J4533" s="668"/>
      <c r="K4533" s="674"/>
      <c r="L4533" s="668"/>
      <c r="M4533" s="668"/>
    </row>
    <row r="4534" spans="5:13">
      <c r="E4534" s="668"/>
      <c r="F4534" s="668"/>
      <c r="G4534" s="668"/>
      <c r="H4534" s="668"/>
      <c r="I4534" s="668"/>
      <c r="J4534" s="668"/>
      <c r="K4534" s="674"/>
      <c r="L4534" s="668"/>
      <c r="M4534" s="668"/>
    </row>
    <row r="4535" spans="5:13">
      <c r="E4535" s="668"/>
      <c r="F4535" s="668"/>
      <c r="G4535" s="668"/>
      <c r="H4535" s="668"/>
      <c r="I4535" s="668"/>
      <c r="J4535" s="668"/>
      <c r="K4535" s="674"/>
      <c r="L4535" s="668"/>
      <c r="M4535" s="668"/>
    </row>
    <row r="4536" spans="5:13">
      <c r="E4536" s="668"/>
      <c r="F4536" s="668"/>
      <c r="G4536" s="668"/>
      <c r="H4536" s="668"/>
      <c r="I4536" s="668"/>
      <c r="J4536" s="668"/>
      <c r="K4536" s="674"/>
      <c r="L4536" s="668"/>
      <c r="M4536" s="668"/>
    </row>
    <row r="4537" spans="5:13">
      <c r="E4537" s="668"/>
      <c r="F4537" s="668"/>
      <c r="G4537" s="668"/>
      <c r="H4537" s="668"/>
      <c r="I4537" s="668"/>
      <c r="J4537" s="668"/>
      <c r="K4537" s="674"/>
      <c r="L4537" s="668"/>
      <c r="M4537" s="668"/>
    </row>
    <row r="4538" spans="5:13">
      <c r="E4538" s="668"/>
      <c r="F4538" s="668"/>
      <c r="G4538" s="668"/>
      <c r="H4538" s="668"/>
      <c r="I4538" s="668"/>
      <c r="J4538" s="668"/>
      <c r="K4538" s="674"/>
      <c r="L4538" s="668"/>
      <c r="M4538" s="668"/>
    </row>
    <row r="4539" spans="5:13">
      <c r="E4539" s="668"/>
      <c r="F4539" s="668"/>
      <c r="G4539" s="668"/>
      <c r="H4539" s="668"/>
      <c r="I4539" s="668"/>
      <c r="J4539" s="668"/>
      <c r="K4539" s="674"/>
      <c r="L4539" s="668"/>
      <c r="M4539" s="668"/>
    </row>
    <row r="4540" spans="5:13">
      <c r="E4540" s="668"/>
      <c r="F4540" s="668"/>
      <c r="G4540" s="668"/>
      <c r="H4540" s="668"/>
      <c r="I4540" s="668"/>
      <c r="J4540" s="668"/>
      <c r="K4540" s="674"/>
      <c r="L4540" s="668"/>
      <c r="M4540" s="668"/>
    </row>
    <row r="4541" spans="5:13">
      <c r="E4541" s="668"/>
      <c r="F4541" s="668"/>
      <c r="G4541" s="668"/>
      <c r="H4541" s="668"/>
      <c r="I4541" s="668"/>
      <c r="J4541" s="668"/>
      <c r="K4541" s="674"/>
      <c r="L4541" s="668"/>
      <c r="M4541" s="668"/>
    </row>
    <row r="4542" spans="5:13">
      <c r="E4542" s="668"/>
      <c r="F4542" s="668"/>
      <c r="G4542" s="668"/>
      <c r="H4542" s="668"/>
      <c r="I4542" s="668"/>
      <c r="J4542" s="668"/>
      <c r="K4542" s="674"/>
      <c r="L4542" s="668"/>
      <c r="M4542" s="668"/>
    </row>
    <row r="4543" spans="5:13">
      <c r="E4543" s="668"/>
      <c r="F4543" s="668"/>
      <c r="G4543" s="668"/>
      <c r="H4543" s="668"/>
      <c r="I4543" s="668"/>
      <c r="J4543" s="668"/>
      <c r="K4543" s="674"/>
      <c r="L4543" s="668"/>
      <c r="M4543" s="668"/>
    </row>
    <row r="4544" spans="5:13">
      <c r="E4544" s="668"/>
      <c r="F4544" s="668"/>
      <c r="G4544" s="668"/>
      <c r="H4544" s="668"/>
      <c r="I4544" s="668"/>
      <c r="J4544" s="668"/>
      <c r="K4544" s="674"/>
      <c r="L4544" s="668"/>
      <c r="M4544" s="668"/>
    </row>
    <row r="4545" spans="5:13">
      <c r="E4545" s="668"/>
      <c r="F4545" s="668"/>
      <c r="G4545" s="668"/>
      <c r="H4545" s="668"/>
      <c r="I4545" s="668"/>
      <c r="J4545" s="668"/>
      <c r="K4545" s="674"/>
      <c r="L4545" s="668"/>
      <c r="M4545" s="668"/>
    </row>
    <row r="4546" spans="5:13">
      <c r="E4546" s="668"/>
      <c r="F4546" s="668"/>
      <c r="G4546" s="668"/>
      <c r="H4546" s="668"/>
      <c r="I4546" s="668"/>
      <c r="J4546" s="668"/>
      <c r="K4546" s="674"/>
      <c r="L4546" s="668"/>
      <c r="M4546" s="668"/>
    </row>
    <row r="4547" spans="5:13">
      <c r="E4547" s="668"/>
      <c r="F4547" s="668"/>
      <c r="G4547" s="668"/>
      <c r="H4547" s="668"/>
      <c r="I4547" s="668"/>
      <c r="J4547" s="668"/>
      <c r="K4547" s="674"/>
      <c r="L4547" s="668"/>
      <c r="M4547" s="668"/>
    </row>
    <row r="4548" spans="5:13">
      <c r="E4548" s="668"/>
      <c r="F4548" s="668"/>
      <c r="G4548" s="668"/>
      <c r="H4548" s="668"/>
      <c r="I4548" s="668"/>
      <c r="J4548" s="668"/>
      <c r="K4548" s="674"/>
      <c r="L4548" s="668"/>
      <c r="M4548" s="668"/>
    </row>
    <row r="4549" spans="5:13">
      <c r="E4549" s="668"/>
      <c r="F4549" s="668"/>
      <c r="G4549" s="668"/>
      <c r="H4549" s="668"/>
      <c r="I4549" s="668"/>
      <c r="J4549" s="668"/>
      <c r="K4549" s="674"/>
      <c r="L4549" s="668"/>
      <c r="M4549" s="668"/>
    </row>
    <row r="4550" spans="5:13">
      <c r="E4550" s="668"/>
      <c r="F4550" s="668"/>
      <c r="G4550" s="668"/>
      <c r="H4550" s="668"/>
      <c r="I4550" s="668"/>
      <c r="J4550" s="668"/>
      <c r="K4550" s="674"/>
      <c r="L4550" s="668"/>
      <c r="M4550" s="668"/>
    </row>
    <row r="4551" spans="5:13">
      <c r="E4551" s="668"/>
      <c r="F4551" s="668"/>
      <c r="G4551" s="668"/>
      <c r="H4551" s="668"/>
      <c r="I4551" s="668"/>
      <c r="J4551" s="668"/>
      <c r="K4551" s="674"/>
      <c r="L4551" s="668"/>
      <c r="M4551" s="668"/>
    </row>
    <row r="4552" spans="5:13">
      <c r="E4552" s="668"/>
      <c r="F4552" s="668"/>
      <c r="G4552" s="668"/>
      <c r="H4552" s="668"/>
      <c r="I4552" s="668"/>
      <c r="J4552" s="668"/>
      <c r="K4552" s="674"/>
      <c r="L4552" s="668"/>
      <c r="M4552" s="668"/>
    </row>
    <row r="4553" spans="5:13">
      <c r="E4553" s="668"/>
      <c r="F4553" s="668"/>
      <c r="G4553" s="668"/>
      <c r="H4553" s="668"/>
      <c r="I4553" s="668"/>
      <c r="J4553" s="668"/>
      <c r="K4553" s="674"/>
      <c r="L4553" s="668"/>
      <c r="M4553" s="668"/>
    </row>
    <row r="4554" spans="5:13">
      <c r="E4554" s="668"/>
      <c r="F4554" s="668"/>
      <c r="G4554" s="668"/>
      <c r="H4554" s="668"/>
      <c r="I4554" s="668"/>
      <c r="J4554" s="668"/>
      <c r="K4554" s="674"/>
      <c r="L4554" s="668"/>
      <c r="M4554" s="668"/>
    </row>
    <row r="4555" spans="5:13">
      <c r="E4555" s="668"/>
      <c r="F4555" s="668"/>
      <c r="G4555" s="668"/>
      <c r="H4555" s="668"/>
      <c r="I4555" s="668"/>
      <c r="J4555" s="668"/>
      <c r="K4555" s="674"/>
      <c r="L4555" s="668"/>
      <c r="M4555" s="668"/>
    </row>
    <row r="4556" spans="5:13">
      <c r="E4556" s="668"/>
      <c r="F4556" s="668"/>
      <c r="G4556" s="668"/>
      <c r="H4556" s="668"/>
      <c r="I4556" s="668"/>
      <c r="J4556" s="668"/>
      <c r="K4556" s="674"/>
      <c r="L4556" s="668"/>
      <c r="M4556" s="668"/>
    </row>
    <row r="4557" spans="5:13">
      <c r="E4557" s="668"/>
      <c r="F4557" s="668"/>
      <c r="G4557" s="668"/>
      <c r="H4557" s="668"/>
      <c r="I4557" s="668"/>
      <c r="J4557" s="668"/>
      <c r="K4557" s="674"/>
      <c r="L4557" s="668"/>
      <c r="M4557" s="668"/>
    </row>
    <row r="4558" spans="5:13">
      <c r="E4558" s="668"/>
      <c r="F4558" s="668"/>
      <c r="G4558" s="668"/>
      <c r="H4558" s="668"/>
      <c r="I4558" s="668"/>
      <c r="J4558" s="668"/>
      <c r="K4558" s="674"/>
      <c r="L4558" s="668"/>
      <c r="M4558" s="668"/>
    </row>
    <row r="4559" spans="5:13">
      <c r="E4559" s="668"/>
      <c r="F4559" s="668"/>
      <c r="G4559" s="668"/>
      <c r="H4559" s="668"/>
      <c r="I4559" s="668"/>
      <c r="J4559" s="668"/>
      <c r="K4559" s="674"/>
      <c r="L4559" s="668"/>
      <c r="M4559" s="668"/>
    </row>
    <row r="4560" spans="5:13">
      <c r="E4560" s="668"/>
      <c r="F4560" s="668"/>
      <c r="G4560" s="668"/>
      <c r="H4560" s="668"/>
      <c r="I4560" s="668"/>
      <c r="J4560" s="668"/>
      <c r="K4560" s="674"/>
      <c r="L4560" s="668"/>
      <c r="M4560" s="668"/>
    </row>
    <row r="4561" spans="5:13">
      <c r="E4561" s="668"/>
      <c r="F4561" s="668"/>
      <c r="G4561" s="668"/>
      <c r="H4561" s="668"/>
      <c r="I4561" s="668"/>
      <c r="J4561" s="668"/>
      <c r="K4561" s="674"/>
      <c r="L4561" s="668"/>
      <c r="M4561" s="668"/>
    </row>
    <row r="4562" spans="5:13">
      <c r="E4562" s="668"/>
      <c r="F4562" s="668"/>
      <c r="G4562" s="668"/>
      <c r="H4562" s="668"/>
      <c r="I4562" s="668"/>
      <c r="J4562" s="668"/>
      <c r="K4562" s="674"/>
      <c r="L4562" s="668"/>
      <c r="M4562" s="668"/>
    </row>
    <row r="4563" spans="5:13">
      <c r="E4563" s="668"/>
      <c r="F4563" s="668"/>
      <c r="G4563" s="668"/>
      <c r="H4563" s="668"/>
      <c r="I4563" s="668"/>
      <c r="J4563" s="668"/>
      <c r="K4563" s="674"/>
      <c r="L4563" s="668"/>
      <c r="M4563" s="668"/>
    </row>
    <row r="4564" spans="5:13">
      <c r="E4564" s="668"/>
      <c r="F4564" s="668"/>
      <c r="G4564" s="668"/>
      <c r="H4564" s="668"/>
      <c r="I4564" s="668"/>
      <c r="J4564" s="668"/>
      <c r="K4564" s="674"/>
      <c r="L4564" s="668"/>
      <c r="M4564" s="668"/>
    </row>
    <row r="4565" spans="5:13">
      <c r="E4565" s="668"/>
      <c r="F4565" s="668"/>
      <c r="G4565" s="668"/>
      <c r="H4565" s="668"/>
      <c r="I4565" s="668"/>
      <c r="J4565" s="668"/>
      <c r="K4565" s="674"/>
      <c r="L4565" s="668"/>
      <c r="M4565" s="668"/>
    </row>
    <row r="4566" spans="5:13">
      <c r="E4566" s="668"/>
      <c r="F4566" s="668"/>
      <c r="G4566" s="668"/>
      <c r="H4566" s="668"/>
      <c r="I4566" s="668"/>
      <c r="J4566" s="668"/>
      <c r="K4566" s="674"/>
      <c r="L4566" s="668"/>
      <c r="M4566" s="668"/>
    </row>
    <row r="4567" spans="5:13">
      <c r="E4567" s="668"/>
      <c r="F4567" s="668"/>
      <c r="G4567" s="668"/>
      <c r="H4567" s="668"/>
      <c r="I4567" s="668"/>
      <c r="J4567" s="668"/>
      <c r="K4567" s="674"/>
      <c r="L4567" s="668"/>
      <c r="M4567" s="668"/>
    </row>
    <row r="4568" spans="5:13">
      <c r="E4568" s="668"/>
      <c r="F4568" s="668"/>
      <c r="G4568" s="668"/>
      <c r="H4568" s="668"/>
      <c r="I4568" s="668"/>
      <c r="J4568" s="668"/>
      <c r="K4568" s="674"/>
      <c r="L4568" s="668"/>
      <c r="M4568" s="668"/>
    </row>
    <row r="4569" spans="5:13">
      <c r="E4569" s="668"/>
      <c r="F4569" s="668"/>
      <c r="G4569" s="668"/>
      <c r="H4569" s="668"/>
      <c r="I4569" s="668"/>
      <c r="J4569" s="668"/>
      <c r="K4569" s="674"/>
      <c r="L4569" s="668"/>
      <c r="M4569" s="668"/>
    </row>
    <row r="4570" spans="5:13">
      <c r="E4570" s="668"/>
      <c r="F4570" s="668"/>
      <c r="G4570" s="668"/>
      <c r="H4570" s="668"/>
      <c r="I4570" s="668"/>
      <c r="J4570" s="668"/>
      <c r="K4570" s="674"/>
      <c r="L4570" s="668"/>
      <c r="M4570" s="668"/>
    </row>
    <row r="4571" spans="5:13">
      <c r="E4571" s="668"/>
      <c r="F4571" s="668"/>
      <c r="G4571" s="668"/>
      <c r="H4571" s="668"/>
      <c r="I4571" s="668"/>
      <c r="J4571" s="668"/>
      <c r="K4571" s="674"/>
      <c r="L4571" s="668"/>
      <c r="M4571" s="668"/>
    </row>
    <row r="4572" spans="5:13">
      <c r="E4572" s="668"/>
      <c r="F4572" s="668"/>
      <c r="G4572" s="668"/>
      <c r="H4572" s="668"/>
      <c r="I4572" s="668"/>
      <c r="J4572" s="668"/>
      <c r="K4572" s="674"/>
      <c r="L4572" s="668"/>
      <c r="M4572" s="668"/>
    </row>
    <row r="4573" spans="5:13">
      <c r="E4573" s="668"/>
      <c r="F4573" s="668"/>
      <c r="G4573" s="668"/>
      <c r="H4573" s="668"/>
      <c r="I4573" s="668"/>
      <c r="J4573" s="668"/>
      <c r="K4573" s="674"/>
      <c r="L4573" s="668"/>
      <c r="M4573" s="668"/>
    </row>
    <row r="4574" spans="5:13">
      <c r="E4574" s="668"/>
      <c r="F4574" s="668"/>
      <c r="G4574" s="668"/>
      <c r="H4574" s="668"/>
      <c r="I4574" s="668"/>
      <c r="J4574" s="668"/>
      <c r="K4574" s="674"/>
      <c r="L4574" s="668"/>
      <c r="M4574" s="668"/>
    </row>
    <row r="4575" spans="5:13">
      <c r="E4575" s="668"/>
      <c r="F4575" s="668"/>
      <c r="G4575" s="668"/>
      <c r="H4575" s="668"/>
      <c r="I4575" s="668"/>
      <c r="J4575" s="668"/>
      <c r="K4575" s="674"/>
      <c r="L4575" s="668"/>
      <c r="M4575" s="668"/>
    </row>
    <row r="4576" spans="5:13">
      <c r="E4576" s="668"/>
      <c r="F4576" s="668"/>
      <c r="G4576" s="668"/>
      <c r="H4576" s="668"/>
      <c r="I4576" s="668"/>
      <c r="J4576" s="668"/>
      <c r="K4576" s="674"/>
      <c r="L4576" s="668"/>
      <c r="M4576" s="668"/>
    </row>
    <row r="4577" spans="5:13">
      <c r="E4577" s="668"/>
      <c r="F4577" s="668"/>
      <c r="G4577" s="668"/>
      <c r="H4577" s="668"/>
      <c r="I4577" s="668"/>
      <c r="J4577" s="668"/>
      <c r="K4577" s="674"/>
      <c r="L4577" s="668"/>
      <c r="M4577" s="668"/>
    </row>
    <row r="4578" spans="5:13">
      <c r="E4578" s="668"/>
      <c r="F4578" s="668"/>
      <c r="G4578" s="668"/>
      <c r="H4578" s="668"/>
      <c r="I4578" s="668"/>
      <c r="J4578" s="668"/>
      <c r="K4578" s="674"/>
      <c r="L4578" s="668"/>
      <c r="M4578" s="668"/>
    </row>
    <row r="4579" spans="5:13">
      <c r="E4579" s="668"/>
      <c r="F4579" s="668"/>
      <c r="G4579" s="668"/>
      <c r="H4579" s="668"/>
      <c r="I4579" s="668"/>
      <c r="J4579" s="668"/>
      <c r="K4579" s="674"/>
      <c r="L4579" s="668"/>
      <c r="M4579" s="668"/>
    </row>
    <row r="4580" spans="5:13">
      <c r="E4580" s="668"/>
      <c r="F4580" s="668"/>
      <c r="G4580" s="668"/>
      <c r="H4580" s="668"/>
      <c r="I4580" s="668"/>
      <c r="J4580" s="668"/>
      <c r="K4580" s="674"/>
      <c r="L4580" s="668"/>
      <c r="M4580" s="668"/>
    </row>
    <row r="4581" spans="5:13">
      <c r="E4581" s="668"/>
      <c r="F4581" s="668"/>
      <c r="G4581" s="668"/>
      <c r="H4581" s="668"/>
      <c r="I4581" s="668"/>
      <c r="J4581" s="668"/>
      <c r="K4581" s="674"/>
      <c r="L4581" s="668"/>
      <c r="M4581" s="668"/>
    </row>
    <row r="4582" spans="5:13">
      <c r="E4582" s="668"/>
      <c r="F4582" s="668"/>
      <c r="G4582" s="668"/>
      <c r="H4582" s="668"/>
      <c r="I4582" s="668"/>
      <c r="J4582" s="668"/>
      <c r="K4582" s="674"/>
      <c r="L4582" s="668"/>
      <c r="M4582" s="668"/>
    </row>
    <row r="4583" spans="5:13">
      <c r="E4583" s="668"/>
      <c r="F4583" s="668"/>
      <c r="G4583" s="668"/>
      <c r="H4583" s="668"/>
      <c r="I4583" s="668"/>
      <c r="J4583" s="668"/>
      <c r="K4583" s="674"/>
      <c r="L4583" s="668"/>
      <c r="M4583" s="668"/>
    </row>
    <row r="4584" spans="5:13">
      <c r="E4584" s="668"/>
      <c r="F4584" s="668"/>
      <c r="G4584" s="668"/>
      <c r="H4584" s="668"/>
      <c r="I4584" s="668"/>
      <c r="J4584" s="668"/>
      <c r="K4584" s="674"/>
      <c r="L4584" s="668"/>
      <c r="M4584" s="668"/>
    </row>
    <row r="4585" spans="5:13">
      <c r="E4585" s="668"/>
      <c r="F4585" s="668"/>
      <c r="G4585" s="668"/>
      <c r="H4585" s="668"/>
      <c r="I4585" s="668"/>
      <c r="J4585" s="668"/>
      <c r="K4585" s="674"/>
      <c r="L4585" s="668"/>
      <c r="M4585" s="668"/>
    </row>
    <row r="4586" spans="5:13">
      <c r="E4586" s="668"/>
      <c r="F4586" s="668"/>
      <c r="G4586" s="668"/>
      <c r="H4586" s="668"/>
      <c r="I4586" s="668"/>
      <c r="J4586" s="668"/>
      <c r="K4586" s="674"/>
      <c r="L4586" s="668"/>
      <c r="M4586" s="668"/>
    </row>
    <row r="4587" spans="5:13">
      <c r="E4587" s="668"/>
      <c r="F4587" s="668"/>
      <c r="G4587" s="668"/>
      <c r="H4587" s="668"/>
      <c r="I4587" s="668"/>
      <c r="J4587" s="668"/>
      <c r="K4587" s="674"/>
      <c r="L4587" s="668"/>
      <c r="M4587" s="668"/>
    </row>
    <row r="4588" spans="5:13">
      <c r="E4588" s="668"/>
      <c r="F4588" s="668"/>
      <c r="G4588" s="668"/>
      <c r="H4588" s="668"/>
      <c r="I4588" s="668"/>
      <c r="J4588" s="668"/>
      <c r="K4588" s="674"/>
      <c r="L4588" s="668"/>
      <c r="M4588" s="668"/>
    </row>
    <row r="4589" spans="5:13">
      <c r="E4589" s="668"/>
      <c r="F4589" s="668"/>
      <c r="G4589" s="668"/>
      <c r="H4589" s="668"/>
      <c r="I4589" s="668"/>
      <c r="J4589" s="668"/>
      <c r="K4589" s="674"/>
      <c r="L4589" s="668"/>
      <c r="M4589" s="668"/>
    </row>
    <row r="4590" spans="5:13">
      <c r="E4590" s="668"/>
      <c r="F4590" s="668"/>
      <c r="G4590" s="668"/>
      <c r="H4590" s="668"/>
      <c r="I4590" s="668"/>
      <c r="J4590" s="668"/>
      <c r="K4590" s="674"/>
      <c r="L4590" s="668"/>
      <c r="M4590" s="668"/>
    </row>
    <row r="4591" spans="5:13">
      <c r="E4591" s="668"/>
      <c r="F4591" s="668"/>
      <c r="G4591" s="668"/>
      <c r="H4591" s="668"/>
      <c r="I4591" s="668"/>
      <c r="J4591" s="668"/>
      <c r="K4591" s="674"/>
      <c r="L4591" s="668"/>
      <c r="M4591" s="668"/>
    </row>
    <row r="4592" spans="5:13">
      <c r="E4592" s="668"/>
      <c r="F4592" s="668"/>
      <c r="G4592" s="668"/>
      <c r="H4592" s="668"/>
      <c r="I4592" s="668"/>
      <c r="J4592" s="668"/>
      <c r="K4592" s="674"/>
      <c r="L4592" s="668"/>
      <c r="M4592" s="668"/>
    </row>
    <row r="4593" spans="5:13">
      <c r="E4593" s="668"/>
      <c r="F4593" s="668"/>
      <c r="G4593" s="668"/>
      <c r="H4593" s="668"/>
      <c r="I4593" s="668"/>
      <c r="J4593" s="668"/>
      <c r="K4593" s="674"/>
      <c r="L4593" s="668"/>
      <c r="M4593" s="668"/>
    </row>
    <row r="4594" spans="5:13">
      <c r="E4594" s="668"/>
      <c r="F4594" s="668"/>
      <c r="G4594" s="668"/>
      <c r="H4594" s="668"/>
      <c r="I4594" s="668"/>
      <c r="J4594" s="668"/>
      <c r="K4594" s="674"/>
      <c r="L4594" s="668"/>
      <c r="M4594" s="668"/>
    </row>
    <row r="4595" spans="5:13">
      <c r="E4595" s="668"/>
      <c r="F4595" s="668"/>
      <c r="G4595" s="668"/>
      <c r="H4595" s="668"/>
      <c r="I4595" s="668"/>
      <c r="J4595" s="668"/>
      <c r="K4595" s="674"/>
      <c r="L4595" s="668"/>
      <c r="M4595" s="668"/>
    </row>
    <row r="4596" spans="5:13">
      <c r="E4596" s="668"/>
      <c r="F4596" s="668"/>
      <c r="G4596" s="668"/>
      <c r="H4596" s="668"/>
      <c r="I4596" s="668"/>
      <c r="J4596" s="668"/>
      <c r="K4596" s="674"/>
      <c r="L4596" s="668"/>
      <c r="M4596" s="668"/>
    </row>
    <row r="4597" spans="5:13">
      <c r="E4597" s="668"/>
      <c r="F4597" s="668"/>
      <c r="G4597" s="668"/>
      <c r="H4597" s="668"/>
      <c r="I4597" s="668"/>
      <c r="J4597" s="668"/>
      <c r="K4597" s="674"/>
      <c r="L4597" s="668"/>
      <c r="M4597" s="668"/>
    </row>
    <row r="4598" spans="5:13">
      <c r="E4598" s="668"/>
      <c r="F4598" s="668"/>
      <c r="G4598" s="668"/>
      <c r="H4598" s="668"/>
      <c r="I4598" s="668"/>
      <c r="J4598" s="668"/>
      <c r="K4598" s="674"/>
      <c r="L4598" s="668"/>
      <c r="M4598" s="668"/>
    </row>
    <row r="4599" spans="5:13">
      <c r="E4599" s="668"/>
      <c r="F4599" s="668"/>
      <c r="G4599" s="668"/>
      <c r="H4599" s="668"/>
      <c r="I4599" s="668"/>
      <c r="J4599" s="668"/>
      <c r="K4599" s="674"/>
      <c r="L4599" s="668"/>
      <c r="M4599" s="668"/>
    </row>
    <row r="4600" spans="5:13">
      <c r="E4600" s="668"/>
      <c r="F4600" s="668"/>
      <c r="G4600" s="668"/>
      <c r="H4600" s="668"/>
      <c r="I4600" s="668"/>
      <c r="J4600" s="668"/>
      <c r="K4600" s="674"/>
      <c r="L4600" s="668"/>
      <c r="M4600" s="668"/>
    </row>
    <row r="4601" spans="5:13">
      <c r="E4601" s="668"/>
      <c r="F4601" s="668"/>
      <c r="G4601" s="668"/>
      <c r="H4601" s="668"/>
      <c r="I4601" s="668"/>
      <c r="J4601" s="668"/>
      <c r="K4601" s="674"/>
      <c r="L4601" s="668"/>
      <c r="M4601" s="668"/>
    </row>
    <row r="4602" spans="5:13">
      <c r="E4602" s="668"/>
      <c r="F4602" s="668"/>
      <c r="G4602" s="668"/>
      <c r="H4602" s="668"/>
      <c r="I4602" s="668"/>
      <c r="J4602" s="668"/>
      <c r="K4602" s="674"/>
      <c r="L4602" s="668"/>
      <c r="M4602" s="668"/>
    </row>
    <row r="4603" spans="5:13">
      <c r="E4603" s="668"/>
      <c r="F4603" s="668"/>
      <c r="G4603" s="668"/>
      <c r="H4603" s="668"/>
      <c r="I4603" s="668"/>
      <c r="J4603" s="668"/>
      <c r="K4603" s="674"/>
      <c r="L4603" s="668"/>
      <c r="M4603" s="668"/>
    </row>
    <row r="4604" spans="5:13">
      <c r="E4604" s="668"/>
      <c r="F4604" s="668"/>
      <c r="G4604" s="668"/>
      <c r="H4604" s="668"/>
      <c r="I4604" s="668"/>
      <c r="J4604" s="668"/>
      <c r="K4604" s="674"/>
      <c r="L4604" s="668"/>
      <c r="M4604" s="668"/>
    </row>
    <row r="4605" spans="5:13">
      <c r="E4605" s="668"/>
      <c r="F4605" s="668"/>
      <c r="G4605" s="668"/>
      <c r="H4605" s="668"/>
      <c r="I4605" s="668"/>
      <c r="J4605" s="668"/>
      <c r="K4605" s="674"/>
      <c r="L4605" s="668"/>
      <c r="M4605" s="668"/>
    </row>
    <row r="4606" spans="5:13">
      <c r="E4606" s="668"/>
      <c r="F4606" s="668"/>
      <c r="G4606" s="668"/>
      <c r="H4606" s="668"/>
      <c r="I4606" s="668"/>
      <c r="J4606" s="668"/>
      <c r="K4606" s="674"/>
      <c r="L4606" s="668"/>
      <c r="M4606" s="668"/>
    </row>
    <row r="4607" spans="5:13">
      <c r="E4607" s="668"/>
      <c r="F4607" s="668"/>
      <c r="G4607" s="668"/>
      <c r="H4607" s="668"/>
      <c r="I4607" s="668"/>
      <c r="J4607" s="668"/>
      <c r="K4607" s="674"/>
      <c r="L4607" s="668"/>
      <c r="M4607" s="668"/>
    </row>
    <row r="4608" spans="5:13">
      <c r="E4608" s="668"/>
      <c r="F4608" s="668"/>
      <c r="G4608" s="668"/>
      <c r="H4608" s="668"/>
      <c r="I4608" s="668"/>
      <c r="J4608" s="668"/>
      <c r="K4608" s="674"/>
      <c r="L4608" s="668"/>
      <c r="M4608" s="668"/>
    </row>
    <row r="4609" spans="5:13">
      <c r="E4609" s="668"/>
      <c r="F4609" s="668"/>
      <c r="G4609" s="668"/>
      <c r="H4609" s="668"/>
      <c r="I4609" s="668"/>
      <c r="J4609" s="668"/>
      <c r="K4609" s="674"/>
      <c r="L4609" s="668"/>
      <c r="M4609" s="668"/>
    </row>
    <row r="4610" spans="5:13">
      <c r="E4610" s="668"/>
      <c r="F4610" s="668"/>
      <c r="G4610" s="668"/>
      <c r="H4610" s="668"/>
      <c r="I4610" s="668"/>
      <c r="J4610" s="668"/>
      <c r="K4610" s="674"/>
      <c r="L4610" s="668"/>
      <c r="M4610" s="668"/>
    </row>
    <row r="4611" spans="5:13">
      <c r="E4611" s="668"/>
      <c r="F4611" s="668"/>
      <c r="G4611" s="668"/>
      <c r="H4611" s="668"/>
      <c r="I4611" s="668"/>
      <c r="J4611" s="668"/>
      <c r="K4611" s="674"/>
      <c r="L4611" s="668"/>
      <c r="M4611" s="668"/>
    </row>
    <row r="4612" spans="5:13">
      <c r="E4612" s="668"/>
      <c r="F4612" s="668"/>
      <c r="G4612" s="668"/>
      <c r="H4612" s="668"/>
      <c r="I4612" s="668"/>
      <c r="J4612" s="668"/>
      <c r="K4612" s="674"/>
      <c r="L4612" s="668"/>
      <c r="M4612" s="668"/>
    </row>
    <row r="4613" spans="5:13">
      <c r="E4613" s="668"/>
      <c r="F4613" s="668"/>
      <c r="G4613" s="668"/>
      <c r="H4613" s="668"/>
      <c r="I4613" s="668"/>
      <c r="J4613" s="668"/>
      <c r="K4613" s="674"/>
      <c r="L4613" s="668"/>
      <c r="M4613" s="668"/>
    </row>
    <row r="4614" spans="5:13">
      <c r="E4614" s="668"/>
      <c r="F4614" s="668"/>
      <c r="G4614" s="668"/>
      <c r="H4614" s="668"/>
      <c r="I4614" s="668"/>
      <c r="J4614" s="668"/>
      <c r="K4614" s="674"/>
      <c r="L4614" s="668"/>
      <c r="M4614" s="668"/>
    </row>
    <row r="4615" spans="5:13">
      <c r="E4615" s="668"/>
      <c r="F4615" s="668"/>
      <c r="G4615" s="668"/>
      <c r="H4615" s="668"/>
      <c r="I4615" s="668"/>
      <c r="J4615" s="668"/>
      <c r="K4615" s="674"/>
      <c r="L4615" s="668"/>
      <c r="M4615" s="668"/>
    </row>
    <row r="4616" spans="5:13">
      <c r="E4616" s="668"/>
      <c r="F4616" s="668"/>
      <c r="G4616" s="668"/>
      <c r="H4616" s="668"/>
      <c r="I4616" s="668"/>
      <c r="J4616" s="668"/>
      <c r="K4616" s="674"/>
      <c r="L4616" s="668"/>
      <c r="M4616" s="668"/>
    </row>
    <row r="4617" spans="5:13">
      <c r="E4617" s="668"/>
      <c r="F4617" s="668"/>
      <c r="G4617" s="668"/>
      <c r="H4617" s="668"/>
      <c r="I4617" s="668"/>
      <c r="J4617" s="668"/>
      <c r="K4617" s="674"/>
      <c r="L4617" s="668"/>
      <c r="M4617" s="668"/>
    </row>
    <row r="4618" spans="5:13">
      <c r="E4618" s="668"/>
      <c r="F4618" s="668"/>
      <c r="G4618" s="668"/>
      <c r="H4618" s="668"/>
      <c r="I4618" s="668"/>
      <c r="J4618" s="668"/>
      <c r="K4618" s="674"/>
      <c r="L4618" s="668"/>
      <c r="M4618" s="668"/>
    </row>
    <row r="4619" spans="5:13">
      <c r="E4619" s="668"/>
      <c r="F4619" s="668"/>
      <c r="G4619" s="668"/>
      <c r="H4619" s="668"/>
      <c r="I4619" s="668"/>
      <c r="J4619" s="668"/>
      <c r="K4619" s="674"/>
      <c r="L4619" s="668"/>
      <c r="M4619" s="668"/>
    </row>
    <row r="4620" spans="5:13">
      <c r="E4620" s="668"/>
      <c r="F4620" s="668"/>
      <c r="G4620" s="668"/>
      <c r="H4620" s="668"/>
      <c r="I4620" s="668"/>
      <c r="J4620" s="668"/>
      <c r="K4620" s="674"/>
      <c r="L4620" s="668"/>
      <c r="M4620" s="668"/>
    </row>
    <row r="4621" spans="5:13">
      <c r="E4621" s="668"/>
      <c r="F4621" s="668"/>
      <c r="G4621" s="668"/>
      <c r="H4621" s="668"/>
      <c r="I4621" s="668"/>
      <c r="J4621" s="668"/>
      <c r="K4621" s="674"/>
      <c r="L4621" s="668"/>
      <c r="M4621" s="668"/>
    </row>
    <row r="4622" spans="5:13">
      <c r="E4622" s="668"/>
      <c r="F4622" s="668"/>
      <c r="G4622" s="668"/>
      <c r="H4622" s="668"/>
      <c r="I4622" s="668"/>
      <c r="J4622" s="668"/>
      <c r="K4622" s="674"/>
      <c r="L4622" s="668"/>
      <c r="M4622" s="668"/>
    </row>
    <row r="4623" spans="5:13">
      <c r="E4623" s="668"/>
      <c r="F4623" s="668"/>
      <c r="G4623" s="668"/>
      <c r="H4623" s="668"/>
      <c r="I4623" s="668"/>
      <c r="J4623" s="668"/>
      <c r="K4623" s="674"/>
      <c r="L4623" s="668"/>
      <c r="M4623" s="668"/>
    </row>
    <row r="4624" spans="5:13">
      <c r="E4624" s="668"/>
      <c r="F4624" s="668"/>
      <c r="G4624" s="668"/>
      <c r="H4624" s="668"/>
      <c r="I4624" s="668"/>
      <c r="J4624" s="668"/>
      <c r="K4624" s="674"/>
      <c r="L4624" s="668"/>
      <c r="M4624" s="668"/>
    </row>
    <row r="4625" spans="5:13">
      <c r="E4625" s="668"/>
      <c r="F4625" s="668"/>
      <c r="G4625" s="668"/>
      <c r="H4625" s="668"/>
      <c r="I4625" s="668"/>
      <c r="J4625" s="668"/>
      <c r="K4625" s="674"/>
      <c r="L4625" s="668"/>
      <c r="M4625" s="668"/>
    </row>
    <row r="4626" spans="5:13">
      <c r="E4626" s="668"/>
      <c r="F4626" s="668"/>
      <c r="G4626" s="668"/>
      <c r="H4626" s="668"/>
      <c r="I4626" s="668"/>
      <c r="J4626" s="668"/>
      <c r="K4626" s="674"/>
      <c r="L4626" s="668"/>
      <c r="M4626" s="668"/>
    </row>
    <row r="4627" spans="5:13">
      <c r="E4627" s="668"/>
      <c r="F4627" s="668"/>
      <c r="G4627" s="668"/>
      <c r="H4627" s="668"/>
      <c r="I4627" s="668"/>
      <c r="J4627" s="668"/>
      <c r="K4627" s="674"/>
      <c r="L4627" s="668"/>
      <c r="M4627" s="668"/>
    </row>
    <row r="4628" spans="5:13">
      <c r="E4628" s="668"/>
      <c r="F4628" s="668"/>
      <c r="G4628" s="668"/>
      <c r="H4628" s="668"/>
      <c r="I4628" s="668"/>
      <c r="J4628" s="668"/>
      <c r="K4628" s="674"/>
      <c r="L4628" s="668"/>
      <c r="M4628" s="668"/>
    </row>
    <row r="4629" spans="5:13">
      <c r="E4629" s="668"/>
      <c r="F4629" s="668"/>
      <c r="G4629" s="668"/>
      <c r="H4629" s="668"/>
      <c r="I4629" s="668"/>
      <c r="J4629" s="668"/>
      <c r="K4629" s="674"/>
      <c r="L4629" s="668"/>
      <c r="M4629" s="668"/>
    </row>
    <row r="4630" spans="5:13">
      <c r="E4630" s="668"/>
      <c r="F4630" s="668"/>
      <c r="G4630" s="668"/>
      <c r="H4630" s="668"/>
      <c r="I4630" s="668"/>
      <c r="J4630" s="668"/>
      <c r="K4630" s="674"/>
      <c r="L4630" s="668"/>
      <c r="M4630" s="668"/>
    </row>
    <row r="4631" spans="5:13">
      <c r="E4631" s="668"/>
      <c r="F4631" s="668"/>
      <c r="G4631" s="668"/>
      <c r="H4631" s="668"/>
      <c r="I4631" s="668"/>
      <c r="J4631" s="668"/>
      <c r="K4631" s="674"/>
      <c r="L4631" s="668"/>
      <c r="M4631" s="668"/>
    </row>
    <row r="4632" spans="5:13">
      <c r="E4632" s="668"/>
      <c r="F4632" s="668"/>
      <c r="G4632" s="668"/>
      <c r="H4632" s="668"/>
      <c r="I4632" s="668"/>
      <c r="J4632" s="668"/>
      <c r="K4632" s="674"/>
      <c r="L4632" s="668"/>
      <c r="M4632" s="668"/>
    </row>
    <row r="4633" spans="5:13">
      <c r="E4633" s="668"/>
      <c r="F4633" s="668"/>
      <c r="G4633" s="668"/>
      <c r="H4633" s="668"/>
      <c r="I4633" s="668"/>
      <c r="J4633" s="668"/>
      <c r="K4633" s="674"/>
      <c r="L4633" s="668"/>
      <c r="M4633" s="668"/>
    </row>
    <row r="4634" spans="5:13">
      <c r="E4634" s="668"/>
      <c r="F4634" s="668"/>
      <c r="G4634" s="668"/>
      <c r="H4634" s="668"/>
      <c r="I4634" s="668"/>
      <c r="J4634" s="668"/>
      <c r="K4634" s="674"/>
      <c r="L4634" s="668"/>
      <c r="M4634" s="668"/>
    </row>
    <row r="4635" spans="5:13">
      <c r="E4635" s="668"/>
      <c r="F4635" s="668"/>
      <c r="G4635" s="668"/>
      <c r="H4635" s="668"/>
      <c r="I4635" s="668"/>
      <c r="J4635" s="668"/>
      <c r="K4635" s="674"/>
      <c r="L4635" s="668"/>
      <c r="M4635" s="668"/>
    </row>
    <row r="4636" spans="5:13">
      <c r="E4636" s="668"/>
      <c r="F4636" s="668"/>
      <c r="G4636" s="668"/>
      <c r="H4636" s="668"/>
      <c r="I4636" s="668"/>
      <c r="J4636" s="668"/>
      <c r="K4636" s="674"/>
      <c r="L4636" s="668"/>
      <c r="M4636" s="668"/>
    </row>
    <row r="4637" spans="5:13">
      <c r="E4637" s="668"/>
      <c r="F4637" s="668"/>
      <c r="G4637" s="668"/>
      <c r="H4637" s="668"/>
      <c r="I4637" s="668"/>
      <c r="J4637" s="668"/>
      <c r="K4637" s="674"/>
      <c r="L4637" s="668"/>
      <c r="M4637" s="668"/>
    </row>
    <row r="4638" spans="5:13">
      <c r="E4638" s="668"/>
      <c r="F4638" s="668"/>
      <c r="G4638" s="668"/>
      <c r="H4638" s="668"/>
      <c r="I4638" s="668"/>
      <c r="J4638" s="668"/>
      <c r="K4638" s="674"/>
      <c r="L4638" s="668"/>
      <c r="M4638" s="668"/>
    </row>
    <row r="4639" spans="5:13">
      <c r="E4639" s="668"/>
      <c r="F4639" s="668"/>
      <c r="G4639" s="668"/>
      <c r="H4639" s="668"/>
      <c r="I4639" s="668"/>
      <c r="J4639" s="668"/>
      <c r="K4639" s="674"/>
      <c r="L4639" s="668"/>
      <c r="M4639" s="668"/>
    </row>
    <row r="4640" spans="5:13">
      <c r="E4640" s="668"/>
      <c r="F4640" s="668"/>
      <c r="G4640" s="668"/>
      <c r="H4640" s="668"/>
      <c r="I4640" s="668"/>
      <c r="J4640" s="668"/>
      <c r="K4640" s="674"/>
      <c r="L4640" s="668"/>
      <c r="M4640" s="668"/>
    </row>
    <row r="4641" spans="5:13">
      <c r="E4641" s="668"/>
      <c r="F4641" s="668"/>
      <c r="G4641" s="668"/>
      <c r="H4641" s="668"/>
      <c r="I4641" s="668"/>
      <c r="J4641" s="668"/>
      <c r="K4641" s="674"/>
      <c r="L4641" s="668"/>
      <c r="M4641" s="668"/>
    </row>
    <row r="4642" spans="5:13">
      <c r="E4642" s="668"/>
      <c r="F4642" s="668"/>
      <c r="G4642" s="668"/>
      <c r="H4642" s="668"/>
      <c r="I4642" s="668"/>
      <c r="J4642" s="668"/>
      <c r="K4642" s="674"/>
      <c r="L4642" s="668"/>
      <c r="M4642" s="668"/>
    </row>
    <row r="4643" spans="5:13">
      <c r="E4643" s="668"/>
      <c r="F4643" s="668"/>
      <c r="G4643" s="668"/>
      <c r="H4643" s="668"/>
      <c r="I4643" s="668"/>
      <c r="J4643" s="668"/>
      <c r="K4643" s="674"/>
      <c r="L4643" s="668"/>
      <c r="M4643" s="668"/>
    </row>
    <row r="4644" spans="5:13">
      <c r="E4644" s="668"/>
      <c r="F4644" s="668"/>
      <c r="G4644" s="668"/>
      <c r="H4644" s="668"/>
      <c r="I4644" s="668"/>
      <c r="J4644" s="668"/>
      <c r="K4644" s="674"/>
      <c r="L4644" s="668"/>
      <c r="M4644" s="668"/>
    </row>
    <row r="4645" spans="5:13">
      <c r="E4645" s="668"/>
      <c r="F4645" s="668"/>
      <c r="G4645" s="668"/>
      <c r="H4645" s="668"/>
      <c r="I4645" s="668"/>
      <c r="J4645" s="668"/>
      <c r="K4645" s="674"/>
      <c r="L4645" s="668"/>
      <c r="M4645" s="668"/>
    </row>
    <row r="4646" spans="5:13">
      <c r="E4646" s="668"/>
      <c r="F4646" s="668"/>
      <c r="G4646" s="668"/>
      <c r="H4646" s="668"/>
      <c r="I4646" s="668"/>
      <c r="J4646" s="668"/>
      <c r="K4646" s="674"/>
      <c r="L4646" s="668"/>
      <c r="M4646" s="668"/>
    </row>
    <row r="4647" spans="5:13">
      <c r="E4647" s="668"/>
      <c r="F4647" s="668"/>
      <c r="G4647" s="668"/>
      <c r="H4647" s="668"/>
      <c r="I4647" s="668"/>
      <c r="J4647" s="668"/>
      <c r="K4647" s="674"/>
      <c r="L4647" s="668"/>
      <c r="M4647" s="668"/>
    </row>
    <row r="4648" spans="5:13">
      <c r="E4648" s="668"/>
      <c r="F4648" s="668"/>
      <c r="G4648" s="668"/>
      <c r="H4648" s="668"/>
      <c r="I4648" s="668"/>
      <c r="J4648" s="668"/>
      <c r="K4648" s="674"/>
      <c r="L4648" s="668"/>
      <c r="M4648" s="668"/>
    </row>
    <row r="4649" spans="5:13">
      <c r="E4649" s="668"/>
      <c r="F4649" s="668"/>
      <c r="G4649" s="668"/>
      <c r="H4649" s="668"/>
      <c r="I4649" s="668"/>
      <c r="J4649" s="668"/>
      <c r="K4649" s="674"/>
      <c r="L4649" s="668"/>
      <c r="M4649" s="668"/>
    </row>
    <row r="4650" spans="5:13">
      <c r="E4650" s="668"/>
      <c r="F4650" s="668"/>
      <c r="G4650" s="668"/>
      <c r="H4650" s="668"/>
      <c r="I4650" s="668"/>
      <c r="J4650" s="668"/>
      <c r="K4650" s="674"/>
      <c r="L4650" s="668"/>
      <c r="M4650" s="668"/>
    </row>
    <row r="4651" spans="5:13">
      <c r="E4651" s="668"/>
      <c r="F4651" s="668"/>
      <c r="G4651" s="668"/>
      <c r="H4651" s="668"/>
      <c r="I4651" s="668"/>
      <c r="J4651" s="668"/>
      <c r="K4651" s="674"/>
      <c r="L4651" s="668"/>
      <c r="M4651" s="668"/>
    </row>
    <row r="4652" spans="5:13">
      <c r="E4652" s="668"/>
      <c r="F4652" s="668"/>
      <c r="G4652" s="668"/>
      <c r="H4652" s="668"/>
      <c r="I4652" s="668"/>
      <c r="J4652" s="668"/>
      <c r="K4652" s="674"/>
      <c r="L4652" s="668"/>
      <c r="M4652" s="668"/>
    </row>
    <row r="4653" spans="5:13">
      <c r="E4653" s="668"/>
      <c r="F4653" s="668"/>
      <c r="G4653" s="668"/>
      <c r="H4653" s="668"/>
      <c r="I4653" s="668"/>
      <c r="J4653" s="668"/>
      <c r="K4653" s="674"/>
      <c r="L4653" s="668"/>
      <c r="M4653" s="668"/>
    </row>
    <row r="4654" spans="5:13">
      <c r="E4654" s="668"/>
      <c r="F4654" s="668"/>
      <c r="G4654" s="668"/>
      <c r="H4654" s="668"/>
      <c r="I4654" s="668"/>
      <c r="J4654" s="668"/>
      <c r="K4654" s="674"/>
      <c r="L4654" s="668"/>
      <c r="M4654" s="668"/>
    </row>
    <row r="4655" spans="5:13">
      <c r="E4655" s="668"/>
      <c r="F4655" s="668"/>
      <c r="G4655" s="668"/>
      <c r="H4655" s="668"/>
      <c r="I4655" s="668"/>
      <c r="J4655" s="668"/>
      <c r="K4655" s="674"/>
      <c r="L4655" s="668"/>
      <c r="M4655" s="668"/>
    </row>
    <row r="4656" spans="5:13">
      <c r="E4656" s="668"/>
      <c r="F4656" s="668"/>
      <c r="G4656" s="668"/>
      <c r="H4656" s="668"/>
      <c r="I4656" s="668"/>
      <c r="J4656" s="668"/>
      <c r="K4656" s="674"/>
      <c r="L4656" s="668"/>
      <c r="M4656" s="668"/>
    </row>
    <row r="4657" spans="5:13">
      <c r="E4657" s="668"/>
      <c r="F4657" s="668"/>
      <c r="G4657" s="668"/>
      <c r="H4657" s="668"/>
      <c r="I4657" s="668"/>
      <c r="J4657" s="668"/>
      <c r="K4657" s="674"/>
      <c r="L4657" s="668"/>
      <c r="M4657" s="668"/>
    </row>
    <row r="4658" spans="5:13">
      <c r="E4658" s="668"/>
      <c r="F4658" s="668"/>
      <c r="G4658" s="668"/>
      <c r="H4658" s="668"/>
      <c r="I4658" s="668"/>
      <c r="J4658" s="668"/>
      <c r="K4658" s="674"/>
      <c r="L4658" s="668"/>
      <c r="M4658" s="668"/>
    </row>
    <row r="4659" spans="5:13">
      <c r="E4659" s="668"/>
      <c r="F4659" s="668"/>
      <c r="G4659" s="668"/>
      <c r="H4659" s="668"/>
      <c r="I4659" s="668"/>
      <c r="J4659" s="668"/>
      <c r="K4659" s="674"/>
      <c r="L4659" s="668"/>
      <c r="M4659" s="668"/>
    </row>
    <row r="4660" spans="5:13">
      <c r="E4660" s="668"/>
      <c r="F4660" s="668"/>
      <c r="G4660" s="668"/>
      <c r="H4660" s="668"/>
      <c r="I4660" s="668"/>
      <c r="J4660" s="668"/>
      <c r="K4660" s="674"/>
      <c r="L4660" s="668"/>
      <c r="M4660" s="668"/>
    </row>
    <row r="4661" spans="5:13">
      <c r="E4661" s="668"/>
      <c r="F4661" s="668"/>
      <c r="G4661" s="668"/>
      <c r="H4661" s="668"/>
      <c r="I4661" s="668"/>
      <c r="J4661" s="668"/>
      <c r="K4661" s="674"/>
      <c r="L4661" s="668"/>
      <c r="M4661" s="668"/>
    </row>
    <row r="4662" spans="5:13">
      <c r="E4662" s="668"/>
      <c r="F4662" s="668"/>
      <c r="G4662" s="668"/>
      <c r="H4662" s="668"/>
      <c r="I4662" s="668"/>
      <c r="J4662" s="668"/>
      <c r="K4662" s="674"/>
      <c r="L4662" s="668"/>
      <c r="M4662" s="668"/>
    </row>
    <row r="4663" spans="5:13">
      <c r="E4663" s="668"/>
      <c r="F4663" s="668"/>
      <c r="G4663" s="668"/>
      <c r="H4663" s="668"/>
      <c r="I4663" s="668"/>
      <c r="J4663" s="668"/>
      <c r="K4663" s="674"/>
      <c r="L4663" s="668"/>
      <c r="M4663" s="668"/>
    </row>
    <row r="4664" spans="5:13">
      <c r="E4664" s="668"/>
      <c r="F4664" s="668"/>
      <c r="G4664" s="668"/>
      <c r="H4664" s="668"/>
      <c r="I4664" s="668"/>
      <c r="J4664" s="668"/>
      <c r="K4664" s="674"/>
      <c r="L4664" s="668"/>
      <c r="M4664" s="668"/>
    </row>
    <row r="4665" spans="5:13">
      <c r="E4665" s="668"/>
      <c r="F4665" s="668"/>
      <c r="G4665" s="668"/>
      <c r="H4665" s="668"/>
      <c r="I4665" s="668"/>
      <c r="J4665" s="668"/>
      <c r="K4665" s="674"/>
      <c r="L4665" s="668"/>
      <c r="M4665" s="668"/>
    </row>
    <row r="4666" spans="5:13">
      <c r="E4666" s="668"/>
      <c r="F4666" s="668"/>
      <c r="G4666" s="668"/>
      <c r="H4666" s="668"/>
      <c r="I4666" s="668"/>
      <c r="J4666" s="668"/>
      <c r="K4666" s="674"/>
      <c r="L4666" s="668"/>
      <c r="M4666" s="668"/>
    </row>
    <row r="4667" spans="5:13">
      <c r="E4667" s="668"/>
      <c r="F4667" s="668"/>
      <c r="G4667" s="668"/>
      <c r="H4667" s="668"/>
      <c r="I4667" s="668"/>
      <c r="J4667" s="668"/>
      <c r="K4667" s="674"/>
      <c r="L4667" s="668"/>
      <c r="M4667" s="668"/>
    </row>
    <row r="4668" spans="5:13">
      <c r="E4668" s="668"/>
      <c r="F4668" s="668"/>
      <c r="G4668" s="668"/>
      <c r="H4668" s="668"/>
      <c r="I4668" s="668"/>
      <c r="J4668" s="668"/>
      <c r="K4668" s="674"/>
      <c r="L4668" s="668"/>
      <c r="M4668" s="668"/>
    </row>
    <row r="4669" spans="5:13">
      <c r="E4669" s="668"/>
      <c r="F4669" s="668"/>
      <c r="G4669" s="668"/>
      <c r="H4669" s="668"/>
      <c r="I4669" s="668"/>
      <c r="J4669" s="668"/>
      <c r="K4669" s="674"/>
      <c r="L4669" s="668"/>
      <c r="M4669" s="668"/>
    </row>
    <row r="4670" spans="5:13">
      <c r="E4670" s="668"/>
      <c r="F4670" s="668"/>
      <c r="G4670" s="668"/>
      <c r="H4670" s="668"/>
      <c r="I4670" s="668"/>
      <c r="J4670" s="668"/>
      <c r="K4670" s="674"/>
      <c r="L4670" s="668"/>
      <c r="M4670" s="668"/>
    </row>
    <row r="4671" spans="5:13">
      <c r="E4671" s="668"/>
      <c r="F4671" s="668"/>
      <c r="G4671" s="668"/>
      <c r="H4671" s="668"/>
      <c r="I4671" s="668"/>
      <c r="J4671" s="668"/>
      <c r="K4671" s="674"/>
      <c r="L4671" s="668"/>
      <c r="M4671" s="668"/>
    </row>
    <row r="4672" spans="5:13">
      <c r="E4672" s="668"/>
      <c r="F4672" s="668"/>
      <c r="G4672" s="668"/>
      <c r="H4672" s="668"/>
      <c r="I4672" s="668"/>
      <c r="J4672" s="668"/>
      <c r="K4672" s="674"/>
      <c r="L4672" s="668"/>
      <c r="M4672" s="668"/>
    </row>
    <row r="4673" spans="5:13">
      <c r="E4673" s="668"/>
      <c r="F4673" s="668"/>
      <c r="G4673" s="668"/>
      <c r="H4673" s="668"/>
      <c r="I4673" s="668"/>
      <c r="J4673" s="668"/>
      <c r="K4673" s="674"/>
      <c r="L4673" s="668"/>
      <c r="M4673" s="668"/>
    </row>
    <row r="4674" spans="5:13">
      <c r="E4674" s="668"/>
      <c r="F4674" s="668"/>
      <c r="G4674" s="668"/>
      <c r="H4674" s="668"/>
      <c r="I4674" s="668"/>
      <c r="J4674" s="668"/>
      <c r="K4674" s="674"/>
      <c r="L4674" s="668"/>
      <c r="M4674" s="668"/>
    </row>
    <row r="4675" spans="5:13">
      <c r="E4675" s="668"/>
      <c r="F4675" s="668"/>
      <c r="G4675" s="668"/>
      <c r="H4675" s="668"/>
      <c r="I4675" s="668"/>
      <c r="J4675" s="668"/>
      <c r="K4675" s="674"/>
      <c r="L4675" s="668"/>
      <c r="M4675" s="668"/>
    </row>
    <row r="4676" spans="5:13">
      <c r="E4676" s="668"/>
      <c r="F4676" s="668"/>
      <c r="G4676" s="668"/>
      <c r="H4676" s="668"/>
      <c r="I4676" s="668"/>
      <c r="J4676" s="668"/>
      <c r="K4676" s="674"/>
      <c r="L4676" s="668"/>
      <c r="M4676" s="668"/>
    </row>
    <row r="4677" spans="5:13">
      <c r="E4677" s="668"/>
      <c r="F4677" s="668"/>
      <c r="G4677" s="668"/>
      <c r="H4677" s="668"/>
      <c r="I4677" s="668"/>
      <c r="J4677" s="668"/>
      <c r="K4677" s="674"/>
      <c r="L4677" s="668"/>
      <c r="M4677" s="668"/>
    </row>
    <row r="4678" spans="5:13">
      <c r="E4678" s="668"/>
      <c r="F4678" s="668"/>
      <c r="G4678" s="668"/>
      <c r="H4678" s="668"/>
      <c r="I4678" s="668"/>
      <c r="J4678" s="668"/>
      <c r="K4678" s="674"/>
      <c r="L4678" s="668"/>
      <c r="M4678" s="668"/>
    </row>
    <row r="4679" spans="5:13">
      <c r="E4679" s="668"/>
      <c r="F4679" s="668"/>
      <c r="G4679" s="668"/>
      <c r="H4679" s="668"/>
      <c r="I4679" s="668"/>
      <c r="J4679" s="668"/>
      <c r="K4679" s="674"/>
      <c r="L4679" s="668"/>
      <c r="M4679" s="668"/>
    </row>
    <row r="4680" spans="5:13">
      <c r="E4680" s="668"/>
      <c r="F4680" s="668"/>
      <c r="G4680" s="668"/>
      <c r="H4680" s="668"/>
      <c r="I4680" s="668"/>
      <c r="J4680" s="668"/>
      <c r="K4680" s="674"/>
      <c r="L4680" s="668"/>
      <c r="M4680" s="668"/>
    </row>
    <row r="4681" spans="5:13">
      <c r="E4681" s="668"/>
      <c r="F4681" s="668"/>
      <c r="G4681" s="668"/>
      <c r="H4681" s="668"/>
      <c r="I4681" s="668"/>
      <c r="J4681" s="668"/>
      <c r="K4681" s="674"/>
      <c r="L4681" s="668"/>
      <c r="M4681" s="668"/>
    </row>
    <row r="4682" spans="5:13">
      <c r="E4682" s="668"/>
      <c r="F4682" s="668"/>
      <c r="G4682" s="668"/>
      <c r="H4682" s="668"/>
      <c r="I4682" s="668"/>
      <c r="J4682" s="668"/>
      <c r="K4682" s="674"/>
      <c r="L4682" s="668"/>
      <c r="M4682" s="668"/>
    </row>
    <row r="4683" spans="5:13">
      <c r="E4683" s="668"/>
      <c r="F4683" s="668"/>
      <c r="G4683" s="668"/>
      <c r="H4683" s="668"/>
      <c r="I4683" s="668"/>
      <c r="J4683" s="668"/>
      <c r="K4683" s="674"/>
      <c r="L4683" s="668"/>
      <c r="M4683" s="668"/>
    </row>
    <row r="4684" spans="5:13">
      <c r="E4684" s="668"/>
      <c r="F4684" s="668"/>
      <c r="G4684" s="668"/>
      <c r="H4684" s="668"/>
      <c r="I4684" s="668"/>
      <c r="J4684" s="668"/>
      <c r="K4684" s="674"/>
      <c r="L4684" s="668"/>
      <c r="M4684" s="668"/>
    </row>
    <row r="4685" spans="5:13">
      <c r="E4685" s="668"/>
      <c r="F4685" s="668"/>
      <c r="G4685" s="668"/>
      <c r="H4685" s="668"/>
      <c r="I4685" s="668"/>
      <c r="J4685" s="668"/>
      <c r="K4685" s="674"/>
      <c r="L4685" s="668"/>
      <c r="M4685" s="668"/>
    </row>
    <row r="4686" spans="5:13">
      <c r="E4686" s="668"/>
      <c r="F4686" s="668"/>
      <c r="G4686" s="668"/>
      <c r="H4686" s="668"/>
      <c r="I4686" s="668"/>
      <c r="J4686" s="668"/>
      <c r="K4686" s="674"/>
      <c r="L4686" s="668"/>
      <c r="M4686" s="668"/>
    </row>
    <row r="4687" spans="5:13">
      <c r="E4687" s="668"/>
      <c r="F4687" s="668"/>
      <c r="G4687" s="668"/>
      <c r="H4687" s="668"/>
      <c r="I4687" s="668"/>
      <c r="J4687" s="668"/>
      <c r="K4687" s="674"/>
      <c r="L4687" s="668"/>
      <c r="M4687" s="668"/>
    </row>
    <row r="4688" spans="5:13">
      <c r="E4688" s="668"/>
      <c r="F4688" s="668"/>
      <c r="G4688" s="668"/>
      <c r="H4688" s="668"/>
      <c r="I4688" s="668"/>
      <c r="J4688" s="668"/>
      <c r="K4688" s="674"/>
      <c r="L4688" s="668"/>
      <c r="M4688" s="668"/>
    </row>
    <row r="4689" spans="5:13">
      <c r="E4689" s="668"/>
      <c r="F4689" s="668"/>
      <c r="G4689" s="668"/>
      <c r="H4689" s="668"/>
      <c r="I4689" s="668"/>
      <c r="J4689" s="668"/>
      <c r="K4689" s="674"/>
      <c r="L4689" s="668"/>
      <c r="M4689" s="668"/>
    </row>
    <row r="4690" spans="5:13">
      <c r="E4690" s="668"/>
      <c r="F4690" s="668"/>
      <c r="G4690" s="668"/>
      <c r="H4690" s="668"/>
      <c r="I4690" s="668"/>
      <c r="J4690" s="668"/>
      <c r="K4690" s="674"/>
      <c r="L4690" s="668"/>
      <c r="M4690" s="668"/>
    </row>
    <row r="4691" spans="5:13">
      <c r="E4691" s="668"/>
      <c r="F4691" s="668"/>
      <c r="G4691" s="668"/>
      <c r="H4691" s="668"/>
      <c r="I4691" s="668"/>
      <c r="J4691" s="668"/>
      <c r="K4691" s="674"/>
      <c r="L4691" s="668"/>
      <c r="M4691" s="668"/>
    </row>
    <row r="4692" spans="5:13">
      <c r="E4692" s="668"/>
      <c r="F4692" s="668"/>
      <c r="G4692" s="668"/>
      <c r="H4692" s="668"/>
      <c r="I4692" s="668"/>
      <c r="J4692" s="668"/>
      <c r="K4692" s="674"/>
      <c r="L4692" s="668"/>
      <c r="M4692" s="668"/>
    </row>
    <row r="4693" spans="5:13">
      <c r="E4693" s="668"/>
      <c r="F4693" s="668"/>
      <c r="G4693" s="668"/>
      <c r="H4693" s="668"/>
      <c r="I4693" s="668"/>
      <c r="J4693" s="668"/>
      <c r="K4693" s="674"/>
      <c r="L4693" s="668"/>
      <c r="M4693" s="668"/>
    </row>
    <row r="4694" spans="5:13">
      <c r="E4694" s="668"/>
      <c r="F4694" s="668"/>
      <c r="G4694" s="668"/>
      <c r="H4694" s="668"/>
      <c r="I4694" s="668"/>
      <c r="J4694" s="668"/>
      <c r="K4694" s="674"/>
      <c r="L4694" s="668"/>
      <c r="M4694" s="668"/>
    </row>
    <row r="4695" spans="5:13">
      <c r="E4695" s="668"/>
      <c r="F4695" s="668"/>
      <c r="G4695" s="668"/>
      <c r="H4695" s="668"/>
      <c r="I4695" s="668"/>
      <c r="J4695" s="668"/>
      <c r="K4695" s="674"/>
      <c r="L4695" s="668"/>
      <c r="M4695" s="668"/>
    </row>
    <row r="4696" spans="5:13">
      <c r="E4696" s="668"/>
      <c r="F4696" s="668"/>
      <c r="G4696" s="668"/>
      <c r="H4696" s="668"/>
      <c r="I4696" s="668"/>
      <c r="J4696" s="668"/>
      <c r="K4696" s="674"/>
      <c r="L4696" s="668"/>
      <c r="M4696" s="668"/>
    </row>
    <row r="4697" spans="5:13">
      <c r="E4697" s="668"/>
      <c r="F4697" s="668"/>
      <c r="G4697" s="668"/>
      <c r="H4697" s="668"/>
      <c r="I4697" s="668"/>
      <c r="J4697" s="668"/>
      <c r="K4697" s="674"/>
      <c r="L4697" s="668"/>
      <c r="M4697" s="668"/>
    </row>
    <row r="4698" spans="5:13">
      <c r="E4698" s="668"/>
      <c r="F4698" s="668"/>
      <c r="G4698" s="668"/>
      <c r="H4698" s="668"/>
      <c r="I4698" s="668"/>
      <c r="J4698" s="668"/>
      <c r="K4698" s="674"/>
      <c r="L4698" s="668"/>
      <c r="M4698" s="668"/>
    </row>
    <row r="4699" spans="5:13">
      <c r="E4699" s="668"/>
      <c r="F4699" s="668"/>
      <c r="G4699" s="668"/>
      <c r="H4699" s="668"/>
      <c r="I4699" s="668"/>
      <c r="J4699" s="668"/>
      <c r="K4699" s="674"/>
      <c r="L4699" s="668"/>
      <c r="M4699" s="668"/>
    </row>
    <row r="4700" spans="5:13">
      <c r="E4700" s="668"/>
      <c r="F4700" s="668"/>
      <c r="G4700" s="668"/>
      <c r="H4700" s="668"/>
      <c r="I4700" s="668"/>
      <c r="J4700" s="668"/>
      <c r="K4700" s="674"/>
      <c r="L4700" s="668"/>
      <c r="M4700" s="668"/>
    </row>
    <row r="4701" spans="5:13">
      <c r="E4701" s="668"/>
      <c r="F4701" s="668"/>
      <c r="G4701" s="668"/>
      <c r="H4701" s="668"/>
      <c r="I4701" s="668"/>
      <c r="J4701" s="668"/>
      <c r="K4701" s="674"/>
      <c r="L4701" s="668"/>
      <c r="M4701" s="668"/>
    </row>
    <row r="4702" spans="5:13">
      <c r="E4702" s="668"/>
      <c r="F4702" s="668"/>
      <c r="G4702" s="668"/>
      <c r="H4702" s="668"/>
      <c r="I4702" s="668"/>
      <c r="J4702" s="668"/>
      <c r="K4702" s="674"/>
      <c r="L4702" s="668"/>
      <c r="M4702" s="668"/>
    </row>
    <row r="4703" spans="5:13">
      <c r="E4703" s="668"/>
      <c r="F4703" s="668"/>
      <c r="G4703" s="668"/>
      <c r="H4703" s="668"/>
      <c r="I4703" s="668"/>
      <c r="J4703" s="668"/>
      <c r="K4703" s="674"/>
      <c r="L4703" s="668"/>
      <c r="M4703" s="668"/>
    </row>
    <row r="4704" spans="5:13">
      <c r="E4704" s="668"/>
      <c r="F4704" s="668"/>
      <c r="G4704" s="668"/>
      <c r="H4704" s="668"/>
      <c r="I4704" s="668"/>
      <c r="J4704" s="668"/>
      <c r="K4704" s="674"/>
      <c r="L4704" s="668"/>
      <c r="M4704" s="668"/>
    </row>
    <row r="4705" spans="5:13">
      <c r="E4705" s="668"/>
      <c r="F4705" s="668"/>
      <c r="G4705" s="668"/>
      <c r="H4705" s="668"/>
      <c r="I4705" s="668"/>
      <c r="J4705" s="668"/>
      <c r="K4705" s="674"/>
      <c r="L4705" s="668"/>
      <c r="M4705" s="668"/>
    </row>
    <row r="4706" spans="5:13">
      <c r="E4706" s="668"/>
      <c r="F4706" s="668"/>
      <c r="G4706" s="668"/>
      <c r="H4706" s="668"/>
      <c r="I4706" s="668"/>
      <c r="J4706" s="668"/>
      <c r="K4706" s="674"/>
      <c r="L4706" s="668"/>
      <c r="M4706" s="668"/>
    </row>
    <row r="4707" spans="5:13">
      <c r="E4707" s="668"/>
      <c r="F4707" s="668"/>
      <c r="G4707" s="668"/>
      <c r="H4707" s="668"/>
      <c r="I4707" s="668"/>
      <c r="J4707" s="668"/>
      <c r="K4707" s="674"/>
      <c r="L4707" s="668"/>
      <c r="M4707" s="668"/>
    </row>
    <row r="4708" spans="5:13">
      <c r="E4708" s="668"/>
      <c r="F4708" s="668"/>
      <c r="G4708" s="668"/>
      <c r="H4708" s="668"/>
      <c r="I4708" s="668"/>
      <c r="J4708" s="668"/>
      <c r="K4708" s="674"/>
      <c r="L4708" s="668"/>
      <c r="M4708" s="668"/>
    </row>
    <row r="4709" spans="5:13">
      <c r="E4709" s="668"/>
      <c r="F4709" s="668"/>
      <c r="G4709" s="668"/>
      <c r="H4709" s="668"/>
      <c r="I4709" s="668"/>
      <c r="J4709" s="668"/>
      <c r="K4709" s="674"/>
      <c r="L4709" s="668"/>
      <c r="M4709" s="668"/>
    </row>
    <row r="4710" spans="5:13">
      <c r="E4710" s="668"/>
      <c r="F4710" s="668"/>
      <c r="G4710" s="668"/>
      <c r="H4710" s="668"/>
      <c r="I4710" s="668"/>
      <c r="J4710" s="668"/>
      <c r="K4710" s="674"/>
      <c r="L4710" s="668"/>
      <c r="M4710" s="668"/>
    </row>
    <row r="4711" spans="5:13">
      <c r="E4711" s="668"/>
      <c r="F4711" s="668"/>
      <c r="G4711" s="668"/>
      <c r="H4711" s="668"/>
      <c r="I4711" s="668"/>
      <c r="J4711" s="668"/>
      <c r="K4711" s="674"/>
      <c r="L4711" s="668"/>
      <c r="M4711" s="668"/>
    </row>
    <row r="4712" spans="5:13">
      <c r="E4712" s="668"/>
      <c r="F4712" s="668"/>
      <c r="G4712" s="668"/>
      <c r="H4712" s="668"/>
      <c r="I4712" s="668"/>
      <c r="J4712" s="668"/>
      <c r="K4712" s="674"/>
      <c r="L4712" s="668"/>
      <c r="M4712" s="668"/>
    </row>
    <row r="4713" spans="5:13">
      <c r="E4713" s="668"/>
      <c r="F4713" s="668"/>
      <c r="G4713" s="668"/>
      <c r="H4713" s="668"/>
      <c r="I4713" s="668"/>
      <c r="J4713" s="668"/>
      <c r="K4713" s="674"/>
      <c r="L4713" s="668"/>
      <c r="M4713" s="668"/>
    </row>
    <row r="4714" spans="5:13">
      <c r="E4714" s="668"/>
      <c r="F4714" s="668"/>
      <c r="G4714" s="668"/>
      <c r="H4714" s="668"/>
      <c r="I4714" s="668"/>
      <c r="J4714" s="668"/>
      <c r="K4714" s="674"/>
      <c r="L4714" s="668"/>
      <c r="M4714" s="668"/>
    </row>
    <row r="4715" spans="5:13">
      <c r="E4715" s="668"/>
      <c r="F4715" s="668"/>
      <c r="G4715" s="668"/>
      <c r="H4715" s="668"/>
      <c r="I4715" s="668"/>
      <c r="J4715" s="668"/>
      <c r="K4715" s="674"/>
      <c r="L4715" s="668"/>
      <c r="M4715" s="668"/>
    </row>
    <row r="4716" spans="5:13">
      <c r="E4716" s="668"/>
      <c r="F4716" s="668"/>
      <c r="G4716" s="668"/>
      <c r="H4716" s="668"/>
      <c r="I4716" s="668"/>
      <c r="J4716" s="668"/>
      <c r="K4716" s="674"/>
      <c r="L4716" s="668"/>
      <c r="M4716" s="668"/>
    </row>
    <row r="4717" spans="5:13">
      <c r="E4717" s="668"/>
      <c r="F4717" s="668"/>
      <c r="G4717" s="668"/>
      <c r="H4717" s="668"/>
      <c r="I4717" s="668"/>
      <c r="J4717" s="668"/>
      <c r="K4717" s="674"/>
      <c r="L4717" s="668"/>
      <c r="M4717" s="668"/>
    </row>
    <row r="4718" spans="5:13">
      <c r="E4718" s="668"/>
      <c r="F4718" s="668"/>
      <c r="G4718" s="668"/>
      <c r="H4718" s="668"/>
      <c r="I4718" s="668"/>
      <c r="J4718" s="668"/>
      <c r="K4718" s="674"/>
      <c r="L4718" s="668"/>
      <c r="M4718" s="668"/>
    </row>
    <row r="4719" spans="5:13">
      <c r="E4719" s="668"/>
      <c r="F4719" s="668"/>
      <c r="G4719" s="668"/>
      <c r="H4719" s="668"/>
      <c r="I4719" s="668"/>
      <c r="J4719" s="668"/>
      <c r="K4719" s="674"/>
      <c r="L4719" s="668"/>
      <c r="M4719" s="668"/>
    </row>
    <row r="4720" spans="5:13">
      <c r="E4720" s="668"/>
      <c r="F4720" s="668"/>
      <c r="G4720" s="668"/>
      <c r="H4720" s="668"/>
      <c r="I4720" s="668"/>
      <c r="J4720" s="668"/>
      <c r="K4720" s="674"/>
      <c r="L4720" s="668"/>
      <c r="M4720" s="668"/>
    </row>
    <row r="4721" spans="5:13">
      <c r="E4721" s="668"/>
      <c r="F4721" s="668"/>
      <c r="G4721" s="668"/>
      <c r="H4721" s="668"/>
      <c r="I4721" s="668"/>
      <c r="J4721" s="668"/>
      <c r="K4721" s="674"/>
      <c r="L4721" s="668"/>
      <c r="M4721" s="668"/>
    </row>
    <row r="4722" spans="5:13">
      <c r="E4722" s="668"/>
      <c r="F4722" s="668"/>
      <c r="G4722" s="668"/>
      <c r="H4722" s="668"/>
      <c r="I4722" s="668"/>
      <c r="J4722" s="668"/>
      <c r="K4722" s="674"/>
      <c r="L4722" s="668"/>
      <c r="M4722" s="668"/>
    </row>
    <row r="4723" spans="5:13">
      <c r="E4723" s="668"/>
      <c r="F4723" s="668"/>
      <c r="G4723" s="668"/>
      <c r="H4723" s="668"/>
      <c r="I4723" s="668"/>
      <c r="J4723" s="668"/>
      <c r="K4723" s="674"/>
      <c r="L4723" s="668"/>
      <c r="M4723" s="668"/>
    </row>
    <row r="4724" spans="5:13">
      <c r="E4724" s="668"/>
      <c r="F4724" s="668"/>
      <c r="G4724" s="668"/>
      <c r="H4724" s="668"/>
      <c r="I4724" s="668"/>
      <c r="J4724" s="668"/>
      <c r="K4724" s="674"/>
      <c r="L4724" s="668"/>
      <c r="M4724" s="668"/>
    </row>
    <row r="4725" spans="5:13">
      <c r="E4725" s="668"/>
      <c r="F4725" s="668"/>
      <c r="G4725" s="668"/>
      <c r="H4725" s="668"/>
      <c r="I4725" s="668"/>
      <c r="J4725" s="668"/>
      <c r="K4725" s="674"/>
      <c r="L4725" s="668"/>
      <c r="M4725" s="668"/>
    </row>
    <row r="4726" spans="5:13">
      <c r="E4726" s="668"/>
      <c r="F4726" s="668"/>
      <c r="G4726" s="668"/>
      <c r="H4726" s="668"/>
      <c r="I4726" s="668"/>
      <c r="J4726" s="668"/>
      <c r="K4726" s="674"/>
      <c r="L4726" s="668"/>
      <c r="M4726" s="668"/>
    </row>
    <row r="4727" spans="5:13">
      <c r="E4727" s="668"/>
      <c r="F4727" s="668"/>
      <c r="G4727" s="668"/>
      <c r="H4727" s="668"/>
      <c r="I4727" s="668"/>
      <c r="J4727" s="668"/>
      <c r="K4727" s="674"/>
      <c r="L4727" s="668"/>
      <c r="M4727" s="668"/>
    </row>
    <row r="4728" spans="5:13">
      <c r="E4728" s="668"/>
      <c r="F4728" s="668"/>
      <c r="G4728" s="668"/>
      <c r="H4728" s="668"/>
      <c r="I4728" s="668"/>
      <c r="J4728" s="668"/>
      <c r="K4728" s="674"/>
      <c r="L4728" s="668"/>
      <c r="M4728" s="668"/>
    </row>
    <row r="4729" spans="5:13">
      <c r="E4729" s="668"/>
      <c r="F4729" s="668"/>
      <c r="G4729" s="668"/>
      <c r="H4729" s="668"/>
      <c r="I4729" s="668"/>
      <c r="J4729" s="668"/>
      <c r="K4729" s="674"/>
      <c r="L4729" s="668"/>
      <c r="M4729" s="668"/>
    </row>
    <row r="4730" spans="5:13">
      <c r="E4730" s="668"/>
      <c r="F4730" s="668"/>
      <c r="G4730" s="668"/>
      <c r="H4730" s="668"/>
      <c r="I4730" s="668"/>
      <c r="J4730" s="668"/>
      <c r="K4730" s="674"/>
      <c r="L4730" s="668"/>
      <c r="M4730" s="668"/>
    </row>
    <row r="4731" spans="5:13">
      <c r="E4731" s="668"/>
      <c r="F4731" s="668"/>
      <c r="G4731" s="668"/>
      <c r="H4731" s="668"/>
      <c r="I4731" s="668"/>
      <c r="J4731" s="668"/>
      <c r="K4731" s="674"/>
      <c r="L4731" s="668"/>
      <c r="M4731" s="668"/>
    </row>
    <row r="4732" spans="5:13">
      <c r="E4732" s="668"/>
      <c r="F4732" s="668"/>
      <c r="G4732" s="668"/>
      <c r="H4732" s="668"/>
      <c r="I4732" s="668"/>
      <c r="J4732" s="668"/>
      <c r="K4732" s="674"/>
      <c r="L4732" s="668"/>
      <c r="M4732" s="668"/>
    </row>
    <row r="4733" spans="5:13">
      <c r="E4733" s="668"/>
      <c r="F4733" s="668"/>
      <c r="G4733" s="668"/>
      <c r="H4733" s="668"/>
      <c r="I4733" s="668"/>
      <c r="J4733" s="668"/>
      <c r="K4733" s="674"/>
      <c r="L4733" s="668"/>
      <c r="M4733" s="668"/>
    </row>
    <row r="4734" spans="5:13">
      <c r="E4734" s="668"/>
      <c r="F4734" s="668"/>
      <c r="G4734" s="668"/>
      <c r="H4734" s="668"/>
      <c r="I4734" s="668"/>
      <c r="J4734" s="668"/>
      <c r="K4734" s="674"/>
      <c r="L4734" s="668"/>
      <c r="M4734" s="668"/>
    </row>
    <row r="4735" spans="5:13">
      <c r="E4735" s="668"/>
      <c r="F4735" s="668"/>
      <c r="G4735" s="668"/>
      <c r="H4735" s="668"/>
      <c r="I4735" s="668"/>
      <c r="J4735" s="668"/>
      <c r="K4735" s="674"/>
      <c r="L4735" s="668"/>
      <c r="M4735" s="668"/>
    </row>
    <row r="4736" spans="5:13">
      <c r="E4736" s="668"/>
      <c r="F4736" s="668"/>
      <c r="G4736" s="668"/>
      <c r="H4736" s="668"/>
      <c r="I4736" s="668"/>
      <c r="J4736" s="668"/>
      <c r="K4736" s="674"/>
      <c r="L4736" s="668"/>
      <c r="M4736" s="668"/>
    </row>
    <row r="4737" spans="5:13">
      <c r="E4737" s="668"/>
      <c r="F4737" s="668"/>
      <c r="G4737" s="668"/>
      <c r="H4737" s="668"/>
      <c r="I4737" s="668"/>
      <c r="J4737" s="668"/>
      <c r="K4737" s="674"/>
      <c r="L4737" s="668"/>
      <c r="M4737" s="668"/>
    </row>
    <row r="4738" spans="5:13">
      <c r="E4738" s="668"/>
      <c r="F4738" s="668"/>
      <c r="G4738" s="668"/>
      <c r="H4738" s="668"/>
      <c r="I4738" s="668"/>
      <c r="J4738" s="668"/>
      <c r="K4738" s="674"/>
      <c r="L4738" s="668"/>
      <c r="M4738" s="668"/>
    </row>
    <row r="4739" spans="5:13">
      <c r="E4739" s="668"/>
      <c r="F4739" s="668"/>
      <c r="G4739" s="668"/>
      <c r="H4739" s="668"/>
      <c r="I4739" s="668"/>
      <c r="J4739" s="668"/>
      <c r="K4739" s="674"/>
      <c r="L4739" s="668"/>
      <c r="M4739" s="668"/>
    </row>
    <row r="4740" spans="5:13">
      <c r="E4740" s="668"/>
      <c r="F4740" s="668"/>
      <c r="G4740" s="668"/>
      <c r="H4740" s="668"/>
      <c r="I4740" s="668"/>
      <c r="J4740" s="668"/>
      <c r="K4740" s="674"/>
      <c r="L4740" s="668"/>
      <c r="M4740" s="668"/>
    </row>
    <row r="4741" spans="5:13">
      <c r="E4741" s="668"/>
      <c r="F4741" s="668"/>
      <c r="G4741" s="668"/>
      <c r="H4741" s="668"/>
      <c r="I4741" s="668"/>
      <c r="J4741" s="668"/>
      <c r="K4741" s="674"/>
      <c r="L4741" s="668"/>
      <c r="M4741" s="668"/>
    </row>
    <row r="4742" spans="5:13">
      <c r="E4742" s="668"/>
      <c r="F4742" s="668"/>
      <c r="G4742" s="668"/>
      <c r="H4742" s="668"/>
      <c r="I4742" s="668"/>
      <c r="J4742" s="668"/>
      <c r="K4742" s="674"/>
      <c r="L4742" s="668"/>
      <c r="M4742" s="668"/>
    </row>
    <row r="4743" spans="5:13">
      <c r="E4743" s="668"/>
      <c r="F4743" s="668"/>
      <c r="G4743" s="668"/>
      <c r="H4743" s="668"/>
      <c r="I4743" s="668"/>
      <c r="J4743" s="668"/>
      <c r="K4743" s="674"/>
      <c r="L4743" s="668"/>
      <c r="M4743" s="668"/>
    </row>
    <row r="4744" spans="5:13">
      <c r="E4744" s="668"/>
      <c r="F4744" s="668"/>
      <c r="G4744" s="668"/>
      <c r="H4744" s="668"/>
      <c r="I4744" s="668"/>
      <c r="J4744" s="668"/>
      <c r="K4744" s="674"/>
      <c r="L4744" s="668"/>
      <c r="M4744" s="668"/>
    </row>
    <row r="4745" spans="5:13">
      <c r="E4745" s="668"/>
      <c r="F4745" s="668"/>
      <c r="G4745" s="668"/>
      <c r="H4745" s="668"/>
      <c r="I4745" s="668"/>
      <c r="J4745" s="668"/>
      <c r="K4745" s="674"/>
      <c r="L4745" s="668"/>
      <c r="M4745" s="668"/>
    </row>
    <row r="4746" spans="5:13">
      <c r="E4746" s="668"/>
      <c r="F4746" s="668"/>
      <c r="G4746" s="668"/>
      <c r="H4746" s="668"/>
      <c r="I4746" s="668"/>
      <c r="J4746" s="668"/>
      <c r="K4746" s="674"/>
      <c r="L4746" s="668"/>
      <c r="M4746" s="668"/>
    </row>
    <row r="4747" spans="5:13">
      <c r="E4747" s="668"/>
      <c r="F4747" s="668"/>
      <c r="G4747" s="668"/>
      <c r="H4747" s="668"/>
      <c r="I4747" s="668"/>
      <c r="J4747" s="668"/>
      <c r="K4747" s="674"/>
      <c r="L4747" s="668"/>
      <c r="M4747" s="668"/>
    </row>
    <row r="4748" spans="5:13">
      <c r="E4748" s="668"/>
      <c r="F4748" s="668"/>
      <c r="G4748" s="668"/>
      <c r="H4748" s="668"/>
      <c r="I4748" s="668"/>
      <c r="J4748" s="668"/>
      <c r="K4748" s="674"/>
      <c r="L4748" s="668"/>
      <c r="M4748" s="668"/>
    </row>
    <row r="4749" spans="5:13">
      <c r="E4749" s="668"/>
      <c r="F4749" s="668"/>
      <c r="G4749" s="668"/>
      <c r="H4749" s="668"/>
      <c r="I4749" s="668"/>
      <c r="J4749" s="668"/>
      <c r="K4749" s="674"/>
      <c r="L4749" s="668"/>
      <c r="M4749" s="668"/>
    </row>
    <row r="4750" spans="5:13">
      <c r="E4750" s="668"/>
      <c r="F4750" s="668"/>
      <c r="G4750" s="668"/>
      <c r="H4750" s="668"/>
      <c r="I4750" s="668"/>
      <c r="J4750" s="668"/>
      <c r="K4750" s="674"/>
      <c r="L4750" s="668"/>
      <c r="M4750" s="668"/>
    </row>
    <row r="4751" spans="5:13">
      <c r="E4751" s="668"/>
      <c r="F4751" s="668"/>
      <c r="G4751" s="668"/>
      <c r="H4751" s="668"/>
      <c r="I4751" s="668"/>
      <c r="J4751" s="668"/>
      <c r="K4751" s="674"/>
      <c r="L4751" s="668"/>
      <c r="M4751" s="668"/>
    </row>
    <row r="4752" spans="5:13">
      <c r="E4752" s="668"/>
      <c r="F4752" s="668"/>
      <c r="G4752" s="668"/>
      <c r="H4752" s="668"/>
      <c r="I4752" s="668"/>
      <c r="J4752" s="668"/>
      <c r="K4752" s="674"/>
      <c r="L4752" s="668"/>
      <c r="M4752" s="668"/>
    </row>
    <row r="4753" spans="5:13">
      <c r="E4753" s="668"/>
      <c r="F4753" s="668"/>
      <c r="G4753" s="668"/>
      <c r="H4753" s="668"/>
      <c r="I4753" s="668"/>
      <c r="J4753" s="668"/>
      <c r="K4753" s="674"/>
      <c r="L4753" s="668"/>
      <c r="M4753" s="668"/>
    </row>
    <row r="4754" spans="5:13">
      <c r="E4754" s="668"/>
      <c r="F4754" s="668"/>
      <c r="G4754" s="668"/>
      <c r="H4754" s="668"/>
      <c r="I4754" s="668"/>
      <c r="J4754" s="668"/>
      <c r="K4754" s="674"/>
      <c r="L4754" s="668"/>
      <c r="M4754" s="668"/>
    </row>
    <row r="4755" spans="5:13">
      <c r="E4755" s="668"/>
      <c r="F4755" s="668"/>
      <c r="G4755" s="668"/>
      <c r="H4755" s="668"/>
      <c r="I4755" s="668"/>
      <c r="J4755" s="668"/>
      <c r="K4755" s="674"/>
      <c r="L4755" s="668"/>
      <c r="M4755" s="668"/>
    </row>
    <row r="4756" spans="5:13">
      <c r="E4756" s="668"/>
      <c r="F4756" s="668"/>
      <c r="G4756" s="668"/>
      <c r="H4756" s="668"/>
      <c r="I4756" s="668"/>
      <c r="J4756" s="668"/>
      <c r="K4756" s="674"/>
      <c r="L4756" s="668"/>
      <c r="M4756" s="668"/>
    </row>
    <row r="4757" spans="5:13">
      <c r="E4757" s="668"/>
      <c r="F4757" s="668"/>
      <c r="G4757" s="668"/>
      <c r="H4757" s="668"/>
      <c r="I4757" s="668"/>
      <c r="J4757" s="668"/>
      <c r="K4757" s="674"/>
      <c r="L4757" s="668"/>
      <c r="M4757" s="668"/>
    </row>
    <row r="4758" spans="5:13">
      <c r="E4758" s="668"/>
      <c r="F4758" s="668"/>
      <c r="G4758" s="668"/>
      <c r="H4758" s="668"/>
      <c r="I4758" s="668"/>
      <c r="J4758" s="668"/>
      <c r="K4758" s="674"/>
      <c r="L4758" s="668"/>
      <c r="M4758" s="668"/>
    </row>
    <row r="4759" spans="5:13">
      <c r="E4759" s="668"/>
      <c r="F4759" s="668"/>
      <c r="G4759" s="668"/>
      <c r="H4759" s="668"/>
      <c r="I4759" s="668"/>
      <c r="J4759" s="668"/>
      <c r="K4759" s="674"/>
      <c r="L4759" s="668"/>
      <c r="M4759" s="668"/>
    </row>
    <row r="4760" spans="5:13">
      <c r="E4760" s="668"/>
      <c r="F4760" s="668"/>
      <c r="G4760" s="668"/>
      <c r="H4760" s="668"/>
      <c r="I4760" s="668"/>
      <c r="J4760" s="668"/>
      <c r="K4760" s="674"/>
      <c r="L4760" s="668"/>
      <c r="M4760" s="668"/>
    </row>
    <row r="4761" spans="5:13">
      <c r="E4761" s="668"/>
      <c r="F4761" s="668"/>
      <c r="G4761" s="668"/>
      <c r="H4761" s="668"/>
      <c r="I4761" s="668"/>
      <c r="J4761" s="668"/>
      <c r="K4761" s="674"/>
      <c r="L4761" s="668"/>
      <c r="M4761" s="668"/>
    </row>
    <row r="4762" spans="5:13">
      <c r="E4762" s="668"/>
      <c r="F4762" s="668"/>
      <c r="G4762" s="668"/>
      <c r="H4762" s="668"/>
      <c r="I4762" s="668"/>
      <c r="J4762" s="668"/>
      <c r="K4762" s="674"/>
      <c r="L4762" s="668"/>
      <c r="M4762" s="668"/>
    </row>
    <row r="4763" spans="5:13">
      <c r="E4763" s="668"/>
      <c r="F4763" s="668"/>
      <c r="G4763" s="668"/>
      <c r="H4763" s="668"/>
      <c r="I4763" s="668"/>
      <c r="J4763" s="668"/>
      <c r="K4763" s="674"/>
      <c r="L4763" s="668"/>
      <c r="M4763" s="668"/>
    </row>
    <row r="4764" spans="5:13">
      <c r="E4764" s="668"/>
      <c r="F4764" s="668"/>
      <c r="G4764" s="668"/>
      <c r="H4764" s="668"/>
      <c r="I4764" s="668"/>
      <c r="J4764" s="668"/>
      <c r="K4764" s="674"/>
      <c r="L4764" s="668"/>
      <c r="M4764" s="668"/>
    </row>
    <row r="4765" spans="5:13">
      <c r="E4765" s="668"/>
      <c r="F4765" s="668"/>
      <c r="G4765" s="668"/>
      <c r="H4765" s="668"/>
      <c r="I4765" s="668"/>
      <c r="J4765" s="668"/>
      <c r="K4765" s="674"/>
      <c r="L4765" s="668"/>
      <c r="M4765" s="668"/>
    </row>
    <row r="4766" spans="5:13">
      <c r="E4766" s="668"/>
      <c r="F4766" s="668"/>
      <c r="G4766" s="668"/>
      <c r="H4766" s="668"/>
      <c r="I4766" s="668"/>
      <c r="J4766" s="668"/>
      <c r="K4766" s="674"/>
      <c r="L4766" s="668"/>
      <c r="M4766" s="668"/>
    </row>
    <row r="4767" spans="5:13">
      <c r="E4767" s="668"/>
      <c r="F4767" s="668"/>
      <c r="G4767" s="668"/>
      <c r="H4767" s="668"/>
      <c r="I4767" s="668"/>
      <c r="J4767" s="668"/>
      <c r="K4767" s="674"/>
      <c r="L4767" s="668"/>
      <c r="M4767" s="668"/>
    </row>
    <row r="4768" spans="5:13">
      <c r="E4768" s="668"/>
      <c r="F4768" s="668"/>
      <c r="G4768" s="668"/>
      <c r="H4768" s="668"/>
      <c r="I4768" s="668"/>
      <c r="J4768" s="668"/>
      <c r="K4768" s="674"/>
      <c r="L4768" s="668"/>
      <c r="M4768" s="668"/>
    </row>
    <row r="4769" spans="5:13">
      <c r="E4769" s="668"/>
      <c r="F4769" s="668"/>
      <c r="G4769" s="668"/>
      <c r="H4769" s="668"/>
      <c r="I4769" s="668"/>
      <c r="J4769" s="668"/>
      <c r="K4769" s="674"/>
      <c r="L4769" s="668"/>
      <c r="M4769" s="668"/>
    </row>
    <row r="4770" spans="5:13">
      <c r="E4770" s="668"/>
      <c r="F4770" s="668"/>
      <c r="G4770" s="668"/>
      <c r="H4770" s="668"/>
      <c r="I4770" s="668"/>
      <c r="J4770" s="668"/>
      <c r="K4770" s="674"/>
      <c r="L4770" s="668"/>
      <c r="M4770" s="668"/>
    </row>
    <row r="4771" spans="5:13">
      <c r="E4771" s="668"/>
      <c r="F4771" s="668"/>
      <c r="G4771" s="668"/>
      <c r="H4771" s="668"/>
      <c r="I4771" s="668"/>
      <c r="J4771" s="668"/>
      <c r="K4771" s="674"/>
      <c r="L4771" s="668"/>
      <c r="M4771" s="668"/>
    </row>
    <row r="4772" spans="5:13">
      <c r="E4772" s="668"/>
      <c r="F4772" s="668"/>
      <c r="G4772" s="668"/>
      <c r="H4772" s="668"/>
      <c r="I4772" s="668"/>
      <c r="J4772" s="668"/>
      <c r="K4772" s="674"/>
      <c r="L4772" s="668"/>
      <c r="M4772" s="668"/>
    </row>
    <row r="4773" spans="5:13">
      <c r="E4773" s="668"/>
      <c r="F4773" s="668"/>
      <c r="G4773" s="668"/>
      <c r="H4773" s="668"/>
      <c r="I4773" s="668"/>
      <c r="J4773" s="668"/>
      <c r="K4773" s="674"/>
      <c r="L4773" s="668"/>
      <c r="M4773" s="668"/>
    </row>
    <row r="4774" spans="5:13">
      <c r="E4774" s="668"/>
      <c r="F4774" s="668"/>
      <c r="G4774" s="668"/>
      <c r="H4774" s="668"/>
      <c r="I4774" s="668"/>
      <c r="J4774" s="668"/>
      <c r="K4774" s="674"/>
      <c r="L4774" s="668"/>
      <c r="M4774" s="668"/>
    </row>
    <row r="4775" spans="5:13">
      <c r="E4775" s="668"/>
      <c r="F4775" s="668"/>
      <c r="G4775" s="668"/>
      <c r="H4775" s="668"/>
      <c r="I4775" s="668"/>
      <c r="J4775" s="668"/>
      <c r="K4775" s="674"/>
      <c r="L4775" s="668"/>
      <c r="M4775" s="668"/>
    </row>
    <row r="4776" spans="5:13">
      <c r="E4776" s="668"/>
      <c r="F4776" s="668"/>
      <c r="G4776" s="668"/>
      <c r="H4776" s="668"/>
      <c r="I4776" s="668"/>
      <c r="J4776" s="668"/>
      <c r="K4776" s="674"/>
      <c r="L4776" s="668"/>
      <c r="M4776" s="668"/>
    </row>
    <row r="4777" spans="5:13">
      <c r="E4777" s="668"/>
      <c r="F4777" s="668"/>
      <c r="G4777" s="668"/>
      <c r="H4777" s="668"/>
      <c r="I4777" s="668"/>
      <c r="J4777" s="668"/>
      <c r="K4777" s="674"/>
      <c r="L4777" s="668"/>
      <c r="M4777" s="668"/>
    </row>
    <row r="4778" spans="5:13">
      <c r="E4778" s="668"/>
      <c r="F4778" s="668"/>
      <c r="G4778" s="668"/>
      <c r="H4778" s="668"/>
      <c r="I4778" s="668"/>
      <c r="J4778" s="668"/>
      <c r="K4778" s="674"/>
      <c r="L4778" s="668"/>
      <c r="M4778" s="668"/>
    </row>
    <row r="4779" spans="5:13">
      <c r="E4779" s="668"/>
      <c r="F4779" s="668"/>
      <c r="G4779" s="668"/>
      <c r="H4779" s="668"/>
      <c r="I4779" s="668"/>
      <c r="J4779" s="668"/>
      <c r="K4779" s="674"/>
      <c r="L4779" s="668"/>
      <c r="M4779" s="668"/>
    </row>
    <row r="4780" spans="5:13">
      <c r="E4780" s="668"/>
      <c r="F4780" s="668"/>
      <c r="G4780" s="668"/>
      <c r="H4780" s="668"/>
      <c r="I4780" s="668"/>
      <c r="J4780" s="668"/>
      <c r="K4780" s="674"/>
      <c r="L4780" s="668"/>
      <c r="M4780" s="668"/>
    </row>
    <row r="4781" spans="5:13">
      <c r="E4781" s="668"/>
      <c r="F4781" s="668"/>
      <c r="G4781" s="668"/>
      <c r="H4781" s="668"/>
      <c r="I4781" s="668"/>
      <c r="J4781" s="668"/>
      <c r="K4781" s="674"/>
      <c r="L4781" s="668"/>
      <c r="M4781" s="668"/>
    </row>
    <row r="4782" spans="5:13">
      <c r="E4782" s="668"/>
      <c r="F4782" s="668"/>
      <c r="G4782" s="668"/>
      <c r="H4782" s="668"/>
      <c r="I4782" s="668"/>
      <c r="J4782" s="668"/>
      <c r="K4782" s="674"/>
      <c r="L4782" s="668"/>
      <c r="M4782" s="668"/>
    </row>
    <row r="4783" spans="5:13">
      <c r="E4783" s="668"/>
      <c r="F4783" s="668"/>
      <c r="G4783" s="668"/>
      <c r="H4783" s="668"/>
      <c r="I4783" s="668"/>
      <c r="J4783" s="668"/>
      <c r="K4783" s="674"/>
      <c r="L4783" s="668"/>
      <c r="M4783" s="668"/>
    </row>
    <row r="4784" spans="5:13">
      <c r="E4784" s="668"/>
      <c r="F4784" s="668"/>
      <c r="G4784" s="668"/>
      <c r="H4784" s="668"/>
      <c r="I4784" s="668"/>
      <c r="J4784" s="668"/>
      <c r="K4784" s="674"/>
      <c r="L4784" s="668"/>
      <c r="M4784" s="668"/>
    </row>
    <row r="4785" spans="5:13">
      <c r="E4785" s="668"/>
      <c r="F4785" s="668"/>
      <c r="G4785" s="668"/>
      <c r="H4785" s="668"/>
      <c r="I4785" s="668"/>
      <c r="J4785" s="668"/>
      <c r="K4785" s="674"/>
      <c r="L4785" s="668"/>
      <c r="M4785" s="668"/>
    </row>
    <row r="4786" spans="5:13">
      <c r="E4786" s="668"/>
      <c r="F4786" s="668"/>
      <c r="G4786" s="668"/>
      <c r="H4786" s="668"/>
      <c r="I4786" s="668"/>
      <c r="J4786" s="668"/>
      <c r="K4786" s="674"/>
      <c r="L4786" s="668"/>
      <c r="M4786" s="668"/>
    </row>
    <row r="4787" spans="5:13">
      <c r="E4787" s="668"/>
      <c r="F4787" s="668"/>
      <c r="G4787" s="668"/>
      <c r="H4787" s="668"/>
      <c r="I4787" s="668"/>
      <c r="J4787" s="668"/>
      <c r="K4787" s="674"/>
      <c r="L4787" s="668"/>
      <c r="M4787" s="668"/>
    </row>
    <row r="4788" spans="5:13">
      <c r="E4788" s="668"/>
      <c r="F4788" s="668"/>
      <c r="G4788" s="668"/>
      <c r="H4788" s="668"/>
      <c r="I4788" s="668"/>
      <c r="J4788" s="668"/>
      <c r="K4788" s="674"/>
      <c r="L4788" s="668"/>
      <c r="M4788" s="668"/>
    </row>
    <row r="4789" spans="5:13">
      <c r="E4789" s="668"/>
      <c r="F4789" s="668"/>
      <c r="G4789" s="668"/>
      <c r="H4789" s="668"/>
      <c r="I4789" s="668"/>
      <c r="J4789" s="668"/>
      <c r="K4789" s="674"/>
      <c r="L4789" s="668"/>
      <c r="M4789" s="668"/>
    </row>
    <row r="4790" spans="5:13">
      <c r="E4790" s="668"/>
      <c r="F4790" s="668"/>
      <c r="G4790" s="668"/>
      <c r="H4790" s="668"/>
      <c r="I4790" s="668"/>
      <c r="J4790" s="668"/>
      <c r="K4790" s="674"/>
      <c r="L4790" s="668"/>
      <c r="M4790" s="668"/>
    </row>
    <row r="4791" spans="5:13">
      <c r="E4791" s="668"/>
      <c r="F4791" s="668"/>
      <c r="G4791" s="668"/>
      <c r="H4791" s="668"/>
      <c r="I4791" s="668"/>
      <c r="J4791" s="668"/>
      <c r="K4791" s="674"/>
      <c r="L4791" s="668"/>
      <c r="M4791" s="668"/>
    </row>
    <row r="4792" spans="5:13">
      <c r="E4792" s="668"/>
      <c r="F4792" s="668"/>
      <c r="G4792" s="668"/>
      <c r="H4792" s="668"/>
      <c r="I4792" s="668"/>
      <c r="J4792" s="668"/>
      <c r="K4792" s="674"/>
      <c r="L4792" s="668"/>
      <c r="M4792" s="668"/>
    </row>
    <row r="4793" spans="5:13">
      <c r="E4793" s="668"/>
      <c r="F4793" s="668"/>
      <c r="G4793" s="668"/>
      <c r="H4793" s="668"/>
      <c r="I4793" s="668"/>
      <c r="J4793" s="668"/>
      <c r="K4793" s="674"/>
      <c r="L4793" s="668"/>
      <c r="M4793" s="668"/>
    </row>
    <row r="4794" spans="5:13">
      <c r="E4794" s="668"/>
      <c r="F4794" s="668"/>
      <c r="G4794" s="668"/>
      <c r="H4794" s="668"/>
      <c r="I4794" s="668"/>
      <c r="J4794" s="668"/>
      <c r="K4794" s="674"/>
      <c r="L4794" s="668"/>
      <c r="M4794" s="668"/>
    </row>
    <row r="4795" spans="5:13">
      <c r="E4795" s="668"/>
      <c r="F4795" s="668"/>
      <c r="G4795" s="668"/>
      <c r="H4795" s="668"/>
      <c r="I4795" s="668"/>
      <c r="J4795" s="668"/>
      <c r="K4795" s="674"/>
      <c r="L4795" s="668"/>
      <c r="M4795" s="668"/>
    </row>
    <row r="4796" spans="5:13">
      <c r="E4796" s="668"/>
      <c r="F4796" s="668"/>
      <c r="G4796" s="668"/>
      <c r="H4796" s="668"/>
      <c r="I4796" s="668"/>
      <c r="J4796" s="668"/>
      <c r="K4796" s="674"/>
      <c r="L4796" s="668"/>
      <c r="M4796" s="668"/>
    </row>
    <row r="4797" spans="5:13">
      <c r="E4797" s="668"/>
      <c r="F4797" s="668"/>
      <c r="G4797" s="668"/>
      <c r="H4797" s="668"/>
      <c r="I4797" s="668"/>
      <c r="J4797" s="668"/>
      <c r="K4797" s="674"/>
      <c r="L4797" s="668"/>
      <c r="M4797" s="668"/>
    </row>
    <row r="4798" spans="5:13">
      <c r="E4798" s="668"/>
      <c r="F4798" s="668"/>
      <c r="G4798" s="668"/>
      <c r="H4798" s="668"/>
      <c r="I4798" s="668"/>
      <c r="J4798" s="668"/>
      <c r="K4798" s="674"/>
      <c r="L4798" s="668"/>
      <c r="M4798" s="668"/>
    </row>
    <row r="4799" spans="5:13">
      <c r="E4799" s="668"/>
      <c r="F4799" s="668"/>
      <c r="G4799" s="668"/>
      <c r="H4799" s="668"/>
      <c r="I4799" s="668"/>
      <c r="J4799" s="668"/>
      <c r="K4799" s="674"/>
      <c r="L4799" s="668"/>
      <c r="M4799" s="668"/>
    </row>
    <row r="4800" spans="5:13">
      <c r="E4800" s="668"/>
      <c r="F4800" s="668"/>
      <c r="G4800" s="668"/>
      <c r="H4800" s="668"/>
      <c r="I4800" s="668"/>
      <c r="J4800" s="668"/>
      <c r="K4800" s="674"/>
      <c r="L4800" s="668"/>
      <c r="M4800" s="668"/>
    </row>
    <row r="4801" spans="5:13">
      <c r="E4801" s="668"/>
      <c r="F4801" s="668"/>
      <c r="G4801" s="668"/>
      <c r="H4801" s="668"/>
      <c r="I4801" s="668"/>
      <c r="J4801" s="668"/>
      <c r="K4801" s="674"/>
      <c r="L4801" s="668"/>
      <c r="M4801" s="668"/>
    </row>
    <row r="4802" spans="5:13">
      <c r="E4802" s="668"/>
      <c r="F4802" s="668"/>
      <c r="G4802" s="668"/>
      <c r="H4802" s="668"/>
      <c r="I4802" s="668"/>
      <c r="J4802" s="668"/>
      <c r="K4802" s="674"/>
      <c r="L4802" s="668"/>
      <c r="M4802" s="668"/>
    </row>
    <row r="4803" spans="5:13">
      <c r="E4803" s="668"/>
      <c r="F4803" s="668"/>
      <c r="G4803" s="668"/>
      <c r="H4803" s="668"/>
      <c r="I4803" s="668"/>
      <c r="J4803" s="668"/>
      <c r="K4803" s="674"/>
      <c r="L4803" s="668"/>
      <c r="M4803" s="668"/>
    </row>
    <row r="4804" spans="5:13">
      <c r="E4804" s="668"/>
      <c r="F4804" s="668"/>
      <c r="G4804" s="668"/>
      <c r="H4804" s="668"/>
      <c r="I4804" s="668"/>
      <c r="J4804" s="668"/>
      <c r="K4804" s="674"/>
      <c r="L4804" s="668"/>
      <c r="M4804" s="668"/>
    </row>
    <row r="4805" spans="5:13">
      <c r="E4805" s="668"/>
      <c r="F4805" s="668"/>
      <c r="G4805" s="668"/>
      <c r="H4805" s="668"/>
      <c r="I4805" s="668"/>
      <c r="J4805" s="668"/>
      <c r="K4805" s="674"/>
      <c r="L4805" s="668"/>
      <c r="M4805" s="668"/>
    </row>
    <row r="4806" spans="5:13">
      <c r="E4806" s="668"/>
      <c r="F4806" s="668"/>
      <c r="G4806" s="668"/>
      <c r="H4806" s="668"/>
      <c r="I4806" s="668"/>
      <c r="J4806" s="668"/>
      <c r="K4806" s="674"/>
      <c r="L4806" s="668"/>
      <c r="M4806" s="668"/>
    </row>
    <row r="4807" spans="5:13">
      <c r="E4807" s="668"/>
      <c r="F4807" s="668"/>
      <c r="G4807" s="668"/>
      <c r="H4807" s="668"/>
      <c r="I4807" s="668"/>
      <c r="J4807" s="668"/>
      <c r="K4807" s="674"/>
      <c r="L4807" s="668"/>
      <c r="M4807" s="668"/>
    </row>
    <row r="4808" spans="5:13">
      <c r="E4808" s="668"/>
      <c r="F4808" s="668"/>
      <c r="G4808" s="668"/>
      <c r="H4808" s="668"/>
      <c r="I4808" s="668"/>
      <c r="J4808" s="668"/>
      <c r="K4808" s="674"/>
      <c r="L4808" s="668"/>
      <c r="M4808" s="668"/>
    </row>
    <row r="4809" spans="5:13">
      <c r="E4809" s="668"/>
      <c r="F4809" s="668"/>
      <c r="G4809" s="668"/>
      <c r="H4809" s="668"/>
      <c r="I4809" s="668"/>
      <c r="J4809" s="668"/>
      <c r="K4809" s="674"/>
      <c r="L4809" s="668"/>
      <c r="M4809" s="668"/>
    </row>
    <row r="4810" spans="5:13">
      <c r="E4810" s="668"/>
      <c r="F4810" s="668"/>
      <c r="G4810" s="668"/>
      <c r="H4810" s="668"/>
      <c r="I4810" s="668"/>
      <c r="J4810" s="668"/>
      <c r="K4810" s="674"/>
      <c r="L4810" s="668"/>
      <c r="M4810" s="668"/>
    </row>
    <row r="4811" spans="5:13">
      <c r="E4811" s="668"/>
      <c r="F4811" s="668"/>
      <c r="G4811" s="668"/>
      <c r="H4811" s="668"/>
      <c r="I4811" s="668"/>
      <c r="J4811" s="668"/>
      <c r="K4811" s="674"/>
      <c r="L4811" s="668"/>
      <c r="M4811" s="668"/>
    </row>
    <row r="4812" spans="5:13">
      <c r="E4812" s="668"/>
      <c r="F4812" s="668"/>
      <c r="G4812" s="668"/>
      <c r="H4812" s="668"/>
      <c r="I4812" s="668"/>
      <c r="J4812" s="668"/>
      <c r="K4812" s="674"/>
      <c r="L4812" s="668"/>
      <c r="M4812" s="668"/>
    </row>
    <row r="4813" spans="5:13">
      <c r="E4813" s="668"/>
      <c r="F4813" s="668"/>
      <c r="G4813" s="668"/>
      <c r="H4813" s="668"/>
      <c r="I4813" s="668"/>
      <c r="J4813" s="668"/>
      <c r="K4813" s="674"/>
      <c r="L4813" s="668"/>
      <c r="M4813" s="668"/>
    </row>
    <row r="4814" spans="5:13">
      <c r="E4814" s="668"/>
      <c r="F4814" s="668"/>
      <c r="G4814" s="668"/>
      <c r="H4814" s="668"/>
      <c r="I4814" s="668"/>
      <c r="J4814" s="668"/>
      <c r="K4814" s="674"/>
      <c r="L4814" s="668"/>
      <c r="M4814" s="668"/>
    </row>
    <row r="4815" spans="5:13">
      <c r="E4815" s="668"/>
      <c r="F4815" s="668"/>
      <c r="G4815" s="668"/>
      <c r="H4815" s="668"/>
      <c r="I4815" s="668"/>
      <c r="J4815" s="668"/>
      <c r="K4815" s="674"/>
      <c r="L4815" s="668"/>
      <c r="M4815" s="668"/>
    </row>
    <row r="4816" spans="5:13">
      <c r="E4816" s="668"/>
      <c r="F4816" s="668"/>
      <c r="G4816" s="668"/>
      <c r="H4816" s="668"/>
      <c r="I4816" s="668"/>
      <c r="J4816" s="668"/>
      <c r="K4816" s="674"/>
      <c r="L4816" s="668"/>
      <c r="M4816" s="668"/>
    </row>
    <row r="4817" spans="5:13">
      <c r="E4817" s="668"/>
      <c r="F4817" s="668"/>
      <c r="G4817" s="668"/>
      <c r="H4817" s="668"/>
      <c r="I4817" s="668"/>
      <c r="J4817" s="668"/>
      <c r="K4817" s="674"/>
      <c r="L4817" s="668"/>
      <c r="M4817" s="668"/>
    </row>
    <row r="4818" spans="5:13">
      <c r="E4818" s="668"/>
      <c r="F4818" s="668"/>
      <c r="G4818" s="668"/>
      <c r="H4818" s="668"/>
      <c r="I4818" s="668"/>
      <c r="J4818" s="668"/>
      <c r="K4818" s="674"/>
      <c r="L4818" s="668"/>
      <c r="M4818" s="668"/>
    </row>
    <row r="4819" spans="5:13">
      <c r="E4819" s="668"/>
      <c r="F4819" s="668"/>
      <c r="G4819" s="668"/>
      <c r="H4819" s="668"/>
      <c r="I4819" s="668"/>
      <c r="J4819" s="668"/>
      <c r="K4819" s="674"/>
      <c r="L4819" s="668"/>
      <c r="M4819" s="668"/>
    </row>
    <row r="4820" spans="5:13">
      <c r="E4820" s="668"/>
      <c r="F4820" s="668"/>
      <c r="G4820" s="668"/>
      <c r="H4820" s="668"/>
      <c r="I4820" s="668"/>
      <c r="J4820" s="668"/>
      <c r="K4820" s="674"/>
      <c r="L4820" s="668"/>
      <c r="M4820" s="668"/>
    </row>
    <row r="4821" spans="5:13">
      <c r="E4821" s="668"/>
      <c r="F4821" s="668"/>
      <c r="G4821" s="668"/>
      <c r="H4821" s="668"/>
      <c r="I4821" s="668"/>
      <c r="J4821" s="668"/>
      <c r="K4821" s="674"/>
      <c r="L4821" s="668"/>
      <c r="M4821" s="668"/>
    </row>
    <row r="4822" spans="5:13">
      <c r="E4822" s="668"/>
      <c r="F4822" s="668"/>
      <c r="G4822" s="668"/>
      <c r="H4822" s="668"/>
      <c r="I4822" s="668"/>
      <c r="J4822" s="668"/>
      <c r="K4822" s="674"/>
      <c r="L4822" s="668"/>
      <c r="M4822" s="668"/>
    </row>
    <row r="4823" spans="5:13">
      <c r="E4823" s="668"/>
      <c r="F4823" s="668"/>
      <c r="G4823" s="668"/>
      <c r="H4823" s="668"/>
      <c r="I4823" s="668"/>
      <c r="J4823" s="668"/>
      <c r="K4823" s="674"/>
      <c r="L4823" s="668"/>
      <c r="M4823" s="668"/>
    </row>
    <row r="4824" spans="5:13">
      <c r="E4824" s="668"/>
      <c r="F4824" s="668"/>
      <c r="G4824" s="668"/>
      <c r="H4824" s="668"/>
      <c r="I4824" s="668"/>
      <c r="J4824" s="668"/>
      <c r="K4824" s="674"/>
      <c r="L4824" s="668"/>
      <c r="M4824" s="668"/>
    </row>
    <row r="4825" spans="5:13">
      <c r="E4825" s="668"/>
      <c r="F4825" s="668"/>
      <c r="G4825" s="668"/>
      <c r="H4825" s="668"/>
      <c r="I4825" s="668"/>
      <c r="J4825" s="668"/>
      <c r="K4825" s="674"/>
      <c r="L4825" s="668"/>
      <c r="M4825" s="668"/>
    </row>
    <row r="4826" spans="5:13">
      <c r="E4826" s="668"/>
      <c r="F4826" s="668"/>
      <c r="G4826" s="668"/>
      <c r="H4826" s="668"/>
      <c r="I4826" s="668"/>
      <c r="J4826" s="668"/>
      <c r="K4826" s="674"/>
      <c r="L4826" s="668"/>
      <c r="M4826" s="668"/>
    </row>
    <row r="4827" spans="5:13">
      <c r="E4827" s="668"/>
      <c r="F4827" s="668"/>
      <c r="G4827" s="668"/>
      <c r="H4827" s="668"/>
      <c r="I4827" s="668"/>
      <c r="J4827" s="668"/>
      <c r="K4827" s="674"/>
      <c r="L4827" s="668"/>
      <c r="M4827" s="668"/>
    </row>
    <row r="4828" spans="5:13">
      <c r="E4828" s="668"/>
      <c r="F4828" s="668"/>
      <c r="G4828" s="668"/>
      <c r="H4828" s="668"/>
      <c r="I4828" s="668"/>
      <c r="J4828" s="668"/>
      <c r="K4828" s="674"/>
      <c r="L4828" s="668"/>
      <c r="M4828" s="668"/>
    </row>
    <row r="4829" spans="5:13">
      <c r="E4829" s="668"/>
      <c r="F4829" s="668"/>
      <c r="G4829" s="668"/>
      <c r="H4829" s="668"/>
      <c r="I4829" s="668"/>
      <c r="J4829" s="668"/>
      <c r="K4829" s="674"/>
      <c r="L4829" s="668"/>
      <c r="M4829" s="668"/>
    </row>
    <row r="4830" spans="5:13">
      <c r="E4830" s="668"/>
      <c r="F4830" s="668"/>
      <c r="G4830" s="668"/>
      <c r="H4830" s="668"/>
      <c r="I4830" s="668"/>
      <c r="J4830" s="668"/>
      <c r="K4830" s="674"/>
      <c r="L4830" s="668"/>
      <c r="M4830" s="668"/>
    </row>
    <row r="4831" spans="5:13">
      <c r="E4831" s="668"/>
      <c r="F4831" s="668"/>
      <c r="G4831" s="668"/>
      <c r="H4831" s="668"/>
      <c r="I4831" s="668"/>
      <c r="J4831" s="668"/>
      <c r="K4831" s="674"/>
      <c r="L4831" s="668"/>
      <c r="M4831" s="668"/>
    </row>
    <row r="4832" spans="5:13">
      <c r="E4832" s="668"/>
      <c r="F4832" s="668"/>
      <c r="G4832" s="668"/>
      <c r="H4832" s="668"/>
      <c r="I4832" s="668"/>
      <c r="J4832" s="668"/>
      <c r="K4832" s="674"/>
      <c r="L4832" s="668"/>
      <c r="M4832" s="668"/>
    </row>
    <row r="4833" spans="5:13">
      <c r="E4833" s="668"/>
      <c r="F4833" s="668"/>
      <c r="G4833" s="668"/>
      <c r="H4833" s="668"/>
      <c r="I4833" s="668"/>
      <c r="J4833" s="668"/>
      <c r="K4833" s="674"/>
      <c r="L4833" s="668"/>
      <c r="M4833" s="668"/>
    </row>
    <row r="4834" spans="5:13">
      <c r="E4834" s="668"/>
      <c r="F4834" s="668"/>
      <c r="G4834" s="668"/>
      <c r="H4834" s="668"/>
      <c r="I4834" s="668"/>
      <c r="J4834" s="668"/>
      <c r="K4834" s="674"/>
      <c r="L4834" s="668"/>
      <c r="M4834" s="668"/>
    </row>
    <row r="4835" spans="5:13">
      <c r="E4835" s="668"/>
      <c r="F4835" s="668"/>
      <c r="G4835" s="668"/>
      <c r="H4835" s="668"/>
      <c r="I4835" s="668"/>
      <c r="J4835" s="668"/>
      <c r="K4835" s="674"/>
      <c r="L4835" s="668"/>
      <c r="M4835" s="668"/>
    </row>
    <row r="4836" spans="5:13">
      <c r="E4836" s="668"/>
      <c r="F4836" s="668"/>
      <c r="G4836" s="668"/>
      <c r="H4836" s="668"/>
      <c r="I4836" s="668"/>
      <c r="J4836" s="668"/>
      <c r="K4836" s="674"/>
      <c r="L4836" s="668"/>
      <c r="M4836" s="668"/>
    </row>
    <row r="4837" spans="5:13">
      <c r="E4837" s="668"/>
      <c r="F4837" s="668"/>
      <c r="G4837" s="668"/>
      <c r="H4837" s="668"/>
      <c r="I4837" s="668"/>
      <c r="J4837" s="668"/>
      <c r="K4837" s="674"/>
      <c r="L4837" s="668"/>
      <c r="M4837" s="668"/>
    </row>
    <row r="4838" spans="5:13">
      <c r="E4838" s="668"/>
      <c r="F4838" s="668"/>
      <c r="G4838" s="668"/>
      <c r="H4838" s="668"/>
      <c r="I4838" s="668"/>
      <c r="J4838" s="668"/>
      <c r="K4838" s="674"/>
      <c r="L4838" s="668"/>
      <c r="M4838" s="668"/>
    </row>
    <row r="4839" spans="5:13">
      <c r="E4839" s="668"/>
      <c r="F4839" s="668"/>
      <c r="G4839" s="668"/>
      <c r="H4839" s="668"/>
      <c r="I4839" s="668"/>
      <c r="J4839" s="668"/>
      <c r="K4839" s="674"/>
      <c r="L4839" s="668"/>
      <c r="M4839" s="668"/>
    </row>
    <row r="4840" spans="5:13">
      <c r="E4840" s="668"/>
      <c r="F4840" s="668"/>
      <c r="G4840" s="668"/>
      <c r="H4840" s="668"/>
      <c r="I4840" s="668"/>
      <c r="J4840" s="668"/>
      <c r="K4840" s="674"/>
      <c r="L4840" s="668"/>
      <c r="M4840" s="668"/>
    </row>
    <row r="4841" spans="5:13">
      <c r="E4841" s="668"/>
      <c r="F4841" s="668"/>
      <c r="G4841" s="668"/>
      <c r="H4841" s="668"/>
      <c r="I4841" s="668"/>
      <c r="J4841" s="668"/>
      <c r="K4841" s="674"/>
      <c r="L4841" s="668"/>
      <c r="M4841" s="668"/>
    </row>
    <row r="4842" spans="5:13">
      <c r="E4842" s="668"/>
      <c r="F4842" s="668"/>
      <c r="G4842" s="668"/>
      <c r="H4842" s="668"/>
      <c r="I4842" s="668"/>
      <c r="J4842" s="668"/>
      <c r="K4842" s="674"/>
      <c r="L4842" s="668"/>
      <c r="M4842" s="668"/>
    </row>
    <row r="4843" spans="5:13">
      <c r="E4843" s="668"/>
      <c r="F4843" s="668"/>
      <c r="G4843" s="668"/>
      <c r="H4843" s="668"/>
      <c r="I4843" s="668"/>
      <c r="J4843" s="668"/>
      <c r="K4843" s="674"/>
      <c r="L4843" s="668"/>
      <c r="M4843" s="668"/>
    </row>
    <row r="4844" spans="5:13">
      <c r="E4844" s="668"/>
      <c r="F4844" s="668"/>
      <c r="G4844" s="668"/>
      <c r="H4844" s="668"/>
      <c r="I4844" s="668"/>
      <c r="J4844" s="668"/>
      <c r="K4844" s="674"/>
      <c r="L4844" s="668"/>
      <c r="M4844" s="668"/>
    </row>
    <row r="4845" spans="5:13">
      <c r="E4845" s="668"/>
      <c r="F4845" s="668"/>
      <c r="G4845" s="668"/>
      <c r="H4845" s="668"/>
      <c r="I4845" s="668"/>
      <c r="J4845" s="668"/>
      <c r="K4845" s="674"/>
      <c r="L4845" s="668"/>
      <c r="M4845" s="668"/>
    </row>
    <row r="4846" spans="5:13">
      <c r="E4846" s="668"/>
      <c r="F4846" s="668"/>
      <c r="G4846" s="668"/>
      <c r="H4846" s="668"/>
      <c r="I4846" s="668"/>
      <c r="J4846" s="668"/>
      <c r="K4846" s="674"/>
      <c r="L4846" s="668"/>
      <c r="M4846" s="668"/>
    </row>
    <row r="4847" spans="5:13">
      <c r="E4847" s="668"/>
      <c r="F4847" s="668"/>
      <c r="G4847" s="668"/>
      <c r="H4847" s="668"/>
      <c r="I4847" s="668"/>
      <c r="J4847" s="668"/>
      <c r="K4847" s="674"/>
      <c r="L4847" s="668"/>
      <c r="M4847" s="668"/>
    </row>
    <row r="4848" spans="5:13">
      <c r="E4848" s="668"/>
      <c r="F4848" s="668"/>
      <c r="G4848" s="668"/>
      <c r="H4848" s="668"/>
      <c r="I4848" s="668"/>
      <c r="J4848" s="668"/>
      <c r="K4848" s="674"/>
      <c r="L4848" s="668"/>
      <c r="M4848" s="668"/>
    </row>
    <row r="4849" spans="5:13">
      <c r="E4849" s="668"/>
      <c r="F4849" s="668"/>
      <c r="G4849" s="668"/>
      <c r="H4849" s="668"/>
      <c r="I4849" s="668"/>
      <c r="J4849" s="668"/>
      <c r="K4849" s="674"/>
      <c r="L4849" s="668"/>
      <c r="M4849" s="668"/>
    </row>
    <row r="4850" spans="5:13">
      <c r="E4850" s="668"/>
      <c r="F4850" s="668"/>
      <c r="G4850" s="668"/>
      <c r="H4850" s="668"/>
      <c r="I4850" s="668"/>
      <c r="J4850" s="668"/>
      <c r="K4850" s="674"/>
      <c r="L4850" s="668"/>
      <c r="M4850" s="668"/>
    </row>
    <row r="4851" spans="5:13">
      <c r="E4851" s="668"/>
      <c r="F4851" s="668"/>
      <c r="G4851" s="668"/>
      <c r="H4851" s="668"/>
      <c r="I4851" s="668"/>
      <c r="J4851" s="668"/>
      <c r="K4851" s="674"/>
      <c r="L4851" s="668"/>
      <c r="M4851" s="668"/>
    </row>
    <row r="4852" spans="5:13">
      <c r="E4852" s="668"/>
      <c r="F4852" s="668"/>
      <c r="G4852" s="668"/>
      <c r="H4852" s="668"/>
      <c r="I4852" s="668"/>
      <c r="J4852" s="668"/>
      <c r="K4852" s="674"/>
      <c r="L4852" s="668"/>
      <c r="M4852" s="668"/>
    </row>
    <row r="4853" spans="5:13">
      <c r="E4853" s="668"/>
      <c r="F4853" s="668"/>
      <c r="G4853" s="668"/>
      <c r="H4853" s="668"/>
      <c r="I4853" s="668"/>
      <c r="J4853" s="668"/>
      <c r="K4853" s="674"/>
      <c r="L4853" s="668"/>
      <c r="M4853" s="668"/>
    </row>
    <row r="4854" spans="5:13">
      <c r="E4854" s="668"/>
      <c r="F4854" s="668"/>
      <c r="G4854" s="668"/>
      <c r="H4854" s="668"/>
      <c r="I4854" s="668"/>
      <c r="J4854" s="668"/>
      <c r="K4854" s="674"/>
      <c r="L4854" s="668"/>
      <c r="M4854" s="668"/>
    </row>
    <row r="4855" spans="5:13">
      <c r="E4855" s="668"/>
      <c r="F4855" s="668"/>
      <c r="G4855" s="668"/>
      <c r="H4855" s="668"/>
      <c r="I4855" s="668"/>
      <c r="J4855" s="668"/>
      <c r="K4855" s="674"/>
      <c r="L4855" s="668"/>
      <c r="M4855" s="668"/>
    </row>
    <row r="4856" spans="5:13">
      <c r="E4856" s="668"/>
      <c r="F4856" s="668"/>
      <c r="G4856" s="668"/>
      <c r="H4856" s="668"/>
      <c r="I4856" s="668"/>
      <c r="J4856" s="668"/>
      <c r="K4856" s="674"/>
      <c r="L4856" s="668"/>
      <c r="M4856" s="668"/>
    </row>
    <row r="4857" spans="5:13">
      <c r="E4857" s="668"/>
      <c r="F4857" s="668"/>
      <c r="G4857" s="668"/>
      <c r="H4857" s="668"/>
      <c r="I4857" s="668"/>
      <c r="J4857" s="668"/>
      <c r="K4857" s="674"/>
      <c r="L4857" s="668"/>
      <c r="M4857" s="668"/>
    </row>
    <row r="4858" spans="5:13">
      <c r="E4858" s="668"/>
      <c r="F4858" s="668"/>
      <c r="G4858" s="668"/>
      <c r="H4858" s="668"/>
      <c r="I4858" s="668"/>
      <c r="J4858" s="668"/>
      <c r="K4858" s="674"/>
      <c r="L4858" s="668"/>
      <c r="M4858" s="668"/>
    </row>
    <row r="4859" spans="5:13">
      <c r="E4859" s="668"/>
      <c r="F4859" s="668"/>
      <c r="G4859" s="668"/>
      <c r="H4859" s="668"/>
      <c r="I4859" s="668"/>
      <c r="J4859" s="668"/>
      <c r="K4859" s="674"/>
      <c r="L4859" s="668"/>
      <c r="M4859" s="668"/>
    </row>
    <row r="4860" spans="5:13">
      <c r="E4860" s="668"/>
      <c r="F4860" s="668"/>
      <c r="G4860" s="668"/>
      <c r="H4860" s="668"/>
      <c r="I4860" s="668"/>
      <c r="J4860" s="668"/>
      <c r="K4860" s="674"/>
      <c r="L4860" s="668"/>
      <c r="M4860" s="668"/>
    </row>
    <row r="4861" spans="5:13">
      <c r="E4861" s="668"/>
      <c r="F4861" s="668"/>
      <c r="G4861" s="668"/>
      <c r="H4861" s="668"/>
      <c r="I4861" s="668"/>
      <c r="J4861" s="668"/>
      <c r="K4861" s="674"/>
      <c r="L4861" s="668"/>
      <c r="M4861" s="668"/>
    </row>
    <row r="4862" spans="5:13">
      <c r="E4862" s="668"/>
      <c r="F4862" s="668"/>
      <c r="G4862" s="668"/>
      <c r="H4862" s="668"/>
      <c r="I4862" s="668"/>
      <c r="J4862" s="668"/>
      <c r="K4862" s="674"/>
      <c r="L4862" s="668"/>
      <c r="M4862" s="668"/>
    </row>
    <row r="4863" spans="5:13">
      <c r="E4863" s="668"/>
      <c r="F4863" s="668"/>
      <c r="G4863" s="668"/>
      <c r="H4863" s="668"/>
      <c r="I4863" s="668"/>
      <c r="J4863" s="668"/>
      <c r="K4863" s="674"/>
      <c r="L4863" s="668"/>
      <c r="M4863" s="668"/>
    </row>
    <row r="4864" spans="5:13">
      <c r="E4864" s="668"/>
      <c r="F4864" s="668"/>
      <c r="G4864" s="668"/>
      <c r="H4864" s="668"/>
      <c r="I4864" s="668"/>
      <c r="J4864" s="668"/>
      <c r="K4864" s="674"/>
      <c r="L4864" s="668"/>
      <c r="M4864" s="668"/>
    </row>
    <row r="4865" spans="5:13">
      <c r="E4865" s="668"/>
      <c r="F4865" s="668"/>
      <c r="G4865" s="668"/>
      <c r="H4865" s="668"/>
      <c r="I4865" s="668"/>
      <c r="J4865" s="668"/>
      <c r="K4865" s="674"/>
      <c r="L4865" s="668"/>
      <c r="M4865" s="668"/>
    </row>
    <row r="4866" spans="5:13">
      <c r="E4866" s="668"/>
      <c r="F4866" s="668"/>
      <c r="G4866" s="668"/>
      <c r="H4866" s="668"/>
      <c r="I4866" s="668"/>
      <c r="J4866" s="668"/>
      <c r="K4866" s="674"/>
      <c r="L4866" s="668"/>
      <c r="M4866" s="668"/>
    </row>
    <row r="4867" spans="5:13">
      <c r="E4867" s="668"/>
      <c r="F4867" s="668"/>
      <c r="G4867" s="668"/>
      <c r="H4867" s="668"/>
      <c r="I4867" s="668"/>
      <c r="J4867" s="668"/>
      <c r="K4867" s="674"/>
      <c r="L4867" s="668"/>
      <c r="M4867" s="668"/>
    </row>
    <row r="4868" spans="5:13">
      <c r="E4868" s="668"/>
      <c r="F4868" s="668"/>
      <c r="G4868" s="668"/>
      <c r="H4868" s="668"/>
      <c r="I4868" s="668"/>
      <c r="J4868" s="668"/>
      <c r="K4868" s="674"/>
      <c r="L4868" s="668"/>
      <c r="M4868" s="668"/>
    </row>
    <row r="4869" spans="5:13">
      <c r="E4869" s="668"/>
      <c r="F4869" s="668"/>
      <c r="G4869" s="668"/>
      <c r="H4869" s="668"/>
      <c r="I4869" s="668"/>
      <c r="J4869" s="668"/>
      <c r="K4869" s="674"/>
      <c r="L4869" s="668"/>
      <c r="M4869" s="668"/>
    </row>
    <row r="4870" spans="5:13">
      <c r="E4870" s="668"/>
      <c r="F4870" s="668"/>
      <c r="G4870" s="668"/>
      <c r="H4870" s="668"/>
      <c r="I4870" s="668"/>
      <c r="J4870" s="668"/>
      <c r="K4870" s="674"/>
      <c r="L4870" s="668"/>
      <c r="M4870" s="668"/>
    </row>
    <row r="4871" spans="5:13">
      <c r="E4871" s="668"/>
      <c r="F4871" s="668"/>
      <c r="G4871" s="668"/>
      <c r="H4871" s="668"/>
      <c r="I4871" s="668"/>
      <c r="J4871" s="668"/>
      <c r="K4871" s="674"/>
      <c r="L4871" s="668"/>
      <c r="M4871" s="668"/>
    </row>
    <row r="4872" spans="5:13">
      <c r="E4872" s="668"/>
      <c r="F4872" s="668"/>
      <c r="G4872" s="668"/>
      <c r="H4872" s="668"/>
      <c r="I4872" s="668"/>
      <c r="J4872" s="668"/>
      <c r="K4872" s="674"/>
      <c r="L4872" s="668"/>
      <c r="M4872" s="668"/>
    </row>
    <row r="4873" spans="5:13">
      <c r="E4873" s="668"/>
      <c r="F4873" s="668"/>
      <c r="G4873" s="668"/>
      <c r="H4873" s="668"/>
      <c r="I4873" s="668"/>
      <c r="J4873" s="668"/>
      <c r="K4873" s="674"/>
      <c r="L4873" s="668"/>
      <c r="M4873" s="668"/>
    </row>
    <row r="4874" spans="5:13">
      <c r="E4874" s="668"/>
      <c r="F4874" s="668"/>
      <c r="G4874" s="668"/>
      <c r="H4874" s="668"/>
      <c r="I4874" s="668"/>
      <c r="J4874" s="668"/>
      <c r="K4874" s="674"/>
      <c r="L4874" s="668"/>
      <c r="M4874" s="668"/>
    </row>
    <row r="4875" spans="5:13">
      <c r="E4875" s="668"/>
      <c r="F4875" s="668"/>
      <c r="G4875" s="668"/>
      <c r="H4875" s="668"/>
      <c r="I4875" s="668"/>
      <c r="J4875" s="668"/>
      <c r="K4875" s="674"/>
      <c r="L4875" s="668"/>
      <c r="M4875" s="668"/>
    </row>
    <row r="4876" spans="5:13">
      <c r="E4876" s="668"/>
      <c r="F4876" s="668"/>
      <c r="G4876" s="668"/>
      <c r="H4876" s="668"/>
      <c r="I4876" s="668"/>
      <c r="J4876" s="668"/>
      <c r="K4876" s="674"/>
      <c r="L4876" s="668"/>
      <c r="M4876" s="668"/>
    </row>
    <row r="4877" spans="5:13">
      <c r="E4877" s="668"/>
      <c r="F4877" s="668"/>
      <c r="G4877" s="668"/>
      <c r="H4877" s="668"/>
      <c r="I4877" s="668"/>
      <c r="J4877" s="668"/>
      <c r="K4877" s="674"/>
      <c r="L4877" s="668"/>
      <c r="M4877" s="668"/>
    </row>
    <row r="4878" spans="5:13">
      <c r="E4878" s="668"/>
      <c r="F4878" s="668"/>
      <c r="G4878" s="668"/>
      <c r="H4878" s="668"/>
      <c r="I4878" s="668"/>
      <c r="J4878" s="668"/>
      <c r="K4878" s="674"/>
      <c r="L4878" s="668"/>
      <c r="M4878" s="668"/>
    </row>
    <row r="4879" spans="5:13">
      <c r="E4879" s="668"/>
      <c r="F4879" s="668"/>
      <c r="G4879" s="668"/>
      <c r="H4879" s="668"/>
      <c r="I4879" s="668"/>
      <c r="J4879" s="668"/>
      <c r="K4879" s="674"/>
      <c r="L4879" s="668"/>
      <c r="M4879" s="668"/>
    </row>
    <row r="4880" spans="5:13">
      <c r="E4880" s="668"/>
      <c r="F4880" s="668"/>
      <c r="G4880" s="668"/>
      <c r="H4880" s="668"/>
      <c r="I4880" s="668"/>
      <c r="J4880" s="668"/>
      <c r="K4880" s="674"/>
      <c r="L4880" s="668"/>
      <c r="M4880" s="668"/>
    </row>
    <row r="4881" spans="5:13">
      <c r="E4881" s="668"/>
      <c r="F4881" s="668"/>
      <c r="G4881" s="668"/>
      <c r="H4881" s="668"/>
      <c r="I4881" s="668"/>
      <c r="J4881" s="668"/>
      <c r="K4881" s="674"/>
      <c r="L4881" s="668"/>
      <c r="M4881" s="668"/>
    </row>
    <row r="4882" spans="5:13">
      <c r="E4882" s="668"/>
      <c r="F4882" s="668"/>
      <c r="G4882" s="668"/>
      <c r="H4882" s="668"/>
      <c r="I4882" s="668"/>
      <c r="J4882" s="668"/>
      <c r="K4882" s="674"/>
      <c r="L4882" s="668"/>
      <c r="M4882" s="668"/>
    </row>
    <row r="4883" spans="5:13">
      <c r="E4883" s="668"/>
      <c r="F4883" s="668"/>
      <c r="G4883" s="668"/>
      <c r="H4883" s="668"/>
      <c r="I4883" s="668"/>
      <c r="J4883" s="668"/>
      <c r="K4883" s="674"/>
      <c r="L4883" s="668"/>
      <c r="M4883" s="668"/>
    </row>
    <row r="4884" spans="5:13">
      <c r="E4884" s="668"/>
      <c r="F4884" s="668"/>
      <c r="G4884" s="668"/>
      <c r="H4884" s="668"/>
      <c r="I4884" s="668"/>
      <c r="J4884" s="668"/>
      <c r="K4884" s="674"/>
      <c r="L4884" s="668"/>
      <c r="M4884" s="668"/>
    </row>
    <row r="4885" spans="5:13">
      <c r="E4885" s="668"/>
      <c r="F4885" s="668"/>
      <c r="G4885" s="668"/>
      <c r="H4885" s="668"/>
      <c r="I4885" s="668"/>
      <c r="J4885" s="668"/>
      <c r="K4885" s="674"/>
      <c r="L4885" s="668"/>
      <c r="M4885" s="668"/>
    </row>
    <row r="4886" spans="5:13">
      <c r="E4886" s="668"/>
      <c r="F4886" s="668"/>
      <c r="G4886" s="668"/>
      <c r="H4886" s="668"/>
      <c r="I4886" s="668"/>
      <c r="J4886" s="668"/>
      <c r="K4886" s="674"/>
      <c r="L4886" s="668"/>
      <c r="M4886" s="668"/>
    </row>
    <row r="4887" spans="5:13">
      <c r="E4887" s="668"/>
      <c r="F4887" s="668"/>
      <c r="G4887" s="668"/>
      <c r="H4887" s="668"/>
      <c r="I4887" s="668"/>
      <c r="J4887" s="668"/>
      <c r="K4887" s="674"/>
      <c r="L4887" s="668"/>
      <c r="M4887" s="668"/>
    </row>
    <row r="4888" spans="5:13">
      <c r="E4888" s="668"/>
      <c r="F4888" s="668"/>
      <c r="G4888" s="668"/>
      <c r="H4888" s="668"/>
      <c r="I4888" s="668"/>
      <c r="J4888" s="668"/>
      <c r="K4888" s="674"/>
      <c r="L4888" s="668"/>
      <c r="M4888" s="668"/>
    </row>
    <row r="4889" spans="5:13">
      <c r="E4889" s="668"/>
      <c r="F4889" s="668"/>
      <c r="G4889" s="668"/>
      <c r="H4889" s="668"/>
      <c r="I4889" s="668"/>
      <c r="J4889" s="668"/>
      <c r="K4889" s="674"/>
      <c r="L4889" s="668"/>
      <c r="M4889" s="668"/>
    </row>
    <row r="4890" spans="5:13">
      <c r="E4890" s="668"/>
      <c r="F4890" s="668"/>
      <c r="G4890" s="668"/>
      <c r="H4890" s="668"/>
      <c r="I4890" s="668"/>
      <c r="J4890" s="668"/>
      <c r="K4890" s="674"/>
      <c r="L4890" s="668"/>
      <c r="M4890" s="668"/>
    </row>
    <row r="4891" spans="5:13">
      <c r="E4891" s="668"/>
      <c r="F4891" s="668"/>
      <c r="G4891" s="668"/>
      <c r="H4891" s="668"/>
      <c r="I4891" s="668"/>
      <c r="J4891" s="668"/>
      <c r="K4891" s="674"/>
      <c r="L4891" s="668"/>
      <c r="M4891" s="668"/>
    </row>
    <row r="4892" spans="5:13">
      <c r="E4892" s="668"/>
      <c r="F4892" s="668"/>
      <c r="G4892" s="668"/>
      <c r="H4892" s="668"/>
      <c r="I4892" s="668"/>
      <c r="J4892" s="668"/>
      <c r="K4892" s="674"/>
      <c r="L4892" s="668"/>
      <c r="M4892" s="668"/>
    </row>
    <row r="4893" spans="5:13">
      <c r="E4893" s="668"/>
      <c r="F4893" s="668"/>
      <c r="G4893" s="668"/>
      <c r="H4893" s="668"/>
      <c r="I4893" s="668"/>
      <c r="J4893" s="668"/>
      <c r="K4893" s="674"/>
      <c r="L4893" s="668"/>
      <c r="M4893" s="668"/>
    </row>
    <row r="4894" spans="5:13">
      <c r="E4894" s="668"/>
      <c r="F4894" s="668"/>
      <c r="G4894" s="668"/>
      <c r="H4894" s="668"/>
      <c r="I4894" s="668"/>
      <c r="J4894" s="668"/>
      <c r="K4894" s="674"/>
      <c r="L4894" s="668"/>
      <c r="M4894" s="668"/>
    </row>
    <row r="4895" spans="5:13">
      <c r="E4895" s="668"/>
      <c r="F4895" s="668"/>
      <c r="G4895" s="668"/>
      <c r="H4895" s="668"/>
      <c r="I4895" s="668"/>
      <c r="J4895" s="668"/>
      <c r="K4895" s="674"/>
      <c r="L4895" s="668"/>
      <c r="M4895" s="668"/>
    </row>
    <row r="4896" spans="5:13">
      <c r="E4896" s="668"/>
      <c r="F4896" s="668"/>
      <c r="G4896" s="668"/>
      <c r="H4896" s="668"/>
      <c r="I4896" s="668"/>
      <c r="J4896" s="668"/>
      <c r="K4896" s="674"/>
      <c r="L4896" s="668"/>
      <c r="M4896" s="668"/>
    </row>
    <row r="4897" spans="5:13">
      <c r="E4897" s="668"/>
      <c r="F4897" s="668"/>
      <c r="G4897" s="668"/>
      <c r="H4897" s="668"/>
      <c r="I4897" s="668"/>
      <c r="J4897" s="668"/>
      <c r="K4897" s="674"/>
      <c r="L4897" s="668"/>
      <c r="M4897" s="668"/>
    </row>
    <row r="4898" spans="5:13">
      <c r="E4898" s="668"/>
      <c r="F4898" s="668"/>
      <c r="G4898" s="668"/>
      <c r="H4898" s="668"/>
      <c r="I4898" s="668"/>
      <c r="J4898" s="668"/>
      <c r="K4898" s="674"/>
      <c r="L4898" s="668"/>
      <c r="M4898" s="668"/>
    </row>
    <row r="4899" spans="5:13">
      <c r="E4899" s="668"/>
      <c r="F4899" s="668"/>
      <c r="G4899" s="668"/>
      <c r="H4899" s="668"/>
      <c r="I4899" s="668"/>
      <c r="J4899" s="668"/>
      <c r="K4899" s="674"/>
      <c r="L4899" s="668"/>
      <c r="M4899" s="668"/>
    </row>
    <row r="4900" spans="5:13">
      <c r="E4900" s="668"/>
      <c r="F4900" s="668"/>
      <c r="G4900" s="668"/>
      <c r="H4900" s="668"/>
      <c r="I4900" s="668"/>
      <c r="J4900" s="668"/>
      <c r="K4900" s="674"/>
      <c r="L4900" s="668"/>
      <c r="M4900" s="668"/>
    </row>
    <row r="4901" spans="5:13">
      <c r="E4901" s="668"/>
      <c r="F4901" s="668"/>
      <c r="G4901" s="668"/>
      <c r="H4901" s="668"/>
      <c r="I4901" s="668"/>
      <c r="J4901" s="668"/>
      <c r="K4901" s="674"/>
      <c r="L4901" s="668"/>
      <c r="M4901" s="668"/>
    </row>
    <row r="4902" spans="5:13">
      <c r="E4902" s="668"/>
      <c r="F4902" s="668"/>
      <c r="G4902" s="668"/>
      <c r="H4902" s="668"/>
      <c r="I4902" s="668"/>
      <c r="J4902" s="668"/>
      <c r="K4902" s="674"/>
      <c r="L4902" s="668"/>
      <c r="M4902" s="668"/>
    </row>
    <row r="4903" spans="5:13">
      <c r="E4903" s="668"/>
      <c r="F4903" s="668"/>
      <c r="G4903" s="668"/>
      <c r="H4903" s="668"/>
      <c r="I4903" s="668"/>
      <c r="J4903" s="668"/>
      <c r="K4903" s="674"/>
      <c r="L4903" s="668"/>
      <c r="M4903" s="668"/>
    </row>
    <row r="4904" spans="5:13">
      <c r="E4904" s="668"/>
      <c r="F4904" s="668"/>
      <c r="G4904" s="668"/>
      <c r="H4904" s="668"/>
      <c r="I4904" s="668"/>
      <c r="J4904" s="668"/>
      <c r="K4904" s="674"/>
      <c r="L4904" s="668"/>
      <c r="M4904" s="668"/>
    </row>
    <row r="4905" spans="5:13">
      <c r="E4905" s="668"/>
      <c r="F4905" s="668"/>
      <c r="G4905" s="668"/>
      <c r="H4905" s="668"/>
      <c r="I4905" s="668"/>
      <c r="J4905" s="668"/>
      <c r="K4905" s="674"/>
      <c r="L4905" s="668"/>
      <c r="M4905" s="668"/>
    </row>
    <row r="4906" spans="5:13">
      <c r="E4906" s="668"/>
      <c r="F4906" s="668"/>
      <c r="G4906" s="668"/>
      <c r="H4906" s="668"/>
      <c r="I4906" s="668"/>
      <c r="J4906" s="668"/>
      <c r="K4906" s="674"/>
      <c r="L4906" s="668"/>
      <c r="M4906" s="668"/>
    </row>
    <row r="4907" spans="5:13">
      <c r="E4907" s="668"/>
      <c r="F4907" s="668"/>
      <c r="G4907" s="668"/>
      <c r="H4907" s="668"/>
      <c r="I4907" s="668"/>
      <c r="J4907" s="668"/>
      <c r="K4907" s="674"/>
      <c r="L4907" s="668"/>
      <c r="M4907" s="668"/>
    </row>
    <row r="4908" spans="5:13">
      <c r="E4908" s="668"/>
      <c r="F4908" s="668"/>
      <c r="G4908" s="668"/>
      <c r="H4908" s="668"/>
      <c r="I4908" s="668"/>
      <c r="J4908" s="668"/>
      <c r="K4908" s="674"/>
      <c r="L4908" s="668"/>
      <c r="M4908" s="668"/>
    </row>
    <row r="4909" spans="5:13">
      <c r="E4909" s="668"/>
      <c r="F4909" s="668"/>
      <c r="G4909" s="668"/>
      <c r="H4909" s="668"/>
      <c r="I4909" s="668"/>
      <c r="J4909" s="668"/>
      <c r="K4909" s="674"/>
      <c r="L4909" s="668"/>
      <c r="M4909" s="668"/>
    </row>
    <row r="4910" spans="5:13">
      <c r="E4910" s="668"/>
      <c r="F4910" s="668"/>
      <c r="G4910" s="668"/>
      <c r="H4910" s="668"/>
      <c r="I4910" s="668"/>
      <c r="J4910" s="668"/>
      <c r="K4910" s="674"/>
      <c r="L4910" s="668"/>
      <c r="M4910" s="668"/>
    </row>
    <row r="4911" spans="5:13">
      <c r="E4911" s="668"/>
      <c r="F4911" s="668"/>
      <c r="G4911" s="668"/>
      <c r="H4911" s="668"/>
      <c r="I4911" s="668"/>
      <c r="J4911" s="668"/>
      <c r="K4911" s="674"/>
      <c r="L4911" s="668"/>
      <c r="M4911" s="668"/>
    </row>
    <row r="4912" spans="5:13">
      <c r="E4912" s="668"/>
      <c r="F4912" s="668"/>
      <c r="G4912" s="668"/>
      <c r="H4912" s="668"/>
      <c r="I4912" s="668"/>
      <c r="J4912" s="668"/>
      <c r="K4912" s="674"/>
      <c r="L4912" s="668"/>
      <c r="M4912" s="668"/>
    </row>
    <row r="4913" spans="5:13">
      <c r="E4913" s="668"/>
      <c r="F4913" s="668"/>
      <c r="G4913" s="668"/>
      <c r="H4913" s="668"/>
      <c r="I4913" s="668"/>
      <c r="J4913" s="668"/>
      <c r="K4913" s="674"/>
      <c r="L4913" s="668"/>
      <c r="M4913" s="668"/>
    </row>
    <row r="4914" spans="5:13">
      <c r="E4914" s="668"/>
      <c r="F4914" s="668"/>
      <c r="G4914" s="668"/>
      <c r="H4914" s="668"/>
      <c r="I4914" s="668"/>
      <c r="J4914" s="668"/>
      <c r="K4914" s="674"/>
      <c r="L4914" s="668"/>
      <c r="M4914" s="668"/>
    </row>
    <row r="4915" spans="5:13">
      <c r="E4915" s="668"/>
      <c r="F4915" s="668"/>
      <c r="G4915" s="668"/>
      <c r="H4915" s="668"/>
      <c r="I4915" s="668"/>
      <c r="J4915" s="668"/>
      <c r="K4915" s="674"/>
      <c r="L4915" s="668"/>
      <c r="M4915" s="668"/>
    </row>
    <row r="4916" spans="5:13">
      <c r="E4916" s="668"/>
      <c r="F4916" s="668"/>
      <c r="G4916" s="668"/>
      <c r="H4916" s="668"/>
      <c r="I4916" s="668"/>
      <c r="J4916" s="668"/>
      <c r="K4916" s="674"/>
      <c r="L4916" s="668"/>
      <c r="M4916" s="668"/>
    </row>
    <row r="4917" spans="5:13">
      <c r="E4917" s="668"/>
      <c r="F4917" s="668"/>
      <c r="G4917" s="668"/>
      <c r="H4917" s="668"/>
      <c r="I4917" s="668"/>
      <c r="J4917" s="668"/>
      <c r="K4917" s="674"/>
      <c r="L4917" s="668"/>
      <c r="M4917" s="668"/>
    </row>
    <row r="4918" spans="5:13">
      <c r="E4918" s="668"/>
      <c r="F4918" s="668"/>
      <c r="G4918" s="668"/>
      <c r="H4918" s="668"/>
      <c r="I4918" s="668"/>
      <c r="J4918" s="668"/>
      <c r="K4918" s="674"/>
      <c r="L4918" s="668"/>
      <c r="M4918" s="668"/>
    </row>
    <row r="4919" spans="5:13">
      <c r="E4919" s="668"/>
      <c r="F4919" s="668"/>
      <c r="G4919" s="668"/>
      <c r="H4919" s="668"/>
      <c r="I4919" s="668"/>
      <c r="J4919" s="668"/>
      <c r="K4919" s="674"/>
      <c r="L4919" s="668"/>
      <c r="M4919" s="668"/>
    </row>
    <row r="4920" spans="5:13">
      <c r="E4920" s="668"/>
      <c r="F4920" s="668"/>
      <c r="G4920" s="668"/>
      <c r="H4920" s="668"/>
      <c r="I4920" s="668"/>
      <c r="J4920" s="668"/>
      <c r="K4920" s="674"/>
      <c r="L4920" s="668"/>
      <c r="M4920" s="668"/>
    </row>
    <row r="4921" spans="5:13">
      <c r="E4921" s="668"/>
      <c r="F4921" s="668"/>
      <c r="G4921" s="668"/>
      <c r="H4921" s="668"/>
      <c r="I4921" s="668"/>
      <c r="J4921" s="668"/>
      <c r="K4921" s="674"/>
      <c r="L4921" s="668"/>
      <c r="M4921" s="668"/>
    </row>
    <row r="4922" spans="5:13">
      <c r="E4922" s="668"/>
      <c r="F4922" s="668"/>
      <c r="G4922" s="668"/>
      <c r="H4922" s="668"/>
      <c r="I4922" s="668"/>
      <c r="J4922" s="668"/>
      <c r="K4922" s="674"/>
      <c r="L4922" s="668"/>
      <c r="M4922" s="668"/>
    </row>
    <row r="4923" spans="5:13">
      <c r="E4923" s="668"/>
      <c r="F4923" s="668"/>
      <c r="G4923" s="668"/>
      <c r="H4923" s="668"/>
      <c r="I4923" s="668"/>
      <c r="J4923" s="668"/>
      <c r="K4923" s="674"/>
      <c r="L4923" s="668"/>
      <c r="M4923" s="668"/>
    </row>
    <row r="4924" spans="5:13">
      <c r="E4924" s="668"/>
      <c r="F4924" s="668"/>
      <c r="G4924" s="668"/>
      <c r="H4924" s="668"/>
      <c r="I4924" s="668"/>
      <c r="J4924" s="668"/>
      <c r="K4924" s="674"/>
      <c r="L4924" s="668"/>
      <c r="M4924" s="668"/>
    </row>
    <row r="4925" spans="5:13">
      <c r="E4925" s="668"/>
      <c r="F4925" s="668"/>
      <c r="G4925" s="668"/>
      <c r="H4925" s="668"/>
      <c r="I4925" s="668"/>
      <c r="J4925" s="668"/>
      <c r="K4925" s="674"/>
      <c r="L4925" s="668"/>
      <c r="M4925" s="668"/>
    </row>
    <row r="4926" spans="5:13">
      <c r="E4926" s="668"/>
      <c r="F4926" s="668"/>
      <c r="G4926" s="668"/>
      <c r="H4926" s="668"/>
      <c r="I4926" s="668"/>
      <c r="J4926" s="668"/>
      <c r="K4926" s="674"/>
      <c r="L4926" s="668"/>
      <c r="M4926" s="668"/>
    </row>
    <row r="4927" spans="5:13">
      <c r="E4927" s="668"/>
      <c r="F4927" s="668"/>
      <c r="G4927" s="668"/>
      <c r="H4927" s="668"/>
      <c r="I4927" s="668"/>
      <c r="J4927" s="668"/>
      <c r="K4927" s="674"/>
      <c r="L4927" s="668"/>
      <c r="M4927" s="668"/>
    </row>
    <row r="4928" spans="5:13">
      <c r="E4928" s="668"/>
      <c r="F4928" s="668"/>
      <c r="G4928" s="668"/>
      <c r="H4928" s="668"/>
      <c r="I4928" s="668"/>
      <c r="J4928" s="668"/>
      <c r="K4928" s="674"/>
      <c r="L4928" s="668"/>
      <c r="M4928" s="668"/>
    </row>
    <row r="4929" spans="5:13">
      <c r="E4929" s="668"/>
      <c r="F4929" s="668"/>
      <c r="G4929" s="668"/>
      <c r="H4929" s="668"/>
      <c r="I4929" s="668"/>
      <c r="J4929" s="668"/>
      <c r="K4929" s="674"/>
      <c r="L4929" s="668"/>
      <c r="M4929" s="668"/>
    </row>
    <row r="4930" spans="5:13">
      <c r="E4930" s="668"/>
      <c r="F4930" s="668"/>
      <c r="G4930" s="668"/>
      <c r="H4930" s="668"/>
      <c r="I4930" s="668"/>
      <c r="J4930" s="668"/>
      <c r="K4930" s="674"/>
      <c r="L4930" s="668"/>
      <c r="M4930" s="668"/>
    </row>
    <row r="4931" spans="5:13">
      <c r="E4931" s="668"/>
      <c r="F4931" s="668"/>
      <c r="G4931" s="668"/>
      <c r="H4931" s="668"/>
      <c r="I4931" s="668"/>
      <c r="J4931" s="668"/>
      <c r="K4931" s="674"/>
      <c r="L4931" s="668"/>
      <c r="M4931" s="668"/>
    </row>
    <row r="4932" spans="5:13">
      <c r="E4932" s="668"/>
      <c r="F4932" s="668"/>
      <c r="G4932" s="668"/>
      <c r="H4932" s="668"/>
      <c r="I4932" s="668"/>
      <c r="J4932" s="668"/>
      <c r="K4932" s="674"/>
      <c r="L4932" s="668"/>
      <c r="M4932" s="668"/>
    </row>
    <row r="4933" spans="5:13">
      <c r="E4933" s="668"/>
      <c r="F4933" s="668"/>
      <c r="G4933" s="668"/>
      <c r="H4933" s="668"/>
      <c r="I4933" s="668"/>
      <c r="J4933" s="668"/>
      <c r="K4933" s="674"/>
      <c r="L4933" s="668"/>
      <c r="M4933" s="668"/>
    </row>
    <row r="4934" spans="5:13">
      <c r="E4934" s="668"/>
      <c r="F4934" s="668"/>
      <c r="G4934" s="668"/>
      <c r="H4934" s="668"/>
      <c r="I4934" s="668"/>
      <c r="J4934" s="668"/>
      <c r="K4934" s="674"/>
      <c r="L4934" s="668"/>
      <c r="M4934" s="668"/>
    </row>
    <row r="4935" spans="5:13">
      <c r="E4935" s="668"/>
      <c r="F4935" s="668"/>
      <c r="G4935" s="668"/>
      <c r="H4935" s="668"/>
      <c r="I4935" s="668"/>
      <c r="J4935" s="668"/>
      <c r="K4935" s="674"/>
      <c r="L4935" s="668"/>
      <c r="M4935" s="668"/>
    </row>
    <row r="4936" spans="5:13">
      <c r="E4936" s="668"/>
      <c r="F4936" s="668"/>
      <c r="G4936" s="668"/>
      <c r="H4936" s="668"/>
      <c r="I4936" s="668"/>
      <c r="J4936" s="668"/>
      <c r="K4936" s="674"/>
      <c r="L4936" s="668"/>
      <c r="M4936" s="668"/>
    </row>
    <row r="4937" spans="5:13">
      <c r="E4937" s="668"/>
      <c r="F4937" s="668"/>
      <c r="G4937" s="668"/>
      <c r="H4937" s="668"/>
      <c r="I4937" s="668"/>
      <c r="J4937" s="668"/>
      <c r="K4937" s="674"/>
      <c r="L4937" s="668"/>
      <c r="M4937" s="668"/>
    </row>
    <row r="4938" spans="5:13">
      <c r="E4938" s="668"/>
      <c r="F4938" s="668"/>
      <c r="G4938" s="668"/>
      <c r="H4938" s="668"/>
      <c r="I4938" s="668"/>
      <c r="J4938" s="668"/>
      <c r="K4938" s="674"/>
      <c r="L4938" s="668"/>
      <c r="M4938" s="668"/>
    </row>
    <row r="4939" spans="5:13">
      <c r="E4939" s="668"/>
      <c r="F4939" s="668"/>
      <c r="G4939" s="668"/>
      <c r="H4939" s="668"/>
      <c r="I4939" s="668"/>
      <c r="J4939" s="668"/>
      <c r="K4939" s="674"/>
      <c r="L4939" s="668"/>
      <c r="M4939" s="668"/>
    </row>
    <row r="4940" spans="5:13">
      <c r="E4940" s="668"/>
      <c r="F4940" s="668"/>
      <c r="G4940" s="668"/>
      <c r="H4940" s="668"/>
      <c r="I4940" s="668"/>
      <c r="J4940" s="668"/>
      <c r="K4940" s="674"/>
      <c r="L4940" s="668"/>
      <c r="M4940" s="668"/>
    </row>
    <row r="4941" spans="5:13">
      <c r="E4941" s="668"/>
      <c r="F4941" s="668"/>
      <c r="G4941" s="668"/>
      <c r="H4941" s="668"/>
      <c r="I4941" s="668"/>
      <c r="J4941" s="668"/>
      <c r="K4941" s="674"/>
      <c r="L4941" s="668"/>
      <c r="M4941" s="668"/>
    </row>
    <row r="4942" spans="5:13">
      <c r="E4942" s="668"/>
      <c r="F4942" s="668"/>
      <c r="G4942" s="668"/>
      <c r="H4942" s="668"/>
      <c r="I4942" s="668"/>
      <c r="J4942" s="668"/>
      <c r="K4942" s="674"/>
      <c r="L4942" s="668"/>
      <c r="M4942" s="668"/>
    </row>
    <row r="4943" spans="5:13">
      <c r="E4943" s="668"/>
      <c r="F4943" s="668"/>
      <c r="G4943" s="668"/>
      <c r="H4943" s="668"/>
      <c r="I4943" s="668"/>
      <c r="J4943" s="668"/>
      <c r="K4943" s="674"/>
      <c r="L4943" s="668"/>
      <c r="M4943" s="668"/>
    </row>
    <row r="4944" spans="5:13">
      <c r="E4944" s="668"/>
      <c r="F4944" s="668"/>
      <c r="G4944" s="668"/>
      <c r="H4944" s="668"/>
      <c r="I4944" s="668"/>
      <c r="J4944" s="668"/>
      <c r="K4944" s="674"/>
      <c r="L4944" s="668"/>
      <c r="M4944" s="668"/>
    </row>
    <row r="4945" spans="5:13">
      <c r="E4945" s="668"/>
      <c r="F4945" s="668"/>
      <c r="G4945" s="668"/>
      <c r="H4945" s="668"/>
      <c r="I4945" s="668"/>
      <c r="J4945" s="668"/>
      <c r="K4945" s="674"/>
      <c r="L4945" s="668"/>
      <c r="M4945" s="668"/>
    </row>
    <row r="4946" spans="5:13">
      <c r="E4946" s="668"/>
      <c r="F4946" s="668"/>
      <c r="G4946" s="668"/>
      <c r="H4946" s="668"/>
      <c r="I4946" s="668"/>
      <c r="J4946" s="668"/>
      <c r="K4946" s="674"/>
      <c r="L4946" s="668"/>
      <c r="M4946" s="668"/>
    </row>
    <row r="4947" spans="5:13">
      <c r="E4947" s="668"/>
      <c r="F4947" s="668"/>
      <c r="G4947" s="668"/>
      <c r="H4947" s="668"/>
      <c r="I4947" s="668"/>
      <c r="J4947" s="668"/>
      <c r="K4947" s="674"/>
      <c r="L4947" s="668"/>
      <c r="M4947" s="668"/>
    </row>
    <row r="4948" spans="5:13">
      <c r="E4948" s="668"/>
      <c r="F4948" s="668"/>
      <c r="G4948" s="668"/>
      <c r="H4948" s="668"/>
      <c r="I4948" s="668"/>
      <c r="J4948" s="668"/>
      <c r="K4948" s="674"/>
      <c r="L4948" s="668"/>
      <c r="M4948" s="668"/>
    </row>
    <row r="4949" spans="5:13">
      <c r="E4949" s="668"/>
      <c r="F4949" s="668"/>
      <c r="G4949" s="668"/>
      <c r="H4949" s="668"/>
      <c r="I4949" s="668"/>
      <c r="J4949" s="668"/>
      <c r="K4949" s="674"/>
      <c r="L4949" s="668"/>
      <c r="M4949" s="668"/>
    </row>
    <row r="4950" spans="5:13">
      <c r="E4950" s="668"/>
      <c r="F4950" s="668"/>
      <c r="G4950" s="668"/>
      <c r="H4950" s="668"/>
      <c r="I4950" s="668"/>
      <c r="J4950" s="668"/>
      <c r="K4950" s="674"/>
      <c r="L4950" s="668"/>
      <c r="M4950" s="668"/>
    </row>
    <row r="4951" spans="5:13">
      <c r="E4951" s="668"/>
      <c r="F4951" s="668"/>
      <c r="G4951" s="668"/>
      <c r="H4951" s="668"/>
      <c r="I4951" s="668"/>
      <c r="J4951" s="668"/>
      <c r="K4951" s="674"/>
      <c r="L4951" s="668"/>
      <c r="M4951" s="668"/>
    </row>
    <row r="4952" spans="5:13">
      <c r="E4952" s="668"/>
      <c r="F4952" s="668"/>
      <c r="G4952" s="668"/>
      <c r="H4952" s="668"/>
      <c r="I4952" s="668"/>
      <c r="J4952" s="668"/>
      <c r="K4952" s="674"/>
      <c r="L4952" s="668"/>
      <c r="M4952" s="668"/>
    </row>
    <row r="4953" spans="5:13">
      <c r="E4953" s="668"/>
      <c r="F4953" s="668"/>
      <c r="G4953" s="668"/>
      <c r="H4953" s="668"/>
      <c r="I4953" s="668"/>
      <c r="J4953" s="668"/>
      <c r="K4953" s="674"/>
      <c r="L4953" s="668"/>
      <c r="M4953" s="668"/>
    </row>
    <row r="4954" spans="5:13">
      <c r="E4954" s="668"/>
      <c r="F4954" s="668"/>
      <c r="G4954" s="668"/>
      <c r="H4954" s="668"/>
      <c r="I4954" s="668"/>
      <c r="J4954" s="668"/>
      <c r="K4954" s="674"/>
      <c r="L4954" s="668"/>
      <c r="M4954" s="668"/>
    </row>
    <row r="4955" spans="5:13">
      <c r="E4955" s="668"/>
      <c r="F4955" s="668"/>
      <c r="G4955" s="668"/>
      <c r="H4955" s="668"/>
      <c r="I4955" s="668"/>
      <c r="J4955" s="668"/>
      <c r="K4955" s="674"/>
      <c r="L4955" s="668"/>
      <c r="M4955" s="668"/>
    </row>
    <row r="4956" spans="5:13">
      <c r="E4956" s="668"/>
      <c r="F4956" s="668"/>
      <c r="G4956" s="668"/>
      <c r="H4956" s="668"/>
      <c r="I4956" s="668"/>
      <c r="J4956" s="668"/>
      <c r="K4956" s="674"/>
      <c r="L4956" s="668"/>
      <c r="M4956" s="668"/>
    </row>
    <row r="4957" spans="5:13">
      <c r="E4957" s="668"/>
      <c r="F4957" s="668"/>
      <c r="G4957" s="668"/>
      <c r="H4957" s="668"/>
      <c r="I4957" s="668"/>
      <c r="J4957" s="668"/>
      <c r="K4957" s="674"/>
      <c r="L4957" s="668"/>
      <c r="M4957" s="668"/>
    </row>
    <row r="4958" spans="5:13">
      <c r="E4958" s="668"/>
      <c r="F4958" s="668"/>
      <c r="G4958" s="668"/>
      <c r="H4958" s="668"/>
      <c r="I4958" s="668"/>
      <c r="J4958" s="668"/>
      <c r="K4958" s="674"/>
      <c r="L4958" s="668"/>
      <c r="M4958" s="668"/>
    </row>
    <row r="4959" spans="5:13">
      <c r="E4959" s="668"/>
      <c r="F4959" s="668"/>
      <c r="G4959" s="668"/>
      <c r="H4959" s="668"/>
      <c r="I4959" s="668"/>
      <c r="J4959" s="668"/>
      <c r="K4959" s="674"/>
      <c r="L4959" s="668"/>
      <c r="M4959" s="668"/>
    </row>
    <row r="4960" spans="5:13">
      <c r="E4960" s="668"/>
      <c r="F4960" s="668"/>
      <c r="G4960" s="668"/>
      <c r="H4960" s="668"/>
      <c r="I4960" s="668"/>
      <c r="J4960" s="668"/>
      <c r="K4960" s="674"/>
      <c r="L4960" s="668"/>
      <c r="M4960" s="668"/>
    </row>
    <row r="4961" spans="5:13">
      <c r="E4961" s="668"/>
      <c r="F4961" s="668"/>
      <c r="G4961" s="668"/>
      <c r="H4961" s="668"/>
      <c r="I4961" s="668"/>
      <c r="J4961" s="668"/>
      <c r="K4961" s="674"/>
      <c r="L4961" s="668"/>
      <c r="M4961" s="668"/>
    </row>
    <row r="4962" spans="5:13">
      <c r="E4962" s="668"/>
      <c r="F4962" s="668"/>
      <c r="G4962" s="668"/>
      <c r="H4962" s="668"/>
      <c r="I4962" s="668"/>
      <c r="J4962" s="668"/>
      <c r="K4962" s="674"/>
      <c r="L4962" s="668"/>
      <c r="M4962" s="668"/>
    </row>
    <row r="4963" spans="5:13">
      <c r="E4963" s="668"/>
      <c r="F4963" s="668"/>
      <c r="G4963" s="668"/>
      <c r="H4963" s="668"/>
      <c r="I4963" s="668"/>
      <c r="J4963" s="668"/>
      <c r="K4963" s="674"/>
      <c r="L4963" s="668"/>
      <c r="M4963" s="668"/>
    </row>
    <row r="4964" spans="5:13">
      <c r="E4964" s="668"/>
      <c r="F4964" s="668"/>
      <c r="G4964" s="668"/>
      <c r="H4964" s="668"/>
      <c r="I4964" s="668"/>
      <c r="J4964" s="668"/>
      <c r="K4964" s="674"/>
      <c r="L4964" s="668"/>
      <c r="M4964" s="668"/>
    </row>
    <row r="4965" spans="5:13">
      <c r="E4965" s="668"/>
      <c r="F4965" s="668"/>
      <c r="G4965" s="668"/>
      <c r="H4965" s="668"/>
      <c r="I4965" s="668"/>
      <c r="J4965" s="668"/>
      <c r="K4965" s="674"/>
      <c r="L4965" s="668"/>
      <c r="M4965" s="668"/>
    </row>
    <row r="4966" spans="5:13">
      <c r="E4966" s="668"/>
      <c r="F4966" s="668"/>
      <c r="G4966" s="668"/>
      <c r="H4966" s="668"/>
      <c r="I4966" s="668"/>
      <c r="J4966" s="668"/>
      <c r="K4966" s="674"/>
      <c r="L4966" s="668"/>
      <c r="M4966" s="668"/>
    </row>
    <row r="4967" spans="5:13">
      <c r="E4967" s="668"/>
      <c r="F4967" s="668"/>
      <c r="G4967" s="668"/>
      <c r="H4967" s="668"/>
      <c r="I4967" s="668"/>
      <c r="J4967" s="668"/>
      <c r="K4967" s="674"/>
      <c r="L4967" s="668"/>
      <c r="M4967" s="668"/>
    </row>
    <row r="4968" spans="5:13">
      <c r="E4968" s="668"/>
      <c r="F4968" s="668"/>
      <c r="G4968" s="668"/>
      <c r="H4968" s="668"/>
      <c r="I4968" s="668"/>
      <c r="J4968" s="668"/>
      <c r="K4968" s="674"/>
      <c r="L4968" s="668"/>
      <c r="M4968" s="668"/>
    </row>
    <row r="4969" spans="5:13">
      <c r="E4969" s="668"/>
      <c r="F4969" s="668"/>
      <c r="G4969" s="668"/>
      <c r="H4969" s="668"/>
      <c r="I4969" s="668"/>
      <c r="J4969" s="668"/>
      <c r="K4969" s="674"/>
      <c r="L4969" s="668"/>
      <c r="M4969" s="668"/>
    </row>
    <row r="4970" spans="5:13">
      <c r="E4970" s="668"/>
      <c r="F4970" s="668"/>
      <c r="G4970" s="668"/>
      <c r="H4970" s="668"/>
      <c r="I4970" s="668"/>
      <c r="J4970" s="668"/>
      <c r="K4970" s="674"/>
      <c r="L4970" s="668"/>
      <c r="M4970" s="668"/>
    </row>
    <row r="4971" spans="5:13">
      <c r="E4971" s="668"/>
      <c r="F4971" s="668"/>
      <c r="G4971" s="668"/>
      <c r="H4971" s="668"/>
      <c r="I4971" s="668"/>
      <c r="J4971" s="668"/>
      <c r="K4971" s="674"/>
      <c r="L4971" s="668"/>
      <c r="M4971" s="668"/>
    </row>
    <row r="4972" spans="5:13">
      <c r="E4972" s="668"/>
      <c r="F4972" s="668"/>
      <c r="G4972" s="668"/>
      <c r="H4972" s="668"/>
      <c r="I4972" s="668"/>
      <c r="J4972" s="668"/>
      <c r="K4972" s="674"/>
      <c r="L4972" s="668"/>
      <c r="M4972" s="668"/>
    </row>
    <row r="4973" spans="5:13">
      <c r="E4973" s="668"/>
      <c r="F4973" s="668"/>
      <c r="G4973" s="668"/>
      <c r="H4973" s="668"/>
      <c r="I4973" s="668"/>
      <c r="J4973" s="668"/>
      <c r="K4973" s="674"/>
      <c r="L4973" s="668"/>
      <c r="M4973" s="668"/>
    </row>
    <row r="4974" spans="5:13">
      <c r="E4974" s="668"/>
      <c r="F4974" s="668"/>
      <c r="G4974" s="668"/>
      <c r="H4974" s="668"/>
      <c r="I4974" s="668"/>
      <c r="J4974" s="668"/>
      <c r="K4974" s="674"/>
      <c r="L4974" s="668"/>
      <c r="M4974" s="668"/>
    </row>
    <row r="4975" spans="5:13">
      <c r="E4975" s="668"/>
      <c r="F4975" s="668"/>
      <c r="G4975" s="668"/>
      <c r="H4975" s="668"/>
      <c r="I4975" s="668"/>
      <c r="J4975" s="668"/>
      <c r="K4975" s="674"/>
      <c r="L4975" s="668"/>
      <c r="M4975" s="668"/>
    </row>
    <row r="4976" spans="5:13">
      <c r="E4976" s="668"/>
      <c r="F4976" s="668"/>
      <c r="G4976" s="668"/>
      <c r="H4976" s="668"/>
      <c r="I4976" s="668"/>
      <c r="J4976" s="668"/>
      <c r="K4976" s="674"/>
      <c r="L4976" s="668"/>
      <c r="M4976" s="668"/>
    </row>
    <row r="4977" spans="5:13">
      <c r="E4977" s="668"/>
      <c r="F4977" s="668"/>
      <c r="G4977" s="668"/>
      <c r="H4977" s="668"/>
      <c r="I4977" s="668"/>
      <c r="J4977" s="668"/>
      <c r="K4977" s="674"/>
      <c r="L4977" s="668"/>
      <c r="M4977" s="668"/>
    </row>
    <row r="4978" spans="5:13">
      <c r="E4978" s="668"/>
      <c r="F4978" s="668"/>
      <c r="G4978" s="668"/>
      <c r="H4978" s="668"/>
      <c r="I4978" s="668"/>
      <c r="J4978" s="668"/>
      <c r="K4978" s="674"/>
      <c r="L4978" s="668"/>
      <c r="M4978" s="668"/>
    </row>
    <row r="4979" spans="5:13">
      <c r="E4979" s="668"/>
      <c r="F4979" s="668"/>
      <c r="G4979" s="668"/>
      <c r="H4979" s="668"/>
      <c r="I4979" s="668"/>
      <c r="J4979" s="668"/>
      <c r="K4979" s="674"/>
      <c r="L4979" s="668"/>
      <c r="M4979" s="668"/>
    </row>
    <row r="4980" spans="5:13">
      <c r="E4980" s="668"/>
      <c r="F4980" s="668"/>
      <c r="G4980" s="668"/>
      <c r="H4980" s="668"/>
      <c r="I4980" s="668"/>
      <c r="J4980" s="668"/>
      <c r="K4980" s="674"/>
      <c r="L4980" s="668"/>
      <c r="M4980" s="668"/>
    </row>
    <row r="4981" spans="5:13">
      <c r="E4981" s="668"/>
      <c r="F4981" s="668"/>
      <c r="G4981" s="668"/>
      <c r="H4981" s="668"/>
      <c r="I4981" s="668"/>
      <c r="J4981" s="668"/>
      <c r="K4981" s="674"/>
      <c r="L4981" s="668"/>
      <c r="M4981" s="668"/>
    </row>
    <row r="4982" spans="5:13">
      <c r="E4982" s="668"/>
      <c r="F4982" s="668"/>
      <c r="G4982" s="668"/>
      <c r="H4982" s="668"/>
      <c r="I4982" s="668"/>
      <c r="J4982" s="668"/>
      <c r="K4982" s="674"/>
      <c r="L4982" s="668"/>
      <c r="M4982" s="668"/>
    </row>
    <row r="4983" spans="5:13">
      <c r="E4983" s="668"/>
      <c r="F4983" s="668"/>
      <c r="G4983" s="668"/>
      <c r="H4983" s="668"/>
      <c r="I4983" s="668"/>
      <c r="J4983" s="668"/>
      <c r="K4983" s="674"/>
      <c r="L4983" s="668"/>
      <c r="M4983" s="668"/>
    </row>
    <row r="4984" spans="5:13">
      <c r="E4984" s="668"/>
      <c r="F4984" s="668"/>
      <c r="G4984" s="668"/>
      <c r="H4984" s="668"/>
      <c r="I4984" s="668"/>
      <c r="J4984" s="668"/>
      <c r="K4984" s="674"/>
      <c r="L4984" s="668"/>
      <c r="M4984" s="668"/>
    </row>
    <row r="4985" spans="5:13">
      <c r="E4985" s="668"/>
      <c r="F4985" s="668"/>
      <c r="G4985" s="668"/>
      <c r="H4985" s="668"/>
      <c r="I4985" s="668"/>
      <c r="J4985" s="668"/>
      <c r="K4985" s="674"/>
      <c r="L4985" s="668"/>
      <c r="M4985" s="668"/>
    </row>
    <row r="4986" spans="5:13">
      <c r="E4986" s="668"/>
      <c r="F4986" s="668"/>
      <c r="G4986" s="668"/>
      <c r="H4986" s="668"/>
      <c r="I4986" s="668"/>
      <c r="J4986" s="668"/>
      <c r="K4986" s="674"/>
      <c r="L4986" s="668"/>
      <c r="M4986" s="668"/>
    </row>
    <row r="4987" spans="5:13">
      <c r="E4987" s="668"/>
      <c r="F4987" s="668"/>
      <c r="G4987" s="668"/>
      <c r="H4987" s="668"/>
      <c r="I4987" s="668"/>
      <c r="J4987" s="668"/>
      <c r="K4987" s="674"/>
      <c r="L4987" s="668"/>
      <c r="M4987" s="668"/>
    </row>
    <row r="4988" spans="5:13">
      <c r="E4988" s="668"/>
      <c r="F4988" s="668"/>
      <c r="G4988" s="668"/>
      <c r="H4988" s="668"/>
      <c r="I4988" s="668"/>
      <c r="J4988" s="668"/>
      <c r="K4988" s="674"/>
      <c r="L4988" s="668"/>
      <c r="M4988" s="668"/>
    </row>
    <row r="4989" spans="5:13">
      <c r="E4989" s="668"/>
      <c r="F4989" s="668"/>
      <c r="G4989" s="668"/>
      <c r="H4989" s="668"/>
      <c r="I4989" s="668"/>
      <c r="J4989" s="668"/>
      <c r="K4989" s="674"/>
      <c r="L4989" s="668"/>
      <c r="M4989" s="668"/>
    </row>
    <row r="4990" spans="5:13">
      <c r="E4990" s="668"/>
      <c r="F4990" s="668"/>
      <c r="G4990" s="668"/>
      <c r="H4990" s="668"/>
      <c r="I4990" s="668"/>
      <c r="J4990" s="668"/>
      <c r="K4990" s="674"/>
      <c r="L4990" s="668"/>
      <c r="M4990" s="668"/>
    </row>
    <row r="4991" spans="5:13">
      <c r="E4991" s="668"/>
      <c r="F4991" s="668"/>
      <c r="G4991" s="668"/>
      <c r="H4991" s="668"/>
      <c r="I4991" s="668"/>
      <c r="J4991" s="668"/>
      <c r="K4991" s="674"/>
      <c r="L4991" s="668"/>
      <c r="M4991" s="668"/>
    </row>
    <row r="4992" spans="5:13">
      <c r="E4992" s="668"/>
      <c r="F4992" s="668"/>
      <c r="G4992" s="668"/>
      <c r="H4992" s="668"/>
      <c r="I4992" s="668"/>
      <c r="J4992" s="668"/>
      <c r="K4992" s="674"/>
      <c r="L4992" s="668"/>
      <c r="M4992" s="668"/>
    </row>
    <row r="4993" spans="5:13">
      <c r="E4993" s="668"/>
      <c r="F4993" s="668"/>
      <c r="G4993" s="668"/>
      <c r="H4993" s="668"/>
      <c r="I4993" s="668"/>
      <c r="J4993" s="668"/>
      <c r="K4993" s="674"/>
      <c r="L4993" s="668"/>
      <c r="M4993" s="668"/>
    </row>
    <row r="4994" spans="5:13">
      <c r="E4994" s="668"/>
      <c r="F4994" s="668"/>
      <c r="G4994" s="668"/>
      <c r="H4994" s="668"/>
      <c r="I4994" s="668"/>
      <c r="J4994" s="668"/>
      <c r="K4994" s="674"/>
      <c r="L4994" s="668"/>
      <c r="M4994" s="668"/>
    </row>
    <row r="4995" spans="5:13">
      <c r="E4995" s="668"/>
      <c r="F4995" s="668"/>
      <c r="G4995" s="668"/>
      <c r="H4995" s="668"/>
      <c r="I4995" s="668"/>
      <c r="J4995" s="668"/>
      <c r="K4995" s="674"/>
      <c r="L4995" s="668"/>
      <c r="M4995" s="668"/>
    </row>
    <row r="4996" spans="5:13">
      <c r="E4996" s="668"/>
      <c r="F4996" s="668"/>
      <c r="G4996" s="668"/>
      <c r="H4996" s="668"/>
      <c r="I4996" s="668"/>
      <c r="J4996" s="668"/>
      <c r="K4996" s="674"/>
      <c r="L4996" s="668"/>
      <c r="M4996" s="668"/>
    </row>
    <row r="4997" spans="5:13">
      <c r="E4997" s="668"/>
      <c r="F4997" s="668"/>
      <c r="G4997" s="668"/>
      <c r="H4997" s="668"/>
      <c r="I4997" s="668"/>
      <c r="J4997" s="668"/>
      <c r="K4997" s="674"/>
      <c r="L4997" s="668"/>
      <c r="M4997" s="668"/>
    </row>
    <row r="4998" spans="5:13">
      <c r="E4998" s="668"/>
      <c r="F4998" s="668"/>
      <c r="G4998" s="668"/>
      <c r="H4998" s="668"/>
      <c r="I4998" s="668"/>
      <c r="J4998" s="668"/>
      <c r="K4998" s="674"/>
      <c r="L4998" s="668"/>
      <c r="M4998" s="668"/>
    </row>
    <row r="4999" spans="5:13">
      <c r="E4999" s="668"/>
      <c r="F4999" s="668"/>
      <c r="G4999" s="668"/>
      <c r="H4999" s="668"/>
      <c r="I4999" s="668"/>
      <c r="J4999" s="668"/>
      <c r="K4999" s="674"/>
      <c r="L4999" s="668"/>
      <c r="M4999" s="668"/>
    </row>
    <row r="5000" spans="5:13">
      <c r="E5000" s="668"/>
      <c r="F5000" s="668"/>
      <c r="G5000" s="668"/>
      <c r="H5000" s="668"/>
      <c r="I5000" s="668"/>
      <c r="J5000" s="668"/>
      <c r="K5000" s="674"/>
      <c r="L5000" s="668"/>
      <c r="M5000" s="668"/>
    </row>
    <row r="5001" spans="5:13">
      <c r="E5001" s="668"/>
      <c r="F5001" s="668"/>
      <c r="G5001" s="668"/>
      <c r="H5001" s="668"/>
      <c r="I5001" s="668"/>
      <c r="J5001" s="668"/>
      <c r="K5001" s="674"/>
      <c r="L5001" s="668"/>
      <c r="M5001" s="668"/>
    </row>
    <row r="5002" spans="5:13">
      <c r="E5002" s="668"/>
      <c r="F5002" s="668"/>
      <c r="G5002" s="668"/>
      <c r="H5002" s="668"/>
      <c r="I5002" s="668"/>
      <c r="J5002" s="668"/>
      <c r="K5002" s="674"/>
      <c r="L5002" s="668"/>
      <c r="M5002" s="668"/>
    </row>
    <row r="5003" spans="5:13">
      <c r="E5003" s="668"/>
      <c r="F5003" s="668"/>
      <c r="G5003" s="668"/>
      <c r="H5003" s="668"/>
      <c r="I5003" s="668"/>
      <c r="J5003" s="668"/>
      <c r="K5003" s="674"/>
      <c r="L5003" s="668"/>
      <c r="M5003" s="668"/>
    </row>
    <row r="5004" spans="5:13">
      <c r="E5004" s="668"/>
      <c r="F5004" s="668"/>
      <c r="G5004" s="668"/>
      <c r="H5004" s="668"/>
      <c r="I5004" s="668"/>
      <c r="J5004" s="668"/>
      <c r="K5004" s="674"/>
      <c r="L5004" s="668"/>
      <c r="M5004" s="668"/>
    </row>
    <row r="5005" spans="5:13">
      <c r="E5005" s="668"/>
      <c r="F5005" s="668"/>
      <c r="G5005" s="668"/>
      <c r="H5005" s="668"/>
      <c r="I5005" s="668"/>
      <c r="J5005" s="668"/>
      <c r="K5005" s="674"/>
      <c r="L5005" s="668"/>
      <c r="M5005" s="668"/>
    </row>
    <row r="5006" spans="5:13">
      <c r="E5006" s="668"/>
      <c r="F5006" s="668"/>
      <c r="G5006" s="668"/>
      <c r="H5006" s="668"/>
      <c r="I5006" s="668"/>
      <c r="J5006" s="668"/>
      <c r="K5006" s="674"/>
      <c r="L5006" s="668"/>
      <c r="M5006" s="668"/>
    </row>
    <row r="5007" spans="5:13">
      <c r="E5007" s="668"/>
      <c r="F5007" s="668"/>
      <c r="G5007" s="668"/>
      <c r="H5007" s="668"/>
      <c r="I5007" s="668"/>
      <c r="J5007" s="668"/>
      <c r="K5007" s="674"/>
      <c r="L5007" s="668"/>
      <c r="M5007" s="668"/>
    </row>
    <row r="5008" spans="5:13">
      <c r="E5008" s="668"/>
      <c r="F5008" s="668"/>
      <c r="G5008" s="668"/>
      <c r="H5008" s="668"/>
      <c r="I5008" s="668"/>
      <c r="J5008" s="668"/>
      <c r="K5008" s="674"/>
      <c r="L5008" s="668"/>
      <c r="M5008" s="668"/>
    </row>
    <row r="5009" spans="5:13">
      <c r="E5009" s="668"/>
      <c r="F5009" s="668"/>
      <c r="G5009" s="668"/>
      <c r="H5009" s="668"/>
      <c r="I5009" s="668"/>
      <c r="J5009" s="668"/>
      <c r="K5009" s="674"/>
      <c r="L5009" s="668"/>
      <c r="M5009" s="668"/>
    </row>
    <row r="5010" spans="5:13">
      <c r="E5010" s="668"/>
      <c r="F5010" s="668"/>
      <c r="G5010" s="668"/>
      <c r="H5010" s="668"/>
      <c r="I5010" s="668"/>
      <c r="J5010" s="668"/>
      <c r="K5010" s="674"/>
      <c r="L5010" s="668"/>
      <c r="M5010" s="668"/>
    </row>
    <row r="5011" spans="5:13">
      <c r="E5011" s="668"/>
      <c r="F5011" s="668"/>
      <c r="G5011" s="668"/>
      <c r="H5011" s="668"/>
      <c r="I5011" s="668"/>
      <c r="J5011" s="668"/>
      <c r="K5011" s="674"/>
      <c r="L5011" s="668"/>
      <c r="M5011" s="668"/>
    </row>
    <row r="5012" spans="5:13">
      <c r="E5012" s="668"/>
      <c r="F5012" s="668"/>
      <c r="G5012" s="668"/>
      <c r="H5012" s="668"/>
      <c r="I5012" s="668"/>
      <c r="J5012" s="668"/>
      <c r="K5012" s="674"/>
      <c r="L5012" s="668"/>
      <c r="M5012" s="668"/>
    </row>
    <row r="5013" spans="5:13">
      <c r="E5013" s="668"/>
      <c r="F5013" s="668"/>
      <c r="G5013" s="668"/>
      <c r="H5013" s="668"/>
      <c r="I5013" s="668"/>
      <c r="J5013" s="668"/>
      <c r="K5013" s="674"/>
      <c r="L5013" s="668"/>
      <c r="M5013" s="668"/>
    </row>
    <row r="5014" spans="5:13">
      <c r="E5014" s="668"/>
      <c r="F5014" s="668"/>
      <c r="G5014" s="668"/>
      <c r="H5014" s="668"/>
      <c r="I5014" s="668"/>
      <c r="J5014" s="668"/>
      <c r="K5014" s="674"/>
      <c r="L5014" s="668"/>
      <c r="M5014" s="668"/>
    </row>
    <row r="5015" spans="5:13">
      <c r="E5015" s="668"/>
      <c r="F5015" s="668"/>
      <c r="G5015" s="668"/>
      <c r="H5015" s="668"/>
      <c r="I5015" s="668"/>
      <c r="J5015" s="668"/>
      <c r="K5015" s="674"/>
      <c r="L5015" s="668"/>
      <c r="M5015" s="668"/>
    </row>
    <row r="5016" spans="5:13">
      <c r="E5016" s="668"/>
      <c r="F5016" s="668"/>
      <c r="G5016" s="668"/>
      <c r="H5016" s="668"/>
      <c r="I5016" s="668"/>
      <c r="J5016" s="668"/>
      <c r="K5016" s="674"/>
      <c r="L5016" s="668"/>
      <c r="M5016" s="668"/>
    </row>
    <row r="5017" spans="5:13">
      <c r="E5017" s="668"/>
      <c r="F5017" s="668"/>
      <c r="G5017" s="668"/>
      <c r="H5017" s="668"/>
      <c r="I5017" s="668"/>
      <c r="J5017" s="668"/>
      <c r="K5017" s="674"/>
      <c r="L5017" s="668"/>
      <c r="M5017" s="668"/>
    </row>
    <row r="5018" spans="5:13">
      <c r="E5018" s="668"/>
      <c r="F5018" s="668"/>
      <c r="G5018" s="668"/>
      <c r="H5018" s="668"/>
      <c r="I5018" s="668"/>
      <c r="J5018" s="668"/>
      <c r="K5018" s="674"/>
      <c r="L5018" s="668"/>
      <c r="M5018" s="668"/>
    </row>
    <row r="5019" spans="5:13">
      <c r="E5019" s="668"/>
      <c r="F5019" s="668"/>
      <c r="G5019" s="668"/>
      <c r="H5019" s="668"/>
      <c r="I5019" s="668"/>
      <c r="J5019" s="668"/>
      <c r="K5019" s="674"/>
      <c r="L5019" s="668"/>
      <c r="M5019" s="668"/>
    </row>
    <row r="5020" spans="5:13">
      <c r="E5020" s="668"/>
      <c r="F5020" s="668"/>
      <c r="G5020" s="668"/>
      <c r="H5020" s="668"/>
      <c r="I5020" s="668"/>
      <c r="J5020" s="668"/>
      <c r="K5020" s="674"/>
      <c r="L5020" s="668"/>
      <c r="M5020" s="668"/>
    </row>
    <row r="5021" spans="5:13">
      <c r="E5021" s="668"/>
      <c r="F5021" s="668"/>
      <c r="G5021" s="668"/>
      <c r="H5021" s="668"/>
      <c r="I5021" s="668"/>
      <c r="J5021" s="668"/>
      <c r="K5021" s="674"/>
      <c r="L5021" s="668"/>
      <c r="M5021" s="668"/>
    </row>
    <row r="5022" spans="5:13">
      <c r="E5022" s="668"/>
      <c r="F5022" s="668"/>
      <c r="G5022" s="668"/>
      <c r="H5022" s="668"/>
      <c r="I5022" s="668"/>
      <c r="J5022" s="668"/>
      <c r="K5022" s="674"/>
      <c r="L5022" s="668"/>
      <c r="M5022" s="668"/>
    </row>
    <row r="5023" spans="5:13">
      <c r="E5023" s="668"/>
      <c r="F5023" s="668"/>
      <c r="G5023" s="668"/>
      <c r="H5023" s="668"/>
      <c r="I5023" s="668"/>
      <c r="J5023" s="668"/>
      <c r="K5023" s="674"/>
      <c r="L5023" s="668"/>
      <c r="M5023" s="668"/>
    </row>
    <row r="5024" spans="5:13">
      <c r="E5024" s="668"/>
      <c r="F5024" s="668"/>
      <c r="G5024" s="668"/>
      <c r="H5024" s="668"/>
      <c r="I5024" s="668"/>
      <c r="J5024" s="668"/>
      <c r="K5024" s="674"/>
      <c r="L5024" s="668"/>
      <c r="M5024" s="668"/>
    </row>
    <row r="5025" spans="5:13">
      <c r="E5025" s="668"/>
      <c r="F5025" s="668"/>
      <c r="G5025" s="668"/>
      <c r="H5025" s="668"/>
      <c r="I5025" s="668"/>
      <c r="J5025" s="668"/>
      <c r="K5025" s="674"/>
      <c r="L5025" s="668"/>
      <c r="M5025" s="668"/>
    </row>
    <row r="5026" spans="5:13">
      <c r="E5026" s="668"/>
      <c r="F5026" s="668"/>
      <c r="G5026" s="668"/>
      <c r="H5026" s="668"/>
      <c r="I5026" s="668"/>
      <c r="J5026" s="668"/>
      <c r="K5026" s="674"/>
      <c r="L5026" s="668"/>
      <c r="M5026" s="668"/>
    </row>
    <row r="5027" spans="5:13">
      <c r="E5027" s="668"/>
      <c r="F5027" s="668"/>
      <c r="G5027" s="668"/>
      <c r="H5027" s="668"/>
      <c r="I5027" s="668"/>
      <c r="J5027" s="668"/>
      <c r="K5027" s="674"/>
      <c r="L5027" s="668"/>
      <c r="M5027" s="668"/>
    </row>
    <row r="5028" spans="5:13">
      <c r="E5028" s="668"/>
      <c r="F5028" s="668"/>
      <c r="G5028" s="668"/>
      <c r="H5028" s="668"/>
      <c r="I5028" s="668"/>
      <c r="J5028" s="668"/>
      <c r="K5028" s="674"/>
      <c r="L5028" s="668"/>
      <c r="M5028" s="668"/>
    </row>
    <row r="5029" spans="5:13">
      <c r="E5029" s="668"/>
      <c r="F5029" s="668"/>
      <c r="G5029" s="668"/>
      <c r="H5029" s="668"/>
      <c r="I5029" s="668"/>
      <c r="J5029" s="668"/>
      <c r="K5029" s="674"/>
      <c r="L5029" s="668"/>
      <c r="M5029" s="668"/>
    </row>
    <row r="5030" spans="5:13">
      <c r="E5030" s="668"/>
      <c r="F5030" s="668"/>
      <c r="G5030" s="668"/>
      <c r="H5030" s="668"/>
      <c r="I5030" s="668"/>
      <c r="J5030" s="668"/>
      <c r="K5030" s="674"/>
      <c r="L5030" s="668"/>
      <c r="M5030" s="668"/>
    </row>
    <row r="5031" spans="5:13">
      <c r="E5031" s="668"/>
      <c r="F5031" s="668"/>
      <c r="G5031" s="668"/>
      <c r="H5031" s="668"/>
      <c r="I5031" s="668"/>
      <c r="J5031" s="668"/>
      <c r="K5031" s="674"/>
      <c r="L5031" s="668"/>
      <c r="M5031" s="668"/>
    </row>
    <row r="5032" spans="5:13">
      <c r="E5032" s="668"/>
      <c r="F5032" s="668"/>
      <c r="G5032" s="668"/>
      <c r="H5032" s="668"/>
      <c r="I5032" s="668"/>
      <c r="J5032" s="668"/>
      <c r="K5032" s="674"/>
      <c r="L5032" s="668"/>
      <c r="M5032" s="668"/>
    </row>
    <row r="5033" spans="5:13">
      <c r="E5033" s="668"/>
      <c r="F5033" s="668"/>
      <c r="G5033" s="668"/>
      <c r="H5033" s="668"/>
      <c r="I5033" s="668"/>
      <c r="J5033" s="668"/>
      <c r="K5033" s="674"/>
      <c r="L5033" s="668"/>
      <c r="M5033" s="668"/>
    </row>
    <row r="5034" spans="5:13">
      <c r="E5034" s="668"/>
      <c r="F5034" s="668"/>
      <c r="G5034" s="668"/>
      <c r="H5034" s="668"/>
      <c r="I5034" s="668"/>
      <c r="J5034" s="668"/>
      <c r="K5034" s="674"/>
      <c r="L5034" s="668"/>
      <c r="M5034" s="668"/>
    </row>
    <row r="5035" spans="5:13">
      <c r="E5035" s="668"/>
      <c r="F5035" s="668"/>
      <c r="G5035" s="668"/>
      <c r="H5035" s="668"/>
      <c r="I5035" s="668"/>
      <c r="J5035" s="668"/>
      <c r="K5035" s="674"/>
      <c r="L5035" s="668"/>
      <c r="M5035" s="668"/>
    </row>
    <row r="5036" spans="5:13">
      <c r="E5036" s="668"/>
      <c r="F5036" s="668"/>
      <c r="G5036" s="668"/>
      <c r="H5036" s="668"/>
      <c r="I5036" s="668"/>
      <c r="J5036" s="668"/>
      <c r="K5036" s="674"/>
      <c r="L5036" s="668"/>
      <c r="M5036" s="668"/>
    </row>
    <row r="5037" spans="5:13">
      <c r="E5037" s="668"/>
      <c r="F5037" s="668"/>
      <c r="G5037" s="668"/>
      <c r="H5037" s="668"/>
      <c r="I5037" s="668"/>
      <c r="J5037" s="668"/>
      <c r="K5037" s="674"/>
      <c r="L5037" s="668"/>
      <c r="M5037" s="668"/>
    </row>
    <row r="5038" spans="5:13">
      <c r="E5038" s="668"/>
      <c r="F5038" s="668"/>
      <c r="G5038" s="668"/>
      <c r="H5038" s="668"/>
      <c r="I5038" s="668"/>
      <c r="J5038" s="668"/>
      <c r="K5038" s="674"/>
      <c r="L5038" s="668"/>
      <c r="M5038" s="668"/>
    </row>
    <row r="5039" spans="5:13">
      <c r="E5039" s="668"/>
      <c r="F5039" s="668"/>
      <c r="G5039" s="668"/>
      <c r="H5039" s="668"/>
      <c r="I5039" s="668"/>
      <c r="J5039" s="668"/>
      <c r="K5039" s="674"/>
      <c r="L5039" s="668"/>
      <c r="M5039" s="668"/>
    </row>
    <row r="5040" spans="5:13">
      <c r="E5040" s="668"/>
      <c r="F5040" s="668"/>
      <c r="G5040" s="668"/>
      <c r="H5040" s="668"/>
      <c r="I5040" s="668"/>
      <c r="J5040" s="668"/>
      <c r="K5040" s="674"/>
      <c r="L5040" s="668"/>
      <c r="M5040" s="668"/>
    </row>
    <row r="5041" spans="5:13">
      <c r="E5041" s="668"/>
      <c r="F5041" s="668"/>
      <c r="G5041" s="668"/>
      <c r="H5041" s="668"/>
      <c r="I5041" s="668"/>
      <c r="J5041" s="668"/>
      <c r="K5041" s="674"/>
      <c r="L5041" s="668"/>
      <c r="M5041" s="668"/>
    </row>
    <row r="5042" spans="5:13">
      <c r="E5042" s="668"/>
      <c r="F5042" s="668"/>
      <c r="G5042" s="668"/>
      <c r="H5042" s="668"/>
      <c r="I5042" s="668"/>
      <c r="J5042" s="668"/>
      <c r="K5042" s="674"/>
      <c r="L5042" s="668"/>
      <c r="M5042" s="668"/>
    </row>
    <row r="5043" spans="5:13">
      <c r="E5043" s="668"/>
      <c r="F5043" s="668"/>
      <c r="G5043" s="668"/>
      <c r="H5043" s="668"/>
      <c r="I5043" s="668"/>
      <c r="J5043" s="668"/>
      <c r="K5043" s="674"/>
      <c r="L5043" s="668"/>
      <c r="M5043" s="668"/>
    </row>
    <row r="5044" spans="5:13">
      <c r="E5044" s="668"/>
      <c r="F5044" s="668"/>
      <c r="G5044" s="668"/>
      <c r="H5044" s="668"/>
      <c r="I5044" s="668"/>
      <c r="J5044" s="668"/>
      <c r="K5044" s="674"/>
      <c r="L5044" s="668"/>
      <c r="M5044" s="668"/>
    </row>
    <row r="5045" spans="5:13">
      <c r="E5045" s="668"/>
      <c r="F5045" s="668"/>
      <c r="G5045" s="668"/>
      <c r="H5045" s="668"/>
      <c r="I5045" s="668"/>
      <c r="J5045" s="668"/>
      <c r="K5045" s="674"/>
      <c r="L5045" s="668"/>
      <c r="M5045" s="668"/>
    </row>
    <row r="5046" spans="5:13">
      <c r="E5046" s="668"/>
      <c r="F5046" s="668"/>
      <c r="G5046" s="668"/>
      <c r="H5046" s="668"/>
      <c r="I5046" s="668"/>
      <c r="J5046" s="668"/>
      <c r="K5046" s="674"/>
      <c r="L5046" s="668"/>
      <c r="M5046" s="668"/>
    </row>
    <row r="5047" spans="5:13">
      <c r="E5047" s="668"/>
      <c r="F5047" s="668"/>
      <c r="G5047" s="668"/>
      <c r="H5047" s="668"/>
      <c r="I5047" s="668"/>
      <c r="J5047" s="668"/>
      <c r="K5047" s="674"/>
      <c r="L5047" s="668"/>
      <c r="M5047" s="668"/>
    </row>
    <row r="5048" spans="5:13">
      <c r="E5048" s="668"/>
      <c r="F5048" s="668"/>
      <c r="G5048" s="668"/>
      <c r="H5048" s="668"/>
      <c r="I5048" s="668"/>
      <c r="J5048" s="668"/>
      <c r="K5048" s="674"/>
      <c r="L5048" s="668"/>
      <c r="M5048" s="668"/>
    </row>
    <row r="5049" spans="5:13">
      <c r="E5049" s="668"/>
      <c r="F5049" s="668"/>
      <c r="G5049" s="668"/>
      <c r="H5049" s="668"/>
      <c r="I5049" s="668"/>
      <c r="J5049" s="668"/>
      <c r="K5049" s="674"/>
      <c r="L5049" s="668"/>
      <c r="M5049" s="668"/>
    </row>
    <row r="5050" spans="5:13">
      <c r="E5050" s="668"/>
      <c r="F5050" s="668"/>
      <c r="G5050" s="668"/>
      <c r="H5050" s="668"/>
      <c r="I5050" s="668"/>
      <c r="J5050" s="668"/>
      <c r="K5050" s="674"/>
      <c r="L5050" s="668"/>
      <c r="M5050" s="668"/>
    </row>
    <row r="5051" spans="5:13">
      <c r="E5051" s="668"/>
      <c r="F5051" s="668"/>
      <c r="G5051" s="668"/>
      <c r="H5051" s="668"/>
      <c r="I5051" s="668"/>
      <c r="J5051" s="668"/>
      <c r="K5051" s="674"/>
      <c r="L5051" s="668"/>
      <c r="M5051" s="668"/>
    </row>
    <row r="5052" spans="5:13">
      <c r="E5052" s="668"/>
      <c r="F5052" s="668"/>
      <c r="G5052" s="668"/>
      <c r="H5052" s="668"/>
      <c r="I5052" s="668"/>
      <c r="J5052" s="668"/>
      <c r="K5052" s="674"/>
      <c r="L5052" s="668"/>
      <c r="M5052" s="668"/>
    </row>
    <row r="5053" spans="5:13">
      <c r="E5053" s="668"/>
      <c r="F5053" s="668"/>
      <c r="G5053" s="668"/>
      <c r="H5053" s="668"/>
      <c r="I5053" s="668"/>
      <c r="J5053" s="668"/>
      <c r="K5053" s="674"/>
      <c r="L5053" s="668"/>
      <c r="M5053" s="668"/>
    </row>
    <row r="5054" spans="5:13">
      <c r="E5054" s="668"/>
      <c r="F5054" s="668"/>
      <c r="G5054" s="668"/>
      <c r="H5054" s="668"/>
      <c r="I5054" s="668"/>
      <c r="J5054" s="668"/>
      <c r="K5054" s="674"/>
      <c r="L5054" s="668"/>
      <c r="M5054" s="668"/>
    </row>
    <row r="5055" spans="5:13">
      <c r="E5055" s="668"/>
      <c r="F5055" s="668"/>
      <c r="G5055" s="668"/>
      <c r="H5055" s="668"/>
      <c r="I5055" s="668"/>
      <c r="J5055" s="668"/>
      <c r="K5055" s="674"/>
      <c r="L5055" s="668"/>
      <c r="M5055" s="668"/>
    </row>
    <row r="5056" spans="5:13">
      <c r="E5056" s="668"/>
      <c r="F5056" s="668"/>
      <c r="G5056" s="668"/>
      <c r="H5056" s="668"/>
      <c r="I5056" s="668"/>
      <c r="J5056" s="668"/>
      <c r="K5056" s="674"/>
      <c r="L5056" s="668"/>
      <c r="M5056" s="668"/>
    </row>
    <row r="5057" spans="5:13">
      <c r="E5057" s="668"/>
      <c r="F5057" s="668"/>
      <c r="G5057" s="668"/>
      <c r="H5057" s="668"/>
      <c r="I5057" s="668"/>
      <c r="J5057" s="668"/>
      <c r="K5057" s="674"/>
      <c r="L5057" s="668"/>
      <c r="M5057" s="668"/>
    </row>
    <row r="5058" spans="5:13">
      <c r="E5058" s="668"/>
      <c r="F5058" s="668"/>
      <c r="G5058" s="668"/>
      <c r="H5058" s="668"/>
      <c r="I5058" s="668"/>
      <c r="J5058" s="668"/>
      <c r="K5058" s="674"/>
      <c r="L5058" s="668"/>
      <c r="M5058" s="668"/>
    </row>
    <row r="5059" spans="5:13">
      <c r="E5059" s="668"/>
      <c r="F5059" s="668"/>
      <c r="G5059" s="668"/>
      <c r="H5059" s="668"/>
      <c r="I5059" s="668"/>
      <c r="J5059" s="668"/>
      <c r="K5059" s="674"/>
      <c r="L5059" s="668"/>
      <c r="M5059" s="668"/>
    </row>
    <row r="5060" spans="5:13">
      <c r="E5060" s="668"/>
      <c r="F5060" s="668"/>
      <c r="G5060" s="668"/>
      <c r="H5060" s="668"/>
      <c r="I5060" s="668"/>
      <c r="J5060" s="668"/>
      <c r="K5060" s="674"/>
      <c r="L5060" s="668"/>
      <c r="M5060" s="668"/>
    </row>
    <row r="5061" spans="5:13">
      <c r="E5061" s="668"/>
      <c r="F5061" s="668"/>
      <c r="G5061" s="668"/>
      <c r="H5061" s="668"/>
      <c r="I5061" s="668"/>
      <c r="J5061" s="668"/>
      <c r="K5061" s="674"/>
      <c r="L5061" s="668"/>
      <c r="M5061" s="668"/>
    </row>
    <row r="5062" spans="5:13">
      <c r="E5062" s="668"/>
      <c r="F5062" s="668"/>
      <c r="G5062" s="668"/>
      <c r="H5062" s="668"/>
      <c r="I5062" s="668"/>
      <c r="J5062" s="668"/>
      <c r="K5062" s="674"/>
      <c r="L5062" s="668"/>
      <c r="M5062" s="668"/>
    </row>
    <row r="5063" spans="5:13">
      <c r="E5063" s="668"/>
      <c r="F5063" s="668"/>
      <c r="G5063" s="668"/>
      <c r="H5063" s="668"/>
      <c r="I5063" s="668"/>
      <c r="J5063" s="668"/>
      <c r="K5063" s="674"/>
      <c r="L5063" s="668"/>
      <c r="M5063" s="668"/>
    </row>
    <row r="5064" spans="5:13">
      <c r="E5064" s="668"/>
      <c r="F5064" s="668"/>
      <c r="G5064" s="668"/>
      <c r="H5064" s="668"/>
      <c r="I5064" s="668"/>
      <c r="J5064" s="668"/>
      <c r="K5064" s="674"/>
      <c r="L5064" s="668"/>
      <c r="M5064" s="668"/>
    </row>
    <row r="5065" spans="5:13">
      <c r="E5065" s="668"/>
      <c r="F5065" s="668"/>
      <c r="G5065" s="668"/>
      <c r="H5065" s="668"/>
      <c r="I5065" s="668"/>
      <c r="J5065" s="668"/>
      <c r="K5065" s="674"/>
      <c r="L5065" s="668"/>
      <c r="M5065" s="668"/>
    </row>
    <row r="5066" spans="5:13">
      <c r="E5066" s="668"/>
      <c r="F5066" s="668"/>
      <c r="G5066" s="668"/>
      <c r="H5066" s="668"/>
      <c r="I5066" s="668"/>
      <c r="J5066" s="668"/>
      <c r="K5066" s="674"/>
      <c r="L5066" s="668"/>
      <c r="M5066" s="668"/>
    </row>
    <row r="5067" spans="5:13">
      <c r="E5067" s="668"/>
      <c r="F5067" s="668"/>
      <c r="G5067" s="668"/>
      <c r="H5067" s="668"/>
      <c r="I5067" s="668"/>
      <c r="J5067" s="668"/>
      <c r="K5067" s="674"/>
      <c r="L5067" s="668"/>
      <c r="M5067" s="668"/>
    </row>
    <row r="5068" spans="5:13">
      <c r="E5068" s="668"/>
      <c r="F5068" s="668"/>
      <c r="G5068" s="668"/>
      <c r="H5068" s="668"/>
      <c r="I5068" s="668"/>
      <c r="J5068" s="668"/>
      <c r="K5068" s="674"/>
      <c r="L5068" s="668"/>
      <c r="M5068" s="668"/>
    </row>
    <row r="5069" spans="5:13">
      <c r="E5069" s="668"/>
      <c r="F5069" s="668"/>
      <c r="G5069" s="668"/>
      <c r="H5069" s="668"/>
      <c r="I5069" s="668"/>
      <c r="J5069" s="668"/>
      <c r="K5069" s="674"/>
      <c r="L5069" s="668"/>
      <c r="M5069" s="668"/>
    </row>
    <row r="5070" spans="5:13">
      <c r="E5070" s="668"/>
      <c r="F5070" s="668"/>
      <c r="G5070" s="668"/>
      <c r="H5070" s="668"/>
      <c r="I5070" s="668"/>
      <c r="J5070" s="668"/>
      <c r="K5070" s="674"/>
      <c r="L5070" s="668"/>
      <c r="M5070" s="668"/>
    </row>
    <row r="5071" spans="5:13">
      <c r="E5071" s="668"/>
      <c r="F5071" s="668"/>
      <c r="G5071" s="668"/>
      <c r="H5071" s="668"/>
      <c r="I5071" s="668"/>
      <c r="J5071" s="668"/>
      <c r="K5071" s="674"/>
      <c r="L5071" s="668"/>
      <c r="M5071" s="668"/>
    </row>
    <row r="5072" spans="5:13">
      <c r="E5072" s="668"/>
      <c r="F5072" s="668"/>
      <c r="G5072" s="668"/>
      <c r="H5072" s="668"/>
      <c r="I5072" s="668"/>
      <c r="J5072" s="668"/>
      <c r="K5072" s="674"/>
      <c r="L5072" s="668"/>
      <c r="M5072" s="668"/>
    </row>
    <row r="5073" spans="5:13">
      <c r="E5073" s="668"/>
      <c r="F5073" s="668"/>
      <c r="G5073" s="668"/>
      <c r="H5073" s="668"/>
      <c r="I5073" s="668"/>
      <c r="J5073" s="668"/>
      <c r="K5073" s="674"/>
      <c r="L5073" s="668"/>
      <c r="M5073" s="668"/>
    </row>
    <row r="5074" spans="5:13">
      <c r="E5074" s="668"/>
      <c r="F5074" s="668"/>
      <c r="G5074" s="668"/>
      <c r="H5074" s="668"/>
      <c r="I5074" s="668"/>
      <c r="J5074" s="668"/>
      <c r="K5074" s="674"/>
      <c r="L5074" s="668"/>
      <c r="M5074" s="668"/>
    </row>
    <row r="5075" spans="5:13">
      <c r="E5075" s="668"/>
      <c r="F5075" s="668"/>
      <c r="G5075" s="668"/>
      <c r="H5075" s="668"/>
      <c r="I5075" s="668"/>
      <c r="J5075" s="668"/>
      <c r="K5075" s="674"/>
      <c r="L5075" s="668"/>
      <c r="M5075" s="668"/>
    </row>
    <row r="5076" spans="5:13">
      <c r="E5076" s="668"/>
      <c r="F5076" s="668"/>
      <c r="G5076" s="668"/>
      <c r="H5076" s="668"/>
      <c r="I5076" s="668"/>
      <c r="J5076" s="668"/>
      <c r="K5076" s="674"/>
      <c r="L5076" s="668"/>
      <c r="M5076" s="668"/>
    </row>
    <row r="5077" spans="5:13">
      <c r="E5077" s="668"/>
      <c r="F5077" s="668"/>
      <c r="G5077" s="668"/>
      <c r="H5077" s="668"/>
      <c r="I5077" s="668"/>
      <c r="J5077" s="668"/>
      <c r="K5077" s="674"/>
      <c r="L5077" s="668"/>
      <c r="M5077" s="668"/>
    </row>
    <row r="5078" spans="5:13">
      <c r="E5078" s="668"/>
      <c r="F5078" s="668"/>
      <c r="G5078" s="668"/>
      <c r="H5078" s="668"/>
      <c r="I5078" s="668"/>
      <c r="J5078" s="668"/>
      <c r="K5078" s="674"/>
      <c r="L5078" s="668"/>
      <c r="M5078" s="668"/>
    </row>
    <row r="5079" spans="5:13">
      <c r="E5079" s="668"/>
      <c r="F5079" s="668"/>
      <c r="G5079" s="668"/>
      <c r="H5079" s="668"/>
      <c r="I5079" s="668"/>
      <c r="J5079" s="668"/>
      <c r="K5079" s="674"/>
      <c r="L5079" s="668"/>
      <c r="M5079" s="668"/>
    </row>
    <row r="5080" spans="5:13">
      <c r="E5080" s="668"/>
      <c r="F5080" s="668"/>
      <c r="G5080" s="668"/>
      <c r="H5080" s="668"/>
      <c r="I5080" s="668"/>
      <c r="J5080" s="668"/>
      <c r="K5080" s="674"/>
      <c r="L5080" s="668"/>
      <c r="M5080" s="668"/>
    </row>
    <row r="5081" spans="5:13">
      <c r="E5081" s="668"/>
      <c r="F5081" s="668"/>
      <c r="G5081" s="668"/>
      <c r="H5081" s="668"/>
      <c r="I5081" s="668"/>
      <c r="J5081" s="668"/>
      <c r="K5081" s="674"/>
      <c r="L5081" s="668"/>
      <c r="M5081" s="668"/>
    </row>
    <row r="5082" spans="5:13">
      <c r="E5082" s="668"/>
      <c r="F5082" s="668"/>
      <c r="G5082" s="668"/>
      <c r="H5082" s="668"/>
      <c r="I5082" s="668"/>
      <c r="J5082" s="668"/>
      <c r="K5082" s="674"/>
      <c r="L5082" s="668"/>
      <c r="M5082" s="668"/>
    </row>
    <row r="5083" spans="5:13">
      <c r="E5083" s="668"/>
      <c r="F5083" s="668"/>
      <c r="G5083" s="668"/>
      <c r="H5083" s="668"/>
      <c r="I5083" s="668"/>
      <c r="J5083" s="668"/>
      <c r="K5083" s="674"/>
      <c r="L5083" s="668"/>
      <c r="M5083" s="668"/>
    </row>
    <row r="5084" spans="5:13">
      <c r="E5084" s="668"/>
      <c r="F5084" s="668"/>
      <c r="G5084" s="668"/>
      <c r="H5084" s="668"/>
      <c r="I5084" s="668"/>
      <c r="J5084" s="668"/>
      <c r="K5084" s="674"/>
      <c r="L5084" s="668"/>
      <c r="M5084" s="668"/>
    </row>
    <row r="5085" spans="5:13">
      <c r="E5085" s="668"/>
      <c r="F5085" s="668"/>
      <c r="G5085" s="668"/>
      <c r="H5085" s="668"/>
      <c r="I5085" s="668"/>
      <c r="J5085" s="668"/>
      <c r="K5085" s="674"/>
      <c r="L5085" s="668"/>
      <c r="M5085" s="668"/>
    </row>
    <row r="5086" spans="5:13">
      <c r="E5086" s="668"/>
      <c r="F5086" s="668"/>
      <c r="G5086" s="668"/>
      <c r="H5086" s="668"/>
      <c r="I5086" s="668"/>
      <c r="J5086" s="668"/>
      <c r="K5086" s="674"/>
      <c r="L5086" s="668"/>
      <c r="M5086" s="668"/>
    </row>
    <row r="5087" spans="5:13">
      <c r="E5087" s="668"/>
      <c r="F5087" s="668"/>
      <c r="G5087" s="668"/>
      <c r="H5087" s="668"/>
      <c r="I5087" s="668"/>
      <c r="J5087" s="668"/>
      <c r="K5087" s="674"/>
      <c r="L5087" s="668"/>
      <c r="M5087" s="668"/>
    </row>
    <row r="5088" spans="5:13">
      <c r="E5088" s="668"/>
      <c r="F5088" s="668"/>
      <c r="G5088" s="668"/>
      <c r="H5088" s="668"/>
      <c r="I5088" s="668"/>
      <c r="J5088" s="668"/>
      <c r="K5088" s="674"/>
      <c r="L5088" s="668"/>
      <c r="M5088" s="668"/>
    </row>
    <row r="5089" spans="5:13">
      <c r="E5089" s="668"/>
      <c r="F5089" s="668"/>
      <c r="G5089" s="668"/>
      <c r="H5089" s="668"/>
      <c r="I5089" s="668"/>
      <c r="J5089" s="668"/>
      <c r="K5089" s="674"/>
      <c r="L5089" s="668"/>
      <c r="M5089" s="668"/>
    </row>
    <row r="5090" spans="5:13">
      <c r="E5090" s="668"/>
      <c r="F5090" s="668"/>
      <c r="G5090" s="668"/>
      <c r="H5090" s="668"/>
      <c r="I5090" s="668"/>
      <c r="J5090" s="668"/>
      <c r="K5090" s="674"/>
      <c r="L5090" s="668"/>
      <c r="M5090" s="668"/>
    </row>
    <row r="5091" spans="5:13">
      <c r="E5091" s="668"/>
      <c r="F5091" s="668"/>
      <c r="G5091" s="668"/>
      <c r="H5091" s="668"/>
      <c r="I5091" s="668"/>
      <c r="J5091" s="668"/>
      <c r="K5091" s="674"/>
      <c r="L5091" s="668"/>
      <c r="M5091" s="668"/>
    </row>
    <row r="5092" spans="5:13">
      <c r="E5092" s="668"/>
      <c r="F5092" s="668"/>
      <c r="G5092" s="668"/>
      <c r="H5092" s="668"/>
      <c r="I5092" s="668"/>
      <c r="J5092" s="668"/>
      <c r="K5092" s="674"/>
      <c r="L5092" s="668"/>
      <c r="M5092" s="668"/>
    </row>
    <row r="5093" spans="5:13">
      <c r="E5093" s="668"/>
      <c r="F5093" s="668"/>
      <c r="G5093" s="668"/>
      <c r="H5093" s="668"/>
      <c r="I5093" s="668"/>
      <c r="J5093" s="668"/>
      <c r="K5093" s="674"/>
      <c r="L5093" s="668"/>
      <c r="M5093" s="668"/>
    </row>
    <row r="5094" spans="5:13">
      <c r="E5094" s="668"/>
      <c r="F5094" s="668"/>
      <c r="G5094" s="668"/>
      <c r="H5094" s="668"/>
      <c r="I5094" s="668"/>
      <c r="J5094" s="668"/>
      <c r="K5094" s="674"/>
      <c r="L5094" s="668"/>
      <c r="M5094" s="668"/>
    </row>
    <row r="5095" spans="5:13">
      <c r="E5095" s="668"/>
      <c r="F5095" s="668"/>
      <c r="G5095" s="668"/>
      <c r="H5095" s="668"/>
      <c r="I5095" s="668"/>
      <c r="J5095" s="668"/>
      <c r="K5095" s="674"/>
      <c r="L5095" s="668"/>
      <c r="M5095" s="668"/>
    </row>
    <row r="5096" spans="5:13">
      <c r="E5096" s="668"/>
      <c r="F5096" s="668"/>
      <c r="G5096" s="668"/>
      <c r="H5096" s="668"/>
      <c r="I5096" s="668"/>
      <c r="J5096" s="668"/>
      <c r="K5096" s="674"/>
      <c r="L5096" s="668"/>
      <c r="M5096" s="668"/>
    </row>
    <row r="5097" spans="5:13">
      <c r="E5097" s="668"/>
      <c r="F5097" s="668"/>
      <c r="G5097" s="668"/>
      <c r="H5097" s="668"/>
      <c r="I5097" s="668"/>
      <c r="J5097" s="668"/>
      <c r="K5097" s="674"/>
      <c r="L5097" s="668"/>
      <c r="M5097" s="668"/>
    </row>
    <row r="5098" spans="5:13">
      <c r="E5098" s="668"/>
      <c r="F5098" s="668"/>
      <c r="G5098" s="668"/>
      <c r="H5098" s="668"/>
      <c r="I5098" s="668"/>
      <c r="J5098" s="668"/>
      <c r="K5098" s="674"/>
      <c r="L5098" s="668"/>
      <c r="M5098" s="668"/>
    </row>
    <row r="5099" spans="5:13">
      <c r="E5099" s="668"/>
      <c r="F5099" s="668"/>
      <c r="G5099" s="668"/>
      <c r="H5099" s="668"/>
      <c r="I5099" s="668"/>
      <c r="J5099" s="668"/>
      <c r="K5099" s="674"/>
      <c r="L5099" s="668"/>
      <c r="M5099" s="668"/>
    </row>
    <row r="5100" spans="5:13">
      <c r="E5100" s="668"/>
      <c r="F5100" s="668"/>
      <c r="G5100" s="668"/>
      <c r="H5100" s="668"/>
      <c r="I5100" s="668"/>
      <c r="J5100" s="668"/>
      <c r="K5100" s="674"/>
      <c r="L5100" s="668"/>
      <c r="M5100" s="668"/>
    </row>
    <row r="5101" spans="5:13">
      <c r="E5101" s="668"/>
      <c r="F5101" s="668"/>
      <c r="G5101" s="668"/>
      <c r="H5101" s="668"/>
      <c r="I5101" s="668"/>
      <c r="J5101" s="668"/>
      <c r="K5101" s="674"/>
      <c r="L5101" s="668"/>
      <c r="M5101" s="668"/>
    </row>
    <row r="5102" spans="5:13">
      <c r="E5102" s="668"/>
      <c r="F5102" s="668"/>
      <c r="G5102" s="668"/>
      <c r="H5102" s="668"/>
      <c r="I5102" s="668"/>
      <c r="J5102" s="668"/>
      <c r="K5102" s="674"/>
      <c r="L5102" s="668"/>
      <c r="M5102" s="668"/>
    </row>
    <row r="5103" spans="5:13">
      <c r="E5103" s="668"/>
      <c r="F5103" s="668"/>
      <c r="G5103" s="668"/>
      <c r="H5103" s="668"/>
      <c r="I5103" s="668"/>
      <c r="J5103" s="668"/>
      <c r="K5103" s="674"/>
      <c r="L5103" s="668"/>
      <c r="M5103" s="668"/>
    </row>
    <row r="5104" spans="5:13">
      <c r="E5104" s="668"/>
      <c r="F5104" s="668"/>
      <c r="G5104" s="668"/>
      <c r="H5104" s="668"/>
      <c r="I5104" s="668"/>
      <c r="J5104" s="668"/>
      <c r="K5104" s="674"/>
      <c r="L5104" s="668"/>
      <c r="M5104" s="668"/>
    </row>
    <row r="5105" spans="5:13">
      <c r="E5105" s="668"/>
      <c r="F5105" s="668"/>
      <c r="G5105" s="668"/>
      <c r="H5105" s="668"/>
      <c r="I5105" s="668"/>
      <c r="J5105" s="668"/>
      <c r="K5105" s="674"/>
      <c r="L5105" s="668"/>
      <c r="M5105" s="668"/>
    </row>
    <row r="5106" spans="5:13">
      <c r="E5106" s="668"/>
      <c r="F5106" s="668"/>
      <c r="G5106" s="668"/>
      <c r="H5106" s="668"/>
      <c r="I5106" s="668"/>
      <c r="J5106" s="668"/>
      <c r="K5106" s="674"/>
      <c r="L5106" s="668"/>
      <c r="M5106" s="668"/>
    </row>
    <row r="5107" spans="5:13">
      <c r="E5107" s="668"/>
      <c r="F5107" s="668"/>
      <c r="G5107" s="668"/>
      <c r="H5107" s="668"/>
      <c r="I5107" s="668"/>
      <c r="J5107" s="668"/>
      <c r="K5107" s="674"/>
      <c r="L5107" s="668"/>
      <c r="M5107" s="668"/>
    </row>
    <row r="5108" spans="5:13">
      <c r="E5108" s="668"/>
      <c r="F5108" s="668"/>
      <c r="G5108" s="668"/>
      <c r="H5108" s="668"/>
      <c r="I5108" s="668"/>
      <c r="J5108" s="668"/>
      <c r="K5108" s="674"/>
      <c r="L5108" s="668"/>
      <c r="M5108" s="668"/>
    </row>
    <row r="5109" spans="5:13">
      <c r="E5109" s="668"/>
      <c r="F5109" s="668"/>
      <c r="G5109" s="668"/>
      <c r="H5109" s="668"/>
      <c r="I5109" s="668"/>
      <c r="J5109" s="668"/>
      <c r="K5109" s="674"/>
      <c r="L5109" s="668"/>
      <c r="M5109" s="668"/>
    </row>
    <row r="5110" spans="5:13">
      <c r="E5110" s="668"/>
      <c r="F5110" s="668"/>
      <c r="G5110" s="668"/>
      <c r="H5110" s="668"/>
      <c r="I5110" s="668"/>
      <c r="J5110" s="668"/>
      <c r="K5110" s="674"/>
      <c r="L5110" s="668"/>
      <c r="M5110" s="668"/>
    </row>
    <row r="5111" spans="5:13">
      <c r="E5111" s="668"/>
      <c r="F5111" s="668"/>
      <c r="G5111" s="668"/>
      <c r="H5111" s="668"/>
      <c r="I5111" s="668"/>
      <c r="J5111" s="668"/>
      <c r="K5111" s="674"/>
      <c r="L5111" s="668"/>
      <c r="M5111" s="668"/>
    </row>
    <row r="5112" spans="5:13">
      <c r="E5112" s="668"/>
      <c r="F5112" s="668"/>
      <c r="G5112" s="668"/>
      <c r="H5112" s="668"/>
      <c r="I5112" s="668"/>
      <c r="J5112" s="668"/>
      <c r="K5112" s="674"/>
      <c r="L5112" s="668"/>
      <c r="M5112" s="668"/>
    </row>
    <row r="5113" spans="5:13">
      <c r="E5113" s="668"/>
      <c r="F5113" s="668"/>
      <c r="G5113" s="668"/>
      <c r="H5113" s="668"/>
      <c r="I5113" s="668"/>
      <c r="J5113" s="668"/>
      <c r="K5113" s="674"/>
      <c r="L5113" s="668"/>
      <c r="M5113" s="668"/>
    </row>
    <row r="5114" spans="5:13">
      <c r="E5114" s="668"/>
      <c r="F5114" s="668"/>
      <c r="G5114" s="668"/>
      <c r="H5114" s="668"/>
      <c r="I5114" s="668"/>
      <c r="J5114" s="668"/>
      <c r="K5114" s="674"/>
      <c r="L5114" s="668"/>
      <c r="M5114" s="668"/>
    </row>
    <row r="5115" spans="5:13">
      <c r="E5115" s="668"/>
      <c r="F5115" s="668"/>
      <c r="G5115" s="668"/>
      <c r="H5115" s="668"/>
      <c r="I5115" s="668"/>
      <c r="J5115" s="668"/>
      <c r="K5115" s="674"/>
      <c r="L5115" s="668"/>
      <c r="M5115" s="668"/>
    </row>
    <row r="5116" spans="5:13">
      <c r="E5116" s="668"/>
      <c r="F5116" s="668"/>
      <c r="G5116" s="668"/>
      <c r="H5116" s="668"/>
      <c r="I5116" s="668"/>
      <c r="J5116" s="668"/>
      <c r="K5116" s="674"/>
      <c r="L5116" s="668"/>
      <c r="M5116" s="668"/>
    </row>
    <row r="5117" spans="5:13">
      <c r="E5117" s="668"/>
      <c r="F5117" s="668"/>
      <c r="G5117" s="668"/>
      <c r="H5117" s="668"/>
      <c r="I5117" s="668"/>
      <c r="J5117" s="668"/>
      <c r="K5117" s="674"/>
      <c r="L5117" s="668"/>
      <c r="M5117" s="668"/>
    </row>
    <row r="5118" spans="5:13">
      <c r="E5118" s="668"/>
      <c r="F5118" s="668"/>
      <c r="G5118" s="668"/>
      <c r="H5118" s="668"/>
      <c r="I5118" s="668"/>
      <c r="J5118" s="668"/>
      <c r="K5118" s="674"/>
      <c r="L5118" s="668"/>
      <c r="M5118" s="668"/>
    </row>
    <row r="5119" spans="5:13">
      <c r="E5119" s="668"/>
      <c r="F5119" s="668"/>
      <c r="G5119" s="668"/>
      <c r="H5119" s="668"/>
      <c r="I5119" s="668"/>
      <c r="J5119" s="668"/>
      <c r="K5119" s="674"/>
      <c r="L5119" s="668"/>
      <c r="M5119" s="668"/>
    </row>
    <row r="5120" spans="5:13">
      <c r="E5120" s="668"/>
      <c r="F5120" s="668"/>
      <c r="G5120" s="668"/>
      <c r="H5120" s="668"/>
      <c r="I5120" s="668"/>
      <c r="J5120" s="668"/>
      <c r="K5120" s="674"/>
      <c r="L5120" s="668"/>
      <c r="M5120" s="668"/>
    </row>
    <row r="5121" spans="5:13">
      <c r="E5121" s="668"/>
      <c r="F5121" s="668"/>
      <c r="G5121" s="668"/>
      <c r="H5121" s="668"/>
      <c r="I5121" s="668"/>
      <c r="J5121" s="668"/>
      <c r="K5121" s="674"/>
      <c r="L5121" s="668"/>
      <c r="M5121" s="668"/>
    </row>
    <row r="5122" spans="5:13">
      <c r="E5122" s="668"/>
      <c r="F5122" s="668"/>
      <c r="G5122" s="668"/>
      <c r="H5122" s="668"/>
      <c r="I5122" s="668"/>
      <c r="J5122" s="668"/>
      <c r="K5122" s="674"/>
      <c r="L5122" s="668"/>
      <c r="M5122" s="668"/>
    </row>
    <row r="5123" spans="5:13">
      <c r="E5123" s="668"/>
      <c r="F5123" s="668"/>
      <c r="G5123" s="668"/>
      <c r="H5123" s="668"/>
      <c r="I5123" s="668"/>
      <c r="J5123" s="668"/>
      <c r="K5123" s="674"/>
      <c r="L5123" s="668"/>
      <c r="M5123" s="668"/>
    </row>
    <row r="5124" spans="5:13">
      <c r="E5124" s="668"/>
      <c r="F5124" s="668"/>
      <c r="G5124" s="668"/>
      <c r="H5124" s="668"/>
      <c r="I5124" s="668"/>
      <c r="J5124" s="668"/>
      <c r="K5124" s="674"/>
      <c r="L5124" s="668"/>
      <c r="M5124" s="668"/>
    </row>
    <row r="5125" spans="5:13">
      <c r="E5125" s="668"/>
      <c r="F5125" s="668"/>
      <c r="G5125" s="668"/>
      <c r="H5125" s="668"/>
      <c r="I5125" s="668"/>
      <c r="J5125" s="668"/>
      <c r="K5125" s="674"/>
      <c r="L5125" s="668"/>
      <c r="M5125" s="668"/>
    </row>
    <row r="5126" spans="5:13">
      <c r="E5126" s="668"/>
      <c r="F5126" s="668"/>
      <c r="G5126" s="668"/>
      <c r="H5126" s="668"/>
      <c r="I5126" s="668"/>
      <c r="J5126" s="668"/>
      <c r="K5126" s="674"/>
      <c r="L5126" s="668"/>
      <c r="M5126" s="668"/>
    </row>
    <row r="5127" spans="5:13">
      <c r="E5127" s="668"/>
      <c r="F5127" s="668"/>
      <c r="G5127" s="668"/>
      <c r="H5127" s="668"/>
      <c r="I5127" s="668"/>
      <c r="J5127" s="668"/>
      <c r="K5127" s="674"/>
      <c r="L5127" s="668"/>
      <c r="M5127" s="668"/>
    </row>
    <row r="5128" spans="5:13">
      <c r="E5128" s="668"/>
      <c r="F5128" s="668"/>
      <c r="G5128" s="668"/>
      <c r="H5128" s="668"/>
      <c r="I5128" s="668"/>
      <c r="J5128" s="668"/>
      <c r="K5128" s="674"/>
      <c r="L5128" s="668"/>
      <c r="M5128" s="668"/>
    </row>
    <row r="5129" spans="5:13">
      <c r="E5129" s="668"/>
      <c r="F5129" s="668"/>
      <c r="G5129" s="668"/>
      <c r="H5129" s="668"/>
      <c r="I5129" s="668"/>
      <c r="J5129" s="668"/>
      <c r="K5129" s="674"/>
      <c r="L5129" s="668"/>
      <c r="M5129" s="668"/>
    </row>
    <row r="5130" spans="5:13">
      <c r="E5130" s="668"/>
      <c r="F5130" s="668"/>
      <c r="G5130" s="668"/>
      <c r="H5130" s="668"/>
      <c r="I5130" s="668"/>
      <c r="J5130" s="668"/>
      <c r="K5130" s="674"/>
      <c r="L5130" s="668"/>
      <c r="M5130" s="668"/>
    </row>
    <row r="5131" spans="5:13">
      <c r="E5131" s="668"/>
      <c r="F5131" s="668"/>
      <c r="G5131" s="668"/>
      <c r="H5131" s="668"/>
      <c r="I5131" s="668"/>
      <c r="J5131" s="668"/>
      <c r="K5131" s="674"/>
      <c r="L5131" s="668"/>
      <c r="M5131" s="668"/>
    </row>
    <row r="5132" spans="5:13">
      <c r="E5132" s="668"/>
      <c r="F5132" s="668"/>
      <c r="G5132" s="668"/>
      <c r="H5132" s="668"/>
      <c r="I5132" s="668"/>
      <c r="J5132" s="668"/>
      <c r="K5132" s="674"/>
      <c r="L5132" s="668"/>
      <c r="M5132" s="668"/>
    </row>
    <row r="5133" spans="5:13">
      <c r="E5133" s="668"/>
      <c r="F5133" s="668"/>
      <c r="G5133" s="668"/>
      <c r="H5133" s="668"/>
      <c r="I5133" s="668"/>
      <c r="J5133" s="668"/>
      <c r="K5133" s="674"/>
      <c r="L5133" s="668"/>
      <c r="M5133" s="668"/>
    </row>
    <row r="5134" spans="5:13">
      <c r="E5134" s="668"/>
      <c r="F5134" s="668"/>
      <c r="G5134" s="668"/>
      <c r="H5134" s="668"/>
      <c r="I5134" s="668"/>
      <c r="J5134" s="668"/>
      <c r="K5134" s="674"/>
      <c r="L5134" s="668"/>
      <c r="M5134" s="668"/>
    </row>
    <row r="5135" spans="5:13">
      <c r="E5135" s="668"/>
      <c r="F5135" s="668"/>
      <c r="G5135" s="668"/>
      <c r="H5135" s="668"/>
      <c r="I5135" s="668"/>
      <c r="J5135" s="668"/>
      <c r="K5135" s="674"/>
      <c r="L5135" s="668"/>
      <c r="M5135" s="668"/>
    </row>
    <row r="5136" spans="5:13">
      <c r="E5136" s="668"/>
      <c r="F5136" s="668"/>
      <c r="G5136" s="668"/>
      <c r="H5136" s="668"/>
      <c r="I5136" s="668"/>
      <c r="J5136" s="668"/>
      <c r="K5136" s="674"/>
      <c r="L5136" s="668"/>
      <c r="M5136" s="668"/>
    </row>
    <row r="5137" spans="5:13">
      <c r="E5137" s="668"/>
      <c r="F5137" s="668"/>
      <c r="G5137" s="668"/>
      <c r="H5137" s="668"/>
      <c r="I5137" s="668"/>
      <c r="J5137" s="668"/>
      <c r="K5137" s="674"/>
      <c r="L5137" s="668"/>
      <c r="M5137" s="668"/>
    </row>
    <row r="5138" spans="5:13">
      <c r="E5138" s="668"/>
      <c r="F5138" s="668"/>
      <c r="G5138" s="668"/>
      <c r="H5138" s="668"/>
      <c r="I5138" s="668"/>
      <c r="J5138" s="668"/>
      <c r="K5138" s="674"/>
      <c r="L5138" s="668"/>
      <c r="M5138" s="668"/>
    </row>
    <row r="5139" spans="5:13">
      <c r="E5139" s="668"/>
      <c r="F5139" s="668"/>
      <c r="G5139" s="668"/>
      <c r="H5139" s="668"/>
      <c r="I5139" s="668"/>
      <c r="J5139" s="668"/>
      <c r="K5139" s="674"/>
      <c r="L5139" s="668"/>
      <c r="M5139" s="668"/>
    </row>
    <row r="5140" spans="5:13">
      <c r="E5140" s="668"/>
      <c r="F5140" s="668"/>
      <c r="G5140" s="668"/>
      <c r="H5140" s="668"/>
      <c r="I5140" s="668"/>
      <c r="J5140" s="668"/>
      <c r="K5140" s="674"/>
      <c r="L5140" s="668"/>
      <c r="M5140" s="668"/>
    </row>
    <row r="5141" spans="5:13">
      <c r="E5141" s="668"/>
      <c r="F5141" s="668"/>
      <c r="G5141" s="668"/>
      <c r="H5141" s="668"/>
      <c r="I5141" s="668"/>
      <c r="J5141" s="668"/>
      <c r="K5141" s="674"/>
      <c r="L5141" s="668"/>
      <c r="M5141" s="668"/>
    </row>
    <row r="5142" spans="5:13">
      <c r="E5142" s="668"/>
      <c r="F5142" s="668"/>
      <c r="G5142" s="668"/>
      <c r="H5142" s="668"/>
      <c r="I5142" s="668"/>
      <c r="J5142" s="668"/>
      <c r="K5142" s="674"/>
      <c r="L5142" s="668"/>
      <c r="M5142" s="668"/>
    </row>
    <row r="5143" spans="5:13">
      <c r="E5143" s="668"/>
      <c r="F5143" s="668"/>
      <c r="G5143" s="668"/>
      <c r="H5143" s="668"/>
      <c r="I5143" s="668"/>
      <c r="J5143" s="668"/>
      <c r="K5143" s="674"/>
      <c r="L5143" s="668"/>
      <c r="M5143" s="668"/>
    </row>
    <row r="5144" spans="5:13">
      <c r="E5144" s="668"/>
      <c r="F5144" s="668"/>
      <c r="G5144" s="668"/>
      <c r="H5144" s="668"/>
      <c r="I5144" s="668"/>
      <c r="J5144" s="668"/>
      <c r="K5144" s="674"/>
      <c r="L5144" s="668"/>
      <c r="M5144" s="668"/>
    </row>
    <row r="5145" spans="5:13">
      <c r="E5145" s="668"/>
      <c r="F5145" s="668"/>
      <c r="G5145" s="668"/>
      <c r="H5145" s="668"/>
      <c r="I5145" s="668"/>
      <c r="J5145" s="668"/>
      <c r="K5145" s="674"/>
      <c r="L5145" s="668"/>
      <c r="M5145" s="668"/>
    </row>
    <row r="5146" spans="5:13">
      <c r="E5146" s="668"/>
      <c r="F5146" s="668"/>
      <c r="G5146" s="668"/>
      <c r="H5146" s="668"/>
      <c r="I5146" s="668"/>
      <c r="J5146" s="668"/>
      <c r="K5146" s="674"/>
      <c r="L5146" s="668"/>
      <c r="M5146" s="668"/>
    </row>
    <row r="5147" spans="5:13">
      <c r="E5147" s="668"/>
      <c r="F5147" s="668"/>
      <c r="G5147" s="668"/>
      <c r="H5147" s="668"/>
      <c r="I5147" s="668"/>
      <c r="J5147" s="668"/>
      <c r="K5147" s="674"/>
      <c r="L5147" s="668"/>
      <c r="M5147" s="668"/>
    </row>
    <row r="5148" spans="5:13">
      <c r="E5148" s="668"/>
      <c r="F5148" s="668"/>
      <c r="G5148" s="668"/>
      <c r="H5148" s="668"/>
      <c r="I5148" s="668"/>
      <c r="J5148" s="668"/>
      <c r="K5148" s="674"/>
      <c r="L5148" s="668"/>
      <c r="M5148" s="668"/>
    </row>
    <row r="5149" spans="5:13">
      <c r="E5149" s="668"/>
      <c r="F5149" s="668"/>
      <c r="G5149" s="668"/>
      <c r="H5149" s="668"/>
      <c r="I5149" s="668"/>
      <c r="J5149" s="668"/>
      <c r="K5149" s="674"/>
      <c r="L5149" s="668"/>
      <c r="M5149" s="668"/>
    </row>
    <row r="5150" spans="5:13">
      <c r="E5150" s="668"/>
      <c r="F5150" s="668"/>
      <c r="G5150" s="668"/>
      <c r="H5150" s="668"/>
      <c r="I5150" s="668"/>
      <c r="J5150" s="668"/>
      <c r="K5150" s="674"/>
      <c r="L5150" s="668"/>
      <c r="M5150" s="668"/>
    </row>
    <row r="5151" spans="5:13">
      <c r="E5151" s="668"/>
      <c r="F5151" s="668"/>
      <c r="G5151" s="668"/>
      <c r="H5151" s="668"/>
      <c r="I5151" s="668"/>
      <c r="J5151" s="668"/>
      <c r="K5151" s="674"/>
      <c r="L5151" s="668"/>
      <c r="M5151" s="668"/>
    </row>
    <row r="5152" spans="5:13">
      <c r="E5152" s="668"/>
      <c r="F5152" s="668"/>
      <c r="G5152" s="668"/>
      <c r="H5152" s="668"/>
      <c r="I5152" s="668"/>
      <c r="J5152" s="668"/>
      <c r="K5152" s="674"/>
      <c r="L5152" s="668"/>
      <c r="M5152" s="668"/>
    </row>
    <row r="5153" spans="5:13">
      <c r="E5153" s="668"/>
      <c r="F5153" s="668"/>
      <c r="G5153" s="668"/>
      <c r="H5153" s="668"/>
      <c r="I5153" s="668"/>
      <c r="J5153" s="668"/>
      <c r="K5153" s="674"/>
      <c r="L5153" s="668"/>
      <c r="M5153" s="668"/>
    </row>
    <row r="5154" spans="5:13">
      <c r="E5154" s="668"/>
      <c r="F5154" s="668"/>
      <c r="G5154" s="668"/>
      <c r="H5154" s="668"/>
      <c r="I5154" s="668"/>
      <c r="J5154" s="668"/>
      <c r="K5154" s="674"/>
      <c r="L5154" s="668"/>
      <c r="M5154" s="668"/>
    </row>
    <row r="5155" spans="5:13">
      <c r="E5155" s="668"/>
      <c r="F5155" s="668"/>
      <c r="G5155" s="668"/>
      <c r="H5155" s="668"/>
      <c r="I5155" s="668"/>
      <c r="J5155" s="668"/>
      <c r="K5155" s="674"/>
      <c r="L5155" s="668"/>
      <c r="M5155" s="668"/>
    </row>
    <row r="5156" spans="5:13">
      <c r="E5156" s="668"/>
      <c r="F5156" s="668"/>
      <c r="G5156" s="668"/>
      <c r="H5156" s="668"/>
      <c r="I5156" s="668"/>
      <c r="J5156" s="668"/>
      <c r="K5156" s="674"/>
      <c r="L5156" s="668"/>
      <c r="M5156" s="668"/>
    </row>
    <row r="5157" spans="5:13">
      <c r="E5157" s="668"/>
      <c r="F5157" s="668"/>
      <c r="G5157" s="668"/>
      <c r="H5157" s="668"/>
      <c r="I5157" s="668"/>
      <c r="J5157" s="668"/>
      <c r="K5157" s="674"/>
      <c r="L5157" s="668"/>
      <c r="M5157" s="668"/>
    </row>
    <row r="5158" spans="5:13">
      <c r="E5158" s="668"/>
      <c r="F5158" s="668"/>
      <c r="G5158" s="668"/>
      <c r="H5158" s="668"/>
      <c r="I5158" s="668"/>
      <c r="J5158" s="668"/>
      <c r="K5158" s="674"/>
      <c r="L5158" s="668"/>
      <c r="M5158" s="668"/>
    </row>
    <row r="5159" spans="5:13">
      <c r="E5159" s="668"/>
      <c r="F5159" s="668"/>
      <c r="G5159" s="668"/>
      <c r="H5159" s="668"/>
      <c r="I5159" s="668"/>
      <c r="J5159" s="668"/>
      <c r="K5159" s="674"/>
      <c r="L5159" s="668"/>
      <c r="M5159" s="668"/>
    </row>
    <row r="5160" spans="5:13">
      <c r="E5160" s="668"/>
      <c r="F5160" s="668"/>
      <c r="G5160" s="668"/>
      <c r="H5160" s="668"/>
      <c r="I5160" s="668"/>
      <c r="J5160" s="668"/>
      <c r="K5160" s="674"/>
      <c r="L5160" s="668"/>
      <c r="M5160" s="668"/>
    </row>
    <row r="5161" spans="5:13">
      <c r="E5161" s="668"/>
      <c r="F5161" s="668"/>
      <c r="G5161" s="668"/>
      <c r="H5161" s="668"/>
      <c r="I5161" s="668"/>
      <c r="J5161" s="668"/>
      <c r="K5161" s="674"/>
      <c r="L5161" s="668"/>
      <c r="M5161" s="668"/>
    </row>
    <row r="5162" spans="5:13">
      <c r="E5162" s="668"/>
      <c r="F5162" s="668"/>
      <c r="G5162" s="668"/>
      <c r="H5162" s="668"/>
      <c r="I5162" s="668"/>
      <c r="J5162" s="668"/>
      <c r="K5162" s="674"/>
      <c r="L5162" s="668"/>
      <c r="M5162" s="668"/>
    </row>
    <row r="5163" spans="5:13">
      <c r="E5163" s="668"/>
      <c r="F5163" s="668"/>
      <c r="G5163" s="668"/>
      <c r="H5163" s="668"/>
      <c r="I5163" s="668"/>
      <c r="J5163" s="668"/>
      <c r="K5163" s="674"/>
      <c r="L5163" s="668"/>
      <c r="M5163" s="668"/>
    </row>
    <row r="5164" spans="5:13">
      <c r="E5164" s="668"/>
      <c r="F5164" s="668"/>
      <c r="G5164" s="668"/>
      <c r="H5164" s="668"/>
      <c r="I5164" s="668"/>
      <c r="J5164" s="668"/>
      <c r="K5164" s="674"/>
      <c r="L5164" s="668"/>
      <c r="M5164" s="668"/>
    </row>
    <row r="5165" spans="5:13">
      <c r="E5165" s="668"/>
      <c r="F5165" s="668"/>
      <c r="G5165" s="668"/>
      <c r="H5165" s="668"/>
      <c r="I5165" s="668"/>
      <c r="J5165" s="668"/>
      <c r="K5165" s="674"/>
      <c r="L5165" s="668"/>
      <c r="M5165" s="668"/>
    </row>
    <row r="5166" spans="5:13">
      <c r="E5166" s="668"/>
      <c r="F5166" s="668"/>
      <c r="G5166" s="668"/>
      <c r="H5166" s="668"/>
      <c r="I5166" s="668"/>
      <c r="J5166" s="668"/>
      <c r="K5166" s="674"/>
      <c r="L5166" s="668"/>
      <c r="M5166" s="668"/>
    </row>
    <row r="5167" spans="5:13">
      <c r="E5167" s="668"/>
      <c r="F5167" s="668"/>
      <c r="G5167" s="668"/>
      <c r="H5167" s="668"/>
      <c r="I5167" s="668"/>
      <c r="J5167" s="668"/>
      <c r="K5167" s="674"/>
      <c r="L5167" s="668"/>
      <c r="M5167" s="668"/>
    </row>
    <row r="5168" spans="5:13">
      <c r="E5168" s="668"/>
      <c r="F5168" s="668"/>
      <c r="G5168" s="668"/>
      <c r="H5168" s="668"/>
      <c r="I5168" s="668"/>
      <c r="J5168" s="668"/>
      <c r="K5168" s="674"/>
      <c r="L5168" s="668"/>
      <c r="M5168" s="668"/>
    </row>
    <row r="5169" spans="5:13">
      <c r="E5169" s="668"/>
      <c r="F5169" s="668"/>
      <c r="G5169" s="668"/>
      <c r="H5169" s="668"/>
      <c r="I5169" s="668"/>
      <c r="J5169" s="668"/>
      <c r="K5169" s="674"/>
      <c r="L5169" s="668"/>
      <c r="M5169" s="668"/>
    </row>
    <row r="5170" spans="5:13">
      <c r="E5170" s="668"/>
      <c r="F5170" s="668"/>
      <c r="G5170" s="668"/>
      <c r="H5170" s="668"/>
      <c r="I5170" s="668"/>
      <c r="J5170" s="668"/>
      <c r="K5170" s="674"/>
      <c r="L5170" s="668"/>
      <c r="M5170" s="668"/>
    </row>
    <row r="5171" spans="5:13">
      <c r="E5171" s="668"/>
      <c r="F5171" s="668"/>
      <c r="G5171" s="668"/>
      <c r="H5171" s="668"/>
      <c r="I5171" s="668"/>
      <c r="J5171" s="668"/>
      <c r="K5171" s="674"/>
      <c r="L5171" s="668"/>
      <c r="M5171" s="668"/>
    </row>
    <row r="5172" spans="5:13">
      <c r="E5172" s="668"/>
      <c r="F5172" s="668"/>
      <c r="G5172" s="668"/>
      <c r="H5172" s="668"/>
      <c r="I5172" s="668"/>
      <c r="J5172" s="668"/>
      <c r="K5172" s="674"/>
      <c r="L5172" s="668"/>
      <c r="M5172" s="668"/>
    </row>
    <row r="5173" spans="5:13">
      <c r="E5173" s="668"/>
      <c r="F5173" s="668"/>
      <c r="G5173" s="668"/>
      <c r="H5173" s="668"/>
      <c r="I5173" s="668"/>
      <c r="J5173" s="668"/>
      <c r="K5173" s="674"/>
      <c r="L5173" s="668"/>
      <c r="M5173" s="668"/>
    </row>
    <row r="5174" spans="5:13">
      <c r="E5174" s="668"/>
      <c r="F5174" s="668"/>
      <c r="G5174" s="668"/>
      <c r="H5174" s="668"/>
      <c r="I5174" s="668"/>
      <c r="J5174" s="668"/>
      <c r="K5174" s="674"/>
      <c r="L5174" s="668"/>
      <c r="M5174" s="668"/>
    </row>
    <row r="5175" spans="5:13">
      <c r="E5175" s="668"/>
      <c r="F5175" s="668"/>
      <c r="G5175" s="668"/>
      <c r="H5175" s="668"/>
      <c r="I5175" s="668"/>
      <c r="J5175" s="668"/>
      <c r="K5175" s="674"/>
      <c r="L5175" s="668"/>
      <c r="M5175" s="668"/>
    </row>
    <row r="5176" spans="5:13">
      <c r="E5176" s="668"/>
      <c r="F5176" s="668"/>
      <c r="G5176" s="668"/>
      <c r="H5176" s="668"/>
      <c r="I5176" s="668"/>
      <c r="J5176" s="668"/>
      <c r="K5176" s="674"/>
      <c r="L5176" s="668"/>
      <c r="M5176" s="668"/>
    </row>
    <row r="5177" spans="5:13">
      <c r="E5177" s="668"/>
      <c r="F5177" s="668"/>
      <c r="G5177" s="668"/>
      <c r="H5177" s="668"/>
      <c r="I5177" s="668"/>
      <c r="J5177" s="668"/>
      <c r="K5177" s="674"/>
      <c r="L5177" s="668"/>
      <c r="M5177" s="668"/>
    </row>
    <row r="5178" spans="5:13">
      <c r="E5178" s="668"/>
      <c r="F5178" s="668"/>
      <c r="G5178" s="668"/>
      <c r="H5178" s="668"/>
      <c r="I5178" s="668"/>
      <c r="J5178" s="668"/>
      <c r="K5178" s="674"/>
      <c r="L5178" s="668"/>
      <c r="M5178" s="668"/>
    </row>
    <row r="5179" spans="5:13">
      <c r="E5179" s="668"/>
      <c r="F5179" s="668"/>
      <c r="G5179" s="668"/>
      <c r="H5179" s="668"/>
      <c r="I5179" s="668"/>
      <c r="J5179" s="668"/>
      <c r="K5179" s="674"/>
      <c r="L5179" s="668"/>
      <c r="M5179" s="668"/>
    </row>
    <row r="5180" spans="5:13">
      <c r="E5180" s="668"/>
      <c r="F5180" s="668"/>
      <c r="G5180" s="668"/>
      <c r="H5180" s="668"/>
      <c r="I5180" s="668"/>
      <c r="J5180" s="668"/>
      <c r="K5180" s="674"/>
      <c r="L5180" s="668"/>
      <c r="M5180" s="668"/>
    </row>
    <row r="5181" spans="5:13">
      <c r="E5181" s="668"/>
      <c r="F5181" s="668"/>
      <c r="G5181" s="668"/>
      <c r="H5181" s="668"/>
      <c r="I5181" s="668"/>
      <c r="J5181" s="668"/>
      <c r="K5181" s="674"/>
      <c r="L5181" s="668"/>
      <c r="M5181" s="668"/>
    </row>
    <row r="5182" spans="5:13">
      <c r="E5182" s="668"/>
      <c r="F5182" s="668"/>
      <c r="G5182" s="668"/>
      <c r="H5182" s="668"/>
      <c r="I5182" s="668"/>
      <c r="J5182" s="668"/>
      <c r="K5182" s="674"/>
      <c r="L5182" s="668"/>
      <c r="M5182" s="668"/>
    </row>
    <row r="5183" spans="5:13">
      <c r="E5183" s="668"/>
      <c r="F5183" s="668"/>
      <c r="G5183" s="668"/>
      <c r="H5183" s="668"/>
      <c r="I5183" s="668"/>
      <c r="J5183" s="668"/>
      <c r="K5183" s="674"/>
      <c r="L5183" s="668"/>
      <c r="M5183" s="668"/>
    </row>
    <row r="5184" spans="5:13">
      <c r="E5184" s="668"/>
      <c r="F5184" s="668"/>
      <c r="G5184" s="668"/>
      <c r="H5184" s="668"/>
      <c r="I5184" s="668"/>
      <c r="J5184" s="668"/>
      <c r="K5184" s="674"/>
      <c r="L5184" s="668"/>
      <c r="M5184" s="668"/>
    </row>
    <row r="5185" spans="5:13">
      <c r="E5185" s="668"/>
      <c r="F5185" s="668"/>
      <c r="G5185" s="668"/>
      <c r="H5185" s="668"/>
      <c r="I5185" s="668"/>
      <c r="J5185" s="668"/>
      <c r="K5185" s="674"/>
      <c r="L5185" s="668"/>
      <c r="M5185" s="668"/>
    </row>
    <row r="5186" spans="5:13">
      <c r="E5186" s="668"/>
      <c r="F5186" s="668"/>
      <c r="G5186" s="668"/>
      <c r="H5186" s="668"/>
      <c r="I5186" s="668"/>
      <c r="J5186" s="668"/>
      <c r="K5186" s="674"/>
      <c r="L5186" s="668"/>
      <c r="M5186" s="668"/>
    </row>
    <row r="5187" spans="5:13">
      <c r="E5187" s="668"/>
      <c r="F5187" s="668"/>
      <c r="G5187" s="668"/>
      <c r="H5187" s="668"/>
      <c r="I5187" s="668"/>
      <c r="J5187" s="668"/>
      <c r="K5187" s="674"/>
      <c r="L5187" s="668"/>
      <c r="M5187" s="668"/>
    </row>
    <row r="5188" spans="5:13">
      <c r="E5188" s="668"/>
      <c r="F5188" s="668"/>
      <c r="G5188" s="668"/>
      <c r="H5188" s="668"/>
      <c r="I5188" s="668"/>
      <c r="J5188" s="668"/>
      <c r="K5188" s="674"/>
      <c r="L5188" s="668"/>
      <c r="M5188" s="668"/>
    </row>
    <row r="5189" spans="5:13">
      <c r="E5189" s="668"/>
      <c r="F5189" s="668"/>
      <c r="G5189" s="668"/>
      <c r="H5189" s="668"/>
      <c r="I5189" s="668"/>
      <c r="J5189" s="668"/>
      <c r="K5189" s="674"/>
      <c r="L5189" s="668"/>
      <c r="M5189" s="668"/>
    </row>
    <row r="5190" spans="5:13">
      <c r="E5190" s="668"/>
      <c r="F5190" s="668"/>
      <c r="G5190" s="668"/>
      <c r="H5190" s="668"/>
      <c r="I5190" s="668"/>
      <c r="J5190" s="668"/>
      <c r="K5190" s="674"/>
      <c r="L5190" s="668"/>
      <c r="M5190" s="668"/>
    </row>
    <row r="5191" spans="5:13">
      <c r="E5191" s="668"/>
      <c r="F5191" s="668"/>
      <c r="G5191" s="668"/>
      <c r="H5191" s="668"/>
      <c r="I5191" s="668"/>
      <c r="J5191" s="668"/>
      <c r="K5191" s="674"/>
      <c r="L5191" s="668"/>
      <c r="M5191" s="668"/>
    </row>
    <row r="5192" spans="5:13">
      <c r="E5192" s="668"/>
      <c r="F5192" s="668"/>
      <c r="G5192" s="668"/>
      <c r="H5192" s="668"/>
      <c r="I5192" s="668"/>
      <c r="J5192" s="668"/>
      <c r="K5192" s="674"/>
      <c r="L5192" s="668"/>
      <c r="M5192" s="668"/>
    </row>
    <row r="5193" spans="5:13">
      <c r="E5193" s="668"/>
      <c r="F5193" s="668"/>
      <c r="G5193" s="668"/>
      <c r="H5193" s="668"/>
      <c r="I5193" s="668"/>
      <c r="J5193" s="668"/>
      <c r="K5193" s="674"/>
      <c r="L5193" s="668"/>
      <c r="M5193" s="668"/>
    </row>
    <row r="5194" spans="5:13">
      <c r="E5194" s="668"/>
      <c r="F5194" s="668"/>
      <c r="G5194" s="668"/>
      <c r="H5194" s="668"/>
      <c r="I5194" s="668"/>
      <c r="J5194" s="668"/>
      <c r="K5194" s="674"/>
      <c r="L5194" s="668"/>
      <c r="M5194" s="668"/>
    </row>
    <row r="5195" spans="5:13">
      <c r="E5195" s="668"/>
      <c r="F5195" s="668"/>
      <c r="G5195" s="668"/>
      <c r="H5195" s="668"/>
      <c r="I5195" s="668"/>
      <c r="J5195" s="668"/>
      <c r="K5195" s="674"/>
      <c r="L5195" s="668"/>
      <c r="M5195" s="668"/>
    </row>
    <row r="5196" spans="5:13">
      <c r="E5196" s="668"/>
      <c r="F5196" s="668"/>
      <c r="G5196" s="668"/>
      <c r="H5196" s="668"/>
      <c r="I5196" s="668"/>
      <c r="J5196" s="668"/>
      <c r="K5196" s="674"/>
      <c r="L5196" s="668"/>
      <c r="M5196" s="668"/>
    </row>
    <row r="5197" spans="5:13">
      <c r="E5197" s="668"/>
      <c r="F5197" s="668"/>
      <c r="G5197" s="668"/>
      <c r="H5197" s="668"/>
      <c r="I5197" s="668"/>
      <c r="J5197" s="668"/>
      <c r="K5197" s="674"/>
      <c r="L5197" s="668"/>
      <c r="M5197" s="668"/>
    </row>
    <row r="5198" spans="5:13">
      <c r="E5198" s="668"/>
      <c r="F5198" s="668"/>
      <c r="G5198" s="668"/>
      <c r="H5198" s="668"/>
      <c r="I5198" s="668"/>
      <c r="J5198" s="668"/>
      <c r="K5198" s="674"/>
      <c r="L5198" s="668"/>
      <c r="M5198" s="668"/>
    </row>
    <row r="5199" spans="5:13">
      <c r="E5199" s="668"/>
      <c r="F5199" s="668"/>
      <c r="G5199" s="668"/>
      <c r="H5199" s="668"/>
      <c r="I5199" s="668"/>
      <c r="J5199" s="668"/>
      <c r="K5199" s="674"/>
      <c r="L5199" s="668"/>
      <c r="M5199" s="668"/>
    </row>
    <row r="5200" spans="5:13">
      <c r="E5200" s="668"/>
      <c r="F5200" s="668"/>
      <c r="G5200" s="668"/>
      <c r="H5200" s="668"/>
      <c r="I5200" s="668"/>
      <c r="J5200" s="668"/>
      <c r="K5200" s="674"/>
      <c r="L5200" s="668"/>
      <c r="M5200" s="668"/>
    </row>
    <row r="5201" spans="5:13">
      <c r="E5201" s="668"/>
      <c r="F5201" s="668"/>
      <c r="G5201" s="668"/>
      <c r="H5201" s="668"/>
      <c r="I5201" s="668"/>
      <c r="J5201" s="668"/>
      <c r="K5201" s="674"/>
      <c r="L5201" s="668"/>
      <c r="M5201" s="668"/>
    </row>
    <row r="5202" spans="5:13">
      <c r="E5202" s="668"/>
      <c r="F5202" s="668"/>
      <c r="G5202" s="668"/>
      <c r="H5202" s="668"/>
      <c r="I5202" s="668"/>
      <c r="J5202" s="668"/>
      <c r="K5202" s="674"/>
      <c r="L5202" s="668"/>
      <c r="M5202" s="668"/>
    </row>
    <row r="5203" spans="5:13">
      <c r="E5203" s="668"/>
      <c r="F5203" s="668"/>
      <c r="G5203" s="668"/>
      <c r="H5203" s="668"/>
      <c r="I5203" s="668"/>
      <c r="J5203" s="668"/>
      <c r="K5203" s="674"/>
      <c r="L5203" s="668"/>
      <c r="M5203" s="668"/>
    </row>
    <row r="5204" spans="5:13">
      <c r="E5204" s="668"/>
      <c r="F5204" s="668"/>
      <c r="G5204" s="668"/>
      <c r="H5204" s="668"/>
      <c r="I5204" s="668"/>
      <c r="J5204" s="668"/>
      <c r="K5204" s="674"/>
      <c r="L5204" s="668"/>
      <c r="M5204" s="668"/>
    </row>
    <row r="5205" spans="5:13">
      <c r="E5205" s="668"/>
      <c r="F5205" s="668"/>
      <c r="G5205" s="668"/>
      <c r="H5205" s="668"/>
      <c r="I5205" s="668"/>
      <c r="J5205" s="668"/>
      <c r="K5205" s="674"/>
      <c r="L5205" s="668"/>
      <c r="M5205" s="668"/>
    </row>
    <row r="5206" spans="5:13">
      <c r="E5206" s="668"/>
      <c r="F5206" s="668"/>
      <c r="G5206" s="668"/>
      <c r="H5206" s="668"/>
      <c r="I5206" s="668"/>
      <c r="J5206" s="668"/>
      <c r="K5206" s="674"/>
      <c r="L5206" s="668"/>
      <c r="M5206" s="668"/>
    </row>
    <row r="5207" spans="5:13">
      <c r="E5207" s="668"/>
      <c r="F5207" s="668"/>
      <c r="G5207" s="668"/>
      <c r="H5207" s="668"/>
      <c r="I5207" s="668"/>
      <c r="J5207" s="668"/>
      <c r="K5207" s="674"/>
      <c r="L5207" s="668"/>
      <c r="M5207" s="668"/>
    </row>
    <row r="5208" spans="5:13">
      <c r="E5208" s="668"/>
      <c r="F5208" s="668"/>
      <c r="G5208" s="668"/>
      <c r="H5208" s="668"/>
      <c r="I5208" s="668"/>
      <c r="J5208" s="668"/>
      <c r="K5208" s="674"/>
      <c r="L5208" s="668"/>
      <c r="M5208" s="668"/>
    </row>
    <row r="5209" spans="5:13">
      <c r="E5209" s="668"/>
      <c r="F5209" s="668"/>
      <c r="G5209" s="668"/>
      <c r="H5209" s="668"/>
      <c r="I5209" s="668"/>
      <c r="J5209" s="668"/>
      <c r="K5209" s="674"/>
      <c r="L5209" s="668"/>
      <c r="M5209" s="668"/>
    </row>
    <row r="5210" spans="5:13">
      <c r="E5210" s="668"/>
      <c r="F5210" s="668"/>
      <c r="G5210" s="668"/>
      <c r="H5210" s="668"/>
      <c r="I5210" s="668"/>
      <c r="J5210" s="668"/>
      <c r="K5210" s="674"/>
      <c r="L5210" s="668"/>
      <c r="M5210" s="668"/>
    </row>
    <row r="5211" spans="5:13">
      <c r="E5211" s="668"/>
      <c r="F5211" s="668"/>
      <c r="G5211" s="668"/>
      <c r="H5211" s="668"/>
      <c r="I5211" s="668"/>
      <c r="J5211" s="668"/>
      <c r="K5211" s="674"/>
      <c r="L5211" s="668"/>
      <c r="M5211" s="668"/>
    </row>
    <row r="5212" spans="5:13">
      <c r="E5212" s="668"/>
      <c r="F5212" s="668"/>
      <c r="G5212" s="668"/>
      <c r="H5212" s="668"/>
      <c r="I5212" s="668"/>
      <c r="J5212" s="668"/>
      <c r="K5212" s="674"/>
      <c r="L5212" s="668"/>
      <c r="M5212" s="668"/>
    </row>
    <row r="5213" spans="5:13">
      <c r="E5213" s="668"/>
      <c r="F5213" s="668"/>
      <c r="G5213" s="668"/>
      <c r="H5213" s="668"/>
      <c r="I5213" s="668"/>
      <c r="J5213" s="668"/>
      <c r="K5213" s="674"/>
      <c r="L5213" s="668"/>
      <c r="M5213" s="668"/>
    </row>
    <row r="5214" spans="5:13">
      <c r="E5214" s="668"/>
      <c r="F5214" s="668"/>
      <c r="G5214" s="668"/>
      <c r="H5214" s="668"/>
      <c r="I5214" s="668"/>
      <c r="J5214" s="668"/>
      <c r="K5214" s="674"/>
      <c r="L5214" s="668"/>
      <c r="M5214" s="668"/>
    </row>
    <row r="5215" spans="5:13">
      <c r="E5215" s="668"/>
      <c r="F5215" s="668"/>
      <c r="G5215" s="668"/>
      <c r="H5215" s="668"/>
      <c r="I5215" s="668"/>
      <c r="J5215" s="668"/>
      <c r="K5215" s="674"/>
      <c r="L5215" s="668"/>
      <c r="M5215" s="668"/>
    </row>
    <row r="5216" spans="5:13">
      <c r="E5216" s="668"/>
      <c r="F5216" s="668"/>
      <c r="G5216" s="668"/>
      <c r="H5216" s="668"/>
      <c r="I5216" s="668"/>
      <c r="J5216" s="668"/>
      <c r="K5216" s="674"/>
      <c r="L5216" s="668"/>
      <c r="M5216" s="668"/>
    </row>
    <row r="5217" spans="5:13">
      <c r="E5217" s="668"/>
      <c r="F5217" s="668"/>
      <c r="G5217" s="668"/>
      <c r="H5217" s="668"/>
      <c r="I5217" s="668"/>
      <c r="J5217" s="668"/>
      <c r="K5217" s="674"/>
      <c r="L5217" s="668"/>
      <c r="M5217" s="668"/>
    </row>
    <row r="5218" spans="5:13">
      <c r="E5218" s="668"/>
      <c r="F5218" s="668"/>
      <c r="G5218" s="668"/>
      <c r="H5218" s="668"/>
      <c r="I5218" s="668"/>
      <c r="J5218" s="668"/>
      <c r="K5218" s="674"/>
      <c r="L5218" s="668"/>
      <c r="M5218" s="668"/>
    </row>
    <row r="5219" spans="5:13">
      <c r="E5219" s="668"/>
      <c r="F5219" s="668"/>
      <c r="G5219" s="668"/>
      <c r="H5219" s="668"/>
      <c r="I5219" s="668"/>
      <c r="J5219" s="668"/>
      <c r="K5219" s="674"/>
      <c r="L5219" s="668"/>
      <c r="M5219" s="668"/>
    </row>
    <row r="5220" spans="5:13">
      <c r="E5220" s="668"/>
      <c r="F5220" s="668"/>
      <c r="G5220" s="668"/>
      <c r="H5220" s="668"/>
      <c r="I5220" s="668"/>
      <c r="J5220" s="668"/>
      <c r="K5220" s="674"/>
      <c r="L5220" s="668"/>
      <c r="M5220" s="668"/>
    </row>
    <row r="5221" spans="5:13">
      <c r="E5221" s="668"/>
      <c r="F5221" s="668"/>
      <c r="G5221" s="668"/>
      <c r="H5221" s="668"/>
      <c r="I5221" s="668"/>
      <c r="J5221" s="668"/>
      <c r="K5221" s="674"/>
      <c r="L5221" s="668"/>
      <c r="M5221" s="668"/>
    </row>
    <row r="5222" spans="5:13">
      <c r="E5222" s="668"/>
      <c r="F5222" s="668"/>
      <c r="G5222" s="668"/>
      <c r="H5222" s="668"/>
      <c r="I5222" s="668"/>
      <c r="J5222" s="668"/>
      <c r="K5222" s="674"/>
      <c r="L5222" s="668"/>
      <c r="M5222" s="668"/>
    </row>
    <row r="5223" spans="5:13">
      <c r="E5223" s="668"/>
      <c r="F5223" s="668"/>
      <c r="G5223" s="668"/>
      <c r="H5223" s="668"/>
      <c r="I5223" s="668"/>
      <c r="J5223" s="668"/>
      <c r="K5223" s="674"/>
      <c r="L5223" s="668"/>
      <c r="M5223" s="668"/>
    </row>
    <row r="5224" spans="5:13">
      <c r="E5224" s="668"/>
      <c r="F5224" s="668"/>
      <c r="G5224" s="668"/>
      <c r="H5224" s="668"/>
      <c r="I5224" s="668"/>
      <c r="J5224" s="668"/>
      <c r="K5224" s="674"/>
      <c r="L5224" s="668"/>
      <c r="M5224" s="668"/>
    </row>
    <row r="5225" spans="5:13">
      <c r="E5225" s="668"/>
      <c r="F5225" s="668"/>
      <c r="G5225" s="668"/>
      <c r="H5225" s="668"/>
      <c r="I5225" s="668"/>
      <c r="J5225" s="668"/>
      <c r="K5225" s="674"/>
      <c r="L5225" s="668"/>
      <c r="M5225" s="668"/>
    </row>
    <row r="5226" spans="5:13">
      <c r="E5226" s="668"/>
      <c r="F5226" s="668"/>
      <c r="G5226" s="668"/>
      <c r="H5226" s="668"/>
      <c r="I5226" s="668"/>
      <c r="J5226" s="668"/>
      <c r="K5226" s="674"/>
      <c r="L5226" s="668"/>
      <c r="M5226" s="668"/>
    </row>
    <row r="5227" spans="5:13">
      <c r="E5227" s="668"/>
      <c r="F5227" s="668"/>
      <c r="G5227" s="668"/>
      <c r="H5227" s="668"/>
      <c r="I5227" s="668"/>
      <c r="J5227" s="668"/>
      <c r="K5227" s="674"/>
      <c r="L5227" s="668"/>
      <c r="M5227" s="668"/>
    </row>
    <row r="5228" spans="5:13">
      <c r="E5228" s="668"/>
      <c r="F5228" s="668"/>
      <c r="G5228" s="668"/>
      <c r="H5228" s="668"/>
      <c r="I5228" s="668"/>
      <c r="J5228" s="668"/>
      <c r="K5228" s="674"/>
      <c r="L5228" s="668"/>
      <c r="M5228" s="668"/>
    </row>
    <row r="5229" spans="5:13">
      <c r="E5229" s="668"/>
      <c r="F5229" s="668"/>
      <c r="G5229" s="668"/>
      <c r="H5229" s="668"/>
      <c r="I5229" s="668"/>
      <c r="J5229" s="668"/>
      <c r="K5229" s="674"/>
      <c r="L5229" s="668"/>
      <c r="M5229" s="668"/>
    </row>
    <row r="5230" spans="5:13">
      <c r="E5230" s="668"/>
      <c r="F5230" s="668"/>
      <c r="G5230" s="668"/>
      <c r="H5230" s="668"/>
      <c r="I5230" s="668"/>
      <c r="J5230" s="668"/>
      <c r="K5230" s="674"/>
      <c r="L5230" s="668"/>
      <c r="M5230" s="668"/>
    </row>
    <row r="5231" spans="5:13">
      <c r="E5231" s="668"/>
      <c r="F5231" s="668"/>
      <c r="G5231" s="668"/>
      <c r="H5231" s="668"/>
      <c r="I5231" s="668"/>
      <c r="J5231" s="668"/>
      <c r="K5231" s="674"/>
      <c r="L5231" s="668"/>
      <c r="M5231" s="668"/>
    </row>
    <row r="5232" spans="5:13">
      <c r="E5232" s="668"/>
      <c r="F5232" s="668"/>
      <c r="G5232" s="668"/>
      <c r="H5232" s="668"/>
      <c r="I5232" s="668"/>
      <c r="J5232" s="668"/>
      <c r="K5232" s="674"/>
      <c r="L5232" s="668"/>
      <c r="M5232" s="668"/>
    </row>
    <row r="5233" spans="5:13">
      <c r="E5233" s="668"/>
      <c r="F5233" s="668"/>
      <c r="G5233" s="668"/>
      <c r="H5233" s="668"/>
      <c r="I5233" s="668"/>
      <c r="J5233" s="668"/>
      <c r="K5233" s="674"/>
      <c r="L5233" s="668"/>
      <c r="M5233" s="668"/>
    </row>
    <row r="5234" spans="5:13">
      <c r="E5234" s="668"/>
      <c r="F5234" s="668"/>
      <c r="G5234" s="668"/>
      <c r="H5234" s="668"/>
      <c r="I5234" s="668"/>
      <c r="J5234" s="668"/>
      <c r="K5234" s="674"/>
      <c r="L5234" s="668"/>
      <c r="M5234" s="668"/>
    </row>
    <row r="5235" spans="5:13">
      <c r="E5235" s="668"/>
      <c r="F5235" s="668"/>
      <c r="G5235" s="668"/>
      <c r="H5235" s="668"/>
      <c r="I5235" s="668"/>
      <c r="J5235" s="668"/>
      <c r="K5235" s="674"/>
      <c r="L5235" s="668"/>
      <c r="M5235" s="668"/>
    </row>
    <row r="5236" spans="5:13">
      <c r="E5236" s="668"/>
      <c r="F5236" s="668"/>
      <c r="G5236" s="668"/>
      <c r="H5236" s="668"/>
      <c r="I5236" s="668"/>
      <c r="J5236" s="668"/>
      <c r="K5236" s="674"/>
      <c r="L5236" s="668"/>
      <c r="M5236" s="668"/>
    </row>
    <row r="5237" spans="5:13">
      <c r="E5237" s="668"/>
      <c r="F5237" s="668"/>
      <c r="G5237" s="668"/>
      <c r="H5237" s="668"/>
      <c r="I5237" s="668"/>
      <c r="J5237" s="668"/>
      <c r="K5237" s="674"/>
      <c r="L5237" s="668"/>
      <c r="M5237" s="668"/>
    </row>
    <row r="5238" spans="5:13">
      <c r="E5238" s="668"/>
      <c r="F5238" s="668"/>
      <c r="G5238" s="668"/>
      <c r="H5238" s="668"/>
      <c r="I5238" s="668"/>
      <c r="J5238" s="668"/>
      <c r="K5238" s="674"/>
      <c r="L5238" s="668"/>
      <c r="M5238" s="668"/>
    </row>
    <row r="5239" spans="5:13">
      <c r="E5239" s="668"/>
      <c r="F5239" s="668"/>
      <c r="G5239" s="668"/>
      <c r="H5239" s="668"/>
      <c r="I5239" s="668"/>
      <c r="J5239" s="668"/>
      <c r="K5239" s="674"/>
      <c r="L5239" s="668"/>
      <c r="M5239" s="668"/>
    </row>
    <row r="5240" spans="5:13">
      <c r="E5240" s="668"/>
      <c r="F5240" s="668"/>
      <c r="G5240" s="668"/>
      <c r="H5240" s="668"/>
      <c r="I5240" s="668"/>
      <c r="J5240" s="668"/>
      <c r="K5240" s="674"/>
      <c r="L5240" s="668"/>
      <c r="M5240" s="668"/>
    </row>
    <row r="5241" spans="5:13">
      <c r="E5241" s="668"/>
      <c r="F5241" s="668"/>
      <c r="G5241" s="668"/>
      <c r="H5241" s="668"/>
      <c r="I5241" s="668"/>
      <c r="J5241" s="668"/>
      <c r="K5241" s="674"/>
      <c r="L5241" s="668"/>
      <c r="M5241" s="668"/>
    </row>
    <row r="5242" spans="5:13">
      <c r="E5242" s="668"/>
      <c r="F5242" s="668"/>
      <c r="G5242" s="668"/>
      <c r="H5242" s="668"/>
      <c r="I5242" s="668"/>
      <c r="J5242" s="668"/>
      <c r="K5242" s="674"/>
      <c r="L5242" s="668"/>
      <c r="M5242" s="668"/>
    </row>
    <row r="5243" spans="5:13">
      <c r="E5243" s="668"/>
      <c r="F5243" s="668"/>
      <c r="G5243" s="668"/>
      <c r="H5243" s="668"/>
      <c r="I5243" s="668"/>
      <c r="J5243" s="668"/>
      <c r="K5243" s="674"/>
      <c r="L5243" s="668"/>
      <c r="M5243" s="668"/>
    </row>
    <row r="5244" spans="5:13">
      <c r="E5244" s="668"/>
      <c r="F5244" s="668"/>
      <c r="G5244" s="668"/>
      <c r="H5244" s="668"/>
      <c r="I5244" s="668"/>
      <c r="J5244" s="668"/>
      <c r="K5244" s="674"/>
      <c r="L5244" s="668"/>
      <c r="M5244" s="668"/>
    </row>
    <row r="5245" spans="5:13">
      <c r="E5245" s="668"/>
      <c r="F5245" s="668"/>
      <c r="G5245" s="668"/>
      <c r="H5245" s="668"/>
      <c r="I5245" s="668"/>
      <c r="J5245" s="668"/>
      <c r="K5245" s="674"/>
      <c r="L5245" s="668"/>
      <c r="M5245" s="668"/>
    </row>
    <row r="5246" spans="5:13">
      <c r="E5246" s="668"/>
      <c r="F5246" s="668"/>
      <c r="G5246" s="668"/>
      <c r="H5246" s="668"/>
      <c r="I5246" s="668"/>
      <c r="J5246" s="668"/>
      <c r="K5246" s="674"/>
      <c r="L5246" s="668"/>
      <c r="M5246" s="668"/>
    </row>
    <row r="5247" spans="5:13">
      <c r="E5247" s="668"/>
      <c r="F5247" s="668"/>
      <c r="G5247" s="668"/>
      <c r="H5247" s="668"/>
      <c r="I5247" s="668"/>
      <c r="J5247" s="668"/>
      <c r="K5247" s="674"/>
      <c r="L5247" s="668"/>
      <c r="M5247" s="668"/>
    </row>
    <row r="5248" spans="5:13">
      <c r="E5248" s="668"/>
      <c r="F5248" s="668"/>
      <c r="G5248" s="668"/>
      <c r="H5248" s="668"/>
      <c r="I5248" s="668"/>
      <c r="J5248" s="668"/>
      <c r="K5248" s="674"/>
      <c r="L5248" s="668"/>
      <c r="M5248" s="668"/>
    </row>
    <row r="5249" spans="5:13">
      <c r="E5249" s="668"/>
      <c r="F5249" s="668"/>
      <c r="G5249" s="668"/>
      <c r="H5249" s="668"/>
      <c r="I5249" s="668"/>
      <c r="J5249" s="668"/>
      <c r="K5249" s="674"/>
      <c r="L5249" s="668"/>
      <c r="M5249" s="668"/>
    </row>
    <row r="5250" spans="5:13">
      <c r="E5250" s="668"/>
      <c r="F5250" s="668"/>
      <c r="G5250" s="668"/>
      <c r="H5250" s="668"/>
      <c r="I5250" s="668"/>
      <c r="J5250" s="668"/>
      <c r="K5250" s="674"/>
      <c r="L5250" s="668"/>
      <c r="M5250" s="668"/>
    </row>
    <row r="5251" spans="5:13">
      <c r="E5251" s="668"/>
      <c r="F5251" s="668"/>
      <c r="G5251" s="668"/>
      <c r="H5251" s="668"/>
      <c r="I5251" s="668"/>
      <c r="J5251" s="668"/>
      <c r="K5251" s="674"/>
      <c r="L5251" s="668"/>
      <c r="M5251" s="668"/>
    </row>
    <row r="5252" spans="5:13">
      <c r="E5252" s="668"/>
      <c r="F5252" s="668"/>
      <c r="G5252" s="668"/>
      <c r="H5252" s="668"/>
      <c r="I5252" s="668"/>
      <c r="J5252" s="668"/>
      <c r="K5252" s="674"/>
      <c r="L5252" s="668"/>
      <c r="M5252" s="668"/>
    </row>
    <row r="5253" spans="5:13">
      <c r="E5253" s="668"/>
      <c r="F5253" s="668"/>
      <c r="G5253" s="668"/>
      <c r="H5253" s="668"/>
      <c r="I5253" s="668"/>
      <c r="J5253" s="668"/>
      <c r="K5253" s="674"/>
      <c r="L5253" s="668"/>
      <c r="M5253" s="668"/>
    </row>
    <row r="5254" spans="5:13">
      <c r="E5254" s="668"/>
      <c r="F5254" s="668"/>
      <c r="G5254" s="668"/>
      <c r="H5254" s="668"/>
      <c r="I5254" s="668"/>
      <c r="J5254" s="668"/>
      <c r="K5254" s="674"/>
      <c r="L5254" s="668"/>
      <c r="M5254" s="668"/>
    </row>
    <row r="5255" spans="5:13">
      <c r="E5255" s="668"/>
      <c r="F5255" s="668"/>
      <c r="G5255" s="668"/>
      <c r="H5255" s="668"/>
      <c r="I5255" s="668"/>
      <c r="J5255" s="668"/>
      <c r="K5255" s="674"/>
      <c r="L5255" s="668"/>
      <c r="M5255" s="668"/>
    </row>
    <row r="5256" spans="5:13">
      <c r="E5256" s="668"/>
      <c r="F5256" s="668"/>
      <c r="G5256" s="668"/>
      <c r="H5256" s="668"/>
      <c r="I5256" s="668"/>
      <c r="J5256" s="668"/>
      <c r="K5256" s="674"/>
      <c r="L5256" s="668"/>
      <c r="M5256" s="668"/>
    </row>
    <row r="5257" spans="5:13">
      <c r="E5257" s="668"/>
      <c r="F5257" s="668"/>
      <c r="G5257" s="668"/>
      <c r="H5257" s="668"/>
      <c r="I5257" s="668"/>
      <c r="J5257" s="668"/>
      <c r="K5257" s="674"/>
      <c r="L5257" s="668"/>
      <c r="M5257" s="668"/>
    </row>
    <row r="5258" spans="5:13">
      <c r="E5258" s="668"/>
      <c r="F5258" s="668"/>
      <c r="G5258" s="668"/>
      <c r="H5258" s="668"/>
      <c r="I5258" s="668"/>
      <c r="J5258" s="668"/>
      <c r="K5258" s="674"/>
      <c r="L5258" s="668"/>
      <c r="M5258" s="668"/>
    </row>
    <row r="5259" spans="5:13">
      <c r="E5259" s="668"/>
      <c r="F5259" s="668"/>
      <c r="G5259" s="668"/>
      <c r="H5259" s="668"/>
      <c r="I5259" s="668"/>
      <c r="J5259" s="668"/>
      <c r="K5259" s="674"/>
      <c r="L5259" s="668"/>
      <c r="M5259" s="668"/>
    </row>
    <row r="5260" spans="5:13">
      <c r="E5260" s="668"/>
      <c r="F5260" s="668"/>
      <c r="G5260" s="668"/>
      <c r="H5260" s="668"/>
      <c r="I5260" s="668"/>
      <c r="J5260" s="668"/>
      <c r="K5260" s="674"/>
      <c r="L5260" s="668"/>
      <c r="M5260" s="668"/>
    </row>
    <row r="5261" spans="5:13">
      <c r="E5261" s="668"/>
      <c r="F5261" s="668"/>
      <c r="G5261" s="668"/>
      <c r="H5261" s="668"/>
      <c r="I5261" s="668"/>
      <c r="J5261" s="668"/>
      <c r="K5261" s="674"/>
      <c r="L5261" s="668"/>
      <c r="M5261" s="668"/>
    </row>
    <row r="5262" spans="5:13">
      <c r="E5262" s="668"/>
      <c r="F5262" s="668"/>
      <c r="G5262" s="668"/>
      <c r="H5262" s="668"/>
      <c r="I5262" s="668"/>
      <c r="J5262" s="668"/>
      <c r="K5262" s="674"/>
      <c r="L5262" s="668"/>
      <c r="M5262" s="668"/>
    </row>
    <row r="5263" spans="5:13">
      <c r="E5263" s="668"/>
      <c r="F5263" s="668"/>
      <c r="G5263" s="668"/>
      <c r="H5263" s="668"/>
      <c r="I5263" s="668"/>
      <c r="J5263" s="668"/>
      <c r="K5263" s="674"/>
      <c r="L5263" s="668"/>
      <c r="M5263" s="668"/>
    </row>
    <row r="5264" spans="5:13">
      <c r="E5264" s="668"/>
      <c r="F5264" s="668"/>
      <c r="G5264" s="668"/>
      <c r="H5264" s="668"/>
      <c r="I5264" s="668"/>
      <c r="J5264" s="668"/>
      <c r="K5264" s="674"/>
      <c r="L5264" s="668"/>
      <c r="M5264" s="668"/>
    </row>
    <row r="5265" spans="5:13">
      <c r="E5265" s="668"/>
      <c r="F5265" s="668"/>
      <c r="G5265" s="668"/>
      <c r="H5265" s="668"/>
      <c r="I5265" s="668"/>
      <c r="J5265" s="668"/>
      <c r="K5265" s="674"/>
      <c r="L5265" s="668"/>
      <c r="M5265" s="668"/>
    </row>
    <row r="5266" spans="5:13">
      <c r="E5266" s="668"/>
      <c r="F5266" s="668"/>
      <c r="G5266" s="668"/>
      <c r="H5266" s="668"/>
      <c r="I5266" s="668"/>
      <c r="J5266" s="668"/>
      <c r="K5266" s="674"/>
      <c r="L5266" s="668"/>
      <c r="M5266" s="668"/>
    </row>
    <row r="5267" spans="5:13">
      <c r="E5267" s="668"/>
      <c r="F5267" s="668"/>
      <c r="G5267" s="668"/>
      <c r="H5267" s="668"/>
      <c r="I5267" s="668"/>
      <c r="J5267" s="668"/>
      <c r="K5267" s="674"/>
      <c r="L5267" s="668"/>
      <c r="M5267" s="668"/>
    </row>
    <row r="5268" spans="5:13">
      <c r="E5268" s="668"/>
      <c r="F5268" s="668"/>
      <c r="G5268" s="668"/>
      <c r="H5268" s="668"/>
      <c r="I5268" s="668"/>
      <c r="J5268" s="668"/>
      <c r="K5268" s="674"/>
      <c r="L5268" s="668"/>
      <c r="M5268" s="668"/>
    </row>
    <row r="5269" spans="5:13">
      <c r="E5269" s="668"/>
      <c r="F5269" s="668"/>
      <c r="G5269" s="668"/>
      <c r="H5269" s="668"/>
      <c r="I5269" s="668"/>
      <c r="J5269" s="668"/>
      <c r="K5269" s="674"/>
      <c r="L5269" s="668"/>
      <c r="M5269" s="668"/>
    </row>
    <row r="5270" spans="5:13">
      <c r="E5270" s="668"/>
      <c r="F5270" s="668"/>
      <c r="G5270" s="668"/>
      <c r="H5270" s="668"/>
      <c r="I5270" s="668"/>
      <c r="J5270" s="668"/>
      <c r="K5270" s="674"/>
      <c r="L5270" s="668"/>
      <c r="M5270" s="668"/>
    </row>
    <row r="5271" spans="5:13">
      <c r="E5271" s="668"/>
      <c r="F5271" s="668"/>
      <c r="G5271" s="668"/>
      <c r="H5271" s="668"/>
      <c r="I5271" s="668"/>
      <c r="J5271" s="668"/>
      <c r="K5271" s="674"/>
      <c r="L5271" s="668"/>
      <c r="M5271" s="668"/>
    </row>
    <row r="5272" spans="5:13">
      <c r="E5272" s="668"/>
      <c r="F5272" s="668"/>
      <c r="G5272" s="668"/>
      <c r="H5272" s="668"/>
      <c r="I5272" s="668"/>
      <c r="J5272" s="668"/>
      <c r="K5272" s="674"/>
      <c r="L5272" s="668"/>
      <c r="M5272" s="668"/>
    </row>
    <row r="5273" spans="5:13">
      <c r="E5273" s="668"/>
      <c r="F5273" s="668"/>
      <c r="G5273" s="668"/>
      <c r="H5273" s="668"/>
      <c r="I5273" s="668"/>
      <c r="J5273" s="668"/>
      <c r="K5273" s="674"/>
      <c r="L5273" s="668"/>
      <c r="M5273" s="668"/>
    </row>
    <row r="5274" spans="5:13">
      <c r="E5274" s="668"/>
      <c r="F5274" s="668"/>
      <c r="G5274" s="668"/>
      <c r="H5274" s="668"/>
      <c r="I5274" s="668"/>
      <c r="J5274" s="668"/>
      <c r="K5274" s="674"/>
      <c r="L5274" s="668"/>
      <c r="M5274" s="668"/>
    </row>
    <row r="5275" spans="5:13">
      <c r="E5275" s="668"/>
      <c r="F5275" s="668"/>
      <c r="G5275" s="668"/>
      <c r="H5275" s="668"/>
      <c r="I5275" s="668"/>
      <c r="J5275" s="668"/>
      <c r="K5275" s="674"/>
      <c r="L5275" s="668"/>
      <c r="M5275" s="668"/>
    </row>
    <row r="5276" spans="5:13">
      <c r="E5276" s="668"/>
      <c r="F5276" s="668"/>
      <c r="G5276" s="668"/>
      <c r="H5276" s="668"/>
      <c r="I5276" s="668"/>
      <c r="J5276" s="668"/>
      <c r="K5276" s="674"/>
      <c r="L5276" s="668"/>
      <c r="M5276" s="668"/>
    </row>
    <row r="5277" spans="5:13">
      <c r="E5277" s="668"/>
      <c r="F5277" s="668"/>
      <c r="G5277" s="668"/>
      <c r="H5277" s="668"/>
      <c r="I5277" s="668"/>
      <c r="J5277" s="668"/>
      <c r="K5277" s="674"/>
      <c r="L5277" s="668"/>
      <c r="M5277" s="668"/>
    </row>
    <row r="5278" spans="5:13">
      <c r="E5278" s="668"/>
      <c r="F5278" s="668"/>
      <c r="G5278" s="668"/>
      <c r="H5278" s="668"/>
      <c r="I5278" s="668"/>
      <c r="J5278" s="668"/>
      <c r="K5278" s="674"/>
      <c r="L5278" s="668"/>
      <c r="M5278" s="668"/>
    </row>
    <row r="5279" spans="5:13">
      <c r="E5279" s="668"/>
      <c r="F5279" s="668"/>
      <c r="G5279" s="668"/>
      <c r="H5279" s="668"/>
      <c r="I5279" s="668"/>
      <c r="J5279" s="668"/>
      <c r="K5279" s="674"/>
      <c r="L5279" s="668"/>
      <c r="M5279" s="668"/>
    </row>
    <row r="5280" spans="5:13">
      <c r="E5280" s="668"/>
      <c r="F5280" s="668"/>
      <c r="G5280" s="668"/>
      <c r="H5280" s="668"/>
      <c r="I5280" s="668"/>
      <c r="J5280" s="668"/>
      <c r="K5280" s="674"/>
      <c r="L5280" s="668"/>
      <c r="M5280" s="668"/>
    </row>
    <row r="5281" spans="5:13">
      <c r="E5281" s="668"/>
      <c r="F5281" s="668"/>
      <c r="G5281" s="668"/>
      <c r="H5281" s="668"/>
      <c r="I5281" s="668"/>
      <c r="J5281" s="668"/>
      <c r="K5281" s="674"/>
      <c r="L5281" s="668"/>
      <c r="M5281" s="668"/>
    </row>
    <row r="5282" spans="5:13">
      <c r="E5282" s="668"/>
      <c r="F5282" s="668"/>
      <c r="G5282" s="668"/>
      <c r="H5282" s="668"/>
      <c r="I5282" s="668"/>
      <c r="J5282" s="668"/>
      <c r="K5282" s="674"/>
      <c r="L5282" s="668"/>
      <c r="M5282" s="668"/>
    </row>
    <row r="5283" spans="5:13">
      <c r="E5283" s="668"/>
      <c r="F5283" s="668"/>
      <c r="G5283" s="668"/>
      <c r="H5283" s="668"/>
      <c r="I5283" s="668"/>
      <c r="J5283" s="668"/>
      <c r="K5283" s="674"/>
      <c r="L5283" s="668"/>
      <c r="M5283" s="668"/>
    </row>
    <row r="5284" spans="5:13">
      <c r="E5284" s="668"/>
      <c r="F5284" s="668"/>
      <c r="G5284" s="668"/>
      <c r="H5284" s="668"/>
      <c r="I5284" s="668"/>
      <c r="J5284" s="668"/>
      <c r="K5284" s="674"/>
      <c r="L5284" s="668"/>
      <c r="M5284" s="668"/>
    </row>
    <row r="5285" spans="5:13">
      <c r="E5285" s="668"/>
      <c r="F5285" s="668"/>
      <c r="G5285" s="668"/>
      <c r="H5285" s="668"/>
      <c r="I5285" s="668"/>
      <c r="J5285" s="668"/>
      <c r="K5285" s="674"/>
      <c r="L5285" s="668"/>
      <c r="M5285" s="668"/>
    </row>
    <row r="5286" spans="5:13">
      <c r="E5286" s="668"/>
      <c r="F5286" s="668"/>
      <c r="G5286" s="668"/>
      <c r="H5286" s="668"/>
      <c r="I5286" s="668"/>
      <c r="J5286" s="668"/>
      <c r="K5286" s="674"/>
      <c r="L5286" s="668"/>
      <c r="M5286" s="668"/>
    </row>
    <row r="5287" spans="5:13">
      <c r="E5287" s="668"/>
      <c r="F5287" s="668"/>
      <c r="G5287" s="668"/>
      <c r="H5287" s="668"/>
      <c r="I5287" s="668"/>
      <c r="J5287" s="668"/>
      <c r="K5287" s="674"/>
      <c r="L5287" s="668"/>
      <c r="M5287" s="668"/>
    </row>
    <row r="5288" spans="5:13">
      <c r="E5288" s="668"/>
      <c r="F5288" s="668"/>
      <c r="G5288" s="668"/>
      <c r="H5288" s="668"/>
      <c r="I5288" s="668"/>
      <c r="J5288" s="668"/>
      <c r="K5288" s="674"/>
      <c r="L5288" s="668"/>
      <c r="M5288" s="668"/>
    </row>
    <row r="5289" spans="5:13">
      <c r="E5289" s="668"/>
      <c r="F5289" s="668"/>
      <c r="G5289" s="668"/>
      <c r="H5289" s="668"/>
      <c r="I5289" s="668"/>
      <c r="J5289" s="668"/>
      <c r="K5289" s="674"/>
      <c r="L5289" s="668"/>
      <c r="M5289" s="668"/>
    </row>
    <row r="5290" spans="5:13">
      <c r="E5290" s="668"/>
      <c r="F5290" s="668"/>
      <c r="G5290" s="668"/>
      <c r="H5290" s="668"/>
      <c r="I5290" s="668"/>
      <c r="J5290" s="668"/>
      <c r="K5290" s="674"/>
      <c r="L5290" s="668"/>
      <c r="M5290" s="668"/>
    </row>
    <row r="5291" spans="5:13">
      <c r="E5291" s="668"/>
      <c r="F5291" s="668"/>
      <c r="G5291" s="668"/>
      <c r="H5291" s="668"/>
      <c r="I5291" s="668"/>
      <c r="J5291" s="668"/>
      <c r="K5291" s="674"/>
      <c r="L5291" s="668"/>
      <c r="M5291" s="668"/>
    </row>
    <row r="5292" spans="5:13">
      <c r="E5292" s="668"/>
      <c r="F5292" s="668"/>
      <c r="G5292" s="668"/>
      <c r="H5292" s="668"/>
      <c r="I5292" s="668"/>
      <c r="J5292" s="668"/>
      <c r="K5292" s="674"/>
      <c r="L5292" s="668"/>
      <c r="M5292" s="668"/>
    </row>
    <row r="5293" spans="5:13">
      <c r="E5293" s="668"/>
      <c r="F5293" s="668"/>
      <c r="G5293" s="668"/>
      <c r="H5293" s="668"/>
      <c r="I5293" s="668"/>
      <c r="J5293" s="668"/>
      <c r="K5293" s="674"/>
      <c r="L5293" s="668"/>
      <c r="M5293" s="668"/>
    </row>
    <row r="5294" spans="5:13">
      <c r="E5294" s="668"/>
      <c r="F5294" s="668"/>
      <c r="G5294" s="668"/>
      <c r="H5294" s="668"/>
      <c r="I5294" s="668"/>
      <c r="J5294" s="668"/>
      <c r="K5294" s="674"/>
      <c r="L5294" s="668"/>
      <c r="M5294" s="668"/>
    </row>
    <row r="5295" spans="5:13">
      <c r="E5295" s="668"/>
      <c r="F5295" s="668"/>
      <c r="G5295" s="668"/>
      <c r="H5295" s="668"/>
      <c r="I5295" s="668"/>
      <c r="J5295" s="668"/>
      <c r="K5295" s="674"/>
      <c r="L5295" s="668"/>
      <c r="M5295" s="668"/>
    </row>
    <row r="5296" spans="5:13">
      <c r="E5296" s="668"/>
      <c r="F5296" s="668"/>
      <c r="G5296" s="668"/>
      <c r="H5296" s="668"/>
      <c r="I5296" s="668"/>
      <c r="J5296" s="668"/>
      <c r="K5296" s="674"/>
      <c r="L5296" s="668"/>
      <c r="M5296" s="668"/>
    </row>
    <row r="5297" spans="5:13">
      <c r="E5297" s="668"/>
      <c r="F5297" s="668"/>
      <c r="G5297" s="668"/>
      <c r="H5297" s="668"/>
      <c r="I5297" s="668"/>
      <c r="J5297" s="668"/>
      <c r="K5297" s="674"/>
      <c r="L5297" s="668"/>
      <c r="M5297" s="668"/>
    </row>
    <row r="5298" spans="5:13">
      <c r="E5298" s="668"/>
      <c r="F5298" s="668"/>
      <c r="G5298" s="668"/>
      <c r="H5298" s="668"/>
      <c r="I5298" s="668"/>
      <c r="J5298" s="668"/>
      <c r="K5298" s="674"/>
      <c r="L5298" s="668"/>
      <c r="M5298" s="668"/>
    </row>
    <row r="5299" spans="5:13">
      <c r="E5299" s="668"/>
      <c r="F5299" s="668"/>
      <c r="G5299" s="668"/>
      <c r="H5299" s="668"/>
      <c r="I5299" s="668"/>
      <c r="J5299" s="668"/>
      <c r="K5299" s="674"/>
      <c r="L5299" s="668"/>
      <c r="M5299" s="668"/>
    </row>
    <row r="5300" spans="5:13">
      <c r="E5300" s="668"/>
      <c r="F5300" s="668"/>
      <c r="G5300" s="668"/>
      <c r="H5300" s="668"/>
      <c r="I5300" s="668"/>
      <c r="J5300" s="668"/>
      <c r="K5300" s="674"/>
      <c r="L5300" s="668"/>
      <c r="M5300" s="668"/>
    </row>
    <row r="5301" spans="5:13">
      <c r="E5301" s="668"/>
      <c r="F5301" s="668"/>
      <c r="G5301" s="668"/>
      <c r="H5301" s="668"/>
      <c r="I5301" s="668"/>
      <c r="J5301" s="668"/>
      <c r="K5301" s="674"/>
      <c r="L5301" s="668"/>
      <c r="M5301" s="668"/>
    </row>
    <row r="5302" spans="5:13">
      <c r="E5302" s="668"/>
      <c r="F5302" s="668"/>
      <c r="G5302" s="668"/>
      <c r="H5302" s="668"/>
      <c r="I5302" s="668"/>
      <c r="J5302" s="668"/>
      <c r="K5302" s="674"/>
      <c r="L5302" s="668"/>
      <c r="M5302" s="668"/>
    </row>
    <row r="5303" spans="5:13">
      <c r="E5303" s="668"/>
      <c r="F5303" s="668"/>
      <c r="G5303" s="668"/>
      <c r="H5303" s="668"/>
      <c r="I5303" s="668"/>
      <c r="J5303" s="668"/>
      <c r="K5303" s="674"/>
      <c r="L5303" s="668"/>
      <c r="M5303" s="668"/>
    </row>
    <row r="5304" spans="5:13">
      <c r="E5304" s="668"/>
      <c r="F5304" s="668"/>
      <c r="G5304" s="668"/>
      <c r="H5304" s="668"/>
      <c r="I5304" s="668"/>
      <c r="J5304" s="668"/>
      <c r="K5304" s="674"/>
      <c r="L5304" s="668"/>
      <c r="M5304" s="668"/>
    </row>
    <row r="5305" spans="5:13">
      <c r="E5305" s="668"/>
      <c r="F5305" s="668"/>
      <c r="G5305" s="668"/>
      <c r="H5305" s="668"/>
      <c r="I5305" s="668"/>
      <c r="J5305" s="668"/>
      <c r="K5305" s="674"/>
      <c r="L5305" s="668"/>
      <c r="M5305" s="668"/>
    </row>
    <row r="5306" spans="5:13">
      <c r="E5306" s="668"/>
      <c r="F5306" s="668"/>
      <c r="G5306" s="668"/>
      <c r="H5306" s="668"/>
      <c r="I5306" s="668"/>
      <c r="J5306" s="668"/>
      <c r="K5306" s="674"/>
      <c r="L5306" s="668"/>
      <c r="M5306" s="668"/>
    </row>
    <row r="5307" spans="5:13">
      <c r="E5307" s="668"/>
      <c r="F5307" s="668"/>
      <c r="G5307" s="668"/>
      <c r="H5307" s="668"/>
      <c r="I5307" s="668"/>
      <c r="J5307" s="668"/>
      <c r="K5307" s="674"/>
      <c r="L5307" s="668"/>
      <c r="M5307" s="668"/>
    </row>
    <row r="5308" spans="5:13">
      <c r="E5308" s="668"/>
      <c r="F5308" s="668"/>
      <c r="G5308" s="668"/>
      <c r="H5308" s="668"/>
      <c r="I5308" s="668"/>
      <c r="J5308" s="668"/>
      <c r="K5308" s="674"/>
      <c r="L5308" s="668"/>
      <c r="M5308" s="668"/>
    </row>
    <row r="5309" spans="5:13">
      <c r="E5309" s="668"/>
      <c r="F5309" s="668"/>
      <c r="G5309" s="668"/>
      <c r="H5309" s="668"/>
      <c r="I5309" s="668"/>
      <c r="J5309" s="668"/>
      <c r="K5309" s="674"/>
      <c r="L5309" s="668"/>
      <c r="M5309" s="668"/>
    </row>
    <row r="5310" spans="5:13">
      <c r="E5310" s="668"/>
      <c r="F5310" s="668"/>
      <c r="G5310" s="668"/>
      <c r="H5310" s="668"/>
      <c r="I5310" s="668"/>
      <c r="J5310" s="668"/>
      <c r="K5310" s="674"/>
      <c r="L5310" s="668"/>
      <c r="M5310" s="668"/>
    </row>
    <row r="5311" spans="5:13">
      <c r="E5311" s="668"/>
      <c r="F5311" s="668"/>
      <c r="G5311" s="668"/>
      <c r="H5311" s="668"/>
      <c r="I5311" s="668"/>
      <c r="J5311" s="668"/>
      <c r="K5311" s="674"/>
      <c r="L5311" s="668"/>
      <c r="M5311" s="668"/>
    </row>
    <row r="5312" spans="5:13">
      <c r="E5312" s="668"/>
      <c r="F5312" s="668"/>
      <c r="G5312" s="668"/>
      <c r="H5312" s="668"/>
      <c r="I5312" s="668"/>
      <c r="J5312" s="668"/>
      <c r="K5312" s="674"/>
      <c r="L5312" s="668"/>
      <c r="M5312" s="668"/>
    </row>
    <row r="5313" spans="5:13">
      <c r="E5313" s="668"/>
      <c r="F5313" s="668"/>
      <c r="G5313" s="668"/>
      <c r="H5313" s="668"/>
      <c r="I5313" s="668"/>
      <c r="J5313" s="668"/>
      <c r="K5313" s="674"/>
      <c r="L5313" s="668"/>
      <c r="M5313" s="668"/>
    </row>
    <row r="5314" spans="5:13">
      <c r="E5314" s="668"/>
      <c r="F5314" s="668"/>
      <c r="G5314" s="668"/>
      <c r="H5314" s="668"/>
      <c r="I5314" s="668"/>
      <c r="J5314" s="668"/>
      <c r="K5314" s="674"/>
      <c r="L5314" s="668"/>
      <c r="M5314" s="668"/>
    </row>
    <row r="5315" spans="5:13">
      <c r="E5315" s="668"/>
      <c r="F5315" s="668"/>
      <c r="G5315" s="668"/>
      <c r="H5315" s="668"/>
      <c r="I5315" s="668"/>
      <c r="J5315" s="668"/>
      <c r="K5315" s="674"/>
      <c r="L5315" s="668"/>
      <c r="M5315" s="668"/>
    </row>
    <row r="5316" spans="5:13">
      <c r="E5316" s="668"/>
      <c r="F5316" s="668"/>
      <c r="G5316" s="668"/>
      <c r="H5316" s="668"/>
      <c r="I5316" s="668"/>
      <c r="J5316" s="668"/>
      <c r="K5316" s="674"/>
      <c r="L5316" s="668"/>
      <c r="M5316" s="668"/>
    </row>
    <row r="5317" spans="5:13">
      <c r="E5317" s="668"/>
      <c r="F5317" s="668"/>
      <c r="G5317" s="668"/>
      <c r="H5317" s="668"/>
      <c r="I5317" s="668"/>
      <c r="J5317" s="668"/>
      <c r="K5317" s="674"/>
      <c r="L5317" s="668"/>
      <c r="M5317" s="668"/>
    </row>
    <row r="5318" spans="5:13">
      <c r="E5318" s="668"/>
      <c r="F5318" s="668"/>
      <c r="G5318" s="668"/>
      <c r="H5318" s="668"/>
      <c r="I5318" s="668"/>
      <c r="J5318" s="668"/>
      <c r="K5318" s="674"/>
      <c r="L5318" s="668"/>
      <c r="M5318" s="668"/>
    </row>
    <row r="5319" spans="5:13">
      <c r="E5319" s="668"/>
      <c r="F5319" s="668"/>
      <c r="G5319" s="668"/>
      <c r="H5319" s="668"/>
      <c r="I5319" s="668"/>
      <c r="J5319" s="668"/>
      <c r="K5319" s="674"/>
      <c r="L5319" s="668"/>
      <c r="M5319" s="668"/>
    </row>
    <row r="5320" spans="5:13">
      <c r="E5320" s="668"/>
      <c r="F5320" s="668"/>
      <c r="G5320" s="668"/>
      <c r="H5320" s="668"/>
      <c r="I5320" s="668"/>
      <c r="J5320" s="668"/>
      <c r="K5320" s="674"/>
      <c r="L5320" s="668"/>
      <c r="M5320" s="668"/>
    </row>
    <row r="5321" spans="5:13">
      <c r="E5321" s="668"/>
      <c r="F5321" s="668"/>
      <c r="G5321" s="668"/>
      <c r="H5321" s="668"/>
      <c r="I5321" s="668"/>
      <c r="J5321" s="668"/>
      <c r="K5321" s="674"/>
      <c r="L5321" s="668"/>
      <c r="M5321" s="668"/>
    </row>
    <row r="5322" spans="5:13">
      <c r="E5322" s="668"/>
      <c r="F5322" s="668"/>
      <c r="G5322" s="668"/>
      <c r="H5322" s="668"/>
      <c r="I5322" s="668"/>
      <c r="J5322" s="668"/>
      <c r="K5322" s="674"/>
      <c r="L5322" s="668"/>
      <c r="M5322" s="668"/>
    </row>
    <row r="5323" spans="5:13">
      <c r="E5323" s="668"/>
      <c r="F5323" s="668"/>
      <c r="G5323" s="668"/>
      <c r="H5323" s="668"/>
      <c r="I5323" s="668"/>
      <c r="J5323" s="668"/>
      <c r="K5323" s="674"/>
      <c r="L5323" s="668"/>
      <c r="M5323" s="668"/>
    </row>
    <row r="5324" spans="5:13">
      <c r="E5324" s="668"/>
      <c r="F5324" s="668"/>
      <c r="G5324" s="668"/>
      <c r="H5324" s="668"/>
      <c r="I5324" s="668"/>
      <c r="J5324" s="668"/>
      <c r="K5324" s="674"/>
      <c r="L5324" s="668"/>
      <c r="M5324" s="668"/>
    </row>
    <row r="5325" spans="5:13">
      <c r="E5325" s="668"/>
      <c r="F5325" s="668"/>
      <c r="G5325" s="668"/>
      <c r="H5325" s="668"/>
      <c r="I5325" s="668"/>
      <c r="J5325" s="668"/>
      <c r="K5325" s="674"/>
      <c r="L5325" s="668"/>
      <c r="M5325" s="668"/>
    </row>
    <row r="5326" spans="5:13">
      <c r="E5326" s="668"/>
      <c r="F5326" s="668"/>
      <c r="G5326" s="668"/>
      <c r="H5326" s="668"/>
      <c r="I5326" s="668"/>
      <c r="J5326" s="668"/>
      <c r="K5326" s="674"/>
      <c r="L5326" s="668"/>
      <c r="M5326" s="668"/>
    </row>
    <row r="5327" spans="5:13">
      <c r="E5327" s="668"/>
      <c r="F5327" s="668"/>
      <c r="G5327" s="668"/>
      <c r="H5327" s="668"/>
      <c r="I5327" s="668"/>
      <c r="J5327" s="668"/>
      <c r="K5327" s="674"/>
      <c r="L5327" s="668"/>
      <c r="M5327" s="668"/>
    </row>
    <row r="5328" spans="5:13">
      <c r="E5328" s="668"/>
      <c r="F5328" s="668"/>
      <c r="G5328" s="668"/>
      <c r="H5328" s="668"/>
      <c r="I5328" s="668"/>
      <c r="J5328" s="668"/>
      <c r="K5328" s="674"/>
      <c r="L5328" s="668"/>
      <c r="M5328" s="668"/>
    </row>
    <row r="5329" spans="5:13">
      <c r="E5329" s="668"/>
      <c r="F5329" s="668"/>
      <c r="G5329" s="668"/>
      <c r="H5329" s="668"/>
      <c r="I5329" s="668"/>
      <c r="J5329" s="668"/>
      <c r="K5329" s="674"/>
      <c r="L5329" s="668"/>
      <c r="M5329" s="668"/>
    </row>
    <row r="5330" spans="5:13">
      <c r="E5330" s="668"/>
      <c r="F5330" s="668"/>
      <c r="G5330" s="668"/>
      <c r="H5330" s="668"/>
      <c r="I5330" s="668"/>
      <c r="J5330" s="668"/>
      <c r="K5330" s="674"/>
      <c r="L5330" s="668"/>
      <c r="M5330" s="668"/>
    </row>
    <row r="5331" spans="5:13">
      <c r="E5331" s="668"/>
      <c r="F5331" s="668"/>
      <c r="G5331" s="668"/>
      <c r="H5331" s="668"/>
      <c r="I5331" s="668"/>
      <c r="J5331" s="668"/>
      <c r="K5331" s="674"/>
      <c r="L5331" s="668"/>
      <c r="M5331" s="668"/>
    </row>
    <row r="5332" spans="5:13">
      <c r="E5332" s="668"/>
      <c r="F5332" s="668"/>
      <c r="G5332" s="668"/>
      <c r="H5332" s="668"/>
      <c r="I5332" s="668"/>
      <c r="J5332" s="668"/>
      <c r="K5332" s="674"/>
      <c r="L5332" s="668"/>
      <c r="M5332" s="668"/>
    </row>
    <row r="5333" spans="5:13">
      <c r="E5333" s="668"/>
      <c r="F5333" s="668"/>
      <c r="G5333" s="668"/>
      <c r="H5333" s="668"/>
      <c r="I5333" s="668"/>
      <c r="J5333" s="668"/>
      <c r="K5333" s="674"/>
      <c r="L5333" s="668"/>
      <c r="M5333" s="668"/>
    </row>
    <row r="5334" spans="5:13">
      <c r="E5334" s="668"/>
      <c r="F5334" s="668"/>
      <c r="G5334" s="668"/>
      <c r="H5334" s="668"/>
      <c r="I5334" s="668"/>
      <c r="J5334" s="668"/>
      <c r="K5334" s="674"/>
      <c r="L5334" s="668"/>
      <c r="M5334" s="668"/>
    </row>
    <row r="5335" spans="5:13">
      <c r="E5335" s="668"/>
      <c r="F5335" s="668"/>
      <c r="G5335" s="668"/>
      <c r="H5335" s="668"/>
      <c r="I5335" s="668"/>
      <c r="J5335" s="668"/>
      <c r="K5335" s="674"/>
      <c r="L5335" s="668"/>
      <c r="M5335" s="668"/>
    </row>
    <row r="5336" spans="5:13">
      <c r="E5336" s="668"/>
      <c r="F5336" s="668"/>
      <c r="G5336" s="668"/>
      <c r="H5336" s="668"/>
      <c r="I5336" s="668"/>
      <c r="J5336" s="668"/>
      <c r="K5336" s="674"/>
      <c r="L5336" s="668"/>
      <c r="M5336" s="668"/>
    </row>
    <row r="5337" spans="5:13">
      <c r="E5337" s="668"/>
      <c r="F5337" s="668"/>
      <c r="G5337" s="668"/>
      <c r="H5337" s="668"/>
      <c r="I5337" s="668"/>
      <c r="J5337" s="668"/>
      <c r="K5337" s="674"/>
      <c r="L5337" s="668"/>
      <c r="M5337" s="668"/>
    </row>
    <row r="5338" spans="5:13">
      <c r="E5338" s="668"/>
      <c r="F5338" s="668"/>
      <c r="G5338" s="668"/>
      <c r="H5338" s="668"/>
      <c r="I5338" s="668"/>
      <c r="J5338" s="668"/>
      <c r="K5338" s="674"/>
      <c r="L5338" s="668"/>
      <c r="M5338" s="668"/>
    </row>
    <row r="5339" spans="5:13">
      <c r="E5339" s="668"/>
      <c r="F5339" s="668"/>
      <c r="G5339" s="668"/>
      <c r="H5339" s="668"/>
      <c r="I5339" s="668"/>
      <c r="J5339" s="668"/>
      <c r="K5339" s="674"/>
      <c r="L5339" s="668"/>
      <c r="M5339" s="668"/>
    </row>
    <row r="5340" spans="5:13">
      <c r="E5340" s="668"/>
      <c r="F5340" s="668"/>
      <c r="G5340" s="668"/>
      <c r="H5340" s="668"/>
      <c r="I5340" s="668"/>
      <c r="J5340" s="668"/>
      <c r="K5340" s="674"/>
      <c r="L5340" s="668"/>
      <c r="M5340" s="668"/>
    </row>
    <row r="5341" spans="5:13">
      <c r="E5341" s="668"/>
      <c r="F5341" s="668"/>
      <c r="G5341" s="668"/>
      <c r="H5341" s="668"/>
      <c r="I5341" s="668"/>
      <c r="J5341" s="668"/>
      <c r="K5341" s="674"/>
      <c r="L5341" s="668"/>
      <c r="M5341" s="668"/>
    </row>
    <row r="5342" spans="5:13">
      <c r="E5342" s="668"/>
      <c r="F5342" s="668"/>
      <c r="G5342" s="668"/>
      <c r="H5342" s="668"/>
      <c r="I5342" s="668"/>
      <c r="J5342" s="668"/>
      <c r="K5342" s="674"/>
      <c r="L5342" s="668"/>
      <c r="M5342" s="668"/>
    </row>
    <row r="5343" spans="5:13">
      <c r="E5343" s="668"/>
      <c r="F5343" s="668"/>
      <c r="G5343" s="668"/>
      <c r="H5343" s="668"/>
      <c r="I5343" s="668"/>
      <c r="J5343" s="668"/>
      <c r="K5343" s="674"/>
      <c r="L5343" s="668"/>
      <c r="M5343" s="668"/>
    </row>
    <row r="5344" spans="5:13">
      <c r="E5344" s="668"/>
      <c r="F5344" s="668"/>
      <c r="G5344" s="668"/>
      <c r="H5344" s="668"/>
      <c r="I5344" s="668"/>
      <c r="J5344" s="668"/>
      <c r="K5344" s="674"/>
      <c r="L5344" s="668"/>
      <c r="M5344" s="668"/>
    </row>
    <row r="5345" spans="5:13">
      <c r="E5345" s="668"/>
      <c r="F5345" s="668"/>
      <c r="G5345" s="668"/>
      <c r="H5345" s="668"/>
      <c r="I5345" s="668"/>
      <c r="J5345" s="668"/>
      <c r="K5345" s="674"/>
      <c r="L5345" s="668"/>
      <c r="M5345" s="668"/>
    </row>
    <row r="5346" spans="5:13">
      <c r="E5346" s="668"/>
      <c r="F5346" s="668"/>
      <c r="G5346" s="668"/>
      <c r="H5346" s="668"/>
      <c r="I5346" s="668"/>
      <c r="J5346" s="668"/>
      <c r="K5346" s="674"/>
      <c r="L5346" s="668"/>
      <c r="M5346" s="668"/>
    </row>
    <row r="5347" spans="5:13">
      <c r="E5347" s="668"/>
      <c r="F5347" s="668"/>
      <c r="G5347" s="668"/>
      <c r="H5347" s="668"/>
      <c r="I5347" s="668"/>
      <c r="J5347" s="668"/>
      <c r="K5347" s="674"/>
      <c r="L5347" s="668"/>
      <c r="M5347" s="668"/>
    </row>
    <row r="5348" spans="5:13">
      <c r="E5348" s="668"/>
      <c r="F5348" s="668"/>
      <c r="G5348" s="668"/>
      <c r="H5348" s="668"/>
      <c r="I5348" s="668"/>
      <c r="J5348" s="668"/>
      <c r="K5348" s="674"/>
      <c r="L5348" s="668"/>
      <c r="M5348" s="668"/>
    </row>
    <row r="5349" spans="5:13">
      <c r="E5349" s="668"/>
      <c r="F5349" s="668"/>
      <c r="G5349" s="668"/>
      <c r="H5349" s="668"/>
      <c r="I5349" s="668"/>
      <c r="J5349" s="668"/>
      <c r="K5349" s="674"/>
      <c r="L5349" s="668"/>
      <c r="M5349" s="668"/>
    </row>
    <row r="5350" spans="5:13">
      <c r="E5350" s="668"/>
      <c r="F5350" s="668"/>
      <c r="G5350" s="668"/>
      <c r="H5350" s="668"/>
      <c r="I5350" s="668"/>
      <c r="J5350" s="668"/>
      <c r="K5350" s="674"/>
      <c r="L5350" s="668"/>
      <c r="M5350" s="668"/>
    </row>
    <row r="5351" spans="5:13">
      <c r="E5351" s="668"/>
      <c r="F5351" s="668"/>
      <c r="G5351" s="668"/>
      <c r="H5351" s="668"/>
      <c r="I5351" s="668"/>
      <c r="J5351" s="668"/>
      <c r="K5351" s="674"/>
      <c r="L5351" s="668"/>
      <c r="M5351" s="668"/>
    </row>
    <row r="5352" spans="5:13">
      <c r="E5352" s="668"/>
      <c r="F5352" s="668"/>
      <c r="G5352" s="668"/>
      <c r="H5352" s="668"/>
      <c r="I5352" s="668"/>
      <c r="J5352" s="668"/>
      <c r="K5352" s="674"/>
      <c r="L5352" s="668"/>
      <c r="M5352" s="668"/>
    </row>
    <row r="5353" spans="5:13">
      <c r="E5353" s="668"/>
      <c r="F5353" s="668"/>
      <c r="G5353" s="668"/>
      <c r="H5353" s="668"/>
      <c r="I5353" s="668"/>
      <c r="J5353" s="668"/>
      <c r="K5353" s="674"/>
      <c r="L5353" s="668"/>
      <c r="M5353" s="668"/>
    </row>
    <row r="5354" spans="5:13">
      <c r="E5354" s="668"/>
      <c r="F5354" s="668"/>
      <c r="G5354" s="668"/>
      <c r="H5354" s="668"/>
      <c r="I5354" s="668"/>
      <c r="J5354" s="668"/>
      <c r="K5354" s="674"/>
      <c r="L5354" s="668"/>
      <c r="M5354" s="668"/>
    </row>
    <row r="5355" spans="5:13">
      <c r="E5355" s="668"/>
      <c r="F5355" s="668"/>
      <c r="G5355" s="668"/>
      <c r="H5355" s="668"/>
      <c r="I5355" s="668"/>
      <c r="J5355" s="668"/>
      <c r="K5355" s="674"/>
      <c r="L5355" s="668"/>
      <c r="M5355" s="668"/>
    </row>
    <row r="5356" spans="5:13">
      <c r="E5356" s="668"/>
      <c r="F5356" s="668"/>
      <c r="G5356" s="668"/>
      <c r="H5356" s="668"/>
      <c r="I5356" s="668"/>
      <c r="J5356" s="668"/>
      <c r="K5356" s="674"/>
      <c r="L5356" s="668"/>
      <c r="M5356" s="668"/>
    </row>
    <row r="5357" spans="5:13">
      <c r="E5357" s="668"/>
      <c r="F5357" s="668"/>
      <c r="G5357" s="668"/>
      <c r="H5357" s="668"/>
      <c r="I5357" s="668"/>
      <c r="J5357" s="668"/>
      <c r="K5357" s="674"/>
      <c r="L5357" s="668"/>
      <c r="M5357" s="668"/>
    </row>
    <row r="5358" spans="5:13">
      <c r="E5358" s="668"/>
      <c r="F5358" s="668"/>
      <c r="G5358" s="668"/>
      <c r="H5358" s="668"/>
      <c r="I5358" s="668"/>
      <c r="J5358" s="668"/>
      <c r="K5358" s="674"/>
      <c r="L5358" s="668"/>
      <c r="M5358" s="668"/>
    </row>
    <row r="5359" spans="5:13">
      <c r="E5359" s="668"/>
      <c r="F5359" s="668"/>
      <c r="G5359" s="668"/>
      <c r="H5359" s="668"/>
      <c r="I5359" s="668"/>
      <c r="J5359" s="668"/>
      <c r="K5359" s="674"/>
      <c r="L5359" s="668"/>
      <c r="M5359" s="668"/>
    </row>
    <row r="5360" spans="5:13">
      <c r="E5360" s="668"/>
      <c r="F5360" s="668"/>
      <c r="G5360" s="668"/>
      <c r="H5360" s="668"/>
      <c r="I5360" s="668"/>
      <c r="J5360" s="668"/>
      <c r="K5360" s="674"/>
      <c r="L5360" s="668"/>
      <c r="M5360" s="668"/>
    </row>
    <row r="5361" spans="5:13">
      <c r="E5361" s="668"/>
      <c r="F5361" s="668"/>
      <c r="G5361" s="668"/>
      <c r="H5361" s="668"/>
      <c r="I5361" s="668"/>
      <c r="J5361" s="668"/>
      <c r="K5361" s="674"/>
      <c r="L5361" s="668"/>
      <c r="M5361" s="668"/>
    </row>
    <row r="5362" spans="5:13">
      <c r="E5362" s="668"/>
      <c r="F5362" s="668"/>
      <c r="G5362" s="668"/>
      <c r="H5362" s="668"/>
      <c r="I5362" s="668"/>
      <c r="J5362" s="668"/>
      <c r="K5362" s="674"/>
      <c r="L5362" s="668"/>
      <c r="M5362" s="668"/>
    </row>
    <row r="5363" spans="5:13">
      <c r="E5363" s="668"/>
      <c r="F5363" s="668"/>
      <c r="G5363" s="668"/>
      <c r="H5363" s="668"/>
      <c r="I5363" s="668"/>
      <c r="J5363" s="668"/>
      <c r="K5363" s="674"/>
      <c r="L5363" s="668"/>
      <c r="M5363" s="668"/>
    </row>
    <row r="5364" spans="5:13">
      <c r="E5364" s="668"/>
      <c r="F5364" s="668"/>
      <c r="G5364" s="668"/>
      <c r="H5364" s="668"/>
      <c r="I5364" s="668"/>
      <c r="J5364" s="668"/>
      <c r="K5364" s="674"/>
      <c r="L5364" s="668"/>
      <c r="M5364" s="668"/>
    </row>
    <row r="5365" spans="5:13">
      <c r="E5365" s="668"/>
      <c r="F5365" s="668"/>
      <c r="G5365" s="668"/>
      <c r="H5365" s="668"/>
      <c r="I5365" s="668"/>
      <c r="J5365" s="668"/>
      <c r="K5365" s="674"/>
      <c r="L5365" s="668"/>
      <c r="M5365" s="668"/>
    </row>
    <row r="5366" spans="5:13">
      <c r="E5366" s="668"/>
      <c r="F5366" s="668"/>
      <c r="G5366" s="668"/>
      <c r="H5366" s="668"/>
      <c r="I5366" s="668"/>
      <c r="J5366" s="668"/>
      <c r="K5366" s="674"/>
      <c r="L5366" s="668"/>
      <c r="M5366" s="668"/>
    </row>
    <row r="5367" spans="5:13">
      <c r="E5367" s="668"/>
      <c r="F5367" s="668"/>
      <c r="G5367" s="668"/>
      <c r="H5367" s="668"/>
      <c r="I5367" s="668"/>
      <c r="J5367" s="668"/>
      <c r="K5367" s="674"/>
      <c r="L5367" s="668"/>
      <c r="M5367" s="668"/>
    </row>
    <row r="5368" spans="5:13">
      <c r="E5368" s="668"/>
      <c r="F5368" s="668"/>
      <c r="G5368" s="668"/>
      <c r="H5368" s="668"/>
      <c r="I5368" s="668"/>
      <c r="J5368" s="668"/>
      <c r="K5368" s="674"/>
      <c r="L5368" s="668"/>
      <c r="M5368" s="668"/>
    </row>
    <row r="5369" spans="5:13">
      <c r="E5369" s="668"/>
      <c r="F5369" s="668"/>
      <c r="G5369" s="668"/>
      <c r="H5369" s="668"/>
      <c r="I5369" s="668"/>
      <c r="J5369" s="668"/>
      <c r="K5369" s="674"/>
      <c r="L5369" s="668"/>
      <c r="M5369" s="668"/>
    </row>
    <row r="5370" spans="5:13">
      <c r="E5370" s="668"/>
      <c r="F5370" s="668"/>
      <c r="G5370" s="668"/>
      <c r="H5370" s="668"/>
      <c r="I5370" s="668"/>
      <c r="J5370" s="668"/>
      <c r="K5370" s="674"/>
      <c r="L5370" s="668"/>
      <c r="M5370" s="668"/>
    </row>
    <row r="5371" spans="5:13">
      <c r="E5371" s="668"/>
      <c r="F5371" s="668"/>
      <c r="G5371" s="668"/>
      <c r="H5371" s="668"/>
      <c r="I5371" s="668"/>
      <c r="J5371" s="668"/>
      <c r="K5371" s="674"/>
      <c r="L5371" s="668"/>
      <c r="M5371" s="668"/>
    </row>
    <row r="5372" spans="5:13">
      <c r="E5372" s="668"/>
      <c r="F5372" s="668"/>
      <c r="G5372" s="668"/>
      <c r="H5372" s="668"/>
      <c r="I5372" s="668"/>
      <c r="J5372" s="668"/>
      <c r="K5372" s="674"/>
      <c r="L5372" s="668"/>
      <c r="M5372" s="668"/>
    </row>
    <row r="5373" spans="5:13">
      <c r="E5373" s="668"/>
      <c r="F5373" s="668"/>
      <c r="G5373" s="668"/>
      <c r="H5373" s="668"/>
      <c r="I5373" s="668"/>
      <c r="J5373" s="668"/>
      <c r="K5373" s="674"/>
      <c r="L5373" s="668"/>
      <c r="M5373" s="668"/>
    </row>
    <row r="5374" spans="5:13">
      <c r="E5374" s="668"/>
      <c r="F5374" s="668"/>
      <c r="G5374" s="668"/>
      <c r="H5374" s="668"/>
      <c r="I5374" s="668"/>
      <c r="J5374" s="668"/>
      <c r="K5374" s="674"/>
      <c r="L5374" s="668"/>
      <c r="M5374" s="668"/>
    </row>
    <row r="5375" spans="5:13">
      <c r="E5375" s="668"/>
      <c r="F5375" s="668"/>
      <c r="G5375" s="668"/>
      <c r="H5375" s="668"/>
      <c r="I5375" s="668"/>
      <c r="J5375" s="668"/>
      <c r="K5375" s="674"/>
      <c r="L5375" s="668"/>
      <c r="M5375" s="668"/>
    </row>
    <row r="5376" spans="5:13">
      <c r="E5376" s="668"/>
      <c r="F5376" s="668"/>
      <c r="G5376" s="668"/>
      <c r="H5376" s="668"/>
      <c r="I5376" s="668"/>
      <c r="J5376" s="668"/>
      <c r="K5376" s="674"/>
      <c r="L5376" s="668"/>
      <c r="M5376" s="668"/>
    </row>
    <row r="5377" spans="5:13">
      <c r="E5377" s="668"/>
      <c r="F5377" s="668"/>
      <c r="G5377" s="668"/>
      <c r="H5377" s="668"/>
      <c r="I5377" s="668"/>
      <c r="J5377" s="668"/>
      <c r="K5377" s="674"/>
      <c r="L5377" s="668"/>
      <c r="M5377" s="668"/>
    </row>
    <row r="5378" spans="5:13">
      <c r="E5378" s="668"/>
      <c r="F5378" s="668"/>
      <c r="G5378" s="668"/>
      <c r="H5378" s="668"/>
      <c r="I5378" s="668"/>
      <c r="J5378" s="668"/>
      <c r="K5378" s="674"/>
      <c r="L5378" s="668"/>
      <c r="M5378" s="668"/>
    </row>
    <row r="5379" spans="5:13">
      <c r="E5379" s="668"/>
      <c r="F5379" s="668"/>
      <c r="G5379" s="668"/>
      <c r="H5379" s="668"/>
      <c r="I5379" s="668"/>
      <c r="J5379" s="668"/>
      <c r="K5379" s="674"/>
      <c r="L5379" s="668"/>
      <c r="M5379" s="668"/>
    </row>
    <row r="5380" spans="5:13">
      <c r="E5380" s="668"/>
      <c r="F5380" s="668"/>
      <c r="G5380" s="668"/>
      <c r="H5380" s="668"/>
      <c r="I5380" s="668"/>
      <c r="J5380" s="668"/>
      <c r="K5380" s="674"/>
      <c r="L5380" s="668"/>
      <c r="M5380" s="668"/>
    </row>
    <row r="5381" spans="5:13">
      <c r="E5381" s="668"/>
      <c r="F5381" s="668"/>
      <c r="G5381" s="668"/>
      <c r="H5381" s="668"/>
      <c r="I5381" s="668"/>
      <c r="J5381" s="668"/>
      <c r="K5381" s="674"/>
      <c r="L5381" s="668"/>
      <c r="M5381" s="668"/>
    </row>
    <row r="5382" spans="5:13">
      <c r="E5382" s="668"/>
      <c r="F5382" s="668"/>
      <c r="G5382" s="668"/>
      <c r="H5382" s="668"/>
      <c r="I5382" s="668"/>
      <c r="J5382" s="668"/>
      <c r="K5382" s="674"/>
      <c r="L5382" s="668"/>
      <c r="M5382" s="668"/>
    </row>
    <row r="5383" spans="5:13">
      <c r="E5383" s="668"/>
      <c r="F5383" s="668"/>
      <c r="G5383" s="668"/>
      <c r="H5383" s="668"/>
      <c r="I5383" s="668"/>
      <c r="J5383" s="668"/>
      <c r="K5383" s="674"/>
      <c r="L5383" s="668"/>
      <c r="M5383" s="668"/>
    </row>
    <row r="5384" spans="5:13">
      <c r="E5384" s="668"/>
      <c r="F5384" s="668"/>
      <c r="G5384" s="668"/>
      <c r="H5384" s="668"/>
      <c r="I5384" s="668"/>
      <c r="J5384" s="668"/>
      <c r="K5384" s="674"/>
      <c r="L5384" s="668"/>
      <c r="M5384" s="668"/>
    </row>
    <row r="5385" spans="5:13">
      <c r="E5385" s="668"/>
      <c r="F5385" s="668"/>
      <c r="G5385" s="668"/>
      <c r="H5385" s="668"/>
      <c r="I5385" s="668"/>
      <c r="J5385" s="668"/>
      <c r="K5385" s="674"/>
      <c r="L5385" s="668"/>
      <c r="M5385" s="668"/>
    </row>
    <row r="5386" spans="5:13">
      <c r="E5386" s="668"/>
      <c r="F5386" s="668"/>
      <c r="G5386" s="668"/>
      <c r="H5386" s="668"/>
      <c r="I5386" s="668"/>
      <c r="J5386" s="668"/>
      <c r="K5386" s="674"/>
      <c r="L5386" s="668"/>
      <c r="M5386" s="668"/>
    </row>
    <row r="5387" spans="5:13">
      <c r="E5387" s="668"/>
      <c r="F5387" s="668"/>
      <c r="G5387" s="668"/>
      <c r="H5387" s="668"/>
      <c r="I5387" s="668"/>
      <c r="J5387" s="668"/>
      <c r="K5387" s="674"/>
      <c r="L5387" s="668"/>
      <c r="M5387" s="668"/>
    </row>
    <row r="5388" spans="5:13">
      <c r="E5388" s="668"/>
      <c r="F5388" s="668"/>
      <c r="G5388" s="668"/>
      <c r="H5388" s="668"/>
      <c r="I5388" s="668"/>
      <c r="J5388" s="668"/>
      <c r="K5388" s="674"/>
      <c r="L5388" s="668"/>
      <c r="M5388" s="668"/>
    </row>
    <row r="5389" spans="5:13">
      <c r="E5389" s="668"/>
      <c r="F5389" s="668"/>
      <c r="G5389" s="668"/>
      <c r="H5389" s="668"/>
      <c r="I5389" s="668"/>
      <c r="J5389" s="668"/>
      <c r="K5389" s="674"/>
      <c r="L5389" s="668"/>
      <c r="M5389" s="668"/>
    </row>
    <row r="5390" spans="5:13">
      <c r="E5390" s="668"/>
      <c r="F5390" s="668"/>
      <c r="G5390" s="668"/>
      <c r="H5390" s="668"/>
      <c r="I5390" s="668"/>
      <c r="J5390" s="668"/>
      <c r="K5390" s="674"/>
      <c r="L5390" s="668"/>
      <c r="M5390" s="668"/>
    </row>
    <row r="5391" spans="5:13">
      <c r="E5391" s="668"/>
      <c r="F5391" s="668"/>
      <c r="G5391" s="668"/>
      <c r="H5391" s="668"/>
      <c r="I5391" s="668"/>
      <c r="J5391" s="668"/>
      <c r="K5391" s="674"/>
      <c r="L5391" s="668"/>
      <c r="M5391" s="668"/>
    </row>
    <row r="5392" spans="5:13">
      <c r="E5392" s="668"/>
      <c r="F5392" s="668"/>
      <c r="G5392" s="668"/>
      <c r="H5392" s="668"/>
      <c r="I5392" s="668"/>
      <c r="J5392" s="668"/>
      <c r="K5392" s="674"/>
      <c r="L5392" s="668"/>
      <c r="M5392" s="668"/>
    </row>
    <row r="5393" spans="5:13">
      <c r="E5393" s="668"/>
      <c r="F5393" s="668"/>
      <c r="G5393" s="668"/>
      <c r="H5393" s="668"/>
      <c r="I5393" s="668"/>
      <c r="J5393" s="668"/>
      <c r="K5393" s="674"/>
      <c r="L5393" s="668"/>
      <c r="M5393" s="668"/>
    </row>
    <row r="5394" spans="5:13">
      <c r="E5394" s="668"/>
      <c r="F5394" s="668"/>
      <c r="G5394" s="668"/>
      <c r="H5394" s="668"/>
      <c r="I5394" s="668"/>
      <c r="J5394" s="668"/>
      <c r="K5394" s="674"/>
      <c r="L5394" s="668"/>
      <c r="M5394" s="668"/>
    </row>
    <row r="5395" spans="5:13">
      <c r="E5395" s="668"/>
      <c r="F5395" s="668"/>
      <c r="G5395" s="668"/>
      <c r="H5395" s="668"/>
      <c r="I5395" s="668"/>
      <c r="J5395" s="668"/>
      <c r="K5395" s="674"/>
      <c r="L5395" s="668"/>
      <c r="M5395" s="668"/>
    </row>
    <row r="5396" spans="5:13">
      <c r="E5396" s="668"/>
      <c r="F5396" s="668"/>
      <c r="G5396" s="668"/>
      <c r="H5396" s="668"/>
      <c r="I5396" s="668"/>
      <c r="J5396" s="668"/>
      <c r="K5396" s="674"/>
      <c r="L5396" s="668"/>
      <c r="M5396" s="668"/>
    </row>
    <row r="5397" spans="5:13">
      <c r="E5397" s="668"/>
      <c r="F5397" s="668"/>
      <c r="G5397" s="668"/>
      <c r="H5397" s="668"/>
      <c r="I5397" s="668"/>
      <c r="J5397" s="668"/>
      <c r="K5397" s="674"/>
      <c r="L5397" s="668"/>
      <c r="M5397" s="668"/>
    </row>
    <row r="5398" spans="5:13">
      <c r="E5398" s="668"/>
      <c r="F5398" s="668"/>
      <c r="G5398" s="668"/>
      <c r="H5398" s="668"/>
      <c r="I5398" s="668"/>
      <c r="J5398" s="668"/>
      <c r="K5398" s="674"/>
      <c r="L5398" s="668"/>
      <c r="M5398" s="668"/>
    </row>
    <row r="5399" spans="5:13">
      <c r="E5399" s="668"/>
      <c r="F5399" s="668"/>
      <c r="G5399" s="668"/>
      <c r="H5399" s="668"/>
      <c r="I5399" s="668"/>
      <c r="J5399" s="668"/>
      <c r="K5399" s="674"/>
      <c r="L5399" s="668"/>
      <c r="M5399" s="668"/>
    </row>
    <row r="5400" spans="5:13">
      <c r="E5400" s="668"/>
      <c r="F5400" s="668"/>
      <c r="G5400" s="668"/>
      <c r="H5400" s="668"/>
      <c r="I5400" s="668"/>
      <c r="J5400" s="668"/>
      <c r="K5400" s="674"/>
      <c r="L5400" s="668"/>
      <c r="M5400" s="668"/>
    </row>
    <row r="5401" spans="5:13">
      <c r="E5401" s="668"/>
      <c r="F5401" s="668"/>
      <c r="G5401" s="668"/>
      <c r="H5401" s="668"/>
      <c r="I5401" s="668"/>
      <c r="J5401" s="668"/>
      <c r="K5401" s="674"/>
      <c r="L5401" s="668"/>
      <c r="M5401" s="668"/>
    </row>
    <row r="5402" spans="5:13">
      <c r="E5402" s="668"/>
      <c r="F5402" s="668"/>
      <c r="G5402" s="668"/>
      <c r="H5402" s="668"/>
      <c r="I5402" s="668"/>
      <c r="J5402" s="668"/>
      <c r="K5402" s="674"/>
      <c r="L5402" s="668"/>
      <c r="M5402" s="668"/>
    </row>
    <row r="5403" spans="5:13">
      <c r="E5403" s="668"/>
      <c r="F5403" s="668"/>
      <c r="G5403" s="668"/>
      <c r="H5403" s="668"/>
      <c r="I5403" s="668"/>
      <c r="J5403" s="668"/>
      <c r="K5403" s="674"/>
      <c r="L5403" s="668"/>
      <c r="M5403" s="668"/>
    </row>
    <row r="5404" spans="5:13">
      <c r="E5404" s="668"/>
      <c r="F5404" s="668"/>
      <c r="G5404" s="668"/>
      <c r="H5404" s="668"/>
      <c r="I5404" s="668"/>
      <c r="J5404" s="668"/>
      <c r="K5404" s="674"/>
      <c r="L5404" s="668"/>
      <c r="M5404" s="668"/>
    </row>
    <row r="5405" spans="5:13">
      <c r="E5405" s="668"/>
      <c r="F5405" s="668"/>
      <c r="G5405" s="668"/>
      <c r="H5405" s="668"/>
      <c r="I5405" s="668"/>
      <c r="J5405" s="668"/>
      <c r="K5405" s="674"/>
      <c r="L5405" s="668"/>
      <c r="M5405" s="668"/>
    </row>
    <row r="5406" spans="5:13">
      <c r="E5406" s="668"/>
      <c r="F5406" s="668"/>
      <c r="G5406" s="668"/>
      <c r="H5406" s="668"/>
      <c r="I5406" s="668"/>
      <c r="J5406" s="668"/>
      <c r="K5406" s="674"/>
      <c r="L5406" s="668"/>
      <c r="M5406" s="668"/>
    </row>
    <row r="5407" spans="5:13">
      <c r="E5407" s="668"/>
      <c r="F5407" s="668"/>
      <c r="G5407" s="668"/>
      <c r="H5407" s="668"/>
      <c r="I5407" s="668"/>
      <c r="J5407" s="668"/>
      <c r="K5407" s="674"/>
      <c r="L5407" s="668"/>
      <c r="M5407" s="668"/>
    </row>
    <row r="5408" spans="5:13">
      <c r="E5408" s="668"/>
      <c r="F5408" s="668"/>
      <c r="G5408" s="668"/>
      <c r="H5408" s="668"/>
      <c r="I5408" s="668"/>
      <c r="J5408" s="668"/>
      <c r="K5408" s="674"/>
      <c r="L5408" s="668"/>
      <c r="M5408" s="668"/>
    </row>
    <row r="5409" spans="5:13">
      <c r="E5409" s="668"/>
      <c r="F5409" s="668"/>
      <c r="G5409" s="668"/>
      <c r="H5409" s="668"/>
      <c r="I5409" s="668"/>
      <c r="J5409" s="668"/>
      <c r="K5409" s="674"/>
      <c r="L5409" s="668"/>
      <c r="M5409" s="668"/>
    </row>
    <row r="5410" spans="5:13">
      <c r="E5410" s="668"/>
      <c r="F5410" s="668"/>
      <c r="G5410" s="668"/>
      <c r="H5410" s="668"/>
      <c r="I5410" s="668"/>
      <c r="J5410" s="668"/>
      <c r="K5410" s="674"/>
      <c r="L5410" s="668"/>
      <c r="M5410" s="668"/>
    </row>
    <row r="5411" spans="5:13">
      <c r="E5411" s="668"/>
      <c r="F5411" s="668"/>
      <c r="G5411" s="668"/>
      <c r="H5411" s="668"/>
      <c r="I5411" s="668"/>
      <c r="J5411" s="668"/>
      <c r="K5411" s="674"/>
      <c r="L5411" s="668"/>
      <c r="M5411" s="668"/>
    </row>
    <row r="5412" spans="5:13">
      <c r="E5412" s="668"/>
      <c r="F5412" s="668"/>
      <c r="G5412" s="668"/>
      <c r="H5412" s="668"/>
      <c r="I5412" s="668"/>
      <c r="J5412" s="668"/>
      <c r="K5412" s="674"/>
      <c r="L5412" s="668"/>
      <c r="M5412" s="668"/>
    </row>
    <row r="5413" spans="5:13">
      <c r="E5413" s="668"/>
      <c r="F5413" s="668"/>
      <c r="G5413" s="668"/>
      <c r="H5413" s="668"/>
      <c r="I5413" s="668"/>
      <c r="J5413" s="668"/>
      <c r="K5413" s="674"/>
      <c r="L5413" s="668"/>
      <c r="M5413" s="668"/>
    </row>
    <row r="5414" spans="5:13">
      <c r="E5414" s="668"/>
      <c r="F5414" s="668"/>
      <c r="G5414" s="668"/>
      <c r="H5414" s="668"/>
      <c r="I5414" s="668"/>
      <c r="J5414" s="668"/>
      <c r="K5414" s="674"/>
      <c r="L5414" s="668"/>
      <c r="M5414" s="668"/>
    </row>
    <row r="5415" spans="5:13">
      <c r="E5415" s="668"/>
      <c r="F5415" s="668"/>
      <c r="G5415" s="668"/>
      <c r="H5415" s="668"/>
      <c r="I5415" s="668"/>
      <c r="J5415" s="668"/>
      <c r="K5415" s="674"/>
      <c r="L5415" s="668"/>
      <c r="M5415" s="668"/>
    </row>
    <row r="5416" spans="5:13">
      <c r="E5416" s="668"/>
      <c r="F5416" s="668"/>
      <c r="G5416" s="668"/>
      <c r="H5416" s="668"/>
      <c r="I5416" s="668"/>
      <c r="J5416" s="668"/>
      <c r="K5416" s="674"/>
      <c r="L5416" s="668"/>
      <c r="M5416" s="668"/>
    </row>
    <row r="5417" spans="5:13">
      <c r="E5417" s="668"/>
      <c r="F5417" s="668"/>
      <c r="G5417" s="668"/>
      <c r="H5417" s="668"/>
      <c r="I5417" s="668"/>
      <c r="J5417" s="668"/>
      <c r="K5417" s="674"/>
      <c r="L5417" s="668"/>
      <c r="M5417" s="668"/>
    </row>
    <row r="5418" spans="5:13">
      <c r="E5418" s="668"/>
      <c r="F5418" s="668"/>
      <c r="G5418" s="668"/>
      <c r="H5418" s="668"/>
      <c r="I5418" s="668"/>
      <c r="J5418" s="668"/>
      <c r="K5418" s="674"/>
      <c r="L5418" s="668"/>
      <c r="M5418" s="668"/>
    </row>
    <row r="5419" spans="5:13">
      <c r="E5419" s="668"/>
      <c r="F5419" s="668"/>
      <c r="G5419" s="668"/>
      <c r="H5419" s="668"/>
      <c r="I5419" s="668"/>
      <c r="J5419" s="668"/>
      <c r="K5419" s="674"/>
      <c r="L5419" s="668"/>
      <c r="M5419" s="668"/>
    </row>
    <row r="5420" spans="5:13">
      <c r="E5420" s="668"/>
      <c r="F5420" s="668"/>
      <c r="G5420" s="668"/>
      <c r="H5420" s="668"/>
      <c r="I5420" s="668"/>
      <c r="J5420" s="668"/>
      <c r="K5420" s="674"/>
      <c r="L5420" s="668"/>
      <c r="M5420" s="668"/>
    </row>
    <row r="5421" spans="5:13">
      <c r="E5421" s="668"/>
      <c r="F5421" s="668"/>
      <c r="G5421" s="668"/>
      <c r="H5421" s="668"/>
      <c r="I5421" s="668"/>
      <c r="J5421" s="668"/>
      <c r="K5421" s="674"/>
      <c r="L5421" s="668"/>
      <c r="M5421" s="668"/>
    </row>
    <row r="5422" spans="5:13">
      <c r="E5422" s="668"/>
      <c r="F5422" s="668"/>
      <c r="G5422" s="668"/>
      <c r="H5422" s="668"/>
      <c r="I5422" s="668"/>
      <c r="J5422" s="668"/>
      <c r="K5422" s="674"/>
      <c r="L5422" s="668"/>
      <c r="M5422" s="668"/>
    </row>
    <row r="5423" spans="5:13">
      <c r="E5423" s="668"/>
      <c r="F5423" s="668"/>
      <c r="G5423" s="668"/>
      <c r="H5423" s="668"/>
      <c r="I5423" s="668"/>
      <c r="J5423" s="668"/>
      <c r="K5423" s="674"/>
      <c r="L5423" s="668"/>
      <c r="M5423" s="668"/>
    </row>
    <row r="5424" spans="5:13">
      <c r="E5424" s="668"/>
      <c r="F5424" s="668"/>
      <c r="G5424" s="668"/>
      <c r="H5424" s="668"/>
      <c r="I5424" s="668"/>
      <c r="J5424" s="668"/>
      <c r="K5424" s="674"/>
      <c r="L5424" s="668"/>
      <c r="M5424" s="668"/>
    </row>
    <row r="5425" spans="5:13">
      <c r="E5425" s="668"/>
      <c r="F5425" s="668"/>
      <c r="G5425" s="668"/>
      <c r="H5425" s="668"/>
      <c r="I5425" s="668"/>
      <c r="J5425" s="668"/>
      <c r="K5425" s="674"/>
      <c r="L5425" s="668"/>
      <c r="M5425" s="668"/>
    </row>
    <row r="5426" spans="5:13">
      <c r="E5426" s="668"/>
      <c r="F5426" s="668"/>
      <c r="G5426" s="668"/>
      <c r="H5426" s="668"/>
      <c r="I5426" s="668"/>
      <c r="J5426" s="668"/>
      <c r="K5426" s="674"/>
      <c r="L5426" s="668"/>
      <c r="M5426" s="668"/>
    </row>
    <row r="5427" spans="5:13">
      <c r="E5427" s="668"/>
      <c r="F5427" s="668"/>
      <c r="G5427" s="668"/>
      <c r="H5427" s="668"/>
      <c r="I5427" s="668"/>
      <c r="J5427" s="668"/>
      <c r="K5427" s="674"/>
      <c r="L5427" s="668"/>
      <c r="M5427" s="668"/>
    </row>
    <row r="5428" spans="5:13">
      <c r="E5428" s="668"/>
      <c r="F5428" s="668"/>
      <c r="G5428" s="668"/>
      <c r="H5428" s="668"/>
      <c r="I5428" s="668"/>
      <c r="J5428" s="668"/>
      <c r="K5428" s="674"/>
      <c r="L5428" s="668"/>
      <c r="M5428" s="668"/>
    </row>
    <row r="5429" spans="5:13">
      <c r="E5429" s="668"/>
      <c r="F5429" s="668"/>
      <c r="G5429" s="668"/>
      <c r="H5429" s="668"/>
      <c r="I5429" s="668"/>
      <c r="J5429" s="668"/>
      <c r="K5429" s="674"/>
      <c r="L5429" s="668"/>
      <c r="M5429" s="668"/>
    </row>
    <row r="5430" spans="5:13">
      <c r="E5430" s="668"/>
      <c r="F5430" s="668"/>
      <c r="G5430" s="668"/>
      <c r="H5430" s="668"/>
      <c r="I5430" s="668"/>
      <c r="J5430" s="668"/>
      <c r="K5430" s="674"/>
      <c r="L5430" s="668"/>
      <c r="M5430" s="668"/>
    </row>
    <row r="5431" spans="5:13">
      <c r="E5431" s="668"/>
      <c r="F5431" s="668"/>
      <c r="G5431" s="668"/>
      <c r="H5431" s="668"/>
      <c r="I5431" s="668"/>
      <c r="J5431" s="668"/>
      <c r="K5431" s="674"/>
      <c r="L5431" s="668"/>
      <c r="M5431" s="668"/>
    </row>
    <row r="5432" spans="5:13">
      <c r="E5432" s="668"/>
      <c r="F5432" s="668"/>
      <c r="G5432" s="668"/>
      <c r="H5432" s="668"/>
      <c r="I5432" s="668"/>
      <c r="J5432" s="668"/>
      <c r="K5432" s="674"/>
      <c r="L5432" s="668"/>
      <c r="M5432" s="668"/>
    </row>
    <row r="5433" spans="5:13">
      <c r="E5433" s="668"/>
      <c r="F5433" s="668"/>
      <c r="G5433" s="668"/>
      <c r="H5433" s="668"/>
      <c r="I5433" s="668"/>
      <c r="J5433" s="668"/>
      <c r="K5433" s="674"/>
      <c r="L5433" s="668"/>
      <c r="M5433" s="668"/>
    </row>
    <row r="5434" spans="5:13">
      <c r="E5434" s="668"/>
      <c r="F5434" s="668"/>
      <c r="G5434" s="668"/>
      <c r="H5434" s="668"/>
      <c r="I5434" s="668"/>
      <c r="J5434" s="668"/>
      <c r="K5434" s="674"/>
      <c r="L5434" s="668"/>
      <c r="M5434" s="668"/>
    </row>
    <row r="5435" spans="5:13">
      <c r="E5435" s="668"/>
      <c r="F5435" s="668"/>
      <c r="G5435" s="668"/>
      <c r="H5435" s="668"/>
      <c r="I5435" s="668"/>
      <c r="J5435" s="668"/>
      <c r="K5435" s="674"/>
      <c r="L5435" s="668"/>
      <c r="M5435" s="668"/>
    </row>
    <row r="5436" spans="5:13">
      <c r="E5436" s="668"/>
      <c r="F5436" s="668"/>
      <c r="G5436" s="668"/>
      <c r="H5436" s="668"/>
      <c r="I5436" s="668"/>
      <c r="J5436" s="668"/>
      <c r="K5436" s="674"/>
      <c r="L5436" s="668"/>
      <c r="M5436" s="668"/>
    </row>
    <row r="5437" spans="5:13">
      <c r="E5437" s="668"/>
      <c r="F5437" s="668"/>
      <c r="G5437" s="668"/>
      <c r="H5437" s="668"/>
      <c r="I5437" s="668"/>
      <c r="J5437" s="668"/>
      <c r="K5437" s="674"/>
      <c r="L5437" s="668"/>
      <c r="M5437" s="668"/>
    </row>
    <row r="5438" spans="5:13">
      <c r="E5438" s="668"/>
      <c r="F5438" s="668"/>
      <c r="G5438" s="668"/>
      <c r="H5438" s="668"/>
      <c r="I5438" s="668"/>
      <c r="J5438" s="668"/>
      <c r="K5438" s="674"/>
      <c r="L5438" s="668"/>
      <c r="M5438" s="668"/>
    </row>
    <row r="5439" spans="5:13">
      <c r="E5439" s="668"/>
      <c r="F5439" s="668"/>
      <c r="G5439" s="668"/>
      <c r="H5439" s="668"/>
      <c r="I5439" s="668"/>
      <c r="J5439" s="668"/>
      <c r="K5439" s="674"/>
      <c r="L5439" s="668"/>
      <c r="M5439" s="668"/>
    </row>
    <row r="5440" spans="5:13">
      <c r="E5440" s="668"/>
      <c r="F5440" s="668"/>
      <c r="G5440" s="668"/>
      <c r="H5440" s="668"/>
      <c r="I5440" s="668"/>
      <c r="J5440" s="668"/>
      <c r="K5440" s="674"/>
      <c r="L5440" s="668"/>
      <c r="M5440" s="668"/>
    </row>
    <row r="5441" spans="5:13">
      <c r="E5441" s="668"/>
      <c r="F5441" s="668"/>
      <c r="G5441" s="668"/>
      <c r="H5441" s="668"/>
      <c r="I5441" s="668"/>
      <c r="J5441" s="668"/>
      <c r="K5441" s="674"/>
      <c r="L5441" s="668"/>
      <c r="M5441" s="668"/>
    </row>
    <row r="5442" spans="5:13">
      <c r="E5442" s="668"/>
      <c r="F5442" s="668"/>
      <c r="G5442" s="668"/>
      <c r="H5442" s="668"/>
      <c r="I5442" s="668"/>
      <c r="J5442" s="668"/>
      <c r="K5442" s="674"/>
      <c r="L5442" s="668"/>
      <c r="M5442" s="668"/>
    </row>
    <row r="5443" spans="5:13">
      <c r="E5443" s="668"/>
      <c r="F5443" s="668"/>
      <c r="G5443" s="668"/>
      <c r="H5443" s="668"/>
      <c r="I5443" s="668"/>
      <c r="J5443" s="668"/>
      <c r="K5443" s="674"/>
      <c r="L5443" s="668"/>
      <c r="M5443" s="668"/>
    </row>
    <row r="5444" spans="5:13">
      <c r="E5444" s="668"/>
      <c r="F5444" s="668"/>
      <c r="G5444" s="668"/>
      <c r="H5444" s="668"/>
      <c r="I5444" s="668"/>
      <c r="J5444" s="668"/>
      <c r="K5444" s="674"/>
      <c r="L5444" s="668"/>
      <c r="M5444" s="668"/>
    </row>
    <row r="5445" spans="5:13">
      <c r="E5445" s="668"/>
      <c r="F5445" s="668"/>
      <c r="G5445" s="668"/>
      <c r="H5445" s="668"/>
      <c r="I5445" s="668"/>
      <c r="J5445" s="668"/>
      <c r="K5445" s="674"/>
      <c r="L5445" s="668"/>
      <c r="M5445" s="668"/>
    </row>
    <row r="5446" spans="5:13">
      <c r="E5446" s="668"/>
      <c r="F5446" s="668"/>
      <c r="G5446" s="668"/>
      <c r="H5446" s="668"/>
      <c r="I5446" s="668"/>
      <c r="J5446" s="668"/>
      <c r="K5446" s="674"/>
      <c r="L5446" s="668"/>
      <c r="M5446" s="668"/>
    </row>
    <row r="5447" spans="5:13">
      <c r="E5447" s="668"/>
      <c r="F5447" s="668"/>
      <c r="G5447" s="668"/>
      <c r="H5447" s="668"/>
      <c r="I5447" s="668"/>
      <c r="J5447" s="668"/>
      <c r="K5447" s="674"/>
      <c r="L5447" s="668"/>
      <c r="M5447" s="668"/>
    </row>
    <row r="5448" spans="5:13">
      <c r="E5448" s="668"/>
      <c r="F5448" s="668"/>
      <c r="G5448" s="668"/>
      <c r="H5448" s="668"/>
      <c r="I5448" s="668"/>
      <c r="J5448" s="668"/>
      <c r="K5448" s="674"/>
      <c r="L5448" s="668"/>
      <c r="M5448" s="668"/>
    </row>
    <row r="5449" spans="5:13">
      <c r="E5449" s="668"/>
      <c r="F5449" s="668"/>
      <c r="G5449" s="668"/>
      <c r="H5449" s="668"/>
      <c r="I5449" s="668"/>
      <c r="J5449" s="668"/>
      <c r="K5449" s="674"/>
      <c r="L5449" s="668"/>
      <c r="M5449" s="668"/>
    </row>
    <row r="5450" spans="5:13">
      <c r="E5450" s="668"/>
      <c r="F5450" s="668"/>
      <c r="G5450" s="668"/>
      <c r="H5450" s="668"/>
      <c r="I5450" s="668"/>
      <c r="J5450" s="668"/>
      <c r="K5450" s="674"/>
      <c r="L5450" s="668"/>
      <c r="M5450" s="668"/>
    </row>
    <row r="5451" spans="5:13">
      <c r="E5451" s="668"/>
      <c r="F5451" s="668"/>
      <c r="G5451" s="668"/>
      <c r="H5451" s="668"/>
      <c r="I5451" s="668"/>
      <c r="J5451" s="668"/>
      <c r="K5451" s="674"/>
      <c r="L5451" s="668"/>
      <c r="M5451" s="668"/>
    </row>
    <row r="5452" spans="5:13">
      <c r="E5452" s="668"/>
      <c r="F5452" s="668"/>
      <c r="G5452" s="668"/>
      <c r="H5452" s="668"/>
      <c r="I5452" s="668"/>
      <c r="J5452" s="668"/>
      <c r="K5452" s="674"/>
      <c r="L5452" s="668"/>
      <c r="M5452" s="668"/>
    </row>
    <row r="5453" spans="5:13">
      <c r="E5453" s="668"/>
      <c r="F5453" s="668"/>
      <c r="G5453" s="668"/>
      <c r="H5453" s="668"/>
      <c r="I5453" s="668"/>
      <c r="J5453" s="668"/>
      <c r="K5453" s="674"/>
      <c r="L5453" s="668"/>
      <c r="M5453" s="668"/>
    </row>
    <row r="5454" spans="5:13">
      <c r="E5454" s="668"/>
      <c r="F5454" s="668"/>
      <c r="G5454" s="668"/>
      <c r="H5454" s="668"/>
      <c r="I5454" s="668"/>
      <c r="J5454" s="668"/>
      <c r="K5454" s="674"/>
      <c r="L5454" s="668"/>
      <c r="M5454" s="668"/>
    </row>
    <row r="5455" spans="5:13">
      <c r="E5455" s="668"/>
      <c r="F5455" s="668"/>
      <c r="G5455" s="668"/>
      <c r="H5455" s="668"/>
      <c r="I5455" s="668"/>
      <c r="J5455" s="668"/>
      <c r="K5455" s="674"/>
      <c r="L5455" s="668"/>
      <c r="M5455" s="668"/>
    </row>
    <row r="5456" spans="5:13">
      <c r="E5456" s="668"/>
      <c r="F5456" s="668"/>
      <c r="G5456" s="668"/>
      <c r="H5456" s="668"/>
      <c r="I5456" s="668"/>
      <c r="J5456" s="668"/>
      <c r="K5456" s="674"/>
      <c r="L5456" s="668"/>
      <c r="M5456" s="668"/>
    </row>
    <row r="5457" spans="5:13">
      <c r="E5457" s="668"/>
      <c r="F5457" s="668"/>
      <c r="G5457" s="668"/>
      <c r="H5457" s="668"/>
      <c r="I5457" s="668"/>
      <c r="J5457" s="668"/>
      <c r="K5457" s="674"/>
      <c r="L5457" s="668"/>
      <c r="M5457" s="668"/>
    </row>
    <row r="5458" spans="5:13">
      <c r="E5458" s="668"/>
      <c r="F5458" s="668"/>
      <c r="G5458" s="668"/>
      <c r="H5458" s="668"/>
      <c r="I5458" s="668"/>
      <c r="J5458" s="668"/>
      <c r="K5458" s="674"/>
      <c r="L5458" s="668"/>
      <c r="M5458" s="668"/>
    </row>
    <row r="5459" spans="5:13">
      <c r="E5459" s="668"/>
      <c r="F5459" s="668"/>
      <c r="G5459" s="668"/>
      <c r="H5459" s="668"/>
      <c r="I5459" s="668"/>
      <c r="J5459" s="668"/>
      <c r="K5459" s="674"/>
      <c r="L5459" s="668"/>
      <c r="M5459" s="668"/>
    </row>
    <row r="5460" spans="5:13">
      <c r="E5460" s="668"/>
      <c r="F5460" s="668"/>
      <c r="G5460" s="668"/>
      <c r="H5460" s="668"/>
      <c r="I5460" s="668"/>
      <c r="J5460" s="668"/>
      <c r="K5460" s="674"/>
      <c r="L5460" s="668"/>
      <c r="M5460" s="668"/>
    </row>
    <row r="5461" spans="5:13">
      <c r="E5461" s="668"/>
      <c r="F5461" s="668"/>
      <c r="G5461" s="668"/>
      <c r="H5461" s="668"/>
      <c r="I5461" s="668"/>
      <c r="J5461" s="668"/>
      <c r="K5461" s="674"/>
      <c r="L5461" s="668"/>
      <c r="M5461" s="668"/>
    </row>
    <row r="5462" spans="5:13">
      <c r="E5462" s="668"/>
      <c r="F5462" s="668"/>
      <c r="G5462" s="668"/>
      <c r="H5462" s="668"/>
      <c r="I5462" s="668"/>
      <c r="J5462" s="668"/>
      <c r="K5462" s="674"/>
      <c r="L5462" s="668"/>
      <c r="M5462" s="668"/>
    </row>
    <row r="5463" spans="5:13">
      <c r="E5463" s="668"/>
      <c r="F5463" s="668"/>
      <c r="G5463" s="668"/>
      <c r="H5463" s="668"/>
      <c r="I5463" s="668"/>
      <c r="J5463" s="668"/>
      <c r="K5463" s="674"/>
      <c r="L5463" s="668"/>
      <c r="M5463" s="668"/>
    </row>
    <row r="5464" spans="5:13">
      <c r="E5464" s="668"/>
      <c r="F5464" s="668"/>
      <c r="G5464" s="668"/>
      <c r="H5464" s="668"/>
      <c r="I5464" s="668"/>
      <c r="J5464" s="668"/>
      <c r="K5464" s="674"/>
      <c r="L5464" s="668"/>
      <c r="M5464" s="668"/>
    </row>
    <row r="5465" spans="5:13">
      <c r="E5465" s="668"/>
      <c r="F5465" s="668"/>
      <c r="G5465" s="668"/>
      <c r="H5465" s="668"/>
      <c r="I5465" s="668"/>
      <c r="J5465" s="668"/>
      <c r="K5465" s="674"/>
      <c r="L5465" s="668"/>
      <c r="M5465" s="668"/>
    </row>
    <row r="5466" spans="5:13">
      <c r="E5466" s="668"/>
      <c r="F5466" s="668"/>
      <c r="G5466" s="668"/>
      <c r="H5466" s="668"/>
      <c r="I5466" s="668"/>
      <c r="J5466" s="668"/>
      <c r="K5466" s="674"/>
      <c r="L5466" s="668"/>
      <c r="M5466" s="668"/>
    </row>
    <row r="5467" spans="5:13">
      <c r="E5467" s="668"/>
      <c r="F5467" s="668"/>
      <c r="G5467" s="668"/>
      <c r="H5467" s="668"/>
      <c r="I5467" s="668"/>
      <c r="J5467" s="668"/>
      <c r="K5467" s="674"/>
      <c r="L5467" s="668"/>
      <c r="M5467" s="668"/>
    </row>
    <row r="5468" spans="5:13">
      <c r="E5468" s="668"/>
      <c r="F5468" s="668"/>
      <c r="G5468" s="668"/>
      <c r="H5468" s="668"/>
      <c r="I5468" s="668"/>
      <c r="J5468" s="668"/>
      <c r="K5468" s="674"/>
      <c r="L5468" s="668"/>
      <c r="M5468" s="668"/>
    </row>
    <row r="5469" spans="5:13">
      <c r="E5469" s="668"/>
      <c r="F5469" s="668"/>
      <c r="G5469" s="668"/>
      <c r="H5469" s="668"/>
      <c r="I5469" s="668"/>
      <c r="J5469" s="668"/>
      <c r="K5469" s="674"/>
      <c r="L5469" s="668"/>
      <c r="M5469" s="668"/>
    </row>
    <row r="5470" spans="5:13">
      <c r="E5470" s="668"/>
      <c r="F5470" s="668"/>
      <c r="G5470" s="668"/>
      <c r="H5470" s="668"/>
      <c r="I5470" s="668"/>
      <c r="J5470" s="668"/>
      <c r="K5470" s="674"/>
      <c r="L5470" s="668"/>
      <c r="M5470" s="668"/>
    </row>
    <row r="5471" spans="5:13">
      <c r="E5471" s="668"/>
      <c r="F5471" s="668"/>
      <c r="G5471" s="668"/>
      <c r="H5471" s="668"/>
      <c r="I5471" s="668"/>
      <c r="J5471" s="668"/>
      <c r="K5471" s="674"/>
      <c r="L5471" s="668"/>
      <c r="M5471" s="668"/>
    </row>
    <row r="5472" spans="5:13">
      <c r="E5472" s="668"/>
      <c r="F5472" s="668"/>
      <c r="G5472" s="668"/>
      <c r="H5472" s="668"/>
      <c r="I5472" s="668"/>
      <c r="J5472" s="668"/>
      <c r="K5472" s="674"/>
      <c r="L5472" s="668"/>
      <c r="M5472" s="668"/>
    </row>
    <row r="5473" spans="5:13">
      <c r="E5473" s="668"/>
      <c r="F5473" s="668"/>
      <c r="G5473" s="668"/>
      <c r="H5473" s="668"/>
      <c r="I5473" s="668"/>
      <c r="J5473" s="668"/>
      <c r="K5473" s="674"/>
      <c r="L5473" s="668"/>
      <c r="M5473" s="668"/>
    </row>
    <row r="5474" spans="5:13">
      <c r="E5474" s="668"/>
      <c r="F5474" s="668"/>
      <c r="G5474" s="668"/>
      <c r="H5474" s="668"/>
      <c r="I5474" s="668"/>
      <c r="J5474" s="668"/>
      <c r="K5474" s="674"/>
      <c r="L5474" s="668"/>
      <c r="M5474" s="668"/>
    </row>
    <row r="5475" spans="5:13">
      <c r="E5475" s="668"/>
      <c r="F5475" s="668"/>
      <c r="G5475" s="668"/>
      <c r="H5475" s="668"/>
      <c r="I5475" s="668"/>
      <c r="J5475" s="668"/>
      <c r="K5475" s="674"/>
      <c r="L5475" s="668"/>
      <c r="M5475" s="668"/>
    </row>
    <row r="5476" spans="5:13">
      <c r="E5476" s="668"/>
      <c r="F5476" s="668"/>
      <c r="G5476" s="668"/>
      <c r="H5476" s="668"/>
      <c r="I5476" s="668"/>
      <c r="J5476" s="668"/>
      <c r="K5476" s="674"/>
      <c r="L5476" s="668"/>
      <c r="M5476" s="668"/>
    </row>
    <row r="5477" spans="5:13">
      <c r="E5477" s="668"/>
      <c r="F5477" s="668"/>
      <c r="G5477" s="668"/>
      <c r="H5477" s="668"/>
      <c r="I5477" s="668"/>
      <c r="J5477" s="668"/>
      <c r="K5477" s="674"/>
      <c r="L5477" s="668"/>
      <c r="M5477" s="668"/>
    </row>
    <row r="5478" spans="5:13">
      <c r="E5478" s="668"/>
      <c r="F5478" s="668"/>
      <c r="G5478" s="668"/>
      <c r="H5478" s="668"/>
      <c r="I5478" s="668"/>
      <c r="J5478" s="668"/>
      <c r="K5478" s="674"/>
      <c r="L5478" s="668"/>
      <c r="M5478" s="668"/>
    </row>
    <row r="5479" spans="5:13">
      <c r="E5479" s="668"/>
      <c r="F5479" s="668"/>
      <c r="G5479" s="668"/>
      <c r="H5479" s="668"/>
      <c r="I5479" s="668"/>
      <c r="J5479" s="668"/>
      <c r="K5479" s="674"/>
      <c r="L5479" s="668"/>
      <c r="M5479" s="668"/>
    </row>
    <row r="5480" spans="5:13">
      <c r="E5480" s="668"/>
      <c r="F5480" s="668"/>
      <c r="G5480" s="668"/>
      <c r="H5480" s="668"/>
      <c r="I5480" s="668"/>
      <c r="J5480" s="668"/>
      <c r="K5480" s="674"/>
      <c r="L5480" s="668"/>
      <c r="M5480" s="668"/>
    </row>
    <row r="5481" spans="5:13">
      <c r="E5481" s="668"/>
      <c r="F5481" s="668"/>
      <c r="G5481" s="668"/>
      <c r="H5481" s="668"/>
      <c r="I5481" s="668"/>
      <c r="J5481" s="668"/>
      <c r="K5481" s="674"/>
      <c r="L5481" s="668"/>
      <c r="M5481" s="668"/>
    </row>
    <row r="5482" spans="5:13">
      <c r="E5482" s="668"/>
      <c r="F5482" s="668"/>
      <c r="G5482" s="668"/>
      <c r="H5482" s="668"/>
      <c r="I5482" s="668"/>
      <c r="J5482" s="668"/>
      <c r="K5482" s="674"/>
      <c r="L5482" s="668"/>
      <c r="M5482" s="668"/>
    </row>
    <row r="5483" spans="5:13">
      <c r="E5483" s="668"/>
      <c r="F5483" s="668"/>
      <c r="G5483" s="668"/>
      <c r="H5483" s="668"/>
      <c r="I5483" s="668"/>
      <c r="J5483" s="668"/>
      <c r="K5483" s="674"/>
      <c r="L5483" s="668"/>
      <c r="M5483" s="668"/>
    </row>
    <row r="5484" spans="5:13">
      <c r="E5484" s="668"/>
      <c r="F5484" s="668"/>
      <c r="G5484" s="668"/>
      <c r="H5484" s="668"/>
      <c r="I5484" s="668"/>
      <c r="J5484" s="668"/>
      <c r="K5484" s="674"/>
      <c r="L5484" s="668"/>
      <c r="M5484" s="668"/>
    </row>
    <row r="5485" spans="5:13">
      <c r="E5485" s="668"/>
      <c r="F5485" s="668"/>
      <c r="G5485" s="668"/>
      <c r="H5485" s="668"/>
      <c r="I5485" s="668"/>
      <c r="J5485" s="668"/>
      <c r="K5485" s="674"/>
      <c r="L5485" s="668"/>
      <c r="M5485" s="668"/>
    </row>
    <row r="5486" spans="5:13">
      <c r="E5486" s="668"/>
      <c r="F5486" s="668"/>
      <c r="G5486" s="668"/>
      <c r="H5486" s="668"/>
      <c r="I5486" s="668"/>
      <c r="J5486" s="668"/>
      <c r="K5486" s="674"/>
      <c r="L5486" s="668"/>
      <c r="M5486" s="668"/>
    </row>
    <row r="5487" spans="5:13">
      <c r="E5487" s="668"/>
      <c r="F5487" s="668"/>
      <c r="G5487" s="668"/>
      <c r="H5487" s="668"/>
      <c r="I5487" s="668"/>
      <c r="J5487" s="668"/>
      <c r="K5487" s="674"/>
      <c r="L5487" s="668"/>
      <c r="M5487" s="668"/>
    </row>
    <row r="5488" spans="5:13">
      <c r="E5488" s="668"/>
      <c r="F5488" s="668"/>
      <c r="G5488" s="668"/>
      <c r="H5488" s="668"/>
      <c r="I5488" s="668"/>
      <c r="J5488" s="668"/>
      <c r="K5488" s="674"/>
      <c r="L5488" s="668"/>
      <c r="M5488" s="668"/>
    </row>
    <row r="5489" spans="5:13">
      <c r="E5489" s="668"/>
      <c r="F5489" s="668"/>
      <c r="G5489" s="668"/>
      <c r="H5489" s="668"/>
      <c r="I5489" s="668"/>
      <c r="J5489" s="668"/>
      <c r="K5489" s="674"/>
      <c r="L5489" s="668"/>
      <c r="M5489" s="668"/>
    </row>
    <row r="5490" spans="5:13">
      <c r="E5490" s="668"/>
      <c r="F5490" s="668"/>
      <c r="G5490" s="668"/>
      <c r="H5490" s="668"/>
      <c r="I5490" s="668"/>
      <c r="J5490" s="668"/>
      <c r="K5490" s="674"/>
      <c r="L5490" s="668"/>
      <c r="M5490" s="668"/>
    </row>
    <row r="5491" spans="5:13">
      <c r="E5491" s="668"/>
      <c r="F5491" s="668"/>
      <c r="G5491" s="668"/>
      <c r="H5491" s="668"/>
      <c r="I5491" s="668"/>
      <c r="J5491" s="668"/>
      <c r="K5491" s="674"/>
      <c r="L5491" s="668"/>
      <c r="M5491" s="668"/>
    </row>
    <row r="5492" spans="5:13">
      <c r="E5492" s="668"/>
      <c r="F5492" s="668"/>
      <c r="G5492" s="668"/>
      <c r="H5492" s="668"/>
      <c r="I5492" s="668"/>
      <c r="J5492" s="668"/>
      <c r="K5492" s="674"/>
      <c r="L5492" s="668"/>
      <c r="M5492" s="668"/>
    </row>
    <row r="5493" spans="5:13">
      <c r="E5493" s="668"/>
      <c r="F5493" s="668"/>
      <c r="G5493" s="668"/>
      <c r="H5493" s="668"/>
      <c r="I5493" s="668"/>
      <c r="J5493" s="668"/>
      <c r="K5493" s="674"/>
      <c r="L5493" s="668"/>
      <c r="M5493" s="668"/>
    </row>
    <row r="5494" spans="5:13">
      <c r="E5494" s="668"/>
      <c r="F5494" s="668"/>
      <c r="G5494" s="668"/>
      <c r="H5494" s="668"/>
      <c r="I5494" s="668"/>
      <c r="J5494" s="668"/>
      <c r="K5494" s="674"/>
      <c r="L5494" s="668"/>
      <c r="M5494" s="668"/>
    </row>
    <row r="5495" spans="5:13">
      <c r="E5495" s="668"/>
      <c r="F5495" s="668"/>
      <c r="G5495" s="668"/>
      <c r="H5495" s="668"/>
      <c r="I5495" s="668"/>
      <c r="J5495" s="668"/>
      <c r="K5495" s="674"/>
      <c r="L5495" s="668"/>
      <c r="M5495" s="668"/>
    </row>
    <row r="5496" spans="5:13">
      <c r="E5496" s="668"/>
      <c r="F5496" s="668"/>
      <c r="G5496" s="668"/>
      <c r="H5496" s="668"/>
      <c r="I5496" s="668"/>
      <c r="J5496" s="668"/>
      <c r="K5496" s="674"/>
      <c r="L5496" s="668"/>
      <c r="M5496" s="668"/>
    </row>
    <row r="5497" spans="5:13">
      <c r="E5497" s="668"/>
      <c r="F5497" s="668"/>
      <c r="G5497" s="668"/>
      <c r="H5497" s="668"/>
      <c r="I5497" s="668"/>
      <c r="J5497" s="668"/>
      <c r="K5497" s="674"/>
      <c r="L5497" s="668"/>
      <c r="M5497" s="668"/>
    </row>
    <row r="5498" spans="5:13">
      <c r="E5498" s="668"/>
      <c r="F5498" s="668"/>
      <c r="G5498" s="668"/>
      <c r="H5498" s="668"/>
      <c r="I5498" s="668"/>
      <c r="J5498" s="668"/>
      <c r="K5498" s="674"/>
      <c r="L5498" s="668"/>
      <c r="M5498" s="668"/>
    </row>
    <row r="5499" spans="5:13">
      <c r="E5499" s="668"/>
      <c r="F5499" s="668"/>
      <c r="G5499" s="668"/>
      <c r="H5499" s="668"/>
      <c r="I5499" s="668"/>
      <c r="J5499" s="668"/>
      <c r="K5499" s="674"/>
      <c r="L5499" s="668"/>
      <c r="M5499" s="668"/>
    </row>
    <row r="5500" spans="5:13">
      <c r="E5500" s="668"/>
      <c r="F5500" s="668"/>
      <c r="G5500" s="668"/>
      <c r="H5500" s="668"/>
      <c r="I5500" s="668"/>
      <c r="J5500" s="668"/>
      <c r="K5500" s="674"/>
      <c r="L5500" s="668"/>
      <c r="M5500" s="668"/>
    </row>
    <row r="5501" spans="5:13">
      <c r="E5501" s="668"/>
      <c r="F5501" s="668"/>
      <c r="G5501" s="668"/>
      <c r="H5501" s="668"/>
      <c r="I5501" s="668"/>
      <c r="J5501" s="668"/>
      <c r="K5501" s="674"/>
      <c r="L5501" s="668"/>
      <c r="M5501" s="668"/>
    </row>
    <row r="5502" spans="5:13">
      <c r="E5502" s="668"/>
      <c r="F5502" s="668"/>
      <c r="G5502" s="668"/>
      <c r="H5502" s="668"/>
      <c r="I5502" s="668"/>
      <c r="J5502" s="668"/>
      <c r="K5502" s="674"/>
      <c r="L5502" s="668"/>
      <c r="M5502" s="668"/>
    </row>
    <row r="5503" spans="5:13">
      <c r="E5503" s="668"/>
      <c r="F5503" s="668"/>
      <c r="G5503" s="668"/>
      <c r="H5503" s="668"/>
      <c r="I5503" s="668"/>
      <c r="J5503" s="668"/>
      <c r="K5503" s="674"/>
      <c r="L5503" s="668"/>
      <c r="M5503" s="668"/>
    </row>
    <row r="5504" spans="5:13">
      <c r="E5504" s="668"/>
      <c r="F5504" s="668"/>
      <c r="G5504" s="668"/>
      <c r="H5504" s="668"/>
      <c r="I5504" s="668"/>
      <c r="J5504" s="668"/>
      <c r="K5504" s="674"/>
      <c r="L5504" s="668"/>
      <c r="M5504" s="668"/>
    </row>
    <row r="5505" spans="5:13">
      <c r="E5505" s="668"/>
      <c r="F5505" s="668"/>
      <c r="G5505" s="668"/>
      <c r="H5505" s="668"/>
      <c r="I5505" s="668"/>
      <c r="J5505" s="668"/>
      <c r="K5505" s="674"/>
      <c r="L5505" s="668"/>
      <c r="M5505" s="668"/>
    </row>
    <row r="5506" spans="5:13">
      <c r="E5506" s="668"/>
      <c r="F5506" s="668"/>
      <c r="G5506" s="668"/>
      <c r="H5506" s="668"/>
      <c r="I5506" s="668"/>
      <c r="J5506" s="668"/>
      <c r="K5506" s="674"/>
      <c r="L5506" s="668"/>
      <c r="M5506" s="668"/>
    </row>
    <row r="5507" spans="5:13">
      <c r="E5507" s="668"/>
      <c r="F5507" s="668"/>
      <c r="G5507" s="668"/>
      <c r="H5507" s="668"/>
      <c r="I5507" s="668"/>
      <c r="J5507" s="668"/>
      <c r="K5507" s="674"/>
      <c r="L5507" s="668"/>
      <c r="M5507" s="668"/>
    </row>
    <row r="5508" spans="5:13">
      <c r="E5508" s="668"/>
      <c r="F5508" s="668"/>
      <c r="G5508" s="668"/>
      <c r="H5508" s="668"/>
      <c r="I5508" s="668"/>
      <c r="J5508" s="668"/>
      <c r="K5508" s="674"/>
      <c r="L5508" s="668"/>
      <c r="M5508" s="668"/>
    </row>
    <row r="5509" spans="5:13">
      <c r="E5509" s="668"/>
      <c r="F5509" s="668"/>
      <c r="G5509" s="668"/>
      <c r="H5509" s="668"/>
      <c r="I5509" s="668"/>
      <c r="J5509" s="668"/>
      <c r="K5509" s="674"/>
      <c r="L5509" s="668"/>
      <c r="M5509" s="668"/>
    </row>
    <row r="5510" spans="5:13">
      <c r="E5510" s="668"/>
      <c r="F5510" s="668"/>
      <c r="G5510" s="668"/>
      <c r="H5510" s="668"/>
      <c r="I5510" s="668"/>
      <c r="J5510" s="668"/>
      <c r="K5510" s="674"/>
      <c r="L5510" s="668"/>
      <c r="M5510" s="668"/>
    </row>
    <row r="5511" spans="5:13">
      <c r="E5511" s="668"/>
      <c r="F5511" s="668"/>
      <c r="G5511" s="668"/>
      <c r="H5511" s="668"/>
      <c r="I5511" s="668"/>
      <c r="J5511" s="668"/>
      <c r="K5511" s="674"/>
      <c r="L5511" s="668"/>
      <c r="M5511" s="668"/>
    </row>
    <row r="5512" spans="5:13">
      <c r="E5512" s="668"/>
      <c r="F5512" s="668"/>
      <c r="G5512" s="668"/>
      <c r="H5512" s="668"/>
      <c r="I5512" s="668"/>
      <c r="J5512" s="668"/>
      <c r="K5512" s="674"/>
      <c r="L5512" s="668"/>
      <c r="M5512" s="668"/>
    </row>
    <row r="5513" spans="5:13">
      <c r="E5513" s="668"/>
      <c r="F5513" s="668"/>
      <c r="G5513" s="668"/>
      <c r="H5513" s="668"/>
      <c r="I5513" s="668"/>
      <c r="J5513" s="668"/>
      <c r="K5513" s="674"/>
      <c r="L5513" s="668"/>
      <c r="M5513" s="668"/>
    </row>
    <row r="5514" spans="5:13">
      <c r="E5514" s="668"/>
      <c r="F5514" s="668"/>
      <c r="G5514" s="668"/>
      <c r="H5514" s="668"/>
      <c r="I5514" s="668"/>
      <c r="J5514" s="668"/>
      <c r="K5514" s="674"/>
      <c r="L5514" s="668"/>
      <c r="M5514" s="668"/>
    </row>
    <row r="5515" spans="5:13">
      <c r="E5515" s="668"/>
      <c r="F5515" s="668"/>
      <c r="G5515" s="668"/>
      <c r="H5515" s="668"/>
      <c r="I5515" s="668"/>
      <c r="J5515" s="668"/>
      <c r="K5515" s="674"/>
      <c r="L5515" s="668"/>
      <c r="M5515" s="668"/>
    </row>
    <row r="5516" spans="5:13">
      <c r="E5516" s="668"/>
      <c r="F5516" s="668"/>
      <c r="G5516" s="668"/>
      <c r="H5516" s="668"/>
      <c r="I5516" s="668"/>
      <c r="J5516" s="668"/>
      <c r="K5516" s="674"/>
      <c r="L5516" s="668"/>
      <c r="M5516" s="668"/>
    </row>
    <row r="5517" spans="5:13">
      <c r="E5517" s="668"/>
      <c r="F5517" s="668"/>
      <c r="G5517" s="668"/>
      <c r="H5517" s="668"/>
      <c r="I5517" s="668"/>
      <c r="J5517" s="668"/>
      <c r="K5517" s="674"/>
      <c r="L5517" s="668"/>
      <c r="M5517" s="668"/>
    </row>
    <row r="5518" spans="5:13">
      <c r="E5518" s="668"/>
      <c r="F5518" s="668"/>
      <c r="G5518" s="668"/>
      <c r="H5518" s="668"/>
      <c r="I5518" s="668"/>
      <c r="J5518" s="668"/>
      <c r="K5518" s="674"/>
      <c r="L5518" s="668"/>
      <c r="M5518" s="668"/>
    </row>
    <row r="5519" spans="5:13">
      <c r="E5519" s="668"/>
      <c r="F5519" s="668"/>
      <c r="G5519" s="668"/>
      <c r="H5519" s="668"/>
      <c r="I5519" s="668"/>
      <c r="J5519" s="668"/>
      <c r="K5519" s="674"/>
      <c r="L5519" s="668"/>
      <c r="M5519" s="668"/>
    </row>
    <row r="5520" spans="5:13">
      <c r="E5520" s="668"/>
      <c r="F5520" s="668"/>
      <c r="G5520" s="668"/>
      <c r="H5520" s="668"/>
      <c r="I5520" s="668"/>
      <c r="J5520" s="668"/>
      <c r="K5520" s="674"/>
      <c r="L5520" s="668"/>
      <c r="M5520" s="668"/>
    </row>
    <row r="5521" spans="5:13">
      <c r="E5521" s="668"/>
      <c r="F5521" s="668"/>
      <c r="G5521" s="668"/>
      <c r="H5521" s="668"/>
      <c r="I5521" s="668"/>
      <c r="J5521" s="668"/>
      <c r="K5521" s="674"/>
      <c r="L5521" s="668"/>
      <c r="M5521" s="668"/>
    </row>
    <row r="5522" spans="5:13">
      <c r="E5522" s="668"/>
      <c r="F5522" s="668"/>
      <c r="G5522" s="668"/>
      <c r="H5522" s="668"/>
      <c r="I5522" s="668"/>
      <c r="J5522" s="668"/>
      <c r="K5522" s="674"/>
      <c r="L5522" s="668"/>
      <c r="M5522" s="668"/>
    </row>
    <row r="5523" spans="5:13">
      <c r="E5523" s="668"/>
      <c r="F5523" s="668"/>
      <c r="G5523" s="668"/>
      <c r="H5523" s="668"/>
      <c r="I5523" s="668"/>
      <c r="J5523" s="668"/>
      <c r="K5523" s="674"/>
      <c r="L5523" s="668"/>
      <c r="M5523" s="668"/>
    </row>
    <row r="5524" spans="5:13">
      <c r="E5524" s="668"/>
      <c r="F5524" s="668"/>
      <c r="G5524" s="668"/>
      <c r="H5524" s="668"/>
      <c r="I5524" s="668"/>
      <c r="J5524" s="668"/>
      <c r="K5524" s="674"/>
      <c r="L5524" s="668"/>
      <c r="M5524" s="668"/>
    </row>
    <row r="5525" spans="5:13">
      <c r="E5525" s="668"/>
      <c r="F5525" s="668"/>
      <c r="G5525" s="668"/>
      <c r="H5525" s="668"/>
      <c r="I5525" s="668"/>
      <c r="J5525" s="668"/>
      <c r="K5525" s="674"/>
      <c r="L5525" s="668"/>
      <c r="M5525" s="668"/>
    </row>
    <row r="5526" spans="5:13">
      <c r="E5526" s="668"/>
      <c r="F5526" s="668"/>
      <c r="G5526" s="668"/>
      <c r="H5526" s="668"/>
      <c r="I5526" s="668"/>
      <c r="J5526" s="668"/>
      <c r="K5526" s="674"/>
      <c r="L5526" s="668"/>
      <c r="M5526" s="668"/>
    </row>
    <row r="5527" spans="5:13">
      <c r="E5527" s="668"/>
      <c r="F5527" s="668"/>
      <c r="G5527" s="668"/>
      <c r="H5527" s="668"/>
      <c r="I5527" s="668"/>
      <c r="J5527" s="668"/>
      <c r="K5527" s="674"/>
      <c r="L5527" s="668"/>
      <c r="M5527" s="668"/>
    </row>
    <row r="5528" spans="5:13">
      <c r="E5528" s="668"/>
      <c r="F5528" s="668"/>
      <c r="G5528" s="668"/>
      <c r="H5528" s="668"/>
      <c r="I5528" s="668"/>
      <c r="J5528" s="668"/>
      <c r="K5528" s="674"/>
      <c r="L5528" s="668"/>
      <c r="M5528" s="668"/>
    </row>
    <row r="5529" spans="5:13">
      <c r="E5529" s="668"/>
      <c r="F5529" s="668"/>
      <c r="G5529" s="668"/>
      <c r="H5529" s="668"/>
      <c r="I5529" s="668"/>
      <c r="J5529" s="668"/>
      <c r="K5529" s="674"/>
      <c r="L5529" s="668"/>
      <c r="M5529" s="668"/>
    </row>
    <row r="5530" spans="5:13">
      <c r="E5530" s="668"/>
      <c r="F5530" s="668"/>
      <c r="G5530" s="668"/>
      <c r="H5530" s="668"/>
      <c r="I5530" s="668"/>
      <c r="J5530" s="668"/>
      <c r="K5530" s="674"/>
      <c r="L5530" s="668"/>
      <c r="M5530" s="668"/>
    </row>
    <row r="5531" spans="5:13">
      <c r="E5531" s="668"/>
      <c r="F5531" s="668"/>
      <c r="G5531" s="668"/>
      <c r="H5531" s="668"/>
      <c r="I5531" s="668"/>
      <c r="J5531" s="668"/>
      <c r="K5531" s="674"/>
      <c r="L5531" s="668"/>
      <c r="M5531" s="668"/>
    </row>
    <row r="5532" spans="5:13">
      <c r="E5532" s="668"/>
      <c r="F5532" s="668"/>
      <c r="G5532" s="668"/>
      <c r="H5532" s="668"/>
      <c r="I5532" s="668"/>
      <c r="J5532" s="668"/>
      <c r="K5532" s="674"/>
      <c r="L5532" s="668"/>
      <c r="M5532" s="668"/>
    </row>
    <row r="5533" spans="5:13">
      <c r="E5533" s="668"/>
      <c r="F5533" s="668"/>
      <c r="G5533" s="668"/>
      <c r="H5533" s="668"/>
      <c r="I5533" s="668"/>
      <c r="J5533" s="668"/>
      <c r="K5533" s="674"/>
      <c r="L5533" s="668"/>
      <c r="M5533" s="668"/>
    </row>
    <row r="5534" spans="5:13">
      <c r="E5534" s="668"/>
      <c r="F5534" s="668"/>
      <c r="G5534" s="668"/>
      <c r="H5534" s="668"/>
      <c r="I5534" s="668"/>
      <c r="J5534" s="668"/>
      <c r="K5534" s="674"/>
      <c r="L5534" s="668"/>
      <c r="M5534" s="668"/>
    </row>
    <row r="5535" spans="5:13">
      <c r="E5535" s="668"/>
      <c r="F5535" s="668"/>
      <c r="G5535" s="668"/>
      <c r="H5535" s="668"/>
      <c r="I5535" s="668"/>
      <c r="J5535" s="668"/>
      <c r="K5535" s="674"/>
      <c r="L5535" s="668"/>
      <c r="M5535" s="668"/>
    </row>
    <row r="5536" spans="5:13">
      <c r="E5536" s="668"/>
      <c r="F5536" s="668"/>
      <c r="G5536" s="668"/>
      <c r="H5536" s="668"/>
      <c r="I5536" s="668"/>
      <c r="J5536" s="668"/>
      <c r="K5536" s="674"/>
      <c r="L5536" s="668"/>
      <c r="M5536" s="668"/>
    </row>
    <row r="5537" spans="5:13">
      <c r="E5537" s="668"/>
      <c r="F5537" s="668"/>
      <c r="G5537" s="668"/>
      <c r="H5537" s="668"/>
      <c r="I5537" s="668"/>
      <c r="J5537" s="668"/>
      <c r="K5537" s="674"/>
      <c r="L5537" s="668"/>
      <c r="M5537" s="668"/>
    </row>
    <row r="5538" spans="5:13">
      <c r="E5538" s="668"/>
      <c r="F5538" s="668"/>
      <c r="G5538" s="668"/>
      <c r="H5538" s="668"/>
      <c r="I5538" s="668"/>
      <c r="J5538" s="668"/>
      <c r="K5538" s="674"/>
      <c r="L5538" s="668"/>
      <c r="M5538" s="668"/>
    </row>
    <row r="5539" spans="5:13">
      <c r="E5539" s="668"/>
      <c r="F5539" s="668"/>
      <c r="G5539" s="668"/>
      <c r="H5539" s="668"/>
      <c r="I5539" s="668"/>
      <c r="J5539" s="668"/>
      <c r="K5539" s="674"/>
      <c r="L5539" s="668"/>
      <c r="M5539" s="668"/>
    </row>
    <row r="5540" spans="5:13">
      <c r="E5540" s="668"/>
      <c r="F5540" s="668"/>
      <c r="G5540" s="668"/>
      <c r="H5540" s="668"/>
      <c r="I5540" s="668"/>
      <c r="J5540" s="668"/>
      <c r="K5540" s="674"/>
      <c r="L5540" s="668"/>
      <c r="M5540" s="668"/>
    </row>
    <row r="5541" spans="5:13">
      <c r="E5541" s="668"/>
      <c r="F5541" s="668"/>
      <c r="G5541" s="668"/>
      <c r="H5541" s="668"/>
      <c r="I5541" s="668"/>
      <c r="J5541" s="668"/>
      <c r="K5541" s="674"/>
      <c r="L5541" s="668"/>
      <c r="M5541" s="668"/>
    </row>
    <row r="5542" spans="5:13">
      <c r="E5542" s="668"/>
      <c r="F5542" s="668"/>
      <c r="G5542" s="668"/>
      <c r="H5542" s="668"/>
      <c r="I5542" s="668"/>
      <c r="J5542" s="668"/>
      <c r="K5542" s="674"/>
      <c r="L5542" s="668"/>
      <c r="M5542" s="668"/>
    </row>
    <row r="5543" spans="5:13">
      <c r="E5543" s="668"/>
      <c r="F5543" s="668"/>
      <c r="G5543" s="668"/>
      <c r="H5543" s="668"/>
      <c r="I5543" s="668"/>
      <c r="J5543" s="668"/>
      <c r="K5543" s="674"/>
      <c r="L5543" s="668"/>
      <c r="M5543" s="668"/>
    </row>
    <row r="5544" spans="5:13">
      <c r="E5544" s="668"/>
      <c r="F5544" s="668"/>
      <c r="G5544" s="668"/>
      <c r="H5544" s="668"/>
      <c r="I5544" s="668"/>
      <c r="J5544" s="668"/>
      <c r="K5544" s="674"/>
      <c r="L5544" s="668"/>
      <c r="M5544" s="668"/>
    </row>
    <row r="5545" spans="5:13">
      <c r="E5545" s="668"/>
      <c r="F5545" s="668"/>
      <c r="G5545" s="668"/>
      <c r="H5545" s="668"/>
      <c r="I5545" s="668"/>
      <c r="J5545" s="668"/>
      <c r="K5545" s="674"/>
      <c r="L5545" s="668"/>
      <c r="M5545" s="668"/>
    </row>
    <row r="5546" spans="5:13">
      <c r="E5546" s="668"/>
      <c r="F5546" s="668"/>
      <c r="G5546" s="668"/>
      <c r="H5546" s="668"/>
      <c r="I5546" s="668"/>
      <c r="J5546" s="668"/>
      <c r="K5546" s="674"/>
      <c r="L5546" s="668"/>
      <c r="M5546" s="668"/>
    </row>
    <row r="5547" spans="5:13">
      <c r="E5547" s="668"/>
      <c r="F5547" s="668"/>
      <c r="G5547" s="668"/>
      <c r="H5547" s="668"/>
      <c r="I5547" s="668"/>
      <c r="J5547" s="668"/>
      <c r="K5547" s="674"/>
      <c r="L5547" s="668"/>
      <c r="M5547" s="668"/>
    </row>
    <row r="5548" spans="5:13">
      <c r="E5548" s="668"/>
      <c r="F5548" s="668"/>
      <c r="G5548" s="668"/>
      <c r="H5548" s="668"/>
      <c r="I5548" s="668"/>
      <c r="J5548" s="668"/>
      <c r="K5548" s="674"/>
      <c r="L5548" s="668"/>
      <c r="M5548" s="668"/>
    </row>
    <row r="5549" spans="5:13">
      <c r="E5549" s="668"/>
      <c r="F5549" s="668"/>
      <c r="G5549" s="668"/>
      <c r="H5549" s="668"/>
      <c r="I5549" s="668"/>
      <c r="J5549" s="668"/>
      <c r="K5549" s="674"/>
      <c r="L5549" s="668"/>
      <c r="M5549" s="668"/>
    </row>
    <row r="5550" spans="5:13">
      <c r="E5550" s="668"/>
      <c r="F5550" s="668"/>
      <c r="G5550" s="668"/>
      <c r="H5550" s="668"/>
      <c r="I5550" s="668"/>
      <c r="J5550" s="668"/>
      <c r="K5550" s="674"/>
      <c r="L5550" s="668"/>
      <c r="M5550" s="668"/>
    </row>
    <row r="5551" spans="5:13">
      <c r="E5551" s="668"/>
      <c r="F5551" s="668"/>
      <c r="G5551" s="668"/>
      <c r="H5551" s="668"/>
      <c r="I5551" s="668"/>
      <c r="J5551" s="668"/>
      <c r="K5551" s="674"/>
      <c r="L5551" s="668"/>
      <c r="M5551" s="668"/>
    </row>
    <row r="5552" spans="5:13">
      <c r="E5552" s="668"/>
      <c r="F5552" s="668"/>
      <c r="G5552" s="668"/>
      <c r="H5552" s="668"/>
      <c r="I5552" s="668"/>
      <c r="J5552" s="668"/>
      <c r="K5552" s="674"/>
      <c r="L5552" s="668"/>
      <c r="M5552" s="668"/>
    </row>
    <row r="5553" spans="5:13">
      <c r="E5553" s="668"/>
      <c r="F5553" s="668"/>
      <c r="G5553" s="668"/>
      <c r="H5553" s="668"/>
      <c r="I5553" s="668"/>
      <c r="J5553" s="668"/>
      <c r="K5553" s="674"/>
      <c r="L5553" s="668"/>
      <c r="M5553" s="668"/>
    </row>
    <row r="5554" spans="5:13">
      <c r="E5554" s="668"/>
      <c r="F5554" s="668"/>
      <c r="G5554" s="668"/>
      <c r="H5554" s="668"/>
      <c r="I5554" s="668"/>
      <c r="J5554" s="668"/>
      <c r="K5554" s="674"/>
      <c r="L5554" s="668"/>
      <c r="M5554" s="668"/>
    </row>
    <row r="5555" spans="5:13">
      <c r="E5555" s="668"/>
      <c r="F5555" s="668"/>
      <c r="G5555" s="668"/>
      <c r="H5555" s="668"/>
      <c r="I5555" s="668"/>
      <c r="J5555" s="668"/>
      <c r="K5555" s="674"/>
      <c r="L5555" s="668"/>
      <c r="M5555" s="668"/>
    </row>
    <row r="5556" spans="5:13">
      <c r="E5556" s="668"/>
      <c r="F5556" s="668"/>
      <c r="G5556" s="668"/>
      <c r="H5556" s="668"/>
      <c r="I5556" s="668"/>
      <c r="J5556" s="668"/>
      <c r="K5556" s="674"/>
      <c r="L5556" s="668"/>
      <c r="M5556" s="668"/>
    </row>
    <row r="5557" spans="5:13">
      <c r="E5557" s="668"/>
      <c r="F5557" s="668"/>
      <c r="G5557" s="668"/>
      <c r="H5557" s="668"/>
      <c r="I5557" s="668"/>
      <c r="J5557" s="668"/>
      <c r="K5557" s="674"/>
      <c r="L5557" s="668"/>
      <c r="M5557" s="668"/>
    </row>
    <row r="5558" spans="5:13">
      <c r="E5558" s="668"/>
      <c r="F5558" s="668"/>
      <c r="G5558" s="668"/>
      <c r="H5558" s="668"/>
      <c r="I5558" s="668"/>
      <c r="J5558" s="668"/>
      <c r="K5558" s="674"/>
      <c r="L5558" s="668"/>
      <c r="M5558" s="668"/>
    </row>
    <row r="5559" spans="5:13">
      <c r="E5559" s="668"/>
      <c r="F5559" s="668"/>
      <c r="G5559" s="668"/>
      <c r="H5559" s="668"/>
      <c r="I5559" s="668"/>
      <c r="J5559" s="668"/>
      <c r="K5559" s="674"/>
      <c r="L5559" s="668"/>
      <c r="M5559" s="668"/>
    </row>
    <row r="5560" spans="5:13">
      <c r="E5560" s="668"/>
      <c r="F5560" s="668"/>
      <c r="G5560" s="668"/>
      <c r="H5560" s="668"/>
      <c r="I5560" s="668"/>
      <c r="J5560" s="668"/>
      <c r="K5560" s="674"/>
      <c r="L5560" s="668"/>
      <c r="M5560" s="668"/>
    </row>
    <row r="5561" spans="5:13">
      <c r="E5561" s="668"/>
      <c r="F5561" s="668"/>
      <c r="G5561" s="668"/>
      <c r="H5561" s="668"/>
      <c r="I5561" s="668"/>
      <c r="J5561" s="668"/>
      <c r="K5561" s="674"/>
      <c r="L5561" s="668"/>
      <c r="M5561" s="668"/>
    </row>
    <row r="5562" spans="5:13">
      <c r="E5562" s="668"/>
      <c r="F5562" s="668"/>
      <c r="G5562" s="668"/>
      <c r="H5562" s="668"/>
      <c r="I5562" s="668"/>
      <c r="J5562" s="668"/>
      <c r="K5562" s="674"/>
      <c r="L5562" s="668"/>
      <c r="M5562" s="668"/>
    </row>
    <row r="5563" spans="5:13">
      <c r="E5563" s="668"/>
      <c r="F5563" s="668"/>
      <c r="G5563" s="668"/>
      <c r="H5563" s="668"/>
      <c r="I5563" s="668"/>
      <c r="J5563" s="668"/>
      <c r="K5563" s="674"/>
      <c r="L5563" s="668"/>
      <c r="M5563" s="668"/>
    </row>
    <row r="5564" spans="5:13">
      <c r="E5564" s="668"/>
      <c r="F5564" s="668"/>
      <c r="G5564" s="668"/>
      <c r="H5564" s="668"/>
      <c r="I5564" s="668"/>
      <c r="J5564" s="668"/>
      <c r="K5564" s="674"/>
      <c r="L5564" s="668"/>
      <c r="M5564" s="668"/>
    </row>
    <row r="5565" spans="5:13">
      <c r="E5565" s="668"/>
      <c r="F5565" s="668"/>
      <c r="G5565" s="668"/>
      <c r="H5565" s="668"/>
      <c r="I5565" s="668"/>
      <c r="J5565" s="668"/>
      <c r="K5565" s="674"/>
      <c r="L5565" s="668"/>
      <c r="M5565" s="668"/>
    </row>
    <row r="5566" spans="5:13">
      <c r="E5566" s="668"/>
      <c r="F5566" s="668"/>
      <c r="G5566" s="668"/>
      <c r="H5566" s="668"/>
      <c r="I5566" s="668"/>
      <c r="J5566" s="668"/>
      <c r="K5566" s="674"/>
      <c r="L5566" s="668"/>
      <c r="M5566" s="668"/>
    </row>
    <row r="5567" spans="5:13">
      <c r="E5567" s="668"/>
      <c r="F5567" s="668"/>
      <c r="G5567" s="668"/>
      <c r="H5567" s="668"/>
      <c r="I5567" s="668"/>
      <c r="J5567" s="668"/>
      <c r="K5567" s="674"/>
      <c r="L5567" s="668"/>
      <c r="M5567" s="668"/>
    </row>
    <row r="5568" spans="5:13">
      <c r="E5568" s="668"/>
      <c r="F5568" s="668"/>
      <c r="G5568" s="668"/>
      <c r="H5568" s="668"/>
      <c r="I5568" s="668"/>
      <c r="J5568" s="668"/>
      <c r="K5568" s="674"/>
      <c r="L5568" s="668"/>
      <c r="M5568" s="668"/>
    </row>
    <row r="5569" spans="5:13">
      <c r="E5569" s="668"/>
      <c r="F5569" s="668"/>
      <c r="G5569" s="668"/>
      <c r="H5569" s="668"/>
      <c r="I5569" s="668"/>
      <c r="J5569" s="668"/>
      <c r="K5569" s="674"/>
      <c r="L5569" s="668"/>
      <c r="M5569" s="668"/>
    </row>
    <row r="5570" spans="5:13">
      <c r="E5570" s="668"/>
      <c r="F5570" s="668"/>
      <c r="G5570" s="668"/>
      <c r="H5570" s="668"/>
      <c r="I5570" s="668"/>
      <c r="J5570" s="668"/>
      <c r="K5570" s="674"/>
      <c r="L5570" s="668"/>
      <c r="M5570" s="668"/>
    </row>
    <row r="5571" spans="5:13">
      <c r="E5571" s="668"/>
      <c r="F5571" s="668"/>
      <c r="G5571" s="668"/>
      <c r="H5571" s="668"/>
      <c r="I5571" s="668"/>
      <c r="J5571" s="668"/>
      <c r="K5571" s="674"/>
      <c r="L5571" s="668"/>
      <c r="M5571" s="668"/>
    </row>
    <row r="5572" spans="5:13">
      <c r="E5572" s="668"/>
      <c r="F5572" s="668"/>
      <c r="G5572" s="668"/>
      <c r="H5572" s="668"/>
      <c r="I5572" s="668"/>
      <c r="J5572" s="668"/>
      <c r="K5572" s="674"/>
      <c r="L5572" s="668"/>
      <c r="M5572" s="668"/>
    </row>
    <row r="5573" spans="5:13">
      <c r="E5573" s="668"/>
      <c r="F5573" s="668"/>
      <c r="G5573" s="668"/>
      <c r="H5573" s="668"/>
      <c r="I5573" s="668"/>
      <c r="J5573" s="668"/>
      <c r="K5573" s="674"/>
      <c r="L5573" s="668"/>
      <c r="M5573" s="668"/>
    </row>
    <row r="5574" spans="5:13">
      <c r="E5574" s="668"/>
      <c r="F5574" s="668"/>
      <c r="G5574" s="668"/>
      <c r="H5574" s="668"/>
      <c r="I5574" s="668"/>
      <c r="J5574" s="668"/>
      <c r="K5574" s="674"/>
      <c r="L5574" s="668"/>
      <c r="M5574" s="668"/>
    </row>
    <row r="5575" spans="5:13">
      <c r="E5575" s="668"/>
      <c r="F5575" s="668"/>
      <c r="G5575" s="668"/>
      <c r="H5575" s="668"/>
      <c r="I5575" s="668"/>
      <c r="J5575" s="668"/>
      <c r="K5575" s="674"/>
      <c r="L5575" s="668"/>
      <c r="M5575" s="668"/>
    </row>
    <row r="5576" spans="5:13">
      <c r="E5576" s="668"/>
      <c r="F5576" s="668"/>
      <c r="G5576" s="668"/>
      <c r="H5576" s="668"/>
      <c r="I5576" s="668"/>
      <c r="J5576" s="668"/>
      <c r="K5576" s="674"/>
      <c r="L5576" s="668"/>
      <c r="M5576" s="668"/>
    </row>
    <row r="5577" spans="5:13">
      <c r="E5577" s="668"/>
      <c r="F5577" s="668"/>
      <c r="G5577" s="668"/>
      <c r="H5577" s="668"/>
      <c r="I5577" s="668"/>
      <c r="J5577" s="668"/>
      <c r="K5577" s="674"/>
      <c r="L5577" s="668"/>
      <c r="M5577" s="668"/>
    </row>
    <row r="5578" spans="5:13">
      <c r="E5578" s="668"/>
      <c r="F5578" s="668"/>
      <c r="G5578" s="668"/>
      <c r="H5578" s="668"/>
      <c r="I5578" s="668"/>
      <c r="J5578" s="668"/>
      <c r="K5578" s="674"/>
      <c r="L5578" s="668"/>
      <c r="M5578" s="668"/>
    </row>
    <row r="5579" spans="5:13">
      <c r="E5579" s="668"/>
      <c r="F5579" s="668"/>
      <c r="G5579" s="668"/>
      <c r="H5579" s="668"/>
      <c r="I5579" s="668"/>
      <c r="J5579" s="668"/>
      <c r="K5579" s="674"/>
      <c r="L5579" s="668"/>
      <c r="M5579" s="668"/>
    </row>
    <row r="5580" spans="5:13">
      <c r="E5580" s="668"/>
      <c r="F5580" s="668"/>
      <c r="G5580" s="668"/>
      <c r="H5580" s="668"/>
      <c r="I5580" s="668"/>
      <c r="J5580" s="668"/>
      <c r="K5580" s="674"/>
      <c r="L5580" s="668"/>
      <c r="M5580" s="668"/>
    </row>
    <row r="5581" spans="5:13">
      <c r="E5581" s="668"/>
      <c r="F5581" s="668"/>
      <c r="G5581" s="668"/>
      <c r="H5581" s="668"/>
      <c r="I5581" s="668"/>
      <c r="J5581" s="668"/>
      <c r="K5581" s="674"/>
      <c r="L5581" s="668"/>
      <c r="M5581" s="668"/>
    </row>
    <row r="5582" spans="5:13">
      <c r="E5582" s="668"/>
      <c r="F5582" s="668"/>
      <c r="G5582" s="668"/>
      <c r="H5582" s="668"/>
      <c r="I5582" s="668"/>
      <c r="J5582" s="668"/>
      <c r="K5582" s="674"/>
      <c r="L5582" s="668"/>
      <c r="M5582" s="668"/>
    </row>
    <row r="5583" spans="5:13">
      <c r="E5583" s="668"/>
      <c r="F5583" s="668"/>
      <c r="G5583" s="668"/>
      <c r="H5583" s="668"/>
      <c r="I5583" s="668"/>
      <c r="J5583" s="668"/>
      <c r="K5583" s="674"/>
      <c r="L5583" s="668"/>
      <c r="M5583" s="668"/>
    </row>
    <row r="5584" spans="5:13">
      <c r="E5584" s="668"/>
      <c r="F5584" s="668"/>
      <c r="G5584" s="668"/>
      <c r="H5584" s="668"/>
      <c r="I5584" s="668"/>
      <c r="J5584" s="668"/>
      <c r="K5584" s="674"/>
      <c r="L5584" s="668"/>
      <c r="M5584" s="668"/>
    </row>
    <row r="5585" spans="5:13">
      <c r="E5585" s="668"/>
      <c r="F5585" s="668"/>
      <c r="G5585" s="668"/>
      <c r="H5585" s="668"/>
      <c r="I5585" s="668"/>
      <c r="J5585" s="668"/>
      <c r="K5585" s="674"/>
      <c r="L5585" s="668"/>
      <c r="M5585" s="668"/>
    </row>
    <row r="5586" spans="5:13">
      <c r="E5586" s="668"/>
      <c r="F5586" s="668"/>
      <c r="G5586" s="668"/>
      <c r="H5586" s="668"/>
      <c r="I5586" s="668"/>
      <c r="J5586" s="668"/>
      <c r="K5586" s="674"/>
      <c r="L5586" s="668"/>
      <c r="M5586" s="668"/>
    </row>
    <row r="5587" spans="5:13">
      <c r="E5587" s="668"/>
      <c r="F5587" s="668"/>
      <c r="G5587" s="668"/>
      <c r="H5587" s="668"/>
      <c r="I5587" s="668"/>
      <c r="J5587" s="668"/>
      <c r="K5587" s="674"/>
      <c r="L5587" s="668"/>
      <c r="M5587" s="668"/>
    </row>
    <row r="5588" spans="5:13">
      <c r="E5588" s="668"/>
      <c r="F5588" s="668"/>
      <c r="G5588" s="668"/>
      <c r="H5588" s="668"/>
      <c r="I5588" s="668"/>
      <c r="J5588" s="668"/>
      <c r="K5588" s="674"/>
      <c r="L5588" s="668"/>
      <c r="M5588" s="668"/>
    </row>
    <row r="5589" spans="5:13">
      <c r="E5589" s="668"/>
      <c r="F5589" s="668"/>
      <c r="G5589" s="668"/>
      <c r="H5589" s="668"/>
      <c r="I5589" s="668"/>
      <c r="J5589" s="668"/>
      <c r="K5589" s="674"/>
      <c r="L5589" s="668"/>
      <c r="M5589" s="668"/>
    </row>
    <row r="5590" spans="5:13">
      <c r="E5590" s="668"/>
      <c r="F5590" s="668"/>
      <c r="G5590" s="668"/>
      <c r="H5590" s="668"/>
      <c r="I5590" s="668"/>
      <c r="J5590" s="668"/>
      <c r="K5590" s="674"/>
      <c r="L5590" s="668"/>
      <c r="M5590" s="668"/>
    </row>
    <row r="5591" spans="5:13">
      <c r="E5591" s="668"/>
      <c r="F5591" s="668"/>
      <c r="G5591" s="668"/>
      <c r="H5591" s="668"/>
      <c r="I5591" s="668"/>
      <c r="J5591" s="668"/>
      <c r="K5591" s="674"/>
      <c r="L5591" s="668"/>
      <c r="M5591" s="668"/>
    </row>
    <row r="5592" spans="5:13">
      <c r="E5592" s="668"/>
      <c r="F5592" s="668"/>
      <c r="G5592" s="668"/>
      <c r="H5592" s="668"/>
      <c r="I5592" s="668"/>
      <c r="J5592" s="668"/>
      <c r="K5592" s="674"/>
      <c r="L5592" s="668"/>
      <c r="M5592" s="668"/>
    </row>
    <row r="5593" spans="5:13">
      <c r="E5593" s="668"/>
      <c r="F5593" s="668"/>
      <c r="G5593" s="668"/>
      <c r="H5593" s="668"/>
      <c r="I5593" s="668"/>
      <c r="J5593" s="668"/>
      <c r="K5593" s="674"/>
      <c r="L5593" s="668"/>
      <c r="M5593" s="668"/>
    </row>
    <row r="5594" spans="5:13">
      <c r="E5594" s="668"/>
      <c r="F5594" s="668"/>
      <c r="G5594" s="668"/>
      <c r="H5594" s="668"/>
      <c r="I5594" s="668"/>
      <c r="J5594" s="668"/>
      <c r="K5594" s="674"/>
      <c r="L5594" s="668"/>
      <c r="M5594" s="668"/>
    </row>
    <row r="5595" spans="5:13">
      <c r="E5595" s="668"/>
      <c r="F5595" s="668"/>
      <c r="G5595" s="668"/>
      <c r="H5595" s="668"/>
      <c r="I5595" s="668"/>
      <c r="J5595" s="668"/>
      <c r="K5595" s="674"/>
      <c r="L5595" s="668"/>
      <c r="M5595" s="668"/>
    </row>
    <row r="5596" spans="5:13">
      <c r="E5596" s="668"/>
      <c r="F5596" s="668"/>
      <c r="G5596" s="668"/>
      <c r="H5596" s="668"/>
      <c r="I5596" s="668"/>
      <c r="J5596" s="668"/>
      <c r="K5596" s="674"/>
      <c r="L5596" s="668"/>
      <c r="M5596" s="668"/>
    </row>
    <row r="5597" spans="5:13">
      <c r="E5597" s="668"/>
      <c r="F5597" s="668"/>
      <c r="G5597" s="668"/>
      <c r="H5597" s="668"/>
      <c r="I5597" s="668"/>
      <c r="J5597" s="668"/>
      <c r="K5597" s="674"/>
      <c r="L5597" s="668"/>
      <c r="M5597" s="668"/>
    </row>
    <row r="5598" spans="5:13">
      <c r="E5598" s="668"/>
      <c r="F5598" s="668"/>
      <c r="G5598" s="668"/>
      <c r="H5598" s="668"/>
      <c r="I5598" s="668"/>
      <c r="J5598" s="668"/>
      <c r="K5598" s="674"/>
      <c r="L5598" s="668"/>
      <c r="M5598" s="668"/>
    </row>
    <row r="5599" spans="5:13">
      <c r="E5599" s="668"/>
      <c r="F5599" s="668"/>
      <c r="G5599" s="668"/>
      <c r="H5599" s="668"/>
      <c r="I5599" s="668"/>
      <c r="J5599" s="668"/>
      <c r="K5599" s="674"/>
      <c r="L5599" s="668"/>
      <c r="M5599" s="668"/>
    </row>
    <row r="5600" spans="5:13">
      <c r="E5600" s="668"/>
      <c r="F5600" s="668"/>
      <c r="G5600" s="668"/>
      <c r="H5600" s="668"/>
      <c r="I5600" s="668"/>
      <c r="J5600" s="668"/>
      <c r="K5600" s="674"/>
      <c r="L5600" s="668"/>
      <c r="M5600" s="668"/>
    </row>
    <row r="5601" spans="5:13">
      <c r="E5601" s="668"/>
      <c r="F5601" s="668"/>
      <c r="G5601" s="668"/>
      <c r="H5601" s="668"/>
      <c r="I5601" s="668"/>
      <c r="J5601" s="668"/>
      <c r="K5601" s="674"/>
      <c r="L5601" s="668"/>
      <c r="M5601" s="668"/>
    </row>
    <row r="5602" spans="5:13">
      <c r="E5602" s="668"/>
      <c r="F5602" s="668"/>
      <c r="G5602" s="668"/>
      <c r="H5602" s="668"/>
      <c r="I5602" s="668"/>
      <c r="J5602" s="668"/>
      <c r="K5602" s="674"/>
      <c r="L5602" s="668"/>
      <c r="M5602" s="668"/>
    </row>
    <row r="5603" spans="5:13">
      <c r="E5603" s="668"/>
      <c r="F5603" s="668"/>
      <c r="G5603" s="668"/>
      <c r="H5603" s="668"/>
      <c r="I5603" s="668"/>
      <c r="J5603" s="668"/>
      <c r="K5603" s="674"/>
      <c r="L5603" s="668"/>
      <c r="M5603" s="668"/>
    </row>
    <row r="5604" spans="5:13">
      <c r="E5604" s="668"/>
      <c r="F5604" s="668"/>
      <c r="G5604" s="668"/>
      <c r="H5604" s="668"/>
      <c r="I5604" s="668"/>
      <c r="J5604" s="668"/>
      <c r="K5604" s="674"/>
      <c r="L5604" s="668"/>
      <c r="M5604" s="668"/>
    </row>
    <row r="5605" spans="5:13">
      <c r="E5605" s="668"/>
      <c r="F5605" s="668"/>
      <c r="G5605" s="668"/>
      <c r="H5605" s="668"/>
      <c r="I5605" s="668"/>
      <c r="J5605" s="668"/>
      <c r="K5605" s="674"/>
      <c r="L5605" s="668"/>
      <c r="M5605" s="668"/>
    </row>
    <row r="5606" spans="5:13">
      <c r="E5606" s="668"/>
      <c r="F5606" s="668"/>
      <c r="G5606" s="668"/>
      <c r="H5606" s="668"/>
      <c r="I5606" s="668"/>
      <c r="J5606" s="668"/>
      <c r="K5606" s="674"/>
      <c r="L5606" s="668"/>
      <c r="M5606" s="668"/>
    </row>
    <row r="5607" spans="5:13">
      <c r="E5607" s="668"/>
      <c r="F5607" s="668"/>
      <c r="G5607" s="668"/>
      <c r="H5607" s="668"/>
      <c r="I5607" s="668"/>
      <c r="J5607" s="668"/>
      <c r="K5607" s="674"/>
      <c r="L5607" s="668"/>
      <c r="M5607" s="668"/>
    </row>
    <row r="5608" spans="5:13">
      <c r="E5608" s="668"/>
      <c r="F5608" s="668"/>
      <c r="G5608" s="668"/>
      <c r="H5608" s="668"/>
      <c r="I5608" s="668"/>
      <c r="J5608" s="668"/>
      <c r="K5608" s="674"/>
      <c r="L5608" s="668"/>
      <c r="M5608" s="668"/>
    </row>
    <row r="5609" spans="5:13">
      <c r="E5609" s="668"/>
      <c r="F5609" s="668"/>
      <c r="G5609" s="668"/>
      <c r="H5609" s="668"/>
      <c r="I5609" s="668"/>
      <c r="J5609" s="668"/>
      <c r="K5609" s="674"/>
      <c r="L5609" s="668"/>
      <c r="M5609" s="668"/>
    </row>
    <row r="5610" spans="5:13">
      <c r="E5610" s="668"/>
      <c r="F5610" s="668"/>
      <c r="G5610" s="668"/>
      <c r="H5610" s="668"/>
      <c r="I5610" s="668"/>
      <c r="J5610" s="668"/>
      <c r="K5610" s="674"/>
      <c r="L5610" s="668"/>
      <c r="M5610" s="668"/>
    </row>
    <row r="5611" spans="5:13">
      <c r="E5611" s="668"/>
      <c r="F5611" s="668"/>
      <c r="G5611" s="668"/>
      <c r="H5611" s="668"/>
      <c r="I5611" s="668"/>
      <c r="J5611" s="668"/>
      <c r="K5611" s="674"/>
      <c r="L5611" s="668"/>
      <c r="M5611" s="668"/>
    </row>
    <row r="5612" spans="5:13">
      <c r="E5612" s="668"/>
      <c r="F5612" s="668"/>
      <c r="G5612" s="668"/>
      <c r="H5612" s="668"/>
      <c r="I5612" s="668"/>
      <c r="J5612" s="668"/>
      <c r="K5612" s="674"/>
      <c r="L5612" s="668"/>
      <c r="M5612" s="668"/>
    </row>
    <row r="5613" spans="5:13">
      <c r="E5613" s="668"/>
      <c r="F5613" s="668"/>
      <c r="G5613" s="668"/>
      <c r="H5613" s="668"/>
      <c r="I5613" s="668"/>
      <c r="J5613" s="668"/>
      <c r="K5613" s="674"/>
      <c r="L5613" s="668"/>
      <c r="M5613" s="668"/>
    </row>
    <row r="5614" spans="5:13">
      <c r="E5614" s="668"/>
      <c r="F5614" s="668"/>
      <c r="G5614" s="668"/>
      <c r="H5614" s="668"/>
      <c r="I5614" s="668"/>
      <c r="J5614" s="668"/>
      <c r="K5614" s="674"/>
      <c r="L5614" s="668"/>
      <c r="M5614" s="668"/>
    </row>
    <row r="5615" spans="5:13">
      <c r="E5615" s="668"/>
      <c r="F5615" s="668"/>
      <c r="G5615" s="668"/>
      <c r="H5615" s="668"/>
      <c r="I5615" s="668"/>
      <c r="J5615" s="668"/>
      <c r="K5615" s="674"/>
      <c r="L5615" s="668"/>
      <c r="M5615" s="668"/>
    </row>
    <row r="5616" spans="5:13">
      <c r="E5616" s="668"/>
      <c r="F5616" s="668"/>
      <c r="G5616" s="668"/>
      <c r="H5616" s="668"/>
      <c r="I5616" s="668"/>
      <c r="J5616" s="668"/>
      <c r="K5616" s="674"/>
      <c r="L5616" s="668"/>
      <c r="M5616" s="668"/>
    </row>
    <row r="5617" spans="5:13">
      <c r="E5617" s="668"/>
      <c r="F5617" s="668"/>
      <c r="G5617" s="668"/>
      <c r="H5617" s="668"/>
      <c r="I5617" s="668"/>
      <c r="J5617" s="668"/>
      <c r="K5617" s="674"/>
      <c r="L5617" s="668"/>
      <c r="M5617" s="668"/>
    </row>
    <row r="5618" spans="5:13">
      <c r="E5618" s="668"/>
      <c r="F5618" s="668"/>
      <c r="G5618" s="668"/>
      <c r="H5618" s="668"/>
      <c r="I5618" s="668"/>
      <c r="J5618" s="668"/>
      <c r="K5618" s="674"/>
      <c r="L5618" s="668"/>
      <c r="M5618" s="668"/>
    </row>
    <row r="5619" spans="5:13">
      <c r="E5619" s="668"/>
      <c r="F5619" s="668"/>
      <c r="G5619" s="668"/>
      <c r="H5619" s="668"/>
      <c r="I5619" s="668"/>
      <c r="J5619" s="668"/>
      <c r="K5619" s="674"/>
      <c r="L5619" s="668"/>
      <c r="M5619" s="668"/>
    </row>
    <row r="5620" spans="5:13">
      <c r="E5620" s="668"/>
      <c r="F5620" s="668"/>
      <c r="G5620" s="668"/>
      <c r="H5620" s="668"/>
      <c r="I5620" s="668"/>
      <c r="J5620" s="668"/>
      <c r="K5620" s="674"/>
      <c r="L5620" s="668"/>
      <c r="M5620" s="668"/>
    </row>
    <row r="5621" spans="5:13">
      <c r="E5621" s="668"/>
      <c r="F5621" s="668"/>
      <c r="G5621" s="668"/>
      <c r="H5621" s="668"/>
      <c r="I5621" s="668"/>
      <c r="J5621" s="668"/>
      <c r="K5621" s="674"/>
      <c r="L5621" s="668"/>
      <c r="M5621" s="668"/>
    </row>
    <row r="5622" spans="5:13">
      <c r="E5622" s="668"/>
      <c r="F5622" s="668"/>
      <c r="G5622" s="668"/>
      <c r="H5622" s="668"/>
      <c r="I5622" s="668"/>
      <c r="J5622" s="668"/>
      <c r="K5622" s="674"/>
      <c r="L5622" s="668"/>
      <c r="M5622" s="668"/>
    </row>
    <row r="5623" spans="5:13">
      <c r="E5623" s="668"/>
      <c r="F5623" s="668"/>
      <c r="G5623" s="668"/>
      <c r="H5623" s="668"/>
      <c r="I5623" s="668"/>
      <c r="J5623" s="668"/>
      <c r="K5623" s="674"/>
      <c r="L5623" s="668"/>
      <c r="M5623" s="668"/>
    </row>
    <row r="5624" spans="5:13">
      <c r="E5624" s="668"/>
      <c r="F5624" s="668"/>
      <c r="G5624" s="668"/>
      <c r="H5624" s="668"/>
      <c r="I5624" s="668"/>
      <c r="J5624" s="668"/>
      <c r="K5624" s="674"/>
      <c r="L5624" s="668"/>
      <c r="M5624" s="668"/>
    </row>
    <row r="5625" spans="5:13">
      <c r="E5625" s="668"/>
      <c r="F5625" s="668"/>
      <c r="G5625" s="668"/>
      <c r="H5625" s="668"/>
      <c r="I5625" s="668"/>
      <c r="J5625" s="668"/>
      <c r="K5625" s="674"/>
      <c r="L5625" s="668"/>
      <c r="M5625" s="668"/>
    </row>
    <row r="5626" spans="5:13">
      <c r="E5626" s="668"/>
      <c r="F5626" s="668"/>
      <c r="G5626" s="668"/>
      <c r="H5626" s="668"/>
      <c r="I5626" s="668"/>
      <c r="J5626" s="668"/>
      <c r="K5626" s="674"/>
      <c r="L5626" s="668"/>
      <c r="M5626" s="668"/>
    </row>
    <row r="5627" spans="5:13">
      <c r="E5627" s="668"/>
      <c r="F5627" s="668"/>
      <c r="G5627" s="668"/>
      <c r="H5627" s="668"/>
      <c r="I5627" s="668"/>
      <c r="J5627" s="668"/>
      <c r="K5627" s="674"/>
      <c r="L5627" s="668"/>
      <c r="M5627" s="668"/>
    </row>
    <row r="5628" spans="5:13">
      <c r="E5628" s="668"/>
      <c r="F5628" s="668"/>
      <c r="G5628" s="668"/>
      <c r="H5628" s="668"/>
      <c r="I5628" s="668"/>
      <c r="J5628" s="668"/>
      <c r="K5628" s="674"/>
      <c r="L5628" s="668"/>
      <c r="M5628" s="668"/>
    </row>
    <row r="5629" spans="5:13">
      <c r="E5629" s="668"/>
      <c r="F5629" s="668"/>
      <c r="G5629" s="668"/>
      <c r="H5629" s="668"/>
      <c r="I5629" s="668"/>
      <c r="J5629" s="668"/>
      <c r="K5629" s="674"/>
      <c r="L5629" s="668"/>
      <c r="M5629" s="668"/>
    </row>
    <row r="5630" spans="5:13">
      <c r="E5630" s="668"/>
      <c r="F5630" s="668"/>
      <c r="G5630" s="668"/>
      <c r="H5630" s="668"/>
      <c r="I5630" s="668"/>
      <c r="J5630" s="668"/>
      <c r="K5630" s="674"/>
      <c r="L5630" s="668"/>
      <c r="M5630" s="668"/>
    </row>
    <row r="5631" spans="5:13">
      <c r="E5631" s="668"/>
      <c r="F5631" s="668"/>
      <c r="G5631" s="668"/>
      <c r="H5631" s="668"/>
      <c r="I5631" s="668"/>
      <c r="J5631" s="668"/>
      <c r="K5631" s="674"/>
      <c r="L5631" s="668"/>
      <c r="M5631" s="668"/>
    </row>
    <row r="5632" spans="5:13">
      <c r="E5632" s="668"/>
      <c r="F5632" s="668"/>
      <c r="G5632" s="668"/>
      <c r="H5632" s="668"/>
      <c r="I5632" s="668"/>
      <c r="J5632" s="668"/>
      <c r="K5632" s="674"/>
      <c r="L5632" s="668"/>
      <c r="M5632" s="668"/>
    </row>
    <row r="5633" spans="5:13">
      <c r="E5633" s="668"/>
      <c r="F5633" s="668"/>
      <c r="G5633" s="668"/>
      <c r="H5633" s="668"/>
      <c r="I5633" s="668"/>
      <c r="J5633" s="668"/>
      <c r="K5633" s="674"/>
      <c r="L5633" s="668"/>
      <c r="M5633" s="668"/>
    </row>
    <row r="5634" spans="5:13">
      <c r="E5634" s="668"/>
      <c r="F5634" s="668"/>
      <c r="G5634" s="668"/>
      <c r="H5634" s="668"/>
      <c r="I5634" s="668"/>
      <c r="J5634" s="668"/>
      <c r="K5634" s="674"/>
      <c r="L5634" s="668"/>
      <c r="M5634" s="668"/>
    </row>
    <row r="5635" spans="5:13">
      <c r="E5635" s="668"/>
      <c r="F5635" s="668"/>
      <c r="G5635" s="668"/>
      <c r="H5635" s="668"/>
      <c r="I5635" s="668"/>
      <c r="J5635" s="668"/>
      <c r="K5635" s="674"/>
      <c r="L5635" s="668"/>
      <c r="M5635" s="668"/>
    </row>
    <row r="5636" spans="5:13">
      <c r="E5636" s="668"/>
      <c r="F5636" s="668"/>
      <c r="G5636" s="668"/>
      <c r="H5636" s="668"/>
      <c r="I5636" s="668"/>
      <c r="J5636" s="668"/>
      <c r="K5636" s="674"/>
      <c r="L5636" s="668"/>
      <c r="M5636" s="668"/>
    </row>
    <row r="5637" spans="5:13">
      <c r="E5637" s="668"/>
      <c r="F5637" s="668"/>
      <c r="G5637" s="668"/>
      <c r="H5637" s="668"/>
      <c r="I5637" s="668"/>
      <c r="J5637" s="668"/>
      <c r="K5637" s="674"/>
      <c r="L5637" s="668"/>
      <c r="M5637" s="668"/>
    </row>
    <row r="5638" spans="5:13">
      <c r="E5638" s="668"/>
      <c r="F5638" s="668"/>
      <c r="G5638" s="668"/>
      <c r="H5638" s="668"/>
      <c r="I5638" s="668"/>
      <c r="J5638" s="668"/>
      <c r="K5638" s="674"/>
      <c r="L5638" s="668"/>
      <c r="M5638" s="668"/>
    </row>
    <row r="5639" spans="5:13">
      <c r="E5639" s="668"/>
      <c r="F5639" s="668"/>
      <c r="G5639" s="668"/>
      <c r="H5639" s="668"/>
      <c r="I5639" s="668"/>
      <c r="J5639" s="668"/>
      <c r="K5639" s="674"/>
      <c r="L5639" s="668"/>
      <c r="M5639" s="668"/>
    </row>
    <row r="5640" spans="5:13">
      <c r="E5640" s="668"/>
      <c r="F5640" s="668"/>
      <c r="G5640" s="668"/>
      <c r="H5640" s="668"/>
      <c r="I5640" s="668"/>
      <c r="J5640" s="668"/>
      <c r="K5640" s="674"/>
      <c r="L5640" s="668"/>
      <c r="M5640" s="668"/>
    </row>
    <row r="5641" spans="5:13">
      <c r="E5641" s="668"/>
      <c r="F5641" s="668"/>
      <c r="G5641" s="668"/>
      <c r="H5641" s="668"/>
      <c r="I5641" s="668"/>
      <c r="J5641" s="668"/>
      <c r="K5641" s="674"/>
      <c r="L5641" s="668"/>
      <c r="M5641" s="668"/>
    </row>
    <row r="5642" spans="5:13">
      <c r="E5642" s="668"/>
      <c r="F5642" s="668"/>
      <c r="G5642" s="668"/>
      <c r="H5642" s="668"/>
      <c r="I5642" s="668"/>
      <c r="J5642" s="668"/>
      <c r="K5642" s="674"/>
      <c r="L5642" s="668"/>
      <c r="M5642" s="668"/>
    </row>
    <row r="5643" spans="5:13">
      <c r="E5643" s="668"/>
      <c r="F5643" s="668"/>
      <c r="G5643" s="668"/>
      <c r="H5643" s="668"/>
      <c r="I5643" s="668"/>
      <c r="J5643" s="668"/>
      <c r="K5643" s="674"/>
      <c r="L5643" s="668"/>
      <c r="M5643" s="668"/>
    </row>
    <row r="5644" spans="5:13">
      <c r="E5644" s="668"/>
      <c r="F5644" s="668"/>
      <c r="G5644" s="668"/>
      <c r="H5644" s="668"/>
      <c r="I5644" s="668"/>
      <c r="J5644" s="668"/>
      <c r="K5644" s="674"/>
      <c r="L5644" s="668"/>
      <c r="M5644" s="668"/>
    </row>
    <row r="5645" spans="5:13">
      <c r="E5645" s="668"/>
      <c r="F5645" s="668"/>
      <c r="G5645" s="668"/>
      <c r="H5645" s="668"/>
      <c r="I5645" s="668"/>
      <c r="J5645" s="668"/>
      <c r="K5645" s="674"/>
      <c r="L5645" s="668"/>
      <c r="M5645" s="668"/>
    </row>
    <row r="5646" spans="5:13">
      <c r="E5646" s="668"/>
      <c r="F5646" s="668"/>
      <c r="G5646" s="668"/>
      <c r="H5646" s="668"/>
      <c r="I5646" s="668"/>
      <c r="J5646" s="668"/>
      <c r="K5646" s="674"/>
      <c r="L5646" s="668"/>
      <c r="M5646" s="668"/>
    </row>
    <row r="5647" spans="5:13">
      <c r="E5647" s="668"/>
      <c r="F5647" s="668"/>
      <c r="G5647" s="668"/>
      <c r="H5647" s="668"/>
      <c r="I5647" s="668"/>
      <c r="J5647" s="668"/>
      <c r="K5647" s="674"/>
      <c r="L5647" s="668"/>
      <c r="M5647" s="668"/>
    </row>
    <row r="5648" spans="5:13">
      <c r="E5648" s="668"/>
      <c r="F5648" s="668"/>
      <c r="G5648" s="668"/>
      <c r="H5648" s="668"/>
      <c r="I5648" s="668"/>
      <c r="J5648" s="668"/>
      <c r="K5648" s="674"/>
      <c r="L5648" s="668"/>
      <c r="M5648" s="668"/>
    </row>
    <row r="5649" spans="5:13">
      <c r="E5649" s="668"/>
      <c r="F5649" s="668"/>
      <c r="G5649" s="668"/>
      <c r="H5649" s="668"/>
      <c r="I5649" s="668"/>
      <c r="J5649" s="668"/>
      <c r="K5649" s="674"/>
      <c r="L5649" s="668"/>
      <c r="M5649" s="668"/>
    </row>
    <row r="5650" spans="5:13">
      <c r="E5650" s="668"/>
      <c r="F5650" s="668"/>
      <c r="G5650" s="668"/>
      <c r="H5650" s="668"/>
      <c r="I5650" s="668"/>
      <c r="J5650" s="668"/>
      <c r="K5650" s="674"/>
      <c r="L5650" s="668"/>
      <c r="M5650" s="668"/>
    </row>
    <row r="5651" spans="5:13">
      <c r="E5651" s="668"/>
      <c r="F5651" s="668"/>
      <c r="G5651" s="668"/>
      <c r="H5651" s="668"/>
      <c r="I5651" s="668"/>
      <c r="J5651" s="668"/>
      <c r="K5651" s="674"/>
      <c r="L5651" s="668"/>
      <c r="M5651" s="668"/>
    </row>
    <row r="5652" spans="5:13">
      <c r="E5652" s="668"/>
      <c r="F5652" s="668"/>
      <c r="G5652" s="668"/>
      <c r="H5652" s="668"/>
      <c r="I5652" s="668"/>
      <c r="J5652" s="668"/>
      <c r="K5652" s="674"/>
      <c r="L5652" s="668"/>
      <c r="M5652" s="668"/>
    </row>
    <row r="5653" spans="5:13">
      <c r="E5653" s="668"/>
      <c r="F5653" s="668"/>
      <c r="G5653" s="668"/>
      <c r="H5653" s="668"/>
      <c r="I5653" s="668"/>
      <c r="J5653" s="668"/>
      <c r="K5653" s="674"/>
      <c r="L5653" s="668"/>
      <c r="M5653" s="668"/>
    </row>
    <row r="5654" spans="5:13">
      <c r="E5654" s="668"/>
      <c r="F5654" s="668"/>
      <c r="G5654" s="668"/>
      <c r="H5654" s="668"/>
      <c r="I5654" s="668"/>
      <c r="J5654" s="668"/>
      <c r="K5654" s="674"/>
      <c r="L5654" s="668"/>
      <c r="M5654" s="668"/>
    </row>
    <row r="5655" spans="5:13">
      <c r="E5655" s="668"/>
      <c r="F5655" s="668"/>
      <c r="G5655" s="668"/>
      <c r="H5655" s="668"/>
      <c r="I5655" s="668"/>
      <c r="J5655" s="668"/>
      <c r="K5655" s="674"/>
      <c r="L5655" s="668"/>
      <c r="M5655" s="668"/>
    </row>
    <row r="5656" spans="5:13">
      <c r="E5656" s="668"/>
      <c r="F5656" s="668"/>
      <c r="G5656" s="668"/>
      <c r="H5656" s="668"/>
      <c r="I5656" s="668"/>
      <c r="J5656" s="668"/>
      <c r="K5656" s="674"/>
      <c r="L5656" s="668"/>
      <c r="M5656" s="668"/>
    </row>
    <row r="5657" spans="5:13">
      <c r="E5657" s="668"/>
      <c r="F5657" s="668"/>
      <c r="G5657" s="668"/>
      <c r="H5657" s="668"/>
      <c r="I5657" s="668"/>
      <c r="J5657" s="668"/>
      <c r="K5657" s="674"/>
      <c r="L5657" s="668"/>
      <c r="M5657" s="668"/>
    </row>
    <row r="5658" spans="5:13">
      <c r="E5658" s="668"/>
      <c r="F5658" s="668"/>
      <c r="G5658" s="668"/>
      <c r="H5658" s="668"/>
      <c r="I5658" s="668"/>
      <c r="J5658" s="668"/>
      <c r="K5658" s="674"/>
      <c r="L5658" s="668"/>
      <c r="M5658" s="668"/>
    </row>
    <row r="5659" spans="5:13">
      <c r="E5659" s="668"/>
      <c r="F5659" s="668"/>
      <c r="G5659" s="668"/>
      <c r="H5659" s="668"/>
      <c r="I5659" s="668"/>
      <c r="J5659" s="668"/>
      <c r="K5659" s="674"/>
      <c r="L5659" s="668"/>
      <c r="M5659" s="668"/>
    </row>
    <row r="5660" spans="5:13">
      <c r="E5660" s="668"/>
      <c r="F5660" s="668"/>
      <c r="G5660" s="668"/>
      <c r="H5660" s="668"/>
      <c r="I5660" s="668"/>
      <c r="J5660" s="668"/>
      <c r="K5660" s="674"/>
      <c r="L5660" s="668"/>
      <c r="M5660" s="668"/>
    </row>
    <row r="5661" spans="5:13">
      <c r="E5661" s="668"/>
      <c r="F5661" s="668"/>
      <c r="G5661" s="668"/>
      <c r="H5661" s="668"/>
      <c r="I5661" s="668"/>
      <c r="J5661" s="668"/>
      <c r="K5661" s="674"/>
      <c r="L5661" s="668"/>
      <c r="M5661" s="668"/>
    </row>
    <row r="5662" spans="5:13">
      <c r="E5662" s="668"/>
      <c r="F5662" s="668"/>
      <c r="G5662" s="668"/>
      <c r="H5662" s="668"/>
      <c r="I5662" s="668"/>
      <c r="J5662" s="668"/>
      <c r="K5662" s="674"/>
      <c r="L5662" s="668"/>
      <c r="M5662" s="668"/>
    </row>
    <row r="5663" spans="5:13">
      <c r="E5663" s="668"/>
      <c r="F5663" s="668"/>
      <c r="G5663" s="668"/>
      <c r="H5663" s="668"/>
      <c r="I5663" s="668"/>
      <c r="J5663" s="668"/>
      <c r="K5663" s="674"/>
      <c r="L5663" s="668"/>
      <c r="M5663" s="668"/>
    </row>
    <row r="5664" spans="5:13">
      <c r="E5664" s="668"/>
      <c r="F5664" s="668"/>
      <c r="G5664" s="668"/>
      <c r="H5664" s="668"/>
      <c r="I5664" s="668"/>
      <c r="J5664" s="668"/>
      <c r="K5664" s="674"/>
      <c r="L5664" s="668"/>
      <c r="M5664" s="668"/>
    </row>
    <row r="5665" spans="5:13">
      <c r="E5665" s="668"/>
      <c r="F5665" s="668"/>
      <c r="G5665" s="668"/>
      <c r="H5665" s="668"/>
      <c r="I5665" s="668"/>
      <c r="J5665" s="668"/>
      <c r="K5665" s="674"/>
      <c r="L5665" s="668"/>
      <c r="M5665" s="668"/>
    </row>
    <row r="5666" spans="5:13">
      <c r="E5666" s="668"/>
      <c r="F5666" s="668"/>
      <c r="G5666" s="668"/>
      <c r="H5666" s="668"/>
      <c r="I5666" s="668"/>
      <c r="J5666" s="668"/>
      <c r="K5666" s="674"/>
      <c r="L5666" s="668"/>
      <c r="M5666" s="668"/>
    </row>
    <row r="5667" spans="5:13">
      <c r="E5667" s="668"/>
      <c r="F5667" s="668"/>
      <c r="G5667" s="668"/>
      <c r="H5667" s="668"/>
      <c r="I5667" s="668"/>
      <c r="J5667" s="668"/>
      <c r="K5667" s="674"/>
      <c r="L5667" s="668"/>
      <c r="M5667" s="668"/>
    </row>
    <row r="5668" spans="5:13">
      <c r="E5668" s="668"/>
      <c r="F5668" s="668"/>
      <c r="G5668" s="668"/>
      <c r="H5668" s="668"/>
      <c r="I5668" s="668"/>
      <c r="J5668" s="668"/>
      <c r="K5668" s="674"/>
      <c r="L5668" s="668"/>
      <c r="M5668" s="668"/>
    </row>
    <row r="5669" spans="5:13">
      <c r="E5669" s="668"/>
      <c r="F5669" s="668"/>
      <c r="G5669" s="668"/>
      <c r="H5669" s="668"/>
      <c r="I5669" s="668"/>
      <c r="J5669" s="668"/>
      <c r="K5669" s="674"/>
      <c r="L5669" s="668"/>
      <c r="M5669" s="668"/>
    </row>
    <row r="5670" spans="5:13">
      <c r="E5670" s="668"/>
      <c r="F5670" s="668"/>
      <c r="G5670" s="668"/>
      <c r="H5670" s="668"/>
      <c r="I5670" s="668"/>
      <c r="J5670" s="668"/>
      <c r="K5670" s="674"/>
      <c r="L5670" s="668"/>
      <c r="M5670" s="668"/>
    </row>
    <row r="5671" spans="5:13">
      <c r="E5671" s="668"/>
      <c r="F5671" s="668"/>
      <c r="G5671" s="668"/>
      <c r="H5671" s="668"/>
      <c r="I5671" s="668"/>
      <c r="J5671" s="668"/>
      <c r="K5671" s="674"/>
      <c r="L5671" s="668"/>
      <c r="M5671" s="668"/>
    </row>
    <row r="5672" spans="5:13">
      <c r="E5672" s="668"/>
      <c r="F5672" s="668"/>
      <c r="G5672" s="668"/>
      <c r="H5672" s="668"/>
      <c r="I5672" s="668"/>
      <c r="J5672" s="668"/>
      <c r="K5672" s="674"/>
      <c r="L5672" s="668"/>
      <c r="M5672" s="668"/>
    </row>
    <row r="5673" spans="5:13">
      <c r="E5673" s="668"/>
      <c r="F5673" s="668"/>
      <c r="G5673" s="668"/>
      <c r="H5673" s="668"/>
      <c r="I5673" s="668"/>
      <c r="J5673" s="668"/>
      <c r="K5673" s="674"/>
      <c r="L5673" s="668"/>
      <c r="M5673" s="668"/>
    </row>
    <row r="5674" spans="5:13">
      <c r="E5674" s="668"/>
      <c r="F5674" s="668"/>
      <c r="G5674" s="668"/>
      <c r="H5674" s="668"/>
      <c r="I5674" s="668"/>
      <c r="J5674" s="668"/>
      <c r="K5674" s="674"/>
      <c r="L5674" s="668"/>
      <c r="M5674" s="668"/>
    </row>
    <row r="5675" spans="5:13">
      <c r="E5675" s="668"/>
      <c r="F5675" s="668"/>
      <c r="G5675" s="668"/>
      <c r="H5675" s="668"/>
      <c r="I5675" s="668"/>
      <c r="J5675" s="668"/>
      <c r="K5675" s="674"/>
      <c r="L5675" s="668"/>
      <c r="M5675" s="668"/>
    </row>
    <row r="5676" spans="5:13">
      <c r="E5676" s="668"/>
      <c r="F5676" s="668"/>
      <c r="G5676" s="668"/>
      <c r="H5676" s="668"/>
      <c r="I5676" s="668"/>
      <c r="J5676" s="668"/>
      <c r="K5676" s="674"/>
      <c r="L5676" s="668"/>
      <c r="M5676" s="668"/>
    </row>
    <row r="5677" spans="5:13">
      <c r="E5677" s="668"/>
      <c r="F5677" s="668"/>
      <c r="G5677" s="668"/>
      <c r="H5677" s="668"/>
      <c r="I5677" s="668"/>
      <c r="J5677" s="668"/>
      <c r="K5677" s="674"/>
      <c r="L5677" s="668"/>
      <c r="M5677" s="668"/>
    </row>
    <row r="5678" spans="5:13">
      <c r="E5678" s="668"/>
      <c r="F5678" s="668"/>
      <c r="G5678" s="668"/>
      <c r="H5678" s="668"/>
      <c r="I5678" s="668"/>
      <c r="J5678" s="668"/>
      <c r="K5678" s="674"/>
      <c r="L5678" s="668"/>
      <c r="M5678" s="668"/>
    </row>
    <row r="5679" spans="5:13">
      <c r="E5679" s="668"/>
      <c r="F5679" s="668"/>
      <c r="G5679" s="668"/>
      <c r="H5679" s="668"/>
      <c r="I5679" s="668"/>
      <c r="J5679" s="668"/>
      <c r="K5679" s="674"/>
      <c r="L5679" s="668"/>
      <c r="M5679" s="668"/>
    </row>
    <row r="5680" spans="5:13">
      <c r="E5680" s="668"/>
      <c r="F5680" s="668"/>
      <c r="G5680" s="668"/>
      <c r="H5680" s="668"/>
      <c r="I5680" s="668"/>
      <c r="J5680" s="668"/>
      <c r="K5680" s="674"/>
      <c r="L5680" s="668"/>
      <c r="M5680" s="668"/>
    </row>
    <row r="5681" spans="5:13">
      <c r="E5681" s="668"/>
      <c r="F5681" s="668"/>
      <c r="G5681" s="668"/>
      <c r="H5681" s="668"/>
      <c r="I5681" s="668"/>
      <c r="J5681" s="668"/>
      <c r="K5681" s="674"/>
      <c r="L5681" s="668"/>
      <c r="M5681" s="668"/>
    </row>
    <row r="5682" spans="5:13">
      <c r="E5682" s="668"/>
      <c r="F5682" s="668"/>
      <c r="G5682" s="668"/>
      <c r="H5682" s="668"/>
      <c r="I5682" s="668"/>
      <c r="J5682" s="668"/>
      <c r="K5682" s="674"/>
      <c r="L5682" s="668"/>
      <c r="M5682" s="668"/>
    </row>
    <row r="5683" spans="5:13">
      <c r="E5683" s="668"/>
      <c r="F5683" s="668"/>
      <c r="G5683" s="668"/>
      <c r="H5683" s="668"/>
      <c r="I5683" s="668"/>
      <c r="J5683" s="668"/>
      <c r="K5683" s="674"/>
      <c r="L5683" s="668"/>
      <c r="M5683" s="668"/>
    </row>
    <row r="5684" spans="5:13">
      <c r="E5684" s="668"/>
      <c r="F5684" s="668"/>
      <c r="G5684" s="668"/>
      <c r="H5684" s="668"/>
      <c r="I5684" s="668"/>
      <c r="J5684" s="668"/>
      <c r="K5684" s="674"/>
      <c r="L5684" s="668"/>
      <c r="M5684" s="668"/>
    </row>
    <row r="5685" spans="5:13">
      <c r="E5685" s="668"/>
      <c r="F5685" s="668"/>
      <c r="G5685" s="668"/>
      <c r="H5685" s="668"/>
      <c r="I5685" s="668"/>
      <c r="J5685" s="668"/>
      <c r="K5685" s="674"/>
      <c r="L5685" s="668"/>
      <c r="M5685" s="668"/>
    </row>
    <row r="5686" spans="5:13">
      <c r="E5686" s="668"/>
      <c r="F5686" s="668"/>
      <c r="G5686" s="668"/>
      <c r="H5686" s="668"/>
      <c r="I5686" s="668"/>
      <c r="J5686" s="668"/>
      <c r="K5686" s="674"/>
      <c r="L5686" s="668"/>
      <c r="M5686" s="668"/>
    </row>
    <row r="5687" spans="5:13">
      <c r="E5687" s="668"/>
      <c r="F5687" s="668"/>
      <c r="G5687" s="668"/>
      <c r="H5687" s="668"/>
      <c r="I5687" s="668"/>
      <c r="J5687" s="668"/>
      <c r="K5687" s="674"/>
      <c r="L5687" s="668"/>
      <c r="M5687" s="668"/>
    </row>
    <row r="5688" spans="5:13">
      <c r="E5688" s="668"/>
      <c r="F5688" s="668"/>
      <c r="G5688" s="668"/>
      <c r="H5688" s="668"/>
      <c r="I5688" s="668"/>
      <c r="J5688" s="668"/>
      <c r="K5688" s="674"/>
      <c r="L5688" s="668"/>
      <c r="M5688" s="668"/>
    </row>
    <row r="5689" spans="5:13">
      <c r="E5689" s="668"/>
      <c r="F5689" s="668"/>
      <c r="G5689" s="668"/>
      <c r="H5689" s="668"/>
      <c r="I5689" s="668"/>
      <c r="J5689" s="668"/>
      <c r="K5689" s="674"/>
      <c r="L5689" s="668"/>
      <c r="M5689" s="668"/>
    </row>
    <row r="5690" spans="5:13">
      <c r="E5690" s="668"/>
      <c r="F5690" s="668"/>
      <c r="G5690" s="668"/>
      <c r="H5690" s="668"/>
      <c r="I5690" s="668"/>
      <c r="J5690" s="668"/>
      <c r="K5690" s="674"/>
      <c r="L5690" s="668"/>
      <c r="M5690" s="668"/>
    </row>
    <row r="5691" spans="5:13">
      <c r="E5691" s="668"/>
      <c r="F5691" s="668"/>
      <c r="G5691" s="668"/>
      <c r="H5691" s="668"/>
      <c r="I5691" s="668"/>
      <c r="J5691" s="668"/>
      <c r="K5691" s="674"/>
      <c r="L5691" s="668"/>
      <c r="M5691" s="668"/>
    </row>
    <row r="5692" spans="5:13">
      <c r="E5692" s="668"/>
      <c r="F5692" s="668"/>
      <c r="G5692" s="668"/>
      <c r="H5692" s="668"/>
      <c r="I5692" s="668"/>
      <c r="J5692" s="668"/>
      <c r="K5692" s="674"/>
      <c r="L5692" s="668"/>
      <c r="M5692" s="668"/>
    </row>
    <row r="5693" spans="5:13">
      <c r="E5693" s="668"/>
      <c r="F5693" s="668"/>
      <c r="G5693" s="668"/>
      <c r="H5693" s="668"/>
      <c r="I5693" s="668"/>
      <c r="J5693" s="668"/>
      <c r="K5693" s="674"/>
      <c r="L5693" s="668"/>
      <c r="M5693" s="668"/>
    </row>
    <row r="5694" spans="5:13">
      <c r="E5694" s="668"/>
      <c r="F5694" s="668"/>
      <c r="G5694" s="668"/>
      <c r="H5694" s="668"/>
      <c r="I5694" s="668"/>
      <c r="J5694" s="668"/>
      <c r="K5694" s="674"/>
      <c r="L5694" s="668"/>
      <c r="M5694" s="668"/>
    </row>
    <row r="5695" spans="5:13">
      <c r="E5695" s="668"/>
      <c r="F5695" s="668"/>
      <c r="G5695" s="668"/>
      <c r="H5695" s="668"/>
      <c r="I5695" s="668"/>
      <c r="J5695" s="668"/>
      <c r="K5695" s="674"/>
      <c r="L5695" s="668"/>
      <c r="M5695" s="668"/>
    </row>
    <row r="5696" spans="5:13">
      <c r="E5696" s="668"/>
      <c r="F5696" s="668"/>
      <c r="G5696" s="668"/>
      <c r="H5696" s="668"/>
      <c r="I5696" s="668"/>
      <c r="J5696" s="668"/>
      <c r="K5696" s="674"/>
      <c r="L5696" s="668"/>
      <c r="M5696" s="668"/>
    </row>
    <row r="5697" spans="5:13">
      <c r="E5697" s="668"/>
      <c r="F5697" s="668"/>
      <c r="G5697" s="668"/>
      <c r="H5697" s="668"/>
      <c r="I5697" s="668"/>
      <c r="J5697" s="668"/>
      <c r="K5697" s="674"/>
      <c r="L5697" s="668"/>
      <c r="M5697" s="668"/>
    </row>
    <row r="5698" spans="5:13">
      <c r="E5698" s="668"/>
      <c r="F5698" s="668"/>
      <c r="G5698" s="668"/>
      <c r="H5698" s="668"/>
      <c r="I5698" s="668"/>
      <c r="J5698" s="668"/>
      <c r="K5698" s="674"/>
      <c r="L5698" s="668"/>
      <c r="M5698" s="668"/>
    </row>
    <row r="5699" spans="5:13">
      <c r="E5699" s="668"/>
      <c r="F5699" s="668"/>
      <c r="G5699" s="668"/>
      <c r="H5699" s="668"/>
      <c r="I5699" s="668"/>
      <c r="J5699" s="668"/>
      <c r="K5699" s="674"/>
      <c r="L5699" s="668"/>
      <c r="M5699" s="668"/>
    </row>
    <row r="5700" spans="5:13">
      <c r="E5700" s="668"/>
      <c r="F5700" s="668"/>
      <c r="G5700" s="668"/>
      <c r="H5700" s="668"/>
      <c r="I5700" s="668"/>
      <c r="J5700" s="668"/>
      <c r="K5700" s="674"/>
      <c r="L5700" s="668"/>
      <c r="M5700" s="668"/>
    </row>
    <row r="5701" spans="5:13">
      <c r="E5701" s="668"/>
      <c r="F5701" s="668"/>
      <c r="G5701" s="668"/>
      <c r="H5701" s="668"/>
      <c r="I5701" s="668"/>
      <c r="J5701" s="668"/>
      <c r="K5701" s="674"/>
      <c r="L5701" s="668"/>
      <c r="M5701" s="668"/>
    </row>
    <row r="5702" spans="5:13">
      <c r="E5702" s="668"/>
      <c r="F5702" s="668"/>
      <c r="G5702" s="668"/>
      <c r="H5702" s="668"/>
      <c r="I5702" s="668"/>
      <c r="J5702" s="668"/>
      <c r="K5702" s="674"/>
      <c r="L5702" s="668"/>
      <c r="M5702" s="668"/>
    </row>
    <row r="5703" spans="5:13">
      <c r="E5703" s="668"/>
      <c r="F5703" s="668"/>
      <c r="G5703" s="668"/>
      <c r="H5703" s="668"/>
      <c r="I5703" s="668"/>
      <c r="J5703" s="668"/>
      <c r="K5703" s="674"/>
      <c r="L5703" s="668"/>
      <c r="M5703" s="668"/>
    </row>
    <row r="5704" spans="5:13">
      <c r="E5704" s="668"/>
      <c r="F5704" s="668"/>
      <c r="G5704" s="668"/>
      <c r="H5704" s="668"/>
      <c r="I5704" s="668"/>
      <c r="J5704" s="668"/>
      <c r="K5704" s="674"/>
      <c r="L5704" s="668"/>
      <c r="M5704" s="668"/>
    </row>
    <row r="5705" spans="5:13">
      <c r="E5705" s="668"/>
      <c r="F5705" s="668"/>
      <c r="G5705" s="668"/>
      <c r="H5705" s="668"/>
      <c r="I5705" s="668"/>
      <c r="J5705" s="668"/>
      <c r="K5705" s="674"/>
      <c r="L5705" s="668"/>
      <c r="M5705" s="668"/>
    </row>
    <row r="5706" spans="5:13">
      <c r="E5706" s="668"/>
      <c r="F5706" s="668"/>
      <c r="G5706" s="668"/>
      <c r="H5706" s="668"/>
      <c r="I5706" s="668"/>
      <c r="J5706" s="668"/>
      <c r="K5706" s="674"/>
      <c r="L5706" s="668"/>
      <c r="M5706" s="668"/>
    </row>
    <row r="5707" spans="5:13">
      <c r="E5707" s="668"/>
      <c r="F5707" s="668"/>
      <c r="G5707" s="668"/>
      <c r="H5707" s="668"/>
      <c r="I5707" s="668"/>
      <c r="J5707" s="668"/>
      <c r="K5707" s="674"/>
      <c r="L5707" s="668"/>
      <c r="M5707" s="668"/>
    </row>
    <row r="5708" spans="5:13">
      <c r="E5708" s="668"/>
      <c r="F5708" s="668"/>
      <c r="G5708" s="668"/>
      <c r="H5708" s="668"/>
      <c r="I5708" s="668"/>
      <c r="J5708" s="668"/>
      <c r="K5708" s="674"/>
      <c r="L5708" s="668"/>
      <c r="M5708" s="668"/>
    </row>
    <row r="5709" spans="5:13">
      <c r="E5709" s="668"/>
      <c r="F5709" s="668"/>
      <c r="G5709" s="668"/>
      <c r="H5709" s="668"/>
      <c r="I5709" s="668"/>
      <c r="J5709" s="668"/>
      <c r="K5709" s="674"/>
      <c r="L5709" s="668"/>
      <c r="M5709" s="668"/>
    </row>
    <row r="5710" spans="5:13">
      <c r="E5710" s="668"/>
      <c r="F5710" s="668"/>
      <c r="G5710" s="668"/>
      <c r="H5710" s="668"/>
      <c r="I5710" s="668"/>
      <c r="J5710" s="668"/>
      <c r="K5710" s="674"/>
      <c r="L5710" s="668"/>
      <c r="M5710" s="668"/>
    </row>
    <row r="5711" spans="5:13">
      <c r="E5711" s="668"/>
      <c r="F5711" s="668"/>
      <c r="G5711" s="668"/>
      <c r="H5711" s="668"/>
      <c r="I5711" s="668"/>
      <c r="J5711" s="668"/>
      <c r="K5711" s="674"/>
      <c r="L5711" s="668"/>
      <c r="M5711" s="668"/>
    </row>
    <row r="5712" spans="5:13">
      <c r="E5712" s="668"/>
      <c r="F5712" s="668"/>
      <c r="G5712" s="668"/>
      <c r="H5712" s="668"/>
      <c r="I5712" s="668"/>
      <c r="J5712" s="668"/>
      <c r="K5712" s="674"/>
      <c r="L5712" s="668"/>
      <c r="M5712" s="668"/>
    </row>
    <row r="5713" spans="5:13">
      <c r="E5713" s="668"/>
      <c r="F5713" s="668"/>
      <c r="G5713" s="668"/>
      <c r="H5713" s="668"/>
      <c r="I5713" s="668"/>
      <c r="J5713" s="668"/>
      <c r="K5713" s="674"/>
      <c r="L5713" s="668"/>
      <c r="M5713" s="668"/>
    </row>
    <row r="5714" spans="5:13">
      <c r="E5714" s="668"/>
      <c r="F5714" s="668"/>
      <c r="G5714" s="668"/>
      <c r="H5714" s="668"/>
      <c r="I5714" s="668"/>
      <c r="J5714" s="668"/>
      <c r="K5714" s="674"/>
      <c r="L5714" s="668"/>
      <c r="M5714" s="668"/>
    </row>
    <row r="5715" spans="5:13">
      <c r="E5715" s="668"/>
      <c r="F5715" s="668"/>
      <c r="G5715" s="668"/>
      <c r="H5715" s="668"/>
      <c r="I5715" s="668"/>
      <c r="J5715" s="668"/>
      <c r="K5715" s="674"/>
      <c r="L5715" s="668"/>
      <c r="M5715" s="668"/>
    </row>
    <row r="5716" spans="5:13">
      <c r="E5716" s="668"/>
      <c r="F5716" s="668"/>
      <c r="G5716" s="668"/>
      <c r="H5716" s="668"/>
      <c r="I5716" s="668"/>
      <c r="J5716" s="668"/>
      <c r="K5716" s="674"/>
      <c r="L5716" s="668"/>
      <c r="M5716" s="668"/>
    </row>
    <row r="5717" spans="5:13">
      <c r="E5717" s="668"/>
      <c r="F5717" s="668"/>
      <c r="G5717" s="668"/>
      <c r="H5717" s="668"/>
      <c r="I5717" s="668"/>
      <c r="J5717" s="668"/>
      <c r="K5717" s="674"/>
      <c r="L5717" s="668"/>
      <c r="M5717" s="668"/>
    </row>
    <row r="5718" spans="5:13">
      <c r="E5718" s="668"/>
      <c r="F5718" s="668"/>
      <c r="G5718" s="668"/>
      <c r="H5718" s="668"/>
      <c r="I5718" s="668"/>
      <c r="J5718" s="668"/>
      <c r="K5718" s="674"/>
      <c r="L5718" s="668"/>
      <c r="M5718" s="668"/>
    </row>
    <row r="5719" spans="5:13">
      <c r="E5719" s="668"/>
      <c r="F5719" s="668"/>
      <c r="G5719" s="668"/>
      <c r="H5719" s="668"/>
      <c r="I5719" s="668"/>
      <c r="J5719" s="668"/>
      <c r="K5719" s="674"/>
      <c r="L5719" s="668"/>
      <c r="M5719" s="668"/>
    </row>
    <row r="5720" spans="5:13">
      <c r="E5720" s="668"/>
      <c r="F5720" s="668"/>
      <c r="G5720" s="668"/>
      <c r="H5720" s="668"/>
      <c r="I5720" s="668"/>
      <c r="J5720" s="668"/>
      <c r="K5720" s="674"/>
      <c r="L5720" s="668"/>
      <c r="M5720" s="668"/>
    </row>
    <row r="5721" spans="5:13">
      <c r="E5721" s="668"/>
      <c r="F5721" s="668"/>
      <c r="G5721" s="668"/>
      <c r="H5721" s="668"/>
      <c r="I5721" s="668"/>
      <c r="J5721" s="668"/>
      <c r="K5721" s="674"/>
      <c r="L5721" s="668"/>
      <c r="M5721" s="668"/>
    </row>
    <row r="5722" spans="5:13">
      <c r="E5722" s="668"/>
      <c r="F5722" s="668"/>
      <c r="G5722" s="668"/>
      <c r="H5722" s="668"/>
      <c r="I5722" s="668"/>
      <c r="J5722" s="668"/>
      <c r="K5722" s="674"/>
      <c r="L5722" s="668"/>
      <c r="M5722" s="668"/>
    </row>
    <row r="5723" spans="5:13">
      <c r="E5723" s="668"/>
      <c r="F5723" s="668"/>
      <c r="G5723" s="668"/>
      <c r="H5723" s="668"/>
      <c r="I5723" s="668"/>
      <c r="J5723" s="668"/>
      <c r="K5723" s="674"/>
      <c r="L5723" s="668"/>
      <c r="M5723" s="668"/>
    </row>
    <row r="5724" spans="5:13">
      <c r="E5724" s="668"/>
      <c r="F5724" s="668"/>
      <c r="G5724" s="668"/>
      <c r="H5724" s="668"/>
      <c r="I5724" s="668"/>
      <c r="J5724" s="668"/>
      <c r="K5724" s="674"/>
      <c r="L5724" s="668"/>
      <c r="M5724" s="668"/>
    </row>
    <row r="5725" spans="5:13">
      <c r="E5725" s="668"/>
      <c r="F5725" s="668"/>
      <c r="G5725" s="668"/>
      <c r="H5725" s="668"/>
      <c r="I5725" s="668"/>
      <c r="J5725" s="668"/>
      <c r="K5725" s="674"/>
      <c r="L5725" s="668"/>
      <c r="M5725" s="668"/>
    </row>
    <row r="5726" spans="5:13">
      <c r="E5726" s="668"/>
      <c r="F5726" s="668"/>
      <c r="G5726" s="668"/>
      <c r="H5726" s="668"/>
      <c r="I5726" s="668"/>
      <c r="J5726" s="668"/>
      <c r="K5726" s="674"/>
      <c r="L5726" s="668"/>
      <c r="M5726" s="668"/>
    </row>
    <row r="5727" spans="5:13">
      <c r="E5727" s="668"/>
      <c r="F5727" s="668"/>
      <c r="G5727" s="668"/>
      <c r="H5727" s="668"/>
      <c r="I5727" s="668"/>
      <c r="J5727" s="668"/>
      <c r="K5727" s="674"/>
      <c r="L5727" s="668"/>
      <c r="M5727" s="668"/>
    </row>
    <row r="5728" spans="5:13">
      <c r="E5728" s="668"/>
      <c r="F5728" s="668"/>
      <c r="G5728" s="668"/>
      <c r="H5728" s="668"/>
      <c r="I5728" s="668"/>
      <c r="J5728" s="668"/>
      <c r="K5728" s="674"/>
      <c r="L5728" s="668"/>
      <c r="M5728" s="668"/>
    </row>
    <row r="5729" spans="5:13">
      <c r="E5729" s="668"/>
      <c r="F5729" s="668"/>
      <c r="G5729" s="668"/>
      <c r="H5729" s="668"/>
      <c r="I5729" s="668"/>
      <c r="J5729" s="668"/>
      <c r="K5729" s="674"/>
      <c r="L5729" s="668"/>
      <c r="M5729" s="668"/>
    </row>
    <row r="5730" spans="5:13">
      <c r="E5730" s="668"/>
      <c r="F5730" s="668"/>
      <c r="G5730" s="668"/>
      <c r="H5730" s="668"/>
      <c r="I5730" s="668"/>
      <c r="J5730" s="668"/>
      <c r="K5730" s="674"/>
      <c r="L5730" s="668"/>
      <c r="M5730" s="668"/>
    </row>
    <row r="5731" spans="5:13">
      <c r="E5731" s="668"/>
      <c r="F5731" s="668"/>
      <c r="G5731" s="668"/>
      <c r="H5731" s="668"/>
      <c r="I5731" s="668"/>
      <c r="J5731" s="668"/>
      <c r="K5731" s="674"/>
      <c r="L5731" s="668"/>
      <c r="M5731" s="668"/>
    </row>
    <row r="5732" spans="5:13">
      <c r="E5732" s="668"/>
      <c r="F5732" s="668"/>
      <c r="G5732" s="668"/>
      <c r="H5732" s="668"/>
      <c r="I5732" s="668"/>
      <c r="J5732" s="668"/>
      <c r="K5732" s="674"/>
      <c r="L5732" s="668"/>
      <c r="M5732" s="668"/>
    </row>
    <row r="5733" spans="5:13">
      <c r="E5733" s="668"/>
      <c r="F5733" s="668"/>
      <c r="G5733" s="668"/>
      <c r="H5733" s="668"/>
      <c r="I5733" s="668"/>
      <c r="J5733" s="668"/>
      <c r="K5733" s="674"/>
      <c r="L5733" s="668"/>
      <c r="M5733" s="668"/>
    </row>
    <row r="5734" spans="5:13">
      <c r="E5734" s="668"/>
      <c r="F5734" s="668"/>
      <c r="G5734" s="668"/>
      <c r="H5734" s="668"/>
      <c r="I5734" s="668"/>
      <c r="J5734" s="668"/>
      <c r="K5734" s="674"/>
      <c r="L5734" s="668"/>
      <c r="M5734" s="668"/>
    </row>
    <row r="5735" spans="5:13">
      <c r="E5735" s="668"/>
      <c r="F5735" s="668"/>
      <c r="G5735" s="668"/>
      <c r="H5735" s="668"/>
      <c r="I5735" s="668"/>
      <c r="J5735" s="668"/>
      <c r="K5735" s="674"/>
      <c r="L5735" s="668"/>
      <c r="M5735" s="668"/>
    </row>
    <row r="5736" spans="5:13">
      <c r="E5736" s="668"/>
      <c r="F5736" s="668"/>
      <c r="G5736" s="668"/>
      <c r="H5736" s="668"/>
      <c r="I5736" s="668"/>
      <c r="J5736" s="668"/>
      <c r="K5736" s="674"/>
      <c r="L5736" s="668"/>
      <c r="M5736" s="668"/>
    </row>
    <row r="5737" spans="5:13">
      <c r="E5737" s="668"/>
      <c r="F5737" s="668"/>
      <c r="G5737" s="668"/>
      <c r="H5737" s="668"/>
      <c r="I5737" s="668"/>
      <c r="J5737" s="668"/>
      <c r="K5737" s="674"/>
      <c r="L5737" s="668"/>
      <c r="M5737" s="668"/>
    </row>
    <row r="5738" spans="5:13">
      <c r="E5738" s="668"/>
      <c r="F5738" s="668"/>
      <c r="G5738" s="668"/>
      <c r="H5738" s="668"/>
      <c r="I5738" s="668"/>
      <c r="J5738" s="668"/>
      <c r="K5738" s="674"/>
      <c r="L5738" s="668"/>
      <c r="M5738" s="668"/>
    </row>
    <row r="5739" spans="5:13">
      <c r="E5739" s="668"/>
      <c r="F5739" s="668"/>
      <c r="G5739" s="668"/>
      <c r="H5739" s="668"/>
      <c r="I5739" s="668"/>
      <c r="J5739" s="668"/>
      <c r="K5739" s="674"/>
      <c r="L5739" s="668"/>
      <c r="M5739" s="668"/>
    </row>
    <row r="5740" spans="5:13">
      <c r="E5740" s="668"/>
      <c r="F5740" s="668"/>
      <c r="G5740" s="668"/>
      <c r="H5740" s="668"/>
      <c r="I5740" s="668"/>
      <c r="J5740" s="668"/>
      <c r="K5740" s="674"/>
      <c r="L5740" s="668"/>
      <c r="M5740" s="668"/>
    </row>
    <row r="5741" spans="5:13">
      <c r="E5741" s="668"/>
      <c r="F5741" s="668"/>
      <c r="G5741" s="668"/>
      <c r="H5741" s="668"/>
      <c r="I5741" s="668"/>
      <c r="J5741" s="668"/>
      <c r="K5741" s="674"/>
      <c r="L5741" s="668"/>
      <c r="M5741" s="668"/>
    </row>
    <row r="5742" spans="5:13">
      <c r="E5742" s="668"/>
      <c r="F5742" s="668"/>
      <c r="G5742" s="668"/>
      <c r="H5742" s="668"/>
      <c r="I5742" s="668"/>
      <c r="J5742" s="668"/>
      <c r="K5742" s="674"/>
      <c r="L5742" s="668"/>
      <c r="M5742" s="668"/>
    </row>
    <row r="5743" spans="5:13">
      <c r="E5743" s="668"/>
      <c r="F5743" s="668"/>
      <c r="G5743" s="668"/>
      <c r="H5743" s="668"/>
      <c r="I5743" s="668"/>
      <c r="J5743" s="668"/>
      <c r="K5743" s="674"/>
      <c r="L5743" s="668"/>
      <c r="M5743" s="668"/>
    </row>
    <row r="5744" spans="5:13">
      <c r="E5744" s="668"/>
      <c r="F5744" s="668"/>
      <c r="G5744" s="668"/>
      <c r="H5744" s="668"/>
      <c r="I5744" s="668"/>
      <c r="J5744" s="668"/>
      <c r="K5744" s="674"/>
      <c r="L5744" s="668"/>
      <c r="M5744" s="668"/>
    </row>
    <row r="5745" spans="5:13">
      <c r="E5745" s="668"/>
      <c r="F5745" s="668"/>
      <c r="G5745" s="668"/>
      <c r="H5745" s="668"/>
      <c r="I5745" s="668"/>
      <c r="J5745" s="668"/>
      <c r="K5745" s="674"/>
      <c r="L5745" s="668"/>
      <c r="M5745" s="668"/>
    </row>
    <row r="5746" spans="5:13">
      <c r="E5746" s="668"/>
      <c r="F5746" s="668"/>
      <c r="G5746" s="668"/>
      <c r="H5746" s="668"/>
      <c r="I5746" s="668"/>
      <c r="J5746" s="668"/>
      <c r="K5746" s="674"/>
      <c r="L5746" s="668"/>
      <c r="M5746" s="668"/>
    </row>
    <row r="5747" spans="5:13">
      <c r="E5747" s="668"/>
      <c r="F5747" s="668"/>
      <c r="G5747" s="668"/>
      <c r="H5747" s="668"/>
      <c r="I5747" s="668"/>
      <c r="J5747" s="668"/>
      <c r="K5747" s="674"/>
      <c r="L5747" s="668"/>
      <c r="M5747" s="668"/>
    </row>
    <row r="5748" spans="5:13">
      <c r="E5748" s="668"/>
      <c r="F5748" s="668"/>
      <c r="G5748" s="668"/>
      <c r="H5748" s="668"/>
      <c r="I5748" s="668"/>
      <c r="J5748" s="668"/>
      <c r="K5748" s="674"/>
      <c r="L5748" s="668"/>
      <c r="M5748" s="668"/>
    </row>
    <row r="5749" spans="5:13">
      <c r="E5749" s="668"/>
      <c r="F5749" s="668"/>
      <c r="G5749" s="668"/>
      <c r="H5749" s="668"/>
      <c r="I5749" s="668"/>
      <c r="J5749" s="668"/>
      <c r="K5749" s="674"/>
      <c r="L5749" s="668"/>
      <c r="M5749" s="668"/>
    </row>
    <row r="5750" spans="5:13">
      <c r="E5750" s="668"/>
      <c r="F5750" s="668"/>
      <c r="G5750" s="668"/>
      <c r="H5750" s="668"/>
      <c r="I5750" s="668"/>
      <c r="J5750" s="668"/>
      <c r="K5750" s="674"/>
      <c r="L5750" s="668"/>
      <c r="M5750" s="668"/>
    </row>
    <row r="5751" spans="5:13">
      <c r="E5751" s="668"/>
      <c r="F5751" s="668"/>
      <c r="G5751" s="668"/>
      <c r="H5751" s="668"/>
      <c r="I5751" s="668"/>
      <c r="J5751" s="668"/>
      <c r="K5751" s="674"/>
      <c r="L5751" s="668"/>
      <c r="M5751" s="668"/>
    </row>
    <row r="5752" spans="5:13">
      <c r="E5752" s="668"/>
      <c r="F5752" s="668"/>
      <c r="G5752" s="668"/>
      <c r="H5752" s="668"/>
      <c r="I5752" s="668"/>
      <c r="J5752" s="668"/>
      <c r="K5752" s="674"/>
      <c r="L5752" s="668"/>
      <c r="M5752" s="668"/>
    </row>
    <row r="5753" spans="5:13">
      <c r="E5753" s="668"/>
      <c r="F5753" s="668"/>
      <c r="G5753" s="668"/>
      <c r="H5753" s="668"/>
      <c r="I5753" s="668"/>
      <c r="J5753" s="668"/>
      <c r="K5753" s="674"/>
      <c r="L5753" s="668"/>
      <c r="M5753" s="668"/>
    </row>
    <row r="5754" spans="5:13">
      <c r="E5754" s="668"/>
      <c r="F5754" s="668"/>
      <c r="G5754" s="668"/>
      <c r="H5754" s="668"/>
      <c r="I5754" s="668"/>
      <c r="J5754" s="668"/>
      <c r="K5754" s="674"/>
      <c r="L5754" s="668"/>
      <c r="M5754" s="668"/>
    </row>
    <row r="5755" spans="5:13">
      <c r="E5755" s="668"/>
      <c r="F5755" s="668"/>
      <c r="G5755" s="668"/>
      <c r="H5755" s="668"/>
      <c r="I5755" s="668"/>
      <c r="J5755" s="668"/>
      <c r="K5755" s="674"/>
      <c r="L5755" s="668"/>
      <c r="M5755" s="668"/>
    </row>
    <row r="5756" spans="5:13">
      <c r="E5756" s="668"/>
      <c r="F5756" s="668"/>
      <c r="G5756" s="668"/>
      <c r="H5756" s="668"/>
      <c r="I5756" s="668"/>
      <c r="J5756" s="668"/>
      <c r="K5756" s="674"/>
      <c r="L5756" s="668"/>
      <c r="M5756" s="668"/>
    </row>
    <row r="5757" spans="5:13">
      <c r="E5757" s="668"/>
      <c r="F5757" s="668"/>
      <c r="G5757" s="668"/>
      <c r="H5757" s="668"/>
      <c r="I5757" s="668"/>
      <c r="J5757" s="668"/>
      <c r="K5757" s="674"/>
      <c r="L5757" s="668"/>
      <c r="M5757" s="668"/>
    </row>
    <row r="5758" spans="5:13">
      <c r="E5758" s="668"/>
      <c r="F5758" s="668"/>
      <c r="G5758" s="668"/>
      <c r="H5758" s="668"/>
      <c r="I5758" s="668"/>
      <c r="J5758" s="668"/>
      <c r="K5758" s="674"/>
      <c r="L5758" s="668"/>
      <c r="M5758" s="668"/>
    </row>
    <row r="5759" spans="5:13">
      <c r="E5759" s="668"/>
      <c r="F5759" s="668"/>
      <c r="G5759" s="668"/>
      <c r="H5759" s="668"/>
      <c r="I5759" s="668"/>
      <c r="J5759" s="668"/>
      <c r="K5759" s="674"/>
      <c r="L5759" s="668"/>
      <c r="M5759" s="668"/>
    </row>
    <row r="5760" spans="5:13">
      <c r="E5760" s="668"/>
      <c r="F5760" s="668"/>
      <c r="G5760" s="668"/>
      <c r="H5760" s="668"/>
      <c r="I5760" s="668"/>
      <c r="J5760" s="668"/>
      <c r="K5760" s="674"/>
      <c r="L5760" s="668"/>
      <c r="M5760" s="668"/>
    </row>
    <row r="5761" spans="5:13">
      <c r="E5761" s="668"/>
      <c r="F5761" s="668"/>
      <c r="G5761" s="668"/>
      <c r="H5761" s="668"/>
      <c r="I5761" s="668"/>
      <c r="J5761" s="668"/>
      <c r="K5761" s="674"/>
      <c r="L5761" s="668"/>
      <c r="M5761" s="668"/>
    </row>
    <row r="5762" spans="5:13">
      <c r="E5762" s="668"/>
      <c r="F5762" s="668"/>
      <c r="G5762" s="668"/>
      <c r="H5762" s="668"/>
      <c r="I5762" s="668"/>
      <c r="J5762" s="668"/>
      <c r="K5762" s="674"/>
      <c r="L5762" s="668"/>
      <c r="M5762" s="668"/>
    </row>
    <row r="5763" spans="5:13">
      <c r="E5763" s="668"/>
      <c r="F5763" s="668"/>
      <c r="G5763" s="668"/>
      <c r="H5763" s="668"/>
      <c r="I5763" s="668"/>
      <c r="J5763" s="668"/>
      <c r="K5763" s="674"/>
      <c r="L5763" s="668"/>
      <c r="M5763" s="668"/>
    </row>
    <row r="5764" spans="5:13">
      <c r="E5764" s="668"/>
      <c r="F5764" s="668"/>
      <c r="G5764" s="668"/>
      <c r="H5764" s="668"/>
      <c r="I5764" s="668"/>
      <c r="J5764" s="668"/>
      <c r="K5764" s="674"/>
      <c r="L5764" s="668"/>
      <c r="M5764" s="668"/>
    </row>
    <row r="5765" spans="5:13">
      <c r="E5765" s="668"/>
      <c r="F5765" s="668"/>
      <c r="G5765" s="668"/>
      <c r="H5765" s="668"/>
      <c r="I5765" s="668"/>
      <c r="J5765" s="668"/>
      <c r="K5765" s="674"/>
      <c r="L5765" s="668"/>
      <c r="M5765" s="668"/>
    </row>
    <row r="5766" spans="5:13">
      <c r="E5766" s="668"/>
      <c r="F5766" s="668"/>
      <c r="G5766" s="668"/>
      <c r="H5766" s="668"/>
      <c r="I5766" s="668"/>
      <c r="J5766" s="668"/>
      <c r="K5766" s="674"/>
      <c r="L5766" s="668"/>
      <c r="M5766" s="668"/>
    </row>
    <row r="5767" spans="5:13">
      <c r="E5767" s="668"/>
      <c r="F5767" s="668"/>
      <c r="G5767" s="668"/>
      <c r="H5767" s="668"/>
      <c r="I5767" s="668"/>
      <c r="J5767" s="668"/>
      <c r="K5767" s="674"/>
      <c r="L5767" s="668"/>
      <c r="M5767" s="668"/>
    </row>
    <row r="5768" spans="5:13">
      <c r="E5768" s="668"/>
      <c r="F5768" s="668"/>
      <c r="G5768" s="668"/>
      <c r="H5768" s="668"/>
      <c r="I5768" s="668"/>
      <c r="J5768" s="668"/>
      <c r="K5768" s="674"/>
      <c r="L5768" s="668"/>
      <c r="M5768" s="668"/>
    </row>
    <row r="5769" spans="5:13">
      <c r="E5769" s="668"/>
      <c r="F5769" s="668"/>
      <c r="G5769" s="668"/>
      <c r="H5769" s="668"/>
      <c r="I5769" s="668"/>
      <c r="J5769" s="668"/>
      <c r="K5769" s="674"/>
      <c r="L5769" s="668"/>
      <c r="M5769" s="668"/>
    </row>
    <row r="5770" spans="5:13">
      <c r="E5770" s="668"/>
      <c r="F5770" s="668"/>
      <c r="G5770" s="668"/>
      <c r="H5770" s="668"/>
      <c r="I5770" s="668"/>
      <c r="J5770" s="668"/>
      <c r="K5770" s="674"/>
      <c r="L5770" s="668"/>
      <c r="M5770" s="668"/>
    </row>
    <row r="5771" spans="5:13">
      <c r="E5771" s="668"/>
      <c r="F5771" s="668"/>
      <c r="G5771" s="668"/>
      <c r="H5771" s="668"/>
      <c r="I5771" s="668"/>
      <c r="J5771" s="668"/>
      <c r="K5771" s="674"/>
      <c r="L5771" s="668"/>
      <c r="M5771" s="668"/>
    </row>
    <row r="5772" spans="5:13">
      <c r="E5772" s="668"/>
      <c r="F5772" s="668"/>
      <c r="G5772" s="668"/>
      <c r="H5772" s="668"/>
      <c r="I5772" s="668"/>
      <c r="J5772" s="668"/>
      <c r="K5772" s="674"/>
      <c r="L5772" s="668"/>
      <c r="M5772" s="668"/>
    </row>
    <row r="5773" spans="5:13">
      <c r="E5773" s="668"/>
      <c r="F5773" s="668"/>
      <c r="G5773" s="668"/>
      <c r="H5773" s="668"/>
      <c r="I5773" s="668"/>
      <c r="J5773" s="668"/>
      <c r="K5773" s="674"/>
      <c r="L5773" s="668"/>
      <c r="M5773" s="668"/>
    </row>
    <row r="5774" spans="5:13">
      <c r="E5774" s="668"/>
      <c r="F5774" s="668"/>
      <c r="G5774" s="668"/>
      <c r="H5774" s="668"/>
      <c r="I5774" s="668"/>
      <c r="J5774" s="668"/>
      <c r="K5774" s="674"/>
      <c r="L5774" s="668"/>
      <c r="M5774" s="668"/>
    </row>
    <row r="5775" spans="5:13">
      <c r="E5775" s="668"/>
      <c r="F5775" s="668"/>
      <c r="G5775" s="668"/>
      <c r="H5775" s="668"/>
      <c r="I5775" s="668"/>
      <c r="J5775" s="668"/>
      <c r="K5775" s="674"/>
      <c r="L5775" s="668"/>
      <c r="M5775" s="668"/>
    </row>
    <row r="5776" spans="5:13">
      <c r="E5776" s="668"/>
      <c r="F5776" s="668"/>
      <c r="G5776" s="668"/>
      <c r="H5776" s="668"/>
      <c r="I5776" s="668"/>
      <c r="J5776" s="668"/>
      <c r="K5776" s="674"/>
      <c r="L5776" s="668"/>
      <c r="M5776" s="668"/>
    </row>
    <row r="5777" spans="5:13">
      <c r="E5777" s="668"/>
      <c r="F5777" s="668"/>
      <c r="G5777" s="668"/>
      <c r="H5777" s="668"/>
      <c r="I5777" s="668"/>
      <c r="J5777" s="668"/>
      <c r="K5777" s="674"/>
      <c r="L5777" s="668"/>
      <c r="M5777" s="668"/>
    </row>
    <row r="5778" spans="5:13">
      <c r="E5778" s="668"/>
      <c r="F5778" s="668"/>
      <c r="G5778" s="668"/>
      <c r="H5778" s="668"/>
      <c r="I5778" s="668"/>
      <c r="J5778" s="668"/>
      <c r="K5778" s="674"/>
      <c r="L5778" s="668"/>
      <c r="M5778" s="668"/>
    </row>
    <row r="5779" spans="5:13">
      <c r="E5779" s="668"/>
      <c r="F5779" s="668"/>
      <c r="G5779" s="668"/>
      <c r="H5779" s="668"/>
      <c r="I5779" s="668"/>
      <c r="J5779" s="668"/>
      <c r="K5779" s="674"/>
      <c r="L5779" s="668"/>
      <c r="M5779" s="668"/>
    </row>
    <row r="5780" spans="5:13">
      <c r="E5780" s="668"/>
      <c r="F5780" s="668"/>
      <c r="G5780" s="668"/>
      <c r="H5780" s="668"/>
      <c r="I5780" s="668"/>
      <c r="J5780" s="668"/>
      <c r="K5780" s="674"/>
      <c r="L5780" s="668"/>
      <c r="M5780" s="668"/>
    </row>
    <row r="5781" spans="5:13">
      <c r="E5781" s="668"/>
      <c r="F5781" s="668"/>
      <c r="G5781" s="668"/>
      <c r="H5781" s="668"/>
      <c r="I5781" s="668"/>
      <c r="J5781" s="668"/>
      <c r="K5781" s="674"/>
      <c r="L5781" s="668"/>
      <c r="M5781" s="668"/>
    </row>
    <row r="5782" spans="5:13">
      <c r="E5782" s="668"/>
      <c r="F5782" s="668"/>
      <c r="G5782" s="668"/>
      <c r="H5782" s="668"/>
      <c r="I5782" s="668"/>
      <c r="J5782" s="668"/>
      <c r="K5782" s="674"/>
      <c r="L5782" s="668"/>
      <c r="M5782" s="668"/>
    </row>
    <row r="5783" spans="5:13">
      <c r="E5783" s="668"/>
      <c r="F5783" s="668"/>
      <c r="G5783" s="668"/>
      <c r="H5783" s="668"/>
      <c r="I5783" s="668"/>
      <c r="J5783" s="668"/>
      <c r="K5783" s="674"/>
      <c r="L5783" s="668"/>
      <c r="M5783" s="668"/>
    </row>
    <row r="5784" spans="5:13">
      <c r="E5784" s="668"/>
      <c r="F5784" s="668"/>
      <c r="G5784" s="668"/>
      <c r="H5784" s="668"/>
      <c r="I5784" s="668"/>
      <c r="J5784" s="668"/>
      <c r="K5784" s="674"/>
      <c r="L5784" s="668"/>
      <c r="M5784" s="668"/>
    </row>
    <row r="5785" spans="5:13">
      <c r="E5785" s="668"/>
      <c r="F5785" s="668"/>
      <c r="G5785" s="668"/>
      <c r="H5785" s="668"/>
      <c r="I5785" s="668"/>
      <c r="J5785" s="668"/>
      <c r="K5785" s="674"/>
      <c r="L5785" s="668"/>
      <c r="M5785" s="668"/>
    </row>
    <row r="5786" spans="5:13">
      <c r="E5786" s="668"/>
      <c r="F5786" s="668"/>
      <c r="G5786" s="668"/>
      <c r="H5786" s="668"/>
      <c r="I5786" s="668"/>
      <c r="J5786" s="668"/>
      <c r="K5786" s="674"/>
      <c r="L5786" s="668"/>
      <c r="M5786" s="668"/>
    </row>
    <row r="5787" spans="5:13">
      <c r="E5787" s="668"/>
      <c r="F5787" s="668"/>
      <c r="G5787" s="668"/>
      <c r="H5787" s="668"/>
      <c r="I5787" s="668"/>
      <c r="J5787" s="668"/>
      <c r="K5787" s="674"/>
      <c r="L5787" s="668"/>
      <c r="M5787" s="668"/>
    </row>
    <row r="5788" spans="5:13">
      <c r="E5788" s="668"/>
      <c r="F5788" s="668"/>
      <c r="G5788" s="668"/>
      <c r="H5788" s="668"/>
      <c r="I5788" s="668"/>
      <c r="J5788" s="668"/>
      <c r="K5788" s="674"/>
      <c r="L5788" s="668"/>
      <c r="M5788" s="668"/>
    </row>
    <row r="5789" spans="5:13">
      <c r="E5789" s="668"/>
      <c r="F5789" s="668"/>
      <c r="G5789" s="668"/>
      <c r="H5789" s="668"/>
      <c r="I5789" s="668"/>
      <c r="J5789" s="668"/>
      <c r="K5789" s="674"/>
      <c r="L5789" s="668"/>
      <c r="M5789" s="668"/>
    </row>
    <row r="5790" spans="5:13">
      <c r="E5790" s="668"/>
      <c r="F5790" s="668"/>
      <c r="G5790" s="668"/>
      <c r="H5790" s="668"/>
      <c r="I5790" s="668"/>
      <c r="J5790" s="668"/>
      <c r="K5790" s="674"/>
      <c r="L5790" s="668"/>
      <c r="M5790" s="668"/>
    </row>
    <row r="5791" spans="5:13">
      <c r="E5791" s="668"/>
      <c r="F5791" s="668"/>
      <c r="G5791" s="668"/>
      <c r="H5791" s="668"/>
      <c r="I5791" s="668"/>
      <c r="J5791" s="668"/>
      <c r="K5791" s="674"/>
      <c r="L5791" s="668"/>
      <c r="M5791" s="668"/>
    </row>
    <row r="5792" spans="5:13">
      <c r="E5792" s="668"/>
      <c r="F5792" s="668"/>
      <c r="G5792" s="668"/>
      <c r="H5792" s="668"/>
      <c r="I5792" s="668"/>
      <c r="J5792" s="668"/>
      <c r="K5792" s="674"/>
      <c r="L5792" s="668"/>
      <c r="M5792" s="668"/>
    </row>
    <row r="5793" spans="5:13">
      <c r="E5793" s="668"/>
      <c r="F5793" s="668"/>
      <c r="G5793" s="668"/>
      <c r="H5793" s="668"/>
      <c r="I5793" s="668"/>
      <c r="J5793" s="668"/>
      <c r="K5793" s="674"/>
      <c r="L5793" s="668"/>
      <c r="M5793" s="668"/>
    </row>
    <row r="5794" spans="5:13">
      <c r="E5794" s="668"/>
      <c r="F5794" s="668"/>
      <c r="G5794" s="668"/>
      <c r="H5794" s="668"/>
      <c r="I5794" s="668"/>
      <c r="J5794" s="668"/>
      <c r="K5794" s="674"/>
      <c r="L5794" s="668"/>
      <c r="M5794" s="668"/>
    </row>
    <row r="5795" spans="5:13">
      <c r="E5795" s="668"/>
      <c r="F5795" s="668"/>
      <c r="G5795" s="668"/>
      <c r="H5795" s="668"/>
      <c r="I5795" s="668"/>
      <c r="J5795" s="668"/>
      <c r="K5795" s="674"/>
      <c r="L5795" s="668"/>
      <c r="M5795" s="668"/>
    </row>
    <row r="5796" spans="5:13">
      <c r="E5796" s="668"/>
      <c r="F5796" s="668"/>
      <c r="G5796" s="668"/>
      <c r="H5796" s="668"/>
      <c r="I5796" s="668"/>
      <c r="J5796" s="668"/>
      <c r="K5796" s="674"/>
      <c r="L5796" s="668"/>
      <c r="M5796" s="668"/>
    </row>
    <row r="5797" spans="5:13">
      <c r="E5797" s="668"/>
      <c r="F5797" s="668"/>
      <c r="G5797" s="668"/>
      <c r="H5797" s="668"/>
      <c r="I5797" s="668"/>
      <c r="J5797" s="668"/>
      <c r="K5797" s="674"/>
      <c r="L5797" s="668"/>
      <c r="M5797" s="668"/>
    </row>
    <row r="5798" spans="5:13">
      <c r="E5798" s="668"/>
      <c r="F5798" s="668"/>
      <c r="G5798" s="668"/>
      <c r="H5798" s="668"/>
      <c r="I5798" s="668"/>
      <c r="J5798" s="668"/>
      <c r="K5798" s="674"/>
      <c r="L5798" s="668"/>
      <c r="M5798" s="668"/>
    </row>
    <row r="5799" spans="5:13">
      <c r="E5799" s="668"/>
      <c r="F5799" s="668"/>
      <c r="G5799" s="668"/>
      <c r="H5799" s="668"/>
      <c r="I5799" s="668"/>
      <c r="J5799" s="668"/>
      <c r="K5799" s="674"/>
      <c r="L5799" s="668"/>
      <c r="M5799" s="668"/>
    </row>
    <row r="5800" spans="5:13">
      <c r="E5800" s="668"/>
      <c r="F5800" s="668"/>
      <c r="G5800" s="668"/>
      <c r="H5800" s="668"/>
      <c r="I5800" s="668"/>
      <c r="J5800" s="668"/>
      <c r="K5800" s="674"/>
      <c r="L5800" s="668"/>
      <c r="M5800" s="668"/>
    </row>
    <row r="5801" spans="5:13">
      <c r="E5801" s="668"/>
      <c r="F5801" s="668"/>
      <c r="G5801" s="668"/>
      <c r="H5801" s="668"/>
      <c r="I5801" s="668"/>
      <c r="J5801" s="668"/>
      <c r="K5801" s="674"/>
      <c r="L5801" s="668"/>
      <c r="M5801" s="668"/>
    </row>
    <row r="5802" spans="5:13">
      <c r="E5802" s="668"/>
      <c r="F5802" s="668"/>
      <c r="G5802" s="668"/>
      <c r="H5802" s="668"/>
      <c r="I5802" s="668"/>
      <c r="J5802" s="668"/>
      <c r="K5802" s="674"/>
      <c r="L5802" s="668"/>
      <c r="M5802" s="668"/>
    </row>
    <row r="5803" spans="5:13">
      <c r="E5803" s="668"/>
      <c r="F5803" s="668"/>
      <c r="G5803" s="668"/>
      <c r="H5803" s="668"/>
      <c r="I5803" s="668"/>
      <c r="J5803" s="668"/>
      <c r="K5803" s="674"/>
      <c r="L5803" s="668"/>
      <c r="M5803" s="668"/>
    </row>
    <row r="5804" spans="5:13">
      <c r="E5804" s="668"/>
      <c r="F5804" s="668"/>
      <c r="G5804" s="668"/>
      <c r="H5804" s="668"/>
      <c r="I5804" s="668"/>
      <c r="J5804" s="668"/>
      <c r="K5804" s="674"/>
      <c r="L5804" s="668"/>
      <c r="M5804" s="668"/>
    </row>
    <row r="5805" spans="5:13">
      <c r="E5805" s="668"/>
      <c r="F5805" s="668"/>
      <c r="G5805" s="668"/>
      <c r="H5805" s="668"/>
      <c r="I5805" s="668"/>
      <c r="J5805" s="668"/>
      <c r="K5805" s="674"/>
      <c r="L5805" s="668"/>
      <c r="M5805" s="668"/>
    </row>
    <row r="5806" spans="5:13">
      <c r="E5806" s="668"/>
      <c r="F5806" s="668"/>
      <c r="G5806" s="668"/>
      <c r="H5806" s="668"/>
      <c r="I5806" s="668"/>
      <c r="J5806" s="668"/>
      <c r="K5806" s="674"/>
      <c r="L5806" s="668"/>
      <c r="M5806" s="668"/>
    </row>
    <row r="5807" spans="5:13">
      <c r="E5807" s="668"/>
      <c r="F5807" s="668"/>
      <c r="G5807" s="668"/>
      <c r="H5807" s="668"/>
      <c r="I5807" s="668"/>
      <c r="J5807" s="668"/>
      <c r="K5807" s="674"/>
      <c r="L5807" s="668"/>
      <c r="M5807" s="668"/>
    </row>
    <row r="5808" spans="5:13">
      <c r="E5808" s="668"/>
      <c r="F5808" s="668"/>
      <c r="G5808" s="668"/>
      <c r="H5808" s="668"/>
      <c r="I5808" s="668"/>
      <c r="J5808" s="668"/>
      <c r="K5808" s="674"/>
      <c r="L5808" s="668"/>
      <c r="M5808" s="668"/>
    </row>
    <row r="5809" spans="5:13">
      <c r="E5809" s="668"/>
      <c r="F5809" s="668"/>
      <c r="G5809" s="668"/>
      <c r="H5809" s="668"/>
      <c r="I5809" s="668"/>
      <c r="J5809" s="668"/>
      <c r="K5809" s="674"/>
      <c r="L5809" s="668"/>
      <c r="M5809" s="668"/>
    </row>
    <row r="5810" spans="5:13">
      <c r="E5810" s="668"/>
      <c r="F5810" s="668"/>
      <c r="G5810" s="668"/>
      <c r="H5810" s="668"/>
      <c r="I5810" s="668"/>
      <c r="J5810" s="668"/>
      <c r="K5810" s="674"/>
      <c r="L5810" s="668"/>
      <c r="M5810" s="668"/>
    </row>
    <row r="5811" spans="5:13">
      <c r="E5811" s="668"/>
      <c r="F5811" s="668"/>
      <c r="G5811" s="668"/>
      <c r="H5811" s="668"/>
      <c r="I5811" s="668"/>
      <c r="J5811" s="668"/>
      <c r="K5811" s="674"/>
      <c r="L5811" s="668"/>
      <c r="M5811" s="668"/>
    </row>
    <row r="5812" spans="5:13">
      <c r="E5812" s="668"/>
      <c r="F5812" s="668"/>
      <c r="G5812" s="668"/>
      <c r="H5812" s="668"/>
      <c r="I5812" s="668"/>
      <c r="J5812" s="668"/>
      <c r="K5812" s="674"/>
      <c r="L5812" s="668"/>
      <c r="M5812" s="668"/>
    </row>
    <row r="5813" spans="5:13">
      <c r="E5813" s="668"/>
      <c r="F5813" s="668"/>
      <c r="G5813" s="668"/>
      <c r="H5813" s="668"/>
      <c r="I5813" s="668"/>
      <c r="J5813" s="668"/>
      <c r="K5813" s="674"/>
      <c r="L5813" s="668"/>
      <c r="M5813" s="668"/>
    </row>
    <row r="5814" spans="5:13">
      <c r="E5814" s="668"/>
      <c r="F5814" s="668"/>
      <c r="G5814" s="668"/>
      <c r="H5814" s="668"/>
      <c r="I5814" s="668"/>
      <c r="J5814" s="668"/>
      <c r="K5814" s="674"/>
      <c r="L5814" s="668"/>
      <c r="M5814" s="668"/>
    </row>
    <row r="5815" spans="5:13">
      <c r="E5815" s="668"/>
      <c r="F5815" s="668"/>
      <c r="G5815" s="668"/>
      <c r="H5815" s="668"/>
      <c r="I5815" s="668"/>
      <c r="J5815" s="668"/>
      <c r="K5815" s="674"/>
      <c r="L5815" s="668"/>
      <c r="M5815" s="668"/>
    </row>
    <row r="5816" spans="5:13">
      <c r="E5816" s="668"/>
      <c r="F5816" s="668"/>
      <c r="G5816" s="668"/>
      <c r="H5816" s="668"/>
      <c r="I5816" s="668"/>
      <c r="J5816" s="668"/>
      <c r="K5816" s="674"/>
      <c r="L5816" s="668"/>
      <c r="M5816" s="668"/>
    </row>
    <row r="5817" spans="5:13">
      <c r="E5817" s="668"/>
      <c r="F5817" s="668"/>
      <c r="G5817" s="668"/>
      <c r="H5817" s="668"/>
      <c r="I5817" s="668"/>
      <c r="J5817" s="668"/>
      <c r="K5817" s="674"/>
      <c r="L5817" s="668"/>
      <c r="M5817" s="668"/>
    </row>
    <row r="5818" spans="5:13">
      <c r="E5818" s="668"/>
      <c r="F5818" s="668"/>
      <c r="G5818" s="668"/>
      <c r="H5818" s="668"/>
      <c r="I5818" s="668"/>
      <c r="J5818" s="668"/>
      <c r="K5818" s="674"/>
      <c r="L5818" s="668"/>
      <c r="M5818" s="668"/>
    </row>
    <row r="5819" spans="5:13">
      <c r="E5819" s="668"/>
      <c r="F5819" s="668"/>
      <c r="G5819" s="668"/>
      <c r="H5819" s="668"/>
      <c r="I5819" s="668"/>
      <c r="J5819" s="668"/>
      <c r="K5819" s="674"/>
      <c r="L5819" s="668"/>
      <c r="M5819" s="668"/>
    </row>
    <row r="5820" spans="5:13">
      <c r="E5820" s="668"/>
      <c r="F5820" s="668"/>
      <c r="G5820" s="668"/>
      <c r="H5820" s="668"/>
      <c r="I5820" s="668"/>
      <c r="J5820" s="668"/>
      <c r="K5820" s="674"/>
      <c r="L5820" s="668"/>
      <c r="M5820" s="668"/>
    </row>
    <row r="5821" spans="5:13">
      <c r="E5821" s="668"/>
      <c r="F5821" s="668"/>
      <c r="G5821" s="668"/>
      <c r="H5821" s="668"/>
      <c r="I5821" s="668"/>
      <c r="J5821" s="668"/>
      <c r="K5821" s="674"/>
      <c r="L5821" s="668"/>
      <c r="M5821" s="668"/>
    </row>
    <row r="5822" spans="5:13">
      <c r="E5822" s="668"/>
      <c r="F5822" s="668"/>
      <c r="G5822" s="668"/>
      <c r="H5822" s="668"/>
      <c r="I5822" s="668"/>
      <c r="J5822" s="668"/>
      <c r="K5822" s="674"/>
      <c r="L5822" s="668"/>
      <c r="M5822" s="668"/>
    </row>
    <row r="5823" spans="5:13">
      <c r="E5823" s="668"/>
      <c r="F5823" s="668"/>
      <c r="G5823" s="668"/>
      <c r="H5823" s="668"/>
      <c r="I5823" s="668"/>
      <c r="J5823" s="668"/>
      <c r="K5823" s="674"/>
      <c r="L5823" s="668"/>
      <c r="M5823" s="668"/>
    </row>
    <row r="5824" spans="5:13">
      <c r="E5824" s="668"/>
      <c r="F5824" s="668"/>
      <c r="G5824" s="668"/>
      <c r="H5824" s="668"/>
      <c r="I5824" s="668"/>
      <c r="J5824" s="668"/>
      <c r="K5824" s="674"/>
      <c r="L5824" s="668"/>
      <c r="M5824" s="668"/>
    </row>
    <row r="5825" spans="5:13">
      <c r="E5825" s="668"/>
      <c r="F5825" s="668"/>
      <c r="G5825" s="668"/>
      <c r="H5825" s="668"/>
      <c r="I5825" s="668"/>
      <c r="J5825" s="668"/>
      <c r="K5825" s="674"/>
      <c r="L5825" s="668"/>
      <c r="M5825" s="668"/>
    </row>
    <row r="5826" spans="5:13">
      <c r="E5826" s="668"/>
      <c r="F5826" s="668"/>
      <c r="G5826" s="668"/>
      <c r="H5826" s="668"/>
      <c r="I5826" s="668"/>
      <c r="J5826" s="668"/>
      <c r="K5826" s="674"/>
      <c r="L5826" s="668"/>
      <c r="M5826" s="668"/>
    </row>
    <row r="5827" spans="5:13">
      <c r="E5827" s="668"/>
      <c r="F5827" s="668"/>
      <c r="G5827" s="668"/>
      <c r="H5827" s="668"/>
      <c r="I5827" s="668"/>
      <c r="J5827" s="668"/>
      <c r="K5827" s="674"/>
      <c r="L5827" s="668"/>
      <c r="M5827" s="668"/>
    </row>
    <row r="5828" spans="5:13">
      <c r="E5828" s="668"/>
      <c r="F5828" s="668"/>
      <c r="G5828" s="668"/>
      <c r="H5828" s="668"/>
      <c r="I5828" s="668"/>
      <c r="J5828" s="668"/>
      <c r="K5828" s="674"/>
      <c r="L5828" s="668"/>
      <c r="M5828" s="668"/>
    </row>
    <row r="5829" spans="5:13">
      <c r="E5829" s="668"/>
      <c r="F5829" s="668"/>
      <c r="G5829" s="668"/>
      <c r="H5829" s="668"/>
      <c r="I5829" s="668"/>
      <c r="J5829" s="668"/>
      <c r="K5829" s="674"/>
      <c r="L5829" s="668"/>
      <c r="M5829" s="668"/>
    </row>
    <row r="5830" spans="5:13">
      <c r="E5830" s="668"/>
      <c r="F5830" s="668"/>
      <c r="G5830" s="668"/>
      <c r="H5830" s="668"/>
      <c r="I5830" s="668"/>
      <c r="J5830" s="668"/>
      <c r="K5830" s="674"/>
      <c r="L5830" s="668"/>
      <c r="M5830" s="668"/>
    </row>
    <row r="5831" spans="5:13">
      <c r="E5831" s="668"/>
      <c r="F5831" s="668"/>
      <c r="G5831" s="668"/>
      <c r="H5831" s="668"/>
      <c r="I5831" s="668"/>
      <c r="J5831" s="668"/>
      <c r="K5831" s="674"/>
      <c r="L5831" s="668"/>
      <c r="M5831" s="668"/>
    </row>
    <row r="5832" spans="5:13">
      <c r="E5832" s="668"/>
      <c r="F5832" s="668"/>
      <c r="G5832" s="668"/>
      <c r="H5832" s="668"/>
      <c r="I5832" s="668"/>
      <c r="J5832" s="668"/>
      <c r="K5832" s="674"/>
      <c r="L5832" s="668"/>
      <c r="M5832" s="668"/>
    </row>
    <row r="5833" spans="5:13">
      <c r="E5833" s="668"/>
      <c r="F5833" s="668"/>
      <c r="G5833" s="668"/>
      <c r="H5833" s="668"/>
      <c r="I5833" s="668"/>
      <c r="J5833" s="668"/>
      <c r="K5833" s="674"/>
      <c r="L5833" s="668"/>
      <c r="M5833" s="668"/>
    </row>
    <row r="5834" spans="5:13">
      <c r="E5834" s="668"/>
      <c r="F5834" s="668"/>
      <c r="G5834" s="668"/>
      <c r="H5834" s="668"/>
      <c r="I5834" s="668"/>
      <c r="J5834" s="668"/>
      <c r="K5834" s="674"/>
      <c r="L5834" s="668"/>
      <c r="M5834" s="668"/>
    </row>
    <row r="5835" spans="5:13">
      <c r="E5835" s="668"/>
      <c r="F5835" s="668"/>
      <c r="G5835" s="668"/>
      <c r="H5835" s="668"/>
      <c r="I5835" s="668"/>
      <c r="J5835" s="668"/>
      <c r="K5835" s="674"/>
      <c r="L5835" s="668"/>
      <c r="M5835" s="668"/>
    </row>
    <row r="5836" spans="5:13">
      <c r="E5836" s="668"/>
      <c r="F5836" s="668"/>
      <c r="G5836" s="668"/>
      <c r="H5836" s="668"/>
      <c r="I5836" s="668"/>
      <c r="J5836" s="668"/>
      <c r="K5836" s="674"/>
      <c r="L5836" s="668"/>
      <c r="M5836" s="668"/>
    </row>
    <row r="5837" spans="5:13">
      <c r="E5837" s="668"/>
      <c r="F5837" s="668"/>
      <c r="G5837" s="668"/>
      <c r="H5837" s="668"/>
      <c r="I5837" s="668"/>
      <c r="J5837" s="668"/>
      <c r="K5837" s="674"/>
      <c r="L5837" s="668"/>
      <c r="M5837" s="668"/>
    </row>
    <row r="5838" spans="5:13">
      <c r="E5838" s="668"/>
      <c r="F5838" s="668"/>
      <c r="G5838" s="668"/>
      <c r="H5838" s="668"/>
      <c r="I5838" s="668"/>
      <c r="J5838" s="668"/>
      <c r="K5838" s="674"/>
      <c r="L5838" s="668"/>
      <c r="M5838" s="668"/>
    </row>
    <row r="5839" spans="5:13">
      <c r="E5839" s="668"/>
      <c r="F5839" s="668"/>
      <c r="G5839" s="668"/>
      <c r="H5839" s="668"/>
      <c r="I5839" s="668"/>
      <c r="J5839" s="668"/>
      <c r="K5839" s="674"/>
      <c r="L5839" s="668"/>
      <c r="M5839" s="668"/>
    </row>
    <row r="5840" spans="5:13">
      <c r="E5840" s="668"/>
      <c r="F5840" s="668"/>
      <c r="G5840" s="668"/>
      <c r="H5840" s="668"/>
      <c r="I5840" s="668"/>
      <c r="J5840" s="668"/>
      <c r="K5840" s="674"/>
      <c r="L5840" s="668"/>
      <c r="M5840" s="668"/>
    </row>
    <row r="5841" spans="5:13">
      <c r="E5841" s="668"/>
      <c r="F5841" s="668"/>
      <c r="G5841" s="668"/>
      <c r="H5841" s="668"/>
      <c r="I5841" s="668"/>
      <c r="J5841" s="668"/>
      <c r="K5841" s="674"/>
      <c r="L5841" s="668"/>
      <c r="M5841" s="668"/>
    </row>
    <row r="5842" spans="5:13">
      <c r="E5842" s="668"/>
      <c r="F5842" s="668"/>
      <c r="G5842" s="668"/>
      <c r="H5842" s="668"/>
      <c r="I5842" s="668"/>
      <c r="J5842" s="668"/>
      <c r="K5842" s="674"/>
      <c r="L5842" s="668"/>
      <c r="M5842" s="668"/>
    </row>
    <row r="5843" spans="5:13">
      <c r="E5843" s="668"/>
      <c r="F5843" s="668"/>
      <c r="G5843" s="668"/>
      <c r="H5843" s="668"/>
      <c r="I5843" s="668"/>
      <c r="J5843" s="668"/>
      <c r="K5843" s="674"/>
      <c r="L5843" s="668"/>
      <c r="M5843" s="668"/>
    </row>
    <row r="5844" spans="5:13">
      <c r="E5844" s="668"/>
      <c r="F5844" s="668"/>
      <c r="G5844" s="668"/>
      <c r="H5844" s="668"/>
      <c r="I5844" s="668"/>
      <c r="J5844" s="668"/>
      <c r="K5844" s="674"/>
      <c r="L5844" s="668"/>
      <c r="M5844" s="668"/>
    </row>
    <row r="5845" spans="5:13">
      <c r="E5845" s="668"/>
      <c r="F5845" s="668"/>
      <c r="G5845" s="668"/>
      <c r="H5845" s="668"/>
      <c r="I5845" s="668"/>
      <c r="J5845" s="668"/>
      <c r="K5845" s="674"/>
      <c r="L5845" s="668"/>
      <c r="M5845" s="668"/>
    </row>
    <row r="5846" spans="5:13">
      <c r="E5846" s="668"/>
      <c r="F5846" s="668"/>
      <c r="G5846" s="668"/>
      <c r="H5846" s="668"/>
      <c r="I5846" s="668"/>
      <c r="J5846" s="668"/>
      <c r="K5846" s="674"/>
      <c r="L5846" s="668"/>
      <c r="M5846" s="668"/>
    </row>
    <row r="5847" spans="5:13">
      <c r="E5847" s="668"/>
      <c r="F5847" s="668"/>
      <c r="G5847" s="668"/>
      <c r="H5847" s="668"/>
      <c r="I5847" s="668"/>
      <c r="J5847" s="668"/>
      <c r="K5847" s="674"/>
      <c r="L5847" s="668"/>
      <c r="M5847" s="668"/>
    </row>
    <row r="5848" spans="5:13">
      <c r="E5848" s="668"/>
      <c r="F5848" s="668"/>
      <c r="G5848" s="668"/>
      <c r="H5848" s="668"/>
      <c r="I5848" s="668"/>
      <c r="J5848" s="668"/>
      <c r="K5848" s="674"/>
      <c r="L5848" s="668"/>
      <c r="M5848" s="668"/>
    </row>
    <row r="5849" spans="5:13">
      <c r="E5849" s="668"/>
      <c r="F5849" s="668"/>
      <c r="G5849" s="668"/>
      <c r="H5849" s="668"/>
      <c r="I5849" s="668"/>
      <c r="J5849" s="668"/>
      <c r="K5849" s="674"/>
      <c r="L5849" s="668"/>
      <c r="M5849" s="668"/>
    </row>
    <row r="5850" spans="5:13">
      <c r="E5850" s="668"/>
      <c r="F5850" s="668"/>
      <c r="G5850" s="668"/>
      <c r="H5850" s="668"/>
      <c r="I5850" s="668"/>
      <c r="J5850" s="668"/>
      <c r="K5850" s="674"/>
      <c r="L5850" s="668"/>
      <c r="M5850" s="668"/>
    </row>
    <row r="5851" spans="5:13">
      <c r="E5851" s="668"/>
      <c r="F5851" s="668"/>
      <c r="G5851" s="668"/>
      <c r="H5851" s="668"/>
      <c r="I5851" s="668"/>
      <c r="J5851" s="668"/>
      <c r="K5851" s="674"/>
      <c r="L5851" s="668"/>
      <c r="M5851" s="668"/>
    </row>
    <row r="5852" spans="5:13">
      <c r="E5852" s="668"/>
      <c r="F5852" s="668"/>
      <c r="G5852" s="668"/>
      <c r="H5852" s="668"/>
      <c r="I5852" s="668"/>
      <c r="J5852" s="668"/>
      <c r="K5852" s="674"/>
      <c r="L5852" s="668"/>
      <c r="M5852" s="668"/>
    </row>
    <row r="5853" spans="5:13">
      <c r="E5853" s="668"/>
      <c r="F5853" s="668"/>
      <c r="G5853" s="668"/>
      <c r="H5853" s="668"/>
      <c r="I5853" s="668"/>
      <c r="J5853" s="668"/>
      <c r="K5853" s="674"/>
      <c r="L5853" s="668"/>
      <c r="M5853" s="668"/>
    </row>
    <row r="5854" spans="5:13">
      <c r="E5854" s="668"/>
      <c r="F5854" s="668"/>
      <c r="G5854" s="668"/>
      <c r="H5854" s="668"/>
      <c r="I5854" s="668"/>
      <c r="J5854" s="668"/>
      <c r="K5854" s="674"/>
      <c r="L5854" s="668"/>
      <c r="M5854" s="668"/>
    </row>
    <row r="5855" spans="5:13">
      <c r="E5855" s="668"/>
      <c r="F5855" s="668"/>
      <c r="G5855" s="668"/>
      <c r="H5855" s="668"/>
      <c r="I5855" s="668"/>
      <c r="J5855" s="668"/>
      <c r="K5855" s="674"/>
      <c r="L5855" s="668"/>
      <c r="M5855" s="668"/>
    </row>
    <row r="5856" spans="5:13">
      <c r="E5856" s="668"/>
      <c r="F5856" s="668"/>
      <c r="G5856" s="668"/>
      <c r="H5856" s="668"/>
      <c r="I5856" s="668"/>
      <c r="J5856" s="668"/>
      <c r="K5856" s="674"/>
      <c r="L5856" s="668"/>
      <c r="M5856" s="668"/>
    </row>
    <row r="5857" spans="5:13">
      <c r="E5857" s="668"/>
      <c r="F5857" s="668"/>
      <c r="G5857" s="668"/>
      <c r="H5857" s="668"/>
      <c r="I5857" s="668"/>
      <c r="J5857" s="668"/>
      <c r="K5857" s="674"/>
      <c r="L5857" s="668"/>
      <c r="M5857" s="668"/>
    </row>
    <row r="5858" spans="5:13">
      <c r="E5858" s="668"/>
      <c r="F5858" s="668"/>
      <c r="G5858" s="668"/>
      <c r="H5858" s="668"/>
      <c r="I5858" s="668"/>
      <c r="J5858" s="668"/>
      <c r="K5858" s="674"/>
      <c r="L5858" s="668"/>
      <c r="M5858" s="668"/>
    </row>
    <row r="5859" spans="5:13">
      <c r="E5859" s="668"/>
      <c r="F5859" s="668"/>
      <c r="G5859" s="668"/>
      <c r="H5859" s="668"/>
      <c r="I5859" s="668"/>
      <c r="J5859" s="668"/>
      <c r="K5859" s="674"/>
      <c r="L5859" s="668"/>
      <c r="M5859" s="668"/>
    </row>
    <row r="5860" spans="5:13">
      <c r="E5860" s="668"/>
      <c r="F5860" s="668"/>
      <c r="G5860" s="668"/>
      <c r="H5860" s="668"/>
      <c r="I5860" s="668"/>
      <c r="J5860" s="668"/>
      <c r="K5860" s="674"/>
      <c r="L5860" s="668"/>
      <c r="M5860" s="668"/>
    </row>
    <row r="5861" spans="5:13">
      <c r="E5861" s="668"/>
      <c r="F5861" s="668"/>
      <c r="G5861" s="668"/>
      <c r="H5861" s="668"/>
      <c r="I5861" s="668"/>
      <c r="J5861" s="668"/>
      <c r="K5861" s="674"/>
      <c r="L5861" s="668"/>
      <c r="M5861" s="668"/>
    </row>
    <row r="5862" spans="5:13">
      <c r="E5862" s="668"/>
      <c r="F5862" s="668"/>
      <c r="G5862" s="668"/>
      <c r="H5862" s="668"/>
      <c r="I5862" s="668"/>
      <c r="J5862" s="668"/>
      <c r="K5862" s="674"/>
      <c r="L5862" s="668"/>
      <c r="M5862" s="668"/>
    </row>
    <row r="5863" spans="5:13">
      <c r="E5863" s="668"/>
      <c r="F5863" s="668"/>
      <c r="G5863" s="668"/>
      <c r="H5863" s="668"/>
      <c r="I5863" s="668"/>
      <c r="J5863" s="668"/>
      <c r="K5863" s="674"/>
      <c r="L5863" s="668"/>
      <c r="M5863" s="668"/>
    </row>
    <row r="5864" spans="5:13">
      <c r="E5864" s="668"/>
      <c r="F5864" s="668"/>
      <c r="G5864" s="668"/>
      <c r="H5864" s="668"/>
      <c r="I5864" s="668"/>
      <c r="J5864" s="668"/>
      <c r="K5864" s="674"/>
      <c r="L5864" s="668"/>
      <c r="M5864" s="668"/>
    </row>
    <row r="5865" spans="5:13">
      <c r="E5865" s="668"/>
      <c r="F5865" s="668"/>
      <c r="G5865" s="668"/>
      <c r="H5865" s="668"/>
      <c r="I5865" s="668"/>
      <c r="J5865" s="668"/>
      <c r="K5865" s="674"/>
      <c r="L5865" s="668"/>
      <c r="M5865" s="668"/>
    </row>
    <row r="5866" spans="5:13">
      <c r="E5866" s="668"/>
      <c r="F5866" s="668"/>
      <c r="G5866" s="668"/>
      <c r="H5866" s="668"/>
      <c r="I5866" s="668"/>
      <c r="J5866" s="668"/>
      <c r="K5866" s="674"/>
      <c r="L5866" s="668"/>
      <c r="M5866" s="668"/>
    </row>
    <row r="5867" spans="5:13">
      <c r="E5867" s="668"/>
      <c r="F5867" s="668"/>
      <c r="G5867" s="668"/>
      <c r="H5867" s="668"/>
      <c r="I5867" s="668"/>
      <c r="J5867" s="668"/>
      <c r="K5867" s="674"/>
      <c r="L5867" s="668"/>
      <c r="M5867" s="668"/>
    </row>
    <row r="5868" spans="5:13">
      <c r="E5868" s="668"/>
      <c r="F5868" s="668"/>
      <c r="G5868" s="668"/>
      <c r="H5868" s="668"/>
      <c r="I5868" s="668"/>
      <c r="J5868" s="668"/>
      <c r="K5868" s="674"/>
      <c r="L5868" s="668"/>
      <c r="M5868" s="668"/>
    </row>
    <row r="5869" spans="5:13">
      <c r="E5869" s="668"/>
      <c r="F5869" s="668"/>
      <c r="G5869" s="668"/>
      <c r="H5869" s="668"/>
      <c r="I5869" s="668"/>
      <c r="J5869" s="668"/>
      <c r="K5869" s="674"/>
      <c r="L5869" s="668"/>
      <c r="M5869" s="668"/>
    </row>
    <row r="5870" spans="5:13">
      <c r="E5870" s="668"/>
      <c r="F5870" s="668"/>
      <c r="G5870" s="668"/>
      <c r="H5870" s="668"/>
      <c r="I5870" s="668"/>
      <c r="J5870" s="668"/>
      <c r="K5870" s="674"/>
      <c r="L5870" s="668"/>
      <c r="M5870" s="668"/>
    </row>
    <row r="5871" spans="5:13">
      <c r="E5871" s="668"/>
      <c r="F5871" s="668"/>
      <c r="G5871" s="668"/>
      <c r="H5871" s="668"/>
      <c r="I5871" s="668"/>
      <c r="J5871" s="668"/>
      <c r="K5871" s="674"/>
      <c r="L5871" s="668"/>
      <c r="M5871" s="668"/>
    </row>
    <row r="5872" spans="5:13">
      <c r="E5872" s="668"/>
      <c r="F5872" s="668"/>
      <c r="G5872" s="668"/>
      <c r="H5872" s="668"/>
      <c r="I5872" s="668"/>
      <c r="J5872" s="668"/>
      <c r="K5872" s="674"/>
      <c r="L5872" s="668"/>
      <c r="M5872" s="668"/>
    </row>
    <row r="5873" spans="5:13">
      <c r="E5873" s="668"/>
      <c r="F5873" s="668"/>
      <c r="G5873" s="668"/>
      <c r="H5873" s="668"/>
      <c r="I5873" s="668"/>
      <c r="J5873" s="668"/>
      <c r="K5873" s="674"/>
      <c r="L5873" s="668"/>
      <c r="M5873" s="668"/>
    </row>
    <row r="5874" spans="5:13">
      <c r="E5874" s="668"/>
      <c r="F5874" s="668"/>
      <c r="G5874" s="668"/>
      <c r="H5874" s="668"/>
      <c r="I5874" s="668"/>
      <c r="J5874" s="668"/>
      <c r="K5874" s="674"/>
      <c r="L5874" s="668"/>
      <c r="M5874" s="668"/>
    </row>
    <row r="5875" spans="5:13">
      <c r="E5875" s="668"/>
      <c r="F5875" s="668"/>
      <c r="G5875" s="668"/>
      <c r="H5875" s="668"/>
      <c r="I5875" s="668"/>
      <c r="J5875" s="668"/>
      <c r="K5875" s="674"/>
      <c r="L5875" s="668"/>
      <c r="M5875" s="668"/>
    </row>
    <row r="5876" spans="5:13">
      <c r="E5876" s="668"/>
      <c r="F5876" s="668"/>
      <c r="G5876" s="668"/>
      <c r="H5876" s="668"/>
      <c r="I5876" s="668"/>
      <c r="J5876" s="668"/>
      <c r="K5876" s="674"/>
      <c r="L5876" s="668"/>
      <c r="M5876" s="668"/>
    </row>
    <row r="5877" spans="5:13">
      <c r="E5877" s="668"/>
      <c r="F5877" s="668"/>
      <c r="G5877" s="668"/>
      <c r="H5877" s="668"/>
      <c r="I5877" s="668"/>
      <c r="J5877" s="668"/>
      <c r="K5877" s="674"/>
      <c r="L5877" s="668"/>
      <c r="M5877" s="668"/>
    </row>
    <row r="5878" spans="5:13">
      <c r="E5878" s="668"/>
      <c r="F5878" s="668"/>
      <c r="G5878" s="668"/>
      <c r="H5878" s="668"/>
      <c r="I5878" s="668"/>
      <c r="J5878" s="668"/>
      <c r="K5878" s="674"/>
      <c r="L5878" s="668"/>
      <c r="M5878" s="668"/>
    </row>
    <row r="5879" spans="5:13">
      <c r="E5879" s="668"/>
      <c r="F5879" s="668"/>
      <c r="G5879" s="668"/>
      <c r="H5879" s="668"/>
      <c r="I5879" s="668"/>
      <c r="J5879" s="668"/>
      <c r="K5879" s="674"/>
      <c r="L5879" s="668"/>
      <c r="M5879" s="668"/>
    </row>
    <row r="5880" spans="5:13">
      <c r="E5880" s="668"/>
      <c r="F5880" s="668"/>
      <c r="G5880" s="668"/>
      <c r="H5880" s="668"/>
      <c r="I5880" s="668"/>
      <c r="J5880" s="668"/>
      <c r="K5880" s="674"/>
      <c r="L5880" s="668"/>
      <c r="M5880" s="668"/>
    </row>
    <row r="5881" spans="5:13">
      <c r="E5881" s="668"/>
      <c r="F5881" s="668"/>
      <c r="G5881" s="668"/>
      <c r="H5881" s="668"/>
      <c r="I5881" s="668"/>
      <c r="J5881" s="668"/>
      <c r="K5881" s="674"/>
      <c r="L5881" s="668"/>
      <c r="M5881" s="668"/>
    </row>
    <row r="5882" spans="5:13">
      <c r="E5882" s="668"/>
      <c r="F5882" s="668"/>
      <c r="G5882" s="668"/>
      <c r="H5882" s="668"/>
      <c r="I5882" s="668"/>
      <c r="J5882" s="668"/>
      <c r="K5882" s="674"/>
      <c r="L5882" s="668"/>
      <c r="M5882" s="668"/>
    </row>
    <row r="5883" spans="5:13">
      <c r="E5883" s="668"/>
      <c r="F5883" s="668"/>
      <c r="G5883" s="668"/>
      <c r="H5883" s="668"/>
      <c r="I5883" s="668"/>
      <c r="J5883" s="668"/>
      <c r="K5883" s="674"/>
      <c r="L5883" s="668"/>
      <c r="M5883" s="668"/>
    </row>
    <row r="5884" spans="5:13">
      <c r="E5884" s="668"/>
      <c r="F5884" s="668"/>
      <c r="G5884" s="668"/>
      <c r="H5884" s="668"/>
      <c r="I5884" s="668"/>
      <c r="J5884" s="668"/>
      <c r="K5884" s="674"/>
      <c r="L5884" s="668"/>
      <c r="M5884" s="668"/>
    </row>
    <row r="5885" spans="5:13">
      <c r="E5885" s="668"/>
      <c r="F5885" s="668"/>
      <c r="G5885" s="668"/>
      <c r="H5885" s="668"/>
      <c r="I5885" s="668"/>
      <c r="J5885" s="668"/>
      <c r="K5885" s="674"/>
      <c r="L5885" s="668"/>
      <c r="M5885" s="668"/>
    </row>
    <row r="5886" spans="5:13">
      <c r="E5886" s="668"/>
      <c r="F5886" s="668"/>
      <c r="G5886" s="668"/>
      <c r="H5886" s="668"/>
      <c r="I5886" s="668"/>
      <c r="J5886" s="668"/>
      <c r="K5886" s="674"/>
      <c r="L5886" s="668"/>
      <c r="M5886" s="668"/>
    </row>
    <row r="5887" spans="5:13">
      <c r="E5887" s="668"/>
      <c r="F5887" s="668"/>
      <c r="G5887" s="668"/>
      <c r="H5887" s="668"/>
      <c r="I5887" s="668"/>
      <c r="J5887" s="668"/>
      <c r="K5887" s="674"/>
      <c r="L5887" s="668"/>
      <c r="M5887" s="668"/>
    </row>
    <row r="5888" spans="5:13">
      <c r="E5888" s="668"/>
      <c r="F5888" s="668"/>
      <c r="G5888" s="668"/>
      <c r="H5888" s="668"/>
      <c r="I5888" s="668"/>
      <c r="J5888" s="668"/>
      <c r="K5888" s="674"/>
      <c r="L5888" s="668"/>
      <c r="M5888" s="668"/>
    </row>
    <row r="5889" spans="5:13">
      <c r="E5889" s="668"/>
      <c r="F5889" s="668"/>
      <c r="G5889" s="668"/>
      <c r="H5889" s="668"/>
      <c r="I5889" s="668"/>
      <c r="J5889" s="668"/>
      <c r="K5889" s="674"/>
      <c r="L5889" s="668"/>
      <c r="M5889" s="668"/>
    </row>
    <row r="5890" spans="5:13">
      <c r="E5890" s="668"/>
      <c r="F5890" s="668"/>
      <c r="G5890" s="668"/>
      <c r="H5890" s="668"/>
      <c r="I5890" s="668"/>
      <c r="J5890" s="668"/>
      <c r="K5890" s="674"/>
      <c r="L5890" s="668"/>
      <c r="M5890" s="668"/>
    </row>
    <row r="5891" spans="5:13">
      <c r="E5891" s="668"/>
      <c r="F5891" s="668"/>
      <c r="G5891" s="668"/>
      <c r="H5891" s="668"/>
      <c r="I5891" s="668"/>
      <c r="J5891" s="668"/>
      <c r="K5891" s="674"/>
      <c r="L5891" s="668"/>
      <c r="M5891" s="668"/>
    </row>
    <row r="5892" spans="5:13">
      <c r="E5892" s="668"/>
      <c r="F5892" s="668"/>
      <c r="G5892" s="668"/>
      <c r="H5892" s="668"/>
      <c r="I5892" s="668"/>
      <c r="J5892" s="668"/>
      <c r="K5892" s="674"/>
      <c r="L5892" s="668"/>
      <c r="M5892" s="668"/>
    </row>
    <row r="5893" spans="5:13">
      <c r="E5893" s="668"/>
      <c r="F5893" s="668"/>
      <c r="G5893" s="668"/>
      <c r="H5893" s="668"/>
      <c r="I5893" s="668"/>
      <c r="J5893" s="668"/>
      <c r="K5893" s="674"/>
      <c r="L5893" s="668"/>
      <c r="M5893" s="668"/>
    </row>
    <row r="5894" spans="5:13">
      <c r="E5894" s="668"/>
      <c r="F5894" s="668"/>
      <c r="G5894" s="668"/>
      <c r="H5894" s="668"/>
      <c r="I5894" s="668"/>
      <c r="J5894" s="668"/>
      <c r="K5894" s="674"/>
      <c r="L5894" s="668"/>
      <c r="M5894" s="668"/>
    </row>
    <row r="5895" spans="5:13">
      <c r="E5895" s="668"/>
      <c r="F5895" s="668"/>
      <c r="G5895" s="668"/>
      <c r="H5895" s="668"/>
      <c r="I5895" s="668"/>
      <c r="J5895" s="668"/>
      <c r="K5895" s="674"/>
      <c r="L5895" s="668"/>
      <c r="M5895" s="668"/>
    </row>
    <row r="5896" spans="5:13">
      <c r="E5896" s="668"/>
      <c r="F5896" s="668"/>
      <c r="G5896" s="668"/>
      <c r="H5896" s="668"/>
      <c r="I5896" s="668"/>
      <c r="J5896" s="668"/>
      <c r="K5896" s="674"/>
      <c r="L5896" s="668"/>
      <c r="M5896" s="668"/>
    </row>
    <row r="5897" spans="5:13">
      <c r="E5897" s="668"/>
      <c r="F5897" s="668"/>
      <c r="G5897" s="668"/>
      <c r="H5897" s="668"/>
      <c r="I5897" s="668"/>
      <c r="J5897" s="668"/>
      <c r="K5897" s="674"/>
      <c r="L5897" s="668"/>
      <c r="M5897" s="668"/>
    </row>
    <row r="5898" spans="5:13">
      <c r="E5898" s="668"/>
      <c r="F5898" s="668"/>
      <c r="G5898" s="668"/>
      <c r="H5898" s="668"/>
      <c r="I5898" s="668"/>
      <c r="J5898" s="668"/>
      <c r="K5898" s="674"/>
      <c r="L5898" s="668"/>
      <c r="M5898" s="668"/>
    </row>
    <row r="5899" spans="5:13">
      <c r="E5899" s="668"/>
      <c r="F5899" s="668"/>
      <c r="G5899" s="668"/>
      <c r="H5899" s="668"/>
      <c r="I5899" s="668"/>
      <c r="J5899" s="668"/>
      <c r="K5899" s="674"/>
      <c r="L5899" s="668"/>
      <c r="M5899" s="668"/>
    </row>
    <row r="5900" spans="5:13">
      <c r="E5900" s="668"/>
      <c r="F5900" s="668"/>
      <c r="G5900" s="668"/>
      <c r="H5900" s="668"/>
      <c r="I5900" s="668"/>
      <c r="J5900" s="668"/>
      <c r="K5900" s="674"/>
      <c r="L5900" s="668"/>
      <c r="M5900" s="668"/>
    </row>
    <row r="5901" spans="5:13">
      <c r="E5901" s="668"/>
      <c r="F5901" s="668"/>
      <c r="G5901" s="668"/>
      <c r="H5901" s="668"/>
      <c r="I5901" s="668"/>
      <c r="J5901" s="668"/>
      <c r="K5901" s="674"/>
      <c r="L5901" s="668"/>
      <c r="M5901" s="668"/>
    </row>
    <row r="5902" spans="5:13">
      <c r="E5902" s="668"/>
      <c r="F5902" s="668"/>
      <c r="G5902" s="668"/>
      <c r="H5902" s="668"/>
      <c r="I5902" s="668"/>
      <c r="J5902" s="668"/>
      <c r="K5902" s="674"/>
      <c r="L5902" s="668"/>
      <c r="M5902" s="668"/>
    </row>
    <row r="5903" spans="5:13">
      <c r="E5903" s="668"/>
      <c r="F5903" s="668"/>
      <c r="G5903" s="668"/>
      <c r="H5903" s="668"/>
      <c r="I5903" s="668"/>
      <c r="J5903" s="668"/>
      <c r="K5903" s="674"/>
      <c r="L5903" s="668"/>
      <c r="M5903" s="668"/>
    </row>
    <row r="5904" spans="5:13">
      <c r="E5904" s="668"/>
      <c r="F5904" s="668"/>
      <c r="G5904" s="668"/>
      <c r="H5904" s="668"/>
      <c r="I5904" s="668"/>
      <c r="J5904" s="668"/>
      <c r="K5904" s="674"/>
      <c r="L5904" s="668"/>
      <c r="M5904" s="668"/>
    </row>
    <row r="5905" spans="5:13">
      <c r="E5905" s="668"/>
      <c r="F5905" s="668"/>
      <c r="G5905" s="668"/>
      <c r="H5905" s="668"/>
      <c r="I5905" s="668"/>
      <c r="J5905" s="668"/>
      <c r="K5905" s="674"/>
      <c r="L5905" s="668"/>
      <c r="M5905" s="668"/>
    </row>
    <row r="5906" spans="5:13">
      <c r="E5906" s="668"/>
      <c r="F5906" s="668"/>
      <c r="G5906" s="668"/>
      <c r="H5906" s="668"/>
      <c r="I5906" s="668"/>
      <c r="J5906" s="668"/>
      <c r="K5906" s="674"/>
      <c r="L5906" s="668"/>
      <c r="M5906" s="668"/>
    </row>
    <row r="5907" spans="5:13">
      <c r="E5907" s="668"/>
      <c r="F5907" s="668"/>
      <c r="G5907" s="668"/>
      <c r="H5907" s="668"/>
      <c r="I5907" s="668"/>
      <c r="J5907" s="668"/>
      <c r="K5907" s="674"/>
      <c r="L5907" s="668"/>
      <c r="M5907" s="668"/>
    </row>
    <row r="5908" spans="5:13">
      <c r="E5908" s="668"/>
      <c r="F5908" s="668"/>
      <c r="G5908" s="668"/>
      <c r="H5908" s="668"/>
      <c r="I5908" s="668"/>
      <c r="J5908" s="668"/>
      <c r="K5908" s="674"/>
      <c r="L5908" s="668"/>
      <c r="M5908" s="668"/>
    </row>
    <row r="5909" spans="5:13">
      <c r="E5909" s="668"/>
      <c r="F5909" s="668"/>
      <c r="G5909" s="668"/>
      <c r="H5909" s="668"/>
      <c r="I5909" s="668"/>
      <c r="J5909" s="668"/>
      <c r="K5909" s="674"/>
      <c r="L5909" s="668"/>
      <c r="M5909" s="668"/>
    </row>
    <row r="5910" spans="5:13">
      <c r="E5910" s="668"/>
      <c r="F5910" s="668"/>
      <c r="G5910" s="668"/>
      <c r="H5910" s="668"/>
      <c r="I5910" s="668"/>
      <c r="J5910" s="668"/>
      <c r="K5910" s="674"/>
      <c r="L5910" s="668"/>
      <c r="M5910" s="668"/>
    </row>
    <row r="5911" spans="5:13">
      <c r="E5911" s="668"/>
      <c r="F5911" s="668"/>
      <c r="G5911" s="668"/>
      <c r="H5911" s="668"/>
      <c r="I5911" s="668"/>
      <c r="J5911" s="668"/>
      <c r="K5911" s="674"/>
      <c r="L5911" s="668"/>
      <c r="M5911" s="668"/>
    </row>
    <row r="5912" spans="5:13">
      <c r="E5912" s="668"/>
      <c r="F5912" s="668"/>
      <c r="G5912" s="668"/>
      <c r="H5912" s="668"/>
      <c r="I5912" s="668"/>
      <c r="J5912" s="668"/>
      <c r="K5912" s="674"/>
      <c r="L5912" s="668"/>
      <c r="M5912" s="668"/>
    </row>
    <row r="5913" spans="5:13">
      <c r="E5913" s="668"/>
      <c r="F5913" s="668"/>
      <c r="G5913" s="668"/>
      <c r="H5913" s="668"/>
      <c r="I5913" s="668"/>
      <c r="J5913" s="668"/>
      <c r="K5913" s="674"/>
      <c r="L5913" s="668"/>
      <c r="M5913" s="668"/>
    </row>
    <row r="5914" spans="5:13">
      <c r="E5914" s="668"/>
      <c r="F5914" s="668"/>
      <c r="G5914" s="668"/>
      <c r="H5914" s="668"/>
      <c r="I5914" s="668"/>
      <c r="J5914" s="668"/>
      <c r="K5914" s="674"/>
      <c r="L5914" s="668"/>
      <c r="M5914" s="668"/>
    </row>
    <row r="5915" spans="5:13">
      <c r="E5915" s="668"/>
      <c r="F5915" s="668"/>
      <c r="G5915" s="668"/>
      <c r="H5915" s="668"/>
      <c r="I5915" s="668"/>
      <c r="J5915" s="668"/>
      <c r="K5915" s="674"/>
      <c r="L5915" s="668"/>
      <c r="M5915" s="668"/>
    </row>
    <row r="5916" spans="5:13">
      <c r="E5916" s="668"/>
      <c r="F5916" s="668"/>
      <c r="G5916" s="668"/>
      <c r="H5916" s="668"/>
      <c r="I5916" s="668"/>
      <c r="J5916" s="668"/>
      <c r="K5916" s="674"/>
      <c r="L5916" s="668"/>
      <c r="M5916" s="668"/>
    </row>
    <row r="5917" spans="5:13">
      <c r="E5917" s="668"/>
      <c r="F5917" s="668"/>
      <c r="G5917" s="668"/>
      <c r="H5917" s="668"/>
      <c r="I5917" s="668"/>
      <c r="J5917" s="668"/>
      <c r="K5917" s="674"/>
      <c r="L5917" s="668"/>
      <c r="M5917" s="668"/>
    </row>
    <row r="5918" spans="5:13">
      <c r="E5918" s="668"/>
      <c r="F5918" s="668"/>
      <c r="G5918" s="668"/>
      <c r="H5918" s="668"/>
      <c r="I5918" s="668"/>
      <c r="J5918" s="668"/>
      <c r="K5918" s="674"/>
      <c r="L5918" s="668"/>
      <c r="M5918" s="668"/>
    </row>
    <row r="5919" spans="5:13">
      <c r="E5919" s="668"/>
      <c r="F5919" s="668"/>
      <c r="G5919" s="668"/>
      <c r="H5919" s="668"/>
      <c r="I5919" s="668"/>
      <c r="J5919" s="668"/>
      <c r="K5919" s="674"/>
      <c r="L5919" s="668"/>
      <c r="M5919" s="668"/>
    </row>
    <row r="5920" spans="5:13">
      <c r="E5920" s="668"/>
      <c r="F5920" s="668"/>
      <c r="G5920" s="668"/>
      <c r="H5920" s="668"/>
      <c r="I5920" s="668"/>
      <c r="J5920" s="668"/>
      <c r="K5920" s="674"/>
      <c r="L5920" s="668"/>
      <c r="M5920" s="668"/>
    </row>
    <row r="5921" spans="5:13">
      <c r="E5921" s="668"/>
      <c r="F5921" s="668"/>
      <c r="G5921" s="668"/>
      <c r="H5921" s="668"/>
      <c r="I5921" s="668"/>
      <c r="J5921" s="668"/>
      <c r="K5921" s="674"/>
      <c r="L5921" s="668"/>
      <c r="M5921" s="668"/>
    </row>
    <row r="5922" spans="5:13">
      <c r="E5922" s="668"/>
      <c r="F5922" s="668"/>
      <c r="G5922" s="668"/>
      <c r="H5922" s="668"/>
      <c r="I5922" s="668"/>
      <c r="J5922" s="668"/>
      <c r="K5922" s="674"/>
      <c r="L5922" s="668"/>
      <c r="M5922" s="668"/>
    </row>
    <row r="5923" spans="5:13">
      <c r="E5923" s="668"/>
      <c r="F5923" s="668"/>
      <c r="G5923" s="668"/>
      <c r="H5923" s="668"/>
      <c r="I5923" s="668"/>
      <c r="J5923" s="668"/>
      <c r="K5923" s="674"/>
      <c r="L5923" s="668"/>
      <c r="M5923" s="668"/>
    </row>
    <row r="5924" spans="5:13">
      <c r="E5924" s="668"/>
      <c r="F5924" s="668"/>
      <c r="G5924" s="668"/>
      <c r="H5924" s="668"/>
      <c r="I5924" s="668"/>
      <c r="J5924" s="668"/>
      <c r="K5924" s="674"/>
      <c r="L5924" s="668"/>
      <c r="M5924" s="668"/>
    </row>
    <row r="5925" spans="5:13">
      <c r="E5925" s="668"/>
      <c r="F5925" s="668"/>
      <c r="G5925" s="668"/>
      <c r="H5925" s="668"/>
      <c r="I5925" s="668"/>
      <c r="J5925" s="668"/>
      <c r="K5925" s="674"/>
      <c r="L5925" s="668"/>
      <c r="M5925" s="668"/>
    </row>
    <row r="5926" spans="5:13">
      <c r="E5926" s="668"/>
      <c r="F5926" s="668"/>
      <c r="G5926" s="668"/>
      <c r="H5926" s="668"/>
      <c r="I5926" s="668"/>
      <c r="J5926" s="668"/>
      <c r="K5926" s="674"/>
      <c r="L5926" s="668"/>
      <c r="M5926" s="668"/>
    </row>
    <row r="5927" spans="5:13">
      <c r="E5927" s="668"/>
      <c r="F5927" s="668"/>
      <c r="G5927" s="668"/>
      <c r="H5927" s="668"/>
      <c r="I5927" s="668"/>
      <c r="J5927" s="668"/>
      <c r="K5927" s="674"/>
      <c r="L5927" s="668"/>
      <c r="M5927" s="668"/>
    </row>
    <row r="5928" spans="5:13">
      <c r="E5928" s="668"/>
      <c r="F5928" s="668"/>
      <c r="G5928" s="668"/>
      <c r="H5928" s="668"/>
      <c r="I5928" s="668"/>
      <c r="J5928" s="668"/>
      <c r="K5928" s="674"/>
      <c r="L5928" s="668"/>
      <c r="M5928" s="668"/>
    </row>
    <row r="5929" spans="5:13">
      <c r="E5929" s="668"/>
      <c r="F5929" s="668"/>
      <c r="G5929" s="668"/>
      <c r="H5929" s="668"/>
      <c r="I5929" s="668"/>
      <c r="J5929" s="668"/>
      <c r="K5929" s="674"/>
      <c r="L5929" s="668"/>
      <c r="M5929" s="668"/>
    </row>
    <row r="5930" spans="5:13">
      <c r="E5930" s="668"/>
      <c r="F5930" s="668"/>
      <c r="G5930" s="668"/>
      <c r="H5930" s="668"/>
      <c r="I5930" s="668"/>
      <c r="J5930" s="668"/>
      <c r="K5930" s="674"/>
      <c r="L5930" s="668"/>
      <c r="M5930" s="668"/>
    </row>
    <row r="5931" spans="5:13">
      <c r="E5931" s="668"/>
      <c r="F5931" s="668"/>
      <c r="G5931" s="668"/>
      <c r="H5931" s="668"/>
      <c r="I5931" s="668"/>
      <c r="J5931" s="668"/>
      <c r="K5931" s="674"/>
      <c r="L5931" s="668"/>
      <c r="M5931" s="668"/>
    </row>
    <row r="5932" spans="5:13">
      <c r="E5932" s="668"/>
      <c r="F5932" s="668"/>
      <c r="G5932" s="668"/>
      <c r="H5932" s="668"/>
      <c r="I5932" s="668"/>
      <c r="J5932" s="668"/>
      <c r="K5932" s="674"/>
      <c r="L5932" s="668"/>
      <c r="M5932" s="668"/>
    </row>
    <row r="5933" spans="5:13">
      <c r="E5933" s="668"/>
      <c r="F5933" s="668"/>
      <c r="G5933" s="668"/>
      <c r="H5933" s="668"/>
      <c r="I5933" s="668"/>
      <c r="J5933" s="668"/>
      <c r="K5933" s="674"/>
      <c r="L5933" s="668"/>
      <c r="M5933" s="668"/>
    </row>
    <row r="5934" spans="5:13">
      <c r="E5934" s="668"/>
      <c r="F5934" s="668"/>
      <c r="G5934" s="668"/>
      <c r="H5934" s="668"/>
      <c r="I5934" s="668"/>
      <c r="J5934" s="668"/>
      <c r="K5934" s="674"/>
      <c r="L5934" s="668"/>
      <c r="M5934" s="668"/>
    </row>
    <row r="5935" spans="5:13">
      <c r="E5935" s="668"/>
      <c r="F5935" s="668"/>
      <c r="G5935" s="668"/>
      <c r="H5935" s="668"/>
      <c r="I5935" s="668"/>
      <c r="J5935" s="668"/>
      <c r="K5935" s="674"/>
      <c r="L5935" s="668"/>
      <c r="M5935" s="668"/>
    </row>
    <row r="5936" spans="5:13">
      <c r="E5936" s="668"/>
      <c r="F5936" s="668"/>
      <c r="G5936" s="668"/>
      <c r="H5936" s="668"/>
      <c r="I5936" s="668"/>
      <c r="J5936" s="668"/>
      <c r="K5936" s="674"/>
      <c r="L5936" s="668"/>
      <c r="M5936" s="668"/>
    </row>
    <row r="5937" spans="5:13">
      <c r="E5937" s="668"/>
      <c r="F5937" s="668"/>
      <c r="G5937" s="668"/>
      <c r="H5937" s="668"/>
      <c r="I5937" s="668"/>
      <c r="J5937" s="668"/>
      <c r="K5937" s="674"/>
      <c r="L5937" s="668"/>
      <c r="M5937" s="668"/>
    </row>
    <row r="5938" spans="5:13">
      <c r="E5938" s="668"/>
      <c r="F5938" s="668"/>
      <c r="G5938" s="668"/>
      <c r="H5938" s="668"/>
      <c r="I5938" s="668"/>
      <c r="J5938" s="668"/>
      <c r="K5938" s="674"/>
      <c r="L5938" s="668"/>
      <c r="M5938" s="668"/>
    </row>
    <row r="5939" spans="5:13">
      <c r="E5939" s="668"/>
      <c r="F5939" s="668"/>
      <c r="G5939" s="668"/>
      <c r="H5939" s="668"/>
      <c r="I5939" s="668"/>
      <c r="J5939" s="668"/>
      <c r="K5939" s="674"/>
      <c r="L5939" s="668"/>
      <c r="M5939" s="668"/>
    </row>
    <row r="5940" spans="5:13">
      <c r="E5940" s="668"/>
      <c r="F5940" s="668"/>
      <c r="G5940" s="668"/>
      <c r="H5940" s="668"/>
      <c r="I5940" s="668"/>
      <c r="J5940" s="668"/>
      <c r="K5940" s="674"/>
      <c r="L5940" s="668"/>
      <c r="M5940" s="668"/>
    </row>
    <row r="5941" spans="5:13">
      <c r="E5941" s="668"/>
      <c r="F5941" s="668"/>
      <c r="G5941" s="668"/>
      <c r="H5941" s="668"/>
      <c r="I5941" s="668"/>
      <c r="J5941" s="668"/>
      <c r="K5941" s="674"/>
      <c r="L5941" s="668"/>
      <c r="M5941" s="668"/>
    </row>
    <row r="5942" spans="5:13">
      <c r="E5942" s="668"/>
      <c r="F5942" s="668"/>
      <c r="G5942" s="668"/>
      <c r="H5942" s="668"/>
      <c r="I5942" s="668"/>
      <c r="J5942" s="668"/>
      <c r="K5942" s="674"/>
      <c r="L5942" s="668"/>
      <c r="M5942" s="668"/>
    </row>
    <row r="5943" spans="5:13">
      <c r="E5943" s="668"/>
      <c r="F5943" s="668"/>
      <c r="G5943" s="668"/>
      <c r="H5943" s="668"/>
      <c r="I5943" s="668"/>
      <c r="J5943" s="668"/>
      <c r="K5943" s="674"/>
      <c r="L5943" s="668"/>
      <c r="M5943" s="668"/>
    </row>
    <row r="5944" spans="5:13">
      <c r="E5944" s="668"/>
      <c r="F5944" s="668"/>
      <c r="G5944" s="668"/>
      <c r="H5944" s="668"/>
      <c r="I5944" s="668"/>
      <c r="J5944" s="668"/>
      <c r="K5944" s="674"/>
      <c r="L5944" s="668"/>
      <c r="M5944" s="668"/>
    </row>
    <row r="5945" spans="5:13">
      <c r="E5945" s="668"/>
      <c r="F5945" s="668"/>
      <c r="G5945" s="668"/>
      <c r="H5945" s="668"/>
      <c r="I5945" s="668"/>
      <c r="J5945" s="668"/>
      <c r="K5945" s="674"/>
      <c r="L5945" s="668"/>
      <c r="M5945" s="668"/>
    </row>
    <row r="5946" spans="5:13">
      <c r="E5946" s="668"/>
      <c r="F5946" s="668"/>
      <c r="G5946" s="668"/>
      <c r="H5946" s="668"/>
      <c r="I5946" s="668"/>
      <c r="J5946" s="668"/>
      <c r="K5946" s="674"/>
      <c r="L5946" s="668"/>
      <c r="M5946" s="668"/>
    </row>
    <row r="5947" spans="5:13">
      <c r="E5947" s="668"/>
      <c r="F5947" s="668"/>
      <c r="G5947" s="668"/>
      <c r="H5947" s="668"/>
      <c r="I5947" s="668"/>
      <c r="J5947" s="668"/>
      <c r="K5947" s="674"/>
      <c r="L5947" s="668"/>
      <c r="M5947" s="668"/>
    </row>
    <row r="5948" spans="5:13">
      <c r="E5948" s="668"/>
      <c r="F5948" s="668"/>
      <c r="G5948" s="668"/>
      <c r="H5948" s="668"/>
      <c r="I5948" s="668"/>
      <c r="J5948" s="668"/>
      <c r="K5948" s="674"/>
      <c r="L5948" s="668"/>
      <c r="M5948" s="668"/>
    </row>
    <row r="5949" spans="5:13">
      <c r="E5949" s="668"/>
      <c r="F5949" s="668"/>
      <c r="G5949" s="668"/>
      <c r="H5949" s="668"/>
      <c r="I5949" s="668"/>
      <c r="J5949" s="668"/>
      <c r="K5949" s="674"/>
      <c r="L5949" s="668"/>
      <c r="M5949" s="668"/>
    </row>
    <row r="5950" spans="5:13">
      <c r="E5950" s="668"/>
      <c r="F5950" s="668"/>
      <c r="G5950" s="668"/>
      <c r="H5950" s="668"/>
      <c r="I5950" s="668"/>
      <c r="J5950" s="668"/>
      <c r="K5950" s="674"/>
      <c r="L5950" s="668"/>
      <c r="M5950" s="668"/>
    </row>
    <row r="5951" spans="5:13">
      <c r="E5951" s="668"/>
      <c r="F5951" s="668"/>
      <c r="G5951" s="668"/>
      <c r="H5951" s="668"/>
      <c r="I5951" s="668"/>
      <c r="J5951" s="668"/>
      <c r="K5951" s="674"/>
      <c r="L5951" s="668"/>
      <c r="M5951" s="668"/>
    </row>
    <row r="5952" spans="5:13">
      <c r="E5952" s="668"/>
      <c r="F5952" s="668"/>
      <c r="G5952" s="668"/>
      <c r="H5952" s="668"/>
      <c r="I5952" s="668"/>
      <c r="J5952" s="668"/>
      <c r="K5952" s="674"/>
      <c r="L5952" s="668"/>
      <c r="M5952" s="668"/>
    </row>
    <row r="5953" spans="5:13">
      <c r="E5953" s="668"/>
      <c r="F5953" s="668"/>
      <c r="G5953" s="668"/>
      <c r="H5953" s="668"/>
      <c r="I5953" s="668"/>
      <c r="J5953" s="668"/>
      <c r="K5953" s="674"/>
      <c r="L5953" s="668"/>
      <c r="M5953" s="668"/>
    </row>
    <row r="5954" spans="5:13">
      <c r="E5954" s="668"/>
      <c r="F5954" s="668"/>
      <c r="G5954" s="668"/>
      <c r="H5954" s="668"/>
      <c r="I5954" s="668"/>
      <c r="J5954" s="668"/>
      <c r="K5954" s="674"/>
      <c r="L5954" s="668"/>
      <c r="M5954" s="668"/>
    </row>
    <row r="5955" spans="5:13">
      <c r="E5955" s="668"/>
      <c r="F5955" s="668"/>
      <c r="G5955" s="668"/>
      <c r="H5955" s="668"/>
      <c r="I5955" s="668"/>
      <c r="J5955" s="668"/>
      <c r="K5955" s="674"/>
      <c r="L5955" s="668"/>
      <c r="M5955" s="668"/>
    </row>
    <row r="5956" spans="5:13">
      <c r="E5956" s="668"/>
      <c r="F5956" s="668"/>
      <c r="G5956" s="668"/>
      <c r="H5956" s="668"/>
      <c r="I5956" s="668"/>
      <c r="J5956" s="668"/>
      <c r="K5956" s="674"/>
      <c r="L5956" s="668"/>
      <c r="M5956" s="668"/>
    </row>
    <row r="5957" spans="5:13">
      <c r="E5957" s="668"/>
      <c r="F5957" s="668"/>
      <c r="G5957" s="668"/>
      <c r="H5957" s="668"/>
      <c r="I5957" s="668"/>
      <c r="J5957" s="668"/>
      <c r="K5957" s="674"/>
      <c r="L5957" s="668"/>
      <c r="M5957" s="668"/>
    </row>
    <row r="5958" spans="5:13">
      <c r="E5958" s="668"/>
      <c r="F5958" s="668"/>
      <c r="G5958" s="668"/>
      <c r="H5958" s="668"/>
      <c r="I5958" s="668"/>
      <c r="J5958" s="668"/>
      <c r="K5958" s="674"/>
      <c r="L5958" s="668"/>
      <c r="M5958" s="668"/>
    </row>
    <row r="5959" spans="5:13">
      <c r="E5959" s="668"/>
      <c r="F5959" s="668"/>
      <c r="G5959" s="668"/>
      <c r="H5959" s="668"/>
      <c r="I5959" s="668"/>
      <c r="J5959" s="668"/>
      <c r="K5959" s="674"/>
      <c r="L5959" s="668"/>
      <c r="M5959" s="668"/>
    </row>
    <row r="5960" spans="5:13">
      <c r="E5960" s="668"/>
      <c r="F5960" s="668"/>
      <c r="G5960" s="668"/>
      <c r="H5960" s="668"/>
      <c r="I5960" s="668"/>
      <c r="J5960" s="668"/>
      <c r="K5960" s="674"/>
      <c r="L5960" s="668"/>
      <c r="M5960" s="668"/>
    </row>
    <row r="5961" spans="5:13">
      <c r="E5961" s="668"/>
      <c r="F5961" s="668"/>
      <c r="G5961" s="668"/>
      <c r="H5961" s="668"/>
      <c r="I5961" s="668"/>
      <c r="J5961" s="668"/>
      <c r="K5961" s="674"/>
      <c r="L5961" s="668"/>
      <c r="M5961" s="668"/>
    </row>
    <row r="5962" spans="5:13">
      <c r="E5962" s="668"/>
      <c r="F5962" s="668"/>
      <c r="G5962" s="668"/>
      <c r="H5962" s="668"/>
      <c r="I5962" s="668"/>
      <c r="J5962" s="668"/>
      <c r="K5962" s="674"/>
      <c r="L5962" s="668"/>
      <c r="M5962" s="668"/>
    </row>
    <row r="5963" spans="5:13">
      <c r="E5963" s="668"/>
      <c r="F5963" s="668"/>
      <c r="G5963" s="668"/>
      <c r="H5963" s="668"/>
      <c r="I5963" s="668"/>
      <c r="J5963" s="668"/>
      <c r="K5963" s="674"/>
      <c r="L5963" s="668"/>
      <c r="M5963" s="668"/>
    </row>
    <row r="5964" spans="5:13">
      <c r="E5964" s="668"/>
      <c r="F5964" s="668"/>
      <c r="G5964" s="668"/>
      <c r="H5964" s="668"/>
      <c r="I5964" s="668"/>
      <c r="J5964" s="668"/>
      <c r="K5964" s="674"/>
      <c r="L5964" s="668"/>
      <c r="M5964" s="668"/>
    </row>
    <row r="5965" spans="5:13">
      <c r="E5965" s="668"/>
      <c r="F5965" s="668"/>
      <c r="G5965" s="668"/>
      <c r="H5965" s="668"/>
      <c r="I5965" s="668"/>
      <c r="J5965" s="668"/>
      <c r="K5965" s="674"/>
      <c r="L5965" s="668"/>
      <c r="M5965" s="668"/>
    </row>
    <row r="5966" spans="5:13">
      <c r="E5966" s="668"/>
      <c r="F5966" s="668"/>
      <c r="G5966" s="668"/>
      <c r="H5966" s="668"/>
      <c r="I5966" s="668"/>
      <c r="J5966" s="668"/>
      <c r="K5966" s="674"/>
      <c r="L5966" s="668"/>
      <c r="M5966" s="668"/>
    </row>
    <row r="5967" spans="5:13">
      <c r="E5967" s="668"/>
      <c r="F5967" s="668"/>
      <c r="G5967" s="668"/>
      <c r="H5967" s="668"/>
      <c r="I5967" s="668"/>
      <c r="J5967" s="668"/>
      <c r="K5967" s="674"/>
      <c r="L5967" s="668"/>
      <c r="M5967" s="668"/>
    </row>
    <row r="5968" spans="5:13">
      <c r="E5968" s="668"/>
      <c r="F5968" s="668"/>
      <c r="G5968" s="668"/>
      <c r="H5968" s="668"/>
      <c r="I5968" s="668"/>
      <c r="J5968" s="668"/>
      <c r="K5968" s="674"/>
      <c r="L5968" s="668"/>
      <c r="M5968" s="668"/>
    </row>
    <row r="5969" spans="5:13">
      <c r="E5969" s="668"/>
      <c r="F5969" s="668"/>
      <c r="G5969" s="668"/>
      <c r="H5969" s="668"/>
      <c r="I5969" s="668"/>
      <c r="J5969" s="668"/>
      <c r="K5969" s="674"/>
      <c r="L5969" s="668"/>
      <c r="M5969" s="668"/>
    </row>
    <row r="5970" spans="5:13">
      <c r="E5970" s="668"/>
      <c r="F5970" s="668"/>
      <c r="G5970" s="668"/>
      <c r="H5970" s="668"/>
      <c r="I5970" s="668"/>
      <c r="J5970" s="668"/>
      <c r="K5970" s="674"/>
      <c r="L5970" s="668"/>
      <c r="M5970" s="668"/>
    </row>
    <row r="5971" spans="5:13">
      <c r="E5971" s="668"/>
      <c r="F5971" s="668"/>
      <c r="G5971" s="668"/>
      <c r="H5971" s="668"/>
      <c r="I5971" s="668"/>
      <c r="J5971" s="668"/>
      <c r="K5971" s="674"/>
      <c r="L5971" s="668"/>
      <c r="M5971" s="668"/>
    </row>
    <row r="5972" spans="5:13">
      <c r="E5972" s="668"/>
      <c r="F5972" s="668"/>
      <c r="G5972" s="668"/>
      <c r="H5972" s="668"/>
      <c r="I5972" s="668"/>
      <c r="J5972" s="668"/>
      <c r="K5972" s="674"/>
      <c r="L5972" s="668"/>
      <c r="M5972" s="668"/>
    </row>
    <row r="5973" spans="5:13">
      <c r="E5973" s="668"/>
      <c r="F5973" s="668"/>
      <c r="G5973" s="668"/>
      <c r="H5973" s="668"/>
      <c r="I5973" s="668"/>
      <c r="J5973" s="668"/>
      <c r="K5973" s="674"/>
      <c r="L5973" s="668"/>
      <c r="M5973" s="668"/>
    </row>
    <row r="5974" spans="5:13">
      <c r="E5974" s="668"/>
      <c r="F5974" s="668"/>
      <c r="G5974" s="668"/>
      <c r="H5974" s="668"/>
      <c r="I5974" s="668"/>
      <c r="J5974" s="668"/>
      <c r="K5974" s="674"/>
      <c r="L5974" s="668"/>
      <c r="M5974" s="668"/>
    </row>
    <row r="5975" spans="5:13">
      <c r="E5975" s="668"/>
      <c r="F5975" s="668"/>
      <c r="G5975" s="668"/>
      <c r="H5975" s="668"/>
      <c r="I5975" s="668"/>
      <c r="J5975" s="668"/>
      <c r="K5975" s="674"/>
      <c r="L5975" s="668"/>
      <c r="M5975" s="668"/>
    </row>
    <row r="5976" spans="5:13">
      <c r="E5976" s="668"/>
      <c r="F5976" s="668"/>
      <c r="G5976" s="668"/>
      <c r="H5976" s="668"/>
      <c r="I5976" s="668"/>
      <c r="J5976" s="668"/>
      <c r="K5976" s="674"/>
      <c r="L5976" s="668"/>
      <c r="M5976" s="668"/>
    </row>
    <row r="5977" spans="5:13">
      <c r="E5977" s="668"/>
      <c r="F5977" s="668"/>
      <c r="G5977" s="668"/>
      <c r="H5977" s="668"/>
      <c r="I5977" s="668"/>
      <c r="J5977" s="668"/>
      <c r="K5977" s="674"/>
      <c r="L5977" s="668"/>
      <c r="M5977" s="668"/>
    </row>
    <row r="5978" spans="5:13">
      <c r="E5978" s="668"/>
      <c r="F5978" s="668"/>
      <c r="G5978" s="668"/>
      <c r="H5978" s="668"/>
      <c r="I5978" s="668"/>
      <c r="J5978" s="668"/>
      <c r="K5978" s="674"/>
      <c r="L5978" s="668"/>
      <c r="M5978" s="668"/>
    </row>
    <row r="5979" spans="5:13">
      <c r="E5979" s="668"/>
      <c r="F5979" s="668"/>
      <c r="G5979" s="668"/>
      <c r="H5979" s="668"/>
      <c r="I5979" s="668"/>
      <c r="J5979" s="668"/>
      <c r="K5979" s="674"/>
      <c r="L5979" s="668"/>
      <c r="M5979" s="668"/>
    </row>
    <row r="5980" spans="5:13">
      <c r="E5980" s="668"/>
      <c r="F5980" s="668"/>
      <c r="G5980" s="668"/>
      <c r="H5980" s="668"/>
      <c r="I5980" s="668"/>
      <c r="J5980" s="668"/>
      <c r="K5980" s="674"/>
      <c r="L5980" s="668"/>
      <c r="M5980" s="668"/>
    </row>
    <row r="5981" spans="5:13">
      <c r="E5981" s="668"/>
      <c r="F5981" s="668"/>
      <c r="G5981" s="668"/>
      <c r="H5981" s="668"/>
      <c r="I5981" s="668"/>
      <c r="J5981" s="668"/>
      <c r="K5981" s="674"/>
      <c r="L5981" s="668"/>
      <c r="M5981" s="668"/>
    </row>
    <row r="5982" spans="5:13">
      <c r="E5982" s="668"/>
      <c r="F5982" s="668"/>
      <c r="G5982" s="668"/>
      <c r="H5982" s="668"/>
      <c r="I5982" s="668"/>
      <c r="J5982" s="668"/>
      <c r="K5982" s="674"/>
      <c r="L5982" s="668"/>
      <c r="M5982" s="668"/>
    </row>
    <row r="5983" spans="5:13">
      <c r="E5983" s="668"/>
      <c r="F5983" s="668"/>
      <c r="G5983" s="668"/>
      <c r="H5983" s="668"/>
      <c r="I5983" s="668"/>
      <c r="J5983" s="668"/>
      <c r="K5983" s="674"/>
      <c r="L5983" s="668"/>
      <c r="M5983" s="668"/>
    </row>
    <row r="5984" spans="5:13">
      <c r="E5984" s="668"/>
      <c r="F5984" s="668"/>
      <c r="G5984" s="668"/>
      <c r="H5984" s="668"/>
      <c r="I5984" s="668"/>
      <c r="J5984" s="668"/>
      <c r="K5984" s="674"/>
      <c r="L5984" s="668"/>
      <c r="M5984" s="668"/>
    </row>
    <row r="5985" spans="5:13">
      <c r="E5985" s="668"/>
      <c r="F5985" s="668"/>
      <c r="G5985" s="668"/>
      <c r="H5985" s="668"/>
      <c r="I5985" s="668"/>
      <c r="J5985" s="668"/>
      <c r="K5985" s="674"/>
      <c r="L5985" s="668"/>
      <c r="M5985" s="668"/>
    </row>
    <row r="5986" spans="5:13">
      <c r="E5986" s="668"/>
      <c r="F5986" s="668"/>
      <c r="G5986" s="668"/>
      <c r="H5986" s="668"/>
      <c r="I5986" s="668"/>
      <c r="J5986" s="668"/>
      <c r="K5986" s="674"/>
      <c r="L5986" s="668"/>
      <c r="M5986" s="668"/>
    </row>
    <row r="5987" spans="5:13">
      <c r="E5987" s="668"/>
      <c r="F5987" s="668"/>
      <c r="G5987" s="668"/>
      <c r="H5987" s="668"/>
      <c r="I5987" s="668"/>
      <c r="J5987" s="668"/>
      <c r="K5987" s="674"/>
      <c r="L5987" s="668"/>
      <c r="M5987" s="668"/>
    </row>
    <row r="5988" spans="5:13">
      <c r="E5988" s="668"/>
      <c r="F5988" s="668"/>
      <c r="G5988" s="668"/>
      <c r="H5988" s="668"/>
      <c r="I5988" s="668"/>
      <c r="J5988" s="668"/>
      <c r="K5988" s="674"/>
      <c r="L5988" s="668"/>
      <c r="M5988" s="668"/>
    </row>
    <row r="5989" spans="5:13">
      <c r="E5989" s="668"/>
      <c r="F5989" s="668"/>
      <c r="G5989" s="668"/>
      <c r="H5989" s="668"/>
      <c r="I5989" s="668"/>
      <c r="J5989" s="668"/>
      <c r="K5989" s="674"/>
      <c r="L5989" s="668"/>
      <c r="M5989" s="668"/>
    </row>
    <row r="5990" spans="5:13">
      <c r="E5990" s="668"/>
      <c r="F5990" s="668"/>
      <c r="G5990" s="668"/>
      <c r="H5990" s="668"/>
      <c r="I5990" s="668"/>
      <c r="J5990" s="668"/>
      <c r="K5990" s="674"/>
      <c r="L5990" s="668"/>
      <c r="M5990" s="668"/>
    </row>
    <row r="5991" spans="5:13">
      <c r="E5991" s="668"/>
      <c r="F5991" s="668"/>
      <c r="G5991" s="668"/>
      <c r="H5991" s="668"/>
      <c r="I5991" s="668"/>
      <c r="J5991" s="668"/>
      <c r="K5991" s="674"/>
      <c r="L5991" s="668"/>
      <c r="M5991" s="668"/>
    </row>
    <row r="5992" spans="5:13">
      <c r="E5992" s="668"/>
      <c r="F5992" s="668"/>
      <c r="G5992" s="668"/>
      <c r="H5992" s="668"/>
      <c r="I5992" s="668"/>
      <c r="J5992" s="668"/>
      <c r="K5992" s="674"/>
      <c r="L5992" s="668"/>
      <c r="M5992" s="668"/>
    </row>
    <row r="5993" spans="5:13">
      <c r="E5993" s="668"/>
      <c r="F5993" s="668"/>
      <c r="G5993" s="668"/>
      <c r="H5993" s="668"/>
      <c r="I5993" s="668"/>
      <c r="J5993" s="668"/>
      <c r="K5993" s="674"/>
      <c r="L5993" s="668"/>
      <c r="M5993" s="668"/>
    </row>
    <row r="5994" spans="5:13">
      <c r="E5994" s="668"/>
      <c r="F5994" s="668"/>
      <c r="G5994" s="668"/>
      <c r="H5994" s="668"/>
      <c r="I5994" s="668"/>
      <c r="J5994" s="668"/>
      <c r="K5994" s="674"/>
      <c r="L5994" s="668"/>
      <c r="M5994" s="668"/>
    </row>
    <row r="5995" spans="5:13">
      <c r="E5995" s="668"/>
      <c r="F5995" s="668"/>
      <c r="G5995" s="668"/>
      <c r="H5995" s="668"/>
      <c r="I5995" s="668"/>
      <c r="J5995" s="668"/>
      <c r="K5995" s="674"/>
      <c r="L5995" s="668"/>
      <c r="M5995" s="668"/>
    </row>
    <row r="5996" spans="5:13">
      <c r="E5996" s="668"/>
      <c r="F5996" s="668"/>
      <c r="G5996" s="668"/>
      <c r="H5996" s="668"/>
      <c r="I5996" s="668"/>
      <c r="J5996" s="668"/>
      <c r="K5996" s="674"/>
      <c r="L5996" s="668"/>
      <c r="M5996" s="668"/>
    </row>
    <row r="5997" spans="5:13">
      <c r="E5997" s="668"/>
      <c r="F5997" s="668"/>
      <c r="G5997" s="668"/>
      <c r="H5997" s="668"/>
      <c r="I5997" s="668"/>
      <c r="J5997" s="668"/>
      <c r="K5997" s="674"/>
      <c r="L5997" s="668"/>
      <c r="M5997" s="668"/>
    </row>
    <row r="5998" spans="5:13">
      <c r="E5998" s="668"/>
      <c r="F5998" s="668"/>
      <c r="G5998" s="668"/>
      <c r="H5998" s="668"/>
      <c r="I5998" s="668"/>
      <c r="J5998" s="668"/>
      <c r="K5998" s="674"/>
      <c r="L5998" s="668"/>
      <c r="M5998" s="668"/>
    </row>
    <row r="5999" spans="5:13">
      <c r="E5999" s="668"/>
      <c r="F5999" s="668"/>
      <c r="G5999" s="668"/>
      <c r="H5999" s="668"/>
      <c r="I5999" s="668"/>
      <c r="J5999" s="668"/>
      <c r="K5999" s="674"/>
      <c r="L5999" s="668"/>
      <c r="M5999" s="668"/>
    </row>
    <row r="6000" spans="5:13">
      <c r="E6000" s="668"/>
      <c r="F6000" s="668"/>
      <c r="G6000" s="668"/>
      <c r="H6000" s="668"/>
      <c r="I6000" s="668"/>
      <c r="J6000" s="668"/>
      <c r="K6000" s="674"/>
      <c r="L6000" s="668"/>
      <c r="M6000" s="668"/>
    </row>
    <row r="6001" spans="5:13">
      <c r="E6001" s="668"/>
      <c r="F6001" s="668"/>
      <c r="G6001" s="668"/>
      <c r="H6001" s="668"/>
      <c r="I6001" s="668"/>
      <c r="J6001" s="668"/>
      <c r="K6001" s="674"/>
      <c r="L6001" s="668"/>
      <c r="M6001" s="668"/>
    </row>
    <row r="6002" spans="5:13">
      <c r="E6002" s="668"/>
      <c r="F6002" s="668"/>
      <c r="G6002" s="668"/>
      <c r="H6002" s="668"/>
      <c r="I6002" s="668"/>
      <c r="J6002" s="668"/>
      <c r="K6002" s="674"/>
      <c r="L6002" s="668"/>
      <c r="M6002" s="668"/>
    </row>
    <row r="6003" spans="5:13">
      <c r="E6003" s="668"/>
      <c r="F6003" s="668"/>
      <c r="G6003" s="668"/>
      <c r="H6003" s="668"/>
      <c r="I6003" s="668"/>
      <c r="J6003" s="668"/>
      <c r="K6003" s="674"/>
      <c r="L6003" s="668"/>
      <c r="M6003" s="668"/>
    </row>
    <row r="6004" spans="5:13">
      <c r="E6004" s="668"/>
      <c r="F6004" s="668"/>
      <c r="G6004" s="668"/>
      <c r="H6004" s="668"/>
      <c r="I6004" s="668"/>
      <c r="J6004" s="668"/>
      <c r="K6004" s="674"/>
      <c r="L6004" s="668"/>
      <c r="M6004" s="668"/>
    </row>
    <row r="6005" spans="5:13">
      <c r="E6005" s="668"/>
      <c r="F6005" s="668"/>
      <c r="G6005" s="668"/>
      <c r="H6005" s="668"/>
      <c r="I6005" s="668"/>
      <c r="J6005" s="668"/>
      <c r="K6005" s="674"/>
      <c r="L6005" s="668"/>
      <c r="M6005" s="668"/>
    </row>
    <row r="6006" spans="5:13">
      <c r="E6006" s="668"/>
      <c r="F6006" s="668"/>
      <c r="G6006" s="668"/>
      <c r="H6006" s="668"/>
      <c r="I6006" s="668"/>
      <c r="J6006" s="668"/>
      <c r="K6006" s="674"/>
      <c r="L6006" s="668"/>
      <c r="M6006" s="668"/>
    </row>
    <row r="6007" spans="5:13">
      <c r="E6007" s="668"/>
      <c r="F6007" s="668"/>
      <c r="G6007" s="668"/>
      <c r="H6007" s="668"/>
      <c r="I6007" s="668"/>
      <c r="J6007" s="668"/>
      <c r="K6007" s="674"/>
      <c r="L6007" s="668"/>
      <c r="M6007" s="668"/>
    </row>
    <row r="6008" spans="5:13">
      <c r="E6008" s="668"/>
      <c r="F6008" s="668"/>
      <c r="G6008" s="668"/>
      <c r="H6008" s="668"/>
      <c r="I6008" s="668"/>
      <c r="J6008" s="668"/>
      <c r="K6008" s="674"/>
      <c r="L6008" s="668"/>
      <c r="M6008" s="668"/>
    </row>
    <row r="6009" spans="5:13">
      <c r="E6009" s="668"/>
      <c r="F6009" s="668"/>
      <c r="G6009" s="668"/>
      <c r="H6009" s="668"/>
      <c r="I6009" s="668"/>
      <c r="J6009" s="668"/>
      <c r="K6009" s="674"/>
      <c r="L6009" s="668"/>
      <c r="M6009" s="668"/>
    </row>
    <row r="6010" spans="5:13">
      <c r="E6010" s="668"/>
      <c r="F6010" s="668"/>
      <c r="G6010" s="668"/>
      <c r="H6010" s="668"/>
      <c r="I6010" s="668"/>
      <c r="J6010" s="668"/>
      <c r="K6010" s="674"/>
      <c r="L6010" s="668"/>
      <c r="M6010" s="668"/>
    </row>
    <row r="6011" spans="5:13">
      <c r="E6011" s="668"/>
      <c r="F6011" s="668"/>
      <c r="G6011" s="668"/>
      <c r="H6011" s="668"/>
      <c r="I6011" s="668"/>
      <c r="J6011" s="668"/>
      <c r="K6011" s="674"/>
      <c r="L6011" s="668"/>
      <c r="M6011" s="668"/>
    </row>
    <row r="6012" spans="5:13">
      <c r="E6012" s="668"/>
      <c r="F6012" s="668"/>
      <c r="G6012" s="668"/>
      <c r="H6012" s="668"/>
      <c r="I6012" s="668"/>
      <c r="J6012" s="668"/>
      <c r="K6012" s="674"/>
      <c r="L6012" s="668"/>
      <c r="M6012" s="668"/>
    </row>
    <row r="6013" spans="5:13">
      <c r="E6013" s="668"/>
      <c r="F6013" s="668"/>
      <c r="G6013" s="668"/>
      <c r="H6013" s="668"/>
      <c r="I6013" s="668"/>
      <c r="J6013" s="668"/>
      <c r="K6013" s="674"/>
      <c r="L6013" s="668"/>
      <c r="M6013" s="668"/>
    </row>
    <row r="6014" spans="5:13">
      <c r="E6014" s="668"/>
      <c r="F6014" s="668"/>
      <c r="G6014" s="668"/>
      <c r="H6014" s="668"/>
      <c r="I6014" s="668"/>
      <c r="J6014" s="668"/>
      <c r="K6014" s="674"/>
      <c r="L6014" s="668"/>
      <c r="M6014" s="668"/>
    </row>
    <row r="6015" spans="5:13">
      <c r="E6015" s="668"/>
      <c r="F6015" s="668"/>
      <c r="G6015" s="668"/>
      <c r="H6015" s="668"/>
      <c r="I6015" s="668"/>
      <c r="J6015" s="668"/>
      <c r="K6015" s="674"/>
      <c r="L6015" s="668"/>
      <c r="M6015" s="668"/>
    </row>
    <row r="6016" spans="5:13">
      <c r="E6016" s="668"/>
      <c r="F6016" s="668"/>
      <c r="G6016" s="668"/>
      <c r="H6016" s="668"/>
      <c r="I6016" s="668"/>
      <c r="J6016" s="668"/>
      <c r="K6016" s="674"/>
      <c r="L6016" s="668"/>
      <c r="M6016" s="668"/>
    </row>
    <row r="6017" spans="5:13">
      <c r="E6017" s="668"/>
      <c r="F6017" s="668"/>
      <c r="G6017" s="668"/>
      <c r="H6017" s="668"/>
      <c r="I6017" s="668"/>
      <c r="J6017" s="668"/>
      <c r="K6017" s="674"/>
      <c r="L6017" s="668"/>
      <c r="M6017" s="668"/>
    </row>
    <row r="6018" spans="5:13">
      <c r="E6018" s="668"/>
      <c r="F6018" s="668"/>
      <c r="G6018" s="668"/>
      <c r="H6018" s="668"/>
      <c r="I6018" s="668"/>
      <c r="J6018" s="668"/>
      <c r="K6018" s="674"/>
      <c r="L6018" s="668"/>
      <c r="M6018" s="668"/>
    </row>
    <row r="6019" spans="5:13">
      <c r="E6019" s="668"/>
      <c r="F6019" s="668"/>
      <c r="G6019" s="668"/>
      <c r="H6019" s="668"/>
      <c r="I6019" s="668"/>
      <c r="J6019" s="668"/>
      <c r="K6019" s="674"/>
      <c r="L6019" s="668"/>
      <c r="M6019" s="668"/>
    </row>
    <row r="6020" spans="5:13">
      <c r="E6020" s="668"/>
      <c r="F6020" s="668"/>
      <c r="G6020" s="668"/>
      <c r="H6020" s="668"/>
      <c r="I6020" s="668"/>
      <c r="J6020" s="668"/>
      <c r="K6020" s="674"/>
      <c r="L6020" s="668"/>
      <c r="M6020" s="668"/>
    </row>
    <row r="6021" spans="5:13">
      <c r="E6021" s="668"/>
      <c r="F6021" s="668"/>
      <c r="G6021" s="668"/>
      <c r="H6021" s="668"/>
      <c r="I6021" s="668"/>
      <c r="J6021" s="668"/>
      <c r="K6021" s="674"/>
      <c r="L6021" s="668"/>
      <c r="M6021" s="668"/>
    </row>
    <row r="6022" spans="5:13">
      <c r="E6022" s="668"/>
      <c r="F6022" s="668"/>
      <c r="G6022" s="668"/>
      <c r="H6022" s="668"/>
      <c r="I6022" s="668"/>
      <c r="J6022" s="668"/>
      <c r="K6022" s="674"/>
      <c r="L6022" s="668"/>
      <c r="M6022" s="668"/>
    </row>
    <row r="6023" spans="5:13">
      <c r="E6023" s="668"/>
      <c r="F6023" s="668"/>
      <c r="G6023" s="668"/>
      <c r="H6023" s="668"/>
      <c r="I6023" s="668"/>
      <c r="J6023" s="668"/>
      <c r="K6023" s="674"/>
      <c r="L6023" s="668"/>
      <c r="M6023" s="668"/>
    </row>
    <row r="6024" spans="5:13">
      <c r="E6024" s="668"/>
      <c r="F6024" s="668"/>
      <c r="G6024" s="668"/>
      <c r="H6024" s="668"/>
      <c r="I6024" s="668"/>
      <c r="J6024" s="668"/>
      <c r="K6024" s="674"/>
      <c r="L6024" s="668"/>
      <c r="M6024" s="668"/>
    </row>
    <row r="6025" spans="5:13">
      <c r="E6025" s="668"/>
      <c r="F6025" s="668"/>
      <c r="G6025" s="668"/>
      <c r="H6025" s="668"/>
      <c r="I6025" s="668"/>
      <c r="J6025" s="668"/>
      <c r="K6025" s="674"/>
      <c r="L6025" s="668"/>
      <c r="M6025" s="668"/>
    </row>
    <row r="6026" spans="5:13">
      <c r="E6026" s="668"/>
      <c r="F6026" s="668"/>
      <c r="G6026" s="668"/>
      <c r="H6026" s="668"/>
      <c r="I6026" s="668"/>
      <c r="J6026" s="668"/>
      <c r="K6026" s="674"/>
      <c r="L6026" s="668"/>
      <c r="M6026" s="668"/>
    </row>
    <row r="6027" spans="5:13">
      <c r="E6027" s="668"/>
      <c r="F6027" s="668"/>
      <c r="G6027" s="668"/>
      <c r="H6027" s="668"/>
      <c r="I6027" s="668"/>
      <c r="J6027" s="668"/>
      <c r="K6027" s="674"/>
      <c r="L6027" s="668"/>
      <c r="M6027" s="668"/>
    </row>
    <row r="6028" spans="5:13">
      <c r="E6028" s="668"/>
      <c r="F6028" s="668"/>
      <c r="G6028" s="668"/>
      <c r="H6028" s="668"/>
      <c r="I6028" s="668"/>
      <c r="J6028" s="668"/>
      <c r="K6028" s="674"/>
      <c r="L6028" s="668"/>
      <c r="M6028" s="668"/>
    </row>
    <row r="6029" spans="5:13">
      <c r="E6029" s="668"/>
      <c r="F6029" s="668"/>
      <c r="G6029" s="668"/>
      <c r="H6029" s="668"/>
      <c r="I6029" s="668"/>
      <c r="J6029" s="668"/>
      <c r="K6029" s="674"/>
      <c r="L6029" s="668"/>
      <c r="M6029" s="668"/>
    </row>
    <row r="6030" spans="5:13">
      <c r="E6030" s="668"/>
      <c r="F6030" s="668"/>
      <c r="G6030" s="668"/>
      <c r="H6030" s="668"/>
      <c r="I6030" s="668"/>
      <c r="J6030" s="668"/>
      <c r="K6030" s="674"/>
      <c r="L6030" s="668"/>
      <c r="M6030" s="668"/>
    </row>
    <row r="6031" spans="5:13">
      <c r="E6031" s="668"/>
      <c r="F6031" s="668"/>
      <c r="G6031" s="668"/>
      <c r="H6031" s="668"/>
      <c r="I6031" s="668"/>
      <c r="J6031" s="668"/>
      <c r="K6031" s="674"/>
      <c r="L6031" s="668"/>
      <c r="M6031" s="668"/>
    </row>
    <row r="6032" spans="5:13">
      <c r="E6032" s="668"/>
      <c r="F6032" s="668"/>
      <c r="G6032" s="668"/>
      <c r="H6032" s="668"/>
      <c r="I6032" s="668"/>
      <c r="J6032" s="668"/>
      <c r="K6032" s="674"/>
      <c r="L6032" s="668"/>
      <c r="M6032" s="668"/>
    </row>
    <row r="6033" spans="5:13">
      <c r="E6033" s="668"/>
      <c r="F6033" s="668"/>
      <c r="G6033" s="668"/>
      <c r="H6033" s="668"/>
      <c r="I6033" s="668"/>
      <c r="J6033" s="668"/>
      <c r="K6033" s="674"/>
      <c r="L6033" s="668"/>
      <c r="M6033" s="668"/>
    </row>
    <row r="6034" spans="5:13">
      <c r="E6034" s="668"/>
      <c r="F6034" s="668"/>
      <c r="G6034" s="668"/>
      <c r="H6034" s="668"/>
      <c r="I6034" s="668"/>
      <c r="J6034" s="668"/>
      <c r="K6034" s="674"/>
      <c r="L6034" s="668"/>
      <c r="M6034" s="668"/>
    </row>
    <row r="6035" spans="5:13">
      <c r="E6035" s="668"/>
      <c r="F6035" s="668"/>
      <c r="G6035" s="668"/>
      <c r="H6035" s="668"/>
      <c r="I6035" s="668"/>
      <c r="J6035" s="668"/>
      <c r="K6035" s="674"/>
      <c r="L6035" s="668"/>
      <c r="M6035" s="668"/>
    </row>
    <row r="6036" spans="5:13">
      <c r="E6036" s="668"/>
      <c r="F6036" s="668"/>
      <c r="G6036" s="668"/>
      <c r="H6036" s="668"/>
      <c r="I6036" s="668"/>
      <c r="J6036" s="668"/>
      <c r="K6036" s="674"/>
      <c r="L6036" s="668"/>
      <c r="M6036" s="668"/>
    </row>
    <row r="6037" spans="5:13">
      <c r="E6037" s="668"/>
      <c r="F6037" s="668"/>
      <c r="G6037" s="668"/>
      <c r="H6037" s="668"/>
      <c r="I6037" s="668"/>
      <c r="J6037" s="668"/>
      <c r="K6037" s="674"/>
      <c r="L6037" s="668"/>
      <c r="M6037" s="668"/>
    </row>
    <row r="6038" spans="5:13">
      <c r="E6038" s="668"/>
      <c r="F6038" s="668"/>
      <c r="G6038" s="668"/>
      <c r="H6038" s="668"/>
      <c r="I6038" s="668"/>
      <c r="J6038" s="668"/>
      <c r="K6038" s="674"/>
      <c r="L6038" s="668"/>
      <c r="M6038" s="668"/>
    </row>
    <row r="6039" spans="5:13">
      <c r="E6039" s="668"/>
      <c r="F6039" s="668"/>
      <c r="G6039" s="668"/>
      <c r="H6039" s="668"/>
      <c r="I6039" s="668"/>
      <c r="J6039" s="668"/>
      <c r="K6039" s="674"/>
      <c r="L6039" s="668"/>
      <c r="M6039" s="668"/>
    </row>
    <row r="6040" spans="5:13">
      <c r="E6040" s="668"/>
      <c r="F6040" s="668"/>
      <c r="G6040" s="668"/>
      <c r="H6040" s="668"/>
      <c r="I6040" s="668"/>
      <c r="J6040" s="668"/>
      <c r="K6040" s="674"/>
      <c r="L6040" s="668"/>
      <c r="M6040" s="668"/>
    </row>
    <row r="6041" spans="5:13">
      <c r="E6041" s="668"/>
      <c r="F6041" s="668"/>
      <c r="G6041" s="668"/>
      <c r="H6041" s="668"/>
      <c r="I6041" s="668"/>
      <c r="J6041" s="668"/>
      <c r="K6041" s="674"/>
      <c r="L6041" s="668"/>
      <c r="M6041" s="668"/>
    </row>
    <row r="6042" spans="5:13">
      <c r="E6042" s="668"/>
      <c r="F6042" s="668"/>
      <c r="G6042" s="668"/>
      <c r="H6042" s="668"/>
      <c r="I6042" s="668"/>
      <c r="J6042" s="668"/>
      <c r="K6042" s="674"/>
      <c r="L6042" s="668"/>
      <c r="M6042" s="668"/>
    </row>
    <row r="6043" spans="5:13">
      <c r="E6043" s="668"/>
      <c r="F6043" s="668"/>
      <c r="G6043" s="668"/>
      <c r="H6043" s="668"/>
      <c r="I6043" s="668"/>
      <c r="J6043" s="668"/>
      <c r="K6043" s="674"/>
      <c r="L6043" s="668"/>
      <c r="M6043" s="668"/>
    </row>
    <row r="6044" spans="5:13">
      <c r="E6044" s="668"/>
      <c r="F6044" s="668"/>
      <c r="G6044" s="668"/>
      <c r="H6044" s="668"/>
      <c r="I6044" s="668"/>
      <c r="J6044" s="668"/>
      <c r="K6044" s="674"/>
      <c r="L6044" s="668"/>
      <c r="M6044" s="668"/>
    </row>
    <row r="6045" spans="5:13">
      <c r="E6045" s="668"/>
      <c r="F6045" s="668"/>
      <c r="G6045" s="668"/>
      <c r="H6045" s="668"/>
      <c r="I6045" s="668"/>
      <c r="J6045" s="668"/>
      <c r="K6045" s="674"/>
      <c r="L6045" s="668"/>
      <c r="M6045" s="668"/>
    </row>
    <row r="6046" spans="5:13">
      <c r="E6046" s="668"/>
      <c r="F6046" s="668"/>
      <c r="G6046" s="668"/>
      <c r="H6046" s="668"/>
      <c r="I6046" s="668"/>
      <c r="J6046" s="668"/>
      <c r="K6046" s="674"/>
      <c r="L6046" s="668"/>
      <c r="M6046" s="668"/>
    </row>
    <row r="6047" spans="5:13">
      <c r="E6047" s="668"/>
      <c r="F6047" s="668"/>
      <c r="G6047" s="668"/>
      <c r="H6047" s="668"/>
      <c r="I6047" s="668"/>
      <c r="J6047" s="668"/>
      <c r="K6047" s="674"/>
      <c r="L6047" s="668"/>
      <c r="M6047" s="668"/>
    </row>
    <row r="6048" spans="5:13">
      <c r="E6048" s="668"/>
      <c r="F6048" s="668"/>
      <c r="G6048" s="668"/>
      <c r="H6048" s="668"/>
      <c r="I6048" s="668"/>
      <c r="J6048" s="668"/>
      <c r="K6048" s="674"/>
      <c r="L6048" s="668"/>
      <c r="M6048" s="668"/>
    </row>
    <row r="6049" spans="5:13">
      <c r="E6049" s="668"/>
      <c r="F6049" s="668"/>
      <c r="G6049" s="668"/>
      <c r="H6049" s="668"/>
      <c r="I6049" s="668"/>
      <c r="J6049" s="668"/>
      <c r="K6049" s="674"/>
      <c r="L6049" s="668"/>
      <c r="M6049" s="668"/>
    </row>
    <row r="6050" spans="5:13">
      <c r="E6050" s="668"/>
      <c r="F6050" s="668"/>
      <c r="G6050" s="668"/>
      <c r="H6050" s="668"/>
      <c r="I6050" s="668"/>
      <c r="J6050" s="668"/>
      <c r="K6050" s="674"/>
      <c r="L6050" s="668"/>
      <c r="M6050" s="668"/>
    </row>
    <row r="6051" spans="5:13">
      <c r="E6051" s="668"/>
      <c r="F6051" s="668"/>
      <c r="G6051" s="668"/>
      <c r="H6051" s="668"/>
      <c r="I6051" s="668"/>
      <c r="J6051" s="668"/>
      <c r="K6051" s="674"/>
      <c r="L6051" s="668"/>
      <c r="M6051" s="668"/>
    </row>
    <row r="6052" spans="5:13">
      <c r="E6052" s="668"/>
      <c r="F6052" s="668"/>
      <c r="G6052" s="668"/>
      <c r="H6052" s="668"/>
      <c r="I6052" s="668"/>
      <c r="J6052" s="668"/>
      <c r="K6052" s="674"/>
      <c r="L6052" s="668"/>
      <c r="M6052" s="668"/>
    </row>
    <row r="6053" spans="5:13">
      <c r="E6053" s="668"/>
      <c r="F6053" s="668"/>
      <c r="G6053" s="668"/>
      <c r="H6053" s="668"/>
      <c r="I6053" s="668"/>
      <c r="J6053" s="668"/>
      <c r="K6053" s="674"/>
      <c r="L6053" s="668"/>
      <c r="M6053" s="668"/>
    </row>
    <row r="6054" spans="5:13">
      <c r="E6054" s="668"/>
      <c r="F6054" s="668"/>
      <c r="G6054" s="668"/>
      <c r="H6054" s="668"/>
      <c r="I6054" s="668"/>
      <c r="J6054" s="668"/>
      <c r="K6054" s="674"/>
      <c r="L6054" s="668"/>
      <c r="M6054" s="668"/>
    </row>
    <row r="6055" spans="5:13">
      <c r="E6055" s="668"/>
      <c r="F6055" s="668"/>
      <c r="G6055" s="668"/>
      <c r="H6055" s="668"/>
      <c r="I6055" s="668"/>
      <c r="J6055" s="668"/>
      <c r="K6055" s="674"/>
      <c r="L6055" s="668"/>
      <c r="M6055" s="668"/>
    </row>
    <row r="6056" spans="5:13">
      <c r="E6056" s="668"/>
      <c r="F6056" s="668"/>
      <c r="G6056" s="668"/>
      <c r="H6056" s="668"/>
      <c r="I6056" s="668"/>
      <c r="J6056" s="668"/>
      <c r="K6056" s="674"/>
      <c r="L6056" s="668"/>
      <c r="M6056" s="668"/>
    </row>
    <row r="6057" spans="5:13">
      <c r="E6057" s="668"/>
      <c r="F6057" s="668"/>
      <c r="G6057" s="668"/>
      <c r="H6057" s="668"/>
      <c r="I6057" s="668"/>
      <c r="J6057" s="668"/>
      <c r="K6057" s="674"/>
      <c r="L6057" s="668"/>
      <c r="M6057" s="668"/>
    </row>
    <row r="6058" spans="5:13">
      <c r="E6058" s="668"/>
      <c r="F6058" s="668"/>
      <c r="G6058" s="668"/>
      <c r="H6058" s="668"/>
      <c r="I6058" s="668"/>
      <c r="J6058" s="668"/>
      <c r="K6058" s="674"/>
      <c r="L6058" s="668"/>
      <c r="M6058" s="668"/>
    </row>
    <row r="6059" spans="5:13">
      <c r="E6059" s="668"/>
      <c r="F6059" s="668"/>
      <c r="G6059" s="668"/>
      <c r="H6059" s="668"/>
      <c r="I6059" s="668"/>
      <c r="J6059" s="668"/>
      <c r="K6059" s="674"/>
      <c r="L6059" s="668"/>
      <c r="M6059" s="668"/>
    </row>
    <row r="6060" spans="5:13">
      <c r="E6060" s="668"/>
      <c r="F6060" s="668"/>
      <c r="G6060" s="668"/>
      <c r="H6060" s="668"/>
      <c r="I6060" s="668"/>
      <c r="J6060" s="668"/>
      <c r="K6060" s="674"/>
      <c r="L6060" s="668"/>
      <c r="M6060" s="668"/>
    </row>
    <row r="6061" spans="5:13">
      <c r="E6061" s="668"/>
      <c r="F6061" s="668"/>
      <c r="G6061" s="668"/>
      <c r="H6061" s="668"/>
      <c r="I6061" s="668"/>
      <c r="J6061" s="668"/>
      <c r="K6061" s="674"/>
      <c r="L6061" s="668"/>
      <c r="M6061" s="668"/>
    </row>
    <row r="6062" spans="5:13">
      <c r="E6062" s="668"/>
      <c r="F6062" s="668"/>
      <c r="G6062" s="668"/>
      <c r="H6062" s="668"/>
      <c r="I6062" s="668"/>
      <c r="J6062" s="668"/>
      <c r="K6062" s="674"/>
      <c r="L6062" s="668"/>
      <c r="M6062" s="668"/>
    </row>
    <row r="6063" spans="5:13">
      <c r="E6063" s="668"/>
      <c r="F6063" s="668"/>
      <c r="G6063" s="668"/>
      <c r="H6063" s="668"/>
      <c r="I6063" s="668"/>
      <c r="J6063" s="668"/>
      <c r="K6063" s="674"/>
      <c r="L6063" s="668"/>
      <c r="M6063" s="668"/>
    </row>
    <row r="6064" spans="5:13">
      <c r="E6064" s="668"/>
      <c r="F6064" s="668"/>
      <c r="G6064" s="668"/>
      <c r="H6064" s="668"/>
      <c r="I6064" s="668"/>
      <c r="J6064" s="668"/>
      <c r="K6064" s="674"/>
      <c r="L6064" s="668"/>
      <c r="M6064" s="668"/>
    </row>
    <row r="6065" spans="5:13">
      <c r="E6065" s="668"/>
      <c r="F6065" s="668"/>
      <c r="G6065" s="668"/>
      <c r="H6065" s="668"/>
      <c r="I6065" s="668"/>
      <c r="J6065" s="668"/>
      <c r="K6065" s="674"/>
      <c r="L6065" s="668"/>
      <c r="M6065" s="668"/>
    </row>
    <row r="6066" spans="5:13">
      <c r="E6066" s="668"/>
      <c r="F6066" s="668"/>
      <c r="G6066" s="668"/>
      <c r="H6066" s="668"/>
      <c r="I6066" s="668"/>
      <c r="J6066" s="668"/>
      <c r="K6066" s="674"/>
      <c r="L6066" s="668"/>
      <c r="M6066" s="668"/>
    </row>
    <row r="6067" spans="5:13">
      <c r="E6067" s="668"/>
      <c r="F6067" s="668"/>
      <c r="G6067" s="668"/>
      <c r="H6067" s="668"/>
      <c r="I6067" s="668"/>
      <c r="J6067" s="668"/>
      <c r="K6067" s="674"/>
      <c r="L6067" s="668"/>
      <c r="M6067" s="668"/>
    </row>
    <row r="6068" spans="5:13">
      <c r="E6068" s="668"/>
      <c r="F6068" s="668"/>
      <c r="G6068" s="668"/>
      <c r="H6068" s="668"/>
      <c r="I6068" s="668"/>
      <c r="J6068" s="668"/>
      <c r="K6068" s="674"/>
      <c r="L6068" s="668"/>
      <c r="M6068" s="668"/>
    </row>
    <row r="6069" spans="5:13">
      <c r="E6069" s="668"/>
      <c r="F6069" s="668"/>
      <c r="G6069" s="668"/>
      <c r="H6069" s="668"/>
      <c r="I6069" s="668"/>
      <c r="J6069" s="668"/>
      <c r="K6069" s="674"/>
      <c r="L6069" s="668"/>
      <c r="M6069" s="668"/>
    </row>
    <row r="6070" spans="5:13">
      <c r="E6070" s="668"/>
      <c r="F6070" s="668"/>
      <c r="G6070" s="668"/>
      <c r="H6070" s="668"/>
      <c r="I6070" s="668"/>
      <c r="J6070" s="668"/>
      <c r="K6070" s="674"/>
      <c r="L6070" s="668"/>
      <c r="M6070" s="668"/>
    </row>
    <row r="6071" spans="5:13">
      <c r="E6071" s="668"/>
      <c r="F6071" s="668"/>
      <c r="G6071" s="668"/>
      <c r="H6071" s="668"/>
      <c r="I6071" s="668"/>
      <c r="J6071" s="668"/>
      <c r="K6071" s="674"/>
      <c r="L6071" s="668"/>
      <c r="M6071" s="668"/>
    </row>
    <row r="6072" spans="5:13">
      <c r="E6072" s="668"/>
      <c r="F6072" s="668"/>
      <c r="G6072" s="668"/>
      <c r="H6072" s="668"/>
      <c r="I6072" s="668"/>
      <c r="J6072" s="668"/>
      <c r="K6072" s="674"/>
      <c r="L6072" s="668"/>
      <c r="M6072" s="668"/>
    </row>
    <row r="6073" spans="5:13">
      <c r="E6073" s="668"/>
      <c r="F6073" s="668"/>
      <c r="G6073" s="668"/>
      <c r="H6073" s="668"/>
      <c r="I6073" s="668"/>
      <c r="J6073" s="668"/>
      <c r="K6073" s="674"/>
      <c r="L6073" s="668"/>
      <c r="M6073" s="668"/>
    </row>
    <row r="6074" spans="5:13">
      <c r="E6074" s="668"/>
      <c r="F6074" s="668"/>
      <c r="G6074" s="668"/>
      <c r="H6074" s="668"/>
      <c r="I6074" s="668"/>
      <c r="J6074" s="668"/>
      <c r="K6074" s="674"/>
      <c r="L6074" s="668"/>
      <c r="M6074" s="668"/>
    </row>
    <row r="6075" spans="5:13">
      <c r="E6075" s="668"/>
      <c r="F6075" s="668"/>
      <c r="G6075" s="668"/>
      <c r="H6075" s="668"/>
      <c r="I6075" s="668"/>
      <c r="J6075" s="668"/>
      <c r="K6075" s="674"/>
      <c r="L6075" s="668"/>
      <c r="M6075" s="668"/>
    </row>
    <row r="6076" spans="5:13">
      <c r="E6076" s="668"/>
      <c r="F6076" s="668"/>
      <c r="G6076" s="668"/>
      <c r="H6076" s="668"/>
      <c r="I6076" s="668"/>
      <c r="J6076" s="668"/>
      <c r="K6076" s="674"/>
      <c r="L6076" s="668"/>
      <c r="M6076" s="668"/>
    </row>
    <row r="6077" spans="5:13">
      <c r="E6077" s="668"/>
      <c r="F6077" s="668"/>
      <c r="G6077" s="668"/>
      <c r="H6077" s="668"/>
      <c r="I6077" s="668"/>
      <c r="J6077" s="668"/>
      <c r="K6077" s="674"/>
      <c r="L6077" s="668"/>
      <c r="M6077" s="668"/>
    </row>
    <row r="6078" spans="5:13">
      <c r="E6078" s="668"/>
      <c r="F6078" s="668"/>
      <c r="G6078" s="668"/>
      <c r="H6078" s="668"/>
      <c r="I6078" s="668"/>
      <c r="J6078" s="668"/>
      <c r="K6078" s="674"/>
      <c r="L6078" s="668"/>
      <c r="M6078" s="668"/>
    </row>
    <row r="6079" spans="5:13">
      <c r="E6079" s="668"/>
      <c r="F6079" s="668"/>
      <c r="G6079" s="668"/>
      <c r="H6079" s="668"/>
      <c r="I6079" s="668"/>
      <c r="J6079" s="668"/>
      <c r="K6079" s="674"/>
      <c r="L6079" s="668"/>
      <c r="M6079" s="668"/>
    </row>
    <row r="6080" spans="5:13">
      <c r="E6080" s="668"/>
      <c r="F6080" s="668"/>
      <c r="G6080" s="668"/>
      <c r="H6080" s="668"/>
      <c r="I6080" s="668"/>
      <c r="J6080" s="668"/>
      <c r="K6080" s="674"/>
      <c r="L6080" s="668"/>
      <c r="M6080" s="668"/>
    </row>
    <row r="6081" spans="5:13">
      <c r="E6081" s="668"/>
      <c r="F6081" s="668"/>
      <c r="G6081" s="668"/>
      <c r="H6081" s="668"/>
      <c r="I6081" s="668"/>
      <c r="J6081" s="668"/>
      <c r="K6081" s="674"/>
      <c r="L6081" s="668"/>
      <c r="M6081" s="668"/>
    </row>
    <row r="6082" spans="5:13">
      <c r="E6082" s="668"/>
      <c r="F6082" s="668"/>
      <c r="G6082" s="668"/>
      <c r="H6082" s="668"/>
      <c r="I6082" s="668"/>
      <c r="J6082" s="668"/>
      <c r="K6082" s="674"/>
      <c r="L6082" s="668"/>
      <c r="M6082" s="668"/>
    </row>
    <row r="6083" spans="5:13">
      <c r="E6083" s="668"/>
      <c r="F6083" s="668"/>
      <c r="G6083" s="668"/>
      <c r="H6083" s="668"/>
      <c r="I6083" s="668"/>
      <c r="J6083" s="668"/>
      <c r="K6083" s="674"/>
      <c r="L6083" s="668"/>
      <c r="M6083" s="668"/>
    </row>
    <row r="6084" spans="5:13">
      <c r="E6084" s="668"/>
      <c r="F6084" s="668"/>
      <c r="G6084" s="668"/>
      <c r="H6084" s="668"/>
      <c r="I6084" s="668"/>
      <c r="J6084" s="668"/>
      <c r="K6084" s="674"/>
      <c r="L6084" s="668"/>
      <c r="M6084" s="668"/>
    </row>
    <row r="6085" spans="5:13">
      <c r="E6085" s="668"/>
      <c r="F6085" s="668"/>
      <c r="G6085" s="668"/>
      <c r="H6085" s="668"/>
      <c r="I6085" s="668"/>
      <c r="J6085" s="668"/>
      <c r="K6085" s="674"/>
      <c r="L6085" s="668"/>
      <c r="M6085" s="668"/>
    </row>
    <row r="6086" spans="5:13">
      <c r="E6086" s="668"/>
      <c r="F6086" s="668"/>
      <c r="G6086" s="668"/>
      <c r="H6086" s="668"/>
      <c r="I6086" s="668"/>
      <c r="J6086" s="668"/>
      <c r="K6086" s="674"/>
      <c r="L6086" s="668"/>
      <c r="M6086" s="668"/>
    </row>
    <row r="6087" spans="5:13">
      <c r="E6087" s="668"/>
      <c r="F6087" s="668"/>
      <c r="G6087" s="668"/>
      <c r="H6087" s="668"/>
      <c r="I6087" s="668"/>
      <c r="J6087" s="668"/>
      <c r="K6087" s="674"/>
      <c r="L6087" s="668"/>
      <c r="M6087" s="668"/>
    </row>
    <row r="6088" spans="5:13">
      <c r="E6088" s="668"/>
      <c r="F6088" s="668"/>
      <c r="G6088" s="668"/>
      <c r="H6088" s="668"/>
      <c r="I6088" s="668"/>
      <c r="J6088" s="668"/>
      <c r="K6088" s="674"/>
      <c r="L6088" s="668"/>
      <c r="M6088" s="668"/>
    </row>
    <row r="6089" spans="5:13">
      <c r="E6089" s="668"/>
      <c r="F6089" s="668"/>
      <c r="G6089" s="668"/>
      <c r="H6089" s="668"/>
      <c r="I6089" s="668"/>
      <c r="J6089" s="668"/>
      <c r="K6089" s="674"/>
      <c r="L6089" s="668"/>
      <c r="M6089" s="668"/>
    </row>
    <row r="6090" spans="5:13">
      <c r="E6090" s="668"/>
      <c r="F6090" s="668"/>
      <c r="G6090" s="668"/>
      <c r="H6090" s="668"/>
      <c r="I6090" s="668"/>
      <c r="J6090" s="668"/>
      <c r="K6090" s="674"/>
      <c r="L6090" s="668"/>
      <c r="M6090" s="668"/>
    </row>
    <row r="6091" spans="5:13">
      <c r="E6091" s="668"/>
      <c r="F6091" s="668"/>
      <c r="G6091" s="668"/>
      <c r="H6091" s="668"/>
      <c r="I6091" s="668"/>
      <c r="J6091" s="668"/>
      <c r="K6091" s="674"/>
      <c r="L6091" s="668"/>
      <c r="M6091" s="668"/>
    </row>
    <row r="6092" spans="5:13">
      <c r="E6092" s="668"/>
      <c r="F6092" s="668"/>
      <c r="G6092" s="668"/>
      <c r="H6092" s="668"/>
      <c r="I6092" s="668"/>
      <c r="J6092" s="668"/>
      <c r="K6092" s="674"/>
      <c r="L6092" s="668"/>
      <c r="M6092" s="668"/>
    </row>
    <row r="6093" spans="5:13">
      <c r="E6093" s="668"/>
      <c r="F6093" s="668"/>
      <c r="G6093" s="668"/>
      <c r="H6093" s="668"/>
      <c r="I6093" s="668"/>
      <c r="J6093" s="668"/>
      <c r="K6093" s="674"/>
      <c r="L6093" s="668"/>
      <c r="M6093" s="668"/>
    </row>
    <row r="6094" spans="5:13">
      <c r="E6094" s="668"/>
      <c r="F6094" s="668"/>
      <c r="G6094" s="668"/>
      <c r="H6094" s="668"/>
      <c r="I6094" s="668"/>
      <c r="J6094" s="668"/>
      <c r="K6094" s="674"/>
      <c r="L6094" s="668"/>
      <c r="M6094" s="668"/>
    </row>
    <row r="6095" spans="5:13">
      <c r="E6095" s="668"/>
      <c r="F6095" s="668"/>
      <c r="G6095" s="668"/>
      <c r="H6095" s="668"/>
      <c r="I6095" s="668"/>
      <c r="J6095" s="668"/>
      <c r="K6095" s="674"/>
      <c r="L6095" s="668"/>
      <c r="M6095" s="668"/>
    </row>
    <row r="6096" spans="5:13">
      <c r="E6096" s="668"/>
      <c r="F6096" s="668"/>
      <c r="G6096" s="668"/>
      <c r="H6096" s="668"/>
      <c r="I6096" s="668"/>
      <c r="J6096" s="668"/>
      <c r="K6096" s="674"/>
      <c r="L6096" s="668"/>
      <c r="M6096" s="668"/>
    </row>
    <row r="6097" spans="5:13">
      <c r="E6097" s="668"/>
      <c r="F6097" s="668"/>
      <c r="G6097" s="668"/>
      <c r="H6097" s="668"/>
      <c r="I6097" s="668"/>
      <c r="J6097" s="668"/>
      <c r="K6097" s="674"/>
      <c r="L6097" s="668"/>
      <c r="M6097" s="668"/>
    </row>
    <row r="6098" spans="5:13">
      <c r="E6098" s="668"/>
      <c r="F6098" s="668"/>
      <c r="G6098" s="668"/>
      <c r="H6098" s="668"/>
      <c r="I6098" s="668"/>
      <c r="J6098" s="668"/>
      <c r="K6098" s="674"/>
      <c r="L6098" s="668"/>
      <c r="M6098" s="668"/>
    </row>
    <row r="6099" spans="5:13">
      <c r="E6099" s="668"/>
      <c r="F6099" s="668"/>
      <c r="G6099" s="668"/>
      <c r="H6099" s="668"/>
      <c r="I6099" s="668"/>
      <c r="J6099" s="668"/>
      <c r="K6099" s="674"/>
      <c r="L6099" s="668"/>
      <c r="M6099" s="668"/>
    </row>
    <row r="6100" spans="5:13">
      <c r="E6100" s="668"/>
      <c r="F6100" s="668"/>
      <c r="G6100" s="668"/>
      <c r="H6100" s="668"/>
      <c r="I6100" s="668"/>
      <c r="J6100" s="668"/>
      <c r="K6100" s="674"/>
      <c r="L6100" s="668"/>
      <c r="M6100" s="668"/>
    </row>
    <row r="6101" spans="5:13">
      <c r="E6101" s="668"/>
      <c r="F6101" s="668"/>
      <c r="G6101" s="668"/>
      <c r="H6101" s="668"/>
      <c r="I6101" s="668"/>
      <c r="J6101" s="668"/>
      <c r="K6101" s="674"/>
      <c r="L6101" s="668"/>
      <c r="M6101" s="668"/>
    </row>
    <row r="6102" spans="5:13">
      <c r="E6102" s="668"/>
      <c r="F6102" s="668"/>
      <c r="G6102" s="668"/>
      <c r="H6102" s="668"/>
      <c r="I6102" s="668"/>
      <c r="J6102" s="668"/>
      <c r="K6102" s="674"/>
      <c r="L6102" s="668"/>
      <c r="M6102" s="668"/>
    </row>
    <row r="6103" spans="5:13">
      <c r="E6103" s="668"/>
      <c r="F6103" s="668"/>
      <c r="G6103" s="668"/>
      <c r="H6103" s="668"/>
      <c r="I6103" s="668"/>
      <c r="J6103" s="668"/>
      <c r="K6103" s="674"/>
      <c r="L6103" s="668"/>
      <c r="M6103" s="668"/>
    </row>
    <row r="6104" spans="5:13">
      <c r="E6104" s="668"/>
      <c r="F6104" s="668"/>
      <c r="G6104" s="668"/>
      <c r="H6104" s="668"/>
      <c r="I6104" s="668"/>
      <c r="J6104" s="668"/>
      <c r="K6104" s="674"/>
      <c r="L6104" s="668"/>
      <c r="M6104" s="668"/>
    </row>
    <row r="6105" spans="5:13">
      <c r="E6105" s="668"/>
      <c r="F6105" s="668"/>
      <c r="G6105" s="668"/>
      <c r="H6105" s="668"/>
      <c r="I6105" s="668"/>
      <c r="J6105" s="668"/>
      <c r="K6105" s="674"/>
      <c r="L6105" s="668"/>
      <c r="M6105" s="668"/>
    </row>
    <row r="6106" spans="5:13">
      <c r="E6106" s="668"/>
      <c r="F6106" s="668"/>
      <c r="G6106" s="668"/>
      <c r="H6106" s="668"/>
      <c r="I6106" s="668"/>
      <c r="J6106" s="668"/>
      <c r="K6106" s="674"/>
      <c r="L6106" s="668"/>
      <c r="M6106" s="668"/>
    </row>
    <row r="6107" spans="5:13">
      <c r="E6107" s="668"/>
      <c r="F6107" s="668"/>
      <c r="G6107" s="668"/>
      <c r="H6107" s="668"/>
      <c r="I6107" s="668"/>
      <c r="J6107" s="668"/>
      <c r="K6107" s="674"/>
      <c r="L6107" s="668"/>
      <c r="M6107" s="668"/>
    </row>
    <row r="6108" spans="5:13">
      <c r="E6108" s="668"/>
      <c r="F6108" s="668"/>
      <c r="G6108" s="668"/>
      <c r="H6108" s="668"/>
      <c r="I6108" s="668"/>
      <c r="J6108" s="668"/>
      <c r="K6108" s="674"/>
      <c r="L6108" s="668"/>
      <c r="M6108" s="668"/>
    </row>
    <row r="6109" spans="5:13">
      <c r="E6109" s="668"/>
      <c r="F6109" s="668"/>
      <c r="G6109" s="668"/>
      <c r="H6109" s="668"/>
      <c r="I6109" s="668"/>
      <c r="J6109" s="668"/>
      <c r="K6109" s="674"/>
      <c r="L6109" s="668"/>
      <c r="M6109" s="668"/>
    </row>
    <row r="6110" spans="5:13">
      <c r="E6110" s="668"/>
      <c r="F6110" s="668"/>
      <c r="G6110" s="668"/>
      <c r="H6110" s="668"/>
      <c r="I6110" s="668"/>
      <c r="J6110" s="668"/>
      <c r="K6110" s="674"/>
      <c r="L6110" s="668"/>
      <c r="M6110" s="668"/>
    </row>
    <row r="6111" spans="5:13">
      <c r="E6111" s="668"/>
      <c r="F6111" s="668"/>
      <c r="G6111" s="668"/>
      <c r="H6111" s="668"/>
      <c r="I6111" s="668"/>
      <c r="J6111" s="668"/>
      <c r="K6111" s="674"/>
      <c r="L6111" s="668"/>
      <c r="M6111" s="668"/>
    </row>
    <row r="6112" spans="5:13">
      <c r="E6112" s="668"/>
      <c r="F6112" s="668"/>
      <c r="G6112" s="668"/>
      <c r="H6112" s="668"/>
      <c r="I6112" s="668"/>
      <c r="J6112" s="668"/>
      <c r="K6112" s="674"/>
      <c r="L6112" s="668"/>
      <c r="M6112" s="668"/>
    </row>
    <row r="6113" spans="5:13">
      <c r="E6113" s="668"/>
      <c r="F6113" s="668"/>
      <c r="G6113" s="668"/>
      <c r="H6113" s="668"/>
      <c r="I6113" s="668"/>
      <c r="J6113" s="668"/>
      <c r="K6113" s="674"/>
      <c r="L6113" s="668"/>
      <c r="M6113" s="668"/>
    </row>
    <row r="6114" spans="5:13">
      <c r="E6114" s="668"/>
      <c r="F6114" s="668"/>
      <c r="G6114" s="668"/>
      <c r="H6114" s="668"/>
      <c r="I6114" s="668"/>
      <c r="J6114" s="668"/>
      <c r="K6114" s="674"/>
      <c r="L6114" s="668"/>
      <c r="M6114" s="668"/>
    </row>
    <row r="6115" spans="5:13">
      <c r="E6115" s="668"/>
      <c r="F6115" s="668"/>
      <c r="G6115" s="668"/>
      <c r="H6115" s="668"/>
      <c r="I6115" s="668"/>
      <c r="J6115" s="668"/>
      <c r="K6115" s="674"/>
      <c r="L6115" s="668"/>
      <c r="M6115" s="668"/>
    </row>
    <row r="6116" spans="5:13">
      <c r="E6116" s="668"/>
      <c r="F6116" s="668"/>
      <c r="G6116" s="668"/>
      <c r="H6116" s="668"/>
      <c r="I6116" s="668"/>
      <c r="J6116" s="668"/>
      <c r="K6116" s="674"/>
      <c r="L6116" s="668"/>
      <c r="M6116" s="668"/>
    </row>
    <row r="6117" spans="5:13">
      <c r="E6117" s="668"/>
      <c r="F6117" s="668"/>
      <c r="G6117" s="668"/>
      <c r="H6117" s="668"/>
      <c r="I6117" s="668"/>
      <c r="J6117" s="668"/>
      <c r="K6117" s="674"/>
      <c r="L6117" s="668"/>
      <c r="M6117" s="668"/>
    </row>
    <row r="6118" spans="5:13">
      <c r="E6118" s="668"/>
      <c r="F6118" s="668"/>
      <c r="G6118" s="668"/>
      <c r="H6118" s="668"/>
      <c r="I6118" s="668"/>
      <c r="J6118" s="668"/>
      <c r="K6118" s="674"/>
      <c r="L6118" s="668"/>
      <c r="M6118" s="668"/>
    </row>
    <row r="6119" spans="5:13">
      <c r="E6119" s="668"/>
      <c r="F6119" s="668"/>
      <c r="G6119" s="668"/>
      <c r="H6119" s="668"/>
      <c r="I6119" s="668"/>
      <c r="J6119" s="668"/>
      <c r="K6119" s="674"/>
      <c r="L6119" s="668"/>
      <c r="M6119" s="668"/>
    </row>
    <row r="6120" spans="5:13">
      <c r="E6120" s="668"/>
      <c r="F6120" s="668"/>
      <c r="G6120" s="668"/>
      <c r="H6120" s="668"/>
      <c r="I6120" s="668"/>
      <c r="J6120" s="668"/>
      <c r="K6120" s="674"/>
      <c r="L6120" s="668"/>
      <c r="M6120" s="668"/>
    </row>
    <row r="6121" spans="5:13">
      <c r="E6121" s="668"/>
      <c r="F6121" s="668"/>
      <c r="G6121" s="668"/>
      <c r="H6121" s="668"/>
      <c r="I6121" s="668"/>
      <c r="J6121" s="668"/>
      <c r="K6121" s="674"/>
      <c r="L6121" s="668"/>
      <c r="M6121" s="668"/>
    </row>
    <row r="6122" spans="5:13">
      <c r="E6122" s="668"/>
      <c r="F6122" s="668"/>
      <c r="G6122" s="668"/>
      <c r="H6122" s="668"/>
      <c r="I6122" s="668"/>
      <c r="J6122" s="668"/>
      <c r="K6122" s="674"/>
      <c r="L6122" s="668"/>
      <c r="M6122" s="668"/>
    </row>
    <row r="6123" spans="5:13">
      <c r="E6123" s="668"/>
      <c r="F6123" s="668"/>
      <c r="G6123" s="668"/>
      <c r="H6123" s="668"/>
      <c r="I6123" s="668"/>
      <c r="J6123" s="668"/>
      <c r="K6123" s="674"/>
      <c r="L6123" s="668"/>
      <c r="M6123" s="668"/>
    </row>
    <row r="6124" spans="5:13">
      <c r="E6124" s="668"/>
      <c r="F6124" s="668"/>
      <c r="G6124" s="668"/>
      <c r="H6124" s="668"/>
      <c r="I6124" s="668"/>
      <c r="J6124" s="668"/>
      <c r="K6124" s="674"/>
      <c r="L6124" s="668"/>
      <c r="M6124" s="668"/>
    </row>
    <row r="6125" spans="5:13">
      <c r="E6125" s="668"/>
      <c r="F6125" s="668"/>
      <c r="G6125" s="668"/>
      <c r="H6125" s="668"/>
      <c r="I6125" s="668"/>
      <c r="J6125" s="668"/>
      <c r="K6125" s="674"/>
      <c r="L6125" s="668"/>
      <c r="M6125" s="668"/>
    </row>
    <row r="6126" spans="5:13">
      <c r="E6126" s="668"/>
      <c r="F6126" s="668"/>
      <c r="G6126" s="668"/>
      <c r="H6126" s="668"/>
      <c r="I6126" s="668"/>
      <c r="J6126" s="668"/>
      <c r="K6126" s="674"/>
      <c r="L6126" s="668"/>
      <c r="M6126" s="668"/>
    </row>
    <row r="6127" spans="5:13">
      <c r="E6127" s="668"/>
      <c r="F6127" s="668"/>
      <c r="G6127" s="668"/>
      <c r="H6127" s="668"/>
      <c r="I6127" s="668"/>
      <c r="J6127" s="668"/>
      <c r="K6127" s="674"/>
      <c r="L6127" s="668"/>
      <c r="M6127" s="668"/>
    </row>
    <row r="6128" spans="5:13">
      <c r="E6128" s="668"/>
      <c r="F6128" s="668"/>
      <c r="G6128" s="668"/>
      <c r="H6128" s="668"/>
      <c r="I6128" s="668"/>
      <c r="J6128" s="668"/>
      <c r="K6128" s="674"/>
      <c r="L6128" s="668"/>
      <c r="M6128" s="668"/>
    </row>
    <row r="6129" spans="5:13">
      <c r="E6129" s="668"/>
      <c r="F6129" s="668"/>
      <c r="G6129" s="668"/>
      <c r="H6129" s="668"/>
      <c r="I6129" s="668"/>
      <c r="J6129" s="668"/>
      <c r="K6129" s="674"/>
      <c r="L6129" s="668"/>
      <c r="M6129" s="668"/>
    </row>
    <row r="6130" spans="5:13">
      <c r="E6130" s="668"/>
      <c r="F6130" s="668"/>
      <c r="G6130" s="668"/>
      <c r="H6130" s="668"/>
      <c r="I6130" s="668"/>
      <c r="J6130" s="668"/>
      <c r="K6130" s="674"/>
      <c r="L6130" s="668"/>
      <c r="M6130" s="668"/>
    </row>
    <row r="6131" spans="5:13">
      <c r="E6131" s="668"/>
      <c r="F6131" s="668"/>
      <c r="G6131" s="668"/>
      <c r="H6131" s="668"/>
      <c r="I6131" s="668"/>
      <c r="J6131" s="668"/>
      <c r="K6131" s="674"/>
      <c r="L6131" s="668"/>
      <c r="M6131" s="668"/>
    </row>
    <row r="6132" spans="5:13">
      <c r="E6132" s="668"/>
      <c r="F6132" s="668"/>
      <c r="G6132" s="668"/>
      <c r="H6132" s="668"/>
      <c r="I6132" s="668"/>
      <c r="J6132" s="668"/>
      <c r="K6132" s="674"/>
      <c r="L6132" s="668"/>
      <c r="M6132" s="668"/>
    </row>
    <row r="6133" spans="5:13">
      <c r="E6133" s="668"/>
      <c r="F6133" s="668"/>
      <c r="G6133" s="668"/>
      <c r="H6133" s="668"/>
      <c r="I6133" s="668"/>
      <c r="J6133" s="668"/>
      <c r="K6133" s="674"/>
      <c r="L6133" s="668"/>
      <c r="M6133" s="668"/>
    </row>
    <row r="6134" spans="5:13">
      <c r="E6134" s="668"/>
      <c r="F6134" s="668"/>
      <c r="G6134" s="668"/>
      <c r="H6134" s="668"/>
      <c r="I6134" s="668"/>
      <c r="J6134" s="668"/>
      <c r="K6134" s="674"/>
      <c r="L6134" s="668"/>
      <c r="M6134" s="668"/>
    </row>
    <row r="6135" spans="5:13">
      <c r="E6135" s="668"/>
      <c r="F6135" s="668"/>
      <c r="G6135" s="668"/>
      <c r="H6135" s="668"/>
      <c r="I6135" s="668"/>
      <c r="J6135" s="668"/>
      <c r="K6135" s="674"/>
      <c r="L6135" s="668"/>
      <c r="M6135" s="668"/>
    </row>
    <row r="6136" spans="5:13">
      <c r="E6136" s="668"/>
      <c r="F6136" s="668"/>
      <c r="G6136" s="668"/>
      <c r="H6136" s="668"/>
      <c r="I6136" s="668"/>
      <c r="J6136" s="668"/>
      <c r="K6136" s="674"/>
      <c r="L6136" s="668"/>
      <c r="M6136" s="668"/>
    </row>
    <row r="6137" spans="5:13">
      <c r="E6137" s="668"/>
      <c r="F6137" s="668"/>
      <c r="G6137" s="668"/>
      <c r="H6137" s="668"/>
      <c r="I6137" s="668"/>
      <c r="J6137" s="668"/>
      <c r="K6137" s="674"/>
      <c r="L6137" s="668"/>
      <c r="M6137" s="668"/>
    </row>
    <row r="6138" spans="5:13">
      <c r="E6138" s="668"/>
      <c r="F6138" s="668"/>
      <c r="G6138" s="668"/>
      <c r="H6138" s="668"/>
      <c r="I6138" s="668"/>
      <c r="J6138" s="668"/>
      <c r="K6138" s="674"/>
      <c r="L6138" s="668"/>
      <c r="M6138" s="668"/>
    </row>
    <row r="6139" spans="5:13">
      <c r="E6139" s="668"/>
      <c r="F6139" s="668"/>
      <c r="G6139" s="668"/>
      <c r="H6139" s="668"/>
      <c r="I6139" s="668"/>
      <c r="J6139" s="668"/>
      <c r="K6139" s="674"/>
      <c r="L6139" s="668"/>
      <c r="M6139" s="668"/>
    </row>
    <row r="6140" spans="5:13">
      <c r="E6140" s="668"/>
      <c r="F6140" s="668"/>
      <c r="G6140" s="668"/>
      <c r="H6140" s="668"/>
      <c r="I6140" s="668"/>
      <c r="J6140" s="668"/>
      <c r="K6140" s="674"/>
      <c r="L6140" s="668"/>
      <c r="M6140" s="668"/>
    </row>
    <row r="6141" spans="5:13">
      <c r="E6141" s="668"/>
      <c r="F6141" s="668"/>
      <c r="G6141" s="668"/>
      <c r="H6141" s="668"/>
      <c r="I6141" s="668"/>
      <c r="J6141" s="668"/>
      <c r="K6141" s="674"/>
      <c r="L6141" s="668"/>
      <c r="M6141" s="668"/>
    </row>
    <row r="6142" spans="5:13">
      <c r="E6142" s="668"/>
      <c r="F6142" s="668"/>
      <c r="G6142" s="668"/>
      <c r="H6142" s="668"/>
      <c r="I6142" s="668"/>
      <c r="J6142" s="668"/>
      <c r="K6142" s="674"/>
      <c r="L6142" s="668"/>
      <c r="M6142" s="668"/>
    </row>
    <row r="6143" spans="5:13">
      <c r="E6143" s="668"/>
      <c r="F6143" s="668"/>
      <c r="G6143" s="668"/>
      <c r="H6143" s="668"/>
      <c r="I6143" s="668"/>
      <c r="J6143" s="668"/>
      <c r="K6143" s="674"/>
      <c r="L6143" s="668"/>
      <c r="M6143" s="668"/>
    </row>
    <row r="6144" spans="5:13">
      <c r="E6144" s="668"/>
      <c r="F6144" s="668"/>
      <c r="G6144" s="668"/>
      <c r="H6144" s="668"/>
      <c r="I6144" s="668"/>
      <c r="J6144" s="668"/>
      <c r="K6144" s="674"/>
      <c r="L6144" s="668"/>
      <c r="M6144" s="668"/>
    </row>
    <row r="6145" spans="5:13">
      <c r="E6145" s="668"/>
      <c r="F6145" s="668"/>
      <c r="G6145" s="668"/>
      <c r="H6145" s="668"/>
      <c r="I6145" s="668"/>
      <c r="J6145" s="668"/>
      <c r="K6145" s="674"/>
      <c r="L6145" s="668"/>
      <c r="M6145" s="668"/>
    </row>
    <row r="6146" spans="5:13">
      <c r="E6146" s="668"/>
      <c r="F6146" s="668"/>
      <c r="G6146" s="668"/>
      <c r="H6146" s="668"/>
      <c r="I6146" s="668"/>
      <c r="J6146" s="668"/>
      <c r="K6146" s="674"/>
      <c r="L6146" s="668"/>
      <c r="M6146" s="668"/>
    </row>
    <row r="6147" spans="5:13">
      <c r="E6147" s="668"/>
      <c r="F6147" s="668"/>
      <c r="G6147" s="668"/>
      <c r="H6147" s="668"/>
      <c r="I6147" s="668"/>
      <c r="J6147" s="668"/>
      <c r="K6147" s="674"/>
      <c r="L6147" s="668"/>
      <c r="M6147" s="668"/>
    </row>
    <row r="6148" spans="5:13">
      <c r="E6148" s="668"/>
      <c r="F6148" s="668"/>
      <c r="G6148" s="668"/>
      <c r="H6148" s="668"/>
      <c r="I6148" s="668"/>
      <c r="J6148" s="668"/>
      <c r="K6148" s="674"/>
      <c r="L6148" s="668"/>
      <c r="M6148" s="668"/>
    </row>
    <row r="6149" spans="5:13">
      <c r="E6149" s="668"/>
      <c r="F6149" s="668"/>
      <c r="G6149" s="668"/>
      <c r="H6149" s="668"/>
      <c r="I6149" s="668"/>
      <c r="J6149" s="668"/>
      <c r="K6149" s="674"/>
      <c r="L6149" s="668"/>
      <c r="M6149" s="668"/>
    </row>
    <row r="6150" spans="5:13">
      <c r="E6150" s="668"/>
      <c r="F6150" s="668"/>
      <c r="G6150" s="668"/>
      <c r="H6150" s="668"/>
      <c r="I6150" s="668"/>
      <c r="J6150" s="668"/>
      <c r="K6150" s="674"/>
      <c r="L6150" s="668"/>
      <c r="M6150" s="668"/>
    </row>
    <row r="6151" spans="5:13">
      <c r="E6151" s="668"/>
      <c r="F6151" s="668"/>
      <c r="G6151" s="668"/>
      <c r="H6151" s="668"/>
      <c r="I6151" s="668"/>
      <c r="J6151" s="668"/>
      <c r="K6151" s="674"/>
      <c r="L6151" s="668"/>
      <c r="M6151" s="668"/>
    </row>
    <row r="6152" spans="5:13">
      <c r="E6152" s="668"/>
      <c r="F6152" s="668"/>
      <c r="G6152" s="668"/>
      <c r="H6152" s="668"/>
      <c r="I6152" s="668"/>
      <c r="J6152" s="668"/>
      <c r="K6152" s="674"/>
      <c r="L6152" s="668"/>
      <c r="M6152" s="668"/>
    </row>
    <row r="6153" spans="5:13">
      <c r="E6153" s="668"/>
      <c r="F6153" s="668"/>
      <c r="G6153" s="668"/>
      <c r="H6153" s="668"/>
      <c r="I6153" s="668"/>
      <c r="J6153" s="668"/>
      <c r="K6153" s="674"/>
      <c r="L6153" s="668"/>
      <c r="M6153" s="668"/>
    </row>
    <row r="6154" spans="5:13">
      <c r="E6154" s="668"/>
      <c r="F6154" s="668"/>
      <c r="G6154" s="668"/>
      <c r="H6154" s="668"/>
      <c r="I6154" s="668"/>
      <c r="J6154" s="668"/>
      <c r="K6154" s="674"/>
      <c r="L6154" s="668"/>
      <c r="M6154" s="668"/>
    </row>
    <row r="6155" spans="5:13">
      <c r="E6155" s="668"/>
      <c r="F6155" s="668"/>
      <c r="G6155" s="668"/>
      <c r="H6155" s="668"/>
      <c r="I6155" s="668"/>
      <c r="J6155" s="668"/>
      <c r="K6155" s="674"/>
      <c r="L6155" s="668"/>
      <c r="M6155" s="668"/>
    </row>
    <row r="6156" spans="5:13">
      <c r="E6156" s="668"/>
      <c r="F6156" s="668"/>
      <c r="G6156" s="668"/>
      <c r="H6156" s="668"/>
      <c r="I6156" s="668"/>
      <c r="J6156" s="668"/>
      <c r="K6156" s="674"/>
      <c r="L6156" s="668"/>
      <c r="M6156" s="668"/>
    </row>
    <row r="6157" spans="5:13">
      <c r="E6157" s="668"/>
      <c r="F6157" s="668"/>
      <c r="G6157" s="668"/>
      <c r="H6157" s="668"/>
      <c r="I6157" s="668"/>
      <c r="J6157" s="668"/>
      <c r="K6157" s="674"/>
      <c r="L6157" s="668"/>
      <c r="M6157" s="668"/>
    </row>
    <row r="6158" spans="5:13">
      <c r="E6158" s="668"/>
      <c r="F6158" s="668"/>
      <c r="G6158" s="668"/>
      <c r="H6158" s="668"/>
      <c r="I6158" s="668"/>
      <c r="J6158" s="668"/>
      <c r="K6158" s="674"/>
      <c r="L6158" s="668"/>
      <c r="M6158" s="668"/>
    </row>
    <row r="6159" spans="5:13">
      <c r="E6159" s="668"/>
      <c r="F6159" s="668"/>
      <c r="G6159" s="668"/>
      <c r="H6159" s="668"/>
      <c r="I6159" s="668"/>
      <c r="J6159" s="668"/>
      <c r="K6159" s="674"/>
      <c r="L6159" s="668"/>
      <c r="M6159" s="668"/>
    </row>
    <row r="6160" spans="5:13">
      <c r="E6160" s="668"/>
      <c r="F6160" s="668"/>
      <c r="G6160" s="668"/>
      <c r="H6160" s="668"/>
      <c r="I6160" s="668"/>
      <c r="J6160" s="668"/>
      <c r="K6160" s="674"/>
      <c r="L6160" s="668"/>
      <c r="M6160" s="668"/>
    </row>
    <row r="6161" spans="5:13">
      <c r="E6161" s="668"/>
      <c r="F6161" s="668"/>
      <c r="G6161" s="668"/>
      <c r="H6161" s="668"/>
      <c r="I6161" s="668"/>
      <c r="J6161" s="668"/>
      <c r="K6161" s="674"/>
      <c r="L6161" s="668"/>
      <c r="M6161" s="668"/>
    </row>
    <row r="6162" spans="5:13">
      <c r="E6162" s="668"/>
      <c r="F6162" s="668"/>
      <c r="G6162" s="668"/>
      <c r="H6162" s="668"/>
      <c r="I6162" s="668"/>
      <c r="J6162" s="668"/>
      <c r="K6162" s="674"/>
      <c r="L6162" s="668"/>
      <c r="M6162" s="668"/>
    </row>
    <row r="6163" spans="5:13">
      <c r="E6163" s="668"/>
      <c r="F6163" s="668"/>
      <c r="G6163" s="668"/>
      <c r="H6163" s="668"/>
      <c r="I6163" s="668"/>
      <c r="J6163" s="668"/>
      <c r="K6163" s="674"/>
      <c r="L6163" s="668"/>
      <c r="M6163" s="668"/>
    </row>
    <row r="6164" spans="5:13">
      <c r="E6164" s="668"/>
      <c r="F6164" s="668"/>
      <c r="G6164" s="668"/>
      <c r="H6164" s="668"/>
      <c r="I6164" s="668"/>
      <c r="J6164" s="668"/>
      <c r="K6164" s="674"/>
      <c r="L6164" s="668"/>
      <c r="M6164" s="668"/>
    </row>
    <row r="6165" spans="5:13">
      <c r="E6165" s="668"/>
      <c r="F6165" s="668"/>
      <c r="G6165" s="668"/>
      <c r="H6165" s="668"/>
      <c r="I6165" s="668"/>
      <c r="J6165" s="668"/>
      <c r="K6165" s="674"/>
      <c r="L6165" s="668"/>
      <c r="M6165" s="668"/>
    </row>
    <row r="6166" spans="5:13">
      <c r="E6166" s="668"/>
      <c r="F6166" s="668"/>
      <c r="G6166" s="668"/>
      <c r="H6166" s="668"/>
      <c r="I6166" s="668"/>
      <c r="J6166" s="668"/>
      <c r="K6166" s="674"/>
      <c r="L6166" s="668"/>
      <c r="M6166" s="668"/>
    </row>
    <row r="6167" spans="5:13">
      <c r="E6167" s="668"/>
      <c r="F6167" s="668"/>
      <c r="G6167" s="668"/>
      <c r="H6167" s="668"/>
      <c r="I6167" s="668"/>
      <c r="J6167" s="668"/>
      <c r="K6167" s="674"/>
      <c r="L6167" s="668"/>
      <c r="M6167" s="668"/>
    </row>
    <row r="6168" spans="5:13">
      <c r="E6168" s="668"/>
      <c r="F6168" s="668"/>
      <c r="G6168" s="668"/>
      <c r="H6168" s="668"/>
      <c r="I6168" s="668"/>
      <c r="J6168" s="668"/>
      <c r="K6168" s="674"/>
      <c r="L6168" s="668"/>
      <c r="M6168" s="668"/>
    </row>
    <row r="6169" spans="5:13">
      <c r="E6169" s="668"/>
      <c r="F6169" s="668"/>
      <c r="G6169" s="668"/>
      <c r="H6169" s="668"/>
      <c r="I6169" s="668"/>
      <c r="J6169" s="668"/>
      <c r="K6169" s="674"/>
      <c r="L6169" s="668"/>
      <c r="M6169" s="668"/>
    </row>
    <row r="6170" spans="5:13">
      <c r="E6170" s="668"/>
      <c r="F6170" s="668"/>
      <c r="G6170" s="668"/>
      <c r="H6170" s="668"/>
      <c r="I6170" s="668"/>
      <c r="J6170" s="668"/>
      <c r="K6170" s="674"/>
      <c r="L6170" s="668"/>
      <c r="M6170" s="668"/>
    </row>
    <row r="6171" spans="5:13">
      <c r="E6171" s="668"/>
      <c r="F6171" s="668"/>
      <c r="G6171" s="668"/>
      <c r="H6171" s="668"/>
      <c r="I6171" s="668"/>
      <c r="J6171" s="668"/>
      <c r="K6171" s="674"/>
      <c r="L6171" s="668"/>
      <c r="M6171" s="668"/>
    </row>
    <row r="6172" spans="5:13">
      <c r="E6172" s="668"/>
      <c r="F6172" s="668"/>
      <c r="G6172" s="668"/>
      <c r="H6172" s="668"/>
      <c r="I6172" s="668"/>
      <c r="J6172" s="668"/>
      <c r="K6172" s="674"/>
      <c r="L6172" s="668"/>
      <c r="M6172" s="668"/>
    </row>
    <row r="6173" spans="5:13">
      <c r="E6173" s="668"/>
      <c r="F6173" s="668"/>
      <c r="G6173" s="668"/>
      <c r="H6173" s="668"/>
      <c r="I6173" s="668"/>
      <c r="J6173" s="668"/>
      <c r="K6173" s="674"/>
      <c r="L6173" s="668"/>
      <c r="M6173" s="668"/>
    </row>
    <row r="6174" spans="5:13">
      <c r="E6174" s="668"/>
      <c r="F6174" s="668"/>
      <c r="G6174" s="668"/>
      <c r="H6174" s="668"/>
      <c r="I6174" s="668"/>
      <c r="J6174" s="668"/>
      <c r="K6174" s="674"/>
      <c r="L6174" s="668"/>
      <c r="M6174" s="668"/>
    </row>
    <row r="6175" spans="5:13">
      <c r="E6175" s="668"/>
      <c r="F6175" s="668"/>
      <c r="G6175" s="668"/>
      <c r="H6175" s="668"/>
      <c r="I6175" s="668"/>
      <c r="J6175" s="668"/>
      <c r="K6175" s="674"/>
      <c r="L6175" s="668"/>
      <c r="M6175" s="668"/>
    </row>
    <row r="6176" spans="5:13">
      <c r="E6176" s="668"/>
      <c r="F6176" s="668"/>
      <c r="G6176" s="668"/>
      <c r="H6176" s="668"/>
      <c r="I6176" s="668"/>
      <c r="J6176" s="668"/>
      <c r="K6176" s="674"/>
      <c r="L6176" s="668"/>
      <c r="M6176" s="668"/>
    </row>
    <row r="6177" spans="5:13">
      <c r="E6177" s="668"/>
      <c r="F6177" s="668"/>
      <c r="G6177" s="668"/>
      <c r="H6177" s="668"/>
      <c r="I6177" s="668"/>
      <c r="J6177" s="668"/>
      <c r="K6177" s="674"/>
      <c r="L6177" s="668"/>
      <c r="M6177" s="668"/>
    </row>
    <row r="6178" spans="5:13">
      <c r="E6178" s="668"/>
      <c r="F6178" s="668"/>
      <c r="G6178" s="668"/>
      <c r="H6178" s="668"/>
      <c r="I6178" s="668"/>
      <c r="J6178" s="668"/>
      <c r="K6178" s="674"/>
      <c r="L6178" s="668"/>
      <c r="M6178" s="668"/>
    </row>
    <row r="6179" spans="5:13">
      <c r="E6179" s="668"/>
      <c r="F6179" s="668"/>
      <c r="G6179" s="668"/>
      <c r="H6179" s="668"/>
      <c r="I6179" s="668"/>
      <c r="J6179" s="668"/>
      <c r="K6179" s="674"/>
      <c r="L6179" s="668"/>
      <c r="M6179" s="668"/>
    </row>
    <row r="6180" spans="5:13">
      <c r="E6180" s="668"/>
      <c r="F6180" s="668"/>
      <c r="G6180" s="668"/>
      <c r="H6180" s="668"/>
      <c r="I6180" s="668"/>
      <c r="J6180" s="668"/>
      <c r="K6180" s="674"/>
      <c r="L6180" s="668"/>
      <c r="M6180" s="668"/>
    </row>
    <row r="6181" spans="5:13">
      <c r="E6181" s="668"/>
      <c r="F6181" s="668"/>
      <c r="G6181" s="668"/>
      <c r="H6181" s="668"/>
      <c r="I6181" s="668"/>
      <c r="J6181" s="668"/>
      <c r="K6181" s="674"/>
      <c r="L6181" s="668"/>
      <c r="M6181" s="668"/>
    </row>
    <row r="6182" spans="5:13">
      <c r="E6182" s="668"/>
      <c r="F6182" s="668"/>
      <c r="G6182" s="668"/>
      <c r="H6182" s="668"/>
      <c r="I6182" s="668"/>
      <c r="J6182" s="668"/>
      <c r="K6182" s="674"/>
      <c r="L6182" s="668"/>
      <c r="M6182" s="668"/>
    </row>
    <row r="6183" spans="5:13">
      <c r="E6183" s="668"/>
      <c r="F6183" s="668"/>
      <c r="G6183" s="668"/>
      <c r="H6183" s="668"/>
      <c r="I6183" s="668"/>
      <c r="J6183" s="668"/>
      <c r="K6183" s="674"/>
      <c r="L6183" s="668"/>
      <c r="M6183" s="668"/>
    </row>
    <row r="6184" spans="5:13">
      <c r="E6184" s="668"/>
      <c r="F6184" s="668"/>
      <c r="G6184" s="668"/>
      <c r="H6184" s="668"/>
      <c r="I6184" s="668"/>
      <c r="J6184" s="668"/>
      <c r="K6184" s="674"/>
      <c r="L6184" s="668"/>
      <c r="M6184" s="668"/>
    </row>
    <row r="6185" spans="5:13">
      <c r="E6185" s="668"/>
      <c r="F6185" s="668"/>
      <c r="G6185" s="668"/>
      <c r="H6185" s="668"/>
      <c r="I6185" s="668"/>
      <c r="J6185" s="668"/>
      <c r="K6185" s="674"/>
      <c r="L6185" s="668"/>
      <c r="M6185" s="668"/>
    </row>
    <row r="6186" spans="5:13">
      <c r="E6186" s="668"/>
      <c r="F6186" s="668"/>
      <c r="G6186" s="668"/>
      <c r="H6186" s="668"/>
      <c r="I6186" s="668"/>
      <c r="J6186" s="668"/>
      <c r="K6186" s="674"/>
      <c r="L6186" s="668"/>
      <c r="M6186" s="668"/>
    </row>
    <row r="6187" spans="5:13">
      <c r="E6187" s="668"/>
      <c r="F6187" s="668"/>
      <c r="G6187" s="668"/>
      <c r="H6187" s="668"/>
      <c r="I6187" s="668"/>
      <c r="J6187" s="668"/>
      <c r="K6187" s="674"/>
      <c r="L6187" s="668"/>
      <c r="M6187" s="668"/>
    </row>
    <row r="6188" spans="5:13">
      <c r="E6188" s="668"/>
      <c r="F6188" s="668"/>
      <c r="G6188" s="668"/>
      <c r="H6188" s="668"/>
      <c r="I6188" s="668"/>
      <c r="J6188" s="668"/>
      <c r="K6188" s="674"/>
      <c r="L6188" s="668"/>
      <c r="M6188" s="668"/>
    </row>
    <row r="6189" spans="5:13">
      <c r="E6189" s="668"/>
      <c r="F6189" s="668"/>
      <c r="G6189" s="668"/>
      <c r="H6189" s="668"/>
      <c r="I6189" s="668"/>
      <c r="J6189" s="668"/>
      <c r="K6189" s="674"/>
      <c r="L6189" s="668"/>
      <c r="M6189" s="668"/>
    </row>
    <row r="6190" spans="5:13">
      <c r="E6190" s="668"/>
      <c r="F6190" s="668"/>
      <c r="G6190" s="668"/>
      <c r="H6190" s="668"/>
      <c r="I6190" s="668"/>
      <c r="J6190" s="668"/>
      <c r="K6190" s="674"/>
      <c r="L6190" s="668"/>
      <c r="M6190" s="668"/>
    </row>
    <row r="6191" spans="5:13">
      <c r="E6191" s="668"/>
      <c r="F6191" s="668"/>
      <c r="G6191" s="668"/>
      <c r="H6191" s="668"/>
      <c r="I6191" s="668"/>
      <c r="J6191" s="668"/>
      <c r="K6191" s="674"/>
      <c r="L6191" s="668"/>
      <c r="M6191" s="668"/>
    </row>
    <row r="6192" spans="5:13">
      <c r="E6192" s="668"/>
      <c r="F6192" s="668"/>
      <c r="G6192" s="668"/>
      <c r="H6192" s="668"/>
      <c r="I6192" s="668"/>
      <c r="J6192" s="668"/>
      <c r="K6192" s="674"/>
      <c r="L6192" s="668"/>
      <c r="M6192" s="668"/>
    </row>
    <row r="6193" spans="5:13">
      <c r="E6193" s="668"/>
      <c r="F6193" s="668"/>
      <c r="G6193" s="668"/>
      <c r="H6193" s="668"/>
      <c r="I6193" s="668"/>
      <c r="J6193" s="668"/>
      <c r="K6193" s="674"/>
      <c r="L6193" s="668"/>
      <c r="M6193" s="668"/>
    </row>
    <row r="6194" spans="5:13">
      <c r="E6194" s="668"/>
      <c r="F6194" s="668"/>
      <c r="G6194" s="668"/>
      <c r="H6194" s="668"/>
      <c r="I6194" s="668"/>
      <c r="J6194" s="668"/>
      <c r="K6194" s="674"/>
      <c r="L6194" s="668"/>
      <c r="M6194" s="668"/>
    </row>
    <row r="6195" spans="5:13">
      <c r="E6195" s="668"/>
      <c r="F6195" s="668"/>
      <c r="G6195" s="668"/>
      <c r="H6195" s="668"/>
      <c r="I6195" s="668"/>
      <c r="J6195" s="668"/>
      <c r="K6195" s="674"/>
      <c r="L6195" s="668"/>
      <c r="M6195" s="668"/>
    </row>
    <row r="6196" spans="5:13">
      <c r="E6196" s="668"/>
      <c r="F6196" s="668"/>
      <c r="G6196" s="668"/>
      <c r="H6196" s="668"/>
      <c r="I6196" s="668"/>
      <c r="J6196" s="668"/>
      <c r="K6196" s="674"/>
      <c r="L6196" s="668"/>
      <c r="M6196" s="668"/>
    </row>
    <row r="6197" spans="5:13">
      <c r="E6197" s="668"/>
      <c r="F6197" s="668"/>
      <c r="G6197" s="668"/>
      <c r="H6197" s="668"/>
      <c r="I6197" s="668"/>
      <c r="J6197" s="668"/>
      <c r="K6197" s="674"/>
      <c r="L6197" s="668"/>
      <c r="M6197" s="668"/>
    </row>
    <row r="6198" spans="5:13">
      <c r="E6198" s="668"/>
      <c r="F6198" s="668"/>
      <c r="G6198" s="668"/>
      <c r="H6198" s="668"/>
      <c r="I6198" s="668"/>
      <c r="J6198" s="668"/>
      <c r="K6198" s="674"/>
      <c r="L6198" s="668"/>
      <c r="M6198" s="668"/>
    </row>
    <row r="6199" spans="5:13">
      <c r="E6199" s="668"/>
      <c r="F6199" s="668"/>
      <c r="G6199" s="668"/>
      <c r="H6199" s="668"/>
      <c r="I6199" s="668"/>
      <c r="J6199" s="668"/>
      <c r="K6199" s="674"/>
      <c r="L6199" s="668"/>
      <c r="M6199" s="668"/>
    </row>
    <row r="6200" spans="5:13">
      <c r="E6200" s="668"/>
      <c r="F6200" s="668"/>
      <c r="G6200" s="668"/>
      <c r="H6200" s="668"/>
      <c r="I6200" s="668"/>
      <c r="J6200" s="668"/>
      <c r="K6200" s="674"/>
      <c r="L6200" s="668"/>
      <c r="M6200" s="668"/>
    </row>
    <row r="6201" spans="5:13">
      <c r="E6201" s="668"/>
      <c r="F6201" s="668"/>
      <c r="G6201" s="668"/>
      <c r="H6201" s="668"/>
      <c r="I6201" s="668"/>
      <c r="J6201" s="668"/>
      <c r="K6201" s="674"/>
      <c r="L6201" s="668"/>
      <c r="M6201" s="668"/>
    </row>
    <row r="6202" spans="5:13">
      <c r="E6202" s="668"/>
      <c r="F6202" s="668"/>
      <c r="G6202" s="668"/>
      <c r="H6202" s="668"/>
      <c r="I6202" s="668"/>
      <c r="J6202" s="668"/>
      <c r="K6202" s="674"/>
      <c r="L6202" s="668"/>
      <c r="M6202" s="668"/>
    </row>
    <row r="6203" spans="5:13">
      <c r="E6203" s="668"/>
      <c r="F6203" s="668"/>
      <c r="G6203" s="668"/>
      <c r="H6203" s="668"/>
      <c r="I6203" s="668"/>
      <c r="J6203" s="668"/>
      <c r="K6203" s="674"/>
      <c r="L6203" s="668"/>
      <c r="M6203" s="668"/>
    </row>
    <row r="6204" spans="5:13">
      <c r="E6204" s="668"/>
      <c r="F6204" s="668"/>
      <c r="G6204" s="668"/>
      <c r="H6204" s="668"/>
      <c r="I6204" s="668"/>
      <c r="J6204" s="668"/>
      <c r="K6204" s="674"/>
      <c r="L6204" s="668"/>
      <c r="M6204" s="668"/>
    </row>
    <row r="6205" spans="5:13">
      <c r="E6205" s="668"/>
      <c r="F6205" s="668"/>
      <c r="G6205" s="668"/>
      <c r="H6205" s="668"/>
      <c r="I6205" s="668"/>
      <c r="J6205" s="668"/>
      <c r="K6205" s="674"/>
      <c r="L6205" s="668"/>
      <c r="M6205" s="668"/>
    </row>
    <row r="6206" spans="5:13">
      <c r="E6206" s="668"/>
      <c r="F6206" s="668"/>
      <c r="G6206" s="668"/>
      <c r="H6206" s="668"/>
      <c r="I6206" s="668"/>
      <c r="J6206" s="668"/>
      <c r="K6206" s="674"/>
      <c r="L6206" s="668"/>
      <c r="M6206" s="668"/>
    </row>
    <row r="6207" spans="5:13">
      <c r="E6207" s="668"/>
      <c r="F6207" s="668"/>
      <c r="G6207" s="668"/>
      <c r="H6207" s="668"/>
      <c r="I6207" s="668"/>
      <c r="J6207" s="668"/>
      <c r="K6207" s="674"/>
      <c r="L6207" s="668"/>
      <c r="M6207" s="668"/>
    </row>
    <row r="6208" spans="5:13">
      <c r="E6208" s="668"/>
      <c r="F6208" s="668"/>
      <c r="G6208" s="668"/>
      <c r="H6208" s="668"/>
      <c r="I6208" s="668"/>
      <c r="J6208" s="668"/>
      <c r="K6208" s="674"/>
      <c r="L6208" s="668"/>
      <c r="M6208" s="668"/>
    </row>
    <row r="6209" spans="5:13">
      <c r="E6209" s="668"/>
      <c r="F6209" s="668"/>
      <c r="G6209" s="668"/>
      <c r="H6209" s="668"/>
      <c r="I6209" s="668"/>
      <c r="J6209" s="668"/>
      <c r="K6209" s="674"/>
      <c r="L6209" s="668"/>
      <c r="M6209" s="668"/>
    </row>
    <row r="6210" spans="5:13">
      <c r="E6210" s="668"/>
      <c r="F6210" s="668"/>
      <c r="G6210" s="668"/>
      <c r="H6210" s="668"/>
      <c r="I6210" s="668"/>
      <c r="J6210" s="668"/>
      <c r="K6210" s="674"/>
      <c r="L6210" s="668"/>
      <c r="M6210" s="668"/>
    </row>
    <row r="6211" spans="5:13">
      <c r="E6211" s="668"/>
      <c r="F6211" s="668"/>
      <c r="G6211" s="668"/>
      <c r="H6211" s="668"/>
      <c r="I6211" s="668"/>
      <c r="J6211" s="668"/>
      <c r="K6211" s="674"/>
      <c r="L6211" s="668"/>
      <c r="M6211" s="668"/>
    </row>
    <row r="6212" spans="5:13">
      <c r="E6212" s="668"/>
      <c r="F6212" s="668"/>
      <c r="G6212" s="668"/>
      <c r="H6212" s="668"/>
      <c r="I6212" s="668"/>
      <c r="J6212" s="668"/>
      <c r="K6212" s="674"/>
      <c r="L6212" s="668"/>
      <c r="M6212" s="668"/>
    </row>
    <row r="6213" spans="5:13">
      <c r="E6213" s="668"/>
      <c r="F6213" s="668"/>
      <c r="G6213" s="668"/>
      <c r="H6213" s="668"/>
      <c r="I6213" s="668"/>
      <c r="J6213" s="668"/>
      <c r="K6213" s="674"/>
      <c r="L6213" s="668"/>
      <c r="M6213" s="668"/>
    </row>
    <row r="6214" spans="5:13">
      <c r="E6214" s="668"/>
      <c r="F6214" s="668"/>
      <c r="G6214" s="668"/>
      <c r="H6214" s="668"/>
      <c r="I6214" s="668"/>
      <c r="J6214" s="668"/>
      <c r="K6214" s="674"/>
      <c r="L6214" s="668"/>
      <c r="M6214" s="668"/>
    </row>
    <row r="6215" spans="5:13">
      <c r="E6215" s="668"/>
      <c r="F6215" s="668"/>
      <c r="G6215" s="668"/>
      <c r="H6215" s="668"/>
      <c r="I6215" s="668"/>
      <c r="J6215" s="668"/>
      <c r="K6215" s="674"/>
      <c r="L6215" s="668"/>
      <c r="M6215" s="668"/>
    </row>
    <row r="6216" spans="5:13">
      <c r="E6216" s="668"/>
      <c r="F6216" s="668"/>
      <c r="G6216" s="668"/>
      <c r="H6216" s="668"/>
      <c r="I6216" s="668"/>
      <c r="J6216" s="668"/>
      <c r="K6216" s="674"/>
      <c r="L6216" s="668"/>
      <c r="M6216" s="668"/>
    </row>
    <row r="6217" spans="5:13">
      <c r="E6217" s="668"/>
      <c r="F6217" s="668"/>
      <c r="G6217" s="668"/>
      <c r="H6217" s="668"/>
      <c r="I6217" s="668"/>
      <c r="J6217" s="668"/>
      <c r="K6217" s="674"/>
      <c r="L6217" s="668"/>
      <c r="M6217" s="668"/>
    </row>
    <row r="6218" spans="5:13">
      <c r="E6218" s="668"/>
      <c r="F6218" s="668"/>
      <c r="G6218" s="668"/>
      <c r="H6218" s="668"/>
      <c r="I6218" s="668"/>
      <c r="J6218" s="668"/>
      <c r="K6218" s="674"/>
      <c r="L6218" s="668"/>
      <c r="M6218" s="668"/>
    </row>
    <row r="6219" spans="5:13">
      <c r="E6219" s="668"/>
      <c r="F6219" s="668"/>
      <c r="G6219" s="668"/>
      <c r="H6219" s="668"/>
      <c r="I6219" s="668"/>
      <c r="J6219" s="668"/>
      <c r="K6219" s="674"/>
      <c r="L6219" s="668"/>
      <c r="M6219" s="668"/>
    </row>
    <row r="6220" spans="5:13">
      <c r="E6220" s="668"/>
      <c r="F6220" s="668"/>
      <c r="G6220" s="668"/>
      <c r="H6220" s="668"/>
      <c r="I6220" s="668"/>
      <c r="J6220" s="668"/>
      <c r="K6220" s="674"/>
      <c r="L6220" s="668"/>
      <c r="M6220" s="668"/>
    </row>
    <row r="6221" spans="5:13">
      <c r="E6221" s="668"/>
      <c r="F6221" s="668"/>
      <c r="G6221" s="668"/>
      <c r="H6221" s="668"/>
      <c r="I6221" s="668"/>
      <c r="J6221" s="668"/>
      <c r="K6221" s="674"/>
      <c r="L6221" s="668"/>
      <c r="M6221" s="668"/>
    </row>
    <row r="6222" spans="5:13">
      <c r="E6222" s="668"/>
      <c r="F6222" s="668"/>
      <c r="G6222" s="668"/>
      <c r="H6222" s="668"/>
      <c r="I6222" s="668"/>
      <c r="J6222" s="668"/>
      <c r="K6222" s="674"/>
      <c r="L6222" s="668"/>
      <c r="M6222" s="668"/>
    </row>
    <row r="6223" spans="5:13">
      <c r="E6223" s="668"/>
      <c r="F6223" s="668"/>
      <c r="G6223" s="668"/>
      <c r="H6223" s="668"/>
      <c r="I6223" s="668"/>
      <c r="J6223" s="668"/>
      <c r="K6223" s="674"/>
      <c r="L6223" s="668"/>
      <c r="M6223" s="668"/>
    </row>
    <row r="6224" spans="5:13">
      <c r="E6224" s="668"/>
      <c r="F6224" s="668"/>
      <c r="G6224" s="668"/>
      <c r="H6224" s="668"/>
      <c r="I6224" s="668"/>
      <c r="J6224" s="668"/>
      <c r="K6224" s="674"/>
      <c r="L6224" s="668"/>
      <c r="M6224" s="668"/>
    </row>
    <row r="6225" spans="5:13">
      <c r="E6225" s="668"/>
      <c r="F6225" s="668"/>
      <c r="G6225" s="668"/>
      <c r="H6225" s="668"/>
      <c r="I6225" s="668"/>
      <c r="J6225" s="668"/>
      <c r="K6225" s="674"/>
      <c r="L6225" s="668"/>
      <c r="M6225" s="668"/>
    </row>
    <row r="6226" spans="5:13">
      <c r="E6226" s="668"/>
      <c r="F6226" s="668"/>
      <c r="G6226" s="668"/>
      <c r="H6226" s="668"/>
      <c r="I6226" s="668"/>
      <c r="J6226" s="668"/>
      <c r="K6226" s="674"/>
      <c r="L6226" s="668"/>
      <c r="M6226" s="668"/>
    </row>
    <row r="6227" spans="5:13">
      <c r="E6227" s="668"/>
      <c r="F6227" s="668"/>
      <c r="G6227" s="668"/>
      <c r="H6227" s="668"/>
      <c r="I6227" s="668"/>
      <c r="J6227" s="668"/>
      <c r="K6227" s="674"/>
      <c r="L6227" s="668"/>
      <c r="M6227" s="668"/>
    </row>
    <row r="6228" spans="5:13">
      <c r="E6228" s="668"/>
      <c r="F6228" s="668"/>
      <c r="G6228" s="668"/>
      <c r="H6228" s="668"/>
      <c r="I6228" s="668"/>
      <c r="J6228" s="668"/>
      <c r="K6228" s="674"/>
      <c r="L6228" s="668"/>
      <c r="M6228" s="668"/>
    </row>
    <row r="6229" spans="5:13">
      <c r="E6229" s="668"/>
      <c r="F6229" s="668"/>
      <c r="G6229" s="668"/>
      <c r="H6229" s="668"/>
      <c r="I6229" s="668"/>
      <c r="J6229" s="668"/>
      <c r="K6229" s="674"/>
      <c r="L6229" s="668"/>
      <c r="M6229" s="668"/>
    </row>
    <row r="6230" spans="5:13">
      <c r="E6230" s="668"/>
      <c r="F6230" s="668"/>
      <c r="G6230" s="668"/>
      <c r="H6230" s="668"/>
      <c r="I6230" s="668"/>
      <c r="J6230" s="668"/>
      <c r="K6230" s="674"/>
      <c r="L6230" s="668"/>
      <c r="M6230" s="668"/>
    </row>
    <row r="6231" spans="5:13">
      <c r="E6231" s="668"/>
      <c r="F6231" s="668"/>
      <c r="G6231" s="668"/>
      <c r="H6231" s="668"/>
      <c r="I6231" s="668"/>
      <c r="J6231" s="668"/>
      <c r="K6231" s="674"/>
      <c r="L6231" s="668"/>
      <c r="M6231" s="668"/>
    </row>
    <row r="6232" spans="5:13">
      <c r="E6232" s="668"/>
      <c r="F6232" s="668"/>
      <c r="G6232" s="668"/>
      <c r="H6232" s="668"/>
      <c r="I6232" s="668"/>
      <c r="J6232" s="668"/>
      <c r="K6232" s="674"/>
      <c r="L6232" s="668"/>
      <c r="M6232" s="668"/>
    </row>
    <row r="6233" spans="5:13">
      <c r="E6233" s="668"/>
      <c r="F6233" s="668"/>
      <c r="G6233" s="668"/>
      <c r="H6233" s="668"/>
      <c r="I6233" s="668"/>
      <c r="J6233" s="668"/>
      <c r="K6233" s="674"/>
      <c r="L6233" s="668"/>
      <c r="M6233" s="668"/>
    </row>
    <row r="6234" spans="5:13">
      <c r="E6234" s="668"/>
      <c r="F6234" s="668"/>
      <c r="G6234" s="668"/>
      <c r="H6234" s="668"/>
      <c r="I6234" s="668"/>
      <c r="J6234" s="668"/>
      <c r="K6234" s="674"/>
      <c r="L6234" s="668"/>
      <c r="M6234" s="668"/>
    </row>
    <row r="6235" spans="5:13">
      <c r="E6235" s="668"/>
      <c r="F6235" s="668"/>
      <c r="G6235" s="668"/>
      <c r="H6235" s="668"/>
      <c r="I6235" s="668"/>
      <c r="J6235" s="668"/>
      <c r="K6235" s="674"/>
      <c r="L6235" s="668"/>
      <c r="M6235" s="668"/>
    </row>
    <row r="6236" spans="5:13">
      <c r="E6236" s="668"/>
      <c r="F6236" s="668"/>
      <c r="G6236" s="668"/>
      <c r="H6236" s="668"/>
      <c r="I6236" s="668"/>
      <c r="J6236" s="668"/>
      <c r="K6236" s="674"/>
      <c r="L6236" s="668"/>
      <c r="M6236" s="668"/>
    </row>
    <row r="6237" spans="5:13">
      <c r="E6237" s="668"/>
      <c r="F6237" s="668"/>
      <c r="G6237" s="668"/>
      <c r="H6237" s="668"/>
      <c r="I6237" s="668"/>
      <c r="J6237" s="668"/>
      <c r="K6237" s="674"/>
      <c r="L6237" s="668"/>
      <c r="M6237" s="668"/>
    </row>
    <row r="6238" spans="5:13">
      <c r="E6238" s="668"/>
      <c r="F6238" s="668"/>
      <c r="G6238" s="668"/>
      <c r="H6238" s="668"/>
      <c r="I6238" s="668"/>
      <c r="J6238" s="668"/>
      <c r="K6238" s="674"/>
      <c r="L6238" s="668"/>
      <c r="M6238" s="668"/>
    </row>
    <row r="6239" spans="5:13">
      <c r="E6239" s="668"/>
      <c r="F6239" s="668"/>
      <c r="G6239" s="668"/>
      <c r="H6239" s="668"/>
      <c r="I6239" s="668"/>
      <c r="J6239" s="668"/>
      <c r="K6239" s="674"/>
      <c r="L6239" s="668"/>
      <c r="M6239" s="668"/>
    </row>
    <row r="6240" spans="5:13">
      <c r="E6240" s="668"/>
      <c r="F6240" s="668"/>
      <c r="G6240" s="668"/>
      <c r="H6240" s="668"/>
      <c r="I6240" s="668"/>
      <c r="J6240" s="668"/>
      <c r="K6240" s="674"/>
      <c r="L6240" s="668"/>
      <c r="M6240" s="668"/>
    </row>
    <row r="6241" spans="5:13">
      <c r="E6241" s="668"/>
      <c r="F6241" s="668"/>
      <c r="G6241" s="668"/>
      <c r="H6241" s="668"/>
      <c r="I6241" s="668"/>
      <c r="J6241" s="668"/>
      <c r="K6241" s="674"/>
      <c r="L6241" s="668"/>
      <c r="M6241" s="668"/>
    </row>
    <row r="6242" spans="5:13">
      <c r="E6242" s="668"/>
      <c r="F6242" s="668"/>
      <c r="G6242" s="668"/>
      <c r="H6242" s="668"/>
      <c r="I6242" s="668"/>
      <c r="J6242" s="668"/>
      <c r="K6242" s="674"/>
      <c r="L6242" s="668"/>
      <c r="M6242" s="668"/>
    </row>
    <row r="6243" spans="5:13">
      <c r="E6243" s="668"/>
      <c r="F6243" s="668"/>
      <c r="G6243" s="668"/>
      <c r="H6243" s="668"/>
      <c r="I6243" s="668"/>
      <c r="J6243" s="668"/>
      <c r="K6243" s="674"/>
      <c r="L6243" s="668"/>
      <c r="M6243" s="668"/>
    </row>
    <row r="6244" spans="5:13">
      <c r="E6244" s="668"/>
      <c r="F6244" s="668"/>
      <c r="G6244" s="668"/>
      <c r="H6244" s="668"/>
      <c r="I6244" s="668"/>
      <c r="J6244" s="668"/>
      <c r="K6244" s="674"/>
      <c r="L6244" s="668"/>
      <c r="M6244" s="668"/>
    </row>
    <row r="6245" spans="5:13">
      <c r="E6245" s="668"/>
      <c r="F6245" s="668"/>
      <c r="G6245" s="668"/>
      <c r="H6245" s="668"/>
      <c r="I6245" s="668"/>
      <c r="J6245" s="668"/>
      <c r="K6245" s="674"/>
      <c r="L6245" s="668"/>
      <c r="M6245" s="668"/>
    </row>
    <row r="6246" spans="5:13">
      <c r="E6246" s="668"/>
      <c r="F6246" s="668"/>
      <c r="G6246" s="668"/>
      <c r="H6246" s="668"/>
      <c r="I6246" s="668"/>
      <c r="J6246" s="668"/>
      <c r="K6246" s="674"/>
      <c r="L6246" s="668"/>
      <c r="M6246" s="668"/>
    </row>
    <row r="6247" spans="5:13">
      <c r="E6247" s="668"/>
      <c r="F6247" s="668"/>
      <c r="G6247" s="668"/>
      <c r="H6247" s="668"/>
      <c r="I6247" s="668"/>
      <c r="J6247" s="668"/>
      <c r="K6247" s="674"/>
      <c r="L6247" s="668"/>
      <c r="M6247" s="668"/>
    </row>
    <row r="6248" spans="5:13">
      <c r="E6248" s="668"/>
      <c r="F6248" s="668"/>
      <c r="G6248" s="668"/>
      <c r="H6248" s="668"/>
      <c r="I6248" s="668"/>
      <c r="J6248" s="668"/>
      <c r="K6248" s="674"/>
      <c r="L6248" s="668"/>
      <c r="M6248" s="668"/>
    </row>
    <row r="6249" spans="5:13">
      <c r="E6249" s="668"/>
      <c r="F6249" s="668"/>
      <c r="G6249" s="668"/>
      <c r="H6249" s="668"/>
      <c r="I6249" s="668"/>
      <c r="J6249" s="668"/>
      <c r="K6249" s="674"/>
      <c r="L6249" s="668"/>
      <c r="M6249" s="668"/>
    </row>
    <row r="6250" spans="5:13">
      <c r="E6250" s="668"/>
      <c r="F6250" s="668"/>
      <c r="G6250" s="668"/>
      <c r="H6250" s="668"/>
      <c r="I6250" s="668"/>
      <c r="J6250" s="668"/>
      <c r="K6250" s="674"/>
      <c r="L6250" s="668"/>
      <c r="M6250" s="668"/>
    </row>
    <row r="6251" spans="5:13">
      <c r="E6251" s="668"/>
      <c r="F6251" s="668"/>
      <c r="G6251" s="668"/>
      <c r="H6251" s="668"/>
      <c r="I6251" s="668"/>
      <c r="J6251" s="668"/>
      <c r="K6251" s="674"/>
      <c r="L6251" s="668"/>
      <c r="M6251" s="668"/>
    </row>
    <row r="6252" spans="5:13">
      <c r="E6252" s="668"/>
      <c r="F6252" s="668"/>
      <c r="G6252" s="668"/>
      <c r="H6252" s="668"/>
      <c r="I6252" s="668"/>
      <c r="J6252" s="668"/>
      <c r="K6252" s="674"/>
      <c r="L6252" s="668"/>
      <c r="M6252" s="668"/>
    </row>
    <row r="6253" spans="5:13">
      <c r="E6253" s="668"/>
      <c r="F6253" s="668"/>
      <c r="G6253" s="668"/>
      <c r="H6253" s="668"/>
      <c r="I6253" s="668"/>
      <c r="J6253" s="668"/>
      <c r="K6253" s="674"/>
      <c r="L6253" s="668"/>
      <c r="M6253" s="668"/>
    </row>
    <row r="6254" spans="5:13">
      <c r="E6254" s="668"/>
      <c r="F6254" s="668"/>
      <c r="G6254" s="668"/>
      <c r="H6254" s="668"/>
      <c r="I6254" s="668"/>
      <c r="J6254" s="668"/>
      <c r="K6254" s="674"/>
      <c r="L6254" s="668"/>
      <c r="M6254" s="668"/>
    </row>
    <row r="6255" spans="5:13">
      <c r="E6255" s="668"/>
      <c r="F6255" s="668"/>
      <c r="G6255" s="668"/>
      <c r="H6255" s="668"/>
      <c r="I6255" s="668"/>
      <c r="J6255" s="668"/>
      <c r="K6255" s="674"/>
      <c r="L6255" s="668"/>
      <c r="M6255" s="668"/>
    </row>
    <row r="6256" spans="5:13">
      <c r="E6256" s="668"/>
      <c r="F6256" s="668"/>
      <c r="G6256" s="668"/>
      <c r="H6256" s="668"/>
      <c r="I6256" s="668"/>
      <c r="J6256" s="668"/>
      <c r="K6256" s="674"/>
      <c r="L6256" s="668"/>
      <c r="M6256" s="668"/>
    </row>
    <row r="6257" spans="5:13">
      <c r="E6257" s="668"/>
      <c r="F6257" s="668"/>
      <c r="G6257" s="668"/>
      <c r="H6257" s="668"/>
      <c r="I6257" s="668"/>
      <c r="J6257" s="668"/>
      <c r="K6257" s="674"/>
      <c r="L6257" s="668"/>
      <c r="M6257" s="668"/>
    </row>
    <row r="6258" spans="5:13">
      <c r="E6258" s="668"/>
      <c r="F6258" s="668"/>
      <c r="G6258" s="668"/>
      <c r="H6258" s="668"/>
      <c r="I6258" s="668"/>
      <c r="J6258" s="668"/>
      <c r="K6258" s="674"/>
      <c r="L6258" s="668"/>
      <c r="M6258" s="668"/>
    </row>
    <row r="6259" spans="5:13">
      <c r="E6259" s="668"/>
      <c r="F6259" s="668"/>
      <c r="G6259" s="668"/>
      <c r="H6259" s="668"/>
      <c r="I6259" s="668"/>
      <c r="J6259" s="668"/>
      <c r="K6259" s="674"/>
      <c r="L6259" s="668"/>
      <c r="M6259" s="668"/>
    </row>
    <row r="6260" spans="5:13">
      <c r="E6260" s="668"/>
      <c r="F6260" s="668"/>
      <c r="G6260" s="668"/>
      <c r="H6260" s="668"/>
      <c r="I6260" s="668"/>
      <c r="J6260" s="668"/>
      <c r="K6260" s="674"/>
      <c r="L6260" s="668"/>
      <c r="M6260" s="668"/>
    </row>
    <row r="6261" spans="5:13">
      <c r="E6261" s="668"/>
      <c r="F6261" s="668"/>
      <c r="G6261" s="668"/>
      <c r="H6261" s="668"/>
      <c r="I6261" s="668"/>
      <c r="J6261" s="668"/>
      <c r="K6261" s="674"/>
      <c r="L6261" s="668"/>
      <c r="M6261" s="668"/>
    </row>
    <row r="6262" spans="5:13">
      <c r="E6262" s="668"/>
      <c r="F6262" s="668"/>
      <c r="G6262" s="668"/>
      <c r="H6262" s="668"/>
      <c r="I6262" s="668"/>
      <c r="J6262" s="668"/>
      <c r="K6262" s="674"/>
      <c r="L6262" s="668"/>
      <c r="M6262" s="668"/>
    </row>
    <row r="6263" spans="5:13">
      <c r="E6263" s="668"/>
      <c r="F6263" s="668"/>
      <c r="G6263" s="668"/>
      <c r="H6263" s="668"/>
      <c r="I6263" s="668"/>
      <c r="J6263" s="668"/>
      <c r="K6263" s="674"/>
      <c r="L6263" s="668"/>
      <c r="M6263" s="668"/>
    </row>
    <row r="6264" spans="5:13">
      <c r="E6264" s="668"/>
      <c r="F6264" s="668"/>
      <c r="G6264" s="668"/>
      <c r="H6264" s="668"/>
      <c r="I6264" s="668"/>
      <c r="J6264" s="668"/>
      <c r="K6264" s="674"/>
      <c r="L6264" s="668"/>
      <c r="M6264" s="668"/>
    </row>
    <row r="6265" spans="5:13">
      <c r="E6265" s="668"/>
      <c r="F6265" s="668"/>
      <c r="G6265" s="668"/>
      <c r="H6265" s="668"/>
      <c r="I6265" s="668"/>
      <c r="J6265" s="668"/>
      <c r="K6265" s="674"/>
      <c r="L6265" s="668"/>
      <c r="M6265" s="668"/>
    </row>
    <row r="6266" spans="5:13">
      <c r="E6266" s="668"/>
      <c r="F6266" s="668"/>
      <c r="G6266" s="668"/>
      <c r="H6266" s="668"/>
      <c r="I6266" s="668"/>
      <c r="J6266" s="668"/>
      <c r="K6266" s="674"/>
      <c r="L6266" s="668"/>
      <c r="M6266" s="668"/>
    </row>
    <row r="6267" spans="5:13">
      <c r="E6267" s="668"/>
      <c r="F6267" s="668"/>
      <c r="G6267" s="668"/>
      <c r="H6267" s="668"/>
      <c r="I6267" s="668"/>
      <c r="J6267" s="668"/>
      <c r="K6267" s="674"/>
      <c r="L6267" s="668"/>
      <c r="M6267" s="668"/>
    </row>
    <row r="6268" spans="5:13">
      <c r="E6268" s="668"/>
      <c r="F6268" s="668"/>
      <c r="G6268" s="668"/>
      <c r="H6268" s="668"/>
      <c r="I6268" s="668"/>
      <c r="J6268" s="668"/>
      <c r="K6268" s="674"/>
      <c r="L6268" s="668"/>
      <c r="M6268" s="668"/>
    </row>
    <row r="6269" spans="5:13">
      <c r="E6269" s="668"/>
      <c r="F6269" s="668"/>
      <c r="G6269" s="668"/>
      <c r="H6269" s="668"/>
      <c r="I6269" s="668"/>
      <c r="J6269" s="668"/>
      <c r="K6269" s="674"/>
      <c r="L6269" s="668"/>
      <c r="M6269" s="668"/>
    </row>
    <row r="6270" spans="5:13">
      <c r="E6270" s="668"/>
      <c r="F6270" s="668"/>
      <c r="G6270" s="668"/>
      <c r="H6270" s="668"/>
      <c r="I6270" s="668"/>
      <c r="J6270" s="668"/>
      <c r="K6270" s="674"/>
      <c r="L6270" s="668"/>
      <c r="M6270" s="668"/>
    </row>
    <row r="6271" spans="5:13">
      <c r="E6271" s="668"/>
      <c r="F6271" s="668"/>
      <c r="G6271" s="668"/>
      <c r="H6271" s="668"/>
      <c r="I6271" s="668"/>
      <c r="J6271" s="668"/>
      <c r="K6271" s="674"/>
      <c r="L6271" s="668"/>
      <c r="M6271" s="668"/>
    </row>
    <row r="6272" spans="5:13">
      <c r="E6272" s="668"/>
      <c r="F6272" s="668"/>
      <c r="G6272" s="668"/>
      <c r="H6272" s="668"/>
      <c r="I6272" s="668"/>
      <c r="J6272" s="668"/>
      <c r="K6272" s="674"/>
      <c r="L6272" s="668"/>
      <c r="M6272" s="668"/>
    </row>
    <row r="6273" spans="5:13">
      <c r="E6273" s="668"/>
      <c r="F6273" s="668"/>
      <c r="G6273" s="668"/>
      <c r="H6273" s="668"/>
      <c r="I6273" s="668"/>
      <c r="J6273" s="668"/>
      <c r="K6273" s="674"/>
      <c r="L6273" s="668"/>
      <c r="M6273" s="668"/>
    </row>
    <row r="6274" spans="5:13">
      <c r="E6274" s="668"/>
      <c r="F6274" s="668"/>
      <c r="G6274" s="668"/>
      <c r="H6274" s="668"/>
      <c r="I6274" s="668"/>
      <c r="J6274" s="668"/>
      <c r="K6274" s="674"/>
      <c r="L6274" s="668"/>
      <c r="M6274" s="668"/>
    </row>
    <row r="6275" spans="5:13">
      <c r="E6275" s="668"/>
      <c r="F6275" s="668"/>
      <c r="G6275" s="668"/>
      <c r="H6275" s="668"/>
      <c r="I6275" s="668"/>
      <c r="J6275" s="668"/>
      <c r="K6275" s="674"/>
      <c r="L6275" s="668"/>
      <c r="M6275" s="668"/>
    </row>
    <row r="6276" spans="5:13">
      <c r="E6276" s="668"/>
      <c r="F6276" s="668"/>
      <c r="G6276" s="668"/>
      <c r="H6276" s="668"/>
      <c r="I6276" s="668"/>
      <c r="J6276" s="668"/>
      <c r="K6276" s="674"/>
      <c r="L6276" s="668"/>
      <c r="M6276" s="668"/>
    </row>
    <row r="6277" spans="5:13">
      <c r="E6277" s="668"/>
      <c r="F6277" s="668"/>
      <c r="G6277" s="668"/>
      <c r="H6277" s="668"/>
      <c r="I6277" s="668"/>
      <c r="J6277" s="668"/>
      <c r="K6277" s="674"/>
      <c r="L6277" s="668"/>
      <c r="M6277" s="668"/>
    </row>
    <row r="6278" spans="5:13">
      <c r="E6278" s="668"/>
      <c r="F6278" s="668"/>
      <c r="G6278" s="668"/>
      <c r="H6278" s="668"/>
      <c r="I6278" s="668"/>
      <c r="J6278" s="668"/>
      <c r="K6278" s="674"/>
      <c r="L6278" s="668"/>
      <c r="M6278" s="668"/>
    </row>
    <row r="6279" spans="5:13">
      <c r="E6279" s="668"/>
      <c r="F6279" s="668"/>
      <c r="G6279" s="668"/>
      <c r="H6279" s="668"/>
      <c r="I6279" s="668"/>
      <c r="J6279" s="668"/>
      <c r="K6279" s="674"/>
      <c r="L6279" s="668"/>
      <c r="M6279" s="668"/>
    </row>
    <row r="6280" spans="5:13">
      <c r="E6280" s="668"/>
      <c r="F6280" s="668"/>
      <c r="G6280" s="668"/>
      <c r="H6280" s="668"/>
      <c r="I6280" s="668"/>
      <c r="J6280" s="668"/>
      <c r="K6280" s="674"/>
      <c r="L6280" s="668"/>
      <c r="M6280" s="668"/>
    </row>
    <row r="6281" spans="5:13">
      <c r="E6281" s="668"/>
      <c r="F6281" s="668"/>
      <c r="G6281" s="668"/>
      <c r="H6281" s="668"/>
      <c r="I6281" s="668"/>
      <c r="J6281" s="668"/>
      <c r="K6281" s="674"/>
      <c r="L6281" s="668"/>
      <c r="M6281" s="668"/>
    </row>
    <row r="6282" spans="5:13">
      <c r="E6282" s="668"/>
      <c r="F6282" s="668"/>
      <c r="G6282" s="668"/>
      <c r="H6282" s="668"/>
      <c r="I6282" s="668"/>
      <c r="J6282" s="668"/>
      <c r="K6282" s="674"/>
      <c r="L6282" s="668"/>
      <c r="M6282" s="668"/>
    </row>
    <row r="6283" spans="5:13">
      <c r="E6283" s="668"/>
      <c r="F6283" s="668"/>
      <c r="G6283" s="668"/>
      <c r="H6283" s="668"/>
      <c r="I6283" s="668"/>
      <c r="J6283" s="668"/>
      <c r="K6283" s="674"/>
      <c r="L6283" s="668"/>
      <c r="M6283" s="668"/>
    </row>
    <row r="6284" spans="5:13">
      <c r="E6284" s="668"/>
      <c r="F6284" s="668"/>
      <c r="G6284" s="668"/>
      <c r="H6284" s="668"/>
      <c r="I6284" s="668"/>
      <c r="J6284" s="668"/>
      <c r="K6284" s="674"/>
      <c r="L6284" s="668"/>
      <c r="M6284" s="668"/>
    </row>
    <row r="6285" spans="5:13">
      <c r="E6285" s="668"/>
      <c r="F6285" s="668"/>
      <c r="G6285" s="668"/>
      <c r="H6285" s="668"/>
      <c r="I6285" s="668"/>
      <c r="J6285" s="668"/>
      <c r="K6285" s="674"/>
      <c r="L6285" s="668"/>
      <c r="M6285" s="668"/>
    </row>
    <row r="6286" spans="5:13">
      <c r="E6286" s="668"/>
      <c r="F6286" s="668"/>
      <c r="G6286" s="668"/>
      <c r="H6286" s="668"/>
      <c r="I6286" s="668"/>
      <c r="J6286" s="668"/>
      <c r="K6286" s="674"/>
      <c r="L6286" s="668"/>
      <c r="M6286" s="668"/>
    </row>
    <row r="6287" spans="5:13">
      <c r="E6287" s="668"/>
      <c r="F6287" s="668"/>
      <c r="G6287" s="668"/>
      <c r="H6287" s="668"/>
      <c r="I6287" s="668"/>
      <c r="J6287" s="668"/>
      <c r="K6287" s="674"/>
      <c r="L6287" s="668"/>
      <c r="M6287" s="668"/>
    </row>
    <row r="6288" spans="5:13">
      <c r="E6288" s="668"/>
      <c r="F6288" s="668"/>
      <c r="G6288" s="668"/>
      <c r="H6288" s="668"/>
      <c r="I6288" s="668"/>
      <c r="J6288" s="668"/>
      <c r="K6288" s="674"/>
      <c r="L6288" s="668"/>
      <c r="M6288" s="668"/>
    </row>
    <row r="6289" spans="5:13">
      <c r="E6289" s="668"/>
      <c r="F6289" s="668"/>
      <c r="G6289" s="668"/>
      <c r="H6289" s="668"/>
      <c r="I6289" s="668"/>
      <c r="J6289" s="668"/>
      <c r="K6289" s="674"/>
      <c r="L6289" s="668"/>
      <c r="M6289" s="668"/>
    </row>
    <row r="6290" spans="5:13">
      <c r="E6290" s="668"/>
      <c r="F6290" s="668"/>
      <c r="G6290" s="668"/>
      <c r="H6290" s="668"/>
      <c r="I6290" s="668"/>
      <c r="J6290" s="668"/>
      <c r="K6290" s="674"/>
      <c r="L6290" s="668"/>
      <c r="M6290" s="668"/>
    </row>
    <row r="6291" spans="5:13">
      <c r="E6291" s="668"/>
      <c r="F6291" s="668"/>
      <c r="G6291" s="668"/>
      <c r="H6291" s="668"/>
      <c r="I6291" s="668"/>
      <c r="J6291" s="668"/>
      <c r="K6291" s="674"/>
      <c r="L6291" s="668"/>
      <c r="M6291" s="668"/>
    </row>
    <row r="6292" spans="5:13">
      <c r="E6292" s="668"/>
      <c r="F6292" s="668"/>
      <c r="G6292" s="668"/>
      <c r="H6292" s="668"/>
      <c r="I6292" s="668"/>
      <c r="J6292" s="668"/>
      <c r="K6292" s="674"/>
      <c r="L6292" s="668"/>
      <c r="M6292" s="668"/>
    </row>
    <row r="6293" spans="5:13">
      <c r="E6293" s="668"/>
      <c r="F6293" s="668"/>
      <c r="G6293" s="668"/>
      <c r="H6293" s="668"/>
      <c r="I6293" s="668"/>
      <c r="J6293" s="668"/>
      <c r="K6293" s="674"/>
      <c r="L6293" s="668"/>
      <c r="M6293" s="668"/>
    </row>
    <row r="6294" spans="5:13">
      <c r="E6294" s="668"/>
      <c r="F6294" s="668"/>
      <c r="G6294" s="668"/>
      <c r="H6294" s="668"/>
      <c r="I6294" s="668"/>
      <c r="J6294" s="668"/>
      <c r="K6294" s="674"/>
      <c r="L6294" s="668"/>
      <c r="M6294" s="668"/>
    </row>
    <row r="6295" spans="5:13">
      <c r="E6295" s="668"/>
      <c r="F6295" s="668"/>
      <c r="G6295" s="668"/>
      <c r="H6295" s="668"/>
      <c r="I6295" s="668"/>
      <c r="J6295" s="668"/>
      <c r="K6295" s="674"/>
      <c r="L6295" s="668"/>
      <c r="M6295" s="668"/>
    </row>
    <row r="6296" spans="5:13">
      <c r="E6296" s="668"/>
      <c r="F6296" s="668"/>
      <c r="G6296" s="668"/>
      <c r="H6296" s="668"/>
      <c r="I6296" s="668"/>
      <c r="J6296" s="668"/>
      <c r="K6296" s="674"/>
      <c r="L6296" s="668"/>
      <c r="M6296" s="668"/>
    </row>
    <row r="6297" spans="5:13">
      <c r="E6297" s="668"/>
      <c r="F6297" s="668"/>
      <c r="G6297" s="668"/>
      <c r="H6297" s="668"/>
      <c r="I6297" s="668"/>
      <c r="J6297" s="668"/>
      <c r="K6297" s="674"/>
      <c r="L6297" s="668"/>
      <c r="M6297" s="668"/>
    </row>
    <row r="6298" spans="5:13">
      <c r="E6298" s="668"/>
      <c r="F6298" s="668"/>
      <c r="G6298" s="668"/>
      <c r="H6298" s="668"/>
      <c r="I6298" s="668"/>
      <c r="J6298" s="668"/>
      <c r="K6298" s="674"/>
      <c r="L6298" s="668"/>
      <c r="M6298" s="668"/>
    </row>
    <row r="6299" spans="5:13">
      <c r="E6299" s="668"/>
      <c r="F6299" s="668"/>
      <c r="G6299" s="668"/>
      <c r="H6299" s="668"/>
      <c r="I6299" s="668"/>
      <c r="J6299" s="668"/>
      <c r="K6299" s="674"/>
      <c r="L6299" s="668"/>
      <c r="M6299" s="668"/>
    </row>
    <row r="6300" spans="5:13">
      <c r="E6300" s="668"/>
      <c r="F6300" s="668"/>
      <c r="G6300" s="668"/>
      <c r="H6300" s="668"/>
      <c r="I6300" s="668"/>
      <c r="J6300" s="668"/>
      <c r="K6300" s="674"/>
      <c r="L6300" s="668"/>
      <c r="M6300" s="668"/>
    </row>
    <row r="6301" spans="5:13">
      <c r="E6301" s="668"/>
      <c r="F6301" s="668"/>
      <c r="G6301" s="668"/>
      <c r="H6301" s="668"/>
      <c r="I6301" s="668"/>
      <c r="J6301" s="668"/>
      <c r="K6301" s="674"/>
      <c r="L6301" s="668"/>
      <c r="M6301" s="668"/>
    </row>
    <row r="6302" spans="5:13">
      <c r="E6302" s="668"/>
      <c r="F6302" s="668"/>
      <c r="G6302" s="668"/>
      <c r="H6302" s="668"/>
      <c r="I6302" s="668"/>
      <c r="J6302" s="668"/>
      <c r="K6302" s="674"/>
      <c r="L6302" s="668"/>
      <c r="M6302" s="668"/>
    </row>
    <row r="6303" spans="5:13">
      <c r="E6303" s="668"/>
      <c r="F6303" s="668"/>
      <c r="G6303" s="668"/>
      <c r="H6303" s="668"/>
      <c r="I6303" s="668"/>
      <c r="J6303" s="668"/>
      <c r="K6303" s="674"/>
      <c r="L6303" s="668"/>
      <c r="M6303" s="668"/>
    </row>
    <row r="6304" spans="5:13">
      <c r="E6304" s="668"/>
      <c r="F6304" s="668"/>
      <c r="G6304" s="668"/>
      <c r="H6304" s="668"/>
      <c r="I6304" s="668"/>
      <c r="J6304" s="668"/>
      <c r="K6304" s="674"/>
      <c r="L6304" s="668"/>
      <c r="M6304" s="668"/>
    </row>
    <row r="6305" spans="5:13">
      <c r="E6305" s="668"/>
      <c r="F6305" s="668"/>
      <c r="G6305" s="668"/>
      <c r="H6305" s="668"/>
      <c r="I6305" s="668"/>
      <c r="J6305" s="668"/>
      <c r="K6305" s="674"/>
      <c r="L6305" s="668"/>
      <c r="M6305" s="668"/>
    </row>
    <row r="6306" spans="5:13">
      <c r="E6306" s="668"/>
      <c r="F6306" s="668"/>
      <c r="G6306" s="668"/>
      <c r="H6306" s="668"/>
      <c r="I6306" s="668"/>
      <c r="J6306" s="668"/>
      <c r="K6306" s="674"/>
      <c r="L6306" s="668"/>
      <c r="M6306" s="668"/>
    </row>
    <row r="6307" spans="5:13">
      <c r="E6307" s="668"/>
      <c r="F6307" s="668"/>
      <c r="G6307" s="668"/>
      <c r="H6307" s="668"/>
      <c r="I6307" s="668"/>
      <c r="J6307" s="668"/>
      <c r="K6307" s="674"/>
      <c r="L6307" s="668"/>
      <c r="M6307" s="668"/>
    </row>
    <row r="6308" spans="5:13">
      <c r="E6308" s="668"/>
      <c r="F6308" s="668"/>
      <c r="G6308" s="668"/>
      <c r="H6308" s="668"/>
      <c r="I6308" s="668"/>
      <c r="J6308" s="668"/>
      <c r="K6308" s="674"/>
      <c r="L6308" s="668"/>
      <c r="M6308" s="668"/>
    </row>
    <row r="6309" spans="5:13">
      <c r="E6309" s="668"/>
      <c r="F6309" s="668"/>
      <c r="G6309" s="668"/>
      <c r="H6309" s="668"/>
      <c r="I6309" s="668"/>
      <c r="J6309" s="668"/>
      <c r="K6309" s="674"/>
      <c r="L6309" s="668"/>
      <c r="M6309" s="668"/>
    </row>
    <row r="6310" spans="5:13">
      <c r="E6310" s="668"/>
      <c r="F6310" s="668"/>
      <c r="G6310" s="668"/>
      <c r="H6310" s="668"/>
      <c r="I6310" s="668"/>
      <c r="J6310" s="668"/>
      <c r="K6310" s="674"/>
      <c r="L6310" s="668"/>
      <c r="M6310" s="668"/>
    </row>
    <row r="6311" spans="5:13">
      <c r="E6311" s="668"/>
      <c r="F6311" s="668"/>
      <c r="G6311" s="668"/>
      <c r="H6311" s="668"/>
      <c r="I6311" s="668"/>
      <c r="J6311" s="668"/>
      <c r="K6311" s="674"/>
      <c r="L6311" s="668"/>
      <c r="M6311" s="668"/>
    </row>
    <row r="6312" spans="5:13">
      <c r="E6312" s="668"/>
      <c r="F6312" s="668"/>
      <c r="G6312" s="668"/>
      <c r="H6312" s="668"/>
      <c r="I6312" s="668"/>
      <c r="J6312" s="668"/>
      <c r="K6312" s="674"/>
      <c r="L6312" s="668"/>
      <c r="M6312" s="668"/>
    </row>
    <row r="6313" spans="5:13">
      <c r="E6313" s="668"/>
      <c r="F6313" s="668"/>
      <c r="G6313" s="668"/>
      <c r="H6313" s="668"/>
      <c r="I6313" s="668"/>
      <c r="J6313" s="668"/>
      <c r="K6313" s="674"/>
      <c r="L6313" s="668"/>
      <c r="M6313" s="668"/>
    </row>
    <row r="6314" spans="5:13">
      <c r="E6314" s="668"/>
      <c r="F6314" s="668"/>
      <c r="G6314" s="668"/>
      <c r="H6314" s="668"/>
      <c r="I6314" s="668"/>
      <c r="J6314" s="668"/>
      <c r="K6314" s="674"/>
      <c r="L6314" s="668"/>
      <c r="M6314" s="668"/>
    </row>
    <row r="6315" spans="5:13">
      <c r="E6315" s="668"/>
      <c r="F6315" s="668"/>
      <c r="G6315" s="668"/>
      <c r="H6315" s="668"/>
      <c r="I6315" s="668"/>
      <c r="J6315" s="668"/>
      <c r="K6315" s="674"/>
      <c r="L6315" s="668"/>
      <c r="M6315" s="668"/>
    </row>
    <row r="6316" spans="5:13">
      <c r="E6316" s="668"/>
      <c r="F6316" s="668"/>
      <c r="G6316" s="668"/>
      <c r="H6316" s="668"/>
      <c r="I6316" s="668"/>
      <c r="J6316" s="668"/>
      <c r="K6316" s="674"/>
      <c r="L6316" s="668"/>
      <c r="M6316" s="668"/>
    </row>
    <row r="6317" spans="5:13">
      <c r="E6317" s="668"/>
      <c r="F6317" s="668"/>
      <c r="G6317" s="668"/>
      <c r="H6317" s="668"/>
      <c r="I6317" s="668"/>
      <c r="J6317" s="668"/>
      <c r="K6317" s="674"/>
      <c r="L6317" s="668"/>
      <c r="M6317" s="668"/>
    </row>
    <row r="6318" spans="5:13">
      <c r="E6318" s="668"/>
      <c r="F6318" s="668"/>
      <c r="G6318" s="668"/>
      <c r="H6318" s="668"/>
      <c r="I6318" s="668"/>
      <c r="J6318" s="668"/>
      <c r="K6318" s="674"/>
      <c r="L6318" s="668"/>
      <c r="M6318" s="668"/>
    </row>
    <row r="6319" spans="5:13">
      <c r="E6319" s="668"/>
      <c r="F6319" s="668"/>
      <c r="G6319" s="668"/>
      <c r="H6319" s="668"/>
      <c r="I6319" s="668"/>
      <c r="J6319" s="668"/>
      <c r="K6319" s="674"/>
      <c r="L6319" s="668"/>
      <c r="M6319" s="668"/>
    </row>
    <row r="6320" spans="5:13">
      <c r="E6320" s="668"/>
      <c r="F6320" s="668"/>
      <c r="G6320" s="668"/>
      <c r="H6320" s="668"/>
      <c r="I6320" s="668"/>
      <c r="J6320" s="668"/>
      <c r="K6320" s="674"/>
      <c r="L6320" s="668"/>
      <c r="M6320" s="668"/>
    </row>
    <row r="6321" spans="5:13">
      <c r="E6321" s="668"/>
      <c r="F6321" s="668"/>
      <c r="G6321" s="668"/>
      <c r="H6321" s="668"/>
      <c r="I6321" s="668"/>
      <c r="J6321" s="668"/>
      <c r="K6321" s="674"/>
      <c r="L6321" s="668"/>
      <c r="M6321" s="668"/>
    </row>
    <row r="6322" spans="5:13">
      <c r="E6322" s="668"/>
      <c r="F6322" s="668"/>
      <c r="G6322" s="668"/>
      <c r="H6322" s="668"/>
      <c r="I6322" s="668"/>
      <c r="J6322" s="668"/>
      <c r="K6322" s="674"/>
      <c r="L6322" s="668"/>
      <c r="M6322" s="668"/>
    </row>
    <row r="6323" spans="5:13">
      <c r="E6323" s="668"/>
      <c r="F6323" s="668"/>
      <c r="G6323" s="668"/>
      <c r="H6323" s="668"/>
      <c r="I6323" s="668"/>
      <c r="J6323" s="668"/>
      <c r="K6323" s="674"/>
      <c r="L6323" s="668"/>
      <c r="M6323" s="668"/>
    </row>
    <row r="6324" spans="5:13">
      <c r="E6324" s="668"/>
      <c r="F6324" s="668"/>
      <c r="G6324" s="668"/>
      <c r="H6324" s="668"/>
      <c r="I6324" s="668"/>
      <c r="J6324" s="668"/>
      <c r="K6324" s="674"/>
      <c r="L6324" s="668"/>
      <c r="M6324" s="668"/>
    </row>
    <row r="6325" spans="5:13">
      <c r="E6325" s="668"/>
      <c r="F6325" s="668"/>
      <c r="G6325" s="668"/>
      <c r="H6325" s="668"/>
      <c r="I6325" s="668"/>
      <c r="J6325" s="668"/>
      <c r="K6325" s="674"/>
      <c r="L6325" s="668"/>
      <c r="M6325" s="668"/>
    </row>
    <row r="6326" spans="5:13">
      <c r="E6326" s="668"/>
      <c r="F6326" s="668"/>
      <c r="G6326" s="668"/>
      <c r="H6326" s="668"/>
      <c r="I6326" s="668"/>
      <c r="J6326" s="668"/>
      <c r="K6326" s="674"/>
      <c r="L6326" s="668"/>
      <c r="M6326" s="668"/>
    </row>
    <row r="6327" spans="5:13">
      <c r="E6327" s="668"/>
      <c r="F6327" s="668"/>
      <c r="G6327" s="668"/>
      <c r="H6327" s="668"/>
      <c r="I6327" s="668"/>
      <c r="J6327" s="668"/>
      <c r="K6327" s="674"/>
      <c r="L6327" s="668"/>
      <c r="M6327" s="668"/>
    </row>
    <row r="6328" spans="5:13">
      <c r="E6328" s="668"/>
      <c r="F6328" s="668"/>
      <c r="G6328" s="668"/>
      <c r="H6328" s="668"/>
      <c r="I6328" s="668"/>
      <c r="J6328" s="668"/>
      <c r="K6328" s="674"/>
      <c r="L6328" s="668"/>
      <c r="M6328" s="668"/>
    </row>
    <row r="6329" spans="5:13">
      <c r="E6329" s="668"/>
      <c r="F6329" s="668"/>
      <c r="G6329" s="668"/>
      <c r="H6329" s="668"/>
      <c r="I6329" s="668"/>
      <c r="J6329" s="668"/>
      <c r="K6329" s="674"/>
      <c r="L6329" s="668"/>
      <c r="M6329" s="668"/>
    </row>
    <row r="6330" spans="5:13">
      <c r="E6330" s="668"/>
      <c r="F6330" s="668"/>
      <c r="G6330" s="668"/>
      <c r="H6330" s="668"/>
      <c r="I6330" s="668"/>
      <c r="J6330" s="668"/>
      <c r="K6330" s="674"/>
      <c r="L6330" s="668"/>
      <c r="M6330" s="668"/>
    </row>
    <row r="6331" spans="5:13">
      <c r="E6331" s="668"/>
      <c r="F6331" s="668"/>
      <c r="G6331" s="668"/>
      <c r="H6331" s="668"/>
      <c r="I6331" s="668"/>
      <c r="J6331" s="668"/>
      <c r="K6331" s="674"/>
      <c r="L6331" s="668"/>
      <c r="M6331" s="668"/>
    </row>
    <row r="6332" spans="5:13">
      <c r="E6332" s="668"/>
      <c r="F6332" s="668"/>
      <c r="G6332" s="668"/>
      <c r="H6332" s="668"/>
      <c r="I6332" s="668"/>
      <c r="J6332" s="668"/>
      <c r="K6332" s="674"/>
      <c r="L6332" s="668"/>
      <c r="M6332" s="668"/>
    </row>
    <row r="6333" spans="5:13">
      <c r="E6333" s="668"/>
      <c r="F6333" s="668"/>
      <c r="G6333" s="668"/>
      <c r="H6333" s="668"/>
      <c r="I6333" s="668"/>
      <c r="J6333" s="668"/>
      <c r="K6333" s="674"/>
      <c r="L6333" s="668"/>
      <c r="M6333" s="668"/>
    </row>
    <row r="6334" spans="5:13">
      <c r="E6334" s="668"/>
      <c r="F6334" s="668"/>
      <c r="G6334" s="668"/>
      <c r="H6334" s="668"/>
      <c r="I6334" s="668"/>
      <c r="J6334" s="668"/>
      <c r="K6334" s="674"/>
      <c r="L6334" s="668"/>
      <c r="M6334" s="668"/>
    </row>
    <row r="6335" spans="5:13">
      <c r="E6335" s="668"/>
      <c r="F6335" s="668"/>
      <c r="G6335" s="668"/>
      <c r="H6335" s="668"/>
      <c r="I6335" s="668"/>
      <c r="J6335" s="668"/>
      <c r="K6335" s="674"/>
      <c r="L6335" s="668"/>
      <c r="M6335" s="668"/>
    </row>
    <row r="6336" spans="5:13">
      <c r="E6336" s="668"/>
      <c r="F6336" s="668"/>
      <c r="G6336" s="668"/>
      <c r="H6336" s="668"/>
      <c r="I6336" s="668"/>
      <c r="J6336" s="668"/>
      <c r="K6336" s="674"/>
      <c r="L6336" s="668"/>
      <c r="M6336" s="668"/>
    </row>
    <row r="6337" spans="5:13">
      <c r="E6337" s="668"/>
      <c r="F6337" s="668"/>
      <c r="G6337" s="668"/>
      <c r="H6337" s="668"/>
      <c r="I6337" s="668"/>
      <c r="J6337" s="668"/>
      <c r="K6337" s="674"/>
      <c r="L6337" s="668"/>
      <c r="M6337" s="668"/>
    </row>
    <row r="6338" spans="5:13">
      <c r="E6338" s="668"/>
      <c r="F6338" s="668"/>
      <c r="G6338" s="668"/>
      <c r="H6338" s="668"/>
      <c r="I6338" s="668"/>
      <c r="J6338" s="668"/>
      <c r="K6338" s="674"/>
      <c r="L6338" s="668"/>
      <c r="M6338" s="668"/>
    </row>
    <row r="6339" spans="5:13">
      <c r="E6339" s="668"/>
      <c r="F6339" s="668"/>
      <c r="G6339" s="668"/>
      <c r="H6339" s="668"/>
      <c r="I6339" s="668"/>
      <c r="J6339" s="668"/>
      <c r="K6339" s="674"/>
      <c r="L6339" s="668"/>
      <c r="M6339" s="668"/>
    </row>
    <row r="6340" spans="5:13">
      <c r="E6340" s="668"/>
      <c r="F6340" s="668"/>
      <c r="G6340" s="668"/>
      <c r="H6340" s="668"/>
      <c r="I6340" s="668"/>
      <c r="J6340" s="668"/>
      <c r="K6340" s="674"/>
      <c r="L6340" s="668"/>
      <c r="M6340" s="668"/>
    </row>
    <row r="6341" spans="5:13">
      <c r="E6341" s="668"/>
      <c r="F6341" s="668"/>
      <c r="G6341" s="668"/>
      <c r="H6341" s="668"/>
      <c r="I6341" s="668"/>
      <c r="J6341" s="668"/>
      <c r="K6341" s="674"/>
      <c r="L6341" s="668"/>
      <c r="M6341" s="668"/>
    </row>
    <row r="6342" spans="5:13">
      <c r="E6342" s="668"/>
      <c r="F6342" s="668"/>
      <c r="G6342" s="668"/>
      <c r="H6342" s="668"/>
      <c r="I6342" s="668"/>
      <c r="J6342" s="668"/>
      <c r="K6342" s="674"/>
      <c r="L6342" s="668"/>
      <c r="M6342" s="668"/>
    </row>
    <row r="6343" spans="5:13">
      <c r="E6343" s="668"/>
      <c r="F6343" s="668"/>
      <c r="G6343" s="668"/>
      <c r="H6343" s="668"/>
      <c r="I6343" s="668"/>
      <c r="J6343" s="668"/>
      <c r="K6343" s="674"/>
      <c r="L6343" s="668"/>
      <c r="M6343" s="668"/>
    </row>
    <row r="6344" spans="5:13">
      <c r="E6344" s="668"/>
      <c r="F6344" s="668"/>
      <c r="G6344" s="668"/>
      <c r="H6344" s="668"/>
      <c r="I6344" s="668"/>
      <c r="J6344" s="668"/>
      <c r="K6344" s="674"/>
      <c r="L6344" s="668"/>
      <c r="M6344" s="668"/>
    </row>
    <row r="6345" spans="5:13">
      <c r="E6345" s="668"/>
      <c r="F6345" s="668"/>
      <c r="G6345" s="668"/>
      <c r="H6345" s="668"/>
      <c r="I6345" s="668"/>
      <c r="J6345" s="668"/>
      <c r="K6345" s="674"/>
      <c r="L6345" s="668"/>
      <c r="M6345" s="668"/>
    </row>
    <row r="6346" spans="5:13">
      <c r="E6346" s="668"/>
      <c r="F6346" s="668"/>
      <c r="G6346" s="668"/>
      <c r="H6346" s="668"/>
      <c r="I6346" s="668"/>
      <c r="J6346" s="668"/>
      <c r="K6346" s="674"/>
      <c r="L6346" s="668"/>
      <c r="M6346" s="668"/>
    </row>
    <row r="6347" spans="5:13">
      <c r="E6347" s="668"/>
      <c r="F6347" s="668"/>
      <c r="G6347" s="668"/>
      <c r="H6347" s="668"/>
      <c r="I6347" s="668"/>
      <c r="J6347" s="668"/>
      <c r="K6347" s="674"/>
      <c r="L6347" s="668"/>
      <c r="M6347" s="668"/>
    </row>
    <row r="6348" spans="5:13">
      <c r="E6348" s="668"/>
      <c r="F6348" s="668"/>
      <c r="G6348" s="668"/>
      <c r="H6348" s="668"/>
      <c r="I6348" s="668"/>
      <c r="J6348" s="668"/>
      <c r="K6348" s="674"/>
      <c r="L6348" s="668"/>
      <c r="M6348" s="668"/>
    </row>
    <row r="6349" spans="5:13">
      <c r="E6349" s="668"/>
      <c r="F6349" s="668"/>
      <c r="G6349" s="668"/>
      <c r="H6349" s="668"/>
      <c r="I6349" s="668"/>
      <c r="J6349" s="668"/>
      <c r="K6349" s="674"/>
      <c r="L6349" s="668"/>
      <c r="M6349" s="668"/>
    </row>
    <row r="6350" spans="5:13">
      <c r="E6350" s="668"/>
      <c r="F6350" s="668"/>
      <c r="G6350" s="668"/>
      <c r="H6350" s="668"/>
      <c r="I6350" s="668"/>
      <c r="J6350" s="668"/>
      <c r="K6350" s="674"/>
      <c r="L6350" s="668"/>
      <c r="M6350" s="668"/>
    </row>
    <row r="6351" spans="5:13">
      <c r="E6351" s="668"/>
      <c r="F6351" s="668"/>
      <c r="G6351" s="668"/>
      <c r="H6351" s="668"/>
      <c r="I6351" s="668"/>
      <c r="J6351" s="668"/>
      <c r="K6351" s="674"/>
      <c r="L6351" s="668"/>
      <c r="M6351" s="668"/>
    </row>
    <row r="6352" spans="5:13">
      <c r="E6352" s="668"/>
      <c r="F6352" s="668"/>
      <c r="G6352" s="668"/>
      <c r="H6352" s="668"/>
      <c r="I6352" s="668"/>
      <c r="J6352" s="668"/>
      <c r="K6352" s="674"/>
      <c r="L6352" s="668"/>
      <c r="M6352" s="668"/>
    </row>
    <row r="6353" spans="5:13">
      <c r="E6353" s="668"/>
      <c r="F6353" s="668"/>
      <c r="G6353" s="668"/>
      <c r="H6353" s="668"/>
      <c r="I6353" s="668"/>
      <c r="J6353" s="668"/>
      <c r="K6353" s="674"/>
      <c r="L6353" s="668"/>
      <c r="M6353" s="668"/>
    </row>
    <row r="6354" spans="5:13">
      <c r="E6354" s="668"/>
      <c r="F6354" s="668"/>
      <c r="G6354" s="668"/>
      <c r="H6354" s="668"/>
      <c r="I6354" s="668"/>
      <c r="J6354" s="668"/>
      <c r="K6354" s="674"/>
      <c r="L6354" s="668"/>
      <c r="M6354" s="668"/>
    </row>
    <row r="6355" spans="5:13">
      <c r="E6355" s="668"/>
      <c r="F6355" s="668"/>
      <c r="G6355" s="668"/>
      <c r="H6355" s="668"/>
      <c r="I6355" s="668"/>
      <c r="J6355" s="668"/>
      <c r="K6355" s="674"/>
      <c r="L6355" s="668"/>
      <c r="M6355" s="668"/>
    </row>
    <row r="6356" spans="5:13">
      <c r="E6356" s="668"/>
      <c r="F6356" s="668"/>
      <c r="G6356" s="668"/>
      <c r="H6356" s="668"/>
      <c r="I6356" s="668"/>
      <c r="J6356" s="668"/>
      <c r="K6356" s="674"/>
      <c r="L6356" s="668"/>
      <c r="M6356" s="668"/>
    </row>
    <row r="6357" spans="5:13">
      <c r="E6357" s="668"/>
      <c r="F6357" s="668"/>
      <c r="G6357" s="668"/>
      <c r="H6357" s="668"/>
      <c r="I6357" s="668"/>
      <c r="J6357" s="668"/>
      <c r="K6357" s="674"/>
      <c r="L6357" s="668"/>
      <c r="M6357" s="668"/>
    </row>
    <row r="6358" spans="5:13">
      <c r="E6358" s="668"/>
      <c r="F6358" s="668"/>
      <c r="G6358" s="668"/>
      <c r="H6358" s="668"/>
      <c r="I6358" s="668"/>
      <c r="J6358" s="668"/>
      <c r="K6358" s="674"/>
      <c r="L6358" s="668"/>
      <c r="M6358" s="668"/>
    </row>
    <row r="6359" spans="5:13">
      <c r="E6359" s="668"/>
      <c r="F6359" s="668"/>
      <c r="G6359" s="668"/>
      <c r="H6359" s="668"/>
      <c r="I6359" s="668"/>
      <c r="J6359" s="668"/>
      <c r="K6359" s="674"/>
      <c r="L6359" s="668"/>
      <c r="M6359" s="668"/>
    </row>
    <row r="6360" spans="5:13">
      <c r="E6360" s="668"/>
      <c r="F6360" s="668"/>
      <c r="G6360" s="668"/>
      <c r="H6360" s="668"/>
      <c r="I6360" s="668"/>
      <c r="J6360" s="668"/>
      <c r="K6360" s="674"/>
      <c r="L6360" s="668"/>
      <c r="M6360" s="668"/>
    </row>
    <row r="6361" spans="5:13">
      <c r="E6361" s="668"/>
      <c r="F6361" s="668"/>
      <c r="G6361" s="668"/>
      <c r="H6361" s="668"/>
      <c r="I6361" s="668"/>
      <c r="J6361" s="668"/>
      <c r="K6361" s="674"/>
      <c r="L6361" s="668"/>
      <c r="M6361" s="668"/>
    </row>
    <row r="6362" spans="5:13">
      <c r="E6362" s="668"/>
      <c r="F6362" s="668"/>
      <c r="G6362" s="668"/>
      <c r="H6362" s="668"/>
      <c r="I6362" s="668"/>
      <c r="J6362" s="668"/>
      <c r="K6362" s="674"/>
      <c r="L6362" s="668"/>
      <c r="M6362" s="668"/>
    </row>
    <row r="6363" spans="5:13">
      <c r="E6363" s="668"/>
      <c r="F6363" s="668"/>
      <c r="G6363" s="668"/>
      <c r="H6363" s="668"/>
      <c r="I6363" s="668"/>
      <c r="J6363" s="668"/>
      <c r="K6363" s="674"/>
      <c r="L6363" s="668"/>
      <c r="M6363" s="668"/>
    </row>
    <row r="6364" spans="5:13">
      <c r="E6364" s="668"/>
      <c r="F6364" s="668"/>
      <c r="G6364" s="668"/>
      <c r="H6364" s="668"/>
      <c r="I6364" s="668"/>
      <c r="J6364" s="668"/>
      <c r="K6364" s="674"/>
      <c r="L6364" s="668"/>
      <c r="M6364" s="668"/>
    </row>
    <row r="6365" spans="5:13">
      <c r="E6365" s="668"/>
      <c r="F6365" s="668"/>
      <c r="G6365" s="668"/>
      <c r="H6365" s="668"/>
      <c r="I6365" s="668"/>
      <c r="J6365" s="668"/>
      <c r="K6365" s="674"/>
      <c r="L6365" s="668"/>
      <c r="M6365" s="668"/>
    </row>
    <row r="6366" spans="5:13">
      <c r="E6366" s="668"/>
      <c r="F6366" s="668"/>
      <c r="G6366" s="668"/>
      <c r="H6366" s="668"/>
      <c r="I6366" s="668"/>
      <c r="J6366" s="668"/>
      <c r="K6366" s="674"/>
      <c r="L6366" s="668"/>
      <c r="M6366" s="668"/>
    </row>
    <row r="6367" spans="5:13">
      <c r="E6367" s="668"/>
      <c r="F6367" s="668"/>
      <c r="G6367" s="668"/>
      <c r="H6367" s="668"/>
      <c r="I6367" s="668"/>
      <c r="J6367" s="668"/>
      <c r="K6367" s="674"/>
      <c r="L6367" s="668"/>
      <c r="M6367" s="668"/>
    </row>
    <row r="6368" spans="5:13">
      <c r="E6368" s="668"/>
      <c r="F6368" s="668"/>
      <c r="G6368" s="668"/>
      <c r="H6368" s="668"/>
      <c r="I6368" s="668"/>
      <c r="J6368" s="668"/>
      <c r="K6368" s="674"/>
      <c r="L6368" s="668"/>
      <c r="M6368" s="668"/>
    </row>
    <row r="6369" spans="5:13">
      <c r="E6369" s="668"/>
      <c r="F6369" s="668"/>
      <c r="G6369" s="668"/>
      <c r="H6369" s="668"/>
      <c r="I6369" s="668"/>
      <c r="J6369" s="668"/>
      <c r="K6369" s="674"/>
      <c r="L6369" s="668"/>
      <c r="M6369" s="668"/>
    </row>
    <row r="6370" spans="5:13">
      <c r="E6370" s="668"/>
      <c r="F6370" s="668"/>
      <c r="G6370" s="668"/>
      <c r="H6370" s="668"/>
      <c r="I6370" s="668"/>
      <c r="J6370" s="668"/>
      <c r="K6370" s="674"/>
      <c r="L6370" s="668"/>
      <c r="M6370" s="668"/>
    </row>
    <row r="6371" spans="5:13">
      <c r="E6371" s="668"/>
      <c r="F6371" s="668"/>
      <c r="G6371" s="668"/>
      <c r="H6371" s="668"/>
      <c r="I6371" s="668"/>
      <c r="J6371" s="668"/>
      <c r="K6371" s="674"/>
      <c r="L6371" s="668"/>
      <c r="M6371" s="668"/>
    </row>
    <row r="6372" spans="5:13">
      <c r="E6372" s="668"/>
      <c r="F6372" s="668"/>
      <c r="G6372" s="668"/>
      <c r="H6372" s="668"/>
      <c r="I6372" s="668"/>
      <c r="J6372" s="668"/>
      <c r="K6372" s="674"/>
      <c r="L6372" s="668"/>
      <c r="M6372" s="668"/>
    </row>
    <row r="6373" spans="5:13">
      <c r="E6373" s="668"/>
      <c r="F6373" s="668"/>
      <c r="G6373" s="668"/>
      <c r="H6373" s="668"/>
      <c r="I6373" s="668"/>
      <c r="J6373" s="668"/>
      <c r="K6373" s="674"/>
      <c r="L6373" s="668"/>
      <c r="M6373" s="668"/>
    </row>
    <row r="6374" spans="5:13">
      <c r="E6374" s="668"/>
      <c r="F6374" s="668"/>
      <c r="G6374" s="668"/>
      <c r="H6374" s="668"/>
      <c r="I6374" s="668"/>
      <c r="J6374" s="668"/>
      <c r="K6374" s="674"/>
      <c r="L6374" s="668"/>
      <c r="M6374" s="668"/>
    </row>
    <row r="6375" spans="5:13">
      <c r="E6375" s="668"/>
      <c r="F6375" s="668"/>
      <c r="G6375" s="668"/>
      <c r="H6375" s="668"/>
      <c r="I6375" s="668"/>
      <c r="J6375" s="668"/>
      <c r="K6375" s="674"/>
      <c r="L6375" s="668"/>
      <c r="M6375" s="668"/>
    </row>
    <row r="6376" spans="5:13">
      <c r="E6376" s="668"/>
      <c r="F6376" s="668"/>
      <c r="G6376" s="668"/>
      <c r="H6376" s="668"/>
      <c r="I6376" s="668"/>
      <c r="J6376" s="668"/>
      <c r="K6376" s="674"/>
      <c r="L6376" s="668"/>
      <c r="M6376" s="668"/>
    </row>
    <row r="6377" spans="5:13">
      <c r="E6377" s="668"/>
      <c r="F6377" s="668"/>
      <c r="G6377" s="668"/>
      <c r="H6377" s="668"/>
      <c r="I6377" s="668"/>
      <c r="J6377" s="668"/>
      <c r="K6377" s="674"/>
      <c r="L6377" s="668"/>
      <c r="M6377" s="668"/>
    </row>
    <row r="6378" spans="5:13">
      <c r="E6378" s="668"/>
      <c r="F6378" s="668"/>
      <c r="G6378" s="668"/>
      <c r="H6378" s="668"/>
      <c r="I6378" s="668"/>
      <c r="J6378" s="668"/>
      <c r="K6378" s="674"/>
      <c r="L6378" s="668"/>
      <c r="M6378" s="668"/>
    </row>
    <row r="6379" spans="5:13">
      <c r="E6379" s="668"/>
      <c r="F6379" s="668"/>
      <c r="G6379" s="668"/>
      <c r="H6379" s="668"/>
      <c r="I6379" s="668"/>
      <c r="J6379" s="668"/>
      <c r="K6379" s="674"/>
      <c r="L6379" s="668"/>
      <c r="M6379" s="668"/>
    </row>
    <row r="6380" spans="5:13">
      <c r="E6380" s="668"/>
      <c r="F6380" s="668"/>
      <c r="G6380" s="668"/>
      <c r="H6380" s="668"/>
      <c r="I6380" s="668"/>
      <c r="J6380" s="668"/>
      <c r="K6380" s="674"/>
      <c r="L6380" s="668"/>
      <c r="M6380" s="668"/>
    </row>
    <row r="6381" spans="5:13">
      <c r="E6381" s="668"/>
      <c r="F6381" s="668"/>
      <c r="G6381" s="668"/>
      <c r="H6381" s="668"/>
      <c r="I6381" s="668"/>
      <c r="J6381" s="668"/>
      <c r="K6381" s="674"/>
      <c r="L6381" s="668"/>
      <c r="M6381" s="668"/>
    </row>
    <row r="6382" spans="5:13">
      <c r="E6382" s="668"/>
      <c r="F6382" s="668"/>
      <c r="G6382" s="668"/>
      <c r="H6382" s="668"/>
      <c r="I6382" s="668"/>
      <c r="J6382" s="668"/>
      <c r="K6382" s="674"/>
      <c r="L6382" s="668"/>
      <c r="M6382" s="668"/>
    </row>
    <row r="6383" spans="5:13">
      <c r="E6383" s="668"/>
      <c r="F6383" s="668"/>
      <c r="G6383" s="668"/>
      <c r="H6383" s="668"/>
      <c r="I6383" s="668"/>
      <c r="J6383" s="668"/>
      <c r="K6383" s="674"/>
      <c r="L6383" s="668"/>
      <c r="M6383" s="668"/>
    </row>
    <row r="6384" spans="5:13">
      <c r="E6384" s="668"/>
      <c r="F6384" s="668"/>
      <c r="G6384" s="668"/>
      <c r="H6384" s="668"/>
      <c r="I6384" s="668"/>
      <c r="J6384" s="668"/>
      <c r="K6384" s="674"/>
      <c r="L6384" s="668"/>
      <c r="M6384" s="668"/>
    </row>
    <row r="6385" spans="5:13">
      <c r="E6385" s="668"/>
      <c r="F6385" s="668"/>
      <c r="G6385" s="668"/>
      <c r="H6385" s="668"/>
      <c r="I6385" s="668"/>
      <c r="J6385" s="668"/>
      <c r="K6385" s="674"/>
      <c r="L6385" s="668"/>
      <c r="M6385" s="668"/>
    </row>
    <row r="6386" spans="5:13">
      <c r="E6386" s="668"/>
      <c r="F6386" s="668"/>
      <c r="G6386" s="668"/>
      <c r="H6386" s="668"/>
      <c r="I6386" s="668"/>
      <c r="J6386" s="668"/>
      <c r="K6386" s="674"/>
      <c r="L6386" s="668"/>
      <c r="M6386" s="668"/>
    </row>
    <row r="6387" spans="5:13">
      <c r="E6387" s="668"/>
      <c r="F6387" s="668"/>
      <c r="G6387" s="668"/>
      <c r="H6387" s="668"/>
      <c r="I6387" s="668"/>
      <c r="J6387" s="668"/>
      <c r="K6387" s="674"/>
      <c r="L6387" s="668"/>
      <c r="M6387" s="668"/>
    </row>
    <row r="6388" spans="5:13">
      <c r="E6388" s="668"/>
      <c r="F6388" s="668"/>
      <c r="G6388" s="668"/>
      <c r="H6388" s="668"/>
      <c r="I6388" s="668"/>
      <c r="J6388" s="668"/>
      <c r="K6388" s="674"/>
      <c r="L6388" s="668"/>
      <c r="M6388" s="668"/>
    </row>
    <row r="6389" spans="5:13">
      <c r="E6389" s="668"/>
      <c r="F6389" s="668"/>
      <c r="G6389" s="668"/>
      <c r="H6389" s="668"/>
      <c r="I6389" s="668"/>
      <c r="J6389" s="668"/>
      <c r="K6389" s="674"/>
      <c r="L6389" s="668"/>
      <c r="M6389" s="668"/>
    </row>
    <row r="6390" spans="5:13">
      <c r="E6390" s="668"/>
      <c r="F6390" s="668"/>
      <c r="G6390" s="668"/>
      <c r="H6390" s="668"/>
      <c r="I6390" s="668"/>
      <c r="J6390" s="668"/>
      <c r="K6390" s="674"/>
      <c r="L6390" s="668"/>
      <c r="M6390" s="668"/>
    </row>
    <row r="6391" spans="5:13">
      <c r="E6391" s="668"/>
      <c r="F6391" s="668"/>
      <c r="G6391" s="668"/>
      <c r="H6391" s="668"/>
      <c r="I6391" s="668"/>
      <c r="J6391" s="668"/>
      <c r="K6391" s="674"/>
      <c r="L6391" s="668"/>
      <c r="M6391" s="668"/>
    </row>
    <row r="6392" spans="5:13">
      <c r="E6392" s="668"/>
      <c r="F6392" s="668"/>
      <c r="G6392" s="668"/>
      <c r="H6392" s="668"/>
      <c r="I6392" s="668"/>
      <c r="J6392" s="668"/>
      <c r="K6392" s="674"/>
      <c r="L6392" s="668"/>
      <c r="M6392" s="668"/>
    </row>
    <row r="6393" spans="5:13">
      <c r="E6393" s="668"/>
      <c r="F6393" s="668"/>
      <c r="G6393" s="668"/>
      <c r="H6393" s="668"/>
      <c r="I6393" s="668"/>
      <c r="J6393" s="668"/>
      <c r="K6393" s="674"/>
      <c r="L6393" s="668"/>
      <c r="M6393" s="668"/>
    </row>
    <row r="6394" spans="5:13">
      <c r="E6394" s="668"/>
      <c r="F6394" s="668"/>
      <c r="G6394" s="668"/>
      <c r="H6394" s="668"/>
      <c r="I6394" s="668"/>
      <c r="J6394" s="668"/>
      <c r="K6394" s="674"/>
      <c r="L6394" s="668"/>
      <c r="M6394" s="668"/>
    </row>
    <row r="6395" spans="5:13">
      <c r="E6395" s="668"/>
      <c r="F6395" s="668"/>
      <c r="G6395" s="668"/>
      <c r="H6395" s="668"/>
      <c r="I6395" s="668"/>
      <c r="J6395" s="668"/>
      <c r="K6395" s="674"/>
      <c r="L6395" s="668"/>
      <c r="M6395" s="668"/>
    </row>
    <row r="6396" spans="5:13">
      <c r="E6396" s="668"/>
      <c r="F6396" s="668"/>
      <c r="G6396" s="668"/>
      <c r="H6396" s="668"/>
      <c r="I6396" s="668"/>
      <c r="J6396" s="668"/>
      <c r="K6396" s="674"/>
      <c r="L6396" s="668"/>
      <c r="M6396" s="668"/>
    </row>
    <row r="6397" spans="5:13">
      <c r="E6397" s="668"/>
      <c r="F6397" s="668"/>
      <c r="G6397" s="668"/>
      <c r="H6397" s="668"/>
      <c r="I6397" s="668"/>
      <c r="J6397" s="668"/>
      <c r="K6397" s="674"/>
      <c r="L6397" s="668"/>
      <c r="M6397" s="668"/>
    </row>
    <row r="6398" spans="5:13">
      <c r="E6398" s="668"/>
      <c r="F6398" s="668"/>
      <c r="G6398" s="668"/>
      <c r="H6398" s="668"/>
      <c r="I6398" s="668"/>
      <c r="J6398" s="668"/>
      <c r="K6398" s="674"/>
      <c r="L6398" s="668"/>
      <c r="M6398" s="668"/>
    </row>
    <row r="6399" spans="5:13">
      <c r="E6399" s="668"/>
      <c r="F6399" s="668"/>
      <c r="G6399" s="668"/>
      <c r="H6399" s="668"/>
      <c r="I6399" s="668"/>
      <c r="J6399" s="668"/>
      <c r="K6399" s="674"/>
      <c r="L6399" s="668"/>
      <c r="M6399" s="668"/>
    </row>
    <row r="6400" spans="5:13">
      <c r="E6400" s="668"/>
      <c r="F6400" s="668"/>
      <c r="G6400" s="668"/>
      <c r="H6400" s="668"/>
      <c r="I6400" s="668"/>
      <c r="J6400" s="668"/>
      <c r="K6400" s="674"/>
      <c r="L6400" s="668"/>
      <c r="M6400" s="668"/>
    </row>
    <row r="6401" spans="5:13">
      <c r="E6401" s="668"/>
      <c r="F6401" s="668"/>
      <c r="G6401" s="668"/>
      <c r="H6401" s="668"/>
      <c r="I6401" s="668"/>
      <c r="J6401" s="668"/>
      <c r="K6401" s="674"/>
      <c r="L6401" s="668"/>
      <c r="M6401" s="668"/>
    </row>
    <row r="6402" spans="5:13">
      <c r="E6402" s="668"/>
      <c r="F6402" s="668"/>
      <c r="G6402" s="668"/>
      <c r="H6402" s="668"/>
      <c r="I6402" s="668"/>
      <c r="J6402" s="668"/>
      <c r="K6402" s="674"/>
      <c r="L6402" s="668"/>
      <c r="M6402" s="668"/>
    </row>
    <row r="6403" spans="5:13">
      <c r="E6403" s="668"/>
      <c r="F6403" s="668"/>
      <c r="G6403" s="668"/>
      <c r="H6403" s="668"/>
      <c r="I6403" s="668"/>
      <c r="J6403" s="668"/>
      <c r="K6403" s="674"/>
      <c r="L6403" s="668"/>
      <c r="M6403" s="668"/>
    </row>
    <row r="6404" spans="5:13">
      <c r="E6404" s="668"/>
      <c r="F6404" s="668"/>
      <c r="G6404" s="668"/>
      <c r="H6404" s="668"/>
      <c r="I6404" s="668"/>
      <c r="J6404" s="668"/>
      <c r="K6404" s="674"/>
      <c r="L6404" s="668"/>
      <c r="M6404" s="668"/>
    </row>
    <row r="6405" spans="5:13">
      <c r="E6405" s="668"/>
      <c r="F6405" s="668"/>
      <c r="G6405" s="668"/>
      <c r="H6405" s="668"/>
      <c r="I6405" s="668"/>
      <c r="J6405" s="668"/>
      <c r="K6405" s="674"/>
      <c r="L6405" s="668"/>
      <c r="M6405" s="668"/>
    </row>
    <row r="6406" spans="5:13">
      <c r="E6406" s="668"/>
      <c r="F6406" s="668"/>
      <c r="G6406" s="668"/>
      <c r="H6406" s="668"/>
      <c r="I6406" s="668"/>
      <c r="J6406" s="668"/>
      <c r="K6406" s="674"/>
      <c r="L6406" s="668"/>
      <c r="M6406" s="668"/>
    </row>
    <row r="6407" spans="5:13">
      <c r="E6407" s="668"/>
      <c r="F6407" s="668"/>
      <c r="G6407" s="668"/>
      <c r="H6407" s="668"/>
      <c r="I6407" s="668"/>
      <c r="J6407" s="668"/>
      <c r="K6407" s="674"/>
      <c r="L6407" s="668"/>
      <c r="M6407" s="668"/>
    </row>
    <row r="6408" spans="5:13">
      <c r="E6408" s="668"/>
      <c r="F6408" s="668"/>
      <c r="G6408" s="668"/>
      <c r="H6408" s="668"/>
      <c r="I6408" s="668"/>
      <c r="J6408" s="668"/>
      <c r="K6408" s="674"/>
      <c r="L6408" s="668"/>
      <c r="M6408" s="668"/>
    </row>
    <row r="6409" spans="5:13">
      <c r="E6409" s="668"/>
      <c r="F6409" s="668"/>
      <c r="G6409" s="668"/>
      <c r="H6409" s="668"/>
      <c r="I6409" s="668"/>
      <c r="J6409" s="668"/>
      <c r="K6409" s="674"/>
      <c r="L6409" s="668"/>
      <c r="M6409" s="668"/>
    </row>
    <row r="6410" spans="5:13">
      <c r="E6410" s="668"/>
      <c r="F6410" s="668"/>
      <c r="G6410" s="668"/>
      <c r="H6410" s="668"/>
      <c r="I6410" s="668"/>
      <c r="J6410" s="668"/>
      <c r="K6410" s="674"/>
      <c r="L6410" s="668"/>
      <c r="M6410" s="668"/>
    </row>
    <row r="6411" spans="5:13">
      <c r="E6411" s="668"/>
      <c r="F6411" s="668"/>
      <c r="G6411" s="668"/>
      <c r="H6411" s="668"/>
      <c r="I6411" s="668"/>
      <c r="J6411" s="668"/>
      <c r="K6411" s="674"/>
      <c r="L6411" s="668"/>
      <c r="M6411" s="668"/>
    </row>
    <row r="6412" spans="5:13">
      <c r="E6412" s="668"/>
      <c r="F6412" s="668"/>
      <c r="G6412" s="668"/>
      <c r="H6412" s="668"/>
      <c r="I6412" s="668"/>
      <c r="J6412" s="668"/>
      <c r="K6412" s="674"/>
      <c r="L6412" s="668"/>
      <c r="M6412" s="668"/>
    </row>
    <row r="6413" spans="5:13">
      <c r="E6413" s="668"/>
      <c r="F6413" s="668"/>
      <c r="G6413" s="668"/>
      <c r="H6413" s="668"/>
      <c r="I6413" s="668"/>
      <c r="J6413" s="668"/>
      <c r="K6413" s="674"/>
      <c r="L6413" s="668"/>
      <c r="M6413" s="668"/>
    </row>
    <row r="6414" spans="5:13">
      <c r="E6414" s="668"/>
      <c r="F6414" s="668"/>
      <c r="G6414" s="668"/>
      <c r="H6414" s="668"/>
      <c r="I6414" s="668"/>
      <c r="J6414" s="668"/>
      <c r="K6414" s="674"/>
      <c r="L6414" s="668"/>
      <c r="M6414" s="668"/>
    </row>
    <row r="6415" spans="5:13">
      <c r="E6415" s="668"/>
      <c r="F6415" s="668"/>
      <c r="G6415" s="668"/>
      <c r="H6415" s="668"/>
      <c r="I6415" s="668"/>
      <c r="J6415" s="668"/>
      <c r="K6415" s="674"/>
      <c r="L6415" s="668"/>
      <c r="M6415" s="668"/>
    </row>
    <row r="6416" spans="5:13">
      <c r="E6416" s="668"/>
      <c r="F6416" s="668"/>
      <c r="G6416" s="668"/>
      <c r="H6416" s="668"/>
      <c r="I6416" s="668"/>
      <c r="J6416" s="668"/>
      <c r="K6416" s="674"/>
      <c r="L6416" s="668"/>
      <c r="M6416" s="668"/>
    </row>
    <row r="6417" spans="5:13">
      <c r="E6417" s="668"/>
      <c r="F6417" s="668"/>
      <c r="G6417" s="668"/>
      <c r="H6417" s="668"/>
      <c r="I6417" s="668"/>
      <c r="J6417" s="668"/>
      <c r="K6417" s="674"/>
      <c r="L6417" s="668"/>
      <c r="M6417" s="668"/>
    </row>
    <row r="6418" spans="5:13">
      <c r="E6418" s="668"/>
      <c r="F6418" s="668"/>
      <c r="G6418" s="668"/>
      <c r="H6418" s="668"/>
      <c r="I6418" s="668"/>
      <c r="J6418" s="668"/>
      <c r="K6418" s="674"/>
      <c r="L6418" s="668"/>
      <c r="M6418" s="668"/>
    </row>
    <row r="6419" spans="5:13">
      <c r="E6419" s="668"/>
      <c r="F6419" s="668"/>
      <c r="G6419" s="668"/>
      <c r="H6419" s="668"/>
      <c r="I6419" s="668"/>
      <c r="J6419" s="668"/>
      <c r="K6419" s="674"/>
      <c r="L6419" s="668"/>
      <c r="M6419" s="668"/>
    </row>
    <row r="6420" spans="5:13">
      <c r="E6420" s="668"/>
      <c r="F6420" s="668"/>
      <c r="G6420" s="668"/>
      <c r="H6420" s="668"/>
      <c r="I6420" s="668"/>
      <c r="J6420" s="668"/>
      <c r="K6420" s="674"/>
      <c r="L6420" s="668"/>
      <c r="M6420" s="668"/>
    </row>
    <row r="6421" spans="5:13">
      <c r="E6421" s="668"/>
      <c r="F6421" s="668"/>
      <c r="G6421" s="668"/>
      <c r="H6421" s="668"/>
      <c r="I6421" s="668"/>
      <c r="J6421" s="668"/>
      <c r="K6421" s="674"/>
      <c r="L6421" s="668"/>
      <c r="M6421" s="668"/>
    </row>
    <row r="6422" spans="5:13">
      <c r="E6422" s="668"/>
      <c r="F6422" s="668"/>
      <c r="G6422" s="668"/>
      <c r="H6422" s="668"/>
      <c r="I6422" s="668"/>
      <c r="J6422" s="668"/>
      <c r="K6422" s="674"/>
      <c r="L6422" s="668"/>
      <c r="M6422" s="668"/>
    </row>
    <row r="6423" spans="5:13">
      <c r="E6423" s="668"/>
      <c r="F6423" s="668"/>
      <c r="G6423" s="668"/>
      <c r="H6423" s="668"/>
      <c r="I6423" s="668"/>
      <c r="J6423" s="668"/>
      <c r="K6423" s="674"/>
      <c r="L6423" s="668"/>
      <c r="M6423" s="668"/>
    </row>
    <row r="6424" spans="5:13">
      <c r="E6424" s="668"/>
      <c r="F6424" s="668"/>
      <c r="G6424" s="668"/>
      <c r="H6424" s="668"/>
      <c r="I6424" s="668"/>
      <c r="J6424" s="668"/>
      <c r="K6424" s="674"/>
      <c r="L6424" s="668"/>
      <c r="M6424" s="668"/>
    </row>
    <row r="6425" spans="5:13">
      <c r="E6425" s="668"/>
      <c r="F6425" s="668"/>
      <c r="G6425" s="668"/>
      <c r="H6425" s="668"/>
      <c r="I6425" s="668"/>
      <c r="J6425" s="668"/>
      <c r="K6425" s="674"/>
      <c r="L6425" s="668"/>
      <c r="M6425" s="668"/>
    </row>
    <row r="6426" spans="5:13">
      <c r="E6426" s="668"/>
      <c r="F6426" s="668"/>
      <c r="G6426" s="668"/>
      <c r="H6426" s="668"/>
      <c r="I6426" s="668"/>
      <c r="J6426" s="668"/>
      <c r="K6426" s="674"/>
      <c r="L6426" s="668"/>
      <c r="M6426" s="668"/>
    </row>
    <row r="6427" spans="5:13">
      <c r="E6427" s="668"/>
      <c r="F6427" s="668"/>
      <c r="G6427" s="668"/>
      <c r="H6427" s="668"/>
      <c r="I6427" s="668"/>
      <c r="J6427" s="668"/>
      <c r="K6427" s="674"/>
      <c r="L6427" s="668"/>
      <c r="M6427" s="668"/>
    </row>
    <row r="6428" spans="5:13">
      <c r="E6428" s="668"/>
      <c r="F6428" s="668"/>
      <c r="G6428" s="668"/>
      <c r="H6428" s="668"/>
      <c r="I6428" s="668"/>
      <c r="J6428" s="668"/>
      <c r="K6428" s="674"/>
      <c r="L6428" s="668"/>
      <c r="M6428" s="668"/>
    </row>
    <row r="6429" spans="5:13">
      <c r="E6429" s="668"/>
      <c r="F6429" s="668"/>
      <c r="G6429" s="668"/>
      <c r="H6429" s="668"/>
      <c r="I6429" s="668"/>
      <c r="J6429" s="668"/>
      <c r="K6429" s="674"/>
      <c r="L6429" s="668"/>
      <c r="M6429" s="668"/>
    </row>
    <row r="6430" spans="5:13">
      <c r="E6430" s="668"/>
      <c r="F6430" s="668"/>
      <c r="G6430" s="668"/>
      <c r="H6430" s="668"/>
      <c r="I6430" s="668"/>
      <c r="J6430" s="668"/>
      <c r="K6430" s="674"/>
      <c r="L6430" s="668"/>
      <c r="M6430" s="668"/>
    </row>
    <row r="6431" spans="5:13">
      <c r="E6431" s="668"/>
      <c r="F6431" s="668"/>
      <c r="G6431" s="668"/>
      <c r="H6431" s="668"/>
      <c r="I6431" s="668"/>
      <c r="J6431" s="668"/>
      <c r="K6431" s="674"/>
      <c r="L6431" s="668"/>
      <c r="M6431" s="668"/>
    </row>
    <row r="6432" spans="5:13">
      <c r="E6432" s="668"/>
      <c r="F6432" s="668"/>
      <c r="G6432" s="668"/>
      <c r="H6432" s="668"/>
      <c r="I6432" s="668"/>
      <c r="J6432" s="668"/>
      <c r="K6432" s="674"/>
      <c r="L6432" s="668"/>
      <c r="M6432" s="668"/>
    </row>
    <row r="6433" spans="5:13">
      <c r="E6433" s="668"/>
      <c r="F6433" s="668"/>
      <c r="G6433" s="668"/>
      <c r="H6433" s="668"/>
      <c r="I6433" s="668"/>
      <c r="J6433" s="668"/>
      <c r="K6433" s="674"/>
      <c r="L6433" s="668"/>
      <c r="M6433" s="668"/>
    </row>
    <row r="6434" spans="5:13">
      <c r="E6434" s="668"/>
      <c r="F6434" s="668"/>
      <c r="G6434" s="668"/>
      <c r="H6434" s="668"/>
      <c r="I6434" s="668"/>
      <c r="J6434" s="668"/>
      <c r="K6434" s="674"/>
      <c r="L6434" s="668"/>
      <c r="M6434" s="668"/>
    </row>
    <row r="6435" spans="5:13">
      <c r="E6435" s="668"/>
      <c r="F6435" s="668"/>
      <c r="G6435" s="668"/>
      <c r="H6435" s="668"/>
      <c r="I6435" s="668"/>
      <c r="J6435" s="668"/>
      <c r="K6435" s="674"/>
      <c r="L6435" s="668"/>
      <c r="M6435" s="668"/>
    </row>
    <row r="6436" spans="5:13">
      <c r="E6436" s="668"/>
      <c r="F6436" s="668"/>
      <c r="G6436" s="668"/>
      <c r="H6436" s="668"/>
      <c r="I6436" s="668"/>
      <c r="J6436" s="668"/>
      <c r="K6436" s="674"/>
      <c r="L6436" s="668"/>
      <c r="M6436" s="668"/>
    </row>
    <row r="6437" spans="5:13">
      <c r="E6437" s="668"/>
      <c r="F6437" s="668"/>
      <c r="G6437" s="668"/>
      <c r="H6437" s="668"/>
      <c r="I6437" s="668"/>
      <c r="J6437" s="668"/>
      <c r="K6437" s="674"/>
      <c r="L6437" s="668"/>
      <c r="M6437" s="668"/>
    </row>
    <row r="6438" spans="5:13">
      <c r="E6438" s="668"/>
      <c r="F6438" s="668"/>
      <c r="G6438" s="668"/>
      <c r="H6438" s="668"/>
      <c r="I6438" s="668"/>
      <c r="J6438" s="668"/>
      <c r="K6438" s="674"/>
      <c r="L6438" s="668"/>
      <c r="M6438" s="668"/>
    </row>
    <row r="6439" spans="5:13">
      <c r="E6439" s="668"/>
      <c r="F6439" s="668"/>
      <c r="G6439" s="668"/>
      <c r="H6439" s="668"/>
      <c r="I6439" s="668"/>
      <c r="J6439" s="668"/>
      <c r="K6439" s="674"/>
      <c r="L6439" s="668"/>
      <c r="M6439" s="668"/>
    </row>
    <row r="6440" spans="5:13">
      <c r="E6440" s="668"/>
      <c r="F6440" s="668"/>
      <c r="G6440" s="668"/>
      <c r="H6440" s="668"/>
      <c r="I6440" s="668"/>
      <c r="J6440" s="668"/>
      <c r="K6440" s="674"/>
      <c r="L6440" s="668"/>
      <c r="M6440" s="668"/>
    </row>
    <row r="6441" spans="5:13">
      <c r="E6441" s="668"/>
      <c r="F6441" s="668"/>
      <c r="G6441" s="668"/>
      <c r="H6441" s="668"/>
      <c r="I6441" s="668"/>
      <c r="J6441" s="668"/>
      <c r="K6441" s="674"/>
      <c r="L6441" s="668"/>
      <c r="M6441" s="668"/>
    </row>
    <row r="6442" spans="5:13">
      <c r="E6442" s="668"/>
      <c r="F6442" s="668"/>
      <c r="G6442" s="668"/>
      <c r="H6442" s="668"/>
      <c r="I6442" s="668"/>
      <c r="J6442" s="668"/>
      <c r="K6442" s="674"/>
      <c r="L6442" s="668"/>
      <c r="M6442" s="668"/>
    </row>
    <row r="6443" spans="5:13">
      <c r="E6443" s="668"/>
      <c r="F6443" s="668"/>
      <c r="G6443" s="668"/>
      <c r="H6443" s="668"/>
      <c r="I6443" s="668"/>
      <c r="J6443" s="668"/>
      <c r="K6443" s="674"/>
      <c r="L6443" s="668"/>
      <c r="M6443" s="668"/>
    </row>
    <row r="6444" spans="5:13">
      <c r="E6444" s="668"/>
      <c r="F6444" s="668"/>
      <c r="G6444" s="668"/>
      <c r="H6444" s="668"/>
      <c r="I6444" s="668"/>
      <c r="J6444" s="668"/>
      <c r="K6444" s="674"/>
      <c r="L6444" s="668"/>
      <c r="M6444" s="668"/>
    </row>
    <row r="6445" spans="5:13">
      <c r="E6445" s="668"/>
      <c r="F6445" s="668"/>
      <c r="G6445" s="668"/>
      <c r="H6445" s="668"/>
      <c r="I6445" s="668"/>
      <c r="J6445" s="668"/>
      <c r="K6445" s="674"/>
      <c r="L6445" s="668"/>
      <c r="M6445" s="668"/>
    </row>
    <row r="6446" spans="5:13">
      <c r="E6446" s="668"/>
      <c r="F6446" s="668"/>
      <c r="G6446" s="668"/>
      <c r="H6446" s="668"/>
      <c r="I6446" s="668"/>
      <c r="J6446" s="668"/>
      <c r="K6446" s="674"/>
      <c r="L6446" s="668"/>
      <c r="M6446" s="668"/>
    </row>
    <row r="6447" spans="5:13">
      <c r="E6447" s="668"/>
      <c r="F6447" s="668"/>
      <c r="G6447" s="668"/>
      <c r="H6447" s="668"/>
      <c r="I6447" s="668"/>
      <c r="J6447" s="668"/>
      <c r="K6447" s="674"/>
      <c r="L6447" s="668"/>
      <c r="M6447" s="668"/>
    </row>
    <row r="6448" spans="5:13">
      <c r="E6448" s="668"/>
      <c r="F6448" s="668"/>
      <c r="G6448" s="668"/>
      <c r="H6448" s="668"/>
      <c r="I6448" s="668"/>
      <c r="J6448" s="668"/>
      <c r="K6448" s="674"/>
      <c r="L6448" s="668"/>
      <c r="M6448" s="668"/>
    </row>
    <row r="6449" spans="5:13">
      <c r="E6449" s="668"/>
      <c r="F6449" s="668"/>
      <c r="G6449" s="668"/>
      <c r="H6449" s="668"/>
      <c r="I6449" s="668"/>
      <c r="J6449" s="668"/>
      <c r="K6449" s="674"/>
      <c r="L6449" s="668"/>
      <c r="M6449" s="668"/>
    </row>
    <row r="6450" spans="5:13">
      <c r="E6450" s="668"/>
      <c r="F6450" s="668"/>
      <c r="G6450" s="668"/>
      <c r="H6450" s="668"/>
      <c r="I6450" s="668"/>
      <c r="J6450" s="668"/>
      <c r="K6450" s="674"/>
      <c r="L6450" s="668"/>
      <c r="M6450" s="668"/>
    </row>
    <row r="6451" spans="5:13">
      <c r="E6451" s="668"/>
      <c r="F6451" s="668"/>
      <c r="G6451" s="668"/>
      <c r="H6451" s="668"/>
      <c r="I6451" s="668"/>
      <c r="J6451" s="668"/>
      <c r="K6451" s="674"/>
      <c r="L6451" s="668"/>
      <c r="M6451" s="668"/>
    </row>
    <row r="6452" spans="5:13">
      <c r="E6452" s="668"/>
      <c r="F6452" s="668"/>
      <c r="G6452" s="668"/>
      <c r="H6452" s="668"/>
      <c r="I6452" s="668"/>
      <c r="J6452" s="668"/>
      <c r="K6452" s="674"/>
      <c r="L6452" s="668"/>
      <c r="M6452" s="668"/>
    </row>
    <row r="6453" spans="5:13">
      <c r="E6453" s="668"/>
      <c r="F6453" s="668"/>
      <c r="G6453" s="668"/>
      <c r="H6453" s="668"/>
      <c r="I6453" s="668"/>
      <c r="J6453" s="668"/>
      <c r="K6453" s="674"/>
      <c r="L6453" s="668"/>
      <c r="M6453" s="668"/>
    </row>
    <row r="6454" spans="5:13">
      <c r="E6454" s="668"/>
      <c r="F6454" s="668"/>
      <c r="G6454" s="668"/>
      <c r="H6454" s="668"/>
      <c r="I6454" s="668"/>
      <c r="J6454" s="668"/>
      <c r="K6454" s="674"/>
      <c r="L6454" s="668"/>
      <c r="M6454" s="668"/>
    </row>
    <row r="6455" spans="5:13">
      <c r="E6455" s="668"/>
      <c r="F6455" s="668"/>
      <c r="G6455" s="668"/>
      <c r="H6455" s="668"/>
      <c r="I6455" s="668"/>
      <c r="J6455" s="668"/>
      <c r="K6455" s="674"/>
      <c r="L6455" s="668"/>
      <c r="M6455" s="668"/>
    </row>
    <row r="6456" spans="5:13">
      <c r="E6456" s="668"/>
      <c r="F6456" s="668"/>
      <c r="G6456" s="668"/>
      <c r="H6456" s="668"/>
      <c r="I6456" s="668"/>
      <c r="J6456" s="668"/>
      <c r="K6456" s="674"/>
      <c r="L6456" s="668"/>
      <c r="M6456" s="668"/>
    </row>
    <row r="6457" spans="5:13">
      <c r="E6457" s="668"/>
      <c r="F6457" s="668"/>
      <c r="G6457" s="668"/>
      <c r="H6457" s="668"/>
      <c r="I6457" s="668"/>
      <c r="J6457" s="668"/>
      <c r="K6457" s="674"/>
      <c r="L6457" s="668"/>
      <c r="M6457" s="668"/>
    </row>
    <row r="6458" spans="5:13">
      <c r="E6458" s="668"/>
      <c r="F6458" s="668"/>
      <c r="G6458" s="668"/>
      <c r="H6458" s="668"/>
      <c r="I6458" s="668"/>
      <c r="J6458" s="668"/>
      <c r="K6458" s="674"/>
      <c r="L6458" s="668"/>
      <c r="M6458" s="668"/>
    </row>
    <row r="6459" spans="5:13">
      <c r="E6459" s="668"/>
      <c r="F6459" s="668"/>
      <c r="G6459" s="668"/>
      <c r="H6459" s="668"/>
      <c r="I6459" s="668"/>
      <c r="J6459" s="668"/>
      <c r="K6459" s="674"/>
      <c r="L6459" s="668"/>
      <c r="M6459" s="668"/>
    </row>
    <row r="6460" spans="5:13">
      <c r="E6460" s="668"/>
      <c r="F6460" s="668"/>
      <c r="G6460" s="668"/>
      <c r="H6460" s="668"/>
      <c r="I6460" s="668"/>
      <c r="J6460" s="668"/>
      <c r="K6460" s="674"/>
      <c r="L6460" s="668"/>
      <c r="M6460" s="668"/>
    </row>
    <row r="6461" spans="5:13">
      <c r="E6461" s="668"/>
      <c r="F6461" s="668"/>
      <c r="G6461" s="668"/>
      <c r="H6461" s="668"/>
      <c r="I6461" s="668"/>
      <c r="J6461" s="668"/>
      <c r="K6461" s="674"/>
      <c r="L6461" s="668"/>
      <c r="M6461" s="668"/>
    </row>
    <row r="6462" spans="5:13">
      <c r="E6462" s="668"/>
      <c r="F6462" s="668"/>
      <c r="G6462" s="668"/>
      <c r="H6462" s="668"/>
      <c r="I6462" s="668"/>
      <c r="J6462" s="668"/>
      <c r="K6462" s="674"/>
      <c r="L6462" s="668"/>
      <c r="M6462" s="668"/>
    </row>
    <row r="6463" spans="5:13">
      <c r="E6463" s="668"/>
      <c r="F6463" s="668"/>
      <c r="G6463" s="668"/>
      <c r="H6463" s="668"/>
      <c r="I6463" s="668"/>
      <c r="J6463" s="668"/>
      <c r="K6463" s="674"/>
      <c r="L6463" s="668"/>
      <c r="M6463" s="668"/>
    </row>
    <row r="6464" spans="5:13">
      <c r="E6464" s="668"/>
      <c r="F6464" s="668"/>
      <c r="G6464" s="668"/>
      <c r="H6464" s="668"/>
      <c r="I6464" s="668"/>
      <c r="J6464" s="668"/>
      <c r="K6464" s="674"/>
      <c r="L6464" s="668"/>
      <c r="M6464" s="668"/>
    </row>
    <row r="6465" spans="5:13">
      <c r="E6465" s="668"/>
      <c r="F6465" s="668"/>
      <c r="G6465" s="668"/>
      <c r="H6465" s="668"/>
      <c r="I6465" s="668"/>
      <c r="J6465" s="668"/>
      <c r="K6465" s="674"/>
      <c r="L6465" s="668"/>
      <c r="M6465" s="668"/>
    </row>
    <row r="6466" spans="5:13">
      <c r="E6466" s="668"/>
      <c r="F6466" s="668"/>
      <c r="G6466" s="668"/>
      <c r="H6466" s="668"/>
      <c r="I6466" s="668"/>
      <c r="J6466" s="668"/>
      <c r="K6466" s="674"/>
      <c r="L6466" s="668"/>
      <c r="M6466" s="668"/>
    </row>
    <row r="6467" spans="5:13">
      <c r="E6467" s="668"/>
      <c r="F6467" s="668"/>
      <c r="G6467" s="668"/>
      <c r="H6467" s="668"/>
      <c r="I6467" s="668"/>
      <c r="J6467" s="668"/>
      <c r="K6467" s="674"/>
      <c r="L6467" s="668"/>
      <c r="M6467" s="668"/>
    </row>
    <row r="6468" spans="5:13">
      <c r="E6468" s="668"/>
      <c r="F6468" s="668"/>
      <c r="G6468" s="668"/>
      <c r="H6468" s="668"/>
      <c r="I6468" s="668"/>
      <c r="J6468" s="668"/>
      <c r="K6468" s="674"/>
      <c r="L6468" s="668"/>
      <c r="M6468" s="668"/>
    </row>
    <row r="6469" spans="5:13">
      <c r="E6469" s="668"/>
      <c r="F6469" s="668"/>
      <c r="G6469" s="668"/>
      <c r="H6469" s="668"/>
      <c r="I6469" s="668"/>
      <c r="J6469" s="668"/>
      <c r="K6469" s="674"/>
      <c r="L6469" s="668"/>
      <c r="M6469" s="668"/>
    </row>
    <row r="6470" spans="5:13">
      <c r="E6470" s="668"/>
      <c r="F6470" s="668"/>
      <c r="G6470" s="668"/>
      <c r="H6470" s="668"/>
      <c r="I6470" s="668"/>
      <c r="J6470" s="668"/>
      <c r="K6470" s="674"/>
      <c r="L6470" s="668"/>
      <c r="M6470" s="668"/>
    </row>
    <row r="6471" spans="5:13">
      <c r="E6471" s="668"/>
      <c r="F6471" s="668"/>
      <c r="G6471" s="668"/>
      <c r="H6471" s="668"/>
      <c r="I6471" s="668"/>
      <c r="J6471" s="668"/>
      <c r="K6471" s="674"/>
      <c r="L6471" s="668"/>
      <c r="M6471" s="668"/>
    </row>
    <row r="6472" spans="5:13">
      <c r="E6472" s="668"/>
      <c r="F6472" s="668"/>
      <c r="G6472" s="668"/>
      <c r="H6472" s="668"/>
      <c r="I6472" s="668"/>
      <c r="J6472" s="668"/>
      <c r="K6472" s="674"/>
      <c r="L6472" s="668"/>
      <c r="M6472" s="668"/>
    </row>
    <row r="6473" spans="5:13">
      <c r="E6473" s="668"/>
      <c r="F6473" s="668"/>
      <c r="G6473" s="668"/>
      <c r="H6473" s="668"/>
      <c r="I6473" s="668"/>
      <c r="J6473" s="668"/>
      <c r="K6473" s="674"/>
      <c r="L6473" s="668"/>
      <c r="M6473" s="668"/>
    </row>
    <row r="6474" spans="5:13">
      <c r="E6474" s="668"/>
      <c r="F6474" s="668"/>
      <c r="G6474" s="668"/>
      <c r="H6474" s="668"/>
      <c r="I6474" s="668"/>
      <c r="J6474" s="668"/>
      <c r="K6474" s="674"/>
      <c r="L6474" s="668"/>
      <c r="M6474" s="668"/>
    </row>
    <row r="6475" spans="5:13">
      <c r="E6475" s="668"/>
      <c r="F6475" s="668"/>
      <c r="G6475" s="668"/>
      <c r="H6475" s="668"/>
      <c r="I6475" s="668"/>
      <c r="J6475" s="668"/>
      <c r="K6475" s="674"/>
      <c r="L6475" s="668"/>
      <c r="M6475" s="668"/>
    </row>
    <row r="6476" spans="5:13">
      <c r="E6476" s="668"/>
      <c r="F6476" s="668"/>
      <c r="G6476" s="668"/>
      <c r="H6476" s="668"/>
      <c r="I6476" s="668"/>
      <c r="J6476" s="668"/>
      <c r="K6476" s="674"/>
      <c r="L6476" s="668"/>
      <c r="M6476" s="668"/>
    </row>
    <row r="6477" spans="5:13">
      <c r="E6477" s="668"/>
      <c r="F6477" s="668"/>
      <c r="G6477" s="668"/>
      <c r="H6477" s="668"/>
      <c r="I6477" s="668"/>
      <c r="J6477" s="668"/>
      <c r="K6477" s="674"/>
      <c r="L6477" s="668"/>
      <c r="M6477" s="668"/>
    </row>
    <row r="6478" spans="5:13">
      <c r="E6478" s="668"/>
      <c r="F6478" s="668"/>
      <c r="G6478" s="668"/>
      <c r="H6478" s="668"/>
      <c r="I6478" s="668"/>
      <c r="J6478" s="668"/>
      <c r="K6478" s="674"/>
      <c r="L6478" s="668"/>
      <c r="M6478" s="668"/>
    </row>
    <row r="6479" spans="5:13">
      <c r="E6479" s="668"/>
      <c r="F6479" s="668"/>
      <c r="G6479" s="668"/>
      <c r="H6479" s="668"/>
      <c r="I6479" s="668"/>
      <c r="J6479" s="668"/>
      <c r="K6479" s="674"/>
      <c r="L6479" s="668"/>
      <c r="M6479" s="668"/>
    </row>
    <row r="6480" spans="5:13">
      <c r="E6480" s="668"/>
      <c r="F6480" s="668"/>
      <c r="G6480" s="668"/>
      <c r="H6480" s="668"/>
      <c r="I6480" s="668"/>
      <c r="J6480" s="668"/>
      <c r="K6480" s="674"/>
      <c r="L6480" s="668"/>
      <c r="M6480" s="668"/>
    </row>
    <row r="6481" spans="5:13">
      <c r="E6481" s="668"/>
      <c r="F6481" s="668"/>
      <c r="G6481" s="668"/>
      <c r="H6481" s="668"/>
      <c r="I6481" s="668"/>
      <c r="J6481" s="668"/>
      <c r="K6481" s="674"/>
      <c r="L6481" s="668"/>
      <c r="M6481" s="668"/>
    </row>
    <row r="6482" spans="5:13">
      <c r="E6482" s="668"/>
      <c r="F6482" s="668"/>
      <c r="G6482" s="668"/>
      <c r="H6482" s="668"/>
      <c r="I6482" s="668"/>
      <c r="J6482" s="668"/>
      <c r="K6482" s="674"/>
      <c r="L6482" s="668"/>
      <c r="M6482" s="668"/>
    </row>
    <row r="6483" spans="5:13">
      <c r="E6483" s="668"/>
      <c r="F6483" s="668"/>
      <c r="G6483" s="668"/>
      <c r="H6483" s="668"/>
      <c r="I6483" s="668"/>
      <c r="J6483" s="668"/>
      <c r="K6483" s="674"/>
      <c r="L6483" s="668"/>
      <c r="M6483" s="668"/>
    </row>
    <row r="6484" spans="5:13">
      <c r="E6484" s="668"/>
      <c r="F6484" s="668"/>
      <c r="G6484" s="668"/>
      <c r="H6484" s="668"/>
      <c r="I6484" s="668"/>
      <c r="J6484" s="668"/>
      <c r="K6484" s="674"/>
      <c r="L6484" s="668"/>
      <c r="M6484" s="668"/>
    </row>
    <row r="6485" spans="5:13">
      <c r="E6485" s="668"/>
      <c r="F6485" s="668"/>
      <c r="G6485" s="668"/>
      <c r="H6485" s="668"/>
      <c r="I6485" s="668"/>
      <c r="J6485" s="668"/>
      <c r="K6485" s="674"/>
      <c r="L6485" s="668"/>
      <c r="M6485" s="668"/>
    </row>
    <row r="6486" spans="5:13">
      <c r="E6486" s="668"/>
      <c r="F6486" s="668"/>
      <c r="G6486" s="668"/>
      <c r="H6486" s="668"/>
      <c r="I6486" s="668"/>
      <c r="J6486" s="668"/>
      <c r="K6486" s="674"/>
      <c r="L6486" s="668"/>
      <c r="M6486" s="668"/>
    </row>
    <row r="6487" spans="5:13">
      <c r="E6487" s="668"/>
      <c r="F6487" s="668"/>
      <c r="G6487" s="668"/>
      <c r="H6487" s="668"/>
      <c r="I6487" s="668"/>
      <c r="J6487" s="668"/>
      <c r="K6487" s="674"/>
      <c r="L6487" s="668"/>
      <c r="M6487" s="668"/>
    </row>
    <row r="6488" spans="5:13">
      <c r="E6488" s="668"/>
      <c r="F6488" s="668"/>
      <c r="G6488" s="668"/>
      <c r="H6488" s="668"/>
      <c r="I6488" s="668"/>
      <c r="J6488" s="668"/>
      <c r="K6488" s="674"/>
      <c r="L6488" s="668"/>
      <c r="M6488" s="668"/>
    </row>
    <row r="6489" spans="5:13">
      <c r="E6489" s="668"/>
      <c r="F6489" s="668"/>
      <c r="G6489" s="668"/>
      <c r="H6489" s="668"/>
      <c r="I6489" s="668"/>
      <c r="J6489" s="668"/>
      <c r="K6489" s="674"/>
      <c r="L6489" s="668"/>
      <c r="M6489" s="668"/>
    </row>
    <row r="6490" spans="5:13">
      <c r="E6490" s="668"/>
      <c r="F6490" s="668"/>
      <c r="G6490" s="668"/>
      <c r="H6490" s="668"/>
      <c r="I6490" s="668"/>
      <c r="J6490" s="668"/>
      <c r="K6490" s="674"/>
      <c r="L6490" s="668"/>
      <c r="M6490" s="668"/>
    </row>
    <row r="6491" spans="5:13">
      <c r="E6491" s="668"/>
      <c r="F6491" s="668"/>
      <c r="G6491" s="668"/>
      <c r="H6491" s="668"/>
      <c r="I6491" s="668"/>
      <c r="J6491" s="668"/>
      <c r="K6491" s="674"/>
      <c r="L6491" s="668"/>
      <c r="M6491" s="668"/>
    </row>
    <row r="6492" spans="5:13">
      <c r="E6492" s="668"/>
      <c r="F6492" s="668"/>
      <c r="G6492" s="668"/>
      <c r="H6492" s="668"/>
      <c r="I6492" s="668"/>
      <c r="J6492" s="668"/>
      <c r="K6492" s="674"/>
      <c r="L6492" s="668"/>
      <c r="M6492" s="668"/>
    </row>
    <row r="6493" spans="5:13">
      <c r="E6493" s="668"/>
      <c r="F6493" s="668"/>
      <c r="G6493" s="668"/>
      <c r="H6493" s="668"/>
      <c r="I6493" s="668"/>
      <c r="J6493" s="668"/>
      <c r="K6493" s="674"/>
      <c r="L6493" s="668"/>
      <c r="M6493" s="668"/>
    </row>
    <row r="6494" spans="5:13">
      <c r="E6494" s="668"/>
      <c r="F6494" s="668"/>
      <c r="G6494" s="668"/>
      <c r="H6494" s="668"/>
      <c r="I6494" s="668"/>
      <c r="J6494" s="668"/>
      <c r="K6494" s="674"/>
      <c r="L6494" s="668"/>
      <c r="M6494" s="668"/>
    </row>
    <row r="6495" spans="5:13">
      <c r="E6495" s="668"/>
      <c r="F6495" s="668"/>
      <c r="G6495" s="668"/>
      <c r="H6495" s="668"/>
      <c r="I6495" s="668"/>
      <c r="J6495" s="668"/>
      <c r="K6495" s="674"/>
      <c r="L6495" s="668"/>
      <c r="M6495" s="668"/>
    </row>
    <row r="6496" spans="5:13">
      <c r="E6496" s="668"/>
      <c r="F6496" s="668"/>
      <c r="G6496" s="668"/>
      <c r="H6496" s="668"/>
      <c r="I6496" s="668"/>
      <c r="J6496" s="668"/>
      <c r="K6496" s="674"/>
      <c r="L6496" s="668"/>
      <c r="M6496" s="668"/>
    </row>
    <row r="6497" spans="5:13">
      <c r="E6497" s="668"/>
      <c r="F6497" s="668"/>
      <c r="G6497" s="668"/>
      <c r="H6497" s="668"/>
      <c r="I6497" s="668"/>
      <c r="J6497" s="668"/>
      <c r="K6497" s="674"/>
      <c r="L6497" s="668"/>
      <c r="M6497" s="668"/>
    </row>
    <row r="6498" spans="5:13">
      <c r="E6498" s="668"/>
      <c r="F6498" s="668"/>
      <c r="G6498" s="668"/>
      <c r="H6498" s="668"/>
      <c r="I6498" s="668"/>
      <c r="J6498" s="668"/>
      <c r="K6498" s="674"/>
      <c r="L6498" s="668"/>
      <c r="M6498" s="668"/>
    </row>
    <row r="6499" spans="5:13">
      <c r="E6499" s="668"/>
      <c r="F6499" s="668"/>
      <c r="G6499" s="668"/>
      <c r="H6499" s="668"/>
      <c r="I6499" s="668"/>
      <c r="J6499" s="668"/>
      <c r="K6499" s="674"/>
      <c r="L6499" s="668"/>
      <c r="M6499" s="668"/>
    </row>
    <row r="6500" spans="5:13">
      <c r="E6500" s="668"/>
      <c r="F6500" s="668"/>
      <c r="G6500" s="668"/>
      <c r="H6500" s="668"/>
      <c r="I6500" s="668"/>
      <c r="J6500" s="668"/>
      <c r="K6500" s="674"/>
      <c r="L6500" s="668"/>
      <c r="M6500" s="668"/>
    </row>
    <row r="6501" spans="5:13">
      <c r="E6501" s="668"/>
      <c r="F6501" s="668"/>
      <c r="G6501" s="668"/>
      <c r="H6501" s="668"/>
      <c r="I6501" s="668"/>
      <c r="J6501" s="668"/>
      <c r="K6501" s="674"/>
      <c r="L6501" s="668"/>
      <c r="M6501" s="668"/>
    </row>
    <row r="6502" spans="5:13">
      <c r="E6502" s="668"/>
      <c r="F6502" s="668"/>
      <c r="G6502" s="668"/>
      <c r="H6502" s="668"/>
      <c r="I6502" s="668"/>
      <c r="J6502" s="668"/>
      <c r="K6502" s="674"/>
      <c r="L6502" s="668"/>
      <c r="M6502" s="668"/>
    </row>
    <row r="6503" spans="5:13">
      <c r="E6503" s="668"/>
      <c r="F6503" s="668"/>
      <c r="G6503" s="668"/>
      <c r="H6503" s="668"/>
      <c r="I6503" s="668"/>
      <c r="J6503" s="668"/>
      <c r="K6503" s="674"/>
      <c r="L6503" s="668"/>
      <c r="M6503" s="668"/>
    </row>
    <row r="6504" spans="5:13">
      <c r="E6504" s="668"/>
      <c r="F6504" s="668"/>
      <c r="G6504" s="668"/>
      <c r="H6504" s="668"/>
      <c r="I6504" s="668"/>
      <c r="J6504" s="668"/>
      <c r="K6504" s="674"/>
      <c r="L6504" s="668"/>
      <c r="M6504" s="668"/>
    </row>
    <row r="6505" spans="5:13">
      <c r="E6505" s="668"/>
      <c r="F6505" s="668"/>
      <c r="G6505" s="668"/>
      <c r="H6505" s="668"/>
      <c r="I6505" s="668"/>
      <c r="J6505" s="668"/>
      <c r="K6505" s="674"/>
      <c r="L6505" s="668"/>
      <c r="M6505" s="668"/>
    </row>
    <row r="6506" spans="5:13">
      <c r="E6506" s="668"/>
      <c r="F6506" s="668"/>
      <c r="G6506" s="668"/>
      <c r="H6506" s="668"/>
      <c r="I6506" s="668"/>
      <c r="J6506" s="668"/>
      <c r="K6506" s="674"/>
      <c r="L6506" s="668"/>
      <c r="M6506" s="668"/>
    </row>
    <row r="6507" spans="5:13">
      <c r="E6507" s="668"/>
      <c r="F6507" s="668"/>
      <c r="G6507" s="668"/>
      <c r="H6507" s="668"/>
      <c r="I6507" s="668"/>
      <c r="J6507" s="668"/>
      <c r="K6507" s="674"/>
      <c r="L6507" s="668"/>
      <c r="M6507" s="668"/>
    </row>
    <row r="6508" spans="5:13">
      <c r="E6508" s="668"/>
      <c r="F6508" s="668"/>
      <c r="G6508" s="668"/>
      <c r="H6508" s="668"/>
      <c r="I6508" s="668"/>
      <c r="J6508" s="668"/>
      <c r="K6508" s="674"/>
      <c r="L6508" s="668"/>
      <c r="M6508" s="668"/>
    </row>
    <row r="6509" spans="5:13">
      <c r="E6509" s="668"/>
      <c r="F6509" s="668"/>
      <c r="G6509" s="668"/>
      <c r="H6509" s="668"/>
      <c r="I6509" s="668"/>
      <c r="J6509" s="668"/>
      <c r="K6509" s="674"/>
      <c r="L6509" s="668"/>
      <c r="M6509" s="668"/>
    </row>
    <row r="6510" spans="5:13">
      <c r="E6510" s="668"/>
      <c r="F6510" s="668"/>
      <c r="G6510" s="668"/>
      <c r="H6510" s="668"/>
      <c r="I6510" s="668"/>
      <c r="J6510" s="668"/>
      <c r="K6510" s="674"/>
      <c r="L6510" s="668"/>
      <c r="M6510" s="668"/>
    </row>
    <row r="6511" spans="5:13">
      <c r="E6511" s="668"/>
      <c r="F6511" s="668"/>
      <c r="G6511" s="668"/>
      <c r="H6511" s="668"/>
      <c r="I6511" s="668"/>
      <c r="J6511" s="668"/>
      <c r="K6511" s="674"/>
      <c r="L6511" s="668"/>
      <c r="M6511" s="668"/>
    </row>
    <row r="6512" spans="5:13">
      <c r="E6512" s="668"/>
      <c r="F6512" s="668"/>
      <c r="G6512" s="668"/>
      <c r="H6512" s="668"/>
      <c r="I6512" s="668"/>
      <c r="J6512" s="668"/>
      <c r="K6512" s="674"/>
      <c r="L6512" s="668"/>
      <c r="M6512" s="668"/>
    </row>
    <row r="6513" spans="5:13">
      <c r="E6513" s="668"/>
      <c r="F6513" s="668"/>
      <c r="G6513" s="668"/>
      <c r="H6513" s="668"/>
      <c r="I6513" s="668"/>
      <c r="J6513" s="668"/>
      <c r="K6513" s="674"/>
      <c r="L6513" s="668"/>
      <c r="M6513" s="668"/>
    </row>
    <row r="6514" spans="5:13">
      <c r="E6514" s="668"/>
      <c r="F6514" s="668"/>
      <c r="G6514" s="668"/>
      <c r="H6514" s="668"/>
      <c r="I6514" s="668"/>
      <c r="J6514" s="668"/>
      <c r="K6514" s="674"/>
      <c r="L6514" s="668"/>
      <c r="M6514" s="668"/>
    </row>
    <row r="6515" spans="5:13">
      <c r="E6515" s="668"/>
      <c r="F6515" s="668"/>
      <c r="G6515" s="668"/>
      <c r="H6515" s="668"/>
      <c r="I6515" s="668"/>
      <c r="J6515" s="668"/>
      <c r="K6515" s="674"/>
      <c r="L6515" s="668"/>
      <c r="M6515" s="668"/>
    </row>
    <row r="6516" spans="5:13">
      <c r="E6516" s="668"/>
      <c r="F6516" s="668"/>
      <c r="G6516" s="668"/>
      <c r="H6516" s="668"/>
      <c r="I6516" s="668"/>
      <c r="J6516" s="668"/>
      <c r="K6516" s="674"/>
      <c r="L6516" s="668"/>
      <c r="M6516" s="668"/>
    </row>
    <row r="6517" spans="5:13">
      <c r="E6517" s="668"/>
      <c r="F6517" s="668"/>
      <c r="G6517" s="668"/>
      <c r="H6517" s="668"/>
      <c r="I6517" s="668"/>
      <c r="J6517" s="668"/>
      <c r="K6517" s="674"/>
      <c r="L6517" s="668"/>
      <c r="M6517" s="668"/>
    </row>
    <row r="6518" spans="5:13">
      <c r="E6518" s="668"/>
      <c r="F6518" s="668"/>
      <c r="G6518" s="668"/>
      <c r="H6518" s="668"/>
      <c r="I6518" s="668"/>
      <c r="J6518" s="668"/>
      <c r="K6518" s="674"/>
      <c r="L6518" s="668"/>
      <c r="M6518" s="668"/>
    </row>
    <row r="6519" spans="5:13">
      <c r="E6519" s="668"/>
      <c r="F6519" s="668"/>
      <c r="G6519" s="668"/>
      <c r="H6519" s="668"/>
      <c r="I6519" s="668"/>
      <c r="J6519" s="668"/>
      <c r="K6519" s="674"/>
      <c r="L6519" s="668"/>
      <c r="M6519" s="668"/>
    </row>
    <row r="6520" spans="5:13">
      <c r="E6520" s="668"/>
      <c r="F6520" s="668"/>
      <c r="G6520" s="668"/>
      <c r="H6520" s="668"/>
      <c r="I6520" s="668"/>
      <c r="J6520" s="668"/>
      <c r="K6520" s="674"/>
      <c r="L6520" s="668"/>
      <c r="M6520" s="668"/>
    </row>
    <row r="6521" spans="5:13">
      <c r="E6521" s="668"/>
      <c r="F6521" s="668"/>
      <c r="G6521" s="668"/>
      <c r="H6521" s="668"/>
      <c r="I6521" s="668"/>
      <c r="J6521" s="668"/>
      <c r="K6521" s="674"/>
      <c r="L6521" s="668"/>
      <c r="M6521" s="668"/>
    </row>
    <row r="6522" spans="5:13">
      <c r="E6522" s="668"/>
      <c r="F6522" s="668"/>
      <c r="G6522" s="668"/>
      <c r="H6522" s="668"/>
      <c r="I6522" s="668"/>
      <c r="J6522" s="668"/>
      <c r="K6522" s="674"/>
      <c r="L6522" s="668"/>
      <c r="M6522" s="668"/>
    </row>
    <row r="6523" spans="5:13">
      <c r="E6523" s="668"/>
      <c r="F6523" s="668"/>
      <c r="G6523" s="668"/>
      <c r="H6523" s="668"/>
      <c r="I6523" s="668"/>
      <c r="J6523" s="668"/>
      <c r="K6523" s="674"/>
      <c r="L6523" s="668"/>
      <c r="M6523" s="668"/>
    </row>
    <row r="6524" spans="5:13">
      <c r="E6524" s="668"/>
      <c r="F6524" s="668"/>
      <c r="G6524" s="668"/>
      <c r="H6524" s="668"/>
      <c r="I6524" s="668"/>
      <c r="J6524" s="668"/>
      <c r="K6524" s="674"/>
      <c r="L6524" s="668"/>
      <c r="M6524" s="668"/>
    </row>
    <row r="6525" spans="5:13">
      <c r="E6525" s="668"/>
      <c r="F6525" s="668"/>
      <c r="G6525" s="668"/>
      <c r="H6525" s="668"/>
      <c r="I6525" s="668"/>
      <c r="J6525" s="668"/>
      <c r="K6525" s="674"/>
      <c r="L6525" s="668"/>
      <c r="M6525" s="668"/>
    </row>
    <row r="6526" spans="5:13">
      <c r="E6526" s="668"/>
      <c r="F6526" s="668"/>
      <c r="G6526" s="668"/>
      <c r="H6526" s="668"/>
      <c r="I6526" s="668"/>
      <c r="J6526" s="668"/>
      <c r="K6526" s="674"/>
      <c r="L6526" s="668"/>
      <c r="M6526" s="668"/>
    </row>
    <row r="6527" spans="5:13">
      <c r="E6527" s="668"/>
      <c r="F6527" s="668"/>
      <c r="G6527" s="668"/>
      <c r="H6527" s="668"/>
      <c r="I6527" s="668"/>
      <c r="J6527" s="668"/>
      <c r="K6527" s="674"/>
      <c r="L6527" s="668"/>
      <c r="M6527" s="668"/>
    </row>
    <row r="6528" spans="5:13">
      <c r="E6528" s="668"/>
      <c r="F6528" s="668"/>
      <c r="G6528" s="668"/>
      <c r="H6528" s="668"/>
      <c r="I6528" s="668"/>
      <c r="J6528" s="668"/>
      <c r="K6528" s="674"/>
      <c r="L6528" s="668"/>
      <c r="M6528" s="668"/>
    </row>
    <row r="6529" spans="5:13">
      <c r="E6529" s="668"/>
      <c r="F6529" s="668"/>
      <c r="G6529" s="668"/>
      <c r="H6529" s="668"/>
      <c r="I6529" s="668"/>
      <c r="J6529" s="668"/>
      <c r="K6529" s="674"/>
      <c r="L6529" s="668"/>
      <c r="M6529" s="668"/>
    </row>
    <row r="6530" spans="5:13">
      <c r="E6530" s="668"/>
      <c r="F6530" s="668"/>
      <c r="G6530" s="668"/>
      <c r="H6530" s="668"/>
      <c r="I6530" s="668"/>
      <c r="J6530" s="668"/>
      <c r="K6530" s="674"/>
      <c r="L6530" s="668"/>
      <c r="M6530" s="668"/>
    </row>
    <row r="6531" spans="5:13">
      <c r="E6531" s="668"/>
      <c r="F6531" s="668"/>
      <c r="G6531" s="668"/>
      <c r="H6531" s="668"/>
      <c r="I6531" s="668"/>
      <c r="J6531" s="668"/>
      <c r="K6531" s="674"/>
      <c r="L6531" s="668"/>
      <c r="M6531" s="668"/>
    </row>
    <row r="6532" spans="5:13">
      <c r="E6532" s="668"/>
      <c r="F6532" s="668"/>
      <c r="G6532" s="668"/>
      <c r="H6532" s="668"/>
      <c r="I6532" s="668"/>
      <c r="J6532" s="668"/>
      <c r="K6532" s="674"/>
      <c r="L6532" s="668"/>
      <c r="M6532" s="668"/>
    </row>
    <row r="6533" spans="5:13">
      <c r="E6533" s="668"/>
      <c r="F6533" s="668"/>
      <c r="G6533" s="668"/>
      <c r="H6533" s="668"/>
      <c r="I6533" s="668"/>
      <c r="J6533" s="668"/>
      <c r="K6533" s="674"/>
      <c r="L6533" s="668"/>
      <c r="M6533" s="668"/>
    </row>
    <row r="6534" spans="5:13">
      <c r="E6534" s="668"/>
      <c r="F6534" s="668"/>
      <c r="G6534" s="668"/>
      <c r="H6534" s="668"/>
      <c r="I6534" s="668"/>
      <c r="J6534" s="668"/>
      <c r="K6534" s="674"/>
      <c r="L6534" s="668"/>
      <c r="M6534" s="668"/>
    </row>
    <row r="6535" spans="5:13">
      <c r="E6535" s="668"/>
      <c r="F6535" s="668"/>
      <c r="G6535" s="668"/>
      <c r="H6535" s="668"/>
      <c r="I6535" s="668"/>
      <c r="J6535" s="668"/>
      <c r="K6535" s="674"/>
      <c r="L6535" s="668"/>
      <c r="M6535" s="668"/>
    </row>
    <row r="6536" spans="5:13">
      <c r="E6536" s="668"/>
      <c r="F6536" s="668"/>
      <c r="G6536" s="668"/>
      <c r="H6536" s="668"/>
      <c r="I6536" s="668"/>
      <c r="J6536" s="668"/>
      <c r="K6536" s="674"/>
      <c r="L6536" s="668"/>
      <c r="M6536" s="668"/>
    </row>
    <row r="6537" spans="5:13">
      <c r="E6537" s="668"/>
      <c r="F6537" s="668"/>
      <c r="G6537" s="668"/>
      <c r="H6537" s="668"/>
      <c r="I6537" s="668"/>
      <c r="J6537" s="668"/>
      <c r="K6537" s="674"/>
      <c r="L6537" s="668"/>
      <c r="M6537" s="668"/>
    </row>
    <row r="6538" spans="5:13">
      <c r="E6538" s="668"/>
      <c r="F6538" s="668"/>
      <c r="G6538" s="668"/>
      <c r="H6538" s="668"/>
      <c r="I6538" s="668"/>
      <c r="J6538" s="668"/>
      <c r="K6538" s="674"/>
      <c r="L6538" s="668"/>
      <c r="M6538" s="668"/>
    </row>
    <row r="6539" spans="5:13">
      <c r="E6539" s="668"/>
      <c r="F6539" s="668"/>
      <c r="G6539" s="668"/>
      <c r="H6539" s="668"/>
      <c r="I6539" s="668"/>
      <c r="J6539" s="668"/>
      <c r="K6539" s="674"/>
      <c r="L6539" s="668"/>
      <c r="M6539" s="668"/>
    </row>
    <row r="6540" spans="5:13">
      <c r="E6540" s="668"/>
      <c r="F6540" s="668"/>
      <c r="G6540" s="668"/>
      <c r="H6540" s="668"/>
      <c r="I6540" s="668"/>
      <c r="J6540" s="668"/>
      <c r="K6540" s="674"/>
      <c r="L6540" s="668"/>
      <c r="M6540" s="668"/>
    </row>
    <row r="6541" spans="5:13">
      <c r="E6541" s="668"/>
      <c r="F6541" s="668"/>
      <c r="G6541" s="668"/>
      <c r="H6541" s="668"/>
      <c r="I6541" s="668"/>
      <c r="J6541" s="668"/>
      <c r="K6541" s="674"/>
      <c r="L6541" s="668"/>
      <c r="M6541" s="668"/>
    </row>
    <row r="6542" spans="5:13">
      <c r="E6542" s="668"/>
      <c r="F6542" s="668"/>
      <c r="G6542" s="668"/>
      <c r="H6542" s="668"/>
      <c r="I6542" s="668"/>
      <c r="J6542" s="668"/>
      <c r="K6542" s="674"/>
      <c r="L6542" s="668"/>
      <c r="M6542" s="668"/>
    </row>
    <row r="6543" spans="5:13">
      <c r="E6543" s="668"/>
      <c r="F6543" s="668"/>
      <c r="G6543" s="668"/>
      <c r="H6543" s="668"/>
      <c r="I6543" s="668"/>
      <c r="J6543" s="668"/>
      <c r="K6543" s="674"/>
      <c r="L6543" s="668"/>
      <c r="M6543" s="668"/>
    </row>
    <row r="6544" spans="5:13">
      <c r="E6544" s="668"/>
      <c r="F6544" s="668"/>
      <c r="G6544" s="668"/>
      <c r="H6544" s="668"/>
      <c r="I6544" s="668"/>
      <c r="J6544" s="668"/>
      <c r="K6544" s="674"/>
      <c r="L6544" s="668"/>
      <c r="M6544" s="668"/>
    </row>
    <row r="6545" spans="5:13">
      <c r="E6545" s="668"/>
      <c r="F6545" s="668"/>
      <c r="G6545" s="668"/>
      <c r="H6545" s="668"/>
      <c r="I6545" s="668"/>
      <c r="J6545" s="668"/>
      <c r="K6545" s="674"/>
      <c r="L6545" s="668"/>
      <c r="M6545" s="668"/>
    </row>
    <row r="6546" spans="5:13">
      <c r="E6546" s="668"/>
      <c r="F6546" s="668"/>
      <c r="G6546" s="668"/>
      <c r="H6546" s="668"/>
      <c r="I6546" s="668"/>
      <c r="J6546" s="668"/>
      <c r="K6546" s="674"/>
      <c r="L6546" s="668"/>
      <c r="M6546" s="668"/>
    </row>
    <row r="6547" spans="5:13">
      <c r="E6547" s="668"/>
      <c r="F6547" s="668"/>
      <c r="G6547" s="668"/>
      <c r="H6547" s="668"/>
      <c r="I6547" s="668"/>
      <c r="J6547" s="668"/>
      <c r="K6547" s="674"/>
      <c r="L6547" s="668"/>
      <c r="M6547" s="668"/>
    </row>
    <row r="6548" spans="5:13">
      <c r="E6548" s="668"/>
      <c r="F6548" s="668"/>
      <c r="G6548" s="668"/>
      <c r="H6548" s="668"/>
      <c r="I6548" s="668"/>
      <c r="J6548" s="668"/>
      <c r="K6548" s="674"/>
      <c r="L6548" s="668"/>
      <c r="M6548" s="668"/>
    </row>
    <row r="6549" spans="5:13">
      <c r="E6549" s="668"/>
      <c r="F6549" s="668"/>
      <c r="G6549" s="668"/>
      <c r="H6549" s="668"/>
      <c r="I6549" s="668"/>
      <c r="J6549" s="668"/>
      <c r="K6549" s="674"/>
      <c r="L6549" s="668"/>
      <c r="M6549" s="668"/>
    </row>
    <row r="6550" spans="5:13">
      <c r="E6550" s="668"/>
      <c r="F6550" s="668"/>
      <c r="G6550" s="668"/>
      <c r="H6550" s="668"/>
      <c r="I6550" s="668"/>
      <c r="J6550" s="668"/>
      <c r="K6550" s="674"/>
      <c r="L6550" s="668"/>
      <c r="M6550" s="668"/>
    </row>
    <row r="6551" spans="5:13">
      <c r="E6551" s="668"/>
      <c r="F6551" s="668"/>
      <c r="G6551" s="668"/>
      <c r="H6551" s="668"/>
      <c r="I6551" s="668"/>
      <c r="J6551" s="668"/>
      <c r="K6551" s="674"/>
      <c r="L6551" s="668"/>
      <c r="M6551" s="668"/>
    </row>
    <row r="6552" spans="5:13">
      <c r="E6552" s="668"/>
      <c r="F6552" s="668"/>
      <c r="G6552" s="668"/>
      <c r="H6552" s="668"/>
      <c r="I6552" s="668"/>
      <c r="J6552" s="668"/>
      <c r="K6552" s="674"/>
      <c r="L6552" s="668"/>
      <c r="M6552" s="668"/>
    </row>
    <row r="6553" spans="5:13">
      <c r="E6553" s="668"/>
      <c r="F6553" s="668"/>
      <c r="G6553" s="668"/>
      <c r="H6553" s="668"/>
      <c r="I6553" s="668"/>
      <c r="J6553" s="668"/>
      <c r="K6553" s="674"/>
      <c r="L6553" s="668"/>
      <c r="M6553" s="668"/>
    </row>
    <row r="6554" spans="5:13">
      <c r="E6554" s="668"/>
      <c r="F6554" s="668"/>
      <c r="G6554" s="668"/>
      <c r="H6554" s="668"/>
      <c r="I6554" s="668"/>
      <c r="J6554" s="668"/>
      <c r="K6554" s="674"/>
      <c r="L6554" s="668"/>
      <c r="M6554" s="668"/>
    </row>
    <row r="6555" spans="5:13">
      <c r="E6555" s="668"/>
      <c r="F6555" s="668"/>
      <c r="G6555" s="668"/>
      <c r="H6555" s="668"/>
      <c r="I6555" s="668"/>
      <c r="J6555" s="668"/>
      <c r="K6555" s="674"/>
      <c r="L6555" s="668"/>
      <c r="M6555" s="668"/>
    </row>
    <row r="6556" spans="5:13">
      <c r="E6556" s="668"/>
      <c r="F6556" s="668"/>
      <c r="G6556" s="668"/>
      <c r="H6556" s="668"/>
      <c r="I6556" s="668"/>
      <c r="J6556" s="668"/>
      <c r="K6556" s="674"/>
      <c r="L6556" s="668"/>
      <c r="M6556" s="668"/>
    </row>
    <row r="6557" spans="5:13">
      <c r="E6557" s="668"/>
      <c r="F6557" s="668"/>
      <c r="G6557" s="668"/>
      <c r="H6557" s="668"/>
      <c r="I6557" s="668"/>
      <c r="J6557" s="668"/>
      <c r="K6557" s="674"/>
      <c r="L6557" s="668"/>
      <c r="M6557" s="668"/>
    </row>
    <row r="6558" spans="5:13">
      <c r="E6558" s="668"/>
      <c r="F6558" s="668"/>
      <c r="G6558" s="668"/>
      <c r="H6558" s="668"/>
      <c r="I6558" s="668"/>
      <c r="J6558" s="668"/>
      <c r="K6558" s="674"/>
      <c r="L6558" s="668"/>
      <c r="M6558" s="668"/>
    </row>
    <row r="6559" spans="5:13">
      <c r="E6559" s="668"/>
      <c r="F6559" s="668"/>
      <c r="G6559" s="668"/>
      <c r="H6559" s="668"/>
      <c r="I6559" s="668"/>
      <c r="J6559" s="668"/>
      <c r="K6559" s="674"/>
      <c r="L6559" s="668"/>
      <c r="M6559" s="668"/>
    </row>
    <row r="6560" spans="5:13">
      <c r="E6560" s="668"/>
      <c r="F6560" s="668"/>
      <c r="G6560" s="668"/>
      <c r="H6560" s="668"/>
      <c r="I6560" s="668"/>
      <c r="J6560" s="668"/>
      <c r="K6560" s="674"/>
      <c r="L6560" s="668"/>
      <c r="M6560" s="668"/>
    </row>
    <row r="6561" spans="5:13">
      <c r="E6561" s="668"/>
      <c r="F6561" s="668"/>
      <c r="G6561" s="668"/>
      <c r="H6561" s="668"/>
      <c r="I6561" s="668"/>
      <c r="J6561" s="668"/>
      <c r="K6561" s="674"/>
      <c r="L6561" s="668"/>
      <c r="M6561" s="668"/>
    </row>
    <row r="6562" spans="5:13">
      <c r="E6562" s="668"/>
      <c r="F6562" s="668"/>
      <c r="G6562" s="668"/>
      <c r="H6562" s="668"/>
      <c r="I6562" s="668"/>
      <c r="J6562" s="668"/>
      <c r="K6562" s="674"/>
      <c r="L6562" s="668"/>
      <c r="M6562" s="668"/>
    </row>
    <row r="6563" spans="5:13">
      <c r="E6563" s="668"/>
      <c r="F6563" s="668"/>
      <c r="G6563" s="668"/>
      <c r="H6563" s="668"/>
      <c r="I6563" s="668"/>
      <c r="J6563" s="668"/>
      <c r="K6563" s="674"/>
      <c r="L6563" s="668"/>
      <c r="M6563" s="668"/>
    </row>
    <row r="6564" spans="5:13">
      <c r="E6564" s="668"/>
      <c r="F6564" s="668"/>
      <c r="G6564" s="668"/>
      <c r="H6564" s="668"/>
      <c r="I6564" s="668"/>
      <c r="J6564" s="668"/>
      <c r="K6564" s="674"/>
      <c r="L6564" s="668"/>
      <c r="M6564" s="668"/>
    </row>
    <row r="6565" spans="5:13">
      <c r="E6565" s="668"/>
      <c r="F6565" s="668"/>
      <c r="G6565" s="668"/>
      <c r="H6565" s="668"/>
      <c r="I6565" s="668"/>
      <c r="J6565" s="668"/>
      <c r="K6565" s="674"/>
      <c r="L6565" s="668"/>
      <c r="M6565" s="668"/>
    </row>
    <row r="6566" spans="5:13">
      <c r="E6566" s="668"/>
      <c r="F6566" s="668"/>
      <c r="G6566" s="668"/>
      <c r="H6566" s="668"/>
      <c r="I6566" s="668"/>
      <c r="J6566" s="668"/>
      <c r="K6566" s="674"/>
      <c r="L6566" s="668"/>
      <c r="M6566" s="668"/>
    </row>
    <row r="6567" spans="5:13">
      <c r="E6567" s="668"/>
      <c r="F6567" s="668"/>
      <c r="G6567" s="668"/>
      <c r="H6567" s="668"/>
      <c r="I6567" s="668"/>
      <c r="J6567" s="668"/>
      <c r="K6567" s="674"/>
      <c r="L6567" s="668"/>
      <c r="M6567" s="668"/>
    </row>
    <row r="6568" spans="5:13">
      <c r="E6568" s="668"/>
      <c r="F6568" s="668"/>
      <c r="G6568" s="668"/>
      <c r="H6568" s="668"/>
      <c r="I6568" s="668"/>
      <c r="J6568" s="668"/>
      <c r="K6568" s="674"/>
      <c r="L6568" s="668"/>
      <c r="M6568" s="668"/>
    </row>
    <row r="6569" spans="5:13">
      <c r="E6569" s="668"/>
      <c r="F6569" s="668"/>
      <c r="G6569" s="668"/>
      <c r="H6569" s="668"/>
      <c r="I6569" s="668"/>
      <c r="J6569" s="668"/>
      <c r="K6569" s="674"/>
      <c r="L6569" s="668"/>
      <c r="M6569" s="668"/>
    </row>
    <row r="6570" spans="5:13">
      <c r="E6570" s="668"/>
      <c r="F6570" s="668"/>
      <c r="G6570" s="668"/>
      <c r="H6570" s="668"/>
      <c r="I6570" s="668"/>
      <c r="J6570" s="668"/>
      <c r="K6570" s="674"/>
      <c r="L6570" s="668"/>
      <c r="M6570" s="668"/>
    </row>
    <row r="6571" spans="5:13">
      <c r="E6571" s="668"/>
      <c r="F6571" s="668"/>
      <c r="G6571" s="668"/>
      <c r="H6571" s="668"/>
      <c r="I6571" s="668"/>
      <c r="J6571" s="668"/>
      <c r="K6571" s="674"/>
      <c r="L6571" s="668"/>
      <c r="M6571" s="668"/>
    </row>
    <row r="6572" spans="5:13">
      <c r="E6572" s="668"/>
      <c r="F6572" s="668"/>
      <c r="G6572" s="668"/>
      <c r="H6572" s="668"/>
      <c r="I6572" s="668"/>
      <c r="J6572" s="668"/>
      <c r="K6572" s="674"/>
      <c r="L6572" s="668"/>
      <c r="M6572" s="668"/>
    </row>
    <row r="6573" spans="5:13">
      <c r="E6573" s="668"/>
      <c r="F6573" s="668"/>
      <c r="G6573" s="668"/>
      <c r="H6573" s="668"/>
      <c r="I6573" s="668"/>
      <c r="J6573" s="668"/>
      <c r="K6573" s="674"/>
      <c r="L6573" s="668"/>
      <c r="M6573" s="668"/>
    </row>
    <row r="6574" spans="5:13">
      <c r="E6574" s="668"/>
      <c r="F6574" s="668"/>
      <c r="G6574" s="668"/>
      <c r="H6574" s="668"/>
      <c r="I6574" s="668"/>
      <c r="J6574" s="668"/>
      <c r="K6574" s="674"/>
      <c r="L6574" s="668"/>
      <c r="M6574" s="668"/>
    </row>
    <row r="6575" spans="5:13">
      <c r="E6575" s="668"/>
      <c r="F6575" s="668"/>
      <c r="G6575" s="668"/>
      <c r="H6575" s="668"/>
      <c r="I6575" s="668"/>
      <c r="J6575" s="668"/>
      <c r="K6575" s="674"/>
      <c r="L6575" s="668"/>
      <c r="M6575" s="668"/>
    </row>
    <row r="6576" spans="5:13">
      <c r="E6576" s="668"/>
      <c r="F6576" s="668"/>
      <c r="G6576" s="668"/>
      <c r="H6576" s="668"/>
      <c r="I6576" s="668"/>
      <c r="J6576" s="668"/>
      <c r="K6576" s="674"/>
      <c r="L6576" s="668"/>
      <c r="M6576" s="668"/>
    </row>
    <row r="6577" spans="5:13">
      <c r="E6577" s="668"/>
      <c r="F6577" s="668"/>
      <c r="G6577" s="668"/>
      <c r="H6577" s="668"/>
      <c r="I6577" s="668"/>
      <c r="J6577" s="668"/>
      <c r="K6577" s="674"/>
      <c r="L6577" s="668"/>
      <c r="M6577" s="668"/>
    </row>
    <row r="6578" spans="5:13">
      <c r="E6578" s="668"/>
      <c r="F6578" s="668"/>
      <c r="G6578" s="668"/>
      <c r="H6578" s="668"/>
      <c r="I6578" s="668"/>
      <c r="J6578" s="668"/>
      <c r="K6578" s="674"/>
      <c r="L6578" s="668"/>
      <c r="M6578" s="668"/>
    </row>
    <row r="6579" spans="5:13">
      <c r="E6579" s="668"/>
      <c r="F6579" s="668"/>
      <c r="G6579" s="668"/>
      <c r="H6579" s="668"/>
      <c r="I6579" s="668"/>
      <c r="J6579" s="668"/>
      <c r="K6579" s="674"/>
      <c r="L6579" s="668"/>
      <c r="M6579" s="668"/>
    </row>
    <row r="6580" spans="5:13">
      <c r="E6580" s="668"/>
      <c r="F6580" s="668"/>
      <c r="G6580" s="668"/>
      <c r="H6580" s="668"/>
      <c r="I6580" s="668"/>
      <c r="J6580" s="668"/>
      <c r="K6580" s="674"/>
      <c r="L6580" s="668"/>
      <c r="M6580" s="668"/>
    </row>
    <row r="6581" spans="5:13">
      <c r="E6581" s="668"/>
      <c r="F6581" s="668"/>
      <c r="G6581" s="668"/>
      <c r="H6581" s="668"/>
      <c r="I6581" s="668"/>
      <c r="J6581" s="668"/>
      <c r="K6581" s="674"/>
      <c r="L6581" s="668"/>
      <c r="M6581" s="668"/>
    </row>
    <row r="6582" spans="5:13">
      <c r="E6582" s="668"/>
      <c r="F6582" s="668"/>
      <c r="G6582" s="668"/>
      <c r="H6582" s="668"/>
      <c r="I6582" s="668"/>
      <c r="J6582" s="668"/>
      <c r="K6582" s="674"/>
      <c r="L6582" s="668"/>
      <c r="M6582" s="668"/>
    </row>
    <row r="6583" spans="5:13">
      <c r="E6583" s="668"/>
      <c r="F6583" s="668"/>
      <c r="G6583" s="668"/>
      <c r="H6583" s="668"/>
      <c r="I6583" s="668"/>
      <c r="J6583" s="668"/>
      <c r="K6583" s="674"/>
      <c r="L6583" s="668"/>
      <c r="M6583" s="668"/>
    </row>
    <row r="6584" spans="5:13">
      <c r="E6584" s="668"/>
      <c r="F6584" s="668"/>
      <c r="G6584" s="668"/>
      <c r="H6584" s="668"/>
      <c r="I6584" s="668"/>
      <c r="J6584" s="668"/>
      <c r="K6584" s="674"/>
      <c r="L6584" s="668"/>
      <c r="M6584" s="668"/>
    </row>
    <row r="6585" spans="5:13">
      <c r="E6585" s="668"/>
      <c r="F6585" s="668"/>
      <c r="G6585" s="668"/>
      <c r="H6585" s="668"/>
      <c r="I6585" s="668"/>
      <c r="J6585" s="668"/>
      <c r="K6585" s="674"/>
      <c r="L6585" s="668"/>
      <c r="M6585" s="668"/>
    </row>
    <row r="6586" spans="5:13">
      <c r="E6586" s="668"/>
      <c r="F6586" s="668"/>
      <c r="G6586" s="668"/>
      <c r="H6586" s="668"/>
      <c r="I6586" s="668"/>
      <c r="J6586" s="668"/>
      <c r="K6586" s="674"/>
      <c r="L6586" s="668"/>
      <c r="M6586" s="668"/>
    </row>
    <row r="6587" spans="5:13">
      <c r="E6587" s="668"/>
      <c r="F6587" s="668"/>
      <c r="G6587" s="668"/>
      <c r="H6587" s="668"/>
      <c r="I6587" s="668"/>
      <c r="J6587" s="668"/>
      <c r="K6587" s="674"/>
      <c r="L6587" s="668"/>
      <c r="M6587" s="668"/>
    </row>
    <row r="6588" spans="5:13">
      <c r="E6588" s="668"/>
      <c r="F6588" s="668"/>
      <c r="G6588" s="668"/>
      <c r="H6588" s="668"/>
      <c r="I6588" s="668"/>
      <c r="J6588" s="668"/>
      <c r="K6588" s="674"/>
      <c r="L6588" s="668"/>
      <c r="M6588" s="668"/>
    </row>
    <row r="6589" spans="5:13">
      <c r="E6589" s="668"/>
      <c r="F6589" s="668"/>
      <c r="G6589" s="668"/>
      <c r="H6589" s="668"/>
      <c r="I6589" s="668"/>
      <c r="J6589" s="668"/>
      <c r="K6589" s="674"/>
      <c r="L6589" s="668"/>
      <c r="M6589" s="668"/>
    </row>
    <row r="6590" spans="5:13">
      <c r="E6590" s="668"/>
      <c r="F6590" s="668"/>
      <c r="G6590" s="668"/>
      <c r="H6590" s="668"/>
      <c r="I6590" s="668"/>
      <c r="J6590" s="668"/>
      <c r="K6590" s="674"/>
      <c r="L6590" s="668"/>
      <c r="M6590" s="668"/>
    </row>
    <row r="6591" spans="5:13">
      <c r="E6591" s="668"/>
      <c r="F6591" s="668"/>
      <c r="G6591" s="668"/>
      <c r="H6591" s="668"/>
      <c r="I6591" s="668"/>
      <c r="J6591" s="668"/>
      <c r="K6591" s="674"/>
      <c r="L6591" s="668"/>
      <c r="M6591" s="668"/>
    </row>
    <row r="6592" spans="5:13">
      <c r="E6592" s="668"/>
      <c r="F6592" s="668"/>
      <c r="G6592" s="668"/>
      <c r="H6592" s="668"/>
      <c r="I6592" s="668"/>
      <c r="J6592" s="668"/>
      <c r="K6592" s="674"/>
      <c r="L6592" s="668"/>
      <c r="M6592" s="668"/>
    </row>
    <row r="6593" spans="5:13">
      <c r="E6593" s="668"/>
      <c r="F6593" s="668"/>
      <c r="G6593" s="668"/>
      <c r="H6593" s="668"/>
      <c r="I6593" s="668"/>
      <c r="J6593" s="668"/>
      <c r="K6593" s="674"/>
      <c r="L6593" s="668"/>
      <c r="M6593" s="668"/>
    </row>
    <row r="6594" spans="5:13">
      <c r="E6594" s="668"/>
      <c r="F6594" s="668"/>
      <c r="G6594" s="668"/>
      <c r="H6594" s="668"/>
      <c r="I6594" s="668"/>
      <c r="J6594" s="668"/>
      <c r="K6594" s="674"/>
      <c r="L6594" s="668"/>
      <c r="M6594" s="668"/>
    </row>
    <row r="6595" spans="5:13">
      <c r="E6595" s="668"/>
      <c r="F6595" s="668"/>
      <c r="G6595" s="668"/>
      <c r="H6595" s="668"/>
      <c r="I6595" s="668"/>
      <c r="J6595" s="668"/>
      <c r="K6595" s="674"/>
      <c r="L6595" s="668"/>
      <c r="M6595" s="668"/>
    </row>
    <row r="6596" spans="5:13">
      <c r="E6596" s="668"/>
      <c r="F6596" s="668"/>
      <c r="G6596" s="668"/>
      <c r="H6596" s="668"/>
      <c r="I6596" s="668"/>
      <c r="J6596" s="668"/>
      <c r="K6596" s="674"/>
      <c r="L6596" s="668"/>
      <c r="M6596" s="668"/>
    </row>
    <row r="6597" spans="5:13">
      <c r="E6597" s="668"/>
      <c r="F6597" s="668"/>
      <c r="G6597" s="668"/>
      <c r="H6597" s="668"/>
      <c r="I6597" s="668"/>
      <c r="J6597" s="668"/>
      <c r="K6597" s="674"/>
      <c r="L6597" s="668"/>
      <c r="M6597" s="668"/>
    </row>
    <row r="6598" spans="5:13">
      <c r="E6598" s="668"/>
      <c r="F6598" s="668"/>
      <c r="G6598" s="668"/>
      <c r="H6598" s="668"/>
      <c r="I6598" s="668"/>
      <c r="J6598" s="668"/>
      <c r="K6598" s="674"/>
      <c r="L6598" s="668"/>
      <c r="M6598" s="668"/>
    </row>
    <row r="6599" spans="5:13">
      <c r="E6599" s="668"/>
      <c r="F6599" s="668"/>
      <c r="G6599" s="668"/>
      <c r="H6599" s="668"/>
      <c r="I6599" s="668"/>
      <c r="J6599" s="668"/>
      <c r="K6599" s="674"/>
      <c r="L6599" s="668"/>
      <c r="M6599" s="668"/>
    </row>
    <row r="6600" spans="5:13">
      <c r="E6600" s="668"/>
      <c r="F6600" s="668"/>
      <c r="G6600" s="668"/>
      <c r="H6600" s="668"/>
      <c r="I6600" s="668"/>
      <c r="J6600" s="668"/>
      <c r="K6600" s="674"/>
      <c r="L6600" s="668"/>
      <c r="M6600" s="668"/>
    </row>
    <row r="6601" spans="5:13">
      <c r="E6601" s="668"/>
      <c r="F6601" s="668"/>
      <c r="G6601" s="668"/>
      <c r="H6601" s="668"/>
      <c r="I6601" s="668"/>
      <c r="J6601" s="668"/>
      <c r="K6601" s="674"/>
      <c r="L6601" s="668"/>
      <c r="M6601" s="668"/>
    </row>
    <row r="6602" spans="5:13">
      <c r="E6602" s="668"/>
      <c r="F6602" s="668"/>
      <c r="G6602" s="668"/>
      <c r="H6602" s="668"/>
      <c r="I6602" s="668"/>
      <c r="J6602" s="668"/>
      <c r="K6602" s="674"/>
      <c r="L6602" s="668"/>
      <c r="M6602" s="668"/>
    </row>
    <row r="6603" spans="5:13">
      <c r="E6603" s="668"/>
      <c r="F6603" s="668"/>
      <c r="G6603" s="668"/>
      <c r="H6603" s="668"/>
      <c r="I6603" s="668"/>
      <c r="J6603" s="668"/>
      <c r="K6603" s="674"/>
      <c r="L6603" s="668"/>
      <c r="M6603" s="668"/>
    </row>
    <row r="6604" spans="5:13">
      <c r="E6604" s="668"/>
      <c r="F6604" s="668"/>
      <c r="G6604" s="668"/>
      <c r="H6604" s="668"/>
      <c r="I6604" s="668"/>
      <c r="J6604" s="668"/>
      <c r="K6604" s="674"/>
      <c r="L6604" s="668"/>
      <c r="M6604" s="668"/>
    </row>
    <row r="6605" spans="5:13">
      <c r="E6605" s="668"/>
      <c r="F6605" s="668"/>
      <c r="G6605" s="668"/>
      <c r="H6605" s="668"/>
      <c r="I6605" s="668"/>
      <c r="J6605" s="668"/>
      <c r="K6605" s="674"/>
      <c r="L6605" s="668"/>
      <c r="M6605" s="668"/>
    </row>
    <row r="6606" spans="5:13">
      <c r="E6606" s="668"/>
      <c r="F6606" s="668"/>
      <c r="G6606" s="668"/>
      <c r="H6606" s="668"/>
      <c r="I6606" s="668"/>
      <c r="J6606" s="668"/>
      <c r="K6606" s="674"/>
      <c r="L6606" s="668"/>
      <c r="M6606" s="668"/>
    </row>
    <row r="6607" spans="5:13">
      <c r="E6607" s="668"/>
      <c r="F6607" s="668"/>
      <c r="G6607" s="668"/>
      <c r="H6607" s="668"/>
      <c r="I6607" s="668"/>
      <c r="J6607" s="668"/>
      <c r="K6607" s="674"/>
      <c r="L6607" s="668"/>
      <c r="M6607" s="668"/>
    </row>
    <row r="6608" spans="5:13">
      <c r="E6608" s="668"/>
      <c r="F6608" s="668"/>
      <c r="G6608" s="668"/>
      <c r="H6608" s="668"/>
      <c r="I6608" s="668"/>
      <c r="J6608" s="668"/>
      <c r="K6608" s="674"/>
      <c r="L6608" s="668"/>
      <c r="M6608" s="668"/>
    </row>
    <row r="6609" spans="5:13">
      <c r="E6609" s="668"/>
      <c r="F6609" s="668"/>
      <c r="G6609" s="668"/>
      <c r="H6609" s="668"/>
      <c r="I6609" s="668"/>
      <c r="J6609" s="668"/>
      <c r="K6609" s="674"/>
      <c r="L6609" s="668"/>
      <c r="M6609" s="668"/>
    </row>
    <row r="6610" spans="5:13">
      <c r="E6610" s="668"/>
      <c r="F6610" s="668"/>
      <c r="G6610" s="668"/>
      <c r="H6610" s="668"/>
      <c r="I6610" s="668"/>
      <c r="J6610" s="668"/>
      <c r="K6610" s="674"/>
      <c r="L6610" s="668"/>
      <c r="M6610" s="668"/>
    </row>
    <row r="6611" spans="5:13">
      <c r="E6611" s="668"/>
      <c r="F6611" s="668"/>
      <c r="G6611" s="668"/>
      <c r="H6611" s="668"/>
      <c r="I6611" s="668"/>
      <c r="J6611" s="668"/>
      <c r="K6611" s="674"/>
      <c r="L6611" s="668"/>
      <c r="M6611" s="668"/>
    </row>
    <row r="6612" spans="5:13">
      <c r="E6612" s="668"/>
      <c r="F6612" s="668"/>
      <c r="G6612" s="668"/>
      <c r="H6612" s="668"/>
      <c r="I6612" s="668"/>
      <c r="J6612" s="668"/>
      <c r="K6612" s="674"/>
      <c r="L6612" s="668"/>
      <c r="M6612" s="668"/>
    </row>
    <row r="6613" spans="5:13">
      <c r="E6613" s="668"/>
      <c r="F6613" s="668"/>
      <c r="G6613" s="668"/>
      <c r="H6613" s="668"/>
      <c r="I6613" s="668"/>
      <c r="J6613" s="668"/>
      <c r="K6613" s="674"/>
      <c r="L6613" s="668"/>
      <c r="M6613" s="668"/>
    </row>
    <row r="6614" spans="5:13">
      <c r="E6614" s="668"/>
      <c r="F6614" s="668"/>
      <c r="G6614" s="668"/>
      <c r="H6614" s="668"/>
      <c r="I6614" s="668"/>
      <c r="J6614" s="668"/>
      <c r="K6614" s="674"/>
      <c r="L6614" s="668"/>
      <c r="M6614" s="668"/>
    </row>
    <row r="6615" spans="5:13">
      <c r="E6615" s="668"/>
      <c r="F6615" s="668"/>
      <c r="G6615" s="668"/>
      <c r="H6615" s="668"/>
      <c r="I6615" s="668"/>
      <c r="J6615" s="668"/>
      <c r="K6615" s="674"/>
      <c r="L6615" s="668"/>
      <c r="M6615" s="668"/>
    </row>
    <row r="6616" spans="5:13">
      <c r="E6616" s="668"/>
      <c r="F6616" s="668"/>
      <c r="G6616" s="668"/>
      <c r="H6616" s="668"/>
      <c r="I6616" s="668"/>
      <c r="J6616" s="668"/>
      <c r="K6616" s="674"/>
      <c r="L6616" s="668"/>
      <c r="M6616" s="668"/>
    </row>
    <row r="6617" spans="5:13">
      <c r="E6617" s="668"/>
      <c r="F6617" s="668"/>
      <c r="G6617" s="668"/>
      <c r="H6617" s="668"/>
      <c r="I6617" s="668"/>
      <c r="J6617" s="668"/>
      <c r="K6617" s="674"/>
      <c r="L6617" s="668"/>
      <c r="M6617" s="668"/>
    </row>
    <row r="6618" spans="5:13">
      <c r="E6618" s="668"/>
      <c r="F6618" s="668"/>
      <c r="G6618" s="668"/>
      <c r="H6618" s="668"/>
      <c r="I6618" s="668"/>
      <c r="J6618" s="668"/>
      <c r="K6618" s="674"/>
      <c r="L6618" s="668"/>
      <c r="M6618" s="668"/>
    </row>
    <row r="6619" spans="5:13">
      <c r="E6619" s="668"/>
      <c r="F6619" s="668"/>
      <c r="G6619" s="668"/>
      <c r="H6619" s="668"/>
      <c r="I6619" s="668"/>
      <c r="J6619" s="668"/>
      <c r="K6619" s="674"/>
      <c r="L6619" s="668"/>
      <c r="M6619" s="668"/>
    </row>
    <row r="6620" spans="5:13">
      <c r="E6620" s="668"/>
      <c r="F6620" s="668"/>
      <c r="G6620" s="668"/>
      <c r="H6620" s="668"/>
      <c r="I6620" s="668"/>
      <c r="J6620" s="668"/>
      <c r="K6620" s="674"/>
      <c r="L6620" s="668"/>
      <c r="M6620" s="668"/>
    </row>
    <row r="6621" spans="5:13">
      <c r="E6621" s="668"/>
      <c r="F6621" s="668"/>
      <c r="G6621" s="668"/>
      <c r="H6621" s="668"/>
      <c r="I6621" s="668"/>
      <c r="J6621" s="668"/>
      <c r="K6621" s="674"/>
      <c r="L6621" s="668"/>
      <c r="M6621" s="668"/>
    </row>
    <row r="6622" spans="5:13">
      <c r="E6622" s="668"/>
      <c r="F6622" s="668"/>
      <c r="G6622" s="668"/>
      <c r="H6622" s="668"/>
      <c r="I6622" s="668"/>
      <c r="J6622" s="668"/>
      <c r="K6622" s="674"/>
      <c r="L6622" s="668"/>
      <c r="M6622" s="668"/>
    </row>
    <row r="6623" spans="5:13">
      <c r="E6623" s="668"/>
      <c r="F6623" s="668"/>
      <c r="G6623" s="668"/>
      <c r="H6623" s="668"/>
      <c r="I6623" s="668"/>
      <c r="J6623" s="668"/>
      <c r="K6623" s="674"/>
      <c r="L6623" s="668"/>
      <c r="M6623" s="668"/>
    </row>
    <row r="6624" spans="5:13">
      <c r="E6624" s="668"/>
      <c r="F6624" s="668"/>
      <c r="G6624" s="668"/>
      <c r="H6624" s="668"/>
      <c r="I6624" s="668"/>
      <c r="J6624" s="668"/>
      <c r="K6624" s="674"/>
      <c r="L6624" s="668"/>
      <c r="M6624" s="668"/>
    </row>
    <row r="6625" spans="5:13">
      <c r="E6625" s="668"/>
      <c r="F6625" s="668"/>
      <c r="G6625" s="668"/>
      <c r="H6625" s="668"/>
      <c r="I6625" s="668"/>
      <c r="J6625" s="668"/>
      <c r="K6625" s="674"/>
      <c r="L6625" s="668"/>
      <c r="M6625" s="668"/>
    </row>
    <row r="6626" spans="5:13">
      <c r="E6626" s="668"/>
      <c r="F6626" s="668"/>
      <c r="G6626" s="668"/>
      <c r="H6626" s="668"/>
      <c r="I6626" s="668"/>
      <c r="J6626" s="668"/>
      <c r="K6626" s="674"/>
      <c r="L6626" s="668"/>
      <c r="M6626" s="668"/>
    </row>
    <row r="6627" spans="5:13">
      <c r="E6627" s="668"/>
      <c r="F6627" s="668"/>
      <c r="G6627" s="668"/>
      <c r="H6627" s="668"/>
      <c r="I6627" s="668"/>
      <c r="J6627" s="668"/>
      <c r="K6627" s="674"/>
      <c r="L6627" s="668"/>
      <c r="M6627" s="668"/>
    </row>
    <row r="6628" spans="5:13">
      <c r="E6628" s="668"/>
      <c r="F6628" s="668"/>
      <c r="G6628" s="668"/>
      <c r="H6628" s="668"/>
      <c r="I6628" s="668"/>
      <c r="J6628" s="668"/>
      <c r="K6628" s="674"/>
      <c r="L6628" s="668"/>
      <c r="M6628" s="668"/>
    </row>
    <row r="6629" spans="5:13">
      <c r="E6629" s="668"/>
      <c r="F6629" s="668"/>
      <c r="G6629" s="668"/>
      <c r="H6629" s="668"/>
      <c r="I6629" s="668"/>
      <c r="J6629" s="668"/>
      <c r="K6629" s="674"/>
      <c r="L6629" s="668"/>
      <c r="M6629" s="668"/>
    </row>
    <row r="6630" spans="5:13">
      <c r="E6630" s="668"/>
      <c r="F6630" s="668"/>
      <c r="G6630" s="668"/>
      <c r="H6630" s="668"/>
      <c r="I6630" s="668"/>
      <c r="J6630" s="668"/>
      <c r="K6630" s="674"/>
      <c r="L6630" s="668"/>
      <c r="M6630" s="668"/>
    </row>
    <row r="6631" spans="5:13">
      <c r="E6631" s="668"/>
      <c r="F6631" s="668"/>
      <c r="G6631" s="668"/>
      <c r="H6631" s="668"/>
      <c r="I6631" s="668"/>
      <c r="J6631" s="668"/>
      <c r="K6631" s="674"/>
      <c r="L6631" s="668"/>
      <c r="M6631" s="668"/>
    </row>
    <row r="6632" spans="5:13">
      <c r="E6632" s="668"/>
      <c r="F6632" s="668"/>
      <c r="G6632" s="668"/>
      <c r="H6632" s="668"/>
      <c r="I6632" s="668"/>
      <c r="J6632" s="668"/>
      <c r="K6632" s="674"/>
      <c r="L6632" s="668"/>
      <c r="M6632" s="668"/>
    </row>
    <row r="6633" spans="5:13">
      <c r="E6633" s="668"/>
      <c r="F6633" s="668"/>
      <c r="G6633" s="668"/>
      <c r="H6633" s="668"/>
      <c r="I6633" s="668"/>
      <c r="J6633" s="668"/>
      <c r="K6633" s="674"/>
      <c r="L6633" s="668"/>
      <c r="M6633" s="668"/>
    </row>
    <row r="6634" spans="5:13">
      <c r="E6634" s="668"/>
      <c r="F6634" s="668"/>
      <c r="G6634" s="668"/>
      <c r="H6634" s="668"/>
      <c r="I6634" s="668"/>
      <c r="J6634" s="668"/>
      <c r="K6634" s="674"/>
      <c r="L6634" s="668"/>
      <c r="M6634" s="668"/>
    </row>
    <row r="6635" spans="5:13">
      <c r="E6635" s="668"/>
      <c r="F6635" s="668"/>
      <c r="G6635" s="668"/>
      <c r="H6635" s="668"/>
      <c r="I6635" s="668"/>
      <c r="J6635" s="668"/>
      <c r="K6635" s="674"/>
      <c r="L6635" s="668"/>
      <c r="M6635" s="668"/>
    </row>
    <row r="6636" spans="5:13">
      <c r="E6636" s="668"/>
      <c r="F6636" s="668"/>
      <c r="G6636" s="668"/>
      <c r="H6636" s="668"/>
      <c r="I6636" s="668"/>
      <c r="J6636" s="668"/>
      <c r="K6636" s="674"/>
      <c r="L6636" s="668"/>
      <c r="M6636" s="668"/>
    </row>
    <row r="6637" spans="5:13">
      <c r="E6637" s="668"/>
      <c r="F6637" s="668"/>
      <c r="G6637" s="668"/>
      <c r="H6637" s="668"/>
      <c r="I6637" s="668"/>
      <c r="J6637" s="668"/>
      <c r="K6637" s="674"/>
      <c r="L6637" s="668"/>
      <c r="M6637" s="668"/>
    </row>
    <row r="6638" spans="5:13">
      <c r="E6638" s="668"/>
      <c r="F6638" s="668"/>
      <c r="G6638" s="668"/>
      <c r="H6638" s="668"/>
      <c r="I6638" s="668"/>
      <c r="J6638" s="668"/>
      <c r="K6638" s="674"/>
      <c r="L6638" s="668"/>
      <c r="M6638" s="668"/>
    </row>
    <row r="6639" spans="5:13">
      <c r="E6639" s="668"/>
      <c r="F6639" s="668"/>
      <c r="G6639" s="668"/>
      <c r="H6639" s="668"/>
      <c r="I6639" s="668"/>
      <c r="J6639" s="668"/>
      <c r="K6639" s="674"/>
      <c r="L6639" s="668"/>
      <c r="M6639" s="668"/>
    </row>
    <row r="6640" spans="5:13">
      <c r="E6640" s="668"/>
      <c r="F6640" s="668"/>
      <c r="G6640" s="668"/>
      <c r="H6640" s="668"/>
      <c r="I6640" s="668"/>
      <c r="J6640" s="668"/>
      <c r="K6640" s="674"/>
      <c r="L6640" s="668"/>
      <c r="M6640" s="668"/>
    </row>
    <row r="6641" spans="5:13">
      <c r="E6641" s="668"/>
      <c r="F6641" s="668"/>
      <c r="G6641" s="668"/>
      <c r="H6641" s="668"/>
      <c r="I6641" s="668"/>
      <c r="J6641" s="668"/>
      <c r="K6641" s="674"/>
      <c r="L6641" s="668"/>
      <c r="M6641" s="668"/>
    </row>
    <row r="6642" spans="5:13">
      <c r="E6642" s="668"/>
      <c r="F6642" s="668"/>
      <c r="G6642" s="668"/>
      <c r="H6642" s="668"/>
      <c r="I6642" s="668"/>
      <c r="J6642" s="668"/>
      <c r="K6642" s="674"/>
      <c r="L6642" s="668"/>
      <c r="M6642" s="668"/>
    </row>
    <row r="6643" spans="5:13">
      <c r="E6643" s="668"/>
      <c r="F6643" s="668"/>
      <c r="G6643" s="668"/>
      <c r="H6643" s="668"/>
      <c r="I6643" s="668"/>
      <c r="J6643" s="668"/>
      <c r="K6643" s="674"/>
      <c r="L6643" s="668"/>
      <c r="M6643" s="668"/>
    </row>
    <row r="6644" spans="5:13">
      <c r="E6644" s="668"/>
      <c r="F6644" s="668"/>
      <c r="G6644" s="668"/>
      <c r="H6644" s="668"/>
      <c r="I6644" s="668"/>
      <c r="J6644" s="668"/>
      <c r="K6644" s="674"/>
      <c r="L6644" s="668"/>
      <c r="M6644" s="668"/>
    </row>
    <row r="6645" spans="5:13">
      <c r="E6645" s="668"/>
      <c r="F6645" s="668"/>
      <c r="G6645" s="668"/>
      <c r="H6645" s="668"/>
      <c r="I6645" s="668"/>
      <c r="J6645" s="668"/>
      <c r="K6645" s="674"/>
      <c r="L6645" s="668"/>
      <c r="M6645" s="668"/>
    </row>
    <row r="6646" spans="5:13">
      <c r="E6646" s="668"/>
      <c r="F6646" s="668"/>
      <c r="G6646" s="668"/>
      <c r="H6646" s="668"/>
      <c r="I6646" s="668"/>
      <c r="J6646" s="668"/>
      <c r="K6646" s="674"/>
      <c r="L6646" s="668"/>
      <c r="M6646" s="668"/>
    </row>
    <row r="6647" spans="5:13">
      <c r="E6647" s="668"/>
      <c r="F6647" s="668"/>
      <c r="G6647" s="668"/>
      <c r="H6647" s="668"/>
      <c r="I6647" s="668"/>
      <c r="J6647" s="668"/>
      <c r="K6647" s="674"/>
      <c r="L6647" s="668"/>
      <c r="M6647" s="668"/>
    </row>
    <row r="6648" spans="5:13">
      <c r="E6648" s="668"/>
      <c r="F6648" s="668"/>
      <c r="G6648" s="668"/>
      <c r="H6648" s="668"/>
      <c r="I6648" s="668"/>
      <c r="J6648" s="668"/>
      <c r="K6648" s="674"/>
      <c r="L6648" s="668"/>
      <c r="M6648" s="668"/>
    </row>
    <row r="6649" spans="5:13">
      <c r="E6649" s="668"/>
      <c r="F6649" s="668"/>
      <c r="G6649" s="668"/>
      <c r="H6649" s="668"/>
      <c r="I6649" s="668"/>
      <c r="J6649" s="668"/>
      <c r="K6649" s="674"/>
      <c r="L6649" s="668"/>
      <c r="M6649" s="668"/>
    </row>
    <row r="6650" spans="5:13">
      <c r="E6650" s="668"/>
      <c r="F6650" s="668"/>
      <c r="G6650" s="668"/>
      <c r="H6650" s="668"/>
      <c r="I6650" s="668"/>
      <c r="J6650" s="668"/>
      <c r="K6650" s="674"/>
      <c r="L6650" s="668"/>
      <c r="M6650" s="668"/>
    </row>
    <row r="6651" spans="5:13">
      <c r="E6651" s="668"/>
      <c r="F6651" s="668"/>
      <c r="G6651" s="668"/>
      <c r="H6651" s="668"/>
      <c r="I6651" s="668"/>
      <c r="J6651" s="668"/>
      <c r="K6651" s="674"/>
      <c r="L6651" s="668"/>
      <c r="M6651" s="668"/>
    </row>
    <row r="6652" spans="5:13">
      <c r="E6652" s="668"/>
      <c r="F6652" s="668"/>
      <c r="G6652" s="668"/>
      <c r="H6652" s="668"/>
      <c r="I6652" s="668"/>
      <c r="J6652" s="668"/>
      <c r="K6652" s="674"/>
      <c r="L6652" s="668"/>
      <c r="M6652" s="668"/>
    </row>
    <row r="6653" spans="5:13">
      <c r="E6653" s="668"/>
      <c r="F6653" s="668"/>
      <c r="G6653" s="668"/>
      <c r="H6653" s="668"/>
      <c r="I6653" s="668"/>
      <c r="J6653" s="668"/>
      <c r="K6653" s="674"/>
      <c r="L6653" s="668"/>
      <c r="M6653" s="668"/>
    </row>
    <row r="6654" spans="5:13">
      <c r="E6654" s="668"/>
      <c r="F6654" s="668"/>
      <c r="G6654" s="668"/>
      <c r="H6654" s="668"/>
      <c r="I6654" s="668"/>
      <c r="J6654" s="668"/>
      <c r="K6654" s="674"/>
      <c r="L6654" s="668"/>
      <c r="M6654" s="668"/>
    </row>
    <row r="6655" spans="5:13">
      <c r="E6655" s="668"/>
      <c r="F6655" s="668"/>
      <c r="G6655" s="668"/>
      <c r="H6655" s="668"/>
      <c r="I6655" s="668"/>
      <c r="J6655" s="668"/>
      <c r="K6655" s="674"/>
      <c r="L6655" s="668"/>
      <c r="M6655" s="668"/>
    </row>
    <row r="6656" spans="5:13">
      <c r="E6656" s="668"/>
      <c r="F6656" s="668"/>
      <c r="G6656" s="668"/>
      <c r="H6656" s="668"/>
      <c r="I6656" s="668"/>
      <c r="J6656" s="668"/>
      <c r="K6656" s="674"/>
      <c r="L6656" s="668"/>
      <c r="M6656" s="668"/>
    </row>
    <row r="6657" spans="5:13">
      <c r="E6657" s="668"/>
      <c r="F6657" s="668"/>
      <c r="G6657" s="668"/>
      <c r="H6657" s="668"/>
      <c r="I6657" s="668"/>
      <c r="J6657" s="668"/>
      <c r="K6657" s="674"/>
      <c r="L6657" s="668"/>
      <c r="M6657" s="668"/>
    </row>
    <row r="6658" spans="5:13">
      <c r="E6658" s="668"/>
      <c r="F6658" s="668"/>
      <c r="G6658" s="668"/>
      <c r="H6658" s="668"/>
      <c r="I6658" s="668"/>
      <c r="J6658" s="668"/>
      <c r="K6658" s="674"/>
      <c r="L6658" s="668"/>
      <c r="M6658" s="668"/>
    </row>
    <row r="6659" spans="5:13">
      <c r="E6659" s="668"/>
      <c r="F6659" s="668"/>
      <c r="G6659" s="668"/>
      <c r="H6659" s="668"/>
      <c r="I6659" s="668"/>
      <c r="J6659" s="668"/>
      <c r="K6659" s="674"/>
      <c r="L6659" s="668"/>
      <c r="M6659" s="668"/>
    </row>
    <row r="6660" spans="5:13">
      <c r="E6660" s="668"/>
      <c r="F6660" s="668"/>
      <c r="G6660" s="668"/>
      <c r="H6660" s="668"/>
      <c r="I6660" s="668"/>
      <c r="J6660" s="668"/>
      <c r="K6660" s="674"/>
      <c r="L6660" s="668"/>
      <c r="M6660" s="668"/>
    </row>
    <row r="6661" spans="5:13">
      <c r="E6661" s="668"/>
      <c r="F6661" s="668"/>
      <c r="G6661" s="668"/>
      <c r="H6661" s="668"/>
      <c r="I6661" s="668"/>
      <c r="J6661" s="668"/>
      <c r="K6661" s="674"/>
      <c r="L6661" s="668"/>
      <c r="M6661" s="668"/>
    </row>
    <row r="6662" spans="5:13">
      <c r="E6662" s="668"/>
      <c r="F6662" s="668"/>
      <c r="G6662" s="668"/>
      <c r="H6662" s="668"/>
      <c r="I6662" s="668"/>
      <c r="J6662" s="668"/>
      <c r="K6662" s="674"/>
      <c r="L6662" s="668"/>
      <c r="M6662" s="668"/>
    </row>
    <row r="6663" spans="5:13">
      <c r="E6663" s="668"/>
      <c r="F6663" s="668"/>
      <c r="G6663" s="668"/>
      <c r="H6663" s="668"/>
      <c r="I6663" s="668"/>
      <c r="J6663" s="668"/>
      <c r="K6663" s="674"/>
      <c r="L6663" s="668"/>
      <c r="M6663" s="668"/>
    </row>
    <row r="6664" spans="5:13">
      <c r="E6664" s="668"/>
      <c r="F6664" s="668"/>
      <c r="G6664" s="668"/>
      <c r="H6664" s="668"/>
      <c r="I6664" s="668"/>
      <c r="J6664" s="668"/>
      <c r="K6664" s="674"/>
      <c r="L6664" s="668"/>
      <c r="M6664" s="668"/>
    </row>
    <row r="6665" spans="5:13">
      <c r="E6665" s="668"/>
      <c r="F6665" s="668"/>
      <c r="G6665" s="668"/>
      <c r="H6665" s="668"/>
      <c r="I6665" s="668"/>
      <c r="J6665" s="668"/>
      <c r="K6665" s="674"/>
      <c r="L6665" s="668"/>
      <c r="M6665" s="668"/>
    </row>
    <row r="6666" spans="5:13">
      <c r="E6666" s="668"/>
      <c r="F6666" s="668"/>
      <c r="G6666" s="668"/>
      <c r="H6666" s="668"/>
      <c r="I6666" s="668"/>
      <c r="J6666" s="668"/>
      <c r="K6666" s="674"/>
      <c r="L6666" s="668"/>
      <c r="M6666" s="668"/>
    </row>
    <row r="6667" spans="5:13">
      <c r="E6667" s="668"/>
      <c r="F6667" s="668"/>
      <c r="G6667" s="668"/>
      <c r="H6667" s="668"/>
      <c r="I6667" s="668"/>
      <c r="J6667" s="668"/>
      <c r="K6667" s="674"/>
      <c r="L6667" s="668"/>
      <c r="M6667" s="668"/>
    </row>
    <row r="6668" spans="5:13">
      <c r="E6668" s="668"/>
      <c r="F6668" s="668"/>
      <c r="G6668" s="668"/>
      <c r="H6668" s="668"/>
      <c r="I6668" s="668"/>
      <c r="J6668" s="668"/>
      <c r="K6668" s="674"/>
      <c r="L6668" s="668"/>
      <c r="M6668" s="668"/>
    </row>
    <row r="6669" spans="5:13">
      <c r="E6669" s="668"/>
      <c r="F6669" s="668"/>
      <c r="G6669" s="668"/>
      <c r="H6669" s="668"/>
      <c r="I6669" s="668"/>
      <c r="J6669" s="668"/>
      <c r="K6669" s="674"/>
      <c r="L6669" s="668"/>
      <c r="M6669" s="668"/>
    </row>
    <row r="6670" spans="5:13">
      <c r="E6670" s="668"/>
      <c r="F6670" s="668"/>
      <c r="G6670" s="668"/>
      <c r="H6670" s="668"/>
      <c r="I6670" s="668"/>
      <c r="J6670" s="668"/>
      <c r="K6670" s="674"/>
      <c r="L6670" s="668"/>
      <c r="M6670" s="668"/>
    </row>
    <row r="6671" spans="5:13">
      <c r="E6671" s="668"/>
      <c r="F6671" s="668"/>
      <c r="G6671" s="668"/>
      <c r="H6671" s="668"/>
      <c r="I6671" s="668"/>
      <c r="J6671" s="668"/>
      <c r="K6671" s="674"/>
      <c r="L6671" s="668"/>
      <c r="M6671" s="668"/>
    </row>
    <row r="6672" spans="5:13">
      <c r="E6672" s="668"/>
      <c r="F6672" s="668"/>
      <c r="G6672" s="668"/>
      <c r="H6672" s="668"/>
      <c r="I6672" s="668"/>
      <c r="J6672" s="668"/>
      <c r="K6672" s="674"/>
      <c r="L6672" s="668"/>
      <c r="M6672" s="668"/>
    </row>
    <row r="6673" spans="5:13">
      <c r="E6673" s="668"/>
      <c r="F6673" s="668"/>
      <c r="G6673" s="668"/>
      <c r="H6673" s="668"/>
      <c r="I6673" s="668"/>
      <c r="J6673" s="668"/>
      <c r="K6673" s="674"/>
      <c r="L6673" s="668"/>
      <c r="M6673" s="668"/>
    </row>
    <row r="6674" spans="5:13">
      <c r="E6674" s="668"/>
      <c r="F6674" s="668"/>
      <c r="G6674" s="668"/>
      <c r="H6674" s="668"/>
      <c r="I6674" s="668"/>
      <c r="J6674" s="668"/>
      <c r="K6674" s="674"/>
      <c r="L6674" s="668"/>
      <c r="M6674" s="668"/>
    </row>
    <row r="6675" spans="5:13">
      <c r="E6675" s="668"/>
      <c r="F6675" s="668"/>
      <c r="G6675" s="668"/>
      <c r="H6675" s="668"/>
      <c r="I6675" s="668"/>
      <c r="J6675" s="668"/>
      <c r="K6675" s="674"/>
      <c r="L6675" s="668"/>
      <c r="M6675" s="668"/>
    </row>
    <row r="6676" spans="5:13">
      <c r="E6676" s="668"/>
      <c r="F6676" s="668"/>
      <c r="G6676" s="668"/>
      <c r="H6676" s="668"/>
      <c r="I6676" s="668"/>
      <c r="J6676" s="668"/>
      <c r="K6676" s="674"/>
      <c r="L6676" s="668"/>
      <c r="M6676" s="668"/>
    </row>
    <row r="6677" spans="5:13">
      <c r="E6677" s="668"/>
      <c r="F6677" s="668"/>
      <c r="G6677" s="668"/>
      <c r="H6677" s="668"/>
      <c r="I6677" s="668"/>
      <c r="J6677" s="668"/>
      <c r="K6677" s="674"/>
      <c r="L6677" s="668"/>
      <c r="M6677" s="668"/>
    </row>
    <row r="6678" spans="5:13">
      <c r="E6678" s="668"/>
      <c r="F6678" s="668"/>
      <c r="G6678" s="668"/>
      <c r="H6678" s="668"/>
      <c r="I6678" s="668"/>
      <c r="J6678" s="668"/>
      <c r="K6678" s="674"/>
      <c r="L6678" s="668"/>
      <c r="M6678" s="668"/>
    </row>
    <row r="6679" spans="5:13">
      <c r="E6679" s="668"/>
      <c r="F6679" s="668"/>
      <c r="G6679" s="668"/>
      <c r="H6679" s="668"/>
      <c r="I6679" s="668"/>
      <c r="J6679" s="668"/>
      <c r="K6679" s="674"/>
      <c r="L6679" s="668"/>
      <c r="M6679" s="668"/>
    </row>
    <row r="6680" spans="5:13">
      <c r="E6680" s="668"/>
      <c r="F6680" s="668"/>
      <c r="G6680" s="668"/>
      <c r="H6680" s="668"/>
      <c r="I6680" s="668"/>
      <c r="J6680" s="668"/>
      <c r="K6680" s="674"/>
      <c r="L6680" s="668"/>
      <c r="M6680" s="668"/>
    </row>
    <row r="6681" spans="5:13">
      <c r="E6681" s="668"/>
      <c r="F6681" s="668"/>
      <c r="G6681" s="668"/>
      <c r="H6681" s="668"/>
      <c r="I6681" s="668"/>
      <c r="J6681" s="668"/>
      <c r="K6681" s="674"/>
      <c r="L6681" s="668"/>
      <c r="M6681" s="668"/>
    </row>
    <row r="6682" spans="5:13">
      <c r="E6682" s="668"/>
      <c r="F6682" s="668"/>
      <c r="G6682" s="668"/>
      <c r="H6682" s="668"/>
      <c r="I6682" s="668"/>
      <c r="J6682" s="668"/>
      <c r="K6682" s="674"/>
      <c r="L6682" s="668"/>
      <c r="M6682" s="668"/>
    </row>
    <row r="6683" spans="5:13">
      <c r="E6683" s="668"/>
      <c r="F6683" s="668"/>
      <c r="G6683" s="668"/>
      <c r="H6683" s="668"/>
      <c r="I6683" s="668"/>
      <c r="J6683" s="668"/>
      <c r="K6683" s="674"/>
      <c r="L6683" s="668"/>
      <c r="M6683" s="668"/>
    </row>
    <row r="6684" spans="5:13">
      <c r="E6684" s="668"/>
      <c r="F6684" s="668"/>
      <c r="G6684" s="668"/>
      <c r="H6684" s="668"/>
      <c r="I6684" s="668"/>
      <c r="J6684" s="668"/>
      <c r="K6684" s="674"/>
      <c r="L6684" s="668"/>
      <c r="M6684" s="668"/>
    </row>
    <row r="6685" spans="5:13">
      <c r="E6685" s="668"/>
      <c r="F6685" s="668"/>
      <c r="G6685" s="668"/>
      <c r="H6685" s="668"/>
      <c r="I6685" s="668"/>
      <c r="J6685" s="668"/>
      <c r="K6685" s="674"/>
      <c r="L6685" s="668"/>
      <c r="M6685" s="668"/>
    </row>
    <row r="6686" spans="5:13">
      <c r="E6686" s="668"/>
      <c r="F6686" s="668"/>
      <c r="G6686" s="668"/>
      <c r="H6686" s="668"/>
      <c r="I6686" s="668"/>
      <c r="J6686" s="668"/>
      <c r="K6686" s="674"/>
      <c r="L6686" s="668"/>
      <c r="M6686" s="668"/>
    </row>
    <row r="6687" spans="5:13">
      <c r="E6687" s="668"/>
      <c r="F6687" s="668"/>
      <c r="G6687" s="668"/>
      <c r="H6687" s="668"/>
      <c r="I6687" s="668"/>
      <c r="J6687" s="668"/>
      <c r="K6687" s="674"/>
      <c r="L6687" s="668"/>
      <c r="M6687" s="668"/>
    </row>
    <row r="6688" spans="5:13">
      <c r="E6688" s="668"/>
      <c r="F6688" s="668"/>
      <c r="G6688" s="668"/>
      <c r="H6688" s="668"/>
      <c r="I6688" s="668"/>
      <c r="J6688" s="668"/>
      <c r="K6688" s="674"/>
      <c r="L6688" s="668"/>
      <c r="M6688" s="668"/>
    </row>
    <row r="6689" spans="5:13">
      <c r="E6689" s="668"/>
      <c r="F6689" s="668"/>
      <c r="G6689" s="668"/>
      <c r="H6689" s="668"/>
      <c r="I6689" s="668"/>
      <c r="J6689" s="668"/>
      <c r="K6689" s="674"/>
      <c r="L6689" s="668"/>
      <c r="M6689" s="668"/>
    </row>
    <row r="6690" spans="5:13">
      <c r="E6690" s="668"/>
      <c r="F6690" s="668"/>
      <c r="G6690" s="668"/>
      <c r="H6690" s="668"/>
      <c r="I6690" s="668"/>
      <c r="J6690" s="668"/>
      <c r="K6690" s="674"/>
      <c r="L6690" s="668"/>
      <c r="M6690" s="668"/>
    </row>
    <row r="6691" spans="5:13">
      <c r="E6691" s="668"/>
      <c r="F6691" s="668"/>
      <c r="G6691" s="668"/>
      <c r="H6691" s="668"/>
      <c r="I6691" s="668"/>
      <c r="J6691" s="668"/>
      <c r="K6691" s="674"/>
      <c r="L6691" s="668"/>
      <c r="M6691" s="668"/>
    </row>
    <row r="6692" spans="5:13">
      <c r="E6692" s="668"/>
      <c r="F6692" s="668"/>
      <c r="G6692" s="668"/>
      <c r="H6692" s="668"/>
      <c r="I6692" s="668"/>
      <c r="J6692" s="668"/>
      <c r="K6692" s="674"/>
      <c r="L6692" s="668"/>
      <c r="M6692" s="668"/>
    </row>
    <row r="6693" spans="5:13">
      <c r="E6693" s="668"/>
      <c r="F6693" s="668"/>
      <c r="G6693" s="668"/>
      <c r="H6693" s="668"/>
      <c r="I6693" s="668"/>
      <c r="J6693" s="668"/>
      <c r="K6693" s="674"/>
      <c r="L6693" s="668"/>
      <c r="M6693" s="668"/>
    </row>
    <row r="6694" spans="5:13">
      <c r="E6694" s="668"/>
      <c r="F6694" s="668"/>
      <c r="G6694" s="668"/>
      <c r="H6694" s="668"/>
      <c r="I6694" s="668"/>
      <c r="J6694" s="668"/>
      <c r="K6694" s="674"/>
      <c r="L6694" s="668"/>
      <c r="M6694" s="668"/>
    </row>
    <row r="6695" spans="5:13">
      <c r="E6695" s="668"/>
      <c r="F6695" s="668"/>
      <c r="G6695" s="668"/>
      <c r="H6695" s="668"/>
      <c r="I6695" s="668"/>
      <c r="J6695" s="668"/>
      <c r="K6695" s="674"/>
      <c r="L6695" s="668"/>
      <c r="M6695" s="668"/>
    </row>
    <row r="6696" spans="5:13">
      <c r="E6696" s="668"/>
      <c r="F6696" s="668"/>
      <c r="G6696" s="668"/>
      <c r="H6696" s="668"/>
      <c r="I6696" s="668"/>
      <c r="J6696" s="668"/>
      <c r="K6696" s="674"/>
      <c r="L6696" s="668"/>
      <c r="M6696" s="668"/>
    </row>
    <row r="6697" spans="5:13">
      <c r="E6697" s="668"/>
      <c r="F6697" s="668"/>
      <c r="G6697" s="668"/>
      <c r="H6697" s="668"/>
      <c r="I6697" s="668"/>
      <c r="J6697" s="668"/>
      <c r="K6697" s="674"/>
      <c r="L6697" s="668"/>
      <c r="M6697" s="668"/>
    </row>
    <row r="6698" spans="5:13">
      <c r="E6698" s="668"/>
      <c r="F6698" s="668"/>
      <c r="G6698" s="668"/>
      <c r="H6698" s="668"/>
      <c r="I6698" s="668"/>
      <c r="J6698" s="668"/>
      <c r="K6698" s="674"/>
      <c r="L6698" s="668"/>
      <c r="M6698" s="668"/>
    </row>
    <row r="6699" spans="5:13">
      <c r="E6699" s="668"/>
      <c r="F6699" s="668"/>
      <c r="G6699" s="668"/>
      <c r="H6699" s="668"/>
      <c r="I6699" s="668"/>
      <c r="J6699" s="668"/>
      <c r="K6699" s="674"/>
      <c r="L6699" s="668"/>
      <c r="M6699" s="668"/>
    </row>
    <row r="6700" spans="5:13">
      <c r="E6700" s="668"/>
      <c r="F6700" s="668"/>
      <c r="G6700" s="668"/>
      <c r="H6700" s="668"/>
      <c r="I6700" s="668"/>
      <c r="J6700" s="668"/>
      <c r="K6700" s="674"/>
      <c r="L6700" s="668"/>
      <c r="M6700" s="668"/>
    </row>
    <row r="6701" spans="5:13">
      <c r="E6701" s="668"/>
      <c r="F6701" s="668"/>
      <c r="G6701" s="668"/>
      <c r="H6701" s="668"/>
      <c r="I6701" s="668"/>
      <c r="J6701" s="668"/>
      <c r="K6701" s="674"/>
      <c r="L6701" s="668"/>
      <c r="M6701" s="668"/>
    </row>
    <row r="6702" spans="5:13">
      <c r="E6702" s="668"/>
      <c r="F6702" s="668"/>
      <c r="G6702" s="668"/>
      <c r="H6702" s="668"/>
      <c r="I6702" s="668"/>
      <c r="J6702" s="668"/>
      <c r="K6702" s="674"/>
      <c r="L6702" s="668"/>
      <c r="M6702" s="668"/>
    </row>
    <row r="6703" spans="5:13">
      <c r="E6703" s="668"/>
      <c r="F6703" s="668"/>
      <c r="G6703" s="668"/>
      <c r="H6703" s="668"/>
      <c r="I6703" s="668"/>
      <c r="J6703" s="668"/>
      <c r="K6703" s="674"/>
      <c r="L6703" s="668"/>
      <c r="M6703" s="668"/>
    </row>
    <row r="6704" spans="5:13">
      <c r="E6704" s="668"/>
      <c r="F6704" s="668"/>
      <c r="G6704" s="668"/>
      <c r="H6704" s="668"/>
      <c r="I6704" s="668"/>
      <c r="J6704" s="668"/>
      <c r="K6704" s="674"/>
      <c r="L6704" s="668"/>
      <c r="M6704" s="668"/>
    </row>
    <row r="6705" spans="5:13">
      <c r="E6705" s="668"/>
      <c r="F6705" s="668"/>
      <c r="G6705" s="668"/>
      <c r="H6705" s="668"/>
      <c r="I6705" s="668"/>
      <c r="J6705" s="668"/>
      <c r="K6705" s="674"/>
      <c r="L6705" s="668"/>
      <c r="M6705" s="668"/>
    </row>
    <row r="6706" spans="5:13">
      <c r="E6706" s="668"/>
      <c r="F6706" s="668"/>
      <c r="G6706" s="668"/>
      <c r="H6706" s="668"/>
      <c r="I6706" s="668"/>
      <c r="J6706" s="668"/>
      <c r="K6706" s="674"/>
      <c r="L6706" s="668"/>
      <c r="M6706" s="668"/>
    </row>
    <row r="6707" spans="5:13">
      <c r="E6707" s="668"/>
      <c r="F6707" s="668"/>
      <c r="G6707" s="668"/>
      <c r="H6707" s="668"/>
      <c r="I6707" s="668"/>
      <c r="J6707" s="668"/>
      <c r="K6707" s="674"/>
      <c r="L6707" s="668"/>
      <c r="M6707" s="668"/>
    </row>
    <row r="6708" spans="5:13">
      <c r="E6708" s="668"/>
      <c r="F6708" s="668"/>
      <c r="G6708" s="668"/>
      <c r="H6708" s="668"/>
      <c r="I6708" s="668"/>
      <c r="J6708" s="668"/>
      <c r="K6708" s="674"/>
      <c r="L6708" s="668"/>
      <c r="M6708" s="668"/>
    </row>
    <row r="6709" spans="5:13">
      <c r="E6709" s="668"/>
      <c r="F6709" s="668"/>
      <c r="G6709" s="668"/>
      <c r="H6709" s="668"/>
      <c r="I6709" s="668"/>
      <c r="J6709" s="668"/>
      <c r="K6709" s="674"/>
      <c r="L6709" s="668"/>
      <c r="M6709" s="668"/>
    </row>
    <row r="6710" spans="5:13">
      <c r="E6710" s="668"/>
      <c r="F6710" s="668"/>
      <c r="G6710" s="668"/>
      <c r="H6710" s="668"/>
      <c r="I6710" s="668"/>
      <c r="J6710" s="668"/>
      <c r="K6710" s="674"/>
      <c r="L6710" s="668"/>
      <c r="M6710" s="668"/>
    </row>
    <row r="6711" spans="5:13">
      <c r="E6711" s="668"/>
      <c r="F6711" s="668"/>
      <c r="G6711" s="668"/>
      <c r="H6711" s="668"/>
      <c r="I6711" s="668"/>
      <c r="J6711" s="668"/>
      <c r="K6711" s="674"/>
      <c r="L6711" s="668"/>
      <c r="M6711" s="668"/>
    </row>
    <row r="6712" spans="5:13">
      <c r="E6712" s="668"/>
      <c r="F6712" s="668"/>
      <c r="G6712" s="668"/>
      <c r="H6712" s="668"/>
      <c r="I6712" s="668"/>
      <c r="J6712" s="668"/>
      <c r="K6712" s="674"/>
      <c r="L6712" s="668"/>
      <c r="M6712" s="668"/>
    </row>
    <row r="6713" spans="5:13">
      <c r="E6713" s="668"/>
      <c r="F6713" s="668"/>
      <c r="G6713" s="668"/>
      <c r="H6713" s="668"/>
      <c r="I6713" s="668"/>
      <c r="J6713" s="668"/>
      <c r="K6713" s="674"/>
      <c r="L6713" s="668"/>
      <c r="M6713" s="668"/>
    </row>
    <row r="6714" spans="5:13">
      <c r="E6714" s="668"/>
      <c r="F6714" s="668"/>
      <c r="G6714" s="668"/>
      <c r="H6714" s="668"/>
      <c r="I6714" s="668"/>
      <c r="J6714" s="668"/>
      <c r="K6714" s="674"/>
      <c r="L6714" s="668"/>
      <c r="M6714" s="668"/>
    </row>
    <row r="6715" spans="5:13">
      <c r="E6715" s="668"/>
      <c r="F6715" s="668"/>
      <c r="G6715" s="668"/>
      <c r="H6715" s="668"/>
      <c r="I6715" s="668"/>
      <c r="J6715" s="668"/>
      <c r="K6715" s="674"/>
      <c r="L6715" s="668"/>
      <c r="M6715" s="668"/>
    </row>
    <row r="6716" spans="5:13">
      <c r="E6716" s="668"/>
      <c r="F6716" s="668"/>
      <c r="G6716" s="668"/>
      <c r="H6716" s="668"/>
      <c r="I6716" s="668"/>
      <c r="J6716" s="668"/>
      <c r="K6716" s="674"/>
      <c r="L6716" s="668"/>
      <c r="M6716" s="668"/>
    </row>
    <row r="6717" spans="5:13">
      <c r="E6717" s="668"/>
      <c r="F6717" s="668"/>
      <c r="G6717" s="668"/>
      <c r="H6717" s="668"/>
      <c r="I6717" s="668"/>
      <c r="J6717" s="668"/>
      <c r="K6717" s="674"/>
      <c r="L6717" s="668"/>
      <c r="M6717" s="668"/>
    </row>
    <row r="6718" spans="5:13">
      <c r="E6718" s="668"/>
      <c r="F6718" s="668"/>
      <c r="G6718" s="668"/>
      <c r="H6718" s="668"/>
      <c r="I6718" s="668"/>
      <c r="J6718" s="668"/>
      <c r="K6718" s="674"/>
      <c r="L6718" s="668"/>
      <c r="M6718" s="668"/>
    </row>
    <row r="6719" spans="5:13">
      <c r="E6719" s="668"/>
      <c r="F6719" s="668"/>
      <c r="G6719" s="668"/>
      <c r="H6719" s="668"/>
      <c r="I6719" s="668"/>
      <c r="J6719" s="668"/>
      <c r="K6719" s="674"/>
      <c r="L6719" s="668"/>
      <c r="M6719" s="668"/>
    </row>
    <row r="6720" spans="5:13">
      <c r="E6720" s="668"/>
      <c r="F6720" s="668"/>
      <c r="G6720" s="668"/>
      <c r="H6720" s="668"/>
      <c r="I6720" s="668"/>
      <c r="J6720" s="668"/>
      <c r="K6720" s="674"/>
      <c r="L6720" s="668"/>
      <c r="M6720" s="668"/>
    </row>
    <row r="6721" spans="5:13">
      <c r="E6721" s="668"/>
      <c r="F6721" s="668"/>
      <c r="G6721" s="668"/>
      <c r="H6721" s="668"/>
      <c r="I6721" s="668"/>
      <c r="J6721" s="668"/>
      <c r="K6721" s="674"/>
      <c r="L6721" s="668"/>
      <c r="M6721" s="668"/>
    </row>
    <row r="6722" spans="5:13">
      <c r="E6722" s="668"/>
      <c r="F6722" s="668"/>
      <c r="G6722" s="668"/>
      <c r="H6722" s="668"/>
      <c r="I6722" s="668"/>
      <c r="J6722" s="668"/>
      <c r="K6722" s="674"/>
      <c r="L6722" s="668"/>
      <c r="M6722" s="668"/>
    </row>
    <row r="6723" spans="5:13">
      <c r="E6723" s="668"/>
      <c r="F6723" s="668"/>
      <c r="G6723" s="668"/>
      <c r="H6723" s="668"/>
      <c r="I6723" s="668"/>
      <c r="J6723" s="668"/>
      <c r="K6723" s="674"/>
      <c r="L6723" s="668"/>
      <c r="M6723" s="668"/>
    </row>
    <row r="6724" spans="5:13">
      <c r="E6724" s="668"/>
      <c r="F6724" s="668"/>
      <c r="G6724" s="668"/>
      <c r="H6724" s="668"/>
      <c r="I6724" s="668"/>
      <c r="J6724" s="668"/>
      <c r="K6724" s="674"/>
      <c r="L6724" s="668"/>
      <c r="M6724" s="668"/>
    </row>
    <row r="6725" spans="5:13">
      <c r="E6725" s="668"/>
      <c r="F6725" s="668"/>
      <c r="G6725" s="668"/>
      <c r="H6725" s="668"/>
      <c r="I6725" s="668"/>
      <c r="J6725" s="668"/>
      <c r="K6725" s="674"/>
      <c r="L6725" s="668"/>
      <c r="M6725" s="668"/>
    </row>
    <row r="6726" spans="5:13">
      <c r="E6726" s="668"/>
      <c r="F6726" s="668"/>
      <c r="G6726" s="668"/>
      <c r="H6726" s="668"/>
      <c r="I6726" s="668"/>
      <c r="J6726" s="668"/>
      <c r="K6726" s="674"/>
      <c r="L6726" s="668"/>
      <c r="M6726" s="668"/>
    </row>
    <row r="6727" spans="5:13">
      <c r="E6727" s="668"/>
      <c r="F6727" s="668"/>
      <c r="G6727" s="668"/>
      <c r="H6727" s="668"/>
      <c r="I6727" s="668"/>
      <c r="J6727" s="668"/>
      <c r="K6727" s="674"/>
      <c r="L6727" s="668"/>
      <c r="M6727" s="668"/>
    </row>
    <row r="6728" spans="5:13">
      <c r="E6728" s="668"/>
      <c r="F6728" s="668"/>
      <c r="G6728" s="668"/>
      <c r="H6728" s="668"/>
      <c r="I6728" s="668"/>
      <c r="J6728" s="668"/>
      <c r="K6728" s="674"/>
      <c r="L6728" s="668"/>
      <c r="M6728" s="668"/>
    </row>
    <row r="6729" spans="5:13">
      <c r="E6729" s="668"/>
      <c r="F6729" s="668"/>
      <c r="G6729" s="668"/>
      <c r="H6729" s="668"/>
      <c r="I6729" s="668"/>
      <c r="J6729" s="668"/>
      <c r="K6729" s="674"/>
      <c r="L6729" s="668"/>
      <c r="M6729" s="668"/>
    </row>
    <row r="6730" spans="5:13">
      <c r="E6730" s="668"/>
      <c r="F6730" s="668"/>
      <c r="G6730" s="668"/>
      <c r="H6730" s="668"/>
      <c r="I6730" s="668"/>
      <c r="J6730" s="668"/>
      <c r="K6730" s="674"/>
      <c r="L6730" s="668"/>
      <c r="M6730" s="668"/>
    </row>
    <row r="6731" spans="5:13">
      <c r="E6731" s="668"/>
      <c r="F6731" s="668"/>
      <c r="G6731" s="668"/>
      <c r="H6731" s="668"/>
      <c r="I6731" s="668"/>
      <c r="J6731" s="668"/>
      <c r="K6731" s="674"/>
      <c r="L6731" s="668"/>
      <c r="M6731" s="668"/>
    </row>
    <row r="6732" spans="5:13">
      <c r="E6732" s="668"/>
      <c r="F6732" s="668"/>
      <c r="G6732" s="668"/>
      <c r="H6732" s="668"/>
      <c r="I6732" s="668"/>
      <c r="J6732" s="668"/>
      <c r="K6732" s="674"/>
      <c r="L6732" s="668"/>
      <c r="M6732" s="668"/>
    </row>
    <row r="6733" spans="5:13">
      <c r="E6733" s="668"/>
      <c r="F6733" s="668"/>
      <c r="G6733" s="668"/>
      <c r="H6733" s="668"/>
      <c r="I6733" s="668"/>
      <c r="J6733" s="668"/>
      <c r="K6733" s="674"/>
      <c r="L6733" s="668"/>
      <c r="M6733" s="668"/>
    </row>
    <row r="6734" spans="5:13">
      <c r="E6734" s="668"/>
      <c r="F6734" s="668"/>
      <c r="G6734" s="668"/>
      <c r="H6734" s="668"/>
      <c r="I6734" s="668"/>
      <c r="J6734" s="668"/>
      <c r="K6734" s="674"/>
      <c r="L6734" s="668"/>
      <c r="M6734" s="668"/>
    </row>
    <row r="6735" spans="5:13">
      <c r="E6735" s="668"/>
      <c r="F6735" s="668"/>
      <c r="G6735" s="668"/>
      <c r="H6735" s="668"/>
      <c r="I6735" s="668"/>
      <c r="J6735" s="668"/>
      <c r="K6735" s="674"/>
      <c r="L6735" s="668"/>
      <c r="M6735" s="668"/>
    </row>
    <row r="6736" spans="5:13">
      <c r="E6736" s="668"/>
      <c r="F6736" s="668"/>
      <c r="G6736" s="668"/>
      <c r="H6736" s="668"/>
      <c r="I6736" s="668"/>
      <c r="J6736" s="668"/>
      <c r="K6736" s="674"/>
      <c r="L6736" s="668"/>
      <c r="M6736" s="668"/>
    </row>
    <row r="6737" spans="5:13">
      <c r="E6737" s="668"/>
      <c r="F6737" s="668"/>
      <c r="G6737" s="668"/>
      <c r="H6737" s="668"/>
      <c r="I6737" s="668"/>
      <c r="J6737" s="668"/>
      <c r="K6737" s="674"/>
      <c r="L6737" s="668"/>
      <c r="M6737" s="668"/>
    </row>
    <row r="6738" spans="5:13">
      <c r="E6738" s="668"/>
      <c r="F6738" s="668"/>
      <c r="G6738" s="668"/>
      <c r="H6738" s="668"/>
      <c r="I6738" s="668"/>
      <c r="J6738" s="668"/>
      <c r="K6738" s="674"/>
      <c r="L6738" s="668"/>
      <c r="M6738" s="668"/>
    </row>
    <row r="6739" spans="5:13">
      <c r="E6739" s="668"/>
      <c r="F6739" s="668"/>
      <c r="G6739" s="668"/>
      <c r="H6739" s="668"/>
      <c r="I6739" s="668"/>
      <c r="J6739" s="668"/>
      <c r="K6739" s="674"/>
      <c r="L6739" s="668"/>
      <c r="M6739" s="668"/>
    </row>
    <row r="6740" spans="5:13">
      <c r="E6740" s="668"/>
      <c r="F6740" s="668"/>
      <c r="G6740" s="668"/>
      <c r="H6740" s="668"/>
      <c r="I6740" s="668"/>
      <c r="J6740" s="668"/>
      <c r="K6740" s="674"/>
      <c r="L6740" s="668"/>
      <c r="M6740" s="668"/>
    </row>
    <row r="6741" spans="5:13">
      <c r="E6741" s="668"/>
      <c r="F6741" s="668"/>
      <c r="G6741" s="668"/>
      <c r="H6741" s="668"/>
      <c r="I6741" s="668"/>
      <c r="J6741" s="668"/>
      <c r="K6741" s="674"/>
      <c r="L6741" s="668"/>
      <c r="M6741" s="668"/>
    </row>
    <row r="6742" spans="5:13">
      <c r="E6742" s="668"/>
      <c r="F6742" s="668"/>
      <c r="G6742" s="668"/>
      <c r="H6742" s="668"/>
      <c r="I6742" s="668"/>
      <c r="J6742" s="668"/>
      <c r="K6742" s="674"/>
      <c r="L6742" s="668"/>
      <c r="M6742" s="668"/>
    </row>
    <row r="6743" spans="5:13">
      <c r="E6743" s="668"/>
      <c r="F6743" s="668"/>
      <c r="G6743" s="668"/>
      <c r="H6743" s="668"/>
      <c r="I6743" s="668"/>
      <c r="J6743" s="668"/>
      <c r="K6743" s="674"/>
      <c r="L6743" s="668"/>
      <c r="M6743" s="668"/>
    </row>
    <row r="6744" spans="5:13">
      <c r="E6744" s="668"/>
      <c r="F6744" s="668"/>
      <c r="G6744" s="668"/>
      <c r="H6744" s="668"/>
      <c r="I6744" s="668"/>
      <c r="J6744" s="668"/>
      <c r="K6744" s="674"/>
      <c r="L6744" s="668"/>
      <c r="M6744" s="668"/>
    </row>
    <row r="6745" spans="5:13">
      <c r="E6745" s="668"/>
      <c r="F6745" s="668"/>
      <c r="G6745" s="668"/>
      <c r="H6745" s="668"/>
      <c r="I6745" s="668"/>
      <c r="J6745" s="668"/>
      <c r="K6745" s="674"/>
      <c r="L6745" s="668"/>
      <c r="M6745" s="668"/>
    </row>
    <row r="6746" spans="5:13">
      <c r="E6746" s="668"/>
      <c r="F6746" s="668"/>
      <c r="G6746" s="668"/>
      <c r="H6746" s="668"/>
      <c r="I6746" s="668"/>
      <c r="J6746" s="668"/>
      <c r="K6746" s="674"/>
      <c r="L6746" s="668"/>
      <c r="M6746" s="668"/>
    </row>
    <row r="6747" spans="5:13">
      <c r="E6747" s="668"/>
      <c r="F6747" s="668"/>
      <c r="G6747" s="668"/>
      <c r="H6747" s="668"/>
      <c r="I6747" s="668"/>
      <c r="J6747" s="668"/>
      <c r="K6747" s="674"/>
      <c r="L6747" s="668"/>
      <c r="M6747" s="668"/>
    </row>
    <row r="6748" spans="5:13">
      <c r="E6748" s="668"/>
      <c r="F6748" s="668"/>
      <c r="G6748" s="668"/>
      <c r="H6748" s="668"/>
      <c r="I6748" s="668"/>
      <c r="J6748" s="668"/>
      <c r="K6748" s="674"/>
      <c r="L6748" s="668"/>
      <c r="M6748" s="668"/>
    </row>
    <row r="6749" spans="5:13">
      <c r="E6749" s="668"/>
      <c r="F6749" s="668"/>
      <c r="G6749" s="668"/>
      <c r="H6749" s="668"/>
      <c r="I6749" s="668"/>
      <c r="J6749" s="668"/>
      <c r="K6749" s="674"/>
      <c r="L6749" s="668"/>
      <c r="M6749" s="668"/>
    </row>
    <row r="6750" spans="5:13">
      <c r="E6750" s="668"/>
      <c r="F6750" s="668"/>
      <c r="G6750" s="668"/>
      <c r="H6750" s="668"/>
      <c r="I6750" s="668"/>
      <c r="J6750" s="668"/>
      <c r="K6750" s="674"/>
      <c r="L6750" s="668"/>
      <c r="M6750" s="668"/>
    </row>
    <row r="6751" spans="5:13">
      <c r="E6751" s="668"/>
      <c r="F6751" s="668"/>
      <c r="G6751" s="668"/>
      <c r="H6751" s="668"/>
      <c r="I6751" s="668"/>
      <c r="J6751" s="668"/>
      <c r="K6751" s="674"/>
      <c r="L6751" s="668"/>
      <c r="M6751" s="668"/>
    </row>
    <row r="6752" spans="5:13">
      <c r="E6752" s="668"/>
      <c r="F6752" s="668"/>
      <c r="G6752" s="668"/>
      <c r="H6752" s="668"/>
      <c r="I6752" s="668"/>
      <c r="J6752" s="668"/>
      <c r="K6752" s="674"/>
      <c r="L6752" s="668"/>
      <c r="M6752" s="668"/>
    </row>
    <row r="6753" spans="5:13">
      <c r="E6753" s="668"/>
      <c r="F6753" s="668"/>
      <c r="G6753" s="668"/>
      <c r="H6753" s="668"/>
      <c r="I6753" s="668"/>
      <c r="J6753" s="668"/>
      <c r="K6753" s="674"/>
      <c r="L6753" s="668"/>
      <c r="M6753" s="668"/>
    </row>
    <row r="6754" spans="5:13">
      <c r="E6754" s="668"/>
      <c r="F6754" s="668"/>
      <c r="G6754" s="668"/>
      <c r="H6754" s="668"/>
      <c r="I6754" s="668"/>
      <c r="J6754" s="668"/>
      <c r="K6754" s="674"/>
      <c r="L6754" s="668"/>
      <c r="M6754" s="668"/>
    </row>
    <row r="6755" spans="5:13">
      <c r="E6755" s="668"/>
      <c r="F6755" s="668"/>
      <c r="G6755" s="668"/>
      <c r="H6755" s="668"/>
      <c r="I6755" s="668"/>
      <c r="J6755" s="668"/>
      <c r="K6755" s="674"/>
      <c r="L6755" s="668"/>
      <c r="M6755" s="668"/>
    </row>
    <row r="6756" spans="5:13">
      <c r="E6756" s="668"/>
      <c r="F6756" s="668"/>
      <c r="G6756" s="668"/>
      <c r="H6756" s="668"/>
      <c r="I6756" s="668"/>
      <c r="J6756" s="668"/>
      <c r="K6756" s="674"/>
      <c r="L6756" s="668"/>
      <c r="M6756" s="668"/>
    </row>
    <row r="6757" spans="5:13">
      <c r="E6757" s="668"/>
      <c r="F6757" s="668"/>
      <c r="G6757" s="668"/>
      <c r="H6757" s="668"/>
      <c r="I6757" s="668"/>
      <c r="J6757" s="668"/>
      <c r="K6757" s="674"/>
      <c r="L6757" s="668"/>
      <c r="M6757" s="668"/>
    </row>
    <row r="6758" spans="5:13">
      <c r="E6758" s="668"/>
      <c r="F6758" s="668"/>
      <c r="G6758" s="668"/>
      <c r="H6758" s="668"/>
      <c r="I6758" s="668"/>
      <c r="J6758" s="668"/>
      <c r="K6758" s="674"/>
      <c r="L6758" s="668"/>
      <c r="M6758" s="668"/>
    </row>
    <row r="6759" spans="5:13">
      <c r="E6759" s="668"/>
      <c r="F6759" s="668"/>
      <c r="G6759" s="668"/>
      <c r="H6759" s="668"/>
      <c r="I6759" s="668"/>
      <c r="J6759" s="668"/>
      <c r="K6759" s="674"/>
      <c r="L6759" s="668"/>
      <c r="M6759" s="668"/>
    </row>
    <row r="6760" spans="5:13">
      <c r="E6760" s="668"/>
      <c r="F6760" s="668"/>
      <c r="G6760" s="668"/>
      <c r="H6760" s="668"/>
      <c r="I6760" s="668"/>
      <c r="J6760" s="668"/>
      <c r="K6760" s="674"/>
      <c r="L6760" s="668"/>
      <c r="M6760" s="668"/>
    </row>
    <row r="6761" spans="5:13">
      <c r="E6761" s="668"/>
      <c r="F6761" s="668"/>
      <c r="G6761" s="668"/>
      <c r="H6761" s="668"/>
      <c r="I6761" s="668"/>
      <c r="J6761" s="668"/>
      <c r="K6761" s="674"/>
      <c r="L6761" s="668"/>
      <c r="M6761" s="668"/>
    </row>
    <row r="6762" spans="5:13">
      <c r="E6762" s="668"/>
      <c r="F6762" s="668"/>
      <c r="G6762" s="668"/>
      <c r="H6762" s="668"/>
      <c r="I6762" s="668"/>
      <c r="J6762" s="668"/>
      <c r="K6762" s="674"/>
      <c r="L6762" s="668"/>
      <c r="M6762" s="668"/>
    </row>
    <row r="6763" spans="5:13">
      <c r="E6763" s="668"/>
      <c r="F6763" s="668"/>
      <c r="G6763" s="668"/>
      <c r="H6763" s="668"/>
      <c r="I6763" s="668"/>
      <c r="J6763" s="668"/>
      <c r="K6763" s="674"/>
      <c r="L6763" s="668"/>
      <c r="M6763" s="668"/>
    </row>
    <row r="6764" spans="5:13">
      <c r="E6764" s="668"/>
      <c r="F6764" s="668"/>
      <c r="G6764" s="668"/>
      <c r="H6764" s="668"/>
      <c r="I6764" s="668"/>
      <c r="J6764" s="668"/>
      <c r="K6764" s="674"/>
      <c r="L6764" s="668"/>
      <c r="M6764" s="668"/>
    </row>
    <row r="6765" spans="5:13">
      <c r="E6765" s="668"/>
      <c r="F6765" s="668"/>
      <c r="G6765" s="668"/>
      <c r="H6765" s="668"/>
      <c r="I6765" s="668"/>
      <c r="J6765" s="668"/>
      <c r="K6765" s="674"/>
      <c r="L6765" s="668"/>
      <c r="M6765" s="668"/>
    </row>
    <row r="6766" spans="5:13">
      <c r="E6766" s="668"/>
      <c r="F6766" s="668"/>
      <c r="G6766" s="668"/>
      <c r="H6766" s="668"/>
      <c r="I6766" s="668"/>
      <c r="J6766" s="668"/>
      <c r="K6766" s="674"/>
      <c r="L6766" s="668"/>
      <c r="M6766" s="668"/>
    </row>
    <row r="6767" spans="5:13">
      <c r="E6767" s="668"/>
      <c r="F6767" s="668"/>
      <c r="G6767" s="668"/>
      <c r="H6767" s="668"/>
      <c r="I6767" s="668"/>
      <c r="J6767" s="668"/>
      <c r="K6767" s="674"/>
      <c r="L6767" s="668"/>
      <c r="M6767" s="668"/>
    </row>
    <row r="6768" spans="5:13">
      <c r="E6768" s="668"/>
      <c r="F6768" s="668"/>
      <c r="G6768" s="668"/>
      <c r="H6768" s="668"/>
      <c r="I6768" s="668"/>
      <c r="J6768" s="668"/>
      <c r="K6768" s="674"/>
      <c r="L6768" s="668"/>
      <c r="M6768" s="668"/>
    </row>
    <row r="6769" spans="5:13">
      <c r="E6769" s="668"/>
      <c r="F6769" s="668"/>
      <c r="G6769" s="668"/>
      <c r="H6769" s="668"/>
      <c r="I6769" s="668"/>
      <c r="J6769" s="668"/>
      <c r="K6769" s="674"/>
      <c r="L6769" s="668"/>
      <c r="M6769" s="668"/>
    </row>
    <row r="6770" spans="5:13">
      <c r="E6770" s="668"/>
      <c r="F6770" s="668"/>
      <c r="G6770" s="668"/>
      <c r="H6770" s="668"/>
      <c r="I6770" s="668"/>
      <c r="J6770" s="668"/>
      <c r="K6770" s="674"/>
      <c r="L6770" s="668"/>
      <c r="M6770" s="668"/>
    </row>
    <row r="6771" spans="5:13">
      <c r="E6771" s="668"/>
      <c r="F6771" s="668"/>
      <c r="G6771" s="668"/>
      <c r="H6771" s="668"/>
      <c r="I6771" s="668"/>
      <c r="J6771" s="668"/>
      <c r="K6771" s="674"/>
      <c r="L6771" s="668"/>
      <c r="M6771" s="668"/>
    </row>
    <row r="6772" spans="5:13">
      <c r="E6772" s="668"/>
      <c r="F6772" s="668"/>
      <c r="G6772" s="668"/>
      <c r="H6772" s="668"/>
      <c r="I6772" s="668"/>
      <c r="J6772" s="668"/>
      <c r="K6772" s="674"/>
      <c r="L6772" s="668"/>
      <c r="M6772" s="668"/>
    </row>
    <row r="6773" spans="5:13">
      <c r="E6773" s="668"/>
      <c r="F6773" s="668"/>
      <c r="G6773" s="668"/>
      <c r="H6773" s="668"/>
      <c r="I6773" s="668"/>
      <c r="J6773" s="668"/>
      <c r="K6773" s="674"/>
      <c r="L6773" s="668"/>
      <c r="M6773" s="668"/>
    </row>
    <row r="6774" spans="5:13">
      <c r="E6774" s="668"/>
      <c r="F6774" s="668"/>
      <c r="G6774" s="668"/>
      <c r="H6774" s="668"/>
      <c r="I6774" s="668"/>
      <c r="J6774" s="668"/>
      <c r="K6774" s="674"/>
      <c r="L6774" s="668"/>
      <c r="M6774" s="668"/>
    </row>
    <row r="6775" spans="5:13">
      <c r="E6775" s="668"/>
      <c r="F6775" s="668"/>
      <c r="G6775" s="668"/>
      <c r="H6775" s="668"/>
      <c r="I6775" s="668"/>
      <c r="J6775" s="668"/>
      <c r="K6775" s="674"/>
      <c r="L6775" s="668"/>
      <c r="M6775" s="668"/>
    </row>
    <row r="6776" spans="5:13">
      <c r="E6776" s="668"/>
      <c r="F6776" s="668"/>
      <c r="G6776" s="668"/>
      <c r="H6776" s="668"/>
      <c r="I6776" s="668"/>
      <c r="J6776" s="668"/>
      <c r="K6776" s="674"/>
      <c r="L6776" s="668"/>
      <c r="M6776" s="668"/>
    </row>
    <row r="6777" spans="5:13">
      <c r="E6777" s="668"/>
      <c r="F6777" s="668"/>
      <c r="G6777" s="668"/>
      <c r="H6777" s="668"/>
      <c r="I6777" s="668"/>
      <c r="J6777" s="668"/>
      <c r="K6777" s="674"/>
      <c r="L6777" s="668"/>
      <c r="M6777" s="668"/>
    </row>
    <row r="6778" spans="5:13">
      <c r="E6778" s="668"/>
      <c r="F6778" s="668"/>
      <c r="G6778" s="668"/>
      <c r="H6778" s="668"/>
      <c r="I6778" s="668"/>
      <c r="J6778" s="668"/>
      <c r="K6778" s="674"/>
      <c r="L6778" s="668"/>
      <c r="M6778" s="668"/>
    </row>
    <row r="6779" spans="5:13">
      <c r="E6779" s="668"/>
      <c r="F6779" s="668"/>
      <c r="G6779" s="668"/>
      <c r="H6779" s="668"/>
      <c r="I6779" s="668"/>
      <c r="J6779" s="668"/>
      <c r="K6779" s="674"/>
      <c r="L6779" s="668"/>
      <c r="M6779" s="668"/>
    </row>
    <row r="6780" spans="5:13">
      <c r="E6780" s="668"/>
      <c r="F6780" s="668"/>
      <c r="G6780" s="668"/>
      <c r="H6780" s="668"/>
      <c r="I6780" s="668"/>
      <c r="J6780" s="668"/>
      <c r="K6780" s="674"/>
      <c r="L6780" s="668"/>
      <c r="M6780" s="668"/>
    </row>
    <row r="6781" spans="5:13">
      <c r="E6781" s="668"/>
      <c r="F6781" s="668"/>
      <c r="G6781" s="668"/>
      <c r="H6781" s="668"/>
      <c r="I6781" s="668"/>
      <c r="J6781" s="668"/>
      <c r="K6781" s="674"/>
      <c r="L6781" s="668"/>
      <c r="M6781" s="668"/>
    </row>
    <row r="6782" spans="5:13">
      <c r="E6782" s="668"/>
      <c r="F6782" s="668"/>
      <c r="G6782" s="668"/>
      <c r="H6782" s="668"/>
      <c r="I6782" s="668"/>
      <c r="J6782" s="668"/>
      <c r="K6782" s="674"/>
      <c r="L6782" s="668"/>
      <c r="M6782" s="668"/>
    </row>
    <row r="6783" spans="5:13">
      <c r="E6783" s="668"/>
      <c r="F6783" s="668"/>
      <c r="G6783" s="668"/>
      <c r="H6783" s="668"/>
      <c r="I6783" s="668"/>
      <c r="J6783" s="668"/>
      <c r="K6783" s="674"/>
      <c r="L6783" s="668"/>
      <c r="M6783" s="668"/>
    </row>
    <row r="6784" spans="5:13">
      <c r="E6784" s="668"/>
      <c r="F6784" s="668"/>
      <c r="G6784" s="668"/>
      <c r="H6784" s="668"/>
      <c r="I6784" s="668"/>
      <c r="J6784" s="668"/>
      <c r="K6784" s="674"/>
      <c r="L6784" s="668"/>
      <c r="M6784" s="668"/>
    </row>
    <row r="6785" spans="5:13">
      <c r="E6785" s="668"/>
      <c r="F6785" s="668"/>
      <c r="G6785" s="668"/>
      <c r="H6785" s="668"/>
      <c r="I6785" s="668"/>
      <c r="J6785" s="668"/>
      <c r="K6785" s="674"/>
      <c r="L6785" s="668"/>
      <c r="M6785" s="668"/>
    </row>
    <row r="6786" spans="5:13">
      <c r="E6786" s="668"/>
      <c r="F6786" s="668"/>
      <c r="G6786" s="668"/>
      <c r="H6786" s="668"/>
      <c r="I6786" s="668"/>
      <c r="J6786" s="668"/>
      <c r="K6786" s="674"/>
      <c r="L6786" s="668"/>
      <c r="M6786" s="668"/>
    </row>
    <row r="6787" spans="5:13">
      <c r="E6787" s="668"/>
      <c r="F6787" s="668"/>
      <c r="G6787" s="668"/>
      <c r="H6787" s="668"/>
      <c r="I6787" s="668"/>
      <c r="J6787" s="668"/>
      <c r="K6787" s="674"/>
      <c r="L6787" s="668"/>
      <c r="M6787" s="668"/>
    </row>
    <row r="6788" spans="5:13">
      <c r="E6788" s="668"/>
      <c r="F6788" s="668"/>
      <c r="G6788" s="668"/>
      <c r="H6788" s="668"/>
      <c r="I6788" s="668"/>
      <c r="J6788" s="668"/>
      <c r="K6788" s="674"/>
      <c r="L6788" s="668"/>
      <c r="M6788" s="668"/>
    </row>
    <row r="6789" spans="5:13">
      <c r="E6789" s="668"/>
      <c r="F6789" s="668"/>
      <c r="G6789" s="668"/>
      <c r="H6789" s="668"/>
      <c r="I6789" s="668"/>
      <c r="J6789" s="668"/>
      <c r="K6789" s="674"/>
      <c r="L6789" s="668"/>
      <c r="M6789" s="668"/>
    </row>
    <row r="6790" spans="5:13">
      <c r="E6790" s="668"/>
      <c r="F6790" s="668"/>
      <c r="G6790" s="668"/>
      <c r="H6790" s="668"/>
      <c r="I6790" s="668"/>
      <c r="J6790" s="668"/>
      <c r="K6790" s="674"/>
      <c r="L6790" s="668"/>
      <c r="M6790" s="668"/>
    </row>
    <row r="6791" spans="5:13">
      <c r="E6791" s="668"/>
      <c r="F6791" s="668"/>
      <c r="G6791" s="668"/>
      <c r="H6791" s="668"/>
      <c r="I6791" s="668"/>
      <c r="J6791" s="668"/>
      <c r="K6791" s="674"/>
      <c r="L6791" s="668"/>
      <c r="M6791" s="668"/>
    </row>
    <row r="6792" spans="5:13">
      <c r="E6792" s="668"/>
      <c r="F6792" s="668"/>
      <c r="G6792" s="668"/>
      <c r="H6792" s="668"/>
      <c r="I6792" s="668"/>
      <c r="J6792" s="668"/>
      <c r="K6792" s="674"/>
      <c r="L6792" s="668"/>
      <c r="M6792" s="668"/>
    </row>
    <row r="6793" spans="5:13">
      <c r="E6793" s="668"/>
      <c r="F6793" s="668"/>
      <c r="G6793" s="668"/>
      <c r="H6793" s="668"/>
      <c r="I6793" s="668"/>
      <c r="J6793" s="668"/>
      <c r="K6793" s="674"/>
      <c r="L6793" s="668"/>
      <c r="M6793" s="668"/>
    </row>
    <row r="6794" spans="5:13">
      <c r="E6794" s="668"/>
      <c r="F6794" s="668"/>
      <c r="G6794" s="668"/>
      <c r="H6794" s="668"/>
      <c r="I6794" s="668"/>
      <c r="J6794" s="668"/>
      <c r="K6794" s="674"/>
      <c r="L6794" s="668"/>
      <c r="M6794" s="668"/>
    </row>
    <row r="6795" spans="5:13">
      <c r="E6795" s="668"/>
      <c r="F6795" s="668"/>
      <c r="G6795" s="668"/>
      <c r="H6795" s="668"/>
      <c r="I6795" s="668"/>
      <c r="J6795" s="668"/>
      <c r="K6795" s="674"/>
      <c r="L6795" s="668"/>
      <c r="M6795" s="668"/>
    </row>
    <row r="6796" spans="5:13">
      <c r="E6796" s="668"/>
      <c r="F6796" s="668"/>
      <c r="G6796" s="668"/>
      <c r="H6796" s="668"/>
      <c r="I6796" s="668"/>
      <c r="J6796" s="668"/>
      <c r="K6796" s="674"/>
      <c r="L6796" s="668"/>
      <c r="M6796" s="668"/>
    </row>
    <row r="6797" spans="5:13">
      <c r="E6797" s="668"/>
      <c r="F6797" s="668"/>
      <c r="G6797" s="668"/>
      <c r="H6797" s="668"/>
      <c r="I6797" s="668"/>
      <c r="J6797" s="668"/>
      <c r="K6797" s="674"/>
      <c r="L6797" s="668"/>
      <c r="M6797" s="668"/>
    </row>
    <row r="6798" spans="5:13">
      <c r="E6798" s="668"/>
      <c r="F6798" s="668"/>
      <c r="G6798" s="668"/>
      <c r="H6798" s="668"/>
      <c r="I6798" s="668"/>
      <c r="J6798" s="668"/>
      <c r="K6798" s="674"/>
      <c r="L6798" s="668"/>
      <c r="M6798" s="668"/>
    </row>
    <row r="6799" spans="5:13">
      <c r="E6799" s="668"/>
      <c r="F6799" s="668"/>
      <c r="G6799" s="668"/>
      <c r="H6799" s="668"/>
      <c r="I6799" s="668"/>
      <c r="J6799" s="668"/>
      <c r="K6799" s="674"/>
      <c r="L6799" s="668"/>
      <c r="M6799" s="668"/>
    </row>
    <row r="6800" spans="5:13">
      <c r="E6800" s="668"/>
      <c r="F6800" s="668"/>
      <c r="G6800" s="668"/>
      <c r="H6800" s="668"/>
      <c r="I6800" s="668"/>
      <c r="J6800" s="668"/>
      <c r="K6800" s="674"/>
      <c r="L6800" s="668"/>
      <c r="M6800" s="668"/>
    </row>
    <row r="6801" spans="5:13">
      <c r="E6801" s="668"/>
      <c r="F6801" s="668"/>
      <c r="G6801" s="668"/>
      <c r="H6801" s="668"/>
      <c r="I6801" s="668"/>
      <c r="J6801" s="668"/>
      <c r="K6801" s="674"/>
      <c r="L6801" s="668"/>
      <c r="M6801" s="668"/>
    </row>
    <row r="6802" spans="5:13">
      <c r="E6802" s="668"/>
      <c r="F6802" s="668"/>
      <c r="G6802" s="668"/>
      <c r="H6802" s="668"/>
      <c r="I6802" s="668"/>
      <c r="J6802" s="668"/>
      <c r="K6802" s="674"/>
      <c r="L6802" s="668"/>
      <c r="M6802" s="668"/>
    </row>
    <row r="6803" spans="5:13">
      <c r="E6803" s="668"/>
      <c r="F6803" s="668"/>
      <c r="G6803" s="668"/>
      <c r="H6803" s="668"/>
      <c r="I6803" s="668"/>
      <c r="J6803" s="668"/>
      <c r="K6803" s="674"/>
      <c r="L6803" s="668"/>
      <c r="M6803" s="668"/>
    </row>
    <row r="6804" spans="5:13">
      <c r="E6804" s="668"/>
      <c r="F6804" s="668"/>
      <c r="G6804" s="668"/>
      <c r="H6804" s="668"/>
      <c r="I6804" s="668"/>
      <c r="J6804" s="668"/>
      <c r="K6804" s="674"/>
      <c r="L6804" s="668"/>
      <c r="M6804" s="668"/>
    </row>
    <row r="6805" spans="5:13">
      <c r="E6805" s="668"/>
      <c r="F6805" s="668"/>
      <c r="G6805" s="668"/>
      <c r="H6805" s="668"/>
      <c r="I6805" s="668"/>
      <c r="J6805" s="668"/>
      <c r="K6805" s="674"/>
      <c r="L6805" s="668"/>
      <c r="M6805" s="668"/>
    </row>
    <row r="6806" spans="5:13">
      <c r="E6806" s="668"/>
      <c r="F6806" s="668"/>
      <c r="G6806" s="668"/>
      <c r="H6806" s="668"/>
      <c r="I6806" s="668"/>
      <c r="J6806" s="668"/>
      <c r="K6806" s="674"/>
      <c r="L6806" s="668"/>
      <c r="M6806" s="668"/>
    </row>
    <row r="6807" spans="5:13">
      <c r="E6807" s="668"/>
      <c r="F6807" s="668"/>
      <c r="G6807" s="668"/>
      <c r="H6807" s="668"/>
      <c r="I6807" s="668"/>
      <c r="J6807" s="668"/>
      <c r="K6807" s="674"/>
      <c r="L6807" s="668"/>
      <c r="M6807" s="668"/>
    </row>
    <row r="6808" spans="5:13">
      <c r="E6808" s="668"/>
      <c r="F6808" s="668"/>
      <c r="G6808" s="668"/>
      <c r="H6808" s="668"/>
      <c r="I6808" s="668"/>
      <c r="J6808" s="668"/>
      <c r="K6808" s="674"/>
      <c r="L6808" s="668"/>
      <c r="M6808" s="668"/>
    </row>
    <row r="6809" spans="5:13">
      <c r="E6809" s="668"/>
      <c r="F6809" s="668"/>
      <c r="G6809" s="668"/>
      <c r="H6809" s="668"/>
      <c r="I6809" s="668"/>
      <c r="J6809" s="668"/>
      <c r="K6809" s="674"/>
      <c r="L6809" s="668"/>
      <c r="M6809" s="668"/>
    </row>
    <row r="6810" spans="5:13">
      <c r="E6810" s="668"/>
      <c r="F6810" s="668"/>
      <c r="G6810" s="668"/>
      <c r="H6810" s="668"/>
      <c r="I6810" s="668"/>
      <c r="J6810" s="668"/>
      <c r="K6810" s="674"/>
      <c r="L6810" s="668"/>
      <c r="M6810" s="668"/>
    </row>
    <row r="6811" spans="5:13">
      <c r="E6811" s="668"/>
      <c r="F6811" s="668"/>
      <c r="G6811" s="668"/>
      <c r="H6811" s="668"/>
      <c r="I6811" s="668"/>
      <c r="J6811" s="668"/>
      <c r="K6811" s="674"/>
      <c r="L6811" s="668"/>
      <c r="M6811" s="668"/>
    </row>
    <row r="6812" spans="5:13">
      <c r="E6812" s="668"/>
      <c r="F6812" s="668"/>
      <c r="G6812" s="668"/>
      <c r="H6812" s="668"/>
      <c r="I6812" s="668"/>
      <c r="J6812" s="668"/>
      <c r="K6812" s="674"/>
      <c r="L6812" s="668"/>
      <c r="M6812" s="668"/>
    </row>
    <row r="6813" spans="5:13">
      <c r="E6813" s="668"/>
      <c r="F6813" s="668"/>
      <c r="G6813" s="668"/>
      <c r="H6813" s="668"/>
      <c r="I6813" s="668"/>
      <c r="J6813" s="668"/>
      <c r="K6813" s="674"/>
      <c r="L6813" s="668"/>
      <c r="M6813" s="668"/>
    </row>
    <row r="6814" spans="5:13">
      <c r="E6814" s="668"/>
      <c r="F6814" s="668"/>
      <c r="G6814" s="668"/>
      <c r="H6814" s="668"/>
      <c r="I6814" s="668"/>
      <c r="J6814" s="668"/>
      <c r="K6814" s="674"/>
      <c r="L6814" s="668"/>
      <c r="M6814" s="668"/>
    </row>
    <row r="6815" spans="5:13">
      <c r="E6815" s="668"/>
      <c r="F6815" s="668"/>
      <c r="G6815" s="668"/>
      <c r="H6815" s="668"/>
      <c r="I6815" s="668"/>
      <c r="J6815" s="668"/>
      <c r="K6815" s="674"/>
      <c r="L6815" s="668"/>
      <c r="M6815" s="668"/>
    </row>
    <row r="6816" spans="5:13">
      <c r="E6816" s="668"/>
      <c r="F6816" s="668"/>
      <c r="G6816" s="668"/>
      <c r="H6816" s="668"/>
      <c r="I6816" s="668"/>
      <c r="J6816" s="668"/>
      <c r="K6816" s="674"/>
      <c r="L6816" s="668"/>
      <c r="M6816" s="668"/>
    </row>
    <row r="6817" spans="5:13">
      <c r="E6817" s="668"/>
      <c r="F6817" s="668"/>
      <c r="G6817" s="668"/>
      <c r="H6817" s="668"/>
      <c r="I6817" s="668"/>
      <c r="J6817" s="668"/>
      <c r="K6817" s="674"/>
      <c r="L6817" s="668"/>
      <c r="M6817" s="668"/>
    </row>
    <row r="6818" spans="5:13">
      <c r="E6818" s="668"/>
      <c r="F6818" s="668"/>
      <c r="G6818" s="668"/>
      <c r="H6818" s="668"/>
      <c r="I6818" s="668"/>
      <c r="J6818" s="668"/>
      <c r="K6818" s="674"/>
      <c r="L6818" s="668"/>
      <c r="M6818" s="668"/>
    </row>
    <row r="6819" spans="5:13">
      <c r="E6819" s="668"/>
      <c r="F6819" s="668"/>
      <c r="G6819" s="668"/>
      <c r="H6819" s="668"/>
      <c r="I6819" s="668"/>
      <c r="J6819" s="668"/>
      <c r="K6819" s="674"/>
      <c r="L6819" s="668"/>
      <c r="M6819" s="668"/>
    </row>
    <row r="6820" spans="5:13">
      <c r="E6820" s="668"/>
      <c r="F6820" s="668"/>
      <c r="G6820" s="668"/>
      <c r="H6820" s="668"/>
      <c r="I6820" s="668"/>
      <c r="J6820" s="668"/>
      <c r="K6820" s="674"/>
      <c r="L6820" s="668"/>
      <c r="M6820" s="668"/>
    </row>
    <row r="6821" spans="5:13">
      <c r="E6821" s="668"/>
      <c r="F6821" s="668"/>
      <c r="G6821" s="668"/>
      <c r="H6821" s="668"/>
      <c r="I6821" s="668"/>
      <c r="J6821" s="668"/>
      <c r="K6821" s="674"/>
      <c r="L6821" s="668"/>
      <c r="M6821" s="668"/>
    </row>
    <row r="6822" spans="5:13">
      <c r="E6822" s="668"/>
      <c r="F6822" s="668"/>
      <c r="G6822" s="668"/>
      <c r="H6822" s="668"/>
      <c r="I6822" s="668"/>
      <c r="J6822" s="668"/>
      <c r="K6822" s="674"/>
      <c r="L6822" s="668"/>
      <c r="M6822" s="668"/>
    </row>
    <row r="6823" spans="5:13">
      <c r="E6823" s="668"/>
      <c r="F6823" s="668"/>
      <c r="G6823" s="668"/>
      <c r="H6823" s="668"/>
      <c r="I6823" s="668"/>
      <c r="J6823" s="668"/>
      <c r="K6823" s="674"/>
      <c r="L6823" s="668"/>
      <c r="M6823" s="668"/>
    </row>
    <row r="6824" spans="5:13">
      <c r="E6824" s="668"/>
      <c r="F6824" s="668"/>
      <c r="G6824" s="668"/>
      <c r="H6824" s="668"/>
      <c r="I6824" s="668"/>
      <c r="J6824" s="668"/>
      <c r="K6824" s="674"/>
      <c r="L6824" s="668"/>
      <c r="M6824" s="668"/>
    </row>
    <row r="6825" spans="5:13">
      <c r="E6825" s="668"/>
      <c r="F6825" s="668"/>
      <c r="G6825" s="668"/>
      <c r="H6825" s="668"/>
      <c r="I6825" s="668"/>
      <c r="J6825" s="668"/>
      <c r="K6825" s="674"/>
      <c r="L6825" s="668"/>
      <c r="M6825" s="668"/>
    </row>
    <row r="6826" spans="5:13">
      <c r="E6826" s="668"/>
      <c r="F6826" s="668"/>
      <c r="G6826" s="668"/>
      <c r="H6826" s="668"/>
      <c r="I6826" s="668"/>
      <c r="J6826" s="668"/>
      <c r="K6826" s="674"/>
      <c r="L6826" s="668"/>
      <c r="M6826" s="668"/>
    </row>
    <row r="6827" spans="5:13">
      <c r="E6827" s="668"/>
      <c r="F6827" s="668"/>
      <c r="G6827" s="668"/>
      <c r="H6827" s="668"/>
      <c r="I6827" s="668"/>
      <c r="J6827" s="668"/>
      <c r="K6827" s="674"/>
      <c r="L6827" s="668"/>
      <c r="M6827" s="668"/>
    </row>
    <row r="6828" spans="5:13">
      <c r="E6828" s="668"/>
      <c r="F6828" s="668"/>
      <c r="G6828" s="668"/>
      <c r="H6828" s="668"/>
      <c r="I6828" s="668"/>
      <c r="J6828" s="668"/>
      <c r="K6828" s="674"/>
      <c r="L6828" s="668"/>
      <c r="M6828" s="668"/>
    </row>
    <row r="6829" spans="5:13">
      <c r="E6829" s="668"/>
      <c r="F6829" s="668"/>
      <c r="G6829" s="668"/>
      <c r="H6829" s="668"/>
      <c r="I6829" s="668"/>
      <c r="J6829" s="668"/>
      <c r="K6829" s="674"/>
      <c r="L6829" s="668"/>
      <c r="M6829" s="668"/>
    </row>
    <row r="6830" spans="5:13">
      <c r="E6830" s="668"/>
      <c r="F6830" s="668"/>
      <c r="G6830" s="668"/>
      <c r="H6830" s="668"/>
      <c r="I6830" s="668"/>
      <c r="J6830" s="668"/>
      <c r="K6830" s="674"/>
      <c r="L6830" s="668"/>
      <c r="M6830" s="668"/>
    </row>
    <row r="6831" spans="5:13">
      <c r="E6831" s="668"/>
      <c r="F6831" s="668"/>
      <c r="G6831" s="668"/>
      <c r="H6831" s="668"/>
      <c r="I6831" s="668"/>
      <c r="J6831" s="668"/>
      <c r="K6831" s="674"/>
      <c r="L6831" s="668"/>
      <c r="M6831" s="668"/>
    </row>
    <row r="6832" spans="5:13">
      <c r="E6832" s="668"/>
      <c r="F6832" s="668"/>
      <c r="G6832" s="668"/>
      <c r="H6832" s="668"/>
      <c r="I6832" s="668"/>
      <c r="J6832" s="668"/>
      <c r="K6832" s="674"/>
      <c r="L6832" s="668"/>
      <c r="M6832" s="668"/>
    </row>
    <row r="6833" spans="5:13">
      <c r="E6833" s="668"/>
      <c r="F6833" s="668"/>
      <c r="G6833" s="668"/>
      <c r="H6833" s="668"/>
      <c r="I6833" s="668"/>
      <c r="J6833" s="668"/>
      <c r="K6833" s="674"/>
      <c r="L6833" s="668"/>
      <c r="M6833" s="668"/>
    </row>
    <row r="6834" spans="5:13">
      <c r="E6834" s="668"/>
      <c r="F6834" s="668"/>
      <c r="G6834" s="668"/>
      <c r="H6834" s="668"/>
      <c r="I6834" s="668"/>
      <c r="J6834" s="668"/>
      <c r="K6834" s="674"/>
      <c r="L6834" s="668"/>
      <c r="M6834" s="668"/>
    </row>
    <row r="6835" spans="5:13">
      <c r="E6835" s="668"/>
      <c r="F6835" s="668"/>
      <c r="G6835" s="668"/>
      <c r="H6835" s="668"/>
      <c r="I6835" s="668"/>
      <c r="J6835" s="668"/>
      <c r="K6835" s="674"/>
      <c r="L6835" s="668"/>
      <c r="M6835" s="668"/>
    </row>
    <row r="6836" spans="5:13">
      <c r="E6836" s="668"/>
      <c r="F6836" s="668"/>
      <c r="G6836" s="668"/>
      <c r="H6836" s="668"/>
      <c r="I6836" s="668"/>
      <c r="J6836" s="668"/>
      <c r="K6836" s="674"/>
      <c r="L6836" s="668"/>
      <c r="M6836" s="668"/>
    </row>
    <row r="6837" spans="5:13">
      <c r="E6837" s="668"/>
      <c r="F6837" s="668"/>
      <c r="G6837" s="668"/>
      <c r="H6837" s="668"/>
      <c r="I6837" s="668"/>
      <c r="J6837" s="668"/>
      <c r="K6837" s="674"/>
      <c r="L6837" s="668"/>
      <c r="M6837" s="668"/>
    </row>
    <row r="6838" spans="5:13">
      <c r="E6838" s="668"/>
      <c r="F6838" s="668"/>
      <c r="G6838" s="668"/>
      <c r="H6838" s="668"/>
      <c r="I6838" s="668"/>
      <c r="J6838" s="668"/>
      <c r="K6838" s="674"/>
      <c r="L6838" s="668"/>
      <c r="M6838" s="668"/>
    </row>
    <row r="6839" spans="5:13">
      <c r="E6839" s="668"/>
      <c r="F6839" s="668"/>
      <c r="G6839" s="668"/>
      <c r="H6839" s="668"/>
      <c r="I6839" s="668"/>
      <c r="J6839" s="668"/>
      <c r="K6839" s="674"/>
      <c r="L6839" s="668"/>
      <c r="M6839" s="668"/>
    </row>
    <row r="6840" spans="5:13">
      <c r="E6840" s="668"/>
      <c r="F6840" s="668"/>
      <c r="G6840" s="668"/>
      <c r="H6840" s="668"/>
      <c r="I6840" s="668"/>
      <c r="J6840" s="668"/>
      <c r="K6840" s="674"/>
      <c r="L6840" s="668"/>
      <c r="M6840" s="668"/>
    </row>
    <row r="6841" spans="5:13">
      <c r="E6841" s="668"/>
      <c r="F6841" s="668"/>
      <c r="G6841" s="668"/>
      <c r="H6841" s="668"/>
      <c r="I6841" s="668"/>
      <c r="J6841" s="668"/>
      <c r="K6841" s="674"/>
      <c r="L6841" s="668"/>
      <c r="M6841" s="668"/>
    </row>
    <row r="6842" spans="5:13">
      <c r="E6842" s="668"/>
      <c r="F6842" s="668"/>
      <c r="G6842" s="668"/>
      <c r="H6842" s="668"/>
      <c r="I6842" s="668"/>
      <c r="J6842" s="668"/>
      <c r="K6842" s="674"/>
      <c r="L6842" s="668"/>
      <c r="M6842" s="668"/>
    </row>
    <row r="6843" spans="5:13">
      <c r="E6843" s="668"/>
      <c r="F6843" s="668"/>
      <c r="G6843" s="668"/>
      <c r="H6843" s="668"/>
      <c r="I6843" s="668"/>
      <c r="J6843" s="668"/>
      <c r="K6843" s="674"/>
      <c r="L6843" s="668"/>
      <c r="M6843" s="668"/>
    </row>
    <row r="6844" spans="5:13">
      <c r="E6844" s="668"/>
      <c r="F6844" s="668"/>
      <c r="G6844" s="668"/>
      <c r="H6844" s="668"/>
      <c r="I6844" s="668"/>
      <c r="J6844" s="668"/>
      <c r="K6844" s="674"/>
      <c r="L6844" s="668"/>
      <c r="M6844" s="668"/>
    </row>
    <row r="6845" spans="5:13">
      <c r="E6845" s="668"/>
      <c r="F6845" s="668"/>
      <c r="G6845" s="668"/>
      <c r="H6845" s="668"/>
      <c r="I6845" s="668"/>
      <c r="J6845" s="668"/>
      <c r="K6845" s="674"/>
      <c r="L6845" s="668"/>
      <c r="M6845" s="668"/>
    </row>
    <row r="6846" spans="5:13">
      <c r="E6846" s="668"/>
      <c r="F6846" s="668"/>
      <c r="G6846" s="668"/>
      <c r="H6846" s="668"/>
      <c r="I6846" s="668"/>
      <c r="J6846" s="668"/>
      <c r="K6846" s="674"/>
      <c r="L6846" s="668"/>
      <c r="M6846" s="668"/>
    </row>
    <row r="6847" spans="5:13">
      <c r="E6847" s="668"/>
      <c r="F6847" s="668"/>
      <c r="G6847" s="668"/>
      <c r="H6847" s="668"/>
      <c r="I6847" s="668"/>
      <c r="J6847" s="668"/>
      <c r="K6847" s="674"/>
      <c r="L6847" s="668"/>
      <c r="M6847" s="668"/>
    </row>
    <row r="6848" spans="5:13">
      <c r="E6848" s="668"/>
      <c r="F6848" s="668"/>
      <c r="G6848" s="668"/>
      <c r="H6848" s="668"/>
      <c r="I6848" s="668"/>
      <c r="J6848" s="668"/>
      <c r="K6848" s="674"/>
      <c r="L6848" s="668"/>
      <c r="M6848" s="668"/>
    </row>
    <row r="6849" spans="5:13">
      <c r="E6849" s="668"/>
      <c r="F6849" s="668"/>
      <c r="G6849" s="668"/>
      <c r="H6849" s="668"/>
      <c r="I6849" s="668"/>
      <c r="J6849" s="668"/>
      <c r="K6849" s="674"/>
      <c r="L6849" s="668"/>
      <c r="M6849" s="668"/>
    </row>
    <row r="6850" spans="5:13">
      <c r="E6850" s="668"/>
      <c r="F6850" s="668"/>
      <c r="G6850" s="668"/>
      <c r="H6850" s="668"/>
      <c r="I6850" s="668"/>
      <c r="J6850" s="668"/>
      <c r="K6850" s="674"/>
      <c r="L6850" s="668"/>
      <c r="M6850" s="668"/>
    </row>
    <row r="6851" spans="5:13">
      <c r="E6851" s="668"/>
      <c r="F6851" s="668"/>
      <c r="G6851" s="668"/>
      <c r="H6851" s="668"/>
      <c r="I6851" s="668"/>
      <c r="J6851" s="668"/>
      <c r="K6851" s="674"/>
      <c r="L6851" s="668"/>
      <c r="M6851" s="668"/>
    </row>
    <row r="6852" spans="5:13">
      <c r="E6852" s="668"/>
      <c r="F6852" s="668"/>
      <c r="G6852" s="668"/>
      <c r="H6852" s="668"/>
      <c r="I6852" s="668"/>
      <c r="J6852" s="668"/>
      <c r="K6852" s="674"/>
      <c r="L6852" s="668"/>
      <c r="M6852" s="668"/>
    </row>
    <row r="6853" spans="5:13">
      <c r="E6853" s="668"/>
      <c r="F6853" s="668"/>
      <c r="G6853" s="668"/>
      <c r="H6853" s="668"/>
      <c r="I6853" s="668"/>
      <c r="J6853" s="668"/>
      <c r="K6853" s="674"/>
      <c r="L6853" s="668"/>
      <c r="M6853" s="668"/>
    </row>
    <row r="6854" spans="5:13">
      <c r="E6854" s="668"/>
      <c r="F6854" s="668"/>
      <c r="G6854" s="668"/>
      <c r="H6854" s="668"/>
      <c r="I6854" s="668"/>
      <c r="J6854" s="668"/>
      <c r="K6854" s="674"/>
      <c r="L6854" s="668"/>
      <c r="M6854" s="668"/>
    </row>
    <row r="6855" spans="5:13">
      <c r="E6855" s="668"/>
      <c r="F6855" s="668"/>
      <c r="G6855" s="668"/>
      <c r="H6855" s="668"/>
      <c r="I6855" s="668"/>
      <c r="J6855" s="668"/>
      <c r="K6855" s="674"/>
      <c r="L6855" s="668"/>
      <c r="M6855" s="668"/>
    </row>
    <row r="6856" spans="5:13">
      <c r="E6856" s="668"/>
      <c r="F6856" s="668"/>
      <c r="G6856" s="668"/>
      <c r="H6856" s="668"/>
      <c r="I6856" s="668"/>
      <c r="J6856" s="668"/>
      <c r="K6856" s="674"/>
      <c r="L6856" s="668"/>
      <c r="M6856" s="668"/>
    </row>
    <row r="6857" spans="5:13">
      <c r="E6857" s="668"/>
      <c r="F6857" s="668"/>
      <c r="G6857" s="668"/>
      <c r="H6857" s="668"/>
      <c r="I6857" s="668"/>
      <c r="J6857" s="668"/>
      <c r="K6857" s="674"/>
      <c r="L6857" s="668"/>
      <c r="M6857" s="668"/>
    </row>
    <row r="6858" spans="5:13">
      <c r="E6858" s="668"/>
      <c r="F6858" s="668"/>
      <c r="G6858" s="668"/>
      <c r="H6858" s="668"/>
      <c r="I6858" s="668"/>
      <c r="J6858" s="668"/>
      <c r="K6858" s="674"/>
      <c r="L6858" s="668"/>
      <c r="M6858" s="668"/>
    </row>
    <row r="6859" spans="5:13">
      <c r="E6859" s="668"/>
      <c r="F6859" s="668"/>
      <c r="G6859" s="668"/>
      <c r="H6859" s="668"/>
      <c r="I6859" s="668"/>
      <c r="J6859" s="668"/>
      <c r="K6859" s="674"/>
      <c r="L6859" s="668"/>
      <c r="M6859" s="668"/>
    </row>
    <row r="6860" spans="5:13">
      <c r="E6860" s="668"/>
      <c r="F6860" s="668"/>
      <c r="G6860" s="668"/>
      <c r="H6860" s="668"/>
      <c r="I6860" s="668"/>
      <c r="J6860" s="668"/>
      <c r="K6860" s="674"/>
      <c r="L6860" s="668"/>
      <c r="M6860" s="668"/>
    </row>
    <row r="6861" spans="5:13">
      <c r="E6861" s="668"/>
      <c r="F6861" s="668"/>
      <c r="G6861" s="668"/>
      <c r="H6861" s="668"/>
      <c r="I6861" s="668"/>
      <c r="J6861" s="668"/>
      <c r="K6861" s="674"/>
      <c r="L6861" s="668"/>
      <c r="M6861" s="668"/>
    </row>
    <row r="6862" spans="5:13">
      <c r="E6862" s="668"/>
      <c r="F6862" s="668"/>
      <c r="G6862" s="668"/>
      <c r="H6862" s="668"/>
      <c r="I6862" s="668"/>
      <c r="J6862" s="668"/>
      <c r="K6862" s="674"/>
      <c r="L6862" s="668"/>
      <c r="M6862" s="668"/>
    </row>
    <row r="6863" spans="5:13">
      <c r="E6863" s="668"/>
      <c r="F6863" s="668"/>
      <c r="G6863" s="668"/>
      <c r="H6863" s="668"/>
      <c r="I6863" s="668"/>
      <c r="J6863" s="668"/>
      <c r="K6863" s="674"/>
      <c r="L6863" s="668"/>
      <c r="M6863" s="668"/>
    </row>
    <row r="6864" spans="5:13">
      <c r="E6864" s="668"/>
      <c r="F6864" s="668"/>
      <c r="G6864" s="668"/>
      <c r="H6864" s="668"/>
      <c r="I6864" s="668"/>
      <c r="J6864" s="668"/>
      <c r="K6864" s="674"/>
      <c r="L6864" s="668"/>
      <c r="M6864" s="668"/>
    </row>
    <row r="6865" spans="5:13">
      <c r="E6865" s="668"/>
      <c r="F6865" s="668"/>
      <c r="G6865" s="668"/>
      <c r="H6865" s="668"/>
      <c r="I6865" s="668"/>
      <c r="J6865" s="668"/>
      <c r="K6865" s="674"/>
      <c r="L6865" s="668"/>
      <c r="M6865" s="668"/>
    </row>
    <row r="6866" spans="5:13">
      <c r="E6866" s="668"/>
      <c r="F6866" s="668"/>
      <c r="G6866" s="668"/>
      <c r="H6866" s="668"/>
      <c r="I6866" s="668"/>
      <c r="J6866" s="668"/>
      <c r="K6866" s="674"/>
      <c r="L6866" s="668"/>
      <c r="M6866" s="668"/>
    </row>
    <row r="6867" spans="5:13">
      <c r="E6867" s="668"/>
      <c r="F6867" s="668"/>
      <c r="G6867" s="668"/>
      <c r="H6867" s="668"/>
      <c r="I6867" s="668"/>
      <c r="J6867" s="668"/>
      <c r="K6867" s="674"/>
      <c r="L6867" s="668"/>
      <c r="M6867" s="668"/>
    </row>
    <row r="6868" spans="5:13">
      <c r="E6868" s="668"/>
      <c r="F6868" s="668"/>
      <c r="G6868" s="668"/>
      <c r="H6868" s="668"/>
      <c r="I6868" s="668"/>
      <c r="J6868" s="668"/>
      <c r="K6868" s="674"/>
      <c r="L6868" s="668"/>
      <c r="M6868" s="668"/>
    </row>
    <row r="6869" spans="5:13">
      <c r="E6869" s="668"/>
      <c r="F6869" s="668"/>
      <c r="G6869" s="668"/>
      <c r="H6869" s="668"/>
      <c r="I6869" s="668"/>
      <c r="J6869" s="668"/>
      <c r="K6869" s="674"/>
      <c r="L6869" s="668"/>
      <c r="M6869" s="668"/>
    </row>
    <row r="6870" spans="5:13">
      <c r="E6870" s="668"/>
      <c r="F6870" s="668"/>
      <c r="G6870" s="668"/>
      <c r="H6870" s="668"/>
      <c r="I6870" s="668"/>
      <c r="J6870" s="668"/>
      <c r="K6870" s="674"/>
      <c r="L6870" s="668"/>
      <c r="M6870" s="668"/>
    </row>
    <row r="6871" spans="5:13">
      <c r="E6871" s="668"/>
      <c r="F6871" s="668"/>
      <c r="G6871" s="668"/>
      <c r="H6871" s="668"/>
      <c r="I6871" s="668"/>
      <c r="J6871" s="668"/>
      <c r="K6871" s="674"/>
      <c r="L6871" s="668"/>
      <c r="M6871" s="668"/>
    </row>
    <row r="6872" spans="5:13">
      <c r="E6872" s="668"/>
      <c r="F6872" s="668"/>
      <c r="G6872" s="668"/>
      <c r="H6872" s="668"/>
      <c r="I6872" s="668"/>
      <c r="J6872" s="668"/>
      <c r="K6872" s="674"/>
      <c r="L6872" s="668"/>
      <c r="M6872" s="668"/>
    </row>
    <row r="6873" spans="5:13">
      <c r="E6873" s="668"/>
      <c r="F6873" s="668"/>
      <c r="G6873" s="668"/>
      <c r="H6873" s="668"/>
      <c r="I6873" s="668"/>
      <c r="J6873" s="668"/>
      <c r="K6873" s="674"/>
      <c r="L6873" s="668"/>
      <c r="M6873" s="668"/>
    </row>
    <row r="6874" spans="5:13">
      <c r="E6874" s="668"/>
      <c r="F6874" s="668"/>
      <c r="G6874" s="668"/>
      <c r="H6874" s="668"/>
      <c r="I6874" s="668"/>
      <c r="J6874" s="668"/>
      <c r="K6874" s="674"/>
      <c r="L6874" s="668"/>
      <c r="M6874" s="668"/>
    </row>
    <row r="6875" spans="5:13">
      <c r="E6875" s="668"/>
      <c r="F6875" s="668"/>
      <c r="G6875" s="668"/>
      <c r="H6875" s="668"/>
      <c r="I6875" s="668"/>
      <c r="J6875" s="668"/>
      <c r="K6875" s="674"/>
      <c r="L6875" s="668"/>
      <c r="M6875" s="668"/>
    </row>
    <row r="6876" spans="5:13">
      <c r="E6876" s="668"/>
      <c r="F6876" s="668"/>
      <c r="G6876" s="668"/>
      <c r="H6876" s="668"/>
      <c r="I6876" s="668"/>
      <c r="J6876" s="668"/>
      <c r="K6876" s="674"/>
      <c r="L6876" s="668"/>
      <c r="M6876" s="668"/>
    </row>
    <row r="6877" spans="5:13">
      <c r="E6877" s="668"/>
      <c r="F6877" s="668"/>
      <c r="G6877" s="668"/>
      <c r="H6877" s="668"/>
      <c r="I6877" s="668"/>
      <c r="J6877" s="668"/>
      <c r="K6877" s="674"/>
      <c r="L6877" s="668"/>
      <c r="M6877" s="668"/>
    </row>
    <row r="6878" spans="5:13">
      <c r="E6878" s="668"/>
      <c r="F6878" s="668"/>
      <c r="G6878" s="668"/>
      <c r="H6878" s="668"/>
      <c r="I6878" s="668"/>
      <c r="J6878" s="668"/>
      <c r="K6878" s="674"/>
      <c r="L6878" s="668"/>
      <c r="M6878" s="668"/>
    </row>
    <row r="6879" spans="5:13">
      <c r="E6879" s="668"/>
      <c r="F6879" s="668"/>
      <c r="G6879" s="668"/>
      <c r="H6879" s="668"/>
      <c r="I6879" s="668"/>
      <c r="J6879" s="668"/>
      <c r="K6879" s="674"/>
      <c r="L6879" s="668"/>
      <c r="M6879" s="668"/>
    </row>
    <row r="6880" spans="5:13">
      <c r="E6880" s="668"/>
      <c r="F6880" s="668"/>
      <c r="G6880" s="668"/>
      <c r="H6880" s="668"/>
      <c r="I6880" s="668"/>
      <c r="J6880" s="668"/>
      <c r="K6880" s="674"/>
      <c r="L6880" s="668"/>
      <c r="M6880" s="668"/>
    </row>
    <row r="6881" spans="5:13">
      <c r="E6881" s="668"/>
      <c r="F6881" s="668"/>
      <c r="G6881" s="668"/>
      <c r="H6881" s="668"/>
      <c r="I6881" s="668"/>
      <c r="J6881" s="668"/>
      <c r="K6881" s="674"/>
      <c r="L6881" s="668"/>
      <c r="M6881" s="668"/>
    </row>
    <row r="6882" spans="5:13">
      <c r="E6882" s="668"/>
      <c r="F6882" s="668"/>
      <c r="G6882" s="668"/>
      <c r="H6882" s="668"/>
      <c r="I6882" s="668"/>
      <c r="J6882" s="668"/>
      <c r="K6882" s="674"/>
      <c r="L6882" s="668"/>
      <c r="M6882" s="668"/>
    </row>
    <row r="6883" spans="5:13">
      <c r="E6883" s="668"/>
      <c r="F6883" s="668"/>
      <c r="G6883" s="668"/>
      <c r="H6883" s="668"/>
      <c r="I6883" s="668"/>
      <c r="J6883" s="668"/>
      <c r="K6883" s="674"/>
      <c r="L6883" s="668"/>
      <c r="M6883" s="668"/>
    </row>
    <row r="6884" spans="5:13">
      <c r="E6884" s="668"/>
      <c r="F6884" s="668"/>
      <c r="G6884" s="668"/>
      <c r="H6884" s="668"/>
      <c r="I6884" s="668"/>
      <c r="J6884" s="668"/>
      <c r="K6884" s="674"/>
      <c r="L6884" s="668"/>
      <c r="M6884" s="668"/>
    </row>
    <row r="6885" spans="5:13">
      <c r="E6885" s="668"/>
      <c r="F6885" s="668"/>
      <c r="G6885" s="668"/>
      <c r="H6885" s="668"/>
      <c r="I6885" s="668"/>
      <c r="J6885" s="668"/>
      <c r="K6885" s="674"/>
      <c r="L6885" s="668"/>
      <c r="M6885" s="668"/>
    </row>
    <row r="6886" spans="5:13">
      <c r="E6886" s="668"/>
      <c r="F6886" s="668"/>
      <c r="G6886" s="668"/>
      <c r="H6886" s="668"/>
      <c r="I6886" s="668"/>
      <c r="J6886" s="668"/>
      <c r="K6886" s="674"/>
      <c r="L6886" s="668"/>
      <c r="M6886" s="668"/>
    </row>
    <row r="6887" spans="5:13">
      <c r="E6887" s="668"/>
      <c r="F6887" s="668"/>
      <c r="G6887" s="668"/>
      <c r="H6887" s="668"/>
      <c r="I6887" s="668"/>
      <c r="J6887" s="668"/>
      <c r="K6887" s="674"/>
      <c r="L6887" s="668"/>
      <c r="M6887" s="668"/>
    </row>
    <row r="6888" spans="5:13">
      <c r="E6888" s="668"/>
      <c r="F6888" s="668"/>
      <c r="G6888" s="668"/>
      <c r="H6888" s="668"/>
      <c r="I6888" s="668"/>
      <c r="J6888" s="668"/>
      <c r="K6888" s="674"/>
      <c r="L6888" s="668"/>
      <c r="M6888" s="668"/>
    </row>
    <row r="6889" spans="5:13">
      <c r="E6889" s="668"/>
      <c r="F6889" s="668"/>
      <c r="G6889" s="668"/>
      <c r="H6889" s="668"/>
      <c r="I6889" s="668"/>
      <c r="J6889" s="668"/>
      <c r="K6889" s="674"/>
      <c r="L6889" s="668"/>
      <c r="M6889" s="668"/>
    </row>
    <row r="6890" spans="5:13">
      <c r="E6890" s="668"/>
      <c r="F6890" s="668"/>
      <c r="G6890" s="668"/>
      <c r="H6890" s="668"/>
      <c r="I6890" s="668"/>
      <c r="J6890" s="668"/>
      <c r="K6890" s="674"/>
      <c r="L6890" s="668"/>
      <c r="M6890" s="668"/>
    </row>
    <row r="6891" spans="5:13">
      <c r="E6891" s="668"/>
      <c r="F6891" s="668"/>
      <c r="G6891" s="668"/>
      <c r="H6891" s="668"/>
      <c r="I6891" s="668"/>
      <c r="J6891" s="668"/>
      <c r="K6891" s="674"/>
      <c r="L6891" s="668"/>
      <c r="M6891" s="668"/>
    </row>
    <row r="6892" spans="5:13">
      <c r="E6892" s="668"/>
      <c r="F6892" s="668"/>
      <c r="G6892" s="668"/>
      <c r="H6892" s="668"/>
      <c r="I6892" s="668"/>
      <c r="J6892" s="668"/>
      <c r="K6892" s="674"/>
      <c r="L6892" s="668"/>
      <c r="M6892" s="668"/>
    </row>
    <row r="6893" spans="5:13">
      <c r="E6893" s="668"/>
      <c r="F6893" s="668"/>
      <c r="G6893" s="668"/>
      <c r="H6893" s="668"/>
      <c r="I6893" s="668"/>
      <c r="J6893" s="668"/>
      <c r="K6893" s="674"/>
      <c r="L6893" s="668"/>
      <c r="M6893" s="668"/>
    </row>
    <row r="6894" spans="5:13">
      <c r="E6894" s="668"/>
      <c r="F6894" s="668"/>
      <c r="G6894" s="668"/>
      <c r="H6894" s="668"/>
      <c r="I6894" s="668"/>
      <c r="J6894" s="668"/>
      <c r="K6894" s="674"/>
      <c r="L6894" s="668"/>
      <c r="M6894" s="668"/>
    </row>
    <row r="6895" spans="5:13">
      <c r="E6895" s="668"/>
      <c r="F6895" s="668"/>
      <c r="G6895" s="668"/>
      <c r="H6895" s="668"/>
      <c r="I6895" s="668"/>
      <c r="J6895" s="668"/>
      <c r="K6895" s="674"/>
      <c r="L6895" s="668"/>
      <c r="M6895" s="668"/>
    </row>
    <row r="6896" spans="5:13">
      <c r="E6896" s="668"/>
      <c r="F6896" s="668"/>
      <c r="G6896" s="668"/>
      <c r="H6896" s="668"/>
      <c r="I6896" s="668"/>
      <c r="J6896" s="668"/>
      <c r="K6896" s="674"/>
      <c r="L6896" s="668"/>
      <c r="M6896" s="668"/>
    </row>
    <row r="6897" spans="5:13">
      <c r="E6897" s="668"/>
      <c r="F6897" s="668"/>
      <c r="G6897" s="668"/>
      <c r="H6897" s="668"/>
      <c r="I6897" s="668"/>
      <c r="J6897" s="668"/>
      <c r="K6897" s="674"/>
      <c r="L6897" s="668"/>
      <c r="M6897" s="668"/>
    </row>
    <row r="6898" spans="5:13">
      <c r="E6898" s="668"/>
      <c r="F6898" s="668"/>
      <c r="G6898" s="668"/>
      <c r="H6898" s="668"/>
      <c r="I6898" s="668"/>
      <c r="J6898" s="668"/>
      <c r="K6898" s="674"/>
      <c r="L6898" s="668"/>
      <c r="M6898" s="668"/>
    </row>
    <row r="6899" spans="5:13">
      <c r="E6899" s="668"/>
      <c r="F6899" s="668"/>
      <c r="G6899" s="668"/>
      <c r="H6899" s="668"/>
      <c r="I6899" s="668"/>
      <c r="J6899" s="668"/>
      <c r="K6899" s="674"/>
      <c r="L6899" s="668"/>
      <c r="M6899" s="668"/>
    </row>
    <row r="6900" spans="5:13">
      <c r="E6900" s="668"/>
      <c r="F6900" s="668"/>
      <c r="G6900" s="668"/>
      <c r="H6900" s="668"/>
      <c r="I6900" s="668"/>
      <c r="J6900" s="668"/>
      <c r="K6900" s="674"/>
      <c r="L6900" s="668"/>
      <c r="M6900" s="668"/>
    </row>
    <row r="6901" spans="5:13">
      <c r="E6901" s="668"/>
      <c r="F6901" s="668"/>
      <c r="G6901" s="668"/>
      <c r="H6901" s="668"/>
      <c r="I6901" s="668"/>
      <c r="J6901" s="668"/>
      <c r="K6901" s="674"/>
      <c r="L6901" s="668"/>
      <c r="M6901" s="668"/>
    </row>
    <row r="6902" spans="5:13">
      <c r="E6902" s="668"/>
      <c r="F6902" s="668"/>
      <c r="G6902" s="668"/>
      <c r="H6902" s="668"/>
      <c r="I6902" s="668"/>
      <c r="J6902" s="668"/>
      <c r="K6902" s="674"/>
      <c r="L6902" s="668"/>
      <c r="M6902" s="668"/>
    </row>
    <row r="6903" spans="5:13">
      <c r="E6903" s="668"/>
      <c r="F6903" s="668"/>
      <c r="G6903" s="668"/>
      <c r="H6903" s="668"/>
      <c r="I6903" s="668"/>
      <c r="J6903" s="668"/>
      <c r="K6903" s="674"/>
      <c r="L6903" s="668"/>
      <c r="M6903" s="668"/>
    </row>
    <row r="6904" spans="5:13">
      <c r="E6904" s="668"/>
      <c r="F6904" s="668"/>
      <c r="G6904" s="668"/>
      <c r="H6904" s="668"/>
      <c r="I6904" s="668"/>
      <c r="J6904" s="668"/>
      <c r="K6904" s="674"/>
      <c r="L6904" s="668"/>
      <c r="M6904" s="668"/>
    </row>
    <row r="6905" spans="5:13">
      <c r="E6905" s="668"/>
      <c r="F6905" s="668"/>
      <c r="G6905" s="668"/>
      <c r="H6905" s="668"/>
      <c r="I6905" s="668"/>
      <c r="J6905" s="668"/>
      <c r="K6905" s="674"/>
      <c r="L6905" s="668"/>
      <c r="M6905" s="668"/>
    </row>
    <row r="6906" spans="5:13">
      <c r="E6906" s="668"/>
      <c r="F6906" s="668"/>
      <c r="G6906" s="668"/>
      <c r="H6906" s="668"/>
      <c r="I6906" s="668"/>
      <c r="J6906" s="668"/>
      <c r="K6906" s="674"/>
      <c r="L6906" s="668"/>
      <c r="M6906" s="668"/>
    </row>
    <row r="6907" spans="5:13">
      <c r="E6907" s="668"/>
      <c r="F6907" s="668"/>
      <c r="G6907" s="668"/>
      <c r="H6907" s="668"/>
      <c r="I6907" s="668"/>
      <c r="J6907" s="668"/>
      <c r="K6907" s="674"/>
      <c r="L6907" s="668"/>
      <c r="M6907" s="668"/>
    </row>
    <row r="6908" spans="5:13">
      <c r="E6908" s="668"/>
      <c r="F6908" s="668"/>
      <c r="G6908" s="668"/>
      <c r="H6908" s="668"/>
      <c r="I6908" s="668"/>
      <c r="J6908" s="668"/>
      <c r="K6908" s="674"/>
      <c r="L6908" s="668"/>
      <c r="M6908" s="668"/>
    </row>
    <row r="6909" spans="5:13">
      <c r="E6909" s="668"/>
      <c r="F6909" s="668"/>
      <c r="G6909" s="668"/>
      <c r="H6909" s="668"/>
      <c r="I6909" s="668"/>
      <c r="J6909" s="668"/>
      <c r="K6909" s="674"/>
      <c r="L6909" s="668"/>
      <c r="M6909" s="668"/>
    </row>
    <row r="6910" spans="5:13">
      <c r="E6910" s="668"/>
      <c r="F6910" s="668"/>
      <c r="G6910" s="668"/>
      <c r="H6910" s="668"/>
      <c r="I6910" s="668"/>
      <c r="J6910" s="668"/>
      <c r="K6910" s="674"/>
      <c r="L6910" s="668"/>
      <c r="M6910" s="668"/>
    </row>
    <row r="6911" spans="5:13">
      <c r="E6911" s="668"/>
      <c r="F6911" s="668"/>
      <c r="G6911" s="668"/>
      <c r="H6911" s="668"/>
      <c r="I6911" s="668"/>
      <c r="J6911" s="668"/>
      <c r="K6911" s="674"/>
      <c r="L6911" s="668"/>
      <c r="M6911" s="668"/>
    </row>
    <row r="6912" spans="5:13">
      <c r="E6912" s="668"/>
      <c r="F6912" s="668"/>
      <c r="G6912" s="668"/>
      <c r="H6912" s="668"/>
      <c r="I6912" s="668"/>
      <c r="J6912" s="668"/>
      <c r="K6912" s="674"/>
      <c r="L6912" s="668"/>
      <c r="M6912" s="668"/>
    </row>
    <row r="6913" spans="5:13">
      <c r="E6913" s="668"/>
      <c r="F6913" s="668"/>
      <c r="G6913" s="668"/>
      <c r="H6913" s="668"/>
      <c r="I6913" s="668"/>
      <c r="J6913" s="668"/>
      <c r="K6913" s="674"/>
      <c r="L6913" s="668"/>
      <c r="M6913" s="668"/>
    </row>
    <row r="6914" spans="5:13">
      <c r="E6914" s="668"/>
      <c r="F6914" s="668"/>
      <c r="G6914" s="668"/>
      <c r="H6914" s="668"/>
      <c r="I6914" s="668"/>
      <c r="J6914" s="668"/>
      <c r="K6914" s="674"/>
      <c r="L6914" s="668"/>
      <c r="M6914" s="668"/>
    </row>
    <row r="6915" spans="5:13">
      <c r="E6915" s="668"/>
      <c r="F6915" s="668"/>
      <c r="G6915" s="668"/>
      <c r="H6915" s="668"/>
      <c r="I6915" s="668"/>
      <c r="J6915" s="668"/>
      <c r="K6915" s="674"/>
      <c r="L6915" s="668"/>
      <c r="M6915" s="668"/>
    </row>
    <row r="6916" spans="5:13">
      <c r="E6916" s="668"/>
      <c r="F6916" s="668"/>
      <c r="G6916" s="668"/>
      <c r="H6916" s="668"/>
      <c r="I6916" s="668"/>
      <c r="J6916" s="668"/>
      <c r="K6916" s="674"/>
      <c r="L6916" s="668"/>
      <c r="M6916" s="668"/>
    </row>
    <row r="6917" spans="5:13">
      <c r="E6917" s="668"/>
      <c r="F6917" s="668"/>
      <c r="G6917" s="668"/>
      <c r="H6917" s="668"/>
      <c r="I6917" s="668"/>
      <c r="J6917" s="668"/>
      <c r="K6917" s="674"/>
      <c r="L6917" s="668"/>
      <c r="M6917" s="668"/>
    </row>
    <row r="6918" spans="5:13">
      <c r="E6918" s="668"/>
      <c r="F6918" s="668"/>
      <c r="G6918" s="668"/>
      <c r="H6918" s="668"/>
      <c r="I6918" s="668"/>
      <c r="J6918" s="668"/>
      <c r="K6918" s="674"/>
      <c r="L6918" s="668"/>
      <c r="M6918" s="668"/>
    </row>
    <row r="6919" spans="5:13">
      <c r="E6919" s="668"/>
      <c r="F6919" s="668"/>
      <c r="G6919" s="668"/>
      <c r="H6919" s="668"/>
      <c r="I6919" s="668"/>
      <c r="J6919" s="668"/>
      <c r="K6919" s="674"/>
      <c r="L6919" s="668"/>
      <c r="M6919" s="668"/>
    </row>
    <row r="6920" spans="5:13">
      <c r="E6920" s="668"/>
      <c r="F6920" s="668"/>
      <c r="G6920" s="668"/>
      <c r="H6920" s="668"/>
      <c r="I6920" s="668"/>
      <c r="J6920" s="668"/>
      <c r="K6920" s="674"/>
      <c r="L6920" s="668"/>
      <c r="M6920" s="668"/>
    </row>
    <row r="6921" spans="5:13">
      <c r="E6921" s="668"/>
      <c r="F6921" s="668"/>
      <c r="G6921" s="668"/>
      <c r="H6921" s="668"/>
      <c r="I6921" s="668"/>
      <c r="J6921" s="668"/>
      <c r="K6921" s="674"/>
      <c r="L6921" s="668"/>
      <c r="M6921" s="668"/>
    </row>
    <row r="6922" spans="5:13">
      <c r="E6922" s="668"/>
      <c r="F6922" s="668"/>
      <c r="G6922" s="668"/>
      <c r="H6922" s="668"/>
      <c r="I6922" s="668"/>
      <c r="J6922" s="668"/>
      <c r="K6922" s="674"/>
      <c r="L6922" s="668"/>
      <c r="M6922" s="668"/>
    </row>
    <row r="6923" spans="5:13">
      <c r="E6923" s="668"/>
      <c r="F6923" s="668"/>
      <c r="G6923" s="668"/>
      <c r="H6923" s="668"/>
      <c r="I6923" s="668"/>
      <c r="J6923" s="668"/>
      <c r="K6923" s="674"/>
      <c r="L6923" s="668"/>
      <c r="M6923" s="668"/>
    </row>
    <row r="6924" spans="5:13">
      <c r="E6924" s="668"/>
      <c r="F6924" s="668"/>
      <c r="G6924" s="668"/>
      <c r="H6924" s="668"/>
      <c r="I6924" s="668"/>
      <c r="J6924" s="668"/>
      <c r="K6924" s="674"/>
      <c r="L6924" s="668"/>
      <c r="M6924" s="668"/>
    </row>
    <row r="6925" spans="5:13">
      <c r="E6925" s="668"/>
      <c r="F6925" s="668"/>
      <c r="G6925" s="668"/>
      <c r="H6925" s="668"/>
      <c r="I6925" s="668"/>
      <c r="J6925" s="668"/>
      <c r="K6925" s="674"/>
      <c r="L6925" s="668"/>
      <c r="M6925" s="668"/>
    </row>
    <row r="6926" spans="5:13">
      <c r="E6926" s="668"/>
      <c r="F6926" s="668"/>
      <c r="G6926" s="668"/>
      <c r="H6926" s="668"/>
      <c r="I6926" s="668"/>
      <c r="J6926" s="668"/>
      <c r="K6926" s="674"/>
      <c r="L6926" s="668"/>
      <c r="M6926" s="668"/>
    </row>
    <row r="6927" spans="5:13">
      <c r="E6927" s="668"/>
      <c r="F6927" s="668"/>
      <c r="G6927" s="668"/>
      <c r="H6927" s="668"/>
      <c r="I6927" s="668"/>
      <c r="J6927" s="668"/>
      <c r="K6927" s="674"/>
      <c r="L6927" s="668"/>
      <c r="M6927" s="668"/>
    </row>
    <row r="6928" spans="5:13">
      <c r="E6928" s="668"/>
      <c r="F6928" s="668"/>
      <c r="G6928" s="668"/>
      <c r="H6928" s="668"/>
      <c r="I6928" s="668"/>
      <c r="J6928" s="668"/>
      <c r="K6928" s="674"/>
      <c r="L6928" s="668"/>
      <c r="M6928" s="668"/>
    </row>
    <row r="6929" spans="5:13">
      <c r="E6929" s="668"/>
      <c r="F6929" s="668"/>
      <c r="G6929" s="668"/>
      <c r="H6929" s="668"/>
      <c r="I6929" s="668"/>
      <c r="J6929" s="668"/>
      <c r="K6929" s="674"/>
      <c r="L6929" s="668"/>
      <c r="M6929" s="668"/>
    </row>
    <row r="6930" spans="5:13">
      <c r="E6930" s="668"/>
      <c r="F6930" s="668"/>
      <c r="G6930" s="668"/>
      <c r="H6930" s="668"/>
      <c r="I6930" s="668"/>
      <c r="J6930" s="668"/>
      <c r="K6930" s="674"/>
      <c r="L6930" s="668"/>
      <c r="M6930" s="668"/>
    </row>
    <row r="6931" spans="5:13">
      <c r="E6931" s="668"/>
      <c r="F6931" s="668"/>
      <c r="G6931" s="668"/>
      <c r="H6931" s="668"/>
      <c r="I6931" s="668"/>
      <c r="J6931" s="668"/>
      <c r="K6931" s="674"/>
      <c r="L6931" s="668"/>
      <c r="M6931" s="668"/>
    </row>
    <row r="6932" spans="5:13">
      <c r="E6932" s="668"/>
      <c r="F6932" s="668"/>
      <c r="G6932" s="668"/>
      <c r="H6932" s="668"/>
      <c r="I6932" s="668"/>
      <c r="J6932" s="668"/>
      <c r="K6932" s="674"/>
      <c r="L6932" s="668"/>
      <c r="M6932" s="668"/>
    </row>
    <row r="6933" spans="5:13">
      <c r="E6933" s="668"/>
      <c r="F6933" s="668"/>
      <c r="G6933" s="668"/>
      <c r="H6933" s="668"/>
      <c r="I6933" s="668"/>
      <c r="J6933" s="668"/>
      <c r="K6933" s="674"/>
      <c r="L6933" s="668"/>
      <c r="M6933" s="668"/>
    </row>
    <row r="6934" spans="5:13">
      <c r="E6934" s="668"/>
      <c r="F6934" s="668"/>
      <c r="G6934" s="668"/>
      <c r="H6934" s="668"/>
      <c r="I6934" s="668"/>
      <c r="J6934" s="668"/>
      <c r="K6934" s="674"/>
      <c r="L6934" s="668"/>
      <c r="M6934" s="668"/>
    </row>
    <row r="6935" spans="5:13">
      <c r="E6935" s="668"/>
      <c r="F6935" s="668"/>
      <c r="G6935" s="668"/>
      <c r="H6935" s="668"/>
      <c r="I6935" s="668"/>
      <c r="J6935" s="668"/>
      <c r="K6935" s="674"/>
      <c r="L6935" s="668"/>
      <c r="M6935" s="668"/>
    </row>
    <row r="6936" spans="5:13">
      <c r="E6936" s="668"/>
      <c r="F6936" s="668"/>
      <c r="G6936" s="668"/>
      <c r="H6936" s="668"/>
      <c r="I6936" s="668"/>
      <c r="J6936" s="668"/>
      <c r="K6936" s="674"/>
      <c r="L6936" s="668"/>
      <c r="M6936" s="668"/>
    </row>
    <row r="6937" spans="5:13">
      <c r="E6937" s="668"/>
      <c r="F6937" s="668"/>
      <c r="G6937" s="668"/>
      <c r="H6937" s="668"/>
      <c r="I6937" s="668"/>
      <c r="J6937" s="668"/>
      <c r="K6937" s="674"/>
      <c r="L6937" s="668"/>
      <c r="M6937" s="668"/>
    </row>
    <row r="6938" spans="5:13">
      <c r="E6938" s="668"/>
      <c r="F6938" s="668"/>
      <c r="G6938" s="668"/>
      <c r="H6938" s="668"/>
      <c r="I6938" s="668"/>
      <c r="J6938" s="668"/>
      <c r="K6938" s="674"/>
      <c r="L6938" s="668"/>
      <c r="M6938" s="668"/>
    </row>
    <row r="6939" spans="5:13">
      <c r="E6939" s="668"/>
      <c r="F6939" s="668"/>
      <c r="G6939" s="668"/>
      <c r="H6939" s="668"/>
      <c r="I6939" s="668"/>
      <c r="J6939" s="668"/>
      <c r="K6939" s="674"/>
      <c r="L6939" s="668"/>
      <c r="M6939" s="668"/>
    </row>
    <row r="6940" spans="5:13">
      <c r="E6940" s="668"/>
      <c r="F6940" s="668"/>
      <c r="G6940" s="668"/>
      <c r="H6940" s="668"/>
      <c r="I6940" s="668"/>
      <c r="J6940" s="668"/>
      <c r="K6940" s="674"/>
      <c r="L6940" s="668"/>
      <c r="M6940" s="668"/>
    </row>
    <row r="6941" spans="5:13">
      <c r="E6941" s="668"/>
      <c r="F6941" s="668"/>
      <c r="G6941" s="668"/>
      <c r="H6941" s="668"/>
      <c r="I6941" s="668"/>
      <c r="J6941" s="668"/>
      <c r="K6941" s="674"/>
      <c r="L6941" s="668"/>
      <c r="M6941" s="668"/>
    </row>
    <row r="6942" spans="5:13">
      <c r="E6942" s="668"/>
      <c r="F6942" s="668"/>
      <c r="G6942" s="668"/>
      <c r="H6942" s="668"/>
      <c r="I6942" s="668"/>
      <c r="J6942" s="668"/>
      <c r="K6942" s="674"/>
      <c r="L6942" s="668"/>
      <c r="M6942" s="668"/>
    </row>
    <row r="6943" spans="5:13">
      <c r="E6943" s="668"/>
      <c r="F6943" s="668"/>
      <c r="G6943" s="668"/>
      <c r="H6943" s="668"/>
      <c r="I6943" s="668"/>
      <c r="J6943" s="668"/>
      <c r="K6943" s="674"/>
      <c r="L6943" s="668"/>
      <c r="M6943" s="668"/>
    </row>
    <row r="6944" spans="5:13">
      <c r="E6944" s="668"/>
      <c r="F6944" s="668"/>
      <c r="G6944" s="668"/>
      <c r="H6944" s="668"/>
      <c r="I6944" s="668"/>
      <c r="J6944" s="668"/>
      <c r="K6944" s="674"/>
      <c r="L6944" s="668"/>
      <c r="M6944" s="668"/>
    </row>
    <row r="6945" spans="5:13">
      <c r="E6945" s="668"/>
      <c r="F6945" s="668"/>
      <c r="G6945" s="668"/>
      <c r="H6945" s="668"/>
      <c r="I6945" s="668"/>
      <c r="J6945" s="668"/>
      <c r="K6945" s="674"/>
      <c r="L6945" s="668"/>
      <c r="M6945" s="668"/>
    </row>
    <row r="6946" spans="5:13">
      <c r="E6946" s="668"/>
      <c r="F6946" s="668"/>
      <c r="G6946" s="668"/>
      <c r="H6946" s="668"/>
      <c r="I6946" s="668"/>
      <c r="J6946" s="668"/>
      <c r="K6946" s="674"/>
      <c r="L6946" s="668"/>
      <c r="M6946" s="668"/>
    </row>
    <row r="6947" spans="5:13">
      <c r="E6947" s="668"/>
      <c r="F6947" s="668"/>
      <c r="G6947" s="668"/>
      <c r="H6947" s="668"/>
      <c r="I6947" s="668"/>
      <c r="J6947" s="668"/>
      <c r="K6947" s="674"/>
      <c r="L6947" s="668"/>
      <c r="M6947" s="668"/>
    </row>
    <row r="6948" spans="5:13">
      <c r="E6948" s="668"/>
      <c r="F6948" s="668"/>
      <c r="G6948" s="668"/>
      <c r="H6948" s="668"/>
      <c r="I6948" s="668"/>
      <c r="J6948" s="668"/>
      <c r="K6948" s="674"/>
      <c r="L6948" s="668"/>
      <c r="M6948" s="668"/>
    </row>
    <row r="6949" spans="5:13">
      <c r="E6949" s="668"/>
      <c r="F6949" s="668"/>
      <c r="G6949" s="668"/>
      <c r="H6949" s="668"/>
      <c r="I6949" s="668"/>
      <c r="J6949" s="668"/>
      <c r="K6949" s="674"/>
      <c r="L6949" s="668"/>
      <c r="M6949" s="668"/>
    </row>
    <row r="6950" spans="5:13">
      <c r="E6950" s="668"/>
      <c r="F6950" s="668"/>
      <c r="G6950" s="668"/>
      <c r="H6950" s="668"/>
      <c r="I6950" s="668"/>
      <c r="J6950" s="668"/>
      <c r="K6950" s="674"/>
      <c r="L6950" s="668"/>
      <c r="M6950" s="668"/>
    </row>
    <row r="6951" spans="5:13">
      <c r="E6951" s="668"/>
      <c r="F6951" s="668"/>
      <c r="G6951" s="668"/>
      <c r="H6951" s="668"/>
      <c r="I6951" s="668"/>
      <c r="J6951" s="668"/>
      <c r="K6951" s="674"/>
      <c r="L6951" s="668"/>
      <c r="M6951" s="668"/>
    </row>
    <row r="6952" spans="5:13">
      <c r="E6952" s="668"/>
      <c r="F6952" s="668"/>
      <c r="G6952" s="668"/>
      <c r="H6952" s="668"/>
      <c r="I6952" s="668"/>
      <c r="J6952" s="668"/>
      <c r="K6952" s="674"/>
      <c r="L6952" s="668"/>
      <c r="M6952" s="668"/>
    </row>
    <row r="6953" spans="5:13">
      <c r="E6953" s="668"/>
      <c r="F6953" s="668"/>
      <c r="G6953" s="668"/>
      <c r="H6953" s="668"/>
      <c r="I6953" s="668"/>
      <c r="J6953" s="668"/>
      <c r="K6953" s="674"/>
      <c r="L6953" s="668"/>
      <c r="M6953" s="668"/>
    </row>
    <row r="6954" spans="5:13">
      <c r="E6954" s="668"/>
      <c r="F6954" s="668"/>
      <c r="G6954" s="668"/>
      <c r="H6954" s="668"/>
      <c r="I6954" s="668"/>
      <c r="J6954" s="668"/>
      <c r="K6954" s="674"/>
      <c r="L6954" s="668"/>
      <c r="M6954" s="668"/>
    </row>
    <row r="6955" spans="5:13">
      <c r="E6955" s="668"/>
      <c r="F6955" s="668"/>
      <c r="G6955" s="668"/>
      <c r="H6955" s="668"/>
      <c r="I6955" s="668"/>
      <c r="J6955" s="668"/>
      <c r="K6955" s="674"/>
      <c r="L6955" s="668"/>
      <c r="M6955" s="668"/>
    </row>
    <row r="6956" spans="5:13">
      <c r="E6956" s="668"/>
      <c r="F6956" s="668"/>
      <c r="G6956" s="668"/>
      <c r="H6956" s="668"/>
      <c r="I6956" s="668"/>
      <c r="J6956" s="668"/>
      <c r="K6956" s="674"/>
      <c r="L6956" s="668"/>
      <c r="M6956" s="668"/>
    </row>
    <row r="6957" spans="5:13">
      <c r="E6957" s="668"/>
      <c r="F6957" s="668"/>
      <c r="G6957" s="668"/>
      <c r="H6957" s="668"/>
      <c r="I6957" s="668"/>
      <c r="J6957" s="668"/>
      <c r="K6957" s="674"/>
      <c r="L6957" s="668"/>
      <c r="M6957" s="668"/>
    </row>
    <row r="6958" spans="5:13">
      <c r="E6958" s="668"/>
      <c r="F6958" s="668"/>
      <c r="G6958" s="668"/>
      <c r="H6958" s="668"/>
      <c r="I6958" s="668"/>
      <c r="J6958" s="668"/>
      <c r="K6958" s="674"/>
      <c r="L6958" s="668"/>
      <c r="M6958" s="668"/>
    </row>
    <row r="6959" spans="5:13">
      <c r="E6959" s="668"/>
      <c r="F6959" s="668"/>
      <c r="G6959" s="668"/>
      <c r="H6959" s="668"/>
      <c r="I6959" s="668"/>
      <c r="J6959" s="668"/>
      <c r="K6959" s="674"/>
      <c r="L6959" s="668"/>
      <c r="M6959" s="668"/>
    </row>
    <row r="6960" spans="5:13">
      <c r="E6960" s="668"/>
      <c r="F6960" s="668"/>
      <c r="G6960" s="668"/>
      <c r="H6960" s="668"/>
      <c r="I6960" s="668"/>
      <c r="J6960" s="668"/>
      <c r="K6960" s="674"/>
      <c r="L6960" s="668"/>
      <c r="M6960" s="668"/>
    </row>
    <row r="6961" spans="5:13">
      <c r="E6961" s="668"/>
      <c r="F6961" s="668"/>
      <c r="G6961" s="668"/>
      <c r="H6961" s="668"/>
      <c r="I6961" s="668"/>
      <c r="J6961" s="668"/>
      <c r="K6961" s="674"/>
      <c r="L6961" s="668"/>
      <c r="M6961" s="668"/>
    </row>
    <row r="6962" spans="5:13">
      <c r="E6962" s="668"/>
      <c r="F6962" s="668"/>
      <c r="G6962" s="668"/>
      <c r="H6962" s="668"/>
      <c r="I6962" s="668"/>
      <c r="J6962" s="668"/>
      <c r="K6962" s="674"/>
      <c r="L6962" s="668"/>
      <c r="M6962" s="668"/>
    </row>
    <row r="6963" spans="5:13">
      <c r="E6963" s="668"/>
      <c r="F6963" s="668"/>
      <c r="G6963" s="668"/>
      <c r="H6963" s="668"/>
      <c r="I6963" s="668"/>
      <c r="J6963" s="668"/>
      <c r="K6963" s="674"/>
      <c r="L6963" s="668"/>
      <c r="M6963" s="668"/>
    </row>
    <row r="6964" spans="5:13">
      <c r="E6964" s="668"/>
      <c r="F6964" s="668"/>
      <c r="G6964" s="668"/>
      <c r="H6964" s="668"/>
      <c r="I6964" s="668"/>
      <c r="J6964" s="668"/>
      <c r="K6964" s="674"/>
      <c r="L6964" s="668"/>
      <c r="M6964" s="668"/>
    </row>
    <row r="6965" spans="5:13">
      <c r="E6965" s="668"/>
      <c r="F6965" s="668"/>
      <c r="G6965" s="668"/>
      <c r="H6965" s="668"/>
      <c r="I6965" s="668"/>
      <c r="J6965" s="668"/>
      <c r="K6965" s="674"/>
      <c r="L6965" s="668"/>
      <c r="M6965" s="668"/>
    </row>
    <row r="6966" spans="5:13">
      <c r="E6966" s="668"/>
      <c r="F6966" s="668"/>
      <c r="G6966" s="668"/>
      <c r="H6966" s="668"/>
      <c r="I6966" s="668"/>
      <c r="J6966" s="668"/>
      <c r="K6966" s="674"/>
      <c r="L6966" s="668"/>
      <c r="M6966" s="668"/>
    </row>
    <row r="6967" spans="5:13">
      <c r="E6967" s="668"/>
      <c r="F6967" s="668"/>
      <c r="G6967" s="668"/>
      <c r="H6967" s="668"/>
      <c r="I6967" s="668"/>
      <c r="J6967" s="668"/>
      <c r="K6967" s="674"/>
      <c r="L6967" s="668"/>
      <c r="M6967" s="668"/>
    </row>
    <row r="6968" spans="5:13">
      <c r="E6968" s="668"/>
      <c r="F6968" s="668"/>
      <c r="G6968" s="668"/>
      <c r="H6968" s="668"/>
      <c r="I6968" s="668"/>
      <c r="J6968" s="668"/>
      <c r="K6968" s="674"/>
      <c r="L6968" s="668"/>
      <c r="M6968" s="668"/>
    </row>
    <row r="6969" spans="5:13">
      <c r="E6969" s="668"/>
      <c r="F6969" s="668"/>
      <c r="G6969" s="668"/>
      <c r="H6969" s="668"/>
      <c r="I6969" s="668"/>
      <c r="J6969" s="668"/>
      <c r="K6969" s="674"/>
      <c r="L6969" s="668"/>
      <c r="M6969" s="668"/>
    </row>
    <row r="6970" spans="5:13">
      <c r="E6970" s="668"/>
      <c r="F6970" s="668"/>
      <c r="G6970" s="668"/>
      <c r="H6970" s="668"/>
      <c r="I6970" s="668"/>
      <c r="J6970" s="668"/>
      <c r="K6970" s="674"/>
      <c r="L6970" s="668"/>
      <c r="M6970" s="668"/>
    </row>
    <row r="6971" spans="5:13">
      <c r="E6971" s="668"/>
      <c r="F6971" s="668"/>
      <c r="G6971" s="668"/>
      <c r="H6971" s="668"/>
      <c r="I6971" s="668"/>
      <c r="J6971" s="668"/>
      <c r="K6971" s="674"/>
      <c r="L6971" s="668"/>
      <c r="M6971" s="668"/>
    </row>
    <row r="6972" spans="5:13">
      <c r="E6972" s="668"/>
      <c r="F6972" s="668"/>
      <c r="G6972" s="668"/>
      <c r="H6972" s="668"/>
      <c r="I6972" s="668"/>
      <c r="J6972" s="668"/>
      <c r="K6972" s="674"/>
      <c r="L6972" s="668"/>
      <c r="M6972" s="668"/>
    </row>
    <row r="6973" spans="5:13">
      <c r="E6973" s="668"/>
      <c r="F6973" s="668"/>
      <c r="G6973" s="668"/>
      <c r="H6973" s="668"/>
      <c r="I6973" s="668"/>
      <c r="J6973" s="668"/>
      <c r="K6973" s="674"/>
      <c r="L6973" s="668"/>
      <c r="M6973" s="668"/>
    </row>
    <row r="6974" spans="5:13">
      <c r="E6974" s="668"/>
      <c r="F6974" s="668"/>
      <c r="G6974" s="668"/>
      <c r="H6974" s="668"/>
      <c r="I6974" s="668"/>
      <c r="J6974" s="668"/>
      <c r="K6974" s="674"/>
      <c r="L6974" s="668"/>
      <c r="M6974" s="668"/>
    </row>
    <row r="6975" spans="5:13">
      <c r="E6975" s="668"/>
      <c r="F6975" s="668"/>
      <c r="G6975" s="668"/>
      <c r="H6975" s="668"/>
      <c r="I6975" s="668"/>
      <c r="J6975" s="668"/>
      <c r="K6975" s="674"/>
      <c r="L6975" s="668"/>
      <c r="M6975" s="668"/>
    </row>
    <row r="6976" spans="5:13">
      <c r="E6976" s="668"/>
      <c r="F6976" s="668"/>
      <c r="G6976" s="668"/>
      <c r="H6976" s="668"/>
      <c r="I6976" s="668"/>
      <c r="J6976" s="668"/>
      <c r="K6976" s="674"/>
      <c r="L6976" s="668"/>
      <c r="M6976" s="668"/>
    </row>
    <row r="6977" spans="5:13">
      <c r="E6977" s="668"/>
      <c r="F6977" s="668"/>
      <c r="G6977" s="668"/>
      <c r="H6977" s="668"/>
      <c r="I6977" s="668"/>
      <c r="J6977" s="668"/>
      <c r="K6977" s="674"/>
      <c r="L6977" s="668"/>
      <c r="M6977" s="668"/>
    </row>
    <row r="6978" spans="5:13">
      <c r="E6978" s="668"/>
      <c r="F6978" s="668"/>
      <c r="G6978" s="668"/>
      <c r="H6978" s="668"/>
      <c r="I6978" s="668"/>
      <c r="J6978" s="668"/>
      <c r="K6978" s="674"/>
      <c r="L6978" s="668"/>
      <c r="M6978" s="668"/>
    </row>
    <row r="6979" spans="5:13">
      <c r="E6979" s="668"/>
      <c r="F6979" s="668"/>
      <c r="G6979" s="668"/>
      <c r="H6979" s="668"/>
      <c r="I6979" s="668"/>
      <c r="J6979" s="668"/>
      <c r="K6979" s="674"/>
      <c r="L6979" s="668"/>
      <c r="M6979" s="668"/>
    </row>
    <row r="6980" spans="5:13">
      <c r="E6980" s="668"/>
      <c r="F6980" s="668"/>
      <c r="G6980" s="668"/>
      <c r="H6980" s="668"/>
      <c r="I6980" s="668"/>
      <c r="J6980" s="668"/>
      <c r="K6980" s="674"/>
      <c r="L6980" s="668"/>
      <c r="M6980" s="668"/>
    </row>
    <row r="6981" spans="5:13">
      <c r="E6981" s="668"/>
      <c r="F6981" s="668"/>
      <c r="G6981" s="668"/>
      <c r="H6981" s="668"/>
      <c r="I6981" s="668"/>
      <c r="J6981" s="668"/>
      <c r="K6981" s="674"/>
      <c r="L6981" s="668"/>
      <c r="M6981" s="668"/>
    </row>
    <row r="6982" spans="5:13">
      <c r="E6982" s="668"/>
      <c r="F6982" s="668"/>
      <c r="G6982" s="668"/>
      <c r="H6982" s="668"/>
      <c r="I6982" s="668"/>
      <c r="J6982" s="668"/>
      <c r="K6982" s="674"/>
      <c r="L6982" s="668"/>
      <c r="M6982" s="668"/>
    </row>
    <row r="6983" spans="5:13">
      <c r="E6983" s="668"/>
      <c r="F6983" s="668"/>
      <c r="G6983" s="668"/>
      <c r="H6983" s="668"/>
      <c r="I6983" s="668"/>
      <c r="J6983" s="668"/>
      <c r="K6983" s="674"/>
      <c r="L6983" s="668"/>
      <c r="M6983" s="668"/>
    </row>
    <row r="6984" spans="5:13">
      <c r="E6984" s="668"/>
      <c r="F6984" s="668"/>
      <c r="G6984" s="668"/>
      <c r="H6984" s="668"/>
      <c r="I6984" s="668"/>
      <c r="J6984" s="668"/>
      <c r="K6984" s="674"/>
      <c r="L6984" s="668"/>
      <c r="M6984" s="668"/>
    </row>
    <row r="6985" spans="5:13">
      <c r="E6985" s="668"/>
      <c r="F6985" s="668"/>
      <c r="G6985" s="668"/>
      <c r="H6985" s="668"/>
      <c r="I6985" s="668"/>
      <c r="J6985" s="668"/>
      <c r="K6985" s="674"/>
      <c r="L6985" s="668"/>
      <c r="M6985" s="668"/>
    </row>
    <row r="6986" spans="5:13">
      <c r="E6986" s="668"/>
      <c r="F6986" s="668"/>
      <c r="G6986" s="668"/>
      <c r="H6986" s="668"/>
      <c r="I6986" s="668"/>
      <c r="J6986" s="668"/>
      <c r="K6986" s="674"/>
      <c r="L6986" s="668"/>
      <c r="M6986" s="668"/>
    </row>
    <row r="6987" spans="5:13">
      <c r="E6987" s="668"/>
      <c r="F6987" s="668"/>
      <c r="G6987" s="668"/>
      <c r="H6987" s="668"/>
      <c r="I6987" s="668"/>
      <c r="J6987" s="668"/>
      <c r="K6987" s="674"/>
      <c r="L6987" s="668"/>
      <c r="M6987" s="668"/>
    </row>
    <row r="6988" spans="5:13">
      <c r="E6988" s="668"/>
      <c r="F6988" s="668"/>
      <c r="G6988" s="668"/>
      <c r="H6988" s="668"/>
      <c r="I6988" s="668"/>
      <c r="J6988" s="668"/>
      <c r="K6988" s="674"/>
      <c r="L6988" s="668"/>
      <c r="M6988" s="668"/>
    </row>
    <row r="6989" spans="5:13">
      <c r="E6989" s="668"/>
      <c r="F6989" s="668"/>
      <c r="G6989" s="668"/>
      <c r="H6989" s="668"/>
      <c r="I6989" s="668"/>
      <c r="J6989" s="668"/>
      <c r="K6989" s="674"/>
      <c r="L6989" s="668"/>
      <c r="M6989" s="668"/>
    </row>
    <row r="6990" spans="5:13">
      <c r="E6990" s="668"/>
      <c r="F6990" s="668"/>
      <c r="G6990" s="668"/>
      <c r="H6990" s="668"/>
      <c r="I6990" s="668"/>
      <c r="J6990" s="668"/>
      <c r="K6990" s="674"/>
      <c r="L6990" s="668"/>
      <c r="M6990" s="668"/>
    </row>
    <row r="6991" spans="5:13">
      <c r="E6991" s="668"/>
      <c r="F6991" s="668"/>
      <c r="G6991" s="668"/>
      <c r="H6991" s="668"/>
      <c r="I6991" s="668"/>
      <c r="J6991" s="668"/>
      <c r="K6991" s="674"/>
      <c r="L6991" s="668"/>
      <c r="M6991" s="668"/>
    </row>
    <row r="6992" spans="5:13">
      <c r="E6992" s="668"/>
      <c r="F6992" s="668"/>
      <c r="G6992" s="668"/>
      <c r="H6992" s="668"/>
      <c r="I6992" s="668"/>
      <c r="J6992" s="668"/>
      <c r="K6992" s="674"/>
      <c r="L6992" s="668"/>
      <c r="M6992" s="668"/>
    </row>
    <row r="6993" spans="5:13">
      <c r="E6993" s="668"/>
      <c r="F6993" s="668"/>
      <c r="G6993" s="668"/>
      <c r="H6993" s="668"/>
      <c r="I6993" s="668"/>
      <c r="J6993" s="668"/>
      <c r="K6993" s="674"/>
      <c r="L6993" s="668"/>
      <c r="M6993" s="668"/>
    </row>
    <row r="6994" spans="5:13">
      <c r="E6994" s="668"/>
      <c r="F6994" s="668"/>
      <c r="G6994" s="668"/>
      <c r="H6994" s="668"/>
      <c r="I6994" s="668"/>
      <c r="J6994" s="668"/>
      <c r="K6994" s="674"/>
      <c r="L6994" s="668"/>
      <c r="M6994" s="668"/>
    </row>
    <row r="6995" spans="5:13">
      <c r="E6995" s="668"/>
      <c r="F6995" s="668"/>
      <c r="G6995" s="668"/>
      <c r="H6995" s="668"/>
      <c r="I6995" s="668"/>
      <c r="J6995" s="668"/>
      <c r="K6995" s="674"/>
      <c r="L6995" s="668"/>
      <c r="M6995" s="668"/>
    </row>
    <row r="6996" spans="5:13">
      <c r="E6996" s="668"/>
      <c r="F6996" s="668"/>
      <c r="G6996" s="668"/>
      <c r="H6996" s="668"/>
      <c r="I6996" s="668"/>
      <c r="J6996" s="668"/>
      <c r="K6996" s="674"/>
      <c r="L6996" s="668"/>
      <c r="M6996" s="668"/>
    </row>
    <row r="6997" spans="5:13">
      <c r="E6997" s="668"/>
      <c r="F6997" s="668"/>
      <c r="G6997" s="668"/>
      <c r="H6997" s="668"/>
      <c r="I6997" s="668"/>
      <c r="J6997" s="668"/>
      <c r="K6997" s="674"/>
      <c r="L6997" s="668"/>
      <c r="M6997" s="668"/>
    </row>
    <row r="6998" spans="5:13">
      <c r="E6998" s="668"/>
      <c r="F6998" s="668"/>
      <c r="G6998" s="668"/>
      <c r="H6998" s="668"/>
      <c r="I6998" s="668"/>
      <c r="J6998" s="668"/>
      <c r="K6998" s="674"/>
      <c r="L6998" s="668"/>
      <c r="M6998" s="668"/>
    </row>
    <row r="6999" spans="5:13">
      <c r="E6999" s="668"/>
      <c r="F6999" s="668"/>
      <c r="G6999" s="668"/>
      <c r="H6999" s="668"/>
      <c r="I6999" s="668"/>
      <c r="J6999" s="668"/>
      <c r="K6999" s="674"/>
      <c r="L6999" s="668"/>
      <c r="M6999" s="668"/>
    </row>
    <row r="7000" spans="5:13">
      <c r="E7000" s="668"/>
      <c r="F7000" s="668"/>
      <c r="G7000" s="668"/>
      <c r="H7000" s="668"/>
      <c r="I7000" s="668"/>
      <c r="J7000" s="668"/>
      <c r="K7000" s="674"/>
      <c r="L7000" s="668"/>
      <c r="M7000" s="668"/>
    </row>
    <row r="7001" spans="5:13">
      <c r="E7001" s="668"/>
      <c r="F7001" s="668"/>
      <c r="G7001" s="668"/>
      <c r="H7001" s="668"/>
      <c r="I7001" s="668"/>
      <c r="J7001" s="668"/>
      <c r="K7001" s="674"/>
      <c r="L7001" s="668"/>
      <c r="M7001" s="668"/>
    </row>
    <row r="7002" spans="5:13">
      <c r="E7002" s="668"/>
      <c r="F7002" s="668"/>
      <c r="G7002" s="668"/>
      <c r="H7002" s="668"/>
      <c r="I7002" s="668"/>
      <c r="J7002" s="668"/>
      <c r="K7002" s="674"/>
      <c r="L7002" s="668"/>
      <c r="M7002" s="668"/>
    </row>
    <row r="7003" spans="5:13">
      <c r="E7003" s="668"/>
      <c r="F7003" s="668"/>
      <c r="G7003" s="668"/>
      <c r="H7003" s="668"/>
      <c r="I7003" s="668"/>
      <c r="J7003" s="668"/>
      <c r="K7003" s="674"/>
      <c r="L7003" s="668"/>
      <c r="M7003" s="668"/>
    </row>
    <row r="7004" spans="5:13">
      <c r="E7004" s="668"/>
      <c r="F7004" s="668"/>
      <c r="G7004" s="668"/>
      <c r="H7004" s="668"/>
      <c r="I7004" s="668"/>
      <c r="J7004" s="668"/>
      <c r="K7004" s="674"/>
      <c r="L7004" s="668"/>
      <c r="M7004" s="668"/>
    </row>
    <row r="7005" spans="5:13">
      <c r="E7005" s="668"/>
      <c r="F7005" s="668"/>
      <c r="G7005" s="668"/>
      <c r="H7005" s="668"/>
      <c r="I7005" s="668"/>
      <c r="J7005" s="668"/>
      <c r="K7005" s="674"/>
      <c r="L7005" s="668"/>
      <c r="M7005" s="668"/>
    </row>
    <row r="7006" spans="5:13">
      <c r="E7006" s="668"/>
      <c r="F7006" s="668"/>
      <c r="G7006" s="668"/>
      <c r="H7006" s="668"/>
      <c r="I7006" s="668"/>
      <c r="J7006" s="668"/>
      <c r="K7006" s="674"/>
      <c r="L7006" s="668"/>
      <c r="M7006" s="668"/>
    </row>
    <row r="7007" spans="5:13">
      <c r="E7007" s="668"/>
      <c r="F7007" s="668"/>
      <c r="G7007" s="668"/>
      <c r="H7007" s="668"/>
      <c r="I7007" s="668"/>
      <c r="J7007" s="668"/>
      <c r="K7007" s="674"/>
      <c r="L7007" s="668"/>
      <c r="M7007" s="668"/>
    </row>
    <row r="7008" spans="5:13">
      <c r="E7008" s="668"/>
      <c r="F7008" s="668"/>
      <c r="G7008" s="668"/>
      <c r="H7008" s="668"/>
      <c r="I7008" s="668"/>
      <c r="J7008" s="668"/>
      <c r="K7008" s="674"/>
      <c r="L7008" s="668"/>
      <c r="M7008" s="668"/>
    </row>
    <row r="7009" spans="5:13">
      <c r="E7009" s="668"/>
      <c r="F7009" s="668"/>
      <c r="G7009" s="668"/>
      <c r="H7009" s="668"/>
      <c r="I7009" s="668"/>
      <c r="J7009" s="668"/>
      <c r="K7009" s="674"/>
      <c r="L7009" s="668"/>
      <c r="M7009" s="668"/>
    </row>
    <row r="7010" spans="5:13">
      <c r="E7010" s="668"/>
      <c r="F7010" s="668"/>
      <c r="G7010" s="668"/>
      <c r="H7010" s="668"/>
      <c r="I7010" s="668"/>
      <c r="J7010" s="668"/>
      <c r="K7010" s="674"/>
      <c r="L7010" s="668"/>
      <c r="M7010" s="668"/>
    </row>
    <row r="7011" spans="5:13">
      <c r="E7011" s="668"/>
      <c r="F7011" s="668"/>
      <c r="G7011" s="668"/>
      <c r="H7011" s="668"/>
      <c r="I7011" s="668"/>
      <c r="J7011" s="668"/>
      <c r="K7011" s="674"/>
      <c r="L7011" s="668"/>
      <c r="M7011" s="668"/>
    </row>
    <row r="7012" spans="5:13">
      <c r="E7012" s="668"/>
      <c r="F7012" s="668"/>
      <c r="G7012" s="668"/>
      <c r="H7012" s="668"/>
      <c r="I7012" s="668"/>
      <c r="J7012" s="668"/>
      <c r="K7012" s="674"/>
      <c r="L7012" s="668"/>
      <c r="M7012" s="668"/>
    </row>
    <row r="7013" spans="5:13">
      <c r="E7013" s="668"/>
      <c r="F7013" s="668"/>
      <c r="G7013" s="668"/>
      <c r="H7013" s="668"/>
      <c r="I7013" s="668"/>
      <c r="J7013" s="668"/>
      <c r="K7013" s="674"/>
      <c r="L7013" s="668"/>
      <c r="M7013" s="668"/>
    </row>
    <row r="7014" spans="5:13">
      <c r="E7014" s="668"/>
      <c r="F7014" s="668"/>
      <c r="G7014" s="668"/>
      <c r="H7014" s="668"/>
      <c r="I7014" s="668"/>
      <c r="J7014" s="668"/>
      <c r="K7014" s="674"/>
      <c r="L7014" s="668"/>
      <c r="M7014" s="668"/>
    </row>
    <row r="7015" spans="5:13">
      <c r="E7015" s="668"/>
      <c r="F7015" s="668"/>
      <c r="G7015" s="668"/>
      <c r="H7015" s="668"/>
      <c r="I7015" s="668"/>
      <c r="J7015" s="668"/>
      <c r="K7015" s="674"/>
      <c r="L7015" s="668"/>
      <c r="M7015" s="668"/>
    </row>
    <row r="7016" spans="5:13">
      <c r="E7016" s="668"/>
      <c r="F7016" s="668"/>
      <c r="G7016" s="668"/>
      <c r="H7016" s="668"/>
      <c r="I7016" s="668"/>
      <c r="J7016" s="668"/>
      <c r="K7016" s="674"/>
      <c r="L7016" s="668"/>
      <c r="M7016" s="668"/>
    </row>
    <row r="7017" spans="5:13">
      <c r="E7017" s="668"/>
      <c r="F7017" s="668"/>
      <c r="G7017" s="668"/>
      <c r="H7017" s="668"/>
      <c r="I7017" s="668"/>
      <c r="J7017" s="668"/>
      <c r="K7017" s="674"/>
      <c r="L7017" s="668"/>
      <c r="M7017" s="668"/>
    </row>
    <row r="7018" spans="5:13">
      <c r="E7018" s="668"/>
      <c r="F7018" s="668"/>
      <c r="G7018" s="668"/>
      <c r="H7018" s="668"/>
      <c r="I7018" s="668"/>
      <c r="J7018" s="668"/>
      <c r="K7018" s="674"/>
      <c r="L7018" s="668"/>
      <c r="M7018" s="668"/>
    </row>
    <row r="7019" spans="5:13">
      <c r="E7019" s="668"/>
      <c r="F7019" s="668"/>
      <c r="G7019" s="668"/>
      <c r="H7019" s="668"/>
      <c r="I7019" s="668"/>
      <c r="J7019" s="668"/>
      <c r="K7019" s="674"/>
      <c r="L7019" s="668"/>
      <c r="M7019" s="668"/>
    </row>
    <row r="7020" spans="5:13">
      <c r="E7020" s="668"/>
      <c r="F7020" s="668"/>
      <c r="G7020" s="668"/>
      <c r="H7020" s="668"/>
      <c r="I7020" s="668"/>
      <c r="J7020" s="668"/>
      <c r="K7020" s="674"/>
      <c r="L7020" s="668"/>
      <c r="M7020" s="668"/>
    </row>
    <row r="7021" spans="5:13">
      <c r="E7021" s="668"/>
      <c r="F7021" s="668"/>
      <c r="G7021" s="668"/>
      <c r="H7021" s="668"/>
      <c r="I7021" s="668"/>
      <c r="J7021" s="668"/>
      <c r="K7021" s="674"/>
      <c r="L7021" s="668"/>
      <c r="M7021" s="668"/>
    </row>
    <row r="7022" spans="5:13">
      <c r="E7022" s="668"/>
      <c r="F7022" s="668"/>
      <c r="G7022" s="668"/>
      <c r="H7022" s="668"/>
      <c r="I7022" s="668"/>
      <c r="J7022" s="668"/>
      <c r="K7022" s="674"/>
      <c r="L7022" s="668"/>
      <c r="M7022" s="668"/>
    </row>
    <row r="7023" spans="5:13">
      <c r="E7023" s="668"/>
      <c r="F7023" s="668"/>
      <c r="G7023" s="668"/>
      <c r="H7023" s="668"/>
      <c r="I7023" s="668"/>
      <c r="J7023" s="668"/>
      <c r="K7023" s="674"/>
      <c r="L7023" s="668"/>
      <c r="M7023" s="668"/>
    </row>
    <row r="7024" spans="5:13">
      <c r="E7024" s="668"/>
      <c r="F7024" s="668"/>
      <c r="G7024" s="668"/>
      <c r="H7024" s="668"/>
      <c r="I7024" s="668"/>
      <c r="J7024" s="668"/>
      <c r="K7024" s="674"/>
      <c r="L7024" s="668"/>
      <c r="M7024" s="668"/>
    </row>
    <row r="7025" spans="5:13">
      <c r="E7025" s="668"/>
      <c r="F7025" s="668"/>
      <c r="G7025" s="668"/>
      <c r="H7025" s="668"/>
      <c r="I7025" s="668"/>
      <c r="J7025" s="668"/>
      <c r="K7025" s="674"/>
      <c r="L7025" s="668"/>
      <c r="M7025" s="668"/>
    </row>
    <row r="7026" spans="5:13">
      <c r="E7026" s="668"/>
      <c r="F7026" s="668"/>
      <c r="G7026" s="668"/>
      <c r="H7026" s="668"/>
      <c r="I7026" s="668"/>
      <c r="J7026" s="668"/>
      <c r="K7026" s="674"/>
      <c r="L7026" s="668"/>
      <c r="M7026" s="668"/>
    </row>
    <row r="7027" spans="5:13">
      <c r="E7027" s="668"/>
      <c r="F7027" s="668"/>
      <c r="G7027" s="668"/>
      <c r="H7027" s="668"/>
      <c r="I7027" s="668"/>
      <c r="J7027" s="668"/>
      <c r="K7027" s="674"/>
      <c r="L7027" s="668"/>
      <c r="M7027" s="668"/>
    </row>
    <row r="7028" spans="5:13">
      <c r="E7028" s="668"/>
      <c r="F7028" s="668"/>
      <c r="G7028" s="668"/>
      <c r="H7028" s="668"/>
      <c r="I7028" s="668"/>
      <c r="J7028" s="668"/>
      <c r="K7028" s="674"/>
      <c r="L7028" s="668"/>
      <c r="M7028" s="668"/>
    </row>
    <row r="7029" spans="5:13">
      <c r="E7029" s="668"/>
      <c r="F7029" s="668"/>
      <c r="G7029" s="668"/>
      <c r="H7029" s="668"/>
      <c r="I7029" s="668"/>
      <c r="J7029" s="668"/>
      <c r="K7029" s="674"/>
      <c r="L7029" s="668"/>
      <c r="M7029" s="668"/>
    </row>
    <row r="7030" spans="5:13">
      <c r="E7030" s="668"/>
      <c r="F7030" s="668"/>
      <c r="G7030" s="668"/>
      <c r="H7030" s="668"/>
      <c r="I7030" s="668"/>
      <c r="J7030" s="668"/>
      <c r="K7030" s="674"/>
      <c r="L7030" s="668"/>
      <c r="M7030" s="668"/>
    </row>
    <row r="7031" spans="5:13">
      <c r="E7031" s="668"/>
      <c r="F7031" s="668"/>
      <c r="G7031" s="668"/>
      <c r="H7031" s="668"/>
      <c r="I7031" s="668"/>
      <c r="J7031" s="668"/>
      <c r="K7031" s="674"/>
      <c r="L7031" s="668"/>
      <c r="M7031" s="668"/>
    </row>
    <row r="7032" spans="5:13">
      <c r="E7032" s="668"/>
      <c r="F7032" s="668"/>
      <c r="G7032" s="668"/>
      <c r="H7032" s="668"/>
      <c r="I7032" s="668"/>
      <c r="J7032" s="668"/>
      <c r="K7032" s="674"/>
      <c r="L7032" s="668"/>
      <c r="M7032" s="668"/>
    </row>
    <row r="7033" spans="5:13">
      <c r="E7033" s="668"/>
      <c r="F7033" s="668"/>
      <c r="G7033" s="668"/>
      <c r="H7033" s="668"/>
      <c r="I7033" s="668"/>
      <c r="J7033" s="668"/>
      <c r="K7033" s="674"/>
      <c r="L7033" s="668"/>
      <c r="M7033" s="668"/>
    </row>
    <row r="7034" spans="5:13">
      <c r="E7034" s="668"/>
      <c r="F7034" s="668"/>
      <c r="G7034" s="668"/>
      <c r="H7034" s="668"/>
      <c r="I7034" s="668"/>
      <c r="J7034" s="668"/>
      <c r="K7034" s="674"/>
      <c r="L7034" s="668"/>
      <c r="M7034" s="668"/>
    </row>
    <row r="7035" spans="5:13">
      <c r="E7035" s="668"/>
      <c r="F7035" s="668"/>
      <c r="G7035" s="668"/>
      <c r="H7035" s="668"/>
      <c r="I7035" s="668"/>
      <c r="J7035" s="668"/>
      <c r="K7035" s="674"/>
      <c r="L7035" s="668"/>
      <c r="M7035" s="668"/>
    </row>
    <row r="7036" spans="5:13">
      <c r="E7036" s="668"/>
      <c r="F7036" s="668"/>
      <c r="G7036" s="668"/>
      <c r="H7036" s="668"/>
      <c r="I7036" s="668"/>
      <c r="J7036" s="668"/>
      <c r="K7036" s="674"/>
      <c r="L7036" s="668"/>
      <c r="M7036" s="668"/>
    </row>
    <row r="7037" spans="5:13">
      <c r="E7037" s="668"/>
      <c r="F7037" s="668"/>
      <c r="G7037" s="668"/>
      <c r="H7037" s="668"/>
      <c r="I7037" s="668"/>
      <c r="J7037" s="668"/>
      <c r="K7037" s="674"/>
      <c r="L7037" s="668"/>
      <c r="M7037" s="668"/>
    </row>
    <row r="7038" spans="5:13">
      <c r="E7038" s="668"/>
      <c r="F7038" s="668"/>
      <c r="G7038" s="668"/>
      <c r="H7038" s="668"/>
      <c r="I7038" s="668"/>
      <c r="J7038" s="668"/>
      <c r="K7038" s="674"/>
      <c r="L7038" s="668"/>
      <c r="M7038" s="668"/>
    </row>
    <row r="7039" spans="5:13">
      <c r="E7039" s="668"/>
      <c r="F7039" s="668"/>
      <c r="G7039" s="668"/>
      <c r="H7039" s="668"/>
      <c r="I7039" s="668"/>
      <c r="J7039" s="668"/>
      <c r="K7039" s="674"/>
      <c r="L7039" s="668"/>
      <c r="M7039" s="668"/>
    </row>
    <row r="7040" spans="5:13">
      <c r="E7040" s="668"/>
      <c r="F7040" s="668"/>
      <c r="G7040" s="668"/>
      <c r="H7040" s="668"/>
      <c r="I7040" s="668"/>
      <c r="J7040" s="668"/>
      <c r="K7040" s="674"/>
      <c r="L7040" s="668"/>
      <c r="M7040" s="668"/>
    </row>
    <row r="7041" spans="5:13">
      <c r="E7041" s="668"/>
      <c r="F7041" s="668"/>
      <c r="G7041" s="668"/>
      <c r="H7041" s="668"/>
      <c r="I7041" s="668"/>
      <c r="J7041" s="668"/>
      <c r="K7041" s="674"/>
      <c r="L7041" s="668"/>
      <c r="M7041" s="668"/>
    </row>
    <row r="7042" spans="5:13">
      <c r="E7042" s="668"/>
      <c r="F7042" s="668"/>
      <c r="G7042" s="668"/>
      <c r="H7042" s="668"/>
      <c r="I7042" s="668"/>
      <c r="J7042" s="668"/>
      <c r="K7042" s="674"/>
      <c r="L7042" s="668"/>
      <c r="M7042" s="668"/>
    </row>
    <row r="7043" spans="5:13">
      <c r="E7043" s="668"/>
      <c r="F7043" s="668"/>
      <c r="G7043" s="668"/>
      <c r="H7043" s="668"/>
      <c r="I7043" s="668"/>
      <c r="J7043" s="668"/>
      <c r="K7043" s="674"/>
      <c r="L7043" s="668"/>
      <c r="M7043" s="668"/>
    </row>
    <row r="7044" spans="5:13">
      <c r="E7044" s="668"/>
      <c r="F7044" s="668"/>
      <c r="G7044" s="668"/>
      <c r="H7044" s="668"/>
      <c r="I7044" s="668"/>
      <c r="J7044" s="668"/>
      <c r="K7044" s="674"/>
      <c r="L7044" s="668"/>
      <c r="M7044" s="668"/>
    </row>
    <row r="7045" spans="5:13">
      <c r="E7045" s="668"/>
      <c r="F7045" s="668"/>
      <c r="G7045" s="668"/>
      <c r="H7045" s="668"/>
      <c r="I7045" s="668"/>
      <c r="J7045" s="668"/>
      <c r="K7045" s="674"/>
      <c r="L7045" s="668"/>
      <c r="M7045" s="668"/>
    </row>
    <row r="7046" spans="5:13">
      <c r="E7046" s="668"/>
      <c r="F7046" s="668"/>
      <c r="G7046" s="668"/>
      <c r="H7046" s="668"/>
      <c r="I7046" s="668"/>
      <c r="J7046" s="668"/>
      <c r="K7046" s="674"/>
      <c r="L7046" s="668"/>
      <c r="M7046" s="668"/>
    </row>
    <row r="7047" spans="5:13">
      <c r="E7047" s="668"/>
      <c r="F7047" s="668"/>
      <c r="G7047" s="668"/>
      <c r="H7047" s="668"/>
      <c r="I7047" s="668"/>
      <c r="J7047" s="668"/>
      <c r="K7047" s="674"/>
      <c r="L7047" s="668"/>
      <c r="M7047" s="668"/>
    </row>
    <row r="7048" spans="5:13">
      <c r="E7048" s="668"/>
      <c r="F7048" s="668"/>
      <c r="G7048" s="668"/>
      <c r="H7048" s="668"/>
      <c r="I7048" s="668"/>
      <c r="J7048" s="668"/>
      <c r="K7048" s="674"/>
      <c r="L7048" s="668"/>
      <c r="M7048" s="668"/>
    </row>
    <row r="7049" spans="5:13">
      <c r="E7049" s="668"/>
      <c r="F7049" s="668"/>
      <c r="G7049" s="668"/>
      <c r="H7049" s="668"/>
      <c r="I7049" s="668"/>
      <c r="J7049" s="668"/>
      <c r="K7049" s="674"/>
      <c r="L7049" s="668"/>
      <c r="M7049" s="668"/>
    </row>
    <row r="7050" spans="5:13">
      <c r="E7050" s="668"/>
      <c r="F7050" s="668"/>
      <c r="G7050" s="668"/>
      <c r="H7050" s="668"/>
      <c r="I7050" s="668"/>
      <c r="J7050" s="668"/>
      <c r="K7050" s="674"/>
      <c r="L7050" s="668"/>
      <c r="M7050" s="668"/>
    </row>
    <row r="7051" spans="5:13">
      <c r="E7051" s="668"/>
      <c r="F7051" s="668"/>
      <c r="G7051" s="668"/>
      <c r="H7051" s="668"/>
      <c r="I7051" s="668"/>
      <c r="J7051" s="668"/>
      <c r="K7051" s="674"/>
      <c r="L7051" s="668"/>
      <c r="M7051" s="668"/>
    </row>
    <row r="7052" spans="5:13">
      <c r="E7052" s="668"/>
      <c r="F7052" s="668"/>
      <c r="G7052" s="668"/>
      <c r="H7052" s="668"/>
      <c r="I7052" s="668"/>
      <c r="J7052" s="668"/>
      <c r="K7052" s="674"/>
      <c r="L7052" s="668"/>
      <c r="M7052" s="668"/>
    </row>
    <row r="7053" spans="5:13">
      <c r="E7053" s="668"/>
      <c r="F7053" s="668"/>
      <c r="G7053" s="668"/>
      <c r="H7053" s="668"/>
      <c r="I7053" s="668"/>
      <c r="J7053" s="668"/>
      <c r="K7053" s="674"/>
      <c r="L7053" s="668"/>
      <c r="M7053" s="668"/>
    </row>
    <row r="7054" spans="5:13">
      <c r="E7054" s="668"/>
      <c r="F7054" s="668"/>
      <c r="G7054" s="668"/>
      <c r="H7054" s="668"/>
      <c r="I7054" s="668"/>
      <c r="J7054" s="668"/>
      <c r="K7054" s="674"/>
      <c r="L7054" s="668"/>
      <c r="M7054" s="668"/>
    </row>
    <row r="7055" spans="5:13">
      <c r="E7055" s="668"/>
      <c r="F7055" s="668"/>
      <c r="G7055" s="668"/>
      <c r="H7055" s="668"/>
      <c r="I7055" s="668"/>
      <c r="J7055" s="668"/>
      <c r="K7055" s="674"/>
      <c r="L7055" s="668"/>
      <c r="M7055" s="668"/>
    </row>
    <row r="7056" spans="5:13">
      <c r="E7056" s="668"/>
      <c r="F7056" s="668"/>
      <c r="G7056" s="668"/>
      <c r="H7056" s="668"/>
      <c r="I7056" s="668"/>
      <c r="J7056" s="668"/>
      <c r="K7056" s="674"/>
      <c r="L7056" s="668"/>
      <c r="M7056" s="668"/>
    </row>
    <row r="7057" spans="5:13">
      <c r="E7057" s="668"/>
      <c r="F7057" s="668"/>
      <c r="G7057" s="668"/>
      <c r="H7057" s="668"/>
      <c r="I7057" s="668"/>
      <c r="J7057" s="668"/>
      <c r="K7057" s="674"/>
      <c r="L7057" s="668"/>
      <c r="M7057" s="668"/>
    </row>
    <row r="7058" spans="5:13">
      <c r="E7058" s="668"/>
      <c r="F7058" s="668"/>
      <c r="G7058" s="668"/>
      <c r="H7058" s="668"/>
      <c r="I7058" s="668"/>
      <c r="J7058" s="668"/>
      <c r="K7058" s="674"/>
      <c r="L7058" s="668"/>
      <c r="M7058" s="668"/>
    </row>
    <row r="7059" spans="5:13">
      <c r="E7059" s="668"/>
      <c r="F7059" s="668"/>
      <c r="G7059" s="668"/>
      <c r="H7059" s="668"/>
      <c r="I7059" s="668"/>
      <c r="J7059" s="668"/>
      <c r="K7059" s="674"/>
      <c r="L7059" s="668"/>
      <c r="M7059" s="668"/>
    </row>
    <row r="7060" spans="5:13">
      <c r="E7060" s="668"/>
      <c r="F7060" s="668"/>
      <c r="G7060" s="668"/>
      <c r="H7060" s="668"/>
      <c r="I7060" s="668"/>
      <c r="J7060" s="668"/>
      <c r="K7060" s="674"/>
      <c r="L7060" s="668"/>
      <c r="M7060" s="668"/>
    </row>
    <row r="7061" spans="5:13">
      <c r="E7061" s="668"/>
      <c r="F7061" s="668"/>
      <c r="G7061" s="668"/>
      <c r="H7061" s="668"/>
      <c r="I7061" s="668"/>
      <c r="J7061" s="668"/>
      <c r="K7061" s="674"/>
      <c r="L7061" s="668"/>
      <c r="M7061" s="668"/>
    </row>
    <row r="7062" spans="5:13">
      <c r="E7062" s="668"/>
      <c r="F7062" s="668"/>
      <c r="G7062" s="668"/>
      <c r="H7062" s="668"/>
      <c r="I7062" s="668"/>
      <c r="J7062" s="668"/>
      <c r="K7062" s="674"/>
      <c r="L7062" s="668"/>
      <c r="M7062" s="668"/>
    </row>
    <row r="7063" spans="5:13">
      <c r="E7063" s="668"/>
      <c r="F7063" s="668"/>
      <c r="G7063" s="668"/>
      <c r="H7063" s="668"/>
      <c r="I7063" s="668"/>
      <c r="J7063" s="668"/>
      <c r="K7063" s="674"/>
      <c r="L7063" s="668"/>
      <c r="M7063" s="668"/>
    </row>
    <row r="7064" spans="5:13">
      <c r="E7064" s="668"/>
      <c r="F7064" s="668"/>
      <c r="G7064" s="668"/>
      <c r="H7064" s="668"/>
      <c r="I7064" s="668"/>
      <c r="J7064" s="668"/>
      <c r="K7064" s="674"/>
      <c r="L7064" s="668"/>
      <c r="M7064" s="668"/>
    </row>
    <row r="7065" spans="5:13">
      <c r="E7065" s="668"/>
      <c r="F7065" s="668"/>
      <c r="G7065" s="668"/>
      <c r="H7065" s="668"/>
      <c r="I7065" s="668"/>
      <c r="J7065" s="668"/>
      <c r="K7065" s="674"/>
      <c r="L7065" s="668"/>
      <c r="M7065" s="668"/>
    </row>
    <row r="7066" spans="5:13">
      <c r="E7066" s="668"/>
      <c r="F7066" s="668"/>
      <c r="G7066" s="668"/>
      <c r="H7066" s="668"/>
      <c r="I7066" s="668"/>
      <c r="J7066" s="668"/>
      <c r="K7066" s="674"/>
      <c r="L7066" s="668"/>
      <c r="M7066" s="668"/>
    </row>
    <row r="7067" spans="5:13">
      <c r="E7067" s="668"/>
      <c r="F7067" s="668"/>
      <c r="G7067" s="668"/>
      <c r="H7067" s="668"/>
      <c r="I7067" s="668"/>
      <c r="J7067" s="668"/>
      <c r="K7067" s="674"/>
      <c r="L7067" s="668"/>
      <c r="M7067" s="668"/>
    </row>
    <row r="7068" spans="5:13">
      <c r="E7068" s="668"/>
      <c r="F7068" s="668"/>
      <c r="G7068" s="668"/>
      <c r="H7068" s="668"/>
      <c r="I7068" s="668"/>
      <c r="J7068" s="668"/>
      <c r="K7068" s="674"/>
      <c r="L7068" s="668"/>
      <c r="M7068" s="668"/>
    </row>
    <row r="7069" spans="5:13">
      <c r="E7069" s="668"/>
      <c r="F7069" s="668"/>
      <c r="G7069" s="668"/>
      <c r="H7069" s="668"/>
      <c r="I7069" s="668"/>
      <c r="J7069" s="668"/>
      <c r="K7069" s="674"/>
      <c r="L7069" s="668"/>
      <c r="M7069" s="668"/>
    </row>
    <row r="7070" spans="5:13">
      <c r="E7070" s="668"/>
      <c r="F7070" s="668"/>
      <c r="G7070" s="668"/>
      <c r="H7070" s="668"/>
      <c r="I7070" s="668"/>
      <c r="J7070" s="668"/>
      <c r="K7070" s="674"/>
      <c r="L7070" s="668"/>
      <c r="M7070" s="668"/>
    </row>
    <row r="7071" spans="5:13">
      <c r="E7071" s="668"/>
      <c r="F7071" s="668"/>
      <c r="G7071" s="668"/>
      <c r="H7071" s="668"/>
      <c r="I7071" s="668"/>
      <c r="J7071" s="668"/>
      <c r="K7071" s="674"/>
      <c r="L7071" s="668"/>
      <c r="M7071" s="668"/>
    </row>
    <row r="7072" spans="5:13">
      <c r="E7072" s="668"/>
      <c r="F7072" s="668"/>
      <c r="G7072" s="668"/>
      <c r="H7072" s="668"/>
      <c r="I7072" s="668"/>
      <c r="J7072" s="668"/>
      <c r="K7072" s="674"/>
      <c r="L7072" s="668"/>
      <c r="M7072" s="668"/>
    </row>
    <row r="7073" spans="5:13">
      <c r="E7073" s="668"/>
      <c r="F7073" s="668"/>
      <c r="G7073" s="668"/>
      <c r="H7073" s="668"/>
      <c r="I7073" s="668"/>
      <c r="J7073" s="668"/>
      <c r="K7073" s="674"/>
      <c r="L7073" s="668"/>
      <c r="M7073" s="668"/>
    </row>
    <row r="7074" spans="5:13">
      <c r="E7074" s="668"/>
      <c r="F7074" s="668"/>
      <c r="G7074" s="668"/>
      <c r="H7074" s="668"/>
      <c r="I7074" s="668"/>
      <c r="J7074" s="668"/>
      <c r="K7074" s="674"/>
      <c r="L7074" s="668"/>
      <c r="M7074" s="668"/>
    </row>
    <row r="7075" spans="5:13">
      <c r="E7075" s="668"/>
      <c r="F7075" s="668"/>
      <c r="G7075" s="668"/>
      <c r="H7075" s="668"/>
      <c r="I7075" s="668"/>
      <c r="J7075" s="668"/>
      <c r="K7075" s="674"/>
      <c r="L7075" s="668"/>
      <c r="M7075" s="668"/>
    </row>
    <row r="7076" spans="5:13">
      <c r="E7076" s="668"/>
      <c r="F7076" s="668"/>
      <c r="G7076" s="668"/>
      <c r="H7076" s="668"/>
      <c r="I7076" s="668"/>
      <c r="J7076" s="668"/>
      <c r="K7076" s="674"/>
      <c r="L7076" s="668"/>
      <c r="M7076" s="668"/>
    </row>
    <row r="7077" spans="5:13">
      <c r="E7077" s="668"/>
      <c r="F7077" s="668"/>
      <c r="G7077" s="668"/>
      <c r="H7077" s="668"/>
      <c r="I7077" s="668"/>
      <c r="J7077" s="668"/>
      <c r="K7077" s="674"/>
      <c r="L7077" s="668"/>
      <c r="M7077" s="668"/>
    </row>
    <row r="7078" spans="5:13">
      <c r="E7078" s="668"/>
      <c r="F7078" s="668"/>
      <c r="G7078" s="668"/>
      <c r="H7078" s="668"/>
      <c r="I7078" s="668"/>
      <c r="J7078" s="668"/>
      <c r="K7078" s="674"/>
      <c r="L7078" s="668"/>
      <c r="M7078" s="668"/>
    </row>
    <row r="7079" spans="5:13">
      <c r="E7079" s="668"/>
      <c r="F7079" s="668"/>
      <c r="G7079" s="668"/>
      <c r="H7079" s="668"/>
      <c r="I7079" s="668"/>
      <c r="J7079" s="668"/>
      <c r="K7079" s="674"/>
      <c r="L7079" s="668"/>
      <c r="M7079" s="668"/>
    </row>
    <row r="7080" spans="5:13">
      <c r="E7080" s="668"/>
      <c r="F7080" s="668"/>
      <c r="G7080" s="668"/>
      <c r="H7080" s="668"/>
      <c r="I7080" s="668"/>
      <c r="J7080" s="668"/>
      <c r="K7080" s="674"/>
      <c r="L7080" s="668"/>
      <c r="M7080" s="668"/>
    </row>
    <row r="7081" spans="5:13">
      <c r="E7081" s="668"/>
      <c r="F7081" s="668"/>
      <c r="G7081" s="668"/>
      <c r="H7081" s="668"/>
      <c r="I7081" s="668"/>
      <c r="J7081" s="668"/>
      <c r="K7081" s="674"/>
      <c r="L7081" s="668"/>
      <c r="M7081" s="668"/>
    </row>
    <row r="7082" spans="5:13">
      <c r="E7082" s="668"/>
      <c r="F7082" s="668"/>
      <c r="G7082" s="668"/>
      <c r="H7082" s="668"/>
      <c r="I7082" s="668"/>
      <c r="J7082" s="668"/>
      <c r="K7082" s="674"/>
      <c r="L7082" s="668"/>
      <c r="M7082" s="668"/>
    </row>
    <row r="7083" spans="5:13">
      <c r="E7083" s="668"/>
      <c r="F7083" s="668"/>
      <c r="G7083" s="668"/>
      <c r="H7083" s="668"/>
      <c r="I7083" s="668"/>
      <c r="J7083" s="668"/>
      <c r="K7083" s="674"/>
      <c r="L7083" s="668"/>
      <c r="M7083" s="668"/>
    </row>
    <row r="7084" spans="5:13">
      <c r="E7084" s="668"/>
      <c r="F7084" s="668"/>
      <c r="G7084" s="668"/>
      <c r="H7084" s="668"/>
      <c r="I7084" s="668"/>
      <c r="J7084" s="668"/>
      <c r="K7084" s="674"/>
      <c r="L7084" s="668"/>
      <c r="M7084" s="668"/>
    </row>
    <row r="7085" spans="5:13">
      <c r="E7085" s="668"/>
      <c r="F7085" s="668"/>
      <c r="G7085" s="668"/>
      <c r="H7085" s="668"/>
      <c r="I7085" s="668"/>
      <c r="J7085" s="668"/>
      <c r="K7085" s="674"/>
      <c r="L7085" s="668"/>
      <c r="M7085" s="668"/>
    </row>
    <row r="7086" spans="5:13">
      <c r="E7086" s="668"/>
      <c r="F7086" s="668"/>
      <c r="G7086" s="668"/>
      <c r="H7086" s="668"/>
      <c r="I7086" s="668"/>
      <c r="J7086" s="668"/>
      <c r="K7086" s="674"/>
      <c r="L7086" s="668"/>
      <c r="M7086" s="668"/>
    </row>
    <row r="7087" spans="5:13">
      <c r="E7087" s="668"/>
      <c r="F7087" s="668"/>
      <c r="G7087" s="668"/>
      <c r="H7087" s="668"/>
      <c r="I7087" s="668"/>
      <c r="J7087" s="668"/>
      <c r="K7087" s="674"/>
      <c r="L7087" s="668"/>
      <c r="M7087" s="668"/>
    </row>
    <row r="7088" spans="5:13">
      <c r="E7088" s="668"/>
      <c r="F7088" s="668"/>
      <c r="G7088" s="668"/>
      <c r="H7088" s="668"/>
      <c r="I7088" s="668"/>
      <c r="J7088" s="668"/>
      <c r="K7088" s="674"/>
      <c r="L7088" s="668"/>
      <c r="M7088" s="668"/>
    </row>
    <row r="7089" spans="5:13">
      <c r="E7089" s="668"/>
      <c r="F7089" s="668"/>
      <c r="G7089" s="668"/>
      <c r="H7089" s="668"/>
      <c r="I7089" s="668"/>
      <c r="J7089" s="668"/>
      <c r="K7089" s="674"/>
      <c r="L7089" s="668"/>
      <c r="M7089" s="668"/>
    </row>
    <row r="7090" spans="5:13">
      <c r="E7090" s="668"/>
      <c r="F7090" s="668"/>
      <c r="G7090" s="668"/>
      <c r="H7090" s="668"/>
      <c r="I7090" s="668"/>
      <c r="J7090" s="668"/>
      <c r="K7090" s="674"/>
      <c r="L7090" s="668"/>
      <c r="M7090" s="668"/>
    </row>
    <row r="7091" spans="5:13">
      <c r="E7091" s="668"/>
      <c r="F7091" s="668"/>
      <c r="G7091" s="668"/>
      <c r="H7091" s="668"/>
      <c r="I7091" s="668"/>
      <c r="J7091" s="668"/>
      <c r="K7091" s="674"/>
      <c r="L7091" s="668"/>
      <c r="M7091" s="668"/>
    </row>
    <row r="7092" spans="5:13">
      <c r="E7092" s="668"/>
      <c r="F7092" s="668"/>
      <c r="G7092" s="668"/>
      <c r="H7092" s="668"/>
      <c r="I7092" s="668"/>
      <c r="J7092" s="668"/>
      <c r="K7092" s="674"/>
      <c r="L7092" s="668"/>
      <c r="M7092" s="668"/>
    </row>
    <row r="7093" spans="5:13">
      <c r="E7093" s="668"/>
      <c r="F7093" s="668"/>
      <c r="G7093" s="668"/>
      <c r="H7093" s="668"/>
      <c r="I7093" s="668"/>
      <c r="J7093" s="668"/>
      <c r="K7093" s="674"/>
      <c r="L7093" s="668"/>
      <c r="M7093" s="668"/>
    </row>
    <row r="7094" spans="5:13">
      <c r="E7094" s="668"/>
      <c r="F7094" s="668"/>
      <c r="G7094" s="668"/>
      <c r="H7094" s="668"/>
      <c r="I7094" s="668"/>
      <c r="J7094" s="668"/>
      <c r="K7094" s="674"/>
      <c r="L7094" s="668"/>
      <c r="M7094" s="668"/>
    </row>
    <row r="7095" spans="5:13">
      <c r="E7095" s="668"/>
      <c r="F7095" s="668"/>
      <c r="G7095" s="668"/>
      <c r="H7095" s="668"/>
      <c r="I7095" s="668"/>
      <c r="J7095" s="668"/>
      <c r="K7095" s="674"/>
      <c r="L7095" s="668"/>
      <c r="M7095" s="668"/>
    </row>
    <row r="7096" spans="5:13">
      <c r="E7096" s="668"/>
      <c r="F7096" s="668"/>
      <c r="G7096" s="668"/>
      <c r="H7096" s="668"/>
      <c r="I7096" s="668"/>
      <c r="J7096" s="668"/>
      <c r="K7096" s="674"/>
      <c r="L7096" s="668"/>
      <c r="M7096" s="668"/>
    </row>
    <row r="7097" spans="5:13">
      <c r="E7097" s="668"/>
      <c r="F7097" s="668"/>
      <c r="G7097" s="668"/>
      <c r="H7097" s="668"/>
      <c r="I7097" s="668"/>
      <c r="J7097" s="668"/>
      <c r="K7097" s="674"/>
      <c r="L7097" s="668"/>
      <c r="M7097" s="668"/>
    </row>
    <row r="7098" spans="5:13">
      <c r="E7098" s="668"/>
      <c r="F7098" s="668"/>
      <c r="G7098" s="668"/>
      <c r="H7098" s="668"/>
      <c r="I7098" s="668"/>
      <c r="J7098" s="668"/>
      <c r="K7098" s="674"/>
      <c r="L7098" s="668"/>
      <c r="M7098" s="668"/>
    </row>
    <row r="7099" spans="5:13">
      <c r="E7099" s="668"/>
      <c r="F7099" s="668"/>
      <c r="G7099" s="668"/>
      <c r="H7099" s="668"/>
      <c r="I7099" s="668"/>
      <c r="J7099" s="668"/>
      <c r="K7099" s="674"/>
      <c r="L7099" s="668"/>
      <c r="M7099" s="668"/>
    </row>
    <row r="7100" spans="5:13">
      <c r="E7100" s="668"/>
      <c r="F7100" s="668"/>
      <c r="G7100" s="668"/>
      <c r="H7100" s="668"/>
      <c r="I7100" s="668"/>
      <c r="J7100" s="668"/>
      <c r="K7100" s="674"/>
      <c r="L7100" s="668"/>
      <c r="M7100" s="668"/>
    </row>
    <row r="7101" spans="5:13">
      <c r="E7101" s="668"/>
      <c r="F7101" s="668"/>
      <c r="G7101" s="668"/>
      <c r="H7101" s="668"/>
      <c r="I7101" s="668"/>
      <c r="J7101" s="668"/>
      <c r="K7101" s="674"/>
      <c r="L7101" s="668"/>
      <c r="M7101" s="668"/>
    </row>
    <row r="7102" spans="5:13">
      <c r="E7102" s="668"/>
      <c r="F7102" s="668"/>
      <c r="G7102" s="668"/>
      <c r="H7102" s="668"/>
      <c r="I7102" s="668"/>
      <c r="J7102" s="668"/>
      <c r="K7102" s="674"/>
      <c r="L7102" s="668"/>
      <c r="M7102" s="668"/>
    </row>
    <row r="7103" spans="5:13">
      <c r="E7103" s="668"/>
      <c r="F7103" s="668"/>
      <c r="G7103" s="668"/>
      <c r="H7103" s="668"/>
      <c r="I7103" s="668"/>
      <c r="J7103" s="668"/>
      <c r="K7103" s="674"/>
      <c r="L7103" s="668"/>
      <c r="M7103" s="668"/>
    </row>
    <row r="7104" spans="5:13">
      <c r="E7104" s="668"/>
      <c r="F7104" s="668"/>
      <c r="G7104" s="668"/>
      <c r="H7104" s="668"/>
      <c r="I7104" s="668"/>
      <c r="J7104" s="668"/>
      <c r="K7104" s="674"/>
      <c r="L7104" s="668"/>
      <c r="M7104" s="668"/>
    </row>
    <row r="7105" spans="5:13">
      <c r="E7105" s="668"/>
      <c r="F7105" s="668"/>
      <c r="G7105" s="668"/>
      <c r="H7105" s="668"/>
      <c r="I7105" s="668"/>
      <c r="J7105" s="668"/>
      <c r="K7105" s="674"/>
      <c r="L7105" s="668"/>
      <c r="M7105" s="668"/>
    </row>
    <row r="7106" spans="5:13">
      <c r="E7106" s="668"/>
      <c r="F7106" s="668"/>
      <c r="G7106" s="668"/>
      <c r="H7106" s="668"/>
      <c r="I7106" s="668"/>
      <c r="J7106" s="668"/>
      <c r="K7106" s="674"/>
      <c r="L7106" s="668"/>
      <c r="M7106" s="668"/>
    </row>
    <row r="7107" spans="5:13">
      <c r="E7107" s="668"/>
      <c r="F7107" s="668"/>
      <c r="G7107" s="668"/>
      <c r="H7107" s="668"/>
      <c r="I7107" s="668"/>
      <c r="J7107" s="668"/>
      <c r="K7107" s="674"/>
      <c r="L7107" s="668"/>
      <c r="M7107" s="668"/>
    </row>
    <row r="7108" spans="5:13">
      <c r="E7108" s="668"/>
      <c r="F7108" s="668"/>
      <c r="G7108" s="668"/>
      <c r="H7108" s="668"/>
      <c r="I7108" s="668"/>
      <c r="J7108" s="668"/>
      <c r="K7108" s="674"/>
      <c r="L7108" s="668"/>
      <c r="M7108" s="668"/>
    </row>
    <row r="7109" spans="5:13">
      <c r="E7109" s="668"/>
      <c r="F7109" s="668"/>
      <c r="G7109" s="668"/>
      <c r="H7109" s="668"/>
      <c r="I7109" s="668"/>
      <c r="J7109" s="668"/>
      <c r="K7109" s="674"/>
      <c r="L7109" s="668"/>
      <c r="M7109" s="668"/>
    </row>
    <row r="7110" spans="5:13">
      <c r="E7110" s="668"/>
      <c r="F7110" s="668"/>
      <c r="G7110" s="668"/>
      <c r="H7110" s="668"/>
      <c r="I7110" s="668"/>
      <c r="J7110" s="668"/>
      <c r="K7110" s="674"/>
      <c r="L7110" s="668"/>
      <c r="M7110" s="668"/>
    </row>
    <row r="7111" spans="5:13">
      <c r="E7111" s="668"/>
      <c r="F7111" s="668"/>
      <c r="G7111" s="668"/>
      <c r="H7111" s="668"/>
      <c r="I7111" s="668"/>
      <c r="J7111" s="668"/>
      <c r="K7111" s="674"/>
      <c r="L7111" s="668"/>
      <c r="M7111" s="668"/>
    </row>
    <row r="7112" spans="5:13">
      <c r="E7112" s="668"/>
      <c r="F7112" s="668"/>
      <c r="G7112" s="668"/>
      <c r="H7112" s="668"/>
      <c r="I7112" s="668"/>
      <c r="J7112" s="668"/>
      <c r="K7112" s="674"/>
      <c r="L7112" s="668"/>
      <c r="M7112" s="668"/>
    </row>
    <row r="7113" spans="5:13">
      <c r="E7113" s="668"/>
      <c r="F7113" s="668"/>
      <c r="G7113" s="668"/>
      <c r="H7113" s="668"/>
      <c r="I7113" s="668"/>
      <c r="J7113" s="668"/>
      <c r="K7113" s="674"/>
      <c r="L7113" s="668"/>
      <c r="M7113" s="668"/>
    </row>
    <row r="7114" spans="5:13">
      <c r="E7114" s="668"/>
      <c r="F7114" s="668"/>
      <c r="G7114" s="668"/>
      <c r="H7114" s="668"/>
      <c r="I7114" s="668"/>
      <c r="J7114" s="668"/>
      <c r="K7114" s="674"/>
      <c r="L7114" s="668"/>
      <c r="M7114" s="668"/>
    </row>
    <row r="7115" spans="5:13">
      <c r="E7115" s="668"/>
      <c r="F7115" s="668"/>
      <c r="G7115" s="668"/>
      <c r="H7115" s="668"/>
      <c r="I7115" s="668"/>
      <c r="J7115" s="668"/>
      <c r="K7115" s="674"/>
      <c r="L7115" s="668"/>
      <c r="M7115" s="668"/>
    </row>
    <row r="7116" spans="5:13">
      <c r="E7116" s="668"/>
      <c r="F7116" s="668"/>
      <c r="G7116" s="668"/>
      <c r="H7116" s="668"/>
      <c r="I7116" s="668"/>
      <c r="J7116" s="668"/>
      <c r="K7116" s="674"/>
      <c r="L7116" s="668"/>
      <c r="M7116" s="668"/>
    </row>
    <row r="7117" spans="5:13">
      <c r="E7117" s="668"/>
      <c r="F7117" s="668"/>
      <c r="G7117" s="668"/>
      <c r="H7117" s="668"/>
      <c r="I7117" s="668"/>
      <c r="J7117" s="668"/>
      <c r="K7117" s="674"/>
      <c r="L7117" s="668"/>
      <c r="M7117" s="668"/>
    </row>
    <row r="7118" spans="5:13">
      <c r="E7118" s="668"/>
      <c r="F7118" s="668"/>
      <c r="G7118" s="668"/>
      <c r="H7118" s="668"/>
      <c r="I7118" s="668"/>
      <c r="J7118" s="668"/>
      <c r="K7118" s="674"/>
      <c r="L7118" s="668"/>
      <c r="M7118" s="668"/>
    </row>
    <row r="7119" spans="5:13">
      <c r="E7119" s="668"/>
      <c r="F7119" s="668"/>
      <c r="G7119" s="668"/>
      <c r="H7119" s="668"/>
      <c r="I7119" s="668"/>
      <c r="J7119" s="668"/>
      <c r="K7119" s="674"/>
      <c r="L7119" s="668"/>
      <c r="M7119" s="668"/>
    </row>
    <row r="7120" spans="5:13">
      <c r="E7120" s="668"/>
      <c r="F7120" s="668"/>
      <c r="G7120" s="668"/>
      <c r="H7120" s="668"/>
      <c r="I7120" s="668"/>
      <c r="J7120" s="668"/>
      <c r="K7120" s="674"/>
      <c r="L7120" s="668"/>
      <c r="M7120" s="668"/>
    </row>
    <row r="7121" spans="5:13">
      <c r="E7121" s="668"/>
      <c r="F7121" s="668"/>
      <c r="G7121" s="668"/>
      <c r="H7121" s="668"/>
      <c r="I7121" s="668"/>
      <c r="J7121" s="668"/>
      <c r="K7121" s="674"/>
      <c r="L7121" s="668"/>
      <c r="M7121" s="668"/>
    </row>
    <row r="7122" spans="5:13">
      <c r="E7122" s="668"/>
      <c r="F7122" s="668"/>
      <c r="G7122" s="668"/>
      <c r="H7122" s="668"/>
      <c r="I7122" s="668"/>
      <c r="J7122" s="668"/>
      <c r="K7122" s="674"/>
      <c r="L7122" s="668"/>
      <c r="M7122" s="668"/>
    </row>
    <row r="7123" spans="5:13">
      <c r="E7123" s="668"/>
      <c r="F7123" s="668"/>
      <c r="G7123" s="668"/>
      <c r="H7123" s="668"/>
      <c r="I7123" s="668"/>
      <c r="J7123" s="668"/>
      <c r="K7123" s="674"/>
      <c r="L7123" s="668"/>
      <c r="M7123" s="668"/>
    </row>
    <row r="7124" spans="5:13">
      <c r="E7124" s="668"/>
      <c r="F7124" s="668"/>
      <c r="G7124" s="668"/>
      <c r="H7124" s="668"/>
      <c r="I7124" s="668"/>
      <c r="J7124" s="668"/>
      <c r="K7124" s="674"/>
      <c r="L7124" s="668"/>
      <c r="M7124" s="668"/>
    </row>
    <row r="7125" spans="5:13">
      <c r="E7125" s="668"/>
      <c r="F7125" s="668"/>
      <c r="G7125" s="668"/>
      <c r="H7125" s="668"/>
      <c r="I7125" s="668"/>
      <c r="J7125" s="668"/>
      <c r="K7125" s="674"/>
      <c r="L7125" s="668"/>
      <c r="M7125" s="668"/>
    </row>
    <row r="7126" spans="5:13">
      <c r="E7126" s="668"/>
      <c r="F7126" s="668"/>
      <c r="G7126" s="668"/>
      <c r="H7126" s="668"/>
      <c r="I7126" s="668"/>
      <c r="J7126" s="668"/>
      <c r="K7126" s="674"/>
      <c r="L7126" s="668"/>
      <c r="M7126" s="668"/>
    </row>
    <row r="7127" spans="5:13">
      <c r="E7127" s="668"/>
      <c r="F7127" s="668"/>
      <c r="G7127" s="668"/>
      <c r="H7127" s="668"/>
      <c r="I7127" s="668"/>
      <c r="J7127" s="668"/>
      <c r="K7127" s="674"/>
      <c r="L7127" s="668"/>
      <c r="M7127" s="668"/>
    </row>
    <row r="7128" spans="5:13">
      <c r="E7128" s="668"/>
      <c r="F7128" s="668"/>
      <c r="G7128" s="668"/>
      <c r="H7128" s="668"/>
      <c r="I7128" s="668"/>
      <c r="J7128" s="668"/>
      <c r="K7128" s="674"/>
      <c r="L7128" s="668"/>
      <c r="M7128" s="668"/>
    </row>
    <row r="7129" spans="5:13">
      <c r="E7129" s="668"/>
      <c r="F7129" s="668"/>
      <c r="G7129" s="668"/>
      <c r="H7129" s="668"/>
      <c r="I7129" s="668"/>
      <c r="J7129" s="668"/>
      <c r="K7129" s="674"/>
      <c r="L7129" s="668"/>
      <c r="M7129" s="668"/>
    </row>
    <row r="7130" spans="5:13">
      <c r="E7130" s="668"/>
      <c r="F7130" s="668"/>
      <c r="G7130" s="668"/>
      <c r="H7130" s="668"/>
      <c r="I7130" s="668"/>
      <c r="J7130" s="668"/>
      <c r="K7130" s="674"/>
      <c r="L7130" s="668"/>
      <c r="M7130" s="668"/>
    </row>
    <row r="7131" spans="5:13">
      <c r="E7131" s="668"/>
      <c r="F7131" s="668"/>
      <c r="G7131" s="668"/>
      <c r="H7131" s="668"/>
      <c r="I7131" s="668"/>
      <c r="J7131" s="668"/>
      <c r="K7131" s="674"/>
      <c r="L7131" s="668"/>
      <c r="M7131" s="668"/>
    </row>
    <row r="7132" spans="5:13">
      <c r="E7132" s="668"/>
      <c r="F7132" s="668"/>
      <c r="G7132" s="668"/>
      <c r="H7132" s="668"/>
      <c r="I7132" s="668"/>
      <c r="J7132" s="668"/>
      <c r="K7132" s="674"/>
      <c r="L7132" s="668"/>
      <c r="M7132" s="668"/>
    </row>
    <row r="7133" spans="5:13">
      <c r="E7133" s="668"/>
      <c r="F7133" s="668"/>
      <c r="G7133" s="668"/>
      <c r="H7133" s="668"/>
      <c r="I7133" s="668"/>
      <c r="J7133" s="668"/>
      <c r="K7133" s="674"/>
      <c r="L7133" s="668"/>
      <c r="M7133" s="668"/>
    </row>
    <row r="7134" spans="5:13">
      <c r="E7134" s="668"/>
      <c r="F7134" s="668"/>
      <c r="G7134" s="668"/>
      <c r="H7134" s="668"/>
      <c r="I7134" s="668"/>
      <c r="J7134" s="668"/>
      <c r="K7134" s="674"/>
      <c r="L7134" s="668"/>
      <c r="M7134" s="668"/>
    </row>
    <row r="7135" spans="5:13">
      <c r="E7135" s="668"/>
      <c r="F7135" s="668"/>
      <c r="G7135" s="668"/>
      <c r="H7135" s="668"/>
      <c r="I7135" s="668"/>
      <c r="J7135" s="668"/>
      <c r="K7135" s="674"/>
      <c r="L7135" s="668"/>
      <c r="M7135" s="668"/>
    </row>
    <row r="7136" spans="5:13">
      <c r="E7136" s="668"/>
      <c r="F7136" s="668"/>
      <c r="G7136" s="668"/>
      <c r="H7136" s="668"/>
      <c r="I7136" s="668"/>
      <c r="J7136" s="668"/>
      <c r="K7136" s="674"/>
      <c r="L7136" s="668"/>
      <c r="M7136" s="668"/>
    </row>
    <row r="7137" spans="5:13">
      <c r="E7137" s="668"/>
      <c r="F7137" s="668"/>
      <c r="G7137" s="668"/>
      <c r="H7137" s="668"/>
      <c r="I7137" s="668"/>
      <c r="J7137" s="668"/>
      <c r="K7137" s="674"/>
      <c r="L7137" s="668"/>
      <c r="M7137" s="668"/>
    </row>
    <row r="7138" spans="5:13">
      <c r="E7138" s="668"/>
      <c r="F7138" s="668"/>
      <c r="G7138" s="668"/>
      <c r="H7138" s="668"/>
      <c r="I7138" s="668"/>
      <c r="J7138" s="668"/>
      <c r="K7138" s="674"/>
      <c r="L7138" s="668"/>
      <c r="M7138" s="668"/>
    </row>
    <row r="7139" spans="5:13">
      <c r="E7139" s="668"/>
      <c r="F7139" s="668"/>
      <c r="G7139" s="668"/>
      <c r="H7139" s="668"/>
      <c r="I7139" s="668"/>
      <c r="J7139" s="668"/>
      <c r="K7139" s="674"/>
      <c r="L7139" s="668"/>
      <c r="M7139" s="668"/>
    </row>
    <row r="7140" spans="5:13">
      <c r="E7140" s="668"/>
      <c r="F7140" s="668"/>
      <c r="G7140" s="668"/>
      <c r="H7140" s="668"/>
      <c r="I7140" s="668"/>
      <c r="J7140" s="668"/>
      <c r="K7140" s="674"/>
      <c r="L7140" s="668"/>
      <c r="M7140" s="668"/>
    </row>
    <row r="7141" spans="5:13">
      <c r="E7141" s="668"/>
      <c r="F7141" s="668"/>
      <c r="G7141" s="668"/>
      <c r="H7141" s="668"/>
      <c r="I7141" s="668"/>
      <c r="J7141" s="668"/>
      <c r="K7141" s="674"/>
      <c r="L7141" s="668"/>
      <c r="M7141" s="668"/>
    </row>
    <row r="7142" spans="5:13">
      <c r="E7142" s="668"/>
      <c r="F7142" s="668"/>
      <c r="G7142" s="668"/>
      <c r="H7142" s="668"/>
      <c r="I7142" s="668"/>
      <c r="J7142" s="668"/>
      <c r="K7142" s="674"/>
      <c r="L7142" s="668"/>
      <c r="M7142" s="668"/>
    </row>
    <row r="7143" spans="5:13">
      <c r="E7143" s="668"/>
      <c r="F7143" s="668"/>
      <c r="G7143" s="668"/>
      <c r="H7143" s="668"/>
      <c r="I7143" s="668"/>
      <c r="J7143" s="668"/>
      <c r="K7143" s="674"/>
      <c r="L7143" s="668"/>
      <c r="M7143" s="668"/>
    </row>
    <row r="7144" spans="5:13">
      <c r="E7144" s="668"/>
      <c r="F7144" s="668"/>
      <c r="G7144" s="668"/>
      <c r="H7144" s="668"/>
      <c r="I7144" s="668"/>
      <c r="J7144" s="668"/>
      <c r="K7144" s="674"/>
      <c r="L7144" s="668"/>
      <c r="M7144" s="668"/>
    </row>
    <row r="7145" spans="5:13">
      <c r="E7145" s="668"/>
      <c r="F7145" s="668"/>
      <c r="G7145" s="668"/>
      <c r="H7145" s="668"/>
      <c r="I7145" s="668"/>
      <c r="J7145" s="668"/>
      <c r="K7145" s="674"/>
      <c r="L7145" s="668"/>
      <c r="M7145" s="668"/>
    </row>
    <row r="7146" spans="5:13">
      <c r="E7146" s="668"/>
      <c r="F7146" s="668"/>
      <c r="G7146" s="668"/>
      <c r="H7146" s="668"/>
      <c r="I7146" s="668"/>
      <c r="J7146" s="668"/>
      <c r="K7146" s="674"/>
      <c r="L7146" s="668"/>
      <c r="M7146" s="668"/>
    </row>
    <row r="7147" spans="5:13">
      <c r="E7147" s="668"/>
      <c r="F7147" s="668"/>
      <c r="G7147" s="668"/>
      <c r="H7147" s="668"/>
      <c r="I7147" s="668"/>
      <c r="J7147" s="668"/>
      <c r="K7147" s="674"/>
      <c r="L7147" s="668"/>
      <c r="M7147" s="668"/>
    </row>
    <row r="7148" spans="5:13">
      <c r="E7148" s="668"/>
      <c r="F7148" s="668"/>
      <c r="G7148" s="668"/>
      <c r="H7148" s="668"/>
      <c r="I7148" s="668"/>
      <c r="J7148" s="668"/>
      <c r="K7148" s="674"/>
      <c r="L7148" s="668"/>
      <c r="M7148" s="668"/>
    </row>
    <row r="7149" spans="5:13">
      <c r="E7149" s="668"/>
      <c r="F7149" s="668"/>
      <c r="G7149" s="668"/>
      <c r="H7149" s="668"/>
      <c r="I7149" s="668"/>
      <c r="J7149" s="668"/>
      <c r="K7149" s="674"/>
      <c r="L7149" s="668"/>
      <c r="M7149" s="668"/>
    </row>
    <row r="7150" spans="5:13">
      <c r="E7150" s="668"/>
      <c r="F7150" s="668"/>
      <c r="G7150" s="668"/>
      <c r="H7150" s="668"/>
      <c r="I7150" s="668"/>
      <c r="J7150" s="668"/>
      <c r="K7150" s="674"/>
      <c r="L7150" s="668"/>
      <c r="M7150" s="668"/>
    </row>
    <row r="7151" spans="5:13">
      <c r="E7151" s="668"/>
      <c r="F7151" s="668"/>
      <c r="G7151" s="668"/>
      <c r="H7151" s="668"/>
      <c r="I7151" s="668"/>
      <c r="J7151" s="668"/>
      <c r="K7151" s="674"/>
      <c r="L7151" s="668"/>
      <c r="M7151" s="668"/>
    </row>
    <row r="7152" spans="5:13">
      <c r="E7152" s="668"/>
      <c r="F7152" s="668"/>
      <c r="G7152" s="668"/>
      <c r="H7152" s="668"/>
      <c r="I7152" s="668"/>
      <c r="J7152" s="668"/>
      <c r="K7152" s="674"/>
      <c r="L7152" s="668"/>
      <c r="M7152" s="668"/>
    </row>
    <row r="7153" spans="5:13">
      <c r="E7153" s="668"/>
      <c r="F7153" s="668"/>
      <c r="G7153" s="668"/>
      <c r="H7153" s="668"/>
      <c r="I7153" s="668"/>
      <c r="J7153" s="668"/>
      <c r="K7153" s="674"/>
      <c r="L7153" s="668"/>
      <c r="M7153" s="668"/>
    </row>
    <row r="7154" spans="5:13">
      <c r="E7154" s="668"/>
      <c r="F7154" s="668"/>
      <c r="G7154" s="668"/>
      <c r="H7154" s="668"/>
      <c r="I7154" s="668"/>
      <c r="J7154" s="668"/>
      <c r="K7154" s="674"/>
      <c r="L7154" s="668"/>
      <c r="M7154" s="668"/>
    </row>
    <row r="7155" spans="5:13">
      <c r="E7155" s="668"/>
      <c r="F7155" s="668"/>
      <c r="G7155" s="668"/>
      <c r="H7155" s="668"/>
      <c r="I7155" s="668"/>
      <c r="J7155" s="668"/>
      <c r="K7155" s="674"/>
      <c r="L7155" s="668"/>
      <c r="M7155" s="668"/>
    </row>
    <row r="7156" spans="5:13">
      <c r="E7156" s="668"/>
      <c r="F7156" s="668"/>
      <c r="G7156" s="668"/>
      <c r="H7156" s="668"/>
      <c r="I7156" s="668"/>
      <c r="J7156" s="668"/>
      <c r="K7156" s="674"/>
      <c r="L7156" s="668"/>
      <c r="M7156" s="668"/>
    </row>
    <row r="7157" spans="5:13">
      <c r="E7157" s="668"/>
      <c r="F7157" s="668"/>
      <c r="G7157" s="668"/>
      <c r="H7157" s="668"/>
      <c r="I7157" s="668"/>
      <c r="J7157" s="668"/>
      <c r="K7157" s="674"/>
      <c r="L7157" s="668"/>
      <c r="M7157" s="668"/>
    </row>
    <row r="7158" spans="5:13">
      <c r="E7158" s="668"/>
      <c r="F7158" s="668"/>
      <c r="G7158" s="668"/>
      <c r="H7158" s="668"/>
      <c r="I7158" s="668"/>
      <c r="J7158" s="668"/>
      <c r="K7158" s="674"/>
      <c r="L7158" s="668"/>
      <c r="M7158" s="668"/>
    </row>
    <row r="7159" spans="5:13">
      <c r="E7159" s="668"/>
      <c r="F7159" s="668"/>
      <c r="G7159" s="668"/>
      <c r="H7159" s="668"/>
      <c r="I7159" s="668"/>
      <c r="J7159" s="668"/>
      <c r="K7159" s="674"/>
      <c r="L7159" s="668"/>
      <c r="M7159" s="668"/>
    </row>
    <row r="7160" spans="5:13">
      <c r="E7160" s="668"/>
      <c r="F7160" s="668"/>
      <c r="G7160" s="668"/>
      <c r="H7160" s="668"/>
      <c r="I7160" s="668"/>
      <c r="J7160" s="668"/>
      <c r="K7160" s="674"/>
      <c r="L7160" s="668"/>
      <c r="M7160" s="668"/>
    </row>
    <row r="7161" spans="5:13">
      <c r="E7161" s="668"/>
      <c r="F7161" s="668"/>
      <c r="G7161" s="668"/>
      <c r="H7161" s="668"/>
      <c r="I7161" s="668"/>
      <c r="J7161" s="668"/>
      <c r="K7161" s="674"/>
      <c r="L7161" s="668"/>
      <c r="M7161" s="668"/>
    </row>
    <row r="7162" spans="5:13">
      <c r="E7162" s="668"/>
      <c r="F7162" s="668"/>
      <c r="G7162" s="668"/>
      <c r="H7162" s="668"/>
      <c r="I7162" s="668"/>
      <c r="J7162" s="668"/>
      <c r="K7162" s="674"/>
      <c r="L7162" s="668"/>
      <c r="M7162" s="668"/>
    </row>
    <row r="7163" spans="5:13">
      <c r="E7163" s="668"/>
      <c r="F7163" s="668"/>
      <c r="G7163" s="668"/>
      <c r="H7163" s="668"/>
      <c r="I7163" s="668"/>
      <c r="J7163" s="668"/>
      <c r="K7163" s="674"/>
      <c r="L7163" s="668"/>
      <c r="M7163" s="668"/>
    </row>
    <row r="7164" spans="5:13">
      <c r="E7164" s="668"/>
      <c r="F7164" s="668"/>
      <c r="G7164" s="668"/>
      <c r="H7164" s="668"/>
      <c r="I7164" s="668"/>
      <c r="J7164" s="668"/>
      <c r="K7164" s="674"/>
      <c r="L7164" s="668"/>
      <c r="M7164" s="668"/>
    </row>
    <row r="7165" spans="5:13">
      <c r="E7165" s="668"/>
      <c r="F7165" s="668"/>
      <c r="G7165" s="668"/>
      <c r="H7165" s="668"/>
      <c r="I7165" s="668"/>
      <c r="J7165" s="668"/>
      <c r="K7165" s="674"/>
      <c r="L7165" s="668"/>
      <c r="M7165" s="668"/>
    </row>
    <row r="7166" spans="5:13">
      <c r="E7166" s="668"/>
      <c r="F7166" s="668"/>
      <c r="G7166" s="668"/>
      <c r="H7166" s="668"/>
      <c r="I7166" s="668"/>
      <c r="J7166" s="668"/>
      <c r="K7166" s="674"/>
      <c r="L7166" s="668"/>
      <c r="M7166" s="668"/>
    </row>
    <row r="7167" spans="5:13">
      <c r="E7167" s="668"/>
      <c r="F7167" s="668"/>
      <c r="G7167" s="668"/>
      <c r="H7167" s="668"/>
      <c r="I7167" s="668"/>
      <c r="J7167" s="668"/>
      <c r="K7167" s="674"/>
      <c r="L7167" s="668"/>
      <c r="M7167" s="668"/>
    </row>
    <row r="7168" spans="5:13">
      <c r="E7168" s="668"/>
      <c r="F7168" s="668"/>
      <c r="G7168" s="668"/>
      <c r="H7168" s="668"/>
      <c r="I7168" s="668"/>
      <c r="J7168" s="668"/>
      <c r="K7168" s="674"/>
      <c r="L7168" s="668"/>
      <c r="M7168" s="668"/>
    </row>
    <row r="7169" spans="5:13">
      <c r="E7169" s="668"/>
      <c r="F7169" s="668"/>
      <c r="G7169" s="668"/>
      <c r="H7169" s="668"/>
      <c r="I7169" s="668"/>
      <c r="J7169" s="668"/>
      <c r="K7169" s="674"/>
      <c r="L7169" s="668"/>
      <c r="M7169" s="668"/>
    </row>
    <row r="7170" spans="5:13">
      <c r="E7170" s="668"/>
      <c r="F7170" s="668"/>
      <c r="G7170" s="668"/>
      <c r="H7170" s="668"/>
      <c r="I7170" s="668"/>
      <c r="J7170" s="668"/>
      <c r="K7170" s="674"/>
      <c r="L7170" s="668"/>
      <c r="M7170" s="668"/>
    </row>
    <row r="7171" spans="5:13">
      <c r="E7171" s="668"/>
      <c r="F7171" s="668"/>
      <c r="G7171" s="668"/>
      <c r="H7171" s="668"/>
      <c r="I7171" s="668"/>
      <c r="J7171" s="668"/>
      <c r="K7171" s="674"/>
      <c r="L7171" s="668"/>
      <c r="M7171" s="668"/>
    </row>
    <row r="7172" spans="5:13">
      <c r="E7172" s="668"/>
      <c r="F7172" s="668"/>
      <c r="G7172" s="668"/>
      <c r="H7172" s="668"/>
      <c r="I7172" s="668"/>
      <c r="J7172" s="668"/>
      <c r="K7172" s="674"/>
      <c r="L7172" s="668"/>
      <c r="M7172" s="668"/>
    </row>
    <row r="7173" spans="5:13">
      <c r="E7173" s="668"/>
      <c r="F7173" s="668"/>
      <c r="G7173" s="668"/>
      <c r="H7173" s="668"/>
      <c r="I7173" s="668"/>
      <c r="J7173" s="668"/>
      <c r="K7173" s="674"/>
      <c r="L7173" s="668"/>
      <c r="M7173" s="668"/>
    </row>
    <row r="7174" spans="5:13">
      <c r="E7174" s="668"/>
      <c r="F7174" s="668"/>
      <c r="G7174" s="668"/>
      <c r="H7174" s="668"/>
      <c r="I7174" s="668"/>
      <c r="J7174" s="668"/>
      <c r="K7174" s="674"/>
      <c r="L7174" s="668"/>
      <c r="M7174" s="668"/>
    </row>
    <row r="7175" spans="5:13">
      <c r="E7175" s="668"/>
      <c r="F7175" s="668"/>
      <c r="G7175" s="668"/>
      <c r="H7175" s="668"/>
      <c r="I7175" s="668"/>
      <c r="J7175" s="668"/>
      <c r="K7175" s="674"/>
      <c r="L7175" s="668"/>
      <c r="M7175" s="668"/>
    </row>
    <row r="7176" spans="5:13">
      <c r="E7176" s="668"/>
      <c r="F7176" s="668"/>
      <c r="G7176" s="668"/>
      <c r="H7176" s="668"/>
      <c r="I7176" s="668"/>
      <c r="J7176" s="668"/>
      <c r="K7176" s="674"/>
      <c r="L7176" s="668"/>
      <c r="M7176" s="668"/>
    </row>
    <row r="7177" spans="5:13">
      <c r="E7177" s="668"/>
      <c r="F7177" s="668"/>
      <c r="G7177" s="668"/>
      <c r="H7177" s="668"/>
      <c r="I7177" s="668"/>
      <c r="J7177" s="668"/>
      <c r="K7177" s="674"/>
      <c r="L7177" s="668"/>
      <c r="M7177" s="668"/>
    </row>
    <row r="7178" spans="5:13">
      <c r="E7178" s="668"/>
      <c r="F7178" s="668"/>
      <c r="G7178" s="668"/>
      <c r="H7178" s="668"/>
      <c r="I7178" s="668"/>
      <c r="J7178" s="668"/>
      <c r="K7178" s="674"/>
      <c r="L7178" s="668"/>
      <c r="M7178" s="668"/>
    </row>
    <row r="7179" spans="5:13">
      <c r="E7179" s="668"/>
      <c r="F7179" s="668"/>
      <c r="G7179" s="668"/>
      <c r="H7179" s="668"/>
      <c r="I7179" s="668"/>
      <c r="J7179" s="668"/>
      <c r="K7179" s="674"/>
      <c r="L7179" s="668"/>
      <c r="M7179" s="668"/>
    </row>
    <row r="7180" spans="5:13">
      <c r="E7180" s="668"/>
      <c r="F7180" s="668"/>
      <c r="G7180" s="668"/>
      <c r="H7180" s="668"/>
      <c r="I7180" s="668"/>
      <c r="J7180" s="668"/>
      <c r="K7180" s="674"/>
      <c r="L7180" s="668"/>
      <c r="M7180" s="668"/>
    </row>
    <row r="7181" spans="5:13">
      <c r="E7181" s="668"/>
      <c r="F7181" s="668"/>
      <c r="G7181" s="668"/>
      <c r="H7181" s="668"/>
      <c r="I7181" s="668"/>
      <c r="J7181" s="668"/>
      <c r="K7181" s="674"/>
      <c r="L7181" s="668"/>
      <c r="M7181" s="668"/>
    </row>
    <row r="7182" spans="5:13">
      <c r="E7182" s="668"/>
      <c r="F7182" s="668"/>
      <c r="G7182" s="668"/>
      <c r="H7182" s="668"/>
      <c r="I7182" s="668"/>
      <c r="J7182" s="668"/>
      <c r="K7182" s="674"/>
      <c r="L7182" s="668"/>
      <c r="M7182" s="668"/>
    </row>
    <row r="7183" spans="5:13">
      <c r="E7183" s="668"/>
      <c r="F7183" s="668"/>
      <c r="G7183" s="668"/>
      <c r="H7183" s="668"/>
      <c r="I7183" s="668"/>
      <c r="J7183" s="668"/>
      <c r="K7183" s="674"/>
      <c r="L7183" s="668"/>
      <c r="M7183" s="668"/>
    </row>
    <row r="7184" spans="5:13">
      <c r="E7184" s="668"/>
      <c r="F7184" s="668"/>
      <c r="G7184" s="668"/>
      <c r="H7184" s="668"/>
      <c r="I7184" s="668"/>
      <c r="J7184" s="668"/>
      <c r="K7184" s="674"/>
      <c r="L7184" s="668"/>
      <c r="M7184" s="668"/>
    </row>
    <row r="7185" spans="5:13">
      <c r="E7185" s="668"/>
      <c r="F7185" s="668"/>
      <c r="G7185" s="668"/>
      <c r="H7185" s="668"/>
      <c r="I7185" s="668"/>
      <c r="J7185" s="668"/>
      <c r="K7185" s="674"/>
      <c r="L7185" s="668"/>
      <c r="M7185" s="668"/>
    </row>
    <row r="7186" spans="5:13">
      <c r="E7186" s="668"/>
      <c r="F7186" s="668"/>
      <c r="G7186" s="668"/>
      <c r="H7186" s="668"/>
      <c r="I7186" s="668"/>
      <c r="J7186" s="668"/>
      <c r="K7186" s="674"/>
      <c r="L7186" s="668"/>
      <c r="M7186" s="668"/>
    </row>
    <row r="7187" spans="5:13">
      <c r="E7187" s="668"/>
      <c r="F7187" s="668"/>
      <c r="G7187" s="668"/>
      <c r="H7187" s="668"/>
      <c r="I7187" s="668"/>
      <c r="J7187" s="668"/>
      <c r="K7187" s="674"/>
      <c r="L7187" s="668"/>
      <c r="M7187" s="668"/>
    </row>
    <row r="7188" spans="5:13">
      <c r="E7188" s="668"/>
      <c r="F7188" s="668"/>
      <c r="G7188" s="668"/>
      <c r="H7188" s="668"/>
      <c r="I7188" s="668"/>
      <c r="J7188" s="668"/>
      <c r="K7188" s="674"/>
      <c r="L7188" s="668"/>
      <c r="M7188" s="668"/>
    </row>
    <row r="7189" spans="5:13">
      <c r="E7189" s="668"/>
      <c r="F7189" s="668"/>
      <c r="G7189" s="668"/>
      <c r="H7189" s="668"/>
      <c r="I7189" s="668"/>
      <c r="J7189" s="668"/>
      <c r="K7189" s="674"/>
      <c r="L7189" s="668"/>
      <c r="M7189" s="668"/>
    </row>
    <row r="7190" spans="5:13">
      <c r="E7190" s="668"/>
      <c r="F7190" s="668"/>
      <c r="G7190" s="668"/>
      <c r="H7190" s="668"/>
      <c r="I7190" s="668"/>
      <c r="J7190" s="668"/>
      <c r="K7190" s="674"/>
      <c r="L7190" s="668"/>
      <c r="M7190" s="668"/>
    </row>
    <row r="7191" spans="5:13">
      <c r="E7191" s="668"/>
      <c r="F7191" s="668"/>
      <c r="G7191" s="668"/>
      <c r="H7191" s="668"/>
      <c r="I7191" s="668"/>
      <c r="J7191" s="668"/>
      <c r="K7191" s="674"/>
      <c r="L7191" s="668"/>
      <c r="M7191" s="668"/>
    </row>
    <row r="7192" spans="5:13">
      <c r="E7192" s="668"/>
      <c r="F7192" s="668"/>
      <c r="G7192" s="668"/>
      <c r="H7192" s="668"/>
      <c r="I7192" s="668"/>
      <c r="J7192" s="668"/>
      <c r="K7192" s="674"/>
      <c r="L7192" s="668"/>
      <c r="M7192" s="668"/>
    </row>
    <row r="7193" spans="5:13">
      <c r="E7193" s="668"/>
      <c r="F7193" s="668"/>
      <c r="G7193" s="668"/>
      <c r="H7193" s="668"/>
      <c r="I7193" s="668"/>
      <c r="J7193" s="668"/>
      <c r="K7193" s="674"/>
      <c r="L7193" s="668"/>
      <c r="M7193" s="668"/>
    </row>
    <row r="7194" spans="5:13">
      <c r="E7194" s="668"/>
      <c r="F7194" s="668"/>
      <c r="G7194" s="668"/>
      <c r="H7194" s="668"/>
      <c r="I7194" s="668"/>
      <c r="J7194" s="668"/>
      <c r="K7194" s="674"/>
      <c r="L7194" s="668"/>
      <c r="M7194" s="668"/>
    </row>
    <row r="7195" spans="5:13">
      <c r="E7195" s="668"/>
      <c r="F7195" s="668"/>
      <c r="G7195" s="668"/>
      <c r="H7195" s="668"/>
      <c r="I7195" s="668"/>
      <c r="J7195" s="668"/>
      <c r="K7195" s="674"/>
      <c r="L7195" s="668"/>
      <c r="M7195" s="668"/>
    </row>
    <row r="7196" spans="5:13">
      <c r="E7196" s="668"/>
      <c r="F7196" s="668"/>
      <c r="G7196" s="668"/>
      <c r="H7196" s="668"/>
      <c r="I7196" s="668"/>
      <c r="J7196" s="668"/>
      <c r="K7196" s="674"/>
      <c r="L7196" s="668"/>
      <c r="M7196" s="668"/>
    </row>
    <row r="7197" spans="5:13">
      <c r="E7197" s="668"/>
      <c r="F7197" s="668"/>
      <c r="G7197" s="668"/>
      <c r="H7197" s="668"/>
      <c r="I7197" s="668"/>
      <c r="J7197" s="668"/>
      <c r="K7197" s="674"/>
      <c r="L7197" s="668"/>
      <c r="M7197" s="668"/>
    </row>
    <row r="7198" spans="5:13">
      <c r="E7198" s="668"/>
      <c r="F7198" s="668"/>
      <c r="G7198" s="668"/>
      <c r="H7198" s="668"/>
      <c r="I7198" s="668"/>
      <c r="J7198" s="668"/>
      <c r="K7198" s="674"/>
      <c r="L7198" s="668"/>
      <c r="M7198" s="668"/>
    </row>
    <row r="7199" spans="5:13">
      <c r="E7199" s="668"/>
      <c r="F7199" s="668"/>
      <c r="G7199" s="668"/>
      <c r="H7199" s="668"/>
      <c r="I7199" s="668"/>
      <c r="J7199" s="668"/>
      <c r="K7199" s="674"/>
      <c r="L7199" s="668"/>
      <c r="M7199" s="668"/>
    </row>
    <row r="7200" spans="5:13">
      <c r="E7200" s="668"/>
      <c r="F7200" s="668"/>
      <c r="G7200" s="668"/>
      <c r="H7200" s="668"/>
      <c r="I7200" s="668"/>
      <c r="J7200" s="668"/>
      <c r="K7200" s="674"/>
      <c r="L7200" s="668"/>
      <c r="M7200" s="668"/>
    </row>
    <row r="7201" spans="5:13">
      <c r="E7201" s="668"/>
      <c r="F7201" s="668"/>
      <c r="G7201" s="668"/>
      <c r="H7201" s="668"/>
      <c r="I7201" s="668"/>
      <c r="J7201" s="668"/>
      <c r="K7201" s="674"/>
      <c r="L7201" s="668"/>
      <c r="M7201" s="668"/>
    </row>
    <row r="7202" spans="5:13">
      <c r="E7202" s="668"/>
      <c r="F7202" s="668"/>
      <c r="G7202" s="668"/>
      <c r="H7202" s="668"/>
      <c r="I7202" s="668"/>
      <c r="J7202" s="668"/>
      <c r="K7202" s="674"/>
      <c r="L7202" s="668"/>
      <c r="M7202" s="668"/>
    </row>
    <row r="7203" spans="5:13">
      <c r="E7203" s="668"/>
      <c r="F7203" s="668"/>
      <c r="G7203" s="668"/>
      <c r="H7203" s="668"/>
      <c r="I7203" s="668"/>
      <c r="J7203" s="668"/>
      <c r="K7203" s="674"/>
      <c r="L7203" s="668"/>
      <c r="M7203" s="668"/>
    </row>
    <row r="7204" spans="5:13">
      <c r="E7204" s="668"/>
      <c r="F7204" s="668"/>
      <c r="G7204" s="668"/>
      <c r="H7204" s="668"/>
      <c r="I7204" s="668"/>
      <c r="J7204" s="668"/>
      <c r="K7204" s="674"/>
      <c r="L7204" s="668"/>
      <c r="M7204" s="668"/>
    </row>
    <row r="7205" spans="5:13">
      <c r="E7205" s="668"/>
      <c r="F7205" s="668"/>
      <c r="G7205" s="668"/>
      <c r="H7205" s="668"/>
      <c r="I7205" s="668"/>
      <c r="J7205" s="668"/>
      <c r="K7205" s="674"/>
      <c r="L7205" s="668"/>
      <c r="M7205" s="668"/>
    </row>
    <row r="7206" spans="5:13">
      <c r="E7206" s="668"/>
      <c r="F7206" s="668"/>
      <c r="G7206" s="668"/>
      <c r="H7206" s="668"/>
      <c r="I7206" s="668"/>
      <c r="J7206" s="668"/>
      <c r="K7206" s="674"/>
      <c r="L7206" s="668"/>
      <c r="M7206" s="668"/>
    </row>
    <row r="7207" spans="5:13">
      <c r="E7207" s="668"/>
      <c r="F7207" s="668"/>
      <c r="G7207" s="668"/>
      <c r="H7207" s="668"/>
      <c r="I7207" s="668"/>
      <c r="J7207" s="668"/>
      <c r="K7207" s="674"/>
      <c r="L7207" s="668"/>
      <c r="M7207" s="668"/>
    </row>
    <row r="7208" spans="5:13">
      <c r="E7208" s="668"/>
      <c r="F7208" s="668"/>
      <c r="G7208" s="668"/>
      <c r="H7208" s="668"/>
      <c r="I7208" s="668"/>
      <c r="J7208" s="668"/>
      <c r="K7208" s="674"/>
      <c r="L7208" s="668"/>
      <c r="M7208" s="668"/>
    </row>
    <row r="7209" spans="5:13">
      <c r="E7209" s="668"/>
      <c r="F7209" s="668"/>
      <c r="G7209" s="668"/>
      <c r="H7209" s="668"/>
      <c r="I7209" s="668"/>
      <c r="J7209" s="668"/>
      <c r="K7209" s="674"/>
      <c r="L7209" s="668"/>
      <c r="M7209" s="668"/>
    </row>
    <row r="7210" spans="5:13">
      <c r="E7210" s="668"/>
      <c r="F7210" s="668"/>
      <c r="G7210" s="668"/>
      <c r="H7210" s="668"/>
      <c r="I7210" s="668"/>
      <c r="J7210" s="668"/>
      <c r="K7210" s="674"/>
      <c r="L7210" s="668"/>
      <c r="M7210" s="668"/>
    </row>
    <row r="7211" spans="5:13">
      <c r="E7211" s="668"/>
      <c r="F7211" s="668"/>
      <c r="G7211" s="668"/>
      <c r="H7211" s="668"/>
      <c r="I7211" s="668"/>
      <c r="J7211" s="668"/>
      <c r="K7211" s="674"/>
      <c r="L7211" s="668"/>
      <c r="M7211" s="668"/>
    </row>
    <row r="7212" spans="5:13">
      <c r="E7212" s="668"/>
      <c r="F7212" s="668"/>
      <c r="G7212" s="668"/>
      <c r="H7212" s="668"/>
      <c r="I7212" s="668"/>
      <c r="J7212" s="668"/>
      <c r="K7212" s="674"/>
      <c r="L7212" s="668"/>
      <c r="M7212" s="668"/>
    </row>
    <row r="7213" spans="5:13">
      <c r="E7213" s="668"/>
      <c r="F7213" s="668"/>
      <c r="G7213" s="668"/>
      <c r="H7213" s="668"/>
      <c r="I7213" s="668"/>
      <c r="J7213" s="668"/>
      <c r="K7213" s="674"/>
      <c r="L7213" s="668"/>
      <c r="M7213" s="668"/>
    </row>
    <row r="7214" spans="5:13">
      <c r="E7214" s="668"/>
      <c r="F7214" s="668"/>
      <c r="G7214" s="668"/>
      <c r="H7214" s="668"/>
      <c r="I7214" s="668"/>
      <c r="J7214" s="668"/>
      <c r="K7214" s="674"/>
      <c r="L7214" s="668"/>
      <c r="M7214" s="668"/>
    </row>
    <row r="7215" spans="5:13">
      <c r="E7215" s="668"/>
      <c r="F7215" s="668"/>
      <c r="G7215" s="668"/>
      <c r="H7215" s="668"/>
      <c r="I7215" s="668"/>
      <c r="J7215" s="668"/>
      <c r="K7215" s="674"/>
      <c r="L7215" s="668"/>
      <c r="M7215" s="668"/>
    </row>
    <row r="7216" spans="5:13">
      <c r="E7216" s="668"/>
      <c r="F7216" s="668"/>
      <c r="G7216" s="668"/>
      <c r="H7216" s="668"/>
      <c r="I7216" s="668"/>
      <c r="J7216" s="668"/>
      <c r="K7216" s="674"/>
      <c r="L7216" s="668"/>
      <c r="M7216" s="668"/>
    </row>
    <row r="7217" spans="5:13">
      <c r="E7217" s="668"/>
      <c r="F7217" s="668"/>
      <c r="G7217" s="668"/>
      <c r="H7217" s="668"/>
      <c r="I7217" s="668"/>
      <c r="J7217" s="668"/>
      <c r="K7217" s="674"/>
      <c r="L7217" s="668"/>
      <c r="M7217" s="668"/>
    </row>
    <row r="7218" spans="5:13">
      <c r="E7218" s="668"/>
      <c r="F7218" s="668"/>
      <c r="G7218" s="668"/>
      <c r="H7218" s="668"/>
      <c r="I7218" s="668"/>
      <c r="J7218" s="668"/>
      <c r="K7218" s="674"/>
      <c r="L7218" s="668"/>
      <c r="M7218" s="668"/>
    </row>
    <row r="7219" spans="5:13">
      <c r="E7219" s="668"/>
      <c r="F7219" s="668"/>
      <c r="G7219" s="668"/>
      <c r="H7219" s="668"/>
      <c r="I7219" s="668"/>
      <c r="J7219" s="668"/>
      <c r="K7219" s="674"/>
      <c r="L7219" s="668"/>
      <c r="M7219" s="668"/>
    </row>
    <row r="7220" spans="5:13">
      <c r="E7220" s="668"/>
      <c r="F7220" s="668"/>
      <c r="G7220" s="668"/>
      <c r="H7220" s="668"/>
      <c r="I7220" s="668"/>
      <c r="J7220" s="668"/>
      <c r="K7220" s="674"/>
      <c r="L7220" s="668"/>
      <c r="M7220" s="668"/>
    </row>
    <row r="7221" spans="5:13">
      <c r="E7221" s="668"/>
      <c r="F7221" s="668"/>
      <c r="G7221" s="668"/>
      <c r="H7221" s="668"/>
      <c r="I7221" s="668"/>
      <c r="J7221" s="668"/>
      <c r="K7221" s="674"/>
      <c r="L7221" s="668"/>
      <c r="M7221" s="668"/>
    </row>
    <row r="7222" spans="5:13">
      <c r="E7222" s="668"/>
      <c r="F7222" s="668"/>
      <c r="G7222" s="668"/>
      <c r="H7222" s="668"/>
      <c r="I7222" s="668"/>
      <c r="J7222" s="668"/>
      <c r="K7222" s="674"/>
      <c r="L7222" s="668"/>
      <c r="M7222" s="668"/>
    </row>
    <row r="7223" spans="5:13">
      <c r="E7223" s="668"/>
      <c r="F7223" s="668"/>
      <c r="G7223" s="668"/>
      <c r="H7223" s="668"/>
      <c r="I7223" s="668"/>
      <c r="J7223" s="668"/>
      <c r="K7223" s="674"/>
      <c r="L7223" s="668"/>
      <c r="M7223" s="668"/>
    </row>
    <row r="7224" spans="5:13">
      <c r="E7224" s="668"/>
      <c r="F7224" s="668"/>
      <c r="G7224" s="668"/>
      <c r="H7224" s="668"/>
      <c r="I7224" s="668"/>
      <c r="J7224" s="668"/>
      <c r="K7224" s="674"/>
      <c r="L7224" s="668"/>
      <c r="M7224" s="668"/>
    </row>
    <row r="7225" spans="5:13">
      <c r="E7225" s="668"/>
      <c r="F7225" s="668"/>
      <c r="G7225" s="668"/>
      <c r="H7225" s="668"/>
      <c r="I7225" s="668"/>
      <c r="J7225" s="668"/>
      <c r="K7225" s="674"/>
      <c r="L7225" s="668"/>
      <c r="M7225" s="668"/>
    </row>
    <row r="7226" spans="5:13">
      <c r="E7226" s="668"/>
      <c r="F7226" s="668"/>
      <c r="G7226" s="668"/>
      <c r="H7226" s="668"/>
      <c r="I7226" s="668"/>
      <c r="J7226" s="668"/>
      <c r="K7226" s="674"/>
      <c r="L7226" s="668"/>
      <c r="M7226" s="668"/>
    </row>
    <row r="7227" spans="5:13">
      <c r="E7227" s="668"/>
      <c r="F7227" s="668"/>
      <c r="G7227" s="668"/>
      <c r="H7227" s="668"/>
      <c r="I7227" s="668"/>
      <c r="J7227" s="668"/>
      <c r="K7227" s="674"/>
      <c r="L7227" s="668"/>
      <c r="M7227" s="668"/>
    </row>
    <row r="7228" spans="5:13">
      <c r="E7228" s="668"/>
      <c r="F7228" s="668"/>
      <c r="G7228" s="668"/>
      <c r="H7228" s="668"/>
      <c r="I7228" s="668"/>
      <c r="J7228" s="668"/>
      <c r="K7228" s="674"/>
      <c r="L7228" s="668"/>
      <c r="M7228" s="668"/>
    </row>
    <row r="7229" spans="5:13">
      <c r="E7229" s="668"/>
      <c r="F7229" s="668"/>
      <c r="G7229" s="668"/>
      <c r="H7229" s="668"/>
      <c r="I7229" s="668"/>
      <c r="J7229" s="668"/>
      <c r="K7229" s="674"/>
      <c r="L7229" s="668"/>
      <c r="M7229" s="668"/>
    </row>
    <row r="7230" spans="5:13">
      <c r="E7230" s="668"/>
      <c r="F7230" s="668"/>
      <c r="G7230" s="668"/>
      <c r="H7230" s="668"/>
      <c r="I7230" s="668"/>
      <c r="J7230" s="668"/>
      <c r="K7230" s="674"/>
      <c r="L7230" s="668"/>
      <c r="M7230" s="668"/>
    </row>
    <row r="7231" spans="5:13">
      <c r="E7231" s="668"/>
      <c r="F7231" s="668"/>
      <c r="G7231" s="668"/>
      <c r="H7231" s="668"/>
      <c r="I7231" s="668"/>
      <c r="J7231" s="668"/>
      <c r="K7231" s="674"/>
      <c r="L7231" s="668"/>
      <c r="M7231" s="668"/>
    </row>
    <row r="7232" spans="5:13">
      <c r="E7232" s="668"/>
      <c r="F7232" s="668"/>
      <c r="G7232" s="668"/>
      <c r="H7232" s="668"/>
      <c r="I7232" s="668"/>
      <c r="J7232" s="668"/>
      <c r="K7232" s="674"/>
      <c r="L7232" s="668"/>
      <c r="M7232" s="668"/>
    </row>
    <row r="7233" spans="5:13">
      <c r="E7233" s="668"/>
      <c r="F7233" s="668"/>
      <c r="G7233" s="668"/>
      <c r="H7233" s="668"/>
      <c r="I7233" s="668"/>
      <c r="J7233" s="668"/>
      <c r="K7233" s="674"/>
      <c r="L7233" s="668"/>
      <c r="M7233" s="668"/>
    </row>
    <row r="7234" spans="5:13">
      <c r="E7234" s="668"/>
      <c r="F7234" s="668"/>
      <c r="G7234" s="668"/>
      <c r="H7234" s="668"/>
      <c r="I7234" s="668"/>
      <c r="J7234" s="668"/>
      <c r="K7234" s="674"/>
      <c r="L7234" s="668"/>
      <c r="M7234" s="668"/>
    </row>
    <row r="7235" spans="5:13">
      <c r="E7235" s="668"/>
      <c r="F7235" s="668"/>
      <c r="G7235" s="668"/>
      <c r="H7235" s="668"/>
      <c r="I7235" s="668"/>
      <c r="J7235" s="668"/>
      <c r="K7235" s="674"/>
      <c r="L7235" s="668"/>
      <c r="M7235" s="668"/>
    </row>
    <row r="7236" spans="5:13">
      <c r="E7236" s="668"/>
      <c r="F7236" s="668"/>
      <c r="G7236" s="668"/>
      <c r="H7236" s="668"/>
      <c r="I7236" s="668"/>
      <c r="J7236" s="668"/>
      <c r="K7236" s="674"/>
      <c r="L7236" s="668"/>
      <c r="M7236" s="668"/>
    </row>
    <row r="7237" spans="5:13">
      <c r="E7237" s="668"/>
      <c r="F7237" s="668"/>
      <c r="G7237" s="668"/>
      <c r="H7237" s="668"/>
      <c r="I7237" s="668"/>
      <c r="J7237" s="668"/>
      <c r="K7237" s="674"/>
      <c r="L7237" s="668"/>
      <c r="M7237" s="668"/>
    </row>
    <row r="7238" spans="5:13">
      <c r="E7238" s="668"/>
      <c r="F7238" s="668"/>
      <c r="G7238" s="668"/>
      <c r="H7238" s="668"/>
      <c r="I7238" s="668"/>
      <c r="J7238" s="668"/>
      <c r="K7238" s="674"/>
      <c r="L7238" s="668"/>
      <c r="M7238" s="668"/>
    </row>
    <row r="7239" spans="5:13">
      <c r="E7239" s="668"/>
      <c r="F7239" s="668"/>
      <c r="G7239" s="668"/>
      <c r="H7239" s="668"/>
      <c r="I7239" s="668"/>
      <c r="J7239" s="668"/>
      <c r="K7239" s="674"/>
      <c r="L7239" s="668"/>
      <c r="M7239" s="668"/>
    </row>
    <row r="7240" spans="5:13">
      <c r="E7240" s="668"/>
      <c r="F7240" s="668"/>
      <c r="G7240" s="668"/>
      <c r="H7240" s="668"/>
      <c r="I7240" s="668"/>
      <c r="J7240" s="668"/>
      <c r="K7240" s="674"/>
      <c r="L7240" s="668"/>
      <c r="M7240" s="668"/>
    </row>
    <row r="7241" spans="5:13">
      <c r="E7241" s="668"/>
      <c r="F7241" s="668"/>
      <c r="G7241" s="668"/>
      <c r="H7241" s="668"/>
      <c r="I7241" s="668"/>
      <c r="J7241" s="668"/>
      <c r="K7241" s="674"/>
      <c r="L7241" s="668"/>
      <c r="M7241" s="668"/>
    </row>
    <row r="7242" spans="5:13">
      <c r="E7242" s="668"/>
      <c r="F7242" s="668"/>
      <c r="G7242" s="668"/>
      <c r="H7242" s="668"/>
      <c r="I7242" s="668"/>
      <c r="J7242" s="668"/>
      <c r="K7242" s="674"/>
      <c r="L7242" s="668"/>
      <c r="M7242" s="668"/>
    </row>
    <row r="7243" spans="5:13">
      <c r="E7243" s="668"/>
      <c r="F7243" s="668"/>
      <c r="G7243" s="668"/>
      <c r="H7243" s="668"/>
      <c r="I7243" s="668"/>
      <c r="J7243" s="668"/>
      <c r="K7243" s="674"/>
      <c r="L7243" s="668"/>
      <c r="M7243" s="668"/>
    </row>
    <row r="7244" spans="5:13">
      <c r="E7244" s="668"/>
      <c r="F7244" s="668"/>
      <c r="G7244" s="668"/>
      <c r="H7244" s="668"/>
      <c r="I7244" s="668"/>
      <c r="J7244" s="668"/>
      <c r="K7244" s="674"/>
      <c r="L7244" s="668"/>
      <c r="M7244" s="668"/>
    </row>
    <row r="7245" spans="5:13">
      <c r="E7245" s="668"/>
      <c r="F7245" s="668"/>
      <c r="G7245" s="668"/>
      <c r="H7245" s="668"/>
      <c r="I7245" s="668"/>
      <c r="J7245" s="668"/>
      <c r="K7245" s="674"/>
      <c r="L7245" s="668"/>
      <c r="M7245" s="668"/>
    </row>
    <row r="7246" spans="5:13">
      <c r="E7246" s="668"/>
      <c r="F7246" s="668"/>
      <c r="G7246" s="668"/>
      <c r="H7246" s="668"/>
      <c r="I7246" s="668"/>
      <c r="J7246" s="668"/>
      <c r="K7246" s="674"/>
      <c r="L7246" s="668"/>
      <c r="M7246" s="668"/>
    </row>
    <row r="7247" spans="5:13">
      <c r="E7247" s="668"/>
      <c r="F7247" s="668"/>
      <c r="G7247" s="668"/>
      <c r="H7247" s="668"/>
      <c r="I7247" s="668"/>
      <c r="J7247" s="668"/>
      <c r="K7247" s="674"/>
      <c r="L7247" s="668"/>
      <c r="M7247" s="668"/>
    </row>
    <row r="7248" spans="5:13">
      <c r="E7248" s="668"/>
      <c r="F7248" s="668"/>
      <c r="G7248" s="668"/>
      <c r="H7248" s="668"/>
      <c r="I7248" s="668"/>
      <c r="J7248" s="668"/>
      <c r="K7248" s="674"/>
      <c r="L7248" s="668"/>
      <c r="M7248" s="668"/>
    </row>
    <row r="7249" spans="5:13">
      <c r="E7249" s="668"/>
      <c r="F7249" s="668"/>
      <c r="G7249" s="668"/>
      <c r="H7249" s="668"/>
      <c r="I7249" s="668"/>
      <c r="J7249" s="668"/>
      <c r="K7249" s="674"/>
      <c r="L7249" s="668"/>
      <c r="M7249" s="668"/>
    </row>
    <row r="7250" spans="5:13">
      <c r="E7250" s="668"/>
      <c r="F7250" s="668"/>
      <c r="G7250" s="668"/>
      <c r="H7250" s="668"/>
      <c r="I7250" s="668"/>
      <c r="J7250" s="668"/>
      <c r="K7250" s="674"/>
      <c r="L7250" s="668"/>
      <c r="M7250" s="668"/>
    </row>
    <row r="7251" spans="5:13">
      <c r="E7251" s="668"/>
      <c r="F7251" s="668"/>
      <c r="G7251" s="668"/>
      <c r="H7251" s="668"/>
      <c r="I7251" s="668"/>
      <c r="J7251" s="668"/>
      <c r="K7251" s="674"/>
      <c r="L7251" s="668"/>
      <c r="M7251" s="668"/>
    </row>
    <row r="7252" spans="5:13">
      <c r="E7252" s="668"/>
      <c r="F7252" s="668"/>
      <c r="G7252" s="668"/>
      <c r="H7252" s="668"/>
      <c r="I7252" s="668"/>
      <c r="J7252" s="668"/>
      <c r="K7252" s="674"/>
      <c r="L7252" s="668"/>
      <c r="M7252" s="668"/>
    </row>
    <row r="7253" spans="5:13">
      <c r="E7253" s="668"/>
      <c r="F7253" s="668"/>
      <c r="G7253" s="668"/>
      <c r="H7253" s="668"/>
      <c r="I7253" s="668"/>
      <c r="J7253" s="668"/>
      <c r="K7253" s="674"/>
      <c r="L7253" s="668"/>
      <c r="M7253" s="668"/>
    </row>
    <row r="7254" spans="5:13">
      <c r="E7254" s="668"/>
      <c r="F7254" s="668"/>
      <c r="G7254" s="668"/>
      <c r="H7254" s="668"/>
      <c r="I7254" s="668"/>
      <c r="J7254" s="668"/>
      <c r="K7254" s="674"/>
      <c r="L7254" s="668"/>
      <c r="M7254" s="668"/>
    </row>
    <row r="7255" spans="5:13">
      <c r="E7255" s="668"/>
      <c r="F7255" s="668"/>
      <c r="G7255" s="668"/>
      <c r="H7255" s="668"/>
      <c r="I7255" s="668"/>
      <c r="J7255" s="668"/>
      <c r="K7255" s="674"/>
      <c r="L7255" s="668"/>
      <c r="M7255" s="668"/>
    </row>
    <row r="7256" spans="5:13">
      <c r="E7256" s="668"/>
      <c r="F7256" s="668"/>
      <c r="G7256" s="668"/>
      <c r="H7256" s="668"/>
      <c r="I7256" s="668"/>
      <c r="J7256" s="668"/>
      <c r="K7256" s="674"/>
      <c r="L7256" s="668"/>
      <c r="M7256" s="668"/>
    </row>
    <row r="7257" spans="5:13">
      <c r="E7257" s="668"/>
      <c r="F7257" s="668"/>
      <c r="G7257" s="668"/>
      <c r="H7257" s="668"/>
      <c r="I7257" s="668"/>
      <c r="J7257" s="668"/>
      <c r="K7257" s="674"/>
      <c r="L7257" s="668"/>
      <c r="M7257" s="668"/>
    </row>
    <row r="7258" spans="5:13">
      <c r="E7258" s="668"/>
      <c r="F7258" s="668"/>
      <c r="G7258" s="668"/>
      <c r="H7258" s="668"/>
      <c r="I7258" s="668"/>
      <c r="J7258" s="668"/>
      <c r="K7258" s="674"/>
      <c r="L7258" s="668"/>
      <c r="M7258" s="668"/>
    </row>
    <row r="7259" spans="5:13">
      <c r="E7259" s="668"/>
      <c r="F7259" s="668"/>
      <c r="G7259" s="668"/>
      <c r="H7259" s="668"/>
      <c r="I7259" s="668"/>
      <c r="J7259" s="668"/>
      <c r="K7259" s="674"/>
      <c r="L7259" s="668"/>
      <c r="M7259" s="668"/>
    </row>
    <row r="7260" spans="5:13">
      <c r="E7260" s="668"/>
      <c r="F7260" s="668"/>
      <c r="G7260" s="668"/>
      <c r="H7260" s="668"/>
      <c r="I7260" s="668"/>
      <c r="J7260" s="668"/>
      <c r="K7260" s="674"/>
      <c r="L7260" s="668"/>
      <c r="M7260" s="668"/>
    </row>
    <row r="7261" spans="5:13">
      <c r="E7261" s="668"/>
      <c r="F7261" s="668"/>
      <c r="G7261" s="668"/>
      <c r="H7261" s="668"/>
      <c r="I7261" s="668"/>
      <c r="J7261" s="668"/>
      <c r="K7261" s="674"/>
      <c r="L7261" s="668"/>
      <c r="M7261" s="668"/>
    </row>
    <row r="7262" spans="5:13">
      <c r="E7262" s="668"/>
      <c r="F7262" s="668"/>
      <c r="G7262" s="668"/>
      <c r="H7262" s="668"/>
      <c r="I7262" s="668"/>
      <c r="J7262" s="668"/>
      <c r="K7262" s="674"/>
      <c r="L7262" s="668"/>
      <c r="M7262" s="668"/>
    </row>
    <row r="7263" spans="5:13">
      <c r="E7263" s="668"/>
      <c r="F7263" s="668"/>
      <c r="G7263" s="668"/>
      <c r="H7263" s="668"/>
      <c r="I7263" s="668"/>
      <c r="J7263" s="668"/>
      <c r="K7263" s="674"/>
      <c r="L7263" s="668"/>
      <c r="M7263" s="668"/>
    </row>
    <row r="7264" spans="5:13">
      <c r="E7264" s="668"/>
      <c r="F7264" s="668"/>
      <c r="G7264" s="668"/>
      <c r="H7264" s="668"/>
      <c r="I7264" s="668"/>
      <c r="J7264" s="668"/>
      <c r="K7264" s="674"/>
      <c r="L7264" s="668"/>
      <c r="M7264" s="668"/>
    </row>
    <row r="7265" spans="5:13">
      <c r="E7265" s="668"/>
      <c r="F7265" s="668"/>
      <c r="G7265" s="668"/>
      <c r="H7265" s="668"/>
      <c r="I7265" s="668"/>
      <c r="J7265" s="668"/>
      <c r="K7265" s="674"/>
      <c r="L7265" s="668"/>
      <c r="M7265" s="668"/>
    </row>
    <row r="7266" spans="5:13">
      <c r="E7266" s="668"/>
      <c r="F7266" s="668"/>
      <c r="G7266" s="668"/>
      <c r="H7266" s="668"/>
      <c r="I7266" s="668"/>
      <c r="J7266" s="668"/>
      <c r="K7266" s="674"/>
      <c r="L7266" s="668"/>
      <c r="M7266" s="668"/>
    </row>
    <row r="7267" spans="5:13">
      <c r="E7267" s="668"/>
      <c r="F7267" s="668"/>
      <c r="G7267" s="668"/>
      <c r="H7267" s="668"/>
      <c r="I7267" s="668"/>
      <c r="J7267" s="668"/>
      <c r="K7267" s="674"/>
      <c r="L7267" s="668"/>
      <c r="M7267" s="668"/>
    </row>
    <row r="7268" spans="5:13">
      <c r="E7268" s="668"/>
      <c r="F7268" s="668"/>
      <c r="G7268" s="668"/>
      <c r="H7268" s="668"/>
      <c r="I7268" s="668"/>
      <c r="J7268" s="668"/>
      <c r="K7268" s="674"/>
      <c r="L7268" s="668"/>
      <c r="M7268" s="668"/>
    </row>
    <row r="7269" spans="5:13">
      <c r="E7269" s="668"/>
      <c r="F7269" s="668"/>
      <c r="G7269" s="668"/>
      <c r="H7269" s="668"/>
      <c r="I7269" s="668"/>
      <c r="J7269" s="668"/>
      <c r="K7269" s="674"/>
      <c r="L7269" s="668"/>
      <c r="M7269" s="668"/>
    </row>
    <row r="7270" spans="5:13">
      <c r="E7270" s="668"/>
      <c r="F7270" s="668"/>
      <c r="G7270" s="668"/>
      <c r="H7270" s="668"/>
      <c r="I7270" s="668"/>
      <c r="J7270" s="668"/>
      <c r="K7270" s="674"/>
      <c r="L7270" s="668"/>
      <c r="M7270" s="668"/>
    </row>
    <row r="7271" spans="5:13">
      <c r="E7271" s="668"/>
      <c r="F7271" s="668"/>
      <c r="G7271" s="668"/>
      <c r="H7271" s="668"/>
      <c r="I7271" s="668"/>
      <c r="J7271" s="668"/>
      <c r="K7271" s="674"/>
      <c r="L7271" s="668"/>
      <c r="M7271" s="668"/>
    </row>
    <row r="7272" spans="5:13">
      <c r="E7272" s="668"/>
      <c r="F7272" s="668"/>
      <c r="G7272" s="668"/>
      <c r="H7272" s="668"/>
      <c r="I7272" s="668"/>
      <c r="J7272" s="668"/>
      <c r="K7272" s="674"/>
      <c r="L7272" s="668"/>
      <c r="M7272" s="668"/>
    </row>
    <row r="7273" spans="5:13">
      <c r="E7273" s="668"/>
      <c r="F7273" s="668"/>
      <c r="G7273" s="668"/>
      <c r="H7273" s="668"/>
      <c r="I7273" s="668"/>
      <c r="J7273" s="668"/>
      <c r="K7273" s="674"/>
      <c r="L7273" s="668"/>
      <c r="M7273" s="668"/>
    </row>
    <row r="7274" spans="5:13">
      <c r="E7274" s="668"/>
      <c r="F7274" s="668"/>
      <c r="G7274" s="668"/>
      <c r="H7274" s="668"/>
      <c r="I7274" s="668"/>
      <c r="J7274" s="668"/>
      <c r="K7274" s="674"/>
      <c r="L7274" s="668"/>
      <c r="M7274" s="668"/>
    </row>
    <row r="7275" spans="5:13">
      <c r="E7275" s="668"/>
      <c r="F7275" s="668"/>
      <c r="G7275" s="668"/>
      <c r="H7275" s="668"/>
      <c r="I7275" s="668"/>
      <c r="J7275" s="668"/>
      <c r="K7275" s="674"/>
      <c r="L7275" s="668"/>
      <c r="M7275" s="668"/>
    </row>
    <row r="7276" spans="5:13">
      <c r="E7276" s="668"/>
      <c r="F7276" s="668"/>
      <c r="G7276" s="668"/>
      <c r="H7276" s="668"/>
      <c r="I7276" s="668"/>
      <c r="J7276" s="668"/>
      <c r="K7276" s="674"/>
      <c r="L7276" s="668"/>
      <c r="M7276" s="668"/>
    </row>
    <row r="7277" spans="5:13">
      <c r="E7277" s="668"/>
      <c r="F7277" s="668"/>
      <c r="G7277" s="668"/>
      <c r="H7277" s="668"/>
      <c r="I7277" s="668"/>
      <c r="J7277" s="668"/>
      <c r="K7277" s="674"/>
      <c r="L7277" s="668"/>
      <c r="M7277" s="668"/>
    </row>
    <row r="7278" spans="5:13">
      <c r="E7278" s="668"/>
      <c r="F7278" s="668"/>
      <c r="G7278" s="668"/>
      <c r="H7278" s="668"/>
      <c r="I7278" s="668"/>
      <c r="J7278" s="668"/>
      <c r="K7278" s="674"/>
      <c r="L7278" s="668"/>
      <c r="M7278" s="668"/>
    </row>
    <row r="7279" spans="5:13">
      <c r="E7279" s="668"/>
      <c r="F7279" s="668"/>
      <c r="G7279" s="668"/>
      <c r="H7279" s="668"/>
      <c r="I7279" s="668"/>
      <c r="J7279" s="668"/>
      <c r="K7279" s="674"/>
      <c r="L7279" s="668"/>
      <c r="M7279" s="668"/>
    </row>
    <row r="7280" spans="5:13">
      <c r="E7280" s="668"/>
      <c r="F7280" s="668"/>
      <c r="G7280" s="668"/>
      <c r="H7280" s="668"/>
      <c r="I7280" s="668"/>
      <c r="J7280" s="668"/>
      <c r="K7280" s="674"/>
      <c r="L7280" s="668"/>
      <c r="M7280" s="668"/>
    </row>
    <row r="7281" spans="5:13">
      <c r="E7281" s="668"/>
      <c r="F7281" s="668"/>
      <c r="G7281" s="668"/>
      <c r="H7281" s="668"/>
      <c r="I7281" s="668"/>
      <c r="J7281" s="668"/>
      <c r="K7281" s="674"/>
      <c r="L7281" s="668"/>
      <c r="M7281" s="668"/>
    </row>
    <row r="7282" spans="5:13">
      <c r="E7282" s="668"/>
      <c r="F7282" s="668"/>
      <c r="G7282" s="668"/>
      <c r="H7282" s="668"/>
      <c r="I7282" s="668"/>
      <c r="J7282" s="668"/>
      <c r="K7282" s="674"/>
      <c r="L7282" s="668"/>
      <c r="M7282" s="668"/>
    </row>
    <row r="7283" spans="5:13">
      <c r="E7283" s="668"/>
      <c r="F7283" s="668"/>
      <c r="G7283" s="668"/>
      <c r="H7283" s="668"/>
      <c r="I7283" s="668"/>
      <c r="J7283" s="668"/>
      <c r="K7283" s="674"/>
      <c r="L7283" s="668"/>
      <c r="M7283" s="668"/>
    </row>
    <row r="7284" spans="5:13">
      <c r="E7284" s="668"/>
      <c r="F7284" s="668"/>
      <c r="G7284" s="668"/>
      <c r="H7284" s="668"/>
      <c r="I7284" s="668"/>
      <c r="J7284" s="668"/>
      <c r="K7284" s="674"/>
      <c r="L7284" s="668"/>
      <c r="M7284" s="668"/>
    </row>
    <row r="7285" spans="5:13">
      <c r="E7285" s="668"/>
      <c r="F7285" s="668"/>
      <c r="G7285" s="668"/>
      <c r="H7285" s="668"/>
      <c r="I7285" s="668"/>
      <c r="J7285" s="668"/>
      <c r="K7285" s="674"/>
      <c r="L7285" s="668"/>
      <c r="M7285" s="668"/>
    </row>
    <row r="7286" spans="5:13">
      <c r="E7286" s="668"/>
      <c r="F7286" s="668"/>
      <c r="G7286" s="668"/>
      <c r="H7286" s="668"/>
      <c r="I7286" s="668"/>
      <c r="J7286" s="668"/>
      <c r="K7286" s="674"/>
      <c r="L7286" s="668"/>
      <c r="M7286" s="668"/>
    </row>
    <row r="7287" spans="5:13">
      <c r="E7287" s="668"/>
      <c r="F7287" s="668"/>
      <c r="G7287" s="668"/>
      <c r="H7287" s="668"/>
      <c r="I7287" s="668"/>
      <c r="J7287" s="668"/>
      <c r="K7287" s="674"/>
      <c r="L7287" s="668"/>
      <c r="M7287" s="668"/>
    </row>
    <row r="7288" spans="5:13">
      <c r="E7288" s="668"/>
      <c r="F7288" s="668"/>
      <c r="G7288" s="668"/>
      <c r="H7288" s="668"/>
      <c r="I7288" s="668"/>
      <c r="J7288" s="668"/>
      <c r="K7288" s="674"/>
      <c r="L7288" s="668"/>
      <c r="M7288" s="668"/>
    </row>
    <row r="7289" spans="5:13">
      <c r="E7289" s="668"/>
      <c r="F7289" s="668"/>
      <c r="G7289" s="668"/>
      <c r="H7289" s="668"/>
      <c r="I7289" s="668"/>
      <c r="J7289" s="668"/>
      <c r="K7289" s="674"/>
      <c r="L7289" s="668"/>
      <c r="M7289" s="668"/>
    </row>
    <row r="7290" spans="5:13">
      <c r="E7290" s="668"/>
      <c r="F7290" s="668"/>
      <c r="G7290" s="668"/>
      <c r="H7290" s="668"/>
      <c r="I7290" s="668"/>
      <c r="J7290" s="668"/>
      <c r="K7290" s="674"/>
      <c r="L7290" s="668"/>
      <c r="M7290" s="668"/>
    </row>
    <row r="7291" spans="5:13">
      <c r="E7291" s="668"/>
      <c r="F7291" s="668"/>
      <c r="G7291" s="668"/>
      <c r="H7291" s="668"/>
      <c r="I7291" s="668"/>
      <c r="J7291" s="668"/>
      <c r="K7291" s="674"/>
      <c r="L7291" s="668"/>
      <c r="M7291" s="668"/>
    </row>
    <row r="7292" spans="5:13">
      <c r="E7292" s="668"/>
      <c r="F7292" s="668"/>
      <c r="G7292" s="668"/>
      <c r="H7292" s="668"/>
      <c r="I7292" s="668"/>
      <c r="J7292" s="668"/>
      <c r="K7292" s="674"/>
      <c r="L7292" s="668"/>
      <c r="M7292" s="668"/>
    </row>
    <row r="7293" spans="5:13">
      <c r="E7293" s="668"/>
      <c r="F7293" s="668"/>
      <c r="G7293" s="668"/>
      <c r="H7293" s="668"/>
      <c r="I7293" s="668"/>
      <c r="J7293" s="668"/>
      <c r="K7293" s="674"/>
      <c r="L7293" s="668"/>
      <c r="M7293" s="668"/>
    </row>
    <row r="7294" spans="5:13">
      <c r="E7294" s="668"/>
      <c r="F7294" s="668"/>
      <c r="G7294" s="668"/>
      <c r="H7294" s="668"/>
      <c r="I7294" s="668"/>
      <c r="J7294" s="668"/>
      <c r="K7294" s="674"/>
      <c r="L7294" s="668"/>
      <c r="M7294" s="668"/>
    </row>
    <row r="7295" spans="5:13">
      <c r="E7295" s="668"/>
      <c r="F7295" s="668"/>
      <c r="G7295" s="668"/>
      <c r="H7295" s="668"/>
      <c r="I7295" s="668"/>
      <c r="J7295" s="668"/>
      <c r="K7295" s="674"/>
      <c r="L7295" s="668"/>
      <c r="M7295" s="668"/>
    </row>
    <row r="7296" spans="5:13">
      <c r="E7296" s="668"/>
      <c r="F7296" s="668"/>
      <c r="G7296" s="668"/>
      <c r="H7296" s="668"/>
      <c r="I7296" s="668"/>
      <c r="J7296" s="668"/>
      <c r="K7296" s="674"/>
      <c r="L7296" s="668"/>
      <c r="M7296" s="668"/>
    </row>
    <row r="7297" spans="5:13">
      <c r="E7297" s="668"/>
      <c r="F7297" s="668"/>
      <c r="G7297" s="668"/>
      <c r="H7297" s="668"/>
      <c r="I7297" s="668"/>
      <c r="J7297" s="668"/>
      <c r="K7297" s="674"/>
      <c r="L7297" s="668"/>
      <c r="M7297" s="668"/>
    </row>
    <row r="7298" spans="5:13">
      <c r="E7298" s="668"/>
      <c r="F7298" s="668"/>
      <c r="G7298" s="668"/>
      <c r="H7298" s="668"/>
      <c r="I7298" s="668"/>
      <c r="J7298" s="668"/>
      <c r="K7298" s="674"/>
      <c r="L7298" s="668"/>
      <c r="M7298" s="668"/>
    </row>
    <row r="7299" spans="5:13">
      <c r="E7299" s="668"/>
      <c r="F7299" s="668"/>
      <c r="G7299" s="668"/>
      <c r="H7299" s="668"/>
      <c r="I7299" s="668"/>
      <c r="J7299" s="668"/>
      <c r="K7299" s="674"/>
      <c r="L7299" s="668"/>
      <c r="M7299" s="668"/>
    </row>
    <row r="7300" spans="5:13">
      <c r="E7300" s="668"/>
      <c r="F7300" s="668"/>
      <c r="G7300" s="668"/>
      <c r="H7300" s="668"/>
      <c r="I7300" s="668"/>
      <c r="J7300" s="668"/>
      <c r="K7300" s="674"/>
      <c r="L7300" s="668"/>
      <c r="M7300" s="668"/>
    </row>
    <row r="7301" spans="5:13">
      <c r="E7301" s="668"/>
      <c r="F7301" s="668"/>
      <c r="G7301" s="668"/>
      <c r="H7301" s="668"/>
      <c r="I7301" s="668"/>
      <c r="J7301" s="668"/>
      <c r="K7301" s="674"/>
      <c r="L7301" s="668"/>
      <c r="M7301" s="668"/>
    </row>
    <row r="7302" spans="5:13">
      <c r="E7302" s="668"/>
      <c r="F7302" s="668"/>
      <c r="G7302" s="668"/>
      <c r="H7302" s="668"/>
      <c r="I7302" s="668"/>
      <c r="J7302" s="668"/>
      <c r="K7302" s="674"/>
      <c r="L7302" s="668"/>
      <c r="M7302" s="668"/>
    </row>
    <row r="7303" spans="5:13">
      <c r="E7303" s="668"/>
      <c r="F7303" s="668"/>
      <c r="G7303" s="668"/>
      <c r="H7303" s="668"/>
      <c r="I7303" s="668"/>
      <c r="J7303" s="668"/>
      <c r="K7303" s="674"/>
      <c r="L7303" s="668"/>
      <c r="M7303" s="668"/>
    </row>
    <row r="7304" spans="5:13">
      <c r="E7304" s="668"/>
      <c r="F7304" s="668"/>
      <c r="G7304" s="668"/>
      <c r="H7304" s="668"/>
      <c r="I7304" s="668"/>
      <c r="J7304" s="668"/>
      <c r="K7304" s="674"/>
      <c r="L7304" s="668"/>
      <c r="M7304" s="668"/>
    </row>
    <row r="7305" spans="5:13">
      <c r="E7305" s="668"/>
      <c r="F7305" s="668"/>
      <c r="G7305" s="668"/>
      <c r="H7305" s="668"/>
      <c r="I7305" s="668"/>
      <c r="J7305" s="668"/>
      <c r="K7305" s="674"/>
      <c r="L7305" s="668"/>
      <c r="M7305" s="668"/>
    </row>
    <row r="7306" spans="5:13">
      <c r="E7306" s="668"/>
      <c r="F7306" s="668"/>
      <c r="G7306" s="668"/>
      <c r="H7306" s="668"/>
      <c r="I7306" s="668"/>
      <c r="J7306" s="668"/>
      <c r="K7306" s="674"/>
      <c r="L7306" s="668"/>
      <c r="M7306" s="668"/>
    </row>
    <row r="7307" spans="5:13">
      <c r="E7307" s="668"/>
      <c r="F7307" s="668"/>
      <c r="G7307" s="668"/>
      <c r="H7307" s="668"/>
      <c r="I7307" s="668"/>
      <c r="J7307" s="668"/>
      <c r="K7307" s="674"/>
      <c r="L7307" s="668"/>
      <c r="M7307" s="668"/>
    </row>
    <row r="7308" spans="5:13">
      <c r="E7308" s="668"/>
      <c r="F7308" s="668"/>
      <c r="G7308" s="668"/>
      <c r="H7308" s="668"/>
      <c r="I7308" s="668"/>
      <c r="J7308" s="668"/>
      <c r="K7308" s="674"/>
      <c r="L7308" s="668"/>
      <c r="M7308" s="668"/>
    </row>
    <row r="7309" spans="5:13">
      <c r="E7309" s="668"/>
      <c r="F7309" s="668"/>
      <c r="G7309" s="668"/>
      <c r="H7309" s="668"/>
      <c r="I7309" s="668"/>
      <c r="J7309" s="668"/>
      <c r="K7309" s="674"/>
      <c r="L7309" s="668"/>
      <c r="M7309" s="668"/>
    </row>
    <row r="7310" spans="5:13">
      <c r="E7310" s="668"/>
      <c r="F7310" s="668"/>
      <c r="G7310" s="668"/>
      <c r="H7310" s="668"/>
      <c r="I7310" s="668"/>
      <c r="J7310" s="668"/>
      <c r="K7310" s="674"/>
      <c r="L7310" s="668"/>
      <c r="M7310" s="668"/>
    </row>
    <row r="7311" spans="5:13">
      <c r="E7311" s="668"/>
      <c r="F7311" s="668"/>
      <c r="G7311" s="668"/>
      <c r="H7311" s="668"/>
      <c r="I7311" s="668"/>
      <c r="J7311" s="668"/>
      <c r="K7311" s="674"/>
      <c r="L7311" s="668"/>
      <c r="M7311" s="668"/>
    </row>
    <row r="7312" spans="5:13">
      <c r="E7312" s="668"/>
      <c r="F7312" s="668"/>
      <c r="G7312" s="668"/>
      <c r="H7312" s="668"/>
      <c r="I7312" s="668"/>
      <c r="J7312" s="668"/>
      <c r="K7312" s="674"/>
      <c r="L7312" s="668"/>
      <c r="M7312" s="668"/>
    </row>
    <row r="7313" spans="5:13">
      <c r="E7313" s="668"/>
      <c r="F7313" s="668"/>
      <c r="G7313" s="668"/>
      <c r="H7313" s="668"/>
      <c r="I7313" s="668"/>
      <c r="J7313" s="668"/>
      <c r="K7313" s="674"/>
      <c r="L7313" s="668"/>
      <c r="M7313" s="668"/>
    </row>
    <row r="7314" spans="5:13">
      <c r="E7314" s="668"/>
      <c r="F7314" s="668"/>
      <c r="G7314" s="668"/>
      <c r="H7314" s="668"/>
      <c r="I7314" s="668"/>
      <c r="J7314" s="668"/>
      <c r="K7314" s="674"/>
      <c r="L7314" s="668"/>
      <c r="M7314" s="668"/>
    </row>
    <row r="7315" spans="5:13">
      <c r="E7315" s="668"/>
      <c r="F7315" s="668"/>
      <c r="G7315" s="668"/>
      <c r="H7315" s="668"/>
      <c r="I7315" s="668"/>
      <c r="J7315" s="668"/>
      <c r="K7315" s="674"/>
      <c r="L7315" s="668"/>
      <c r="M7315" s="668"/>
    </row>
    <row r="7316" spans="5:13">
      <c r="E7316" s="668"/>
      <c r="F7316" s="668"/>
      <c r="G7316" s="668"/>
      <c r="H7316" s="668"/>
      <c r="I7316" s="668"/>
      <c r="J7316" s="668"/>
      <c r="K7316" s="674"/>
      <c r="L7316" s="668"/>
      <c r="M7316" s="668"/>
    </row>
    <row r="7317" spans="5:13">
      <c r="E7317" s="668"/>
      <c r="F7317" s="668"/>
      <c r="G7317" s="668"/>
      <c r="H7317" s="668"/>
      <c r="I7317" s="668"/>
      <c r="J7317" s="668"/>
      <c r="K7317" s="674"/>
      <c r="L7317" s="668"/>
      <c r="M7317" s="668"/>
    </row>
    <row r="7318" spans="5:13">
      <c r="E7318" s="668"/>
      <c r="F7318" s="668"/>
      <c r="G7318" s="668"/>
      <c r="H7318" s="668"/>
      <c r="I7318" s="668"/>
      <c r="J7318" s="668"/>
      <c r="K7318" s="674"/>
      <c r="L7318" s="668"/>
      <c r="M7318" s="668"/>
    </row>
    <row r="7319" spans="5:13">
      <c r="E7319" s="668"/>
      <c r="F7319" s="668"/>
      <c r="G7319" s="668"/>
      <c r="H7319" s="668"/>
      <c r="I7319" s="668"/>
      <c r="J7319" s="668"/>
      <c r="K7319" s="674"/>
      <c r="L7319" s="668"/>
      <c r="M7319" s="668"/>
    </row>
    <row r="7320" spans="5:13">
      <c r="E7320" s="668"/>
      <c r="F7320" s="668"/>
      <c r="G7320" s="668"/>
      <c r="H7320" s="668"/>
      <c r="I7320" s="668"/>
      <c r="J7320" s="668"/>
      <c r="K7320" s="674"/>
      <c r="L7320" s="668"/>
      <c r="M7320" s="668"/>
    </row>
    <row r="7321" spans="5:13">
      <c r="E7321" s="668"/>
      <c r="F7321" s="668"/>
      <c r="G7321" s="668"/>
      <c r="H7321" s="668"/>
      <c r="I7321" s="668"/>
      <c r="J7321" s="668"/>
      <c r="K7321" s="674"/>
      <c r="L7321" s="668"/>
      <c r="M7321" s="668"/>
    </row>
    <row r="7322" spans="5:13">
      <c r="E7322" s="668"/>
      <c r="F7322" s="668"/>
      <c r="G7322" s="668"/>
      <c r="H7322" s="668"/>
      <c r="I7322" s="668"/>
      <c r="J7322" s="668"/>
      <c r="K7322" s="674"/>
      <c r="L7322" s="668"/>
      <c r="M7322" s="668"/>
    </row>
    <row r="7323" spans="5:13">
      <c r="E7323" s="668"/>
      <c r="F7323" s="668"/>
      <c r="G7323" s="668"/>
      <c r="H7323" s="668"/>
      <c r="I7323" s="668"/>
      <c r="J7323" s="668"/>
      <c r="K7323" s="674"/>
      <c r="L7323" s="668"/>
      <c r="M7323" s="668"/>
    </row>
    <row r="7324" spans="5:13">
      <c r="E7324" s="668"/>
      <c r="F7324" s="668"/>
      <c r="G7324" s="668"/>
      <c r="H7324" s="668"/>
      <c r="I7324" s="668"/>
      <c r="J7324" s="668"/>
      <c r="K7324" s="674"/>
      <c r="L7324" s="668"/>
      <c r="M7324" s="668"/>
    </row>
    <row r="7325" spans="5:13">
      <c r="E7325" s="668"/>
      <c r="F7325" s="668"/>
      <c r="G7325" s="668"/>
      <c r="H7325" s="668"/>
      <c r="I7325" s="668"/>
      <c r="J7325" s="668"/>
      <c r="K7325" s="674"/>
      <c r="L7325" s="668"/>
      <c r="M7325" s="668"/>
    </row>
    <row r="7326" spans="5:13">
      <c r="E7326" s="668"/>
      <c r="F7326" s="668"/>
      <c r="G7326" s="668"/>
      <c r="H7326" s="668"/>
      <c r="I7326" s="668"/>
      <c r="J7326" s="668"/>
      <c r="K7326" s="674"/>
      <c r="L7326" s="668"/>
      <c r="M7326" s="668"/>
    </row>
    <row r="7327" spans="5:13">
      <c r="E7327" s="668"/>
      <c r="F7327" s="668"/>
      <c r="G7327" s="668"/>
      <c r="H7327" s="668"/>
      <c r="I7327" s="668"/>
      <c r="J7327" s="668"/>
      <c r="K7327" s="674"/>
      <c r="L7327" s="668"/>
      <c r="M7327" s="668"/>
    </row>
    <row r="7328" spans="5:13">
      <c r="E7328" s="668"/>
      <c r="F7328" s="668"/>
      <c r="G7328" s="668"/>
      <c r="H7328" s="668"/>
      <c r="I7328" s="668"/>
      <c r="J7328" s="668"/>
      <c r="K7328" s="674"/>
      <c r="L7328" s="668"/>
      <c r="M7328" s="668"/>
    </row>
    <row r="7329" spans="5:13">
      <c r="E7329" s="668"/>
      <c r="F7329" s="668"/>
      <c r="G7329" s="668"/>
      <c r="H7329" s="668"/>
      <c r="I7329" s="668"/>
      <c r="J7329" s="668"/>
      <c r="K7329" s="674"/>
      <c r="L7329" s="668"/>
      <c r="M7329" s="668"/>
    </row>
    <row r="7330" spans="5:13">
      <c r="E7330" s="668"/>
      <c r="F7330" s="668"/>
      <c r="G7330" s="668"/>
      <c r="H7330" s="668"/>
      <c r="I7330" s="668"/>
      <c r="J7330" s="668"/>
      <c r="K7330" s="674"/>
      <c r="L7330" s="668"/>
      <c r="M7330" s="668"/>
    </row>
    <row r="7331" spans="5:13">
      <c r="E7331" s="668"/>
      <c r="F7331" s="668"/>
      <c r="G7331" s="668"/>
      <c r="H7331" s="668"/>
      <c r="I7331" s="668"/>
      <c r="J7331" s="668"/>
      <c r="K7331" s="674"/>
      <c r="L7331" s="668"/>
      <c r="M7331" s="668"/>
    </row>
    <row r="7332" spans="5:13">
      <c r="E7332" s="668"/>
      <c r="F7332" s="668"/>
      <c r="G7332" s="668"/>
      <c r="H7332" s="668"/>
      <c r="I7332" s="668"/>
      <c r="J7332" s="668"/>
      <c r="K7332" s="674"/>
      <c r="L7332" s="668"/>
      <c r="M7332" s="668"/>
    </row>
    <row r="7333" spans="5:13">
      <c r="E7333" s="668"/>
      <c r="F7333" s="668"/>
      <c r="G7333" s="668"/>
      <c r="H7333" s="668"/>
      <c r="I7333" s="668"/>
      <c r="J7333" s="668"/>
      <c r="K7333" s="674"/>
      <c r="L7333" s="668"/>
      <c r="M7333" s="668"/>
    </row>
    <row r="7334" spans="5:13">
      <c r="E7334" s="668"/>
      <c r="F7334" s="668"/>
      <c r="G7334" s="668"/>
      <c r="H7334" s="668"/>
      <c r="I7334" s="668"/>
      <c r="J7334" s="668"/>
      <c r="K7334" s="674"/>
      <c r="L7334" s="668"/>
      <c r="M7334" s="668"/>
    </row>
    <row r="7335" spans="5:13">
      <c r="E7335" s="668"/>
      <c r="F7335" s="668"/>
      <c r="G7335" s="668"/>
      <c r="H7335" s="668"/>
      <c r="I7335" s="668"/>
      <c r="J7335" s="668"/>
      <c r="K7335" s="674"/>
      <c r="L7335" s="668"/>
      <c r="M7335" s="668"/>
    </row>
    <row r="7336" spans="5:13">
      <c r="E7336" s="668"/>
      <c r="F7336" s="668"/>
      <c r="G7336" s="668"/>
      <c r="H7336" s="668"/>
      <c r="I7336" s="668"/>
      <c r="J7336" s="668"/>
      <c r="K7336" s="674"/>
      <c r="L7336" s="668"/>
      <c r="M7336" s="668"/>
    </row>
    <row r="7337" spans="5:13">
      <c r="E7337" s="668"/>
      <c r="F7337" s="668"/>
      <c r="G7337" s="668"/>
      <c r="H7337" s="668"/>
      <c r="I7337" s="668"/>
      <c r="J7337" s="668"/>
      <c r="K7337" s="674"/>
      <c r="L7337" s="668"/>
      <c r="M7337" s="668"/>
    </row>
    <row r="7338" spans="5:13">
      <c r="E7338" s="668"/>
      <c r="F7338" s="668"/>
      <c r="G7338" s="668"/>
      <c r="H7338" s="668"/>
      <c r="I7338" s="668"/>
      <c r="J7338" s="668"/>
      <c r="K7338" s="674"/>
      <c r="L7338" s="668"/>
      <c r="M7338" s="668"/>
    </row>
    <row r="7339" spans="5:13">
      <c r="E7339" s="668"/>
      <c r="F7339" s="668"/>
      <c r="G7339" s="668"/>
      <c r="H7339" s="668"/>
      <c r="I7339" s="668"/>
      <c r="J7339" s="668"/>
      <c r="K7339" s="674"/>
      <c r="L7339" s="668"/>
      <c r="M7339" s="668"/>
    </row>
    <row r="7340" spans="5:13">
      <c r="E7340" s="668"/>
      <c r="F7340" s="668"/>
      <c r="G7340" s="668"/>
      <c r="H7340" s="668"/>
      <c r="I7340" s="668"/>
      <c r="J7340" s="668"/>
      <c r="K7340" s="674"/>
      <c r="L7340" s="668"/>
      <c r="M7340" s="668"/>
    </row>
    <row r="7341" spans="5:13">
      <c r="E7341" s="668"/>
      <c r="F7341" s="668"/>
      <c r="G7341" s="668"/>
      <c r="H7341" s="668"/>
      <c r="I7341" s="668"/>
      <c r="J7341" s="668"/>
      <c r="K7341" s="674"/>
      <c r="L7341" s="668"/>
      <c r="M7341" s="668"/>
    </row>
    <row r="7342" spans="5:13">
      <c r="E7342" s="668"/>
      <c r="F7342" s="668"/>
      <c r="G7342" s="668"/>
      <c r="H7342" s="668"/>
      <c r="I7342" s="668"/>
      <c r="J7342" s="668"/>
      <c r="K7342" s="674"/>
      <c r="L7342" s="668"/>
      <c r="M7342" s="668"/>
    </row>
    <row r="7343" spans="5:13">
      <c r="E7343" s="668"/>
      <c r="F7343" s="668"/>
      <c r="G7343" s="668"/>
      <c r="H7343" s="668"/>
      <c r="I7343" s="668"/>
      <c r="J7343" s="668"/>
      <c r="K7343" s="674"/>
      <c r="L7343" s="668"/>
      <c r="M7343" s="668"/>
    </row>
    <row r="7344" spans="5:13">
      <c r="E7344" s="668"/>
      <c r="F7344" s="668"/>
      <c r="G7344" s="668"/>
      <c r="H7344" s="668"/>
      <c r="I7344" s="668"/>
      <c r="J7344" s="668"/>
      <c r="K7344" s="674"/>
      <c r="L7344" s="668"/>
      <c r="M7344" s="668"/>
    </row>
    <row r="7345" spans="5:13">
      <c r="E7345" s="668"/>
      <c r="F7345" s="668"/>
      <c r="G7345" s="668"/>
      <c r="H7345" s="668"/>
      <c r="I7345" s="668"/>
      <c r="J7345" s="668"/>
      <c r="K7345" s="674"/>
      <c r="L7345" s="668"/>
      <c r="M7345" s="668"/>
    </row>
    <row r="7346" spans="5:13">
      <c r="E7346" s="668"/>
      <c r="F7346" s="668"/>
      <c r="G7346" s="668"/>
      <c r="H7346" s="668"/>
      <c r="I7346" s="668"/>
      <c r="J7346" s="668"/>
      <c r="K7346" s="674"/>
      <c r="L7346" s="668"/>
      <c r="M7346" s="668"/>
    </row>
    <row r="7347" spans="5:13">
      <c r="E7347" s="668"/>
      <c r="F7347" s="668"/>
      <c r="G7347" s="668"/>
      <c r="H7347" s="668"/>
      <c r="I7347" s="668"/>
      <c r="J7347" s="668"/>
      <c r="K7347" s="674"/>
      <c r="L7347" s="668"/>
      <c r="M7347" s="668"/>
    </row>
    <row r="7348" spans="5:13">
      <c r="E7348" s="668"/>
      <c r="F7348" s="668"/>
      <c r="G7348" s="668"/>
      <c r="H7348" s="668"/>
      <c r="I7348" s="668"/>
      <c r="J7348" s="668"/>
      <c r="K7348" s="674"/>
      <c r="L7348" s="668"/>
      <c r="M7348" s="668"/>
    </row>
    <row r="7349" spans="5:13">
      <c r="E7349" s="668"/>
      <c r="F7349" s="668"/>
      <c r="G7349" s="668"/>
      <c r="H7349" s="668"/>
      <c r="I7349" s="668"/>
      <c r="J7349" s="668"/>
      <c r="K7349" s="674"/>
      <c r="L7349" s="668"/>
      <c r="M7349" s="668"/>
    </row>
    <row r="7350" spans="5:13">
      <c r="E7350" s="668"/>
      <c r="F7350" s="668"/>
      <c r="G7350" s="668"/>
      <c r="H7350" s="668"/>
      <c r="I7350" s="668"/>
      <c r="J7350" s="668"/>
      <c r="K7350" s="674"/>
      <c r="L7350" s="668"/>
      <c r="M7350" s="668"/>
    </row>
    <row r="7351" spans="5:13">
      <c r="E7351" s="668"/>
      <c r="F7351" s="668"/>
      <c r="G7351" s="668"/>
      <c r="H7351" s="668"/>
      <c r="I7351" s="668"/>
      <c r="J7351" s="668"/>
      <c r="K7351" s="674"/>
      <c r="L7351" s="668"/>
      <c r="M7351" s="668"/>
    </row>
    <row r="7352" spans="5:13">
      <c r="E7352" s="668"/>
      <c r="F7352" s="668"/>
      <c r="G7352" s="668"/>
      <c r="H7352" s="668"/>
      <c r="I7352" s="668"/>
      <c r="J7352" s="668"/>
      <c r="K7352" s="674"/>
      <c r="L7352" s="668"/>
      <c r="M7352" s="668"/>
    </row>
    <row r="7353" spans="5:13">
      <c r="E7353" s="668"/>
      <c r="F7353" s="668"/>
      <c r="G7353" s="668"/>
      <c r="H7353" s="668"/>
      <c r="I7353" s="668"/>
      <c r="J7353" s="668"/>
      <c r="K7353" s="674"/>
      <c r="L7353" s="668"/>
      <c r="M7353" s="668"/>
    </row>
    <row r="7354" spans="5:13">
      <c r="E7354" s="668"/>
      <c r="F7354" s="668"/>
      <c r="G7354" s="668"/>
      <c r="H7354" s="668"/>
      <c r="I7354" s="668"/>
      <c r="J7354" s="668"/>
      <c r="K7354" s="674"/>
      <c r="L7354" s="668"/>
      <c r="M7354" s="668"/>
    </row>
    <row r="7355" spans="5:13">
      <c r="E7355" s="668"/>
      <c r="F7355" s="668"/>
      <c r="G7355" s="668"/>
      <c r="H7355" s="668"/>
      <c r="I7355" s="668"/>
      <c r="J7355" s="668"/>
      <c r="K7355" s="674"/>
      <c r="L7355" s="668"/>
      <c r="M7355" s="668"/>
    </row>
    <row r="7356" spans="5:13">
      <c r="E7356" s="668"/>
      <c r="F7356" s="668"/>
      <c r="G7356" s="668"/>
      <c r="H7356" s="668"/>
      <c r="I7356" s="668"/>
      <c r="J7356" s="668"/>
      <c r="K7356" s="674"/>
      <c r="L7356" s="668"/>
      <c r="M7356" s="668"/>
    </row>
    <row r="7357" spans="5:13">
      <c r="E7357" s="668"/>
      <c r="F7357" s="668"/>
      <c r="G7357" s="668"/>
      <c r="H7357" s="668"/>
      <c r="I7357" s="668"/>
      <c r="J7357" s="668"/>
      <c r="K7357" s="674"/>
      <c r="L7357" s="668"/>
      <c r="M7357" s="668"/>
    </row>
    <row r="7358" spans="5:13">
      <c r="E7358" s="668"/>
      <c r="F7358" s="668"/>
      <c r="G7358" s="668"/>
      <c r="H7358" s="668"/>
      <c r="I7358" s="668"/>
      <c r="J7358" s="668"/>
      <c r="K7358" s="674"/>
      <c r="L7358" s="668"/>
      <c r="M7358" s="668"/>
    </row>
    <row r="7359" spans="5:13">
      <c r="E7359" s="668"/>
      <c r="F7359" s="668"/>
      <c r="G7359" s="668"/>
      <c r="H7359" s="668"/>
      <c r="I7359" s="668"/>
      <c r="J7359" s="668"/>
      <c r="K7359" s="674"/>
      <c r="L7359" s="668"/>
      <c r="M7359" s="668"/>
    </row>
    <row r="7360" spans="5:13">
      <c r="E7360" s="668"/>
      <c r="F7360" s="668"/>
      <c r="G7360" s="668"/>
      <c r="H7360" s="668"/>
      <c r="I7360" s="668"/>
      <c r="J7360" s="668"/>
      <c r="K7360" s="674"/>
      <c r="L7360" s="668"/>
      <c r="M7360" s="668"/>
    </row>
    <row r="7361" spans="5:13">
      <c r="E7361" s="668"/>
      <c r="F7361" s="668"/>
      <c r="G7361" s="668"/>
      <c r="H7361" s="668"/>
      <c r="I7361" s="668"/>
      <c r="J7361" s="668"/>
      <c r="K7361" s="674"/>
      <c r="L7361" s="668"/>
      <c r="M7361" s="668"/>
    </row>
    <row r="7362" spans="5:13">
      <c r="E7362" s="668"/>
      <c r="F7362" s="668"/>
      <c r="G7362" s="668"/>
      <c r="H7362" s="668"/>
      <c r="I7362" s="668"/>
      <c r="J7362" s="668"/>
      <c r="K7362" s="674"/>
      <c r="L7362" s="668"/>
      <c r="M7362" s="668"/>
    </row>
    <row r="7363" spans="5:13">
      <c r="E7363" s="668"/>
      <c r="F7363" s="668"/>
      <c r="G7363" s="668"/>
      <c r="H7363" s="668"/>
      <c r="I7363" s="668"/>
      <c r="J7363" s="668"/>
      <c r="K7363" s="674"/>
      <c r="L7363" s="668"/>
      <c r="M7363" s="668"/>
    </row>
    <row r="7364" spans="5:13">
      <c r="E7364" s="668"/>
      <c r="F7364" s="668"/>
      <c r="G7364" s="668"/>
      <c r="H7364" s="668"/>
      <c r="I7364" s="668"/>
      <c r="J7364" s="668"/>
      <c r="K7364" s="674"/>
      <c r="L7364" s="668"/>
      <c r="M7364" s="668"/>
    </row>
    <row r="7365" spans="5:13">
      <c r="E7365" s="668"/>
      <c r="F7365" s="668"/>
      <c r="G7365" s="668"/>
      <c r="H7365" s="668"/>
      <c r="I7365" s="668"/>
      <c r="J7365" s="668"/>
      <c r="K7365" s="674"/>
      <c r="L7365" s="668"/>
      <c r="M7365" s="668"/>
    </row>
    <row r="7366" spans="5:13">
      <c r="E7366" s="668"/>
      <c r="F7366" s="668"/>
      <c r="G7366" s="668"/>
      <c r="H7366" s="668"/>
      <c r="I7366" s="668"/>
      <c r="J7366" s="668"/>
      <c r="K7366" s="674"/>
      <c r="L7366" s="668"/>
      <c r="M7366" s="668"/>
    </row>
    <row r="7367" spans="5:13">
      <c r="E7367" s="668"/>
      <c r="F7367" s="668"/>
      <c r="G7367" s="668"/>
      <c r="H7367" s="668"/>
      <c r="I7367" s="668"/>
      <c r="J7367" s="668"/>
      <c r="K7367" s="674"/>
      <c r="L7367" s="668"/>
      <c r="M7367" s="668"/>
    </row>
    <row r="7368" spans="5:13">
      <c r="E7368" s="668"/>
      <c r="F7368" s="668"/>
      <c r="G7368" s="668"/>
      <c r="H7368" s="668"/>
      <c r="I7368" s="668"/>
      <c r="J7368" s="668"/>
      <c r="K7368" s="674"/>
      <c r="L7368" s="668"/>
      <c r="M7368" s="668"/>
    </row>
    <row r="7369" spans="5:13">
      <c r="E7369" s="668"/>
      <c r="F7369" s="668"/>
      <c r="G7369" s="668"/>
      <c r="H7369" s="668"/>
      <c r="I7369" s="668"/>
      <c r="J7369" s="668"/>
      <c r="K7369" s="674"/>
      <c r="L7369" s="668"/>
      <c r="M7369" s="668"/>
    </row>
    <row r="7370" spans="5:13">
      <c r="E7370" s="668"/>
      <c r="F7370" s="668"/>
      <c r="G7370" s="668"/>
      <c r="H7370" s="668"/>
      <c r="I7370" s="668"/>
      <c r="J7370" s="668"/>
      <c r="K7370" s="674"/>
      <c r="L7370" s="668"/>
      <c r="M7370" s="668"/>
    </row>
    <row r="7371" spans="5:13">
      <c r="E7371" s="668"/>
      <c r="F7371" s="668"/>
      <c r="G7371" s="668"/>
      <c r="H7371" s="668"/>
      <c r="I7371" s="668"/>
      <c r="J7371" s="668"/>
      <c r="K7371" s="674"/>
      <c r="L7371" s="668"/>
      <c r="M7371" s="668"/>
    </row>
    <row r="7372" spans="5:13">
      <c r="E7372" s="668"/>
      <c r="F7372" s="668"/>
      <c r="G7372" s="668"/>
      <c r="H7372" s="668"/>
      <c r="I7372" s="668"/>
      <c r="J7372" s="668"/>
      <c r="K7372" s="674"/>
      <c r="L7372" s="668"/>
      <c r="M7372" s="668"/>
    </row>
    <row r="7373" spans="5:13">
      <c r="E7373" s="668"/>
      <c r="F7373" s="668"/>
      <c r="G7373" s="668"/>
      <c r="H7373" s="668"/>
      <c r="I7373" s="668"/>
      <c r="J7373" s="668"/>
      <c r="K7373" s="674"/>
      <c r="L7373" s="668"/>
      <c r="M7373" s="668"/>
    </row>
    <row r="7374" spans="5:13">
      <c r="E7374" s="668"/>
      <c r="F7374" s="668"/>
      <c r="G7374" s="668"/>
      <c r="H7374" s="668"/>
      <c r="I7374" s="668"/>
      <c r="J7374" s="668"/>
      <c r="K7374" s="674"/>
      <c r="L7374" s="668"/>
      <c r="M7374" s="668"/>
    </row>
    <row r="7375" spans="5:13">
      <c r="E7375" s="668"/>
      <c r="F7375" s="668"/>
      <c r="G7375" s="668"/>
      <c r="H7375" s="668"/>
      <c r="I7375" s="668"/>
      <c r="J7375" s="668"/>
      <c r="K7375" s="674"/>
      <c r="L7375" s="668"/>
      <c r="M7375" s="668"/>
    </row>
    <row r="7376" spans="5:13">
      <c r="E7376" s="668"/>
      <c r="F7376" s="668"/>
      <c r="G7376" s="668"/>
      <c r="H7376" s="668"/>
      <c r="I7376" s="668"/>
      <c r="J7376" s="668"/>
      <c r="K7376" s="674"/>
      <c r="L7376" s="668"/>
      <c r="M7376" s="668"/>
    </row>
    <row r="7377" spans="5:13">
      <c r="E7377" s="668"/>
      <c r="F7377" s="668"/>
      <c r="G7377" s="668"/>
      <c r="H7377" s="668"/>
      <c r="I7377" s="668"/>
      <c r="J7377" s="668"/>
      <c r="K7377" s="674"/>
      <c r="L7377" s="668"/>
      <c r="M7377" s="668"/>
    </row>
    <row r="7378" spans="5:13">
      <c r="E7378" s="668"/>
      <c r="F7378" s="668"/>
      <c r="G7378" s="668"/>
      <c r="H7378" s="668"/>
      <c r="I7378" s="668"/>
      <c r="J7378" s="668"/>
      <c r="K7378" s="674"/>
      <c r="L7378" s="668"/>
      <c r="M7378" s="668"/>
    </row>
    <row r="7379" spans="5:13">
      <c r="E7379" s="668"/>
      <c r="F7379" s="668"/>
      <c r="G7379" s="668"/>
      <c r="H7379" s="668"/>
      <c r="I7379" s="668"/>
      <c r="J7379" s="668"/>
      <c r="K7379" s="674"/>
      <c r="L7379" s="668"/>
      <c r="M7379" s="668"/>
    </row>
    <row r="7380" spans="5:13">
      <c r="E7380" s="668"/>
      <c r="F7380" s="668"/>
      <c r="G7380" s="668"/>
      <c r="H7380" s="668"/>
      <c r="I7380" s="668"/>
      <c r="J7380" s="668"/>
      <c r="K7380" s="674"/>
      <c r="L7380" s="668"/>
      <c r="M7380" s="668"/>
    </row>
    <row r="7381" spans="5:13">
      <c r="E7381" s="668"/>
      <c r="F7381" s="668"/>
      <c r="G7381" s="668"/>
      <c r="H7381" s="668"/>
      <c r="I7381" s="668"/>
      <c r="J7381" s="668"/>
      <c r="K7381" s="674"/>
      <c r="L7381" s="668"/>
      <c r="M7381" s="668"/>
    </row>
    <row r="7382" spans="5:13">
      <c r="E7382" s="668"/>
      <c r="F7382" s="668"/>
      <c r="G7382" s="668"/>
      <c r="H7382" s="668"/>
      <c r="I7382" s="668"/>
      <c r="J7382" s="668"/>
      <c r="K7382" s="674"/>
      <c r="L7382" s="668"/>
      <c r="M7382" s="668"/>
    </row>
    <row r="7383" spans="5:13">
      <c r="E7383" s="668"/>
      <c r="F7383" s="668"/>
      <c r="G7383" s="668"/>
      <c r="H7383" s="668"/>
      <c r="I7383" s="668"/>
      <c r="J7383" s="668"/>
      <c r="K7383" s="674"/>
      <c r="L7383" s="668"/>
      <c r="M7383" s="668"/>
    </row>
    <row r="7384" spans="5:13">
      <c r="E7384" s="668"/>
      <c r="F7384" s="668"/>
      <c r="G7384" s="668"/>
      <c r="H7384" s="668"/>
      <c r="I7384" s="668"/>
      <c r="J7384" s="668"/>
      <c r="K7384" s="674"/>
      <c r="L7384" s="668"/>
      <c r="M7384" s="668"/>
    </row>
    <row r="7385" spans="5:13">
      <c r="E7385" s="668"/>
      <c r="F7385" s="668"/>
      <c r="G7385" s="668"/>
      <c r="H7385" s="668"/>
      <c r="I7385" s="668"/>
      <c r="J7385" s="668"/>
      <c r="K7385" s="674"/>
      <c r="L7385" s="668"/>
      <c r="M7385" s="668"/>
    </row>
    <row r="7386" spans="5:13">
      <c r="E7386" s="668"/>
      <c r="F7386" s="668"/>
      <c r="G7386" s="668"/>
      <c r="H7386" s="668"/>
      <c r="I7386" s="668"/>
      <c r="J7386" s="668"/>
      <c r="K7386" s="674"/>
      <c r="L7386" s="668"/>
      <c r="M7386" s="668"/>
    </row>
    <row r="7387" spans="5:13">
      <c r="E7387" s="668"/>
      <c r="F7387" s="668"/>
      <c r="G7387" s="668"/>
      <c r="H7387" s="668"/>
      <c r="I7387" s="668"/>
      <c r="J7387" s="668"/>
      <c r="K7387" s="674"/>
      <c r="L7387" s="668"/>
      <c r="M7387" s="668"/>
    </row>
    <row r="7388" spans="5:13">
      <c r="E7388" s="668"/>
      <c r="F7388" s="668"/>
      <c r="G7388" s="668"/>
      <c r="H7388" s="668"/>
      <c r="I7388" s="668"/>
      <c r="J7388" s="668"/>
      <c r="K7388" s="674"/>
      <c r="L7388" s="668"/>
      <c r="M7388" s="668"/>
    </row>
    <row r="7389" spans="5:13">
      <c r="E7389" s="668"/>
      <c r="F7389" s="668"/>
      <c r="G7389" s="668"/>
      <c r="H7389" s="668"/>
      <c r="I7389" s="668"/>
      <c r="J7389" s="668"/>
      <c r="K7389" s="674"/>
      <c r="L7389" s="668"/>
      <c r="M7389" s="668"/>
    </row>
    <row r="7390" spans="5:13">
      <c r="E7390" s="668"/>
      <c r="F7390" s="668"/>
      <c r="G7390" s="668"/>
      <c r="H7390" s="668"/>
      <c r="I7390" s="668"/>
      <c r="J7390" s="668"/>
      <c r="K7390" s="674"/>
      <c r="L7390" s="668"/>
      <c r="M7390" s="668"/>
    </row>
    <row r="7391" spans="5:13">
      <c r="E7391" s="668"/>
      <c r="F7391" s="668"/>
      <c r="G7391" s="668"/>
      <c r="H7391" s="668"/>
      <c r="I7391" s="668"/>
      <c r="J7391" s="668"/>
      <c r="K7391" s="674"/>
      <c r="L7391" s="668"/>
      <c r="M7391" s="668"/>
    </row>
    <row r="7392" spans="5:13">
      <c r="E7392" s="668"/>
      <c r="F7392" s="668"/>
      <c r="G7392" s="668"/>
      <c r="H7392" s="668"/>
      <c r="I7392" s="668"/>
      <c r="J7392" s="668"/>
      <c r="K7392" s="674"/>
      <c r="L7392" s="668"/>
      <c r="M7392" s="668"/>
    </row>
    <row r="7393" spans="5:13">
      <c r="E7393" s="668"/>
      <c r="F7393" s="668"/>
      <c r="G7393" s="668"/>
      <c r="H7393" s="668"/>
      <c r="I7393" s="668"/>
      <c r="J7393" s="668"/>
      <c r="K7393" s="674"/>
      <c r="L7393" s="668"/>
      <c r="M7393" s="668"/>
    </row>
    <row r="7394" spans="5:13">
      <c r="E7394" s="668"/>
      <c r="F7394" s="668"/>
      <c r="G7394" s="668"/>
      <c r="H7394" s="668"/>
      <c r="I7394" s="668"/>
      <c r="J7394" s="668"/>
      <c r="K7394" s="674"/>
      <c r="L7394" s="668"/>
      <c r="M7394" s="668"/>
    </row>
    <row r="7395" spans="5:13">
      <c r="E7395" s="668"/>
      <c r="F7395" s="668"/>
      <c r="G7395" s="668"/>
      <c r="H7395" s="668"/>
      <c r="I7395" s="668"/>
      <c r="J7395" s="668"/>
      <c r="K7395" s="674"/>
      <c r="L7395" s="668"/>
      <c r="M7395" s="668"/>
    </row>
    <row r="7396" spans="5:13">
      <c r="E7396" s="668"/>
      <c r="F7396" s="668"/>
      <c r="G7396" s="668"/>
      <c r="H7396" s="668"/>
      <c r="I7396" s="668"/>
      <c r="J7396" s="668"/>
      <c r="K7396" s="674"/>
      <c r="L7396" s="668"/>
      <c r="M7396" s="668"/>
    </row>
    <row r="7397" spans="5:13">
      <c r="E7397" s="668"/>
      <c r="F7397" s="668"/>
      <c r="G7397" s="668"/>
      <c r="H7397" s="668"/>
      <c r="I7397" s="668"/>
      <c r="J7397" s="668"/>
      <c r="K7397" s="674"/>
      <c r="L7397" s="668"/>
      <c r="M7397" s="668"/>
    </row>
    <row r="7398" spans="5:13">
      <c r="E7398" s="668"/>
      <c r="F7398" s="668"/>
      <c r="G7398" s="668"/>
      <c r="H7398" s="668"/>
      <c r="I7398" s="668"/>
      <c r="J7398" s="668"/>
      <c r="K7398" s="674"/>
      <c r="L7398" s="668"/>
      <c r="M7398" s="668"/>
    </row>
    <row r="7399" spans="5:13">
      <c r="E7399" s="668"/>
      <c r="F7399" s="668"/>
      <c r="G7399" s="668"/>
      <c r="H7399" s="668"/>
      <c r="I7399" s="668"/>
      <c r="J7399" s="668"/>
      <c r="K7399" s="674"/>
      <c r="L7399" s="668"/>
      <c r="M7399" s="668"/>
    </row>
    <row r="7400" spans="5:13">
      <c r="E7400" s="668"/>
      <c r="F7400" s="668"/>
      <c r="G7400" s="668"/>
      <c r="H7400" s="668"/>
      <c r="I7400" s="668"/>
      <c r="J7400" s="668"/>
      <c r="K7400" s="674"/>
      <c r="L7400" s="668"/>
      <c r="M7400" s="668"/>
    </row>
    <row r="7401" spans="5:13">
      <c r="E7401" s="668"/>
      <c r="F7401" s="668"/>
      <c r="G7401" s="668"/>
      <c r="H7401" s="668"/>
      <c r="I7401" s="668"/>
      <c r="J7401" s="668"/>
      <c r="K7401" s="674"/>
      <c r="L7401" s="668"/>
      <c r="M7401" s="668"/>
    </row>
    <row r="7402" spans="5:13">
      <c r="E7402" s="668"/>
      <c r="F7402" s="668"/>
      <c r="G7402" s="668"/>
      <c r="H7402" s="668"/>
      <c r="I7402" s="668"/>
      <c r="J7402" s="668"/>
      <c r="K7402" s="674"/>
      <c r="L7402" s="668"/>
      <c r="M7402" s="668"/>
    </row>
    <row r="7403" spans="5:13">
      <c r="E7403" s="668"/>
      <c r="F7403" s="668"/>
      <c r="G7403" s="668"/>
      <c r="H7403" s="668"/>
      <c r="I7403" s="668"/>
      <c r="J7403" s="668"/>
      <c r="K7403" s="674"/>
      <c r="L7403" s="668"/>
      <c r="M7403" s="668"/>
    </row>
    <row r="7404" spans="5:13">
      <c r="E7404" s="668"/>
      <c r="F7404" s="668"/>
      <c r="G7404" s="668"/>
      <c r="H7404" s="668"/>
      <c r="I7404" s="668"/>
      <c r="J7404" s="668"/>
      <c r="K7404" s="674"/>
      <c r="L7404" s="668"/>
      <c r="M7404" s="668"/>
    </row>
    <row r="7405" spans="5:13">
      <c r="E7405" s="668"/>
      <c r="F7405" s="668"/>
      <c r="G7405" s="668"/>
      <c r="H7405" s="668"/>
      <c r="I7405" s="668"/>
      <c r="J7405" s="668"/>
      <c r="K7405" s="674"/>
      <c r="L7405" s="668"/>
      <c r="M7405" s="668"/>
    </row>
    <row r="7406" spans="5:13">
      <c r="E7406" s="668"/>
      <c r="F7406" s="668"/>
      <c r="G7406" s="668"/>
      <c r="H7406" s="668"/>
      <c r="I7406" s="668"/>
      <c r="J7406" s="668"/>
      <c r="K7406" s="674"/>
      <c r="L7406" s="668"/>
      <c r="M7406" s="668"/>
    </row>
    <row r="7407" spans="5:13">
      <c r="E7407" s="668"/>
      <c r="F7407" s="668"/>
      <c r="G7407" s="668"/>
      <c r="H7407" s="668"/>
      <c r="I7407" s="668"/>
      <c r="J7407" s="668"/>
      <c r="K7407" s="674"/>
      <c r="L7407" s="668"/>
      <c r="M7407" s="668"/>
    </row>
    <row r="7408" spans="5:13">
      <c r="E7408" s="668"/>
      <c r="F7408" s="668"/>
      <c r="G7408" s="668"/>
      <c r="H7408" s="668"/>
      <c r="I7408" s="668"/>
      <c r="J7408" s="668"/>
      <c r="K7408" s="674"/>
      <c r="L7408" s="668"/>
      <c r="M7408" s="668"/>
    </row>
    <row r="7409" spans="5:13">
      <c r="E7409" s="668"/>
      <c r="F7409" s="668"/>
      <c r="G7409" s="668"/>
      <c r="H7409" s="668"/>
      <c r="I7409" s="668"/>
      <c r="J7409" s="668"/>
      <c r="K7409" s="674"/>
      <c r="L7409" s="668"/>
      <c r="M7409" s="668"/>
    </row>
    <row r="7410" spans="5:13">
      <c r="E7410" s="668"/>
      <c r="F7410" s="668"/>
      <c r="G7410" s="668"/>
      <c r="H7410" s="668"/>
      <c r="I7410" s="668"/>
      <c r="J7410" s="668"/>
      <c r="K7410" s="674"/>
      <c r="L7410" s="668"/>
      <c r="M7410" s="668"/>
    </row>
    <row r="7411" spans="5:13">
      <c r="E7411" s="668"/>
      <c r="F7411" s="668"/>
      <c r="G7411" s="668"/>
      <c r="H7411" s="668"/>
      <c r="I7411" s="668"/>
      <c r="J7411" s="668"/>
      <c r="K7411" s="674"/>
      <c r="L7411" s="668"/>
      <c r="M7411" s="668"/>
    </row>
    <row r="7412" spans="5:13">
      <c r="E7412" s="668"/>
      <c r="F7412" s="668"/>
      <c r="G7412" s="668"/>
      <c r="H7412" s="668"/>
      <c r="I7412" s="668"/>
      <c r="J7412" s="668"/>
      <c r="K7412" s="674"/>
      <c r="L7412" s="668"/>
      <c r="M7412" s="668"/>
    </row>
    <row r="7413" spans="5:13">
      <c r="E7413" s="668"/>
      <c r="F7413" s="668"/>
      <c r="G7413" s="668"/>
      <c r="H7413" s="668"/>
      <c r="I7413" s="668"/>
      <c r="J7413" s="668"/>
      <c r="K7413" s="674"/>
      <c r="L7413" s="668"/>
      <c r="M7413" s="668"/>
    </row>
    <row r="7414" spans="5:13">
      <c r="E7414" s="668"/>
      <c r="F7414" s="668"/>
      <c r="G7414" s="668"/>
      <c r="H7414" s="668"/>
      <c r="I7414" s="668"/>
      <c r="J7414" s="668"/>
      <c r="K7414" s="674"/>
      <c r="L7414" s="668"/>
      <c r="M7414" s="668"/>
    </row>
    <row r="7415" spans="5:13">
      <c r="E7415" s="668"/>
      <c r="F7415" s="668"/>
      <c r="G7415" s="668"/>
      <c r="H7415" s="668"/>
      <c r="I7415" s="668"/>
      <c r="J7415" s="668"/>
      <c r="K7415" s="674"/>
      <c r="L7415" s="668"/>
      <c r="M7415" s="668"/>
    </row>
    <row r="7416" spans="5:13">
      <c r="E7416" s="668"/>
      <c r="F7416" s="668"/>
      <c r="G7416" s="668"/>
      <c r="H7416" s="668"/>
      <c r="I7416" s="668"/>
      <c r="J7416" s="668"/>
      <c r="K7416" s="674"/>
      <c r="L7416" s="668"/>
      <c r="M7416" s="668"/>
    </row>
    <row r="7417" spans="5:13">
      <c r="E7417" s="668"/>
      <c r="F7417" s="668"/>
      <c r="G7417" s="668"/>
      <c r="H7417" s="668"/>
      <c r="I7417" s="668"/>
      <c r="J7417" s="668"/>
      <c r="K7417" s="674"/>
      <c r="L7417" s="668"/>
      <c r="M7417" s="668"/>
    </row>
    <row r="7418" spans="5:13">
      <c r="E7418" s="668"/>
      <c r="F7418" s="668"/>
      <c r="G7418" s="668"/>
      <c r="H7418" s="668"/>
      <c r="I7418" s="668"/>
      <c r="J7418" s="668"/>
      <c r="K7418" s="674"/>
      <c r="L7418" s="668"/>
      <c r="M7418" s="668"/>
    </row>
    <row r="7419" spans="5:13">
      <c r="E7419" s="668"/>
      <c r="F7419" s="668"/>
      <c r="G7419" s="668"/>
      <c r="H7419" s="668"/>
      <c r="I7419" s="668"/>
      <c r="J7419" s="668"/>
      <c r="K7419" s="674"/>
      <c r="L7419" s="668"/>
      <c r="M7419" s="668"/>
    </row>
    <row r="7420" spans="5:13">
      <c r="E7420" s="668"/>
      <c r="F7420" s="668"/>
      <c r="G7420" s="668"/>
      <c r="H7420" s="668"/>
      <c r="I7420" s="668"/>
      <c r="J7420" s="668"/>
      <c r="K7420" s="674"/>
      <c r="L7420" s="668"/>
      <c r="M7420" s="668"/>
    </row>
    <row r="7421" spans="5:13">
      <c r="E7421" s="668"/>
      <c r="F7421" s="668"/>
      <c r="G7421" s="668"/>
      <c r="H7421" s="668"/>
      <c r="I7421" s="668"/>
      <c r="J7421" s="668"/>
      <c r="K7421" s="674"/>
      <c r="L7421" s="668"/>
      <c r="M7421" s="668"/>
    </row>
    <row r="7422" spans="5:13">
      <c r="E7422" s="668"/>
      <c r="F7422" s="668"/>
      <c r="G7422" s="668"/>
      <c r="H7422" s="668"/>
      <c r="I7422" s="668"/>
      <c r="J7422" s="668"/>
      <c r="K7422" s="674"/>
      <c r="L7422" s="668"/>
      <c r="M7422" s="668"/>
    </row>
    <row r="7423" spans="5:13">
      <c r="E7423" s="668"/>
      <c r="F7423" s="668"/>
      <c r="G7423" s="668"/>
      <c r="H7423" s="668"/>
      <c r="I7423" s="668"/>
      <c r="J7423" s="668"/>
      <c r="K7423" s="674"/>
      <c r="L7423" s="668"/>
      <c r="M7423" s="668"/>
    </row>
    <row r="7424" spans="5:13">
      <c r="E7424" s="668"/>
      <c r="F7424" s="668"/>
      <c r="G7424" s="668"/>
      <c r="H7424" s="668"/>
      <c r="I7424" s="668"/>
      <c r="J7424" s="668"/>
      <c r="K7424" s="674"/>
      <c r="L7424" s="668"/>
      <c r="M7424" s="668"/>
    </row>
    <row r="7425" spans="5:13">
      <c r="E7425" s="668"/>
      <c r="F7425" s="668"/>
      <c r="G7425" s="668"/>
      <c r="H7425" s="668"/>
      <c r="I7425" s="668"/>
      <c r="J7425" s="668"/>
      <c r="K7425" s="674"/>
      <c r="L7425" s="668"/>
      <c r="M7425" s="668"/>
    </row>
    <row r="7426" spans="5:13">
      <c r="E7426" s="668"/>
      <c r="F7426" s="668"/>
      <c r="G7426" s="668"/>
      <c r="H7426" s="668"/>
      <c r="I7426" s="668"/>
      <c r="J7426" s="668"/>
      <c r="K7426" s="674"/>
      <c r="L7426" s="668"/>
      <c r="M7426" s="668"/>
    </row>
    <row r="7427" spans="5:13">
      <c r="E7427" s="668"/>
      <c r="F7427" s="668"/>
      <c r="G7427" s="668"/>
      <c r="H7427" s="668"/>
      <c r="I7427" s="668"/>
      <c r="J7427" s="668"/>
      <c r="K7427" s="674"/>
      <c r="L7427" s="668"/>
      <c r="M7427" s="668"/>
    </row>
    <row r="7428" spans="5:13">
      <c r="E7428" s="668"/>
      <c r="F7428" s="668"/>
      <c r="G7428" s="668"/>
      <c r="H7428" s="668"/>
      <c r="I7428" s="668"/>
      <c r="J7428" s="668"/>
      <c r="K7428" s="674"/>
      <c r="L7428" s="668"/>
      <c r="M7428" s="668"/>
    </row>
    <row r="7429" spans="5:13">
      <c r="E7429" s="668"/>
      <c r="F7429" s="668"/>
      <c r="G7429" s="668"/>
      <c r="H7429" s="668"/>
      <c r="I7429" s="668"/>
      <c r="J7429" s="668"/>
      <c r="K7429" s="674"/>
      <c r="L7429" s="668"/>
      <c r="M7429" s="668"/>
    </row>
    <row r="7430" spans="5:13">
      <c r="E7430" s="668"/>
      <c r="F7430" s="668"/>
      <c r="G7430" s="668"/>
      <c r="H7430" s="668"/>
      <c r="I7430" s="668"/>
      <c r="J7430" s="668"/>
      <c r="K7430" s="674"/>
      <c r="L7430" s="668"/>
      <c r="M7430" s="668"/>
    </row>
    <row r="7431" spans="5:13">
      <c r="E7431" s="668"/>
      <c r="F7431" s="668"/>
      <c r="G7431" s="668"/>
      <c r="H7431" s="668"/>
      <c r="I7431" s="668"/>
      <c r="J7431" s="668"/>
      <c r="K7431" s="674"/>
      <c r="L7431" s="668"/>
      <c r="M7431" s="668"/>
    </row>
    <row r="7432" spans="5:13">
      <c r="E7432" s="668"/>
      <c r="F7432" s="668"/>
      <c r="G7432" s="668"/>
      <c r="H7432" s="668"/>
      <c r="I7432" s="668"/>
      <c r="J7432" s="668"/>
      <c r="K7432" s="674"/>
      <c r="L7432" s="668"/>
      <c r="M7432" s="668"/>
    </row>
    <row r="7433" spans="5:13">
      <c r="E7433" s="668"/>
      <c r="F7433" s="668"/>
      <c r="G7433" s="668"/>
      <c r="H7433" s="668"/>
      <c r="I7433" s="668"/>
      <c r="J7433" s="668"/>
      <c r="K7433" s="674"/>
      <c r="L7433" s="668"/>
      <c r="M7433" s="668"/>
    </row>
    <row r="7434" spans="5:13">
      <c r="E7434" s="668"/>
      <c r="F7434" s="668"/>
      <c r="G7434" s="668"/>
      <c r="H7434" s="668"/>
      <c r="I7434" s="668"/>
      <c r="J7434" s="668"/>
      <c r="K7434" s="674"/>
      <c r="L7434" s="668"/>
      <c r="M7434" s="668"/>
    </row>
    <row r="7435" spans="5:13">
      <c r="E7435" s="668"/>
      <c r="F7435" s="668"/>
      <c r="G7435" s="668"/>
      <c r="H7435" s="668"/>
      <c r="I7435" s="668"/>
      <c r="J7435" s="668"/>
      <c r="K7435" s="674"/>
      <c r="L7435" s="668"/>
      <c r="M7435" s="668"/>
    </row>
    <row r="7436" spans="5:13">
      <c r="E7436" s="668"/>
      <c r="F7436" s="668"/>
      <c r="G7436" s="668"/>
      <c r="H7436" s="668"/>
      <c r="I7436" s="668"/>
      <c r="J7436" s="668"/>
      <c r="K7436" s="674"/>
      <c r="L7436" s="668"/>
      <c r="M7436" s="668"/>
    </row>
    <row r="7437" spans="5:13">
      <c r="E7437" s="668"/>
      <c r="F7437" s="668"/>
      <c r="G7437" s="668"/>
      <c r="H7437" s="668"/>
      <c r="I7437" s="668"/>
      <c r="J7437" s="668"/>
      <c r="K7437" s="674"/>
      <c r="L7437" s="668"/>
      <c r="M7437" s="668"/>
    </row>
    <row r="7438" spans="5:13">
      <c r="E7438" s="668"/>
      <c r="F7438" s="668"/>
      <c r="G7438" s="668"/>
      <c r="H7438" s="668"/>
      <c r="I7438" s="668"/>
      <c r="J7438" s="668"/>
      <c r="K7438" s="674"/>
      <c r="L7438" s="668"/>
      <c r="M7438" s="668"/>
    </row>
    <row r="7439" spans="5:13">
      <c r="E7439" s="668"/>
      <c r="F7439" s="668"/>
      <c r="G7439" s="668"/>
      <c r="H7439" s="668"/>
      <c r="I7439" s="668"/>
      <c r="J7439" s="668"/>
      <c r="K7439" s="674"/>
      <c r="L7439" s="668"/>
      <c r="M7439" s="668"/>
    </row>
    <row r="7440" spans="5:13">
      <c r="E7440" s="668"/>
      <c r="F7440" s="668"/>
      <c r="G7440" s="668"/>
      <c r="H7440" s="668"/>
      <c r="I7440" s="668"/>
      <c r="J7440" s="668"/>
      <c r="K7440" s="674"/>
      <c r="L7440" s="668"/>
      <c r="M7440" s="668"/>
    </row>
    <row r="7441" spans="5:13">
      <c r="E7441" s="668"/>
      <c r="F7441" s="668"/>
      <c r="G7441" s="668"/>
      <c r="H7441" s="668"/>
      <c r="I7441" s="668"/>
      <c r="J7441" s="668"/>
      <c r="K7441" s="674"/>
      <c r="L7441" s="668"/>
      <c r="M7441" s="668"/>
    </row>
    <row r="7442" spans="5:13">
      <c r="E7442" s="668"/>
      <c r="F7442" s="668"/>
      <c r="G7442" s="668"/>
      <c r="H7442" s="668"/>
      <c r="I7442" s="668"/>
      <c r="J7442" s="668"/>
      <c r="K7442" s="674"/>
      <c r="L7442" s="668"/>
      <c r="M7442" s="668"/>
    </row>
    <row r="7443" spans="5:13">
      <c r="E7443" s="668"/>
      <c r="F7443" s="668"/>
      <c r="G7443" s="668"/>
      <c r="H7443" s="668"/>
      <c r="I7443" s="668"/>
      <c r="J7443" s="668"/>
      <c r="K7443" s="674"/>
      <c r="L7443" s="668"/>
      <c r="M7443" s="668"/>
    </row>
    <row r="7444" spans="5:13">
      <c r="E7444" s="668"/>
      <c r="F7444" s="668"/>
      <c r="G7444" s="668"/>
      <c r="H7444" s="668"/>
      <c r="I7444" s="668"/>
      <c r="J7444" s="668"/>
      <c r="K7444" s="674"/>
      <c r="L7444" s="668"/>
      <c r="M7444" s="668"/>
    </row>
    <row r="7445" spans="5:13">
      <c r="E7445" s="668"/>
      <c r="F7445" s="668"/>
      <c r="G7445" s="668"/>
      <c r="H7445" s="668"/>
      <c r="I7445" s="668"/>
      <c r="J7445" s="668"/>
      <c r="K7445" s="674"/>
      <c r="L7445" s="668"/>
      <c r="M7445" s="668"/>
    </row>
    <row r="7446" spans="5:13">
      <c r="E7446" s="668"/>
      <c r="F7446" s="668"/>
      <c r="G7446" s="668"/>
      <c r="H7446" s="668"/>
      <c r="I7446" s="668"/>
      <c r="J7446" s="668"/>
      <c r="K7446" s="674"/>
      <c r="L7446" s="668"/>
      <c r="M7446" s="668"/>
    </row>
    <row r="7447" spans="5:13">
      <c r="E7447" s="668"/>
      <c r="F7447" s="668"/>
      <c r="G7447" s="668"/>
      <c r="H7447" s="668"/>
      <c r="I7447" s="668"/>
      <c r="J7447" s="668"/>
      <c r="K7447" s="674"/>
      <c r="L7447" s="668"/>
      <c r="M7447" s="668"/>
    </row>
    <row r="7448" spans="5:13">
      <c r="E7448" s="668"/>
      <c r="F7448" s="668"/>
      <c r="G7448" s="668"/>
      <c r="H7448" s="668"/>
      <c r="I7448" s="668"/>
      <c r="J7448" s="668"/>
      <c r="K7448" s="674"/>
      <c r="L7448" s="668"/>
      <c r="M7448" s="668"/>
    </row>
    <row r="7449" spans="5:13">
      <c r="E7449" s="668"/>
      <c r="F7449" s="668"/>
      <c r="G7449" s="668"/>
      <c r="H7449" s="668"/>
      <c r="I7449" s="668"/>
      <c r="J7449" s="668"/>
      <c r="K7449" s="674"/>
      <c r="L7449" s="668"/>
      <c r="M7449" s="668"/>
    </row>
    <row r="7450" spans="5:13">
      <c r="E7450" s="668"/>
      <c r="F7450" s="668"/>
      <c r="G7450" s="668"/>
      <c r="H7450" s="668"/>
      <c r="I7450" s="668"/>
      <c r="J7450" s="668"/>
      <c r="K7450" s="674"/>
      <c r="L7450" s="668"/>
      <c r="M7450" s="668"/>
    </row>
    <row r="7451" spans="5:13">
      <c r="E7451" s="668"/>
      <c r="F7451" s="668"/>
      <c r="G7451" s="668"/>
      <c r="H7451" s="668"/>
      <c r="I7451" s="668"/>
      <c r="J7451" s="668"/>
      <c r="K7451" s="674"/>
      <c r="L7451" s="668"/>
      <c r="M7451" s="668"/>
    </row>
    <row r="7452" spans="5:13">
      <c r="E7452" s="668"/>
      <c r="F7452" s="668"/>
      <c r="G7452" s="668"/>
      <c r="H7452" s="668"/>
      <c r="I7452" s="668"/>
      <c r="J7452" s="668"/>
      <c r="K7452" s="674"/>
      <c r="L7452" s="668"/>
      <c r="M7452" s="668"/>
    </row>
    <row r="7453" spans="5:13">
      <c r="E7453" s="668"/>
      <c r="F7453" s="668"/>
      <c r="G7453" s="668"/>
      <c r="H7453" s="668"/>
      <c r="I7453" s="668"/>
      <c r="J7453" s="668"/>
      <c r="K7453" s="674"/>
      <c r="L7453" s="668"/>
      <c r="M7453" s="668"/>
    </row>
    <row r="7454" spans="5:13">
      <c r="E7454" s="668"/>
      <c r="F7454" s="668"/>
      <c r="G7454" s="668"/>
      <c r="H7454" s="668"/>
      <c r="I7454" s="668"/>
      <c r="J7454" s="668"/>
      <c r="K7454" s="674"/>
      <c r="L7454" s="668"/>
      <c r="M7454" s="668"/>
    </row>
    <row r="7455" spans="5:13">
      <c r="E7455" s="668"/>
      <c r="F7455" s="668"/>
      <c r="G7455" s="668"/>
      <c r="H7455" s="668"/>
      <c r="I7455" s="668"/>
      <c r="J7455" s="668"/>
      <c r="K7455" s="674"/>
      <c r="L7455" s="668"/>
      <c r="M7455" s="668"/>
    </row>
    <row r="7456" spans="5:13">
      <c r="E7456" s="668"/>
      <c r="F7456" s="668"/>
      <c r="G7456" s="668"/>
      <c r="H7456" s="668"/>
      <c r="I7456" s="668"/>
      <c r="J7456" s="668"/>
      <c r="K7456" s="674"/>
      <c r="L7456" s="668"/>
      <c r="M7456" s="668"/>
    </row>
    <row r="7457" spans="5:13">
      <c r="E7457" s="668"/>
      <c r="F7457" s="668"/>
      <c r="G7457" s="668"/>
      <c r="H7457" s="668"/>
      <c r="I7457" s="668"/>
      <c r="J7457" s="668"/>
      <c r="K7457" s="674"/>
      <c r="L7457" s="668"/>
      <c r="M7457" s="668"/>
    </row>
    <row r="7458" spans="5:13">
      <c r="E7458" s="668"/>
      <c r="F7458" s="668"/>
      <c r="G7458" s="668"/>
      <c r="H7458" s="668"/>
      <c r="I7458" s="668"/>
      <c r="J7458" s="668"/>
      <c r="K7458" s="674"/>
      <c r="L7458" s="668"/>
      <c r="M7458" s="668"/>
    </row>
    <row r="7459" spans="5:13">
      <c r="E7459" s="668"/>
      <c r="F7459" s="668"/>
      <c r="G7459" s="668"/>
      <c r="H7459" s="668"/>
      <c r="I7459" s="668"/>
      <c r="J7459" s="668"/>
      <c r="K7459" s="674"/>
      <c r="L7459" s="668"/>
      <c r="M7459" s="668"/>
    </row>
    <row r="7460" spans="5:13">
      <c r="E7460" s="668"/>
      <c r="F7460" s="668"/>
      <c r="G7460" s="668"/>
      <c r="H7460" s="668"/>
      <c r="I7460" s="668"/>
      <c r="J7460" s="668"/>
      <c r="K7460" s="674"/>
      <c r="L7460" s="668"/>
      <c r="M7460" s="668"/>
    </row>
    <row r="7461" spans="5:13">
      <c r="E7461" s="668"/>
      <c r="F7461" s="668"/>
      <c r="G7461" s="668"/>
      <c r="H7461" s="668"/>
      <c r="I7461" s="668"/>
      <c r="J7461" s="668"/>
      <c r="K7461" s="674"/>
      <c r="L7461" s="668"/>
      <c r="M7461" s="668"/>
    </row>
    <row r="7462" spans="5:13">
      <c r="E7462" s="668"/>
      <c r="F7462" s="668"/>
      <c r="G7462" s="668"/>
      <c r="H7462" s="668"/>
      <c r="I7462" s="668"/>
      <c r="J7462" s="668"/>
      <c r="K7462" s="674"/>
      <c r="L7462" s="668"/>
      <c r="M7462" s="668"/>
    </row>
    <row r="7463" spans="5:13">
      <c r="E7463" s="668"/>
      <c r="F7463" s="668"/>
      <c r="G7463" s="668"/>
      <c r="H7463" s="668"/>
      <c r="I7463" s="668"/>
      <c r="J7463" s="668"/>
      <c r="K7463" s="674"/>
      <c r="L7463" s="668"/>
      <c r="M7463" s="668"/>
    </row>
    <row r="7464" spans="5:13">
      <c r="E7464" s="668"/>
      <c r="F7464" s="668"/>
      <c r="G7464" s="668"/>
      <c r="H7464" s="668"/>
      <c r="I7464" s="668"/>
      <c r="J7464" s="668"/>
      <c r="K7464" s="674"/>
      <c r="L7464" s="668"/>
      <c r="M7464" s="668"/>
    </row>
    <row r="7465" spans="5:13">
      <c r="E7465" s="668"/>
      <c r="F7465" s="668"/>
      <c r="G7465" s="668"/>
      <c r="H7465" s="668"/>
      <c r="I7465" s="668"/>
      <c r="J7465" s="668"/>
      <c r="K7465" s="674"/>
      <c r="L7465" s="668"/>
      <c r="M7465" s="668"/>
    </row>
    <row r="7466" spans="5:13">
      <c r="E7466" s="668"/>
      <c r="F7466" s="668"/>
      <c r="G7466" s="668"/>
      <c r="H7466" s="668"/>
      <c r="I7466" s="668"/>
      <c r="J7466" s="668"/>
      <c r="K7466" s="674"/>
      <c r="L7466" s="668"/>
      <c r="M7466" s="668"/>
    </row>
    <row r="7467" spans="5:13">
      <c r="E7467" s="668"/>
      <c r="F7467" s="668"/>
      <c r="G7467" s="668"/>
      <c r="H7467" s="668"/>
      <c r="I7467" s="668"/>
      <c r="J7467" s="668"/>
      <c r="K7467" s="674"/>
      <c r="L7467" s="668"/>
      <c r="M7467" s="668"/>
    </row>
    <row r="7468" spans="5:13">
      <c r="E7468" s="668"/>
      <c r="F7468" s="668"/>
      <c r="G7468" s="668"/>
      <c r="H7468" s="668"/>
      <c r="I7468" s="668"/>
      <c r="J7468" s="668"/>
      <c r="K7468" s="674"/>
      <c r="L7468" s="668"/>
      <c r="M7468" s="668"/>
    </row>
    <row r="7469" spans="5:13">
      <c r="E7469" s="668"/>
      <c r="F7469" s="668"/>
      <c r="G7469" s="668"/>
      <c r="H7469" s="668"/>
      <c r="I7469" s="668"/>
      <c r="J7469" s="668"/>
      <c r="K7469" s="674"/>
      <c r="L7469" s="668"/>
      <c r="M7469" s="668"/>
    </row>
    <row r="7470" spans="5:13">
      <c r="E7470" s="668"/>
      <c r="F7470" s="668"/>
      <c r="G7470" s="668"/>
      <c r="H7470" s="668"/>
      <c r="I7470" s="668"/>
      <c r="J7470" s="668"/>
      <c r="K7470" s="674"/>
      <c r="L7470" s="668"/>
      <c r="M7470" s="668"/>
    </row>
    <row r="7471" spans="5:13">
      <c r="E7471" s="668"/>
      <c r="F7471" s="668"/>
      <c r="G7471" s="668"/>
      <c r="H7471" s="668"/>
      <c r="I7471" s="668"/>
      <c r="J7471" s="668"/>
      <c r="K7471" s="674"/>
      <c r="L7471" s="668"/>
      <c r="M7471" s="668"/>
    </row>
    <row r="7472" spans="5:13">
      <c r="E7472" s="668"/>
      <c r="F7472" s="668"/>
      <c r="G7472" s="668"/>
      <c r="H7472" s="668"/>
      <c r="I7472" s="668"/>
      <c r="J7472" s="668"/>
      <c r="K7472" s="674"/>
      <c r="L7472" s="668"/>
      <c r="M7472" s="668"/>
    </row>
    <row r="7473" spans="5:13">
      <c r="E7473" s="668"/>
      <c r="F7473" s="668"/>
      <c r="G7473" s="668"/>
      <c r="H7473" s="668"/>
      <c r="I7473" s="668"/>
      <c r="J7473" s="668"/>
      <c r="K7473" s="674"/>
      <c r="L7473" s="668"/>
      <c r="M7473" s="668"/>
    </row>
    <row r="7474" spans="5:13">
      <c r="E7474" s="668"/>
      <c r="F7474" s="668"/>
      <c r="G7474" s="668"/>
      <c r="H7474" s="668"/>
      <c r="I7474" s="668"/>
      <c r="J7474" s="668"/>
      <c r="K7474" s="674"/>
      <c r="L7474" s="668"/>
      <c r="M7474" s="668"/>
    </row>
    <row r="7475" spans="5:13">
      <c r="E7475" s="668"/>
      <c r="F7475" s="668"/>
      <c r="G7475" s="668"/>
      <c r="H7475" s="668"/>
      <c r="I7475" s="668"/>
      <c r="J7475" s="668"/>
      <c r="K7475" s="674"/>
      <c r="L7475" s="668"/>
      <c r="M7475" s="668"/>
    </row>
    <row r="7476" spans="5:13">
      <c r="E7476" s="668"/>
      <c r="F7476" s="668"/>
      <c r="G7476" s="668"/>
      <c r="H7476" s="668"/>
      <c r="I7476" s="668"/>
      <c r="J7476" s="668"/>
      <c r="K7476" s="674"/>
      <c r="L7476" s="668"/>
      <c r="M7476" s="668"/>
    </row>
    <row r="7477" spans="5:13">
      <c r="E7477" s="668"/>
      <c r="F7477" s="668"/>
      <c r="G7477" s="668"/>
      <c r="H7477" s="668"/>
      <c r="I7477" s="668"/>
      <c r="J7477" s="668"/>
      <c r="K7477" s="674"/>
      <c r="L7477" s="668"/>
      <c r="M7477" s="668"/>
    </row>
    <row r="7478" spans="5:13">
      <c r="E7478" s="668"/>
      <c r="F7478" s="668"/>
      <c r="G7478" s="668"/>
      <c r="H7478" s="668"/>
      <c r="I7478" s="668"/>
      <c r="J7478" s="668"/>
      <c r="K7478" s="674"/>
      <c r="L7478" s="668"/>
      <c r="M7478" s="668"/>
    </row>
    <row r="7479" spans="5:13">
      <c r="E7479" s="668"/>
      <c r="F7479" s="668"/>
      <c r="G7479" s="668"/>
      <c r="H7479" s="668"/>
      <c r="I7479" s="668"/>
      <c r="J7479" s="668"/>
      <c r="K7479" s="674"/>
      <c r="L7479" s="668"/>
      <c r="M7479" s="668"/>
    </row>
    <row r="7480" spans="5:13">
      <c r="E7480" s="668"/>
      <c r="F7480" s="668"/>
      <c r="G7480" s="668"/>
      <c r="H7480" s="668"/>
      <c r="I7480" s="668"/>
      <c r="J7480" s="668"/>
      <c r="K7480" s="674"/>
      <c r="L7480" s="668"/>
      <c r="M7480" s="668"/>
    </row>
    <row r="7481" spans="5:13">
      <c r="E7481" s="668"/>
      <c r="F7481" s="668"/>
      <c r="G7481" s="668"/>
      <c r="H7481" s="668"/>
      <c r="I7481" s="668"/>
      <c r="J7481" s="668"/>
      <c r="K7481" s="674"/>
      <c r="L7481" s="668"/>
      <c r="M7481" s="668"/>
    </row>
    <row r="7482" spans="5:13">
      <c r="E7482" s="668"/>
      <c r="F7482" s="668"/>
      <c r="G7482" s="668"/>
      <c r="H7482" s="668"/>
      <c r="I7482" s="668"/>
      <c r="J7482" s="668"/>
      <c r="K7482" s="674"/>
      <c r="L7482" s="668"/>
      <c r="M7482" s="668"/>
    </row>
    <row r="7483" spans="5:13">
      <c r="E7483" s="668"/>
      <c r="F7483" s="668"/>
      <c r="G7483" s="668"/>
      <c r="H7483" s="668"/>
      <c r="I7483" s="668"/>
      <c r="J7483" s="668"/>
      <c r="K7483" s="674"/>
      <c r="L7483" s="668"/>
      <c r="M7483" s="668"/>
    </row>
    <row r="7484" spans="5:13">
      <c r="E7484" s="668"/>
      <c r="F7484" s="668"/>
      <c r="G7484" s="668"/>
      <c r="H7484" s="668"/>
      <c r="I7484" s="668"/>
      <c r="J7484" s="668"/>
      <c r="K7484" s="674"/>
      <c r="L7484" s="668"/>
      <c r="M7484" s="668"/>
    </row>
    <row r="7485" spans="5:13">
      <c r="E7485" s="668"/>
      <c r="F7485" s="668"/>
      <c r="G7485" s="668"/>
      <c r="H7485" s="668"/>
      <c r="I7485" s="668"/>
      <c r="J7485" s="668"/>
      <c r="K7485" s="674"/>
      <c r="L7485" s="668"/>
      <c r="M7485" s="668"/>
    </row>
    <row r="7486" spans="5:13">
      <c r="E7486" s="668"/>
      <c r="F7486" s="668"/>
      <c r="G7486" s="668"/>
      <c r="H7486" s="668"/>
      <c r="I7486" s="668"/>
      <c r="J7486" s="668"/>
      <c r="K7486" s="674"/>
      <c r="L7486" s="668"/>
      <c r="M7486" s="668"/>
    </row>
    <row r="7487" spans="5:13">
      <c r="E7487" s="668"/>
      <c r="F7487" s="668"/>
      <c r="G7487" s="668"/>
      <c r="H7487" s="668"/>
      <c r="I7487" s="668"/>
      <c r="J7487" s="668"/>
      <c r="K7487" s="674"/>
      <c r="L7487" s="668"/>
      <c r="M7487" s="668"/>
    </row>
    <row r="7488" spans="5:13">
      <c r="E7488" s="668"/>
      <c r="F7488" s="668"/>
      <c r="G7488" s="668"/>
      <c r="H7488" s="668"/>
      <c r="I7488" s="668"/>
      <c r="J7488" s="668"/>
      <c r="K7488" s="674"/>
      <c r="L7488" s="668"/>
      <c r="M7488" s="668"/>
    </row>
    <row r="7489" spans="5:13">
      <c r="E7489" s="668"/>
      <c r="F7489" s="668"/>
      <c r="G7489" s="668"/>
      <c r="H7489" s="668"/>
      <c r="I7489" s="668"/>
      <c r="J7489" s="668"/>
      <c r="K7489" s="674"/>
      <c r="L7489" s="668"/>
      <c r="M7489" s="668"/>
    </row>
    <row r="7490" spans="5:13">
      <c r="E7490" s="668"/>
      <c r="F7490" s="668"/>
      <c r="G7490" s="668"/>
      <c r="H7490" s="668"/>
      <c r="I7490" s="668"/>
      <c r="J7490" s="668"/>
      <c r="K7490" s="674"/>
      <c r="L7490" s="668"/>
      <c r="M7490" s="668"/>
    </row>
    <row r="7491" spans="5:13">
      <c r="E7491" s="668"/>
      <c r="F7491" s="668"/>
      <c r="G7491" s="668"/>
      <c r="H7491" s="668"/>
      <c r="I7491" s="668"/>
      <c r="J7491" s="668"/>
      <c r="K7491" s="674"/>
      <c r="L7491" s="668"/>
      <c r="M7491" s="668"/>
    </row>
    <row r="7492" spans="5:13">
      <c r="E7492" s="668"/>
      <c r="F7492" s="668"/>
      <c r="G7492" s="668"/>
      <c r="H7492" s="668"/>
      <c r="I7492" s="668"/>
      <c r="J7492" s="668"/>
      <c r="K7492" s="674"/>
      <c r="L7492" s="668"/>
      <c r="M7492" s="668"/>
    </row>
    <row r="7493" spans="5:13">
      <c r="E7493" s="668"/>
      <c r="F7493" s="668"/>
      <c r="G7493" s="668"/>
      <c r="H7493" s="668"/>
      <c r="I7493" s="668"/>
      <c r="J7493" s="668"/>
      <c r="K7493" s="674"/>
      <c r="L7493" s="668"/>
      <c r="M7493" s="668"/>
    </row>
    <row r="7494" spans="5:13">
      <c r="E7494" s="668"/>
      <c r="F7494" s="668"/>
      <c r="G7494" s="668"/>
      <c r="H7494" s="668"/>
      <c r="I7494" s="668"/>
      <c r="J7494" s="668"/>
      <c r="K7494" s="674"/>
      <c r="L7494" s="668"/>
      <c r="M7494" s="668"/>
    </row>
    <row r="7495" spans="5:13">
      <c r="E7495" s="668"/>
      <c r="F7495" s="668"/>
      <c r="G7495" s="668"/>
      <c r="H7495" s="668"/>
      <c r="I7495" s="668"/>
      <c r="J7495" s="668"/>
      <c r="K7495" s="674"/>
      <c r="L7495" s="668"/>
      <c r="M7495" s="668"/>
    </row>
    <row r="7496" spans="5:13">
      <c r="E7496" s="668"/>
      <c r="F7496" s="668"/>
      <c r="G7496" s="668"/>
      <c r="H7496" s="668"/>
      <c r="I7496" s="668"/>
      <c r="J7496" s="668"/>
      <c r="K7496" s="674"/>
      <c r="L7496" s="668"/>
      <c r="M7496" s="668"/>
    </row>
    <row r="7497" spans="5:13">
      <c r="E7497" s="668"/>
      <c r="F7497" s="668"/>
      <c r="G7497" s="668"/>
      <c r="H7497" s="668"/>
      <c r="I7497" s="668"/>
      <c r="J7497" s="668"/>
      <c r="K7497" s="674"/>
      <c r="L7497" s="668"/>
      <c r="M7497" s="668"/>
    </row>
    <row r="7498" spans="5:13">
      <c r="E7498" s="668"/>
      <c r="F7498" s="668"/>
      <c r="G7498" s="668"/>
      <c r="H7498" s="668"/>
      <c r="I7498" s="668"/>
      <c r="J7498" s="668"/>
      <c r="K7498" s="674"/>
      <c r="L7498" s="668"/>
      <c r="M7498" s="668"/>
    </row>
    <row r="7499" spans="5:13">
      <c r="E7499" s="668"/>
      <c r="F7499" s="668"/>
      <c r="G7499" s="668"/>
      <c r="H7499" s="668"/>
      <c r="I7499" s="668"/>
      <c r="J7499" s="668"/>
      <c r="K7499" s="674"/>
      <c r="L7499" s="668"/>
      <c r="M7499" s="668"/>
    </row>
    <row r="7500" spans="5:13">
      <c r="E7500" s="668"/>
      <c r="F7500" s="668"/>
      <c r="G7500" s="668"/>
      <c r="H7500" s="668"/>
      <c r="I7500" s="668"/>
      <c r="J7500" s="668"/>
      <c r="K7500" s="674"/>
      <c r="L7500" s="668"/>
      <c r="M7500" s="668"/>
    </row>
    <row r="7501" spans="5:13">
      <c r="E7501" s="668"/>
      <c r="F7501" s="668"/>
      <c r="G7501" s="668"/>
      <c r="H7501" s="668"/>
      <c r="I7501" s="668"/>
      <c r="J7501" s="668"/>
      <c r="K7501" s="674"/>
      <c r="L7501" s="668"/>
      <c r="M7501" s="668"/>
    </row>
    <row r="7502" spans="5:13">
      <c r="E7502" s="668"/>
      <c r="F7502" s="668"/>
      <c r="G7502" s="668"/>
      <c r="H7502" s="668"/>
      <c r="I7502" s="668"/>
      <c r="J7502" s="668"/>
      <c r="K7502" s="674"/>
      <c r="L7502" s="668"/>
      <c r="M7502" s="668"/>
    </row>
    <row r="7503" spans="5:13">
      <c r="E7503" s="668"/>
      <c r="F7503" s="668"/>
      <c r="G7503" s="668"/>
      <c r="H7503" s="668"/>
      <c r="I7503" s="668"/>
      <c r="J7503" s="668"/>
      <c r="K7503" s="674"/>
      <c r="L7503" s="668"/>
      <c r="M7503" s="668"/>
    </row>
    <row r="7504" spans="5:13">
      <c r="E7504" s="668"/>
      <c r="F7504" s="668"/>
      <c r="G7504" s="668"/>
      <c r="H7504" s="668"/>
      <c r="I7504" s="668"/>
      <c r="J7504" s="668"/>
      <c r="K7504" s="674"/>
      <c r="L7504" s="668"/>
      <c r="M7504" s="668"/>
    </row>
    <row r="7505" spans="5:13">
      <c r="E7505" s="668"/>
      <c r="F7505" s="668"/>
      <c r="G7505" s="668"/>
      <c r="H7505" s="668"/>
      <c r="I7505" s="668"/>
      <c r="J7505" s="668"/>
      <c r="K7505" s="674"/>
      <c r="L7505" s="668"/>
      <c r="M7505" s="668"/>
    </row>
    <row r="7506" spans="5:13">
      <c r="E7506" s="668"/>
      <c r="F7506" s="668"/>
      <c r="G7506" s="668"/>
      <c r="H7506" s="668"/>
      <c r="I7506" s="668"/>
      <c r="J7506" s="668"/>
      <c r="K7506" s="674"/>
      <c r="L7506" s="668"/>
      <c r="M7506" s="668"/>
    </row>
    <row r="7507" spans="5:13">
      <c r="E7507" s="668"/>
      <c r="F7507" s="668"/>
      <c r="G7507" s="668"/>
      <c r="H7507" s="668"/>
      <c r="I7507" s="668"/>
      <c r="J7507" s="668"/>
      <c r="K7507" s="674"/>
      <c r="L7507" s="668"/>
      <c r="M7507" s="668"/>
    </row>
    <row r="7508" spans="5:13">
      <c r="E7508" s="668"/>
      <c r="F7508" s="668"/>
      <c r="G7508" s="668"/>
      <c r="H7508" s="668"/>
      <c r="I7508" s="668"/>
      <c r="J7508" s="668"/>
      <c r="K7508" s="674"/>
      <c r="L7508" s="668"/>
      <c r="M7508" s="668"/>
    </row>
    <row r="7509" spans="5:13">
      <c r="E7509" s="668"/>
      <c r="F7509" s="668"/>
      <c r="G7509" s="668"/>
      <c r="H7509" s="668"/>
      <c r="I7509" s="668"/>
      <c r="J7509" s="668"/>
      <c r="K7509" s="674"/>
      <c r="L7509" s="668"/>
      <c r="M7509" s="668"/>
    </row>
    <row r="7510" spans="5:13">
      <c r="E7510" s="668"/>
      <c r="F7510" s="668"/>
      <c r="G7510" s="668"/>
      <c r="H7510" s="668"/>
      <c r="I7510" s="668"/>
      <c r="J7510" s="668"/>
      <c r="K7510" s="674"/>
      <c r="L7510" s="668"/>
      <c r="M7510" s="668"/>
    </row>
    <row r="7511" spans="5:13">
      <c r="E7511" s="668"/>
      <c r="F7511" s="668"/>
      <c r="G7511" s="668"/>
      <c r="H7511" s="668"/>
      <c r="I7511" s="668"/>
      <c r="J7511" s="668"/>
      <c r="K7511" s="674"/>
      <c r="L7511" s="668"/>
      <c r="M7511" s="668"/>
    </row>
    <row r="7512" spans="5:13">
      <c r="E7512" s="668"/>
      <c r="F7512" s="668"/>
      <c r="G7512" s="668"/>
      <c r="H7512" s="668"/>
      <c r="I7512" s="668"/>
      <c r="J7512" s="668"/>
      <c r="K7512" s="674"/>
      <c r="L7512" s="668"/>
      <c r="M7512" s="668"/>
    </row>
    <row r="7513" spans="5:13">
      <c r="E7513" s="668"/>
      <c r="F7513" s="668"/>
      <c r="G7513" s="668"/>
      <c r="H7513" s="668"/>
      <c r="I7513" s="668"/>
      <c r="J7513" s="668"/>
      <c r="K7513" s="674"/>
      <c r="L7513" s="668"/>
      <c r="M7513" s="668"/>
    </row>
    <row r="7514" spans="5:13">
      <c r="E7514" s="668"/>
      <c r="F7514" s="668"/>
      <c r="G7514" s="668"/>
      <c r="H7514" s="668"/>
      <c r="I7514" s="668"/>
      <c r="J7514" s="668"/>
      <c r="K7514" s="674"/>
      <c r="L7514" s="668"/>
      <c r="M7514" s="668"/>
    </row>
    <row r="7515" spans="5:13">
      <c r="E7515" s="668"/>
      <c r="F7515" s="668"/>
      <c r="G7515" s="668"/>
      <c r="H7515" s="668"/>
      <c r="I7515" s="668"/>
      <c r="J7515" s="668"/>
      <c r="K7515" s="674"/>
      <c r="L7515" s="668"/>
      <c r="M7515" s="668"/>
    </row>
    <row r="7516" spans="5:13">
      <c r="E7516" s="668"/>
      <c r="F7516" s="668"/>
      <c r="G7516" s="668"/>
      <c r="H7516" s="668"/>
      <c r="I7516" s="668"/>
      <c r="J7516" s="668"/>
      <c r="K7516" s="674"/>
      <c r="L7516" s="668"/>
      <c r="M7516" s="668"/>
    </row>
    <row r="7517" spans="5:13">
      <c r="E7517" s="668"/>
      <c r="F7517" s="668"/>
      <c r="G7517" s="668"/>
      <c r="H7517" s="668"/>
      <c r="I7517" s="668"/>
      <c r="J7517" s="668"/>
      <c r="K7517" s="674"/>
      <c r="L7517" s="668"/>
      <c r="M7517" s="668"/>
    </row>
    <row r="7518" spans="5:13">
      <c r="E7518" s="668"/>
      <c r="F7518" s="668"/>
      <c r="G7518" s="668"/>
      <c r="H7518" s="668"/>
      <c r="I7518" s="668"/>
      <c r="J7518" s="668"/>
      <c r="K7518" s="674"/>
      <c r="L7518" s="668"/>
      <c r="M7518" s="668"/>
    </row>
    <row r="7519" spans="5:13">
      <c r="E7519" s="668"/>
      <c r="F7519" s="668"/>
      <c r="G7519" s="668"/>
      <c r="H7519" s="668"/>
      <c r="I7519" s="668"/>
      <c r="J7519" s="668"/>
      <c r="K7519" s="674"/>
      <c r="L7519" s="668"/>
      <c r="M7519" s="668"/>
    </row>
    <row r="7520" spans="5:13">
      <c r="E7520" s="668"/>
      <c r="F7520" s="668"/>
      <c r="G7520" s="668"/>
      <c r="H7520" s="668"/>
      <c r="I7520" s="668"/>
      <c r="J7520" s="668"/>
      <c r="K7520" s="674"/>
      <c r="L7520" s="668"/>
      <c r="M7520" s="668"/>
    </row>
    <row r="7521" spans="5:13">
      <c r="E7521" s="668"/>
      <c r="F7521" s="668"/>
      <c r="G7521" s="668"/>
      <c r="H7521" s="668"/>
      <c r="I7521" s="668"/>
      <c r="J7521" s="668"/>
      <c r="K7521" s="674"/>
      <c r="L7521" s="668"/>
      <c r="M7521" s="668"/>
    </row>
    <row r="7522" spans="5:13">
      <c r="E7522" s="668"/>
      <c r="F7522" s="668"/>
      <c r="G7522" s="668"/>
      <c r="H7522" s="668"/>
      <c r="I7522" s="668"/>
      <c r="J7522" s="668"/>
      <c r="K7522" s="674"/>
      <c r="L7522" s="668"/>
      <c r="M7522" s="668"/>
    </row>
    <row r="7523" spans="5:13">
      <c r="E7523" s="668"/>
      <c r="F7523" s="668"/>
      <c r="G7523" s="668"/>
      <c r="H7523" s="668"/>
      <c r="I7523" s="668"/>
      <c r="J7523" s="668"/>
      <c r="K7523" s="674"/>
      <c r="L7523" s="668"/>
      <c r="M7523" s="668"/>
    </row>
    <row r="7524" spans="5:13">
      <c r="E7524" s="668"/>
      <c r="F7524" s="668"/>
      <c r="G7524" s="668"/>
      <c r="H7524" s="668"/>
      <c r="I7524" s="668"/>
      <c r="J7524" s="668"/>
      <c r="K7524" s="674"/>
      <c r="L7524" s="668"/>
      <c r="M7524" s="668"/>
    </row>
    <row r="7525" spans="5:13">
      <c r="E7525" s="668"/>
      <c r="F7525" s="668"/>
      <c r="G7525" s="668"/>
      <c r="H7525" s="668"/>
      <c r="I7525" s="668"/>
      <c r="J7525" s="668"/>
      <c r="K7525" s="674"/>
      <c r="L7525" s="668"/>
      <c r="M7525" s="668"/>
    </row>
    <row r="7526" spans="5:13">
      <c r="E7526" s="668"/>
      <c r="F7526" s="668"/>
      <c r="G7526" s="668"/>
      <c r="H7526" s="668"/>
      <c r="I7526" s="668"/>
      <c r="J7526" s="668"/>
      <c r="K7526" s="674"/>
      <c r="L7526" s="668"/>
      <c r="M7526" s="668"/>
    </row>
    <row r="7527" spans="5:13">
      <c r="E7527" s="668"/>
      <c r="F7527" s="668"/>
      <c r="G7527" s="668"/>
      <c r="H7527" s="668"/>
      <c r="I7527" s="668"/>
      <c r="J7527" s="668"/>
      <c r="K7527" s="674"/>
      <c r="L7527" s="668"/>
      <c r="M7527" s="668"/>
    </row>
    <row r="7528" spans="5:13">
      <c r="E7528" s="668"/>
      <c r="F7528" s="668"/>
      <c r="G7528" s="668"/>
      <c r="H7528" s="668"/>
      <c r="I7528" s="668"/>
      <c r="J7528" s="668"/>
      <c r="K7528" s="674"/>
      <c r="L7528" s="668"/>
      <c r="M7528" s="668"/>
    </row>
    <row r="7529" spans="5:13">
      <c r="E7529" s="668"/>
      <c r="F7529" s="668"/>
      <c r="G7529" s="668"/>
      <c r="H7529" s="668"/>
      <c r="I7529" s="668"/>
      <c r="J7529" s="668"/>
      <c r="K7529" s="674"/>
      <c r="L7529" s="668"/>
      <c r="M7529" s="668"/>
    </row>
    <row r="7530" spans="5:13">
      <c r="E7530" s="668"/>
      <c r="F7530" s="668"/>
      <c r="G7530" s="668"/>
      <c r="H7530" s="668"/>
      <c r="I7530" s="668"/>
      <c r="J7530" s="668"/>
      <c r="K7530" s="674"/>
      <c r="L7530" s="668"/>
      <c r="M7530" s="668"/>
    </row>
    <row r="7531" spans="5:13">
      <c r="E7531" s="668"/>
      <c r="F7531" s="668"/>
      <c r="G7531" s="668"/>
      <c r="H7531" s="668"/>
      <c r="I7531" s="668"/>
      <c r="J7531" s="668"/>
      <c r="K7531" s="674"/>
      <c r="L7531" s="668"/>
      <c r="M7531" s="668"/>
    </row>
    <row r="7532" spans="5:13">
      <c r="E7532" s="668"/>
      <c r="F7532" s="668"/>
      <c r="G7532" s="668"/>
      <c r="H7532" s="668"/>
      <c r="I7532" s="668"/>
      <c r="J7532" s="668"/>
      <c r="K7532" s="674"/>
      <c r="L7532" s="668"/>
      <c r="M7532" s="668"/>
    </row>
    <row r="7533" spans="5:13">
      <c r="E7533" s="668"/>
      <c r="F7533" s="668"/>
      <c r="G7533" s="668"/>
      <c r="H7533" s="668"/>
      <c r="I7533" s="668"/>
      <c r="J7533" s="668"/>
      <c r="K7533" s="674"/>
      <c r="L7533" s="668"/>
      <c r="M7533" s="668"/>
    </row>
    <row r="7534" spans="5:13">
      <c r="E7534" s="668"/>
      <c r="F7534" s="668"/>
      <c r="G7534" s="668"/>
      <c r="H7534" s="668"/>
      <c r="I7534" s="668"/>
      <c r="J7534" s="668"/>
      <c r="K7534" s="674"/>
      <c r="L7534" s="668"/>
      <c r="M7534" s="668"/>
    </row>
    <row r="7535" spans="5:13">
      <c r="E7535" s="668"/>
      <c r="F7535" s="668"/>
      <c r="G7535" s="668"/>
      <c r="H7535" s="668"/>
      <c r="I7535" s="668"/>
      <c r="J7535" s="668"/>
      <c r="K7535" s="674"/>
      <c r="L7535" s="668"/>
      <c r="M7535" s="668"/>
    </row>
    <row r="7536" spans="5:13">
      <c r="E7536" s="668"/>
      <c r="F7536" s="668"/>
      <c r="G7536" s="668"/>
      <c r="H7536" s="668"/>
      <c r="I7536" s="668"/>
      <c r="J7536" s="668"/>
      <c r="K7536" s="674"/>
      <c r="L7536" s="668"/>
      <c r="M7536" s="668"/>
    </row>
    <row r="7537" spans="5:13">
      <c r="E7537" s="668"/>
      <c r="F7537" s="668"/>
      <c r="G7537" s="668"/>
      <c r="H7537" s="668"/>
      <c r="I7537" s="668"/>
      <c r="J7537" s="668"/>
      <c r="K7537" s="674"/>
      <c r="L7537" s="668"/>
      <c r="M7537" s="668"/>
    </row>
    <row r="7538" spans="5:13">
      <c r="E7538" s="668"/>
      <c r="F7538" s="668"/>
      <c r="G7538" s="668"/>
      <c r="H7538" s="668"/>
      <c r="I7538" s="668"/>
      <c r="J7538" s="668"/>
      <c r="K7538" s="674"/>
      <c r="L7538" s="668"/>
      <c r="M7538" s="668"/>
    </row>
    <row r="7539" spans="5:13">
      <c r="E7539" s="668"/>
      <c r="F7539" s="668"/>
      <c r="G7539" s="668"/>
      <c r="H7539" s="668"/>
      <c r="I7539" s="668"/>
      <c r="J7539" s="668"/>
      <c r="K7539" s="674"/>
      <c r="L7539" s="668"/>
      <c r="M7539" s="668"/>
    </row>
    <row r="7540" spans="5:13">
      <c r="E7540" s="668"/>
      <c r="F7540" s="668"/>
      <c r="G7540" s="668"/>
      <c r="H7540" s="668"/>
      <c r="I7540" s="668"/>
      <c r="J7540" s="668"/>
      <c r="K7540" s="674"/>
      <c r="L7540" s="668"/>
      <c r="M7540" s="668"/>
    </row>
    <row r="7541" spans="5:13">
      <c r="E7541" s="668"/>
      <c r="F7541" s="668"/>
      <c r="G7541" s="668"/>
      <c r="H7541" s="668"/>
      <c r="I7541" s="668"/>
      <c r="J7541" s="668"/>
      <c r="K7541" s="674"/>
      <c r="L7541" s="668"/>
      <c r="M7541" s="668"/>
    </row>
    <row r="7542" spans="5:13">
      <c r="E7542" s="668"/>
      <c r="F7542" s="668"/>
      <c r="G7542" s="668"/>
      <c r="H7542" s="668"/>
      <c r="I7542" s="668"/>
      <c r="J7542" s="668"/>
      <c r="K7542" s="674"/>
      <c r="L7542" s="668"/>
      <c r="M7542" s="668"/>
    </row>
    <row r="7543" spans="5:13">
      <c r="E7543" s="668"/>
      <c r="F7543" s="668"/>
      <c r="G7543" s="668"/>
      <c r="H7543" s="668"/>
      <c r="I7543" s="668"/>
      <c r="J7543" s="668"/>
      <c r="K7543" s="674"/>
      <c r="L7543" s="668"/>
      <c r="M7543" s="668"/>
    </row>
    <row r="7544" spans="5:13">
      <c r="E7544" s="668"/>
      <c r="F7544" s="668"/>
      <c r="G7544" s="668"/>
      <c r="H7544" s="668"/>
      <c r="I7544" s="668"/>
      <c r="J7544" s="668"/>
      <c r="K7544" s="674"/>
      <c r="L7544" s="668"/>
      <c r="M7544" s="668"/>
    </row>
    <row r="7545" spans="5:13">
      <c r="E7545" s="668"/>
      <c r="F7545" s="668"/>
      <c r="G7545" s="668"/>
      <c r="H7545" s="668"/>
      <c r="I7545" s="668"/>
      <c r="J7545" s="668"/>
      <c r="K7545" s="674"/>
      <c r="L7545" s="668"/>
      <c r="M7545" s="668"/>
    </row>
    <row r="7546" spans="5:13">
      <c r="E7546" s="668"/>
      <c r="F7546" s="668"/>
      <c r="G7546" s="668"/>
      <c r="H7546" s="668"/>
      <c r="I7546" s="668"/>
      <c r="J7546" s="668"/>
      <c r="K7546" s="674"/>
      <c r="L7546" s="668"/>
      <c r="M7546" s="668"/>
    </row>
    <row r="7547" spans="5:13">
      <c r="E7547" s="668"/>
      <c r="F7547" s="668"/>
      <c r="G7547" s="668"/>
      <c r="H7547" s="668"/>
      <c r="I7547" s="668"/>
      <c r="J7547" s="668"/>
      <c r="K7547" s="674"/>
      <c r="L7547" s="668"/>
      <c r="M7547" s="668"/>
    </row>
    <row r="7548" spans="5:13">
      <c r="E7548" s="668"/>
      <c r="F7548" s="668"/>
      <c r="G7548" s="668"/>
      <c r="H7548" s="668"/>
      <c r="I7548" s="668"/>
      <c r="J7548" s="668"/>
      <c r="K7548" s="674"/>
      <c r="L7548" s="668"/>
      <c r="M7548" s="668"/>
    </row>
    <row r="7549" spans="5:13">
      <c r="E7549" s="668"/>
      <c r="F7549" s="668"/>
      <c r="G7549" s="668"/>
      <c r="H7549" s="668"/>
      <c r="I7549" s="668"/>
      <c r="J7549" s="668"/>
      <c r="K7549" s="674"/>
      <c r="L7549" s="668"/>
      <c r="M7549" s="668"/>
    </row>
    <row r="7550" spans="5:13">
      <c r="E7550" s="668"/>
      <c r="F7550" s="668"/>
      <c r="G7550" s="668"/>
      <c r="H7550" s="668"/>
      <c r="I7550" s="668"/>
      <c r="J7550" s="668"/>
      <c r="K7550" s="674"/>
      <c r="L7550" s="668"/>
      <c r="M7550" s="668"/>
    </row>
    <row r="7551" spans="5:13">
      <c r="E7551" s="668"/>
      <c r="F7551" s="668"/>
      <c r="G7551" s="668"/>
      <c r="H7551" s="668"/>
      <c r="I7551" s="668"/>
      <c r="J7551" s="668"/>
      <c r="K7551" s="674"/>
      <c r="L7551" s="668"/>
      <c r="M7551" s="668"/>
    </row>
    <row r="7552" spans="5:13">
      <c r="E7552" s="668"/>
      <c r="F7552" s="668"/>
      <c r="G7552" s="668"/>
      <c r="H7552" s="668"/>
      <c r="I7552" s="668"/>
      <c r="J7552" s="668"/>
      <c r="K7552" s="674"/>
      <c r="L7552" s="668"/>
      <c r="M7552" s="668"/>
    </row>
    <row r="7553" spans="5:13">
      <c r="E7553" s="668"/>
      <c r="F7553" s="668"/>
      <c r="G7553" s="668"/>
      <c r="H7553" s="668"/>
      <c r="I7553" s="668"/>
      <c r="J7553" s="668"/>
      <c r="K7553" s="674"/>
      <c r="L7553" s="668"/>
      <c r="M7553" s="668"/>
    </row>
    <row r="7554" spans="5:13">
      <c r="E7554" s="668"/>
      <c r="F7554" s="668"/>
      <c r="G7554" s="668"/>
      <c r="H7554" s="668"/>
      <c r="I7554" s="668"/>
      <c r="J7554" s="668"/>
      <c r="K7554" s="674"/>
      <c r="L7554" s="668"/>
      <c r="M7554" s="668"/>
    </row>
    <row r="7555" spans="5:13">
      <c r="E7555" s="668"/>
      <c r="F7555" s="668"/>
      <c r="G7555" s="668"/>
      <c r="H7555" s="668"/>
      <c r="I7555" s="668"/>
      <c r="J7555" s="668"/>
      <c r="K7555" s="674"/>
      <c r="L7555" s="668"/>
      <c r="M7555" s="668"/>
    </row>
    <row r="7556" spans="5:13">
      <c r="E7556" s="668"/>
      <c r="F7556" s="668"/>
      <c r="G7556" s="668"/>
      <c r="H7556" s="668"/>
      <c r="I7556" s="668"/>
      <c r="J7556" s="668"/>
      <c r="K7556" s="674"/>
      <c r="L7556" s="668"/>
      <c r="M7556" s="668"/>
    </row>
    <row r="7557" spans="5:13">
      <c r="E7557" s="668"/>
      <c r="F7557" s="668"/>
      <c r="G7557" s="668"/>
      <c r="H7557" s="668"/>
      <c r="I7557" s="668"/>
      <c r="J7557" s="668"/>
      <c r="K7557" s="674"/>
      <c r="L7557" s="668"/>
      <c r="M7557" s="668"/>
    </row>
    <row r="7558" spans="5:13">
      <c r="E7558" s="668"/>
      <c r="F7558" s="668"/>
      <c r="G7558" s="668"/>
      <c r="H7558" s="668"/>
      <c r="I7558" s="668"/>
      <c r="J7558" s="668"/>
      <c r="K7558" s="674"/>
      <c r="L7558" s="668"/>
      <c r="M7558" s="668"/>
    </row>
    <row r="7559" spans="5:13">
      <c r="E7559" s="668"/>
      <c r="F7559" s="668"/>
      <c r="G7559" s="668"/>
      <c r="H7559" s="668"/>
      <c r="I7559" s="668"/>
      <c r="J7559" s="668"/>
      <c r="K7559" s="674"/>
      <c r="L7559" s="668"/>
      <c r="M7559" s="668"/>
    </row>
    <row r="7560" spans="5:13">
      <c r="E7560" s="668"/>
      <c r="F7560" s="668"/>
      <c r="G7560" s="668"/>
      <c r="H7560" s="668"/>
      <c r="I7560" s="668"/>
      <c r="J7560" s="668"/>
      <c r="K7560" s="674"/>
      <c r="L7560" s="668"/>
      <c r="M7560" s="668"/>
    </row>
    <row r="7561" spans="5:13">
      <c r="E7561" s="668"/>
      <c r="F7561" s="668"/>
      <c r="G7561" s="668"/>
      <c r="H7561" s="668"/>
      <c r="I7561" s="668"/>
      <c r="J7561" s="668"/>
      <c r="K7561" s="674"/>
      <c r="L7561" s="668"/>
      <c r="M7561" s="668"/>
    </row>
    <row r="7562" spans="5:13">
      <c r="E7562" s="668"/>
      <c r="F7562" s="668"/>
      <c r="G7562" s="668"/>
      <c r="H7562" s="668"/>
      <c r="I7562" s="668"/>
      <c r="J7562" s="668"/>
      <c r="K7562" s="674"/>
      <c r="L7562" s="668"/>
      <c r="M7562" s="668"/>
    </row>
    <row r="7563" spans="5:13">
      <c r="E7563" s="668"/>
      <c r="F7563" s="668"/>
      <c r="G7563" s="668"/>
      <c r="H7563" s="668"/>
      <c r="I7563" s="668"/>
      <c r="J7563" s="668"/>
      <c r="K7563" s="674"/>
      <c r="L7563" s="668"/>
      <c r="M7563" s="668"/>
    </row>
    <row r="7564" spans="5:13">
      <c r="E7564" s="668"/>
      <c r="F7564" s="668"/>
      <c r="G7564" s="668"/>
      <c r="H7564" s="668"/>
      <c r="I7564" s="668"/>
      <c r="J7564" s="668"/>
      <c r="K7564" s="674"/>
      <c r="L7564" s="668"/>
      <c r="M7564" s="668"/>
    </row>
    <row r="7565" spans="5:13">
      <c r="E7565" s="668"/>
      <c r="F7565" s="668"/>
      <c r="G7565" s="668"/>
      <c r="H7565" s="668"/>
      <c r="I7565" s="668"/>
      <c r="J7565" s="668"/>
      <c r="K7565" s="674"/>
      <c r="L7565" s="668"/>
      <c r="M7565" s="668"/>
    </row>
    <row r="7566" spans="5:13">
      <c r="E7566" s="668"/>
      <c r="F7566" s="668"/>
      <c r="G7566" s="668"/>
      <c r="H7566" s="668"/>
      <c r="I7566" s="668"/>
      <c r="J7566" s="668"/>
      <c r="K7566" s="674"/>
      <c r="L7566" s="668"/>
      <c r="M7566" s="668"/>
    </row>
    <row r="7567" spans="5:13">
      <c r="E7567" s="668"/>
      <c r="F7567" s="668"/>
      <c r="G7567" s="668"/>
      <c r="H7567" s="668"/>
      <c r="I7567" s="668"/>
      <c r="J7567" s="668"/>
      <c r="K7567" s="674"/>
      <c r="L7567" s="668"/>
      <c r="M7567" s="668"/>
    </row>
    <row r="7568" spans="5:13">
      <c r="E7568" s="668"/>
      <c r="F7568" s="668"/>
      <c r="G7568" s="668"/>
      <c r="H7568" s="668"/>
      <c r="I7568" s="668"/>
      <c r="J7568" s="668"/>
      <c r="K7568" s="674"/>
      <c r="L7568" s="668"/>
      <c r="M7568" s="668"/>
    </row>
    <row r="7569" spans="5:13">
      <c r="E7569" s="668"/>
      <c r="F7569" s="668"/>
      <c r="G7569" s="668"/>
      <c r="H7569" s="668"/>
      <c r="I7569" s="668"/>
      <c r="J7569" s="668"/>
      <c r="K7569" s="674"/>
      <c r="L7569" s="668"/>
      <c r="M7569" s="668"/>
    </row>
    <row r="7570" spans="5:13">
      <c r="E7570" s="668"/>
      <c r="F7570" s="668"/>
      <c r="G7570" s="668"/>
      <c r="H7570" s="668"/>
      <c r="I7570" s="668"/>
      <c r="J7570" s="668"/>
      <c r="K7570" s="674"/>
      <c r="L7570" s="668"/>
      <c r="M7570" s="668"/>
    </row>
    <row r="7571" spans="5:13">
      <c r="E7571" s="668"/>
      <c r="F7571" s="668"/>
      <c r="G7571" s="668"/>
      <c r="H7571" s="668"/>
      <c r="I7571" s="668"/>
      <c r="J7571" s="668"/>
      <c r="K7571" s="674"/>
      <c r="L7571" s="668"/>
      <c r="M7571" s="668"/>
    </row>
    <row r="7572" spans="5:13">
      <c r="E7572" s="668"/>
      <c r="F7572" s="668"/>
      <c r="G7572" s="668"/>
      <c r="H7572" s="668"/>
      <c r="I7572" s="668"/>
      <c r="J7572" s="668"/>
      <c r="K7572" s="674"/>
      <c r="L7572" s="668"/>
      <c r="M7572" s="668"/>
    </row>
    <row r="7573" spans="5:13">
      <c r="E7573" s="668"/>
      <c r="F7573" s="668"/>
      <c r="G7573" s="668"/>
      <c r="H7573" s="668"/>
      <c r="I7573" s="668"/>
      <c r="J7573" s="668"/>
      <c r="K7573" s="674"/>
      <c r="L7573" s="668"/>
      <c r="M7573" s="668"/>
    </row>
    <row r="7574" spans="5:13">
      <c r="E7574" s="668"/>
      <c r="F7574" s="668"/>
      <c r="G7574" s="668"/>
      <c r="H7574" s="668"/>
      <c r="I7574" s="668"/>
      <c r="J7574" s="668"/>
      <c r="K7574" s="674"/>
      <c r="L7574" s="668"/>
      <c r="M7574" s="668"/>
    </row>
    <row r="7575" spans="5:13">
      <c r="E7575" s="668"/>
      <c r="F7575" s="668"/>
      <c r="G7575" s="668"/>
      <c r="H7575" s="668"/>
      <c r="I7575" s="668"/>
      <c r="J7575" s="668"/>
      <c r="K7575" s="674"/>
      <c r="L7575" s="668"/>
      <c r="M7575" s="668"/>
    </row>
    <row r="7576" spans="5:13">
      <c r="E7576" s="668"/>
      <c r="F7576" s="668"/>
      <c r="G7576" s="668"/>
      <c r="H7576" s="668"/>
      <c r="I7576" s="668"/>
      <c r="J7576" s="668"/>
      <c r="K7576" s="674"/>
      <c r="L7576" s="668"/>
      <c r="M7576" s="668"/>
    </row>
    <row r="7577" spans="5:13">
      <c r="E7577" s="668"/>
      <c r="F7577" s="668"/>
      <c r="G7577" s="668"/>
      <c r="H7577" s="668"/>
      <c r="I7577" s="668"/>
      <c r="J7577" s="668"/>
      <c r="K7577" s="674"/>
      <c r="L7577" s="668"/>
      <c r="M7577" s="668"/>
    </row>
    <row r="7578" spans="5:13">
      <c r="E7578" s="668"/>
      <c r="F7578" s="668"/>
      <c r="G7578" s="668"/>
      <c r="H7578" s="668"/>
      <c r="I7578" s="668"/>
      <c r="J7578" s="668"/>
      <c r="K7578" s="674"/>
      <c r="L7578" s="668"/>
      <c r="M7578" s="668"/>
    </row>
    <row r="7579" spans="5:13">
      <c r="E7579" s="668"/>
      <c r="F7579" s="668"/>
      <c r="G7579" s="668"/>
      <c r="H7579" s="668"/>
      <c r="I7579" s="668"/>
      <c r="J7579" s="668"/>
      <c r="K7579" s="674"/>
      <c r="L7579" s="668"/>
      <c r="M7579" s="668"/>
    </row>
    <row r="7580" spans="5:13">
      <c r="E7580" s="668"/>
      <c r="F7580" s="668"/>
      <c r="G7580" s="668"/>
      <c r="H7580" s="668"/>
      <c r="I7580" s="668"/>
      <c r="J7580" s="668"/>
      <c r="K7580" s="674"/>
      <c r="L7580" s="668"/>
      <c r="M7580" s="668"/>
    </row>
    <row r="7581" spans="5:13">
      <c r="E7581" s="668"/>
      <c r="F7581" s="668"/>
      <c r="G7581" s="668"/>
      <c r="H7581" s="668"/>
      <c r="I7581" s="668"/>
      <c r="J7581" s="668"/>
      <c r="K7581" s="674"/>
      <c r="L7581" s="668"/>
      <c r="M7581" s="668"/>
    </row>
    <row r="7582" spans="5:13">
      <c r="E7582" s="668"/>
      <c r="F7582" s="668"/>
      <c r="G7582" s="668"/>
      <c r="H7582" s="668"/>
      <c r="I7582" s="668"/>
      <c r="J7582" s="668"/>
      <c r="K7582" s="674"/>
      <c r="L7582" s="668"/>
      <c r="M7582" s="668"/>
    </row>
    <row r="7583" spans="5:13">
      <c r="E7583" s="668"/>
      <c r="F7583" s="668"/>
      <c r="G7583" s="668"/>
      <c r="H7583" s="668"/>
      <c r="I7583" s="668"/>
      <c r="J7583" s="668"/>
      <c r="K7583" s="674"/>
      <c r="L7583" s="668"/>
      <c r="M7583" s="668"/>
    </row>
    <row r="7584" spans="5:13">
      <c r="E7584" s="668"/>
      <c r="F7584" s="668"/>
      <c r="G7584" s="668"/>
      <c r="H7584" s="668"/>
      <c r="I7584" s="668"/>
      <c r="J7584" s="668"/>
      <c r="K7584" s="674"/>
      <c r="L7584" s="668"/>
      <c r="M7584" s="668"/>
    </row>
    <row r="7585" spans="5:13">
      <c r="E7585" s="668"/>
      <c r="F7585" s="668"/>
      <c r="G7585" s="668"/>
      <c r="H7585" s="668"/>
      <c r="I7585" s="668"/>
      <c r="J7585" s="668"/>
      <c r="K7585" s="674"/>
      <c r="L7585" s="668"/>
      <c r="M7585" s="668"/>
    </row>
    <row r="7586" spans="5:13">
      <c r="E7586" s="668"/>
      <c r="F7586" s="668"/>
      <c r="G7586" s="668"/>
      <c r="H7586" s="668"/>
      <c r="I7586" s="668"/>
      <c r="J7586" s="668"/>
      <c r="K7586" s="674"/>
      <c r="L7586" s="668"/>
      <c r="M7586" s="668"/>
    </row>
    <row r="7587" spans="5:13">
      <c r="E7587" s="668"/>
      <c r="F7587" s="668"/>
      <c r="G7587" s="668"/>
      <c r="H7587" s="668"/>
      <c r="I7587" s="668"/>
      <c r="J7587" s="668"/>
      <c r="K7587" s="674"/>
      <c r="L7587" s="668"/>
      <c r="M7587" s="668"/>
    </row>
    <row r="7588" spans="5:13">
      <c r="E7588" s="668"/>
      <c r="F7588" s="668"/>
      <c r="G7588" s="668"/>
      <c r="H7588" s="668"/>
      <c r="I7588" s="668"/>
      <c r="J7588" s="668"/>
      <c r="K7588" s="674"/>
      <c r="L7588" s="668"/>
      <c r="M7588" s="668"/>
    </row>
    <row r="7589" spans="5:13">
      <c r="E7589" s="668"/>
      <c r="F7589" s="668"/>
      <c r="G7589" s="668"/>
      <c r="H7589" s="668"/>
      <c r="I7589" s="668"/>
      <c r="J7589" s="668"/>
      <c r="K7589" s="674"/>
      <c r="L7589" s="668"/>
      <c r="M7589" s="668"/>
    </row>
    <row r="7590" spans="5:13">
      <c r="E7590" s="668"/>
      <c r="F7590" s="668"/>
      <c r="G7590" s="668"/>
      <c r="H7590" s="668"/>
      <c r="I7590" s="668"/>
      <c r="J7590" s="668"/>
      <c r="K7590" s="674"/>
      <c r="L7590" s="668"/>
      <c r="M7590" s="668"/>
    </row>
    <row r="7591" spans="5:13">
      <c r="E7591" s="668"/>
      <c r="F7591" s="668"/>
      <c r="G7591" s="668"/>
      <c r="H7591" s="668"/>
      <c r="I7591" s="668"/>
      <c r="J7591" s="668"/>
      <c r="K7591" s="674"/>
      <c r="L7591" s="668"/>
      <c r="M7591" s="668"/>
    </row>
    <row r="7592" spans="5:13">
      <c r="E7592" s="668"/>
      <c r="F7592" s="668"/>
      <c r="G7592" s="668"/>
      <c r="H7592" s="668"/>
      <c r="I7592" s="668"/>
      <c r="J7592" s="668"/>
      <c r="K7592" s="674"/>
      <c r="L7592" s="668"/>
      <c r="M7592" s="668"/>
    </row>
    <row r="7593" spans="5:13">
      <c r="E7593" s="668"/>
      <c r="F7593" s="668"/>
      <c r="G7593" s="668"/>
      <c r="H7593" s="668"/>
      <c r="I7593" s="668"/>
      <c r="J7593" s="668"/>
      <c r="K7593" s="674"/>
      <c r="L7593" s="668"/>
      <c r="M7593" s="668"/>
    </row>
    <row r="7594" spans="5:13">
      <c r="E7594" s="668"/>
      <c r="F7594" s="668"/>
      <c r="G7594" s="668"/>
      <c r="H7594" s="668"/>
      <c r="I7594" s="668"/>
      <c r="J7594" s="668"/>
      <c r="K7594" s="674"/>
      <c r="L7594" s="668"/>
      <c r="M7594" s="668"/>
    </row>
    <row r="7595" spans="5:13">
      <c r="E7595" s="668"/>
      <c r="F7595" s="668"/>
      <c r="G7595" s="668"/>
      <c r="H7595" s="668"/>
      <c r="I7595" s="668"/>
      <c r="J7595" s="668"/>
      <c r="K7595" s="674"/>
      <c r="L7595" s="668"/>
      <c r="M7595" s="668"/>
    </row>
    <row r="7596" spans="5:13">
      <c r="E7596" s="668"/>
      <c r="F7596" s="668"/>
      <c r="G7596" s="668"/>
      <c r="H7596" s="668"/>
      <c r="I7596" s="668"/>
      <c r="J7596" s="668"/>
      <c r="K7596" s="674"/>
      <c r="L7596" s="668"/>
      <c r="M7596" s="668"/>
    </row>
    <row r="7597" spans="5:13">
      <c r="E7597" s="668"/>
      <c r="F7597" s="668"/>
      <c r="G7597" s="668"/>
      <c r="H7597" s="668"/>
      <c r="I7597" s="668"/>
      <c r="J7597" s="668"/>
      <c r="K7597" s="674"/>
      <c r="L7597" s="668"/>
      <c r="M7597" s="668"/>
    </row>
    <row r="7598" spans="5:13">
      <c r="E7598" s="668"/>
      <c r="F7598" s="668"/>
      <c r="G7598" s="668"/>
      <c r="H7598" s="668"/>
      <c r="I7598" s="668"/>
      <c r="J7598" s="668"/>
      <c r="K7598" s="674"/>
      <c r="L7598" s="668"/>
      <c r="M7598" s="668"/>
    </row>
    <row r="7599" spans="5:13">
      <c r="E7599" s="668"/>
      <c r="F7599" s="668"/>
      <c r="G7599" s="668"/>
      <c r="H7599" s="668"/>
      <c r="I7599" s="668"/>
      <c r="J7599" s="668"/>
      <c r="K7599" s="674"/>
      <c r="L7599" s="668"/>
      <c r="M7599" s="668"/>
    </row>
    <row r="7600" spans="5:13">
      <c r="E7600" s="668"/>
      <c r="F7600" s="668"/>
      <c r="G7600" s="668"/>
      <c r="H7600" s="668"/>
      <c r="I7600" s="668"/>
      <c r="J7600" s="668"/>
      <c r="K7600" s="674"/>
      <c r="L7600" s="668"/>
      <c r="M7600" s="668"/>
    </row>
    <row r="7601" spans="5:13">
      <c r="E7601" s="668"/>
      <c r="F7601" s="668"/>
      <c r="G7601" s="668"/>
      <c r="H7601" s="668"/>
      <c r="I7601" s="668"/>
      <c r="J7601" s="668"/>
      <c r="K7601" s="674"/>
      <c r="L7601" s="668"/>
      <c r="M7601" s="668"/>
    </row>
    <row r="7602" spans="5:13">
      <c r="E7602" s="668"/>
      <c r="F7602" s="668"/>
      <c r="G7602" s="668"/>
      <c r="H7602" s="668"/>
      <c r="I7602" s="668"/>
      <c r="J7602" s="668"/>
      <c r="K7602" s="674"/>
      <c r="L7602" s="668"/>
      <c r="M7602" s="668"/>
    </row>
    <row r="7603" spans="5:13">
      <c r="E7603" s="668"/>
      <c r="F7603" s="668"/>
      <c r="G7603" s="668"/>
      <c r="H7603" s="668"/>
      <c r="I7603" s="668"/>
      <c r="J7603" s="668"/>
      <c r="K7603" s="674"/>
      <c r="L7603" s="668"/>
      <c r="M7603" s="668"/>
    </row>
    <row r="7604" spans="5:13">
      <c r="E7604" s="668"/>
      <c r="F7604" s="668"/>
      <c r="G7604" s="668"/>
      <c r="H7604" s="668"/>
      <c r="I7604" s="668"/>
      <c r="J7604" s="668"/>
      <c r="K7604" s="674"/>
      <c r="L7604" s="668"/>
      <c r="M7604" s="668"/>
    </row>
    <row r="7605" spans="5:13">
      <c r="E7605" s="668"/>
      <c r="F7605" s="668"/>
      <c r="G7605" s="668"/>
      <c r="H7605" s="668"/>
      <c r="I7605" s="668"/>
      <c r="J7605" s="668"/>
      <c r="K7605" s="674"/>
      <c r="L7605" s="668"/>
      <c r="M7605" s="668"/>
    </row>
    <row r="7606" spans="5:13">
      <c r="E7606" s="668"/>
      <c r="F7606" s="668"/>
      <c r="G7606" s="668"/>
      <c r="H7606" s="668"/>
      <c r="I7606" s="668"/>
      <c r="J7606" s="668"/>
      <c r="K7606" s="674"/>
      <c r="L7606" s="668"/>
      <c r="M7606" s="668"/>
    </row>
    <row r="7607" spans="5:13">
      <c r="E7607" s="668"/>
      <c r="F7607" s="668"/>
      <c r="G7607" s="668"/>
      <c r="H7607" s="668"/>
      <c r="I7607" s="668"/>
      <c r="J7607" s="668"/>
      <c r="K7607" s="674"/>
      <c r="L7607" s="668"/>
      <c r="M7607" s="668"/>
    </row>
    <row r="7608" spans="5:13">
      <c r="E7608" s="668"/>
      <c r="F7608" s="668"/>
      <c r="G7608" s="668"/>
      <c r="H7608" s="668"/>
      <c r="I7608" s="668"/>
      <c r="J7608" s="668"/>
      <c r="K7608" s="674"/>
      <c r="L7608" s="668"/>
      <c r="M7608" s="668"/>
    </row>
    <row r="7609" spans="5:13">
      <c r="E7609" s="668"/>
      <c r="F7609" s="668"/>
      <c r="G7609" s="668"/>
      <c r="H7609" s="668"/>
      <c r="I7609" s="668"/>
      <c r="J7609" s="668"/>
      <c r="K7609" s="674"/>
      <c r="L7609" s="668"/>
      <c r="M7609" s="668"/>
    </row>
    <row r="7610" spans="5:13">
      <c r="E7610" s="668"/>
      <c r="F7610" s="668"/>
      <c r="G7610" s="668"/>
      <c r="H7610" s="668"/>
      <c r="I7610" s="668"/>
      <c r="J7610" s="668"/>
      <c r="K7610" s="674"/>
      <c r="L7610" s="668"/>
      <c r="M7610" s="668"/>
    </row>
    <row r="7611" spans="5:13">
      <c r="E7611" s="668"/>
      <c r="F7611" s="668"/>
      <c r="G7611" s="668"/>
      <c r="H7611" s="668"/>
      <c r="I7611" s="668"/>
      <c r="J7611" s="668"/>
      <c r="K7611" s="674"/>
      <c r="L7611" s="668"/>
      <c r="M7611" s="668"/>
    </row>
    <row r="7612" spans="5:13">
      <c r="E7612" s="668"/>
      <c r="F7612" s="668"/>
      <c r="G7612" s="668"/>
      <c r="H7612" s="668"/>
      <c r="I7612" s="668"/>
      <c r="J7612" s="668"/>
      <c r="K7612" s="674"/>
      <c r="L7612" s="668"/>
      <c r="M7612" s="668"/>
    </row>
    <row r="7613" spans="5:13">
      <c r="E7613" s="668"/>
      <c r="F7613" s="668"/>
      <c r="G7613" s="668"/>
      <c r="H7613" s="668"/>
      <c r="I7613" s="668"/>
      <c r="J7613" s="668"/>
      <c r="K7613" s="674"/>
      <c r="L7613" s="668"/>
      <c r="M7613" s="668"/>
    </row>
    <row r="7614" spans="5:13">
      <c r="E7614" s="668"/>
      <c r="F7614" s="668"/>
      <c r="G7614" s="668"/>
      <c r="H7614" s="668"/>
      <c r="I7614" s="668"/>
      <c r="J7614" s="668"/>
      <c r="K7614" s="674"/>
      <c r="L7614" s="668"/>
      <c r="M7614" s="668"/>
    </row>
    <row r="7615" spans="5:13">
      <c r="E7615" s="668"/>
      <c r="F7615" s="668"/>
      <c r="G7615" s="668"/>
      <c r="H7615" s="668"/>
      <c r="I7615" s="668"/>
      <c r="J7615" s="668"/>
      <c r="K7615" s="674"/>
      <c r="L7615" s="668"/>
      <c r="M7615" s="668"/>
    </row>
    <row r="7616" spans="5:13">
      <c r="E7616" s="668"/>
      <c r="F7616" s="668"/>
      <c r="G7616" s="668"/>
      <c r="H7616" s="668"/>
      <c r="I7616" s="668"/>
      <c r="J7616" s="668"/>
      <c r="K7616" s="674"/>
      <c r="L7616" s="668"/>
      <c r="M7616" s="668"/>
    </row>
    <row r="7617" spans="5:13">
      <c r="E7617" s="668"/>
      <c r="F7617" s="668"/>
      <c r="G7617" s="668"/>
      <c r="H7617" s="668"/>
      <c r="I7617" s="668"/>
      <c r="J7617" s="668"/>
      <c r="K7617" s="674"/>
      <c r="L7617" s="668"/>
      <c r="M7617" s="668"/>
    </row>
    <row r="7618" spans="5:13">
      <c r="E7618" s="668"/>
      <c r="F7618" s="668"/>
      <c r="G7618" s="668"/>
      <c r="H7618" s="668"/>
      <c r="I7618" s="668"/>
      <c r="J7618" s="668"/>
      <c r="K7618" s="674"/>
      <c r="L7618" s="668"/>
      <c r="M7618" s="668"/>
    </row>
    <row r="7619" spans="5:13">
      <c r="E7619" s="668"/>
      <c r="F7619" s="668"/>
      <c r="G7619" s="668"/>
      <c r="H7619" s="668"/>
      <c r="I7619" s="668"/>
      <c r="J7619" s="668"/>
      <c r="K7619" s="674"/>
      <c r="L7619" s="668"/>
      <c r="M7619" s="668"/>
    </row>
    <row r="7620" spans="5:13">
      <c r="E7620" s="668"/>
      <c r="F7620" s="668"/>
      <c r="G7620" s="668"/>
      <c r="H7620" s="668"/>
      <c r="I7620" s="668"/>
      <c r="J7620" s="668"/>
      <c r="K7620" s="674"/>
      <c r="L7620" s="668"/>
      <c r="M7620" s="668"/>
    </row>
    <row r="7621" spans="5:13">
      <c r="E7621" s="668"/>
      <c r="F7621" s="668"/>
      <c r="G7621" s="668"/>
      <c r="H7621" s="668"/>
      <c r="I7621" s="668"/>
      <c r="J7621" s="668"/>
      <c r="K7621" s="674"/>
      <c r="L7621" s="668"/>
      <c r="M7621" s="668"/>
    </row>
    <row r="7622" spans="5:13">
      <c r="E7622" s="668"/>
      <c r="F7622" s="668"/>
      <c r="G7622" s="668"/>
      <c r="H7622" s="668"/>
      <c r="I7622" s="668"/>
      <c r="J7622" s="668"/>
      <c r="K7622" s="674"/>
      <c r="L7622" s="668"/>
      <c r="M7622" s="668"/>
    </row>
    <row r="7623" spans="5:13">
      <c r="E7623" s="668"/>
      <c r="F7623" s="668"/>
      <c r="G7623" s="668"/>
      <c r="H7623" s="668"/>
      <c r="I7623" s="668"/>
      <c r="J7623" s="668"/>
      <c r="K7623" s="674"/>
      <c r="L7623" s="668"/>
      <c r="M7623" s="668"/>
    </row>
    <row r="7624" spans="5:13">
      <c r="E7624" s="668"/>
      <c r="F7624" s="668"/>
      <c r="G7624" s="668"/>
      <c r="H7624" s="668"/>
      <c r="I7624" s="668"/>
      <c r="J7624" s="668"/>
      <c r="K7624" s="674"/>
      <c r="L7624" s="668"/>
      <c r="M7624" s="668"/>
    </row>
    <row r="7625" spans="5:13">
      <c r="E7625" s="668"/>
      <c r="F7625" s="668"/>
      <c r="G7625" s="668"/>
      <c r="H7625" s="668"/>
      <c r="I7625" s="668"/>
      <c r="J7625" s="668"/>
      <c r="K7625" s="674"/>
      <c r="L7625" s="668"/>
      <c r="M7625" s="668"/>
    </row>
    <row r="7626" spans="5:13">
      <c r="E7626" s="668"/>
      <c r="F7626" s="668"/>
      <c r="G7626" s="668"/>
      <c r="H7626" s="668"/>
      <c r="I7626" s="668"/>
      <c r="J7626" s="668"/>
      <c r="K7626" s="674"/>
      <c r="L7626" s="668"/>
      <c r="M7626" s="668"/>
    </row>
    <row r="7627" spans="5:13">
      <c r="E7627" s="668"/>
      <c r="F7627" s="668"/>
      <c r="G7627" s="668"/>
      <c r="H7627" s="668"/>
      <c r="I7627" s="668"/>
      <c r="J7627" s="668"/>
      <c r="K7627" s="674"/>
      <c r="L7627" s="668"/>
      <c r="M7627" s="668"/>
    </row>
    <row r="7628" spans="5:13">
      <c r="E7628" s="668"/>
      <c r="F7628" s="668"/>
      <c r="G7628" s="668"/>
      <c r="H7628" s="668"/>
      <c r="I7628" s="668"/>
      <c r="J7628" s="668"/>
      <c r="K7628" s="674"/>
      <c r="L7628" s="668"/>
      <c r="M7628" s="668"/>
    </row>
    <row r="7629" spans="5:13">
      <c r="E7629" s="668"/>
      <c r="F7629" s="668"/>
      <c r="G7629" s="668"/>
      <c r="H7629" s="668"/>
      <c r="I7629" s="668"/>
      <c r="J7629" s="668"/>
      <c r="K7629" s="674"/>
      <c r="L7629" s="668"/>
      <c r="M7629" s="668"/>
    </row>
    <row r="7630" spans="5:13">
      <c r="E7630" s="668"/>
      <c r="F7630" s="668"/>
      <c r="G7630" s="668"/>
      <c r="H7630" s="668"/>
      <c r="I7630" s="668"/>
      <c r="J7630" s="668"/>
      <c r="K7630" s="674"/>
      <c r="L7630" s="668"/>
      <c r="M7630" s="668"/>
    </row>
    <row r="7631" spans="5:13">
      <c r="E7631" s="668"/>
      <c r="F7631" s="668"/>
      <c r="G7631" s="668"/>
      <c r="H7631" s="668"/>
      <c r="I7631" s="668"/>
      <c r="J7631" s="668"/>
      <c r="K7631" s="674"/>
      <c r="L7631" s="668"/>
      <c r="M7631" s="668"/>
    </row>
    <row r="7632" spans="5:13">
      <c r="E7632" s="668"/>
      <c r="F7632" s="668"/>
      <c r="G7632" s="668"/>
      <c r="H7632" s="668"/>
      <c r="I7632" s="668"/>
      <c r="J7632" s="668"/>
      <c r="K7632" s="674"/>
      <c r="L7632" s="668"/>
      <c r="M7632" s="668"/>
    </row>
    <row r="7633" spans="5:13">
      <c r="E7633" s="668"/>
      <c r="F7633" s="668"/>
      <c r="G7633" s="668"/>
      <c r="H7633" s="668"/>
      <c r="I7633" s="668"/>
      <c r="J7633" s="668"/>
      <c r="K7633" s="674"/>
      <c r="L7633" s="668"/>
      <c r="M7633" s="668"/>
    </row>
    <row r="7634" spans="5:13">
      <c r="E7634" s="668"/>
      <c r="F7634" s="668"/>
      <c r="G7634" s="668"/>
      <c r="H7634" s="668"/>
      <c r="I7634" s="668"/>
      <c r="J7634" s="668"/>
      <c r="K7634" s="674"/>
      <c r="L7634" s="668"/>
      <c r="M7634" s="668"/>
    </row>
    <row r="7635" spans="5:13">
      <c r="E7635" s="668"/>
      <c r="F7635" s="668"/>
      <c r="G7635" s="668"/>
      <c r="H7635" s="668"/>
      <c r="I7635" s="668"/>
      <c r="J7635" s="668"/>
      <c r="K7635" s="674"/>
      <c r="L7635" s="668"/>
      <c r="M7635" s="668"/>
    </row>
    <row r="7636" spans="5:13">
      <c r="E7636" s="668"/>
      <c r="F7636" s="668"/>
      <c r="G7636" s="668"/>
      <c r="H7636" s="668"/>
      <c r="I7636" s="668"/>
      <c r="J7636" s="668"/>
      <c r="K7636" s="674"/>
      <c r="L7636" s="668"/>
      <c r="M7636" s="668"/>
    </row>
    <row r="7637" spans="5:13">
      <c r="E7637" s="668"/>
      <c r="F7637" s="668"/>
      <c r="G7637" s="668"/>
      <c r="H7637" s="668"/>
      <c r="I7637" s="668"/>
      <c r="J7637" s="668"/>
      <c r="K7637" s="674"/>
      <c r="L7637" s="668"/>
      <c r="M7637" s="668"/>
    </row>
    <row r="7638" spans="5:13">
      <c r="E7638" s="668"/>
      <c r="F7638" s="668"/>
      <c r="G7638" s="668"/>
      <c r="H7638" s="668"/>
      <c r="I7638" s="668"/>
      <c r="J7638" s="668"/>
      <c r="K7638" s="674"/>
      <c r="L7638" s="668"/>
      <c r="M7638" s="668"/>
    </row>
    <row r="7639" spans="5:13">
      <c r="E7639" s="668"/>
      <c r="F7639" s="668"/>
      <c r="G7639" s="668"/>
      <c r="H7639" s="668"/>
      <c r="I7639" s="668"/>
      <c r="J7639" s="668"/>
      <c r="K7639" s="674"/>
      <c r="L7639" s="668"/>
      <c r="M7639" s="668"/>
    </row>
    <row r="7640" spans="5:13">
      <c r="E7640" s="668"/>
      <c r="F7640" s="668"/>
      <c r="G7640" s="668"/>
      <c r="H7640" s="668"/>
      <c r="I7640" s="668"/>
      <c r="J7640" s="668"/>
      <c r="K7640" s="674"/>
      <c r="L7640" s="668"/>
      <c r="M7640" s="668"/>
    </row>
    <row r="7641" spans="5:13">
      <c r="E7641" s="668"/>
      <c r="F7641" s="668"/>
      <c r="G7641" s="668"/>
      <c r="H7641" s="668"/>
      <c r="I7641" s="668"/>
      <c r="J7641" s="668"/>
      <c r="K7641" s="674"/>
      <c r="L7641" s="668"/>
      <c r="M7641" s="668"/>
    </row>
    <row r="7642" spans="5:13">
      <c r="E7642" s="668"/>
      <c r="F7642" s="668"/>
      <c r="G7642" s="668"/>
      <c r="H7642" s="668"/>
      <c r="I7642" s="668"/>
      <c r="J7642" s="668"/>
      <c r="K7642" s="674"/>
      <c r="L7642" s="668"/>
      <c r="M7642" s="668"/>
    </row>
    <row r="7643" spans="5:13">
      <c r="E7643" s="668"/>
      <c r="F7643" s="668"/>
      <c r="G7643" s="668"/>
      <c r="H7643" s="668"/>
      <c r="I7643" s="668"/>
      <c r="J7643" s="668"/>
      <c r="K7643" s="674"/>
      <c r="L7643" s="668"/>
      <c r="M7643" s="668"/>
    </row>
    <row r="7644" spans="5:13">
      <c r="E7644" s="668"/>
      <c r="F7644" s="668"/>
      <c r="G7644" s="668"/>
      <c r="H7644" s="668"/>
      <c r="I7644" s="668"/>
      <c r="J7644" s="668"/>
      <c r="K7644" s="674"/>
      <c r="L7644" s="668"/>
      <c r="M7644" s="668"/>
    </row>
    <row r="7645" spans="5:13">
      <c r="E7645" s="668"/>
      <c r="F7645" s="668"/>
      <c r="G7645" s="668"/>
      <c r="H7645" s="668"/>
      <c r="I7645" s="668"/>
      <c r="J7645" s="668"/>
      <c r="K7645" s="674"/>
      <c r="L7645" s="668"/>
      <c r="M7645" s="668"/>
    </row>
    <row r="7646" spans="5:13">
      <c r="E7646" s="668"/>
      <c r="F7646" s="668"/>
      <c r="G7646" s="668"/>
      <c r="H7646" s="668"/>
      <c r="I7646" s="668"/>
      <c r="J7646" s="668"/>
      <c r="K7646" s="674"/>
      <c r="L7646" s="668"/>
      <c r="M7646" s="668"/>
    </row>
    <row r="7647" spans="5:13">
      <c r="E7647" s="668"/>
      <c r="F7647" s="668"/>
      <c r="G7647" s="668"/>
      <c r="H7647" s="668"/>
      <c r="I7647" s="668"/>
      <c r="J7647" s="668"/>
      <c r="K7647" s="674"/>
      <c r="L7647" s="668"/>
      <c r="M7647" s="668"/>
    </row>
    <row r="7648" spans="5:13">
      <c r="E7648" s="668"/>
      <c r="F7648" s="668"/>
      <c r="G7648" s="668"/>
      <c r="H7648" s="668"/>
      <c r="I7648" s="668"/>
      <c r="J7648" s="668"/>
      <c r="K7648" s="674"/>
      <c r="L7648" s="668"/>
      <c r="M7648" s="668"/>
    </row>
    <row r="7649" spans="5:13">
      <c r="E7649" s="668"/>
      <c r="F7649" s="668"/>
      <c r="G7649" s="668"/>
      <c r="H7649" s="668"/>
      <c r="I7649" s="668"/>
      <c r="J7649" s="668"/>
      <c r="K7649" s="674"/>
      <c r="L7649" s="668"/>
      <c r="M7649" s="668"/>
    </row>
    <row r="7650" spans="5:13">
      <c r="E7650" s="668"/>
      <c r="F7650" s="668"/>
      <c r="G7650" s="668"/>
      <c r="H7650" s="668"/>
      <c r="I7650" s="668"/>
      <c r="J7650" s="668"/>
      <c r="K7650" s="674"/>
      <c r="L7650" s="668"/>
      <c r="M7650" s="668"/>
    </row>
    <row r="7651" spans="5:13">
      <c r="E7651" s="668"/>
      <c r="F7651" s="668"/>
      <c r="G7651" s="668"/>
      <c r="H7651" s="668"/>
      <c r="I7651" s="668"/>
      <c r="J7651" s="668"/>
      <c r="K7651" s="674"/>
      <c r="L7651" s="668"/>
      <c r="M7651" s="668"/>
    </row>
    <row r="7652" spans="5:13">
      <c r="E7652" s="668"/>
      <c r="F7652" s="668"/>
      <c r="G7652" s="668"/>
      <c r="H7652" s="668"/>
      <c r="I7652" s="668"/>
      <c r="J7652" s="668"/>
      <c r="K7652" s="674"/>
      <c r="L7652" s="668"/>
      <c r="M7652" s="668"/>
    </row>
    <row r="7653" spans="5:13">
      <c r="E7653" s="668"/>
      <c r="F7653" s="668"/>
      <c r="G7653" s="668"/>
      <c r="H7653" s="668"/>
      <c r="I7653" s="668"/>
      <c r="J7653" s="668"/>
      <c r="K7653" s="674"/>
      <c r="L7653" s="668"/>
      <c r="M7653" s="668"/>
    </row>
    <row r="7654" spans="5:13">
      <c r="E7654" s="668"/>
      <c r="F7654" s="668"/>
      <c r="G7654" s="668"/>
      <c r="H7654" s="668"/>
      <c r="I7654" s="668"/>
      <c r="J7654" s="668"/>
      <c r="K7654" s="674"/>
      <c r="L7654" s="668"/>
      <c r="M7654" s="668"/>
    </row>
    <row r="7655" spans="5:13">
      <c r="E7655" s="668"/>
      <c r="F7655" s="668"/>
      <c r="G7655" s="668"/>
      <c r="H7655" s="668"/>
      <c r="I7655" s="668"/>
      <c r="J7655" s="668"/>
      <c r="K7655" s="674"/>
      <c r="L7655" s="668"/>
      <c r="M7655" s="668"/>
    </row>
    <row r="7656" spans="5:13">
      <c r="E7656" s="668"/>
      <c r="F7656" s="668"/>
      <c r="G7656" s="668"/>
      <c r="H7656" s="668"/>
      <c r="I7656" s="668"/>
      <c r="J7656" s="668"/>
      <c r="K7656" s="674"/>
      <c r="L7656" s="668"/>
      <c r="M7656" s="668"/>
    </row>
    <row r="7657" spans="5:13">
      <c r="E7657" s="668"/>
      <c r="F7657" s="668"/>
      <c r="G7657" s="668"/>
      <c r="H7657" s="668"/>
      <c r="I7657" s="668"/>
      <c r="J7657" s="668"/>
      <c r="K7657" s="674"/>
      <c r="L7657" s="668"/>
      <c r="M7657" s="668"/>
    </row>
    <row r="7658" spans="5:13">
      <c r="E7658" s="668"/>
      <c r="F7658" s="668"/>
      <c r="G7658" s="668"/>
      <c r="H7658" s="668"/>
      <c r="I7658" s="668"/>
      <c r="J7658" s="668"/>
      <c r="K7658" s="674"/>
      <c r="L7658" s="668"/>
      <c r="M7658" s="668"/>
    </row>
    <row r="7659" spans="5:13">
      <c r="E7659" s="668"/>
      <c r="F7659" s="668"/>
      <c r="G7659" s="668"/>
      <c r="H7659" s="668"/>
      <c r="I7659" s="668"/>
      <c r="J7659" s="668"/>
      <c r="K7659" s="674"/>
      <c r="L7659" s="668"/>
      <c r="M7659" s="668"/>
    </row>
    <row r="7660" spans="5:13">
      <c r="E7660" s="668"/>
      <c r="F7660" s="668"/>
      <c r="G7660" s="668"/>
      <c r="H7660" s="668"/>
      <c r="I7660" s="668"/>
      <c r="J7660" s="668"/>
      <c r="K7660" s="674"/>
      <c r="L7660" s="668"/>
      <c r="M7660" s="668"/>
    </row>
    <row r="7661" spans="5:13">
      <c r="E7661" s="668"/>
      <c r="F7661" s="668"/>
      <c r="G7661" s="668"/>
      <c r="H7661" s="668"/>
      <c r="I7661" s="668"/>
      <c r="J7661" s="668"/>
      <c r="K7661" s="674"/>
      <c r="L7661" s="668"/>
      <c r="M7661" s="668"/>
    </row>
    <row r="7662" spans="5:13">
      <c r="E7662" s="668"/>
      <c r="F7662" s="668"/>
      <c r="G7662" s="668"/>
      <c r="H7662" s="668"/>
      <c r="I7662" s="668"/>
      <c r="J7662" s="668"/>
      <c r="K7662" s="674"/>
      <c r="L7662" s="668"/>
      <c r="M7662" s="668"/>
    </row>
    <row r="7663" spans="5:13">
      <c r="E7663" s="668"/>
      <c r="F7663" s="668"/>
      <c r="G7663" s="668"/>
      <c r="H7663" s="668"/>
      <c r="I7663" s="668"/>
      <c r="J7663" s="668"/>
      <c r="K7663" s="674"/>
      <c r="L7663" s="668"/>
      <c r="M7663" s="668"/>
    </row>
    <row r="7664" spans="5:13">
      <c r="E7664" s="668"/>
      <c r="F7664" s="668"/>
      <c r="G7664" s="668"/>
      <c r="H7664" s="668"/>
      <c r="I7664" s="668"/>
      <c r="J7664" s="668"/>
      <c r="K7664" s="674"/>
      <c r="L7664" s="668"/>
      <c r="M7664" s="668"/>
    </row>
    <row r="7665" spans="5:13">
      <c r="E7665" s="668"/>
      <c r="F7665" s="668"/>
      <c r="G7665" s="668"/>
      <c r="H7665" s="668"/>
      <c r="I7665" s="668"/>
      <c r="J7665" s="668"/>
      <c r="K7665" s="674"/>
      <c r="L7665" s="668"/>
      <c r="M7665" s="668"/>
    </row>
    <row r="7666" spans="5:13">
      <c r="E7666" s="668"/>
      <c r="F7666" s="668"/>
      <c r="G7666" s="668"/>
      <c r="H7666" s="668"/>
      <c r="I7666" s="668"/>
      <c r="J7666" s="668"/>
      <c r="K7666" s="674"/>
      <c r="L7666" s="668"/>
      <c r="M7666" s="668"/>
    </row>
    <row r="7667" spans="5:13">
      <c r="E7667" s="668"/>
      <c r="F7667" s="668"/>
      <c r="G7667" s="668"/>
      <c r="H7667" s="668"/>
      <c r="I7667" s="668"/>
      <c r="J7667" s="668"/>
      <c r="K7667" s="674"/>
      <c r="L7667" s="668"/>
      <c r="M7667" s="668"/>
    </row>
    <row r="7668" spans="5:13">
      <c r="E7668" s="668"/>
      <c r="F7668" s="668"/>
      <c r="G7668" s="668"/>
      <c r="H7668" s="668"/>
      <c r="I7668" s="668"/>
      <c r="J7668" s="668"/>
      <c r="K7668" s="674"/>
      <c r="L7668" s="668"/>
      <c r="M7668" s="668"/>
    </row>
    <row r="7669" spans="5:13">
      <c r="E7669" s="668"/>
      <c r="F7669" s="668"/>
      <c r="G7669" s="668"/>
      <c r="H7669" s="668"/>
      <c r="I7669" s="668"/>
      <c r="J7669" s="668"/>
      <c r="K7669" s="674"/>
      <c r="L7669" s="668"/>
      <c r="M7669" s="668"/>
    </row>
    <row r="7670" spans="5:13">
      <c r="E7670" s="668"/>
      <c r="F7670" s="668"/>
      <c r="G7670" s="668"/>
      <c r="H7670" s="668"/>
      <c r="I7670" s="668"/>
      <c r="J7670" s="668"/>
      <c r="K7670" s="674"/>
      <c r="L7670" s="668"/>
      <c r="M7670" s="668"/>
    </row>
    <row r="7671" spans="5:13">
      <c r="E7671" s="668"/>
      <c r="F7671" s="668"/>
      <c r="G7671" s="668"/>
      <c r="H7671" s="668"/>
      <c r="I7671" s="668"/>
      <c r="J7671" s="668"/>
      <c r="K7671" s="674"/>
      <c r="L7671" s="668"/>
      <c r="M7671" s="668"/>
    </row>
    <row r="7672" spans="5:13">
      <c r="E7672" s="668"/>
      <c r="F7672" s="668"/>
      <c r="G7672" s="668"/>
      <c r="H7672" s="668"/>
      <c r="I7672" s="668"/>
      <c r="J7672" s="668"/>
      <c r="K7672" s="674"/>
      <c r="L7672" s="668"/>
      <c r="M7672" s="668"/>
    </row>
    <row r="7673" spans="5:13">
      <c r="E7673" s="668"/>
      <c r="F7673" s="668"/>
      <c r="G7673" s="668"/>
      <c r="H7673" s="668"/>
      <c r="I7673" s="668"/>
      <c r="J7673" s="668"/>
      <c r="K7673" s="674"/>
      <c r="L7673" s="668"/>
      <c r="M7673" s="668"/>
    </row>
    <row r="7674" spans="5:13">
      <c r="E7674" s="668"/>
      <c r="F7674" s="668"/>
      <c r="G7674" s="668"/>
      <c r="H7674" s="668"/>
      <c r="I7674" s="668"/>
      <c r="J7674" s="668"/>
      <c r="K7674" s="674"/>
      <c r="L7674" s="668"/>
      <c r="M7674" s="668"/>
    </row>
    <row r="7675" spans="5:13">
      <c r="E7675" s="668"/>
      <c r="F7675" s="668"/>
      <c r="G7675" s="668"/>
      <c r="H7675" s="668"/>
      <c r="I7675" s="668"/>
      <c r="J7675" s="668"/>
      <c r="K7675" s="674"/>
      <c r="L7675" s="668"/>
      <c r="M7675" s="668"/>
    </row>
    <row r="7676" spans="5:13">
      <c r="E7676" s="668"/>
      <c r="F7676" s="668"/>
      <c r="G7676" s="668"/>
      <c r="H7676" s="668"/>
      <c r="I7676" s="668"/>
      <c r="J7676" s="668"/>
      <c r="K7676" s="674"/>
      <c r="L7676" s="668"/>
      <c r="M7676" s="668"/>
    </row>
    <row r="7677" spans="5:13">
      <c r="E7677" s="668"/>
      <c r="F7677" s="668"/>
      <c r="G7677" s="668"/>
      <c r="H7677" s="668"/>
      <c r="I7677" s="668"/>
      <c r="J7677" s="668"/>
      <c r="K7677" s="674"/>
      <c r="L7677" s="668"/>
      <c r="M7677" s="668"/>
    </row>
    <row r="7678" spans="5:13">
      <c r="E7678" s="668"/>
      <c r="F7678" s="668"/>
      <c r="G7678" s="668"/>
      <c r="H7678" s="668"/>
      <c r="I7678" s="668"/>
      <c r="J7678" s="668"/>
      <c r="K7678" s="674"/>
      <c r="L7678" s="668"/>
      <c r="M7678" s="668"/>
    </row>
    <row r="7679" spans="5:13">
      <c r="E7679" s="668"/>
      <c r="F7679" s="668"/>
      <c r="G7679" s="668"/>
      <c r="H7679" s="668"/>
      <c r="I7679" s="668"/>
      <c r="J7679" s="668"/>
      <c r="K7679" s="674"/>
      <c r="L7679" s="668"/>
      <c r="M7679" s="668"/>
    </row>
    <row r="7680" spans="5:13">
      <c r="E7680" s="668"/>
      <c r="F7680" s="668"/>
      <c r="G7680" s="668"/>
      <c r="H7680" s="668"/>
      <c r="I7680" s="668"/>
      <c r="J7680" s="668"/>
      <c r="K7680" s="674"/>
      <c r="L7680" s="668"/>
      <c r="M7680" s="668"/>
    </row>
    <row r="7681" spans="5:13">
      <c r="E7681" s="668"/>
      <c r="F7681" s="668"/>
      <c r="G7681" s="668"/>
      <c r="H7681" s="668"/>
      <c r="I7681" s="668"/>
      <c r="J7681" s="668"/>
      <c r="K7681" s="674"/>
      <c r="L7681" s="668"/>
      <c r="M7681" s="668"/>
    </row>
    <row r="7682" spans="5:13">
      <c r="E7682" s="668"/>
      <c r="F7682" s="668"/>
      <c r="G7682" s="668"/>
      <c r="H7682" s="668"/>
      <c r="I7682" s="668"/>
      <c r="J7682" s="668"/>
      <c r="K7682" s="674"/>
      <c r="L7682" s="668"/>
      <c r="M7682" s="668"/>
    </row>
    <row r="7683" spans="5:13">
      <c r="E7683" s="668"/>
      <c r="F7683" s="668"/>
      <c r="G7683" s="668"/>
      <c r="H7683" s="668"/>
      <c r="I7683" s="668"/>
      <c r="J7683" s="668"/>
      <c r="K7683" s="674"/>
      <c r="L7683" s="668"/>
      <c r="M7683" s="668"/>
    </row>
    <row r="7684" spans="5:13">
      <c r="E7684" s="668"/>
      <c r="F7684" s="668"/>
      <c r="G7684" s="668"/>
      <c r="H7684" s="668"/>
      <c r="I7684" s="668"/>
      <c r="J7684" s="668"/>
      <c r="K7684" s="674"/>
      <c r="L7684" s="668"/>
      <c r="M7684" s="668"/>
    </row>
    <row r="7685" spans="5:13">
      <c r="E7685" s="668"/>
      <c r="F7685" s="668"/>
      <c r="G7685" s="668"/>
      <c r="H7685" s="668"/>
      <c r="I7685" s="668"/>
      <c r="J7685" s="668"/>
      <c r="K7685" s="674"/>
      <c r="L7685" s="668"/>
      <c r="M7685" s="668"/>
    </row>
    <row r="7686" spans="5:13">
      <c r="E7686" s="668"/>
      <c r="F7686" s="668"/>
      <c r="G7686" s="668"/>
      <c r="H7686" s="668"/>
      <c r="I7686" s="668"/>
      <c r="J7686" s="668"/>
      <c r="K7686" s="674"/>
      <c r="L7686" s="668"/>
      <c r="M7686" s="668"/>
    </row>
    <row r="7687" spans="5:13">
      <c r="E7687" s="668"/>
      <c r="F7687" s="668"/>
      <c r="G7687" s="668"/>
      <c r="H7687" s="668"/>
      <c r="I7687" s="668"/>
      <c r="J7687" s="668"/>
      <c r="K7687" s="674"/>
      <c r="L7687" s="668"/>
      <c r="M7687" s="668"/>
    </row>
    <row r="7688" spans="5:13">
      <c r="E7688" s="668"/>
      <c r="F7688" s="668"/>
      <c r="G7688" s="668"/>
      <c r="H7688" s="668"/>
      <c r="I7688" s="668"/>
      <c r="J7688" s="668"/>
      <c r="K7688" s="674"/>
      <c r="L7688" s="668"/>
      <c r="M7688" s="668"/>
    </row>
    <row r="7689" spans="5:13">
      <c r="E7689" s="668"/>
      <c r="F7689" s="668"/>
      <c r="G7689" s="668"/>
      <c r="H7689" s="668"/>
      <c r="I7689" s="668"/>
      <c r="J7689" s="668"/>
      <c r="K7689" s="674"/>
      <c r="L7689" s="668"/>
      <c r="M7689" s="668"/>
    </row>
    <row r="7690" spans="5:13">
      <c r="E7690" s="668"/>
      <c r="F7690" s="668"/>
      <c r="G7690" s="668"/>
      <c r="H7690" s="668"/>
      <c r="I7690" s="668"/>
      <c r="J7690" s="668"/>
      <c r="K7690" s="674"/>
      <c r="L7690" s="668"/>
      <c r="M7690" s="668"/>
    </row>
    <row r="7691" spans="5:13">
      <c r="E7691" s="668"/>
      <c r="F7691" s="668"/>
      <c r="G7691" s="668"/>
      <c r="H7691" s="668"/>
      <c r="I7691" s="668"/>
      <c r="J7691" s="668"/>
      <c r="K7691" s="674"/>
      <c r="L7691" s="668"/>
      <c r="M7691" s="668"/>
    </row>
    <row r="7692" spans="5:13">
      <c r="E7692" s="668"/>
      <c r="F7692" s="668"/>
      <c r="G7692" s="668"/>
      <c r="H7692" s="668"/>
      <c r="I7692" s="668"/>
      <c r="J7692" s="668"/>
      <c r="K7692" s="674"/>
      <c r="L7692" s="668"/>
      <c r="M7692" s="668"/>
    </row>
    <row r="7693" spans="5:13">
      <c r="E7693" s="668"/>
      <c r="F7693" s="668"/>
      <c r="G7693" s="668"/>
      <c r="H7693" s="668"/>
      <c r="I7693" s="668"/>
      <c r="J7693" s="668"/>
      <c r="K7693" s="674"/>
      <c r="L7693" s="668"/>
      <c r="M7693" s="668"/>
    </row>
    <row r="7694" spans="5:13">
      <c r="E7694" s="668"/>
      <c r="F7694" s="668"/>
      <c r="G7694" s="668"/>
      <c r="H7694" s="668"/>
      <c r="I7694" s="668"/>
      <c r="J7694" s="668"/>
      <c r="K7694" s="674"/>
      <c r="L7694" s="668"/>
      <c r="M7694" s="668"/>
    </row>
    <row r="7695" spans="5:13">
      <c r="E7695" s="668"/>
      <c r="F7695" s="668"/>
      <c r="G7695" s="668"/>
      <c r="H7695" s="668"/>
      <c r="I7695" s="668"/>
      <c r="J7695" s="668"/>
      <c r="K7695" s="674"/>
      <c r="L7695" s="668"/>
      <c r="M7695" s="668"/>
    </row>
    <row r="7696" spans="5:13">
      <c r="E7696" s="668"/>
      <c r="F7696" s="668"/>
      <c r="G7696" s="668"/>
      <c r="H7696" s="668"/>
      <c r="I7696" s="668"/>
      <c r="J7696" s="668"/>
      <c r="K7696" s="674"/>
      <c r="L7696" s="668"/>
      <c r="M7696" s="668"/>
    </row>
    <row r="7697" spans="5:13">
      <c r="E7697" s="668"/>
      <c r="F7697" s="668"/>
      <c r="G7697" s="668"/>
      <c r="H7697" s="668"/>
      <c r="I7697" s="668"/>
      <c r="J7697" s="668"/>
      <c r="K7697" s="674"/>
      <c r="L7697" s="668"/>
      <c r="M7697" s="668"/>
    </row>
    <row r="7698" spans="5:13">
      <c r="E7698" s="668"/>
      <c r="F7698" s="668"/>
      <c r="G7698" s="668"/>
      <c r="H7698" s="668"/>
      <c r="I7698" s="668"/>
      <c r="J7698" s="668"/>
      <c r="K7698" s="674"/>
      <c r="L7698" s="668"/>
      <c r="M7698" s="668"/>
    </row>
    <row r="7699" spans="5:13">
      <c r="E7699" s="668"/>
      <c r="F7699" s="668"/>
      <c r="G7699" s="668"/>
      <c r="H7699" s="668"/>
      <c r="I7699" s="668"/>
      <c r="J7699" s="668"/>
      <c r="K7699" s="674"/>
      <c r="L7699" s="668"/>
      <c r="M7699" s="668"/>
    </row>
    <row r="7700" spans="5:13">
      <c r="E7700" s="668"/>
      <c r="F7700" s="668"/>
      <c r="G7700" s="668"/>
      <c r="H7700" s="668"/>
      <c r="I7700" s="668"/>
      <c r="J7700" s="668"/>
      <c r="K7700" s="674"/>
      <c r="L7700" s="668"/>
      <c r="M7700" s="668"/>
    </row>
    <row r="7701" spans="5:13">
      <c r="E7701" s="668"/>
      <c r="F7701" s="668"/>
      <c r="G7701" s="668"/>
      <c r="H7701" s="668"/>
      <c r="I7701" s="668"/>
      <c r="J7701" s="668"/>
      <c r="K7701" s="674"/>
      <c r="L7701" s="668"/>
      <c r="M7701" s="668"/>
    </row>
    <row r="7702" spans="5:13">
      <c r="E7702" s="668"/>
      <c r="F7702" s="668"/>
      <c r="G7702" s="668"/>
      <c r="H7702" s="668"/>
      <c r="I7702" s="668"/>
      <c r="J7702" s="668"/>
      <c r="K7702" s="674"/>
      <c r="L7702" s="668"/>
      <c r="M7702" s="668"/>
    </row>
    <row r="7703" spans="5:13">
      <c r="E7703" s="668"/>
      <c r="F7703" s="668"/>
      <c r="G7703" s="668"/>
      <c r="H7703" s="668"/>
      <c r="I7703" s="668"/>
      <c r="J7703" s="668"/>
      <c r="K7703" s="674"/>
      <c r="L7703" s="668"/>
      <c r="M7703" s="668"/>
    </row>
    <row r="7704" spans="5:13">
      <c r="E7704" s="668"/>
      <c r="F7704" s="668"/>
      <c r="G7704" s="668"/>
      <c r="H7704" s="668"/>
      <c r="I7704" s="668"/>
      <c r="J7704" s="668"/>
      <c r="K7704" s="674"/>
      <c r="L7704" s="668"/>
      <c r="M7704" s="668"/>
    </row>
    <row r="7705" spans="5:13">
      <c r="E7705" s="668"/>
      <c r="F7705" s="668"/>
      <c r="G7705" s="668"/>
      <c r="H7705" s="668"/>
      <c r="I7705" s="668"/>
      <c r="J7705" s="668"/>
      <c r="K7705" s="674"/>
      <c r="L7705" s="668"/>
      <c r="M7705" s="668"/>
    </row>
    <row r="7706" spans="5:13">
      <c r="E7706" s="668"/>
      <c r="F7706" s="668"/>
      <c r="G7706" s="668"/>
      <c r="H7706" s="668"/>
      <c r="I7706" s="668"/>
      <c r="J7706" s="668"/>
      <c r="K7706" s="674"/>
      <c r="L7706" s="668"/>
      <c r="M7706" s="668"/>
    </row>
    <row r="7707" spans="5:13">
      <c r="E7707" s="668"/>
      <c r="F7707" s="668"/>
      <c r="G7707" s="668"/>
      <c r="H7707" s="668"/>
      <c r="I7707" s="668"/>
      <c r="J7707" s="668"/>
      <c r="K7707" s="674"/>
      <c r="L7707" s="668"/>
      <c r="M7707" s="668"/>
    </row>
    <row r="7708" spans="5:13">
      <c r="E7708" s="668"/>
      <c r="F7708" s="668"/>
      <c r="G7708" s="668"/>
      <c r="H7708" s="668"/>
      <c r="I7708" s="668"/>
      <c r="J7708" s="668"/>
      <c r="K7708" s="674"/>
      <c r="L7708" s="668"/>
      <c r="M7708" s="668"/>
    </row>
    <row r="7709" spans="5:13">
      <c r="E7709" s="668"/>
      <c r="F7709" s="668"/>
      <c r="G7709" s="668"/>
      <c r="H7709" s="668"/>
      <c r="I7709" s="668"/>
      <c r="J7709" s="668"/>
      <c r="K7709" s="674"/>
      <c r="L7709" s="668"/>
      <c r="M7709" s="668"/>
    </row>
    <row r="7710" spans="5:13">
      <c r="E7710" s="668"/>
      <c r="F7710" s="668"/>
      <c r="G7710" s="668"/>
      <c r="H7710" s="668"/>
      <c r="I7710" s="668"/>
      <c r="J7710" s="668"/>
      <c r="K7710" s="674"/>
      <c r="L7710" s="668"/>
      <c r="M7710" s="668"/>
    </row>
    <row r="7711" spans="5:13">
      <c r="E7711" s="668"/>
      <c r="F7711" s="668"/>
      <c r="G7711" s="668"/>
      <c r="H7711" s="668"/>
      <c r="I7711" s="668"/>
      <c r="J7711" s="668"/>
      <c r="K7711" s="674"/>
      <c r="L7711" s="668"/>
      <c r="M7711" s="668"/>
    </row>
    <row r="7712" spans="5:13">
      <c r="E7712" s="668"/>
      <c r="F7712" s="668"/>
      <c r="G7712" s="668"/>
      <c r="H7712" s="668"/>
      <c r="I7712" s="668"/>
      <c r="J7712" s="668"/>
      <c r="K7712" s="674"/>
      <c r="L7712" s="668"/>
      <c r="M7712" s="668"/>
    </row>
    <row r="7713" spans="5:13">
      <c r="E7713" s="668"/>
      <c r="F7713" s="668"/>
      <c r="G7713" s="668"/>
      <c r="H7713" s="668"/>
      <c r="I7713" s="668"/>
      <c r="J7713" s="668"/>
      <c r="K7713" s="674"/>
      <c r="L7713" s="668"/>
      <c r="M7713" s="668"/>
    </row>
    <row r="7714" spans="5:13">
      <c r="E7714" s="668"/>
      <c r="F7714" s="668"/>
      <c r="G7714" s="668"/>
      <c r="H7714" s="668"/>
      <c r="I7714" s="668"/>
      <c r="J7714" s="668"/>
      <c r="K7714" s="674"/>
      <c r="L7714" s="668"/>
      <c r="M7714" s="668"/>
    </row>
    <row r="7715" spans="5:13">
      <c r="E7715" s="668"/>
      <c r="F7715" s="668"/>
      <c r="G7715" s="668"/>
      <c r="H7715" s="668"/>
      <c r="I7715" s="668"/>
      <c r="J7715" s="668"/>
      <c r="K7715" s="674"/>
      <c r="L7715" s="668"/>
      <c r="M7715" s="668"/>
    </row>
    <row r="7716" spans="5:13">
      <c r="E7716" s="668"/>
      <c r="F7716" s="668"/>
      <c r="G7716" s="668"/>
      <c r="H7716" s="668"/>
      <c r="I7716" s="668"/>
      <c r="J7716" s="668"/>
      <c r="K7716" s="674"/>
      <c r="L7716" s="668"/>
      <c r="M7716" s="668"/>
    </row>
    <row r="7717" spans="5:13">
      <c r="E7717" s="668"/>
      <c r="F7717" s="668"/>
      <c r="G7717" s="668"/>
      <c r="H7717" s="668"/>
      <c r="I7717" s="668"/>
      <c r="J7717" s="668"/>
      <c r="K7717" s="674"/>
      <c r="L7717" s="668"/>
      <c r="M7717" s="668"/>
    </row>
    <row r="7718" spans="5:13">
      <c r="E7718" s="668"/>
      <c r="F7718" s="668"/>
      <c r="G7718" s="668"/>
      <c r="H7718" s="668"/>
      <c r="I7718" s="668"/>
      <c r="J7718" s="668"/>
      <c r="K7718" s="674"/>
      <c r="L7718" s="668"/>
      <c r="M7718" s="668"/>
    </row>
    <row r="7719" spans="5:13">
      <c r="E7719" s="668"/>
      <c r="F7719" s="668"/>
      <c r="G7719" s="668"/>
      <c r="H7719" s="668"/>
      <c r="I7719" s="668"/>
      <c r="J7719" s="668"/>
      <c r="K7719" s="674"/>
      <c r="L7719" s="668"/>
      <c r="M7719" s="668"/>
    </row>
    <row r="7720" spans="5:13">
      <c r="E7720" s="668"/>
      <c r="F7720" s="668"/>
      <c r="G7720" s="668"/>
      <c r="H7720" s="668"/>
      <c r="I7720" s="668"/>
      <c r="J7720" s="668"/>
      <c r="K7720" s="674"/>
      <c r="L7720" s="668"/>
      <c r="M7720" s="668"/>
    </row>
    <row r="7721" spans="5:13">
      <c r="E7721" s="668"/>
      <c r="F7721" s="668"/>
      <c r="G7721" s="668"/>
      <c r="H7721" s="668"/>
      <c r="I7721" s="668"/>
      <c r="J7721" s="668"/>
      <c r="K7721" s="674"/>
      <c r="L7721" s="668"/>
      <c r="M7721" s="668"/>
    </row>
    <row r="7722" spans="5:13">
      <c r="E7722" s="668"/>
      <c r="F7722" s="668"/>
      <c r="G7722" s="668"/>
      <c r="H7722" s="668"/>
      <c r="I7722" s="668"/>
      <c r="J7722" s="668"/>
      <c r="K7722" s="674"/>
      <c r="L7722" s="668"/>
      <c r="M7722" s="668"/>
    </row>
    <row r="7723" spans="5:13">
      <c r="E7723" s="668"/>
      <c r="F7723" s="668"/>
      <c r="G7723" s="668"/>
      <c r="H7723" s="668"/>
      <c r="I7723" s="668"/>
      <c r="J7723" s="668"/>
      <c r="K7723" s="674"/>
      <c r="L7723" s="668"/>
      <c r="M7723" s="668"/>
    </row>
    <row r="7724" spans="5:13">
      <c r="E7724" s="668"/>
      <c r="F7724" s="668"/>
      <c r="G7724" s="668"/>
      <c r="H7724" s="668"/>
      <c r="I7724" s="668"/>
      <c r="J7724" s="668"/>
      <c r="K7724" s="674"/>
      <c r="L7724" s="668"/>
      <c r="M7724" s="668"/>
    </row>
    <row r="7725" spans="5:13">
      <c r="E7725" s="668"/>
      <c r="F7725" s="668"/>
      <c r="G7725" s="668"/>
      <c r="H7725" s="668"/>
      <c r="I7725" s="668"/>
      <c r="J7725" s="668"/>
      <c r="K7725" s="674"/>
      <c r="L7725" s="668"/>
      <c r="M7725" s="668"/>
    </row>
    <row r="7726" spans="5:13">
      <c r="E7726" s="668"/>
      <c r="F7726" s="668"/>
      <c r="G7726" s="668"/>
      <c r="H7726" s="668"/>
      <c r="I7726" s="668"/>
      <c r="J7726" s="668"/>
      <c r="K7726" s="674"/>
      <c r="L7726" s="668"/>
      <c r="M7726" s="668"/>
    </row>
    <row r="7727" spans="5:13">
      <c r="E7727" s="668"/>
      <c r="F7727" s="668"/>
      <c r="G7727" s="668"/>
      <c r="H7727" s="668"/>
      <c r="I7727" s="668"/>
      <c r="J7727" s="668"/>
      <c r="K7727" s="674"/>
      <c r="L7727" s="668"/>
      <c r="M7727" s="668"/>
    </row>
    <row r="7728" spans="5:13">
      <c r="E7728" s="668"/>
      <c r="F7728" s="668"/>
      <c r="G7728" s="668"/>
      <c r="H7728" s="668"/>
      <c r="I7728" s="668"/>
      <c r="J7728" s="668"/>
      <c r="K7728" s="674"/>
      <c r="L7728" s="668"/>
      <c r="M7728" s="668"/>
    </row>
    <row r="7729" spans="5:13">
      <c r="E7729" s="668"/>
      <c r="F7729" s="668"/>
      <c r="G7729" s="668"/>
      <c r="H7729" s="668"/>
      <c r="I7729" s="668"/>
      <c r="J7729" s="668"/>
      <c r="K7729" s="674"/>
      <c r="L7729" s="668"/>
      <c r="M7729" s="668"/>
    </row>
    <row r="7730" spans="5:13">
      <c r="E7730" s="668"/>
      <c r="F7730" s="668"/>
      <c r="G7730" s="668"/>
      <c r="H7730" s="668"/>
      <c r="I7730" s="668"/>
      <c r="J7730" s="668"/>
      <c r="K7730" s="674"/>
      <c r="L7730" s="668"/>
      <c r="M7730" s="668"/>
    </row>
    <row r="7731" spans="5:13">
      <c r="E7731" s="668"/>
      <c r="F7731" s="668"/>
      <c r="G7731" s="668"/>
      <c r="H7731" s="668"/>
      <c r="I7731" s="668"/>
      <c r="J7731" s="668"/>
      <c r="K7731" s="674"/>
      <c r="L7731" s="668"/>
      <c r="M7731" s="668"/>
    </row>
    <row r="7732" spans="5:13">
      <c r="E7732" s="668"/>
      <c r="F7732" s="668"/>
      <c r="G7732" s="668"/>
      <c r="H7732" s="668"/>
      <c r="I7732" s="668"/>
      <c r="J7732" s="668"/>
      <c r="K7732" s="674"/>
      <c r="L7732" s="668"/>
      <c r="M7732" s="668"/>
    </row>
    <row r="7733" spans="5:13">
      <c r="E7733" s="668"/>
      <c r="F7733" s="668"/>
      <c r="G7733" s="668"/>
      <c r="H7733" s="668"/>
      <c r="I7733" s="668"/>
      <c r="J7733" s="668"/>
      <c r="K7733" s="674"/>
      <c r="L7733" s="668"/>
      <c r="M7733" s="668"/>
    </row>
    <row r="7734" spans="5:13">
      <c r="E7734" s="668"/>
      <c r="F7734" s="668"/>
      <c r="G7734" s="668"/>
      <c r="H7734" s="668"/>
      <c r="I7734" s="668"/>
      <c r="J7734" s="668"/>
      <c r="K7734" s="674"/>
      <c r="L7734" s="668"/>
      <c r="M7734" s="668"/>
    </row>
    <row r="7735" spans="5:13">
      <c r="E7735" s="668"/>
      <c r="F7735" s="668"/>
      <c r="G7735" s="668"/>
      <c r="H7735" s="668"/>
      <c r="I7735" s="668"/>
      <c r="J7735" s="668"/>
      <c r="K7735" s="674"/>
      <c r="L7735" s="668"/>
      <c r="M7735" s="668"/>
    </row>
    <row r="7736" spans="5:13">
      <c r="E7736" s="668"/>
      <c r="F7736" s="668"/>
      <c r="G7736" s="668"/>
      <c r="H7736" s="668"/>
      <c r="I7736" s="668"/>
      <c r="J7736" s="668"/>
      <c r="K7736" s="674"/>
      <c r="L7736" s="668"/>
      <c r="M7736" s="668"/>
    </row>
    <row r="7737" spans="5:13">
      <c r="E7737" s="668"/>
      <c r="F7737" s="668"/>
      <c r="G7737" s="668"/>
      <c r="H7737" s="668"/>
      <c r="I7737" s="668"/>
      <c r="J7737" s="668"/>
      <c r="K7737" s="674"/>
      <c r="L7737" s="668"/>
      <c r="M7737" s="668"/>
    </row>
    <row r="7738" spans="5:13">
      <c r="E7738" s="668"/>
      <c r="F7738" s="668"/>
      <c r="G7738" s="668"/>
      <c r="H7738" s="668"/>
      <c r="I7738" s="668"/>
      <c r="J7738" s="668"/>
      <c r="K7738" s="674"/>
      <c r="L7738" s="668"/>
      <c r="M7738" s="668"/>
    </row>
    <row r="7739" spans="5:13">
      <c r="E7739" s="668"/>
      <c r="F7739" s="668"/>
      <c r="G7739" s="668"/>
      <c r="H7739" s="668"/>
      <c r="I7739" s="668"/>
      <c r="J7739" s="668"/>
      <c r="K7739" s="674"/>
      <c r="L7739" s="668"/>
      <c r="M7739" s="668"/>
    </row>
    <row r="7740" spans="5:13">
      <c r="E7740" s="668"/>
      <c r="F7740" s="668"/>
      <c r="G7740" s="668"/>
      <c r="H7740" s="668"/>
      <c r="I7740" s="668"/>
      <c r="J7740" s="668"/>
      <c r="K7740" s="674"/>
      <c r="L7740" s="668"/>
      <c r="M7740" s="668"/>
    </row>
    <row r="7741" spans="5:13">
      <c r="E7741" s="668"/>
      <c r="F7741" s="668"/>
      <c r="G7741" s="668"/>
      <c r="H7741" s="668"/>
      <c r="I7741" s="668"/>
      <c r="J7741" s="668"/>
      <c r="K7741" s="674"/>
      <c r="L7741" s="668"/>
      <c r="M7741" s="668"/>
    </row>
    <row r="7742" spans="5:13">
      <c r="E7742" s="668"/>
      <c r="F7742" s="668"/>
      <c r="G7742" s="668"/>
      <c r="H7742" s="668"/>
      <c r="I7742" s="668"/>
      <c r="J7742" s="668"/>
      <c r="K7742" s="674"/>
      <c r="L7742" s="668"/>
      <c r="M7742" s="668"/>
    </row>
    <row r="7743" spans="5:13">
      <c r="E7743" s="668"/>
      <c r="F7743" s="668"/>
      <c r="G7743" s="668"/>
      <c r="H7743" s="668"/>
      <c r="I7743" s="668"/>
      <c r="J7743" s="668"/>
      <c r="K7743" s="674"/>
      <c r="L7743" s="668"/>
      <c r="M7743" s="668"/>
    </row>
    <row r="7744" spans="5:13">
      <c r="E7744" s="668"/>
      <c r="F7744" s="668"/>
      <c r="G7744" s="668"/>
      <c r="H7744" s="668"/>
      <c r="I7744" s="668"/>
      <c r="J7744" s="668"/>
      <c r="K7744" s="674"/>
      <c r="L7744" s="668"/>
      <c r="M7744" s="668"/>
    </row>
    <row r="7745" spans="5:13">
      <c r="E7745" s="668"/>
      <c r="F7745" s="668"/>
      <c r="G7745" s="668"/>
      <c r="H7745" s="668"/>
      <c r="I7745" s="668"/>
      <c r="J7745" s="668"/>
      <c r="K7745" s="674"/>
      <c r="L7745" s="668"/>
      <c r="M7745" s="668"/>
    </row>
    <row r="7746" spans="5:13">
      <c r="E7746" s="668"/>
      <c r="F7746" s="668"/>
      <c r="G7746" s="668"/>
      <c r="H7746" s="668"/>
      <c r="I7746" s="668"/>
      <c r="J7746" s="668"/>
      <c r="K7746" s="674"/>
      <c r="L7746" s="668"/>
      <c r="M7746" s="668"/>
    </row>
    <row r="7747" spans="5:13">
      <c r="E7747" s="668"/>
      <c r="F7747" s="668"/>
      <c r="G7747" s="668"/>
      <c r="H7747" s="668"/>
      <c r="I7747" s="668"/>
      <c r="J7747" s="668"/>
      <c r="K7747" s="674"/>
      <c r="L7747" s="668"/>
      <c r="M7747" s="668"/>
    </row>
    <row r="7748" spans="5:13">
      <c r="E7748" s="668"/>
      <c r="F7748" s="668"/>
      <c r="G7748" s="668"/>
      <c r="H7748" s="668"/>
      <c r="I7748" s="668"/>
      <c r="J7748" s="668"/>
      <c r="K7748" s="674"/>
      <c r="L7748" s="668"/>
      <c r="M7748" s="668"/>
    </row>
    <row r="7749" spans="5:13">
      <c r="E7749" s="668"/>
      <c r="F7749" s="668"/>
      <c r="G7749" s="668"/>
      <c r="H7749" s="668"/>
      <c r="I7749" s="668"/>
      <c r="J7749" s="668"/>
      <c r="K7749" s="674"/>
      <c r="L7749" s="668"/>
      <c r="M7749" s="668"/>
    </row>
    <row r="7750" spans="5:13">
      <c r="E7750" s="668"/>
      <c r="F7750" s="668"/>
      <c r="G7750" s="668"/>
      <c r="H7750" s="668"/>
      <c r="I7750" s="668"/>
      <c r="J7750" s="668"/>
      <c r="K7750" s="674"/>
      <c r="L7750" s="668"/>
      <c r="M7750" s="668"/>
    </row>
    <row r="7751" spans="5:13">
      <c r="E7751" s="668"/>
      <c r="F7751" s="668"/>
      <c r="G7751" s="668"/>
      <c r="H7751" s="668"/>
      <c r="I7751" s="668"/>
      <c r="J7751" s="668"/>
      <c r="K7751" s="674"/>
      <c r="L7751" s="668"/>
      <c r="M7751" s="668"/>
    </row>
    <row r="7752" spans="5:13">
      <c r="E7752" s="668"/>
      <c r="F7752" s="668"/>
      <c r="G7752" s="668"/>
      <c r="H7752" s="668"/>
      <c r="I7752" s="668"/>
      <c r="J7752" s="668"/>
      <c r="K7752" s="674"/>
      <c r="L7752" s="668"/>
      <c r="M7752" s="668"/>
    </row>
    <row r="7753" spans="5:13">
      <c r="E7753" s="668"/>
      <c r="F7753" s="668"/>
      <c r="G7753" s="668"/>
      <c r="H7753" s="668"/>
      <c r="I7753" s="668"/>
      <c r="J7753" s="668"/>
      <c r="K7753" s="674"/>
      <c r="L7753" s="668"/>
      <c r="M7753" s="668"/>
    </row>
    <row r="7754" spans="5:13">
      <c r="E7754" s="668"/>
      <c r="F7754" s="668"/>
      <c r="G7754" s="668"/>
      <c r="H7754" s="668"/>
      <c r="I7754" s="668"/>
      <c r="J7754" s="668"/>
      <c r="K7754" s="674"/>
      <c r="L7754" s="668"/>
      <c r="M7754" s="668"/>
    </row>
    <row r="7755" spans="5:13">
      <c r="E7755" s="668"/>
      <c r="F7755" s="668"/>
      <c r="G7755" s="668"/>
      <c r="H7755" s="668"/>
      <c r="I7755" s="668"/>
      <c r="J7755" s="668"/>
      <c r="K7755" s="674"/>
      <c r="L7755" s="668"/>
      <c r="M7755" s="668"/>
    </row>
    <row r="7756" spans="5:13">
      <c r="E7756" s="668"/>
      <c r="F7756" s="668"/>
      <c r="G7756" s="668"/>
      <c r="H7756" s="668"/>
      <c r="I7756" s="668"/>
      <c r="J7756" s="668"/>
      <c r="K7756" s="674"/>
      <c r="L7756" s="668"/>
      <c r="M7756" s="668"/>
    </row>
    <row r="7757" spans="5:13">
      <c r="E7757" s="668"/>
      <c r="F7757" s="668"/>
      <c r="G7757" s="668"/>
      <c r="H7757" s="668"/>
      <c r="I7757" s="668"/>
      <c r="J7757" s="668"/>
      <c r="K7757" s="674"/>
      <c r="L7757" s="668"/>
      <c r="M7757" s="668"/>
    </row>
    <row r="7758" spans="5:13">
      <c r="E7758" s="668"/>
      <c r="F7758" s="668"/>
      <c r="G7758" s="668"/>
      <c r="H7758" s="668"/>
      <c r="I7758" s="668"/>
      <c r="J7758" s="668"/>
      <c r="K7758" s="674"/>
      <c r="L7758" s="668"/>
      <c r="M7758" s="668"/>
    </row>
    <row r="7759" spans="5:13">
      <c r="E7759" s="668"/>
      <c r="F7759" s="668"/>
      <c r="G7759" s="668"/>
      <c r="H7759" s="668"/>
      <c r="I7759" s="668"/>
      <c r="J7759" s="668"/>
      <c r="K7759" s="674"/>
      <c r="L7759" s="668"/>
      <c r="M7759" s="668"/>
    </row>
    <row r="7760" spans="5:13">
      <c r="E7760" s="668"/>
      <c r="F7760" s="668"/>
      <c r="G7760" s="668"/>
      <c r="H7760" s="668"/>
      <c r="I7760" s="668"/>
      <c r="J7760" s="668"/>
      <c r="K7760" s="674"/>
      <c r="L7760" s="668"/>
      <c r="M7760" s="668"/>
    </row>
    <row r="7761" spans="5:13">
      <c r="E7761" s="668"/>
      <c r="F7761" s="668"/>
      <c r="G7761" s="668"/>
      <c r="H7761" s="668"/>
      <c r="I7761" s="668"/>
      <c r="J7761" s="668"/>
      <c r="K7761" s="674"/>
      <c r="L7761" s="668"/>
      <c r="M7761" s="668"/>
    </row>
    <row r="7762" spans="5:13">
      <c r="E7762" s="668"/>
      <c r="F7762" s="668"/>
      <c r="G7762" s="668"/>
      <c r="H7762" s="668"/>
      <c r="I7762" s="668"/>
      <c r="J7762" s="668"/>
      <c r="K7762" s="674"/>
      <c r="L7762" s="668"/>
      <c r="M7762" s="668"/>
    </row>
    <row r="7763" spans="5:13">
      <c r="E7763" s="668"/>
      <c r="F7763" s="668"/>
      <c r="G7763" s="668"/>
      <c r="H7763" s="668"/>
      <c r="I7763" s="668"/>
      <c r="J7763" s="668"/>
      <c r="K7763" s="674"/>
      <c r="L7763" s="668"/>
      <c r="M7763" s="668"/>
    </row>
    <row r="7764" spans="5:13">
      <c r="E7764" s="668"/>
      <c r="F7764" s="668"/>
      <c r="G7764" s="668"/>
      <c r="H7764" s="668"/>
      <c r="I7764" s="668"/>
      <c r="J7764" s="668"/>
      <c r="K7764" s="674"/>
      <c r="L7764" s="668"/>
      <c r="M7764" s="668"/>
    </row>
    <row r="7765" spans="5:13">
      <c r="E7765" s="668"/>
      <c r="F7765" s="668"/>
      <c r="G7765" s="668"/>
      <c r="H7765" s="668"/>
      <c r="I7765" s="668"/>
      <c r="J7765" s="668"/>
      <c r="K7765" s="674"/>
      <c r="L7765" s="668"/>
      <c r="M7765" s="668"/>
    </row>
    <row r="7766" spans="5:13">
      <c r="E7766" s="668"/>
      <c r="F7766" s="668"/>
      <c r="G7766" s="668"/>
      <c r="H7766" s="668"/>
      <c r="I7766" s="668"/>
      <c r="J7766" s="668"/>
      <c r="K7766" s="674"/>
      <c r="L7766" s="668"/>
      <c r="M7766" s="668"/>
    </row>
    <row r="7767" spans="5:13">
      <c r="E7767" s="668"/>
      <c r="F7767" s="668"/>
      <c r="G7767" s="668"/>
      <c r="H7767" s="668"/>
      <c r="I7767" s="668"/>
      <c r="J7767" s="668"/>
      <c r="K7767" s="674"/>
      <c r="L7767" s="668"/>
      <c r="M7767" s="668"/>
    </row>
    <row r="7768" spans="5:13">
      <c r="E7768" s="668"/>
      <c r="F7768" s="668"/>
      <c r="G7768" s="668"/>
      <c r="H7768" s="668"/>
      <c r="I7768" s="668"/>
      <c r="J7768" s="668"/>
      <c r="K7768" s="674"/>
      <c r="L7768" s="668"/>
      <c r="M7768" s="668"/>
    </row>
    <row r="7769" spans="5:13">
      <c r="E7769" s="668"/>
      <c r="F7769" s="668"/>
      <c r="G7769" s="668"/>
      <c r="H7769" s="668"/>
      <c r="I7769" s="668"/>
      <c r="J7769" s="668"/>
      <c r="K7769" s="674"/>
      <c r="L7769" s="668"/>
      <c r="M7769" s="668"/>
    </row>
    <row r="7770" spans="5:13">
      <c r="E7770" s="668"/>
      <c r="F7770" s="668"/>
      <c r="G7770" s="668"/>
      <c r="H7770" s="668"/>
      <c r="I7770" s="668"/>
      <c r="J7770" s="668"/>
      <c r="K7770" s="674"/>
      <c r="L7770" s="668"/>
      <c r="M7770" s="668"/>
    </row>
    <row r="7771" spans="5:13">
      <c r="E7771" s="668"/>
      <c r="F7771" s="668"/>
      <c r="G7771" s="668"/>
      <c r="H7771" s="668"/>
      <c r="I7771" s="668"/>
      <c r="J7771" s="668"/>
      <c r="K7771" s="674"/>
      <c r="L7771" s="668"/>
      <c r="M7771" s="668"/>
    </row>
    <row r="7772" spans="5:13">
      <c r="E7772" s="668"/>
      <c r="F7772" s="668"/>
      <c r="G7772" s="668"/>
      <c r="H7772" s="668"/>
      <c r="I7772" s="668"/>
      <c r="J7772" s="668"/>
      <c r="K7772" s="674"/>
      <c r="L7772" s="668"/>
      <c r="M7772" s="668"/>
    </row>
    <row r="7773" spans="5:13">
      <c r="E7773" s="668"/>
      <c r="F7773" s="668"/>
      <c r="G7773" s="668"/>
      <c r="H7773" s="668"/>
      <c r="I7773" s="668"/>
      <c r="J7773" s="668"/>
      <c r="K7773" s="674"/>
      <c r="L7773" s="668"/>
      <c r="M7773" s="668"/>
    </row>
    <row r="7774" spans="5:13">
      <c r="E7774" s="668"/>
      <c r="F7774" s="668"/>
      <c r="G7774" s="668"/>
      <c r="H7774" s="668"/>
      <c r="I7774" s="668"/>
      <c r="J7774" s="668"/>
      <c r="K7774" s="674"/>
      <c r="L7774" s="668"/>
      <c r="M7774" s="668"/>
    </row>
    <row r="7775" spans="5:13">
      <c r="E7775" s="668"/>
      <c r="F7775" s="668"/>
      <c r="G7775" s="668"/>
      <c r="H7775" s="668"/>
      <c r="I7775" s="668"/>
      <c r="J7775" s="668"/>
      <c r="K7775" s="674"/>
      <c r="L7775" s="668"/>
      <c r="M7775" s="668"/>
    </row>
    <row r="7776" spans="5:13">
      <c r="E7776" s="668"/>
      <c r="F7776" s="668"/>
      <c r="G7776" s="668"/>
      <c r="H7776" s="668"/>
      <c r="I7776" s="668"/>
      <c r="J7776" s="668"/>
      <c r="K7776" s="674"/>
      <c r="L7776" s="668"/>
      <c r="M7776" s="668"/>
    </row>
    <row r="7777" spans="5:13">
      <c r="E7777" s="668"/>
      <c r="F7777" s="668"/>
      <c r="G7777" s="668"/>
      <c r="H7777" s="668"/>
      <c r="I7777" s="668"/>
      <c r="J7777" s="668"/>
      <c r="K7777" s="674"/>
      <c r="L7777" s="668"/>
      <c r="M7777" s="668"/>
    </row>
    <row r="7778" spans="5:13">
      <c r="E7778" s="668"/>
      <c r="F7778" s="668"/>
      <c r="G7778" s="668"/>
      <c r="H7778" s="668"/>
      <c r="I7778" s="668"/>
      <c r="J7778" s="668"/>
      <c r="K7778" s="674"/>
      <c r="L7778" s="668"/>
      <c r="M7778" s="668"/>
    </row>
    <row r="7779" spans="5:13">
      <c r="E7779" s="668"/>
      <c r="F7779" s="668"/>
      <c r="G7779" s="668"/>
      <c r="H7779" s="668"/>
      <c r="I7779" s="668"/>
      <c r="J7779" s="668"/>
      <c r="K7779" s="674"/>
      <c r="L7779" s="668"/>
      <c r="M7779" s="668"/>
    </row>
    <row r="7780" spans="5:13">
      <c r="E7780" s="668"/>
      <c r="F7780" s="668"/>
      <c r="G7780" s="668"/>
      <c r="H7780" s="668"/>
      <c r="I7780" s="668"/>
      <c r="J7780" s="668"/>
      <c r="K7780" s="674"/>
      <c r="L7780" s="668"/>
      <c r="M7780" s="668"/>
    </row>
    <row r="7781" spans="5:13">
      <c r="E7781" s="668"/>
      <c r="F7781" s="668"/>
      <c r="G7781" s="668"/>
      <c r="H7781" s="668"/>
      <c r="I7781" s="668"/>
      <c r="J7781" s="668"/>
      <c r="K7781" s="674"/>
      <c r="L7781" s="668"/>
      <c r="M7781" s="668"/>
    </row>
    <row r="7782" spans="5:13">
      <c r="E7782" s="668"/>
      <c r="F7782" s="668"/>
      <c r="G7782" s="668"/>
      <c r="H7782" s="668"/>
      <c r="I7782" s="668"/>
      <c r="J7782" s="668"/>
      <c r="K7782" s="674"/>
      <c r="L7782" s="668"/>
      <c r="M7782" s="668"/>
    </row>
    <row r="7783" spans="5:13">
      <c r="E7783" s="668"/>
      <c r="F7783" s="668"/>
      <c r="G7783" s="668"/>
      <c r="H7783" s="668"/>
      <c r="I7783" s="668"/>
      <c r="J7783" s="668"/>
      <c r="K7783" s="674"/>
      <c r="L7783" s="668"/>
      <c r="M7783" s="668"/>
    </row>
    <row r="7784" spans="5:13">
      <c r="E7784" s="668"/>
      <c r="F7784" s="668"/>
      <c r="G7784" s="668"/>
      <c r="H7784" s="668"/>
      <c r="I7784" s="668"/>
      <c r="J7784" s="668"/>
      <c r="K7784" s="674"/>
      <c r="L7784" s="668"/>
      <c r="M7784" s="668"/>
    </row>
    <row r="7785" spans="5:13">
      <c r="E7785" s="668"/>
      <c r="F7785" s="668"/>
      <c r="G7785" s="668"/>
      <c r="H7785" s="668"/>
      <c r="I7785" s="668"/>
      <c r="J7785" s="668"/>
      <c r="K7785" s="674"/>
      <c r="L7785" s="668"/>
      <c r="M7785" s="668"/>
    </row>
    <row r="7786" spans="5:13">
      <c r="E7786" s="668"/>
      <c r="F7786" s="668"/>
      <c r="G7786" s="668"/>
      <c r="H7786" s="668"/>
      <c r="I7786" s="668"/>
      <c r="J7786" s="668"/>
      <c r="K7786" s="674"/>
      <c r="L7786" s="668"/>
      <c r="M7786" s="668"/>
    </row>
    <row r="7787" spans="5:13">
      <c r="E7787" s="668"/>
      <c r="F7787" s="668"/>
      <c r="G7787" s="668"/>
      <c r="H7787" s="668"/>
      <c r="I7787" s="668"/>
      <c r="J7787" s="668"/>
      <c r="K7787" s="674"/>
      <c r="L7787" s="668"/>
      <c r="M7787" s="668"/>
    </row>
    <row r="7788" spans="5:13">
      <c r="E7788" s="668"/>
      <c r="F7788" s="668"/>
      <c r="G7788" s="668"/>
      <c r="H7788" s="668"/>
      <c r="I7788" s="668"/>
      <c r="J7788" s="668"/>
      <c r="K7788" s="674"/>
      <c r="L7788" s="668"/>
      <c r="M7788" s="668"/>
    </row>
    <row r="7789" spans="5:13">
      <c r="E7789" s="668"/>
      <c r="F7789" s="668"/>
      <c r="G7789" s="668"/>
      <c r="H7789" s="668"/>
      <c r="I7789" s="668"/>
      <c r="J7789" s="668"/>
      <c r="K7789" s="674"/>
      <c r="L7789" s="668"/>
      <c r="M7789" s="668"/>
    </row>
    <row r="7790" spans="5:13">
      <c r="E7790" s="668"/>
      <c r="F7790" s="668"/>
      <c r="G7790" s="668"/>
      <c r="H7790" s="668"/>
      <c r="I7790" s="668"/>
      <c r="J7790" s="668"/>
      <c r="K7790" s="674"/>
      <c r="L7790" s="668"/>
      <c r="M7790" s="668"/>
    </row>
    <row r="7791" spans="5:13">
      <c r="E7791" s="668"/>
      <c r="F7791" s="668"/>
      <c r="G7791" s="668"/>
      <c r="H7791" s="668"/>
      <c r="I7791" s="668"/>
      <c r="J7791" s="668"/>
      <c r="K7791" s="674"/>
      <c r="L7791" s="668"/>
      <c r="M7791" s="668"/>
    </row>
    <row r="7792" spans="5:13">
      <c r="E7792" s="668"/>
      <c r="F7792" s="668"/>
      <c r="G7792" s="668"/>
      <c r="H7792" s="668"/>
      <c r="I7792" s="668"/>
      <c r="J7792" s="668"/>
      <c r="K7792" s="674"/>
      <c r="L7792" s="668"/>
      <c r="M7792" s="668"/>
    </row>
    <row r="7793" spans="5:13">
      <c r="E7793" s="668"/>
      <c r="F7793" s="668"/>
      <c r="G7793" s="668"/>
      <c r="H7793" s="668"/>
      <c r="I7793" s="668"/>
      <c r="J7793" s="668"/>
      <c r="K7793" s="674"/>
      <c r="L7793" s="668"/>
      <c r="M7793" s="668"/>
    </row>
    <row r="7794" spans="5:13">
      <c r="E7794" s="668"/>
      <c r="F7794" s="668"/>
      <c r="G7794" s="668"/>
      <c r="H7794" s="668"/>
      <c r="I7794" s="668"/>
      <c r="J7794" s="668"/>
      <c r="K7794" s="674"/>
      <c r="L7794" s="668"/>
      <c r="M7794" s="668"/>
    </row>
    <row r="7795" spans="5:13">
      <c r="E7795" s="668"/>
      <c r="F7795" s="668"/>
      <c r="G7795" s="668"/>
      <c r="H7795" s="668"/>
      <c r="I7795" s="668"/>
      <c r="J7795" s="668"/>
      <c r="K7795" s="674"/>
      <c r="L7795" s="668"/>
      <c r="M7795" s="668"/>
    </row>
    <row r="7796" spans="5:13">
      <c r="E7796" s="668"/>
      <c r="F7796" s="668"/>
      <c r="G7796" s="668"/>
      <c r="H7796" s="668"/>
      <c r="I7796" s="668"/>
      <c r="J7796" s="668"/>
      <c r="K7796" s="674"/>
      <c r="L7796" s="668"/>
      <c r="M7796" s="668"/>
    </row>
    <row r="7797" spans="5:13">
      <c r="E7797" s="668"/>
      <c r="F7797" s="668"/>
      <c r="G7797" s="668"/>
      <c r="H7797" s="668"/>
      <c r="I7797" s="668"/>
      <c r="J7797" s="668"/>
      <c r="K7797" s="674"/>
      <c r="L7797" s="668"/>
      <c r="M7797" s="668"/>
    </row>
    <row r="7798" spans="5:13">
      <c r="E7798" s="668"/>
      <c r="F7798" s="668"/>
      <c r="G7798" s="668"/>
      <c r="H7798" s="668"/>
      <c r="I7798" s="668"/>
      <c r="J7798" s="668"/>
      <c r="K7798" s="674"/>
      <c r="L7798" s="668"/>
      <c r="M7798" s="668"/>
    </row>
    <row r="7799" spans="5:13">
      <c r="E7799" s="668"/>
      <c r="F7799" s="668"/>
      <c r="G7799" s="668"/>
      <c r="H7799" s="668"/>
      <c r="I7799" s="668"/>
      <c r="J7799" s="668"/>
      <c r="K7799" s="674"/>
      <c r="L7799" s="668"/>
      <c r="M7799" s="668"/>
    </row>
    <row r="7800" spans="5:13">
      <c r="E7800" s="668"/>
      <c r="F7800" s="668"/>
      <c r="G7800" s="668"/>
      <c r="H7800" s="668"/>
      <c r="I7800" s="668"/>
      <c r="J7800" s="668"/>
      <c r="K7800" s="674"/>
      <c r="L7800" s="668"/>
      <c r="M7800" s="668"/>
    </row>
    <row r="7801" spans="5:13">
      <c r="E7801" s="668"/>
      <c r="F7801" s="668"/>
      <c r="G7801" s="668"/>
      <c r="H7801" s="668"/>
      <c r="I7801" s="668"/>
      <c r="J7801" s="668"/>
      <c r="K7801" s="674"/>
      <c r="L7801" s="668"/>
      <c r="M7801" s="668"/>
    </row>
    <row r="7802" spans="5:13">
      <c r="E7802" s="668"/>
      <c r="F7802" s="668"/>
      <c r="G7802" s="668"/>
      <c r="H7802" s="668"/>
      <c r="I7802" s="668"/>
      <c r="J7802" s="668"/>
      <c r="K7802" s="674"/>
      <c r="L7802" s="668"/>
      <c r="M7802" s="668"/>
    </row>
    <row r="7803" spans="5:13">
      <c r="E7803" s="668"/>
      <c r="F7803" s="668"/>
      <c r="G7803" s="668"/>
      <c r="H7803" s="668"/>
      <c r="I7803" s="668"/>
      <c r="J7803" s="668"/>
      <c r="K7803" s="674"/>
      <c r="L7803" s="668"/>
      <c r="M7803" s="668"/>
    </row>
    <row r="7804" spans="5:13">
      <c r="E7804" s="668"/>
      <c r="F7804" s="668"/>
      <c r="G7804" s="668"/>
      <c r="H7804" s="668"/>
      <c r="I7804" s="668"/>
      <c r="J7804" s="668"/>
      <c r="K7804" s="674"/>
      <c r="L7804" s="668"/>
      <c r="M7804" s="668"/>
    </row>
    <row r="7805" spans="5:13">
      <c r="E7805" s="668"/>
      <c r="F7805" s="668"/>
      <c r="G7805" s="668"/>
      <c r="H7805" s="668"/>
      <c r="I7805" s="668"/>
      <c r="J7805" s="668"/>
      <c r="K7805" s="674"/>
      <c r="L7805" s="668"/>
      <c r="M7805" s="668"/>
    </row>
    <row r="7806" spans="5:13">
      <c r="E7806" s="668"/>
      <c r="F7806" s="668"/>
      <c r="G7806" s="668"/>
      <c r="H7806" s="668"/>
      <c r="I7806" s="668"/>
      <c r="J7806" s="668"/>
      <c r="K7806" s="674"/>
      <c r="L7806" s="668"/>
      <c r="M7806" s="668"/>
    </row>
    <row r="7807" spans="5:13">
      <c r="E7807" s="668"/>
      <c r="F7807" s="668"/>
      <c r="G7807" s="668"/>
      <c r="H7807" s="668"/>
      <c r="I7807" s="668"/>
      <c r="J7807" s="668"/>
      <c r="K7807" s="674"/>
      <c r="L7807" s="668"/>
      <c r="M7807" s="668"/>
    </row>
    <row r="7808" spans="5:13">
      <c r="E7808" s="668"/>
      <c r="F7808" s="668"/>
      <c r="G7808" s="668"/>
      <c r="H7808" s="668"/>
      <c r="I7808" s="668"/>
      <c r="J7808" s="668"/>
      <c r="K7808" s="674"/>
      <c r="L7808" s="668"/>
      <c r="M7808" s="668"/>
    </row>
    <row r="7809" spans="5:13">
      <c r="E7809" s="668"/>
      <c r="F7809" s="668"/>
      <c r="G7809" s="668"/>
      <c r="H7809" s="668"/>
      <c r="I7809" s="668"/>
      <c r="J7809" s="668"/>
      <c r="K7809" s="674"/>
      <c r="L7809" s="668"/>
      <c r="M7809" s="668"/>
    </row>
    <row r="7810" spans="5:13">
      <c r="E7810" s="668"/>
      <c r="F7810" s="668"/>
      <c r="G7810" s="668"/>
      <c r="H7810" s="668"/>
      <c r="I7810" s="668"/>
      <c r="J7810" s="668"/>
      <c r="K7810" s="674"/>
      <c r="L7810" s="668"/>
      <c r="M7810" s="668"/>
    </row>
    <row r="7811" spans="5:13">
      <c r="E7811" s="668"/>
      <c r="F7811" s="668"/>
      <c r="G7811" s="668"/>
      <c r="H7811" s="668"/>
      <c r="I7811" s="668"/>
      <c r="J7811" s="668"/>
      <c r="K7811" s="674"/>
      <c r="L7811" s="668"/>
      <c r="M7811" s="668"/>
    </row>
    <row r="7812" spans="5:13">
      <c r="E7812" s="668"/>
      <c r="F7812" s="668"/>
      <c r="G7812" s="668"/>
      <c r="H7812" s="668"/>
      <c r="I7812" s="668"/>
      <c r="J7812" s="668"/>
      <c r="K7812" s="674"/>
      <c r="L7812" s="668"/>
      <c r="M7812" s="668"/>
    </row>
    <row r="7813" spans="5:13">
      <c r="E7813" s="668"/>
      <c r="F7813" s="668"/>
      <c r="G7813" s="668"/>
      <c r="H7813" s="668"/>
      <c r="I7813" s="668"/>
      <c r="J7813" s="668"/>
      <c r="K7813" s="674"/>
      <c r="L7813" s="668"/>
      <c r="M7813" s="668"/>
    </row>
    <row r="7814" spans="5:13">
      <c r="E7814" s="668"/>
      <c r="F7814" s="668"/>
      <c r="G7814" s="668"/>
      <c r="H7814" s="668"/>
      <c r="I7814" s="668"/>
      <c r="J7814" s="668"/>
      <c r="K7814" s="674"/>
      <c r="L7814" s="668"/>
      <c r="M7814" s="668"/>
    </row>
    <row r="7815" spans="5:13">
      <c r="E7815" s="668"/>
      <c r="F7815" s="668"/>
      <c r="G7815" s="668"/>
      <c r="H7815" s="668"/>
      <c r="I7815" s="668"/>
      <c r="J7815" s="668"/>
      <c r="K7815" s="674"/>
      <c r="L7815" s="668"/>
      <c r="M7815" s="668"/>
    </row>
    <row r="7816" spans="5:13">
      <c r="E7816" s="668"/>
      <c r="F7816" s="668"/>
      <c r="G7816" s="668"/>
      <c r="H7816" s="668"/>
      <c r="I7816" s="668"/>
      <c r="J7816" s="668"/>
      <c r="K7816" s="674"/>
      <c r="L7816" s="668"/>
      <c r="M7816" s="668"/>
    </row>
    <row r="7817" spans="5:13">
      <c r="E7817" s="668"/>
      <c r="F7817" s="668"/>
      <c r="G7817" s="668"/>
      <c r="H7817" s="668"/>
      <c r="I7817" s="668"/>
      <c r="J7817" s="668"/>
      <c r="K7817" s="674"/>
      <c r="L7817" s="668"/>
      <c r="M7817" s="668"/>
    </row>
    <row r="7818" spans="5:13">
      <c r="E7818" s="668"/>
      <c r="F7818" s="668"/>
      <c r="G7818" s="668"/>
      <c r="H7818" s="668"/>
      <c r="I7818" s="668"/>
      <c r="J7818" s="668"/>
      <c r="K7818" s="674"/>
      <c r="L7818" s="668"/>
      <c r="M7818" s="668"/>
    </row>
    <row r="7819" spans="5:13">
      <c r="E7819" s="668"/>
      <c r="F7819" s="668"/>
      <c r="G7819" s="668"/>
      <c r="H7819" s="668"/>
      <c r="I7819" s="668"/>
      <c r="J7819" s="668"/>
      <c r="K7819" s="674"/>
      <c r="L7819" s="668"/>
      <c r="M7819" s="668"/>
    </row>
    <row r="7820" spans="5:13">
      <c r="E7820" s="668"/>
      <c r="F7820" s="668"/>
      <c r="G7820" s="668"/>
      <c r="H7820" s="668"/>
      <c r="I7820" s="668"/>
      <c r="J7820" s="668"/>
      <c r="K7820" s="674"/>
      <c r="L7820" s="668"/>
      <c r="M7820" s="668"/>
    </row>
    <row r="7821" spans="5:13">
      <c r="E7821" s="668"/>
      <c r="F7821" s="668"/>
      <c r="G7821" s="668"/>
      <c r="H7821" s="668"/>
      <c r="I7821" s="668"/>
      <c r="J7821" s="668"/>
      <c r="K7821" s="674"/>
      <c r="L7821" s="668"/>
      <c r="M7821" s="668"/>
    </row>
    <row r="7822" spans="5:13">
      <c r="E7822" s="668"/>
      <c r="F7822" s="668"/>
      <c r="G7822" s="668"/>
      <c r="H7822" s="668"/>
      <c r="I7822" s="668"/>
      <c r="J7822" s="668"/>
      <c r="K7822" s="674"/>
      <c r="L7822" s="668"/>
      <c r="M7822" s="668"/>
    </row>
    <row r="7823" spans="5:13">
      <c r="E7823" s="668"/>
      <c r="F7823" s="668"/>
      <c r="G7823" s="668"/>
      <c r="H7823" s="668"/>
      <c r="I7823" s="668"/>
      <c r="J7823" s="668"/>
      <c r="K7823" s="674"/>
      <c r="L7823" s="668"/>
      <c r="M7823" s="668"/>
    </row>
    <row r="7824" spans="5:13">
      <c r="E7824" s="668"/>
      <c r="F7824" s="668"/>
      <c r="G7824" s="668"/>
      <c r="H7824" s="668"/>
      <c r="I7824" s="668"/>
      <c r="J7824" s="668"/>
      <c r="K7824" s="674"/>
      <c r="L7824" s="668"/>
      <c r="M7824" s="668"/>
    </row>
    <row r="7825" spans="5:13">
      <c r="E7825" s="668"/>
      <c r="F7825" s="668"/>
      <c r="G7825" s="668"/>
      <c r="H7825" s="668"/>
      <c r="I7825" s="668"/>
      <c r="J7825" s="668"/>
      <c r="K7825" s="674"/>
      <c r="L7825" s="668"/>
      <c r="M7825" s="668"/>
    </row>
    <row r="7826" spans="5:13">
      <c r="E7826" s="668"/>
      <c r="F7826" s="668"/>
      <c r="G7826" s="668"/>
      <c r="H7826" s="668"/>
      <c r="I7826" s="668"/>
      <c r="J7826" s="668"/>
      <c r="K7826" s="674"/>
      <c r="L7826" s="668"/>
      <c r="M7826" s="668"/>
    </row>
    <row r="7827" spans="5:13">
      <c r="E7827" s="668"/>
      <c r="F7827" s="668"/>
      <c r="G7827" s="668"/>
      <c r="H7827" s="668"/>
      <c r="I7827" s="668"/>
      <c r="J7827" s="668"/>
      <c r="K7827" s="674"/>
      <c r="L7827" s="668"/>
      <c r="M7827" s="668"/>
    </row>
    <row r="7828" spans="5:13">
      <c r="E7828" s="668"/>
      <c r="F7828" s="668"/>
      <c r="G7828" s="668"/>
      <c r="H7828" s="668"/>
      <c r="I7828" s="668"/>
      <c r="J7828" s="668"/>
      <c r="K7828" s="674"/>
      <c r="L7828" s="668"/>
      <c r="M7828" s="668"/>
    </row>
    <row r="7829" spans="5:13">
      <c r="E7829" s="668"/>
      <c r="F7829" s="668"/>
      <c r="G7829" s="668"/>
      <c r="H7829" s="668"/>
      <c r="I7829" s="668"/>
      <c r="J7829" s="668"/>
      <c r="K7829" s="674"/>
      <c r="L7829" s="668"/>
      <c r="M7829" s="668"/>
    </row>
    <row r="7830" spans="5:13">
      <c r="E7830" s="668"/>
      <c r="F7830" s="668"/>
      <c r="G7830" s="668"/>
      <c r="H7830" s="668"/>
      <c r="I7830" s="668"/>
      <c r="J7830" s="668"/>
      <c r="K7830" s="674"/>
      <c r="L7830" s="668"/>
      <c r="M7830" s="668"/>
    </row>
    <row r="7831" spans="5:13">
      <c r="E7831" s="668"/>
      <c r="F7831" s="668"/>
      <c r="G7831" s="668"/>
      <c r="H7831" s="668"/>
      <c r="I7831" s="668"/>
      <c r="J7831" s="668"/>
      <c r="K7831" s="674"/>
      <c r="L7831" s="668"/>
      <c r="M7831" s="668"/>
    </row>
    <row r="7832" spans="5:13">
      <c r="E7832" s="668"/>
      <c r="F7832" s="668"/>
      <c r="G7832" s="668"/>
      <c r="H7832" s="668"/>
      <c r="I7832" s="668"/>
      <c r="J7832" s="668"/>
      <c r="K7832" s="674"/>
      <c r="L7832" s="668"/>
      <c r="M7832" s="668"/>
    </row>
    <row r="7833" spans="5:13">
      <c r="E7833" s="668"/>
      <c r="F7833" s="668"/>
      <c r="G7833" s="668"/>
      <c r="H7833" s="668"/>
      <c r="I7833" s="668"/>
      <c r="J7833" s="668"/>
      <c r="K7833" s="674"/>
      <c r="L7833" s="668"/>
      <c r="M7833" s="668"/>
    </row>
    <row r="7834" spans="5:13">
      <c r="E7834" s="668"/>
      <c r="F7834" s="668"/>
      <c r="G7834" s="668"/>
      <c r="H7834" s="668"/>
      <c r="I7834" s="668"/>
      <c r="J7834" s="668"/>
      <c r="K7834" s="674"/>
      <c r="L7834" s="668"/>
      <c r="M7834" s="668"/>
    </row>
    <row r="7835" spans="5:13">
      <c r="E7835" s="668"/>
      <c r="F7835" s="668"/>
      <c r="G7835" s="668"/>
      <c r="H7835" s="668"/>
      <c r="I7835" s="668"/>
      <c r="J7835" s="668"/>
      <c r="K7835" s="674"/>
      <c r="L7835" s="668"/>
      <c r="M7835" s="668"/>
    </row>
    <row r="7836" spans="5:13">
      <c r="E7836" s="668"/>
      <c r="F7836" s="668"/>
      <c r="G7836" s="668"/>
      <c r="H7836" s="668"/>
      <c r="I7836" s="668"/>
      <c r="J7836" s="668"/>
      <c r="K7836" s="674"/>
      <c r="L7836" s="668"/>
      <c r="M7836" s="668"/>
    </row>
    <row r="7837" spans="5:13">
      <c r="E7837" s="668"/>
      <c r="F7837" s="668"/>
      <c r="G7837" s="668"/>
      <c r="H7837" s="668"/>
      <c r="I7837" s="668"/>
      <c r="J7837" s="668"/>
      <c r="K7837" s="674"/>
      <c r="L7837" s="668"/>
      <c r="M7837" s="668"/>
    </row>
    <row r="7838" spans="5:13">
      <c r="E7838" s="668"/>
      <c r="F7838" s="668"/>
      <c r="G7838" s="668"/>
      <c r="H7838" s="668"/>
      <c r="I7838" s="668"/>
      <c r="J7838" s="668"/>
      <c r="K7838" s="674"/>
      <c r="L7838" s="668"/>
      <c r="M7838" s="668"/>
    </row>
    <row r="7839" spans="5:13">
      <c r="E7839" s="668"/>
      <c r="F7839" s="668"/>
      <c r="G7839" s="668"/>
      <c r="H7839" s="668"/>
      <c r="I7839" s="668"/>
      <c r="J7839" s="668"/>
      <c r="K7839" s="674"/>
      <c r="L7839" s="668"/>
      <c r="M7839" s="668"/>
    </row>
    <row r="7840" spans="5:13">
      <c r="E7840" s="668"/>
      <c r="F7840" s="668"/>
      <c r="G7840" s="668"/>
      <c r="H7840" s="668"/>
      <c r="I7840" s="668"/>
      <c r="J7840" s="668"/>
      <c r="K7840" s="674"/>
      <c r="L7840" s="668"/>
      <c r="M7840" s="668"/>
    </row>
    <row r="7841" spans="5:13">
      <c r="E7841" s="668"/>
      <c r="F7841" s="668"/>
      <c r="G7841" s="668"/>
      <c r="H7841" s="668"/>
      <c r="I7841" s="668"/>
      <c r="J7841" s="668"/>
      <c r="K7841" s="674"/>
      <c r="L7841" s="668"/>
      <c r="M7841" s="668"/>
    </row>
    <row r="7842" spans="5:13">
      <c r="E7842" s="668"/>
      <c r="F7842" s="668"/>
      <c r="G7842" s="668"/>
      <c r="H7842" s="668"/>
      <c r="I7842" s="668"/>
      <c r="J7842" s="668"/>
      <c r="K7842" s="674"/>
      <c r="L7842" s="668"/>
      <c r="M7842" s="668"/>
    </row>
    <row r="7843" spans="5:13">
      <c r="E7843" s="668"/>
      <c r="F7843" s="668"/>
      <c r="G7843" s="668"/>
      <c r="H7843" s="668"/>
      <c r="I7843" s="668"/>
      <c r="J7843" s="668"/>
      <c r="K7843" s="674"/>
      <c r="L7843" s="668"/>
      <c r="M7843" s="668"/>
    </row>
    <row r="7844" spans="5:13">
      <c r="E7844" s="668"/>
      <c r="F7844" s="668"/>
      <c r="G7844" s="668"/>
      <c r="H7844" s="668"/>
      <c r="I7844" s="668"/>
      <c r="J7844" s="668"/>
      <c r="K7844" s="674"/>
      <c r="L7844" s="668"/>
      <c r="M7844" s="668"/>
    </row>
    <row r="7845" spans="5:13">
      <c r="E7845" s="668"/>
      <c r="F7845" s="668"/>
      <c r="G7845" s="668"/>
      <c r="H7845" s="668"/>
      <c r="I7845" s="668"/>
      <c r="J7845" s="668"/>
      <c r="K7845" s="674"/>
      <c r="L7845" s="668"/>
      <c r="M7845" s="668"/>
    </row>
    <row r="7846" spans="5:13">
      <c r="E7846" s="668"/>
      <c r="F7846" s="668"/>
      <c r="G7846" s="668"/>
      <c r="H7846" s="668"/>
      <c r="I7846" s="668"/>
      <c r="J7846" s="668"/>
      <c r="K7846" s="674"/>
      <c r="L7846" s="668"/>
      <c r="M7846" s="668"/>
    </row>
    <row r="7847" spans="5:13">
      <c r="E7847" s="668"/>
      <c r="F7847" s="668"/>
      <c r="G7847" s="668"/>
      <c r="H7847" s="668"/>
      <c r="I7847" s="668"/>
      <c r="J7847" s="668"/>
      <c r="K7847" s="674"/>
      <c r="L7847" s="668"/>
      <c r="M7847" s="668"/>
    </row>
    <row r="7848" spans="5:13">
      <c r="E7848" s="668"/>
      <c r="F7848" s="668"/>
      <c r="G7848" s="668"/>
      <c r="H7848" s="668"/>
      <c r="I7848" s="668"/>
      <c r="J7848" s="668"/>
      <c r="K7848" s="674"/>
      <c r="L7848" s="668"/>
      <c r="M7848" s="668"/>
    </row>
    <row r="7849" spans="5:13">
      <c r="E7849" s="668"/>
      <c r="F7849" s="668"/>
      <c r="G7849" s="668"/>
      <c r="H7849" s="668"/>
      <c r="I7849" s="668"/>
      <c r="J7849" s="668"/>
      <c r="K7849" s="674"/>
      <c r="L7849" s="668"/>
      <c r="M7849" s="668"/>
    </row>
    <row r="7850" spans="5:13">
      <c r="E7850" s="668"/>
      <c r="F7850" s="668"/>
      <c r="G7850" s="668"/>
      <c r="H7850" s="668"/>
      <c r="I7850" s="668"/>
      <c r="J7850" s="668"/>
      <c r="K7850" s="674"/>
      <c r="L7850" s="668"/>
      <c r="M7850" s="668"/>
    </row>
    <row r="7851" spans="5:13">
      <c r="E7851" s="668"/>
      <c r="F7851" s="668"/>
      <c r="G7851" s="668"/>
      <c r="H7851" s="668"/>
      <c r="I7851" s="668"/>
      <c r="J7851" s="668"/>
      <c r="K7851" s="674"/>
      <c r="L7851" s="668"/>
      <c r="M7851" s="668"/>
    </row>
    <row r="7852" spans="5:13">
      <c r="E7852" s="668"/>
      <c r="F7852" s="668"/>
      <c r="G7852" s="668"/>
      <c r="H7852" s="668"/>
      <c r="I7852" s="668"/>
      <c r="J7852" s="668"/>
      <c r="K7852" s="674"/>
      <c r="L7852" s="668"/>
      <c r="M7852" s="668"/>
    </row>
    <row r="7853" spans="5:13">
      <c r="E7853" s="668"/>
      <c r="F7853" s="668"/>
      <c r="G7853" s="668"/>
      <c r="H7853" s="668"/>
      <c r="I7853" s="668"/>
      <c r="J7853" s="668"/>
      <c r="K7853" s="674"/>
      <c r="L7853" s="668"/>
      <c r="M7853" s="668"/>
    </row>
    <row r="7854" spans="5:13">
      <c r="E7854" s="668"/>
      <c r="F7854" s="668"/>
      <c r="G7854" s="668"/>
      <c r="H7854" s="668"/>
      <c r="I7854" s="668"/>
      <c r="J7854" s="668"/>
      <c r="K7854" s="674"/>
      <c r="L7854" s="668"/>
      <c r="M7854" s="668"/>
    </row>
    <row r="7855" spans="5:13">
      <c r="E7855" s="668"/>
      <c r="F7855" s="668"/>
      <c r="G7855" s="668"/>
      <c r="H7855" s="668"/>
      <c r="I7855" s="668"/>
      <c r="J7855" s="668"/>
      <c r="K7855" s="674"/>
      <c r="L7855" s="668"/>
      <c r="M7855" s="668"/>
    </row>
    <row r="7856" spans="5:13">
      <c r="E7856" s="668"/>
      <c r="F7856" s="668"/>
      <c r="G7856" s="668"/>
      <c r="H7856" s="668"/>
      <c r="I7856" s="668"/>
      <c r="J7856" s="668"/>
      <c r="K7856" s="674"/>
      <c r="L7856" s="668"/>
      <c r="M7856" s="668"/>
    </row>
    <row r="7857" spans="5:13">
      <c r="E7857" s="668"/>
      <c r="F7857" s="668"/>
      <c r="G7857" s="668"/>
      <c r="H7857" s="668"/>
      <c r="I7857" s="668"/>
      <c r="J7857" s="668"/>
      <c r="K7857" s="674"/>
      <c r="L7857" s="668"/>
      <c r="M7857" s="668"/>
    </row>
    <row r="7858" spans="5:13">
      <c r="E7858" s="668"/>
      <c r="F7858" s="668"/>
      <c r="G7858" s="668"/>
      <c r="H7858" s="668"/>
      <c r="I7858" s="668"/>
      <c r="J7858" s="668"/>
      <c r="K7858" s="674"/>
      <c r="L7858" s="668"/>
      <c r="M7858" s="668"/>
    </row>
    <row r="7859" spans="5:13">
      <c r="E7859" s="668"/>
      <c r="F7859" s="668"/>
      <c r="G7859" s="668"/>
      <c r="H7859" s="668"/>
      <c r="I7859" s="668"/>
      <c r="J7859" s="668"/>
      <c r="K7859" s="674"/>
      <c r="L7859" s="668"/>
      <c r="M7859" s="668"/>
    </row>
    <row r="7860" spans="5:13">
      <c r="E7860" s="668"/>
      <c r="F7860" s="668"/>
      <c r="G7860" s="668"/>
      <c r="H7860" s="668"/>
      <c r="I7860" s="668"/>
      <c r="J7860" s="668"/>
      <c r="K7860" s="674"/>
      <c r="L7860" s="668"/>
      <c r="M7860" s="668"/>
    </row>
    <row r="7861" spans="5:13">
      <c r="E7861" s="668"/>
      <c r="F7861" s="668"/>
      <c r="G7861" s="668"/>
      <c r="H7861" s="668"/>
      <c r="I7861" s="668"/>
      <c r="J7861" s="668"/>
      <c r="K7861" s="674"/>
      <c r="L7861" s="668"/>
      <c r="M7861" s="668"/>
    </row>
    <row r="7862" spans="5:13">
      <c r="E7862" s="668"/>
      <c r="F7862" s="668"/>
      <c r="G7862" s="668"/>
      <c r="H7862" s="668"/>
      <c r="I7862" s="668"/>
      <c r="J7862" s="668"/>
      <c r="K7862" s="674"/>
      <c r="L7862" s="668"/>
      <c r="M7862" s="668"/>
    </row>
    <row r="7863" spans="5:13">
      <c r="E7863" s="668"/>
      <c r="F7863" s="668"/>
      <c r="G7863" s="668"/>
      <c r="H7863" s="668"/>
      <c r="I7863" s="668"/>
      <c r="J7863" s="668"/>
      <c r="K7863" s="674"/>
      <c r="L7863" s="668"/>
      <c r="M7863" s="668"/>
    </row>
    <row r="7864" spans="5:13">
      <c r="E7864" s="668"/>
      <c r="F7864" s="668"/>
      <c r="G7864" s="668"/>
      <c r="H7864" s="668"/>
      <c r="I7864" s="668"/>
      <c r="J7864" s="668"/>
      <c r="K7864" s="674"/>
      <c r="L7864" s="668"/>
      <c r="M7864" s="668"/>
    </row>
    <row r="7865" spans="5:13">
      <c r="E7865" s="668"/>
      <c r="F7865" s="668"/>
      <c r="G7865" s="668"/>
      <c r="H7865" s="668"/>
      <c r="I7865" s="668"/>
      <c r="J7865" s="668"/>
      <c r="K7865" s="674"/>
      <c r="L7865" s="668"/>
      <c r="M7865" s="668"/>
    </row>
    <row r="7866" spans="5:13">
      <c r="E7866" s="668"/>
      <c r="F7866" s="668"/>
      <c r="G7866" s="668"/>
      <c r="H7866" s="668"/>
      <c r="I7866" s="668"/>
      <c r="J7866" s="668"/>
      <c r="K7866" s="674"/>
      <c r="L7866" s="668"/>
      <c r="M7866" s="668"/>
    </row>
    <row r="7867" spans="5:13">
      <c r="E7867" s="668"/>
      <c r="F7867" s="668"/>
      <c r="G7867" s="668"/>
      <c r="H7867" s="668"/>
      <c r="I7867" s="668"/>
      <c r="J7867" s="668"/>
      <c r="K7867" s="674"/>
      <c r="L7867" s="668"/>
      <c r="M7867" s="668"/>
    </row>
    <row r="7868" spans="5:13">
      <c r="E7868" s="668"/>
      <c r="F7868" s="668"/>
      <c r="G7868" s="668"/>
      <c r="H7868" s="668"/>
      <c r="I7868" s="668"/>
      <c r="J7868" s="668"/>
      <c r="K7868" s="674"/>
      <c r="L7868" s="668"/>
      <c r="M7868" s="668"/>
    </row>
    <row r="7869" spans="5:13">
      <c r="E7869" s="668"/>
      <c r="F7869" s="668"/>
      <c r="G7869" s="668"/>
      <c r="H7869" s="668"/>
      <c r="I7869" s="668"/>
      <c r="J7869" s="668"/>
      <c r="K7869" s="674"/>
      <c r="L7869" s="668"/>
      <c r="M7869" s="668"/>
    </row>
    <row r="7870" spans="5:13">
      <c r="E7870" s="668"/>
      <c r="F7870" s="668"/>
      <c r="G7870" s="668"/>
      <c r="H7870" s="668"/>
      <c r="I7870" s="668"/>
      <c r="J7870" s="668"/>
      <c r="K7870" s="674"/>
      <c r="L7870" s="668"/>
      <c r="M7870" s="668"/>
    </row>
    <row r="7871" spans="5:13">
      <c r="E7871" s="668"/>
      <c r="F7871" s="668"/>
      <c r="G7871" s="668"/>
      <c r="H7871" s="668"/>
      <c r="I7871" s="668"/>
      <c r="J7871" s="668"/>
      <c r="K7871" s="674"/>
      <c r="L7871" s="668"/>
      <c r="M7871" s="668"/>
    </row>
    <row r="7872" spans="5:13">
      <c r="E7872" s="668"/>
      <c r="F7872" s="668"/>
      <c r="G7872" s="668"/>
      <c r="H7872" s="668"/>
      <c r="I7872" s="668"/>
      <c r="J7872" s="668"/>
      <c r="K7872" s="674"/>
      <c r="L7872" s="668"/>
      <c r="M7872" s="668"/>
    </row>
    <row r="7873" spans="5:13">
      <c r="E7873" s="668"/>
      <c r="F7873" s="668"/>
      <c r="G7873" s="668"/>
      <c r="H7873" s="668"/>
      <c r="I7873" s="668"/>
      <c r="J7873" s="668"/>
      <c r="K7873" s="674"/>
      <c r="L7873" s="668"/>
      <c r="M7873" s="668"/>
    </row>
    <row r="7874" spans="5:13">
      <c r="E7874" s="668"/>
      <c r="F7874" s="668"/>
      <c r="G7874" s="668"/>
      <c r="H7874" s="668"/>
      <c r="I7874" s="668"/>
      <c r="J7874" s="668"/>
      <c r="K7874" s="674"/>
      <c r="L7874" s="668"/>
      <c r="M7874" s="668"/>
    </row>
    <row r="7875" spans="5:13">
      <c r="E7875" s="668"/>
      <c r="F7875" s="668"/>
      <c r="G7875" s="668"/>
      <c r="H7875" s="668"/>
      <c r="I7875" s="668"/>
      <c r="J7875" s="668"/>
      <c r="K7875" s="674"/>
      <c r="L7875" s="668"/>
      <c r="M7875" s="668"/>
    </row>
    <row r="7876" spans="5:13">
      <c r="E7876" s="668"/>
      <c r="F7876" s="668"/>
      <c r="G7876" s="668"/>
      <c r="H7876" s="668"/>
      <c r="I7876" s="668"/>
      <c r="J7876" s="668"/>
      <c r="K7876" s="674"/>
      <c r="L7876" s="668"/>
      <c r="M7876" s="668"/>
    </row>
    <row r="7877" spans="5:13">
      <c r="E7877" s="668"/>
      <c r="F7877" s="668"/>
      <c r="G7877" s="668"/>
      <c r="H7877" s="668"/>
      <c r="I7877" s="668"/>
      <c r="J7877" s="668"/>
      <c r="K7877" s="674"/>
      <c r="L7877" s="668"/>
      <c r="M7877" s="668"/>
    </row>
    <row r="7878" spans="5:13">
      <c r="E7878" s="668"/>
      <c r="F7878" s="668"/>
      <c r="G7878" s="668"/>
      <c r="H7878" s="668"/>
      <c r="I7878" s="668"/>
      <c r="J7878" s="668"/>
      <c r="K7878" s="674"/>
      <c r="L7878" s="668"/>
      <c r="M7878" s="668"/>
    </row>
    <row r="7879" spans="5:13">
      <c r="E7879" s="668"/>
      <c r="F7879" s="668"/>
      <c r="G7879" s="668"/>
      <c r="H7879" s="668"/>
      <c r="I7879" s="668"/>
      <c r="J7879" s="668"/>
      <c r="K7879" s="674"/>
      <c r="L7879" s="668"/>
      <c r="M7879" s="668"/>
    </row>
    <row r="7880" spans="5:13">
      <c r="E7880" s="668"/>
      <c r="F7880" s="668"/>
      <c r="G7880" s="668"/>
      <c r="H7880" s="668"/>
      <c r="I7880" s="668"/>
      <c r="J7880" s="668"/>
      <c r="K7880" s="674"/>
      <c r="L7880" s="668"/>
      <c r="M7880" s="668"/>
    </row>
    <row r="7881" spans="5:13">
      <c r="E7881" s="668"/>
      <c r="F7881" s="668"/>
      <c r="G7881" s="668"/>
      <c r="H7881" s="668"/>
      <c r="I7881" s="668"/>
      <c r="J7881" s="668"/>
      <c r="K7881" s="674"/>
      <c r="L7881" s="668"/>
      <c r="M7881" s="668"/>
    </row>
    <row r="7882" spans="5:13">
      <c r="E7882" s="668"/>
      <c r="F7882" s="668"/>
      <c r="G7882" s="668"/>
      <c r="H7882" s="668"/>
      <c r="I7882" s="668"/>
      <c r="J7882" s="668"/>
      <c r="K7882" s="674"/>
      <c r="L7882" s="668"/>
      <c r="M7882" s="668"/>
    </row>
    <row r="7883" spans="5:13">
      <c r="E7883" s="668"/>
      <c r="F7883" s="668"/>
      <c r="G7883" s="668"/>
      <c r="H7883" s="668"/>
      <c r="I7883" s="668"/>
      <c r="J7883" s="668"/>
      <c r="K7883" s="674"/>
      <c r="L7883" s="668"/>
      <c r="M7883" s="668"/>
    </row>
    <row r="7884" spans="5:13">
      <c r="E7884" s="668"/>
      <c r="F7884" s="668"/>
      <c r="G7884" s="668"/>
      <c r="H7884" s="668"/>
      <c r="I7884" s="668"/>
      <c r="J7884" s="668"/>
      <c r="K7884" s="674"/>
      <c r="L7884" s="668"/>
      <c r="M7884" s="668"/>
    </row>
    <row r="7885" spans="5:13">
      <c r="E7885" s="668"/>
      <c r="F7885" s="668"/>
      <c r="G7885" s="668"/>
      <c r="H7885" s="668"/>
      <c r="I7885" s="668"/>
      <c r="J7885" s="668"/>
      <c r="K7885" s="674"/>
      <c r="L7885" s="668"/>
      <c r="M7885" s="668"/>
    </row>
    <row r="7886" spans="5:13">
      <c r="E7886" s="668"/>
      <c r="F7886" s="668"/>
      <c r="G7886" s="668"/>
      <c r="H7886" s="668"/>
      <c r="I7886" s="668"/>
      <c r="J7886" s="668"/>
      <c r="K7886" s="674"/>
      <c r="L7886" s="668"/>
      <c r="M7886" s="668"/>
    </row>
    <row r="7887" spans="5:13">
      <c r="E7887" s="668"/>
      <c r="F7887" s="668"/>
      <c r="G7887" s="668"/>
      <c r="H7887" s="668"/>
      <c r="I7887" s="668"/>
      <c r="J7887" s="668"/>
      <c r="K7887" s="674"/>
      <c r="L7887" s="668"/>
      <c r="M7887" s="668"/>
    </row>
    <row r="7888" spans="5:13">
      <c r="E7888" s="668"/>
      <c r="F7888" s="668"/>
      <c r="G7888" s="668"/>
      <c r="H7888" s="668"/>
      <c r="I7888" s="668"/>
      <c r="J7888" s="668"/>
      <c r="K7888" s="674"/>
      <c r="L7888" s="668"/>
      <c r="M7888" s="668"/>
    </row>
    <row r="7889" spans="5:13">
      <c r="E7889" s="668"/>
      <c r="F7889" s="668"/>
      <c r="G7889" s="668"/>
      <c r="H7889" s="668"/>
      <c r="I7889" s="668"/>
      <c r="J7889" s="668"/>
      <c r="K7889" s="674"/>
      <c r="L7889" s="668"/>
      <c r="M7889" s="668"/>
    </row>
    <row r="7890" spans="5:13">
      <c r="E7890" s="668"/>
      <c r="F7890" s="668"/>
      <c r="G7890" s="668"/>
      <c r="H7890" s="668"/>
      <c r="I7890" s="668"/>
      <c r="J7890" s="668"/>
      <c r="K7890" s="674"/>
      <c r="L7890" s="668"/>
      <c r="M7890" s="668"/>
    </row>
    <row r="7891" spans="5:13">
      <c r="E7891" s="668"/>
      <c r="F7891" s="668"/>
      <c r="G7891" s="668"/>
      <c r="H7891" s="668"/>
      <c r="I7891" s="668"/>
      <c r="J7891" s="668"/>
      <c r="K7891" s="674"/>
      <c r="L7891" s="668"/>
      <c r="M7891" s="668"/>
    </row>
    <row r="7892" spans="5:13">
      <c r="E7892" s="668"/>
      <c r="F7892" s="668"/>
      <c r="G7892" s="668"/>
      <c r="H7892" s="668"/>
      <c r="I7892" s="668"/>
      <c r="J7892" s="668"/>
      <c r="K7892" s="674"/>
      <c r="L7892" s="668"/>
      <c r="M7892" s="668"/>
    </row>
    <row r="7893" spans="5:13">
      <c r="E7893" s="668"/>
      <c r="F7893" s="668"/>
      <c r="G7893" s="668"/>
      <c r="H7893" s="668"/>
      <c r="I7893" s="668"/>
      <c r="J7893" s="668"/>
      <c r="K7893" s="674"/>
      <c r="L7893" s="668"/>
      <c r="M7893" s="668"/>
    </row>
    <row r="7894" spans="5:13">
      <c r="E7894" s="668"/>
      <c r="F7894" s="668"/>
      <c r="G7894" s="668"/>
      <c r="H7894" s="668"/>
      <c r="I7894" s="668"/>
      <c r="J7894" s="668"/>
      <c r="K7894" s="674"/>
      <c r="L7894" s="668"/>
      <c r="M7894" s="668"/>
    </row>
    <row r="7895" spans="5:13">
      <c r="E7895" s="668"/>
      <c r="F7895" s="668"/>
      <c r="G7895" s="668"/>
      <c r="H7895" s="668"/>
      <c r="I7895" s="668"/>
      <c r="J7895" s="668"/>
      <c r="K7895" s="674"/>
      <c r="L7895" s="668"/>
      <c r="M7895" s="668"/>
    </row>
    <row r="7896" spans="5:13">
      <c r="E7896" s="668"/>
      <c r="F7896" s="668"/>
      <c r="G7896" s="668"/>
      <c r="H7896" s="668"/>
      <c r="I7896" s="668"/>
      <c r="J7896" s="668"/>
      <c r="K7896" s="674"/>
      <c r="L7896" s="668"/>
      <c r="M7896" s="668"/>
    </row>
    <row r="7897" spans="5:13">
      <c r="E7897" s="668"/>
      <c r="F7897" s="668"/>
      <c r="G7897" s="668"/>
      <c r="H7897" s="668"/>
      <c r="I7897" s="668"/>
      <c r="J7897" s="668"/>
      <c r="K7897" s="674"/>
      <c r="L7897" s="668"/>
      <c r="M7897" s="668"/>
    </row>
    <row r="7898" spans="5:13">
      <c r="E7898" s="668"/>
      <c r="F7898" s="668"/>
      <c r="G7898" s="668"/>
      <c r="H7898" s="668"/>
      <c r="I7898" s="668"/>
      <c r="J7898" s="668"/>
      <c r="K7898" s="674"/>
      <c r="L7898" s="668"/>
      <c r="M7898" s="668"/>
    </row>
    <row r="7899" spans="5:13">
      <c r="E7899" s="668"/>
      <c r="F7899" s="668"/>
      <c r="G7899" s="668"/>
      <c r="H7899" s="668"/>
      <c r="I7899" s="668"/>
      <c r="J7899" s="668"/>
      <c r="K7899" s="674"/>
      <c r="L7899" s="668"/>
      <c r="M7899" s="668"/>
    </row>
    <row r="7900" spans="5:13">
      <c r="H7900" s="571"/>
    </row>
    <row r="7901" spans="5:13">
      <c r="H7901" s="571"/>
    </row>
    <row r="7902" spans="5:13">
      <c r="H7902" s="571"/>
    </row>
    <row r="7903" spans="5:13">
      <c r="H7903" s="571"/>
    </row>
    <row r="7904" spans="5:13">
      <c r="H7904" s="571"/>
    </row>
    <row r="7905" spans="8:8">
      <c r="H7905" s="571"/>
    </row>
    <row r="7906" spans="8:8">
      <c r="H7906" s="571"/>
    </row>
    <row r="7907" spans="8:8">
      <c r="H7907" s="571"/>
    </row>
    <row r="7908" spans="8:8">
      <c r="H7908" s="571"/>
    </row>
    <row r="7909" spans="8:8">
      <c r="H7909" s="571"/>
    </row>
    <row r="7910" spans="8:8">
      <c r="H7910" s="571"/>
    </row>
    <row r="7911" spans="8:8">
      <c r="H7911" s="571"/>
    </row>
    <row r="7912" spans="8:8">
      <c r="H7912" s="571"/>
    </row>
    <row r="7913" spans="8:8">
      <c r="H7913" s="571"/>
    </row>
    <row r="7914" spans="8:8">
      <c r="H7914" s="571"/>
    </row>
    <row r="7915" spans="8:8">
      <c r="H7915" s="571"/>
    </row>
    <row r="7916" spans="8:8">
      <c r="H7916" s="571"/>
    </row>
    <row r="7917" spans="8:8">
      <c r="H7917" s="571"/>
    </row>
    <row r="7918" spans="8:8">
      <c r="H7918" s="571"/>
    </row>
    <row r="7919" spans="8:8">
      <c r="H7919" s="571"/>
    </row>
    <row r="7920" spans="8:8">
      <c r="H7920" s="571"/>
    </row>
    <row r="7921" spans="8:8">
      <c r="H7921" s="571"/>
    </row>
    <row r="7922" spans="8:8">
      <c r="H7922" s="571"/>
    </row>
    <row r="7923" spans="8:8">
      <c r="H7923" s="571"/>
    </row>
    <row r="7924" spans="8:8">
      <c r="H7924" s="571"/>
    </row>
    <row r="7925" spans="8:8">
      <c r="H7925" s="571"/>
    </row>
    <row r="7926" spans="8:8">
      <c r="H7926" s="571"/>
    </row>
    <row r="7927" spans="8:8">
      <c r="H7927" s="571"/>
    </row>
    <row r="7928" spans="8:8">
      <c r="H7928" s="571"/>
    </row>
    <row r="7929" spans="8:8">
      <c r="H7929" s="571"/>
    </row>
    <row r="7930" spans="8:8">
      <c r="H7930" s="571"/>
    </row>
    <row r="7931" spans="8:8">
      <c r="H7931" s="571"/>
    </row>
    <row r="7932" spans="8:8">
      <c r="H7932" s="571"/>
    </row>
    <row r="7933" spans="8:8">
      <c r="H7933" s="571"/>
    </row>
    <row r="7934" spans="8:8">
      <c r="H7934" s="571"/>
    </row>
    <row r="7935" spans="8:8">
      <c r="H7935" s="571"/>
    </row>
    <row r="7936" spans="8:8">
      <c r="H7936" s="571"/>
    </row>
    <row r="7937" spans="8:8">
      <c r="H7937" s="571"/>
    </row>
    <row r="7938" spans="8:8">
      <c r="H7938" s="571"/>
    </row>
    <row r="7939" spans="8:8">
      <c r="H7939" s="571"/>
    </row>
    <row r="7940" spans="8:8">
      <c r="H7940" s="571"/>
    </row>
    <row r="7941" spans="8:8">
      <c r="H7941" s="571"/>
    </row>
    <row r="7942" spans="8:8">
      <c r="H7942" s="571"/>
    </row>
    <row r="7943" spans="8:8">
      <c r="H7943" s="571"/>
    </row>
    <row r="7944" spans="8:8">
      <c r="H7944" s="571"/>
    </row>
    <row r="7945" spans="8:8">
      <c r="H7945" s="571"/>
    </row>
    <row r="7946" spans="8:8">
      <c r="H7946" s="571"/>
    </row>
    <row r="7947" spans="8:8">
      <c r="H7947" s="571"/>
    </row>
    <row r="7948" spans="8:8">
      <c r="H7948" s="571"/>
    </row>
    <row r="7949" spans="8:8">
      <c r="H7949" s="571"/>
    </row>
    <row r="7950" spans="8:8">
      <c r="H7950" s="571"/>
    </row>
    <row r="7951" spans="8:8">
      <c r="H7951" s="571"/>
    </row>
    <row r="7952" spans="8:8">
      <c r="H7952" s="571"/>
    </row>
    <row r="7953" spans="8:8">
      <c r="H7953" s="571"/>
    </row>
    <row r="7954" spans="8:8">
      <c r="H7954" s="571"/>
    </row>
    <row r="7955" spans="8:8">
      <c r="H7955" s="571"/>
    </row>
    <row r="7956" spans="8:8">
      <c r="H7956" s="571"/>
    </row>
    <row r="7957" spans="8:8">
      <c r="H7957" s="571"/>
    </row>
    <row r="7958" spans="8:8">
      <c r="H7958" s="571"/>
    </row>
    <row r="7959" spans="8:8">
      <c r="H7959" s="571"/>
    </row>
    <row r="7960" spans="8:8">
      <c r="H7960" s="571"/>
    </row>
    <row r="7961" spans="8:8">
      <c r="H7961" s="571"/>
    </row>
    <row r="7962" spans="8:8">
      <c r="H7962" s="571"/>
    </row>
    <row r="7963" spans="8:8">
      <c r="H7963" s="571"/>
    </row>
    <row r="7964" spans="8:8">
      <c r="H7964" s="571"/>
    </row>
    <row r="7965" spans="8:8">
      <c r="H7965" s="571"/>
    </row>
    <row r="7966" spans="8:8">
      <c r="H7966" s="571"/>
    </row>
    <row r="7967" spans="8:8">
      <c r="H7967" s="571"/>
    </row>
    <row r="7968" spans="8:8">
      <c r="H7968" s="571"/>
    </row>
    <row r="7969" spans="8:8">
      <c r="H7969" s="571"/>
    </row>
    <row r="7970" spans="8:8">
      <c r="H7970" s="571"/>
    </row>
    <row r="7971" spans="8:8">
      <c r="H7971" s="571"/>
    </row>
    <row r="7972" spans="8:8">
      <c r="H7972" s="571"/>
    </row>
    <row r="7973" spans="8:8">
      <c r="H7973" s="571"/>
    </row>
    <row r="7974" spans="8:8">
      <c r="H7974" s="571"/>
    </row>
    <row r="7975" spans="8:8">
      <c r="H7975" s="571"/>
    </row>
    <row r="7976" spans="8:8">
      <c r="H7976" s="571"/>
    </row>
    <row r="7977" spans="8:8">
      <c r="H7977" s="571"/>
    </row>
    <row r="7978" spans="8:8">
      <c r="H7978" s="571"/>
    </row>
    <row r="7979" spans="8:8">
      <c r="H7979" s="571"/>
    </row>
    <row r="7980" spans="8:8">
      <c r="H7980" s="571"/>
    </row>
    <row r="7981" spans="8:8">
      <c r="H7981" s="571"/>
    </row>
    <row r="7982" spans="8:8">
      <c r="H7982" s="571"/>
    </row>
    <row r="7983" spans="8:8">
      <c r="H7983" s="571"/>
    </row>
    <row r="7984" spans="8:8">
      <c r="H7984" s="571"/>
    </row>
    <row r="7985" spans="8:8">
      <c r="H7985" s="571"/>
    </row>
    <row r="7986" spans="8:8">
      <c r="H7986" s="571"/>
    </row>
    <row r="7987" spans="8:8">
      <c r="H7987" s="571"/>
    </row>
    <row r="7988" spans="8:8">
      <c r="H7988" s="571"/>
    </row>
    <row r="7989" spans="8:8">
      <c r="H7989" s="571"/>
    </row>
    <row r="7990" spans="8:8">
      <c r="H7990" s="571"/>
    </row>
    <row r="7991" spans="8:8">
      <c r="H7991" s="571"/>
    </row>
    <row r="7992" spans="8:8">
      <c r="H7992" s="571"/>
    </row>
    <row r="7993" spans="8:8">
      <c r="H7993" s="571"/>
    </row>
    <row r="7994" spans="8:8">
      <c r="H7994" s="571"/>
    </row>
    <row r="7995" spans="8:8">
      <c r="H7995" s="571"/>
    </row>
    <row r="7996" spans="8:8">
      <c r="H7996" s="571"/>
    </row>
    <row r="7997" spans="8:8">
      <c r="H7997" s="571"/>
    </row>
    <row r="7998" spans="8:8">
      <c r="H7998" s="571"/>
    </row>
    <row r="7999" spans="8:8">
      <c r="H7999" s="571"/>
    </row>
    <row r="8000" spans="8:8">
      <c r="H8000" s="571"/>
    </row>
    <row r="8001" spans="8:8">
      <c r="H8001" s="571"/>
    </row>
    <row r="8002" spans="8:8">
      <c r="H8002" s="571"/>
    </row>
    <row r="8003" spans="8:8">
      <c r="H8003" s="571"/>
    </row>
    <row r="8004" spans="8:8">
      <c r="H8004" s="571"/>
    </row>
    <row r="8005" spans="8:8">
      <c r="H8005" s="571"/>
    </row>
    <row r="8006" spans="8:8">
      <c r="H8006" s="571"/>
    </row>
    <row r="8007" spans="8:8">
      <c r="H8007" s="571"/>
    </row>
    <row r="8008" spans="8:8">
      <c r="H8008" s="571"/>
    </row>
    <row r="8009" spans="8:8">
      <c r="H8009" s="571"/>
    </row>
    <row r="8010" spans="8:8">
      <c r="H8010" s="571"/>
    </row>
    <row r="8011" spans="8:8">
      <c r="H8011" s="571"/>
    </row>
    <row r="8012" spans="8:8">
      <c r="H8012" s="571"/>
    </row>
    <row r="8013" spans="8:8">
      <c r="H8013" s="571"/>
    </row>
    <row r="8014" spans="8:8">
      <c r="H8014" s="571"/>
    </row>
    <row r="8015" spans="8:8">
      <c r="H8015" s="571"/>
    </row>
    <row r="8016" spans="8:8">
      <c r="H8016" s="571"/>
    </row>
    <row r="8017" spans="8:8">
      <c r="H8017" s="571"/>
    </row>
    <row r="8018" spans="8:8">
      <c r="H8018" s="571"/>
    </row>
    <row r="8019" spans="8:8">
      <c r="H8019" s="571"/>
    </row>
    <row r="8020" spans="8:8">
      <c r="H8020" s="571"/>
    </row>
    <row r="8021" spans="8:8">
      <c r="H8021" s="571"/>
    </row>
    <row r="8022" spans="8:8">
      <c r="H8022" s="571"/>
    </row>
    <row r="8023" spans="8:8">
      <c r="H8023" s="571"/>
    </row>
    <row r="8024" spans="8:8">
      <c r="H8024" s="571"/>
    </row>
    <row r="8025" spans="8:8">
      <c r="H8025" s="571"/>
    </row>
    <row r="8026" spans="8:8">
      <c r="H8026" s="571"/>
    </row>
    <row r="8027" spans="8:8">
      <c r="H8027" s="571"/>
    </row>
    <row r="8028" spans="8:8">
      <c r="H8028" s="571"/>
    </row>
    <row r="8029" spans="8:8">
      <c r="H8029" s="571"/>
    </row>
    <row r="8030" spans="8:8">
      <c r="H8030" s="571"/>
    </row>
    <row r="8031" spans="8:8">
      <c r="H8031" s="571"/>
    </row>
    <row r="8032" spans="8:8">
      <c r="H8032" s="571"/>
    </row>
    <row r="8033" spans="8:8">
      <c r="H8033" s="571"/>
    </row>
    <row r="8034" spans="8:8">
      <c r="H8034" s="571"/>
    </row>
    <row r="8035" spans="8:8">
      <c r="H8035" s="571"/>
    </row>
    <row r="8036" spans="8:8">
      <c r="H8036" s="571"/>
    </row>
    <row r="8037" spans="8:8">
      <c r="H8037" s="571"/>
    </row>
    <row r="8038" spans="8:8">
      <c r="H8038" s="571"/>
    </row>
    <row r="8039" spans="8:8">
      <c r="H8039" s="571"/>
    </row>
    <row r="8040" spans="8:8">
      <c r="H8040" s="571"/>
    </row>
    <row r="8041" spans="8:8">
      <c r="H8041" s="571"/>
    </row>
    <row r="8042" spans="8:8">
      <c r="H8042" s="571"/>
    </row>
    <row r="8043" spans="8:8">
      <c r="H8043" s="571"/>
    </row>
    <row r="8044" spans="8:8">
      <c r="H8044" s="571"/>
    </row>
    <row r="8045" spans="8:8">
      <c r="H8045" s="571"/>
    </row>
    <row r="8046" spans="8:8">
      <c r="H8046" s="571"/>
    </row>
    <row r="8047" spans="8:8">
      <c r="H8047" s="571"/>
    </row>
    <row r="8048" spans="8:8">
      <c r="H8048" s="571"/>
    </row>
    <row r="8049" spans="8:8">
      <c r="H8049" s="571"/>
    </row>
    <row r="8050" spans="8:8">
      <c r="H8050" s="571"/>
    </row>
    <row r="8051" spans="8:8">
      <c r="H8051" s="571"/>
    </row>
    <row r="8052" spans="8:8">
      <c r="H8052" s="571"/>
    </row>
    <row r="8053" spans="8:8">
      <c r="H8053" s="571"/>
    </row>
    <row r="8054" spans="8:8">
      <c r="H8054" s="571"/>
    </row>
    <row r="8055" spans="8:8">
      <c r="H8055" s="571"/>
    </row>
    <row r="8056" spans="8:8">
      <c r="H8056" s="571"/>
    </row>
    <row r="8057" spans="8:8">
      <c r="H8057" s="571"/>
    </row>
    <row r="8058" spans="8:8">
      <c r="H8058" s="571"/>
    </row>
    <row r="8059" spans="8:8">
      <c r="H8059" s="571"/>
    </row>
    <row r="8060" spans="8:8">
      <c r="H8060" s="571"/>
    </row>
    <row r="8061" spans="8:8">
      <c r="H8061" s="571"/>
    </row>
    <row r="8062" spans="8:8">
      <c r="H8062" s="571"/>
    </row>
    <row r="8063" spans="8:8">
      <c r="H8063" s="571"/>
    </row>
    <row r="8064" spans="8:8">
      <c r="H8064" s="571"/>
    </row>
    <row r="8065" spans="8:8">
      <c r="H8065" s="571"/>
    </row>
    <row r="8066" spans="8:8">
      <c r="H8066" s="571"/>
    </row>
    <row r="8067" spans="8:8">
      <c r="H8067" s="571"/>
    </row>
    <row r="8068" spans="8:8">
      <c r="H8068" s="571"/>
    </row>
    <row r="8069" spans="8:8">
      <c r="H8069" s="571"/>
    </row>
    <row r="8070" spans="8:8">
      <c r="H8070" s="571"/>
    </row>
    <row r="8071" spans="8:8">
      <c r="H8071" s="571"/>
    </row>
    <row r="8072" spans="8:8">
      <c r="H8072" s="571"/>
    </row>
    <row r="8073" spans="8:8">
      <c r="H8073" s="571"/>
    </row>
    <row r="8074" spans="8:8">
      <c r="H8074" s="571"/>
    </row>
    <row r="8075" spans="8:8">
      <c r="H8075" s="571"/>
    </row>
    <row r="8076" spans="8:8">
      <c r="H8076" s="571"/>
    </row>
    <row r="8077" spans="8:8">
      <c r="H8077" s="571"/>
    </row>
    <row r="8078" spans="8:8">
      <c r="H8078" s="571"/>
    </row>
    <row r="8079" spans="8:8">
      <c r="H8079" s="571"/>
    </row>
    <row r="8080" spans="8:8">
      <c r="H8080" s="571"/>
    </row>
    <row r="8081" spans="8:8">
      <c r="H8081" s="571"/>
    </row>
    <row r="8082" spans="8:8">
      <c r="H8082" s="571"/>
    </row>
    <row r="8083" spans="8:8">
      <c r="H8083" s="571"/>
    </row>
    <row r="8084" spans="8:8">
      <c r="H8084" s="571"/>
    </row>
    <row r="8085" spans="8:8">
      <c r="H8085" s="571"/>
    </row>
    <row r="8086" spans="8:8">
      <c r="H8086" s="571"/>
    </row>
    <row r="8087" spans="8:8">
      <c r="H8087" s="571"/>
    </row>
    <row r="8088" spans="8:8">
      <c r="H8088" s="571"/>
    </row>
    <row r="8089" spans="8:8">
      <c r="H8089" s="571"/>
    </row>
    <row r="8090" spans="8:8">
      <c r="H8090" s="571"/>
    </row>
    <row r="8091" spans="8:8">
      <c r="H8091" s="571"/>
    </row>
    <row r="8092" spans="8:8">
      <c r="H8092" s="571"/>
    </row>
    <row r="8093" spans="8:8">
      <c r="H8093" s="571"/>
    </row>
    <row r="8094" spans="8:8">
      <c r="H8094" s="571"/>
    </row>
    <row r="8095" spans="8:8">
      <c r="H8095" s="571"/>
    </row>
    <row r="8096" spans="8:8">
      <c r="H8096" s="571"/>
    </row>
    <row r="8097" spans="8:8">
      <c r="H8097" s="571"/>
    </row>
    <row r="8098" spans="8:8">
      <c r="H8098" s="571"/>
    </row>
    <row r="8099" spans="8:8">
      <c r="H8099" s="571"/>
    </row>
    <row r="8100" spans="8:8">
      <c r="H8100" s="571"/>
    </row>
    <row r="8101" spans="8:8">
      <c r="H8101" s="571"/>
    </row>
    <row r="8102" spans="8:8">
      <c r="H8102" s="571"/>
    </row>
    <row r="8103" spans="8:8">
      <c r="H8103" s="571"/>
    </row>
    <row r="8104" spans="8:8">
      <c r="H8104" s="571"/>
    </row>
    <row r="8105" spans="8:8">
      <c r="H8105" s="571"/>
    </row>
    <row r="8106" spans="8:8">
      <c r="H8106" s="571"/>
    </row>
    <row r="8107" spans="8:8">
      <c r="H8107" s="571"/>
    </row>
    <row r="8108" spans="8:8">
      <c r="H8108" s="571"/>
    </row>
    <row r="8109" spans="8:8">
      <c r="H8109" s="571"/>
    </row>
    <row r="8110" spans="8:8">
      <c r="H8110" s="571"/>
    </row>
    <row r="8111" spans="8:8">
      <c r="H8111" s="571"/>
    </row>
    <row r="8112" spans="8:8">
      <c r="H8112" s="571"/>
    </row>
    <row r="8113" spans="8:8">
      <c r="H8113" s="571"/>
    </row>
    <row r="8114" spans="8:8">
      <c r="H8114" s="571"/>
    </row>
    <row r="8115" spans="8:8">
      <c r="H8115" s="571"/>
    </row>
    <row r="8116" spans="8:8">
      <c r="H8116" s="571"/>
    </row>
    <row r="8117" spans="8:8">
      <c r="H8117" s="571"/>
    </row>
    <row r="8118" spans="8:8">
      <c r="H8118" s="571"/>
    </row>
    <row r="8119" spans="8:8">
      <c r="H8119" s="571"/>
    </row>
    <row r="8120" spans="8:8">
      <c r="H8120" s="571"/>
    </row>
    <row r="8121" spans="8:8">
      <c r="H8121" s="571"/>
    </row>
    <row r="8122" spans="8:8">
      <c r="H8122" s="571"/>
    </row>
    <row r="8123" spans="8:8">
      <c r="H8123" s="571"/>
    </row>
    <row r="8124" spans="8:8">
      <c r="H8124" s="571"/>
    </row>
    <row r="8125" spans="8:8">
      <c r="H8125" s="571"/>
    </row>
    <row r="8126" spans="8:8">
      <c r="H8126" s="571"/>
    </row>
    <row r="8127" spans="8:8">
      <c r="H8127" s="571"/>
    </row>
    <row r="8128" spans="8:8">
      <c r="H8128" s="571"/>
    </row>
    <row r="8129" spans="8:8">
      <c r="H8129" s="571"/>
    </row>
    <row r="8130" spans="8:8">
      <c r="H8130" s="571"/>
    </row>
    <row r="8131" spans="8:8">
      <c r="H8131" s="571"/>
    </row>
    <row r="8132" spans="8:8">
      <c r="H8132" s="571"/>
    </row>
    <row r="8133" spans="8:8">
      <c r="H8133" s="571"/>
    </row>
    <row r="8134" spans="8:8">
      <c r="H8134" s="571"/>
    </row>
    <row r="8135" spans="8:8">
      <c r="H8135" s="571"/>
    </row>
    <row r="8136" spans="8:8">
      <c r="H8136" s="571"/>
    </row>
    <row r="8137" spans="8:8">
      <c r="H8137" s="571"/>
    </row>
    <row r="8138" spans="8:8">
      <c r="H8138" s="571"/>
    </row>
    <row r="8139" spans="8:8">
      <c r="H8139" s="571"/>
    </row>
    <row r="8140" spans="8:8">
      <c r="H8140" s="571"/>
    </row>
    <row r="8141" spans="8:8">
      <c r="H8141" s="571"/>
    </row>
    <row r="8142" spans="8:8">
      <c r="H8142" s="571"/>
    </row>
    <row r="8143" spans="8:8">
      <c r="H8143" s="571"/>
    </row>
    <row r="8144" spans="8:8">
      <c r="H8144" s="571"/>
    </row>
    <row r="8145" spans="8:8">
      <c r="H8145" s="571"/>
    </row>
    <row r="8146" spans="8:8">
      <c r="H8146" s="571"/>
    </row>
    <row r="8147" spans="8:8">
      <c r="H8147" s="571"/>
    </row>
    <row r="8148" spans="8:8">
      <c r="H8148" s="571"/>
    </row>
    <row r="8149" spans="8:8">
      <c r="H8149" s="571"/>
    </row>
    <row r="8150" spans="8:8">
      <c r="H8150" s="571"/>
    </row>
    <row r="8151" spans="8:8">
      <c r="H8151" s="571"/>
    </row>
    <row r="8152" spans="8:8">
      <c r="H8152" s="571"/>
    </row>
    <row r="8153" spans="8:8">
      <c r="H8153" s="571"/>
    </row>
    <row r="8154" spans="8:8">
      <c r="H8154" s="571"/>
    </row>
    <row r="8155" spans="8:8">
      <c r="H8155" s="571"/>
    </row>
    <row r="8156" spans="8:8">
      <c r="H8156" s="571"/>
    </row>
    <row r="8157" spans="8:8">
      <c r="H8157" s="571"/>
    </row>
    <row r="8158" spans="8:8">
      <c r="H8158" s="571"/>
    </row>
    <row r="8159" spans="8:8">
      <c r="H8159" s="571"/>
    </row>
    <row r="8160" spans="8:8">
      <c r="H8160" s="571"/>
    </row>
    <row r="8161" spans="8:8">
      <c r="H8161" s="571"/>
    </row>
    <row r="8162" spans="8:8">
      <c r="H8162" s="571"/>
    </row>
    <row r="8163" spans="8:8">
      <c r="H8163" s="571"/>
    </row>
    <row r="8164" spans="8:8">
      <c r="H8164" s="571"/>
    </row>
    <row r="8165" spans="8:8">
      <c r="H8165" s="571"/>
    </row>
    <row r="8166" spans="8:8">
      <c r="H8166" s="571"/>
    </row>
    <row r="8167" spans="8:8">
      <c r="H8167" s="571"/>
    </row>
    <row r="8168" spans="8:8">
      <c r="H8168" s="571"/>
    </row>
    <row r="8169" spans="8:8">
      <c r="H8169" s="571"/>
    </row>
    <row r="8170" spans="8:8">
      <c r="H8170" s="571"/>
    </row>
    <row r="8171" spans="8:8">
      <c r="H8171" s="571"/>
    </row>
    <row r="8172" spans="8:8">
      <c r="H8172" s="571"/>
    </row>
    <row r="8173" spans="8:8">
      <c r="H8173" s="571"/>
    </row>
    <row r="8174" spans="8:8">
      <c r="H8174" s="571"/>
    </row>
    <row r="8175" spans="8:8">
      <c r="H8175" s="571"/>
    </row>
    <row r="8176" spans="8:8">
      <c r="H8176" s="571"/>
    </row>
    <row r="8177" spans="8:8">
      <c r="H8177" s="571"/>
    </row>
    <row r="8178" spans="8:8">
      <c r="H8178" s="571"/>
    </row>
    <row r="8179" spans="8:8">
      <c r="H8179" s="571"/>
    </row>
    <row r="8180" spans="8:8">
      <c r="H8180" s="571"/>
    </row>
    <row r="8181" spans="8:8">
      <c r="H8181" s="571"/>
    </row>
    <row r="8182" spans="8:8">
      <c r="H8182" s="571"/>
    </row>
    <row r="8183" spans="8:8">
      <c r="H8183" s="571"/>
    </row>
    <row r="8184" spans="8:8">
      <c r="H8184" s="571"/>
    </row>
    <row r="8185" spans="8:8">
      <c r="H8185" s="571"/>
    </row>
    <row r="8186" spans="8:8">
      <c r="H8186" s="571"/>
    </row>
    <row r="8187" spans="8:8">
      <c r="H8187" s="571"/>
    </row>
    <row r="8188" spans="8:8">
      <c r="H8188" s="571"/>
    </row>
    <row r="8189" spans="8:8">
      <c r="H8189" s="571"/>
    </row>
    <row r="8190" spans="8:8">
      <c r="H8190" s="571"/>
    </row>
    <row r="8191" spans="8:8">
      <c r="H8191" s="571"/>
    </row>
    <row r="8192" spans="8:8">
      <c r="H8192" s="571"/>
    </row>
    <row r="8193" spans="8:8">
      <c r="H8193" s="571"/>
    </row>
    <row r="8194" spans="8:8">
      <c r="H8194" s="571"/>
    </row>
    <row r="8195" spans="8:8">
      <c r="H8195" s="571"/>
    </row>
    <row r="8196" spans="8:8">
      <c r="H8196" s="571"/>
    </row>
    <row r="8197" spans="8:8">
      <c r="H8197" s="571"/>
    </row>
    <row r="8198" spans="8:8">
      <c r="H8198" s="571"/>
    </row>
    <row r="8199" spans="8:8">
      <c r="H8199" s="571"/>
    </row>
    <row r="8200" spans="8:8">
      <c r="H8200" s="571"/>
    </row>
    <row r="8201" spans="8:8">
      <c r="H8201" s="571"/>
    </row>
    <row r="8202" spans="8:8">
      <c r="H8202" s="571"/>
    </row>
    <row r="8203" spans="8:8">
      <c r="H8203" s="571"/>
    </row>
    <row r="8204" spans="8:8">
      <c r="H8204" s="571"/>
    </row>
    <row r="8205" spans="8:8">
      <c r="H8205" s="571"/>
    </row>
    <row r="8206" spans="8:8">
      <c r="H8206" s="571"/>
    </row>
    <row r="8207" spans="8:8">
      <c r="H8207" s="571"/>
    </row>
    <row r="8208" spans="8:8">
      <c r="H8208" s="571"/>
    </row>
    <row r="8209" spans="8:8">
      <c r="H8209" s="571"/>
    </row>
    <row r="8210" spans="8:8">
      <c r="H8210" s="571"/>
    </row>
    <row r="8211" spans="8:8">
      <c r="H8211" s="571"/>
    </row>
    <row r="8212" spans="8:8">
      <c r="H8212" s="571"/>
    </row>
    <row r="8213" spans="8:8">
      <c r="H8213" s="571"/>
    </row>
    <row r="8214" spans="8:8">
      <c r="H8214" s="571"/>
    </row>
    <row r="8215" spans="8:8">
      <c r="H8215" s="571"/>
    </row>
    <row r="8216" spans="8:8">
      <c r="H8216" s="571"/>
    </row>
    <row r="8217" spans="8:8">
      <c r="H8217" s="571"/>
    </row>
    <row r="8218" spans="8:8">
      <c r="H8218" s="571"/>
    </row>
    <row r="8219" spans="8:8">
      <c r="H8219" s="571"/>
    </row>
    <row r="8220" spans="8:8">
      <c r="H8220" s="571"/>
    </row>
    <row r="8221" spans="8:8">
      <c r="H8221" s="571"/>
    </row>
    <row r="8222" spans="8:8">
      <c r="H8222" s="571"/>
    </row>
    <row r="8223" spans="8:8">
      <c r="H8223" s="571"/>
    </row>
    <row r="8224" spans="8:8">
      <c r="H8224" s="571"/>
    </row>
    <row r="8225" spans="8:8">
      <c r="H8225" s="571"/>
    </row>
    <row r="8226" spans="8:8">
      <c r="H8226" s="571"/>
    </row>
    <row r="8227" spans="8:8">
      <c r="H8227" s="571"/>
    </row>
    <row r="8228" spans="8:8">
      <c r="H8228" s="571"/>
    </row>
    <row r="8229" spans="8:8">
      <c r="H8229" s="571"/>
    </row>
    <row r="8230" spans="8:8">
      <c r="H8230" s="571"/>
    </row>
    <row r="8231" spans="8:8">
      <c r="H8231" s="571"/>
    </row>
    <row r="8232" spans="8:8">
      <c r="H8232" s="571"/>
    </row>
    <row r="8233" spans="8:8">
      <c r="H8233" s="571"/>
    </row>
    <row r="8234" spans="8:8">
      <c r="H8234" s="571"/>
    </row>
    <row r="8235" spans="8:8">
      <c r="H8235" s="571"/>
    </row>
    <row r="8236" spans="8:8">
      <c r="H8236" s="571"/>
    </row>
    <row r="8237" spans="8:8">
      <c r="H8237" s="571"/>
    </row>
    <row r="8238" spans="8:8">
      <c r="H8238" s="571"/>
    </row>
    <row r="8239" spans="8:8">
      <c r="H8239" s="571"/>
    </row>
    <row r="8240" spans="8:8">
      <c r="H8240" s="571"/>
    </row>
    <row r="8241" spans="8:8">
      <c r="H8241" s="571"/>
    </row>
    <row r="8242" spans="8:8">
      <c r="H8242" s="571"/>
    </row>
    <row r="8243" spans="8:8">
      <c r="H8243" s="571"/>
    </row>
    <row r="8244" spans="8:8">
      <c r="H8244" s="571"/>
    </row>
    <row r="8245" spans="8:8">
      <c r="H8245" s="571"/>
    </row>
    <row r="8246" spans="8:8">
      <c r="H8246" s="571"/>
    </row>
    <row r="8247" spans="8:8">
      <c r="H8247" s="571"/>
    </row>
    <row r="8248" spans="8:8">
      <c r="H8248" s="571"/>
    </row>
    <row r="8249" spans="8:8">
      <c r="H8249" s="571"/>
    </row>
    <row r="8250" spans="8:8">
      <c r="H8250" s="571"/>
    </row>
    <row r="8251" spans="8:8">
      <c r="H8251" s="571"/>
    </row>
    <row r="8252" spans="8:8">
      <c r="H8252" s="571"/>
    </row>
    <row r="8253" spans="8:8">
      <c r="H8253" s="571"/>
    </row>
    <row r="8254" spans="8:8">
      <c r="H8254" s="571"/>
    </row>
    <row r="8255" spans="8:8">
      <c r="H8255" s="571"/>
    </row>
    <row r="8256" spans="8:8">
      <c r="H8256" s="571"/>
    </row>
    <row r="8257" spans="8:8">
      <c r="H8257" s="571"/>
    </row>
    <row r="8258" spans="8:8">
      <c r="H8258" s="571"/>
    </row>
    <row r="8259" spans="8:8">
      <c r="H8259" s="571"/>
    </row>
    <row r="8260" spans="8:8">
      <c r="H8260" s="571"/>
    </row>
    <row r="8261" spans="8:8">
      <c r="H8261" s="571"/>
    </row>
    <row r="8262" spans="8:8">
      <c r="H8262" s="571"/>
    </row>
    <row r="8263" spans="8:8">
      <c r="H8263" s="571"/>
    </row>
    <row r="8264" spans="8:8">
      <c r="H8264" s="571"/>
    </row>
    <row r="8265" spans="8:8">
      <c r="H8265" s="571"/>
    </row>
    <row r="8266" spans="8:8">
      <c r="H8266" s="571"/>
    </row>
    <row r="8267" spans="8:8">
      <c r="H8267" s="571"/>
    </row>
    <row r="8268" spans="8:8">
      <c r="H8268" s="571"/>
    </row>
    <row r="8269" spans="8:8">
      <c r="H8269" s="571"/>
    </row>
    <row r="8270" spans="8:8">
      <c r="H8270" s="571"/>
    </row>
    <row r="8271" spans="8:8">
      <c r="H8271" s="571"/>
    </row>
    <row r="8272" spans="8:8">
      <c r="H8272" s="571"/>
    </row>
    <row r="8273" spans="8:8">
      <c r="H8273" s="571"/>
    </row>
    <row r="8274" spans="8:8">
      <c r="H8274" s="571"/>
    </row>
    <row r="8275" spans="8:8">
      <c r="H8275" s="571"/>
    </row>
    <row r="8276" spans="8:8">
      <c r="H8276" s="571"/>
    </row>
    <row r="8277" spans="8:8">
      <c r="H8277" s="571"/>
    </row>
    <row r="8278" spans="8:8">
      <c r="H8278" s="571"/>
    </row>
    <row r="8279" spans="8:8">
      <c r="H8279" s="571"/>
    </row>
    <row r="8280" spans="8:8">
      <c r="H8280" s="571"/>
    </row>
    <row r="8281" spans="8:8">
      <c r="H8281" s="571"/>
    </row>
    <row r="8282" spans="8:8">
      <c r="H8282" s="571"/>
    </row>
    <row r="8283" spans="8:8">
      <c r="H8283" s="571"/>
    </row>
    <row r="8284" spans="8:8">
      <c r="H8284" s="571"/>
    </row>
    <row r="8285" spans="8:8">
      <c r="H8285" s="571"/>
    </row>
    <row r="8286" spans="8:8">
      <c r="H8286" s="571"/>
    </row>
    <row r="8287" spans="8:8">
      <c r="H8287" s="571"/>
    </row>
    <row r="8288" spans="8:8">
      <c r="H8288" s="571"/>
    </row>
    <row r="8289" spans="8:8">
      <c r="H8289" s="571"/>
    </row>
    <row r="8290" spans="8:8">
      <c r="H8290" s="571"/>
    </row>
    <row r="8291" spans="8:8">
      <c r="H8291" s="571"/>
    </row>
  </sheetData>
  <mergeCells count="79">
    <mergeCell ref="H3966:J3966"/>
    <mergeCell ref="E2341:K2341"/>
    <mergeCell ref="F2370:G2370"/>
    <mergeCell ref="F2374:G2374"/>
    <mergeCell ref="I2374:J2374"/>
    <mergeCell ref="I2390:J2390"/>
    <mergeCell ref="H2713:I2713"/>
    <mergeCell ref="H3961:J3961"/>
    <mergeCell ref="H3962:J3962"/>
    <mergeCell ref="H3963:J3963"/>
    <mergeCell ref="H3964:J3964"/>
    <mergeCell ref="H3965:J3965"/>
    <mergeCell ref="H3978:J3978"/>
    <mergeCell ref="H3967:J3967"/>
    <mergeCell ref="H3968:J3968"/>
    <mergeCell ref="H3969:J3969"/>
    <mergeCell ref="H3970:J3970"/>
    <mergeCell ref="H3971:J3971"/>
    <mergeCell ref="H3972:J3972"/>
    <mergeCell ref="H3973:J3973"/>
    <mergeCell ref="H3974:J3974"/>
    <mergeCell ref="H3975:J3975"/>
    <mergeCell ref="H3976:J3976"/>
    <mergeCell ref="H3977:J3977"/>
    <mergeCell ref="H3990:J3990"/>
    <mergeCell ref="H3979:J3979"/>
    <mergeCell ref="H3980:J3980"/>
    <mergeCell ref="H3981:J3981"/>
    <mergeCell ref="H3982:J3982"/>
    <mergeCell ref="H3983:J3983"/>
    <mergeCell ref="H3984:J3984"/>
    <mergeCell ref="H3985:J3985"/>
    <mergeCell ref="H3986:J3986"/>
    <mergeCell ref="H3987:J3987"/>
    <mergeCell ref="H3988:J3988"/>
    <mergeCell ref="H3989:J3989"/>
    <mergeCell ref="H4002:J4002"/>
    <mergeCell ref="H3991:J3991"/>
    <mergeCell ref="H3992:J3992"/>
    <mergeCell ref="H3993:J3993"/>
    <mergeCell ref="H3994:J3994"/>
    <mergeCell ref="H3995:J3995"/>
    <mergeCell ref="H3996:J3996"/>
    <mergeCell ref="H3997:J3997"/>
    <mergeCell ref="H3998:J3998"/>
    <mergeCell ref="H3999:J3999"/>
    <mergeCell ref="H4000:J4000"/>
    <mergeCell ref="H4001:J4001"/>
    <mergeCell ref="H4014:J4014"/>
    <mergeCell ref="H4003:J4003"/>
    <mergeCell ref="H4004:J4004"/>
    <mergeCell ref="H4005:J4005"/>
    <mergeCell ref="H4006:J4006"/>
    <mergeCell ref="H4007:J4007"/>
    <mergeCell ref="H4008:J4008"/>
    <mergeCell ref="H4009:J4009"/>
    <mergeCell ref="H4010:J4010"/>
    <mergeCell ref="H4011:J4011"/>
    <mergeCell ref="H4012:J4012"/>
    <mergeCell ref="H4013:J4013"/>
    <mergeCell ref="H4026:J4026"/>
    <mergeCell ref="H4015:J4015"/>
    <mergeCell ref="H4016:J4016"/>
    <mergeCell ref="H4017:J4017"/>
    <mergeCell ref="H4018:J4018"/>
    <mergeCell ref="H4019:J4019"/>
    <mergeCell ref="H4020:J4020"/>
    <mergeCell ref="H4021:J4021"/>
    <mergeCell ref="H4022:J4022"/>
    <mergeCell ref="H4023:J4023"/>
    <mergeCell ref="H4024:J4024"/>
    <mergeCell ref="H4025:J4025"/>
    <mergeCell ref="H4033:J4033"/>
    <mergeCell ref="H4027:J4027"/>
    <mergeCell ref="H4028:J4028"/>
    <mergeCell ref="H4029:J4029"/>
    <mergeCell ref="H4030:J4030"/>
    <mergeCell ref="H4031:J4031"/>
    <mergeCell ref="H4032:J4032"/>
  </mergeCells>
  <pageMargins left="0.85" right="0.37" top="0.5" bottom="0.3" header="0.34" footer="0.18"/>
  <pageSetup paperSize="9" scale="85" orientation="portrait" r:id="rId1"/>
  <headerFooter alignWithMargins="0">
    <oddHeader>&amp;L2010 - 2011&amp;CElectrical Data&amp;R&amp;P</oddHeader>
  </headerFooter>
  <rowBreaks count="1" manualBreakCount="1">
    <brk id="3668" min="5" max="10" man="1"/>
  </rowBreaks>
  <drawing r:id="rId2"/>
</worksheet>
</file>

<file path=xl/worksheets/sheet3.xml><?xml version="1.0" encoding="utf-8"?>
<worksheet xmlns="http://schemas.openxmlformats.org/spreadsheetml/2006/main" xmlns:r="http://schemas.openxmlformats.org/officeDocument/2006/relationships">
  <sheetPr syncVertical="1" syncRef="A1" transitionEvaluation="1" codeName="Sheet42">
    <tabColor rgb="FF00B050"/>
  </sheetPr>
  <dimension ref="A1:IU3625"/>
  <sheetViews>
    <sheetView view="pageBreakPreview" zoomScale="70" zoomScaleNormal="75" zoomScaleSheetLayoutView="70" workbookViewId="0">
      <selection activeCell="C34" sqref="C34"/>
    </sheetView>
  </sheetViews>
  <sheetFormatPr defaultColWidth="9.5703125" defaultRowHeight="24" customHeight="1"/>
  <cols>
    <col min="1" max="1" width="12" style="501" customWidth="1"/>
    <col min="2" max="2" width="10" style="501" customWidth="1"/>
    <col min="3" max="3" width="52.7109375" style="501" customWidth="1"/>
    <col min="4" max="4" width="17.7109375" style="501" customWidth="1"/>
    <col min="5" max="5" width="8.85546875" style="501" customWidth="1"/>
    <col min="6" max="6" width="14.28515625" style="501" customWidth="1"/>
    <col min="7" max="7" width="23.7109375" style="915" customWidth="1"/>
    <col min="8" max="8" width="11.140625" style="501" customWidth="1"/>
    <col min="9" max="9" width="11.140625" style="874" customWidth="1"/>
    <col min="10" max="10" width="60" style="501" customWidth="1"/>
    <col min="11" max="11" width="12.7109375" style="501" customWidth="1"/>
    <col min="12" max="12" width="10.28515625" style="874" customWidth="1"/>
    <col min="13" max="13" width="13" style="554" customWidth="1"/>
    <col min="14" max="14" width="26.42578125" style="501" customWidth="1"/>
    <col min="15" max="15" width="12.140625" style="501" customWidth="1"/>
    <col min="16" max="16" width="10.85546875" style="501" customWidth="1"/>
    <col min="17" max="17" width="54" style="501" customWidth="1"/>
    <col min="18" max="18" width="13.85546875" style="501" customWidth="1"/>
    <col min="19" max="19" width="9.28515625" style="501" customWidth="1"/>
    <col min="20" max="20" width="13.85546875" style="501" customWidth="1"/>
    <col min="21" max="21" width="16.28515625" style="877" customWidth="1"/>
    <col min="22" max="22" width="11.5703125" style="501" customWidth="1"/>
    <col min="23" max="23" width="8.5703125" style="501" customWidth="1"/>
    <col min="24" max="24" width="49.7109375" style="501" customWidth="1"/>
    <col min="25" max="25" width="13.28515625" style="501" customWidth="1"/>
    <col min="26" max="26" width="8.42578125" style="501" customWidth="1"/>
    <col min="27" max="27" width="14.28515625" style="501" customWidth="1"/>
    <col min="28" max="28" width="12.42578125" style="501" customWidth="1"/>
    <col min="29" max="29" width="43.28515625" style="501" customWidth="1"/>
    <col min="30" max="30" width="17.42578125" style="501" customWidth="1"/>
    <col min="31" max="31" width="13.7109375" style="501" customWidth="1"/>
    <col min="32" max="32" width="19.42578125" style="501" customWidth="1"/>
    <col min="33" max="33" width="24.5703125" style="501" customWidth="1"/>
    <col min="34" max="34" width="17" style="501" customWidth="1"/>
    <col min="35" max="35" width="14.28515625" style="501" customWidth="1"/>
    <col min="36" max="36" width="11.28515625" style="501" customWidth="1"/>
    <col min="37" max="39" width="10.28515625" style="501" bestFit="1" customWidth="1"/>
    <col min="40" max="43" width="9.5703125" style="501"/>
    <col min="44" max="44" width="25.85546875" style="501" customWidth="1"/>
    <col min="45" max="46" width="9.5703125" style="501"/>
    <col min="47" max="47" width="14.140625" style="501" customWidth="1"/>
    <col min="48" max="256" width="9.5703125" style="501"/>
    <col min="257" max="257" width="12" style="501" customWidth="1"/>
    <col min="258" max="258" width="10" style="501" customWidth="1"/>
    <col min="259" max="259" width="52.7109375" style="501" customWidth="1"/>
    <col min="260" max="260" width="17.7109375" style="501" customWidth="1"/>
    <col min="261" max="261" width="8.85546875" style="501" customWidth="1"/>
    <col min="262" max="262" width="14.28515625" style="501" customWidth="1"/>
    <col min="263" max="263" width="23.7109375" style="501" customWidth="1"/>
    <col min="264" max="265" width="11.140625" style="501" customWidth="1"/>
    <col min="266" max="266" width="60" style="501" customWidth="1"/>
    <col min="267" max="267" width="12.7109375" style="501" customWidth="1"/>
    <col min="268" max="268" width="10.28515625" style="501" customWidth="1"/>
    <col min="269" max="269" width="13" style="501" customWidth="1"/>
    <col min="270" max="270" width="26.42578125" style="501" customWidth="1"/>
    <col min="271" max="271" width="12.140625" style="501" customWidth="1"/>
    <col min="272" max="272" width="10.85546875" style="501" customWidth="1"/>
    <col min="273" max="273" width="54" style="501" customWidth="1"/>
    <col min="274" max="274" width="13.85546875" style="501" customWidth="1"/>
    <col min="275" max="275" width="9.28515625" style="501" customWidth="1"/>
    <col min="276" max="276" width="13.85546875" style="501" customWidth="1"/>
    <col min="277" max="277" width="16.28515625" style="501" customWidth="1"/>
    <col min="278" max="278" width="11.5703125" style="501" customWidth="1"/>
    <col min="279" max="279" width="8.5703125" style="501" customWidth="1"/>
    <col min="280" max="280" width="49.7109375" style="501" customWidth="1"/>
    <col min="281" max="281" width="13.28515625" style="501" customWidth="1"/>
    <col min="282" max="282" width="8.42578125" style="501" customWidth="1"/>
    <col min="283" max="283" width="14.28515625" style="501" customWidth="1"/>
    <col min="284" max="284" width="12.42578125" style="501" customWidth="1"/>
    <col min="285" max="285" width="43.28515625" style="501" customWidth="1"/>
    <col min="286" max="286" width="17.42578125" style="501" customWidth="1"/>
    <col min="287" max="287" width="13.7109375" style="501" customWidth="1"/>
    <col min="288" max="288" width="19.42578125" style="501" customWidth="1"/>
    <col min="289" max="289" width="24.5703125" style="501" customWidth="1"/>
    <col min="290" max="290" width="17" style="501" customWidth="1"/>
    <col min="291" max="291" width="14.28515625" style="501" customWidth="1"/>
    <col min="292" max="292" width="11.28515625" style="501" customWidth="1"/>
    <col min="293" max="295" width="10.28515625" style="501" bestFit="1" customWidth="1"/>
    <col min="296" max="299" width="9.5703125" style="501"/>
    <col min="300" max="300" width="25.85546875" style="501" customWidth="1"/>
    <col min="301" max="302" width="9.5703125" style="501"/>
    <col min="303" max="303" width="14.140625" style="501" customWidth="1"/>
    <col min="304" max="512" width="9.5703125" style="501"/>
    <col min="513" max="513" width="12" style="501" customWidth="1"/>
    <col min="514" max="514" width="10" style="501" customWidth="1"/>
    <col min="515" max="515" width="52.7109375" style="501" customWidth="1"/>
    <col min="516" max="516" width="17.7109375" style="501" customWidth="1"/>
    <col min="517" max="517" width="8.85546875" style="501" customWidth="1"/>
    <col min="518" max="518" width="14.28515625" style="501" customWidth="1"/>
    <col min="519" max="519" width="23.7109375" style="501" customWidth="1"/>
    <col min="520" max="521" width="11.140625" style="501" customWidth="1"/>
    <col min="522" max="522" width="60" style="501" customWidth="1"/>
    <col min="523" max="523" width="12.7109375" style="501" customWidth="1"/>
    <col min="524" max="524" width="10.28515625" style="501" customWidth="1"/>
    <col min="525" max="525" width="13" style="501" customWidth="1"/>
    <col min="526" max="526" width="26.42578125" style="501" customWidth="1"/>
    <col min="527" max="527" width="12.140625" style="501" customWidth="1"/>
    <col min="528" max="528" width="10.85546875" style="501" customWidth="1"/>
    <col min="529" max="529" width="54" style="501" customWidth="1"/>
    <col min="530" max="530" width="13.85546875" style="501" customWidth="1"/>
    <col min="531" max="531" width="9.28515625" style="501" customWidth="1"/>
    <col min="532" max="532" width="13.85546875" style="501" customWidth="1"/>
    <col min="533" max="533" width="16.28515625" style="501" customWidth="1"/>
    <col min="534" max="534" width="11.5703125" style="501" customWidth="1"/>
    <col min="535" max="535" width="8.5703125" style="501" customWidth="1"/>
    <col min="536" max="536" width="49.7109375" style="501" customWidth="1"/>
    <col min="537" max="537" width="13.28515625" style="501" customWidth="1"/>
    <col min="538" max="538" width="8.42578125" style="501" customWidth="1"/>
    <col min="539" max="539" width="14.28515625" style="501" customWidth="1"/>
    <col min="540" max="540" width="12.42578125" style="501" customWidth="1"/>
    <col min="541" max="541" width="43.28515625" style="501" customWidth="1"/>
    <col min="542" max="542" width="17.42578125" style="501" customWidth="1"/>
    <col min="543" max="543" width="13.7109375" style="501" customWidth="1"/>
    <col min="544" max="544" width="19.42578125" style="501" customWidth="1"/>
    <col min="545" max="545" width="24.5703125" style="501" customWidth="1"/>
    <col min="546" max="546" width="17" style="501" customWidth="1"/>
    <col min="547" max="547" width="14.28515625" style="501" customWidth="1"/>
    <col min="548" max="548" width="11.28515625" style="501" customWidth="1"/>
    <col min="549" max="551" width="10.28515625" style="501" bestFit="1" customWidth="1"/>
    <col min="552" max="555" width="9.5703125" style="501"/>
    <col min="556" max="556" width="25.85546875" style="501" customWidth="1"/>
    <col min="557" max="558" width="9.5703125" style="501"/>
    <col min="559" max="559" width="14.140625" style="501" customWidth="1"/>
    <col min="560" max="768" width="9.5703125" style="501"/>
    <col min="769" max="769" width="12" style="501" customWidth="1"/>
    <col min="770" max="770" width="10" style="501" customWidth="1"/>
    <col min="771" max="771" width="52.7109375" style="501" customWidth="1"/>
    <col min="772" max="772" width="17.7109375" style="501" customWidth="1"/>
    <col min="773" max="773" width="8.85546875" style="501" customWidth="1"/>
    <col min="774" max="774" width="14.28515625" style="501" customWidth="1"/>
    <col min="775" max="775" width="23.7109375" style="501" customWidth="1"/>
    <col min="776" max="777" width="11.140625" style="501" customWidth="1"/>
    <col min="778" max="778" width="60" style="501" customWidth="1"/>
    <col min="779" max="779" width="12.7109375" style="501" customWidth="1"/>
    <col min="780" max="780" width="10.28515625" style="501" customWidth="1"/>
    <col min="781" max="781" width="13" style="501" customWidth="1"/>
    <col min="782" max="782" width="26.42578125" style="501" customWidth="1"/>
    <col min="783" max="783" width="12.140625" style="501" customWidth="1"/>
    <col min="784" max="784" width="10.85546875" style="501" customWidth="1"/>
    <col min="785" max="785" width="54" style="501" customWidth="1"/>
    <col min="786" max="786" width="13.85546875" style="501" customWidth="1"/>
    <col min="787" max="787" width="9.28515625" style="501" customWidth="1"/>
    <col min="788" max="788" width="13.85546875" style="501" customWidth="1"/>
    <col min="789" max="789" width="16.28515625" style="501" customWidth="1"/>
    <col min="790" max="790" width="11.5703125" style="501" customWidth="1"/>
    <col min="791" max="791" width="8.5703125" style="501" customWidth="1"/>
    <col min="792" max="792" width="49.7109375" style="501" customWidth="1"/>
    <col min="793" max="793" width="13.28515625" style="501" customWidth="1"/>
    <col min="794" max="794" width="8.42578125" style="501" customWidth="1"/>
    <col min="795" max="795" width="14.28515625" style="501" customWidth="1"/>
    <col min="796" max="796" width="12.42578125" style="501" customWidth="1"/>
    <col min="797" max="797" width="43.28515625" style="501" customWidth="1"/>
    <col min="798" max="798" width="17.42578125" style="501" customWidth="1"/>
    <col min="799" max="799" width="13.7109375" style="501" customWidth="1"/>
    <col min="800" max="800" width="19.42578125" style="501" customWidth="1"/>
    <col min="801" max="801" width="24.5703125" style="501" customWidth="1"/>
    <col min="802" max="802" width="17" style="501" customWidth="1"/>
    <col min="803" max="803" width="14.28515625" style="501" customWidth="1"/>
    <col min="804" max="804" width="11.28515625" style="501" customWidth="1"/>
    <col min="805" max="807" width="10.28515625" style="501" bestFit="1" customWidth="1"/>
    <col min="808" max="811" width="9.5703125" style="501"/>
    <col min="812" max="812" width="25.85546875" style="501" customWidth="1"/>
    <col min="813" max="814" width="9.5703125" style="501"/>
    <col min="815" max="815" width="14.140625" style="501" customWidth="1"/>
    <col min="816" max="1024" width="9.5703125" style="501"/>
    <col min="1025" max="1025" width="12" style="501" customWidth="1"/>
    <col min="1026" max="1026" width="10" style="501" customWidth="1"/>
    <col min="1027" max="1027" width="52.7109375" style="501" customWidth="1"/>
    <col min="1028" max="1028" width="17.7109375" style="501" customWidth="1"/>
    <col min="1029" max="1029" width="8.85546875" style="501" customWidth="1"/>
    <col min="1030" max="1030" width="14.28515625" style="501" customWidth="1"/>
    <col min="1031" max="1031" width="23.7109375" style="501" customWidth="1"/>
    <col min="1032" max="1033" width="11.140625" style="501" customWidth="1"/>
    <col min="1034" max="1034" width="60" style="501" customWidth="1"/>
    <col min="1035" max="1035" width="12.7109375" style="501" customWidth="1"/>
    <col min="1036" max="1036" width="10.28515625" style="501" customWidth="1"/>
    <col min="1037" max="1037" width="13" style="501" customWidth="1"/>
    <col min="1038" max="1038" width="26.42578125" style="501" customWidth="1"/>
    <col min="1039" max="1039" width="12.140625" style="501" customWidth="1"/>
    <col min="1040" max="1040" width="10.85546875" style="501" customWidth="1"/>
    <col min="1041" max="1041" width="54" style="501" customWidth="1"/>
    <col min="1042" max="1042" width="13.85546875" style="501" customWidth="1"/>
    <col min="1043" max="1043" width="9.28515625" style="501" customWidth="1"/>
    <col min="1044" max="1044" width="13.85546875" style="501" customWidth="1"/>
    <col min="1045" max="1045" width="16.28515625" style="501" customWidth="1"/>
    <col min="1046" max="1046" width="11.5703125" style="501" customWidth="1"/>
    <col min="1047" max="1047" width="8.5703125" style="501" customWidth="1"/>
    <col min="1048" max="1048" width="49.7109375" style="501" customWidth="1"/>
    <col min="1049" max="1049" width="13.28515625" style="501" customWidth="1"/>
    <col min="1050" max="1050" width="8.42578125" style="501" customWidth="1"/>
    <col min="1051" max="1051" width="14.28515625" style="501" customWidth="1"/>
    <col min="1052" max="1052" width="12.42578125" style="501" customWidth="1"/>
    <col min="1053" max="1053" width="43.28515625" style="501" customWidth="1"/>
    <col min="1054" max="1054" width="17.42578125" style="501" customWidth="1"/>
    <col min="1055" max="1055" width="13.7109375" style="501" customWidth="1"/>
    <col min="1056" max="1056" width="19.42578125" style="501" customWidth="1"/>
    <col min="1057" max="1057" width="24.5703125" style="501" customWidth="1"/>
    <col min="1058" max="1058" width="17" style="501" customWidth="1"/>
    <col min="1059" max="1059" width="14.28515625" style="501" customWidth="1"/>
    <col min="1060" max="1060" width="11.28515625" style="501" customWidth="1"/>
    <col min="1061" max="1063" width="10.28515625" style="501" bestFit="1" customWidth="1"/>
    <col min="1064" max="1067" width="9.5703125" style="501"/>
    <col min="1068" max="1068" width="25.85546875" style="501" customWidth="1"/>
    <col min="1069" max="1070" width="9.5703125" style="501"/>
    <col min="1071" max="1071" width="14.140625" style="501" customWidth="1"/>
    <col min="1072" max="1280" width="9.5703125" style="501"/>
    <col min="1281" max="1281" width="12" style="501" customWidth="1"/>
    <col min="1282" max="1282" width="10" style="501" customWidth="1"/>
    <col min="1283" max="1283" width="52.7109375" style="501" customWidth="1"/>
    <col min="1284" max="1284" width="17.7109375" style="501" customWidth="1"/>
    <col min="1285" max="1285" width="8.85546875" style="501" customWidth="1"/>
    <col min="1286" max="1286" width="14.28515625" style="501" customWidth="1"/>
    <col min="1287" max="1287" width="23.7109375" style="501" customWidth="1"/>
    <col min="1288" max="1289" width="11.140625" style="501" customWidth="1"/>
    <col min="1290" max="1290" width="60" style="501" customWidth="1"/>
    <col min="1291" max="1291" width="12.7109375" style="501" customWidth="1"/>
    <col min="1292" max="1292" width="10.28515625" style="501" customWidth="1"/>
    <col min="1293" max="1293" width="13" style="501" customWidth="1"/>
    <col min="1294" max="1294" width="26.42578125" style="501" customWidth="1"/>
    <col min="1295" max="1295" width="12.140625" style="501" customWidth="1"/>
    <col min="1296" max="1296" width="10.85546875" style="501" customWidth="1"/>
    <col min="1297" max="1297" width="54" style="501" customWidth="1"/>
    <col min="1298" max="1298" width="13.85546875" style="501" customWidth="1"/>
    <col min="1299" max="1299" width="9.28515625" style="501" customWidth="1"/>
    <col min="1300" max="1300" width="13.85546875" style="501" customWidth="1"/>
    <col min="1301" max="1301" width="16.28515625" style="501" customWidth="1"/>
    <col min="1302" max="1302" width="11.5703125" style="501" customWidth="1"/>
    <col min="1303" max="1303" width="8.5703125" style="501" customWidth="1"/>
    <col min="1304" max="1304" width="49.7109375" style="501" customWidth="1"/>
    <col min="1305" max="1305" width="13.28515625" style="501" customWidth="1"/>
    <col min="1306" max="1306" width="8.42578125" style="501" customWidth="1"/>
    <col min="1307" max="1307" width="14.28515625" style="501" customWidth="1"/>
    <col min="1308" max="1308" width="12.42578125" style="501" customWidth="1"/>
    <col min="1309" max="1309" width="43.28515625" style="501" customWidth="1"/>
    <col min="1310" max="1310" width="17.42578125" style="501" customWidth="1"/>
    <col min="1311" max="1311" width="13.7109375" style="501" customWidth="1"/>
    <col min="1312" max="1312" width="19.42578125" style="501" customWidth="1"/>
    <col min="1313" max="1313" width="24.5703125" style="501" customWidth="1"/>
    <col min="1314" max="1314" width="17" style="501" customWidth="1"/>
    <col min="1315" max="1315" width="14.28515625" style="501" customWidth="1"/>
    <col min="1316" max="1316" width="11.28515625" style="501" customWidth="1"/>
    <col min="1317" max="1319" width="10.28515625" style="501" bestFit="1" customWidth="1"/>
    <col min="1320" max="1323" width="9.5703125" style="501"/>
    <col min="1324" max="1324" width="25.85546875" style="501" customWidth="1"/>
    <col min="1325" max="1326" width="9.5703125" style="501"/>
    <col min="1327" max="1327" width="14.140625" style="501" customWidth="1"/>
    <col min="1328" max="1536" width="9.5703125" style="501"/>
    <col min="1537" max="1537" width="12" style="501" customWidth="1"/>
    <col min="1538" max="1538" width="10" style="501" customWidth="1"/>
    <col min="1539" max="1539" width="52.7109375" style="501" customWidth="1"/>
    <col min="1540" max="1540" width="17.7109375" style="501" customWidth="1"/>
    <col min="1541" max="1541" width="8.85546875" style="501" customWidth="1"/>
    <col min="1542" max="1542" width="14.28515625" style="501" customWidth="1"/>
    <col min="1543" max="1543" width="23.7109375" style="501" customWidth="1"/>
    <col min="1544" max="1545" width="11.140625" style="501" customWidth="1"/>
    <col min="1546" max="1546" width="60" style="501" customWidth="1"/>
    <col min="1547" max="1547" width="12.7109375" style="501" customWidth="1"/>
    <col min="1548" max="1548" width="10.28515625" style="501" customWidth="1"/>
    <col min="1549" max="1549" width="13" style="501" customWidth="1"/>
    <col min="1550" max="1550" width="26.42578125" style="501" customWidth="1"/>
    <col min="1551" max="1551" width="12.140625" style="501" customWidth="1"/>
    <col min="1552" max="1552" width="10.85546875" style="501" customWidth="1"/>
    <col min="1553" max="1553" width="54" style="501" customWidth="1"/>
    <col min="1554" max="1554" width="13.85546875" style="501" customWidth="1"/>
    <col min="1555" max="1555" width="9.28515625" style="501" customWidth="1"/>
    <col min="1556" max="1556" width="13.85546875" style="501" customWidth="1"/>
    <col min="1557" max="1557" width="16.28515625" style="501" customWidth="1"/>
    <col min="1558" max="1558" width="11.5703125" style="501" customWidth="1"/>
    <col min="1559" max="1559" width="8.5703125" style="501" customWidth="1"/>
    <col min="1560" max="1560" width="49.7109375" style="501" customWidth="1"/>
    <col min="1561" max="1561" width="13.28515625" style="501" customWidth="1"/>
    <col min="1562" max="1562" width="8.42578125" style="501" customWidth="1"/>
    <col min="1563" max="1563" width="14.28515625" style="501" customWidth="1"/>
    <col min="1564" max="1564" width="12.42578125" style="501" customWidth="1"/>
    <col min="1565" max="1565" width="43.28515625" style="501" customWidth="1"/>
    <col min="1566" max="1566" width="17.42578125" style="501" customWidth="1"/>
    <col min="1567" max="1567" width="13.7109375" style="501" customWidth="1"/>
    <col min="1568" max="1568" width="19.42578125" style="501" customWidth="1"/>
    <col min="1569" max="1569" width="24.5703125" style="501" customWidth="1"/>
    <col min="1570" max="1570" width="17" style="501" customWidth="1"/>
    <col min="1571" max="1571" width="14.28515625" style="501" customWidth="1"/>
    <col min="1572" max="1572" width="11.28515625" style="501" customWidth="1"/>
    <col min="1573" max="1575" width="10.28515625" style="501" bestFit="1" customWidth="1"/>
    <col min="1576" max="1579" width="9.5703125" style="501"/>
    <col min="1580" max="1580" width="25.85546875" style="501" customWidth="1"/>
    <col min="1581" max="1582" width="9.5703125" style="501"/>
    <col min="1583" max="1583" width="14.140625" style="501" customWidth="1"/>
    <col min="1584" max="1792" width="9.5703125" style="501"/>
    <col min="1793" max="1793" width="12" style="501" customWidth="1"/>
    <col min="1794" max="1794" width="10" style="501" customWidth="1"/>
    <col min="1795" max="1795" width="52.7109375" style="501" customWidth="1"/>
    <col min="1796" max="1796" width="17.7109375" style="501" customWidth="1"/>
    <col min="1797" max="1797" width="8.85546875" style="501" customWidth="1"/>
    <col min="1798" max="1798" width="14.28515625" style="501" customWidth="1"/>
    <col min="1799" max="1799" width="23.7109375" style="501" customWidth="1"/>
    <col min="1800" max="1801" width="11.140625" style="501" customWidth="1"/>
    <col min="1802" max="1802" width="60" style="501" customWidth="1"/>
    <col min="1803" max="1803" width="12.7109375" style="501" customWidth="1"/>
    <col min="1804" max="1804" width="10.28515625" style="501" customWidth="1"/>
    <col min="1805" max="1805" width="13" style="501" customWidth="1"/>
    <col min="1806" max="1806" width="26.42578125" style="501" customWidth="1"/>
    <col min="1807" max="1807" width="12.140625" style="501" customWidth="1"/>
    <col min="1808" max="1808" width="10.85546875" style="501" customWidth="1"/>
    <col min="1809" max="1809" width="54" style="501" customWidth="1"/>
    <col min="1810" max="1810" width="13.85546875" style="501" customWidth="1"/>
    <col min="1811" max="1811" width="9.28515625" style="501" customWidth="1"/>
    <col min="1812" max="1812" width="13.85546875" style="501" customWidth="1"/>
    <col min="1813" max="1813" width="16.28515625" style="501" customWidth="1"/>
    <col min="1814" max="1814" width="11.5703125" style="501" customWidth="1"/>
    <col min="1815" max="1815" width="8.5703125" style="501" customWidth="1"/>
    <col min="1816" max="1816" width="49.7109375" style="501" customWidth="1"/>
    <col min="1817" max="1817" width="13.28515625" style="501" customWidth="1"/>
    <col min="1818" max="1818" width="8.42578125" style="501" customWidth="1"/>
    <col min="1819" max="1819" width="14.28515625" style="501" customWidth="1"/>
    <col min="1820" max="1820" width="12.42578125" style="501" customWidth="1"/>
    <col min="1821" max="1821" width="43.28515625" style="501" customWidth="1"/>
    <col min="1822" max="1822" width="17.42578125" style="501" customWidth="1"/>
    <col min="1823" max="1823" width="13.7109375" style="501" customWidth="1"/>
    <col min="1824" max="1824" width="19.42578125" style="501" customWidth="1"/>
    <col min="1825" max="1825" width="24.5703125" style="501" customWidth="1"/>
    <col min="1826" max="1826" width="17" style="501" customWidth="1"/>
    <col min="1827" max="1827" width="14.28515625" style="501" customWidth="1"/>
    <col min="1828" max="1828" width="11.28515625" style="501" customWidth="1"/>
    <col min="1829" max="1831" width="10.28515625" style="501" bestFit="1" customWidth="1"/>
    <col min="1832" max="1835" width="9.5703125" style="501"/>
    <col min="1836" max="1836" width="25.85546875" style="501" customWidth="1"/>
    <col min="1837" max="1838" width="9.5703125" style="501"/>
    <col min="1839" max="1839" width="14.140625" style="501" customWidth="1"/>
    <col min="1840" max="2048" width="9.5703125" style="501"/>
    <col min="2049" max="2049" width="12" style="501" customWidth="1"/>
    <col min="2050" max="2050" width="10" style="501" customWidth="1"/>
    <col min="2051" max="2051" width="52.7109375" style="501" customWidth="1"/>
    <col min="2052" max="2052" width="17.7109375" style="501" customWidth="1"/>
    <col min="2053" max="2053" width="8.85546875" style="501" customWidth="1"/>
    <col min="2054" max="2054" width="14.28515625" style="501" customWidth="1"/>
    <col min="2055" max="2055" width="23.7109375" style="501" customWidth="1"/>
    <col min="2056" max="2057" width="11.140625" style="501" customWidth="1"/>
    <col min="2058" max="2058" width="60" style="501" customWidth="1"/>
    <col min="2059" max="2059" width="12.7109375" style="501" customWidth="1"/>
    <col min="2060" max="2060" width="10.28515625" style="501" customWidth="1"/>
    <col min="2061" max="2061" width="13" style="501" customWidth="1"/>
    <col min="2062" max="2062" width="26.42578125" style="501" customWidth="1"/>
    <col min="2063" max="2063" width="12.140625" style="501" customWidth="1"/>
    <col min="2064" max="2064" width="10.85546875" style="501" customWidth="1"/>
    <col min="2065" max="2065" width="54" style="501" customWidth="1"/>
    <col min="2066" max="2066" width="13.85546875" style="501" customWidth="1"/>
    <col min="2067" max="2067" width="9.28515625" style="501" customWidth="1"/>
    <col min="2068" max="2068" width="13.85546875" style="501" customWidth="1"/>
    <col min="2069" max="2069" width="16.28515625" style="501" customWidth="1"/>
    <col min="2070" max="2070" width="11.5703125" style="501" customWidth="1"/>
    <col min="2071" max="2071" width="8.5703125" style="501" customWidth="1"/>
    <col min="2072" max="2072" width="49.7109375" style="501" customWidth="1"/>
    <col min="2073" max="2073" width="13.28515625" style="501" customWidth="1"/>
    <col min="2074" max="2074" width="8.42578125" style="501" customWidth="1"/>
    <col min="2075" max="2075" width="14.28515625" style="501" customWidth="1"/>
    <col min="2076" max="2076" width="12.42578125" style="501" customWidth="1"/>
    <col min="2077" max="2077" width="43.28515625" style="501" customWidth="1"/>
    <col min="2078" max="2078" width="17.42578125" style="501" customWidth="1"/>
    <col min="2079" max="2079" width="13.7109375" style="501" customWidth="1"/>
    <col min="2080" max="2080" width="19.42578125" style="501" customWidth="1"/>
    <col min="2081" max="2081" width="24.5703125" style="501" customWidth="1"/>
    <col min="2082" max="2082" width="17" style="501" customWidth="1"/>
    <col min="2083" max="2083" width="14.28515625" style="501" customWidth="1"/>
    <col min="2084" max="2084" width="11.28515625" style="501" customWidth="1"/>
    <col min="2085" max="2087" width="10.28515625" style="501" bestFit="1" customWidth="1"/>
    <col min="2088" max="2091" width="9.5703125" style="501"/>
    <col min="2092" max="2092" width="25.85546875" style="501" customWidth="1"/>
    <col min="2093" max="2094" width="9.5703125" style="501"/>
    <col min="2095" max="2095" width="14.140625" style="501" customWidth="1"/>
    <col min="2096" max="2304" width="9.5703125" style="501"/>
    <col min="2305" max="2305" width="12" style="501" customWidth="1"/>
    <col min="2306" max="2306" width="10" style="501" customWidth="1"/>
    <col min="2307" max="2307" width="52.7109375" style="501" customWidth="1"/>
    <col min="2308" max="2308" width="17.7109375" style="501" customWidth="1"/>
    <col min="2309" max="2309" width="8.85546875" style="501" customWidth="1"/>
    <col min="2310" max="2310" width="14.28515625" style="501" customWidth="1"/>
    <col min="2311" max="2311" width="23.7109375" style="501" customWidth="1"/>
    <col min="2312" max="2313" width="11.140625" style="501" customWidth="1"/>
    <col min="2314" max="2314" width="60" style="501" customWidth="1"/>
    <col min="2315" max="2315" width="12.7109375" style="501" customWidth="1"/>
    <col min="2316" max="2316" width="10.28515625" style="501" customWidth="1"/>
    <col min="2317" max="2317" width="13" style="501" customWidth="1"/>
    <col min="2318" max="2318" width="26.42578125" style="501" customWidth="1"/>
    <col min="2319" max="2319" width="12.140625" style="501" customWidth="1"/>
    <col min="2320" max="2320" width="10.85546875" style="501" customWidth="1"/>
    <col min="2321" max="2321" width="54" style="501" customWidth="1"/>
    <col min="2322" max="2322" width="13.85546875" style="501" customWidth="1"/>
    <col min="2323" max="2323" width="9.28515625" style="501" customWidth="1"/>
    <col min="2324" max="2324" width="13.85546875" style="501" customWidth="1"/>
    <col min="2325" max="2325" width="16.28515625" style="501" customWidth="1"/>
    <col min="2326" max="2326" width="11.5703125" style="501" customWidth="1"/>
    <col min="2327" max="2327" width="8.5703125" style="501" customWidth="1"/>
    <col min="2328" max="2328" width="49.7109375" style="501" customWidth="1"/>
    <col min="2329" max="2329" width="13.28515625" style="501" customWidth="1"/>
    <col min="2330" max="2330" width="8.42578125" style="501" customWidth="1"/>
    <col min="2331" max="2331" width="14.28515625" style="501" customWidth="1"/>
    <col min="2332" max="2332" width="12.42578125" style="501" customWidth="1"/>
    <col min="2333" max="2333" width="43.28515625" style="501" customWidth="1"/>
    <col min="2334" max="2334" width="17.42578125" style="501" customWidth="1"/>
    <col min="2335" max="2335" width="13.7109375" style="501" customWidth="1"/>
    <col min="2336" max="2336" width="19.42578125" style="501" customWidth="1"/>
    <col min="2337" max="2337" width="24.5703125" style="501" customWidth="1"/>
    <col min="2338" max="2338" width="17" style="501" customWidth="1"/>
    <col min="2339" max="2339" width="14.28515625" style="501" customWidth="1"/>
    <col min="2340" max="2340" width="11.28515625" style="501" customWidth="1"/>
    <col min="2341" max="2343" width="10.28515625" style="501" bestFit="1" customWidth="1"/>
    <col min="2344" max="2347" width="9.5703125" style="501"/>
    <col min="2348" max="2348" width="25.85546875" style="501" customWidth="1"/>
    <col min="2349" max="2350" width="9.5703125" style="501"/>
    <col min="2351" max="2351" width="14.140625" style="501" customWidth="1"/>
    <col min="2352" max="2560" width="9.5703125" style="501"/>
    <col min="2561" max="2561" width="12" style="501" customWidth="1"/>
    <col min="2562" max="2562" width="10" style="501" customWidth="1"/>
    <col min="2563" max="2563" width="52.7109375" style="501" customWidth="1"/>
    <col min="2564" max="2564" width="17.7109375" style="501" customWidth="1"/>
    <col min="2565" max="2565" width="8.85546875" style="501" customWidth="1"/>
    <col min="2566" max="2566" width="14.28515625" style="501" customWidth="1"/>
    <col min="2567" max="2567" width="23.7109375" style="501" customWidth="1"/>
    <col min="2568" max="2569" width="11.140625" style="501" customWidth="1"/>
    <col min="2570" max="2570" width="60" style="501" customWidth="1"/>
    <col min="2571" max="2571" width="12.7109375" style="501" customWidth="1"/>
    <col min="2572" max="2572" width="10.28515625" style="501" customWidth="1"/>
    <col min="2573" max="2573" width="13" style="501" customWidth="1"/>
    <col min="2574" max="2574" width="26.42578125" style="501" customWidth="1"/>
    <col min="2575" max="2575" width="12.140625" style="501" customWidth="1"/>
    <col min="2576" max="2576" width="10.85546875" style="501" customWidth="1"/>
    <col min="2577" max="2577" width="54" style="501" customWidth="1"/>
    <col min="2578" max="2578" width="13.85546875" style="501" customWidth="1"/>
    <col min="2579" max="2579" width="9.28515625" style="501" customWidth="1"/>
    <col min="2580" max="2580" width="13.85546875" style="501" customWidth="1"/>
    <col min="2581" max="2581" width="16.28515625" style="501" customWidth="1"/>
    <col min="2582" max="2582" width="11.5703125" style="501" customWidth="1"/>
    <col min="2583" max="2583" width="8.5703125" style="501" customWidth="1"/>
    <col min="2584" max="2584" width="49.7109375" style="501" customWidth="1"/>
    <col min="2585" max="2585" width="13.28515625" style="501" customWidth="1"/>
    <col min="2586" max="2586" width="8.42578125" style="501" customWidth="1"/>
    <col min="2587" max="2587" width="14.28515625" style="501" customWidth="1"/>
    <col min="2588" max="2588" width="12.42578125" style="501" customWidth="1"/>
    <col min="2589" max="2589" width="43.28515625" style="501" customWidth="1"/>
    <col min="2590" max="2590" width="17.42578125" style="501" customWidth="1"/>
    <col min="2591" max="2591" width="13.7109375" style="501" customWidth="1"/>
    <col min="2592" max="2592" width="19.42578125" style="501" customWidth="1"/>
    <col min="2593" max="2593" width="24.5703125" style="501" customWidth="1"/>
    <col min="2594" max="2594" width="17" style="501" customWidth="1"/>
    <col min="2595" max="2595" width="14.28515625" style="501" customWidth="1"/>
    <col min="2596" max="2596" width="11.28515625" style="501" customWidth="1"/>
    <col min="2597" max="2599" width="10.28515625" style="501" bestFit="1" customWidth="1"/>
    <col min="2600" max="2603" width="9.5703125" style="501"/>
    <col min="2604" max="2604" width="25.85546875" style="501" customWidth="1"/>
    <col min="2605" max="2606" width="9.5703125" style="501"/>
    <col min="2607" max="2607" width="14.140625" style="501" customWidth="1"/>
    <col min="2608" max="2816" width="9.5703125" style="501"/>
    <col min="2817" max="2817" width="12" style="501" customWidth="1"/>
    <col min="2818" max="2818" width="10" style="501" customWidth="1"/>
    <col min="2819" max="2819" width="52.7109375" style="501" customWidth="1"/>
    <col min="2820" max="2820" width="17.7109375" style="501" customWidth="1"/>
    <col min="2821" max="2821" width="8.85546875" style="501" customWidth="1"/>
    <col min="2822" max="2822" width="14.28515625" style="501" customWidth="1"/>
    <col min="2823" max="2823" width="23.7109375" style="501" customWidth="1"/>
    <col min="2824" max="2825" width="11.140625" style="501" customWidth="1"/>
    <col min="2826" max="2826" width="60" style="501" customWidth="1"/>
    <col min="2827" max="2827" width="12.7109375" style="501" customWidth="1"/>
    <col min="2828" max="2828" width="10.28515625" style="501" customWidth="1"/>
    <col min="2829" max="2829" width="13" style="501" customWidth="1"/>
    <col min="2830" max="2830" width="26.42578125" style="501" customWidth="1"/>
    <col min="2831" max="2831" width="12.140625" style="501" customWidth="1"/>
    <col min="2832" max="2832" width="10.85546875" style="501" customWidth="1"/>
    <col min="2833" max="2833" width="54" style="501" customWidth="1"/>
    <col min="2834" max="2834" width="13.85546875" style="501" customWidth="1"/>
    <col min="2835" max="2835" width="9.28515625" style="501" customWidth="1"/>
    <col min="2836" max="2836" width="13.85546875" style="501" customWidth="1"/>
    <col min="2837" max="2837" width="16.28515625" style="501" customWidth="1"/>
    <col min="2838" max="2838" width="11.5703125" style="501" customWidth="1"/>
    <col min="2839" max="2839" width="8.5703125" style="501" customWidth="1"/>
    <col min="2840" max="2840" width="49.7109375" style="501" customWidth="1"/>
    <col min="2841" max="2841" width="13.28515625" style="501" customWidth="1"/>
    <col min="2842" max="2842" width="8.42578125" style="501" customWidth="1"/>
    <col min="2843" max="2843" width="14.28515625" style="501" customWidth="1"/>
    <col min="2844" max="2844" width="12.42578125" style="501" customWidth="1"/>
    <col min="2845" max="2845" width="43.28515625" style="501" customWidth="1"/>
    <col min="2846" max="2846" width="17.42578125" style="501" customWidth="1"/>
    <col min="2847" max="2847" width="13.7109375" style="501" customWidth="1"/>
    <col min="2848" max="2848" width="19.42578125" style="501" customWidth="1"/>
    <col min="2849" max="2849" width="24.5703125" style="501" customWidth="1"/>
    <col min="2850" max="2850" width="17" style="501" customWidth="1"/>
    <col min="2851" max="2851" width="14.28515625" style="501" customWidth="1"/>
    <col min="2852" max="2852" width="11.28515625" style="501" customWidth="1"/>
    <col min="2853" max="2855" width="10.28515625" style="501" bestFit="1" customWidth="1"/>
    <col min="2856" max="2859" width="9.5703125" style="501"/>
    <col min="2860" max="2860" width="25.85546875" style="501" customWidth="1"/>
    <col min="2861" max="2862" width="9.5703125" style="501"/>
    <col min="2863" max="2863" width="14.140625" style="501" customWidth="1"/>
    <col min="2864" max="3072" width="9.5703125" style="501"/>
    <col min="3073" max="3073" width="12" style="501" customWidth="1"/>
    <col min="3074" max="3074" width="10" style="501" customWidth="1"/>
    <col min="3075" max="3075" width="52.7109375" style="501" customWidth="1"/>
    <col min="3076" max="3076" width="17.7109375" style="501" customWidth="1"/>
    <col min="3077" max="3077" width="8.85546875" style="501" customWidth="1"/>
    <col min="3078" max="3078" width="14.28515625" style="501" customWidth="1"/>
    <col min="3079" max="3079" width="23.7109375" style="501" customWidth="1"/>
    <col min="3080" max="3081" width="11.140625" style="501" customWidth="1"/>
    <col min="3082" max="3082" width="60" style="501" customWidth="1"/>
    <col min="3083" max="3083" width="12.7109375" style="501" customWidth="1"/>
    <col min="3084" max="3084" width="10.28515625" style="501" customWidth="1"/>
    <col min="3085" max="3085" width="13" style="501" customWidth="1"/>
    <col min="3086" max="3086" width="26.42578125" style="501" customWidth="1"/>
    <col min="3087" max="3087" width="12.140625" style="501" customWidth="1"/>
    <col min="3088" max="3088" width="10.85546875" style="501" customWidth="1"/>
    <col min="3089" max="3089" width="54" style="501" customWidth="1"/>
    <col min="3090" max="3090" width="13.85546875" style="501" customWidth="1"/>
    <col min="3091" max="3091" width="9.28515625" style="501" customWidth="1"/>
    <col min="3092" max="3092" width="13.85546875" style="501" customWidth="1"/>
    <col min="3093" max="3093" width="16.28515625" style="501" customWidth="1"/>
    <col min="3094" max="3094" width="11.5703125" style="501" customWidth="1"/>
    <col min="3095" max="3095" width="8.5703125" style="501" customWidth="1"/>
    <col min="3096" max="3096" width="49.7109375" style="501" customWidth="1"/>
    <col min="3097" max="3097" width="13.28515625" style="501" customWidth="1"/>
    <col min="3098" max="3098" width="8.42578125" style="501" customWidth="1"/>
    <col min="3099" max="3099" width="14.28515625" style="501" customWidth="1"/>
    <col min="3100" max="3100" width="12.42578125" style="501" customWidth="1"/>
    <col min="3101" max="3101" width="43.28515625" style="501" customWidth="1"/>
    <col min="3102" max="3102" width="17.42578125" style="501" customWidth="1"/>
    <col min="3103" max="3103" width="13.7109375" style="501" customWidth="1"/>
    <col min="3104" max="3104" width="19.42578125" style="501" customWidth="1"/>
    <col min="3105" max="3105" width="24.5703125" style="501" customWidth="1"/>
    <col min="3106" max="3106" width="17" style="501" customWidth="1"/>
    <col min="3107" max="3107" width="14.28515625" style="501" customWidth="1"/>
    <col min="3108" max="3108" width="11.28515625" style="501" customWidth="1"/>
    <col min="3109" max="3111" width="10.28515625" style="501" bestFit="1" customWidth="1"/>
    <col min="3112" max="3115" width="9.5703125" style="501"/>
    <col min="3116" max="3116" width="25.85546875" style="501" customWidth="1"/>
    <col min="3117" max="3118" width="9.5703125" style="501"/>
    <col min="3119" max="3119" width="14.140625" style="501" customWidth="1"/>
    <col min="3120" max="3328" width="9.5703125" style="501"/>
    <col min="3329" max="3329" width="12" style="501" customWidth="1"/>
    <col min="3330" max="3330" width="10" style="501" customWidth="1"/>
    <col min="3331" max="3331" width="52.7109375" style="501" customWidth="1"/>
    <col min="3332" max="3332" width="17.7109375" style="501" customWidth="1"/>
    <col min="3333" max="3333" width="8.85546875" style="501" customWidth="1"/>
    <col min="3334" max="3334" width="14.28515625" style="501" customWidth="1"/>
    <col min="3335" max="3335" width="23.7109375" style="501" customWidth="1"/>
    <col min="3336" max="3337" width="11.140625" style="501" customWidth="1"/>
    <col min="3338" max="3338" width="60" style="501" customWidth="1"/>
    <col min="3339" max="3339" width="12.7109375" style="501" customWidth="1"/>
    <col min="3340" max="3340" width="10.28515625" style="501" customWidth="1"/>
    <col min="3341" max="3341" width="13" style="501" customWidth="1"/>
    <col min="3342" max="3342" width="26.42578125" style="501" customWidth="1"/>
    <col min="3343" max="3343" width="12.140625" style="501" customWidth="1"/>
    <col min="3344" max="3344" width="10.85546875" style="501" customWidth="1"/>
    <col min="3345" max="3345" width="54" style="501" customWidth="1"/>
    <col min="3346" max="3346" width="13.85546875" style="501" customWidth="1"/>
    <col min="3347" max="3347" width="9.28515625" style="501" customWidth="1"/>
    <col min="3348" max="3348" width="13.85546875" style="501" customWidth="1"/>
    <col min="3349" max="3349" width="16.28515625" style="501" customWidth="1"/>
    <col min="3350" max="3350" width="11.5703125" style="501" customWidth="1"/>
    <col min="3351" max="3351" width="8.5703125" style="501" customWidth="1"/>
    <col min="3352" max="3352" width="49.7109375" style="501" customWidth="1"/>
    <col min="3353" max="3353" width="13.28515625" style="501" customWidth="1"/>
    <col min="3354" max="3354" width="8.42578125" style="501" customWidth="1"/>
    <col min="3355" max="3355" width="14.28515625" style="501" customWidth="1"/>
    <col min="3356" max="3356" width="12.42578125" style="501" customWidth="1"/>
    <col min="3357" max="3357" width="43.28515625" style="501" customWidth="1"/>
    <col min="3358" max="3358" width="17.42578125" style="501" customWidth="1"/>
    <col min="3359" max="3359" width="13.7109375" style="501" customWidth="1"/>
    <col min="3360" max="3360" width="19.42578125" style="501" customWidth="1"/>
    <col min="3361" max="3361" width="24.5703125" style="501" customWidth="1"/>
    <col min="3362" max="3362" width="17" style="501" customWidth="1"/>
    <col min="3363" max="3363" width="14.28515625" style="501" customWidth="1"/>
    <col min="3364" max="3364" width="11.28515625" style="501" customWidth="1"/>
    <col min="3365" max="3367" width="10.28515625" style="501" bestFit="1" customWidth="1"/>
    <col min="3368" max="3371" width="9.5703125" style="501"/>
    <col min="3372" max="3372" width="25.85546875" style="501" customWidth="1"/>
    <col min="3373" max="3374" width="9.5703125" style="501"/>
    <col min="3375" max="3375" width="14.140625" style="501" customWidth="1"/>
    <col min="3376" max="3584" width="9.5703125" style="501"/>
    <col min="3585" max="3585" width="12" style="501" customWidth="1"/>
    <col min="3586" max="3586" width="10" style="501" customWidth="1"/>
    <col min="3587" max="3587" width="52.7109375" style="501" customWidth="1"/>
    <col min="3588" max="3588" width="17.7109375" style="501" customWidth="1"/>
    <col min="3589" max="3589" width="8.85546875" style="501" customWidth="1"/>
    <col min="3590" max="3590" width="14.28515625" style="501" customWidth="1"/>
    <col min="3591" max="3591" width="23.7109375" style="501" customWidth="1"/>
    <col min="3592" max="3593" width="11.140625" style="501" customWidth="1"/>
    <col min="3594" max="3594" width="60" style="501" customWidth="1"/>
    <col min="3595" max="3595" width="12.7109375" style="501" customWidth="1"/>
    <col min="3596" max="3596" width="10.28515625" style="501" customWidth="1"/>
    <col min="3597" max="3597" width="13" style="501" customWidth="1"/>
    <col min="3598" max="3598" width="26.42578125" style="501" customWidth="1"/>
    <col min="3599" max="3599" width="12.140625" style="501" customWidth="1"/>
    <col min="3600" max="3600" width="10.85546875" style="501" customWidth="1"/>
    <col min="3601" max="3601" width="54" style="501" customWidth="1"/>
    <col min="3602" max="3602" width="13.85546875" style="501" customWidth="1"/>
    <col min="3603" max="3603" width="9.28515625" style="501" customWidth="1"/>
    <col min="3604" max="3604" width="13.85546875" style="501" customWidth="1"/>
    <col min="3605" max="3605" width="16.28515625" style="501" customWidth="1"/>
    <col min="3606" max="3606" width="11.5703125" style="501" customWidth="1"/>
    <col min="3607" max="3607" width="8.5703125" style="501" customWidth="1"/>
    <col min="3608" max="3608" width="49.7109375" style="501" customWidth="1"/>
    <col min="3609" max="3609" width="13.28515625" style="501" customWidth="1"/>
    <col min="3610" max="3610" width="8.42578125" style="501" customWidth="1"/>
    <col min="3611" max="3611" width="14.28515625" style="501" customWidth="1"/>
    <col min="3612" max="3612" width="12.42578125" style="501" customWidth="1"/>
    <col min="3613" max="3613" width="43.28515625" style="501" customWidth="1"/>
    <col min="3614" max="3614" width="17.42578125" style="501" customWidth="1"/>
    <col min="3615" max="3615" width="13.7109375" style="501" customWidth="1"/>
    <col min="3616" max="3616" width="19.42578125" style="501" customWidth="1"/>
    <col min="3617" max="3617" width="24.5703125" style="501" customWidth="1"/>
    <col min="3618" max="3618" width="17" style="501" customWidth="1"/>
    <col min="3619" max="3619" width="14.28515625" style="501" customWidth="1"/>
    <col min="3620" max="3620" width="11.28515625" style="501" customWidth="1"/>
    <col min="3621" max="3623" width="10.28515625" style="501" bestFit="1" customWidth="1"/>
    <col min="3624" max="3627" width="9.5703125" style="501"/>
    <col min="3628" max="3628" width="25.85546875" style="501" customWidth="1"/>
    <col min="3629" max="3630" width="9.5703125" style="501"/>
    <col min="3631" max="3631" width="14.140625" style="501" customWidth="1"/>
    <col min="3632" max="3840" width="9.5703125" style="501"/>
    <col min="3841" max="3841" width="12" style="501" customWidth="1"/>
    <col min="3842" max="3842" width="10" style="501" customWidth="1"/>
    <col min="3843" max="3843" width="52.7109375" style="501" customWidth="1"/>
    <col min="3844" max="3844" width="17.7109375" style="501" customWidth="1"/>
    <col min="3845" max="3845" width="8.85546875" style="501" customWidth="1"/>
    <col min="3846" max="3846" width="14.28515625" style="501" customWidth="1"/>
    <col min="3847" max="3847" width="23.7109375" style="501" customWidth="1"/>
    <col min="3848" max="3849" width="11.140625" style="501" customWidth="1"/>
    <col min="3850" max="3850" width="60" style="501" customWidth="1"/>
    <col min="3851" max="3851" width="12.7109375" style="501" customWidth="1"/>
    <col min="3852" max="3852" width="10.28515625" style="501" customWidth="1"/>
    <col min="3853" max="3853" width="13" style="501" customWidth="1"/>
    <col min="3854" max="3854" width="26.42578125" style="501" customWidth="1"/>
    <col min="3855" max="3855" width="12.140625" style="501" customWidth="1"/>
    <col min="3856" max="3856" width="10.85546875" style="501" customWidth="1"/>
    <col min="3857" max="3857" width="54" style="501" customWidth="1"/>
    <col min="3858" max="3858" width="13.85546875" style="501" customWidth="1"/>
    <col min="3859" max="3859" width="9.28515625" style="501" customWidth="1"/>
    <col min="3860" max="3860" width="13.85546875" style="501" customWidth="1"/>
    <col min="3861" max="3861" width="16.28515625" style="501" customWidth="1"/>
    <col min="3862" max="3862" width="11.5703125" style="501" customWidth="1"/>
    <col min="3863" max="3863" width="8.5703125" style="501" customWidth="1"/>
    <col min="3864" max="3864" width="49.7109375" style="501" customWidth="1"/>
    <col min="3865" max="3865" width="13.28515625" style="501" customWidth="1"/>
    <col min="3866" max="3866" width="8.42578125" style="501" customWidth="1"/>
    <col min="3867" max="3867" width="14.28515625" style="501" customWidth="1"/>
    <col min="3868" max="3868" width="12.42578125" style="501" customWidth="1"/>
    <col min="3869" max="3869" width="43.28515625" style="501" customWidth="1"/>
    <col min="3870" max="3870" width="17.42578125" style="501" customWidth="1"/>
    <col min="3871" max="3871" width="13.7109375" style="501" customWidth="1"/>
    <col min="3872" max="3872" width="19.42578125" style="501" customWidth="1"/>
    <col min="3873" max="3873" width="24.5703125" style="501" customWidth="1"/>
    <col min="3874" max="3874" width="17" style="501" customWidth="1"/>
    <col min="3875" max="3875" width="14.28515625" style="501" customWidth="1"/>
    <col min="3876" max="3876" width="11.28515625" style="501" customWidth="1"/>
    <col min="3877" max="3879" width="10.28515625" style="501" bestFit="1" customWidth="1"/>
    <col min="3880" max="3883" width="9.5703125" style="501"/>
    <col min="3884" max="3884" width="25.85546875" style="501" customWidth="1"/>
    <col min="3885" max="3886" width="9.5703125" style="501"/>
    <col min="3887" max="3887" width="14.140625" style="501" customWidth="1"/>
    <col min="3888" max="4096" width="9.5703125" style="501"/>
    <col min="4097" max="4097" width="12" style="501" customWidth="1"/>
    <col min="4098" max="4098" width="10" style="501" customWidth="1"/>
    <col min="4099" max="4099" width="52.7109375" style="501" customWidth="1"/>
    <col min="4100" max="4100" width="17.7109375" style="501" customWidth="1"/>
    <col min="4101" max="4101" width="8.85546875" style="501" customWidth="1"/>
    <col min="4102" max="4102" width="14.28515625" style="501" customWidth="1"/>
    <col min="4103" max="4103" width="23.7109375" style="501" customWidth="1"/>
    <col min="4104" max="4105" width="11.140625" style="501" customWidth="1"/>
    <col min="4106" max="4106" width="60" style="501" customWidth="1"/>
    <col min="4107" max="4107" width="12.7109375" style="501" customWidth="1"/>
    <col min="4108" max="4108" width="10.28515625" style="501" customWidth="1"/>
    <col min="4109" max="4109" width="13" style="501" customWidth="1"/>
    <col min="4110" max="4110" width="26.42578125" style="501" customWidth="1"/>
    <col min="4111" max="4111" width="12.140625" style="501" customWidth="1"/>
    <col min="4112" max="4112" width="10.85546875" style="501" customWidth="1"/>
    <col min="4113" max="4113" width="54" style="501" customWidth="1"/>
    <col min="4114" max="4114" width="13.85546875" style="501" customWidth="1"/>
    <col min="4115" max="4115" width="9.28515625" style="501" customWidth="1"/>
    <col min="4116" max="4116" width="13.85546875" style="501" customWidth="1"/>
    <col min="4117" max="4117" width="16.28515625" style="501" customWidth="1"/>
    <col min="4118" max="4118" width="11.5703125" style="501" customWidth="1"/>
    <col min="4119" max="4119" width="8.5703125" style="501" customWidth="1"/>
    <col min="4120" max="4120" width="49.7109375" style="501" customWidth="1"/>
    <col min="4121" max="4121" width="13.28515625" style="501" customWidth="1"/>
    <col min="4122" max="4122" width="8.42578125" style="501" customWidth="1"/>
    <col min="4123" max="4123" width="14.28515625" style="501" customWidth="1"/>
    <col min="4124" max="4124" width="12.42578125" style="501" customWidth="1"/>
    <col min="4125" max="4125" width="43.28515625" style="501" customWidth="1"/>
    <col min="4126" max="4126" width="17.42578125" style="501" customWidth="1"/>
    <col min="4127" max="4127" width="13.7109375" style="501" customWidth="1"/>
    <col min="4128" max="4128" width="19.42578125" style="501" customWidth="1"/>
    <col min="4129" max="4129" width="24.5703125" style="501" customWidth="1"/>
    <col min="4130" max="4130" width="17" style="501" customWidth="1"/>
    <col min="4131" max="4131" width="14.28515625" style="501" customWidth="1"/>
    <col min="4132" max="4132" width="11.28515625" style="501" customWidth="1"/>
    <col min="4133" max="4135" width="10.28515625" style="501" bestFit="1" customWidth="1"/>
    <col min="4136" max="4139" width="9.5703125" style="501"/>
    <col min="4140" max="4140" width="25.85546875" style="501" customWidth="1"/>
    <col min="4141" max="4142" width="9.5703125" style="501"/>
    <col min="4143" max="4143" width="14.140625" style="501" customWidth="1"/>
    <col min="4144" max="4352" width="9.5703125" style="501"/>
    <col min="4353" max="4353" width="12" style="501" customWidth="1"/>
    <col min="4354" max="4354" width="10" style="501" customWidth="1"/>
    <col min="4355" max="4355" width="52.7109375" style="501" customWidth="1"/>
    <col min="4356" max="4356" width="17.7109375" style="501" customWidth="1"/>
    <col min="4357" max="4357" width="8.85546875" style="501" customWidth="1"/>
    <col min="4358" max="4358" width="14.28515625" style="501" customWidth="1"/>
    <col min="4359" max="4359" width="23.7109375" style="501" customWidth="1"/>
    <col min="4360" max="4361" width="11.140625" style="501" customWidth="1"/>
    <col min="4362" max="4362" width="60" style="501" customWidth="1"/>
    <col min="4363" max="4363" width="12.7109375" style="501" customWidth="1"/>
    <col min="4364" max="4364" width="10.28515625" style="501" customWidth="1"/>
    <col min="4365" max="4365" width="13" style="501" customWidth="1"/>
    <col min="4366" max="4366" width="26.42578125" style="501" customWidth="1"/>
    <col min="4367" max="4367" width="12.140625" style="501" customWidth="1"/>
    <col min="4368" max="4368" width="10.85546875" style="501" customWidth="1"/>
    <col min="4369" max="4369" width="54" style="501" customWidth="1"/>
    <col min="4370" max="4370" width="13.85546875" style="501" customWidth="1"/>
    <col min="4371" max="4371" width="9.28515625" style="501" customWidth="1"/>
    <col min="4372" max="4372" width="13.85546875" style="501" customWidth="1"/>
    <col min="4373" max="4373" width="16.28515625" style="501" customWidth="1"/>
    <col min="4374" max="4374" width="11.5703125" style="501" customWidth="1"/>
    <col min="4375" max="4375" width="8.5703125" style="501" customWidth="1"/>
    <col min="4376" max="4376" width="49.7109375" style="501" customWidth="1"/>
    <col min="4377" max="4377" width="13.28515625" style="501" customWidth="1"/>
    <col min="4378" max="4378" width="8.42578125" style="501" customWidth="1"/>
    <col min="4379" max="4379" width="14.28515625" style="501" customWidth="1"/>
    <col min="4380" max="4380" width="12.42578125" style="501" customWidth="1"/>
    <col min="4381" max="4381" width="43.28515625" style="501" customWidth="1"/>
    <col min="4382" max="4382" width="17.42578125" style="501" customWidth="1"/>
    <col min="4383" max="4383" width="13.7109375" style="501" customWidth="1"/>
    <col min="4384" max="4384" width="19.42578125" style="501" customWidth="1"/>
    <col min="4385" max="4385" width="24.5703125" style="501" customWidth="1"/>
    <col min="4386" max="4386" width="17" style="501" customWidth="1"/>
    <col min="4387" max="4387" width="14.28515625" style="501" customWidth="1"/>
    <col min="4388" max="4388" width="11.28515625" style="501" customWidth="1"/>
    <col min="4389" max="4391" width="10.28515625" style="501" bestFit="1" customWidth="1"/>
    <col min="4392" max="4395" width="9.5703125" style="501"/>
    <col min="4396" max="4396" width="25.85546875" style="501" customWidth="1"/>
    <col min="4397" max="4398" width="9.5703125" style="501"/>
    <col min="4399" max="4399" width="14.140625" style="501" customWidth="1"/>
    <col min="4400" max="4608" width="9.5703125" style="501"/>
    <col min="4609" max="4609" width="12" style="501" customWidth="1"/>
    <col min="4610" max="4610" width="10" style="501" customWidth="1"/>
    <col min="4611" max="4611" width="52.7109375" style="501" customWidth="1"/>
    <col min="4612" max="4612" width="17.7109375" style="501" customWidth="1"/>
    <col min="4613" max="4613" width="8.85546875" style="501" customWidth="1"/>
    <col min="4614" max="4614" width="14.28515625" style="501" customWidth="1"/>
    <col min="4615" max="4615" width="23.7109375" style="501" customWidth="1"/>
    <col min="4616" max="4617" width="11.140625" style="501" customWidth="1"/>
    <col min="4618" max="4618" width="60" style="501" customWidth="1"/>
    <col min="4619" max="4619" width="12.7109375" style="501" customWidth="1"/>
    <col min="4620" max="4620" width="10.28515625" style="501" customWidth="1"/>
    <col min="4621" max="4621" width="13" style="501" customWidth="1"/>
    <col min="4622" max="4622" width="26.42578125" style="501" customWidth="1"/>
    <col min="4623" max="4623" width="12.140625" style="501" customWidth="1"/>
    <col min="4624" max="4624" width="10.85546875" style="501" customWidth="1"/>
    <col min="4625" max="4625" width="54" style="501" customWidth="1"/>
    <col min="4626" max="4626" width="13.85546875" style="501" customWidth="1"/>
    <col min="4627" max="4627" width="9.28515625" style="501" customWidth="1"/>
    <col min="4628" max="4628" width="13.85546875" style="501" customWidth="1"/>
    <col min="4629" max="4629" width="16.28515625" style="501" customWidth="1"/>
    <col min="4630" max="4630" width="11.5703125" style="501" customWidth="1"/>
    <col min="4631" max="4631" width="8.5703125" style="501" customWidth="1"/>
    <col min="4632" max="4632" width="49.7109375" style="501" customWidth="1"/>
    <col min="4633" max="4633" width="13.28515625" style="501" customWidth="1"/>
    <col min="4634" max="4634" width="8.42578125" style="501" customWidth="1"/>
    <col min="4635" max="4635" width="14.28515625" style="501" customWidth="1"/>
    <col min="4636" max="4636" width="12.42578125" style="501" customWidth="1"/>
    <col min="4637" max="4637" width="43.28515625" style="501" customWidth="1"/>
    <col min="4638" max="4638" width="17.42578125" style="501" customWidth="1"/>
    <col min="4639" max="4639" width="13.7109375" style="501" customWidth="1"/>
    <col min="4640" max="4640" width="19.42578125" style="501" customWidth="1"/>
    <col min="4641" max="4641" width="24.5703125" style="501" customWidth="1"/>
    <col min="4642" max="4642" width="17" style="501" customWidth="1"/>
    <col min="4643" max="4643" width="14.28515625" style="501" customWidth="1"/>
    <col min="4644" max="4644" width="11.28515625" style="501" customWidth="1"/>
    <col min="4645" max="4647" width="10.28515625" style="501" bestFit="1" customWidth="1"/>
    <col min="4648" max="4651" width="9.5703125" style="501"/>
    <col min="4652" max="4652" width="25.85546875" style="501" customWidth="1"/>
    <col min="4653" max="4654" width="9.5703125" style="501"/>
    <col min="4655" max="4655" width="14.140625" style="501" customWidth="1"/>
    <col min="4656" max="4864" width="9.5703125" style="501"/>
    <col min="4865" max="4865" width="12" style="501" customWidth="1"/>
    <col min="4866" max="4866" width="10" style="501" customWidth="1"/>
    <col min="4867" max="4867" width="52.7109375" style="501" customWidth="1"/>
    <col min="4868" max="4868" width="17.7109375" style="501" customWidth="1"/>
    <col min="4869" max="4869" width="8.85546875" style="501" customWidth="1"/>
    <col min="4870" max="4870" width="14.28515625" style="501" customWidth="1"/>
    <col min="4871" max="4871" width="23.7109375" style="501" customWidth="1"/>
    <col min="4872" max="4873" width="11.140625" style="501" customWidth="1"/>
    <col min="4874" max="4874" width="60" style="501" customWidth="1"/>
    <col min="4875" max="4875" width="12.7109375" style="501" customWidth="1"/>
    <col min="4876" max="4876" width="10.28515625" style="501" customWidth="1"/>
    <col min="4877" max="4877" width="13" style="501" customWidth="1"/>
    <col min="4878" max="4878" width="26.42578125" style="501" customWidth="1"/>
    <col min="4879" max="4879" width="12.140625" style="501" customWidth="1"/>
    <col min="4880" max="4880" width="10.85546875" style="501" customWidth="1"/>
    <col min="4881" max="4881" width="54" style="501" customWidth="1"/>
    <col min="4882" max="4882" width="13.85546875" style="501" customWidth="1"/>
    <col min="4883" max="4883" width="9.28515625" style="501" customWidth="1"/>
    <col min="4884" max="4884" width="13.85546875" style="501" customWidth="1"/>
    <col min="4885" max="4885" width="16.28515625" style="501" customWidth="1"/>
    <col min="4886" max="4886" width="11.5703125" style="501" customWidth="1"/>
    <col min="4887" max="4887" width="8.5703125" style="501" customWidth="1"/>
    <col min="4888" max="4888" width="49.7109375" style="501" customWidth="1"/>
    <col min="4889" max="4889" width="13.28515625" style="501" customWidth="1"/>
    <col min="4890" max="4890" width="8.42578125" style="501" customWidth="1"/>
    <col min="4891" max="4891" width="14.28515625" style="501" customWidth="1"/>
    <col min="4892" max="4892" width="12.42578125" style="501" customWidth="1"/>
    <col min="4893" max="4893" width="43.28515625" style="501" customWidth="1"/>
    <col min="4894" max="4894" width="17.42578125" style="501" customWidth="1"/>
    <col min="4895" max="4895" width="13.7109375" style="501" customWidth="1"/>
    <col min="4896" max="4896" width="19.42578125" style="501" customWidth="1"/>
    <col min="4897" max="4897" width="24.5703125" style="501" customWidth="1"/>
    <col min="4898" max="4898" width="17" style="501" customWidth="1"/>
    <col min="4899" max="4899" width="14.28515625" style="501" customWidth="1"/>
    <col min="4900" max="4900" width="11.28515625" style="501" customWidth="1"/>
    <col min="4901" max="4903" width="10.28515625" style="501" bestFit="1" customWidth="1"/>
    <col min="4904" max="4907" width="9.5703125" style="501"/>
    <col min="4908" max="4908" width="25.85546875" style="501" customWidth="1"/>
    <col min="4909" max="4910" width="9.5703125" style="501"/>
    <col min="4911" max="4911" width="14.140625" style="501" customWidth="1"/>
    <col min="4912" max="5120" width="9.5703125" style="501"/>
    <col min="5121" max="5121" width="12" style="501" customWidth="1"/>
    <col min="5122" max="5122" width="10" style="501" customWidth="1"/>
    <col min="5123" max="5123" width="52.7109375" style="501" customWidth="1"/>
    <col min="5124" max="5124" width="17.7109375" style="501" customWidth="1"/>
    <col min="5125" max="5125" width="8.85546875" style="501" customWidth="1"/>
    <col min="5126" max="5126" width="14.28515625" style="501" customWidth="1"/>
    <col min="5127" max="5127" width="23.7109375" style="501" customWidth="1"/>
    <col min="5128" max="5129" width="11.140625" style="501" customWidth="1"/>
    <col min="5130" max="5130" width="60" style="501" customWidth="1"/>
    <col min="5131" max="5131" width="12.7109375" style="501" customWidth="1"/>
    <col min="5132" max="5132" width="10.28515625" style="501" customWidth="1"/>
    <col min="5133" max="5133" width="13" style="501" customWidth="1"/>
    <col min="5134" max="5134" width="26.42578125" style="501" customWidth="1"/>
    <col min="5135" max="5135" width="12.140625" style="501" customWidth="1"/>
    <col min="5136" max="5136" width="10.85546875" style="501" customWidth="1"/>
    <col min="5137" max="5137" width="54" style="501" customWidth="1"/>
    <col min="5138" max="5138" width="13.85546875" style="501" customWidth="1"/>
    <col min="5139" max="5139" width="9.28515625" style="501" customWidth="1"/>
    <col min="5140" max="5140" width="13.85546875" style="501" customWidth="1"/>
    <col min="5141" max="5141" width="16.28515625" style="501" customWidth="1"/>
    <col min="5142" max="5142" width="11.5703125" style="501" customWidth="1"/>
    <col min="5143" max="5143" width="8.5703125" style="501" customWidth="1"/>
    <col min="5144" max="5144" width="49.7109375" style="501" customWidth="1"/>
    <col min="5145" max="5145" width="13.28515625" style="501" customWidth="1"/>
    <col min="5146" max="5146" width="8.42578125" style="501" customWidth="1"/>
    <col min="5147" max="5147" width="14.28515625" style="501" customWidth="1"/>
    <col min="5148" max="5148" width="12.42578125" style="501" customWidth="1"/>
    <col min="5149" max="5149" width="43.28515625" style="501" customWidth="1"/>
    <col min="5150" max="5150" width="17.42578125" style="501" customWidth="1"/>
    <col min="5151" max="5151" width="13.7109375" style="501" customWidth="1"/>
    <col min="5152" max="5152" width="19.42578125" style="501" customWidth="1"/>
    <col min="5153" max="5153" width="24.5703125" style="501" customWidth="1"/>
    <col min="5154" max="5154" width="17" style="501" customWidth="1"/>
    <col min="5155" max="5155" width="14.28515625" style="501" customWidth="1"/>
    <col min="5156" max="5156" width="11.28515625" style="501" customWidth="1"/>
    <col min="5157" max="5159" width="10.28515625" style="501" bestFit="1" customWidth="1"/>
    <col min="5160" max="5163" width="9.5703125" style="501"/>
    <col min="5164" max="5164" width="25.85546875" style="501" customWidth="1"/>
    <col min="5165" max="5166" width="9.5703125" style="501"/>
    <col min="5167" max="5167" width="14.140625" style="501" customWidth="1"/>
    <col min="5168" max="5376" width="9.5703125" style="501"/>
    <col min="5377" max="5377" width="12" style="501" customWidth="1"/>
    <col min="5378" max="5378" width="10" style="501" customWidth="1"/>
    <col min="5379" max="5379" width="52.7109375" style="501" customWidth="1"/>
    <col min="5380" max="5380" width="17.7109375" style="501" customWidth="1"/>
    <col min="5381" max="5381" width="8.85546875" style="501" customWidth="1"/>
    <col min="5382" max="5382" width="14.28515625" style="501" customWidth="1"/>
    <col min="5383" max="5383" width="23.7109375" style="501" customWidth="1"/>
    <col min="5384" max="5385" width="11.140625" style="501" customWidth="1"/>
    <col min="5386" max="5386" width="60" style="501" customWidth="1"/>
    <col min="5387" max="5387" width="12.7109375" style="501" customWidth="1"/>
    <col min="5388" max="5388" width="10.28515625" style="501" customWidth="1"/>
    <col min="5389" max="5389" width="13" style="501" customWidth="1"/>
    <col min="5390" max="5390" width="26.42578125" style="501" customWidth="1"/>
    <col min="5391" max="5391" width="12.140625" style="501" customWidth="1"/>
    <col min="5392" max="5392" width="10.85546875" style="501" customWidth="1"/>
    <col min="5393" max="5393" width="54" style="501" customWidth="1"/>
    <col min="5394" max="5394" width="13.85546875" style="501" customWidth="1"/>
    <col min="5395" max="5395" width="9.28515625" style="501" customWidth="1"/>
    <col min="5396" max="5396" width="13.85546875" style="501" customWidth="1"/>
    <col min="5397" max="5397" width="16.28515625" style="501" customWidth="1"/>
    <col min="5398" max="5398" width="11.5703125" style="501" customWidth="1"/>
    <col min="5399" max="5399" width="8.5703125" style="501" customWidth="1"/>
    <col min="5400" max="5400" width="49.7109375" style="501" customWidth="1"/>
    <col min="5401" max="5401" width="13.28515625" style="501" customWidth="1"/>
    <col min="5402" max="5402" width="8.42578125" style="501" customWidth="1"/>
    <col min="5403" max="5403" width="14.28515625" style="501" customWidth="1"/>
    <col min="5404" max="5404" width="12.42578125" style="501" customWidth="1"/>
    <col min="5405" max="5405" width="43.28515625" style="501" customWidth="1"/>
    <col min="5406" max="5406" width="17.42578125" style="501" customWidth="1"/>
    <col min="5407" max="5407" width="13.7109375" style="501" customWidth="1"/>
    <col min="5408" max="5408" width="19.42578125" style="501" customWidth="1"/>
    <col min="5409" max="5409" width="24.5703125" style="501" customWidth="1"/>
    <col min="5410" max="5410" width="17" style="501" customWidth="1"/>
    <col min="5411" max="5411" width="14.28515625" style="501" customWidth="1"/>
    <col min="5412" max="5412" width="11.28515625" style="501" customWidth="1"/>
    <col min="5413" max="5415" width="10.28515625" style="501" bestFit="1" customWidth="1"/>
    <col min="5416" max="5419" width="9.5703125" style="501"/>
    <col min="5420" max="5420" width="25.85546875" style="501" customWidth="1"/>
    <col min="5421" max="5422" width="9.5703125" style="501"/>
    <col min="5423" max="5423" width="14.140625" style="501" customWidth="1"/>
    <col min="5424" max="5632" width="9.5703125" style="501"/>
    <col min="5633" max="5633" width="12" style="501" customWidth="1"/>
    <col min="5634" max="5634" width="10" style="501" customWidth="1"/>
    <col min="5635" max="5635" width="52.7109375" style="501" customWidth="1"/>
    <col min="5636" max="5636" width="17.7109375" style="501" customWidth="1"/>
    <col min="5637" max="5637" width="8.85546875" style="501" customWidth="1"/>
    <col min="5638" max="5638" width="14.28515625" style="501" customWidth="1"/>
    <col min="5639" max="5639" width="23.7109375" style="501" customWidth="1"/>
    <col min="5640" max="5641" width="11.140625" style="501" customWidth="1"/>
    <col min="5642" max="5642" width="60" style="501" customWidth="1"/>
    <col min="5643" max="5643" width="12.7109375" style="501" customWidth="1"/>
    <col min="5644" max="5644" width="10.28515625" style="501" customWidth="1"/>
    <col min="5645" max="5645" width="13" style="501" customWidth="1"/>
    <col min="5646" max="5646" width="26.42578125" style="501" customWidth="1"/>
    <col min="5647" max="5647" width="12.140625" style="501" customWidth="1"/>
    <col min="5648" max="5648" width="10.85546875" style="501" customWidth="1"/>
    <col min="5649" max="5649" width="54" style="501" customWidth="1"/>
    <col min="5650" max="5650" width="13.85546875" style="501" customWidth="1"/>
    <col min="5651" max="5651" width="9.28515625" style="501" customWidth="1"/>
    <col min="5652" max="5652" width="13.85546875" style="501" customWidth="1"/>
    <col min="5653" max="5653" width="16.28515625" style="501" customWidth="1"/>
    <col min="5654" max="5654" width="11.5703125" style="501" customWidth="1"/>
    <col min="5655" max="5655" width="8.5703125" style="501" customWidth="1"/>
    <col min="5656" max="5656" width="49.7109375" style="501" customWidth="1"/>
    <col min="5657" max="5657" width="13.28515625" style="501" customWidth="1"/>
    <col min="5658" max="5658" width="8.42578125" style="501" customWidth="1"/>
    <col min="5659" max="5659" width="14.28515625" style="501" customWidth="1"/>
    <col min="5660" max="5660" width="12.42578125" style="501" customWidth="1"/>
    <col min="5661" max="5661" width="43.28515625" style="501" customWidth="1"/>
    <col min="5662" max="5662" width="17.42578125" style="501" customWidth="1"/>
    <col min="5663" max="5663" width="13.7109375" style="501" customWidth="1"/>
    <col min="5664" max="5664" width="19.42578125" style="501" customWidth="1"/>
    <col min="5665" max="5665" width="24.5703125" style="501" customWidth="1"/>
    <col min="5666" max="5666" width="17" style="501" customWidth="1"/>
    <col min="5667" max="5667" width="14.28515625" style="501" customWidth="1"/>
    <col min="5668" max="5668" width="11.28515625" style="501" customWidth="1"/>
    <col min="5669" max="5671" width="10.28515625" style="501" bestFit="1" customWidth="1"/>
    <col min="5672" max="5675" width="9.5703125" style="501"/>
    <col min="5676" max="5676" width="25.85546875" style="501" customWidth="1"/>
    <col min="5677" max="5678" width="9.5703125" style="501"/>
    <col min="5679" max="5679" width="14.140625" style="501" customWidth="1"/>
    <col min="5680" max="5888" width="9.5703125" style="501"/>
    <col min="5889" max="5889" width="12" style="501" customWidth="1"/>
    <col min="5890" max="5890" width="10" style="501" customWidth="1"/>
    <col min="5891" max="5891" width="52.7109375" style="501" customWidth="1"/>
    <col min="5892" max="5892" width="17.7109375" style="501" customWidth="1"/>
    <col min="5893" max="5893" width="8.85546875" style="501" customWidth="1"/>
    <col min="5894" max="5894" width="14.28515625" style="501" customWidth="1"/>
    <col min="5895" max="5895" width="23.7109375" style="501" customWidth="1"/>
    <col min="5896" max="5897" width="11.140625" style="501" customWidth="1"/>
    <col min="5898" max="5898" width="60" style="501" customWidth="1"/>
    <col min="5899" max="5899" width="12.7109375" style="501" customWidth="1"/>
    <col min="5900" max="5900" width="10.28515625" style="501" customWidth="1"/>
    <col min="5901" max="5901" width="13" style="501" customWidth="1"/>
    <col min="5902" max="5902" width="26.42578125" style="501" customWidth="1"/>
    <col min="5903" max="5903" width="12.140625" style="501" customWidth="1"/>
    <col min="5904" max="5904" width="10.85546875" style="501" customWidth="1"/>
    <col min="5905" max="5905" width="54" style="501" customWidth="1"/>
    <col min="5906" max="5906" width="13.85546875" style="501" customWidth="1"/>
    <col min="5907" max="5907" width="9.28515625" style="501" customWidth="1"/>
    <col min="5908" max="5908" width="13.85546875" style="501" customWidth="1"/>
    <col min="5909" max="5909" width="16.28515625" style="501" customWidth="1"/>
    <col min="5910" max="5910" width="11.5703125" style="501" customWidth="1"/>
    <col min="5911" max="5911" width="8.5703125" style="501" customWidth="1"/>
    <col min="5912" max="5912" width="49.7109375" style="501" customWidth="1"/>
    <col min="5913" max="5913" width="13.28515625" style="501" customWidth="1"/>
    <col min="5914" max="5914" width="8.42578125" style="501" customWidth="1"/>
    <col min="5915" max="5915" width="14.28515625" style="501" customWidth="1"/>
    <col min="5916" max="5916" width="12.42578125" style="501" customWidth="1"/>
    <col min="5917" max="5917" width="43.28515625" style="501" customWidth="1"/>
    <col min="5918" max="5918" width="17.42578125" style="501" customWidth="1"/>
    <col min="5919" max="5919" width="13.7109375" style="501" customWidth="1"/>
    <col min="5920" max="5920" width="19.42578125" style="501" customWidth="1"/>
    <col min="5921" max="5921" width="24.5703125" style="501" customWidth="1"/>
    <col min="5922" max="5922" width="17" style="501" customWidth="1"/>
    <col min="5923" max="5923" width="14.28515625" style="501" customWidth="1"/>
    <col min="5924" max="5924" width="11.28515625" style="501" customWidth="1"/>
    <col min="5925" max="5927" width="10.28515625" style="501" bestFit="1" customWidth="1"/>
    <col min="5928" max="5931" width="9.5703125" style="501"/>
    <col min="5932" max="5932" width="25.85546875" style="501" customWidth="1"/>
    <col min="5933" max="5934" width="9.5703125" style="501"/>
    <col min="5935" max="5935" width="14.140625" style="501" customWidth="1"/>
    <col min="5936" max="6144" width="9.5703125" style="501"/>
    <col min="6145" max="6145" width="12" style="501" customWidth="1"/>
    <col min="6146" max="6146" width="10" style="501" customWidth="1"/>
    <col min="6147" max="6147" width="52.7109375" style="501" customWidth="1"/>
    <col min="6148" max="6148" width="17.7109375" style="501" customWidth="1"/>
    <col min="6149" max="6149" width="8.85546875" style="501" customWidth="1"/>
    <col min="6150" max="6150" width="14.28515625" style="501" customWidth="1"/>
    <col min="6151" max="6151" width="23.7109375" style="501" customWidth="1"/>
    <col min="6152" max="6153" width="11.140625" style="501" customWidth="1"/>
    <col min="6154" max="6154" width="60" style="501" customWidth="1"/>
    <col min="6155" max="6155" width="12.7109375" style="501" customWidth="1"/>
    <col min="6156" max="6156" width="10.28515625" style="501" customWidth="1"/>
    <col min="6157" max="6157" width="13" style="501" customWidth="1"/>
    <col min="6158" max="6158" width="26.42578125" style="501" customWidth="1"/>
    <col min="6159" max="6159" width="12.140625" style="501" customWidth="1"/>
    <col min="6160" max="6160" width="10.85546875" style="501" customWidth="1"/>
    <col min="6161" max="6161" width="54" style="501" customWidth="1"/>
    <col min="6162" max="6162" width="13.85546875" style="501" customWidth="1"/>
    <col min="6163" max="6163" width="9.28515625" style="501" customWidth="1"/>
    <col min="6164" max="6164" width="13.85546875" style="501" customWidth="1"/>
    <col min="6165" max="6165" width="16.28515625" style="501" customWidth="1"/>
    <col min="6166" max="6166" width="11.5703125" style="501" customWidth="1"/>
    <col min="6167" max="6167" width="8.5703125" style="501" customWidth="1"/>
    <col min="6168" max="6168" width="49.7109375" style="501" customWidth="1"/>
    <col min="6169" max="6169" width="13.28515625" style="501" customWidth="1"/>
    <col min="6170" max="6170" width="8.42578125" style="501" customWidth="1"/>
    <col min="6171" max="6171" width="14.28515625" style="501" customWidth="1"/>
    <col min="6172" max="6172" width="12.42578125" style="501" customWidth="1"/>
    <col min="6173" max="6173" width="43.28515625" style="501" customWidth="1"/>
    <col min="6174" max="6174" width="17.42578125" style="501" customWidth="1"/>
    <col min="6175" max="6175" width="13.7109375" style="501" customWidth="1"/>
    <col min="6176" max="6176" width="19.42578125" style="501" customWidth="1"/>
    <col min="6177" max="6177" width="24.5703125" style="501" customWidth="1"/>
    <col min="6178" max="6178" width="17" style="501" customWidth="1"/>
    <col min="6179" max="6179" width="14.28515625" style="501" customWidth="1"/>
    <col min="6180" max="6180" width="11.28515625" style="501" customWidth="1"/>
    <col min="6181" max="6183" width="10.28515625" style="501" bestFit="1" customWidth="1"/>
    <col min="6184" max="6187" width="9.5703125" style="501"/>
    <col min="6188" max="6188" width="25.85546875" style="501" customWidth="1"/>
    <col min="6189" max="6190" width="9.5703125" style="501"/>
    <col min="6191" max="6191" width="14.140625" style="501" customWidth="1"/>
    <col min="6192" max="6400" width="9.5703125" style="501"/>
    <col min="6401" max="6401" width="12" style="501" customWidth="1"/>
    <col min="6402" max="6402" width="10" style="501" customWidth="1"/>
    <col min="6403" max="6403" width="52.7109375" style="501" customWidth="1"/>
    <col min="6404" max="6404" width="17.7109375" style="501" customWidth="1"/>
    <col min="6405" max="6405" width="8.85546875" style="501" customWidth="1"/>
    <col min="6406" max="6406" width="14.28515625" style="501" customWidth="1"/>
    <col min="6407" max="6407" width="23.7109375" style="501" customWidth="1"/>
    <col min="6408" max="6409" width="11.140625" style="501" customWidth="1"/>
    <col min="6410" max="6410" width="60" style="501" customWidth="1"/>
    <col min="6411" max="6411" width="12.7109375" style="501" customWidth="1"/>
    <col min="6412" max="6412" width="10.28515625" style="501" customWidth="1"/>
    <col min="6413" max="6413" width="13" style="501" customWidth="1"/>
    <col min="6414" max="6414" width="26.42578125" style="501" customWidth="1"/>
    <col min="6415" max="6415" width="12.140625" style="501" customWidth="1"/>
    <col min="6416" max="6416" width="10.85546875" style="501" customWidth="1"/>
    <col min="6417" max="6417" width="54" style="501" customWidth="1"/>
    <col min="6418" max="6418" width="13.85546875" style="501" customWidth="1"/>
    <col min="6419" max="6419" width="9.28515625" style="501" customWidth="1"/>
    <col min="6420" max="6420" width="13.85546875" style="501" customWidth="1"/>
    <col min="6421" max="6421" width="16.28515625" style="501" customWidth="1"/>
    <col min="6422" max="6422" width="11.5703125" style="501" customWidth="1"/>
    <col min="6423" max="6423" width="8.5703125" style="501" customWidth="1"/>
    <col min="6424" max="6424" width="49.7109375" style="501" customWidth="1"/>
    <col min="6425" max="6425" width="13.28515625" style="501" customWidth="1"/>
    <col min="6426" max="6426" width="8.42578125" style="501" customWidth="1"/>
    <col min="6427" max="6427" width="14.28515625" style="501" customWidth="1"/>
    <col min="6428" max="6428" width="12.42578125" style="501" customWidth="1"/>
    <col min="6429" max="6429" width="43.28515625" style="501" customWidth="1"/>
    <col min="6430" max="6430" width="17.42578125" style="501" customWidth="1"/>
    <col min="6431" max="6431" width="13.7109375" style="501" customWidth="1"/>
    <col min="6432" max="6432" width="19.42578125" style="501" customWidth="1"/>
    <col min="6433" max="6433" width="24.5703125" style="501" customWidth="1"/>
    <col min="6434" max="6434" width="17" style="501" customWidth="1"/>
    <col min="6435" max="6435" width="14.28515625" style="501" customWidth="1"/>
    <col min="6436" max="6436" width="11.28515625" style="501" customWidth="1"/>
    <col min="6437" max="6439" width="10.28515625" style="501" bestFit="1" customWidth="1"/>
    <col min="6440" max="6443" width="9.5703125" style="501"/>
    <col min="6444" max="6444" width="25.85546875" style="501" customWidth="1"/>
    <col min="6445" max="6446" width="9.5703125" style="501"/>
    <col min="6447" max="6447" width="14.140625" style="501" customWidth="1"/>
    <col min="6448" max="6656" width="9.5703125" style="501"/>
    <col min="6657" max="6657" width="12" style="501" customWidth="1"/>
    <col min="6658" max="6658" width="10" style="501" customWidth="1"/>
    <col min="6659" max="6659" width="52.7109375" style="501" customWidth="1"/>
    <col min="6660" max="6660" width="17.7109375" style="501" customWidth="1"/>
    <col min="6661" max="6661" width="8.85546875" style="501" customWidth="1"/>
    <col min="6662" max="6662" width="14.28515625" style="501" customWidth="1"/>
    <col min="6663" max="6663" width="23.7109375" style="501" customWidth="1"/>
    <col min="6664" max="6665" width="11.140625" style="501" customWidth="1"/>
    <col min="6666" max="6666" width="60" style="501" customWidth="1"/>
    <col min="6667" max="6667" width="12.7109375" style="501" customWidth="1"/>
    <col min="6668" max="6668" width="10.28515625" style="501" customWidth="1"/>
    <col min="6669" max="6669" width="13" style="501" customWidth="1"/>
    <col min="6670" max="6670" width="26.42578125" style="501" customWidth="1"/>
    <col min="6671" max="6671" width="12.140625" style="501" customWidth="1"/>
    <col min="6672" max="6672" width="10.85546875" style="501" customWidth="1"/>
    <col min="6673" max="6673" width="54" style="501" customWidth="1"/>
    <col min="6674" max="6674" width="13.85546875" style="501" customWidth="1"/>
    <col min="6675" max="6675" width="9.28515625" style="501" customWidth="1"/>
    <col min="6676" max="6676" width="13.85546875" style="501" customWidth="1"/>
    <col min="6677" max="6677" width="16.28515625" style="501" customWidth="1"/>
    <col min="6678" max="6678" width="11.5703125" style="501" customWidth="1"/>
    <col min="6679" max="6679" width="8.5703125" style="501" customWidth="1"/>
    <col min="6680" max="6680" width="49.7109375" style="501" customWidth="1"/>
    <col min="6681" max="6681" width="13.28515625" style="501" customWidth="1"/>
    <col min="6682" max="6682" width="8.42578125" style="501" customWidth="1"/>
    <col min="6683" max="6683" width="14.28515625" style="501" customWidth="1"/>
    <col min="6684" max="6684" width="12.42578125" style="501" customWidth="1"/>
    <col min="6685" max="6685" width="43.28515625" style="501" customWidth="1"/>
    <col min="6686" max="6686" width="17.42578125" style="501" customWidth="1"/>
    <col min="6687" max="6687" width="13.7109375" style="501" customWidth="1"/>
    <col min="6688" max="6688" width="19.42578125" style="501" customWidth="1"/>
    <col min="6689" max="6689" width="24.5703125" style="501" customWidth="1"/>
    <col min="6690" max="6690" width="17" style="501" customWidth="1"/>
    <col min="6691" max="6691" width="14.28515625" style="501" customWidth="1"/>
    <col min="6692" max="6692" width="11.28515625" style="501" customWidth="1"/>
    <col min="6693" max="6695" width="10.28515625" style="501" bestFit="1" customWidth="1"/>
    <col min="6696" max="6699" width="9.5703125" style="501"/>
    <col min="6700" max="6700" width="25.85546875" style="501" customWidth="1"/>
    <col min="6701" max="6702" width="9.5703125" style="501"/>
    <col min="6703" max="6703" width="14.140625" style="501" customWidth="1"/>
    <col min="6704" max="6912" width="9.5703125" style="501"/>
    <col min="6913" max="6913" width="12" style="501" customWidth="1"/>
    <col min="6914" max="6914" width="10" style="501" customWidth="1"/>
    <col min="6915" max="6915" width="52.7109375" style="501" customWidth="1"/>
    <col min="6916" max="6916" width="17.7109375" style="501" customWidth="1"/>
    <col min="6917" max="6917" width="8.85546875" style="501" customWidth="1"/>
    <col min="6918" max="6918" width="14.28515625" style="501" customWidth="1"/>
    <col min="6919" max="6919" width="23.7109375" style="501" customWidth="1"/>
    <col min="6920" max="6921" width="11.140625" style="501" customWidth="1"/>
    <col min="6922" max="6922" width="60" style="501" customWidth="1"/>
    <col min="6923" max="6923" width="12.7109375" style="501" customWidth="1"/>
    <col min="6924" max="6924" width="10.28515625" style="501" customWidth="1"/>
    <col min="6925" max="6925" width="13" style="501" customWidth="1"/>
    <col min="6926" max="6926" width="26.42578125" style="501" customWidth="1"/>
    <col min="6927" max="6927" width="12.140625" style="501" customWidth="1"/>
    <col min="6928" max="6928" width="10.85546875" style="501" customWidth="1"/>
    <col min="6929" max="6929" width="54" style="501" customWidth="1"/>
    <col min="6930" max="6930" width="13.85546875" style="501" customWidth="1"/>
    <col min="6931" max="6931" width="9.28515625" style="501" customWidth="1"/>
    <col min="6932" max="6932" width="13.85546875" style="501" customWidth="1"/>
    <col min="6933" max="6933" width="16.28515625" style="501" customWidth="1"/>
    <col min="6934" max="6934" width="11.5703125" style="501" customWidth="1"/>
    <col min="6935" max="6935" width="8.5703125" style="501" customWidth="1"/>
    <col min="6936" max="6936" width="49.7109375" style="501" customWidth="1"/>
    <col min="6937" max="6937" width="13.28515625" style="501" customWidth="1"/>
    <col min="6938" max="6938" width="8.42578125" style="501" customWidth="1"/>
    <col min="6939" max="6939" width="14.28515625" style="501" customWidth="1"/>
    <col min="6940" max="6940" width="12.42578125" style="501" customWidth="1"/>
    <col min="6941" max="6941" width="43.28515625" style="501" customWidth="1"/>
    <col min="6942" max="6942" width="17.42578125" style="501" customWidth="1"/>
    <col min="6943" max="6943" width="13.7109375" style="501" customWidth="1"/>
    <col min="6944" max="6944" width="19.42578125" style="501" customWidth="1"/>
    <col min="6945" max="6945" width="24.5703125" style="501" customWidth="1"/>
    <col min="6946" max="6946" width="17" style="501" customWidth="1"/>
    <col min="6947" max="6947" width="14.28515625" style="501" customWidth="1"/>
    <col min="6948" max="6948" width="11.28515625" style="501" customWidth="1"/>
    <col min="6949" max="6951" width="10.28515625" style="501" bestFit="1" customWidth="1"/>
    <col min="6952" max="6955" width="9.5703125" style="501"/>
    <col min="6956" max="6956" width="25.85546875" style="501" customWidth="1"/>
    <col min="6957" max="6958" width="9.5703125" style="501"/>
    <col min="6959" max="6959" width="14.140625" style="501" customWidth="1"/>
    <col min="6960" max="7168" width="9.5703125" style="501"/>
    <col min="7169" max="7169" width="12" style="501" customWidth="1"/>
    <col min="7170" max="7170" width="10" style="501" customWidth="1"/>
    <col min="7171" max="7171" width="52.7109375" style="501" customWidth="1"/>
    <col min="7172" max="7172" width="17.7109375" style="501" customWidth="1"/>
    <col min="7173" max="7173" width="8.85546875" style="501" customWidth="1"/>
    <col min="7174" max="7174" width="14.28515625" style="501" customWidth="1"/>
    <col min="7175" max="7175" width="23.7109375" style="501" customWidth="1"/>
    <col min="7176" max="7177" width="11.140625" style="501" customWidth="1"/>
    <col min="7178" max="7178" width="60" style="501" customWidth="1"/>
    <col min="7179" max="7179" width="12.7109375" style="501" customWidth="1"/>
    <col min="7180" max="7180" width="10.28515625" style="501" customWidth="1"/>
    <col min="7181" max="7181" width="13" style="501" customWidth="1"/>
    <col min="7182" max="7182" width="26.42578125" style="501" customWidth="1"/>
    <col min="7183" max="7183" width="12.140625" style="501" customWidth="1"/>
    <col min="7184" max="7184" width="10.85546875" style="501" customWidth="1"/>
    <col min="7185" max="7185" width="54" style="501" customWidth="1"/>
    <col min="7186" max="7186" width="13.85546875" style="501" customWidth="1"/>
    <col min="7187" max="7187" width="9.28515625" style="501" customWidth="1"/>
    <col min="7188" max="7188" width="13.85546875" style="501" customWidth="1"/>
    <col min="7189" max="7189" width="16.28515625" style="501" customWidth="1"/>
    <col min="7190" max="7190" width="11.5703125" style="501" customWidth="1"/>
    <col min="7191" max="7191" width="8.5703125" style="501" customWidth="1"/>
    <col min="7192" max="7192" width="49.7109375" style="501" customWidth="1"/>
    <col min="7193" max="7193" width="13.28515625" style="501" customWidth="1"/>
    <col min="7194" max="7194" width="8.42578125" style="501" customWidth="1"/>
    <col min="7195" max="7195" width="14.28515625" style="501" customWidth="1"/>
    <col min="7196" max="7196" width="12.42578125" style="501" customWidth="1"/>
    <col min="7197" max="7197" width="43.28515625" style="501" customWidth="1"/>
    <col min="7198" max="7198" width="17.42578125" style="501" customWidth="1"/>
    <col min="7199" max="7199" width="13.7109375" style="501" customWidth="1"/>
    <col min="7200" max="7200" width="19.42578125" style="501" customWidth="1"/>
    <col min="7201" max="7201" width="24.5703125" style="501" customWidth="1"/>
    <col min="7202" max="7202" width="17" style="501" customWidth="1"/>
    <col min="7203" max="7203" width="14.28515625" style="501" customWidth="1"/>
    <col min="7204" max="7204" width="11.28515625" style="501" customWidth="1"/>
    <col min="7205" max="7207" width="10.28515625" style="501" bestFit="1" customWidth="1"/>
    <col min="7208" max="7211" width="9.5703125" style="501"/>
    <col min="7212" max="7212" width="25.85546875" style="501" customWidth="1"/>
    <col min="7213" max="7214" width="9.5703125" style="501"/>
    <col min="7215" max="7215" width="14.140625" style="501" customWidth="1"/>
    <col min="7216" max="7424" width="9.5703125" style="501"/>
    <col min="7425" max="7425" width="12" style="501" customWidth="1"/>
    <col min="7426" max="7426" width="10" style="501" customWidth="1"/>
    <col min="7427" max="7427" width="52.7109375" style="501" customWidth="1"/>
    <col min="7428" max="7428" width="17.7109375" style="501" customWidth="1"/>
    <col min="7429" max="7429" width="8.85546875" style="501" customWidth="1"/>
    <col min="7430" max="7430" width="14.28515625" style="501" customWidth="1"/>
    <col min="7431" max="7431" width="23.7109375" style="501" customWidth="1"/>
    <col min="7432" max="7433" width="11.140625" style="501" customWidth="1"/>
    <col min="7434" max="7434" width="60" style="501" customWidth="1"/>
    <col min="7435" max="7435" width="12.7109375" style="501" customWidth="1"/>
    <col min="7436" max="7436" width="10.28515625" style="501" customWidth="1"/>
    <col min="7437" max="7437" width="13" style="501" customWidth="1"/>
    <col min="7438" max="7438" width="26.42578125" style="501" customWidth="1"/>
    <col min="7439" max="7439" width="12.140625" style="501" customWidth="1"/>
    <col min="7440" max="7440" width="10.85546875" style="501" customWidth="1"/>
    <col min="7441" max="7441" width="54" style="501" customWidth="1"/>
    <col min="7442" max="7442" width="13.85546875" style="501" customWidth="1"/>
    <col min="7443" max="7443" width="9.28515625" style="501" customWidth="1"/>
    <col min="7444" max="7444" width="13.85546875" style="501" customWidth="1"/>
    <col min="7445" max="7445" width="16.28515625" style="501" customWidth="1"/>
    <col min="7446" max="7446" width="11.5703125" style="501" customWidth="1"/>
    <col min="7447" max="7447" width="8.5703125" style="501" customWidth="1"/>
    <col min="7448" max="7448" width="49.7109375" style="501" customWidth="1"/>
    <col min="7449" max="7449" width="13.28515625" style="501" customWidth="1"/>
    <col min="7450" max="7450" width="8.42578125" style="501" customWidth="1"/>
    <col min="7451" max="7451" width="14.28515625" style="501" customWidth="1"/>
    <col min="7452" max="7452" width="12.42578125" style="501" customWidth="1"/>
    <col min="7453" max="7453" width="43.28515625" style="501" customWidth="1"/>
    <col min="7454" max="7454" width="17.42578125" style="501" customWidth="1"/>
    <col min="7455" max="7455" width="13.7109375" style="501" customWidth="1"/>
    <col min="7456" max="7456" width="19.42578125" style="501" customWidth="1"/>
    <col min="7457" max="7457" width="24.5703125" style="501" customWidth="1"/>
    <col min="7458" max="7458" width="17" style="501" customWidth="1"/>
    <col min="7459" max="7459" width="14.28515625" style="501" customWidth="1"/>
    <col min="7460" max="7460" width="11.28515625" style="501" customWidth="1"/>
    <col min="7461" max="7463" width="10.28515625" style="501" bestFit="1" customWidth="1"/>
    <col min="7464" max="7467" width="9.5703125" style="501"/>
    <col min="7468" max="7468" width="25.85546875" style="501" customWidth="1"/>
    <col min="7469" max="7470" width="9.5703125" style="501"/>
    <col min="7471" max="7471" width="14.140625" style="501" customWidth="1"/>
    <col min="7472" max="7680" width="9.5703125" style="501"/>
    <col min="7681" max="7681" width="12" style="501" customWidth="1"/>
    <col min="7682" max="7682" width="10" style="501" customWidth="1"/>
    <col min="7683" max="7683" width="52.7109375" style="501" customWidth="1"/>
    <col min="7684" max="7684" width="17.7109375" style="501" customWidth="1"/>
    <col min="7685" max="7685" width="8.85546875" style="501" customWidth="1"/>
    <col min="7686" max="7686" width="14.28515625" style="501" customWidth="1"/>
    <col min="7687" max="7687" width="23.7109375" style="501" customWidth="1"/>
    <col min="7688" max="7689" width="11.140625" style="501" customWidth="1"/>
    <col min="7690" max="7690" width="60" style="501" customWidth="1"/>
    <col min="7691" max="7691" width="12.7109375" style="501" customWidth="1"/>
    <col min="7692" max="7692" width="10.28515625" style="501" customWidth="1"/>
    <col min="7693" max="7693" width="13" style="501" customWidth="1"/>
    <col min="7694" max="7694" width="26.42578125" style="501" customWidth="1"/>
    <col min="7695" max="7695" width="12.140625" style="501" customWidth="1"/>
    <col min="7696" max="7696" width="10.85546875" style="501" customWidth="1"/>
    <col min="7697" max="7697" width="54" style="501" customWidth="1"/>
    <col min="7698" max="7698" width="13.85546875" style="501" customWidth="1"/>
    <col min="7699" max="7699" width="9.28515625" style="501" customWidth="1"/>
    <col min="7700" max="7700" width="13.85546875" style="501" customWidth="1"/>
    <col min="7701" max="7701" width="16.28515625" style="501" customWidth="1"/>
    <col min="7702" max="7702" width="11.5703125" style="501" customWidth="1"/>
    <col min="7703" max="7703" width="8.5703125" style="501" customWidth="1"/>
    <col min="7704" max="7704" width="49.7109375" style="501" customWidth="1"/>
    <col min="7705" max="7705" width="13.28515625" style="501" customWidth="1"/>
    <col min="7706" max="7706" width="8.42578125" style="501" customWidth="1"/>
    <col min="7707" max="7707" width="14.28515625" style="501" customWidth="1"/>
    <col min="7708" max="7708" width="12.42578125" style="501" customWidth="1"/>
    <col min="7709" max="7709" width="43.28515625" style="501" customWidth="1"/>
    <col min="7710" max="7710" width="17.42578125" style="501" customWidth="1"/>
    <col min="7711" max="7711" width="13.7109375" style="501" customWidth="1"/>
    <col min="7712" max="7712" width="19.42578125" style="501" customWidth="1"/>
    <col min="7713" max="7713" width="24.5703125" style="501" customWidth="1"/>
    <col min="7714" max="7714" width="17" style="501" customWidth="1"/>
    <col min="7715" max="7715" width="14.28515625" style="501" customWidth="1"/>
    <col min="7716" max="7716" width="11.28515625" style="501" customWidth="1"/>
    <col min="7717" max="7719" width="10.28515625" style="501" bestFit="1" customWidth="1"/>
    <col min="7720" max="7723" width="9.5703125" style="501"/>
    <col min="7724" max="7724" width="25.85546875" style="501" customWidth="1"/>
    <col min="7725" max="7726" width="9.5703125" style="501"/>
    <col min="7727" max="7727" width="14.140625" style="501" customWidth="1"/>
    <col min="7728" max="7936" width="9.5703125" style="501"/>
    <col min="7937" max="7937" width="12" style="501" customWidth="1"/>
    <col min="7938" max="7938" width="10" style="501" customWidth="1"/>
    <col min="7939" max="7939" width="52.7109375" style="501" customWidth="1"/>
    <col min="7940" max="7940" width="17.7109375" style="501" customWidth="1"/>
    <col min="7941" max="7941" width="8.85546875" style="501" customWidth="1"/>
    <col min="7942" max="7942" width="14.28515625" style="501" customWidth="1"/>
    <col min="7943" max="7943" width="23.7109375" style="501" customWidth="1"/>
    <col min="7944" max="7945" width="11.140625" style="501" customWidth="1"/>
    <col min="7946" max="7946" width="60" style="501" customWidth="1"/>
    <col min="7947" max="7947" width="12.7109375" style="501" customWidth="1"/>
    <col min="7948" max="7948" width="10.28515625" style="501" customWidth="1"/>
    <col min="7949" max="7949" width="13" style="501" customWidth="1"/>
    <col min="7950" max="7950" width="26.42578125" style="501" customWidth="1"/>
    <col min="7951" max="7951" width="12.140625" style="501" customWidth="1"/>
    <col min="7952" max="7952" width="10.85546875" style="501" customWidth="1"/>
    <col min="7953" max="7953" width="54" style="501" customWidth="1"/>
    <col min="7954" max="7954" width="13.85546875" style="501" customWidth="1"/>
    <col min="7955" max="7955" width="9.28515625" style="501" customWidth="1"/>
    <col min="7956" max="7956" width="13.85546875" style="501" customWidth="1"/>
    <col min="7957" max="7957" width="16.28515625" style="501" customWidth="1"/>
    <col min="7958" max="7958" width="11.5703125" style="501" customWidth="1"/>
    <col min="7959" max="7959" width="8.5703125" style="501" customWidth="1"/>
    <col min="7960" max="7960" width="49.7109375" style="501" customWidth="1"/>
    <col min="7961" max="7961" width="13.28515625" style="501" customWidth="1"/>
    <col min="7962" max="7962" width="8.42578125" style="501" customWidth="1"/>
    <col min="7963" max="7963" width="14.28515625" style="501" customWidth="1"/>
    <col min="7964" max="7964" width="12.42578125" style="501" customWidth="1"/>
    <col min="7965" max="7965" width="43.28515625" style="501" customWidth="1"/>
    <col min="7966" max="7966" width="17.42578125" style="501" customWidth="1"/>
    <col min="7967" max="7967" width="13.7109375" style="501" customWidth="1"/>
    <col min="7968" max="7968" width="19.42578125" style="501" customWidth="1"/>
    <col min="7969" max="7969" width="24.5703125" style="501" customWidth="1"/>
    <col min="7970" max="7970" width="17" style="501" customWidth="1"/>
    <col min="7971" max="7971" width="14.28515625" style="501" customWidth="1"/>
    <col min="7972" max="7972" width="11.28515625" style="501" customWidth="1"/>
    <col min="7973" max="7975" width="10.28515625" style="501" bestFit="1" customWidth="1"/>
    <col min="7976" max="7979" width="9.5703125" style="501"/>
    <col min="7980" max="7980" width="25.85546875" style="501" customWidth="1"/>
    <col min="7981" max="7982" width="9.5703125" style="501"/>
    <col min="7983" max="7983" width="14.140625" style="501" customWidth="1"/>
    <col min="7984" max="8192" width="9.5703125" style="501"/>
    <col min="8193" max="8193" width="12" style="501" customWidth="1"/>
    <col min="8194" max="8194" width="10" style="501" customWidth="1"/>
    <col min="8195" max="8195" width="52.7109375" style="501" customWidth="1"/>
    <col min="8196" max="8196" width="17.7109375" style="501" customWidth="1"/>
    <col min="8197" max="8197" width="8.85546875" style="501" customWidth="1"/>
    <col min="8198" max="8198" width="14.28515625" style="501" customWidth="1"/>
    <col min="8199" max="8199" width="23.7109375" style="501" customWidth="1"/>
    <col min="8200" max="8201" width="11.140625" style="501" customWidth="1"/>
    <col min="8202" max="8202" width="60" style="501" customWidth="1"/>
    <col min="8203" max="8203" width="12.7109375" style="501" customWidth="1"/>
    <col min="8204" max="8204" width="10.28515625" style="501" customWidth="1"/>
    <col min="8205" max="8205" width="13" style="501" customWidth="1"/>
    <col min="8206" max="8206" width="26.42578125" style="501" customWidth="1"/>
    <col min="8207" max="8207" width="12.140625" style="501" customWidth="1"/>
    <col min="8208" max="8208" width="10.85546875" style="501" customWidth="1"/>
    <col min="8209" max="8209" width="54" style="501" customWidth="1"/>
    <col min="8210" max="8210" width="13.85546875" style="501" customWidth="1"/>
    <col min="8211" max="8211" width="9.28515625" style="501" customWidth="1"/>
    <col min="8212" max="8212" width="13.85546875" style="501" customWidth="1"/>
    <col min="8213" max="8213" width="16.28515625" style="501" customWidth="1"/>
    <col min="8214" max="8214" width="11.5703125" style="501" customWidth="1"/>
    <col min="8215" max="8215" width="8.5703125" style="501" customWidth="1"/>
    <col min="8216" max="8216" width="49.7109375" style="501" customWidth="1"/>
    <col min="8217" max="8217" width="13.28515625" style="501" customWidth="1"/>
    <col min="8218" max="8218" width="8.42578125" style="501" customWidth="1"/>
    <col min="8219" max="8219" width="14.28515625" style="501" customWidth="1"/>
    <col min="8220" max="8220" width="12.42578125" style="501" customWidth="1"/>
    <col min="8221" max="8221" width="43.28515625" style="501" customWidth="1"/>
    <col min="8222" max="8222" width="17.42578125" style="501" customWidth="1"/>
    <col min="8223" max="8223" width="13.7109375" style="501" customWidth="1"/>
    <col min="8224" max="8224" width="19.42578125" style="501" customWidth="1"/>
    <col min="8225" max="8225" width="24.5703125" style="501" customWidth="1"/>
    <col min="8226" max="8226" width="17" style="501" customWidth="1"/>
    <col min="8227" max="8227" width="14.28515625" style="501" customWidth="1"/>
    <col min="8228" max="8228" width="11.28515625" style="501" customWidth="1"/>
    <col min="8229" max="8231" width="10.28515625" style="501" bestFit="1" customWidth="1"/>
    <col min="8232" max="8235" width="9.5703125" style="501"/>
    <col min="8236" max="8236" width="25.85546875" style="501" customWidth="1"/>
    <col min="8237" max="8238" width="9.5703125" style="501"/>
    <col min="8239" max="8239" width="14.140625" style="501" customWidth="1"/>
    <col min="8240" max="8448" width="9.5703125" style="501"/>
    <col min="8449" max="8449" width="12" style="501" customWidth="1"/>
    <col min="8450" max="8450" width="10" style="501" customWidth="1"/>
    <col min="8451" max="8451" width="52.7109375" style="501" customWidth="1"/>
    <col min="8452" max="8452" width="17.7109375" style="501" customWidth="1"/>
    <col min="8453" max="8453" width="8.85546875" style="501" customWidth="1"/>
    <col min="8454" max="8454" width="14.28515625" style="501" customWidth="1"/>
    <col min="8455" max="8455" width="23.7109375" style="501" customWidth="1"/>
    <col min="8456" max="8457" width="11.140625" style="501" customWidth="1"/>
    <col min="8458" max="8458" width="60" style="501" customWidth="1"/>
    <col min="8459" max="8459" width="12.7109375" style="501" customWidth="1"/>
    <col min="8460" max="8460" width="10.28515625" style="501" customWidth="1"/>
    <col min="8461" max="8461" width="13" style="501" customWidth="1"/>
    <col min="8462" max="8462" width="26.42578125" style="501" customWidth="1"/>
    <col min="8463" max="8463" width="12.140625" style="501" customWidth="1"/>
    <col min="8464" max="8464" width="10.85546875" style="501" customWidth="1"/>
    <col min="8465" max="8465" width="54" style="501" customWidth="1"/>
    <col min="8466" max="8466" width="13.85546875" style="501" customWidth="1"/>
    <col min="8467" max="8467" width="9.28515625" style="501" customWidth="1"/>
    <col min="8468" max="8468" width="13.85546875" style="501" customWidth="1"/>
    <col min="8469" max="8469" width="16.28515625" style="501" customWidth="1"/>
    <col min="8470" max="8470" width="11.5703125" style="501" customWidth="1"/>
    <col min="8471" max="8471" width="8.5703125" style="501" customWidth="1"/>
    <col min="8472" max="8472" width="49.7109375" style="501" customWidth="1"/>
    <col min="8473" max="8473" width="13.28515625" style="501" customWidth="1"/>
    <col min="8474" max="8474" width="8.42578125" style="501" customWidth="1"/>
    <col min="8475" max="8475" width="14.28515625" style="501" customWidth="1"/>
    <col min="8476" max="8476" width="12.42578125" style="501" customWidth="1"/>
    <col min="8477" max="8477" width="43.28515625" style="501" customWidth="1"/>
    <col min="8478" max="8478" width="17.42578125" style="501" customWidth="1"/>
    <col min="8479" max="8479" width="13.7109375" style="501" customWidth="1"/>
    <col min="8480" max="8480" width="19.42578125" style="501" customWidth="1"/>
    <col min="8481" max="8481" width="24.5703125" style="501" customWidth="1"/>
    <col min="8482" max="8482" width="17" style="501" customWidth="1"/>
    <col min="8483" max="8483" width="14.28515625" style="501" customWidth="1"/>
    <col min="8484" max="8484" width="11.28515625" style="501" customWidth="1"/>
    <col min="8485" max="8487" width="10.28515625" style="501" bestFit="1" customWidth="1"/>
    <col min="8488" max="8491" width="9.5703125" style="501"/>
    <col min="8492" max="8492" width="25.85546875" style="501" customWidth="1"/>
    <col min="8493" max="8494" width="9.5703125" style="501"/>
    <col min="8495" max="8495" width="14.140625" style="501" customWidth="1"/>
    <col min="8496" max="8704" width="9.5703125" style="501"/>
    <col min="8705" max="8705" width="12" style="501" customWidth="1"/>
    <col min="8706" max="8706" width="10" style="501" customWidth="1"/>
    <col min="8707" max="8707" width="52.7109375" style="501" customWidth="1"/>
    <col min="8708" max="8708" width="17.7109375" style="501" customWidth="1"/>
    <col min="8709" max="8709" width="8.85546875" style="501" customWidth="1"/>
    <col min="8710" max="8710" width="14.28515625" style="501" customWidth="1"/>
    <col min="8711" max="8711" width="23.7109375" style="501" customWidth="1"/>
    <col min="8712" max="8713" width="11.140625" style="501" customWidth="1"/>
    <col min="8714" max="8714" width="60" style="501" customWidth="1"/>
    <col min="8715" max="8715" width="12.7109375" style="501" customWidth="1"/>
    <col min="8716" max="8716" width="10.28515625" style="501" customWidth="1"/>
    <col min="8717" max="8717" width="13" style="501" customWidth="1"/>
    <col min="8718" max="8718" width="26.42578125" style="501" customWidth="1"/>
    <col min="8719" max="8719" width="12.140625" style="501" customWidth="1"/>
    <col min="8720" max="8720" width="10.85546875" style="501" customWidth="1"/>
    <col min="8721" max="8721" width="54" style="501" customWidth="1"/>
    <col min="8722" max="8722" width="13.85546875" style="501" customWidth="1"/>
    <col min="8723" max="8723" width="9.28515625" style="501" customWidth="1"/>
    <col min="8724" max="8724" width="13.85546875" style="501" customWidth="1"/>
    <col min="8725" max="8725" width="16.28515625" style="501" customWidth="1"/>
    <col min="8726" max="8726" width="11.5703125" style="501" customWidth="1"/>
    <col min="8727" max="8727" width="8.5703125" style="501" customWidth="1"/>
    <col min="8728" max="8728" width="49.7109375" style="501" customWidth="1"/>
    <col min="8729" max="8729" width="13.28515625" style="501" customWidth="1"/>
    <col min="8730" max="8730" width="8.42578125" style="501" customWidth="1"/>
    <col min="8731" max="8731" width="14.28515625" style="501" customWidth="1"/>
    <col min="8732" max="8732" width="12.42578125" style="501" customWidth="1"/>
    <col min="8733" max="8733" width="43.28515625" style="501" customWidth="1"/>
    <col min="8734" max="8734" width="17.42578125" style="501" customWidth="1"/>
    <col min="8735" max="8735" width="13.7109375" style="501" customWidth="1"/>
    <col min="8736" max="8736" width="19.42578125" style="501" customWidth="1"/>
    <col min="8737" max="8737" width="24.5703125" style="501" customWidth="1"/>
    <col min="8738" max="8738" width="17" style="501" customWidth="1"/>
    <col min="8739" max="8739" width="14.28515625" style="501" customWidth="1"/>
    <col min="8740" max="8740" width="11.28515625" style="501" customWidth="1"/>
    <col min="8741" max="8743" width="10.28515625" style="501" bestFit="1" customWidth="1"/>
    <col min="8744" max="8747" width="9.5703125" style="501"/>
    <col min="8748" max="8748" width="25.85546875" style="501" customWidth="1"/>
    <col min="8749" max="8750" width="9.5703125" style="501"/>
    <col min="8751" max="8751" width="14.140625" style="501" customWidth="1"/>
    <col min="8752" max="8960" width="9.5703125" style="501"/>
    <col min="8961" max="8961" width="12" style="501" customWidth="1"/>
    <col min="8962" max="8962" width="10" style="501" customWidth="1"/>
    <col min="8963" max="8963" width="52.7109375" style="501" customWidth="1"/>
    <col min="8964" max="8964" width="17.7109375" style="501" customWidth="1"/>
    <col min="8965" max="8965" width="8.85546875" style="501" customWidth="1"/>
    <col min="8966" max="8966" width="14.28515625" style="501" customWidth="1"/>
    <col min="8967" max="8967" width="23.7109375" style="501" customWidth="1"/>
    <col min="8968" max="8969" width="11.140625" style="501" customWidth="1"/>
    <col min="8970" max="8970" width="60" style="501" customWidth="1"/>
    <col min="8971" max="8971" width="12.7109375" style="501" customWidth="1"/>
    <col min="8972" max="8972" width="10.28515625" style="501" customWidth="1"/>
    <col min="8973" max="8973" width="13" style="501" customWidth="1"/>
    <col min="8974" max="8974" width="26.42578125" style="501" customWidth="1"/>
    <col min="8975" max="8975" width="12.140625" style="501" customWidth="1"/>
    <col min="8976" max="8976" width="10.85546875" style="501" customWidth="1"/>
    <col min="8977" max="8977" width="54" style="501" customWidth="1"/>
    <col min="8978" max="8978" width="13.85546875" style="501" customWidth="1"/>
    <col min="8979" max="8979" width="9.28515625" style="501" customWidth="1"/>
    <col min="8980" max="8980" width="13.85546875" style="501" customWidth="1"/>
    <col min="8981" max="8981" width="16.28515625" style="501" customWidth="1"/>
    <col min="8982" max="8982" width="11.5703125" style="501" customWidth="1"/>
    <col min="8983" max="8983" width="8.5703125" style="501" customWidth="1"/>
    <col min="8984" max="8984" width="49.7109375" style="501" customWidth="1"/>
    <col min="8985" max="8985" width="13.28515625" style="501" customWidth="1"/>
    <col min="8986" max="8986" width="8.42578125" style="501" customWidth="1"/>
    <col min="8987" max="8987" width="14.28515625" style="501" customWidth="1"/>
    <col min="8988" max="8988" width="12.42578125" style="501" customWidth="1"/>
    <col min="8989" max="8989" width="43.28515625" style="501" customWidth="1"/>
    <col min="8990" max="8990" width="17.42578125" style="501" customWidth="1"/>
    <col min="8991" max="8991" width="13.7109375" style="501" customWidth="1"/>
    <col min="8992" max="8992" width="19.42578125" style="501" customWidth="1"/>
    <col min="8993" max="8993" width="24.5703125" style="501" customWidth="1"/>
    <col min="8994" max="8994" width="17" style="501" customWidth="1"/>
    <col min="8995" max="8995" width="14.28515625" style="501" customWidth="1"/>
    <col min="8996" max="8996" width="11.28515625" style="501" customWidth="1"/>
    <col min="8997" max="8999" width="10.28515625" style="501" bestFit="1" customWidth="1"/>
    <col min="9000" max="9003" width="9.5703125" style="501"/>
    <col min="9004" max="9004" width="25.85546875" style="501" customWidth="1"/>
    <col min="9005" max="9006" width="9.5703125" style="501"/>
    <col min="9007" max="9007" width="14.140625" style="501" customWidth="1"/>
    <col min="9008" max="9216" width="9.5703125" style="501"/>
    <col min="9217" max="9217" width="12" style="501" customWidth="1"/>
    <col min="9218" max="9218" width="10" style="501" customWidth="1"/>
    <col min="9219" max="9219" width="52.7109375" style="501" customWidth="1"/>
    <col min="9220" max="9220" width="17.7109375" style="501" customWidth="1"/>
    <col min="9221" max="9221" width="8.85546875" style="501" customWidth="1"/>
    <col min="9222" max="9222" width="14.28515625" style="501" customWidth="1"/>
    <col min="9223" max="9223" width="23.7109375" style="501" customWidth="1"/>
    <col min="9224" max="9225" width="11.140625" style="501" customWidth="1"/>
    <col min="9226" max="9226" width="60" style="501" customWidth="1"/>
    <col min="9227" max="9227" width="12.7109375" style="501" customWidth="1"/>
    <col min="9228" max="9228" width="10.28515625" style="501" customWidth="1"/>
    <col min="9229" max="9229" width="13" style="501" customWidth="1"/>
    <col min="9230" max="9230" width="26.42578125" style="501" customWidth="1"/>
    <col min="9231" max="9231" width="12.140625" style="501" customWidth="1"/>
    <col min="9232" max="9232" width="10.85546875" style="501" customWidth="1"/>
    <col min="9233" max="9233" width="54" style="501" customWidth="1"/>
    <col min="9234" max="9234" width="13.85546875" style="501" customWidth="1"/>
    <col min="9235" max="9235" width="9.28515625" style="501" customWidth="1"/>
    <col min="9236" max="9236" width="13.85546875" style="501" customWidth="1"/>
    <col min="9237" max="9237" width="16.28515625" style="501" customWidth="1"/>
    <col min="9238" max="9238" width="11.5703125" style="501" customWidth="1"/>
    <col min="9239" max="9239" width="8.5703125" style="501" customWidth="1"/>
    <col min="9240" max="9240" width="49.7109375" style="501" customWidth="1"/>
    <col min="9241" max="9241" width="13.28515625" style="501" customWidth="1"/>
    <col min="9242" max="9242" width="8.42578125" style="501" customWidth="1"/>
    <col min="9243" max="9243" width="14.28515625" style="501" customWidth="1"/>
    <col min="9244" max="9244" width="12.42578125" style="501" customWidth="1"/>
    <col min="9245" max="9245" width="43.28515625" style="501" customWidth="1"/>
    <col min="9246" max="9246" width="17.42578125" style="501" customWidth="1"/>
    <col min="9247" max="9247" width="13.7109375" style="501" customWidth="1"/>
    <col min="9248" max="9248" width="19.42578125" style="501" customWidth="1"/>
    <col min="9249" max="9249" width="24.5703125" style="501" customWidth="1"/>
    <col min="9250" max="9250" width="17" style="501" customWidth="1"/>
    <col min="9251" max="9251" width="14.28515625" style="501" customWidth="1"/>
    <col min="9252" max="9252" width="11.28515625" style="501" customWidth="1"/>
    <col min="9253" max="9255" width="10.28515625" style="501" bestFit="1" customWidth="1"/>
    <col min="9256" max="9259" width="9.5703125" style="501"/>
    <col min="9260" max="9260" width="25.85546875" style="501" customWidth="1"/>
    <col min="9261" max="9262" width="9.5703125" style="501"/>
    <col min="9263" max="9263" width="14.140625" style="501" customWidth="1"/>
    <col min="9264" max="9472" width="9.5703125" style="501"/>
    <col min="9473" max="9473" width="12" style="501" customWidth="1"/>
    <col min="9474" max="9474" width="10" style="501" customWidth="1"/>
    <col min="9475" max="9475" width="52.7109375" style="501" customWidth="1"/>
    <col min="9476" max="9476" width="17.7109375" style="501" customWidth="1"/>
    <col min="9477" max="9477" width="8.85546875" style="501" customWidth="1"/>
    <col min="9478" max="9478" width="14.28515625" style="501" customWidth="1"/>
    <col min="9479" max="9479" width="23.7109375" style="501" customWidth="1"/>
    <col min="9480" max="9481" width="11.140625" style="501" customWidth="1"/>
    <col min="9482" max="9482" width="60" style="501" customWidth="1"/>
    <col min="9483" max="9483" width="12.7109375" style="501" customWidth="1"/>
    <col min="9484" max="9484" width="10.28515625" style="501" customWidth="1"/>
    <col min="9485" max="9485" width="13" style="501" customWidth="1"/>
    <col min="9486" max="9486" width="26.42578125" style="501" customWidth="1"/>
    <col min="9487" max="9487" width="12.140625" style="501" customWidth="1"/>
    <col min="9488" max="9488" width="10.85546875" style="501" customWidth="1"/>
    <col min="9489" max="9489" width="54" style="501" customWidth="1"/>
    <col min="9490" max="9490" width="13.85546875" style="501" customWidth="1"/>
    <col min="9491" max="9491" width="9.28515625" style="501" customWidth="1"/>
    <col min="9492" max="9492" width="13.85546875" style="501" customWidth="1"/>
    <col min="9493" max="9493" width="16.28515625" style="501" customWidth="1"/>
    <col min="9494" max="9494" width="11.5703125" style="501" customWidth="1"/>
    <col min="9495" max="9495" width="8.5703125" style="501" customWidth="1"/>
    <col min="9496" max="9496" width="49.7109375" style="501" customWidth="1"/>
    <col min="9497" max="9497" width="13.28515625" style="501" customWidth="1"/>
    <col min="9498" max="9498" width="8.42578125" style="501" customWidth="1"/>
    <col min="9499" max="9499" width="14.28515625" style="501" customWidth="1"/>
    <col min="9500" max="9500" width="12.42578125" style="501" customWidth="1"/>
    <col min="9501" max="9501" width="43.28515625" style="501" customWidth="1"/>
    <col min="9502" max="9502" width="17.42578125" style="501" customWidth="1"/>
    <col min="9503" max="9503" width="13.7109375" style="501" customWidth="1"/>
    <col min="9504" max="9504" width="19.42578125" style="501" customWidth="1"/>
    <col min="9505" max="9505" width="24.5703125" style="501" customWidth="1"/>
    <col min="9506" max="9506" width="17" style="501" customWidth="1"/>
    <col min="9507" max="9507" width="14.28515625" style="501" customWidth="1"/>
    <col min="9508" max="9508" width="11.28515625" style="501" customWidth="1"/>
    <col min="9509" max="9511" width="10.28515625" style="501" bestFit="1" customWidth="1"/>
    <col min="9512" max="9515" width="9.5703125" style="501"/>
    <col min="9516" max="9516" width="25.85546875" style="501" customWidth="1"/>
    <col min="9517" max="9518" width="9.5703125" style="501"/>
    <col min="9519" max="9519" width="14.140625" style="501" customWidth="1"/>
    <col min="9520" max="9728" width="9.5703125" style="501"/>
    <col min="9729" max="9729" width="12" style="501" customWidth="1"/>
    <col min="9730" max="9730" width="10" style="501" customWidth="1"/>
    <col min="9731" max="9731" width="52.7109375" style="501" customWidth="1"/>
    <col min="9732" max="9732" width="17.7109375" style="501" customWidth="1"/>
    <col min="9733" max="9733" width="8.85546875" style="501" customWidth="1"/>
    <col min="9734" max="9734" width="14.28515625" style="501" customWidth="1"/>
    <col min="9735" max="9735" width="23.7109375" style="501" customWidth="1"/>
    <col min="9736" max="9737" width="11.140625" style="501" customWidth="1"/>
    <col min="9738" max="9738" width="60" style="501" customWidth="1"/>
    <col min="9739" max="9739" width="12.7109375" style="501" customWidth="1"/>
    <col min="9740" max="9740" width="10.28515625" style="501" customWidth="1"/>
    <col min="9741" max="9741" width="13" style="501" customWidth="1"/>
    <col min="9742" max="9742" width="26.42578125" style="501" customWidth="1"/>
    <col min="9743" max="9743" width="12.140625" style="501" customWidth="1"/>
    <col min="9744" max="9744" width="10.85546875" style="501" customWidth="1"/>
    <col min="9745" max="9745" width="54" style="501" customWidth="1"/>
    <col min="9746" max="9746" width="13.85546875" style="501" customWidth="1"/>
    <col min="9747" max="9747" width="9.28515625" style="501" customWidth="1"/>
    <col min="9748" max="9748" width="13.85546875" style="501" customWidth="1"/>
    <col min="9749" max="9749" width="16.28515625" style="501" customWidth="1"/>
    <col min="9750" max="9750" width="11.5703125" style="501" customWidth="1"/>
    <col min="9751" max="9751" width="8.5703125" style="501" customWidth="1"/>
    <col min="9752" max="9752" width="49.7109375" style="501" customWidth="1"/>
    <col min="9753" max="9753" width="13.28515625" style="501" customWidth="1"/>
    <col min="9754" max="9754" width="8.42578125" style="501" customWidth="1"/>
    <col min="9755" max="9755" width="14.28515625" style="501" customWidth="1"/>
    <col min="9756" max="9756" width="12.42578125" style="501" customWidth="1"/>
    <col min="9757" max="9757" width="43.28515625" style="501" customWidth="1"/>
    <col min="9758" max="9758" width="17.42578125" style="501" customWidth="1"/>
    <col min="9759" max="9759" width="13.7109375" style="501" customWidth="1"/>
    <col min="9760" max="9760" width="19.42578125" style="501" customWidth="1"/>
    <col min="9761" max="9761" width="24.5703125" style="501" customWidth="1"/>
    <col min="9762" max="9762" width="17" style="501" customWidth="1"/>
    <col min="9763" max="9763" width="14.28515625" style="501" customWidth="1"/>
    <col min="9764" max="9764" width="11.28515625" style="501" customWidth="1"/>
    <col min="9765" max="9767" width="10.28515625" style="501" bestFit="1" customWidth="1"/>
    <col min="9768" max="9771" width="9.5703125" style="501"/>
    <col min="9772" max="9772" width="25.85546875" style="501" customWidth="1"/>
    <col min="9773" max="9774" width="9.5703125" style="501"/>
    <col min="9775" max="9775" width="14.140625" style="501" customWidth="1"/>
    <col min="9776" max="9984" width="9.5703125" style="501"/>
    <col min="9985" max="9985" width="12" style="501" customWidth="1"/>
    <col min="9986" max="9986" width="10" style="501" customWidth="1"/>
    <col min="9987" max="9987" width="52.7109375" style="501" customWidth="1"/>
    <col min="9988" max="9988" width="17.7109375" style="501" customWidth="1"/>
    <col min="9989" max="9989" width="8.85546875" style="501" customWidth="1"/>
    <col min="9990" max="9990" width="14.28515625" style="501" customWidth="1"/>
    <col min="9991" max="9991" width="23.7109375" style="501" customWidth="1"/>
    <col min="9992" max="9993" width="11.140625" style="501" customWidth="1"/>
    <col min="9994" max="9994" width="60" style="501" customWidth="1"/>
    <col min="9995" max="9995" width="12.7109375" style="501" customWidth="1"/>
    <col min="9996" max="9996" width="10.28515625" style="501" customWidth="1"/>
    <col min="9997" max="9997" width="13" style="501" customWidth="1"/>
    <col min="9998" max="9998" width="26.42578125" style="501" customWidth="1"/>
    <col min="9999" max="9999" width="12.140625" style="501" customWidth="1"/>
    <col min="10000" max="10000" width="10.85546875" style="501" customWidth="1"/>
    <col min="10001" max="10001" width="54" style="501" customWidth="1"/>
    <col min="10002" max="10002" width="13.85546875" style="501" customWidth="1"/>
    <col min="10003" max="10003" width="9.28515625" style="501" customWidth="1"/>
    <col min="10004" max="10004" width="13.85546875" style="501" customWidth="1"/>
    <col min="10005" max="10005" width="16.28515625" style="501" customWidth="1"/>
    <col min="10006" max="10006" width="11.5703125" style="501" customWidth="1"/>
    <col min="10007" max="10007" width="8.5703125" style="501" customWidth="1"/>
    <col min="10008" max="10008" width="49.7109375" style="501" customWidth="1"/>
    <col min="10009" max="10009" width="13.28515625" style="501" customWidth="1"/>
    <col min="10010" max="10010" width="8.42578125" style="501" customWidth="1"/>
    <col min="10011" max="10011" width="14.28515625" style="501" customWidth="1"/>
    <col min="10012" max="10012" width="12.42578125" style="501" customWidth="1"/>
    <col min="10013" max="10013" width="43.28515625" style="501" customWidth="1"/>
    <col min="10014" max="10014" width="17.42578125" style="501" customWidth="1"/>
    <col min="10015" max="10015" width="13.7109375" style="501" customWidth="1"/>
    <col min="10016" max="10016" width="19.42578125" style="501" customWidth="1"/>
    <col min="10017" max="10017" width="24.5703125" style="501" customWidth="1"/>
    <col min="10018" max="10018" width="17" style="501" customWidth="1"/>
    <col min="10019" max="10019" width="14.28515625" style="501" customWidth="1"/>
    <col min="10020" max="10020" width="11.28515625" style="501" customWidth="1"/>
    <col min="10021" max="10023" width="10.28515625" style="501" bestFit="1" customWidth="1"/>
    <col min="10024" max="10027" width="9.5703125" style="501"/>
    <col min="10028" max="10028" width="25.85546875" style="501" customWidth="1"/>
    <col min="10029" max="10030" width="9.5703125" style="501"/>
    <col min="10031" max="10031" width="14.140625" style="501" customWidth="1"/>
    <col min="10032" max="10240" width="9.5703125" style="501"/>
    <col min="10241" max="10241" width="12" style="501" customWidth="1"/>
    <col min="10242" max="10242" width="10" style="501" customWidth="1"/>
    <col min="10243" max="10243" width="52.7109375" style="501" customWidth="1"/>
    <col min="10244" max="10244" width="17.7109375" style="501" customWidth="1"/>
    <col min="10245" max="10245" width="8.85546875" style="501" customWidth="1"/>
    <col min="10246" max="10246" width="14.28515625" style="501" customWidth="1"/>
    <col min="10247" max="10247" width="23.7109375" style="501" customWidth="1"/>
    <col min="10248" max="10249" width="11.140625" style="501" customWidth="1"/>
    <col min="10250" max="10250" width="60" style="501" customWidth="1"/>
    <col min="10251" max="10251" width="12.7109375" style="501" customWidth="1"/>
    <col min="10252" max="10252" width="10.28515625" style="501" customWidth="1"/>
    <col min="10253" max="10253" width="13" style="501" customWidth="1"/>
    <col min="10254" max="10254" width="26.42578125" style="501" customWidth="1"/>
    <col min="10255" max="10255" width="12.140625" style="501" customWidth="1"/>
    <col min="10256" max="10256" width="10.85546875" style="501" customWidth="1"/>
    <col min="10257" max="10257" width="54" style="501" customWidth="1"/>
    <col min="10258" max="10258" width="13.85546875" style="501" customWidth="1"/>
    <col min="10259" max="10259" width="9.28515625" style="501" customWidth="1"/>
    <col min="10260" max="10260" width="13.85546875" style="501" customWidth="1"/>
    <col min="10261" max="10261" width="16.28515625" style="501" customWidth="1"/>
    <col min="10262" max="10262" width="11.5703125" style="501" customWidth="1"/>
    <col min="10263" max="10263" width="8.5703125" style="501" customWidth="1"/>
    <col min="10264" max="10264" width="49.7109375" style="501" customWidth="1"/>
    <col min="10265" max="10265" width="13.28515625" style="501" customWidth="1"/>
    <col min="10266" max="10266" width="8.42578125" style="501" customWidth="1"/>
    <col min="10267" max="10267" width="14.28515625" style="501" customWidth="1"/>
    <col min="10268" max="10268" width="12.42578125" style="501" customWidth="1"/>
    <col min="10269" max="10269" width="43.28515625" style="501" customWidth="1"/>
    <col min="10270" max="10270" width="17.42578125" style="501" customWidth="1"/>
    <col min="10271" max="10271" width="13.7109375" style="501" customWidth="1"/>
    <col min="10272" max="10272" width="19.42578125" style="501" customWidth="1"/>
    <col min="10273" max="10273" width="24.5703125" style="501" customWidth="1"/>
    <col min="10274" max="10274" width="17" style="501" customWidth="1"/>
    <col min="10275" max="10275" width="14.28515625" style="501" customWidth="1"/>
    <col min="10276" max="10276" width="11.28515625" style="501" customWidth="1"/>
    <col min="10277" max="10279" width="10.28515625" style="501" bestFit="1" customWidth="1"/>
    <col min="10280" max="10283" width="9.5703125" style="501"/>
    <col min="10284" max="10284" width="25.85546875" style="501" customWidth="1"/>
    <col min="10285" max="10286" width="9.5703125" style="501"/>
    <col min="10287" max="10287" width="14.140625" style="501" customWidth="1"/>
    <col min="10288" max="10496" width="9.5703125" style="501"/>
    <col min="10497" max="10497" width="12" style="501" customWidth="1"/>
    <col min="10498" max="10498" width="10" style="501" customWidth="1"/>
    <col min="10499" max="10499" width="52.7109375" style="501" customWidth="1"/>
    <col min="10500" max="10500" width="17.7109375" style="501" customWidth="1"/>
    <col min="10501" max="10501" width="8.85546875" style="501" customWidth="1"/>
    <col min="10502" max="10502" width="14.28515625" style="501" customWidth="1"/>
    <col min="10503" max="10503" width="23.7109375" style="501" customWidth="1"/>
    <col min="10504" max="10505" width="11.140625" style="501" customWidth="1"/>
    <col min="10506" max="10506" width="60" style="501" customWidth="1"/>
    <col min="10507" max="10507" width="12.7109375" style="501" customWidth="1"/>
    <col min="10508" max="10508" width="10.28515625" style="501" customWidth="1"/>
    <col min="10509" max="10509" width="13" style="501" customWidth="1"/>
    <col min="10510" max="10510" width="26.42578125" style="501" customWidth="1"/>
    <col min="10511" max="10511" width="12.140625" style="501" customWidth="1"/>
    <col min="10512" max="10512" width="10.85546875" style="501" customWidth="1"/>
    <col min="10513" max="10513" width="54" style="501" customWidth="1"/>
    <col min="10514" max="10514" width="13.85546875" style="501" customWidth="1"/>
    <col min="10515" max="10515" width="9.28515625" style="501" customWidth="1"/>
    <col min="10516" max="10516" width="13.85546875" style="501" customWidth="1"/>
    <col min="10517" max="10517" width="16.28515625" style="501" customWidth="1"/>
    <col min="10518" max="10518" width="11.5703125" style="501" customWidth="1"/>
    <col min="10519" max="10519" width="8.5703125" style="501" customWidth="1"/>
    <col min="10520" max="10520" width="49.7109375" style="501" customWidth="1"/>
    <col min="10521" max="10521" width="13.28515625" style="501" customWidth="1"/>
    <col min="10522" max="10522" width="8.42578125" style="501" customWidth="1"/>
    <col min="10523" max="10523" width="14.28515625" style="501" customWidth="1"/>
    <col min="10524" max="10524" width="12.42578125" style="501" customWidth="1"/>
    <col min="10525" max="10525" width="43.28515625" style="501" customWidth="1"/>
    <col min="10526" max="10526" width="17.42578125" style="501" customWidth="1"/>
    <col min="10527" max="10527" width="13.7109375" style="501" customWidth="1"/>
    <col min="10528" max="10528" width="19.42578125" style="501" customWidth="1"/>
    <col min="10529" max="10529" width="24.5703125" style="501" customWidth="1"/>
    <col min="10530" max="10530" width="17" style="501" customWidth="1"/>
    <col min="10531" max="10531" width="14.28515625" style="501" customWidth="1"/>
    <col min="10532" max="10532" width="11.28515625" style="501" customWidth="1"/>
    <col min="10533" max="10535" width="10.28515625" style="501" bestFit="1" customWidth="1"/>
    <col min="10536" max="10539" width="9.5703125" style="501"/>
    <col min="10540" max="10540" width="25.85546875" style="501" customWidth="1"/>
    <col min="10541" max="10542" width="9.5703125" style="501"/>
    <col min="10543" max="10543" width="14.140625" style="501" customWidth="1"/>
    <col min="10544" max="10752" width="9.5703125" style="501"/>
    <col min="10753" max="10753" width="12" style="501" customWidth="1"/>
    <col min="10754" max="10754" width="10" style="501" customWidth="1"/>
    <col min="10755" max="10755" width="52.7109375" style="501" customWidth="1"/>
    <col min="10756" max="10756" width="17.7109375" style="501" customWidth="1"/>
    <col min="10757" max="10757" width="8.85546875" style="501" customWidth="1"/>
    <col min="10758" max="10758" width="14.28515625" style="501" customWidth="1"/>
    <col min="10759" max="10759" width="23.7109375" style="501" customWidth="1"/>
    <col min="10760" max="10761" width="11.140625" style="501" customWidth="1"/>
    <col min="10762" max="10762" width="60" style="501" customWidth="1"/>
    <col min="10763" max="10763" width="12.7109375" style="501" customWidth="1"/>
    <col min="10764" max="10764" width="10.28515625" style="501" customWidth="1"/>
    <col min="10765" max="10765" width="13" style="501" customWidth="1"/>
    <col min="10766" max="10766" width="26.42578125" style="501" customWidth="1"/>
    <col min="10767" max="10767" width="12.140625" style="501" customWidth="1"/>
    <col min="10768" max="10768" width="10.85546875" style="501" customWidth="1"/>
    <col min="10769" max="10769" width="54" style="501" customWidth="1"/>
    <col min="10770" max="10770" width="13.85546875" style="501" customWidth="1"/>
    <col min="10771" max="10771" width="9.28515625" style="501" customWidth="1"/>
    <col min="10772" max="10772" width="13.85546875" style="501" customWidth="1"/>
    <col min="10773" max="10773" width="16.28515625" style="501" customWidth="1"/>
    <col min="10774" max="10774" width="11.5703125" style="501" customWidth="1"/>
    <col min="10775" max="10775" width="8.5703125" style="501" customWidth="1"/>
    <col min="10776" max="10776" width="49.7109375" style="501" customWidth="1"/>
    <col min="10777" max="10777" width="13.28515625" style="501" customWidth="1"/>
    <col min="10778" max="10778" width="8.42578125" style="501" customWidth="1"/>
    <col min="10779" max="10779" width="14.28515625" style="501" customWidth="1"/>
    <col min="10780" max="10780" width="12.42578125" style="501" customWidth="1"/>
    <col min="10781" max="10781" width="43.28515625" style="501" customWidth="1"/>
    <col min="10782" max="10782" width="17.42578125" style="501" customWidth="1"/>
    <col min="10783" max="10783" width="13.7109375" style="501" customWidth="1"/>
    <col min="10784" max="10784" width="19.42578125" style="501" customWidth="1"/>
    <col min="10785" max="10785" width="24.5703125" style="501" customWidth="1"/>
    <col min="10786" max="10786" width="17" style="501" customWidth="1"/>
    <col min="10787" max="10787" width="14.28515625" style="501" customWidth="1"/>
    <col min="10788" max="10788" width="11.28515625" style="501" customWidth="1"/>
    <col min="10789" max="10791" width="10.28515625" style="501" bestFit="1" customWidth="1"/>
    <col min="10792" max="10795" width="9.5703125" style="501"/>
    <col min="10796" max="10796" width="25.85546875" style="501" customWidth="1"/>
    <col min="10797" max="10798" width="9.5703125" style="501"/>
    <col min="10799" max="10799" width="14.140625" style="501" customWidth="1"/>
    <col min="10800" max="11008" width="9.5703125" style="501"/>
    <col min="11009" max="11009" width="12" style="501" customWidth="1"/>
    <col min="11010" max="11010" width="10" style="501" customWidth="1"/>
    <col min="11011" max="11011" width="52.7109375" style="501" customWidth="1"/>
    <col min="11012" max="11012" width="17.7109375" style="501" customWidth="1"/>
    <col min="11013" max="11013" width="8.85546875" style="501" customWidth="1"/>
    <col min="11014" max="11014" width="14.28515625" style="501" customWidth="1"/>
    <col min="11015" max="11015" width="23.7109375" style="501" customWidth="1"/>
    <col min="11016" max="11017" width="11.140625" style="501" customWidth="1"/>
    <col min="11018" max="11018" width="60" style="501" customWidth="1"/>
    <col min="11019" max="11019" width="12.7109375" style="501" customWidth="1"/>
    <col min="11020" max="11020" width="10.28515625" style="501" customWidth="1"/>
    <col min="11021" max="11021" width="13" style="501" customWidth="1"/>
    <col min="11022" max="11022" width="26.42578125" style="501" customWidth="1"/>
    <col min="11023" max="11023" width="12.140625" style="501" customWidth="1"/>
    <col min="11024" max="11024" width="10.85546875" style="501" customWidth="1"/>
    <col min="11025" max="11025" width="54" style="501" customWidth="1"/>
    <col min="11026" max="11026" width="13.85546875" style="501" customWidth="1"/>
    <col min="11027" max="11027" width="9.28515625" style="501" customWidth="1"/>
    <col min="11028" max="11028" width="13.85546875" style="501" customWidth="1"/>
    <col min="11029" max="11029" width="16.28515625" style="501" customWidth="1"/>
    <col min="11030" max="11030" width="11.5703125" style="501" customWidth="1"/>
    <col min="11031" max="11031" width="8.5703125" style="501" customWidth="1"/>
    <col min="11032" max="11032" width="49.7109375" style="501" customWidth="1"/>
    <col min="11033" max="11033" width="13.28515625" style="501" customWidth="1"/>
    <col min="11034" max="11034" width="8.42578125" style="501" customWidth="1"/>
    <col min="11035" max="11035" width="14.28515625" style="501" customWidth="1"/>
    <col min="11036" max="11036" width="12.42578125" style="501" customWidth="1"/>
    <col min="11037" max="11037" width="43.28515625" style="501" customWidth="1"/>
    <col min="11038" max="11038" width="17.42578125" style="501" customWidth="1"/>
    <col min="11039" max="11039" width="13.7109375" style="501" customWidth="1"/>
    <col min="11040" max="11040" width="19.42578125" style="501" customWidth="1"/>
    <col min="11041" max="11041" width="24.5703125" style="501" customWidth="1"/>
    <col min="11042" max="11042" width="17" style="501" customWidth="1"/>
    <col min="11043" max="11043" width="14.28515625" style="501" customWidth="1"/>
    <col min="11044" max="11044" width="11.28515625" style="501" customWidth="1"/>
    <col min="11045" max="11047" width="10.28515625" style="501" bestFit="1" customWidth="1"/>
    <col min="11048" max="11051" width="9.5703125" style="501"/>
    <col min="11052" max="11052" width="25.85546875" style="501" customWidth="1"/>
    <col min="11053" max="11054" width="9.5703125" style="501"/>
    <col min="11055" max="11055" width="14.140625" style="501" customWidth="1"/>
    <col min="11056" max="11264" width="9.5703125" style="501"/>
    <col min="11265" max="11265" width="12" style="501" customWidth="1"/>
    <col min="11266" max="11266" width="10" style="501" customWidth="1"/>
    <col min="11267" max="11267" width="52.7109375" style="501" customWidth="1"/>
    <col min="11268" max="11268" width="17.7109375" style="501" customWidth="1"/>
    <col min="11269" max="11269" width="8.85546875" style="501" customWidth="1"/>
    <col min="11270" max="11270" width="14.28515625" style="501" customWidth="1"/>
    <col min="11271" max="11271" width="23.7109375" style="501" customWidth="1"/>
    <col min="11272" max="11273" width="11.140625" style="501" customWidth="1"/>
    <col min="11274" max="11274" width="60" style="501" customWidth="1"/>
    <col min="11275" max="11275" width="12.7109375" style="501" customWidth="1"/>
    <col min="11276" max="11276" width="10.28515625" style="501" customWidth="1"/>
    <col min="11277" max="11277" width="13" style="501" customWidth="1"/>
    <col min="11278" max="11278" width="26.42578125" style="501" customWidth="1"/>
    <col min="11279" max="11279" width="12.140625" style="501" customWidth="1"/>
    <col min="11280" max="11280" width="10.85546875" style="501" customWidth="1"/>
    <col min="11281" max="11281" width="54" style="501" customWidth="1"/>
    <col min="11282" max="11282" width="13.85546875" style="501" customWidth="1"/>
    <col min="11283" max="11283" width="9.28515625" style="501" customWidth="1"/>
    <col min="11284" max="11284" width="13.85546875" style="501" customWidth="1"/>
    <col min="11285" max="11285" width="16.28515625" style="501" customWidth="1"/>
    <col min="11286" max="11286" width="11.5703125" style="501" customWidth="1"/>
    <col min="11287" max="11287" width="8.5703125" style="501" customWidth="1"/>
    <col min="11288" max="11288" width="49.7109375" style="501" customWidth="1"/>
    <col min="11289" max="11289" width="13.28515625" style="501" customWidth="1"/>
    <col min="11290" max="11290" width="8.42578125" style="501" customWidth="1"/>
    <col min="11291" max="11291" width="14.28515625" style="501" customWidth="1"/>
    <col min="11292" max="11292" width="12.42578125" style="501" customWidth="1"/>
    <col min="11293" max="11293" width="43.28515625" style="501" customWidth="1"/>
    <col min="11294" max="11294" width="17.42578125" style="501" customWidth="1"/>
    <col min="11295" max="11295" width="13.7109375" style="501" customWidth="1"/>
    <col min="11296" max="11296" width="19.42578125" style="501" customWidth="1"/>
    <col min="11297" max="11297" width="24.5703125" style="501" customWidth="1"/>
    <col min="11298" max="11298" width="17" style="501" customWidth="1"/>
    <col min="11299" max="11299" width="14.28515625" style="501" customWidth="1"/>
    <col min="11300" max="11300" width="11.28515625" style="501" customWidth="1"/>
    <col min="11301" max="11303" width="10.28515625" style="501" bestFit="1" customWidth="1"/>
    <col min="11304" max="11307" width="9.5703125" style="501"/>
    <col min="11308" max="11308" width="25.85546875" style="501" customWidth="1"/>
    <col min="11309" max="11310" width="9.5703125" style="501"/>
    <col min="11311" max="11311" width="14.140625" style="501" customWidth="1"/>
    <col min="11312" max="11520" width="9.5703125" style="501"/>
    <col min="11521" max="11521" width="12" style="501" customWidth="1"/>
    <col min="11522" max="11522" width="10" style="501" customWidth="1"/>
    <col min="11523" max="11523" width="52.7109375" style="501" customWidth="1"/>
    <col min="11524" max="11524" width="17.7109375" style="501" customWidth="1"/>
    <col min="11525" max="11525" width="8.85546875" style="501" customWidth="1"/>
    <col min="11526" max="11526" width="14.28515625" style="501" customWidth="1"/>
    <col min="11527" max="11527" width="23.7109375" style="501" customWidth="1"/>
    <col min="11528" max="11529" width="11.140625" style="501" customWidth="1"/>
    <col min="11530" max="11530" width="60" style="501" customWidth="1"/>
    <col min="11531" max="11531" width="12.7109375" style="501" customWidth="1"/>
    <col min="11532" max="11532" width="10.28515625" style="501" customWidth="1"/>
    <col min="11533" max="11533" width="13" style="501" customWidth="1"/>
    <col min="11534" max="11534" width="26.42578125" style="501" customWidth="1"/>
    <col min="11535" max="11535" width="12.140625" style="501" customWidth="1"/>
    <col min="11536" max="11536" width="10.85546875" style="501" customWidth="1"/>
    <col min="11537" max="11537" width="54" style="501" customWidth="1"/>
    <col min="11538" max="11538" width="13.85546875" style="501" customWidth="1"/>
    <col min="11539" max="11539" width="9.28515625" style="501" customWidth="1"/>
    <col min="11540" max="11540" width="13.85546875" style="501" customWidth="1"/>
    <col min="11541" max="11541" width="16.28515625" style="501" customWidth="1"/>
    <col min="11542" max="11542" width="11.5703125" style="501" customWidth="1"/>
    <col min="11543" max="11543" width="8.5703125" style="501" customWidth="1"/>
    <col min="11544" max="11544" width="49.7109375" style="501" customWidth="1"/>
    <col min="11545" max="11545" width="13.28515625" style="501" customWidth="1"/>
    <col min="11546" max="11546" width="8.42578125" style="501" customWidth="1"/>
    <col min="11547" max="11547" width="14.28515625" style="501" customWidth="1"/>
    <col min="11548" max="11548" width="12.42578125" style="501" customWidth="1"/>
    <col min="11549" max="11549" width="43.28515625" style="501" customWidth="1"/>
    <col min="11550" max="11550" width="17.42578125" style="501" customWidth="1"/>
    <col min="11551" max="11551" width="13.7109375" style="501" customWidth="1"/>
    <col min="11552" max="11552" width="19.42578125" style="501" customWidth="1"/>
    <col min="11553" max="11553" width="24.5703125" style="501" customWidth="1"/>
    <col min="11554" max="11554" width="17" style="501" customWidth="1"/>
    <col min="11555" max="11555" width="14.28515625" style="501" customWidth="1"/>
    <col min="11556" max="11556" width="11.28515625" style="501" customWidth="1"/>
    <col min="11557" max="11559" width="10.28515625" style="501" bestFit="1" customWidth="1"/>
    <col min="11560" max="11563" width="9.5703125" style="501"/>
    <col min="11564" max="11564" width="25.85546875" style="501" customWidth="1"/>
    <col min="11565" max="11566" width="9.5703125" style="501"/>
    <col min="11567" max="11567" width="14.140625" style="501" customWidth="1"/>
    <col min="11568" max="11776" width="9.5703125" style="501"/>
    <col min="11777" max="11777" width="12" style="501" customWidth="1"/>
    <col min="11778" max="11778" width="10" style="501" customWidth="1"/>
    <col min="11779" max="11779" width="52.7109375" style="501" customWidth="1"/>
    <col min="11780" max="11780" width="17.7109375" style="501" customWidth="1"/>
    <col min="11781" max="11781" width="8.85546875" style="501" customWidth="1"/>
    <col min="11782" max="11782" width="14.28515625" style="501" customWidth="1"/>
    <col min="11783" max="11783" width="23.7109375" style="501" customWidth="1"/>
    <col min="11784" max="11785" width="11.140625" style="501" customWidth="1"/>
    <col min="11786" max="11786" width="60" style="501" customWidth="1"/>
    <col min="11787" max="11787" width="12.7109375" style="501" customWidth="1"/>
    <col min="11788" max="11788" width="10.28515625" style="501" customWidth="1"/>
    <col min="11789" max="11789" width="13" style="501" customWidth="1"/>
    <col min="11790" max="11790" width="26.42578125" style="501" customWidth="1"/>
    <col min="11791" max="11791" width="12.140625" style="501" customWidth="1"/>
    <col min="11792" max="11792" width="10.85546875" style="501" customWidth="1"/>
    <col min="11793" max="11793" width="54" style="501" customWidth="1"/>
    <col min="11794" max="11794" width="13.85546875" style="501" customWidth="1"/>
    <col min="11795" max="11795" width="9.28515625" style="501" customWidth="1"/>
    <col min="11796" max="11796" width="13.85546875" style="501" customWidth="1"/>
    <col min="11797" max="11797" width="16.28515625" style="501" customWidth="1"/>
    <col min="11798" max="11798" width="11.5703125" style="501" customWidth="1"/>
    <col min="11799" max="11799" width="8.5703125" style="501" customWidth="1"/>
    <col min="11800" max="11800" width="49.7109375" style="501" customWidth="1"/>
    <col min="11801" max="11801" width="13.28515625" style="501" customWidth="1"/>
    <col min="11802" max="11802" width="8.42578125" style="501" customWidth="1"/>
    <col min="11803" max="11803" width="14.28515625" style="501" customWidth="1"/>
    <col min="11804" max="11804" width="12.42578125" style="501" customWidth="1"/>
    <col min="11805" max="11805" width="43.28515625" style="501" customWidth="1"/>
    <col min="11806" max="11806" width="17.42578125" style="501" customWidth="1"/>
    <col min="11807" max="11807" width="13.7109375" style="501" customWidth="1"/>
    <col min="11808" max="11808" width="19.42578125" style="501" customWidth="1"/>
    <col min="11809" max="11809" width="24.5703125" style="501" customWidth="1"/>
    <col min="11810" max="11810" width="17" style="501" customWidth="1"/>
    <col min="11811" max="11811" width="14.28515625" style="501" customWidth="1"/>
    <col min="11812" max="11812" width="11.28515625" style="501" customWidth="1"/>
    <col min="11813" max="11815" width="10.28515625" style="501" bestFit="1" customWidth="1"/>
    <col min="11816" max="11819" width="9.5703125" style="501"/>
    <col min="11820" max="11820" width="25.85546875" style="501" customWidth="1"/>
    <col min="11821" max="11822" width="9.5703125" style="501"/>
    <col min="11823" max="11823" width="14.140625" style="501" customWidth="1"/>
    <col min="11824" max="12032" width="9.5703125" style="501"/>
    <col min="12033" max="12033" width="12" style="501" customWidth="1"/>
    <col min="12034" max="12034" width="10" style="501" customWidth="1"/>
    <col min="12035" max="12035" width="52.7109375" style="501" customWidth="1"/>
    <col min="12036" max="12036" width="17.7109375" style="501" customWidth="1"/>
    <col min="12037" max="12037" width="8.85546875" style="501" customWidth="1"/>
    <col min="12038" max="12038" width="14.28515625" style="501" customWidth="1"/>
    <col min="12039" max="12039" width="23.7109375" style="501" customWidth="1"/>
    <col min="12040" max="12041" width="11.140625" style="501" customWidth="1"/>
    <col min="12042" max="12042" width="60" style="501" customWidth="1"/>
    <col min="12043" max="12043" width="12.7109375" style="501" customWidth="1"/>
    <col min="12044" max="12044" width="10.28515625" style="501" customWidth="1"/>
    <col min="12045" max="12045" width="13" style="501" customWidth="1"/>
    <col min="12046" max="12046" width="26.42578125" style="501" customWidth="1"/>
    <col min="12047" max="12047" width="12.140625" style="501" customWidth="1"/>
    <col min="12048" max="12048" width="10.85546875" style="501" customWidth="1"/>
    <col min="12049" max="12049" width="54" style="501" customWidth="1"/>
    <col min="12050" max="12050" width="13.85546875" style="501" customWidth="1"/>
    <col min="12051" max="12051" width="9.28515625" style="501" customWidth="1"/>
    <col min="12052" max="12052" width="13.85546875" style="501" customWidth="1"/>
    <col min="12053" max="12053" width="16.28515625" style="501" customWidth="1"/>
    <col min="12054" max="12054" width="11.5703125" style="501" customWidth="1"/>
    <col min="12055" max="12055" width="8.5703125" style="501" customWidth="1"/>
    <col min="12056" max="12056" width="49.7109375" style="501" customWidth="1"/>
    <col min="12057" max="12057" width="13.28515625" style="501" customWidth="1"/>
    <col min="12058" max="12058" width="8.42578125" style="501" customWidth="1"/>
    <col min="12059" max="12059" width="14.28515625" style="501" customWidth="1"/>
    <col min="12060" max="12060" width="12.42578125" style="501" customWidth="1"/>
    <col min="12061" max="12061" width="43.28515625" style="501" customWidth="1"/>
    <col min="12062" max="12062" width="17.42578125" style="501" customWidth="1"/>
    <col min="12063" max="12063" width="13.7109375" style="501" customWidth="1"/>
    <col min="12064" max="12064" width="19.42578125" style="501" customWidth="1"/>
    <col min="12065" max="12065" width="24.5703125" style="501" customWidth="1"/>
    <col min="12066" max="12066" width="17" style="501" customWidth="1"/>
    <col min="12067" max="12067" width="14.28515625" style="501" customWidth="1"/>
    <col min="12068" max="12068" width="11.28515625" style="501" customWidth="1"/>
    <col min="12069" max="12071" width="10.28515625" style="501" bestFit="1" customWidth="1"/>
    <col min="12072" max="12075" width="9.5703125" style="501"/>
    <col min="12076" max="12076" width="25.85546875" style="501" customWidth="1"/>
    <col min="12077" max="12078" width="9.5703125" style="501"/>
    <col min="12079" max="12079" width="14.140625" style="501" customWidth="1"/>
    <col min="12080" max="12288" width="9.5703125" style="501"/>
    <col min="12289" max="12289" width="12" style="501" customWidth="1"/>
    <col min="12290" max="12290" width="10" style="501" customWidth="1"/>
    <col min="12291" max="12291" width="52.7109375" style="501" customWidth="1"/>
    <col min="12292" max="12292" width="17.7109375" style="501" customWidth="1"/>
    <col min="12293" max="12293" width="8.85546875" style="501" customWidth="1"/>
    <col min="12294" max="12294" width="14.28515625" style="501" customWidth="1"/>
    <col min="12295" max="12295" width="23.7109375" style="501" customWidth="1"/>
    <col min="12296" max="12297" width="11.140625" style="501" customWidth="1"/>
    <col min="12298" max="12298" width="60" style="501" customWidth="1"/>
    <col min="12299" max="12299" width="12.7109375" style="501" customWidth="1"/>
    <col min="12300" max="12300" width="10.28515625" style="501" customWidth="1"/>
    <col min="12301" max="12301" width="13" style="501" customWidth="1"/>
    <col min="12302" max="12302" width="26.42578125" style="501" customWidth="1"/>
    <col min="12303" max="12303" width="12.140625" style="501" customWidth="1"/>
    <col min="12304" max="12304" width="10.85546875" style="501" customWidth="1"/>
    <col min="12305" max="12305" width="54" style="501" customWidth="1"/>
    <col min="12306" max="12306" width="13.85546875" style="501" customWidth="1"/>
    <col min="12307" max="12307" width="9.28515625" style="501" customWidth="1"/>
    <col min="12308" max="12308" width="13.85546875" style="501" customWidth="1"/>
    <col min="12309" max="12309" width="16.28515625" style="501" customWidth="1"/>
    <col min="12310" max="12310" width="11.5703125" style="501" customWidth="1"/>
    <col min="12311" max="12311" width="8.5703125" style="501" customWidth="1"/>
    <col min="12312" max="12312" width="49.7109375" style="501" customWidth="1"/>
    <col min="12313" max="12313" width="13.28515625" style="501" customWidth="1"/>
    <col min="12314" max="12314" width="8.42578125" style="501" customWidth="1"/>
    <col min="12315" max="12315" width="14.28515625" style="501" customWidth="1"/>
    <col min="12316" max="12316" width="12.42578125" style="501" customWidth="1"/>
    <col min="12317" max="12317" width="43.28515625" style="501" customWidth="1"/>
    <col min="12318" max="12318" width="17.42578125" style="501" customWidth="1"/>
    <col min="12319" max="12319" width="13.7109375" style="501" customWidth="1"/>
    <col min="12320" max="12320" width="19.42578125" style="501" customWidth="1"/>
    <col min="12321" max="12321" width="24.5703125" style="501" customWidth="1"/>
    <col min="12322" max="12322" width="17" style="501" customWidth="1"/>
    <col min="12323" max="12323" width="14.28515625" style="501" customWidth="1"/>
    <col min="12324" max="12324" width="11.28515625" style="501" customWidth="1"/>
    <col min="12325" max="12327" width="10.28515625" style="501" bestFit="1" customWidth="1"/>
    <col min="12328" max="12331" width="9.5703125" style="501"/>
    <col min="12332" max="12332" width="25.85546875" style="501" customWidth="1"/>
    <col min="12333" max="12334" width="9.5703125" style="501"/>
    <col min="12335" max="12335" width="14.140625" style="501" customWidth="1"/>
    <col min="12336" max="12544" width="9.5703125" style="501"/>
    <col min="12545" max="12545" width="12" style="501" customWidth="1"/>
    <col min="12546" max="12546" width="10" style="501" customWidth="1"/>
    <col min="12547" max="12547" width="52.7109375" style="501" customWidth="1"/>
    <col min="12548" max="12548" width="17.7109375" style="501" customWidth="1"/>
    <col min="12549" max="12549" width="8.85546875" style="501" customWidth="1"/>
    <col min="12550" max="12550" width="14.28515625" style="501" customWidth="1"/>
    <col min="12551" max="12551" width="23.7109375" style="501" customWidth="1"/>
    <col min="12552" max="12553" width="11.140625" style="501" customWidth="1"/>
    <col min="12554" max="12554" width="60" style="501" customWidth="1"/>
    <col min="12555" max="12555" width="12.7109375" style="501" customWidth="1"/>
    <col min="12556" max="12556" width="10.28515625" style="501" customWidth="1"/>
    <col min="12557" max="12557" width="13" style="501" customWidth="1"/>
    <col min="12558" max="12558" width="26.42578125" style="501" customWidth="1"/>
    <col min="12559" max="12559" width="12.140625" style="501" customWidth="1"/>
    <col min="12560" max="12560" width="10.85546875" style="501" customWidth="1"/>
    <col min="12561" max="12561" width="54" style="501" customWidth="1"/>
    <col min="12562" max="12562" width="13.85546875" style="501" customWidth="1"/>
    <col min="12563" max="12563" width="9.28515625" style="501" customWidth="1"/>
    <col min="12564" max="12564" width="13.85546875" style="501" customWidth="1"/>
    <col min="12565" max="12565" width="16.28515625" style="501" customWidth="1"/>
    <col min="12566" max="12566" width="11.5703125" style="501" customWidth="1"/>
    <col min="12567" max="12567" width="8.5703125" style="501" customWidth="1"/>
    <col min="12568" max="12568" width="49.7109375" style="501" customWidth="1"/>
    <col min="12569" max="12569" width="13.28515625" style="501" customWidth="1"/>
    <col min="12570" max="12570" width="8.42578125" style="501" customWidth="1"/>
    <col min="12571" max="12571" width="14.28515625" style="501" customWidth="1"/>
    <col min="12572" max="12572" width="12.42578125" style="501" customWidth="1"/>
    <col min="12573" max="12573" width="43.28515625" style="501" customWidth="1"/>
    <col min="12574" max="12574" width="17.42578125" style="501" customWidth="1"/>
    <col min="12575" max="12575" width="13.7109375" style="501" customWidth="1"/>
    <col min="12576" max="12576" width="19.42578125" style="501" customWidth="1"/>
    <col min="12577" max="12577" width="24.5703125" style="501" customWidth="1"/>
    <col min="12578" max="12578" width="17" style="501" customWidth="1"/>
    <col min="12579" max="12579" width="14.28515625" style="501" customWidth="1"/>
    <col min="12580" max="12580" width="11.28515625" style="501" customWidth="1"/>
    <col min="12581" max="12583" width="10.28515625" style="501" bestFit="1" customWidth="1"/>
    <col min="12584" max="12587" width="9.5703125" style="501"/>
    <col min="12588" max="12588" width="25.85546875" style="501" customWidth="1"/>
    <col min="12589" max="12590" width="9.5703125" style="501"/>
    <col min="12591" max="12591" width="14.140625" style="501" customWidth="1"/>
    <col min="12592" max="12800" width="9.5703125" style="501"/>
    <col min="12801" max="12801" width="12" style="501" customWidth="1"/>
    <col min="12802" max="12802" width="10" style="501" customWidth="1"/>
    <col min="12803" max="12803" width="52.7109375" style="501" customWidth="1"/>
    <col min="12804" max="12804" width="17.7109375" style="501" customWidth="1"/>
    <col min="12805" max="12805" width="8.85546875" style="501" customWidth="1"/>
    <col min="12806" max="12806" width="14.28515625" style="501" customWidth="1"/>
    <col min="12807" max="12807" width="23.7109375" style="501" customWidth="1"/>
    <col min="12808" max="12809" width="11.140625" style="501" customWidth="1"/>
    <col min="12810" max="12810" width="60" style="501" customWidth="1"/>
    <col min="12811" max="12811" width="12.7109375" style="501" customWidth="1"/>
    <col min="12812" max="12812" width="10.28515625" style="501" customWidth="1"/>
    <col min="12813" max="12813" width="13" style="501" customWidth="1"/>
    <col min="12814" max="12814" width="26.42578125" style="501" customWidth="1"/>
    <col min="12815" max="12815" width="12.140625" style="501" customWidth="1"/>
    <col min="12816" max="12816" width="10.85546875" style="501" customWidth="1"/>
    <col min="12817" max="12817" width="54" style="501" customWidth="1"/>
    <col min="12818" max="12818" width="13.85546875" style="501" customWidth="1"/>
    <col min="12819" max="12819" width="9.28515625" style="501" customWidth="1"/>
    <col min="12820" max="12820" width="13.85546875" style="501" customWidth="1"/>
    <col min="12821" max="12821" width="16.28515625" style="501" customWidth="1"/>
    <col min="12822" max="12822" width="11.5703125" style="501" customWidth="1"/>
    <col min="12823" max="12823" width="8.5703125" style="501" customWidth="1"/>
    <col min="12824" max="12824" width="49.7109375" style="501" customWidth="1"/>
    <col min="12825" max="12825" width="13.28515625" style="501" customWidth="1"/>
    <col min="12826" max="12826" width="8.42578125" style="501" customWidth="1"/>
    <col min="12827" max="12827" width="14.28515625" style="501" customWidth="1"/>
    <col min="12828" max="12828" width="12.42578125" style="501" customWidth="1"/>
    <col min="12829" max="12829" width="43.28515625" style="501" customWidth="1"/>
    <col min="12830" max="12830" width="17.42578125" style="501" customWidth="1"/>
    <col min="12831" max="12831" width="13.7109375" style="501" customWidth="1"/>
    <col min="12832" max="12832" width="19.42578125" style="501" customWidth="1"/>
    <col min="12833" max="12833" width="24.5703125" style="501" customWidth="1"/>
    <col min="12834" max="12834" width="17" style="501" customWidth="1"/>
    <col min="12835" max="12835" width="14.28515625" style="501" customWidth="1"/>
    <col min="12836" max="12836" width="11.28515625" style="501" customWidth="1"/>
    <col min="12837" max="12839" width="10.28515625" style="501" bestFit="1" customWidth="1"/>
    <col min="12840" max="12843" width="9.5703125" style="501"/>
    <col min="12844" max="12844" width="25.85546875" style="501" customWidth="1"/>
    <col min="12845" max="12846" width="9.5703125" style="501"/>
    <col min="12847" max="12847" width="14.140625" style="501" customWidth="1"/>
    <col min="12848" max="13056" width="9.5703125" style="501"/>
    <col min="13057" max="13057" width="12" style="501" customWidth="1"/>
    <col min="13058" max="13058" width="10" style="501" customWidth="1"/>
    <col min="13059" max="13059" width="52.7109375" style="501" customWidth="1"/>
    <col min="13060" max="13060" width="17.7109375" style="501" customWidth="1"/>
    <col min="13061" max="13061" width="8.85546875" style="501" customWidth="1"/>
    <col min="13062" max="13062" width="14.28515625" style="501" customWidth="1"/>
    <col min="13063" max="13063" width="23.7109375" style="501" customWidth="1"/>
    <col min="13064" max="13065" width="11.140625" style="501" customWidth="1"/>
    <col min="13066" max="13066" width="60" style="501" customWidth="1"/>
    <col min="13067" max="13067" width="12.7109375" style="501" customWidth="1"/>
    <col min="13068" max="13068" width="10.28515625" style="501" customWidth="1"/>
    <col min="13069" max="13069" width="13" style="501" customWidth="1"/>
    <col min="13070" max="13070" width="26.42578125" style="501" customWidth="1"/>
    <col min="13071" max="13071" width="12.140625" style="501" customWidth="1"/>
    <col min="13072" max="13072" width="10.85546875" style="501" customWidth="1"/>
    <col min="13073" max="13073" width="54" style="501" customWidth="1"/>
    <col min="13074" max="13074" width="13.85546875" style="501" customWidth="1"/>
    <col min="13075" max="13075" width="9.28515625" style="501" customWidth="1"/>
    <col min="13076" max="13076" width="13.85546875" style="501" customWidth="1"/>
    <col min="13077" max="13077" width="16.28515625" style="501" customWidth="1"/>
    <col min="13078" max="13078" width="11.5703125" style="501" customWidth="1"/>
    <col min="13079" max="13079" width="8.5703125" style="501" customWidth="1"/>
    <col min="13080" max="13080" width="49.7109375" style="501" customWidth="1"/>
    <col min="13081" max="13081" width="13.28515625" style="501" customWidth="1"/>
    <col min="13082" max="13082" width="8.42578125" style="501" customWidth="1"/>
    <col min="13083" max="13083" width="14.28515625" style="501" customWidth="1"/>
    <col min="13084" max="13084" width="12.42578125" style="501" customWidth="1"/>
    <col min="13085" max="13085" width="43.28515625" style="501" customWidth="1"/>
    <col min="13086" max="13086" width="17.42578125" style="501" customWidth="1"/>
    <col min="13087" max="13087" width="13.7109375" style="501" customWidth="1"/>
    <col min="13088" max="13088" width="19.42578125" style="501" customWidth="1"/>
    <col min="13089" max="13089" width="24.5703125" style="501" customWidth="1"/>
    <col min="13090" max="13090" width="17" style="501" customWidth="1"/>
    <col min="13091" max="13091" width="14.28515625" style="501" customWidth="1"/>
    <col min="13092" max="13092" width="11.28515625" style="501" customWidth="1"/>
    <col min="13093" max="13095" width="10.28515625" style="501" bestFit="1" customWidth="1"/>
    <col min="13096" max="13099" width="9.5703125" style="501"/>
    <col min="13100" max="13100" width="25.85546875" style="501" customWidth="1"/>
    <col min="13101" max="13102" width="9.5703125" style="501"/>
    <col min="13103" max="13103" width="14.140625" style="501" customWidth="1"/>
    <col min="13104" max="13312" width="9.5703125" style="501"/>
    <col min="13313" max="13313" width="12" style="501" customWidth="1"/>
    <col min="13314" max="13314" width="10" style="501" customWidth="1"/>
    <col min="13315" max="13315" width="52.7109375" style="501" customWidth="1"/>
    <col min="13316" max="13316" width="17.7109375" style="501" customWidth="1"/>
    <col min="13317" max="13317" width="8.85546875" style="501" customWidth="1"/>
    <col min="13318" max="13318" width="14.28515625" style="501" customWidth="1"/>
    <col min="13319" max="13319" width="23.7109375" style="501" customWidth="1"/>
    <col min="13320" max="13321" width="11.140625" style="501" customWidth="1"/>
    <col min="13322" max="13322" width="60" style="501" customWidth="1"/>
    <col min="13323" max="13323" width="12.7109375" style="501" customWidth="1"/>
    <col min="13324" max="13324" width="10.28515625" style="501" customWidth="1"/>
    <col min="13325" max="13325" width="13" style="501" customWidth="1"/>
    <col min="13326" max="13326" width="26.42578125" style="501" customWidth="1"/>
    <col min="13327" max="13327" width="12.140625" style="501" customWidth="1"/>
    <col min="13328" max="13328" width="10.85546875" style="501" customWidth="1"/>
    <col min="13329" max="13329" width="54" style="501" customWidth="1"/>
    <col min="13330" max="13330" width="13.85546875" style="501" customWidth="1"/>
    <col min="13331" max="13331" width="9.28515625" style="501" customWidth="1"/>
    <col min="13332" max="13332" width="13.85546875" style="501" customWidth="1"/>
    <col min="13333" max="13333" width="16.28515625" style="501" customWidth="1"/>
    <col min="13334" max="13334" width="11.5703125" style="501" customWidth="1"/>
    <col min="13335" max="13335" width="8.5703125" style="501" customWidth="1"/>
    <col min="13336" max="13336" width="49.7109375" style="501" customWidth="1"/>
    <col min="13337" max="13337" width="13.28515625" style="501" customWidth="1"/>
    <col min="13338" max="13338" width="8.42578125" style="501" customWidth="1"/>
    <col min="13339" max="13339" width="14.28515625" style="501" customWidth="1"/>
    <col min="13340" max="13340" width="12.42578125" style="501" customWidth="1"/>
    <col min="13341" max="13341" width="43.28515625" style="501" customWidth="1"/>
    <col min="13342" max="13342" width="17.42578125" style="501" customWidth="1"/>
    <col min="13343" max="13343" width="13.7109375" style="501" customWidth="1"/>
    <col min="13344" max="13344" width="19.42578125" style="501" customWidth="1"/>
    <col min="13345" max="13345" width="24.5703125" style="501" customWidth="1"/>
    <col min="13346" max="13346" width="17" style="501" customWidth="1"/>
    <col min="13347" max="13347" width="14.28515625" style="501" customWidth="1"/>
    <col min="13348" max="13348" width="11.28515625" style="501" customWidth="1"/>
    <col min="13349" max="13351" width="10.28515625" style="501" bestFit="1" customWidth="1"/>
    <col min="13352" max="13355" width="9.5703125" style="501"/>
    <col min="13356" max="13356" width="25.85546875" style="501" customWidth="1"/>
    <col min="13357" max="13358" width="9.5703125" style="501"/>
    <col min="13359" max="13359" width="14.140625" style="501" customWidth="1"/>
    <col min="13360" max="13568" width="9.5703125" style="501"/>
    <col min="13569" max="13569" width="12" style="501" customWidth="1"/>
    <col min="13570" max="13570" width="10" style="501" customWidth="1"/>
    <col min="13571" max="13571" width="52.7109375" style="501" customWidth="1"/>
    <col min="13572" max="13572" width="17.7109375" style="501" customWidth="1"/>
    <col min="13573" max="13573" width="8.85546875" style="501" customWidth="1"/>
    <col min="13574" max="13574" width="14.28515625" style="501" customWidth="1"/>
    <col min="13575" max="13575" width="23.7109375" style="501" customWidth="1"/>
    <col min="13576" max="13577" width="11.140625" style="501" customWidth="1"/>
    <col min="13578" max="13578" width="60" style="501" customWidth="1"/>
    <col min="13579" max="13579" width="12.7109375" style="501" customWidth="1"/>
    <col min="13580" max="13580" width="10.28515625" style="501" customWidth="1"/>
    <col min="13581" max="13581" width="13" style="501" customWidth="1"/>
    <col min="13582" max="13582" width="26.42578125" style="501" customWidth="1"/>
    <col min="13583" max="13583" width="12.140625" style="501" customWidth="1"/>
    <col min="13584" max="13584" width="10.85546875" style="501" customWidth="1"/>
    <col min="13585" max="13585" width="54" style="501" customWidth="1"/>
    <col min="13586" max="13586" width="13.85546875" style="501" customWidth="1"/>
    <col min="13587" max="13587" width="9.28515625" style="501" customWidth="1"/>
    <col min="13588" max="13588" width="13.85546875" style="501" customWidth="1"/>
    <col min="13589" max="13589" width="16.28515625" style="501" customWidth="1"/>
    <col min="13590" max="13590" width="11.5703125" style="501" customWidth="1"/>
    <col min="13591" max="13591" width="8.5703125" style="501" customWidth="1"/>
    <col min="13592" max="13592" width="49.7109375" style="501" customWidth="1"/>
    <col min="13593" max="13593" width="13.28515625" style="501" customWidth="1"/>
    <col min="13594" max="13594" width="8.42578125" style="501" customWidth="1"/>
    <col min="13595" max="13595" width="14.28515625" style="501" customWidth="1"/>
    <col min="13596" max="13596" width="12.42578125" style="501" customWidth="1"/>
    <col min="13597" max="13597" width="43.28515625" style="501" customWidth="1"/>
    <col min="13598" max="13598" width="17.42578125" style="501" customWidth="1"/>
    <col min="13599" max="13599" width="13.7109375" style="501" customWidth="1"/>
    <col min="13600" max="13600" width="19.42578125" style="501" customWidth="1"/>
    <col min="13601" max="13601" width="24.5703125" style="501" customWidth="1"/>
    <col min="13602" max="13602" width="17" style="501" customWidth="1"/>
    <col min="13603" max="13603" width="14.28515625" style="501" customWidth="1"/>
    <col min="13604" max="13604" width="11.28515625" style="501" customWidth="1"/>
    <col min="13605" max="13607" width="10.28515625" style="501" bestFit="1" customWidth="1"/>
    <col min="13608" max="13611" width="9.5703125" style="501"/>
    <col min="13612" max="13612" width="25.85546875" style="501" customWidth="1"/>
    <col min="13613" max="13614" width="9.5703125" style="501"/>
    <col min="13615" max="13615" width="14.140625" style="501" customWidth="1"/>
    <col min="13616" max="13824" width="9.5703125" style="501"/>
    <col min="13825" max="13825" width="12" style="501" customWidth="1"/>
    <col min="13826" max="13826" width="10" style="501" customWidth="1"/>
    <col min="13827" max="13827" width="52.7109375" style="501" customWidth="1"/>
    <col min="13828" max="13828" width="17.7109375" style="501" customWidth="1"/>
    <col min="13829" max="13829" width="8.85546875" style="501" customWidth="1"/>
    <col min="13830" max="13830" width="14.28515625" style="501" customWidth="1"/>
    <col min="13831" max="13831" width="23.7109375" style="501" customWidth="1"/>
    <col min="13832" max="13833" width="11.140625" style="501" customWidth="1"/>
    <col min="13834" max="13834" width="60" style="501" customWidth="1"/>
    <col min="13835" max="13835" width="12.7109375" style="501" customWidth="1"/>
    <col min="13836" max="13836" width="10.28515625" style="501" customWidth="1"/>
    <col min="13837" max="13837" width="13" style="501" customWidth="1"/>
    <col min="13838" max="13838" width="26.42578125" style="501" customWidth="1"/>
    <col min="13839" max="13839" width="12.140625" style="501" customWidth="1"/>
    <col min="13840" max="13840" width="10.85546875" style="501" customWidth="1"/>
    <col min="13841" max="13841" width="54" style="501" customWidth="1"/>
    <col min="13842" max="13842" width="13.85546875" style="501" customWidth="1"/>
    <col min="13843" max="13843" width="9.28515625" style="501" customWidth="1"/>
    <col min="13844" max="13844" width="13.85546875" style="501" customWidth="1"/>
    <col min="13845" max="13845" width="16.28515625" style="501" customWidth="1"/>
    <col min="13846" max="13846" width="11.5703125" style="501" customWidth="1"/>
    <col min="13847" max="13847" width="8.5703125" style="501" customWidth="1"/>
    <col min="13848" max="13848" width="49.7109375" style="501" customWidth="1"/>
    <col min="13849" max="13849" width="13.28515625" style="501" customWidth="1"/>
    <col min="13850" max="13850" width="8.42578125" style="501" customWidth="1"/>
    <col min="13851" max="13851" width="14.28515625" style="501" customWidth="1"/>
    <col min="13852" max="13852" width="12.42578125" style="501" customWidth="1"/>
    <col min="13853" max="13853" width="43.28515625" style="501" customWidth="1"/>
    <col min="13854" max="13854" width="17.42578125" style="501" customWidth="1"/>
    <col min="13855" max="13855" width="13.7109375" style="501" customWidth="1"/>
    <col min="13856" max="13856" width="19.42578125" style="501" customWidth="1"/>
    <col min="13857" max="13857" width="24.5703125" style="501" customWidth="1"/>
    <col min="13858" max="13858" width="17" style="501" customWidth="1"/>
    <col min="13859" max="13859" width="14.28515625" style="501" customWidth="1"/>
    <col min="13860" max="13860" width="11.28515625" style="501" customWidth="1"/>
    <col min="13861" max="13863" width="10.28515625" style="501" bestFit="1" customWidth="1"/>
    <col min="13864" max="13867" width="9.5703125" style="501"/>
    <col min="13868" max="13868" width="25.85546875" style="501" customWidth="1"/>
    <col min="13869" max="13870" width="9.5703125" style="501"/>
    <col min="13871" max="13871" width="14.140625" style="501" customWidth="1"/>
    <col min="13872" max="14080" width="9.5703125" style="501"/>
    <col min="14081" max="14081" width="12" style="501" customWidth="1"/>
    <col min="14082" max="14082" width="10" style="501" customWidth="1"/>
    <col min="14083" max="14083" width="52.7109375" style="501" customWidth="1"/>
    <col min="14084" max="14084" width="17.7109375" style="501" customWidth="1"/>
    <col min="14085" max="14085" width="8.85546875" style="501" customWidth="1"/>
    <col min="14086" max="14086" width="14.28515625" style="501" customWidth="1"/>
    <col min="14087" max="14087" width="23.7109375" style="501" customWidth="1"/>
    <col min="14088" max="14089" width="11.140625" style="501" customWidth="1"/>
    <col min="14090" max="14090" width="60" style="501" customWidth="1"/>
    <col min="14091" max="14091" width="12.7109375" style="501" customWidth="1"/>
    <col min="14092" max="14092" width="10.28515625" style="501" customWidth="1"/>
    <col min="14093" max="14093" width="13" style="501" customWidth="1"/>
    <col min="14094" max="14094" width="26.42578125" style="501" customWidth="1"/>
    <col min="14095" max="14095" width="12.140625" style="501" customWidth="1"/>
    <col min="14096" max="14096" width="10.85546875" style="501" customWidth="1"/>
    <col min="14097" max="14097" width="54" style="501" customWidth="1"/>
    <col min="14098" max="14098" width="13.85546875" style="501" customWidth="1"/>
    <col min="14099" max="14099" width="9.28515625" style="501" customWidth="1"/>
    <col min="14100" max="14100" width="13.85546875" style="501" customWidth="1"/>
    <col min="14101" max="14101" width="16.28515625" style="501" customWidth="1"/>
    <col min="14102" max="14102" width="11.5703125" style="501" customWidth="1"/>
    <col min="14103" max="14103" width="8.5703125" style="501" customWidth="1"/>
    <col min="14104" max="14104" width="49.7109375" style="501" customWidth="1"/>
    <col min="14105" max="14105" width="13.28515625" style="501" customWidth="1"/>
    <col min="14106" max="14106" width="8.42578125" style="501" customWidth="1"/>
    <col min="14107" max="14107" width="14.28515625" style="501" customWidth="1"/>
    <col min="14108" max="14108" width="12.42578125" style="501" customWidth="1"/>
    <col min="14109" max="14109" width="43.28515625" style="501" customWidth="1"/>
    <col min="14110" max="14110" width="17.42578125" style="501" customWidth="1"/>
    <col min="14111" max="14111" width="13.7109375" style="501" customWidth="1"/>
    <col min="14112" max="14112" width="19.42578125" style="501" customWidth="1"/>
    <col min="14113" max="14113" width="24.5703125" style="501" customWidth="1"/>
    <col min="14114" max="14114" width="17" style="501" customWidth="1"/>
    <col min="14115" max="14115" width="14.28515625" style="501" customWidth="1"/>
    <col min="14116" max="14116" width="11.28515625" style="501" customWidth="1"/>
    <col min="14117" max="14119" width="10.28515625" style="501" bestFit="1" customWidth="1"/>
    <col min="14120" max="14123" width="9.5703125" style="501"/>
    <col min="14124" max="14124" width="25.85546875" style="501" customWidth="1"/>
    <col min="14125" max="14126" width="9.5703125" style="501"/>
    <col min="14127" max="14127" width="14.140625" style="501" customWidth="1"/>
    <col min="14128" max="14336" width="9.5703125" style="501"/>
    <col min="14337" max="14337" width="12" style="501" customWidth="1"/>
    <col min="14338" max="14338" width="10" style="501" customWidth="1"/>
    <col min="14339" max="14339" width="52.7109375" style="501" customWidth="1"/>
    <col min="14340" max="14340" width="17.7109375" style="501" customWidth="1"/>
    <col min="14341" max="14341" width="8.85546875" style="501" customWidth="1"/>
    <col min="14342" max="14342" width="14.28515625" style="501" customWidth="1"/>
    <col min="14343" max="14343" width="23.7109375" style="501" customWidth="1"/>
    <col min="14344" max="14345" width="11.140625" style="501" customWidth="1"/>
    <col min="14346" max="14346" width="60" style="501" customWidth="1"/>
    <col min="14347" max="14347" width="12.7109375" style="501" customWidth="1"/>
    <col min="14348" max="14348" width="10.28515625" style="501" customWidth="1"/>
    <col min="14349" max="14349" width="13" style="501" customWidth="1"/>
    <col min="14350" max="14350" width="26.42578125" style="501" customWidth="1"/>
    <col min="14351" max="14351" width="12.140625" style="501" customWidth="1"/>
    <col min="14352" max="14352" width="10.85546875" style="501" customWidth="1"/>
    <col min="14353" max="14353" width="54" style="501" customWidth="1"/>
    <col min="14354" max="14354" width="13.85546875" style="501" customWidth="1"/>
    <col min="14355" max="14355" width="9.28515625" style="501" customWidth="1"/>
    <col min="14356" max="14356" width="13.85546875" style="501" customWidth="1"/>
    <col min="14357" max="14357" width="16.28515625" style="501" customWidth="1"/>
    <col min="14358" max="14358" width="11.5703125" style="501" customWidth="1"/>
    <col min="14359" max="14359" width="8.5703125" style="501" customWidth="1"/>
    <col min="14360" max="14360" width="49.7109375" style="501" customWidth="1"/>
    <col min="14361" max="14361" width="13.28515625" style="501" customWidth="1"/>
    <col min="14362" max="14362" width="8.42578125" style="501" customWidth="1"/>
    <col min="14363" max="14363" width="14.28515625" style="501" customWidth="1"/>
    <col min="14364" max="14364" width="12.42578125" style="501" customWidth="1"/>
    <col min="14365" max="14365" width="43.28515625" style="501" customWidth="1"/>
    <col min="14366" max="14366" width="17.42578125" style="501" customWidth="1"/>
    <col min="14367" max="14367" width="13.7109375" style="501" customWidth="1"/>
    <col min="14368" max="14368" width="19.42578125" style="501" customWidth="1"/>
    <col min="14369" max="14369" width="24.5703125" style="501" customWidth="1"/>
    <col min="14370" max="14370" width="17" style="501" customWidth="1"/>
    <col min="14371" max="14371" width="14.28515625" style="501" customWidth="1"/>
    <col min="14372" max="14372" width="11.28515625" style="501" customWidth="1"/>
    <col min="14373" max="14375" width="10.28515625" style="501" bestFit="1" customWidth="1"/>
    <col min="14376" max="14379" width="9.5703125" style="501"/>
    <col min="14380" max="14380" width="25.85546875" style="501" customWidth="1"/>
    <col min="14381" max="14382" width="9.5703125" style="501"/>
    <col min="14383" max="14383" width="14.140625" style="501" customWidth="1"/>
    <col min="14384" max="14592" width="9.5703125" style="501"/>
    <col min="14593" max="14593" width="12" style="501" customWidth="1"/>
    <col min="14594" max="14594" width="10" style="501" customWidth="1"/>
    <col min="14595" max="14595" width="52.7109375" style="501" customWidth="1"/>
    <col min="14596" max="14596" width="17.7109375" style="501" customWidth="1"/>
    <col min="14597" max="14597" width="8.85546875" style="501" customWidth="1"/>
    <col min="14598" max="14598" width="14.28515625" style="501" customWidth="1"/>
    <col min="14599" max="14599" width="23.7109375" style="501" customWidth="1"/>
    <col min="14600" max="14601" width="11.140625" style="501" customWidth="1"/>
    <col min="14602" max="14602" width="60" style="501" customWidth="1"/>
    <col min="14603" max="14603" width="12.7109375" style="501" customWidth="1"/>
    <col min="14604" max="14604" width="10.28515625" style="501" customWidth="1"/>
    <col min="14605" max="14605" width="13" style="501" customWidth="1"/>
    <col min="14606" max="14606" width="26.42578125" style="501" customWidth="1"/>
    <col min="14607" max="14607" width="12.140625" style="501" customWidth="1"/>
    <col min="14608" max="14608" width="10.85546875" style="501" customWidth="1"/>
    <col min="14609" max="14609" width="54" style="501" customWidth="1"/>
    <col min="14610" max="14610" width="13.85546875" style="501" customWidth="1"/>
    <col min="14611" max="14611" width="9.28515625" style="501" customWidth="1"/>
    <col min="14612" max="14612" width="13.85546875" style="501" customWidth="1"/>
    <col min="14613" max="14613" width="16.28515625" style="501" customWidth="1"/>
    <col min="14614" max="14614" width="11.5703125" style="501" customWidth="1"/>
    <col min="14615" max="14615" width="8.5703125" style="501" customWidth="1"/>
    <col min="14616" max="14616" width="49.7109375" style="501" customWidth="1"/>
    <col min="14617" max="14617" width="13.28515625" style="501" customWidth="1"/>
    <col min="14618" max="14618" width="8.42578125" style="501" customWidth="1"/>
    <col min="14619" max="14619" width="14.28515625" style="501" customWidth="1"/>
    <col min="14620" max="14620" width="12.42578125" style="501" customWidth="1"/>
    <col min="14621" max="14621" width="43.28515625" style="501" customWidth="1"/>
    <col min="14622" max="14622" width="17.42578125" style="501" customWidth="1"/>
    <col min="14623" max="14623" width="13.7109375" style="501" customWidth="1"/>
    <col min="14624" max="14624" width="19.42578125" style="501" customWidth="1"/>
    <col min="14625" max="14625" width="24.5703125" style="501" customWidth="1"/>
    <col min="14626" max="14626" width="17" style="501" customWidth="1"/>
    <col min="14627" max="14627" width="14.28515625" style="501" customWidth="1"/>
    <col min="14628" max="14628" width="11.28515625" style="501" customWidth="1"/>
    <col min="14629" max="14631" width="10.28515625" style="501" bestFit="1" customWidth="1"/>
    <col min="14632" max="14635" width="9.5703125" style="501"/>
    <col min="14636" max="14636" width="25.85546875" style="501" customWidth="1"/>
    <col min="14637" max="14638" width="9.5703125" style="501"/>
    <col min="14639" max="14639" width="14.140625" style="501" customWidth="1"/>
    <col min="14640" max="14848" width="9.5703125" style="501"/>
    <col min="14849" max="14849" width="12" style="501" customWidth="1"/>
    <col min="14850" max="14850" width="10" style="501" customWidth="1"/>
    <col min="14851" max="14851" width="52.7109375" style="501" customWidth="1"/>
    <col min="14852" max="14852" width="17.7109375" style="501" customWidth="1"/>
    <col min="14853" max="14853" width="8.85546875" style="501" customWidth="1"/>
    <col min="14854" max="14854" width="14.28515625" style="501" customWidth="1"/>
    <col min="14855" max="14855" width="23.7109375" style="501" customWidth="1"/>
    <col min="14856" max="14857" width="11.140625" style="501" customWidth="1"/>
    <col min="14858" max="14858" width="60" style="501" customWidth="1"/>
    <col min="14859" max="14859" width="12.7109375" style="501" customWidth="1"/>
    <col min="14860" max="14860" width="10.28515625" style="501" customWidth="1"/>
    <col min="14861" max="14861" width="13" style="501" customWidth="1"/>
    <col min="14862" max="14862" width="26.42578125" style="501" customWidth="1"/>
    <col min="14863" max="14863" width="12.140625" style="501" customWidth="1"/>
    <col min="14864" max="14864" width="10.85546875" style="501" customWidth="1"/>
    <col min="14865" max="14865" width="54" style="501" customWidth="1"/>
    <col min="14866" max="14866" width="13.85546875" style="501" customWidth="1"/>
    <col min="14867" max="14867" width="9.28515625" style="501" customWidth="1"/>
    <col min="14868" max="14868" width="13.85546875" style="501" customWidth="1"/>
    <col min="14869" max="14869" width="16.28515625" style="501" customWidth="1"/>
    <col min="14870" max="14870" width="11.5703125" style="501" customWidth="1"/>
    <col min="14871" max="14871" width="8.5703125" style="501" customWidth="1"/>
    <col min="14872" max="14872" width="49.7109375" style="501" customWidth="1"/>
    <col min="14873" max="14873" width="13.28515625" style="501" customWidth="1"/>
    <col min="14874" max="14874" width="8.42578125" style="501" customWidth="1"/>
    <col min="14875" max="14875" width="14.28515625" style="501" customWidth="1"/>
    <col min="14876" max="14876" width="12.42578125" style="501" customWidth="1"/>
    <col min="14877" max="14877" width="43.28515625" style="501" customWidth="1"/>
    <col min="14878" max="14878" width="17.42578125" style="501" customWidth="1"/>
    <col min="14879" max="14879" width="13.7109375" style="501" customWidth="1"/>
    <col min="14880" max="14880" width="19.42578125" style="501" customWidth="1"/>
    <col min="14881" max="14881" width="24.5703125" style="501" customWidth="1"/>
    <col min="14882" max="14882" width="17" style="501" customWidth="1"/>
    <col min="14883" max="14883" width="14.28515625" style="501" customWidth="1"/>
    <col min="14884" max="14884" width="11.28515625" style="501" customWidth="1"/>
    <col min="14885" max="14887" width="10.28515625" style="501" bestFit="1" customWidth="1"/>
    <col min="14888" max="14891" width="9.5703125" style="501"/>
    <col min="14892" max="14892" width="25.85546875" style="501" customWidth="1"/>
    <col min="14893" max="14894" width="9.5703125" style="501"/>
    <col min="14895" max="14895" width="14.140625" style="501" customWidth="1"/>
    <col min="14896" max="15104" width="9.5703125" style="501"/>
    <col min="15105" max="15105" width="12" style="501" customWidth="1"/>
    <col min="15106" max="15106" width="10" style="501" customWidth="1"/>
    <col min="15107" max="15107" width="52.7109375" style="501" customWidth="1"/>
    <col min="15108" max="15108" width="17.7109375" style="501" customWidth="1"/>
    <col min="15109" max="15109" width="8.85546875" style="501" customWidth="1"/>
    <col min="15110" max="15110" width="14.28515625" style="501" customWidth="1"/>
    <col min="15111" max="15111" width="23.7109375" style="501" customWidth="1"/>
    <col min="15112" max="15113" width="11.140625" style="501" customWidth="1"/>
    <col min="15114" max="15114" width="60" style="501" customWidth="1"/>
    <col min="15115" max="15115" width="12.7109375" style="501" customWidth="1"/>
    <col min="15116" max="15116" width="10.28515625" style="501" customWidth="1"/>
    <col min="15117" max="15117" width="13" style="501" customWidth="1"/>
    <col min="15118" max="15118" width="26.42578125" style="501" customWidth="1"/>
    <col min="15119" max="15119" width="12.140625" style="501" customWidth="1"/>
    <col min="15120" max="15120" width="10.85546875" style="501" customWidth="1"/>
    <col min="15121" max="15121" width="54" style="501" customWidth="1"/>
    <col min="15122" max="15122" width="13.85546875" style="501" customWidth="1"/>
    <col min="15123" max="15123" width="9.28515625" style="501" customWidth="1"/>
    <col min="15124" max="15124" width="13.85546875" style="501" customWidth="1"/>
    <col min="15125" max="15125" width="16.28515625" style="501" customWidth="1"/>
    <col min="15126" max="15126" width="11.5703125" style="501" customWidth="1"/>
    <col min="15127" max="15127" width="8.5703125" style="501" customWidth="1"/>
    <col min="15128" max="15128" width="49.7109375" style="501" customWidth="1"/>
    <col min="15129" max="15129" width="13.28515625" style="501" customWidth="1"/>
    <col min="15130" max="15130" width="8.42578125" style="501" customWidth="1"/>
    <col min="15131" max="15131" width="14.28515625" style="501" customWidth="1"/>
    <col min="15132" max="15132" width="12.42578125" style="501" customWidth="1"/>
    <col min="15133" max="15133" width="43.28515625" style="501" customWidth="1"/>
    <col min="15134" max="15134" width="17.42578125" style="501" customWidth="1"/>
    <col min="15135" max="15135" width="13.7109375" style="501" customWidth="1"/>
    <col min="15136" max="15136" width="19.42578125" style="501" customWidth="1"/>
    <col min="15137" max="15137" width="24.5703125" style="501" customWidth="1"/>
    <col min="15138" max="15138" width="17" style="501" customWidth="1"/>
    <col min="15139" max="15139" width="14.28515625" style="501" customWidth="1"/>
    <col min="15140" max="15140" width="11.28515625" style="501" customWidth="1"/>
    <col min="15141" max="15143" width="10.28515625" style="501" bestFit="1" customWidth="1"/>
    <col min="15144" max="15147" width="9.5703125" style="501"/>
    <col min="15148" max="15148" width="25.85546875" style="501" customWidth="1"/>
    <col min="15149" max="15150" width="9.5703125" style="501"/>
    <col min="15151" max="15151" width="14.140625" style="501" customWidth="1"/>
    <col min="15152" max="15360" width="9.5703125" style="501"/>
    <col min="15361" max="15361" width="12" style="501" customWidth="1"/>
    <col min="15362" max="15362" width="10" style="501" customWidth="1"/>
    <col min="15363" max="15363" width="52.7109375" style="501" customWidth="1"/>
    <col min="15364" max="15364" width="17.7109375" style="501" customWidth="1"/>
    <col min="15365" max="15365" width="8.85546875" style="501" customWidth="1"/>
    <col min="15366" max="15366" width="14.28515625" style="501" customWidth="1"/>
    <col min="15367" max="15367" width="23.7109375" style="501" customWidth="1"/>
    <col min="15368" max="15369" width="11.140625" style="501" customWidth="1"/>
    <col min="15370" max="15370" width="60" style="501" customWidth="1"/>
    <col min="15371" max="15371" width="12.7109375" style="501" customWidth="1"/>
    <col min="15372" max="15372" width="10.28515625" style="501" customWidth="1"/>
    <col min="15373" max="15373" width="13" style="501" customWidth="1"/>
    <col min="15374" max="15374" width="26.42578125" style="501" customWidth="1"/>
    <col min="15375" max="15375" width="12.140625" style="501" customWidth="1"/>
    <col min="15376" max="15376" width="10.85546875" style="501" customWidth="1"/>
    <col min="15377" max="15377" width="54" style="501" customWidth="1"/>
    <col min="15378" max="15378" width="13.85546875" style="501" customWidth="1"/>
    <col min="15379" max="15379" width="9.28515625" style="501" customWidth="1"/>
    <col min="15380" max="15380" width="13.85546875" style="501" customWidth="1"/>
    <col min="15381" max="15381" width="16.28515625" style="501" customWidth="1"/>
    <col min="15382" max="15382" width="11.5703125" style="501" customWidth="1"/>
    <col min="15383" max="15383" width="8.5703125" style="501" customWidth="1"/>
    <col min="15384" max="15384" width="49.7109375" style="501" customWidth="1"/>
    <col min="15385" max="15385" width="13.28515625" style="501" customWidth="1"/>
    <col min="15386" max="15386" width="8.42578125" style="501" customWidth="1"/>
    <col min="15387" max="15387" width="14.28515625" style="501" customWidth="1"/>
    <col min="15388" max="15388" width="12.42578125" style="501" customWidth="1"/>
    <col min="15389" max="15389" width="43.28515625" style="501" customWidth="1"/>
    <col min="15390" max="15390" width="17.42578125" style="501" customWidth="1"/>
    <col min="15391" max="15391" width="13.7109375" style="501" customWidth="1"/>
    <col min="15392" max="15392" width="19.42578125" style="501" customWidth="1"/>
    <col min="15393" max="15393" width="24.5703125" style="501" customWidth="1"/>
    <col min="15394" max="15394" width="17" style="501" customWidth="1"/>
    <col min="15395" max="15395" width="14.28515625" style="501" customWidth="1"/>
    <col min="15396" max="15396" width="11.28515625" style="501" customWidth="1"/>
    <col min="15397" max="15399" width="10.28515625" style="501" bestFit="1" customWidth="1"/>
    <col min="15400" max="15403" width="9.5703125" style="501"/>
    <col min="15404" max="15404" width="25.85546875" style="501" customWidth="1"/>
    <col min="15405" max="15406" width="9.5703125" style="501"/>
    <col min="15407" max="15407" width="14.140625" style="501" customWidth="1"/>
    <col min="15408" max="15616" width="9.5703125" style="501"/>
    <col min="15617" max="15617" width="12" style="501" customWidth="1"/>
    <col min="15618" max="15618" width="10" style="501" customWidth="1"/>
    <col min="15619" max="15619" width="52.7109375" style="501" customWidth="1"/>
    <col min="15620" max="15620" width="17.7109375" style="501" customWidth="1"/>
    <col min="15621" max="15621" width="8.85546875" style="501" customWidth="1"/>
    <col min="15622" max="15622" width="14.28515625" style="501" customWidth="1"/>
    <col min="15623" max="15623" width="23.7109375" style="501" customWidth="1"/>
    <col min="15624" max="15625" width="11.140625" style="501" customWidth="1"/>
    <col min="15626" max="15626" width="60" style="501" customWidth="1"/>
    <col min="15627" max="15627" width="12.7109375" style="501" customWidth="1"/>
    <col min="15628" max="15628" width="10.28515625" style="501" customWidth="1"/>
    <col min="15629" max="15629" width="13" style="501" customWidth="1"/>
    <col min="15630" max="15630" width="26.42578125" style="501" customWidth="1"/>
    <col min="15631" max="15631" width="12.140625" style="501" customWidth="1"/>
    <col min="15632" max="15632" width="10.85546875" style="501" customWidth="1"/>
    <col min="15633" max="15633" width="54" style="501" customWidth="1"/>
    <col min="15634" max="15634" width="13.85546875" style="501" customWidth="1"/>
    <col min="15635" max="15635" width="9.28515625" style="501" customWidth="1"/>
    <col min="15636" max="15636" width="13.85546875" style="501" customWidth="1"/>
    <col min="15637" max="15637" width="16.28515625" style="501" customWidth="1"/>
    <col min="15638" max="15638" width="11.5703125" style="501" customWidth="1"/>
    <col min="15639" max="15639" width="8.5703125" style="501" customWidth="1"/>
    <col min="15640" max="15640" width="49.7109375" style="501" customWidth="1"/>
    <col min="15641" max="15641" width="13.28515625" style="501" customWidth="1"/>
    <col min="15642" max="15642" width="8.42578125" style="501" customWidth="1"/>
    <col min="15643" max="15643" width="14.28515625" style="501" customWidth="1"/>
    <col min="15644" max="15644" width="12.42578125" style="501" customWidth="1"/>
    <col min="15645" max="15645" width="43.28515625" style="501" customWidth="1"/>
    <col min="15646" max="15646" width="17.42578125" style="501" customWidth="1"/>
    <col min="15647" max="15647" width="13.7109375" style="501" customWidth="1"/>
    <col min="15648" max="15648" width="19.42578125" style="501" customWidth="1"/>
    <col min="15649" max="15649" width="24.5703125" style="501" customWidth="1"/>
    <col min="15650" max="15650" width="17" style="501" customWidth="1"/>
    <col min="15651" max="15651" width="14.28515625" style="501" customWidth="1"/>
    <col min="15652" max="15652" width="11.28515625" style="501" customWidth="1"/>
    <col min="15653" max="15655" width="10.28515625" style="501" bestFit="1" customWidth="1"/>
    <col min="15656" max="15659" width="9.5703125" style="501"/>
    <col min="15660" max="15660" width="25.85546875" style="501" customWidth="1"/>
    <col min="15661" max="15662" width="9.5703125" style="501"/>
    <col min="15663" max="15663" width="14.140625" style="501" customWidth="1"/>
    <col min="15664" max="15872" width="9.5703125" style="501"/>
    <col min="15873" max="15873" width="12" style="501" customWidth="1"/>
    <col min="15874" max="15874" width="10" style="501" customWidth="1"/>
    <col min="15875" max="15875" width="52.7109375" style="501" customWidth="1"/>
    <col min="15876" max="15876" width="17.7109375" style="501" customWidth="1"/>
    <col min="15877" max="15877" width="8.85546875" style="501" customWidth="1"/>
    <col min="15878" max="15878" width="14.28515625" style="501" customWidth="1"/>
    <col min="15879" max="15879" width="23.7109375" style="501" customWidth="1"/>
    <col min="15880" max="15881" width="11.140625" style="501" customWidth="1"/>
    <col min="15882" max="15882" width="60" style="501" customWidth="1"/>
    <col min="15883" max="15883" width="12.7109375" style="501" customWidth="1"/>
    <col min="15884" max="15884" width="10.28515625" style="501" customWidth="1"/>
    <col min="15885" max="15885" width="13" style="501" customWidth="1"/>
    <col min="15886" max="15886" width="26.42578125" style="501" customWidth="1"/>
    <col min="15887" max="15887" width="12.140625" style="501" customWidth="1"/>
    <col min="15888" max="15888" width="10.85546875" style="501" customWidth="1"/>
    <col min="15889" max="15889" width="54" style="501" customWidth="1"/>
    <col min="15890" max="15890" width="13.85546875" style="501" customWidth="1"/>
    <col min="15891" max="15891" width="9.28515625" style="501" customWidth="1"/>
    <col min="15892" max="15892" width="13.85546875" style="501" customWidth="1"/>
    <col min="15893" max="15893" width="16.28515625" style="501" customWidth="1"/>
    <col min="15894" max="15894" width="11.5703125" style="501" customWidth="1"/>
    <col min="15895" max="15895" width="8.5703125" style="501" customWidth="1"/>
    <col min="15896" max="15896" width="49.7109375" style="501" customWidth="1"/>
    <col min="15897" max="15897" width="13.28515625" style="501" customWidth="1"/>
    <col min="15898" max="15898" width="8.42578125" style="501" customWidth="1"/>
    <col min="15899" max="15899" width="14.28515625" style="501" customWidth="1"/>
    <col min="15900" max="15900" width="12.42578125" style="501" customWidth="1"/>
    <col min="15901" max="15901" width="43.28515625" style="501" customWidth="1"/>
    <col min="15902" max="15902" width="17.42578125" style="501" customWidth="1"/>
    <col min="15903" max="15903" width="13.7109375" style="501" customWidth="1"/>
    <col min="15904" max="15904" width="19.42578125" style="501" customWidth="1"/>
    <col min="15905" max="15905" width="24.5703125" style="501" customWidth="1"/>
    <col min="15906" max="15906" width="17" style="501" customWidth="1"/>
    <col min="15907" max="15907" width="14.28515625" style="501" customWidth="1"/>
    <col min="15908" max="15908" width="11.28515625" style="501" customWidth="1"/>
    <col min="15909" max="15911" width="10.28515625" style="501" bestFit="1" customWidth="1"/>
    <col min="15912" max="15915" width="9.5703125" style="501"/>
    <col min="15916" max="15916" width="25.85546875" style="501" customWidth="1"/>
    <col min="15917" max="15918" width="9.5703125" style="501"/>
    <col min="15919" max="15919" width="14.140625" style="501" customWidth="1"/>
    <col min="15920" max="16128" width="9.5703125" style="501"/>
    <col min="16129" max="16129" width="12" style="501" customWidth="1"/>
    <col min="16130" max="16130" width="10" style="501" customWidth="1"/>
    <col min="16131" max="16131" width="52.7109375" style="501" customWidth="1"/>
    <col min="16132" max="16132" width="17.7109375" style="501" customWidth="1"/>
    <col min="16133" max="16133" width="8.85546875" style="501" customWidth="1"/>
    <col min="16134" max="16134" width="14.28515625" style="501" customWidth="1"/>
    <col min="16135" max="16135" width="23.7109375" style="501" customWidth="1"/>
    <col min="16136" max="16137" width="11.140625" style="501" customWidth="1"/>
    <col min="16138" max="16138" width="60" style="501" customWidth="1"/>
    <col min="16139" max="16139" width="12.7109375" style="501" customWidth="1"/>
    <col min="16140" max="16140" width="10.28515625" style="501" customWidth="1"/>
    <col min="16141" max="16141" width="13" style="501" customWidth="1"/>
    <col min="16142" max="16142" width="26.42578125" style="501" customWidth="1"/>
    <col min="16143" max="16143" width="12.140625" style="501" customWidth="1"/>
    <col min="16144" max="16144" width="10.85546875" style="501" customWidth="1"/>
    <col min="16145" max="16145" width="54" style="501" customWidth="1"/>
    <col min="16146" max="16146" width="13.85546875" style="501" customWidth="1"/>
    <col min="16147" max="16147" width="9.28515625" style="501" customWidth="1"/>
    <col min="16148" max="16148" width="13.85546875" style="501" customWidth="1"/>
    <col min="16149" max="16149" width="16.28515625" style="501" customWidth="1"/>
    <col min="16150" max="16150" width="11.5703125" style="501" customWidth="1"/>
    <col min="16151" max="16151" width="8.5703125" style="501" customWidth="1"/>
    <col min="16152" max="16152" width="49.7109375" style="501" customWidth="1"/>
    <col min="16153" max="16153" width="13.28515625" style="501" customWidth="1"/>
    <col min="16154" max="16154" width="8.42578125" style="501" customWidth="1"/>
    <col min="16155" max="16155" width="14.28515625" style="501" customWidth="1"/>
    <col min="16156" max="16156" width="12.42578125" style="501" customWidth="1"/>
    <col min="16157" max="16157" width="43.28515625" style="501" customWidth="1"/>
    <col min="16158" max="16158" width="17.42578125" style="501" customWidth="1"/>
    <col min="16159" max="16159" width="13.7109375" style="501" customWidth="1"/>
    <col min="16160" max="16160" width="19.42578125" style="501" customWidth="1"/>
    <col min="16161" max="16161" width="24.5703125" style="501" customWidth="1"/>
    <col min="16162" max="16162" width="17" style="501" customWidth="1"/>
    <col min="16163" max="16163" width="14.28515625" style="501" customWidth="1"/>
    <col min="16164" max="16164" width="11.28515625" style="501" customWidth="1"/>
    <col min="16165" max="16167" width="10.28515625" style="501" bestFit="1" customWidth="1"/>
    <col min="16168" max="16171" width="9.5703125" style="501"/>
    <col min="16172" max="16172" width="25.85546875" style="501" customWidth="1"/>
    <col min="16173" max="16174" width="9.5703125" style="501"/>
    <col min="16175" max="16175" width="14.140625" style="501" customWidth="1"/>
    <col min="16176" max="16384" width="9.5703125" style="501"/>
  </cols>
  <sheetData>
    <row r="1" spans="1:39" ht="24" customHeight="1">
      <c r="C1" s="872" t="s">
        <v>2964</v>
      </c>
      <c r="G1" s="873"/>
      <c r="J1" s="875"/>
      <c r="Q1" s="876"/>
      <c r="V1" s="878"/>
      <c r="W1" s="879"/>
      <c r="X1" s="879"/>
      <c r="Y1" s="880"/>
      <c r="Z1" s="878"/>
      <c r="AA1" s="878"/>
      <c r="AB1" s="878"/>
      <c r="AC1" s="878"/>
      <c r="AD1" s="878"/>
      <c r="AE1" s="878"/>
      <c r="AF1" s="878"/>
      <c r="AG1" s="878"/>
    </row>
    <row r="2" spans="1:39" ht="24" customHeight="1">
      <c r="C2" s="881" t="s">
        <v>442</v>
      </c>
      <c r="G2" s="873"/>
      <c r="J2" s="880"/>
      <c r="Q2" s="880"/>
      <c r="V2" s="878"/>
      <c r="W2" s="879"/>
      <c r="X2" s="879"/>
      <c r="Y2" s="880"/>
      <c r="Z2" s="878"/>
      <c r="AA2" s="878"/>
    </row>
    <row r="3" spans="1:39" ht="24" customHeight="1">
      <c r="B3" s="876" t="s">
        <v>575</v>
      </c>
      <c r="C3" s="876" t="s">
        <v>2967</v>
      </c>
      <c r="G3" s="873"/>
      <c r="I3" s="876" t="s">
        <v>575</v>
      </c>
      <c r="J3" s="876" t="s">
        <v>2967</v>
      </c>
      <c r="L3" s="875"/>
      <c r="O3" s="876"/>
      <c r="P3" s="876" t="s">
        <v>575</v>
      </c>
      <c r="Q3" s="876" t="s">
        <v>2967</v>
      </c>
      <c r="S3" s="545"/>
      <c r="V3" s="878"/>
      <c r="W3" s="876" t="s">
        <v>575</v>
      </c>
      <c r="X3" s="876" t="s">
        <v>2967</v>
      </c>
      <c r="Y3" s="880"/>
      <c r="Z3" s="878"/>
      <c r="AA3" s="878"/>
      <c r="AC3" s="876"/>
    </row>
    <row r="4" spans="1:39" ht="24" customHeight="1">
      <c r="C4" s="876" t="s">
        <v>2968</v>
      </c>
      <c r="G4" s="873"/>
      <c r="I4" s="876"/>
      <c r="J4" s="876" t="s">
        <v>2968</v>
      </c>
      <c r="K4" s="881"/>
      <c r="L4" s="881"/>
      <c r="M4" s="882"/>
      <c r="O4" s="881"/>
      <c r="P4" s="881"/>
      <c r="Q4" s="876" t="s">
        <v>3059</v>
      </c>
      <c r="R4" s="881"/>
      <c r="S4" s="881"/>
      <c r="T4" s="881"/>
      <c r="V4" s="878"/>
      <c r="W4" s="881"/>
      <c r="X4" s="876" t="s">
        <v>3059</v>
      </c>
      <c r="Y4" s="880"/>
      <c r="Z4" s="878"/>
      <c r="AA4" s="878"/>
      <c r="AE4" s="876"/>
      <c r="AI4" s="876"/>
    </row>
    <row r="5" spans="1:39" ht="24" customHeight="1">
      <c r="C5" s="875" t="s">
        <v>2969</v>
      </c>
      <c r="G5" s="873"/>
      <c r="I5" s="876"/>
      <c r="J5" s="875" t="s">
        <v>3013</v>
      </c>
      <c r="K5" s="872"/>
      <c r="L5" s="872"/>
      <c r="M5" s="883"/>
      <c r="O5" s="880"/>
      <c r="P5" s="876"/>
      <c r="Q5" s="875" t="s">
        <v>2969</v>
      </c>
      <c r="R5" s="880"/>
      <c r="S5" s="880"/>
      <c r="T5" s="880"/>
      <c r="V5" s="878"/>
      <c r="W5" s="879"/>
      <c r="X5" s="875" t="s">
        <v>3013</v>
      </c>
      <c r="Y5" s="872"/>
      <c r="Z5" s="872"/>
      <c r="AA5" s="878"/>
      <c r="AB5" s="881"/>
      <c r="AC5" s="881"/>
      <c r="AD5" s="881"/>
      <c r="AE5" s="881"/>
      <c r="AF5" s="881"/>
      <c r="AG5" s="881"/>
    </row>
    <row r="6" spans="1:39" ht="24" customHeight="1">
      <c r="C6" s="881" t="s">
        <v>442</v>
      </c>
      <c r="G6" s="873"/>
      <c r="I6" s="876"/>
      <c r="J6" s="881" t="s">
        <v>442</v>
      </c>
      <c r="K6" s="881"/>
      <c r="L6" s="881"/>
      <c r="M6" s="882"/>
      <c r="O6" s="881"/>
      <c r="P6" s="881"/>
      <c r="Q6" s="884"/>
      <c r="R6" s="884"/>
      <c r="S6" s="884"/>
      <c r="T6" s="884"/>
      <c r="V6" s="878"/>
      <c r="W6" s="879"/>
      <c r="X6" s="881" t="s">
        <v>442</v>
      </c>
      <c r="Y6" s="881"/>
      <c r="Z6" s="881"/>
      <c r="AA6" s="878"/>
      <c r="AB6" s="880"/>
      <c r="AC6" s="876"/>
      <c r="AD6" s="876"/>
      <c r="AE6" s="876"/>
      <c r="AF6" s="880"/>
    </row>
    <row r="7" spans="1:39" ht="24" customHeight="1">
      <c r="B7" s="875" t="s">
        <v>2970</v>
      </c>
      <c r="C7" s="872" t="s">
        <v>2971</v>
      </c>
      <c r="G7" s="873"/>
      <c r="I7" s="875" t="s">
        <v>2970</v>
      </c>
      <c r="J7" s="875" t="s">
        <v>3016</v>
      </c>
      <c r="Q7" s="875" t="s">
        <v>5386</v>
      </c>
      <c r="V7" s="878"/>
      <c r="W7" s="879"/>
      <c r="X7" s="879"/>
      <c r="Y7" s="880"/>
      <c r="Z7" s="878"/>
      <c r="AA7" s="878"/>
      <c r="AB7" s="880"/>
      <c r="AC7" s="876"/>
      <c r="AD7" s="876"/>
      <c r="AE7" s="876"/>
    </row>
    <row r="8" spans="1:39" ht="24" customHeight="1">
      <c r="C8" s="881" t="s">
        <v>442</v>
      </c>
      <c r="G8" s="873"/>
      <c r="J8" s="881" t="s">
        <v>442</v>
      </c>
      <c r="Q8" s="881"/>
      <c r="X8" s="885" t="s">
        <v>3013</v>
      </c>
      <c r="Z8" s="880"/>
      <c r="AA8" s="872" t="s">
        <v>5387</v>
      </c>
      <c r="AB8" s="884"/>
      <c r="AC8" s="884"/>
      <c r="AD8" s="881"/>
      <c r="AE8" s="881"/>
      <c r="AF8" s="881"/>
      <c r="AG8" s="881"/>
      <c r="AI8" s="886"/>
      <c r="AJ8" s="886"/>
      <c r="AK8" s="887"/>
      <c r="AL8" s="887"/>
      <c r="AM8" s="887"/>
    </row>
    <row r="9" spans="1:39" ht="24" customHeight="1">
      <c r="A9" s="545">
        <v>8.1</v>
      </c>
      <c r="B9" s="876" t="s">
        <v>2334</v>
      </c>
      <c r="C9" s="876" t="s">
        <v>2973</v>
      </c>
      <c r="D9" s="545">
        <f>R9</f>
        <v>139.91999999999999</v>
      </c>
      <c r="E9" s="876" t="s">
        <v>2334</v>
      </c>
      <c r="F9" s="545">
        <f>D9*A9</f>
        <v>1133.3519999999999</v>
      </c>
      <c r="G9" s="888"/>
      <c r="H9" s="545"/>
      <c r="I9" s="876"/>
      <c r="J9" s="876"/>
      <c r="K9" s="545"/>
      <c r="L9" s="876"/>
      <c r="M9" s="882"/>
      <c r="O9" s="545">
        <v>8.1</v>
      </c>
      <c r="P9" s="876" t="s">
        <v>2334</v>
      </c>
      <c r="Q9" s="876" t="s">
        <v>2973</v>
      </c>
      <c r="R9" s="545">
        <v>139.91999999999999</v>
      </c>
      <c r="S9" s="876" t="s">
        <v>2334</v>
      </c>
      <c r="T9" s="545">
        <f>R9*O9</f>
        <v>1133.3519999999999</v>
      </c>
      <c r="V9" s="881"/>
      <c r="W9" s="881"/>
      <c r="X9" s="884"/>
      <c r="Y9" s="884"/>
      <c r="Z9" s="884"/>
      <c r="AA9" s="884"/>
      <c r="AB9" s="545"/>
      <c r="AC9" s="880"/>
      <c r="AD9" s="876"/>
      <c r="AE9" s="876"/>
      <c r="AF9" s="876"/>
      <c r="AG9" s="545"/>
      <c r="AH9" s="545"/>
      <c r="AI9" s="545"/>
    </row>
    <row r="10" spans="1:39" ht="24" customHeight="1">
      <c r="A10" s="545">
        <v>8.1</v>
      </c>
      <c r="B10" s="876" t="s">
        <v>2334</v>
      </c>
      <c r="C10" s="876" t="s">
        <v>2974</v>
      </c>
      <c r="D10" s="545">
        <f>R10</f>
        <v>24.42</v>
      </c>
      <c r="E10" s="876" t="s">
        <v>2334</v>
      </c>
      <c r="F10" s="545">
        <f>D10*A10</f>
        <v>197.80199999999999</v>
      </c>
      <c r="G10" s="888"/>
      <c r="H10" s="545">
        <v>30</v>
      </c>
      <c r="I10" s="876" t="s">
        <v>2205</v>
      </c>
      <c r="J10" s="876" t="s">
        <v>3019</v>
      </c>
      <c r="K10" s="545">
        <f>D11</f>
        <v>10.99</v>
      </c>
      <c r="L10" s="876" t="s">
        <v>2205</v>
      </c>
      <c r="M10" s="882">
        <f>K10*H10</f>
        <v>329.7</v>
      </c>
      <c r="O10" s="545">
        <v>8.1</v>
      </c>
      <c r="P10" s="876" t="s">
        <v>2334</v>
      </c>
      <c r="Q10" s="876" t="s">
        <v>2974</v>
      </c>
      <c r="R10" s="545">
        <v>24.42</v>
      </c>
      <c r="S10" s="876" t="s">
        <v>2334</v>
      </c>
      <c r="T10" s="545">
        <f>R10*O10</f>
        <v>197.80199999999999</v>
      </c>
      <c r="V10" s="880">
        <v>30</v>
      </c>
      <c r="W10" s="876" t="s">
        <v>2205</v>
      </c>
      <c r="X10" s="876" t="s">
        <v>3019</v>
      </c>
      <c r="Y10" s="876">
        <f>R11</f>
        <v>6.45</v>
      </c>
      <c r="Z10" s="545" t="s">
        <v>2205</v>
      </c>
      <c r="AA10" s="545">
        <f>Y10*V10</f>
        <v>193.5</v>
      </c>
      <c r="AB10" s="545"/>
      <c r="AC10" s="880"/>
      <c r="AD10" s="874"/>
      <c r="AE10" s="876"/>
      <c r="AF10" s="876"/>
      <c r="AG10" s="545"/>
      <c r="AH10" s="545"/>
      <c r="AI10" s="545"/>
    </row>
    <row r="11" spans="1:39" ht="24" customHeight="1">
      <c r="A11" s="545">
        <v>30</v>
      </c>
      <c r="B11" s="876" t="s">
        <v>2205</v>
      </c>
      <c r="C11" s="876" t="s">
        <v>2975</v>
      </c>
      <c r="D11" s="545">
        <v>10.99</v>
      </c>
      <c r="E11" s="876" t="s">
        <v>2205</v>
      </c>
      <c r="F11" s="545">
        <f>D11*A11</f>
        <v>329.7</v>
      </c>
      <c r="G11" s="888"/>
      <c r="H11" s="545" t="s">
        <v>30</v>
      </c>
      <c r="I11" s="876"/>
      <c r="J11" s="876" t="s">
        <v>3022</v>
      </c>
      <c r="K11" s="545" t="s">
        <v>30</v>
      </c>
      <c r="L11" s="876"/>
      <c r="M11" s="882"/>
      <c r="O11" s="545">
        <v>30</v>
      </c>
      <c r="P11" s="876" t="s">
        <v>2205</v>
      </c>
      <c r="Q11" s="876" t="s">
        <v>2975</v>
      </c>
      <c r="R11" s="545">
        <v>6.45</v>
      </c>
      <c r="S11" s="876" t="s">
        <v>2205</v>
      </c>
      <c r="T11" s="545">
        <f>R11*O11</f>
        <v>193.5</v>
      </c>
      <c r="V11" s="880" t="s">
        <v>30</v>
      </c>
      <c r="W11" s="876"/>
      <c r="X11" s="876" t="s">
        <v>3022</v>
      </c>
      <c r="Y11" s="876" t="s">
        <v>30</v>
      </c>
      <c r="Z11" s="545"/>
      <c r="AA11" s="545"/>
      <c r="AB11" s="545"/>
      <c r="AC11" s="880"/>
      <c r="AD11" s="874"/>
      <c r="AE11" s="876"/>
      <c r="AF11" s="876"/>
      <c r="AG11" s="545"/>
      <c r="AH11" s="545"/>
      <c r="AI11" s="545"/>
    </row>
    <row r="12" spans="1:39" ht="24" customHeight="1">
      <c r="A12" s="545"/>
      <c r="B12" s="876"/>
      <c r="C12" s="876" t="s">
        <v>2976</v>
      </c>
      <c r="D12" s="545"/>
      <c r="E12" s="876"/>
      <c r="F12" s="545"/>
      <c r="G12" s="888"/>
      <c r="H12" s="545">
        <v>8</v>
      </c>
      <c r="I12" s="876" t="s">
        <v>2342</v>
      </c>
      <c r="J12" s="876" t="s">
        <v>2982</v>
      </c>
      <c r="K12" s="545">
        <f>D17</f>
        <v>5.4</v>
      </c>
      <c r="L12" s="876" t="s">
        <v>2342</v>
      </c>
      <c r="M12" s="882">
        <f t="shared" ref="M12:M20" si="0">K12*H12</f>
        <v>43.2</v>
      </c>
      <c r="O12" s="545"/>
      <c r="P12" s="876"/>
      <c r="Q12" s="876" t="s">
        <v>3071</v>
      </c>
      <c r="R12" s="545"/>
      <c r="S12" s="876"/>
      <c r="T12" s="545"/>
      <c r="V12" s="880">
        <v>8</v>
      </c>
      <c r="W12" s="876" t="s">
        <v>2342</v>
      </c>
      <c r="X12" s="876" t="s">
        <v>2982</v>
      </c>
      <c r="Y12" s="876">
        <f>R17</f>
        <v>5.4</v>
      </c>
      <c r="Z12" s="545" t="s">
        <v>2342</v>
      </c>
      <c r="AA12" s="545">
        <f t="shared" ref="AA12:AA17" si="1">Y12*V12</f>
        <v>43.2</v>
      </c>
      <c r="AB12" s="545"/>
      <c r="AC12" s="880"/>
      <c r="AD12" s="874"/>
      <c r="AE12" s="876"/>
      <c r="AF12" s="876"/>
      <c r="AG12" s="545"/>
      <c r="AH12" s="545"/>
      <c r="AI12" s="545"/>
    </row>
    <row r="13" spans="1:39" ht="24" customHeight="1">
      <c r="A13" s="545"/>
      <c r="B13" s="876"/>
      <c r="C13" s="876" t="s">
        <v>2977</v>
      </c>
      <c r="D13" s="545"/>
      <c r="E13" s="876"/>
      <c r="F13" s="545"/>
      <c r="G13" s="888"/>
      <c r="H13" s="545">
        <v>8</v>
      </c>
      <c r="I13" s="876" t="s">
        <v>2342</v>
      </c>
      <c r="J13" s="876" t="s">
        <v>2985</v>
      </c>
      <c r="K13" s="545">
        <f>D18</f>
        <v>7.6</v>
      </c>
      <c r="L13" s="876" t="s">
        <v>2342</v>
      </c>
      <c r="M13" s="882">
        <f t="shared" si="0"/>
        <v>60.8</v>
      </c>
      <c r="O13" s="545"/>
      <c r="P13" s="876"/>
      <c r="Q13" s="876" t="s">
        <v>2977</v>
      </c>
      <c r="R13" s="545"/>
      <c r="S13" s="876"/>
      <c r="T13" s="545"/>
      <c r="V13" s="880">
        <v>8</v>
      </c>
      <c r="W13" s="876" t="s">
        <v>2342</v>
      </c>
      <c r="X13" s="876" t="s">
        <v>2985</v>
      </c>
      <c r="Y13" s="876">
        <f>R18</f>
        <v>7.8</v>
      </c>
      <c r="Z13" s="545" t="s">
        <v>2342</v>
      </c>
      <c r="AA13" s="545">
        <f t="shared" si="1"/>
        <v>62.4</v>
      </c>
      <c r="AB13" s="545"/>
      <c r="AC13" s="880"/>
      <c r="AD13" s="874"/>
      <c r="AE13" s="876"/>
      <c r="AF13" s="876"/>
      <c r="AG13" s="545"/>
      <c r="AH13" s="545"/>
      <c r="AI13" s="545"/>
    </row>
    <row r="14" spans="1:39" ht="24" customHeight="1">
      <c r="A14" s="545"/>
      <c r="B14" s="876"/>
      <c r="C14" s="876" t="s">
        <v>2978</v>
      </c>
      <c r="D14" s="545"/>
      <c r="E14" s="876"/>
      <c r="F14" s="545"/>
      <c r="G14" s="888"/>
      <c r="H14" s="545">
        <v>3</v>
      </c>
      <c r="I14" s="876" t="s">
        <v>2342</v>
      </c>
      <c r="J14" s="876" t="s">
        <v>3026</v>
      </c>
      <c r="K14" s="545">
        <v>443.3</v>
      </c>
      <c r="L14" s="876" t="s">
        <v>2342</v>
      </c>
      <c r="M14" s="882">
        <f t="shared" si="0"/>
        <v>1329.9</v>
      </c>
      <c r="O14" s="545"/>
      <c r="P14" s="876"/>
      <c r="Q14" s="876" t="s">
        <v>2978</v>
      </c>
      <c r="R14" s="545"/>
      <c r="S14" s="876"/>
      <c r="T14" s="545"/>
      <c r="V14" s="880">
        <v>3</v>
      </c>
      <c r="W14" s="876" t="s">
        <v>2342</v>
      </c>
      <c r="X14" s="876" t="s">
        <v>3026</v>
      </c>
      <c r="Y14" s="876">
        <f>K14</f>
        <v>443.3</v>
      </c>
      <c r="Z14" s="545" t="s">
        <v>2342</v>
      </c>
      <c r="AA14" s="545">
        <f t="shared" si="1"/>
        <v>1329.9</v>
      </c>
      <c r="AB14" s="545"/>
      <c r="AC14" s="880"/>
      <c r="AD14" s="874"/>
      <c r="AE14" s="876"/>
      <c r="AF14" s="876"/>
      <c r="AG14" s="545"/>
      <c r="AH14" s="545"/>
      <c r="AI14" s="545"/>
    </row>
    <row r="15" spans="1:39" ht="24" customHeight="1">
      <c r="A15" s="545"/>
      <c r="B15" s="876"/>
      <c r="C15" s="876" t="s">
        <v>2979</v>
      </c>
      <c r="D15" s="545"/>
      <c r="E15" s="876"/>
      <c r="F15" s="545"/>
      <c r="G15" s="888"/>
      <c r="H15" s="545">
        <v>1</v>
      </c>
      <c r="I15" s="876" t="s">
        <v>2342</v>
      </c>
      <c r="J15" s="876" t="s">
        <v>3027</v>
      </c>
      <c r="K15" s="545">
        <v>623.70000000000005</v>
      </c>
      <c r="L15" s="876" t="s">
        <v>2342</v>
      </c>
      <c r="M15" s="882">
        <f t="shared" si="0"/>
        <v>623.70000000000005</v>
      </c>
      <c r="O15" s="545"/>
      <c r="P15" s="876"/>
      <c r="Q15" s="876" t="s">
        <v>2979</v>
      </c>
      <c r="R15" s="545"/>
      <c r="S15" s="876"/>
      <c r="T15" s="545"/>
      <c r="V15" s="880">
        <v>1</v>
      </c>
      <c r="W15" s="876" t="s">
        <v>2342</v>
      </c>
      <c r="X15" s="876" t="s">
        <v>4139</v>
      </c>
      <c r="Y15" s="876">
        <f>K15</f>
        <v>623.70000000000005</v>
      </c>
      <c r="Z15" s="545" t="s">
        <v>2342</v>
      </c>
      <c r="AA15" s="545">
        <f t="shared" si="1"/>
        <v>623.70000000000005</v>
      </c>
      <c r="AB15" s="545"/>
      <c r="AC15" s="880"/>
      <c r="AD15" s="874"/>
      <c r="AE15" s="876"/>
      <c r="AF15" s="876"/>
      <c r="AG15" s="545"/>
      <c r="AH15" s="545"/>
      <c r="AI15" s="545"/>
    </row>
    <row r="16" spans="1:39" ht="24" customHeight="1">
      <c r="A16" s="545"/>
      <c r="B16" s="876"/>
      <c r="C16" s="876"/>
      <c r="D16" s="545"/>
      <c r="E16" s="876"/>
      <c r="F16" s="545"/>
      <c r="G16" s="889"/>
      <c r="H16" s="545">
        <v>2</v>
      </c>
      <c r="I16" s="876" t="s">
        <v>2342</v>
      </c>
      <c r="J16" s="876" t="s">
        <v>2344</v>
      </c>
      <c r="K16" s="545">
        <v>390.5</v>
      </c>
      <c r="L16" s="876" t="s">
        <v>2342</v>
      </c>
      <c r="M16" s="882">
        <f t="shared" si="0"/>
        <v>781</v>
      </c>
      <c r="V16" s="880">
        <v>2</v>
      </c>
      <c r="W16" s="876" t="s">
        <v>2342</v>
      </c>
      <c r="X16" s="876" t="s">
        <v>2344</v>
      </c>
      <c r="Y16" s="876">
        <f>K16</f>
        <v>390.5</v>
      </c>
      <c r="Z16" s="545" t="s">
        <v>2342</v>
      </c>
      <c r="AA16" s="545">
        <f t="shared" si="1"/>
        <v>781</v>
      </c>
      <c r="AB16" s="545"/>
      <c r="AC16" s="880"/>
      <c r="AD16" s="874"/>
      <c r="AE16" s="876"/>
      <c r="AF16" s="876"/>
      <c r="AG16" s="545"/>
      <c r="AH16" s="545"/>
      <c r="AI16" s="545"/>
    </row>
    <row r="17" spans="1:39" ht="24" customHeight="1">
      <c r="A17" s="545">
        <v>8</v>
      </c>
      <c r="B17" s="876" t="s">
        <v>2359</v>
      </c>
      <c r="C17" s="876" t="s">
        <v>2982</v>
      </c>
      <c r="D17" s="545">
        <v>5.4</v>
      </c>
      <c r="E17" s="876" t="s">
        <v>2359</v>
      </c>
      <c r="F17" s="545">
        <f>D17*A17</f>
        <v>43.2</v>
      </c>
      <c r="G17" s="889"/>
      <c r="H17" s="545">
        <v>1</v>
      </c>
      <c r="I17" s="876" t="s">
        <v>2342</v>
      </c>
      <c r="J17" s="876" t="s">
        <v>2345</v>
      </c>
      <c r="K17" s="545">
        <v>352</v>
      </c>
      <c r="L17" s="876" t="s">
        <v>2342</v>
      </c>
      <c r="M17" s="882">
        <f t="shared" si="0"/>
        <v>352</v>
      </c>
      <c r="O17" s="545">
        <v>8</v>
      </c>
      <c r="P17" s="876" t="s">
        <v>2359</v>
      </c>
      <c r="Q17" s="876" t="s">
        <v>2982</v>
      </c>
      <c r="R17" s="545">
        <v>5.4</v>
      </c>
      <c r="S17" s="876" t="s">
        <v>2359</v>
      </c>
      <c r="T17" s="545">
        <f>R17*O17</f>
        <v>43.2</v>
      </c>
      <c r="V17" s="880">
        <v>1</v>
      </c>
      <c r="W17" s="876" t="s">
        <v>2342</v>
      </c>
      <c r="X17" s="876" t="s">
        <v>2345</v>
      </c>
      <c r="Y17" s="876">
        <f>K17</f>
        <v>352</v>
      </c>
      <c r="Z17" s="545" t="s">
        <v>2342</v>
      </c>
      <c r="AA17" s="545">
        <f t="shared" si="1"/>
        <v>352</v>
      </c>
      <c r="AB17" s="545"/>
      <c r="AC17" s="880"/>
      <c r="AD17" s="874"/>
      <c r="AE17" s="876"/>
      <c r="AF17" s="876"/>
      <c r="AG17" s="545"/>
      <c r="AH17" s="545"/>
      <c r="AI17" s="545"/>
    </row>
    <row r="18" spans="1:39" ht="24" customHeight="1">
      <c r="A18" s="545">
        <v>8</v>
      </c>
      <c r="B18" s="876" t="s">
        <v>2359</v>
      </c>
      <c r="C18" s="876" t="s">
        <v>2985</v>
      </c>
      <c r="D18" s="545">
        <v>7.6</v>
      </c>
      <c r="E18" s="876" t="s">
        <v>2359</v>
      </c>
      <c r="F18" s="545">
        <f>D18*A18</f>
        <v>60.8</v>
      </c>
      <c r="G18" s="889"/>
      <c r="H18" s="545">
        <v>0</v>
      </c>
      <c r="I18" s="876" t="s">
        <v>2346</v>
      </c>
      <c r="J18" s="876" t="s">
        <v>3028</v>
      </c>
      <c r="K18" s="545" t="s">
        <v>30</v>
      </c>
      <c r="L18" s="876" t="s">
        <v>2346</v>
      </c>
      <c r="M18" s="882">
        <v>12.1</v>
      </c>
      <c r="O18" s="545">
        <v>8</v>
      </c>
      <c r="P18" s="876" t="s">
        <v>2359</v>
      </c>
      <c r="Q18" s="876" t="s">
        <v>2985</v>
      </c>
      <c r="R18" s="545">
        <v>7.8</v>
      </c>
      <c r="S18" s="876" t="s">
        <v>2359</v>
      </c>
      <c r="T18" s="545">
        <f>R18*O18</f>
        <v>62.4</v>
      </c>
      <c r="V18" s="880"/>
      <c r="W18" s="876" t="s">
        <v>2346</v>
      </c>
      <c r="X18" s="876" t="s">
        <v>4140</v>
      </c>
      <c r="Y18" s="876" t="s">
        <v>30</v>
      </c>
      <c r="Z18" s="545" t="s">
        <v>2346</v>
      </c>
      <c r="AA18" s="545">
        <v>5</v>
      </c>
      <c r="AB18" s="545"/>
      <c r="AC18" s="880"/>
      <c r="AD18" s="874"/>
      <c r="AE18" s="876"/>
      <c r="AF18" s="876"/>
      <c r="AG18" s="545"/>
      <c r="AH18" s="545"/>
      <c r="AI18" s="545"/>
    </row>
    <row r="19" spans="1:39" ht="24" customHeight="1">
      <c r="A19" s="545">
        <v>1</v>
      </c>
      <c r="B19" s="876" t="s">
        <v>2346</v>
      </c>
      <c r="C19" s="876" t="s">
        <v>2987</v>
      </c>
      <c r="D19" s="545">
        <v>12.1</v>
      </c>
      <c r="E19" s="876" t="s">
        <v>2346</v>
      </c>
      <c r="F19" s="545">
        <f>D19*A19</f>
        <v>12.1</v>
      </c>
      <c r="G19" s="889"/>
      <c r="H19" s="545"/>
      <c r="I19" s="876"/>
      <c r="J19" s="876" t="s">
        <v>3030</v>
      </c>
      <c r="K19" s="545" t="s">
        <v>30</v>
      </c>
      <c r="L19" s="876"/>
      <c r="M19" s="882"/>
      <c r="O19" s="545">
        <v>1</v>
      </c>
      <c r="P19" s="876" t="s">
        <v>2346</v>
      </c>
      <c r="Q19" s="876" t="s">
        <v>2987</v>
      </c>
      <c r="R19" s="545">
        <v>4</v>
      </c>
      <c r="S19" s="876" t="s">
        <v>2346</v>
      </c>
      <c r="T19" s="545">
        <f>R19*O19</f>
        <v>4</v>
      </c>
      <c r="V19" s="880"/>
      <c r="W19" s="876"/>
      <c r="X19" s="876" t="s">
        <v>4141</v>
      </c>
      <c r="Y19" s="876" t="s">
        <v>30</v>
      </c>
      <c r="Z19" s="545"/>
      <c r="AA19" s="545" t="s">
        <v>30</v>
      </c>
      <c r="AB19" s="890"/>
      <c r="AC19" s="880"/>
      <c r="AD19" s="874"/>
      <c r="AE19" s="876"/>
      <c r="AF19" s="876"/>
      <c r="AG19" s="545"/>
      <c r="AH19" s="545"/>
      <c r="AI19" s="545"/>
    </row>
    <row r="20" spans="1:39" ht="24" customHeight="1">
      <c r="A20" s="545">
        <v>1</v>
      </c>
      <c r="B20" s="876" t="s">
        <v>2346</v>
      </c>
      <c r="C20" s="876" t="s">
        <v>2347</v>
      </c>
      <c r="D20" s="545" t="e">
        <v>#REF!</v>
      </c>
      <c r="E20" s="876" t="s">
        <v>2346</v>
      </c>
      <c r="F20" s="545" t="e">
        <f>D20*A20</f>
        <v>#REF!</v>
      </c>
      <c r="G20" s="889"/>
      <c r="H20" s="545"/>
      <c r="I20" s="876" t="s">
        <v>2346</v>
      </c>
      <c r="J20" s="876" t="s">
        <v>2347</v>
      </c>
      <c r="K20" s="545"/>
      <c r="L20" s="876" t="s">
        <v>2346</v>
      </c>
      <c r="M20" s="882">
        <f t="shared" si="0"/>
        <v>0</v>
      </c>
      <c r="O20" s="545"/>
      <c r="P20" s="876" t="s">
        <v>2346</v>
      </c>
      <c r="Q20" s="876" t="s">
        <v>2347</v>
      </c>
      <c r="R20" s="545"/>
      <c r="S20" s="876" t="s">
        <v>2346</v>
      </c>
      <c r="T20" s="545">
        <f>R20*O20</f>
        <v>0</v>
      </c>
      <c r="V20" s="880"/>
      <c r="W20" s="876" t="s">
        <v>2346</v>
      </c>
      <c r="X20" s="876" t="s">
        <v>2347</v>
      </c>
      <c r="Y20" s="545"/>
      <c r="Z20" s="545" t="s">
        <v>2346</v>
      </c>
      <c r="AA20" s="545">
        <v>0</v>
      </c>
      <c r="AB20" s="545"/>
      <c r="AC20" s="880"/>
      <c r="AD20" s="874"/>
      <c r="AE20" s="876"/>
      <c r="AF20" s="876"/>
      <c r="AG20" s="545"/>
      <c r="AH20" s="545"/>
      <c r="AI20" s="545"/>
    </row>
    <row r="21" spans="1:39" ht="24" customHeight="1">
      <c r="A21" s="545"/>
      <c r="B21" s="876"/>
      <c r="C21" s="876"/>
      <c r="D21" s="545"/>
      <c r="E21" s="876"/>
      <c r="F21" s="545"/>
      <c r="G21" s="889"/>
      <c r="H21" s="545"/>
      <c r="I21" s="876"/>
      <c r="J21" s="876"/>
      <c r="K21" s="545"/>
      <c r="L21" s="876"/>
      <c r="M21" s="882"/>
      <c r="O21" s="545"/>
      <c r="P21" s="876"/>
      <c r="Q21" s="876"/>
      <c r="R21" s="545"/>
      <c r="S21" s="876"/>
      <c r="T21" s="545"/>
      <c r="V21" s="880"/>
      <c r="W21" s="876"/>
      <c r="X21" s="876"/>
      <c r="Y21" s="545"/>
      <c r="Z21" s="545"/>
      <c r="AA21" s="545"/>
      <c r="AB21" s="545"/>
      <c r="AC21" s="880"/>
      <c r="AD21" s="874"/>
      <c r="AE21" s="876"/>
      <c r="AF21" s="876"/>
      <c r="AG21" s="545"/>
      <c r="AH21" s="545"/>
      <c r="AI21" s="545"/>
    </row>
    <row r="22" spans="1:39" ht="24" customHeight="1">
      <c r="A22" s="545"/>
      <c r="B22" s="876"/>
      <c r="C22" s="876" t="s">
        <v>2989</v>
      </c>
      <c r="D22" s="545"/>
      <c r="E22" s="876"/>
      <c r="F22" s="545" t="e">
        <f>SUM(F9:F21)</f>
        <v>#REF!</v>
      </c>
      <c r="G22" s="889"/>
      <c r="H22" s="545"/>
      <c r="I22" s="876"/>
      <c r="J22" s="876" t="s">
        <v>3031</v>
      </c>
      <c r="K22" s="545"/>
      <c r="L22" s="876"/>
      <c r="M22" s="882">
        <f>SUM(M10:M21)</f>
        <v>3532.4</v>
      </c>
      <c r="O22" s="545"/>
      <c r="P22" s="876"/>
      <c r="Q22" s="876" t="s">
        <v>2989</v>
      </c>
      <c r="R22" s="545"/>
      <c r="S22" s="876" t="e">
        <v>#REF!</v>
      </c>
      <c r="T22" s="545">
        <f>SUM(T9:T21)</f>
        <v>1634.2539999999999</v>
      </c>
      <c r="V22" s="880"/>
      <c r="W22" s="876"/>
      <c r="X22" s="876" t="s">
        <v>3031</v>
      </c>
      <c r="Y22" s="876"/>
      <c r="Z22" s="545"/>
      <c r="AA22" s="545">
        <f>SUM(AA10:AA21)</f>
        <v>3390.7</v>
      </c>
      <c r="AB22" s="545"/>
      <c r="AC22" s="880"/>
      <c r="AD22" s="874"/>
      <c r="AE22" s="876"/>
      <c r="AF22" s="876"/>
      <c r="AG22" s="545"/>
      <c r="AH22" s="545"/>
      <c r="AI22" s="545"/>
    </row>
    <row r="23" spans="1:39" ht="24" customHeight="1">
      <c r="A23" s="545"/>
      <c r="B23" s="876"/>
      <c r="C23" s="876"/>
      <c r="D23" s="545"/>
      <c r="E23" s="876"/>
      <c r="F23" s="545"/>
      <c r="G23" s="889"/>
      <c r="H23" s="545"/>
      <c r="I23" s="876"/>
      <c r="J23" s="876"/>
      <c r="K23" s="545"/>
      <c r="L23" s="876"/>
      <c r="M23" s="882"/>
      <c r="O23" s="545"/>
      <c r="P23" s="876"/>
      <c r="Q23" s="876"/>
      <c r="R23" s="545"/>
      <c r="S23" s="876"/>
      <c r="T23" s="545"/>
      <c r="V23" s="880"/>
      <c r="W23" s="876"/>
      <c r="X23" s="876"/>
      <c r="Y23" s="891"/>
      <c r="Z23" s="545"/>
      <c r="AA23" s="545"/>
      <c r="AB23" s="545"/>
      <c r="AC23" s="880"/>
      <c r="AD23" s="874"/>
      <c r="AE23" s="876"/>
      <c r="AF23" s="876"/>
      <c r="AG23" s="545"/>
      <c r="AH23" s="545"/>
      <c r="AI23" s="545"/>
    </row>
    <row r="24" spans="1:39" ht="24" customHeight="1">
      <c r="A24" s="545"/>
      <c r="B24" s="876"/>
      <c r="C24" s="875" t="s">
        <v>2990</v>
      </c>
      <c r="D24" s="892"/>
      <c r="E24" s="875"/>
      <c r="F24" s="892" t="e">
        <f>F22/30</f>
        <v>#REF!</v>
      </c>
      <c r="G24" s="889"/>
      <c r="H24" s="545"/>
      <c r="I24" s="876"/>
      <c r="J24" s="875" t="s">
        <v>2990</v>
      </c>
      <c r="K24" s="892"/>
      <c r="L24" s="875"/>
      <c r="M24" s="883">
        <f>M22/30</f>
        <v>117.74666666666667</v>
      </c>
      <c r="O24" s="545"/>
      <c r="P24" s="876"/>
      <c r="Q24" s="875" t="s">
        <v>2990</v>
      </c>
      <c r="R24" s="892"/>
      <c r="S24" s="875" t="e">
        <v>#REF!</v>
      </c>
      <c r="T24" s="892">
        <f>T22/30</f>
        <v>54.475133333333332</v>
      </c>
      <c r="V24" s="880"/>
      <c r="W24" s="876"/>
      <c r="X24" s="875" t="s">
        <v>2990</v>
      </c>
      <c r="Y24" s="893"/>
      <c r="Z24" s="892"/>
      <c r="AA24" s="892">
        <f>AA22/30</f>
        <v>113.02333333333333</v>
      </c>
      <c r="AC24" s="878"/>
      <c r="AD24" s="874"/>
      <c r="AE24" s="876"/>
      <c r="AF24" s="876"/>
      <c r="AG24" s="545"/>
      <c r="AH24" s="545"/>
      <c r="AI24" s="545"/>
    </row>
    <row r="25" spans="1:39" ht="24" customHeight="1">
      <c r="A25" s="545"/>
      <c r="B25" s="876"/>
      <c r="C25" s="876"/>
      <c r="D25" s="545"/>
      <c r="E25" s="876"/>
      <c r="F25" s="545"/>
      <c r="G25" s="889"/>
      <c r="H25" s="545"/>
      <c r="I25" s="876"/>
      <c r="J25" s="876"/>
      <c r="K25" s="545"/>
      <c r="L25" s="876"/>
      <c r="M25" s="882"/>
      <c r="O25" s="545"/>
      <c r="P25" s="876"/>
      <c r="Q25" s="876"/>
      <c r="R25" s="545"/>
      <c r="S25" s="876"/>
      <c r="T25" s="545"/>
      <c r="V25" s="878"/>
      <c r="W25" s="879"/>
      <c r="X25" s="879"/>
      <c r="Y25" s="880"/>
      <c r="Z25" s="878"/>
      <c r="AA25" s="878"/>
      <c r="AC25" s="878"/>
      <c r="AD25" s="874"/>
      <c r="AE25" s="876"/>
      <c r="AF25" s="876"/>
      <c r="AG25" s="545"/>
      <c r="AH25" s="545"/>
      <c r="AI25" s="545"/>
    </row>
    <row r="26" spans="1:39" ht="24" customHeight="1">
      <c r="A26" s="545"/>
      <c r="B26" s="875" t="s">
        <v>24</v>
      </c>
      <c r="C26" s="894" t="s">
        <v>2992</v>
      </c>
      <c r="D26" s="545"/>
      <c r="E26" s="876"/>
      <c r="F26" s="545"/>
      <c r="G26" s="889"/>
      <c r="H26" s="545"/>
      <c r="I26" s="895" t="s">
        <v>24</v>
      </c>
      <c r="J26" s="896" t="s">
        <v>3035</v>
      </c>
      <c r="Q26" s="894" t="s">
        <v>5388</v>
      </c>
      <c r="V26" s="878"/>
      <c r="W26" s="879"/>
      <c r="X26" s="879"/>
      <c r="Y26" s="880"/>
      <c r="Z26" s="878"/>
      <c r="AA26" s="878"/>
      <c r="AC26" s="878"/>
      <c r="AD26" s="874"/>
      <c r="AE26" s="876"/>
      <c r="AF26" s="876"/>
      <c r="AG26" s="545"/>
      <c r="AH26" s="545"/>
      <c r="AI26" s="545"/>
    </row>
    <row r="27" spans="1:39" ht="24" customHeight="1">
      <c r="A27" s="545"/>
      <c r="B27" s="876"/>
      <c r="C27" s="876"/>
      <c r="D27" s="545"/>
      <c r="E27" s="876"/>
      <c r="F27" s="545"/>
      <c r="G27" s="889"/>
      <c r="H27" s="545"/>
      <c r="I27" s="876"/>
      <c r="J27" s="876"/>
      <c r="K27" s="545"/>
      <c r="L27" s="876"/>
      <c r="M27" s="882"/>
      <c r="Q27" s="881"/>
      <c r="V27" s="878"/>
      <c r="W27" s="879"/>
      <c r="X27" s="879"/>
      <c r="Y27" s="880"/>
      <c r="Z27" s="878"/>
      <c r="AA27" s="878"/>
      <c r="AC27" s="878"/>
      <c r="AD27" s="874"/>
      <c r="AE27" s="876"/>
      <c r="AF27" s="876"/>
      <c r="AG27" s="545"/>
      <c r="AH27" s="545"/>
      <c r="AI27" s="545"/>
    </row>
    <row r="28" spans="1:39" ht="24" customHeight="1">
      <c r="A28" s="545">
        <v>8.1</v>
      </c>
      <c r="B28" s="876" t="s">
        <v>2334</v>
      </c>
      <c r="C28" s="876" t="s">
        <v>2973</v>
      </c>
      <c r="D28" s="545">
        <f>D9</f>
        <v>139.91999999999999</v>
      </c>
      <c r="E28" s="876" t="s">
        <v>2334</v>
      </c>
      <c r="F28" s="545">
        <f>D28*A28</f>
        <v>1133.3519999999999</v>
      </c>
      <c r="G28" s="889"/>
      <c r="H28" s="545">
        <v>30</v>
      </c>
      <c r="I28" s="876" t="s">
        <v>2205</v>
      </c>
      <c r="J28" s="876" t="s">
        <v>3019</v>
      </c>
      <c r="K28" s="545">
        <f>K10</f>
        <v>10.99</v>
      </c>
      <c r="L28" s="876" t="s">
        <v>2205</v>
      </c>
      <c r="M28" s="882">
        <f>K28*H28</f>
        <v>329.7</v>
      </c>
      <c r="O28" s="545">
        <v>8.1</v>
      </c>
      <c r="P28" s="876" t="str">
        <f t="shared" ref="P28:S30" si="2">P9</f>
        <v>CUM</v>
      </c>
      <c r="Q28" s="876" t="str">
        <f t="shared" si="2"/>
        <v>E.W EXCLUDING REFILLING</v>
      </c>
      <c r="R28" s="545">
        <f t="shared" si="2"/>
        <v>139.91999999999999</v>
      </c>
      <c r="S28" s="876" t="str">
        <f t="shared" si="2"/>
        <v>CUM</v>
      </c>
      <c r="T28" s="545">
        <f>R28*O28</f>
        <v>1133.3519999999999</v>
      </c>
      <c r="V28" s="878"/>
      <c r="W28" s="879"/>
      <c r="X28" s="879"/>
      <c r="Y28" s="880"/>
      <c r="Z28" s="878"/>
      <c r="AA28" s="878"/>
      <c r="AC28" s="878"/>
      <c r="AD28" s="874"/>
      <c r="AE28" s="876"/>
      <c r="AF28" s="876"/>
      <c r="AG28" s="545"/>
      <c r="AH28" s="545"/>
      <c r="AI28" s="545"/>
    </row>
    <row r="29" spans="1:39" ht="24" customHeight="1">
      <c r="A29" s="545">
        <v>8.1</v>
      </c>
      <c r="B29" s="876" t="s">
        <v>2334</v>
      </c>
      <c r="C29" s="876" t="s">
        <v>2974</v>
      </c>
      <c r="D29" s="545">
        <f>D10</f>
        <v>24.42</v>
      </c>
      <c r="E29" s="876" t="s">
        <v>2334</v>
      </c>
      <c r="F29" s="545">
        <f>D29*A29</f>
        <v>197.80199999999999</v>
      </c>
      <c r="G29" s="889"/>
      <c r="H29" s="545" t="s">
        <v>30</v>
      </c>
      <c r="I29" s="876"/>
      <c r="J29" s="876" t="s">
        <v>3022</v>
      </c>
      <c r="K29" s="545" t="s">
        <v>30</v>
      </c>
      <c r="L29" s="876"/>
      <c r="M29" s="882">
        <f t="shared" ref="M29:M35" si="3">K29*H29</f>
        <v>0</v>
      </c>
      <c r="O29" s="545">
        <v>8.1</v>
      </c>
      <c r="P29" s="876" t="str">
        <f t="shared" si="2"/>
        <v>CUM</v>
      </c>
      <c r="Q29" s="876" t="str">
        <f t="shared" si="2"/>
        <v>REFILLING CHARGE</v>
      </c>
      <c r="R29" s="545">
        <f t="shared" si="2"/>
        <v>24.42</v>
      </c>
      <c r="S29" s="876" t="str">
        <f t="shared" si="2"/>
        <v>CUM</v>
      </c>
      <c r="T29" s="545">
        <f>R29*O29</f>
        <v>197.80199999999999</v>
      </c>
      <c r="V29" s="878"/>
      <c r="W29" s="879"/>
      <c r="X29" s="879"/>
      <c r="Y29" s="880"/>
      <c r="Z29" s="878"/>
      <c r="AA29" s="878"/>
      <c r="AB29" s="545"/>
      <c r="AC29" s="878"/>
      <c r="AD29" s="874"/>
      <c r="AE29" s="876"/>
      <c r="AF29" s="876"/>
      <c r="AG29" s="545"/>
      <c r="AH29" s="545"/>
      <c r="AI29" s="545"/>
    </row>
    <row r="30" spans="1:39" ht="24" customHeight="1">
      <c r="A30" s="545">
        <v>30</v>
      </c>
      <c r="B30" s="876" t="s">
        <v>2205</v>
      </c>
      <c r="C30" s="876" t="s">
        <v>2975</v>
      </c>
      <c r="D30" s="545">
        <f>D11</f>
        <v>10.99</v>
      </c>
      <c r="E30" s="876" t="s">
        <v>2205</v>
      </c>
      <c r="F30" s="545">
        <f>D30*A30</f>
        <v>329.7</v>
      </c>
      <c r="G30" s="889"/>
      <c r="H30" s="545">
        <v>8</v>
      </c>
      <c r="I30" s="876" t="s">
        <v>2342</v>
      </c>
      <c r="J30" s="876" t="s">
        <v>2982</v>
      </c>
      <c r="K30" s="545">
        <f>D35</f>
        <v>5.4</v>
      </c>
      <c r="L30" s="876" t="s">
        <v>2342</v>
      </c>
      <c r="M30" s="882">
        <f t="shared" si="3"/>
        <v>43.2</v>
      </c>
      <c r="O30" s="545">
        <v>30</v>
      </c>
      <c r="P30" s="876" t="str">
        <f t="shared" si="2"/>
        <v>RMT</v>
      </c>
      <c r="Q30" s="876" t="str">
        <f t="shared" si="2"/>
        <v>CONVEYING,LOWERING  ANDLAYING</v>
      </c>
      <c r="R30" s="545">
        <f t="shared" si="2"/>
        <v>6.45</v>
      </c>
      <c r="S30" s="876" t="str">
        <f t="shared" si="2"/>
        <v>RMT</v>
      </c>
      <c r="T30" s="545">
        <f>R30*O30</f>
        <v>193.5</v>
      </c>
      <c r="V30" s="878"/>
      <c r="W30" s="879"/>
      <c r="X30" s="879"/>
      <c r="Y30" s="880"/>
      <c r="Z30" s="878"/>
      <c r="AA30" s="878"/>
      <c r="AB30" s="545"/>
      <c r="AC30" s="880"/>
      <c r="AD30" s="874"/>
      <c r="AE30" s="876"/>
      <c r="AF30" s="876"/>
      <c r="AG30" s="545"/>
      <c r="AH30" s="545"/>
      <c r="AI30" s="545"/>
      <c r="AM30" s="897"/>
    </row>
    <row r="31" spans="1:39" ht="24" customHeight="1">
      <c r="A31" s="545"/>
      <c r="B31" s="876"/>
      <c r="C31" s="876" t="s">
        <v>2976</v>
      </c>
      <c r="D31" s="545"/>
      <c r="E31" s="876"/>
      <c r="F31" s="545"/>
      <c r="G31" s="889"/>
      <c r="H31" s="545">
        <v>8</v>
      </c>
      <c r="I31" s="876" t="s">
        <v>2342</v>
      </c>
      <c r="J31" s="876" t="s">
        <v>2985</v>
      </c>
      <c r="K31" s="545">
        <f>D36</f>
        <v>7.8</v>
      </c>
      <c r="L31" s="876" t="s">
        <v>2342</v>
      </c>
      <c r="M31" s="882">
        <f t="shared" si="3"/>
        <v>62.4</v>
      </c>
      <c r="O31" s="545"/>
      <c r="P31" s="876"/>
      <c r="Q31" s="876" t="str">
        <f>Q12</f>
        <v>TO PROPER GRADE AND</v>
      </c>
      <c r="R31" s="545"/>
      <c r="S31" s="876"/>
      <c r="T31" s="545"/>
      <c r="V31" s="878"/>
      <c r="W31" s="879"/>
      <c r="X31" s="879"/>
      <c r="Y31" s="880"/>
      <c r="Z31" s="878"/>
      <c r="AA31" s="878"/>
      <c r="AB31" s="545"/>
      <c r="AC31" s="880"/>
      <c r="AD31" s="874"/>
      <c r="AE31" s="876"/>
      <c r="AF31" s="876"/>
      <c r="AG31" s="545"/>
      <c r="AH31" s="545"/>
      <c r="AI31" s="545"/>
      <c r="AM31" s="897"/>
    </row>
    <row r="32" spans="1:39" ht="24" customHeight="1">
      <c r="A32" s="545"/>
      <c r="B32" s="876"/>
      <c r="C32" s="876" t="s">
        <v>2977</v>
      </c>
      <c r="D32" s="545"/>
      <c r="E32" s="876"/>
      <c r="F32" s="545"/>
      <c r="G32" s="889"/>
      <c r="H32" s="545">
        <v>3</v>
      </c>
      <c r="I32" s="876" t="s">
        <v>2342</v>
      </c>
      <c r="J32" s="876" t="s">
        <v>3026</v>
      </c>
      <c r="K32" s="545">
        <f>K14</f>
        <v>443.3</v>
      </c>
      <c r="L32" s="876" t="s">
        <v>2342</v>
      </c>
      <c r="M32" s="882">
        <f t="shared" si="3"/>
        <v>1329.9</v>
      </c>
      <c r="O32" s="545"/>
      <c r="P32" s="876"/>
      <c r="Q32" s="876" t="str">
        <f>Q13</f>
        <v>ALIGNMENT,JOINTING</v>
      </c>
      <c r="R32" s="545"/>
      <c r="S32" s="876"/>
      <c r="T32" s="545"/>
      <c r="V32" s="878"/>
      <c r="W32" s="879"/>
      <c r="X32" s="879"/>
      <c r="Y32" s="880"/>
      <c r="Z32" s="878"/>
      <c r="AA32" s="878"/>
      <c r="AB32" s="545"/>
      <c r="AC32" s="880"/>
      <c r="AD32" s="874"/>
      <c r="AE32" s="876"/>
      <c r="AF32" s="876"/>
      <c r="AG32" s="545"/>
      <c r="AH32" s="545"/>
      <c r="AI32" s="545"/>
      <c r="AM32" s="897"/>
    </row>
    <row r="33" spans="1:39" ht="24" customHeight="1">
      <c r="A33" s="545"/>
      <c r="B33" s="876"/>
      <c r="C33" s="876" t="s">
        <v>2978</v>
      </c>
      <c r="D33" s="545"/>
      <c r="E33" s="876"/>
      <c r="F33" s="545"/>
      <c r="G33" s="889"/>
      <c r="H33" s="545">
        <v>1</v>
      </c>
      <c r="I33" s="876" t="s">
        <v>2342</v>
      </c>
      <c r="J33" s="876" t="s">
        <v>3027</v>
      </c>
      <c r="K33" s="545">
        <f>K15</f>
        <v>623.70000000000005</v>
      </c>
      <c r="L33" s="876" t="s">
        <v>2342</v>
      </c>
      <c r="M33" s="882">
        <f t="shared" si="3"/>
        <v>623.70000000000005</v>
      </c>
      <c r="O33" s="545"/>
      <c r="P33" s="876"/>
      <c r="Q33" s="876" t="str">
        <f>Q14</f>
        <v>ETC BUT EXCLUDING  COST OF</v>
      </c>
      <c r="R33" s="545"/>
      <c r="S33" s="876"/>
      <c r="T33" s="545"/>
      <c r="V33" s="878"/>
      <c r="W33" s="879"/>
      <c r="X33" s="879"/>
      <c r="Y33" s="880"/>
      <c r="Z33" s="878"/>
      <c r="AA33" s="878"/>
      <c r="AB33" s="545"/>
      <c r="AC33" s="880"/>
      <c r="AD33" s="874"/>
      <c r="AE33" s="876"/>
      <c r="AF33" s="876"/>
      <c r="AG33" s="545"/>
      <c r="AH33" s="545"/>
      <c r="AI33" s="545"/>
      <c r="AM33" s="897"/>
    </row>
    <row r="34" spans="1:39" ht="24" customHeight="1">
      <c r="A34" s="545"/>
      <c r="B34" s="876"/>
      <c r="C34" s="876" t="s">
        <v>2979</v>
      </c>
      <c r="D34" s="545"/>
      <c r="E34" s="876"/>
      <c r="F34" s="545"/>
      <c r="G34" s="889"/>
      <c r="H34" s="545">
        <v>2</v>
      </c>
      <c r="I34" s="876" t="s">
        <v>2342</v>
      </c>
      <c r="J34" s="876" t="s">
        <v>2344</v>
      </c>
      <c r="K34" s="545">
        <f>K16</f>
        <v>390.5</v>
      </c>
      <c r="L34" s="876" t="s">
        <v>2342</v>
      </c>
      <c r="M34" s="882">
        <f t="shared" si="3"/>
        <v>781</v>
      </c>
      <c r="O34" s="545"/>
      <c r="P34" s="876"/>
      <c r="Q34" s="876" t="str">
        <f>Q15</f>
        <v>JOINTING MATERIALS.</v>
      </c>
      <c r="R34" s="545"/>
      <c r="S34" s="876"/>
      <c r="T34" s="545"/>
      <c r="V34" s="878"/>
      <c r="W34" s="879"/>
      <c r="X34" s="879"/>
      <c r="Y34" s="880"/>
      <c r="Z34" s="878"/>
      <c r="AA34" s="878"/>
      <c r="AB34" s="545"/>
      <c r="AC34" s="880"/>
      <c r="AD34" s="874"/>
      <c r="AE34" s="876"/>
      <c r="AF34" s="876"/>
      <c r="AG34" s="545"/>
      <c r="AH34" s="545"/>
      <c r="AI34" s="545"/>
      <c r="AM34" s="897"/>
    </row>
    <row r="35" spans="1:39" ht="24" customHeight="1">
      <c r="A35" s="545">
        <v>8</v>
      </c>
      <c r="B35" s="876" t="s">
        <v>2359</v>
      </c>
      <c r="C35" s="876" t="s">
        <v>2982</v>
      </c>
      <c r="D35" s="545">
        <v>5.4</v>
      </c>
      <c r="E35" s="876" t="s">
        <v>2359</v>
      </c>
      <c r="F35" s="545">
        <f>D35*A35</f>
        <v>43.2</v>
      </c>
      <c r="G35" s="889"/>
      <c r="H35" s="545">
        <v>1</v>
      </c>
      <c r="I35" s="876" t="s">
        <v>2342</v>
      </c>
      <c r="J35" s="876" t="s">
        <v>2345</v>
      </c>
      <c r="K35" s="545">
        <f>K17</f>
        <v>352</v>
      </c>
      <c r="L35" s="876" t="s">
        <v>2342</v>
      </c>
      <c r="M35" s="882">
        <f t="shared" si="3"/>
        <v>352</v>
      </c>
      <c r="O35" s="545">
        <v>8</v>
      </c>
      <c r="P35" s="876" t="str">
        <f t="shared" ref="P35:Q37" si="4">P17</f>
        <v>NO</v>
      </c>
      <c r="Q35" s="876" t="str">
        <f t="shared" si="4"/>
        <v>CUTTING CHARGES</v>
      </c>
      <c r="R35" s="545">
        <v>6.5</v>
      </c>
      <c r="S35" s="876" t="str">
        <f>S17</f>
        <v>NO</v>
      </c>
      <c r="T35" s="545">
        <f>R35*O35</f>
        <v>52</v>
      </c>
      <c r="V35" s="878"/>
      <c r="W35" s="879"/>
      <c r="X35" s="879"/>
      <c r="Y35" s="880"/>
      <c r="Z35" s="878"/>
      <c r="AA35" s="878"/>
      <c r="AB35" s="545"/>
      <c r="AC35" s="880"/>
      <c r="AD35" s="874"/>
      <c r="AE35" s="876"/>
      <c r="AF35" s="876"/>
      <c r="AG35" s="545"/>
      <c r="AH35" s="545"/>
      <c r="AI35" s="545"/>
      <c r="AM35" s="897"/>
    </row>
    <row r="36" spans="1:39" ht="24" customHeight="1">
      <c r="A36" s="545">
        <v>8</v>
      </c>
      <c r="B36" s="876" t="s">
        <v>2359</v>
      </c>
      <c r="C36" s="876" t="s">
        <v>2985</v>
      </c>
      <c r="D36" s="545">
        <v>7.8</v>
      </c>
      <c r="E36" s="876" t="s">
        <v>2359</v>
      </c>
      <c r="F36" s="545">
        <f>D36*A36</f>
        <v>62.4</v>
      </c>
      <c r="G36" s="889"/>
      <c r="H36" s="545"/>
      <c r="I36" s="876" t="s">
        <v>2346</v>
      </c>
      <c r="J36" s="876" t="s">
        <v>3028</v>
      </c>
      <c r="K36" s="545" t="s">
        <v>30</v>
      </c>
      <c r="L36" s="876" t="s">
        <v>2346</v>
      </c>
      <c r="M36" s="882">
        <v>12.1</v>
      </c>
      <c r="O36" s="545">
        <v>8</v>
      </c>
      <c r="P36" s="876" t="str">
        <f t="shared" si="4"/>
        <v>NO</v>
      </c>
      <c r="Q36" s="876" t="str">
        <f t="shared" si="4"/>
        <v>THREADING CHARGES</v>
      </c>
      <c r="R36" s="545">
        <v>16</v>
      </c>
      <c r="S36" s="876" t="str">
        <f>S18</f>
        <v>NO</v>
      </c>
      <c r="T36" s="545">
        <f>R36*O36</f>
        <v>128</v>
      </c>
      <c r="V36" s="878"/>
      <c r="W36" s="879"/>
      <c r="X36" s="879"/>
      <c r="Y36" s="880"/>
      <c r="Z36" s="878"/>
      <c r="AA36" s="878"/>
      <c r="AB36" s="545"/>
      <c r="AC36" s="880"/>
      <c r="AD36" s="874"/>
      <c r="AE36" s="876"/>
      <c r="AF36" s="876"/>
      <c r="AG36" s="545"/>
      <c r="AH36" s="545"/>
      <c r="AI36" s="545"/>
    </row>
    <row r="37" spans="1:39" ht="24" customHeight="1">
      <c r="A37" s="545">
        <v>1</v>
      </c>
      <c r="B37" s="876" t="s">
        <v>2346</v>
      </c>
      <c r="C37" s="876" t="s">
        <v>2987</v>
      </c>
      <c r="D37" s="545">
        <v>12.1</v>
      </c>
      <c r="E37" s="876" t="s">
        <v>2346</v>
      </c>
      <c r="F37" s="545">
        <f>D37*A37</f>
        <v>12.1</v>
      </c>
      <c r="G37" s="889"/>
      <c r="H37" s="545"/>
      <c r="I37" s="876"/>
      <c r="J37" s="876" t="s">
        <v>3030</v>
      </c>
      <c r="K37" s="545" t="s">
        <v>30</v>
      </c>
      <c r="L37" s="876"/>
      <c r="M37" s="882" t="s">
        <v>30</v>
      </c>
      <c r="O37" s="545">
        <v>1</v>
      </c>
      <c r="P37" s="876" t="str">
        <f t="shared" si="4"/>
        <v>L.S</v>
      </c>
      <c r="Q37" s="876" t="str">
        <f t="shared" si="4"/>
        <v>COST OF JOINTING  MATERIALS</v>
      </c>
      <c r="R37" s="545">
        <v>12.1</v>
      </c>
      <c r="S37" s="876" t="str">
        <f>S19</f>
        <v>L.S</v>
      </c>
      <c r="T37" s="545">
        <f>R37*O37</f>
        <v>12.1</v>
      </c>
      <c r="V37" s="878"/>
      <c r="W37" s="879"/>
      <c r="X37" s="879"/>
      <c r="Y37" s="880"/>
      <c r="Z37" s="878"/>
      <c r="AA37" s="878"/>
      <c r="AB37" s="545"/>
      <c r="AC37" s="880"/>
      <c r="AD37" s="874"/>
      <c r="AE37" s="876"/>
      <c r="AF37" s="876"/>
      <c r="AG37" s="545"/>
      <c r="AH37" s="545"/>
      <c r="AI37" s="545"/>
    </row>
    <row r="38" spans="1:39" ht="24" customHeight="1">
      <c r="A38" s="545">
        <v>1</v>
      </c>
      <c r="B38" s="876" t="s">
        <v>2346</v>
      </c>
      <c r="C38" s="876" t="s">
        <v>2347</v>
      </c>
      <c r="D38" s="545" t="e">
        <v>#REF!</v>
      </c>
      <c r="E38" s="876" t="s">
        <v>2346</v>
      </c>
      <c r="F38" s="545" t="e">
        <f>D38*A38</f>
        <v>#REF!</v>
      </c>
      <c r="G38" s="889"/>
      <c r="H38" s="545"/>
      <c r="I38" s="876" t="s">
        <v>2346</v>
      </c>
      <c r="J38" s="876" t="s">
        <v>2347</v>
      </c>
      <c r="K38" s="545"/>
      <c r="L38" s="876" t="s">
        <v>2346</v>
      </c>
      <c r="M38" s="882">
        <v>0</v>
      </c>
      <c r="O38" s="545"/>
      <c r="P38" s="876" t="str">
        <f>P20</f>
        <v>L.S</v>
      </c>
      <c r="Q38" s="876" t="str">
        <f>Q20</f>
        <v>SUNDRIES</v>
      </c>
      <c r="R38" s="545">
        <f>R20</f>
        <v>0</v>
      </c>
      <c r="S38" s="876" t="str">
        <f>S20</f>
        <v>L.S</v>
      </c>
      <c r="T38" s="545">
        <f>R38*O38</f>
        <v>0</v>
      </c>
      <c r="W38" s="1624"/>
      <c r="X38" s="1624"/>
      <c r="Y38" s="1624"/>
      <c r="Z38" s="1624"/>
      <c r="AB38" s="545"/>
      <c r="AC38" s="880"/>
      <c r="AD38" s="874"/>
      <c r="AE38" s="876"/>
      <c r="AF38" s="876"/>
      <c r="AG38" s="545"/>
      <c r="AH38" s="545"/>
      <c r="AI38" s="545"/>
    </row>
    <row r="39" spans="1:39" ht="24" customHeight="1">
      <c r="A39" s="545"/>
      <c r="B39" s="876"/>
      <c r="C39" s="876"/>
      <c r="D39" s="545"/>
      <c r="E39" s="876"/>
      <c r="F39" s="545"/>
      <c r="G39" s="889"/>
      <c r="H39" s="545"/>
      <c r="J39" s="876"/>
      <c r="M39" s="882"/>
      <c r="O39" s="545"/>
      <c r="P39" s="876"/>
      <c r="Q39" s="876"/>
      <c r="R39" s="545"/>
      <c r="S39" s="876"/>
      <c r="T39" s="545"/>
      <c r="V39" s="876"/>
      <c r="Y39" s="898"/>
      <c r="AB39" s="545"/>
      <c r="AC39" s="880"/>
      <c r="AD39" s="874"/>
      <c r="AE39" s="876"/>
      <c r="AF39" s="876"/>
      <c r="AG39" s="545"/>
      <c r="AI39" s="545"/>
    </row>
    <row r="40" spans="1:39" ht="24" customHeight="1">
      <c r="A40" s="545"/>
      <c r="B40" s="876"/>
      <c r="C40" s="876" t="s">
        <v>2989</v>
      </c>
      <c r="D40" s="545"/>
      <c r="E40" s="876"/>
      <c r="F40" s="545" t="e">
        <f>SUM(F28:F39)</f>
        <v>#REF!</v>
      </c>
      <c r="G40" s="889"/>
      <c r="H40" s="545"/>
      <c r="J40" s="876" t="s">
        <v>3031</v>
      </c>
      <c r="M40" s="882">
        <f>SUM(M28:M39)</f>
        <v>3534</v>
      </c>
      <c r="O40" s="545"/>
      <c r="P40" s="876"/>
      <c r="Q40" s="876" t="str">
        <f>Q22</f>
        <v>TOTAL FOR 30M</v>
      </c>
      <c r="R40" s="545"/>
      <c r="S40" s="876"/>
      <c r="T40" s="545">
        <f>SUM(T28:T39)</f>
        <v>1716.7539999999997</v>
      </c>
      <c r="Y40" s="876"/>
      <c r="Z40" s="876"/>
      <c r="AA40" s="876"/>
      <c r="AB40" s="881"/>
      <c r="AC40" s="881"/>
      <c r="AD40" s="881"/>
      <c r="AE40" s="881"/>
      <c r="AF40" s="881"/>
      <c r="AG40" s="545"/>
      <c r="AH40" s="881"/>
      <c r="AI40" s="876"/>
    </row>
    <row r="41" spans="1:39" ht="24" customHeight="1">
      <c r="A41" s="545"/>
      <c r="B41" s="876"/>
      <c r="C41" s="876"/>
      <c r="D41" s="545"/>
      <c r="E41" s="876"/>
      <c r="F41" s="545"/>
      <c r="G41" s="889"/>
      <c r="H41" s="545"/>
      <c r="J41" s="876"/>
      <c r="M41" s="882" t="s">
        <v>442</v>
      </c>
      <c r="O41" s="545"/>
      <c r="P41" s="876"/>
      <c r="Q41" s="876"/>
      <c r="R41" s="545"/>
      <c r="S41" s="876"/>
      <c r="T41" s="545"/>
      <c r="V41" s="881"/>
      <c r="W41" s="876"/>
      <c r="X41" s="875"/>
      <c r="Y41" s="881"/>
      <c r="Z41" s="881"/>
      <c r="AA41" s="881"/>
      <c r="AB41" s="545"/>
      <c r="AC41" s="880"/>
      <c r="AD41" s="874"/>
      <c r="AE41" s="876"/>
      <c r="AG41" s="545"/>
      <c r="AI41" s="876"/>
    </row>
    <row r="42" spans="1:39" ht="24" customHeight="1">
      <c r="A42" s="545"/>
      <c r="B42" s="876"/>
      <c r="C42" s="875" t="s">
        <v>2990</v>
      </c>
      <c r="D42" s="892"/>
      <c r="E42" s="875"/>
      <c r="F42" s="892" t="e">
        <f>F40/30</f>
        <v>#REF!</v>
      </c>
      <c r="G42" s="889"/>
      <c r="H42" s="545"/>
      <c r="I42" s="876"/>
      <c r="J42" s="875" t="s">
        <v>2990</v>
      </c>
      <c r="K42" s="885"/>
      <c r="L42" s="895"/>
      <c r="M42" s="899">
        <f>M40/30</f>
        <v>117.8</v>
      </c>
      <c r="O42" s="545"/>
      <c r="P42" s="876"/>
      <c r="Q42" s="875" t="str">
        <f>Q24</f>
        <v>RATE PER RMT</v>
      </c>
      <c r="R42" s="545"/>
      <c r="S42" s="875"/>
      <c r="T42" s="892">
        <f>T40/30</f>
        <v>57.225133333333325</v>
      </c>
      <c r="V42" s="881"/>
      <c r="W42" s="876"/>
      <c r="X42" s="875"/>
      <c r="Y42" s="881"/>
      <c r="Z42" s="881"/>
      <c r="AA42" s="881"/>
      <c r="AB42" s="545"/>
      <c r="AC42" s="880"/>
      <c r="AD42" s="874"/>
      <c r="AE42" s="876"/>
      <c r="AG42" s="545"/>
      <c r="AI42" s="876"/>
    </row>
    <row r="43" spans="1:39" ht="24" customHeight="1">
      <c r="A43" s="545"/>
      <c r="B43" s="876"/>
      <c r="C43" s="876"/>
      <c r="D43" s="545"/>
      <c r="E43" s="876"/>
      <c r="F43" s="545"/>
      <c r="G43" s="889"/>
      <c r="H43" s="545"/>
      <c r="J43" s="881"/>
      <c r="M43" s="554" t="s">
        <v>442</v>
      </c>
      <c r="V43" s="880"/>
      <c r="W43" s="880"/>
      <c r="X43" s="880"/>
      <c r="Y43" s="880"/>
      <c r="Z43" s="880"/>
      <c r="AA43" s="880"/>
      <c r="AB43" s="545"/>
      <c r="AC43" s="880"/>
      <c r="AD43" s="874"/>
      <c r="AE43" s="876"/>
      <c r="AG43" s="545"/>
      <c r="AI43" s="876"/>
    </row>
    <row r="44" spans="1:39" ht="24" customHeight="1">
      <c r="A44" s="545"/>
      <c r="B44" s="875" t="s">
        <v>3002</v>
      </c>
      <c r="C44" s="894" t="s">
        <v>3003</v>
      </c>
      <c r="D44" s="545"/>
      <c r="E44" s="876"/>
      <c r="F44" s="545"/>
      <c r="G44" s="889"/>
      <c r="H44" s="892"/>
      <c r="I44" s="875" t="s">
        <v>3002</v>
      </c>
      <c r="J44" s="894" t="s">
        <v>3050</v>
      </c>
      <c r="K44" s="545"/>
      <c r="L44" s="876"/>
      <c r="M44" s="882"/>
      <c r="Q44" s="894" t="s">
        <v>5389</v>
      </c>
      <c r="X44" s="885" t="s">
        <v>3013</v>
      </c>
      <c r="Z44" s="880"/>
      <c r="AA44" s="872" t="s">
        <v>5390</v>
      </c>
      <c r="AB44" s="545"/>
      <c r="AC44" s="880"/>
      <c r="AD44" s="874"/>
      <c r="AE44" s="876"/>
      <c r="AG44" s="545"/>
      <c r="AI44" s="876"/>
    </row>
    <row r="45" spans="1:39" ht="24" customHeight="1">
      <c r="A45" s="545"/>
      <c r="B45" s="876"/>
      <c r="C45" s="876"/>
      <c r="D45" s="545"/>
      <c r="E45" s="876"/>
      <c r="F45" s="545"/>
      <c r="G45" s="889"/>
      <c r="H45" s="545"/>
      <c r="I45" s="876"/>
      <c r="J45" s="876"/>
      <c r="K45" s="545"/>
      <c r="L45" s="876"/>
      <c r="M45" s="882"/>
      <c r="Q45" s="881"/>
      <c r="V45" s="881"/>
      <c r="W45" s="881"/>
      <c r="X45" s="884"/>
      <c r="Y45" s="884"/>
      <c r="Z45" s="884"/>
      <c r="AA45" s="884"/>
      <c r="AG45" s="545"/>
      <c r="AI45" s="876"/>
    </row>
    <row r="46" spans="1:39" ht="24" customHeight="1">
      <c r="A46" s="545">
        <v>8.1</v>
      </c>
      <c r="B46" s="876" t="s">
        <v>2334</v>
      </c>
      <c r="C46" s="876" t="s">
        <v>2973</v>
      </c>
      <c r="D46" s="545">
        <f>D28</f>
        <v>139.91999999999999</v>
      </c>
      <c r="E46" s="876" t="s">
        <v>2334</v>
      </c>
      <c r="F46" s="545">
        <f>D46*A46</f>
        <v>1133.3519999999999</v>
      </c>
      <c r="G46" s="889"/>
      <c r="H46" s="501">
        <v>30</v>
      </c>
      <c r="I46" s="874" t="s">
        <v>2205</v>
      </c>
      <c r="J46" s="501" t="s">
        <v>3019</v>
      </c>
      <c r="K46" s="545">
        <f>K28</f>
        <v>10.99</v>
      </c>
      <c r="L46" s="876" t="s">
        <v>2205</v>
      </c>
      <c r="M46" s="882">
        <f>K46*H46</f>
        <v>329.7</v>
      </c>
      <c r="O46" s="545">
        <v>8.1</v>
      </c>
      <c r="P46" s="876" t="str">
        <f>P28</f>
        <v>CUM</v>
      </c>
      <c r="Q46" s="876" t="str">
        <f>Q28</f>
        <v>E.W EXCLUDING REFILLING</v>
      </c>
      <c r="R46" s="545">
        <f>R28</f>
        <v>139.91999999999999</v>
      </c>
      <c r="S46" s="876" t="str">
        <f>S28</f>
        <v>CUM</v>
      </c>
      <c r="T46" s="545">
        <f>R46*O46</f>
        <v>1133.3519999999999</v>
      </c>
      <c r="V46" s="880">
        <v>30</v>
      </c>
      <c r="W46" s="876" t="s">
        <v>2205</v>
      </c>
      <c r="X46" s="876" t="s">
        <v>3019</v>
      </c>
      <c r="Y46" s="876">
        <f>R48</f>
        <v>6.45</v>
      </c>
      <c r="Z46" s="545" t="s">
        <v>2205</v>
      </c>
      <c r="AA46" s="545">
        <f>Y46*V46</f>
        <v>193.5</v>
      </c>
      <c r="AC46" s="876"/>
      <c r="AG46" s="545"/>
      <c r="AI46" s="876"/>
    </row>
    <row r="47" spans="1:39" ht="24" customHeight="1">
      <c r="A47" s="545">
        <v>8.1</v>
      </c>
      <c r="B47" s="876" t="s">
        <v>2334</v>
      </c>
      <c r="C47" s="876" t="s">
        <v>2974</v>
      </c>
      <c r="D47" s="545">
        <f>D29</f>
        <v>24.42</v>
      </c>
      <c r="E47" s="876" t="s">
        <v>2334</v>
      </c>
      <c r="F47" s="545">
        <f>D47*A47</f>
        <v>197.80199999999999</v>
      </c>
      <c r="G47" s="889"/>
      <c r="H47" s="501" t="s">
        <v>30</v>
      </c>
      <c r="J47" s="501" t="s">
        <v>3022</v>
      </c>
      <c r="K47" s="545"/>
      <c r="L47" s="876"/>
      <c r="M47" s="882"/>
      <c r="O47" s="545">
        <v>8.1</v>
      </c>
      <c r="P47" s="876" t="str">
        <f>P28</f>
        <v>CUM</v>
      </c>
      <c r="Q47" s="876" t="str">
        <f t="shared" ref="Q47:S56" si="5">Q29</f>
        <v>REFILLING CHARGE</v>
      </c>
      <c r="R47" s="545">
        <f t="shared" si="5"/>
        <v>24.42</v>
      </c>
      <c r="S47" s="876" t="str">
        <f t="shared" si="5"/>
        <v>CUM</v>
      </c>
      <c r="T47" s="545">
        <f>R47*O47</f>
        <v>197.80199999999999</v>
      </c>
      <c r="V47" s="880" t="s">
        <v>30</v>
      </c>
      <c r="W47" s="876"/>
      <c r="X47" s="876" t="s">
        <v>3022</v>
      </c>
      <c r="Y47" s="876" t="s">
        <v>30</v>
      </c>
      <c r="Z47" s="545"/>
      <c r="AA47" s="545"/>
      <c r="AG47" s="545"/>
      <c r="AI47" s="876"/>
    </row>
    <row r="48" spans="1:39" ht="24" customHeight="1">
      <c r="A48" s="545">
        <v>30</v>
      </c>
      <c r="B48" s="876" t="s">
        <v>2205</v>
      </c>
      <c r="C48" s="876" t="s">
        <v>2975</v>
      </c>
      <c r="D48" s="545">
        <f>D30</f>
        <v>10.99</v>
      </c>
      <c r="E48" s="876" t="s">
        <v>2205</v>
      </c>
      <c r="F48" s="545">
        <f>D48*A48</f>
        <v>329.7</v>
      </c>
      <c r="G48" s="889"/>
      <c r="H48" s="501">
        <v>8</v>
      </c>
      <c r="I48" s="874" t="s">
        <v>2342</v>
      </c>
      <c r="J48" s="501" t="s">
        <v>2982</v>
      </c>
      <c r="K48" s="545">
        <f>D53</f>
        <v>6.5</v>
      </c>
      <c r="L48" s="876" t="s">
        <v>2342</v>
      </c>
      <c r="M48" s="882">
        <f t="shared" ref="M48:M53" si="6">K48*H48</f>
        <v>52</v>
      </c>
      <c r="O48" s="545">
        <v>30</v>
      </c>
      <c r="P48" s="876" t="str">
        <f>P29</f>
        <v>CUM</v>
      </c>
      <c r="Q48" s="876" t="str">
        <f t="shared" si="5"/>
        <v>CONVEYING,LOWERING  ANDLAYING</v>
      </c>
      <c r="R48" s="545">
        <f t="shared" si="5"/>
        <v>6.45</v>
      </c>
      <c r="S48" s="876" t="str">
        <f t="shared" si="5"/>
        <v>RMT</v>
      </c>
      <c r="T48" s="545">
        <f>R48*O48</f>
        <v>193.5</v>
      </c>
      <c r="V48" s="880">
        <v>8</v>
      </c>
      <c r="W48" s="876" t="s">
        <v>2342</v>
      </c>
      <c r="X48" s="876" t="s">
        <v>2982</v>
      </c>
      <c r="Y48" s="876">
        <f>R53</f>
        <v>7.8</v>
      </c>
      <c r="Z48" s="545" t="s">
        <v>2342</v>
      </c>
      <c r="AA48" s="545">
        <f t="shared" ref="AA48:AA53" si="7">Y48*V48</f>
        <v>62.4</v>
      </c>
      <c r="AG48" s="545"/>
      <c r="AI48" s="876"/>
    </row>
    <row r="49" spans="1:47" ht="24" customHeight="1">
      <c r="A49" s="545"/>
      <c r="B49" s="876"/>
      <c r="C49" s="876" t="s">
        <v>2976</v>
      </c>
      <c r="D49" s="545"/>
      <c r="E49" s="876"/>
      <c r="F49" s="545"/>
      <c r="G49" s="889"/>
      <c r="H49" s="545">
        <v>8</v>
      </c>
      <c r="I49" s="874" t="s">
        <v>2342</v>
      </c>
      <c r="J49" s="876" t="s">
        <v>2985</v>
      </c>
      <c r="K49" s="501">
        <f>D54</f>
        <v>16</v>
      </c>
      <c r="L49" s="874" t="s">
        <v>2342</v>
      </c>
      <c r="M49" s="882">
        <f t="shared" si="6"/>
        <v>128</v>
      </c>
      <c r="O49" s="545"/>
      <c r="P49" s="876"/>
      <c r="Q49" s="876" t="str">
        <f t="shared" si="5"/>
        <v>TO PROPER GRADE AND</v>
      </c>
      <c r="R49" s="545"/>
      <c r="S49" s="876"/>
      <c r="T49" s="545"/>
      <c r="V49" s="880">
        <v>8</v>
      </c>
      <c r="W49" s="876" t="s">
        <v>2342</v>
      </c>
      <c r="X49" s="876" t="s">
        <v>2985</v>
      </c>
      <c r="Y49" s="876">
        <f>R54</f>
        <v>21.6</v>
      </c>
      <c r="Z49" s="545" t="s">
        <v>2342</v>
      </c>
      <c r="AA49" s="545">
        <f t="shared" si="7"/>
        <v>172.8</v>
      </c>
      <c r="AG49" s="545"/>
      <c r="AI49" s="876"/>
    </row>
    <row r="50" spans="1:47" ht="24" customHeight="1">
      <c r="A50" s="545"/>
      <c r="B50" s="876"/>
      <c r="C50" s="876" t="s">
        <v>2977</v>
      </c>
      <c r="D50" s="545"/>
      <c r="E50" s="876"/>
      <c r="F50" s="545"/>
      <c r="G50" s="889"/>
      <c r="H50" s="545">
        <v>3</v>
      </c>
      <c r="I50" s="874" t="s">
        <v>2342</v>
      </c>
      <c r="J50" s="876" t="s">
        <v>3026</v>
      </c>
      <c r="K50" s="501">
        <f>K32</f>
        <v>443.3</v>
      </c>
      <c r="L50" s="874" t="s">
        <v>2342</v>
      </c>
      <c r="M50" s="882">
        <f t="shared" si="6"/>
        <v>1329.9</v>
      </c>
      <c r="O50" s="545"/>
      <c r="P50" s="876"/>
      <c r="Q50" s="876" t="str">
        <f t="shared" si="5"/>
        <v>ALIGNMENT,JOINTING</v>
      </c>
      <c r="R50" s="545"/>
      <c r="S50" s="876"/>
      <c r="T50" s="545"/>
      <c r="V50" s="880">
        <v>3</v>
      </c>
      <c r="W50" s="876" t="s">
        <v>2342</v>
      </c>
      <c r="X50" s="876" t="s">
        <v>3026</v>
      </c>
      <c r="Y50" s="876">
        <f>K50</f>
        <v>443.3</v>
      </c>
      <c r="Z50" s="545" t="s">
        <v>2342</v>
      </c>
      <c r="AA50" s="545">
        <f t="shared" si="7"/>
        <v>1329.9</v>
      </c>
      <c r="AG50" s="545"/>
      <c r="AI50" s="876"/>
    </row>
    <row r="51" spans="1:47" ht="24" customHeight="1">
      <c r="A51" s="545"/>
      <c r="B51" s="876"/>
      <c r="C51" s="876" t="s">
        <v>2978</v>
      </c>
      <c r="D51" s="545"/>
      <c r="E51" s="876"/>
      <c r="F51" s="545"/>
      <c r="G51" s="889"/>
      <c r="H51" s="545">
        <v>1</v>
      </c>
      <c r="I51" s="874" t="s">
        <v>2342</v>
      </c>
      <c r="J51" s="876" t="s">
        <v>3027</v>
      </c>
      <c r="K51" s="501">
        <f>K33</f>
        <v>623.70000000000005</v>
      </c>
      <c r="L51" s="874" t="s">
        <v>2342</v>
      </c>
      <c r="M51" s="882">
        <f t="shared" si="6"/>
        <v>623.70000000000005</v>
      </c>
      <c r="O51" s="545"/>
      <c r="P51" s="876"/>
      <c r="Q51" s="876" t="str">
        <f t="shared" si="5"/>
        <v>ETC BUT EXCLUDING  COST OF</v>
      </c>
      <c r="R51" s="545"/>
      <c r="S51" s="876"/>
      <c r="T51" s="545"/>
      <c r="V51" s="880">
        <v>1</v>
      </c>
      <c r="W51" s="876" t="s">
        <v>2342</v>
      </c>
      <c r="X51" s="876" t="s">
        <v>4139</v>
      </c>
      <c r="Y51" s="876">
        <f>K51</f>
        <v>623.70000000000005</v>
      </c>
      <c r="Z51" s="545" t="s">
        <v>2342</v>
      </c>
      <c r="AA51" s="545">
        <f t="shared" si="7"/>
        <v>623.70000000000005</v>
      </c>
      <c r="AG51" s="545"/>
      <c r="AI51" s="876"/>
    </row>
    <row r="52" spans="1:47" ht="24" customHeight="1">
      <c r="A52" s="545"/>
      <c r="B52" s="876"/>
      <c r="C52" s="876" t="s">
        <v>2979</v>
      </c>
      <c r="D52" s="545"/>
      <c r="E52" s="876"/>
      <c r="F52" s="545"/>
      <c r="G52" s="889"/>
      <c r="H52" s="545">
        <v>2</v>
      </c>
      <c r="I52" s="874" t="s">
        <v>2342</v>
      </c>
      <c r="J52" s="876" t="s">
        <v>2344</v>
      </c>
      <c r="K52" s="501">
        <f>K34</f>
        <v>390.5</v>
      </c>
      <c r="L52" s="874" t="s">
        <v>2342</v>
      </c>
      <c r="M52" s="882">
        <f t="shared" si="6"/>
        <v>781</v>
      </c>
      <c r="O52" s="545"/>
      <c r="P52" s="876"/>
      <c r="Q52" s="876" t="str">
        <f t="shared" si="5"/>
        <v>JOINTING MATERIALS.</v>
      </c>
      <c r="R52" s="545"/>
      <c r="S52" s="876"/>
      <c r="T52" s="545"/>
      <c r="V52" s="880">
        <v>2</v>
      </c>
      <c r="W52" s="876" t="s">
        <v>2342</v>
      </c>
      <c r="X52" s="876" t="s">
        <v>2344</v>
      </c>
      <c r="Y52" s="876">
        <f>K52</f>
        <v>390.5</v>
      </c>
      <c r="Z52" s="545" t="s">
        <v>2342</v>
      </c>
      <c r="AA52" s="545">
        <f t="shared" si="7"/>
        <v>781</v>
      </c>
      <c r="AG52" s="545"/>
    </row>
    <row r="53" spans="1:47" ht="24" customHeight="1">
      <c r="A53" s="545">
        <v>8</v>
      </c>
      <c r="B53" s="876" t="s">
        <v>2359</v>
      </c>
      <c r="C53" s="876" t="s">
        <v>2982</v>
      </c>
      <c r="D53" s="545">
        <v>6.5</v>
      </c>
      <c r="E53" s="876" t="s">
        <v>2359</v>
      </c>
      <c r="F53" s="545">
        <f>D53*A53</f>
        <v>52</v>
      </c>
      <c r="G53" s="889"/>
      <c r="H53" s="545">
        <v>1</v>
      </c>
      <c r="I53" s="874" t="s">
        <v>2342</v>
      </c>
      <c r="J53" s="876" t="s">
        <v>2345</v>
      </c>
      <c r="K53" s="501">
        <f>K35</f>
        <v>352</v>
      </c>
      <c r="L53" s="874" t="s">
        <v>2342</v>
      </c>
      <c r="M53" s="882">
        <f t="shared" si="6"/>
        <v>352</v>
      </c>
      <c r="O53" s="545">
        <v>8</v>
      </c>
      <c r="P53" s="876" t="str">
        <f>P35</f>
        <v>NO</v>
      </c>
      <c r="Q53" s="876" t="str">
        <f t="shared" si="5"/>
        <v>CUTTING CHARGES</v>
      </c>
      <c r="R53" s="545">
        <v>7.8</v>
      </c>
      <c r="S53" s="876" t="str">
        <f>S35</f>
        <v>NO</v>
      </c>
      <c r="T53" s="545">
        <f>R53*O53</f>
        <v>62.4</v>
      </c>
      <c r="V53" s="880">
        <v>1</v>
      </c>
      <c r="W53" s="876" t="s">
        <v>2342</v>
      </c>
      <c r="X53" s="876" t="s">
        <v>2345</v>
      </c>
      <c r="Y53" s="876">
        <f>K53</f>
        <v>352</v>
      </c>
      <c r="Z53" s="545" t="s">
        <v>2342</v>
      </c>
      <c r="AA53" s="545">
        <f t="shared" si="7"/>
        <v>352</v>
      </c>
      <c r="AG53" s="545"/>
      <c r="AI53" s="876"/>
      <c r="AP53" s="900"/>
      <c r="AQ53" s="901"/>
      <c r="AR53" s="876"/>
      <c r="AT53" s="874"/>
    </row>
    <row r="54" spans="1:47" ht="24" customHeight="1">
      <c r="A54" s="545">
        <v>8</v>
      </c>
      <c r="B54" s="876" t="s">
        <v>2359</v>
      </c>
      <c r="C54" s="876" t="s">
        <v>2985</v>
      </c>
      <c r="D54" s="545">
        <v>16</v>
      </c>
      <c r="E54" s="876" t="s">
        <v>2359</v>
      </c>
      <c r="F54" s="545">
        <f>D54*A54</f>
        <v>128</v>
      </c>
      <c r="G54" s="889"/>
      <c r="H54" s="545"/>
      <c r="I54" s="874" t="s">
        <v>2346</v>
      </c>
      <c r="J54" s="876" t="s">
        <v>3028</v>
      </c>
      <c r="K54" s="501" t="s">
        <v>30</v>
      </c>
      <c r="L54" s="874" t="s">
        <v>2346</v>
      </c>
      <c r="M54" s="882">
        <v>12.1</v>
      </c>
      <c r="O54" s="545">
        <v>8</v>
      </c>
      <c r="P54" s="876" t="str">
        <f>P36</f>
        <v>NO</v>
      </c>
      <c r="Q54" s="876" t="str">
        <f t="shared" si="5"/>
        <v>THREADING CHARGES</v>
      </c>
      <c r="R54" s="545">
        <v>21.6</v>
      </c>
      <c r="S54" s="876" t="str">
        <f>S36</f>
        <v>NO</v>
      </c>
      <c r="T54" s="545">
        <f>R54*O54</f>
        <v>172.8</v>
      </c>
      <c r="V54" s="880"/>
      <c r="W54" s="876" t="s">
        <v>2346</v>
      </c>
      <c r="X54" s="876" t="s">
        <v>4140</v>
      </c>
      <c r="Y54" s="876" t="s">
        <v>30</v>
      </c>
      <c r="Z54" s="545" t="s">
        <v>2346</v>
      </c>
      <c r="AA54" s="545">
        <v>5</v>
      </c>
      <c r="AG54" s="545"/>
      <c r="AI54" s="876"/>
      <c r="AQ54" s="902"/>
      <c r="AR54" s="876"/>
      <c r="AT54" s="874"/>
    </row>
    <row r="55" spans="1:47" ht="24" customHeight="1">
      <c r="A55" s="545">
        <v>1</v>
      </c>
      <c r="B55" s="876" t="s">
        <v>2346</v>
      </c>
      <c r="C55" s="876" t="s">
        <v>2987</v>
      </c>
      <c r="D55" s="545">
        <v>12.1</v>
      </c>
      <c r="E55" s="876" t="s">
        <v>2346</v>
      </c>
      <c r="F55" s="545">
        <f>D55*A55</f>
        <v>12.1</v>
      </c>
      <c r="G55" s="889"/>
      <c r="H55" s="545"/>
      <c r="J55" s="876" t="s">
        <v>3030</v>
      </c>
      <c r="K55" s="501" t="s">
        <v>30</v>
      </c>
      <c r="M55" s="882"/>
      <c r="O55" s="545">
        <v>1</v>
      </c>
      <c r="P55" s="876" t="str">
        <f>P37</f>
        <v>L.S</v>
      </c>
      <c r="Q55" s="876" t="str">
        <f t="shared" si="5"/>
        <v>COST OF JOINTING  MATERIALS</v>
      </c>
      <c r="R55" s="545">
        <f>R37</f>
        <v>12.1</v>
      </c>
      <c r="S55" s="876" t="str">
        <f>S37</f>
        <v>L.S</v>
      </c>
      <c r="T55" s="545">
        <f>R55*O55</f>
        <v>12.1</v>
      </c>
      <c r="V55" s="880"/>
      <c r="W55" s="876"/>
      <c r="X55" s="876" t="s">
        <v>4141</v>
      </c>
      <c r="Y55" s="876" t="s">
        <v>30</v>
      </c>
      <c r="Z55" s="545"/>
      <c r="AA55" s="545" t="s">
        <v>30</v>
      </c>
      <c r="AG55" s="545"/>
      <c r="AI55" s="876"/>
      <c r="AQ55" s="902"/>
      <c r="AR55" s="881"/>
      <c r="AT55" s="874"/>
    </row>
    <row r="56" spans="1:47" ht="24" customHeight="1">
      <c r="A56" s="545">
        <v>1</v>
      </c>
      <c r="B56" s="876" t="s">
        <v>2346</v>
      </c>
      <c r="C56" s="876" t="s">
        <v>2347</v>
      </c>
      <c r="D56" s="545" t="e">
        <v>#REF!</v>
      </c>
      <c r="E56" s="876" t="s">
        <v>2346</v>
      </c>
      <c r="F56" s="545" t="e">
        <f>D56*A56</f>
        <v>#REF!</v>
      </c>
      <c r="G56" s="889"/>
      <c r="H56" s="545"/>
      <c r="I56" s="874" t="s">
        <v>2346</v>
      </c>
      <c r="J56" s="876" t="s">
        <v>2347</v>
      </c>
      <c r="L56" s="874" t="s">
        <v>2346</v>
      </c>
      <c r="M56" s="882">
        <f>K56*H56</f>
        <v>0</v>
      </c>
      <c r="O56" s="545"/>
      <c r="P56" s="876" t="str">
        <f>P38</f>
        <v>L.S</v>
      </c>
      <c r="Q56" s="876" t="str">
        <f t="shared" si="5"/>
        <v>SUNDRIES</v>
      </c>
      <c r="R56" s="545"/>
      <c r="S56" s="876" t="str">
        <f>S38</f>
        <v>L.S</v>
      </c>
      <c r="T56" s="545">
        <f>R56*O56</f>
        <v>0</v>
      </c>
      <c r="V56" s="880"/>
      <c r="W56" s="876" t="s">
        <v>2346</v>
      </c>
      <c r="X56" s="876" t="s">
        <v>2347</v>
      </c>
      <c r="Y56" s="545"/>
      <c r="Z56" s="545" t="s">
        <v>2346</v>
      </c>
      <c r="AA56" s="545">
        <v>0</v>
      </c>
      <c r="AD56" s="903"/>
      <c r="AG56" s="545"/>
      <c r="AI56" s="876"/>
      <c r="AP56" s="545"/>
      <c r="AQ56" s="901"/>
      <c r="AR56" s="545"/>
      <c r="AS56" s="545"/>
      <c r="AT56" s="876"/>
      <c r="AU56" s="545"/>
    </row>
    <row r="57" spans="1:47" ht="24" customHeight="1">
      <c r="A57" s="545"/>
      <c r="B57" s="876"/>
      <c r="C57" s="876"/>
      <c r="D57" s="545"/>
      <c r="E57" s="876"/>
      <c r="F57" s="545"/>
      <c r="G57" s="889"/>
      <c r="H57" s="545"/>
      <c r="J57" s="876"/>
      <c r="M57" s="882"/>
      <c r="O57" s="545"/>
      <c r="P57" s="876"/>
      <c r="Q57" s="876"/>
      <c r="R57" s="545"/>
      <c r="S57" s="876"/>
      <c r="T57" s="545"/>
      <c r="V57" s="880"/>
      <c r="W57" s="876"/>
      <c r="X57" s="876"/>
      <c r="Y57" s="545"/>
      <c r="Z57" s="545"/>
      <c r="AA57" s="545"/>
      <c r="AG57" s="545"/>
      <c r="AI57" s="876"/>
      <c r="AP57" s="904"/>
      <c r="AQ57" s="901"/>
      <c r="AR57" s="876"/>
      <c r="AS57" s="545"/>
      <c r="AT57" s="876"/>
      <c r="AU57" s="545"/>
    </row>
    <row r="58" spans="1:47" ht="24" customHeight="1">
      <c r="A58" s="545"/>
      <c r="B58" s="876"/>
      <c r="C58" s="876" t="s">
        <v>2989</v>
      </c>
      <c r="D58" s="545"/>
      <c r="E58" s="876"/>
      <c r="F58" s="545" t="e">
        <f>SUM(F46:F57)</f>
        <v>#REF!</v>
      </c>
      <c r="G58" s="889"/>
      <c r="H58" s="545"/>
      <c r="J58" s="876" t="s">
        <v>3031</v>
      </c>
      <c r="M58" s="882">
        <f>SUM(M46:M57)</f>
        <v>3608.4</v>
      </c>
      <c r="O58" s="545"/>
      <c r="P58" s="876"/>
      <c r="Q58" s="876" t="str">
        <f>Q40</f>
        <v>TOTAL FOR 30M</v>
      </c>
      <c r="R58" s="545"/>
      <c r="S58" s="876"/>
      <c r="T58" s="545">
        <f>SUM(T46:T57)</f>
        <v>1771.9539999999997</v>
      </c>
      <c r="V58" s="880"/>
      <c r="W58" s="876"/>
      <c r="X58" s="876" t="s">
        <v>3031</v>
      </c>
      <c r="Y58" s="876"/>
      <c r="Z58" s="545"/>
      <c r="AA58" s="545">
        <f>SUM(AA46:AA57)</f>
        <v>3520.3</v>
      </c>
      <c r="AG58" s="545"/>
      <c r="AI58" s="876"/>
      <c r="AP58" s="545"/>
      <c r="AQ58" s="901"/>
      <c r="AR58" s="876"/>
      <c r="AS58" s="545"/>
      <c r="AT58" s="876"/>
      <c r="AU58" s="545"/>
    </row>
    <row r="59" spans="1:47" ht="24" customHeight="1">
      <c r="A59" s="545"/>
      <c r="B59" s="876"/>
      <c r="C59" s="876"/>
      <c r="D59" s="545"/>
      <c r="E59" s="876"/>
      <c r="F59" s="545"/>
      <c r="G59" s="889"/>
      <c r="H59" s="545"/>
      <c r="J59" s="876"/>
      <c r="M59" s="882"/>
      <c r="O59" s="545"/>
      <c r="P59" s="876"/>
      <c r="Q59" s="876"/>
      <c r="R59" s="545"/>
      <c r="S59" s="876"/>
      <c r="T59" s="545"/>
      <c r="V59" s="880"/>
      <c r="W59" s="876"/>
      <c r="X59" s="876"/>
      <c r="Y59" s="891"/>
      <c r="Z59" s="545"/>
      <c r="AA59" s="545"/>
      <c r="AG59" s="545"/>
      <c r="AI59" s="876"/>
      <c r="AP59" s="545"/>
      <c r="AQ59" s="901"/>
      <c r="AR59" s="876"/>
      <c r="AS59" s="545"/>
      <c r="AT59" s="876"/>
      <c r="AU59" s="545"/>
    </row>
    <row r="60" spans="1:47" ht="24" customHeight="1">
      <c r="A60" s="545"/>
      <c r="B60" s="876"/>
      <c r="C60" s="875" t="s">
        <v>2990</v>
      </c>
      <c r="D60" s="892"/>
      <c r="E60" s="875"/>
      <c r="F60" s="892" t="e">
        <f>F58/30</f>
        <v>#REF!</v>
      </c>
      <c r="G60" s="889"/>
      <c r="H60" s="545"/>
      <c r="J60" s="875" t="s">
        <v>2990</v>
      </c>
      <c r="K60" s="885"/>
      <c r="L60" s="895"/>
      <c r="M60" s="883">
        <f>M58/30</f>
        <v>120.28</v>
      </c>
      <c r="O60" s="545"/>
      <c r="P60" s="876"/>
      <c r="Q60" s="875" t="str">
        <f>Q42</f>
        <v>RATE PER RMT</v>
      </c>
      <c r="R60" s="545"/>
      <c r="S60" s="876"/>
      <c r="T60" s="892">
        <f>T58/30</f>
        <v>59.065133333333321</v>
      </c>
      <c r="V60" s="880"/>
      <c r="W60" s="876"/>
      <c r="X60" s="875" t="s">
        <v>2990</v>
      </c>
      <c r="Y60" s="893"/>
      <c r="Z60" s="892"/>
      <c r="AA60" s="892">
        <f>AA58/30</f>
        <v>117.34333333333333</v>
      </c>
      <c r="AG60" s="545"/>
      <c r="AI60" s="876"/>
      <c r="AP60" s="545"/>
      <c r="AQ60" s="901"/>
      <c r="AR60" s="876"/>
      <c r="AS60" s="545"/>
      <c r="AT60" s="876"/>
      <c r="AU60" s="545"/>
    </row>
    <row r="61" spans="1:47" ht="24" customHeight="1">
      <c r="A61" s="545"/>
      <c r="B61" s="876"/>
      <c r="C61" s="876"/>
      <c r="D61" s="545"/>
      <c r="E61" s="876"/>
      <c r="F61" s="545"/>
      <c r="G61" s="889"/>
      <c r="H61" s="545"/>
      <c r="J61" s="876"/>
      <c r="M61" s="882"/>
      <c r="O61" s="545"/>
      <c r="P61" s="876"/>
      <c r="Q61" s="876"/>
      <c r="R61" s="545"/>
      <c r="S61" s="876"/>
      <c r="T61" s="545"/>
      <c r="V61" s="880"/>
      <c r="W61" s="876"/>
      <c r="X61" s="876"/>
      <c r="Y61" s="876"/>
      <c r="AA61" s="545" t="s">
        <v>442</v>
      </c>
      <c r="AG61" s="545"/>
      <c r="AI61" s="876"/>
      <c r="AP61" s="545"/>
      <c r="AQ61" s="901"/>
      <c r="AR61" s="876"/>
      <c r="AS61" s="545"/>
      <c r="AT61" s="876"/>
      <c r="AU61" s="545"/>
    </row>
    <row r="62" spans="1:47" ht="24" customHeight="1">
      <c r="A62" s="545"/>
      <c r="B62" s="875" t="str">
        <f>I62</f>
        <v>D</v>
      </c>
      <c r="C62" s="894" t="s">
        <v>5391</v>
      </c>
      <c r="D62" s="545"/>
      <c r="E62" s="876"/>
      <c r="F62" s="545"/>
      <c r="G62" s="889"/>
      <c r="H62" s="892"/>
      <c r="I62" s="875" t="s">
        <v>25</v>
      </c>
      <c r="J62" s="894" t="s">
        <v>5392</v>
      </c>
      <c r="K62" s="545"/>
      <c r="L62" s="876"/>
      <c r="M62" s="882"/>
      <c r="Q62" s="894" t="s">
        <v>5393</v>
      </c>
      <c r="X62" s="885" t="s">
        <v>3013</v>
      </c>
      <c r="Z62" s="880"/>
      <c r="AA62" s="872" t="s">
        <v>5394</v>
      </c>
      <c r="AG62" s="545"/>
      <c r="AI62" s="876"/>
      <c r="AQ62" s="901"/>
      <c r="AR62" s="876"/>
      <c r="AT62" s="876"/>
      <c r="AU62" s="545"/>
    </row>
    <row r="63" spans="1:47" ht="24" customHeight="1">
      <c r="A63" s="545"/>
      <c r="B63" s="876"/>
      <c r="C63" s="876"/>
      <c r="D63" s="545"/>
      <c r="E63" s="876"/>
      <c r="F63" s="545"/>
      <c r="G63" s="889"/>
      <c r="H63" s="545"/>
      <c r="I63" s="876"/>
      <c r="J63" s="876"/>
      <c r="K63" s="545"/>
      <c r="L63" s="876"/>
      <c r="M63" s="882"/>
      <c r="Q63" s="881"/>
      <c r="V63" s="881"/>
      <c r="W63" s="881"/>
      <c r="X63" s="884"/>
      <c r="Y63" s="884"/>
      <c r="Z63" s="884"/>
      <c r="AA63" s="884"/>
      <c r="AG63" s="545"/>
      <c r="AI63" s="876"/>
      <c r="AQ63" s="902"/>
      <c r="AT63" s="874"/>
      <c r="AU63" s="881"/>
    </row>
    <row r="64" spans="1:47" ht="24" customHeight="1">
      <c r="A64" s="545">
        <v>8.1</v>
      </c>
      <c r="B64" s="876" t="s">
        <v>2334</v>
      </c>
      <c r="C64" s="876" t="s">
        <v>2973</v>
      </c>
      <c r="D64" s="545">
        <f>D9</f>
        <v>139.91999999999999</v>
      </c>
      <c r="E64" s="876" t="s">
        <v>2334</v>
      </c>
      <c r="F64" s="545">
        <f>D64*A64</f>
        <v>1133.3519999999999</v>
      </c>
      <c r="G64" s="889"/>
      <c r="H64" s="501">
        <v>30</v>
      </c>
      <c r="I64" s="501" t="str">
        <f>I46</f>
        <v>RMT</v>
      </c>
      <c r="J64" s="501" t="str">
        <f>J46</f>
        <v>LAYING JOINTING INCLUDING</v>
      </c>
      <c r="K64" s="501">
        <f>D66</f>
        <v>10.99</v>
      </c>
      <c r="L64" s="501" t="str">
        <f>L46</f>
        <v>RMT</v>
      </c>
      <c r="M64" s="882">
        <f>K64*H64</f>
        <v>329.7</v>
      </c>
      <c r="O64" s="545">
        <v>8.1</v>
      </c>
      <c r="P64" s="876" t="str">
        <f>P46</f>
        <v>CUM</v>
      </c>
      <c r="Q64" s="876" t="str">
        <f>Q46</f>
        <v>E.W EXCLUDING REFILLING</v>
      </c>
      <c r="R64" s="545">
        <f>R46</f>
        <v>139.91999999999999</v>
      </c>
      <c r="S64" s="876" t="str">
        <f>S46</f>
        <v>CUM</v>
      </c>
      <c r="T64" s="545">
        <f>R64*O64</f>
        <v>1133.3519999999999</v>
      </c>
      <c r="V64" s="880">
        <v>30</v>
      </c>
      <c r="W64" s="876" t="s">
        <v>2205</v>
      </c>
      <c r="X64" s="876" t="s">
        <v>3019</v>
      </c>
      <c r="Y64" s="876">
        <f>R66</f>
        <v>10.92</v>
      </c>
      <c r="Z64" s="545" t="s">
        <v>2205</v>
      </c>
      <c r="AA64" s="545">
        <f>Y64*V64</f>
        <v>327.60000000000002</v>
      </c>
      <c r="AG64" s="545"/>
      <c r="AI64" s="876"/>
      <c r="AQ64" s="902"/>
      <c r="AR64" s="876"/>
      <c r="AT64" s="874"/>
      <c r="AU64" s="545"/>
    </row>
    <row r="65" spans="1:47" ht="24" customHeight="1">
      <c r="A65" s="545">
        <v>8.1</v>
      </c>
      <c r="B65" s="876" t="s">
        <v>2334</v>
      </c>
      <c r="C65" s="876" t="s">
        <v>2974</v>
      </c>
      <c r="D65" s="545">
        <f>D10</f>
        <v>24.42</v>
      </c>
      <c r="E65" s="876" t="s">
        <v>2334</v>
      </c>
      <c r="F65" s="545">
        <f t="shared" ref="F65:F72" si="8">D65*A65</f>
        <v>197.80199999999999</v>
      </c>
      <c r="G65" s="889"/>
      <c r="H65" s="501" t="s">
        <v>30</v>
      </c>
      <c r="I65" s="501"/>
      <c r="J65" s="501" t="str">
        <f t="shared" ref="I65:L74" si="9">J47</f>
        <v>ALIGNING</v>
      </c>
      <c r="L65" s="501"/>
      <c r="M65" s="882">
        <f t="shared" ref="M65:M71" si="10">K65*H65</f>
        <v>0</v>
      </c>
      <c r="O65" s="545">
        <v>8.1</v>
      </c>
      <c r="P65" s="876" t="str">
        <f>P46</f>
        <v>CUM</v>
      </c>
      <c r="Q65" s="876" t="str">
        <f>Q47</f>
        <v>REFILLING CHARGE</v>
      </c>
      <c r="R65" s="545">
        <f>R47</f>
        <v>24.42</v>
      </c>
      <c r="S65" s="876" t="str">
        <f>S47</f>
        <v>CUM</v>
      </c>
      <c r="T65" s="545">
        <f>R65*O65</f>
        <v>197.80199999999999</v>
      </c>
      <c r="V65" s="880" t="s">
        <v>30</v>
      </c>
      <c r="W65" s="876"/>
      <c r="X65" s="876" t="s">
        <v>3022</v>
      </c>
      <c r="Y65" s="876" t="str">
        <f t="shared" ref="Y65:Y71" si="11">Y47</f>
        <v/>
      </c>
      <c r="Z65" s="545"/>
      <c r="AA65" s="545"/>
      <c r="AG65" s="545"/>
      <c r="AI65" s="876"/>
      <c r="AQ65" s="902"/>
      <c r="AT65" s="874"/>
      <c r="AU65" s="881"/>
    </row>
    <row r="66" spans="1:47" ht="24" customHeight="1">
      <c r="A66" s="545">
        <v>30</v>
      </c>
      <c r="B66" s="876" t="s">
        <v>2205</v>
      </c>
      <c r="C66" s="876" t="s">
        <v>2975</v>
      </c>
      <c r="D66" s="545">
        <f>D11</f>
        <v>10.99</v>
      </c>
      <c r="E66" s="876" t="s">
        <v>2205</v>
      </c>
      <c r="F66" s="545">
        <f t="shared" si="8"/>
        <v>329.7</v>
      </c>
      <c r="G66" s="889"/>
      <c r="H66" s="501">
        <v>8</v>
      </c>
      <c r="I66" s="501" t="str">
        <f t="shared" si="9"/>
        <v>NO.</v>
      </c>
      <c r="J66" s="501" t="str">
        <f t="shared" si="9"/>
        <v>CUTTING CHARGES</v>
      </c>
      <c r="K66" s="501">
        <f>D71</f>
        <v>7.8</v>
      </c>
      <c r="L66" s="501" t="str">
        <f t="shared" si="9"/>
        <v>NO.</v>
      </c>
      <c r="M66" s="882">
        <f t="shared" si="10"/>
        <v>62.4</v>
      </c>
      <c r="O66" s="545">
        <v>30</v>
      </c>
      <c r="P66" s="876" t="str">
        <f>P47</f>
        <v>CUM</v>
      </c>
      <c r="Q66" s="876" t="str">
        <f t="shared" ref="Q66:Q74" si="12">Q48</f>
        <v>CONVEYING,LOWERING  ANDLAYING</v>
      </c>
      <c r="R66" s="545">
        <v>10.92</v>
      </c>
      <c r="S66" s="876" t="str">
        <f>S48</f>
        <v>RMT</v>
      </c>
      <c r="T66" s="545">
        <f>R66*O66</f>
        <v>327.60000000000002</v>
      </c>
      <c r="V66" s="880">
        <v>8</v>
      </c>
      <c r="W66" s="876" t="s">
        <v>2342</v>
      </c>
      <c r="X66" s="876" t="s">
        <v>2982</v>
      </c>
      <c r="Y66" s="876">
        <f>R71</f>
        <v>10.5</v>
      </c>
      <c r="Z66" s="545" t="s">
        <v>2342</v>
      </c>
      <c r="AA66" s="545">
        <f t="shared" ref="AA66:AA71" si="13">Y66*V66</f>
        <v>84</v>
      </c>
      <c r="AG66" s="545"/>
      <c r="AI66" s="876"/>
      <c r="AQ66" s="902"/>
      <c r="AR66" s="872"/>
      <c r="AT66" s="874"/>
      <c r="AU66" s="892"/>
    </row>
    <row r="67" spans="1:47" ht="24" customHeight="1">
      <c r="A67" s="545"/>
      <c r="B67" s="876"/>
      <c r="C67" s="876" t="s">
        <v>2976</v>
      </c>
      <c r="D67" s="545"/>
      <c r="E67" s="876"/>
      <c r="F67" s="545"/>
      <c r="G67" s="889"/>
      <c r="H67" s="501">
        <v>8</v>
      </c>
      <c r="I67" s="501" t="str">
        <f t="shared" si="9"/>
        <v>NO.</v>
      </c>
      <c r="J67" s="501" t="str">
        <f t="shared" si="9"/>
        <v>THREADING CHARGES</v>
      </c>
      <c r="K67" s="501">
        <f>D72</f>
        <v>21.6</v>
      </c>
      <c r="L67" s="501" t="str">
        <f t="shared" si="9"/>
        <v>NO.</v>
      </c>
      <c r="M67" s="882">
        <f t="shared" si="10"/>
        <v>172.8</v>
      </c>
      <c r="O67" s="545"/>
      <c r="P67" s="876"/>
      <c r="Q67" s="876" t="str">
        <f t="shared" si="12"/>
        <v>TO PROPER GRADE AND</v>
      </c>
      <c r="R67" s="545"/>
      <c r="S67" s="876"/>
      <c r="T67" s="545"/>
      <c r="V67" s="880">
        <v>8</v>
      </c>
      <c r="W67" s="876" t="s">
        <v>2342</v>
      </c>
      <c r="X67" s="876" t="s">
        <v>2985</v>
      </c>
      <c r="Y67" s="876">
        <f>R72</f>
        <v>24.3</v>
      </c>
      <c r="Z67" s="545" t="s">
        <v>2342</v>
      </c>
      <c r="AA67" s="545">
        <f t="shared" si="13"/>
        <v>194.4</v>
      </c>
      <c r="AG67" s="545"/>
      <c r="AI67" s="876"/>
      <c r="AQ67" s="902"/>
      <c r="AT67" s="874"/>
      <c r="AU67" s="881"/>
    </row>
    <row r="68" spans="1:47" ht="24" customHeight="1">
      <c r="A68" s="545"/>
      <c r="B68" s="876"/>
      <c r="C68" s="876" t="s">
        <v>2977</v>
      </c>
      <c r="D68" s="545"/>
      <c r="E68" s="876"/>
      <c r="F68" s="545"/>
      <c r="G68" s="889"/>
      <c r="H68" s="501">
        <v>3</v>
      </c>
      <c r="I68" s="501" t="str">
        <f t="shared" si="9"/>
        <v>NO.</v>
      </c>
      <c r="J68" s="501" t="str">
        <f t="shared" si="9"/>
        <v>STONE CUTTER II</v>
      </c>
      <c r="K68" s="501">
        <f>K50</f>
        <v>443.3</v>
      </c>
      <c r="L68" s="501" t="str">
        <f t="shared" si="9"/>
        <v>NO.</v>
      </c>
      <c r="M68" s="882">
        <f t="shared" si="10"/>
        <v>1329.9</v>
      </c>
      <c r="O68" s="545"/>
      <c r="P68" s="876"/>
      <c r="Q68" s="876" t="str">
        <f t="shared" si="12"/>
        <v>ALIGNMENT,JOINTING</v>
      </c>
      <c r="R68" s="545"/>
      <c r="S68" s="876"/>
      <c r="T68" s="545"/>
      <c r="V68" s="880">
        <v>3</v>
      </c>
      <c r="W68" s="876" t="s">
        <v>2342</v>
      </c>
      <c r="X68" s="876" t="s">
        <v>3026</v>
      </c>
      <c r="Y68" s="876">
        <f t="shared" si="11"/>
        <v>443.3</v>
      </c>
      <c r="Z68" s="545" t="s">
        <v>2342</v>
      </c>
      <c r="AA68" s="545">
        <f t="shared" si="13"/>
        <v>1329.9</v>
      </c>
      <c r="AG68" s="545"/>
      <c r="AI68" s="876"/>
      <c r="AQ68" s="902"/>
      <c r="AR68" s="876"/>
      <c r="AT68" s="874"/>
      <c r="AU68" s="545"/>
    </row>
    <row r="69" spans="1:47" ht="24" customHeight="1">
      <c r="A69" s="545"/>
      <c r="B69" s="876"/>
      <c r="C69" s="876" t="s">
        <v>2978</v>
      </c>
      <c r="D69" s="545"/>
      <c r="E69" s="876"/>
      <c r="F69" s="545"/>
      <c r="G69" s="889"/>
      <c r="H69" s="501">
        <v>1</v>
      </c>
      <c r="I69" s="501" t="str">
        <f t="shared" si="9"/>
        <v>NO.</v>
      </c>
      <c r="J69" s="501" t="str">
        <f t="shared" si="9"/>
        <v>MADON I</v>
      </c>
      <c r="K69" s="501">
        <f t="shared" si="9"/>
        <v>623.70000000000005</v>
      </c>
      <c r="L69" s="501" t="str">
        <f t="shared" si="9"/>
        <v>NO.</v>
      </c>
      <c r="M69" s="882">
        <f t="shared" si="10"/>
        <v>623.70000000000005</v>
      </c>
      <c r="O69" s="545"/>
      <c r="P69" s="876"/>
      <c r="Q69" s="876" t="str">
        <f t="shared" si="12"/>
        <v>ETC BUT EXCLUDING  COST OF</v>
      </c>
      <c r="R69" s="545"/>
      <c r="S69" s="876"/>
      <c r="T69" s="545"/>
      <c r="V69" s="880">
        <v>1</v>
      </c>
      <c r="W69" s="876" t="s">
        <v>2342</v>
      </c>
      <c r="X69" s="876" t="s">
        <v>4139</v>
      </c>
      <c r="Y69" s="876">
        <f t="shared" si="11"/>
        <v>623.70000000000005</v>
      </c>
      <c r="Z69" s="545" t="s">
        <v>2342</v>
      </c>
      <c r="AA69" s="545">
        <f t="shared" si="13"/>
        <v>623.70000000000005</v>
      </c>
      <c r="AG69" s="545"/>
      <c r="AI69" s="876"/>
      <c r="AQ69" s="902"/>
      <c r="AR69" s="876"/>
      <c r="AT69" s="874"/>
      <c r="AU69" s="545"/>
    </row>
    <row r="70" spans="1:47" ht="24" customHeight="1">
      <c r="A70" s="545"/>
      <c r="B70" s="876"/>
      <c r="C70" s="876" t="s">
        <v>2979</v>
      </c>
      <c r="D70" s="545"/>
      <c r="E70" s="876"/>
      <c r="F70" s="545"/>
      <c r="G70" s="889"/>
      <c r="H70" s="501">
        <v>2</v>
      </c>
      <c r="I70" s="501" t="str">
        <f t="shared" si="9"/>
        <v>NO.</v>
      </c>
      <c r="J70" s="501" t="str">
        <f t="shared" si="9"/>
        <v>MAZDOOR I</v>
      </c>
      <c r="K70" s="501">
        <f t="shared" si="9"/>
        <v>390.5</v>
      </c>
      <c r="L70" s="501" t="str">
        <f t="shared" si="9"/>
        <v>NO.</v>
      </c>
      <c r="M70" s="882">
        <f t="shared" si="10"/>
        <v>781</v>
      </c>
      <c r="O70" s="545"/>
      <c r="P70" s="876"/>
      <c r="Q70" s="876" t="str">
        <f t="shared" si="12"/>
        <v>JOINTING MATERIALS.</v>
      </c>
      <c r="R70" s="545"/>
      <c r="S70" s="876"/>
      <c r="T70" s="545"/>
      <c r="V70" s="880">
        <v>2</v>
      </c>
      <c r="W70" s="876" t="s">
        <v>2342</v>
      </c>
      <c r="X70" s="876" t="s">
        <v>2344</v>
      </c>
      <c r="Y70" s="876">
        <f t="shared" si="11"/>
        <v>390.5</v>
      </c>
      <c r="Z70" s="545" t="s">
        <v>2342</v>
      </c>
      <c r="AA70" s="545">
        <f t="shared" si="13"/>
        <v>781</v>
      </c>
      <c r="AG70" s="545"/>
      <c r="AI70" s="876"/>
      <c r="AQ70" s="902"/>
      <c r="AR70" s="876"/>
      <c r="AT70" s="874"/>
      <c r="AU70" s="545"/>
    </row>
    <row r="71" spans="1:47" ht="24" customHeight="1">
      <c r="A71" s="545">
        <v>8</v>
      </c>
      <c r="B71" s="876" t="s">
        <v>2359</v>
      </c>
      <c r="C71" s="876" t="s">
        <v>2982</v>
      </c>
      <c r="D71" s="545">
        <v>7.8</v>
      </c>
      <c r="E71" s="876" t="s">
        <v>2359</v>
      </c>
      <c r="F71" s="545">
        <f t="shared" si="8"/>
        <v>62.4</v>
      </c>
      <c r="G71" s="889"/>
      <c r="H71" s="501">
        <v>1</v>
      </c>
      <c r="I71" s="501" t="str">
        <f t="shared" si="9"/>
        <v>NO.</v>
      </c>
      <c r="J71" s="501" t="str">
        <f t="shared" si="9"/>
        <v>MAZDOOR II</v>
      </c>
      <c r="K71" s="501">
        <f t="shared" si="9"/>
        <v>352</v>
      </c>
      <c r="L71" s="501" t="str">
        <f t="shared" si="9"/>
        <v>NO.</v>
      </c>
      <c r="M71" s="882">
        <f t="shared" si="10"/>
        <v>352</v>
      </c>
      <c r="O71" s="545">
        <v>8</v>
      </c>
      <c r="P71" s="876" t="str">
        <f>P53</f>
        <v>NO</v>
      </c>
      <c r="Q71" s="876" t="str">
        <f t="shared" si="12"/>
        <v>CUTTING CHARGES</v>
      </c>
      <c r="R71" s="545">
        <v>10.5</v>
      </c>
      <c r="S71" s="876" t="str">
        <f>S53</f>
        <v>NO</v>
      </c>
      <c r="T71" s="545">
        <f>R71*O71</f>
        <v>84</v>
      </c>
      <c r="V71" s="880">
        <v>1</v>
      </c>
      <c r="W71" s="876" t="s">
        <v>2342</v>
      </c>
      <c r="X71" s="876" t="s">
        <v>2345</v>
      </c>
      <c r="Y71" s="876">
        <f t="shared" si="11"/>
        <v>352</v>
      </c>
      <c r="Z71" s="545" t="s">
        <v>2342</v>
      </c>
      <c r="AA71" s="545">
        <f t="shared" si="13"/>
        <v>352</v>
      </c>
      <c r="AG71" s="545"/>
      <c r="AI71" s="876"/>
      <c r="AQ71" s="902"/>
      <c r="AR71" s="876"/>
      <c r="AT71" s="874"/>
      <c r="AU71" s="545"/>
    </row>
    <row r="72" spans="1:47" ht="24" customHeight="1">
      <c r="A72" s="545">
        <v>8</v>
      </c>
      <c r="B72" s="876" t="s">
        <v>2359</v>
      </c>
      <c r="C72" s="876" t="s">
        <v>2985</v>
      </c>
      <c r="D72" s="545">
        <v>21.6</v>
      </c>
      <c r="E72" s="876" t="s">
        <v>2359</v>
      </c>
      <c r="F72" s="545">
        <f t="shared" si="8"/>
        <v>172.8</v>
      </c>
      <c r="G72" s="889"/>
      <c r="I72" s="501" t="str">
        <f t="shared" si="9"/>
        <v>L.S</v>
      </c>
      <c r="J72" s="501" t="str">
        <f t="shared" si="9"/>
        <v>COST OF CLAMPS PLUGS PAINTING</v>
      </c>
      <c r="K72" s="501" t="str">
        <f t="shared" si="9"/>
        <v/>
      </c>
      <c r="L72" s="501" t="str">
        <f t="shared" si="9"/>
        <v>L.S</v>
      </c>
      <c r="M72" s="882">
        <f>M54</f>
        <v>12.1</v>
      </c>
      <c r="O72" s="545">
        <v>8</v>
      </c>
      <c r="P72" s="876" t="str">
        <f>P54</f>
        <v>NO</v>
      </c>
      <c r="Q72" s="876" t="str">
        <f t="shared" si="12"/>
        <v>THREADING CHARGES</v>
      </c>
      <c r="R72" s="545">
        <v>24.3</v>
      </c>
      <c r="S72" s="876" t="str">
        <f>S54</f>
        <v>NO</v>
      </c>
      <c r="T72" s="545">
        <f>R72*O72</f>
        <v>194.4</v>
      </c>
      <c r="U72" s="905"/>
      <c r="V72" s="880"/>
      <c r="W72" s="876" t="s">
        <v>2346</v>
      </c>
      <c r="X72" s="876" t="s">
        <v>4140</v>
      </c>
      <c r="Y72" s="876" t="s">
        <v>30</v>
      </c>
      <c r="Z72" s="545" t="s">
        <v>2346</v>
      </c>
      <c r="AA72" s="545">
        <v>5</v>
      </c>
      <c r="AG72" s="545"/>
      <c r="AI72" s="876"/>
      <c r="AQ72" s="902"/>
      <c r="AR72" s="876"/>
      <c r="AT72" s="874"/>
      <c r="AU72" s="545"/>
    </row>
    <row r="73" spans="1:47" ht="24" customHeight="1">
      <c r="A73" s="545">
        <v>1</v>
      </c>
      <c r="B73" s="876" t="s">
        <v>2346</v>
      </c>
      <c r="C73" s="876" t="s">
        <v>2987</v>
      </c>
      <c r="D73" s="545">
        <v>12.1</v>
      </c>
      <c r="E73" s="876" t="s">
        <v>2346</v>
      </c>
      <c r="F73" s="545">
        <v>12.1</v>
      </c>
      <c r="G73" s="889"/>
      <c r="I73" s="501"/>
      <c r="J73" s="501" t="str">
        <f>J55</f>
        <v>REDOING WORKS ETC</v>
      </c>
      <c r="K73" s="501" t="str">
        <f>K55</f>
        <v/>
      </c>
      <c r="L73" s="501"/>
      <c r="M73" s="882"/>
      <c r="O73" s="545">
        <v>1</v>
      </c>
      <c r="P73" s="876" t="str">
        <f>P55</f>
        <v>L.S</v>
      </c>
      <c r="Q73" s="876" t="str">
        <f t="shared" si="12"/>
        <v>COST OF JOINTING  MATERIALS</v>
      </c>
      <c r="R73" s="545">
        <f>R55</f>
        <v>12.1</v>
      </c>
      <c r="S73" s="876" t="str">
        <f>S55</f>
        <v>L.S</v>
      </c>
      <c r="T73" s="545">
        <f>R73*O73</f>
        <v>12.1</v>
      </c>
      <c r="U73" s="906"/>
      <c r="V73" s="880"/>
      <c r="W73" s="876"/>
      <c r="X73" s="876" t="s">
        <v>4141</v>
      </c>
      <c r="Y73" s="876" t="s">
        <v>30</v>
      </c>
      <c r="Z73" s="545"/>
      <c r="AA73" s="545" t="s">
        <v>30</v>
      </c>
      <c r="AG73" s="545"/>
      <c r="AI73" s="876"/>
      <c r="AS73" s="545"/>
      <c r="AU73" s="876"/>
    </row>
    <row r="74" spans="1:47" ht="24" customHeight="1">
      <c r="A74" s="545">
        <v>1</v>
      </c>
      <c r="B74" s="876" t="s">
        <v>2346</v>
      </c>
      <c r="C74" s="876" t="s">
        <v>2347</v>
      </c>
      <c r="D74" s="545">
        <v>0</v>
      </c>
      <c r="E74" s="876" t="s">
        <v>2346</v>
      </c>
      <c r="F74" s="545">
        <v>0</v>
      </c>
      <c r="G74" s="889"/>
      <c r="I74" s="501" t="str">
        <f t="shared" si="9"/>
        <v>L.S</v>
      </c>
      <c r="J74" s="501" t="str">
        <f t="shared" si="9"/>
        <v>SUNDRIES</v>
      </c>
      <c r="L74" s="501" t="str">
        <f t="shared" si="9"/>
        <v>L.S</v>
      </c>
      <c r="M74" s="882">
        <f>K74*H74</f>
        <v>0</v>
      </c>
      <c r="O74" s="545"/>
      <c r="P74" s="876" t="str">
        <f>P56</f>
        <v>L.S</v>
      </c>
      <c r="Q74" s="876" t="str">
        <f t="shared" si="12"/>
        <v>SUNDRIES</v>
      </c>
      <c r="R74" s="545"/>
      <c r="S74" s="876" t="str">
        <f>S56</f>
        <v>L.S</v>
      </c>
      <c r="T74" s="545">
        <f>R74*O74</f>
        <v>0</v>
      </c>
      <c r="U74" s="904"/>
      <c r="V74" s="880"/>
      <c r="W74" s="876" t="s">
        <v>2346</v>
      </c>
      <c r="X74" s="876" t="s">
        <v>2347</v>
      </c>
      <c r="Y74" s="545"/>
      <c r="Z74" s="545" t="s">
        <v>2346</v>
      </c>
      <c r="AA74" s="545">
        <v>0</v>
      </c>
      <c r="AG74" s="545"/>
      <c r="AI74" s="876"/>
      <c r="AS74" s="545"/>
      <c r="AU74" s="876"/>
    </row>
    <row r="75" spans="1:47" ht="24" customHeight="1">
      <c r="A75" s="545"/>
      <c r="B75" s="876"/>
      <c r="C75" s="876"/>
      <c r="D75" s="545"/>
      <c r="E75" s="876"/>
      <c r="F75" s="545"/>
      <c r="G75" s="889"/>
      <c r="H75" s="545"/>
      <c r="J75" s="876"/>
      <c r="M75" s="882"/>
      <c r="O75" s="545"/>
      <c r="P75" s="876"/>
      <c r="Q75" s="876"/>
      <c r="R75" s="545"/>
      <c r="S75" s="876"/>
      <c r="T75" s="545"/>
      <c r="U75" s="904"/>
      <c r="V75" s="880"/>
      <c r="W75" s="876"/>
      <c r="X75" s="876"/>
      <c r="Y75" s="545"/>
      <c r="Z75" s="545"/>
      <c r="AA75" s="545"/>
      <c r="AG75" s="545"/>
      <c r="AI75" s="876"/>
      <c r="AS75" s="545"/>
      <c r="AU75" s="876"/>
    </row>
    <row r="76" spans="1:47" ht="24" customHeight="1">
      <c r="A76" s="545"/>
      <c r="B76" s="876"/>
      <c r="C76" s="876" t="s">
        <v>2989</v>
      </c>
      <c r="D76" s="545"/>
      <c r="E76" s="876"/>
      <c r="F76" s="545">
        <f>SUM(F64:G75)</f>
        <v>1908.1539999999998</v>
      </c>
      <c r="G76" s="889"/>
      <c r="H76" s="545"/>
      <c r="J76" s="876" t="str">
        <f>J58</f>
        <v>TOTAL FOR 30 M</v>
      </c>
      <c r="M76" s="882">
        <f>SUM(M64:M75)</f>
        <v>3663.6</v>
      </c>
      <c r="O76" s="545"/>
      <c r="P76" s="876"/>
      <c r="Q76" s="876" t="str">
        <f>Q58</f>
        <v>TOTAL FOR 30M</v>
      </c>
      <c r="R76" s="545"/>
      <c r="S76" s="876"/>
      <c r="T76" s="545">
        <f>SUM(T64:T75)</f>
        <v>1949.2539999999999</v>
      </c>
      <c r="U76" s="904"/>
      <c r="V76" s="880"/>
      <c r="W76" s="876"/>
      <c r="X76" s="876" t="s">
        <v>3031</v>
      </c>
      <c r="Y76" s="876"/>
      <c r="Z76" s="545"/>
      <c r="AA76" s="545">
        <f>SUM(AA64:AA75)</f>
        <v>3697.6000000000004</v>
      </c>
      <c r="AG76" s="545"/>
      <c r="AI76" s="876"/>
      <c r="AS76" s="545"/>
      <c r="AU76" s="876"/>
    </row>
    <row r="77" spans="1:47" ht="24" customHeight="1">
      <c r="A77" s="545"/>
      <c r="B77" s="876"/>
      <c r="C77" s="876"/>
      <c r="D77" s="545"/>
      <c r="E77" s="876"/>
      <c r="F77" s="545"/>
      <c r="G77" s="889"/>
      <c r="H77" s="545"/>
      <c r="J77" s="876"/>
      <c r="M77" s="882"/>
      <c r="O77" s="545"/>
      <c r="P77" s="876"/>
      <c r="Q77" s="876"/>
      <c r="R77" s="545"/>
      <c r="S77" s="876"/>
      <c r="T77" s="545"/>
      <c r="V77" s="880"/>
      <c r="W77" s="876"/>
      <c r="X77" s="876"/>
      <c r="Y77" s="891"/>
      <c r="Z77" s="545"/>
      <c r="AA77" s="545"/>
      <c r="AG77" s="545"/>
      <c r="AI77" s="876"/>
      <c r="AP77" s="900"/>
      <c r="AQ77" s="901"/>
      <c r="AR77" s="876"/>
      <c r="AT77" s="874"/>
    </row>
    <row r="78" spans="1:47" ht="24" customHeight="1">
      <c r="A78" s="545"/>
      <c r="B78" s="876"/>
      <c r="C78" s="875" t="s">
        <v>2990</v>
      </c>
      <c r="D78" s="892"/>
      <c r="E78" s="875"/>
      <c r="F78" s="892">
        <f>F76/30</f>
        <v>63.605133333333328</v>
      </c>
      <c r="G78" s="889"/>
      <c r="H78" s="545"/>
      <c r="J78" s="875" t="str">
        <f>J60</f>
        <v>RATE PER RMT</v>
      </c>
      <c r="K78" s="885"/>
      <c r="L78" s="895"/>
      <c r="M78" s="883">
        <f>M76/30</f>
        <v>122.11999999999999</v>
      </c>
      <c r="O78" s="545"/>
      <c r="P78" s="876"/>
      <c r="Q78" s="875" t="str">
        <f>Q60</f>
        <v>RATE PER RMT</v>
      </c>
      <c r="R78" s="545"/>
      <c r="S78" s="876"/>
      <c r="T78" s="892">
        <f>T76/30</f>
        <v>64.975133333333332</v>
      </c>
      <c r="V78" s="880"/>
      <c r="W78" s="876"/>
      <c r="X78" s="875" t="s">
        <v>2990</v>
      </c>
      <c r="Y78" s="893"/>
      <c r="Z78" s="892"/>
      <c r="AA78" s="892">
        <f>AA76/30</f>
        <v>123.25333333333334</v>
      </c>
      <c r="AG78" s="545"/>
      <c r="AI78" s="876"/>
      <c r="AQ78" s="902"/>
      <c r="AR78" s="876"/>
      <c r="AT78" s="874"/>
    </row>
    <row r="79" spans="1:47" ht="24" customHeight="1">
      <c r="A79" s="545"/>
      <c r="B79" s="876"/>
      <c r="C79" s="876"/>
      <c r="D79" s="545"/>
      <c r="E79" s="876"/>
      <c r="F79" s="545"/>
      <c r="G79" s="889"/>
      <c r="H79" s="545"/>
      <c r="J79" s="876"/>
      <c r="M79" s="882"/>
      <c r="T79" s="881"/>
      <c r="V79" s="880"/>
      <c r="W79" s="876"/>
      <c r="X79" s="876"/>
      <c r="Y79" s="876"/>
      <c r="AA79" s="545" t="s">
        <v>442</v>
      </c>
      <c r="AG79" s="545"/>
      <c r="AI79" s="876"/>
      <c r="AQ79" s="902"/>
      <c r="AR79" s="881"/>
      <c r="AT79" s="874"/>
    </row>
    <row r="80" spans="1:47" ht="24" customHeight="1">
      <c r="A80" s="545"/>
      <c r="B80" s="875" t="s">
        <v>5395</v>
      </c>
      <c r="C80" s="894" t="s">
        <v>5396</v>
      </c>
      <c r="D80" s="545"/>
      <c r="E80" s="876"/>
      <c r="F80" s="545"/>
      <c r="G80" s="889"/>
      <c r="H80" s="892"/>
      <c r="I80" s="875" t="s">
        <v>5395</v>
      </c>
      <c r="J80" s="894" t="s">
        <v>5397</v>
      </c>
      <c r="K80" s="545"/>
      <c r="L80" s="876"/>
      <c r="M80" s="882"/>
      <c r="Q80" s="876"/>
      <c r="T80" s="545"/>
      <c r="W80" s="876"/>
      <c r="X80" s="876"/>
      <c r="AA80" s="545"/>
      <c r="AG80" s="545"/>
      <c r="AI80" s="876"/>
      <c r="AP80" s="545"/>
      <c r="AQ80" s="901"/>
      <c r="AR80" s="545"/>
      <c r="AS80" s="545"/>
      <c r="AT80" s="876"/>
      <c r="AU80" s="545"/>
    </row>
    <row r="81" spans="1:47" ht="23.25" customHeight="1">
      <c r="A81" s="545"/>
      <c r="B81" s="876"/>
      <c r="C81" s="876"/>
      <c r="D81" s="545"/>
      <c r="E81" s="876"/>
      <c r="F81" s="545"/>
      <c r="G81" s="889"/>
      <c r="H81" s="545"/>
      <c r="I81" s="876"/>
      <c r="J81" s="876"/>
      <c r="K81" s="545"/>
      <c r="L81" s="876"/>
      <c r="M81" s="882"/>
      <c r="T81" s="881"/>
      <c r="AG81" s="545"/>
      <c r="AI81" s="876"/>
      <c r="AP81" s="904"/>
      <c r="AQ81" s="901"/>
      <c r="AR81" s="876"/>
      <c r="AS81" s="545"/>
      <c r="AT81" s="876"/>
      <c r="AU81" s="545"/>
    </row>
    <row r="82" spans="1:47" ht="19.5" customHeight="1">
      <c r="A82" s="545">
        <v>8.1</v>
      </c>
      <c r="B82" s="876" t="s">
        <v>2334</v>
      </c>
      <c r="C82" s="876" t="s">
        <v>2973</v>
      </c>
      <c r="D82" s="545">
        <f>D9</f>
        <v>139.91999999999999</v>
      </c>
      <c r="E82" s="876" t="s">
        <v>2334</v>
      </c>
      <c r="F82" s="545">
        <f>D82*A82</f>
        <v>1133.3519999999999</v>
      </c>
      <c r="G82" s="889"/>
      <c r="H82" s="501">
        <v>30</v>
      </c>
      <c r="I82" s="501" t="str">
        <f>I64</f>
        <v>RMT</v>
      </c>
      <c r="J82" s="501" t="str">
        <f>J64</f>
        <v>LAYING JOINTING INCLUDING</v>
      </c>
      <c r="K82" s="545">
        <f>D84</f>
        <v>10.99</v>
      </c>
      <c r="L82" s="501" t="str">
        <f>L64</f>
        <v>RMT</v>
      </c>
      <c r="M82" s="882">
        <f>K82*H82</f>
        <v>329.7</v>
      </c>
      <c r="Q82" s="876"/>
      <c r="T82" s="545"/>
      <c r="Y82" s="876"/>
      <c r="AG82" s="545"/>
      <c r="AI82" s="876"/>
      <c r="AP82" s="545"/>
      <c r="AQ82" s="901"/>
      <c r="AR82" s="876"/>
      <c r="AS82" s="545"/>
      <c r="AT82" s="876"/>
      <c r="AU82" s="545"/>
    </row>
    <row r="83" spans="1:47" ht="24.75" customHeight="1">
      <c r="A83" s="545">
        <v>8.1</v>
      </c>
      <c r="B83" s="876" t="s">
        <v>2334</v>
      </c>
      <c r="C83" s="876" t="s">
        <v>2974</v>
      </c>
      <c r="D83" s="545">
        <f>D10</f>
        <v>24.42</v>
      </c>
      <c r="E83" s="876" t="s">
        <v>2334</v>
      </c>
      <c r="F83" s="545">
        <f>D83*A83</f>
        <v>197.80199999999999</v>
      </c>
      <c r="G83" s="889"/>
      <c r="H83" s="501" t="s">
        <v>30</v>
      </c>
      <c r="I83" s="501"/>
      <c r="J83" s="501" t="str">
        <f t="shared" ref="J83:K92" si="14">J65</f>
        <v>ALIGNING</v>
      </c>
      <c r="K83" s="545" t="s">
        <v>30</v>
      </c>
      <c r="L83" s="501"/>
      <c r="M83" s="882">
        <f t="shared" ref="M83:M89" si="15">K83*H83</f>
        <v>0</v>
      </c>
      <c r="T83" s="881"/>
      <c r="U83" s="905"/>
      <c r="AG83" s="545"/>
      <c r="AI83" s="876"/>
      <c r="AP83" s="545"/>
      <c r="AQ83" s="901"/>
      <c r="AR83" s="876"/>
      <c r="AS83" s="545"/>
      <c r="AT83" s="876"/>
      <c r="AU83" s="545"/>
    </row>
    <row r="84" spans="1:47" ht="24" customHeight="1">
      <c r="A84" s="545">
        <v>30</v>
      </c>
      <c r="B84" s="876" t="s">
        <v>2205</v>
      </c>
      <c r="C84" s="876" t="s">
        <v>2975</v>
      </c>
      <c r="D84" s="545">
        <f>D11</f>
        <v>10.99</v>
      </c>
      <c r="E84" s="876" t="s">
        <v>2205</v>
      </c>
      <c r="F84" s="545">
        <f>D84*A84</f>
        <v>329.7</v>
      </c>
      <c r="G84" s="889"/>
      <c r="H84" s="501">
        <v>8</v>
      </c>
      <c r="I84" s="501" t="str">
        <f t="shared" ref="I84:I90" si="16">I66</f>
        <v>NO.</v>
      </c>
      <c r="J84" s="501" t="str">
        <f t="shared" si="14"/>
        <v>CUTTING CHARGES</v>
      </c>
      <c r="K84" s="545">
        <f>D89</f>
        <v>10.5</v>
      </c>
      <c r="L84" s="501" t="str">
        <f t="shared" ref="L84:L90" si="17">L66</f>
        <v>NO.</v>
      </c>
      <c r="M84" s="882">
        <f t="shared" si="15"/>
        <v>84</v>
      </c>
      <c r="AG84" s="545"/>
      <c r="AI84" s="876"/>
      <c r="AP84" s="545"/>
      <c r="AQ84" s="901"/>
      <c r="AR84" s="876"/>
      <c r="AS84" s="545"/>
      <c r="AT84" s="876"/>
      <c r="AU84" s="545"/>
    </row>
    <row r="85" spans="1:47" ht="24" customHeight="1">
      <c r="A85" s="545"/>
      <c r="B85" s="876"/>
      <c r="C85" s="876" t="s">
        <v>2976</v>
      </c>
      <c r="D85" s="545"/>
      <c r="E85" s="876"/>
      <c r="F85" s="545"/>
      <c r="G85" s="889"/>
      <c r="H85" s="501">
        <v>8</v>
      </c>
      <c r="I85" s="501" t="str">
        <f t="shared" si="16"/>
        <v>NO.</v>
      </c>
      <c r="J85" s="501" t="str">
        <f t="shared" si="14"/>
        <v>THREADING CHARGES</v>
      </c>
      <c r="K85" s="545">
        <f>D90</f>
        <v>24.3</v>
      </c>
      <c r="L85" s="501" t="str">
        <f t="shared" si="17"/>
        <v>NO.</v>
      </c>
      <c r="M85" s="882">
        <f t="shared" si="15"/>
        <v>194.4</v>
      </c>
      <c r="U85" s="905"/>
      <c r="AG85" s="545"/>
      <c r="AP85" s="545"/>
      <c r="AQ85" s="901"/>
      <c r="AR85" s="876"/>
      <c r="AS85" s="545"/>
      <c r="AT85" s="876"/>
      <c r="AU85" s="545"/>
    </row>
    <row r="86" spans="1:47" ht="24" customHeight="1">
      <c r="A86" s="545"/>
      <c r="B86" s="876"/>
      <c r="C86" s="876" t="s">
        <v>2977</v>
      </c>
      <c r="D86" s="545"/>
      <c r="E86" s="876"/>
      <c r="F86" s="545"/>
      <c r="G86" s="889"/>
      <c r="H86" s="501">
        <v>3</v>
      </c>
      <c r="I86" s="501" t="str">
        <f t="shared" si="16"/>
        <v>NO.</v>
      </c>
      <c r="J86" s="501" t="str">
        <f t="shared" si="14"/>
        <v>STONE CUTTER II</v>
      </c>
      <c r="K86" s="545">
        <f>K68</f>
        <v>443.3</v>
      </c>
      <c r="L86" s="501" t="str">
        <f t="shared" si="17"/>
        <v>NO.</v>
      </c>
      <c r="M86" s="882">
        <f t="shared" si="15"/>
        <v>1329.9</v>
      </c>
      <c r="U86" s="906"/>
      <c r="AG86" s="545"/>
      <c r="AQ86" s="901"/>
      <c r="AR86" s="876"/>
      <c r="AT86" s="876"/>
      <c r="AU86" s="545"/>
    </row>
    <row r="87" spans="1:47" ht="24" customHeight="1">
      <c r="A87" s="545"/>
      <c r="B87" s="876"/>
      <c r="C87" s="876" t="s">
        <v>2978</v>
      </c>
      <c r="D87" s="545"/>
      <c r="E87" s="876"/>
      <c r="F87" s="545"/>
      <c r="G87" s="889"/>
      <c r="H87" s="501">
        <v>1</v>
      </c>
      <c r="I87" s="501" t="str">
        <f t="shared" si="16"/>
        <v>NO.</v>
      </c>
      <c r="J87" s="501" t="str">
        <f t="shared" si="14"/>
        <v>MADON I</v>
      </c>
      <c r="K87" s="545">
        <f t="shared" si="14"/>
        <v>623.70000000000005</v>
      </c>
      <c r="L87" s="501" t="str">
        <f t="shared" si="17"/>
        <v>NO.</v>
      </c>
      <c r="M87" s="882">
        <f t="shared" si="15"/>
        <v>623.70000000000005</v>
      </c>
      <c r="U87" s="904"/>
      <c r="AG87" s="545"/>
      <c r="AQ87" s="902"/>
      <c r="AT87" s="874"/>
      <c r="AU87" s="881"/>
    </row>
    <row r="88" spans="1:47" ht="24" customHeight="1">
      <c r="A88" s="545"/>
      <c r="B88" s="876"/>
      <c r="C88" s="876" t="s">
        <v>2979</v>
      </c>
      <c r="D88" s="545"/>
      <c r="E88" s="876"/>
      <c r="F88" s="545"/>
      <c r="G88" s="889"/>
      <c r="H88" s="501">
        <v>2</v>
      </c>
      <c r="I88" s="501" t="str">
        <f t="shared" si="16"/>
        <v>NO.</v>
      </c>
      <c r="J88" s="501" t="str">
        <f t="shared" si="14"/>
        <v>MAZDOOR I</v>
      </c>
      <c r="K88" s="545">
        <f t="shared" si="14"/>
        <v>390.5</v>
      </c>
      <c r="L88" s="501" t="str">
        <f t="shared" si="17"/>
        <v>NO.</v>
      </c>
      <c r="M88" s="882">
        <f t="shared" si="15"/>
        <v>781</v>
      </c>
      <c r="U88" s="904"/>
      <c r="AG88" s="545"/>
      <c r="AQ88" s="902"/>
      <c r="AR88" s="876"/>
      <c r="AT88" s="874"/>
      <c r="AU88" s="545"/>
    </row>
    <row r="89" spans="1:47" ht="24" customHeight="1">
      <c r="A89" s="545">
        <v>8</v>
      </c>
      <c r="B89" s="876" t="s">
        <v>2359</v>
      </c>
      <c r="C89" s="876" t="s">
        <v>2982</v>
      </c>
      <c r="D89" s="545">
        <v>10.5</v>
      </c>
      <c r="E89" s="876" t="s">
        <v>2359</v>
      </c>
      <c r="F89" s="545">
        <f>D89*A89</f>
        <v>84</v>
      </c>
      <c r="G89" s="889"/>
      <c r="H89" s="501">
        <v>1</v>
      </c>
      <c r="I89" s="501" t="str">
        <f t="shared" si="16"/>
        <v>NO.</v>
      </c>
      <c r="J89" s="501" t="str">
        <f t="shared" si="14"/>
        <v>MAZDOOR II</v>
      </c>
      <c r="K89" s="545">
        <f t="shared" si="14"/>
        <v>352</v>
      </c>
      <c r="L89" s="501" t="str">
        <f t="shared" si="17"/>
        <v>NO.</v>
      </c>
      <c r="M89" s="882">
        <f t="shared" si="15"/>
        <v>352</v>
      </c>
      <c r="U89" s="904"/>
      <c r="AG89" s="545"/>
      <c r="AQ89" s="902"/>
      <c r="AT89" s="874"/>
      <c r="AU89" s="881"/>
    </row>
    <row r="90" spans="1:47" ht="24" customHeight="1">
      <c r="A90" s="545">
        <v>8</v>
      </c>
      <c r="B90" s="876" t="s">
        <v>2359</v>
      </c>
      <c r="C90" s="876" t="s">
        <v>2985</v>
      </c>
      <c r="D90" s="545">
        <v>24.3</v>
      </c>
      <c r="E90" s="876" t="s">
        <v>2359</v>
      </c>
      <c r="F90" s="545">
        <f>D90*A90</f>
        <v>194.4</v>
      </c>
      <c r="G90" s="889"/>
      <c r="H90" s="545"/>
      <c r="I90" s="501" t="str">
        <f t="shared" si="16"/>
        <v>L.S</v>
      </c>
      <c r="J90" s="501" t="str">
        <f t="shared" si="14"/>
        <v>COST OF CLAMPS PLUGS PAINTING</v>
      </c>
      <c r="K90" s="545" t="s">
        <v>30</v>
      </c>
      <c r="L90" s="501" t="str">
        <f t="shared" si="17"/>
        <v>L.S</v>
      </c>
      <c r="M90" s="882">
        <f>M72</f>
        <v>12.1</v>
      </c>
      <c r="AG90" s="545"/>
      <c r="AQ90" s="902"/>
      <c r="AR90" s="880"/>
      <c r="AT90" s="874"/>
      <c r="AU90" s="545"/>
    </row>
    <row r="91" spans="1:47" ht="24" customHeight="1">
      <c r="A91" s="545">
        <v>1</v>
      </c>
      <c r="B91" s="876" t="s">
        <v>2346</v>
      </c>
      <c r="C91" s="876" t="s">
        <v>2987</v>
      </c>
      <c r="D91" s="545">
        <v>12.1</v>
      </c>
      <c r="E91" s="876" t="s">
        <v>2346</v>
      </c>
      <c r="F91" s="545">
        <v>12.1</v>
      </c>
      <c r="G91" s="889"/>
      <c r="H91" s="545"/>
      <c r="I91" s="501"/>
      <c r="J91" s="501" t="str">
        <f t="shared" si="14"/>
        <v>REDOING WORKS ETC</v>
      </c>
      <c r="K91" s="545" t="s">
        <v>30</v>
      </c>
      <c r="L91" s="501"/>
      <c r="M91" s="882"/>
      <c r="AG91" s="545"/>
      <c r="AQ91" s="902"/>
      <c r="AT91" s="874"/>
      <c r="AU91" s="881"/>
    </row>
    <row r="92" spans="1:47" ht="24" customHeight="1">
      <c r="A92" s="545">
        <v>1</v>
      </c>
      <c r="B92" s="876" t="s">
        <v>2346</v>
      </c>
      <c r="C92" s="876" t="s">
        <v>2347</v>
      </c>
      <c r="D92" s="545">
        <v>0</v>
      </c>
      <c r="E92" s="876" t="s">
        <v>2346</v>
      </c>
      <c r="F92" s="545">
        <v>0</v>
      </c>
      <c r="G92" s="889"/>
      <c r="H92" s="545"/>
      <c r="I92" s="501" t="str">
        <f>I74</f>
        <v>L.S</v>
      </c>
      <c r="J92" s="501" t="str">
        <f t="shared" si="14"/>
        <v>SUNDRIES</v>
      </c>
      <c r="L92" s="501" t="str">
        <f>L74</f>
        <v>L.S</v>
      </c>
      <c r="M92" s="882">
        <f>K92*H92</f>
        <v>0</v>
      </c>
      <c r="AG92" s="545"/>
      <c r="AQ92" s="902"/>
      <c r="AR92" s="876"/>
      <c r="AT92" s="874"/>
      <c r="AU92" s="892"/>
    </row>
    <row r="93" spans="1:47" ht="24" customHeight="1">
      <c r="A93" s="545"/>
      <c r="B93" s="876"/>
      <c r="C93" s="876"/>
      <c r="D93" s="545"/>
      <c r="E93" s="876"/>
      <c r="F93" s="545"/>
      <c r="G93" s="889"/>
      <c r="H93" s="545"/>
      <c r="J93" s="876"/>
      <c r="M93" s="882"/>
      <c r="AG93" s="545"/>
      <c r="AQ93" s="902"/>
      <c r="AR93" s="876"/>
      <c r="AT93" s="874"/>
      <c r="AU93" s="892"/>
    </row>
    <row r="94" spans="1:47" ht="24" customHeight="1">
      <c r="A94" s="545"/>
      <c r="B94" s="876"/>
      <c r="C94" s="876" t="s">
        <v>2989</v>
      </c>
      <c r="D94" s="545"/>
      <c r="E94" s="876"/>
      <c r="F94" s="545">
        <f>SUM(F82:G93)</f>
        <v>1951.3539999999998</v>
      </c>
      <c r="G94" s="889"/>
      <c r="H94" s="545"/>
      <c r="J94" s="876" t="str">
        <f>J76</f>
        <v>TOTAL FOR 30 M</v>
      </c>
      <c r="M94" s="882">
        <f>SUM(M82:M93)</f>
        <v>3706.7999999999997</v>
      </c>
      <c r="AG94" s="545"/>
      <c r="AQ94" s="902"/>
      <c r="AR94" s="876"/>
      <c r="AT94" s="874"/>
      <c r="AU94" s="892"/>
    </row>
    <row r="95" spans="1:47" ht="24" customHeight="1">
      <c r="A95" s="545"/>
      <c r="B95" s="876"/>
      <c r="C95" s="876"/>
      <c r="D95" s="545"/>
      <c r="E95" s="876"/>
      <c r="F95" s="545"/>
      <c r="G95" s="889"/>
      <c r="H95" s="545"/>
      <c r="J95" s="876"/>
      <c r="M95" s="882"/>
      <c r="AG95" s="545"/>
      <c r="AQ95" s="902"/>
      <c r="AR95" s="876"/>
      <c r="AT95" s="874"/>
      <c r="AU95" s="892"/>
    </row>
    <row r="96" spans="1:47" ht="24" customHeight="1">
      <c r="A96" s="545"/>
      <c r="B96" s="876"/>
      <c r="C96" s="875" t="s">
        <v>2990</v>
      </c>
      <c r="D96" s="892"/>
      <c r="E96" s="875"/>
      <c r="F96" s="892">
        <f>F94/30</f>
        <v>65.045133333333325</v>
      </c>
      <c r="G96" s="889"/>
      <c r="H96" s="545"/>
      <c r="J96" s="875" t="str">
        <f>J78</f>
        <v>RATE PER RMT</v>
      </c>
      <c r="K96" s="885"/>
      <c r="L96" s="895"/>
      <c r="M96" s="883">
        <f>M94/30</f>
        <v>123.55999999999999</v>
      </c>
      <c r="AG96" s="545"/>
      <c r="AP96" s="876"/>
      <c r="AQ96" s="902"/>
      <c r="AR96" s="876"/>
      <c r="AT96" s="874"/>
      <c r="AU96" s="892"/>
    </row>
    <row r="97" spans="1:47" ht="30.75" customHeight="1">
      <c r="A97" s="545"/>
      <c r="B97" s="876"/>
      <c r="C97" s="876"/>
      <c r="D97" s="545"/>
      <c r="E97" s="876"/>
      <c r="F97" s="545"/>
      <c r="G97" s="889"/>
      <c r="H97" s="545"/>
      <c r="J97" s="907"/>
      <c r="K97" s="885"/>
      <c r="L97" s="895"/>
      <c r="M97" s="883"/>
      <c r="U97" s="905"/>
      <c r="AG97" s="545"/>
      <c r="AP97" s="900"/>
      <c r="AQ97" s="901"/>
      <c r="AR97" s="876"/>
      <c r="AT97" s="874"/>
    </row>
    <row r="98" spans="1:47" ht="24" customHeight="1">
      <c r="A98" s="545"/>
      <c r="B98" s="875" t="s">
        <v>5398</v>
      </c>
      <c r="C98" s="894" t="s">
        <v>5399</v>
      </c>
      <c r="D98" s="545"/>
      <c r="E98" s="876"/>
      <c r="F98" s="545"/>
      <c r="G98" s="889"/>
      <c r="H98" s="892"/>
      <c r="I98" s="875" t="s">
        <v>5398</v>
      </c>
      <c r="J98" s="894" t="s">
        <v>5400</v>
      </c>
      <c r="K98" s="545"/>
      <c r="L98" s="876"/>
      <c r="M98" s="882"/>
      <c r="AG98" s="545"/>
      <c r="AQ98" s="902"/>
      <c r="AR98" s="876"/>
      <c r="AT98" s="874"/>
    </row>
    <row r="99" spans="1:47" ht="24" customHeight="1">
      <c r="A99" s="545"/>
      <c r="B99" s="876"/>
      <c r="C99" s="876"/>
      <c r="D99" s="545"/>
      <c r="E99" s="876"/>
      <c r="F99" s="545"/>
      <c r="G99" s="889"/>
      <c r="H99" s="545"/>
      <c r="I99" s="876"/>
      <c r="J99" s="876"/>
      <c r="K99" s="545"/>
      <c r="L99" s="876"/>
      <c r="M99" s="882"/>
      <c r="AG99" s="545"/>
      <c r="AQ99" s="902"/>
      <c r="AR99" s="881"/>
      <c r="AT99" s="874"/>
    </row>
    <row r="100" spans="1:47" ht="24" customHeight="1">
      <c r="A100" s="545">
        <v>8.1</v>
      </c>
      <c r="B100" s="876" t="s">
        <v>2334</v>
      </c>
      <c r="C100" s="876" t="s">
        <v>2973</v>
      </c>
      <c r="D100" s="545">
        <f>D9</f>
        <v>139.91999999999999</v>
      </c>
      <c r="E100" s="876" t="s">
        <v>2334</v>
      </c>
      <c r="F100" s="545">
        <f>D100*A100</f>
        <v>1133.3519999999999</v>
      </c>
      <c r="G100" s="889"/>
      <c r="H100" s="501">
        <v>30</v>
      </c>
      <c r="I100" s="501" t="str">
        <f>I82</f>
        <v>RMT</v>
      </c>
      <c r="J100" s="501" t="str">
        <f>J82</f>
        <v>LAYING JOINTING INCLUDING</v>
      </c>
      <c r="K100" s="545">
        <f>D102</f>
        <v>10.99</v>
      </c>
      <c r="L100" s="501" t="str">
        <f>L82</f>
        <v>RMT</v>
      </c>
      <c r="M100" s="882">
        <f>K100*H100</f>
        <v>329.7</v>
      </c>
      <c r="AG100" s="545"/>
      <c r="AP100" s="545"/>
      <c r="AQ100" s="901"/>
      <c r="AR100" s="545"/>
      <c r="AS100" s="545"/>
      <c r="AT100" s="876"/>
      <c r="AU100" s="545"/>
    </row>
    <row r="101" spans="1:47" ht="38.25" customHeight="1">
      <c r="A101" s="545">
        <v>8.1</v>
      </c>
      <c r="B101" s="876" t="s">
        <v>2334</v>
      </c>
      <c r="C101" s="876" t="s">
        <v>2974</v>
      </c>
      <c r="D101" s="545">
        <f>D10</f>
        <v>24.42</v>
      </c>
      <c r="E101" s="876" t="s">
        <v>2334</v>
      </c>
      <c r="F101" s="545">
        <f>D101*A101</f>
        <v>197.80199999999999</v>
      </c>
      <c r="G101" s="889"/>
      <c r="H101" s="501" t="s">
        <v>30</v>
      </c>
      <c r="I101" s="501"/>
      <c r="J101" s="501" t="str">
        <f t="shared" ref="J101:K110" si="18">J83</f>
        <v>ALIGNING</v>
      </c>
      <c r="K101" s="545" t="s">
        <v>30</v>
      </c>
      <c r="L101" s="501"/>
      <c r="M101" s="882">
        <f t="shared" ref="M101:M107" si="19">K101*H101</f>
        <v>0</v>
      </c>
      <c r="U101" s="905"/>
      <c r="AG101" s="545"/>
      <c r="AP101" s="904"/>
      <c r="AQ101" s="901"/>
      <c r="AR101" s="876"/>
      <c r="AS101" s="545"/>
      <c r="AT101" s="876"/>
      <c r="AU101" s="545"/>
    </row>
    <row r="102" spans="1:47" ht="24" customHeight="1">
      <c r="A102" s="545">
        <v>30</v>
      </c>
      <c r="B102" s="876" t="s">
        <v>2205</v>
      </c>
      <c r="C102" s="876" t="s">
        <v>2975</v>
      </c>
      <c r="D102" s="545">
        <f>D11</f>
        <v>10.99</v>
      </c>
      <c r="E102" s="876" t="s">
        <v>2205</v>
      </c>
      <c r="F102" s="545">
        <f>D102*A102</f>
        <v>329.7</v>
      </c>
      <c r="G102" s="889"/>
      <c r="H102" s="501">
        <v>8</v>
      </c>
      <c r="I102" s="501" t="str">
        <f t="shared" ref="I102:I108" si="20">I84</f>
        <v>NO.</v>
      </c>
      <c r="J102" s="501" t="str">
        <f t="shared" si="18"/>
        <v>CUTTING CHARGES</v>
      </c>
      <c r="K102" s="545">
        <f>D107</f>
        <v>13.4</v>
      </c>
      <c r="L102" s="501" t="str">
        <f t="shared" ref="L102:L108" si="21">L84</f>
        <v>NO.</v>
      </c>
      <c r="M102" s="882">
        <f t="shared" si="19"/>
        <v>107.2</v>
      </c>
      <c r="AG102" s="545"/>
      <c r="AP102" s="545"/>
      <c r="AQ102" s="901"/>
      <c r="AR102" s="876"/>
      <c r="AS102" s="545"/>
      <c r="AT102" s="876"/>
      <c r="AU102" s="545"/>
    </row>
    <row r="103" spans="1:47" ht="24" customHeight="1">
      <c r="A103" s="545"/>
      <c r="B103" s="876"/>
      <c r="C103" s="876" t="s">
        <v>2976</v>
      </c>
      <c r="D103" s="545"/>
      <c r="E103" s="876"/>
      <c r="F103" s="545"/>
      <c r="G103" s="889"/>
      <c r="H103" s="501">
        <v>8</v>
      </c>
      <c r="I103" s="501" t="str">
        <f t="shared" si="20"/>
        <v>NO.</v>
      </c>
      <c r="J103" s="501" t="str">
        <f t="shared" si="18"/>
        <v>THREADING CHARGES</v>
      </c>
      <c r="K103" s="545">
        <f>D108</f>
        <v>27</v>
      </c>
      <c r="L103" s="501" t="str">
        <f t="shared" si="21"/>
        <v>NO.</v>
      </c>
      <c r="M103" s="882">
        <f t="shared" si="19"/>
        <v>216</v>
      </c>
      <c r="U103" s="904"/>
      <c r="AG103" s="545"/>
      <c r="AP103" s="545"/>
      <c r="AQ103" s="901"/>
      <c r="AR103" s="876"/>
      <c r="AS103" s="545"/>
      <c r="AT103" s="876"/>
      <c r="AU103" s="545"/>
    </row>
    <row r="104" spans="1:47" ht="24" customHeight="1">
      <c r="A104" s="545"/>
      <c r="B104" s="876"/>
      <c r="C104" s="876" t="s">
        <v>2977</v>
      </c>
      <c r="D104" s="545"/>
      <c r="E104" s="876"/>
      <c r="F104" s="545"/>
      <c r="G104" s="889"/>
      <c r="H104" s="501">
        <v>3</v>
      </c>
      <c r="I104" s="501" t="str">
        <f t="shared" si="20"/>
        <v>NO.</v>
      </c>
      <c r="J104" s="501" t="str">
        <f t="shared" si="18"/>
        <v>STONE CUTTER II</v>
      </c>
      <c r="K104" s="545">
        <f>K86</f>
        <v>443.3</v>
      </c>
      <c r="L104" s="501" t="str">
        <f t="shared" si="21"/>
        <v>NO.</v>
      </c>
      <c r="M104" s="882">
        <f t="shared" si="19"/>
        <v>1329.9</v>
      </c>
      <c r="U104" s="904"/>
      <c r="AG104" s="545"/>
      <c r="AP104" s="545"/>
      <c r="AQ104" s="901"/>
      <c r="AR104" s="876"/>
      <c r="AS104" s="545"/>
      <c r="AT104" s="876"/>
      <c r="AU104" s="545"/>
    </row>
    <row r="105" spans="1:47" ht="24" customHeight="1">
      <c r="A105" s="545"/>
      <c r="B105" s="876"/>
      <c r="C105" s="876" t="s">
        <v>2978</v>
      </c>
      <c r="D105" s="545"/>
      <c r="E105" s="876"/>
      <c r="F105" s="545"/>
      <c r="G105" s="889"/>
      <c r="H105" s="501">
        <v>1</v>
      </c>
      <c r="I105" s="501" t="str">
        <f t="shared" si="20"/>
        <v>NO.</v>
      </c>
      <c r="J105" s="501" t="str">
        <f t="shared" si="18"/>
        <v>MADON I</v>
      </c>
      <c r="K105" s="545">
        <f t="shared" si="18"/>
        <v>623.70000000000005</v>
      </c>
      <c r="L105" s="501" t="str">
        <f t="shared" si="21"/>
        <v>NO.</v>
      </c>
      <c r="M105" s="882">
        <f t="shared" si="19"/>
        <v>623.70000000000005</v>
      </c>
      <c r="AG105" s="545"/>
      <c r="AP105" s="545"/>
      <c r="AQ105" s="901"/>
      <c r="AR105" s="876"/>
      <c r="AS105" s="545"/>
      <c r="AT105" s="876"/>
      <c r="AU105" s="545"/>
    </row>
    <row r="106" spans="1:47" ht="24" customHeight="1">
      <c r="A106" s="545"/>
      <c r="B106" s="876"/>
      <c r="C106" s="876" t="s">
        <v>2979</v>
      </c>
      <c r="D106" s="545"/>
      <c r="E106" s="876"/>
      <c r="F106" s="545"/>
      <c r="G106" s="889"/>
      <c r="H106" s="501">
        <v>2</v>
      </c>
      <c r="I106" s="501" t="str">
        <f t="shared" si="20"/>
        <v>NO.</v>
      </c>
      <c r="J106" s="501" t="str">
        <f t="shared" si="18"/>
        <v>MAZDOOR I</v>
      </c>
      <c r="K106" s="545">
        <f t="shared" si="18"/>
        <v>390.5</v>
      </c>
      <c r="L106" s="501" t="str">
        <f t="shared" si="21"/>
        <v>NO.</v>
      </c>
      <c r="M106" s="882">
        <f t="shared" si="19"/>
        <v>781</v>
      </c>
      <c r="AG106" s="545"/>
      <c r="AQ106" s="901"/>
      <c r="AR106" s="876"/>
      <c r="AT106" s="876"/>
      <c r="AU106" s="545"/>
    </row>
    <row r="107" spans="1:47" ht="24" customHeight="1">
      <c r="A107" s="545">
        <v>8</v>
      </c>
      <c r="B107" s="876" t="s">
        <v>2359</v>
      </c>
      <c r="C107" s="876" t="s">
        <v>2982</v>
      </c>
      <c r="D107" s="545">
        <v>13.4</v>
      </c>
      <c r="E107" s="876" t="s">
        <v>2359</v>
      </c>
      <c r="F107" s="545">
        <f>D107*A107</f>
        <v>107.2</v>
      </c>
      <c r="G107" s="889"/>
      <c r="H107" s="501">
        <v>1</v>
      </c>
      <c r="I107" s="501" t="str">
        <f t="shared" si="20"/>
        <v>NO.</v>
      </c>
      <c r="J107" s="501" t="str">
        <f t="shared" si="18"/>
        <v>MAZDOOR II</v>
      </c>
      <c r="K107" s="545">
        <f t="shared" si="18"/>
        <v>352</v>
      </c>
      <c r="L107" s="501" t="str">
        <f t="shared" si="21"/>
        <v>NO.</v>
      </c>
      <c r="M107" s="882">
        <f t="shared" si="19"/>
        <v>352</v>
      </c>
      <c r="AG107" s="545"/>
      <c r="AQ107" s="902"/>
      <c r="AT107" s="874"/>
      <c r="AU107" s="881"/>
    </row>
    <row r="108" spans="1:47" ht="24" customHeight="1">
      <c r="A108" s="545">
        <v>8</v>
      </c>
      <c r="B108" s="876" t="s">
        <v>2359</v>
      </c>
      <c r="C108" s="876" t="s">
        <v>2985</v>
      </c>
      <c r="D108" s="545">
        <v>27</v>
      </c>
      <c r="E108" s="876" t="s">
        <v>2359</v>
      </c>
      <c r="F108" s="545">
        <f>D108*A108</f>
        <v>216</v>
      </c>
      <c r="G108" s="889"/>
      <c r="H108" s="545"/>
      <c r="I108" s="501" t="str">
        <f t="shared" si="20"/>
        <v>L.S</v>
      </c>
      <c r="J108" s="501" t="str">
        <f t="shared" si="18"/>
        <v>COST OF CLAMPS PLUGS PAINTING</v>
      </c>
      <c r="K108" s="545" t="s">
        <v>30</v>
      </c>
      <c r="L108" s="501" t="str">
        <f t="shared" si="21"/>
        <v>L.S</v>
      </c>
      <c r="M108" s="882">
        <f>M90</f>
        <v>12.1</v>
      </c>
      <c r="V108" s="901"/>
      <c r="W108" s="875"/>
      <c r="Y108" s="874"/>
      <c r="AG108" s="545"/>
      <c r="AQ108" s="902"/>
      <c r="AR108" s="876"/>
      <c r="AT108" s="874"/>
      <c r="AU108" s="545"/>
    </row>
    <row r="109" spans="1:47" ht="24" customHeight="1">
      <c r="A109" s="545">
        <v>1</v>
      </c>
      <c r="B109" s="876" t="s">
        <v>2346</v>
      </c>
      <c r="C109" s="876" t="s">
        <v>2987</v>
      </c>
      <c r="D109" s="545">
        <v>12.1</v>
      </c>
      <c r="E109" s="876" t="s">
        <v>2346</v>
      </c>
      <c r="F109" s="545">
        <v>12.1</v>
      </c>
      <c r="G109" s="889"/>
      <c r="H109" s="545"/>
      <c r="I109" s="501"/>
      <c r="J109" s="501" t="str">
        <f t="shared" si="18"/>
        <v>REDOING WORKS ETC</v>
      </c>
      <c r="K109" s="545" t="s">
        <v>30</v>
      </c>
      <c r="L109" s="501"/>
      <c r="M109" s="882"/>
      <c r="N109" s="885"/>
      <c r="V109" s="902"/>
      <c r="W109" s="876"/>
      <c r="Y109" s="874"/>
      <c r="AG109" s="545"/>
      <c r="AQ109" s="902"/>
      <c r="AT109" s="874"/>
      <c r="AU109" s="881"/>
    </row>
    <row r="110" spans="1:47" ht="24" customHeight="1">
      <c r="A110" s="545">
        <v>1</v>
      </c>
      <c r="B110" s="876" t="s">
        <v>2346</v>
      </c>
      <c r="C110" s="876" t="s">
        <v>2347</v>
      </c>
      <c r="D110" s="545">
        <v>0</v>
      </c>
      <c r="E110" s="876" t="s">
        <v>2346</v>
      </c>
      <c r="F110" s="545">
        <v>0</v>
      </c>
      <c r="G110" s="889"/>
      <c r="H110" s="545"/>
      <c r="I110" s="501" t="str">
        <f>I92</f>
        <v>L.S</v>
      </c>
      <c r="J110" s="501" t="str">
        <f t="shared" si="18"/>
        <v>SUNDRIES</v>
      </c>
      <c r="L110" s="501" t="str">
        <f>L92</f>
        <v>L.S</v>
      </c>
      <c r="M110" s="882">
        <f>K110*H110</f>
        <v>0</v>
      </c>
      <c r="V110" s="901"/>
      <c r="W110" s="876"/>
      <c r="X110" s="545"/>
      <c r="Y110" s="876"/>
      <c r="Z110" s="545"/>
      <c r="AG110" s="545"/>
      <c r="AQ110" s="902"/>
      <c r="AR110" s="876"/>
      <c r="AT110" s="874"/>
      <c r="AU110" s="545"/>
    </row>
    <row r="111" spans="1:47" ht="24" customHeight="1">
      <c r="A111" s="545"/>
      <c r="B111" s="876"/>
      <c r="C111" s="876"/>
      <c r="D111" s="545"/>
      <c r="E111" s="876"/>
      <c r="F111" s="545"/>
      <c r="G111" s="889"/>
      <c r="H111" s="545"/>
      <c r="J111" s="876"/>
      <c r="M111" s="882"/>
      <c r="U111" s="905"/>
      <c r="V111" s="901"/>
      <c r="W111" s="876"/>
      <c r="X111" s="545"/>
      <c r="Y111" s="876"/>
      <c r="Z111" s="545"/>
      <c r="AG111" s="545"/>
      <c r="AQ111" s="902"/>
      <c r="AT111" s="874"/>
      <c r="AU111" s="881"/>
    </row>
    <row r="112" spans="1:47" ht="24" customHeight="1">
      <c r="A112" s="545"/>
      <c r="B112" s="876"/>
      <c r="C112" s="876" t="s">
        <v>2989</v>
      </c>
      <c r="D112" s="545"/>
      <c r="E112" s="876"/>
      <c r="F112" s="545">
        <f>SUM(F100:G111)</f>
        <v>1996.1539999999998</v>
      </c>
      <c r="G112" s="889"/>
      <c r="H112" s="545"/>
      <c r="J112" s="876" t="str">
        <f>J94</f>
        <v>TOTAL FOR 30 M</v>
      </c>
      <c r="M112" s="882">
        <f>SUM(M100:M111)</f>
        <v>3751.6</v>
      </c>
      <c r="V112" s="901"/>
      <c r="W112" s="876"/>
      <c r="X112" s="545"/>
      <c r="Y112" s="876"/>
      <c r="Z112" s="545"/>
      <c r="AG112" s="545"/>
      <c r="AQ112" s="902"/>
      <c r="AR112" s="876"/>
      <c r="AT112" s="874"/>
      <c r="AU112" s="545"/>
    </row>
    <row r="113" spans="1:47" ht="24" customHeight="1">
      <c r="A113" s="545"/>
      <c r="B113" s="876"/>
      <c r="C113" s="876"/>
      <c r="D113" s="545"/>
      <c r="E113" s="876"/>
      <c r="F113" s="545"/>
      <c r="G113" s="889"/>
      <c r="H113" s="545"/>
      <c r="J113" s="876"/>
      <c r="M113" s="882"/>
      <c r="V113" s="901"/>
      <c r="W113" s="876"/>
      <c r="Y113" s="876"/>
      <c r="Z113" s="545"/>
      <c r="AG113" s="545"/>
      <c r="AQ113" s="902"/>
      <c r="AR113" s="876"/>
      <c r="AT113" s="874"/>
      <c r="AU113" s="545"/>
    </row>
    <row r="114" spans="1:47" ht="24" customHeight="1">
      <c r="A114" s="545"/>
      <c r="B114" s="876"/>
      <c r="C114" s="875" t="s">
        <v>2990</v>
      </c>
      <c r="D114" s="892"/>
      <c r="E114" s="875"/>
      <c r="F114" s="892">
        <f>F112/30</f>
        <v>66.538466666666665</v>
      </c>
      <c r="G114" s="889"/>
      <c r="H114" s="545"/>
      <c r="J114" s="875" t="str">
        <f>J96</f>
        <v>RATE PER RMT</v>
      </c>
      <c r="K114" s="885"/>
      <c r="L114" s="895"/>
      <c r="M114" s="883">
        <f>M112/30</f>
        <v>125.05333333333333</v>
      </c>
      <c r="V114" s="902"/>
      <c r="Y114" s="874"/>
      <c r="Z114" s="881"/>
      <c r="AG114" s="545"/>
      <c r="AQ114" s="902"/>
      <c r="AR114" s="876"/>
      <c r="AT114" s="874"/>
      <c r="AU114" s="545"/>
    </row>
    <row r="115" spans="1:47" ht="44.25" customHeight="1">
      <c r="A115" s="545"/>
      <c r="B115" s="876"/>
      <c r="C115" s="876"/>
      <c r="D115" s="545"/>
      <c r="E115" s="876"/>
      <c r="F115" s="545"/>
      <c r="G115" s="889"/>
      <c r="H115" s="545"/>
      <c r="J115" s="908"/>
      <c r="M115" s="882"/>
      <c r="O115" s="880"/>
      <c r="P115" s="901"/>
      <c r="Q115" s="876"/>
      <c r="S115" s="874"/>
      <c r="U115" s="909"/>
      <c r="V115" s="902"/>
      <c r="W115" s="876"/>
      <c r="Y115" s="874"/>
      <c r="Z115" s="545"/>
      <c r="AG115" s="545"/>
      <c r="AQ115" s="902"/>
      <c r="AR115" s="876"/>
      <c r="AT115" s="874"/>
      <c r="AU115" s="545"/>
    </row>
    <row r="116" spans="1:47" ht="24" customHeight="1">
      <c r="A116" s="545"/>
      <c r="B116" s="876"/>
      <c r="C116" s="876"/>
      <c r="D116" s="545"/>
      <c r="E116" s="876"/>
      <c r="F116" s="545"/>
      <c r="G116" s="889"/>
      <c r="H116" s="545"/>
      <c r="M116" s="882"/>
      <c r="P116" s="902"/>
      <c r="Q116" s="876"/>
      <c r="S116" s="874"/>
      <c r="V116" s="902"/>
      <c r="Y116" s="874"/>
      <c r="Z116" s="881"/>
      <c r="AG116" s="545"/>
      <c r="AQ116" s="902"/>
      <c r="AR116" s="876"/>
      <c r="AT116" s="874"/>
      <c r="AU116" s="545"/>
    </row>
    <row r="117" spans="1:47" ht="24" customHeight="1">
      <c r="A117" s="545"/>
      <c r="B117" s="876"/>
      <c r="C117" s="876"/>
      <c r="D117" s="545"/>
      <c r="E117" s="876"/>
      <c r="F117" s="545"/>
      <c r="G117" s="889"/>
      <c r="H117" s="545"/>
      <c r="I117" s="876"/>
      <c r="J117" s="876"/>
      <c r="L117" s="876"/>
      <c r="M117" s="882"/>
      <c r="P117" s="902"/>
      <c r="Q117" s="881"/>
      <c r="S117" s="874"/>
      <c r="U117" s="904"/>
      <c r="V117" s="902"/>
      <c r="W117" s="875"/>
      <c r="X117" s="885"/>
      <c r="Y117" s="895"/>
      <c r="Z117" s="892"/>
      <c r="AG117" s="545"/>
      <c r="AQ117" s="902"/>
      <c r="AR117" s="876"/>
      <c r="AT117" s="874"/>
      <c r="AU117" s="545"/>
    </row>
    <row r="118" spans="1:47" ht="24" customHeight="1">
      <c r="A118" s="545"/>
      <c r="B118" s="876"/>
      <c r="C118" s="876"/>
      <c r="D118" s="545"/>
      <c r="E118" s="876"/>
      <c r="F118" s="545"/>
      <c r="G118" s="889"/>
      <c r="H118" s="545"/>
      <c r="M118" s="882"/>
      <c r="O118" s="545"/>
      <c r="P118" s="901"/>
      <c r="Q118" s="876"/>
      <c r="R118" s="545"/>
      <c r="S118" s="876"/>
      <c r="T118" s="545"/>
      <c r="V118" s="902"/>
      <c r="X118" s="885"/>
      <c r="Y118" s="895"/>
      <c r="Z118" s="883"/>
      <c r="AG118" s="545"/>
      <c r="AQ118" s="902"/>
      <c r="AR118" s="876"/>
      <c r="AT118" s="874"/>
      <c r="AU118" s="545"/>
    </row>
    <row r="119" spans="1:47" ht="24" customHeight="1">
      <c r="A119" s="545"/>
      <c r="B119" s="876"/>
      <c r="C119" s="876"/>
      <c r="D119" s="545"/>
      <c r="E119" s="876"/>
      <c r="F119" s="545"/>
      <c r="G119" s="889"/>
      <c r="H119" s="545"/>
      <c r="M119" s="882"/>
      <c r="O119" s="545"/>
      <c r="P119" s="901"/>
      <c r="Q119" s="876"/>
      <c r="R119" s="545"/>
      <c r="S119" s="876"/>
      <c r="T119" s="545"/>
      <c r="V119" s="902"/>
      <c r="W119" s="907"/>
      <c r="X119" s="885"/>
      <c r="Y119" s="895"/>
      <c r="Z119" s="892"/>
      <c r="AG119" s="545"/>
      <c r="AQ119" s="902"/>
      <c r="AT119" s="874"/>
    </row>
    <row r="120" spans="1:47" ht="24" customHeight="1">
      <c r="A120" s="545"/>
      <c r="B120" s="876"/>
      <c r="C120" s="876"/>
      <c r="D120" s="545"/>
      <c r="E120" s="876"/>
      <c r="F120" s="545"/>
      <c r="G120" s="889"/>
      <c r="H120" s="545"/>
      <c r="J120" s="876"/>
      <c r="M120" s="882"/>
      <c r="P120" s="901"/>
      <c r="Q120" s="876"/>
      <c r="R120" s="876"/>
      <c r="S120" s="876"/>
      <c r="T120" s="545"/>
      <c r="V120" s="902"/>
      <c r="X120" s="885"/>
      <c r="Y120" s="895"/>
      <c r="Z120" s="883"/>
      <c r="AG120" s="545"/>
      <c r="AQ120" s="902"/>
      <c r="AR120" s="880"/>
      <c r="AT120" s="874"/>
    </row>
    <row r="121" spans="1:47" ht="24" customHeight="1">
      <c r="A121" s="545"/>
      <c r="B121" s="876"/>
      <c r="C121" s="876"/>
      <c r="D121" s="545"/>
      <c r="E121" s="876"/>
      <c r="F121" s="545"/>
      <c r="G121" s="889"/>
      <c r="H121" s="545"/>
      <c r="M121" s="882"/>
      <c r="P121" s="902"/>
      <c r="S121" s="874"/>
      <c r="T121" s="881"/>
      <c r="V121" s="901"/>
      <c r="W121" s="876"/>
      <c r="Y121" s="874"/>
      <c r="AG121" s="545"/>
      <c r="AQ121" s="902"/>
      <c r="AR121" s="881"/>
      <c r="AT121" s="874"/>
    </row>
    <row r="122" spans="1:47" ht="38.25" customHeight="1">
      <c r="A122" s="545"/>
      <c r="B122" s="876"/>
      <c r="C122" s="876"/>
      <c r="D122" s="545"/>
      <c r="E122" s="876"/>
      <c r="F122" s="545"/>
      <c r="G122" s="889"/>
      <c r="H122" s="545"/>
      <c r="J122" s="910"/>
      <c r="K122" s="885"/>
      <c r="M122" s="883"/>
      <c r="P122" s="902"/>
      <c r="Q122" s="876"/>
      <c r="S122" s="874"/>
      <c r="T122" s="545"/>
      <c r="U122" s="911"/>
      <c r="V122" s="902"/>
      <c r="W122" s="881"/>
      <c r="Y122" s="874"/>
      <c r="AG122" s="545"/>
      <c r="AP122" s="900"/>
      <c r="AQ122" s="901"/>
      <c r="AR122" s="876"/>
      <c r="AT122" s="874"/>
    </row>
    <row r="123" spans="1:47" ht="24" customHeight="1">
      <c r="A123" s="545"/>
      <c r="B123" s="876"/>
      <c r="C123" s="876"/>
      <c r="D123" s="545"/>
      <c r="E123" s="876"/>
      <c r="F123" s="545"/>
      <c r="G123" s="889"/>
      <c r="H123" s="545"/>
      <c r="K123" s="885"/>
      <c r="M123" s="883"/>
      <c r="V123" s="901"/>
      <c r="W123" s="876"/>
      <c r="X123" s="545"/>
      <c r="Y123" s="876"/>
      <c r="Z123" s="545"/>
      <c r="AG123" s="545"/>
      <c r="AQ123" s="902"/>
      <c r="AR123" s="545"/>
      <c r="AT123" s="874"/>
    </row>
    <row r="124" spans="1:47" ht="24" customHeight="1">
      <c r="A124" s="545"/>
      <c r="B124" s="876"/>
      <c r="C124" s="876"/>
      <c r="D124" s="545"/>
      <c r="E124" s="876"/>
      <c r="F124" s="545"/>
      <c r="G124" s="889"/>
      <c r="H124" s="545"/>
      <c r="K124" s="885"/>
      <c r="M124" s="882"/>
      <c r="V124" s="901"/>
      <c r="W124" s="876"/>
      <c r="X124" s="545"/>
      <c r="Y124" s="876"/>
      <c r="Z124" s="545"/>
      <c r="AG124" s="545"/>
      <c r="AQ124" s="902"/>
      <c r="AR124" s="881"/>
      <c r="AT124" s="874"/>
    </row>
    <row r="125" spans="1:47" ht="24" customHeight="1">
      <c r="A125" s="545"/>
      <c r="B125" s="876"/>
      <c r="C125" s="876"/>
      <c r="D125" s="545"/>
      <c r="E125" s="876"/>
      <c r="F125" s="545"/>
      <c r="G125" s="889"/>
      <c r="H125" s="545"/>
      <c r="J125" s="876"/>
      <c r="K125" s="885"/>
      <c r="U125" s="905"/>
      <c r="V125" s="901"/>
      <c r="W125" s="876"/>
      <c r="X125" s="545"/>
      <c r="Y125" s="876"/>
      <c r="Z125" s="545"/>
      <c r="AG125" s="545"/>
      <c r="AP125" s="545"/>
      <c r="AQ125" s="901"/>
      <c r="AR125" s="545"/>
      <c r="AS125" s="545"/>
      <c r="AT125" s="876"/>
      <c r="AU125" s="545"/>
    </row>
    <row r="126" spans="1:47" ht="24" customHeight="1">
      <c r="A126" s="545"/>
      <c r="B126" s="876"/>
      <c r="C126" s="876"/>
      <c r="D126" s="545"/>
      <c r="E126" s="876"/>
      <c r="F126" s="545"/>
      <c r="G126" s="889"/>
      <c r="H126" s="545"/>
      <c r="J126" s="876"/>
      <c r="K126" s="885"/>
      <c r="M126" s="883"/>
      <c r="N126" s="892"/>
      <c r="V126" s="901"/>
      <c r="W126" s="876"/>
      <c r="Y126" s="876"/>
      <c r="Z126" s="545"/>
      <c r="AG126" s="545"/>
      <c r="AP126" s="904"/>
      <c r="AQ126" s="901"/>
      <c r="AR126" s="876"/>
      <c r="AS126" s="545"/>
      <c r="AT126" s="876"/>
      <c r="AU126" s="545"/>
    </row>
    <row r="127" spans="1:47" ht="24" customHeight="1">
      <c r="A127" s="545"/>
      <c r="B127" s="876"/>
      <c r="C127" s="876"/>
      <c r="D127" s="545"/>
      <c r="E127" s="876"/>
      <c r="F127" s="545"/>
      <c r="G127" s="889"/>
      <c r="H127" s="545"/>
      <c r="J127" s="876"/>
      <c r="K127" s="885"/>
      <c r="M127" s="883"/>
      <c r="U127" s="906"/>
      <c r="V127" s="902"/>
      <c r="Y127" s="874"/>
      <c r="Z127" s="881"/>
      <c r="AG127" s="545"/>
      <c r="AP127" s="545"/>
      <c r="AQ127" s="901"/>
      <c r="AR127" s="876"/>
      <c r="AS127" s="545"/>
      <c r="AT127" s="876"/>
      <c r="AU127" s="545"/>
    </row>
    <row r="128" spans="1:47" ht="24" customHeight="1">
      <c r="A128" s="545"/>
      <c r="B128" s="876"/>
      <c r="C128" s="876"/>
      <c r="D128" s="545"/>
      <c r="E128" s="876"/>
      <c r="F128" s="545"/>
      <c r="G128" s="889"/>
      <c r="H128" s="545"/>
      <c r="M128" s="882"/>
      <c r="V128" s="902"/>
      <c r="W128" s="876"/>
      <c r="Y128" s="874"/>
      <c r="Z128" s="545"/>
      <c r="AG128" s="545"/>
      <c r="AP128" s="545"/>
      <c r="AQ128" s="901"/>
      <c r="AR128" s="876"/>
      <c r="AS128" s="545"/>
      <c r="AT128" s="876"/>
      <c r="AU128" s="545"/>
    </row>
    <row r="129" spans="1:47" ht="24" customHeight="1">
      <c r="A129" s="545"/>
      <c r="B129" s="876"/>
      <c r="C129" s="876"/>
      <c r="D129" s="545"/>
      <c r="E129" s="876"/>
      <c r="F129" s="545"/>
      <c r="G129" s="889"/>
      <c r="H129" s="545"/>
      <c r="J129" s="875"/>
      <c r="K129" s="885"/>
      <c r="M129" s="883"/>
      <c r="V129" s="902"/>
      <c r="Y129" s="874"/>
      <c r="Z129" s="881"/>
      <c r="AG129" s="545"/>
      <c r="AP129" s="545"/>
      <c r="AQ129" s="901"/>
      <c r="AR129" s="876"/>
      <c r="AS129" s="545"/>
      <c r="AT129" s="876"/>
      <c r="AU129" s="545"/>
    </row>
    <row r="130" spans="1:47" ht="24" customHeight="1">
      <c r="A130" s="545"/>
      <c r="B130" s="876"/>
      <c r="C130" s="876"/>
      <c r="D130" s="545"/>
      <c r="E130" s="876"/>
      <c r="F130" s="545"/>
      <c r="G130" s="889"/>
      <c r="H130" s="545"/>
      <c r="I130" s="876"/>
      <c r="J130" s="876"/>
      <c r="O130" s="880"/>
      <c r="P130" s="901"/>
      <c r="Q130" s="876"/>
      <c r="S130" s="874"/>
      <c r="V130" s="902"/>
      <c r="W130" s="875"/>
      <c r="X130" s="885"/>
      <c r="Y130" s="895"/>
      <c r="Z130" s="892"/>
      <c r="AG130" s="545"/>
      <c r="AI130" s="876"/>
      <c r="AP130" s="545"/>
      <c r="AQ130" s="901"/>
      <c r="AR130" s="876"/>
      <c r="AS130" s="545"/>
      <c r="AT130" s="876"/>
      <c r="AU130" s="545"/>
    </row>
    <row r="131" spans="1:47" ht="24" customHeight="1">
      <c r="A131" s="545"/>
      <c r="B131" s="876"/>
      <c r="C131" s="876"/>
      <c r="D131" s="545"/>
      <c r="E131" s="876"/>
      <c r="F131" s="545"/>
      <c r="G131" s="889"/>
      <c r="H131" s="545"/>
      <c r="J131" s="876"/>
      <c r="P131" s="902"/>
      <c r="Q131" s="876"/>
      <c r="S131" s="874"/>
      <c r="V131" s="902"/>
      <c r="X131" s="885"/>
      <c r="Y131" s="895"/>
      <c r="Z131" s="883"/>
      <c r="AG131" s="545"/>
      <c r="AI131" s="876"/>
      <c r="AQ131" s="901"/>
      <c r="AR131" s="876"/>
      <c r="AS131" s="876"/>
      <c r="AT131" s="876"/>
      <c r="AU131" s="545"/>
    </row>
    <row r="132" spans="1:47" ht="24" customHeight="1">
      <c r="A132" s="545"/>
      <c r="B132" s="876"/>
      <c r="C132" s="876"/>
      <c r="D132" s="545"/>
      <c r="E132" s="876"/>
      <c r="F132" s="545"/>
      <c r="G132" s="889"/>
      <c r="H132" s="545"/>
      <c r="J132" s="881"/>
      <c r="P132" s="902"/>
      <c r="Q132" s="881"/>
      <c r="S132" s="874"/>
      <c r="V132" s="902"/>
      <c r="X132" s="885"/>
      <c r="Y132" s="895"/>
      <c r="Z132" s="912"/>
      <c r="AG132" s="545"/>
      <c r="AI132" s="876"/>
      <c r="AQ132" s="902"/>
      <c r="AT132" s="874"/>
      <c r="AU132" s="881"/>
    </row>
    <row r="133" spans="1:47" ht="24" customHeight="1">
      <c r="A133" s="545"/>
      <c r="B133" s="876"/>
      <c r="C133" s="876"/>
      <c r="D133" s="545"/>
      <c r="E133" s="876"/>
      <c r="F133" s="545"/>
      <c r="G133" s="889"/>
      <c r="H133" s="545"/>
      <c r="I133" s="876"/>
      <c r="J133" s="876"/>
      <c r="K133" s="545"/>
      <c r="L133" s="876"/>
      <c r="M133" s="882"/>
      <c r="O133" s="545"/>
      <c r="P133" s="901"/>
      <c r="Q133" s="876"/>
      <c r="R133" s="545"/>
      <c r="S133" s="876"/>
      <c r="T133" s="545"/>
      <c r="V133" s="902"/>
      <c r="W133" s="907"/>
      <c r="X133" s="885"/>
      <c r="Y133" s="895"/>
      <c r="Z133" s="883"/>
      <c r="AG133" s="545"/>
      <c r="AI133" s="876"/>
      <c r="AQ133" s="902"/>
      <c r="AR133" s="876"/>
      <c r="AT133" s="874"/>
      <c r="AU133" s="545"/>
    </row>
    <row r="134" spans="1:47" ht="24" customHeight="1">
      <c r="A134" s="545"/>
      <c r="B134" s="876"/>
      <c r="C134" s="876"/>
      <c r="D134" s="545"/>
      <c r="E134" s="876"/>
      <c r="F134" s="545"/>
      <c r="G134" s="889"/>
      <c r="H134" s="545"/>
      <c r="I134" s="876"/>
      <c r="J134" s="876"/>
      <c r="K134" s="545"/>
      <c r="L134" s="876"/>
      <c r="M134" s="882"/>
      <c r="O134" s="545"/>
      <c r="P134" s="901"/>
      <c r="Q134" s="876"/>
      <c r="R134" s="545"/>
      <c r="S134" s="876"/>
      <c r="T134" s="545"/>
      <c r="V134" s="902"/>
      <c r="X134" s="885"/>
      <c r="Y134" s="895"/>
      <c r="Z134" s="883"/>
      <c r="AG134" s="545"/>
      <c r="AI134" s="876"/>
      <c r="AQ134" s="902"/>
      <c r="AT134" s="874"/>
      <c r="AU134" s="881"/>
    </row>
    <row r="135" spans="1:47" ht="24" customHeight="1">
      <c r="A135" s="545"/>
      <c r="B135" s="876"/>
      <c r="C135" s="876"/>
      <c r="D135" s="545"/>
      <c r="E135" s="876"/>
      <c r="F135" s="545"/>
      <c r="G135" s="889"/>
      <c r="H135" s="545"/>
      <c r="I135" s="876"/>
      <c r="J135" s="876"/>
      <c r="K135" s="876"/>
      <c r="L135" s="876"/>
      <c r="M135" s="882"/>
      <c r="P135" s="901"/>
      <c r="Q135" s="876"/>
      <c r="R135" s="876"/>
      <c r="S135" s="876"/>
      <c r="T135" s="545"/>
      <c r="V135" s="902"/>
      <c r="Y135" s="874"/>
      <c r="Z135" s="881"/>
      <c r="AG135" s="545"/>
      <c r="AI135" s="876"/>
      <c r="AQ135" s="902"/>
      <c r="AR135" s="876"/>
      <c r="AT135" s="874"/>
      <c r="AU135" s="545"/>
    </row>
    <row r="136" spans="1:47" ht="24" customHeight="1">
      <c r="A136" s="545"/>
      <c r="B136" s="876"/>
      <c r="C136" s="876"/>
      <c r="D136" s="545"/>
      <c r="E136" s="876"/>
      <c r="F136" s="545"/>
      <c r="G136" s="889"/>
      <c r="H136" s="545"/>
      <c r="M136" s="882"/>
      <c r="P136" s="902"/>
      <c r="S136" s="874"/>
      <c r="T136" s="881"/>
      <c r="V136" s="902"/>
      <c r="Y136" s="874"/>
      <c r="Z136" s="881"/>
      <c r="AG136" s="545"/>
      <c r="AI136" s="876"/>
      <c r="AQ136" s="902"/>
      <c r="AT136" s="874"/>
      <c r="AU136" s="881"/>
    </row>
    <row r="137" spans="1:47" ht="24" customHeight="1">
      <c r="A137" s="545"/>
      <c r="B137" s="876"/>
      <c r="C137" s="876"/>
      <c r="D137" s="545"/>
      <c r="E137" s="876"/>
      <c r="F137" s="545"/>
      <c r="G137" s="889"/>
      <c r="H137" s="545"/>
      <c r="J137" s="876"/>
      <c r="M137" s="883"/>
      <c r="P137" s="902"/>
      <c r="Q137" s="876"/>
      <c r="S137" s="874"/>
      <c r="T137" s="545"/>
      <c r="V137" s="901"/>
      <c r="W137" s="908"/>
      <c r="Y137" s="874"/>
      <c r="AG137" s="545"/>
      <c r="AI137" s="876"/>
      <c r="AQ137" s="902"/>
      <c r="AT137" s="874"/>
    </row>
    <row r="138" spans="1:47" ht="24" customHeight="1">
      <c r="A138" s="545"/>
      <c r="B138" s="876"/>
      <c r="C138" s="876"/>
      <c r="D138" s="545"/>
      <c r="E138" s="876"/>
      <c r="F138" s="545"/>
      <c r="G138" s="889"/>
      <c r="H138" s="545"/>
      <c r="M138" s="882"/>
      <c r="P138" s="902"/>
      <c r="Q138" s="876"/>
      <c r="S138" s="874"/>
      <c r="T138" s="881"/>
      <c r="V138" s="902"/>
      <c r="Y138" s="874"/>
      <c r="AG138" s="545"/>
      <c r="AI138" s="876"/>
      <c r="AQ138" s="901"/>
      <c r="AR138" s="876"/>
      <c r="AT138" s="874"/>
    </row>
    <row r="139" spans="1:47" ht="24" customHeight="1">
      <c r="A139" s="545"/>
      <c r="B139" s="876"/>
      <c r="C139" s="876"/>
      <c r="D139" s="545"/>
      <c r="E139" s="876"/>
      <c r="F139" s="545"/>
      <c r="G139" s="889"/>
      <c r="H139" s="545"/>
      <c r="I139" s="876"/>
      <c r="J139" s="876"/>
      <c r="V139" s="901"/>
      <c r="W139" s="876"/>
      <c r="X139" s="545"/>
      <c r="Y139" s="876"/>
      <c r="Z139" s="545"/>
      <c r="AG139" s="545"/>
      <c r="AQ139" s="902"/>
      <c r="AR139" s="881"/>
      <c r="AT139" s="874"/>
    </row>
    <row r="140" spans="1:47" ht="24" customHeight="1">
      <c r="A140" s="545"/>
      <c r="B140" s="876"/>
      <c r="C140" s="876"/>
      <c r="D140" s="545"/>
      <c r="E140" s="876"/>
      <c r="F140" s="545"/>
      <c r="G140" s="889"/>
      <c r="H140" s="545"/>
      <c r="J140" s="876"/>
      <c r="O140" s="880"/>
      <c r="P140" s="901"/>
      <c r="Q140" s="876"/>
      <c r="S140" s="874"/>
      <c r="V140" s="901"/>
      <c r="W140" s="876"/>
      <c r="X140" s="545"/>
      <c r="Y140" s="876"/>
      <c r="Z140" s="545"/>
      <c r="AG140" s="545"/>
      <c r="AP140" s="545"/>
      <c r="AQ140" s="901"/>
      <c r="AR140" s="876"/>
      <c r="AS140" s="545"/>
      <c r="AT140" s="876"/>
      <c r="AU140" s="545"/>
    </row>
    <row r="141" spans="1:47" ht="24" customHeight="1">
      <c r="A141" s="545"/>
      <c r="B141" s="876"/>
      <c r="C141" s="876"/>
      <c r="D141" s="545"/>
      <c r="E141" s="876"/>
      <c r="F141" s="545"/>
      <c r="G141" s="889"/>
      <c r="H141" s="545"/>
      <c r="J141" s="876"/>
      <c r="P141" s="902"/>
      <c r="Q141" s="876"/>
      <c r="S141" s="874"/>
      <c r="V141" s="901"/>
      <c r="W141" s="876"/>
      <c r="Y141" s="876"/>
      <c r="Z141" s="545"/>
      <c r="AG141" s="545"/>
      <c r="AP141" s="545"/>
      <c r="AQ141" s="901"/>
      <c r="AR141" s="876"/>
      <c r="AS141" s="545"/>
      <c r="AT141" s="876"/>
      <c r="AU141" s="545"/>
    </row>
    <row r="142" spans="1:47" ht="24" customHeight="1">
      <c r="A142" s="545"/>
      <c r="B142" s="876"/>
      <c r="C142" s="876"/>
      <c r="D142" s="545"/>
      <c r="E142" s="876"/>
      <c r="F142" s="545"/>
      <c r="G142" s="889"/>
      <c r="H142" s="545"/>
      <c r="J142" s="876"/>
      <c r="P142" s="902"/>
      <c r="Q142" s="881"/>
      <c r="S142" s="874"/>
      <c r="V142" s="902"/>
      <c r="Y142" s="874"/>
      <c r="Z142" s="881"/>
      <c r="AG142" s="545"/>
      <c r="AQ142" s="901"/>
      <c r="AR142" s="876"/>
      <c r="AS142" s="876"/>
      <c r="AT142" s="876"/>
      <c r="AU142" s="545"/>
    </row>
    <row r="143" spans="1:47" ht="24" customHeight="1">
      <c r="A143" s="545"/>
      <c r="B143" s="876"/>
      <c r="C143" s="876"/>
      <c r="D143" s="545"/>
      <c r="E143" s="876"/>
      <c r="F143" s="545"/>
      <c r="G143" s="889"/>
      <c r="H143" s="545"/>
      <c r="J143" s="876"/>
      <c r="O143" s="545"/>
      <c r="P143" s="901"/>
      <c r="Q143" s="876"/>
      <c r="R143" s="545"/>
      <c r="S143" s="876"/>
      <c r="T143" s="545"/>
      <c r="V143" s="902"/>
      <c r="W143" s="876"/>
      <c r="Y143" s="874"/>
      <c r="Z143" s="545"/>
      <c r="AG143" s="545"/>
      <c r="AQ143" s="902"/>
      <c r="AT143" s="874"/>
      <c r="AU143" s="881"/>
    </row>
    <row r="144" spans="1:47" ht="24" customHeight="1">
      <c r="A144" s="545"/>
      <c r="B144" s="876"/>
      <c r="C144" s="876"/>
      <c r="D144" s="545"/>
      <c r="E144" s="876"/>
      <c r="F144" s="545"/>
      <c r="G144" s="889"/>
      <c r="H144" s="545"/>
      <c r="J144" s="881"/>
      <c r="O144" s="545"/>
      <c r="P144" s="901"/>
      <c r="Q144" s="876"/>
      <c r="R144" s="545"/>
      <c r="S144" s="876"/>
      <c r="T144" s="545"/>
      <c r="V144" s="902"/>
      <c r="Y144" s="874"/>
      <c r="Z144" s="881"/>
      <c r="AG144" s="545"/>
      <c r="AQ144" s="902"/>
      <c r="AR144" s="876"/>
      <c r="AT144" s="874"/>
      <c r="AU144" s="545"/>
    </row>
    <row r="145" spans="1:47" ht="24" customHeight="1">
      <c r="A145" s="545"/>
      <c r="B145" s="876"/>
      <c r="C145" s="876"/>
      <c r="D145" s="545"/>
      <c r="E145" s="876"/>
      <c r="F145" s="545"/>
      <c r="G145" s="889"/>
      <c r="H145" s="545"/>
      <c r="I145" s="876"/>
      <c r="J145" s="876"/>
      <c r="K145" s="545"/>
      <c r="L145" s="876"/>
      <c r="M145" s="882"/>
      <c r="P145" s="901"/>
      <c r="Q145" s="876"/>
      <c r="R145" s="876"/>
      <c r="S145" s="876"/>
      <c r="T145" s="545"/>
      <c r="V145" s="902"/>
      <c r="W145" s="876"/>
      <c r="Y145" s="874"/>
      <c r="Z145" s="892"/>
      <c r="AG145" s="545"/>
      <c r="AQ145" s="902"/>
      <c r="AT145" s="874"/>
      <c r="AU145" s="881"/>
    </row>
    <row r="146" spans="1:47" ht="24" customHeight="1">
      <c r="A146" s="545"/>
      <c r="B146" s="876"/>
      <c r="C146" s="876"/>
      <c r="D146" s="545"/>
      <c r="E146" s="876"/>
      <c r="F146" s="545"/>
      <c r="G146" s="889"/>
      <c r="H146" s="545"/>
      <c r="I146" s="876"/>
      <c r="J146" s="913"/>
      <c r="K146" s="889"/>
      <c r="L146" s="876"/>
      <c r="M146" s="882"/>
      <c r="P146" s="902"/>
      <c r="S146" s="874"/>
      <c r="T146" s="881"/>
      <c r="V146" s="902"/>
      <c r="Y146" s="874"/>
      <c r="Z146" s="881"/>
      <c r="AG146" s="545"/>
      <c r="AQ146" s="902"/>
      <c r="AR146" s="876"/>
      <c r="AT146" s="874"/>
      <c r="AU146" s="892"/>
    </row>
    <row r="147" spans="1:47" ht="24" customHeight="1">
      <c r="A147" s="545"/>
      <c r="B147" s="876"/>
      <c r="C147" s="876"/>
      <c r="D147" s="545"/>
      <c r="E147" s="876"/>
      <c r="F147" s="545"/>
      <c r="G147" s="889"/>
      <c r="H147" s="545"/>
      <c r="I147" s="876"/>
      <c r="J147" s="876"/>
      <c r="K147" s="545"/>
      <c r="L147" s="876"/>
      <c r="M147" s="882"/>
      <c r="P147" s="902"/>
      <c r="Q147" s="876"/>
      <c r="S147" s="874"/>
      <c r="T147" s="545"/>
      <c r="V147" s="902"/>
      <c r="W147" s="876"/>
      <c r="X147" s="885"/>
      <c r="Y147" s="874"/>
      <c r="Z147" s="892"/>
      <c r="AG147" s="545"/>
      <c r="AQ147" s="902"/>
      <c r="AT147" s="874"/>
      <c r="AU147" s="881"/>
    </row>
    <row r="148" spans="1:47" ht="24" customHeight="1">
      <c r="A148" s="545"/>
      <c r="B148" s="876"/>
      <c r="C148" s="876"/>
      <c r="D148" s="545"/>
      <c r="E148" s="876"/>
      <c r="F148" s="545"/>
      <c r="G148" s="889"/>
      <c r="H148" s="545"/>
      <c r="I148" s="876"/>
      <c r="J148" s="913"/>
      <c r="K148" s="889"/>
      <c r="L148" s="876"/>
      <c r="M148" s="882"/>
      <c r="P148" s="902"/>
      <c r="Q148" s="876"/>
      <c r="S148" s="874"/>
      <c r="T148" s="881"/>
      <c r="V148" s="902"/>
      <c r="X148" s="885"/>
      <c r="Y148" s="874"/>
      <c r="Z148" s="883"/>
      <c r="AG148" s="545"/>
      <c r="AQ148" s="902"/>
      <c r="AR148" s="876"/>
      <c r="AT148" s="874"/>
      <c r="AU148" s="892"/>
    </row>
    <row r="149" spans="1:47" ht="24" customHeight="1">
      <c r="A149" s="545"/>
      <c r="B149" s="876"/>
      <c r="C149" s="876"/>
      <c r="D149" s="545"/>
      <c r="E149" s="876"/>
      <c r="F149" s="545"/>
      <c r="G149" s="889"/>
      <c r="H149" s="545"/>
      <c r="I149" s="876"/>
      <c r="J149" s="876"/>
      <c r="K149" s="545"/>
      <c r="L149" s="876"/>
      <c r="M149" s="882"/>
      <c r="V149" s="902"/>
      <c r="Y149" s="874"/>
      <c r="Z149" s="881"/>
      <c r="AG149" s="545"/>
      <c r="AQ149" s="902"/>
      <c r="AR149" s="876"/>
      <c r="AT149" s="874"/>
      <c r="AU149" s="892"/>
    </row>
    <row r="150" spans="1:47" ht="24" customHeight="1">
      <c r="A150" s="545"/>
      <c r="B150" s="876"/>
      <c r="C150" s="876"/>
      <c r="D150" s="545"/>
      <c r="E150" s="876"/>
      <c r="F150" s="545"/>
      <c r="G150" s="889"/>
      <c r="H150" s="545"/>
      <c r="I150" s="876"/>
      <c r="J150" s="913"/>
      <c r="K150" s="889"/>
      <c r="L150" s="876"/>
      <c r="M150" s="882"/>
      <c r="V150" s="902"/>
      <c r="Y150" s="874"/>
      <c r="Z150" s="881"/>
      <c r="AG150" s="545"/>
      <c r="AQ150" s="902"/>
      <c r="AR150" s="876"/>
      <c r="AT150" s="874"/>
      <c r="AU150" s="892"/>
    </row>
    <row r="151" spans="1:47" ht="24" customHeight="1">
      <c r="A151" s="545"/>
      <c r="B151" s="876"/>
      <c r="C151" s="876"/>
      <c r="D151" s="545"/>
      <c r="E151" s="876"/>
      <c r="F151" s="545"/>
      <c r="G151" s="889"/>
      <c r="H151" s="545"/>
      <c r="J151" s="876"/>
      <c r="V151" s="902"/>
      <c r="W151" s="908"/>
      <c r="Y151" s="874"/>
      <c r="Z151" s="881"/>
      <c r="AG151" s="545"/>
      <c r="AQ151" s="902"/>
      <c r="AR151" s="876"/>
      <c r="AT151" s="874"/>
      <c r="AU151" s="892"/>
    </row>
    <row r="152" spans="1:47" ht="24" customHeight="1">
      <c r="A152" s="545"/>
      <c r="B152" s="876"/>
      <c r="C152" s="876"/>
      <c r="D152" s="545"/>
      <c r="E152" s="876"/>
      <c r="F152" s="545"/>
      <c r="G152" s="889"/>
      <c r="H152" s="545"/>
      <c r="I152" s="876"/>
      <c r="J152" s="876"/>
      <c r="K152" s="876"/>
      <c r="L152" s="876"/>
      <c r="M152" s="882"/>
      <c r="V152" s="902"/>
      <c r="Y152" s="874"/>
      <c r="Z152" s="881"/>
      <c r="AG152" s="545"/>
      <c r="AQ152" s="902"/>
      <c r="AR152" s="876"/>
      <c r="AT152" s="874"/>
      <c r="AU152" s="892"/>
    </row>
    <row r="153" spans="1:47" ht="24" customHeight="1">
      <c r="A153" s="545"/>
      <c r="B153" s="876"/>
      <c r="C153" s="876"/>
      <c r="D153" s="545"/>
      <c r="E153" s="876"/>
      <c r="F153" s="545"/>
      <c r="G153" s="889"/>
      <c r="H153" s="545"/>
      <c r="M153" s="882"/>
      <c r="O153" s="880"/>
      <c r="P153" s="901"/>
      <c r="Q153" s="876"/>
      <c r="S153" s="874"/>
      <c r="V153" s="901"/>
      <c r="W153" s="876"/>
      <c r="Y153" s="876"/>
      <c r="Z153" s="545"/>
      <c r="AG153" s="545"/>
      <c r="AP153" s="900"/>
      <c r="AQ153" s="901"/>
      <c r="AR153" s="876"/>
      <c r="AT153" s="874"/>
    </row>
    <row r="154" spans="1:47" ht="24" customHeight="1">
      <c r="A154" s="545"/>
      <c r="B154" s="876"/>
      <c r="C154" s="876"/>
      <c r="D154" s="545"/>
      <c r="E154" s="876"/>
      <c r="F154" s="545"/>
      <c r="G154" s="889"/>
      <c r="H154" s="545"/>
      <c r="J154" s="872"/>
      <c r="M154" s="883"/>
      <c r="P154" s="902"/>
      <c r="Q154" s="876"/>
      <c r="S154" s="874"/>
      <c r="V154" s="902"/>
      <c r="Y154" s="874"/>
      <c r="Z154" s="545"/>
      <c r="AG154" s="545"/>
      <c r="AQ154" s="902"/>
      <c r="AR154" s="545"/>
      <c r="AT154" s="874"/>
    </row>
    <row r="155" spans="1:47" ht="24" customHeight="1">
      <c r="A155" s="545"/>
      <c r="B155" s="876"/>
      <c r="C155" s="876"/>
      <c r="D155" s="545"/>
      <c r="E155" s="876"/>
      <c r="F155" s="545"/>
      <c r="G155" s="889"/>
      <c r="H155" s="545"/>
      <c r="M155" s="882"/>
      <c r="P155" s="902"/>
      <c r="Q155" s="881"/>
      <c r="S155" s="874"/>
      <c r="V155" s="902"/>
      <c r="Y155" s="874"/>
      <c r="Z155" s="881"/>
      <c r="AG155" s="545"/>
      <c r="AQ155" s="902"/>
      <c r="AR155" s="881"/>
      <c r="AT155" s="874"/>
    </row>
    <row r="156" spans="1:47" ht="24" customHeight="1">
      <c r="A156" s="545"/>
      <c r="B156" s="876"/>
      <c r="C156" s="876"/>
      <c r="D156" s="545"/>
      <c r="E156" s="876"/>
      <c r="F156" s="545"/>
      <c r="G156" s="889"/>
      <c r="H156" s="545"/>
      <c r="J156" s="876"/>
      <c r="M156" s="882"/>
      <c r="O156" s="545"/>
      <c r="P156" s="901"/>
      <c r="Q156" s="876"/>
      <c r="R156" s="545"/>
      <c r="S156" s="876"/>
      <c r="T156" s="545"/>
      <c r="V156" s="902"/>
      <c r="W156" s="876"/>
      <c r="Y156" s="874"/>
      <c r="Z156" s="545"/>
      <c r="AG156" s="545"/>
      <c r="AP156" s="545"/>
      <c r="AQ156" s="901"/>
      <c r="AR156" s="545"/>
      <c r="AS156" s="545"/>
      <c r="AT156" s="876"/>
      <c r="AU156" s="545"/>
    </row>
    <row r="157" spans="1:47" ht="24" customHeight="1">
      <c r="A157" s="545"/>
      <c r="B157" s="876"/>
      <c r="C157" s="876"/>
      <c r="D157" s="545"/>
      <c r="E157" s="876"/>
      <c r="F157" s="545"/>
      <c r="G157" s="889"/>
      <c r="H157" s="545"/>
      <c r="M157" s="882"/>
      <c r="O157" s="545"/>
      <c r="P157" s="901"/>
      <c r="Q157" s="876"/>
      <c r="R157" s="545"/>
      <c r="S157" s="876"/>
      <c r="T157" s="545"/>
      <c r="V157" s="902"/>
      <c r="Y157" s="874"/>
      <c r="Z157" s="881"/>
      <c r="AG157" s="545"/>
      <c r="AP157" s="904"/>
      <c r="AQ157" s="901"/>
      <c r="AR157" s="876"/>
      <c r="AS157" s="545"/>
      <c r="AT157" s="876"/>
      <c r="AU157" s="545"/>
    </row>
    <row r="158" spans="1:47" ht="24" customHeight="1">
      <c r="A158" s="545"/>
      <c r="B158" s="876"/>
      <c r="C158" s="876"/>
      <c r="D158" s="545"/>
      <c r="E158" s="876"/>
      <c r="F158" s="545"/>
      <c r="G158" s="889"/>
      <c r="H158" s="545"/>
      <c r="I158" s="876"/>
      <c r="J158" s="876"/>
      <c r="O158" s="545"/>
      <c r="P158" s="901"/>
      <c r="Q158" s="876"/>
      <c r="R158" s="545"/>
      <c r="S158" s="876"/>
      <c r="T158" s="545"/>
      <c r="V158" s="902"/>
      <c r="W158" s="910"/>
      <c r="X158" s="885"/>
      <c r="Y158" s="874"/>
      <c r="Z158" s="883"/>
      <c r="AG158" s="545"/>
      <c r="AP158" s="545"/>
      <c r="AQ158" s="901"/>
      <c r="AR158" s="876"/>
      <c r="AS158" s="545"/>
      <c r="AT158" s="876"/>
      <c r="AU158" s="545"/>
    </row>
    <row r="159" spans="1:47" ht="24" customHeight="1">
      <c r="A159" s="545"/>
      <c r="B159" s="876"/>
      <c r="C159" s="876"/>
      <c r="D159" s="545"/>
      <c r="E159" s="876"/>
      <c r="F159" s="545"/>
      <c r="G159" s="889"/>
      <c r="H159" s="545"/>
      <c r="J159" s="881"/>
      <c r="O159" s="545"/>
      <c r="P159" s="901"/>
      <c r="Q159" s="876"/>
      <c r="R159" s="545"/>
      <c r="S159" s="876"/>
      <c r="T159" s="545"/>
      <c r="V159" s="902"/>
      <c r="X159" s="885"/>
      <c r="Y159" s="874"/>
      <c r="Z159" s="883"/>
      <c r="AG159" s="545"/>
      <c r="AP159" s="545"/>
      <c r="AQ159" s="901"/>
      <c r="AR159" s="876"/>
      <c r="AS159" s="545"/>
      <c r="AT159" s="876"/>
      <c r="AU159" s="545"/>
    </row>
    <row r="160" spans="1:47" ht="24" customHeight="1">
      <c r="A160" s="545"/>
      <c r="B160" s="876"/>
      <c r="C160" s="876"/>
      <c r="D160" s="545"/>
      <c r="E160" s="876"/>
      <c r="F160" s="545"/>
      <c r="G160" s="889"/>
      <c r="H160" s="545"/>
      <c r="I160" s="876"/>
      <c r="J160" s="876"/>
      <c r="K160" s="545"/>
      <c r="L160" s="876"/>
      <c r="M160" s="882"/>
      <c r="O160" s="545"/>
      <c r="P160" s="901"/>
      <c r="Q160" s="876"/>
      <c r="R160" s="545"/>
      <c r="S160" s="876"/>
      <c r="T160" s="545"/>
      <c r="V160" s="902"/>
      <c r="X160" s="885"/>
      <c r="Y160" s="874"/>
      <c r="Z160" s="881"/>
      <c r="AG160" s="545"/>
      <c r="AP160" s="545"/>
      <c r="AQ160" s="901"/>
      <c r="AR160" s="876"/>
      <c r="AS160" s="545"/>
      <c r="AT160" s="876"/>
      <c r="AU160" s="545"/>
    </row>
    <row r="161" spans="1:47" ht="24" customHeight="1">
      <c r="A161" s="545"/>
      <c r="B161" s="876"/>
      <c r="C161" s="876"/>
      <c r="D161" s="545"/>
      <c r="E161" s="876"/>
      <c r="F161" s="545"/>
      <c r="G161" s="889"/>
      <c r="H161" s="545"/>
      <c r="I161" s="876"/>
      <c r="J161" s="876"/>
      <c r="K161" s="545"/>
      <c r="L161" s="876"/>
      <c r="M161" s="882"/>
      <c r="P161" s="901"/>
      <c r="Q161" s="876"/>
      <c r="S161" s="876"/>
      <c r="T161" s="545"/>
      <c r="V161" s="902"/>
      <c r="W161" s="876"/>
      <c r="X161" s="885"/>
      <c r="Y161" s="874"/>
      <c r="AG161" s="545"/>
      <c r="AP161" s="545"/>
      <c r="AQ161" s="901"/>
      <c r="AR161" s="876"/>
      <c r="AS161" s="545"/>
      <c r="AT161" s="876"/>
      <c r="AU161" s="545"/>
    </row>
    <row r="162" spans="1:47" ht="24" customHeight="1">
      <c r="A162" s="545"/>
      <c r="B162" s="876"/>
      <c r="C162" s="876"/>
      <c r="D162" s="545"/>
      <c r="E162" s="876"/>
      <c r="F162" s="545"/>
      <c r="G162" s="889"/>
      <c r="H162" s="545"/>
      <c r="I162" s="876"/>
      <c r="J162" s="876"/>
      <c r="K162" s="876"/>
      <c r="L162" s="876"/>
      <c r="M162" s="882"/>
      <c r="P162" s="902"/>
      <c r="S162" s="874"/>
      <c r="T162" s="881"/>
      <c r="V162" s="902"/>
      <c r="W162" s="876"/>
      <c r="X162" s="885"/>
      <c r="Y162" s="874"/>
      <c r="Z162" s="892"/>
      <c r="AG162" s="545"/>
      <c r="AQ162" s="901"/>
      <c r="AR162" s="876"/>
      <c r="AS162" s="876"/>
      <c r="AT162" s="876"/>
      <c r="AU162" s="545"/>
    </row>
    <row r="163" spans="1:47" ht="24" customHeight="1">
      <c r="A163" s="545"/>
      <c r="B163" s="876"/>
      <c r="C163" s="876"/>
      <c r="D163" s="545"/>
      <c r="E163" s="876"/>
      <c r="F163" s="545"/>
      <c r="G163" s="889"/>
      <c r="H163" s="545"/>
      <c r="M163" s="882"/>
      <c r="P163" s="902"/>
      <c r="S163" s="874"/>
      <c r="T163" s="545"/>
      <c r="V163" s="902"/>
      <c r="W163" s="876"/>
      <c r="X163" s="885"/>
      <c r="Y163" s="874"/>
      <c r="Z163" s="883"/>
      <c r="AG163" s="545"/>
      <c r="AQ163" s="902"/>
      <c r="AT163" s="874"/>
      <c r="AU163" s="881"/>
    </row>
    <row r="164" spans="1:47" ht="24" customHeight="1">
      <c r="A164" s="545"/>
      <c r="B164" s="876"/>
      <c r="C164" s="876"/>
      <c r="D164" s="545"/>
      <c r="E164" s="876"/>
      <c r="F164" s="545"/>
      <c r="G164" s="889"/>
      <c r="H164" s="545"/>
      <c r="J164" s="872"/>
      <c r="M164" s="883"/>
      <c r="P164" s="902"/>
      <c r="Q164" s="880"/>
      <c r="S164" s="874"/>
      <c r="T164" s="881"/>
      <c r="V164" s="902"/>
      <c r="Y164" s="874"/>
      <c r="Z164" s="881"/>
      <c r="AG164" s="545"/>
      <c r="AQ164" s="902"/>
      <c r="AR164" s="876"/>
      <c r="AT164" s="874"/>
      <c r="AU164" s="545"/>
    </row>
    <row r="165" spans="1:47" ht="24" customHeight="1">
      <c r="A165" s="545"/>
      <c r="B165" s="876"/>
      <c r="C165" s="876"/>
      <c r="D165" s="545"/>
      <c r="E165" s="876"/>
      <c r="F165" s="545"/>
      <c r="G165" s="889"/>
      <c r="H165" s="545"/>
      <c r="M165" s="882"/>
      <c r="P165" s="902"/>
      <c r="S165" s="874"/>
      <c r="T165" s="892"/>
      <c r="V165" s="902"/>
      <c r="W165" s="875"/>
      <c r="X165" s="885"/>
      <c r="Y165" s="874"/>
      <c r="Z165" s="892"/>
      <c r="AG165" s="545"/>
      <c r="AQ165" s="902"/>
      <c r="AT165" s="874"/>
      <c r="AU165" s="881"/>
    </row>
    <row r="166" spans="1:47" ht="24" customHeight="1">
      <c r="A166" s="545"/>
      <c r="B166" s="876"/>
      <c r="C166" s="876"/>
      <c r="D166" s="545"/>
      <c r="E166" s="876"/>
      <c r="F166" s="545"/>
      <c r="G166" s="889"/>
      <c r="H166" s="545"/>
      <c r="I166" s="876"/>
      <c r="J166" s="876"/>
      <c r="P166" s="902"/>
      <c r="Q166" s="872"/>
      <c r="S166" s="874"/>
      <c r="T166" s="881"/>
      <c r="AG166" s="545"/>
      <c r="AQ166" s="902"/>
      <c r="AR166" s="876"/>
      <c r="AT166" s="874"/>
      <c r="AU166" s="545"/>
    </row>
    <row r="167" spans="1:47" ht="24" customHeight="1">
      <c r="A167" s="545"/>
      <c r="B167" s="876"/>
      <c r="C167" s="876"/>
      <c r="D167" s="545"/>
      <c r="E167" s="876"/>
      <c r="F167" s="545"/>
      <c r="G167" s="889"/>
      <c r="H167" s="545"/>
      <c r="J167" s="881"/>
      <c r="AG167" s="545"/>
      <c r="AQ167" s="902"/>
      <c r="AT167" s="874"/>
      <c r="AU167" s="881"/>
    </row>
    <row r="168" spans="1:47" ht="24" customHeight="1">
      <c r="A168" s="545"/>
      <c r="B168" s="876"/>
      <c r="C168" s="876"/>
      <c r="D168" s="545"/>
      <c r="E168" s="876"/>
      <c r="F168" s="545"/>
      <c r="G168" s="889"/>
      <c r="H168" s="545"/>
      <c r="I168" s="876"/>
      <c r="J168" s="876"/>
      <c r="K168" s="545"/>
      <c r="L168" s="876"/>
      <c r="M168" s="882"/>
      <c r="AG168" s="545"/>
      <c r="AP168" s="876"/>
      <c r="AQ168" s="902"/>
      <c r="AT168" s="874"/>
    </row>
    <row r="169" spans="1:47" ht="24" customHeight="1">
      <c r="A169" s="545"/>
      <c r="B169" s="876"/>
      <c r="C169" s="876"/>
      <c r="D169" s="545"/>
      <c r="E169" s="876"/>
      <c r="F169" s="545"/>
      <c r="G169" s="889"/>
      <c r="H169" s="545"/>
      <c r="I169" s="876"/>
      <c r="J169" s="876"/>
      <c r="K169" s="545"/>
      <c r="L169" s="876"/>
      <c r="M169" s="882"/>
      <c r="AG169" s="545"/>
      <c r="AQ169" s="902"/>
      <c r="AT169" s="874"/>
    </row>
    <row r="170" spans="1:47" ht="24" customHeight="1">
      <c r="A170" s="545"/>
      <c r="B170" s="876"/>
      <c r="C170" s="876"/>
      <c r="D170" s="545"/>
      <c r="E170" s="876"/>
      <c r="F170" s="545"/>
      <c r="G170" s="889"/>
      <c r="H170" s="545"/>
      <c r="I170" s="876"/>
      <c r="J170" s="876"/>
      <c r="K170" s="876"/>
      <c r="L170" s="876"/>
      <c r="M170" s="882"/>
      <c r="AG170" s="545"/>
      <c r="AQ170" s="901"/>
      <c r="AR170" s="876"/>
      <c r="AT170" s="874"/>
    </row>
    <row r="171" spans="1:47" ht="24" customHeight="1">
      <c r="A171" s="545"/>
      <c r="B171" s="876"/>
      <c r="C171" s="876"/>
      <c r="D171" s="545"/>
      <c r="E171" s="876"/>
      <c r="F171" s="545"/>
      <c r="G171" s="889"/>
      <c r="H171" s="545"/>
      <c r="M171" s="882"/>
      <c r="AG171" s="545"/>
      <c r="AQ171" s="902"/>
      <c r="AR171" s="881"/>
      <c r="AT171" s="874"/>
    </row>
    <row r="172" spans="1:47" ht="24" customHeight="1">
      <c r="A172" s="545"/>
      <c r="B172" s="876"/>
      <c r="C172" s="876"/>
      <c r="D172" s="545"/>
      <c r="E172" s="876"/>
      <c r="F172" s="545"/>
      <c r="G172" s="889"/>
      <c r="H172" s="545"/>
      <c r="J172" s="872"/>
      <c r="M172" s="883"/>
      <c r="AG172" s="545"/>
      <c r="AP172" s="545"/>
      <c r="AQ172" s="901"/>
      <c r="AR172" s="876"/>
      <c r="AS172" s="545"/>
      <c r="AT172" s="876"/>
      <c r="AU172" s="545"/>
    </row>
    <row r="173" spans="1:47" ht="24" customHeight="1">
      <c r="A173" s="545"/>
      <c r="B173" s="876"/>
      <c r="C173" s="876"/>
      <c r="D173" s="545"/>
      <c r="E173" s="876"/>
      <c r="F173" s="545"/>
      <c r="G173" s="889"/>
      <c r="H173" s="545"/>
      <c r="M173" s="882"/>
      <c r="O173" s="545"/>
      <c r="P173" s="876"/>
      <c r="Q173" s="876"/>
      <c r="R173" s="545"/>
      <c r="S173" s="876"/>
      <c r="T173" s="545"/>
      <c r="AG173" s="545"/>
      <c r="AI173" s="876"/>
      <c r="AP173" s="545"/>
      <c r="AQ173" s="901"/>
      <c r="AR173" s="876"/>
      <c r="AS173" s="545"/>
      <c r="AT173" s="876"/>
      <c r="AU173" s="545"/>
    </row>
    <row r="174" spans="1:47" ht="24" customHeight="1">
      <c r="A174" s="545"/>
      <c r="B174" s="876"/>
      <c r="C174" s="876"/>
      <c r="D174" s="545"/>
      <c r="E174" s="876"/>
      <c r="F174" s="545"/>
      <c r="G174" s="889"/>
      <c r="H174" s="545"/>
      <c r="J174" s="876"/>
      <c r="O174" s="545"/>
      <c r="P174" s="876"/>
      <c r="Q174" s="876"/>
      <c r="R174" s="545"/>
      <c r="S174" s="876"/>
      <c r="T174" s="545"/>
      <c r="AG174" s="545"/>
      <c r="AI174" s="876"/>
      <c r="AQ174" s="901"/>
      <c r="AR174" s="876"/>
      <c r="AS174" s="876"/>
      <c r="AT174" s="876"/>
      <c r="AU174" s="545"/>
    </row>
    <row r="175" spans="1:47" ht="24" customHeight="1">
      <c r="A175" s="545"/>
      <c r="B175" s="876"/>
      <c r="C175" s="876"/>
      <c r="D175" s="545"/>
      <c r="E175" s="876"/>
      <c r="F175" s="545"/>
      <c r="G175" s="889"/>
      <c r="H175" s="545"/>
      <c r="J175" s="876"/>
      <c r="AG175" s="545"/>
      <c r="AQ175" s="902"/>
      <c r="AT175" s="874"/>
      <c r="AU175" s="881"/>
    </row>
    <row r="176" spans="1:47" ht="24" customHeight="1">
      <c r="A176" s="545"/>
      <c r="B176" s="876"/>
      <c r="C176" s="876"/>
      <c r="D176" s="545"/>
      <c r="E176" s="876"/>
      <c r="F176" s="545"/>
      <c r="G176" s="889"/>
      <c r="H176" s="545"/>
      <c r="AG176" s="545"/>
      <c r="AQ176" s="902"/>
      <c r="AR176" s="876"/>
      <c r="AT176" s="874"/>
      <c r="AU176" s="545"/>
    </row>
    <row r="177" spans="1:47" ht="24" customHeight="1">
      <c r="A177" s="545"/>
      <c r="B177" s="876"/>
      <c r="C177" s="876"/>
      <c r="D177" s="545"/>
      <c r="E177" s="876"/>
      <c r="F177" s="545"/>
      <c r="G177" s="889"/>
      <c r="H177" s="545"/>
      <c r="I177" s="876"/>
      <c r="J177" s="876"/>
      <c r="K177" s="545"/>
      <c r="L177" s="876"/>
      <c r="M177" s="882"/>
      <c r="AG177" s="545"/>
      <c r="AQ177" s="902"/>
      <c r="AT177" s="874"/>
      <c r="AU177" s="881"/>
    </row>
    <row r="178" spans="1:47" ht="24" customHeight="1">
      <c r="A178" s="545"/>
      <c r="B178" s="876"/>
      <c r="C178" s="876"/>
      <c r="D178" s="545"/>
      <c r="E178" s="876"/>
      <c r="F178" s="545"/>
      <c r="G178" s="889"/>
      <c r="H178" s="545"/>
      <c r="I178" s="876"/>
      <c r="J178" s="876"/>
      <c r="K178" s="914"/>
      <c r="L178" s="876"/>
      <c r="M178" s="882"/>
      <c r="AG178" s="545"/>
      <c r="AQ178" s="902"/>
      <c r="AR178" s="876"/>
      <c r="AT178" s="874"/>
      <c r="AU178" s="545"/>
    </row>
    <row r="179" spans="1:47" ht="24" customHeight="1">
      <c r="F179" s="545"/>
      <c r="G179" s="889"/>
      <c r="H179" s="545"/>
      <c r="I179" s="876"/>
      <c r="J179" s="876"/>
      <c r="K179" s="914"/>
      <c r="L179" s="876"/>
      <c r="M179" s="882"/>
      <c r="AG179" s="545"/>
      <c r="AQ179" s="902"/>
      <c r="AT179" s="874"/>
      <c r="AU179" s="881"/>
    </row>
    <row r="180" spans="1:47" ht="24" customHeight="1">
      <c r="J180" s="876"/>
      <c r="AG180" s="545"/>
      <c r="AQ180" s="902"/>
      <c r="AR180" s="876"/>
      <c r="AT180" s="874"/>
      <c r="AU180" s="892"/>
    </row>
    <row r="181" spans="1:47" ht="24" customHeight="1">
      <c r="M181" s="882"/>
      <c r="AG181" s="545"/>
      <c r="AQ181" s="902"/>
      <c r="AR181" s="876"/>
      <c r="AT181" s="874"/>
      <c r="AU181" s="892"/>
    </row>
    <row r="182" spans="1:47" ht="24" customHeight="1">
      <c r="J182" s="872"/>
      <c r="M182" s="883"/>
      <c r="AG182" s="545"/>
      <c r="AQ182" s="902"/>
      <c r="AR182" s="876"/>
      <c r="AT182" s="874"/>
      <c r="AU182" s="892"/>
    </row>
    <row r="183" spans="1:47" ht="24" customHeight="1">
      <c r="F183" s="876"/>
      <c r="G183" s="916"/>
      <c r="H183" s="876"/>
      <c r="M183" s="882"/>
      <c r="AG183" s="545"/>
      <c r="AQ183" s="902"/>
      <c r="AR183" s="876"/>
      <c r="AT183" s="874"/>
      <c r="AU183" s="892"/>
    </row>
    <row r="184" spans="1:47" ht="24" customHeight="1">
      <c r="M184" s="882"/>
      <c r="AG184" s="545"/>
      <c r="AQ184" s="902"/>
      <c r="AR184" s="876"/>
      <c r="AT184" s="874"/>
      <c r="AU184" s="892"/>
    </row>
    <row r="185" spans="1:47" ht="24" customHeight="1">
      <c r="A185" s="917"/>
      <c r="B185" s="876"/>
      <c r="C185" s="545"/>
      <c r="D185" s="876"/>
      <c r="F185" s="880"/>
      <c r="G185" s="918"/>
      <c r="H185" s="880"/>
      <c r="I185" s="876"/>
      <c r="J185" s="876"/>
      <c r="O185" s="880"/>
      <c r="P185" s="901"/>
      <c r="Q185" s="876"/>
      <c r="S185" s="874"/>
      <c r="AG185" s="545"/>
      <c r="AI185" s="876"/>
    </row>
    <row r="186" spans="1:47" ht="24" customHeight="1">
      <c r="A186" s="917"/>
      <c r="B186" s="876"/>
      <c r="C186" s="545"/>
      <c r="D186" s="876"/>
      <c r="J186" s="876"/>
      <c r="P186" s="902"/>
      <c r="Q186" s="876"/>
      <c r="S186" s="874"/>
      <c r="AG186" s="545"/>
      <c r="AI186" s="876"/>
    </row>
    <row r="187" spans="1:47" ht="24" customHeight="1">
      <c r="A187" s="917"/>
      <c r="B187" s="876"/>
      <c r="C187" s="545"/>
      <c r="D187" s="876"/>
      <c r="J187" s="881"/>
      <c r="P187" s="902"/>
      <c r="Q187" s="881"/>
      <c r="S187" s="874"/>
      <c r="AG187" s="545"/>
      <c r="AI187" s="876"/>
    </row>
    <row r="188" spans="1:47" ht="24" customHeight="1">
      <c r="A188" s="917"/>
      <c r="B188" s="876"/>
      <c r="C188" s="545"/>
      <c r="D188" s="545"/>
      <c r="F188" s="545"/>
      <c r="G188" s="889"/>
      <c r="H188" s="545"/>
      <c r="I188" s="876"/>
      <c r="J188" s="876"/>
      <c r="K188" s="545"/>
      <c r="L188" s="876"/>
      <c r="M188" s="882"/>
      <c r="O188" s="545"/>
      <c r="P188" s="901"/>
      <c r="Q188" s="876"/>
      <c r="R188" s="545"/>
      <c r="S188" s="876"/>
      <c r="T188" s="545"/>
      <c r="AG188" s="545"/>
      <c r="AI188" s="876"/>
    </row>
    <row r="189" spans="1:47" ht="24" customHeight="1">
      <c r="A189" s="917"/>
      <c r="B189" s="876"/>
      <c r="C189" s="545"/>
      <c r="D189" s="876"/>
      <c r="F189" s="545"/>
      <c r="G189" s="889"/>
      <c r="H189" s="545"/>
      <c r="I189" s="876"/>
      <c r="J189" s="876"/>
      <c r="K189" s="545"/>
      <c r="L189" s="876"/>
      <c r="M189" s="882"/>
      <c r="O189" s="545"/>
      <c r="P189" s="901"/>
      <c r="Q189" s="876"/>
      <c r="R189" s="545"/>
      <c r="S189" s="876"/>
      <c r="T189" s="545"/>
      <c r="AG189" s="545"/>
      <c r="AI189" s="876"/>
    </row>
    <row r="190" spans="1:47" ht="24" customHeight="1">
      <c r="A190" s="917"/>
      <c r="B190" s="876"/>
      <c r="C190" s="545"/>
      <c r="D190" s="876"/>
      <c r="F190" s="545"/>
      <c r="G190" s="889"/>
      <c r="H190" s="545"/>
      <c r="I190" s="876"/>
      <c r="J190" s="876"/>
      <c r="K190" s="545"/>
      <c r="L190" s="876"/>
      <c r="M190" s="882"/>
      <c r="O190" s="545"/>
      <c r="P190" s="901"/>
      <c r="Q190" s="876"/>
      <c r="R190" s="545"/>
      <c r="S190" s="876"/>
      <c r="T190" s="545"/>
      <c r="AG190" s="545"/>
      <c r="AI190" s="876"/>
    </row>
    <row r="191" spans="1:47" ht="24" customHeight="1">
      <c r="A191" s="917"/>
      <c r="B191" s="876"/>
      <c r="C191" s="545"/>
      <c r="D191" s="876"/>
      <c r="F191" s="545"/>
      <c r="G191" s="889"/>
      <c r="H191" s="545"/>
      <c r="I191" s="876"/>
      <c r="J191" s="876"/>
      <c r="K191" s="545"/>
      <c r="L191" s="876"/>
      <c r="M191" s="882"/>
      <c r="O191" s="545"/>
      <c r="P191" s="901"/>
      <c r="Q191" s="876"/>
      <c r="R191" s="545"/>
      <c r="S191" s="876"/>
      <c r="T191" s="545"/>
      <c r="AG191" s="545"/>
      <c r="AI191" s="876"/>
    </row>
    <row r="192" spans="1:47" ht="24" customHeight="1">
      <c r="A192" s="917"/>
      <c r="B192" s="876"/>
      <c r="C192" s="545"/>
      <c r="E192" s="876"/>
      <c r="F192" s="545"/>
      <c r="G192" s="889"/>
      <c r="H192" s="545"/>
      <c r="I192" s="876"/>
      <c r="J192" s="876"/>
      <c r="K192" s="545"/>
      <c r="L192" s="876"/>
      <c r="M192" s="882"/>
      <c r="O192" s="545"/>
      <c r="P192" s="901"/>
      <c r="Q192" s="876"/>
      <c r="R192" s="545"/>
      <c r="S192" s="876"/>
      <c r="T192" s="545"/>
      <c r="AG192" s="545"/>
      <c r="AI192" s="876"/>
    </row>
    <row r="193" spans="1:35" ht="24" customHeight="1">
      <c r="A193" s="917"/>
      <c r="B193" s="876"/>
      <c r="C193" s="545"/>
      <c r="D193" s="876"/>
      <c r="I193" s="876"/>
      <c r="J193" s="876"/>
      <c r="L193" s="876"/>
      <c r="M193" s="882"/>
      <c r="P193" s="901"/>
      <c r="Q193" s="876"/>
      <c r="S193" s="876"/>
      <c r="T193" s="545"/>
      <c r="AG193" s="545"/>
      <c r="AI193" s="876"/>
    </row>
    <row r="194" spans="1:35" ht="24" customHeight="1">
      <c r="A194" s="917"/>
      <c r="B194" s="876"/>
      <c r="C194" s="545"/>
      <c r="D194" s="876"/>
      <c r="M194" s="882"/>
      <c r="P194" s="902"/>
      <c r="S194" s="874"/>
      <c r="T194" s="881"/>
      <c r="AG194" s="545"/>
      <c r="AI194" s="876"/>
    </row>
    <row r="195" spans="1:35" ht="24" customHeight="1">
      <c r="A195" s="917"/>
      <c r="B195" s="876"/>
      <c r="C195" s="545"/>
      <c r="D195" s="876"/>
      <c r="M195" s="882"/>
      <c r="P195" s="902"/>
      <c r="S195" s="874"/>
      <c r="T195" s="545"/>
      <c r="AG195" s="545"/>
      <c r="AI195" s="876"/>
    </row>
    <row r="196" spans="1:35" ht="24" customHeight="1">
      <c r="A196" s="917"/>
      <c r="B196" s="876"/>
      <c r="C196" s="545"/>
      <c r="D196" s="876"/>
      <c r="J196" s="880"/>
      <c r="M196" s="882"/>
      <c r="P196" s="902"/>
      <c r="Q196" s="876"/>
      <c r="S196" s="874"/>
      <c r="T196" s="881"/>
      <c r="AG196" s="545"/>
      <c r="AI196" s="876"/>
    </row>
    <row r="197" spans="1:35" ht="24" customHeight="1">
      <c r="A197" s="917"/>
      <c r="B197" s="876"/>
      <c r="C197" s="545"/>
      <c r="D197" s="876"/>
      <c r="M197" s="883"/>
      <c r="P197" s="902"/>
      <c r="S197" s="874"/>
      <c r="T197" s="545"/>
      <c r="AG197" s="545"/>
    </row>
    <row r="198" spans="1:35" ht="24" customHeight="1">
      <c r="A198" s="917"/>
      <c r="B198" s="876"/>
      <c r="C198" s="545"/>
      <c r="D198" s="876"/>
      <c r="J198" s="872"/>
      <c r="M198" s="882"/>
      <c r="P198" s="902"/>
      <c r="Q198" s="876"/>
      <c r="S198" s="874"/>
      <c r="T198" s="881"/>
      <c r="AG198" s="545"/>
    </row>
    <row r="199" spans="1:35" ht="24" customHeight="1">
      <c r="A199" s="917"/>
      <c r="B199" s="876"/>
      <c r="C199" s="545"/>
      <c r="D199" s="876"/>
      <c r="AG199" s="545"/>
      <c r="AI199" s="876"/>
    </row>
    <row r="200" spans="1:35" ht="24" customHeight="1">
      <c r="A200" s="917"/>
      <c r="B200" s="876"/>
      <c r="C200" s="545"/>
      <c r="D200" s="876"/>
      <c r="F200" s="880"/>
      <c r="G200" s="918"/>
      <c r="H200" s="880"/>
      <c r="I200" s="876"/>
      <c r="J200" s="876"/>
      <c r="AG200" s="545"/>
    </row>
    <row r="201" spans="1:35" ht="24" customHeight="1">
      <c r="A201" s="917"/>
      <c r="B201" s="876"/>
      <c r="C201" s="545"/>
      <c r="D201" s="876"/>
      <c r="J201" s="876"/>
      <c r="P201" s="876"/>
      <c r="Q201" s="876"/>
      <c r="AG201" s="545"/>
    </row>
    <row r="202" spans="1:35" ht="24" customHeight="1">
      <c r="J202" s="881"/>
      <c r="Q202" s="881"/>
      <c r="AG202" s="545"/>
    </row>
    <row r="203" spans="1:35" ht="24" customHeight="1">
      <c r="F203" s="545"/>
      <c r="G203" s="889"/>
      <c r="H203" s="545"/>
      <c r="I203" s="876"/>
      <c r="J203" s="876"/>
      <c r="K203" s="545"/>
      <c r="L203" s="876"/>
      <c r="M203" s="882"/>
      <c r="O203" s="919"/>
      <c r="P203" s="876"/>
      <c r="Q203" s="876"/>
      <c r="R203" s="545"/>
      <c r="S203" s="876"/>
      <c r="T203" s="545"/>
      <c r="AG203" s="545"/>
    </row>
    <row r="204" spans="1:35" ht="24" customHeight="1">
      <c r="F204" s="545"/>
      <c r="G204" s="889"/>
      <c r="H204" s="545"/>
      <c r="I204" s="876"/>
      <c r="J204" s="876"/>
      <c r="K204" s="545"/>
      <c r="L204" s="876"/>
      <c r="M204" s="882"/>
      <c r="O204" s="919"/>
      <c r="P204" s="876"/>
      <c r="Q204" s="876"/>
      <c r="R204" s="545"/>
      <c r="S204" s="876"/>
      <c r="T204" s="545"/>
      <c r="AG204" s="545"/>
    </row>
    <row r="205" spans="1:35" ht="24" customHeight="1">
      <c r="F205" s="545"/>
      <c r="G205" s="889"/>
      <c r="H205" s="545"/>
      <c r="I205" s="876"/>
      <c r="J205" s="876"/>
      <c r="K205" s="545"/>
      <c r="L205" s="876"/>
      <c r="M205" s="882"/>
      <c r="O205" s="919"/>
      <c r="P205" s="876"/>
      <c r="Q205" s="876"/>
      <c r="R205" s="545"/>
      <c r="S205" s="876"/>
      <c r="T205" s="545"/>
      <c r="AG205" s="545"/>
    </row>
    <row r="206" spans="1:35" ht="24" customHeight="1">
      <c r="F206" s="545"/>
      <c r="G206" s="889"/>
      <c r="H206" s="545"/>
      <c r="I206" s="876"/>
      <c r="J206" s="876"/>
      <c r="K206" s="545"/>
      <c r="L206" s="876"/>
      <c r="M206" s="882"/>
      <c r="O206" s="919"/>
      <c r="P206" s="876"/>
      <c r="Q206" s="876"/>
      <c r="R206" s="545"/>
      <c r="S206" s="876"/>
      <c r="T206" s="545"/>
      <c r="AG206" s="545"/>
    </row>
    <row r="207" spans="1:35" ht="24" customHeight="1">
      <c r="F207" s="545"/>
      <c r="G207" s="889"/>
      <c r="H207" s="545"/>
      <c r="I207" s="876"/>
      <c r="J207" s="876"/>
      <c r="K207" s="545"/>
      <c r="L207" s="876"/>
      <c r="M207" s="882"/>
      <c r="O207" s="545"/>
      <c r="P207" s="876"/>
      <c r="Q207" s="876"/>
      <c r="R207" s="545"/>
      <c r="S207" s="876"/>
      <c r="T207" s="545"/>
      <c r="AG207" s="545"/>
    </row>
    <row r="208" spans="1:35" ht="24" customHeight="1">
      <c r="I208" s="876"/>
      <c r="J208" s="876"/>
      <c r="L208" s="876"/>
      <c r="M208" s="882"/>
      <c r="O208" s="545"/>
      <c r="P208" s="876"/>
      <c r="Q208" s="876"/>
      <c r="R208" s="545"/>
      <c r="S208" s="876"/>
      <c r="T208" s="545"/>
      <c r="AG208" s="545"/>
    </row>
    <row r="209" spans="6:33" ht="24" customHeight="1">
      <c r="M209" s="882"/>
      <c r="O209" s="545"/>
      <c r="P209" s="876"/>
      <c r="Q209" s="876"/>
      <c r="R209" s="545"/>
      <c r="S209" s="876"/>
      <c r="T209" s="545"/>
      <c r="AG209" s="545"/>
    </row>
    <row r="210" spans="6:33" ht="24" customHeight="1">
      <c r="M210" s="882"/>
      <c r="O210" s="545"/>
      <c r="P210" s="876"/>
      <c r="Q210" s="876"/>
      <c r="R210" s="545"/>
      <c r="S210" s="876"/>
      <c r="T210" s="545"/>
      <c r="AG210" s="545"/>
    </row>
    <row r="211" spans="6:33" ht="24" customHeight="1">
      <c r="J211" s="876"/>
      <c r="M211" s="882"/>
      <c r="O211" s="545"/>
      <c r="P211" s="876"/>
      <c r="Q211" s="876"/>
      <c r="R211" s="545"/>
      <c r="S211" s="876"/>
      <c r="T211" s="545"/>
      <c r="AG211" s="545"/>
    </row>
    <row r="212" spans="6:33" ht="24" customHeight="1">
      <c r="M212" s="883"/>
      <c r="O212" s="545"/>
      <c r="P212" s="876"/>
      <c r="Q212" s="876"/>
      <c r="R212" s="545"/>
      <c r="S212" s="876"/>
      <c r="T212" s="545"/>
      <c r="AG212" s="545"/>
    </row>
    <row r="213" spans="6:33" ht="24" customHeight="1">
      <c r="J213" s="872"/>
      <c r="M213" s="882"/>
      <c r="T213" s="881"/>
      <c r="AG213" s="545"/>
    </row>
    <row r="214" spans="6:33" ht="24" customHeight="1">
      <c r="Q214" s="880"/>
      <c r="T214" s="545"/>
      <c r="AG214" s="545"/>
    </row>
    <row r="215" spans="6:33" ht="24" customHeight="1">
      <c r="F215" s="880"/>
      <c r="G215" s="918"/>
      <c r="H215" s="880"/>
      <c r="I215" s="876"/>
      <c r="J215" s="876"/>
      <c r="P215" s="876"/>
      <c r="T215" s="881"/>
      <c r="AG215" s="545"/>
    </row>
    <row r="216" spans="6:33" ht="24" customHeight="1">
      <c r="J216" s="876"/>
      <c r="O216" s="876"/>
      <c r="AG216" s="545"/>
    </row>
    <row r="217" spans="6:33" ht="24" customHeight="1">
      <c r="J217" s="881"/>
      <c r="Q217" s="880"/>
      <c r="T217" s="545"/>
      <c r="AG217" s="545"/>
    </row>
    <row r="218" spans="6:33" ht="24" customHeight="1">
      <c r="F218" s="545"/>
      <c r="G218" s="889"/>
      <c r="H218" s="545"/>
      <c r="I218" s="876"/>
      <c r="J218" s="876"/>
      <c r="K218" s="545"/>
      <c r="L218" s="876"/>
      <c r="M218" s="882"/>
      <c r="O218" s="876"/>
      <c r="AG218" s="545"/>
    </row>
    <row r="219" spans="6:33" ht="24" customHeight="1">
      <c r="F219" s="545"/>
      <c r="G219" s="889"/>
      <c r="H219" s="545"/>
      <c r="I219" s="876"/>
      <c r="J219" s="876"/>
      <c r="K219" s="545"/>
      <c r="L219" s="876"/>
      <c r="M219" s="882"/>
      <c r="AG219" s="545"/>
    </row>
    <row r="220" spans="6:33" ht="24" customHeight="1">
      <c r="F220" s="545"/>
      <c r="G220" s="889"/>
      <c r="H220" s="545"/>
      <c r="I220" s="876"/>
      <c r="J220" s="876"/>
      <c r="K220" s="545"/>
      <c r="L220" s="876"/>
      <c r="M220" s="882"/>
      <c r="AG220" s="545"/>
    </row>
    <row r="221" spans="6:33" ht="24" customHeight="1">
      <c r="F221" s="545"/>
      <c r="G221" s="889"/>
      <c r="H221" s="545"/>
      <c r="I221" s="876"/>
      <c r="J221" s="876"/>
      <c r="K221" s="545"/>
      <c r="L221" s="876"/>
      <c r="M221" s="882"/>
      <c r="O221" s="880"/>
      <c r="P221" s="901"/>
      <c r="Q221" s="876"/>
      <c r="S221" s="874"/>
      <c r="AG221" s="545"/>
    </row>
    <row r="222" spans="6:33" ht="24" customHeight="1">
      <c r="F222" s="545"/>
      <c r="G222" s="889"/>
      <c r="H222" s="545"/>
      <c r="I222" s="876"/>
      <c r="J222" s="876"/>
      <c r="K222" s="545"/>
      <c r="L222" s="876"/>
      <c r="M222" s="882"/>
      <c r="P222" s="902"/>
      <c r="Q222" s="876"/>
      <c r="S222" s="874"/>
      <c r="AG222" s="545"/>
    </row>
    <row r="223" spans="6:33" ht="24" customHeight="1">
      <c r="I223" s="876"/>
      <c r="J223" s="876"/>
      <c r="L223" s="876"/>
      <c r="M223" s="882"/>
      <c r="P223" s="902"/>
      <c r="Q223" s="881"/>
      <c r="S223" s="874"/>
      <c r="AG223" s="545"/>
    </row>
    <row r="224" spans="6:33" ht="24" customHeight="1">
      <c r="M224" s="882"/>
      <c r="O224" s="545"/>
      <c r="P224" s="901"/>
      <c r="Q224" s="876"/>
      <c r="R224" s="545"/>
      <c r="S224" s="876"/>
      <c r="T224" s="545"/>
      <c r="AG224" s="545"/>
    </row>
    <row r="225" spans="6:33" ht="24" customHeight="1">
      <c r="M225" s="882"/>
      <c r="O225" s="545"/>
      <c r="P225" s="901"/>
      <c r="Q225" s="876"/>
      <c r="R225" s="545"/>
      <c r="S225" s="876"/>
      <c r="T225" s="545"/>
      <c r="AG225" s="545"/>
    </row>
    <row r="226" spans="6:33" ht="24" customHeight="1">
      <c r="J226" s="876"/>
      <c r="M226" s="882"/>
      <c r="O226" s="545"/>
      <c r="P226" s="901"/>
      <c r="Q226" s="876"/>
      <c r="R226" s="545"/>
      <c r="S226" s="876"/>
      <c r="T226" s="545"/>
      <c r="AG226" s="545"/>
    </row>
    <row r="227" spans="6:33" ht="24" customHeight="1">
      <c r="M227" s="883"/>
      <c r="O227" s="545"/>
      <c r="P227" s="901"/>
      <c r="Q227" s="876"/>
      <c r="R227" s="545"/>
      <c r="S227" s="876"/>
      <c r="T227" s="545"/>
      <c r="AG227" s="545"/>
    </row>
    <row r="228" spans="6:33" ht="24" customHeight="1">
      <c r="J228" s="872"/>
      <c r="M228" s="882"/>
      <c r="O228" s="545"/>
      <c r="P228" s="901"/>
      <c r="Q228" s="876"/>
      <c r="R228" s="545"/>
      <c r="S228" s="876"/>
      <c r="T228" s="545"/>
      <c r="AG228" s="545"/>
    </row>
    <row r="229" spans="6:33" ht="24" customHeight="1">
      <c r="P229" s="901"/>
      <c r="Q229" s="876"/>
      <c r="S229" s="876"/>
      <c r="T229" s="545"/>
      <c r="AG229" s="545"/>
    </row>
    <row r="230" spans="6:33" ht="24" customHeight="1">
      <c r="P230" s="902"/>
      <c r="S230" s="874"/>
      <c r="T230" s="881"/>
      <c r="AG230" s="545"/>
    </row>
    <row r="231" spans="6:33" ht="24" customHeight="1">
      <c r="F231" s="920"/>
      <c r="G231" s="921"/>
      <c r="H231" s="920"/>
      <c r="J231" s="876"/>
      <c r="P231" s="902"/>
      <c r="S231" s="874"/>
      <c r="T231" s="545"/>
      <c r="AG231" s="545"/>
    </row>
    <row r="232" spans="6:33" ht="24" customHeight="1">
      <c r="J232" s="876"/>
      <c r="P232" s="902"/>
      <c r="Q232" s="876"/>
      <c r="S232" s="874"/>
      <c r="T232" s="881"/>
      <c r="AG232" s="545"/>
    </row>
    <row r="233" spans="6:33" ht="24" customHeight="1">
      <c r="J233" s="881"/>
      <c r="P233" s="902"/>
      <c r="S233" s="874"/>
      <c r="T233" s="892"/>
      <c r="AG233" s="545"/>
    </row>
    <row r="234" spans="6:33" ht="24" customHeight="1">
      <c r="F234" s="545"/>
      <c r="G234" s="889"/>
      <c r="H234" s="545"/>
      <c r="I234" s="876"/>
      <c r="J234" s="876"/>
      <c r="K234" s="914"/>
      <c r="L234" s="876"/>
      <c r="M234" s="882"/>
      <c r="P234" s="902"/>
      <c r="Q234" s="872"/>
      <c r="S234" s="874"/>
      <c r="T234" s="881"/>
      <c r="AG234" s="545"/>
    </row>
    <row r="235" spans="6:33" ht="24" customHeight="1">
      <c r="F235" s="545"/>
      <c r="G235" s="889"/>
      <c r="H235" s="545"/>
      <c r="I235" s="876"/>
      <c r="J235" s="876"/>
      <c r="K235" s="545"/>
      <c r="L235" s="876"/>
      <c r="M235" s="882"/>
      <c r="AG235" s="545"/>
    </row>
    <row r="236" spans="6:33" ht="24" customHeight="1">
      <c r="F236" s="545"/>
      <c r="G236" s="889"/>
      <c r="H236" s="545"/>
      <c r="I236" s="876"/>
      <c r="J236" s="876"/>
      <c r="K236" s="545"/>
      <c r="L236" s="876"/>
      <c r="M236" s="882"/>
      <c r="AG236" s="545"/>
    </row>
    <row r="237" spans="6:33" ht="24" customHeight="1">
      <c r="F237" s="545"/>
      <c r="G237" s="889"/>
      <c r="H237" s="545"/>
      <c r="I237" s="876"/>
      <c r="J237" s="876"/>
      <c r="K237" s="545"/>
      <c r="L237" s="876"/>
      <c r="M237" s="882"/>
      <c r="AG237" s="545"/>
    </row>
    <row r="238" spans="6:33" ht="24" customHeight="1">
      <c r="F238" s="545"/>
      <c r="G238" s="889"/>
      <c r="H238" s="545"/>
      <c r="I238" s="876"/>
      <c r="J238" s="876"/>
      <c r="K238" s="914"/>
      <c r="L238" s="876"/>
      <c r="M238" s="882"/>
      <c r="AG238" s="545"/>
    </row>
    <row r="239" spans="6:33" ht="24" customHeight="1">
      <c r="J239" s="876"/>
      <c r="M239" s="882"/>
      <c r="AG239" s="545"/>
    </row>
    <row r="240" spans="6:33" ht="24" customHeight="1">
      <c r="J240" s="876"/>
      <c r="M240" s="882"/>
      <c r="AG240" s="545"/>
    </row>
    <row r="241" spans="6:33" ht="24" customHeight="1">
      <c r="M241" s="882"/>
      <c r="AG241" s="545"/>
    </row>
    <row r="242" spans="6:33" ht="24" customHeight="1">
      <c r="J242" s="872"/>
      <c r="M242" s="883"/>
      <c r="AG242" s="545"/>
    </row>
    <row r="243" spans="6:33" ht="24" customHeight="1">
      <c r="M243" s="882"/>
      <c r="AG243" s="545"/>
    </row>
    <row r="244" spans="6:33" ht="24" customHeight="1">
      <c r="AG244" s="545"/>
    </row>
    <row r="245" spans="6:33" ht="24" customHeight="1">
      <c r="F245" s="920"/>
      <c r="G245" s="921"/>
      <c r="H245" s="920"/>
      <c r="J245" s="876"/>
      <c r="AG245" s="545"/>
    </row>
    <row r="246" spans="6:33" ht="24" customHeight="1">
      <c r="J246" s="881"/>
      <c r="AG246" s="545"/>
    </row>
    <row r="247" spans="6:33" ht="24" customHeight="1">
      <c r="F247" s="545"/>
      <c r="G247" s="889"/>
      <c r="H247" s="545"/>
      <c r="I247" s="876"/>
      <c r="J247" s="876"/>
      <c r="K247" s="545"/>
      <c r="L247" s="876"/>
      <c r="M247" s="882"/>
      <c r="AG247" s="545"/>
    </row>
    <row r="248" spans="6:33" ht="24" customHeight="1">
      <c r="F248" s="922"/>
      <c r="G248" s="923"/>
      <c r="H248" s="922"/>
      <c r="I248" s="876"/>
      <c r="J248" s="876"/>
      <c r="K248" s="545"/>
      <c r="L248" s="876"/>
      <c r="M248" s="882"/>
      <c r="AG248" s="545"/>
    </row>
    <row r="249" spans="6:33" ht="24" customHeight="1">
      <c r="F249" s="545"/>
      <c r="G249" s="889"/>
      <c r="H249" s="545"/>
      <c r="I249" s="876"/>
      <c r="J249" s="876"/>
      <c r="K249" s="545"/>
      <c r="L249" s="876"/>
      <c r="M249" s="882"/>
      <c r="AG249" s="545"/>
    </row>
    <row r="250" spans="6:33" ht="24" customHeight="1">
      <c r="F250" s="545"/>
      <c r="G250" s="889"/>
      <c r="H250" s="545"/>
      <c r="I250" s="876"/>
      <c r="J250" s="876"/>
      <c r="K250" s="914"/>
      <c r="L250" s="876"/>
      <c r="M250" s="882"/>
      <c r="AG250" s="545"/>
    </row>
    <row r="251" spans="6:33" ht="24" customHeight="1">
      <c r="M251" s="882"/>
      <c r="AG251" s="545"/>
    </row>
    <row r="252" spans="6:33" ht="24" customHeight="1">
      <c r="J252" s="876"/>
      <c r="M252" s="882"/>
      <c r="AG252" s="545"/>
    </row>
    <row r="253" spans="6:33" ht="24" customHeight="1">
      <c r="M253" s="882"/>
      <c r="AG253" s="545"/>
    </row>
    <row r="254" spans="6:33" ht="24" customHeight="1">
      <c r="J254" s="872"/>
      <c r="M254" s="883"/>
      <c r="AG254" s="545"/>
    </row>
    <row r="255" spans="6:33" ht="24" customHeight="1">
      <c r="F255" s="876"/>
      <c r="G255" s="916"/>
      <c r="H255" s="876"/>
      <c r="I255" s="876"/>
      <c r="M255" s="882"/>
      <c r="AG255" s="545"/>
    </row>
    <row r="256" spans="6:33" ht="24" customHeight="1">
      <c r="AG256" s="545"/>
    </row>
    <row r="257" spans="1:35" ht="24" customHeight="1">
      <c r="AG257" s="545"/>
    </row>
    <row r="258" spans="1:35" ht="24" customHeight="1">
      <c r="A258" s="917"/>
      <c r="B258" s="876"/>
      <c r="C258" s="545"/>
      <c r="D258" s="876"/>
      <c r="F258" s="880"/>
      <c r="G258" s="918"/>
      <c r="H258" s="880"/>
      <c r="J258" s="876"/>
      <c r="P258" s="876"/>
      <c r="Q258" s="876"/>
      <c r="AG258" s="545"/>
      <c r="AI258" s="876"/>
    </row>
    <row r="259" spans="1:35" ht="24" customHeight="1">
      <c r="A259" s="917"/>
      <c r="B259" s="876"/>
      <c r="C259" s="545"/>
      <c r="D259" s="876"/>
      <c r="J259" s="881"/>
      <c r="Q259" s="881"/>
      <c r="AG259" s="545"/>
      <c r="AI259" s="876"/>
    </row>
    <row r="260" spans="1:35" ht="24" customHeight="1">
      <c r="A260" s="917"/>
      <c r="B260" s="876"/>
      <c r="C260" s="545"/>
      <c r="D260" s="545"/>
      <c r="I260" s="876"/>
      <c r="J260" s="876"/>
      <c r="O260" s="545"/>
      <c r="P260" s="876"/>
      <c r="Q260" s="876"/>
      <c r="R260" s="545"/>
      <c r="S260" s="876"/>
      <c r="T260" s="545"/>
      <c r="AG260" s="545"/>
      <c r="AI260" s="876"/>
    </row>
    <row r="261" spans="1:35" ht="24" customHeight="1">
      <c r="A261" s="917"/>
      <c r="B261" s="876"/>
      <c r="C261" s="545"/>
      <c r="D261" s="876"/>
      <c r="J261" s="876"/>
      <c r="O261" s="545"/>
      <c r="P261" s="876"/>
      <c r="Q261" s="876"/>
      <c r="R261" s="545"/>
      <c r="S261" s="876"/>
      <c r="T261" s="545"/>
      <c r="AG261" s="545"/>
      <c r="AI261" s="876"/>
    </row>
    <row r="262" spans="1:35" ht="24" customHeight="1">
      <c r="A262" s="917"/>
      <c r="B262" s="876"/>
      <c r="C262" s="545"/>
      <c r="D262" s="876"/>
      <c r="J262" s="881"/>
      <c r="P262" s="876"/>
      <c r="Q262" s="876"/>
      <c r="R262" s="876"/>
      <c r="S262" s="876"/>
      <c r="T262" s="545"/>
      <c r="AG262" s="545"/>
      <c r="AI262" s="876"/>
    </row>
    <row r="263" spans="1:35" ht="24" customHeight="1">
      <c r="A263" s="917"/>
      <c r="B263" s="876"/>
      <c r="C263" s="545"/>
      <c r="D263" s="876"/>
      <c r="F263" s="545"/>
      <c r="G263" s="889"/>
      <c r="H263" s="545"/>
      <c r="I263" s="876"/>
      <c r="J263" s="876"/>
      <c r="K263" s="545"/>
      <c r="L263" s="876"/>
      <c r="M263" s="882"/>
      <c r="T263" s="881"/>
      <c r="AG263" s="545"/>
      <c r="AI263" s="876"/>
    </row>
    <row r="264" spans="1:35" ht="24" customHeight="1">
      <c r="A264" s="917"/>
      <c r="B264" s="876"/>
      <c r="C264" s="545"/>
      <c r="D264" s="876"/>
      <c r="F264" s="904"/>
      <c r="G264" s="924"/>
      <c r="H264" s="904"/>
      <c r="I264" s="876"/>
      <c r="J264" s="876"/>
      <c r="K264" s="545"/>
      <c r="L264" s="876"/>
      <c r="M264" s="882"/>
      <c r="Q264" s="876"/>
      <c r="T264" s="545"/>
      <c r="AG264" s="545"/>
      <c r="AI264" s="876"/>
    </row>
    <row r="265" spans="1:35" ht="24" customHeight="1">
      <c r="A265" s="917"/>
      <c r="B265" s="876"/>
      <c r="C265" s="545"/>
      <c r="D265" s="545"/>
      <c r="F265" s="545"/>
      <c r="G265" s="889"/>
      <c r="H265" s="545"/>
      <c r="I265" s="876"/>
      <c r="J265" s="876"/>
      <c r="K265" s="545"/>
      <c r="L265" s="876"/>
      <c r="M265" s="882"/>
      <c r="T265" s="881"/>
      <c r="AG265" s="545"/>
      <c r="AI265" s="876"/>
    </row>
    <row r="266" spans="1:35" ht="24" customHeight="1">
      <c r="A266" s="917"/>
      <c r="B266" s="876"/>
      <c r="C266" s="545"/>
      <c r="D266" s="876"/>
      <c r="F266" s="545"/>
      <c r="G266" s="889"/>
      <c r="H266" s="545"/>
      <c r="I266" s="876"/>
      <c r="J266" s="876"/>
      <c r="K266" s="545"/>
      <c r="L266" s="876"/>
      <c r="M266" s="882"/>
      <c r="Q266" s="876"/>
      <c r="T266" s="545"/>
      <c r="AG266" s="545"/>
      <c r="AI266" s="876"/>
    </row>
    <row r="267" spans="1:35" ht="24" customHeight="1">
      <c r="A267" s="917"/>
      <c r="B267" s="876"/>
      <c r="C267" s="545"/>
      <c r="D267" s="876"/>
      <c r="F267" s="545"/>
      <c r="G267" s="889"/>
      <c r="H267" s="545"/>
      <c r="I267" s="876"/>
      <c r="J267" s="876"/>
      <c r="K267" s="545"/>
      <c r="L267" s="876"/>
      <c r="M267" s="882"/>
      <c r="T267" s="881"/>
      <c r="AB267" s="877"/>
      <c r="AG267" s="545"/>
      <c r="AI267" s="876"/>
    </row>
    <row r="268" spans="1:35" ht="24" customHeight="1">
      <c r="A268" s="917"/>
      <c r="B268" s="876"/>
      <c r="C268" s="545"/>
      <c r="D268" s="876"/>
      <c r="F268" s="545"/>
      <c r="G268" s="889"/>
      <c r="H268" s="545"/>
      <c r="I268" s="876"/>
      <c r="J268" s="876"/>
      <c r="K268" s="545"/>
      <c r="L268" s="876"/>
      <c r="M268" s="882"/>
      <c r="P268" s="876"/>
      <c r="Q268" s="876"/>
      <c r="T268" s="545"/>
      <c r="AB268" s="877"/>
      <c r="AG268" s="545"/>
      <c r="AI268" s="876"/>
    </row>
    <row r="269" spans="1:35" ht="24" customHeight="1">
      <c r="A269" s="917"/>
      <c r="B269" s="876"/>
      <c r="C269" s="545"/>
      <c r="D269" s="876"/>
      <c r="I269" s="876"/>
      <c r="J269" s="876"/>
      <c r="K269" s="876"/>
      <c r="L269" s="876"/>
      <c r="M269" s="882"/>
      <c r="P269" s="876"/>
      <c r="Q269" s="876"/>
      <c r="T269" s="545"/>
      <c r="AB269" s="877"/>
      <c r="AG269" s="545"/>
      <c r="AI269" s="876"/>
    </row>
    <row r="270" spans="1:35" ht="24" customHeight="1">
      <c r="A270" s="917"/>
      <c r="B270" s="876"/>
      <c r="C270" s="545"/>
      <c r="D270" s="545"/>
      <c r="M270" s="882"/>
      <c r="P270" s="876"/>
      <c r="Q270" s="876"/>
      <c r="T270" s="545"/>
      <c r="AB270" s="877"/>
      <c r="AG270" s="545"/>
      <c r="AI270" s="876"/>
    </row>
    <row r="271" spans="1:35" ht="24" customHeight="1">
      <c r="A271" s="917"/>
      <c r="B271" s="876"/>
      <c r="C271" s="545"/>
      <c r="D271" s="876"/>
      <c r="J271" s="876"/>
      <c r="M271" s="882"/>
      <c r="P271" s="876"/>
      <c r="Q271" s="876"/>
      <c r="T271" s="545"/>
      <c r="AB271" s="877"/>
      <c r="AG271" s="545"/>
      <c r="AI271" s="876"/>
    </row>
    <row r="272" spans="1:35" ht="24" customHeight="1">
      <c r="A272" s="917"/>
      <c r="B272" s="876"/>
      <c r="C272" s="545"/>
      <c r="D272" s="876"/>
      <c r="M272" s="882"/>
      <c r="AB272" s="877"/>
      <c r="AG272" s="545"/>
      <c r="AI272" s="876"/>
    </row>
    <row r="273" spans="1:35" ht="24" customHeight="1">
      <c r="A273" s="917"/>
      <c r="B273" s="876"/>
      <c r="C273" s="545"/>
      <c r="D273" s="876"/>
      <c r="J273" s="872"/>
      <c r="M273" s="883"/>
      <c r="T273" s="876"/>
      <c r="AG273" s="545"/>
      <c r="AI273" s="876"/>
    </row>
    <row r="274" spans="1:35" ht="24" customHeight="1">
      <c r="F274" s="876"/>
      <c r="G274" s="916"/>
      <c r="H274" s="876"/>
      <c r="P274" s="876"/>
      <c r="Q274" s="876"/>
      <c r="AG274" s="545"/>
    </row>
    <row r="275" spans="1:35" ht="24" customHeight="1">
      <c r="A275" s="917"/>
      <c r="B275" s="876"/>
      <c r="C275" s="545"/>
      <c r="D275" s="876"/>
      <c r="Q275" s="876"/>
      <c r="AG275" s="545"/>
      <c r="AI275" s="876"/>
    </row>
    <row r="276" spans="1:35" ht="24" customHeight="1">
      <c r="A276" s="917"/>
      <c r="B276" s="876"/>
      <c r="C276" s="545"/>
      <c r="D276" s="876"/>
      <c r="F276" s="545"/>
      <c r="G276" s="889"/>
      <c r="H276" s="545"/>
      <c r="I276" s="876"/>
      <c r="J276" s="876"/>
      <c r="M276" s="882"/>
      <c r="Q276" s="881"/>
      <c r="AG276" s="545"/>
      <c r="AI276" s="876"/>
    </row>
    <row r="277" spans="1:35" ht="24" customHeight="1">
      <c r="A277" s="917"/>
      <c r="B277" s="876"/>
      <c r="C277" s="545"/>
      <c r="D277" s="876"/>
      <c r="M277" s="882"/>
      <c r="O277" s="545"/>
      <c r="P277" s="876"/>
      <c r="Q277" s="876"/>
      <c r="R277" s="545"/>
      <c r="S277" s="876"/>
      <c r="T277" s="545"/>
      <c r="AG277" s="545"/>
      <c r="AI277" s="876"/>
    </row>
    <row r="278" spans="1:35" ht="24" customHeight="1">
      <c r="A278" s="917"/>
      <c r="B278" s="876"/>
      <c r="C278" s="545"/>
      <c r="D278" s="876"/>
      <c r="J278" s="876"/>
      <c r="M278" s="883"/>
      <c r="O278" s="545"/>
      <c r="P278" s="876"/>
      <c r="Q278" s="876"/>
      <c r="R278" s="545"/>
      <c r="S278" s="876"/>
      <c r="T278" s="545"/>
      <c r="AG278" s="545"/>
      <c r="AI278" s="876"/>
    </row>
    <row r="279" spans="1:35" ht="24" customHeight="1">
      <c r="A279" s="917"/>
      <c r="B279" s="876"/>
      <c r="C279" s="545"/>
      <c r="D279" s="876"/>
      <c r="M279" s="882"/>
      <c r="O279" s="545"/>
      <c r="P279" s="876"/>
      <c r="Q279" s="876"/>
      <c r="R279" s="545"/>
      <c r="S279" s="876"/>
      <c r="T279" s="545"/>
      <c r="AG279" s="545"/>
      <c r="AI279" s="876"/>
    </row>
    <row r="280" spans="1:35" ht="24" customHeight="1">
      <c r="A280" s="917"/>
      <c r="B280" s="876"/>
      <c r="C280" s="545"/>
      <c r="D280" s="876"/>
      <c r="J280" s="876"/>
      <c r="M280" s="883"/>
      <c r="O280" s="545"/>
      <c r="P280" s="876"/>
      <c r="Q280" s="876"/>
      <c r="R280" s="545"/>
      <c r="S280" s="876"/>
      <c r="T280" s="545"/>
      <c r="AG280" s="545"/>
      <c r="AI280" s="876"/>
    </row>
    <row r="281" spans="1:35" ht="24" customHeight="1">
      <c r="A281" s="917"/>
      <c r="B281" s="876"/>
      <c r="C281" s="545"/>
      <c r="D281" s="876"/>
      <c r="J281" s="876"/>
      <c r="M281" s="883"/>
      <c r="T281" s="881"/>
      <c r="AG281" s="545"/>
      <c r="AI281" s="876"/>
    </row>
    <row r="282" spans="1:35" ht="24" customHeight="1">
      <c r="A282" s="917"/>
      <c r="B282" s="876"/>
      <c r="C282" s="545"/>
      <c r="D282" s="876"/>
      <c r="J282" s="876"/>
      <c r="M282" s="883"/>
      <c r="Q282" s="876"/>
      <c r="T282" s="545"/>
      <c r="AG282" s="545"/>
      <c r="AI282" s="876"/>
    </row>
    <row r="283" spans="1:35" ht="24" customHeight="1">
      <c r="A283" s="917"/>
      <c r="B283" s="876"/>
      <c r="C283" s="545"/>
      <c r="D283" s="876"/>
      <c r="J283" s="876"/>
      <c r="M283" s="883"/>
      <c r="T283" s="881"/>
      <c r="AG283" s="545"/>
      <c r="AI283" s="876"/>
    </row>
    <row r="284" spans="1:35" ht="24" customHeight="1">
      <c r="A284" s="917"/>
      <c r="B284" s="876"/>
      <c r="C284" s="545"/>
      <c r="D284" s="876"/>
      <c r="J284" s="876"/>
      <c r="M284" s="883"/>
      <c r="Q284" s="876"/>
      <c r="T284" s="545"/>
      <c r="AG284" s="545"/>
      <c r="AI284" s="876"/>
    </row>
    <row r="285" spans="1:35" ht="24" customHeight="1">
      <c r="A285" s="917"/>
      <c r="B285" s="876"/>
      <c r="C285" s="545"/>
      <c r="D285" s="876"/>
      <c r="T285" s="881"/>
      <c r="AG285" s="545"/>
      <c r="AI285" s="876"/>
    </row>
    <row r="286" spans="1:35" ht="24" customHeight="1">
      <c r="A286" s="917"/>
      <c r="B286" s="876"/>
      <c r="C286" s="545"/>
      <c r="D286" s="876"/>
      <c r="F286" s="880"/>
      <c r="G286" s="918"/>
      <c r="H286" s="880"/>
      <c r="I286" s="876"/>
      <c r="J286" s="876"/>
      <c r="AG286" s="545"/>
      <c r="AI286" s="876"/>
    </row>
    <row r="287" spans="1:35" ht="24" customHeight="1">
      <c r="A287" s="917"/>
      <c r="B287" s="876"/>
      <c r="C287" s="545"/>
      <c r="D287" s="876"/>
      <c r="J287" s="881"/>
      <c r="P287" s="876"/>
      <c r="Q287" s="876"/>
      <c r="AG287" s="545"/>
      <c r="AI287" s="876"/>
    </row>
    <row r="288" spans="1:35" ht="24" customHeight="1">
      <c r="A288" s="917"/>
      <c r="B288" s="876"/>
      <c r="C288" s="545"/>
      <c r="D288" s="876"/>
      <c r="F288" s="545"/>
      <c r="G288" s="889"/>
      <c r="H288" s="545"/>
      <c r="I288" s="876"/>
      <c r="J288" s="876"/>
      <c r="K288" s="545"/>
      <c r="L288" s="876"/>
      <c r="M288" s="882"/>
      <c r="Q288" s="881"/>
      <c r="AG288" s="545"/>
      <c r="AI288" s="876"/>
    </row>
    <row r="289" spans="1:35" ht="24" customHeight="1">
      <c r="A289" s="917"/>
      <c r="B289" s="876"/>
      <c r="C289" s="545"/>
      <c r="D289" s="876"/>
      <c r="F289" s="545"/>
      <c r="G289" s="889"/>
      <c r="H289" s="545"/>
      <c r="I289" s="876"/>
      <c r="J289" s="876"/>
      <c r="K289" s="545"/>
      <c r="L289" s="876"/>
      <c r="M289" s="882"/>
      <c r="O289" s="545"/>
      <c r="P289" s="876"/>
      <c r="Q289" s="876"/>
      <c r="R289" s="545"/>
      <c r="S289" s="876"/>
      <c r="T289" s="545"/>
      <c r="AG289" s="545"/>
      <c r="AI289" s="876"/>
    </row>
    <row r="290" spans="1:35" ht="24" customHeight="1">
      <c r="A290" s="917"/>
      <c r="B290" s="876"/>
      <c r="C290" s="545"/>
      <c r="D290" s="876"/>
      <c r="F290" s="545"/>
      <c r="G290" s="889"/>
      <c r="H290" s="545"/>
      <c r="I290" s="876"/>
      <c r="J290" s="876"/>
      <c r="K290" s="545"/>
      <c r="L290" s="876"/>
      <c r="M290" s="882"/>
      <c r="O290" s="545"/>
      <c r="P290" s="876"/>
      <c r="Q290" s="876"/>
      <c r="R290" s="545"/>
      <c r="S290" s="876"/>
      <c r="T290" s="545"/>
      <c r="AG290" s="545"/>
      <c r="AI290" s="876"/>
    </row>
    <row r="291" spans="1:35" ht="24" customHeight="1">
      <c r="A291" s="917"/>
      <c r="B291" s="876"/>
      <c r="C291" s="545"/>
      <c r="D291" s="876"/>
      <c r="F291" s="545"/>
      <c r="G291" s="889"/>
      <c r="H291" s="545"/>
      <c r="I291" s="876"/>
      <c r="J291" s="876"/>
      <c r="K291" s="545"/>
      <c r="L291" s="876"/>
      <c r="M291" s="882"/>
      <c r="O291" s="545"/>
      <c r="P291" s="876"/>
      <c r="Q291" s="876"/>
      <c r="R291" s="545"/>
      <c r="S291" s="876"/>
      <c r="T291" s="545"/>
      <c r="AG291" s="545"/>
      <c r="AI291" s="876"/>
    </row>
    <row r="292" spans="1:35" ht="24" customHeight="1">
      <c r="A292" s="917"/>
      <c r="B292" s="876"/>
      <c r="C292" s="545"/>
      <c r="D292" s="876"/>
      <c r="F292" s="545"/>
      <c r="G292" s="889"/>
      <c r="H292" s="545"/>
      <c r="I292" s="876"/>
      <c r="J292" s="876"/>
      <c r="K292" s="545"/>
      <c r="L292" s="876"/>
      <c r="M292" s="882"/>
      <c r="O292" s="545"/>
      <c r="P292" s="876"/>
      <c r="Q292" s="876"/>
      <c r="R292" s="545"/>
      <c r="S292" s="876"/>
      <c r="T292" s="545"/>
      <c r="AG292" s="545"/>
      <c r="AI292" s="876"/>
    </row>
    <row r="293" spans="1:35" ht="24" customHeight="1">
      <c r="A293" s="917"/>
      <c r="B293" s="876"/>
      <c r="C293" s="545"/>
      <c r="D293" s="876"/>
      <c r="F293" s="545"/>
      <c r="G293" s="889"/>
      <c r="H293" s="545"/>
      <c r="I293" s="876"/>
      <c r="J293" s="876"/>
      <c r="K293" s="545"/>
      <c r="L293" s="876"/>
      <c r="M293" s="882"/>
      <c r="P293" s="876"/>
      <c r="Q293" s="876"/>
      <c r="R293" s="876"/>
      <c r="S293" s="876"/>
      <c r="T293" s="545"/>
      <c r="AG293" s="545"/>
      <c r="AI293" s="876"/>
    </row>
    <row r="294" spans="1:35" ht="24" customHeight="1">
      <c r="A294" s="917"/>
      <c r="B294" s="876"/>
      <c r="C294" s="545"/>
      <c r="D294" s="876"/>
      <c r="F294" s="545"/>
      <c r="G294" s="889"/>
      <c r="H294" s="545"/>
      <c r="I294" s="876"/>
      <c r="J294" s="876"/>
      <c r="K294" s="545"/>
      <c r="L294" s="876"/>
      <c r="M294" s="882"/>
      <c r="T294" s="881"/>
      <c r="AG294" s="545"/>
      <c r="AI294" s="876"/>
    </row>
    <row r="295" spans="1:35" ht="24" customHeight="1">
      <c r="A295" s="917"/>
      <c r="B295" s="876"/>
      <c r="C295" s="545"/>
      <c r="D295" s="876"/>
      <c r="I295" s="876"/>
      <c r="J295" s="876"/>
      <c r="L295" s="876"/>
      <c r="M295" s="882"/>
      <c r="Q295" s="876"/>
      <c r="T295" s="545"/>
      <c r="AG295" s="545"/>
      <c r="AI295" s="876"/>
    </row>
    <row r="296" spans="1:35" ht="24" customHeight="1">
      <c r="A296" s="917"/>
      <c r="B296" s="876"/>
      <c r="C296" s="545"/>
      <c r="D296" s="876"/>
      <c r="M296" s="882"/>
      <c r="T296" s="881"/>
      <c r="AG296" s="545"/>
      <c r="AI296" s="876"/>
    </row>
    <row r="297" spans="1:35" ht="24" customHeight="1">
      <c r="A297" s="917"/>
      <c r="B297" s="876"/>
      <c r="C297" s="545"/>
      <c r="D297" s="876"/>
      <c r="J297" s="876"/>
      <c r="M297" s="882"/>
      <c r="Q297" s="876"/>
      <c r="T297" s="545"/>
      <c r="AG297" s="545"/>
      <c r="AI297" s="876"/>
    </row>
    <row r="298" spans="1:35" ht="24" customHeight="1">
      <c r="A298" s="917"/>
      <c r="B298" s="876"/>
      <c r="C298" s="545"/>
      <c r="D298" s="876"/>
      <c r="M298" s="882"/>
      <c r="P298" s="876"/>
      <c r="Q298" s="876"/>
      <c r="T298" s="881"/>
      <c r="AG298" s="545"/>
      <c r="AI298" s="876"/>
    </row>
    <row r="299" spans="1:35" ht="24" customHeight="1">
      <c r="A299" s="917"/>
      <c r="B299" s="876"/>
      <c r="C299" s="545"/>
      <c r="D299" s="876"/>
      <c r="J299" s="872"/>
      <c r="M299" s="883"/>
      <c r="Q299" s="881"/>
      <c r="AG299" s="545"/>
      <c r="AI299" s="876"/>
    </row>
    <row r="300" spans="1:35" ht="24" customHeight="1">
      <c r="A300" s="917"/>
      <c r="B300" s="876"/>
      <c r="C300" s="545"/>
      <c r="D300" s="876"/>
      <c r="M300" s="882"/>
      <c r="O300" s="545"/>
      <c r="P300" s="876"/>
      <c r="Q300" s="876"/>
      <c r="R300" s="545"/>
      <c r="S300" s="876"/>
      <c r="T300" s="545"/>
      <c r="AG300" s="545"/>
      <c r="AI300" s="876"/>
    </row>
    <row r="301" spans="1:35" ht="24" customHeight="1">
      <c r="A301" s="917"/>
      <c r="B301" s="876"/>
      <c r="C301" s="545"/>
      <c r="D301" s="876"/>
      <c r="F301" s="920"/>
      <c r="G301" s="921"/>
      <c r="H301" s="920"/>
      <c r="I301" s="876"/>
      <c r="J301" s="876"/>
      <c r="O301" s="545"/>
      <c r="P301" s="876"/>
      <c r="Q301" s="876"/>
      <c r="R301" s="545"/>
      <c r="S301" s="876"/>
      <c r="T301" s="545"/>
      <c r="AD301" s="900"/>
      <c r="AE301" s="901"/>
      <c r="AF301" s="876"/>
      <c r="AH301" s="874"/>
    </row>
    <row r="302" spans="1:35" ht="24" customHeight="1">
      <c r="A302" s="917"/>
      <c r="B302" s="876"/>
      <c r="C302" s="876"/>
      <c r="J302" s="876"/>
      <c r="O302" s="545"/>
      <c r="P302" s="876"/>
      <c r="Q302" s="876"/>
      <c r="R302" s="545"/>
      <c r="S302" s="876"/>
      <c r="T302" s="545"/>
      <c r="AE302" s="902"/>
      <c r="AF302" s="876"/>
      <c r="AH302" s="874"/>
    </row>
    <row r="303" spans="1:35" ht="24" customHeight="1">
      <c r="A303" s="917"/>
      <c r="B303" s="876"/>
      <c r="C303" s="889"/>
      <c r="D303" s="916"/>
      <c r="J303" s="881"/>
      <c r="O303" s="545"/>
      <c r="P303" s="876"/>
      <c r="Q303" s="876"/>
      <c r="R303" s="545"/>
      <c r="S303" s="876"/>
      <c r="T303" s="545"/>
      <c r="AA303" s="877"/>
      <c r="AE303" s="902"/>
      <c r="AF303" s="881"/>
      <c r="AH303" s="874"/>
    </row>
    <row r="304" spans="1:35" ht="24" customHeight="1">
      <c r="A304" s="917"/>
      <c r="B304" s="876"/>
      <c r="C304" s="889"/>
      <c r="D304" s="916"/>
      <c r="F304" s="545"/>
      <c r="G304" s="889"/>
      <c r="H304" s="545"/>
      <c r="I304" s="876"/>
      <c r="J304" s="545"/>
      <c r="K304" s="545"/>
      <c r="L304" s="876"/>
      <c r="M304" s="882"/>
      <c r="P304" s="876"/>
      <c r="Q304" s="876"/>
      <c r="R304" s="876"/>
      <c r="S304" s="876"/>
      <c r="T304" s="545"/>
      <c r="AA304" s="877"/>
      <c r="AD304" s="545"/>
      <c r="AE304" s="901"/>
      <c r="AF304" s="545"/>
      <c r="AG304" s="545"/>
      <c r="AH304" s="876"/>
      <c r="AI304" s="545"/>
    </row>
    <row r="305" spans="1:35" ht="24" customHeight="1">
      <c r="A305" s="917"/>
      <c r="B305" s="876"/>
      <c r="C305" s="889"/>
      <c r="D305" s="916"/>
      <c r="F305" s="545"/>
      <c r="G305" s="889"/>
      <c r="H305" s="545"/>
      <c r="I305" s="876"/>
      <c r="J305" s="876"/>
      <c r="K305" s="545"/>
      <c r="L305" s="876"/>
      <c r="M305" s="882"/>
      <c r="T305" s="881"/>
      <c r="AA305" s="877"/>
      <c r="AD305" s="545"/>
      <c r="AE305" s="901"/>
      <c r="AF305" s="876"/>
      <c r="AG305" s="545"/>
      <c r="AH305" s="876"/>
      <c r="AI305" s="545"/>
    </row>
    <row r="306" spans="1:35" ht="24" customHeight="1">
      <c r="A306" s="917"/>
      <c r="B306" s="876"/>
      <c r="C306" s="889"/>
      <c r="D306" s="916"/>
      <c r="F306" s="545"/>
      <c r="G306" s="889"/>
      <c r="H306" s="545"/>
      <c r="I306" s="876"/>
      <c r="J306" s="876"/>
      <c r="K306" s="545"/>
      <c r="L306" s="876"/>
      <c r="M306" s="882"/>
      <c r="Q306" s="876"/>
      <c r="T306" s="545"/>
      <c r="AA306" s="877"/>
      <c r="AD306" s="545"/>
      <c r="AE306" s="901"/>
      <c r="AF306" s="876"/>
      <c r="AG306" s="545"/>
      <c r="AH306" s="876"/>
      <c r="AI306" s="545"/>
    </row>
    <row r="307" spans="1:35" ht="24" customHeight="1">
      <c r="A307" s="917"/>
      <c r="B307" s="876"/>
      <c r="C307" s="915"/>
      <c r="D307" s="915"/>
      <c r="F307" s="545"/>
      <c r="G307" s="889"/>
      <c r="H307" s="545"/>
      <c r="I307" s="876"/>
      <c r="J307" s="876"/>
      <c r="K307" s="545"/>
      <c r="L307" s="876"/>
      <c r="M307" s="882"/>
      <c r="T307" s="881"/>
      <c r="AA307" s="877"/>
      <c r="AD307" s="545"/>
      <c r="AE307" s="901"/>
      <c r="AF307" s="876"/>
      <c r="AG307" s="545"/>
      <c r="AH307" s="876"/>
      <c r="AI307" s="545"/>
    </row>
    <row r="308" spans="1:35" ht="24" customHeight="1">
      <c r="A308" s="917"/>
      <c r="B308" s="876"/>
      <c r="C308" s="889"/>
      <c r="D308" s="916"/>
      <c r="F308" s="545"/>
      <c r="G308" s="889"/>
      <c r="H308" s="545"/>
      <c r="I308" s="876"/>
      <c r="J308" s="876"/>
      <c r="K308" s="545"/>
      <c r="L308" s="876"/>
      <c r="M308" s="882"/>
      <c r="Q308" s="876"/>
      <c r="T308" s="545"/>
      <c r="AD308" s="545"/>
      <c r="AE308" s="901"/>
      <c r="AF308" s="876"/>
      <c r="AG308" s="545"/>
      <c r="AH308" s="876"/>
      <c r="AI308" s="545"/>
    </row>
    <row r="309" spans="1:35" ht="24" customHeight="1">
      <c r="A309" s="917"/>
      <c r="B309" s="876"/>
      <c r="C309" s="889"/>
      <c r="D309" s="916"/>
      <c r="F309" s="545"/>
      <c r="G309" s="889"/>
      <c r="H309" s="545"/>
      <c r="I309" s="876"/>
      <c r="J309" s="876"/>
      <c r="K309" s="545"/>
      <c r="L309" s="876"/>
      <c r="M309" s="882"/>
      <c r="T309" s="881"/>
      <c r="AD309" s="545"/>
      <c r="AE309" s="901"/>
      <c r="AF309" s="876"/>
      <c r="AG309" s="545"/>
      <c r="AH309" s="876"/>
      <c r="AI309" s="545"/>
    </row>
    <row r="310" spans="1:35" ht="24" customHeight="1">
      <c r="A310" s="917"/>
      <c r="B310" s="876"/>
      <c r="C310" s="889"/>
      <c r="D310" s="916"/>
      <c r="I310" s="876"/>
      <c r="J310" s="876"/>
      <c r="L310" s="876"/>
      <c r="M310" s="882"/>
      <c r="P310" s="876"/>
      <c r="Q310" s="876"/>
      <c r="AE310" s="901"/>
      <c r="AF310" s="876"/>
      <c r="AH310" s="876"/>
      <c r="AI310" s="545"/>
    </row>
    <row r="311" spans="1:35" ht="24" customHeight="1">
      <c r="A311" s="917"/>
      <c r="B311" s="876"/>
      <c r="C311" s="889"/>
      <c r="D311" s="916"/>
      <c r="M311" s="882"/>
      <c r="Q311" s="881"/>
      <c r="AE311" s="902"/>
      <c r="AH311" s="874"/>
      <c r="AI311" s="881"/>
    </row>
    <row r="312" spans="1:35" ht="24" customHeight="1">
      <c r="A312" s="917"/>
      <c r="B312" s="876"/>
      <c r="C312" s="915"/>
      <c r="D312" s="915"/>
      <c r="J312" s="876"/>
      <c r="M312" s="882"/>
      <c r="O312" s="545"/>
      <c r="P312" s="876"/>
      <c r="Q312" s="876"/>
      <c r="R312" s="545"/>
      <c r="S312" s="876"/>
      <c r="T312" s="545"/>
      <c r="AE312" s="902"/>
      <c r="AF312" s="876"/>
      <c r="AH312" s="874"/>
      <c r="AI312" s="545"/>
    </row>
    <row r="313" spans="1:35" ht="24" customHeight="1">
      <c r="A313" s="917"/>
      <c r="B313" s="876"/>
      <c r="C313" s="889"/>
      <c r="D313" s="916"/>
      <c r="M313" s="882"/>
      <c r="O313" s="545"/>
      <c r="P313" s="876"/>
      <c r="Q313" s="876"/>
      <c r="R313" s="545"/>
      <c r="S313" s="876"/>
      <c r="T313" s="545"/>
      <c r="AE313" s="902"/>
      <c r="AH313" s="874"/>
      <c r="AI313" s="881"/>
    </row>
    <row r="314" spans="1:35" ht="24" customHeight="1">
      <c r="A314" s="917"/>
      <c r="B314" s="876"/>
      <c r="C314" s="889"/>
      <c r="D314" s="916"/>
      <c r="J314" s="872"/>
      <c r="M314" s="883"/>
      <c r="O314" s="545"/>
      <c r="P314" s="876"/>
      <c r="Q314" s="876"/>
      <c r="R314" s="545"/>
      <c r="S314" s="876"/>
      <c r="T314" s="545"/>
      <c r="AE314" s="902"/>
      <c r="AF314" s="872"/>
      <c r="AH314" s="874"/>
      <c r="AI314" s="892"/>
    </row>
    <row r="315" spans="1:35" ht="24" customHeight="1">
      <c r="A315" s="917"/>
      <c r="B315" s="876"/>
      <c r="C315" s="889"/>
      <c r="D315" s="916"/>
      <c r="M315" s="882"/>
      <c r="O315" s="545"/>
      <c r="P315" s="876"/>
      <c r="Q315" s="876"/>
      <c r="R315" s="545"/>
      <c r="S315" s="876"/>
      <c r="T315" s="545"/>
      <c r="AE315" s="902"/>
      <c r="AH315" s="874"/>
      <c r="AI315" s="881"/>
    </row>
    <row r="316" spans="1:35" ht="24" customHeight="1">
      <c r="A316" s="917"/>
      <c r="B316" s="876"/>
      <c r="C316" s="889"/>
      <c r="D316" s="916"/>
      <c r="J316" s="876"/>
      <c r="M316" s="882"/>
      <c r="P316" s="876"/>
      <c r="Q316" s="876"/>
      <c r="R316" s="876"/>
      <c r="S316" s="876"/>
      <c r="T316" s="545"/>
      <c r="AE316" s="902"/>
      <c r="AF316" s="876"/>
      <c r="AH316" s="874"/>
      <c r="AI316" s="545"/>
    </row>
    <row r="317" spans="1:35" ht="24" customHeight="1">
      <c r="A317" s="917"/>
      <c r="B317" s="876"/>
      <c r="C317" s="915"/>
      <c r="D317" s="915"/>
      <c r="J317" s="876"/>
      <c r="M317" s="882"/>
      <c r="T317" s="881"/>
      <c r="AE317" s="902"/>
      <c r="AF317" s="876"/>
      <c r="AH317" s="874"/>
      <c r="AI317" s="545"/>
    </row>
    <row r="318" spans="1:35" ht="24" customHeight="1">
      <c r="A318" s="917"/>
      <c r="B318" s="876"/>
      <c r="C318" s="889"/>
      <c r="D318" s="916"/>
      <c r="J318" s="876"/>
      <c r="M318" s="882"/>
      <c r="Q318" s="876"/>
      <c r="T318" s="545"/>
      <c r="AE318" s="902"/>
      <c r="AF318" s="876"/>
      <c r="AH318" s="874"/>
      <c r="AI318" s="545"/>
    </row>
    <row r="319" spans="1:35" ht="24" customHeight="1">
      <c r="A319" s="917"/>
      <c r="B319" s="876"/>
      <c r="C319" s="889"/>
      <c r="D319" s="916"/>
      <c r="J319" s="876"/>
      <c r="M319" s="882"/>
      <c r="T319" s="881"/>
      <c r="AE319" s="902"/>
      <c r="AF319" s="876"/>
      <c r="AH319" s="874"/>
      <c r="AI319" s="545"/>
    </row>
    <row r="320" spans="1:35" ht="24" customHeight="1">
      <c r="A320" s="917"/>
      <c r="B320" s="876"/>
      <c r="C320" s="889"/>
      <c r="D320" s="916"/>
      <c r="J320" s="876"/>
      <c r="M320" s="882"/>
      <c r="Q320" s="876"/>
      <c r="T320" s="545"/>
      <c r="AE320" s="902"/>
      <c r="AF320" s="876"/>
      <c r="AH320" s="874"/>
      <c r="AI320" s="545"/>
    </row>
    <row r="321" spans="1:35" ht="24" customHeight="1">
      <c r="A321" s="917"/>
      <c r="B321" s="876"/>
      <c r="C321" s="889"/>
      <c r="D321" s="916"/>
      <c r="J321" s="876"/>
      <c r="M321" s="882"/>
      <c r="Q321" s="876"/>
      <c r="T321" s="545"/>
      <c r="AG321" s="545"/>
      <c r="AI321" s="876"/>
    </row>
    <row r="322" spans="1:35" ht="24" customHeight="1">
      <c r="A322" s="917"/>
      <c r="B322" s="876"/>
      <c r="C322" s="889"/>
      <c r="D322" s="916"/>
      <c r="F322" s="880"/>
      <c r="G322" s="918"/>
      <c r="H322" s="880"/>
      <c r="J322" s="876"/>
      <c r="M322" s="925"/>
      <c r="Q322" s="876"/>
      <c r="T322" s="545"/>
      <c r="AG322" s="545"/>
      <c r="AI322" s="876"/>
    </row>
    <row r="323" spans="1:35" ht="24" customHeight="1">
      <c r="A323" s="917"/>
      <c r="B323" s="876"/>
      <c r="C323" s="889"/>
      <c r="D323" s="916"/>
      <c r="J323" s="876"/>
      <c r="M323" s="882"/>
      <c r="Q323" s="876"/>
      <c r="T323" s="545"/>
      <c r="AG323" s="545"/>
      <c r="AI323" s="876"/>
    </row>
    <row r="324" spans="1:35" ht="24" customHeight="1">
      <c r="A324" s="917"/>
      <c r="B324" s="876"/>
      <c r="C324" s="889"/>
      <c r="D324" s="916"/>
      <c r="J324" s="876"/>
      <c r="M324" s="882"/>
      <c r="Q324" s="876"/>
      <c r="T324" s="545"/>
      <c r="AG324" s="545"/>
      <c r="AI324" s="876"/>
    </row>
    <row r="325" spans="1:35" ht="24" customHeight="1">
      <c r="A325" s="917"/>
      <c r="B325" s="876"/>
      <c r="C325" s="889"/>
      <c r="D325" s="916"/>
      <c r="F325" s="900"/>
      <c r="G325" s="926"/>
      <c r="H325" s="900"/>
      <c r="I325" s="876"/>
      <c r="J325" s="876"/>
      <c r="T325" s="881"/>
      <c r="AD325" s="900"/>
      <c r="AE325" s="901"/>
      <c r="AF325" s="876"/>
      <c r="AH325" s="874"/>
    </row>
    <row r="326" spans="1:35" ht="24" customHeight="1">
      <c r="A326" s="917"/>
      <c r="B326" s="876"/>
      <c r="C326" s="915"/>
      <c r="D326" s="915"/>
      <c r="J326" s="876"/>
      <c r="AE326" s="902"/>
      <c r="AF326" s="876"/>
      <c r="AH326" s="874"/>
    </row>
    <row r="327" spans="1:35" ht="24" customHeight="1">
      <c r="A327" s="917"/>
      <c r="B327" s="876"/>
      <c r="C327" s="889"/>
      <c r="D327" s="916"/>
      <c r="J327" s="881"/>
      <c r="P327" s="876"/>
      <c r="Q327" s="876"/>
      <c r="AE327" s="902"/>
      <c r="AF327" s="881"/>
      <c r="AH327" s="874"/>
    </row>
    <row r="328" spans="1:35" ht="24" customHeight="1">
      <c r="A328" s="917"/>
      <c r="B328" s="876"/>
      <c r="C328" s="889"/>
      <c r="D328" s="916"/>
      <c r="F328" s="545"/>
      <c r="G328" s="889"/>
      <c r="H328" s="545"/>
      <c r="I328" s="876"/>
      <c r="J328" s="545"/>
      <c r="K328" s="545"/>
      <c r="L328" s="876"/>
      <c r="M328" s="882"/>
      <c r="Q328" s="881"/>
      <c r="AD328" s="545"/>
      <c r="AE328" s="901"/>
      <c r="AF328" s="545"/>
      <c r="AG328" s="545"/>
      <c r="AH328" s="876"/>
      <c r="AI328" s="545"/>
    </row>
    <row r="329" spans="1:35" ht="24" customHeight="1">
      <c r="A329" s="917"/>
      <c r="B329" s="876"/>
      <c r="C329" s="889"/>
      <c r="D329" s="916"/>
      <c r="F329" s="545"/>
      <c r="G329" s="889"/>
      <c r="H329" s="545"/>
      <c r="I329" s="876"/>
      <c r="J329" s="876"/>
      <c r="K329" s="545"/>
      <c r="L329" s="876"/>
      <c r="M329" s="882"/>
      <c r="O329" s="545"/>
      <c r="P329" s="876"/>
      <c r="Q329" s="876"/>
      <c r="R329" s="545"/>
      <c r="S329" s="876"/>
      <c r="T329" s="545"/>
      <c r="AD329" s="545"/>
      <c r="AE329" s="901"/>
      <c r="AF329" s="876"/>
      <c r="AG329" s="545"/>
      <c r="AH329" s="876"/>
      <c r="AI329" s="545"/>
    </row>
    <row r="330" spans="1:35" ht="24" customHeight="1">
      <c r="A330" s="917"/>
      <c r="B330" s="876"/>
      <c r="C330" s="889"/>
      <c r="D330" s="916"/>
      <c r="F330" s="545"/>
      <c r="G330" s="889"/>
      <c r="H330" s="545"/>
      <c r="I330" s="876"/>
      <c r="J330" s="876"/>
      <c r="K330" s="545"/>
      <c r="L330" s="876"/>
      <c r="M330" s="882"/>
      <c r="O330" s="545"/>
      <c r="P330" s="876"/>
      <c r="Q330" s="876"/>
      <c r="R330" s="545"/>
      <c r="S330" s="876"/>
      <c r="T330" s="545"/>
      <c r="AD330" s="545"/>
      <c r="AE330" s="901"/>
      <c r="AF330" s="876"/>
      <c r="AG330" s="545"/>
      <c r="AH330" s="876"/>
      <c r="AI330" s="545"/>
    </row>
    <row r="331" spans="1:35" ht="24" customHeight="1">
      <c r="A331" s="917"/>
      <c r="B331" s="876"/>
      <c r="C331" s="915"/>
      <c r="D331" s="915"/>
      <c r="F331" s="545"/>
      <c r="G331" s="889"/>
      <c r="H331" s="545"/>
      <c r="I331" s="876"/>
      <c r="J331" s="876"/>
      <c r="K331" s="545"/>
      <c r="L331" s="876"/>
      <c r="M331" s="882"/>
      <c r="O331" s="545"/>
      <c r="P331" s="876"/>
      <c r="Q331" s="876"/>
      <c r="R331" s="545"/>
      <c r="S331" s="876"/>
      <c r="T331" s="545"/>
      <c r="AD331" s="545"/>
      <c r="AE331" s="901"/>
      <c r="AF331" s="876"/>
      <c r="AG331" s="545"/>
      <c r="AH331" s="876"/>
      <c r="AI331" s="545"/>
    </row>
    <row r="332" spans="1:35" ht="24" customHeight="1">
      <c r="A332" s="917"/>
      <c r="B332" s="876"/>
      <c r="C332" s="889"/>
      <c r="D332" s="916"/>
      <c r="F332" s="545"/>
      <c r="G332" s="889"/>
      <c r="H332" s="545"/>
      <c r="I332" s="876"/>
      <c r="J332" s="876"/>
      <c r="K332" s="545"/>
      <c r="L332" s="876"/>
      <c r="M332" s="882"/>
      <c r="O332" s="545"/>
      <c r="P332" s="876"/>
      <c r="Q332" s="876"/>
      <c r="R332" s="545"/>
      <c r="S332" s="876"/>
      <c r="T332" s="545"/>
      <c r="AD332" s="545"/>
      <c r="AE332" s="901"/>
      <c r="AF332" s="876"/>
      <c r="AG332" s="545"/>
      <c r="AH332" s="876"/>
      <c r="AI332" s="545"/>
    </row>
    <row r="333" spans="1:35" ht="24" customHeight="1">
      <c r="A333" s="917"/>
      <c r="B333" s="876"/>
      <c r="C333" s="889"/>
      <c r="D333" s="916"/>
      <c r="F333" s="545"/>
      <c r="G333" s="889"/>
      <c r="H333" s="545"/>
      <c r="I333" s="876"/>
      <c r="J333" s="876"/>
      <c r="K333" s="545"/>
      <c r="L333" s="876"/>
      <c r="M333" s="882"/>
      <c r="P333" s="876"/>
      <c r="Q333" s="876"/>
      <c r="R333" s="876"/>
      <c r="S333" s="876"/>
      <c r="T333" s="545"/>
      <c r="AD333" s="545"/>
      <c r="AE333" s="901"/>
      <c r="AF333" s="876"/>
      <c r="AG333" s="545"/>
      <c r="AH333" s="876"/>
      <c r="AI333" s="545"/>
    </row>
    <row r="334" spans="1:35" ht="24" customHeight="1">
      <c r="A334" s="917"/>
      <c r="B334" s="876"/>
      <c r="C334" s="889"/>
      <c r="D334" s="916"/>
      <c r="I334" s="876"/>
      <c r="J334" s="876"/>
      <c r="L334" s="876"/>
      <c r="M334" s="882"/>
      <c r="T334" s="881"/>
      <c r="AE334" s="901"/>
      <c r="AF334" s="876"/>
      <c r="AH334" s="876"/>
      <c r="AI334" s="545"/>
    </row>
    <row r="335" spans="1:35" ht="24" customHeight="1">
      <c r="A335" s="917"/>
      <c r="B335" s="876"/>
      <c r="C335" s="889"/>
      <c r="D335" s="916"/>
      <c r="M335" s="882"/>
      <c r="Q335" s="876"/>
      <c r="T335" s="545"/>
      <c r="AE335" s="902"/>
      <c r="AH335" s="874"/>
      <c r="AI335" s="881"/>
    </row>
    <row r="336" spans="1:35" ht="24" customHeight="1">
      <c r="A336" s="917"/>
      <c r="B336" s="876"/>
      <c r="C336" s="915"/>
      <c r="D336" s="915"/>
      <c r="J336" s="876"/>
      <c r="M336" s="882"/>
      <c r="T336" s="881"/>
      <c r="AE336" s="902"/>
      <c r="AF336" s="876"/>
      <c r="AH336" s="874"/>
      <c r="AI336" s="545"/>
    </row>
    <row r="337" spans="1:35" ht="24" customHeight="1">
      <c r="A337" s="917"/>
      <c r="B337" s="876"/>
      <c r="C337" s="889"/>
      <c r="D337" s="916"/>
      <c r="M337" s="882"/>
      <c r="Q337" s="876"/>
      <c r="T337" s="545"/>
      <c r="AE337" s="902"/>
      <c r="AH337" s="874"/>
      <c r="AI337" s="881"/>
    </row>
    <row r="338" spans="1:35" ht="24" customHeight="1">
      <c r="A338" s="917"/>
      <c r="B338" s="876"/>
      <c r="C338" s="889"/>
      <c r="D338" s="916"/>
      <c r="J338" s="880"/>
      <c r="M338" s="882"/>
      <c r="T338" s="881"/>
      <c r="AE338" s="902"/>
      <c r="AF338" s="880"/>
      <c r="AH338" s="874"/>
      <c r="AI338" s="545"/>
    </row>
    <row r="339" spans="1:35" ht="24" customHeight="1">
      <c r="A339" s="917"/>
      <c r="B339" s="876"/>
      <c r="C339" s="889"/>
      <c r="D339" s="916"/>
      <c r="M339" s="882"/>
      <c r="P339" s="876"/>
      <c r="Q339" s="876"/>
      <c r="AE339" s="902"/>
      <c r="AH339" s="874"/>
      <c r="AI339" s="881"/>
    </row>
    <row r="340" spans="1:35" ht="24" customHeight="1">
      <c r="A340" s="917"/>
      <c r="B340" s="876"/>
      <c r="C340" s="889"/>
      <c r="D340" s="916"/>
      <c r="J340" s="876"/>
      <c r="M340" s="883"/>
      <c r="Q340" s="881"/>
      <c r="X340" s="554"/>
      <c r="Y340" s="877"/>
      <c r="AE340" s="902"/>
      <c r="AF340" s="876"/>
      <c r="AH340" s="874"/>
      <c r="AI340" s="892"/>
    </row>
    <row r="341" spans="1:35" ht="24" customHeight="1">
      <c r="A341" s="917"/>
      <c r="B341" s="876"/>
      <c r="C341" s="915"/>
      <c r="D341" s="915"/>
      <c r="J341" s="876"/>
      <c r="M341" s="883"/>
      <c r="O341" s="545"/>
      <c r="P341" s="876"/>
      <c r="Q341" s="876"/>
      <c r="R341" s="545"/>
      <c r="S341" s="876"/>
      <c r="T341" s="545"/>
      <c r="X341" s="554"/>
      <c r="AE341" s="902"/>
      <c r="AF341" s="876"/>
      <c r="AH341" s="874"/>
      <c r="AI341" s="892"/>
    </row>
    <row r="342" spans="1:35" ht="24" customHeight="1">
      <c r="A342" s="917"/>
      <c r="B342" s="876"/>
      <c r="C342" s="889"/>
      <c r="D342" s="916"/>
      <c r="J342" s="876"/>
      <c r="M342" s="883"/>
      <c r="O342" s="545"/>
      <c r="P342" s="876"/>
      <c r="Q342" s="876"/>
      <c r="R342" s="545"/>
      <c r="S342" s="876"/>
      <c r="T342" s="545"/>
      <c r="X342" s="554"/>
      <c r="AE342" s="902"/>
      <c r="AF342" s="876"/>
      <c r="AH342" s="874"/>
      <c r="AI342" s="892"/>
    </row>
    <row r="343" spans="1:35" ht="24" customHeight="1">
      <c r="A343" s="917"/>
      <c r="B343" s="876"/>
      <c r="C343" s="889"/>
      <c r="D343" s="916"/>
      <c r="J343" s="876"/>
      <c r="M343" s="883"/>
      <c r="O343" s="545"/>
      <c r="P343" s="876"/>
      <c r="Q343" s="876"/>
      <c r="R343" s="545"/>
      <c r="S343" s="876"/>
      <c r="T343" s="545"/>
      <c r="X343" s="554"/>
      <c r="AE343" s="902"/>
      <c r="AF343" s="876"/>
      <c r="AH343" s="874"/>
      <c r="AI343" s="892"/>
    </row>
    <row r="344" spans="1:35" ht="24" customHeight="1">
      <c r="A344" s="917"/>
      <c r="B344" s="876"/>
      <c r="C344" s="889"/>
      <c r="D344" s="916"/>
      <c r="F344" s="876"/>
      <c r="G344" s="916"/>
      <c r="H344" s="876"/>
      <c r="J344" s="876"/>
      <c r="M344" s="883"/>
      <c r="O344" s="545"/>
      <c r="P344" s="876"/>
      <c r="Q344" s="876"/>
      <c r="R344" s="545"/>
      <c r="S344" s="876"/>
      <c r="T344" s="545"/>
      <c r="X344" s="554"/>
      <c r="AD344" s="876"/>
      <c r="AE344" s="902"/>
      <c r="AF344" s="876"/>
      <c r="AH344" s="874"/>
      <c r="AI344" s="892"/>
    </row>
    <row r="345" spans="1:35" ht="24" customHeight="1">
      <c r="A345" s="917"/>
      <c r="B345" s="876"/>
      <c r="C345" s="915"/>
      <c r="D345" s="915"/>
      <c r="F345" s="900"/>
      <c r="G345" s="926"/>
      <c r="H345" s="900"/>
      <c r="I345" s="876"/>
      <c r="J345" s="876"/>
      <c r="P345" s="876"/>
      <c r="Q345" s="876"/>
      <c r="R345" s="876"/>
      <c r="S345" s="876"/>
      <c r="T345" s="545"/>
      <c r="X345" s="554"/>
      <c r="AD345" s="876"/>
      <c r="AE345" s="902"/>
      <c r="AF345" s="876"/>
      <c r="AH345" s="874"/>
      <c r="AI345" s="892"/>
    </row>
    <row r="346" spans="1:35" ht="24" customHeight="1">
      <c r="A346" s="917"/>
      <c r="B346" s="876"/>
      <c r="C346" s="889"/>
      <c r="D346" s="916"/>
      <c r="J346" s="876"/>
      <c r="T346" s="881"/>
      <c r="AD346" s="876"/>
      <c r="AE346" s="902"/>
      <c r="AF346" s="876"/>
      <c r="AH346" s="874"/>
      <c r="AI346" s="892"/>
    </row>
    <row r="347" spans="1:35" ht="24" customHeight="1">
      <c r="A347" s="917"/>
      <c r="B347" s="876"/>
      <c r="C347" s="889"/>
      <c r="D347" s="916"/>
      <c r="J347" s="881"/>
      <c r="Q347" s="876"/>
      <c r="T347" s="545"/>
      <c r="AD347" s="876"/>
      <c r="AE347" s="902"/>
      <c r="AF347" s="876"/>
      <c r="AH347" s="874"/>
      <c r="AI347" s="892"/>
    </row>
    <row r="348" spans="1:35" ht="24" customHeight="1">
      <c r="A348" s="917"/>
      <c r="B348" s="876"/>
      <c r="C348" s="889"/>
      <c r="D348" s="916"/>
      <c r="F348" s="545"/>
      <c r="G348" s="889"/>
      <c r="H348" s="545"/>
      <c r="I348" s="876"/>
      <c r="J348" s="545"/>
      <c r="K348" s="545"/>
      <c r="L348" s="876"/>
      <c r="M348" s="882"/>
      <c r="T348" s="881"/>
      <c r="AD348" s="876"/>
      <c r="AE348" s="902"/>
      <c r="AF348" s="876"/>
      <c r="AH348" s="874"/>
      <c r="AI348" s="892"/>
    </row>
    <row r="349" spans="1:35" ht="24" customHeight="1">
      <c r="A349" s="917"/>
      <c r="B349" s="876"/>
      <c r="C349" s="889"/>
      <c r="D349" s="916"/>
      <c r="F349" s="545"/>
      <c r="G349" s="889"/>
      <c r="H349" s="545"/>
      <c r="I349" s="876"/>
      <c r="J349" s="876"/>
      <c r="K349" s="545"/>
      <c r="L349" s="876"/>
      <c r="M349" s="882"/>
      <c r="Q349" s="876"/>
      <c r="T349" s="545"/>
      <c r="AD349" s="876"/>
      <c r="AE349" s="902"/>
      <c r="AF349" s="876"/>
      <c r="AH349" s="874"/>
      <c r="AI349" s="892"/>
    </row>
    <row r="350" spans="1:35" ht="24" customHeight="1">
      <c r="A350" s="917"/>
      <c r="B350" s="876"/>
      <c r="C350" s="915"/>
      <c r="D350" s="915"/>
      <c r="F350" s="545"/>
      <c r="G350" s="889"/>
      <c r="H350" s="545"/>
      <c r="I350" s="876"/>
      <c r="J350" s="876"/>
      <c r="K350" s="545"/>
      <c r="L350" s="876"/>
      <c r="M350" s="882"/>
      <c r="T350" s="881"/>
      <c r="Z350" s="885"/>
      <c r="AD350" s="876"/>
      <c r="AE350" s="902"/>
      <c r="AF350" s="876"/>
      <c r="AH350" s="874"/>
      <c r="AI350" s="892"/>
    </row>
    <row r="351" spans="1:35" ht="24" customHeight="1">
      <c r="A351" s="917"/>
      <c r="B351" s="876"/>
      <c r="C351" s="889"/>
      <c r="D351" s="916"/>
      <c r="F351" s="545"/>
      <c r="G351" s="889"/>
      <c r="H351" s="545"/>
      <c r="I351" s="876"/>
      <c r="J351" s="876"/>
      <c r="K351" s="545"/>
      <c r="L351" s="876"/>
      <c r="M351" s="882"/>
      <c r="P351" s="876"/>
      <c r="Q351" s="876"/>
      <c r="AD351" s="876"/>
      <c r="AE351" s="902"/>
      <c r="AF351" s="876"/>
      <c r="AH351" s="874"/>
      <c r="AI351" s="892"/>
    </row>
    <row r="352" spans="1:35" ht="24" customHeight="1">
      <c r="A352" s="917"/>
      <c r="B352" s="876"/>
      <c r="C352" s="889"/>
      <c r="D352" s="916"/>
      <c r="F352" s="545"/>
      <c r="G352" s="889"/>
      <c r="H352" s="545"/>
      <c r="I352" s="876"/>
      <c r="J352" s="876"/>
      <c r="K352" s="545"/>
      <c r="L352" s="876"/>
      <c r="M352" s="882"/>
      <c r="Q352" s="876"/>
      <c r="AD352" s="876"/>
      <c r="AE352" s="902"/>
      <c r="AF352" s="876"/>
      <c r="AH352" s="874"/>
      <c r="AI352" s="892"/>
    </row>
    <row r="353" spans="1:35" ht="24" customHeight="1">
      <c r="A353" s="917"/>
      <c r="B353" s="876"/>
      <c r="C353" s="889"/>
      <c r="D353" s="916"/>
      <c r="F353" s="545"/>
      <c r="G353" s="889"/>
      <c r="H353" s="545"/>
      <c r="I353" s="876"/>
      <c r="J353" s="876"/>
      <c r="K353" s="545"/>
      <c r="L353" s="876"/>
      <c r="M353" s="882"/>
      <c r="Q353" s="876"/>
      <c r="AD353" s="876"/>
      <c r="AE353" s="902"/>
      <c r="AF353" s="876"/>
      <c r="AH353" s="874"/>
      <c r="AI353" s="892"/>
    </row>
    <row r="354" spans="1:35" ht="24" customHeight="1">
      <c r="A354" s="917"/>
      <c r="B354" s="876"/>
      <c r="C354" s="889"/>
      <c r="D354" s="916"/>
      <c r="I354" s="876"/>
      <c r="J354" s="876"/>
      <c r="L354" s="876"/>
      <c r="M354" s="882"/>
      <c r="Q354" s="881"/>
      <c r="AD354" s="900"/>
      <c r="AE354" s="901"/>
      <c r="AF354" s="876"/>
      <c r="AH354" s="874"/>
    </row>
    <row r="355" spans="1:35" ht="24" customHeight="1">
      <c r="A355" s="917"/>
      <c r="B355" s="876"/>
      <c r="C355" s="915"/>
      <c r="D355" s="915"/>
      <c r="M355" s="882"/>
      <c r="O355" s="545"/>
      <c r="P355" s="876"/>
      <c r="Q355" s="876"/>
      <c r="R355" s="545"/>
      <c r="S355" s="876"/>
      <c r="T355" s="545"/>
      <c r="AE355" s="902"/>
      <c r="AF355" s="876"/>
      <c r="AH355" s="874"/>
    </row>
    <row r="356" spans="1:35" ht="24" customHeight="1">
      <c r="A356" s="917"/>
      <c r="B356" s="876"/>
      <c r="C356" s="889"/>
      <c r="D356" s="916"/>
      <c r="J356" s="876"/>
      <c r="M356" s="882"/>
      <c r="O356" s="545"/>
      <c r="P356" s="876"/>
      <c r="Q356" s="876"/>
      <c r="R356" s="545"/>
      <c r="S356" s="876"/>
      <c r="T356" s="545"/>
      <c r="AE356" s="902"/>
      <c r="AF356" s="881"/>
      <c r="AH356" s="874"/>
    </row>
    <row r="357" spans="1:35" ht="24" customHeight="1">
      <c r="A357" s="917"/>
      <c r="B357" s="876"/>
      <c r="C357" s="889"/>
      <c r="D357" s="916"/>
      <c r="M357" s="882"/>
      <c r="O357" s="545"/>
      <c r="P357" s="876"/>
      <c r="Q357" s="876"/>
      <c r="R357" s="545"/>
      <c r="S357" s="876"/>
      <c r="T357" s="545"/>
      <c r="AD357" s="545"/>
      <c r="AE357" s="901"/>
      <c r="AF357" s="545"/>
      <c r="AG357" s="545"/>
      <c r="AH357" s="876"/>
      <c r="AI357" s="545"/>
    </row>
    <row r="358" spans="1:35" ht="24" customHeight="1">
      <c r="A358" s="917"/>
      <c r="B358" s="876"/>
      <c r="C358" s="889"/>
      <c r="D358" s="916"/>
      <c r="J358" s="876"/>
      <c r="M358" s="882"/>
      <c r="O358" s="545"/>
      <c r="P358" s="876"/>
      <c r="Q358" s="876"/>
      <c r="R358" s="545"/>
      <c r="S358" s="876"/>
      <c r="T358" s="545"/>
      <c r="AD358" s="545"/>
      <c r="AE358" s="901"/>
      <c r="AF358" s="876"/>
      <c r="AG358" s="545"/>
      <c r="AH358" s="876"/>
      <c r="AI358" s="545"/>
    </row>
    <row r="359" spans="1:35" ht="24" customHeight="1">
      <c r="A359" s="917"/>
      <c r="B359" s="876"/>
      <c r="C359" s="915"/>
      <c r="D359" s="916"/>
      <c r="M359" s="882"/>
      <c r="O359" s="545"/>
      <c r="P359" s="876"/>
      <c r="Q359" s="876"/>
      <c r="R359" s="545"/>
      <c r="S359" s="876"/>
      <c r="T359" s="545"/>
      <c r="AD359" s="545"/>
      <c r="AE359" s="901"/>
      <c r="AF359" s="876"/>
      <c r="AG359" s="545"/>
      <c r="AH359" s="876"/>
      <c r="AI359" s="545"/>
    </row>
    <row r="360" spans="1:35" ht="24" customHeight="1">
      <c r="A360" s="917"/>
      <c r="B360" s="876"/>
      <c r="C360" s="889"/>
      <c r="D360" s="916"/>
      <c r="J360" s="876"/>
      <c r="M360" s="882"/>
      <c r="O360" s="545"/>
      <c r="P360" s="876"/>
      <c r="Q360" s="876"/>
      <c r="R360" s="545"/>
      <c r="S360" s="876"/>
      <c r="T360" s="545"/>
      <c r="AD360" s="545"/>
      <c r="AE360" s="901"/>
      <c r="AF360" s="876"/>
      <c r="AG360" s="545"/>
      <c r="AH360" s="876"/>
      <c r="AI360" s="545"/>
    </row>
    <row r="361" spans="1:35" ht="24" customHeight="1">
      <c r="A361" s="917"/>
      <c r="B361" s="876"/>
      <c r="C361" s="889"/>
      <c r="D361" s="916"/>
      <c r="J361" s="876"/>
      <c r="M361" s="882"/>
      <c r="P361" s="876"/>
      <c r="Q361" s="876"/>
      <c r="R361" s="876"/>
      <c r="S361" s="876"/>
      <c r="T361" s="545"/>
      <c r="AD361" s="545"/>
      <c r="AE361" s="901"/>
      <c r="AF361" s="876"/>
      <c r="AG361" s="545"/>
      <c r="AH361" s="876"/>
      <c r="AI361" s="545"/>
    </row>
    <row r="362" spans="1:35" ht="24" customHeight="1">
      <c r="A362" s="917"/>
      <c r="B362" s="876"/>
      <c r="C362" s="889"/>
      <c r="D362" s="916"/>
      <c r="J362" s="876"/>
      <c r="M362" s="882"/>
      <c r="T362" s="881"/>
      <c r="AD362" s="545"/>
      <c r="AE362" s="901"/>
      <c r="AF362" s="876"/>
      <c r="AG362" s="545"/>
      <c r="AH362" s="876"/>
      <c r="AI362" s="545"/>
    </row>
    <row r="363" spans="1:35" ht="24" customHeight="1">
      <c r="A363" s="917"/>
      <c r="B363" s="876"/>
      <c r="C363" s="915"/>
      <c r="D363" s="915"/>
      <c r="J363" s="876"/>
      <c r="M363" s="882"/>
      <c r="Q363" s="876"/>
      <c r="T363" s="545"/>
      <c r="AE363" s="901"/>
      <c r="AF363" s="876"/>
      <c r="AH363" s="876"/>
      <c r="AI363" s="545"/>
    </row>
    <row r="364" spans="1:35" ht="24" customHeight="1">
      <c r="A364" s="917"/>
      <c r="B364" s="876"/>
      <c r="C364" s="889"/>
      <c r="D364" s="916"/>
      <c r="J364" s="876"/>
      <c r="M364" s="882"/>
      <c r="T364" s="881"/>
      <c r="AE364" s="902"/>
      <c r="AH364" s="874"/>
      <c r="AI364" s="881"/>
    </row>
    <row r="365" spans="1:35" ht="24" customHeight="1">
      <c r="A365" s="917"/>
      <c r="B365" s="876"/>
      <c r="C365" s="889"/>
      <c r="D365" s="916"/>
      <c r="J365" s="876"/>
      <c r="M365" s="882"/>
      <c r="Q365" s="876"/>
      <c r="T365" s="545"/>
      <c r="AE365" s="902"/>
      <c r="AF365" s="876"/>
      <c r="AH365" s="874"/>
      <c r="AI365" s="545"/>
    </row>
    <row r="366" spans="1:35" ht="24" customHeight="1">
      <c r="A366" s="917"/>
      <c r="B366" s="876"/>
      <c r="C366" s="889"/>
      <c r="D366" s="916"/>
      <c r="T366" s="881"/>
      <c r="AE366" s="902"/>
      <c r="AH366" s="874"/>
      <c r="AI366" s="881"/>
    </row>
    <row r="367" spans="1:35" ht="24" customHeight="1">
      <c r="A367" s="917"/>
      <c r="B367" s="876"/>
      <c r="C367" s="915"/>
      <c r="D367" s="916"/>
      <c r="J367" s="880"/>
      <c r="P367" s="876"/>
      <c r="Q367" s="876"/>
      <c r="AE367" s="902"/>
      <c r="AF367" s="876"/>
      <c r="AH367" s="874"/>
      <c r="AI367" s="545"/>
    </row>
    <row r="368" spans="1:35" ht="24" customHeight="1">
      <c r="A368" s="917"/>
      <c r="B368" s="876"/>
      <c r="C368" s="889"/>
      <c r="D368" s="916"/>
      <c r="J368" s="881"/>
      <c r="Q368" s="881"/>
      <c r="AE368" s="902"/>
      <c r="AH368" s="874"/>
      <c r="AI368" s="881"/>
    </row>
    <row r="369" spans="1:35" ht="24" customHeight="1">
      <c r="A369" s="917"/>
      <c r="B369" s="876"/>
      <c r="C369" s="889"/>
      <c r="D369" s="916"/>
      <c r="F369" s="900"/>
      <c r="G369" s="926"/>
      <c r="H369" s="900"/>
      <c r="I369" s="876"/>
      <c r="J369" s="876"/>
      <c r="O369" s="545"/>
      <c r="P369" s="876"/>
      <c r="Q369" s="876"/>
      <c r="R369" s="545"/>
      <c r="S369" s="876"/>
      <c r="T369" s="545"/>
      <c r="AE369" s="902"/>
      <c r="AF369" s="876"/>
      <c r="AH369" s="874"/>
      <c r="AI369" s="545"/>
    </row>
    <row r="370" spans="1:35" ht="24" customHeight="1">
      <c r="A370" s="917"/>
      <c r="B370" s="876"/>
      <c r="C370" s="889"/>
      <c r="D370" s="916"/>
      <c r="J370" s="545"/>
      <c r="O370" s="545"/>
      <c r="P370" s="876"/>
      <c r="Q370" s="876"/>
      <c r="R370" s="545"/>
      <c r="S370" s="876"/>
      <c r="T370" s="545"/>
      <c r="AE370" s="902"/>
      <c r="AF370" s="876"/>
      <c r="AH370" s="874"/>
      <c r="AI370" s="545"/>
    </row>
    <row r="371" spans="1:35" ht="24" customHeight="1">
      <c r="A371" s="917"/>
      <c r="B371" s="876"/>
      <c r="C371" s="915"/>
      <c r="D371" s="915"/>
      <c r="J371" s="881"/>
      <c r="O371" s="545"/>
      <c r="P371" s="876"/>
      <c r="Q371" s="876"/>
      <c r="R371" s="545"/>
      <c r="S371" s="876"/>
      <c r="T371" s="545"/>
      <c r="Z371" s="881"/>
      <c r="AE371" s="902"/>
      <c r="AF371" s="876"/>
      <c r="AH371" s="874"/>
      <c r="AI371" s="545"/>
    </row>
    <row r="372" spans="1:35" ht="24" customHeight="1">
      <c r="A372" s="917"/>
      <c r="B372" s="876"/>
      <c r="C372" s="889"/>
      <c r="D372" s="916"/>
      <c r="F372" s="545"/>
      <c r="G372" s="889"/>
      <c r="H372" s="545"/>
      <c r="I372" s="876"/>
      <c r="J372" s="545"/>
      <c r="K372" s="545"/>
      <c r="L372" s="876"/>
      <c r="M372" s="882"/>
      <c r="O372" s="545"/>
      <c r="P372" s="876"/>
      <c r="Q372" s="876"/>
      <c r="R372" s="545"/>
      <c r="S372" s="876"/>
      <c r="T372" s="545"/>
      <c r="AE372" s="902"/>
      <c r="AF372" s="876"/>
      <c r="AH372" s="874"/>
      <c r="AI372" s="545"/>
    </row>
    <row r="373" spans="1:35" ht="24" customHeight="1">
      <c r="A373" s="917"/>
      <c r="B373" s="876"/>
      <c r="C373" s="889"/>
      <c r="D373" s="916"/>
      <c r="F373" s="545"/>
      <c r="G373" s="889"/>
      <c r="H373" s="545"/>
      <c r="I373" s="876"/>
      <c r="J373" s="876"/>
      <c r="K373" s="545"/>
      <c r="L373" s="876"/>
      <c r="M373" s="882"/>
      <c r="P373" s="876"/>
      <c r="Q373" s="876"/>
      <c r="R373" s="876"/>
      <c r="S373" s="876"/>
      <c r="T373" s="545"/>
      <c r="Z373" s="881"/>
      <c r="AE373" s="902"/>
      <c r="AF373" s="876"/>
      <c r="AH373" s="874"/>
      <c r="AI373" s="545"/>
    </row>
    <row r="374" spans="1:35" ht="24" customHeight="1">
      <c r="A374" s="917"/>
      <c r="B374" s="876"/>
      <c r="C374" s="889"/>
      <c r="D374" s="916"/>
      <c r="F374" s="545"/>
      <c r="G374" s="889"/>
      <c r="H374" s="545"/>
      <c r="I374" s="876"/>
      <c r="J374" s="876"/>
      <c r="K374" s="545"/>
      <c r="L374" s="876"/>
      <c r="M374" s="882"/>
      <c r="T374" s="881"/>
      <c r="AE374" s="902"/>
      <c r="AF374" s="876"/>
      <c r="AH374" s="874"/>
      <c r="AI374" s="545"/>
    </row>
    <row r="375" spans="1:35" ht="24" customHeight="1">
      <c r="A375" s="917"/>
      <c r="B375" s="876"/>
      <c r="C375" s="915"/>
      <c r="D375" s="916"/>
      <c r="F375" s="545"/>
      <c r="G375" s="889"/>
      <c r="H375" s="545"/>
      <c r="I375" s="876"/>
      <c r="J375" s="876"/>
      <c r="K375" s="545"/>
      <c r="L375" s="876"/>
      <c r="M375" s="882"/>
      <c r="Q375" s="876"/>
      <c r="T375" s="545"/>
      <c r="Z375" s="903"/>
      <c r="AE375" s="902"/>
      <c r="AH375" s="874"/>
    </row>
    <row r="376" spans="1:35" ht="24" customHeight="1">
      <c r="A376" s="917"/>
      <c r="B376" s="876"/>
      <c r="C376" s="889"/>
      <c r="D376" s="916"/>
      <c r="F376" s="545"/>
      <c r="G376" s="889"/>
      <c r="H376" s="545"/>
      <c r="I376" s="876"/>
      <c r="J376" s="876"/>
      <c r="K376" s="545"/>
      <c r="L376" s="876"/>
      <c r="M376" s="882"/>
      <c r="T376" s="881"/>
      <c r="W376" s="885"/>
      <c r="Z376" s="885"/>
      <c r="AE376" s="902"/>
      <c r="AF376" s="880"/>
      <c r="AH376" s="874"/>
    </row>
    <row r="377" spans="1:35" ht="24" customHeight="1">
      <c r="A377" s="917"/>
      <c r="B377" s="876"/>
      <c r="C377" s="889"/>
      <c r="D377" s="916"/>
      <c r="F377" s="545"/>
      <c r="G377" s="889"/>
      <c r="H377" s="545"/>
      <c r="I377" s="876"/>
      <c r="J377" s="876"/>
      <c r="K377" s="545"/>
      <c r="L377" s="876"/>
      <c r="M377" s="882"/>
      <c r="Q377" s="876"/>
      <c r="T377" s="545"/>
      <c r="W377" s="885"/>
      <c r="Z377" s="885"/>
      <c r="AE377" s="902"/>
      <c r="AF377" s="881"/>
      <c r="AH377" s="874"/>
    </row>
    <row r="378" spans="1:35" ht="24" customHeight="1">
      <c r="A378" s="917"/>
      <c r="B378" s="876"/>
      <c r="C378" s="889"/>
      <c r="D378" s="916"/>
      <c r="I378" s="876"/>
      <c r="J378" s="876"/>
      <c r="K378" s="876"/>
      <c r="L378" s="876"/>
      <c r="M378" s="882"/>
      <c r="T378" s="881"/>
      <c r="W378" s="885"/>
      <c r="Z378" s="885"/>
      <c r="AD378" s="900"/>
      <c r="AE378" s="901"/>
      <c r="AF378" s="876"/>
      <c r="AH378" s="874"/>
    </row>
    <row r="379" spans="1:35" ht="24" customHeight="1">
      <c r="A379" s="917"/>
      <c r="B379" s="876"/>
      <c r="C379" s="915"/>
      <c r="D379" s="915"/>
      <c r="M379" s="882"/>
      <c r="W379" s="885"/>
      <c r="Z379" s="885"/>
      <c r="AE379" s="902"/>
      <c r="AF379" s="545"/>
      <c r="AH379" s="874"/>
    </row>
    <row r="380" spans="1:35" ht="24" customHeight="1">
      <c r="A380" s="917"/>
      <c r="B380" s="876"/>
      <c r="C380" s="889"/>
      <c r="D380" s="916"/>
      <c r="J380" s="876"/>
      <c r="M380" s="882"/>
      <c r="W380" s="885"/>
      <c r="Z380" s="885"/>
      <c r="AE380" s="902"/>
      <c r="AF380" s="881"/>
      <c r="AH380" s="874"/>
    </row>
    <row r="381" spans="1:35" ht="24" customHeight="1">
      <c r="A381" s="917"/>
      <c r="B381" s="876"/>
      <c r="C381" s="889"/>
      <c r="D381" s="916"/>
      <c r="M381" s="882"/>
      <c r="P381" s="876"/>
      <c r="Q381" s="876"/>
      <c r="AD381" s="545"/>
      <c r="AE381" s="901"/>
      <c r="AF381" s="545"/>
      <c r="AG381" s="545"/>
      <c r="AH381" s="876"/>
      <c r="AI381" s="545"/>
    </row>
    <row r="382" spans="1:35" ht="24" customHeight="1">
      <c r="A382" s="917"/>
      <c r="B382" s="876"/>
      <c r="C382" s="889"/>
      <c r="D382" s="916"/>
      <c r="J382" s="876"/>
      <c r="M382" s="882"/>
      <c r="Q382" s="881"/>
      <c r="AD382" s="545"/>
      <c r="AE382" s="901"/>
      <c r="AF382" s="876"/>
      <c r="AG382" s="545"/>
      <c r="AH382" s="876"/>
      <c r="AI382" s="545"/>
    </row>
    <row r="383" spans="1:35" ht="24" customHeight="1">
      <c r="A383" s="917"/>
      <c r="B383" s="876"/>
      <c r="D383" s="876"/>
      <c r="M383" s="882"/>
      <c r="O383" s="545"/>
      <c r="P383" s="876"/>
      <c r="Q383" s="876"/>
      <c r="R383" s="545"/>
      <c r="S383" s="876"/>
      <c r="T383" s="545"/>
      <c r="AD383" s="545"/>
      <c r="AE383" s="901"/>
      <c r="AF383" s="876"/>
      <c r="AG383" s="545"/>
      <c r="AH383" s="876"/>
      <c r="AI383" s="545"/>
    </row>
    <row r="384" spans="1:35" ht="24" customHeight="1">
      <c r="A384" s="917"/>
      <c r="B384" s="876"/>
      <c r="C384" s="545"/>
      <c r="D384" s="876"/>
      <c r="O384" s="545"/>
      <c r="P384" s="876"/>
      <c r="Q384" s="876"/>
      <c r="R384" s="545"/>
      <c r="S384" s="876"/>
      <c r="T384" s="545"/>
      <c r="AD384" s="545"/>
      <c r="AE384" s="901"/>
      <c r="AF384" s="876"/>
      <c r="AG384" s="545"/>
      <c r="AH384" s="876"/>
      <c r="AI384" s="545"/>
    </row>
    <row r="385" spans="1:35" ht="24" customHeight="1">
      <c r="A385" s="917"/>
      <c r="B385" s="876"/>
      <c r="C385" s="545"/>
      <c r="D385" s="876"/>
      <c r="I385" s="876"/>
      <c r="J385" s="876"/>
      <c r="O385" s="545"/>
      <c r="P385" s="876"/>
      <c r="Q385" s="876"/>
      <c r="R385" s="545"/>
      <c r="S385" s="876"/>
      <c r="T385" s="545"/>
      <c r="AD385" s="545"/>
      <c r="AE385" s="901"/>
      <c r="AF385" s="876"/>
      <c r="AG385" s="545"/>
      <c r="AH385" s="876"/>
      <c r="AI385" s="545"/>
    </row>
    <row r="386" spans="1:35" ht="24" customHeight="1">
      <c r="A386" s="917"/>
      <c r="B386" s="876"/>
      <c r="C386" s="545"/>
      <c r="D386" s="876"/>
      <c r="J386" s="881"/>
      <c r="O386" s="545"/>
      <c r="P386" s="876"/>
      <c r="Q386" s="876"/>
      <c r="R386" s="545"/>
      <c r="S386" s="876"/>
      <c r="T386" s="545"/>
      <c r="AD386" s="545"/>
      <c r="AE386" s="901"/>
      <c r="AF386" s="876"/>
      <c r="AG386" s="545"/>
      <c r="AH386" s="876"/>
      <c r="AI386" s="545"/>
    </row>
    <row r="387" spans="1:35" ht="24" customHeight="1">
      <c r="A387" s="917"/>
      <c r="B387" s="876"/>
      <c r="C387" s="545"/>
      <c r="D387" s="876"/>
      <c r="F387" s="545"/>
      <c r="G387" s="889"/>
      <c r="H387" s="545"/>
      <c r="I387" s="876"/>
      <c r="J387" s="876"/>
      <c r="K387" s="545"/>
      <c r="L387" s="876"/>
      <c r="M387" s="882"/>
      <c r="P387" s="876"/>
      <c r="Q387" s="876"/>
      <c r="R387" s="876"/>
      <c r="S387" s="876"/>
      <c r="T387" s="545"/>
      <c r="AE387" s="901"/>
      <c r="AF387" s="876"/>
      <c r="AG387" s="876"/>
      <c r="AH387" s="876"/>
      <c r="AI387" s="545"/>
    </row>
    <row r="388" spans="1:35" ht="24" customHeight="1">
      <c r="A388" s="917"/>
      <c r="B388" s="876"/>
      <c r="C388" s="545"/>
      <c r="D388" s="876"/>
      <c r="F388" s="545"/>
      <c r="G388" s="889"/>
      <c r="H388" s="545"/>
      <c r="I388" s="876"/>
      <c r="J388" s="876"/>
      <c r="K388" s="545"/>
      <c r="L388" s="876"/>
      <c r="M388" s="882"/>
      <c r="T388" s="881"/>
      <c r="AE388" s="902"/>
      <c r="AH388" s="874"/>
      <c r="AI388" s="881"/>
    </row>
    <row r="389" spans="1:35" ht="24" customHeight="1">
      <c r="A389" s="917"/>
      <c r="B389" s="876"/>
      <c r="C389" s="545"/>
      <c r="D389" s="876"/>
      <c r="I389" s="876"/>
      <c r="J389" s="876"/>
      <c r="K389" s="876"/>
      <c r="L389" s="876"/>
      <c r="M389" s="882"/>
      <c r="Q389" s="876"/>
      <c r="T389" s="545"/>
      <c r="AE389" s="902"/>
      <c r="AF389" s="876"/>
      <c r="AH389" s="874"/>
      <c r="AI389" s="545"/>
    </row>
    <row r="390" spans="1:35" ht="24" customHeight="1">
      <c r="A390" s="917"/>
      <c r="B390" s="876"/>
      <c r="C390" s="545"/>
      <c r="D390" s="876"/>
      <c r="M390" s="882"/>
      <c r="T390" s="881"/>
      <c r="AE390" s="902"/>
      <c r="AH390" s="874"/>
      <c r="AI390" s="881"/>
    </row>
    <row r="391" spans="1:35" ht="24" customHeight="1">
      <c r="A391" s="917"/>
      <c r="B391" s="876"/>
      <c r="J391" s="876"/>
      <c r="M391" s="882"/>
      <c r="Q391" s="876"/>
      <c r="T391" s="545"/>
      <c r="Z391" s="881"/>
      <c r="AE391" s="902"/>
      <c r="AF391" s="876"/>
      <c r="AH391" s="874"/>
      <c r="AI391" s="545"/>
    </row>
    <row r="392" spans="1:35" ht="24" customHeight="1">
      <c r="A392" s="917"/>
      <c r="B392" s="876"/>
      <c r="C392" s="545"/>
      <c r="D392" s="876"/>
      <c r="M392" s="882"/>
      <c r="T392" s="881"/>
      <c r="AE392" s="902"/>
      <c r="AH392" s="874"/>
      <c r="AI392" s="881"/>
    </row>
    <row r="393" spans="1:35" ht="24" customHeight="1">
      <c r="A393" s="917"/>
      <c r="B393" s="876"/>
      <c r="C393" s="545"/>
      <c r="D393" s="876"/>
      <c r="J393" s="876"/>
      <c r="M393" s="883"/>
      <c r="P393" s="876"/>
      <c r="Q393" s="876"/>
      <c r="Z393" s="881"/>
      <c r="AE393" s="902"/>
      <c r="AH393" s="874"/>
    </row>
    <row r="394" spans="1:35" ht="24" customHeight="1">
      <c r="A394" s="917"/>
      <c r="B394" s="876"/>
      <c r="C394" s="545"/>
      <c r="D394" s="876"/>
      <c r="M394" s="882"/>
      <c r="Q394" s="881"/>
      <c r="AE394" s="901"/>
      <c r="AF394" s="876"/>
      <c r="AH394" s="874"/>
    </row>
    <row r="395" spans="1:35" ht="24" customHeight="1">
      <c r="A395" s="917"/>
      <c r="B395" s="876"/>
      <c r="C395" s="545"/>
      <c r="D395" s="876"/>
      <c r="J395" s="876"/>
      <c r="M395" s="883"/>
      <c r="O395" s="545"/>
      <c r="P395" s="876"/>
      <c r="Q395" s="876"/>
      <c r="R395" s="545"/>
      <c r="S395" s="876"/>
      <c r="T395" s="545"/>
      <c r="Z395" s="903"/>
      <c r="AE395" s="902"/>
      <c r="AF395" s="881"/>
      <c r="AH395" s="874"/>
    </row>
    <row r="396" spans="1:35" ht="24" customHeight="1">
      <c r="A396" s="917"/>
      <c r="B396" s="876"/>
      <c r="C396" s="545"/>
      <c r="D396" s="876"/>
      <c r="J396" s="876"/>
      <c r="M396" s="883"/>
      <c r="O396" s="545"/>
      <c r="P396" s="876"/>
      <c r="Q396" s="876"/>
      <c r="R396" s="545"/>
      <c r="S396" s="876"/>
      <c r="T396" s="545"/>
      <c r="AD396" s="545"/>
      <c r="AE396" s="901"/>
      <c r="AF396" s="876"/>
      <c r="AG396" s="545"/>
      <c r="AH396" s="876"/>
      <c r="AI396" s="545"/>
    </row>
    <row r="397" spans="1:35" ht="24" customHeight="1">
      <c r="A397" s="917"/>
      <c r="B397" s="876"/>
      <c r="C397" s="545"/>
      <c r="D397" s="876"/>
      <c r="J397" s="876"/>
      <c r="M397" s="883"/>
      <c r="Q397" s="876"/>
      <c r="T397" s="881"/>
      <c r="AD397" s="545"/>
      <c r="AE397" s="901"/>
      <c r="AF397" s="876"/>
      <c r="AG397" s="545"/>
      <c r="AH397" s="876"/>
      <c r="AI397" s="545"/>
    </row>
    <row r="398" spans="1:35" ht="24" customHeight="1">
      <c r="A398" s="917"/>
      <c r="B398" s="876"/>
      <c r="C398" s="545"/>
      <c r="D398" s="876"/>
      <c r="J398" s="876"/>
      <c r="M398" s="883"/>
      <c r="T398" s="545"/>
      <c r="AE398" s="901"/>
      <c r="AF398" s="876"/>
      <c r="AG398" s="876"/>
      <c r="AH398" s="876"/>
      <c r="AI398" s="545"/>
    </row>
    <row r="399" spans="1:35" ht="24" customHeight="1">
      <c r="A399" s="917"/>
      <c r="B399" s="876"/>
      <c r="D399" s="876"/>
      <c r="J399" s="876"/>
      <c r="M399" s="883"/>
      <c r="Q399" s="876"/>
      <c r="T399" s="881"/>
      <c r="AE399" s="902"/>
      <c r="AH399" s="874"/>
      <c r="AI399" s="881"/>
    </row>
    <row r="400" spans="1:35" ht="24" customHeight="1">
      <c r="A400" s="917"/>
      <c r="B400" s="876"/>
      <c r="C400" s="545"/>
      <c r="D400" s="876"/>
      <c r="F400" s="900"/>
      <c r="G400" s="926"/>
      <c r="H400" s="900"/>
      <c r="I400" s="876"/>
      <c r="J400" s="876"/>
      <c r="T400" s="545"/>
      <c r="AE400" s="902"/>
      <c r="AF400" s="876"/>
      <c r="AH400" s="874"/>
      <c r="AI400" s="545"/>
    </row>
    <row r="401" spans="1:35" ht="24" customHeight="1">
      <c r="A401" s="917"/>
      <c r="B401" s="876"/>
      <c r="C401" s="545"/>
      <c r="D401" s="876"/>
      <c r="J401" s="545"/>
      <c r="Q401" s="876"/>
      <c r="T401" s="881"/>
      <c r="AE401" s="902"/>
      <c r="AH401" s="874"/>
      <c r="AI401" s="881"/>
    </row>
    <row r="402" spans="1:35" ht="24" customHeight="1">
      <c r="A402" s="917"/>
      <c r="B402" s="876"/>
      <c r="C402" s="545"/>
      <c r="D402" s="876"/>
      <c r="J402" s="881"/>
      <c r="AE402" s="902"/>
      <c r="AF402" s="876"/>
      <c r="AH402" s="874"/>
      <c r="AI402" s="892"/>
    </row>
    <row r="403" spans="1:35" ht="24" customHeight="1">
      <c r="A403" s="917"/>
      <c r="B403" s="876"/>
      <c r="C403" s="545"/>
      <c r="D403" s="876"/>
      <c r="F403" s="545"/>
      <c r="G403" s="889"/>
      <c r="H403" s="545"/>
      <c r="I403" s="876"/>
      <c r="J403" s="545"/>
      <c r="K403" s="545"/>
      <c r="L403" s="876"/>
      <c r="M403" s="882"/>
      <c r="P403" s="876"/>
      <c r="Q403" s="876"/>
      <c r="AE403" s="902"/>
      <c r="AH403" s="874"/>
      <c r="AI403" s="881"/>
    </row>
    <row r="404" spans="1:35" ht="24" customHeight="1">
      <c r="A404" s="917"/>
      <c r="B404" s="876"/>
      <c r="C404" s="545"/>
      <c r="D404" s="876"/>
      <c r="F404" s="545"/>
      <c r="G404" s="889"/>
      <c r="H404" s="545"/>
      <c r="I404" s="876"/>
      <c r="J404" s="876"/>
      <c r="K404" s="545"/>
      <c r="L404" s="876"/>
      <c r="M404" s="882"/>
      <c r="Q404" s="876"/>
      <c r="AE404" s="902"/>
      <c r="AF404" s="876"/>
      <c r="AH404" s="874"/>
      <c r="AI404" s="892"/>
    </row>
    <row r="405" spans="1:35" ht="24" customHeight="1">
      <c r="A405" s="917"/>
      <c r="B405" s="876"/>
      <c r="C405" s="545"/>
      <c r="D405" s="876"/>
      <c r="F405" s="545"/>
      <c r="G405" s="889"/>
      <c r="H405" s="545"/>
      <c r="I405" s="876"/>
      <c r="J405" s="876"/>
      <c r="K405" s="545"/>
      <c r="L405" s="876"/>
      <c r="M405" s="882"/>
      <c r="Q405" s="881"/>
      <c r="AE405" s="902"/>
      <c r="AF405" s="876"/>
      <c r="AH405" s="874"/>
      <c r="AI405" s="892"/>
    </row>
    <row r="406" spans="1:35" ht="24" customHeight="1">
      <c r="A406" s="917"/>
      <c r="B406" s="876"/>
      <c r="C406" s="545"/>
      <c r="D406" s="876"/>
      <c r="F406" s="545"/>
      <c r="G406" s="889"/>
      <c r="H406" s="545"/>
      <c r="I406" s="876"/>
      <c r="J406" s="876"/>
      <c r="K406" s="545"/>
      <c r="L406" s="876"/>
      <c r="M406" s="882"/>
      <c r="O406" s="545"/>
      <c r="P406" s="876"/>
      <c r="Q406" s="876"/>
      <c r="R406" s="545"/>
      <c r="S406" s="876"/>
      <c r="T406" s="545"/>
      <c r="AE406" s="902"/>
      <c r="AF406" s="876"/>
      <c r="AH406" s="874"/>
      <c r="AI406" s="892"/>
    </row>
    <row r="407" spans="1:35" ht="24" customHeight="1">
      <c r="A407" s="917"/>
      <c r="B407" s="875"/>
      <c r="D407" s="876"/>
      <c r="F407" s="545"/>
      <c r="G407" s="889"/>
      <c r="H407" s="545"/>
      <c r="I407" s="876"/>
      <c r="J407" s="876"/>
      <c r="K407" s="545"/>
      <c r="L407" s="876"/>
      <c r="M407" s="882"/>
      <c r="O407" s="545"/>
      <c r="P407" s="876"/>
      <c r="Q407" s="876"/>
      <c r="R407" s="545"/>
      <c r="S407" s="876"/>
      <c r="T407" s="545"/>
      <c r="AE407" s="902"/>
      <c r="AF407" s="876"/>
      <c r="AH407" s="874"/>
      <c r="AI407" s="892"/>
    </row>
    <row r="408" spans="1:35" ht="24" customHeight="1">
      <c r="A408" s="917"/>
      <c r="B408" s="876"/>
      <c r="C408" s="545"/>
      <c r="D408" s="876"/>
      <c r="F408" s="545"/>
      <c r="G408" s="889"/>
      <c r="H408" s="545"/>
      <c r="I408" s="876"/>
      <c r="J408" s="876"/>
      <c r="K408" s="545"/>
      <c r="L408" s="876"/>
      <c r="M408" s="882"/>
      <c r="Q408" s="876"/>
      <c r="T408" s="881"/>
      <c r="AE408" s="902"/>
      <c r="AF408" s="876"/>
      <c r="AH408" s="874"/>
      <c r="AI408" s="892"/>
    </row>
    <row r="409" spans="1:35" ht="24" customHeight="1">
      <c r="A409" s="917"/>
      <c r="B409" s="876"/>
      <c r="C409" s="545"/>
      <c r="D409" s="876"/>
      <c r="I409" s="876"/>
      <c r="J409" s="876"/>
      <c r="K409" s="876"/>
      <c r="L409" s="876"/>
      <c r="M409" s="882"/>
      <c r="T409" s="545"/>
      <c r="AE409" s="902"/>
      <c r="AF409" s="876"/>
      <c r="AH409" s="874"/>
      <c r="AI409" s="892"/>
    </row>
    <row r="410" spans="1:35" ht="24" customHeight="1">
      <c r="A410" s="917"/>
      <c r="B410" s="876"/>
      <c r="C410" s="545"/>
      <c r="D410" s="876"/>
      <c r="M410" s="882"/>
      <c r="Q410" s="876"/>
      <c r="T410" s="881"/>
      <c r="AE410" s="902"/>
      <c r="AF410" s="876"/>
      <c r="AH410" s="874"/>
      <c r="AI410" s="892"/>
    </row>
    <row r="411" spans="1:35" ht="24" customHeight="1">
      <c r="A411" s="917"/>
      <c r="B411" s="876"/>
      <c r="C411" s="545"/>
      <c r="D411" s="876"/>
      <c r="J411" s="876"/>
      <c r="M411" s="882"/>
      <c r="T411" s="545"/>
      <c r="AE411" s="902"/>
      <c r="AF411" s="876"/>
      <c r="AH411" s="874"/>
      <c r="AI411" s="892"/>
    </row>
    <row r="412" spans="1:35" ht="24" customHeight="1">
      <c r="A412" s="917"/>
      <c r="B412" s="876"/>
      <c r="C412" s="545"/>
      <c r="D412" s="876"/>
      <c r="M412" s="882"/>
      <c r="Q412" s="876"/>
      <c r="T412" s="881"/>
      <c r="AE412" s="902"/>
      <c r="AF412" s="876"/>
      <c r="AH412" s="874"/>
      <c r="AI412" s="892"/>
    </row>
    <row r="413" spans="1:35" ht="24" customHeight="1">
      <c r="A413" s="917"/>
      <c r="B413" s="876"/>
      <c r="C413" s="545"/>
      <c r="D413" s="876"/>
      <c r="J413" s="876"/>
      <c r="M413" s="882"/>
      <c r="AE413" s="902"/>
      <c r="AF413" s="876"/>
      <c r="AH413" s="874"/>
      <c r="AI413" s="892"/>
    </row>
    <row r="414" spans="1:35" ht="24" customHeight="1">
      <c r="A414" s="917"/>
      <c r="B414" s="876"/>
      <c r="C414" s="545"/>
      <c r="D414" s="876"/>
      <c r="M414" s="882"/>
      <c r="AE414" s="902"/>
      <c r="AF414" s="876"/>
      <c r="AH414" s="874"/>
      <c r="AI414" s="892"/>
    </row>
    <row r="415" spans="1:35" ht="24" customHeight="1">
      <c r="F415" s="876"/>
      <c r="G415" s="916"/>
      <c r="H415" s="876"/>
      <c r="Z415" s="903"/>
      <c r="AE415" s="902"/>
      <c r="AF415" s="876"/>
      <c r="AH415" s="874"/>
      <c r="AI415" s="892"/>
    </row>
    <row r="416" spans="1:35" ht="24" customHeight="1">
      <c r="A416" s="917"/>
      <c r="B416" s="875"/>
      <c r="D416" s="876"/>
      <c r="Q416" s="880"/>
      <c r="AD416" s="900"/>
      <c r="AE416" s="901"/>
      <c r="AF416" s="876"/>
      <c r="AH416" s="874"/>
      <c r="AI416" s="892"/>
    </row>
    <row r="417" spans="1:35" ht="24" customHeight="1">
      <c r="A417" s="917"/>
      <c r="B417" s="876"/>
      <c r="C417" s="545"/>
      <c r="D417" s="876"/>
      <c r="I417" s="876"/>
      <c r="J417" s="876"/>
      <c r="Q417" s="881"/>
      <c r="Z417" s="903"/>
      <c r="AE417" s="902"/>
      <c r="AF417" s="545"/>
      <c r="AH417" s="874"/>
      <c r="AI417" s="892"/>
    </row>
    <row r="418" spans="1:35" ht="24" customHeight="1">
      <c r="A418" s="917"/>
      <c r="B418" s="876"/>
      <c r="C418" s="545"/>
      <c r="D418" s="876"/>
      <c r="J418" s="881"/>
      <c r="P418" s="876"/>
      <c r="Q418" s="876"/>
      <c r="AE418" s="902"/>
      <c r="AF418" s="881"/>
      <c r="AH418" s="874"/>
    </row>
    <row r="419" spans="1:35" ht="24" customHeight="1">
      <c r="A419" s="917"/>
      <c r="B419" s="876"/>
      <c r="C419" s="545"/>
      <c r="D419" s="876"/>
      <c r="F419" s="545"/>
      <c r="G419" s="889"/>
      <c r="H419" s="545"/>
      <c r="I419" s="876"/>
      <c r="J419" s="876"/>
      <c r="K419" s="545"/>
      <c r="L419" s="876"/>
      <c r="M419" s="882"/>
      <c r="Q419" s="876"/>
      <c r="Z419" s="903"/>
      <c r="AD419" s="545"/>
      <c r="AE419" s="901"/>
      <c r="AF419" s="545"/>
      <c r="AG419" s="545"/>
      <c r="AH419" s="876"/>
      <c r="AI419" s="545"/>
    </row>
    <row r="420" spans="1:35" ht="24" customHeight="1">
      <c r="A420" s="917"/>
      <c r="B420" s="876"/>
      <c r="C420" s="545"/>
      <c r="D420" s="876"/>
      <c r="F420" s="545"/>
      <c r="G420" s="889"/>
      <c r="H420" s="545"/>
      <c r="I420" s="876"/>
      <c r="J420" s="876"/>
      <c r="K420" s="545"/>
      <c r="L420" s="876"/>
      <c r="M420" s="882"/>
      <c r="Q420" s="876"/>
      <c r="AD420" s="545"/>
      <c r="AE420" s="901"/>
      <c r="AF420" s="876"/>
      <c r="AG420" s="545"/>
      <c r="AH420" s="876"/>
      <c r="AI420" s="545"/>
    </row>
    <row r="421" spans="1:35" ht="24" customHeight="1">
      <c r="A421" s="917"/>
      <c r="B421" s="876"/>
      <c r="C421" s="545"/>
      <c r="D421" s="876"/>
      <c r="I421" s="876"/>
      <c r="J421" s="876"/>
      <c r="K421" s="876"/>
      <c r="L421" s="876"/>
      <c r="M421" s="882"/>
      <c r="Q421" s="881"/>
      <c r="AD421" s="545"/>
      <c r="AE421" s="901"/>
      <c r="AF421" s="876"/>
      <c r="AG421" s="545"/>
      <c r="AH421" s="876"/>
      <c r="AI421" s="545"/>
    </row>
    <row r="422" spans="1:35" ht="24" customHeight="1">
      <c r="A422" s="917"/>
      <c r="B422" s="876"/>
      <c r="C422" s="545"/>
      <c r="D422" s="876"/>
      <c r="M422" s="882"/>
      <c r="P422" s="876"/>
      <c r="Q422" s="880"/>
      <c r="AD422" s="545"/>
      <c r="AE422" s="901"/>
      <c r="AF422" s="876"/>
      <c r="AG422" s="545"/>
      <c r="AH422" s="876"/>
      <c r="AI422" s="545"/>
    </row>
    <row r="423" spans="1:35" ht="24" customHeight="1">
      <c r="A423" s="917"/>
      <c r="B423" s="876"/>
      <c r="C423" s="545"/>
      <c r="D423" s="876"/>
      <c r="J423" s="876"/>
      <c r="M423" s="882"/>
      <c r="Q423" s="881"/>
      <c r="AD423" s="545"/>
      <c r="AE423" s="901"/>
      <c r="AF423" s="876"/>
      <c r="AG423" s="545"/>
      <c r="AH423" s="876"/>
      <c r="AI423" s="545"/>
    </row>
    <row r="424" spans="1:35" ht="24" customHeight="1">
      <c r="A424" s="917"/>
      <c r="B424" s="876"/>
      <c r="D424" s="876"/>
      <c r="M424" s="882"/>
      <c r="O424" s="545"/>
      <c r="P424" s="876"/>
      <c r="Q424" s="876"/>
      <c r="R424" s="545"/>
      <c r="S424" s="876"/>
      <c r="T424" s="545"/>
      <c r="AD424" s="545"/>
      <c r="AE424" s="901"/>
      <c r="AF424" s="876"/>
      <c r="AG424" s="545"/>
      <c r="AH424" s="876"/>
      <c r="AI424" s="545"/>
    </row>
    <row r="425" spans="1:35" ht="24" customHeight="1">
      <c r="A425" s="917"/>
      <c r="B425" s="876"/>
      <c r="C425" s="545"/>
      <c r="D425" s="876"/>
      <c r="J425" s="876"/>
      <c r="M425" s="882"/>
      <c r="O425" s="545"/>
      <c r="P425" s="876"/>
      <c r="Q425" s="876"/>
      <c r="R425" s="545"/>
      <c r="S425" s="876"/>
      <c r="T425" s="545"/>
      <c r="AE425" s="901"/>
      <c r="AF425" s="876"/>
      <c r="AG425" s="876"/>
      <c r="AH425" s="876"/>
      <c r="AI425" s="545"/>
    </row>
    <row r="426" spans="1:35" ht="24" customHeight="1">
      <c r="A426" s="917"/>
      <c r="B426" s="876"/>
      <c r="C426" s="545"/>
      <c r="D426" s="876"/>
      <c r="M426" s="882"/>
      <c r="O426" s="545"/>
      <c r="P426" s="876"/>
      <c r="Q426" s="876"/>
      <c r="R426" s="545"/>
      <c r="S426" s="876"/>
      <c r="T426" s="545"/>
      <c r="Z426" s="903"/>
      <c r="AE426" s="902"/>
      <c r="AH426" s="874"/>
      <c r="AI426" s="881"/>
    </row>
    <row r="427" spans="1:35" ht="24" customHeight="1">
      <c r="A427" s="917"/>
      <c r="B427" s="876"/>
      <c r="C427" s="545"/>
      <c r="D427" s="876"/>
      <c r="J427" s="876"/>
      <c r="M427" s="883"/>
      <c r="Q427" s="876"/>
      <c r="AE427" s="902"/>
      <c r="AF427" s="876"/>
      <c r="AH427" s="874"/>
      <c r="AI427" s="545"/>
    </row>
    <row r="428" spans="1:35" ht="24" customHeight="1">
      <c r="A428" s="917"/>
      <c r="B428" s="876"/>
      <c r="C428" s="545"/>
      <c r="D428" s="876"/>
      <c r="J428" s="876"/>
      <c r="M428" s="883"/>
      <c r="Q428" s="876"/>
      <c r="Z428" s="903"/>
      <c r="AE428" s="902"/>
      <c r="AH428" s="874"/>
      <c r="AI428" s="881"/>
    </row>
    <row r="429" spans="1:35" ht="24" customHeight="1">
      <c r="A429" s="917"/>
      <c r="B429" s="876"/>
      <c r="C429" s="545"/>
      <c r="D429" s="876"/>
      <c r="J429" s="876"/>
      <c r="M429" s="883"/>
      <c r="Q429" s="876"/>
      <c r="AE429" s="902"/>
      <c r="AF429" s="876"/>
      <c r="AH429" s="874"/>
      <c r="AI429" s="545"/>
    </row>
    <row r="430" spans="1:35" ht="24" customHeight="1">
      <c r="A430" s="917"/>
      <c r="B430" s="876"/>
      <c r="C430" s="545"/>
      <c r="D430" s="876"/>
      <c r="J430" s="876"/>
      <c r="M430" s="883"/>
      <c r="Q430" s="876"/>
      <c r="Z430" s="903"/>
      <c r="AE430" s="902"/>
      <c r="AH430" s="874"/>
      <c r="AI430" s="881"/>
    </row>
    <row r="431" spans="1:35" ht="24" customHeight="1">
      <c r="A431" s="917"/>
      <c r="B431" s="876"/>
      <c r="C431" s="545"/>
      <c r="D431" s="876"/>
      <c r="J431" s="876"/>
      <c r="M431" s="883"/>
      <c r="Q431" s="876"/>
      <c r="W431" s="885"/>
      <c r="Z431" s="885"/>
      <c r="AD431" s="876"/>
      <c r="AE431" s="902"/>
      <c r="AH431" s="874"/>
    </row>
    <row r="432" spans="1:35" ht="24" customHeight="1">
      <c r="A432" s="917"/>
      <c r="B432" s="876"/>
      <c r="C432" s="545"/>
      <c r="D432" s="876"/>
      <c r="J432" s="880"/>
      <c r="O432" s="545"/>
      <c r="P432" s="876"/>
      <c r="Q432" s="876"/>
      <c r="R432" s="545"/>
      <c r="S432" s="876"/>
      <c r="T432" s="545"/>
      <c r="W432" s="885"/>
      <c r="Z432" s="885"/>
      <c r="AE432" s="902"/>
      <c r="AH432" s="874"/>
    </row>
    <row r="433" spans="1:35" ht="24" customHeight="1">
      <c r="A433" s="917"/>
      <c r="B433" s="875"/>
      <c r="D433" s="876"/>
      <c r="J433" s="880"/>
      <c r="O433" s="545"/>
      <c r="P433" s="876"/>
      <c r="Q433" s="876"/>
      <c r="R433" s="545"/>
      <c r="S433" s="876"/>
      <c r="T433" s="545"/>
      <c r="W433" s="885"/>
      <c r="Z433" s="885"/>
      <c r="AE433" s="901"/>
      <c r="AF433" s="876"/>
      <c r="AH433" s="874"/>
    </row>
    <row r="434" spans="1:35" ht="24" customHeight="1">
      <c r="A434" s="917"/>
      <c r="B434" s="876"/>
      <c r="C434" s="545"/>
      <c r="D434" s="876"/>
      <c r="F434" s="900"/>
      <c r="G434" s="926"/>
      <c r="H434" s="900"/>
      <c r="I434" s="876"/>
      <c r="J434" s="876"/>
      <c r="O434" s="545"/>
      <c r="P434" s="876"/>
      <c r="Q434" s="876"/>
      <c r="R434" s="545"/>
      <c r="S434" s="876"/>
      <c r="T434" s="545"/>
      <c r="W434" s="885"/>
      <c r="Z434" s="885"/>
      <c r="AE434" s="902"/>
      <c r="AF434" s="881"/>
      <c r="AH434" s="874"/>
    </row>
    <row r="435" spans="1:35" ht="24" customHeight="1">
      <c r="A435" s="917"/>
      <c r="B435" s="876"/>
      <c r="C435" s="545"/>
      <c r="D435" s="876"/>
      <c r="J435" s="876"/>
      <c r="O435" s="545"/>
      <c r="P435" s="876"/>
      <c r="Q435" s="876"/>
      <c r="S435" s="876"/>
      <c r="T435" s="545"/>
      <c r="W435" s="885"/>
      <c r="Z435" s="885"/>
      <c r="AD435" s="545"/>
      <c r="AE435" s="901"/>
      <c r="AF435" s="876"/>
      <c r="AG435" s="545"/>
      <c r="AH435" s="876"/>
      <c r="AI435" s="545"/>
    </row>
    <row r="436" spans="1:35" ht="24" customHeight="1">
      <c r="A436" s="917"/>
      <c r="B436" s="876"/>
      <c r="C436" s="545"/>
      <c r="D436" s="876"/>
      <c r="J436" s="881"/>
      <c r="T436" s="881"/>
      <c r="AD436" s="545"/>
      <c r="AE436" s="901"/>
      <c r="AF436" s="876"/>
      <c r="AG436" s="545"/>
      <c r="AH436" s="876"/>
      <c r="AI436" s="545"/>
    </row>
    <row r="437" spans="1:35" ht="24" customHeight="1">
      <c r="A437" s="917"/>
      <c r="B437" s="876"/>
      <c r="C437" s="545"/>
      <c r="D437" s="876"/>
      <c r="F437" s="545"/>
      <c r="G437" s="889"/>
      <c r="H437" s="545"/>
      <c r="I437" s="876"/>
      <c r="J437" s="876"/>
      <c r="K437" s="545"/>
      <c r="L437" s="876"/>
      <c r="M437" s="882"/>
      <c r="Q437" s="876"/>
      <c r="T437" s="545"/>
      <c r="AE437" s="901"/>
      <c r="AF437" s="876"/>
      <c r="AG437" s="876"/>
      <c r="AH437" s="876"/>
      <c r="AI437" s="545"/>
    </row>
    <row r="438" spans="1:35" ht="24" customHeight="1">
      <c r="A438" s="917"/>
      <c r="B438" s="876"/>
      <c r="C438" s="545"/>
      <c r="D438" s="876"/>
      <c r="F438" s="545"/>
      <c r="G438" s="889"/>
      <c r="H438" s="545"/>
      <c r="I438" s="876"/>
      <c r="J438" s="876"/>
      <c r="K438" s="545"/>
      <c r="L438" s="876"/>
      <c r="M438" s="882"/>
      <c r="T438" s="881"/>
      <c r="AE438" s="902"/>
      <c r="AH438" s="874"/>
      <c r="AI438" s="881"/>
    </row>
    <row r="439" spans="1:35" ht="24" customHeight="1">
      <c r="A439" s="917"/>
      <c r="B439" s="876"/>
      <c r="C439" s="545"/>
      <c r="D439" s="876"/>
      <c r="F439" s="545"/>
      <c r="G439" s="889"/>
      <c r="H439" s="545"/>
      <c r="I439" s="876"/>
      <c r="J439" s="876"/>
      <c r="K439" s="545"/>
      <c r="L439" s="876"/>
      <c r="M439" s="882"/>
      <c r="Q439" s="876"/>
      <c r="T439" s="545"/>
      <c r="AE439" s="902"/>
      <c r="AF439" s="876"/>
      <c r="AH439" s="874"/>
      <c r="AI439" s="545"/>
    </row>
    <row r="440" spans="1:35" ht="24" customHeight="1">
      <c r="A440" s="917"/>
      <c r="B440" s="876"/>
      <c r="C440" s="545"/>
      <c r="D440" s="876"/>
      <c r="F440" s="545"/>
      <c r="G440" s="889"/>
      <c r="H440" s="545"/>
      <c r="I440" s="876"/>
      <c r="J440" s="876"/>
      <c r="K440" s="545"/>
      <c r="L440" s="876"/>
      <c r="M440" s="882"/>
      <c r="T440" s="881"/>
      <c r="AE440" s="902"/>
      <c r="AH440" s="874"/>
      <c r="AI440" s="881"/>
    </row>
    <row r="441" spans="1:35" ht="24" customHeight="1">
      <c r="A441" s="917"/>
      <c r="B441" s="875"/>
      <c r="D441" s="876"/>
      <c r="F441" s="545"/>
      <c r="G441" s="889"/>
      <c r="H441" s="545"/>
      <c r="I441" s="876"/>
      <c r="J441" s="876"/>
      <c r="K441" s="545"/>
      <c r="L441" s="876"/>
      <c r="M441" s="882"/>
      <c r="P441" s="876"/>
      <c r="Q441" s="880"/>
      <c r="AE441" s="902"/>
      <c r="AF441" s="876"/>
      <c r="AH441" s="874"/>
      <c r="AI441" s="545"/>
    </row>
    <row r="442" spans="1:35" ht="24" customHeight="1">
      <c r="A442" s="917"/>
      <c r="B442" s="876"/>
      <c r="C442" s="545"/>
      <c r="D442" s="876"/>
      <c r="F442" s="545"/>
      <c r="G442" s="889"/>
      <c r="H442" s="545"/>
      <c r="I442" s="876"/>
      <c r="J442" s="876"/>
      <c r="K442" s="545"/>
      <c r="L442" s="876"/>
      <c r="M442" s="882"/>
      <c r="Q442" s="881"/>
      <c r="AE442" s="902"/>
      <c r="AH442" s="874"/>
      <c r="AI442" s="881"/>
    </row>
    <row r="443" spans="1:35" ht="24" customHeight="1">
      <c r="A443" s="917"/>
      <c r="B443" s="876"/>
      <c r="C443" s="545"/>
      <c r="D443" s="876"/>
      <c r="I443" s="876"/>
      <c r="J443" s="876"/>
      <c r="K443" s="876"/>
      <c r="L443" s="876"/>
      <c r="M443" s="882"/>
      <c r="O443" s="545"/>
      <c r="P443" s="876"/>
      <c r="Q443" s="876"/>
      <c r="R443" s="545"/>
      <c r="S443" s="876"/>
      <c r="T443" s="545"/>
      <c r="AE443" s="902"/>
      <c r="AF443" s="876"/>
      <c r="AH443" s="874"/>
      <c r="AI443" s="892"/>
    </row>
    <row r="444" spans="1:35" ht="24" customHeight="1">
      <c r="A444" s="917"/>
      <c r="B444" s="876"/>
      <c r="C444" s="545"/>
      <c r="D444" s="876"/>
      <c r="M444" s="882"/>
      <c r="O444" s="545"/>
      <c r="P444" s="876"/>
      <c r="Q444" s="876"/>
      <c r="R444" s="545"/>
      <c r="S444" s="876"/>
      <c r="T444" s="545"/>
      <c r="AE444" s="902"/>
      <c r="AF444" s="876"/>
      <c r="AH444" s="874"/>
      <c r="AI444" s="892"/>
    </row>
    <row r="445" spans="1:35" ht="24" customHeight="1">
      <c r="A445" s="917"/>
      <c r="B445" s="876"/>
      <c r="C445" s="545"/>
      <c r="D445" s="876"/>
      <c r="J445" s="876"/>
      <c r="M445" s="882"/>
      <c r="O445" s="545"/>
      <c r="P445" s="876"/>
      <c r="Q445" s="876"/>
      <c r="R445" s="545"/>
      <c r="S445" s="876"/>
      <c r="T445" s="545"/>
      <c r="AE445" s="902"/>
      <c r="AF445" s="876"/>
      <c r="AH445" s="874"/>
      <c r="AI445" s="892"/>
    </row>
    <row r="446" spans="1:35" ht="24" customHeight="1">
      <c r="A446" s="917"/>
      <c r="B446" s="876"/>
      <c r="C446" s="545"/>
      <c r="D446" s="876"/>
      <c r="M446" s="882"/>
      <c r="Q446" s="876"/>
      <c r="Z446" s="903"/>
      <c r="AE446" s="902"/>
      <c r="AF446" s="876"/>
      <c r="AH446" s="874"/>
      <c r="AI446" s="892"/>
    </row>
    <row r="447" spans="1:35" ht="24" customHeight="1">
      <c r="A447" s="917"/>
      <c r="B447" s="876"/>
      <c r="C447" s="545"/>
      <c r="D447" s="876"/>
      <c r="J447" s="876"/>
      <c r="M447" s="882"/>
      <c r="Q447" s="876"/>
      <c r="AE447" s="902"/>
      <c r="AF447" s="876"/>
      <c r="AH447" s="874"/>
      <c r="AI447" s="892"/>
    </row>
    <row r="448" spans="1:35" ht="24" customHeight="1">
      <c r="A448" s="917"/>
      <c r="B448" s="876"/>
      <c r="C448" s="545"/>
      <c r="D448" s="876"/>
      <c r="M448" s="882"/>
      <c r="Q448" s="876"/>
      <c r="Z448" s="903"/>
      <c r="AF448" s="876"/>
      <c r="AG448" s="545"/>
      <c r="AH448" s="874"/>
      <c r="AI448" s="892"/>
    </row>
    <row r="449" spans="1:35" ht="24" customHeight="1">
      <c r="A449" s="917"/>
      <c r="B449" s="876"/>
      <c r="D449" s="876"/>
      <c r="Q449" s="876"/>
      <c r="AF449" s="876"/>
      <c r="AG449" s="545"/>
      <c r="AH449" s="874"/>
      <c r="AI449" s="892"/>
    </row>
    <row r="450" spans="1:35" ht="24" customHeight="1">
      <c r="A450" s="917"/>
      <c r="B450" s="876"/>
      <c r="C450" s="545"/>
      <c r="D450" s="876"/>
      <c r="I450" s="876"/>
      <c r="J450" s="876"/>
      <c r="O450" s="545"/>
      <c r="P450" s="876"/>
      <c r="Q450" s="876"/>
      <c r="R450" s="545"/>
      <c r="S450" s="876"/>
      <c r="T450" s="545"/>
      <c r="Z450" s="903"/>
      <c r="AF450" s="876"/>
      <c r="AG450" s="545"/>
      <c r="AH450" s="874"/>
      <c r="AI450" s="892"/>
    </row>
    <row r="451" spans="1:35" ht="24" customHeight="1">
      <c r="A451" s="917"/>
      <c r="B451" s="876"/>
      <c r="C451" s="545"/>
      <c r="D451" s="876"/>
      <c r="J451" s="881"/>
      <c r="O451" s="545"/>
      <c r="P451" s="876"/>
      <c r="Q451" s="876"/>
      <c r="R451" s="545"/>
      <c r="S451" s="876"/>
      <c r="T451" s="545"/>
      <c r="AF451" s="876"/>
      <c r="AG451" s="545"/>
      <c r="AH451" s="874"/>
      <c r="AI451" s="892"/>
    </row>
    <row r="452" spans="1:35" ht="24" customHeight="1">
      <c r="A452" s="917"/>
      <c r="B452" s="876"/>
      <c r="D452" s="876"/>
      <c r="F452" s="545"/>
      <c r="G452" s="889"/>
      <c r="H452" s="545"/>
      <c r="I452" s="876"/>
      <c r="J452" s="876"/>
      <c r="K452" s="545"/>
      <c r="L452" s="876"/>
      <c r="M452" s="882"/>
      <c r="O452" s="545"/>
      <c r="P452" s="876"/>
      <c r="Q452" s="876"/>
      <c r="R452" s="545"/>
      <c r="S452" s="876"/>
      <c r="T452" s="545"/>
      <c r="AF452" s="876"/>
      <c r="AG452" s="545"/>
      <c r="AH452" s="874"/>
      <c r="AI452" s="892"/>
    </row>
    <row r="453" spans="1:35" ht="24" customHeight="1">
      <c r="A453" s="917"/>
      <c r="B453" s="876"/>
      <c r="C453" s="545"/>
      <c r="D453" s="876"/>
      <c r="F453" s="545"/>
      <c r="G453" s="889"/>
      <c r="H453" s="545"/>
      <c r="I453" s="876"/>
      <c r="J453" s="876"/>
      <c r="K453" s="545"/>
      <c r="L453" s="876"/>
      <c r="M453" s="882"/>
      <c r="O453" s="545"/>
      <c r="P453" s="876"/>
      <c r="Q453" s="876"/>
      <c r="S453" s="876"/>
      <c r="T453" s="545"/>
      <c r="AG453" s="545"/>
      <c r="AH453" s="874"/>
      <c r="AI453" s="892"/>
    </row>
    <row r="454" spans="1:35" ht="24" customHeight="1">
      <c r="A454" s="917"/>
      <c r="B454" s="876"/>
      <c r="C454" s="545"/>
      <c r="D454" s="876"/>
      <c r="I454" s="876"/>
      <c r="J454" s="876"/>
      <c r="K454" s="876"/>
      <c r="L454" s="876"/>
      <c r="M454" s="882"/>
      <c r="T454" s="881"/>
      <c r="AG454" s="545"/>
      <c r="AH454" s="874"/>
      <c r="AI454" s="892"/>
    </row>
    <row r="455" spans="1:35" ht="24" customHeight="1">
      <c r="A455" s="917"/>
      <c r="B455" s="876"/>
      <c r="C455" s="545"/>
      <c r="D455" s="545"/>
      <c r="M455" s="882"/>
      <c r="Q455" s="876"/>
      <c r="T455" s="545"/>
      <c r="AG455" s="545"/>
      <c r="AH455" s="874"/>
      <c r="AI455" s="892"/>
    </row>
    <row r="456" spans="1:35" ht="24" customHeight="1">
      <c r="A456" s="917"/>
      <c r="B456" s="876"/>
      <c r="C456" s="545"/>
      <c r="D456" s="545"/>
      <c r="J456" s="876"/>
      <c r="M456" s="882"/>
      <c r="T456" s="881"/>
      <c r="AG456" s="545"/>
      <c r="AH456" s="874"/>
      <c r="AI456" s="892"/>
    </row>
    <row r="457" spans="1:35" ht="24" customHeight="1">
      <c r="A457" s="917"/>
      <c r="B457" s="876"/>
      <c r="C457" s="545"/>
      <c r="D457" s="545"/>
      <c r="M457" s="882"/>
      <c r="Q457" s="876"/>
      <c r="T457" s="545"/>
      <c r="AG457" s="545"/>
      <c r="AI457" s="876"/>
    </row>
    <row r="458" spans="1:35" ht="24" customHeight="1">
      <c r="A458" s="917"/>
      <c r="B458" s="876"/>
      <c r="C458" s="545"/>
      <c r="D458" s="876"/>
      <c r="J458" s="876"/>
      <c r="M458" s="882"/>
      <c r="T458" s="881"/>
      <c r="Z458" s="903"/>
      <c r="AG458" s="545"/>
      <c r="AI458" s="876"/>
    </row>
    <row r="459" spans="1:35" ht="24" customHeight="1">
      <c r="A459" s="917"/>
      <c r="B459" s="876"/>
      <c r="C459" s="545"/>
      <c r="D459" s="876"/>
      <c r="M459" s="882"/>
      <c r="P459" s="876"/>
      <c r="Q459" s="880"/>
      <c r="AG459" s="545"/>
      <c r="AI459" s="876"/>
    </row>
    <row r="460" spans="1:35" ht="24" customHeight="1">
      <c r="A460" s="917"/>
      <c r="B460" s="876"/>
      <c r="C460" s="545"/>
      <c r="D460" s="876"/>
      <c r="J460" s="876"/>
      <c r="M460" s="883"/>
      <c r="Q460" s="881"/>
      <c r="Z460" s="903"/>
      <c r="AG460" s="545"/>
      <c r="AI460" s="876"/>
    </row>
    <row r="461" spans="1:35" ht="24" customHeight="1">
      <c r="A461" s="917"/>
      <c r="B461" s="876"/>
      <c r="C461" s="545"/>
      <c r="D461" s="876"/>
      <c r="J461" s="876"/>
      <c r="M461" s="883"/>
      <c r="O461" s="545"/>
      <c r="P461" s="876"/>
      <c r="Q461" s="876"/>
      <c r="R461" s="545"/>
      <c r="S461" s="876"/>
      <c r="T461" s="545"/>
      <c r="AG461" s="545"/>
      <c r="AI461" s="876"/>
    </row>
    <row r="462" spans="1:35" ht="24" customHeight="1">
      <c r="A462" s="917"/>
      <c r="B462" s="876"/>
      <c r="C462" s="545"/>
      <c r="D462" s="876"/>
      <c r="J462" s="876"/>
      <c r="M462" s="883"/>
      <c r="O462" s="545"/>
      <c r="P462" s="876"/>
      <c r="Q462" s="876"/>
      <c r="R462" s="545"/>
      <c r="S462" s="876"/>
      <c r="T462" s="545"/>
      <c r="Z462" s="903"/>
      <c r="AG462" s="545"/>
      <c r="AI462" s="876"/>
    </row>
    <row r="463" spans="1:35" ht="24" customHeight="1">
      <c r="A463" s="917"/>
      <c r="B463" s="876"/>
      <c r="C463" s="545"/>
      <c r="D463" s="876"/>
      <c r="J463" s="876"/>
      <c r="M463" s="883"/>
      <c r="O463" s="545"/>
      <c r="P463" s="876"/>
      <c r="Q463" s="876"/>
      <c r="R463" s="545"/>
      <c r="S463" s="876"/>
      <c r="T463" s="545"/>
      <c r="W463" s="885"/>
      <c r="Z463" s="885"/>
      <c r="AG463" s="545"/>
      <c r="AI463" s="876"/>
    </row>
    <row r="464" spans="1:35" ht="24" customHeight="1">
      <c r="A464" s="917"/>
      <c r="B464" s="876"/>
      <c r="D464" s="876"/>
      <c r="J464" s="876"/>
      <c r="M464" s="883"/>
      <c r="Q464" s="876"/>
      <c r="W464" s="885"/>
      <c r="Z464" s="885"/>
      <c r="AG464" s="545"/>
      <c r="AI464" s="876"/>
    </row>
    <row r="465" spans="1:35" ht="24" customHeight="1">
      <c r="A465" s="917"/>
      <c r="B465" s="876"/>
      <c r="D465" s="876"/>
      <c r="J465" s="876"/>
      <c r="M465" s="883"/>
      <c r="Q465" s="876"/>
      <c r="W465" s="885"/>
      <c r="Z465" s="885"/>
      <c r="AG465" s="545"/>
      <c r="AI465" s="876"/>
    </row>
    <row r="466" spans="1:35" ht="24" customHeight="1">
      <c r="A466" s="917"/>
      <c r="B466" s="876"/>
      <c r="D466" s="876"/>
      <c r="J466" s="876"/>
      <c r="M466" s="883"/>
      <c r="Q466" s="876"/>
      <c r="W466" s="885"/>
      <c r="Z466" s="885"/>
      <c r="AG466" s="545"/>
      <c r="AI466" s="876"/>
    </row>
    <row r="467" spans="1:35" ht="24" customHeight="1">
      <c r="A467" s="917"/>
      <c r="B467" s="876"/>
      <c r="D467" s="876"/>
      <c r="J467" s="876"/>
      <c r="M467" s="883"/>
      <c r="Q467" s="876"/>
      <c r="W467" s="885"/>
      <c r="Z467" s="885"/>
      <c r="AG467" s="545"/>
      <c r="AI467" s="876"/>
    </row>
    <row r="468" spans="1:35" ht="24" customHeight="1">
      <c r="A468" s="917"/>
      <c r="B468" s="876"/>
      <c r="D468" s="876"/>
      <c r="J468" s="876"/>
      <c r="M468" s="883"/>
      <c r="Q468" s="876"/>
      <c r="AG468" s="545"/>
      <c r="AI468" s="876"/>
    </row>
    <row r="469" spans="1:35" ht="24" customHeight="1">
      <c r="A469" s="917"/>
      <c r="B469" s="876"/>
      <c r="D469" s="876"/>
      <c r="J469" s="876"/>
      <c r="M469" s="883"/>
      <c r="Q469" s="876"/>
      <c r="AG469" s="545"/>
      <c r="AI469" s="876"/>
    </row>
    <row r="470" spans="1:35" ht="24" customHeight="1">
      <c r="A470" s="917"/>
      <c r="B470" s="876"/>
      <c r="D470" s="876"/>
      <c r="J470" s="876"/>
      <c r="M470" s="883"/>
      <c r="Q470" s="876"/>
      <c r="AG470" s="545"/>
      <c r="AI470" s="876"/>
    </row>
    <row r="471" spans="1:35" ht="24" customHeight="1">
      <c r="A471" s="917"/>
      <c r="B471" s="876"/>
      <c r="D471" s="876"/>
      <c r="J471" s="876"/>
      <c r="M471" s="883"/>
      <c r="Q471" s="876"/>
      <c r="AG471" s="545"/>
      <c r="AI471" s="876"/>
    </row>
    <row r="472" spans="1:35" ht="24" customHeight="1">
      <c r="A472" s="917"/>
      <c r="B472" s="875"/>
      <c r="D472" s="876"/>
      <c r="F472" s="880"/>
      <c r="G472" s="918"/>
      <c r="H472" s="880"/>
      <c r="I472" s="876"/>
      <c r="J472" s="876"/>
      <c r="M472" s="883"/>
      <c r="Q472" s="876"/>
      <c r="AG472" s="545"/>
      <c r="AI472" s="876"/>
    </row>
    <row r="473" spans="1:35" ht="24" customHeight="1">
      <c r="A473" s="917"/>
      <c r="B473" s="876"/>
      <c r="C473" s="545"/>
      <c r="D473" s="876"/>
      <c r="J473" s="876"/>
      <c r="Q473" s="876"/>
      <c r="AG473" s="545"/>
      <c r="AI473" s="876"/>
    </row>
    <row r="474" spans="1:35" ht="24" customHeight="1">
      <c r="A474" s="917"/>
      <c r="B474" s="876"/>
      <c r="C474" s="545"/>
      <c r="D474" s="876"/>
      <c r="J474" s="881"/>
      <c r="Q474" s="876"/>
      <c r="AG474" s="545"/>
      <c r="AI474" s="876"/>
    </row>
    <row r="475" spans="1:35" ht="24" customHeight="1">
      <c r="A475" s="917"/>
      <c r="B475" s="876"/>
      <c r="C475" s="545"/>
      <c r="D475" s="876"/>
      <c r="F475" s="545"/>
      <c r="G475" s="889"/>
      <c r="H475" s="545"/>
      <c r="I475" s="876"/>
      <c r="J475" s="876"/>
      <c r="K475" s="545"/>
      <c r="L475" s="876"/>
      <c r="M475" s="883"/>
      <c r="O475" s="545"/>
      <c r="P475" s="876"/>
      <c r="Q475" s="876"/>
      <c r="R475" s="545"/>
      <c r="S475" s="876"/>
      <c r="T475" s="545"/>
      <c r="AG475" s="545"/>
      <c r="AI475" s="876"/>
    </row>
    <row r="476" spans="1:35" ht="24" customHeight="1">
      <c r="A476" s="917"/>
      <c r="B476" s="876"/>
      <c r="C476" s="545"/>
      <c r="D476" s="876"/>
      <c r="M476" s="882"/>
      <c r="O476" s="545"/>
      <c r="P476" s="876"/>
      <c r="Q476" s="876"/>
      <c r="R476" s="545"/>
      <c r="S476" s="876"/>
      <c r="T476" s="545"/>
      <c r="AG476" s="545"/>
      <c r="AI476" s="876"/>
    </row>
    <row r="477" spans="1:35" ht="24" customHeight="1">
      <c r="A477" s="917"/>
      <c r="B477" s="876"/>
      <c r="C477" s="545"/>
      <c r="D477" s="876"/>
      <c r="F477" s="920"/>
      <c r="G477" s="921"/>
      <c r="H477" s="920"/>
      <c r="I477" s="876"/>
      <c r="J477" s="876"/>
      <c r="O477" s="545"/>
      <c r="P477" s="876"/>
      <c r="Q477" s="876"/>
      <c r="R477" s="545"/>
      <c r="S477" s="876"/>
      <c r="T477" s="545"/>
      <c r="AG477" s="545"/>
      <c r="AI477" s="876"/>
    </row>
    <row r="478" spans="1:35" ht="24" customHeight="1">
      <c r="A478" s="917"/>
      <c r="B478" s="876"/>
      <c r="C478" s="545"/>
      <c r="D478" s="876"/>
      <c r="F478" s="876"/>
      <c r="G478" s="916"/>
      <c r="H478" s="876"/>
      <c r="J478" s="876"/>
      <c r="O478" s="545"/>
      <c r="P478" s="876"/>
      <c r="Q478" s="876"/>
      <c r="S478" s="876"/>
      <c r="T478" s="545"/>
      <c r="AG478" s="545"/>
      <c r="AI478" s="876"/>
    </row>
    <row r="479" spans="1:35" ht="24" customHeight="1">
      <c r="A479" s="917"/>
      <c r="B479" s="876"/>
      <c r="D479" s="876"/>
      <c r="F479" s="876"/>
      <c r="G479" s="916"/>
      <c r="H479" s="876"/>
      <c r="J479" s="881"/>
      <c r="T479" s="881"/>
      <c r="AG479" s="545"/>
      <c r="AI479" s="876"/>
    </row>
    <row r="480" spans="1:35" ht="24" customHeight="1">
      <c r="A480" s="917"/>
      <c r="B480" s="875"/>
      <c r="D480" s="876"/>
      <c r="F480" s="545"/>
      <c r="G480" s="889"/>
      <c r="H480" s="545"/>
      <c r="I480" s="876"/>
      <c r="J480" s="876"/>
      <c r="K480" s="545"/>
      <c r="L480" s="876"/>
      <c r="M480" s="882"/>
      <c r="Q480" s="876"/>
      <c r="T480" s="545"/>
      <c r="AG480" s="545"/>
      <c r="AI480" s="876"/>
    </row>
    <row r="481" spans="1:35" ht="24" customHeight="1">
      <c r="A481" s="917"/>
      <c r="B481" s="876"/>
      <c r="C481" s="545"/>
      <c r="D481" s="876"/>
      <c r="F481" s="545"/>
      <c r="G481" s="889"/>
      <c r="H481" s="545"/>
      <c r="I481" s="876"/>
      <c r="J481" s="876"/>
      <c r="K481" s="545"/>
      <c r="L481" s="876"/>
      <c r="M481" s="882"/>
      <c r="T481" s="881"/>
      <c r="AG481" s="545"/>
      <c r="AI481" s="876"/>
    </row>
    <row r="482" spans="1:35" ht="24" customHeight="1">
      <c r="A482" s="917"/>
      <c r="B482" s="876"/>
      <c r="C482" s="545"/>
      <c r="D482" s="876"/>
      <c r="F482" s="545"/>
      <c r="G482" s="889"/>
      <c r="H482" s="545"/>
      <c r="I482" s="876"/>
      <c r="J482" s="876"/>
      <c r="K482" s="545"/>
      <c r="L482" s="876"/>
      <c r="M482" s="882"/>
      <c r="Q482" s="876"/>
      <c r="T482" s="545"/>
      <c r="AG482" s="545"/>
      <c r="AI482" s="876"/>
    </row>
    <row r="483" spans="1:35" ht="24" customHeight="1">
      <c r="A483" s="917"/>
      <c r="B483" s="876"/>
      <c r="C483" s="545"/>
      <c r="D483" s="876"/>
      <c r="F483" s="545"/>
      <c r="G483" s="889"/>
      <c r="H483" s="545"/>
      <c r="I483" s="876"/>
      <c r="J483" s="876"/>
      <c r="K483" s="545"/>
      <c r="L483" s="876"/>
      <c r="M483" s="882"/>
      <c r="T483" s="881"/>
      <c r="AG483" s="545"/>
      <c r="AI483" s="876"/>
    </row>
    <row r="484" spans="1:35" ht="24" customHeight="1">
      <c r="A484" s="917"/>
      <c r="B484" s="876"/>
      <c r="C484" s="545"/>
      <c r="D484" s="876"/>
      <c r="F484" s="545"/>
      <c r="G484" s="889"/>
      <c r="H484" s="545"/>
      <c r="I484" s="876"/>
      <c r="J484" s="876"/>
      <c r="K484" s="545"/>
      <c r="L484" s="876"/>
      <c r="M484" s="882"/>
      <c r="O484" s="876"/>
      <c r="AG484" s="545"/>
      <c r="AI484" s="876"/>
    </row>
    <row r="485" spans="1:35" ht="24" customHeight="1">
      <c r="A485" s="917"/>
      <c r="B485" s="876"/>
      <c r="C485" s="545"/>
      <c r="D485" s="876"/>
      <c r="F485" s="545"/>
      <c r="G485" s="889"/>
      <c r="H485" s="545"/>
      <c r="I485" s="876"/>
      <c r="J485" s="876"/>
      <c r="K485" s="545"/>
      <c r="L485" s="876"/>
      <c r="M485" s="882"/>
      <c r="P485" s="876"/>
      <c r="Q485" s="876"/>
      <c r="AB485" s="901"/>
      <c r="AC485" s="876"/>
      <c r="AG485" s="545"/>
      <c r="AI485" s="876"/>
    </row>
    <row r="486" spans="1:35" ht="24" customHeight="1">
      <c r="A486" s="917"/>
      <c r="B486" s="876"/>
      <c r="C486" s="545"/>
      <c r="D486" s="876"/>
      <c r="J486" s="876"/>
      <c r="K486" s="876"/>
      <c r="L486" s="876"/>
      <c r="M486" s="882"/>
      <c r="Q486" s="876"/>
      <c r="AB486" s="902"/>
      <c r="AC486" s="876"/>
      <c r="AG486" s="545"/>
      <c r="AI486" s="876"/>
    </row>
    <row r="487" spans="1:35" ht="24" customHeight="1">
      <c r="A487" s="917"/>
      <c r="B487" s="876"/>
      <c r="D487" s="876"/>
      <c r="M487" s="882"/>
      <c r="Q487" s="876"/>
      <c r="AG487" s="545"/>
      <c r="AI487" s="876"/>
    </row>
    <row r="488" spans="1:35" ht="24" customHeight="1">
      <c r="A488" s="917"/>
      <c r="B488" s="875"/>
      <c r="D488" s="876"/>
      <c r="J488" s="876"/>
      <c r="M488" s="882"/>
      <c r="Q488" s="881"/>
      <c r="AG488" s="545"/>
      <c r="AI488" s="876"/>
    </row>
    <row r="489" spans="1:35" ht="24" customHeight="1">
      <c r="A489" s="917"/>
      <c r="B489" s="876"/>
      <c r="C489" s="545"/>
      <c r="D489" s="876"/>
      <c r="M489" s="882"/>
      <c r="P489" s="876"/>
      <c r="Q489" s="880"/>
      <c r="AG489" s="545"/>
      <c r="AI489" s="876"/>
    </row>
    <row r="490" spans="1:35" ht="24" customHeight="1">
      <c r="A490" s="917"/>
      <c r="B490" s="876"/>
      <c r="C490" s="545"/>
      <c r="D490" s="876"/>
      <c r="J490" s="872"/>
      <c r="M490" s="883"/>
      <c r="Q490" s="881"/>
      <c r="U490" s="501"/>
      <c r="AB490" s="901"/>
      <c r="AC490" s="876"/>
      <c r="AE490" s="874"/>
      <c r="AG490" s="545"/>
      <c r="AI490" s="876"/>
    </row>
    <row r="491" spans="1:35" ht="24" customHeight="1">
      <c r="F491" s="876"/>
      <c r="G491" s="916"/>
      <c r="H491" s="876"/>
      <c r="U491" s="501"/>
      <c r="AB491" s="902"/>
      <c r="AC491" s="881"/>
      <c r="AE491" s="874"/>
      <c r="AG491" s="545"/>
      <c r="AI491" s="876"/>
    </row>
    <row r="492" spans="1:35" ht="24" customHeight="1">
      <c r="A492" s="917"/>
      <c r="B492" s="876"/>
      <c r="C492" s="545"/>
      <c r="D492" s="876"/>
      <c r="M492" s="882"/>
      <c r="O492" s="545"/>
      <c r="P492" s="876"/>
      <c r="Q492" s="876"/>
      <c r="R492" s="545"/>
      <c r="S492" s="876"/>
      <c r="T492" s="545"/>
      <c r="U492" s="545"/>
      <c r="AB492" s="901"/>
      <c r="AC492" s="876"/>
      <c r="AD492" s="545"/>
      <c r="AE492" s="876"/>
      <c r="AF492" s="545"/>
      <c r="AG492" s="545"/>
      <c r="AI492" s="876"/>
    </row>
    <row r="493" spans="1:35" ht="24" customHeight="1">
      <c r="A493" s="917"/>
      <c r="B493" s="876"/>
      <c r="C493" s="545"/>
      <c r="D493" s="876"/>
      <c r="F493" s="880"/>
      <c r="G493" s="918"/>
      <c r="H493" s="880"/>
      <c r="I493" s="876"/>
      <c r="J493" s="876"/>
      <c r="O493" s="876"/>
      <c r="Q493" s="876"/>
      <c r="R493" s="876"/>
      <c r="T493" s="876"/>
      <c r="U493" s="876"/>
      <c r="AB493" s="901"/>
      <c r="AC493" s="876"/>
      <c r="AD493" s="545"/>
      <c r="AE493" s="876"/>
      <c r="AF493" s="545"/>
      <c r="AG493" s="545"/>
      <c r="AI493" s="876"/>
    </row>
    <row r="494" spans="1:35" ht="24" customHeight="1">
      <c r="A494" s="917"/>
      <c r="B494" s="876"/>
      <c r="C494" s="545"/>
      <c r="D494" s="876"/>
      <c r="J494" s="876"/>
      <c r="O494" s="545"/>
      <c r="P494" s="876"/>
      <c r="Q494" s="876"/>
      <c r="R494" s="545"/>
      <c r="S494" s="876"/>
      <c r="T494" s="545"/>
      <c r="U494" s="545"/>
      <c r="AB494" s="901"/>
      <c r="AC494" s="876"/>
      <c r="AD494" s="545"/>
      <c r="AE494" s="876"/>
      <c r="AF494" s="545"/>
      <c r="AG494" s="545"/>
      <c r="AI494" s="876"/>
    </row>
    <row r="495" spans="1:35" ht="24" customHeight="1">
      <c r="A495" s="917"/>
      <c r="B495" s="875"/>
      <c r="D495" s="876"/>
      <c r="J495" s="881"/>
      <c r="O495" s="545"/>
      <c r="P495" s="876"/>
      <c r="Q495" s="876"/>
      <c r="R495" s="545"/>
      <c r="S495" s="876"/>
      <c r="T495" s="545"/>
      <c r="U495" s="545"/>
      <c r="AB495" s="902"/>
      <c r="AD495" s="876"/>
      <c r="AE495" s="874"/>
      <c r="AF495" s="881"/>
      <c r="AG495" s="545"/>
      <c r="AI495" s="876"/>
    </row>
    <row r="496" spans="1:35" ht="24" customHeight="1">
      <c r="A496" s="917"/>
      <c r="B496" s="876"/>
      <c r="C496" s="545"/>
      <c r="D496" s="876"/>
      <c r="F496" s="545"/>
      <c r="G496" s="889"/>
      <c r="H496" s="545"/>
      <c r="I496" s="876"/>
      <c r="J496" s="876"/>
      <c r="K496" s="545"/>
      <c r="L496" s="876"/>
      <c r="M496" s="882"/>
      <c r="O496" s="545"/>
      <c r="P496" s="876"/>
      <c r="Q496" s="876"/>
      <c r="R496" s="545"/>
      <c r="S496" s="876"/>
      <c r="T496" s="545"/>
      <c r="U496" s="545"/>
      <c r="AB496" s="902"/>
      <c r="AC496" s="876"/>
      <c r="AE496" s="874"/>
      <c r="AF496" s="892"/>
      <c r="AG496" s="545"/>
      <c r="AI496" s="876"/>
    </row>
    <row r="497" spans="1:35" ht="24" customHeight="1">
      <c r="A497" s="917"/>
      <c r="B497" s="876"/>
      <c r="C497" s="545"/>
      <c r="D497" s="876"/>
      <c r="F497" s="904"/>
      <c r="G497" s="924"/>
      <c r="H497" s="904"/>
      <c r="I497" s="876"/>
      <c r="J497" s="876"/>
      <c r="K497" s="545"/>
      <c r="L497" s="876"/>
      <c r="M497" s="882"/>
      <c r="O497" s="545"/>
      <c r="P497" s="876"/>
      <c r="Q497" s="876"/>
      <c r="R497" s="545"/>
      <c r="S497" s="876"/>
      <c r="T497" s="545"/>
      <c r="U497" s="545"/>
      <c r="AB497" s="902"/>
      <c r="AD497" s="876"/>
      <c r="AE497" s="874"/>
      <c r="AF497" s="881"/>
      <c r="AG497" s="545"/>
      <c r="AI497" s="876"/>
    </row>
    <row r="498" spans="1:35" ht="24" customHeight="1">
      <c r="A498" s="917"/>
      <c r="B498" s="876"/>
      <c r="C498" s="545"/>
      <c r="D498" s="876"/>
      <c r="F498" s="545"/>
      <c r="G498" s="889"/>
      <c r="H498" s="545"/>
      <c r="I498" s="876"/>
      <c r="J498" s="876"/>
      <c r="K498" s="545"/>
      <c r="L498" s="876"/>
      <c r="M498" s="882"/>
      <c r="O498" s="545"/>
      <c r="P498" s="876"/>
      <c r="Q498" s="876"/>
      <c r="R498" s="545"/>
      <c r="S498" s="876"/>
      <c r="T498" s="545"/>
      <c r="U498" s="545"/>
      <c r="AG498" s="545"/>
      <c r="AI498" s="876"/>
    </row>
    <row r="499" spans="1:35" ht="24" customHeight="1">
      <c r="A499" s="917"/>
      <c r="B499" s="876"/>
      <c r="C499" s="545"/>
      <c r="D499" s="876"/>
      <c r="F499" s="545"/>
      <c r="G499" s="889"/>
      <c r="H499" s="545"/>
      <c r="I499" s="876"/>
      <c r="J499" s="876"/>
      <c r="K499" s="545"/>
      <c r="L499" s="876"/>
      <c r="M499" s="882"/>
      <c r="O499" s="545"/>
      <c r="P499" s="876"/>
      <c r="Q499" s="876"/>
      <c r="R499" s="545"/>
      <c r="S499" s="876"/>
      <c r="T499" s="545"/>
      <c r="U499" s="545"/>
      <c r="AB499" s="901"/>
      <c r="AC499" s="876"/>
      <c r="AE499" s="874"/>
      <c r="AG499" s="545"/>
      <c r="AI499" s="876"/>
    </row>
    <row r="500" spans="1:35" ht="24" customHeight="1">
      <c r="A500" s="917"/>
      <c r="B500" s="876"/>
      <c r="C500" s="545"/>
      <c r="D500" s="876"/>
      <c r="F500" s="545"/>
      <c r="G500" s="889"/>
      <c r="H500" s="545"/>
      <c r="I500" s="876"/>
      <c r="J500" s="876"/>
      <c r="K500" s="545"/>
      <c r="L500" s="876"/>
      <c r="M500" s="882"/>
      <c r="P500" s="876"/>
      <c r="Q500" s="876"/>
      <c r="R500" s="876"/>
      <c r="S500" s="876"/>
      <c r="T500" s="545"/>
      <c r="U500" s="501"/>
      <c r="AB500" s="902"/>
      <c r="AC500" s="881"/>
      <c r="AE500" s="874"/>
      <c r="AG500" s="545"/>
      <c r="AI500" s="876"/>
    </row>
    <row r="501" spans="1:35" ht="24" customHeight="1">
      <c r="A501" s="917"/>
      <c r="B501" s="875"/>
      <c r="D501" s="876"/>
      <c r="F501" s="545"/>
      <c r="G501" s="889"/>
      <c r="H501" s="545"/>
      <c r="I501" s="876"/>
      <c r="J501" s="876"/>
      <c r="K501" s="545"/>
      <c r="L501" s="876"/>
      <c r="M501" s="882"/>
      <c r="Q501" s="876"/>
      <c r="R501" s="876"/>
      <c r="T501" s="876"/>
      <c r="U501" s="501"/>
      <c r="AB501" s="901"/>
      <c r="AC501" s="876"/>
      <c r="AD501" s="545"/>
      <c r="AE501" s="876"/>
      <c r="AF501" s="545"/>
      <c r="AG501" s="545"/>
      <c r="AI501" s="876"/>
    </row>
    <row r="502" spans="1:35" ht="24" customHeight="1">
      <c r="A502" s="917"/>
      <c r="B502" s="876"/>
      <c r="C502" s="545"/>
      <c r="D502" s="876"/>
      <c r="I502" s="876"/>
      <c r="J502" s="876"/>
      <c r="K502" s="876"/>
      <c r="L502" s="876"/>
      <c r="M502" s="882"/>
      <c r="P502" s="876"/>
      <c r="Q502" s="876"/>
      <c r="S502" s="876"/>
      <c r="T502" s="545"/>
      <c r="U502" s="501"/>
      <c r="AB502" s="901"/>
      <c r="AC502" s="876"/>
      <c r="AD502" s="545"/>
      <c r="AE502" s="876"/>
      <c r="AF502" s="545"/>
      <c r="AG502" s="545"/>
      <c r="AI502" s="876"/>
    </row>
    <row r="503" spans="1:35" ht="24" customHeight="1">
      <c r="A503" s="917"/>
      <c r="B503" s="876"/>
      <c r="C503" s="888"/>
      <c r="D503" s="876"/>
      <c r="M503" s="882"/>
      <c r="T503" s="881"/>
      <c r="U503" s="501"/>
      <c r="AB503" s="901"/>
      <c r="AC503" s="876"/>
      <c r="AD503" s="545"/>
      <c r="AE503" s="876"/>
      <c r="AF503" s="545"/>
      <c r="AG503" s="545"/>
      <c r="AI503" s="876"/>
    </row>
    <row r="504" spans="1:35" ht="24" customHeight="1">
      <c r="A504" s="917"/>
      <c r="B504" s="876"/>
      <c r="C504" s="545"/>
      <c r="D504" s="876"/>
      <c r="J504" s="876"/>
      <c r="M504" s="882"/>
      <c r="Q504" s="876"/>
      <c r="T504" s="545"/>
      <c r="U504" s="501"/>
      <c r="AB504" s="902"/>
      <c r="AD504" s="876"/>
      <c r="AE504" s="874"/>
      <c r="AF504" s="881"/>
      <c r="AG504" s="545"/>
      <c r="AI504" s="876"/>
    </row>
    <row r="505" spans="1:35" ht="24" customHeight="1">
      <c r="A505" s="917"/>
      <c r="B505" s="876"/>
      <c r="C505" s="545"/>
      <c r="D505" s="876"/>
      <c r="M505" s="882"/>
      <c r="T505" s="881"/>
      <c r="U505" s="501"/>
      <c r="AB505" s="902"/>
      <c r="AC505" s="876"/>
      <c r="AE505" s="874"/>
      <c r="AF505" s="892"/>
      <c r="AG505" s="545"/>
      <c r="AI505" s="876"/>
    </row>
    <row r="506" spans="1:35" ht="24" customHeight="1">
      <c r="A506" s="917"/>
      <c r="B506" s="876"/>
      <c r="C506" s="545"/>
      <c r="D506" s="876"/>
      <c r="J506" s="876"/>
      <c r="M506" s="882"/>
      <c r="Q506" s="876"/>
      <c r="T506" s="545"/>
      <c r="U506" s="501"/>
      <c r="AB506" s="902"/>
      <c r="AD506" s="876"/>
      <c r="AE506" s="874"/>
      <c r="AF506" s="881"/>
      <c r="AG506" s="545"/>
      <c r="AI506" s="876"/>
    </row>
    <row r="507" spans="1:35" ht="24" customHeight="1">
      <c r="A507" s="917"/>
      <c r="B507" s="876"/>
      <c r="C507" s="545"/>
      <c r="D507" s="876"/>
      <c r="T507" s="881"/>
      <c r="U507" s="501"/>
      <c r="AG507" s="545"/>
    </row>
    <row r="508" spans="1:35" ht="24" customHeight="1">
      <c r="A508" s="917"/>
      <c r="B508" s="876"/>
      <c r="D508" s="876"/>
      <c r="F508" s="545"/>
      <c r="G508" s="889"/>
      <c r="H508" s="545"/>
      <c r="I508" s="876"/>
      <c r="J508" s="876"/>
      <c r="M508" s="882"/>
      <c r="P508" s="876"/>
      <c r="Q508" s="880"/>
      <c r="U508" s="501"/>
      <c r="AB508" s="901"/>
      <c r="AC508" s="876"/>
      <c r="AE508" s="874"/>
      <c r="AG508" s="545"/>
      <c r="AI508" s="876"/>
    </row>
    <row r="509" spans="1:35" ht="24" customHeight="1">
      <c r="A509" s="917"/>
      <c r="B509" s="876"/>
      <c r="C509" s="545"/>
      <c r="D509" s="876"/>
      <c r="M509" s="882"/>
      <c r="Q509" s="881"/>
      <c r="U509" s="501"/>
      <c r="AB509" s="902"/>
      <c r="AC509" s="881"/>
      <c r="AE509" s="874"/>
      <c r="AG509" s="545"/>
      <c r="AI509" s="876"/>
    </row>
    <row r="510" spans="1:35" ht="24" customHeight="1">
      <c r="A510" s="917"/>
      <c r="B510" s="876"/>
      <c r="C510" s="545"/>
      <c r="D510" s="876"/>
      <c r="J510" s="876"/>
      <c r="M510" s="882"/>
      <c r="O510" s="545"/>
      <c r="P510" s="876"/>
      <c r="Q510" s="876"/>
      <c r="R510" s="545"/>
      <c r="S510" s="876"/>
      <c r="T510" s="545"/>
      <c r="U510" s="545"/>
      <c r="AB510" s="901"/>
      <c r="AC510" s="876"/>
      <c r="AD510" s="545"/>
      <c r="AE510" s="876"/>
      <c r="AF510" s="545"/>
      <c r="AG510" s="545"/>
      <c r="AI510" s="876"/>
    </row>
    <row r="511" spans="1:35" ht="24" customHeight="1">
      <c r="A511" s="917"/>
      <c r="B511" s="876"/>
      <c r="C511" s="545"/>
      <c r="D511" s="876"/>
      <c r="M511" s="882"/>
      <c r="O511" s="876"/>
      <c r="Q511" s="876"/>
      <c r="R511" s="876"/>
      <c r="T511" s="876"/>
      <c r="U511" s="876"/>
      <c r="AB511" s="901"/>
      <c r="AC511" s="876"/>
      <c r="AD511" s="545"/>
      <c r="AE511" s="876"/>
      <c r="AF511" s="545"/>
      <c r="AG511" s="545"/>
      <c r="AI511" s="876"/>
    </row>
    <row r="512" spans="1:35" ht="24" customHeight="1">
      <c r="A512" s="917"/>
      <c r="B512" s="876"/>
      <c r="C512" s="545"/>
      <c r="D512" s="876"/>
      <c r="I512" s="876"/>
      <c r="J512" s="876"/>
      <c r="M512" s="882"/>
      <c r="O512" s="545"/>
      <c r="P512" s="876"/>
      <c r="Q512" s="876"/>
      <c r="R512" s="545"/>
      <c r="S512" s="876"/>
      <c r="T512" s="545"/>
      <c r="U512" s="545"/>
      <c r="AB512" s="901"/>
      <c r="AC512" s="876"/>
      <c r="AD512" s="545"/>
      <c r="AE512" s="876"/>
      <c r="AF512" s="545"/>
      <c r="AG512" s="545"/>
      <c r="AI512" s="876"/>
    </row>
    <row r="513" spans="1:35" ht="24" customHeight="1">
      <c r="A513" s="917"/>
      <c r="B513" s="876"/>
      <c r="C513" s="545"/>
      <c r="D513" s="545"/>
      <c r="I513" s="876"/>
      <c r="J513" s="876"/>
      <c r="M513" s="882"/>
      <c r="O513" s="545"/>
      <c r="P513" s="876"/>
      <c r="Q513" s="876"/>
      <c r="R513" s="545"/>
      <c r="S513" s="876"/>
      <c r="T513" s="545"/>
      <c r="U513" s="545"/>
      <c r="AB513" s="902"/>
      <c r="AD513" s="876"/>
      <c r="AE513" s="874"/>
      <c r="AF513" s="881"/>
      <c r="AG513" s="545"/>
      <c r="AI513" s="876"/>
    </row>
    <row r="514" spans="1:35" ht="24" customHeight="1">
      <c r="A514" s="917"/>
      <c r="B514" s="876"/>
      <c r="C514" s="545"/>
      <c r="D514" s="545"/>
      <c r="I514" s="876"/>
      <c r="J514" s="876"/>
      <c r="M514" s="882"/>
      <c r="O514" s="545"/>
      <c r="P514" s="876"/>
      <c r="Q514" s="876"/>
      <c r="R514" s="545"/>
      <c r="S514" s="876"/>
      <c r="T514" s="545"/>
      <c r="U514" s="545"/>
      <c r="AB514" s="902"/>
      <c r="AC514" s="876"/>
      <c r="AE514" s="874"/>
      <c r="AF514" s="892"/>
      <c r="AG514" s="545"/>
      <c r="AI514" s="876"/>
    </row>
    <row r="515" spans="1:35" ht="24" customHeight="1">
      <c r="A515" s="917"/>
      <c r="B515" s="876"/>
      <c r="D515" s="876"/>
      <c r="I515" s="876"/>
      <c r="J515" s="876"/>
      <c r="M515" s="882"/>
      <c r="O515" s="545"/>
      <c r="P515" s="876"/>
      <c r="Q515" s="876"/>
      <c r="R515" s="545"/>
      <c r="S515" s="876"/>
      <c r="T515" s="545"/>
      <c r="U515" s="545"/>
      <c r="AB515" s="902"/>
      <c r="AD515" s="876"/>
      <c r="AE515" s="874"/>
      <c r="AF515" s="881"/>
      <c r="AG515" s="545"/>
      <c r="AI515" s="876"/>
    </row>
    <row r="516" spans="1:35" ht="24" customHeight="1">
      <c r="A516" s="917"/>
      <c r="B516" s="876"/>
      <c r="C516" s="545"/>
      <c r="D516" s="876"/>
      <c r="O516" s="545"/>
      <c r="P516" s="876"/>
      <c r="Q516" s="876"/>
      <c r="R516" s="545"/>
      <c r="S516" s="876"/>
      <c r="T516" s="545"/>
      <c r="U516" s="545"/>
      <c r="AG516" s="545"/>
    </row>
    <row r="517" spans="1:35" ht="24" customHeight="1">
      <c r="A517" s="917"/>
      <c r="B517" s="876"/>
      <c r="C517" s="545"/>
      <c r="D517" s="876"/>
      <c r="F517" s="880"/>
      <c r="G517" s="918"/>
      <c r="H517" s="880"/>
      <c r="I517" s="876"/>
      <c r="J517" s="876"/>
      <c r="O517" s="545"/>
      <c r="P517" s="876"/>
      <c r="Q517" s="876"/>
      <c r="R517" s="545"/>
      <c r="S517" s="876"/>
      <c r="T517" s="545"/>
      <c r="U517" s="545"/>
      <c r="AB517" s="901"/>
      <c r="AC517" s="876"/>
      <c r="AE517" s="874"/>
      <c r="AG517" s="545"/>
    </row>
    <row r="518" spans="1:35" ht="24" customHeight="1">
      <c r="A518" s="917"/>
      <c r="B518" s="876"/>
      <c r="C518" s="545"/>
      <c r="D518" s="876"/>
      <c r="J518" s="881"/>
      <c r="P518" s="876"/>
      <c r="Q518" s="876"/>
      <c r="R518" s="876"/>
      <c r="S518" s="876"/>
      <c r="T518" s="545"/>
      <c r="U518" s="501"/>
      <c r="AB518" s="902"/>
      <c r="AC518" s="881"/>
      <c r="AE518" s="874"/>
      <c r="AG518" s="545"/>
      <c r="AI518" s="876"/>
    </row>
    <row r="519" spans="1:35" ht="24" customHeight="1">
      <c r="A519" s="917"/>
      <c r="B519" s="876"/>
      <c r="C519" s="545"/>
      <c r="D519" s="876"/>
      <c r="F519" s="904"/>
      <c r="G519" s="924"/>
      <c r="H519" s="904"/>
      <c r="I519" s="876"/>
      <c r="J519" s="876"/>
      <c r="K519" s="545"/>
      <c r="L519" s="876"/>
      <c r="M519" s="882"/>
      <c r="Q519" s="876"/>
      <c r="R519" s="876"/>
      <c r="T519" s="876"/>
      <c r="U519" s="501"/>
      <c r="AB519" s="901"/>
      <c r="AC519" s="876"/>
      <c r="AD519" s="545"/>
      <c r="AE519" s="876"/>
      <c r="AF519" s="545"/>
      <c r="AG519" s="545"/>
      <c r="AI519" s="876"/>
    </row>
    <row r="520" spans="1:35" ht="24" customHeight="1">
      <c r="A520" s="917"/>
      <c r="B520" s="876"/>
      <c r="C520" s="545"/>
      <c r="D520" s="876"/>
      <c r="F520" s="545"/>
      <c r="G520" s="889"/>
      <c r="H520" s="545"/>
      <c r="I520" s="876"/>
      <c r="J520" s="876"/>
      <c r="K520" s="545"/>
      <c r="L520" s="876"/>
      <c r="M520" s="882"/>
      <c r="P520" s="876"/>
      <c r="Q520" s="876"/>
      <c r="S520" s="876"/>
      <c r="T520" s="545"/>
      <c r="U520" s="501"/>
      <c r="AB520" s="901"/>
      <c r="AC520" s="876"/>
      <c r="AD520" s="545"/>
      <c r="AE520" s="876"/>
      <c r="AF520" s="545"/>
      <c r="AG520" s="545"/>
      <c r="AI520" s="876"/>
    </row>
    <row r="521" spans="1:35" ht="24" customHeight="1">
      <c r="A521" s="917"/>
      <c r="B521" s="876"/>
      <c r="C521" s="545"/>
      <c r="D521" s="876"/>
      <c r="F521" s="545"/>
      <c r="G521" s="889"/>
      <c r="H521" s="545"/>
      <c r="I521" s="876"/>
      <c r="J521" s="876"/>
      <c r="K521" s="545"/>
      <c r="L521" s="876"/>
      <c r="M521" s="882"/>
      <c r="T521" s="881"/>
      <c r="U521" s="501"/>
      <c r="V521" s="876"/>
      <c r="W521" s="876"/>
      <c r="AB521" s="901"/>
      <c r="AC521" s="876"/>
      <c r="AD521" s="545"/>
      <c r="AE521" s="876"/>
      <c r="AF521" s="545"/>
      <c r="AG521" s="545"/>
      <c r="AI521" s="876"/>
    </row>
    <row r="522" spans="1:35" ht="24" customHeight="1">
      <c r="A522" s="917"/>
      <c r="B522" s="876"/>
      <c r="D522" s="876"/>
      <c r="I522" s="876"/>
      <c r="J522" s="876"/>
      <c r="L522" s="876"/>
      <c r="M522" s="882"/>
      <c r="Q522" s="876"/>
      <c r="T522" s="545"/>
      <c r="U522" s="501"/>
      <c r="W522" s="876"/>
      <c r="AB522" s="902"/>
      <c r="AD522" s="876"/>
      <c r="AE522" s="874"/>
      <c r="AF522" s="881"/>
      <c r="AG522" s="545"/>
      <c r="AI522" s="876"/>
    </row>
    <row r="523" spans="1:35" ht="24" customHeight="1">
      <c r="A523" s="917"/>
      <c r="B523" s="876"/>
      <c r="C523" s="545"/>
      <c r="D523" s="876"/>
      <c r="M523" s="882"/>
      <c r="T523" s="881"/>
      <c r="U523" s="501"/>
      <c r="W523" s="876"/>
      <c r="AB523" s="902"/>
      <c r="AC523" s="876"/>
      <c r="AE523" s="874"/>
      <c r="AF523" s="892"/>
      <c r="AG523" s="545"/>
      <c r="AI523" s="876"/>
    </row>
    <row r="524" spans="1:35" ht="24" customHeight="1">
      <c r="A524" s="917"/>
      <c r="B524" s="876"/>
      <c r="C524" s="545"/>
      <c r="D524" s="876"/>
      <c r="J524" s="876"/>
      <c r="M524" s="882"/>
      <c r="Q524" s="876"/>
      <c r="T524" s="545"/>
      <c r="U524" s="501"/>
      <c r="AB524" s="902"/>
      <c r="AD524" s="876"/>
      <c r="AE524" s="874"/>
      <c r="AF524" s="881"/>
      <c r="AG524" s="545"/>
      <c r="AI524" s="876"/>
    </row>
    <row r="525" spans="1:35" ht="24" customHeight="1">
      <c r="A525" s="917"/>
      <c r="B525" s="876"/>
      <c r="C525" s="545"/>
      <c r="D525" s="876"/>
      <c r="M525" s="882"/>
      <c r="T525" s="881"/>
      <c r="U525" s="501"/>
      <c r="AG525" s="545"/>
      <c r="AI525" s="876"/>
    </row>
    <row r="526" spans="1:35" ht="24" customHeight="1">
      <c r="A526" s="917"/>
      <c r="B526" s="876"/>
      <c r="C526" s="545"/>
      <c r="D526" s="876"/>
      <c r="J526" s="876"/>
      <c r="M526" s="882"/>
      <c r="V526" s="876"/>
      <c r="W526" s="880"/>
      <c r="AG526" s="545"/>
      <c r="AI526" s="876"/>
    </row>
    <row r="527" spans="1:35" ht="24" customHeight="1">
      <c r="A527" s="917"/>
      <c r="B527" s="876"/>
      <c r="C527" s="545"/>
      <c r="D527" s="876"/>
      <c r="M527" s="882"/>
      <c r="W527" s="881"/>
      <c r="AG527" s="545"/>
      <c r="AI527" s="876"/>
    </row>
    <row r="528" spans="1:35" ht="24" customHeight="1">
      <c r="A528" s="917"/>
      <c r="B528" s="876"/>
      <c r="C528" s="545"/>
      <c r="D528" s="876"/>
      <c r="J528" s="876"/>
      <c r="K528" s="545"/>
      <c r="L528" s="876"/>
      <c r="M528" s="883"/>
      <c r="P528" s="876"/>
      <c r="Q528" s="880"/>
      <c r="V528" s="876"/>
      <c r="W528" s="876"/>
      <c r="X528" s="545"/>
      <c r="Y528" s="876"/>
      <c r="Z528" s="545"/>
      <c r="AA528" s="545"/>
      <c r="AG528" s="545"/>
      <c r="AI528" s="876"/>
    </row>
    <row r="529" spans="1:35" ht="24" customHeight="1">
      <c r="A529" s="917"/>
      <c r="B529" s="876"/>
      <c r="D529" s="876"/>
      <c r="J529" s="876"/>
      <c r="K529" s="545"/>
      <c r="L529" s="876"/>
      <c r="M529" s="883"/>
      <c r="Q529" s="881"/>
      <c r="U529" s="501"/>
      <c r="W529" s="876"/>
      <c r="X529" s="876"/>
      <c r="Z529" s="876"/>
      <c r="AA529" s="545"/>
      <c r="AG529" s="545"/>
      <c r="AI529" s="876"/>
    </row>
    <row r="530" spans="1:35" ht="24" customHeight="1">
      <c r="A530" s="917"/>
      <c r="B530" s="876"/>
      <c r="C530" s="545"/>
      <c r="D530" s="876"/>
      <c r="J530" s="876"/>
      <c r="K530" s="545"/>
      <c r="L530" s="876"/>
      <c r="M530" s="883"/>
      <c r="O530" s="545"/>
      <c r="P530" s="876"/>
      <c r="Q530" s="876"/>
      <c r="R530" s="545"/>
      <c r="S530" s="876"/>
      <c r="T530" s="545"/>
      <c r="U530" s="501"/>
      <c r="V530" s="876"/>
      <c r="W530" s="876"/>
      <c r="X530" s="545"/>
      <c r="Y530" s="876"/>
      <c r="Z530" s="545"/>
      <c r="AA530" s="545"/>
      <c r="AG530" s="545"/>
      <c r="AI530" s="876"/>
    </row>
    <row r="531" spans="1:35" ht="24" customHeight="1">
      <c r="A531" s="917"/>
      <c r="B531" s="876"/>
      <c r="C531" s="545"/>
      <c r="D531" s="876"/>
      <c r="J531" s="876"/>
      <c r="K531" s="545"/>
      <c r="L531" s="876"/>
      <c r="M531" s="883"/>
      <c r="O531" s="876"/>
      <c r="Q531" s="876"/>
      <c r="R531" s="876"/>
      <c r="T531" s="876"/>
      <c r="U531" s="545"/>
      <c r="V531" s="876"/>
      <c r="W531" s="876"/>
      <c r="X531" s="545"/>
      <c r="Y531" s="876"/>
      <c r="Z531" s="545"/>
      <c r="AG531" s="545"/>
      <c r="AI531" s="876"/>
    </row>
    <row r="532" spans="1:35" ht="24" customHeight="1">
      <c r="A532" s="917"/>
      <c r="B532" s="876"/>
      <c r="C532" s="545"/>
      <c r="D532" s="876"/>
      <c r="J532" s="876"/>
      <c r="K532" s="545"/>
      <c r="L532" s="876"/>
      <c r="M532" s="883"/>
      <c r="O532" s="545"/>
      <c r="P532" s="876"/>
      <c r="Q532" s="876"/>
      <c r="R532" s="545"/>
      <c r="S532" s="876"/>
      <c r="T532" s="545"/>
      <c r="U532" s="876"/>
      <c r="V532" s="876"/>
      <c r="W532" s="876"/>
      <c r="X532" s="545"/>
      <c r="Y532" s="876"/>
      <c r="Z532" s="545"/>
      <c r="AG532" s="545"/>
      <c r="AI532" s="876"/>
    </row>
    <row r="533" spans="1:35" ht="24" customHeight="1">
      <c r="A533" s="917"/>
      <c r="B533" s="876"/>
      <c r="C533" s="545"/>
      <c r="D533" s="876"/>
      <c r="J533" s="876"/>
      <c r="K533" s="545"/>
      <c r="L533" s="876"/>
      <c r="M533" s="883"/>
      <c r="O533" s="545"/>
      <c r="P533" s="876"/>
      <c r="Q533" s="876"/>
      <c r="R533" s="545"/>
      <c r="S533" s="876"/>
      <c r="T533" s="545"/>
      <c r="U533" s="545"/>
      <c r="V533" s="876"/>
      <c r="W533" s="876"/>
      <c r="X533" s="545"/>
      <c r="Y533" s="876"/>
      <c r="Z533" s="545"/>
      <c r="AG533" s="545"/>
      <c r="AI533" s="876"/>
    </row>
    <row r="534" spans="1:35" ht="24" customHeight="1">
      <c r="A534" s="917"/>
      <c r="B534" s="876"/>
      <c r="C534" s="545"/>
      <c r="D534" s="876"/>
      <c r="J534" s="876"/>
      <c r="K534" s="545"/>
      <c r="L534" s="876"/>
      <c r="M534" s="883"/>
      <c r="O534" s="545"/>
      <c r="P534" s="876"/>
      <c r="Q534" s="876"/>
      <c r="R534" s="545"/>
      <c r="S534" s="876"/>
      <c r="T534" s="545"/>
      <c r="U534" s="545"/>
      <c r="V534" s="876"/>
      <c r="W534" s="876"/>
      <c r="X534" s="545"/>
      <c r="Y534" s="876"/>
      <c r="Z534" s="545"/>
      <c r="AG534" s="545"/>
      <c r="AI534" s="876"/>
    </row>
    <row r="535" spans="1:35" ht="24" customHeight="1">
      <c r="A535" s="917"/>
      <c r="B535" s="876"/>
      <c r="C535" s="545"/>
      <c r="D535" s="876"/>
      <c r="J535" s="876"/>
      <c r="K535" s="545"/>
      <c r="L535" s="876"/>
      <c r="M535" s="883"/>
      <c r="O535" s="545"/>
      <c r="P535" s="876"/>
      <c r="Q535" s="876"/>
      <c r="R535" s="545"/>
      <c r="S535" s="876"/>
      <c r="T535" s="545"/>
      <c r="U535" s="545"/>
      <c r="V535" s="876"/>
      <c r="W535" s="876"/>
      <c r="X535" s="545"/>
      <c r="Y535" s="876"/>
      <c r="Z535" s="545"/>
      <c r="AG535" s="545"/>
      <c r="AI535" s="876"/>
    </row>
    <row r="536" spans="1:35" ht="24" customHeight="1">
      <c r="A536" s="917"/>
      <c r="B536" s="876"/>
      <c r="C536" s="545"/>
      <c r="D536" s="876"/>
      <c r="J536" s="876"/>
      <c r="K536" s="545"/>
      <c r="L536" s="876"/>
      <c r="M536" s="883"/>
      <c r="O536" s="545"/>
      <c r="P536" s="876"/>
      <c r="Q536" s="876"/>
      <c r="R536" s="545"/>
      <c r="S536" s="876"/>
      <c r="T536" s="545"/>
      <c r="U536" s="545"/>
      <c r="V536" s="876"/>
      <c r="W536" s="876"/>
      <c r="X536" s="876"/>
      <c r="Y536" s="876"/>
      <c r="Z536" s="545"/>
      <c r="AG536" s="545"/>
      <c r="AI536" s="876"/>
    </row>
    <row r="537" spans="1:35" ht="24" customHeight="1">
      <c r="A537" s="917"/>
      <c r="B537" s="876"/>
      <c r="C537" s="545"/>
      <c r="D537" s="876"/>
      <c r="J537" s="876"/>
      <c r="K537" s="545"/>
      <c r="L537" s="876"/>
      <c r="M537" s="883"/>
      <c r="O537" s="545"/>
      <c r="P537" s="876"/>
      <c r="Q537" s="876"/>
      <c r="R537" s="545"/>
      <c r="S537" s="876"/>
      <c r="T537" s="545"/>
      <c r="U537" s="545"/>
      <c r="W537" s="876"/>
      <c r="X537" s="876"/>
      <c r="Z537" s="876"/>
      <c r="AA537" s="545"/>
      <c r="AG537" s="545"/>
      <c r="AI537" s="876"/>
    </row>
    <row r="538" spans="1:35" ht="24" customHeight="1">
      <c r="A538" s="917"/>
      <c r="B538" s="876"/>
      <c r="C538" s="545"/>
      <c r="D538" s="876"/>
      <c r="J538" s="876"/>
      <c r="K538" s="545"/>
      <c r="L538" s="876"/>
      <c r="M538" s="883"/>
      <c r="O538" s="545"/>
      <c r="P538" s="876"/>
      <c r="Q538" s="876"/>
      <c r="R538" s="545"/>
      <c r="S538" s="876"/>
      <c r="T538" s="545"/>
      <c r="U538" s="545"/>
      <c r="V538" s="876"/>
      <c r="W538" s="876"/>
      <c r="Y538" s="876"/>
      <c r="Z538" s="545"/>
      <c r="AA538" s="545"/>
      <c r="AG538" s="545"/>
      <c r="AI538" s="876"/>
    </row>
    <row r="539" spans="1:35" ht="24" customHeight="1">
      <c r="A539" s="917"/>
      <c r="B539" s="876"/>
      <c r="C539" s="545"/>
      <c r="D539" s="876"/>
      <c r="J539" s="876"/>
      <c r="K539" s="545"/>
      <c r="L539" s="876"/>
      <c r="M539" s="883"/>
      <c r="O539" s="545"/>
      <c r="P539" s="876"/>
      <c r="Q539" s="876"/>
      <c r="R539" s="545"/>
      <c r="S539" s="876"/>
      <c r="T539" s="545"/>
      <c r="U539" s="501"/>
      <c r="Z539" s="881"/>
      <c r="AA539" s="545"/>
      <c r="AG539" s="545"/>
      <c r="AI539" s="876"/>
    </row>
    <row r="540" spans="1:35" ht="24" customHeight="1">
      <c r="A540" s="917"/>
      <c r="B540" s="876"/>
      <c r="C540" s="545"/>
      <c r="D540" s="876"/>
      <c r="J540" s="876"/>
      <c r="K540" s="545"/>
      <c r="L540" s="876"/>
      <c r="M540" s="883"/>
      <c r="O540" s="545"/>
      <c r="P540" s="876"/>
      <c r="Q540" s="876"/>
      <c r="R540" s="545"/>
      <c r="S540" s="876"/>
      <c r="T540" s="545"/>
      <c r="U540" s="501"/>
      <c r="W540" s="876"/>
      <c r="Z540" s="545"/>
      <c r="AG540" s="545"/>
      <c r="AI540" s="876"/>
    </row>
    <row r="541" spans="1:35" ht="24" customHeight="1">
      <c r="A541" s="917"/>
      <c r="B541" s="876"/>
      <c r="C541" s="545"/>
      <c r="D541" s="876"/>
      <c r="F541" s="880"/>
      <c r="G541" s="918"/>
      <c r="H541" s="880"/>
      <c r="I541" s="876"/>
      <c r="J541" s="876"/>
      <c r="O541" s="545"/>
      <c r="P541" s="876"/>
      <c r="Q541" s="876"/>
      <c r="R541" s="545"/>
      <c r="S541" s="876"/>
      <c r="T541" s="545"/>
      <c r="U541" s="501"/>
      <c r="Z541" s="881"/>
      <c r="AG541" s="545"/>
      <c r="AI541" s="876"/>
    </row>
    <row r="542" spans="1:35" ht="24" customHeight="1">
      <c r="A542" s="917"/>
      <c r="B542" s="876"/>
      <c r="C542" s="545"/>
      <c r="D542" s="876"/>
      <c r="J542" s="881"/>
      <c r="O542" s="545"/>
      <c r="P542" s="876"/>
      <c r="Q542" s="876"/>
      <c r="R542" s="545"/>
      <c r="S542" s="876"/>
      <c r="T542" s="545"/>
      <c r="U542" s="501"/>
      <c r="W542" s="876"/>
      <c r="Z542" s="545"/>
      <c r="AG542" s="545"/>
      <c r="AI542" s="876"/>
    </row>
    <row r="543" spans="1:35" ht="24" customHeight="1">
      <c r="A543" s="917"/>
      <c r="B543" s="876"/>
      <c r="C543" s="545"/>
      <c r="D543" s="876"/>
      <c r="F543" s="545"/>
      <c r="G543" s="889"/>
      <c r="H543" s="545"/>
      <c r="I543" s="876"/>
      <c r="J543" s="876"/>
      <c r="K543" s="545"/>
      <c r="L543" s="876"/>
      <c r="M543" s="882"/>
      <c r="O543" s="545"/>
      <c r="P543" s="876"/>
      <c r="Q543" s="876"/>
      <c r="R543" s="545"/>
      <c r="S543" s="876"/>
      <c r="T543" s="545"/>
      <c r="U543" s="501"/>
      <c r="Z543" s="881"/>
      <c r="AG543" s="545"/>
      <c r="AI543" s="876"/>
    </row>
    <row r="544" spans="1:35" ht="24" customHeight="1">
      <c r="A544" s="917"/>
      <c r="B544" s="876"/>
      <c r="D544" s="876"/>
      <c r="F544" s="545"/>
      <c r="G544" s="889"/>
      <c r="H544" s="545"/>
      <c r="I544" s="876"/>
      <c r="J544" s="876"/>
      <c r="K544" s="545"/>
      <c r="L544" s="876"/>
      <c r="M544" s="882"/>
      <c r="O544" s="545"/>
      <c r="P544" s="876"/>
      <c r="Q544" s="876"/>
      <c r="R544" s="545"/>
      <c r="S544" s="876"/>
      <c r="T544" s="545"/>
      <c r="U544" s="501"/>
      <c r="V544" s="876"/>
      <c r="W544" s="880"/>
      <c r="AG544" s="545"/>
      <c r="AI544" s="876"/>
    </row>
    <row r="545" spans="1:35" ht="24" customHeight="1">
      <c r="A545" s="917"/>
      <c r="B545" s="876"/>
      <c r="C545" s="545"/>
      <c r="D545" s="876"/>
      <c r="F545" s="545"/>
      <c r="G545" s="889"/>
      <c r="H545" s="545"/>
      <c r="I545" s="876"/>
      <c r="J545" s="876"/>
      <c r="K545" s="545"/>
      <c r="L545" s="876"/>
      <c r="M545" s="882"/>
      <c r="O545" s="545"/>
      <c r="P545" s="876"/>
      <c r="Q545" s="876"/>
      <c r="R545" s="545"/>
      <c r="S545" s="876"/>
      <c r="T545" s="545"/>
      <c r="U545" s="501"/>
      <c r="W545" s="881"/>
      <c r="AG545" s="545"/>
      <c r="AI545" s="876"/>
    </row>
    <row r="546" spans="1:35" ht="24" customHeight="1">
      <c r="A546" s="917"/>
      <c r="B546" s="876"/>
      <c r="C546" s="545"/>
      <c r="D546" s="876"/>
      <c r="E546" s="927"/>
      <c r="I546" s="876"/>
      <c r="J546" s="876"/>
      <c r="L546" s="876"/>
      <c r="M546" s="882"/>
      <c r="P546" s="876"/>
      <c r="Q546" s="876"/>
      <c r="R546" s="876"/>
      <c r="S546" s="876"/>
      <c r="T546" s="545"/>
      <c r="U546" s="501"/>
      <c r="V546" s="876"/>
      <c r="W546" s="876"/>
      <c r="X546" s="545"/>
      <c r="Y546" s="876"/>
      <c r="Z546" s="545"/>
      <c r="AA546" s="545"/>
      <c r="AG546" s="545"/>
      <c r="AI546" s="876"/>
    </row>
    <row r="547" spans="1:35" ht="24" customHeight="1">
      <c r="A547" s="917"/>
      <c r="B547" s="876"/>
      <c r="C547" s="545"/>
      <c r="D547" s="876"/>
      <c r="M547" s="882"/>
      <c r="Q547" s="876"/>
      <c r="R547" s="876"/>
      <c r="T547" s="876"/>
      <c r="W547" s="876"/>
      <c r="X547" s="876"/>
      <c r="Z547" s="876"/>
      <c r="AA547" s="545"/>
      <c r="AG547" s="545"/>
      <c r="AI547" s="876"/>
    </row>
    <row r="548" spans="1:35" ht="24" customHeight="1">
      <c r="A548" s="917"/>
      <c r="B548" s="876"/>
      <c r="C548" s="545"/>
      <c r="D548" s="876"/>
      <c r="J548" s="876"/>
      <c r="M548" s="882"/>
      <c r="P548" s="876"/>
      <c r="Q548" s="876"/>
      <c r="S548" s="876"/>
      <c r="T548" s="545"/>
      <c r="V548" s="876"/>
      <c r="W548" s="876"/>
      <c r="X548" s="545"/>
      <c r="Y548" s="876"/>
      <c r="Z548" s="545"/>
      <c r="AA548" s="545"/>
      <c r="AG548" s="545"/>
      <c r="AI548" s="876"/>
    </row>
    <row r="549" spans="1:35" ht="24" customHeight="1">
      <c r="A549" s="917"/>
      <c r="B549" s="876"/>
      <c r="C549" s="545"/>
      <c r="D549" s="876"/>
      <c r="M549" s="882"/>
      <c r="T549" s="881"/>
      <c r="V549" s="876"/>
      <c r="W549" s="876"/>
      <c r="X549" s="545"/>
      <c r="Y549" s="876"/>
      <c r="Z549" s="545"/>
      <c r="AG549" s="545"/>
      <c r="AI549" s="876"/>
    </row>
    <row r="550" spans="1:35" ht="24" customHeight="1">
      <c r="A550" s="917"/>
      <c r="B550" s="876"/>
      <c r="C550" s="545"/>
      <c r="D550" s="876"/>
      <c r="J550" s="876"/>
      <c r="M550" s="882"/>
      <c r="Q550" s="876"/>
      <c r="T550" s="545"/>
      <c r="V550" s="876"/>
      <c r="W550" s="876"/>
      <c r="X550" s="545"/>
      <c r="Y550" s="876"/>
      <c r="Z550" s="545"/>
      <c r="AG550" s="545"/>
      <c r="AI550" s="876"/>
    </row>
    <row r="551" spans="1:35" ht="24" customHeight="1">
      <c r="A551" s="917"/>
      <c r="B551" s="876"/>
      <c r="D551" s="876"/>
      <c r="M551" s="882"/>
      <c r="T551" s="881"/>
      <c r="V551" s="876"/>
      <c r="W551" s="876"/>
      <c r="X551" s="545"/>
      <c r="Y551" s="876"/>
      <c r="Z551" s="545"/>
      <c r="AG551" s="545"/>
      <c r="AI551" s="876"/>
    </row>
    <row r="552" spans="1:35" ht="24" customHeight="1">
      <c r="A552" s="917"/>
      <c r="B552" s="876"/>
      <c r="C552" s="545"/>
      <c r="D552" s="876"/>
      <c r="J552" s="876"/>
      <c r="K552" s="545"/>
      <c r="L552" s="876"/>
      <c r="M552" s="883"/>
      <c r="Q552" s="876"/>
      <c r="T552" s="545"/>
      <c r="V552" s="876"/>
      <c r="W552" s="876"/>
      <c r="X552" s="545"/>
      <c r="Y552" s="876"/>
      <c r="Z552" s="545"/>
      <c r="AG552" s="545"/>
      <c r="AI552" s="876"/>
    </row>
    <row r="553" spans="1:35" ht="24" customHeight="1">
      <c r="A553" s="917"/>
      <c r="B553" s="876"/>
      <c r="C553" s="545"/>
      <c r="D553" s="876"/>
      <c r="J553" s="876"/>
      <c r="K553" s="545"/>
      <c r="L553" s="876"/>
      <c r="M553" s="883"/>
      <c r="T553" s="881"/>
      <c r="V553" s="876"/>
      <c r="W553" s="876"/>
      <c r="X553" s="545"/>
      <c r="Y553" s="876"/>
      <c r="Z553" s="545"/>
      <c r="AG553" s="545"/>
      <c r="AI553" s="876"/>
    </row>
    <row r="554" spans="1:35" ht="24" customHeight="1">
      <c r="A554" s="917"/>
      <c r="B554" s="876"/>
      <c r="C554" s="545"/>
      <c r="D554" s="876"/>
      <c r="J554" s="876"/>
      <c r="K554" s="545"/>
      <c r="L554" s="876"/>
      <c r="M554" s="883"/>
      <c r="P554" s="876"/>
      <c r="Q554" s="876"/>
      <c r="V554" s="876"/>
      <c r="W554" s="876"/>
      <c r="X554" s="876"/>
      <c r="Y554" s="876"/>
      <c r="Z554" s="545"/>
      <c r="AG554" s="545"/>
      <c r="AI554" s="876"/>
    </row>
    <row r="555" spans="1:35" ht="24" customHeight="1">
      <c r="A555" s="917"/>
      <c r="B555" s="876"/>
      <c r="C555" s="545"/>
      <c r="D555" s="876"/>
      <c r="J555" s="876"/>
      <c r="K555" s="545"/>
      <c r="L555" s="876"/>
      <c r="M555" s="883"/>
      <c r="Q555" s="876"/>
      <c r="W555" s="876"/>
      <c r="X555" s="876"/>
      <c r="Z555" s="876"/>
      <c r="AA555" s="545"/>
      <c r="AG555" s="545"/>
      <c r="AI555" s="876"/>
    </row>
    <row r="556" spans="1:35" ht="24" customHeight="1">
      <c r="F556" s="876"/>
      <c r="G556" s="916"/>
      <c r="H556" s="876"/>
      <c r="J556" s="876"/>
      <c r="K556" s="545"/>
      <c r="L556" s="876"/>
      <c r="M556" s="883"/>
      <c r="V556" s="876"/>
      <c r="W556" s="876"/>
      <c r="Y556" s="876"/>
      <c r="Z556" s="545"/>
      <c r="AA556" s="545"/>
      <c r="AG556" s="545"/>
      <c r="AI556" s="876"/>
    </row>
    <row r="557" spans="1:35" ht="24" customHeight="1">
      <c r="A557" s="917"/>
      <c r="B557" s="876"/>
      <c r="C557" s="545"/>
      <c r="D557" s="876"/>
      <c r="J557" s="876"/>
      <c r="K557" s="545"/>
      <c r="L557" s="876"/>
      <c r="M557" s="883"/>
      <c r="Q557" s="876"/>
      <c r="Z557" s="881"/>
      <c r="AA557" s="545"/>
      <c r="AG557" s="545"/>
      <c r="AI557" s="876"/>
    </row>
    <row r="558" spans="1:35" ht="24" customHeight="1">
      <c r="A558" s="917"/>
      <c r="B558" s="876"/>
      <c r="C558" s="545"/>
      <c r="D558" s="876"/>
      <c r="J558" s="876"/>
      <c r="K558" s="545"/>
      <c r="L558" s="876"/>
      <c r="M558" s="883"/>
      <c r="Q558" s="876"/>
      <c r="W558" s="876"/>
      <c r="Z558" s="545"/>
      <c r="AG558" s="545"/>
      <c r="AI558" s="876"/>
    </row>
    <row r="559" spans="1:35" ht="24" customHeight="1">
      <c r="A559" s="917"/>
      <c r="B559" s="876"/>
      <c r="C559" s="545"/>
      <c r="D559" s="876"/>
      <c r="J559" s="876"/>
      <c r="K559" s="545"/>
      <c r="L559" s="876"/>
      <c r="M559" s="883"/>
      <c r="Q559" s="876"/>
      <c r="Z559" s="881"/>
      <c r="AG559" s="545"/>
      <c r="AI559" s="876"/>
    </row>
    <row r="560" spans="1:35" ht="24" customHeight="1">
      <c r="A560" s="917"/>
      <c r="B560" s="876"/>
      <c r="C560" s="545"/>
      <c r="D560" s="876"/>
      <c r="J560" s="876"/>
      <c r="K560" s="545"/>
      <c r="L560" s="876"/>
      <c r="M560" s="883"/>
      <c r="Q560" s="876"/>
      <c r="W560" s="876"/>
      <c r="Z560" s="545"/>
      <c r="AG560" s="545"/>
      <c r="AI560" s="876"/>
    </row>
    <row r="561" spans="1:35" ht="24" customHeight="1">
      <c r="A561" s="917"/>
      <c r="B561" s="876"/>
      <c r="C561" s="545"/>
      <c r="D561" s="876"/>
      <c r="J561" s="876"/>
      <c r="K561" s="545"/>
      <c r="L561" s="876"/>
      <c r="M561" s="883"/>
      <c r="Q561" s="876"/>
      <c r="Z561" s="881"/>
      <c r="AG561" s="545"/>
      <c r="AI561" s="876"/>
    </row>
    <row r="562" spans="1:35" ht="24" customHeight="1">
      <c r="A562" s="917"/>
      <c r="B562" s="876"/>
      <c r="C562" s="545"/>
      <c r="D562" s="876"/>
      <c r="J562" s="876"/>
      <c r="K562" s="545"/>
      <c r="L562" s="876"/>
      <c r="M562" s="883"/>
      <c r="Q562" s="876"/>
      <c r="AG562" s="545"/>
      <c r="AI562" s="876"/>
    </row>
    <row r="563" spans="1:35" ht="24" customHeight="1">
      <c r="A563" s="917"/>
      <c r="B563" s="876"/>
      <c r="C563" s="545"/>
      <c r="D563" s="876"/>
      <c r="J563" s="876"/>
      <c r="K563" s="545"/>
      <c r="L563" s="876"/>
      <c r="M563" s="883"/>
      <c r="Q563" s="876"/>
      <c r="AG563" s="545"/>
      <c r="AI563" s="876"/>
    </row>
    <row r="564" spans="1:35" ht="24" customHeight="1">
      <c r="A564" s="917"/>
      <c r="B564" s="876"/>
      <c r="C564" s="545"/>
      <c r="D564" s="876"/>
      <c r="J564" s="876"/>
      <c r="K564" s="545"/>
      <c r="L564" s="876"/>
      <c r="M564" s="883"/>
      <c r="Q564" s="876"/>
      <c r="AG564" s="545"/>
      <c r="AI564" s="876"/>
    </row>
    <row r="565" spans="1:35" ht="24" customHeight="1">
      <c r="A565" s="917"/>
      <c r="B565" s="876"/>
      <c r="C565" s="545"/>
      <c r="D565" s="876"/>
      <c r="F565" s="920"/>
      <c r="G565" s="921"/>
      <c r="H565" s="920"/>
      <c r="I565" s="876"/>
      <c r="J565" s="876"/>
      <c r="Q565" s="881"/>
      <c r="U565" s="905"/>
      <c r="V565" s="876"/>
      <c r="W565" s="880"/>
      <c r="AG565" s="545"/>
      <c r="AI565" s="876"/>
    </row>
    <row r="566" spans="1:35" ht="24" customHeight="1">
      <c r="A566" s="917"/>
      <c r="B566" s="876"/>
      <c r="D566" s="876"/>
      <c r="J566" s="876"/>
      <c r="W566" s="881"/>
      <c r="AG566" s="545"/>
      <c r="AI566" s="876"/>
    </row>
    <row r="567" spans="1:35" ht="24" customHeight="1">
      <c r="A567" s="917"/>
      <c r="B567" s="876"/>
      <c r="C567" s="545"/>
      <c r="D567" s="876"/>
      <c r="J567" s="876"/>
      <c r="P567" s="876"/>
      <c r="Q567" s="876"/>
      <c r="V567" s="876"/>
      <c r="W567" s="876"/>
      <c r="X567" s="545"/>
      <c r="Y567" s="876"/>
      <c r="Z567" s="545"/>
      <c r="AG567" s="545"/>
      <c r="AI567" s="876"/>
    </row>
    <row r="568" spans="1:35" ht="24" customHeight="1">
      <c r="A568" s="917"/>
      <c r="B568" s="876"/>
      <c r="C568" s="545"/>
      <c r="D568" s="876"/>
      <c r="J568" s="876"/>
      <c r="Q568" s="881"/>
      <c r="W568" s="876"/>
      <c r="X568" s="876"/>
      <c r="Z568" s="876"/>
      <c r="AG568" s="545"/>
      <c r="AI568" s="876"/>
    </row>
    <row r="569" spans="1:35" ht="24" customHeight="1">
      <c r="A569" s="917"/>
      <c r="B569" s="876"/>
      <c r="C569" s="545"/>
      <c r="D569" s="876"/>
      <c r="J569" s="876"/>
      <c r="O569" s="545"/>
      <c r="P569" s="876"/>
      <c r="Q569" s="876"/>
      <c r="R569" s="545"/>
      <c r="S569" s="876"/>
      <c r="T569" s="545"/>
      <c r="V569" s="876"/>
      <c r="W569" s="876"/>
      <c r="X569" s="545"/>
      <c r="Y569" s="876"/>
      <c r="Z569" s="545"/>
      <c r="AG569" s="545"/>
      <c r="AI569" s="876"/>
    </row>
    <row r="570" spans="1:35" ht="24" customHeight="1">
      <c r="A570" s="917"/>
      <c r="B570" s="876"/>
      <c r="C570" s="545"/>
      <c r="D570" s="876"/>
      <c r="J570" s="876"/>
      <c r="O570" s="545"/>
      <c r="P570" s="876"/>
      <c r="Q570" s="876"/>
      <c r="R570" s="545"/>
      <c r="S570" s="876"/>
      <c r="T570" s="545"/>
      <c r="V570" s="876"/>
      <c r="W570" s="876"/>
      <c r="X570" s="545"/>
      <c r="Y570" s="876"/>
      <c r="Z570" s="545"/>
      <c r="AG570" s="545"/>
      <c r="AI570" s="876"/>
    </row>
    <row r="571" spans="1:35" ht="24" customHeight="1">
      <c r="A571" s="917"/>
      <c r="B571" s="876"/>
      <c r="C571" s="545"/>
      <c r="D571" s="876"/>
      <c r="J571" s="876"/>
      <c r="O571" s="545"/>
      <c r="P571" s="876"/>
      <c r="Q571" s="876"/>
      <c r="R571" s="545"/>
      <c r="S571" s="876"/>
      <c r="T571" s="545"/>
      <c r="V571" s="876"/>
      <c r="W571" s="876"/>
      <c r="X571" s="545"/>
      <c r="Y571" s="876"/>
      <c r="Z571" s="545"/>
      <c r="AG571" s="545"/>
      <c r="AI571" s="876"/>
    </row>
    <row r="572" spans="1:35" ht="24" customHeight="1">
      <c r="A572" s="917"/>
      <c r="B572" s="876"/>
      <c r="C572" s="545"/>
      <c r="D572" s="876"/>
      <c r="J572" s="881"/>
      <c r="K572" s="881"/>
      <c r="Q572" s="876"/>
      <c r="V572" s="876"/>
      <c r="W572" s="876"/>
      <c r="X572" s="545"/>
      <c r="Y572" s="876"/>
      <c r="Z572" s="545"/>
      <c r="AG572" s="545"/>
      <c r="AI572" s="876"/>
    </row>
    <row r="573" spans="1:35" ht="24" customHeight="1">
      <c r="A573" s="917"/>
      <c r="B573" s="876"/>
      <c r="C573" s="545"/>
      <c r="D573" s="876"/>
      <c r="I573" s="876"/>
      <c r="J573" s="876"/>
      <c r="Q573" s="876"/>
      <c r="V573" s="876"/>
      <c r="W573" s="876"/>
      <c r="X573" s="545"/>
      <c r="Y573" s="876"/>
      <c r="Z573" s="545"/>
      <c r="AG573" s="545"/>
      <c r="AI573" s="876"/>
    </row>
    <row r="574" spans="1:35" ht="24" customHeight="1">
      <c r="A574" s="917"/>
      <c r="B574" s="876"/>
      <c r="C574" s="545"/>
      <c r="D574" s="876"/>
      <c r="J574" s="876"/>
      <c r="Q574" s="876"/>
      <c r="V574" s="876"/>
      <c r="W574" s="876"/>
      <c r="X574" s="545"/>
      <c r="Y574" s="876"/>
      <c r="Z574" s="545"/>
      <c r="AG574" s="545"/>
      <c r="AI574" s="876"/>
    </row>
    <row r="575" spans="1:35" ht="24" customHeight="1">
      <c r="A575" s="917"/>
      <c r="B575" s="876"/>
      <c r="C575" s="545"/>
      <c r="D575" s="876"/>
      <c r="F575" s="545"/>
      <c r="G575" s="889"/>
      <c r="H575" s="545"/>
      <c r="I575" s="876"/>
      <c r="J575" s="876"/>
      <c r="K575" s="545"/>
      <c r="L575" s="876"/>
      <c r="M575" s="882"/>
      <c r="Q575" s="876"/>
      <c r="U575" s="904"/>
      <c r="V575" s="876"/>
      <c r="W575" s="876"/>
      <c r="X575" s="876"/>
      <c r="Y575" s="876"/>
      <c r="Z575" s="545"/>
      <c r="AG575" s="545"/>
      <c r="AI575" s="876"/>
    </row>
    <row r="576" spans="1:35" ht="24" customHeight="1">
      <c r="A576" s="917"/>
      <c r="B576" s="876"/>
      <c r="C576" s="545"/>
      <c r="D576" s="876"/>
      <c r="F576" s="545"/>
      <c r="G576" s="889"/>
      <c r="H576" s="545"/>
      <c r="I576" s="876"/>
      <c r="J576" s="876"/>
      <c r="K576" s="545"/>
      <c r="L576" s="876"/>
      <c r="M576" s="882"/>
      <c r="O576" s="545"/>
      <c r="P576" s="876"/>
      <c r="Q576" s="876"/>
      <c r="R576" s="545"/>
      <c r="S576" s="876"/>
      <c r="T576" s="545"/>
      <c r="U576" s="904"/>
      <c r="W576" s="876"/>
      <c r="X576" s="876"/>
      <c r="Z576" s="876"/>
      <c r="AG576" s="545"/>
      <c r="AI576" s="876"/>
    </row>
    <row r="577" spans="1:35" ht="24" customHeight="1">
      <c r="A577" s="917"/>
      <c r="B577" s="876"/>
      <c r="C577" s="545"/>
      <c r="D577" s="876"/>
      <c r="F577" s="545"/>
      <c r="G577" s="889"/>
      <c r="H577" s="545"/>
      <c r="I577" s="876"/>
      <c r="J577" s="876"/>
      <c r="K577" s="545"/>
      <c r="L577" s="876"/>
      <c r="M577" s="882"/>
      <c r="O577" s="545"/>
      <c r="P577" s="876"/>
      <c r="Q577" s="876"/>
      <c r="R577" s="545"/>
      <c r="S577" s="876"/>
      <c r="T577" s="545"/>
      <c r="U577" s="904"/>
      <c r="V577" s="876"/>
      <c r="W577" s="876"/>
      <c r="Y577" s="876"/>
      <c r="Z577" s="545"/>
      <c r="AG577" s="545"/>
      <c r="AI577" s="876"/>
    </row>
    <row r="578" spans="1:35" ht="24" customHeight="1">
      <c r="A578" s="917"/>
      <c r="B578" s="876"/>
      <c r="C578" s="545"/>
      <c r="D578" s="876"/>
      <c r="I578" s="876"/>
      <c r="J578" s="876"/>
      <c r="L578" s="876"/>
      <c r="M578" s="882"/>
      <c r="O578" s="545"/>
      <c r="P578" s="876"/>
      <c r="Q578" s="876"/>
      <c r="R578" s="545"/>
      <c r="S578" s="876"/>
      <c r="T578" s="545"/>
      <c r="Z578" s="881"/>
      <c r="AG578" s="545"/>
      <c r="AI578" s="876"/>
    </row>
    <row r="579" spans="1:35" ht="24" customHeight="1">
      <c r="A579" s="917"/>
      <c r="B579" s="876"/>
      <c r="C579" s="545"/>
      <c r="D579" s="876"/>
      <c r="J579" s="876"/>
      <c r="M579" s="882"/>
      <c r="O579" s="545"/>
      <c r="P579" s="876"/>
      <c r="Q579" s="876"/>
      <c r="S579" s="876"/>
      <c r="T579" s="545"/>
      <c r="W579" s="876"/>
      <c r="Z579" s="545"/>
      <c r="AG579" s="545"/>
    </row>
    <row r="580" spans="1:35" ht="24" customHeight="1">
      <c r="A580" s="917"/>
      <c r="B580" s="876"/>
      <c r="C580" s="545"/>
      <c r="D580" s="876"/>
      <c r="J580" s="880"/>
      <c r="M580" s="882"/>
      <c r="T580" s="881"/>
      <c r="Z580" s="881"/>
      <c r="AG580" s="545"/>
      <c r="AI580" s="876"/>
    </row>
    <row r="581" spans="1:35" ht="24" customHeight="1">
      <c r="A581" s="917"/>
      <c r="B581" s="876"/>
      <c r="C581" s="545"/>
      <c r="D581" s="876"/>
      <c r="M581" s="882"/>
      <c r="Q581" s="876"/>
      <c r="T581" s="545"/>
      <c r="W581" s="876"/>
      <c r="Z581" s="545"/>
      <c r="AG581" s="545"/>
      <c r="AI581" s="876"/>
    </row>
    <row r="582" spans="1:35" ht="24" customHeight="1">
      <c r="A582" s="917"/>
      <c r="B582" s="876"/>
      <c r="C582" s="545"/>
      <c r="D582" s="876"/>
      <c r="J582" s="880"/>
      <c r="M582" s="882"/>
      <c r="T582" s="881"/>
      <c r="Z582" s="881"/>
      <c r="AG582" s="545"/>
      <c r="AI582" s="876"/>
    </row>
    <row r="583" spans="1:35" ht="24" customHeight="1">
      <c r="A583" s="917"/>
      <c r="B583" s="876"/>
      <c r="C583" s="545"/>
      <c r="D583" s="876"/>
      <c r="J583" s="876"/>
      <c r="K583" s="545"/>
      <c r="L583" s="876"/>
      <c r="M583" s="883"/>
      <c r="Q583" s="876"/>
      <c r="T583" s="545"/>
      <c r="AG583" s="545"/>
      <c r="AI583" s="876"/>
    </row>
    <row r="584" spans="1:35" ht="24" customHeight="1">
      <c r="A584" s="917"/>
      <c r="B584" s="876"/>
      <c r="C584" s="545"/>
      <c r="D584" s="876"/>
      <c r="J584" s="876"/>
      <c r="K584" s="545"/>
      <c r="L584" s="876"/>
      <c r="M584" s="883"/>
      <c r="P584" s="876"/>
      <c r="Q584" s="876"/>
      <c r="AG584" s="545"/>
      <c r="AI584" s="876"/>
    </row>
    <row r="585" spans="1:35" ht="24" customHeight="1">
      <c r="A585" s="917"/>
      <c r="B585" s="876"/>
      <c r="C585" s="545"/>
      <c r="D585" s="876"/>
      <c r="J585" s="876"/>
      <c r="K585" s="545"/>
      <c r="L585" s="876"/>
      <c r="M585" s="883"/>
      <c r="Q585" s="876"/>
      <c r="AG585" s="545"/>
      <c r="AI585" s="876"/>
    </row>
    <row r="586" spans="1:35" ht="24" customHeight="1">
      <c r="A586" s="917"/>
      <c r="B586" s="876"/>
      <c r="C586" s="545"/>
      <c r="D586" s="876"/>
      <c r="J586" s="876"/>
      <c r="K586" s="545"/>
      <c r="L586" s="876"/>
      <c r="M586" s="883"/>
      <c r="Q586" s="881"/>
      <c r="AG586" s="545"/>
      <c r="AI586" s="876"/>
    </row>
    <row r="587" spans="1:35" ht="24" customHeight="1">
      <c r="A587" s="917"/>
      <c r="B587" s="876"/>
      <c r="C587" s="545"/>
      <c r="D587" s="876"/>
      <c r="J587" s="876"/>
      <c r="K587" s="545"/>
      <c r="L587" s="876"/>
      <c r="M587" s="883"/>
      <c r="Q587" s="881"/>
      <c r="AG587" s="545"/>
      <c r="AI587" s="876"/>
    </row>
    <row r="588" spans="1:35" ht="24" customHeight="1">
      <c r="A588" s="917"/>
      <c r="B588" s="876"/>
      <c r="C588" s="545"/>
      <c r="D588" s="876"/>
      <c r="J588" s="876"/>
      <c r="K588" s="545"/>
      <c r="L588" s="876"/>
      <c r="M588" s="883"/>
      <c r="O588" s="545"/>
      <c r="P588" s="876"/>
      <c r="Q588" s="876"/>
      <c r="R588" s="545"/>
      <c r="S588" s="876"/>
      <c r="T588" s="545"/>
      <c r="U588" s="905"/>
      <c r="AG588" s="545"/>
    </row>
    <row r="589" spans="1:35" ht="24" customHeight="1">
      <c r="A589" s="917"/>
      <c r="B589" s="876"/>
      <c r="C589" s="545"/>
      <c r="D589" s="876"/>
      <c r="J589" s="876"/>
      <c r="K589" s="545"/>
      <c r="L589" s="876"/>
      <c r="M589" s="883"/>
      <c r="O589" s="904"/>
      <c r="P589" s="876"/>
      <c r="Q589" s="876"/>
      <c r="R589" s="545"/>
      <c r="S589" s="876"/>
      <c r="T589" s="545"/>
      <c r="AG589" s="545"/>
    </row>
    <row r="590" spans="1:35" ht="24" customHeight="1">
      <c r="A590" s="917"/>
      <c r="B590" s="876"/>
      <c r="C590" s="545"/>
      <c r="D590" s="876"/>
      <c r="J590" s="876"/>
      <c r="K590" s="545"/>
      <c r="L590" s="876"/>
      <c r="M590" s="883"/>
      <c r="O590" s="904"/>
      <c r="P590" s="876"/>
      <c r="Q590" s="876"/>
      <c r="R590" s="545"/>
      <c r="S590" s="876"/>
      <c r="T590" s="545"/>
      <c r="AG590" s="545"/>
      <c r="AI590" s="876"/>
    </row>
    <row r="591" spans="1:35" ht="24" customHeight="1">
      <c r="A591" s="917"/>
      <c r="B591" s="876"/>
      <c r="C591" s="545"/>
      <c r="D591" s="545"/>
      <c r="J591" s="876"/>
      <c r="K591" s="545"/>
      <c r="L591" s="876"/>
      <c r="M591" s="883"/>
      <c r="O591" s="904"/>
      <c r="P591" s="876"/>
      <c r="Q591" s="876"/>
      <c r="R591" s="545"/>
      <c r="S591" s="876"/>
      <c r="T591" s="545"/>
      <c r="AG591" s="545"/>
      <c r="AI591" s="876"/>
    </row>
    <row r="592" spans="1:35" ht="24" customHeight="1">
      <c r="A592" s="917"/>
      <c r="B592" s="876"/>
      <c r="C592" s="545"/>
      <c r="D592" s="876"/>
      <c r="J592" s="876"/>
      <c r="K592" s="545"/>
      <c r="L592" s="876"/>
      <c r="M592" s="883"/>
      <c r="O592" s="904"/>
      <c r="P592" s="876"/>
      <c r="Q592" s="876"/>
      <c r="R592" s="545"/>
      <c r="S592" s="876"/>
      <c r="T592" s="545"/>
      <c r="AG592" s="545"/>
      <c r="AI592" s="876"/>
    </row>
    <row r="593" spans="1:35" ht="24" customHeight="1">
      <c r="A593" s="917"/>
      <c r="B593" s="876"/>
      <c r="C593" s="545"/>
      <c r="D593" s="876"/>
      <c r="J593" s="876"/>
      <c r="K593" s="545"/>
      <c r="L593" s="876"/>
      <c r="M593" s="883"/>
      <c r="Q593" s="876"/>
      <c r="T593" s="876"/>
      <c r="AG593" s="545"/>
      <c r="AI593" s="876"/>
    </row>
    <row r="594" spans="1:35" ht="15.75">
      <c r="A594" s="917"/>
      <c r="B594" s="928"/>
      <c r="C594" s="882"/>
      <c r="D594" s="876"/>
      <c r="J594" s="876"/>
      <c r="K594" s="545"/>
      <c r="L594" s="876"/>
      <c r="M594" s="883"/>
      <c r="P594" s="876"/>
      <c r="Q594" s="876"/>
      <c r="S594" s="876"/>
      <c r="T594" s="545"/>
      <c r="AG594" s="545"/>
      <c r="AI594" s="876"/>
    </row>
    <row r="595" spans="1:35" ht="15.75">
      <c r="A595" s="917"/>
      <c r="B595" s="908"/>
      <c r="C595" s="545"/>
      <c r="D595" s="876"/>
      <c r="E595" s="876"/>
      <c r="F595" s="920"/>
      <c r="G595" s="921"/>
      <c r="H595" s="920"/>
      <c r="I595" s="876"/>
      <c r="J595" s="876"/>
      <c r="M595" s="883"/>
      <c r="T595" s="881"/>
      <c r="AG595" s="545"/>
      <c r="AI595" s="876"/>
    </row>
    <row r="596" spans="1:35" ht="24" customHeight="1">
      <c r="A596" s="917"/>
      <c r="B596" s="876"/>
      <c r="C596" s="545"/>
      <c r="D596" s="876"/>
      <c r="J596" s="876"/>
      <c r="Q596" s="876"/>
      <c r="T596" s="545"/>
      <c r="AG596" s="545"/>
      <c r="AI596" s="876"/>
    </row>
    <row r="597" spans="1:35" ht="24" customHeight="1">
      <c r="A597" s="917"/>
      <c r="B597" s="876"/>
      <c r="C597" s="545"/>
      <c r="D597" s="876"/>
      <c r="F597" s="545"/>
      <c r="G597" s="889"/>
      <c r="H597" s="545"/>
      <c r="I597" s="876"/>
      <c r="J597" s="876"/>
      <c r="K597" s="545"/>
      <c r="L597" s="876"/>
      <c r="M597" s="882"/>
      <c r="T597" s="881"/>
      <c r="AG597" s="545"/>
      <c r="AI597" s="876"/>
    </row>
    <row r="598" spans="1:35" ht="24" customHeight="1">
      <c r="A598" s="917"/>
      <c r="B598" s="876"/>
      <c r="C598" s="545"/>
      <c r="D598" s="876"/>
      <c r="F598" s="545"/>
      <c r="G598" s="889"/>
      <c r="H598" s="545"/>
      <c r="I598" s="876"/>
      <c r="J598" s="876"/>
      <c r="K598" s="545"/>
      <c r="L598" s="876"/>
      <c r="M598" s="882"/>
      <c r="P598" s="876"/>
      <c r="Q598" s="876"/>
      <c r="AG598" s="545"/>
      <c r="AI598" s="876"/>
    </row>
    <row r="599" spans="1:35" ht="24" customHeight="1">
      <c r="A599" s="917"/>
      <c r="B599" s="876"/>
      <c r="C599" s="545"/>
      <c r="D599" s="876"/>
      <c r="F599" s="545"/>
      <c r="G599" s="889"/>
      <c r="H599" s="545"/>
      <c r="I599" s="876"/>
      <c r="J599" s="876"/>
      <c r="K599" s="545"/>
      <c r="L599" s="876"/>
      <c r="M599" s="882"/>
      <c r="Q599" s="876"/>
      <c r="AG599" s="545"/>
      <c r="AI599" s="876"/>
    </row>
    <row r="600" spans="1:35" ht="24" customHeight="1">
      <c r="A600" s="917"/>
      <c r="B600" s="876"/>
      <c r="C600" s="545"/>
      <c r="D600" s="876"/>
      <c r="F600" s="545"/>
      <c r="G600" s="889"/>
      <c r="H600" s="545"/>
      <c r="I600" s="876"/>
      <c r="J600" s="876"/>
      <c r="K600" s="545"/>
      <c r="L600" s="876"/>
      <c r="M600" s="882"/>
      <c r="Q600" s="881"/>
      <c r="AG600" s="545"/>
      <c r="AI600" s="876"/>
    </row>
    <row r="601" spans="1:35" ht="24" customHeight="1">
      <c r="A601" s="917"/>
      <c r="B601" s="876"/>
      <c r="C601" s="545"/>
      <c r="D601" s="876"/>
      <c r="I601" s="876"/>
      <c r="J601" s="876"/>
      <c r="L601" s="876"/>
      <c r="M601" s="882"/>
      <c r="O601" s="545"/>
      <c r="P601" s="876"/>
      <c r="Q601" s="876"/>
      <c r="R601" s="545"/>
      <c r="S601" s="876"/>
      <c r="T601" s="545"/>
      <c r="V601" s="901"/>
      <c r="W601" s="876"/>
      <c r="Y601" s="874"/>
      <c r="AG601" s="545"/>
      <c r="AI601" s="876"/>
    </row>
    <row r="602" spans="1:35" ht="24" customHeight="1">
      <c r="A602" s="917"/>
      <c r="B602" s="876"/>
      <c r="C602" s="545"/>
      <c r="D602" s="876"/>
      <c r="J602" s="876"/>
      <c r="M602" s="882"/>
      <c r="O602" s="545"/>
      <c r="P602" s="876"/>
      <c r="Q602" s="876"/>
      <c r="R602" s="545"/>
      <c r="S602" s="876"/>
      <c r="T602" s="545"/>
      <c r="V602" s="902"/>
      <c r="W602" s="876"/>
      <c r="Y602" s="874"/>
      <c r="AG602" s="545"/>
      <c r="AI602" s="876"/>
    </row>
    <row r="603" spans="1:35" ht="24" customHeight="1">
      <c r="A603" s="917"/>
      <c r="B603" s="876"/>
      <c r="C603" s="545"/>
      <c r="D603" s="876"/>
      <c r="J603" s="880"/>
      <c r="M603" s="882"/>
      <c r="O603" s="904"/>
      <c r="P603" s="876"/>
      <c r="Q603" s="876"/>
      <c r="R603" s="545"/>
      <c r="S603" s="876"/>
      <c r="T603" s="545"/>
      <c r="V603" s="902"/>
      <c r="W603" s="876"/>
      <c r="Y603" s="874"/>
      <c r="AG603" s="545"/>
      <c r="AI603" s="876"/>
    </row>
    <row r="604" spans="1:35" ht="24" customHeight="1">
      <c r="A604" s="917"/>
      <c r="B604" s="876"/>
      <c r="C604" s="545"/>
      <c r="D604" s="876"/>
      <c r="M604" s="882"/>
      <c r="O604" s="904"/>
      <c r="P604" s="876"/>
      <c r="Q604" s="876"/>
      <c r="R604" s="545"/>
      <c r="S604" s="876"/>
      <c r="T604" s="545"/>
      <c r="V604" s="902"/>
      <c r="W604" s="876"/>
      <c r="Y604" s="874"/>
      <c r="AG604" s="545"/>
      <c r="AI604" s="876"/>
    </row>
    <row r="605" spans="1:35" ht="24" customHeight="1">
      <c r="A605" s="917"/>
      <c r="B605" s="876"/>
      <c r="C605" s="545"/>
      <c r="D605" s="876"/>
      <c r="J605" s="876"/>
      <c r="K605" s="545"/>
      <c r="L605" s="876"/>
      <c r="M605" s="883"/>
      <c r="O605" s="904"/>
      <c r="P605" s="876"/>
      <c r="Q605" s="876"/>
      <c r="R605" s="545"/>
      <c r="S605" s="876"/>
      <c r="T605" s="545"/>
      <c r="V605" s="902"/>
      <c r="W605" s="876"/>
      <c r="Y605" s="874"/>
      <c r="AG605" s="545"/>
      <c r="AI605" s="876"/>
    </row>
    <row r="606" spans="1:35" ht="24" customHeight="1">
      <c r="A606" s="917"/>
      <c r="B606" s="876"/>
      <c r="C606" s="545"/>
      <c r="D606" s="876"/>
      <c r="J606" s="876"/>
      <c r="K606" s="545"/>
      <c r="L606" s="876"/>
      <c r="M606" s="883"/>
      <c r="O606" s="904"/>
      <c r="P606" s="876"/>
      <c r="Q606" s="876"/>
      <c r="R606" s="545"/>
      <c r="S606" s="876"/>
      <c r="T606" s="545"/>
      <c r="V606" s="902"/>
      <c r="W606" s="876"/>
      <c r="Y606" s="874"/>
      <c r="AG606" s="545"/>
      <c r="AI606" s="876"/>
    </row>
    <row r="607" spans="1:35" ht="24" customHeight="1">
      <c r="A607" s="917"/>
      <c r="B607" s="876"/>
      <c r="C607" s="545"/>
      <c r="D607" s="876"/>
      <c r="J607" s="876"/>
      <c r="K607" s="545"/>
      <c r="L607" s="876"/>
      <c r="M607" s="883"/>
      <c r="Q607" s="876"/>
      <c r="T607" s="876"/>
      <c r="V607" s="902"/>
      <c r="W607" s="876"/>
      <c r="Y607" s="874"/>
      <c r="AG607" s="545"/>
      <c r="AI607" s="876"/>
    </row>
    <row r="608" spans="1:35" ht="24" customHeight="1">
      <c r="A608" s="917"/>
      <c r="B608" s="876"/>
      <c r="C608" s="545"/>
      <c r="D608" s="876"/>
      <c r="J608" s="876"/>
      <c r="K608" s="545"/>
      <c r="L608" s="876"/>
      <c r="M608" s="883"/>
      <c r="P608" s="876"/>
      <c r="Q608" s="876"/>
      <c r="S608" s="876"/>
      <c r="T608" s="545"/>
      <c r="V608" s="902"/>
      <c r="W608" s="881"/>
      <c r="X608" s="881"/>
      <c r="Y608" s="874"/>
      <c r="AG608" s="545"/>
      <c r="AI608" s="876"/>
    </row>
    <row r="609" spans="1:35" ht="24" customHeight="1">
      <c r="A609" s="917"/>
      <c r="B609" s="876"/>
      <c r="C609" s="545"/>
      <c r="D609" s="876"/>
      <c r="J609" s="876"/>
      <c r="K609" s="545"/>
      <c r="L609" s="876"/>
      <c r="M609" s="883"/>
      <c r="T609" s="881"/>
      <c r="V609" s="901"/>
      <c r="W609" s="876"/>
      <c r="Y609" s="874"/>
      <c r="AG609" s="545"/>
      <c r="AI609" s="876"/>
    </row>
    <row r="610" spans="1:35" ht="24" customHeight="1">
      <c r="A610" s="917"/>
      <c r="B610" s="876"/>
      <c r="C610" s="545"/>
      <c r="D610" s="876"/>
      <c r="F610" s="929"/>
      <c r="G610" s="930"/>
      <c r="H610" s="929"/>
      <c r="I610" s="876"/>
      <c r="J610" s="876"/>
      <c r="Q610" s="876"/>
      <c r="T610" s="545"/>
      <c r="V610" s="902"/>
      <c r="W610" s="876"/>
      <c r="Y610" s="874"/>
      <c r="AG610" s="545"/>
      <c r="AI610" s="876"/>
    </row>
    <row r="611" spans="1:35" ht="24" customHeight="1">
      <c r="A611" s="917"/>
      <c r="B611" s="876"/>
      <c r="C611" s="545"/>
      <c r="D611" s="876"/>
      <c r="J611" s="876"/>
      <c r="T611" s="881"/>
      <c r="V611" s="901"/>
      <c r="W611" s="876"/>
      <c r="X611" s="545"/>
      <c r="Y611" s="876"/>
      <c r="Z611" s="545"/>
      <c r="AG611" s="545"/>
      <c r="AI611" s="876"/>
    </row>
    <row r="612" spans="1:35" ht="24" customHeight="1">
      <c r="A612" s="917"/>
      <c r="B612" s="876"/>
      <c r="C612" s="545"/>
      <c r="D612" s="876"/>
      <c r="F612" s="545"/>
      <c r="G612" s="889"/>
      <c r="H612" s="545"/>
      <c r="I612" s="876"/>
      <c r="J612" s="876"/>
      <c r="K612" s="545"/>
      <c r="L612" s="876"/>
      <c r="M612" s="882"/>
      <c r="P612" s="876"/>
      <c r="Q612" s="876"/>
      <c r="V612" s="901"/>
      <c r="W612" s="876"/>
      <c r="X612" s="545"/>
      <c r="Y612" s="876"/>
      <c r="Z612" s="545"/>
      <c r="AG612" s="545"/>
      <c r="AI612" s="876"/>
    </row>
    <row r="613" spans="1:35" ht="24" customHeight="1">
      <c r="A613" s="917"/>
      <c r="B613" s="876"/>
      <c r="C613" s="545"/>
      <c r="D613" s="931"/>
      <c r="F613" s="545"/>
      <c r="G613" s="889"/>
      <c r="H613" s="545"/>
      <c r="I613" s="876"/>
      <c r="J613" s="876"/>
      <c r="K613" s="545"/>
      <c r="L613" s="876"/>
      <c r="M613" s="882"/>
      <c r="Q613" s="876"/>
      <c r="V613" s="901"/>
      <c r="W613" s="876"/>
      <c r="X613" s="545"/>
      <c r="Y613" s="876"/>
      <c r="Z613" s="545"/>
      <c r="AG613" s="545"/>
      <c r="AI613" s="876"/>
    </row>
    <row r="614" spans="1:35" ht="24" customHeight="1">
      <c r="A614" s="917"/>
      <c r="B614" s="876"/>
      <c r="C614" s="914"/>
      <c r="D614" s="932"/>
      <c r="E614" s="933"/>
      <c r="F614" s="545"/>
      <c r="G614" s="889"/>
      <c r="H614" s="545"/>
      <c r="I614" s="876"/>
      <c r="J614" s="876"/>
      <c r="K614" s="545"/>
      <c r="L614" s="876"/>
      <c r="M614" s="882"/>
      <c r="Q614" s="881"/>
      <c r="V614" s="901"/>
      <c r="W614" s="876"/>
      <c r="X614" s="545"/>
      <c r="Y614" s="876"/>
      <c r="Z614" s="545"/>
      <c r="AG614" s="545"/>
      <c r="AI614" s="876"/>
    </row>
    <row r="615" spans="1:35" ht="24" customHeight="1">
      <c r="A615" s="917"/>
      <c r="B615" s="876"/>
      <c r="C615" s="933"/>
      <c r="D615" s="932"/>
      <c r="E615" s="933"/>
      <c r="F615" s="545"/>
      <c r="G615" s="889"/>
      <c r="H615" s="545"/>
      <c r="I615" s="876"/>
      <c r="J615" s="876"/>
      <c r="K615" s="545"/>
      <c r="L615" s="876"/>
      <c r="M615" s="882"/>
      <c r="O615" s="545"/>
      <c r="P615" s="876"/>
      <c r="Q615" s="876"/>
      <c r="R615" s="545"/>
      <c r="S615" s="876"/>
      <c r="T615" s="545"/>
      <c r="V615" s="902"/>
      <c r="W615" s="876"/>
      <c r="Y615" s="874"/>
      <c r="Z615" s="881"/>
      <c r="AG615" s="545"/>
      <c r="AI615" s="876"/>
    </row>
    <row r="616" spans="1:35" ht="24" customHeight="1">
      <c r="A616" s="917"/>
      <c r="B616" s="876"/>
      <c r="C616" s="914"/>
      <c r="D616" s="932"/>
      <c r="E616" s="933"/>
      <c r="I616" s="876"/>
      <c r="J616" s="876"/>
      <c r="L616" s="876"/>
      <c r="M616" s="882"/>
      <c r="O616" s="545"/>
      <c r="P616" s="876"/>
      <c r="Q616" s="876"/>
      <c r="R616" s="545"/>
      <c r="S616" s="876"/>
      <c r="T616" s="545"/>
      <c r="V616" s="902"/>
      <c r="W616" s="880"/>
      <c r="Y616" s="874"/>
      <c r="Z616" s="545"/>
      <c r="AG616" s="545"/>
      <c r="AI616" s="876"/>
    </row>
    <row r="617" spans="1:35" ht="24" customHeight="1">
      <c r="A617" s="917"/>
      <c r="B617" s="876"/>
      <c r="C617" s="914"/>
      <c r="D617" s="932"/>
      <c r="E617" s="933"/>
      <c r="J617" s="876"/>
      <c r="M617" s="882"/>
      <c r="O617" s="545"/>
      <c r="P617" s="876"/>
      <c r="Q617" s="876"/>
      <c r="R617" s="545"/>
      <c r="S617" s="876"/>
      <c r="T617" s="545"/>
      <c r="V617" s="902"/>
      <c r="Y617" s="874"/>
      <c r="Z617" s="881"/>
      <c r="AG617" s="545"/>
      <c r="AI617" s="876"/>
    </row>
    <row r="618" spans="1:35" ht="24" customHeight="1">
      <c r="A618" s="917"/>
      <c r="B618" s="876"/>
      <c r="D618" s="876"/>
      <c r="J618" s="880"/>
      <c r="M618" s="882"/>
      <c r="O618" s="545"/>
      <c r="P618" s="876"/>
      <c r="Q618" s="876"/>
      <c r="R618" s="545"/>
      <c r="S618" s="876"/>
      <c r="T618" s="545"/>
      <c r="V618" s="902"/>
      <c r="W618" s="880"/>
      <c r="Y618" s="874"/>
      <c r="Z618" s="545"/>
      <c r="AG618" s="545"/>
      <c r="AI618" s="876"/>
    </row>
    <row r="619" spans="1:35" ht="24" customHeight="1">
      <c r="A619" s="917"/>
      <c r="B619" s="876"/>
      <c r="C619" s="545"/>
      <c r="D619" s="876"/>
      <c r="M619" s="882"/>
      <c r="O619" s="545"/>
      <c r="P619" s="876"/>
      <c r="Q619" s="876"/>
      <c r="R619" s="545"/>
      <c r="S619" s="876"/>
      <c r="T619" s="545"/>
      <c r="V619" s="902"/>
      <c r="W619" s="876"/>
      <c r="X619" s="545"/>
      <c r="Y619" s="876"/>
      <c r="Z619" s="892"/>
      <c r="AG619" s="545"/>
      <c r="AI619" s="876"/>
    </row>
    <row r="620" spans="1:35" ht="24" customHeight="1">
      <c r="A620" s="917"/>
      <c r="B620" s="876"/>
      <c r="C620" s="545"/>
      <c r="D620" s="876"/>
      <c r="J620" s="880"/>
      <c r="M620" s="882"/>
      <c r="O620" s="545"/>
      <c r="P620" s="876"/>
      <c r="Q620" s="876"/>
      <c r="R620" s="545"/>
      <c r="S620" s="876"/>
      <c r="T620" s="545"/>
      <c r="V620" s="902"/>
      <c r="W620" s="876"/>
      <c r="X620" s="545"/>
      <c r="Y620" s="876"/>
      <c r="Z620" s="892"/>
      <c r="AG620" s="545"/>
      <c r="AI620" s="876"/>
    </row>
    <row r="621" spans="1:35" ht="24" customHeight="1">
      <c r="A621" s="917"/>
      <c r="B621" s="876"/>
      <c r="D621" s="876"/>
      <c r="J621" s="876"/>
      <c r="M621" s="883"/>
      <c r="O621" s="545"/>
      <c r="P621" s="876"/>
      <c r="Q621" s="876"/>
      <c r="R621" s="545"/>
      <c r="S621" s="876"/>
      <c r="T621" s="545"/>
      <c r="V621" s="902"/>
      <c r="W621" s="876"/>
      <c r="X621" s="545"/>
      <c r="Y621" s="876"/>
      <c r="Z621" s="892"/>
      <c r="AG621" s="545"/>
      <c r="AI621" s="876"/>
    </row>
    <row r="622" spans="1:35" ht="24" customHeight="1">
      <c r="A622" s="917"/>
      <c r="B622" s="876"/>
      <c r="C622" s="545"/>
      <c r="D622" s="545"/>
      <c r="J622" s="876"/>
      <c r="M622" s="883"/>
      <c r="O622" s="545"/>
      <c r="P622" s="876"/>
      <c r="Q622" s="876"/>
      <c r="R622" s="545"/>
      <c r="S622" s="876"/>
      <c r="T622" s="545"/>
      <c r="V622" s="902"/>
      <c r="W622" s="876"/>
      <c r="X622" s="545"/>
      <c r="Y622" s="876"/>
      <c r="Z622" s="892"/>
      <c r="AG622" s="545"/>
      <c r="AI622" s="876"/>
    </row>
    <row r="623" spans="1:35" ht="24" customHeight="1">
      <c r="A623" s="917"/>
      <c r="B623" s="876"/>
      <c r="C623" s="545"/>
      <c r="D623" s="876"/>
      <c r="J623" s="876"/>
      <c r="M623" s="883"/>
      <c r="O623" s="904"/>
      <c r="P623" s="876"/>
      <c r="Q623" s="876"/>
      <c r="R623" s="545"/>
      <c r="S623" s="876"/>
      <c r="T623" s="545"/>
      <c r="V623" s="902"/>
      <c r="W623" s="876"/>
      <c r="X623" s="545"/>
      <c r="Y623" s="876"/>
      <c r="Z623" s="892"/>
      <c r="AG623" s="545"/>
      <c r="AI623" s="876"/>
    </row>
    <row r="624" spans="1:35" ht="24" customHeight="1">
      <c r="A624" s="917"/>
      <c r="B624" s="876"/>
      <c r="D624" s="876"/>
      <c r="J624" s="876"/>
      <c r="M624" s="883"/>
      <c r="Q624" s="876"/>
      <c r="V624" s="901"/>
      <c r="W624" s="876"/>
      <c r="Y624" s="874"/>
      <c r="Z624" s="892"/>
      <c r="AG624" s="545"/>
      <c r="AI624" s="876"/>
    </row>
    <row r="625" spans="1:35" ht="24" customHeight="1">
      <c r="A625" s="917"/>
      <c r="B625" s="876"/>
      <c r="C625" s="545"/>
      <c r="D625" s="876"/>
      <c r="J625" s="876"/>
      <c r="M625" s="883"/>
      <c r="P625" s="876"/>
      <c r="Q625" s="876"/>
      <c r="S625" s="876"/>
      <c r="T625" s="545"/>
      <c r="AG625" s="545"/>
      <c r="AI625" s="876"/>
    </row>
    <row r="626" spans="1:35" ht="24" customHeight="1">
      <c r="A626" s="917"/>
      <c r="B626" s="876"/>
      <c r="C626" s="545"/>
      <c r="D626" s="876"/>
      <c r="F626" s="880"/>
      <c r="G626" s="918"/>
      <c r="H626" s="880"/>
      <c r="I626" s="876"/>
      <c r="J626" s="876"/>
      <c r="T626" s="881"/>
      <c r="AG626" s="545"/>
      <c r="AI626" s="876"/>
    </row>
    <row r="627" spans="1:35" ht="24" customHeight="1">
      <c r="A627" s="917"/>
      <c r="B627" s="876"/>
      <c r="D627" s="876"/>
      <c r="J627" s="876"/>
      <c r="Q627" s="876"/>
      <c r="T627" s="545"/>
      <c r="AG627" s="545"/>
      <c r="AI627" s="876"/>
    </row>
    <row r="628" spans="1:35" ht="24" customHeight="1">
      <c r="A628" s="917"/>
      <c r="B628" s="876"/>
      <c r="C628" s="545"/>
      <c r="D628" s="876"/>
      <c r="J628" s="876"/>
      <c r="T628" s="881"/>
      <c r="AG628" s="545"/>
      <c r="AI628" s="876"/>
    </row>
    <row r="629" spans="1:35" ht="24" customHeight="1">
      <c r="A629" s="917"/>
      <c r="B629" s="876"/>
      <c r="C629" s="545"/>
      <c r="D629" s="876"/>
      <c r="J629" s="881"/>
      <c r="P629" s="876"/>
      <c r="Q629" s="876"/>
      <c r="AG629" s="545"/>
      <c r="AI629" s="876"/>
    </row>
    <row r="630" spans="1:35" ht="24" customHeight="1">
      <c r="F630" s="545"/>
      <c r="G630" s="889"/>
      <c r="H630" s="545"/>
      <c r="I630" s="876"/>
      <c r="J630" s="876"/>
      <c r="K630" s="545"/>
      <c r="L630" s="876"/>
      <c r="M630" s="882"/>
      <c r="AG630" s="545"/>
      <c r="AI630" s="876"/>
    </row>
    <row r="631" spans="1:35" ht="24" customHeight="1">
      <c r="A631" s="917"/>
      <c r="B631" s="876"/>
      <c r="D631" s="876"/>
      <c r="F631" s="545"/>
      <c r="G631" s="889"/>
      <c r="H631" s="545"/>
      <c r="I631" s="876"/>
      <c r="J631" s="876"/>
      <c r="L631" s="876"/>
      <c r="M631" s="882"/>
      <c r="Q631" s="876"/>
      <c r="AG631" s="545"/>
      <c r="AI631" s="876"/>
    </row>
    <row r="632" spans="1:35" ht="24" customHeight="1">
      <c r="A632" s="917"/>
      <c r="B632" s="876"/>
      <c r="C632" s="545"/>
      <c r="D632" s="876"/>
      <c r="J632" s="876"/>
      <c r="Q632" s="881"/>
      <c r="AG632" s="545"/>
      <c r="AI632" s="876"/>
    </row>
    <row r="633" spans="1:35" ht="24" customHeight="1">
      <c r="A633" s="917"/>
      <c r="B633" s="876"/>
      <c r="C633" s="545"/>
      <c r="D633" s="876"/>
      <c r="M633" s="882"/>
      <c r="O633" s="545"/>
      <c r="P633" s="876"/>
      <c r="Q633" s="876"/>
      <c r="R633" s="545"/>
      <c r="S633" s="876"/>
      <c r="T633" s="545"/>
      <c r="AG633" s="545"/>
      <c r="AI633" s="876"/>
    </row>
    <row r="634" spans="1:35" ht="24" customHeight="1">
      <c r="A634" s="917"/>
      <c r="B634" s="876"/>
      <c r="D634" s="876"/>
      <c r="J634" s="876"/>
      <c r="M634" s="882"/>
      <c r="O634" s="545"/>
      <c r="P634" s="876"/>
      <c r="Q634" s="876"/>
      <c r="R634" s="545"/>
      <c r="S634" s="876"/>
      <c r="T634" s="545"/>
      <c r="AG634" s="545"/>
      <c r="AI634" s="876"/>
    </row>
    <row r="635" spans="1:35" ht="24" customHeight="1">
      <c r="A635" s="917"/>
      <c r="B635" s="876"/>
      <c r="C635" s="545"/>
      <c r="D635" s="876"/>
      <c r="M635" s="882"/>
      <c r="O635" s="545"/>
      <c r="P635" s="876"/>
      <c r="Q635" s="876"/>
      <c r="R635" s="545"/>
      <c r="S635" s="876"/>
      <c r="T635" s="545"/>
      <c r="AG635" s="545"/>
      <c r="AI635" s="876"/>
    </row>
    <row r="636" spans="1:35" ht="24" customHeight="1">
      <c r="A636" s="917"/>
      <c r="B636" s="876"/>
      <c r="C636" s="545"/>
      <c r="D636" s="876"/>
      <c r="J636" s="876"/>
      <c r="M636" s="882"/>
      <c r="Q636" s="876"/>
      <c r="S636" s="876"/>
      <c r="T636" s="545"/>
      <c r="AG636" s="545"/>
      <c r="AI636" s="876"/>
    </row>
    <row r="637" spans="1:35" ht="24" customHeight="1">
      <c r="A637" s="917"/>
      <c r="B637" s="876"/>
      <c r="D637" s="876"/>
      <c r="F637" s="876"/>
      <c r="G637" s="916"/>
      <c r="H637" s="876"/>
      <c r="T637" s="881"/>
      <c r="U637" s="906"/>
      <c r="AG637" s="545"/>
      <c r="AI637" s="876"/>
    </row>
    <row r="638" spans="1:35" ht="24" customHeight="1">
      <c r="A638" s="917"/>
      <c r="B638" s="876"/>
      <c r="C638" s="545"/>
      <c r="D638" s="876"/>
      <c r="M638" s="882"/>
      <c r="Q638" s="876"/>
      <c r="T638" s="545"/>
      <c r="AG638" s="545"/>
      <c r="AI638" s="876"/>
    </row>
    <row r="639" spans="1:35" ht="24" customHeight="1">
      <c r="A639" s="917"/>
      <c r="B639" s="876"/>
      <c r="C639" s="545"/>
      <c r="D639" s="876"/>
      <c r="I639" s="876"/>
      <c r="J639" s="876"/>
      <c r="T639" s="881"/>
      <c r="AG639" s="545"/>
      <c r="AI639" s="876"/>
    </row>
    <row r="640" spans="1:35" ht="24" customHeight="1">
      <c r="A640" s="917"/>
      <c r="B640" s="876"/>
      <c r="D640" s="876"/>
      <c r="J640" s="876"/>
      <c r="AG640" s="545"/>
      <c r="AI640" s="876"/>
    </row>
    <row r="641" spans="1:35" ht="24" customHeight="1">
      <c r="A641" s="917"/>
      <c r="B641" s="876"/>
      <c r="C641" s="545"/>
      <c r="D641" s="876"/>
      <c r="J641" s="881"/>
      <c r="P641" s="876"/>
      <c r="Q641" s="876"/>
      <c r="AG641" s="545"/>
      <c r="AI641" s="876"/>
    </row>
    <row r="642" spans="1:35" ht="24" customHeight="1">
      <c r="A642" s="917"/>
      <c r="B642" s="876"/>
      <c r="C642" s="545"/>
      <c r="D642" s="876"/>
      <c r="F642" s="904"/>
      <c r="G642" s="924"/>
      <c r="H642" s="904"/>
      <c r="I642" s="876"/>
      <c r="J642" s="876"/>
      <c r="K642" s="545"/>
      <c r="L642" s="876"/>
      <c r="M642" s="882"/>
      <c r="Q642" s="876"/>
      <c r="AG642" s="545"/>
      <c r="AI642" s="876"/>
    </row>
    <row r="643" spans="1:35" ht="24" customHeight="1">
      <c r="A643" s="917"/>
      <c r="B643" s="876"/>
      <c r="D643" s="876"/>
      <c r="F643" s="904"/>
      <c r="G643" s="924"/>
      <c r="H643" s="904"/>
      <c r="J643" s="876"/>
      <c r="M643" s="882"/>
      <c r="Q643" s="876"/>
      <c r="AG643" s="545"/>
      <c r="AI643" s="876"/>
    </row>
    <row r="644" spans="1:35" ht="24" customHeight="1">
      <c r="A644" s="917"/>
      <c r="B644" s="876"/>
      <c r="C644" s="545"/>
      <c r="D644" s="876"/>
      <c r="F644" s="545"/>
      <c r="G644" s="889"/>
      <c r="H644" s="545"/>
      <c r="I644" s="876"/>
      <c r="J644" s="876"/>
      <c r="K644" s="545"/>
      <c r="L644" s="876"/>
      <c r="M644" s="882"/>
      <c r="Q644" s="881"/>
      <c r="AG644" s="545"/>
    </row>
    <row r="645" spans="1:35" ht="24" customHeight="1">
      <c r="A645" s="917"/>
      <c r="B645" s="876"/>
      <c r="C645" s="545"/>
      <c r="D645" s="876"/>
      <c r="F645" s="545"/>
      <c r="G645" s="889"/>
      <c r="H645" s="545"/>
      <c r="I645" s="876"/>
      <c r="J645" s="876"/>
      <c r="K645" s="545"/>
      <c r="L645" s="876"/>
      <c r="M645" s="882"/>
      <c r="O645" s="545"/>
      <c r="P645" s="876"/>
      <c r="Q645" s="876"/>
      <c r="R645" s="545"/>
      <c r="S645" s="876"/>
      <c r="T645" s="545"/>
      <c r="AG645" s="545"/>
    </row>
    <row r="646" spans="1:35" ht="24" customHeight="1">
      <c r="A646" s="917"/>
      <c r="B646" s="876"/>
      <c r="C646" s="545"/>
      <c r="D646" s="876"/>
      <c r="I646" s="876"/>
      <c r="J646" s="876"/>
      <c r="L646" s="876"/>
      <c r="M646" s="882"/>
      <c r="O646" s="545"/>
      <c r="P646" s="876"/>
      <c r="Q646" s="876"/>
      <c r="R646" s="545"/>
      <c r="S646" s="876"/>
      <c r="T646" s="545"/>
      <c r="AG646" s="545"/>
    </row>
    <row r="647" spans="1:35" ht="24" customHeight="1">
      <c r="A647" s="917"/>
      <c r="B647" s="876"/>
      <c r="C647" s="545"/>
      <c r="D647" s="876"/>
      <c r="M647" s="882"/>
      <c r="O647" s="545"/>
      <c r="P647" s="876"/>
      <c r="Q647" s="876"/>
      <c r="R647" s="545"/>
      <c r="S647" s="876"/>
      <c r="T647" s="545"/>
      <c r="AG647" s="545"/>
      <c r="AI647" s="876"/>
    </row>
    <row r="648" spans="1:35" ht="24" customHeight="1">
      <c r="A648" s="917"/>
      <c r="B648" s="876"/>
      <c r="C648" s="545"/>
      <c r="D648" s="876"/>
      <c r="J648" s="876"/>
      <c r="M648" s="882"/>
      <c r="O648" s="545"/>
      <c r="P648" s="876"/>
      <c r="Q648" s="876"/>
      <c r="R648" s="545"/>
      <c r="S648" s="876"/>
      <c r="T648" s="545"/>
      <c r="AG648" s="545"/>
      <c r="AI648" s="876"/>
    </row>
    <row r="649" spans="1:35" ht="24" customHeight="1">
      <c r="A649" s="917"/>
      <c r="B649" s="876"/>
      <c r="C649" s="545"/>
      <c r="D649" s="876"/>
      <c r="M649" s="882"/>
      <c r="O649" s="545"/>
      <c r="P649" s="876"/>
      <c r="Q649" s="876"/>
      <c r="R649" s="545"/>
      <c r="S649" s="876"/>
      <c r="T649" s="545"/>
      <c r="AG649" s="545"/>
      <c r="AI649" s="876"/>
    </row>
    <row r="650" spans="1:35" ht="24" customHeight="1">
      <c r="A650" s="917"/>
      <c r="B650" s="876"/>
      <c r="C650" s="545"/>
      <c r="D650" s="876"/>
      <c r="J650" s="876"/>
      <c r="M650" s="882"/>
      <c r="O650" s="545"/>
      <c r="P650" s="876"/>
      <c r="Q650" s="876"/>
      <c r="R650" s="545"/>
      <c r="S650" s="876"/>
      <c r="T650" s="545"/>
      <c r="AG650" s="545"/>
      <c r="AI650" s="876"/>
    </row>
    <row r="651" spans="1:35" ht="24" customHeight="1">
      <c r="A651" s="917"/>
      <c r="B651" s="876"/>
      <c r="C651" s="545"/>
      <c r="D651" s="876"/>
      <c r="M651" s="882"/>
      <c r="O651" s="545"/>
      <c r="P651" s="876"/>
      <c r="Q651" s="876"/>
      <c r="R651" s="545"/>
      <c r="S651" s="876"/>
      <c r="T651" s="545"/>
      <c r="AG651" s="545"/>
      <c r="AI651" s="876"/>
    </row>
    <row r="652" spans="1:35" ht="24" customHeight="1">
      <c r="A652" s="917"/>
      <c r="B652" s="876"/>
      <c r="C652" s="545"/>
      <c r="D652" s="876"/>
      <c r="J652" s="876"/>
      <c r="M652" s="883"/>
      <c r="O652" s="545"/>
      <c r="P652" s="876"/>
      <c r="Q652" s="876"/>
      <c r="R652" s="545"/>
      <c r="S652" s="876"/>
      <c r="T652" s="545"/>
      <c r="AG652" s="545"/>
      <c r="AI652" s="876"/>
    </row>
    <row r="653" spans="1:35" ht="24" customHeight="1">
      <c r="A653" s="917"/>
      <c r="B653" s="876"/>
      <c r="C653" s="545"/>
      <c r="D653" s="876"/>
      <c r="J653" s="876"/>
      <c r="M653" s="883"/>
      <c r="O653" s="545"/>
      <c r="P653" s="876"/>
      <c r="Q653" s="876"/>
      <c r="R653" s="545"/>
      <c r="S653" s="876"/>
      <c r="T653" s="545"/>
      <c r="AG653" s="545"/>
      <c r="AI653" s="876"/>
    </row>
    <row r="654" spans="1:35" ht="24" customHeight="1">
      <c r="A654" s="917"/>
      <c r="B654" s="934"/>
      <c r="C654" s="545"/>
      <c r="D654" s="876"/>
      <c r="J654" s="876"/>
      <c r="M654" s="883"/>
      <c r="P654" s="876"/>
      <c r="Q654" s="876"/>
      <c r="S654" s="876"/>
      <c r="T654" s="545"/>
      <c r="AG654" s="545"/>
      <c r="AI654" s="876"/>
    </row>
    <row r="655" spans="1:35" ht="24" customHeight="1">
      <c r="A655" s="917"/>
      <c r="B655" s="934"/>
      <c r="C655" s="545"/>
      <c r="D655" s="876"/>
      <c r="J655" s="876"/>
      <c r="M655" s="883"/>
      <c r="T655" s="876"/>
      <c r="AG655" s="545"/>
      <c r="AI655" s="876"/>
    </row>
    <row r="656" spans="1:35" ht="24" customHeight="1">
      <c r="A656" s="917"/>
      <c r="B656" s="876"/>
      <c r="C656" s="545"/>
      <c r="D656" s="876"/>
      <c r="J656" s="876"/>
      <c r="M656" s="883"/>
      <c r="T656" s="881"/>
      <c r="AG656" s="545"/>
      <c r="AI656" s="876"/>
    </row>
    <row r="657" spans="1:35" ht="24" customHeight="1">
      <c r="A657" s="917"/>
      <c r="B657" s="876"/>
      <c r="C657" s="545"/>
      <c r="D657" s="876"/>
      <c r="J657" s="876"/>
      <c r="M657" s="883"/>
      <c r="T657" s="881"/>
      <c r="AG657" s="545"/>
      <c r="AI657" s="876"/>
    </row>
    <row r="658" spans="1:35" ht="24" customHeight="1">
      <c r="A658" s="917"/>
      <c r="B658" s="876"/>
      <c r="C658" s="545"/>
      <c r="D658" s="876"/>
      <c r="J658" s="876"/>
      <c r="M658" s="883"/>
      <c r="T658" s="881"/>
      <c r="AG658" s="545"/>
      <c r="AI658" s="876"/>
    </row>
    <row r="659" spans="1:35" ht="24" customHeight="1">
      <c r="A659" s="917"/>
      <c r="B659" s="876"/>
      <c r="C659" s="545"/>
      <c r="D659" s="876"/>
      <c r="J659" s="876"/>
      <c r="M659" s="883"/>
      <c r="T659" s="881"/>
      <c r="AG659" s="545"/>
      <c r="AI659" s="876"/>
    </row>
    <row r="660" spans="1:35" ht="24" customHeight="1">
      <c r="A660" s="917"/>
      <c r="B660" s="876"/>
      <c r="C660" s="545"/>
      <c r="D660" s="876"/>
      <c r="J660" s="876"/>
      <c r="M660" s="883"/>
      <c r="T660" s="881"/>
      <c r="AG660" s="545"/>
      <c r="AI660" s="876"/>
    </row>
    <row r="661" spans="1:35" ht="24" customHeight="1">
      <c r="A661" s="917"/>
      <c r="B661" s="876"/>
      <c r="C661" s="545"/>
      <c r="D661" s="876"/>
      <c r="J661" s="876"/>
      <c r="M661" s="883"/>
      <c r="T661" s="881"/>
      <c r="AG661" s="545"/>
      <c r="AI661" s="876"/>
    </row>
    <row r="662" spans="1:35" ht="24" customHeight="1">
      <c r="A662" s="917"/>
      <c r="B662" s="876"/>
      <c r="C662" s="545"/>
      <c r="D662" s="876"/>
      <c r="J662" s="876"/>
      <c r="M662" s="883"/>
      <c r="T662" s="881"/>
      <c r="AG662" s="545"/>
      <c r="AI662" s="876"/>
    </row>
    <row r="663" spans="1:35" ht="24" customHeight="1">
      <c r="A663" s="917"/>
      <c r="B663" s="876"/>
      <c r="C663" s="545"/>
      <c r="D663" s="876"/>
      <c r="J663" s="876"/>
      <c r="M663" s="883"/>
      <c r="T663" s="881"/>
      <c r="AG663" s="545"/>
      <c r="AI663" s="876"/>
    </row>
    <row r="664" spans="1:35" ht="24" customHeight="1">
      <c r="A664" s="917"/>
      <c r="B664" s="876"/>
      <c r="C664" s="545"/>
      <c r="D664" s="876"/>
      <c r="J664" s="876"/>
      <c r="M664" s="883"/>
      <c r="T664" s="881"/>
      <c r="AG664" s="545"/>
      <c r="AI664" s="876"/>
    </row>
    <row r="665" spans="1:35" ht="24" customHeight="1">
      <c r="A665" s="917"/>
      <c r="B665" s="876"/>
      <c r="C665" s="545"/>
      <c r="D665" s="876"/>
      <c r="F665" s="880"/>
      <c r="G665" s="918"/>
      <c r="H665" s="880"/>
      <c r="J665" s="876"/>
      <c r="Q665" s="876"/>
      <c r="T665" s="545"/>
      <c r="AG665" s="545"/>
      <c r="AI665" s="876"/>
    </row>
    <row r="666" spans="1:35" ht="24" customHeight="1">
      <c r="A666" s="917"/>
      <c r="B666" s="876"/>
      <c r="C666" s="545"/>
      <c r="D666" s="876"/>
      <c r="J666" s="876"/>
      <c r="T666" s="881"/>
      <c r="AG666" s="545"/>
      <c r="AI666" s="876"/>
    </row>
    <row r="667" spans="1:35" ht="24" customHeight="1">
      <c r="A667" s="917"/>
      <c r="B667" s="876"/>
      <c r="C667" s="545"/>
      <c r="D667" s="876"/>
      <c r="J667" s="876"/>
      <c r="Q667" s="876"/>
      <c r="AG667" s="545"/>
      <c r="AI667" s="876"/>
    </row>
    <row r="668" spans="1:35" ht="24" customHeight="1">
      <c r="A668" s="917"/>
      <c r="B668" s="876"/>
      <c r="C668" s="545"/>
      <c r="D668" s="876"/>
      <c r="J668" s="876"/>
      <c r="P668" s="876"/>
      <c r="Q668" s="876"/>
      <c r="AG668" s="545"/>
      <c r="AI668" s="876"/>
    </row>
    <row r="669" spans="1:35" ht="24" customHeight="1">
      <c r="A669" s="917"/>
      <c r="B669" s="876"/>
      <c r="C669" s="545"/>
      <c r="D669" s="876"/>
      <c r="J669" s="876"/>
      <c r="Q669" s="876"/>
      <c r="AG669" s="545"/>
      <c r="AI669" s="876"/>
    </row>
    <row r="670" spans="1:35" ht="24" customHeight="1">
      <c r="A670" s="917"/>
      <c r="B670" s="876"/>
      <c r="C670" s="545"/>
      <c r="D670" s="545"/>
      <c r="J670" s="876"/>
      <c r="Q670" s="881"/>
      <c r="AG670" s="545"/>
      <c r="AI670" s="876"/>
    </row>
    <row r="671" spans="1:35" ht="24" customHeight="1">
      <c r="A671" s="917"/>
      <c r="B671" s="876"/>
      <c r="C671" s="545"/>
      <c r="D671" s="876"/>
      <c r="J671" s="876"/>
      <c r="O671" s="545"/>
      <c r="P671" s="876"/>
      <c r="Q671" s="876"/>
      <c r="R671" s="545"/>
      <c r="S671" s="876"/>
      <c r="T671" s="545"/>
      <c r="AG671" s="545"/>
      <c r="AI671" s="876"/>
    </row>
    <row r="672" spans="1:35" ht="24" customHeight="1">
      <c r="A672" s="917"/>
      <c r="B672" s="876"/>
      <c r="C672" s="545"/>
      <c r="D672" s="876"/>
      <c r="J672" s="881"/>
      <c r="K672" s="881"/>
      <c r="P672" s="876"/>
      <c r="Q672" s="876"/>
      <c r="S672" s="876"/>
      <c r="T672" s="545"/>
      <c r="AG672" s="545"/>
      <c r="AI672" s="876"/>
    </row>
    <row r="673" spans="1:35" ht="24" customHeight="1">
      <c r="A673" s="917"/>
      <c r="B673" s="876"/>
      <c r="C673" s="545"/>
      <c r="D673" s="876"/>
      <c r="F673" s="545"/>
      <c r="G673" s="889"/>
      <c r="H673" s="545"/>
      <c r="I673" s="876"/>
      <c r="J673" s="876"/>
      <c r="K673" s="545"/>
      <c r="L673" s="876"/>
      <c r="M673" s="882"/>
      <c r="Q673" s="876"/>
      <c r="T673" s="876"/>
      <c r="AG673" s="545"/>
      <c r="AI673" s="876"/>
    </row>
    <row r="674" spans="1:35" ht="24" customHeight="1">
      <c r="A674" s="917"/>
      <c r="B674" s="876"/>
      <c r="C674" s="545"/>
      <c r="D674" s="876"/>
      <c r="F674" s="545"/>
      <c r="G674" s="889"/>
      <c r="H674" s="545"/>
      <c r="I674" s="876"/>
      <c r="J674" s="876"/>
      <c r="K674" s="545"/>
      <c r="L674" s="876"/>
      <c r="M674" s="882"/>
      <c r="T674" s="881"/>
      <c r="AG674" s="545"/>
      <c r="AI674" s="876"/>
    </row>
    <row r="675" spans="1:35" ht="24" customHeight="1">
      <c r="A675" s="917"/>
      <c r="B675" s="876"/>
      <c r="C675" s="545"/>
      <c r="D675" s="876"/>
      <c r="F675" s="545"/>
      <c r="G675" s="889"/>
      <c r="H675" s="545"/>
      <c r="I675" s="876"/>
      <c r="J675" s="876"/>
      <c r="K675" s="914"/>
      <c r="L675" s="876"/>
      <c r="M675" s="882"/>
      <c r="Q675" s="876"/>
      <c r="T675" s="545"/>
      <c r="AG675" s="545"/>
      <c r="AI675" s="876"/>
    </row>
    <row r="676" spans="1:35" ht="24" customHeight="1">
      <c r="A676" s="917"/>
      <c r="B676" s="876"/>
      <c r="C676" s="545"/>
      <c r="D676" s="876"/>
      <c r="M676" s="882"/>
      <c r="T676" s="881"/>
      <c r="AG676" s="545"/>
      <c r="AI676" s="876"/>
    </row>
    <row r="677" spans="1:35" ht="24" customHeight="1">
      <c r="A677" s="917"/>
      <c r="B677" s="876"/>
      <c r="C677" s="545"/>
      <c r="D677" s="876"/>
      <c r="J677" s="876"/>
      <c r="M677" s="882"/>
      <c r="AG677" s="545"/>
      <c r="AI677" s="876"/>
    </row>
    <row r="678" spans="1:35" ht="24" customHeight="1">
      <c r="A678" s="917"/>
      <c r="B678" s="876"/>
      <c r="C678" s="545"/>
      <c r="D678" s="876"/>
      <c r="J678" s="876"/>
      <c r="M678" s="882"/>
      <c r="P678" s="876"/>
      <c r="Q678" s="876"/>
      <c r="AG678" s="545"/>
      <c r="AI678" s="876"/>
    </row>
    <row r="679" spans="1:35" ht="24" customHeight="1">
      <c r="A679" s="917"/>
      <c r="B679" s="876"/>
      <c r="C679" s="545"/>
      <c r="D679" s="876"/>
      <c r="J679" s="876"/>
      <c r="M679" s="883"/>
      <c r="Q679" s="876"/>
      <c r="AG679" s="545"/>
      <c r="AI679" s="876"/>
    </row>
    <row r="680" spans="1:35" ht="24" customHeight="1">
      <c r="A680" s="917"/>
      <c r="B680" s="876"/>
      <c r="C680" s="545"/>
      <c r="D680" s="876"/>
      <c r="J680" s="876"/>
      <c r="M680" s="883"/>
      <c r="Q680" s="881"/>
      <c r="AG680" s="545"/>
      <c r="AI680" s="876"/>
    </row>
    <row r="681" spans="1:35" ht="24" customHeight="1">
      <c r="A681" s="917"/>
      <c r="B681" s="876"/>
      <c r="C681" s="545"/>
      <c r="D681" s="876"/>
      <c r="J681" s="876"/>
      <c r="M681" s="883"/>
      <c r="O681" s="545"/>
      <c r="P681" s="876"/>
      <c r="Q681" s="876"/>
      <c r="R681" s="545"/>
      <c r="S681" s="876"/>
      <c r="T681" s="545"/>
      <c r="AG681" s="545"/>
      <c r="AI681" s="876"/>
    </row>
    <row r="682" spans="1:35" ht="24" customHeight="1">
      <c r="A682" s="917"/>
      <c r="B682" s="876"/>
      <c r="C682" s="545"/>
      <c r="D682" s="876"/>
      <c r="J682" s="876"/>
      <c r="M682" s="883"/>
      <c r="P682" s="876"/>
      <c r="Q682" s="876"/>
      <c r="S682" s="876"/>
      <c r="T682" s="545"/>
      <c r="AG682" s="545"/>
      <c r="AI682" s="876"/>
    </row>
    <row r="683" spans="1:35" ht="24" customHeight="1">
      <c r="A683" s="917"/>
      <c r="B683" s="876"/>
      <c r="C683" s="545"/>
      <c r="D683" s="876"/>
      <c r="J683" s="876"/>
      <c r="M683" s="883"/>
      <c r="Q683" s="876"/>
      <c r="T683" s="876"/>
      <c r="AG683" s="545"/>
      <c r="AI683" s="876"/>
    </row>
    <row r="684" spans="1:35" ht="24" customHeight="1">
      <c r="A684" s="917"/>
      <c r="B684" s="876"/>
      <c r="C684" s="545"/>
      <c r="D684" s="876"/>
      <c r="F684" s="880"/>
      <c r="G684" s="918"/>
      <c r="H684" s="880"/>
      <c r="J684" s="876"/>
      <c r="T684" s="881"/>
      <c r="AG684" s="545"/>
      <c r="AI684" s="876"/>
    </row>
    <row r="685" spans="1:35" ht="24" customHeight="1">
      <c r="A685" s="917"/>
      <c r="B685" s="876"/>
      <c r="C685" s="545"/>
      <c r="D685" s="876"/>
      <c r="J685" s="876"/>
      <c r="Q685" s="876"/>
      <c r="T685" s="545"/>
      <c r="AG685" s="545"/>
      <c r="AI685" s="876"/>
    </row>
    <row r="686" spans="1:35" ht="24" customHeight="1">
      <c r="A686" s="917"/>
      <c r="B686" s="876"/>
      <c r="C686" s="545"/>
      <c r="D686" s="876"/>
      <c r="J686" s="876"/>
      <c r="T686" s="881"/>
      <c r="AG686" s="545"/>
      <c r="AI686" s="876"/>
    </row>
    <row r="687" spans="1:35" ht="24" customHeight="1">
      <c r="A687" s="917"/>
      <c r="B687" s="876"/>
      <c r="C687" s="545"/>
      <c r="D687" s="876"/>
      <c r="J687" s="876"/>
      <c r="AG687" s="545"/>
      <c r="AI687" s="876"/>
    </row>
    <row r="688" spans="1:35" ht="24" customHeight="1">
      <c r="A688" s="917"/>
      <c r="B688" s="876"/>
      <c r="C688" s="545"/>
      <c r="D688" s="876"/>
      <c r="J688" s="876"/>
      <c r="P688" s="876"/>
      <c r="Q688" s="876"/>
      <c r="AG688" s="545"/>
      <c r="AI688" s="876"/>
    </row>
    <row r="689" spans="1:35" ht="24" customHeight="1">
      <c r="A689" s="917"/>
      <c r="B689" s="876"/>
      <c r="C689" s="545"/>
      <c r="D689" s="876"/>
      <c r="J689" s="876"/>
      <c r="Q689" s="876"/>
      <c r="AG689" s="545"/>
      <c r="AI689" s="876"/>
    </row>
    <row r="690" spans="1:35" ht="24" customHeight="1">
      <c r="A690" s="917"/>
      <c r="B690" s="876"/>
      <c r="C690" s="545"/>
      <c r="D690" s="876"/>
      <c r="J690" s="876"/>
      <c r="Q690" s="881"/>
      <c r="AG690" s="545"/>
      <c r="AI690" s="876"/>
    </row>
    <row r="691" spans="1:35" ht="24" customHeight="1">
      <c r="A691" s="917"/>
      <c r="B691" s="876"/>
      <c r="C691" s="545"/>
      <c r="D691" s="876"/>
      <c r="J691" s="881"/>
      <c r="K691" s="881"/>
      <c r="O691" s="545"/>
      <c r="P691" s="876"/>
      <c r="Q691" s="876"/>
      <c r="R691" s="545"/>
      <c r="S691" s="876"/>
      <c r="T691" s="545"/>
      <c r="AG691" s="545"/>
      <c r="AI691" s="876"/>
    </row>
    <row r="692" spans="1:35" ht="24" customHeight="1">
      <c r="A692" s="917"/>
      <c r="B692" s="876"/>
      <c r="C692" s="545"/>
      <c r="D692" s="876"/>
      <c r="F692" s="545"/>
      <c r="G692" s="889"/>
      <c r="H692" s="545"/>
      <c r="I692" s="876"/>
      <c r="J692" s="876"/>
      <c r="K692" s="545"/>
      <c r="L692" s="876"/>
      <c r="M692" s="882"/>
      <c r="P692" s="876"/>
      <c r="Q692" s="876"/>
      <c r="S692" s="876"/>
      <c r="T692" s="545"/>
      <c r="AG692" s="545"/>
      <c r="AI692" s="876"/>
    </row>
    <row r="693" spans="1:35" ht="24" customHeight="1">
      <c r="A693" s="917"/>
      <c r="B693" s="876"/>
      <c r="C693" s="545"/>
      <c r="D693" s="876"/>
      <c r="F693" s="545"/>
      <c r="G693" s="889"/>
      <c r="H693" s="545"/>
      <c r="I693" s="876"/>
      <c r="J693" s="876"/>
      <c r="K693" s="545"/>
      <c r="L693" s="876"/>
      <c r="M693" s="882"/>
      <c r="Q693" s="876"/>
      <c r="T693" s="876"/>
      <c r="AG693" s="545"/>
      <c r="AI693" s="876"/>
    </row>
    <row r="694" spans="1:35" ht="24" customHeight="1">
      <c r="A694" s="917"/>
      <c r="B694" s="876"/>
      <c r="C694" s="545"/>
      <c r="D694" s="876"/>
      <c r="F694" s="545"/>
      <c r="G694" s="889"/>
      <c r="H694" s="545"/>
      <c r="I694" s="876"/>
      <c r="J694" s="876"/>
      <c r="K694" s="914"/>
      <c r="L694" s="876"/>
      <c r="M694" s="882"/>
      <c r="T694" s="881"/>
      <c r="AG694" s="545"/>
      <c r="AI694" s="876"/>
    </row>
    <row r="695" spans="1:35" ht="24" customHeight="1">
      <c r="A695" s="917"/>
      <c r="B695" s="876"/>
      <c r="C695" s="545"/>
      <c r="D695" s="876"/>
      <c r="J695" s="876"/>
      <c r="L695" s="876"/>
      <c r="M695" s="882"/>
      <c r="Q695" s="876"/>
      <c r="T695" s="545"/>
      <c r="AG695" s="545"/>
      <c r="AI695" s="876"/>
    </row>
    <row r="696" spans="1:35" ht="24" customHeight="1">
      <c r="A696" s="917"/>
      <c r="B696" s="876"/>
      <c r="C696" s="545"/>
      <c r="D696" s="876"/>
      <c r="M696" s="882"/>
      <c r="T696" s="881"/>
      <c r="AG696" s="545"/>
      <c r="AI696" s="876"/>
    </row>
    <row r="697" spans="1:35" ht="24" customHeight="1">
      <c r="J697" s="876"/>
      <c r="M697" s="882"/>
      <c r="AG697" s="545"/>
      <c r="AI697" s="876"/>
    </row>
    <row r="698" spans="1:35" ht="24" customHeight="1">
      <c r="A698" s="917"/>
      <c r="B698" s="876"/>
      <c r="C698" s="545"/>
      <c r="D698" s="876"/>
      <c r="J698" s="876"/>
      <c r="M698" s="882"/>
      <c r="AG698" s="545"/>
      <c r="AI698" s="876"/>
    </row>
    <row r="699" spans="1:35" ht="24" customHeight="1">
      <c r="A699" s="917"/>
      <c r="B699" s="876"/>
      <c r="C699" s="545"/>
      <c r="D699" s="876"/>
      <c r="J699" s="876"/>
      <c r="L699" s="876"/>
      <c r="M699" s="883"/>
      <c r="P699" s="876"/>
      <c r="Q699" s="876"/>
      <c r="AG699" s="545"/>
      <c r="AI699" s="876"/>
    </row>
    <row r="700" spans="1:35" ht="24" customHeight="1">
      <c r="A700" s="917"/>
      <c r="B700" s="876"/>
      <c r="C700" s="545"/>
      <c r="D700" s="876"/>
      <c r="J700" s="876"/>
      <c r="M700" s="883"/>
      <c r="Q700" s="876"/>
      <c r="AG700" s="545"/>
      <c r="AI700" s="876"/>
    </row>
    <row r="701" spans="1:35" ht="24" customHeight="1">
      <c r="A701" s="917"/>
      <c r="B701" s="876"/>
      <c r="C701" s="545"/>
      <c r="D701" s="876"/>
      <c r="J701" s="876"/>
      <c r="M701" s="883"/>
      <c r="Q701" s="881"/>
      <c r="AG701" s="545"/>
      <c r="AI701" s="876"/>
    </row>
    <row r="702" spans="1:35" ht="24" customHeight="1">
      <c r="A702" s="917"/>
      <c r="B702" s="876"/>
      <c r="C702" s="545"/>
      <c r="D702" s="876"/>
      <c r="J702" s="876"/>
      <c r="M702" s="883"/>
      <c r="O702" s="545"/>
      <c r="P702" s="876"/>
      <c r="Q702" s="876"/>
      <c r="R702" s="545"/>
      <c r="S702" s="876"/>
      <c r="T702" s="545"/>
      <c r="AG702" s="545"/>
      <c r="AI702" s="876"/>
    </row>
    <row r="703" spans="1:35" ht="24" customHeight="1">
      <c r="A703" s="917"/>
      <c r="B703" s="876"/>
      <c r="C703" s="545"/>
      <c r="D703" s="876"/>
      <c r="J703" s="876"/>
      <c r="M703" s="883"/>
      <c r="P703" s="876"/>
      <c r="Q703" s="876"/>
      <c r="S703" s="876"/>
      <c r="T703" s="545"/>
      <c r="AG703" s="545"/>
      <c r="AI703" s="876"/>
    </row>
    <row r="704" spans="1:35" ht="24" customHeight="1">
      <c r="A704" s="917"/>
      <c r="B704" s="876"/>
      <c r="F704" s="876"/>
      <c r="G704" s="916"/>
      <c r="H704" s="876"/>
      <c r="Q704" s="876"/>
      <c r="T704" s="876"/>
      <c r="AG704" s="545"/>
      <c r="AI704" s="876"/>
    </row>
    <row r="705" spans="1:35" ht="24" customHeight="1">
      <c r="A705" s="917"/>
      <c r="B705" s="876"/>
      <c r="C705" s="545"/>
      <c r="D705" s="876"/>
      <c r="T705" s="881"/>
      <c r="AG705" s="545"/>
      <c r="AI705" s="876"/>
    </row>
    <row r="706" spans="1:35" ht="24" customHeight="1">
      <c r="A706" s="917"/>
      <c r="B706" s="876"/>
      <c r="C706" s="545"/>
      <c r="D706" s="876"/>
      <c r="F706" s="880"/>
      <c r="G706" s="918"/>
      <c r="H706" s="880"/>
      <c r="J706" s="876"/>
      <c r="Q706" s="876"/>
      <c r="T706" s="545"/>
      <c r="AG706" s="545"/>
      <c r="AI706" s="876"/>
    </row>
    <row r="707" spans="1:35" ht="24" customHeight="1">
      <c r="A707" s="917"/>
      <c r="B707" s="876"/>
      <c r="C707" s="545"/>
      <c r="D707" s="876"/>
      <c r="J707" s="876"/>
      <c r="T707" s="881"/>
      <c r="AG707" s="545"/>
      <c r="AI707" s="876"/>
    </row>
    <row r="708" spans="1:35" ht="24" customHeight="1">
      <c r="A708" s="917"/>
      <c r="B708" s="876"/>
      <c r="C708" s="545"/>
      <c r="D708" s="876"/>
      <c r="J708" s="876"/>
      <c r="Q708" s="880"/>
      <c r="T708" s="876"/>
      <c r="AG708" s="545"/>
      <c r="AI708" s="876"/>
    </row>
    <row r="709" spans="1:35" ht="24" customHeight="1">
      <c r="A709" s="917"/>
      <c r="B709" s="876"/>
      <c r="C709" s="545"/>
      <c r="D709" s="876"/>
      <c r="J709" s="881"/>
      <c r="O709" s="922"/>
      <c r="Q709" s="880"/>
      <c r="AG709" s="545"/>
      <c r="AI709" s="876"/>
    </row>
    <row r="710" spans="1:35" ht="24" customHeight="1">
      <c r="A710" s="917"/>
      <c r="B710" s="876"/>
      <c r="D710" s="876"/>
      <c r="F710" s="545"/>
      <c r="G710" s="889"/>
      <c r="H710" s="545"/>
      <c r="I710" s="876"/>
      <c r="J710" s="876"/>
      <c r="K710" s="545"/>
      <c r="L710" s="876"/>
      <c r="M710" s="882"/>
      <c r="O710" s="880"/>
      <c r="P710" s="876"/>
      <c r="Q710" s="876"/>
      <c r="AG710" s="545"/>
      <c r="AI710" s="876"/>
    </row>
    <row r="711" spans="1:35" ht="24" customHeight="1">
      <c r="A711" s="917"/>
      <c r="B711" s="876"/>
      <c r="C711" s="545"/>
      <c r="D711" s="876"/>
      <c r="F711" s="545"/>
      <c r="G711" s="889"/>
      <c r="H711" s="545"/>
      <c r="I711" s="876"/>
      <c r="J711" s="876"/>
      <c r="K711" s="545"/>
      <c r="L711" s="876"/>
      <c r="M711" s="882"/>
      <c r="Q711" s="881"/>
      <c r="AG711" s="545"/>
    </row>
    <row r="712" spans="1:35" ht="24" customHeight="1">
      <c r="A712" s="917"/>
      <c r="B712" s="876"/>
      <c r="C712" s="545"/>
      <c r="D712" s="876"/>
      <c r="J712" s="876"/>
      <c r="K712" s="876"/>
      <c r="M712" s="882"/>
      <c r="O712" s="922"/>
      <c r="P712" s="876"/>
      <c r="Q712" s="913"/>
      <c r="R712" s="545"/>
      <c r="S712" s="876"/>
      <c r="T712" s="545"/>
      <c r="AG712" s="545"/>
    </row>
    <row r="713" spans="1:35" ht="24" customHeight="1">
      <c r="A713" s="917"/>
      <c r="B713" s="876"/>
      <c r="D713" s="876"/>
      <c r="F713" s="545"/>
      <c r="G713" s="889"/>
      <c r="H713" s="545"/>
      <c r="I713" s="876"/>
      <c r="J713" s="876"/>
      <c r="K713" s="545"/>
      <c r="L713" s="876"/>
      <c r="M713" s="882"/>
      <c r="O713" s="922"/>
      <c r="P713" s="876"/>
      <c r="Q713" s="876"/>
      <c r="R713" s="545"/>
      <c r="S713" s="876"/>
      <c r="T713" s="545"/>
      <c r="AG713" s="545"/>
    </row>
    <row r="714" spans="1:35" ht="24" customHeight="1">
      <c r="A714" s="917"/>
      <c r="B714" s="876"/>
      <c r="C714" s="545"/>
      <c r="D714" s="876"/>
      <c r="J714" s="876"/>
      <c r="K714" s="876"/>
      <c r="M714" s="882"/>
      <c r="O714" s="922"/>
      <c r="P714" s="876"/>
      <c r="Q714" s="876"/>
      <c r="R714" s="545"/>
      <c r="S714" s="876"/>
      <c r="T714" s="545"/>
      <c r="AG714" s="545"/>
      <c r="AI714" s="876"/>
    </row>
    <row r="715" spans="1:35" ht="24" customHeight="1">
      <c r="A715" s="917"/>
      <c r="B715" s="876"/>
      <c r="C715" s="545"/>
      <c r="D715" s="876"/>
      <c r="M715" s="882"/>
      <c r="O715" s="545"/>
      <c r="P715" s="876"/>
      <c r="Q715" s="876"/>
      <c r="R715" s="545"/>
      <c r="S715" s="876"/>
      <c r="T715" s="545"/>
      <c r="AG715" s="545"/>
      <c r="AI715" s="876"/>
    </row>
    <row r="716" spans="1:35" ht="24" customHeight="1">
      <c r="A716" s="917"/>
      <c r="B716" s="876"/>
      <c r="C716" s="545"/>
      <c r="D716" s="876"/>
      <c r="J716" s="876"/>
      <c r="M716" s="882"/>
      <c r="O716" s="545"/>
      <c r="P716" s="876"/>
      <c r="Q716" s="876"/>
      <c r="R716" s="545"/>
      <c r="S716" s="876"/>
      <c r="T716" s="545"/>
      <c r="AG716" s="545"/>
      <c r="AI716" s="876"/>
    </row>
    <row r="717" spans="1:35" ht="24" customHeight="1">
      <c r="A717" s="917"/>
      <c r="B717" s="876"/>
      <c r="C717" s="545"/>
      <c r="D717" s="876"/>
      <c r="J717" s="876"/>
      <c r="M717" s="882"/>
      <c r="O717" s="545"/>
      <c r="P717" s="876"/>
      <c r="Q717" s="876"/>
      <c r="R717" s="545"/>
      <c r="S717" s="876"/>
      <c r="T717" s="545"/>
      <c r="AG717" s="545"/>
      <c r="AI717" s="876"/>
    </row>
    <row r="718" spans="1:35" ht="24" customHeight="1">
      <c r="A718" s="917"/>
      <c r="B718" s="876"/>
      <c r="C718" s="882"/>
      <c r="D718" s="876"/>
      <c r="F718" s="545"/>
      <c r="G718" s="889"/>
      <c r="H718" s="545"/>
      <c r="I718" s="876"/>
      <c r="J718" s="876"/>
      <c r="K718" s="545"/>
      <c r="L718" s="876"/>
      <c r="M718" s="882"/>
      <c r="O718" s="545"/>
      <c r="P718" s="876"/>
      <c r="Q718" s="876"/>
      <c r="R718" s="545"/>
      <c r="S718" s="876"/>
      <c r="T718" s="545"/>
      <c r="AG718" s="545"/>
      <c r="AI718" s="876"/>
    </row>
    <row r="719" spans="1:35" ht="24" customHeight="1">
      <c r="A719" s="917"/>
      <c r="B719" s="876"/>
      <c r="C719" s="545"/>
      <c r="D719" s="876"/>
      <c r="F719" s="545"/>
      <c r="G719" s="889"/>
      <c r="H719" s="545"/>
      <c r="I719" s="876"/>
      <c r="J719" s="876"/>
      <c r="K719" s="545"/>
      <c r="L719" s="876"/>
      <c r="M719" s="882"/>
      <c r="P719" s="876"/>
      <c r="Q719" s="876"/>
      <c r="S719" s="876"/>
      <c r="T719" s="545"/>
      <c r="AG719" s="545"/>
      <c r="AI719" s="876"/>
    </row>
    <row r="720" spans="1:35" ht="24" customHeight="1">
      <c r="A720" s="917"/>
      <c r="B720" s="876"/>
      <c r="C720" s="545"/>
      <c r="D720" s="876"/>
      <c r="F720" s="545"/>
      <c r="G720" s="889"/>
      <c r="H720" s="545"/>
      <c r="I720" s="876"/>
      <c r="J720" s="876"/>
      <c r="K720" s="545"/>
      <c r="L720" s="876"/>
      <c r="M720" s="882"/>
      <c r="T720" s="881"/>
      <c r="AG720" s="545"/>
      <c r="AI720" s="876"/>
    </row>
    <row r="721" spans="1:35" ht="24" customHeight="1">
      <c r="A721" s="917"/>
      <c r="B721" s="876"/>
      <c r="C721" s="545"/>
      <c r="D721" s="876"/>
      <c r="I721" s="876"/>
      <c r="J721" s="876"/>
      <c r="L721" s="876"/>
      <c r="M721" s="882"/>
      <c r="Q721" s="880"/>
      <c r="T721" s="545"/>
      <c r="AG721" s="545"/>
      <c r="AI721" s="876"/>
    </row>
    <row r="722" spans="1:35" ht="24" customHeight="1">
      <c r="A722" s="917"/>
      <c r="B722" s="876"/>
      <c r="C722" s="545"/>
      <c r="D722" s="876"/>
      <c r="M722" s="882"/>
      <c r="T722" s="881"/>
      <c r="AG722" s="545"/>
      <c r="AI722" s="876"/>
    </row>
    <row r="723" spans="1:35" ht="24" customHeight="1">
      <c r="A723" s="917"/>
      <c r="B723" s="876"/>
      <c r="C723" s="545"/>
      <c r="D723" s="876"/>
      <c r="J723" s="876"/>
      <c r="M723" s="882"/>
      <c r="P723" s="876"/>
      <c r="Q723" s="880"/>
      <c r="T723" s="545"/>
      <c r="AG723" s="545"/>
      <c r="AI723" s="876"/>
    </row>
    <row r="724" spans="1:35" ht="24" customHeight="1">
      <c r="A724" s="917"/>
      <c r="B724" s="876"/>
      <c r="C724" s="545"/>
      <c r="D724" s="876"/>
      <c r="M724" s="882"/>
      <c r="T724" s="881"/>
      <c r="AG724" s="545"/>
      <c r="AI724" s="876"/>
    </row>
    <row r="725" spans="1:35" ht="24" customHeight="1">
      <c r="A725" s="917"/>
      <c r="B725" s="876"/>
      <c r="C725" s="545"/>
      <c r="D725" s="876"/>
      <c r="J725" s="876"/>
      <c r="M725" s="882"/>
      <c r="O725" s="880"/>
      <c r="P725" s="876"/>
      <c r="Q725" s="876"/>
      <c r="AG725" s="545"/>
      <c r="AI725" s="876"/>
    </row>
    <row r="726" spans="1:35" ht="24" customHeight="1">
      <c r="A726" s="917"/>
      <c r="B726" s="876"/>
      <c r="C726" s="545"/>
      <c r="D726" s="876"/>
      <c r="M726" s="882"/>
      <c r="Q726" s="881"/>
      <c r="AG726" s="545"/>
      <c r="AI726" s="876"/>
    </row>
    <row r="727" spans="1:35" ht="24" customHeight="1">
      <c r="A727" s="917"/>
      <c r="B727" s="876"/>
      <c r="C727" s="545"/>
      <c r="D727" s="876"/>
      <c r="O727" s="922"/>
      <c r="P727" s="876"/>
      <c r="Q727" s="876"/>
      <c r="R727" s="545"/>
      <c r="S727" s="876"/>
      <c r="T727" s="545"/>
      <c r="AG727" s="545"/>
      <c r="AI727" s="876"/>
    </row>
    <row r="728" spans="1:35" ht="24" customHeight="1">
      <c r="A728" s="917"/>
      <c r="B728" s="876"/>
      <c r="C728" s="545"/>
      <c r="D728" s="876"/>
      <c r="F728" s="880"/>
      <c r="G728" s="918"/>
      <c r="H728" s="880"/>
      <c r="I728" s="876"/>
      <c r="J728" s="876"/>
      <c r="O728" s="922"/>
      <c r="P728" s="876"/>
      <c r="Q728" s="876"/>
      <c r="R728" s="545"/>
      <c r="S728" s="876"/>
      <c r="T728" s="545"/>
      <c r="AG728" s="545"/>
      <c r="AI728" s="876"/>
    </row>
    <row r="729" spans="1:35" ht="24" customHeight="1">
      <c r="A729" s="917"/>
      <c r="B729" s="876"/>
      <c r="C729" s="545"/>
      <c r="D729" s="876"/>
      <c r="J729" s="876"/>
      <c r="O729" s="922"/>
      <c r="P729" s="876"/>
      <c r="Q729" s="876"/>
      <c r="R729" s="545"/>
      <c r="S729" s="876"/>
      <c r="T729" s="545"/>
      <c r="AG729" s="545"/>
      <c r="AI729" s="876"/>
    </row>
    <row r="730" spans="1:35" ht="24" customHeight="1">
      <c r="A730" s="917"/>
      <c r="B730" s="876"/>
      <c r="C730" s="545"/>
      <c r="D730" s="876"/>
      <c r="J730" s="876"/>
      <c r="O730" s="545"/>
      <c r="P730" s="876"/>
      <c r="Q730" s="876"/>
      <c r="R730" s="545"/>
      <c r="S730" s="876"/>
      <c r="T730" s="545"/>
      <c r="AG730" s="545"/>
      <c r="AI730" s="876"/>
    </row>
    <row r="731" spans="1:35" ht="24" customHeight="1">
      <c r="A731" s="917"/>
      <c r="B731" s="876"/>
      <c r="C731" s="545"/>
      <c r="D731" s="876"/>
      <c r="J731" s="876"/>
      <c r="O731" s="545"/>
      <c r="P731" s="876"/>
      <c r="Q731" s="876"/>
      <c r="R731" s="545"/>
      <c r="S731" s="876"/>
      <c r="T731" s="545"/>
      <c r="AG731" s="545"/>
      <c r="AI731" s="876"/>
    </row>
    <row r="732" spans="1:35" ht="24" customHeight="1">
      <c r="A732" s="917"/>
      <c r="B732" s="876"/>
      <c r="C732" s="545"/>
      <c r="D732" s="876"/>
      <c r="J732" s="876"/>
      <c r="O732" s="545"/>
      <c r="P732" s="876"/>
      <c r="Q732" s="876"/>
      <c r="R732" s="545"/>
      <c r="S732" s="876"/>
      <c r="T732" s="545"/>
      <c r="AG732" s="545"/>
      <c r="AI732" s="876"/>
    </row>
    <row r="733" spans="1:35" ht="24" customHeight="1">
      <c r="A733" s="917"/>
      <c r="B733" s="876"/>
      <c r="C733" s="545"/>
      <c r="D733" s="876"/>
      <c r="J733" s="876"/>
      <c r="O733" s="545"/>
      <c r="P733" s="876"/>
      <c r="Q733" s="876"/>
      <c r="R733" s="545"/>
      <c r="S733" s="876"/>
      <c r="T733" s="545"/>
      <c r="AG733" s="545"/>
      <c r="AI733" s="876"/>
    </row>
    <row r="734" spans="1:35" ht="24" customHeight="1">
      <c r="A734" s="917"/>
      <c r="B734" s="876"/>
      <c r="D734" s="876"/>
      <c r="J734" s="876"/>
      <c r="P734" s="876"/>
      <c r="Q734" s="876"/>
      <c r="S734" s="876"/>
      <c r="T734" s="545"/>
      <c r="AG734" s="545"/>
      <c r="AI734" s="876"/>
    </row>
    <row r="735" spans="1:35" ht="24" customHeight="1">
      <c r="A735" s="917"/>
      <c r="B735" s="876"/>
      <c r="C735" s="545"/>
      <c r="D735" s="876"/>
      <c r="J735" s="881"/>
      <c r="K735" s="881"/>
      <c r="L735" s="876"/>
      <c r="T735" s="881"/>
      <c r="AG735" s="545"/>
      <c r="AI735" s="876"/>
    </row>
    <row r="736" spans="1:35" ht="24" customHeight="1">
      <c r="A736" s="917"/>
      <c r="B736" s="876"/>
      <c r="C736" s="545"/>
      <c r="D736" s="876"/>
      <c r="F736" s="545"/>
      <c r="G736" s="889"/>
      <c r="H736" s="545"/>
      <c r="I736" s="876"/>
      <c r="J736" s="876"/>
      <c r="K736" s="545"/>
      <c r="L736" s="876"/>
      <c r="M736" s="882"/>
      <c r="Q736" s="880"/>
      <c r="T736" s="545"/>
      <c r="AG736" s="545"/>
      <c r="AI736" s="876"/>
    </row>
    <row r="737" spans="1:35" ht="24" customHeight="1">
      <c r="A737" s="917"/>
      <c r="B737" s="876"/>
      <c r="C737" s="545"/>
      <c r="D737" s="876"/>
      <c r="J737" s="876"/>
      <c r="T737" s="881"/>
      <c r="AG737" s="545"/>
      <c r="AI737" s="876"/>
    </row>
    <row r="738" spans="1:35" ht="24" customHeight="1">
      <c r="A738" s="917"/>
      <c r="B738" s="876"/>
      <c r="C738" s="545"/>
      <c r="D738" s="876"/>
      <c r="F738" s="545"/>
      <c r="G738" s="889"/>
      <c r="H738" s="545"/>
      <c r="I738" s="876"/>
      <c r="J738" s="876"/>
      <c r="K738" s="545"/>
      <c r="L738" s="876"/>
      <c r="M738" s="882"/>
      <c r="Q738" s="880"/>
      <c r="T738" s="545"/>
      <c r="AG738" s="545"/>
      <c r="AI738" s="876"/>
    </row>
    <row r="739" spans="1:35" ht="24" customHeight="1">
      <c r="A739" s="917"/>
      <c r="B739" s="876"/>
      <c r="C739" s="545"/>
      <c r="D739" s="876"/>
      <c r="J739" s="876"/>
      <c r="T739" s="881"/>
      <c r="AG739" s="545"/>
      <c r="AI739" s="876"/>
    </row>
    <row r="740" spans="1:35" ht="24" customHeight="1">
      <c r="A740" s="917"/>
      <c r="B740" s="876"/>
      <c r="C740" s="545"/>
      <c r="D740" s="876"/>
      <c r="F740" s="545"/>
      <c r="G740" s="889"/>
      <c r="H740" s="545"/>
      <c r="I740" s="876"/>
      <c r="J740" s="876"/>
      <c r="L740" s="876"/>
      <c r="M740" s="882"/>
      <c r="AG740" s="545"/>
      <c r="AI740" s="876"/>
    </row>
    <row r="741" spans="1:35" ht="24" customHeight="1">
      <c r="A741" s="917"/>
      <c r="B741" s="876"/>
      <c r="C741" s="545"/>
      <c r="D741" s="876"/>
      <c r="J741" s="876"/>
      <c r="M741" s="882"/>
      <c r="O741" s="880"/>
      <c r="P741" s="876"/>
      <c r="Q741" s="876"/>
      <c r="AG741" s="545"/>
      <c r="AI741" s="876"/>
    </row>
    <row r="742" spans="1:35" ht="24" customHeight="1">
      <c r="A742" s="917"/>
      <c r="B742" s="876"/>
      <c r="C742" s="545"/>
      <c r="D742" s="876"/>
      <c r="J742" s="880"/>
      <c r="M742" s="882"/>
      <c r="Q742" s="881"/>
      <c r="AG742" s="545"/>
      <c r="AI742" s="876"/>
    </row>
    <row r="743" spans="1:35" ht="24" customHeight="1">
      <c r="A743" s="917"/>
      <c r="B743" s="876"/>
      <c r="C743" s="545"/>
      <c r="D743" s="876"/>
      <c r="M743" s="882"/>
      <c r="O743" s="922"/>
      <c r="P743" s="876"/>
      <c r="Q743" s="876"/>
      <c r="R743" s="545"/>
      <c r="S743" s="876"/>
      <c r="T743" s="545"/>
      <c r="AG743" s="545"/>
      <c r="AI743" s="876"/>
    </row>
    <row r="744" spans="1:35" ht="24" customHeight="1">
      <c r="A744" s="917"/>
      <c r="B744" s="876"/>
      <c r="C744" s="545"/>
      <c r="D744" s="545"/>
      <c r="J744" s="880"/>
      <c r="M744" s="882"/>
      <c r="O744" s="922"/>
      <c r="P744" s="876"/>
      <c r="Q744" s="876"/>
      <c r="R744" s="545"/>
      <c r="S744" s="876"/>
      <c r="T744" s="545"/>
      <c r="AG744" s="545"/>
      <c r="AI744" s="876"/>
    </row>
    <row r="745" spans="1:35" ht="24" customHeight="1">
      <c r="A745" s="917"/>
      <c r="B745" s="876"/>
      <c r="C745" s="545"/>
      <c r="D745" s="876"/>
      <c r="M745" s="882"/>
      <c r="O745" s="922"/>
      <c r="P745" s="876"/>
      <c r="Q745" s="876"/>
      <c r="R745" s="545"/>
      <c r="S745" s="876"/>
      <c r="T745" s="545"/>
      <c r="AG745" s="545"/>
      <c r="AI745" s="876"/>
    </row>
    <row r="746" spans="1:35" ht="24" customHeight="1">
      <c r="A746" s="917"/>
      <c r="B746" s="876"/>
      <c r="C746" s="545"/>
      <c r="D746" s="876"/>
      <c r="J746" s="876"/>
      <c r="O746" s="545"/>
      <c r="P746" s="876"/>
      <c r="Q746" s="876"/>
      <c r="R746" s="545"/>
      <c r="S746" s="876"/>
      <c r="T746" s="545"/>
      <c r="AG746" s="545"/>
      <c r="AI746" s="876"/>
    </row>
    <row r="747" spans="1:35" ht="24" customHeight="1">
      <c r="A747" s="917"/>
      <c r="B747" s="876"/>
      <c r="C747" s="545"/>
      <c r="D747" s="876"/>
      <c r="J747" s="876"/>
      <c r="O747" s="545"/>
      <c r="P747" s="876"/>
      <c r="Q747" s="876"/>
      <c r="R747" s="545"/>
      <c r="S747" s="876"/>
      <c r="T747" s="545"/>
      <c r="AG747" s="545"/>
      <c r="AI747" s="876"/>
    </row>
    <row r="748" spans="1:35" ht="24" customHeight="1">
      <c r="A748" s="917"/>
      <c r="B748" s="876"/>
      <c r="D748" s="876"/>
      <c r="J748" s="876"/>
      <c r="O748" s="545"/>
      <c r="P748" s="876"/>
      <c r="Q748" s="876"/>
      <c r="R748" s="545"/>
      <c r="S748" s="876"/>
      <c r="T748" s="545"/>
      <c r="AG748" s="545"/>
      <c r="AI748" s="876"/>
    </row>
    <row r="749" spans="1:35" ht="24" customHeight="1">
      <c r="A749" s="917"/>
      <c r="B749" s="876"/>
      <c r="O749" s="545"/>
      <c r="P749" s="876"/>
      <c r="Q749" s="876"/>
      <c r="R749" s="545"/>
      <c r="S749" s="876"/>
      <c r="T749" s="545"/>
      <c r="AG749" s="545"/>
      <c r="AI749" s="876"/>
    </row>
    <row r="750" spans="1:35" ht="24" customHeight="1">
      <c r="A750" s="917"/>
      <c r="B750" s="876"/>
      <c r="C750" s="545"/>
      <c r="D750" s="876"/>
      <c r="F750" s="545"/>
      <c r="G750" s="889"/>
      <c r="H750" s="545"/>
      <c r="I750" s="876"/>
      <c r="J750" s="876"/>
      <c r="K750" s="904"/>
      <c r="L750" s="876"/>
      <c r="M750" s="882"/>
      <c r="P750" s="876"/>
      <c r="Q750" s="876"/>
      <c r="S750" s="876"/>
      <c r="T750" s="545"/>
      <c r="AG750" s="545"/>
      <c r="AI750" s="876"/>
    </row>
    <row r="751" spans="1:35" ht="24" customHeight="1">
      <c r="A751" s="917"/>
      <c r="B751" s="880"/>
      <c r="C751" s="545"/>
      <c r="D751" s="876"/>
      <c r="J751" s="876"/>
      <c r="T751" s="881"/>
      <c r="AG751" s="545"/>
      <c r="AI751" s="876"/>
    </row>
    <row r="752" spans="1:35" ht="24" customHeight="1">
      <c r="A752" s="917"/>
      <c r="B752" s="876"/>
      <c r="C752" s="545"/>
      <c r="D752" s="876"/>
      <c r="F752" s="545"/>
      <c r="G752" s="889"/>
      <c r="H752" s="545"/>
      <c r="I752" s="876"/>
      <c r="J752" s="876"/>
      <c r="K752" s="545"/>
      <c r="L752" s="876"/>
      <c r="M752" s="882"/>
      <c r="Q752" s="880"/>
      <c r="T752" s="545"/>
      <c r="AG752" s="545"/>
      <c r="AI752" s="876"/>
    </row>
    <row r="753" spans="1:35" ht="24" customHeight="1">
      <c r="A753" s="917"/>
      <c r="B753" s="876"/>
      <c r="C753" s="545"/>
      <c r="D753" s="876"/>
      <c r="F753" s="545"/>
      <c r="G753" s="889"/>
      <c r="H753" s="545"/>
      <c r="I753" s="876"/>
      <c r="J753" s="876"/>
      <c r="K753" s="545"/>
      <c r="L753" s="876"/>
      <c r="M753" s="882"/>
      <c r="T753" s="881"/>
      <c r="AG753" s="545"/>
      <c r="AI753" s="876"/>
    </row>
    <row r="754" spans="1:35" ht="24" customHeight="1">
      <c r="A754" s="917"/>
      <c r="B754" s="876"/>
      <c r="C754" s="545"/>
      <c r="D754" s="876"/>
      <c r="F754" s="545"/>
      <c r="G754" s="889"/>
      <c r="H754" s="545"/>
      <c r="I754" s="876"/>
      <c r="J754" s="876"/>
      <c r="K754" s="914"/>
      <c r="L754" s="876"/>
      <c r="M754" s="882"/>
      <c r="Q754" s="880"/>
      <c r="T754" s="545"/>
      <c r="AG754" s="545"/>
      <c r="AI754" s="876"/>
    </row>
    <row r="755" spans="1:35" ht="24" customHeight="1">
      <c r="A755" s="917"/>
      <c r="B755" s="876"/>
      <c r="C755" s="545"/>
      <c r="D755" s="876"/>
      <c r="F755" s="545"/>
      <c r="G755" s="889"/>
      <c r="H755" s="545"/>
      <c r="I755" s="876"/>
      <c r="J755" s="876"/>
      <c r="K755" s="545"/>
      <c r="L755" s="876"/>
      <c r="M755" s="882"/>
      <c r="T755" s="881"/>
      <c r="AG755" s="545"/>
      <c r="AI755" s="876"/>
    </row>
    <row r="756" spans="1:35" ht="24" customHeight="1">
      <c r="A756" s="917"/>
      <c r="B756" s="876"/>
      <c r="C756" s="545"/>
      <c r="D756" s="876"/>
      <c r="F756" s="545"/>
      <c r="G756" s="889"/>
      <c r="H756" s="545"/>
      <c r="I756" s="876"/>
      <c r="J756" s="876"/>
      <c r="K756" s="545"/>
      <c r="L756" s="876"/>
      <c r="M756" s="882"/>
      <c r="P756" s="876"/>
      <c r="AG756" s="545"/>
      <c r="AI756" s="876"/>
    </row>
    <row r="757" spans="1:35" ht="24" customHeight="1">
      <c r="B757" s="876"/>
      <c r="C757" s="545"/>
      <c r="D757" s="876"/>
      <c r="F757" s="545"/>
      <c r="G757" s="889"/>
      <c r="H757" s="545"/>
      <c r="I757" s="876"/>
      <c r="J757" s="876"/>
      <c r="K757" s="545"/>
      <c r="L757" s="876"/>
      <c r="M757" s="882"/>
      <c r="Q757" s="876"/>
      <c r="AG757" s="545"/>
      <c r="AI757" s="876"/>
    </row>
    <row r="758" spans="1:35" ht="24" customHeight="1">
      <c r="A758" s="917"/>
      <c r="B758" s="876"/>
      <c r="C758" s="545"/>
      <c r="D758" s="876"/>
      <c r="F758" s="545"/>
      <c r="G758" s="889"/>
      <c r="H758" s="545"/>
      <c r="I758" s="876"/>
      <c r="J758" s="876"/>
      <c r="K758" s="914"/>
      <c r="L758" s="876"/>
      <c r="M758" s="882"/>
      <c r="Q758" s="876"/>
      <c r="AG758" s="545"/>
      <c r="AI758" s="876"/>
    </row>
    <row r="759" spans="1:35" ht="24" customHeight="1">
      <c r="A759" s="917"/>
      <c r="B759" s="876"/>
      <c r="C759" s="545"/>
      <c r="D759" s="876"/>
      <c r="F759" s="545"/>
      <c r="G759" s="889"/>
      <c r="H759" s="545"/>
      <c r="I759" s="876"/>
      <c r="J759" s="876"/>
      <c r="K759" s="914"/>
      <c r="L759" s="876"/>
      <c r="M759" s="882"/>
      <c r="Q759" s="876"/>
      <c r="AG759" s="545"/>
      <c r="AI759" s="876"/>
    </row>
    <row r="760" spans="1:35" ht="24" customHeight="1">
      <c r="A760" s="917"/>
      <c r="B760" s="876"/>
      <c r="C760" s="545"/>
      <c r="D760" s="876"/>
      <c r="J760" s="876"/>
      <c r="M760" s="882"/>
      <c r="Q760" s="876"/>
      <c r="AG760" s="545"/>
      <c r="AI760" s="876"/>
    </row>
    <row r="761" spans="1:35" ht="24" customHeight="1">
      <c r="A761" s="917"/>
      <c r="B761" s="876"/>
      <c r="C761" s="545"/>
      <c r="D761" s="876"/>
      <c r="J761" s="880"/>
      <c r="M761" s="882"/>
      <c r="Q761" s="881"/>
      <c r="AG761" s="545"/>
      <c r="AI761" s="876"/>
    </row>
    <row r="762" spans="1:35" ht="24" customHeight="1">
      <c r="A762" s="917"/>
      <c r="B762" s="876"/>
      <c r="C762" s="545"/>
      <c r="D762" s="876"/>
      <c r="M762" s="882"/>
      <c r="AG762" s="545"/>
      <c r="AI762" s="876"/>
    </row>
    <row r="763" spans="1:35" ht="24" customHeight="1">
      <c r="A763" s="917"/>
      <c r="B763" s="876"/>
      <c r="C763" s="545"/>
      <c r="D763" s="876"/>
      <c r="J763" s="880"/>
      <c r="M763" s="882"/>
      <c r="Q763" s="876"/>
      <c r="T763" s="545"/>
      <c r="AG763" s="545"/>
      <c r="AI763" s="876"/>
    </row>
    <row r="764" spans="1:35" ht="24" customHeight="1">
      <c r="A764" s="917"/>
      <c r="B764" s="876"/>
      <c r="C764" s="545"/>
      <c r="D764" s="876"/>
      <c r="F764" s="876"/>
      <c r="G764" s="916"/>
      <c r="H764" s="876"/>
      <c r="T764" s="881"/>
      <c r="AG764" s="545"/>
      <c r="AI764" s="876"/>
    </row>
    <row r="765" spans="1:35" ht="24" customHeight="1">
      <c r="A765" s="917"/>
      <c r="B765" s="876"/>
      <c r="C765" s="545"/>
      <c r="D765" s="876"/>
      <c r="M765" s="882"/>
      <c r="AG765" s="545"/>
      <c r="AI765" s="876"/>
    </row>
    <row r="766" spans="1:35" ht="24" customHeight="1">
      <c r="A766" s="917"/>
      <c r="B766" s="876"/>
      <c r="C766" s="545"/>
      <c r="D766" s="876"/>
      <c r="F766" s="880"/>
      <c r="G766" s="918"/>
      <c r="H766" s="880"/>
      <c r="I766" s="876"/>
      <c r="J766" s="876"/>
      <c r="P766" s="876"/>
      <c r="Q766" s="876"/>
      <c r="AG766" s="545"/>
      <c r="AI766" s="876"/>
    </row>
    <row r="767" spans="1:35" ht="24" customHeight="1">
      <c r="A767" s="917"/>
      <c r="B767" s="876"/>
      <c r="C767" s="545"/>
      <c r="D767" s="876"/>
      <c r="J767" s="876"/>
      <c r="Q767" s="881"/>
      <c r="R767" s="881"/>
      <c r="S767" s="881"/>
      <c r="T767" s="876"/>
      <c r="AG767" s="545"/>
      <c r="AI767" s="876"/>
    </row>
    <row r="768" spans="1:35" ht="24" customHeight="1">
      <c r="A768" s="917"/>
      <c r="B768" s="876"/>
      <c r="C768" s="545"/>
      <c r="D768" s="876"/>
      <c r="J768" s="876"/>
      <c r="Q768" s="876"/>
      <c r="S768" s="880"/>
      <c r="T768" s="545"/>
      <c r="AG768" s="545"/>
      <c r="AI768" s="876"/>
    </row>
    <row r="769" spans="1:35" ht="24" customHeight="1">
      <c r="A769" s="917"/>
      <c r="B769" s="876"/>
      <c r="C769" s="545"/>
      <c r="D769" s="876"/>
      <c r="J769" s="881"/>
      <c r="Q769" s="876"/>
      <c r="AG769" s="545"/>
      <c r="AI769" s="876"/>
    </row>
    <row r="770" spans="1:35" ht="24" customHeight="1">
      <c r="A770" s="917"/>
      <c r="B770" s="876"/>
      <c r="C770" s="545"/>
      <c r="D770" s="876"/>
      <c r="F770" s="545"/>
      <c r="G770" s="889"/>
      <c r="H770" s="545"/>
      <c r="I770" s="876"/>
      <c r="J770" s="876"/>
      <c r="K770" s="545"/>
      <c r="L770" s="876"/>
      <c r="M770" s="882"/>
      <c r="Q770" s="876"/>
      <c r="AG770" s="545"/>
    </row>
    <row r="771" spans="1:35" ht="24" customHeight="1">
      <c r="A771" s="917"/>
      <c r="B771" s="876"/>
      <c r="C771" s="545"/>
      <c r="D771" s="876"/>
      <c r="J771" s="876"/>
      <c r="Q771" s="876"/>
      <c r="AG771" s="545"/>
    </row>
    <row r="772" spans="1:35" ht="24" customHeight="1">
      <c r="A772" s="917"/>
      <c r="B772" s="876"/>
      <c r="C772" s="545"/>
      <c r="D772" s="876"/>
      <c r="J772" s="876"/>
      <c r="Q772" s="876"/>
      <c r="AG772" s="545"/>
      <c r="AI772" s="876"/>
    </row>
    <row r="773" spans="1:35" ht="24" customHeight="1">
      <c r="A773" s="917"/>
      <c r="B773" s="876"/>
      <c r="C773" s="545"/>
      <c r="D773" s="876"/>
      <c r="F773" s="545"/>
      <c r="G773" s="889"/>
      <c r="H773" s="545"/>
      <c r="I773" s="876"/>
      <c r="J773" s="876"/>
      <c r="K773" s="545"/>
      <c r="L773" s="876"/>
      <c r="M773" s="882"/>
      <c r="Q773" s="876"/>
      <c r="T773" s="876"/>
      <c r="AG773" s="545"/>
    </row>
    <row r="774" spans="1:35" ht="24" customHeight="1">
      <c r="A774" s="917"/>
      <c r="B774" s="876"/>
      <c r="C774" s="545"/>
      <c r="D774" s="876"/>
      <c r="J774" s="876"/>
      <c r="Q774" s="876"/>
      <c r="AG774" s="545"/>
      <c r="AI774" s="876"/>
    </row>
    <row r="775" spans="1:35" ht="24" customHeight="1">
      <c r="A775" s="917"/>
      <c r="B775" s="876"/>
      <c r="C775" s="545"/>
      <c r="D775" s="876"/>
      <c r="J775" s="876"/>
      <c r="AG775" s="545"/>
      <c r="AI775" s="876"/>
    </row>
    <row r="776" spans="1:35" ht="24" customHeight="1">
      <c r="A776" s="917"/>
      <c r="B776" s="876"/>
      <c r="C776" s="545"/>
      <c r="D776" s="876"/>
      <c r="F776" s="545"/>
      <c r="G776" s="889"/>
      <c r="H776" s="545"/>
      <c r="I776" s="876"/>
      <c r="J776" s="876"/>
      <c r="K776" s="545"/>
      <c r="L776" s="876"/>
      <c r="M776" s="882"/>
      <c r="P776" s="876"/>
      <c r="Q776" s="876"/>
      <c r="S776" s="880"/>
      <c r="T776" s="545"/>
      <c r="AG776" s="545"/>
      <c r="AI776" s="876"/>
    </row>
    <row r="777" spans="1:35" ht="24" customHeight="1">
      <c r="A777" s="917"/>
      <c r="B777" s="876"/>
      <c r="F777" s="545"/>
      <c r="G777" s="889"/>
      <c r="H777" s="545"/>
      <c r="I777" s="876"/>
      <c r="J777" s="876"/>
      <c r="K777" s="545"/>
      <c r="L777" s="876"/>
      <c r="M777" s="882"/>
      <c r="Q777" s="876"/>
      <c r="AG777" s="545"/>
      <c r="AI777" s="876"/>
    </row>
    <row r="778" spans="1:35" ht="24" customHeight="1">
      <c r="A778" s="917"/>
      <c r="B778" s="876"/>
      <c r="C778" s="545"/>
      <c r="F778" s="545"/>
      <c r="G778" s="889"/>
      <c r="H778" s="545"/>
      <c r="I778" s="876"/>
      <c r="J778" s="876"/>
      <c r="K778" s="545"/>
      <c r="L778" s="876"/>
      <c r="M778" s="882"/>
      <c r="Q778" s="876"/>
      <c r="AG778" s="545"/>
      <c r="AI778" s="876"/>
    </row>
    <row r="779" spans="1:35" ht="24" customHeight="1">
      <c r="A779" s="917"/>
      <c r="B779" s="880"/>
      <c r="C779" s="545"/>
      <c r="F779" s="545"/>
      <c r="G779" s="889"/>
      <c r="H779" s="545"/>
      <c r="I779" s="876"/>
      <c r="J779" s="876"/>
      <c r="K779" s="545"/>
      <c r="L779" s="876"/>
      <c r="M779" s="882"/>
      <c r="Q779" s="876"/>
      <c r="AG779" s="545"/>
      <c r="AI779" s="876"/>
    </row>
    <row r="780" spans="1:35" ht="24" customHeight="1">
      <c r="A780" s="917"/>
      <c r="B780" s="876"/>
      <c r="C780" s="545"/>
      <c r="F780" s="545"/>
      <c r="G780" s="889"/>
      <c r="H780" s="545"/>
      <c r="I780" s="876"/>
      <c r="J780" s="876"/>
      <c r="K780" s="545"/>
      <c r="L780" s="876"/>
      <c r="M780" s="882"/>
      <c r="AG780" s="545"/>
      <c r="AI780" s="876"/>
    </row>
    <row r="781" spans="1:35" ht="24" customHeight="1">
      <c r="A781" s="917"/>
      <c r="B781" s="876"/>
      <c r="C781" s="545"/>
      <c r="F781" s="545"/>
      <c r="G781" s="889"/>
      <c r="H781" s="545"/>
      <c r="I781" s="876"/>
      <c r="J781" s="876"/>
      <c r="K781" s="914"/>
      <c r="L781" s="876"/>
      <c r="M781" s="882"/>
      <c r="P781" s="876"/>
      <c r="Q781" s="876"/>
      <c r="AG781" s="545"/>
      <c r="AI781" s="876"/>
    </row>
    <row r="782" spans="1:35" ht="24" customHeight="1">
      <c r="A782" s="917"/>
      <c r="B782" s="876"/>
      <c r="C782" s="545"/>
      <c r="F782" s="545"/>
      <c r="G782" s="889"/>
      <c r="H782" s="545"/>
      <c r="I782" s="876"/>
      <c r="J782" s="876"/>
      <c r="K782" s="914"/>
      <c r="M782" s="882"/>
      <c r="Q782" s="876"/>
      <c r="T782" s="876"/>
      <c r="AG782" s="545"/>
      <c r="AI782" s="876"/>
    </row>
    <row r="783" spans="1:35" ht="24" customHeight="1">
      <c r="A783" s="917"/>
      <c r="B783" s="876"/>
      <c r="C783" s="545"/>
      <c r="J783" s="876"/>
      <c r="Q783" s="876"/>
      <c r="AG783" s="545"/>
      <c r="AI783" s="876"/>
    </row>
    <row r="784" spans="1:35" ht="24" customHeight="1">
      <c r="A784" s="917"/>
      <c r="B784" s="876"/>
      <c r="C784" s="545"/>
      <c r="M784" s="882"/>
      <c r="Q784" s="881"/>
      <c r="AG784" s="545"/>
      <c r="AI784" s="876"/>
    </row>
    <row r="785" spans="1:35" ht="24" customHeight="1">
      <c r="A785" s="917"/>
      <c r="B785" s="876"/>
      <c r="C785" s="545"/>
      <c r="J785" s="876"/>
      <c r="M785" s="882"/>
      <c r="P785" s="876"/>
      <c r="Q785" s="876"/>
      <c r="R785" s="545"/>
      <c r="S785" s="876"/>
      <c r="T785" s="545"/>
      <c r="AG785" s="545"/>
      <c r="AI785" s="876"/>
    </row>
    <row r="786" spans="1:35" ht="24" customHeight="1">
      <c r="A786" s="917"/>
      <c r="B786" s="876"/>
      <c r="C786" s="545"/>
      <c r="M786" s="882"/>
      <c r="T786" s="545"/>
      <c r="AG786" s="545"/>
      <c r="AI786" s="876"/>
    </row>
    <row r="787" spans="1:35" ht="24" customHeight="1">
      <c r="A787" s="917"/>
      <c r="B787" s="876"/>
      <c r="C787" s="545"/>
      <c r="J787" s="876"/>
      <c r="M787" s="882"/>
      <c r="P787" s="876"/>
      <c r="Q787" s="876"/>
      <c r="R787" s="545"/>
      <c r="S787" s="876"/>
      <c r="T787" s="545"/>
      <c r="AG787" s="545"/>
      <c r="AI787" s="876"/>
    </row>
    <row r="788" spans="1:35" ht="24" customHeight="1">
      <c r="A788" s="917"/>
      <c r="B788" s="876"/>
      <c r="C788" s="545"/>
      <c r="M788" s="882"/>
      <c r="T788" s="545"/>
      <c r="AG788" s="545"/>
      <c r="AI788" s="876"/>
    </row>
    <row r="789" spans="1:35" ht="24" customHeight="1">
      <c r="A789" s="917"/>
      <c r="B789" s="876"/>
      <c r="C789" s="545"/>
      <c r="Q789" s="876"/>
      <c r="R789" s="882"/>
      <c r="T789" s="545"/>
      <c r="AG789" s="545"/>
      <c r="AI789" s="876"/>
    </row>
    <row r="790" spans="1:35" ht="24" customHeight="1">
      <c r="A790" s="917"/>
      <c r="B790" s="876"/>
      <c r="C790" s="545"/>
      <c r="F790" s="880"/>
      <c r="G790" s="918"/>
      <c r="H790" s="880"/>
      <c r="I790" s="876"/>
      <c r="J790" s="876"/>
      <c r="T790" s="881"/>
      <c r="AG790" s="545"/>
      <c r="AI790" s="876"/>
    </row>
    <row r="791" spans="1:35" ht="24" customHeight="1">
      <c r="A791" s="917"/>
      <c r="B791" s="876"/>
      <c r="C791" s="545"/>
      <c r="J791" s="876"/>
      <c r="Q791" s="876"/>
      <c r="T791" s="545"/>
      <c r="AG791" s="545"/>
      <c r="AI791" s="876"/>
    </row>
    <row r="792" spans="1:35" ht="24" customHeight="1">
      <c r="A792" s="917"/>
      <c r="B792" s="876"/>
      <c r="C792" s="545"/>
      <c r="J792" s="876"/>
      <c r="T792" s="881"/>
      <c r="AG792" s="545"/>
      <c r="AI792" s="876"/>
    </row>
    <row r="793" spans="1:35" ht="24" customHeight="1">
      <c r="A793" s="917"/>
      <c r="B793" s="876"/>
      <c r="C793" s="545"/>
      <c r="J793" s="881"/>
      <c r="Q793" s="876"/>
      <c r="T793" s="545"/>
      <c r="AG793" s="545"/>
      <c r="AI793" s="876"/>
    </row>
    <row r="794" spans="1:35" ht="24" customHeight="1">
      <c r="A794" s="917"/>
      <c r="B794" s="876"/>
      <c r="C794" s="545"/>
      <c r="J794" s="876"/>
      <c r="M794" s="882"/>
      <c r="T794" s="881"/>
      <c r="AG794" s="545"/>
      <c r="AI794" s="876"/>
    </row>
    <row r="795" spans="1:35" ht="24" customHeight="1">
      <c r="A795" s="917"/>
      <c r="B795" s="876"/>
      <c r="C795" s="545"/>
      <c r="J795" s="876"/>
      <c r="M795" s="882"/>
      <c r="P795" s="876"/>
      <c r="Q795" s="876"/>
      <c r="AG795" s="545"/>
      <c r="AI795" s="876"/>
    </row>
    <row r="796" spans="1:35" ht="24" customHeight="1">
      <c r="A796" s="917"/>
      <c r="B796" s="876"/>
      <c r="C796" s="545"/>
      <c r="F796" s="880"/>
      <c r="G796" s="918"/>
      <c r="H796" s="880"/>
      <c r="I796" s="876"/>
      <c r="J796" s="876"/>
      <c r="Q796" s="876"/>
      <c r="AG796" s="545"/>
      <c r="AI796" s="876"/>
    </row>
    <row r="797" spans="1:35" ht="24" customHeight="1">
      <c r="A797" s="917"/>
      <c r="B797" s="876"/>
      <c r="C797" s="545"/>
      <c r="J797" s="876"/>
      <c r="Q797" s="876"/>
      <c r="AG797" s="545"/>
      <c r="AI797" s="876"/>
    </row>
    <row r="798" spans="1:35" ht="24" customHeight="1">
      <c r="A798" s="917"/>
      <c r="B798" s="876"/>
      <c r="C798" s="545"/>
      <c r="J798" s="876"/>
      <c r="Q798" s="881"/>
      <c r="AG798" s="545"/>
      <c r="AI798" s="876"/>
    </row>
    <row r="799" spans="1:35" ht="24" customHeight="1">
      <c r="A799" s="917"/>
      <c r="B799" s="876"/>
      <c r="C799" s="914"/>
      <c r="J799" s="881"/>
      <c r="P799" s="882"/>
      <c r="Q799" s="876"/>
      <c r="AG799" s="545"/>
      <c r="AI799" s="876"/>
    </row>
    <row r="800" spans="1:35" ht="24" customHeight="1">
      <c r="A800" s="917"/>
      <c r="B800" s="876"/>
      <c r="C800" s="545"/>
      <c r="F800" s="904"/>
      <c r="G800" s="924"/>
      <c r="H800" s="904"/>
      <c r="I800" s="876"/>
      <c r="J800" s="876"/>
      <c r="K800" s="545"/>
      <c r="L800" s="876"/>
      <c r="M800" s="882"/>
      <c r="Q800" s="876"/>
      <c r="AG800" s="545"/>
      <c r="AI800" s="876"/>
    </row>
    <row r="801" spans="1:35" ht="24" customHeight="1">
      <c r="A801" s="917"/>
      <c r="B801" s="876"/>
      <c r="C801" s="545"/>
      <c r="F801" s="904"/>
      <c r="G801" s="924"/>
      <c r="H801" s="904"/>
      <c r="I801" s="876"/>
      <c r="J801" s="876"/>
      <c r="K801" s="545"/>
      <c r="L801" s="876"/>
      <c r="M801" s="882"/>
      <c r="P801" s="876"/>
      <c r="Q801" s="876"/>
      <c r="R801" s="545"/>
      <c r="T801" s="545"/>
      <c r="U801" s="935"/>
      <c r="AG801" s="545"/>
      <c r="AI801" s="876"/>
    </row>
    <row r="802" spans="1:35" ht="24" customHeight="1">
      <c r="A802" s="917"/>
      <c r="B802" s="876"/>
      <c r="C802" s="545"/>
      <c r="F802" s="904"/>
      <c r="G802" s="924"/>
      <c r="H802" s="904"/>
      <c r="I802" s="876"/>
      <c r="J802" s="876"/>
      <c r="K802" s="545"/>
      <c r="L802" s="876"/>
      <c r="M802" s="882"/>
      <c r="Q802" s="876"/>
      <c r="U802" s="935"/>
      <c r="AG802" s="545"/>
      <c r="AI802" s="876"/>
    </row>
    <row r="803" spans="1:35" ht="24" customHeight="1">
      <c r="A803" s="917"/>
      <c r="B803" s="876"/>
      <c r="C803" s="545"/>
      <c r="F803" s="904"/>
      <c r="G803" s="924"/>
      <c r="H803" s="904"/>
      <c r="I803" s="876"/>
      <c r="J803" s="876"/>
      <c r="K803" s="545"/>
      <c r="L803" s="876"/>
      <c r="M803" s="882"/>
      <c r="Q803" s="876"/>
      <c r="U803" s="935"/>
      <c r="AG803" s="545"/>
      <c r="AI803" s="876"/>
    </row>
    <row r="804" spans="1:35" ht="24" customHeight="1">
      <c r="A804" s="917"/>
      <c r="F804" s="904"/>
      <c r="G804" s="924"/>
      <c r="H804" s="904"/>
      <c r="I804" s="876"/>
      <c r="J804" s="876"/>
      <c r="K804" s="545"/>
      <c r="L804" s="876"/>
      <c r="M804" s="882"/>
      <c r="P804" s="876"/>
      <c r="Q804" s="876"/>
      <c r="R804" s="545"/>
      <c r="T804" s="545"/>
      <c r="AG804" s="545"/>
      <c r="AI804" s="876"/>
    </row>
    <row r="805" spans="1:35" ht="24" customHeight="1">
      <c r="A805" s="917"/>
      <c r="B805" s="876"/>
      <c r="F805" s="904"/>
      <c r="G805" s="924"/>
      <c r="H805" s="904"/>
      <c r="I805" s="876"/>
      <c r="J805" s="876"/>
      <c r="K805" s="545"/>
      <c r="L805" s="876"/>
      <c r="M805" s="882"/>
      <c r="P805" s="876"/>
      <c r="Q805" s="876"/>
      <c r="R805" s="545"/>
      <c r="T805" s="545"/>
      <c r="AG805" s="545"/>
      <c r="AI805" s="876"/>
    </row>
    <row r="806" spans="1:35" ht="24" customHeight="1">
      <c r="A806" s="917"/>
      <c r="F806" s="882"/>
      <c r="G806" s="936"/>
      <c r="H806" s="882"/>
      <c r="J806" s="876"/>
      <c r="L806" s="876"/>
      <c r="M806" s="882"/>
      <c r="P806" s="876"/>
      <c r="Q806" s="876"/>
      <c r="R806" s="545"/>
      <c r="T806" s="545"/>
      <c r="AG806" s="545"/>
      <c r="AI806" s="876"/>
    </row>
    <row r="807" spans="1:35" ht="24" customHeight="1">
      <c r="A807" s="917"/>
      <c r="B807" s="876"/>
      <c r="M807" s="882"/>
      <c r="P807" s="876"/>
      <c r="Q807" s="876"/>
      <c r="R807" s="545"/>
      <c r="T807" s="545"/>
      <c r="AG807" s="545"/>
      <c r="AI807" s="876"/>
    </row>
    <row r="808" spans="1:35" ht="24" customHeight="1">
      <c r="A808" s="917"/>
      <c r="B808" s="876"/>
      <c r="J808" s="880"/>
      <c r="M808" s="882"/>
      <c r="P808" s="876"/>
      <c r="Q808" s="876"/>
      <c r="R808" s="545"/>
      <c r="T808" s="545"/>
      <c r="AG808" s="545"/>
      <c r="AI808" s="876"/>
    </row>
    <row r="809" spans="1:35" ht="24" customHeight="1">
      <c r="A809" s="917"/>
      <c r="M809" s="882"/>
      <c r="P809" s="876"/>
      <c r="Q809" s="876"/>
      <c r="R809" s="545"/>
      <c r="T809" s="545"/>
      <c r="AG809" s="545"/>
      <c r="AI809" s="876"/>
    </row>
    <row r="810" spans="1:35" ht="24" customHeight="1">
      <c r="A810" s="917"/>
      <c r="J810" s="876"/>
      <c r="M810" s="882"/>
      <c r="P810" s="876"/>
      <c r="Q810" s="876"/>
      <c r="R810" s="545"/>
      <c r="T810" s="545"/>
      <c r="AG810" s="545"/>
      <c r="AI810" s="876"/>
    </row>
    <row r="811" spans="1:35" ht="24" customHeight="1">
      <c r="A811" s="917"/>
      <c r="T811" s="545"/>
      <c r="AG811" s="545"/>
      <c r="AI811" s="876"/>
    </row>
    <row r="812" spans="1:35" ht="24" customHeight="1">
      <c r="A812" s="917"/>
      <c r="F812" s="545"/>
      <c r="G812" s="889"/>
      <c r="H812" s="545"/>
      <c r="I812" s="876"/>
      <c r="J812" s="876"/>
      <c r="K812" s="545"/>
      <c r="M812" s="882"/>
      <c r="T812" s="881"/>
      <c r="AG812" s="545"/>
      <c r="AI812" s="876"/>
    </row>
    <row r="813" spans="1:35" ht="24" customHeight="1">
      <c r="A813" s="917"/>
      <c r="M813" s="882"/>
      <c r="Q813" s="880"/>
      <c r="T813" s="545"/>
      <c r="AG813" s="545"/>
      <c r="AI813" s="876"/>
    </row>
    <row r="814" spans="1:35" ht="24" customHeight="1">
      <c r="M814" s="882"/>
      <c r="AG814" s="545"/>
      <c r="AI814" s="876"/>
    </row>
    <row r="815" spans="1:35" ht="24" customHeight="1">
      <c r="A815" s="917"/>
      <c r="M815" s="882"/>
      <c r="T815" s="881"/>
      <c r="AG815" s="545"/>
      <c r="AI815" s="876"/>
    </row>
    <row r="816" spans="1:35" ht="24" customHeight="1">
      <c r="A816" s="917"/>
      <c r="J816" s="876"/>
      <c r="M816" s="883"/>
      <c r="U816" s="935"/>
      <c r="AG816" s="545"/>
      <c r="AI816" s="876"/>
    </row>
    <row r="817" spans="1:35" ht="24" customHeight="1">
      <c r="A817" s="917"/>
      <c r="J817" s="876"/>
      <c r="M817" s="883"/>
      <c r="P817" s="876"/>
      <c r="Q817" s="876"/>
      <c r="U817" s="935"/>
      <c r="AG817" s="545"/>
      <c r="AI817" s="876"/>
    </row>
    <row r="818" spans="1:35" ht="24" customHeight="1">
      <c r="A818" s="917"/>
      <c r="J818" s="876"/>
      <c r="M818" s="883"/>
      <c r="Q818" s="876"/>
      <c r="U818" s="935"/>
      <c r="AG818" s="545"/>
      <c r="AI818" s="876"/>
    </row>
    <row r="819" spans="1:35" ht="24" customHeight="1">
      <c r="A819" s="917"/>
      <c r="J819" s="876"/>
      <c r="M819" s="883"/>
      <c r="P819" s="876"/>
      <c r="Q819" s="876"/>
      <c r="R819" s="545"/>
      <c r="T819" s="545"/>
      <c r="AG819" s="545"/>
      <c r="AI819" s="876"/>
    </row>
    <row r="820" spans="1:35" ht="24" customHeight="1">
      <c r="J820" s="876"/>
      <c r="M820" s="883"/>
      <c r="Q820" s="876"/>
      <c r="AG820" s="545"/>
      <c r="AI820" s="876"/>
    </row>
    <row r="821" spans="1:35" ht="24" customHeight="1">
      <c r="J821" s="876"/>
      <c r="M821" s="883"/>
      <c r="Q821" s="876"/>
      <c r="AG821" s="545"/>
      <c r="AI821" s="876"/>
    </row>
    <row r="822" spans="1:35" ht="24" customHeight="1">
      <c r="J822" s="876"/>
      <c r="M822" s="883"/>
      <c r="Q822" s="876"/>
      <c r="AG822" s="545"/>
      <c r="AI822" s="876"/>
    </row>
    <row r="823" spans="1:35" ht="24" customHeight="1">
      <c r="J823" s="876"/>
      <c r="M823" s="883"/>
      <c r="Q823" s="876"/>
      <c r="AG823" s="545"/>
      <c r="AI823" s="876"/>
    </row>
    <row r="824" spans="1:35" ht="24" customHeight="1">
      <c r="J824" s="876"/>
      <c r="M824" s="883"/>
      <c r="Q824" s="876"/>
      <c r="AG824" s="545"/>
      <c r="AI824" s="876"/>
    </row>
    <row r="825" spans="1:35" ht="24" customHeight="1">
      <c r="J825" s="876"/>
      <c r="M825" s="883"/>
      <c r="Q825" s="876"/>
      <c r="AG825" s="545"/>
      <c r="AI825" s="876"/>
    </row>
    <row r="826" spans="1:35" ht="24" customHeight="1">
      <c r="J826" s="876"/>
      <c r="M826" s="883"/>
      <c r="Q826" s="876"/>
      <c r="AG826" s="545"/>
      <c r="AI826" s="876"/>
    </row>
    <row r="827" spans="1:35" ht="24" customHeight="1">
      <c r="J827" s="876"/>
      <c r="M827" s="883"/>
      <c r="Q827" s="876"/>
      <c r="AG827" s="545"/>
      <c r="AI827" s="876"/>
    </row>
    <row r="828" spans="1:35" ht="24" customHeight="1">
      <c r="J828" s="876"/>
      <c r="M828" s="883"/>
      <c r="Q828" s="876"/>
      <c r="W828" s="885"/>
      <c r="AG828" s="545"/>
      <c r="AI828" s="876"/>
    </row>
    <row r="829" spans="1:35" ht="24" customHeight="1">
      <c r="J829" s="876"/>
      <c r="M829" s="883"/>
      <c r="Q829" s="876"/>
      <c r="AG829" s="545"/>
      <c r="AI829" s="876"/>
    </row>
    <row r="830" spans="1:35" ht="24" customHeight="1">
      <c r="F830" s="876"/>
      <c r="G830" s="916"/>
      <c r="H830" s="876"/>
      <c r="Q830" s="876"/>
      <c r="AG830" s="545"/>
      <c r="AI830" s="876"/>
    </row>
    <row r="831" spans="1:35" ht="24" customHeight="1">
      <c r="F831" s="876"/>
      <c r="G831" s="916"/>
      <c r="H831" s="876"/>
      <c r="I831" s="876"/>
      <c r="J831" s="880"/>
      <c r="P831" s="876"/>
      <c r="Q831" s="876"/>
      <c r="R831" s="545"/>
      <c r="T831" s="545"/>
      <c r="AG831" s="545"/>
      <c r="AI831" s="876"/>
    </row>
    <row r="832" spans="1:35" ht="24" customHeight="1">
      <c r="J832" s="881"/>
      <c r="P832" s="876"/>
      <c r="Q832" s="876"/>
      <c r="R832" s="545"/>
      <c r="T832" s="545"/>
      <c r="AG832" s="545"/>
      <c r="AI832" s="876"/>
    </row>
    <row r="833" spans="6:35" ht="24" customHeight="1">
      <c r="P833" s="876"/>
      <c r="Q833" s="876"/>
      <c r="R833" s="545"/>
      <c r="T833" s="545"/>
      <c r="AG833" s="545"/>
      <c r="AI833" s="876"/>
    </row>
    <row r="834" spans="6:35" ht="24" customHeight="1">
      <c r="F834" s="880"/>
      <c r="G834" s="918"/>
      <c r="H834" s="880"/>
      <c r="I834" s="876"/>
      <c r="J834" s="876"/>
      <c r="P834" s="876"/>
      <c r="Q834" s="876"/>
      <c r="R834" s="545"/>
      <c r="T834" s="545"/>
      <c r="AG834" s="545"/>
      <c r="AI834" s="876"/>
    </row>
    <row r="835" spans="6:35" ht="24" customHeight="1">
      <c r="J835" s="876"/>
      <c r="P835" s="876"/>
      <c r="Q835" s="876"/>
      <c r="R835" s="545"/>
      <c r="T835" s="545"/>
      <c r="AG835" s="545"/>
      <c r="AI835" s="876"/>
    </row>
    <row r="836" spans="6:35" ht="24" customHeight="1">
      <c r="J836" s="876"/>
      <c r="P836" s="876"/>
      <c r="Q836" s="876"/>
      <c r="R836" s="545"/>
      <c r="T836" s="545"/>
      <c r="AG836" s="545"/>
      <c r="AI836" s="876"/>
    </row>
    <row r="837" spans="6:35" ht="24" customHeight="1">
      <c r="J837" s="876"/>
      <c r="P837" s="876"/>
      <c r="Q837" s="876"/>
      <c r="R837" s="545"/>
      <c r="T837" s="545"/>
      <c r="X837" s="935"/>
      <c r="AG837" s="545"/>
    </row>
    <row r="838" spans="6:35" ht="24" customHeight="1">
      <c r="J838" s="876"/>
      <c r="T838" s="545"/>
      <c r="X838" s="935"/>
      <c r="AG838" s="545"/>
    </row>
    <row r="839" spans="6:35" ht="24" customHeight="1">
      <c r="J839" s="876"/>
      <c r="T839" s="881"/>
      <c r="X839" s="935"/>
      <c r="AG839" s="545"/>
    </row>
    <row r="840" spans="6:35" ht="24" customHeight="1">
      <c r="J840" s="876"/>
      <c r="Q840" s="880"/>
      <c r="T840" s="545"/>
      <c r="Z840" s="885"/>
      <c r="AG840" s="545"/>
      <c r="AI840" s="876"/>
    </row>
    <row r="841" spans="6:35" ht="24" customHeight="1">
      <c r="J841" s="876"/>
      <c r="T841" s="881"/>
      <c r="AG841" s="545"/>
      <c r="AI841" s="876"/>
    </row>
    <row r="842" spans="6:35" ht="24" customHeight="1">
      <c r="J842" s="876"/>
      <c r="T842" s="881"/>
      <c r="AG842" s="545"/>
      <c r="AI842" s="876"/>
    </row>
    <row r="843" spans="6:35" ht="24" customHeight="1">
      <c r="J843" s="876"/>
      <c r="Q843" s="880"/>
      <c r="T843" s="881"/>
      <c r="W843" s="885"/>
      <c r="AG843" s="545"/>
      <c r="AI843" s="876"/>
    </row>
    <row r="844" spans="6:35" ht="24" customHeight="1">
      <c r="J844" s="876"/>
      <c r="T844" s="881"/>
      <c r="AG844" s="545"/>
      <c r="AI844" s="876"/>
    </row>
    <row r="845" spans="6:35" ht="24" customHeight="1">
      <c r="J845" s="876"/>
      <c r="O845" s="919"/>
      <c r="P845" s="901"/>
      <c r="Q845" s="876"/>
      <c r="R845" s="545"/>
      <c r="S845" s="876"/>
      <c r="T845" s="545"/>
      <c r="AG845" s="545"/>
      <c r="AI845" s="876"/>
    </row>
    <row r="846" spans="6:35" ht="24" customHeight="1">
      <c r="J846" s="876"/>
      <c r="O846" s="937"/>
      <c r="P846" s="901"/>
      <c r="Q846" s="876"/>
      <c r="R846" s="545"/>
      <c r="S846" s="876"/>
      <c r="T846" s="545"/>
      <c r="AG846" s="545"/>
      <c r="AI846" s="876"/>
    </row>
    <row r="847" spans="6:35" ht="24" customHeight="1">
      <c r="J847" s="876"/>
      <c r="O847" s="545"/>
      <c r="P847" s="901"/>
      <c r="Q847" s="876"/>
      <c r="R847" s="545"/>
      <c r="S847" s="876"/>
      <c r="T847" s="545"/>
      <c r="AG847" s="545"/>
      <c r="AI847" s="876"/>
    </row>
    <row r="848" spans="6:35" ht="24" customHeight="1">
      <c r="O848" s="545"/>
      <c r="P848" s="901"/>
      <c r="Q848" s="876"/>
      <c r="R848" s="545"/>
      <c r="S848" s="876"/>
      <c r="T848" s="545"/>
      <c r="AG848" s="545"/>
      <c r="AI848" s="876"/>
    </row>
    <row r="849" spans="6:35" ht="24" customHeight="1">
      <c r="O849" s="545"/>
      <c r="P849" s="901"/>
      <c r="Q849" s="876"/>
      <c r="R849" s="545"/>
      <c r="S849" s="876"/>
      <c r="T849" s="545"/>
      <c r="AG849" s="545"/>
      <c r="AI849" s="876"/>
    </row>
    <row r="850" spans="6:35" ht="24" customHeight="1">
      <c r="I850" s="876"/>
      <c r="J850" s="880"/>
      <c r="O850" s="545"/>
      <c r="P850" s="901"/>
      <c r="Q850" s="876"/>
      <c r="R850" s="545"/>
      <c r="S850" s="876"/>
      <c r="T850" s="545"/>
      <c r="U850" s="501"/>
      <c r="AG850" s="545"/>
      <c r="AI850" s="876"/>
    </row>
    <row r="851" spans="6:35" ht="24" customHeight="1">
      <c r="J851" s="880"/>
      <c r="O851" s="545"/>
      <c r="P851" s="901"/>
      <c r="Q851" s="876"/>
      <c r="R851" s="545"/>
      <c r="S851" s="876"/>
      <c r="T851" s="545"/>
      <c r="U851" s="501"/>
      <c r="AG851" s="545"/>
      <c r="AI851" s="876"/>
    </row>
    <row r="852" spans="6:35" ht="24" customHeight="1">
      <c r="F852" s="919"/>
      <c r="G852" s="938"/>
      <c r="H852" s="919"/>
      <c r="I852" s="876"/>
      <c r="J852" s="876"/>
      <c r="K852" s="545"/>
      <c r="L852" s="876"/>
      <c r="M852" s="882"/>
      <c r="O852" s="545"/>
      <c r="P852" s="901"/>
      <c r="Q852" s="876"/>
      <c r="R852" s="545"/>
      <c r="S852" s="876"/>
      <c r="T852" s="545"/>
      <c r="U852" s="919"/>
      <c r="X852" s="554"/>
      <c r="AG852" s="545"/>
      <c r="AI852" s="876"/>
    </row>
    <row r="853" spans="6:35" ht="24" customHeight="1">
      <c r="F853" s="939"/>
      <c r="G853" s="940"/>
      <c r="H853" s="939"/>
      <c r="I853" s="876"/>
      <c r="J853" s="876"/>
      <c r="K853" s="545"/>
      <c r="L853" s="876"/>
      <c r="M853" s="882"/>
      <c r="O853" s="545"/>
      <c r="P853" s="901"/>
      <c r="Q853" s="876"/>
      <c r="R853" s="545"/>
      <c r="S853" s="876"/>
      <c r="T853" s="545"/>
      <c r="U853" s="939"/>
      <c r="X853" s="554"/>
      <c r="AG853" s="545"/>
      <c r="AI853" s="876"/>
    </row>
    <row r="854" spans="6:35" ht="24" customHeight="1">
      <c r="F854" s="545"/>
      <c r="G854" s="889"/>
      <c r="H854" s="545"/>
      <c r="I854" s="876"/>
      <c r="J854" s="876"/>
      <c r="K854" s="914"/>
      <c r="L854" s="876"/>
      <c r="M854" s="882"/>
      <c r="O854" s="545"/>
      <c r="P854" s="901"/>
      <c r="Q854" s="876"/>
      <c r="R854" s="545"/>
      <c r="S854" s="876"/>
      <c r="T854" s="545"/>
      <c r="U854" s="545"/>
      <c r="X854" s="554"/>
      <c r="AG854" s="545"/>
      <c r="AI854" s="876"/>
    </row>
    <row r="855" spans="6:35" ht="24" customHeight="1">
      <c r="F855" s="545"/>
      <c r="G855" s="889"/>
      <c r="H855" s="545"/>
      <c r="I855" s="876"/>
      <c r="J855" s="876"/>
      <c r="K855" s="914"/>
      <c r="L855" s="876"/>
      <c r="M855" s="882"/>
      <c r="P855" s="901"/>
      <c r="Q855" s="876"/>
      <c r="R855" s="545"/>
      <c r="S855" s="876"/>
      <c r="T855" s="545"/>
      <c r="U855" s="545"/>
      <c r="Z855" s="885"/>
      <c r="AG855" s="545"/>
      <c r="AI855" s="876"/>
    </row>
    <row r="856" spans="6:35" ht="24" customHeight="1">
      <c r="F856" s="545"/>
      <c r="G856" s="889"/>
      <c r="H856" s="545"/>
      <c r="I856" s="876"/>
      <c r="J856" s="876"/>
      <c r="K856" s="914"/>
      <c r="L856" s="876"/>
      <c r="M856" s="882"/>
      <c r="P856" s="902"/>
      <c r="S856" s="874"/>
      <c r="T856" s="881"/>
      <c r="U856" s="545"/>
      <c r="AG856" s="545"/>
      <c r="AI856" s="876"/>
    </row>
    <row r="857" spans="6:35" ht="24" customHeight="1">
      <c r="F857" s="545"/>
      <c r="G857" s="889"/>
      <c r="H857" s="545"/>
      <c r="I857" s="876"/>
      <c r="J857" s="876"/>
      <c r="K857" s="914"/>
      <c r="L857" s="876"/>
      <c r="M857" s="882"/>
      <c r="P857" s="902"/>
      <c r="Q857" s="872"/>
      <c r="S857" s="874"/>
      <c r="T857" s="941"/>
      <c r="U857" s="545"/>
      <c r="AG857" s="545"/>
      <c r="AI857" s="876"/>
    </row>
    <row r="858" spans="6:35" ht="24" customHeight="1">
      <c r="F858" s="545"/>
      <c r="G858" s="889"/>
      <c r="H858" s="545"/>
      <c r="I858" s="876"/>
      <c r="J858" s="876"/>
      <c r="K858" s="545"/>
      <c r="L858" s="876"/>
      <c r="M858" s="882"/>
      <c r="P858" s="902"/>
      <c r="S858" s="874"/>
      <c r="T858" s="881"/>
      <c r="U858" s="545"/>
      <c r="AG858" s="545"/>
      <c r="AI858" s="876"/>
    </row>
    <row r="859" spans="6:35" ht="24" customHeight="1">
      <c r="F859" s="545"/>
      <c r="G859" s="889"/>
      <c r="H859" s="545"/>
      <c r="I859" s="876"/>
      <c r="J859" s="876"/>
      <c r="K859" s="545"/>
      <c r="L859" s="876"/>
      <c r="M859" s="882"/>
      <c r="U859" s="545"/>
      <c r="AG859" s="545"/>
      <c r="AI859" s="876"/>
    </row>
    <row r="860" spans="6:35" ht="24" customHeight="1">
      <c r="F860" s="545"/>
      <c r="G860" s="889"/>
      <c r="H860" s="545"/>
      <c r="I860" s="876"/>
      <c r="J860" s="876"/>
      <c r="K860" s="914"/>
      <c r="L860" s="876"/>
      <c r="M860" s="882"/>
      <c r="T860" s="881"/>
      <c r="U860" s="545"/>
      <c r="AG860" s="545"/>
      <c r="AI860" s="876"/>
    </row>
    <row r="861" spans="6:35" ht="24" customHeight="1">
      <c r="F861" s="545"/>
      <c r="G861" s="889"/>
      <c r="H861" s="545"/>
      <c r="I861" s="876"/>
      <c r="J861" s="876"/>
      <c r="K861" s="545"/>
      <c r="L861" s="876"/>
      <c r="M861" s="882"/>
      <c r="T861" s="876"/>
      <c r="U861" s="545"/>
      <c r="AG861" s="545"/>
      <c r="AI861" s="876"/>
    </row>
    <row r="862" spans="6:35" ht="24" customHeight="1">
      <c r="I862" s="876"/>
      <c r="J862" s="876"/>
      <c r="L862" s="876"/>
      <c r="M862" s="882"/>
      <c r="P862" s="876"/>
      <c r="Q862" s="876"/>
      <c r="U862" s="501"/>
      <c r="AG862" s="545"/>
      <c r="AI862" s="876"/>
    </row>
    <row r="863" spans="6:35" ht="24" customHeight="1">
      <c r="M863" s="882"/>
      <c r="Q863" s="876"/>
      <c r="U863" s="501"/>
      <c r="AG863" s="545"/>
      <c r="AI863" s="876"/>
    </row>
    <row r="864" spans="6:35" ht="24" customHeight="1">
      <c r="J864" s="872"/>
      <c r="M864" s="883"/>
      <c r="P864" s="876"/>
      <c r="Q864" s="876"/>
      <c r="R864" s="545"/>
      <c r="T864" s="545"/>
      <c r="U864" s="501"/>
      <c r="AG864" s="545"/>
      <c r="AI864" s="876"/>
    </row>
    <row r="865" spans="6:35" ht="24" customHeight="1">
      <c r="M865" s="882"/>
      <c r="Q865" s="876"/>
      <c r="AG865" s="545"/>
      <c r="AI865" s="876"/>
    </row>
    <row r="866" spans="6:35" ht="24" customHeight="1">
      <c r="Q866" s="876"/>
      <c r="AG866" s="545"/>
      <c r="AI866" s="876"/>
    </row>
    <row r="867" spans="6:35" ht="24" customHeight="1">
      <c r="P867" s="876"/>
      <c r="Q867" s="876"/>
      <c r="R867" s="545"/>
      <c r="T867" s="545"/>
      <c r="AG867" s="545"/>
      <c r="AI867" s="876"/>
    </row>
    <row r="868" spans="6:35" ht="24" customHeight="1">
      <c r="I868" s="876"/>
      <c r="J868" s="880"/>
      <c r="P868" s="876"/>
      <c r="Q868" s="876"/>
      <c r="R868" s="545"/>
      <c r="T868" s="545"/>
      <c r="U868" s="501"/>
      <c r="AG868" s="545"/>
      <c r="AI868" s="876"/>
    </row>
    <row r="869" spans="6:35" ht="24" customHeight="1">
      <c r="J869" s="880"/>
      <c r="P869" s="876"/>
      <c r="Q869" s="876"/>
      <c r="R869" s="545"/>
      <c r="T869" s="545"/>
      <c r="U869" s="501"/>
      <c r="AG869" s="545"/>
      <c r="AI869" s="876"/>
    </row>
    <row r="870" spans="6:35" ht="24" customHeight="1">
      <c r="F870" s="919"/>
      <c r="G870" s="938"/>
      <c r="H870" s="919"/>
      <c r="I870" s="876"/>
      <c r="J870" s="876"/>
      <c r="K870" s="545"/>
      <c r="L870" s="876"/>
      <c r="M870" s="882"/>
      <c r="P870" s="876"/>
      <c r="Q870" s="876"/>
      <c r="R870" s="545"/>
      <c r="T870" s="545"/>
      <c r="U870" s="919"/>
      <c r="AG870" s="545"/>
      <c r="AI870" s="876"/>
    </row>
    <row r="871" spans="6:35" ht="24" customHeight="1">
      <c r="F871" s="545"/>
      <c r="G871" s="889"/>
      <c r="H871" s="545"/>
      <c r="I871" s="876"/>
      <c r="J871" s="876"/>
      <c r="K871" s="545"/>
      <c r="L871" s="876"/>
      <c r="M871" s="882"/>
      <c r="P871" s="876"/>
      <c r="Q871" s="876"/>
      <c r="R871" s="545"/>
      <c r="T871" s="545"/>
      <c r="U871" s="939"/>
      <c r="AG871" s="545"/>
      <c r="AI871" s="876"/>
    </row>
    <row r="872" spans="6:35" ht="24" customHeight="1">
      <c r="F872" s="545"/>
      <c r="G872" s="889"/>
      <c r="H872" s="545"/>
      <c r="I872" s="876"/>
      <c r="J872" s="876"/>
      <c r="K872" s="914"/>
      <c r="L872" s="876"/>
      <c r="M872" s="882"/>
      <c r="P872" s="876"/>
      <c r="Q872" s="876"/>
      <c r="R872" s="545"/>
      <c r="T872" s="545"/>
      <c r="U872" s="545"/>
      <c r="AG872" s="545"/>
      <c r="AI872" s="876"/>
    </row>
    <row r="873" spans="6:35" ht="24" customHeight="1">
      <c r="F873" s="545"/>
      <c r="G873" s="889"/>
      <c r="H873" s="545"/>
      <c r="I873" s="876"/>
      <c r="J873" s="876"/>
      <c r="K873" s="914"/>
      <c r="L873" s="876"/>
      <c r="M873" s="882"/>
      <c r="P873" s="876"/>
      <c r="Q873" s="876"/>
      <c r="R873" s="545"/>
      <c r="T873" s="545"/>
      <c r="U873" s="545"/>
      <c r="AG873" s="545"/>
      <c r="AI873" s="876"/>
    </row>
    <row r="874" spans="6:35" ht="24" customHeight="1">
      <c r="F874" s="545"/>
      <c r="G874" s="889"/>
      <c r="H874" s="545"/>
      <c r="I874" s="876"/>
      <c r="J874" s="876"/>
      <c r="K874" s="914"/>
      <c r="L874" s="876"/>
      <c r="M874" s="882"/>
      <c r="T874" s="545"/>
      <c r="U874" s="545"/>
      <c r="AG874" s="545"/>
      <c r="AI874" s="876"/>
    </row>
    <row r="875" spans="6:35" ht="24" customHeight="1">
      <c r="F875" s="545"/>
      <c r="G875" s="889"/>
      <c r="H875" s="545"/>
      <c r="I875" s="876"/>
      <c r="J875" s="876"/>
      <c r="K875" s="914"/>
      <c r="L875" s="876"/>
      <c r="M875" s="882"/>
      <c r="T875" s="881"/>
      <c r="U875" s="545"/>
      <c r="AG875" s="545"/>
      <c r="AI875" s="876"/>
    </row>
    <row r="876" spans="6:35" ht="24" customHeight="1">
      <c r="F876" s="545"/>
      <c r="G876" s="889"/>
      <c r="H876" s="545"/>
      <c r="I876" s="876"/>
      <c r="J876" s="876"/>
      <c r="K876" s="545"/>
      <c r="L876" s="876"/>
      <c r="M876" s="882"/>
      <c r="Q876" s="880"/>
      <c r="T876" s="545"/>
      <c r="U876" s="545"/>
      <c r="AG876" s="545"/>
      <c r="AI876" s="876"/>
    </row>
    <row r="877" spans="6:35" ht="24" customHeight="1">
      <c r="F877" s="545"/>
      <c r="G877" s="889"/>
      <c r="H877" s="545"/>
      <c r="I877" s="876"/>
      <c r="J877" s="876"/>
      <c r="K877" s="545"/>
      <c r="L877" s="876"/>
      <c r="M877" s="882"/>
      <c r="T877" s="881"/>
      <c r="U877" s="545"/>
      <c r="AG877" s="545"/>
      <c r="AI877" s="876"/>
    </row>
    <row r="878" spans="6:35" ht="24" customHeight="1">
      <c r="F878" s="545"/>
      <c r="G878" s="889"/>
      <c r="H878" s="545"/>
      <c r="I878" s="876"/>
      <c r="J878" s="876"/>
      <c r="K878" s="914"/>
      <c r="L878" s="876"/>
      <c r="M878" s="882"/>
      <c r="U878" s="545"/>
      <c r="AG878" s="545"/>
      <c r="AI878" s="876"/>
    </row>
    <row r="879" spans="6:35" ht="24" customHeight="1">
      <c r="F879" s="545"/>
      <c r="G879" s="889"/>
      <c r="H879" s="545"/>
      <c r="I879" s="876"/>
      <c r="J879" s="876"/>
      <c r="K879" s="545"/>
      <c r="L879" s="876"/>
      <c r="M879" s="882"/>
      <c r="O879" s="880"/>
      <c r="P879" s="876"/>
      <c r="Q879" s="876"/>
      <c r="U879" s="545"/>
      <c r="AG879" s="545"/>
      <c r="AI879" s="876"/>
    </row>
    <row r="880" spans="6:35" ht="24" customHeight="1">
      <c r="I880" s="876"/>
      <c r="J880" s="876"/>
      <c r="L880" s="876"/>
      <c r="M880" s="882"/>
      <c r="Q880" s="876"/>
      <c r="U880" s="501"/>
      <c r="AG880" s="545"/>
      <c r="AI880" s="876"/>
    </row>
    <row r="881" spans="6:35" ht="24" customHeight="1">
      <c r="M881" s="882"/>
      <c r="Q881" s="881"/>
      <c r="R881" s="881"/>
      <c r="U881" s="501"/>
      <c r="AG881" s="545"/>
      <c r="AI881" s="876"/>
    </row>
    <row r="882" spans="6:35" ht="24" customHeight="1">
      <c r="J882" s="872"/>
      <c r="M882" s="883"/>
      <c r="Q882" s="876"/>
      <c r="U882" s="501"/>
      <c r="AG882" s="545"/>
      <c r="AI882" s="876"/>
    </row>
    <row r="883" spans="6:35" ht="24" customHeight="1">
      <c r="M883" s="882"/>
      <c r="O883" s="545"/>
      <c r="P883" s="880"/>
      <c r="Q883" s="876"/>
      <c r="R883" s="545"/>
      <c r="S883" s="880"/>
      <c r="T883" s="545"/>
      <c r="AG883" s="545"/>
      <c r="AI883" s="876"/>
    </row>
    <row r="884" spans="6:35" ht="24" customHeight="1">
      <c r="F884" s="880"/>
      <c r="G884" s="918"/>
      <c r="H884" s="880"/>
      <c r="I884" s="876"/>
      <c r="J884" s="880"/>
      <c r="O884" s="545"/>
      <c r="P884" s="880"/>
      <c r="Q884" s="876"/>
      <c r="R884" s="545"/>
      <c r="S884" s="880"/>
      <c r="T884" s="545"/>
      <c r="U884" s="501"/>
      <c r="AG884" s="545"/>
      <c r="AI884" s="876"/>
    </row>
    <row r="885" spans="6:35" ht="24" customHeight="1">
      <c r="J885" s="880"/>
      <c r="T885" s="881"/>
      <c r="U885" s="501"/>
      <c r="AG885" s="545"/>
      <c r="AI885" s="876"/>
    </row>
    <row r="886" spans="6:35" ht="24" customHeight="1">
      <c r="F886" s="919"/>
      <c r="G886" s="938"/>
      <c r="H886" s="919"/>
      <c r="I886" s="876"/>
      <c r="J886" s="876"/>
      <c r="K886" s="545"/>
      <c r="L886" s="876"/>
      <c r="M886" s="882"/>
      <c r="Q886" s="880"/>
      <c r="T886" s="545"/>
      <c r="U886" s="919"/>
      <c r="V886" s="901"/>
      <c r="W886" s="880"/>
      <c r="Y886" s="874"/>
      <c r="AG886" s="545"/>
      <c r="AI886" s="876"/>
    </row>
    <row r="887" spans="6:35" ht="24" customHeight="1">
      <c r="F887" s="545"/>
      <c r="G887" s="889"/>
      <c r="H887" s="545"/>
      <c r="I887" s="876"/>
      <c r="J887" s="876"/>
      <c r="K887" s="545"/>
      <c r="L887" s="876"/>
      <c r="M887" s="882"/>
      <c r="T887" s="881"/>
      <c r="U887" s="939"/>
      <c r="V887" s="902"/>
      <c r="W887" s="880"/>
      <c r="Y887" s="874"/>
      <c r="AG887" s="545"/>
      <c r="AI887" s="876"/>
    </row>
    <row r="888" spans="6:35" ht="24" customHeight="1">
      <c r="F888" s="545"/>
      <c r="G888" s="889"/>
      <c r="H888" s="545"/>
      <c r="I888" s="876"/>
      <c r="J888" s="876"/>
      <c r="K888" s="914"/>
      <c r="L888" s="876"/>
      <c r="M888" s="882"/>
      <c r="Q888" s="880"/>
      <c r="T888" s="545"/>
      <c r="U888" s="545"/>
      <c r="V888" s="901"/>
      <c r="W888" s="876"/>
      <c r="X888" s="545"/>
      <c r="Y888" s="876"/>
      <c r="Z888" s="545"/>
      <c r="AG888" s="545"/>
      <c r="AI888" s="876"/>
    </row>
    <row r="889" spans="6:35" ht="24" customHeight="1">
      <c r="F889" s="545"/>
      <c r="G889" s="889"/>
      <c r="H889" s="545"/>
      <c r="I889" s="876"/>
      <c r="J889" s="876"/>
      <c r="K889" s="914"/>
      <c r="L889" s="876"/>
      <c r="M889" s="882"/>
      <c r="T889" s="881"/>
      <c r="U889" s="545"/>
      <c r="V889" s="901"/>
      <c r="W889" s="876"/>
      <c r="X889" s="545"/>
      <c r="Y889" s="876"/>
      <c r="Z889" s="545"/>
      <c r="AG889" s="545"/>
      <c r="AI889" s="876"/>
    </row>
    <row r="890" spans="6:35" ht="24" customHeight="1">
      <c r="F890" s="545"/>
      <c r="G890" s="889"/>
      <c r="H890" s="545"/>
      <c r="I890" s="876"/>
      <c r="J890" s="545"/>
      <c r="K890" s="914"/>
      <c r="L890" s="876"/>
      <c r="M890" s="882"/>
      <c r="U890" s="545"/>
      <c r="V890" s="901"/>
      <c r="W890" s="876"/>
      <c r="X890" s="545"/>
      <c r="Y890" s="876"/>
      <c r="Z890" s="545"/>
      <c r="AG890" s="545"/>
      <c r="AI890" s="876"/>
    </row>
    <row r="891" spans="6:35" ht="24" customHeight="1">
      <c r="F891" s="545"/>
      <c r="G891" s="889"/>
      <c r="H891" s="545"/>
      <c r="I891" s="876"/>
      <c r="J891" s="876"/>
      <c r="K891" s="914"/>
      <c r="L891" s="876"/>
      <c r="M891" s="882"/>
      <c r="U891" s="545"/>
      <c r="V891" s="901"/>
      <c r="W891" s="876"/>
      <c r="X891" s="545"/>
      <c r="Y891" s="876"/>
      <c r="Z891" s="545"/>
      <c r="AG891" s="545"/>
      <c r="AI891" s="876"/>
    </row>
    <row r="892" spans="6:35" ht="24" customHeight="1">
      <c r="F892" s="545"/>
      <c r="G892" s="889"/>
      <c r="H892" s="545"/>
      <c r="I892" s="876"/>
      <c r="J892" s="876"/>
      <c r="K892" s="545"/>
      <c r="L892" s="876"/>
      <c r="M892" s="882"/>
      <c r="U892" s="545"/>
      <c r="V892" s="901"/>
      <c r="W892" s="876"/>
      <c r="X892" s="545"/>
      <c r="Y892" s="876"/>
      <c r="Z892" s="545"/>
      <c r="AG892" s="545"/>
      <c r="AI892" s="876"/>
    </row>
    <row r="893" spans="6:35" ht="24" customHeight="1">
      <c r="F893" s="545"/>
      <c r="G893" s="889"/>
      <c r="H893" s="545"/>
      <c r="I893" s="876"/>
      <c r="J893" s="876"/>
      <c r="K893" s="545"/>
      <c r="L893" s="876"/>
      <c r="M893" s="882"/>
      <c r="U893" s="545"/>
      <c r="V893" s="901"/>
      <c r="W893" s="876"/>
      <c r="X893" s="545"/>
      <c r="Y893" s="876"/>
      <c r="Z893" s="545"/>
      <c r="AG893" s="545"/>
      <c r="AI893" s="876"/>
    </row>
    <row r="894" spans="6:35" ht="101.25" customHeight="1">
      <c r="F894" s="545"/>
      <c r="G894" s="889"/>
      <c r="H894" s="545"/>
      <c r="I894" s="876"/>
      <c r="J894" s="545"/>
      <c r="K894" s="914"/>
      <c r="L894" s="876"/>
      <c r="M894" s="882"/>
      <c r="U894" s="545"/>
      <c r="V894" s="901"/>
      <c r="W894" s="876"/>
      <c r="X894" s="545"/>
      <c r="Y894" s="876"/>
      <c r="Z894" s="545"/>
      <c r="AG894" s="545"/>
    </row>
    <row r="895" spans="6:35" ht="24" customHeight="1">
      <c r="F895" s="545"/>
      <c r="G895" s="889"/>
      <c r="H895" s="545"/>
      <c r="I895" s="876"/>
      <c r="J895" s="876"/>
      <c r="K895" s="545"/>
      <c r="L895" s="876"/>
      <c r="M895" s="882"/>
      <c r="O895" s="545"/>
      <c r="P895" s="876"/>
      <c r="Q895" s="876"/>
      <c r="R895" s="545"/>
      <c r="T895" s="545"/>
      <c r="U895" s="545"/>
      <c r="V895" s="901"/>
      <c r="W895" s="876"/>
      <c r="X895" s="545"/>
      <c r="Y895" s="876"/>
      <c r="Z895" s="545"/>
      <c r="AG895" s="545"/>
    </row>
    <row r="896" spans="6:35" ht="24" customHeight="1">
      <c r="I896" s="876"/>
      <c r="J896" s="876"/>
      <c r="L896" s="876"/>
      <c r="M896" s="882"/>
      <c r="O896" s="922"/>
      <c r="P896" s="876"/>
      <c r="Q896" s="876"/>
      <c r="R896" s="545"/>
      <c r="T896" s="545"/>
      <c r="U896" s="501"/>
      <c r="V896" s="901"/>
      <c r="W896" s="876"/>
      <c r="X896" s="545"/>
      <c r="Y896" s="876"/>
      <c r="Z896" s="545"/>
      <c r="AG896" s="545"/>
    </row>
    <row r="897" spans="6:35" ht="24" customHeight="1">
      <c r="M897" s="882"/>
      <c r="O897" s="545"/>
      <c r="P897" s="876"/>
      <c r="Q897" s="876"/>
      <c r="R897" s="545"/>
      <c r="T897" s="545"/>
      <c r="U897" s="501"/>
      <c r="V897" s="901"/>
      <c r="W897" s="876"/>
      <c r="X897" s="545"/>
      <c r="Y897" s="876"/>
      <c r="Z897" s="545"/>
      <c r="AG897" s="545"/>
    </row>
    <row r="898" spans="6:35" ht="24" customHeight="1">
      <c r="J898" s="872"/>
      <c r="M898" s="883"/>
      <c r="T898" s="545"/>
      <c r="U898" s="501"/>
      <c r="V898" s="901"/>
      <c r="W898" s="876"/>
      <c r="Y898" s="876"/>
      <c r="Z898" s="545"/>
      <c r="AG898" s="545"/>
    </row>
    <row r="899" spans="6:35" ht="24" customHeight="1">
      <c r="M899" s="882"/>
      <c r="V899" s="902"/>
      <c r="Y899" s="874"/>
      <c r="Z899" s="881"/>
      <c r="AG899" s="545"/>
    </row>
    <row r="900" spans="6:35" ht="24" customHeight="1">
      <c r="T900" s="881"/>
      <c r="V900" s="902"/>
      <c r="W900" s="872"/>
      <c r="Y900" s="874"/>
      <c r="Z900" s="892"/>
      <c r="AG900" s="545"/>
    </row>
    <row r="901" spans="6:35" ht="24" customHeight="1">
      <c r="F901" s="942"/>
      <c r="G901" s="943"/>
      <c r="H901" s="942"/>
      <c r="I901" s="876"/>
      <c r="J901" s="944"/>
      <c r="Q901" s="880"/>
      <c r="T901" s="545"/>
      <c r="AG901" s="545"/>
    </row>
    <row r="902" spans="6:35" ht="24" customHeight="1">
      <c r="J902" s="876"/>
      <c r="AG902" s="545"/>
    </row>
    <row r="903" spans="6:35" ht="24" customHeight="1">
      <c r="J903" s="881"/>
      <c r="AG903" s="545"/>
    </row>
    <row r="904" spans="6:35" ht="24" customHeight="1">
      <c r="V904" s="901"/>
      <c r="W904" s="880"/>
      <c r="Y904" s="874"/>
      <c r="AG904" s="545"/>
    </row>
    <row r="905" spans="6:35" ht="24" customHeight="1">
      <c r="J905" s="913"/>
      <c r="L905" s="876"/>
      <c r="M905" s="883"/>
      <c r="V905" s="902"/>
      <c r="W905" s="880"/>
      <c r="Y905" s="874"/>
      <c r="AG905" s="545"/>
    </row>
    <row r="906" spans="6:35" ht="24" customHeight="1">
      <c r="F906" s="876"/>
      <c r="G906" s="916"/>
      <c r="H906" s="876"/>
      <c r="V906" s="901"/>
      <c r="W906" s="876"/>
      <c r="X906" s="545"/>
      <c r="Y906" s="876"/>
      <c r="Z906" s="545"/>
      <c r="AG906" s="545"/>
    </row>
    <row r="907" spans="6:35" ht="24" customHeight="1">
      <c r="J907" s="880"/>
      <c r="M907" s="882"/>
      <c r="V907" s="901"/>
      <c r="W907" s="876"/>
      <c r="X907" s="545"/>
      <c r="Y907" s="876"/>
      <c r="Z907" s="545"/>
      <c r="AG907" s="545"/>
    </row>
    <row r="908" spans="6:35" ht="24" customHeight="1">
      <c r="J908" s="880"/>
      <c r="V908" s="901"/>
      <c r="W908" s="876"/>
      <c r="X908" s="545"/>
      <c r="Y908" s="876"/>
      <c r="Z908" s="545"/>
      <c r="AG908" s="545"/>
    </row>
    <row r="909" spans="6:35" ht="24" customHeight="1">
      <c r="F909" s="929"/>
      <c r="G909" s="930"/>
      <c r="H909" s="929"/>
      <c r="J909" s="885"/>
      <c r="V909" s="901"/>
      <c r="W909" s="876"/>
      <c r="X909" s="545"/>
      <c r="Y909" s="876"/>
      <c r="Z909" s="545"/>
      <c r="AG909" s="545"/>
    </row>
    <row r="910" spans="6:35" ht="24" customHeight="1">
      <c r="F910" s="929"/>
      <c r="G910" s="930"/>
      <c r="H910" s="929"/>
      <c r="J910" s="881"/>
      <c r="V910" s="901"/>
      <c r="W910" s="876"/>
      <c r="X910" s="545"/>
      <c r="Y910" s="876"/>
      <c r="Z910" s="545"/>
      <c r="AG910" s="545"/>
      <c r="AI910" s="876"/>
    </row>
    <row r="911" spans="6:35" ht="24" customHeight="1">
      <c r="I911" s="876"/>
      <c r="J911" s="876"/>
      <c r="M911" s="882"/>
      <c r="V911" s="901"/>
      <c r="W911" s="876"/>
      <c r="X911" s="545"/>
      <c r="Y911" s="876"/>
      <c r="Z911" s="545"/>
      <c r="AG911" s="545"/>
      <c r="AI911" s="876"/>
    </row>
    <row r="912" spans="6:35" ht="24" customHeight="1">
      <c r="J912" s="881"/>
      <c r="M912" s="882"/>
      <c r="V912" s="901"/>
      <c r="W912" s="876"/>
      <c r="X912" s="545"/>
      <c r="Y912" s="876"/>
      <c r="Z912" s="545"/>
      <c r="AG912" s="545"/>
      <c r="AI912" s="876"/>
    </row>
    <row r="913" spans="6:35" ht="24" customHeight="1">
      <c r="F913" s="545"/>
      <c r="G913" s="889"/>
      <c r="H913" s="545"/>
      <c r="I913" s="876"/>
      <c r="J913" s="876"/>
      <c r="K913" s="545"/>
      <c r="L913" s="876"/>
      <c r="M913" s="882"/>
      <c r="V913" s="901"/>
      <c r="W913" s="876"/>
      <c r="X913" s="545"/>
      <c r="Y913" s="876"/>
      <c r="Z913" s="545"/>
      <c r="AG913" s="545"/>
      <c r="AI913" s="876"/>
    </row>
    <row r="914" spans="6:35" ht="24" customHeight="1">
      <c r="F914" s="545"/>
      <c r="G914" s="889"/>
      <c r="H914" s="545"/>
      <c r="I914" s="876"/>
      <c r="J914" s="876"/>
      <c r="K914" s="545"/>
      <c r="L914" s="876"/>
      <c r="M914" s="882"/>
      <c r="V914" s="901"/>
      <c r="W914" s="876"/>
      <c r="X914" s="545"/>
      <c r="Y914" s="876"/>
      <c r="Z914" s="545"/>
      <c r="AG914" s="545"/>
      <c r="AI914" s="876"/>
    </row>
    <row r="915" spans="6:35" ht="24" customHeight="1">
      <c r="M915" s="882"/>
      <c r="V915" s="901"/>
      <c r="W915" s="876"/>
      <c r="X915" s="545"/>
      <c r="Y915" s="876"/>
      <c r="Z915" s="545"/>
      <c r="AG915" s="545"/>
    </row>
    <row r="916" spans="6:35" ht="24" customHeight="1">
      <c r="J916" s="876"/>
      <c r="M916" s="883"/>
      <c r="V916" s="901"/>
      <c r="W916" s="876"/>
      <c r="Y916" s="876"/>
      <c r="Z916" s="545"/>
      <c r="AG916" s="545"/>
      <c r="AI916" s="876"/>
    </row>
    <row r="917" spans="6:35" ht="24" customHeight="1">
      <c r="M917" s="882"/>
      <c r="V917" s="902"/>
      <c r="Y917" s="874"/>
      <c r="Z917" s="881"/>
      <c r="AG917" s="545"/>
      <c r="AI917" s="876"/>
    </row>
    <row r="918" spans="6:35" ht="24" customHeight="1">
      <c r="I918" s="876"/>
      <c r="J918" s="876"/>
      <c r="M918" s="882"/>
      <c r="V918" s="902"/>
      <c r="W918" s="872"/>
      <c r="Y918" s="874"/>
      <c r="Z918" s="892"/>
      <c r="AG918" s="545"/>
      <c r="AI918" s="876"/>
    </row>
    <row r="919" spans="6:35" ht="24" customHeight="1">
      <c r="J919" s="881"/>
      <c r="O919" s="880"/>
      <c r="P919" s="901"/>
      <c r="Q919" s="876"/>
      <c r="S919" s="874"/>
      <c r="AG919" s="545"/>
      <c r="AI919" s="876"/>
    </row>
    <row r="920" spans="6:35" ht="24" customHeight="1">
      <c r="F920" s="545"/>
      <c r="G920" s="889"/>
      <c r="H920" s="545"/>
      <c r="I920" s="876"/>
      <c r="J920" s="876"/>
      <c r="K920" s="545"/>
      <c r="L920" s="876"/>
      <c r="M920" s="882"/>
      <c r="P920" s="902"/>
      <c r="Q920" s="876"/>
      <c r="S920" s="874"/>
      <c r="V920" s="901"/>
      <c r="W920" s="880"/>
      <c r="Y920" s="874"/>
      <c r="AG920" s="545"/>
      <c r="AI920" s="876"/>
    </row>
    <row r="921" spans="6:35" ht="24" customHeight="1">
      <c r="F921" s="545"/>
      <c r="G921" s="889"/>
      <c r="H921" s="545"/>
      <c r="I921" s="876"/>
      <c r="J921" s="876"/>
      <c r="K921" s="545"/>
      <c r="L921" s="876"/>
      <c r="M921" s="882"/>
      <c r="P921" s="902"/>
      <c r="Q921" s="876"/>
      <c r="S921" s="874"/>
      <c r="V921" s="902"/>
      <c r="W921" s="880"/>
      <c r="Y921" s="874"/>
      <c r="AG921" s="545"/>
      <c r="AI921" s="876"/>
    </row>
    <row r="922" spans="6:35" ht="24" customHeight="1">
      <c r="M922" s="882"/>
      <c r="P922" s="902"/>
      <c r="Q922" s="881"/>
      <c r="S922" s="874"/>
      <c r="V922" s="901"/>
      <c r="W922" s="876"/>
      <c r="X922" s="545"/>
      <c r="Y922" s="876"/>
      <c r="Z922" s="545"/>
      <c r="AG922" s="545"/>
      <c r="AI922" s="876"/>
    </row>
    <row r="923" spans="6:35" ht="24" customHeight="1">
      <c r="J923" s="876"/>
      <c r="M923" s="883"/>
      <c r="P923" s="902"/>
      <c r="Q923" s="876"/>
      <c r="S923" s="874"/>
      <c r="V923" s="901"/>
      <c r="W923" s="876"/>
      <c r="X923" s="545"/>
      <c r="Y923" s="876"/>
      <c r="Z923" s="545"/>
      <c r="AG923" s="545"/>
      <c r="AI923" s="876"/>
    </row>
    <row r="924" spans="6:35" ht="24" customHeight="1">
      <c r="M924" s="882"/>
      <c r="P924" s="902"/>
      <c r="Q924" s="876"/>
      <c r="S924" s="874"/>
      <c r="V924" s="901"/>
      <c r="W924" s="876"/>
      <c r="X924" s="545"/>
      <c r="Y924" s="876"/>
      <c r="Z924" s="545"/>
      <c r="AG924" s="545"/>
      <c r="AI924" s="876"/>
    </row>
    <row r="925" spans="6:35" ht="24" customHeight="1">
      <c r="P925" s="902"/>
      <c r="S925" s="876"/>
      <c r="V925" s="901"/>
      <c r="W925" s="876"/>
      <c r="X925" s="545"/>
      <c r="Y925" s="876"/>
      <c r="Z925" s="545"/>
      <c r="AG925" s="545"/>
      <c r="AI925" s="876"/>
    </row>
    <row r="926" spans="6:35" ht="24" customHeight="1">
      <c r="F926" s="880"/>
      <c r="G926" s="918"/>
      <c r="H926" s="880"/>
      <c r="I926" s="876"/>
      <c r="J926" s="876"/>
      <c r="P926" s="902"/>
      <c r="Q926" s="876"/>
      <c r="S926" s="874"/>
      <c r="V926" s="901"/>
      <c r="W926" s="876"/>
      <c r="X926" s="545"/>
      <c r="Y926" s="876"/>
      <c r="Z926" s="545"/>
      <c r="AG926" s="545"/>
      <c r="AI926" s="876"/>
    </row>
    <row r="927" spans="6:35" ht="24" customHeight="1">
      <c r="J927" s="876"/>
      <c r="P927" s="902"/>
      <c r="Q927" s="876"/>
      <c r="S927" s="874"/>
      <c r="T927" s="919"/>
      <c r="V927" s="901"/>
      <c r="W927" s="876"/>
      <c r="X927" s="545"/>
      <c r="Y927" s="876"/>
      <c r="Z927" s="545"/>
      <c r="AG927" s="545"/>
      <c r="AI927" s="876"/>
    </row>
    <row r="928" spans="6:35" ht="24" customHeight="1">
      <c r="J928" s="876"/>
      <c r="P928" s="902"/>
      <c r="S928" s="876"/>
      <c r="T928" s="881"/>
      <c r="V928" s="901"/>
      <c r="W928" s="876"/>
      <c r="X928" s="545"/>
      <c r="Y928" s="876"/>
      <c r="Z928" s="545"/>
      <c r="AG928" s="545"/>
      <c r="AI928" s="876"/>
    </row>
    <row r="929" spans="6:35" ht="24" customHeight="1">
      <c r="J929" s="881"/>
      <c r="P929" s="902"/>
      <c r="Q929" s="876"/>
      <c r="S929" s="945"/>
      <c r="T929" s="919"/>
      <c r="V929" s="901"/>
      <c r="W929" s="876"/>
      <c r="X929" s="545"/>
      <c r="Y929" s="876"/>
      <c r="Z929" s="545"/>
      <c r="AG929" s="545"/>
      <c r="AI929" s="876"/>
    </row>
    <row r="930" spans="6:35" ht="24" customHeight="1">
      <c r="J930" s="876"/>
      <c r="P930" s="902"/>
      <c r="Q930" s="876"/>
      <c r="S930" s="876"/>
      <c r="T930" s="919"/>
      <c r="V930" s="901"/>
      <c r="W930" s="876"/>
      <c r="X930" s="545"/>
      <c r="Y930" s="876"/>
      <c r="Z930" s="545"/>
      <c r="AG930" s="545"/>
      <c r="AI930" s="876"/>
    </row>
    <row r="931" spans="6:35" ht="24" customHeight="1">
      <c r="J931" s="876"/>
      <c r="P931" s="902"/>
      <c r="S931" s="874"/>
      <c r="T931" s="881"/>
      <c r="V931" s="901"/>
      <c r="W931" s="876"/>
      <c r="X931" s="545"/>
      <c r="Y931" s="876"/>
      <c r="Z931" s="545"/>
      <c r="AG931" s="545"/>
      <c r="AI931" s="876"/>
    </row>
    <row r="932" spans="6:35" ht="24" customHeight="1">
      <c r="L932" s="876"/>
      <c r="P932" s="902"/>
      <c r="S932" s="874"/>
      <c r="T932" s="919"/>
      <c r="V932" s="901"/>
      <c r="W932" s="876"/>
      <c r="Y932" s="876"/>
      <c r="Z932" s="545"/>
      <c r="AG932" s="545"/>
      <c r="AI932" s="876"/>
    </row>
    <row r="933" spans="6:35" ht="24" customHeight="1">
      <c r="J933" s="876"/>
      <c r="P933" s="902"/>
      <c r="S933" s="874"/>
      <c r="T933" s="881"/>
      <c r="V933" s="902"/>
      <c r="Y933" s="874"/>
      <c r="Z933" s="881"/>
      <c r="AG933" s="545"/>
      <c r="AI933" s="876"/>
    </row>
    <row r="934" spans="6:35" ht="24" customHeight="1">
      <c r="J934" s="876"/>
      <c r="M934" s="946"/>
      <c r="P934" s="902"/>
      <c r="S934" s="874"/>
      <c r="V934" s="902"/>
      <c r="W934" s="872"/>
      <c r="Y934" s="874"/>
      <c r="Z934" s="892"/>
      <c r="AG934" s="545"/>
      <c r="AI934" s="876"/>
    </row>
    <row r="935" spans="6:35" ht="24" customHeight="1">
      <c r="L935" s="876"/>
      <c r="M935" s="882"/>
      <c r="P935" s="902"/>
      <c r="S935" s="874"/>
      <c r="AG935" s="545"/>
      <c r="AI935" s="876"/>
    </row>
    <row r="936" spans="6:35" ht="24" customHeight="1">
      <c r="J936" s="876"/>
      <c r="L936" s="945"/>
      <c r="M936" s="946"/>
      <c r="O936" s="919"/>
      <c r="P936" s="901"/>
      <c r="Q936" s="876"/>
      <c r="R936" s="545"/>
      <c r="S936" s="876"/>
      <c r="T936" s="545"/>
      <c r="AG936" s="545"/>
      <c r="AI936" s="876"/>
    </row>
    <row r="937" spans="6:35" ht="24" customHeight="1">
      <c r="J937" s="876"/>
      <c r="L937" s="876"/>
      <c r="M937" s="946"/>
      <c r="O937" s="919"/>
      <c r="P937" s="901"/>
      <c r="Q937" s="876"/>
      <c r="R937" s="545"/>
      <c r="S937" s="876"/>
      <c r="T937" s="545"/>
      <c r="AG937" s="545"/>
      <c r="AI937" s="876"/>
    </row>
    <row r="938" spans="6:35" ht="24" customHeight="1">
      <c r="M938" s="882"/>
      <c r="O938" s="919"/>
      <c r="P938" s="901"/>
      <c r="Q938" s="876"/>
      <c r="R938" s="545"/>
      <c r="S938" s="876"/>
      <c r="T938" s="545"/>
      <c r="AG938" s="545"/>
      <c r="AI938" s="876"/>
    </row>
    <row r="939" spans="6:35" ht="24" customHeight="1">
      <c r="M939" s="946"/>
      <c r="O939" s="922"/>
      <c r="P939" s="902"/>
      <c r="Q939" s="876"/>
      <c r="R939" s="876"/>
      <c r="S939" s="874"/>
      <c r="T939" s="876"/>
      <c r="AG939" s="545"/>
    </row>
    <row r="940" spans="6:35" ht="24" customHeight="1">
      <c r="M940" s="882"/>
      <c r="O940" s="922"/>
      <c r="P940" s="901"/>
      <c r="Q940" s="876"/>
      <c r="R940" s="545"/>
      <c r="S940" s="876"/>
      <c r="T940" s="545"/>
      <c r="AG940" s="545"/>
    </row>
    <row r="941" spans="6:35" ht="24" customHeight="1">
      <c r="O941" s="545"/>
      <c r="P941" s="901"/>
      <c r="Q941" s="876"/>
      <c r="R941" s="545"/>
      <c r="S941" s="876"/>
      <c r="T941" s="545"/>
      <c r="AG941" s="545"/>
    </row>
    <row r="942" spans="6:35" ht="24" customHeight="1">
      <c r="O942" s="545"/>
      <c r="P942" s="901"/>
      <c r="Q942" s="876"/>
      <c r="R942" s="545"/>
      <c r="S942" s="876"/>
      <c r="T942" s="545"/>
      <c r="AG942" s="545"/>
    </row>
    <row r="943" spans="6:35" ht="24" customHeight="1">
      <c r="F943" s="919"/>
      <c r="G943" s="938"/>
      <c r="H943" s="919"/>
      <c r="I943" s="876"/>
      <c r="J943" s="876"/>
      <c r="K943" s="545"/>
      <c r="L943" s="876"/>
      <c r="M943" s="882"/>
      <c r="O943" s="545"/>
      <c r="P943" s="901"/>
      <c r="Q943" s="876"/>
      <c r="R943" s="545"/>
      <c r="S943" s="876"/>
      <c r="T943" s="545"/>
      <c r="AG943" s="545"/>
    </row>
    <row r="944" spans="6:35" ht="24" customHeight="1">
      <c r="F944" s="919"/>
      <c r="G944" s="938"/>
      <c r="H944" s="919"/>
      <c r="I944" s="876"/>
      <c r="J944" s="876"/>
      <c r="K944" s="545"/>
      <c r="L944" s="876"/>
      <c r="M944" s="882"/>
      <c r="O944" s="545"/>
      <c r="P944" s="901"/>
      <c r="Q944" s="876"/>
      <c r="R944" s="545"/>
      <c r="S944" s="876"/>
      <c r="T944" s="545"/>
      <c r="AG944" s="545"/>
    </row>
    <row r="945" spans="6:35" ht="24" customHeight="1">
      <c r="F945" s="919"/>
      <c r="G945" s="938"/>
      <c r="H945" s="919"/>
      <c r="I945" s="876"/>
      <c r="J945" s="876"/>
      <c r="K945" s="545"/>
      <c r="L945" s="876"/>
      <c r="M945" s="882"/>
      <c r="O945" s="545"/>
      <c r="P945" s="901"/>
      <c r="Q945" s="876"/>
      <c r="R945" s="545"/>
      <c r="S945" s="876"/>
      <c r="T945" s="545"/>
      <c r="AG945" s="545"/>
    </row>
    <row r="946" spans="6:35" ht="24" customHeight="1">
      <c r="F946" s="922"/>
      <c r="G946" s="923"/>
      <c r="H946" s="922"/>
      <c r="J946" s="876"/>
      <c r="K946" s="876"/>
      <c r="M946" s="882"/>
      <c r="O946" s="545"/>
      <c r="P946" s="901"/>
      <c r="Q946" s="876"/>
      <c r="R946" s="545"/>
      <c r="S946" s="876"/>
      <c r="T946" s="545"/>
      <c r="AG946" s="545"/>
    </row>
    <row r="947" spans="6:35" ht="24" customHeight="1">
      <c r="F947" s="922"/>
      <c r="G947" s="923"/>
      <c r="H947" s="922"/>
      <c r="I947" s="876"/>
      <c r="J947" s="876"/>
      <c r="K947" s="545"/>
      <c r="L947" s="876"/>
      <c r="M947" s="882"/>
      <c r="P947" s="902"/>
      <c r="S947" s="874"/>
      <c r="T947" s="881"/>
      <c r="AG947" s="545"/>
    </row>
    <row r="948" spans="6:35" ht="24" customHeight="1">
      <c r="F948" s="545"/>
      <c r="G948" s="889"/>
      <c r="H948" s="545"/>
      <c r="I948" s="876"/>
      <c r="J948" s="876"/>
      <c r="K948" s="545"/>
      <c r="L948" s="876"/>
      <c r="M948" s="882"/>
      <c r="P948" s="902"/>
      <c r="Q948" s="876"/>
      <c r="S948" s="874"/>
      <c r="T948" s="545"/>
      <c r="AG948" s="545"/>
    </row>
    <row r="949" spans="6:35" ht="24" customHeight="1">
      <c r="F949" s="545"/>
      <c r="G949" s="889"/>
      <c r="H949" s="545"/>
      <c r="I949" s="876"/>
      <c r="J949" s="876"/>
      <c r="K949" s="545"/>
      <c r="L949" s="876"/>
      <c r="M949" s="882"/>
      <c r="P949" s="902"/>
      <c r="S949" s="874"/>
      <c r="T949" s="881"/>
      <c r="AG949" s="545"/>
    </row>
    <row r="950" spans="6:35" ht="24" customHeight="1">
      <c r="F950" s="545"/>
      <c r="G950" s="889"/>
      <c r="H950" s="545"/>
      <c r="I950" s="876"/>
      <c r="J950" s="876"/>
      <c r="K950" s="545"/>
      <c r="L950" s="876"/>
      <c r="M950" s="882"/>
      <c r="P950" s="902"/>
      <c r="Q950" s="872"/>
      <c r="S950" s="874"/>
      <c r="T950" s="892"/>
      <c r="AG950" s="545"/>
    </row>
    <row r="951" spans="6:35" ht="24" customHeight="1">
      <c r="F951" s="545"/>
      <c r="G951" s="889"/>
      <c r="H951" s="545"/>
      <c r="I951" s="876"/>
      <c r="J951" s="876"/>
      <c r="K951" s="545"/>
      <c r="L951" s="876"/>
      <c r="M951" s="882"/>
      <c r="O951" s="876"/>
      <c r="P951" s="902"/>
      <c r="S951" s="874"/>
      <c r="AG951" s="545"/>
    </row>
    <row r="952" spans="6:35" ht="24" customHeight="1">
      <c r="F952" s="545"/>
      <c r="G952" s="889"/>
      <c r="H952" s="545"/>
      <c r="I952" s="876"/>
      <c r="J952" s="876"/>
      <c r="K952" s="545"/>
      <c r="L952" s="876"/>
      <c r="M952" s="882"/>
      <c r="P952" s="902"/>
      <c r="S952" s="874"/>
      <c r="T952" s="881"/>
      <c r="AG952" s="545"/>
      <c r="AI952" s="876"/>
    </row>
    <row r="953" spans="6:35" ht="24" customHeight="1">
      <c r="F953" s="545"/>
      <c r="G953" s="889"/>
      <c r="H953" s="545"/>
      <c r="I953" s="876"/>
      <c r="J953" s="876"/>
      <c r="K953" s="545"/>
      <c r="L953" s="876"/>
      <c r="M953" s="882"/>
      <c r="AG953" s="545"/>
      <c r="AI953" s="876"/>
    </row>
    <row r="954" spans="6:35" ht="24" customHeight="1">
      <c r="F954" s="545"/>
      <c r="G954" s="889"/>
      <c r="H954" s="545"/>
      <c r="I954" s="876"/>
      <c r="J954" s="913"/>
      <c r="M954" s="882"/>
      <c r="AG954" s="545"/>
      <c r="AI954" s="876"/>
    </row>
    <row r="955" spans="6:35" ht="24" customHeight="1">
      <c r="J955" s="876"/>
      <c r="M955" s="882"/>
      <c r="AG955" s="545"/>
      <c r="AI955" s="876"/>
    </row>
    <row r="956" spans="6:35" ht="24" customHeight="1">
      <c r="M956" s="882"/>
      <c r="AG956" s="545"/>
      <c r="AI956" s="876"/>
    </row>
    <row r="957" spans="6:35" ht="24" customHeight="1">
      <c r="J957" s="872"/>
      <c r="M957" s="883"/>
      <c r="AG957" s="545"/>
      <c r="AI957" s="876"/>
    </row>
    <row r="958" spans="6:35" ht="24" customHeight="1">
      <c r="F958" s="876"/>
      <c r="G958" s="916"/>
      <c r="H958" s="876"/>
      <c r="AG958" s="545"/>
      <c r="AI958" s="876"/>
    </row>
    <row r="959" spans="6:35" ht="24" customHeight="1">
      <c r="M959" s="882"/>
      <c r="AG959" s="545"/>
      <c r="AI959" s="876"/>
    </row>
    <row r="960" spans="6:35" ht="24" customHeight="1">
      <c r="AG960" s="545"/>
      <c r="AI960" s="876"/>
    </row>
    <row r="961" spans="6:35" ht="24" customHeight="1">
      <c r="AG961" s="545"/>
      <c r="AI961" s="876"/>
    </row>
    <row r="962" spans="6:35" ht="24" customHeight="1">
      <c r="F962" s="880"/>
      <c r="G962" s="918"/>
      <c r="H962" s="880"/>
      <c r="I962" s="876"/>
      <c r="J962" s="876"/>
      <c r="AG962" s="545"/>
      <c r="AI962" s="876"/>
    </row>
    <row r="963" spans="6:35" ht="24" customHeight="1">
      <c r="J963" s="876"/>
      <c r="AG963" s="545"/>
      <c r="AI963" s="876"/>
    </row>
    <row r="964" spans="6:35" ht="24" customHeight="1">
      <c r="J964" s="876"/>
      <c r="AG964" s="545"/>
      <c r="AI964" s="876"/>
    </row>
    <row r="965" spans="6:35" ht="24" customHeight="1">
      <c r="J965" s="881"/>
      <c r="AG965" s="545"/>
      <c r="AI965" s="876"/>
    </row>
    <row r="966" spans="6:35" ht="24" customHeight="1">
      <c r="AG966" s="545"/>
      <c r="AI966" s="876"/>
    </row>
    <row r="967" spans="6:35" ht="24" customHeight="1">
      <c r="J967" s="876"/>
      <c r="AG967" s="545"/>
    </row>
    <row r="968" spans="6:35" ht="24" customHeight="1">
      <c r="J968" s="876"/>
      <c r="AG968" s="545"/>
      <c r="AI968" s="876"/>
    </row>
    <row r="969" spans="6:35" ht="24" customHeight="1">
      <c r="L969" s="876"/>
      <c r="AG969" s="545"/>
    </row>
    <row r="970" spans="6:35" ht="24" customHeight="1">
      <c r="J970" s="876"/>
      <c r="AG970" s="545"/>
    </row>
    <row r="971" spans="6:35" ht="24" customHeight="1">
      <c r="J971" s="876"/>
      <c r="M971" s="946"/>
      <c r="AG971" s="545"/>
      <c r="AI971" s="876"/>
    </row>
    <row r="972" spans="6:35" ht="24" customHeight="1">
      <c r="L972" s="876"/>
      <c r="M972" s="882"/>
      <c r="AG972" s="545"/>
      <c r="AI972" s="876"/>
    </row>
    <row r="973" spans="6:35" ht="24" customHeight="1">
      <c r="J973" s="876"/>
      <c r="L973" s="945"/>
      <c r="M973" s="946"/>
      <c r="AG973" s="545"/>
      <c r="AI973" s="876"/>
    </row>
    <row r="974" spans="6:35" ht="24" customHeight="1">
      <c r="J974" s="876"/>
      <c r="L974" s="876"/>
      <c r="M974" s="946"/>
      <c r="AG974" s="545"/>
      <c r="AI974" s="876"/>
    </row>
    <row r="975" spans="6:35" ht="24" customHeight="1">
      <c r="M975" s="882"/>
      <c r="AG975" s="545"/>
    </row>
    <row r="976" spans="6:35" ht="24" customHeight="1">
      <c r="M976" s="946"/>
      <c r="AG976" s="545"/>
    </row>
    <row r="977" spans="6:35" ht="24" customHeight="1">
      <c r="M977" s="882"/>
      <c r="AG977" s="545"/>
    </row>
    <row r="978" spans="6:35" ht="24" customHeight="1">
      <c r="F978" s="919"/>
      <c r="G978" s="938"/>
      <c r="H978" s="919"/>
      <c r="I978" s="876"/>
      <c r="J978" s="876"/>
      <c r="K978" s="545"/>
      <c r="L978" s="876"/>
      <c r="M978" s="882"/>
      <c r="O978" s="880"/>
      <c r="P978" s="901"/>
      <c r="Q978" s="876"/>
      <c r="S978" s="874"/>
      <c r="T978" s="876"/>
      <c r="AG978" s="545"/>
    </row>
    <row r="979" spans="6:35" ht="24" customHeight="1">
      <c r="F979" s="919"/>
      <c r="G979" s="938"/>
      <c r="H979" s="919"/>
      <c r="I979" s="876"/>
      <c r="J979" s="876"/>
      <c r="K979" s="545"/>
      <c r="L979" s="876"/>
      <c r="M979" s="882"/>
      <c r="P979" s="902"/>
      <c r="Q979" s="881"/>
      <c r="S979" s="874"/>
      <c r="AG979" s="545"/>
    </row>
    <row r="980" spans="6:35" ht="24" customHeight="1">
      <c r="F980" s="919"/>
      <c r="G980" s="938"/>
      <c r="H980" s="919"/>
      <c r="I980" s="876"/>
      <c r="J980" s="876"/>
      <c r="K980" s="545"/>
      <c r="L980" s="876"/>
      <c r="M980" s="882"/>
      <c r="O980" s="947"/>
      <c r="P980" s="948"/>
      <c r="Q980" s="949"/>
      <c r="R980" s="950"/>
      <c r="S980" s="949"/>
      <c r="T980" s="950"/>
      <c r="AG980" s="545"/>
    </row>
    <row r="981" spans="6:35" ht="24" customHeight="1">
      <c r="F981" s="919"/>
      <c r="G981" s="938"/>
      <c r="H981" s="919"/>
      <c r="J981" s="876"/>
      <c r="K981" s="876"/>
      <c r="M981" s="882"/>
      <c r="O981" s="951"/>
      <c r="P981" s="901"/>
      <c r="Q981" s="876"/>
      <c r="R981" s="950"/>
      <c r="S981" s="876"/>
      <c r="T981" s="545"/>
      <c r="AG981" s="545"/>
    </row>
    <row r="982" spans="6:35" ht="24" customHeight="1">
      <c r="F982" s="919"/>
      <c r="G982" s="938"/>
      <c r="H982" s="919"/>
      <c r="I982" s="876"/>
      <c r="J982" s="876"/>
      <c r="K982" s="545"/>
      <c r="L982" s="876"/>
      <c r="M982" s="882"/>
      <c r="O982" s="951"/>
      <c r="P982" s="901"/>
      <c r="Q982" s="876"/>
      <c r="R982" s="950"/>
      <c r="S982" s="876"/>
      <c r="T982" s="545"/>
      <c r="AG982" s="545"/>
    </row>
    <row r="983" spans="6:35" ht="24" customHeight="1">
      <c r="F983" s="545"/>
      <c r="G983" s="889"/>
      <c r="H983" s="545"/>
      <c r="I983" s="876"/>
      <c r="J983" s="876"/>
      <c r="K983" s="545"/>
      <c r="L983" s="876"/>
      <c r="M983" s="882"/>
      <c r="O983" s="951"/>
      <c r="P983" s="901"/>
      <c r="Q983" s="876"/>
      <c r="R983" s="950"/>
      <c r="S983" s="876"/>
      <c r="T983" s="545"/>
      <c r="AG983" s="545"/>
    </row>
    <row r="984" spans="6:35" ht="24" customHeight="1">
      <c r="F984" s="545"/>
      <c r="G984" s="889"/>
      <c r="H984" s="545"/>
      <c r="I984" s="876"/>
      <c r="J984" s="876"/>
      <c r="K984" s="545"/>
      <c r="L984" s="876"/>
      <c r="M984" s="882"/>
      <c r="O984" s="545"/>
      <c r="P984" s="901"/>
      <c r="Q984" s="876"/>
      <c r="R984" s="950"/>
      <c r="S984" s="876"/>
      <c r="T984" s="545"/>
      <c r="AG984" s="545"/>
    </row>
    <row r="985" spans="6:35" ht="24" customHeight="1">
      <c r="F985" s="545"/>
      <c r="G985" s="889"/>
      <c r="H985" s="545"/>
      <c r="I985" s="876"/>
      <c r="J985" s="876"/>
      <c r="K985" s="545"/>
      <c r="L985" s="876"/>
      <c r="M985" s="882"/>
      <c r="O985" s="545"/>
      <c r="P985" s="901"/>
      <c r="Q985" s="876"/>
      <c r="R985" s="950"/>
      <c r="S985" s="876"/>
      <c r="T985" s="545"/>
      <c r="AG985" s="545"/>
    </row>
    <row r="986" spans="6:35" ht="24" customHeight="1">
      <c r="F986" s="545"/>
      <c r="G986" s="889"/>
      <c r="H986" s="545"/>
      <c r="I986" s="876"/>
      <c r="J986" s="876"/>
      <c r="K986" s="545"/>
      <c r="L986" s="876"/>
      <c r="M986" s="882"/>
      <c r="O986" s="545"/>
      <c r="P986" s="901"/>
      <c r="Q986" s="876"/>
      <c r="R986" s="950"/>
      <c r="S986" s="876"/>
      <c r="T986" s="545"/>
      <c r="AG986" s="545"/>
    </row>
    <row r="987" spans="6:35" ht="24" customHeight="1">
      <c r="F987" s="545"/>
      <c r="G987" s="889"/>
      <c r="H987" s="545"/>
      <c r="I987" s="876"/>
      <c r="J987" s="876"/>
      <c r="K987" s="545"/>
      <c r="L987" s="876"/>
      <c r="M987" s="882"/>
      <c r="O987" s="545"/>
      <c r="P987" s="901"/>
      <c r="Q987" s="876"/>
      <c r="R987" s="950"/>
      <c r="S987" s="876"/>
      <c r="T987" s="545"/>
      <c r="AG987" s="545"/>
      <c r="AI987" s="876"/>
    </row>
    <row r="988" spans="6:35" ht="24" customHeight="1">
      <c r="F988" s="545"/>
      <c r="G988" s="889"/>
      <c r="H988" s="545"/>
      <c r="I988" s="876"/>
      <c r="J988" s="876"/>
      <c r="K988" s="545"/>
      <c r="L988" s="876"/>
      <c r="M988" s="882"/>
      <c r="O988" s="545"/>
      <c r="P988" s="901"/>
      <c r="Q988" s="876"/>
      <c r="R988" s="950"/>
      <c r="S988" s="876"/>
      <c r="T988" s="545"/>
      <c r="AG988" s="545"/>
      <c r="AI988" s="876"/>
    </row>
    <row r="989" spans="6:35" ht="24" customHeight="1">
      <c r="F989" s="545"/>
      <c r="G989" s="889"/>
      <c r="H989" s="545"/>
      <c r="I989" s="876"/>
      <c r="J989" s="876"/>
      <c r="K989" s="545"/>
      <c r="L989" s="876"/>
      <c r="M989" s="882"/>
      <c r="O989" s="545"/>
      <c r="P989" s="901"/>
      <c r="Q989" s="876"/>
      <c r="R989" s="950"/>
      <c r="S989" s="876"/>
      <c r="T989" s="545"/>
      <c r="AG989" s="545"/>
      <c r="AI989" s="876"/>
    </row>
    <row r="990" spans="6:35" ht="24" customHeight="1">
      <c r="M990" s="882"/>
      <c r="O990" s="545"/>
      <c r="P990" s="902"/>
      <c r="Q990" s="876"/>
      <c r="R990" s="950"/>
      <c r="S990" s="874"/>
      <c r="T990" s="545"/>
      <c r="AG990" s="545"/>
      <c r="AI990" s="876"/>
    </row>
    <row r="991" spans="6:35" ht="24" customHeight="1">
      <c r="J991" s="876"/>
      <c r="M991" s="882"/>
      <c r="P991" s="902"/>
      <c r="Q991" s="880"/>
      <c r="S991" s="874"/>
      <c r="T991" s="545"/>
      <c r="AG991" s="545"/>
      <c r="AI991" s="876"/>
    </row>
    <row r="992" spans="6:35" ht="24" customHeight="1">
      <c r="M992" s="882"/>
      <c r="P992" s="901"/>
      <c r="S992" s="874"/>
      <c r="T992" s="881"/>
      <c r="AG992" s="545"/>
      <c r="AI992" s="876"/>
    </row>
    <row r="993" spans="6:35" ht="24" customHeight="1">
      <c r="J993" s="872"/>
      <c r="M993" s="883"/>
      <c r="P993" s="902"/>
      <c r="Q993" s="872"/>
      <c r="S993" s="874"/>
      <c r="T993" s="892"/>
      <c r="AG993" s="545"/>
      <c r="AI993" s="876"/>
    </row>
    <row r="994" spans="6:35" ht="24" customHeight="1">
      <c r="M994" s="882"/>
      <c r="P994" s="902"/>
      <c r="S994" s="874"/>
      <c r="T994" s="881"/>
      <c r="AG994" s="545"/>
      <c r="AI994" s="876"/>
    </row>
    <row r="995" spans="6:35" ht="24" customHeight="1">
      <c r="F995" s="880"/>
      <c r="G995" s="918"/>
      <c r="H995" s="880"/>
      <c r="I995" s="876"/>
      <c r="J995" s="876"/>
      <c r="AG995" s="545"/>
    </row>
    <row r="996" spans="6:35" ht="24" customHeight="1">
      <c r="J996" s="876"/>
      <c r="AG996" s="545"/>
    </row>
    <row r="997" spans="6:35" ht="24" customHeight="1">
      <c r="J997" s="876"/>
      <c r="AG997" s="545"/>
      <c r="AI997" s="876"/>
    </row>
    <row r="998" spans="6:35" ht="24" customHeight="1">
      <c r="J998" s="881"/>
      <c r="AG998" s="545"/>
      <c r="AI998" s="876"/>
    </row>
    <row r="999" spans="6:35" ht="24" customHeight="1">
      <c r="J999" s="876"/>
      <c r="AG999" s="545"/>
      <c r="AI999" s="876"/>
    </row>
    <row r="1000" spans="6:35" ht="24" customHeight="1">
      <c r="J1000" s="876"/>
      <c r="AG1000" s="545"/>
      <c r="AI1000" s="876"/>
    </row>
    <row r="1001" spans="6:35" ht="24" customHeight="1">
      <c r="L1001" s="876"/>
      <c r="AG1001" s="545"/>
      <c r="AI1001" s="876"/>
    </row>
    <row r="1002" spans="6:35" ht="24" customHeight="1">
      <c r="J1002" s="876"/>
      <c r="AG1002" s="545"/>
      <c r="AI1002" s="876"/>
    </row>
    <row r="1003" spans="6:35" ht="24" customHeight="1">
      <c r="J1003" s="876"/>
      <c r="M1003" s="946"/>
      <c r="AG1003" s="545"/>
      <c r="AI1003" s="876"/>
    </row>
    <row r="1004" spans="6:35" ht="24" customHeight="1">
      <c r="L1004" s="876"/>
      <c r="M1004" s="882"/>
      <c r="AG1004" s="545"/>
    </row>
    <row r="1005" spans="6:35" ht="24" customHeight="1">
      <c r="J1005" s="876"/>
      <c r="L1005" s="945"/>
      <c r="M1005" s="946"/>
      <c r="AG1005" s="545"/>
    </row>
    <row r="1006" spans="6:35" ht="24" customHeight="1">
      <c r="J1006" s="876"/>
      <c r="L1006" s="876"/>
      <c r="M1006" s="946"/>
      <c r="AG1006" s="545"/>
    </row>
    <row r="1007" spans="6:35" ht="24" customHeight="1">
      <c r="AG1007" s="545"/>
    </row>
    <row r="1008" spans="6:35" ht="24" customHeight="1">
      <c r="F1008" s="919"/>
      <c r="G1008" s="938"/>
      <c r="H1008" s="919"/>
      <c r="I1008" s="876"/>
      <c r="J1008" s="876"/>
      <c r="K1008" s="545"/>
      <c r="L1008" s="876"/>
      <c r="M1008" s="882"/>
      <c r="AG1008" s="545"/>
    </row>
    <row r="1009" spans="6:33" ht="24" customHeight="1">
      <c r="F1009" s="919"/>
      <c r="G1009" s="938"/>
      <c r="H1009" s="919"/>
      <c r="I1009" s="876"/>
      <c r="J1009" s="876"/>
      <c r="K1009" s="545"/>
      <c r="L1009" s="876"/>
      <c r="M1009" s="882"/>
      <c r="AG1009" s="545"/>
    </row>
    <row r="1010" spans="6:33" ht="24" customHeight="1">
      <c r="F1010" s="919"/>
      <c r="G1010" s="938"/>
      <c r="H1010" s="919"/>
      <c r="I1010" s="876"/>
      <c r="J1010" s="876"/>
      <c r="K1010" s="545"/>
      <c r="L1010" s="876"/>
      <c r="M1010" s="882"/>
      <c r="AG1010" s="545"/>
    </row>
    <row r="1011" spans="6:33" ht="24" customHeight="1">
      <c r="F1011" s="919"/>
      <c r="G1011" s="938"/>
      <c r="H1011" s="919"/>
      <c r="J1011" s="876"/>
      <c r="K1011" s="876"/>
      <c r="M1011" s="882"/>
      <c r="AG1011" s="545"/>
    </row>
    <row r="1012" spans="6:33" ht="24" customHeight="1">
      <c r="F1012" s="919"/>
      <c r="G1012" s="938"/>
      <c r="H1012" s="919"/>
      <c r="I1012" s="876"/>
      <c r="J1012" s="876"/>
      <c r="K1012" s="545"/>
      <c r="L1012" s="876"/>
      <c r="M1012" s="882"/>
      <c r="AG1012" s="545"/>
    </row>
    <row r="1013" spans="6:33" ht="24" customHeight="1">
      <c r="F1013" s="545"/>
      <c r="G1013" s="889"/>
      <c r="H1013" s="545"/>
      <c r="I1013" s="876"/>
      <c r="J1013" s="876"/>
      <c r="K1013" s="545"/>
      <c r="L1013" s="876"/>
      <c r="M1013" s="882"/>
      <c r="AG1013" s="545"/>
    </row>
    <row r="1014" spans="6:33" ht="24" customHeight="1">
      <c r="F1014" s="545"/>
      <c r="G1014" s="889"/>
      <c r="H1014" s="545"/>
      <c r="I1014" s="876"/>
      <c r="J1014" s="876"/>
      <c r="K1014" s="545"/>
      <c r="L1014" s="876"/>
      <c r="M1014" s="882"/>
      <c r="AG1014" s="545"/>
    </row>
    <row r="1015" spans="6:33" ht="24" customHeight="1">
      <c r="F1015" s="545"/>
      <c r="G1015" s="889"/>
      <c r="H1015" s="545"/>
      <c r="I1015" s="876"/>
      <c r="J1015" s="876"/>
      <c r="K1015" s="545"/>
      <c r="L1015" s="876"/>
      <c r="M1015" s="882"/>
      <c r="AG1015" s="545"/>
    </row>
    <row r="1016" spans="6:33" ht="24" customHeight="1">
      <c r="F1016" s="545"/>
      <c r="G1016" s="889"/>
      <c r="H1016" s="545"/>
      <c r="I1016" s="876"/>
      <c r="J1016" s="876"/>
      <c r="K1016" s="545"/>
      <c r="L1016" s="876"/>
      <c r="M1016" s="882"/>
      <c r="AG1016" s="545"/>
    </row>
    <row r="1017" spans="6:33" ht="24" customHeight="1">
      <c r="F1017" s="545"/>
      <c r="G1017" s="889"/>
      <c r="H1017" s="545"/>
      <c r="I1017" s="876"/>
      <c r="J1017" s="876"/>
      <c r="K1017" s="545"/>
      <c r="L1017" s="876"/>
      <c r="M1017" s="882"/>
      <c r="AG1017" s="545"/>
    </row>
    <row r="1018" spans="6:33" ht="24" customHeight="1">
      <c r="F1018" s="545"/>
      <c r="G1018" s="889"/>
      <c r="H1018" s="545"/>
      <c r="I1018" s="876"/>
      <c r="J1018" s="876"/>
      <c r="K1018" s="545"/>
      <c r="L1018" s="876"/>
      <c r="M1018" s="882"/>
      <c r="AG1018" s="545"/>
    </row>
    <row r="1019" spans="6:33" ht="24" customHeight="1">
      <c r="F1019" s="545"/>
      <c r="G1019" s="889"/>
      <c r="H1019" s="545"/>
      <c r="I1019" s="876"/>
      <c r="J1019" s="876"/>
      <c r="K1019" s="545"/>
      <c r="L1019" s="876"/>
      <c r="M1019" s="882"/>
      <c r="O1019" s="880"/>
      <c r="P1019" s="901"/>
      <c r="Q1019" s="876"/>
      <c r="S1019" s="874"/>
      <c r="AG1019" s="545"/>
    </row>
    <row r="1020" spans="6:33" ht="24" customHeight="1">
      <c r="M1020" s="882"/>
      <c r="P1020" s="902"/>
      <c r="Q1020" s="876"/>
      <c r="S1020" s="874"/>
      <c r="AG1020" s="545"/>
    </row>
    <row r="1021" spans="6:33" ht="24" customHeight="1">
      <c r="J1021" s="876"/>
      <c r="M1021" s="882"/>
      <c r="P1021" s="902"/>
      <c r="Q1021" s="876"/>
      <c r="S1021" s="874"/>
      <c r="AG1021" s="545"/>
    </row>
    <row r="1022" spans="6:33" ht="24" customHeight="1">
      <c r="M1022" s="882"/>
      <c r="P1022" s="902"/>
      <c r="Q1022" s="876"/>
      <c r="S1022" s="874"/>
      <c r="AG1022" s="545"/>
    </row>
    <row r="1023" spans="6:33" ht="24" customHeight="1">
      <c r="J1023" s="872"/>
      <c r="M1023" s="883"/>
      <c r="P1023" s="902"/>
      <c r="Q1023" s="876"/>
      <c r="S1023" s="874"/>
      <c r="AG1023" s="545"/>
    </row>
    <row r="1024" spans="6:33" ht="24" customHeight="1">
      <c r="M1024" s="882"/>
      <c r="P1024" s="902"/>
      <c r="Q1024" s="876"/>
      <c r="S1024" s="874"/>
      <c r="AG1024" s="545"/>
    </row>
    <row r="1025" spans="6:35" ht="24" customHeight="1">
      <c r="J1025" s="952"/>
      <c r="K1025" s="952"/>
      <c r="L1025" s="953"/>
      <c r="M1025" s="954"/>
      <c r="P1025" s="902"/>
      <c r="Q1025" s="881"/>
      <c r="S1025" s="874"/>
      <c r="AG1025" s="545"/>
    </row>
    <row r="1026" spans="6:35" ht="24" customHeight="1">
      <c r="F1026" s="880"/>
      <c r="G1026" s="918"/>
      <c r="H1026" s="880"/>
      <c r="I1026" s="876"/>
      <c r="J1026" s="876"/>
      <c r="P1026" s="902"/>
      <c r="Q1026" s="876"/>
      <c r="S1026" s="874"/>
      <c r="AG1026" s="545"/>
    </row>
    <row r="1027" spans="6:35" ht="24" customHeight="1">
      <c r="J1027" s="876"/>
      <c r="P1027" s="902"/>
      <c r="Q1027" s="876"/>
      <c r="S1027" s="874"/>
      <c r="AG1027" s="545"/>
    </row>
    <row r="1028" spans="6:35" ht="24" customHeight="1">
      <c r="J1028" s="876"/>
      <c r="P1028" s="902"/>
      <c r="S1028" s="876"/>
      <c r="AG1028" s="545"/>
    </row>
    <row r="1029" spans="6:35" ht="24" customHeight="1">
      <c r="J1029" s="876"/>
      <c r="P1029" s="902"/>
      <c r="Q1029" s="876"/>
      <c r="S1029" s="874"/>
      <c r="AG1029" s="545"/>
    </row>
    <row r="1030" spans="6:35" ht="24" customHeight="1">
      <c r="J1030" s="876"/>
      <c r="P1030" s="902"/>
      <c r="Q1030" s="876"/>
      <c r="R1030" s="876"/>
      <c r="S1030" s="874"/>
      <c r="T1030" s="945"/>
      <c r="AG1030" s="545"/>
    </row>
    <row r="1031" spans="6:35" ht="24" customHeight="1">
      <c r="J1031" s="876"/>
      <c r="P1031" s="902"/>
      <c r="S1031" s="876"/>
      <c r="T1031" s="876"/>
      <c r="AG1031" s="545"/>
    </row>
    <row r="1032" spans="6:35" ht="24" customHeight="1">
      <c r="J1032" s="881"/>
      <c r="P1032" s="902"/>
      <c r="Q1032" s="876"/>
      <c r="S1032" s="945"/>
      <c r="T1032" s="945"/>
      <c r="AG1032" s="545"/>
    </row>
    <row r="1033" spans="6:35" ht="24" customHeight="1">
      <c r="J1033" s="876"/>
      <c r="P1033" s="902"/>
      <c r="Q1033" s="876"/>
      <c r="S1033" s="874"/>
      <c r="T1033" s="945"/>
      <c r="AG1033" s="545"/>
    </row>
    <row r="1034" spans="6:35" ht="24" customHeight="1">
      <c r="J1034" s="876"/>
      <c r="P1034" s="902"/>
      <c r="S1034" s="874"/>
      <c r="T1034" s="876"/>
      <c r="AG1034" s="545"/>
    </row>
    <row r="1035" spans="6:35" ht="24" customHeight="1">
      <c r="L1035" s="876"/>
      <c r="P1035" s="902"/>
      <c r="S1035" s="874"/>
      <c r="T1035" s="945"/>
      <c r="AD1035" s="880"/>
      <c r="AE1035" s="901"/>
      <c r="AF1035" s="876"/>
      <c r="AH1035" s="874"/>
    </row>
    <row r="1036" spans="6:35" ht="24" customHeight="1">
      <c r="J1036" s="876"/>
      <c r="P1036" s="902"/>
      <c r="S1036" s="874"/>
      <c r="T1036" s="876"/>
      <c r="AE1036" s="902"/>
      <c r="AF1036" s="876"/>
      <c r="AH1036" s="874"/>
    </row>
    <row r="1037" spans="6:35" ht="24" customHeight="1">
      <c r="J1037" s="876"/>
      <c r="K1037" s="876"/>
      <c r="M1037" s="946"/>
      <c r="O1037" s="880"/>
      <c r="P1037" s="901"/>
      <c r="Q1037" s="876"/>
      <c r="S1037" s="874"/>
      <c r="T1037" s="876"/>
      <c r="AE1037" s="902"/>
      <c r="AF1037" s="876"/>
      <c r="AH1037" s="874"/>
    </row>
    <row r="1038" spans="6:35" ht="24" customHeight="1">
      <c r="L1038" s="876"/>
      <c r="M1038" s="882"/>
      <c r="P1038" s="902"/>
      <c r="Q1038" s="881"/>
      <c r="S1038" s="874"/>
      <c r="AE1038" s="902"/>
      <c r="AF1038" s="876"/>
      <c r="AH1038" s="874"/>
    </row>
    <row r="1039" spans="6:35" s="955" customFormat="1" ht="24" customHeight="1">
      <c r="F1039" s="501"/>
      <c r="G1039" s="915"/>
      <c r="H1039" s="501"/>
      <c r="I1039" s="874"/>
      <c r="J1039" s="876"/>
      <c r="K1039" s="501"/>
      <c r="L1039" s="945"/>
      <c r="M1039" s="946"/>
      <c r="O1039" s="947"/>
      <c r="P1039" s="948"/>
      <c r="Q1039" s="949"/>
      <c r="R1039" s="950"/>
      <c r="S1039" s="949"/>
      <c r="T1039" s="950"/>
      <c r="U1039" s="956"/>
      <c r="V1039" s="501"/>
      <c r="W1039" s="501"/>
      <c r="X1039" s="501"/>
      <c r="Y1039" s="501"/>
      <c r="Z1039" s="501"/>
      <c r="AA1039" s="501"/>
      <c r="AD1039" s="501"/>
      <c r="AE1039" s="902"/>
      <c r="AF1039" s="876"/>
      <c r="AG1039" s="501"/>
      <c r="AH1039" s="874"/>
      <c r="AI1039" s="501"/>
    </row>
    <row r="1040" spans="6:35" ht="24" customHeight="1">
      <c r="J1040" s="876"/>
      <c r="M1040" s="946"/>
      <c r="O1040" s="951"/>
      <c r="P1040" s="901"/>
      <c r="Q1040" s="876"/>
      <c r="R1040" s="545"/>
      <c r="S1040" s="876"/>
      <c r="T1040" s="545"/>
      <c r="U1040" s="904"/>
      <c r="AE1040" s="902"/>
      <c r="AF1040" s="876"/>
      <c r="AH1040" s="874"/>
    </row>
    <row r="1041" spans="6:35" ht="24" customHeight="1">
      <c r="M1041" s="882"/>
      <c r="O1041" s="951"/>
      <c r="P1041" s="901"/>
      <c r="Q1041" s="876"/>
      <c r="R1041" s="545"/>
      <c r="S1041" s="876"/>
      <c r="T1041" s="545"/>
      <c r="U1041" s="904"/>
      <c r="AE1041" s="902"/>
      <c r="AF1041" s="881"/>
      <c r="AH1041" s="874"/>
    </row>
    <row r="1042" spans="6:35" ht="24" customHeight="1">
      <c r="M1042" s="946"/>
      <c r="O1042" s="951"/>
      <c r="P1042" s="901"/>
      <c r="Q1042" s="876"/>
      <c r="R1042" s="545"/>
      <c r="S1042" s="876"/>
      <c r="T1042" s="545"/>
      <c r="U1042" s="904"/>
      <c r="AE1042" s="902"/>
      <c r="AF1042" s="876"/>
      <c r="AH1042" s="874"/>
    </row>
    <row r="1043" spans="6:35" ht="24" customHeight="1">
      <c r="M1043" s="882"/>
      <c r="O1043" s="545"/>
      <c r="P1043" s="901"/>
      <c r="Q1043" s="876"/>
      <c r="R1043" s="545"/>
      <c r="S1043" s="876"/>
      <c r="T1043" s="545"/>
      <c r="U1043" s="904"/>
      <c r="AE1043" s="902"/>
      <c r="AF1043" s="876"/>
      <c r="AH1043" s="874"/>
    </row>
    <row r="1044" spans="6:35" ht="24" customHeight="1">
      <c r="F1044" s="880"/>
      <c r="G1044" s="918"/>
      <c r="H1044" s="880"/>
      <c r="I1044" s="876"/>
      <c r="J1044" s="876"/>
      <c r="M1044" s="882"/>
      <c r="O1044" s="545"/>
      <c r="P1044" s="901"/>
      <c r="Q1044" s="876"/>
      <c r="R1044" s="545"/>
      <c r="S1044" s="876"/>
      <c r="T1044" s="545"/>
      <c r="U1044" s="904"/>
      <c r="AE1044" s="902"/>
      <c r="AH1044" s="876"/>
    </row>
    <row r="1045" spans="6:35" ht="24" customHeight="1">
      <c r="J1045" s="881"/>
      <c r="O1045" s="545"/>
      <c r="P1045" s="901"/>
      <c r="Q1045" s="876"/>
      <c r="R1045" s="545"/>
      <c r="S1045" s="876"/>
      <c r="T1045" s="545"/>
      <c r="U1045" s="904"/>
      <c r="AE1045" s="902"/>
      <c r="AF1045" s="876"/>
      <c r="AH1045" s="874"/>
    </row>
    <row r="1046" spans="6:35" ht="24" customHeight="1">
      <c r="F1046" s="947"/>
      <c r="G1046" s="957"/>
      <c r="H1046" s="947"/>
      <c r="I1046" s="949"/>
      <c r="J1046" s="949"/>
      <c r="K1046" s="950"/>
      <c r="L1046" s="949"/>
      <c r="M1046" s="958"/>
      <c r="O1046" s="545"/>
      <c r="P1046" s="901"/>
      <c r="Q1046" s="876"/>
      <c r="R1046" s="545"/>
      <c r="S1046" s="876"/>
      <c r="T1046" s="545"/>
      <c r="U1046" s="904"/>
      <c r="AE1046" s="902"/>
      <c r="AF1046" s="876"/>
      <c r="AG1046" s="876"/>
      <c r="AH1046" s="874"/>
      <c r="AI1046" s="945"/>
    </row>
    <row r="1047" spans="6:35" ht="24" customHeight="1">
      <c r="F1047" s="951"/>
      <c r="G1047" s="957"/>
      <c r="H1047" s="951"/>
      <c r="I1047" s="876"/>
      <c r="J1047" s="876"/>
      <c r="K1047" s="545"/>
      <c r="L1047" s="876"/>
      <c r="M1047" s="882"/>
      <c r="O1047" s="545"/>
      <c r="P1047" s="901"/>
      <c r="Q1047" s="876"/>
      <c r="R1047" s="545"/>
      <c r="S1047" s="876"/>
      <c r="T1047" s="545"/>
      <c r="U1047" s="904"/>
      <c r="AE1047" s="902"/>
      <c r="AH1047" s="876"/>
      <c r="AI1047" s="876"/>
    </row>
    <row r="1048" spans="6:35" ht="24" customHeight="1">
      <c r="F1048" s="951"/>
      <c r="G1048" s="957"/>
      <c r="H1048" s="951"/>
      <c r="I1048" s="876"/>
      <c r="J1048" s="876"/>
      <c r="K1048" s="545"/>
      <c r="L1048" s="876"/>
      <c r="M1048" s="882"/>
      <c r="O1048" s="545"/>
      <c r="P1048" s="901"/>
      <c r="Q1048" s="876"/>
      <c r="R1048" s="545"/>
      <c r="S1048" s="876"/>
      <c r="T1048" s="545"/>
      <c r="U1048" s="904"/>
      <c r="AE1048" s="902"/>
      <c r="AF1048" s="876"/>
      <c r="AH1048" s="945"/>
      <c r="AI1048" s="945"/>
    </row>
    <row r="1049" spans="6:35" ht="24" customHeight="1">
      <c r="F1049" s="951"/>
      <c r="G1049" s="957"/>
      <c r="H1049" s="951"/>
      <c r="I1049" s="876"/>
      <c r="J1049" s="876"/>
      <c r="K1049" s="545"/>
      <c r="L1049" s="876"/>
      <c r="M1049" s="882"/>
      <c r="P1049" s="902"/>
      <c r="S1049" s="874"/>
      <c r="T1049" s="881"/>
      <c r="U1049" s="959"/>
      <c r="AE1049" s="902"/>
      <c r="AF1049" s="876"/>
      <c r="AH1049" s="874"/>
      <c r="AI1049" s="945"/>
    </row>
    <row r="1050" spans="6:35" ht="24" customHeight="1">
      <c r="F1050" s="545"/>
      <c r="G1050" s="889"/>
      <c r="H1050" s="545"/>
      <c r="I1050" s="876"/>
      <c r="J1050" s="876"/>
      <c r="K1050" s="545"/>
      <c r="L1050" s="876"/>
      <c r="M1050" s="882"/>
      <c r="P1050" s="902"/>
      <c r="Q1050" s="880"/>
      <c r="S1050" s="874"/>
      <c r="T1050" s="545"/>
      <c r="U1050" s="904"/>
      <c r="AE1050" s="902"/>
      <c r="AH1050" s="874"/>
      <c r="AI1050" s="876"/>
    </row>
    <row r="1051" spans="6:35" ht="24" customHeight="1">
      <c r="F1051" s="545"/>
      <c r="G1051" s="889"/>
      <c r="H1051" s="545"/>
      <c r="I1051" s="876"/>
      <c r="J1051" s="876"/>
      <c r="K1051" s="545"/>
      <c r="L1051" s="876"/>
      <c r="M1051" s="882"/>
      <c r="P1051" s="901"/>
      <c r="S1051" s="874"/>
      <c r="T1051" s="881"/>
      <c r="U1051" s="959"/>
      <c r="AE1051" s="902"/>
      <c r="AH1051" s="874"/>
      <c r="AI1051" s="945"/>
    </row>
    <row r="1052" spans="6:35" ht="24" customHeight="1">
      <c r="F1052" s="545"/>
      <c r="G1052" s="889"/>
      <c r="H1052" s="545"/>
      <c r="I1052" s="876"/>
      <c r="J1052" s="876"/>
      <c r="K1052" s="545"/>
      <c r="L1052" s="876"/>
      <c r="M1052" s="882"/>
      <c r="P1052" s="902"/>
      <c r="Q1052" s="872"/>
      <c r="S1052" s="874"/>
      <c r="T1052" s="892"/>
      <c r="U1052" s="904"/>
      <c r="AE1052" s="902"/>
      <c r="AH1052" s="874"/>
      <c r="AI1052" s="876"/>
    </row>
    <row r="1053" spans="6:35" ht="24" customHeight="1">
      <c r="F1053" s="545"/>
      <c r="G1053" s="889"/>
      <c r="H1053" s="545"/>
      <c r="I1053" s="876"/>
      <c r="J1053" s="876"/>
      <c r="K1053" s="545"/>
      <c r="L1053" s="876"/>
      <c r="M1053" s="882"/>
      <c r="P1053" s="902"/>
      <c r="S1053" s="874"/>
      <c r="T1053" s="881"/>
      <c r="U1053" s="959"/>
      <c r="AD1053" s="880"/>
      <c r="AE1053" s="901"/>
      <c r="AF1053" s="876"/>
      <c r="AH1053" s="874"/>
      <c r="AI1053" s="876"/>
    </row>
    <row r="1054" spans="6:35" ht="24" customHeight="1">
      <c r="F1054" s="545"/>
      <c r="G1054" s="889"/>
      <c r="H1054" s="545"/>
      <c r="I1054" s="876"/>
      <c r="J1054" s="876"/>
      <c r="K1054" s="545"/>
      <c r="L1054" s="876"/>
      <c r="M1054" s="882"/>
      <c r="O1054" s="880"/>
      <c r="P1054" s="901"/>
      <c r="Q1054" s="876"/>
      <c r="S1054" s="874"/>
      <c r="T1054" s="876"/>
      <c r="AE1054" s="902"/>
      <c r="AF1054" s="881"/>
      <c r="AH1054" s="874"/>
    </row>
    <row r="1055" spans="6:35" ht="24" customHeight="1">
      <c r="F1055" s="545"/>
      <c r="G1055" s="889"/>
      <c r="H1055" s="545"/>
      <c r="I1055" s="876"/>
      <c r="J1055" s="876"/>
      <c r="K1055" s="545"/>
      <c r="L1055" s="876"/>
      <c r="M1055" s="882"/>
      <c r="O1055" s="880"/>
      <c r="P1055" s="901"/>
      <c r="Q1055" s="876"/>
      <c r="S1055" s="874"/>
      <c r="T1055" s="876"/>
      <c r="AD1055" s="947"/>
      <c r="AE1055" s="948"/>
      <c r="AF1055" s="949"/>
      <c r="AG1055" s="950"/>
      <c r="AH1055" s="949"/>
      <c r="AI1055" s="950"/>
    </row>
    <row r="1056" spans="6:35" ht="24" customHeight="1">
      <c r="F1056" s="545"/>
      <c r="G1056" s="889"/>
      <c r="H1056" s="545"/>
      <c r="I1056" s="876"/>
      <c r="J1056" s="876"/>
      <c r="L1056" s="876"/>
      <c r="M1056" s="882"/>
      <c r="P1056" s="902"/>
      <c r="Q1056" s="881"/>
      <c r="S1056" s="874"/>
      <c r="AD1056" s="951"/>
      <c r="AE1056" s="901"/>
      <c r="AF1056" s="876"/>
      <c r="AG1056" s="950"/>
      <c r="AH1056" s="876"/>
      <c r="AI1056" s="545"/>
    </row>
    <row r="1057" spans="6:35" ht="24" customHeight="1">
      <c r="J1057" s="880"/>
      <c r="M1057" s="882"/>
      <c r="O1057" s="947"/>
      <c r="P1057" s="948"/>
      <c r="Q1057" s="949"/>
      <c r="R1057" s="950"/>
      <c r="S1057" s="949"/>
      <c r="T1057" s="950"/>
      <c r="AD1057" s="951"/>
      <c r="AE1057" s="901"/>
      <c r="AF1057" s="876"/>
      <c r="AG1057" s="950"/>
      <c r="AH1057" s="876"/>
      <c r="AI1057" s="545"/>
    </row>
    <row r="1058" spans="6:35" ht="24" customHeight="1">
      <c r="I1058" s="876"/>
      <c r="M1058" s="882"/>
      <c r="O1058" s="951"/>
      <c r="P1058" s="901"/>
      <c r="Q1058" s="876"/>
      <c r="R1058" s="950"/>
      <c r="S1058" s="876"/>
      <c r="T1058" s="545"/>
      <c r="AD1058" s="951"/>
      <c r="AE1058" s="901"/>
      <c r="AF1058" s="876"/>
      <c r="AG1058" s="950"/>
      <c r="AH1058" s="876"/>
      <c r="AI1058" s="545"/>
    </row>
    <row r="1059" spans="6:35" ht="24" customHeight="1">
      <c r="J1059" s="872"/>
      <c r="M1059" s="883"/>
      <c r="O1059" s="951"/>
      <c r="P1059" s="901"/>
      <c r="Q1059" s="876"/>
      <c r="R1059" s="950"/>
      <c r="S1059" s="876"/>
      <c r="T1059" s="545"/>
      <c r="AD1059" s="545"/>
      <c r="AE1059" s="901"/>
      <c r="AF1059" s="876"/>
      <c r="AG1059" s="950"/>
      <c r="AH1059" s="876"/>
      <c r="AI1059" s="545"/>
    </row>
    <row r="1060" spans="6:35" ht="24" customHeight="1">
      <c r="M1060" s="882"/>
      <c r="O1060" s="951"/>
      <c r="P1060" s="901"/>
      <c r="Q1060" s="876"/>
      <c r="R1060" s="950"/>
      <c r="S1060" s="876"/>
      <c r="T1060" s="545"/>
      <c r="AD1060" s="545"/>
      <c r="AE1060" s="901"/>
      <c r="AF1060" s="876"/>
      <c r="AG1060" s="950"/>
      <c r="AH1060" s="876"/>
      <c r="AI1060" s="545"/>
    </row>
    <row r="1061" spans="6:35" ht="24" customHeight="1">
      <c r="F1061" s="880"/>
      <c r="G1061" s="918"/>
      <c r="H1061" s="880"/>
      <c r="J1061" s="876"/>
      <c r="O1061" s="545"/>
      <c r="P1061" s="901"/>
      <c r="Q1061" s="876"/>
      <c r="R1061" s="950"/>
      <c r="S1061" s="876"/>
      <c r="T1061" s="545"/>
      <c r="AD1061" s="545"/>
      <c r="AE1061" s="901"/>
      <c r="AF1061" s="876"/>
      <c r="AG1061" s="950"/>
      <c r="AH1061" s="876"/>
      <c r="AI1061" s="545"/>
    </row>
    <row r="1062" spans="6:35" ht="24" customHeight="1">
      <c r="J1062" s="876"/>
      <c r="O1062" s="545"/>
      <c r="P1062" s="901"/>
      <c r="Q1062" s="876"/>
      <c r="R1062" s="950"/>
      <c r="S1062" s="876"/>
      <c r="T1062" s="545"/>
      <c r="AD1062" s="545"/>
      <c r="AE1062" s="901"/>
      <c r="AF1062" s="876"/>
      <c r="AG1062" s="950"/>
      <c r="AH1062" s="876"/>
      <c r="AI1062" s="545"/>
    </row>
    <row r="1063" spans="6:35" ht="24" customHeight="1">
      <c r="J1063" s="881"/>
      <c r="O1063" s="545"/>
      <c r="P1063" s="901"/>
      <c r="Q1063" s="876"/>
      <c r="R1063" s="950"/>
      <c r="S1063" s="876"/>
      <c r="T1063" s="545"/>
      <c r="AD1063" s="545"/>
      <c r="AE1063" s="901"/>
      <c r="AF1063" s="876"/>
      <c r="AG1063" s="950"/>
      <c r="AH1063" s="876"/>
      <c r="AI1063" s="545"/>
    </row>
    <row r="1064" spans="6:35" ht="24" customHeight="1">
      <c r="F1064" s="951"/>
      <c r="G1064" s="957"/>
      <c r="H1064" s="951"/>
      <c r="I1064" s="876"/>
      <c r="J1064" s="876"/>
      <c r="K1064" s="545"/>
      <c r="L1064" s="876"/>
      <c r="M1064" s="882"/>
      <c r="O1064" s="545"/>
      <c r="P1064" s="901"/>
      <c r="Q1064" s="876"/>
      <c r="R1064" s="950"/>
      <c r="S1064" s="876"/>
      <c r="T1064" s="545"/>
      <c r="AD1064" s="545"/>
      <c r="AE1064" s="901"/>
      <c r="AF1064" s="876"/>
      <c r="AG1064" s="950"/>
      <c r="AH1064" s="876"/>
      <c r="AI1064" s="545"/>
    </row>
    <row r="1065" spans="6:35" ht="24" customHeight="1">
      <c r="F1065" s="951"/>
      <c r="G1065" s="957"/>
      <c r="H1065" s="951"/>
      <c r="I1065" s="876"/>
      <c r="J1065" s="876"/>
      <c r="K1065" s="545"/>
      <c r="L1065" s="876"/>
      <c r="M1065" s="882"/>
      <c r="O1065" s="545"/>
      <c r="P1065" s="901"/>
      <c r="Q1065" s="876"/>
      <c r="R1065" s="950"/>
      <c r="S1065" s="876"/>
      <c r="T1065" s="545"/>
      <c r="AD1065" s="545"/>
      <c r="AE1065" s="901"/>
      <c r="AF1065" s="876"/>
      <c r="AG1065" s="950"/>
      <c r="AH1065" s="874"/>
      <c r="AI1065" s="545"/>
    </row>
    <row r="1066" spans="6:35" ht="24" customHeight="1">
      <c r="F1066" s="951"/>
      <c r="G1066" s="957"/>
      <c r="H1066" s="951"/>
      <c r="I1066" s="876"/>
      <c r="J1066" s="876"/>
      <c r="K1066" s="545"/>
      <c r="L1066" s="876"/>
      <c r="M1066" s="882"/>
      <c r="O1066" s="545"/>
      <c r="P1066" s="901"/>
      <c r="Q1066" s="876"/>
      <c r="R1066" s="950"/>
      <c r="S1066" s="876"/>
      <c r="T1066" s="545"/>
      <c r="AE1066" s="902"/>
      <c r="AF1066" s="880"/>
      <c r="AH1066" s="874"/>
      <c r="AI1066" s="545"/>
    </row>
    <row r="1067" spans="6:35" ht="24" customHeight="1">
      <c r="F1067" s="545"/>
      <c r="G1067" s="889"/>
      <c r="H1067" s="545"/>
      <c r="I1067" s="876"/>
      <c r="J1067" s="876"/>
      <c r="K1067" s="545"/>
      <c r="L1067" s="876"/>
      <c r="M1067" s="882"/>
      <c r="O1067" s="545"/>
      <c r="P1067" s="902"/>
      <c r="Q1067" s="876"/>
      <c r="R1067" s="950"/>
      <c r="S1067" s="874"/>
      <c r="T1067" s="545"/>
      <c r="AE1067" s="901"/>
      <c r="AH1067" s="874"/>
      <c r="AI1067" s="881"/>
    </row>
    <row r="1068" spans="6:35" ht="24" customHeight="1">
      <c r="F1068" s="545"/>
      <c r="G1068" s="889"/>
      <c r="H1068" s="545"/>
      <c r="I1068" s="876"/>
      <c r="J1068" s="876"/>
      <c r="K1068" s="545"/>
      <c r="L1068" s="876"/>
      <c r="M1068" s="882"/>
      <c r="P1068" s="902"/>
      <c r="Q1068" s="880"/>
      <c r="S1068" s="874"/>
      <c r="T1068" s="545"/>
      <c r="AE1068" s="902"/>
      <c r="AF1068" s="872"/>
      <c r="AH1068" s="874"/>
      <c r="AI1068" s="892"/>
    </row>
    <row r="1069" spans="6:35" ht="24" customHeight="1">
      <c r="F1069" s="545"/>
      <c r="G1069" s="889"/>
      <c r="H1069" s="545"/>
      <c r="I1069" s="876"/>
      <c r="J1069" s="876"/>
      <c r="K1069" s="545"/>
      <c r="L1069" s="876"/>
      <c r="M1069" s="882"/>
      <c r="P1069" s="901"/>
      <c r="S1069" s="874"/>
      <c r="T1069" s="881"/>
      <c r="AE1069" s="902"/>
      <c r="AH1069" s="874"/>
      <c r="AI1069" s="881"/>
    </row>
    <row r="1070" spans="6:35" ht="24" customHeight="1">
      <c r="F1070" s="545"/>
      <c r="G1070" s="889"/>
      <c r="H1070" s="545"/>
      <c r="I1070" s="876"/>
      <c r="J1070" s="876"/>
      <c r="K1070" s="545"/>
      <c r="L1070" s="876"/>
      <c r="M1070" s="882"/>
      <c r="P1070" s="902"/>
      <c r="Q1070" s="872"/>
      <c r="S1070" s="874"/>
      <c r="T1070" s="892"/>
      <c r="AG1070" s="545"/>
    </row>
    <row r="1071" spans="6:35" ht="24" customHeight="1">
      <c r="F1071" s="545"/>
      <c r="G1071" s="889"/>
      <c r="H1071" s="545"/>
      <c r="J1071" s="876"/>
      <c r="L1071" s="876"/>
      <c r="M1071" s="882"/>
      <c r="P1071" s="902"/>
      <c r="S1071" s="874"/>
      <c r="T1071" s="881"/>
      <c r="AG1071" s="545"/>
    </row>
    <row r="1072" spans="6:35" ht="24" customHeight="1">
      <c r="J1072" s="880"/>
      <c r="M1072" s="882"/>
      <c r="AG1072" s="545"/>
    </row>
    <row r="1073" spans="6:33" ht="24" customHeight="1">
      <c r="M1073" s="882"/>
      <c r="AG1073" s="545"/>
    </row>
    <row r="1074" spans="6:33" ht="24" customHeight="1">
      <c r="J1074" s="872"/>
      <c r="K1074" s="876"/>
      <c r="M1074" s="883"/>
      <c r="AG1074" s="545"/>
    </row>
    <row r="1075" spans="6:33" ht="24" customHeight="1">
      <c r="M1075" s="882"/>
      <c r="V1075" s="955"/>
      <c r="W1075" s="955"/>
      <c r="X1075" s="955"/>
      <c r="Y1075" s="955"/>
      <c r="Z1075" s="955"/>
      <c r="AA1075" s="955"/>
      <c r="AG1075" s="545"/>
    </row>
    <row r="1076" spans="6:33" ht="24" customHeight="1">
      <c r="F1076" s="880"/>
      <c r="G1076" s="918"/>
      <c r="H1076" s="880"/>
      <c r="I1076" s="876"/>
      <c r="J1076" s="876"/>
      <c r="AG1076" s="545"/>
    </row>
    <row r="1077" spans="6:33" ht="24" customHeight="1">
      <c r="J1077" s="876"/>
      <c r="P1077" s="876"/>
      <c r="AG1077" s="545"/>
    </row>
    <row r="1078" spans="6:33" ht="24" customHeight="1">
      <c r="J1078" s="881"/>
      <c r="P1078" s="876"/>
      <c r="AG1078" s="545"/>
    </row>
    <row r="1079" spans="6:33" ht="24" customHeight="1">
      <c r="F1079" s="951"/>
      <c r="G1079" s="957"/>
      <c r="H1079" s="951"/>
      <c r="I1079" s="876"/>
      <c r="J1079" s="876"/>
      <c r="K1079" s="545"/>
      <c r="L1079" s="876"/>
      <c r="M1079" s="882"/>
      <c r="P1079" s="876"/>
      <c r="AG1079" s="545"/>
    </row>
    <row r="1080" spans="6:33" ht="24" customHeight="1">
      <c r="F1080" s="951"/>
      <c r="G1080" s="957"/>
      <c r="H1080" s="951"/>
      <c r="I1080" s="876"/>
      <c r="J1080" s="913"/>
      <c r="K1080" s="914"/>
      <c r="L1080" s="876"/>
      <c r="M1080" s="882"/>
      <c r="AG1080" s="545"/>
    </row>
    <row r="1081" spans="6:33" ht="24" customHeight="1">
      <c r="F1081" s="951"/>
      <c r="G1081" s="957"/>
      <c r="H1081" s="951"/>
      <c r="I1081" s="876"/>
      <c r="J1081" s="876"/>
      <c r="K1081" s="545"/>
      <c r="L1081" s="876"/>
      <c r="M1081" s="882"/>
      <c r="AG1081" s="545"/>
    </row>
    <row r="1082" spans="6:33" ht="24" customHeight="1">
      <c r="F1082" s="545"/>
      <c r="G1082" s="889"/>
      <c r="H1082" s="545"/>
      <c r="I1082" s="876"/>
      <c r="J1082" s="876"/>
      <c r="K1082" s="545"/>
      <c r="L1082" s="876"/>
      <c r="M1082" s="882"/>
      <c r="O1082" s="919"/>
      <c r="P1082" s="901"/>
      <c r="Q1082" s="876"/>
      <c r="R1082" s="545"/>
      <c r="S1082" s="876"/>
      <c r="T1082" s="545"/>
      <c r="AG1082" s="545"/>
    </row>
    <row r="1083" spans="6:33" ht="24" customHeight="1">
      <c r="F1083" s="545"/>
      <c r="G1083" s="889"/>
      <c r="H1083" s="545"/>
      <c r="I1083" s="876"/>
      <c r="J1083" s="876"/>
      <c r="K1083" s="545"/>
      <c r="L1083" s="876"/>
      <c r="M1083" s="882"/>
      <c r="O1083" s="919"/>
      <c r="P1083" s="901"/>
      <c r="Q1083" s="876"/>
      <c r="R1083" s="545"/>
      <c r="S1083" s="876"/>
      <c r="T1083" s="545"/>
      <c r="AG1083" s="545"/>
    </row>
    <row r="1084" spans="6:33" ht="24" customHeight="1">
      <c r="F1084" s="545"/>
      <c r="G1084" s="889"/>
      <c r="H1084" s="545"/>
      <c r="I1084" s="876"/>
      <c r="J1084" s="876"/>
      <c r="K1084" s="545"/>
      <c r="L1084" s="876"/>
      <c r="M1084" s="882"/>
      <c r="O1084" s="919"/>
      <c r="P1084" s="901"/>
      <c r="Q1084" s="876"/>
      <c r="R1084" s="545"/>
      <c r="S1084" s="876"/>
      <c r="T1084" s="545"/>
      <c r="AG1084" s="545"/>
    </row>
    <row r="1085" spans="6:33" ht="24" customHeight="1">
      <c r="F1085" s="545"/>
      <c r="G1085" s="889"/>
      <c r="H1085" s="545"/>
      <c r="I1085" s="876"/>
      <c r="J1085" s="876"/>
      <c r="K1085" s="545"/>
      <c r="L1085" s="876"/>
      <c r="M1085" s="882"/>
      <c r="O1085" s="919"/>
      <c r="P1085" s="902"/>
      <c r="Q1085" s="876"/>
      <c r="R1085" s="545"/>
      <c r="S1085" s="874"/>
      <c r="T1085" s="545"/>
      <c r="AG1085" s="545"/>
    </row>
    <row r="1086" spans="6:33" ht="24" customHeight="1">
      <c r="F1086" s="545"/>
      <c r="G1086" s="889"/>
      <c r="H1086" s="545"/>
      <c r="J1086" s="876"/>
      <c r="K1086" s="545"/>
      <c r="L1086" s="876"/>
      <c r="M1086" s="882"/>
      <c r="O1086" s="919"/>
      <c r="P1086" s="901"/>
      <c r="Q1086" s="876"/>
      <c r="R1086" s="545"/>
      <c r="S1086" s="876"/>
      <c r="T1086" s="545"/>
      <c r="AG1086" s="545"/>
    </row>
    <row r="1087" spans="6:33" ht="24" customHeight="1">
      <c r="M1087" s="882"/>
      <c r="O1087" s="545"/>
      <c r="P1087" s="901"/>
      <c r="Q1087" s="876"/>
      <c r="R1087" s="545"/>
      <c r="S1087" s="876"/>
      <c r="T1087" s="545"/>
      <c r="AG1087" s="545"/>
    </row>
    <row r="1088" spans="6:33" ht="24" customHeight="1">
      <c r="J1088" s="880"/>
      <c r="M1088" s="882"/>
      <c r="O1088" s="545"/>
      <c r="P1088" s="901"/>
      <c r="Q1088" s="876"/>
      <c r="R1088" s="545"/>
      <c r="S1088" s="876"/>
      <c r="T1088" s="545"/>
      <c r="AG1088" s="545"/>
    </row>
    <row r="1089" spans="6:33" ht="24" customHeight="1">
      <c r="M1089" s="882"/>
      <c r="O1089" s="545"/>
      <c r="P1089" s="901"/>
      <c r="Q1089" s="876"/>
      <c r="R1089" s="545"/>
      <c r="S1089" s="876"/>
      <c r="T1089" s="545"/>
      <c r="AG1089" s="545"/>
    </row>
    <row r="1090" spans="6:33" ht="24" customHeight="1">
      <c r="J1090" s="872"/>
      <c r="K1090" s="876"/>
      <c r="M1090" s="883"/>
      <c r="O1090" s="545"/>
      <c r="P1090" s="901"/>
      <c r="Q1090" s="876"/>
      <c r="R1090" s="545"/>
      <c r="S1090" s="876"/>
      <c r="T1090" s="545"/>
      <c r="AG1090" s="545"/>
    </row>
    <row r="1091" spans="6:33" ht="24" customHeight="1">
      <c r="M1091" s="882"/>
      <c r="O1091" s="545"/>
      <c r="P1091" s="901"/>
      <c r="Q1091" s="876"/>
      <c r="R1091" s="545"/>
      <c r="S1091" s="876"/>
      <c r="T1091" s="545"/>
      <c r="AG1091" s="545"/>
    </row>
    <row r="1092" spans="6:33" ht="24" customHeight="1">
      <c r="F1092" s="880"/>
      <c r="G1092" s="918"/>
      <c r="H1092" s="880"/>
      <c r="I1092" s="876"/>
      <c r="J1092" s="876"/>
      <c r="O1092" s="545"/>
      <c r="P1092" s="901"/>
      <c r="Q1092" s="876"/>
      <c r="R1092" s="545"/>
      <c r="S1092" s="876"/>
      <c r="T1092" s="545"/>
      <c r="AG1092" s="545"/>
    </row>
    <row r="1093" spans="6:33" ht="24" customHeight="1">
      <c r="J1093" s="876"/>
      <c r="O1093" s="545"/>
      <c r="P1093" s="902"/>
      <c r="Q1093" s="876"/>
      <c r="R1093" s="545"/>
      <c r="S1093" s="874"/>
      <c r="T1093" s="545"/>
      <c r="AG1093" s="545"/>
    </row>
    <row r="1094" spans="6:33" ht="24" customHeight="1">
      <c r="J1094" s="881"/>
      <c r="P1094" s="902"/>
      <c r="Q1094" s="876"/>
      <c r="S1094" s="874"/>
      <c r="T1094" s="545"/>
      <c r="AG1094" s="545"/>
    </row>
    <row r="1095" spans="6:33" ht="24" customHeight="1">
      <c r="F1095" s="951"/>
      <c r="G1095" s="957"/>
      <c r="H1095" s="951"/>
      <c r="I1095" s="876"/>
      <c r="J1095" s="876"/>
      <c r="K1095" s="545"/>
      <c r="L1095" s="876"/>
      <c r="M1095" s="882"/>
      <c r="P1095" s="902"/>
      <c r="S1095" s="874"/>
      <c r="T1095" s="881"/>
      <c r="AG1095" s="545"/>
    </row>
    <row r="1096" spans="6:33" ht="24" customHeight="1">
      <c r="F1096" s="951"/>
      <c r="G1096" s="957"/>
      <c r="H1096" s="951"/>
      <c r="I1096" s="876"/>
      <c r="J1096" s="876"/>
      <c r="K1096" s="545"/>
      <c r="L1096" s="876"/>
      <c r="M1096" s="882"/>
      <c r="P1096" s="902"/>
      <c r="Q1096" s="872"/>
      <c r="S1096" s="874"/>
      <c r="T1096" s="892"/>
      <c r="AG1096" s="545"/>
    </row>
    <row r="1097" spans="6:33" ht="24" customHeight="1">
      <c r="F1097" s="951"/>
      <c r="G1097" s="957"/>
      <c r="H1097" s="951"/>
      <c r="I1097" s="876"/>
      <c r="J1097" s="876"/>
      <c r="K1097" s="545"/>
      <c r="L1097" s="876"/>
      <c r="M1097" s="882"/>
      <c r="P1097" s="902"/>
      <c r="S1097" s="874"/>
      <c r="T1097" s="881"/>
      <c r="AG1097" s="545"/>
    </row>
    <row r="1098" spans="6:33" ht="24" customHeight="1">
      <c r="F1098" s="545"/>
      <c r="G1098" s="889"/>
      <c r="H1098" s="545"/>
      <c r="I1098" s="876"/>
      <c r="J1098" s="876"/>
      <c r="K1098" s="545"/>
      <c r="L1098" s="876"/>
      <c r="M1098" s="882"/>
      <c r="AG1098" s="545"/>
    </row>
    <row r="1099" spans="6:33" ht="24" customHeight="1">
      <c r="F1099" s="545"/>
      <c r="G1099" s="889"/>
      <c r="H1099" s="545"/>
      <c r="I1099" s="876"/>
      <c r="J1099" s="876"/>
      <c r="K1099" s="545"/>
      <c r="L1099" s="876"/>
      <c r="M1099" s="882"/>
      <c r="AG1099" s="545"/>
    </row>
    <row r="1100" spans="6:33" ht="24" customHeight="1">
      <c r="F1100" s="545"/>
      <c r="G1100" s="889"/>
      <c r="H1100" s="545"/>
      <c r="I1100" s="876"/>
      <c r="J1100" s="876"/>
      <c r="K1100" s="545"/>
      <c r="L1100" s="876"/>
      <c r="M1100" s="882"/>
      <c r="Q1100" s="876"/>
      <c r="AG1100" s="545"/>
    </row>
    <row r="1101" spans="6:33" ht="24" customHeight="1">
      <c r="F1101" s="545"/>
      <c r="G1101" s="889"/>
      <c r="H1101" s="545"/>
      <c r="J1101" s="876"/>
      <c r="K1101" s="545"/>
      <c r="L1101" s="876"/>
      <c r="M1101" s="882"/>
      <c r="AG1101" s="545"/>
    </row>
    <row r="1102" spans="6:33" ht="24" customHeight="1">
      <c r="M1102" s="882"/>
      <c r="AG1102" s="545"/>
    </row>
    <row r="1103" spans="6:33" ht="24" customHeight="1">
      <c r="J1103" s="880"/>
      <c r="M1103" s="882"/>
      <c r="AG1103" s="545"/>
    </row>
    <row r="1104" spans="6:33" ht="24" customHeight="1">
      <c r="M1104" s="882"/>
      <c r="O1104" s="927"/>
      <c r="P1104" s="902"/>
      <c r="S1104" s="874"/>
      <c r="U1104" s="927"/>
      <c r="AG1104" s="545"/>
    </row>
    <row r="1105" spans="6:33" ht="24" customHeight="1">
      <c r="J1105" s="872"/>
      <c r="K1105" s="876"/>
      <c r="M1105" s="883"/>
      <c r="O1105" s="927"/>
      <c r="P1105" s="902"/>
      <c r="S1105" s="874"/>
      <c r="U1105" s="927"/>
      <c r="AG1105" s="545"/>
    </row>
    <row r="1106" spans="6:33" ht="24" customHeight="1">
      <c r="F1106" s="876"/>
      <c r="G1106" s="916"/>
      <c r="H1106" s="876"/>
      <c r="O1106" s="960"/>
      <c r="P1106" s="902"/>
      <c r="S1106" s="874"/>
      <c r="U1106" s="927"/>
      <c r="AG1106" s="545"/>
    </row>
    <row r="1107" spans="6:33" ht="24" customHeight="1">
      <c r="M1107" s="882"/>
      <c r="O1107" s="877"/>
      <c r="P1107" s="902"/>
      <c r="S1107" s="874"/>
      <c r="U1107" s="927"/>
      <c r="AG1107" s="545"/>
    </row>
    <row r="1108" spans="6:33" ht="24" customHeight="1">
      <c r="F1108" s="920"/>
      <c r="G1108" s="921"/>
      <c r="H1108" s="920"/>
      <c r="J1108" s="876"/>
      <c r="N1108" s="876"/>
      <c r="P1108" s="902"/>
      <c r="S1108" s="874"/>
      <c r="U1108" s="927"/>
      <c r="AG1108" s="545"/>
    </row>
    <row r="1109" spans="6:33" ht="24" customHeight="1">
      <c r="J1109" s="881"/>
      <c r="K1109" s="881"/>
      <c r="L1109" s="876"/>
      <c r="P1109" s="902"/>
      <c r="S1109" s="874"/>
      <c r="U1109" s="927"/>
      <c r="AG1109" s="545"/>
    </row>
    <row r="1110" spans="6:33" ht="24" customHeight="1">
      <c r="P1110" s="902"/>
      <c r="S1110" s="874"/>
      <c r="U1110" s="927"/>
      <c r="AG1110" s="545"/>
    </row>
    <row r="1111" spans="6:33" ht="24" customHeight="1">
      <c r="J1111" s="876"/>
      <c r="P1111" s="902"/>
      <c r="S1111" s="874"/>
      <c r="U1111" s="927"/>
      <c r="AG1111" s="545"/>
    </row>
    <row r="1112" spans="6:33" ht="24" customHeight="1">
      <c r="J1112" s="876"/>
      <c r="P1112" s="902"/>
      <c r="S1112" s="874"/>
      <c r="U1112" s="927"/>
      <c r="AG1112" s="545"/>
    </row>
    <row r="1113" spans="6:33" ht="24" customHeight="1">
      <c r="J1113" s="876"/>
      <c r="P1113" s="902"/>
      <c r="S1113" s="874"/>
      <c r="U1113" s="927"/>
      <c r="AG1113" s="545"/>
    </row>
    <row r="1114" spans="6:33" ht="24" customHeight="1">
      <c r="J1114" s="876"/>
      <c r="O1114" s="545"/>
      <c r="P1114" s="902"/>
      <c r="Q1114" s="876"/>
      <c r="R1114" s="545"/>
      <c r="S1114" s="874"/>
      <c r="T1114" s="545"/>
      <c r="U1114" s="927"/>
      <c r="AG1114" s="545"/>
    </row>
    <row r="1115" spans="6:33" ht="24" customHeight="1">
      <c r="J1115" s="876"/>
      <c r="P1115" s="961"/>
      <c r="Q1115" s="885"/>
      <c r="S1115" s="874"/>
      <c r="T1115" s="885"/>
      <c r="U1115" s="927"/>
      <c r="AG1115" s="545"/>
    </row>
    <row r="1116" spans="6:33" ht="24" customHeight="1">
      <c r="L1116" s="876"/>
      <c r="M1116" s="946"/>
      <c r="P1116" s="961"/>
      <c r="Q1116" s="885"/>
      <c r="S1116" s="874"/>
      <c r="T1116" s="903"/>
      <c r="AB1116" s="877"/>
      <c r="AG1116" s="545"/>
    </row>
    <row r="1117" spans="6:33" ht="24" customHeight="1">
      <c r="J1117" s="876"/>
      <c r="L1117" s="945"/>
      <c r="M1117" s="946"/>
      <c r="P1117" s="961"/>
      <c r="Q1117" s="885"/>
      <c r="S1117" s="874"/>
      <c r="T1117" s="885"/>
      <c r="AB1117" s="877"/>
      <c r="AG1117" s="545"/>
    </row>
    <row r="1118" spans="6:33" ht="24" customHeight="1">
      <c r="J1118" s="876"/>
      <c r="M1118" s="946"/>
      <c r="P1118" s="961"/>
      <c r="S1118" s="874"/>
      <c r="T1118" s="903"/>
      <c r="AB1118" s="877"/>
      <c r="AG1118" s="545"/>
    </row>
    <row r="1119" spans="6:33" ht="24" customHeight="1">
      <c r="AG1119" s="545"/>
    </row>
    <row r="1120" spans="6:33" ht="24" customHeight="1">
      <c r="F1120" s="951"/>
      <c r="G1120" s="957"/>
      <c r="H1120" s="951"/>
      <c r="I1120" s="876"/>
      <c r="J1120" s="876"/>
      <c r="K1120" s="545"/>
      <c r="L1120" s="876"/>
      <c r="M1120" s="882"/>
      <c r="AG1120" s="545"/>
    </row>
    <row r="1121" spans="6:33" ht="24" customHeight="1">
      <c r="F1121" s="951"/>
      <c r="G1121" s="957"/>
      <c r="H1121" s="951"/>
      <c r="I1121" s="876"/>
      <c r="J1121" s="876"/>
      <c r="K1121" s="545"/>
      <c r="L1121" s="876"/>
      <c r="M1121" s="882"/>
      <c r="AG1121" s="545"/>
    </row>
    <row r="1122" spans="6:33" ht="24" customHeight="1">
      <c r="F1122" s="951"/>
      <c r="G1122" s="957"/>
      <c r="H1122" s="951"/>
      <c r="I1122" s="876"/>
      <c r="J1122" s="876"/>
      <c r="K1122" s="545"/>
      <c r="L1122" s="876"/>
      <c r="M1122" s="882"/>
      <c r="AG1122" s="545"/>
    </row>
    <row r="1123" spans="6:33" ht="24" customHeight="1">
      <c r="F1123" s="951"/>
      <c r="G1123" s="957"/>
      <c r="H1123" s="951"/>
      <c r="I1123" s="876"/>
      <c r="J1123" s="876"/>
      <c r="K1123" s="914"/>
      <c r="L1123" s="876"/>
      <c r="M1123" s="882"/>
      <c r="AG1123" s="545"/>
    </row>
    <row r="1124" spans="6:33" ht="24" customHeight="1">
      <c r="F1124" s="951"/>
      <c r="G1124" s="957"/>
      <c r="H1124" s="951"/>
      <c r="I1124" s="876"/>
      <c r="J1124" s="876"/>
      <c r="K1124" s="545"/>
      <c r="L1124" s="876"/>
      <c r="M1124" s="882"/>
      <c r="AG1124" s="545"/>
    </row>
    <row r="1125" spans="6:33" ht="24" customHeight="1">
      <c r="F1125" s="545"/>
      <c r="G1125" s="889"/>
      <c r="H1125" s="545"/>
      <c r="I1125" s="876"/>
      <c r="J1125" s="876"/>
      <c r="K1125" s="545"/>
      <c r="L1125" s="876"/>
      <c r="M1125" s="882"/>
      <c r="AG1125" s="545"/>
    </row>
    <row r="1126" spans="6:33" ht="24" customHeight="1">
      <c r="F1126" s="545"/>
      <c r="G1126" s="889"/>
      <c r="H1126" s="545"/>
      <c r="I1126" s="876"/>
      <c r="J1126" s="876"/>
      <c r="K1126" s="545"/>
      <c r="L1126" s="876"/>
      <c r="M1126" s="882"/>
      <c r="AG1126" s="545"/>
    </row>
    <row r="1127" spans="6:33" ht="24" customHeight="1">
      <c r="F1127" s="545"/>
      <c r="G1127" s="889"/>
      <c r="H1127" s="545"/>
      <c r="I1127" s="876"/>
      <c r="J1127" s="876"/>
      <c r="K1127" s="545"/>
      <c r="L1127" s="876"/>
      <c r="M1127" s="882"/>
      <c r="AG1127" s="545"/>
    </row>
    <row r="1128" spans="6:33" ht="24" customHeight="1">
      <c r="F1128" s="545"/>
      <c r="G1128" s="889"/>
      <c r="H1128" s="545"/>
      <c r="I1128" s="876"/>
      <c r="J1128" s="876"/>
      <c r="K1128" s="914"/>
      <c r="L1128" s="876"/>
      <c r="M1128" s="882"/>
      <c r="AG1128" s="545"/>
    </row>
    <row r="1129" spans="6:33" ht="24" customHeight="1">
      <c r="F1129" s="545"/>
      <c r="G1129" s="889"/>
      <c r="H1129" s="545"/>
      <c r="I1129" s="876"/>
      <c r="J1129" s="876"/>
      <c r="K1129" s="545"/>
      <c r="L1129" s="876"/>
      <c r="M1129" s="882"/>
      <c r="AG1129" s="545"/>
    </row>
    <row r="1130" spans="6:33" ht="24" customHeight="1">
      <c r="J1130" s="876"/>
      <c r="K1130" s="880"/>
      <c r="M1130" s="882"/>
      <c r="AG1130" s="545"/>
    </row>
    <row r="1131" spans="6:33" ht="24" customHeight="1">
      <c r="M1131" s="882"/>
      <c r="AG1131" s="545"/>
    </row>
    <row r="1132" spans="6:33" ht="24" customHeight="1">
      <c r="J1132" s="880"/>
      <c r="M1132" s="882"/>
      <c r="O1132" s="941"/>
      <c r="P1132" s="941"/>
      <c r="Q1132" s="941"/>
      <c r="R1132" s="941"/>
      <c r="S1132" s="941"/>
      <c r="T1132" s="941"/>
      <c r="U1132" s="941"/>
      <c r="AG1132" s="545"/>
    </row>
    <row r="1133" spans="6:33" ht="24" customHeight="1">
      <c r="I1133" s="876"/>
      <c r="M1133" s="882"/>
      <c r="Q1133" s="881"/>
      <c r="S1133" s="874"/>
      <c r="AG1133" s="545"/>
    </row>
    <row r="1134" spans="6:33" ht="24" customHeight="1">
      <c r="J1134" s="872"/>
      <c r="M1134" s="883"/>
      <c r="P1134" s="877"/>
      <c r="Q1134" s="876"/>
      <c r="R1134" s="545"/>
      <c r="S1134" s="876"/>
      <c r="T1134" s="545"/>
      <c r="AG1134" s="545"/>
    </row>
    <row r="1135" spans="6:33" ht="24" customHeight="1">
      <c r="M1135" s="882"/>
      <c r="P1135" s="877"/>
      <c r="Q1135" s="876"/>
      <c r="R1135" s="545"/>
      <c r="S1135" s="876"/>
      <c r="T1135" s="545"/>
      <c r="AG1135" s="545"/>
    </row>
    <row r="1136" spans="6:33" ht="24" customHeight="1">
      <c r="I1136" s="876"/>
      <c r="J1136" s="876"/>
      <c r="Q1136" s="876"/>
      <c r="R1136" s="545"/>
      <c r="S1136" s="876"/>
      <c r="T1136" s="545"/>
      <c r="V1136" s="885"/>
      <c r="W1136" s="875"/>
      <c r="X1136" s="885"/>
      <c r="AG1136" s="545"/>
    </row>
    <row r="1137" spans="6:33" ht="24" customHeight="1">
      <c r="J1137" s="881"/>
      <c r="K1137" s="881"/>
      <c r="Q1137" s="876"/>
      <c r="R1137" s="545"/>
      <c r="S1137" s="876"/>
      <c r="T1137" s="545"/>
      <c r="AG1137" s="545"/>
    </row>
    <row r="1138" spans="6:33" ht="24" customHeight="1">
      <c r="F1138" s="545"/>
      <c r="G1138" s="889"/>
      <c r="H1138" s="545"/>
      <c r="I1138" s="876"/>
      <c r="J1138" s="876"/>
      <c r="K1138" s="545"/>
      <c r="L1138" s="876"/>
      <c r="M1138" s="882"/>
      <c r="Q1138" s="876"/>
      <c r="R1138" s="545"/>
      <c r="S1138" s="876"/>
      <c r="T1138" s="545"/>
      <c r="AG1138" s="545"/>
    </row>
    <row r="1139" spans="6:33" ht="24" customHeight="1">
      <c r="F1139" s="545"/>
      <c r="G1139" s="889"/>
      <c r="H1139" s="545"/>
      <c r="I1139" s="876"/>
      <c r="J1139" s="876"/>
      <c r="K1139" s="545"/>
      <c r="L1139" s="876"/>
      <c r="M1139" s="882"/>
      <c r="Q1139" s="876"/>
      <c r="R1139" s="545"/>
      <c r="S1139" s="876"/>
      <c r="T1139" s="545"/>
      <c r="AG1139" s="545"/>
    </row>
    <row r="1140" spans="6:33" ht="24" customHeight="1">
      <c r="F1140" s="545"/>
      <c r="G1140" s="889"/>
      <c r="H1140" s="545"/>
      <c r="I1140" s="876"/>
      <c r="J1140" s="876"/>
      <c r="K1140" s="545"/>
      <c r="L1140" s="876"/>
      <c r="M1140" s="882"/>
      <c r="Q1140" s="876"/>
      <c r="R1140" s="545"/>
      <c r="S1140" s="876"/>
      <c r="T1140" s="545"/>
      <c r="AG1140" s="545"/>
    </row>
    <row r="1141" spans="6:33" ht="24" customHeight="1">
      <c r="F1141" s="545"/>
      <c r="G1141" s="889"/>
      <c r="H1141" s="545"/>
      <c r="I1141" s="876"/>
      <c r="J1141" s="876"/>
      <c r="K1141" s="545"/>
      <c r="L1141" s="876"/>
      <c r="M1141" s="882"/>
      <c r="Q1141" s="876"/>
      <c r="R1141" s="545"/>
      <c r="S1141" s="874"/>
      <c r="T1141" s="882"/>
      <c r="AG1141" s="545"/>
    </row>
    <row r="1142" spans="6:33" ht="24" customHeight="1">
      <c r="F1142" s="545"/>
      <c r="G1142" s="889"/>
      <c r="H1142" s="545"/>
      <c r="I1142" s="876"/>
      <c r="J1142" s="876"/>
      <c r="K1142" s="545"/>
      <c r="L1142" s="876"/>
      <c r="M1142" s="882"/>
      <c r="O1142" s="935"/>
      <c r="R1142" s="554"/>
      <c r="AG1142" s="545"/>
    </row>
    <row r="1143" spans="6:33" ht="43.5" customHeight="1">
      <c r="I1143" s="876"/>
      <c r="J1143" s="876"/>
      <c r="L1143" s="876"/>
      <c r="M1143" s="882"/>
      <c r="O1143" s="935"/>
      <c r="R1143" s="554"/>
      <c r="AG1143" s="545"/>
    </row>
    <row r="1144" spans="6:33" ht="24" customHeight="1">
      <c r="M1144" s="882"/>
      <c r="O1144" s="935"/>
      <c r="R1144" s="554"/>
      <c r="AG1144" s="545"/>
    </row>
    <row r="1145" spans="6:33" ht="24" customHeight="1">
      <c r="J1145" s="880"/>
      <c r="M1145" s="882"/>
      <c r="S1145" s="874"/>
      <c r="AG1145" s="545"/>
    </row>
    <row r="1146" spans="6:33" ht="24" customHeight="1">
      <c r="M1146" s="882"/>
      <c r="AG1146" s="545"/>
    </row>
    <row r="1147" spans="6:33" ht="24" customHeight="1">
      <c r="J1147" s="872"/>
      <c r="M1147" s="883"/>
      <c r="AG1147" s="545"/>
    </row>
    <row r="1148" spans="6:33" ht="24" customHeight="1">
      <c r="M1148" s="882"/>
      <c r="S1148" s="874"/>
      <c r="T1148" s="882"/>
      <c r="AG1148" s="545"/>
    </row>
    <row r="1149" spans="6:33" ht="24" customHeight="1">
      <c r="S1149" s="874"/>
      <c r="T1149" s="545"/>
      <c r="AG1149" s="545"/>
    </row>
    <row r="1150" spans="6:33" ht="24" customHeight="1">
      <c r="F1150" s="876"/>
      <c r="G1150" s="916"/>
      <c r="H1150" s="876"/>
      <c r="I1150" s="876"/>
      <c r="J1150" s="876"/>
      <c r="S1150" s="874"/>
      <c r="T1150" s="881"/>
      <c r="AG1150" s="545"/>
    </row>
    <row r="1151" spans="6:33" ht="24" customHeight="1">
      <c r="J1151" s="881"/>
      <c r="K1151" s="881"/>
      <c r="Q1151" s="876"/>
      <c r="S1151" s="874"/>
      <c r="T1151" s="892"/>
      <c r="W1151" s="885"/>
      <c r="AA1151" s="885"/>
      <c r="AG1151" s="545"/>
    </row>
    <row r="1152" spans="6:33" ht="24" customHeight="1">
      <c r="F1152" s="545"/>
      <c r="G1152" s="889"/>
      <c r="H1152" s="545"/>
      <c r="I1152" s="876"/>
      <c r="J1152" s="876"/>
      <c r="K1152" s="545"/>
      <c r="L1152" s="876"/>
      <c r="M1152" s="882"/>
      <c r="Q1152" s="876"/>
      <c r="S1152" s="874"/>
      <c r="T1152" s="892"/>
      <c r="V1152" s="961"/>
      <c r="W1152" s="885"/>
      <c r="Y1152" s="874"/>
      <c r="AA1152" s="903"/>
      <c r="AG1152" s="545"/>
    </row>
    <row r="1153" spans="6:33" ht="24" customHeight="1">
      <c r="F1153" s="545"/>
      <c r="G1153" s="889"/>
      <c r="H1153" s="545"/>
      <c r="I1153" s="876"/>
      <c r="J1153" s="876"/>
      <c r="K1153" s="545"/>
      <c r="L1153" s="876"/>
      <c r="M1153" s="882"/>
      <c r="Q1153" s="876"/>
      <c r="S1153" s="874"/>
      <c r="T1153" s="892"/>
      <c r="V1153" s="961"/>
      <c r="W1153" s="885"/>
      <c r="Y1153" s="874"/>
      <c r="AA1153" s="885"/>
      <c r="AG1153" s="545"/>
    </row>
    <row r="1154" spans="6:33" ht="24" customHeight="1">
      <c r="F1154" s="545"/>
      <c r="G1154" s="889"/>
      <c r="H1154" s="545"/>
      <c r="I1154" s="876"/>
      <c r="J1154" s="876"/>
      <c r="K1154" s="545"/>
      <c r="L1154" s="876"/>
      <c r="M1154" s="882"/>
      <c r="Q1154" s="876"/>
      <c r="S1154" s="874"/>
      <c r="T1154" s="892"/>
      <c r="V1154" s="961"/>
      <c r="Y1154" s="874"/>
      <c r="AA1154" s="903"/>
      <c r="AG1154" s="545"/>
    </row>
    <row r="1155" spans="6:33" ht="24" customHeight="1">
      <c r="F1155" s="545"/>
      <c r="G1155" s="889"/>
      <c r="H1155" s="545"/>
      <c r="I1155" s="876"/>
      <c r="J1155" s="876"/>
      <c r="K1155" s="545"/>
      <c r="L1155" s="876"/>
      <c r="M1155" s="882"/>
      <c r="Q1155" s="876"/>
      <c r="S1155" s="874"/>
      <c r="T1155" s="892"/>
      <c r="AG1155" s="545"/>
    </row>
    <row r="1156" spans="6:33" ht="24" customHeight="1">
      <c r="I1156" s="876"/>
      <c r="J1156" s="876"/>
      <c r="L1156" s="876"/>
      <c r="M1156" s="882"/>
      <c r="Q1156" s="876"/>
      <c r="T1156" s="892"/>
      <c r="AG1156" s="545"/>
    </row>
    <row r="1157" spans="6:33" ht="24" customHeight="1">
      <c r="M1157" s="882"/>
      <c r="Q1157" s="876"/>
      <c r="T1157" s="892"/>
      <c r="AG1157" s="545"/>
    </row>
    <row r="1158" spans="6:33" ht="24" customHeight="1">
      <c r="J1158" s="880"/>
      <c r="M1158" s="882"/>
      <c r="Q1158" s="876"/>
      <c r="T1158" s="892"/>
      <c r="AG1158" s="545"/>
    </row>
    <row r="1159" spans="6:33" ht="24" customHeight="1">
      <c r="M1159" s="882"/>
      <c r="Q1159" s="876"/>
      <c r="T1159" s="892"/>
      <c r="AG1159" s="545"/>
    </row>
    <row r="1160" spans="6:33" ht="24" customHeight="1">
      <c r="J1160" s="872"/>
      <c r="M1160" s="883"/>
      <c r="Q1160" s="876"/>
      <c r="T1160" s="892"/>
      <c r="AG1160" s="545"/>
    </row>
    <row r="1161" spans="6:33" ht="24" customHeight="1">
      <c r="M1161" s="882"/>
      <c r="T1161" s="892"/>
      <c r="AG1161" s="545"/>
    </row>
    <row r="1162" spans="6:33" ht="24" customHeight="1">
      <c r="T1162" s="892"/>
      <c r="AG1162" s="545"/>
    </row>
    <row r="1163" spans="6:33" ht="24" customHeight="1">
      <c r="F1163" s="929"/>
      <c r="G1163" s="930"/>
      <c r="H1163" s="929"/>
      <c r="M1163" s="899"/>
      <c r="T1163" s="892"/>
      <c r="U1163" s="501"/>
      <c r="AG1163" s="545"/>
    </row>
    <row r="1164" spans="6:33" ht="24" customHeight="1">
      <c r="O1164" s="877"/>
      <c r="Q1164" s="885"/>
      <c r="T1164" s="892"/>
      <c r="U1164" s="501"/>
      <c r="AG1164" s="545"/>
    </row>
    <row r="1165" spans="6:33" ht="24" customHeight="1">
      <c r="O1165" s="877"/>
      <c r="U1165" s="501"/>
      <c r="AG1165" s="545"/>
    </row>
    <row r="1166" spans="6:33" ht="24" customHeight="1">
      <c r="F1166" s="880"/>
      <c r="G1166" s="918"/>
      <c r="H1166" s="880"/>
      <c r="I1166" s="876"/>
      <c r="J1166" s="876"/>
      <c r="O1166" s="877"/>
      <c r="U1166" s="501"/>
      <c r="AG1166" s="545"/>
    </row>
    <row r="1167" spans="6:33" ht="24" customHeight="1">
      <c r="J1167" s="876"/>
      <c r="O1167" s="877"/>
      <c r="U1167" s="501"/>
      <c r="AG1167" s="545"/>
    </row>
    <row r="1168" spans="6:33" ht="24" customHeight="1">
      <c r="J1168" s="881"/>
      <c r="K1168" s="881"/>
      <c r="O1168" s="877"/>
      <c r="U1168" s="501"/>
      <c r="AG1168" s="545"/>
    </row>
    <row r="1169" spans="6:35" ht="24" customHeight="1">
      <c r="F1169" s="922"/>
      <c r="G1169" s="923"/>
      <c r="H1169" s="922"/>
      <c r="I1169" s="876"/>
      <c r="J1169" s="913"/>
      <c r="K1169" s="545"/>
      <c r="L1169" s="876"/>
      <c r="M1169" s="882"/>
      <c r="O1169" s="877"/>
      <c r="U1169" s="501"/>
      <c r="AG1169" s="545"/>
    </row>
    <row r="1170" spans="6:35" ht="24" customHeight="1">
      <c r="F1170" s="545"/>
      <c r="G1170" s="889"/>
      <c r="H1170" s="545"/>
      <c r="I1170" s="876"/>
      <c r="J1170" s="913"/>
      <c r="K1170" s="545"/>
      <c r="L1170" s="876"/>
      <c r="M1170" s="882"/>
      <c r="O1170" s="877"/>
      <c r="U1170" s="501"/>
      <c r="AG1170" s="545"/>
    </row>
    <row r="1171" spans="6:35" ht="24" customHeight="1">
      <c r="F1171" s="545"/>
      <c r="G1171" s="889"/>
      <c r="H1171" s="545"/>
      <c r="I1171" s="876"/>
      <c r="J1171" s="913"/>
      <c r="K1171" s="545"/>
      <c r="L1171" s="876"/>
      <c r="M1171" s="882"/>
      <c r="O1171" s="877"/>
      <c r="U1171" s="501"/>
      <c r="AG1171" s="545"/>
    </row>
    <row r="1172" spans="6:35" ht="24" customHeight="1">
      <c r="F1172" s="922"/>
      <c r="G1172" s="923"/>
      <c r="H1172" s="922"/>
      <c r="I1172" s="876"/>
      <c r="J1172" s="876"/>
      <c r="K1172" s="545"/>
      <c r="L1172" s="876"/>
      <c r="M1172" s="882"/>
      <c r="O1172" s="877"/>
      <c r="U1172" s="501"/>
      <c r="AG1172" s="545"/>
    </row>
    <row r="1173" spans="6:35" ht="24" customHeight="1">
      <c r="I1173" s="876"/>
      <c r="J1173" s="876"/>
      <c r="L1173" s="876"/>
      <c r="M1173" s="882"/>
      <c r="O1173" s="935"/>
      <c r="R1173" s="935"/>
      <c r="U1173" s="501"/>
      <c r="AG1173" s="545"/>
    </row>
    <row r="1174" spans="6:35" ht="24" customHeight="1">
      <c r="J1174" s="876"/>
      <c r="O1174" s="935"/>
      <c r="R1174" s="935"/>
      <c r="U1174" s="501"/>
      <c r="AG1174" s="545"/>
    </row>
    <row r="1175" spans="6:35" ht="24" customHeight="1">
      <c r="M1175" s="882"/>
      <c r="O1175" s="935"/>
      <c r="R1175" s="935"/>
      <c r="U1175" s="501"/>
      <c r="AG1175" s="545"/>
      <c r="AI1175" s="876"/>
    </row>
    <row r="1176" spans="6:35" ht="24" customHeight="1">
      <c r="J1176" s="880"/>
      <c r="M1176" s="882"/>
      <c r="O1176" s="877"/>
      <c r="T1176" s="885"/>
      <c r="U1176" s="501"/>
      <c r="AG1176" s="545"/>
      <c r="AI1176" s="876"/>
    </row>
    <row r="1177" spans="6:35" ht="24" customHeight="1">
      <c r="M1177" s="882"/>
      <c r="O1177" s="877"/>
      <c r="AG1177" s="545"/>
      <c r="AI1177" s="876"/>
    </row>
    <row r="1178" spans="6:35" ht="24" customHeight="1">
      <c r="J1178" s="880"/>
      <c r="M1178" s="883"/>
      <c r="AG1178" s="545"/>
      <c r="AI1178" s="876"/>
    </row>
    <row r="1179" spans="6:35" ht="24" customHeight="1">
      <c r="F1179" s="876"/>
      <c r="G1179" s="916"/>
      <c r="H1179" s="876"/>
      <c r="M1179" s="882"/>
      <c r="AB1179" s="901"/>
      <c r="AC1179" s="875"/>
      <c r="AE1179" s="878"/>
      <c r="AG1179" s="545"/>
      <c r="AI1179" s="876"/>
    </row>
    <row r="1180" spans="6:35" ht="24" customHeight="1">
      <c r="F1180" s="876"/>
      <c r="G1180" s="916"/>
      <c r="H1180" s="876"/>
      <c r="I1180" s="876"/>
      <c r="J1180" s="876"/>
      <c r="AB1180" s="902"/>
      <c r="AC1180" s="876"/>
      <c r="AE1180" s="878"/>
      <c r="AG1180" s="545"/>
      <c r="AI1180" s="876"/>
    </row>
    <row r="1181" spans="6:35" ht="53.25" customHeight="1">
      <c r="F1181" s="880"/>
      <c r="G1181" s="918"/>
      <c r="H1181" s="880"/>
      <c r="I1181" s="876"/>
      <c r="J1181" s="876"/>
      <c r="AB1181" s="901"/>
      <c r="AC1181" s="908"/>
      <c r="AD1181" s="545"/>
      <c r="AE1181" s="880"/>
      <c r="AF1181" s="545"/>
      <c r="AG1181" s="545"/>
    </row>
    <row r="1182" spans="6:35" ht="24" customHeight="1">
      <c r="J1182" s="876"/>
      <c r="Z1182" s="885"/>
      <c r="AB1182" s="901"/>
      <c r="AC1182" s="876"/>
      <c r="AD1182" s="545"/>
      <c r="AE1182" s="880"/>
      <c r="AF1182" s="545"/>
      <c r="AG1182" s="545"/>
    </row>
    <row r="1183" spans="6:35" ht="24" customHeight="1">
      <c r="J1183" s="881"/>
      <c r="AB1183" s="901"/>
      <c r="AC1183" s="876"/>
      <c r="AD1183" s="545"/>
      <c r="AE1183" s="880"/>
      <c r="AF1183" s="545"/>
      <c r="AG1183" s="545"/>
      <c r="AI1183" s="876"/>
    </row>
    <row r="1184" spans="6:35" ht="24" customHeight="1">
      <c r="F1184" s="545"/>
      <c r="G1184" s="889"/>
      <c r="H1184" s="545"/>
      <c r="I1184" s="876"/>
      <c r="J1184" s="876"/>
      <c r="K1184" s="914"/>
      <c r="L1184" s="876"/>
      <c r="M1184" s="883"/>
      <c r="AB1184" s="901"/>
      <c r="AC1184" s="876"/>
      <c r="AD1184" s="545"/>
      <c r="AE1184" s="880"/>
      <c r="AF1184" s="545"/>
      <c r="AG1184" s="545"/>
      <c r="AI1184" s="876"/>
    </row>
    <row r="1185" spans="6:35" ht="24" customHeight="1">
      <c r="M1185" s="882"/>
      <c r="AB1185" s="901"/>
      <c r="AC1185" s="876"/>
      <c r="AE1185" s="880"/>
      <c r="AF1185" s="545"/>
      <c r="AI1185" s="876"/>
    </row>
    <row r="1186" spans="6:35" ht="24" customHeight="1">
      <c r="F1186" s="880"/>
      <c r="G1186" s="918"/>
      <c r="H1186" s="880"/>
      <c r="J1186" s="913"/>
      <c r="K1186" s="545"/>
      <c r="L1186" s="876"/>
      <c r="M1186" s="883"/>
      <c r="AB1186" s="902"/>
      <c r="AC1186" s="876"/>
      <c r="AF1186" s="878"/>
      <c r="AG1186" s="881"/>
      <c r="AI1186" s="876"/>
    </row>
    <row r="1187" spans="6:35" ht="24" customHeight="1">
      <c r="F1187" s="880"/>
      <c r="G1187" s="918"/>
      <c r="H1187" s="880"/>
      <c r="I1187" s="876"/>
      <c r="J1187" s="876"/>
      <c r="K1187" s="876"/>
      <c r="L1187" s="876"/>
      <c r="M1187" s="883"/>
      <c r="V1187" s="877"/>
      <c r="AB1187" s="902"/>
      <c r="AC1187" s="880"/>
      <c r="AE1187" s="878"/>
      <c r="AF1187" s="545"/>
      <c r="AG1187" s="545"/>
      <c r="AI1187" s="876"/>
    </row>
    <row r="1188" spans="6:35" ht="24" customHeight="1">
      <c r="J1188" s="876"/>
      <c r="M1188" s="882"/>
      <c r="AB1188" s="902"/>
      <c r="AE1188" s="878"/>
      <c r="AF1188" s="881"/>
      <c r="AG1188" s="881"/>
    </row>
    <row r="1189" spans="6:35" ht="24" customHeight="1">
      <c r="AB1189" s="902"/>
      <c r="AC1189" s="880"/>
      <c r="AF1189" s="892"/>
    </row>
    <row r="1190" spans="6:35" ht="24" customHeight="1">
      <c r="F1190" s="880"/>
      <c r="G1190" s="918"/>
      <c r="H1190" s="880"/>
      <c r="I1190" s="876"/>
      <c r="J1190" s="876"/>
      <c r="AB1190" s="902"/>
      <c r="AC1190" s="876"/>
      <c r="AE1190" s="878"/>
      <c r="AF1190" s="545"/>
      <c r="AI1190" s="876"/>
    </row>
    <row r="1191" spans="6:35" ht="24" customHeight="1">
      <c r="J1191" s="876"/>
      <c r="AB1191" s="902"/>
      <c r="AC1191" s="876"/>
      <c r="AE1191" s="878"/>
      <c r="AF1191" s="545"/>
      <c r="AI1191" s="876"/>
    </row>
    <row r="1192" spans="6:35" ht="24" customHeight="1">
      <c r="J1192" s="881"/>
      <c r="AB1192" s="902"/>
      <c r="AC1192" s="876"/>
      <c r="AE1192" s="878"/>
      <c r="AF1192" s="545"/>
      <c r="AI1192" s="876"/>
    </row>
    <row r="1193" spans="6:35" ht="24" customHeight="1">
      <c r="F1193" s="545"/>
      <c r="G1193" s="889"/>
      <c r="H1193" s="545"/>
      <c r="I1193" s="876"/>
      <c r="J1193" s="876"/>
      <c r="K1193" s="545"/>
      <c r="L1193" s="876"/>
      <c r="M1193" s="882"/>
      <c r="AB1193" s="902"/>
      <c r="AC1193" s="876"/>
      <c r="AE1193" s="878"/>
      <c r="AF1193" s="545"/>
      <c r="AI1193" s="876"/>
    </row>
    <row r="1194" spans="6:35" ht="24" customHeight="1">
      <c r="F1194" s="545"/>
      <c r="G1194" s="889"/>
      <c r="H1194" s="545"/>
      <c r="I1194" s="876"/>
      <c r="J1194" s="876"/>
      <c r="K1194" s="545"/>
      <c r="L1194" s="876"/>
      <c r="M1194" s="882"/>
      <c r="AB1194" s="902"/>
      <c r="AC1194" s="876"/>
      <c r="AE1194" s="878"/>
      <c r="AF1194" s="545"/>
      <c r="AI1194" s="876"/>
    </row>
    <row r="1195" spans="6:35" ht="24" customHeight="1">
      <c r="F1195" s="545"/>
      <c r="G1195" s="889"/>
      <c r="H1195" s="545"/>
      <c r="I1195" s="876"/>
      <c r="J1195" s="876"/>
      <c r="K1195" s="545"/>
      <c r="L1195" s="876"/>
      <c r="M1195" s="882"/>
      <c r="AB1195" s="902"/>
      <c r="AE1195" s="878"/>
      <c r="AF1195" s="545"/>
      <c r="AG1195" s="545"/>
      <c r="AI1195" s="876"/>
    </row>
    <row r="1196" spans="6:35" ht="24" customHeight="1">
      <c r="F1196" s="545"/>
      <c r="G1196" s="889"/>
      <c r="H1196" s="545"/>
      <c r="I1196" s="876"/>
      <c r="J1196" s="876"/>
      <c r="K1196" s="545"/>
      <c r="L1196" s="876"/>
      <c r="M1196" s="882"/>
      <c r="AE1196" s="878"/>
      <c r="AF1196" s="545"/>
      <c r="AG1196" s="545"/>
      <c r="AI1196" s="876"/>
    </row>
    <row r="1197" spans="6:35" ht="24" customHeight="1">
      <c r="F1197" s="545"/>
      <c r="G1197" s="889"/>
      <c r="H1197" s="545"/>
      <c r="I1197" s="876"/>
      <c r="J1197" s="876"/>
      <c r="K1197" s="545"/>
      <c r="L1197" s="876"/>
      <c r="M1197" s="882"/>
      <c r="AE1197" s="878"/>
      <c r="AF1197" s="545"/>
      <c r="AG1197" s="545"/>
      <c r="AI1197" s="876"/>
    </row>
    <row r="1198" spans="6:35" ht="24" customHeight="1">
      <c r="F1198" s="545"/>
      <c r="G1198" s="889"/>
      <c r="H1198" s="545"/>
      <c r="I1198" s="876"/>
      <c r="J1198" s="876"/>
      <c r="K1198" s="545"/>
      <c r="L1198" s="876"/>
      <c r="M1198" s="882"/>
      <c r="AE1198" s="878"/>
      <c r="AF1198" s="545"/>
      <c r="AG1198" s="545"/>
      <c r="AI1198" s="876"/>
    </row>
    <row r="1199" spans="6:35" ht="24" customHeight="1">
      <c r="F1199" s="545"/>
      <c r="G1199" s="889"/>
      <c r="H1199" s="545"/>
      <c r="I1199" s="876"/>
      <c r="J1199" s="876"/>
      <c r="K1199" s="545"/>
      <c r="L1199" s="876"/>
      <c r="M1199" s="882"/>
      <c r="AE1199" s="878"/>
      <c r="AF1199" s="545"/>
      <c r="AG1199" s="545"/>
      <c r="AI1199" s="876"/>
    </row>
    <row r="1200" spans="6:35" ht="24" customHeight="1">
      <c r="F1200" s="545"/>
      <c r="G1200" s="889"/>
      <c r="H1200" s="545"/>
      <c r="I1200" s="876"/>
      <c r="J1200" s="876"/>
      <c r="K1200" s="545"/>
      <c r="L1200" s="876"/>
      <c r="M1200" s="882"/>
      <c r="AE1200" s="878"/>
      <c r="AF1200" s="545"/>
      <c r="AG1200" s="545"/>
      <c r="AI1200" s="876"/>
    </row>
    <row r="1201" spans="6:35" ht="24" customHeight="1">
      <c r="F1201" s="545"/>
      <c r="G1201" s="889"/>
      <c r="H1201" s="545"/>
      <c r="I1201" s="876"/>
      <c r="J1201" s="876"/>
      <c r="K1201" s="545"/>
      <c r="L1201" s="876"/>
      <c r="M1201" s="882"/>
      <c r="AE1201" s="878"/>
      <c r="AF1201" s="545"/>
      <c r="AG1201" s="545"/>
      <c r="AI1201" s="876"/>
    </row>
    <row r="1202" spans="6:35" ht="24" customHeight="1">
      <c r="I1202" s="876"/>
      <c r="J1202" s="876"/>
      <c r="K1202" s="876"/>
      <c r="L1202" s="876"/>
      <c r="M1202" s="882"/>
      <c r="P1202" s="902"/>
      <c r="S1202" s="878"/>
      <c r="AB1202" s="901"/>
      <c r="AC1202" s="875"/>
      <c r="AG1202" s="545"/>
      <c r="AI1202" s="876"/>
    </row>
    <row r="1203" spans="6:35" ht="24" customHeight="1">
      <c r="M1203" s="882"/>
      <c r="P1203" s="902"/>
      <c r="S1203" s="878"/>
      <c r="AB1203" s="902"/>
      <c r="AC1203" s="876"/>
      <c r="AG1203" s="545"/>
      <c r="AI1203" s="876"/>
    </row>
    <row r="1204" spans="6:35" ht="24" customHeight="1">
      <c r="J1204" s="876"/>
      <c r="M1204" s="882"/>
      <c r="P1204" s="902"/>
      <c r="S1204" s="878"/>
      <c r="AB1204" s="902"/>
      <c r="AC1204" s="876"/>
      <c r="AG1204" s="545"/>
      <c r="AI1204" s="876"/>
    </row>
    <row r="1205" spans="6:35" ht="24" customHeight="1">
      <c r="M1205" s="882"/>
      <c r="P1205" s="902"/>
      <c r="Q1205" s="962"/>
      <c r="S1205" s="878"/>
      <c r="AB1205" s="902"/>
      <c r="AC1205" s="881"/>
      <c r="AD1205" s="881"/>
      <c r="AE1205" s="874"/>
      <c r="AG1205" s="545"/>
      <c r="AI1205" s="876"/>
    </row>
    <row r="1206" spans="6:35" ht="30" customHeight="1">
      <c r="J1206" s="872"/>
      <c r="M1206" s="883"/>
      <c r="P1206" s="902"/>
      <c r="S1206" s="878"/>
      <c r="AB1206" s="901"/>
      <c r="AC1206" s="910"/>
      <c r="AD1206" s="545"/>
      <c r="AE1206" s="876"/>
      <c r="AF1206" s="545"/>
      <c r="AG1206" s="545"/>
      <c r="AI1206" s="876"/>
    </row>
    <row r="1207" spans="6:35" ht="24" customHeight="1">
      <c r="M1207" s="882"/>
      <c r="P1207" s="902"/>
      <c r="S1207" s="878"/>
      <c r="U1207" s="963"/>
      <c r="AB1207" s="901"/>
      <c r="AC1207" s="876"/>
      <c r="AD1207" s="545"/>
      <c r="AE1207" s="876"/>
      <c r="AF1207" s="545"/>
      <c r="AG1207" s="545"/>
      <c r="AI1207" s="876"/>
    </row>
    <row r="1208" spans="6:35" ht="24" customHeight="1">
      <c r="F1208" s="880"/>
      <c r="G1208" s="918"/>
      <c r="H1208" s="880"/>
      <c r="I1208" s="876"/>
      <c r="J1208" s="876"/>
      <c r="O1208" s="545"/>
      <c r="P1208" s="901"/>
      <c r="Q1208" s="913"/>
      <c r="R1208" s="882"/>
      <c r="S1208" s="880"/>
      <c r="T1208" s="545"/>
      <c r="AB1208" s="902"/>
      <c r="AC1208" s="876"/>
      <c r="AD1208" s="545"/>
      <c r="AE1208" s="874"/>
      <c r="AF1208" s="876"/>
      <c r="AG1208" s="545"/>
      <c r="AI1208" s="876"/>
    </row>
    <row r="1209" spans="6:35" ht="24" customHeight="1">
      <c r="J1209" s="876"/>
      <c r="O1209" s="545"/>
      <c r="P1209" s="901"/>
      <c r="Q1209" s="876"/>
      <c r="R1209" s="545"/>
      <c r="S1209" s="880"/>
      <c r="T1209" s="545"/>
      <c r="AB1209" s="901"/>
      <c r="AC1209" s="876"/>
      <c r="AD1209" s="545"/>
      <c r="AE1209" s="876"/>
      <c r="AF1209" s="545"/>
      <c r="AG1209" s="545"/>
      <c r="AI1209" s="876"/>
    </row>
    <row r="1210" spans="6:35" ht="24" customHeight="1">
      <c r="J1210" s="881"/>
      <c r="O1210" s="545"/>
      <c r="P1210" s="901"/>
      <c r="Q1210" s="876"/>
      <c r="R1210" s="545"/>
      <c r="S1210" s="880"/>
      <c r="T1210" s="545"/>
      <c r="AB1210" s="901"/>
      <c r="AC1210" s="876"/>
      <c r="AD1210" s="545"/>
      <c r="AE1210" s="876"/>
      <c r="AF1210" s="545"/>
      <c r="AG1210" s="545"/>
      <c r="AI1210" s="876"/>
    </row>
    <row r="1211" spans="6:35" ht="24" customHeight="1">
      <c r="F1211" s="545"/>
      <c r="G1211" s="889"/>
      <c r="H1211" s="545"/>
      <c r="I1211" s="876"/>
      <c r="J1211" s="876"/>
      <c r="K1211" s="545"/>
      <c r="L1211" s="876"/>
      <c r="M1211" s="882"/>
      <c r="O1211" s="545"/>
      <c r="P1211" s="901"/>
      <c r="Q1211" s="876"/>
      <c r="R1211" s="545"/>
      <c r="S1211" s="880"/>
      <c r="T1211" s="545"/>
      <c r="AB1211" s="901"/>
      <c r="AC1211" s="876"/>
      <c r="AD1211" s="545"/>
      <c r="AE1211" s="876"/>
      <c r="AF1211" s="545"/>
      <c r="AG1211" s="545"/>
      <c r="AI1211" s="876"/>
    </row>
    <row r="1212" spans="6:35" ht="24" customHeight="1">
      <c r="J1212" s="876"/>
      <c r="K1212" s="876"/>
      <c r="M1212" s="882"/>
      <c r="O1212" s="545"/>
      <c r="P1212" s="901"/>
      <c r="Q1212" s="876"/>
      <c r="R1212" s="545"/>
      <c r="S1212" s="880"/>
      <c r="T1212" s="545"/>
      <c r="AB1212" s="901"/>
      <c r="AC1212" s="876"/>
      <c r="AD1212" s="545"/>
      <c r="AE1212" s="876"/>
      <c r="AF1212" s="545"/>
      <c r="AG1212" s="545"/>
      <c r="AI1212" s="876"/>
    </row>
    <row r="1213" spans="6:35" ht="24" customHeight="1">
      <c r="F1213" s="545"/>
      <c r="G1213" s="889"/>
      <c r="H1213" s="545"/>
      <c r="I1213" s="876"/>
      <c r="J1213" s="876"/>
      <c r="K1213" s="545"/>
      <c r="L1213" s="876"/>
      <c r="M1213" s="882"/>
      <c r="O1213" s="545"/>
      <c r="P1213" s="901"/>
      <c r="Q1213" s="876"/>
      <c r="R1213" s="545"/>
      <c r="S1213" s="880"/>
      <c r="T1213" s="545"/>
      <c r="AB1213" s="901"/>
      <c r="AC1213" s="876"/>
      <c r="AD1213" s="545"/>
      <c r="AE1213" s="876"/>
      <c r="AF1213" s="545"/>
      <c r="AG1213" s="545"/>
      <c r="AI1213" s="876"/>
    </row>
    <row r="1214" spans="6:35" ht="24" customHeight="1">
      <c r="J1214" s="876"/>
      <c r="K1214" s="876"/>
      <c r="M1214" s="882"/>
      <c r="O1214" s="904"/>
      <c r="P1214" s="901"/>
      <c r="Q1214" s="876"/>
      <c r="R1214" s="545"/>
      <c r="S1214" s="880"/>
      <c r="T1214" s="545"/>
      <c r="AB1214" s="901"/>
      <c r="AC1214" s="876"/>
      <c r="AD1214" s="545"/>
      <c r="AE1214" s="876"/>
      <c r="AF1214" s="545"/>
      <c r="AG1214" s="545"/>
      <c r="AI1214" s="876"/>
    </row>
    <row r="1215" spans="6:35" ht="24" customHeight="1">
      <c r="F1215" s="545"/>
      <c r="G1215" s="889"/>
      <c r="H1215" s="545"/>
      <c r="I1215" s="876"/>
      <c r="J1215" s="876"/>
      <c r="K1215" s="545"/>
      <c r="L1215" s="876"/>
      <c r="M1215" s="882"/>
      <c r="O1215" s="904"/>
      <c r="P1215" s="901"/>
      <c r="Q1215" s="913"/>
      <c r="R1215" s="545"/>
      <c r="S1215" s="880"/>
      <c r="T1215" s="545"/>
      <c r="AA1215" s="929"/>
      <c r="AB1215" s="901"/>
      <c r="AC1215" s="876"/>
      <c r="AD1215" s="545"/>
      <c r="AE1215" s="876"/>
      <c r="AF1215" s="545"/>
      <c r="AG1215" s="545"/>
      <c r="AI1215" s="876"/>
    </row>
    <row r="1216" spans="6:35" ht="24" customHeight="1">
      <c r="F1216" s="545"/>
      <c r="G1216" s="889"/>
      <c r="H1216" s="545"/>
      <c r="I1216" s="876"/>
      <c r="J1216" s="876"/>
      <c r="K1216" s="545"/>
      <c r="L1216" s="876"/>
      <c r="M1216" s="882"/>
      <c r="O1216" s="545"/>
      <c r="P1216" s="901"/>
      <c r="Q1216" s="876"/>
      <c r="R1216" s="545"/>
      <c r="S1216" s="880"/>
      <c r="T1216" s="545"/>
      <c r="AB1216" s="901"/>
      <c r="AC1216" s="876"/>
      <c r="AD1216" s="545"/>
      <c r="AE1216" s="876"/>
      <c r="AF1216" s="545"/>
      <c r="AG1216" s="545"/>
      <c r="AI1216" s="876"/>
    </row>
    <row r="1217" spans="6:35" ht="24" customHeight="1">
      <c r="F1217" s="545"/>
      <c r="G1217" s="889"/>
      <c r="H1217" s="545"/>
      <c r="I1217" s="876"/>
      <c r="J1217" s="876"/>
      <c r="K1217" s="545"/>
      <c r="L1217" s="876"/>
      <c r="M1217" s="882"/>
      <c r="O1217" s="545"/>
      <c r="P1217" s="901"/>
      <c r="Q1217" s="876"/>
      <c r="R1217" s="545"/>
      <c r="S1217" s="880"/>
      <c r="T1217" s="545"/>
      <c r="AA1217" s="545"/>
      <c r="AB1217" s="901"/>
      <c r="AC1217" s="876"/>
      <c r="AD1217" s="545"/>
      <c r="AE1217" s="876"/>
      <c r="AF1217" s="545"/>
      <c r="AG1217" s="545"/>
      <c r="AI1217" s="876"/>
    </row>
    <row r="1218" spans="6:35" ht="24" customHeight="1">
      <c r="F1218" s="545"/>
      <c r="G1218" s="889"/>
      <c r="H1218" s="545"/>
      <c r="I1218" s="876"/>
      <c r="J1218" s="876"/>
      <c r="K1218" s="545"/>
      <c r="L1218" s="876"/>
      <c r="M1218" s="882"/>
      <c r="O1218" s="545"/>
      <c r="P1218" s="901"/>
      <c r="Q1218" s="876"/>
      <c r="R1218" s="545"/>
      <c r="S1218" s="880"/>
      <c r="T1218" s="545"/>
      <c r="AA1218" s="545"/>
      <c r="AB1218" s="901"/>
      <c r="AC1218" s="876"/>
      <c r="AD1218" s="545"/>
      <c r="AE1218" s="876"/>
      <c r="AF1218" s="545"/>
      <c r="AG1218" s="545"/>
      <c r="AI1218" s="876"/>
    </row>
    <row r="1219" spans="6:35" ht="24" customHeight="1">
      <c r="F1219" s="904"/>
      <c r="G1219" s="924"/>
      <c r="H1219" s="904"/>
      <c r="I1219" s="876"/>
      <c r="J1219" s="876"/>
      <c r="K1219" s="545"/>
      <c r="L1219" s="876"/>
      <c r="M1219" s="882"/>
      <c r="P1219" s="901"/>
      <c r="Q1219" s="876"/>
      <c r="S1219" s="880"/>
      <c r="T1219" s="545"/>
      <c r="AA1219" s="545"/>
      <c r="AB1219" s="902"/>
      <c r="AD1219" s="545"/>
      <c r="AE1219" s="874"/>
      <c r="AF1219" s="881"/>
      <c r="AG1219" s="545"/>
      <c r="AI1219" s="876"/>
    </row>
    <row r="1220" spans="6:35" ht="24" customHeight="1">
      <c r="F1220" s="545"/>
      <c r="G1220" s="889"/>
      <c r="H1220" s="545"/>
      <c r="I1220" s="876"/>
      <c r="J1220" s="876"/>
      <c r="K1220" s="545"/>
      <c r="L1220" s="876"/>
      <c r="M1220" s="882"/>
      <c r="P1220" s="902"/>
      <c r="S1220" s="878"/>
      <c r="T1220" s="881"/>
      <c r="AA1220" s="545"/>
      <c r="AB1220" s="902"/>
      <c r="AC1220" s="876"/>
      <c r="AE1220" s="874"/>
      <c r="AF1220" s="545"/>
      <c r="AG1220" s="545"/>
      <c r="AI1220" s="876"/>
    </row>
    <row r="1221" spans="6:35" ht="24" customHeight="1">
      <c r="F1221" s="545"/>
      <c r="G1221" s="889"/>
      <c r="H1221" s="545"/>
      <c r="I1221" s="876"/>
      <c r="J1221" s="876"/>
      <c r="K1221" s="545"/>
      <c r="L1221" s="876"/>
      <c r="M1221" s="882"/>
      <c r="P1221" s="902"/>
      <c r="Q1221" s="876"/>
      <c r="S1221" s="878"/>
      <c r="T1221" s="545"/>
      <c r="AA1221" s="545"/>
      <c r="AB1221" s="902"/>
      <c r="AE1221" s="874"/>
      <c r="AF1221" s="881"/>
      <c r="AG1221" s="545"/>
    </row>
    <row r="1222" spans="6:35" ht="24" customHeight="1">
      <c r="F1222" s="545"/>
      <c r="G1222" s="889"/>
      <c r="H1222" s="545"/>
      <c r="I1222" s="876"/>
      <c r="J1222" s="876"/>
      <c r="K1222" s="545"/>
      <c r="L1222" s="876"/>
      <c r="M1222" s="882"/>
      <c r="P1222" s="902"/>
      <c r="S1222" s="878"/>
      <c r="T1222" s="881"/>
      <c r="AA1222" s="545"/>
      <c r="AB1222" s="902"/>
      <c r="AC1222" s="872"/>
      <c r="AE1222" s="874"/>
      <c r="AF1222" s="892"/>
      <c r="AG1222" s="545"/>
    </row>
    <row r="1223" spans="6:35" ht="24" customHeight="1">
      <c r="F1223" s="876"/>
      <c r="G1223" s="916"/>
      <c r="H1223" s="876"/>
      <c r="J1223" s="876"/>
      <c r="K1223" s="876"/>
      <c r="M1223" s="882"/>
      <c r="P1223" s="902"/>
      <c r="Q1223" s="875"/>
      <c r="S1223" s="878"/>
      <c r="T1223" s="892"/>
      <c r="AA1223" s="545"/>
      <c r="AB1223" s="902"/>
      <c r="AE1223" s="874"/>
      <c r="AF1223" s="881"/>
      <c r="AG1223" s="545"/>
      <c r="AI1223" s="876"/>
    </row>
    <row r="1224" spans="6:35" ht="24" customHeight="1">
      <c r="F1224" s="545"/>
      <c r="G1224" s="889"/>
      <c r="H1224" s="545"/>
      <c r="I1224" s="876"/>
      <c r="J1224" s="876"/>
      <c r="K1224" s="545"/>
      <c r="L1224" s="876"/>
      <c r="M1224" s="882"/>
      <c r="P1224" s="902"/>
      <c r="Q1224" s="962"/>
      <c r="S1224" s="878"/>
      <c r="AG1224" s="545"/>
      <c r="AI1224" s="876"/>
    </row>
    <row r="1225" spans="6:35" ht="24" customHeight="1">
      <c r="F1225" s="545"/>
      <c r="G1225" s="889"/>
      <c r="H1225" s="545"/>
      <c r="I1225" s="876"/>
      <c r="J1225" s="876"/>
      <c r="K1225" s="545"/>
      <c r="L1225" s="876"/>
      <c r="M1225" s="882"/>
      <c r="P1225" s="902"/>
      <c r="S1225" s="878"/>
      <c r="AG1225" s="545"/>
      <c r="AI1225" s="876"/>
    </row>
    <row r="1226" spans="6:35" ht="24" customHeight="1">
      <c r="F1226" s="545"/>
      <c r="G1226" s="889"/>
      <c r="H1226" s="545"/>
      <c r="I1226" s="876"/>
      <c r="J1226" s="876"/>
      <c r="K1226" s="545"/>
      <c r="L1226" s="876"/>
      <c r="M1226" s="882"/>
      <c r="O1226" s="873"/>
      <c r="P1226" s="964"/>
      <c r="Q1226" s="873"/>
      <c r="R1226" s="873"/>
      <c r="S1226" s="878"/>
      <c r="AG1226" s="545"/>
      <c r="AI1226" s="876"/>
    </row>
    <row r="1227" spans="6:35" ht="24" customHeight="1">
      <c r="F1227" s="545"/>
      <c r="G1227" s="889"/>
      <c r="H1227" s="545"/>
      <c r="I1227" s="876"/>
      <c r="J1227" s="876"/>
      <c r="K1227" s="545"/>
      <c r="L1227" s="876"/>
      <c r="M1227" s="882"/>
      <c r="O1227" s="888"/>
      <c r="P1227" s="965"/>
      <c r="Q1227" s="913"/>
      <c r="R1227" s="966"/>
      <c r="S1227" s="880"/>
      <c r="T1227" s="545"/>
      <c r="AG1227" s="545"/>
      <c r="AI1227" s="876"/>
    </row>
    <row r="1228" spans="6:35" ht="24" customHeight="1">
      <c r="F1228" s="545"/>
      <c r="G1228" s="889"/>
      <c r="H1228" s="545"/>
      <c r="I1228" s="876"/>
      <c r="J1228" s="876"/>
      <c r="K1228" s="545"/>
      <c r="L1228" s="876"/>
      <c r="M1228" s="882"/>
      <c r="O1228" s="545"/>
      <c r="P1228" s="901"/>
      <c r="Q1228" s="876"/>
      <c r="R1228" s="545"/>
      <c r="S1228" s="880"/>
      <c r="T1228" s="545"/>
      <c r="AG1228" s="545"/>
      <c r="AI1228" s="876"/>
    </row>
    <row r="1229" spans="6:35" ht="24" customHeight="1">
      <c r="I1229" s="876"/>
      <c r="J1229" s="876"/>
      <c r="L1229" s="876"/>
      <c r="M1229" s="882"/>
      <c r="O1229" s="545"/>
      <c r="P1229" s="901"/>
      <c r="Q1229" s="876"/>
      <c r="R1229" s="545"/>
      <c r="S1229" s="880"/>
      <c r="T1229" s="545"/>
      <c r="AG1229" s="545"/>
      <c r="AI1229" s="876"/>
    </row>
    <row r="1230" spans="6:35" ht="24" customHeight="1">
      <c r="M1230" s="882"/>
      <c r="O1230" s="545"/>
      <c r="P1230" s="901"/>
      <c r="Q1230" s="876"/>
      <c r="R1230" s="545"/>
      <c r="S1230" s="880"/>
      <c r="T1230" s="545"/>
      <c r="U1230" s="904"/>
      <c r="AB1230" s="901"/>
      <c r="AC1230" s="875"/>
      <c r="AG1230" s="545"/>
      <c r="AI1230" s="876"/>
    </row>
    <row r="1231" spans="6:35" ht="24" customHeight="1">
      <c r="J1231" s="876"/>
      <c r="M1231" s="882"/>
      <c r="O1231" s="545"/>
      <c r="P1231" s="901"/>
      <c r="Q1231" s="876"/>
      <c r="R1231" s="545"/>
      <c r="S1231" s="880"/>
      <c r="T1231" s="545"/>
      <c r="U1231" s="904"/>
      <c r="AB1231" s="902"/>
      <c r="AC1231" s="876"/>
      <c r="AG1231" s="545"/>
      <c r="AI1231" s="876"/>
    </row>
    <row r="1232" spans="6:35" ht="24" customHeight="1">
      <c r="M1232" s="882"/>
      <c r="O1232" s="545"/>
      <c r="P1232" s="901"/>
      <c r="Q1232" s="876"/>
      <c r="R1232" s="545"/>
      <c r="S1232" s="880"/>
      <c r="T1232" s="545"/>
      <c r="U1232" s="904"/>
      <c r="AB1232" s="902"/>
      <c r="AC1232" s="876"/>
      <c r="AG1232" s="545"/>
      <c r="AI1232" s="876"/>
    </row>
    <row r="1233" spans="6:35" ht="24" customHeight="1">
      <c r="F1233" s="876"/>
      <c r="G1233" s="916"/>
      <c r="H1233" s="876"/>
      <c r="O1233" s="904"/>
      <c r="P1233" s="901"/>
      <c r="Q1233" s="876"/>
      <c r="R1233" s="545"/>
      <c r="S1233" s="880"/>
      <c r="T1233" s="545"/>
      <c r="U1233" s="904"/>
      <c r="AB1233" s="902"/>
      <c r="AC1233" s="881"/>
      <c r="AD1233" s="881"/>
      <c r="AE1233" s="874"/>
      <c r="AG1233" s="545"/>
      <c r="AI1233" s="876"/>
    </row>
    <row r="1234" spans="6:35" ht="37.5" customHeight="1">
      <c r="J1234" s="872"/>
      <c r="M1234" s="883"/>
      <c r="O1234" s="904"/>
      <c r="P1234" s="901"/>
      <c r="Q1234" s="876"/>
      <c r="R1234" s="545"/>
      <c r="S1234" s="880"/>
      <c r="T1234" s="545"/>
      <c r="U1234" s="904"/>
      <c r="AB1234" s="901"/>
      <c r="AC1234" s="910"/>
      <c r="AD1234" s="545"/>
      <c r="AE1234" s="876"/>
      <c r="AF1234" s="545"/>
      <c r="AG1234" s="545"/>
      <c r="AI1234" s="876"/>
    </row>
    <row r="1235" spans="6:35" ht="24" customHeight="1">
      <c r="F1235" s="876"/>
      <c r="G1235" s="916"/>
      <c r="H1235" s="876"/>
      <c r="O1235" s="545"/>
      <c r="P1235" s="901"/>
      <c r="Q1235" s="876"/>
      <c r="R1235" s="545"/>
      <c r="S1235" s="880"/>
      <c r="T1235" s="545"/>
      <c r="U1235" s="904"/>
      <c r="AB1235" s="901"/>
      <c r="AC1235" s="876"/>
      <c r="AD1235" s="545"/>
      <c r="AE1235" s="876"/>
      <c r="AF1235" s="545"/>
      <c r="AG1235" s="545"/>
      <c r="AI1235" s="876"/>
    </row>
    <row r="1236" spans="6:35" ht="24" customHeight="1">
      <c r="M1236" s="882"/>
      <c r="O1236" s="545"/>
      <c r="P1236" s="901"/>
      <c r="Q1236" s="876"/>
      <c r="R1236" s="545"/>
      <c r="S1236" s="880"/>
      <c r="T1236" s="545"/>
      <c r="U1236" s="904"/>
      <c r="AB1236" s="902"/>
      <c r="AC1236" s="876"/>
      <c r="AD1236" s="876"/>
      <c r="AE1236" s="874"/>
      <c r="AF1236" s="876"/>
      <c r="AG1236" s="545"/>
      <c r="AI1236" s="876"/>
    </row>
    <row r="1237" spans="6:35" ht="24" customHeight="1">
      <c r="F1237" s="920"/>
      <c r="G1237" s="921"/>
      <c r="H1237" s="920"/>
      <c r="I1237" s="876"/>
      <c r="J1237" s="876"/>
      <c r="O1237" s="545"/>
      <c r="P1237" s="901"/>
      <c r="Q1237" s="876"/>
      <c r="R1237" s="545"/>
      <c r="S1237" s="880"/>
      <c r="T1237" s="545"/>
      <c r="U1237" s="904"/>
      <c r="AB1237" s="901"/>
      <c r="AC1237" s="876"/>
      <c r="AD1237" s="545"/>
      <c r="AE1237" s="876"/>
      <c r="AF1237" s="545"/>
      <c r="AG1237" s="545"/>
      <c r="AI1237" s="876"/>
    </row>
    <row r="1238" spans="6:35" ht="24" customHeight="1">
      <c r="J1238" s="876"/>
      <c r="P1238" s="901"/>
      <c r="Q1238" s="876"/>
      <c r="S1238" s="880"/>
      <c r="T1238" s="545"/>
      <c r="U1238" s="904"/>
      <c r="AA1238" s="920"/>
      <c r="AB1238" s="901"/>
      <c r="AC1238" s="876"/>
      <c r="AD1238" s="545"/>
      <c r="AE1238" s="876"/>
      <c r="AF1238" s="545"/>
      <c r="AG1238" s="545"/>
      <c r="AI1238" s="876"/>
    </row>
    <row r="1239" spans="6:35" ht="24" customHeight="1">
      <c r="J1239" s="876"/>
      <c r="P1239" s="902"/>
      <c r="S1239" s="878"/>
      <c r="T1239" s="881"/>
      <c r="U1239" s="904"/>
      <c r="AB1239" s="901"/>
      <c r="AC1239" s="876"/>
      <c r="AD1239" s="545"/>
      <c r="AE1239" s="876"/>
      <c r="AF1239" s="545"/>
      <c r="AG1239" s="545"/>
      <c r="AI1239" s="876"/>
    </row>
    <row r="1240" spans="6:35" ht="24" customHeight="1">
      <c r="J1240" s="881"/>
      <c r="K1240" s="881"/>
      <c r="P1240" s="902"/>
      <c r="Q1240" s="876"/>
      <c r="S1240" s="878"/>
      <c r="T1240" s="545"/>
      <c r="U1240" s="904"/>
      <c r="AB1240" s="901"/>
      <c r="AC1240" s="876"/>
      <c r="AD1240" s="545"/>
      <c r="AE1240" s="876"/>
      <c r="AF1240" s="545"/>
      <c r="AG1240" s="545"/>
      <c r="AI1240" s="876"/>
    </row>
    <row r="1241" spans="6:35" ht="24" customHeight="1">
      <c r="F1241" s="545"/>
      <c r="G1241" s="889"/>
      <c r="H1241" s="545"/>
      <c r="I1241" s="876"/>
      <c r="J1241" s="876"/>
      <c r="K1241" s="545"/>
      <c r="L1241" s="876"/>
      <c r="M1241" s="882"/>
      <c r="P1241" s="902"/>
      <c r="S1241" s="878"/>
      <c r="T1241" s="881"/>
      <c r="AB1241" s="901"/>
      <c r="AC1241" s="876"/>
      <c r="AD1241" s="545"/>
      <c r="AE1241" s="876"/>
      <c r="AF1241" s="545"/>
      <c r="AG1241" s="545"/>
      <c r="AI1241" s="876"/>
    </row>
    <row r="1242" spans="6:35" ht="24" customHeight="1">
      <c r="F1242" s="545"/>
      <c r="G1242" s="889"/>
      <c r="H1242" s="545"/>
      <c r="I1242" s="876"/>
      <c r="J1242" s="876"/>
      <c r="K1242" s="545"/>
      <c r="L1242" s="876"/>
      <c r="M1242" s="882"/>
      <c r="P1242" s="902"/>
      <c r="Q1242" s="875"/>
      <c r="S1242" s="878"/>
      <c r="T1242" s="892"/>
      <c r="AA1242" s="545"/>
      <c r="AB1242" s="901"/>
      <c r="AC1242" s="876"/>
      <c r="AD1242" s="545"/>
      <c r="AE1242" s="876"/>
      <c r="AF1242" s="545"/>
      <c r="AG1242" s="545"/>
    </row>
    <row r="1243" spans="6:35" ht="24" customHeight="1">
      <c r="J1243" s="876"/>
      <c r="K1243" s="876"/>
      <c r="M1243" s="882"/>
      <c r="P1243" s="902"/>
      <c r="S1243" s="878"/>
      <c r="T1243" s="881"/>
      <c r="AA1243" s="545"/>
      <c r="AB1243" s="901"/>
      <c r="AC1243" s="876"/>
      <c r="AD1243" s="545"/>
      <c r="AE1243" s="876"/>
      <c r="AF1243" s="545"/>
      <c r="AG1243" s="545"/>
      <c r="AI1243" s="876"/>
    </row>
    <row r="1244" spans="6:35" ht="24" customHeight="1">
      <c r="F1244" s="545"/>
      <c r="G1244" s="889"/>
      <c r="H1244" s="545"/>
      <c r="I1244" s="876"/>
      <c r="J1244" s="876"/>
      <c r="K1244" s="545"/>
      <c r="L1244" s="876"/>
      <c r="M1244" s="882"/>
      <c r="P1244" s="902"/>
      <c r="S1244" s="878"/>
      <c r="T1244" s="881"/>
      <c r="AB1244" s="901"/>
      <c r="AC1244" s="876"/>
      <c r="AD1244" s="545"/>
      <c r="AE1244" s="876"/>
      <c r="AF1244" s="545"/>
      <c r="AG1244" s="545"/>
    </row>
    <row r="1245" spans="6:35" ht="24" customHeight="1">
      <c r="F1245" s="545"/>
      <c r="G1245" s="889"/>
      <c r="H1245" s="545"/>
      <c r="I1245" s="876"/>
      <c r="J1245" s="876"/>
      <c r="K1245" s="545"/>
      <c r="L1245" s="876"/>
      <c r="M1245" s="882"/>
      <c r="P1245" s="902"/>
      <c r="S1245" s="878"/>
      <c r="T1245" s="881"/>
      <c r="AA1245" s="545"/>
      <c r="AB1245" s="901"/>
      <c r="AC1245" s="876"/>
      <c r="AD1245" s="545"/>
      <c r="AE1245" s="876"/>
      <c r="AF1245" s="545"/>
      <c r="AG1245" s="545"/>
      <c r="AI1245" s="876"/>
    </row>
    <row r="1246" spans="6:35" ht="24" customHeight="1">
      <c r="F1246" s="545"/>
      <c r="G1246" s="889"/>
      <c r="H1246" s="545"/>
      <c r="I1246" s="876"/>
      <c r="J1246" s="876"/>
      <c r="K1246" s="545"/>
      <c r="L1246" s="876"/>
      <c r="M1246" s="882"/>
      <c r="P1246" s="902"/>
      <c r="S1246" s="878"/>
      <c r="T1246" s="881"/>
      <c r="AA1246" s="545"/>
      <c r="AB1246" s="901"/>
      <c r="AC1246" s="876"/>
      <c r="AD1246" s="545"/>
      <c r="AE1246" s="876"/>
      <c r="AF1246" s="545"/>
      <c r="AG1246" s="545"/>
      <c r="AI1246" s="876"/>
    </row>
    <row r="1247" spans="6:35" ht="24" customHeight="1">
      <c r="F1247" s="545"/>
      <c r="G1247" s="889"/>
      <c r="H1247" s="545"/>
      <c r="I1247" s="876"/>
      <c r="J1247" s="876"/>
      <c r="K1247" s="545"/>
      <c r="L1247" s="876"/>
      <c r="M1247" s="882"/>
      <c r="P1247" s="902"/>
      <c r="Q1247" s="962"/>
      <c r="S1247" s="878"/>
      <c r="AA1247" s="545"/>
      <c r="AB1247" s="902"/>
      <c r="AE1247" s="874"/>
      <c r="AF1247" s="881"/>
      <c r="AG1247" s="545"/>
      <c r="AI1247" s="876"/>
    </row>
    <row r="1248" spans="6:35" ht="24" customHeight="1">
      <c r="F1248" s="904"/>
      <c r="G1248" s="924"/>
      <c r="H1248" s="904"/>
      <c r="I1248" s="876"/>
      <c r="J1248" s="876"/>
      <c r="K1248" s="545"/>
      <c r="L1248" s="876"/>
      <c r="M1248" s="882"/>
      <c r="P1248" s="902"/>
      <c r="S1248" s="878"/>
      <c r="AA1248" s="545"/>
      <c r="AB1248" s="902"/>
      <c r="AC1248" s="876"/>
      <c r="AE1248" s="874"/>
      <c r="AF1248" s="545"/>
      <c r="AG1248" s="545"/>
      <c r="AI1248" s="876"/>
    </row>
    <row r="1249" spans="6:35" ht="24" customHeight="1">
      <c r="F1249" s="904"/>
      <c r="G1249" s="924"/>
      <c r="H1249" s="904"/>
      <c r="I1249" s="876"/>
      <c r="J1249" s="876"/>
      <c r="K1249" s="914"/>
      <c r="L1249" s="876"/>
      <c r="M1249" s="882"/>
      <c r="O1249" s="873"/>
      <c r="P1249" s="964"/>
      <c r="Q1249" s="873"/>
      <c r="R1249" s="873"/>
      <c r="S1249" s="878"/>
      <c r="AA1249" s="904"/>
      <c r="AB1249" s="902"/>
      <c r="AE1249" s="874"/>
      <c r="AF1249" s="881"/>
      <c r="AG1249" s="545"/>
      <c r="AI1249" s="876"/>
    </row>
    <row r="1250" spans="6:35" ht="24" customHeight="1">
      <c r="F1250" s="545"/>
      <c r="G1250" s="889"/>
      <c r="H1250" s="545"/>
      <c r="I1250" s="876"/>
      <c r="J1250" s="876"/>
      <c r="K1250" s="545"/>
      <c r="L1250" s="876"/>
      <c r="M1250" s="882"/>
      <c r="O1250" s="888"/>
      <c r="P1250" s="965"/>
      <c r="Q1250" s="913"/>
      <c r="R1250" s="966"/>
      <c r="S1250" s="880"/>
      <c r="T1250" s="545"/>
      <c r="AA1250" s="904"/>
      <c r="AB1250" s="902"/>
      <c r="AC1250" s="872"/>
      <c r="AE1250" s="874"/>
      <c r="AF1250" s="892"/>
      <c r="AG1250" s="883"/>
      <c r="AI1250" s="876"/>
    </row>
    <row r="1251" spans="6:35" ht="24" customHeight="1">
      <c r="F1251" s="545"/>
      <c r="G1251" s="889"/>
      <c r="H1251" s="545"/>
      <c r="I1251" s="876"/>
      <c r="J1251" s="876"/>
      <c r="K1251" s="545"/>
      <c r="L1251" s="876"/>
      <c r="M1251" s="882"/>
      <c r="O1251" s="545"/>
      <c r="P1251" s="901"/>
      <c r="Q1251" s="876"/>
      <c r="R1251" s="545"/>
      <c r="S1251" s="880"/>
      <c r="T1251" s="545"/>
      <c r="AA1251" s="545"/>
      <c r="AB1251" s="902"/>
      <c r="AE1251" s="874"/>
      <c r="AF1251" s="881"/>
      <c r="AG1251" s="545"/>
      <c r="AI1251" s="876"/>
    </row>
    <row r="1252" spans="6:35" ht="24" customHeight="1">
      <c r="F1252" s="545"/>
      <c r="G1252" s="889"/>
      <c r="H1252" s="545"/>
      <c r="I1252" s="876"/>
      <c r="J1252" s="876"/>
      <c r="K1252" s="545"/>
      <c r="L1252" s="876"/>
      <c r="M1252" s="882"/>
      <c r="O1252" s="545"/>
      <c r="P1252" s="901"/>
      <c r="Q1252" s="876"/>
      <c r="R1252" s="545"/>
      <c r="S1252" s="880"/>
      <c r="T1252" s="545"/>
      <c r="AA1252" s="545"/>
      <c r="AB1252" s="901"/>
      <c r="AC1252" s="876"/>
      <c r="AG1252" s="545"/>
      <c r="AI1252" s="876"/>
    </row>
    <row r="1253" spans="6:35" ht="24" customHeight="1">
      <c r="I1253" s="876"/>
      <c r="J1253" s="876"/>
      <c r="L1253" s="876"/>
      <c r="M1253" s="882"/>
      <c r="O1253" s="545"/>
      <c r="P1253" s="901"/>
      <c r="Q1253" s="876"/>
      <c r="R1253" s="545"/>
      <c r="S1253" s="880"/>
      <c r="T1253" s="545"/>
      <c r="AA1253" s="545"/>
      <c r="AB1253" s="902"/>
      <c r="AC1253" s="876"/>
      <c r="AG1253" s="545"/>
      <c r="AI1253" s="876"/>
    </row>
    <row r="1254" spans="6:35" ht="24" customHeight="1">
      <c r="M1254" s="882"/>
      <c r="O1254" s="545"/>
      <c r="P1254" s="901"/>
      <c r="Q1254" s="876"/>
      <c r="R1254" s="545"/>
      <c r="S1254" s="880"/>
      <c r="T1254" s="545"/>
      <c r="AB1254" s="902"/>
      <c r="AC1254" s="881"/>
      <c r="AG1254" s="545"/>
      <c r="AI1254" s="876"/>
    </row>
    <row r="1255" spans="6:35" ht="24" customHeight="1">
      <c r="J1255" s="876"/>
      <c r="M1255" s="882"/>
      <c r="O1255" s="545"/>
      <c r="P1255" s="901"/>
      <c r="Q1255" s="876"/>
      <c r="R1255" s="545"/>
      <c r="S1255" s="880"/>
      <c r="T1255" s="545"/>
      <c r="AB1255" s="901"/>
      <c r="AC1255" s="876"/>
      <c r="AD1255" s="545"/>
      <c r="AE1255" s="876"/>
      <c r="AF1255" s="545"/>
      <c r="AG1255" s="545"/>
      <c r="AI1255" s="876"/>
    </row>
    <row r="1256" spans="6:35" ht="24" customHeight="1">
      <c r="M1256" s="882"/>
      <c r="O1256" s="904"/>
      <c r="P1256" s="901"/>
      <c r="Q1256" s="876"/>
      <c r="R1256" s="545"/>
      <c r="S1256" s="880"/>
      <c r="T1256" s="545"/>
      <c r="AB1256" s="901"/>
      <c r="AC1256" s="876"/>
      <c r="AD1256" s="545"/>
      <c r="AE1256" s="876"/>
      <c r="AF1256" s="545"/>
      <c r="AG1256" s="545"/>
    </row>
    <row r="1257" spans="6:35" ht="24" customHeight="1">
      <c r="J1257" s="872"/>
      <c r="M1257" s="883"/>
      <c r="O1257" s="904"/>
      <c r="P1257" s="901"/>
      <c r="Q1257" s="876"/>
      <c r="R1257" s="545"/>
      <c r="S1257" s="880"/>
      <c r="T1257" s="545"/>
      <c r="V1257" s="545"/>
      <c r="AB1257" s="901"/>
      <c r="AC1257" s="876"/>
      <c r="AD1257" s="545"/>
      <c r="AE1257" s="876"/>
      <c r="AF1257" s="545"/>
      <c r="AG1257" s="545"/>
    </row>
    <row r="1258" spans="6:35" ht="24" customHeight="1">
      <c r="M1258" s="882"/>
      <c r="O1258" s="545"/>
      <c r="P1258" s="901"/>
      <c r="Q1258" s="876"/>
      <c r="R1258" s="545"/>
      <c r="S1258" s="880"/>
      <c r="T1258" s="545"/>
      <c r="AB1258" s="901"/>
      <c r="AC1258" s="876"/>
      <c r="AD1258" s="545"/>
      <c r="AE1258" s="876"/>
      <c r="AF1258" s="545"/>
      <c r="AG1258" s="545"/>
      <c r="AI1258" s="876"/>
    </row>
    <row r="1259" spans="6:35" ht="24" customHeight="1">
      <c r="F1259" s="920"/>
      <c r="G1259" s="921"/>
      <c r="H1259" s="920"/>
      <c r="I1259" s="876"/>
      <c r="J1259" s="876"/>
      <c r="O1259" s="545"/>
      <c r="P1259" s="901"/>
      <c r="Q1259" s="876"/>
      <c r="R1259" s="545"/>
      <c r="S1259" s="880"/>
      <c r="T1259" s="545"/>
      <c r="V1259" s="892"/>
      <c r="AB1259" s="901"/>
      <c r="AC1259" s="876"/>
      <c r="AD1259" s="545"/>
      <c r="AE1259" s="876"/>
      <c r="AF1259" s="545"/>
      <c r="AG1259" s="545"/>
    </row>
    <row r="1260" spans="6:35" ht="24" customHeight="1">
      <c r="J1260" s="876"/>
      <c r="O1260" s="545"/>
      <c r="P1260" s="901"/>
      <c r="Q1260" s="876"/>
      <c r="R1260" s="545"/>
      <c r="S1260" s="880"/>
      <c r="T1260" s="545"/>
      <c r="AB1260" s="901"/>
      <c r="AC1260" s="876"/>
      <c r="AE1260" s="876"/>
      <c r="AF1260" s="545"/>
      <c r="AG1260" s="545"/>
    </row>
    <row r="1261" spans="6:35" ht="24" customHeight="1">
      <c r="J1261" s="881"/>
      <c r="P1261" s="901"/>
      <c r="Q1261" s="876"/>
      <c r="S1261" s="880"/>
      <c r="T1261" s="545"/>
      <c r="AB1261" s="902"/>
      <c r="AE1261" s="874"/>
      <c r="AF1261" s="881"/>
      <c r="AG1261" s="545"/>
    </row>
    <row r="1262" spans="6:35" ht="24" customHeight="1">
      <c r="F1262" s="545"/>
      <c r="G1262" s="889"/>
      <c r="H1262" s="545"/>
      <c r="I1262" s="876"/>
      <c r="J1262" s="876"/>
      <c r="K1262" s="545"/>
      <c r="L1262" s="876"/>
      <c r="M1262" s="882"/>
      <c r="P1262" s="902"/>
      <c r="S1262" s="878"/>
      <c r="T1262" s="881"/>
      <c r="AB1262" s="902"/>
      <c r="AC1262" s="876"/>
      <c r="AE1262" s="874"/>
      <c r="AF1262" s="545"/>
      <c r="AG1262" s="545"/>
    </row>
    <row r="1263" spans="6:35" ht="24" customHeight="1">
      <c r="F1263" s="545"/>
      <c r="G1263" s="889"/>
      <c r="H1263" s="545"/>
      <c r="I1263" s="876"/>
      <c r="J1263" s="876"/>
      <c r="K1263" s="914"/>
      <c r="L1263" s="876"/>
      <c r="M1263" s="882"/>
      <c r="P1263" s="902"/>
      <c r="Q1263" s="876"/>
      <c r="S1263" s="878"/>
      <c r="T1263" s="545"/>
      <c r="V1263" s="902"/>
      <c r="W1263" s="962"/>
      <c r="Y1263" s="878"/>
      <c r="AB1263" s="902"/>
      <c r="AE1263" s="874"/>
      <c r="AF1263" s="881"/>
      <c r="AG1263" s="545"/>
    </row>
    <row r="1264" spans="6:35" ht="24" customHeight="1">
      <c r="F1264" s="545"/>
      <c r="G1264" s="889"/>
      <c r="H1264" s="545"/>
      <c r="I1264" s="876"/>
      <c r="J1264" s="876"/>
      <c r="K1264" s="545"/>
      <c r="L1264" s="876"/>
      <c r="M1264" s="882"/>
      <c r="P1264" s="902"/>
      <c r="S1264" s="878"/>
      <c r="T1264" s="881"/>
      <c r="V1264" s="902"/>
      <c r="Y1264" s="878"/>
      <c r="AB1264" s="902"/>
      <c r="AC1264" s="872"/>
      <c r="AE1264" s="874"/>
      <c r="AF1264" s="892"/>
      <c r="AG1264" s="545"/>
    </row>
    <row r="1265" spans="6:33" ht="24" customHeight="1">
      <c r="F1265" s="545"/>
      <c r="G1265" s="889"/>
      <c r="H1265" s="545"/>
      <c r="I1265" s="876"/>
      <c r="J1265" s="876"/>
      <c r="K1265" s="545"/>
      <c r="L1265" s="876"/>
      <c r="M1265" s="882"/>
      <c r="P1265" s="902"/>
      <c r="Q1265" s="875"/>
      <c r="S1265" s="878"/>
      <c r="T1265" s="892"/>
      <c r="V1265" s="902"/>
      <c r="Y1265" s="878"/>
      <c r="AB1265" s="902"/>
      <c r="AE1265" s="874"/>
      <c r="AF1265" s="881"/>
      <c r="AG1265" s="545"/>
    </row>
    <row r="1266" spans="6:33" ht="24" customHeight="1">
      <c r="F1266" s="545"/>
      <c r="G1266" s="889"/>
      <c r="H1266" s="545"/>
      <c r="I1266" s="876"/>
      <c r="J1266" s="876"/>
      <c r="K1266" s="545"/>
      <c r="L1266" s="876"/>
      <c r="M1266" s="882"/>
      <c r="U1266" s="920"/>
      <c r="V1266" s="901"/>
      <c r="W1266" s="876"/>
      <c r="X1266" s="882"/>
      <c r="Y1266" s="880"/>
      <c r="Z1266" s="545"/>
      <c r="AA1266" s="920"/>
      <c r="AG1266" s="545"/>
    </row>
    <row r="1267" spans="6:33" ht="24" customHeight="1">
      <c r="I1267" s="876"/>
      <c r="J1267" s="876"/>
      <c r="L1267" s="876"/>
      <c r="M1267" s="882"/>
      <c r="U1267" s="501"/>
      <c r="V1267" s="901"/>
      <c r="W1267" s="876"/>
      <c r="X1267" s="545"/>
      <c r="Y1267" s="880"/>
      <c r="Z1267" s="545"/>
      <c r="AG1267" s="545"/>
    </row>
    <row r="1268" spans="6:33" ht="24" customHeight="1">
      <c r="M1268" s="882"/>
      <c r="U1268" s="501"/>
      <c r="V1268" s="901"/>
      <c r="W1268" s="876"/>
      <c r="X1268" s="545"/>
      <c r="Y1268" s="880"/>
      <c r="Z1268" s="545"/>
      <c r="AE1268" s="874"/>
      <c r="AG1268" s="545"/>
    </row>
    <row r="1269" spans="6:33" ht="24" customHeight="1">
      <c r="J1269" s="876"/>
      <c r="M1269" s="882"/>
      <c r="U1269" s="501"/>
      <c r="V1269" s="901"/>
      <c r="W1269" s="876"/>
      <c r="X1269" s="545"/>
      <c r="Y1269" s="880"/>
      <c r="Z1269" s="545"/>
      <c r="AE1269" s="874"/>
      <c r="AG1269" s="545"/>
    </row>
    <row r="1270" spans="6:33" ht="40.5" customHeight="1">
      <c r="M1270" s="882"/>
      <c r="U1270" s="545"/>
      <c r="V1270" s="901"/>
      <c r="W1270" s="876"/>
      <c r="X1270" s="545"/>
      <c r="Y1270" s="880"/>
      <c r="Z1270" s="545"/>
      <c r="AA1270" s="545"/>
      <c r="AE1270" s="874"/>
      <c r="AG1270" s="545"/>
    </row>
    <row r="1271" spans="6:33" ht="24" customHeight="1">
      <c r="J1271" s="872"/>
      <c r="M1271" s="883"/>
      <c r="U1271" s="545"/>
      <c r="V1271" s="901"/>
      <c r="W1271" s="876"/>
      <c r="X1271" s="545"/>
      <c r="Y1271" s="880"/>
      <c r="Z1271" s="545"/>
      <c r="AA1271" s="545"/>
      <c r="AG1271" s="545"/>
    </row>
    <row r="1272" spans="6:33" ht="24" customHeight="1">
      <c r="M1272" s="882"/>
      <c r="U1272" s="501"/>
      <c r="V1272" s="901"/>
      <c r="W1272" s="876"/>
      <c r="X1272" s="545"/>
      <c r="Y1272" s="880"/>
      <c r="Z1272" s="545"/>
      <c r="AG1272" s="545"/>
    </row>
    <row r="1273" spans="6:33" ht="24" customHeight="1">
      <c r="F1273" s="920"/>
      <c r="G1273" s="921"/>
      <c r="H1273" s="920"/>
      <c r="I1273" s="876"/>
      <c r="J1273" s="876"/>
      <c r="U1273" s="545"/>
      <c r="V1273" s="901"/>
      <c r="W1273" s="876"/>
      <c r="X1273" s="545"/>
      <c r="Y1273" s="880"/>
      <c r="Z1273" s="545"/>
      <c r="AA1273" s="545"/>
      <c r="AG1273" s="545"/>
    </row>
    <row r="1274" spans="6:33" ht="24" customHeight="1">
      <c r="J1274" s="876"/>
      <c r="U1274" s="545"/>
      <c r="V1274" s="901"/>
      <c r="W1274" s="876"/>
      <c r="X1274" s="545"/>
      <c r="Y1274" s="880"/>
      <c r="Z1274" s="545"/>
      <c r="AA1274" s="545"/>
      <c r="AG1274" s="545"/>
    </row>
    <row r="1275" spans="6:33" ht="24" customHeight="1">
      <c r="J1275" s="881"/>
      <c r="U1275" s="545"/>
      <c r="V1275" s="901"/>
      <c r="W1275" s="876"/>
      <c r="X1275" s="545"/>
      <c r="Y1275" s="880"/>
      <c r="Z1275" s="545"/>
      <c r="AA1275" s="545"/>
      <c r="AG1275" s="545"/>
    </row>
    <row r="1276" spans="6:33" ht="24" customHeight="1">
      <c r="F1276" s="545"/>
      <c r="G1276" s="889"/>
      <c r="H1276" s="545"/>
      <c r="I1276" s="876"/>
      <c r="J1276" s="876"/>
      <c r="K1276" s="545"/>
      <c r="L1276" s="876"/>
      <c r="M1276" s="882"/>
      <c r="U1276" s="545"/>
      <c r="V1276" s="901"/>
      <c r="W1276" s="876"/>
      <c r="X1276" s="545"/>
      <c r="Y1276" s="880"/>
      <c r="Z1276" s="545"/>
      <c r="AA1276" s="545"/>
      <c r="AG1276" s="545"/>
    </row>
    <row r="1277" spans="6:33" ht="24" customHeight="1">
      <c r="F1277" s="545"/>
      <c r="G1277" s="889"/>
      <c r="H1277" s="545"/>
      <c r="I1277" s="876"/>
      <c r="J1277" s="876"/>
      <c r="K1277" s="914"/>
      <c r="L1277" s="876"/>
      <c r="M1277" s="882"/>
      <c r="U1277" s="904"/>
      <c r="V1277" s="901"/>
      <c r="W1277" s="876"/>
      <c r="Y1277" s="880"/>
      <c r="Z1277" s="545"/>
      <c r="AA1277" s="904"/>
      <c r="AG1277" s="545"/>
    </row>
    <row r="1278" spans="6:33" ht="24" customHeight="1">
      <c r="F1278" s="545"/>
      <c r="G1278" s="889"/>
      <c r="H1278" s="545"/>
      <c r="I1278" s="876"/>
      <c r="J1278" s="876"/>
      <c r="K1278" s="545"/>
      <c r="L1278" s="876"/>
      <c r="M1278" s="882"/>
      <c r="U1278" s="904"/>
      <c r="V1278" s="902"/>
      <c r="Y1278" s="878"/>
      <c r="Z1278" s="881"/>
      <c r="AA1278" s="904"/>
      <c r="AG1278" s="545"/>
    </row>
    <row r="1279" spans="6:33" ht="24" customHeight="1">
      <c r="F1279" s="545"/>
      <c r="G1279" s="889"/>
      <c r="H1279" s="545"/>
      <c r="I1279" s="876"/>
      <c r="J1279" s="876"/>
      <c r="K1279" s="545"/>
      <c r="L1279" s="876"/>
      <c r="M1279" s="882"/>
      <c r="U1279" s="545"/>
      <c r="V1279" s="902"/>
      <c r="W1279" s="876"/>
      <c r="Y1279" s="878"/>
      <c r="Z1279" s="545"/>
      <c r="AA1279" s="545"/>
      <c r="AG1279" s="545"/>
    </row>
    <row r="1280" spans="6:33" ht="24" customHeight="1">
      <c r="F1280" s="545"/>
      <c r="G1280" s="889"/>
      <c r="H1280" s="545"/>
      <c r="I1280" s="876"/>
      <c r="J1280" s="876"/>
      <c r="K1280" s="545"/>
      <c r="L1280" s="876"/>
      <c r="M1280" s="882"/>
      <c r="U1280" s="545"/>
      <c r="V1280" s="902"/>
      <c r="Y1280" s="878"/>
      <c r="Z1280" s="881"/>
      <c r="AA1280" s="545"/>
      <c r="AG1280" s="545"/>
    </row>
    <row r="1281" spans="6:33" ht="24" customHeight="1">
      <c r="I1281" s="876"/>
      <c r="J1281" s="876"/>
      <c r="L1281" s="876"/>
      <c r="M1281" s="882"/>
      <c r="U1281" s="545"/>
      <c r="V1281" s="902"/>
      <c r="W1281" s="875"/>
      <c r="Y1281" s="878"/>
      <c r="Z1281" s="892"/>
      <c r="AA1281" s="545"/>
      <c r="AG1281" s="545"/>
    </row>
    <row r="1282" spans="6:33" ht="24" customHeight="1">
      <c r="M1282" s="882"/>
      <c r="U1282" s="501"/>
      <c r="AG1282" s="545"/>
    </row>
    <row r="1283" spans="6:33" ht="24" customHeight="1">
      <c r="J1283" s="876"/>
      <c r="M1283" s="882"/>
      <c r="U1283" s="501"/>
      <c r="AG1283" s="545"/>
    </row>
    <row r="1284" spans="6:33" ht="24" customHeight="1">
      <c r="M1284" s="882"/>
      <c r="U1284" s="501"/>
      <c r="AG1284" s="545"/>
    </row>
    <row r="1285" spans="6:33" ht="24" customHeight="1">
      <c r="J1285" s="872"/>
      <c r="M1285" s="883"/>
      <c r="U1285" s="501"/>
      <c r="AG1285" s="545"/>
    </row>
    <row r="1286" spans="6:33" ht="24" customHeight="1">
      <c r="M1286" s="882"/>
      <c r="AG1286" s="545"/>
    </row>
    <row r="1287" spans="6:33" ht="24" customHeight="1">
      <c r="M1287" s="882"/>
      <c r="AG1287" s="545"/>
    </row>
    <row r="1288" spans="6:33" ht="24" customHeight="1">
      <c r="M1288" s="882"/>
      <c r="AA1288" s="920"/>
      <c r="AG1288" s="545"/>
    </row>
    <row r="1289" spans="6:33" ht="24" customHeight="1">
      <c r="M1289" s="882"/>
      <c r="O1289" s="880"/>
      <c r="P1289" s="901"/>
      <c r="Q1289" s="876"/>
      <c r="S1289" s="878"/>
      <c r="U1289" s="929"/>
      <c r="AG1289" s="545"/>
    </row>
    <row r="1290" spans="6:33" ht="24" customHeight="1">
      <c r="M1290" s="882"/>
      <c r="P1290" s="902"/>
      <c r="Q1290" s="876"/>
      <c r="S1290" s="878"/>
      <c r="U1290" s="501"/>
      <c r="AG1290" s="545"/>
    </row>
    <row r="1291" spans="6:33" ht="24" customHeight="1">
      <c r="F1291" s="880"/>
      <c r="G1291" s="918"/>
      <c r="H1291" s="880"/>
      <c r="I1291" s="876"/>
      <c r="J1291" s="876"/>
      <c r="P1291" s="902"/>
      <c r="Q1291" s="875"/>
      <c r="S1291" s="878"/>
      <c r="U1291" s="545"/>
      <c r="AA1291" s="545"/>
      <c r="AG1291" s="545"/>
    </row>
    <row r="1292" spans="6:33" ht="24" customHeight="1">
      <c r="J1292" s="876"/>
      <c r="P1292" s="902"/>
      <c r="Q1292" s="881"/>
      <c r="S1292" s="878"/>
      <c r="U1292" s="545"/>
      <c r="AA1292" s="545"/>
      <c r="AG1292" s="545"/>
    </row>
    <row r="1293" spans="6:33" ht="24" customHeight="1">
      <c r="J1293" s="876"/>
      <c r="O1293" s="545"/>
      <c r="P1293" s="901"/>
      <c r="Q1293" s="913"/>
      <c r="R1293" s="545"/>
      <c r="S1293" s="880"/>
      <c r="T1293" s="545"/>
      <c r="U1293" s="545"/>
      <c r="AA1293" s="545"/>
      <c r="AG1293" s="545"/>
    </row>
    <row r="1294" spans="6:33" ht="24" customHeight="1">
      <c r="J1294" s="876"/>
      <c r="O1294" s="545"/>
      <c r="P1294" s="901"/>
      <c r="Q1294" s="876"/>
      <c r="R1294" s="545"/>
      <c r="S1294" s="880"/>
      <c r="T1294" s="545"/>
      <c r="U1294" s="545"/>
      <c r="AA1294" s="545"/>
      <c r="AG1294" s="545"/>
    </row>
    <row r="1295" spans="6:33" ht="24" customHeight="1">
      <c r="J1295" s="881"/>
      <c r="O1295" s="545"/>
      <c r="P1295" s="901"/>
      <c r="Q1295" s="876"/>
      <c r="R1295" s="545"/>
      <c r="S1295" s="901"/>
      <c r="T1295" s="545"/>
      <c r="U1295" s="545"/>
      <c r="AA1295" s="545"/>
      <c r="AG1295" s="545"/>
    </row>
    <row r="1296" spans="6:33" ht="24" customHeight="1">
      <c r="F1296" s="545"/>
      <c r="G1296" s="889"/>
      <c r="H1296" s="545"/>
      <c r="I1296" s="876"/>
      <c r="J1296" s="876"/>
      <c r="K1296" s="545"/>
      <c r="L1296" s="876"/>
      <c r="M1296" s="882"/>
      <c r="O1296" s="545"/>
      <c r="P1296" s="901"/>
      <c r="Q1296" s="876"/>
      <c r="R1296" s="545"/>
      <c r="S1296" s="901"/>
      <c r="T1296" s="545"/>
      <c r="U1296" s="545"/>
      <c r="AG1296" s="545"/>
    </row>
    <row r="1297" spans="6:33" ht="24" customHeight="1">
      <c r="F1297" s="904"/>
      <c r="G1297" s="924"/>
      <c r="H1297" s="904"/>
      <c r="I1297" s="876"/>
      <c r="J1297" s="876"/>
      <c r="K1297" s="545"/>
      <c r="L1297" s="876"/>
      <c r="M1297" s="882"/>
      <c r="O1297" s="545"/>
      <c r="P1297" s="901"/>
      <c r="Q1297" s="876"/>
      <c r="R1297" s="545"/>
      <c r="S1297" s="901"/>
      <c r="T1297" s="545"/>
      <c r="U1297" s="545"/>
      <c r="AG1297" s="545"/>
    </row>
    <row r="1298" spans="6:33" ht="24" customHeight="1">
      <c r="F1298" s="545"/>
      <c r="G1298" s="889"/>
      <c r="H1298" s="545"/>
      <c r="I1298" s="876"/>
      <c r="J1298" s="876"/>
      <c r="K1298" s="545"/>
      <c r="L1298" s="876"/>
      <c r="M1298" s="882"/>
      <c r="O1298" s="545"/>
      <c r="P1298" s="901"/>
      <c r="Q1298" s="876"/>
      <c r="R1298" s="545"/>
      <c r="S1298" s="901"/>
      <c r="T1298" s="545"/>
      <c r="U1298" s="501"/>
      <c r="AG1298" s="545"/>
    </row>
    <row r="1299" spans="6:33" ht="24" customHeight="1">
      <c r="F1299" s="545"/>
      <c r="G1299" s="889"/>
      <c r="H1299" s="545"/>
      <c r="I1299" s="876"/>
      <c r="J1299" s="876"/>
      <c r="K1299" s="545"/>
      <c r="L1299" s="876"/>
      <c r="M1299" s="882"/>
      <c r="O1299" s="545"/>
      <c r="P1299" s="901"/>
      <c r="Q1299" s="876"/>
      <c r="R1299" s="545"/>
      <c r="S1299" s="901"/>
      <c r="T1299" s="545"/>
      <c r="U1299" s="501"/>
      <c r="AG1299" s="545"/>
    </row>
    <row r="1300" spans="6:33" ht="24" customHeight="1">
      <c r="F1300" s="545"/>
      <c r="G1300" s="889"/>
      <c r="H1300" s="545"/>
      <c r="I1300" s="876"/>
      <c r="J1300" s="876"/>
      <c r="K1300" s="545"/>
      <c r="L1300" s="876"/>
      <c r="M1300" s="882"/>
      <c r="P1300" s="901"/>
      <c r="Q1300" s="876"/>
      <c r="R1300" s="876"/>
      <c r="S1300" s="880"/>
      <c r="T1300" s="545"/>
      <c r="U1300" s="501"/>
      <c r="AG1300" s="545"/>
    </row>
    <row r="1301" spans="6:33" ht="24" customHeight="1">
      <c r="I1301" s="876"/>
      <c r="J1301" s="876"/>
      <c r="L1301" s="876"/>
      <c r="M1301" s="882"/>
      <c r="P1301" s="902"/>
      <c r="S1301" s="878"/>
      <c r="T1301" s="881"/>
      <c r="U1301" s="501"/>
      <c r="AG1301" s="545"/>
    </row>
    <row r="1302" spans="6:33" ht="24" customHeight="1">
      <c r="M1302" s="882"/>
      <c r="P1302" s="902"/>
      <c r="Q1302" s="876"/>
      <c r="S1302" s="878"/>
      <c r="T1302" s="545"/>
      <c r="U1302" s="501"/>
      <c r="V1302" s="901"/>
      <c r="W1302" s="876"/>
      <c r="Y1302" s="874"/>
      <c r="AG1302" s="545"/>
    </row>
    <row r="1303" spans="6:33" ht="24" customHeight="1">
      <c r="J1303" s="876"/>
      <c r="M1303" s="882"/>
      <c r="P1303" s="902"/>
      <c r="S1303" s="878"/>
      <c r="T1303" s="881"/>
      <c r="U1303" s="501"/>
      <c r="V1303" s="902"/>
      <c r="W1303" s="876"/>
      <c r="Y1303" s="874"/>
      <c r="AG1303" s="545"/>
    </row>
    <row r="1304" spans="6:33" ht="24" customHeight="1">
      <c r="M1304" s="882"/>
      <c r="P1304" s="902"/>
      <c r="Q1304" s="875"/>
      <c r="S1304" s="878"/>
      <c r="T1304" s="892"/>
      <c r="U1304" s="501"/>
      <c r="V1304" s="902"/>
      <c r="W1304" s="876"/>
      <c r="Y1304" s="874"/>
      <c r="AG1304" s="545"/>
    </row>
    <row r="1305" spans="6:33" ht="24" customHeight="1">
      <c r="J1305" s="872"/>
      <c r="M1305" s="883"/>
      <c r="O1305" s="876"/>
      <c r="P1305" s="902"/>
      <c r="S1305" s="878"/>
      <c r="U1305" s="501"/>
      <c r="V1305" s="902"/>
      <c r="W1305" s="881"/>
      <c r="X1305" s="881"/>
      <c r="Y1305" s="874"/>
      <c r="AG1305" s="545"/>
    </row>
    <row r="1306" spans="6:33" ht="24" customHeight="1">
      <c r="F1306" s="876"/>
      <c r="G1306" s="916"/>
      <c r="H1306" s="876"/>
      <c r="P1306" s="902"/>
      <c r="S1306" s="878"/>
      <c r="T1306" s="881"/>
      <c r="U1306" s="501"/>
      <c r="V1306" s="901"/>
      <c r="W1306" s="910"/>
      <c r="X1306" s="545"/>
      <c r="Y1306" s="876"/>
      <c r="Z1306" s="545"/>
      <c r="AG1306" s="545"/>
    </row>
    <row r="1307" spans="6:33" ht="24" customHeight="1">
      <c r="M1307" s="882"/>
      <c r="P1307" s="902"/>
      <c r="S1307" s="878"/>
      <c r="U1307" s="501"/>
      <c r="V1307" s="901"/>
      <c r="W1307" s="876"/>
      <c r="X1307" s="545"/>
      <c r="Y1307" s="876"/>
      <c r="Z1307" s="545"/>
      <c r="AG1307" s="545"/>
    </row>
    <row r="1308" spans="6:33" ht="24" customHeight="1">
      <c r="F1308" s="880"/>
      <c r="G1308" s="918"/>
      <c r="H1308" s="880"/>
      <c r="I1308" s="876"/>
      <c r="J1308" s="875"/>
      <c r="O1308" s="880"/>
      <c r="P1308" s="901"/>
      <c r="Q1308" s="876"/>
      <c r="S1308" s="878"/>
      <c r="U1308" s="880"/>
      <c r="V1308" s="902"/>
      <c r="W1308" s="876"/>
      <c r="X1308" s="545"/>
      <c r="Y1308" s="874"/>
      <c r="Z1308" s="876"/>
      <c r="AB1308" s="901"/>
      <c r="AC1308" s="876"/>
      <c r="AE1308" s="878"/>
      <c r="AG1308" s="545"/>
    </row>
    <row r="1309" spans="6:33" ht="24" customHeight="1">
      <c r="J1309" s="876"/>
      <c r="P1309" s="902"/>
      <c r="Q1309" s="876"/>
      <c r="S1309" s="878"/>
      <c r="U1309" s="501"/>
      <c r="V1309" s="901"/>
      <c r="W1309" s="876"/>
      <c r="X1309" s="545"/>
      <c r="Y1309" s="876"/>
      <c r="Z1309" s="545"/>
      <c r="AB1309" s="902"/>
      <c r="AC1309" s="876"/>
      <c r="AE1309" s="878"/>
      <c r="AG1309" s="545"/>
    </row>
    <row r="1310" spans="6:33" ht="24" customHeight="1">
      <c r="J1310" s="876"/>
      <c r="P1310" s="902"/>
      <c r="Q1310" s="875"/>
      <c r="S1310" s="878"/>
      <c r="U1310" s="501"/>
      <c r="V1310" s="901"/>
      <c r="W1310" s="876"/>
      <c r="X1310" s="545"/>
      <c r="Y1310" s="876"/>
      <c r="Z1310" s="545"/>
      <c r="AB1310" s="902"/>
      <c r="AC1310" s="875"/>
      <c r="AE1310" s="878"/>
      <c r="AG1310" s="545"/>
    </row>
    <row r="1311" spans="6:33" ht="24" customHeight="1">
      <c r="J1311" s="876"/>
      <c r="P1311" s="902"/>
      <c r="Q1311" s="881"/>
      <c r="S1311" s="878"/>
      <c r="U1311" s="501"/>
      <c r="V1311" s="901"/>
      <c r="W1311" s="876"/>
      <c r="X1311" s="545"/>
      <c r="Y1311" s="876"/>
      <c r="Z1311" s="545"/>
      <c r="AB1311" s="902"/>
      <c r="AC1311" s="881"/>
      <c r="AE1311" s="878"/>
      <c r="AG1311" s="545"/>
    </row>
    <row r="1312" spans="6:33" ht="24" customHeight="1">
      <c r="J1312" s="876"/>
      <c r="O1312" s="545"/>
      <c r="P1312" s="901"/>
      <c r="Q1312" s="967"/>
      <c r="R1312" s="545"/>
      <c r="S1312" s="880"/>
      <c r="T1312" s="545"/>
      <c r="U1312" s="545"/>
      <c r="V1312" s="901"/>
      <c r="W1312" s="876"/>
      <c r="X1312" s="545"/>
      <c r="Y1312" s="876"/>
      <c r="Z1312" s="545"/>
      <c r="AB1312" s="901"/>
      <c r="AC1312" s="875"/>
      <c r="AD1312" s="545"/>
      <c r="AE1312" s="880"/>
      <c r="AF1312" s="545"/>
      <c r="AG1312" s="545"/>
    </row>
    <row r="1313" spans="6:33" ht="24" customHeight="1">
      <c r="J1313" s="881"/>
      <c r="O1313" s="545"/>
      <c r="P1313" s="901"/>
      <c r="Q1313" s="913"/>
      <c r="R1313" s="545"/>
      <c r="S1313" s="880"/>
      <c r="T1313" s="545"/>
      <c r="U1313" s="545"/>
      <c r="V1313" s="901"/>
      <c r="W1313" s="876"/>
      <c r="X1313" s="545"/>
      <c r="Y1313" s="876"/>
      <c r="Z1313" s="545"/>
      <c r="AB1313" s="901"/>
      <c r="AC1313" s="876"/>
      <c r="AD1313" s="545"/>
      <c r="AE1313" s="880"/>
      <c r="AF1313" s="545"/>
      <c r="AG1313" s="545"/>
    </row>
    <row r="1314" spans="6:33" ht="24" customHeight="1">
      <c r="F1314" s="545"/>
      <c r="G1314" s="889"/>
      <c r="H1314" s="545"/>
      <c r="I1314" s="876"/>
      <c r="J1314" s="876"/>
      <c r="K1314" s="545"/>
      <c r="L1314" s="876"/>
      <c r="M1314" s="882"/>
      <c r="O1314" s="545"/>
      <c r="P1314" s="901"/>
      <c r="Q1314" s="876"/>
      <c r="R1314" s="545"/>
      <c r="S1314" s="880"/>
      <c r="T1314" s="545"/>
      <c r="U1314" s="545"/>
      <c r="V1314" s="901"/>
      <c r="W1314" s="876"/>
      <c r="X1314" s="545"/>
      <c r="Y1314" s="876"/>
      <c r="Z1314" s="545"/>
      <c r="AB1314" s="901"/>
      <c r="AC1314" s="876"/>
      <c r="AD1314" s="545"/>
      <c r="AE1314" s="880"/>
      <c r="AF1314" s="545"/>
      <c r="AG1314" s="545"/>
    </row>
    <row r="1315" spans="6:33" ht="24" customHeight="1">
      <c r="F1315" s="545"/>
      <c r="G1315" s="889"/>
      <c r="H1315" s="545"/>
      <c r="I1315" s="876"/>
      <c r="J1315" s="876"/>
      <c r="K1315" s="545"/>
      <c r="L1315" s="876"/>
      <c r="M1315" s="882"/>
      <c r="P1315" s="901"/>
      <c r="Q1315" s="876"/>
      <c r="R1315" s="876"/>
      <c r="S1315" s="880"/>
      <c r="T1315" s="545"/>
      <c r="U1315" s="501"/>
      <c r="V1315" s="901"/>
      <c r="W1315" s="876"/>
      <c r="X1315" s="545"/>
      <c r="Y1315" s="876"/>
      <c r="Z1315" s="545"/>
      <c r="AB1315" s="901"/>
      <c r="AC1315" s="876"/>
      <c r="AD1315" s="876"/>
      <c r="AE1315" s="880"/>
      <c r="AF1315" s="545"/>
      <c r="AG1315" s="545"/>
    </row>
    <row r="1316" spans="6:33" ht="24" customHeight="1">
      <c r="F1316" s="545"/>
      <c r="G1316" s="889"/>
      <c r="H1316" s="545"/>
      <c r="I1316" s="876"/>
      <c r="J1316" s="876"/>
      <c r="K1316" s="545"/>
      <c r="L1316" s="876"/>
      <c r="M1316" s="882"/>
      <c r="P1316" s="902"/>
      <c r="S1316" s="878"/>
      <c r="T1316" s="881"/>
      <c r="U1316" s="501"/>
      <c r="V1316" s="901"/>
      <c r="W1316" s="876"/>
      <c r="X1316" s="545"/>
      <c r="Y1316" s="876"/>
      <c r="Z1316" s="545"/>
      <c r="AB1316" s="902"/>
      <c r="AE1316" s="878"/>
      <c r="AF1316" s="881"/>
      <c r="AG1316" s="545"/>
    </row>
    <row r="1317" spans="6:33" ht="24" customHeight="1">
      <c r="F1317" s="545"/>
      <c r="G1317" s="889"/>
      <c r="H1317" s="545"/>
      <c r="I1317" s="876"/>
      <c r="J1317" s="876"/>
      <c r="K1317" s="545"/>
      <c r="L1317" s="876"/>
      <c r="M1317" s="882"/>
      <c r="P1317" s="902"/>
      <c r="Q1317" s="876"/>
      <c r="S1317" s="878"/>
      <c r="T1317" s="545"/>
      <c r="U1317" s="501"/>
      <c r="V1317" s="901"/>
      <c r="W1317" s="876"/>
      <c r="X1317" s="545"/>
      <c r="Y1317" s="876"/>
      <c r="Z1317" s="545"/>
      <c r="AB1317" s="902"/>
      <c r="AC1317" s="876"/>
      <c r="AE1317" s="878"/>
      <c r="AF1317" s="545"/>
      <c r="AG1317" s="545"/>
    </row>
    <row r="1318" spans="6:33" ht="24" customHeight="1">
      <c r="F1318" s="545"/>
      <c r="G1318" s="889"/>
      <c r="H1318" s="545"/>
      <c r="I1318" s="876"/>
      <c r="J1318" s="876"/>
      <c r="K1318" s="545"/>
      <c r="L1318" s="876"/>
      <c r="M1318" s="882"/>
      <c r="P1318" s="902"/>
      <c r="S1318" s="878"/>
      <c r="T1318" s="881"/>
      <c r="U1318" s="501"/>
      <c r="V1318" s="901"/>
      <c r="W1318" s="876"/>
      <c r="Y1318" s="876"/>
      <c r="Z1318" s="545"/>
      <c r="AB1318" s="902"/>
      <c r="AE1318" s="878"/>
      <c r="AF1318" s="881"/>
      <c r="AG1318" s="545"/>
    </row>
    <row r="1319" spans="6:33" ht="24" customHeight="1">
      <c r="I1319" s="876"/>
      <c r="J1319" s="876"/>
      <c r="L1319" s="876"/>
      <c r="M1319" s="882"/>
      <c r="P1319" s="902"/>
      <c r="Q1319" s="876"/>
      <c r="S1319" s="878"/>
      <c r="T1319" s="892"/>
      <c r="U1319" s="501"/>
      <c r="V1319" s="902"/>
      <c r="Y1319" s="874"/>
      <c r="Z1319" s="881"/>
      <c r="AB1319" s="902"/>
      <c r="AC1319" s="876"/>
      <c r="AE1319" s="878"/>
      <c r="AF1319" s="545"/>
      <c r="AG1319" s="545"/>
    </row>
    <row r="1320" spans="6:33" ht="24" customHeight="1">
      <c r="M1320" s="882"/>
      <c r="O1320" s="876"/>
      <c r="P1320" s="902"/>
      <c r="S1320" s="878"/>
      <c r="U1320" s="876"/>
      <c r="V1320" s="902"/>
      <c r="W1320" s="876"/>
      <c r="Y1320" s="874"/>
      <c r="Z1320" s="545"/>
      <c r="AB1320" s="902"/>
      <c r="AE1320" s="878"/>
      <c r="AG1320" s="545"/>
    </row>
    <row r="1321" spans="6:33" ht="24" customHeight="1">
      <c r="J1321" s="876"/>
      <c r="M1321" s="882"/>
      <c r="P1321" s="902"/>
      <c r="S1321" s="878"/>
      <c r="T1321" s="881"/>
      <c r="U1321" s="501"/>
      <c r="V1321" s="902"/>
      <c r="Y1321" s="874"/>
      <c r="Z1321" s="881"/>
      <c r="AB1321" s="902"/>
      <c r="AE1321" s="878"/>
      <c r="AF1321" s="885"/>
      <c r="AG1321" s="545"/>
    </row>
    <row r="1322" spans="6:33" ht="24" customHeight="1">
      <c r="M1322" s="882"/>
      <c r="P1322" s="902"/>
      <c r="S1322" s="878"/>
      <c r="W1322" s="872"/>
      <c r="Y1322" s="874"/>
      <c r="Z1322" s="892"/>
      <c r="AF1322" s="881"/>
      <c r="AG1322" s="545"/>
    </row>
    <row r="1323" spans="6:33" ht="24" customHeight="1">
      <c r="J1323" s="872"/>
      <c r="M1323" s="883"/>
      <c r="O1323" s="929"/>
      <c r="P1323" s="901"/>
      <c r="Q1323" s="876"/>
      <c r="S1323" s="878"/>
      <c r="U1323" s="501"/>
      <c r="Y1323" s="874"/>
      <c r="Z1323" s="881"/>
      <c r="AG1323" s="545"/>
    </row>
    <row r="1324" spans="6:33" ht="24" customHeight="1">
      <c r="M1324" s="882"/>
      <c r="P1324" s="902"/>
      <c r="Q1324" s="876"/>
      <c r="S1324" s="878"/>
      <c r="U1324" s="545"/>
      <c r="AG1324" s="545"/>
    </row>
    <row r="1325" spans="6:33" ht="24" customHeight="1">
      <c r="O1325" s="545"/>
      <c r="P1325" s="901"/>
      <c r="Q1325" s="913"/>
      <c r="R1325" s="545"/>
      <c r="S1325" s="880"/>
      <c r="T1325" s="545"/>
      <c r="U1325" s="545"/>
      <c r="V1325" s="901"/>
      <c r="W1325" s="876"/>
      <c r="Y1325" s="878"/>
      <c r="AC1325" s="876"/>
      <c r="AG1325" s="545"/>
    </row>
    <row r="1326" spans="6:33" ht="24" customHeight="1">
      <c r="I1326" s="876"/>
      <c r="J1326" s="876"/>
      <c r="O1326" s="545"/>
      <c r="P1326" s="901"/>
      <c r="Q1326" s="876"/>
      <c r="R1326" s="545"/>
      <c r="S1326" s="880"/>
      <c r="T1326" s="545"/>
      <c r="U1326" s="501"/>
      <c r="V1326" s="902"/>
      <c r="W1326" s="876"/>
      <c r="Y1326" s="878"/>
      <c r="AC1326" s="876"/>
      <c r="AG1326" s="545"/>
    </row>
    <row r="1327" spans="6:33" ht="24" customHeight="1">
      <c r="J1327" s="876"/>
      <c r="O1327" s="545"/>
      <c r="P1327" s="901"/>
      <c r="Q1327" s="876"/>
      <c r="R1327" s="545"/>
      <c r="S1327" s="880"/>
      <c r="T1327" s="545"/>
      <c r="U1327" s="545"/>
      <c r="V1327" s="901"/>
      <c r="W1327" s="876"/>
      <c r="X1327" s="545"/>
      <c r="Y1327" s="880"/>
      <c r="Z1327" s="545"/>
      <c r="AC1327" s="876"/>
      <c r="AG1327" s="545"/>
    </row>
    <row r="1328" spans="6:33" ht="24" customHeight="1">
      <c r="J1328" s="881"/>
      <c r="O1328" s="545"/>
      <c r="P1328" s="901"/>
      <c r="Q1328" s="876"/>
      <c r="R1328" s="545"/>
      <c r="S1328" s="880"/>
      <c r="T1328" s="545"/>
      <c r="U1328" s="545"/>
      <c r="V1328" s="901"/>
      <c r="W1328" s="876"/>
      <c r="X1328" s="545"/>
      <c r="Y1328" s="880"/>
      <c r="Z1328" s="545"/>
      <c r="AC1328" s="876"/>
      <c r="AG1328" s="545"/>
    </row>
    <row r="1329" spans="6:33" ht="24" customHeight="1">
      <c r="F1329" s="545"/>
      <c r="G1329" s="889"/>
      <c r="H1329" s="545"/>
      <c r="I1329" s="876"/>
      <c r="J1329" s="876"/>
      <c r="K1329" s="545"/>
      <c r="L1329" s="876"/>
      <c r="M1329" s="882"/>
      <c r="P1329" s="901"/>
      <c r="Q1329" s="876"/>
      <c r="S1329" s="880"/>
      <c r="T1329" s="545"/>
      <c r="U1329" s="545"/>
      <c r="V1329" s="901"/>
      <c r="W1329" s="876"/>
      <c r="X1329" s="545"/>
      <c r="Y1329" s="880"/>
      <c r="Z1329" s="545"/>
      <c r="AG1329" s="545"/>
    </row>
    <row r="1330" spans="6:33" ht="24" customHeight="1">
      <c r="F1330" s="545"/>
      <c r="G1330" s="889"/>
      <c r="H1330" s="545"/>
      <c r="I1330" s="876"/>
      <c r="J1330" s="876"/>
      <c r="K1330" s="545"/>
      <c r="L1330" s="876"/>
      <c r="M1330" s="882"/>
      <c r="P1330" s="902"/>
      <c r="Q1330" s="876"/>
      <c r="S1330" s="878"/>
      <c r="T1330" s="881"/>
      <c r="U1330" s="545"/>
      <c r="V1330" s="901"/>
      <c r="W1330" s="876"/>
      <c r="X1330" s="545"/>
      <c r="Y1330" s="880"/>
      <c r="Z1330" s="545"/>
      <c r="AG1330" s="545"/>
    </row>
    <row r="1331" spans="6:33" ht="24" customHeight="1">
      <c r="F1331" s="545"/>
      <c r="G1331" s="889"/>
      <c r="H1331" s="545"/>
      <c r="I1331" s="876"/>
      <c r="J1331" s="876"/>
      <c r="K1331" s="545"/>
      <c r="L1331" s="876"/>
      <c r="M1331" s="882"/>
      <c r="P1331" s="902"/>
      <c r="Q1331" s="880"/>
      <c r="S1331" s="878"/>
      <c r="T1331" s="545"/>
      <c r="U1331" s="904"/>
      <c r="V1331" s="901"/>
      <c r="W1331" s="876"/>
      <c r="X1331" s="545"/>
      <c r="Y1331" s="880"/>
      <c r="Z1331" s="545"/>
      <c r="AG1331" s="545"/>
    </row>
    <row r="1332" spans="6:33" ht="24" customHeight="1">
      <c r="F1332" s="545"/>
      <c r="G1332" s="889"/>
      <c r="H1332" s="545"/>
      <c r="I1332" s="876"/>
      <c r="J1332" s="876"/>
      <c r="K1332" s="545"/>
      <c r="L1332" s="876"/>
      <c r="M1332" s="882"/>
      <c r="P1332" s="902"/>
      <c r="S1332" s="878"/>
      <c r="T1332" s="881"/>
      <c r="U1332" s="904"/>
      <c r="V1332" s="901"/>
      <c r="W1332" s="876"/>
      <c r="X1332" s="545"/>
      <c r="Y1332" s="880"/>
      <c r="Z1332" s="545"/>
      <c r="AG1332" s="545"/>
    </row>
    <row r="1333" spans="6:33" ht="24" customHeight="1">
      <c r="I1333" s="876"/>
      <c r="J1333" s="876"/>
      <c r="L1333" s="876"/>
      <c r="M1333" s="882"/>
      <c r="P1333" s="902"/>
      <c r="Q1333" s="880"/>
      <c r="S1333" s="878"/>
      <c r="T1333" s="892"/>
      <c r="U1333" s="545"/>
      <c r="V1333" s="901"/>
      <c r="W1333" s="876"/>
      <c r="X1333" s="545"/>
      <c r="Y1333" s="880"/>
      <c r="Z1333" s="545"/>
      <c r="AG1333" s="545"/>
    </row>
    <row r="1334" spans="6:33" ht="24" customHeight="1">
      <c r="M1334" s="882"/>
      <c r="P1334" s="902"/>
      <c r="Q1334" s="876"/>
      <c r="S1334" s="878"/>
      <c r="T1334" s="545"/>
      <c r="U1334" s="968"/>
      <c r="V1334" s="902"/>
      <c r="W1334" s="876"/>
      <c r="X1334" s="545"/>
      <c r="Y1334" s="878"/>
      <c r="Z1334" s="881"/>
      <c r="AG1334" s="545"/>
    </row>
    <row r="1335" spans="6:33" ht="24" customHeight="1">
      <c r="J1335" s="876"/>
      <c r="M1335" s="882"/>
      <c r="P1335" s="902"/>
      <c r="Q1335" s="876"/>
      <c r="S1335" s="878"/>
      <c r="T1335" s="545"/>
      <c r="U1335" s="545"/>
      <c r="V1335" s="902"/>
      <c r="W1335" s="880"/>
      <c r="Y1335" s="878"/>
      <c r="Z1335" s="545"/>
      <c r="AG1335" s="545"/>
    </row>
    <row r="1336" spans="6:33" ht="24" customHeight="1">
      <c r="M1336" s="882"/>
      <c r="P1336" s="902"/>
      <c r="Q1336" s="876"/>
      <c r="S1336" s="878"/>
      <c r="T1336" s="545"/>
      <c r="U1336" s="501"/>
      <c r="V1336" s="902"/>
      <c r="Y1336" s="878"/>
      <c r="Z1336" s="881"/>
      <c r="AG1336" s="545"/>
    </row>
    <row r="1337" spans="6:33" ht="24" customHeight="1">
      <c r="J1337" s="872"/>
      <c r="M1337" s="883"/>
      <c r="P1337" s="902"/>
      <c r="Q1337" s="876"/>
      <c r="S1337" s="878"/>
      <c r="T1337" s="545"/>
      <c r="U1337" s="501"/>
      <c r="V1337" s="902"/>
      <c r="W1337" s="880"/>
      <c r="Y1337" s="878"/>
      <c r="Z1337" s="892"/>
      <c r="AG1337" s="545"/>
    </row>
    <row r="1338" spans="6:33" ht="24" customHeight="1">
      <c r="M1338" s="882"/>
      <c r="P1338" s="902"/>
      <c r="Q1338" s="876"/>
      <c r="S1338" s="878"/>
      <c r="T1338" s="545"/>
      <c r="U1338" s="501"/>
      <c r="V1338" s="902"/>
      <c r="W1338" s="876"/>
      <c r="Y1338" s="878"/>
      <c r="Z1338" s="545"/>
      <c r="AG1338" s="545"/>
    </row>
    <row r="1339" spans="6:33" ht="24" customHeight="1">
      <c r="P1339" s="902"/>
      <c r="S1339" s="878"/>
      <c r="U1339" s="501"/>
      <c r="V1339" s="902"/>
      <c r="W1339" s="876"/>
      <c r="Y1339" s="878"/>
      <c r="Z1339" s="545"/>
      <c r="AG1339" s="545"/>
    </row>
    <row r="1340" spans="6:33" ht="24" customHeight="1">
      <c r="F1340" s="920"/>
      <c r="G1340" s="921"/>
      <c r="H1340" s="920"/>
      <c r="I1340" s="876"/>
      <c r="J1340" s="876"/>
      <c r="P1340" s="902"/>
      <c r="S1340" s="874"/>
      <c r="U1340" s="501"/>
      <c r="V1340" s="902"/>
      <c r="W1340" s="876"/>
      <c r="Y1340" s="878"/>
      <c r="Z1340" s="545"/>
      <c r="AG1340" s="545"/>
    </row>
    <row r="1341" spans="6:33" ht="24" customHeight="1">
      <c r="J1341" s="876"/>
      <c r="P1341" s="902"/>
      <c r="S1341" s="874"/>
      <c r="U1341" s="501"/>
      <c r="V1341" s="902"/>
      <c r="W1341" s="876"/>
      <c r="Y1341" s="878"/>
      <c r="Z1341" s="545"/>
      <c r="AG1341" s="545"/>
    </row>
    <row r="1342" spans="6:33" ht="24" customHeight="1">
      <c r="J1342" s="876"/>
      <c r="P1342" s="902"/>
      <c r="S1342" s="874"/>
      <c r="V1342" s="902"/>
      <c r="W1342" s="876"/>
      <c r="Y1342" s="878"/>
      <c r="Z1342" s="545"/>
      <c r="AG1342" s="545"/>
    </row>
    <row r="1343" spans="6:33" ht="24" customHeight="1">
      <c r="J1343" s="876"/>
      <c r="P1343" s="902"/>
      <c r="S1343" s="874"/>
      <c r="V1343" s="902"/>
      <c r="Y1343" s="878"/>
      <c r="AB1343" s="901"/>
      <c r="AC1343" s="876"/>
      <c r="AD1343" s="545"/>
      <c r="AE1343" s="901"/>
      <c r="AF1343" s="545"/>
      <c r="AG1343" s="545"/>
    </row>
    <row r="1344" spans="6:33" ht="24" customHeight="1">
      <c r="J1344" s="876"/>
      <c r="P1344" s="902"/>
      <c r="S1344" s="878"/>
      <c r="V1344" s="901"/>
      <c r="W1344" s="876"/>
      <c r="Y1344" s="878"/>
      <c r="AA1344" s="880"/>
      <c r="AB1344" s="901"/>
      <c r="AC1344" s="876"/>
      <c r="AD1344" s="545"/>
      <c r="AE1344" s="901"/>
      <c r="AF1344" s="545"/>
      <c r="AG1344" s="545"/>
    </row>
    <row r="1345" spans="6:33" ht="24" customHeight="1">
      <c r="J1345" s="881"/>
      <c r="P1345" s="902"/>
      <c r="S1345" s="878"/>
      <c r="U1345" s="904"/>
      <c r="V1345" s="902"/>
      <c r="W1345" s="876"/>
      <c r="Y1345" s="878"/>
      <c r="AB1345" s="901"/>
      <c r="AC1345" s="876"/>
      <c r="AD1345" s="545"/>
      <c r="AE1345" s="901"/>
      <c r="AF1345" s="545"/>
      <c r="AG1345" s="545"/>
    </row>
    <row r="1346" spans="6:33" ht="24" customHeight="1">
      <c r="F1346" s="545"/>
      <c r="G1346" s="889"/>
      <c r="H1346" s="545"/>
      <c r="I1346" s="876"/>
      <c r="J1346" s="876"/>
      <c r="K1346" s="545"/>
      <c r="L1346" s="876"/>
      <c r="M1346" s="882"/>
      <c r="P1346" s="902"/>
      <c r="Q1346" s="969"/>
      <c r="S1346" s="878"/>
      <c r="U1346" s="904"/>
      <c r="V1346" s="902"/>
      <c r="W1346" s="875"/>
      <c r="Y1346" s="878"/>
      <c r="AB1346" s="901"/>
      <c r="AC1346" s="876"/>
      <c r="AD1346" s="545"/>
      <c r="AE1346" s="901"/>
      <c r="AF1346" s="545"/>
      <c r="AG1346" s="545"/>
    </row>
    <row r="1347" spans="6:33" ht="24" customHeight="1">
      <c r="F1347" s="545"/>
      <c r="G1347" s="889"/>
      <c r="H1347" s="545"/>
      <c r="I1347" s="876"/>
      <c r="J1347" s="876"/>
      <c r="K1347" s="545"/>
      <c r="L1347" s="876"/>
      <c r="M1347" s="882"/>
      <c r="P1347" s="902"/>
      <c r="S1347" s="878"/>
      <c r="U1347" s="904"/>
      <c r="V1347" s="902"/>
      <c r="W1347" s="881"/>
      <c r="Y1347" s="878"/>
      <c r="AB1347" s="901"/>
      <c r="AC1347" s="876"/>
      <c r="AD1347" s="545"/>
      <c r="AE1347" s="901"/>
      <c r="AF1347" s="545"/>
      <c r="AG1347" s="545"/>
    </row>
    <row r="1348" spans="6:33" ht="24" customHeight="1">
      <c r="F1348" s="545"/>
      <c r="G1348" s="889"/>
      <c r="H1348" s="545"/>
      <c r="I1348" s="876"/>
      <c r="J1348" s="876"/>
      <c r="K1348" s="545"/>
      <c r="L1348" s="876"/>
      <c r="M1348" s="882"/>
      <c r="P1348" s="902"/>
      <c r="Q1348" s="969"/>
      <c r="S1348" s="878"/>
      <c r="U1348" s="904"/>
      <c r="V1348" s="901"/>
      <c r="W1348" s="875"/>
      <c r="X1348" s="545"/>
      <c r="Y1348" s="880"/>
      <c r="Z1348" s="545"/>
      <c r="AA1348" s="545"/>
      <c r="AB1348" s="901"/>
      <c r="AC1348" s="876"/>
      <c r="AD1348" s="545"/>
      <c r="AE1348" s="901"/>
      <c r="AF1348" s="545"/>
      <c r="AG1348" s="545"/>
    </row>
    <row r="1349" spans="6:33" ht="24" customHeight="1">
      <c r="F1349" s="904"/>
      <c r="G1349" s="924"/>
      <c r="H1349" s="904"/>
      <c r="I1349" s="876"/>
      <c r="J1349" s="876"/>
      <c r="K1349" s="545"/>
      <c r="L1349" s="876"/>
      <c r="M1349" s="882"/>
      <c r="P1349" s="902"/>
      <c r="S1349" s="878"/>
      <c r="U1349" s="904"/>
      <c r="V1349" s="901"/>
      <c r="W1349" s="876"/>
      <c r="X1349" s="545"/>
      <c r="Y1349" s="880"/>
      <c r="Z1349" s="545"/>
      <c r="AA1349" s="545"/>
      <c r="AB1349" s="901"/>
      <c r="AC1349" s="876"/>
      <c r="AD1349" s="545"/>
      <c r="AE1349" s="901"/>
      <c r="AF1349" s="545"/>
      <c r="AG1349" s="545"/>
    </row>
    <row r="1350" spans="6:33" ht="24" customHeight="1">
      <c r="F1350" s="545"/>
      <c r="G1350" s="889"/>
      <c r="H1350" s="545"/>
      <c r="I1350" s="876"/>
      <c r="J1350" s="876"/>
      <c r="K1350" s="545"/>
      <c r="L1350" s="876"/>
      <c r="M1350" s="882"/>
      <c r="P1350" s="902"/>
      <c r="S1350" s="878"/>
      <c r="U1350" s="904"/>
      <c r="V1350" s="901"/>
      <c r="W1350" s="876"/>
      <c r="X1350" s="545"/>
      <c r="Y1350" s="880"/>
      <c r="Z1350" s="545"/>
      <c r="AA1350" s="545"/>
      <c r="AB1350" s="901"/>
      <c r="AC1350" s="876"/>
      <c r="AD1350" s="545"/>
      <c r="AE1350" s="901"/>
      <c r="AF1350" s="545"/>
      <c r="AG1350" s="545"/>
    </row>
    <row r="1351" spans="6:33" ht="24" customHeight="1">
      <c r="F1351" s="545"/>
      <c r="G1351" s="889"/>
      <c r="H1351" s="545"/>
      <c r="I1351" s="876"/>
      <c r="J1351" s="876"/>
      <c r="K1351" s="545"/>
      <c r="L1351" s="876"/>
      <c r="M1351" s="882"/>
      <c r="P1351" s="902"/>
      <c r="Q1351" s="899"/>
      <c r="S1351" s="878"/>
      <c r="T1351" s="885"/>
      <c r="U1351" s="904"/>
      <c r="V1351" s="901"/>
      <c r="W1351" s="876"/>
      <c r="X1351" s="876"/>
      <c r="Y1351" s="880"/>
      <c r="Z1351" s="545"/>
      <c r="AB1351" s="901"/>
      <c r="AC1351" s="876"/>
      <c r="AD1351" s="545"/>
      <c r="AE1351" s="901"/>
      <c r="AF1351" s="545"/>
      <c r="AG1351" s="545"/>
    </row>
    <row r="1352" spans="6:33" ht="24" customHeight="1">
      <c r="F1352" s="545"/>
      <c r="G1352" s="889"/>
      <c r="H1352" s="545"/>
      <c r="I1352" s="876"/>
      <c r="J1352" s="876"/>
      <c r="K1352" s="545"/>
      <c r="L1352" s="876"/>
      <c r="M1352" s="882"/>
      <c r="P1352" s="902"/>
      <c r="S1352" s="878"/>
      <c r="U1352" s="904"/>
      <c r="V1352" s="902"/>
      <c r="Y1352" s="878"/>
      <c r="Z1352" s="881"/>
      <c r="AB1352" s="901"/>
      <c r="AC1352" s="876"/>
      <c r="AD1352" s="545"/>
      <c r="AE1352" s="901"/>
      <c r="AF1352" s="545"/>
      <c r="AG1352" s="545"/>
    </row>
    <row r="1353" spans="6:33" ht="24" customHeight="1">
      <c r="F1353" s="545"/>
      <c r="G1353" s="889"/>
      <c r="H1353" s="545"/>
      <c r="I1353" s="876"/>
      <c r="J1353" s="876"/>
      <c r="K1353" s="545"/>
      <c r="L1353" s="876"/>
      <c r="M1353" s="882"/>
      <c r="P1353" s="902"/>
      <c r="S1353" s="878"/>
      <c r="U1353" s="904"/>
      <c r="V1353" s="902"/>
      <c r="W1353" s="876"/>
      <c r="Y1353" s="878"/>
      <c r="Z1353" s="545"/>
      <c r="AB1353" s="901"/>
      <c r="AC1353" s="876"/>
      <c r="AD1353" s="545"/>
      <c r="AE1353" s="901"/>
      <c r="AF1353" s="545"/>
      <c r="AG1353" s="545"/>
    </row>
    <row r="1354" spans="6:33" ht="24" customHeight="1">
      <c r="I1354" s="876"/>
      <c r="J1354" s="876"/>
      <c r="L1354" s="876"/>
      <c r="M1354" s="882"/>
      <c r="P1354" s="902"/>
      <c r="S1354" s="878"/>
      <c r="U1354" s="904"/>
      <c r="V1354" s="902"/>
      <c r="Y1354" s="878"/>
      <c r="Z1354" s="881"/>
      <c r="AB1354" s="901"/>
      <c r="AC1354" s="876"/>
      <c r="AD1354" s="545"/>
      <c r="AE1354" s="901"/>
      <c r="AF1354" s="545"/>
      <c r="AG1354" s="545"/>
    </row>
    <row r="1355" spans="6:33" ht="24" customHeight="1">
      <c r="M1355" s="882"/>
      <c r="P1355" s="902"/>
      <c r="S1355" s="878"/>
      <c r="U1355" s="904"/>
      <c r="V1355" s="902"/>
      <c r="W1355" s="876"/>
      <c r="Y1355" s="878"/>
      <c r="Z1355" s="545"/>
      <c r="AB1355" s="902"/>
      <c r="AC1355" s="876"/>
      <c r="AE1355" s="878"/>
      <c r="AF1355" s="545"/>
      <c r="AG1355" s="545"/>
    </row>
    <row r="1356" spans="6:33" ht="24" customHeight="1">
      <c r="J1356" s="876"/>
      <c r="M1356" s="882"/>
      <c r="P1356" s="902"/>
      <c r="Q1356" s="899"/>
      <c r="S1356" s="878"/>
      <c r="U1356" s="904"/>
      <c r="V1356" s="902"/>
      <c r="Y1356" s="878"/>
      <c r="AA1356" s="876"/>
      <c r="AC1356" s="883"/>
      <c r="AF1356" s="892"/>
      <c r="AG1356" s="545"/>
    </row>
    <row r="1357" spans="6:33" ht="24" customHeight="1">
      <c r="M1357" s="882"/>
      <c r="P1357" s="902"/>
      <c r="S1357" s="878"/>
      <c r="V1357" s="902"/>
      <c r="Y1357" s="878"/>
      <c r="Z1357" s="885"/>
      <c r="AG1357" s="545"/>
    </row>
    <row r="1358" spans="6:33" ht="24" customHeight="1">
      <c r="J1358" s="872"/>
      <c r="M1358" s="883"/>
      <c r="P1358" s="902"/>
      <c r="Q1358" s="899"/>
      <c r="S1358" s="878"/>
      <c r="T1358" s="885"/>
      <c r="Z1358" s="881"/>
      <c r="AA1358" s="877"/>
      <c r="AG1358" s="545"/>
    </row>
    <row r="1359" spans="6:33" ht="24" customHeight="1">
      <c r="M1359" s="882"/>
      <c r="P1359" s="902"/>
      <c r="S1359" s="878"/>
      <c r="V1359" s="970"/>
      <c r="W1359" s="881"/>
      <c r="X1359" s="881"/>
      <c r="Y1359" s="878"/>
      <c r="Z1359" s="545"/>
      <c r="AB1359" s="902"/>
      <c r="AC1359" s="962"/>
      <c r="AE1359" s="874"/>
      <c r="AG1359" s="545"/>
    </row>
    <row r="1360" spans="6:33" ht="24" customHeight="1">
      <c r="M1360" s="882"/>
      <c r="P1360" s="902"/>
      <c r="S1360" s="874"/>
      <c r="V1360" s="971"/>
      <c r="W1360" s="876"/>
      <c r="X1360" s="882"/>
      <c r="Y1360" s="880"/>
      <c r="Z1360" s="545"/>
      <c r="AB1360" s="901"/>
      <c r="AC1360" s="876"/>
      <c r="AD1360" s="545"/>
      <c r="AE1360" s="901"/>
      <c r="AF1360" s="545"/>
      <c r="AG1360" s="545"/>
    </row>
    <row r="1361" spans="6:33" ht="24" customHeight="1">
      <c r="M1361" s="882"/>
      <c r="O1361" s="920"/>
      <c r="P1361" s="901"/>
      <c r="Q1361" s="876"/>
      <c r="S1361" s="878"/>
      <c r="V1361" s="971"/>
      <c r="W1361" s="876"/>
      <c r="X1361" s="545"/>
      <c r="Y1361" s="880"/>
      <c r="Z1361" s="545"/>
      <c r="AB1361" s="901"/>
      <c r="AC1361" s="876"/>
      <c r="AD1361" s="545"/>
      <c r="AE1361" s="901"/>
      <c r="AF1361" s="545"/>
      <c r="AG1361" s="545"/>
    </row>
    <row r="1362" spans="6:33" ht="24" customHeight="1">
      <c r="F1362" s="920"/>
      <c r="G1362" s="921"/>
      <c r="H1362" s="920"/>
      <c r="I1362" s="876"/>
      <c r="J1362" s="876"/>
      <c r="M1362" s="882"/>
      <c r="P1362" s="902"/>
      <c r="Q1362" s="876"/>
      <c r="S1362" s="878"/>
      <c r="U1362" s="904"/>
      <c r="V1362" s="971"/>
      <c r="W1362" s="876"/>
      <c r="X1362" s="882"/>
      <c r="Y1362" s="878"/>
      <c r="Z1362" s="545"/>
      <c r="AB1362" s="901"/>
      <c r="AC1362" s="876"/>
      <c r="AD1362" s="545"/>
      <c r="AE1362" s="901"/>
      <c r="AF1362" s="545"/>
      <c r="AG1362" s="545"/>
    </row>
    <row r="1363" spans="6:33" ht="24" customHeight="1">
      <c r="J1363" s="876"/>
      <c r="M1363" s="882"/>
      <c r="P1363" s="902"/>
      <c r="Q1363" s="876"/>
      <c r="S1363" s="878"/>
      <c r="U1363" s="904"/>
      <c r="V1363" s="971"/>
      <c r="W1363" s="876"/>
      <c r="X1363" s="545"/>
      <c r="Y1363" s="880"/>
      <c r="Z1363" s="545"/>
      <c r="AB1363" s="901"/>
      <c r="AC1363" s="876"/>
      <c r="AD1363" s="545"/>
      <c r="AE1363" s="901"/>
      <c r="AF1363" s="545"/>
      <c r="AG1363" s="545"/>
    </row>
    <row r="1364" spans="6:33" ht="24" customHeight="1">
      <c r="J1364" s="876"/>
      <c r="M1364" s="882"/>
      <c r="P1364" s="902"/>
      <c r="Q1364" s="881"/>
      <c r="R1364" s="881"/>
      <c r="S1364" s="878"/>
      <c r="T1364" s="545"/>
      <c r="U1364" s="904"/>
      <c r="V1364" s="971"/>
      <c r="W1364" s="876"/>
      <c r="X1364" s="545"/>
      <c r="Y1364" s="880"/>
      <c r="Z1364" s="545"/>
      <c r="AB1364" s="901"/>
      <c r="AC1364" s="876"/>
      <c r="AD1364" s="545"/>
      <c r="AE1364" s="901"/>
      <c r="AF1364" s="545"/>
      <c r="AG1364" s="545"/>
    </row>
    <row r="1365" spans="6:33" ht="24" customHeight="1">
      <c r="J1365" s="876"/>
      <c r="M1365" s="882"/>
      <c r="O1365" s="545"/>
      <c r="P1365" s="901"/>
      <c r="Q1365" s="876"/>
      <c r="R1365" s="882"/>
      <c r="S1365" s="880"/>
      <c r="T1365" s="545"/>
      <c r="U1365" s="904"/>
      <c r="V1365" s="971"/>
      <c r="W1365" s="876"/>
      <c r="X1365" s="545"/>
      <c r="Y1365" s="880"/>
      <c r="Z1365" s="545"/>
      <c r="AB1365" s="901"/>
      <c r="AC1365" s="876"/>
      <c r="AD1365" s="545"/>
      <c r="AE1365" s="901"/>
      <c r="AF1365" s="545"/>
      <c r="AG1365" s="545"/>
    </row>
    <row r="1366" spans="6:33" ht="24" customHeight="1">
      <c r="J1366" s="876"/>
      <c r="M1366" s="882"/>
      <c r="O1366" s="545"/>
      <c r="P1366" s="901"/>
      <c r="Q1366" s="876"/>
      <c r="R1366" s="545"/>
      <c r="S1366" s="880"/>
      <c r="T1366" s="545"/>
      <c r="U1366" s="904"/>
      <c r="V1366" s="971"/>
      <c r="W1366" s="876"/>
      <c r="X1366" s="545"/>
      <c r="Y1366" s="880"/>
      <c r="Z1366" s="545"/>
      <c r="AB1366" s="901"/>
      <c r="AC1366" s="876"/>
      <c r="AD1366" s="545"/>
      <c r="AE1366" s="901"/>
      <c r="AF1366" s="545"/>
      <c r="AG1366" s="545"/>
    </row>
    <row r="1367" spans="6:33" ht="24" customHeight="1">
      <c r="J1367" s="881"/>
      <c r="M1367" s="882"/>
      <c r="P1367" s="902"/>
      <c r="Q1367" s="876"/>
      <c r="R1367" s="876"/>
      <c r="S1367" s="878"/>
      <c r="T1367" s="876"/>
      <c r="U1367" s="904"/>
      <c r="V1367" s="971"/>
      <c r="W1367" s="876"/>
      <c r="X1367" s="545"/>
      <c r="Y1367" s="880"/>
      <c r="Z1367" s="545"/>
      <c r="AB1367" s="901"/>
      <c r="AC1367" s="876"/>
      <c r="AD1367" s="545"/>
      <c r="AE1367" s="901"/>
      <c r="AF1367" s="545"/>
      <c r="AG1367" s="545"/>
    </row>
    <row r="1368" spans="6:33" ht="24" customHeight="1">
      <c r="F1368" s="545"/>
      <c r="G1368" s="889"/>
      <c r="H1368" s="545"/>
      <c r="I1368" s="876"/>
      <c r="J1368" s="876"/>
      <c r="L1368" s="876"/>
      <c r="M1368" s="882"/>
      <c r="O1368" s="545"/>
      <c r="P1368" s="901"/>
      <c r="Q1368" s="876"/>
      <c r="R1368" s="545"/>
      <c r="S1368" s="880"/>
      <c r="T1368" s="545"/>
      <c r="U1368" s="904"/>
      <c r="V1368" s="971"/>
      <c r="W1368" s="876"/>
      <c r="X1368" s="545"/>
      <c r="Y1368" s="880"/>
      <c r="Z1368" s="545"/>
      <c r="AB1368" s="901"/>
      <c r="AC1368" s="876"/>
      <c r="AD1368" s="545"/>
      <c r="AE1368" s="901"/>
      <c r="AF1368" s="545"/>
      <c r="AG1368" s="545"/>
    </row>
    <row r="1369" spans="6:33" ht="24" customHeight="1">
      <c r="F1369" s="545"/>
      <c r="G1369" s="889"/>
      <c r="H1369" s="545"/>
      <c r="I1369" s="876"/>
      <c r="J1369" s="876"/>
      <c r="L1369" s="876"/>
      <c r="M1369" s="882"/>
      <c r="O1369" s="545"/>
      <c r="P1369" s="901"/>
      <c r="Q1369" s="876"/>
      <c r="R1369" s="545"/>
      <c r="S1369" s="880"/>
      <c r="T1369" s="545"/>
      <c r="U1369" s="904"/>
      <c r="V1369" s="971"/>
      <c r="W1369" s="876"/>
      <c r="X1369" s="545"/>
      <c r="Y1369" s="880"/>
      <c r="Z1369" s="545"/>
      <c r="AB1369" s="901"/>
      <c r="AC1369" s="876"/>
      <c r="AD1369" s="545"/>
      <c r="AE1369" s="901"/>
      <c r="AF1369" s="545"/>
      <c r="AG1369" s="545"/>
    </row>
    <row r="1370" spans="6:33" ht="24" customHeight="1">
      <c r="F1370" s="545"/>
      <c r="G1370" s="889"/>
      <c r="H1370" s="545"/>
      <c r="I1370" s="876"/>
      <c r="J1370" s="876"/>
      <c r="L1370" s="876"/>
      <c r="M1370" s="882"/>
      <c r="O1370" s="545"/>
      <c r="P1370" s="901"/>
      <c r="Q1370" s="876"/>
      <c r="R1370" s="545"/>
      <c r="S1370" s="880"/>
      <c r="T1370" s="545"/>
      <c r="U1370" s="904"/>
      <c r="V1370" s="972"/>
      <c r="W1370" s="973"/>
      <c r="X1370" s="968"/>
      <c r="Y1370" s="974"/>
      <c r="Z1370" s="545"/>
      <c r="AB1370" s="901"/>
      <c r="AC1370" s="876"/>
      <c r="AD1370" s="545"/>
      <c r="AE1370" s="901"/>
      <c r="AF1370" s="545"/>
      <c r="AG1370" s="545"/>
    </row>
    <row r="1371" spans="6:33" ht="24" customHeight="1">
      <c r="F1371" s="545"/>
      <c r="G1371" s="889"/>
      <c r="H1371" s="545"/>
      <c r="I1371" s="876"/>
      <c r="J1371" s="876"/>
      <c r="L1371" s="876"/>
      <c r="M1371" s="882"/>
      <c r="O1371" s="545"/>
      <c r="P1371" s="901"/>
      <c r="Q1371" s="876"/>
      <c r="R1371" s="545"/>
      <c r="S1371" s="880"/>
      <c r="T1371" s="545"/>
      <c r="U1371" s="904"/>
      <c r="V1371" s="971"/>
      <c r="W1371" s="876"/>
      <c r="X1371" s="545"/>
      <c r="Y1371" s="880"/>
      <c r="Z1371" s="545"/>
      <c r="AB1371" s="901"/>
      <c r="AC1371" s="876"/>
      <c r="AD1371" s="545"/>
      <c r="AE1371" s="901"/>
      <c r="AF1371" s="545"/>
      <c r="AG1371" s="545"/>
    </row>
    <row r="1372" spans="6:33" ht="24" customHeight="1">
      <c r="F1372" s="545"/>
      <c r="G1372" s="889"/>
      <c r="H1372" s="545"/>
      <c r="I1372" s="876"/>
      <c r="J1372" s="876"/>
      <c r="L1372" s="876"/>
      <c r="M1372" s="882"/>
      <c r="O1372" s="904"/>
      <c r="P1372" s="901"/>
      <c r="Q1372" s="876"/>
      <c r="R1372" s="545"/>
      <c r="S1372" s="880"/>
      <c r="T1372" s="545"/>
      <c r="U1372" s="904"/>
      <c r="V1372" s="971"/>
      <c r="W1372" s="876"/>
      <c r="X1372" s="545"/>
      <c r="Y1372" s="880"/>
      <c r="Z1372" s="545"/>
      <c r="AB1372" s="902"/>
      <c r="AC1372" s="876"/>
      <c r="AE1372" s="878"/>
      <c r="AF1372" s="545"/>
      <c r="AG1372" s="545"/>
    </row>
    <row r="1373" spans="6:33" ht="24" customHeight="1">
      <c r="F1373" s="545"/>
      <c r="G1373" s="889"/>
      <c r="H1373" s="545"/>
      <c r="I1373" s="876"/>
      <c r="J1373" s="876"/>
      <c r="L1373" s="876"/>
      <c r="M1373" s="882"/>
      <c r="O1373" s="904"/>
      <c r="P1373" s="901"/>
      <c r="Q1373" s="876"/>
      <c r="R1373" s="545"/>
      <c r="S1373" s="880"/>
      <c r="T1373" s="545"/>
      <c r="U1373" s="904"/>
      <c r="V1373" s="970"/>
      <c r="Y1373" s="878"/>
      <c r="Z1373" s="881"/>
      <c r="AC1373" s="883"/>
      <c r="AF1373" s="892"/>
      <c r="AG1373" s="545"/>
    </row>
    <row r="1374" spans="6:33" ht="24" customHeight="1">
      <c r="F1374" s="545"/>
      <c r="G1374" s="889"/>
      <c r="H1374" s="545"/>
      <c r="I1374" s="876"/>
      <c r="J1374" s="876"/>
      <c r="L1374" s="876"/>
      <c r="M1374" s="882"/>
      <c r="O1374" s="545"/>
      <c r="P1374" s="901"/>
      <c r="Q1374" s="876"/>
      <c r="R1374" s="545"/>
      <c r="S1374" s="880"/>
      <c r="T1374" s="545"/>
      <c r="V1374" s="970"/>
      <c r="W1374" s="876"/>
      <c r="Y1374" s="878"/>
      <c r="Z1374" s="545"/>
      <c r="AG1374" s="545"/>
    </row>
    <row r="1375" spans="6:33" ht="24" customHeight="1">
      <c r="F1375" s="545"/>
      <c r="G1375" s="889"/>
      <c r="H1375" s="545"/>
      <c r="I1375" s="876"/>
      <c r="J1375" s="876"/>
      <c r="L1375" s="876"/>
      <c r="M1375" s="882"/>
      <c r="O1375" s="545"/>
      <c r="P1375" s="901"/>
      <c r="Q1375" s="876"/>
      <c r="R1375" s="545"/>
      <c r="S1375" s="880"/>
      <c r="T1375" s="545"/>
      <c r="V1375" s="970"/>
      <c r="Y1375" s="878"/>
      <c r="Z1375" s="881"/>
      <c r="AG1375" s="545"/>
    </row>
    <row r="1376" spans="6:33" ht="24" customHeight="1">
      <c r="I1376" s="876"/>
      <c r="J1376" s="876"/>
      <c r="L1376" s="876"/>
      <c r="M1376" s="882"/>
      <c r="O1376" s="545"/>
      <c r="P1376" s="901"/>
      <c r="Q1376" s="876"/>
      <c r="R1376" s="545"/>
      <c r="S1376" s="880"/>
      <c r="T1376" s="545"/>
      <c r="V1376" s="970"/>
      <c r="W1376" s="876"/>
      <c r="Y1376" s="878"/>
      <c r="Z1376" s="892"/>
      <c r="AB1376" s="902"/>
      <c r="AC1376" s="962"/>
      <c r="AE1376" s="874"/>
      <c r="AG1376" s="545"/>
    </row>
    <row r="1377" spans="6:33" ht="24" customHeight="1">
      <c r="M1377" s="882"/>
      <c r="P1377" s="901"/>
      <c r="Q1377" s="876"/>
      <c r="R1377" s="545"/>
      <c r="S1377" s="880"/>
      <c r="T1377" s="545"/>
      <c r="V1377" s="970"/>
      <c r="Y1377" s="878"/>
      <c r="Z1377" s="881"/>
      <c r="AB1377" s="901"/>
      <c r="AC1377" s="876"/>
      <c r="AD1377" s="545"/>
      <c r="AE1377" s="901"/>
      <c r="AF1377" s="545"/>
      <c r="AG1377" s="545"/>
    </row>
    <row r="1378" spans="6:33" ht="24" customHeight="1">
      <c r="J1378" s="876"/>
      <c r="M1378" s="882"/>
      <c r="P1378" s="902"/>
      <c r="S1378" s="878"/>
      <c r="T1378" s="881"/>
      <c r="AB1378" s="901"/>
      <c r="AC1378" s="876"/>
      <c r="AD1378" s="545"/>
      <c r="AE1378" s="901"/>
      <c r="AF1378" s="545"/>
      <c r="AG1378" s="545"/>
    </row>
    <row r="1379" spans="6:33" ht="24" customHeight="1">
      <c r="M1379" s="882"/>
      <c r="P1379" s="902"/>
      <c r="Q1379" s="876"/>
      <c r="S1379" s="878"/>
      <c r="T1379" s="545"/>
      <c r="U1379" s="904"/>
      <c r="AA1379" s="922"/>
      <c r="AB1379" s="901"/>
      <c r="AC1379" s="876"/>
      <c r="AD1379" s="545"/>
      <c r="AE1379" s="901"/>
      <c r="AF1379" s="545"/>
      <c r="AG1379" s="545"/>
    </row>
    <row r="1380" spans="6:33" ht="24" customHeight="1">
      <c r="J1380" s="872"/>
      <c r="M1380" s="883"/>
      <c r="P1380" s="902"/>
      <c r="S1380" s="878"/>
      <c r="T1380" s="881"/>
      <c r="U1380" s="904"/>
      <c r="V1380" s="902"/>
      <c r="W1380" s="962"/>
      <c r="Y1380" s="874"/>
      <c r="AA1380" s="922"/>
      <c r="AB1380" s="901"/>
      <c r="AC1380" s="876"/>
      <c r="AD1380" s="545"/>
      <c r="AE1380" s="901"/>
      <c r="AF1380" s="545"/>
      <c r="AG1380" s="545"/>
    </row>
    <row r="1381" spans="6:33" ht="24" customHeight="1">
      <c r="M1381" s="882"/>
      <c r="P1381" s="902"/>
      <c r="Q1381" s="876"/>
      <c r="S1381" s="878"/>
      <c r="T1381" s="545"/>
      <c r="U1381" s="904"/>
      <c r="V1381" s="901"/>
      <c r="W1381" s="876"/>
      <c r="X1381" s="545"/>
      <c r="Y1381" s="901"/>
      <c r="Z1381" s="545"/>
      <c r="AA1381" s="922"/>
      <c r="AB1381" s="901"/>
      <c r="AC1381" s="876"/>
      <c r="AD1381" s="545"/>
      <c r="AE1381" s="901"/>
      <c r="AF1381" s="545"/>
      <c r="AG1381" s="545"/>
    </row>
    <row r="1382" spans="6:33" ht="24" customHeight="1">
      <c r="M1382" s="882"/>
      <c r="P1382" s="902"/>
      <c r="S1382" s="878"/>
      <c r="T1382" s="881"/>
      <c r="U1382" s="904"/>
      <c r="V1382" s="901"/>
      <c r="W1382" s="876"/>
      <c r="X1382" s="545"/>
      <c r="Y1382" s="901"/>
      <c r="Z1382" s="545"/>
      <c r="AA1382" s="922"/>
      <c r="AB1382" s="901"/>
      <c r="AC1382" s="876"/>
      <c r="AD1382" s="545"/>
      <c r="AE1382" s="901"/>
      <c r="AF1382" s="545"/>
      <c r="AG1382" s="545"/>
    </row>
    <row r="1383" spans="6:33" ht="24" customHeight="1">
      <c r="F1383" s="880"/>
      <c r="G1383" s="918"/>
      <c r="H1383" s="880"/>
      <c r="I1383" s="876"/>
      <c r="J1383" s="876"/>
      <c r="P1383" s="902"/>
      <c r="Q1383" s="962"/>
      <c r="S1383" s="874"/>
      <c r="U1383" s="904"/>
      <c r="V1383" s="901"/>
      <c r="W1383" s="876"/>
      <c r="X1383" s="545"/>
      <c r="Y1383" s="901"/>
      <c r="Z1383" s="545"/>
      <c r="AA1383" s="922"/>
      <c r="AB1383" s="901"/>
      <c r="AC1383" s="876"/>
      <c r="AD1383" s="545"/>
      <c r="AE1383" s="901"/>
      <c r="AF1383" s="545"/>
      <c r="AG1383" s="545"/>
    </row>
    <row r="1384" spans="6:33" ht="24" customHeight="1">
      <c r="J1384" s="881"/>
      <c r="O1384" s="922"/>
      <c r="P1384" s="901"/>
      <c r="Q1384" s="913"/>
      <c r="R1384" s="545"/>
      <c r="S1384" s="901"/>
      <c r="T1384" s="545"/>
      <c r="U1384" s="904"/>
      <c r="V1384" s="901"/>
      <c r="W1384" s="876"/>
      <c r="X1384" s="545"/>
      <c r="Y1384" s="901"/>
      <c r="Z1384" s="545"/>
      <c r="AA1384" s="922"/>
      <c r="AB1384" s="901"/>
      <c r="AC1384" s="876"/>
      <c r="AD1384" s="545"/>
      <c r="AE1384" s="901"/>
      <c r="AF1384" s="545"/>
      <c r="AG1384" s="545"/>
    </row>
    <row r="1385" spans="6:33" ht="24" customHeight="1">
      <c r="F1385" s="545"/>
      <c r="G1385" s="889"/>
      <c r="H1385" s="545"/>
      <c r="I1385" s="876"/>
      <c r="J1385" s="876"/>
      <c r="K1385" s="545"/>
      <c r="L1385" s="876"/>
      <c r="M1385" s="882"/>
      <c r="O1385" s="922"/>
      <c r="P1385" s="901"/>
      <c r="Q1385" s="876"/>
      <c r="R1385" s="545"/>
      <c r="S1385" s="901"/>
      <c r="T1385" s="545"/>
      <c r="U1385" s="904"/>
      <c r="V1385" s="901"/>
      <c r="W1385" s="876"/>
      <c r="X1385" s="545"/>
      <c r="Y1385" s="901"/>
      <c r="Z1385" s="545"/>
      <c r="AA1385" s="922"/>
      <c r="AB1385" s="901"/>
      <c r="AC1385" s="876"/>
      <c r="AD1385" s="545"/>
      <c r="AE1385" s="901"/>
      <c r="AF1385" s="545"/>
      <c r="AG1385" s="545"/>
    </row>
    <row r="1386" spans="6:33" ht="24" customHeight="1">
      <c r="F1386" s="545"/>
      <c r="G1386" s="889"/>
      <c r="H1386" s="545"/>
      <c r="I1386" s="876"/>
      <c r="J1386" s="876"/>
      <c r="K1386" s="545"/>
      <c r="L1386" s="876"/>
      <c r="M1386" s="882"/>
      <c r="O1386" s="922"/>
      <c r="P1386" s="901"/>
      <c r="Q1386" s="876"/>
      <c r="R1386" s="545"/>
      <c r="S1386" s="901"/>
      <c r="T1386" s="545"/>
      <c r="U1386" s="904"/>
      <c r="V1386" s="901"/>
      <c r="W1386" s="876"/>
      <c r="X1386" s="545"/>
      <c r="Y1386" s="901"/>
      <c r="Z1386" s="545"/>
      <c r="AA1386" s="922"/>
      <c r="AB1386" s="901"/>
      <c r="AC1386" s="876"/>
      <c r="AD1386" s="545"/>
      <c r="AE1386" s="901"/>
      <c r="AF1386" s="545"/>
      <c r="AG1386" s="545"/>
    </row>
    <row r="1387" spans="6:33" ht="24" customHeight="1">
      <c r="F1387" s="545"/>
      <c r="G1387" s="889"/>
      <c r="H1387" s="545"/>
      <c r="I1387" s="876"/>
      <c r="J1387" s="876"/>
      <c r="K1387" s="545"/>
      <c r="L1387" s="876"/>
      <c r="M1387" s="882"/>
      <c r="O1387" s="922"/>
      <c r="P1387" s="901"/>
      <c r="Q1387" s="876"/>
      <c r="R1387" s="545"/>
      <c r="S1387" s="901"/>
      <c r="T1387" s="545"/>
      <c r="U1387" s="904"/>
      <c r="V1387" s="901"/>
      <c r="W1387" s="876"/>
      <c r="X1387" s="545"/>
      <c r="Y1387" s="901"/>
      <c r="Z1387" s="545"/>
      <c r="AA1387" s="922"/>
      <c r="AB1387" s="901"/>
      <c r="AC1387" s="876"/>
      <c r="AD1387" s="545"/>
      <c r="AE1387" s="901"/>
      <c r="AF1387" s="545"/>
      <c r="AG1387" s="545"/>
    </row>
    <row r="1388" spans="6:33" ht="24" customHeight="1">
      <c r="F1388" s="545"/>
      <c r="G1388" s="889"/>
      <c r="H1388" s="545"/>
      <c r="I1388" s="876"/>
      <c r="J1388" s="876"/>
      <c r="K1388" s="545"/>
      <c r="L1388" s="876"/>
      <c r="M1388" s="882"/>
      <c r="O1388" s="922"/>
      <c r="P1388" s="901"/>
      <c r="Q1388" s="913"/>
      <c r="R1388" s="545"/>
      <c r="S1388" s="901"/>
      <c r="T1388" s="545"/>
      <c r="U1388" s="904"/>
      <c r="V1388" s="901"/>
      <c r="W1388" s="876"/>
      <c r="X1388" s="545"/>
      <c r="Y1388" s="901"/>
      <c r="Z1388" s="545"/>
      <c r="AA1388" s="922"/>
      <c r="AB1388" s="901"/>
      <c r="AC1388" s="876"/>
      <c r="AD1388" s="545"/>
      <c r="AE1388" s="901"/>
      <c r="AF1388" s="545"/>
      <c r="AG1388" s="545"/>
    </row>
    <row r="1389" spans="6:33" ht="24" customHeight="1">
      <c r="I1389" s="876"/>
      <c r="J1389" s="876"/>
      <c r="K1389" s="876"/>
      <c r="L1389" s="876"/>
      <c r="M1389" s="882"/>
      <c r="O1389" s="922"/>
      <c r="P1389" s="901"/>
      <c r="Q1389" s="913"/>
      <c r="R1389" s="545"/>
      <c r="S1389" s="901"/>
      <c r="T1389" s="545"/>
      <c r="U1389" s="904"/>
      <c r="V1389" s="901"/>
      <c r="W1389" s="876"/>
      <c r="X1389" s="545"/>
      <c r="Y1389" s="901"/>
      <c r="Z1389" s="545"/>
      <c r="AA1389" s="922"/>
      <c r="AB1389" s="902"/>
      <c r="AC1389" s="876"/>
      <c r="AE1389" s="878"/>
      <c r="AF1389" s="545"/>
      <c r="AG1389" s="545"/>
    </row>
    <row r="1390" spans="6:33" ht="24" customHeight="1">
      <c r="M1390" s="882"/>
      <c r="O1390" s="922"/>
      <c r="P1390" s="901"/>
      <c r="Q1390" s="913"/>
      <c r="R1390" s="545"/>
      <c r="S1390" s="901"/>
      <c r="T1390" s="545"/>
      <c r="U1390" s="904"/>
      <c r="V1390" s="901"/>
      <c r="W1390" s="876"/>
      <c r="X1390" s="545"/>
      <c r="Y1390" s="901"/>
      <c r="Z1390" s="545"/>
      <c r="AA1390" s="922"/>
      <c r="AC1390" s="883"/>
      <c r="AF1390" s="892"/>
      <c r="AG1390" s="545"/>
    </row>
    <row r="1391" spans="6:33" ht="24" customHeight="1">
      <c r="J1391" s="876"/>
      <c r="M1391" s="882"/>
      <c r="O1391" s="922"/>
      <c r="P1391" s="901"/>
      <c r="Q1391" s="913"/>
      <c r="R1391" s="545"/>
      <c r="S1391" s="901"/>
      <c r="T1391" s="545"/>
      <c r="V1391" s="901"/>
      <c r="W1391" s="876"/>
      <c r="X1391" s="545"/>
      <c r="Y1391" s="901"/>
      <c r="Z1391" s="545"/>
      <c r="AG1391" s="545"/>
    </row>
    <row r="1392" spans="6:33" ht="24" customHeight="1">
      <c r="M1392" s="882"/>
      <c r="O1392" s="922"/>
      <c r="P1392" s="901"/>
      <c r="Q1392" s="876"/>
      <c r="R1392" s="545"/>
      <c r="S1392" s="901"/>
      <c r="T1392" s="545"/>
      <c r="V1392" s="901"/>
      <c r="W1392" s="876"/>
      <c r="X1392" s="545"/>
      <c r="Y1392" s="901"/>
      <c r="Z1392" s="545"/>
      <c r="AB1392" s="902"/>
      <c r="AC1392" s="962"/>
      <c r="AE1392" s="874"/>
      <c r="AG1392" s="545"/>
    </row>
    <row r="1393" spans="6:33" ht="24" customHeight="1">
      <c r="J1393" s="872"/>
      <c r="M1393" s="883"/>
      <c r="O1393" s="922"/>
      <c r="P1393" s="901"/>
      <c r="Q1393" s="876"/>
      <c r="R1393" s="545"/>
      <c r="S1393" s="901"/>
      <c r="T1393" s="545"/>
      <c r="V1393" s="902"/>
      <c r="W1393" s="876"/>
      <c r="Y1393" s="878"/>
      <c r="Z1393" s="545"/>
      <c r="AB1393" s="901"/>
      <c r="AC1393" s="876"/>
      <c r="AD1393" s="545"/>
      <c r="AE1393" s="901"/>
      <c r="AF1393" s="545"/>
      <c r="AG1393" s="545"/>
    </row>
    <row r="1394" spans="6:33" ht="24" customHeight="1">
      <c r="F1394" s="876"/>
      <c r="G1394" s="916"/>
      <c r="H1394" s="876"/>
      <c r="O1394" s="922"/>
      <c r="P1394" s="901"/>
      <c r="Q1394" s="876"/>
      <c r="R1394" s="545"/>
      <c r="S1394" s="901"/>
      <c r="T1394" s="545"/>
      <c r="W1394" s="883"/>
      <c r="Z1394" s="892"/>
      <c r="AB1394" s="901"/>
      <c r="AC1394" s="876"/>
      <c r="AD1394" s="545"/>
      <c r="AE1394" s="901"/>
      <c r="AF1394" s="545"/>
      <c r="AG1394" s="545"/>
    </row>
    <row r="1395" spans="6:33" ht="24" customHeight="1">
      <c r="M1395" s="882"/>
      <c r="O1395" s="922"/>
      <c r="P1395" s="901"/>
      <c r="Q1395" s="876"/>
      <c r="S1395" s="901"/>
      <c r="T1395" s="545"/>
      <c r="U1395" s="904"/>
      <c r="AB1395" s="901"/>
      <c r="AC1395" s="876"/>
      <c r="AD1395" s="545"/>
      <c r="AE1395" s="901"/>
      <c r="AF1395" s="545"/>
      <c r="AG1395" s="545"/>
    </row>
    <row r="1396" spans="6:33" ht="24" customHeight="1">
      <c r="F1396" s="880"/>
      <c r="G1396" s="918"/>
      <c r="H1396" s="880"/>
      <c r="I1396" s="876"/>
      <c r="J1396" s="876"/>
      <c r="P1396" s="902"/>
      <c r="Q1396" s="876"/>
      <c r="S1396" s="878"/>
      <c r="T1396" s="545"/>
      <c r="U1396" s="904"/>
      <c r="AA1396" s="922"/>
      <c r="AB1396" s="901"/>
      <c r="AC1396" s="876"/>
      <c r="AD1396" s="545"/>
      <c r="AE1396" s="901"/>
      <c r="AF1396" s="545"/>
      <c r="AG1396" s="545"/>
    </row>
    <row r="1397" spans="6:33" ht="24" customHeight="1">
      <c r="J1397" s="881"/>
      <c r="T1397" s="892"/>
      <c r="U1397" s="904"/>
      <c r="V1397" s="902"/>
      <c r="W1397" s="962"/>
      <c r="Y1397" s="874"/>
      <c r="AA1397" s="922"/>
      <c r="AB1397" s="901"/>
      <c r="AC1397" s="876"/>
      <c r="AD1397" s="545"/>
      <c r="AE1397" s="901"/>
      <c r="AF1397" s="545"/>
      <c r="AG1397" s="545"/>
    </row>
    <row r="1398" spans="6:33" ht="24" customHeight="1">
      <c r="F1398" s="545"/>
      <c r="G1398" s="889"/>
      <c r="H1398" s="545"/>
      <c r="I1398" s="876"/>
      <c r="J1398" s="876"/>
      <c r="K1398" s="545"/>
      <c r="L1398" s="876"/>
      <c r="M1398" s="882"/>
      <c r="U1398" s="904"/>
      <c r="V1398" s="901"/>
      <c r="W1398" s="876"/>
      <c r="X1398" s="545"/>
      <c r="Y1398" s="901"/>
      <c r="Z1398" s="545"/>
      <c r="AA1398" s="922"/>
      <c r="AB1398" s="901"/>
      <c r="AC1398" s="876"/>
      <c r="AD1398" s="545"/>
      <c r="AE1398" s="901"/>
      <c r="AF1398" s="545"/>
      <c r="AG1398" s="545"/>
    </row>
    <row r="1399" spans="6:33" ht="24" customHeight="1">
      <c r="F1399" s="545"/>
      <c r="G1399" s="889"/>
      <c r="H1399" s="545"/>
      <c r="I1399" s="876"/>
      <c r="J1399" s="876"/>
      <c r="K1399" s="545"/>
      <c r="L1399" s="876"/>
      <c r="M1399" s="882"/>
      <c r="U1399" s="904"/>
      <c r="V1399" s="901"/>
      <c r="W1399" s="876"/>
      <c r="X1399" s="545"/>
      <c r="Y1399" s="901"/>
      <c r="Z1399" s="545"/>
      <c r="AA1399" s="922"/>
      <c r="AB1399" s="901"/>
      <c r="AC1399" s="876"/>
      <c r="AD1399" s="545"/>
      <c r="AE1399" s="901"/>
      <c r="AF1399" s="545"/>
      <c r="AG1399" s="545"/>
    </row>
    <row r="1400" spans="6:33" ht="24" customHeight="1">
      <c r="F1400" s="545"/>
      <c r="G1400" s="889"/>
      <c r="H1400" s="545"/>
      <c r="I1400" s="876"/>
      <c r="J1400" s="876"/>
      <c r="K1400" s="545"/>
      <c r="L1400" s="876"/>
      <c r="M1400" s="882"/>
      <c r="P1400" s="902"/>
      <c r="Q1400" s="962"/>
      <c r="S1400" s="874"/>
      <c r="U1400" s="904"/>
      <c r="V1400" s="901"/>
      <c r="W1400" s="876"/>
      <c r="X1400" s="545"/>
      <c r="Y1400" s="901"/>
      <c r="Z1400" s="545"/>
      <c r="AA1400" s="922"/>
      <c r="AB1400" s="901"/>
      <c r="AC1400" s="876"/>
      <c r="AD1400" s="545"/>
      <c r="AE1400" s="901"/>
      <c r="AF1400" s="545"/>
      <c r="AG1400" s="545"/>
    </row>
    <row r="1401" spans="6:33" ht="24" customHeight="1">
      <c r="F1401" s="545"/>
      <c r="G1401" s="889"/>
      <c r="H1401" s="545"/>
      <c r="I1401" s="876"/>
      <c r="J1401" s="876"/>
      <c r="K1401" s="545"/>
      <c r="L1401" s="876"/>
      <c r="M1401" s="882"/>
      <c r="O1401" s="922"/>
      <c r="P1401" s="901"/>
      <c r="Q1401" s="876"/>
      <c r="R1401" s="545"/>
      <c r="S1401" s="901"/>
      <c r="T1401" s="545"/>
      <c r="U1401" s="904"/>
      <c r="V1401" s="901"/>
      <c r="W1401" s="876"/>
      <c r="X1401" s="545"/>
      <c r="Y1401" s="901"/>
      <c r="Z1401" s="545"/>
      <c r="AA1401" s="922"/>
      <c r="AB1401" s="901"/>
      <c r="AC1401" s="876"/>
      <c r="AD1401" s="545"/>
      <c r="AE1401" s="901"/>
      <c r="AF1401" s="545"/>
      <c r="AG1401" s="545"/>
    </row>
    <row r="1402" spans="6:33" ht="24" customHeight="1">
      <c r="I1402" s="876"/>
      <c r="J1402" s="876"/>
      <c r="K1402" s="876"/>
      <c r="L1402" s="876"/>
      <c r="M1402" s="882"/>
      <c r="O1402" s="922"/>
      <c r="P1402" s="901"/>
      <c r="Q1402" s="876"/>
      <c r="R1402" s="545"/>
      <c r="S1402" s="901"/>
      <c r="T1402" s="545"/>
      <c r="U1402" s="904"/>
      <c r="V1402" s="901"/>
      <c r="W1402" s="876"/>
      <c r="X1402" s="545"/>
      <c r="Y1402" s="901"/>
      <c r="Z1402" s="545"/>
      <c r="AA1402" s="922"/>
      <c r="AB1402" s="901"/>
      <c r="AC1402" s="876"/>
      <c r="AD1402" s="545"/>
      <c r="AE1402" s="901"/>
      <c r="AF1402" s="545"/>
      <c r="AG1402" s="545"/>
    </row>
    <row r="1403" spans="6:33" ht="24" customHeight="1">
      <c r="I1403" s="876"/>
      <c r="J1403" s="876"/>
      <c r="K1403" s="876"/>
      <c r="L1403" s="876"/>
      <c r="M1403" s="882"/>
      <c r="O1403" s="922"/>
      <c r="P1403" s="901"/>
      <c r="Q1403" s="876"/>
      <c r="R1403" s="545"/>
      <c r="S1403" s="901"/>
      <c r="T1403" s="545"/>
      <c r="U1403" s="904"/>
      <c r="V1403" s="901"/>
      <c r="W1403" s="876"/>
      <c r="X1403" s="545"/>
      <c r="Y1403" s="901"/>
      <c r="Z1403" s="545"/>
      <c r="AA1403" s="922"/>
      <c r="AB1403" s="901"/>
      <c r="AC1403" s="876"/>
      <c r="AD1403" s="545"/>
      <c r="AE1403" s="901"/>
      <c r="AF1403" s="545"/>
      <c r="AG1403" s="545"/>
    </row>
    <row r="1404" spans="6:33" ht="24" customHeight="1">
      <c r="M1404" s="882"/>
      <c r="O1404" s="922"/>
      <c r="P1404" s="901"/>
      <c r="Q1404" s="876"/>
      <c r="R1404" s="545"/>
      <c r="S1404" s="901"/>
      <c r="T1404" s="545"/>
      <c r="U1404" s="904"/>
      <c r="V1404" s="901"/>
      <c r="W1404" s="876"/>
      <c r="X1404" s="545"/>
      <c r="Y1404" s="901"/>
      <c r="Z1404" s="545"/>
      <c r="AA1404" s="922"/>
      <c r="AB1404" s="901"/>
      <c r="AC1404" s="876"/>
      <c r="AD1404" s="545"/>
      <c r="AE1404" s="901"/>
      <c r="AF1404" s="545"/>
      <c r="AG1404" s="545"/>
    </row>
    <row r="1405" spans="6:33" ht="24" customHeight="1">
      <c r="J1405" s="876"/>
      <c r="M1405" s="882"/>
      <c r="O1405" s="922"/>
      <c r="P1405" s="901"/>
      <c r="Q1405" s="876"/>
      <c r="R1405" s="545"/>
      <c r="S1405" s="901"/>
      <c r="T1405" s="545"/>
      <c r="U1405" s="904"/>
      <c r="V1405" s="901"/>
      <c r="W1405" s="876"/>
      <c r="X1405" s="545"/>
      <c r="Y1405" s="901"/>
      <c r="Z1405" s="545"/>
      <c r="AA1405" s="922"/>
      <c r="AB1405" s="902"/>
      <c r="AC1405" s="876"/>
      <c r="AE1405" s="878"/>
      <c r="AF1405" s="545"/>
      <c r="AG1405" s="545"/>
    </row>
    <row r="1406" spans="6:33" ht="24" customHeight="1">
      <c r="M1406" s="882"/>
      <c r="O1406" s="922"/>
      <c r="P1406" s="901"/>
      <c r="Q1406" s="876"/>
      <c r="R1406" s="545"/>
      <c r="S1406" s="901"/>
      <c r="T1406" s="545"/>
      <c r="U1406" s="904"/>
      <c r="V1406" s="901"/>
      <c r="W1406" s="876"/>
      <c r="X1406" s="545"/>
      <c r="Y1406" s="901"/>
      <c r="Z1406" s="545"/>
      <c r="AA1406" s="922"/>
      <c r="AC1406" s="883"/>
      <c r="AF1406" s="892"/>
      <c r="AG1406" s="545"/>
    </row>
    <row r="1407" spans="6:33" ht="24" customHeight="1">
      <c r="J1407" s="872"/>
      <c r="M1407" s="883"/>
      <c r="O1407" s="922"/>
      <c r="P1407" s="901"/>
      <c r="Q1407" s="876"/>
      <c r="R1407" s="545"/>
      <c r="S1407" s="901"/>
      <c r="T1407" s="545"/>
      <c r="V1407" s="901"/>
      <c r="W1407" s="876"/>
      <c r="X1407" s="545"/>
      <c r="Y1407" s="901"/>
      <c r="Z1407" s="545"/>
      <c r="AA1407" s="922"/>
      <c r="AG1407" s="545"/>
    </row>
    <row r="1408" spans="6:33" ht="24" customHeight="1">
      <c r="M1408" s="882"/>
      <c r="O1408" s="922"/>
      <c r="P1408" s="901"/>
      <c r="Q1408" s="876"/>
      <c r="R1408" s="545"/>
      <c r="S1408" s="901"/>
      <c r="T1408" s="545"/>
      <c r="V1408" s="901"/>
      <c r="W1408" s="876"/>
      <c r="X1408" s="545"/>
      <c r="Y1408" s="901"/>
      <c r="Z1408" s="545"/>
      <c r="AG1408" s="545"/>
    </row>
    <row r="1409" spans="6:33" ht="24" customHeight="1">
      <c r="F1409" s="880"/>
      <c r="G1409" s="918"/>
      <c r="H1409" s="880"/>
      <c r="I1409" s="876"/>
      <c r="J1409" s="876"/>
      <c r="O1409" s="922"/>
      <c r="P1409" s="901"/>
      <c r="Q1409" s="876"/>
      <c r="R1409" s="545"/>
      <c r="S1409" s="901"/>
      <c r="T1409" s="545"/>
      <c r="V1409" s="901"/>
      <c r="W1409" s="876"/>
      <c r="X1409" s="545"/>
      <c r="Y1409" s="901"/>
      <c r="Z1409" s="545"/>
      <c r="AB1409" s="902"/>
      <c r="AC1409" s="962"/>
      <c r="AE1409" s="874"/>
      <c r="AG1409" s="545"/>
    </row>
    <row r="1410" spans="6:33" ht="24" customHeight="1">
      <c r="J1410" s="881"/>
      <c r="O1410" s="922"/>
      <c r="P1410" s="901"/>
      <c r="Q1410" s="876"/>
      <c r="R1410" s="545"/>
      <c r="S1410" s="901"/>
      <c r="T1410" s="545"/>
      <c r="V1410" s="902"/>
      <c r="W1410" s="876"/>
      <c r="Y1410" s="878"/>
      <c r="Z1410" s="545"/>
      <c r="AB1410" s="901"/>
      <c r="AC1410" s="876"/>
      <c r="AD1410" s="545"/>
      <c r="AE1410" s="901"/>
      <c r="AF1410" s="545"/>
      <c r="AG1410" s="545"/>
    </row>
    <row r="1411" spans="6:33" ht="24" customHeight="1">
      <c r="F1411" s="545"/>
      <c r="G1411" s="889"/>
      <c r="H1411" s="545"/>
      <c r="I1411" s="876"/>
      <c r="J1411" s="876"/>
      <c r="K1411" s="545"/>
      <c r="L1411" s="876"/>
      <c r="M1411" s="882"/>
      <c r="O1411" s="922"/>
      <c r="P1411" s="901"/>
      <c r="Q1411" s="876"/>
      <c r="R1411" s="545"/>
      <c r="S1411" s="901"/>
      <c r="T1411" s="545"/>
      <c r="W1411" s="883"/>
      <c r="Z1411" s="892"/>
      <c r="AB1411" s="901"/>
      <c r="AC1411" s="876"/>
      <c r="AD1411" s="545"/>
      <c r="AE1411" s="901"/>
      <c r="AF1411" s="545"/>
      <c r="AG1411" s="545"/>
    </row>
    <row r="1412" spans="6:33" ht="24" customHeight="1">
      <c r="F1412" s="545"/>
      <c r="G1412" s="889"/>
      <c r="H1412" s="545"/>
      <c r="I1412" s="876"/>
      <c r="J1412" s="876"/>
      <c r="K1412" s="545"/>
      <c r="L1412" s="876"/>
      <c r="M1412" s="882"/>
      <c r="O1412" s="922"/>
      <c r="P1412" s="901"/>
      <c r="Q1412" s="876"/>
      <c r="R1412" s="545"/>
      <c r="S1412" s="901"/>
      <c r="T1412" s="545"/>
      <c r="U1412" s="904"/>
      <c r="AB1412" s="901"/>
      <c r="AC1412" s="876"/>
      <c r="AD1412" s="545"/>
      <c r="AE1412" s="901"/>
      <c r="AF1412" s="545"/>
      <c r="AG1412" s="545"/>
    </row>
    <row r="1413" spans="6:33" ht="24" customHeight="1">
      <c r="F1413" s="545"/>
      <c r="G1413" s="889"/>
      <c r="H1413" s="545"/>
      <c r="I1413" s="876"/>
      <c r="J1413" s="876"/>
      <c r="K1413" s="545"/>
      <c r="L1413" s="876"/>
      <c r="M1413" s="882"/>
      <c r="P1413" s="902"/>
      <c r="Q1413" s="876"/>
      <c r="S1413" s="878"/>
      <c r="T1413" s="545"/>
      <c r="U1413" s="904"/>
      <c r="AA1413" s="922"/>
      <c r="AB1413" s="901"/>
      <c r="AC1413" s="876"/>
      <c r="AD1413" s="545"/>
      <c r="AE1413" s="901"/>
      <c r="AF1413" s="545"/>
      <c r="AG1413" s="545"/>
    </row>
    <row r="1414" spans="6:33" ht="24" customHeight="1">
      <c r="F1414" s="545"/>
      <c r="G1414" s="889"/>
      <c r="H1414" s="545"/>
      <c r="I1414" s="876"/>
      <c r="J1414" s="876"/>
      <c r="K1414" s="545"/>
      <c r="L1414" s="876"/>
      <c r="M1414" s="882"/>
      <c r="T1414" s="892"/>
      <c r="U1414" s="904"/>
      <c r="V1414" s="902"/>
      <c r="W1414" s="962"/>
      <c r="Y1414" s="874"/>
      <c r="AA1414" s="922"/>
      <c r="AB1414" s="901"/>
      <c r="AC1414" s="876"/>
      <c r="AD1414" s="545"/>
      <c r="AE1414" s="901"/>
      <c r="AF1414" s="545"/>
      <c r="AG1414" s="545"/>
    </row>
    <row r="1415" spans="6:33" ht="24" customHeight="1">
      <c r="I1415" s="876"/>
      <c r="J1415" s="876"/>
      <c r="K1415" s="876"/>
      <c r="L1415" s="876"/>
      <c r="M1415" s="882"/>
      <c r="O1415" s="545"/>
      <c r="P1415" s="901"/>
      <c r="Q1415" s="876"/>
      <c r="R1415" s="545"/>
      <c r="S1415" s="880"/>
      <c r="T1415" s="545"/>
      <c r="U1415" s="904"/>
      <c r="V1415" s="901"/>
      <c r="W1415" s="876"/>
      <c r="X1415" s="545"/>
      <c r="Y1415" s="901"/>
      <c r="Z1415" s="545"/>
      <c r="AA1415" s="922"/>
      <c r="AB1415" s="901"/>
      <c r="AC1415" s="876"/>
      <c r="AD1415" s="545"/>
      <c r="AE1415" s="901"/>
      <c r="AF1415" s="545"/>
      <c r="AG1415" s="545"/>
    </row>
    <row r="1416" spans="6:33" ht="24" customHeight="1">
      <c r="M1416" s="882"/>
      <c r="O1416" s="545"/>
      <c r="P1416" s="901"/>
      <c r="Q1416" s="876"/>
      <c r="R1416" s="545"/>
      <c r="S1416" s="880"/>
      <c r="T1416" s="545"/>
      <c r="U1416" s="904"/>
      <c r="V1416" s="901"/>
      <c r="W1416" s="876"/>
      <c r="X1416" s="545"/>
      <c r="Y1416" s="901"/>
      <c r="Z1416" s="545"/>
      <c r="AA1416" s="922"/>
      <c r="AB1416" s="901"/>
      <c r="AC1416" s="876"/>
      <c r="AD1416" s="545"/>
      <c r="AE1416" s="901"/>
      <c r="AF1416" s="545"/>
      <c r="AG1416" s="545"/>
    </row>
    <row r="1417" spans="6:33" ht="24" customHeight="1">
      <c r="J1417" s="876"/>
      <c r="M1417" s="882"/>
      <c r="P1417" s="902"/>
      <c r="Q1417" s="962"/>
      <c r="S1417" s="874"/>
      <c r="U1417" s="904"/>
      <c r="V1417" s="901"/>
      <c r="W1417" s="876"/>
      <c r="X1417" s="545"/>
      <c r="Y1417" s="901"/>
      <c r="Z1417" s="545"/>
      <c r="AA1417" s="922"/>
      <c r="AB1417" s="901"/>
      <c r="AC1417" s="876"/>
      <c r="AD1417" s="545"/>
      <c r="AE1417" s="901"/>
      <c r="AF1417" s="545"/>
      <c r="AG1417" s="545"/>
    </row>
    <row r="1418" spans="6:33" ht="24" customHeight="1">
      <c r="J1418" s="878"/>
      <c r="M1418" s="882"/>
      <c r="O1418" s="922"/>
      <c r="P1418" s="901"/>
      <c r="Q1418" s="876"/>
      <c r="R1418" s="545"/>
      <c r="S1418" s="901"/>
      <c r="T1418" s="545"/>
      <c r="U1418" s="904"/>
      <c r="V1418" s="901"/>
      <c r="W1418" s="876"/>
      <c r="X1418" s="545"/>
      <c r="Y1418" s="901"/>
      <c r="Z1418" s="545"/>
      <c r="AA1418" s="922"/>
      <c r="AB1418" s="901"/>
      <c r="AC1418" s="876"/>
      <c r="AD1418" s="545"/>
      <c r="AE1418" s="901"/>
      <c r="AF1418" s="545"/>
      <c r="AG1418" s="545"/>
    </row>
    <row r="1419" spans="6:33" ht="24" customHeight="1">
      <c r="J1419" s="872"/>
      <c r="K1419" s="885"/>
      <c r="L1419" s="895"/>
      <c r="M1419" s="883"/>
      <c r="O1419" s="922"/>
      <c r="P1419" s="901"/>
      <c r="Q1419" s="876"/>
      <c r="R1419" s="545"/>
      <c r="S1419" s="901"/>
      <c r="T1419" s="545"/>
      <c r="U1419" s="904"/>
      <c r="V1419" s="901"/>
      <c r="W1419" s="876"/>
      <c r="X1419" s="545"/>
      <c r="Y1419" s="901"/>
      <c r="Z1419" s="545"/>
      <c r="AA1419" s="922"/>
      <c r="AB1419" s="901"/>
      <c r="AC1419" s="876"/>
      <c r="AD1419" s="545"/>
      <c r="AE1419" s="901"/>
      <c r="AF1419" s="545"/>
      <c r="AG1419" s="545"/>
    </row>
    <row r="1420" spans="6:33" ht="24" customHeight="1">
      <c r="M1420" s="882"/>
      <c r="O1420" s="922"/>
      <c r="P1420" s="901"/>
      <c r="Q1420" s="876"/>
      <c r="R1420" s="545"/>
      <c r="S1420" s="901"/>
      <c r="T1420" s="545"/>
      <c r="U1420" s="904"/>
      <c r="V1420" s="901"/>
      <c r="W1420" s="876"/>
      <c r="X1420" s="545"/>
      <c r="Y1420" s="901"/>
      <c r="Z1420" s="545"/>
      <c r="AA1420" s="922"/>
      <c r="AB1420" s="901"/>
      <c r="AC1420" s="876"/>
      <c r="AD1420" s="545"/>
      <c r="AE1420" s="901"/>
      <c r="AF1420" s="545"/>
      <c r="AG1420" s="545"/>
    </row>
    <row r="1421" spans="6:33" ht="24" customHeight="1">
      <c r="O1421" s="922"/>
      <c r="P1421" s="901"/>
      <c r="Q1421" s="876"/>
      <c r="R1421" s="545"/>
      <c r="S1421" s="901"/>
      <c r="T1421" s="545"/>
      <c r="U1421" s="904"/>
      <c r="V1421" s="901"/>
      <c r="W1421" s="876"/>
      <c r="X1421" s="545"/>
      <c r="Y1421" s="901"/>
      <c r="Z1421" s="545"/>
      <c r="AA1421" s="922"/>
      <c r="AB1421" s="901"/>
      <c r="AC1421" s="876"/>
      <c r="AD1421" s="545"/>
      <c r="AE1421" s="901"/>
      <c r="AF1421" s="545"/>
      <c r="AG1421" s="545"/>
    </row>
    <row r="1422" spans="6:33" ht="24" customHeight="1">
      <c r="I1422" s="876"/>
      <c r="J1422" s="876"/>
      <c r="O1422" s="922"/>
      <c r="P1422" s="901"/>
      <c r="Q1422" s="876"/>
      <c r="R1422" s="545"/>
      <c r="S1422" s="901"/>
      <c r="T1422" s="545"/>
      <c r="U1422" s="904"/>
      <c r="V1422" s="901"/>
      <c r="W1422" s="876"/>
      <c r="X1422" s="545"/>
      <c r="Y1422" s="901"/>
      <c r="Z1422" s="545"/>
      <c r="AA1422" s="922"/>
      <c r="AB1422" s="902"/>
      <c r="AC1422" s="876"/>
      <c r="AE1422" s="878"/>
      <c r="AF1422" s="545"/>
      <c r="AG1422" s="545"/>
    </row>
    <row r="1423" spans="6:33" ht="24" customHeight="1">
      <c r="J1423" s="876"/>
      <c r="O1423" s="922"/>
      <c r="P1423" s="901"/>
      <c r="Q1423" s="876"/>
      <c r="R1423" s="545"/>
      <c r="S1423" s="901"/>
      <c r="T1423" s="545"/>
      <c r="U1423" s="904"/>
      <c r="V1423" s="901"/>
      <c r="W1423" s="876"/>
      <c r="X1423" s="545"/>
      <c r="Y1423" s="901"/>
      <c r="Z1423" s="545"/>
      <c r="AA1423" s="922"/>
      <c r="AC1423" s="883"/>
      <c r="AF1423" s="892"/>
      <c r="AG1423" s="545"/>
    </row>
    <row r="1424" spans="6:33" ht="24" customHeight="1">
      <c r="J1424" s="876"/>
      <c r="O1424" s="922"/>
      <c r="P1424" s="901"/>
      <c r="Q1424" s="876"/>
      <c r="R1424" s="545"/>
      <c r="S1424" s="901"/>
      <c r="T1424" s="545"/>
      <c r="V1424" s="901"/>
      <c r="W1424" s="876"/>
      <c r="X1424" s="545"/>
      <c r="Y1424" s="901"/>
      <c r="Z1424" s="545"/>
      <c r="AA1424" s="922"/>
      <c r="AG1424" s="545"/>
    </row>
    <row r="1425" spans="6:33" ht="24" customHeight="1">
      <c r="J1425" s="881"/>
      <c r="O1425" s="922"/>
      <c r="P1425" s="901"/>
      <c r="Q1425" s="876"/>
      <c r="R1425" s="545"/>
      <c r="S1425" s="901"/>
      <c r="T1425" s="545"/>
      <c r="V1425" s="901"/>
      <c r="W1425" s="876"/>
      <c r="X1425" s="545"/>
      <c r="Y1425" s="901"/>
      <c r="Z1425" s="545"/>
      <c r="AG1425" s="545"/>
    </row>
    <row r="1426" spans="6:33" ht="24" customHeight="1">
      <c r="F1426" s="545"/>
      <c r="G1426" s="889"/>
      <c r="H1426" s="545"/>
      <c r="I1426" s="876"/>
      <c r="J1426" s="876"/>
      <c r="K1426" s="545"/>
      <c r="L1426" s="876"/>
      <c r="M1426" s="882"/>
      <c r="O1426" s="922"/>
      <c r="P1426" s="901"/>
      <c r="Q1426" s="876"/>
      <c r="R1426" s="545"/>
      <c r="S1426" s="901"/>
      <c r="T1426" s="545"/>
      <c r="V1426" s="901"/>
      <c r="W1426" s="876"/>
      <c r="X1426" s="545"/>
      <c r="Y1426" s="901"/>
      <c r="Z1426" s="545"/>
      <c r="AB1426" s="902"/>
      <c r="AC1426" s="962"/>
      <c r="AD1426" s="961"/>
      <c r="AE1426" s="961"/>
      <c r="AF1426" s="961"/>
      <c r="AG1426" s="545"/>
    </row>
    <row r="1427" spans="6:33" ht="24" customHeight="1">
      <c r="F1427" s="545"/>
      <c r="G1427" s="889"/>
      <c r="H1427" s="545"/>
      <c r="I1427" s="876"/>
      <c r="J1427" s="876"/>
      <c r="K1427" s="545"/>
      <c r="L1427" s="876"/>
      <c r="M1427" s="882"/>
      <c r="O1427" s="922"/>
      <c r="P1427" s="901"/>
      <c r="Q1427" s="876"/>
      <c r="R1427" s="545"/>
      <c r="S1427" s="901"/>
      <c r="T1427" s="545"/>
      <c r="V1427" s="902"/>
      <c r="W1427" s="876"/>
      <c r="Y1427" s="878"/>
      <c r="Z1427" s="545"/>
      <c r="AB1427" s="901"/>
      <c r="AC1427" s="876"/>
      <c r="AD1427" s="545"/>
      <c r="AE1427" s="901"/>
      <c r="AF1427" s="545"/>
      <c r="AG1427" s="545"/>
    </row>
    <row r="1428" spans="6:33" ht="24" customHeight="1">
      <c r="F1428" s="545"/>
      <c r="G1428" s="889"/>
      <c r="H1428" s="545"/>
      <c r="I1428" s="876"/>
      <c r="J1428" s="876"/>
      <c r="K1428" s="545"/>
      <c r="L1428" s="876"/>
      <c r="M1428" s="882"/>
      <c r="O1428" s="922"/>
      <c r="P1428" s="901"/>
      <c r="Q1428" s="876"/>
      <c r="R1428" s="545"/>
      <c r="S1428" s="901"/>
      <c r="T1428" s="545"/>
      <c r="W1428" s="883"/>
      <c r="Z1428" s="892"/>
      <c r="AB1428" s="901"/>
      <c r="AC1428" s="876"/>
      <c r="AD1428" s="545"/>
      <c r="AE1428" s="901"/>
      <c r="AF1428" s="545"/>
      <c r="AG1428" s="545"/>
    </row>
    <row r="1429" spans="6:33" ht="24" customHeight="1">
      <c r="F1429" s="545"/>
      <c r="G1429" s="889"/>
      <c r="H1429" s="545"/>
      <c r="I1429" s="876"/>
      <c r="J1429" s="876"/>
      <c r="K1429" s="545"/>
      <c r="L1429" s="876"/>
      <c r="M1429" s="882"/>
      <c r="O1429" s="922"/>
      <c r="P1429" s="901"/>
      <c r="Q1429" s="876"/>
      <c r="R1429" s="545"/>
      <c r="S1429" s="901"/>
      <c r="T1429" s="545"/>
      <c r="U1429" s="904"/>
      <c r="AA1429" s="922"/>
      <c r="AB1429" s="901"/>
      <c r="AC1429" s="876"/>
      <c r="AD1429" s="545"/>
      <c r="AE1429" s="901"/>
      <c r="AF1429" s="545"/>
      <c r="AG1429" s="545"/>
    </row>
    <row r="1430" spans="6:33" ht="24" customHeight="1">
      <c r="F1430" s="545"/>
      <c r="G1430" s="889"/>
      <c r="H1430" s="545"/>
      <c r="I1430" s="876"/>
      <c r="J1430" s="876"/>
      <c r="K1430" s="545"/>
      <c r="L1430" s="876"/>
      <c r="M1430" s="882"/>
      <c r="P1430" s="902"/>
      <c r="Q1430" s="876"/>
      <c r="S1430" s="878"/>
      <c r="T1430" s="545"/>
      <c r="U1430" s="904"/>
      <c r="V1430" s="902"/>
      <c r="W1430" s="962"/>
      <c r="Y1430" s="874"/>
      <c r="AA1430" s="922"/>
      <c r="AB1430" s="901"/>
      <c r="AC1430" s="876"/>
      <c r="AD1430" s="545"/>
      <c r="AE1430" s="901"/>
      <c r="AF1430" s="545"/>
      <c r="AG1430" s="545"/>
    </row>
    <row r="1431" spans="6:33" ht="24" customHeight="1">
      <c r="I1431" s="876"/>
      <c r="J1431" s="876"/>
      <c r="K1431" s="876"/>
      <c r="L1431" s="876"/>
      <c r="M1431" s="882"/>
      <c r="T1431" s="892"/>
      <c r="U1431" s="904"/>
      <c r="V1431" s="901"/>
      <c r="W1431" s="876"/>
      <c r="X1431" s="545"/>
      <c r="Y1431" s="901"/>
      <c r="Z1431" s="545"/>
      <c r="AA1431" s="922"/>
      <c r="AB1431" s="901"/>
      <c r="AC1431" s="883"/>
      <c r="AD1431" s="545"/>
      <c r="AE1431" s="901"/>
      <c r="AF1431" s="892"/>
      <c r="AG1431" s="545"/>
    </row>
    <row r="1432" spans="6:33" ht="24" customHeight="1">
      <c r="M1432" s="882"/>
      <c r="O1432" s="545"/>
      <c r="P1432" s="901"/>
      <c r="Q1432" s="876"/>
      <c r="R1432" s="545"/>
      <c r="S1432" s="880"/>
      <c r="T1432" s="545"/>
      <c r="U1432" s="904"/>
      <c r="V1432" s="901"/>
      <c r="W1432" s="876"/>
      <c r="X1432" s="545"/>
      <c r="Y1432" s="901"/>
      <c r="Z1432" s="545"/>
      <c r="AA1432" s="922"/>
      <c r="AG1432" s="545"/>
    </row>
    <row r="1433" spans="6:33" ht="24" customHeight="1">
      <c r="F1433" s="876"/>
      <c r="G1433" s="916"/>
      <c r="H1433" s="876"/>
      <c r="J1433" s="876"/>
      <c r="M1433" s="882"/>
      <c r="P1433" s="902"/>
      <c r="Q1433" s="962"/>
      <c r="S1433" s="874"/>
      <c r="U1433" s="904"/>
      <c r="V1433" s="901"/>
      <c r="W1433" s="876"/>
      <c r="X1433" s="545"/>
      <c r="Y1433" s="901"/>
      <c r="Z1433" s="545"/>
      <c r="AA1433" s="922"/>
      <c r="AG1433" s="545"/>
    </row>
    <row r="1434" spans="6:33" ht="24" customHeight="1">
      <c r="J1434" s="885"/>
      <c r="K1434" s="885"/>
      <c r="L1434" s="895"/>
      <c r="M1434" s="883"/>
      <c r="O1434" s="922"/>
      <c r="P1434" s="901"/>
      <c r="Q1434" s="876"/>
      <c r="R1434" s="545"/>
      <c r="S1434" s="901"/>
      <c r="T1434" s="545"/>
      <c r="V1434" s="901"/>
      <c r="W1434" s="876"/>
      <c r="X1434" s="545"/>
      <c r="Y1434" s="901"/>
      <c r="Z1434" s="545"/>
      <c r="AA1434" s="922"/>
      <c r="AG1434" s="545"/>
    </row>
    <row r="1435" spans="6:33" ht="24" customHeight="1">
      <c r="J1435" s="872"/>
      <c r="K1435" s="885"/>
      <c r="L1435" s="895"/>
      <c r="M1435" s="883"/>
      <c r="O1435" s="922"/>
      <c r="P1435" s="901"/>
      <c r="Q1435" s="876"/>
      <c r="R1435" s="545"/>
      <c r="S1435" s="901"/>
      <c r="T1435" s="545"/>
      <c r="V1435" s="901"/>
      <c r="W1435" s="876"/>
      <c r="X1435" s="545"/>
      <c r="Y1435" s="901"/>
      <c r="Z1435" s="545"/>
      <c r="AA1435" s="922"/>
      <c r="AG1435" s="545"/>
    </row>
    <row r="1436" spans="6:33" ht="24" customHeight="1">
      <c r="M1436" s="882"/>
      <c r="O1436" s="922"/>
      <c r="P1436" s="901"/>
      <c r="Q1436" s="876"/>
      <c r="R1436" s="545"/>
      <c r="S1436" s="901"/>
      <c r="T1436" s="545"/>
      <c r="U1436" s="904"/>
      <c r="V1436" s="901"/>
      <c r="W1436" s="876"/>
      <c r="X1436" s="545"/>
      <c r="Y1436" s="901"/>
      <c r="Z1436" s="545"/>
      <c r="AA1436" s="922"/>
      <c r="AG1436" s="545"/>
    </row>
    <row r="1437" spans="6:33" ht="24" customHeight="1">
      <c r="J1437" s="876"/>
      <c r="O1437" s="922"/>
      <c r="P1437" s="901"/>
      <c r="Q1437" s="876"/>
      <c r="R1437" s="545"/>
      <c r="S1437" s="901"/>
      <c r="T1437" s="545"/>
      <c r="U1437" s="904"/>
      <c r="V1437" s="901"/>
      <c r="W1437" s="876"/>
      <c r="X1437" s="545"/>
      <c r="Y1437" s="901"/>
      <c r="Z1437" s="545"/>
      <c r="AA1437" s="922"/>
      <c r="AG1437" s="545"/>
    </row>
    <row r="1438" spans="6:33" ht="24" customHeight="1">
      <c r="O1438" s="922"/>
      <c r="P1438" s="901"/>
      <c r="Q1438" s="876"/>
      <c r="R1438" s="545"/>
      <c r="S1438" s="901"/>
      <c r="T1438" s="545"/>
      <c r="U1438" s="904"/>
      <c r="V1438" s="901"/>
      <c r="W1438" s="876"/>
      <c r="X1438" s="545"/>
      <c r="Y1438" s="901"/>
      <c r="Z1438" s="545"/>
      <c r="AA1438" s="922"/>
      <c r="AG1438" s="545"/>
    </row>
    <row r="1439" spans="6:33" ht="24" customHeight="1">
      <c r="F1439" s="880"/>
      <c r="G1439" s="918"/>
      <c r="H1439" s="880"/>
      <c r="I1439" s="876"/>
      <c r="J1439" s="876"/>
      <c r="O1439" s="922"/>
      <c r="P1439" s="901"/>
      <c r="Q1439" s="876"/>
      <c r="R1439" s="545"/>
      <c r="S1439" s="901"/>
      <c r="T1439" s="545"/>
      <c r="U1439" s="904"/>
      <c r="V1439" s="901"/>
      <c r="W1439" s="876"/>
      <c r="X1439" s="545"/>
      <c r="Y1439" s="901"/>
      <c r="Z1439" s="545"/>
      <c r="AA1439" s="922"/>
      <c r="AG1439" s="545"/>
    </row>
    <row r="1440" spans="6:33" ht="24" customHeight="1">
      <c r="J1440" s="876"/>
      <c r="O1440" s="922"/>
      <c r="P1440" s="901"/>
      <c r="Q1440" s="876"/>
      <c r="R1440" s="545"/>
      <c r="S1440" s="901"/>
      <c r="T1440" s="545"/>
      <c r="U1440" s="904"/>
      <c r="V1440" s="901"/>
      <c r="W1440" s="876"/>
      <c r="X1440" s="545"/>
      <c r="Y1440" s="901"/>
      <c r="Z1440" s="545"/>
      <c r="AA1440" s="922"/>
      <c r="AB1440" s="902"/>
      <c r="AC1440" s="962"/>
      <c r="AE1440" s="874"/>
      <c r="AG1440" s="545"/>
    </row>
    <row r="1441" spans="6:33" ht="24" customHeight="1">
      <c r="J1441" s="876"/>
      <c r="O1441" s="922"/>
      <c r="P1441" s="901"/>
      <c r="Q1441" s="876"/>
      <c r="R1441" s="545"/>
      <c r="S1441" s="901"/>
      <c r="T1441" s="545"/>
      <c r="V1441" s="901"/>
      <c r="W1441" s="876"/>
      <c r="X1441" s="545"/>
      <c r="Y1441" s="901"/>
      <c r="Z1441" s="545"/>
      <c r="AB1441" s="901"/>
      <c r="AC1441" s="876"/>
      <c r="AD1441" s="545"/>
      <c r="AE1441" s="901"/>
      <c r="AF1441" s="545"/>
      <c r="AG1441" s="545"/>
    </row>
    <row r="1442" spans="6:33" ht="24" customHeight="1">
      <c r="J1442" s="876"/>
      <c r="O1442" s="922"/>
      <c r="P1442" s="901"/>
      <c r="Q1442" s="876"/>
      <c r="R1442" s="545"/>
      <c r="S1442" s="901"/>
      <c r="T1442" s="545"/>
      <c r="V1442" s="901"/>
      <c r="W1442" s="876"/>
      <c r="X1442" s="545"/>
      <c r="Y1442" s="901"/>
      <c r="Z1442" s="545"/>
      <c r="AB1442" s="901"/>
      <c r="AC1442" s="876"/>
      <c r="AD1442" s="545"/>
      <c r="AE1442" s="901"/>
      <c r="AF1442" s="545"/>
      <c r="AG1442" s="545"/>
    </row>
    <row r="1443" spans="6:33" ht="24" customHeight="1">
      <c r="J1443" s="881"/>
      <c r="K1443" s="881"/>
      <c r="O1443" s="922"/>
      <c r="P1443" s="901"/>
      <c r="Q1443" s="876"/>
      <c r="R1443" s="545"/>
      <c r="S1443" s="901"/>
      <c r="T1443" s="545"/>
      <c r="U1443" s="904"/>
      <c r="V1443" s="902"/>
      <c r="W1443" s="876"/>
      <c r="Y1443" s="878"/>
      <c r="Z1443" s="545"/>
      <c r="AB1443" s="901"/>
      <c r="AC1443" s="876"/>
      <c r="AD1443" s="545"/>
      <c r="AE1443" s="901"/>
      <c r="AF1443" s="545"/>
      <c r="AG1443" s="545"/>
    </row>
    <row r="1444" spans="6:33" ht="24" customHeight="1">
      <c r="I1444" s="876"/>
      <c r="J1444" s="876"/>
      <c r="O1444" s="922"/>
      <c r="P1444" s="901"/>
      <c r="Q1444" s="876"/>
      <c r="R1444" s="545"/>
      <c r="S1444" s="901"/>
      <c r="T1444" s="545"/>
      <c r="U1444" s="904"/>
      <c r="W1444" s="883"/>
      <c r="Z1444" s="892"/>
      <c r="AB1444" s="901"/>
      <c r="AC1444" s="876"/>
      <c r="AD1444" s="545"/>
      <c r="AE1444" s="901"/>
      <c r="AF1444" s="545"/>
      <c r="AG1444" s="545"/>
    </row>
    <row r="1445" spans="6:33" ht="24" customHeight="1">
      <c r="I1445" s="876"/>
      <c r="J1445" s="881"/>
      <c r="O1445" s="922"/>
      <c r="P1445" s="901"/>
      <c r="Q1445" s="876"/>
      <c r="R1445" s="545"/>
      <c r="S1445" s="901"/>
      <c r="T1445" s="545"/>
      <c r="U1445" s="904"/>
      <c r="AB1445" s="901"/>
      <c r="AC1445" s="876"/>
      <c r="AD1445" s="545"/>
      <c r="AE1445" s="901"/>
      <c r="AF1445" s="545"/>
      <c r="AG1445" s="545"/>
    </row>
    <row r="1446" spans="6:33" ht="24" customHeight="1">
      <c r="F1446" s="922"/>
      <c r="G1446" s="923"/>
      <c r="H1446" s="922"/>
      <c r="I1446" s="876"/>
      <c r="J1446" s="876"/>
      <c r="K1446" s="545"/>
      <c r="L1446" s="876"/>
      <c r="M1446" s="882"/>
      <c r="P1446" s="902"/>
      <c r="Q1446" s="876"/>
      <c r="S1446" s="878"/>
      <c r="T1446" s="545"/>
      <c r="U1446" s="904"/>
      <c r="AA1446" s="922"/>
      <c r="AB1446" s="901"/>
      <c r="AC1446" s="876"/>
      <c r="AD1446" s="545"/>
      <c r="AE1446" s="901"/>
      <c r="AF1446" s="545"/>
      <c r="AG1446" s="545"/>
    </row>
    <row r="1447" spans="6:33" ht="24" customHeight="1">
      <c r="F1447" s="545"/>
      <c r="G1447" s="889"/>
      <c r="H1447" s="545"/>
      <c r="I1447" s="876"/>
      <c r="J1447" s="876"/>
      <c r="K1447" s="545"/>
      <c r="L1447" s="876"/>
      <c r="M1447" s="882"/>
      <c r="T1447" s="892"/>
      <c r="U1447" s="904"/>
      <c r="W1447" s="885"/>
      <c r="AA1447" s="922"/>
      <c r="AB1447" s="901"/>
      <c r="AC1447" s="876"/>
      <c r="AD1447" s="545"/>
      <c r="AE1447" s="901"/>
      <c r="AF1447" s="545"/>
      <c r="AG1447" s="545"/>
    </row>
    <row r="1448" spans="6:33" ht="24" customHeight="1">
      <c r="F1448" s="545"/>
      <c r="G1448" s="889"/>
      <c r="H1448" s="545"/>
      <c r="I1448" s="876"/>
      <c r="J1448" s="876"/>
      <c r="K1448" s="545"/>
      <c r="L1448" s="876"/>
      <c r="M1448" s="882"/>
      <c r="U1448" s="904"/>
      <c r="V1448" s="901"/>
      <c r="W1448" s="876"/>
      <c r="X1448" s="545"/>
      <c r="Y1448" s="901"/>
      <c r="Z1448" s="545"/>
      <c r="AA1448" s="922"/>
      <c r="AB1448" s="901"/>
      <c r="AC1448" s="876"/>
      <c r="AD1448" s="545"/>
      <c r="AE1448" s="901"/>
      <c r="AF1448" s="545"/>
      <c r="AG1448" s="545"/>
    </row>
    <row r="1449" spans="6:33" ht="24" customHeight="1">
      <c r="I1449" s="876"/>
      <c r="J1449" s="876"/>
      <c r="L1449" s="876"/>
      <c r="U1449" s="904"/>
      <c r="V1449" s="901"/>
      <c r="W1449" s="876"/>
      <c r="X1449" s="545"/>
      <c r="Y1449" s="901"/>
      <c r="Z1449" s="545"/>
      <c r="AA1449" s="922"/>
      <c r="AB1449" s="901"/>
      <c r="AC1449" s="876"/>
      <c r="AD1449" s="545"/>
      <c r="AE1449" s="901"/>
      <c r="AF1449" s="545"/>
      <c r="AG1449" s="545"/>
    </row>
    <row r="1450" spans="6:33" ht="24" customHeight="1">
      <c r="M1450" s="882"/>
      <c r="P1450" s="902"/>
      <c r="Q1450" s="962"/>
      <c r="S1450" s="874"/>
      <c r="U1450" s="904"/>
      <c r="V1450" s="901"/>
      <c r="W1450" s="876"/>
      <c r="X1450" s="545"/>
      <c r="Y1450" s="901"/>
      <c r="Z1450" s="545"/>
      <c r="AA1450" s="922"/>
      <c r="AB1450" s="901"/>
      <c r="AC1450" s="876"/>
      <c r="AD1450" s="545"/>
      <c r="AE1450" s="901"/>
      <c r="AF1450" s="545"/>
      <c r="AG1450" s="545"/>
    </row>
    <row r="1451" spans="6:33" ht="24" customHeight="1">
      <c r="J1451" s="880"/>
      <c r="M1451" s="882"/>
      <c r="O1451" s="922"/>
      <c r="P1451" s="901"/>
      <c r="Q1451" s="876"/>
      <c r="R1451" s="545"/>
      <c r="S1451" s="901"/>
      <c r="T1451" s="545"/>
      <c r="U1451" s="904"/>
      <c r="V1451" s="901"/>
      <c r="W1451" s="876"/>
      <c r="X1451" s="545"/>
      <c r="Y1451" s="901"/>
      <c r="Z1451" s="545"/>
      <c r="AA1451" s="922"/>
      <c r="AB1451" s="901"/>
      <c r="AC1451" s="876"/>
      <c r="AD1451" s="545"/>
      <c r="AE1451" s="901"/>
      <c r="AF1451" s="545"/>
      <c r="AG1451" s="545"/>
    </row>
    <row r="1452" spans="6:33" ht="24" customHeight="1">
      <c r="M1452" s="882"/>
      <c r="O1452" s="922"/>
      <c r="P1452" s="901"/>
      <c r="Q1452" s="876"/>
      <c r="R1452" s="545"/>
      <c r="S1452" s="901"/>
      <c r="T1452" s="545"/>
      <c r="U1452" s="904"/>
      <c r="V1452" s="901"/>
      <c r="W1452" s="876"/>
      <c r="X1452" s="545"/>
      <c r="Y1452" s="901"/>
      <c r="Z1452" s="545"/>
      <c r="AA1452" s="922"/>
      <c r="AB1452" s="901"/>
      <c r="AC1452" s="876"/>
      <c r="AD1452" s="545"/>
      <c r="AE1452" s="901"/>
      <c r="AF1452" s="545"/>
      <c r="AG1452" s="545"/>
    </row>
    <row r="1453" spans="6:33" ht="24" customHeight="1">
      <c r="J1453" s="872"/>
      <c r="K1453" s="885"/>
      <c r="L1453" s="895"/>
      <c r="M1453" s="883"/>
      <c r="O1453" s="922"/>
      <c r="P1453" s="901"/>
      <c r="Q1453" s="876"/>
      <c r="R1453" s="545"/>
      <c r="S1453" s="901"/>
      <c r="T1453" s="545"/>
      <c r="U1453" s="904"/>
      <c r="V1453" s="901"/>
      <c r="W1453" s="876"/>
      <c r="X1453" s="545"/>
      <c r="Y1453" s="901"/>
      <c r="Z1453" s="545"/>
      <c r="AA1453" s="922"/>
      <c r="AB1453" s="902"/>
      <c r="AC1453" s="876"/>
      <c r="AE1453" s="878"/>
      <c r="AF1453" s="545"/>
      <c r="AG1453" s="545"/>
    </row>
    <row r="1454" spans="6:33" ht="24" customHeight="1">
      <c r="F1454" s="876"/>
      <c r="G1454" s="916"/>
      <c r="H1454" s="876"/>
      <c r="O1454" s="922"/>
      <c r="P1454" s="901"/>
      <c r="Q1454" s="876"/>
      <c r="R1454" s="545"/>
      <c r="S1454" s="901"/>
      <c r="T1454" s="545"/>
      <c r="U1454" s="904"/>
      <c r="V1454" s="901"/>
      <c r="W1454" s="876"/>
      <c r="X1454" s="545"/>
      <c r="Y1454" s="901"/>
      <c r="Z1454" s="545"/>
      <c r="AA1454" s="922"/>
      <c r="AC1454" s="883"/>
      <c r="AF1454" s="892"/>
      <c r="AG1454" s="545"/>
    </row>
    <row r="1455" spans="6:33" ht="24" customHeight="1">
      <c r="M1455" s="882"/>
      <c r="O1455" s="922"/>
      <c r="P1455" s="901"/>
      <c r="Q1455" s="876"/>
      <c r="R1455" s="545"/>
      <c r="S1455" s="901"/>
      <c r="T1455" s="545"/>
      <c r="V1455" s="901"/>
      <c r="W1455" s="876"/>
      <c r="X1455" s="545"/>
      <c r="Y1455" s="901"/>
      <c r="Z1455" s="545"/>
      <c r="AA1455" s="922"/>
      <c r="AG1455" s="545"/>
    </row>
    <row r="1456" spans="6:33" ht="24" customHeight="1">
      <c r="I1456" s="876"/>
      <c r="J1456" s="876"/>
      <c r="O1456" s="922"/>
      <c r="P1456" s="901"/>
      <c r="Q1456" s="876"/>
      <c r="R1456" s="545"/>
      <c r="S1456" s="901"/>
      <c r="T1456" s="545"/>
      <c r="V1456" s="901"/>
      <c r="W1456" s="876"/>
      <c r="X1456" s="545"/>
      <c r="Y1456" s="901"/>
      <c r="Z1456" s="545"/>
      <c r="AA1456" s="922"/>
      <c r="AG1456" s="545"/>
    </row>
    <row r="1457" spans="6:33" ht="24" customHeight="1">
      <c r="I1457" s="876"/>
      <c r="J1457" s="881"/>
      <c r="O1457" s="922"/>
      <c r="P1457" s="901"/>
      <c r="Q1457" s="876"/>
      <c r="R1457" s="545"/>
      <c r="S1457" s="901"/>
      <c r="T1457" s="545"/>
      <c r="V1457" s="901"/>
      <c r="W1457" s="876"/>
      <c r="X1457" s="545"/>
      <c r="Y1457" s="901"/>
      <c r="Z1457" s="545"/>
      <c r="AA1457" s="922"/>
      <c r="AG1457" s="545"/>
    </row>
    <row r="1458" spans="6:33" ht="24" customHeight="1">
      <c r="F1458" s="922"/>
      <c r="G1458" s="923"/>
      <c r="H1458" s="922"/>
      <c r="I1458" s="876"/>
      <c r="J1458" s="876"/>
      <c r="K1458" s="545"/>
      <c r="L1458" s="876"/>
      <c r="M1458" s="882"/>
      <c r="O1458" s="922"/>
      <c r="P1458" s="901"/>
      <c r="Q1458" s="876"/>
      <c r="R1458" s="545"/>
      <c r="S1458" s="901"/>
      <c r="T1458" s="545"/>
      <c r="V1458" s="901"/>
      <c r="W1458" s="876"/>
      <c r="X1458" s="545"/>
      <c r="Y1458" s="901"/>
      <c r="Z1458" s="545"/>
      <c r="AG1458" s="545"/>
    </row>
    <row r="1459" spans="6:33" ht="24" customHeight="1">
      <c r="F1459" s="545"/>
      <c r="G1459" s="889"/>
      <c r="H1459" s="545"/>
      <c r="I1459" s="876"/>
      <c r="J1459" s="876"/>
      <c r="K1459" s="545"/>
      <c r="L1459" s="876"/>
      <c r="M1459" s="882"/>
      <c r="O1459" s="922"/>
      <c r="P1459" s="901"/>
      <c r="Q1459" s="876"/>
      <c r="R1459" s="545"/>
      <c r="S1459" s="901"/>
      <c r="T1459" s="545"/>
      <c r="V1459" s="901"/>
      <c r="W1459" s="876"/>
      <c r="X1459" s="545"/>
      <c r="Y1459" s="901"/>
      <c r="Z1459" s="545"/>
      <c r="AG1459" s="545"/>
    </row>
    <row r="1460" spans="6:33" ht="24" customHeight="1">
      <c r="F1460" s="545"/>
      <c r="G1460" s="889"/>
      <c r="H1460" s="545"/>
      <c r="I1460" s="876"/>
      <c r="J1460" s="876"/>
      <c r="K1460" s="545"/>
      <c r="L1460" s="876"/>
      <c r="M1460" s="882"/>
      <c r="O1460" s="922"/>
      <c r="P1460" s="901"/>
      <c r="Q1460" s="876"/>
      <c r="R1460" s="545"/>
      <c r="S1460" s="901"/>
      <c r="T1460" s="545"/>
      <c r="U1460" s="904"/>
      <c r="V1460" s="902"/>
      <c r="W1460" s="876"/>
      <c r="Y1460" s="878"/>
      <c r="Z1460" s="545"/>
      <c r="AG1460" s="545"/>
    </row>
    <row r="1461" spans="6:33" ht="24" customHeight="1">
      <c r="J1461" s="876"/>
      <c r="O1461" s="922"/>
      <c r="P1461" s="901"/>
      <c r="Q1461" s="876"/>
      <c r="R1461" s="545"/>
      <c r="S1461" s="901"/>
      <c r="T1461" s="545"/>
      <c r="U1461" s="904"/>
      <c r="W1461" s="883"/>
      <c r="Z1461" s="892"/>
      <c r="AG1461" s="545"/>
    </row>
    <row r="1462" spans="6:33" ht="24" customHeight="1">
      <c r="M1462" s="882"/>
      <c r="O1462" s="922"/>
      <c r="P1462" s="901"/>
      <c r="Q1462" s="876"/>
      <c r="R1462" s="545"/>
      <c r="S1462" s="901"/>
      <c r="T1462" s="545"/>
      <c r="U1462" s="904"/>
      <c r="AA1462" s="877"/>
      <c r="AG1462" s="545"/>
    </row>
    <row r="1463" spans="6:33" ht="24" customHeight="1">
      <c r="J1463" s="880"/>
      <c r="M1463" s="882"/>
      <c r="P1463" s="902"/>
      <c r="Q1463" s="876"/>
      <c r="S1463" s="878"/>
      <c r="T1463" s="545"/>
      <c r="U1463" s="904"/>
      <c r="AA1463" s="904"/>
      <c r="AG1463" s="545"/>
    </row>
    <row r="1464" spans="6:33" ht="24" customHeight="1">
      <c r="M1464" s="882"/>
      <c r="T1464" s="892"/>
      <c r="U1464" s="904"/>
      <c r="V1464" s="902"/>
      <c r="W1464" s="962"/>
      <c r="X1464" s="961"/>
      <c r="Y1464" s="961"/>
      <c r="Z1464" s="961"/>
      <c r="AA1464" s="904"/>
      <c r="AG1464" s="545"/>
    </row>
    <row r="1465" spans="6:33" ht="24" customHeight="1">
      <c r="J1465" s="872"/>
      <c r="K1465" s="885"/>
      <c r="L1465" s="895"/>
      <c r="M1465" s="883"/>
      <c r="V1465" s="901"/>
      <c r="W1465" s="876"/>
      <c r="X1465" s="545"/>
      <c r="Y1465" s="901"/>
      <c r="Z1465" s="545"/>
      <c r="AA1465" s="904"/>
      <c r="AG1465" s="545"/>
    </row>
    <row r="1466" spans="6:33" ht="24" customHeight="1">
      <c r="M1466" s="882"/>
      <c r="V1466" s="901"/>
      <c r="W1466" s="876"/>
      <c r="X1466" s="545"/>
      <c r="Y1466" s="901"/>
      <c r="Z1466" s="545"/>
      <c r="AA1466" s="904"/>
      <c r="AG1466" s="545"/>
    </row>
    <row r="1467" spans="6:33" ht="24" customHeight="1">
      <c r="M1467" s="882"/>
      <c r="P1467" s="902"/>
      <c r="Q1467" s="962"/>
      <c r="R1467" s="1624"/>
      <c r="S1467" s="1624"/>
      <c r="T1467" s="1624"/>
      <c r="V1467" s="901"/>
      <c r="W1467" s="876"/>
      <c r="X1467" s="545"/>
      <c r="Y1467" s="901"/>
      <c r="Z1467" s="545"/>
      <c r="AA1467" s="904"/>
      <c r="AG1467" s="545"/>
    </row>
    <row r="1468" spans="6:33" ht="24" customHeight="1">
      <c r="M1468" s="882"/>
      <c r="O1468" s="922"/>
      <c r="P1468" s="901"/>
      <c r="Q1468" s="876"/>
      <c r="R1468" s="545"/>
      <c r="S1468" s="901"/>
      <c r="T1468" s="545"/>
      <c r="V1468" s="901"/>
      <c r="W1468" s="876"/>
      <c r="X1468" s="545"/>
      <c r="Y1468" s="901"/>
      <c r="Z1468" s="545"/>
      <c r="AG1468" s="545"/>
    </row>
    <row r="1469" spans="6:33" ht="24" customHeight="1">
      <c r="I1469" s="876"/>
      <c r="J1469" s="876"/>
      <c r="M1469" s="882"/>
      <c r="O1469" s="922"/>
      <c r="P1469" s="901"/>
      <c r="Q1469" s="876"/>
      <c r="R1469" s="545"/>
      <c r="S1469" s="901"/>
      <c r="T1469" s="545"/>
      <c r="V1469" s="901"/>
      <c r="W1469" s="883"/>
      <c r="X1469" s="545"/>
      <c r="Y1469" s="901"/>
      <c r="Z1469" s="892"/>
      <c r="AG1469" s="545"/>
    </row>
    <row r="1470" spans="6:33" ht="24" customHeight="1">
      <c r="I1470" s="876"/>
      <c r="J1470" s="881"/>
      <c r="M1470" s="882"/>
      <c r="O1470" s="922"/>
      <c r="P1470" s="901"/>
      <c r="Q1470" s="876"/>
      <c r="R1470" s="545"/>
      <c r="S1470" s="901"/>
      <c r="T1470" s="545"/>
      <c r="AG1470" s="545"/>
    </row>
    <row r="1471" spans="6:33" ht="24" customHeight="1">
      <c r="F1471" s="922"/>
      <c r="G1471" s="923"/>
      <c r="H1471" s="922"/>
      <c r="I1471" s="876"/>
      <c r="J1471" s="876"/>
      <c r="L1471" s="876"/>
      <c r="M1471" s="882"/>
      <c r="O1471" s="922"/>
      <c r="P1471" s="901"/>
      <c r="Q1471" s="876"/>
      <c r="R1471" s="545"/>
      <c r="S1471" s="901"/>
      <c r="T1471" s="545"/>
      <c r="V1471" s="902"/>
      <c r="W1471" s="962"/>
      <c r="X1471" s="961"/>
      <c r="Y1471" s="874"/>
      <c r="AG1471" s="545"/>
    </row>
    <row r="1472" spans="6:33" ht="24" customHeight="1">
      <c r="F1472" s="545"/>
      <c r="G1472" s="889"/>
      <c r="H1472" s="545"/>
      <c r="I1472" s="876"/>
      <c r="J1472" s="876"/>
      <c r="L1472" s="876"/>
      <c r="M1472" s="882"/>
      <c r="O1472" s="922"/>
      <c r="P1472" s="901"/>
      <c r="Q1472" s="883"/>
      <c r="R1472" s="545"/>
      <c r="S1472" s="901"/>
      <c r="T1472" s="892"/>
      <c r="V1472" s="901"/>
      <c r="W1472" s="876"/>
      <c r="X1472" s="545"/>
      <c r="Y1472" s="901"/>
      <c r="Z1472" s="545"/>
      <c r="AG1472" s="545"/>
    </row>
    <row r="1473" spans="6:33" ht="24" customHeight="1">
      <c r="F1473" s="545"/>
      <c r="G1473" s="889"/>
      <c r="H1473" s="545"/>
      <c r="I1473" s="876"/>
      <c r="J1473" s="876"/>
      <c r="L1473" s="876"/>
      <c r="M1473" s="882"/>
      <c r="O1473" s="922"/>
      <c r="P1473" s="901"/>
      <c r="Q1473" s="876"/>
      <c r="R1473" s="545"/>
      <c r="S1473" s="901"/>
      <c r="T1473" s="545"/>
      <c r="V1473" s="901"/>
      <c r="W1473" s="876"/>
      <c r="X1473" s="545"/>
      <c r="Y1473" s="901"/>
      <c r="Z1473" s="545"/>
      <c r="AG1473" s="545"/>
    </row>
    <row r="1474" spans="6:33" ht="24" customHeight="1">
      <c r="J1474" s="876"/>
      <c r="P1474" s="902"/>
      <c r="Q1474" s="962"/>
      <c r="R1474" s="961"/>
      <c r="S1474" s="874"/>
      <c r="V1474" s="901"/>
      <c r="W1474" s="876"/>
      <c r="X1474" s="545"/>
      <c r="Y1474" s="901"/>
      <c r="Z1474" s="545"/>
      <c r="AG1474" s="545"/>
    </row>
    <row r="1475" spans="6:33" ht="24" customHeight="1">
      <c r="M1475" s="882"/>
      <c r="O1475" s="922"/>
      <c r="P1475" s="901"/>
      <c r="Q1475" s="876"/>
      <c r="R1475" s="545"/>
      <c r="S1475" s="901"/>
      <c r="T1475" s="545"/>
      <c r="V1475" s="901"/>
      <c r="W1475" s="876"/>
      <c r="X1475" s="545"/>
      <c r="Y1475" s="901"/>
      <c r="Z1475" s="545"/>
      <c r="AG1475" s="545"/>
    </row>
    <row r="1476" spans="6:33" ht="24" customHeight="1">
      <c r="J1476" s="880"/>
      <c r="M1476" s="882"/>
      <c r="O1476" s="922"/>
      <c r="P1476" s="901"/>
      <c r="Q1476" s="876"/>
      <c r="R1476" s="545"/>
      <c r="S1476" s="901"/>
      <c r="T1476" s="545"/>
      <c r="V1476" s="901"/>
      <c r="W1476" s="883"/>
      <c r="X1476" s="545"/>
      <c r="Y1476" s="901"/>
      <c r="Z1476" s="892"/>
      <c r="AA1476" s="877"/>
      <c r="AG1476" s="545"/>
    </row>
    <row r="1477" spans="6:33" ht="24" customHeight="1">
      <c r="M1477" s="882"/>
      <c r="O1477" s="922"/>
      <c r="P1477" s="901"/>
      <c r="Q1477" s="876"/>
      <c r="R1477" s="545"/>
      <c r="S1477" s="901"/>
      <c r="T1477" s="545"/>
      <c r="AA1477" s="904"/>
      <c r="AG1477" s="545"/>
    </row>
    <row r="1478" spans="6:33" ht="24" customHeight="1">
      <c r="J1478" s="872"/>
      <c r="K1478" s="885"/>
      <c r="L1478" s="895"/>
      <c r="M1478" s="883"/>
      <c r="O1478" s="922"/>
      <c r="P1478" s="901"/>
      <c r="Q1478" s="876"/>
      <c r="R1478" s="545"/>
      <c r="S1478" s="901"/>
      <c r="T1478" s="545"/>
      <c r="V1478" s="902"/>
      <c r="W1478" s="962"/>
      <c r="Y1478" s="874"/>
      <c r="AA1478" s="904"/>
      <c r="AG1478" s="545"/>
    </row>
    <row r="1479" spans="6:33" ht="24" customHeight="1">
      <c r="M1479" s="882"/>
      <c r="O1479" s="922"/>
      <c r="P1479" s="901"/>
      <c r="Q1479" s="883"/>
      <c r="R1479" s="545"/>
      <c r="S1479" s="901"/>
      <c r="T1479" s="892"/>
      <c r="V1479" s="901"/>
      <c r="W1479" s="876"/>
      <c r="X1479" s="545"/>
      <c r="Y1479" s="901"/>
      <c r="Z1479" s="545"/>
      <c r="AA1479" s="904"/>
      <c r="AG1479" s="545"/>
    </row>
    <row r="1480" spans="6:33" ht="24" customHeight="1">
      <c r="M1480" s="882"/>
      <c r="P1480" s="902"/>
      <c r="Q1480" s="876"/>
      <c r="S1480" s="878"/>
      <c r="T1480" s="545"/>
      <c r="V1480" s="901"/>
      <c r="W1480" s="876"/>
      <c r="X1480" s="545"/>
      <c r="Y1480" s="901"/>
      <c r="Z1480" s="545"/>
      <c r="AA1480" s="904"/>
      <c r="AG1480" s="545"/>
    </row>
    <row r="1481" spans="6:33" ht="24" customHeight="1">
      <c r="F1481" s="920"/>
      <c r="G1481" s="921"/>
      <c r="H1481" s="920"/>
      <c r="I1481" s="876"/>
      <c r="J1481" s="876"/>
      <c r="P1481" s="902"/>
      <c r="Q1481" s="962"/>
      <c r="S1481" s="874"/>
      <c r="V1481" s="901"/>
      <c r="W1481" s="876"/>
      <c r="X1481" s="545"/>
      <c r="Y1481" s="901"/>
      <c r="Z1481" s="545"/>
      <c r="AA1481" s="904"/>
      <c r="AG1481" s="545"/>
    </row>
    <row r="1482" spans="6:33" ht="24" customHeight="1">
      <c r="J1482" s="881"/>
      <c r="O1482" s="922"/>
      <c r="P1482" s="901"/>
      <c r="Q1482" s="876"/>
      <c r="R1482" s="545"/>
      <c r="S1482" s="901"/>
      <c r="T1482" s="545"/>
      <c r="V1482" s="901"/>
      <c r="W1482" s="876"/>
      <c r="X1482" s="545"/>
      <c r="Y1482" s="901"/>
      <c r="Z1482" s="545"/>
      <c r="AA1482" s="904"/>
      <c r="AG1482" s="545"/>
    </row>
    <row r="1483" spans="6:33" ht="24" customHeight="1">
      <c r="F1483" s="545"/>
      <c r="G1483" s="889"/>
      <c r="H1483" s="545"/>
      <c r="I1483" s="876"/>
      <c r="J1483" s="876"/>
      <c r="K1483" s="545"/>
      <c r="L1483" s="876"/>
      <c r="M1483" s="882"/>
      <c r="O1483" s="922"/>
      <c r="P1483" s="901"/>
      <c r="Q1483" s="876"/>
      <c r="R1483" s="545"/>
      <c r="S1483" s="901"/>
      <c r="T1483" s="545"/>
      <c r="V1483" s="901"/>
      <c r="W1483" s="876"/>
      <c r="X1483" s="545"/>
      <c r="Y1483" s="901"/>
      <c r="Z1483" s="545"/>
      <c r="AA1483" s="904"/>
      <c r="AG1483" s="545"/>
    </row>
    <row r="1484" spans="6:33" ht="24" customHeight="1">
      <c r="F1484" s="545"/>
      <c r="G1484" s="889"/>
      <c r="H1484" s="545"/>
      <c r="I1484" s="876"/>
      <c r="J1484" s="876"/>
      <c r="K1484" s="545"/>
      <c r="L1484" s="876"/>
      <c r="M1484" s="882"/>
      <c r="O1484" s="922"/>
      <c r="P1484" s="901"/>
      <c r="Q1484" s="876"/>
      <c r="R1484" s="545"/>
      <c r="S1484" s="901"/>
      <c r="T1484" s="545"/>
      <c r="V1484" s="901"/>
      <c r="W1484" s="876"/>
      <c r="X1484" s="545"/>
      <c r="Y1484" s="901"/>
      <c r="Z1484" s="545"/>
      <c r="AA1484" s="904"/>
      <c r="AG1484" s="545"/>
    </row>
    <row r="1485" spans="6:33" ht="24" customHeight="1">
      <c r="F1485" s="545"/>
      <c r="G1485" s="889"/>
      <c r="H1485" s="545"/>
      <c r="I1485" s="876"/>
      <c r="J1485" s="876"/>
      <c r="K1485" s="545"/>
      <c r="L1485" s="876"/>
      <c r="M1485" s="882"/>
      <c r="O1485" s="922"/>
      <c r="P1485" s="901"/>
      <c r="Q1485" s="876"/>
      <c r="R1485" s="545"/>
      <c r="S1485" s="901"/>
      <c r="T1485" s="545"/>
      <c r="V1485" s="901"/>
      <c r="W1485" s="876"/>
      <c r="X1485" s="545"/>
      <c r="Y1485" s="901"/>
      <c r="Z1485" s="545"/>
      <c r="AA1485" s="904"/>
      <c r="AG1485" s="545"/>
    </row>
    <row r="1486" spans="6:33" ht="24" customHeight="1">
      <c r="F1486" s="545"/>
      <c r="G1486" s="889"/>
      <c r="H1486" s="545"/>
      <c r="I1486" s="876"/>
      <c r="J1486" s="876"/>
      <c r="K1486" s="545"/>
      <c r="L1486" s="876"/>
      <c r="M1486" s="882"/>
      <c r="O1486" s="922"/>
      <c r="P1486" s="901"/>
      <c r="Q1486" s="876"/>
      <c r="R1486" s="545"/>
      <c r="S1486" s="901"/>
      <c r="T1486" s="545"/>
      <c r="V1486" s="901"/>
      <c r="W1486" s="876"/>
      <c r="X1486" s="545"/>
      <c r="Y1486" s="901"/>
      <c r="Z1486" s="545"/>
      <c r="AA1486" s="904"/>
      <c r="AG1486" s="545"/>
    </row>
    <row r="1487" spans="6:33" ht="24" customHeight="1">
      <c r="I1487" s="876"/>
      <c r="J1487" s="876"/>
      <c r="K1487" s="876"/>
      <c r="L1487" s="876"/>
      <c r="M1487" s="882"/>
      <c r="O1487" s="922"/>
      <c r="P1487" s="901"/>
      <c r="Q1487" s="876"/>
      <c r="R1487" s="545"/>
      <c r="S1487" s="901"/>
      <c r="T1487" s="545"/>
      <c r="V1487" s="901"/>
      <c r="W1487" s="876"/>
      <c r="X1487" s="545"/>
      <c r="Y1487" s="901"/>
      <c r="Z1487" s="545"/>
      <c r="AA1487" s="904"/>
      <c r="AG1487" s="545"/>
    </row>
    <row r="1488" spans="6:33" ht="24" customHeight="1">
      <c r="M1488" s="882"/>
      <c r="O1488" s="922"/>
      <c r="P1488" s="901"/>
      <c r="Q1488" s="876"/>
      <c r="R1488" s="545"/>
      <c r="S1488" s="901"/>
      <c r="T1488" s="545"/>
      <c r="V1488" s="901"/>
      <c r="W1488" s="876"/>
      <c r="X1488" s="545"/>
      <c r="Y1488" s="901"/>
      <c r="Z1488" s="545"/>
      <c r="AA1488" s="904"/>
      <c r="AG1488" s="545"/>
    </row>
    <row r="1489" spans="6:33" ht="24" customHeight="1">
      <c r="J1489" s="876"/>
      <c r="M1489" s="882"/>
      <c r="O1489" s="922"/>
      <c r="P1489" s="901"/>
      <c r="Q1489" s="876"/>
      <c r="R1489" s="545"/>
      <c r="S1489" s="901"/>
      <c r="T1489" s="545"/>
      <c r="V1489" s="901"/>
      <c r="W1489" s="876"/>
      <c r="X1489" s="545"/>
      <c r="Y1489" s="901"/>
      <c r="Z1489" s="545"/>
      <c r="AA1489" s="877"/>
      <c r="AG1489" s="545"/>
    </row>
    <row r="1490" spans="6:33" ht="24" customHeight="1">
      <c r="M1490" s="882"/>
      <c r="O1490" s="922"/>
      <c r="P1490" s="901"/>
      <c r="Q1490" s="876"/>
      <c r="R1490" s="545"/>
      <c r="S1490" s="901"/>
      <c r="T1490" s="545"/>
      <c r="V1490" s="901"/>
      <c r="W1490" s="876"/>
      <c r="X1490" s="545"/>
      <c r="Y1490" s="901"/>
      <c r="Z1490" s="545"/>
      <c r="AA1490" s="877"/>
      <c r="AG1490" s="545"/>
    </row>
    <row r="1491" spans="6:33" ht="24" customHeight="1">
      <c r="J1491" s="872"/>
      <c r="K1491" s="885"/>
      <c r="L1491" s="895"/>
      <c r="M1491" s="883"/>
      <c r="O1491" s="922"/>
      <c r="P1491" s="901"/>
      <c r="Q1491" s="876"/>
      <c r="R1491" s="545"/>
      <c r="S1491" s="901"/>
      <c r="T1491" s="545"/>
      <c r="V1491" s="902"/>
      <c r="W1491" s="876"/>
      <c r="Y1491" s="878"/>
      <c r="Z1491" s="545"/>
      <c r="AG1491" s="545"/>
    </row>
    <row r="1492" spans="6:33" ht="24" customHeight="1">
      <c r="M1492" s="882"/>
      <c r="O1492" s="922"/>
      <c r="P1492" s="901"/>
      <c r="Q1492" s="876"/>
      <c r="R1492" s="545"/>
      <c r="S1492" s="901"/>
      <c r="T1492" s="545"/>
      <c r="W1492" s="883"/>
      <c r="Z1492" s="892"/>
      <c r="AG1492" s="545"/>
    </row>
    <row r="1493" spans="6:33" ht="24" customHeight="1">
      <c r="F1493" s="880"/>
      <c r="G1493" s="918"/>
      <c r="H1493" s="880"/>
      <c r="I1493" s="876"/>
      <c r="J1493" s="876"/>
      <c r="O1493" s="922"/>
      <c r="P1493" s="901"/>
      <c r="Q1493" s="876"/>
      <c r="R1493" s="545"/>
      <c r="S1493" s="901"/>
      <c r="T1493" s="545"/>
      <c r="AG1493" s="545"/>
    </row>
    <row r="1494" spans="6:33" ht="24" customHeight="1">
      <c r="J1494" s="876"/>
      <c r="P1494" s="902"/>
      <c r="Q1494" s="876"/>
      <c r="S1494" s="878"/>
      <c r="T1494" s="545"/>
      <c r="AG1494" s="545"/>
    </row>
    <row r="1495" spans="6:33" ht="24" customHeight="1">
      <c r="J1495" s="876"/>
      <c r="T1495" s="892"/>
      <c r="V1495" s="902"/>
      <c r="W1495" s="962"/>
      <c r="X1495" s="961"/>
      <c r="Y1495" s="874"/>
      <c r="AG1495" s="545"/>
    </row>
    <row r="1496" spans="6:33" ht="24" customHeight="1">
      <c r="J1496" s="876"/>
      <c r="V1496" s="901"/>
      <c r="W1496" s="876"/>
      <c r="X1496" s="545"/>
      <c r="Y1496" s="901"/>
      <c r="Z1496" s="545"/>
      <c r="AG1496" s="545"/>
    </row>
    <row r="1497" spans="6:33" ht="24" customHeight="1">
      <c r="J1497" s="881"/>
      <c r="V1497" s="901"/>
      <c r="W1497" s="876"/>
      <c r="X1497" s="545"/>
      <c r="Y1497" s="901"/>
      <c r="Z1497" s="545"/>
      <c r="AG1497" s="545"/>
    </row>
    <row r="1498" spans="6:33" ht="24" customHeight="1">
      <c r="F1498" s="545"/>
      <c r="G1498" s="889"/>
      <c r="H1498" s="545"/>
      <c r="I1498" s="876"/>
      <c r="J1498" s="876"/>
      <c r="K1498" s="545"/>
      <c r="L1498" s="876"/>
      <c r="M1498" s="882"/>
      <c r="V1498" s="901"/>
      <c r="W1498" s="876"/>
      <c r="X1498" s="545"/>
      <c r="Y1498" s="901"/>
      <c r="Z1498" s="545"/>
      <c r="AG1498" s="545"/>
    </row>
    <row r="1499" spans="6:33" ht="24" customHeight="1">
      <c r="F1499" s="545"/>
      <c r="G1499" s="889"/>
      <c r="H1499" s="545"/>
      <c r="I1499" s="876"/>
      <c r="J1499" s="876"/>
      <c r="K1499" s="545"/>
      <c r="L1499" s="876"/>
      <c r="M1499" s="882"/>
      <c r="V1499" s="901"/>
      <c r="W1499" s="876"/>
      <c r="X1499" s="545"/>
      <c r="Y1499" s="901"/>
      <c r="Z1499" s="545"/>
      <c r="AG1499" s="545"/>
    </row>
    <row r="1500" spans="6:33" ht="24" customHeight="1">
      <c r="F1500" s="545"/>
      <c r="G1500" s="889"/>
      <c r="H1500" s="545"/>
      <c r="I1500" s="876"/>
      <c r="J1500" s="876"/>
      <c r="K1500" s="545"/>
      <c r="L1500" s="876"/>
      <c r="M1500" s="882"/>
      <c r="V1500" s="901"/>
      <c r="W1500" s="883"/>
      <c r="X1500" s="545"/>
      <c r="Y1500" s="901"/>
      <c r="Z1500" s="892"/>
      <c r="AG1500" s="545"/>
    </row>
    <row r="1501" spans="6:33" ht="24" customHeight="1">
      <c r="F1501" s="545"/>
      <c r="G1501" s="889"/>
      <c r="H1501" s="545"/>
      <c r="I1501" s="876"/>
      <c r="J1501" s="876"/>
      <c r="K1501" s="545"/>
      <c r="L1501" s="876"/>
      <c r="M1501" s="882"/>
      <c r="AG1501" s="545"/>
    </row>
    <row r="1502" spans="6:33" ht="24" customHeight="1">
      <c r="I1502" s="876"/>
      <c r="J1502" s="876"/>
      <c r="K1502" s="876"/>
      <c r="L1502" s="876"/>
      <c r="M1502" s="882"/>
      <c r="AG1502" s="545"/>
    </row>
    <row r="1503" spans="6:33" ht="24" customHeight="1">
      <c r="M1503" s="882"/>
      <c r="AG1503" s="545"/>
    </row>
    <row r="1504" spans="6:33" ht="24" customHeight="1">
      <c r="J1504" s="876"/>
      <c r="M1504" s="882"/>
      <c r="AG1504" s="545"/>
    </row>
    <row r="1505" spans="6:33" ht="24" customHeight="1">
      <c r="M1505" s="882"/>
      <c r="AG1505" s="545"/>
    </row>
    <row r="1506" spans="6:33" ht="24" customHeight="1">
      <c r="J1506" s="872"/>
      <c r="K1506" s="885"/>
      <c r="L1506" s="895"/>
      <c r="M1506" s="883"/>
      <c r="AG1506" s="545"/>
    </row>
    <row r="1507" spans="6:33" ht="24" customHeight="1">
      <c r="M1507" s="882"/>
      <c r="AG1507" s="545"/>
    </row>
    <row r="1508" spans="6:33" ht="24" customHeight="1">
      <c r="F1508" s="880"/>
      <c r="G1508" s="918"/>
      <c r="H1508" s="880"/>
      <c r="I1508" s="876"/>
      <c r="J1508" s="880"/>
      <c r="AG1508" s="545"/>
    </row>
    <row r="1509" spans="6:33" ht="24" customHeight="1">
      <c r="J1509" s="880"/>
      <c r="O1509" s="880"/>
      <c r="P1509" s="901"/>
      <c r="Q1509" s="876"/>
      <c r="S1509" s="874"/>
      <c r="AG1509" s="545"/>
    </row>
    <row r="1510" spans="6:33" ht="24" customHeight="1">
      <c r="F1510" s="545"/>
      <c r="G1510" s="889"/>
      <c r="H1510" s="545"/>
      <c r="I1510" s="876"/>
      <c r="J1510" s="876"/>
      <c r="K1510" s="545"/>
      <c r="L1510" s="876"/>
      <c r="M1510" s="882"/>
      <c r="P1510" s="902"/>
      <c r="Q1510" s="876"/>
      <c r="S1510" s="874"/>
      <c r="AG1510" s="545"/>
    </row>
    <row r="1511" spans="6:33" ht="24" customHeight="1">
      <c r="F1511" s="545"/>
      <c r="G1511" s="889"/>
      <c r="H1511" s="545"/>
      <c r="I1511" s="876"/>
      <c r="J1511" s="876"/>
      <c r="K1511" s="545"/>
      <c r="L1511" s="876"/>
      <c r="M1511" s="882"/>
      <c r="P1511" s="902"/>
      <c r="Q1511" s="876"/>
      <c r="S1511" s="874"/>
      <c r="AG1511" s="545"/>
    </row>
    <row r="1512" spans="6:33" ht="24" customHeight="1">
      <c r="F1512" s="545"/>
      <c r="G1512" s="889"/>
      <c r="H1512" s="545"/>
      <c r="I1512" s="876"/>
      <c r="J1512" s="876"/>
      <c r="K1512" s="545"/>
      <c r="L1512" s="876"/>
      <c r="M1512" s="882"/>
      <c r="P1512" s="902"/>
      <c r="Q1512" s="876"/>
      <c r="S1512" s="874"/>
      <c r="AG1512" s="545"/>
    </row>
    <row r="1513" spans="6:33" ht="24" customHeight="1">
      <c r="F1513" s="545"/>
      <c r="G1513" s="889"/>
      <c r="H1513" s="545"/>
      <c r="I1513" s="876"/>
      <c r="J1513" s="876"/>
      <c r="K1513" s="545"/>
      <c r="L1513" s="876"/>
      <c r="M1513" s="882"/>
      <c r="P1513" s="902"/>
      <c r="Q1513" s="881"/>
      <c r="S1513" s="874"/>
      <c r="AG1513" s="545"/>
    </row>
    <row r="1514" spans="6:33" ht="24" customHeight="1">
      <c r="I1514" s="876"/>
      <c r="J1514" s="876"/>
      <c r="L1514" s="876"/>
      <c r="M1514" s="882"/>
      <c r="O1514" s="545"/>
      <c r="P1514" s="901"/>
      <c r="Q1514" s="876"/>
      <c r="R1514" s="545"/>
      <c r="S1514" s="876"/>
      <c r="T1514" s="545"/>
      <c r="AG1514" s="545"/>
    </row>
    <row r="1515" spans="6:33" ht="24" customHeight="1">
      <c r="O1515" s="545"/>
      <c r="P1515" s="901"/>
      <c r="Q1515" s="876"/>
      <c r="R1515" s="545"/>
      <c r="S1515" s="876"/>
      <c r="T1515" s="545"/>
      <c r="AG1515" s="545"/>
    </row>
    <row r="1516" spans="6:33" ht="24" customHeight="1">
      <c r="M1516" s="882"/>
      <c r="O1516" s="545"/>
      <c r="P1516" s="901"/>
      <c r="Q1516" s="876"/>
      <c r="R1516" s="545"/>
      <c r="S1516" s="876"/>
      <c r="T1516" s="545"/>
      <c r="AG1516" s="545"/>
    </row>
    <row r="1517" spans="6:33" ht="24" customHeight="1">
      <c r="J1517" s="880"/>
      <c r="M1517" s="882"/>
      <c r="O1517" s="545"/>
      <c r="P1517" s="901"/>
      <c r="Q1517" s="876"/>
      <c r="R1517" s="545"/>
      <c r="S1517" s="876"/>
      <c r="T1517" s="545"/>
      <c r="AG1517" s="545"/>
    </row>
    <row r="1518" spans="6:33" ht="24" customHeight="1">
      <c r="M1518" s="882"/>
      <c r="P1518" s="901"/>
      <c r="Q1518" s="876"/>
      <c r="R1518" s="876"/>
      <c r="S1518" s="876"/>
      <c r="T1518" s="545"/>
      <c r="AG1518" s="545"/>
    </row>
    <row r="1519" spans="6:33" ht="24" customHeight="1">
      <c r="F1519" s="876"/>
      <c r="G1519" s="916"/>
      <c r="H1519" s="876"/>
      <c r="I1519" s="876"/>
      <c r="J1519" s="872"/>
      <c r="K1519" s="875"/>
      <c r="L1519" s="875"/>
      <c r="M1519" s="883"/>
      <c r="P1519" s="902"/>
      <c r="S1519" s="874"/>
      <c r="T1519" s="881"/>
      <c r="AG1519" s="545"/>
    </row>
    <row r="1520" spans="6:33" ht="24" customHeight="1">
      <c r="M1520" s="882"/>
      <c r="P1520" s="902"/>
      <c r="Q1520" s="876"/>
      <c r="S1520" s="874"/>
      <c r="T1520" s="545"/>
      <c r="AG1520" s="545"/>
    </row>
    <row r="1521" spans="6:33" ht="24" customHeight="1">
      <c r="F1521" s="880"/>
      <c r="G1521" s="918"/>
      <c r="H1521" s="880"/>
      <c r="I1521" s="876"/>
      <c r="J1521" s="876"/>
      <c r="P1521" s="902"/>
      <c r="S1521" s="874"/>
      <c r="T1521" s="881"/>
      <c r="AG1521" s="545"/>
    </row>
    <row r="1522" spans="6:33" ht="24" customHeight="1">
      <c r="J1522" s="876"/>
      <c r="P1522" s="902"/>
      <c r="Q1522" s="876"/>
      <c r="S1522" s="874"/>
      <c r="T1522" s="545"/>
      <c r="AG1522" s="545"/>
    </row>
    <row r="1523" spans="6:33" ht="24" customHeight="1">
      <c r="J1523" s="876"/>
      <c r="P1523" s="902"/>
      <c r="S1523" s="874"/>
      <c r="T1523" s="881"/>
      <c r="AG1523" s="545"/>
    </row>
    <row r="1524" spans="6:33" ht="24" customHeight="1">
      <c r="J1524" s="881"/>
      <c r="N1524" s="975"/>
      <c r="AG1524" s="545"/>
    </row>
    <row r="1525" spans="6:33" ht="24" customHeight="1">
      <c r="F1525" s="545"/>
      <c r="G1525" s="889"/>
      <c r="H1525" s="545"/>
      <c r="I1525" s="876"/>
      <c r="J1525" s="876"/>
      <c r="K1525" s="545"/>
      <c r="L1525" s="876"/>
      <c r="M1525" s="882"/>
      <c r="N1525" s="976"/>
      <c r="AG1525" s="545"/>
    </row>
    <row r="1526" spans="6:33" ht="24" customHeight="1">
      <c r="F1526" s="545"/>
      <c r="G1526" s="889"/>
      <c r="H1526" s="545"/>
      <c r="I1526" s="876"/>
      <c r="J1526" s="876"/>
      <c r="K1526" s="545"/>
      <c r="L1526" s="876"/>
      <c r="M1526" s="882"/>
      <c r="N1526" s="976"/>
      <c r="AG1526" s="545"/>
    </row>
    <row r="1527" spans="6:33" ht="24" customHeight="1">
      <c r="F1527" s="545"/>
      <c r="G1527" s="889"/>
      <c r="H1527" s="545"/>
      <c r="I1527" s="876"/>
      <c r="J1527" s="876"/>
      <c r="K1527" s="545"/>
      <c r="L1527" s="876"/>
      <c r="M1527" s="882"/>
      <c r="N1527" s="976"/>
      <c r="AG1527" s="545"/>
    </row>
    <row r="1528" spans="6:33" ht="24" customHeight="1">
      <c r="F1528" s="545"/>
      <c r="G1528" s="889"/>
      <c r="H1528" s="545"/>
      <c r="I1528" s="876"/>
      <c r="J1528" s="876"/>
      <c r="K1528" s="545"/>
      <c r="L1528" s="876"/>
      <c r="M1528" s="882"/>
      <c r="N1528" s="976"/>
      <c r="AG1528" s="545"/>
    </row>
    <row r="1529" spans="6:33" ht="24" customHeight="1">
      <c r="I1529" s="876"/>
      <c r="J1529" s="876"/>
      <c r="K1529" s="876"/>
      <c r="L1529" s="876"/>
      <c r="M1529" s="882"/>
      <c r="N1529" s="976"/>
      <c r="AG1529" s="545"/>
    </row>
    <row r="1530" spans="6:33" ht="24" customHeight="1">
      <c r="M1530" s="882"/>
      <c r="N1530" s="976"/>
      <c r="AG1530" s="545"/>
    </row>
    <row r="1531" spans="6:33" ht="24" customHeight="1">
      <c r="J1531" s="876"/>
      <c r="M1531" s="882"/>
      <c r="N1531" s="976"/>
      <c r="AG1531" s="545"/>
    </row>
    <row r="1532" spans="6:33" ht="24" customHeight="1">
      <c r="M1532" s="882"/>
      <c r="N1532" s="976"/>
      <c r="AG1532" s="545"/>
    </row>
    <row r="1533" spans="6:33" ht="24" customHeight="1">
      <c r="J1533" s="872"/>
      <c r="K1533" s="885"/>
      <c r="L1533" s="895"/>
      <c r="M1533" s="883"/>
      <c r="N1533" s="976"/>
      <c r="AG1533" s="545"/>
    </row>
    <row r="1534" spans="6:33" ht="24" customHeight="1">
      <c r="F1534" s="876"/>
      <c r="G1534" s="916"/>
      <c r="H1534" s="876"/>
      <c r="N1534" s="976"/>
      <c r="AG1534" s="545"/>
    </row>
    <row r="1535" spans="6:33" ht="24" customHeight="1">
      <c r="M1535" s="882"/>
      <c r="N1535" s="976"/>
      <c r="AG1535" s="545"/>
    </row>
    <row r="1536" spans="6:33" ht="24" customHeight="1">
      <c r="F1536" s="900"/>
      <c r="G1536" s="926"/>
      <c r="H1536" s="900"/>
      <c r="I1536" s="876"/>
      <c r="J1536" s="876"/>
      <c r="N1536" s="976"/>
      <c r="AG1536" s="545"/>
    </row>
    <row r="1537" spans="6:33" ht="24" customHeight="1">
      <c r="J1537" s="876"/>
      <c r="N1537" s="977"/>
      <c r="AG1537" s="545"/>
    </row>
    <row r="1538" spans="6:33" ht="24" customHeight="1">
      <c r="J1538" s="876"/>
      <c r="N1538" s="975"/>
      <c r="AG1538" s="545"/>
    </row>
    <row r="1539" spans="6:33" ht="24" customHeight="1">
      <c r="J1539" s="881"/>
      <c r="N1539" s="976"/>
      <c r="AG1539" s="545"/>
    </row>
    <row r="1540" spans="6:33" ht="24" customHeight="1">
      <c r="F1540" s="545"/>
      <c r="G1540" s="889"/>
      <c r="H1540" s="545"/>
      <c r="I1540" s="876"/>
      <c r="J1540" s="876"/>
      <c r="K1540" s="545"/>
      <c r="L1540" s="876"/>
      <c r="M1540" s="882"/>
      <c r="N1540" s="976"/>
      <c r="AG1540" s="545"/>
    </row>
    <row r="1541" spans="6:33" ht="24" customHeight="1">
      <c r="F1541" s="545"/>
      <c r="G1541" s="889"/>
      <c r="H1541" s="545"/>
      <c r="I1541" s="876"/>
      <c r="J1541" s="876"/>
      <c r="K1541" s="545"/>
      <c r="L1541" s="876"/>
      <c r="M1541" s="882"/>
      <c r="N1541" s="976"/>
      <c r="AG1541" s="545"/>
    </row>
    <row r="1542" spans="6:33" ht="24" customHeight="1">
      <c r="I1542" s="876"/>
      <c r="J1542" s="876"/>
      <c r="K1542" s="876"/>
      <c r="L1542" s="876"/>
      <c r="M1542" s="882"/>
      <c r="N1542" s="976"/>
      <c r="AG1542" s="545"/>
    </row>
    <row r="1543" spans="6:33" ht="24" customHeight="1">
      <c r="M1543" s="882"/>
      <c r="N1543" s="976"/>
      <c r="AG1543" s="545"/>
    </row>
    <row r="1544" spans="6:33" ht="24" customHeight="1">
      <c r="J1544" s="876"/>
      <c r="M1544" s="882"/>
      <c r="N1544" s="976"/>
      <c r="AG1544" s="545"/>
    </row>
    <row r="1545" spans="6:33" ht="24" customHeight="1">
      <c r="M1545" s="882"/>
      <c r="N1545" s="976"/>
      <c r="AG1545" s="545"/>
    </row>
    <row r="1546" spans="6:33" ht="24" customHeight="1">
      <c r="J1546" s="872"/>
      <c r="K1546" s="885"/>
      <c r="L1546" s="895"/>
      <c r="M1546" s="883"/>
      <c r="N1546" s="976"/>
      <c r="AG1546" s="545"/>
    </row>
    <row r="1547" spans="6:33" ht="24" customHeight="1">
      <c r="J1547" s="876"/>
      <c r="M1547" s="882"/>
      <c r="N1547" s="976"/>
      <c r="AG1547" s="545"/>
    </row>
    <row r="1548" spans="6:33" ht="24" customHeight="1">
      <c r="J1548" s="876"/>
      <c r="M1548" s="882"/>
      <c r="N1548" s="976"/>
      <c r="AG1548" s="545"/>
    </row>
    <row r="1549" spans="6:33" ht="24" customHeight="1">
      <c r="F1549" s="978"/>
      <c r="G1549" s="979"/>
      <c r="H1549" s="980"/>
      <c r="I1549" s="981"/>
      <c r="J1549" s="981"/>
      <c r="K1549" s="982"/>
      <c r="L1549" s="983"/>
      <c r="M1549" s="984"/>
      <c r="N1549" s="976"/>
      <c r="AG1549" s="545"/>
    </row>
    <row r="1550" spans="6:33" ht="24" customHeight="1">
      <c r="F1550" s="985"/>
      <c r="G1550" s="986"/>
      <c r="H1550" s="987"/>
      <c r="I1550" s="988"/>
      <c r="J1550" s="989"/>
      <c r="K1550" s="987"/>
      <c r="L1550" s="988"/>
      <c r="M1550" s="990"/>
      <c r="N1550" s="977"/>
      <c r="AG1550" s="545"/>
    </row>
    <row r="1551" spans="6:33" ht="24" customHeight="1">
      <c r="F1551" s="985"/>
      <c r="G1551" s="986"/>
      <c r="H1551" s="987"/>
      <c r="I1551" s="988"/>
      <c r="J1551" s="884"/>
      <c r="K1551" s="987"/>
      <c r="L1551" s="988"/>
      <c r="M1551" s="990"/>
      <c r="AG1551" s="545"/>
    </row>
    <row r="1552" spans="6:33" ht="24" customHeight="1">
      <c r="F1552" s="991"/>
      <c r="G1552" s="992"/>
      <c r="H1552" s="993"/>
      <c r="I1552" s="989"/>
      <c r="J1552" s="989"/>
      <c r="K1552" s="993"/>
      <c r="L1552" s="989"/>
      <c r="M1552" s="994"/>
      <c r="AG1552" s="545"/>
    </row>
    <row r="1553" spans="6:33" ht="24" customHeight="1">
      <c r="F1553" s="985"/>
      <c r="G1553" s="986"/>
      <c r="H1553" s="987"/>
      <c r="I1553" s="988"/>
      <c r="J1553" s="989"/>
      <c r="K1553" s="987"/>
      <c r="L1553" s="988"/>
      <c r="M1553" s="994"/>
      <c r="AG1553" s="545"/>
    </row>
    <row r="1554" spans="6:33" ht="24" customHeight="1">
      <c r="F1554" s="991"/>
      <c r="G1554" s="992"/>
      <c r="H1554" s="993"/>
      <c r="I1554" s="989"/>
      <c r="J1554" s="989"/>
      <c r="K1554" s="993"/>
      <c r="L1554" s="989"/>
      <c r="M1554" s="994"/>
      <c r="AG1554" s="545"/>
    </row>
    <row r="1555" spans="6:33" ht="24" customHeight="1">
      <c r="F1555" s="991"/>
      <c r="G1555" s="992"/>
      <c r="H1555" s="993"/>
      <c r="I1555" s="989"/>
      <c r="J1555" s="989"/>
      <c r="K1555" s="995"/>
      <c r="L1555" s="989"/>
      <c r="M1555" s="994"/>
      <c r="AG1555" s="545"/>
    </row>
    <row r="1556" spans="6:33" ht="24" customHeight="1">
      <c r="F1556" s="991"/>
      <c r="G1556" s="992"/>
      <c r="H1556" s="993"/>
      <c r="I1556" s="989"/>
      <c r="J1556" s="989"/>
      <c r="K1556" s="993"/>
      <c r="L1556" s="989"/>
      <c r="M1556" s="994"/>
      <c r="AG1556" s="545"/>
    </row>
    <row r="1557" spans="6:33" ht="24" customHeight="1">
      <c r="F1557" s="991"/>
      <c r="G1557" s="992"/>
      <c r="H1557" s="993"/>
      <c r="I1557" s="989"/>
      <c r="J1557" s="989"/>
      <c r="K1557" s="993"/>
      <c r="L1557" s="989"/>
      <c r="M1557" s="994"/>
      <c r="AG1557" s="545"/>
    </row>
    <row r="1558" spans="6:33" ht="24" customHeight="1">
      <c r="F1558" s="985"/>
      <c r="G1558" s="986"/>
      <c r="H1558" s="987"/>
      <c r="I1558" s="989"/>
      <c r="J1558" s="989"/>
      <c r="K1558" s="987"/>
      <c r="L1558" s="989"/>
      <c r="M1558" s="994"/>
      <c r="AG1558" s="545"/>
    </row>
    <row r="1559" spans="6:33" ht="24" customHeight="1">
      <c r="F1559" s="985"/>
      <c r="G1559" s="986"/>
      <c r="H1559" s="987"/>
      <c r="I1559" s="988"/>
      <c r="J1559" s="987"/>
      <c r="K1559" s="987"/>
      <c r="L1559" s="988"/>
      <c r="M1559" s="994"/>
      <c r="AG1559" s="545"/>
    </row>
    <row r="1560" spans="6:33" ht="24" customHeight="1">
      <c r="F1560" s="985"/>
      <c r="G1560" s="986"/>
      <c r="H1560" s="987"/>
      <c r="I1560" s="988"/>
      <c r="J1560" s="996"/>
      <c r="K1560" s="997"/>
      <c r="L1560" s="998"/>
      <c r="M1560" s="999"/>
      <c r="AG1560" s="545"/>
    </row>
    <row r="1561" spans="6:33" ht="24" customHeight="1">
      <c r="F1561" s="985"/>
      <c r="G1561" s="986"/>
      <c r="H1561" s="987"/>
      <c r="I1561" s="988"/>
      <c r="J1561" s="989"/>
      <c r="K1561" s="987"/>
      <c r="L1561" s="988"/>
      <c r="M1561" s="994"/>
      <c r="AG1561" s="545"/>
    </row>
    <row r="1562" spans="6:33" ht="24" customHeight="1">
      <c r="F1562" s="1000"/>
      <c r="G1562" s="1001"/>
      <c r="H1562" s="1002"/>
      <c r="I1562" s="1003"/>
      <c r="J1562" s="1002"/>
      <c r="K1562" s="1002"/>
      <c r="L1562" s="1003"/>
      <c r="M1562" s="1004"/>
      <c r="AG1562" s="545"/>
    </row>
    <row r="1563" spans="6:33" ht="24" customHeight="1">
      <c r="F1563" s="1005"/>
      <c r="G1563" s="1006"/>
      <c r="H1563" s="1007"/>
      <c r="I1563" s="981"/>
      <c r="J1563" s="981"/>
      <c r="K1563" s="982"/>
      <c r="L1563" s="983"/>
      <c r="M1563" s="984"/>
      <c r="AG1563" s="545"/>
    </row>
    <row r="1564" spans="6:33" ht="24" customHeight="1">
      <c r="F1564" s="985"/>
      <c r="G1564" s="986"/>
      <c r="H1564" s="987"/>
      <c r="I1564" s="988"/>
      <c r="J1564" s="989"/>
      <c r="K1564" s="987"/>
      <c r="L1564" s="988"/>
      <c r="M1564" s="990"/>
      <c r="AG1564" s="545"/>
    </row>
    <row r="1565" spans="6:33" ht="24" customHeight="1">
      <c r="F1565" s="985"/>
      <c r="G1565" s="986"/>
      <c r="H1565" s="987"/>
      <c r="I1565" s="988"/>
      <c r="J1565" s="884"/>
      <c r="K1565" s="987"/>
      <c r="L1565" s="988"/>
      <c r="M1565" s="990"/>
      <c r="AG1565" s="545"/>
    </row>
    <row r="1566" spans="6:33" ht="24" customHeight="1">
      <c r="F1566" s="991"/>
      <c r="G1566" s="992"/>
      <c r="H1566" s="993"/>
      <c r="I1566" s="989"/>
      <c r="J1566" s="989"/>
      <c r="K1566" s="993"/>
      <c r="L1566" s="989"/>
      <c r="M1566" s="994"/>
      <c r="AG1566" s="545"/>
    </row>
    <row r="1567" spans="6:33" ht="24" customHeight="1">
      <c r="F1567" s="1008"/>
      <c r="G1567" s="1009"/>
      <c r="H1567" s="1010"/>
      <c r="I1567" s="989"/>
      <c r="J1567" s="989"/>
      <c r="K1567" s="993"/>
      <c r="L1567" s="989"/>
      <c r="M1567" s="994"/>
      <c r="AG1567" s="545"/>
    </row>
    <row r="1568" spans="6:33" ht="24" customHeight="1">
      <c r="F1568" s="1008"/>
      <c r="G1568" s="1009"/>
      <c r="H1568" s="1010"/>
      <c r="I1568" s="989"/>
      <c r="J1568" s="989"/>
      <c r="K1568" s="993"/>
      <c r="L1568" s="989"/>
      <c r="M1568" s="994"/>
      <c r="AG1568" s="545"/>
    </row>
    <row r="1569" spans="6:33" ht="24" customHeight="1">
      <c r="F1569" s="991"/>
      <c r="G1569" s="992"/>
      <c r="H1569" s="993"/>
      <c r="I1569" s="989"/>
      <c r="J1569" s="989"/>
      <c r="K1569" s="993"/>
      <c r="L1569" s="989"/>
      <c r="M1569" s="994"/>
      <c r="AG1569" s="545"/>
    </row>
    <row r="1570" spans="6:33" ht="24" customHeight="1">
      <c r="F1570" s="991"/>
      <c r="G1570" s="992"/>
      <c r="H1570" s="993"/>
      <c r="I1570" s="989"/>
      <c r="J1570" s="989"/>
      <c r="K1570" s="993"/>
      <c r="L1570" s="989"/>
      <c r="M1570" s="994"/>
      <c r="AG1570" s="545"/>
    </row>
    <row r="1571" spans="6:33" ht="24" customHeight="1">
      <c r="F1571" s="1008"/>
      <c r="G1571" s="1009"/>
      <c r="H1571" s="1010"/>
      <c r="I1571" s="989"/>
      <c r="J1571" s="989"/>
      <c r="K1571" s="987"/>
      <c r="L1571" s="989"/>
      <c r="M1571" s="994"/>
      <c r="AG1571" s="545"/>
    </row>
    <row r="1572" spans="6:33" ht="24" customHeight="1">
      <c r="F1572" s="1008"/>
      <c r="G1572" s="1009"/>
      <c r="H1572" s="1010"/>
      <c r="I1572" s="988"/>
      <c r="J1572" s="987"/>
      <c r="K1572" s="987"/>
      <c r="L1572" s="988"/>
      <c r="M1572" s="994"/>
      <c r="AG1572" s="545"/>
    </row>
    <row r="1573" spans="6:33" ht="24" customHeight="1">
      <c r="F1573" s="1008"/>
      <c r="G1573" s="1009"/>
      <c r="H1573" s="1010"/>
      <c r="I1573" s="988"/>
      <c r="J1573" s="989"/>
      <c r="K1573" s="987"/>
      <c r="L1573" s="988"/>
      <c r="M1573" s="994"/>
      <c r="AG1573" s="545"/>
    </row>
    <row r="1574" spans="6:33" ht="24" customHeight="1">
      <c r="F1574" s="1008"/>
      <c r="G1574" s="1009"/>
      <c r="H1574" s="1010"/>
      <c r="I1574" s="988"/>
      <c r="J1574" s="987"/>
      <c r="K1574" s="987"/>
      <c r="L1574" s="988"/>
      <c r="M1574" s="994"/>
      <c r="AG1574" s="545"/>
    </row>
    <row r="1575" spans="6:33" ht="24" customHeight="1">
      <c r="F1575" s="1011"/>
      <c r="G1575" s="1012"/>
      <c r="H1575" s="1013"/>
      <c r="I1575" s="1003"/>
      <c r="J1575" s="1014"/>
      <c r="K1575" s="1015"/>
      <c r="L1575" s="1016"/>
      <c r="M1575" s="1017"/>
      <c r="AG1575" s="545"/>
    </row>
    <row r="1576" spans="6:33" ht="24" customHeight="1">
      <c r="F1576" s="904"/>
      <c r="G1576" s="924"/>
      <c r="H1576" s="904"/>
      <c r="M1576" s="882"/>
      <c r="AG1576" s="545"/>
    </row>
    <row r="1577" spans="6:33" ht="24" customHeight="1">
      <c r="F1577" s="904"/>
      <c r="G1577" s="924"/>
      <c r="H1577" s="904"/>
      <c r="M1577" s="882"/>
      <c r="AG1577" s="545"/>
    </row>
    <row r="1578" spans="6:33" ht="24" customHeight="1">
      <c r="F1578" s="904"/>
      <c r="G1578" s="924"/>
      <c r="H1578" s="904"/>
      <c r="J1578" s="1018"/>
      <c r="M1578" s="882"/>
      <c r="AG1578" s="545"/>
    </row>
    <row r="1579" spans="6:33" ht="24" customHeight="1">
      <c r="F1579" s="545"/>
      <c r="G1579" s="889"/>
      <c r="H1579" s="545"/>
      <c r="I1579" s="876"/>
      <c r="J1579" s="876"/>
      <c r="L1579" s="876"/>
      <c r="M1579" s="882"/>
      <c r="AG1579" s="545"/>
    </row>
    <row r="1580" spans="6:33" ht="24" customHeight="1">
      <c r="F1580" s="904"/>
      <c r="G1580" s="924"/>
      <c r="H1580" s="904"/>
      <c r="I1580" s="876"/>
      <c r="J1580" s="876"/>
      <c r="L1580" s="876"/>
      <c r="M1580" s="882"/>
      <c r="AG1580" s="545"/>
    </row>
    <row r="1581" spans="6:33" ht="24" customHeight="1">
      <c r="F1581" s="904"/>
      <c r="G1581" s="924"/>
      <c r="H1581" s="904"/>
      <c r="I1581" s="876"/>
      <c r="J1581" s="876"/>
      <c r="L1581" s="876"/>
      <c r="M1581" s="882"/>
      <c r="AG1581" s="545"/>
    </row>
    <row r="1582" spans="6:33" ht="24" customHeight="1">
      <c r="F1582" s="545"/>
      <c r="G1582" s="889"/>
      <c r="H1582" s="545"/>
      <c r="I1582" s="876"/>
      <c r="J1582" s="876"/>
      <c r="L1582" s="876"/>
      <c r="M1582" s="882"/>
      <c r="AG1582" s="545"/>
    </row>
    <row r="1583" spans="6:33" ht="24" customHeight="1">
      <c r="F1583" s="545"/>
      <c r="G1583" s="889"/>
      <c r="H1583" s="545"/>
      <c r="I1583" s="876"/>
      <c r="J1583" s="876"/>
      <c r="L1583" s="876"/>
      <c r="M1583" s="882"/>
      <c r="AG1583" s="545"/>
    </row>
    <row r="1584" spans="6:33" ht="24" customHeight="1">
      <c r="F1584" s="904"/>
      <c r="G1584" s="924"/>
      <c r="H1584" s="904"/>
      <c r="I1584" s="876"/>
      <c r="J1584" s="876"/>
      <c r="L1584" s="876"/>
      <c r="M1584" s="882"/>
      <c r="AG1584" s="545"/>
    </row>
    <row r="1585" spans="6:33" ht="24" customHeight="1">
      <c r="F1585" s="904"/>
      <c r="G1585" s="924"/>
      <c r="H1585" s="904"/>
      <c r="M1585" s="882"/>
      <c r="AG1585" s="545"/>
    </row>
    <row r="1586" spans="6:33" ht="24" customHeight="1">
      <c r="F1586" s="904"/>
      <c r="G1586" s="924"/>
      <c r="H1586" s="904"/>
      <c r="J1586" s="876"/>
      <c r="M1586" s="882"/>
      <c r="AG1586" s="545"/>
    </row>
    <row r="1587" spans="6:33" ht="24" customHeight="1">
      <c r="F1587" s="904"/>
      <c r="G1587" s="924"/>
      <c r="H1587" s="904"/>
      <c r="M1587" s="882"/>
      <c r="AG1587" s="545"/>
    </row>
    <row r="1588" spans="6:33" ht="24" customHeight="1">
      <c r="F1588" s="904"/>
      <c r="G1588" s="924"/>
      <c r="H1588" s="904"/>
      <c r="J1588" s="872"/>
      <c r="K1588" s="885"/>
      <c r="L1588" s="895"/>
      <c r="M1588" s="883"/>
      <c r="AG1588" s="545"/>
    </row>
    <row r="1589" spans="6:33" ht="24" customHeight="1">
      <c r="F1589" s="904"/>
      <c r="G1589" s="924"/>
      <c r="H1589" s="904"/>
      <c r="M1589" s="882"/>
      <c r="AG1589" s="545"/>
    </row>
    <row r="1590" spans="6:33" ht="24" customHeight="1">
      <c r="F1590" s="904"/>
      <c r="G1590" s="924"/>
      <c r="H1590" s="904"/>
      <c r="J1590" s="876"/>
      <c r="M1590" s="882"/>
      <c r="AG1590" s="545"/>
    </row>
    <row r="1591" spans="6:33" ht="24" customHeight="1">
      <c r="F1591" s="905"/>
      <c r="G1591" s="1019"/>
      <c r="H1591" s="905"/>
      <c r="I1591" s="876"/>
      <c r="J1591" s="876"/>
      <c r="AG1591" s="545"/>
    </row>
    <row r="1592" spans="6:33" ht="24" customHeight="1">
      <c r="F1592" s="904"/>
      <c r="G1592" s="924"/>
      <c r="H1592" s="904"/>
      <c r="J1592" s="876"/>
      <c r="AG1592" s="545"/>
    </row>
    <row r="1593" spans="6:33" ht="24" customHeight="1">
      <c r="F1593" s="904"/>
      <c r="G1593" s="924"/>
      <c r="H1593" s="904"/>
      <c r="J1593" s="881"/>
      <c r="AG1593" s="545"/>
    </row>
    <row r="1594" spans="6:33" ht="24" customHeight="1">
      <c r="F1594" s="545"/>
      <c r="G1594" s="889"/>
      <c r="H1594" s="545"/>
      <c r="I1594" s="876"/>
      <c r="J1594" s="876"/>
      <c r="K1594" s="545"/>
      <c r="L1594" s="876"/>
      <c r="M1594" s="882"/>
      <c r="AG1594" s="545"/>
    </row>
    <row r="1595" spans="6:33" ht="24" customHeight="1">
      <c r="F1595" s="904"/>
      <c r="G1595" s="924"/>
      <c r="H1595" s="904"/>
      <c r="I1595" s="876"/>
      <c r="J1595" s="876"/>
      <c r="K1595" s="545"/>
      <c r="L1595" s="876"/>
      <c r="M1595" s="882"/>
      <c r="AG1595" s="545"/>
    </row>
    <row r="1596" spans="6:33" ht="24" customHeight="1">
      <c r="F1596" s="904"/>
      <c r="G1596" s="924"/>
      <c r="H1596" s="904"/>
      <c r="I1596" s="876"/>
      <c r="J1596" s="876"/>
      <c r="K1596" s="545"/>
      <c r="L1596" s="876"/>
      <c r="M1596" s="882"/>
      <c r="AG1596" s="545"/>
    </row>
    <row r="1597" spans="6:33" ht="24" customHeight="1">
      <c r="F1597" s="904"/>
      <c r="G1597" s="924"/>
      <c r="H1597" s="904"/>
      <c r="I1597" s="876"/>
      <c r="J1597" s="876"/>
      <c r="L1597" s="876"/>
      <c r="M1597" s="882"/>
      <c r="AG1597" s="545"/>
    </row>
    <row r="1598" spans="6:33" ht="24" customHeight="1">
      <c r="M1598" s="882"/>
      <c r="AG1598" s="545"/>
    </row>
    <row r="1599" spans="6:33" ht="24" customHeight="1">
      <c r="J1599" s="876"/>
      <c r="M1599" s="882"/>
      <c r="AG1599" s="545"/>
    </row>
    <row r="1600" spans="6:33" ht="24" customHeight="1">
      <c r="M1600" s="882"/>
      <c r="AG1600" s="545"/>
    </row>
    <row r="1601" spans="6:33" ht="24" customHeight="1">
      <c r="J1601" s="872"/>
      <c r="K1601" s="885"/>
      <c r="L1601" s="895"/>
      <c r="M1601" s="883"/>
      <c r="AG1601" s="545"/>
    </row>
    <row r="1602" spans="6:33" ht="24" customHeight="1">
      <c r="J1602" s="876"/>
      <c r="M1602" s="882"/>
      <c r="AG1602" s="545"/>
    </row>
    <row r="1603" spans="6:33" ht="24" customHeight="1">
      <c r="J1603" s="876"/>
      <c r="M1603" s="882"/>
      <c r="AG1603" s="545"/>
    </row>
    <row r="1604" spans="6:33" ht="24" customHeight="1">
      <c r="J1604" s="876"/>
      <c r="M1604" s="882"/>
      <c r="AG1604" s="545"/>
    </row>
    <row r="1605" spans="6:33" ht="24" customHeight="1">
      <c r="F1605" s="904"/>
      <c r="G1605" s="924"/>
      <c r="H1605" s="904"/>
      <c r="J1605" s="881"/>
      <c r="M1605" s="882"/>
      <c r="AG1605" s="545"/>
    </row>
    <row r="1606" spans="6:33" ht="24" customHeight="1">
      <c r="F1606" s="545"/>
      <c r="G1606" s="889"/>
      <c r="H1606" s="545"/>
      <c r="I1606" s="876"/>
      <c r="J1606" s="876"/>
      <c r="L1606" s="876"/>
      <c r="M1606" s="882"/>
      <c r="AG1606" s="545"/>
    </row>
    <row r="1607" spans="6:33" ht="24" customHeight="1">
      <c r="F1607" s="904"/>
      <c r="G1607" s="924"/>
      <c r="H1607" s="904"/>
      <c r="I1607" s="876"/>
      <c r="J1607" s="876"/>
      <c r="L1607" s="876"/>
      <c r="M1607" s="882"/>
      <c r="AG1607" s="545"/>
    </row>
    <row r="1608" spans="6:33" ht="24" customHeight="1">
      <c r="F1608" s="904"/>
      <c r="G1608" s="924"/>
      <c r="H1608" s="904"/>
      <c r="I1608" s="876"/>
      <c r="J1608" s="876"/>
      <c r="L1608" s="876"/>
      <c r="M1608" s="882"/>
      <c r="AG1608" s="545"/>
    </row>
    <row r="1609" spans="6:33" ht="24" customHeight="1">
      <c r="F1609" s="904"/>
      <c r="G1609" s="924"/>
      <c r="H1609" s="904"/>
      <c r="I1609" s="876"/>
      <c r="J1609" s="876"/>
      <c r="L1609" s="876"/>
      <c r="M1609" s="882"/>
      <c r="AG1609" s="545"/>
    </row>
    <row r="1610" spans="6:33" ht="24" customHeight="1">
      <c r="M1610" s="882"/>
      <c r="AG1610" s="545"/>
    </row>
    <row r="1611" spans="6:33" ht="24" customHeight="1">
      <c r="J1611" s="876"/>
      <c r="M1611" s="882"/>
      <c r="AG1611" s="545"/>
    </row>
    <row r="1612" spans="6:33" ht="24" customHeight="1">
      <c r="M1612" s="882"/>
      <c r="AG1612" s="545"/>
    </row>
    <row r="1613" spans="6:33" ht="24" customHeight="1">
      <c r="J1613" s="872"/>
      <c r="K1613" s="885"/>
      <c r="L1613" s="895"/>
      <c r="M1613" s="883"/>
      <c r="AG1613" s="545"/>
    </row>
    <row r="1614" spans="6:33" ht="24" customHeight="1">
      <c r="J1614" s="876"/>
      <c r="AG1614" s="545"/>
    </row>
    <row r="1615" spans="6:33" ht="24" customHeight="1">
      <c r="F1615" s="920"/>
      <c r="G1615" s="921"/>
      <c r="H1615" s="920"/>
      <c r="I1615" s="876"/>
      <c r="J1615" s="876"/>
      <c r="AG1615" s="545"/>
    </row>
    <row r="1616" spans="6:33" ht="24" customHeight="1">
      <c r="J1616" s="876"/>
      <c r="AG1616" s="545"/>
    </row>
    <row r="1617" spans="6:33" ht="24" customHeight="1">
      <c r="J1617" s="876"/>
      <c r="AG1617" s="545"/>
    </row>
    <row r="1618" spans="6:33" ht="24" customHeight="1">
      <c r="J1618" s="881"/>
      <c r="AG1618" s="545"/>
    </row>
    <row r="1619" spans="6:33" ht="24" customHeight="1">
      <c r="F1619" s="545"/>
      <c r="G1619" s="889"/>
      <c r="H1619" s="545"/>
      <c r="I1619" s="876"/>
      <c r="J1619" s="876"/>
      <c r="K1619" s="545"/>
      <c r="L1619" s="876"/>
      <c r="M1619" s="882"/>
      <c r="AG1619" s="545"/>
    </row>
    <row r="1620" spans="6:33" ht="24" customHeight="1">
      <c r="F1620" s="545"/>
      <c r="G1620" s="889"/>
      <c r="H1620" s="545"/>
      <c r="I1620" s="876"/>
      <c r="J1620" s="876"/>
      <c r="K1620" s="914"/>
      <c r="L1620" s="876"/>
      <c r="M1620" s="882"/>
      <c r="AG1620" s="545"/>
    </row>
    <row r="1621" spans="6:33" ht="24" customHeight="1">
      <c r="F1621" s="545"/>
      <c r="G1621" s="889"/>
      <c r="H1621" s="545"/>
      <c r="I1621" s="876"/>
      <c r="J1621" s="876"/>
      <c r="K1621" s="545"/>
      <c r="L1621" s="876"/>
      <c r="M1621" s="882"/>
      <c r="AG1621" s="545"/>
    </row>
    <row r="1622" spans="6:33" ht="24" customHeight="1">
      <c r="F1622" s="545"/>
      <c r="G1622" s="889"/>
      <c r="H1622" s="545"/>
      <c r="I1622" s="876"/>
      <c r="J1622" s="876"/>
      <c r="K1622" s="545"/>
      <c r="L1622" s="876"/>
      <c r="M1622" s="882"/>
      <c r="AG1622" s="545"/>
    </row>
    <row r="1623" spans="6:33" ht="24" customHeight="1">
      <c r="F1623" s="545"/>
      <c r="G1623" s="889"/>
      <c r="H1623" s="545"/>
      <c r="I1623" s="876"/>
      <c r="J1623" s="876"/>
      <c r="K1623" s="545"/>
      <c r="L1623" s="876"/>
      <c r="M1623" s="882"/>
      <c r="AG1623" s="545"/>
    </row>
    <row r="1624" spans="6:33" ht="24" customHeight="1">
      <c r="F1624" s="545"/>
      <c r="G1624" s="889"/>
      <c r="H1624" s="545"/>
      <c r="I1624" s="876"/>
      <c r="J1624" s="876"/>
      <c r="K1624" s="545"/>
      <c r="L1624" s="876"/>
      <c r="M1624" s="882"/>
      <c r="AG1624" s="545"/>
    </row>
    <row r="1625" spans="6:33" ht="24" customHeight="1">
      <c r="I1625" s="876"/>
      <c r="J1625" s="876"/>
      <c r="L1625" s="876"/>
      <c r="M1625" s="882"/>
      <c r="AG1625" s="545"/>
    </row>
    <row r="1626" spans="6:33" ht="24" customHeight="1">
      <c r="J1626" s="876"/>
      <c r="AG1626" s="545"/>
    </row>
    <row r="1627" spans="6:33" ht="24" customHeight="1">
      <c r="M1627" s="882"/>
      <c r="AG1627" s="545"/>
    </row>
    <row r="1628" spans="6:33" ht="24" customHeight="1">
      <c r="J1628" s="876"/>
      <c r="M1628" s="882"/>
      <c r="AG1628" s="545"/>
    </row>
    <row r="1629" spans="6:33" ht="24" customHeight="1">
      <c r="F1629" s="876"/>
      <c r="G1629" s="916"/>
      <c r="H1629" s="876"/>
      <c r="AG1629" s="545"/>
    </row>
    <row r="1630" spans="6:33" ht="24" customHeight="1">
      <c r="M1630" s="882"/>
      <c r="AG1630" s="545"/>
    </row>
    <row r="1631" spans="6:33" ht="24" customHeight="1">
      <c r="J1631" s="872"/>
      <c r="K1631" s="885"/>
      <c r="L1631" s="895"/>
      <c r="M1631" s="883"/>
      <c r="AG1631" s="545"/>
    </row>
    <row r="1632" spans="6:33" ht="24" customHeight="1">
      <c r="J1632" s="876"/>
      <c r="M1632" s="882"/>
      <c r="AG1632" s="545"/>
    </row>
    <row r="1633" spans="6:33" ht="24" customHeight="1">
      <c r="F1633" s="880"/>
      <c r="G1633" s="918"/>
      <c r="H1633" s="880"/>
      <c r="J1633" s="876"/>
      <c r="AG1633" s="545"/>
    </row>
    <row r="1634" spans="6:33" ht="24" customHeight="1">
      <c r="J1634" s="876"/>
      <c r="AG1634" s="545"/>
    </row>
    <row r="1635" spans="6:33" ht="24" customHeight="1">
      <c r="J1635" s="876"/>
      <c r="AG1635" s="545"/>
    </row>
    <row r="1636" spans="6:33" ht="24" customHeight="1">
      <c r="J1636" s="881"/>
      <c r="AG1636" s="545"/>
    </row>
    <row r="1637" spans="6:33" ht="24" customHeight="1">
      <c r="F1637" s="545"/>
      <c r="G1637" s="889"/>
      <c r="H1637" s="545"/>
      <c r="I1637" s="876"/>
      <c r="J1637" s="876"/>
      <c r="K1637" s="545"/>
      <c r="L1637" s="876"/>
      <c r="M1637" s="882"/>
      <c r="AG1637" s="545"/>
    </row>
    <row r="1638" spans="6:33" ht="24" customHeight="1">
      <c r="F1638" s="922"/>
      <c r="G1638" s="923"/>
      <c r="H1638" s="922"/>
      <c r="I1638" s="876"/>
      <c r="J1638" s="876"/>
      <c r="K1638" s="545"/>
      <c r="L1638" s="876"/>
      <c r="M1638" s="882"/>
      <c r="AG1638" s="545"/>
    </row>
    <row r="1639" spans="6:33" ht="24" customHeight="1">
      <c r="F1639" s="545"/>
      <c r="G1639" s="889"/>
      <c r="H1639" s="545"/>
      <c r="I1639" s="876"/>
      <c r="J1639" s="876"/>
      <c r="K1639" s="545"/>
      <c r="L1639" s="876"/>
      <c r="M1639" s="882"/>
      <c r="AG1639" s="545"/>
    </row>
    <row r="1640" spans="6:33" ht="24" customHeight="1">
      <c r="F1640" s="545"/>
      <c r="G1640" s="889"/>
      <c r="H1640" s="545"/>
      <c r="I1640" s="876"/>
      <c r="J1640" s="876"/>
      <c r="K1640" s="545"/>
      <c r="L1640" s="876"/>
      <c r="M1640" s="882"/>
      <c r="AG1640" s="545"/>
    </row>
    <row r="1641" spans="6:33" ht="24" customHeight="1">
      <c r="F1641" s="545"/>
      <c r="G1641" s="889"/>
      <c r="H1641" s="545"/>
      <c r="I1641" s="876"/>
      <c r="J1641" s="876"/>
      <c r="K1641" s="545"/>
      <c r="L1641" s="876"/>
      <c r="M1641" s="882"/>
      <c r="AG1641" s="545"/>
    </row>
    <row r="1642" spans="6:33" ht="24" customHeight="1">
      <c r="I1642" s="876"/>
      <c r="J1642" s="876"/>
      <c r="K1642" s="876"/>
      <c r="L1642" s="876"/>
      <c r="M1642" s="882"/>
      <c r="AG1642" s="545"/>
    </row>
    <row r="1643" spans="6:33" ht="24" customHeight="1">
      <c r="M1643" s="882"/>
      <c r="AG1643" s="545"/>
    </row>
    <row r="1644" spans="6:33" ht="24" customHeight="1">
      <c r="J1644" s="876"/>
      <c r="M1644" s="882"/>
      <c r="AG1644" s="545"/>
    </row>
    <row r="1645" spans="6:33" ht="24" customHeight="1">
      <c r="M1645" s="882"/>
      <c r="AG1645" s="545"/>
    </row>
    <row r="1646" spans="6:33" ht="24" customHeight="1">
      <c r="J1646" s="872"/>
      <c r="K1646" s="885"/>
      <c r="L1646" s="895"/>
      <c r="M1646" s="883"/>
      <c r="AG1646" s="545"/>
    </row>
    <row r="1647" spans="6:33" ht="24" customHeight="1">
      <c r="M1647" s="882"/>
      <c r="AG1647" s="545"/>
    </row>
    <row r="1648" spans="6:33" ht="24" customHeight="1">
      <c r="F1648" s="880"/>
      <c r="G1648" s="918"/>
      <c r="H1648" s="880"/>
      <c r="I1648" s="876"/>
      <c r="J1648" s="876"/>
      <c r="AG1648" s="545"/>
    </row>
    <row r="1649" spans="6:33" ht="24" customHeight="1">
      <c r="J1649" s="876"/>
      <c r="AG1649" s="545"/>
    </row>
    <row r="1650" spans="6:33" ht="24" customHeight="1">
      <c r="J1650" s="876"/>
      <c r="L1650" s="876"/>
      <c r="AG1650" s="545"/>
    </row>
    <row r="1651" spans="6:33" ht="24" customHeight="1">
      <c r="J1651" s="876"/>
      <c r="AG1651" s="545"/>
    </row>
    <row r="1652" spans="6:33" ht="24" customHeight="1">
      <c r="J1652" s="876"/>
      <c r="AG1652" s="545"/>
    </row>
    <row r="1653" spans="6:33" ht="24" customHeight="1">
      <c r="J1653" s="876"/>
      <c r="AG1653" s="545"/>
    </row>
    <row r="1654" spans="6:33" ht="24" customHeight="1">
      <c r="J1654" s="876"/>
      <c r="AG1654" s="545"/>
    </row>
    <row r="1655" spans="6:33" ht="24" customHeight="1">
      <c r="J1655" s="876"/>
      <c r="AG1655" s="545"/>
    </row>
    <row r="1656" spans="6:33" ht="24" customHeight="1">
      <c r="J1656" s="876"/>
      <c r="AG1656" s="545"/>
    </row>
    <row r="1657" spans="6:33" ht="24" customHeight="1">
      <c r="J1657" s="881"/>
      <c r="AG1657" s="545"/>
    </row>
    <row r="1658" spans="6:33" ht="24" customHeight="1">
      <c r="AG1658" s="545"/>
    </row>
    <row r="1659" spans="6:33" ht="24" customHeight="1">
      <c r="F1659" s="545"/>
      <c r="G1659" s="889"/>
      <c r="H1659" s="545"/>
      <c r="I1659" s="876"/>
      <c r="J1659" s="876"/>
      <c r="K1659" s="914"/>
      <c r="L1659" s="876"/>
      <c r="M1659" s="882"/>
      <c r="AG1659" s="545"/>
    </row>
    <row r="1660" spans="6:33" ht="24" customHeight="1">
      <c r="F1660" s="545"/>
      <c r="G1660" s="889"/>
      <c r="H1660" s="545"/>
      <c r="I1660" s="876"/>
      <c r="J1660" s="876"/>
      <c r="K1660" s="914"/>
      <c r="L1660" s="876"/>
      <c r="M1660" s="882"/>
      <c r="AG1660" s="545"/>
    </row>
    <row r="1661" spans="6:33" ht="24" customHeight="1">
      <c r="I1661" s="876"/>
      <c r="J1661" s="876"/>
      <c r="L1661" s="876"/>
      <c r="M1661" s="882"/>
      <c r="AG1661" s="545"/>
    </row>
    <row r="1662" spans="6:33" ht="24" customHeight="1">
      <c r="M1662" s="882"/>
      <c r="AG1662" s="545"/>
    </row>
    <row r="1663" spans="6:33" ht="24" customHeight="1">
      <c r="J1663" s="880"/>
      <c r="M1663" s="882"/>
      <c r="AG1663" s="545"/>
    </row>
    <row r="1664" spans="6:33" ht="24" customHeight="1">
      <c r="M1664" s="882"/>
      <c r="AG1664" s="545"/>
    </row>
    <row r="1665" spans="6:33" ht="24" customHeight="1">
      <c r="F1665" s="880"/>
      <c r="G1665" s="918"/>
      <c r="H1665" s="880"/>
      <c r="I1665" s="876"/>
      <c r="J1665" s="876"/>
      <c r="AG1665" s="545"/>
    </row>
    <row r="1666" spans="6:33" ht="24" customHeight="1">
      <c r="J1666" s="876"/>
      <c r="AG1666" s="545"/>
    </row>
    <row r="1667" spans="6:33" ht="24" customHeight="1">
      <c r="J1667" s="876"/>
      <c r="AG1667" s="545"/>
    </row>
    <row r="1668" spans="6:33" ht="24" customHeight="1">
      <c r="J1668" s="876"/>
      <c r="AG1668" s="545"/>
    </row>
    <row r="1669" spans="6:33" ht="24" customHeight="1">
      <c r="J1669" s="876"/>
      <c r="AG1669" s="545"/>
    </row>
    <row r="1670" spans="6:33" ht="24" customHeight="1">
      <c r="J1670" s="881"/>
      <c r="K1670" s="881"/>
      <c r="AG1670" s="545"/>
    </row>
    <row r="1671" spans="6:33" ht="24" customHeight="1">
      <c r="F1671" s="545"/>
      <c r="G1671" s="889"/>
      <c r="H1671" s="545"/>
      <c r="I1671" s="876"/>
      <c r="J1671" s="876"/>
      <c r="K1671" s="914"/>
      <c r="L1671" s="876"/>
      <c r="M1671" s="882"/>
      <c r="AG1671" s="545"/>
    </row>
    <row r="1672" spans="6:33" ht="24" customHeight="1">
      <c r="I1672" s="876"/>
      <c r="J1672" s="876"/>
      <c r="L1672" s="876"/>
      <c r="M1672" s="882"/>
      <c r="AG1672" s="545"/>
    </row>
    <row r="1673" spans="6:33" ht="24" customHeight="1">
      <c r="I1673" s="876"/>
      <c r="J1673" s="876"/>
      <c r="L1673" s="876"/>
      <c r="M1673" s="882"/>
      <c r="AG1673" s="545"/>
    </row>
    <row r="1674" spans="6:33" ht="24" customHeight="1">
      <c r="J1674" s="876"/>
      <c r="M1674" s="882"/>
      <c r="AG1674" s="545"/>
    </row>
    <row r="1675" spans="6:33" ht="24" customHeight="1">
      <c r="J1675" s="880"/>
      <c r="M1675" s="882"/>
      <c r="AG1675" s="545"/>
    </row>
    <row r="1676" spans="6:33" ht="24" customHeight="1">
      <c r="M1676" s="882"/>
      <c r="AG1676" s="545"/>
    </row>
    <row r="1677" spans="6:33" ht="24" customHeight="1">
      <c r="F1677" s="880"/>
      <c r="G1677" s="918"/>
      <c r="H1677" s="880"/>
      <c r="I1677" s="876"/>
      <c r="J1677" s="876"/>
      <c r="AG1677" s="545"/>
    </row>
    <row r="1678" spans="6:33" ht="24" customHeight="1">
      <c r="J1678" s="876"/>
      <c r="M1678" s="882"/>
      <c r="AG1678" s="545"/>
    </row>
    <row r="1679" spans="6:33" ht="24" customHeight="1">
      <c r="J1679" s="881"/>
      <c r="AG1679" s="545"/>
    </row>
    <row r="1680" spans="6:33" ht="24" customHeight="1">
      <c r="F1680" s="545"/>
      <c r="G1680" s="889"/>
      <c r="H1680" s="545"/>
      <c r="I1680" s="876"/>
      <c r="J1680" s="876"/>
      <c r="K1680" s="914"/>
      <c r="L1680" s="876"/>
      <c r="M1680" s="882"/>
      <c r="AG1680" s="545"/>
    </row>
    <row r="1681" spans="6:33" ht="24" customHeight="1">
      <c r="I1681" s="876"/>
      <c r="J1681" s="876"/>
      <c r="L1681" s="876"/>
      <c r="M1681" s="882"/>
      <c r="AG1681" s="545"/>
    </row>
    <row r="1682" spans="6:33" ht="24" customHeight="1">
      <c r="M1682" s="882"/>
      <c r="AG1682" s="545"/>
    </row>
    <row r="1683" spans="6:33" ht="24" customHeight="1">
      <c r="J1683" s="880"/>
      <c r="M1683" s="882"/>
      <c r="AG1683" s="545"/>
    </row>
    <row r="1684" spans="6:33" ht="24" customHeight="1">
      <c r="M1684" s="882"/>
      <c r="AG1684" s="545"/>
    </row>
    <row r="1685" spans="6:33" ht="24" customHeight="1">
      <c r="F1685" s="880"/>
      <c r="G1685" s="918"/>
      <c r="H1685" s="880"/>
      <c r="I1685" s="876"/>
      <c r="J1685" s="876"/>
      <c r="AG1685" s="545"/>
    </row>
    <row r="1686" spans="6:33" ht="24" customHeight="1">
      <c r="J1686" s="881"/>
      <c r="K1686" s="881"/>
      <c r="AG1686" s="545"/>
    </row>
    <row r="1687" spans="6:33" ht="24" customHeight="1">
      <c r="F1687" s="545"/>
      <c r="G1687" s="889"/>
      <c r="H1687" s="545"/>
      <c r="I1687" s="876"/>
      <c r="J1687" s="876"/>
      <c r="K1687" s="914"/>
      <c r="L1687" s="876"/>
      <c r="M1687" s="882"/>
      <c r="AG1687" s="545"/>
    </row>
    <row r="1688" spans="6:33" ht="24" customHeight="1">
      <c r="I1688" s="876"/>
      <c r="J1688" s="876"/>
      <c r="L1688" s="876"/>
      <c r="M1688" s="882"/>
      <c r="AG1688" s="545"/>
    </row>
    <row r="1689" spans="6:33" ht="24" customHeight="1">
      <c r="M1689" s="882"/>
    </row>
    <row r="1690" spans="6:33" ht="24" customHeight="1">
      <c r="J1690" s="880"/>
      <c r="M1690" s="882"/>
    </row>
    <row r="1691" spans="6:33" ht="24" customHeight="1">
      <c r="F1691" s="876"/>
      <c r="G1691" s="916"/>
      <c r="H1691" s="876"/>
      <c r="M1691" s="882"/>
    </row>
    <row r="1692" spans="6:33" ht="24" customHeight="1">
      <c r="F1692" s="920"/>
      <c r="G1692" s="921"/>
      <c r="H1692" s="920"/>
      <c r="I1692" s="876"/>
      <c r="J1692" s="876"/>
    </row>
    <row r="1693" spans="6:33" ht="24" customHeight="1">
      <c r="J1693" s="876"/>
    </row>
    <row r="1694" spans="6:33" ht="24" customHeight="1">
      <c r="J1694" s="876"/>
    </row>
    <row r="1695" spans="6:33" ht="24" customHeight="1">
      <c r="J1695" s="876"/>
    </row>
    <row r="1696" spans="6:33" ht="24" customHeight="1">
      <c r="J1696" s="876"/>
    </row>
    <row r="1697" spans="6:13" ht="24" customHeight="1">
      <c r="J1697" s="881"/>
      <c r="K1697" s="881"/>
    </row>
    <row r="1698" spans="6:13" ht="24" customHeight="1">
      <c r="F1698" s="545"/>
      <c r="G1698" s="889"/>
      <c r="H1698" s="545"/>
      <c r="I1698" s="876"/>
      <c r="J1698" s="876"/>
      <c r="K1698" s="545"/>
      <c r="L1698" s="876"/>
      <c r="M1698" s="882"/>
    </row>
    <row r="1699" spans="6:13" ht="24" customHeight="1">
      <c r="F1699" s="545"/>
      <c r="G1699" s="889"/>
      <c r="H1699" s="545"/>
      <c r="I1699" s="876"/>
      <c r="J1699" s="876"/>
      <c r="K1699" s="545"/>
      <c r="L1699" s="876"/>
      <c r="M1699" s="882"/>
    </row>
    <row r="1700" spans="6:13" ht="24" customHeight="1">
      <c r="F1700" s="545"/>
      <c r="G1700" s="889"/>
      <c r="H1700" s="545"/>
      <c r="I1700" s="876"/>
      <c r="J1700" s="876"/>
      <c r="K1700" s="545"/>
      <c r="L1700" s="876"/>
      <c r="M1700" s="882"/>
    </row>
    <row r="1701" spans="6:13" ht="24" customHeight="1">
      <c r="F1701" s="545"/>
      <c r="G1701" s="889"/>
      <c r="H1701" s="545"/>
      <c r="I1701" s="876"/>
      <c r="J1701" s="876"/>
      <c r="K1701" s="545"/>
      <c r="L1701" s="876"/>
      <c r="M1701" s="882"/>
    </row>
    <row r="1702" spans="6:13" ht="24" customHeight="1">
      <c r="F1702" s="545"/>
      <c r="G1702" s="889"/>
      <c r="H1702" s="545"/>
      <c r="I1702" s="876"/>
      <c r="J1702" s="876"/>
      <c r="K1702" s="545"/>
      <c r="L1702" s="876"/>
      <c r="M1702" s="882"/>
    </row>
    <row r="1703" spans="6:13" ht="24" customHeight="1">
      <c r="M1703" s="882"/>
    </row>
    <row r="1704" spans="6:13" ht="24" customHeight="1">
      <c r="J1704" s="880"/>
      <c r="M1704" s="882"/>
    </row>
    <row r="1705" spans="6:13" ht="24" customHeight="1">
      <c r="M1705" s="882"/>
    </row>
    <row r="1706" spans="6:13" ht="24" customHeight="1">
      <c r="J1706" s="880"/>
      <c r="M1706" s="883"/>
    </row>
    <row r="1707" spans="6:13" ht="24" customHeight="1">
      <c r="M1707" s="882"/>
    </row>
    <row r="1709" spans="6:13" ht="24" customHeight="1">
      <c r="I1709" s="876"/>
      <c r="J1709" s="876"/>
    </row>
    <row r="1710" spans="6:13" ht="24" customHeight="1">
      <c r="J1710" s="876"/>
    </row>
    <row r="1711" spans="6:13" ht="24" customHeight="1">
      <c r="J1711" s="881"/>
      <c r="K1711" s="881"/>
    </row>
    <row r="1713" spans="6:13" ht="24" customHeight="1">
      <c r="F1713" s="904"/>
      <c r="G1713" s="924"/>
      <c r="H1713" s="904"/>
      <c r="I1713" s="876"/>
      <c r="J1713" s="876"/>
      <c r="K1713" s="545"/>
      <c r="L1713" s="876"/>
      <c r="M1713" s="882"/>
    </row>
    <row r="1714" spans="6:13" ht="24" customHeight="1">
      <c r="F1714" s="545"/>
      <c r="G1714" s="889"/>
      <c r="H1714" s="545"/>
      <c r="I1714" s="876"/>
      <c r="J1714" s="876"/>
      <c r="K1714" s="914"/>
      <c r="L1714" s="876"/>
      <c r="M1714" s="882"/>
    </row>
    <row r="1715" spans="6:13" ht="24" customHeight="1">
      <c r="F1715" s="545"/>
      <c r="G1715" s="889"/>
      <c r="H1715" s="545"/>
      <c r="I1715" s="876"/>
      <c r="J1715" s="876"/>
      <c r="K1715" s="545"/>
      <c r="L1715" s="876"/>
      <c r="M1715" s="882"/>
    </row>
    <row r="1716" spans="6:13" ht="24" customHeight="1">
      <c r="F1716" s="545"/>
      <c r="G1716" s="889"/>
      <c r="H1716" s="545"/>
      <c r="I1716" s="876"/>
      <c r="J1716" s="876"/>
      <c r="K1716" s="545"/>
      <c r="L1716" s="876"/>
      <c r="M1716" s="882"/>
    </row>
    <row r="1717" spans="6:13" ht="24" customHeight="1">
      <c r="M1717" s="882"/>
    </row>
    <row r="1718" spans="6:13" ht="24" customHeight="1">
      <c r="J1718" s="880"/>
      <c r="M1718" s="882"/>
    </row>
    <row r="1719" spans="6:13" ht="24" customHeight="1">
      <c r="M1719" s="882"/>
    </row>
    <row r="1720" spans="6:13" ht="24" customHeight="1">
      <c r="J1720" s="880"/>
      <c r="M1720" s="883"/>
    </row>
    <row r="1721" spans="6:13" ht="24" customHeight="1">
      <c r="M1721" s="882"/>
    </row>
    <row r="1722" spans="6:13" ht="24" customHeight="1">
      <c r="F1722" s="876"/>
      <c r="G1722" s="916"/>
      <c r="H1722" s="876"/>
      <c r="J1722" s="876"/>
    </row>
    <row r="1723" spans="6:13" ht="24" customHeight="1">
      <c r="J1723" s="881"/>
    </row>
    <row r="1724" spans="6:13" ht="24" customHeight="1">
      <c r="F1724" s="904"/>
      <c r="G1724" s="924"/>
      <c r="H1724" s="904"/>
      <c r="I1724" s="876"/>
      <c r="J1724" s="876"/>
      <c r="K1724" s="545"/>
      <c r="L1724" s="876"/>
      <c r="M1724" s="882"/>
    </row>
    <row r="1725" spans="6:13" ht="24" customHeight="1">
      <c r="F1725" s="545"/>
      <c r="G1725" s="889"/>
      <c r="H1725" s="545"/>
      <c r="I1725" s="876"/>
      <c r="J1725" s="876"/>
      <c r="K1725" s="882"/>
      <c r="M1725" s="882"/>
    </row>
    <row r="1726" spans="6:13" ht="24" customHeight="1">
      <c r="K1726" s="554"/>
      <c r="M1726" s="882"/>
    </row>
    <row r="1727" spans="6:13" ht="24" customHeight="1">
      <c r="J1727" s="880"/>
      <c r="M1727" s="882"/>
    </row>
    <row r="1728" spans="6:13" ht="24" customHeight="1">
      <c r="M1728" s="882"/>
    </row>
    <row r="1729" spans="6:13" ht="24" customHeight="1">
      <c r="J1729" s="880"/>
      <c r="M1729" s="882"/>
    </row>
    <row r="1730" spans="6:13" ht="24" customHeight="1">
      <c r="M1730" s="882"/>
    </row>
    <row r="1731" spans="6:13" ht="24" customHeight="1">
      <c r="F1731" s="880"/>
      <c r="G1731" s="918"/>
      <c r="H1731" s="880"/>
      <c r="I1731" s="876"/>
      <c r="J1731" s="876"/>
    </row>
    <row r="1732" spans="6:13" ht="24" customHeight="1">
      <c r="J1732" s="875"/>
    </row>
    <row r="1733" spans="6:13" ht="24" customHeight="1">
      <c r="J1733" s="881"/>
      <c r="K1733" s="881"/>
    </row>
    <row r="1734" spans="6:13" ht="24" customHeight="1">
      <c r="F1734" s="904"/>
      <c r="G1734" s="924"/>
      <c r="H1734" s="904"/>
      <c r="I1734" s="876"/>
      <c r="J1734" s="876"/>
      <c r="K1734" s="545"/>
      <c r="L1734" s="876"/>
      <c r="M1734" s="882"/>
    </row>
    <row r="1735" spans="6:13" ht="24" customHeight="1">
      <c r="F1735" s="876"/>
      <c r="G1735" s="916"/>
      <c r="H1735" s="876"/>
      <c r="I1735" s="876"/>
      <c r="J1735" s="876"/>
      <c r="K1735" s="882"/>
      <c r="M1735" s="882"/>
    </row>
    <row r="1736" spans="6:13" ht="24" customHeight="1">
      <c r="M1736" s="882"/>
    </row>
    <row r="1737" spans="6:13" ht="24" customHeight="1">
      <c r="J1737" s="880"/>
      <c r="M1737" s="882"/>
    </row>
    <row r="1738" spans="6:13" ht="24" customHeight="1">
      <c r="M1738" s="882"/>
    </row>
    <row r="1739" spans="6:13" ht="24" customHeight="1">
      <c r="J1739" s="880"/>
      <c r="M1739" s="883"/>
    </row>
    <row r="1740" spans="6:13" ht="24" customHeight="1">
      <c r="M1740" s="882"/>
    </row>
    <row r="1741" spans="6:13" ht="24" customHeight="1">
      <c r="F1741" s="880"/>
      <c r="G1741" s="918"/>
      <c r="H1741" s="880"/>
      <c r="J1741" s="876"/>
    </row>
    <row r="1742" spans="6:13" ht="24" customHeight="1">
      <c r="J1742" s="881"/>
    </row>
    <row r="1743" spans="6:13" ht="24" customHeight="1">
      <c r="F1743" s="545"/>
      <c r="G1743" s="889"/>
      <c r="H1743" s="545"/>
      <c r="I1743" s="876"/>
      <c r="J1743" s="876"/>
      <c r="K1743" s="545"/>
      <c r="L1743" s="876"/>
      <c r="M1743" s="882"/>
    </row>
    <row r="1744" spans="6:13" ht="24" customHeight="1">
      <c r="F1744" s="545"/>
      <c r="G1744" s="889"/>
      <c r="H1744" s="545"/>
      <c r="I1744" s="876"/>
      <c r="J1744" s="876"/>
      <c r="K1744" s="914"/>
      <c r="L1744" s="876"/>
      <c r="M1744" s="882"/>
    </row>
    <row r="1745" spans="6:13" ht="24" customHeight="1">
      <c r="F1745" s="545"/>
      <c r="G1745" s="889"/>
      <c r="H1745" s="545"/>
      <c r="I1745" s="876"/>
      <c r="J1745" s="876"/>
      <c r="K1745" s="545"/>
      <c r="L1745" s="876"/>
      <c r="M1745" s="882"/>
    </row>
    <row r="1746" spans="6:13" ht="24" customHeight="1">
      <c r="F1746" s="545"/>
      <c r="G1746" s="889"/>
      <c r="H1746" s="545"/>
      <c r="I1746" s="876"/>
      <c r="J1746" s="876"/>
      <c r="K1746" s="545"/>
      <c r="L1746" s="876"/>
      <c r="M1746" s="882"/>
    </row>
    <row r="1747" spans="6:13" ht="24" customHeight="1">
      <c r="F1747" s="545"/>
      <c r="G1747" s="889"/>
      <c r="H1747" s="545"/>
      <c r="I1747" s="876"/>
      <c r="J1747" s="876"/>
      <c r="K1747" s="914"/>
      <c r="L1747" s="876"/>
      <c r="M1747" s="882"/>
    </row>
    <row r="1748" spans="6:13" ht="24" customHeight="1">
      <c r="F1748" s="545"/>
      <c r="G1748" s="889"/>
      <c r="H1748" s="545"/>
      <c r="I1748" s="876"/>
      <c r="J1748" s="876"/>
      <c r="K1748" s="914"/>
      <c r="L1748" s="876"/>
      <c r="M1748" s="882"/>
    </row>
    <row r="1749" spans="6:13" ht="24" customHeight="1">
      <c r="F1749" s="545"/>
      <c r="G1749" s="889"/>
      <c r="H1749" s="545"/>
      <c r="I1749" s="876"/>
      <c r="J1749" s="876"/>
      <c r="K1749" s="545"/>
      <c r="L1749" s="876"/>
      <c r="M1749" s="882"/>
    </row>
    <row r="1750" spans="6:13" ht="24" customHeight="1">
      <c r="F1750" s="545"/>
      <c r="G1750" s="889"/>
      <c r="H1750" s="545"/>
      <c r="I1750" s="876"/>
      <c r="J1750" s="876"/>
      <c r="K1750" s="545"/>
      <c r="L1750" s="876"/>
      <c r="M1750" s="882"/>
    </row>
    <row r="1751" spans="6:13" ht="24" customHeight="1">
      <c r="F1751" s="880"/>
      <c r="G1751" s="918"/>
      <c r="H1751" s="880"/>
      <c r="J1751" s="876"/>
      <c r="M1751" s="882"/>
    </row>
    <row r="1752" spans="6:13" ht="24" customHeight="1">
      <c r="M1752" s="882"/>
    </row>
    <row r="1753" spans="6:13" ht="24" customHeight="1">
      <c r="J1753" s="876"/>
      <c r="M1753" s="882"/>
    </row>
    <row r="1754" spans="6:13" ht="24" customHeight="1">
      <c r="M1754" s="882"/>
    </row>
    <row r="1755" spans="6:13" ht="24" customHeight="1">
      <c r="J1755" s="876"/>
      <c r="M1755" s="883"/>
    </row>
    <row r="1756" spans="6:13" ht="24" customHeight="1">
      <c r="M1756" s="882"/>
    </row>
    <row r="1758" spans="6:13" ht="24" customHeight="1">
      <c r="F1758" s="880"/>
      <c r="G1758" s="918"/>
      <c r="H1758" s="880"/>
      <c r="J1758" s="876"/>
    </row>
    <row r="1759" spans="6:13" ht="24" customHeight="1">
      <c r="J1759" s="881"/>
    </row>
    <row r="1760" spans="6:13" ht="24" customHeight="1">
      <c r="F1760" s="545"/>
      <c r="G1760" s="889"/>
      <c r="H1760" s="545"/>
      <c r="I1760" s="876"/>
      <c r="J1760" s="876"/>
      <c r="K1760" s="545"/>
      <c r="L1760" s="876"/>
      <c r="M1760" s="882"/>
    </row>
    <row r="1761" spans="6:13" ht="24" customHeight="1">
      <c r="F1761" s="545"/>
      <c r="G1761" s="889"/>
      <c r="H1761" s="545"/>
      <c r="I1761" s="876"/>
      <c r="J1761" s="876"/>
      <c r="K1761" s="545"/>
      <c r="L1761" s="876"/>
      <c r="M1761" s="882"/>
    </row>
    <row r="1762" spans="6:13" ht="24" customHeight="1">
      <c r="F1762" s="545"/>
      <c r="G1762" s="889"/>
      <c r="H1762" s="545"/>
      <c r="I1762" s="876"/>
      <c r="J1762" s="876"/>
      <c r="K1762" s="545"/>
      <c r="L1762" s="876"/>
      <c r="M1762" s="882"/>
    </row>
    <row r="1763" spans="6:13" ht="24" customHeight="1">
      <c r="F1763" s="545"/>
      <c r="G1763" s="889"/>
      <c r="H1763" s="545"/>
      <c r="I1763" s="876"/>
      <c r="J1763" s="876"/>
      <c r="K1763" s="545"/>
      <c r="L1763" s="876"/>
      <c r="M1763" s="882"/>
    </row>
    <row r="1764" spans="6:13" ht="24" customHeight="1">
      <c r="F1764" s="545"/>
      <c r="G1764" s="889"/>
      <c r="H1764" s="545"/>
      <c r="I1764" s="876"/>
      <c r="J1764" s="876"/>
      <c r="K1764" s="545"/>
      <c r="L1764" s="876"/>
      <c r="M1764" s="882"/>
    </row>
    <row r="1765" spans="6:13" ht="24" customHeight="1">
      <c r="F1765" s="545"/>
      <c r="G1765" s="889"/>
      <c r="H1765" s="545"/>
      <c r="I1765" s="876"/>
      <c r="J1765" s="876"/>
      <c r="K1765" s="545"/>
      <c r="L1765" s="876"/>
      <c r="M1765" s="882"/>
    </row>
    <row r="1766" spans="6:13" ht="24" customHeight="1">
      <c r="J1766" s="876"/>
      <c r="K1766" s="876"/>
      <c r="L1766" s="876"/>
      <c r="M1766" s="882"/>
    </row>
    <row r="1767" spans="6:13" ht="24" customHeight="1">
      <c r="L1767" s="876"/>
      <c r="M1767" s="882"/>
    </row>
    <row r="1768" spans="6:13" ht="24" customHeight="1">
      <c r="F1768" s="876"/>
      <c r="G1768" s="916"/>
      <c r="H1768" s="876"/>
      <c r="I1768" s="876"/>
      <c r="J1768" s="876"/>
      <c r="M1768" s="883"/>
    </row>
    <row r="1769" spans="6:13" ht="24" customHeight="1">
      <c r="J1769" s="876"/>
      <c r="M1769" s="882"/>
    </row>
    <row r="1770" spans="6:13" ht="24" customHeight="1">
      <c r="M1770" s="882"/>
    </row>
    <row r="1771" spans="6:13" ht="24" customHeight="1">
      <c r="F1771" s="880"/>
      <c r="G1771" s="918"/>
      <c r="H1771" s="880"/>
      <c r="J1771" s="876"/>
    </row>
    <row r="1772" spans="6:13" ht="24" customHeight="1">
      <c r="J1772" s="881"/>
    </row>
    <row r="1773" spans="6:13" ht="24" customHeight="1">
      <c r="F1773" s="922"/>
      <c r="G1773" s="923"/>
      <c r="H1773" s="922"/>
      <c r="I1773" s="876"/>
      <c r="J1773" s="876"/>
      <c r="K1773" s="545"/>
      <c r="L1773" s="876"/>
      <c r="M1773" s="882"/>
    </row>
    <row r="1774" spans="6:13" ht="24" customHeight="1">
      <c r="F1774" s="922"/>
      <c r="G1774" s="923"/>
      <c r="H1774" s="922"/>
      <c r="I1774" s="876"/>
      <c r="J1774" s="876"/>
      <c r="K1774" s="545"/>
      <c r="L1774" s="876"/>
      <c r="M1774" s="882"/>
    </row>
    <row r="1775" spans="6:13" ht="24" customHeight="1">
      <c r="F1775" s="545"/>
      <c r="G1775" s="889"/>
      <c r="H1775" s="545"/>
      <c r="I1775" s="876"/>
      <c r="J1775" s="876"/>
      <c r="K1775" s="545"/>
      <c r="L1775" s="876"/>
      <c r="M1775" s="882"/>
    </row>
    <row r="1776" spans="6:13" ht="24" customHeight="1">
      <c r="F1776" s="545"/>
      <c r="G1776" s="889"/>
      <c r="H1776" s="545"/>
      <c r="I1776" s="876"/>
      <c r="J1776" s="876"/>
      <c r="K1776" s="545"/>
      <c r="L1776" s="876"/>
      <c r="M1776" s="882"/>
    </row>
    <row r="1777" spans="6:13" ht="24" customHeight="1">
      <c r="F1777" s="545"/>
      <c r="G1777" s="889"/>
      <c r="H1777" s="545"/>
      <c r="I1777" s="876"/>
      <c r="J1777" s="876"/>
      <c r="K1777" s="545"/>
      <c r="L1777" s="876"/>
      <c r="M1777" s="882"/>
    </row>
    <row r="1778" spans="6:13" ht="24" customHeight="1">
      <c r="F1778" s="545"/>
      <c r="G1778" s="889"/>
      <c r="H1778" s="545"/>
      <c r="I1778" s="876"/>
      <c r="J1778" s="876"/>
      <c r="K1778" s="545"/>
      <c r="L1778" s="876"/>
      <c r="M1778" s="882"/>
    </row>
    <row r="1779" spans="6:13" ht="24" customHeight="1">
      <c r="F1779" s="545"/>
      <c r="G1779" s="889"/>
      <c r="H1779" s="545"/>
      <c r="I1779" s="876"/>
      <c r="J1779" s="876"/>
      <c r="K1779" s="914"/>
      <c r="L1779" s="876"/>
      <c r="M1779" s="882"/>
    </row>
    <row r="1780" spans="6:13" ht="24" customHeight="1">
      <c r="F1780" s="882"/>
      <c r="G1780" s="936"/>
      <c r="H1780" s="882"/>
      <c r="J1780" s="876"/>
      <c r="K1780" s="882"/>
      <c r="M1780" s="882"/>
    </row>
    <row r="1781" spans="6:13" ht="24" customHeight="1">
      <c r="F1781" s="882"/>
      <c r="G1781" s="936"/>
      <c r="H1781" s="882"/>
      <c r="J1781" s="876"/>
      <c r="K1781" s="882"/>
      <c r="M1781" s="882"/>
    </row>
    <row r="1782" spans="6:13" ht="24" customHeight="1">
      <c r="M1782" s="882"/>
    </row>
    <row r="1783" spans="6:13" ht="24" customHeight="1">
      <c r="M1783" s="882"/>
    </row>
    <row r="1784" spans="6:13" ht="24" customHeight="1">
      <c r="M1784" s="882"/>
    </row>
    <row r="1785" spans="6:13" ht="24" customHeight="1">
      <c r="M1785" s="882"/>
    </row>
    <row r="1786" spans="6:13" ht="24" customHeight="1">
      <c r="F1786" s="900"/>
      <c r="G1786" s="926"/>
      <c r="H1786" s="900"/>
      <c r="J1786" s="876"/>
      <c r="M1786" s="882"/>
    </row>
    <row r="1787" spans="6:13" ht="24" customHeight="1">
      <c r="F1787" s="920"/>
      <c r="G1787" s="921"/>
      <c r="H1787" s="920"/>
      <c r="J1787" s="876"/>
      <c r="M1787" s="882"/>
    </row>
    <row r="1788" spans="6:13" ht="24" customHeight="1">
      <c r="F1788" s="880"/>
      <c r="G1788" s="918"/>
      <c r="H1788" s="880"/>
      <c r="J1788" s="876"/>
      <c r="M1788" s="882"/>
    </row>
    <row r="1789" spans="6:13" ht="24" customHeight="1">
      <c r="J1789" s="876"/>
    </row>
    <row r="1790" spans="6:13" ht="24" customHeight="1">
      <c r="F1790" s="876"/>
      <c r="G1790" s="916"/>
      <c r="H1790" s="876"/>
      <c r="J1790" s="876"/>
    </row>
    <row r="1791" spans="6:13" ht="24" customHeight="1">
      <c r="F1791" s="920"/>
      <c r="G1791" s="921"/>
      <c r="H1791" s="920"/>
      <c r="I1791" s="876"/>
      <c r="J1791" s="876"/>
    </row>
    <row r="1792" spans="6:13" ht="24" customHeight="1">
      <c r="J1792" s="876"/>
    </row>
    <row r="1793" spans="6:13" ht="24" customHeight="1">
      <c r="J1793" s="876"/>
    </row>
    <row r="1794" spans="6:13" ht="24" customHeight="1">
      <c r="J1794" s="881"/>
    </row>
    <row r="1795" spans="6:13" ht="24" customHeight="1">
      <c r="I1795" s="876"/>
      <c r="J1795" s="876"/>
      <c r="M1795" s="882"/>
    </row>
    <row r="1796" spans="6:13" ht="24" customHeight="1">
      <c r="J1796" s="881"/>
      <c r="M1796" s="882"/>
    </row>
    <row r="1797" spans="6:13" ht="24" customHeight="1">
      <c r="F1797" s="545"/>
      <c r="G1797" s="889"/>
      <c r="H1797" s="545"/>
      <c r="I1797" s="876"/>
      <c r="J1797" s="876"/>
      <c r="K1797" s="545"/>
      <c r="L1797" s="876"/>
      <c r="M1797" s="882"/>
    </row>
    <row r="1798" spans="6:13" ht="24" customHeight="1">
      <c r="F1798" s="876"/>
      <c r="G1798" s="916"/>
      <c r="H1798" s="876"/>
      <c r="J1798" s="876"/>
      <c r="K1798" s="876"/>
      <c r="M1798" s="882"/>
    </row>
    <row r="1799" spans="6:13" ht="24" customHeight="1">
      <c r="F1799" s="545"/>
      <c r="G1799" s="889"/>
      <c r="H1799" s="545"/>
      <c r="I1799" s="876"/>
      <c r="J1799" s="876"/>
      <c r="K1799" s="545"/>
      <c r="L1799" s="876"/>
      <c r="M1799" s="882"/>
    </row>
    <row r="1800" spans="6:13" ht="24" customHeight="1">
      <c r="F1800" s="545"/>
      <c r="G1800" s="889"/>
      <c r="H1800" s="545"/>
      <c r="I1800" s="876"/>
      <c r="J1800" s="876"/>
      <c r="K1800" s="545"/>
      <c r="L1800" s="876"/>
      <c r="M1800" s="882"/>
    </row>
    <row r="1801" spans="6:13" ht="24" customHeight="1">
      <c r="F1801" s="545"/>
      <c r="G1801" s="889"/>
      <c r="H1801" s="545"/>
      <c r="I1801" s="876"/>
      <c r="J1801" s="876"/>
      <c r="K1801" s="545"/>
      <c r="L1801" s="876"/>
      <c r="M1801" s="882"/>
    </row>
    <row r="1802" spans="6:13" ht="24" customHeight="1">
      <c r="F1802" s="545"/>
      <c r="G1802" s="889"/>
      <c r="H1802" s="545"/>
      <c r="I1802" s="876"/>
      <c r="J1802" s="876"/>
      <c r="K1802" s="545"/>
      <c r="L1802" s="876"/>
      <c r="M1802" s="882"/>
    </row>
    <row r="1803" spans="6:13" ht="24" customHeight="1">
      <c r="F1803" s="545"/>
      <c r="G1803" s="889"/>
      <c r="H1803" s="545"/>
      <c r="I1803" s="876"/>
      <c r="J1803" s="876"/>
      <c r="K1803" s="545"/>
      <c r="L1803" s="876"/>
      <c r="M1803" s="882"/>
    </row>
    <row r="1804" spans="6:13" ht="24" customHeight="1">
      <c r="F1804" s="545"/>
      <c r="G1804" s="889"/>
      <c r="H1804" s="545"/>
      <c r="I1804" s="876"/>
      <c r="J1804" s="876"/>
      <c r="K1804" s="545"/>
      <c r="L1804" s="876"/>
      <c r="M1804" s="882"/>
    </row>
    <row r="1805" spans="6:13" ht="24" customHeight="1">
      <c r="I1805" s="876"/>
      <c r="J1805" s="876"/>
      <c r="K1805" s="876"/>
      <c r="L1805" s="876"/>
      <c r="M1805" s="882"/>
    </row>
    <row r="1806" spans="6:13" ht="24" customHeight="1">
      <c r="J1806" s="876"/>
      <c r="K1806" s="876"/>
      <c r="M1806" s="882"/>
    </row>
    <row r="1807" spans="6:13" ht="24" customHeight="1">
      <c r="I1807" s="876"/>
      <c r="J1807" s="876"/>
      <c r="L1807" s="876"/>
      <c r="M1807" s="882"/>
    </row>
    <row r="1808" spans="6:13" ht="24" customHeight="1">
      <c r="M1808" s="882"/>
    </row>
    <row r="1809" spans="6:13" ht="24" customHeight="1">
      <c r="J1809" s="876"/>
      <c r="M1809" s="882"/>
    </row>
    <row r="1810" spans="6:13" ht="24" customHeight="1">
      <c r="M1810" s="882"/>
    </row>
    <row r="1811" spans="6:13" ht="24" customHeight="1">
      <c r="J1811" s="876"/>
      <c r="M1811" s="882"/>
    </row>
    <row r="1812" spans="6:13" ht="24" customHeight="1">
      <c r="M1812" s="882"/>
    </row>
    <row r="1813" spans="6:13" ht="24" customHeight="1">
      <c r="I1813" s="876"/>
      <c r="J1813" s="876"/>
      <c r="M1813" s="882"/>
    </row>
    <row r="1814" spans="6:13" ht="24" customHeight="1">
      <c r="J1814" s="881"/>
      <c r="M1814" s="882"/>
    </row>
    <row r="1815" spans="6:13" ht="24" customHeight="1">
      <c r="F1815" s="545"/>
      <c r="G1815" s="889"/>
      <c r="H1815" s="545"/>
      <c r="I1815" s="876"/>
      <c r="J1815" s="876"/>
      <c r="K1815" s="545"/>
      <c r="L1815" s="876"/>
      <c r="M1815" s="882"/>
    </row>
    <row r="1816" spans="6:13" ht="24" customHeight="1">
      <c r="F1816" s="876"/>
      <c r="G1816" s="916"/>
      <c r="H1816" s="876"/>
      <c r="J1816" s="876"/>
      <c r="K1816" s="876"/>
      <c r="M1816" s="882"/>
    </row>
    <row r="1817" spans="6:13" ht="24" customHeight="1">
      <c r="F1817" s="545"/>
      <c r="G1817" s="889"/>
      <c r="H1817" s="545"/>
      <c r="I1817" s="876"/>
      <c r="J1817" s="876"/>
      <c r="K1817" s="545"/>
      <c r="L1817" s="876"/>
      <c r="M1817" s="882"/>
    </row>
    <row r="1818" spans="6:13" ht="24" customHeight="1">
      <c r="F1818" s="545"/>
      <c r="G1818" s="889"/>
      <c r="H1818" s="545"/>
      <c r="I1818" s="876"/>
      <c r="J1818" s="876"/>
      <c r="K1818" s="545"/>
      <c r="L1818" s="876"/>
      <c r="M1818" s="882"/>
    </row>
    <row r="1819" spans="6:13" ht="24" customHeight="1">
      <c r="F1819" s="545"/>
      <c r="G1819" s="889"/>
      <c r="H1819" s="545"/>
      <c r="I1819" s="876"/>
      <c r="J1819" s="876"/>
      <c r="K1819" s="545"/>
      <c r="L1819" s="876"/>
      <c r="M1819" s="882"/>
    </row>
    <row r="1820" spans="6:13" ht="24" customHeight="1">
      <c r="F1820" s="545"/>
      <c r="G1820" s="889"/>
      <c r="H1820" s="545"/>
      <c r="I1820" s="876"/>
      <c r="J1820" s="876"/>
      <c r="K1820" s="545"/>
      <c r="L1820" s="876"/>
      <c r="M1820" s="882"/>
    </row>
    <row r="1821" spans="6:13" ht="24" customHeight="1">
      <c r="F1821" s="545"/>
      <c r="G1821" s="889"/>
      <c r="H1821" s="545"/>
      <c r="I1821" s="876"/>
      <c r="J1821" s="876"/>
      <c r="K1821" s="545"/>
      <c r="L1821" s="876"/>
      <c r="M1821" s="882"/>
    </row>
    <row r="1822" spans="6:13" ht="24" customHeight="1">
      <c r="F1822" s="545"/>
      <c r="G1822" s="889"/>
      <c r="H1822" s="545"/>
      <c r="I1822" s="876"/>
      <c r="J1822" s="876"/>
      <c r="K1822" s="545"/>
      <c r="L1822" s="876"/>
      <c r="M1822" s="882"/>
    </row>
    <row r="1823" spans="6:13" ht="24" customHeight="1">
      <c r="I1823" s="876"/>
      <c r="J1823" s="876"/>
      <c r="K1823" s="876"/>
      <c r="L1823" s="876"/>
      <c r="M1823" s="882"/>
    </row>
    <row r="1824" spans="6:13" ht="24" customHeight="1">
      <c r="J1824" s="876"/>
      <c r="K1824" s="876"/>
      <c r="M1824" s="882"/>
    </row>
    <row r="1825" spans="1:255" ht="24" customHeight="1">
      <c r="I1825" s="876"/>
      <c r="J1825" s="876"/>
      <c r="L1825" s="876"/>
      <c r="M1825" s="882"/>
    </row>
    <row r="1826" spans="1:255" ht="24" customHeight="1">
      <c r="M1826" s="882"/>
    </row>
    <row r="1827" spans="1:255" ht="24" customHeight="1">
      <c r="J1827" s="876"/>
      <c r="M1827" s="882"/>
    </row>
    <row r="1828" spans="1:255" ht="24" customHeight="1">
      <c r="M1828" s="882"/>
    </row>
    <row r="1829" spans="1:255" ht="24" customHeight="1">
      <c r="J1829" s="876"/>
      <c r="M1829" s="882"/>
    </row>
    <row r="1830" spans="1:255" ht="24" customHeight="1">
      <c r="M1830" s="882"/>
    </row>
    <row r="1831" spans="1:255" ht="24" customHeight="1">
      <c r="I1831" s="876"/>
      <c r="J1831" s="876"/>
      <c r="M1831" s="882"/>
    </row>
    <row r="1832" spans="1:255" ht="24" customHeight="1">
      <c r="J1832" s="881"/>
      <c r="M1832" s="882"/>
    </row>
    <row r="1833" spans="1:255" ht="24" customHeight="1">
      <c r="F1833" s="545"/>
      <c r="G1833" s="889"/>
      <c r="H1833" s="545"/>
      <c r="I1833" s="876"/>
      <c r="J1833" s="876"/>
      <c r="K1833" s="545"/>
      <c r="L1833" s="876"/>
      <c r="M1833" s="882"/>
    </row>
    <row r="1834" spans="1:255" s="877" customFormat="1" ht="24" customHeight="1">
      <c r="A1834" s="501"/>
      <c r="B1834" s="501"/>
      <c r="C1834" s="501"/>
      <c r="D1834" s="501"/>
      <c r="E1834" s="501"/>
      <c r="F1834" s="876"/>
      <c r="G1834" s="916"/>
      <c r="H1834" s="876"/>
      <c r="I1834" s="874"/>
      <c r="J1834" s="876"/>
      <c r="K1834" s="876"/>
      <c r="L1834" s="874"/>
      <c r="M1834" s="882"/>
      <c r="N1834" s="501"/>
      <c r="O1834" s="501"/>
      <c r="P1834" s="501"/>
      <c r="Q1834" s="501"/>
      <c r="R1834" s="501"/>
      <c r="S1834" s="501"/>
      <c r="T1834" s="501"/>
      <c r="V1834" s="501"/>
      <c r="W1834" s="501"/>
      <c r="X1834" s="501"/>
      <c r="Y1834" s="501"/>
      <c r="Z1834" s="501"/>
      <c r="AA1834" s="501"/>
      <c r="AB1834" s="501"/>
      <c r="AC1834" s="501"/>
      <c r="AD1834" s="501"/>
      <c r="AE1834" s="501"/>
      <c r="AF1834" s="501"/>
      <c r="AG1834" s="501"/>
      <c r="AH1834" s="501"/>
      <c r="AI1834" s="501"/>
      <c r="AJ1834" s="501"/>
      <c r="AK1834" s="501"/>
      <c r="AL1834" s="501"/>
      <c r="AM1834" s="501"/>
      <c r="AN1834" s="501"/>
      <c r="AO1834" s="501"/>
      <c r="AP1834" s="501"/>
      <c r="AQ1834" s="501"/>
      <c r="AR1834" s="501"/>
      <c r="AS1834" s="501"/>
      <c r="AT1834" s="501"/>
      <c r="AU1834" s="501"/>
      <c r="AV1834" s="501"/>
      <c r="AW1834" s="501"/>
      <c r="AX1834" s="501"/>
      <c r="AY1834" s="501"/>
      <c r="AZ1834" s="501"/>
      <c r="BA1834" s="501"/>
      <c r="BB1834" s="501"/>
      <c r="BC1834" s="501"/>
      <c r="BD1834" s="501"/>
      <c r="BE1834" s="501"/>
      <c r="BF1834" s="501"/>
      <c r="BG1834" s="501"/>
      <c r="BH1834" s="501"/>
      <c r="BI1834" s="501"/>
      <c r="BJ1834" s="501"/>
      <c r="BK1834" s="501"/>
      <c r="BL1834" s="501"/>
      <c r="BM1834" s="501"/>
      <c r="BN1834" s="501"/>
      <c r="BO1834" s="501"/>
      <c r="BP1834" s="501"/>
      <c r="BQ1834" s="501"/>
      <c r="BR1834" s="501"/>
      <c r="BS1834" s="501"/>
      <c r="BT1834" s="501"/>
      <c r="BU1834" s="501"/>
      <c r="BV1834" s="501"/>
      <c r="BW1834" s="501"/>
      <c r="BX1834" s="501"/>
      <c r="BY1834" s="501"/>
      <c r="BZ1834" s="501"/>
      <c r="CA1834" s="501"/>
      <c r="CB1834" s="501"/>
      <c r="CC1834" s="501"/>
      <c r="CD1834" s="501"/>
      <c r="CE1834" s="501"/>
      <c r="CF1834" s="501"/>
      <c r="CG1834" s="501"/>
      <c r="CH1834" s="501"/>
      <c r="CI1834" s="501"/>
      <c r="CJ1834" s="501"/>
      <c r="CK1834" s="501"/>
      <c r="CL1834" s="501"/>
      <c r="CM1834" s="501"/>
      <c r="CN1834" s="501"/>
      <c r="CO1834" s="501"/>
      <c r="CP1834" s="501"/>
      <c r="CQ1834" s="501"/>
      <c r="CR1834" s="501"/>
      <c r="CS1834" s="501"/>
      <c r="CT1834" s="501"/>
      <c r="CU1834" s="501"/>
      <c r="CV1834" s="501"/>
      <c r="CW1834" s="501"/>
      <c r="CX1834" s="501"/>
      <c r="CY1834" s="501"/>
      <c r="CZ1834" s="501"/>
      <c r="DA1834" s="501"/>
      <c r="DB1834" s="501"/>
      <c r="DC1834" s="501"/>
      <c r="DD1834" s="501"/>
      <c r="DE1834" s="501"/>
      <c r="DF1834" s="501"/>
      <c r="DG1834" s="501"/>
      <c r="DH1834" s="501"/>
      <c r="DI1834" s="501"/>
      <c r="DJ1834" s="501"/>
      <c r="DK1834" s="501"/>
      <c r="DL1834" s="501"/>
      <c r="DM1834" s="501"/>
      <c r="DN1834" s="501"/>
      <c r="DO1834" s="501"/>
      <c r="DP1834" s="501"/>
      <c r="DQ1834" s="501"/>
      <c r="DR1834" s="501"/>
      <c r="DS1834" s="501"/>
      <c r="DT1834" s="501"/>
      <c r="DU1834" s="501"/>
      <c r="DV1834" s="501"/>
      <c r="DW1834" s="501"/>
      <c r="DX1834" s="501"/>
      <c r="DY1834" s="501"/>
      <c r="DZ1834" s="501"/>
      <c r="EA1834" s="501"/>
      <c r="EB1834" s="501"/>
      <c r="EC1834" s="501"/>
      <c r="ED1834" s="501"/>
      <c r="EE1834" s="501"/>
      <c r="EF1834" s="501"/>
      <c r="EG1834" s="501"/>
      <c r="EH1834" s="501"/>
      <c r="EI1834" s="501"/>
      <c r="EJ1834" s="501"/>
      <c r="EK1834" s="501"/>
      <c r="EL1834" s="501"/>
      <c r="EM1834" s="501"/>
      <c r="EN1834" s="501"/>
      <c r="EO1834" s="501"/>
      <c r="EP1834" s="501"/>
      <c r="EQ1834" s="501"/>
      <c r="ER1834" s="501"/>
      <c r="ES1834" s="501"/>
      <c r="ET1834" s="501"/>
      <c r="EU1834" s="501"/>
      <c r="EV1834" s="501"/>
      <c r="EW1834" s="501"/>
      <c r="EX1834" s="501"/>
      <c r="EY1834" s="501"/>
      <c r="EZ1834" s="501"/>
      <c r="FA1834" s="501"/>
      <c r="FB1834" s="501"/>
      <c r="FC1834" s="501"/>
      <c r="FD1834" s="501"/>
      <c r="FE1834" s="501"/>
      <c r="FF1834" s="501"/>
      <c r="FG1834" s="501"/>
      <c r="FH1834" s="501"/>
      <c r="FI1834" s="501"/>
      <c r="FJ1834" s="501"/>
      <c r="FK1834" s="501"/>
      <c r="FL1834" s="501"/>
      <c r="FM1834" s="501"/>
      <c r="FN1834" s="501"/>
      <c r="FO1834" s="501"/>
      <c r="FP1834" s="501"/>
      <c r="FQ1834" s="501"/>
      <c r="FR1834" s="501"/>
      <c r="FS1834" s="501"/>
      <c r="FT1834" s="501"/>
      <c r="FU1834" s="501"/>
      <c r="FV1834" s="501"/>
      <c r="FW1834" s="501"/>
      <c r="FX1834" s="501"/>
      <c r="FY1834" s="501"/>
      <c r="FZ1834" s="501"/>
      <c r="GA1834" s="501"/>
      <c r="GB1834" s="501"/>
      <c r="GC1834" s="501"/>
      <c r="GD1834" s="501"/>
      <c r="GE1834" s="501"/>
      <c r="GF1834" s="501"/>
      <c r="GG1834" s="501"/>
      <c r="GH1834" s="501"/>
      <c r="GI1834" s="501"/>
      <c r="GJ1834" s="501"/>
      <c r="GK1834" s="501"/>
      <c r="GL1834" s="501"/>
      <c r="GM1834" s="501"/>
      <c r="GN1834" s="501"/>
      <c r="GO1834" s="501"/>
      <c r="GP1834" s="501"/>
      <c r="GQ1834" s="501"/>
      <c r="GR1834" s="501"/>
      <c r="GS1834" s="501"/>
      <c r="GT1834" s="501"/>
      <c r="GU1834" s="501"/>
      <c r="GV1834" s="501"/>
      <c r="GW1834" s="501"/>
      <c r="GX1834" s="501"/>
      <c r="GY1834" s="501"/>
      <c r="GZ1834" s="501"/>
      <c r="HA1834" s="501"/>
      <c r="HB1834" s="501"/>
      <c r="HC1834" s="501"/>
      <c r="HD1834" s="501"/>
      <c r="HE1834" s="501"/>
      <c r="HF1834" s="501"/>
      <c r="HG1834" s="501"/>
      <c r="HH1834" s="501"/>
      <c r="HI1834" s="501"/>
      <c r="HJ1834" s="501"/>
      <c r="HK1834" s="501"/>
      <c r="HL1834" s="501"/>
      <c r="HM1834" s="501"/>
      <c r="HN1834" s="501"/>
      <c r="HO1834" s="501"/>
      <c r="HP1834" s="501"/>
      <c r="HQ1834" s="501"/>
      <c r="HR1834" s="501"/>
      <c r="HS1834" s="501"/>
      <c r="HT1834" s="501"/>
      <c r="HU1834" s="501"/>
      <c r="HV1834" s="501"/>
      <c r="HW1834" s="501"/>
      <c r="HX1834" s="501"/>
      <c r="HY1834" s="501"/>
      <c r="HZ1834" s="501"/>
      <c r="IA1834" s="501"/>
      <c r="IB1834" s="501"/>
      <c r="IC1834" s="501"/>
      <c r="ID1834" s="501"/>
      <c r="IE1834" s="501"/>
      <c r="IF1834" s="501"/>
      <c r="IG1834" s="501"/>
      <c r="IH1834" s="501"/>
      <c r="II1834" s="501"/>
      <c r="IJ1834" s="501"/>
      <c r="IK1834" s="501"/>
      <c r="IL1834" s="501"/>
      <c r="IM1834" s="501"/>
      <c r="IN1834" s="501"/>
      <c r="IO1834" s="501"/>
      <c r="IP1834" s="501"/>
      <c r="IQ1834" s="501"/>
      <c r="IR1834" s="501"/>
      <c r="IS1834" s="501"/>
      <c r="IT1834" s="501"/>
      <c r="IU1834" s="501"/>
    </row>
    <row r="1835" spans="1:255" s="877" customFormat="1" ht="24" customHeight="1">
      <c r="A1835" s="501"/>
      <c r="B1835" s="501"/>
      <c r="C1835" s="501"/>
      <c r="D1835" s="501"/>
      <c r="E1835" s="501"/>
      <c r="F1835" s="545"/>
      <c r="G1835" s="889"/>
      <c r="H1835" s="545"/>
      <c r="I1835" s="876"/>
      <c r="J1835" s="876"/>
      <c r="K1835" s="545"/>
      <c r="L1835" s="876"/>
      <c r="M1835" s="882"/>
      <c r="N1835" s="501"/>
      <c r="O1835" s="501"/>
      <c r="P1835" s="501"/>
      <c r="Q1835" s="501"/>
      <c r="R1835" s="501"/>
      <c r="S1835" s="501"/>
      <c r="T1835" s="501"/>
      <c r="V1835" s="501"/>
      <c r="W1835" s="501"/>
      <c r="X1835" s="501"/>
      <c r="Y1835" s="501"/>
      <c r="Z1835" s="501"/>
      <c r="AA1835" s="501"/>
      <c r="AB1835" s="501"/>
      <c r="AC1835" s="501"/>
      <c r="AD1835" s="501"/>
      <c r="AE1835" s="501"/>
      <c r="AF1835" s="501"/>
      <c r="AG1835" s="501"/>
      <c r="AH1835" s="501"/>
      <c r="AI1835" s="501"/>
      <c r="AJ1835" s="501"/>
      <c r="AK1835" s="501"/>
      <c r="AL1835" s="501"/>
      <c r="AM1835" s="501"/>
      <c r="AN1835" s="501"/>
      <c r="AO1835" s="501"/>
      <c r="AP1835" s="501"/>
      <c r="AQ1835" s="501"/>
      <c r="AR1835" s="501"/>
      <c r="AS1835" s="501"/>
      <c r="AT1835" s="501"/>
      <c r="AU1835" s="501"/>
      <c r="AV1835" s="501"/>
      <c r="AW1835" s="501"/>
      <c r="AX1835" s="501"/>
      <c r="AY1835" s="501"/>
      <c r="AZ1835" s="501"/>
      <c r="BA1835" s="501"/>
      <c r="BB1835" s="501"/>
      <c r="BC1835" s="501"/>
      <c r="BD1835" s="501"/>
      <c r="BE1835" s="501"/>
      <c r="BF1835" s="501"/>
      <c r="BG1835" s="501"/>
      <c r="BH1835" s="501"/>
      <c r="BI1835" s="501"/>
      <c r="BJ1835" s="501"/>
      <c r="BK1835" s="501"/>
      <c r="BL1835" s="501"/>
      <c r="BM1835" s="501"/>
      <c r="BN1835" s="501"/>
      <c r="BO1835" s="501"/>
      <c r="BP1835" s="501"/>
      <c r="BQ1835" s="501"/>
      <c r="BR1835" s="501"/>
      <c r="BS1835" s="501"/>
      <c r="BT1835" s="501"/>
      <c r="BU1835" s="501"/>
      <c r="BV1835" s="501"/>
      <c r="BW1835" s="501"/>
      <c r="BX1835" s="501"/>
      <c r="BY1835" s="501"/>
      <c r="BZ1835" s="501"/>
      <c r="CA1835" s="501"/>
      <c r="CB1835" s="501"/>
      <c r="CC1835" s="501"/>
      <c r="CD1835" s="501"/>
      <c r="CE1835" s="501"/>
      <c r="CF1835" s="501"/>
      <c r="CG1835" s="501"/>
      <c r="CH1835" s="501"/>
      <c r="CI1835" s="501"/>
      <c r="CJ1835" s="501"/>
      <c r="CK1835" s="501"/>
      <c r="CL1835" s="501"/>
      <c r="CM1835" s="501"/>
      <c r="CN1835" s="501"/>
      <c r="CO1835" s="501"/>
      <c r="CP1835" s="501"/>
      <c r="CQ1835" s="501"/>
      <c r="CR1835" s="501"/>
      <c r="CS1835" s="501"/>
      <c r="CT1835" s="501"/>
      <c r="CU1835" s="501"/>
      <c r="CV1835" s="501"/>
      <c r="CW1835" s="501"/>
      <c r="CX1835" s="501"/>
      <c r="CY1835" s="501"/>
      <c r="CZ1835" s="501"/>
      <c r="DA1835" s="501"/>
      <c r="DB1835" s="501"/>
      <c r="DC1835" s="501"/>
      <c r="DD1835" s="501"/>
      <c r="DE1835" s="501"/>
      <c r="DF1835" s="501"/>
      <c r="DG1835" s="501"/>
      <c r="DH1835" s="501"/>
      <c r="DI1835" s="501"/>
      <c r="DJ1835" s="501"/>
      <c r="DK1835" s="501"/>
      <c r="DL1835" s="501"/>
      <c r="DM1835" s="501"/>
      <c r="DN1835" s="501"/>
      <c r="DO1835" s="501"/>
      <c r="DP1835" s="501"/>
      <c r="DQ1835" s="501"/>
      <c r="DR1835" s="501"/>
      <c r="DS1835" s="501"/>
      <c r="DT1835" s="501"/>
      <c r="DU1835" s="501"/>
      <c r="DV1835" s="501"/>
      <c r="DW1835" s="501"/>
      <c r="DX1835" s="501"/>
      <c r="DY1835" s="501"/>
      <c r="DZ1835" s="501"/>
      <c r="EA1835" s="501"/>
      <c r="EB1835" s="501"/>
      <c r="EC1835" s="501"/>
      <c r="ED1835" s="501"/>
      <c r="EE1835" s="501"/>
      <c r="EF1835" s="501"/>
      <c r="EG1835" s="501"/>
      <c r="EH1835" s="501"/>
      <c r="EI1835" s="501"/>
      <c r="EJ1835" s="501"/>
      <c r="EK1835" s="501"/>
      <c r="EL1835" s="501"/>
      <c r="EM1835" s="501"/>
      <c r="EN1835" s="501"/>
      <c r="EO1835" s="501"/>
      <c r="EP1835" s="501"/>
      <c r="EQ1835" s="501"/>
      <c r="ER1835" s="501"/>
      <c r="ES1835" s="501"/>
      <c r="ET1835" s="501"/>
      <c r="EU1835" s="501"/>
      <c r="EV1835" s="501"/>
      <c r="EW1835" s="501"/>
      <c r="EX1835" s="501"/>
      <c r="EY1835" s="501"/>
      <c r="EZ1835" s="501"/>
      <c r="FA1835" s="501"/>
      <c r="FB1835" s="501"/>
      <c r="FC1835" s="501"/>
      <c r="FD1835" s="501"/>
      <c r="FE1835" s="501"/>
      <c r="FF1835" s="501"/>
      <c r="FG1835" s="501"/>
      <c r="FH1835" s="501"/>
      <c r="FI1835" s="501"/>
      <c r="FJ1835" s="501"/>
      <c r="FK1835" s="501"/>
      <c r="FL1835" s="501"/>
      <c r="FM1835" s="501"/>
      <c r="FN1835" s="501"/>
      <c r="FO1835" s="501"/>
      <c r="FP1835" s="501"/>
      <c r="FQ1835" s="501"/>
      <c r="FR1835" s="501"/>
      <c r="FS1835" s="501"/>
      <c r="FT1835" s="501"/>
      <c r="FU1835" s="501"/>
      <c r="FV1835" s="501"/>
      <c r="FW1835" s="501"/>
      <c r="FX1835" s="501"/>
      <c r="FY1835" s="501"/>
      <c r="FZ1835" s="501"/>
      <c r="GA1835" s="501"/>
      <c r="GB1835" s="501"/>
      <c r="GC1835" s="501"/>
      <c r="GD1835" s="501"/>
      <c r="GE1835" s="501"/>
      <c r="GF1835" s="501"/>
      <c r="GG1835" s="501"/>
      <c r="GH1835" s="501"/>
      <c r="GI1835" s="501"/>
      <c r="GJ1835" s="501"/>
      <c r="GK1835" s="501"/>
      <c r="GL1835" s="501"/>
      <c r="GM1835" s="501"/>
      <c r="GN1835" s="501"/>
      <c r="GO1835" s="501"/>
      <c r="GP1835" s="501"/>
      <c r="GQ1835" s="501"/>
      <c r="GR1835" s="501"/>
      <c r="GS1835" s="501"/>
      <c r="GT1835" s="501"/>
      <c r="GU1835" s="501"/>
      <c r="GV1835" s="501"/>
      <c r="GW1835" s="501"/>
      <c r="GX1835" s="501"/>
      <c r="GY1835" s="501"/>
      <c r="GZ1835" s="501"/>
      <c r="HA1835" s="501"/>
      <c r="HB1835" s="501"/>
      <c r="HC1835" s="501"/>
      <c r="HD1835" s="501"/>
      <c r="HE1835" s="501"/>
      <c r="HF1835" s="501"/>
      <c r="HG1835" s="501"/>
      <c r="HH1835" s="501"/>
      <c r="HI1835" s="501"/>
      <c r="HJ1835" s="501"/>
      <c r="HK1835" s="501"/>
      <c r="HL1835" s="501"/>
      <c r="HM1835" s="501"/>
      <c r="HN1835" s="501"/>
      <c r="HO1835" s="501"/>
      <c r="HP1835" s="501"/>
      <c r="HQ1835" s="501"/>
      <c r="HR1835" s="501"/>
      <c r="HS1835" s="501"/>
      <c r="HT1835" s="501"/>
      <c r="HU1835" s="501"/>
      <c r="HV1835" s="501"/>
      <c r="HW1835" s="501"/>
      <c r="HX1835" s="501"/>
      <c r="HY1835" s="501"/>
      <c r="HZ1835" s="501"/>
      <c r="IA1835" s="501"/>
      <c r="IB1835" s="501"/>
      <c r="IC1835" s="501"/>
      <c r="ID1835" s="501"/>
      <c r="IE1835" s="501"/>
      <c r="IF1835" s="501"/>
      <c r="IG1835" s="501"/>
      <c r="IH1835" s="501"/>
      <c r="II1835" s="501"/>
      <c r="IJ1835" s="501"/>
      <c r="IK1835" s="501"/>
      <c r="IL1835" s="501"/>
      <c r="IM1835" s="501"/>
      <c r="IN1835" s="501"/>
      <c r="IO1835" s="501"/>
      <c r="IP1835" s="501"/>
      <c r="IQ1835" s="501"/>
      <c r="IR1835" s="501"/>
      <c r="IS1835" s="501"/>
      <c r="IT1835" s="501"/>
      <c r="IU1835" s="501"/>
    </row>
    <row r="1836" spans="1:255" s="877" customFormat="1" ht="24" customHeight="1">
      <c r="A1836" s="501"/>
      <c r="B1836" s="501"/>
      <c r="C1836" s="501"/>
      <c r="D1836" s="501"/>
      <c r="E1836" s="501"/>
      <c r="F1836" s="545"/>
      <c r="G1836" s="889"/>
      <c r="H1836" s="545"/>
      <c r="I1836" s="876"/>
      <c r="J1836" s="876"/>
      <c r="K1836" s="545"/>
      <c r="L1836" s="876"/>
      <c r="M1836" s="882"/>
      <c r="N1836" s="501"/>
      <c r="O1836" s="501"/>
      <c r="P1836" s="501"/>
      <c r="Q1836" s="501"/>
      <c r="R1836" s="501"/>
      <c r="S1836" s="501"/>
      <c r="T1836" s="501"/>
      <c r="V1836" s="501"/>
      <c r="W1836" s="501"/>
      <c r="X1836" s="501"/>
      <c r="Y1836" s="501"/>
      <c r="Z1836" s="501"/>
      <c r="AA1836" s="501"/>
      <c r="AB1836" s="501"/>
      <c r="AC1836" s="501"/>
      <c r="AD1836" s="501"/>
      <c r="AE1836" s="501"/>
      <c r="AF1836" s="501"/>
      <c r="AG1836" s="501"/>
      <c r="AH1836" s="501"/>
      <c r="AI1836" s="501"/>
      <c r="AJ1836" s="501"/>
      <c r="AK1836" s="501"/>
      <c r="AL1836" s="501"/>
      <c r="AM1836" s="501"/>
      <c r="AN1836" s="501"/>
      <c r="AO1836" s="501"/>
      <c r="AP1836" s="501"/>
      <c r="AQ1836" s="501"/>
      <c r="AR1836" s="501"/>
      <c r="AS1836" s="501"/>
      <c r="AT1836" s="501"/>
      <c r="AU1836" s="501"/>
      <c r="AV1836" s="501"/>
      <c r="AW1836" s="501"/>
      <c r="AX1836" s="501"/>
      <c r="AY1836" s="501"/>
      <c r="AZ1836" s="501"/>
      <c r="BA1836" s="501"/>
      <c r="BB1836" s="501"/>
      <c r="BC1836" s="501"/>
      <c r="BD1836" s="501"/>
      <c r="BE1836" s="501"/>
      <c r="BF1836" s="501"/>
      <c r="BG1836" s="501"/>
      <c r="BH1836" s="501"/>
      <c r="BI1836" s="501"/>
      <c r="BJ1836" s="501"/>
      <c r="BK1836" s="501"/>
      <c r="BL1836" s="501"/>
      <c r="BM1836" s="501"/>
      <c r="BN1836" s="501"/>
      <c r="BO1836" s="501"/>
      <c r="BP1836" s="501"/>
      <c r="BQ1836" s="501"/>
      <c r="BR1836" s="501"/>
      <c r="BS1836" s="501"/>
      <c r="BT1836" s="501"/>
      <c r="BU1836" s="501"/>
      <c r="BV1836" s="501"/>
      <c r="BW1836" s="501"/>
      <c r="BX1836" s="501"/>
      <c r="BY1836" s="501"/>
      <c r="BZ1836" s="501"/>
      <c r="CA1836" s="501"/>
      <c r="CB1836" s="501"/>
      <c r="CC1836" s="501"/>
      <c r="CD1836" s="501"/>
      <c r="CE1836" s="501"/>
      <c r="CF1836" s="501"/>
      <c r="CG1836" s="501"/>
      <c r="CH1836" s="501"/>
      <c r="CI1836" s="501"/>
      <c r="CJ1836" s="501"/>
      <c r="CK1836" s="501"/>
      <c r="CL1836" s="501"/>
      <c r="CM1836" s="501"/>
      <c r="CN1836" s="501"/>
      <c r="CO1836" s="501"/>
      <c r="CP1836" s="501"/>
      <c r="CQ1836" s="501"/>
      <c r="CR1836" s="501"/>
      <c r="CS1836" s="501"/>
      <c r="CT1836" s="501"/>
      <c r="CU1836" s="501"/>
      <c r="CV1836" s="501"/>
      <c r="CW1836" s="501"/>
      <c r="CX1836" s="501"/>
      <c r="CY1836" s="501"/>
      <c r="CZ1836" s="501"/>
      <c r="DA1836" s="501"/>
      <c r="DB1836" s="501"/>
      <c r="DC1836" s="501"/>
      <c r="DD1836" s="501"/>
      <c r="DE1836" s="501"/>
      <c r="DF1836" s="501"/>
      <c r="DG1836" s="501"/>
      <c r="DH1836" s="501"/>
      <c r="DI1836" s="501"/>
      <c r="DJ1836" s="501"/>
      <c r="DK1836" s="501"/>
      <c r="DL1836" s="501"/>
      <c r="DM1836" s="501"/>
      <c r="DN1836" s="501"/>
      <c r="DO1836" s="501"/>
      <c r="DP1836" s="501"/>
      <c r="DQ1836" s="501"/>
      <c r="DR1836" s="501"/>
      <c r="DS1836" s="501"/>
      <c r="DT1836" s="501"/>
      <c r="DU1836" s="501"/>
      <c r="DV1836" s="501"/>
      <c r="DW1836" s="501"/>
      <c r="DX1836" s="501"/>
      <c r="DY1836" s="501"/>
      <c r="DZ1836" s="501"/>
      <c r="EA1836" s="501"/>
      <c r="EB1836" s="501"/>
      <c r="EC1836" s="501"/>
      <c r="ED1836" s="501"/>
      <c r="EE1836" s="501"/>
      <c r="EF1836" s="501"/>
      <c r="EG1836" s="501"/>
      <c r="EH1836" s="501"/>
      <c r="EI1836" s="501"/>
      <c r="EJ1836" s="501"/>
      <c r="EK1836" s="501"/>
      <c r="EL1836" s="501"/>
      <c r="EM1836" s="501"/>
      <c r="EN1836" s="501"/>
      <c r="EO1836" s="501"/>
      <c r="EP1836" s="501"/>
      <c r="EQ1836" s="501"/>
      <c r="ER1836" s="501"/>
      <c r="ES1836" s="501"/>
      <c r="ET1836" s="501"/>
      <c r="EU1836" s="501"/>
      <c r="EV1836" s="501"/>
      <c r="EW1836" s="501"/>
      <c r="EX1836" s="501"/>
      <c r="EY1836" s="501"/>
      <c r="EZ1836" s="501"/>
      <c r="FA1836" s="501"/>
      <c r="FB1836" s="501"/>
      <c r="FC1836" s="501"/>
      <c r="FD1836" s="501"/>
      <c r="FE1836" s="501"/>
      <c r="FF1836" s="501"/>
      <c r="FG1836" s="501"/>
      <c r="FH1836" s="501"/>
      <c r="FI1836" s="501"/>
      <c r="FJ1836" s="501"/>
      <c r="FK1836" s="501"/>
      <c r="FL1836" s="501"/>
      <c r="FM1836" s="501"/>
      <c r="FN1836" s="501"/>
      <c r="FO1836" s="501"/>
      <c r="FP1836" s="501"/>
      <c r="FQ1836" s="501"/>
      <c r="FR1836" s="501"/>
      <c r="FS1836" s="501"/>
      <c r="FT1836" s="501"/>
      <c r="FU1836" s="501"/>
      <c r="FV1836" s="501"/>
      <c r="FW1836" s="501"/>
      <c r="FX1836" s="501"/>
      <c r="FY1836" s="501"/>
      <c r="FZ1836" s="501"/>
      <c r="GA1836" s="501"/>
      <c r="GB1836" s="501"/>
      <c r="GC1836" s="501"/>
      <c r="GD1836" s="501"/>
      <c r="GE1836" s="501"/>
      <c r="GF1836" s="501"/>
      <c r="GG1836" s="501"/>
      <c r="GH1836" s="501"/>
      <c r="GI1836" s="501"/>
      <c r="GJ1836" s="501"/>
      <c r="GK1836" s="501"/>
      <c r="GL1836" s="501"/>
      <c r="GM1836" s="501"/>
      <c r="GN1836" s="501"/>
      <c r="GO1836" s="501"/>
      <c r="GP1836" s="501"/>
      <c r="GQ1836" s="501"/>
      <c r="GR1836" s="501"/>
      <c r="GS1836" s="501"/>
      <c r="GT1836" s="501"/>
      <c r="GU1836" s="501"/>
      <c r="GV1836" s="501"/>
      <c r="GW1836" s="501"/>
      <c r="GX1836" s="501"/>
      <c r="GY1836" s="501"/>
      <c r="GZ1836" s="501"/>
      <c r="HA1836" s="501"/>
      <c r="HB1836" s="501"/>
      <c r="HC1836" s="501"/>
      <c r="HD1836" s="501"/>
      <c r="HE1836" s="501"/>
      <c r="HF1836" s="501"/>
      <c r="HG1836" s="501"/>
      <c r="HH1836" s="501"/>
      <c r="HI1836" s="501"/>
      <c r="HJ1836" s="501"/>
      <c r="HK1836" s="501"/>
      <c r="HL1836" s="501"/>
      <c r="HM1836" s="501"/>
      <c r="HN1836" s="501"/>
      <c r="HO1836" s="501"/>
      <c r="HP1836" s="501"/>
      <c r="HQ1836" s="501"/>
      <c r="HR1836" s="501"/>
      <c r="HS1836" s="501"/>
      <c r="HT1836" s="501"/>
      <c r="HU1836" s="501"/>
      <c r="HV1836" s="501"/>
      <c r="HW1836" s="501"/>
      <c r="HX1836" s="501"/>
      <c r="HY1836" s="501"/>
      <c r="HZ1836" s="501"/>
      <c r="IA1836" s="501"/>
      <c r="IB1836" s="501"/>
      <c r="IC1836" s="501"/>
      <c r="ID1836" s="501"/>
      <c r="IE1836" s="501"/>
      <c r="IF1836" s="501"/>
      <c r="IG1836" s="501"/>
      <c r="IH1836" s="501"/>
      <c r="II1836" s="501"/>
      <c r="IJ1836" s="501"/>
      <c r="IK1836" s="501"/>
      <c r="IL1836" s="501"/>
      <c r="IM1836" s="501"/>
      <c r="IN1836" s="501"/>
      <c r="IO1836" s="501"/>
      <c r="IP1836" s="501"/>
      <c r="IQ1836" s="501"/>
      <c r="IR1836" s="501"/>
      <c r="IS1836" s="501"/>
      <c r="IT1836" s="501"/>
      <c r="IU1836" s="501"/>
    </row>
    <row r="1837" spans="1:255" s="877" customFormat="1" ht="24" customHeight="1">
      <c r="A1837" s="501"/>
      <c r="B1837" s="501"/>
      <c r="C1837" s="501"/>
      <c r="D1837" s="501"/>
      <c r="E1837" s="501"/>
      <c r="F1837" s="545"/>
      <c r="G1837" s="889"/>
      <c r="H1837" s="545"/>
      <c r="I1837" s="876"/>
      <c r="J1837" s="876"/>
      <c r="K1837" s="545"/>
      <c r="L1837" s="876"/>
      <c r="M1837" s="882"/>
      <c r="N1837" s="501"/>
      <c r="O1837" s="501"/>
      <c r="P1837" s="501"/>
      <c r="Q1837" s="501"/>
      <c r="R1837" s="501"/>
      <c r="S1837" s="501"/>
      <c r="T1837" s="501"/>
      <c r="V1837" s="501"/>
      <c r="W1837" s="501"/>
      <c r="X1837" s="501"/>
      <c r="Y1837" s="501"/>
      <c r="Z1837" s="501"/>
      <c r="AA1837" s="501"/>
      <c r="AB1837" s="501"/>
      <c r="AC1837" s="501"/>
      <c r="AD1837" s="501"/>
      <c r="AE1837" s="501"/>
      <c r="AF1837" s="501"/>
      <c r="AG1837" s="501"/>
      <c r="AH1837" s="501"/>
      <c r="AI1837" s="501"/>
      <c r="AJ1837" s="501"/>
      <c r="AK1837" s="501"/>
      <c r="AL1837" s="501"/>
      <c r="AM1837" s="501"/>
      <c r="AN1837" s="501"/>
      <c r="AO1837" s="501"/>
      <c r="AP1837" s="501"/>
      <c r="AQ1837" s="501"/>
      <c r="AR1837" s="501"/>
      <c r="AS1837" s="501"/>
      <c r="AT1837" s="501"/>
      <c r="AU1837" s="501"/>
      <c r="AV1837" s="501"/>
      <c r="AW1837" s="501"/>
      <c r="AX1837" s="501"/>
      <c r="AY1837" s="501"/>
      <c r="AZ1837" s="501"/>
      <c r="BA1837" s="501"/>
      <c r="BB1837" s="501"/>
      <c r="BC1837" s="501"/>
      <c r="BD1837" s="501"/>
      <c r="BE1837" s="501"/>
      <c r="BF1837" s="501"/>
      <c r="BG1837" s="501"/>
      <c r="BH1837" s="501"/>
      <c r="BI1837" s="501"/>
      <c r="BJ1837" s="501"/>
      <c r="BK1837" s="501"/>
      <c r="BL1837" s="501"/>
      <c r="BM1837" s="501"/>
      <c r="BN1837" s="501"/>
      <c r="BO1837" s="501"/>
      <c r="BP1837" s="501"/>
      <c r="BQ1837" s="501"/>
      <c r="BR1837" s="501"/>
      <c r="BS1837" s="501"/>
      <c r="BT1837" s="501"/>
      <c r="BU1837" s="501"/>
      <c r="BV1837" s="501"/>
      <c r="BW1837" s="501"/>
      <c r="BX1837" s="501"/>
      <c r="BY1837" s="501"/>
      <c r="BZ1837" s="501"/>
      <c r="CA1837" s="501"/>
      <c r="CB1837" s="501"/>
      <c r="CC1837" s="501"/>
      <c r="CD1837" s="501"/>
      <c r="CE1837" s="501"/>
      <c r="CF1837" s="501"/>
      <c r="CG1837" s="501"/>
      <c r="CH1837" s="501"/>
      <c r="CI1837" s="501"/>
      <c r="CJ1837" s="501"/>
      <c r="CK1837" s="501"/>
      <c r="CL1837" s="501"/>
      <c r="CM1837" s="501"/>
      <c r="CN1837" s="501"/>
      <c r="CO1837" s="501"/>
      <c r="CP1837" s="501"/>
      <c r="CQ1837" s="501"/>
      <c r="CR1837" s="501"/>
      <c r="CS1837" s="501"/>
      <c r="CT1837" s="501"/>
      <c r="CU1837" s="501"/>
      <c r="CV1837" s="501"/>
      <c r="CW1837" s="501"/>
      <c r="CX1837" s="501"/>
      <c r="CY1837" s="501"/>
      <c r="CZ1837" s="501"/>
      <c r="DA1837" s="501"/>
      <c r="DB1837" s="501"/>
      <c r="DC1837" s="501"/>
      <c r="DD1837" s="501"/>
      <c r="DE1837" s="501"/>
      <c r="DF1837" s="501"/>
      <c r="DG1837" s="501"/>
      <c r="DH1837" s="501"/>
      <c r="DI1837" s="501"/>
      <c r="DJ1837" s="501"/>
      <c r="DK1837" s="501"/>
      <c r="DL1837" s="501"/>
      <c r="DM1837" s="501"/>
      <c r="DN1837" s="501"/>
      <c r="DO1837" s="501"/>
      <c r="DP1837" s="501"/>
      <c r="DQ1837" s="501"/>
      <c r="DR1837" s="501"/>
      <c r="DS1837" s="501"/>
      <c r="DT1837" s="501"/>
      <c r="DU1837" s="501"/>
      <c r="DV1837" s="501"/>
      <c r="DW1837" s="501"/>
      <c r="DX1837" s="501"/>
      <c r="DY1837" s="501"/>
      <c r="DZ1837" s="501"/>
      <c r="EA1837" s="501"/>
      <c r="EB1837" s="501"/>
      <c r="EC1837" s="501"/>
      <c r="ED1837" s="501"/>
      <c r="EE1837" s="501"/>
      <c r="EF1837" s="501"/>
      <c r="EG1837" s="501"/>
      <c r="EH1837" s="501"/>
      <c r="EI1837" s="501"/>
      <c r="EJ1837" s="501"/>
      <c r="EK1837" s="501"/>
      <c r="EL1837" s="501"/>
      <c r="EM1837" s="501"/>
      <c r="EN1837" s="501"/>
      <c r="EO1837" s="501"/>
      <c r="EP1837" s="501"/>
      <c r="EQ1837" s="501"/>
      <c r="ER1837" s="501"/>
      <c r="ES1837" s="501"/>
      <c r="ET1837" s="501"/>
      <c r="EU1837" s="501"/>
      <c r="EV1837" s="501"/>
      <c r="EW1837" s="501"/>
      <c r="EX1837" s="501"/>
      <c r="EY1837" s="501"/>
      <c r="EZ1837" s="501"/>
      <c r="FA1837" s="501"/>
      <c r="FB1837" s="501"/>
      <c r="FC1837" s="501"/>
      <c r="FD1837" s="501"/>
      <c r="FE1837" s="501"/>
      <c r="FF1837" s="501"/>
      <c r="FG1837" s="501"/>
      <c r="FH1837" s="501"/>
      <c r="FI1837" s="501"/>
      <c r="FJ1837" s="501"/>
      <c r="FK1837" s="501"/>
      <c r="FL1837" s="501"/>
      <c r="FM1837" s="501"/>
      <c r="FN1837" s="501"/>
      <c r="FO1837" s="501"/>
      <c r="FP1837" s="501"/>
      <c r="FQ1837" s="501"/>
      <c r="FR1837" s="501"/>
      <c r="FS1837" s="501"/>
      <c r="FT1837" s="501"/>
      <c r="FU1837" s="501"/>
      <c r="FV1837" s="501"/>
      <c r="FW1837" s="501"/>
      <c r="FX1837" s="501"/>
      <c r="FY1837" s="501"/>
      <c r="FZ1837" s="501"/>
      <c r="GA1837" s="501"/>
      <c r="GB1837" s="501"/>
      <c r="GC1837" s="501"/>
      <c r="GD1837" s="501"/>
      <c r="GE1837" s="501"/>
      <c r="GF1837" s="501"/>
      <c r="GG1837" s="501"/>
      <c r="GH1837" s="501"/>
      <c r="GI1837" s="501"/>
      <c r="GJ1837" s="501"/>
      <c r="GK1837" s="501"/>
      <c r="GL1837" s="501"/>
      <c r="GM1837" s="501"/>
      <c r="GN1837" s="501"/>
      <c r="GO1837" s="501"/>
      <c r="GP1837" s="501"/>
      <c r="GQ1837" s="501"/>
      <c r="GR1837" s="501"/>
      <c r="GS1837" s="501"/>
      <c r="GT1837" s="501"/>
      <c r="GU1837" s="501"/>
      <c r="GV1837" s="501"/>
      <c r="GW1837" s="501"/>
      <c r="GX1837" s="501"/>
      <c r="GY1837" s="501"/>
      <c r="GZ1837" s="501"/>
      <c r="HA1837" s="501"/>
      <c r="HB1837" s="501"/>
      <c r="HC1837" s="501"/>
      <c r="HD1837" s="501"/>
      <c r="HE1837" s="501"/>
      <c r="HF1837" s="501"/>
      <c r="HG1837" s="501"/>
      <c r="HH1837" s="501"/>
      <c r="HI1837" s="501"/>
      <c r="HJ1837" s="501"/>
      <c r="HK1837" s="501"/>
      <c r="HL1837" s="501"/>
      <c r="HM1837" s="501"/>
      <c r="HN1837" s="501"/>
      <c r="HO1837" s="501"/>
      <c r="HP1837" s="501"/>
      <c r="HQ1837" s="501"/>
      <c r="HR1837" s="501"/>
      <c r="HS1837" s="501"/>
      <c r="HT1837" s="501"/>
      <c r="HU1837" s="501"/>
      <c r="HV1837" s="501"/>
      <c r="HW1837" s="501"/>
      <c r="HX1837" s="501"/>
      <c r="HY1837" s="501"/>
      <c r="HZ1837" s="501"/>
      <c r="IA1837" s="501"/>
      <c r="IB1837" s="501"/>
      <c r="IC1837" s="501"/>
      <c r="ID1837" s="501"/>
      <c r="IE1837" s="501"/>
      <c r="IF1837" s="501"/>
      <c r="IG1837" s="501"/>
      <c r="IH1837" s="501"/>
      <c r="II1837" s="501"/>
      <c r="IJ1837" s="501"/>
      <c r="IK1837" s="501"/>
      <c r="IL1837" s="501"/>
      <c r="IM1837" s="501"/>
      <c r="IN1837" s="501"/>
      <c r="IO1837" s="501"/>
      <c r="IP1837" s="501"/>
      <c r="IQ1837" s="501"/>
      <c r="IR1837" s="501"/>
      <c r="IS1837" s="501"/>
      <c r="IT1837" s="501"/>
      <c r="IU1837" s="501"/>
    </row>
    <row r="1838" spans="1:255" s="877" customFormat="1" ht="24" customHeight="1">
      <c r="A1838" s="501"/>
      <c r="B1838" s="501"/>
      <c r="C1838" s="501"/>
      <c r="D1838" s="501"/>
      <c r="E1838" s="501"/>
      <c r="F1838" s="545"/>
      <c r="G1838" s="889"/>
      <c r="H1838" s="545"/>
      <c r="I1838" s="876"/>
      <c r="J1838" s="876"/>
      <c r="K1838" s="545"/>
      <c r="L1838" s="876"/>
      <c r="M1838" s="882"/>
      <c r="N1838" s="501"/>
      <c r="O1838" s="501"/>
      <c r="P1838" s="501"/>
      <c r="Q1838" s="501"/>
      <c r="R1838" s="501"/>
      <c r="S1838" s="501"/>
      <c r="T1838" s="501"/>
      <c r="V1838" s="501"/>
      <c r="W1838" s="501"/>
      <c r="X1838" s="501"/>
      <c r="Y1838" s="501"/>
      <c r="Z1838" s="501"/>
      <c r="AA1838" s="501"/>
      <c r="AB1838" s="501"/>
      <c r="AC1838" s="501"/>
      <c r="AD1838" s="501"/>
      <c r="AE1838" s="501"/>
      <c r="AF1838" s="501"/>
      <c r="AG1838" s="501"/>
      <c r="AH1838" s="501"/>
      <c r="AI1838" s="501"/>
      <c r="AJ1838" s="501"/>
      <c r="AK1838" s="501"/>
      <c r="AL1838" s="501"/>
      <c r="AM1838" s="501"/>
      <c r="AN1838" s="501"/>
      <c r="AO1838" s="501"/>
      <c r="AP1838" s="501"/>
      <c r="AQ1838" s="501"/>
      <c r="AR1838" s="501"/>
      <c r="AS1838" s="501"/>
      <c r="AT1838" s="501"/>
      <c r="AU1838" s="501"/>
      <c r="AV1838" s="501"/>
      <c r="AW1838" s="501"/>
      <c r="AX1838" s="501"/>
      <c r="AY1838" s="501"/>
      <c r="AZ1838" s="501"/>
      <c r="BA1838" s="501"/>
      <c r="BB1838" s="501"/>
      <c r="BC1838" s="501"/>
      <c r="BD1838" s="501"/>
      <c r="BE1838" s="501"/>
      <c r="BF1838" s="501"/>
      <c r="BG1838" s="501"/>
      <c r="BH1838" s="501"/>
      <c r="BI1838" s="501"/>
      <c r="BJ1838" s="501"/>
      <c r="BK1838" s="501"/>
      <c r="BL1838" s="501"/>
      <c r="BM1838" s="501"/>
      <c r="BN1838" s="501"/>
      <c r="BO1838" s="501"/>
      <c r="BP1838" s="501"/>
      <c r="BQ1838" s="501"/>
      <c r="BR1838" s="501"/>
      <c r="BS1838" s="501"/>
      <c r="BT1838" s="501"/>
      <c r="BU1838" s="501"/>
      <c r="BV1838" s="501"/>
      <c r="BW1838" s="501"/>
      <c r="BX1838" s="501"/>
      <c r="BY1838" s="501"/>
      <c r="BZ1838" s="501"/>
      <c r="CA1838" s="501"/>
      <c r="CB1838" s="501"/>
      <c r="CC1838" s="501"/>
      <c r="CD1838" s="501"/>
      <c r="CE1838" s="501"/>
      <c r="CF1838" s="501"/>
      <c r="CG1838" s="501"/>
      <c r="CH1838" s="501"/>
      <c r="CI1838" s="501"/>
      <c r="CJ1838" s="501"/>
      <c r="CK1838" s="501"/>
      <c r="CL1838" s="501"/>
      <c r="CM1838" s="501"/>
      <c r="CN1838" s="501"/>
      <c r="CO1838" s="501"/>
      <c r="CP1838" s="501"/>
      <c r="CQ1838" s="501"/>
      <c r="CR1838" s="501"/>
      <c r="CS1838" s="501"/>
      <c r="CT1838" s="501"/>
      <c r="CU1838" s="501"/>
      <c r="CV1838" s="501"/>
      <c r="CW1838" s="501"/>
      <c r="CX1838" s="501"/>
      <c r="CY1838" s="501"/>
      <c r="CZ1838" s="501"/>
      <c r="DA1838" s="501"/>
      <c r="DB1838" s="501"/>
      <c r="DC1838" s="501"/>
      <c r="DD1838" s="501"/>
      <c r="DE1838" s="501"/>
      <c r="DF1838" s="501"/>
      <c r="DG1838" s="501"/>
      <c r="DH1838" s="501"/>
      <c r="DI1838" s="501"/>
      <c r="DJ1838" s="501"/>
      <c r="DK1838" s="501"/>
      <c r="DL1838" s="501"/>
      <c r="DM1838" s="501"/>
      <c r="DN1838" s="501"/>
      <c r="DO1838" s="501"/>
      <c r="DP1838" s="501"/>
      <c r="DQ1838" s="501"/>
      <c r="DR1838" s="501"/>
      <c r="DS1838" s="501"/>
      <c r="DT1838" s="501"/>
      <c r="DU1838" s="501"/>
      <c r="DV1838" s="501"/>
      <c r="DW1838" s="501"/>
      <c r="DX1838" s="501"/>
      <c r="DY1838" s="501"/>
      <c r="DZ1838" s="501"/>
      <c r="EA1838" s="501"/>
      <c r="EB1838" s="501"/>
      <c r="EC1838" s="501"/>
      <c r="ED1838" s="501"/>
      <c r="EE1838" s="501"/>
      <c r="EF1838" s="501"/>
      <c r="EG1838" s="501"/>
      <c r="EH1838" s="501"/>
      <c r="EI1838" s="501"/>
      <c r="EJ1838" s="501"/>
      <c r="EK1838" s="501"/>
      <c r="EL1838" s="501"/>
      <c r="EM1838" s="501"/>
      <c r="EN1838" s="501"/>
      <c r="EO1838" s="501"/>
      <c r="EP1838" s="501"/>
      <c r="EQ1838" s="501"/>
      <c r="ER1838" s="501"/>
      <c r="ES1838" s="501"/>
      <c r="ET1838" s="501"/>
      <c r="EU1838" s="501"/>
      <c r="EV1838" s="501"/>
      <c r="EW1838" s="501"/>
      <c r="EX1838" s="501"/>
      <c r="EY1838" s="501"/>
      <c r="EZ1838" s="501"/>
      <c r="FA1838" s="501"/>
      <c r="FB1838" s="501"/>
      <c r="FC1838" s="501"/>
      <c r="FD1838" s="501"/>
      <c r="FE1838" s="501"/>
      <c r="FF1838" s="501"/>
      <c r="FG1838" s="501"/>
      <c r="FH1838" s="501"/>
      <c r="FI1838" s="501"/>
      <c r="FJ1838" s="501"/>
      <c r="FK1838" s="501"/>
      <c r="FL1838" s="501"/>
      <c r="FM1838" s="501"/>
      <c r="FN1838" s="501"/>
      <c r="FO1838" s="501"/>
      <c r="FP1838" s="501"/>
      <c r="FQ1838" s="501"/>
      <c r="FR1838" s="501"/>
      <c r="FS1838" s="501"/>
      <c r="FT1838" s="501"/>
      <c r="FU1838" s="501"/>
      <c r="FV1838" s="501"/>
      <c r="FW1838" s="501"/>
      <c r="FX1838" s="501"/>
      <c r="FY1838" s="501"/>
      <c r="FZ1838" s="501"/>
      <c r="GA1838" s="501"/>
      <c r="GB1838" s="501"/>
      <c r="GC1838" s="501"/>
      <c r="GD1838" s="501"/>
      <c r="GE1838" s="501"/>
      <c r="GF1838" s="501"/>
      <c r="GG1838" s="501"/>
      <c r="GH1838" s="501"/>
      <c r="GI1838" s="501"/>
      <c r="GJ1838" s="501"/>
      <c r="GK1838" s="501"/>
      <c r="GL1838" s="501"/>
      <c r="GM1838" s="501"/>
      <c r="GN1838" s="501"/>
      <c r="GO1838" s="501"/>
      <c r="GP1838" s="501"/>
      <c r="GQ1838" s="501"/>
      <c r="GR1838" s="501"/>
      <c r="GS1838" s="501"/>
      <c r="GT1838" s="501"/>
      <c r="GU1838" s="501"/>
      <c r="GV1838" s="501"/>
      <c r="GW1838" s="501"/>
      <c r="GX1838" s="501"/>
      <c r="GY1838" s="501"/>
      <c r="GZ1838" s="501"/>
      <c r="HA1838" s="501"/>
      <c r="HB1838" s="501"/>
      <c r="HC1838" s="501"/>
      <c r="HD1838" s="501"/>
      <c r="HE1838" s="501"/>
      <c r="HF1838" s="501"/>
      <c r="HG1838" s="501"/>
      <c r="HH1838" s="501"/>
      <c r="HI1838" s="501"/>
      <c r="HJ1838" s="501"/>
      <c r="HK1838" s="501"/>
      <c r="HL1838" s="501"/>
      <c r="HM1838" s="501"/>
      <c r="HN1838" s="501"/>
      <c r="HO1838" s="501"/>
      <c r="HP1838" s="501"/>
      <c r="HQ1838" s="501"/>
      <c r="HR1838" s="501"/>
      <c r="HS1838" s="501"/>
      <c r="HT1838" s="501"/>
      <c r="HU1838" s="501"/>
      <c r="HV1838" s="501"/>
      <c r="HW1838" s="501"/>
      <c r="HX1838" s="501"/>
      <c r="HY1838" s="501"/>
      <c r="HZ1838" s="501"/>
      <c r="IA1838" s="501"/>
      <c r="IB1838" s="501"/>
      <c r="IC1838" s="501"/>
      <c r="ID1838" s="501"/>
      <c r="IE1838" s="501"/>
      <c r="IF1838" s="501"/>
      <c r="IG1838" s="501"/>
      <c r="IH1838" s="501"/>
      <c r="II1838" s="501"/>
      <c r="IJ1838" s="501"/>
      <c r="IK1838" s="501"/>
      <c r="IL1838" s="501"/>
      <c r="IM1838" s="501"/>
      <c r="IN1838" s="501"/>
      <c r="IO1838" s="501"/>
      <c r="IP1838" s="501"/>
      <c r="IQ1838" s="501"/>
      <c r="IR1838" s="501"/>
      <c r="IS1838" s="501"/>
      <c r="IT1838" s="501"/>
      <c r="IU1838" s="501"/>
    </row>
    <row r="1839" spans="1:255" s="877" customFormat="1" ht="24" customHeight="1">
      <c r="A1839" s="501"/>
      <c r="B1839" s="501"/>
      <c r="C1839" s="501"/>
      <c r="D1839" s="501"/>
      <c r="E1839" s="501"/>
      <c r="F1839" s="545"/>
      <c r="G1839" s="889"/>
      <c r="H1839" s="545"/>
      <c r="I1839" s="876"/>
      <c r="J1839" s="876"/>
      <c r="K1839" s="545"/>
      <c r="L1839" s="876"/>
      <c r="M1839" s="882"/>
      <c r="N1839" s="501"/>
      <c r="O1839" s="501"/>
      <c r="P1839" s="501"/>
      <c r="Q1839" s="501"/>
      <c r="R1839" s="501"/>
      <c r="S1839" s="501"/>
      <c r="T1839" s="501"/>
      <c r="V1839" s="501"/>
      <c r="W1839" s="501"/>
      <c r="X1839" s="501"/>
      <c r="Y1839" s="501"/>
      <c r="Z1839" s="501"/>
      <c r="AA1839" s="501"/>
      <c r="AB1839" s="501"/>
      <c r="AC1839" s="501"/>
      <c r="AD1839" s="501"/>
      <c r="AE1839" s="501"/>
      <c r="AF1839" s="501"/>
      <c r="AG1839" s="501"/>
      <c r="AH1839" s="501"/>
      <c r="AI1839" s="501"/>
      <c r="AJ1839" s="501"/>
      <c r="AK1839" s="501"/>
      <c r="AL1839" s="501"/>
      <c r="AM1839" s="501"/>
      <c r="AN1839" s="501"/>
      <c r="AO1839" s="501"/>
      <c r="AP1839" s="501"/>
      <c r="AQ1839" s="501"/>
      <c r="AR1839" s="501"/>
      <c r="AS1839" s="501"/>
      <c r="AT1839" s="501"/>
      <c r="AU1839" s="501"/>
      <c r="AV1839" s="501"/>
      <c r="AW1839" s="501"/>
      <c r="AX1839" s="501"/>
      <c r="AY1839" s="501"/>
      <c r="AZ1839" s="501"/>
      <c r="BA1839" s="501"/>
      <c r="BB1839" s="501"/>
      <c r="BC1839" s="501"/>
      <c r="BD1839" s="501"/>
      <c r="BE1839" s="501"/>
      <c r="BF1839" s="501"/>
      <c r="BG1839" s="501"/>
      <c r="BH1839" s="501"/>
      <c r="BI1839" s="501"/>
      <c r="BJ1839" s="501"/>
      <c r="BK1839" s="501"/>
      <c r="BL1839" s="501"/>
      <c r="BM1839" s="501"/>
      <c r="BN1839" s="501"/>
      <c r="BO1839" s="501"/>
      <c r="BP1839" s="501"/>
      <c r="BQ1839" s="501"/>
      <c r="BR1839" s="501"/>
      <c r="BS1839" s="501"/>
      <c r="BT1839" s="501"/>
      <c r="BU1839" s="501"/>
      <c r="BV1839" s="501"/>
      <c r="BW1839" s="501"/>
      <c r="BX1839" s="501"/>
      <c r="BY1839" s="501"/>
      <c r="BZ1839" s="501"/>
      <c r="CA1839" s="501"/>
      <c r="CB1839" s="501"/>
      <c r="CC1839" s="501"/>
      <c r="CD1839" s="501"/>
      <c r="CE1839" s="501"/>
      <c r="CF1839" s="501"/>
      <c r="CG1839" s="501"/>
      <c r="CH1839" s="501"/>
      <c r="CI1839" s="501"/>
      <c r="CJ1839" s="501"/>
      <c r="CK1839" s="501"/>
      <c r="CL1839" s="501"/>
      <c r="CM1839" s="501"/>
      <c r="CN1839" s="501"/>
      <c r="CO1839" s="501"/>
      <c r="CP1839" s="501"/>
      <c r="CQ1839" s="501"/>
      <c r="CR1839" s="501"/>
      <c r="CS1839" s="501"/>
      <c r="CT1839" s="501"/>
      <c r="CU1839" s="501"/>
      <c r="CV1839" s="501"/>
      <c r="CW1839" s="501"/>
      <c r="CX1839" s="501"/>
      <c r="CY1839" s="501"/>
      <c r="CZ1839" s="501"/>
      <c r="DA1839" s="501"/>
      <c r="DB1839" s="501"/>
      <c r="DC1839" s="501"/>
      <c r="DD1839" s="501"/>
      <c r="DE1839" s="501"/>
      <c r="DF1839" s="501"/>
      <c r="DG1839" s="501"/>
      <c r="DH1839" s="501"/>
      <c r="DI1839" s="501"/>
      <c r="DJ1839" s="501"/>
      <c r="DK1839" s="501"/>
      <c r="DL1839" s="501"/>
      <c r="DM1839" s="501"/>
      <c r="DN1839" s="501"/>
      <c r="DO1839" s="501"/>
      <c r="DP1839" s="501"/>
      <c r="DQ1839" s="501"/>
      <c r="DR1839" s="501"/>
      <c r="DS1839" s="501"/>
      <c r="DT1839" s="501"/>
      <c r="DU1839" s="501"/>
      <c r="DV1839" s="501"/>
      <c r="DW1839" s="501"/>
      <c r="DX1839" s="501"/>
      <c r="DY1839" s="501"/>
      <c r="DZ1839" s="501"/>
      <c r="EA1839" s="501"/>
      <c r="EB1839" s="501"/>
      <c r="EC1839" s="501"/>
      <c r="ED1839" s="501"/>
      <c r="EE1839" s="501"/>
      <c r="EF1839" s="501"/>
      <c r="EG1839" s="501"/>
      <c r="EH1839" s="501"/>
      <c r="EI1839" s="501"/>
      <c r="EJ1839" s="501"/>
      <c r="EK1839" s="501"/>
      <c r="EL1839" s="501"/>
      <c r="EM1839" s="501"/>
      <c r="EN1839" s="501"/>
      <c r="EO1839" s="501"/>
      <c r="EP1839" s="501"/>
      <c r="EQ1839" s="501"/>
      <c r="ER1839" s="501"/>
      <c r="ES1839" s="501"/>
      <c r="ET1839" s="501"/>
      <c r="EU1839" s="501"/>
      <c r="EV1839" s="501"/>
      <c r="EW1839" s="501"/>
      <c r="EX1839" s="501"/>
      <c r="EY1839" s="501"/>
      <c r="EZ1839" s="501"/>
      <c r="FA1839" s="501"/>
      <c r="FB1839" s="501"/>
      <c r="FC1839" s="501"/>
      <c r="FD1839" s="501"/>
      <c r="FE1839" s="501"/>
      <c r="FF1839" s="501"/>
      <c r="FG1839" s="501"/>
      <c r="FH1839" s="501"/>
      <c r="FI1839" s="501"/>
      <c r="FJ1839" s="501"/>
      <c r="FK1839" s="501"/>
      <c r="FL1839" s="501"/>
      <c r="FM1839" s="501"/>
      <c r="FN1839" s="501"/>
      <c r="FO1839" s="501"/>
      <c r="FP1839" s="501"/>
      <c r="FQ1839" s="501"/>
      <c r="FR1839" s="501"/>
      <c r="FS1839" s="501"/>
      <c r="FT1839" s="501"/>
      <c r="FU1839" s="501"/>
      <c r="FV1839" s="501"/>
      <c r="FW1839" s="501"/>
      <c r="FX1839" s="501"/>
      <c r="FY1839" s="501"/>
      <c r="FZ1839" s="501"/>
      <c r="GA1839" s="501"/>
      <c r="GB1839" s="501"/>
      <c r="GC1839" s="501"/>
      <c r="GD1839" s="501"/>
      <c r="GE1839" s="501"/>
      <c r="GF1839" s="501"/>
      <c r="GG1839" s="501"/>
      <c r="GH1839" s="501"/>
      <c r="GI1839" s="501"/>
      <c r="GJ1839" s="501"/>
      <c r="GK1839" s="501"/>
      <c r="GL1839" s="501"/>
      <c r="GM1839" s="501"/>
      <c r="GN1839" s="501"/>
      <c r="GO1839" s="501"/>
      <c r="GP1839" s="501"/>
      <c r="GQ1839" s="501"/>
      <c r="GR1839" s="501"/>
      <c r="GS1839" s="501"/>
      <c r="GT1839" s="501"/>
      <c r="GU1839" s="501"/>
      <c r="GV1839" s="501"/>
      <c r="GW1839" s="501"/>
      <c r="GX1839" s="501"/>
      <c r="GY1839" s="501"/>
      <c r="GZ1839" s="501"/>
      <c r="HA1839" s="501"/>
      <c r="HB1839" s="501"/>
      <c r="HC1839" s="501"/>
      <c r="HD1839" s="501"/>
      <c r="HE1839" s="501"/>
      <c r="HF1839" s="501"/>
      <c r="HG1839" s="501"/>
      <c r="HH1839" s="501"/>
      <c r="HI1839" s="501"/>
      <c r="HJ1839" s="501"/>
      <c r="HK1839" s="501"/>
      <c r="HL1839" s="501"/>
      <c r="HM1839" s="501"/>
      <c r="HN1839" s="501"/>
      <c r="HO1839" s="501"/>
      <c r="HP1839" s="501"/>
      <c r="HQ1839" s="501"/>
      <c r="HR1839" s="501"/>
      <c r="HS1839" s="501"/>
      <c r="HT1839" s="501"/>
      <c r="HU1839" s="501"/>
      <c r="HV1839" s="501"/>
      <c r="HW1839" s="501"/>
      <c r="HX1839" s="501"/>
      <c r="HY1839" s="501"/>
      <c r="HZ1839" s="501"/>
      <c r="IA1839" s="501"/>
      <c r="IB1839" s="501"/>
      <c r="IC1839" s="501"/>
      <c r="ID1839" s="501"/>
      <c r="IE1839" s="501"/>
      <c r="IF1839" s="501"/>
      <c r="IG1839" s="501"/>
      <c r="IH1839" s="501"/>
      <c r="II1839" s="501"/>
      <c r="IJ1839" s="501"/>
      <c r="IK1839" s="501"/>
      <c r="IL1839" s="501"/>
      <c r="IM1839" s="501"/>
      <c r="IN1839" s="501"/>
      <c r="IO1839" s="501"/>
      <c r="IP1839" s="501"/>
      <c r="IQ1839" s="501"/>
      <c r="IR1839" s="501"/>
      <c r="IS1839" s="501"/>
      <c r="IT1839" s="501"/>
      <c r="IU1839" s="501"/>
    </row>
    <row r="1840" spans="1:255" s="877" customFormat="1" ht="24" customHeight="1">
      <c r="A1840" s="501"/>
      <c r="B1840" s="501"/>
      <c r="C1840" s="501"/>
      <c r="D1840" s="501"/>
      <c r="E1840" s="501"/>
      <c r="F1840" s="545"/>
      <c r="G1840" s="889"/>
      <c r="H1840" s="545"/>
      <c r="I1840" s="876"/>
      <c r="J1840" s="876"/>
      <c r="K1840" s="545"/>
      <c r="L1840" s="876"/>
      <c r="M1840" s="882"/>
      <c r="N1840" s="501"/>
      <c r="O1840" s="501"/>
      <c r="P1840" s="501"/>
      <c r="Q1840" s="501"/>
      <c r="R1840" s="501"/>
      <c r="S1840" s="501"/>
      <c r="T1840" s="501"/>
      <c r="V1840" s="501"/>
      <c r="W1840" s="501"/>
      <c r="X1840" s="501"/>
      <c r="Y1840" s="501"/>
      <c r="Z1840" s="501"/>
      <c r="AA1840" s="501"/>
      <c r="AB1840" s="501"/>
      <c r="AC1840" s="501"/>
      <c r="AD1840" s="501"/>
      <c r="AE1840" s="501"/>
      <c r="AF1840" s="501"/>
      <c r="AG1840" s="501"/>
      <c r="AH1840" s="501"/>
      <c r="AI1840" s="501"/>
      <c r="AJ1840" s="501"/>
      <c r="AK1840" s="501"/>
      <c r="AL1840" s="501"/>
      <c r="AM1840" s="501"/>
      <c r="AN1840" s="501"/>
      <c r="AO1840" s="501"/>
      <c r="AP1840" s="501"/>
      <c r="AQ1840" s="501"/>
      <c r="AR1840" s="501"/>
      <c r="AS1840" s="501"/>
      <c r="AT1840" s="501"/>
      <c r="AU1840" s="501"/>
      <c r="AV1840" s="501"/>
      <c r="AW1840" s="501"/>
      <c r="AX1840" s="501"/>
      <c r="AY1840" s="501"/>
      <c r="AZ1840" s="501"/>
      <c r="BA1840" s="501"/>
      <c r="BB1840" s="501"/>
      <c r="BC1840" s="501"/>
      <c r="BD1840" s="501"/>
      <c r="BE1840" s="501"/>
      <c r="BF1840" s="501"/>
      <c r="BG1840" s="501"/>
      <c r="BH1840" s="501"/>
      <c r="BI1840" s="501"/>
      <c r="BJ1840" s="501"/>
      <c r="BK1840" s="501"/>
      <c r="BL1840" s="501"/>
      <c r="BM1840" s="501"/>
      <c r="BN1840" s="501"/>
      <c r="BO1840" s="501"/>
      <c r="BP1840" s="501"/>
      <c r="BQ1840" s="501"/>
      <c r="BR1840" s="501"/>
      <c r="BS1840" s="501"/>
      <c r="BT1840" s="501"/>
      <c r="BU1840" s="501"/>
      <c r="BV1840" s="501"/>
      <c r="BW1840" s="501"/>
      <c r="BX1840" s="501"/>
      <c r="BY1840" s="501"/>
      <c r="BZ1840" s="501"/>
      <c r="CA1840" s="501"/>
      <c r="CB1840" s="501"/>
      <c r="CC1840" s="501"/>
      <c r="CD1840" s="501"/>
      <c r="CE1840" s="501"/>
      <c r="CF1840" s="501"/>
      <c r="CG1840" s="501"/>
      <c r="CH1840" s="501"/>
      <c r="CI1840" s="501"/>
      <c r="CJ1840" s="501"/>
      <c r="CK1840" s="501"/>
      <c r="CL1840" s="501"/>
      <c r="CM1840" s="501"/>
      <c r="CN1840" s="501"/>
      <c r="CO1840" s="501"/>
      <c r="CP1840" s="501"/>
      <c r="CQ1840" s="501"/>
      <c r="CR1840" s="501"/>
      <c r="CS1840" s="501"/>
      <c r="CT1840" s="501"/>
      <c r="CU1840" s="501"/>
      <c r="CV1840" s="501"/>
      <c r="CW1840" s="501"/>
      <c r="CX1840" s="501"/>
      <c r="CY1840" s="501"/>
      <c r="CZ1840" s="501"/>
      <c r="DA1840" s="501"/>
      <c r="DB1840" s="501"/>
      <c r="DC1840" s="501"/>
      <c r="DD1840" s="501"/>
      <c r="DE1840" s="501"/>
      <c r="DF1840" s="501"/>
      <c r="DG1840" s="501"/>
      <c r="DH1840" s="501"/>
      <c r="DI1840" s="501"/>
      <c r="DJ1840" s="501"/>
      <c r="DK1840" s="501"/>
      <c r="DL1840" s="501"/>
      <c r="DM1840" s="501"/>
      <c r="DN1840" s="501"/>
      <c r="DO1840" s="501"/>
      <c r="DP1840" s="501"/>
      <c r="DQ1840" s="501"/>
      <c r="DR1840" s="501"/>
      <c r="DS1840" s="501"/>
      <c r="DT1840" s="501"/>
      <c r="DU1840" s="501"/>
      <c r="DV1840" s="501"/>
      <c r="DW1840" s="501"/>
      <c r="DX1840" s="501"/>
      <c r="DY1840" s="501"/>
      <c r="DZ1840" s="501"/>
      <c r="EA1840" s="501"/>
      <c r="EB1840" s="501"/>
      <c r="EC1840" s="501"/>
      <c r="ED1840" s="501"/>
      <c r="EE1840" s="501"/>
      <c r="EF1840" s="501"/>
      <c r="EG1840" s="501"/>
      <c r="EH1840" s="501"/>
      <c r="EI1840" s="501"/>
      <c r="EJ1840" s="501"/>
      <c r="EK1840" s="501"/>
      <c r="EL1840" s="501"/>
      <c r="EM1840" s="501"/>
      <c r="EN1840" s="501"/>
      <c r="EO1840" s="501"/>
      <c r="EP1840" s="501"/>
      <c r="EQ1840" s="501"/>
      <c r="ER1840" s="501"/>
      <c r="ES1840" s="501"/>
      <c r="ET1840" s="501"/>
      <c r="EU1840" s="501"/>
      <c r="EV1840" s="501"/>
      <c r="EW1840" s="501"/>
      <c r="EX1840" s="501"/>
      <c r="EY1840" s="501"/>
      <c r="EZ1840" s="501"/>
      <c r="FA1840" s="501"/>
      <c r="FB1840" s="501"/>
      <c r="FC1840" s="501"/>
      <c r="FD1840" s="501"/>
      <c r="FE1840" s="501"/>
      <c r="FF1840" s="501"/>
      <c r="FG1840" s="501"/>
      <c r="FH1840" s="501"/>
      <c r="FI1840" s="501"/>
      <c r="FJ1840" s="501"/>
      <c r="FK1840" s="501"/>
      <c r="FL1840" s="501"/>
      <c r="FM1840" s="501"/>
      <c r="FN1840" s="501"/>
      <c r="FO1840" s="501"/>
      <c r="FP1840" s="501"/>
      <c r="FQ1840" s="501"/>
      <c r="FR1840" s="501"/>
      <c r="FS1840" s="501"/>
      <c r="FT1840" s="501"/>
      <c r="FU1840" s="501"/>
      <c r="FV1840" s="501"/>
      <c r="FW1840" s="501"/>
      <c r="FX1840" s="501"/>
      <c r="FY1840" s="501"/>
      <c r="FZ1840" s="501"/>
      <c r="GA1840" s="501"/>
      <c r="GB1840" s="501"/>
      <c r="GC1840" s="501"/>
      <c r="GD1840" s="501"/>
      <c r="GE1840" s="501"/>
      <c r="GF1840" s="501"/>
      <c r="GG1840" s="501"/>
      <c r="GH1840" s="501"/>
      <c r="GI1840" s="501"/>
      <c r="GJ1840" s="501"/>
      <c r="GK1840" s="501"/>
      <c r="GL1840" s="501"/>
      <c r="GM1840" s="501"/>
      <c r="GN1840" s="501"/>
      <c r="GO1840" s="501"/>
      <c r="GP1840" s="501"/>
      <c r="GQ1840" s="501"/>
      <c r="GR1840" s="501"/>
      <c r="GS1840" s="501"/>
      <c r="GT1840" s="501"/>
      <c r="GU1840" s="501"/>
      <c r="GV1840" s="501"/>
      <c r="GW1840" s="501"/>
      <c r="GX1840" s="501"/>
      <c r="GY1840" s="501"/>
      <c r="GZ1840" s="501"/>
      <c r="HA1840" s="501"/>
      <c r="HB1840" s="501"/>
      <c r="HC1840" s="501"/>
      <c r="HD1840" s="501"/>
      <c r="HE1840" s="501"/>
      <c r="HF1840" s="501"/>
      <c r="HG1840" s="501"/>
      <c r="HH1840" s="501"/>
      <c r="HI1840" s="501"/>
      <c r="HJ1840" s="501"/>
      <c r="HK1840" s="501"/>
      <c r="HL1840" s="501"/>
      <c r="HM1840" s="501"/>
      <c r="HN1840" s="501"/>
      <c r="HO1840" s="501"/>
      <c r="HP1840" s="501"/>
      <c r="HQ1840" s="501"/>
      <c r="HR1840" s="501"/>
      <c r="HS1840" s="501"/>
      <c r="HT1840" s="501"/>
      <c r="HU1840" s="501"/>
      <c r="HV1840" s="501"/>
      <c r="HW1840" s="501"/>
      <c r="HX1840" s="501"/>
      <c r="HY1840" s="501"/>
      <c r="HZ1840" s="501"/>
      <c r="IA1840" s="501"/>
      <c r="IB1840" s="501"/>
      <c r="IC1840" s="501"/>
      <c r="ID1840" s="501"/>
      <c r="IE1840" s="501"/>
      <c r="IF1840" s="501"/>
      <c r="IG1840" s="501"/>
      <c r="IH1840" s="501"/>
      <c r="II1840" s="501"/>
      <c r="IJ1840" s="501"/>
      <c r="IK1840" s="501"/>
      <c r="IL1840" s="501"/>
      <c r="IM1840" s="501"/>
      <c r="IN1840" s="501"/>
      <c r="IO1840" s="501"/>
      <c r="IP1840" s="501"/>
      <c r="IQ1840" s="501"/>
      <c r="IR1840" s="501"/>
      <c r="IS1840" s="501"/>
      <c r="IT1840" s="501"/>
      <c r="IU1840" s="501"/>
    </row>
    <row r="1841" spans="1:255" s="877" customFormat="1" ht="24" customHeight="1">
      <c r="A1841" s="501"/>
      <c r="B1841" s="501"/>
      <c r="C1841" s="501"/>
      <c r="D1841" s="501"/>
      <c r="E1841" s="501"/>
      <c r="F1841" s="501"/>
      <c r="G1841" s="915"/>
      <c r="H1841" s="501"/>
      <c r="I1841" s="876"/>
      <c r="J1841" s="876"/>
      <c r="K1841" s="876"/>
      <c r="L1841" s="876"/>
      <c r="M1841" s="882"/>
      <c r="N1841" s="501"/>
      <c r="O1841" s="501"/>
      <c r="P1841" s="501"/>
      <c r="Q1841" s="501"/>
      <c r="R1841" s="501"/>
      <c r="S1841" s="501"/>
      <c r="T1841" s="501"/>
      <c r="V1841" s="501"/>
      <c r="W1841" s="501"/>
      <c r="X1841" s="501"/>
      <c r="Y1841" s="501"/>
      <c r="Z1841" s="501"/>
      <c r="AA1841" s="501"/>
      <c r="AB1841" s="501"/>
      <c r="AC1841" s="501"/>
      <c r="AD1841" s="501"/>
      <c r="AE1841" s="501"/>
      <c r="AF1841" s="501"/>
      <c r="AG1841" s="501"/>
      <c r="AH1841" s="501"/>
      <c r="AI1841" s="501"/>
      <c r="AJ1841" s="501"/>
      <c r="AK1841" s="501"/>
      <c r="AL1841" s="501"/>
      <c r="AM1841" s="501"/>
      <c r="AN1841" s="501"/>
      <c r="AO1841" s="501"/>
      <c r="AP1841" s="501"/>
      <c r="AQ1841" s="501"/>
      <c r="AR1841" s="501"/>
      <c r="AS1841" s="501"/>
      <c r="AT1841" s="501"/>
      <c r="AU1841" s="501"/>
      <c r="AV1841" s="501"/>
      <c r="AW1841" s="501"/>
      <c r="AX1841" s="501"/>
      <c r="AY1841" s="501"/>
      <c r="AZ1841" s="501"/>
      <c r="BA1841" s="501"/>
      <c r="BB1841" s="501"/>
      <c r="BC1841" s="501"/>
      <c r="BD1841" s="501"/>
      <c r="BE1841" s="501"/>
      <c r="BF1841" s="501"/>
      <c r="BG1841" s="501"/>
      <c r="BH1841" s="501"/>
      <c r="BI1841" s="501"/>
      <c r="BJ1841" s="501"/>
      <c r="BK1841" s="501"/>
      <c r="BL1841" s="501"/>
      <c r="BM1841" s="501"/>
      <c r="BN1841" s="501"/>
      <c r="BO1841" s="501"/>
      <c r="BP1841" s="501"/>
      <c r="BQ1841" s="501"/>
      <c r="BR1841" s="501"/>
      <c r="BS1841" s="501"/>
      <c r="BT1841" s="501"/>
      <c r="BU1841" s="501"/>
      <c r="BV1841" s="501"/>
      <c r="BW1841" s="501"/>
      <c r="BX1841" s="501"/>
      <c r="BY1841" s="501"/>
      <c r="BZ1841" s="501"/>
      <c r="CA1841" s="501"/>
      <c r="CB1841" s="501"/>
      <c r="CC1841" s="501"/>
      <c r="CD1841" s="501"/>
      <c r="CE1841" s="501"/>
      <c r="CF1841" s="501"/>
      <c r="CG1841" s="501"/>
      <c r="CH1841" s="501"/>
      <c r="CI1841" s="501"/>
      <c r="CJ1841" s="501"/>
      <c r="CK1841" s="501"/>
      <c r="CL1841" s="501"/>
      <c r="CM1841" s="501"/>
      <c r="CN1841" s="501"/>
      <c r="CO1841" s="501"/>
      <c r="CP1841" s="501"/>
      <c r="CQ1841" s="501"/>
      <c r="CR1841" s="501"/>
      <c r="CS1841" s="501"/>
      <c r="CT1841" s="501"/>
      <c r="CU1841" s="501"/>
      <c r="CV1841" s="501"/>
      <c r="CW1841" s="501"/>
      <c r="CX1841" s="501"/>
      <c r="CY1841" s="501"/>
      <c r="CZ1841" s="501"/>
      <c r="DA1841" s="501"/>
      <c r="DB1841" s="501"/>
      <c r="DC1841" s="501"/>
      <c r="DD1841" s="501"/>
      <c r="DE1841" s="501"/>
      <c r="DF1841" s="501"/>
      <c r="DG1841" s="501"/>
      <c r="DH1841" s="501"/>
      <c r="DI1841" s="501"/>
      <c r="DJ1841" s="501"/>
      <c r="DK1841" s="501"/>
      <c r="DL1841" s="501"/>
      <c r="DM1841" s="501"/>
      <c r="DN1841" s="501"/>
      <c r="DO1841" s="501"/>
      <c r="DP1841" s="501"/>
      <c r="DQ1841" s="501"/>
      <c r="DR1841" s="501"/>
      <c r="DS1841" s="501"/>
      <c r="DT1841" s="501"/>
      <c r="DU1841" s="501"/>
      <c r="DV1841" s="501"/>
      <c r="DW1841" s="501"/>
      <c r="DX1841" s="501"/>
      <c r="DY1841" s="501"/>
      <c r="DZ1841" s="501"/>
      <c r="EA1841" s="501"/>
      <c r="EB1841" s="501"/>
      <c r="EC1841" s="501"/>
      <c r="ED1841" s="501"/>
      <c r="EE1841" s="501"/>
      <c r="EF1841" s="501"/>
      <c r="EG1841" s="501"/>
      <c r="EH1841" s="501"/>
      <c r="EI1841" s="501"/>
      <c r="EJ1841" s="501"/>
      <c r="EK1841" s="501"/>
      <c r="EL1841" s="501"/>
      <c r="EM1841" s="501"/>
      <c r="EN1841" s="501"/>
      <c r="EO1841" s="501"/>
      <c r="EP1841" s="501"/>
      <c r="EQ1841" s="501"/>
      <c r="ER1841" s="501"/>
      <c r="ES1841" s="501"/>
      <c r="ET1841" s="501"/>
      <c r="EU1841" s="501"/>
      <c r="EV1841" s="501"/>
      <c r="EW1841" s="501"/>
      <c r="EX1841" s="501"/>
      <c r="EY1841" s="501"/>
      <c r="EZ1841" s="501"/>
      <c r="FA1841" s="501"/>
      <c r="FB1841" s="501"/>
      <c r="FC1841" s="501"/>
      <c r="FD1841" s="501"/>
      <c r="FE1841" s="501"/>
      <c r="FF1841" s="501"/>
      <c r="FG1841" s="501"/>
      <c r="FH1841" s="501"/>
      <c r="FI1841" s="501"/>
      <c r="FJ1841" s="501"/>
      <c r="FK1841" s="501"/>
      <c r="FL1841" s="501"/>
      <c r="FM1841" s="501"/>
      <c r="FN1841" s="501"/>
      <c r="FO1841" s="501"/>
      <c r="FP1841" s="501"/>
      <c r="FQ1841" s="501"/>
      <c r="FR1841" s="501"/>
      <c r="FS1841" s="501"/>
      <c r="FT1841" s="501"/>
      <c r="FU1841" s="501"/>
      <c r="FV1841" s="501"/>
      <c r="FW1841" s="501"/>
      <c r="FX1841" s="501"/>
      <c r="FY1841" s="501"/>
      <c r="FZ1841" s="501"/>
      <c r="GA1841" s="501"/>
      <c r="GB1841" s="501"/>
      <c r="GC1841" s="501"/>
      <c r="GD1841" s="501"/>
      <c r="GE1841" s="501"/>
      <c r="GF1841" s="501"/>
      <c r="GG1841" s="501"/>
      <c r="GH1841" s="501"/>
      <c r="GI1841" s="501"/>
      <c r="GJ1841" s="501"/>
      <c r="GK1841" s="501"/>
      <c r="GL1841" s="501"/>
      <c r="GM1841" s="501"/>
      <c r="GN1841" s="501"/>
      <c r="GO1841" s="501"/>
      <c r="GP1841" s="501"/>
      <c r="GQ1841" s="501"/>
      <c r="GR1841" s="501"/>
      <c r="GS1841" s="501"/>
      <c r="GT1841" s="501"/>
      <c r="GU1841" s="501"/>
      <c r="GV1841" s="501"/>
      <c r="GW1841" s="501"/>
      <c r="GX1841" s="501"/>
      <c r="GY1841" s="501"/>
      <c r="GZ1841" s="501"/>
      <c r="HA1841" s="501"/>
      <c r="HB1841" s="501"/>
      <c r="HC1841" s="501"/>
      <c r="HD1841" s="501"/>
      <c r="HE1841" s="501"/>
      <c r="HF1841" s="501"/>
      <c r="HG1841" s="501"/>
      <c r="HH1841" s="501"/>
      <c r="HI1841" s="501"/>
      <c r="HJ1841" s="501"/>
      <c r="HK1841" s="501"/>
      <c r="HL1841" s="501"/>
      <c r="HM1841" s="501"/>
      <c r="HN1841" s="501"/>
      <c r="HO1841" s="501"/>
      <c r="HP1841" s="501"/>
      <c r="HQ1841" s="501"/>
      <c r="HR1841" s="501"/>
      <c r="HS1841" s="501"/>
      <c r="HT1841" s="501"/>
      <c r="HU1841" s="501"/>
      <c r="HV1841" s="501"/>
      <c r="HW1841" s="501"/>
      <c r="HX1841" s="501"/>
      <c r="HY1841" s="501"/>
      <c r="HZ1841" s="501"/>
      <c r="IA1841" s="501"/>
      <c r="IB1841" s="501"/>
      <c r="IC1841" s="501"/>
      <c r="ID1841" s="501"/>
      <c r="IE1841" s="501"/>
      <c r="IF1841" s="501"/>
      <c r="IG1841" s="501"/>
      <c r="IH1841" s="501"/>
      <c r="II1841" s="501"/>
      <c r="IJ1841" s="501"/>
      <c r="IK1841" s="501"/>
      <c r="IL1841" s="501"/>
      <c r="IM1841" s="501"/>
      <c r="IN1841" s="501"/>
      <c r="IO1841" s="501"/>
      <c r="IP1841" s="501"/>
      <c r="IQ1841" s="501"/>
      <c r="IR1841" s="501"/>
      <c r="IS1841" s="501"/>
      <c r="IT1841" s="501"/>
      <c r="IU1841" s="501"/>
    </row>
    <row r="1842" spans="1:255" s="877" customFormat="1" ht="24" customHeight="1">
      <c r="A1842" s="501"/>
      <c r="B1842" s="501"/>
      <c r="C1842" s="501"/>
      <c r="D1842" s="501"/>
      <c r="E1842" s="501"/>
      <c r="F1842" s="501"/>
      <c r="G1842" s="915"/>
      <c r="H1842" s="501"/>
      <c r="I1842" s="874"/>
      <c r="J1842" s="876"/>
      <c r="K1842" s="876"/>
      <c r="L1842" s="874"/>
      <c r="M1842" s="882"/>
      <c r="N1842" s="501"/>
      <c r="O1842" s="501"/>
      <c r="P1842" s="501"/>
      <c r="Q1842" s="501"/>
      <c r="R1842" s="501"/>
      <c r="S1842" s="501"/>
      <c r="T1842" s="501"/>
      <c r="V1842" s="501"/>
      <c r="W1842" s="501"/>
      <c r="X1842" s="501"/>
      <c r="Y1842" s="501"/>
      <c r="Z1842" s="501"/>
      <c r="AA1842" s="501"/>
      <c r="AB1842" s="501"/>
      <c r="AC1842" s="501"/>
      <c r="AD1842" s="501"/>
      <c r="AE1842" s="501"/>
      <c r="AF1842" s="501"/>
      <c r="AG1842" s="501"/>
      <c r="AH1842" s="501"/>
      <c r="AI1842" s="501"/>
      <c r="AJ1842" s="501"/>
      <c r="AK1842" s="501"/>
      <c r="AL1842" s="501"/>
      <c r="AM1842" s="501"/>
      <c r="AN1842" s="501"/>
      <c r="AO1842" s="501"/>
      <c r="AP1842" s="501"/>
      <c r="AQ1842" s="501"/>
      <c r="AR1842" s="501"/>
      <c r="AS1842" s="501"/>
      <c r="AT1842" s="501"/>
      <c r="AU1842" s="501"/>
      <c r="AV1842" s="501"/>
      <c r="AW1842" s="501"/>
      <c r="AX1842" s="501"/>
      <c r="AY1842" s="501"/>
      <c r="AZ1842" s="501"/>
      <c r="BA1842" s="501"/>
      <c r="BB1842" s="501"/>
      <c r="BC1842" s="501"/>
      <c r="BD1842" s="501"/>
      <c r="BE1842" s="501"/>
      <c r="BF1842" s="501"/>
      <c r="BG1842" s="501"/>
      <c r="BH1842" s="501"/>
      <c r="BI1842" s="501"/>
      <c r="BJ1842" s="501"/>
      <c r="BK1842" s="501"/>
      <c r="BL1842" s="501"/>
      <c r="BM1842" s="501"/>
      <c r="BN1842" s="501"/>
      <c r="BO1842" s="501"/>
      <c r="BP1842" s="501"/>
      <c r="BQ1842" s="501"/>
      <c r="BR1842" s="501"/>
      <c r="BS1842" s="501"/>
      <c r="BT1842" s="501"/>
      <c r="BU1842" s="501"/>
      <c r="BV1842" s="501"/>
      <c r="BW1842" s="501"/>
      <c r="BX1842" s="501"/>
      <c r="BY1842" s="501"/>
      <c r="BZ1842" s="501"/>
      <c r="CA1842" s="501"/>
      <c r="CB1842" s="501"/>
      <c r="CC1842" s="501"/>
      <c r="CD1842" s="501"/>
      <c r="CE1842" s="501"/>
      <c r="CF1842" s="501"/>
      <c r="CG1842" s="501"/>
      <c r="CH1842" s="501"/>
      <c r="CI1842" s="501"/>
      <c r="CJ1842" s="501"/>
      <c r="CK1842" s="501"/>
      <c r="CL1842" s="501"/>
      <c r="CM1842" s="501"/>
      <c r="CN1842" s="501"/>
      <c r="CO1842" s="501"/>
      <c r="CP1842" s="501"/>
      <c r="CQ1842" s="501"/>
      <c r="CR1842" s="501"/>
      <c r="CS1842" s="501"/>
      <c r="CT1842" s="501"/>
      <c r="CU1842" s="501"/>
      <c r="CV1842" s="501"/>
      <c r="CW1842" s="501"/>
      <c r="CX1842" s="501"/>
      <c r="CY1842" s="501"/>
      <c r="CZ1842" s="501"/>
      <c r="DA1842" s="501"/>
      <c r="DB1842" s="501"/>
      <c r="DC1842" s="501"/>
      <c r="DD1842" s="501"/>
      <c r="DE1842" s="501"/>
      <c r="DF1842" s="501"/>
      <c r="DG1842" s="501"/>
      <c r="DH1842" s="501"/>
      <c r="DI1842" s="501"/>
      <c r="DJ1842" s="501"/>
      <c r="DK1842" s="501"/>
      <c r="DL1842" s="501"/>
      <c r="DM1842" s="501"/>
      <c r="DN1842" s="501"/>
      <c r="DO1842" s="501"/>
      <c r="DP1842" s="501"/>
      <c r="DQ1842" s="501"/>
      <c r="DR1842" s="501"/>
      <c r="DS1842" s="501"/>
      <c r="DT1842" s="501"/>
      <c r="DU1842" s="501"/>
      <c r="DV1842" s="501"/>
      <c r="DW1842" s="501"/>
      <c r="DX1842" s="501"/>
      <c r="DY1842" s="501"/>
      <c r="DZ1842" s="501"/>
      <c r="EA1842" s="501"/>
      <c r="EB1842" s="501"/>
      <c r="EC1842" s="501"/>
      <c r="ED1842" s="501"/>
      <c r="EE1842" s="501"/>
      <c r="EF1842" s="501"/>
      <c r="EG1842" s="501"/>
      <c r="EH1842" s="501"/>
      <c r="EI1842" s="501"/>
      <c r="EJ1842" s="501"/>
      <c r="EK1842" s="501"/>
      <c r="EL1842" s="501"/>
      <c r="EM1842" s="501"/>
      <c r="EN1842" s="501"/>
      <c r="EO1842" s="501"/>
      <c r="EP1842" s="501"/>
      <c r="EQ1842" s="501"/>
      <c r="ER1842" s="501"/>
      <c r="ES1842" s="501"/>
      <c r="ET1842" s="501"/>
      <c r="EU1842" s="501"/>
      <c r="EV1842" s="501"/>
      <c r="EW1842" s="501"/>
      <c r="EX1842" s="501"/>
      <c r="EY1842" s="501"/>
      <c r="EZ1842" s="501"/>
      <c r="FA1842" s="501"/>
      <c r="FB1842" s="501"/>
      <c r="FC1842" s="501"/>
      <c r="FD1842" s="501"/>
      <c r="FE1842" s="501"/>
      <c r="FF1842" s="501"/>
      <c r="FG1842" s="501"/>
      <c r="FH1842" s="501"/>
      <c r="FI1842" s="501"/>
      <c r="FJ1842" s="501"/>
      <c r="FK1842" s="501"/>
      <c r="FL1842" s="501"/>
      <c r="FM1842" s="501"/>
      <c r="FN1842" s="501"/>
      <c r="FO1842" s="501"/>
      <c r="FP1842" s="501"/>
      <c r="FQ1842" s="501"/>
      <c r="FR1842" s="501"/>
      <c r="FS1842" s="501"/>
      <c r="FT1842" s="501"/>
      <c r="FU1842" s="501"/>
      <c r="FV1842" s="501"/>
      <c r="FW1842" s="501"/>
      <c r="FX1842" s="501"/>
      <c r="FY1842" s="501"/>
      <c r="FZ1842" s="501"/>
      <c r="GA1842" s="501"/>
      <c r="GB1842" s="501"/>
      <c r="GC1842" s="501"/>
      <c r="GD1842" s="501"/>
      <c r="GE1842" s="501"/>
      <c r="GF1842" s="501"/>
      <c r="GG1842" s="501"/>
      <c r="GH1842" s="501"/>
      <c r="GI1842" s="501"/>
      <c r="GJ1842" s="501"/>
      <c r="GK1842" s="501"/>
      <c r="GL1842" s="501"/>
      <c r="GM1842" s="501"/>
      <c r="GN1842" s="501"/>
      <c r="GO1842" s="501"/>
      <c r="GP1842" s="501"/>
      <c r="GQ1842" s="501"/>
      <c r="GR1842" s="501"/>
      <c r="GS1842" s="501"/>
      <c r="GT1842" s="501"/>
      <c r="GU1842" s="501"/>
      <c r="GV1842" s="501"/>
      <c r="GW1842" s="501"/>
      <c r="GX1842" s="501"/>
      <c r="GY1842" s="501"/>
      <c r="GZ1842" s="501"/>
      <c r="HA1842" s="501"/>
      <c r="HB1842" s="501"/>
      <c r="HC1842" s="501"/>
      <c r="HD1842" s="501"/>
      <c r="HE1842" s="501"/>
      <c r="HF1842" s="501"/>
      <c r="HG1842" s="501"/>
      <c r="HH1842" s="501"/>
      <c r="HI1842" s="501"/>
      <c r="HJ1842" s="501"/>
      <c r="HK1842" s="501"/>
      <c r="HL1842" s="501"/>
      <c r="HM1842" s="501"/>
      <c r="HN1842" s="501"/>
      <c r="HO1842" s="501"/>
      <c r="HP1842" s="501"/>
      <c r="HQ1842" s="501"/>
      <c r="HR1842" s="501"/>
      <c r="HS1842" s="501"/>
      <c r="HT1842" s="501"/>
      <c r="HU1842" s="501"/>
      <c r="HV1842" s="501"/>
      <c r="HW1842" s="501"/>
      <c r="HX1842" s="501"/>
      <c r="HY1842" s="501"/>
      <c r="HZ1842" s="501"/>
      <c r="IA1842" s="501"/>
      <c r="IB1842" s="501"/>
      <c r="IC1842" s="501"/>
      <c r="ID1842" s="501"/>
      <c r="IE1842" s="501"/>
      <c r="IF1842" s="501"/>
      <c r="IG1842" s="501"/>
      <c r="IH1842" s="501"/>
      <c r="II1842" s="501"/>
      <c r="IJ1842" s="501"/>
      <c r="IK1842" s="501"/>
      <c r="IL1842" s="501"/>
      <c r="IM1842" s="501"/>
      <c r="IN1842" s="501"/>
      <c r="IO1842" s="501"/>
      <c r="IP1842" s="501"/>
      <c r="IQ1842" s="501"/>
      <c r="IR1842" s="501"/>
      <c r="IS1842" s="501"/>
      <c r="IT1842" s="501"/>
      <c r="IU1842" s="501"/>
    </row>
    <row r="1843" spans="1:255" s="877" customFormat="1" ht="24" customHeight="1">
      <c r="A1843" s="501"/>
      <c r="B1843" s="501"/>
      <c r="C1843" s="501"/>
      <c r="D1843" s="501"/>
      <c r="E1843" s="501"/>
      <c r="F1843" s="501"/>
      <c r="G1843" s="915"/>
      <c r="H1843" s="501"/>
      <c r="I1843" s="876"/>
      <c r="J1843" s="876"/>
      <c r="K1843" s="501"/>
      <c r="L1843" s="876"/>
      <c r="M1843" s="882"/>
      <c r="N1843" s="501"/>
      <c r="O1843" s="501"/>
      <c r="P1843" s="501"/>
      <c r="Q1843" s="501"/>
      <c r="R1843" s="501"/>
      <c r="S1843" s="501"/>
      <c r="T1843" s="501"/>
      <c r="V1843" s="501"/>
      <c r="W1843" s="501"/>
      <c r="X1843" s="501"/>
      <c r="Y1843" s="501"/>
      <c r="Z1843" s="501"/>
      <c r="AA1843" s="501"/>
      <c r="AB1843" s="501"/>
      <c r="AC1843" s="501"/>
      <c r="AD1843" s="501"/>
      <c r="AE1843" s="501"/>
      <c r="AF1843" s="501"/>
      <c r="AG1843" s="501"/>
      <c r="AH1843" s="501"/>
      <c r="AI1843" s="501"/>
      <c r="AJ1843" s="501"/>
      <c r="AK1843" s="501"/>
      <c r="AL1843" s="501"/>
      <c r="AM1843" s="501"/>
      <c r="AN1843" s="501"/>
      <c r="AO1843" s="501"/>
      <c r="AP1843" s="501"/>
      <c r="AQ1843" s="501"/>
      <c r="AR1843" s="501"/>
      <c r="AS1843" s="501"/>
      <c r="AT1843" s="501"/>
      <c r="AU1843" s="501"/>
      <c r="AV1843" s="501"/>
      <c r="AW1843" s="501"/>
      <c r="AX1843" s="501"/>
      <c r="AY1843" s="501"/>
      <c r="AZ1843" s="501"/>
      <c r="BA1843" s="501"/>
      <c r="BB1843" s="501"/>
      <c r="BC1843" s="501"/>
      <c r="BD1843" s="501"/>
      <c r="BE1843" s="501"/>
      <c r="BF1843" s="501"/>
      <c r="BG1843" s="501"/>
      <c r="BH1843" s="501"/>
      <c r="BI1843" s="501"/>
      <c r="BJ1843" s="501"/>
      <c r="BK1843" s="501"/>
      <c r="BL1843" s="501"/>
      <c r="BM1843" s="501"/>
      <c r="BN1843" s="501"/>
      <c r="BO1843" s="501"/>
      <c r="BP1843" s="501"/>
      <c r="BQ1843" s="501"/>
      <c r="BR1843" s="501"/>
      <c r="BS1843" s="501"/>
      <c r="BT1843" s="501"/>
      <c r="BU1843" s="501"/>
      <c r="BV1843" s="501"/>
      <c r="BW1843" s="501"/>
      <c r="BX1843" s="501"/>
      <c r="BY1843" s="501"/>
      <c r="BZ1843" s="501"/>
      <c r="CA1843" s="501"/>
      <c r="CB1843" s="501"/>
      <c r="CC1843" s="501"/>
      <c r="CD1843" s="501"/>
      <c r="CE1843" s="501"/>
      <c r="CF1843" s="501"/>
      <c r="CG1843" s="501"/>
      <c r="CH1843" s="501"/>
      <c r="CI1843" s="501"/>
      <c r="CJ1843" s="501"/>
      <c r="CK1843" s="501"/>
      <c r="CL1843" s="501"/>
      <c r="CM1843" s="501"/>
      <c r="CN1843" s="501"/>
      <c r="CO1843" s="501"/>
      <c r="CP1843" s="501"/>
      <c r="CQ1843" s="501"/>
      <c r="CR1843" s="501"/>
      <c r="CS1843" s="501"/>
      <c r="CT1843" s="501"/>
      <c r="CU1843" s="501"/>
      <c r="CV1843" s="501"/>
      <c r="CW1843" s="501"/>
      <c r="CX1843" s="501"/>
      <c r="CY1843" s="501"/>
      <c r="CZ1843" s="501"/>
      <c r="DA1843" s="501"/>
      <c r="DB1843" s="501"/>
      <c r="DC1843" s="501"/>
      <c r="DD1843" s="501"/>
      <c r="DE1843" s="501"/>
      <c r="DF1843" s="501"/>
      <c r="DG1843" s="501"/>
      <c r="DH1843" s="501"/>
      <c r="DI1843" s="501"/>
      <c r="DJ1843" s="501"/>
      <c r="DK1843" s="501"/>
      <c r="DL1843" s="501"/>
      <c r="DM1843" s="501"/>
      <c r="DN1843" s="501"/>
      <c r="DO1843" s="501"/>
      <c r="DP1843" s="501"/>
      <c r="DQ1843" s="501"/>
      <c r="DR1843" s="501"/>
      <c r="DS1843" s="501"/>
      <c r="DT1843" s="501"/>
      <c r="DU1843" s="501"/>
      <c r="DV1843" s="501"/>
      <c r="DW1843" s="501"/>
      <c r="DX1843" s="501"/>
      <c r="DY1843" s="501"/>
      <c r="DZ1843" s="501"/>
      <c r="EA1843" s="501"/>
      <c r="EB1843" s="501"/>
      <c r="EC1843" s="501"/>
      <c r="ED1843" s="501"/>
      <c r="EE1843" s="501"/>
      <c r="EF1843" s="501"/>
      <c r="EG1843" s="501"/>
      <c r="EH1843" s="501"/>
      <c r="EI1843" s="501"/>
      <c r="EJ1843" s="501"/>
      <c r="EK1843" s="501"/>
      <c r="EL1843" s="501"/>
      <c r="EM1843" s="501"/>
      <c r="EN1843" s="501"/>
      <c r="EO1843" s="501"/>
      <c r="EP1843" s="501"/>
      <c r="EQ1843" s="501"/>
      <c r="ER1843" s="501"/>
      <c r="ES1843" s="501"/>
      <c r="ET1843" s="501"/>
      <c r="EU1843" s="501"/>
      <c r="EV1843" s="501"/>
      <c r="EW1843" s="501"/>
      <c r="EX1843" s="501"/>
      <c r="EY1843" s="501"/>
      <c r="EZ1843" s="501"/>
      <c r="FA1843" s="501"/>
      <c r="FB1843" s="501"/>
      <c r="FC1843" s="501"/>
      <c r="FD1843" s="501"/>
      <c r="FE1843" s="501"/>
      <c r="FF1843" s="501"/>
      <c r="FG1843" s="501"/>
      <c r="FH1843" s="501"/>
      <c r="FI1843" s="501"/>
      <c r="FJ1843" s="501"/>
      <c r="FK1843" s="501"/>
      <c r="FL1843" s="501"/>
      <c r="FM1843" s="501"/>
      <c r="FN1843" s="501"/>
      <c r="FO1843" s="501"/>
      <c r="FP1843" s="501"/>
      <c r="FQ1843" s="501"/>
      <c r="FR1843" s="501"/>
      <c r="FS1843" s="501"/>
      <c r="FT1843" s="501"/>
      <c r="FU1843" s="501"/>
      <c r="FV1843" s="501"/>
      <c r="FW1843" s="501"/>
      <c r="FX1843" s="501"/>
      <c r="FY1843" s="501"/>
      <c r="FZ1843" s="501"/>
      <c r="GA1843" s="501"/>
      <c r="GB1843" s="501"/>
      <c r="GC1843" s="501"/>
      <c r="GD1843" s="501"/>
      <c r="GE1843" s="501"/>
      <c r="GF1843" s="501"/>
      <c r="GG1843" s="501"/>
      <c r="GH1843" s="501"/>
      <c r="GI1843" s="501"/>
      <c r="GJ1843" s="501"/>
      <c r="GK1843" s="501"/>
      <c r="GL1843" s="501"/>
      <c r="GM1843" s="501"/>
      <c r="GN1843" s="501"/>
      <c r="GO1843" s="501"/>
      <c r="GP1843" s="501"/>
      <c r="GQ1843" s="501"/>
      <c r="GR1843" s="501"/>
      <c r="GS1843" s="501"/>
      <c r="GT1843" s="501"/>
      <c r="GU1843" s="501"/>
      <c r="GV1843" s="501"/>
      <c r="GW1843" s="501"/>
      <c r="GX1843" s="501"/>
      <c r="GY1843" s="501"/>
      <c r="GZ1843" s="501"/>
      <c r="HA1843" s="501"/>
      <c r="HB1843" s="501"/>
      <c r="HC1843" s="501"/>
      <c r="HD1843" s="501"/>
      <c r="HE1843" s="501"/>
      <c r="HF1843" s="501"/>
      <c r="HG1843" s="501"/>
      <c r="HH1843" s="501"/>
      <c r="HI1843" s="501"/>
      <c r="HJ1843" s="501"/>
      <c r="HK1843" s="501"/>
      <c r="HL1843" s="501"/>
      <c r="HM1843" s="501"/>
      <c r="HN1843" s="501"/>
      <c r="HO1843" s="501"/>
      <c r="HP1843" s="501"/>
      <c r="HQ1843" s="501"/>
      <c r="HR1843" s="501"/>
      <c r="HS1843" s="501"/>
      <c r="HT1843" s="501"/>
      <c r="HU1843" s="501"/>
      <c r="HV1843" s="501"/>
      <c r="HW1843" s="501"/>
      <c r="HX1843" s="501"/>
      <c r="HY1843" s="501"/>
      <c r="HZ1843" s="501"/>
      <c r="IA1843" s="501"/>
      <c r="IB1843" s="501"/>
      <c r="IC1843" s="501"/>
      <c r="ID1843" s="501"/>
      <c r="IE1843" s="501"/>
      <c r="IF1843" s="501"/>
      <c r="IG1843" s="501"/>
      <c r="IH1843" s="501"/>
      <c r="II1843" s="501"/>
      <c r="IJ1843" s="501"/>
      <c r="IK1843" s="501"/>
      <c r="IL1843" s="501"/>
      <c r="IM1843" s="501"/>
      <c r="IN1843" s="501"/>
      <c r="IO1843" s="501"/>
      <c r="IP1843" s="501"/>
      <c r="IQ1843" s="501"/>
      <c r="IR1843" s="501"/>
      <c r="IS1843" s="501"/>
      <c r="IT1843" s="501"/>
      <c r="IU1843" s="501"/>
    </row>
    <row r="1844" spans="1:255" s="877" customFormat="1" ht="24" customHeight="1">
      <c r="A1844" s="501"/>
      <c r="B1844" s="501"/>
      <c r="C1844" s="501"/>
      <c r="D1844" s="501"/>
      <c r="E1844" s="501"/>
      <c r="F1844" s="501"/>
      <c r="G1844" s="915"/>
      <c r="H1844" s="501"/>
      <c r="I1844" s="874"/>
      <c r="J1844" s="501"/>
      <c r="K1844" s="501"/>
      <c r="L1844" s="874"/>
      <c r="M1844" s="882"/>
      <c r="N1844" s="501"/>
      <c r="O1844" s="501"/>
      <c r="P1844" s="501"/>
      <c r="Q1844" s="501"/>
      <c r="R1844" s="501"/>
      <c r="S1844" s="501"/>
      <c r="T1844" s="501"/>
      <c r="V1844" s="501"/>
      <c r="W1844" s="501"/>
      <c r="X1844" s="501"/>
      <c r="Y1844" s="501"/>
      <c r="Z1844" s="501"/>
      <c r="AA1844" s="501"/>
      <c r="AB1844" s="501"/>
      <c r="AC1844" s="501"/>
      <c r="AD1844" s="501"/>
      <c r="AE1844" s="501"/>
      <c r="AF1844" s="501"/>
      <c r="AG1844" s="501"/>
      <c r="AH1844" s="501"/>
      <c r="AI1844" s="501"/>
      <c r="AJ1844" s="501"/>
      <c r="AK1844" s="501"/>
      <c r="AL1844" s="501"/>
      <c r="AM1844" s="501"/>
      <c r="AN1844" s="501"/>
      <c r="AO1844" s="501"/>
      <c r="AP1844" s="501"/>
      <c r="AQ1844" s="501"/>
      <c r="AR1844" s="501"/>
      <c r="AS1844" s="501"/>
      <c r="AT1844" s="501"/>
      <c r="AU1844" s="501"/>
      <c r="AV1844" s="501"/>
      <c r="AW1844" s="501"/>
      <c r="AX1844" s="501"/>
      <c r="AY1844" s="501"/>
      <c r="AZ1844" s="501"/>
      <c r="BA1844" s="501"/>
      <c r="BB1844" s="501"/>
      <c r="BC1844" s="501"/>
      <c r="BD1844" s="501"/>
      <c r="BE1844" s="501"/>
      <c r="BF1844" s="501"/>
      <c r="BG1844" s="501"/>
      <c r="BH1844" s="501"/>
      <c r="BI1844" s="501"/>
      <c r="BJ1844" s="501"/>
      <c r="BK1844" s="501"/>
      <c r="BL1844" s="501"/>
      <c r="BM1844" s="501"/>
      <c r="BN1844" s="501"/>
      <c r="BO1844" s="501"/>
      <c r="BP1844" s="501"/>
      <c r="BQ1844" s="501"/>
      <c r="BR1844" s="501"/>
      <c r="BS1844" s="501"/>
      <c r="BT1844" s="501"/>
      <c r="BU1844" s="501"/>
      <c r="BV1844" s="501"/>
      <c r="BW1844" s="501"/>
      <c r="BX1844" s="501"/>
      <c r="BY1844" s="501"/>
      <c r="BZ1844" s="501"/>
      <c r="CA1844" s="501"/>
      <c r="CB1844" s="501"/>
      <c r="CC1844" s="501"/>
      <c r="CD1844" s="501"/>
      <c r="CE1844" s="501"/>
      <c r="CF1844" s="501"/>
      <c r="CG1844" s="501"/>
      <c r="CH1844" s="501"/>
      <c r="CI1844" s="501"/>
      <c r="CJ1844" s="501"/>
      <c r="CK1844" s="501"/>
      <c r="CL1844" s="501"/>
      <c r="CM1844" s="501"/>
      <c r="CN1844" s="501"/>
      <c r="CO1844" s="501"/>
      <c r="CP1844" s="501"/>
      <c r="CQ1844" s="501"/>
      <c r="CR1844" s="501"/>
      <c r="CS1844" s="501"/>
      <c r="CT1844" s="501"/>
      <c r="CU1844" s="501"/>
      <c r="CV1844" s="501"/>
      <c r="CW1844" s="501"/>
      <c r="CX1844" s="501"/>
      <c r="CY1844" s="501"/>
      <c r="CZ1844" s="501"/>
      <c r="DA1844" s="501"/>
      <c r="DB1844" s="501"/>
      <c r="DC1844" s="501"/>
      <c r="DD1844" s="501"/>
      <c r="DE1844" s="501"/>
      <c r="DF1844" s="501"/>
      <c r="DG1844" s="501"/>
      <c r="DH1844" s="501"/>
      <c r="DI1844" s="501"/>
      <c r="DJ1844" s="501"/>
      <c r="DK1844" s="501"/>
      <c r="DL1844" s="501"/>
      <c r="DM1844" s="501"/>
      <c r="DN1844" s="501"/>
      <c r="DO1844" s="501"/>
      <c r="DP1844" s="501"/>
      <c r="DQ1844" s="501"/>
      <c r="DR1844" s="501"/>
      <c r="DS1844" s="501"/>
      <c r="DT1844" s="501"/>
      <c r="DU1844" s="501"/>
      <c r="DV1844" s="501"/>
      <c r="DW1844" s="501"/>
      <c r="DX1844" s="501"/>
      <c r="DY1844" s="501"/>
      <c r="DZ1844" s="501"/>
      <c r="EA1844" s="501"/>
      <c r="EB1844" s="501"/>
      <c r="EC1844" s="501"/>
      <c r="ED1844" s="501"/>
      <c r="EE1844" s="501"/>
      <c r="EF1844" s="501"/>
      <c r="EG1844" s="501"/>
      <c r="EH1844" s="501"/>
      <c r="EI1844" s="501"/>
      <c r="EJ1844" s="501"/>
      <c r="EK1844" s="501"/>
      <c r="EL1844" s="501"/>
      <c r="EM1844" s="501"/>
      <c r="EN1844" s="501"/>
      <c r="EO1844" s="501"/>
      <c r="EP1844" s="501"/>
      <c r="EQ1844" s="501"/>
      <c r="ER1844" s="501"/>
      <c r="ES1844" s="501"/>
      <c r="ET1844" s="501"/>
      <c r="EU1844" s="501"/>
      <c r="EV1844" s="501"/>
      <c r="EW1844" s="501"/>
      <c r="EX1844" s="501"/>
      <c r="EY1844" s="501"/>
      <c r="EZ1844" s="501"/>
      <c r="FA1844" s="501"/>
      <c r="FB1844" s="501"/>
      <c r="FC1844" s="501"/>
      <c r="FD1844" s="501"/>
      <c r="FE1844" s="501"/>
      <c r="FF1844" s="501"/>
      <c r="FG1844" s="501"/>
      <c r="FH1844" s="501"/>
      <c r="FI1844" s="501"/>
      <c r="FJ1844" s="501"/>
      <c r="FK1844" s="501"/>
      <c r="FL1844" s="501"/>
      <c r="FM1844" s="501"/>
      <c r="FN1844" s="501"/>
      <c r="FO1844" s="501"/>
      <c r="FP1844" s="501"/>
      <c r="FQ1844" s="501"/>
      <c r="FR1844" s="501"/>
      <c r="FS1844" s="501"/>
      <c r="FT1844" s="501"/>
      <c r="FU1844" s="501"/>
      <c r="FV1844" s="501"/>
      <c r="FW1844" s="501"/>
      <c r="FX1844" s="501"/>
      <c r="FY1844" s="501"/>
      <c r="FZ1844" s="501"/>
      <c r="GA1844" s="501"/>
      <c r="GB1844" s="501"/>
      <c r="GC1844" s="501"/>
      <c r="GD1844" s="501"/>
      <c r="GE1844" s="501"/>
      <c r="GF1844" s="501"/>
      <c r="GG1844" s="501"/>
      <c r="GH1844" s="501"/>
      <c r="GI1844" s="501"/>
      <c r="GJ1844" s="501"/>
      <c r="GK1844" s="501"/>
      <c r="GL1844" s="501"/>
      <c r="GM1844" s="501"/>
      <c r="GN1844" s="501"/>
      <c r="GO1844" s="501"/>
      <c r="GP1844" s="501"/>
      <c r="GQ1844" s="501"/>
      <c r="GR1844" s="501"/>
      <c r="GS1844" s="501"/>
      <c r="GT1844" s="501"/>
      <c r="GU1844" s="501"/>
      <c r="GV1844" s="501"/>
      <c r="GW1844" s="501"/>
      <c r="GX1844" s="501"/>
      <c r="GY1844" s="501"/>
      <c r="GZ1844" s="501"/>
      <c r="HA1844" s="501"/>
      <c r="HB1844" s="501"/>
      <c r="HC1844" s="501"/>
      <c r="HD1844" s="501"/>
      <c r="HE1844" s="501"/>
      <c r="HF1844" s="501"/>
      <c r="HG1844" s="501"/>
      <c r="HH1844" s="501"/>
      <c r="HI1844" s="501"/>
      <c r="HJ1844" s="501"/>
      <c r="HK1844" s="501"/>
      <c r="HL1844" s="501"/>
      <c r="HM1844" s="501"/>
      <c r="HN1844" s="501"/>
      <c r="HO1844" s="501"/>
      <c r="HP1844" s="501"/>
      <c r="HQ1844" s="501"/>
      <c r="HR1844" s="501"/>
      <c r="HS1844" s="501"/>
      <c r="HT1844" s="501"/>
      <c r="HU1844" s="501"/>
      <c r="HV1844" s="501"/>
      <c r="HW1844" s="501"/>
      <c r="HX1844" s="501"/>
      <c r="HY1844" s="501"/>
      <c r="HZ1844" s="501"/>
      <c r="IA1844" s="501"/>
      <c r="IB1844" s="501"/>
      <c r="IC1844" s="501"/>
      <c r="ID1844" s="501"/>
      <c r="IE1844" s="501"/>
      <c r="IF1844" s="501"/>
      <c r="IG1844" s="501"/>
      <c r="IH1844" s="501"/>
      <c r="II1844" s="501"/>
      <c r="IJ1844" s="501"/>
      <c r="IK1844" s="501"/>
      <c r="IL1844" s="501"/>
      <c r="IM1844" s="501"/>
      <c r="IN1844" s="501"/>
      <c r="IO1844" s="501"/>
      <c r="IP1844" s="501"/>
      <c r="IQ1844" s="501"/>
      <c r="IR1844" s="501"/>
      <c r="IS1844" s="501"/>
      <c r="IT1844" s="501"/>
      <c r="IU1844" s="501"/>
    </row>
    <row r="1845" spans="1:255" s="877" customFormat="1" ht="24" customHeight="1">
      <c r="A1845" s="501"/>
      <c r="B1845" s="501"/>
      <c r="C1845" s="501"/>
      <c r="D1845" s="501"/>
      <c r="E1845" s="501"/>
      <c r="F1845" s="501"/>
      <c r="G1845" s="915"/>
      <c r="H1845" s="501"/>
      <c r="I1845" s="874"/>
      <c r="J1845" s="876"/>
      <c r="K1845" s="501"/>
      <c r="L1845" s="874"/>
      <c r="M1845" s="882"/>
      <c r="N1845" s="501"/>
      <c r="O1845" s="501"/>
      <c r="P1845" s="501"/>
      <c r="Q1845" s="501"/>
      <c r="R1845" s="501"/>
      <c r="S1845" s="501"/>
      <c r="T1845" s="501"/>
      <c r="V1845" s="501"/>
      <c r="W1845" s="501"/>
      <c r="X1845" s="501"/>
      <c r="Y1845" s="501"/>
      <c r="Z1845" s="501"/>
      <c r="AA1845" s="501"/>
      <c r="AB1845" s="501"/>
      <c r="AC1845" s="501"/>
      <c r="AD1845" s="501"/>
      <c r="AE1845" s="501"/>
      <c r="AF1845" s="501"/>
      <c r="AG1845" s="501"/>
      <c r="AH1845" s="501"/>
      <c r="AI1845" s="501"/>
      <c r="AJ1845" s="501"/>
      <c r="AK1845" s="501"/>
      <c r="AL1845" s="501"/>
      <c r="AM1845" s="501"/>
      <c r="AN1845" s="501"/>
      <c r="AO1845" s="501"/>
      <c r="AP1845" s="501"/>
      <c r="AQ1845" s="501"/>
      <c r="AR1845" s="501"/>
      <c r="AS1845" s="501"/>
      <c r="AT1845" s="501"/>
      <c r="AU1845" s="501"/>
      <c r="AV1845" s="501"/>
      <c r="AW1845" s="501"/>
      <c r="AX1845" s="501"/>
      <c r="AY1845" s="501"/>
      <c r="AZ1845" s="501"/>
      <c r="BA1845" s="501"/>
      <c r="BB1845" s="501"/>
      <c r="BC1845" s="501"/>
      <c r="BD1845" s="501"/>
      <c r="BE1845" s="501"/>
      <c r="BF1845" s="501"/>
      <c r="BG1845" s="501"/>
      <c r="BH1845" s="501"/>
      <c r="BI1845" s="501"/>
      <c r="BJ1845" s="501"/>
      <c r="BK1845" s="501"/>
      <c r="BL1845" s="501"/>
      <c r="BM1845" s="501"/>
      <c r="BN1845" s="501"/>
      <c r="BO1845" s="501"/>
      <c r="BP1845" s="501"/>
      <c r="BQ1845" s="501"/>
      <c r="BR1845" s="501"/>
      <c r="BS1845" s="501"/>
      <c r="BT1845" s="501"/>
      <c r="BU1845" s="501"/>
      <c r="BV1845" s="501"/>
      <c r="BW1845" s="501"/>
      <c r="BX1845" s="501"/>
      <c r="BY1845" s="501"/>
      <c r="BZ1845" s="501"/>
      <c r="CA1845" s="501"/>
      <c r="CB1845" s="501"/>
      <c r="CC1845" s="501"/>
      <c r="CD1845" s="501"/>
      <c r="CE1845" s="501"/>
      <c r="CF1845" s="501"/>
      <c r="CG1845" s="501"/>
      <c r="CH1845" s="501"/>
      <c r="CI1845" s="501"/>
      <c r="CJ1845" s="501"/>
      <c r="CK1845" s="501"/>
      <c r="CL1845" s="501"/>
      <c r="CM1845" s="501"/>
      <c r="CN1845" s="501"/>
      <c r="CO1845" s="501"/>
      <c r="CP1845" s="501"/>
      <c r="CQ1845" s="501"/>
      <c r="CR1845" s="501"/>
      <c r="CS1845" s="501"/>
      <c r="CT1845" s="501"/>
      <c r="CU1845" s="501"/>
      <c r="CV1845" s="501"/>
      <c r="CW1845" s="501"/>
      <c r="CX1845" s="501"/>
      <c r="CY1845" s="501"/>
      <c r="CZ1845" s="501"/>
      <c r="DA1845" s="501"/>
      <c r="DB1845" s="501"/>
      <c r="DC1845" s="501"/>
      <c r="DD1845" s="501"/>
      <c r="DE1845" s="501"/>
      <c r="DF1845" s="501"/>
      <c r="DG1845" s="501"/>
      <c r="DH1845" s="501"/>
      <c r="DI1845" s="501"/>
      <c r="DJ1845" s="501"/>
      <c r="DK1845" s="501"/>
      <c r="DL1845" s="501"/>
      <c r="DM1845" s="501"/>
      <c r="DN1845" s="501"/>
      <c r="DO1845" s="501"/>
      <c r="DP1845" s="501"/>
      <c r="DQ1845" s="501"/>
      <c r="DR1845" s="501"/>
      <c r="DS1845" s="501"/>
      <c r="DT1845" s="501"/>
      <c r="DU1845" s="501"/>
      <c r="DV1845" s="501"/>
      <c r="DW1845" s="501"/>
      <c r="DX1845" s="501"/>
      <c r="DY1845" s="501"/>
      <c r="DZ1845" s="501"/>
      <c r="EA1845" s="501"/>
      <c r="EB1845" s="501"/>
      <c r="EC1845" s="501"/>
      <c r="ED1845" s="501"/>
      <c r="EE1845" s="501"/>
      <c r="EF1845" s="501"/>
      <c r="EG1845" s="501"/>
      <c r="EH1845" s="501"/>
      <c r="EI1845" s="501"/>
      <c r="EJ1845" s="501"/>
      <c r="EK1845" s="501"/>
      <c r="EL1845" s="501"/>
      <c r="EM1845" s="501"/>
      <c r="EN1845" s="501"/>
      <c r="EO1845" s="501"/>
      <c r="EP1845" s="501"/>
      <c r="EQ1845" s="501"/>
      <c r="ER1845" s="501"/>
      <c r="ES1845" s="501"/>
      <c r="ET1845" s="501"/>
      <c r="EU1845" s="501"/>
      <c r="EV1845" s="501"/>
      <c r="EW1845" s="501"/>
      <c r="EX1845" s="501"/>
      <c r="EY1845" s="501"/>
      <c r="EZ1845" s="501"/>
      <c r="FA1845" s="501"/>
      <c r="FB1845" s="501"/>
      <c r="FC1845" s="501"/>
      <c r="FD1845" s="501"/>
      <c r="FE1845" s="501"/>
      <c r="FF1845" s="501"/>
      <c r="FG1845" s="501"/>
      <c r="FH1845" s="501"/>
      <c r="FI1845" s="501"/>
      <c r="FJ1845" s="501"/>
      <c r="FK1845" s="501"/>
      <c r="FL1845" s="501"/>
      <c r="FM1845" s="501"/>
      <c r="FN1845" s="501"/>
      <c r="FO1845" s="501"/>
      <c r="FP1845" s="501"/>
      <c r="FQ1845" s="501"/>
      <c r="FR1845" s="501"/>
      <c r="FS1845" s="501"/>
      <c r="FT1845" s="501"/>
      <c r="FU1845" s="501"/>
      <c r="FV1845" s="501"/>
      <c r="FW1845" s="501"/>
      <c r="FX1845" s="501"/>
      <c r="FY1845" s="501"/>
      <c r="FZ1845" s="501"/>
      <c r="GA1845" s="501"/>
      <c r="GB1845" s="501"/>
      <c r="GC1845" s="501"/>
      <c r="GD1845" s="501"/>
      <c r="GE1845" s="501"/>
      <c r="GF1845" s="501"/>
      <c r="GG1845" s="501"/>
      <c r="GH1845" s="501"/>
      <c r="GI1845" s="501"/>
      <c r="GJ1845" s="501"/>
      <c r="GK1845" s="501"/>
      <c r="GL1845" s="501"/>
      <c r="GM1845" s="501"/>
      <c r="GN1845" s="501"/>
      <c r="GO1845" s="501"/>
      <c r="GP1845" s="501"/>
      <c r="GQ1845" s="501"/>
      <c r="GR1845" s="501"/>
      <c r="GS1845" s="501"/>
      <c r="GT1845" s="501"/>
      <c r="GU1845" s="501"/>
      <c r="GV1845" s="501"/>
      <c r="GW1845" s="501"/>
      <c r="GX1845" s="501"/>
      <c r="GY1845" s="501"/>
      <c r="GZ1845" s="501"/>
      <c r="HA1845" s="501"/>
      <c r="HB1845" s="501"/>
      <c r="HC1845" s="501"/>
      <c r="HD1845" s="501"/>
      <c r="HE1845" s="501"/>
      <c r="HF1845" s="501"/>
      <c r="HG1845" s="501"/>
      <c r="HH1845" s="501"/>
      <c r="HI1845" s="501"/>
      <c r="HJ1845" s="501"/>
      <c r="HK1845" s="501"/>
      <c r="HL1845" s="501"/>
      <c r="HM1845" s="501"/>
      <c r="HN1845" s="501"/>
      <c r="HO1845" s="501"/>
      <c r="HP1845" s="501"/>
      <c r="HQ1845" s="501"/>
      <c r="HR1845" s="501"/>
      <c r="HS1845" s="501"/>
      <c r="HT1845" s="501"/>
      <c r="HU1845" s="501"/>
      <c r="HV1845" s="501"/>
      <c r="HW1845" s="501"/>
      <c r="HX1845" s="501"/>
      <c r="HY1845" s="501"/>
      <c r="HZ1845" s="501"/>
      <c r="IA1845" s="501"/>
      <c r="IB1845" s="501"/>
      <c r="IC1845" s="501"/>
      <c r="ID1845" s="501"/>
      <c r="IE1845" s="501"/>
      <c r="IF1845" s="501"/>
      <c r="IG1845" s="501"/>
      <c r="IH1845" s="501"/>
      <c r="II1845" s="501"/>
      <c r="IJ1845" s="501"/>
      <c r="IK1845" s="501"/>
      <c r="IL1845" s="501"/>
      <c r="IM1845" s="501"/>
      <c r="IN1845" s="501"/>
      <c r="IO1845" s="501"/>
      <c r="IP1845" s="501"/>
      <c r="IQ1845" s="501"/>
      <c r="IR1845" s="501"/>
      <c r="IS1845" s="501"/>
      <c r="IT1845" s="501"/>
      <c r="IU1845" s="501"/>
    </row>
    <row r="1846" spans="1:255" s="877" customFormat="1" ht="24" customHeight="1">
      <c r="A1846" s="501"/>
      <c r="B1846" s="501"/>
      <c r="C1846" s="501"/>
      <c r="D1846" s="501"/>
      <c r="E1846" s="501"/>
      <c r="F1846" s="501"/>
      <c r="G1846" s="915"/>
      <c r="H1846" s="501"/>
      <c r="I1846" s="874"/>
      <c r="J1846" s="501"/>
      <c r="K1846" s="501"/>
      <c r="L1846" s="874"/>
      <c r="M1846" s="882"/>
      <c r="N1846" s="501"/>
      <c r="O1846" s="501"/>
      <c r="P1846" s="501"/>
      <c r="Q1846" s="501"/>
      <c r="R1846" s="501"/>
      <c r="S1846" s="501"/>
      <c r="T1846" s="501"/>
      <c r="V1846" s="501"/>
      <c r="W1846" s="501"/>
      <c r="X1846" s="501"/>
      <c r="Y1846" s="501"/>
      <c r="Z1846" s="501"/>
      <c r="AA1846" s="501"/>
      <c r="AB1846" s="501"/>
      <c r="AC1846" s="501"/>
      <c r="AD1846" s="501"/>
      <c r="AE1846" s="501"/>
      <c r="AF1846" s="501"/>
      <c r="AG1846" s="501"/>
      <c r="AH1846" s="501"/>
      <c r="AI1846" s="501"/>
      <c r="AJ1846" s="501"/>
      <c r="AK1846" s="501"/>
      <c r="AL1846" s="501"/>
      <c r="AM1846" s="501"/>
      <c r="AN1846" s="501"/>
      <c r="AO1846" s="501"/>
      <c r="AP1846" s="501"/>
      <c r="AQ1846" s="501"/>
      <c r="AR1846" s="501"/>
      <c r="AS1846" s="501"/>
      <c r="AT1846" s="501"/>
      <c r="AU1846" s="501"/>
      <c r="AV1846" s="501"/>
      <c r="AW1846" s="501"/>
      <c r="AX1846" s="501"/>
      <c r="AY1846" s="501"/>
      <c r="AZ1846" s="501"/>
      <c r="BA1846" s="501"/>
      <c r="BB1846" s="501"/>
      <c r="BC1846" s="501"/>
      <c r="BD1846" s="501"/>
      <c r="BE1846" s="501"/>
      <c r="BF1846" s="501"/>
      <c r="BG1846" s="501"/>
      <c r="BH1846" s="501"/>
      <c r="BI1846" s="501"/>
      <c r="BJ1846" s="501"/>
      <c r="BK1846" s="501"/>
      <c r="BL1846" s="501"/>
      <c r="BM1846" s="501"/>
      <c r="BN1846" s="501"/>
      <c r="BO1846" s="501"/>
      <c r="BP1846" s="501"/>
      <c r="BQ1846" s="501"/>
      <c r="BR1846" s="501"/>
      <c r="BS1846" s="501"/>
      <c r="BT1846" s="501"/>
      <c r="BU1846" s="501"/>
      <c r="BV1846" s="501"/>
      <c r="BW1846" s="501"/>
      <c r="BX1846" s="501"/>
      <c r="BY1846" s="501"/>
      <c r="BZ1846" s="501"/>
      <c r="CA1846" s="501"/>
      <c r="CB1846" s="501"/>
      <c r="CC1846" s="501"/>
      <c r="CD1846" s="501"/>
      <c r="CE1846" s="501"/>
      <c r="CF1846" s="501"/>
      <c r="CG1846" s="501"/>
      <c r="CH1846" s="501"/>
      <c r="CI1846" s="501"/>
      <c r="CJ1846" s="501"/>
      <c r="CK1846" s="501"/>
      <c r="CL1846" s="501"/>
      <c r="CM1846" s="501"/>
      <c r="CN1846" s="501"/>
      <c r="CO1846" s="501"/>
      <c r="CP1846" s="501"/>
      <c r="CQ1846" s="501"/>
      <c r="CR1846" s="501"/>
      <c r="CS1846" s="501"/>
      <c r="CT1846" s="501"/>
      <c r="CU1846" s="501"/>
      <c r="CV1846" s="501"/>
      <c r="CW1846" s="501"/>
      <c r="CX1846" s="501"/>
      <c r="CY1846" s="501"/>
      <c r="CZ1846" s="501"/>
      <c r="DA1846" s="501"/>
      <c r="DB1846" s="501"/>
      <c r="DC1846" s="501"/>
      <c r="DD1846" s="501"/>
      <c r="DE1846" s="501"/>
      <c r="DF1846" s="501"/>
      <c r="DG1846" s="501"/>
      <c r="DH1846" s="501"/>
      <c r="DI1846" s="501"/>
      <c r="DJ1846" s="501"/>
      <c r="DK1846" s="501"/>
      <c r="DL1846" s="501"/>
      <c r="DM1846" s="501"/>
      <c r="DN1846" s="501"/>
      <c r="DO1846" s="501"/>
      <c r="DP1846" s="501"/>
      <c r="DQ1846" s="501"/>
      <c r="DR1846" s="501"/>
      <c r="DS1846" s="501"/>
      <c r="DT1846" s="501"/>
      <c r="DU1846" s="501"/>
      <c r="DV1846" s="501"/>
      <c r="DW1846" s="501"/>
      <c r="DX1846" s="501"/>
      <c r="DY1846" s="501"/>
      <c r="DZ1846" s="501"/>
      <c r="EA1846" s="501"/>
      <c r="EB1846" s="501"/>
      <c r="EC1846" s="501"/>
      <c r="ED1846" s="501"/>
      <c r="EE1846" s="501"/>
      <c r="EF1846" s="501"/>
      <c r="EG1846" s="501"/>
      <c r="EH1846" s="501"/>
      <c r="EI1846" s="501"/>
      <c r="EJ1846" s="501"/>
      <c r="EK1846" s="501"/>
      <c r="EL1846" s="501"/>
      <c r="EM1846" s="501"/>
      <c r="EN1846" s="501"/>
      <c r="EO1846" s="501"/>
      <c r="EP1846" s="501"/>
      <c r="EQ1846" s="501"/>
      <c r="ER1846" s="501"/>
      <c r="ES1846" s="501"/>
      <c r="ET1846" s="501"/>
      <c r="EU1846" s="501"/>
      <c r="EV1846" s="501"/>
      <c r="EW1846" s="501"/>
      <c r="EX1846" s="501"/>
      <c r="EY1846" s="501"/>
      <c r="EZ1846" s="501"/>
      <c r="FA1846" s="501"/>
      <c r="FB1846" s="501"/>
      <c r="FC1846" s="501"/>
      <c r="FD1846" s="501"/>
      <c r="FE1846" s="501"/>
      <c r="FF1846" s="501"/>
      <c r="FG1846" s="501"/>
      <c r="FH1846" s="501"/>
      <c r="FI1846" s="501"/>
      <c r="FJ1846" s="501"/>
      <c r="FK1846" s="501"/>
      <c r="FL1846" s="501"/>
      <c r="FM1846" s="501"/>
      <c r="FN1846" s="501"/>
      <c r="FO1846" s="501"/>
      <c r="FP1846" s="501"/>
      <c r="FQ1846" s="501"/>
      <c r="FR1846" s="501"/>
      <c r="FS1846" s="501"/>
      <c r="FT1846" s="501"/>
      <c r="FU1846" s="501"/>
      <c r="FV1846" s="501"/>
      <c r="FW1846" s="501"/>
      <c r="FX1846" s="501"/>
      <c r="FY1846" s="501"/>
      <c r="FZ1846" s="501"/>
      <c r="GA1846" s="501"/>
      <c r="GB1846" s="501"/>
      <c r="GC1846" s="501"/>
      <c r="GD1846" s="501"/>
      <c r="GE1846" s="501"/>
      <c r="GF1846" s="501"/>
      <c r="GG1846" s="501"/>
      <c r="GH1846" s="501"/>
      <c r="GI1846" s="501"/>
      <c r="GJ1846" s="501"/>
      <c r="GK1846" s="501"/>
      <c r="GL1846" s="501"/>
      <c r="GM1846" s="501"/>
      <c r="GN1846" s="501"/>
      <c r="GO1846" s="501"/>
      <c r="GP1846" s="501"/>
      <c r="GQ1846" s="501"/>
      <c r="GR1846" s="501"/>
      <c r="GS1846" s="501"/>
      <c r="GT1846" s="501"/>
      <c r="GU1846" s="501"/>
      <c r="GV1846" s="501"/>
      <c r="GW1846" s="501"/>
      <c r="GX1846" s="501"/>
      <c r="GY1846" s="501"/>
      <c r="GZ1846" s="501"/>
      <c r="HA1846" s="501"/>
      <c r="HB1846" s="501"/>
      <c r="HC1846" s="501"/>
      <c r="HD1846" s="501"/>
      <c r="HE1846" s="501"/>
      <c r="HF1846" s="501"/>
      <c r="HG1846" s="501"/>
      <c r="HH1846" s="501"/>
      <c r="HI1846" s="501"/>
      <c r="HJ1846" s="501"/>
      <c r="HK1846" s="501"/>
      <c r="HL1846" s="501"/>
      <c r="HM1846" s="501"/>
      <c r="HN1846" s="501"/>
      <c r="HO1846" s="501"/>
      <c r="HP1846" s="501"/>
      <c r="HQ1846" s="501"/>
      <c r="HR1846" s="501"/>
      <c r="HS1846" s="501"/>
      <c r="HT1846" s="501"/>
      <c r="HU1846" s="501"/>
      <c r="HV1846" s="501"/>
      <c r="HW1846" s="501"/>
      <c r="HX1846" s="501"/>
      <c r="HY1846" s="501"/>
      <c r="HZ1846" s="501"/>
      <c r="IA1846" s="501"/>
      <c r="IB1846" s="501"/>
      <c r="IC1846" s="501"/>
      <c r="ID1846" s="501"/>
      <c r="IE1846" s="501"/>
      <c r="IF1846" s="501"/>
      <c r="IG1846" s="501"/>
      <c r="IH1846" s="501"/>
      <c r="II1846" s="501"/>
      <c r="IJ1846" s="501"/>
      <c r="IK1846" s="501"/>
      <c r="IL1846" s="501"/>
      <c r="IM1846" s="501"/>
      <c r="IN1846" s="501"/>
      <c r="IO1846" s="501"/>
      <c r="IP1846" s="501"/>
      <c r="IQ1846" s="501"/>
      <c r="IR1846" s="501"/>
      <c r="IS1846" s="501"/>
      <c r="IT1846" s="501"/>
      <c r="IU1846" s="501"/>
    </row>
    <row r="1847" spans="1:255" s="877" customFormat="1" ht="24" customHeight="1">
      <c r="A1847" s="501"/>
      <c r="B1847" s="501"/>
      <c r="C1847" s="501"/>
      <c r="D1847" s="501"/>
      <c r="E1847" s="501"/>
      <c r="F1847" s="501"/>
      <c r="G1847" s="915"/>
      <c r="H1847" s="501"/>
      <c r="I1847" s="874"/>
      <c r="J1847" s="876"/>
      <c r="K1847" s="501"/>
      <c r="L1847" s="874"/>
      <c r="M1847" s="882"/>
      <c r="N1847" s="501"/>
      <c r="O1847" s="501"/>
      <c r="P1847" s="901"/>
      <c r="Q1847" s="876"/>
      <c r="R1847" s="501"/>
      <c r="S1847" s="874"/>
      <c r="T1847" s="876"/>
      <c r="V1847" s="501"/>
      <c r="W1847" s="501"/>
      <c r="X1847" s="501"/>
      <c r="Y1847" s="501"/>
      <c r="Z1847" s="501"/>
      <c r="AA1847" s="501"/>
      <c r="AB1847" s="501"/>
      <c r="AC1847" s="501"/>
      <c r="AD1847" s="501"/>
      <c r="AE1847" s="501"/>
      <c r="AF1847" s="501"/>
      <c r="AG1847" s="501"/>
      <c r="AH1847" s="501"/>
      <c r="AI1847" s="501"/>
      <c r="AJ1847" s="501"/>
      <c r="AK1847" s="501"/>
      <c r="AL1847" s="501"/>
      <c r="AM1847" s="501"/>
      <c r="AN1847" s="501"/>
      <c r="AO1847" s="501"/>
      <c r="AP1847" s="501"/>
      <c r="AQ1847" s="501"/>
      <c r="AR1847" s="501"/>
      <c r="AS1847" s="501"/>
      <c r="AT1847" s="501"/>
      <c r="AU1847" s="501"/>
      <c r="AV1847" s="501"/>
      <c r="AW1847" s="501"/>
      <c r="AX1847" s="501"/>
      <c r="AY1847" s="501"/>
      <c r="AZ1847" s="501"/>
      <c r="BA1847" s="501"/>
      <c r="BB1847" s="501"/>
      <c r="BC1847" s="501"/>
      <c r="BD1847" s="501"/>
      <c r="BE1847" s="501"/>
      <c r="BF1847" s="501"/>
      <c r="BG1847" s="501"/>
      <c r="BH1847" s="501"/>
      <c r="BI1847" s="501"/>
      <c r="BJ1847" s="501"/>
      <c r="BK1847" s="501"/>
      <c r="BL1847" s="501"/>
      <c r="BM1847" s="501"/>
      <c r="BN1847" s="501"/>
      <c r="BO1847" s="501"/>
      <c r="BP1847" s="501"/>
      <c r="BQ1847" s="501"/>
      <c r="BR1847" s="501"/>
      <c r="BS1847" s="501"/>
      <c r="BT1847" s="501"/>
      <c r="BU1847" s="501"/>
      <c r="BV1847" s="501"/>
      <c r="BW1847" s="501"/>
      <c r="BX1847" s="501"/>
      <c r="BY1847" s="501"/>
      <c r="BZ1847" s="501"/>
      <c r="CA1847" s="501"/>
      <c r="CB1847" s="501"/>
      <c r="CC1847" s="501"/>
      <c r="CD1847" s="501"/>
      <c r="CE1847" s="501"/>
      <c r="CF1847" s="501"/>
      <c r="CG1847" s="501"/>
      <c r="CH1847" s="501"/>
      <c r="CI1847" s="501"/>
      <c r="CJ1847" s="501"/>
      <c r="CK1847" s="501"/>
      <c r="CL1847" s="501"/>
      <c r="CM1847" s="501"/>
      <c r="CN1847" s="501"/>
      <c r="CO1847" s="501"/>
      <c r="CP1847" s="501"/>
      <c r="CQ1847" s="501"/>
      <c r="CR1847" s="501"/>
      <c r="CS1847" s="501"/>
      <c r="CT1847" s="501"/>
      <c r="CU1847" s="501"/>
      <c r="CV1847" s="501"/>
      <c r="CW1847" s="501"/>
      <c r="CX1847" s="501"/>
      <c r="CY1847" s="501"/>
      <c r="CZ1847" s="501"/>
      <c r="DA1847" s="501"/>
      <c r="DB1847" s="501"/>
      <c r="DC1847" s="501"/>
      <c r="DD1847" s="501"/>
      <c r="DE1847" s="501"/>
      <c r="DF1847" s="501"/>
      <c r="DG1847" s="501"/>
      <c r="DH1847" s="501"/>
      <c r="DI1847" s="501"/>
      <c r="DJ1847" s="501"/>
      <c r="DK1847" s="501"/>
      <c r="DL1847" s="501"/>
      <c r="DM1847" s="501"/>
      <c r="DN1847" s="501"/>
      <c r="DO1847" s="501"/>
      <c r="DP1847" s="501"/>
      <c r="DQ1847" s="501"/>
      <c r="DR1847" s="501"/>
      <c r="DS1847" s="501"/>
      <c r="DT1847" s="501"/>
      <c r="DU1847" s="501"/>
      <c r="DV1847" s="501"/>
      <c r="DW1847" s="501"/>
      <c r="DX1847" s="501"/>
      <c r="DY1847" s="501"/>
      <c r="DZ1847" s="501"/>
      <c r="EA1847" s="501"/>
      <c r="EB1847" s="501"/>
      <c r="EC1847" s="501"/>
      <c r="ED1847" s="501"/>
      <c r="EE1847" s="501"/>
      <c r="EF1847" s="501"/>
      <c r="EG1847" s="501"/>
      <c r="EH1847" s="501"/>
      <c r="EI1847" s="501"/>
      <c r="EJ1847" s="501"/>
      <c r="EK1847" s="501"/>
      <c r="EL1847" s="501"/>
      <c r="EM1847" s="501"/>
      <c r="EN1847" s="501"/>
      <c r="EO1847" s="501"/>
      <c r="EP1847" s="501"/>
      <c r="EQ1847" s="501"/>
      <c r="ER1847" s="501"/>
      <c r="ES1847" s="501"/>
      <c r="ET1847" s="501"/>
      <c r="EU1847" s="501"/>
      <c r="EV1847" s="501"/>
      <c r="EW1847" s="501"/>
      <c r="EX1847" s="501"/>
      <c r="EY1847" s="501"/>
      <c r="EZ1847" s="501"/>
      <c r="FA1847" s="501"/>
      <c r="FB1847" s="501"/>
      <c r="FC1847" s="501"/>
      <c r="FD1847" s="501"/>
      <c r="FE1847" s="501"/>
      <c r="FF1847" s="501"/>
      <c r="FG1847" s="501"/>
      <c r="FH1847" s="501"/>
      <c r="FI1847" s="501"/>
      <c r="FJ1847" s="501"/>
      <c r="FK1847" s="501"/>
      <c r="FL1847" s="501"/>
      <c r="FM1847" s="501"/>
      <c r="FN1847" s="501"/>
      <c r="FO1847" s="501"/>
      <c r="FP1847" s="501"/>
      <c r="FQ1847" s="501"/>
      <c r="FR1847" s="501"/>
      <c r="FS1847" s="501"/>
      <c r="FT1847" s="501"/>
      <c r="FU1847" s="501"/>
      <c r="FV1847" s="501"/>
      <c r="FW1847" s="501"/>
      <c r="FX1847" s="501"/>
      <c r="FY1847" s="501"/>
      <c r="FZ1847" s="501"/>
      <c r="GA1847" s="501"/>
      <c r="GB1847" s="501"/>
      <c r="GC1847" s="501"/>
      <c r="GD1847" s="501"/>
      <c r="GE1847" s="501"/>
      <c r="GF1847" s="501"/>
      <c r="GG1847" s="501"/>
      <c r="GH1847" s="501"/>
      <c r="GI1847" s="501"/>
      <c r="GJ1847" s="501"/>
      <c r="GK1847" s="501"/>
      <c r="GL1847" s="501"/>
      <c r="GM1847" s="501"/>
      <c r="GN1847" s="501"/>
      <c r="GO1847" s="501"/>
      <c r="GP1847" s="501"/>
      <c r="GQ1847" s="501"/>
      <c r="GR1847" s="501"/>
      <c r="GS1847" s="501"/>
      <c r="GT1847" s="501"/>
      <c r="GU1847" s="501"/>
      <c r="GV1847" s="501"/>
      <c r="GW1847" s="501"/>
      <c r="GX1847" s="501"/>
      <c r="GY1847" s="501"/>
      <c r="GZ1847" s="501"/>
      <c r="HA1847" s="501"/>
      <c r="HB1847" s="501"/>
      <c r="HC1847" s="501"/>
      <c r="HD1847" s="501"/>
      <c r="HE1847" s="501"/>
      <c r="HF1847" s="501"/>
      <c r="HG1847" s="501"/>
      <c r="HH1847" s="501"/>
      <c r="HI1847" s="501"/>
      <c r="HJ1847" s="501"/>
      <c r="HK1847" s="501"/>
      <c r="HL1847" s="501"/>
      <c r="HM1847" s="501"/>
      <c r="HN1847" s="501"/>
      <c r="HO1847" s="501"/>
      <c r="HP1847" s="501"/>
      <c r="HQ1847" s="501"/>
      <c r="HR1847" s="501"/>
      <c r="HS1847" s="501"/>
      <c r="HT1847" s="501"/>
      <c r="HU1847" s="501"/>
      <c r="HV1847" s="501"/>
      <c r="HW1847" s="501"/>
      <c r="HX1847" s="501"/>
      <c r="HY1847" s="501"/>
      <c r="HZ1847" s="501"/>
      <c r="IA1847" s="501"/>
      <c r="IB1847" s="501"/>
      <c r="IC1847" s="501"/>
      <c r="ID1847" s="501"/>
      <c r="IE1847" s="501"/>
      <c r="IF1847" s="501"/>
      <c r="IG1847" s="501"/>
      <c r="IH1847" s="501"/>
      <c r="II1847" s="501"/>
      <c r="IJ1847" s="501"/>
      <c r="IK1847" s="501"/>
      <c r="IL1847" s="501"/>
      <c r="IM1847" s="501"/>
      <c r="IN1847" s="501"/>
      <c r="IO1847" s="501"/>
      <c r="IP1847" s="501"/>
      <c r="IQ1847" s="501"/>
      <c r="IR1847" s="501"/>
      <c r="IS1847" s="501"/>
      <c r="IT1847" s="501"/>
      <c r="IU1847" s="501"/>
    </row>
    <row r="1848" spans="1:255" s="877" customFormat="1" ht="24" customHeight="1">
      <c r="A1848" s="501"/>
      <c r="B1848" s="501"/>
      <c r="C1848" s="501"/>
      <c r="D1848" s="501"/>
      <c r="E1848" s="501"/>
      <c r="F1848" s="501"/>
      <c r="G1848" s="915"/>
      <c r="H1848" s="501"/>
      <c r="I1848" s="874"/>
      <c r="J1848" s="501"/>
      <c r="K1848" s="501"/>
      <c r="L1848" s="874"/>
      <c r="M1848" s="882"/>
      <c r="N1848" s="501"/>
      <c r="O1848" s="501"/>
      <c r="P1848" s="902"/>
      <c r="Q1848" s="881"/>
      <c r="R1848" s="501"/>
      <c r="S1848" s="874"/>
      <c r="T1848" s="881"/>
      <c r="V1848" s="501"/>
      <c r="W1848" s="501"/>
      <c r="X1848" s="501"/>
      <c r="Y1848" s="501"/>
      <c r="Z1848" s="501"/>
      <c r="AA1848" s="501"/>
      <c r="AB1848" s="501"/>
      <c r="AC1848" s="501"/>
      <c r="AD1848" s="501"/>
      <c r="AE1848" s="501"/>
      <c r="AF1848" s="501"/>
      <c r="AG1848" s="501"/>
      <c r="AH1848" s="501"/>
      <c r="AI1848" s="501"/>
      <c r="AJ1848" s="501"/>
      <c r="AK1848" s="501"/>
      <c r="AL1848" s="501"/>
      <c r="AM1848" s="501"/>
      <c r="AN1848" s="501"/>
      <c r="AO1848" s="501"/>
      <c r="AP1848" s="501"/>
      <c r="AQ1848" s="501"/>
      <c r="AR1848" s="501"/>
      <c r="AS1848" s="501"/>
      <c r="AT1848" s="501"/>
      <c r="AU1848" s="501"/>
      <c r="AV1848" s="501"/>
      <c r="AW1848" s="501"/>
      <c r="AX1848" s="501"/>
      <c r="AY1848" s="501"/>
      <c r="AZ1848" s="501"/>
      <c r="BA1848" s="501"/>
      <c r="BB1848" s="501"/>
      <c r="BC1848" s="501"/>
      <c r="BD1848" s="501"/>
      <c r="BE1848" s="501"/>
      <c r="BF1848" s="501"/>
      <c r="BG1848" s="501"/>
      <c r="BH1848" s="501"/>
      <c r="BI1848" s="501"/>
      <c r="BJ1848" s="501"/>
      <c r="BK1848" s="501"/>
      <c r="BL1848" s="501"/>
      <c r="BM1848" s="501"/>
      <c r="BN1848" s="501"/>
      <c r="BO1848" s="501"/>
      <c r="BP1848" s="501"/>
      <c r="BQ1848" s="501"/>
      <c r="BR1848" s="501"/>
      <c r="BS1848" s="501"/>
      <c r="BT1848" s="501"/>
      <c r="BU1848" s="501"/>
      <c r="BV1848" s="501"/>
      <c r="BW1848" s="501"/>
      <c r="BX1848" s="501"/>
      <c r="BY1848" s="501"/>
      <c r="BZ1848" s="501"/>
      <c r="CA1848" s="501"/>
      <c r="CB1848" s="501"/>
      <c r="CC1848" s="501"/>
      <c r="CD1848" s="501"/>
      <c r="CE1848" s="501"/>
      <c r="CF1848" s="501"/>
      <c r="CG1848" s="501"/>
      <c r="CH1848" s="501"/>
      <c r="CI1848" s="501"/>
      <c r="CJ1848" s="501"/>
      <c r="CK1848" s="501"/>
      <c r="CL1848" s="501"/>
      <c r="CM1848" s="501"/>
      <c r="CN1848" s="501"/>
      <c r="CO1848" s="501"/>
      <c r="CP1848" s="501"/>
      <c r="CQ1848" s="501"/>
      <c r="CR1848" s="501"/>
      <c r="CS1848" s="501"/>
      <c r="CT1848" s="501"/>
      <c r="CU1848" s="501"/>
      <c r="CV1848" s="501"/>
      <c r="CW1848" s="501"/>
      <c r="CX1848" s="501"/>
      <c r="CY1848" s="501"/>
      <c r="CZ1848" s="501"/>
      <c r="DA1848" s="501"/>
      <c r="DB1848" s="501"/>
      <c r="DC1848" s="501"/>
      <c r="DD1848" s="501"/>
      <c r="DE1848" s="501"/>
      <c r="DF1848" s="501"/>
      <c r="DG1848" s="501"/>
      <c r="DH1848" s="501"/>
      <c r="DI1848" s="501"/>
      <c r="DJ1848" s="501"/>
      <c r="DK1848" s="501"/>
      <c r="DL1848" s="501"/>
      <c r="DM1848" s="501"/>
      <c r="DN1848" s="501"/>
      <c r="DO1848" s="501"/>
      <c r="DP1848" s="501"/>
      <c r="DQ1848" s="501"/>
      <c r="DR1848" s="501"/>
      <c r="DS1848" s="501"/>
      <c r="DT1848" s="501"/>
      <c r="DU1848" s="501"/>
      <c r="DV1848" s="501"/>
      <c r="DW1848" s="501"/>
      <c r="DX1848" s="501"/>
      <c r="DY1848" s="501"/>
      <c r="DZ1848" s="501"/>
      <c r="EA1848" s="501"/>
      <c r="EB1848" s="501"/>
      <c r="EC1848" s="501"/>
      <c r="ED1848" s="501"/>
      <c r="EE1848" s="501"/>
      <c r="EF1848" s="501"/>
      <c r="EG1848" s="501"/>
      <c r="EH1848" s="501"/>
      <c r="EI1848" s="501"/>
      <c r="EJ1848" s="501"/>
      <c r="EK1848" s="501"/>
      <c r="EL1848" s="501"/>
      <c r="EM1848" s="501"/>
      <c r="EN1848" s="501"/>
      <c r="EO1848" s="501"/>
      <c r="EP1848" s="501"/>
      <c r="EQ1848" s="501"/>
      <c r="ER1848" s="501"/>
      <c r="ES1848" s="501"/>
      <c r="ET1848" s="501"/>
      <c r="EU1848" s="501"/>
      <c r="EV1848" s="501"/>
      <c r="EW1848" s="501"/>
      <c r="EX1848" s="501"/>
      <c r="EY1848" s="501"/>
      <c r="EZ1848" s="501"/>
      <c r="FA1848" s="501"/>
      <c r="FB1848" s="501"/>
      <c r="FC1848" s="501"/>
      <c r="FD1848" s="501"/>
      <c r="FE1848" s="501"/>
      <c r="FF1848" s="501"/>
      <c r="FG1848" s="501"/>
      <c r="FH1848" s="501"/>
      <c r="FI1848" s="501"/>
      <c r="FJ1848" s="501"/>
      <c r="FK1848" s="501"/>
      <c r="FL1848" s="501"/>
      <c r="FM1848" s="501"/>
      <c r="FN1848" s="501"/>
      <c r="FO1848" s="501"/>
      <c r="FP1848" s="501"/>
      <c r="FQ1848" s="501"/>
      <c r="FR1848" s="501"/>
      <c r="FS1848" s="501"/>
      <c r="FT1848" s="501"/>
      <c r="FU1848" s="501"/>
      <c r="FV1848" s="501"/>
      <c r="FW1848" s="501"/>
      <c r="FX1848" s="501"/>
      <c r="FY1848" s="501"/>
      <c r="FZ1848" s="501"/>
      <c r="GA1848" s="501"/>
      <c r="GB1848" s="501"/>
      <c r="GC1848" s="501"/>
      <c r="GD1848" s="501"/>
      <c r="GE1848" s="501"/>
      <c r="GF1848" s="501"/>
      <c r="GG1848" s="501"/>
      <c r="GH1848" s="501"/>
      <c r="GI1848" s="501"/>
      <c r="GJ1848" s="501"/>
      <c r="GK1848" s="501"/>
      <c r="GL1848" s="501"/>
      <c r="GM1848" s="501"/>
      <c r="GN1848" s="501"/>
      <c r="GO1848" s="501"/>
      <c r="GP1848" s="501"/>
      <c r="GQ1848" s="501"/>
      <c r="GR1848" s="501"/>
      <c r="GS1848" s="501"/>
      <c r="GT1848" s="501"/>
      <c r="GU1848" s="501"/>
      <c r="GV1848" s="501"/>
      <c r="GW1848" s="501"/>
      <c r="GX1848" s="501"/>
      <c r="GY1848" s="501"/>
      <c r="GZ1848" s="501"/>
      <c r="HA1848" s="501"/>
      <c r="HB1848" s="501"/>
      <c r="HC1848" s="501"/>
      <c r="HD1848" s="501"/>
      <c r="HE1848" s="501"/>
      <c r="HF1848" s="501"/>
      <c r="HG1848" s="501"/>
      <c r="HH1848" s="501"/>
      <c r="HI1848" s="501"/>
      <c r="HJ1848" s="501"/>
      <c r="HK1848" s="501"/>
      <c r="HL1848" s="501"/>
      <c r="HM1848" s="501"/>
      <c r="HN1848" s="501"/>
      <c r="HO1848" s="501"/>
      <c r="HP1848" s="501"/>
      <c r="HQ1848" s="501"/>
      <c r="HR1848" s="501"/>
      <c r="HS1848" s="501"/>
      <c r="HT1848" s="501"/>
      <c r="HU1848" s="501"/>
      <c r="HV1848" s="501"/>
      <c r="HW1848" s="501"/>
      <c r="HX1848" s="501"/>
      <c r="HY1848" s="501"/>
      <c r="HZ1848" s="501"/>
      <c r="IA1848" s="501"/>
      <c r="IB1848" s="501"/>
      <c r="IC1848" s="501"/>
      <c r="ID1848" s="501"/>
      <c r="IE1848" s="501"/>
      <c r="IF1848" s="501"/>
      <c r="IG1848" s="501"/>
      <c r="IH1848" s="501"/>
      <c r="II1848" s="501"/>
      <c r="IJ1848" s="501"/>
      <c r="IK1848" s="501"/>
      <c r="IL1848" s="501"/>
      <c r="IM1848" s="501"/>
      <c r="IN1848" s="501"/>
      <c r="IO1848" s="501"/>
      <c r="IP1848" s="501"/>
      <c r="IQ1848" s="501"/>
      <c r="IR1848" s="501"/>
      <c r="IS1848" s="501"/>
      <c r="IT1848" s="501"/>
      <c r="IU1848" s="501"/>
    </row>
    <row r="1849" spans="1:255" s="877" customFormat="1" ht="24" customHeight="1">
      <c r="A1849" s="501"/>
      <c r="B1849" s="501"/>
      <c r="C1849" s="501"/>
      <c r="D1849" s="501"/>
      <c r="E1849" s="501"/>
      <c r="F1849" s="501"/>
      <c r="G1849" s="915"/>
      <c r="H1849" s="501"/>
      <c r="I1849" s="874"/>
      <c r="J1849" s="501"/>
      <c r="K1849" s="501"/>
      <c r="L1849" s="874"/>
      <c r="M1849" s="554"/>
      <c r="N1849" s="501"/>
      <c r="O1849" s="545"/>
      <c r="P1849" s="901"/>
      <c r="Q1849" s="876"/>
      <c r="R1849" s="545"/>
      <c r="S1849" s="876"/>
      <c r="T1849" s="545"/>
      <c r="V1849" s="501"/>
      <c r="W1849" s="501"/>
      <c r="X1849" s="501"/>
      <c r="Y1849" s="501"/>
      <c r="Z1849" s="501"/>
      <c r="AA1849" s="501"/>
      <c r="AB1849" s="501"/>
      <c r="AC1849" s="501"/>
      <c r="AD1849" s="501"/>
      <c r="AE1849" s="501"/>
      <c r="AF1849" s="501"/>
      <c r="AG1849" s="501"/>
      <c r="AH1849" s="501"/>
      <c r="AI1849" s="501"/>
      <c r="AJ1849" s="501"/>
      <c r="AK1849" s="501"/>
      <c r="AL1849" s="501"/>
      <c r="AM1849" s="501"/>
      <c r="AN1849" s="501"/>
      <c r="AO1849" s="501"/>
      <c r="AP1849" s="501"/>
      <c r="AQ1849" s="501"/>
      <c r="AR1849" s="501"/>
      <c r="AS1849" s="501"/>
      <c r="AT1849" s="501"/>
      <c r="AU1849" s="501"/>
      <c r="AV1849" s="501"/>
      <c r="AW1849" s="501"/>
      <c r="AX1849" s="501"/>
      <c r="AY1849" s="501"/>
      <c r="AZ1849" s="501"/>
      <c r="BA1849" s="501"/>
      <c r="BB1849" s="501"/>
      <c r="BC1849" s="501"/>
      <c r="BD1849" s="501"/>
      <c r="BE1849" s="501"/>
      <c r="BF1849" s="501"/>
      <c r="BG1849" s="501"/>
      <c r="BH1849" s="501"/>
      <c r="BI1849" s="501"/>
      <c r="BJ1849" s="501"/>
      <c r="BK1849" s="501"/>
      <c r="BL1849" s="501"/>
      <c r="BM1849" s="501"/>
      <c r="BN1849" s="501"/>
      <c r="BO1849" s="501"/>
      <c r="BP1849" s="501"/>
      <c r="BQ1849" s="501"/>
      <c r="BR1849" s="501"/>
      <c r="BS1849" s="501"/>
      <c r="BT1849" s="501"/>
      <c r="BU1849" s="501"/>
      <c r="BV1849" s="501"/>
      <c r="BW1849" s="501"/>
      <c r="BX1849" s="501"/>
      <c r="BY1849" s="501"/>
      <c r="BZ1849" s="501"/>
      <c r="CA1849" s="501"/>
      <c r="CB1849" s="501"/>
      <c r="CC1849" s="501"/>
      <c r="CD1849" s="501"/>
      <c r="CE1849" s="501"/>
      <c r="CF1849" s="501"/>
      <c r="CG1849" s="501"/>
      <c r="CH1849" s="501"/>
      <c r="CI1849" s="501"/>
      <c r="CJ1849" s="501"/>
      <c r="CK1849" s="501"/>
      <c r="CL1849" s="501"/>
      <c r="CM1849" s="501"/>
      <c r="CN1849" s="501"/>
      <c r="CO1849" s="501"/>
      <c r="CP1849" s="501"/>
      <c r="CQ1849" s="501"/>
      <c r="CR1849" s="501"/>
      <c r="CS1849" s="501"/>
      <c r="CT1849" s="501"/>
      <c r="CU1849" s="501"/>
      <c r="CV1849" s="501"/>
      <c r="CW1849" s="501"/>
      <c r="CX1849" s="501"/>
      <c r="CY1849" s="501"/>
      <c r="CZ1849" s="501"/>
      <c r="DA1849" s="501"/>
      <c r="DB1849" s="501"/>
      <c r="DC1849" s="501"/>
      <c r="DD1849" s="501"/>
      <c r="DE1849" s="501"/>
      <c r="DF1849" s="501"/>
      <c r="DG1849" s="501"/>
      <c r="DH1849" s="501"/>
      <c r="DI1849" s="501"/>
      <c r="DJ1849" s="501"/>
      <c r="DK1849" s="501"/>
      <c r="DL1849" s="501"/>
      <c r="DM1849" s="501"/>
      <c r="DN1849" s="501"/>
      <c r="DO1849" s="501"/>
      <c r="DP1849" s="501"/>
      <c r="DQ1849" s="501"/>
      <c r="DR1849" s="501"/>
      <c r="DS1849" s="501"/>
      <c r="DT1849" s="501"/>
      <c r="DU1849" s="501"/>
      <c r="DV1849" s="501"/>
      <c r="DW1849" s="501"/>
      <c r="DX1849" s="501"/>
      <c r="DY1849" s="501"/>
      <c r="DZ1849" s="501"/>
      <c r="EA1849" s="501"/>
      <c r="EB1849" s="501"/>
      <c r="EC1849" s="501"/>
      <c r="ED1849" s="501"/>
      <c r="EE1849" s="501"/>
      <c r="EF1849" s="501"/>
      <c r="EG1849" s="501"/>
      <c r="EH1849" s="501"/>
      <c r="EI1849" s="501"/>
      <c r="EJ1849" s="501"/>
      <c r="EK1849" s="501"/>
      <c r="EL1849" s="501"/>
      <c r="EM1849" s="501"/>
      <c r="EN1849" s="501"/>
      <c r="EO1849" s="501"/>
      <c r="EP1849" s="501"/>
      <c r="EQ1849" s="501"/>
      <c r="ER1849" s="501"/>
      <c r="ES1849" s="501"/>
      <c r="ET1849" s="501"/>
      <c r="EU1849" s="501"/>
      <c r="EV1849" s="501"/>
      <c r="EW1849" s="501"/>
      <c r="EX1849" s="501"/>
      <c r="EY1849" s="501"/>
      <c r="EZ1849" s="501"/>
      <c r="FA1849" s="501"/>
      <c r="FB1849" s="501"/>
      <c r="FC1849" s="501"/>
      <c r="FD1849" s="501"/>
      <c r="FE1849" s="501"/>
      <c r="FF1849" s="501"/>
      <c r="FG1849" s="501"/>
      <c r="FH1849" s="501"/>
      <c r="FI1849" s="501"/>
      <c r="FJ1849" s="501"/>
      <c r="FK1849" s="501"/>
      <c r="FL1849" s="501"/>
      <c r="FM1849" s="501"/>
      <c r="FN1849" s="501"/>
      <c r="FO1849" s="501"/>
      <c r="FP1849" s="501"/>
      <c r="FQ1849" s="501"/>
      <c r="FR1849" s="501"/>
      <c r="FS1849" s="501"/>
      <c r="FT1849" s="501"/>
      <c r="FU1849" s="501"/>
      <c r="FV1849" s="501"/>
      <c r="FW1849" s="501"/>
      <c r="FX1849" s="501"/>
      <c r="FY1849" s="501"/>
      <c r="FZ1849" s="501"/>
      <c r="GA1849" s="501"/>
      <c r="GB1849" s="501"/>
      <c r="GC1849" s="501"/>
      <c r="GD1849" s="501"/>
      <c r="GE1849" s="501"/>
      <c r="GF1849" s="501"/>
      <c r="GG1849" s="501"/>
      <c r="GH1849" s="501"/>
      <c r="GI1849" s="501"/>
      <c r="GJ1849" s="501"/>
      <c r="GK1849" s="501"/>
      <c r="GL1849" s="501"/>
      <c r="GM1849" s="501"/>
      <c r="GN1849" s="501"/>
      <c r="GO1849" s="501"/>
      <c r="GP1849" s="501"/>
      <c r="GQ1849" s="501"/>
      <c r="GR1849" s="501"/>
      <c r="GS1849" s="501"/>
      <c r="GT1849" s="501"/>
      <c r="GU1849" s="501"/>
      <c r="GV1849" s="501"/>
      <c r="GW1849" s="501"/>
      <c r="GX1849" s="501"/>
      <c r="GY1849" s="501"/>
      <c r="GZ1849" s="501"/>
      <c r="HA1849" s="501"/>
      <c r="HB1849" s="501"/>
      <c r="HC1849" s="501"/>
      <c r="HD1849" s="501"/>
      <c r="HE1849" s="501"/>
      <c r="HF1849" s="501"/>
      <c r="HG1849" s="501"/>
      <c r="HH1849" s="501"/>
      <c r="HI1849" s="501"/>
      <c r="HJ1849" s="501"/>
      <c r="HK1849" s="501"/>
      <c r="HL1849" s="501"/>
      <c r="HM1849" s="501"/>
      <c r="HN1849" s="501"/>
      <c r="HO1849" s="501"/>
      <c r="HP1849" s="501"/>
      <c r="HQ1849" s="501"/>
      <c r="HR1849" s="501"/>
      <c r="HS1849" s="501"/>
      <c r="HT1849" s="501"/>
      <c r="HU1849" s="501"/>
      <c r="HV1849" s="501"/>
      <c r="HW1849" s="501"/>
      <c r="HX1849" s="501"/>
      <c r="HY1849" s="501"/>
      <c r="HZ1849" s="501"/>
      <c r="IA1849" s="501"/>
      <c r="IB1849" s="501"/>
      <c r="IC1849" s="501"/>
      <c r="ID1849" s="501"/>
      <c r="IE1849" s="501"/>
      <c r="IF1849" s="501"/>
      <c r="IG1849" s="501"/>
      <c r="IH1849" s="501"/>
      <c r="II1849" s="501"/>
      <c r="IJ1849" s="501"/>
      <c r="IK1849" s="501"/>
      <c r="IL1849" s="501"/>
      <c r="IM1849" s="501"/>
      <c r="IN1849" s="501"/>
      <c r="IO1849" s="501"/>
      <c r="IP1849" s="501"/>
      <c r="IQ1849" s="501"/>
      <c r="IR1849" s="501"/>
      <c r="IS1849" s="501"/>
      <c r="IT1849" s="501"/>
      <c r="IU1849" s="501"/>
    </row>
    <row r="1850" spans="1:255" ht="24" customHeight="1">
      <c r="F1850" s="1020"/>
      <c r="G1850" s="1021"/>
      <c r="H1850" s="1020"/>
      <c r="I1850" s="876"/>
      <c r="J1850" s="876"/>
      <c r="O1850" s="876"/>
      <c r="P1850" s="902"/>
      <c r="Q1850" s="876"/>
      <c r="R1850" s="545"/>
      <c r="S1850" s="874"/>
      <c r="T1850" s="876"/>
      <c r="U1850" s="1020"/>
    </row>
    <row r="1851" spans="1:255" ht="24" customHeight="1">
      <c r="J1851" s="876"/>
      <c r="O1851" s="545"/>
      <c r="P1851" s="901"/>
      <c r="Q1851" s="913"/>
      <c r="R1851" s="545"/>
      <c r="S1851" s="876"/>
      <c r="T1851" s="545"/>
      <c r="U1851" s="501"/>
    </row>
    <row r="1852" spans="1:255" ht="24" customHeight="1">
      <c r="J1852" s="876"/>
      <c r="O1852" s="545"/>
      <c r="P1852" s="901"/>
      <c r="Q1852" s="913"/>
      <c r="R1852" s="545"/>
      <c r="S1852" s="876"/>
      <c r="T1852" s="545"/>
      <c r="U1852" s="501"/>
    </row>
    <row r="1853" spans="1:255" ht="24" customHeight="1">
      <c r="J1853" s="876"/>
      <c r="O1853" s="545"/>
      <c r="P1853" s="901"/>
      <c r="Q1853" s="876"/>
      <c r="R1853" s="545"/>
      <c r="S1853" s="876"/>
      <c r="T1853" s="545"/>
      <c r="U1853" s="501"/>
    </row>
    <row r="1854" spans="1:255" ht="24" customHeight="1">
      <c r="J1854" s="876"/>
      <c r="O1854" s="545"/>
      <c r="P1854" s="901"/>
      <c r="Q1854" s="876"/>
      <c r="R1854" s="545"/>
      <c r="S1854" s="876"/>
      <c r="T1854" s="545"/>
      <c r="U1854" s="501"/>
    </row>
    <row r="1855" spans="1:255" ht="24" customHeight="1">
      <c r="J1855" s="876"/>
      <c r="O1855" s="545"/>
      <c r="P1855" s="901"/>
      <c r="Q1855" s="876"/>
      <c r="R1855" s="545"/>
      <c r="S1855" s="876"/>
      <c r="T1855" s="545"/>
      <c r="U1855" s="501"/>
    </row>
    <row r="1856" spans="1:255" ht="24" customHeight="1">
      <c r="J1856" s="876"/>
      <c r="O1856" s="545"/>
      <c r="P1856" s="901"/>
      <c r="Q1856" s="876"/>
      <c r="R1856" s="545"/>
      <c r="S1856" s="876"/>
      <c r="T1856" s="545"/>
      <c r="U1856" s="501"/>
    </row>
    <row r="1857" spans="6:21" ht="24" customHeight="1">
      <c r="J1857" s="876"/>
      <c r="P1857" s="901"/>
      <c r="Q1857" s="876"/>
      <c r="R1857" s="545"/>
      <c r="S1857" s="876"/>
      <c r="T1857" s="545"/>
      <c r="U1857" s="501"/>
    </row>
    <row r="1858" spans="6:21" ht="24" customHeight="1">
      <c r="J1858" s="881"/>
      <c r="K1858" s="881"/>
      <c r="P1858" s="902"/>
      <c r="Q1858" s="876"/>
      <c r="R1858" s="545"/>
      <c r="S1858" s="874"/>
      <c r="T1858" s="876"/>
      <c r="U1858" s="501"/>
    </row>
    <row r="1859" spans="6:21" ht="24" customHeight="1">
      <c r="I1859" s="876"/>
      <c r="J1859" s="876"/>
      <c r="P1859" s="901"/>
      <c r="Q1859" s="876"/>
      <c r="R1859" s="545"/>
      <c r="S1859" s="876"/>
      <c r="T1859" s="545"/>
      <c r="U1859" s="501"/>
    </row>
    <row r="1860" spans="6:21" ht="24" customHeight="1">
      <c r="J1860" s="876"/>
      <c r="P1860" s="902"/>
      <c r="S1860" s="874"/>
      <c r="T1860" s="881"/>
      <c r="U1860" s="501"/>
    </row>
    <row r="1861" spans="6:21" ht="24" customHeight="1">
      <c r="I1861" s="876"/>
      <c r="J1861" s="876"/>
      <c r="P1861" s="902"/>
      <c r="Q1861" s="876"/>
      <c r="S1861" s="874"/>
      <c r="T1861" s="545"/>
      <c r="U1861" s="501"/>
    </row>
    <row r="1862" spans="6:21" ht="24" customHeight="1">
      <c r="J1862" s="881"/>
      <c r="P1862" s="902"/>
      <c r="S1862" s="874"/>
      <c r="T1862" s="881"/>
      <c r="U1862" s="501"/>
    </row>
    <row r="1863" spans="6:21" ht="24" customHeight="1">
      <c r="F1863" s="545"/>
      <c r="G1863" s="889"/>
      <c r="H1863" s="545"/>
      <c r="I1863" s="876"/>
      <c r="J1863" s="876"/>
      <c r="K1863" s="545"/>
      <c r="L1863" s="876"/>
      <c r="M1863" s="882"/>
      <c r="P1863" s="902"/>
      <c r="Q1863" s="876"/>
      <c r="S1863" s="874"/>
      <c r="T1863" s="545"/>
      <c r="U1863" s="545"/>
    </row>
    <row r="1864" spans="6:21" ht="24" customHeight="1">
      <c r="F1864" s="545"/>
      <c r="G1864" s="889"/>
      <c r="H1864" s="545"/>
      <c r="I1864" s="876"/>
      <c r="J1864" s="876"/>
      <c r="K1864" s="545"/>
      <c r="L1864" s="876"/>
      <c r="M1864" s="882"/>
      <c r="P1864" s="902"/>
      <c r="S1864" s="874"/>
      <c r="T1864" s="881"/>
      <c r="U1864" s="545"/>
    </row>
    <row r="1865" spans="6:21" ht="24" customHeight="1">
      <c r="F1865" s="545"/>
      <c r="G1865" s="889"/>
      <c r="H1865" s="545"/>
      <c r="I1865" s="876"/>
      <c r="J1865" s="876"/>
      <c r="K1865" s="545"/>
      <c r="L1865" s="876"/>
      <c r="M1865" s="882"/>
      <c r="U1865" s="545"/>
    </row>
    <row r="1866" spans="6:21" ht="24" customHeight="1">
      <c r="K1866" s="876"/>
      <c r="M1866" s="882"/>
      <c r="U1866" s="501"/>
    </row>
    <row r="1867" spans="6:21" ht="24" customHeight="1">
      <c r="J1867" s="876"/>
      <c r="M1867" s="883"/>
      <c r="U1867" s="501"/>
    </row>
    <row r="1868" spans="6:21" ht="24" customHeight="1">
      <c r="J1868" s="876"/>
      <c r="K1868" s="876"/>
      <c r="M1868" s="882"/>
      <c r="P1868" s="901"/>
      <c r="Q1868" s="876"/>
      <c r="S1868" s="874"/>
      <c r="U1868" s="501"/>
    </row>
    <row r="1869" spans="6:21" ht="24" customHeight="1">
      <c r="I1869" s="876"/>
      <c r="J1869" s="876"/>
      <c r="P1869" s="902"/>
      <c r="Q1869" s="881"/>
      <c r="S1869" s="874"/>
      <c r="U1869" s="501"/>
    </row>
    <row r="1870" spans="6:21" ht="24" customHeight="1">
      <c r="J1870" s="881"/>
      <c r="O1870" s="545"/>
      <c r="P1870" s="901"/>
      <c r="Q1870" s="876"/>
      <c r="R1870" s="545"/>
      <c r="S1870" s="876"/>
      <c r="T1870" s="545"/>
      <c r="U1870" s="501"/>
    </row>
    <row r="1871" spans="6:21" ht="24" customHeight="1">
      <c r="F1871" s="545"/>
      <c r="G1871" s="889"/>
      <c r="H1871" s="545"/>
      <c r="I1871" s="876"/>
      <c r="J1871" s="876"/>
      <c r="K1871" s="545"/>
      <c r="L1871" s="876"/>
      <c r="M1871" s="882"/>
      <c r="O1871" s="545"/>
      <c r="P1871" s="901"/>
      <c r="Q1871" s="876"/>
      <c r="R1871" s="545"/>
      <c r="S1871" s="876"/>
      <c r="T1871" s="545"/>
      <c r="U1871" s="545"/>
    </row>
    <row r="1872" spans="6:21" ht="24" customHeight="1">
      <c r="F1872" s="545"/>
      <c r="G1872" s="889"/>
      <c r="H1872" s="545"/>
      <c r="I1872" s="876"/>
      <c r="J1872" s="876"/>
      <c r="K1872" s="545"/>
      <c r="L1872" s="876"/>
      <c r="M1872" s="882"/>
      <c r="O1872" s="545"/>
      <c r="P1872" s="901"/>
      <c r="Q1872" s="876"/>
      <c r="R1872" s="545"/>
      <c r="S1872" s="876"/>
      <c r="T1872" s="545"/>
      <c r="U1872" s="545"/>
    </row>
    <row r="1873" spans="6:25" ht="24" customHeight="1">
      <c r="F1873" s="545"/>
      <c r="G1873" s="889"/>
      <c r="H1873" s="545"/>
      <c r="I1873" s="876"/>
      <c r="J1873" s="876"/>
      <c r="K1873" s="545"/>
      <c r="L1873" s="876"/>
      <c r="M1873" s="882"/>
      <c r="P1873" s="902"/>
      <c r="R1873" s="876"/>
      <c r="S1873" s="874"/>
      <c r="T1873" s="881"/>
      <c r="U1873" s="545"/>
    </row>
    <row r="1874" spans="6:25" ht="24" customHeight="1">
      <c r="K1874" s="876"/>
      <c r="M1874" s="882"/>
      <c r="P1874" s="902"/>
      <c r="Q1874" s="876"/>
      <c r="S1874" s="874"/>
      <c r="T1874" s="892"/>
      <c r="U1874" s="501"/>
    </row>
    <row r="1875" spans="6:25" ht="24" customHeight="1">
      <c r="J1875" s="876"/>
      <c r="M1875" s="883"/>
      <c r="P1875" s="902"/>
      <c r="R1875" s="876"/>
      <c r="S1875" s="874"/>
      <c r="T1875" s="881"/>
      <c r="U1875" s="501"/>
    </row>
    <row r="1876" spans="6:25" ht="24" customHeight="1">
      <c r="K1876" s="876"/>
      <c r="M1876" s="882"/>
      <c r="U1876" s="501"/>
    </row>
    <row r="1877" spans="6:25" ht="49.5" customHeight="1">
      <c r="I1877" s="876"/>
      <c r="J1877" s="876"/>
      <c r="U1877" s="501"/>
    </row>
    <row r="1878" spans="6:25" ht="24" customHeight="1">
      <c r="J1878" s="881"/>
      <c r="P1878" s="901"/>
      <c r="Q1878" s="876"/>
      <c r="S1878" s="874"/>
      <c r="T1878" s="876"/>
      <c r="U1878" s="501"/>
    </row>
    <row r="1879" spans="6:25" ht="24" customHeight="1">
      <c r="F1879" s="545"/>
      <c r="G1879" s="889"/>
      <c r="H1879" s="545"/>
      <c r="I1879" s="876"/>
      <c r="J1879" s="876"/>
      <c r="K1879" s="545"/>
      <c r="L1879" s="876"/>
      <c r="M1879" s="882"/>
      <c r="P1879" s="902"/>
      <c r="Q1879" s="881"/>
      <c r="S1879" s="874"/>
      <c r="T1879" s="881"/>
      <c r="U1879" s="545"/>
    </row>
    <row r="1880" spans="6:25" ht="24" customHeight="1">
      <c r="F1880" s="545"/>
      <c r="G1880" s="889"/>
      <c r="H1880" s="545"/>
      <c r="I1880" s="876"/>
      <c r="J1880" s="876"/>
      <c r="K1880" s="545"/>
      <c r="L1880" s="876"/>
      <c r="M1880" s="882"/>
      <c r="O1880" s="545"/>
      <c r="P1880" s="901"/>
      <c r="Q1880" s="876"/>
      <c r="R1880" s="545"/>
      <c r="S1880" s="876"/>
      <c r="T1880" s="545"/>
      <c r="U1880" s="545"/>
    </row>
    <row r="1881" spans="6:25" ht="24" customHeight="1">
      <c r="F1881" s="545"/>
      <c r="G1881" s="889"/>
      <c r="H1881" s="545"/>
      <c r="I1881" s="876"/>
      <c r="J1881" s="876"/>
      <c r="K1881" s="545"/>
      <c r="L1881" s="876"/>
      <c r="M1881" s="882"/>
      <c r="O1881" s="876"/>
      <c r="P1881" s="902"/>
      <c r="Q1881" s="876"/>
      <c r="R1881" s="545"/>
      <c r="S1881" s="874"/>
      <c r="T1881" s="876"/>
      <c r="U1881" s="545"/>
    </row>
    <row r="1882" spans="6:25" ht="24" customHeight="1">
      <c r="K1882" s="876"/>
      <c r="M1882" s="882"/>
      <c r="O1882" s="545"/>
      <c r="P1882" s="901"/>
      <c r="Q1882" s="876"/>
      <c r="R1882" s="545"/>
      <c r="S1882" s="876"/>
      <c r="T1882" s="545"/>
      <c r="U1882" s="501"/>
    </row>
    <row r="1883" spans="6:25" ht="24" customHeight="1">
      <c r="J1883" s="876"/>
      <c r="M1883" s="883"/>
      <c r="O1883" s="545"/>
      <c r="P1883" s="901"/>
      <c r="Q1883" s="876"/>
      <c r="R1883" s="545"/>
      <c r="S1883" s="876"/>
      <c r="T1883" s="545"/>
      <c r="U1883" s="501"/>
    </row>
    <row r="1884" spans="6:25" ht="36.75" customHeight="1">
      <c r="K1884" s="876"/>
      <c r="M1884" s="882"/>
      <c r="O1884" s="545"/>
      <c r="P1884" s="901"/>
      <c r="Q1884" s="876"/>
      <c r="R1884" s="545"/>
      <c r="S1884" s="876"/>
      <c r="T1884" s="545"/>
      <c r="U1884" s="501"/>
    </row>
    <row r="1885" spans="6:25" ht="24" customHeight="1">
      <c r="K1885" s="876"/>
      <c r="M1885" s="882"/>
      <c r="O1885" s="545"/>
      <c r="P1885" s="901"/>
      <c r="Q1885" s="876"/>
      <c r="R1885" s="545"/>
      <c r="S1885" s="876"/>
      <c r="T1885" s="545"/>
      <c r="U1885" s="501"/>
    </row>
    <row r="1886" spans="6:25" ht="24" customHeight="1">
      <c r="I1886" s="876"/>
      <c r="J1886" s="876"/>
      <c r="O1886" s="545"/>
      <c r="P1886" s="901"/>
      <c r="Q1886" s="876"/>
      <c r="R1886" s="545"/>
      <c r="S1886" s="876"/>
      <c r="T1886" s="545"/>
      <c r="U1886" s="501"/>
      <c r="V1886" s="901"/>
      <c r="W1886" s="876"/>
      <c r="Y1886" s="874"/>
    </row>
    <row r="1887" spans="6:25" ht="24" customHeight="1">
      <c r="J1887" s="881"/>
      <c r="O1887" s="545"/>
      <c r="P1887" s="901"/>
      <c r="Q1887" s="876"/>
      <c r="R1887" s="545"/>
      <c r="S1887" s="876"/>
      <c r="T1887" s="545"/>
      <c r="U1887" s="501"/>
      <c r="V1887" s="902"/>
      <c r="W1887" s="876"/>
      <c r="Y1887" s="874"/>
    </row>
    <row r="1888" spans="6:25" ht="24" customHeight="1">
      <c r="F1888" s="545"/>
      <c r="G1888" s="889"/>
      <c r="H1888" s="545"/>
      <c r="I1888" s="876"/>
      <c r="J1888" s="876"/>
      <c r="K1888" s="545"/>
      <c r="L1888" s="876"/>
      <c r="M1888" s="882"/>
      <c r="P1888" s="901"/>
      <c r="Q1888" s="876"/>
      <c r="R1888" s="545"/>
      <c r="S1888" s="876"/>
      <c r="T1888" s="545"/>
      <c r="U1888" s="545"/>
      <c r="V1888" s="902"/>
      <c r="W1888" s="876"/>
      <c r="Y1888" s="874"/>
    </row>
    <row r="1889" spans="1:255" ht="24" customHeight="1">
      <c r="F1889" s="545"/>
      <c r="G1889" s="889"/>
      <c r="H1889" s="545"/>
      <c r="I1889" s="876"/>
      <c r="J1889" s="876"/>
      <c r="K1889" s="545"/>
      <c r="L1889" s="876"/>
      <c r="M1889" s="882"/>
      <c r="P1889" s="902"/>
      <c r="Q1889" s="876"/>
      <c r="R1889" s="545"/>
      <c r="S1889" s="874"/>
      <c r="T1889" s="876"/>
      <c r="U1889" s="545"/>
      <c r="V1889" s="902"/>
      <c r="W1889" s="876"/>
      <c r="Y1889" s="874"/>
    </row>
    <row r="1890" spans="1:255" ht="24" customHeight="1">
      <c r="F1890" s="545"/>
      <c r="G1890" s="889"/>
      <c r="H1890" s="545"/>
      <c r="I1890" s="876"/>
      <c r="J1890" s="876"/>
      <c r="K1890" s="545"/>
      <c r="L1890" s="876"/>
      <c r="M1890" s="882"/>
      <c r="P1890" s="901"/>
      <c r="Q1890" s="876"/>
      <c r="R1890" s="545"/>
      <c r="S1890" s="876"/>
      <c r="T1890" s="545"/>
      <c r="U1890" s="545"/>
      <c r="V1890" s="902"/>
      <c r="W1890" s="876"/>
      <c r="Y1890" s="874"/>
    </row>
    <row r="1891" spans="1:255" ht="24" customHeight="1">
      <c r="K1891" s="876"/>
      <c r="M1891" s="882"/>
      <c r="P1891" s="902"/>
      <c r="S1891" s="874"/>
      <c r="T1891" s="881"/>
      <c r="U1891" s="501"/>
      <c r="V1891" s="902"/>
      <c r="W1891" s="876"/>
      <c r="Y1891" s="874"/>
    </row>
    <row r="1892" spans="1:255" ht="24" customHeight="1">
      <c r="J1892" s="876"/>
      <c r="M1892" s="883"/>
      <c r="P1892" s="902"/>
      <c r="Q1892" s="876"/>
      <c r="S1892" s="874"/>
      <c r="T1892" s="545"/>
      <c r="U1892" s="501"/>
      <c r="V1892" s="902"/>
      <c r="W1892" s="876"/>
      <c r="Y1892" s="874"/>
    </row>
    <row r="1893" spans="1:255" ht="24" customHeight="1">
      <c r="K1893" s="876"/>
      <c r="M1893" s="882"/>
      <c r="P1893" s="902"/>
      <c r="S1893" s="874"/>
      <c r="T1893" s="881"/>
      <c r="U1893" s="501"/>
      <c r="V1893" s="902"/>
      <c r="W1893" s="876"/>
      <c r="Y1893" s="874"/>
    </row>
    <row r="1894" spans="1:255" ht="24" customHeight="1">
      <c r="K1894" s="876"/>
      <c r="M1894" s="882"/>
      <c r="P1894" s="902"/>
      <c r="Q1894" s="876"/>
      <c r="S1894" s="874"/>
      <c r="T1894" s="545"/>
      <c r="U1894" s="501"/>
      <c r="V1894" s="902"/>
      <c r="W1894" s="881"/>
      <c r="X1894" s="881"/>
      <c r="Y1894" s="874"/>
    </row>
    <row r="1895" spans="1:255" ht="39" customHeight="1">
      <c r="F1895" s="1022"/>
      <c r="G1895" s="1023"/>
      <c r="H1895" s="1022"/>
      <c r="J1895" s="1024"/>
      <c r="K1895" s="876"/>
      <c r="M1895" s="882"/>
      <c r="P1895" s="902"/>
      <c r="S1895" s="874"/>
      <c r="T1895" s="881"/>
      <c r="V1895" s="901"/>
      <c r="W1895" s="876"/>
      <c r="Y1895" s="874"/>
    </row>
    <row r="1896" spans="1:255" ht="24" customHeight="1">
      <c r="K1896" s="876"/>
      <c r="M1896" s="882"/>
      <c r="V1896" s="902"/>
      <c r="W1896" s="876"/>
      <c r="Y1896" s="874"/>
    </row>
    <row r="1897" spans="1:255" ht="24" customHeight="1">
      <c r="F1897" s="880"/>
      <c r="G1897" s="918"/>
      <c r="H1897" s="880"/>
      <c r="I1897" s="876"/>
      <c r="J1897" s="876"/>
      <c r="K1897" s="876"/>
      <c r="M1897" s="882"/>
      <c r="V1897" s="901"/>
      <c r="W1897" s="876"/>
      <c r="Y1897" s="874"/>
    </row>
    <row r="1898" spans="1:255" s="877" customFormat="1" ht="24" customHeight="1">
      <c r="A1898" s="501"/>
      <c r="B1898" s="501"/>
      <c r="C1898" s="501"/>
      <c r="D1898" s="501"/>
      <c r="E1898" s="501"/>
      <c r="F1898" s="501"/>
      <c r="G1898" s="915"/>
      <c r="H1898" s="501"/>
      <c r="I1898" s="876"/>
      <c r="J1898" s="876"/>
      <c r="K1898" s="876"/>
      <c r="L1898" s="874"/>
      <c r="M1898" s="882"/>
      <c r="N1898" s="501"/>
      <c r="O1898" s="501"/>
      <c r="P1898" s="501"/>
      <c r="Q1898" s="501"/>
      <c r="R1898" s="501"/>
      <c r="S1898" s="501"/>
      <c r="T1898" s="501"/>
      <c r="V1898" s="902"/>
      <c r="W1898" s="881"/>
      <c r="X1898" s="501"/>
      <c r="Y1898" s="874"/>
      <c r="Z1898" s="501"/>
      <c r="AA1898" s="501"/>
      <c r="AB1898" s="501"/>
      <c r="AC1898" s="501"/>
      <c r="AD1898" s="501"/>
      <c r="AE1898" s="501"/>
      <c r="AF1898" s="501"/>
      <c r="AG1898" s="501"/>
      <c r="AH1898" s="501"/>
      <c r="AI1898" s="501"/>
      <c r="AJ1898" s="501"/>
      <c r="AK1898" s="501"/>
      <c r="AL1898" s="501"/>
      <c r="AM1898" s="501"/>
      <c r="AN1898" s="501"/>
      <c r="AO1898" s="501"/>
      <c r="AP1898" s="501"/>
      <c r="AQ1898" s="501"/>
      <c r="AR1898" s="501"/>
      <c r="AS1898" s="501"/>
      <c r="AT1898" s="501"/>
      <c r="AU1898" s="501"/>
      <c r="AV1898" s="501"/>
      <c r="AW1898" s="501"/>
      <c r="AX1898" s="501"/>
      <c r="AY1898" s="501"/>
      <c r="AZ1898" s="501"/>
      <c r="BA1898" s="501"/>
      <c r="BB1898" s="501"/>
      <c r="BC1898" s="501"/>
      <c r="BD1898" s="501"/>
      <c r="BE1898" s="501"/>
      <c r="BF1898" s="501"/>
      <c r="BG1898" s="501"/>
      <c r="BH1898" s="501"/>
      <c r="BI1898" s="501"/>
      <c r="BJ1898" s="501"/>
      <c r="BK1898" s="501"/>
      <c r="BL1898" s="501"/>
      <c r="BM1898" s="501"/>
      <c r="BN1898" s="501"/>
      <c r="BO1898" s="501"/>
      <c r="BP1898" s="501"/>
      <c r="BQ1898" s="501"/>
      <c r="BR1898" s="501"/>
      <c r="BS1898" s="501"/>
      <c r="BT1898" s="501"/>
      <c r="BU1898" s="501"/>
      <c r="BV1898" s="501"/>
      <c r="BW1898" s="501"/>
      <c r="BX1898" s="501"/>
      <c r="BY1898" s="501"/>
      <c r="BZ1898" s="501"/>
      <c r="CA1898" s="501"/>
      <c r="CB1898" s="501"/>
      <c r="CC1898" s="501"/>
      <c r="CD1898" s="501"/>
      <c r="CE1898" s="501"/>
      <c r="CF1898" s="501"/>
      <c r="CG1898" s="501"/>
      <c r="CH1898" s="501"/>
      <c r="CI1898" s="501"/>
      <c r="CJ1898" s="501"/>
      <c r="CK1898" s="501"/>
      <c r="CL1898" s="501"/>
      <c r="CM1898" s="501"/>
      <c r="CN1898" s="501"/>
      <c r="CO1898" s="501"/>
      <c r="CP1898" s="501"/>
      <c r="CQ1898" s="501"/>
      <c r="CR1898" s="501"/>
      <c r="CS1898" s="501"/>
      <c r="CT1898" s="501"/>
      <c r="CU1898" s="501"/>
      <c r="CV1898" s="501"/>
      <c r="CW1898" s="501"/>
      <c r="CX1898" s="501"/>
      <c r="CY1898" s="501"/>
      <c r="CZ1898" s="501"/>
      <c r="DA1898" s="501"/>
      <c r="DB1898" s="501"/>
      <c r="DC1898" s="501"/>
      <c r="DD1898" s="501"/>
      <c r="DE1898" s="501"/>
      <c r="DF1898" s="501"/>
      <c r="DG1898" s="501"/>
      <c r="DH1898" s="501"/>
      <c r="DI1898" s="501"/>
      <c r="DJ1898" s="501"/>
      <c r="DK1898" s="501"/>
      <c r="DL1898" s="501"/>
      <c r="DM1898" s="501"/>
      <c r="DN1898" s="501"/>
      <c r="DO1898" s="501"/>
      <c r="DP1898" s="501"/>
      <c r="DQ1898" s="501"/>
      <c r="DR1898" s="501"/>
      <c r="DS1898" s="501"/>
      <c r="DT1898" s="501"/>
      <c r="DU1898" s="501"/>
      <c r="DV1898" s="501"/>
      <c r="DW1898" s="501"/>
      <c r="DX1898" s="501"/>
      <c r="DY1898" s="501"/>
      <c r="DZ1898" s="501"/>
      <c r="EA1898" s="501"/>
      <c r="EB1898" s="501"/>
      <c r="EC1898" s="501"/>
      <c r="ED1898" s="501"/>
      <c r="EE1898" s="501"/>
      <c r="EF1898" s="501"/>
      <c r="EG1898" s="501"/>
      <c r="EH1898" s="501"/>
      <c r="EI1898" s="501"/>
      <c r="EJ1898" s="501"/>
      <c r="EK1898" s="501"/>
      <c r="EL1898" s="501"/>
      <c r="EM1898" s="501"/>
      <c r="EN1898" s="501"/>
      <c r="EO1898" s="501"/>
      <c r="EP1898" s="501"/>
      <c r="EQ1898" s="501"/>
      <c r="ER1898" s="501"/>
      <c r="ES1898" s="501"/>
      <c r="ET1898" s="501"/>
      <c r="EU1898" s="501"/>
      <c r="EV1898" s="501"/>
      <c r="EW1898" s="501"/>
      <c r="EX1898" s="501"/>
      <c r="EY1898" s="501"/>
      <c r="EZ1898" s="501"/>
      <c r="FA1898" s="501"/>
      <c r="FB1898" s="501"/>
      <c r="FC1898" s="501"/>
      <c r="FD1898" s="501"/>
      <c r="FE1898" s="501"/>
      <c r="FF1898" s="501"/>
      <c r="FG1898" s="501"/>
      <c r="FH1898" s="501"/>
      <c r="FI1898" s="501"/>
      <c r="FJ1898" s="501"/>
      <c r="FK1898" s="501"/>
      <c r="FL1898" s="501"/>
      <c r="FM1898" s="501"/>
      <c r="FN1898" s="501"/>
      <c r="FO1898" s="501"/>
      <c r="FP1898" s="501"/>
      <c r="FQ1898" s="501"/>
      <c r="FR1898" s="501"/>
      <c r="FS1898" s="501"/>
      <c r="FT1898" s="501"/>
      <c r="FU1898" s="501"/>
      <c r="FV1898" s="501"/>
      <c r="FW1898" s="501"/>
      <c r="FX1898" s="501"/>
      <c r="FY1898" s="501"/>
      <c r="FZ1898" s="501"/>
      <c r="GA1898" s="501"/>
      <c r="GB1898" s="501"/>
      <c r="GC1898" s="501"/>
      <c r="GD1898" s="501"/>
      <c r="GE1898" s="501"/>
      <c r="GF1898" s="501"/>
      <c r="GG1898" s="501"/>
      <c r="GH1898" s="501"/>
      <c r="GI1898" s="501"/>
      <c r="GJ1898" s="501"/>
      <c r="GK1898" s="501"/>
      <c r="GL1898" s="501"/>
      <c r="GM1898" s="501"/>
      <c r="GN1898" s="501"/>
      <c r="GO1898" s="501"/>
      <c r="GP1898" s="501"/>
      <c r="GQ1898" s="501"/>
      <c r="GR1898" s="501"/>
      <c r="GS1898" s="501"/>
      <c r="GT1898" s="501"/>
      <c r="GU1898" s="501"/>
      <c r="GV1898" s="501"/>
      <c r="GW1898" s="501"/>
      <c r="GX1898" s="501"/>
      <c r="GY1898" s="501"/>
      <c r="GZ1898" s="501"/>
      <c r="HA1898" s="501"/>
      <c r="HB1898" s="501"/>
      <c r="HC1898" s="501"/>
      <c r="HD1898" s="501"/>
      <c r="HE1898" s="501"/>
      <c r="HF1898" s="501"/>
      <c r="HG1898" s="501"/>
      <c r="HH1898" s="501"/>
      <c r="HI1898" s="501"/>
      <c r="HJ1898" s="501"/>
      <c r="HK1898" s="501"/>
      <c r="HL1898" s="501"/>
      <c r="HM1898" s="501"/>
      <c r="HN1898" s="501"/>
      <c r="HO1898" s="501"/>
      <c r="HP1898" s="501"/>
      <c r="HQ1898" s="501"/>
      <c r="HR1898" s="501"/>
      <c r="HS1898" s="501"/>
      <c r="HT1898" s="501"/>
      <c r="HU1898" s="501"/>
      <c r="HV1898" s="501"/>
      <c r="HW1898" s="501"/>
      <c r="HX1898" s="501"/>
      <c r="HY1898" s="501"/>
      <c r="HZ1898" s="501"/>
      <c r="IA1898" s="501"/>
      <c r="IB1898" s="501"/>
      <c r="IC1898" s="501"/>
      <c r="ID1898" s="501"/>
      <c r="IE1898" s="501"/>
      <c r="IF1898" s="501"/>
      <c r="IG1898" s="501"/>
      <c r="IH1898" s="501"/>
      <c r="II1898" s="501"/>
      <c r="IJ1898" s="501"/>
      <c r="IK1898" s="501"/>
      <c r="IL1898" s="501"/>
      <c r="IM1898" s="501"/>
      <c r="IN1898" s="501"/>
      <c r="IO1898" s="501"/>
      <c r="IP1898" s="501"/>
      <c r="IQ1898" s="501"/>
      <c r="IR1898" s="501"/>
      <c r="IS1898" s="501"/>
      <c r="IT1898" s="501"/>
      <c r="IU1898" s="501"/>
    </row>
    <row r="1899" spans="1:255" s="877" customFormat="1" ht="24" customHeight="1">
      <c r="A1899" s="501"/>
      <c r="B1899" s="501"/>
      <c r="C1899" s="501"/>
      <c r="D1899" s="501"/>
      <c r="E1899" s="501"/>
      <c r="F1899" s="501"/>
      <c r="G1899" s="915"/>
      <c r="H1899" s="501"/>
      <c r="I1899" s="874"/>
      <c r="J1899" s="881"/>
      <c r="K1899" s="876"/>
      <c r="L1899" s="874"/>
      <c r="M1899" s="882"/>
      <c r="N1899" s="501"/>
      <c r="O1899" s="501"/>
      <c r="P1899" s="901"/>
      <c r="Q1899" s="876"/>
      <c r="R1899" s="501"/>
      <c r="S1899" s="874"/>
      <c r="T1899" s="501"/>
      <c r="V1899" s="901"/>
      <c r="W1899" s="876"/>
      <c r="X1899" s="545"/>
      <c r="Y1899" s="876"/>
      <c r="Z1899" s="545"/>
      <c r="AA1899" s="501"/>
      <c r="AB1899" s="501"/>
      <c r="AC1899" s="501"/>
      <c r="AD1899" s="501"/>
      <c r="AE1899" s="501"/>
      <c r="AF1899" s="501"/>
      <c r="AG1899" s="501"/>
      <c r="AH1899" s="501"/>
      <c r="AI1899" s="501"/>
      <c r="AJ1899" s="501"/>
      <c r="AK1899" s="501"/>
      <c r="AL1899" s="501"/>
      <c r="AM1899" s="501"/>
      <c r="AN1899" s="501"/>
      <c r="AO1899" s="501"/>
      <c r="AP1899" s="501"/>
      <c r="AQ1899" s="501"/>
      <c r="AR1899" s="501"/>
      <c r="AS1899" s="501"/>
      <c r="AT1899" s="501"/>
      <c r="AU1899" s="501"/>
      <c r="AV1899" s="501"/>
      <c r="AW1899" s="501"/>
      <c r="AX1899" s="501"/>
      <c r="AY1899" s="501"/>
      <c r="AZ1899" s="501"/>
      <c r="BA1899" s="501"/>
      <c r="BB1899" s="501"/>
      <c r="BC1899" s="501"/>
      <c r="BD1899" s="501"/>
      <c r="BE1899" s="501"/>
      <c r="BF1899" s="501"/>
      <c r="BG1899" s="501"/>
      <c r="BH1899" s="501"/>
      <c r="BI1899" s="501"/>
      <c r="BJ1899" s="501"/>
      <c r="BK1899" s="501"/>
      <c r="BL1899" s="501"/>
      <c r="BM1899" s="501"/>
      <c r="BN1899" s="501"/>
      <c r="BO1899" s="501"/>
      <c r="BP1899" s="501"/>
      <c r="BQ1899" s="501"/>
      <c r="BR1899" s="501"/>
      <c r="BS1899" s="501"/>
      <c r="BT1899" s="501"/>
      <c r="BU1899" s="501"/>
      <c r="BV1899" s="501"/>
      <c r="BW1899" s="501"/>
      <c r="BX1899" s="501"/>
      <c r="BY1899" s="501"/>
      <c r="BZ1899" s="501"/>
      <c r="CA1899" s="501"/>
      <c r="CB1899" s="501"/>
      <c r="CC1899" s="501"/>
      <c r="CD1899" s="501"/>
      <c r="CE1899" s="501"/>
      <c r="CF1899" s="501"/>
      <c r="CG1899" s="501"/>
      <c r="CH1899" s="501"/>
      <c r="CI1899" s="501"/>
      <c r="CJ1899" s="501"/>
      <c r="CK1899" s="501"/>
      <c r="CL1899" s="501"/>
      <c r="CM1899" s="501"/>
      <c r="CN1899" s="501"/>
      <c r="CO1899" s="501"/>
      <c r="CP1899" s="501"/>
      <c r="CQ1899" s="501"/>
      <c r="CR1899" s="501"/>
      <c r="CS1899" s="501"/>
      <c r="CT1899" s="501"/>
      <c r="CU1899" s="501"/>
      <c r="CV1899" s="501"/>
      <c r="CW1899" s="501"/>
      <c r="CX1899" s="501"/>
      <c r="CY1899" s="501"/>
      <c r="CZ1899" s="501"/>
      <c r="DA1899" s="501"/>
      <c r="DB1899" s="501"/>
      <c r="DC1899" s="501"/>
      <c r="DD1899" s="501"/>
      <c r="DE1899" s="501"/>
      <c r="DF1899" s="501"/>
      <c r="DG1899" s="501"/>
      <c r="DH1899" s="501"/>
      <c r="DI1899" s="501"/>
      <c r="DJ1899" s="501"/>
      <c r="DK1899" s="501"/>
      <c r="DL1899" s="501"/>
      <c r="DM1899" s="501"/>
      <c r="DN1899" s="501"/>
      <c r="DO1899" s="501"/>
      <c r="DP1899" s="501"/>
      <c r="DQ1899" s="501"/>
      <c r="DR1899" s="501"/>
      <c r="DS1899" s="501"/>
      <c r="DT1899" s="501"/>
      <c r="DU1899" s="501"/>
      <c r="DV1899" s="501"/>
      <c r="DW1899" s="501"/>
      <c r="DX1899" s="501"/>
      <c r="DY1899" s="501"/>
      <c r="DZ1899" s="501"/>
      <c r="EA1899" s="501"/>
      <c r="EB1899" s="501"/>
      <c r="EC1899" s="501"/>
      <c r="ED1899" s="501"/>
      <c r="EE1899" s="501"/>
      <c r="EF1899" s="501"/>
      <c r="EG1899" s="501"/>
      <c r="EH1899" s="501"/>
      <c r="EI1899" s="501"/>
      <c r="EJ1899" s="501"/>
      <c r="EK1899" s="501"/>
      <c r="EL1899" s="501"/>
      <c r="EM1899" s="501"/>
      <c r="EN1899" s="501"/>
      <c r="EO1899" s="501"/>
      <c r="EP1899" s="501"/>
      <c r="EQ1899" s="501"/>
      <c r="ER1899" s="501"/>
      <c r="ES1899" s="501"/>
      <c r="ET1899" s="501"/>
      <c r="EU1899" s="501"/>
      <c r="EV1899" s="501"/>
      <c r="EW1899" s="501"/>
      <c r="EX1899" s="501"/>
      <c r="EY1899" s="501"/>
      <c r="EZ1899" s="501"/>
      <c r="FA1899" s="501"/>
      <c r="FB1899" s="501"/>
      <c r="FC1899" s="501"/>
      <c r="FD1899" s="501"/>
      <c r="FE1899" s="501"/>
      <c r="FF1899" s="501"/>
      <c r="FG1899" s="501"/>
      <c r="FH1899" s="501"/>
      <c r="FI1899" s="501"/>
      <c r="FJ1899" s="501"/>
      <c r="FK1899" s="501"/>
      <c r="FL1899" s="501"/>
      <c r="FM1899" s="501"/>
      <c r="FN1899" s="501"/>
      <c r="FO1899" s="501"/>
      <c r="FP1899" s="501"/>
      <c r="FQ1899" s="501"/>
      <c r="FR1899" s="501"/>
      <c r="FS1899" s="501"/>
      <c r="FT1899" s="501"/>
      <c r="FU1899" s="501"/>
      <c r="FV1899" s="501"/>
      <c r="FW1899" s="501"/>
      <c r="FX1899" s="501"/>
      <c r="FY1899" s="501"/>
      <c r="FZ1899" s="501"/>
      <c r="GA1899" s="501"/>
      <c r="GB1899" s="501"/>
      <c r="GC1899" s="501"/>
      <c r="GD1899" s="501"/>
      <c r="GE1899" s="501"/>
      <c r="GF1899" s="501"/>
      <c r="GG1899" s="501"/>
      <c r="GH1899" s="501"/>
      <c r="GI1899" s="501"/>
      <c r="GJ1899" s="501"/>
      <c r="GK1899" s="501"/>
      <c r="GL1899" s="501"/>
      <c r="GM1899" s="501"/>
      <c r="GN1899" s="501"/>
      <c r="GO1899" s="501"/>
      <c r="GP1899" s="501"/>
      <c r="GQ1899" s="501"/>
      <c r="GR1899" s="501"/>
      <c r="GS1899" s="501"/>
      <c r="GT1899" s="501"/>
      <c r="GU1899" s="501"/>
      <c r="GV1899" s="501"/>
      <c r="GW1899" s="501"/>
      <c r="GX1899" s="501"/>
      <c r="GY1899" s="501"/>
      <c r="GZ1899" s="501"/>
      <c r="HA1899" s="501"/>
      <c r="HB1899" s="501"/>
      <c r="HC1899" s="501"/>
      <c r="HD1899" s="501"/>
      <c r="HE1899" s="501"/>
      <c r="HF1899" s="501"/>
      <c r="HG1899" s="501"/>
      <c r="HH1899" s="501"/>
      <c r="HI1899" s="501"/>
      <c r="HJ1899" s="501"/>
      <c r="HK1899" s="501"/>
      <c r="HL1899" s="501"/>
      <c r="HM1899" s="501"/>
      <c r="HN1899" s="501"/>
      <c r="HO1899" s="501"/>
      <c r="HP1899" s="501"/>
      <c r="HQ1899" s="501"/>
      <c r="HR1899" s="501"/>
      <c r="HS1899" s="501"/>
      <c r="HT1899" s="501"/>
      <c r="HU1899" s="501"/>
      <c r="HV1899" s="501"/>
      <c r="HW1899" s="501"/>
      <c r="HX1899" s="501"/>
      <c r="HY1899" s="501"/>
      <c r="HZ1899" s="501"/>
      <c r="IA1899" s="501"/>
      <c r="IB1899" s="501"/>
      <c r="IC1899" s="501"/>
      <c r="ID1899" s="501"/>
      <c r="IE1899" s="501"/>
      <c r="IF1899" s="501"/>
      <c r="IG1899" s="501"/>
      <c r="IH1899" s="501"/>
      <c r="II1899" s="501"/>
      <c r="IJ1899" s="501"/>
      <c r="IK1899" s="501"/>
      <c r="IL1899" s="501"/>
      <c r="IM1899" s="501"/>
      <c r="IN1899" s="501"/>
      <c r="IO1899" s="501"/>
      <c r="IP1899" s="501"/>
      <c r="IQ1899" s="501"/>
      <c r="IR1899" s="501"/>
      <c r="IS1899" s="501"/>
      <c r="IT1899" s="501"/>
      <c r="IU1899" s="501"/>
    </row>
    <row r="1900" spans="1:255" s="877" customFormat="1" ht="24" customHeight="1">
      <c r="A1900" s="501"/>
      <c r="B1900" s="501"/>
      <c r="C1900" s="501"/>
      <c r="D1900" s="501"/>
      <c r="E1900" s="501"/>
      <c r="F1900" s="545"/>
      <c r="G1900" s="889"/>
      <c r="H1900" s="545"/>
      <c r="I1900" s="876"/>
      <c r="J1900" s="876"/>
      <c r="K1900" s="882"/>
      <c r="L1900" s="876"/>
      <c r="M1900" s="882"/>
      <c r="N1900" s="501"/>
      <c r="O1900" s="501"/>
      <c r="P1900" s="902"/>
      <c r="Q1900" s="881"/>
      <c r="R1900" s="501"/>
      <c r="S1900" s="874"/>
      <c r="T1900" s="501"/>
      <c r="V1900" s="901"/>
      <c r="W1900" s="876"/>
      <c r="X1900" s="545"/>
      <c r="Y1900" s="876"/>
      <c r="Z1900" s="545"/>
      <c r="AA1900" s="501"/>
      <c r="AB1900" s="501"/>
      <c r="AC1900" s="501"/>
      <c r="AD1900" s="501"/>
      <c r="AE1900" s="501"/>
      <c r="AF1900" s="501"/>
      <c r="AG1900" s="501"/>
      <c r="AH1900" s="501"/>
      <c r="AI1900" s="501"/>
      <c r="AJ1900" s="501"/>
      <c r="AK1900" s="501"/>
      <c r="AL1900" s="501"/>
      <c r="AM1900" s="501"/>
      <c r="AN1900" s="501"/>
      <c r="AO1900" s="501"/>
      <c r="AP1900" s="501"/>
      <c r="AQ1900" s="501"/>
      <c r="AR1900" s="501"/>
      <c r="AS1900" s="501"/>
      <c r="AT1900" s="501"/>
      <c r="AU1900" s="501"/>
      <c r="AV1900" s="501"/>
      <c r="AW1900" s="501"/>
      <c r="AX1900" s="501"/>
      <c r="AY1900" s="501"/>
      <c r="AZ1900" s="501"/>
      <c r="BA1900" s="501"/>
      <c r="BB1900" s="501"/>
      <c r="BC1900" s="501"/>
      <c r="BD1900" s="501"/>
      <c r="BE1900" s="501"/>
      <c r="BF1900" s="501"/>
      <c r="BG1900" s="501"/>
      <c r="BH1900" s="501"/>
      <c r="BI1900" s="501"/>
      <c r="BJ1900" s="501"/>
      <c r="BK1900" s="501"/>
      <c r="BL1900" s="501"/>
      <c r="BM1900" s="501"/>
      <c r="BN1900" s="501"/>
      <c r="BO1900" s="501"/>
      <c r="BP1900" s="501"/>
      <c r="BQ1900" s="501"/>
      <c r="BR1900" s="501"/>
      <c r="BS1900" s="501"/>
      <c r="BT1900" s="501"/>
      <c r="BU1900" s="501"/>
      <c r="BV1900" s="501"/>
      <c r="BW1900" s="501"/>
      <c r="BX1900" s="501"/>
      <c r="BY1900" s="501"/>
      <c r="BZ1900" s="501"/>
      <c r="CA1900" s="501"/>
      <c r="CB1900" s="501"/>
      <c r="CC1900" s="501"/>
      <c r="CD1900" s="501"/>
      <c r="CE1900" s="501"/>
      <c r="CF1900" s="501"/>
      <c r="CG1900" s="501"/>
      <c r="CH1900" s="501"/>
      <c r="CI1900" s="501"/>
      <c r="CJ1900" s="501"/>
      <c r="CK1900" s="501"/>
      <c r="CL1900" s="501"/>
      <c r="CM1900" s="501"/>
      <c r="CN1900" s="501"/>
      <c r="CO1900" s="501"/>
      <c r="CP1900" s="501"/>
      <c r="CQ1900" s="501"/>
      <c r="CR1900" s="501"/>
      <c r="CS1900" s="501"/>
      <c r="CT1900" s="501"/>
      <c r="CU1900" s="501"/>
      <c r="CV1900" s="501"/>
      <c r="CW1900" s="501"/>
      <c r="CX1900" s="501"/>
      <c r="CY1900" s="501"/>
      <c r="CZ1900" s="501"/>
      <c r="DA1900" s="501"/>
      <c r="DB1900" s="501"/>
      <c r="DC1900" s="501"/>
      <c r="DD1900" s="501"/>
      <c r="DE1900" s="501"/>
      <c r="DF1900" s="501"/>
      <c r="DG1900" s="501"/>
      <c r="DH1900" s="501"/>
      <c r="DI1900" s="501"/>
      <c r="DJ1900" s="501"/>
      <c r="DK1900" s="501"/>
      <c r="DL1900" s="501"/>
      <c r="DM1900" s="501"/>
      <c r="DN1900" s="501"/>
      <c r="DO1900" s="501"/>
      <c r="DP1900" s="501"/>
      <c r="DQ1900" s="501"/>
      <c r="DR1900" s="501"/>
      <c r="DS1900" s="501"/>
      <c r="DT1900" s="501"/>
      <c r="DU1900" s="501"/>
      <c r="DV1900" s="501"/>
      <c r="DW1900" s="501"/>
      <c r="DX1900" s="501"/>
      <c r="DY1900" s="501"/>
      <c r="DZ1900" s="501"/>
      <c r="EA1900" s="501"/>
      <c r="EB1900" s="501"/>
      <c r="EC1900" s="501"/>
      <c r="ED1900" s="501"/>
      <c r="EE1900" s="501"/>
      <c r="EF1900" s="501"/>
      <c r="EG1900" s="501"/>
      <c r="EH1900" s="501"/>
      <c r="EI1900" s="501"/>
      <c r="EJ1900" s="501"/>
      <c r="EK1900" s="501"/>
      <c r="EL1900" s="501"/>
      <c r="EM1900" s="501"/>
      <c r="EN1900" s="501"/>
      <c r="EO1900" s="501"/>
      <c r="EP1900" s="501"/>
      <c r="EQ1900" s="501"/>
      <c r="ER1900" s="501"/>
      <c r="ES1900" s="501"/>
      <c r="ET1900" s="501"/>
      <c r="EU1900" s="501"/>
      <c r="EV1900" s="501"/>
      <c r="EW1900" s="501"/>
      <c r="EX1900" s="501"/>
      <c r="EY1900" s="501"/>
      <c r="EZ1900" s="501"/>
      <c r="FA1900" s="501"/>
      <c r="FB1900" s="501"/>
      <c r="FC1900" s="501"/>
      <c r="FD1900" s="501"/>
      <c r="FE1900" s="501"/>
      <c r="FF1900" s="501"/>
      <c r="FG1900" s="501"/>
      <c r="FH1900" s="501"/>
      <c r="FI1900" s="501"/>
      <c r="FJ1900" s="501"/>
      <c r="FK1900" s="501"/>
      <c r="FL1900" s="501"/>
      <c r="FM1900" s="501"/>
      <c r="FN1900" s="501"/>
      <c r="FO1900" s="501"/>
      <c r="FP1900" s="501"/>
      <c r="FQ1900" s="501"/>
      <c r="FR1900" s="501"/>
      <c r="FS1900" s="501"/>
      <c r="FT1900" s="501"/>
      <c r="FU1900" s="501"/>
      <c r="FV1900" s="501"/>
      <c r="FW1900" s="501"/>
      <c r="FX1900" s="501"/>
      <c r="FY1900" s="501"/>
      <c r="FZ1900" s="501"/>
      <c r="GA1900" s="501"/>
      <c r="GB1900" s="501"/>
      <c r="GC1900" s="501"/>
      <c r="GD1900" s="501"/>
      <c r="GE1900" s="501"/>
      <c r="GF1900" s="501"/>
      <c r="GG1900" s="501"/>
      <c r="GH1900" s="501"/>
      <c r="GI1900" s="501"/>
      <c r="GJ1900" s="501"/>
      <c r="GK1900" s="501"/>
      <c r="GL1900" s="501"/>
      <c r="GM1900" s="501"/>
      <c r="GN1900" s="501"/>
      <c r="GO1900" s="501"/>
      <c r="GP1900" s="501"/>
      <c r="GQ1900" s="501"/>
      <c r="GR1900" s="501"/>
      <c r="GS1900" s="501"/>
      <c r="GT1900" s="501"/>
      <c r="GU1900" s="501"/>
      <c r="GV1900" s="501"/>
      <c r="GW1900" s="501"/>
      <c r="GX1900" s="501"/>
      <c r="GY1900" s="501"/>
      <c r="GZ1900" s="501"/>
      <c r="HA1900" s="501"/>
      <c r="HB1900" s="501"/>
      <c r="HC1900" s="501"/>
      <c r="HD1900" s="501"/>
      <c r="HE1900" s="501"/>
      <c r="HF1900" s="501"/>
      <c r="HG1900" s="501"/>
      <c r="HH1900" s="501"/>
      <c r="HI1900" s="501"/>
      <c r="HJ1900" s="501"/>
      <c r="HK1900" s="501"/>
      <c r="HL1900" s="501"/>
      <c r="HM1900" s="501"/>
      <c r="HN1900" s="501"/>
      <c r="HO1900" s="501"/>
      <c r="HP1900" s="501"/>
      <c r="HQ1900" s="501"/>
      <c r="HR1900" s="501"/>
      <c r="HS1900" s="501"/>
      <c r="HT1900" s="501"/>
      <c r="HU1900" s="501"/>
      <c r="HV1900" s="501"/>
      <c r="HW1900" s="501"/>
      <c r="HX1900" s="501"/>
      <c r="HY1900" s="501"/>
      <c r="HZ1900" s="501"/>
      <c r="IA1900" s="501"/>
      <c r="IB1900" s="501"/>
      <c r="IC1900" s="501"/>
      <c r="ID1900" s="501"/>
      <c r="IE1900" s="501"/>
      <c r="IF1900" s="501"/>
      <c r="IG1900" s="501"/>
      <c r="IH1900" s="501"/>
      <c r="II1900" s="501"/>
      <c r="IJ1900" s="501"/>
      <c r="IK1900" s="501"/>
      <c r="IL1900" s="501"/>
      <c r="IM1900" s="501"/>
      <c r="IN1900" s="501"/>
      <c r="IO1900" s="501"/>
      <c r="IP1900" s="501"/>
      <c r="IQ1900" s="501"/>
      <c r="IR1900" s="501"/>
      <c r="IS1900" s="501"/>
      <c r="IT1900" s="501"/>
      <c r="IU1900" s="501"/>
    </row>
    <row r="1901" spans="1:255" s="877" customFormat="1" ht="24" customHeight="1">
      <c r="A1901" s="501"/>
      <c r="B1901" s="501"/>
      <c r="C1901" s="501"/>
      <c r="D1901" s="501"/>
      <c r="E1901" s="501"/>
      <c r="F1901" s="545"/>
      <c r="G1901" s="889"/>
      <c r="H1901" s="545"/>
      <c r="I1901" s="876"/>
      <c r="J1901" s="876"/>
      <c r="K1901" s="882"/>
      <c r="L1901" s="876"/>
      <c r="M1901" s="882"/>
      <c r="N1901" s="501"/>
      <c r="O1901" s="545"/>
      <c r="P1901" s="901"/>
      <c r="Q1901" s="876"/>
      <c r="R1901" s="545"/>
      <c r="S1901" s="876"/>
      <c r="T1901" s="545"/>
      <c r="V1901" s="901"/>
      <c r="W1901" s="876"/>
      <c r="X1901" s="545"/>
      <c r="Y1901" s="876"/>
      <c r="Z1901" s="545"/>
      <c r="AA1901" s="501"/>
      <c r="AB1901" s="501"/>
      <c r="AC1901" s="501"/>
      <c r="AD1901" s="501"/>
      <c r="AE1901" s="501"/>
      <c r="AF1901" s="501"/>
      <c r="AG1901" s="501"/>
      <c r="AH1901" s="501"/>
      <c r="AI1901" s="501"/>
      <c r="AJ1901" s="501"/>
      <c r="AK1901" s="501"/>
      <c r="AL1901" s="501"/>
      <c r="AM1901" s="501"/>
      <c r="AN1901" s="501"/>
      <c r="AO1901" s="501"/>
      <c r="AP1901" s="501"/>
      <c r="AQ1901" s="501"/>
      <c r="AR1901" s="501"/>
      <c r="AS1901" s="501"/>
      <c r="AT1901" s="501"/>
      <c r="AU1901" s="501"/>
      <c r="AV1901" s="501"/>
      <c r="AW1901" s="501"/>
      <c r="AX1901" s="501"/>
      <c r="AY1901" s="501"/>
      <c r="AZ1901" s="501"/>
      <c r="BA1901" s="501"/>
      <c r="BB1901" s="501"/>
      <c r="BC1901" s="501"/>
      <c r="BD1901" s="501"/>
      <c r="BE1901" s="501"/>
      <c r="BF1901" s="501"/>
      <c r="BG1901" s="501"/>
      <c r="BH1901" s="501"/>
      <c r="BI1901" s="501"/>
      <c r="BJ1901" s="501"/>
      <c r="BK1901" s="501"/>
      <c r="BL1901" s="501"/>
      <c r="BM1901" s="501"/>
      <c r="BN1901" s="501"/>
      <c r="BO1901" s="501"/>
      <c r="BP1901" s="501"/>
      <c r="BQ1901" s="501"/>
      <c r="BR1901" s="501"/>
      <c r="BS1901" s="501"/>
      <c r="BT1901" s="501"/>
      <c r="BU1901" s="501"/>
      <c r="BV1901" s="501"/>
      <c r="BW1901" s="501"/>
      <c r="BX1901" s="501"/>
      <c r="BY1901" s="501"/>
      <c r="BZ1901" s="501"/>
      <c r="CA1901" s="501"/>
      <c r="CB1901" s="501"/>
      <c r="CC1901" s="501"/>
      <c r="CD1901" s="501"/>
      <c r="CE1901" s="501"/>
      <c r="CF1901" s="501"/>
      <c r="CG1901" s="501"/>
      <c r="CH1901" s="501"/>
      <c r="CI1901" s="501"/>
      <c r="CJ1901" s="501"/>
      <c r="CK1901" s="501"/>
      <c r="CL1901" s="501"/>
      <c r="CM1901" s="501"/>
      <c r="CN1901" s="501"/>
      <c r="CO1901" s="501"/>
      <c r="CP1901" s="501"/>
      <c r="CQ1901" s="501"/>
      <c r="CR1901" s="501"/>
      <c r="CS1901" s="501"/>
      <c r="CT1901" s="501"/>
      <c r="CU1901" s="501"/>
      <c r="CV1901" s="501"/>
      <c r="CW1901" s="501"/>
      <c r="CX1901" s="501"/>
      <c r="CY1901" s="501"/>
      <c r="CZ1901" s="501"/>
      <c r="DA1901" s="501"/>
      <c r="DB1901" s="501"/>
      <c r="DC1901" s="501"/>
      <c r="DD1901" s="501"/>
      <c r="DE1901" s="501"/>
      <c r="DF1901" s="501"/>
      <c r="DG1901" s="501"/>
      <c r="DH1901" s="501"/>
      <c r="DI1901" s="501"/>
      <c r="DJ1901" s="501"/>
      <c r="DK1901" s="501"/>
      <c r="DL1901" s="501"/>
      <c r="DM1901" s="501"/>
      <c r="DN1901" s="501"/>
      <c r="DO1901" s="501"/>
      <c r="DP1901" s="501"/>
      <c r="DQ1901" s="501"/>
      <c r="DR1901" s="501"/>
      <c r="DS1901" s="501"/>
      <c r="DT1901" s="501"/>
      <c r="DU1901" s="501"/>
      <c r="DV1901" s="501"/>
      <c r="DW1901" s="501"/>
      <c r="DX1901" s="501"/>
      <c r="DY1901" s="501"/>
      <c r="DZ1901" s="501"/>
      <c r="EA1901" s="501"/>
      <c r="EB1901" s="501"/>
      <c r="EC1901" s="501"/>
      <c r="ED1901" s="501"/>
      <c r="EE1901" s="501"/>
      <c r="EF1901" s="501"/>
      <c r="EG1901" s="501"/>
      <c r="EH1901" s="501"/>
      <c r="EI1901" s="501"/>
      <c r="EJ1901" s="501"/>
      <c r="EK1901" s="501"/>
      <c r="EL1901" s="501"/>
      <c r="EM1901" s="501"/>
      <c r="EN1901" s="501"/>
      <c r="EO1901" s="501"/>
      <c r="EP1901" s="501"/>
      <c r="EQ1901" s="501"/>
      <c r="ER1901" s="501"/>
      <c r="ES1901" s="501"/>
      <c r="ET1901" s="501"/>
      <c r="EU1901" s="501"/>
      <c r="EV1901" s="501"/>
      <c r="EW1901" s="501"/>
      <c r="EX1901" s="501"/>
      <c r="EY1901" s="501"/>
      <c r="EZ1901" s="501"/>
      <c r="FA1901" s="501"/>
      <c r="FB1901" s="501"/>
      <c r="FC1901" s="501"/>
      <c r="FD1901" s="501"/>
      <c r="FE1901" s="501"/>
      <c r="FF1901" s="501"/>
      <c r="FG1901" s="501"/>
      <c r="FH1901" s="501"/>
      <c r="FI1901" s="501"/>
      <c r="FJ1901" s="501"/>
      <c r="FK1901" s="501"/>
      <c r="FL1901" s="501"/>
      <c r="FM1901" s="501"/>
      <c r="FN1901" s="501"/>
      <c r="FO1901" s="501"/>
      <c r="FP1901" s="501"/>
      <c r="FQ1901" s="501"/>
      <c r="FR1901" s="501"/>
      <c r="FS1901" s="501"/>
      <c r="FT1901" s="501"/>
      <c r="FU1901" s="501"/>
      <c r="FV1901" s="501"/>
      <c r="FW1901" s="501"/>
      <c r="FX1901" s="501"/>
      <c r="FY1901" s="501"/>
      <c r="FZ1901" s="501"/>
      <c r="GA1901" s="501"/>
      <c r="GB1901" s="501"/>
      <c r="GC1901" s="501"/>
      <c r="GD1901" s="501"/>
      <c r="GE1901" s="501"/>
      <c r="GF1901" s="501"/>
      <c r="GG1901" s="501"/>
      <c r="GH1901" s="501"/>
      <c r="GI1901" s="501"/>
      <c r="GJ1901" s="501"/>
      <c r="GK1901" s="501"/>
      <c r="GL1901" s="501"/>
      <c r="GM1901" s="501"/>
      <c r="GN1901" s="501"/>
      <c r="GO1901" s="501"/>
      <c r="GP1901" s="501"/>
      <c r="GQ1901" s="501"/>
      <c r="GR1901" s="501"/>
      <c r="GS1901" s="501"/>
      <c r="GT1901" s="501"/>
      <c r="GU1901" s="501"/>
      <c r="GV1901" s="501"/>
      <c r="GW1901" s="501"/>
      <c r="GX1901" s="501"/>
      <c r="GY1901" s="501"/>
      <c r="GZ1901" s="501"/>
      <c r="HA1901" s="501"/>
      <c r="HB1901" s="501"/>
      <c r="HC1901" s="501"/>
      <c r="HD1901" s="501"/>
      <c r="HE1901" s="501"/>
      <c r="HF1901" s="501"/>
      <c r="HG1901" s="501"/>
      <c r="HH1901" s="501"/>
      <c r="HI1901" s="501"/>
      <c r="HJ1901" s="501"/>
      <c r="HK1901" s="501"/>
      <c r="HL1901" s="501"/>
      <c r="HM1901" s="501"/>
      <c r="HN1901" s="501"/>
      <c r="HO1901" s="501"/>
      <c r="HP1901" s="501"/>
      <c r="HQ1901" s="501"/>
      <c r="HR1901" s="501"/>
      <c r="HS1901" s="501"/>
      <c r="HT1901" s="501"/>
      <c r="HU1901" s="501"/>
      <c r="HV1901" s="501"/>
      <c r="HW1901" s="501"/>
      <c r="HX1901" s="501"/>
      <c r="HY1901" s="501"/>
      <c r="HZ1901" s="501"/>
      <c r="IA1901" s="501"/>
      <c r="IB1901" s="501"/>
      <c r="IC1901" s="501"/>
      <c r="ID1901" s="501"/>
      <c r="IE1901" s="501"/>
      <c r="IF1901" s="501"/>
      <c r="IG1901" s="501"/>
      <c r="IH1901" s="501"/>
      <c r="II1901" s="501"/>
      <c r="IJ1901" s="501"/>
      <c r="IK1901" s="501"/>
      <c r="IL1901" s="501"/>
      <c r="IM1901" s="501"/>
      <c r="IN1901" s="501"/>
      <c r="IO1901" s="501"/>
      <c r="IP1901" s="501"/>
      <c r="IQ1901" s="501"/>
      <c r="IR1901" s="501"/>
      <c r="IS1901" s="501"/>
      <c r="IT1901" s="501"/>
      <c r="IU1901" s="501"/>
    </row>
    <row r="1902" spans="1:255" s="877" customFormat="1" ht="24" customHeight="1">
      <c r="A1902" s="501"/>
      <c r="B1902" s="501"/>
      <c r="C1902" s="501"/>
      <c r="D1902" s="501"/>
      <c r="E1902" s="501"/>
      <c r="F1902" s="545"/>
      <c r="G1902" s="889"/>
      <c r="H1902" s="545"/>
      <c r="I1902" s="876"/>
      <c r="J1902" s="876"/>
      <c r="K1902" s="882"/>
      <c r="L1902" s="876"/>
      <c r="M1902" s="882"/>
      <c r="N1902" s="501"/>
      <c r="O1902" s="545"/>
      <c r="P1902" s="901"/>
      <c r="Q1902" s="876"/>
      <c r="R1902" s="545"/>
      <c r="S1902" s="876"/>
      <c r="T1902" s="545"/>
      <c r="V1902" s="902"/>
      <c r="W1902" s="501"/>
      <c r="X1902" s="876"/>
      <c r="Y1902" s="874"/>
      <c r="Z1902" s="881"/>
      <c r="AA1902" s="501"/>
      <c r="AB1902" s="501"/>
      <c r="AC1902" s="501"/>
      <c r="AD1902" s="501"/>
      <c r="AE1902" s="501"/>
      <c r="AF1902" s="501"/>
      <c r="AG1902" s="501"/>
      <c r="AH1902" s="501"/>
      <c r="AI1902" s="501"/>
      <c r="AJ1902" s="501"/>
      <c r="AK1902" s="501"/>
      <c r="AL1902" s="501"/>
      <c r="AM1902" s="501"/>
      <c r="AN1902" s="501"/>
      <c r="AO1902" s="501"/>
      <c r="AP1902" s="501"/>
      <c r="AQ1902" s="501"/>
      <c r="AR1902" s="501"/>
      <c r="AS1902" s="501"/>
      <c r="AT1902" s="501"/>
      <c r="AU1902" s="501"/>
      <c r="AV1902" s="501"/>
      <c r="AW1902" s="501"/>
      <c r="AX1902" s="501"/>
      <c r="AY1902" s="501"/>
      <c r="AZ1902" s="501"/>
      <c r="BA1902" s="501"/>
      <c r="BB1902" s="501"/>
      <c r="BC1902" s="501"/>
      <c r="BD1902" s="501"/>
      <c r="BE1902" s="501"/>
      <c r="BF1902" s="501"/>
      <c r="BG1902" s="501"/>
      <c r="BH1902" s="501"/>
      <c r="BI1902" s="501"/>
      <c r="BJ1902" s="501"/>
      <c r="BK1902" s="501"/>
      <c r="BL1902" s="501"/>
      <c r="BM1902" s="501"/>
      <c r="BN1902" s="501"/>
      <c r="BO1902" s="501"/>
      <c r="BP1902" s="501"/>
      <c r="BQ1902" s="501"/>
      <c r="BR1902" s="501"/>
      <c r="BS1902" s="501"/>
      <c r="BT1902" s="501"/>
      <c r="BU1902" s="501"/>
      <c r="BV1902" s="501"/>
      <c r="BW1902" s="501"/>
      <c r="BX1902" s="501"/>
      <c r="BY1902" s="501"/>
      <c r="BZ1902" s="501"/>
      <c r="CA1902" s="501"/>
      <c r="CB1902" s="501"/>
      <c r="CC1902" s="501"/>
      <c r="CD1902" s="501"/>
      <c r="CE1902" s="501"/>
      <c r="CF1902" s="501"/>
      <c r="CG1902" s="501"/>
      <c r="CH1902" s="501"/>
      <c r="CI1902" s="501"/>
      <c r="CJ1902" s="501"/>
      <c r="CK1902" s="501"/>
      <c r="CL1902" s="501"/>
      <c r="CM1902" s="501"/>
      <c r="CN1902" s="501"/>
      <c r="CO1902" s="501"/>
      <c r="CP1902" s="501"/>
      <c r="CQ1902" s="501"/>
      <c r="CR1902" s="501"/>
      <c r="CS1902" s="501"/>
      <c r="CT1902" s="501"/>
      <c r="CU1902" s="501"/>
      <c r="CV1902" s="501"/>
      <c r="CW1902" s="501"/>
      <c r="CX1902" s="501"/>
      <c r="CY1902" s="501"/>
      <c r="CZ1902" s="501"/>
      <c r="DA1902" s="501"/>
      <c r="DB1902" s="501"/>
      <c r="DC1902" s="501"/>
      <c r="DD1902" s="501"/>
      <c r="DE1902" s="501"/>
      <c r="DF1902" s="501"/>
      <c r="DG1902" s="501"/>
      <c r="DH1902" s="501"/>
      <c r="DI1902" s="501"/>
      <c r="DJ1902" s="501"/>
      <c r="DK1902" s="501"/>
      <c r="DL1902" s="501"/>
      <c r="DM1902" s="501"/>
      <c r="DN1902" s="501"/>
      <c r="DO1902" s="501"/>
      <c r="DP1902" s="501"/>
      <c r="DQ1902" s="501"/>
      <c r="DR1902" s="501"/>
      <c r="DS1902" s="501"/>
      <c r="DT1902" s="501"/>
      <c r="DU1902" s="501"/>
      <c r="DV1902" s="501"/>
      <c r="DW1902" s="501"/>
      <c r="DX1902" s="501"/>
      <c r="DY1902" s="501"/>
      <c r="DZ1902" s="501"/>
      <c r="EA1902" s="501"/>
      <c r="EB1902" s="501"/>
      <c r="EC1902" s="501"/>
      <c r="ED1902" s="501"/>
      <c r="EE1902" s="501"/>
      <c r="EF1902" s="501"/>
      <c r="EG1902" s="501"/>
      <c r="EH1902" s="501"/>
      <c r="EI1902" s="501"/>
      <c r="EJ1902" s="501"/>
      <c r="EK1902" s="501"/>
      <c r="EL1902" s="501"/>
      <c r="EM1902" s="501"/>
      <c r="EN1902" s="501"/>
      <c r="EO1902" s="501"/>
      <c r="EP1902" s="501"/>
      <c r="EQ1902" s="501"/>
      <c r="ER1902" s="501"/>
      <c r="ES1902" s="501"/>
      <c r="ET1902" s="501"/>
      <c r="EU1902" s="501"/>
      <c r="EV1902" s="501"/>
      <c r="EW1902" s="501"/>
      <c r="EX1902" s="501"/>
      <c r="EY1902" s="501"/>
      <c r="EZ1902" s="501"/>
      <c r="FA1902" s="501"/>
      <c r="FB1902" s="501"/>
      <c r="FC1902" s="501"/>
      <c r="FD1902" s="501"/>
      <c r="FE1902" s="501"/>
      <c r="FF1902" s="501"/>
      <c r="FG1902" s="501"/>
      <c r="FH1902" s="501"/>
      <c r="FI1902" s="501"/>
      <c r="FJ1902" s="501"/>
      <c r="FK1902" s="501"/>
      <c r="FL1902" s="501"/>
      <c r="FM1902" s="501"/>
      <c r="FN1902" s="501"/>
      <c r="FO1902" s="501"/>
      <c r="FP1902" s="501"/>
      <c r="FQ1902" s="501"/>
      <c r="FR1902" s="501"/>
      <c r="FS1902" s="501"/>
      <c r="FT1902" s="501"/>
      <c r="FU1902" s="501"/>
      <c r="FV1902" s="501"/>
      <c r="FW1902" s="501"/>
      <c r="FX1902" s="501"/>
      <c r="FY1902" s="501"/>
      <c r="FZ1902" s="501"/>
      <c r="GA1902" s="501"/>
      <c r="GB1902" s="501"/>
      <c r="GC1902" s="501"/>
      <c r="GD1902" s="501"/>
      <c r="GE1902" s="501"/>
      <c r="GF1902" s="501"/>
      <c r="GG1902" s="501"/>
      <c r="GH1902" s="501"/>
      <c r="GI1902" s="501"/>
      <c r="GJ1902" s="501"/>
      <c r="GK1902" s="501"/>
      <c r="GL1902" s="501"/>
      <c r="GM1902" s="501"/>
      <c r="GN1902" s="501"/>
      <c r="GO1902" s="501"/>
      <c r="GP1902" s="501"/>
      <c r="GQ1902" s="501"/>
      <c r="GR1902" s="501"/>
      <c r="GS1902" s="501"/>
      <c r="GT1902" s="501"/>
      <c r="GU1902" s="501"/>
      <c r="GV1902" s="501"/>
      <c r="GW1902" s="501"/>
      <c r="GX1902" s="501"/>
      <c r="GY1902" s="501"/>
      <c r="GZ1902" s="501"/>
      <c r="HA1902" s="501"/>
      <c r="HB1902" s="501"/>
      <c r="HC1902" s="501"/>
      <c r="HD1902" s="501"/>
      <c r="HE1902" s="501"/>
      <c r="HF1902" s="501"/>
      <c r="HG1902" s="501"/>
      <c r="HH1902" s="501"/>
      <c r="HI1902" s="501"/>
      <c r="HJ1902" s="501"/>
      <c r="HK1902" s="501"/>
      <c r="HL1902" s="501"/>
      <c r="HM1902" s="501"/>
      <c r="HN1902" s="501"/>
      <c r="HO1902" s="501"/>
      <c r="HP1902" s="501"/>
      <c r="HQ1902" s="501"/>
      <c r="HR1902" s="501"/>
      <c r="HS1902" s="501"/>
      <c r="HT1902" s="501"/>
      <c r="HU1902" s="501"/>
      <c r="HV1902" s="501"/>
      <c r="HW1902" s="501"/>
      <c r="HX1902" s="501"/>
      <c r="HY1902" s="501"/>
      <c r="HZ1902" s="501"/>
      <c r="IA1902" s="501"/>
      <c r="IB1902" s="501"/>
      <c r="IC1902" s="501"/>
      <c r="ID1902" s="501"/>
      <c r="IE1902" s="501"/>
      <c r="IF1902" s="501"/>
      <c r="IG1902" s="501"/>
      <c r="IH1902" s="501"/>
      <c r="II1902" s="501"/>
      <c r="IJ1902" s="501"/>
      <c r="IK1902" s="501"/>
      <c r="IL1902" s="501"/>
      <c r="IM1902" s="501"/>
      <c r="IN1902" s="501"/>
      <c r="IO1902" s="501"/>
      <c r="IP1902" s="501"/>
      <c r="IQ1902" s="501"/>
      <c r="IR1902" s="501"/>
      <c r="IS1902" s="501"/>
      <c r="IT1902" s="501"/>
      <c r="IU1902" s="501"/>
    </row>
    <row r="1903" spans="1:255" s="877" customFormat="1" ht="24" customHeight="1">
      <c r="A1903" s="501"/>
      <c r="B1903" s="501"/>
      <c r="C1903" s="501"/>
      <c r="D1903" s="501"/>
      <c r="E1903" s="501"/>
      <c r="F1903" s="545"/>
      <c r="G1903" s="889"/>
      <c r="H1903" s="545"/>
      <c r="I1903" s="876"/>
      <c r="J1903" s="876"/>
      <c r="K1903" s="882"/>
      <c r="L1903" s="876"/>
      <c r="M1903" s="882"/>
      <c r="N1903" s="501"/>
      <c r="O1903" s="545"/>
      <c r="P1903" s="901"/>
      <c r="Q1903" s="876"/>
      <c r="R1903" s="545"/>
      <c r="S1903" s="876"/>
      <c r="T1903" s="545"/>
      <c r="V1903" s="902"/>
      <c r="W1903" s="876"/>
      <c r="X1903" s="501"/>
      <c r="Y1903" s="874"/>
      <c r="Z1903" s="892"/>
      <c r="AA1903" s="501"/>
      <c r="AB1903" s="501"/>
      <c r="AC1903" s="501"/>
      <c r="AD1903" s="501"/>
      <c r="AE1903" s="501"/>
      <c r="AF1903" s="501"/>
      <c r="AG1903" s="501"/>
      <c r="AH1903" s="501"/>
      <c r="AI1903" s="501"/>
      <c r="AJ1903" s="501"/>
      <c r="AK1903" s="501"/>
      <c r="AL1903" s="501"/>
      <c r="AM1903" s="501"/>
      <c r="AN1903" s="501"/>
      <c r="AO1903" s="501"/>
      <c r="AP1903" s="501"/>
      <c r="AQ1903" s="501"/>
      <c r="AR1903" s="501"/>
      <c r="AS1903" s="501"/>
      <c r="AT1903" s="501"/>
      <c r="AU1903" s="501"/>
      <c r="AV1903" s="501"/>
      <c r="AW1903" s="501"/>
      <c r="AX1903" s="501"/>
      <c r="AY1903" s="501"/>
      <c r="AZ1903" s="501"/>
      <c r="BA1903" s="501"/>
      <c r="BB1903" s="501"/>
      <c r="BC1903" s="501"/>
      <c r="BD1903" s="501"/>
      <c r="BE1903" s="501"/>
      <c r="BF1903" s="501"/>
      <c r="BG1903" s="501"/>
      <c r="BH1903" s="501"/>
      <c r="BI1903" s="501"/>
      <c r="BJ1903" s="501"/>
      <c r="BK1903" s="501"/>
      <c r="BL1903" s="501"/>
      <c r="BM1903" s="501"/>
      <c r="BN1903" s="501"/>
      <c r="BO1903" s="501"/>
      <c r="BP1903" s="501"/>
      <c r="BQ1903" s="501"/>
      <c r="BR1903" s="501"/>
      <c r="BS1903" s="501"/>
      <c r="BT1903" s="501"/>
      <c r="BU1903" s="501"/>
      <c r="BV1903" s="501"/>
      <c r="BW1903" s="501"/>
      <c r="BX1903" s="501"/>
      <c r="BY1903" s="501"/>
      <c r="BZ1903" s="501"/>
      <c r="CA1903" s="501"/>
      <c r="CB1903" s="501"/>
      <c r="CC1903" s="501"/>
      <c r="CD1903" s="501"/>
      <c r="CE1903" s="501"/>
      <c r="CF1903" s="501"/>
      <c r="CG1903" s="501"/>
      <c r="CH1903" s="501"/>
      <c r="CI1903" s="501"/>
      <c r="CJ1903" s="501"/>
      <c r="CK1903" s="501"/>
      <c r="CL1903" s="501"/>
      <c r="CM1903" s="501"/>
      <c r="CN1903" s="501"/>
      <c r="CO1903" s="501"/>
      <c r="CP1903" s="501"/>
      <c r="CQ1903" s="501"/>
      <c r="CR1903" s="501"/>
      <c r="CS1903" s="501"/>
      <c r="CT1903" s="501"/>
      <c r="CU1903" s="501"/>
      <c r="CV1903" s="501"/>
      <c r="CW1903" s="501"/>
      <c r="CX1903" s="501"/>
      <c r="CY1903" s="501"/>
      <c r="CZ1903" s="501"/>
      <c r="DA1903" s="501"/>
      <c r="DB1903" s="501"/>
      <c r="DC1903" s="501"/>
      <c r="DD1903" s="501"/>
      <c r="DE1903" s="501"/>
      <c r="DF1903" s="501"/>
      <c r="DG1903" s="501"/>
      <c r="DH1903" s="501"/>
      <c r="DI1903" s="501"/>
      <c r="DJ1903" s="501"/>
      <c r="DK1903" s="501"/>
      <c r="DL1903" s="501"/>
      <c r="DM1903" s="501"/>
      <c r="DN1903" s="501"/>
      <c r="DO1903" s="501"/>
      <c r="DP1903" s="501"/>
      <c r="DQ1903" s="501"/>
      <c r="DR1903" s="501"/>
      <c r="DS1903" s="501"/>
      <c r="DT1903" s="501"/>
      <c r="DU1903" s="501"/>
      <c r="DV1903" s="501"/>
      <c r="DW1903" s="501"/>
      <c r="DX1903" s="501"/>
      <c r="DY1903" s="501"/>
      <c r="DZ1903" s="501"/>
      <c r="EA1903" s="501"/>
      <c r="EB1903" s="501"/>
      <c r="EC1903" s="501"/>
      <c r="ED1903" s="501"/>
      <c r="EE1903" s="501"/>
      <c r="EF1903" s="501"/>
      <c r="EG1903" s="501"/>
      <c r="EH1903" s="501"/>
      <c r="EI1903" s="501"/>
      <c r="EJ1903" s="501"/>
      <c r="EK1903" s="501"/>
      <c r="EL1903" s="501"/>
      <c r="EM1903" s="501"/>
      <c r="EN1903" s="501"/>
      <c r="EO1903" s="501"/>
      <c r="EP1903" s="501"/>
      <c r="EQ1903" s="501"/>
      <c r="ER1903" s="501"/>
      <c r="ES1903" s="501"/>
      <c r="ET1903" s="501"/>
      <c r="EU1903" s="501"/>
      <c r="EV1903" s="501"/>
      <c r="EW1903" s="501"/>
      <c r="EX1903" s="501"/>
      <c r="EY1903" s="501"/>
      <c r="EZ1903" s="501"/>
      <c r="FA1903" s="501"/>
      <c r="FB1903" s="501"/>
      <c r="FC1903" s="501"/>
      <c r="FD1903" s="501"/>
      <c r="FE1903" s="501"/>
      <c r="FF1903" s="501"/>
      <c r="FG1903" s="501"/>
      <c r="FH1903" s="501"/>
      <c r="FI1903" s="501"/>
      <c r="FJ1903" s="501"/>
      <c r="FK1903" s="501"/>
      <c r="FL1903" s="501"/>
      <c r="FM1903" s="501"/>
      <c r="FN1903" s="501"/>
      <c r="FO1903" s="501"/>
      <c r="FP1903" s="501"/>
      <c r="FQ1903" s="501"/>
      <c r="FR1903" s="501"/>
      <c r="FS1903" s="501"/>
      <c r="FT1903" s="501"/>
      <c r="FU1903" s="501"/>
      <c r="FV1903" s="501"/>
      <c r="FW1903" s="501"/>
      <c r="FX1903" s="501"/>
      <c r="FY1903" s="501"/>
      <c r="FZ1903" s="501"/>
      <c r="GA1903" s="501"/>
      <c r="GB1903" s="501"/>
      <c r="GC1903" s="501"/>
      <c r="GD1903" s="501"/>
      <c r="GE1903" s="501"/>
      <c r="GF1903" s="501"/>
      <c r="GG1903" s="501"/>
      <c r="GH1903" s="501"/>
      <c r="GI1903" s="501"/>
      <c r="GJ1903" s="501"/>
      <c r="GK1903" s="501"/>
      <c r="GL1903" s="501"/>
      <c r="GM1903" s="501"/>
      <c r="GN1903" s="501"/>
      <c r="GO1903" s="501"/>
      <c r="GP1903" s="501"/>
      <c r="GQ1903" s="501"/>
      <c r="GR1903" s="501"/>
      <c r="GS1903" s="501"/>
      <c r="GT1903" s="501"/>
      <c r="GU1903" s="501"/>
      <c r="GV1903" s="501"/>
      <c r="GW1903" s="501"/>
      <c r="GX1903" s="501"/>
      <c r="GY1903" s="501"/>
      <c r="GZ1903" s="501"/>
      <c r="HA1903" s="501"/>
      <c r="HB1903" s="501"/>
      <c r="HC1903" s="501"/>
      <c r="HD1903" s="501"/>
      <c r="HE1903" s="501"/>
      <c r="HF1903" s="501"/>
      <c r="HG1903" s="501"/>
      <c r="HH1903" s="501"/>
      <c r="HI1903" s="501"/>
      <c r="HJ1903" s="501"/>
      <c r="HK1903" s="501"/>
      <c r="HL1903" s="501"/>
      <c r="HM1903" s="501"/>
      <c r="HN1903" s="501"/>
      <c r="HO1903" s="501"/>
      <c r="HP1903" s="501"/>
      <c r="HQ1903" s="501"/>
      <c r="HR1903" s="501"/>
      <c r="HS1903" s="501"/>
      <c r="HT1903" s="501"/>
      <c r="HU1903" s="501"/>
      <c r="HV1903" s="501"/>
      <c r="HW1903" s="501"/>
      <c r="HX1903" s="501"/>
      <c r="HY1903" s="501"/>
      <c r="HZ1903" s="501"/>
      <c r="IA1903" s="501"/>
      <c r="IB1903" s="501"/>
      <c r="IC1903" s="501"/>
      <c r="ID1903" s="501"/>
      <c r="IE1903" s="501"/>
      <c r="IF1903" s="501"/>
      <c r="IG1903" s="501"/>
      <c r="IH1903" s="501"/>
      <c r="II1903" s="501"/>
      <c r="IJ1903" s="501"/>
      <c r="IK1903" s="501"/>
      <c r="IL1903" s="501"/>
      <c r="IM1903" s="501"/>
      <c r="IN1903" s="501"/>
      <c r="IO1903" s="501"/>
      <c r="IP1903" s="501"/>
      <c r="IQ1903" s="501"/>
      <c r="IR1903" s="501"/>
      <c r="IS1903" s="501"/>
      <c r="IT1903" s="501"/>
      <c r="IU1903" s="501"/>
    </row>
    <row r="1904" spans="1:255" s="877" customFormat="1" ht="24" customHeight="1">
      <c r="A1904" s="501"/>
      <c r="B1904" s="501"/>
      <c r="C1904" s="501"/>
      <c r="D1904" s="501"/>
      <c r="E1904" s="501"/>
      <c r="F1904" s="545"/>
      <c r="G1904" s="889"/>
      <c r="H1904" s="545"/>
      <c r="I1904" s="876"/>
      <c r="J1904" s="876"/>
      <c r="K1904" s="882"/>
      <c r="L1904" s="876"/>
      <c r="M1904" s="882"/>
      <c r="N1904" s="501"/>
      <c r="O1904" s="501"/>
      <c r="P1904" s="902"/>
      <c r="Q1904" s="501"/>
      <c r="R1904" s="876"/>
      <c r="S1904" s="874"/>
      <c r="T1904" s="881"/>
      <c r="V1904" s="902"/>
      <c r="W1904" s="876"/>
      <c r="X1904" s="876"/>
      <c r="Y1904" s="874"/>
      <c r="Z1904" s="881"/>
      <c r="AA1904" s="501"/>
      <c r="AB1904" s="501"/>
      <c r="AC1904" s="501"/>
      <c r="AD1904" s="501"/>
      <c r="AE1904" s="501"/>
      <c r="AF1904" s="501"/>
      <c r="AG1904" s="501"/>
      <c r="AH1904" s="501"/>
      <c r="AI1904" s="501"/>
      <c r="AJ1904" s="501"/>
      <c r="AK1904" s="501"/>
      <c r="AL1904" s="501"/>
      <c r="AM1904" s="501"/>
      <c r="AN1904" s="501"/>
      <c r="AO1904" s="501"/>
      <c r="AP1904" s="501"/>
      <c r="AQ1904" s="501"/>
      <c r="AR1904" s="501"/>
      <c r="AS1904" s="501"/>
      <c r="AT1904" s="501"/>
      <c r="AU1904" s="501"/>
      <c r="AV1904" s="501"/>
      <c r="AW1904" s="501"/>
      <c r="AX1904" s="501"/>
      <c r="AY1904" s="501"/>
      <c r="AZ1904" s="501"/>
      <c r="BA1904" s="501"/>
      <c r="BB1904" s="501"/>
      <c r="BC1904" s="501"/>
      <c r="BD1904" s="501"/>
      <c r="BE1904" s="501"/>
      <c r="BF1904" s="501"/>
      <c r="BG1904" s="501"/>
      <c r="BH1904" s="501"/>
      <c r="BI1904" s="501"/>
      <c r="BJ1904" s="501"/>
      <c r="BK1904" s="501"/>
      <c r="BL1904" s="501"/>
      <c r="BM1904" s="501"/>
      <c r="BN1904" s="501"/>
      <c r="BO1904" s="501"/>
      <c r="BP1904" s="501"/>
      <c r="BQ1904" s="501"/>
      <c r="BR1904" s="501"/>
      <c r="BS1904" s="501"/>
      <c r="BT1904" s="501"/>
      <c r="BU1904" s="501"/>
      <c r="BV1904" s="501"/>
      <c r="BW1904" s="501"/>
      <c r="BX1904" s="501"/>
      <c r="BY1904" s="501"/>
      <c r="BZ1904" s="501"/>
      <c r="CA1904" s="501"/>
      <c r="CB1904" s="501"/>
      <c r="CC1904" s="501"/>
      <c r="CD1904" s="501"/>
      <c r="CE1904" s="501"/>
      <c r="CF1904" s="501"/>
      <c r="CG1904" s="501"/>
      <c r="CH1904" s="501"/>
      <c r="CI1904" s="501"/>
      <c r="CJ1904" s="501"/>
      <c r="CK1904" s="501"/>
      <c r="CL1904" s="501"/>
      <c r="CM1904" s="501"/>
      <c r="CN1904" s="501"/>
      <c r="CO1904" s="501"/>
      <c r="CP1904" s="501"/>
      <c r="CQ1904" s="501"/>
      <c r="CR1904" s="501"/>
      <c r="CS1904" s="501"/>
      <c r="CT1904" s="501"/>
      <c r="CU1904" s="501"/>
      <c r="CV1904" s="501"/>
      <c r="CW1904" s="501"/>
      <c r="CX1904" s="501"/>
      <c r="CY1904" s="501"/>
      <c r="CZ1904" s="501"/>
      <c r="DA1904" s="501"/>
      <c r="DB1904" s="501"/>
      <c r="DC1904" s="501"/>
      <c r="DD1904" s="501"/>
      <c r="DE1904" s="501"/>
      <c r="DF1904" s="501"/>
      <c r="DG1904" s="501"/>
      <c r="DH1904" s="501"/>
      <c r="DI1904" s="501"/>
      <c r="DJ1904" s="501"/>
      <c r="DK1904" s="501"/>
      <c r="DL1904" s="501"/>
      <c r="DM1904" s="501"/>
      <c r="DN1904" s="501"/>
      <c r="DO1904" s="501"/>
      <c r="DP1904" s="501"/>
      <c r="DQ1904" s="501"/>
      <c r="DR1904" s="501"/>
      <c r="DS1904" s="501"/>
      <c r="DT1904" s="501"/>
      <c r="DU1904" s="501"/>
      <c r="DV1904" s="501"/>
      <c r="DW1904" s="501"/>
      <c r="DX1904" s="501"/>
      <c r="DY1904" s="501"/>
      <c r="DZ1904" s="501"/>
      <c r="EA1904" s="501"/>
      <c r="EB1904" s="501"/>
      <c r="EC1904" s="501"/>
      <c r="ED1904" s="501"/>
      <c r="EE1904" s="501"/>
      <c r="EF1904" s="501"/>
      <c r="EG1904" s="501"/>
      <c r="EH1904" s="501"/>
      <c r="EI1904" s="501"/>
      <c r="EJ1904" s="501"/>
      <c r="EK1904" s="501"/>
      <c r="EL1904" s="501"/>
      <c r="EM1904" s="501"/>
      <c r="EN1904" s="501"/>
      <c r="EO1904" s="501"/>
      <c r="EP1904" s="501"/>
      <c r="EQ1904" s="501"/>
      <c r="ER1904" s="501"/>
      <c r="ES1904" s="501"/>
      <c r="ET1904" s="501"/>
      <c r="EU1904" s="501"/>
      <c r="EV1904" s="501"/>
      <c r="EW1904" s="501"/>
      <c r="EX1904" s="501"/>
      <c r="EY1904" s="501"/>
      <c r="EZ1904" s="501"/>
      <c r="FA1904" s="501"/>
      <c r="FB1904" s="501"/>
      <c r="FC1904" s="501"/>
      <c r="FD1904" s="501"/>
      <c r="FE1904" s="501"/>
      <c r="FF1904" s="501"/>
      <c r="FG1904" s="501"/>
      <c r="FH1904" s="501"/>
      <c r="FI1904" s="501"/>
      <c r="FJ1904" s="501"/>
      <c r="FK1904" s="501"/>
      <c r="FL1904" s="501"/>
      <c r="FM1904" s="501"/>
      <c r="FN1904" s="501"/>
      <c r="FO1904" s="501"/>
      <c r="FP1904" s="501"/>
      <c r="FQ1904" s="501"/>
      <c r="FR1904" s="501"/>
      <c r="FS1904" s="501"/>
      <c r="FT1904" s="501"/>
      <c r="FU1904" s="501"/>
      <c r="FV1904" s="501"/>
      <c r="FW1904" s="501"/>
      <c r="FX1904" s="501"/>
      <c r="FY1904" s="501"/>
      <c r="FZ1904" s="501"/>
      <c r="GA1904" s="501"/>
      <c r="GB1904" s="501"/>
      <c r="GC1904" s="501"/>
      <c r="GD1904" s="501"/>
      <c r="GE1904" s="501"/>
      <c r="GF1904" s="501"/>
      <c r="GG1904" s="501"/>
      <c r="GH1904" s="501"/>
      <c r="GI1904" s="501"/>
      <c r="GJ1904" s="501"/>
      <c r="GK1904" s="501"/>
      <c r="GL1904" s="501"/>
      <c r="GM1904" s="501"/>
      <c r="GN1904" s="501"/>
      <c r="GO1904" s="501"/>
      <c r="GP1904" s="501"/>
      <c r="GQ1904" s="501"/>
      <c r="GR1904" s="501"/>
      <c r="GS1904" s="501"/>
      <c r="GT1904" s="501"/>
      <c r="GU1904" s="501"/>
      <c r="GV1904" s="501"/>
      <c r="GW1904" s="501"/>
      <c r="GX1904" s="501"/>
      <c r="GY1904" s="501"/>
      <c r="GZ1904" s="501"/>
      <c r="HA1904" s="501"/>
      <c r="HB1904" s="501"/>
      <c r="HC1904" s="501"/>
      <c r="HD1904" s="501"/>
      <c r="HE1904" s="501"/>
      <c r="HF1904" s="501"/>
      <c r="HG1904" s="501"/>
      <c r="HH1904" s="501"/>
      <c r="HI1904" s="501"/>
      <c r="HJ1904" s="501"/>
      <c r="HK1904" s="501"/>
      <c r="HL1904" s="501"/>
      <c r="HM1904" s="501"/>
      <c r="HN1904" s="501"/>
      <c r="HO1904" s="501"/>
      <c r="HP1904" s="501"/>
      <c r="HQ1904" s="501"/>
      <c r="HR1904" s="501"/>
      <c r="HS1904" s="501"/>
      <c r="HT1904" s="501"/>
      <c r="HU1904" s="501"/>
      <c r="HV1904" s="501"/>
      <c r="HW1904" s="501"/>
      <c r="HX1904" s="501"/>
      <c r="HY1904" s="501"/>
      <c r="HZ1904" s="501"/>
      <c r="IA1904" s="501"/>
      <c r="IB1904" s="501"/>
      <c r="IC1904" s="501"/>
      <c r="ID1904" s="501"/>
      <c r="IE1904" s="501"/>
      <c r="IF1904" s="501"/>
      <c r="IG1904" s="501"/>
      <c r="IH1904" s="501"/>
      <c r="II1904" s="501"/>
      <c r="IJ1904" s="501"/>
      <c r="IK1904" s="501"/>
      <c r="IL1904" s="501"/>
      <c r="IM1904" s="501"/>
      <c r="IN1904" s="501"/>
      <c r="IO1904" s="501"/>
      <c r="IP1904" s="501"/>
      <c r="IQ1904" s="501"/>
      <c r="IR1904" s="501"/>
      <c r="IS1904" s="501"/>
      <c r="IT1904" s="501"/>
      <c r="IU1904" s="501"/>
    </row>
    <row r="1905" spans="1:255" s="877" customFormat="1" ht="24" customHeight="1">
      <c r="A1905" s="501"/>
      <c r="B1905" s="501"/>
      <c r="C1905" s="501"/>
      <c r="D1905" s="501"/>
      <c r="E1905" s="501"/>
      <c r="F1905" s="545"/>
      <c r="G1905" s="889"/>
      <c r="H1905" s="545"/>
      <c r="I1905" s="876"/>
      <c r="J1905" s="876"/>
      <c r="K1905" s="882"/>
      <c r="L1905" s="876"/>
      <c r="M1905" s="882"/>
      <c r="N1905" s="501"/>
      <c r="O1905" s="501"/>
      <c r="P1905" s="902"/>
      <c r="Q1905" s="876"/>
      <c r="R1905" s="501"/>
      <c r="S1905" s="874"/>
      <c r="T1905" s="892"/>
      <c r="V1905" s="901"/>
      <c r="W1905" s="876"/>
      <c r="X1905" s="501"/>
      <c r="Y1905" s="874"/>
      <c r="Z1905" s="501"/>
      <c r="AA1905" s="501"/>
      <c r="AB1905" s="501"/>
      <c r="AC1905" s="501"/>
      <c r="AD1905" s="501"/>
      <c r="AE1905" s="501"/>
      <c r="AF1905" s="501"/>
      <c r="AG1905" s="501"/>
      <c r="AH1905" s="501"/>
      <c r="AI1905" s="501"/>
      <c r="AJ1905" s="501"/>
      <c r="AK1905" s="501"/>
      <c r="AL1905" s="501"/>
      <c r="AM1905" s="501"/>
      <c r="AN1905" s="501"/>
      <c r="AO1905" s="501"/>
      <c r="AP1905" s="501"/>
      <c r="AQ1905" s="501"/>
      <c r="AR1905" s="501"/>
      <c r="AS1905" s="501"/>
      <c r="AT1905" s="501"/>
      <c r="AU1905" s="501"/>
      <c r="AV1905" s="501"/>
      <c r="AW1905" s="501"/>
      <c r="AX1905" s="501"/>
      <c r="AY1905" s="501"/>
      <c r="AZ1905" s="501"/>
      <c r="BA1905" s="501"/>
      <c r="BB1905" s="501"/>
      <c r="BC1905" s="501"/>
      <c r="BD1905" s="501"/>
      <c r="BE1905" s="501"/>
      <c r="BF1905" s="501"/>
      <c r="BG1905" s="501"/>
      <c r="BH1905" s="501"/>
      <c r="BI1905" s="501"/>
      <c r="BJ1905" s="501"/>
      <c r="BK1905" s="501"/>
      <c r="BL1905" s="501"/>
      <c r="BM1905" s="501"/>
      <c r="BN1905" s="501"/>
      <c r="BO1905" s="501"/>
      <c r="BP1905" s="501"/>
      <c r="BQ1905" s="501"/>
      <c r="BR1905" s="501"/>
      <c r="BS1905" s="501"/>
      <c r="BT1905" s="501"/>
      <c r="BU1905" s="501"/>
      <c r="BV1905" s="501"/>
      <c r="BW1905" s="501"/>
      <c r="BX1905" s="501"/>
      <c r="BY1905" s="501"/>
      <c r="BZ1905" s="501"/>
      <c r="CA1905" s="501"/>
      <c r="CB1905" s="501"/>
      <c r="CC1905" s="501"/>
      <c r="CD1905" s="501"/>
      <c r="CE1905" s="501"/>
      <c r="CF1905" s="501"/>
      <c r="CG1905" s="501"/>
      <c r="CH1905" s="501"/>
      <c r="CI1905" s="501"/>
      <c r="CJ1905" s="501"/>
      <c r="CK1905" s="501"/>
      <c r="CL1905" s="501"/>
      <c r="CM1905" s="501"/>
      <c r="CN1905" s="501"/>
      <c r="CO1905" s="501"/>
      <c r="CP1905" s="501"/>
      <c r="CQ1905" s="501"/>
      <c r="CR1905" s="501"/>
      <c r="CS1905" s="501"/>
      <c r="CT1905" s="501"/>
      <c r="CU1905" s="501"/>
      <c r="CV1905" s="501"/>
      <c r="CW1905" s="501"/>
      <c r="CX1905" s="501"/>
      <c r="CY1905" s="501"/>
      <c r="CZ1905" s="501"/>
      <c r="DA1905" s="501"/>
      <c r="DB1905" s="501"/>
      <c r="DC1905" s="501"/>
      <c r="DD1905" s="501"/>
      <c r="DE1905" s="501"/>
      <c r="DF1905" s="501"/>
      <c r="DG1905" s="501"/>
      <c r="DH1905" s="501"/>
      <c r="DI1905" s="501"/>
      <c r="DJ1905" s="501"/>
      <c r="DK1905" s="501"/>
      <c r="DL1905" s="501"/>
      <c r="DM1905" s="501"/>
      <c r="DN1905" s="501"/>
      <c r="DO1905" s="501"/>
      <c r="DP1905" s="501"/>
      <c r="DQ1905" s="501"/>
      <c r="DR1905" s="501"/>
      <c r="DS1905" s="501"/>
      <c r="DT1905" s="501"/>
      <c r="DU1905" s="501"/>
      <c r="DV1905" s="501"/>
      <c r="DW1905" s="501"/>
      <c r="DX1905" s="501"/>
      <c r="DY1905" s="501"/>
      <c r="DZ1905" s="501"/>
      <c r="EA1905" s="501"/>
      <c r="EB1905" s="501"/>
      <c r="EC1905" s="501"/>
      <c r="ED1905" s="501"/>
      <c r="EE1905" s="501"/>
      <c r="EF1905" s="501"/>
      <c r="EG1905" s="501"/>
      <c r="EH1905" s="501"/>
      <c r="EI1905" s="501"/>
      <c r="EJ1905" s="501"/>
      <c r="EK1905" s="501"/>
      <c r="EL1905" s="501"/>
      <c r="EM1905" s="501"/>
      <c r="EN1905" s="501"/>
      <c r="EO1905" s="501"/>
      <c r="EP1905" s="501"/>
      <c r="EQ1905" s="501"/>
      <c r="ER1905" s="501"/>
      <c r="ES1905" s="501"/>
      <c r="ET1905" s="501"/>
      <c r="EU1905" s="501"/>
      <c r="EV1905" s="501"/>
      <c r="EW1905" s="501"/>
      <c r="EX1905" s="501"/>
      <c r="EY1905" s="501"/>
      <c r="EZ1905" s="501"/>
      <c r="FA1905" s="501"/>
      <c r="FB1905" s="501"/>
      <c r="FC1905" s="501"/>
      <c r="FD1905" s="501"/>
      <c r="FE1905" s="501"/>
      <c r="FF1905" s="501"/>
      <c r="FG1905" s="501"/>
      <c r="FH1905" s="501"/>
      <c r="FI1905" s="501"/>
      <c r="FJ1905" s="501"/>
      <c r="FK1905" s="501"/>
      <c r="FL1905" s="501"/>
      <c r="FM1905" s="501"/>
      <c r="FN1905" s="501"/>
      <c r="FO1905" s="501"/>
      <c r="FP1905" s="501"/>
      <c r="FQ1905" s="501"/>
      <c r="FR1905" s="501"/>
      <c r="FS1905" s="501"/>
      <c r="FT1905" s="501"/>
      <c r="FU1905" s="501"/>
      <c r="FV1905" s="501"/>
      <c r="FW1905" s="501"/>
      <c r="FX1905" s="501"/>
      <c r="FY1905" s="501"/>
      <c r="FZ1905" s="501"/>
      <c r="GA1905" s="501"/>
      <c r="GB1905" s="501"/>
      <c r="GC1905" s="501"/>
      <c r="GD1905" s="501"/>
      <c r="GE1905" s="501"/>
      <c r="GF1905" s="501"/>
      <c r="GG1905" s="501"/>
      <c r="GH1905" s="501"/>
      <c r="GI1905" s="501"/>
      <c r="GJ1905" s="501"/>
      <c r="GK1905" s="501"/>
      <c r="GL1905" s="501"/>
      <c r="GM1905" s="501"/>
      <c r="GN1905" s="501"/>
      <c r="GO1905" s="501"/>
      <c r="GP1905" s="501"/>
      <c r="GQ1905" s="501"/>
      <c r="GR1905" s="501"/>
      <c r="GS1905" s="501"/>
      <c r="GT1905" s="501"/>
      <c r="GU1905" s="501"/>
      <c r="GV1905" s="501"/>
      <c r="GW1905" s="501"/>
      <c r="GX1905" s="501"/>
      <c r="GY1905" s="501"/>
      <c r="GZ1905" s="501"/>
      <c r="HA1905" s="501"/>
      <c r="HB1905" s="501"/>
      <c r="HC1905" s="501"/>
      <c r="HD1905" s="501"/>
      <c r="HE1905" s="501"/>
      <c r="HF1905" s="501"/>
      <c r="HG1905" s="501"/>
      <c r="HH1905" s="501"/>
      <c r="HI1905" s="501"/>
      <c r="HJ1905" s="501"/>
      <c r="HK1905" s="501"/>
      <c r="HL1905" s="501"/>
      <c r="HM1905" s="501"/>
      <c r="HN1905" s="501"/>
      <c r="HO1905" s="501"/>
      <c r="HP1905" s="501"/>
      <c r="HQ1905" s="501"/>
      <c r="HR1905" s="501"/>
      <c r="HS1905" s="501"/>
      <c r="HT1905" s="501"/>
      <c r="HU1905" s="501"/>
      <c r="HV1905" s="501"/>
      <c r="HW1905" s="501"/>
      <c r="HX1905" s="501"/>
      <c r="HY1905" s="501"/>
      <c r="HZ1905" s="501"/>
      <c r="IA1905" s="501"/>
      <c r="IB1905" s="501"/>
      <c r="IC1905" s="501"/>
      <c r="ID1905" s="501"/>
      <c r="IE1905" s="501"/>
      <c r="IF1905" s="501"/>
      <c r="IG1905" s="501"/>
      <c r="IH1905" s="501"/>
      <c r="II1905" s="501"/>
      <c r="IJ1905" s="501"/>
      <c r="IK1905" s="501"/>
      <c r="IL1905" s="501"/>
      <c r="IM1905" s="501"/>
      <c r="IN1905" s="501"/>
      <c r="IO1905" s="501"/>
      <c r="IP1905" s="501"/>
      <c r="IQ1905" s="501"/>
      <c r="IR1905" s="501"/>
      <c r="IS1905" s="501"/>
      <c r="IT1905" s="501"/>
      <c r="IU1905" s="501"/>
    </row>
    <row r="1906" spans="1:255" s="877" customFormat="1" ht="24" customHeight="1">
      <c r="A1906" s="501"/>
      <c r="B1906" s="501"/>
      <c r="C1906" s="501"/>
      <c r="D1906" s="501"/>
      <c r="E1906" s="501"/>
      <c r="F1906" s="545"/>
      <c r="G1906" s="889"/>
      <c r="H1906" s="545"/>
      <c r="I1906" s="876"/>
      <c r="J1906" s="876"/>
      <c r="K1906" s="882"/>
      <c r="L1906" s="876"/>
      <c r="M1906" s="882"/>
      <c r="N1906" s="501"/>
      <c r="O1906" s="501"/>
      <c r="P1906" s="902"/>
      <c r="Q1906" s="501"/>
      <c r="R1906" s="876"/>
      <c r="S1906" s="874"/>
      <c r="T1906" s="881"/>
      <c r="V1906" s="902"/>
      <c r="W1906" s="881"/>
      <c r="X1906" s="501"/>
      <c r="Y1906" s="874"/>
      <c r="Z1906" s="501"/>
      <c r="AA1906" s="501"/>
      <c r="AB1906" s="501"/>
      <c r="AC1906" s="501"/>
      <c r="AD1906" s="501"/>
      <c r="AE1906" s="501"/>
      <c r="AF1906" s="501"/>
      <c r="AG1906" s="501"/>
      <c r="AH1906" s="501"/>
      <c r="AI1906" s="501"/>
      <c r="AJ1906" s="501"/>
      <c r="AK1906" s="501"/>
      <c r="AL1906" s="501"/>
      <c r="AM1906" s="501"/>
      <c r="AN1906" s="501"/>
      <c r="AO1906" s="501"/>
      <c r="AP1906" s="501"/>
      <c r="AQ1906" s="501"/>
      <c r="AR1906" s="501"/>
      <c r="AS1906" s="501"/>
      <c r="AT1906" s="501"/>
      <c r="AU1906" s="501"/>
      <c r="AV1906" s="501"/>
      <c r="AW1906" s="501"/>
      <c r="AX1906" s="501"/>
      <c r="AY1906" s="501"/>
      <c r="AZ1906" s="501"/>
      <c r="BA1906" s="501"/>
      <c r="BB1906" s="501"/>
      <c r="BC1906" s="501"/>
      <c r="BD1906" s="501"/>
      <c r="BE1906" s="501"/>
      <c r="BF1906" s="501"/>
      <c r="BG1906" s="501"/>
      <c r="BH1906" s="501"/>
      <c r="BI1906" s="501"/>
      <c r="BJ1906" s="501"/>
      <c r="BK1906" s="501"/>
      <c r="BL1906" s="501"/>
      <c r="BM1906" s="501"/>
      <c r="BN1906" s="501"/>
      <c r="BO1906" s="501"/>
      <c r="BP1906" s="501"/>
      <c r="BQ1906" s="501"/>
      <c r="BR1906" s="501"/>
      <c r="BS1906" s="501"/>
      <c r="BT1906" s="501"/>
      <c r="BU1906" s="501"/>
      <c r="BV1906" s="501"/>
      <c r="BW1906" s="501"/>
      <c r="BX1906" s="501"/>
      <c r="BY1906" s="501"/>
      <c r="BZ1906" s="501"/>
      <c r="CA1906" s="501"/>
      <c r="CB1906" s="501"/>
      <c r="CC1906" s="501"/>
      <c r="CD1906" s="501"/>
      <c r="CE1906" s="501"/>
      <c r="CF1906" s="501"/>
      <c r="CG1906" s="501"/>
      <c r="CH1906" s="501"/>
      <c r="CI1906" s="501"/>
      <c r="CJ1906" s="501"/>
      <c r="CK1906" s="501"/>
      <c r="CL1906" s="501"/>
      <c r="CM1906" s="501"/>
      <c r="CN1906" s="501"/>
      <c r="CO1906" s="501"/>
      <c r="CP1906" s="501"/>
      <c r="CQ1906" s="501"/>
      <c r="CR1906" s="501"/>
      <c r="CS1906" s="501"/>
      <c r="CT1906" s="501"/>
      <c r="CU1906" s="501"/>
      <c r="CV1906" s="501"/>
      <c r="CW1906" s="501"/>
      <c r="CX1906" s="501"/>
      <c r="CY1906" s="501"/>
      <c r="CZ1906" s="501"/>
      <c r="DA1906" s="501"/>
      <c r="DB1906" s="501"/>
      <c r="DC1906" s="501"/>
      <c r="DD1906" s="501"/>
      <c r="DE1906" s="501"/>
      <c r="DF1906" s="501"/>
      <c r="DG1906" s="501"/>
      <c r="DH1906" s="501"/>
      <c r="DI1906" s="501"/>
      <c r="DJ1906" s="501"/>
      <c r="DK1906" s="501"/>
      <c r="DL1906" s="501"/>
      <c r="DM1906" s="501"/>
      <c r="DN1906" s="501"/>
      <c r="DO1906" s="501"/>
      <c r="DP1906" s="501"/>
      <c r="DQ1906" s="501"/>
      <c r="DR1906" s="501"/>
      <c r="DS1906" s="501"/>
      <c r="DT1906" s="501"/>
      <c r="DU1906" s="501"/>
      <c r="DV1906" s="501"/>
      <c r="DW1906" s="501"/>
      <c r="DX1906" s="501"/>
      <c r="DY1906" s="501"/>
      <c r="DZ1906" s="501"/>
      <c r="EA1906" s="501"/>
      <c r="EB1906" s="501"/>
      <c r="EC1906" s="501"/>
      <c r="ED1906" s="501"/>
      <c r="EE1906" s="501"/>
      <c r="EF1906" s="501"/>
      <c r="EG1906" s="501"/>
      <c r="EH1906" s="501"/>
      <c r="EI1906" s="501"/>
      <c r="EJ1906" s="501"/>
      <c r="EK1906" s="501"/>
      <c r="EL1906" s="501"/>
      <c r="EM1906" s="501"/>
      <c r="EN1906" s="501"/>
      <c r="EO1906" s="501"/>
      <c r="EP1906" s="501"/>
      <c r="EQ1906" s="501"/>
      <c r="ER1906" s="501"/>
      <c r="ES1906" s="501"/>
      <c r="ET1906" s="501"/>
      <c r="EU1906" s="501"/>
      <c r="EV1906" s="501"/>
      <c r="EW1906" s="501"/>
      <c r="EX1906" s="501"/>
      <c r="EY1906" s="501"/>
      <c r="EZ1906" s="501"/>
      <c r="FA1906" s="501"/>
      <c r="FB1906" s="501"/>
      <c r="FC1906" s="501"/>
      <c r="FD1906" s="501"/>
      <c r="FE1906" s="501"/>
      <c r="FF1906" s="501"/>
      <c r="FG1906" s="501"/>
      <c r="FH1906" s="501"/>
      <c r="FI1906" s="501"/>
      <c r="FJ1906" s="501"/>
      <c r="FK1906" s="501"/>
      <c r="FL1906" s="501"/>
      <c r="FM1906" s="501"/>
      <c r="FN1906" s="501"/>
      <c r="FO1906" s="501"/>
      <c r="FP1906" s="501"/>
      <c r="FQ1906" s="501"/>
      <c r="FR1906" s="501"/>
      <c r="FS1906" s="501"/>
      <c r="FT1906" s="501"/>
      <c r="FU1906" s="501"/>
      <c r="FV1906" s="501"/>
      <c r="FW1906" s="501"/>
      <c r="FX1906" s="501"/>
      <c r="FY1906" s="501"/>
      <c r="FZ1906" s="501"/>
      <c r="GA1906" s="501"/>
      <c r="GB1906" s="501"/>
      <c r="GC1906" s="501"/>
      <c r="GD1906" s="501"/>
      <c r="GE1906" s="501"/>
      <c r="GF1906" s="501"/>
      <c r="GG1906" s="501"/>
      <c r="GH1906" s="501"/>
      <c r="GI1906" s="501"/>
      <c r="GJ1906" s="501"/>
      <c r="GK1906" s="501"/>
      <c r="GL1906" s="501"/>
      <c r="GM1906" s="501"/>
      <c r="GN1906" s="501"/>
      <c r="GO1906" s="501"/>
      <c r="GP1906" s="501"/>
      <c r="GQ1906" s="501"/>
      <c r="GR1906" s="501"/>
      <c r="GS1906" s="501"/>
      <c r="GT1906" s="501"/>
      <c r="GU1906" s="501"/>
      <c r="GV1906" s="501"/>
      <c r="GW1906" s="501"/>
      <c r="GX1906" s="501"/>
      <c r="GY1906" s="501"/>
      <c r="GZ1906" s="501"/>
      <c r="HA1906" s="501"/>
      <c r="HB1906" s="501"/>
      <c r="HC1906" s="501"/>
      <c r="HD1906" s="501"/>
      <c r="HE1906" s="501"/>
      <c r="HF1906" s="501"/>
      <c r="HG1906" s="501"/>
      <c r="HH1906" s="501"/>
      <c r="HI1906" s="501"/>
      <c r="HJ1906" s="501"/>
      <c r="HK1906" s="501"/>
      <c r="HL1906" s="501"/>
      <c r="HM1906" s="501"/>
      <c r="HN1906" s="501"/>
      <c r="HO1906" s="501"/>
      <c r="HP1906" s="501"/>
      <c r="HQ1906" s="501"/>
      <c r="HR1906" s="501"/>
      <c r="HS1906" s="501"/>
      <c r="HT1906" s="501"/>
      <c r="HU1906" s="501"/>
      <c r="HV1906" s="501"/>
      <c r="HW1906" s="501"/>
      <c r="HX1906" s="501"/>
      <c r="HY1906" s="501"/>
      <c r="HZ1906" s="501"/>
      <c r="IA1906" s="501"/>
      <c r="IB1906" s="501"/>
      <c r="IC1906" s="501"/>
      <c r="ID1906" s="501"/>
      <c r="IE1906" s="501"/>
      <c r="IF1906" s="501"/>
      <c r="IG1906" s="501"/>
      <c r="IH1906" s="501"/>
      <c r="II1906" s="501"/>
      <c r="IJ1906" s="501"/>
      <c r="IK1906" s="501"/>
      <c r="IL1906" s="501"/>
      <c r="IM1906" s="501"/>
      <c r="IN1906" s="501"/>
      <c r="IO1906" s="501"/>
      <c r="IP1906" s="501"/>
      <c r="IQ1906" s="501"/>
      <c r="IR1906" s="501"/>
      <c r="IS1906" s="501"/>
      <c r="IT1906" s="501"/>
      <c r="IU1906" s="501"/>
    </row>
    <row r="1907" spans="1:255" s="877" customFormat="1" ht="24" customHeight="1">
      <c r="A1907" s="501"/>
      <c r="B1907" s="501"/>
      <c r="C1907" s="501"/>
      <c r="D1907" s="501"/>
      <c r="E1907" s="501"/>
      <c r="F1907" s="501"/>
      <c r="G1907" s="915"/>
      <c r="H1907" s="501"/>
      <c r="I1907" s="874"/>
      <c r="J1907" s="501"/>
      <c r="K1907" s="501"/>
      <c r="L1907" s="874"/>
      <c r="M1907" s="882"/>
      <c r="N1907" s="501"/>
      <c r="O1907" s="501"/>
      <c r="P1907" s="501"/>
      <c r="Q1907" s="501"/>
      <c r="R1907" s="501"/>
      <c r="S1907" s="501"/>
      <c r="T1907" s="501"/>
      <c r="V1907" s="901"/>
      <c r="W1907" s="876"/>
      <c r="X1907" s="545"/>
      <c r="Y1907" s="876"/>
      <c r="Z1907" s="545"/>
      <c r="AA1907" s="501"/>
      <c r="AB1907" s="501"/>
      <c r="AC1907" s="501"/>
      <c r="AD1907" s="501"/>
      <c r="AE1907" s="501"/>
      <c r="AF1907" s="501"/>
      <c r="AG1907" s="501"/>
      <c r="AH1907" s="501"/>
      <c r="AI1907" s="501"/>
      <c r="AJ1907" s="501"/>
      <c r="AK1907" s="501"/>
      <c r="AL1907" s="501"/>
      <c r="AM1907" s="501"/>
      <c r="AN1907" s="501"/>
      <c r="AO1907" s="501"/>
      <c r="AP1907" s="501"/>
      <c r="AQ1907" s="501"/>
      <c r="AR1907" s="501"/>
      <c r="AS1907" s="501"/>
      <c r="AT1907" s="501"/>
      <c r="AU1907" s="501"/>
      <c r="AV1907" s="501"/>
      <c r="AW1907" s="501"/>
      <c r="AX1907" s="501"/>
      <c r="AY1907" s="501"/>
      <c r="AZ1907" s="501"/>
      <c r="BA1907" s="501"/>
      <c r="BB1907" s="501"/>
      <c r="BC1907" s="501"/>
      <c r="BD1907" s="501"/>
      <c r="BE1907" s="501"/>
      <c r="BF1907" s="501"/>
      <c r="BG1907" s="501"/>
      <c r="BH1907" s="501"/>
      <c r="BI1907" s="501"/>
      <c r="BJ1907" s="501"/>
      <c r="BK1907" s="501"/>
      <c r="BL1907" s="501"/>
      <c r="BM1907" s="501"/>
      <c r="BN1907" s="501"/>
      <c r="BO1907" s="501"/>
      <c r="BP1907" s="501"/>
      <c r="BQ1907" s="501"/>
      <c r="BR1907" s="501"/>
      <c r="BS1907" s="501"/>
      <c r="BT1907" s="501"/>
      <c r="BU1907" s="501"/>
      <c r="BV1907" s="501"/>
      <c r="BW1907" s="501"/>
      <c r="BX1907" s="501"/>
      <c r="BY1907" s="501"/>
      <c r="BZ1907" s="501"/>
      <c r="CA1907" s="501"/>
      <c r="CB1907" s="501"/>
      <c r="CC1907" s="501"/>
      <c r="CD1907" s="501"/>
      <c r="CE1907" s="501"/>
      <c r="CF1907" s="501"/>
      <c r="CG1907" s="501"/>
      <c r="CH1907" s="501"/>
      <c r="CI1907" s="501"/>
      <c r="CJ1907" s="501"/>
      <c r="CK1907" s="501"/>
      <c r="CL1907" s="501"/>
      <c r="CM1907" s="501"/>
      <c r="CN1907" s="501"/>
      <c r="CO1907" s="501"/>
      <c r="CP1907" s="501"/>
      <c r="CQ1907" s="501"/>
      <c r="CR1907" s="501"/>
      <c r="CS1907" s="501"/>
      <c r="CT1907" s="501"/>
      <c r="CU1907" s="501"/>
      <c r="CV1907" s="501"/>
      <c r="CW1907" s="501"/>
      <c r="CX1907" s="501"/>
      <c r="CY1907" s="501"/>
      <c r="CZ1907" s="501"/>
      <c r="DA1907" s="501"/>
      <c r="DB1907" s="501"/>
      <c r="DC1907" s="501"/>
      <c r="DD1907" s="501"/>
      <c r="DE1907" s="501"/>
      <c r="DF1907" s="501"/>
      <c r="DG1907" s="501"/>
      <c r="DH1907" s="501"/>
      <c r="DI1907" s="501"/>
      <c r="DJ1907" s="501"/>
      <c r="DK1907" s="501"/>
      <c r="DL1907" s="501"/>
      <c r="DM1907" s="501"/>
      <c r="DN1907" s="501"/>
      <c r="DO1907" s="501"/>
      <c r="DP1907" s="501"/>
      <c r="DQ1907" s="501"/>
      <c r="DR1907" s="501"/>
      <c r="DS1907" s="501"/>
      <c r="DT1907" s="501"/>
      <c r="DU1907" s="501"/>
      <c r="DV1907" s="501"/>
      <c r="DW1907" s="501"/>
      <c r="DX1907" s="501"/>
      <c r="DY1907" s="501"/>
      <c r="DZ1907" s="501"/>
      <c r="EA1907" s="501"/>
      <c r="EB1907" s="501"/>
      <c r="EC1907" s="501"/>
      <c r="ED1907" s="501"/>
      <c r="EE1907" s="501"/>
      <c r="EF1907" s="501"/>
      <c r="EG1907" s="501"/>
      <c r="EH1907" s="501"/>
      <c r="EI1907" s="501"/>
      <c r="EJ1907" s="501"/>
      <c r="EK1907" s="501"/>
      <c r="EL1907" s="501"/>
      <c r="EM1907" s="501"/>
      <c r="EN1907" s="501"/>
      <c r="EO1907" s="501"/>
      <c r="EP1907" s="501"/>
      <c r="EQ1907" s="501"/>
      <c r="ER1907" s="501"/>
      <c r="ES1907" s="501"/>
      <c r="ET1907" s="501"/>
      <c r="EU1907" s="501"/>
      <c r="EV1907" s="501"/>
      <c r="EW1907" s="501"/>
      <c r="EX1907" s="501"/>
      <c r="EY1907" s="501"/>
      <c r="EZ1907" s="501"/>
      <c r="FA1907" s="501"/>
      <c r="FB1907" s="501"/>
      <c r="FC1907" s="501"/>
      <c r="FD1907" s="501"/>
      <c r="FE1907" s="501"/>
      <c r="FF1907" s="501"/>
      <c r="FG1907" s="501"/>
      <c r="FH1907" s="501"/>
      <c r="FI1907" s="501"/>
      <c r="FJ1907" s="501"/>
      <c r="FK1907" s="501"/>
      <c r="FL1907" s="501"/>
      <c r="FM1907" s="501"/>
      <c r="FN1907" s="501"/>
      <c r="FO1907" s="501"/>
      <c r="FP1907" s="501"/>
      <c r="FQ1907" s="501"/>
      <c r="FR1907" s="501"/>
      <c r="FS1907" s="501"/>
      <c r="FT1907" s="501"/>
      <c r="FU1907" s="501"/>
      <c r="FV1907" s="501"/>
      <c r="FW1907" s="501"/>
      <c r="FX1907" s="501"/>
      <c r="FY1907" s="501"/>
      <c r="FZ1907" s="501"/>
      <c r="GA1907" s="501"/>
      <c r="GB1907" s="501"/>
      <c r="GC1907" s="501"/>
      <c r="GD1907" s="501"/>
      <c r="GE1907" s="501"/>
      <c r="GF1907" s="501"/>
      <c r="GG1907" s="501"/>
      <c r="GH1907" s="501"/>
      <c r="GI1907" s="501"/>
      <c r="GJ1907" s="501"/>
      <c r="GK1907" s="501"/>
      <c r="GL1907" s="501"/>
      <c r="GM1907" s="501"/>
      <c r="GN1907" s="501"/>
      <c r="GO1907" s="501"/>
      <c r="GP1907" s="501"/>
      <c r="GQ1907" s="501"/>
      <c r="GR1907" s="501"/>
      <c r="GS1907" s="501"/>
      <c r="GT1907" s="501"/>
      <c r="GU1907" s="501"/>
      <c r="GV1907" s="501"/>
      <c r="GW1907" s="501"/>
      <c r="GX1907" s="501"/>
      <c r="GY1907" s="501"/>
      <c r="GZ1907" s="501"/>
      <c r="HA1907" s="501"/>
      <c r="HB1907" s="501"/>
      <c r="HC1907" s="501"/>
      <c r="HD1907" s="501"/>
      <c r="HE1907" s="501"/>
      <c r="HF1907" s="501"/>
      <c r="HG1907" s="501"/>
      <c r="HH1907" s="501"/>
      <c r="HI1907" s="501"/>
      <c r="HJ1907" s="501"/>
      <c r="HK1907" s="501"/>
      <c r="HL1907" s="501"/>
      <c r="HM1907" s="501"/>
      <c r="HN1907" s="501"/>
      <c r="HO1907" s="501"/>
      <c r="HP1907" s="501"/>
      <c r="HQ1907" s="501"/>
      <c r="HR1907" s="501"/>
      <c r="HS1907" s="501"/>
      <c r="HT1907" s="501"/>
      <c r="HU1907" s="501"/>
      <c r="HV1907" s="501"/>
      <c r="HW1907" s="501"/>
      <c r="HX1907" s="501"/>
      <c r="HY1907" s="501"/>
      <c r="HZ1907" s="501"/>
      <c r="IA1907" s="501"/>
      <c r="IB1907" s="501"/>
      <c r="IC1907" s="501"/>
      <c r="ID1907" s="501"/>
      <c r="IE1907" s="501"/>
      <c r="IF1907" s="501"/>
      <c r="IG1907" s="501"/>
      <c r="IH1907" s="501"/>
      <c r="II1907" s="501"/>
      <c r="IJ1907" s="501"/>
      <c r="IK1907" s="501"/>
      <c r="IL1907" s="501"/>
      <c r="IM1907" s="501"/>
      <c r="IN1907" s="501"/>
      <c r="IO1907" s="501"/>
      <c r="IP1907" s="501"/>
      <c r="IQ1907" s="501"/>
      <c r="IR1907" s="501"/>
      <c r="IS1907" s="501"/>
      <c r="IT1907" s="501"/>
      <c r="IU1907" s="501"/>
    </row>
    <row r="1908" spans="1:255" s="877" customFormat="1" ht="24" customHeight="1">
      <c r="A1908" s="501"/>
      <c r="B1908" s="501"/>
      <c r="C1908" s="501"/>
      <c r="D1908" s="501"/>
      <c r="E1908" s="501"/>
      <c r="F1908" s="501"/>
      <c r="G1908" s="915"/>
      <c r="H1908" s="501"/>
      <c r="I1908" s="874"/>
      <c r="J1908" s="876"/>
      <c r="K1908" s="501"/>
      <c r="L1908" s="874"/>
      <c r="M1908" s="882"/>
      <c r="N1908" s="501"/>
      <c r="O1908" s="501"/>
      <c r="P1908" s="501"/>
      <c r="Q1908" s="501"/>
      <c r="R1908" s="501"/>
      <c r="S1908" s="501"/>
      <c r="T1908" s="501"/>
      <c r="V1908" s="901"/>
      <c r="W1908" s="876"/>
      <c r="X1908" s="545"/>
      <c r="Y1908" s="876"/>
      <c r="Z1908" s="545"/>
      <c r="AA1908" s="501"/>
      <c r="AB1908" s="501"/>
      <c r="AC1908" s="501"/>
      <c r="AD1908" s="501"/>
      <c r="AE1908" s="501"/>
      <c r="AF1908" s="501"/>
      <c r="AG1908" s="501"/>
      <c r="AH1908" s="501"/>
      <c r="AI1908" s="501"/>
      <c r="AJ1908" s="501"/>
      <c r="AK1908" s="501"/>
      <c r="AL1908" s="501"/>
      <c r="AM1908" s="501"/>
      <c r="AN1908" s="501"/>
      <c r="AO1908" s="501"/>
      <c r="AP1908" s="501"/>
      <c r="AQ1908" s="501"/>
      <c r="AR1908" s="501"/>
      <c r="AS1908" s="501"/>
      <c r="AT1908" s="501"/>
      <c r="AU1908" s="501"/>
      <c r="AV1908" s="501"/>
      <c r="AW1908" s="501"/>
      <c r="AX1908" s="501"/>
      <c r="AY1908" s="501"/>
      <c r="AZ1908" s="501"/>
      <c r="BA1908" s="501"/>
      <c r="BB1908" s="501"/>
      <c r="BC1908" s="501"/>
      <c r="BD1908" s="501"/>
      <c r="BE1908" s="501"/>
      <c r="BF1908" s="501"/>
      <c r="BG1908" s="501"/>
      <c r="BH1908" s="501"/>
      <c r="BI1908" s="501"/>
      <c r="BJ1908" s="501"/>
      <c r="BK1908" s="501"/>
      <c r="BL1908" s="501"/>
      <c r="BM1908" s="501"/>
      <c r="BN1908" s="501"/>
      <c r="BO1908" s="501"/>
      <c r="BP1908" s="501"/>
      <c r="BQ1908" s="501"/>
      <c r="BR1908" s="501"/>
      <c r="BS1908" s="501"/>
      <c r="BT1908" s="501"/>
      <c r="BU1908" s="501"/>
      <c r="BV1908" s="501"/>
      <c r="BW1908" s="501"/>
      <c r="BX1908" s="501"/>
      <c r="BY1908" s="501"/>
      <c r="BZ1908" s="501"/>
      <c r="CA1908" s="501"/>
      <c r="CB1908" s="501"/>
      <c r="CC1908" s="501"/>
      <c r="CD1908" s="501"/>
      <c r="CE1908" s="501"/>
      <c r="CF1908" s="501"/>
      <c r="CG1908" s="501"/>
      <c r="CH1908" s="501"/>
      <c r="CI1908" s="501"/>
      <c r="CJ1908" s="501"/>
      <c r="CK1908" s="501"/>
      <c r="CL1908" s="501"/>
      <c r="CM1908" s="501"/>
      <c r="CN1908" s="501"/>
      <c r="CO1908" s="501"/>
      <c r="CP1908" s="501"/>
      <c r="CQ1908" s="501"/>
      <c r="CR1908" s="501"/>
      <c r="CS1908" s="501"/>
      <c r="CT1908" s="501"/>
      <c r="CU1908" s="501"/>
      <c r="CV1908" s="501"/>
      <c r="CW1908" s="501"/>
      <c r="CX1908" s="501"/>
      <c r="CY1908" s="501"/>
      <c r="CZ1908" s="501"/>
      <c r="DA1908" s="501"/>
      <c r="DB1908" s="501"/>
      <c r="DC1908" s="501"/>
      <c r="DD1908" s="501"/>
      <c r="DE1908" s="501"/>
      <c r="DF1908" s="501"/>
      <c r="DG1908" s="501"/>
      <c r="DH1908" s="501"/>
      <c r="DI1908" s="501"/>
      <c r="DJ1908" s="501"/>
      <c r="DK1908" s="501"/>
      <c r="DL1908" s="501"/>
      <c r="DM1908" s="501"/>
      <c r="DN1908" s="501"/>
      <c r="DO1908" s="501"/>
      <c r="DP1908" s="501"/>
      <c r="DQ1908" s="501"/>
      <c r="DR1908" s="501"/>
      <c r="DS1908" s="501"/>
      <c r="DT1908" s="501"/>
      <c r="DU1908" s="501"/>
      <c r="DV1908" s="501"/>
      <c r="DW1908" s="501"/>
      <c r="DX1908" s="501"/>
      <c r="DY1908" s="501"/>
      <c r="DZ1908" s="501"/>
      <c r="EA1908" s="501"/>
      <c r="EB1908" s="501"/>
      <c r="EC1908" s="501"/>
      <c r="ED1908" s="501"/>
      <c r="EE1908" s="501"/>
      <c r="EF1908" s="501"/>
      <c r="EG1908" s="501"/>
      <c r="EH1908" s="501"/>
      <c r="EI1908" s="501"/>
      <c r="EJ1908" s="501"/>
      <c r="EK1908" s="501"/>
      <c r="EL1908" s="501"/>
      <c r="EM1908" s="501"/>
      <c r="EN1908" s="501"/>
      <c r="EO1908" s="501"/>
      <c r="EP1908" s="501"/>
      <c r="EQ1908" s="501"/>
      <c r="ER1908" s="501"/>
      <c r="ES1908" s="501"/>
      <c r="ET1908" s="501"/>
      <c r="EU1908" s="501"/>
      <c r="EV1908" s="501"/>
      <c r="EW1908" s="501"/>
      <c r="EX1908" s="501"/>
      <c r="EY1908" s="501"/>
      <c r="EZ1908" s="501"/>
      <c r="FA1908" s="501"/>
      <c r="FB1908" s="501"/>
      <c r="FC1908" s="501"/>
      <c r="FD1908" s="501"/>
      <c r="FE1908" s="501"/>
      <c r="FF1908" s="501"/>
      <c r="FG1908" s="501"/>
      <c r="FH1908" s="501"/>
      <c r="FI1908" s="501"/>
      <c r="FJ1908" s="501"/>
      <c r="FK1908" s="501"/>
      <c r="FL1908" s="501"/>
      <c r="FM1908" s="501"/>
      <c r="FN1908" s="501"/>
      <c r="FO1908" s="501"/>
      <c r="FP1908" s="501"/>
      <c r="FQ1908" s="501"/>
      <c r="FR1908" s="501"/>
      <c r="FS1908" s="501"/>
      <c r="FT1908" s="501"/>
      <c r="FU1908" s="501"/>
      <c r="FV1908" s="501"/>
      <c r="FW1908" s="501"/>
      <c r="FX1908" s="501"/>
      <c r="FY1908" s="501"/>
      <c r="FZ1908" s="501"/>
      <c r="GA1908" s="501"/>
      <c r="GB1908" s="501"/>
      <c r="GC1908" s="501"/>
      <c r="GD1908" s="501"/>
      <c r="GE1908" s="501"/>
      <c r="GF1908" s="501"/>
      <c r="GG1908" s="501"/>
      <c r="GH1908" s="501"/>
      <c r="GI1908" s="501"/>
      <c r="GJ1908" s="501"/>
      <c r="GK1908" s="501"/>
      <c r="GL1908" s="501"/>
      <c r="GM1908" s="501"/>
      <c r="GN1908" s="501"/>
      <c r="GO1908" s="501"/>
      <c r="GP1908" s="501"/>
      <c r="GQ1908" s="501"/>
      <c r="GR1908" s="501"/>
      <c r="GS1908" s="501"/>
      <c r="GT1908" s="501"/>
      <c r="GU1908" s="501"/>
      <c r="GV1908" s="501"/>
      <c r="GW1908" s="501"/>
      <c r="GX1908" s="501"/>
      <c r="GY1908" s="501"/>
      <c r="GZ1908" s="501"/>
      <c r="HA1908" s="501"/>
      <c r="HB1908" s="501"/>
      <c r="HC1908" s="501"/>
      <c r="HD1908" s="501"/>
      <c r="HE1908" s="501"/>
      <c r="HF1908" s="501"/>
      <c r="HG1908" s="501"/>
      <c r="HH1908" s="501"/>
      <c r="HI1908" s="501"/>
      <c r="HJ1908" s="501"/>
      <c r="HK1908" s="501"/>
      <c r="HL1908" s="501"/>
      <c r="HM1908" s="501"/>
      <c r="HN1908" s="501"/>
      <c r="HO1908" s="501"/>
      <c r="HP1908" s="501"/>
      <c r="HQ1908" s="501"/>
      <c r="HR1908" s="501"/>
      <c r="HS1908" s="501"/>
      <c r="HT1908" s="501"/>
      <c r="HU1908" s="501"/>
      <c r="HV1908" s="501"/>
      <c r="HW1908" s="501"/>
      <c r="HX1908" s="501"/>
      <c r="HY1908" s="501"/>
      <c r="HZ1908" s="501"/>
      <c r="IA1908" s="501"/>
      <c r="IB1908" s="501"/>
      <c r="IC1908" s="501"/>
      <c r="ID1908" s="501"/>
      <c r="IE1908" s="501"/>
      <c r="IF1908" s="501"/>
      <c r="IG1908" s="501"/>
      <c r="IH1908" s="501"/>
      <c r="II1908" s="501"/>
      <c r="IJ1908" s="501"/>
      <c r="IK1908" s="501"/>
      <c r="IL1908" s="501"/>
      <c r="IM1908" s="501"/>
      <c r="IN1908" s="501"/>
      <c r="IO1908" s="501"/>
      <c r="IP1908" s="501"/>
      <c r="IQ1908" s="501"/>
      <c r="IR1908" s="501"/>
      <c r="IS1908" s="501"/>
      <c r="IT1908" s="501"/>
      <c r="IU1908" s="501"/>
    </row>
    <row r="1909" spans="1:255" s="877" customFormat="1" ht="24" customHeight="1">
      <c r="A1909" s="501"/>
      <c r="B1909" s="501"/>
      <c r="C1909" s="501"/>
      <c r="D1909" s="501"/>
      <c r="E1909" s="501"/>
      <c r="F1909" s="501"/>
      <c r="G1909" s="915"/>
      <c r="H1909" s="501"/>
      <c r="I1909" s="874"/>
      <c r="J1909" s="501"/>
      <c r="K1909" s="501"/>
      <c r="L1909" s="874"/>
      <c r="M1909" s="882"/>
      <c r="N1909" s="501"/>
      <c r="O1909" s="501"/>
      <c r="P1909" s="501"/>
      <c r="Q1909" s="501"/>
      <c r="R1909" s="501"/>
      <c r="S1909" s="501"/>
      <c r="T1909" s="501"/>
      <c r="V1909" s="901"/>
      <c r="W1909" s="876"/>
      <c r="X1909" s="545"/>
      <c r="Y1909" s="876"/>
      <c r="Z1909" s="545"/>
      <c r="AA1909" s="501"/>
      <c r="AB1909" s="501"/>
      <c r="AC1909" s="501"/>
      <c r="AD1909" s="501"/>
      <c r="AE1909" s="501"/>
      <c r="AF1909" s="501"/>
      <c r="AG1909" s="501"/>
      <c r="AH1909" s="501"/>
      <c r="AI1909" s="501"/>
      <c r="AJ1909" s="501"/>
      <c r="AK1909" s="501"/>
      <c r="AL1909" s="501"/>
      <c r="AM1909" s="501"/>
      <c r="AN1909" s="501"/>
      <c r="AO1909" s="501"/>
      <c r="AP1909" s="501"/>
      <c r="AQ1909" s="501"/>
      <c r="AR1909" s="501"/>
      <c r="AS1909" s="501"/>
      <c r="AT1909" s="501"/>
      <c r="AU1909" s="501"/>
      <c r="AV1909" s="501"/>
      <c r="AW1909" s="501"/>
      <c r="AX1909" s="501"/>
      <c r="AY1909" s="501"/>
      <c r="AZ1909" s="501"/>
      <c r="BA1909" s="501"/>
      <c r="BB1909" s="501"/>
      <c r="BC1909" s="501"/>
      <c r="BD1909" s="501"/>
      <c r="BE1909" s="501"/>
      <c r="BF1909" s="501"/>
      <c r="BG1909" s="501"/>
      <c r="BH1909" s="501"/>
      <c r="BI1909" s="501"/>
      <c r="BJ1909" s="501"/>
      <c r="BK1909" s="501"/>
      <c r="BL1909" s="501"/>
      <c r="BM1909" s="501"/>
      <c r="BN1909" s="501"/>
      <c r="BO1909" s="501"/>
      <c r="BP1909" s="501"/>
      <c r="BQ1909" s="501"/>
      <c r="BR1909" s="501"/>
      <c r="BS1909" s="501"/>
      <c r="BT1909" s="501"/>
      <c r="BU1909" s="501"/>
      <c r="BV1909" s="501"/>
      <c r="BW1909" s="501"/>
      <c r="BX1909" s="501"/>
      <c r="BY1909" s="501"/>
      <c r="BZ1909" s="501"/>
      <c r="CA1909" s="501"/>
      <c r="CB1909" s="501"/>
      <c r="CC1909" s="501"/>
      <c r="CD1909" s="501"/>
      <c r="CE1909" s="501"/>
      <c r="CF1909" s="501"/>
      <c r="CG1909" s="501"/>
      <c r="CH1909" s="501"/>
      <c r="CI1909" s="501"/>
      <c r="CJ1909" s="501"/>
      <c r="CK1909" s="501"/>
      <c r="CL1909" s="501"/>
      <c r="CM1909" s="501"/>
      <c r="CN1909" s="501"/>
      <c r="CO1909" s="501"/>
      <c r="CP1909" s="501"/>
      <c r="CQ1909" s="501"/>
      <c r="CR1909" s="501"/>
      <c r="CS1909" s="501"/>
      <c r="CT1909" s="501"/>
      <c r="CU1909" s="501"/>
      <c r="CV1909" s="501"/>
      <c r="CW1909" s="501"/>
      <c r="CX1909" s="501"/>
      <c r="CY1909" s="501"/>
      <c r="CZ1909" s="501"/>
      <c r="DA1909" s="501"/>
      <c r="DB1909" s="501"/>
      <c r="DC1909" s="501"/>
      <c r="DD1909" s="501"/>
      <c r="DE1909" s="501"/>
      <c r="DF1909" s="501"/>
      <c r="DG1909" s="501"/>
      <c r="DH1909" s="501"/>
      <c r="DI1909" s="501"/>
      <c r="DJ1909" s="501"/>
      <c r="DK1909" s="501"/>
      <c r="DL1909" s="501"/>
      <c r="DM1909" s="501"/>
      <c r="DN1909" s="501"/>
      <c r="DO1909" s="501"/>
      <c r="DP1909" s="501"/>
      <c r="DQ1909" s="501"/>
      <c r="DR1909" s="501"/>
      <c r="DS1909" s="501"/>
      <c r="DT1909" s="501"/>
      <c r="DU1909" s="501"/>
      <c r="DV1909" s="501"/>
      <c r="DW1909" s="501"/>
      <c r="DX1909" s="501"/>
      <c r="DY1909" s="501"/>
      <c r="DZ1909" s="501"/>
      <c r="EA1909" s="501"/>
      <c r="EB1909" s="501"/>
      <c r="EC1909" s="501"/>
      <c r="ED1909" s="501"/>
      <c r="EE1909" s="501"/>
      <c r="EF1909" s="501"/>
      <c r="EG1909" s="501"/>
      <c r="EH1909" s="501"/>
      <c r="EI1909" s="501"/>
      <c r="EJ1909" s="501"/>
      <c r="EK1909" s="501"/>
      <c r="EL1909" s="501"/>
      <c r="EM1909" s="501"/>
      <c r="EN1909" s="501"/>
      <c r="EO1909" s="501"/>
      <c r="EP1909" s="501"/>
      <c r="EQ1909" s="501"/>
      <c r="ER1909" s="501"/>
      <c r="ES1909" s="501"/>
      <c r="ET1909" s="501"/>
      <c r="EU1909" s="501"/>
      <c r="EV1909" s="501"/>
      <c r="EW1909" s="501"/>
      <c r="EX1909" s="501"/>
      <c r="EY1909" s="501"/>
      <c r="EZ1909" s="501"/>
      <c r="FA1909" s="501"/>
      <c r="FB1909" s="501"/>
      <c r="FC1909" s="501"/>
      <c r="FD1909" s="501"/>
      <c r="FE1909" s="501"/>
      <c r="FF1909" s="501"/>
      <c r="FG1909" s="501"/>
      <c r="FH1909" s="501"/>
      <c r="FI1909" s="501"/>
      <c r="FJ1909" s="501"/>
      <c r="FK1909" s="501"/>
      <c r="FL1909" s="501"/>
      <c r="FM1909" s="501"/>
      <c r="FN1909" s="501"/>
      <c r="FO1909" s="501"/>
      <c r="FP1909" s="501"/>
      <c r="FQ1909" s="501"/>
      <c r="FR1909" s="501"/>
      <c r="FS1909" s="501"/>
      <c r="FT1909" s="501"/>
      <c r="FU1909" s="501"/>
      <c r="FV1909" s="501"/>
      <c r="FW1909" s="501"/>
      <c r="FX1909" s="501"/>
      <c r="FY1909" s="501"/>
      <c r="FZ1909" s="501"/>
      <c r="GA1909" s="501"/>
      <c r="GB1909" s="501"/>
      <c r="GC1909" s="501"/>
      <c r="GD1909" s="501"/>
      <c r="GE1909" s="501"/>
      <c r="GF1909" s="501"/>
      <c r="GG1909" s="501"/>
      <c r="GH1909" s="501"/>
      <c r="GI1909" s="501"/>
      <c r="GJ1909" s="501"/>
      <c r="GK1909" s="501"/>
      <c r="GL1909" s="501"/>
      <c r="GM1909" s="501"/>
      <c r="GN1909" s="501"/>
      <c r="GO1909" s="501"/>
      <c r="GP1909" s="501"/>
      <c r="GQ1909" s="501"/>
      <c r="GR1909" s="501"/>
      <c r="GS1909" s="501"/>
      <c r="GT1909" s="501"/>
      <c r="GU1909" s="501"/>
      <c r="GV1909" s="501"/>
      <c r="GW1909" s="501"/>
      <c r="GX1909" s="501"/>
      <c r="GY1909" s="501"/>
      <c r="GZ1909" s="501"/>
      <c r="HA1909" s="501"/>
      <c r="HB1909" s="501"/>
      <c r="HC1909" s="501"/>
      <c r="HD1909" s="501"/>
      <c r="HE1909" s="501"/>
      <c r="HF1909" s="501"/>
      <c r="HG1909" s="501"/>
      <c r="HH1909" s="501"/>
      <c r="HI1909" s="501"/>
      <c r="HJ1909" s="501"/>
      <c r="HK1909" s="501"/>
      <c r="HL1909" s="501"/>
      <c r="HM1909" s="501"/>
      <c r="HN1909" s="501"/>
      <c r="HO1909" s="501"/>
      <c r="HP1909" s="501"/>
      <c r="HQ1909" s="501"/>
      <c r="HR1909" s="501"/>
      <c r="HS1909" s="501"/>
      <c r="HT1909" s="501"/>
      <c r="HU1909" s="501"/>
      <c r="HV1909" s="501"/>
      <c r="HW1909" s="501"/>
      <c r="HX1909" s="501"/>
      <c r="HY1909" s="501"/>
      <c r="HZ1909" s="501"/>
      <c r="IA1909" s="501"/>
      <c r="IB1909" s="501"/>
      <c r="IC1909" s="501"/>
      <c r="ID1909" s="501"/>
      <c r="IE1909" s="501"/>
      <c r="IF1909" s="501"/>
      <c r="IG1909" s="501"/>
      <c r="IH1909" s="501"/>
      <c r="II1909" s="501"/>
      <c r="IJ1909" s="501"/>
      <c r="IK1909" s="501"/>
      <c r="IL1909" s="501"/>
      <c r="IM1909" s="501"/>
      <c r="IN1909" s="501"/>
      <c r="IO1909" s="501"/>
      <c r="IP1909" s="501"/>
      <c r="IQ1909" s="501"/>
      <c r="IR1909" s="501"/>
      <c r="IS1909" s="501"/>
      <c r="IT1909" s="501"/>
      <c r="IU1909" s="501"/>
    </row>
    <row r="1910" spans="1:255" s="877" customFormat="1" ht="24" customHeight="1">
      <c r="A1910" s="501"/>
      <c r="B1910" s="501"/>
      <c r="C1910" s="501"/>
      <c r="D1910" s="501"/>
      <c r="E1910" s="501"/>
      <c r="F1910" s="501"/>
      <c r="G1910" s="915"/>
      <c r="H1910" s="501"/>
      <c r="I1910" s="874"/>
      <c r="J1910" s="876"/>
      <c r="K1910" s="501"/>
      <c r="L1910" s="874"/>
      <c r="M1910" s="882"/>
      <c r="N1910" s="501"/>
      <c r="O1910" s="501"/>
      <c r="P1910" s="501"/>
      <c r="Q1910" s="501"/>
      <c r="R1910" s="501"/>
      <c r="S1910" s="501"/>
      <c r="T1910" s="501"/>
      <c r="V1910" s="902"/>
      <c r="W1910" s="501"/>
      <c r="X1910" s="876"/>
      <c r="Y1910" s="874"/>
      <c r="Z1910" s="881"/>
      <c r="AA1910" s="501"/>
      <c r="AB1910" s="501"/>
      <c r="AC1910" s="501"/>
      <c r="AD1910" s="501"/>
      <c r="AE1910" s="501"/>
      <c r="AF1910" s="501"/>
      <c r="AG1910" s="501"/>
      <c r="AH1910" s="501"/>
      <c r="AI1910" s="501"/>
      <c r="AJ1910" s="501"/>
      <c r="AK1910" s="501"/>
      <c r="AL1910" s="501"/>
      <c r="AM1910" s="501"/>
      <c r="AN1910" s="501"/>
      <c r="AO1910" s="501"/>
      <c r="AP1910" s="501"/>
      <c r="AQ1910" s="501"/>
      <c r="AR1910" s="501"/>
      <c r="AS1910" s="501"/>
      <c r="AT1910" s="501"/>
      <c r="AU1910" s="501"/>
      <c r="AV1910" s="501"/>
      <c r="AW1910" s="501"/>
      <c r="AX1910" s="501"/>
      <c r="AY1910" s="501"/>
      <c r="AZ1910" s="501"/>
      <c r="BA1910" s="501"/>
      <c r="BB1910" s="501"/>
      <c r="BC1910" s="501"/>
      <c r="BD1910" s="501"/>
      <c r="BE1910" s="501"/>
      <c r="BF1910" s="501"/>
      <c r="BG1910" s="501"/>
      <c r="BH1910" s="501"/>
      <c r="BI1910" s="501"/>
      <c r="BJ1910" s="501"/>
      <c r="BK1910" s="501"/>
      <c r="BL1910" s="501"/>
      <c r="BM1910" s="501"/>
      <c r="BN1910" s="501"/>
      <c r="BO1910" s="501"/>
      <c r="BP1910" s="501"/>
      <c r="BQ1910" s="501"/>
      <c r="BR1910" s="501"/>
      <c r="BS1910" s="501"/>
      <c r="BT1910" s="501"/>
      <c r="BU1910" s="501"/>
      <c r="BV1910" s="501"/>
      <c r="BW1910" s="501"/>
      <c r="BX1910" s="501"/>
      <c r="BY1910" s="501"/>
      <c r="BZ1910" s="501"/>
      <c r="CA1910" s="501"/>
      <c r="CB1910" s="501"/>
      <c r="CC1910" s="501"/>
      <c r="CD1910" s="501"/>
      <c r="CE1910" s="501"/>
      <c r="CF1910" s="501"/>
      <c r="CG1910" s="501"/>
      <c r="CH1910" s="501"/>
      <c r="CI1910" s="501"/>
      <c r="CJ1910" s="501"/>
      <c r="CK1910" s="501"/>
      <c r="CL1910" s="501"/>
      <c r="CM1910" s="501"/>
      <c r="CN1910" s="501"/>
      <c r="CO1910" s="501"/>
      <c r="CP1910" s="501"/>
      <c r="CQ1910" s="501"/>
      <c r="CR1910" s="501"/>
      <c r="CS1910" s="501"/>
      <c r="CT1910" s="501"/>
      <c r="CU1910" s="501"/>
      <c r="CV1910" s="501"/>
      <c r="CW1910" s="501"/>
      <c r="CX1910" s="501"/>
      <c r="CY1910" s="501"/>
      <c r="CZ1910" s="501"/>
      <c r="DA1910" s="501"/>
      <c r="DB1910" s="501"/>
      <c r="DC1910" s="501"/>
      <c r="DD1910" s="501"/>
      <c r="DE1910" s="501"/>
      <c r="DF1910" s="501"/>
      <c r="DG1910" s="501"/>
      <c r="DH1910" s="501"/>
      <c r="DI1910" s="501"/>
      <c r="DJ1910" s="501"/>
      <c r="DK1910" s="501"/>
      <c r="DL1910" s="501"/>
      <c r="DM1910" s="501"/>
      <c r="DN1910" s="501"/>
      <c r="DO1910" s="501"/>
      <c r="DP1910" s="501"/>
      <c r="DQ1910" s="501"/>
      <c r="DR1910" s="501"/>
      <c r="DS1910" s="501"/>
      <c r="DT1910" s="501"/>
      <c r="DU1910" s="501"/>
      <c r="DV1910" s="501"/>
      <c r="DW1910" s="501"/>
      <c r="DX1910" s="501"/>
      <c r="DY1910" s="501"/>
      <c r="DZ1910" s="501"/>
      <c r="EA1910" s="501"/>
      <c r="EB1910" s="501"/>
      <c r="EC1910" s="501"/>
      <c r="ED1910" s="501"/>
      <c r="EE1910" s="501"/>
      <c r="EF1910" s="501"/>
      <c r="EG1910" s="501"/>
      <c r="EH1910" s="501"/>
      <c r="EI1910" s="501"/>
      <c r="EJ1910" s="501"/>
      <c r="EK1910" s="501"/>
      <c r="EL1910" s="501"/>
      <c r="EM1910" s="501"/>
      <c r="EN1910" s="501"/>
      <c r="EO1910" s="501"/>
      <c r="EP1910" s="501"/>
      <c r="EQ1910" s="501"/>
      <c r="ER1910" s="501"/>
      <c r="ES1910" s="501"/>
      <c r="ET1910" s="501"/>
      <c r="EU1910" s="501"/>
      <c r="EV1910" s="501"/>
      <c r="EW1910" s="501"/>
      <c r="EX1910" s="501"/>
      <c r="EY1910" s="501"/>
      <c r="EZ1910" s="501"/>
      <c r="FA1910" s="501"/>
      <c r="FB1910" s="501"/>
      <c r="FC1910" s="501"/>
      <c r="FD1910" s="501"/>
      <c r="FE1910" s="501"/>
      <c r="FF1910" s="501"/>
      <c r="FG1910" s="501"/>
      <c r="FH1910" s="501"/>
      <c r="FI1910" s="501"/>
      <c r="FJ1910" s="501"/>
      <c r="FK1910" s="501"/>
      <c r="FL1910" s="501"/>
      <c r="FM1910" s="501"/>
      <c r="FN1910" s="501"/>
      <c r="FO1910" s="501"/>
      <c r="FP1910" s="501"/>
      <c r="FQ1910" s="501"/>
      <c r="FR1910" s="501"/>
      <c r="FS1910" s="501"/>
      <c r="FT1910" s="501"/>
      <c r="FU1910" s="501"/>
      <c r="FV1910" s="501"/>
      <c r="FW1910" s="501"/>
      <c r="FX1910" s="501"/>
      <c r="FY1910" s="501"/>
      <c r="FZ1910" s="501"/>
      <c r="GA1910" s="501"/>
      <c r="GB1910" s="501"/>
      <c r="GC1910" s="501"/>
      <c r="GD1910" s="501"/>
      <c r="GE1910" s="501"/>
      <c r="GF1910" s="501"/>
      <c r="GG1910" s="501"/>
      <c r="GH1910" s="501"/>
      <c r="GI1910" s="501"/>
      <c r="GJ1910" s="501"/>
      <c r="GK1910" s="501"/>
      <c r="GL1910" s="501"/>
      <c r="GM1910" s="501"/>
      <c r="GN1910" s="501"/>
      <c r="GO1910" s="501"/>
      <c r="GP1910" s="501"/>
      <c r="GQ1910" s="501"/>
      <c r="GR1910" s="501"/>
      <c r="GS1910" s="501"/>
      <c r="GT1910" s="501"/>
      <c r="GU1910" s="501"/>
      <c r="GV1910" s="501"/>
      <c r="GW1910" s="501"/>
      <c r="GX1910" s="501"/>
      <c r="GY1910" s="501"/>
      <c r="GZ1910" s="501"/>
      <c r="HA1910" s="501"/>
      <c r="HB1910" s="501"/>
      <c r="HC1910" s="501"/>
      <c r="HD1910" s="501"/>
      <c r="HE1910" s="501"/>
      <c r="HF1910" s="501"/>
      <c r="HG1910" s="501"/>
      <c r="HH1910" s="501"/>
      <c r="HI1910" s="501"/>
      <c r="HJ1910" s="501"/>
      <c r="HK1910" s="501"/>
      <c r="HL1910" s="501"/>
      <c r="HM1910" s="501"/>
      <c r="HN1910" s="501"/>
      <c r="HO1910" s="501"/>
      <c r="HP1910" s="501"/>
      <c r="HQ1910" s="501"/>
      <c r="HR1910" s="501"/>
      <c r="HS1910" s="501"/>
      <c r="HT1910" s="501"/>
      <c r="HU1910" s="501"/>
      <c r="HV1910" s="501"/>
      <c r="HW1910" s="501"/>
      <c r="HX1910" s="501"/>
      <c r="HY1910" s="501"/>
      <c r="HZ1910" s="501"/>
      <c r="IA1910" s="501"/>
      <c r="IB1910" s="501"/>
      <c r="IC1910" s="501"/>
      <c r="ID1910" s="501"/>
      <c r="IE1910" s="501"/>
      <c r="IF1910" s="501"/>
      <c r="IG1910" s="501"/>
      <c r="IH1910" s="501"/>
      <c r="II1910" s="501"/>
      <c r="IJ1910" s="501"/>
      <c r="IK1910" s="501"/>
      <c r="IL1910" s="501"/>
      <c r="IM1910" s="501"/>
      <c r="IN1910" s="501"/>
      <c r="IO1910" s="501"/>
      <c r="IP1910" s="501"/>
      <c r="IQ1910" s="501"/>
      <c r="IR1910" s="501"/>
      <c r="IS1910" s="501"/>
      <c r="IT1910" s="501"/>
      <c r="IU1910" s="501"/>
    </row>
    <row r="1911" spans="1:255" s="877" customFormat="1" ht="24" customHeight="1">
      <c r="A1911" s="501"/>
      <c r="B1911" s="501"/>
      <c r="C1911" s="501"/>
      <c r="D1911" s="501"/>
      <c r="E1911" s="501"/>
      <c r="F1911" s="501"/>
      <c r="G1911" s="915"/>
      <c r="H1911" s="501"/>
      <c r="I1911" s="874"/>
      <c r="J1911" s="501"/>
      <c r="K1911" s="501"/>
      <c r="L1911" s="874"/>
      <c r="M1911" s="882"/>
      <c r="N1911" s="501"/>
      <c r="O1911" s="501"/>
      <c r="P1911" s="501"/>
      <c r="Q1911" s="501"/>
      <c r="R1911" s="501"/>
      <c r="S1911" s="501"/>
      <c r="T1911" s="501"/>
      <c r="V1911" s="902"/>
      <c r="W1911" s="876"/>
      <c r="X1911" s="501"/>
      <c r="Y1911" s="874"/>
      <c r="Z1911" s="892"/>
      <c r="AA1911" s="501"/>
      <c r="AB1911" s="501"/>
      <c r="AC1911" s="501"/>
      <c r="AD1911" s="501"/>
      <c r="AE1911" s="501"/>
      <c r="AF1911" s="501"/>
      <c r="AG1911" s="501"/>
      <c r="AH1911" s="501"/>
      <c r="AI1911" s="501"/>
      <c r="AJ1911" s="501"/>
      <c r="AK1911" s="501"/>
      <c r="AL1911" s="501"/>
      <c r="AM1911" s="501"/>
      <c r="AN1911" s="501"/>
      <c r="AO1911" s="501"/>
      <c r="AP1911" s="501"/>
      <c r="AQ1911" s="501"/>
      <c r="AR1911" s="501"/>
      <c r="AS1911" s="501"/>
      <c r="AT1911" s="501"/>
      <c r="AU1911" s="501"/>
      <c r="AV1911" s="501"/>
      <c r="AW1911" s="501"/>
      <c r="AX1911" s="501"/>
      <c r="AY1911" s="501"/>
      <c r="AZ1911" s="501"/>
      <c r="BA1911" s="501"/>
      <c r="BB1911" s="501"/>
      <c r="BC1911" s="501"/>
      <c r="BD1911" s="501"/>
      <c r="BE1911" s="501"/>
      <c r="BF1911" s="501"/>
      <c r="BG1911" s="501"/>
      <c r="BH1911" s="501"/>
      <c r="BI1911" s="501"/>
      <c r="BJ1911" s="501"/>
      <c r="BK1911" s="501"/>
      <c r="BL1911" s="501"/>
      <c r="BM1911" s="501"/>
      <c r="BN1911" s="501"/>
      <c r="BO1911" s="501"/>
      <c r="BP1911" s="501"/>
      <c r="BQ1911" s="501"/>
      <c r="BR1911" s="501"/>
      <c r="BS1911" s="501"/>
      <c r="BT1911" s="501"/>
      <c r="BU1911" s="501"/>
      <c r="BV1911" s="501"/>
      <c r="BW1911" s="501"/>
      <c r="BX1911" s="501"/>
      <c r="BY1911" s="501"/>
      <c r="BZ1911" s="501"/>
      <c r="CA1911" s="501"/>
      <c r="CB1911" s="501"/>
      <c r="CC1911" s="501"/>
      <c r="CD1911" s="501"/>
      <c r="CE1911" s="501"/>
      <c r="CF1911" s="501"/>
      <c r="CG1911" s="501"/>
      <c r="CH1911" s="501"/>
      <c r="CI1911" s="501"/>
      <c r="CJ1911" s="501"/>
      <c r="CK1911" s="501"/>
      <c r="CL1911" s="501"/>
      <c r="CM1911" s="501"/>
      <c r="CN1911" s="501"/>
      <c r="CO1911" s="501"/>
      <c r="CP1911" s="501"/>
      <c r="CQ1911" s="501"/>
      <c r="CR1911" s="501"/>
      <c r="CS1911" s="501"/>
      <c r="CT1911" s="501"/>
      <c r="CU1911" s="501"/>
      <c r="CV1911" s="501"/>
      <c r="CW1911" s="501"/>
      <c r="CX1911" s="501"/>
      <c r="CY1911" s="501"/>
      <c r="CZ1911" s="501"/>
      <c r="DA1911" s="501"/>
      <c r="DB1911" s="501"/>
      <c r="DC1911" s="501"/>
      <c r="DD1911" s="501"/>
      <c r="DE1911" s="501"/>
      <c r="DF1911" s="501"/>
      <c r="DG1911" s="501"/>
      <c r="DH1911" s="501"/>
      <c r="DI1911" s="501"/>
      <c r="DJ1911" s="501"/>
      <c r="DK1911" s="501"/>
      <c r="DL1911" s="501"/>
      <c r="DM1911" s="501"/>
      <c r="DN1911" s="501"/>
      <c r="DO1911" s="501"/>
      <c r="DP1911" s="501"/>
      <c r="DQ1911" s="501"/>
      <c r="DR1911" s="501"/>
      <c r="DS1911" s="501"/>
      <c r="DT1911" s="501"/>
      <c r="DU1911" s="501"/>
      <c r="DV1911" s="501"/>
      <c r="DW1911" s="501"/>
      <c r="DX1911" s="501"/>
      <c r="DY1911" s="501"/>
      <c r="DZ1911" s="501"/>
      <c r="EA1911" s="501"/>
      <c r="EB1911" s="501"/>
      <c r="EC1911" s="501"/>
      <c r="ED1911" s="501"/>
      <c r="EE1911" s="501"/>
      <c r="EF1911" s="501"/>
      <c r="EG1911" s="501"/>
      <c r="EH1911" s="501"/>
      <c r="EI1911" s="501"/>
      <c r="EJ1911" s="501"/>
      <c r="EK1911" s="501"/>
      <c r="EL1911" s="501"/>
      <c r="EM1911" s="501"/>
      <c r="EN1911" s="501"/>
      <c r="EO1911" s="501"/>
      <c r="EP1911" s="501"/>
      <c r="EQ1911" s="501"/>
      <c r="ER1911" s="501"/>
      <c r="ES1911" s="501"/>
      <c r="ET1911" s="501"/>
      <c r="EU1911" s="501"/>
      <c r="EV1911" s="501"/>
      <c r="EW1911" s="501"/>
      <c r="EX1911" s="501"/>
      <c r="EY1911" s="501"/>
      <c r="EZ1911" s="501"/>
      <c r="FA1911" s="501"/>
      <c r="FB1911" s="501"/>
      <c r="FC1911" s="501"/>
      <c r="FD1911" s="501"/>
      <c r="FE1911" s="501"/>
      <c r="FF1911" s="501"/>
      <c r="FG1911" s="501"/>
      <c r="FH1911" s="501"/>
      <c r="FI1911" s="501"/>
      <c r="FJ1911" s="501"/>
      <c r="FK1911" s="501"/>
      <c r="FL1911" s="501"/>
      <c r="FM1911" s="501"/>
      <c r="FN1911" s="501"/>
      <c r="FO1911" s="501"/>
      <c r="FP1911" s="501"/>
      <c r="FQ1911" s="501"/>
      <c r="FR1911" s="501"/>
      <c r="FS1911" s="501"/>
      <c r="FT1911" s="501"/>
      <c r="FU1911" s="501"/>
      <c r="FV1911" s="501"/>
      <c r="FW1911" s="501"/>
      <c r="FX1911" s="501"/>
      <c r="FY1911" s="501"/>
      <c r="FZ1911" s="501"/>
      <c r="GA1911" s="501"/>
      <c r="GB1911" s="501"/>
      <c r="GC1911" s="501"/>
      <c r="GD1911" s="501"/>
      <c r="GE1911" s="501"/>
      <c r="GF1911" s="501"/>
      <c r="GG1911" s="501"/>
      <c r="GH1911" s="501"/>
      <c r="GI1911" s="501"/>
      <c r="GJ1911" s="501"/>
      <c r="GK1911" s="501"/>
      <c r="GL1911" s="501"/>
      <c r="GM1911" s="501"/>
      <c r="GN1911" s="501"/>
      <c r="GO1911" s="501"/>
      <c r="GP1911" s="501"/>
      <c r="GQ1911" s="501"/>
      <c r="GR1911" s="501"/>
      <c r="GS1911" s="501"/>
      <c r="GT1911" s="501"/>
      <c r="GU1911" s="501"/>
      <c r="GV1911" s="501"/>
      <c r="GW1911" s="501"/>
      <c r="GX1911" s="501"/>
      <c r="GY1911" s="501"/>
      <c r="GZ1911" s="501"/>
      <c r="HA1911" s="501"/>
      <c r="HB1911" s="501"/>
      <c r="HC1911" s="501"/>
      <c r="HD1911" s="501"/>
      <c r="HE1911" s="501"/>
      <c r="HF1911" s="501"/>
      <c r="HG1911" s="501"/>
      <c r="HH1911" s="501"/>
      <c r="HI1911" s="501"/>
      <c r="HJ1911" s="501"/>
      <c r="HK1911" s="501"/>
      <c r="HL1911" s="501"/>
      <c r="HM1911" s="501"/>
      <c r="HN1911" s="501"/>
      <c r="HO1911" s="501"/>
      <c r="HP1911" s="501"/>
      <c r="HQ1911" s="501"/>
      <c r="HR1911" s="501"/>
      <c r="HS1911" s="501"/>
      <c r="HT1911" s="501"/>
      <c r="HU1911" s="501"/>
      <c r="HV1911" s="501"/>
      <c r="HW1911" s="501"/>
      <c r="HX1911" s="501"/>
      <c r="HY1911" s="501"/>
      <c r="HZ1911" s="501"/>
      <c r="IA1911" s="501"/>
      <c r="IB1911" s="501"/>
      <c r="IC1911" s="501"/>
      <c r="ID1911" s="501"/>
      <c r="IE1911" s="501"/>
      <c r="IF1911" s="501"/>
      <c r="IG1911" s="501"/>
      <c r="IH1911" s="501"/>
      <c r="II1911" s="501"/>
      <c r="IJ1911" s="501"/>
      <c r="IK1911" s="501"/>
      <c r="IL1911" s="501"/>
      <c r="IM1911" s="501"/>
      <c r="IN1911" s="501"/>
      <c r="IO1911" s="501"/>
      <c r="IP1911" s="501"/>
      <c r="IQ1911" s="501"/>
      <c r="IR1911" s="501"/>
      <c r="IS1911" s="501"/>
      <c r="IT1911" s="501"/>
      <c r="IU1911" s="501"/>
    </row>
    <row r="1912" spans="1:255" s="877" customFormat="1" ht="24" customHeight="1">
      <c r="A1912" s="501"/>
      <c r="B1912" s="501"/>
      <c r="C1912" s="501"/>
      <c r="D1912" s="501"/>
      <c r="E1912" s="501"/>
      <c r="F1912" s="501"/>
      <c r="G1912" s="915"/>
      <c r="H1912" s="501"/>
      <c r="I1912" s="874"/>
      <c r="J1912" s="501"/>
      <c r="K1912" s="876"/>
      <c r="L1912" s="874"/>
      <c r="M1912" s="882"/>
      <c r="N1912" s="501"/>
      <c r="O1912" s="501"/>
      <c r="P1912" s="501"/>
      <c r="Q1912" s="501"/>
      <c r="R1912" s="501"/>
      <c r="S1912" s="501"/>
      <c r="T1912" s="501"/>
      <c r="V1912" s="902"/>
      <c r="W1912" s="501"/>
      <c r="X1912" s="876"/>
      <c r="Y1912" s="874"/>
      <c r="Z1912" s="881"/>
      <c r="AA1912" s="501"/>
      <c r="AB1912" s="501"/>
      <c r="AC1912" s="501"/>
      <c r="AD1912" s="501"/>
      <c r="AE1912" s="501"/>
      <c r="AF1912" s="501"/>
      <c r="AG1912" s="501"/>
      <c r="AH1912" s="501"/>
      <c r="AI1912" s="501"/>
      <c r="AJ1912" s="501"/>
      <c r="AK1912" s="501"/>
      <c r="AL1912" s="501"/>
      <c r="AM1912" s="501"/>
      <c r="AN1912" s="501"/>
      <c r="AO1912" s="501"/>
      <c r="AP1912" s="501"/>
      <c r="AQ1912" s="501"/>
      <c r="AR1912" s="501"/>
      <c r="AS1912" s="501"/>
      <c r="AT1912" s="501"/>
      <c r="AU1912" s="501"/>
      <c r="AV1912" s="501"/>
      <c r="AW1912" s="501"/>
      <c r="AX1912" s="501"/>
      <c r="AY1912" s="501"/>
      <c r="AZ1912" s="501"/>
      <c r="BA1912" s="501"/>
      <c r="BB1912" s="501"/>
      <c r="BC1912" s="501"/>
      <c r="BD1912" s="501"/>
      <c r="BE1912" s="501"/>
      <c r="BF1912" s="501"/>
      <c r="BG1912" s="501"/>
      <c r="BH1912" s="501"/>
      <c r="BI1912" s="501"/>
      <c r="BJ1912" s="501"/>
      <c r="BK1912" s="501"/>
      <c r="BL1912" s="501"/>
      <c r="BM1912" s="501"/>
      <c r="BN1912" s="501"/>
      <c r="BO1912" s="501"/>
      <c r="BP1912" s="501"/>
      <c r="BQ1912" s="501"/>
      <c r="BR1912" s="501"/>
      <c r="BS1912" s="501"/>
      <c r="BT1912" s="501"/>
      <c r="BU1912" s="501"/>
      <c r="BV1912" s="501"/>
      <c r="BW1912" s="501"/>
      <c r="BX1912" s="501"/>
      <c r="BY1912" s="501"/>
      <c r="BZ1912" s="501"/>
      <c r="CA1912" s="501"/>
      <c r="CB1912" s="501"/>
      <c r="CC1912" s="501"/>
      <c r="CD1912" s="501"/>
      <c r="CE1912" s="501"/>
      <c r="CF1912" s="501"/>
      <c r="CG1912" s="501"/>
      <c r="CH1912" s="501"/>
      <c r="CI1912" s="501"/>
      <c r="CJ1912" s="501"/>
      <c r="CK1912" s="501"/>
      <c r="CL1912" s="501"/>
      <c r="CM1912" s="501"/>
      <c r="CN1912" s="501"/>
      <c r="CO1912" s="501"/>
      <c r="CP1912" s="501"/>
      <c r="CQ1912" s="501"/>
      <c r="CR1912" s="501"/>
      <c r="CS1912" s="501"/>
      <c r="CT1912" s="501"/>
      <c r="CU1912" s="501"/>
      <c r="CV1912" s="501"/>
      <c r="CW1912" s="501"/>
      <c r="CX1912" s="501"/>
      <c r="CY1912" s="501"/>
      <c r="CZ1912" s="501"/>
      <c r="DA1912" s="501"/>
      <c r="DB1912" s="501"/>
      <c r="DC1912" s="501"/>
      <c r="DD1912" s="501"/>
      <c r="DE1912" s="501"/>
      <c r="DF1912" s="501"/>
      <c r="DG1912" s="501"/>
      <c r="DH1912" s="501"/>
      <c r="DI1912" s="501"/>
      <c r="DJ1912" s="501"/>
      <c r="DK1912" s="501"/>
      <c r="DL1912" s="501"/>
      <c r="DM1912" s="501"/>
      <c r="DN1912" s="501"/>
      <c r="DO1912" s="501"/>
      <c r="DP1912" s="501"/>
      <c r="DQ1912" s="501"/>
      <c r="DR1912" s="501"/>
      <c r="DS1912" s="501"/>
      <c r="DT1912" s="501"/>
      <c r="DU1912" s="501"/>
      <c r="DV1912" s="501"/>
      <c r="DW1912" s="501"/>
      <c r="DX1912" s="501"/>
      <c r="DY1912" s="501"/>
      <c r="DZ1912" s="501"/>
      <c r="EA1912" s="501"/>
      <c r="EB1912" s="501"/>
      <c r="EC1912" s="501"/>
      <c r="ED1912" s="501"/>
      <c r="EE1912" s="501"/>
      <c r="EF1912" s="501"/>
      <c r="EG1912" s="501"/>
      <c r="EH1912" s="501"/>
      <c r="EI1912" s="501"/>
      <c r="EJ1912" s="501"/>
      <c r="EK1912" s="501"/>
      <c r="EL1912" s="501"/>
      <c r="EM1912" s="501"/>
      <c r="EN1912" s="501"/>
      <c r="EO1912" s="501"/>
      <c r="EP1912" s="501"/>
      <c r="EQ1912" s="501"/>
      <c r="ER1912" s="501"/>
      <c r="ES1912" s="501"/>
      <c r="ET1912" s="501"/>
      <c r="EU1912" s="501"/>
      <c r="EV1912" s="501"/>
      <c r="EW1912" s="501"/>
      <c r="EX1912" s="501"/>
      <c r="EY1912" s="501"/>
      <c r="EZ1912" s="501"/>
      <c r="FA1912" s="501"/>
      <c r="FB1912" s="501"/>
      <c r="FC1912" s="501"/>
      <c r="FD1912" s="501"/>
      <c r="FE1912" s="501"/>
      <c r="FF1912" s="501"/>
      <c r="FG1912" s="501"/>
      <c r="FH1912" s="501"/>
      <c r="FI1912" s="501"/>
      <c r="FJ1912" s="501"/>
      <c r="FK1912" s="501"/>
      <c r="FL1912" s="501"/>
      <c r="FM1912" s="501"/>
      <c r="FN1912" s="501"/>
      <c r="FO1912" s="501"/>
      <c r="FP1912" s="501"/>
      <c r="FQ1912" s="501"/>
      <c r="FR1912" s="501"/>
      <c r="FS1912" s="501"/>
      <c r="FT1912" s="501"/>
      <c r="FU1912" s="501"/>
      <c r="FV1912" s="501"/>
      <c r="FW1912" s="501"/>
      <c r="FX1912" s="501"/>
      <c r="FY1912" s="501"/>
      <c r="FZ1912" s="501"/>
      <c r="GA1912" s="501"/>
      <c r="GB1912" s="501"/>
      <c r="GC1912" s="501"/>
      <c r="GD1912" s="501"/>
      <c r="GE1912" s="501"/>
      <c r="GF1912" s="501"/>
      <c r="GG1912" s="501"/>
      <c r="GH1912" s="501"/>
      <c r="GI1912" s="501"/>
      <c r="GJ1912" s="501"/>
      <c r="GK1912" s="501"/>
      <c r="GL1912" s="501"/>
      <c r="GM1912" s="501"/>
      <c r="GN1912" s="501"/>
      <c r="GO1912" s="501"/>
      <c r="GP1912" s="501"/>
      <c r="GQ1912" s="501"/>
      <c r="GR1912" s="501"/>
      <c r="GS1912" s="501"/>
      <c r="GT1912" s="501"/>
      <c r="GU1912" s="501"/>
      <c r="GV1912" s="501"/>
      <c r="GW1912" s="501"/>
      <c r="GX1912" s="501"/>
      <c r="GY1912" s="501"/>
      <c r="GZ1912" s="501"/>
      <c r="HA1912" s="501"/>
      <c r="HB1912" s="501"/>
      <c r="HC1912" s="501"/>
      <c r="HD1912" s="501"/>
      <c r="HE1912" s="501"/>
      <c r="HF1912" s="501"/>
      <c r="HG1912" s="501"/>
      <c r="HH1912" s="501"/>
      <c r="HI1912" s="501"/>
      <c r="HJ1912" s="501"/>
      <c r="HK1912" s="501"/>
      <c r="HL1912" s="501"/>
      <c r="HM1912" s="501"/>
      <c r="HN1912" s="501"/>
      <c r="HO1912" s="501"/>
      <c r="HP1912" s="501"/>
      <c r="HQ1912" s="501"/>
      <c r="HR1912" s="501"/>
      <c r="HS1912" s="501"/>
      <c r="HT1912" s="501"/>
      <c r="HU1912" s="501"/>
      <c r="HV1912" s="501"/>
      <c r="HW1912" s="501"/>
      <c r="HX1912" s="501"/>
      <c r="HY1912" s="501"/>
      <c r="HZ1912" s="501"/>
      <c r="IA1912" s="501"/>
      <c r="IB1912" s="501"/>
      <c r="IC1912" s="501"/>
      <c r="ID1912" s="501"/>
      <c r="IE1912" s="501"/>
      <c r="IF1912" s="501"/>
      <c r="IG1912" s="501"/>
      <c r="IH1912" s="501"/>
      <c r="II1912" s="501"/>
      <c r="IJ1912" s="501"/>
      <c r="IK1912" s="501"/>
      <c r="IL1912" s="501"/>
      <c r="IM1912" s="501"/>
      <c r="IN1912" s="501"/>
      <c r="IO1912" s="501"/>
      <c r="IP1912" s="501"/>
      <c r="IQ1912" s="501"/>
      <c r="IR1912" s="501"/>
      <c r="IS1912" s="501"/>
      <c r="IT1912" s="501"/>
      <c r="IU1912" s="501"/>
    </row>
    <row r="1913" spans="1:255" s="877" customFormat="1" ht="24" customHeight="1">
      <c r="A1913" s="501"/>
      <c r="B1913" s="501"/>
      <c r="C1913" s="501"/>
      <c r="D1913" s="501"/>
      <c r="E1913" s="501"/>
      <c r="F1913" s="501"/>
      <c r="G1913" s="915"/>
      <c r="H1913" s="501"/>
      <c r="I1913" s="874"/>
      <c r="J1913" s="501"/>
      <c r="K1913" s="876"/>
      <c r="L1913" s="874"/>
      <c r="M1913" s="882"/>
      <c r="N1913" s="501"/>
      <c r="O1913" s="501"/>
      <c r="P1913" s="501"/>
      <c r="Q1913" s="501"/>
      <c r="R1913" s="501"/>
      <c r="S1913" s="501"/>
      <c r="T1913" s="501"/>
      <c r="V1913" s="901"/>
      <c r="W1913" s="876"/>
      <c r="X1913" s="501"/>
      <c r="Y1913" s="874"/>
      <c r="Z1913" s="501"/>
      <c r="AA1913" s="501"/>
      <c r="AB1913" s="501"/>
      <c r="AC1913" s="501"/>
      <c r="AD1913" s="501"/>
      <c r="AE1913" s="501"/>
      <c r="AF1913" s="501"/>
      <c r="AG1913" s="501"/>
      <c r="AH1913" s="501"/>
      <c r="AI1913" s="501"/>
      <c r="AJ1913" s="501"/>
      <c r="AK1913" s="501"/>
      <c r="AL1913" s="501"/>
      <c r="AM1913" s="501"/>
      <c r="AN1913" s="501"/>
      <c r="AO1913" s="501"/>
      <c r="AP1913" s="501"/>
      <c r="AQ1913" s="501"/>
      <c r="AR1913" s="501"/>
      <c r="AS1913" s="501"/>
      <c r="AT1913" s="501"/>
      <c r="AU1913" s="501"/>
      <c r="AV1913" s="501"/>
      <c r="AW1913" s="501"/>
      <c r="AX1913" s="501"/>
      <c r="AY1913" s="501"/>
      <c r="AZ1913" s="501"/>
      <c r="BA1913" s="501"/>
      <c r="BB1913" s="501"/>
      <c r="BC1913" s="501"/>
      <c r="BD1913" s="501"/>
      <c r="BE1913" s="501"/>
      <c r="BF1913" s="501"/>
      <c r="BG1913" s="501"/>
      <c r="BH1913" s="501"/>
      <c r="BI1913" s="501"/>
      <c r="BJ1913" s="501"/>
      <c r="BK1913" s="501"/>
      <c r="BL1913" s="501"/>
      <c r="BM1913" s="501"/>
      <c r="BN1913" s="501"/>
      <c r="BO1913" s="501"/>
      <c r="BP1913" s="501"/>
      <c r="BQ1913" s="501"/>
      <c r="BR1913" s="501"/>
      <c r="BS1913" s="501"/>
      <c r="BT1913" s="501"/>
      <c r="BU1913" s="501"/>
      <c r="BV1913" s="501"/>
      <c r="BW1913" s="501"/>
      <c r="BX1913" s="501"/>
      <c r="BY1913" s="501"/>
      <c r="BZ1913" s="501"/>
      <c r="CA1913" s="501"/>
      <c r="CB1913" s="501"/>
      <c r="CC1913" s="501"/>
      <c r="CD1913" s="501"/>
      <c r="CE1913" s="501"/>
      <c r="CF1913" s="501"/>
      <c r="CG1913" s="501"/>
      <c r="CH1913" s="501"/>
      <c r="CI1913" s="501"/>
      <c r="CJ1913" s="501"/>
      <c r="CK1913" s="501"/>
      <c r="CL1913" s="501"/>
      <c r="CM1913" s="501"/>
      <c r="CN1913" s="501"/>
      <c r="CO1913" s="501"/>
      <c r="CP1913" s="501"/>
      <c r="CQ1913" s="501"/>
      <c r="CR1913" s="501"/>
      <c r="CS1913" s="501"/>
      <c r="CT1913" s="501"/>
      <c r="CU1913" s="501"/>
      <c r="CV1913" s="501"/>
      <c r="CW1913" s="501"/>
      <c r="CX1913" s="501"/>
      <c r="CY1913" s="501"/>
      <c r="CZ1913" s="501"/>
      <c r="DA1913" s="501"/>
      <c r="DB1913" s="501"/>
      <c r="DC1913" s="501"/>
      <c r="DD1913" s="501"/>
      <c r="DE1913" s="501"/>
      <c r="DF1913" s="501"/>
      <c r="DG1913" s="501"/>
      <c r="DH1913" s="501"/>
      <c r="DI1913" s="501"/>
      <c r="DJ1913" s="501"/>
      <c r="DK1913" s="501"/>
      <c r="DL1913" s="501"/>
      <c r="DM1913" s="501"/>
      <c r="DN1913" s="501"/>
      <c r="DO1913" s="501"/>
      <c r="DP1913" s="501"/>
      <c r="DQ1913" s="501"/>
      <c r="DR1913" s="501"/>
      <c r="DS1913" s="501"/>
      <c r="DT1913" s="501"/>
      <c r="DU1913" s="501"/>
      <c r="DV1913" s="501"/>
      <c r="DW1913" s="501"/>
      <c r="DX1913" s="501"/>
      <c r="DY1913" s="501"/>
      <c r="DZ1913" s="501"/>
      <c r="EA1913" s="501"/>
      <c r="EB1913" s="501"/>
      <c r="EC1913" s="501"/>
      <c r="ED1913" s="501"/>
      <c r="EE1913" s="501"/>
      <c r="EF1913" s="501"/>
      <c r="EG1913" s="501"/>
      <c r="EH1913" s="501"/>
      <c r="EI1913" s="501"/>
      <c r="EJ1913" s="501"/>
      <c r="EK1913" s="501"/>
      <c r="EL1913" s="501"/>
      <c r="EM1913" s="501"/>
      <c r="EN1913" s="501"/>
      <c r="EO1913" s="501"/>
      <c r="EP1913" s="501"/>
      <c r="EQ1913" s="501"/>
      <c r="ER1913" s="501"/>
      <c r="ES1913" s="501"/>
      <c r="ET1913" s="501"/>
      <c r="EU1913" s="501"/>
      <c r="EV1913" s="501"/>
      <c r="EW1913" s="501"/>
      <c r="EX1913" s="501"/>
      <c r="EY1913" s="501"/>
      <c r="EZ1913" s="501"/>
      <c r="FA1913" s="501"/>
      <c r="FB1913" s="501"/>
      <c r="FC1913" s="501"/>
      <c r="FD1913" s="501"/>
      <c r="FE1913" s="501"/>
      <c r="FF1913" s="501"/>
      <c r="FG1913" s="501"/>
      <c r="FH1913" s="501"/>
      <c r="FI1913" s="501"/>
      <c r="FJ1913" s="501"/>
      <c r="FK1913" s="501"/>
      <c r="FL1913" s="501"/>
      <c r="FM1913" s="501"/>
      <c r="FN1913" s="501"/>
      <c r="FO1913" s="501"/>
      <c r="FP1913" s="501"/>
      <c r="FQ1913" s="501"/>
      <c r="FR1913" s="501"/>
      <c r="FS1913" s="501"/>
      <c r="FT1913" s="501"/>
      <c r="FU1913" s="501"/>
      <c r="FV1913" s="501"/>
      <c r="FW1913" s="501"/>
      <c r="FX1913" s="501"/>
      <c r="FY1913" s="501"/>
      <c r="FZ1913" s="501"/>
      <c r="GA1913" s="501"/>
      <c r="GB1913" s="501"/>
      <c r="GC1913" s="501"/>
      <c r="GD1913" s="501"/>
      <c r="GE1913" s="501"/>
      <c r="GF1913" s="501"/>
      <c r="GG1913" s="501"/>
      <c r="GH1913" s="501"/>
      <c r="GI1913" s="501"/>
      <c r="GJ1913" s="501"/>
      <c r="GK1913" s="501"/>
      <c r="GL1913" s="501"/>
      <c r="GM1913" s="501"/>
      <c r="GN1913" s="501"/>
      <c r="GO1913" s="501"/>
      <c r="GP1913" s="501"/>
      <c r="GQ1913" s="501"/>
      <c r="GR1913" s="501"/>
      <c r="GS1913" s="501"/>
      <c r="GT1913" s="501"/>
      <c r="GU1913" s="501"/>
      <c r="GV1913" s="501"/>
      <c r="GW1913" s="501"/>
      <c r="GX1913" s="501"/>
      <c r="GY1913" s="501"/>
      <c r="GZ1913" s="501"/>
      <c r="HA1913" s="501"/>
      <c r="HB1913" s="501"/>
      <c r="HC1913" s="501"/>
      <c r="HD1913" s="501"/>
      <c r="HE1913" s="501"/>
      <c r="HF1913" s="501"/>
      <c r="HG1913" s="501"/>
      <c r="HH1913" s="501"/>
      <c r="HI1913" s="501"/>
      <c r="HJ1913" s="501"/>
      <c r="HK1913" s="501"/>
      <c r="HL1913" s="501"/>
      <c r="HM1913" s="501"/>
      <c r="HN1913" s="501"/>
      <c r="HO1913" s="501"/>
      <c r="HP1913" s="501"/>
      <c r="HQ1913" s="501"/>
      <c r="HR1913" s="501"/>
      <c r="HS1913" s="501"/>
      <c r="HT1913" s="501"/>
      <c r="HU1913" s="501"/>
      <c r="HV1913" s="501"/>
      <c r="HW1913" s="501"/>
      <c r="HX1913" s="501"/>
      <c r="HY1913" s="501"/>
      <c r="HZ1913" s="501"/>
      <c r="IA1913" s="501"/>
      <c r="IB1913" s="501"/>
      <c r="IC1913" s="501"/>
      <c r="ID1913" s="501"/>
      <c r="IE1913" s="501"/>
      <c r="IF1913" s="501"/>
      <c r="IG1913" s="501"/>
      <c r="IH1913" s="501"/>
      <c r="II1913" s="501"/>
      <c r="IJ1913" s="501"/>
      <c r="IK1913" s="501"/>
      <c r="IL1913" s="501"/>
      <c r="IM1913" s="501"/>
      <c r="IN1913" s="501"/>
      <c r="IO1913" s="501"/>
      <c r="IP1913" s="501"/>
      <c r="IQ1913" s="501"/>
      <c r="IR1913" s="501"/>
      <c r="IS1913" s="501"/>
      <c r="IT1913" s="501"/>
      <c r="IU1913" s="501"/>
    </row>
    <row r="1914" spans="1:255" ht="24" customHeight="1">
      <c r="J1914" s="881"/>
      <c r="K1914" s="876"/>
      <c r="M1914" s="882"/>
      <c r="V1914" s="902"/>
      <c r="W1914" s="881"/>
      <c r="Y1914" s="874"/>
    </row>
    <row r="1915" spans="1:255" ht="24" customHeight="1">
      <c r="F1915" s="545"/>
      <c r="G1915" s="889"/>
      <c r="H1915" s="545"/>
      <c r="I1915" s="876"/>
      <c r="J1915" s="876"/>
      <c r="K1915" s="882"/>
      <c r="L1915" s="876"/>
      <c r="M1915" s="882"/>
      <c r="V1915" s="901"/>
      <c r="W1915" s="876"/>
      <c r="X1915" s="545"/>
      <c r="Y1915" s="876"/>
      <c r="Z1915" s="545"/>
    </row>
    <row r="1916" spans="1:255" ht="24" customHeight="1">
      <c r="F1916" s="545"/>
      <c r="G1916" s="889"/>
      <c r="H1916" s="545"/>
      <c r="I1916" s="876"/>
      <c r="J1916" s="876"/>
      <c r="K1916" s="882"/>
      <c r="L1916" s="876"/>
      <c r="M1916" s="882"/>
      <c r="V1916" s="901"/>
      <c r="W1916" s="876"/>
      <c r="X1916" s="545"/>
      <c r="Y1916" s="876"/>
      <c r="Z1916" s="545"/>
    </row>
    <row r="1917" spans="1:255" ht="24" customHeight="1">
      <c r="F1917" s="545"/>
      <c r="G1917" s="889"/>
      <c r="H1917" s="545"/>
      <c r="I1917" s="876"/>
      <c r="J1917" s="876"/>
      <c r="K1917" s="882"/>
      <c r="L1917" s="876"/>
      <c r="M1917" s="882"/>
      <c r="V1917" s="901"/>
      <c r="W1917" s="876"/>
      <c r="X1917" s="545"/>
      <c r="Y1917" s="876"/>
      <c r="Z1917" s="545"/>
    </row>
    <row r="1918" spans="1:255" ht="24" customHeight="1">
      <c r="F1918" s="545"/>
      <c r="G1918" s="889"/>
      <c r="H1918" s="545"/>
      <c r="I1918" s="876"/>
      <c r="J1918" s="908"/>
      <c r="K1918" s="882"/>
      <c r="L1918" s="876"/>
      <c r="M1918" s="882"/>
      <c r="V1918" s="902"/>
      <c r="X1918" s="876"/>
      <c r="Y1918" s="874"/>
      <c r="Z1918" s="881"/>
    </row>
    <row r="1919" spans="1:255" ht="24" customHeight="1">
      <c r="K1919" s="876"/>
      <c r="M1919" s="882"/>
      <c r="V1919" s="902"/>
      <c r="W1919" s="876"/>
      <c r="Y1919" s="874"/>
      <c r="Z1919" s="892"/>
    </row>
    <row r="1920" spans="1:255" ht="24" customHeight="1">
      <c r="J1920" s="876"/>
      <c r="K1920" s="876"/>
      <c r="M1920" s="883"/>
      <c r="V1920" s="902"/>
      <c r="X1920" s="876"/>
      <c r="Y1920" s="874"/>
      <c r="Z1920" s="881"/>
    </row>
    <row r="1921" spans="6:26" ht="24" customHeight="1">
      <c r="K1921" s="876"/>
      <c r="M1921" s="882"/>
      <c r="V1921" s="902"/>
      <c r="X1921" s="876"/>
      <c r="Y1921" s="874"/>
      <c r="Z1921" s="881"/>
    </row>
    <row r="1922" spans="6:26" ht="24" customHeight="1">
      <c r="K1922" s="876"/>
      <c r="M1922" s="882"/>
      <c r="V1922" s="901"/>
      <c r="W1922" s="876"/>
      <c r="Y1922" s="874"/>
    </row>
    <row r="1923" spans="6:26" ht="24" customHeight="1">
      <c r="K1923" s="876"/>
      <c r="M1923" s="882"/>
      <c r="V1923" s="902"/>
      <c r="W1923" s="881"/>
      <c r="Y1923" s="874"/>
    </row>
    <row r="1924" spans="6:26" ht="24" hidden="1" customHeight="1">
      <c r="F1924" s="920"/>
      <c r="G1924" s="921"/>
      <c r="H1924" s="920"/>
      <c r="I1924" s="876"/>
      <c r="J1924" s="876"/>
      <c r="V1924" s="901"/>
      <c r="W1924" s="876"/>
      <c r="X1924" s="545"/>
      <c r="Y1924" s="876"/>
      <c r="Z1924" s="545"/>
    </row>
    <row r="1925" spans="6:26" ht="24" hidden="1" customHeight="1">
      <c r="J1925" s="875"/>
      <c r="V1925" s="901"/>
      <c r="W1925" s="876"/>
      <c r="X1925" s="545"/>
      <c r="Y1925" s="876"/>
      <c r="Z1925" s="545"/>
    </row>
    <row r="1926" spans="6:26" ht="24" hidden="1" customHeight="1">
      <c r="J1926" s="876"/>
      <c r="V1926" s="901"/>
      <c r="W1926" s="876"/>
      <c r="X1926" s="545"/>
      <c r="Y1926" s="876"/>
      <c r="Z1926" s="545"/>
    </row>
    <row r="1927" spans="6:26" ht="24" hidden="1" customHeight="1">
      <c r="J1927" s="876"/>
      <c r="V1927" s="902"/>
      <c r="X1927" s="876"/>
      <c r="Y1927" s="874"/>
      <c r="Z1927" s="881"/>
    </row>
    <row r="1928" spans="6:26" ht="24" hidden="1" customHeight="1">
      <c r="J1928" s="881"/>
      <c r="V1928" s="902"/>
      <c r="W1928" s="876"/>
      <c r="Y1928" s="874"/>
      <c r="Z1928" s="892"/>
    </row>
    <row r="1929" spans="6:26" ht="24" hidden="1" customHeight="1">
      <c r="F1929" s="1025"/>
      <c r="G1929" s="1026"/>
      <c r="H1929" s="1025"/>
      <c r="I1929" s="1027"/>
      <c r="J1929" s="908"/>
      <c r="K1929" s="1025"/>
      <c r="L1929" s="1027"/>
      <c r="M1929" s="1028"/>
      <c r="V1929" s="902"/>
      <c r="X1929" s="876"/>
      <c r="Y1929" s="874"/>
      <c r="Z1929" s="881"/>
    </row>
    <row r="1930" spans="6:26" ht="24" hidden="1" customHeight="1">
      <c r="F1930" s="545"/>
      <c r="G1930" s="889"/>
      <c r="H1930" s="545"/>
      <c r="I1930" s="876"/>
      <c r="J1930" s="876"/>
      <c r="K1930" s="545"/>
      <c r="L1930" s="876"/>
      <c r="M1930" s="882"/>
      <c r="V1930" s="902"/>
      <c r="X1930" s="876"/>
      <c r="Y1930" s="874"/>
      <c r="Z1930" s="881"/>
    </row>
    <row r="1931" spans="6:26" ht="24" hidden="1" customHeight="1">
      <c r="F1931" s="545"/>
      <c r="G1931" s="889"/>
      <c r="H1931" s="545"/>
      <c r="I1931" s="876"/>
      <c r="J1931" s="876"/>
      <c r="K1931" s="545"/>
      <c r="L1931" s="880"/>
      <c r="M1931" s="882"/>
    </row>
    <row r="1932" spans="6:26" ht="24" hidden="1" customHeight="1">
      <c r="F1932" s="1025"/>
      <c r="G1932" s="1026"/>
      <c r="H1932" s="1025"/>
      <c r="I1932" s="1027"/>
      <c r="J1932" s="876"/>
      <c r="K1932" s="1029"/>
      <c r="L1932" s="876"/>
      <c r="M1932" s="1028"/>
    </row>
    <row r="1933" spans="6:26" ht="24" hidden="1" customHeight="1">
      <c r="F1933" s="545"/>
      <c r="G1933" s="889"/>
      <c r="H1933" s="545"/>
      <c r="I1933" s="876"/>
      <c r="J1933" s="876"/>
      <c r="K1933" s="545"/>
      <c r="L1933" s="880"/>
      <c r="M1933" s="882"/>
    </row>
    <row r="1934" spans="6:26" ht="24" hidden="1" customHeight="1">
      <c r="F1934" s="545"/>
      <c r="G1934" s="889"/>
      <c r="H1934" s="545"/>
      <c r="I1934" s="876"/>
      <c r="J1934" s="876"/>
      <c r="K1934" s="914"/>
      <c r="L1934" s="876"/>
      <c r="M1934" s="1030"/>
    </row>
    <row r="1935" spans="6:26" ht="24" hidden="1" customHeight="1">
      <c r="F1935" s="545"/>
      <c r="G1935" s="889"/>
      <c r="H1935" s="545"/>
      <c r="I1935" s="876"/>
      <c r="J1935" s="876"/>
      <c r="K1935" s="545"/>
      <c r="L1935" s="876"/>
      <c r="M1935" s="882"/>
    </row>
    <row r="1936" spans="6:26" ht="24" hidden="1" customHeight="1">
      <c r="F1936" s="545"/>
      <c r="G1936" s="889"/>
      <c r="H1936" s="545"/>
      <c r="I1936" s="876"/>
      <c r="J1936" s="876"/>
      <c r="K1936" s="545"/>
      <c r="L1936" s="876"/>
      <c r="M1936" s="882"/>
    </row>
    <row r="1937" spans="6:13" ht="24" hidden="1" customHeight="1">
      <c r="F1937" s="545"/>
      <c r="G1937" s="889"/>
      <c r="H1937" s="545"/>
      <c r="I1937" s="876"/>
      <c r="J1937" s="876"/>
      <c r="K1937" s="545"/>
      <c r="L1937" s="876"/>
      <c r="M1937" s="882"/>
    </row>
    <row r="1938" spans="6:13" ht="24" hidden="1" customHeight="1">
      <c r="F1938" s="545"/>
      <c r="G1938" s="889"/>
      <c r="H1938" s="545"/>
      <c r="I1938" s="876"/>
      <c r="J1938" s="876"/>
      <c r="K1938" s="545"/>
      <c r="L1938" s="876"/>
      <c r="M1938" s="882"/>
    </row>
    <row r="1939" spans="6:13" ht="24" hidden="1" customHeight="1">
      <c r="I1939" s="876"/>
      <c r="J1939" s="876"/>
      <c r="L1939" s="876"/>
      <c r="M1939" s="882"/>
    </row>
    <row r="1940" spans="6:13" ht="24" hidden="1" customHeight="1">
      <c r="M1940" s="882"/>
    </row>
    <row r="1941" spans="6:13" ht="24" hidden="1" customHeight="1">
      <c r="J1941" s="876"/>
      <c r="M1941" s="882"/>
    </row>
    <row r="1942" spans="6:13" ht="24" customHeight="1">
      <c r="M1942" s="882"/>
    </row>
    <row r="1943" spans="6:13" ht="24" customHeight="1">
      <c r="F1943" s="880"/>
      <c r="G1943" s="918"/>
      <c r="H1943" s="880"/>
      <c r="J1943" s="876"/>
      <c r="L1943" s="876"/>
      <c r="M1943" s="1031"/>
    </row>
    <row r="1944" spans="6:13" ht="24" customHeight="1">
      <c r="J1944" s="876"/>
      <c r="L1944" s="876"/>
      <c r="M1944" s="1031"/>
    </row>
    <row r="1945" spans="6:13" ht="24" customHeight="1">
      <c r="F1945" s="880"/>
      <c r="G1945" s="918"/>
      <c r="H1945" s="880"/>
      <c r="J1945" s="876"/>
      <c r="L1945" s="876"/>
      <c r="M1945" s="1031"/>
    </row>
    <row r="1946" spans="6:13" ht="24" customHeight="1">
      <c r="F1946" s="880"/>
      <c r="G1946" s="918"/>
      <c r="H1946" s="880"/>
      <c r="J1946" s="876"/>
      <c r="M1946" s="882"/>
    </row>
    <row r="1947" spans="6:13" ht="24" customHeight="1">
      <c r="F1947" s="900"/>
      <c r="G1947" s="926"/>
      <c r="H1947" s="900"/>
      <c r="I1947" s="876"/>
      <c r="J1947" s="876"/>
      <c r="L1947" s="876"/>
      <c r="M1947" s="882"/>
    </row>
    <row r="1948" spans="6:13" ht="24" customHeight="1">
      <c r="M1948" s="882"/>
    </row>
    <row r="1950" spans="6:13" ht="24" customHeight="1">
      <c r="F1950" s="920"/>
      <c r="G1950" s="921"/>
      <c r="H1950" s="920"/>
      <c r="I1950" s="876"/>
      <c r="J1950" s="876"/>
      <c r="L1950" s="876"/>
      <c r="M1950" s="1031"/>
    </row>
    <row r="1951" spans="6:13" ht="24" customHeight="1">
      <c r="M1951" s="882"/>
    </row>
    <row r="1953" spans="6:13" ht="24" customHeight="1">
      <c r="F1953" s="920"/>
      <c r="G1953" s="921"/>
      <c r="H1953" s="920"/>
      <c r="I1953" s="876"/>
      <c r="J1953" s="876"/>
      <c r="L1953" s="876"/>
      <c r="M1953" s="1031"/>
    </row>
    <row r="1954" spans="6:13" ht="24" customHeight="1">
      <c r="M1954" s="882"/>
    </row>
    <row r="1956" spans="6:13" ht="24" customHeight="1">
      <c r="F1956" s="880"/>
      <c r="G1956" s="918"/>
      <c r="H1956" s="880"/>
      <c r="I1956" s="876"/>
      <c r="J1956" s="876"/>
    </row>
    <row r="1957" spans="6:13" ht="24" customHeight="1">
      <c r="J1957" s="876"/>
    </row>
    <row r="1958" spans="6:13" ht="24" customHeight="1">
      <c r="J1958" s="876"/>
    </row>
    <row r="1959" spans="6:13" ht="24" customHeight="1">
      <c r="J1959" s="876"/>
    </row>
    <row r="1960" spans="6:13" ht="24" customHeight="1">
      <c r="J1960" s="881"/>
    </row>
    <row r="1961" spans="6:13" ht="24" customHeight="1">
      <c r="F1961" s="545"/>
      <c r="G1961" s="889"/>
      <c r="H1961" s="545"/>
      <c r="I1961" s="876"/>
      <c r="J1961" s="876"/>
      <c r="K1961" s="545"/>
      <c r="L1961" s="876"/>
      <c r="M1961" s="882"/>
    </row>
    <row r="1962" spans="6:13" ht="24" customHeight="1">
      <c r="F1962" s="545"/>
      <c r="G1962" s="889"/>
      <c r="H1962" s="545"/>
      <c r="I1962" s="876"/>
      <c r="J1962" s="876"/>
      <c r="K1962" s="545"/>
      <c r="L1962" s="876"/>
      <c r="M1962" s="882"/>
    </row>
    <row r="1963" spans="6:13" ht="24" customHeight="1">
      <c r="F1963" s="545"/>
      <c r="G1963" s="889"/>
      <c r="H1963" s="545"/>
      <c r="I1963" s="876"/>
      <c r="J1963" s="876"/>
      <c r="K1963" s="545"/>
      <c r="L1963" s="876"/>
      <c r="M1963" s="882"/>
    </row>
    <row r="1964" spans="6:13" ht="24" customHeight="1">
      <c r="F1964" s="904"/>
      <c r="G1964" s="924"/>
      <c r="H1964" s="904"/>
      <c r="I1964" s="876"/>
      <c r="J1964" s="876"/>
      <c r="K1964" s="545"/>
      <c r="L1964" s="876"/>
      <c r="M1964" s="882"/>
    </row>
    <row r="1965" spans="6:13" ht="24" customHeight="1">
      <c r="F1965" s="545"/>
      <c r="G1965" s="889"/>
      <c r="H1965" s="545"/>
      <c r="I1965" s="876"/>
      <c r="J1965" s="876"/>
      <c r="K1965" s="545"/>
      <c r="L1965" s="876"/>
      <c r="M1965" s="882"/>
    </row>
    <row r="1966" spans="6:13" ht="24" customHeight="1">
      <c r="F1966" s="545"/>
      <c r="G1966" s="889"/>
      <c r="H1966" s="545"/>
      <c r="I1966" s="876"/>
      <c r="J1966" s="876"/>
      <c r="K1966" s="545"/>
      <c r="L1966" s="876"/>
      <c r="M1966" s="882"/>
    </row>
    <row r="1967" spans="6:13" ht="24" customHeight="1">
      <c r="F1967" s="545"/>
      <c r="G1967" s="889"/>
      <c r="H1967" s="545"/>
      <c r="I1967" s="876"/>
      <c r="J1967" s="876"/>
      <c r="K1967" s="545"/>
      <c r="L1967" s="876"/>
      <c r="M1967" s="882"/>
    </row>
    <row r="1968" spans="6:13" ht="24" customHeight="1">
      <c r="I1968" s="876"/>
      <c r="J1968" s="876"/>
      <c r="K1968" s="876"/>
      <c r="L1968" s="876"/>
      <c r="M1968" s="882"/>
    </row>
    <row r="1969" spans="6:24" ht="24" customHeight="1">
      <c r="M1969" s="882"/>
    </row>
    <row r="1970" spans="6:24" ht="24" customHeight="1">
      <c r="J1970" s="876"/>
      <c r="M1970" s="882"/>
    </row>
    <row r="1971" spans="6:24" ht="24" customHeight="1">
      <c r="M1971" s="882"/>
    </row>
    <row r="1972" spans="6:24" ht="24" customHeight="1">
      <c r="I1972" s="876"/>
      <c r="J1972" s="876"/>
      <c r="M1972" s="882"/>
    </row>
    <row r="1973" spans="6:24" ht="24" customHeight="1">
      <c r="L1973" s="876"/>
      <c r="M1973" s="882"/>
    </row>
    <row r="1974" spans="6:24" ht="24" customHeight="1">
      <c r="F1974" s="880"/>
      <c r="G1974" s="918"/>
      <c r="H1974" s="880"/>
      <c r="I1974" s="876"/>
      <c r="J1974" s="876"/>
    </row>
    <row r="1975" spans="6:24" ht="24" customHeight="1">
      <c r="J1975" s="876"/>
    </row>
    <row r="1976" spans="6:24" ht="24" customHeight="1">
      <c r="J1976" s="876"/>
    </row>
    <row r="1977" spans="6:24" ht="24" customHeight="1">
      <c r="J1977" s="876"/>
    </row>
    <row r="1978" spans="6:24" ht="24" customHeight="1">
      <c r="J1978" s="881"/>
    </row>
    <row r="1979" spans="6:24" ht="24" customHeight="1">
      <c r="F1979" s="545"/>
      <c r="G1979" s="889"/>
      <c r="H1979" s="545"/>
      <c r="I1979" s="876"/>
      <c r="J1979" s="876"/>
      <c r="K1979" s="545"/>
      <c r="L1979" s="876"/>
      <c r="M1979" s="882"/>
      <c r="X1979" s="876"/>
    </row>
    <row r="1980" spans="6:24" ht="24" customHeight="1">
      <c r="F1980" s="904"/>
      <c r="G1980" s="924"/>
      <c r="H1980" s="904"/>
      <c r="I1980" s="876"/>
      <c r="J1980" s="876"/>
      <c r="K1980" s="545"/>
      <c r="L1980" s="876"/>
      <c r="M1980" s="882"/>
    </row>
    <row r="1981" spans="6:24" ht="24" customHeight="1">
      <c r="J1981" s="876"/>
      <c r="K1981" s="876"/>
      <c r="M1981" s="882"/>
    </row>
    <row r="1982" spans="6:24" ht="24" customHeight="1">
      <c r="F1982" s="545"/>
      <c r="G1982" s="889"/>
      <c r="H1982" s="545"/>
      <c r="I1982" s="876"/>
      <c r="J1982" s="876"/>
      <c r="K1982" s="545"/>
      <c r="L1982" s="876"/>
      <c r="M1982" s="882"/>
    </row>
    <row r="1983" spans="6:24" ht="24" customHeight="1">
      <c r="J1983" s="876"/>
      <c r="K1983" s="876"/>
      <c r="M1983" s="882"/>
    </row>
    <row r="1984" spans="6:24" ht="24" customHeight="1">
      <c r="F1984" s="904"/>
      <c r="G1984" s="924"/>
      <c r="H1984" s="904"/>
      <c r="I1984" s="876"/>
      <c r="J1984" s="876"/>
      <c r="K1984" s="545"/>
      <c r="L1984" s="876"/>
      <c r="M1984" s="882"/>
    </row>
    <row r="1985" spans="6:13" ht="24" customHeight="1">
      <c r="J1985" s="876"/>
    </row>
    <row r="1986" spans="6:13" ht="24" customHeight="1">
      <c r="F1986" s="545"/>
      <c r="G1986" s="889"/>
      <c r="H1986" s="545"/>
      <c r="I1986" s="876"/>
      <c r="J1986" s="876"/>
      <c r="K1986" s="545"/>
      <c r="L1986" s="876"/>
      <c r="M1986" s="882"/>
    </row>
    <row r="1987" spans="6:13" ht="24" customHeight="1">
      <c r="F1987" s="545"/>
      <c r="G1987" s="889"/>
      <c r="H1987" s="545"/>
      <c r="I1987" s="876"/>
      <c r="J1987" s="876"/>
      <c r="K1987" s="545"/>
      <c r="L1987" s="876"/>
      <c r="M1987" s="882"/>
    </row>
    <row r="1988" spans="6:13" ht="24" customHeight="1">
      <c r="F1988" s="545"/>
      <c r="G1988" s="889"/>
      <c r="H1988" s="545"/>
      <c r="I1988" s="876"/>
      <c r="J1988" s="876"/>
      <c r="K1988" s="545"/>
      <c r="L1988" s="876"/>
      <c r="M1988" s="882"/>
    </row>
    <row r="1989" spans="6:13" ht="24" customHeight="1">
      <c r="I1989" s="876"/>
      <c r="J1989" s="876"/>
      <c r="K1989" s="876"/>
      <c r="L1989" s="876"/>
      <c r="M1989" s="882"/>
    </row>
    <row r="1990" spans="6:13" ht="24" customHeight="1">
      <c r="J1990" s="876"/>
      <c r="M1990" s="882"/>
    </row>
    <row r="1991" spans="6:13" ht="24" customHeight="1">
      <c r="J1991" s="876"/>
      <c r="M1991" s="882"/>
    </row>
    <row r="1992" spans="6:13" ht="24" customHeight="1">
      <c r="M1992" s="882"/>
    </row>
    <row r="1993" spans="6:13" ht="24" customHeight="1">
      <c r="I1993" s="876"/>
      <c r="J1993" s="876"/>
      <c r="M1993" s="882"/>
    </row>
    <row r="1994" spans="6:13" ht="24" customHeight="1">
      <c r="L1994" s="876"/>
      <c r="M1994" s="882"/>
    </row>
    <row r="1995" spans="6:13" ht="24" customHeight="1">
      <c r="F1995" s="900"/>
      <c r="G1995" s="926"/>
      <c r="H1995" s="900"/>
      <c r="I1995" s="876"/>
      <c r="J1995" s="876"/>
    </row>
    <row r="1996" spans="6:13" ht="24" customHeight="1">
      <c r="J1996" s="876"/>
    </row>
    <row r="1997" spans="6:13" ht="24" customHeight="1">
      <c r="J1997" s="876"/>
    </row>
    <row r="1998" spans="6:13" ht="24" customHeight="1">
      <c r="J1998" s="881"/>
    </row>
    <row r="1999" spans="6:13" ht="24" customHeight="1">
      <c r="F1999" s="1025"/>
      <c r="G1999" s="1026"/>
      <c r="H1999" s="1025"/>
      <c r="I1999" s="1027"/>
      <c r="J1999" s="910"/>
      <c r="K1999" s="1025"/>
      <c r="L1999" s="1027"/>
      <c r="M1999" s="1028"/>
    </row>
    <row r="2000" spans="6:13" ht="24" customHeight="1">
      <c r="F2000" s="545"/>
      <c r="G2000" s="889"/>
      <c r="H2000" s="545"/>
      <c r="I2000" s="876"/>
      <c r="J2000" s="1032"/>
      <c r="K2000" s="545"/>
      <c r="L2000" s="876"/>
      <c r="M2000" s="882"/>
    </row>
    <row r="2001" spans="6:13" ht="24" customHeight="1">
      <c r="F2001" s="545"/>
      <c r="G2001" s="889"/>
      <c r="H2001" s="545"/>
      <c r="I2001" s="876"/>
      <c r="J2001" s="876"/>
      <c r="K2001" s="545"/>
      <c r="L2001" s="876"/>
      <c r="M2001" s="882"/>
    </row>
    <row r="2002" spans="6:13" ht="24" customHeight="1">
      <c r="F2002" s="545"/>
      <c r="G2002" s="889"/>
      <c r="H2002" s="545"/>
      <c r="I2002" s="876"/>
      <c r="J2002" s="876"/>
      <c r="K2002" s="545"/>
      <c r="L2002" s="876"/>
      <c r="M2002" s="882"/>
    </row>
    <row r="2003" spans="6:13" ht="24" customHeight="1">
      <c r="F2003" s="545"/>
      <c r="G2003" s="889"/>
      <c r="H2003" s="545"/>
      <c r="I2003" s="876"/>
      <c r="J2003" s="876"/>
      <c r="K2003" s="545"/>
      <c r="L2003" s="876"/>
      <c r="M2003" s="882"/>
    </row>
    <row r="2004" spans="6:13" ht="24" customHeight="1">
      <c r="F2004" s="545"/>
      <c r="G2004" s="889"/>
      <c r="H2004" s="545"/>
      <c r="I2004" s="876"/>
      <c r="J2004" s="1032"/>
      <c r="K2004" s="545"/>
      <c r="L2004" s="876"/>
      <c r="M2004" s="882"/>
    </row>
    <row r="2005" spans="6:13" ht="24" customHeight="1">
      <c r="F2005" s="545"/>
      <c r="G2005" s="889"/>
      <c r="H2005" s="545"/>
      <c r="I2005" s="876"/>
      <c r="J2005" s="876"/>
      <c r="K2005" s="545"/>
      <c r="L2005" s="876"/>
      <c r="M2005" s="882"/>
    </row>
    <row r="2006" spans="6:13" ht="24" customHeight="1">
      <c r="F2006" s="545"/>
      <c r="G2006" s="889"/>
      <c r="H2006" s="545"/>
      <c r="I2006" s="876"/>
      <c r="J2006" s="876"/>
      <c r="K2006" s="545"/>
      <c r="L2006" s="876"/>
      <c r="M2006" s="882"/>
    </row>
    <row r="2007" spans="6:13" ht="24" customHeight="1">
      <c r="I2007" s="876"/>
      <c r="J2007" s="876"/>
      <c r="L2007" s="876"/>
      <c r="M2007" s="882"/>
    </row>
    <row r="2008" spans="6:13" ht="24" customHeight="1">
      <c r="M2008" s="882"/>
    </row>
    <row r="2009" spans="6:13" ht="24" customHeight="1">
      <c r="J2009" s="876"/>
      <c r="M2009" s="882"/>
    </row>
    <row r="2010" spans="6:13" ht="24" customHeight="1">
      <c r="F2010" s="876"/>
      <c r="G2010" s="916"/>
      <c r="H2010" s="876"/>
    </row>
    <row r="2011" spans="6:13" ht="24" customHeight="1">
      <c r="M2011" s="882"/>
    </row>
    <row r="2012" spans="6:13" ht="24" customHeight="1">
      <c r="I2012" s="876"/>
      <c r="J2012" s="876"/>
      <c r="M2012" s="882"/>
    </row>
    <row r="2013" spans="6:13" ht="24" customHeight="1">
      <c r="J2013" s="876"/>
    </row>
    <row r="2014" spans="6:13" ht="24" customHeight="1">
      <c r="F2014" s="920"/>
      <c r="G2014" s="921"/>
      <c r="H2014" s="920"/>
      <c r="I2014" s="876"/>
      <c r="J2014" s="876"/>
    </row>
    <row r="2015" spans="6:13" ht="24" customHeight="1">
      <c r="J2015" s="876"/>
    </row>
    <row r="2016" spans="6:13" ht="24" customHeight="1">
      <c r="J2016" s="876"/>
    </row>
    <row r="2017" spans="6:13" ht="24" customHeight="1">
      <c r="J2017" s="881"/>
    </row>
    <row r="2018" spans="6:13" ht="24" customHeight="1">
      <c r="F2018" s="1025"/>
      <c r="G2018" s="1026"/>
      <c r="H2018" s="1025"/>
      <c r="I2018" s="1027"/>
      <c r="J2018" s="908"/>
      <c r="L2018" s="1027"/>
      <c r="M2018" s="1028"/>
    </row>
    <row r="2019" spans="6:13" ht="24" customHeight="1">
      <c r="F2019" s="545"/>
      <c r="G2019" s="889"/>
      <c r="H2019" s="545"/>
      <c r="I2019" s="876"/>
      <c r="J2019" s="1032"/>
      <c r="L2019" s="876"/>
      <c r="M2019" s="882"/>
    </row>
    <row r="2020" spans="6:13" ht="24" customHeight="1">
      <c r="F2020" s="545"/>
      <c r="G2020" s="889"/>
      <c r="H2020" s="545"/>
      <c r="I2020" s="876"/>
      <c r="J2020" s="876"/>
      <c r="L2020" s="876"/>
      <c r="M2020" s="882"/>
    </row>
    <row r="2021" spans="6:13" ht="24" customHeight="1">
      <c r="F2021" s="545"/>
      <c r="G2021" s="889"/>
      <c r="H2021" s="545"/>
      <c r="I2021" s="876"/>
      <c r="J2021" s="876"/>
      <c r="L2021" s="876"/>
      <c r="M2021" s="882"/>
    </row>
    <row r="2022" spans="6:13" ht="24" customHeight="1">
      <c r="F2022" s="545"/>
      <c r="G2022" s="889"/>
      <c r="H2022" s="545"/>
      <c r="I2022" s="876"/>
      <c r="J2022" s="876"/>
      <c r="L2022" s="876"/>
      <c r="M2022" s="882"/>
    </row>
    <row r="2023" spans="6:13" ht="24" customHeight="1">
      <c r="F2023" s="545"/>
      <c r="G2023" s="889"/>
      <c r="H2023" s="545"/>
      <c r="I2023" s="876"/>
      <c r="J2023" s="1032"/>
      <c r="L2023" s="876"/>
      <c r="M2023" s="882"/>
    </row>
    <row r="2024" spans="6:13" ht="24" customHeight="1">
      <c r="F2024" s="545"/>
      <c r="G2024" s="889"/>
      <c r="H2024" s="545"/>
      <c r="I2024" s="876"/>
      <c r="J2024" s="876"/>
      <c r="L2024" s="876"/>
      <c r="M2024" s="882"/>
    </row>
    <row r="2025" spans="6:13" ht="24" customHeight="1">
      <c r="F2025" s="545"/>
      <c r="G2025" s="889"/>
      <c r="H2025" s="545"/>
      <c r="I2025" s="876"/>
      <c r="J2025" s="876"/>
      <c r="L2025" s="876"/>
      <c r="M2025" s="882"/>
    </row>
    <row r="2026" spans="6:13" ht="24" customHeight="1">
      <c r="I2026" s="876"/>
      <c r="J2026" s="876"/>
      <c r="L2026" s="876"/>
      <c r="M2026" s="882"/>
    </row>
    <row r="2027" spans="6:13" ht="24" customHeight="1">
      <c r="M2027" s="882"/>
    </row>
    <row r="2028" spans="6:13" ht="24" customHeight="1">
      <c r="J2028" s="876"/>
      <c r="M2028" s="882"/>
    </row>
    <row r="2029" spans="6:13" ht="24" customHeight="1">
      <c r="J2029" s="876"/>
    </row>
    <row r="2030" spans="6:13" ht="24" customHeight="1">
      <c r="J2030" s="876"/>
      <c r="M2030" s="882"/>
    </row>
    <row r="2031" spans="6:13" ht="24" customHeight="1">
      <c r="J2031" s="876"/>
    </row>
    <row r="2032" spans="6:13" ht="24" customHeight="1">
      <c r="F2032" s="880"/>
      <c r="G2032" s="918"/>
      <c r="H2032" s="880"/>
      <c r="I2032" s="876"/>
      <c r="J2032" s="876"/>
    </row>
    <row r="2033" spans="6:13" ht="24" customHeight="1">
      <c r="J2033" s="876"/>
    </row>
    <row r="2034" spans="6:13" ht="24" customHeight="1">
      <c r="J2034" s="881"/>
    </row>
    <row r="2035" spans="6:13" ht="24" customHeight="1">
      <c r="I2035" s="876"/>
      <c r="J2035" s="876"/>
    </row>
    <row r="2036" spans="6:13" ht="24" customHeight="1">
      <c r="J2036" s="876"/>
    </row>
    <row r="2037" spans="6:13" ht="24" customHeight="1">
      <c r="J2037" s="876"/>
    </row>
    <row r="2038" spans="6:13" ht="24" customHeight="1">
      <c r="J2038" s="876"/>
    </row>
    <row r="2039" spans="6:13" ht="24" customHeight="1">
      <c r="J2039" s="876"/>
    </row>
    <row r="2040" spans="6:13" ht="24" customHeight="1">
      <c r="J2040" s="876"/>
    </row>
    <row r="2041" spans="6:13" ht="24" customHeight="1">
      <c r="J2041" s="876"/>
    </row>
    <row r="2042" spans="6:13" ht="24" customHeight="1">
      <c r="J2042" s="881"/>
    </row>
    <row r="2043" spans="6:13" ht="24" customHeight="1">
      <c r="F2043" s="545"/>
      <c r="G2043" s="889"/>
      <c r="H2043" s="545"/>
      <c r="I2043" s="876"/>
      <c r="J2043" s="876"/>
      <c r="K2043" s="914"/>
      <c r="L2043" s="876"/>
      <c r="M2043" s="882"/>
    </row>
    <row r="2044" spans="6:13" ht="24" customHeight="1">
      <c r="F2044" s="545"/>
      <c r="G2044" s="889"/>
      <c r="H2044" s="545"/>
      <c r="I2044" s="876"/>
      <c r="J2044" s="876"/>
      <c r="K2044" s="545"/>
      <c r="L2044" s="876"/>
      <c r="M2044" s="882"/>
    </row>
    <row r="2045" spans="6:13" ht="24" customHeight="1">
      <c r="F2045" s="545"/>
      <c r="G2045" s="889"/>
      <c r="H2045" s="545"/>
      <c r="I2045" s="876"/>
      <c r="J2045" s="876"/>
      <c r="K2045" s="545"/>
      <c r="L2045" s="876"/>
      <c r="M2045" s="882"/>
    </row>
    <row r="2046" spans="6:13" ht="24" customHeight="1">
      <c r="F2046" s="545"/>
      <c r="G2046" s="889"/>
      <c r="H2046" s="545"/>
      <c r="I2046" s="876"/>
      <c r="J2046" s="876"/>
      <c r="K2046" s="545"/>
      <c r="L2046" s="876"/>
      <c r="M2046" s="882"/>
    </row>
    <row r="2047" spans="6:13" ht="24" customHeight="1">
      <c r="F2047" s="545"/>
      <c r="G2047" s="889"/>
      <c r="H2047" s="545"/>
      <c r="I2047" s="876"/>
      <c r="J2047" s="876"/>
      <c r="K2047" s="545"/>
      <c r="L2047" s="876"/>
      <c r="M2047" s="882"/>
    </row>
    <row r="2048" spans="6:13" ht="24" customHeight="1">
      <c r="F2048" s="545"/>
      <c r="G2048" s="889"/>
      <c r="H2048" s="545"/>
      <c r="I2048" s="876"/>
      <c r="J2048" s="876"/>
      <c r="K2048" s="545"/>
      <c r="L2048" s="876"/>
      <c r="M2048" s="882"/>
    </row>
    <row r="2049" spans="6:13" ht="24" customHeight="1">
      <c r="F2049" s="545"/>
      <c r="G2049" s="889"/>
      <c r="H2049" s="545"/>
      <c r="I2049" s="876"/>
      <c r="J2049" s="876"/>
      <c r="K2049" s="545"/>
      <c r="L2049" s="876"/>
      <c r="M2049" s="882"/>
    </row>
    <row r="2050" spans="6:13" ht="24" customHeight="1">
      <c r="I2050" s="876"/>
      <c r="J2050" s="876"/>
      <c r="K2050" s="914"/>
      <c r="L2050" s="876"/>
      <c r="M2050" s="882"/>
    </row>
    <row r="2051" spans="6:13" ht="24" customHeight="1">
      <c r="J2051" s="876"/>
    </row>
    <row r="2052" spans="6:13" ht="24" customHeight="1">
      <c r="J2052" s="876"/>
    </row>
    <row r="2053" spans="6:13" ht="24" customHeight="1">
      <c r="J2053" s="876"/>
      <c r="L2053" s="876"/>
      <c r="M2053" s="882"/>
    </row>
    <row r="2054" spans="6:13" ht="24" customHeight="1">
      <c r="M2054" s="882"/>
    </row>
    <row r="2055" spans="6:13" ht="24" customHeight="1">
      <c r="J2055" s="876"/>
      <c r="M2055" s="882"/>
    </row>
    <row r="2056" spans="6:13" ht="24" customHeight="1">
      <c r="M2056" s="882"/>
    </row>
    <row r="2057" spans="6:13" ht="24" customHeight="1">
      <c r="J2057" s="876"/>
      <c r="M2057" s="882"/>
    </row>
    <row r="2058" spans="6:13" ht="24" customHeight="1">
      <c r="M2058" s="882"/>
    </row>
    <row r="2059" spans="6:13" ht="24" customHeight="1">
      <c r="F2059" s="880"/>
      <c r="G2059" s="918"/>
      <c r="H2059" s="880"/>
      <c r="I2059" s="876"/>
      <c r="J2059" s="876"/>
    </row>
    <row r="2060" spans="6:13" ht="24" customHeight="1">
      <c r="J2060" s="876"/>
    </row>
    <row r="2061" spans="6:13" ht="24" customHeight="1">
      <c r="J2061" s="876"/>
    </row>
    <row r="2062" spans="6:13" ht="24" customHeight="1">
      <c r="J2062" s="876"/>
    </row>
    <row r="2063" spans="6:13" ht="24" customHeight="1">
      <c r="J2063" s="876"/>
    </row>
    <row r="2064" spans="6:13" ht="24" customHeight="1">
      <c r="J2064" s="876"/>
    </row>
    <row r="2065" spans="6:13" ht="24" customHeight="1">
      <c r="J2065" s="876"/>
    </row>
    <row r="2066" spans="6:13" ht="24" customHeight="1">
      <c r="J2066" s="881"/>
    </row>
    <row r="2067" spans="6:13" ht="24" customHeight="1">
      <c r="F2067" s="545"/>
      <c r="G2067" s="889"/>
      <c r="H2067" s="545"/>
      <c r="I2067" s="876"/>
      <c r="J2067" s="876"/>
      <c r="K2067" s="545"/>
      <c r="L2067" s="876"/>
      <c r="M2067" s="882"/>
    </row>
    <row r="2068" spans="6:13" ht="24" customHeight="1">
      <c r="F2068" s="545"/>
      <c r="G2068" s="889"/>
      <c r="H2068" s="545"/>
      <c r="I2068" s="876"/>
      <c r="J2068" s="876"/>
      <c r="K2068" s="545"/>
      <c r="M2068" s="882"/>
    </row>
    <row r="2069" spans="6:13" ht="24" customHeight="1">
      <c r="F2069" s="545"/>
      <c r="G2069" s="889"/>
      <c r="H2069" s="545"/>
      <c r="I2069" s="876"/>
      <c r="J2069" s="876"/>
      <c r="K2069" s="545"/>
      <c r="M2069" s="882"/>
    </row>
    <row r="2070" spans="6:13" ht="24" customHeight="1">
      <c r="F2070" s="545"/>
      <c r="G2070" s="889"/>
      <c r="H2070" s="545"/>
      <c r="I2070" s="876"/>
      <c r="J2070" s="876"/>
      <c r="K2070" s="545"/>
      <c r="M2070" s="882"/>
    </row>
    <row r="2071" spans="6:13" ht="24" customHeight="1">
      <c r="F2071" s="545"/>
      <c r="G2071" s="889"/>
      <c r="H2071" s="545"/>
      <c r="I2071" s="876"/>
      <c r="J2071" s="876"/>
      <c r="K2071" s="545"/>
      <c r="L2071" s="876"/>
      <c r="M2071" s="882"/>
    </row>
    <row r="2072" spans="6:13" ht="24" customHeight="1">
      <c r="F2072" s="545"/>
      <c r="G2072" s="889"/>
      <c r="H2072" s="545"/>
      <c r="I2072" s="876"/>
      <c r="J2072" s="876"/>
      <c r="K2072" s="545"/>
      <c r="L2072" s="876"/>
      <c r="M2072" s="882"/>
    </row>
    <row r="2073" spans="6:13" ht="24" customHeight="1">
      <c r="F2073" s="545"/>
      <c r="G2073" s="889"/>
      <c r="H2073" s="545"/>
      <c r="I2073" s="876"/>
      <c r="J2073" s="876"/>
      <c r="K2073" s="545"/>
      <c r="L2073" s="876"/>
      <c r="M2073" s="882"/>
    </row>
    <row r="2074" spans="6:13" ht="24" customHeight="1">
      <c r="I2074" s="876"/>
      <c r="J2074" s="876"/>
      <c r="K2074" s="876"/>
      <c r="L2074" s="876"/>
      <c r="M2074" s="882"/>
    </row>
    <row r="2075" spans="6:13" ht="24" customHeight="1">
      <c r="J2075" s="876"/>
    </row>
    <row r="2076" spans="6:13" ht="24" customHeight="1">
      <c r="J2076" s="876"/>
    </row>
    <row r="2077" spans="6:13" ht="24" customHeight="1">
      <c r="J2077" s="876"/>
      <c r="L2077" s="876"/>
      <c r="M2077" s="882"/>
    </row>
    <row r="2078" spans="6:13" ht="24" customHeight="1">
      <c r="M2078" s="882"/>
    </row>
    <row r="2079" spans="6:13" ht="24" customHeight="1">
      <c r="J2079" s="876"/>
      <c r="M2079" s="882"/>
    </row>
    <row r="2080" spans="6:13" ht="24" customHeight="1">
      <c r="M2080" s="882"/>
    </row>
    <row r="2081" spans="6:13" ht="24" customHeight="1">
      <c r="J2081" s="876"/>
      <c r="M2081" s="882"/>
    </row>
    <row r="2082" spans="6:13" ht="24" customHeight="1">
      <c r="M2082" s="882"/>
    </row>
    <row r="2083" spans="6:13" ht="24" customHeight="1">
      <c r="F2083" s="880"/>
      <c r="G2083" s="918"/>
      <c r="H2083" s="880"/>
      <c r="J2083" s="876"/>
    </row>
    <row r="2084" spans="6:13" ht="24" customHeight="1">
      <c r="J2084" s="876"/>
    </row>
    <row r="2085" spans="6:13" ht="24" customHeight="1">
      <c r="F2085" s="876"/>
      <c r="G2085" s="916"/>
      <c r="H2085" s="876"/>
      <c r="J2085" s="876"/>
    </row>
    <row r="2086" spans="6:13" ht="24" customHeight="1">
      <c r="J2086" s="881"/>
    </row>
    <row r="2087" spans="6:13" ht="24" customHeight="1">
      <c r="F2087" s="545"/>
      <c r="G2087" s="889"/>
      <c r="H2087" s="545"/>
      <c r="I2087" s="876"/>
      <c r="J2087" s="876"/>
      <c r="K2087" s="545"/>
      <c r="L2087" s="876"/>
      <c r="M2087" s="882"/>
    </row>
    <row r="2088" spans="6:13" ht="24" customHeight="1">
      <c r="F2088" s="545"/>
      <c r="G2088" s="889"/>
      <c r="H2088" s="545"/>
      <c r="I2088" s="876"/>
      <c r="J2088" s="876"/>
      <c r="K2088" s="545"/>
      <c r="L2088" s="876"/>
      <c r="M2088" s="882"/>
    </row>
    <row r="2089" spans="6:13" ht="24" customHeight="1">
      <c r="F2089" s="545"/>
      <c r="G2089" s="889"/>
      <c r="H2089" s="545"/>
      <c r="I2089" s="876"/>
      <c r="J2089" s="876"/>
      <c r="K2089" s="545"/>
      <c r="L2089" s="876"/>
      <c r="M2089" s="882"/>
    </row>
    <row r="2090" spans="6:13" ht="24" customHeight="1">
      <c r="F2090" s="880"/>
      <c r="G2090" s="918"/>
      <c r="H2090" s="880"/>
      <c r="J2090" s="876"/>
      <c r="K2090" s="880"/>
      <c r="M2090" s="882"/>
    </row>
    <row r="2091" spans="6:13" ht="24" customHeight="1">
      <c r="M2091" s="882"/>
    </row>
    <row r="2092" spans="6:13" ht="24" customHeight="1">
      <c r="J2092" s="876"/>
      <c r="M2092" s="882"/>
    </row>
    <row r="2093" spans="6:13" ht="24" customHeight="1">
      <c r="M2093" s="882"/>
    </row>
    <row r="2095" spans="6:13" ht="24" customHeight="1">
      <c r="F2095" s="880"/>
      <c r="G2095" s="918"/>
      <c r="H2095" s="880"/>
      <c r="I2095" s="876"/>
      <c r="J2095" s="876"/>
    </row>
    <row r="2096" spans="6:13" ht="24" customHeight="1">
      <c r="J2096" s="876"/>
    </row>
    <row r="2097" spans="6:13" ht="24" customHeight="1">
      <c r="J2097" s="881"/>
    </row>
    <row r="2098" spans="6:13" ht="24" customHeight="1">
      <c r="F2098" s="545"/>
      <c r="G2098" s="889"/>
      <c r="H2098" s="545"/>
      <c r="I2098" s="876"/>
      <c r="J2098" s="876"/>
      <c r="K2098" s="545"/>
      <c r="L2098" s="876"/>
      <c r="M2098" s="882"/>
    </row>
    <row r="2099" spans="6:13" ht="24" customHeight="1">
      <c r="F2099" s="545"/>
      <c r="G2099" s="889"/>
      <c r="H2099" s="545"/>
      <c r="I2099" s="876"/>
      <c r="J2099" s="876"/>
      <c r="K2099" s="545"/>
      <c r="L2099" s="876"/>
      <c r="M2099" s="882"/>
    </row>
    <row r="2100" spans="6:13" ht="24" customHeight="1">
      <c r="F2100" s="545"/>
      <c r="G2100" s="889"/>
      <c r="H2100" s="545"/>
      <c r="I2100" s="876"/>
      <c r="J2100" s="876"/>
      <c r="K2100" s="545"/>
      <c r="L2100" s="876"/>
      <c r="M2100" s="882"/>
    </row>
    <row r="2101" spans="6:13" ht="24" customHeight="1">
      <c r="F2101" s="545"/>
      <c r="G2101" s="889"/>
      <c r="H2101" s="545"/>
      <c r="I2101" s="876"/>
      <c r="J2101" s="876"/>
      <c r="K2101" s="545"/>
      <c r="L2101" s="876"/>
      <c r="M2101" s="882"/>
    </row>
    <row r="2102" spans="6:13" ht="24" customHeight="1">
      <c r="F2102" s="545"/>
      <c r="G2102" s="889"/>
      <c r="H2102" s="545"/>
      <c r="I2102" s="876"/>
      <c r="J2102" s="876"/>
      <c r="K2102" s="545"/>
      <c r="L2102" s="876"/>
      <c r="M2102" s="882"/>
    </row>
    <row r="2103" spans="6:13" ht="24" customHeight="1">
      <c r="I2103" s="876"/>
      <c r="J2103" s="876"/>
      <c r="K2103" s="876"/>
      <c r="L2103" s="876"/>
      <c r="M2103" s="882"/>
    </row>
    <row r="2104" spans="6:13" ht="24" customHeight="1">
      <c r="J2104" s="876"/>
      <c r="M2104" s="882"/>
    </row>
    <row r="2105" spans="6:13" ht="24" customHeight="1">
      <c r="J2105" s="876"/>
      <c r="M2105" s="882"/>
    </row>
    <row r="2106" spans="6:13" ht="24" customHeight="1">
      <c r="M2106" s="882"/>
    </row>
    <row r="2107" spans="6:13" ht="24" customHeight="1">
      <c r="F2107" s="880"/>
      <c r="G2107" s="918"/>
      <c r="H2107" s="880"/>
      <c r="I2107" s="876"/>
      <c r="J2107" s="876"/>
    </row>
    <row r="2108" spans="6:13" ht="24" customHeight="1">
      <c r="J2108" s="876"/>
    </row>
    <row r="2109" spans="6:13" ht="24" customHeight="1">
      <c r="J2109" s="881"/>
    </row>
    <row r="2110" spans="6:13" ht="24" customHeight="1">
      <c r="F2110" s="545"/>
      <c r="G2110" s="889"/>
      <c r="H2110" s="545"/>
      <c r="I2110" s="876"/>
      <c r="J2110" s="876"/>
      <c r="K2110" s="545"/>
      <c r="L2110" s="876"/>
      <c r="M2110" s="882"/>
    </row>
    <row r="2111" spans="6:13" ht="24" customHeight="1">
      <c r="I2111" s="876"/>
      <c r="J2111" s="876"/>
      <c r="L2111" s="876"/>
      <c r="M2111" s="882"/>
    </row>
    <row r="2112" spans="6:13" ht="24" customHeight="1">
      <c r="L2112" s="876"/>
      <c r="M2112" s="882"/>
    </row>
    <row r="2113" spans="6:13" ht="24" customHeight="1">
      <c r="J2113" s="876"/>
      <c r="M2113" s="882"/>
    </row>
    <row r="2114" spans="6:13" ht="24" customHeight="1">
      <c r="M2114" s="882"/>
    </row>
    <row r="2115" spans="6:13" ht="24" customHeight="1">
      <c r="F2115" s="880"/>
      <c r="G2115" s="918"/>
      <c r="H2115" s="880"/>
      <c r="I2115" s="876"/>
      <c r="J2115" s="876"/>
    </row>
    <row r="2116" spans="6:13" ht="24" customHeight="1">
      <c r="J2116" s="876"/>
    </row>
    <row r="2117" spans="6:13" ht="24" customHeight="1">
      <c r="J2117" s="881"/>
    </row>
    <row r="2118" spans="6:13" ht="24" customHeight="1">
      <c r="F2118" s="545"/>
      <c r="G2118" s="889"/>
      <c r="H2118" s="545"/>
      <c r="I2118" s="876"/>
      <c r="J2118" s="876"/>
      <c r="K2118" s="545"/>
      <c r="L2118" s="876"/>
      <c r="M2118" s="882"/>
    </row>
    <row r="2119" spans="6:13" ht="24" customHeight="1">
      <c r="F2119" s="545"/>
      <c r="G2119" s="889"/>
      <c r="H2119" s="545"/>
      <c r="I2119" s="876"/>
      <c r="J2119" s="876"/>
      <c r="K2119" s="545"/>
      <c r="L2119" s="876"/>
      <c r="M2119" s="882"/>
    </row>
    <row r="2120" spans="6:13" ht="24" customHeight="1">
      <c r="F2120" s="545"/>
      <c r="G2120" s="889"/>
      <c r="H2120" s="545"/>
      <c r="I2120" s="876"/>
      <c r="J2120" s="876"/>
      <c r="K2120" s="545"/>
      <c r="L2120" s="876"/>
      <c r="M2120" s="882"/>
    </row>
    <row r="2121" spans="6:13" ht="24" customHeight="1">
      <c r="F2121" s="545"/>
      <c r="G2121" s="889"/>
      <c r="H2121" s="545"/>
      <c r="I2121" s="876"/>
      <c r="J2121" s="876"/>
      <c r="K2121" s="545"/>
      <c r="L2121" s="876"/>
      <c r="M2121" s="882"/>
    </row>
    <row r="2122" spans="6:13" ht="24" customHeight="1">
      <c r="F2122" s="545"/>
      <c r="G2122" s="889"/>
      <c r="H2122" s="545"/>
      <c r="I2122" s="876"/>
      <c r="J2122" s="876"/>
      <c r="K2122" s="545"/>
      <c r="L2122" s="876"/>
      <c r="M2122" s="882"/>
    </row>
    <row r="2123" spans="6:13" ht="24" customHeight="1">
      <c r="F2123" s="545"/>
      <c r="G2123" s="889"/>
      <c r="H2123" s="545"/>
      <c r="I2123" s="876"/>
      <c r="J2123" s="876"/>
      <c r="K2123" s="545"/>
      <c r="L2123" s="876"/>
      <c r="M2123" s="882"/>
    </row>
    <row r="2124" spans="6:13" ht="24" customHeight="1">
      <c r="F2124" s="545"/>
      <c r="G2124" s="889"/>
      <c r="H2124" s="545"/>
      <c r="I2124" s="876"/>
      <c r="J2124" s="876"/>
      <c r="K2124" s="545"/>
      <c r="L2124" s="876"/>
      <c r="M2124" s="882"/>
    </row>
    <row r="2125" spans="6:13" ht="24" customHeight="1">
      <c r="F2125" s="545"/>
      <c r="G2125" s="889"/>
      <c r="H2125" s="545"/>
      <c r="I2125" s="876"/>
      <c r="J2125" s="876"/>
      <c r="K2125" s="545"/>
      <c r="L2125" s="876"/>
      <c r="M2125" s="882"/>
    </row>
    <row r="2126" spans="6:13" ht="24" customHeight="1">
      <c r="F2126" s="545"/>
      <c r="G2126" s="889"/>
      <c r="H2126" s="545"/>
      <c r="I2126" s="876"/>
      <c r="J2126" s="876"/>
      <c r="K2126" s="545"/>
      <c r="L2126" s="876"/>
      <c r="M2126" s="882"/>
    </row>
    <row r="2127" spans="6:13" ht="24" customHeight="1">
      <c r="F2127" s="545"/>
      <c r="G2127" s="889"/>
      <c r="H2127" s="545"/>
      <c r="I2127" s="876"/>
      <c r="J2127" s="876"/>
      <c r="K2127" s="545"/>
      <c r="L2127" s="876"/>
      <c r="M2127" s="882"/>
    </row>
    <row r="2128" spans="6:13" ht="24" customHeight="1">
      <c r="I2128" s="876"/>
      <c r="J2128" s="876"/>
      <c r="L2128" s="876"/>
      <c r="M2128" s="882"/>
    </row>
    <row r="2129" spans="1:255" ht="24" customHeight="1">
      <c r="M2129" s="882"/>
    </row>
    <row r="2130" spans="1:255" ht="24" customHeight="1">
      <c r="J2130" s="876"/>
      <c r="M2130" s="882"/>
    </row>
    <row r="2131" spans="1:255" ht="24" customHeight="1">
      <c r="M2131" s="882"/>
    </row>
    <row r="2132" spans="1:255" ht="24" customHeight="1">
      <c r="J2132" s="876"/>
      <c r="M2132" s="882"/>
    </row>
    <row r="2133" spans="1:255" ht="24" customHeight="1">
      <c r="M2133" s="882"/>
    </row>
    <row r="2135" spans="1:255" ht="24" customHeight="1">
      <c r="F2135" s="880"/>
      <c r="G2135" s="918"/>
      <c r="H2135" s="880"/>
      <c r="I2135" s="876"/>
      <c r="J2135" s="876"/>
    </row>
    <row r="2136" spans="1:255" ht="24" customHeight="1">
      <c r="J2136" s="876"/>
    </row>
    <row r="2137" spans="1:255" ht="24" customHeight="1">
      <c r="J2137" s="881"/>
    </row>
    <row r="2138" spans="1:255" s="877" customFormat="1" ht="24" customHeight="1">
      <c r="A2138" s="501"/>
      <c r="B2138" s="501"/>
      <c r="C2138" s="501"/>
      <c r="D2138" s="501"/>
      <c r="E2138" s="501"/>
      <c r="F2138" s="545"/>
      <c r="G2138" s="889"/>
      <c r="H2138" s="545"/>
      <c r="I2138" s="876"/>
      <c r="J2138" s="876"/>
      <c r="K2138" s="545"/>
      <c r="L2138" s="876"/>
      <c r="M2138" s="882"/>
      <c r="N2138" s="501"/>
      <c r="O2138" s="501"/>
      <c r="P2138" s="501"/>
      <c r="Q2138" s="501"/>
      <c r="R2138" s="501"/>
      <c r="S2138" s="501"/>
      <c r="T2138" s="501"/>
      <c r="V2138" s="501"/>
      <c r="W2138" s="501"/>
      <c r="X2138" s="501"/>
      <c r="Y2138" s="501"/>
      <c r="Z2138" s="501"/>
      <c r="AA2138" s="501"/>
      <c r="AB2138" s="501"/>
      <c r="AC2138" s="501"/>
      <c r="AD2138" s="501"/>
      <c r="AE2138" s="501"/>
      <c r="AF2138" s="501"/>
      <c r="AG2138" s="501"/>
      <c r="AH2138" s="501"/>
      <c r="AI2138" s="501"/>
      <c r="AJ2138" s="501"/>
      <c r="AK2138" s="501"/>
      <c r="AL2138" s="501"/>
      <c r="AM2138" s="501"/>
      <c r="AN2138" s="501"/>
      <c r="AO2138" s="501"/>
      <c r="AP2138" s="501"/>
      <c r="AQ2138" s="501"/>
      <c r="AR2138" s="501"/>
      <c r="AS2138" s="501"/>
      <c r="AT2138" s="501"/>
      <c r="AU2138" s="501"/>
      <c r="AV2138" s="501"/>
      <c r="AW2138" s="501"/>
      <c r="AX2138" s="501"/>
      <c r="AY2138" s="501"/>
      <c r="AZ2138" s="501"/>
      <c r="BA2138" s="501"/>
      <c r="BB2138" s="501"/>
      <c r="BC2138" s="501"/>
      <c r="BD2138" s="501"/>
      <c r="BE2138" s="501"/>
      <c r="BF2138" s="501"/>
      <c r="BG2138" s="501"/>
      <c r="BH2138" s="501"/>
      <c r="BI2138" s="501"/>
      <c r="BJ2138" s="501"/>
      <c r="BK2138" s="501"/>
      <c r="BL2138" s="501"/>
      <c r="BM2138" s="501"/>
      <c r="BN2138" s="501"/>
      <c r="BO2138" s="501"/>
      <c r="BP2138" s="501"/>
      <c r="BQ2138" s="501"/>
      <c r="BR2138" s="501"/>
      <c r="BS2138" s="501"/>
      <c r="BT2138" s="501"/>
      <c r="BU2138" s="501"/>
      <c r="BV2138" s="501"/>
      <c r="BW2138" s="501"/>
      <c r="BX2138" s="501"/>
      <c r="BY2138" s="501"/>
      <c r="BZ2138" s="501"/>
      <c r="CA2138" s="501"/>
      <c r="CB2138" s="501"/>
      <c r="CC2138" s="501"/>
      <c r="CD2138" s="501"/>
      <c r="CE2138" s="501"/>
      <c r="CF2138" s="501"/>
      <c r="CG2138" s="501"/>
      <c r="CH2138" s="501"/>
      <c r="CI2138" s="501"/>
      <c r="CJ2138" s="501"/>
      <c r="CK2138" s="501"/>
      <c r="CL2138" s="501"/>
      <c r="CM2138" s="501"/>
      <c r="CN2138" s="501"/>
      <c r="CO2138" s="501"/>
      <c r="CP2138" s="501"/>
      <c r="CQ2138" s="501"/>
      <c r="CR2138" s="501"/>
      <c r="CS2138" s="501"/>
      <c r="CT2138" s="501"/>
      <c r="CU2138" s="501"/>
      <c r="CV2138" s="501"/>
      <c r="CW2138" s="501"/>
      <c r="CX2138" s="501"/>
      <c r="CY2138" s="501"/>
      <c r="CZ2138" s="501"/>
      <c r="DA2138" s="501"/>
      <c r="DB2138" s="501"/>
      <c r="DC2138" s="501"/>
      <c r="DD2138" s="501"/>
      <c r="DE2138" s="501"/>
      <c r="DF2138" s="501"/>
      <c r="DG2138" s="501"/>
      <c r="DH2138" s="501"/>
      <c r="DI2138" s="501"/>
      <c r="DJ2138" s="501"/>
      <c r="DK2138" s="501"/>
      <c r="DL2138" s="501"/>
      <c r="DM2138" s="501"/>
      <c r="DN2138" s="501"/>
      <c r="DO2138" s="501"/>
      <c r="DP2138" s="501"/>
      <c r="DQ2138" s="501"/>
      <c r="DR2138" s="501"/>
      <c r="DS2138" s="501"/>
      <c r="DT2138" s="501"/>
      <c r="DU2138" s="501"/>
      <c r="DV2138" s="501"/>
      <c r="DW2138" s="501"/>
      <c r="DX2138" s="501"/>
      <c r="DY2138" s="501"/>
      <c r="DZ2138" s="501"/>
      <c r="EA2138" s="501"/>
      <c r="EB2138" s="501"/>
      <c r="EC2138" s="501"/>
      <c r="ED2138" s="501"/>
      <c r="EE2138" s="501"/>
      <c r="EF2138" s="501"/>
      <c r="EG2138" s="501"/>
      <c r="EH2138" s="501"/>
      <c r="EI2138" s="501"/>
      <c r="EJ2138" s="501"/>
      <c r="EK2138" s="501"/>
      <c r="EL2138" s="501"/>
      <c r="EM2138" s="501"/>
      <c r="EN2138" s="501"/>
      <c r="EO2138" s="501"/>
      <c r="EP2138" s="501"/>
      <c r="EQ2138" s="501"/>
      <c r="ER2138" s="501"/>
      <c r="ES2138" s="501"/>
      <c r="ET2138" s="501"/>
      <c r="EU2138" s="501"/>
      <c r="EV2138" s="501"/>
      <c r="EW2138" s="501"/>
      <c r="EX2138" s="501"/>
      <c r="EY2138" s="501"/>
      <c r="EZ2138" s="501"/>
      <c r="FA2138" s="501"/>
      <c r="FB2138" s="501"/>
      <c r="FC2138" s="501"/>
      <c r="FD2138" s="501"/>
      <c r="FE2138" s="501"/>
      <c r="FF2138" s="501"/>
      <c r="FG2138" s="501"/>
      <c r="FH2138" s="501"/>
      <c r="FI2138" s="501"/>
      <c r="FJ2138" s="501"/>
      <c r="FK2138" s="501"/>
      <c r="FL2138" s="501"/>
      <c r="FM2138" s="501"/>
      <c r="FN2138" s="501"/>
      <c r="FO2138" s="501"/>
      <c r="FP2138" s="501"/>
      <c r="FQ2138" s="501"/>
      <c r="FR2138" s="501"/>
      <c r="FS2138" s="501"/>
      <c r="FT2138" s="501"/>
      <c r="FU2138" s="501"/>
      <c r="FV2138" s="501"/>
      <c r="FW2138" s="501"/>
      <c r="FX2138" s="501"/>
      <c r="FY2138" s="501"/>
      <c r="FZ2138" s="501"/>
      <c r="GA2138" s="501"/>
      <c r="GB2138" s="501"/>
      <c r="GC2138" s="501"/>
      <c r="GD2138" s="501"/>
      <c r="GE2138" s="501"/>
      <c r="GF2138" s="501"/>
      <c r="GG2138" s="501"/>
      <c r="GH2138" s="501"/>
      <c r="GI2138" s="501"/>
      <c r="GJ2138" s="501"/>
      <c r="GK2138" s="501"/>
      <c r="GL2138" s="501"/>
      <c r="GM2138" s="501"/>
      <c r="GN2138" s="501"/>
      <c r="GO2138" s="501"/>
      <c r="GP2138" s="501"/>
      <c r="GQ2138" s="501"/>
      <c r="GR2138" s="501"/>
      <c r="GS2138" s="501"/>
      <c r="GT2138" s="501"/>
      <c r="GU2138" s="501"/>
      <c r="GV2138" s="501"/>
      <c r="GW2138" s="501"/>
      <c r="GX2138" s="501"/>
      <c r="GY2138" s="501"/>
      <c r="GZ2138" s="501"/>
      <c r="HA2138" s="501"/>
      <c r="HB2138" s="501"/>
      <c r="HC2138" s="501"/>
      <c r="HD2138" s="501"/>
      <c r="HE2138" s="501"/>
      <c r="HF2138" s="501"/>
      <c r="HG2138" s="501"/>
      <c r="HH2138" s="501"/>
      <c r="HI2138" s="501"/>
      <c r="HJ2138" s="501"/>
      <c r="HK2138" s="501"/>
      <c r="HL2138" s="501"/>
      <c r="HM2138" s="501"/>
      <c r="HN2138" s="501"/>
      <c r="HO2138" s="501"/>
      <c r="HP2138" s="501"/>
      <c r="HQ2138" s="501"/>
      <c r="HR2138" s="501"/>
      <c r="HS2138" s="501"/>
      <c r="HT2138" s="501"/>
      <c r="HU2138" s="501"/>
      <c r="HV2138" s="501"/>
      <c r="HW2138" s="501"/>
      <c r="HX2138" s="501"/>
      <c r="HY2138" s="501"/>
      <c r="HZ2138" s="501"/>
      <c r="IA2138" s="501"/>
      <c r="IB2138" s="501"/>
      <c r="IC2138" s="501"/>
      <c r="ID2138" s="501"/>
      <c r="IE2138" s="501"/>
      <c r="IF2138" s="501"/>
      <c r="IG2138" s="501"/>
      <c r="IH2138" s="501"/>
      <c r="II2138" s="501"/>
      <c r="IJ2138" s="501"/>
      <c r="IK2138" s="501"/>
      <c r="IL2138" s="501"/>
      <c r="IM2138" s="501"/>
      <c r="IN2138" s="501"/>
      <c r="IO2138" s="501"/>
      <c r="IP2138" s="501"/>
      <c r="IQ2138" s="501"/>
      <c r="IR2138" s="501"/>
      <c r="IS2138" s="501"/>
      <c r="IT2138" s="501"/>
      <c r="IU2138" s="501"/>
    </row>
    <row r="2139" spans="1:255" s="877" customFormat="1" ht="24" customHeight="1">
      <c r="A2139" s="501"/>
      <c r="B2139" s="501"/>
      <c r="C2139" s="501"/>
      <c r="D2139" s="501"/>
      <c r="E2139" s="501"/>
      <c r="F2139" s="545"/>
      <c r="G2139" s="889"/>
      <c r="H2139" s="545"/>
      <c r="I2139" s="876"/>
      <c r="J2139" s="876"/>
      <c r="K2139" s="545"/>
      <c r="L2139" s="876"/>
      <c r="M2139" s="882"/>
      <c r="N2139" s="501"/>
      <c r="O2139" s="501"/>
      <c r="P2139" s="501"/>
      <c r="Q2139" s="501"/>
      <c r="R2139" s="501"/>
      <c r="S2139" s="501"/>
      <c r="T2139" s="501"/>
      <c r="V2139" s="501"/>
      <c r="W2139" s="501"/>
      <c r="X2139" s="501"/>
      <c r="Y2139" s="501"/>
      <c r="Z2139" s="501"/>
      <c r="AA2139" s="501"/>
      <c r="AB2139" s="501"/>
      <c r="AC2139" s="501"/>
      <c r="AD2139" s="501"/>
      <c r="AE2139" s="501"/>
      <c r="AF2139" s="501"/>
      <c r="AG2139" s="501"/>
      <c r="AH2139" s="501"/>
      <c r="AI2139" s="501"/>
      <c r="AJ2139" s="501"/>
      <c r="AK2139" s="501"/>
      <c r="AL2139" s="501"/>
      <c r="AM2139" s="501"/>
      <c r="AN2139" s="501"/>
      <c r="AO2139" s="501"/>
      <c r="AP2139" s="501"/>
      <c r="AQ2139" s="501"/>
      <c r="AR2139" s="501"/>
      <c r="AS2139" s="501"/>
      <c r="AT2139" s="501"/>
      <c r="AU2139" s="501"/>
      <c r="AV2139" s="501"/>
      <c r="AW2139" s="501"/>
      <c r="AX2139" s="501"/>
      <c r="AY2139" s="501"/>
      <c r="AZ2139" s="501"/>
      <c r="BA2139" s="501"/>
      <c r="BB2139" s="501"/>
      <c r="BC2139" s="501"/>
      <c r="BD2139" s="501"/>
      <c r="BE2139" s="501"/>
      <c r="BF2139" s="501"/>
      <c r="BG2139" s="501"/>
      <c r="BH2139" s="501"/>
      <c r="BI2139" s="501"/>
      <c r="BJ2139" s="501"/>
      <c r="BK2139" s="501"/>
      <c r="BL2139" s="501"/>
      <c r="BM2139" s="501"/>
      <c r="BN2139" s="501"/>
      <c r="BO2139" s="501"/>
      <c r="BP2139" s="501"/>
      <c r="BQ2139" s="501"/>
      <c r="BR2139" s="501"/>
      <c r="BS2139" s="501"/>
      <c r="BT2139" s="501"/>
      <c r="BU2139" s="501"/>
      <c r="BV2139" s="501"/>
      <c r="BW2139" s="501"/>
      <c r="BX2139" s="501"/>
      <c r="BY2139" s="501"/>
      <c r="BZ2139" s="501"/>
      <c r="CA2139" s="501"/>
      <c r="CB2139" s="501"/>
      <c r="CC2139" s="501"/>
      <c r="CD2139" s="501"/>
      <c r="CE2139" s="501"/>
      <c r="CF2139" s="501"/>
      <c r="CG2139" s="501"/>
      <c r="CH2139" s="501"/>
      <c r="CI2139" s="501"/>
      <c r="CJ2139" s="501"/>
      <c r="CK2139" s="501"/>
      <c r="CL2139" s="501"/>
      <c r="CM2139" s="501"/>
      <c r="CN2139" s="501"/>
      <c r="CO2139" s="501"/>
      <c r="CP2139" s="501"/>
      <c r="CQ2139" s="501"/>
      <c r="CR2139" s="501"/>
      <c r="CS2139" s="501"/>
      <c r="CT2139" s="501"/>
      <c r="CU2139" s="501"/>
      <c r="CV2139" s="501"/>
      <c r="CW2139" s="501"/>
      <c r="CX2139" s="501"/>
      <c r="CY2139" s="501"/>
      <c r="CZ2139" s="501"/>
      <c r="DA2139" s="501"/>
      <c r="DB2139" s="501"/>
      <c r="DC2139" s="501"/>
      <c r="DD2139" s="501"/>
      <c r="DE2139" s="501"/>
      <c r="DF2139" s="501"/>
      <c r="DG2139" s="501"/>
      <c r="DH2139" s="501"/>
      <c r="DI2139" s="501"/>
      <c r="DJ2139" s="501"/>
      <c r="DK2139" s="501"/>
      <c r="DL2139" s="501"/>
      <c r="DM2139" s="501"/>
      <c r="DN2139" s="501"/>
      <c r="DO2139" s="501"/>
      <c r="DP2139" s="501"/>
      <c r="DQ2139" s="501"/>
      <c r="DR2139" s="501"/>
      <c r="DS2139" s="501"/>
      <c r="DT2139" s="501"/>
      <c r="DU2139" s="501"/>
      <c r="DV2139" s="501"/>
      <c r="DW2139" s="501"/>
      <c r="DX2139" s="501"/>
      <c r="DY2139" s="501"/>
      <c r="DZ2139" s="501"/>
      <c r="EA2139" s="501"/>
      <c r="EB2139" s="501"/>
      <c r="EC2139" s="501"/>
      <c r="ED2139" s="501"/>
      <c r="EE2139" s="501"/>
      <c r="EF2139" s="501"/>
      <c r="EG2139" s="501"/>
      <c r="EH2139" s="501"/>
      <c r="EI2139" s="501"/>
      <c r="EJ2139" s="501"/>
      <c r="EK2139" s="501"/>
      <c r="EL2139" s="501"/>
      <c r="EM2139" s="501"/>
      <c r="EN2139" s="501"/>
      <c r="EO2139" s="501"/>
      <c r="EP2139" s="501"/>
      <c r="EQ2139" s="501"/>
      <c r="ER2139" s="501"/>
      <c r="ES2139" s="501"/>
      <c r="ET2139" s="501"/>
      <c r="EU2139" s="501"/>
      <c r="EV2139" s="501"/>
      <c r="EW2139" s="501"/>
      <c r="EX2139" s="501"/>
      <c r="EY2139" s="501"/>
      <c r="EZ2139" s="501"/>
      <c r="FA2139" s="501"/>
      <c r="FB2139" s="501"/>
      <c r="FC2139" s="501"/>
      <c r="FD2139" s="501"/>
      <c r="FE2139" s="501"/>
      <c r="FF2139" s="501"/>
      <c r="FG2139" s="501"/>
      <c r="FH2139" s="501"/>
      <c r="FI2139" s="501"/>
      <c r="FJ2139" s="501"/>
      <c r="FK2139" s="501"/>
      <c r="FL2139" s="501"/>
      <c r="FM2139" s="501"/>
      <c r="FN2139" s="501"/>
      <c r="FO2139" s="501"/>
      <c r="FP2139" s="501"/>
      <c r="FQ2139" s="501"/>
      <c r="FR2139" s="501"/>
      <c r="FS2139" s="501"/>
      <c r="FT2139" s="501"/>
      <c r="FU2139" s="501"/>
      <c r="FV2139" s="501"/>
      <c r="FW2139" s="501"/>
      <c r="FX2139" s="501"/>
      <c r="FY2139" s="501"/>
      <c r="FZ2139" s="501"/>
      <c r="GA2139" s="501"/>
      <c r="GB2139" s="501"/>
      <c r="GC2139" s="501"/>
      <c r="GD2139" s="501"/>
      <c r="GE2139" s="501"/>
      <c r="GF2139" s="501"/>
      <c r="GG2139" s="501"/>
      <c r="GH2139" s="501"/>
      <c r="GI2139" s="501"/>
      <c r="GJ2139" s="501"/>
      <c r="GK2139" s="501"/>
      <c r="GL2139" s="501"/>
      <c r="GM2139" s="501"/>
      <c r="GN2139" s="501"/>
      <c r="GO2139" s="501"/>
      <c r="GP2139" s="501"/>
      <c r="GQ2139" s="501"/>
      <c r="GR2139" s="501"/>
      <c r="GS2139" s="501"/>
      <c r="GT2139" s="501"/>
      <c r="GU2139" s="501"/>
      <c r="GV2139" s="501"/>
      <c r="GW2139" s="501"/>
      <c r="GX2139" s="501"/>
      <c r="GY2139" s="501"/>
      <c r="GZ2139" s="501"/>
      <c r="HA2139" s="501"/>
      <c r="HB2139" s="501"/>
      <c r="HC2139" s="501"/>
      <c r="HD2139" s="501"/>
      <c r="HE2139" s="501"/>
      <c r="HF2139" s="501"/>
      <c r="HG2139" s="501"/>
      <c r="HH2139" s="501"/>
      <c r="HI2139" s="501"/>
      <c r="HJ2139" s="501"/>
      <c r="HK2139" s="501"/>
      <c r="HL2139" s="501"/>
      <c r="HM2139" s="501"/>
      <c r="HN2139" s="501"/>
      <c r="HO2139" s="501"/>
      <c r="HP2139" s="501"/>
      <c r="HQ2139" s="501"/>
      <c r="HR2139" s="501"/>
      <c r="HS2139" s="501"/>
      <c r="HT2139" s="501"/>
      <c r="HU2139" s="501"/>
      <c r="HV2139" s="501"/>
      <c r="HW2139" s="501"/>
      <c r="HX2139" s="501"/>
      <c r="HY2139" s="501"/>
      <c r="HZ2139" s="501"/>
      <c r="IA2139" s="501"/>
      <c r="IB2139" s="501"/>
      <c r="IC2139" s="501"/>
      <c r="ID2139" s="501"/>
      <c r="IE2139" s="501"/>
      <c r="IF2139" s="501"/>
      <c r="IG2139" s="501"/>
      <c r="IH2139" s="501"/>
      <c r="II2139" s="501"/>
      <c r="IJ2139" s="501"/>
      <c r="IK2139" s="501"/>
      <c r="IL2139" s="501"/>
      <c r="IM2139" s="501"/>
      <c r="IN2139" s="501"/>
      <c r="IO2139" s="501"/>
      <c r="IP2139" s="501"/>
      <c r="IQ2139" s="501"/>
      <c r="IR2139" s="501"/>
      <c r="IS2139" s="501"/>
      <c r="IT2139" s="501"/>
      <c r="IU2139" s="501"/>
    </row>
    <row r="2140" spans="1:255" s="877" customFormat="1" ht="24" customHeight="1">
      <c r="A2140" s="501"/>
      <c r="B2140" s="501"/>
      <c r="C2140" s="501"/>
      <c r="D2140" s="501"/>
      <c r="E2140" s="501"/>
      <c r="F2140" s="545"/>
      <c r="G2140" s="889"/>
      <c r="H2140" s="545"/>
      <c r="I2140" s="876"/>
      <c r="J2140" s="876"/>
      <c r="K2140" s="545"/>
      <c r="L2140" s="876"/>
      <c r="M2140" s="882"/>
      <c r="N2140" s="501"/>
      <c r="O2140" s="501"/>
      <c r="P2140" s="501"/>
      <c r="Q2140" s="501"/>
      <c r="R2140" s="501"/>
      <c r="S2140" s="501"/>
      <c r="T2140" s="501"/>
      <c r="V2140" s="501"/>
      <c r="W2140" s="501"/>
      <c r="X2140" s="501"/>
      <c r="Y2140" s="501"/>
      <c r="Z2140" s="501"/>
      <c r="AA2140" s="501"/>
      <c r="AB2140" s="501"/>
      <c r="AC2140" s="501"/>
      <c r="AD2140" s="501"/>
      <c r="AE2140" s="501"/>
      <c r="AF2140" s="501"/>
      <c r="AG2140" s="501"/>
      <c r="AH2140" s="501"/>
      <c r="AI2140" s="501"/>
      <c r="AJ2140" s="501"/>
      <c r="AK2140" s="501"/>
      <c r="AL2140" s="501"/>
      <c r="AM2140" s="501"/>
      <c r="AN2140" s="501"/>
      <c r="AO2140" s="501"/>
      <c r="AP2140" s="501"/>
      <c r="AQ2140" s="501"/>
      <c r="AR2140" s="501"/>
      <c r="AS2140" s="501"/>
      <c r="AT2140" s="501"/>
      <c r="AU2140" s="501"/>
      <c r="AV2140" s="501"/>
      <c r="AW2140" s="501"/>
      <c r="AX2140" s="501"/>
      <c r="AY2140" s="501"/>
      <c r="AZ2140" s="501"/>
      <c r="BA2140" s="501"/>
      <c r="BB2140" s="501"/>
      <c r="BC2140" s="501"/>
      <c r="BD2140" s="501"/>
      <c r="BE2140" s="501"/>
      <c r="BF2140" s="501"/>
      <c r="BG2140" s="501"/>
      <c r="BH2140" s="501"/>
      <c r="BI2140" s="501"/>
      <c r="BJ2140" s="501"/>
      <c r="BK2140" s="501"/>
      <c r="BL2140" s="501"/>
      <c r="BM2140" s="501"/>
      <c r="BN2140" s="501"/>
      <c r="BO2140" s="501"/>
      <c r="BP2140" s="501"/>
      <c r="BQ2140" s="501"/>
      <c r="BR2140" s="501"/>
      <c r="BS2140" s="501"/>
      <c r="BT2140" s="501"/>
      <c r="BU2140" s="501"/>
      <c r="BV2140" s="501"/>
      <c r="BW2140" s="501"/>
      <c r="BX2140" s="501"/>
      <c r="BY2140" s="501"/>
      <c r="BZ2140" s="501"/>
      <c r="CA2140" s="501"/>
      <c r="CB2140" s="501"/>
      <c r="CC2140" s="501"/>
      <c r="CD2140" s="501"/>
      <c r="CE2140" s="501"/>
      <c r="CF2140" s="501"/>
      <c r="CG2140" s="501"/>
      <c r="CH2140" s="501"/>
      <c r="CI2140" s="501"/>
      <c r="CJ2140" s="501"/>
      <c r="CK2140" s="501"/>
      <c r="CL2140" s="501"/>
      <c r="CM2140" s="501"/>
      <c r="CN2140" s="501"/>
      <c r="CO2140" s="501"/>
      <c r="CP2140" s="501"/>
      <c r="CQ2140" s="501"/>
      <c r="CR2140" s="501"/>
      <c r="CS2140" s="501"/>
      <c r="CT2140" s="501"/>
      <c r="CU2140" s="501"/>
      <c r="CV2140" s="501"/>
      <c r="CW2140" s="501"/>
      <c r="CX2140" s="501"/>
      <c r="CY2140" s="501"/>
      <c r="CZ2140" s="501"/>
      <c r="DA2140" s="501"/>
      <c r="DB2140" s="501"/>
      <c r="DC2140" s="501"/>
      <c r="DD2140" s="501"/>
      <c r="DE2140" s="501"/>
      <c r="DF2140" s="501"/>
      <c r="DG2140" s="501"/>
      <c r="DH2140" s="501"/>
      <c r="DI2140" s="501"/>
      <c r="DJ2140" s="501"/>
      <c r="DK2140" s="501"/>
      <c r="DL2140" s="501"/>
      <c r="DM2140" s="501"/>
      <c r="DN2140" s="501"/>
      <c r="DO2140" s="501"/>
      <c r="DP2140" s="501"/>
      <c r="DQ2140" s="501"/>
      <c r="DR2140" s="501"/>
      <c r="DS2140" s="501"/>
      <c r="DT2140" s="501"/>
      <c r="DU2140" s="501"/>
      <c r="DV2140" s="501"/>
      <c r="DW2140" s="501"/>
      <c r="DX2140" s="501"/>
      <c r="DY2140" s="501"/>
      <c r="DZ2140" s="501"/>
      <c r="EA2140" s="501"/>
      <c r="EB2140" s="501"/>
      <c r="EC2140" s="501"/>
      <c r="ED2140" s="501"/>
      <c r="EE2140" s="501"/>
      <c r="EF2140" s="501"/>
      <c r="EG2140" s="501"/>
      <c r="EH2140" s="501"/>
      <c r="EI2140" s="501"/>
      <c r="EJ2140" s="501"/>
      <c r="EK2140" s="501"/>
      <c r="EL2140" s="501"/>
      <c r="EM2140" s="501"/>
      <c r="EN2140" s="501"/>
      <c r="EO2140" s="501"/>
      <c r="EP2140" s="501"/>
      <c r="EQ2140" s="501"/>
      <c r="ER2140" s="501"/>
      <c r="ES2140" s="501"/>
      <c r="ET2140" s="501"/>
      <c r="EU2140" s="501"/>
      <c r="EV2140" s="501"/>
      <c r="EW2140" s="501"/>
      <c r="EX2140" s="501"/>
      <c r="EY2140" s="501"/>
      <c r="EZ2140" s="501"/>
      <c r="FA2140" s="501"/>
      <c r="FB2140" s="501"/>
      <c r="FC2140" s="501"/>
      <c r="FD2140" s="501"/>
      <c r="FE2140" s="501"/>
      <c r="FF2140" s="501"/>
      <c r="FG2140" s="501"/>
      <c r="FH2140" s="501"/>
      <c r="FI2140" s="501"/>
      <c r="FJ2140" s="501"/>
      <c r="FK2140" s="501"/>
      <c r="FL2140" s="501"/>
      <c r="FM2140" s="501"/>
      <c r="FN2140" s="501"/>
      <c r="FO2140" s="501"/>
      <c r="FP2140" s="501"/>
      <c r="FQ2140" s="501"/>
      <c r="FR2140" s="501"/>
      <c r="FS2140" s="501"/>
      <c r="FT2140" s="501"/>
      <c r="FU2140" s="501"/>
      <c r="FV2140" s="501"/>
      <c r="FW2140" s="501"/>
      <c r="FX2140" s="501"/>
      <c r="FY2140" s="501"/>
      <c r="FZ2140" s="501"/>
      <c r="GA2140" s="501"/>
      <c r="GB2140" s="501"/>
      <c r="GC2140" s="501"/>
      <c r="GD2140" s="501"/>
      <c r="GE2140" s="501"/>
      <c r="GF2140" s="501"/>
      <c r="GG2140" s="501"/>
      <c r="GH2140" s="501"/>
      <c r="GI2140" s="501"/>
      <c r="GJ2140" s="501"/>
      <c r="GK2140" s="501"/>
      <c r="GL2140" s="501"/>
      <c r="GM2140" s="501"/>
      <c r="GN2140" s="501"/>
      <c r="GO2140" s="501"/>
      <c r="GP2140" s="501"/>
      <c r="GQ2140" s="501"/>
      <c r="GR2140" s="501"/>
      <c r="GS2140" s="501"/>
      <c r="GT2140" s="501"/>
      <c r="GU2140" s="501"/>
      <c r="GV2140" s="501"/>
      <c r="GW2140" s="501"/>
      <c r="GX2140" s="501"/>
      <c r="GY2140" s="501"/>
      <c r="GZ2140" s="501"/>
      <c r="HA2140" s="501"/>
      <c r="HB2140" s="501"/>
      <c r="HC2140" s="501"/>
      <c r="HD2140" s="501"/>
      <c r="HE2140" s="501"/>
      <c r="HF2140" s="501"/>
      <c r="HG2140" s="501"/>
      <c r="HH2140" s="501"/>
      <c r="HI2140" s="501"/>
      <c r="HJ2140" s="501"/>
      <c r="HK2140" s="501"/>
      <c r="HL2140" s="501"/>
      <c r="HM2140" s="501"/>
      <c r="HN2140" s="501"/>
      <c r="HO2140" s="501"/>
      <c r="HP2140" s="501"/>
      <c r="HQ2140" s="501"/>
      <c r="HR2140" s="501"/>
      <c r="HS2140" s="501"/>
      <c r="HT2140" s="501"/>
      <c r="HU2140" s="501"/>
      <c r="HV2140" s="501"/>
      <c r="HW2140" s="501"/>
      <c r="HX2140" s="501"/>
      <c r="HY2140" s="501"/>
      <c r="HZ2140" s="501"/>
      <c r="IA2140" s="501"/>
      <c r="IB2140" s="501"/>
      <c r="IC2140" s="501"/>
      <c r="ID2140" s="501"/>
      <c r="IE2140" s="501"/>
      <c r="IF2140" s="501"/>
      <c r="IG2140" s="501"/>
      <c r="IH2140" s="501"/>
      <c r="II2140" s="501"/>
      <c r="IJ2140" s="501"/>
      <c r="IK2140" s="501"/>
      <c r="IL2140" s="501"/>
      <c r="IM2140" s="501"/>
      <c r="IN2140" s="501"/>
      <c r="IO2140" s="501"/>
      <c r="IP2140" s="501"/>
      <c r="IQ2140" s="501"/>
      <c r="IR2140" s="501"/>
      <c r="IS2140" s="501"/>
      <c r="IT2140" s="501"/>
      <c r="IU2140" s="501"/>
    </row>
    <row r="2141" spans="1:255" s="877" customFormat="1" ht="24" customHeight="1">
      <c r="A2141" s="501"/>
      <c r="B2141" s="501"/>
      <c r="C2141" s="501"/>
      <c r="D2141" s="501"/>
      <c r="E2141" s="501"/>
      <c r="F2141" s="545"/>
      <c r="G2141" s="889"/>
      <c r="H2141" s="545"/>
      <c r="I2141" s="876"/>
      <c r="J2141" s="876"/>
      <c r="K2141" s="545"/>
      <c r="L2141" s="876"/>
      <c r="M2141" s="882"/>
      <c r="N2141" s="501"/>
      <c r="O2141" s="501"/>
      <c r="P2141" s="501"/>
      <c r="Q2141" s="501"/>
      <c r="R2141" s="501"/>
      <c r="S2141" s="501"/>
      <c r="T2141" s="501"/>
      <c r="V2141" s="501"/>
      <c r="W2141" s="501"/>
      <c r="X2141" s="501"/>
      <c r="Y2141" s="501"/>
      <c r="Z2141" s="501"/>
      <c r="AA2141" s="501"/>
      <c r="AB2141" s="501"/>
      <c r="AC2141" s="501"/>
      <c r="AD2141" s="501"/>
      <c r="AE2141" s="501"/>
      <c r="AF2141" s="501"/>
      <c r="AG2141" s="501"/>
      <c r="AH2141" s="501"/>
      <c r="AI2141" s="501"/>
      <c r="AJ2141" s="501"/>
      <c r="AK2141" s="501"/>
      <c r="AL2141" s="501"/>
      <c r="AM2141" s="501"/>
      <c r="AN2141" s="501"/>
      <c r="AO2141" s="501"/>
      <c r="AP2141" s="501"/>
      <c r="AQ2141" s="501"/>
      <c r="AR2141" s="501"/>
      <c r="AS2141" s="501"/>
      <c r="AT2141" s="501"/>
      <c r="AU2141" s="501"/>
      <c r="AV2141" s="501"/>
      <c r="AW2141" s="501"/>
      <c r="AX2141" s="501"/>
      <c r="AY2141" s="501"/>
      <c r="AZ2141" s="501"/>
      <c r="BA2141" s="501"/>
      <c r="BB2141" s="501"/>
      <c r="BC2141" s="501"/>
      <c r="BD2141" s="501"/>
      <c r="BE2141" s="501"/>
      <c r="BF2141" s="501"/>
      <c r="BG2141" s="501"/>
      <c r="BH2141" s="501"/>
      <c r="BI2141" s="501"/>
      <c r="BJ2141" s="501"/>
      <c r="BK2141" s="501"/>
      <c r="BL2141" s="501"/>
      <c r="BM2141" s="501"/>
      <c r="BN2141" s="501"/>
      <c r="BO2141" s="501"/>
      <c r="BP2141" s="501"/>
      <c r="BQ2141" s="501"/>
      <c r="BR2141" s="501"/>
      <c r="BS2141" s="501"/>
      <c r="BT2141" s="501"/>
      <c r="BU2141" s="501"/>
      <c r="BV2141" s="501"/>
      <c r="BW2141" s="501"/>
      <c r="BX2141" s="501"/>
      <c r="BY2141" s="501"/>
      <c r="BZ2141" s="501"/>
      <c r="CA2141" s="501"/>
      <c r="CB2141" s="501"/>
      <c r="CC2141" s="501"/>
      <c r="CD2141" s="501"/>
      <c r="CE2141" s="501"/>
      <c r="CF2141" s="501"/>
      <c r="CG2141" s="501"/>
      <c r="CH2141" s="501"/>
      <c r="CI2141" s="501"/>
      <c r="CJ2141" s="501"/>
      <c r="CK2141" s="501"/>
      <c r="CL2141" s="501"/>
      <c r="CM2141" s="501"/>
      <c r="CN2141" s="501"/>
      <c r="CO2141" s="501"/>
      <c r="CP2141" s="501"/>
      <c r="CQ2141" s="501"/>
      <c r="CR2141" s="501"/>
      <c r="CS2141" s="501"/>
      <c r="CT2141" s="501"/>
      <c r="CU2141" s="501"/>
      <c r="CV2141" s="501"/>
      <c r="CW2141" s="501"/>
      <c r="CX2141" s="501"/>
      <c r="CY2141" s="501"/>
      <c r="CZ2141" s="501"/>
      <c r="DA2141" s="501"/>
      <c r="DB2141" s="501"/>
      <c r="DC2141" s="501"/>
      <c r="DD2141" s="501"/>
      <c r="DE2141" s="501"/>
      <c r="DF2141" s="501"/>
      <c r="DG2141" s="501"/>
      <c r="DH2141" s="501"/>
      <c r="DI2141" s="501"/>
      <c r="DJ2141" s="501"/>
      <c r="DK2141" s="501"/>
      <c r="DL2141" s="501"/>
      <c r="DM2141" s="501"/>
      <c r="DN2141" s="501"/>
      <c r="DO2141" s="501"/>
      <c r="DP2141" s="501"/>
      <c r="DQ2141" s="501"/>
      <c r="DR2141" s="501"/>
      <c r="DS2141" s="501"/>
      <c r="DT2141" s="501"/>
      <c r="DU2141" s="501"/>
      <c r="DV2141" s="501"/>
      <c r="DW2141" s="501"/>
      <c r="DX2141" s="501"/>
      <c r="DY2141" s="501"/>
      <c r="DZ2141" s="501"/>
      <c r="EA2141" s="501"/>
      <c r="EB2141" s="501"/>
      <c r="EC2141" s="501"/>
      <c r="ED2141" s="501"/>
      <c r="EE2141" s="501"/>
      <c r="EF2141" s="501"/>
      <c r="EG2141" s="501"/>
      <c r="EH2141" s="501"/>
      <c r="EI2141" s="501"/>
      <c r="EJ2141" s="501"/>
      <c r="EK2141" s="501"/>
      <c r="EL2141" s="501"/>
      <c r="EM2141" s="501"/>
      <c r="EN2141" s="501"/>
      <c r="EO2141" s="501"/>
      <c r="EP2141" s="501"/>
      <c r="EQ2141" s="501"/>
      <c r="ER2141" s="501"/>
      <c r="ES2141" s="501"/>
      <c r="ET2141" s="501"/>
      <c r="EU2141" s="501"/>
      <c r="EV2141" s="501"/>
      <c r="EW2141" s="501"/>
      <c r="EX2141" s="501"/>
      <c r="EY2141" s="501"/>
      <c r="EZ2141" s="501"/>
      <c r="FA2141" s="501"/>
      <c r="FB2141" s="501"/>
      <c r="FC2141" s="501"/>
      <c r="FD2141" s="501"/>
      <c r="FE2141" s="501"/>
      <c r="FF2141" s="501"/>
      <c r="FG2141" s="501"/>
      <c r="FH2141" s="501"/>
      <c r="FI2141" s="501"/>
      <c r="FJ2141" s="501"/>
      <c r="FK2141" s="501"/>
      <c r="FL2141" s="501"/>
      <c r="FM2141" s="501"/>
      <c r="FN2141" s="501"/>
      <c r="FO2141" s="501"/>
      <c r="FP2141" s="501"/>
      <c r="FQ2141" s="501"/>
      <c r="FR2141" s="501"/>
      <c r="FS2141" s="501"/>
      <c r="FT2141" s="501"/>
      <c r="FU2141" s="501"/>
      <c r="FV2141" s="501"/>
      <c r="FW2141" s="501"/>
      <c r="FX2141" s="501"/>
      <c r="FY2141" s="501"/>
      <c r="FZ2141" s="501"/>
      <c r="GA2141" s="501"/>
      <c r="GB2141" s="501"/>
      <c r="GC2141" s="501"/>
      <c r="GD2141" s="501"/>
      <c r="GE2141" s="501"/>
      <c r="GF2141" s="501"/>
      <c r="GG2141" s="501"/>
      <c r="GH2141" s="501"/>
      <c r="GI2141" s="501"/>
      <c r="GJ2141" s="501"/>
      <c r="GK2141" s="501"/>
      <c r="GL2141" s="501"/>
      <c r="GM2141" s="501"/>
      <c r="GN2141" s="501"/>
      <c r="GO2141" s="501"/>
      <c r="GP2141" s="501"/>
      <c r="GQ2141" s="501"/>
      <c r="GR2141" s="501"/>
      <c r="GS2141" s="501"/>
      <c r="GT2141" s="501"/>
      <c r="GU2141" s="501"/>
      <c r="GV2141" s="501"/>
      <c r="GW2141" s="501"/>
      <c r="GX2141" s="501"/>
      <c r="GY2141" s="501"/>
      <c r="GZ2141" s="501"/>
      <c r="HA2141" s="501"/>
      <c r="HB2141" s="501"/>
      <c r="HC2141" s="501"/>
      <c r="HD2141" s="501"/>
      <c r="HE2141" s="501"/>
      <c r="HF2141" s="501"/>
      <c r="HG2141" s="501"/>
      <c r="HH2141" s="501"/>
      <c r="HI2141" s="501"/>
      <c r="HJ2141" s="501"/>
      <c r="HK2141" s="501"/>
      <c r="HL2141" s="501"/>
      <c r="HM2141" s="501"/>
      <c r="HN2141" s="501"/>
      <c r="HO2141" s="501"/>
      <c r="HP2141" s="501"/>
      <c r="HQ2141" s="501"/>
      <c r="HR2141" s="501"/>
      <c r="HS2141" s="501"/>
      <c r="HT2141" s="501"/>
      <c r="HU2141" s="501"/>
      <c r="HV2141" s="501"/>
      <c r="HW2141" s="501"/>
      <c r="HX2141" s="501"/>
      <c r="HY2141" s="501"/>
      <c r="HZ2141" s="501"/>
      <c r="IA2141" s="501"/>
      <c r="IB2141" s="501"/>
      <c r="IC2141" s="501"/>
      <c r="ID2141" s="501"/>
      <c r="IE2141" s="501"/>
      <c r="IF2141" s="501"/>
      <c r="IG2141" s="501"/>
      <c r="IH2141" s="501"/>
      <c r="II2141" s="501"/>
      <c r="IJ2141" s="501"/>
      <c r="IK2141" s="501"/>
      <c r="IL2141" s="501"/>
      <c r="IM2141" s="501"/>
      <c r="IN2141" s="501"/>
      <c r="IO2141" s="501"/>
      <c r="IP2141" s="501"/>
      <c r="IQ2141" s="501"/>
      <c r="IR2141" s="501"/>
      <c r="IS2141" s="501"/>
      <c r="IT2141" s="501"/>
      <c r="IU2141" s="501"/>
    </row>
    <row r="2142" spans="1:255" s="877" customFormat="1" ht="24" customHeight="1">
      <c r="A2142" s="501"/>
      <c r="B2142" s="501"/>
      <c r="C2142" s="501"/>
      <c r="D2142" s="501"/>
      <c r="E2142" s="501"/>
      <c r="F2142" s="545"/>
      <c r="G2142" s="889"/>
      <c r="H2142" s="545"/>
      <c r="I2142" s="876"/>
      <c r="J2142" s="876"/>
      <c r="K2142" s="545"/>
      <c r="L2142" s="876"/>
      <c r="M2142" s="882"/>
      <c r="N2142" s="501"/>
      <c r="O2142" s="880"/>
      <c r="P2142" s="901"/>
      <c r="Q2142" s="876"/>
      <c r="R2142" s="501"/>
      <c r="S2142" s="874"/>
      <c r="T2142" s="501"/>
      <c r="V2142" s="501"/>
      <c r="W2142" s="501"/>
      <c r="X2142" s="501"/>
      <c r="Y2142" s="501"/>
      <c r="Z2142" s="501"/>
      <c r="AA2142" s="501"/>
      <c r="AB2142" s="501"/>
      <c r="AC2142" s="501"/>
      <c r="AD2142" s="501"/>
      <c r="AE2142" s="501"/>
      <c r="AF2142" s="501"/>
      <c r="AG2142" s="501"/>
      <c r="AH2142" s="501"/>
      <c r="AI2142" s="501"/>
      <c r="AJ2142" s="501"/>
      <c r="AK2142" s="501"/>
      <c r="AL2142" s="501"/>
      <c r="AM2142" s="501"/>
      <c r="AN2142" s="501"/>
      <c r="AO2142" s="501"/>
      <c r="AP2142" s="501"/>
      <c r="AQ2142" s="501"/>
      <c r="AR2142" s="501"/>
      <c r="AS2142" s="501"/>
      <c r="AT2142" s="501"/>
      <c r="AU2142" s="501"/>
      <c r="AV2142" s="501"/>
      <c r="AW2142" s="501"/>
      <c r="AX2142" s="501"/>
      <c r="AY2142" s="501"/>
      <c r="AZ2142" s="501"/>
      <c r="BA2142" s="501"/>
      <c r="BB2142" s="501"/>
      <c r="BC2142" s="501"/>
      <c r="BD2142" s="501"/>
      <c r="BE2142" s="501"/>
      <c r="BF2142" s="501"/>
      <c r="BG2142" s="501"/>
      <c r="BH2142" s="501"/>
      <c r="BI2142" s="501"/>
      <c r="BJ2142" s="501"/>
      <c r="BK2142" s="501"/>
      <c r="BL2142" s="501"/>
      <c r="BM2142" s="501"/>
      <c r="BN2142" s="501"/>
      <c r="BO2142" s="501"/>
      <c r="BP2142" s="501"/>
      <c r="BQ2142" s="501"/>
      <c r="BR2142" s="501"/>
      <c r="BS2142" s="501"/>
      <c r="BT2142" s="501"/>
      <c r="BU2142" s="501"/>
      <c r="BV2142" s="501"/>
      <c r="BW2142" s="501"/>
      <c r="BX2142" s="501"/>
      <c r="BY2142" s="501"/>
      <c r="BZ2142" s="501"/>
      <c r="CA2142" s="501"/>
      <c r="CB2142" s="501"/>
      <c r="CC2142" s="501"/>
      <c r="CD2142" s="501"/>
      <c r="CE2142" s="501"/>
      <c r="CF2142" s="501"/>
      <c r="CG2142" s="501"/>
      <c r="CH2142" s="501"/>
      <c r="CI2142" s="501"/>
      <c r="CJ2142" s="501"/>
      <c r="CK2142" s="501"/>
      <c r="CL2142" s="501"/>
      <c r="CM2142" s="501"/>
      <c r="CN2142" s="501"/>
      <c r="CO2142" s="501"/>
      <c r="CP2142" s="501"/>
      <c r="CQ2142" s="501"/>
      <c r="CR2142" s="501"/>
      <c r="CS2142" s="501"/>
      <c r="CT2142" s="501"/>
      <c r="CU2142" s="501"/>
      <c r="CV2142" s="501"/>
      <c r="CW2142" s="501"/>
      <c r="CX2142" s="501"/>
      <c r="CY2142" s="501"/>
      <c r="CZ2142" s="501"/>
      <c r="DA2142" s="501"/>
      <c r="DB2142" s="501"/>
      <c r="DC2142" s="501"/>
      <c r="DD2142" s="501"/>
      <c r="DE2142" s="501"/>
      <c r="DF2142" s="501"/>
      <c r="DG2142" s="501"/>
      <c r="DH2142" s="501"/>
      <c r="DI2142" s="501"/>
      <c r="DJ2142" s="501"/>
      <c r="DK2142" s="501"/>
      <c r="DL2142" s="501"/>
      <c r="DM2142" s="501"/>
      <c r="DN2142" s="501"/>
      <c r="DO2142" s="501"/>
      <c r="DP2142" s="501"/>
      <c r="DQ2142" s="501"/>
      <c r="DR2142" s="501"/>
      <c r="DS2142" s="501"/>
      <c r="DT2142" s="501"/>
      <c r="DU2142" s="501"/>
      <c r="DV2142" s="501"/>
      <c r="DW2142" s="501"/>
      <c r="DX2142" s="501"/>
      <c r="DY2142" s="501"/>
      <c r="DZ2142" s="501"/>
      <c r="EA2142" s="501"/>
      <c r="EB2142" s="501"/>
      <c r="EC2142" s="501"/>
      <c r="ED2142" s="501"/>
      <c r="EE2142" s="501"/>
      <c r="EF2142" s="501"/>
      <c r="EG2142" s="501"/>
      <c r="EH2142" s="501"/>
      <c r="EI2142" s="501"/>
      <c r="EJ2142" s="501"/>
      <c r="EK2142" s="501"/>
      <c r="EL2142" s="501"/>
      <c r="EM2142" s="501"/>
      <c r="EN2142" s="501"/>
      <c r="EO2142" s="501"/>
      <c r="EP2142" s="501"/>
      <c r="EQ2142" s="501"/>
      <c r="ER2142" s="501"/>
      <c r="ES2142" s="501"/>
      <c r="ET2142" s="501"/>
      <c r="EU2142" s="501"/>
      <c r="EV2142" s="501"/>
      <c r="EW2142" s="501"/>
      <c r="EX2142" s="501"/>
      <c r="EY2142" s="501"/>
      <c r="EZ2142" s="501"/>
      <c r="FA2142" s="501"/>
      <c r="FB2142" s="501"/>
      <c r="FC2142" s="501"/>
      <c r="FD2142" s="501"/>
      <c r="FE2142" s="501"/>
      <c r="FF2142" s="501"/>
      <c r="FG2142" s="501"/>
      <c r="FH2142" s="501"/>
      <c r="FI2142" s="501"/>
      <c r="FJ2142" s="501"/>
      <c r="FK2142" s="501"/>
      <c r="FL2142" s="501"/>
      <c r="FM2142" s="501"/>
      <c r="FN2142" s="501"/>
      <c r="FO2142" s="501"/>
      <c r="FP2142" s="501"/>
      <c r="FQ2142" s="501"/>
      <c r="FR2142" s="501"/>
      <c r="FS2142" s="501"/>
      <c r="FT2142" s="501"/>
      <c r="FU2142" s="501"/>
      <c r="FV2142" s="501"/>
      <c r="FW2142" s="501"/>
      <c r="FX2142" s="501"/>
      <c r="FY2142" s="501"/>
      <c r="FZ2142" s="501"/>
      <c r="GA2142" s="501"/>
      <c r="GB2142" s="501"/>
      <c r="GC2142" s="501"/>
      <c r="GD2142" s="501"/>
      <c r="GE2142" s="501"/>
      <c r="GF2142" s="501"/>
      <c r="GG2142" s="501"/>
      <c r="GH2142" s="501"/>
      <c r="GI2142" s="501"/>
      <c r="GJ2142" s="501"/>
      <c r="GK2142" s="501"/>
      <c r="GL2142" s="501"/>
      <c r="GM2142" s="501"/>
      <c r="GN2142" s="501"/>
      <c r="GO2142" s="501"/>
      <c r="GP2142" s="501"/>
      <c r="GQ2142" s="501"/>
      <c r="GR2142" s="501"/>
      <c r="GS2142" s="501"/>
      <c r="GT2142" s="501"/>
      <c r="GU2142" s="501"/>
      <c r="GV2142" s="501"/>
      <c r="GW2142" s="501"/>
      <c r="GX2142" s="501"/>
      <c r="GY2142" s="501"/>
      <c r="GZ2142" s="501"/>
      <c r="HA2142" s="501"/>
      <c r="HB2142" s="501"/>
      <c r="HC2142" s="501"/>
      <c r="HD2142" s="501"/>
      <c r="HE2142" s="501"/>
      <c r="HF2142" s="501"/>
      <c r="HG2142" s="501"/>
      <c r="HH2142" s="501"/>
      <c r="HI2142" s="501"/>
      <c r="HJ2142" s="501"/>
      <c r="HK2142" s="501"/>
      <c r="HL2142" s="501"/>
      <c r="HM2142" s="501"/>
      <c r="HN2142" s="501"/>
      <c r="HO2142" s="501"/>
      <c r="HP2142" s="501"/>
      <c r="HQ2142" s="501"/>
      <c r="HR2142" s="501"/>
      <c r="HS2142" s="501"/>
      <c r="HT2142" s="501"/>
      <c r="HU2142" s="501"/>
      <c r="HV2142" s="501"/>
      <c r="HW2142" s="501"/>
      <c r="HX2142" s="501"/>
      <c r="HY2142" s="501"/>
      <c r="HZ2142" s="501"/>
      <c r="IA2142" s="501"/>
      <c r="IB2142" s="501"/>
      <c r="IC2142" s="501"/>
      <c r="ID2142" s="501"/>
      <c r="IE2142" s="501"/>
      <c r="IF2142" s="501"/>
      <c r="IG2142" s="501"/>
      <c r="IH2142" s="501"/>
      <c r="II2142" s="501"/>
      <c r="IJ2142" s="501"/>
      <c r="IK2142" s="501"/>
      <c r="IL2142" s="501"/>
      <c r="IM2142" s="501"/>
      <c r="IN2142" s="501"/>
      <c r="IO2142" s="501"/>
      <c r="IP2142" s="501"/>
      <c r="IQ2142" s="501"/>
      <c r="IR2142" s="501"/>
      <c r="IS2142" s="501"/>
      <c r="IT2142" s="501"/>
      <c r="IU2142" s="501"/>
    </row>
    <row r="2143" spans="1:255" s="877" customFormat="1" ht="24" customHeight="1">
      <c r="A2143" s="501"/>
      <c r="B2143" s="501"/>
      <c r="C2143" s="501"/>
      <c r="D2143" s="501"/>
      <c r="E2143" s="501"/>
      <c r="F2143" s="545"/>
      <c r="G2143" s="889"/>
      <c r="H2143" s="545"/>
      <c r="I2143" s="876"/>
      <c r="J2143" s="876"/>
      <c r="K2143" s="545"/>
      <c r="L2143" s="876"/>
      <c r="M2143" s="882"/>
      <c r="N2143" s="501"/>
      <c r="O2143" s="501"/>
      <c r="P2143" s="902"/>
      <c r="Q2143" s="876"/>
      <c r="R2143" s="501"/>
      <c r="S2143" s="874"/>
      <c r="T2143" s="501"/>
      <c r="V2143" s="501"/>
      <c r="W2143" s="501"/>
      <c r="X2143" s="501"/>
      <c r="Y2143" s="501"/>
      <c r="Z2143" s="501"/>
      <c r="AA2143" s="501"/>
      <c r="AB2143" s="501"/>
      <c r="AC2143" s="501"/>
      <c r="AD2143" s="501"/>
      <c r="AE2143" s="501"/>
      <c r="AF2143" s="501"/>
      <c r="AG2143" s="501"/>
      <c r="AH2143" s="501"/>
      <c r="AI2143" s="501"/>
      <c r="AJ2143" s="501"/>
      <c r="AK2143" s="501"/>
      <c r="AL2143" s="501"/>
      <c r="AM2143" s="501"/>
      <c r="AN2143" s="501"/>
      <c r="AO2143" s="501"/>
      <c r="AP2143" s="501"/>
      <c r="AQ2143" s="501"/>
      <c r="AR2143" s="501"/>
      <c r="AS2143" s="501"/>
      <c r="AT2143" s="501"/>
      <c r="AU2143" s="501"/>
      <c r="AV2143" s="501"/>
      <c r="AW2143" s="501"/>
      <c r="AX2143" s="501"/>
      <c r="AY2143" s="501"/>
      <c r="AZ2143" s="501"/>
      <c r="BA2143" s="501"/>
      <c r="BB2143" s="501"/>
      <c r="BC2143" s="501"/>
      <c r="BD2143" s="501"/>
      <c r="BE2143" s="501"/>
      <c r="BF2143" s="501"/>
      <c r="BG2143" s="501"/>
      <c r="BH2143" s="501"/>
      <c r="BI2143" s="501"/>
      <c r="BJ2143" s="501"/>
      <c r="BK2143" s="501"/>
      <c r="BL2143" s="501"/>
      <c r="BM2143" s="501"/>
      <c r="BN2143" s="501"/>
      <c r="BO2143" s="501"/>
      <c r="BP2143" s="501"/>
      <c r="BQ2143" s="501"/>
      <c r="BR2143" s="501"/>
      <c r="BS2143" s="501"/>
      <c r="BT2143" s="501"/>
      <c r="BU2143" s="501"/>
      <c r="BV2143" s="501"/>
      <c r="BW2143" s="501"/>
      <c r="BX2143" s="501"/>
      <c r="BY2143" s="501"/>
      <c r="BZ2143" s="501"/>
      <c r="CA2143" s="501"/>
      <c r="CB2143" s="501"/>
      <c r="CC2143" s="501"/>
      <c r="CD2143" s="501"/>
      <c r="CE2143" s="501"/>
      <c r="CF2143" s="501"/>
      <c r="CG2143" s="501"/>
      <c r="CH2143" s="501"/>
      <c r="CI2143" s="501"/>
      <c r="CJ2143" s="501"/>
      <c r="CK2143" s="501"/>
      <c r="CL2143" s="501"/>
      <c r="CM2143" s="501"/>
      <c r="CN2143" s="501"/>
      <c r="CO2143" s="501"/>
      <c r="CP2143" s="501"/>
      <c r="CQ2143" s="501"/>
      <c r="CR2143" s="501"/>
      <c r="CS2143" s="501"/>
      <c r="CT2143" s="501"/>
      <c r="CU2143" s="501"/>
      <c r="CV2143" s="501"/>
      <c r="CW2143" s="501"/>
      <c r="CX2143" s="501"/>
      <c r="CY2143" s="501"/>
      <c r="CZ2143" s="501"/>
      <c r="DA2143" s="501"/>
      <c r="DB2143" s="501"/>
      <c r="DC2143" s="501"/>
      <c r="DD2143" s="501"/>
      <c r="DE2143" s="501"/>
      <c r="DF2143" s="501"/>
      <c r="DG2143" s="501"/>
      <c r="DH2143" s="501"/>
      <c r="DI2143" s="501"/>
      <c r="DJ2143" s="501"/>
      <c r="DK2143" s="501"/>
      <c r="DL2143" s="501"/>
      <c r="DM2143" s="501"/>
      <c r="DN2143" s="501"/>
      <c r="DO2143" s="501"/>
      <c r="DP2143" s="501"/>
      <c r="DQ2143" s="501"/>
      <c r="DR2143" s="501"/>
      <c r="DS2143" s="501"/>
      <c r="DT2143" s="501"/>
      <c r="DU2143" s="501"/>
      <c r="DV2143" s="501"/>
      <c r="DW2143" s="501"/>
      <c r="DX2143" s="501"/>
      <c r="DY2143" s="501"/>
      <c r="DZ2143" s="501"/>
      <c r="EA2143" s="501"/>
      <c r="EB2143" s="501"/>
      <c r="EC2143" s="501"/>
      <c r="ED2143" s="501"/>
      <c r="EE2143" s="501"/>
      <c r="EF2143" s="501"/>
      <c r="EG2143" s="501"/>
      <c r="EH2143" s="501"/>
      <c r="EI2143" s="501"/>
      <c r="EJ2143" s="501"/>
      <c r="EK2143" s="501"/>
      <c r="EL2143" s="501"/>
      <c r="EM2143" s="501"/>
      <c r="EN2143" s="501"/>
      <c r="EO2143" s="501"/>
      <c r="EP2143" s="501"/>
      <c r="EQ2143" s="501"/>
      <c r="ER2143" s="501"/>
      <c r="ES2143" s="501"/>
      <c r="ET2143" s="501"/>
      <c r="EU2143" s="501"/>
      <c r="EV2143" s="501"/>
      <c r="EW2143" s="501"/>
      <c r="EX2143" s="501"/>
      <c r="EY2143" s="501"/>
      <c r="EZ2143" s="501"/>
      <c r="FA2143" s="501"/>
      <c r="FB2143" s="501"/>
      <c r="FC2143" s="501"/>
      <c r="FD2143" s="501"/>
      <c r="FE2143" s="501"/>
      <c r="FF2143" s="501"/>
      <c r="FG2143" s="501"/>
      <c r="FH2143" s="501"/>
      <c r="FI2143" s="501"/>
      <c r="FJ2143" s="501"/>
      <c r="FK2143" s="501"/>
      <c r="FL2143" s="501"/>
      <c r="FM2143" s="501"/>
      <c r="FN2143" s="501"/>
      <c r="FO2143" s="501"/>
      <c r="FP2143" s="501"/>
      <c r="FQ2143" s="501"/>
      <c r="FR2143" s="501"/>
      <c r="FS2143" s="501"/>
      <c r="FT2143" s="501"/>
      <c r="FU2143" s="501"/>
      <c r="FV2143" s="501"/>
      <c r="FW2143" s="501"/>
      <c r="FX2143" s="501"/>
      <c r="FY2143" s="501"/>
      <c r="FZ2143" s="501"/>
      <c r="GA2143" s="501"/>
      <c r="GB2143" s="501"/>
      <c r="GC2143" s="501"/>
      <c r="GD2143" s="501"/>
      <c r="GE2143" s="501"/>
      <c r="GF2143" s="501"/>
      <c r="GG2143" s="501"/>
      <c r="GH2143" s="501"/>
      <c r="GI2143" s="501"/>
      <c r="GJ2143" s="501"/>
      <c r="GK2143" s="501"/>
      <c r="GL2143" s="501"/>
      <c r="GM2143" s="501"/>
      <c r="GN2143" s="501"/>
      <c r="GO2143" s="501"/>
      <c r="GP2143" s="501"/>
      <c r="GQ2143" s="501"/>
      <c r="GR2143" s="501"/>
      <c r="GS2143" s="501"/>
      <c r="GT2143" s="501"/>
      <c r="GU2143" s="501"/>
      <c r="GV2143" s="501"/>
      <c r="GW2143" s="501"/>
      <c r="GX2143" s="501"/>
      <c r="GY2143" s="501"/>
      <c r="GZ2143" s="501"/>
      <c r="HA2143" s="501"/>
      <c r="HB2143" s="501"/>
      <c r="HC2143" s="501"/>
      <c r="HD2143" s="501"/>
      <c r="HE2143" s="501"/>
      <c r="HF2143" s="501"/>
      <c r="HG2143" s="501"/>
      <c r="HH2143" s="501"/>
      <c r="HI2143" s="501"/>
      <c r="HJ2143" s="501"/>
      <c r="HK2143" s="501"/>
      <c r="HL2143" s="501"/>
      <c r="HM2143" s="501"/>
      <c r="HN2143" s="501"/>
      <c r="HO2143" s="501"/>
      <c r="HP2143" s="501"/>
      <c r="HQ2143" s="501"/>
      <c r="HR2143" s="501"/>
      <c r="HS2143" s="501"/>
      <c r="HT2143" s="501"/>
      <c r="HU2143" s="501"/>
      <c r="HV2143" s="501"/>
      <c r="HW2143" s="501"/>
      <c r="HX2143" s="501"/>
      <c r="HY2143" s="501"/>
      <c r="HZ2143" s="501"/>
      <c r="IA2143" s="501"/>
      <c r="IB2143" s="501"/>
      <c r="IC2143" s="501"/>
      <c r="ID2143" s="501"/>
      <c r="IE2143" s="501"/>
      <c r="IF2143" s="501"/>
      <c r="IG2143" s="501"/>
      <c r="IH2143" s="501"/>
      <c r="II2143" s="501"/>
      <c r="IJ2143" s="501"/>
      <c r="IK2143" s="501"/>
      <c r="IL2143" s="501"/>
      <c r="IM2143" s="501"/>
      <c r="IN2143" s="501"/>
      <c r="IO2143" s="501"/>
      <c r="IP2143" s="501"/>
      <c r="IQ2143" s="501"/>
      <c r="IR2143" s="501"/>
      <c r="IS2143" s="501"/>
      <c r="IT2143" s="501"/>
      <c r="IU2143" s="501"/>
    </row>
    <row r="2144" spans="1:255" s="877" customFormat="1" ht="24" customHeight="1">
      <c r="A2144" s="501"/>
      <c r="B2144" s="501"/>
      <c r="C2144" s="501"/>
      <c r="D2144" s="501"/>
      <c r="E2144" s="501"/>
      <c r="F2144" s="545"/>
      <c r="G2144" s="889"/>
      <c r="H2144" s="545"/>
      <c r="I2144" s="876"/>
      <c r="J2144" s="876"/>
      <c r="K2144" s="545"/>
      <c r="L2144" s="876"/>
      <c r="M2144" s="882"/>
      <c r="N2144" s="501"/>
      <c r="O2144" s="501"/>
      <c r="P2144" s="902"/>
      <c r="Q2144" s="881"/>
      <c r="R2144" s="501"/>
      <c r="S2144" s="874"/>
      <c r="T2144" s="501"/>
      <c r="V2144" s="501"/>
      <c r="W2144" s="501"/>
      <c r="X2144" s="501"/>
      <c r="Y2144" s="501"/>
      <c r="Z2144" s="501"/>
      <c r="AA2144" s="501"/>
      <c r="AB2144" s="501"/>
      <c r="AC2144" s="501"/>
      <c r="AD2144" s="501"/>
      <c r="AE2144" s="501"/>
      <c r="AF2144" s="501"/>
      <c r="AG2144" s="501"/>
      <c r="AH2144" s="501"/>
      <c r="AI2144" s="501"/>
      <c r="AJ2144" s="501"/>
      <c r="AK2144" s="501"/>
      <c r="AL2144" s="501"/>
      <c r="AM2144" s="501"/>
      <c r="AN2144" s="501"/>
      <c r="AO2144" s="501"/>
      <c r="AP2144" s="501"/>
      <c r="AQ2144" s="501"/>
      <c r="AR2144" s="501"/>
      <c r="AS2144" s="501"/>
      <c r="AT2144" s="501"/>
      <c r="AU2144" s="501"/>
      <c r="AV2144" s="501"/>
      <c r="AW2144" s="501"/>
      <c r="AX2144" s="501"/>
      <c r="AY2144" s="501"/>
      <c r="AZ2144" s="501"/>
      <c r="BA2144" s="501"/>
      <c r="BB2144" s="501"/>
      <c r="BC2144" s="501"/>
      <c r="BD2144" s="501"/>
      <c r="BE2144" s="501"/>
      <c r="BF2144" s="501"/>
      <c r="BG2144" s="501"/>
      <c r="BH2144" s="501"/>
      <c r="BI2144" s="501"/>
      <c r="BJ2144" s="501"/>
      <c r="BK2144" s="501"/>
      <c r="BL2144" s="501"/>
      <c r="BM2144" s="501"/>
      <c r="BN2144" s="501"/>
      <c r="BO2144" s="501"/>
      <c r="BP2144" s="501"/>
      <c r="BQ2144" s="501"/>
      <c r="BR2144" s="501"/>
      <c r="BS2144" s="501"/>
      <c r="BT2144" s="501"/>
      <c r="BU2144" s="501"/>
      <c r="BV2144" s="501"/>
      <c r="BW2144" s="501"/>
      <c r="BX2144" s="501"/>
      <c r="BY2144" s="501"/>
      <c r="BZ2144" s="501"/>
      <c r="CA2144" s="501"/>
      <c r="CB2144" s="501"/>
      <c r="CC2144" s="501"/>
      <c r="CD2144" s="501"/>
      <c r="CE2144" s="501"/>
      <c r="CF2144" s="501"/>
      <c r="CG2144" s="501"/>
      <c r="CH2144" s="501"/>
      <c r="CI2144" s="501"/>
      <c r="CJ2144" s="501"/>
      <c r="CK2144" s="501"/>
      <c r="CL2144" s="501"/>
      <c r="CM2144" s="501"/>
      <c r="CN2144" s="501"/>
      <c r="CO2144" s="501"/>
      <c r="CP2144" s="501"/>
      <c r="CQ2144" s="501"/>
      <c r="CR2144" s="501"/>
      <c r="CS2144" s="501"/>
      <c r="CT2144" s="501"/>
      <c r="CU2144" s="501"/>
      <c r="CV2144" s="501"/>
      <c r="CW2144" s="501"/>
      <c r="CX2144" s="501"/>
      <c r="CY2144" s="501"/>
      <c r="CZ2144" s="501"/>
      <c r="DA2144" s="501"/>
      <c r="DB2144" s="501"/>
      <c r="DC2144" s="501"/>
      <c r="DD2144" s="501"/>
      <c r="DE2144" s="501"/>
      <c r="DF2144" s="501"/>
      <c r="DG2144" s="501"/>
      <c r="DH2144" s="501"/>
      <c r="DI2144" s="501"/>
      <c r="DJ2144" s="501"/>
      <c r="DK2144" s="501"/>
      <c r="DL2144" s="501"/>
      <c r="DM2144" s="501"/>
      <c r="DN2144" s="501"/>
      <c r="DO2144" s="501"/>
      <c r="DP2144" s="501"/>
      <c r="DQ2144" s="501"/>
      <c r="DR2144" s="501"/>
      <c r="DS2144" s="501"/>
      <c r="DT2144" s="501"/>
      <c r="DU2144" s="501"/>
      <c r="DV2144" s="501"/>
      <c r="DW2144" s="501"/>
      <c r="DX2144" s="501"/>
      <c r="DY2144" s="501"/>
      <c r="DZ2144" s="501"/>
      <c r="EA2144" s="501"/>
      <c r="EB2144" s="501"/>
      <c r="EC2144" s="501"/>
      <c r="ED2144" s="501"/>
      <c r="EE2144" s="501"/>
      <c r="EF2144" s="501"/>
      <c r="EG2144" s="501"/>
      <c r="EH2144" s="501"/>
      <c r="EI2144" s="501"/>
      <c r="EJ2144" s="501"/>
      <c r="EK2144" s="501"/>
      <c r="EL2144" s="501"/>
      <c r="EM2144" s="501"/>
      <c r="EN2144" s="501"/>
      <c r="EO2144" s="501"/>
      <c r="EP2144" s="501"/>
      <c r="EQ2144" s="501"/>
      <c r="ER2144" s="501"/>
      <c r="ES2144" s="501"/>
      <c r="ET2144" s="501"/>
      <c r="EU2144" s="501"/>
      <c r="EV2144" s="501"/>
      <c r="EW2144" s="501"/>
      <c r="EX2144" s="501"/>
      <c r="EY2144" s="501"/>
      <c r="EZ2144" s="501"/>
      <c r="FA2144" s="501"/>
      <c r="FB2144" s="501"/>
      <c r="FC2144" s="501"/>
      <c r="FD2144" s="501"/>
      <c r="FE2144" s="501"/>
      <c r="FF2144" s="501"/>
      <c r="FG2144" s="501"/>
      <c r="FH2144" s="501"/>
      <c r="FI2144" s="501"/>
      <c r="FJ2144" s="501"/>
      <c r="FK2144" s="501"/>
      <c r="FL2144" s="501"/>
      <c r="FM2144" s="501"/>
      <c r="FN2144" s="501"/>
      <c r="FO2144" s="501"/>
      <c r="FP2144" s="501"/>
      <c r="FQ2144" s="501"/>
      <c r="FR2144" s="501"/>
      <c r="FS2144" s="501"/>
      <c r="FT2144" s="501"/>
      <c r="FU2144" s="501"/>
      <c r="FV2144" s="501"/>
      <c r="FW2144" s="501"/>
      <c r="FX2144" s="501"/>
      <c r="FY2144" s="501"/>
      <c r="FZ2144" s="501"/>
      <c r="GA2144" s="501"/>
      <c r="GB2144" s="501"/>
      <c r="GC2144" s="501"/>
      <c r="GD2144" s="501"/>
      <c r="GE2144" s="501"/>
      <c r="GF2144" s="501"/>
      <c r="GG2144" s="501"/>
      <c r="GH2144" s="501"/>
      <c r="GI2144" s="501"/>
      <c r="GJ2144" s="501"/>
      <c r="GK2144" s="501"/>
      <c r="GL2144" s="501"/>
      <c r="GM2144" s="501"/>
      <c r="GN2144" s="501"/>
      <c r="GO2144" s="501"/>
      <c r="GP2144" s="501"/>
      <c r="GQ2144" s="501"/>
      <c r="GR2144" s="501"/>
      <c r="GS2144" s="501"/>
      <c r="GT2144" s="501"/>
      <c r="GU2144" s="501"/>
      <c r="GV2144" s="501"/>
      <c r="GW2144" s="501"/>
      <c r="GX2144" s="501"/>
      <c r="GY2144" s="501"/>
      <c r="GZ2144" s="501"/>
      <c r="HA2144" s="501"/>
      <c r="HB2144" s="501"/>
      <c r="HC2144" s="501"/>
      <c r="HD2144" s="501"/>
      <c r="HE2144" s="501"/>
      <c r="HF2144" s="501"/>
      <c r="HG2144" s="501"/>
      <c r="HH2144" s="501"/>
      <c r="HI2144" s="501"/>
      <c r="HJ2144" s="501"/>
      <c r="HK2144" s="501"/>
      <c r="HL2144" s="501"/>
      <c r="HM2144" s="501"/>
      <c r="HN2144" s="501"/>
      <c r="HO2144" s="501"/>
      <c r="HP2144" s="501"/>
      <c r="HQ2144" s="501"/>
      <c r="HR2144" s="501"/>
      <c r="HS2144" s="501"/>
      <c r="HT2144" s="501"/>
      <c r="HU2144" s="501"/>
      <c r="HV2144" s="501"/>
      <c r="HW2144" s="501"/>
      <c r="HX2144" s="501"/>
      <c r="HY2144" s="501"/>
      <c r="HZ2144" s="501"/>
      <c r="IA2144" s="501"/>
      <c r="IB2144" s="501"/>
      <c r="IC2144" s="501"/>
      <c r="ID2144" s="501"/>
      <c r="IE2144" s="501"/>
      <c r="IF2144" s="501"/>
      <c r="IG2144" s="501"/>
      <c r="IH2144" s="501"/>
      <c r="II2144" s="501"/>
      <c r="IJ2144" s="501"/>
      <c r="IK2144" s="501"/>
      <c r="IL2144" s="501"/>
      <c r="IM2144" s="501"/>
      <c r="IN2144" s="501"/>
      <c r="IO2144" s="501"/>
      <c r="IP2144" s="501"/>
      <c r="IQ2144" s="501"/>
      <c r="IR2144" s="501"/>
      <c r="IS2144" s="501"/>
      <c r="IT2144" s="501"/>
      <c r="IU2144" s="501"/>
    </row>
    <row r="2145" spans="1:255" s="877" customFormat="1" ht="24" customHeight="1">
      <c r="A2145" s="501"/>
      <c r="B2145" s="501"/>
      <c r="C2145" s="501"/>
      <c r="D2145" s="501"/>
      <c r="E2145" s="501"/>
      <c r="F2145" s="545"/>
      <c r="G2145" s="889"/>
      <c r="H2145" s="545"/>
      <c r="I2145" s="876"/>
      <c r="J2145" s="876"/>
      <c r="K2145" s="545"/>
      <c r="L2145" s="876"/>
      <c r="M2145" s="882"/>
      <c r="N2145" s="501"/>
      <c r="O2145" s="545"/>
      <c r="P2145" s="901"/>
      <c r="Q2145" s="876"/>
      <c r="R2145" s="1029"/>
      <c r="S2145" s="876"/>
      <c r="T2145" s="545"/>
      <c r="V2145" s="501"/>
      <c r="W2145" s="501"/>
      <c r="X2145" s="501"/>
      <c r="Y2145" s="501"/>
      <c r="Z2145" s="501"/>
      <c r="AA2145" s="501"/>
      <c r="AB2145" s="501"/>
      <c r="AC2145" s="501"/>
      <c r="AD2145" s="501"/>
      <c r="AE2145" s="501"/>
      <c r="AF2145" s="501"/>
      <c r="AG2145" s="501"/>
      <c r="AH2145" s="501"/>
      <c r="AI2145" s="501"/>
      <c r="AJ2145" s="501"/>
      <c r="AK2145" s="501"/>
      <c r="AL2145" s="501"/>
      <c r="AM2145" s="501"/>
      <c r="AN2145" s="501"/>
      <c r="AO2145" s="501"/>
      <c r="AP2145" s="501"/>
      <c r="AQ2145" s="501"/>
      <c r="AR2145" s="501"/>
      <c r="AS2145" s="501"/>
      <c r="AT2145" s="501"/>
      <c r="AU2145" s="501"/>
      <c r="AV2145" s="501"/>
      <c r="AW2145" s="501"/>
      <c r="AX2145" s="501"/>
      <c r="AY2145" s="501"/>
      <c r="AZ2145" s="501"/>
      <c r="BA2145" s="501"/>
      <c r="BB2145" s="501"/>
      <c r="BC2145" s="501"/>
      <c r="BD2145" s="501"/>
      <c r="BE2145" s="501"/>
      <c r="BF2145" s="501"/>
      <c r="BG2145" s="501"/>
      <c r="BH2145" s="501"/>
      <c r="BI2145" s="501"/>
      <c r="BJ2145" s="501"/>
      <c r="BK2145" s="501"/>
      <c r="BL2145" s="501"/>
      <c r="BM2145" s="501"/>
      <c r="BN2145" s="501"/>
      <c r="BO2145" s="501"/>
      <c r="BP2145" s="501"/>
      <c r="BQ2145" s="501"/>
      <c r="BR2145" s="501"/>
      <c r="BS2145" s="501"/>
      <c r="BT2145" s="501"/>
      <c r="BU2145" s="501"/>
      <c r="BV2145" s="501"/>
      <c r="BW2145" s="501"/>
      <c r="BX2145" s="501"/>
      <c r="BY2145" s="501"/>
      <c r="BZ2145" s="501"/>
      <c r="CA2145" s="501"/>
      <c r="CB2145" s="501"/>
      <c r="CC2145" s="501"/>
      <c r="CD2145" s="501"/>
      <c r="CE2145" s="501"/>
      <c r="CF2145" s="501"/>
      <c r="CG2145" s="501"/>
      <c r="CH2145" s="501"/>
      <c r="CI2145" s="501"/>
      <c r="CJ2145" s="501"/>
      <c r="CK2145" s="501"/>
      <c r="CL2145" s="501"/>
      <c r="CM2145" s="501"/>
      <c r="CN2145" s="501"/>
      <c r="CO2145" s="501"/>
      <c r="CP2145" s="501"/>
      <c r="CQ2145" s="501"/>
      <c r="CR2145" s="501"/>
      <c r="CS2145" s="501"/>
      <c r="CT2145" s="501"/>
      <c r="CU2145" s="501"/>
      <c r="CV2145" s="501"/>
      <c r="CW2145" s="501"/>
      <c r="CX2145" s="501"/>
      <c r="CY2145" s="501"/>
      <c r="CZ2145" s="501"/>
      <c r="DA2145" s="501"/>
      <c r="DB2145" s="501"/>
      <c r="DC2145" s="501"/>
      <c r="DD2145" s="501"/>
      <c r="DE2145" s="501"/>
      <c r="DF2145" s="501"/>
      <c r="DG2145" s="501"/>
      <c r="DH2145" s="501"/>
      <c r="DI2145" s="501"/>
      <c r="DJ2145" s="501"/>
      <c r="DK2145" s="501"/>
      <c r="DL2145" s="501"/>
      <c r="DM2145" s="501"/>
      <c r="DN2145" s="501"/>
      <c r="DO2145" s="501"/>
      <c r="DP2145" s="501"/>
      <c r="DQ2145" s="501"/>
      <c r="DR2145" s="501"/>
      <c r="DS2145" s="501"/>
      <c r="DT2145" s="501"/>
      <c r="DU2145" s="501"/>
      <c r="DV2145" s="501"/>
      <c r="DW2145" s="501"/>
      <c r="DX2145" s="501"/>
      <c r="DY2145" s="501"/>
      <c r="DZ2145" s="501"/>
      <c r="EA2145" s="501"/>
      <c r="EB2145" s="501"/>
      <c r="EC2145" s="501"/>
      <c r="ED2145" s="501"/>
      <c r="EE2145" s="501"/>
      <c r="EF2145" s="501"/>
      <c r="EG2145" s="501"/>
      <c r="EH2145" s="501"/>
      <c r="EI2145" s="501"/>
      <c r="EJ2145" s="501"/>
      <c r="EK2145" s="501"/>
      <c r="EL2145" s="501"/>
      <c r="EM2145" s="501"/>
      <c r="EN2145" s="501"/>
      <c r="EO2145" s="501"/>
      <c r="EP2145" s="501"/>
      <c r="EQ2145" s="501"/>
      <c r="ER2145" s="501"/>
      <c r="ES2145" s="501"/>
      <c r="ET2145" s="501"/>
      <c r="EU2145" s="501"/>
      <c r="EV2145" s="501"/>
      <c r="EW2145" s="501"/>
      <c r="EX2145" s="501"/>
      <c r="EY2145" s="501"/>
      <c r="EZ2145" s="501"/>
      <c r="FA2145" s="501"/>
      <c r="FB2145" s="501"/>
      <c r="FC2145" s="501"/>
      <c r="FD2145" s="501"/>
      <c r="FE2145" s="501"/>
      <c r="FF2145" s="501"/>
      <c r="FG2145" s="501"/>
      <c r="FH2145" s="501"/>
      <c r="FI2145" s="501"/>
      <c r="FJ2145" s="501"/>
      <c r="FK2145" s="501"/>
      <c r="FL2145" s="501"/>
      <c r="FM2145" s="501"/>
      <c r="FN2145" s="501"/>
      <c r="FO2145" s="501"/>
      <c r="FP2145" s="501"/>
      <c r="FQ2145" s="501"/>
      <c r="FR2145" s="501"/>
      <c r="FS2145" s="501"/>
      <c r="FT2145" s="501"/>
      <c r="FU2145" s="501"/>
      <c r="FV2145" s="501"/>
      <c r="FW2145" s="501"/>
      <c r="FX2145" s="501"/>
      <c r="FY2145" s="501"/>
      <c r="FZ2145" s="501"/>
      <c r="GA2145" s="501"/>
      <c r="GB2145" s="501"/>
      <c r="GC2145" s="501"/>
      <c r="GD2145" s="501"/>
      <c r="GE2145" s="501"/>
      <c r="GF2145" s="501"/>
      <c r="GG2145" s="501"/>
      <c r="GH2145" s="501"/>
      <c r="GI2145" s="501"/>
      <c r="GJ2145" s="501"/>
      <c r="GK2145" s="501"/>
      <c r="GL2145" s="501"/>
      <c r="GM2145" s="501"/>
      <c r="GN2145" s="501"/>
      <c r="GO2145" s="501"/>
      <c r="GP2145" s="501"/>
      <c r="GQ2145" s="501"/>
      <c r="GR2145" s="501"/>
      <c r="GS2145" s="501"/>
      <c r="GT2145" s="501"/>
      <c r="GU2145" s="501"/>
      <c r="GV2145" s="501"/>
      <c r="GW2145" s="501"/>
      <c r="GX2145" s="501"/>
      <c r="GY2145" s="501"/>
      <c r="GZ2145" s="501"/>
      <c r="HA2145" s="501"/>
      <c r="HB2145" s="501"/>
      <c r="HC2145" s="501"/>
      <c r="HD2145" s="501"/>
      <c r="HE2145" s="501"/>
      <c r="HF2145" s="501"/>
      <c r="HG2145" s="501"/>
      <c r="HH2145" s="501"/>
      <c r="HI2145" s="501"/>
      <c r="HJ2145" s="501"/>
      <c r="HK2145" s="501"/>
      <c r="HL2145" s="501"/>
      <c r="HM2145" s="501"/>
      <c r="HN2145" s="501"/>
      <c r="HO2145" s="501"/>
      <c r="HP2145" s="501"/>
      <c r="HQ2145" s="501"/>
      <c r="HR2145" s="501"/>
      <c r="HS2145" s="501"/>
      <c r="HT2145" s="501"/>
      <c r="HU2145" s="501"/>
      <c r="HV2145" s="501"/>
      <c r="HW2145" s="501"/>
      <c r="HX2145" s="501"/>
      <c r="HY2145" s="501"/>
      <c r="HZ2145" s="501"/>
      <c r="IA2145" s="501"/>
      <c r="IB2145" s="501"/>
      <c r="IC2145" s="501"/>
      <c r="ID2145" s="501"/>
      <c r="IE2145" s="501"/>
      <c r="IF2145" s="501"/>
      <c r="IG2145" s="501"/>
      <c r="IH2145" s="501"/>
      <c r="II2145" s="501"/>
      <c r="IJ2145" s="501"/>
      <c r="IK2145" s="501"/>
      <c r="IL2145" s="501"/>
      <c r="IM2145" s="501"/>
      <c r="IN2145" s="501"/>
      <c r="IO2145" s="501"/>
      <c r="IP2145" s="501"/>
      <c r="IQ2145" s="501"/>
      <c r="IR2145" s="501"/>
      <c r="IS2145" s="501"/>
      <c r="IT2145" s="501"/>
      <c r="IU2145" s="501"/>
    </row>
    <row r="2146" spans="1:255" s="877" customFormat="1" ht="24" customHeight="1">
      <c r="A2146" s="501"/>
      <c r="B2146" s="501"/>
      <c r="C2146" s="501"/>
      <c r="D2146" s="501"/>
      <c r="E2146" s="501"/>
      <c r="F2146" s="545"/>
      <c r="G2146" s="889"/>
      <c r="H2146" s="545"/>
      <c r="I2146" s="876"/>
      <c r="J2146" s="876"/>
      <c r="K2146" s="545"/>
      <c r="L2146" s="876"/>
      <c r="M2146" s="882"/>
      <c r="N2146" s="501"/>
      <c r="O2146" s="545"/>
      <c r="P2146" s="901"/>
      <c r="Q2146" s="876"/>
      <c r="R2146" s="545"/>
      <c r="S2146" s="876"/>
      <c r="T2146" s="545"/>
      <c r="V2146" s="501"/>
      <c r="W2146" s="501"/>
      <c r="X2146" s="501"/>
      <c r="Y2146" s="501"/>
      <c r="Z2146" s="501"/>
      <c r="AA2146" s="501"/>
      <c r="AB2146" s="501"/>
      <c r="AC2146" s="501"/>
      <c r="AD2146" s="501"/>
      <c r="AE2146" s="501"/>
      <c r="AF2146" s="501"/>
      <c r="AG2146" s="501"/>
      <c r="AH2146" s="501"/>
      <c r="AI2146" s="501"/>
      <c r="AJ2146" s="501"/>
      <c r="AK2146" s="501"/>
      <c r="AL2146" s="501"/>
      <c r="AM2146" s="501"/>
      <c r="AN2146" s="501"/>
      <c r="AO2146" s="501"/>
      <c r="AP2146" s="501"/>
      <c r="AQ2146" s="501"/>
      <c r="AR2146" s="501"/>
      <c r="AS2146" s="501"/>
      <c r="AT2146" s="501"/>
      <c r="AU2146" s="501"/>
      <c r="AV2146" s="501"/>
      <c r="AW2146" s="501"/>
      <c r="AX2146" s="501"/>
      <c r="AY2146" s="501"/>
      <c r="AZ2146" s="501"/>
      <c r="BA2146" s="501"/>
      <c r="BB2146" s="501"/>
      <c r="BC2146" s="501"/>
      <c r="BD2146" s="501"/>
      <c r="BE2146" s="501"/>
      <c r="BF2146" s="501"/>
      <c r="BG2146" s="501"/>
      <c r="BH2146" s="501"/>
      <c r="BI2146" s="501"/>
      <c r="BJ2146" s="501"/>
      <c r="BK2146" s="501"/>
      <c r="BL2146" s="501"/>
      <c r="BM2146" s="501"/>
      <c r="BN2146" s="501"/>
      <c r="BO2146" s="501"/>
      <c r="BP2146" s="501"/>
      <c r="BQ2146" s="501"/>
      <c r="BR2146" s="501"/>
      <c r="BS2146" s="501"/>
      <c r="BT2146" s="501"/>
      <c r="BU2146" s="501"/>
      <c r="BV2146" s="501"/>
      <c r="BW2146" s="501"/>
      <c r="BX2146" s="501"/>
      <c r="BY2146" s="501"/>
      <c r="BZ2146" s="501"/>
      <c r="CA2146" s="501"/>
      <c r="CB2146" s="501"/>
      <c r="CC2146" s="501"/>
      <c r="CD2146" s="501"/>
      <c r="CE2146" s="501"/>
      <c r="CF2146" s="501"/>
      <c r="CG2146" s="501"/>
      <c r="CH2146" s="501"/>
      <c r="CI2146" s="501"/>
      <c r="CJ2146" s="501"/>
      <c r="CK2146" s="501"/>
      <c r="CL2146" s="501"/>
      <c r="CM2146" s="501"/>
      <c r="CN2146" s="501"/>
      <c r="CO2146" s="501"/>
      <c r="CP2146" s="501"/>
      <c r="CQ2146" s="501"/>
      <c r="CR2146" s="501"/>
      <c r="CS2146" s="501"/>
      <c r="CT2146" s="501"/>
      <c r="CU2146" s="501"/>
      <c r="CV2146" s="501"/>
      <c r="CW2146" s="501"/>
      <c r="CX2146" s="501"/>
      <c r="CY2146" s="501"/>
      <c r="CZ2146" s="501"/>
      <c r="DA2146" s="501"/>
      <c r="DB2146" s="501"/>
      <c r="DC2146" s="501"/>
      <c r="DD2146" s="501"/>
      <c r="DE2146" s="501"/>
      <c r="DF2146" s="501"/>
      <c r="DG2146" s="501"/>
      <c r="DH2146" s="501"/>
      <c r="DI2146" s="501"/>
      <c r="DJ2146" s="501"/>
      <c r="DK2146" s="501"/>
      <c r="DL2146" s="501"/>
      <c r="DM2146" s="501"/>
      <c r="DN2146" s="501"/>
      <c r="DO2146" s="501"/>
      <c r="DP2146" s="501"/>
      <c r="DQ2146" s="501"/>
      <c r="DR2146" s="501"/>
      <c r="DS2146" s="501"/>
      <c r="DT2146" s="501"/>
      <c r="DU2146" s="501"/>
      <c r="DV2146" s="501"/>
      <c r="DW2146" s="501"/>
      <c r="DX2146" s="501"/>
      <c r="DY2146" s="501"/>
      <c r="DZ2146" s="501"/>
      <c r="EA2146" s="501"/>
      <c r="EB2146" s="501"/>
      <c r="EC2146" s="501"/>
      <c r="ED2146" s="501"/>
      <c r="EE2146" s="501"/>
      <c r="EF2146" s="501"/>
      <c r="EG2146" s="501"/>
      <c r="EH2146" s="501"/>
      <c r="EI2146" s="501"/>
      <c r="EJ2146" s="501"/>
      <c r="EK2146" s="501"/>
      <c r="EL2146" s="501"/>
      <c r="EM2146" s="501"/>
      <c r="EN2146" s="501"/>
      <c r="EO2146" s="501"/>
      <c r="EP2146" s="501"/>
      <c r="EQ2146" s="501"/>
      <c r="ER2146" s="501"/>
      <c r="ES2146" s="501"/>
      <c r="ET2146" s="501"/>
      <c r="EU2146" s="501"/>
      <c r="EV2146" s="501"/>
      <c r="EW2146" s="501"/>
      <c r="EX2146" s="501"/>
      <c r="EY2146" s="501"/>
      <c r="EZ2146" s="501"/>
      <c r="FA2146" s="501"/>
      <c r="FB2146" s="501"/>
      <c r="FC2146" s="501"/>
      <c r="FD2146" s="501"/>
      <c r="FE2146" s="501"/>
      <c r="FF2146" s="501"/>
      <c r="FG2146" s="501"/>
      <c r="FH2146" s="501"/>
      <c r="FI2146" s="501"/>
      <c r="FJ2146" s="501"/>
      <c r="FK2146" s="501"/>
      <c r="FL2146" s="501"/>
      <c r="FM2146" s="501"/>
      <c r="FN2146" s="501"/>
      <c r="FO2146" s="501"/>
      <c r="FP2146" s="501"/>
      <c r="FQ2146" s="501"/>
      <c r="FR2146" s="501"/>
      <c r="FS2146" s="501"/>
      <c r="FT2146" s="501"/>
      <c r="FU2146" s="501"/>
      <c r="FV2146" s="501"/>
      <c r="FW2146" s="501"/>
      <c r="FX2146" s="501"/>
      <c r="FY2146" s="501"/>
      <c r="FZ2146" s="501"/>
      <c r="GA2146" s="501"/>
      <c r="GB2146" s="501"/>
      <c r="GC2146" s="501"/>
      <c r="GD2146" s="501"/>
      <c r="GE2146" s="501"/>
      <c r="GF2146" s="501"/>
      <c r="GG2146" s="501"/>
      <c r="GH2146" s="501"/>
      <c r="GI2146" s="501"/>
      <c r="GJ2146" s="501"/>
      <c r="GK2146" s="501"/>
      <c r="GL2146" s="501"/>
      <c r="GM2146" s="501"/>
      <c r="GN2146" s="501"/>
      <c r="GO2146" s="501"/>
      <c r="GP2146" s="501"/>
      <c r="GQ2146" s="501"/>
      <c r="GR2146" s="501"/>
      <c r="GS2146" s="501"/>
      <c r="GT2146" s="501"/>
      <c r="GU2146" s="501"/>
      <c r="GV2146" s="501"/>
      <c r="GW2146" s="501"/>
      <c r="GX2146" s="501"/>
      <c r="GY2146" s="501"/>
      <c r="GZ2146" s="501"/>
      <c r="HA2146" s="501"/>
      <c r="HB2146" s="501"/>
      <c r="HC2146" s="501"/>
      <c r="HD2146" s="501"/>
      <c r="HE2146" s="501"/>
      <c r="HF2146" s="501"/>
      <c r="HG2146" s="501"/>
      <c r="HH2146" s="501"/>
      <c r="HI2146" s="501"/>
      <c r="HJ2146" s="501"/>
      <c r="HK2146" s="501"/>
      <c r="HL2146" s="501"/>
      <c r="HM2146" s="501"/>
      <c r="HN2146" s="501"/>
      <c r="HO2146" s="501"/>
      <c r="HP2146" s="501"/>
      <c r="HQ2146" s="501"/>
      <c r="HR2146" s="501"/>
      <c r="HS2146" s="501"/>
      <c r="HT2146" s="501"/>
      <c r="HU2146" s="501"/>
      <c r="HV2146" s="501"/>
      <c r="HW2146" s="501"/>
      <c r="HX2146" s="501"/>
      <c r="HY2146" s="501"/>
      <c r="HZ2146" s="501"/>
      <c r="IA2146" s="501"/>
      <c r="IB2146" s="501"/>
      <c r="IC2146" s="501"/>
      <c r="ID2146" s="501"/>
      <c r="IE2146" s="501"/>
      <c r="IF2146" s="501"/>
      <c r="IG2146" s="501"/>
      <c r="IH2146" s="501"/>
      <c r="II2146" s="501"/>
      <c r="IJ2146" s="501"/>
      <c r="IK2146" s="501"/>
      <c r="IL2146" s="501"/>
      <c r="IM2146" s="501"/>
      <c r="IN2146" s="501"/>
      <c r="IO2146" s="501"/>
      <c r="IP2146" s="501"/>
      <c r="IQ2146" s="501"/>
      <c r="IR2146" s="501"/>
      <c r="IS2146" s="501"/>
      <c r="IT2146" s="501"/>
      <c r="IU2146" s="501"/>
    </row>
    <row r="2147" spans="1:255" s="877" customFormat="1" ht="24" customHeight="1">
      <c r="A2147" s="501"/>
      <c r="B2147" s="501"/>
      <c r="C2147" s="501"/>
      <c r="D2147" s="501"/>
      <c r="E2147" s="501"/>
      <c r="F2147" s="545"/>
      <c r="G2147" s="889"/>
      <c r="H2147" s="545"/>
      <c r="I2147" s="876"/>
      <c r="J2147" s="876"/>
      <c r="K2147" s="545"/>
      <c r="L2147" s="876"/>
      <c r="M2147" s="882"/>
      <c r="N2147" s="501"/>
      <c r="O2147" s="545"/>
      <c r="P2147" s="901"/>
      <c r="Q2147" s="876"/>
      <c r="R2147" s="545"/>
      <c r="S2147" s="876"/>
      <c r="T2147" s="545"/>
      <c r="V2147" s="501"/>
      <c r="W2147" s="501"/>
      <c r="X2147" s="501"/>
      <c r="Y2147" s="501"/>
      <c r="Z2147" s="501"/>
      <c r="AA2147" s="501"/>
      <c r="AB2147" s="501"/>
      <c r="AC2147" s="501"/>
      <c r="AD2147" s="501"/>
      <c r="AE2147" s="501"/>
      <c r="AF2147" s="501"/>
      <c r="AG2147" s="501"/>
      <c r="AH2147" s="501"/>
      <c r="AI2147" s="501"/>
      <c r="AJ2147" s="501"/>
      <c r="AK2147" s="501"/>
      <c r="AL2147" s="501"/>
      <c r="AM2147" s="501"/>
      <c r="AN2147" s="501"/>
      <c r="AO2147" s="501"/>
      <c r="AP2147" s="501"/>
      <c r="AQ2147" s="501"/>
      <c r="AR2147" s="501"/>
      <c r="AS2147" s="501"/>
      <c r="AT2147" s="501"/>
      <c r="AU2147" s="501"/>
      <c r="AV2147" s="501"/>
      <c r="AW2147" s="501"/>
      <c r="AX2147" s="501"/>
      <c r="AY2147" s="501"/>
      <c r="AZ2147" s="501"/>
      <c r="BA2147" s="501"/>
      <c r="BB2147" s="501"/>
      <c r="BC2147" s="501"/>
      <c r="BD2147" s="501"/>
      <c r="BE2147" s="501"/>
      <c r="BF2147" s="501"/>
      <c r="BG2147" s="501"/>
      <c r="BH2147" s="501"/>
      <c r="BI2147" s="501"/>
      <c r="BJ2147" s="501"/>
      <c r="BK2147" s="501"/>
      <c r="BL2147" s="501"/>
      <c r="BM2147" s="501"/>
      <c r="BN2147" s="501"/>
      <c r="BO2147" s="501"/>
      <c r="BP2147" s="501"/>
      <c r="BQ2147" s="501"/>
      <c r="BR2147" s="501"/>
      <c r="BS2147" s="501"/>
      <c r="BT2147" s="501"/>
      <c r="BU2147" s="501"/>
      <c r="BV2147" s="501"/>
      <c r="BW2147" s="501"/>
      <c r="BX2147" s="501"/>
      <c r="BY2147" s="501"/>
      <c r="BZ2147" s="501"/>
      <c r="CA2147" s="501"/>
      <c r="CB2147" s="501"/>
      <c r="CC2147" s="501"/>
      <c r="CD2147" s="501"/>
      <c r="CE2147" s="501"/>
      <c r="CF2147" s="501"/>
      <c r="CG2147" s="501"/>
      <c r="CH2147" s="501"/>
      <c r="CI2147" s="501"/>
      <c r="CJ2147" s="501"/>
      <c r="CK2147" s="501"/>
      <c r="CL2147" s="501"/>
      <c r="CM2147" s="501"/>
      <c r="CN2147" s="501"/>
      <c r="CO2147" s="501"/>
      <c r="CP2147" s="501"/>
      <c r="CQ2147" s="501"/>
      <c r="CR2147" s="501"/>
      <c r="CS2147" s="501"/>
      <c r="CT2147" s="501"/>
      <c r="CU2147" s="501"/>
      <c r="CV2147" s="501"/>
      <c r="CW2147" s="501"/>
      <c r="CX2147" s="501"/>
      <c r="CY2147" s="501"/>
      <c r="CZ2147" s="501"/>
      <c r="DA2147" s="501"/>
      <c r="DB2147" s="501"/>
      <c r="DC2147" s="501"/>
      <c r="DD2147" s="501"/>
      <c r="DE2147" s="501"/>
      <c r="DF2147" s="501"/>
      <c r="DG2147" s="501"/>
      <c r="DH2147" s="501"/>
      <c r="DI2147" s="501"/>
      <c r="DJ2147" s="501"/>
      <c r="DK2147" s="501"/>
      <c r="DL2147" s="501"/>
      <c r="DM2147" s="501"/>
      <c r="DN2147" s="501"/>
      <c r="DO2147" s="501"/>
      <c r="DP2147" s="501"/>
      <c r="DQ2147" s="501"/>
      <c r="DR2147" s="501"/>
      <c r="DS2147" s="501"/>
      <c r="DT2147" s="501"/>
      <c r="DU2147" s="501"/>
      <c r="DV2147" s="501"/>
      <c r="DW2147" s="501"/>
      <c r="DX2147" s="501"/>
      <c r="DY2147" s="501"/>
      <c r="DZ2147" s="501"/>
      <c r="EA2147" s="501"/>
      <c r="EB2147" s="501"/>
      <c r="EC2147" s="501"/>
      <c r="ED2147" s="501"/>
      <c r="EE2147" s="501"/>
      <c r="EF2147" s="501"/>
      <c r="EG2147" s="501"/>
      <c r="EH2147" s="501"/>
      <c r="EI2147" s="501"/>
      <c r="EJ2147" s="501"/>
      <c r="EK2147" s="501"/>
      <c r="EL2147" s="501"/>
      <c r="EM2147" s="501"/>
      <c r="EN2147" s="501"/>
      <c r="EO2147" s="501"/>
      <c r="EP2147" s="501"/>
      <c r="EQ2147" s="501"/>
      <c r="ER2147" s="501"/>
      <c r="ES2147" s="501"/>
      <c r="ET2147" s="501"/>
      <c r="EU2147" s="501"/>
      <c r="EV2147" s="501"/>
      <c r="EW2147" s="501"/>
      <c r="EX2147" s="501"/>
      <c r="EY2147" s="501"/>
      <c r="EZ2147" s="501"/>
      <c r="FA2147" s="501"/>
      <c r="FB2147" s="501"/>
      <c r="FC2147" s="501"/>
      <c r="FD2147" s="501"/>
      <c r="FE2147" s="501"/>
      <c r="FF2147" s="501"/>
      <c r="FG2147" s="501"/>
      <c r="FH2147" s="501"/>
      <c r="FI2147" s="501"/>
      <c r="FJ2147" s="501"/>
      <c r="FK2147" s="501"/>
      <c r="FL2147" s="501"/>
      <c r="FM2147" s="501"/>
      <c r="FN2147" s="501"/>
      <c r="FO2147" s="501"/>
      <c r="FP2147" s="501"/>
      <c r="FQ2147" s="501"/>
      <c r="FR2147" s="501"/>
      <c r="FS2147" s="501"/>
      <c r="FT2147" s="501"/>
      <c r="FU2147" s="501"/>
      <c r="FV2147" s="501"/>
      <c r="FW2147" s="501"/>
      <c r="FX2147" s="501"/>
      <c r="FY2147" s="501"/>
      <c r="FZ2147" s="501"/>
      <c r="GA2147" s="501"/>
      <c r="GB2147" s="501"/>
      <c r="GC2147" s="501"/>
      <c r="GD2147" s="501"/>
      <c r="GE2147" s="501"/>
      <c r="GF2147" s="501"/>
      <c r="GG2147" s="501"/>
      <c r="GH2147" s="501"/>
      <c r="GI2147" s="501"/>
      <c r="GJ2147" s="501"/>
      <c r="GK2147" s="501"/>
      <c r="GL2147" s="501"/>
      <c r="GM2147" s="501"/>
      <c r="GN2147" s="501"/>
      <c r="GO2147" s="501"/>
      <c r="GP2147" s="501"/>
      <c r="GQ2147" s="501"/>
      <c r="GR2147" s="501"/>
      <c r="GS2147" s="501"/>
      <c r="GT2147" s="501"/>
      <c r="GU2147" s="501"/>
      <c r="GV2147" s="501"/>
      <c r="GW2147" s="501"/>
      <c r="GX2147" s="501"/>
      <c r="GY2147" s="501"/>
      <c r="GZ2147" s="501"/>
      <c r="HA2147" s="501"/>
      <c r="HB2147" s="501"/>
      <c r="HC2147" s="501"/>
      <c r="HD2147" s="501"/>
      <c r="HE2147" s="501"/>
      <c r="HF2147" s="501"/>
      <c r="HG2147" s="501"/>
      <c r="HH2147" s="501"/>
      <c r="HI2147" s="501"/>
      <c r="HJ2147" s="501"/>
      <c r="HK2147" s="501"/>
      <c r="HL2147" s="501"/>
      <c r="HM2147" s="501"/>
      <c r="HN2147" s="501"/>
      <c r="HO2147" s="501"/>
      <c r="HP2147" s="501"/>
      <c r="HQ2147" s="501"/>
      <c r="HR2147" s="501"/>
      <c r="HS2147" s="501"/>
      <c r="HT2147" s="501"/>
      <c r="HU2147" s="501"/>
      <c r="HV2147" s="501"/>
      <c r="HW2147" s="501"/>
      <c r="HX2147" s="501"/>
      <c r="HY2147" s="501"/>
      <c r="HZ2147" s="501"/>
      <c r="IA2147" s="501"/>
      <c r="IB2147" s="501"/>
      <c r="IC2147" s="501"/>
      <c r="ID2147" s="501"/>
      <c r="IE2147" s="501"/>
      <c r="IF2147" s="501"/>
      <c r="IG2147" s="501"/>
      <c r="IH2147" s="501"/>
      <c r="II2147" s="501"/>
      <c r="IJ2147" s="501"/>
      <c r="IK2147" s="501"/>
      <c r="IL2147" s="501"/>
      <c r="IM2147" s="501"/>
      <c r="IN2147" s="501"/>
      <c r="IO2147" s="501"/>
      <c r="IP2147" s="501"/>
      <c r="IQ2147" s="501"/>
      <c r="IR2147" s="501"/>
      <c r="IS2147" s="501"/>
      <c r="IT2147" s="501"/>
      <c r="IU2147" s="501"/>
    </row>
    <row r="2148" spans="1:255" s="877" customFormat="1" ht="24" customHeight="1">
      <c r="A2148" s="501"/>
      <c r="B2148" s="501"/>
      <c r="C2148" s="501"/>
      <c r="D2148" s="501"/>
      <c r="E2148" s="501"/>
      <c r="F2148" s="501"/>
      <c r="G2148" s="915"/>
      <c r="H2148" s="501"/>
      <c r="I2148" s="876"/>
      <c r="J2148" s="876"/>
      <c r="K2148" s="501"/>
      <c r="L2148" s="876"/>
      <c r="M2148" s="882"/>
      <c r="N2148" s="501"/>
      <c r="O2148" s="545"/>
      <c r="P2148" s="901"/>
      <c r="Q2148" s="876"/>
      <c r="R2148" s="545"/>
      <c r="S2148" s="876"/>
      <c r="T2148" s="545"/>
      <c r="V2148" s="501"/>
      <c r="W2148" s="501"/>
      <c r="X2148" s="501"/>
      <c r="Y2148" s="501"/>
      <c r="Z2148" s="501"/>
      <c r="AA2148" s="501"/>
      <c r="AB2148" s="501"/>
      <c r="AC2148" s="501"/>
      <c r="AD2148" s="501"/>
      <c r="AE2148" s="501"/>
      <c r="AF2148" s="501"/>
      <c r="AG2148" s="501"/>
      <c r="AH2148" s="501"/>
      <c r="AI2148" s="501"/>
      <c r="AJ2148" s="501"/>
      <c r="AK2148" s="501"/>
      <c r="AL2148" s="501"/>
      <c r="AM2148" s="501"/>
      <c r="AN2148" s="501"/>
      <c r="AO2148" s="501"/>
      <c r="AP2148" s="501"/>
      <c r="AQ2148" s="501"/>
      <c r="AR2148" s="501"/>
      <c r="AS2148" s="501"/>
      <c r="AT2148" s="501"/>
      <c r="AU2148" s="501"/>
      <c r="AV2148" s="501"/>
      <c r="AW2148" s="501"/>
      <c r="AX2148" s="501"/>
      <c r="AY2148" s="501"/>
      <c r="AZ2148" s="501"/>
      <c r="BA2148" s="501"/>
      <c r="BB2148" s="501"/>
      <c r="BC2148" s="501"/>
      <c r="BD2148" s="501"/>
      <c r="BE2148" s="501"/>
      <c r="BF2148" s="501"/>
      <c r="BG2148" s="501"/>
      <c r="BH2148" s="501"/>
      <c r="BI2148" s="501"/>
      <c r="BJ2148" s="501"/>
      <c r="BK2148" s="501"/>
      <c r="BL2148" s="501"/>
      <c r="BM2148" s="501"/>
      <c r="BN2148" s="501"/>
      <c r="BO2148" s="501"/>
      <c r="BP2148" s="501"/>
      <c r="BQ2148" s="501"/>
      <c r="BR2148" s="501"/>
      <c r="BS2148" s="501"/>
      <c r="BT2148" s="501"/>
      <c r="BU2148" s="501"/>
      <c r="BV2148" s="501"/>
      <c r="BW2148" s="501"/>
      <c r="BX2148" s="501"/>
      <c r="BY2148" s="501"/>
      <c r="BZ2148" s="501"/>
      <c r="CA2148" s="501"/>
      <c r="CB2148" s="501"/>
      <c r="CC2148" s="501"/>
      <c r="CD2148" s="501"/>
      <c r="CE2148" s="501"/>
      <c r="CF2148" s="501"/>
      <c r="CG2148" s="501"/>
      <c r="CH2148" s="501"/>
      <c r="CI2148" s="501"/>
      <c r="CJ2148" s="501"/>
      <c r="CK2148" s="501"/>
      <c r="CL2148" s="501"/>
      <c r="CM2148" s="501"/>
      <c r="CN2148" s="501"/>
      <c r="CO2148" s="501"/>
      <c r="CP2148" s="501"/>
      <c r="CQ2148" s="501"/>
      <c r="CR2148" s="501"/>
      <c r="CS2148" s="501"/>
      <c r="CT2148" s="501"/>
      <c r="CU2148" s="501"/>
      <c r="CV2148" s="501"/>
      <c r="CW2148" s="501"/>
      <c r="CX2148" s="501"/>
      <c r="CY2148" s="501"/>
      <c r="CZ2148" s="501"/>
      <c r="DA2148" s="501"/>
      <c r="DB2148" s="501"/>
      <c r="DC2148" s="501"/>
      <c r="DD2148" s="501"/>
      <c r="DE2148" s="501"/>
      <c r="DF2148" s="501"/>
      <c r="DG2148" s="501"/>
      <c r="DH2148" s="501"/>
      <c r="DI2148" s="501"/>
      <c r="DJ2148" s="501"/>
      <c r="DK2148" s="501"/>
      <c r="DL2148" s="501"/>
      <c r="DM2148" s="501"/>
      <c r="DN2148" s="501"/>
      <c r="DO2148" s="501"/>
      <c r="DP2148" s="501"/>
      <c r="DQ2148" s="501"/>
      <c r="DR2148" s="501"/>
      <c r="DS2148" s="501"/>
      <c r="DT2148" s="501"/>
      <c r="DU2148" s="501"/>
      <c r="DV2148" s="501"/>
      <c r="DW2148" s="501"/>
      <c r="DX2148" s="501"/>
      <c r="DY2148" s="501"/>
      <c r="DZ2148" s="501"/>
      <c r="EA2148" s="501"/>
      <c r="EB2148" s="501"/>
      <c r="EC2148" s="501"/>
      <c r="ED2148" s="501"/>
      <c r="EE2148" s="501"/>
      <c r="EF2148" s="501"/>
      <c r="EG2148" s="501"/>
      <c r="EH2148" s="501"/>
      <c r="EI2148" s="501"/>
      <c r="EJ2148" s="501"/>
      <c r="EK2148" s="501"/>
      <c r="EL2148" s="501"/>
      <c r="EM2148" s="501"/>
      <c r="EN2148" s="501"/>
      <c r="EO2148" s="501"/>
      <c r="EP2148" s="501"/>
      <c r="EQ2148" s="501"/>
      <c r="ER2148" s="501"/>
      <c r="ES2148" s="501"/>
      <c r="ET2148" s="501"/>
      <c r="EU2148" s="501"/>
      <c r="EV2148" s="501"/>
      <c r="EW2148" s="501"/>
      <c r="EX2148" s="501"/>
      <c r="EY2148" s="501"/>
      <c r="EZ2148" s="501"/>
      <c r="FA2148" s="501"/>
      <c r="FB2148" s="501"/>
      <c r="FC2148" s="501"/>
      <c r="FD2148" s="501"/>
      <c r="FE2148" s="501"/>
      <c r="FF2148" s="501"/>
      <c r="FG2148" s="501"/>
      <c r="FH2148" s="501"/>
      <c r="FI2148" s="501"/>
      <c r="FJ2148" s="501"/>
      <c r="FK2148" s="501"/>
      <c r="FL2148" s="501"/>
      <c r="FM2148" s="501"/>
      <c r="FN2148" s="501"/>
      <c r="FO2148" s="501"/>
      <c r="FP2148" s="501"/>
      <c r="FQ2148" s="501"/>
      <c r="FR2148" s="501"/>
      <c r="FS2148" s="501"/>
      <c r="FT2148" s="501"/>
      <c r="FU2148" s="501"/>
      <c r="FV2148" s="501"/>
      <c r="FW2148" s="501"/>
      <c r="FX2148" s="501"/>
      <c r="FY2148" s="501"/>
      <c r="FZ2148" s="501"/>
      <c r="GA2148" s="501"/>
      <c r="GB2148" s="501"/>
      <c r="GC2148" s="501"/>
      <c r="GD2148" s="501"/>
      <c r="GE2148" s="501"/>
      <c r="GF2148" s="501"/>
      <c r="GG2148" s="501"/>
      <c r="GH2148" s="501"/>
      <c r="GI2148" s="501"/>
      <c r="GJ2148" s="501"/>
      <c r="GK2148" s="501"/>
      <c r="GL2148" s="501"/>
      <c r="GM2148" s="501"/>
      <c r="GN2148" s="501"/>
      <c r="GO2148" s="501"/>
      <c r="GP2148" s="501"/>
      <c r="GQ2148" s="501"/>
      <c r="GR2148" s="501"/>
      <c r="GS2148" s="501"/>
      <c r="GT2148" s="501"/>
      <c r="GU2148" s="501"/>
      <c r="GV2148" s="501"/>
      <c r="GW2148" s="501"/>
      <c r="GX2148" s="501"/>
      <c r="GY2148" s="501"/>
      <c r="GZ2148" s="501"/>
      <c r="HA2148" s="501"/>
      <c r="HB2148" s="501"/>
      <c r="HC2148" s="501"/>
      <c r="HD2148" s="501"/>
      <c r="HE2148" s="501"/>
      <c r="HF2148" s="501"/>
      <c r="HG2148" s="501"/>
      <c r="HH2148" s="501"/>
      <c r="HI2148" s="501"/>
      <c r="HJ2148" s="501"/>
      <c r="HK2148" s="501"/>
      <c r="HL2148" s="501"/>
      <c r="HM2148" s="501"/>
      <c r="HN2148" s="501"/>
      <c r="HO2148" s="501"/>
      <c r="HP2148" s="501"/>
      <c r="HQ2148" s="501"/>
      <c r="HR2148" s="501"/>
      <c r="HS2148" s="501"/>
      <c r="HT2148" s="501"/>
      <c r="HU2148" s="501"/>
      <c r="HV2148" s="501"/>
      <c r="HW2148" s="501"/>
      <c r="HX2148" s="501"/>
      <c r="HY2148" s="501"/>
      <c r="HZ2148" s="501"/>
      <c r="IA2148" s="501"/>
      <c r="IB2148" s="501"/>
      <c r="IC2148" s="501"/>
      <c r="ID2148" s="501"/>
      <c r="IE2148" s="501"/>
      <c r="IF2148" s="501"/>
      <c r="IG2148" s="501"/>
      <c r="IH2148" s="501"/>
      <c r="II2148" s="501"/>
      <c r="IJ2148" s="501"/>
      <c r="IK2148" s="501"/>
      <c r="IL2148" s="501"/>
      <c r="IM2148" s="501"/>
      <c r="IN2148" s="501"/>
      <c r="IO2148" s="501"/>
      <c r="IP2148" s="501"/>
      <c r="IQ2148" s="501"/>
      <c r="IR2148" s="501"/>
      <c r="IS2148" s="501"/>
      <c r="IT2148" s="501"/>
      <c r="IU2148" s="501"/>
    </row>
    <row r="2149" spans="1:255" s="877" customFormat="1" ht="24" customHeight="1">
      <c r="A2149" s="501"/>
      <c r="B2149" s="501"/>
      <c r="C2149" s="501"/>
      <c r="D2149" s="501"/>
      <c r="E2149" s="501"/>
      <c r="F2149" s="501"/>
      <c r="G2149" s="915"/>
      <c r="H2149" s="501"/>
      <c r="I2149" s="874"/>
      <c r="J2149" s="501"/>
      <c r="K2149" s="501"/>
      <c r="L2149" s="874"/>
      <c r="M2149" s="882"/>
      <c r="N2149" s="501"/>
      <c r="O2149" s="545"/>
      <c r="P2149" s="901"/>
      <c r="Q2149" s="876"/>
      <c r="R2149" s="545"/>
      <c r="S2149" s="876"/>
      <c r="T2149" s="545"/>
      <c r="V2149" s="501"/>
      <c r="W2149" s="501"/>
      <c r="X2149" s="501"/>
      <c r="Y2149" s="501"/>
      <c r="Z2149" s="501"/>
      <c r="AA2149" s="501"/>
      <c r="AB2149" s="501"/>
      <c r="AC2149" s="501"/>
      <c r="AD2149" s="501"/>
      <c r="AE2149" s="501"/>
      <c r="AF2149" s="501"/>
      <c r="AG2149" s="501"/>
      <c r="AH2149" s="501"/>
      <c r="AI2149" s="501"/>
      <c r="AJ2149" s="501"/>
      <c r="AK2149" s="501"/>
      <c r="AL2149" s="501"/>
      <c r="AM2149" s="501"/>
      <c r="AN2149" s="501"/>
      <c r="AO2149" s="501"/>
      <c r="AP2149" s="501"/>
      <c r="AQ2149" s="501"/>
      <c r="AR2149" s="501"/>
      <c r="AS2149" s="501"/>
      <c r="AT2149" s="501"/>
      <c r="AU2149" s="501"/>
      <c r="AV2149" s="501"/>
      <c r="AW2149" s="501"/>
      <c r="AX2149" s="501"/>
      <c r="AY2149" s="501"/>
      <c r="AZ2149" s="501"/>
      <c r="BA2149" s="501"/>
      <c r="BB2149" s="501"/>
      <c r="BC2149" s="501"/>
      <c r="BD2149" s="501"/>
      <c r="BE2149" s="501"/>
      <c r="BF2149" s="501"/>
      <c r="BG2149" s="501"/>
      <c r="BH2149" s="501"/>
      <c r="BI2149" s="501"/>
      <c r="BJ2149" s="501"/>
      <c r="BK2149" s="501"/>
      <c r="BL2149" s="501"/>
      <c r="BM2149" s="501"/>
      <c r="BN2149" s="501"/>
      <c r="BO2149" s="501"/>
      <c r="BP2149" s="501"/>
      <c r="BQ2149" s="501"/>
      <c r="BR2149" s="501"/>
      <c r="BS2149" s="501"/>
      <c r="BT2149" s="501"/>
      <c r="BU2149" s="501"/>
      <c r="BV2149" s="501"/>
      <c r="BW2149" s="501"/>
      <c r="BX2149" s="501"/>
      <c r="BY2149" s="501"/>
      <c r="BZ2149" s="501"/>
      <c r="CA2149" s="501"/>
      <c r="CB2149" s="501"/>
      <c r="CC2149" s="501"/>
      <c r="CD2149" s="501"/>
      <c r="CE2149" s="501"/>
      <c r="CF2149" s="501"/>
      <c r="CG2149" s="501"/>
      <c r="CH2149" s="501"/>
      <c r="CI2149" s="501"/>
      <c r="CJ2149" s="501"/>
      <c r="CK2149" s="501"/>
      <c r="CL2149" s="501"/>
      <c r="CM2149" s="501"/>
      <c r="CN2149" s="501"/>
      <c r="CO2149" s="501"/>
      <c r="CP2149" s="501"/>
      <c r="CQ2149" s="501"/>
      <c r="CR2149" s="501"/>
      <c r="CS2149" s="501"/>
      <c r="CT2149" s="501"/>
      <c r="CU2149" s="501"/>
      <c r="CV2149" s="501"/>
      <c r="CW2149" s="501"/>
      <c r="CX2149" s="501"/>
      <c r="CY2149" s="501"/>
      <c r="CZ2149" s="501"/>
      <c r="DA2149" s="501"/>
      <c r="DB2149" s="501"/>
      <c r="DC2149" s="501"/>
      <c r="DD2149" s="501"/>
      <c r="DE2149" s="501"/>
      <c r="DF2149" s="501"/>
      <c r="DG2149" s="501"/>
      <c r="DH2149" s="501"/>
      <c r="DI2149" s="501"/>
      <c r="DJ2149" s="501"/>
      <c r="DK2149" s="501"/>
      <c r="DL2149" s="501"/>
      <c r="DM2149" s="501"/>
      <c r="DN2149" s="501"/>
      <c r="DO2149" s="501"/>
      <c r="DP2149" s="501"/>
      <c r="DQ2149" s="501"/>
      <c r="DR2149" s="501"/>
      <c r="DS2149" s="501"/>
      <c r="DT2149" s="501"/>
      <c r="DU2149" s="501"/>
      <c r="DV2149" s="501"/>
      <c r="DW2149" s="501"/>
      <c r="DX2149" s="501"/>
      <c r="DY2149" s="501"/>
      <c r="DZ2149" s="501"/>
      <c r="EA2149" s="501"/>
      <c r="EB2149" s="501"/>
      <c r="EC2149" s="501"/>
      <c r="ED2149" s="501"/>
      <c r="EE2149" s="501"/>
      <c r="EF2149" s="501"/>
      <c r="EG2149" s="501"/>
      <c r="EH2149" s="501"/>
      <c r="EI2149" s="501"/>
      <c r="EJ2149" s="501"/>
      <c r="EK2149" s="501"/>
      <c r="EL2149" s="501"/>
      <c r="EM2149" s="501"/>
      <c r="EN2149" s="501"/>
      <c r="EO2149" s="501"/>
      <c r="EP2149" s="501"/>
      <c r="EQ2149" s="501"/>
      <c r="ER2149" s="501"/>
      <c r="ES2149" s="501"/>
      <c r="ET2149" s="501"/>
      <c r="EU2149" s="501"/>
      <c r="EV2149" s="501"/>
      <c r="EW2149" s="501"/>
      <c r="EX2149" s="501"/>
      <c r="EY2149" s="501"/>
      <c r="EZ2149" s="501"/>
      <c r="FA2149" s="501"/>
      <c r="FB2149" s="501"/>
      <c r="FC2149" s="501"/>
      <c r="FD2149" s="501"/>
      <c r="FE2149" s="501"/>
      <c r="FF2149" s="501"/>
      <c r="FG2149" s="501"/>
      <c r="FH2149" s="501"/>
      <c r="FI2149" s="501"/>
      <c r="FJ2149" s="501"/>
      <c r="FK2149" s="501"/>
      <c r="FL2149" s="501"/>
      <c r="FM2149" s="501"/>
      <c r="FN2149" s="501"/>
      <c r="FO2149" s="501"/>
      <c r="FP2149" s="501"/>
      <c r="FQ2149" s="501"/>
      <c r="FR2149" s="501"/>
      <c r="FS2149" s="501"/>
      <c r="FT2149" s="501"/>
      <c r="FU2149" s="501"/>
      <c r="FV2149" s="501"/>
      <c r="FW2149" s="501"/>
      <c r="FX2149" s="501"/>
      <c r="FY2149" s="501"/>
      <c r="FZ2149" s="501"/>
      <c r="GA2149" s="501"/>
      <c r="GB2149" s="501"/>
      <c r="GC2149" s="501"/>
      <c r="GD2149" s="501"/>
      <c r="GE2149" s="501"/>
      <c r="GF2149" s="501"/>
      <c r="GG2149" s="501"/>
      <c r="GH2149" s="501"/>
      <c r="GI2149" s="501"/>
      <c r="GJ2149" s="501"/>
      <c r="GK2149" s="501"/>
      <c r="GL2149" s="501"/>
      <c r="GM2149" s="501"/>
      <c r="GN2149" s="501"/>
      <c r="GO2149" s="501"/>
      <c r="GP2149" s="501"/>
      <c r="GQ2149" s="501"/>
      <c r="GR2149" s="501"/>
      <c r="GS2149" s="501"/>
      <c r="GT2149" s="501"/>
      <c r="GU2149" s="501"/>
      <c r="GV2149" s="501"/>
      <c r="GW2149" s="501"/>
      <c r="GX2149" s="501"/>
      <c r="GY2149" s="501"/>
      <c r="GZ2149" s="501"/>
      <c r="HA2149" s="501"/>
      <c r="HB2149" s="501"/>
      <c r="HC2149" s="501"/>
      <c r="HD2149" s="501"/>
      <c r="HE2149" s="501"/>
      <c r="HF2149" s="501"/>
      <c r="HG2149" s="501"/>
      <c r="HH2149" s="501"/>
      <c r="HI2149" s="501"/>
      <c r="HJ2149" s="501"/>
      <c r="HK2149" s="501"/>
      <c r="HL2149" s="501"/>
      <c r="HM2149" s="501"/>
      <c r="HN2149" s="501"/>
      <c r="HO2149" s="501"/>
      <c r="HP2149" s="501"/>
      <c r="HQ2149" s="501"/>
      <c r="HR2149" s="501"/>
      <c r="HS2149" s="501"/>
      <c r="HT2149" s="501"/>
      <c r="HU2149" s="501"/>
      <c r="HV2149" s="501"/>
      <c r="HW2149" s="501"/>
      <c r="HX2149" s="501"/>
      <c r="HY2149" s="501"/>
      <c r="HZ2149" s="501"/>
      <c r="IA2149" s="501"/>
      <c r="IB2149" s="501"/>
      <c r="IC2149" s="501"/>
      <c r="ID2149" s="501"/>
      <c r="IE2149" s="501"/>
      <c r="IF2149" s="501"/>
      <c r="IG2149" s="501"/>
      <c r="IH2149" s="501"/>
      <c r="II2149" s="501"/>
      <c r="IJ2149" s="501"/>
      <c r="IK2149" s="501"/>
      <c r="IL2149" s="501"/>
      <c r="IM2149" s="501"/>
      <c r="IN2149" s="501"/>
      <c r="IO2149" s="501"/>
      <c r="IP2149" s="501"/>
      <c r="IQ2149" s="501"/>
      <c r="IR2149" s="501"/>
      <c r="IS2149" s="501"/>
      <c r="IT2149" s="501"/>
      <c r="IU2149" s="501"/>
    </row>
    <row r="2150" spans="1:255" s="877" customFormat="1" ht="24" customHeight="1">
      <c r="A2150" s="501"/>
      <c r="B2150" s="501"/>
      <c r="C2150" s="501"/>
      <c r="D2150" s="501"/>
      <c r="E2150" s="501"/>
      <c r="F2150" s="501"/>
      <c r="G2150" s="915"/>
      <c r="H2150" s="501"/>
      <c r="I2150" s="874"/>
      <c r="J2150" s="876"/>
      <c r="K2150" s="501"/>
      <c r="L2150" s="874"/>
      <c r="M2150" s="882"/>
      <c r="N2150" s="501"/>
      <c r="O2150" s="545"/>
      <c r="P2150" s="901"/>
      <c r="Q2150" s="876"/>
      <c r="R2150" s="545"/>
      <c r="S2150" s="876"/>
      <c r="T2150" s="545"/>
      <c r="V2150" s="501"/>
      <c r="W2150" s="501"/>
      <c r="X2150" s="501"/>
      <c r="Y2150" s="501"/>
      <c r="Z2150" s="501"/>
      <c r="AA2150" s="501"/>
      <c r="AB2150" s="501"/>
      <c r="AC2150" s="501"/>
      <c r="AD2150" s="501"/>
      <c r="AE2150" s="501"/>
      <c r="AF2150" s="501"/>
      <c r="AG2150" s="501"/>
      <c r="AH2150" s="501"/>
      <c r="AI2150" s="501"/>
      <c r="AJ2150" s="501"/>
      <c r="AK2150" s="501"/>
      <c r="AL2150" s="501"/>
      <c r="AM2150" s="501"/>
      <c r="AN2150" s="501"/>
      <c r="AO2150" s="501"/>
      <c r="AP2150" s="501"/>
      <c r="AQ2150" s="501"/>
      <c r="AR2150" s="501"/>
      <c r="AS2150" s="501"/>
      <c r="AT2150" s="501"/>
      <c r="AU2150" s="501"/>
      <c r="AV2150" s="501"/>
      <c r="AW2150" s="501"/>
      <c r="AX2150" s="501"/>
      <c r="AY2150" s="501"/>
      <c r="AZ2150" s="501"/>
      <c r="BA2150" s="501"/>
      <c r="BB2150" s="501"/>
      <c r="BC2150" s="501"/>
      <c r="BD2150" s="501"/>
      <c r="BE2150" s="501"/>
      <c r="BF2150" s="501"/>
      <c r="BG2150" s="501"/>
      <c r="BH2150" s="501"/>
      <c r="BI2150" s="501"/>
      <c r="BJ2150" s="501"/>
      <c r="BK2150" s="501"/>
      <c r="BL2150" s="501"/>
      <c r="BM2150" s="501"/>
      <c r="BN2150" s="501"/>
      <c r="BO2150" s="501"/>
      <c r="BP2150" s="501"/>
      <c r="BQ2150" s="501"/>
      <c r="BR2150" s="501"/>
      <c r="BS2150" s="501"/>
      <c r="BT2150" s="501"/>
      <c r="BU2150" s="501"/>
      <c r="BV2150" s="501"/>
      <c r="BW2150" s="501"/>
      <c r="BX2150" s="501"/>
      <c r="BY2150" s="501"/>
      <c r="BZ2150" s="501"/>
      <c r="CA2150" s="501"/>
      <c r="CB2150" s="501"/>
      <c r="CC2150" s="501"/>
      <c r="CD2150" s="501"/>
      <c r="CE2150" s="501"/>
      <c r="CF2150" s="501"/>
      <c r="CG2150" s="501"/>
      <c r="CH2150" s="501"/>
      <c r="CI2150" s="501"/>
      <c r="CJ2150" s="501"/>
      <c r="CK2150" s="501"/>
      <c r="CL2150" s="501"/>
      <c r="CM2150" s="501"/>
      <c r="CN2150" s="501"/>
      <c r="CO2150" s="501"/>
      <c r="CP2150" s="501"/>
      <c r="CQ2150" s="501"/>
      <c r="CR2150" s="501"/>
      <c r="CS2150" s="501"/>
      <c r="CT2150" s="501"/>
      <c r="CU2150" s="501"/>
      <c r="CV2150" s="501"/>
      <c r="CW2150" s="501"/>
      <c r="CX2150" s="501"/>
      <c r="CY2150" s="501"/>
      <c r="CZ2150" s="501"/>
      <c r="DA2150" s="501"/>
      <c r="DB2150" s="501"/>
      <c r="DC2150" s="501"/>
      <c r="DD2150" s="501"/>
      <c r="DE2150" s="501"/>
      <c r="DF2150" s="501"/>
      <c r="DG2150" s="501"/>
      <c r="DH2150" s="501"/>
      <c r="DI2150" s="501"/>
      <c r="DJ2150" s="501"/>
      <c r="DK2150" s="501"/>
      <c r="DL2150" s="501"/>
      <c r="DM2150" s="501"/>
      <c r="DN2150" s="501"/>
      <c r="DO2150" s="501"/>
      <c r="DP2150" s="501"/>
      <c r="DQ2150" s="501"/>
      <c r="DR2150" s="501"/>
      <c r="DS2150" s="501"/>
      <c r="DT2150" s="501"/>
      <c r="DU2150" s="501"/>
      <c r="DV2150" s="501"/>
      <c r="DW2150" s="501"/>
      <c r="DX2150" s="501"/>
      <c r="DY2150" s="501"/>
      <c r="DZ2150" s="501"/>
      <c r="EA2150" s="501"/>
      <c r="EB2150" s="501"/>
      <c r="EC2150" s="501"/>
      <c r="ED2150" s="501"/>
      <c r="EE2150" s="501"/>
      <c r="EF2150" s="501"/>
      <c r="EG2150" s="501"/>
      <c r="EH2150" s="501"/>
      <c r="EI2150" s="501"/>
      <c r="EJ2150" s="501"/>
      <c r="EK2150" s="501"/>
      <c r="EL2150" s="501"/>
      <c r="EM2150" s="501"/>
      <c r="EN2150" s="501"/>
      <c r="EO2150" s="501"/>
      <c r="EP2150" s="501"/>
      <c r="EQ2150" s="501"/>
      <c r="ER2150" s="501"/>
      <c r="ES2150" s="501"/>
      <c r="ET2150" s="501"/>
      <c r="EU2150" s="501"/>
      <c r="EV2150" s="501"/>
      <c r="EW2150" s="501"/>
      <c r="EX2150" s="501"/>
      <c r="EY2150" s="501"/>
      <c r="EZ2150" s="501"/>
      <c r="FA2150" s="501"/>
      <c r="FB2150" s="501"/>
      <c r="FC2150" s="501"/>
      <c r="FD2150" s="501"/>
      <c r="FE2150" s="501"/>
      <c r="FF2150" s="501"/>
      <c r="FG2150" s="501"/>
      <c r="FH2150" s="501"/>
      <c r="FI2150" s="501"/>
      <c r="FJ2150" s="501"/>
      <c r="FK2150" s="501"/>
      <c r="FL2150" s="501"/>
      <c r="FM2150" s="501"/>
      <c r="FN2150" s="501"/>
      <c r="FO2150" s="501"/>
      <c r="FP2150" s="501"/>
      <c r="FQ2150" s="501"/>
      <c r="FR2150" s="501"/>
      <c r="FS2150" s="501"/>
      <c r="FT2150" s="501"/>
      <c r="FU2150" s="501"/>
      <c r="FV2150" s="501"/>
      <c r="FW2150" s="501"/>
      <c r="FX2150" s="501"/>
      <c r="FY2150" s="501"/>
      <c r="FZ2150" s="501"/>
      <c r="GA2150" s="501"/>
      <c r="GB2150" s="501"/>
      <c r="GC2150" s="501"/>
      <c r="GD2150" s="501"/>
      <c r="GE2150" s="501"/>
      <c r="GF2150" s="501"/>
      <c r="GG2150" s="501"/>
      <c r="GH2150" s="501"/>
      <c r="GI2150" s="501"/>
      <c r="GJ2150" s="501"/>
      <c r="GK2150" s="501"/>
      <c r="GL2150" s="501"/>
      <c r="GM2150" s="501"/>
      <c r="GN2150" s="501"/>
      <c r="GO2150" s="501"/>
      <c r="GP2150" s="501"/>
      <c r="GQ2150" s="501"/>
      <c r="GR2150" s="501"/>
      <c r="GS2150" s="501"/>
      <c r="GT2150" s="501"/>
      <c r="GU2150" s="501"/>
      <c r="GV2150" s="501"/>
      <c r="GW2150" s="501"/>
      <c r="GX2150" s="501"/>
      <c r="GY2150" s="501"/>
      <c r="GZ2150" s="501"/>
      <c r="HA2150" s="501"/>
      <c r="HB2150" s="501"/>
      <c r="HC2150" s="501"/>
      <c r="HD2150" s="501"/>
      <c r="HE2150" s="501"/>
      <c r="HF2150" s="501"/>
      <c r="HG2150" s="501"/>
      <c r="HH2150" s="501"/>
      <c r="HI2150" s="501"/>
      <c r="HJ2150" s="501"/>
      <c r="HK2150" s="501"/>
      <c r="HL2150" s="501"/>
      <c r="HM2150" s="501"/>
      <c r="HN2150" s="501"/>
      <c r="HO2150" s="501"/>
      <c r="HP2150" s="501"/>
      <c r="HQ2150" s="501"/>
      <c r="HR2150" s="501"/>
      <c r="HS2150" s="501"/>
      <c r="HT2150" s="501"/>
      <c r="HU2150" s="501"/>
      <c r="HV2150" s="501"/>
      <c r="HW2150" s="501"/>
      <c r="HX2150" s="501"/>
      <c r="HY2150" s="501"/>
      <c r="HZ2150" s="501"/>
      <c r="IA2150" s="501"/>
      <c r="IB2150" s="501"/>
      <c r="IC2150" s="501"/>
      <c r="ID2150" s="501"/>
      <c r="IE2150" s="501"/>
      <c r="IF2150" s="501"/>
      <c r="IG2150" s="501"/>
      <c r="IH2150" s="501"/>
      <c r="II2150" s="501"/>
      <c r="IJ2150" s="501"/>
      <c r="IK2150" s="501"/>
      <c r="IL2150" s="501"/>
      <c r="IM2150" s="501"/>
      <c r="IN2150" s="501"/>
      <c r="IO2150" s="501"/>
      <c r="IP2150" s="501"/>
      <c r="IQ2150" s="501"/>
      <c r="IR2150" s="501"/>
      <c r="IS2150" s="501"/>
      <c r="IT2150" s="501"/>
      <c r="IU2150" s="501"/>
    </row>
    <row r="2151" spans="1:255" s="877" customFormat="1" ht="24" customHeight="1">
      <c r="A2151" s="501"/>
      <c r="B2151" s="501"/>
      <c r="C2151" s="501"/>
      <c r="D2151" s="501"/>
      <c r="E2151" s="501"/>
      <c r="F2151" s="501"/>
      <c r="G2151" s="915"/>
      <c r="H2151" s="501"/>
      <c r="I2151" s="874"/>
      <c r="J2151" s="501"/>
      <c r="K2151" s="501"/>
      <c r="L2151" s="874"/>
      <c r="M2151" s="882"/>
      <c r="N2151" s="501"/>
      <c r="O2151" s="545"/>
      <c r="P2151" s="901"/>
      <c r="Q2151" s="876"/>
      <c r="R2151" s="545"/>
      <c r="S2151" s="876"/>
      <c r="T2151" s="545"/>
      <c r="V2151" s="501"/>
      <c r="W2151" s="501"/>
      <c r="X2151" s="501"/>
      <c r="Y2151" s="501"/>
      <c r="Z2151" s="501"/>
      <c r="AA2151" s="501"/>
      <c r="AB2151" s="501"/>
      <c r="AC2151" s="501"/>
      <c r="AD2151" s="501"/>
      <c r="AE2151" s="501"/>
      <c r="AF2151" s="501"/>
      <c r="AG2151" s="501"/>
      <c r="AH2151" s="501"/>
      <c r="AI2151" s="501"/>
      <c r="AJ2151" s="501"/>
      <c r="AK2151" s="501"/>
      <c r="AL2151" s="501"/>
      <c r="AM2151" s="501"/>
      <c r="AN2151" s="501"/>
      <c r="AO2151" s="501"/>
      <c r="AP2151" s="501"/>
      <c r="AQ2151" s="501"/>
      <c r="AR2151" s="501"/>
      <c r="AS2151" s="501"/>
      <c r="AT2151" s="501"/>
      <c r="AU2151" s="501"/>
      <c r="AV2151" s="501"/>
      <c r="AW2151" s="501"/>
      <c r="AX2151" s="501"/>
      <c r="AY2151" s="501"/>
      <c r="AZ2151" s="501"/>
      <c r="BA2151" s="501"/>
      <c r="BB2151" s="501"/>
      <c r="BC2151" s="501"/>
      <c r="BD2151" s="501"/>
      <c r="BE2151" s="501"/>
      <c r="BF2151" s="501"/>
      <c r="BG2151" s="501"/>
      <c r="BH2151" s="501"/>
      <c r="BI2151" s="501"/>
      <c r="BJ2151" s="501"/>
      <c r="BK2151" s="501"/>
      <c r="BL2151" s="501"/>
      <c r="BM2151" s="501"/>
      <c r="BN2151" s="501"/>
      <c r="BO2151" s="501"/>
      <c r="BP2151" s="501"/>
      <c r="BQ2151" s="501"/>
      <c r="BR2151" s="501"/>
      <c r="BS2151" s="501"/>
      <c r="BT2151" s="501"/>
      <c r="BU2151" s="501"/>
      <c r="BV2151" s="501"/>
      <c r="BW2151" s="501"/>
      <c r="BX2151" s="501"/>
      <c r="BY2151" s="501"/>
      <c r="BZ2151" s="501"/>
      <c r="CA2151" s="501"/>
      <c r="CB2151" s="501"/>
      <c r="CC2151" s="501"/>
      <c r="CD2151" s="501"/>
      <c r="CE2151" s="501"/>
      <c r="CF2151" s="501"/>
      <c r="CG2151" s="501"/>
      <c r="CH2151" s="501"/>
      <c r="CI2151" s="501"/>
      <c r="CJ2151" s="501"/>
      <c r="CK2151" s="501"/>
      <c r="CL2151" s="501"/>
      <c r="CM2151" s="501"/>
      <c r="CN2151" s="501"/>
      <c r="CO2151" s="501"/>
      <c r="CP2151" s="501"/>
      <c r="CQ2151" s="501"/>
      <c r="CR2151" s="501"/>
      <c r="CS2151" s="501"/>
      <c r="CT2151" s="501"/>
      <c r="CU2151" s="501"/>
      <c r="CV2151" s="501"/>
      <c r="CW2151" s="501"/>
      <c r="CX2151" s="501"/>
      <c r="CY2151" s="501"/>
      <c r="CZ2151" s="501"/>
      <c r="DA2151" s="501"/>
      <c r="DB2151" s="501"/>
      <c r="DC2151" s="501"/>
      <c r="DD2151" s="501"/>
      <c r="DE2151" s="501"/>
      <c r="DF2151" s="501"/>
      <c r="DG2151" s="501"/>
      <c r="DH2151" s="501"/>
      <c r="DI2151" s="501"/>
      <c r="DJ2151" s="501"/>
      <c r="DK2151" s="501"/>
      <c r="DL2151" s="501"/>
      <c r="DM2151" s="501"/>
      <c r="DN2151" s="501"/>
      <c r="DO2151" s="501"/>
      <c r="DP2151" s="501"/>
      <c r="DQ2151" s="501"/>
      <c r="DR2151" s="501"/>
      <c r="DS2151" s="501"/>
      <c r="DT2151" s="501"/>
      <c r="DU2151" s="501"/>
      <c r="DV2151" s="501"/>
      <c r="DW2151" s="501"/>
      <c r="DX2151" s="501"/>
      <c r="DY2151" s="501"/>
      <c r="DZ2151" s="501"/>
      <c r="EA2151" s="501"/>
      <c r="EB2151" s="501"/>
      <c r="EC2151" s="501"/>
      <c r="ED2151" s="501"/>
      <c r="EE2151" s="501"/>
      <c r="EF2151" s="501"/>
      <c r="EG2151" s="501"/>
      <c r="EH2151" s="501"/>
      <c r="EI2151" s="501"/>
      <c r="EJ2151" s="501"/>
      <c r="EK2151" s="501"/>
      <c r="EL2151" s="501"/>
      <c r="EM2151" s="501"/>
      <c r="EN2151" s="501"/>
      <c r="EO2151" s="501"/>
      <c r="EP2151" s="501"/>
      <c r="EQ2151" s="501"/>
      <c r="ER2151" s="501"/>
      <c r="ES2151" s="501"/>
      <c r="ET2151" s="501"/>
      <c r="EU2151" s="501"/>
      <c r="EV2151" s="501"/>
      <c r="EW2151" s="501"/>
      <c r="EX2151" s="501"/>
      <c r="EY2151" s="501"/>
      <c r="EZ2151" s="501"/>
      <c r="FA2151" s="501"/>
      <c r="FB2151" s="501"/>
      <c r="FC2151" s="501"/>
      <c r="FD2151" s="501"/>
      <c r="FE2151" s="501"/>
      <c r="FF2151" s="501"/>
      <c r="FG2151" s="501"/>
      <c r="FH2151" s="501"/>
      <c r="FI2151" s="501"/>
      <c r="FJ2151" s="501"/>
      <c r="FK2151" s="501"/>
      <c r="FL2151" s="501"/>
      <c r="FM2151" s="501"/>
      <c r="FN2151" s="501"/>
      <c r="FO2151" s="501"/>
      <c r="FP2151" s="501"/>
      <c r="FQ2151" s="501"/>
      <c r="FR2151" s="501"/>
      <c r="FS2151" s="501"/>
      <c r="FT2151" s="501"/>
      <c r="FU2151" s="501"/>
      <c r="FV2151" s="501"/>
      <c r="FW2151" s="501"/>
      <c r="FX2151" s="501"/>
      <c r="FY2151" s="501"/>
      <c r="FZ2151" s="501"/>
      <c r="GA2151" s="501"/>
      <c r="GB2151" s="501"/>
      <c r="GC2151" s="501"/>
      <c r="GD2151" s="501"/>
      <c r="GE2151" s="501"/>
      <c r="GF2151" s="501"/>
      <c r="GG2151" s="501"/>
      <c r="GH2151" s="501"/>
      <c r="GI2151" s="501"/>
      <c r="GJ2151" s="501"/>
      <c r="GK2151" s="501"/>
      <c r="GL2151" s="501"/>
      <c r="GM2151" s="501"/>
      <c r="GN2151" s="501"/>
      <c r="GO2151" s="501"/>
      <c r="GP2151" s="501"/>
      <c r="GQ2151" s="501"/>
      <c r="GR2151" s="501"/>
      <c r="GS2151" s="501"/>
      <c r="GT2151" s="501"/>
      <c r="GU2151" s="501"/>
      <c r="GV2151" s="501"/>
      <c r="GW2151" s="501"/>
      <c r="GX2151" s="501"/>
      <c r="GY2151" s="501"/>
      <c r="GZ2151" s="501"/>
      <c r="HA2151" s="501"/>
      <c r="HB2151" s="501"/>
      <c r="HC2151" s="501"/>
      <c r="HD2151" s="501"/>
      <c r="HE2151" s="501"/>
      <c r="HF2151" s="501"/>
      <c r="HG2151" s="501"/>
      <c r="HH2151" s="501"/>
      <c r="HI2151" s="501"/>
      <c r="HJ2151" s="501"/>
      <c r="HK2151" s="501"/>
      <c r="HL2151" s="501"/>
      <c r="HM2151" s="501"/>
      <c r="HN2151" s="501"/>
      <c r="HO2151" s="501"/>
      <c r="HP2151" s="501"/>
      <c r="HQ2151" s="501"/>
      <c r="HR2151" s="501"/>
      <c r="HS2151" s="501"/>
      <c r="HT2151" s="501"/>
      <c r="HU2151" s="501"/>
      <c r="HV2151" s="501"/>
      <c r="HW2151" s="501"/>
      <c r="HX2151" s="501"/>
      <c r="HY2151" s="501"/>
      <c r="HZ2151" s="501"/>
      <c r="IA2151" s="501"/>
      <c r="IB2151" s="501"/>
      <c r="IC2151" s="501"/>
      <c r="ID2151" s="501"/>
      <c r="IE2151" s="501"/>
      <c r="IF2151" s="501"/>
      <c r="IG2151" s="501"/>
      <c r="IH2151" s="501"/>
      <c r="II2151" s="501"/>
      <c r="IJ2151" s="501"/>
      <c r="IK2151" s="501"/>
      <c r="IL2151" s="501"/>
      <c r="IM2151" s="501"/>
      <c r="IN2151" s="501"/>
      <c r="IO2151" s="501"/>
      <c r="IP2151" s="501"/>
      <c r="IQ2151" s="501"/>
      <c r="IR2151" s="501"/>
      <c r="IS2151" s="501"/>
      <c r="IT2151" s="501"/>
      <c r="IU2151" s="501"/>
    </row>
    <row r="2152" spans="1:255" s="877" customFormat="1" ht="24" customHeight="1">
      <c r="A2152" s="501"/>
      <c r="B2152" s="501"/>
      <c r="C2152" s="501"/>
      <c r="D2152" s="501"/>
      <c r="E2152" s="501"/>
      <c r="F2152" s="501"/>
      <c r="G2152" s="915"/>
      <c r="H2152" s="501"/>
      <c r="I2152" s="874"/>
      <c r="J2152" s="876"/>
      <c r="K2152" s="501"/>
      <c r="L2152" s="874"/>
      <c r="M2152" s="882"/>
      <c r="N2152" s="501"/>
      <c r="O2152" s="545"/>
      <c r="P2152" s="901"/>
      <c r="Q2152" s="876"/>
      <c r="R2152" s="545"/>
      <c r="S2152" s="876"/>
      <c r="T2152" s="545"/>
      <c r="V2152" s="501"/>
      <c r="W2152" s="501"/>
      <c r="X2152" s="501"/>
      <c r="Y2152" s="501"/>
      <c r="Z2152" s="501"/>
      <c r="AA2152" s="501"/>
      <c r="AB2152" s="501"/>
      <c r="AC2152" s="501"/>
      <c r="AD2152" s="501"/>
      <c r="AE2152" s="501"/>
      <c r="AF2152" s="501"/>
      <c r="AG2152" s="501"/>
      <c r="AH2152" s="501"/>
      <c r="AI2152" s="501"/>
      <c r="AJ2152" s="501"/>
      <c r="AK2152" s="501"/>
      <c r="AL2152" s="501"/>
      <c r="AM2152" s="501"/>
      <c r="AN2152" s="501"/>
      <c r="AO2152" s="501"/>
      <c r="AP2152" s="501"/>
      <c r="AQ2152" s="501"/>
      <c r="AR2152" s="501"/>
      <c r="AS2152" s="501"/>
      <c r="AT2152" s="501"/>
      <c r="AU2152" s="501"/>
      <c r="AV2152" s="501"/>
      <c r="AW2152" s="501"/>
      <c r="AX2152" s="501"/>
      <c r="AY2152" s="501"/>
      <c r="AZ2152" s="501"/>
      <c r="BA2152" s="501"/>
      <c r="BB2152" s="501"/>
      <c r="BC2152" s="501"/>
      <c r="BD2152" s="501"/>
      <c r="BE2152" s="501"/>
      <c r="BF2152" s="501"/>
      <c r="BG2152" s="501"/>
      <c r="BH2152" s="501"/>
      <c r="BI2152" s="501"/>
      <c r="BJ2152" s="501"/>
      <c r="BK2152" s="501"/>
      <c r="BL2152" s="501"/>
      <c r="BM2152" s="501"/>
      <c r="BN2152" s="501"/>
      <c r="BO2152" s="501"/>
      <c r="BP2152" s="501"/>
      <c r="BQ2152" s="501"/>
      <c r="BR2152" s="501"/>
      <c r="BS2152" s="501"/>
      <c r="BT2152" s="501"/>
      <c r="BU2152" s="501"/>
      <c r="BV2152" s="501"/>
      <c r="BW2152" s="501"/>
      <c r="BX2152" s="501"/>
      <c r="BY2152" s="501"/>
      <c r="BZ2152" s="501"/>
      <c r="CA2152" s="501"/>
      <c r="CB2152" s="501"/>
      <c r="CC2152" s="501"/>
      <c r="CD2152" s="501"/>
      <c r="CE2152" s="501"/>
      <c r="CF2152" s="501"/>
      <c r="CG2152" s="501"/>
      <c r="CH2152" s="501"/>
      <c r="CI2152" s="501"/>
      <c r="CJ2152" s="501"/>
      <c r="CK2152" s="501"/>
      <c r="CL2152" s="501"/>
      <c r="CM2152" s="501"/>
      <c r="CN2152" s="501"/>
      <c r="CO2152" s="501"/>
      <c r="CP2152" s="501"/>
      <c r="CQ2152" s="501"/>
      <c r="CR2152" s="501"/>
      <c r="CS2152" s="501"/>
      <c r="CT2152" s="501"/>
      <c r="CU2152" s="501"/>
      <c r="CV2152" s="501"/>
      <c r="CW2152" s="501"/>
      <c r="CX2152" s="501"/>
      <c r="CY2152" s="501"/>
      <c r="CZ2152" s="501"/>
      <c r="DA2152" s="501"/>
      <c r="DB2152" s="501"/>
      <c r="DC2152" s="501"/>
      <c r="DD2152" s="501"/>
      <c r="DE2152" s="501"/>
      <c r="DF2152" s="501"/>
      <c r="DG2152" s="501"/>
      <c r="DH2152" s="501"/>
      <c r="DI2152" s="501"/>
      <c r="DJ2152" s="501"/>
      <c r="DK2152" s="501"/>
      <c r="DL2152" s="501"/>
      <c r="DM2152" s="501"/>
      <c r="DN2152" s="501"/>
      <c r="DO2152" s="501"/>
      <c r="DP2152" s="501"/>
      <c r="DQ2152" s="501"/>
      <c r="DR2152" s="501"/>
      <c r="DS2152" s="501"/>
      <c r="DT2152" s="501"/>
      <c r="DU2152" s="501"/>
      <c r="DV2152" s="501"/>
      <c r="DW2152" s="501"/>
      <c r="DX2152" s="501"/>
      <c r="DY2152" s="501"/>
      <c r="DZ2152" s="501"/>
      <c r="EA2152" s="501"/>
      <c r="EB2152" s="501"/>
      <c r="EC2152" s="501"/>
      <c r="ED2152" s="501"/>
      <c r="EE2152" s="501"/>
      <c r="EF2152" s="501"/>
      <c r="EG2152" s="501"/>
      <c r="EH2152" s="501"/>
      <c r="EI2152" s="501"/>
      <c r="EJ2152" s="501"/>
      <c r="EK2152" s="501"/>
      <c r="EL2152" s="501"/>
      <c r="EM2152" s="501"/>
      <c r="EN2152" s="501"/>
      <c r="EO2152" s="501"/>
      <c r="EP2152" s="501"/>
      <c r="EQ2152" s="501"/>
      <c r="ER2152" s="501"/>
      <c r="ES2152" s="501"/>
      <c r="ET2152" s="501"/>
      <c r="EU2152" s="501"/>
      <c r="EV2152" s="501"/>
      <c r="EW2152" s="501"/>
      <c r="EX2152" s="501"/>
      <c r="EY2152" s="501"/>
      <c r="EZ2152" s="501"/>
      <c r="FA2152" s="501"/>
      <c r="FB2152" s="501"/>
      <c r="FC2152" s="501"/>
      <c r="FD2152" s="501"/>
      <c r="FE2152" s="501"/>
      <c r="FF2152" s="501"/>
      <c r="FG2152" s="501"/>
      <c r="FH2152" s="501"/>
      <c r="FI2152" s="501"/>
      <c r="FJ2152" s="501"/>
      <c r="FK2152" s="501"/>
      <c r="FL2152" s="501"/>
      <c r="FM2152" s="501"/>
      <c r="FN2152" s="501"/>
      <c r="FO2152" s="501"/>
      <c r="FP2152" s="501"/>
      <c r="FQ2152" s="501"/>
      <c r="FR2152" s="501"/>
      <c r="FS2152" s="501"/>
      <c r="FT2152" s="501"/>
      <c r="FU2152" s="501"/>
      <c r="FV2152" s="501"/>
      <c r="FW2152" s="501"/>
      <c r="FX2152" s="501"/>
      <c r="FY2152" s="501"/>
      <c r="FZ2152" s="501"/>
      <c r="GA2152" s="501"/>
      <c r="GB2152" s="501"/>
      <c r="GC2152" s="501"/>
      <c r="GD2152" s="501"/>
      <c r="GE2152" s="501"/>
      <c r="GF2152" s="501"/>
      <c r="GG2152" s="501"/>
      <c r="GH2152" s="501"/>
      <c r="GI2152" s="501"/>
      <c r="GJ2152" s="501"/>
      <c r="GK2152" s="501"/>
      <c r="GL2152" s="501"/>
      <c r="GM2152" s="501"/>
      <c r="GN2152" s="501"/>
      <c r="GO2152" s="501"/>
      <c r="GP2152" s="501"/>
      <c r="GQ2152" s="501"/>
      <c r="GR2152" s="501"/>
      <c r="GS2152" s="501"/>
      <c r="GT2152" s="501"/>
      <c r="GU2152" s="501"/>
      <c r="GV2152" s="501"/>
      <c r="GW2152" s="501"/>
      <c r="GX2152" s="501"/>
      <c r="GY2152" s="501"/>
      <c r="GZ2152" s="501"/>
      <c r="HA2152" s="501"/>
      <c r="HB2152" s="501"/>
      <c r="HC2152" s="501"/>
      <c r="HD2152" s="501"/>
      <c r="HE2152" s="501"/>
      <c r="HF2152" s="501"/>
      <c r="HG2152" s="501"/>
      <c r="HH2152" s="501"/>
      <c r="HI2152" s="501"/>
      <c r="HJ2152" s="501"/>
      <c r="HK2152" s="501"/>
      <c r="HL2152" s="501"/>
      <c r="HM2152" s="501"/>
      <c r="HN2152" s="501"/>
      <c r="HO2152" s="501"/>
      <c r="HP2152" s="501"/>
      <c r="HQ2152" s="501"/>
      <c r="HR2152" s="501"/>
      <c r="HS2152" s="501"/>
      <c r="HT2152" s="501"/>
      <c r="HU2152" s="501"/>
      <c r="HV2152" s="501"/>
      <c r="HW2152" s="501"/>
      <c r="HX2152" s="501"/>
      <c r="HY2152" s="501"/>
      <c r="HZ2152" s="501"/>
      <c r="IA2152" s="501"/>
      <c r="IB2152" s="501"/>
      <c r="IC2152" s="501"/>
      <c r="ID2152" s="501"/>
      <c r="IE2152" s="501"/>
      <c r="IF2152" s="501"/>
      <c r="IG2152" s="501"/>
      <c r="IH2152" s="501"/>
      <c r="II2152" s="501"/>
      <c r="IJ2152" s="501"/>
      <c r="IK2152" s="501"/>
      <c r="IL2152" s="501"/>
      <c r="IM2152" s="501"/>
      <c r="IN2152" s="501"/>
      <c r="IO2152" s="501"/>
      <c r="IP2152" s="501"/>
      <c r="IQ2152" s="501"/>
      <c r="IR2152" s="501"/>
      <c r="IS2152" s="501"/>
      <c r="IT2152" s="501"/>
      <c r="IU2152" s="501"/>
    </row>
    <row r="2153" spans="1:255" s="877" customFormat="1" ht="24" customHeight="1">
      <c r="A2153" s="501"/>
      <c r="B2153" s="501"/>
      <c r="C2153" s="501"/>
      <c r="D2153" s="501"/>
      <c r="E2153" s="501"/>
      <c r="F2153" s="501"/>
      <c r="G2153" s="915"/>
      <c r="H2153" s="501"/>
      <c r="I2153" s="874"/>
      <c r="J2153" s="501"/>
      <c r="K2153" s="501"/>
      <c r="L2153" s="874"/>
      <c r="M2153" s="882"/>
      <c r="N2153" s="501"/>
      <c r="O2153" s="545"/>
      <c r="P2153" s="901"/>
      <c r="Q2153" s="876"/>
      <c r="R2153" s="545"/>
      <c r="S2153" s="876"/>
      <c r="T2153" s="545"/>
      <c r="V2153" s="501"/>
      <c r="W2153" s="501"/>
      <c r="X2153" s="501"/>
      <c r="Y2153" s="501"/>
      <c r="Z2153" s="501"/>
      <c r="AA2153" s="501"/>
      <c r="AB2153" s="501"/>
      <c r="AC2153" s="501"/>
      <c r="AD2153" s="501"/>
      <c r="AE2153" s="501"/>
      <c r="AF2153" s="501"/>
      <c r="AG2153" s="501"/>
      <c r="AH2153" s="501"/>
      <c r="AI2153" s="501"/>
      <c r="AJ2153" s="501"/>
      <c r="AK2153" s="501"/>
      <c r="AL2153" s="501"/>
      <c r="AM2153" s="501"/>
      <c r="AN2153" s="501"/>
      <c r="AO2153" s="501"/>
      <c r="AP2153" s="501"/>
      <c r="AQ2153" s="501"/>
      <c r="AR2153" s="501"/>
      <c r="AS2153" s="501"/>
      <c r="AT2153" s="501"/>
      <c r="AU2153" s="501"/>
      <c r="AV2153" s="501"/>
      <c r="AW2153" s="501"/>
      <c r="AX2153" s="501"/>
      <c r="AY2153" s="501"/>
      <c r="AZ2153" s="501"/>
      <c r="BA2153" s="501"/>
      <c r="BB2153" s="501"/>
      <c r="BC2153" s="501"/>
      <c r="BD2153" s="501"/>
      <c r="BE2153" s="501"/>
      <c r="BF2153" s="501"/>
      <c r="BG2153" s="501"/>
      <c r="BH2153" s="501"/>
      <c r="BI2153" s="501"/>
      <c r="BJ2153" s="501"/>
      <c r="BK2153" s="501"/>
      <c r="BL2153" s="501"/>
      <c r="BM2153" s="501"/>
      <c r="BN2153" s="501"/>
      <c r="BO2153" s="501"/>
      <c r="BP2153" s="501"/>
      <c r="BQ2153" s="501"/>
      <c r="BR2153" s="501"/>
      <c r="BS2153" s="501"/>
      <c r="BT2153" s="501"/>
      <c r="BU2153" s="501"/>
      <c r="BV2153" s="501"/>
      <c r="BW2153" s="501"/>
      <c r="BX2153" s="501"/>
      <c r="BY2153" s="501"/>
      <c r="BZ2153" s="501"/>
      <c r="CA2153" s="501"/>
      <c r="CB2153" s="501"/>
      <c r="CC2153" s="501"/>
      <c r="CD2153" s="501"/>
      <c r="CE2153" s="501"/>
      <c r="CF2153" s="501"/>
      <c r="CG2153" s="501"/>
      <c r="CH2153" s="501"/>
      <c r="CI2153" s="501"/>
      <c r="CJ2153" s="501"/>
      <c r="CK2153" s="501"/>
      <c r="CL2153" s="501"/>
      <c r="CM2153" s="501"/>
      <c r="CN2153" s="501"/>
      <c r="CO2153" s="501"/>
      <c r="CP2153" s="501"/>
      <c r="CQ2153" s="501"/>
      <c r="CR2153" s="501"/>
      <c r="CS2153" s="501"/>
      <c r="CT2153" s="501"/>
      <c r="CU2153" s="501"/>
      <c r="CV2153" s="501"/>
      <c r="CW2153" s="501"/>
      <c r="CX2153" s="501"/>
      <c r="CY2153" s="501"/>
      <c r="CZ2153" s="501"/>
      <c r="DA2153" s="501"/>
      <c r="DB2153" s="501"/>
      <c r="DC2153" s="501"/>
      <c r="DD2153" s="501"/>
      <c r="DE2153" s="501"/>
      <c r="DF2153" s="501"/>
      <c r="DG2153" s="501"/>
      <c r="DH2153" s="501"/>
      <c r="DI2153" s="501"/>
      <c r="DJ2153" s="501"/>
      <c r="DK2153" s="501"/>
      <c r="DL2153" s="501"/>
      <c r="DM2153" s="501"/>
      <c r="DN2153" s="501"/>
      <c r="DO2153" s="501"/>
      <c r="DP2153" s="501"/>
      <c r="DQ2153" s="501"/>
      <c r="DR2153" s="501"/>
      <c r="DS2153" s="501"/>
      <c r="DT2153" s="501"/>
      <c r="DU2153" s="501"/>
      <c r="DV2153" s="501"/>
      <c r="DW2153" s="501"/>
      <c r="DX2153" s="501"/>
      <c r="DY2153" s="501"/>
      <c r="DZ2153" s="501"/>
      <c r="EA2153" s="501"/>
      <c r="EB2153" s="501"/>
      <c r="EC2153" s="501"/>
      <c r="ED2153" s="501"/>
      <c r="EE2153" s="501"/>
      <c r="EF2153" s="501"/>
      <c r="EG2153" s="501"/>
      <c r="EH2153" s="501"/>
      <c r="EI2153" s="501"/>
      <c r="EJ2153" s="501"/>
      <c r="EK2153" s="501"/>
      <c r="EL2153" s="501"/>
      <c r="EM2153" s="501"/>
      <c r="EN2153" s="501"/>
      <c r="EO2153" s="501"/>
      <c r="EP2153" s="501"/>
      <c r="EQ2153" s="501"/>
      <c r="ER2153" s="501"/>
      <c r="ES2153" s="501"/>
      <c r="ET2153" s="501"/>
      <c r="EU2153" s="501"/>
      <c r="EV2153" s="501"/>
      <c r="EW2153" s="501"/>
      <c r="EX2153" s="501"/>
      <c r="EY2153" s="501"/>
      <c r="EZ2153" s="501"/>
      <c r="FA2153" s="501"/>
      <c r="FB2153" s="501"/>
      <c r="FC2153" s="501"/>
      <c r="FD2153" s="501"/>
      <c r="FE2153" s="501"/>
      <c r="FF2153" s="501"/>
      <c r="FG2153" s="501"/>
      <c r="FH2153" s="501"/>
      <c r="FI2153" s="501"/>
      <c r="FJ2153" s="501"/>
      <c r="FK2153" s="501"/>
      <c r="FL2153" s="501"/>
      <c r="FM2153" s="501"/>
      <c r="FN2153" s="501"/>
      <c r="FO2153" s="501"/>
      <c r="FP2153" s="501"/>
      <c r="FQ2153" s="501"/>
      <c r="FR2153" s="501"/>
      <c r="FS2153" s="501"/>
      <c r="FT2153" s="501"/>
      <c r="FU2153" s="501"/>
      <c r="FV2153" s="501"/>
      <c r="FW2153" s="501"/>
      <c r="FX2153" s="501"/>
      <c r="FY2153" s="501"/>
      <c r="FZ2153" s="501"/>
      <c r="GA2153" s="501"/>
      <c r="GB2153" s="501"/>
      <c r="GC2153" s="501"/>
      <c r="GD2153" s="501"/>
      <c r="GE2153" s="501"/>
      <c r="GF2153" s="501"/>
      <c r="GG2153" s="501"/>
      <c r="GH2153" s="501"/>
      <c r="GI2153" s="501"/>
      <c r="GJ2153" s="501"/>
      <c r="GK2153" s="501"/>
      <c r="GL2153" s="501"/>
      <c r="GM2153" s="501"/>
      <c r="GN2153" s="501"/>
      <c r="GO2153" s="501"/>
      <c r="GP2153" s="501"/>
      <c r="GQ2153" s="501"/>
      <c r="GR2153" s="501"/>
      <c r="GS2153" s="501"/>
      <c r="GT2153" s="501"/>
      <c r="GU2153" s="501"/>
      <c r="GV2153" s="501"/>
      <c r="GW2153" s="501"/>
      <c r="GX2153" s="501"/>
      <c r="GY2153" s="501"/>
      <c r="GZ2153" s="501"/>
      <c r="HA2153" s="501"/>
      <c r="HB2153" s="501"/>
      <c r="HC2153" s="501"/>
      <c r="HD2153" s="501"/>
      <c r="HE2153" s="501"/>
      <c r="HF2153" s="501"/>
      <c r="HG2153" s="501"/>
      <c r="HH2153" s="501"/>
      <c r="HI2153" s="501"/>
      <c r="HJ2153" s="501"/>
      <c r="HK2153" s="501"/>
      <c r="HL2153" s="501"/>
      <c r="HM2153" s="501"/>
      <c r="HN2153" s="501"/>
      <c r="HO2153" s="501"/>
      <c r="HP2153" s="501"/>
      <c r="HQ2153" s="501"/>
      <c r="HR2153" s="501"/>
      <c r="HS2153" s="501"/>
      <c r="HT2153" s="501"/>
      <c r="HU2153" s="501"/>
      <c r="HV2153" s="501"/>
      <c r="HW2153" s="501"/>
      <c r="HX2153" s="501"/>
      <c r="HY2153" s="501"/>
      <c r="HZ2153" s="501"/>
      <c r="IA2153" s="501"/>
      <c r="IB2153" s="501"/>
      <c r="IC2153" s="501"/>
      <c r="ID2153" s="501"/>
      <c r="IE2153" s="501"/>
      <c r="IF2153" s="501"/>
      <c r="IG2153" s="501"/>
      <c r="IH2153" s="501"/>
      <c r="II2153" s="501"/>
      <c r="IJ2153" s="501"/>
      <c r="IK2153" s="501"/>
      <c r="IL2153" s="501"/>
      <c r="IM2153" s="501"/>
      <c r="IN2153" s="501"/>
      <c r="IO2153" s="501"/>
      <c r="IP2153" s="501"/>
      <c r="IQ2153" s="501"/>
      <c r="IR2153" s="501"/>
      <c r="IS2153" s="501"/>
      <c r="IT2153" s="501"/>
      <c r="IU2153" s="501"/>
    </row>
    <row r="2154" spans="1:255" s="877" customFormat="1" ht="24" customHeight="1">
      <c r="A2154" s="501"/>
      <c r="B2154" s="501"/>
      <c r="C2154" s="501"/>
      <c r="D2154" s="501"/>
      <c r="E2154" s="501"/>
      <c r="F2154" s="880"/>
      <c r="G2154" s="918"/>
      <c r="H2154" s="880"/>
      <c r="I2154" s="876"/>
      <c r="J2154" s="876"/>
      <c r="K2154" s="501"/>
      <c r="L2154" s="874"/>
      <c r="M2154" s="554"/>
      <c r="N2154" s="501"/>
      <c r="O2154" s="545"/>
      <c r="P2154" s="901"/>
      <c r="Q2154" s="876"/>
      <c r="R2154" s="545"/>
      <c r="S2154" s="876"/>
      <c r="T2154" s="545"/>
      <c r="V2154" s="501"/>
      <c r="W2154" s="501"/>
      <c r="X2154" s="501"/>
      <c r="Y2154" s="501"/>
      <c r="Z2154" s="501"/>
      <c r="AA2154" s="501"/>
      <c r="AB2154" s="501"/>
      <c r="AC2154" s="501"/>
      <c r="AD2154" s="501"/>
      <c r="AE2154" s="501"/>
      <c r="AF2154" s="501"/>
      <c r="AG2154" s="501"/>
      <c r="AH2154" s="501"/>
      <c r="AI2154" s="501"/>
      <c r="AJ2154" s="501"/>
      <c r="AK2154" s="501"/>
      <c r="AL2154" s="501"/>
      <c r="AM2154" s="501"/>
      <c r="AN2154" s="501"/>
      <c r="AO2154" s="501"/>
      <c r="AP2154" s="501"/>
      <c r="AQ2154" s="501"/>
      <c r="AR2154" s="501"/>
      <c r="AS2154" s="501"/>
      <c r="AT2154" s="501"/>
      <c r="AU2154" s="501"/>
      <c r="AV2154" s="501"/>
      <c r="AW2154" s="501"/>
      <c r="AX2154" s="501"/>
      <c r="AY2154" s="501"/>
      <c r="AZ2154" s="501"/>
      <c r="BA2154" s="501"/>
      <c r="BB2154" s="501"/>
      <c r="BC2154" s="501"/>
      <c r="BD2154" s="501"/>
      <c r="BE2154" s="501"/>
      <c r="BF2154" s="501"/>
      <c r="BG2154" s="501"/>
      <c r="BH2154" s="501"/>
      <c r="BI2154" s="501"/>
      <c r="BJ2154" s="501"/>
      <c r="BK2154" s="501"/>
      <c r="BL2154" s="501"/>
      <c r="BM2154" s="501"/>
      <c r="BN2154" s="501"/>
      <c r="BO2154" s="501"/>
      <c r="BP2154" s="501"/>
      <c r="BQ2154" s="501"/>
      <c r="BR2154" s="501"/>
      <c r="BS2154" s="501"/>
      <c r="BT2154" s="501"/>
      <c r="BU2154" s="501"/>
      <c r="BV2154" s="501"/>
      <c r="BW2154" s="501"/>
      <c r="BX2154" s="501"/>
      <c r="BY2154" s="501"/>
      <c r="BZ2154" s="501"/>
      <c r="CA2154" s="501"/>
      <c r="CB2154" s="501"/>
      <c r="CC2154" s="501"/>
      <c r="CD2154" s="501"/>
      <c r="CE2154" s="501"/>
      <c r="CF2154" s="501"/>
      <c r="CG2154" s="501"/>
      <c r="CH2154" s="501"/>
      <c r="CI2154" s="501"/>
      <c r="CJ2154" s="501"/>
      <c r="CK2154" s="501"/>
      <c r="CL2154" s="501"/>
      <c r="CM2154" s="501"/>
      <c r="CN2154" s="501"/>
      <c r="CO2154" s="501"/>
      <c r="CP2154" s="501"/>
      <c r="CQ2154" s="501"/>
      <c r="CR2154" s="501"/>
      <c r="CS2154" s="501"/>
      <c r="CT2154" s="501"/>
      <c r="CU2154" s="501"/>
      <c r="CV2154" s="501"/>
      <c r="CW2154" s="501"/>
      <c r="CX2154" s="501"/>
      <c r="CY2154" s="501"/>
      <c r="CZ2154" s="501"/>
      <c r="DA2154" s="501"/>
      <c r="DB2154" s="501"/>
      <c r="DC2154" s="501"/>
      <c r="DD2154" s="501"/>
      <c r="DE2154" s="501"/>
      <c r="DF2154" s="501"/>
      <c r="DG2154" s="501"/>
      <c r="DH2154" s="501"/>
      <c r="DI2154" s="501"/>
      <c r="DJ2154" s="501"/>
      <c r="DK2154" s="501"/>
      <c r="DL2154" s="501"/>
      <c r="DM2154" s="501"/>
      <c r="DN2154" s="501"/>
      <c r="DO2154" s="501"/>
      <c r="DP2154" s="501"/>
      <c r="DQ2154" s="501"/>
      <c r="DR2154" s="501"/>
      <c r="DS2154" s="501"/>
      <c r="DT2154" s="501"/>
      <c r="DU2154" s="501"/>
      <c r="DV2154" s="501"/>
      <c r="DW2154" s="501"/>
      <c r="DX2154" s="501"/>
      <c r="DY2154" s="501"/>
      <c r="DZ2154" s="501"/>
      <c r="EA2154" s="501"/>
      <c r="EB2154" s="501"/>
      <c r="EC2154" s="501"/>
      <c r="ED2154" s="501"/>
      <c r="EE2154" s="501"/>
      <c r="EF2154" s="501"/>
      <c r="EG2154" s="501"/>
      <c r="EH2154" s="501"/>
      <c r="EI2154" s="501"/>
      <c r="EJ2154" s="501"/>
      <c r="EK2154" s="501"/>
      <c r="EL2154" s="501"/>
      <c r="EM2154" s="501"/>
      <c r="EN2154" s="501"/>
      <c r="EO2154" s="501"/>
      <c r="EP2154" s="501"/>
      <c r="EQ2154" s="501"/>
      <c r="ER2154" s="501"/>
      <c r="ES2154" s="501"/>
      <c r="ET2154" s="501"/>
      <c r="EU2154" s="501"/>
      <c r="EV2154" s="501"/>
      <c r="EW2154" s="501"/>
      <c r="EX2154" s="501"/>
      <c r="EY2154" s="501"/>
      <c r="EZ2154" s="501"/>
      <c r="FA2154" s="501"/>
      <c r="FB2154" s="501"/>
      <c r="FC2154" s="501"/>
      <c r="FD2154" s="501"/>
      <c r="FE2154" s="501"/>
      <c r="FF2154" s="501"/>
      <c r="FG2154" s="501"/>
      <c r="FH2154" s="501"/>
      <c r="FI2154" s="501"/>
      <c r="FJ2154" s="501"/>
      <c r="FK2154" s="501"/>
      <c r="FL2154" s="501"/>
      <c r="FM2154" s="501"/>
      <c r="FN2154" s="501"/>
      <c r="FO2154" s="501"/>
      <c r="FP2154" s="501"/>
      <c r="FQ2154" s="501"/>
      <c r="FR2154" s="501"/>
      <c r="FS2154" s="501"/>
      <c r="FT2154" s="501"/>
      <c r="FU2154" s="501"/>
      <c r="FV2154" s="501"/>
      <c r="FW2154" s="501"/>
      <c r="FX2154" s="501"/>
      <c r="FY2154" s="501"/>
      <c r="FZ2154" s="501"/>
      <c r="GA2154" s="501"/>
      <c r="GB2154" s="501"/>
      <c r="GC2154" s="501"/>
      <c r="GD2154" s="501"/>
      <c r="GE2154" s="501"/>
      <c r="GF2154" s="501"/>
      <c r="GG2154" s="501"/>
      <c r="GH2154" s="501"/>
      <c r="GI2154" s="501"/>
      <c r="GJ2154" s="501"/>
      <c r="GK2154" s="501"/>
      <c r="GL2154" s="501"/>
      <c r="GM2154" s="501"/>
      <c r="GN2154" s="501"/>
      <c r="GO2154" s="501"/>
      <c r="GP2154" s="501"/>
      <c r="GQ2154" s="501"/>
      <c r="GR2154" s="501"/>
      <c r="GS2154" s="501"/>
      <c r="GT2154" s="501"/>
      <c r="GU2154" s="501"/>
      <c r="GV2154" s="501"/>
      <c r="GW2154" s="501"/>
      <c r="GX2154" s="501"/>
      <c r="GY2154" s="501"/>
      <c r="GZ2154" s="501"/>
      <c r="HA2154" s="501"/>
      <c r="HB2154" s="501"/>
      <c r="HC2154" s="501"/>
      <c r="HD2154" s="501"/>
      <c r="HE2154" s="501"/>
      <c r="HF2154" s="501"/>
      <c r="HG2154" s="501"/>
      <c r="HH2154" s="501"/>
      <c r="HI2154" s="501"/>
      <c r="HJ2154" s="501"/>
      <c r="HK2154" s="501"/>
      <c r="HL2154" s="501"/>
      <c r="HM2154" s="501"/>
      <c r="HN2154" s="501"/>
      <c r="HO2154" s="501"/>
      <c r="HP2154" s="501"/>
      <c r="HQ2154" s="501"/>
      <c r="HR2154" s="501"/>
      <c r="HS2154" s="501"/>
      <c r="HT2154" s="501"/>
      <c r="HU2154" s="501"/>
      <c r="HV2154" s="501"/>
      <c r="HW2154" s="501"/>
      <c r="HX2154" s="501"/>
      <c r="HY2154" s="501"/>
      <c r="HZ2154" s="501"/>
      <c r="IA2154" s="501"/>
      <c r="IB2154" s="501"/>
      <c r="IC2154" s="501"/>
      <c r="ID2154" s="501"/>
      <c r="IE2154" s="501"/>
      <c r="IF2154" s="501"/>
      <c r="IG2154" s="501"/>
      <c r="IH2154" s="501"/>
      <c r="II2154" s="501"/>
      <c r="IJ2154" s="501"/>
      <c r="IK2154" s="501"/>
      <c r="IL2154" s="501"/>
      <c r="IM2154" s="501"/>
      <c r="IN2154" s="501"/>
      <c r="IO2154" s="501"/>
      <c r="IP2154" s="501"/>
      <c r="IQ2154" s="501"/>
      <c r="IR2154" s="501"/>
      <c r="IS2154" s="501"/>
      <c r="IT2154" s="501"/>
      <c r="IU2154" s="501"/>
    </row>
    <row r="2155" spans="1:255" s="877" customFormat="1" ht="24" customHeight="1">
      <c r="A2155" s="501"/>
      <c r="B2155" s="501"/>
      <c r="C2155" s="501"/>
      <c r="D2155" s="501"/>
      <c r="E2155" s="501"/>
      <c r="F2155" s="501"/>
      <c r="G2155" s="915"/>
      <c r="H2155" s="501"/>
      <c r="I2155" s="874"/>
      <c r="J2155" s="876"/>
      <c r="K2155" s="501"/>
      <c r="L2155" s="874"/>
      <c r="M2155" s="554"/>
      <c r="N2155" s="501"/>
      <c r="O2155" s="501"/>
      <c r="P2155" s="901"/>
      <c r="Q2155" s="876"/>
      <c r="R2155" s="501"/>
      <c r="S2155" s="876"/>
      <c r="T2155" s="545"/>
      <c r="V2155" s="501"/>
      <c r="W2155" s="501"/>
      <c r="X2155" s="501"/>
      <c r="Y2155" s="501"/>
      <c r="Z2155" s="501"/>
      <c r="AA2155" s="501"/>
      <c r="AB2155" s="501"/>
      <c r="AC2155" s="501"/>
      <c r="AD2155" s="501"/>
      <c r="AE2155" s="501"/>
      <c r="AF2155" s="501"/>
      <c r="AG2155" s="501"/>
      <c r="AH2155" s="501"/>
      <c r="AI2155" s="501"/>
      <c r="AJ2155" s="501"/>
      <c r="AK2155" s="501"/>
      <c r="AL2155" s="501"/>
      <c r="AM2155" s="501"/>
      <c r="AN2155" s="501"/>
      <c r="AO2155" s="501"/>
      <c r="AP2155" s="501"/>
      <c r="AQ2155" s="501"/>
      <c r="AR2155" s="501"/>
      <c r="AS2155" s="501"/>
      <c r="AT2155" s="501"/>
      <c r="AU2155" s="501"/>
      <c r="AV2155" s="501"/>
      <c r="AW2155" s="501"/>
      <c r="AX2155" s="501"/>
      <c r="AY2155" s="501"/>
      <c r="AZ2155" s="501"/>
      <c r="BA2155" s="501"/>
      <c r="BB2155" s="501"/>
      <c r="BC2155" s="501"/>
      <c r="BD2155" s="501"/>
      <c r="BE2155" s="501"/>
      <c r="BF2155" s="501"/>
      <c r="BG2155" s="501"/>
      <c r="BH2155" s="501"/>
      <c r="BI2155" s="501"/>
      <c r="BJ2155" s="501"/>
      <c r="BK2155" s="501"/>
      <c r="BL2155" s="501"/>
      <c r="BM2155" s="501"/>
      <c r="BN2155" s="501"/>
      <c r="BO2155" s="501"/>
      <c r="BP2155" s="501"/>
      <c r="BQ2155" s="501"/>
      <c r="BR2155" s="501"/>
      <c r="BS2155" s="501"/>
      <c r="BT2155" s="501"/>
      <c r="BU2155" s="501"/>
      <c r="BV2155" s="501"/>
      <c r="BW2155" s="501"/>
      <c r="BX2155" s="501"/>
      <c r="BY2155" s="501"/>
      <c r="BZ2155" s="501"/>
      <c r="CA2155" s="501"/>
      <c r="CB2155" s="501"/>
      <c r="CC2155" s="501"/>
      <c r="CD2155" s="501"/>
      <c r="CE2155" s="501"/>
      <c r="CF2155" s="501"/>
      <c r="CG2155" s="501"/>
      <c r="CH2155" s="501"/>
      <c r="CI2155" s="501"/>
      <c r="CJ2155" s="501"/>
      <c r="CK2155" s="501"/>
      <c r="CL2155" s="501"/>
      <c r="CM2155" s="501"/>
      <c r="CN2155" s="501"/>
      <c r="CO2155" s="501"/>
      <c r="CP2155" s="501"/>
      <c r="CQ2155" s="501"/>
      <c r="CR2155" s="501"/>
      <c r="CS2155" s="501"/>
      <c r="CT2155" s="501"/>
      <c r="CU2155" s="501"/>
      <c r="CV2155" s="501"/>
      <c r="CW2155" s="501"/>
      <c r="CX2155" s="501"/>
      <c r="CY2155" s="501"/>
      <c r="CZ2155" s="501"/>
      <c r="DA2155" s="501"/>
      <c r="DB2155" s="501"/>
      <c r="DC2155" s="501"/>
      <c r="DD2155" s="501"/>
      <c r="DE2155" s="501"/>
      <c r="DF2155" s="501"/>
      <c r="DG2155" s="501"/>
      <c r="DH2155" s="501"/>
      <c r="DI2155" s="501"/>
      <c r="DJ2155" s="501"/>
      <c r="DK2155" s="501"/>
      <c r="DL2155" s="501"/>
      <c r="DM2155" s="501"/>
      <c r="DN2155" s="501"/>
      <c r="DO2155" s="501"/>
      <c r="DP2155" s="501"/>
      <c r="DQ2155" s="501"/>
      <c r="DR2155" s="501"/>
      <c r="DS2155" s="501"/>
      <c r="DT2155" s="501"/>
      <c r="DU2155" s="501"/>
      <c r="DV2155" s="501"/>
      <c r="DW2155" s="501"/>
      <c r="DX2155" s="501"/>
      <c r="DY2155" s="501"/>
      <c r="DZ2155" s="501"/>
      <c r="EA2155" s="501"/>
      <c r="EB2155" s="501"/>
      <c r="EC2155" s="501"/>
      <c r="ED2155" s="501"/>
      <c r="EE2155" s="501"/>
      <c r="EF2155" s="501"/>
      <c r="EG2155" s="501"/>
      <c r="EH2155" s="501"/>
      <c r="EI2155" s="501"/>
      <c r="EJ2155" s="501"/>
      <c r="EK2155" s="501"/>
      <c r="EL2155" s="501"/>
      <c r="EM2155" s="501"/>
      <c r="EN2155" s="501"/>
      <c r="EO2155" s="501"/>
      <c r="EP2155" s="501"/>
      <c r="EQ2155" s="501"/>
      <c r="ER2155" s="501"/>
      <c r="ES2155" s="501"/>
      <c r="ET2155" s="501"/>
      <c r="EU2155" s="501"/>
      <c r="EV2155" s="501"/>
      <c r="EW2155" s="501"/>
      <c r="EX2155" s="501"/>
      <c r="EY2155" s="501"/>
      <c r="EZ2155" s="501"/>
      <c r="FA2155" s="501"/>
      <c r="FB2155" s="501"/>
      <c r="FC2155" s="501"/>
      <c r="FD2155" s="501"/>
      <c r="FE2155" s="501"/>
      <c r="FF2155" s="501"/>
      <c r="FG2155" s="501"/>
      <c r="FH2155" s="501"/>
      <c r="FI2155" s="501"/>
      <c r="FJ2155" s="501"/>
      <c r="FK2155" s="501"/>
      <c r="FL2155" s="501"/>
      <c r="FM2155" s="501"/>
      <c r="FN2155" s="501"/>
      <c r="FO2155" s="501"/>
      <c r="FP2155" s="501"/>
      <c r="FQ2155" s="501"/>
      <c r="FR2155" s="501"/>
      <c r="FS2155" s="501"/>
      <c r="FT2155" s="501"/>
      <c r="FU2155" s="501"/>
      <c r="FV2155" s="501"/>
      <c r="FW2155" s="501"/>
      <c r="FX2155" s="501"/>
      <c r="FY2155" s="501"/>
      <c r="FZ2155" s="501"/>
      <c r="GA2155" s="501"/>
      <c r="GB2155" s="501"/>
      <c r="GC2155" s="501"/>
      <c r="GD2155" s="501"/>
      <c r="GE2155" s="501"/>
      <c r="GF2155" s="501"/>
      <c r="GG2155" s="501"/>
      <c r="GH2155" s="501"/>
      <c r="GI2155" s="501"/>
      <c r="GJ2155" s="501"/>
      <c r="GK2155" s="501"/>
      <c r="GL2155" s="501"/>
      <c r="GM2155" s="501"/>
      <c r="GN2155" s="501"/>
      <c r="GO2155" s="501"/>
      <c r="GP2155" s="501"/>
      <c r="GQ2155" s="501"/>
      <c r="GR2155" s="501"/>
      <c r="GS2155" s="501"/>
      <c r="GT2155" s="501"/>
      <c r="GU2155" s="501"/>
      <c r="GV2155" s="501"/>
      <c r="GW2155" s="501"/>
      <c r="GX2155" s="501"/>
      <c r="GY2155" s="501"/>
      <c r="GZ2155" s="501"/>
      <c r="HA2155" s="501"/>
      <c r="HB2155" s="501"/>
      <c r="HC2155" s="501"/>
      <c r="HD2155" s="501"/>
      <c r="HE2155" s="501"/>
      <c r="HF2155" s="501"/>
      <c r="HG2155" s="501"/>
      <c r="HH2155" s="501"/>
      <c r="HI2155" s="501"/>
      <c r="HJ2155" s="501"/>
      <c r="HK2155" s="501"/>
      <c r="HL2155" s="501"/>
      <c r="HM2155" s="501"/>
      <c r="HN2155" s="501"/>
      <c r="HO2155" s="501"/>
      <c r="HP2155" s="501"/>
      <c r="HQ2155" s="501"/>
      <c r="HR2155" s="501"/>
      <c r="HS2155" s="501"/>
      <c r="HT2155" s="501"/>
      <c r="HU2155" s="501"/>
      <c r="HV2155" s="501"/>
      <c r="HW2155" s="501"/>
      <c r="HX2155" s="501"/>
      <c r="HY2155" s="501"/>
      <c r="HZ2155" s="501"/>
      <c r="IA2155" s="501"/>
      <c r="IB2155" s="501"/>
      <c r="IC2155" s="501"/>
      <c r="ID2155" s="501"/>
      <c r="IE2155" s="501"/>
      <c r="IF2155" s="501"/>
      <c r="IG2155" s="501"/>
      <c r="IH2155" s="501"/>
      <c r="II2155" s="501"/>
      <c r="IJ2155" s="501"/>
      <c r="IK2155" s="501"/>
      <c r="IL2155" s="501"/>
      <c r="IM2155" s="501"/>
      <c r="IN2155" s="501"/>
      <c r="IO2155" s="501"/>
      <c r="IP2155" s="501"/>
      <c r="IQ2155" s="501"/>
      <c r="IR2155" s="501"/>
      <c r="IS2155" s="501"/>
      <c r="IT2155" s="501"/>
      <c r="IU2155" s="501"/>
    </row>
    <row r="2156" spans="1:255" s="877" customFormat="1" ht="24" customHeight="1">
      <c r="A2156" s="501"/>
      <c r="B2156" s="501"/>
      <c r="C2156" s="501"/>
      <c r="D2156" s="501"/>
      <c r="E2156" s="501"/>
      <c r="F2156" s="501"/>
      <c r="G2156" s="915"/>
      <c r="H2156" s="501"/>
      <c r="I2156" s="874"/>
      <c r="J2156" s="881"/>
      <c r="K2156" s="501"/>
      <c r="L2156" s="874"/>
      <c r="M2156" s="554"/>
      <c r="N2156" s="501"/>
      <c r="O2156" s="501"/>
      <c r="P2156" s="902"/>
      <c r="Q2156" s="501"/>
      <c r="R2156" s="501"/>
      <c r="S2156" s="874"/>
      <c r="T2156" s="881"/>
      <c r="V2156" s="501"/>
      <c r="W2156" s="501"/>
      <c r="X2156" s="501"/>
      <c r="Y2156" s="501"/>
      <c r="Z2156" s="501"/>
      <c r="AA2156" s="501"/>
      <c r="AB2156" s="501"/>
      <c r="AC2156" s="501"/>
      <c r="AD2156" s="501"/>
      <c r="AE2156" s="501"/>
      <c r="AF2156" s="501"/>
      <c r="AG2156" s="501"/>
      <c r="AH2156" s="501"/>
      <c r="AI2156" s="501"/>
      <c r="AJ2156" s="501"/>
      <c r="AK2156" s="501"/>
      <c r="AL2156" s="501"/>
      <c r="AM2156" s="501"/>
      <c r="AN2156" s="501"/>
      <c r="AO2156" s="501"/>
      <c r="AP2156" s="501"/>
      <c r="AQ2156" s="501"/>
      <c r="AR2156" s="501"/>
      <c r="AS2156" s="501"/>
      <c r="AT2156" s="501"/>
      <c r="AU2156" s="501"/>
      <c r="AV2156" s="501"/>
      <c r="AW2156" s="501"/>
      <c r="AX2156" s="501"/>
      <c r="AY2156" s="501"/>
      <c r="AZ2156" s="501"/>
      <c r="BA2156" s="501"/>
      <c r="BB2156" s="501"/>
      <c r="BC2156" s="501"/>
      <c r="BD2156" s="501"/>
      <c r="BE2156" s="501"/>
      <c r="BF2156" s="501"/>
      <c r="BG2156" s="501"/>
      <c r="BH2156" s="501"/>
      <c r="BI2156" s="501"/>
      <c r="BJ2156" s="501"/>
      <c r="BK2156" s="501"/>
      <c r="BL2156" s="501"/>
      <c r="BM2156" s="501"/>
      <c r="BN2156" s="501"/>
      <c r="BO2156" s="501"/>
      <c r="BP2156" s="501"/>
      <c r="BQ2156" s="501"/>
      <c r="BR2156" s="501"/>
      <c r="BS2156" s="501"/>
      <c r="BT2156" s="501"/>
      <c r="BU2156" s="501"/>
      <c r="BV2156" s="501"/>
      <c r="BW2156" s="501"/>
      <c r="BX2156" s="501"/>
      <c r="BY2156" s="501"/>
      <c r="BZ2156" s="501"/>
      <c r="CA2156" s="501"/>
      <c r="CB2156" s="501"/>
      <c r="CC2156" s="501"/>
      <c r="CD2156" s="501"/>
      <c r="CE2156" s="501"/>
      <c r="CF2156" s="501"/>
      <c r="CG2156" s="501"/>
      <c r="CH2156" s="501"/>
      <c r="CI2156" s="501"/>
      <c r="CJ2156" s="501"/>
      <c r="CK2156" s="501"/>
      <c r="CL2156" s="501"/>
      <c r="CM2156" s="501"/>
      <c r="CN2156" s="501"/>
      <c r="CO2156" s="501"/>
      <c r="CP2156" s="501"/>
      <c r="CQ2156" s="501"/>
      <c r="CR2156" s="501"/>
      <c r="CS2156" s="501"/>
      <c r="CT2156" s="501"/>
      <c r="CU2156" s="501"/>
      <c r="CV2156" s="501"/>
      <c r="CW2156" s="501"/>
      <c r="CX2156" s="501"/>
      <c r="CY2156" s="501"/>
      <c r="CZ2156" s="501"/>
      <c r="DA2156" s="501"/>
      <c r="DB2156" s="501"/>
      <c r="DC2156" s="501"/>
      <c r="DD2156" s="501"/>
      <c r="DE2156" s="501"/>
      <c r="DF2156" s="501"/>
      <c r="DG2156" s="501"/>
      <c r="DH2156" s="501"/>
      <c r="DI2156" s="501"/>
      <c r="DJ2156" s="501"/>
      <c r="DK2156" s="501"/>
      <c r="DL2156" s="501"/>
      <c r="DM2156" s="501"/>
      <c r="DN2156" s="501"/>
      <c r="DO2156" s="501"/>
      <c r="DP2156" s="501"/>
      <c r="DQ2156" s="501"/>
      <c r="DR2156" s="501"/>
      <c r="DS2156" s="501"/>
      <c r="DT2156" s="501"/>
      <c r="DU2156" s="501"/>
      <c r="DV2156" s="501"/>
      <c r="DW2156" s="501"/>
      <c r="DX2156" s="501"/>
      <c r="DY2156" s="501"/>
      <c r="DZ2156" s="501"/>
      <c r="EA2156" s="501"/>
      <c r="EB2156" s="501"/>
      <c r="EC2156" s="501"/>
      <c r="ED2156" s="501"/>
      <c r="EE2156" s="501"/>
      <c r="EF2156" s="501"/>
      <c r="EG2156" s="501"/>
      <c r="EH2156" s="501"/>
      <c r="EI2156" s="501"/>
      <c r="EJ2156" s="501"/>
      <c r="EK2156" s="501"/>
      <c r="EL2156" s="501"/>
      <c r="EM2156" s="501"/>
      <c r="EN2156" s="501"/>
      <c r="EO2156" s="501"/>
      <c r="EP2156" s="501"/>
      <c r="EQ2156" s="501"/>
      <c r="ER2156" s="501"/>
      <c r="ES2156" s="501"/>
      <c r="ET2156" s="501"/>
      <c r="EU2156" s="501"/>
      <c r="EV2156" s="501"/>
      <c r="EW2156" s="501"/>
      <c r="EX2156" s="501"/>
      <c r="EY2156" s="501"/>
      <c r="EZ2156" s="501"/>
      <c r="FA2156" s="501"/>
      <c r="FB2156" s="501"/>
      <c r="FC2156" s="501"/>
      <c r="FD2156" s="501"/>
      <c r="FE2156" s="501"/>
      <c r="FF2156" s="501"/>
      <c r="FG2156" s="501"/>
      <c r="FH2156" s="501"/>
      <c r="FI2156" s="501"/>
      <c r="FJ2156" s="501"/>
      <c r="FK2156" s="501"/>
      <c r="FL2156" s="501"/>
      <c r="FM2156" s="501"/>
      <c r="FN2156" s="501"/>
      <c r="FO2156" s="501"/>
      <c r="FP2156" s="501"/>
      <c r="FQ2156" s="501"/>
      <c r="FR2156" s="501"/>
      <c r="FS2156" s="501"/>
      <c r="FT2156" s="501"/>
      <c r="FU2156" s="501"/>
      <c r="FV2156" s="501"/>
      <c r="FW2156" s="501"/>
      <c r="FX2156" s="501"/>
      <c r="FY2156" s="501"/>
      <c r="FZ2156" s="501"/>
      <c r="GA2156" s="501"/>
      <c r="GB2156" s="501"/>
      <c r="GC2156" s="501"/>
      <c r="GD2156" s="501"/>
      <c r="GE2156" s="501"/>
      <c r="GF2156" s="501"/>
      <c r="GG2156" s="501"/>
      <c r="GH2156" s="501"/>
      <c r="GI2156" s="501"/>
      <c r="GJ2156" s="501"/>
      <c r="GK2156" s="501"/>
      <c r="GL2156" s="501"/>
      <c r="GM2156" s="501"/>
      <c r="GN2156" s="501"/>
      <c r="GO2156" s="501"/>
      <c r="GP2156" s="501"/>
      <c r="GQ2156" s="501"/>
      <c r="GR2156" s="501"/>
      <c r="GS2156" s="501"/>
      <c r="GT2156" s="501"/>
      <c r="GU2156" s="501"/>
      <c r="GV2156" s="501"/>
      <c r="GW2156" s="501"/>
      <c r="GX2156" s="501"/>
      <c r="GY2156" s="501"/>
      <c r="GZ2156" s="501"/>
      <c r="HA2156" s="501"/>
      <c r="HB2156" s="501"/>
      <c r="HC2156" s="501"/>
      <c r="HD2156" s="501"/>
      <c r="HE2156" s="501"/>
      <c r="HF2156" s="501"/>
      <c r="HG2156" s="501"/>
      <c r="HH2156" s="501"/>
      <c r="HI2156" s="501"/>
      <c r="HJ2156" s="501"/>
      <c r="HK2156" s="501"/>
      <c r="HL2156" s="501"/>
      <c r="HM2156" s="501"/>
      <c r="HN2156" s="501"/>
      <c r="HO2156" s="501"/>
      <c r="HP2156" s="501"/>
      <c r="HQ2156" s="501"/>
      <c r="HR2156" s="501"/>
      <c r="HS2156" s="501"/>
      <c r="HT2156" s="501"/>
      <c r="HU2156" s="501"/>
      <c r="HV2156" s="501"/>
      <c r="HW2156" s="501"/>
      <c r="HX2156" s="501"/>
      <c r="HY2156" s="501"/>
      <c r="HZ2156" s="501"/>
      <c r="IA2156" s="501"/>
      <c r="IB2156" s="501"/>
      <c r="IC2156" s="501"/>
      <c r="ID2156" s="501"/>
      <c r="IE2156" s="501"/>
      <c r="IF2156" s="501"/>
      <c r="IG2156" s="501"/>
      <c r="IH2156" s="501"/>
      <c r="II2156" s="501"/>
      <c r="IJ2156" s="501"/>
      <c r="IK2156" s="501"/>
      <c r="IL2156" s="501"/>
      <c r="IM2156" s="501"/>
      <c r="IN2156" s="501"/>
      <c r="IO2156" s="501"/>
      <c r="IP2156" s="501"/>
      <c r="IQ2156" s="501"/>
      <c r="IR2156" s="501"/>
      <c r="IS2156" s="501"/>
      <c r="IT2156" s="501"/>
      <c r="IU2156" s="501"/>
    </row>
    <row r="2157" spans="1:255" s="877" customFormat="1" ht="24" customHeight="1">
      <c r="A2157" s="501"/>
      <c r="B2157" s="501"/>
      <c r="C2157" s="501"/>
      <c r="D2157" s="501"/>
      <c r="E2157" s="501"/>
      <c r="F2157" s="545"/>
      <c r="G2157" s="889"/>
      <c r="H2157" s="545"/>
      <c r="I2157" s="876"/>
      <c r="J2157" s="876"/>
      <c r="K2157" s="545"/>
      <c r="L2157" s="876"/>
      <c r="M2157" s="882"/>
      <c r="N2157" s="501"/>
      <c r="O2157" s="501"/>
      <c r="P2157" s="902"/>
      <c r="Q2157" s="876"/>
      <c r="R2157" s="501"/>
      <c r="S2157" s="874"/>
      <c r="T2157" s="545"/>
      <c r="V2157" s="501"/>
      <c r="W2157" s="501"/>
      <c r="X2157" s="501"/>
      <c r="Y2157" s="501"/>
      <c r="Z2157" s="501"/>
      <c r="AA2157" s="501"/>
      <c r="AB2157" s="501"/>
      <c r="AC2157" s="501"/>
      <c r="AD2157" s="501"/>
      <c r="AE2157" s="501"/>
      <c r="AF2157" s="501"/>
      <c r="AG2157" s="501"/>
      <c r="AH2157" s="501"/>
      <c r="AI2157" s="501"/>
      <c r="AJ2157" s="501"/>
      <c r="AK2157" s="501"/>
      <c r="AL2157" s="501"/>
      <c r="AM2157" s="501"/>
      <c r="AN2157" s="501"/>
      <c r="AO2157" s="501"/>
      <c r="AP2157" s="501"/>
      <c r="AQ2157" s="501"/>
      <c r="AR2157" s="501"/>
      <c r="AS2157" s="501"/>
      <c r="AT2157" s="501"/>
      <c r="AU2157" s="501"/>
      <c r="AV2157" s="501"/>
      <c r="AW2157" s="501"/>
      <c r="AX2157" s="501"/>
      <c r="AY2157" s="501"/>
      <c r="AZ2157" s="501"/>
      <c r="BA2157" s="501"/>
      <c r="BB2157" s="501"/>
      <c r="BC2157" s="501"/>
      <c r="BD2157" s="501"/>
      <c r="BE2157" s="501"/>
      <c r="BF2157" s="501"/>
      <c r="BG2157" s="501"/>
      <c r="BH2157" s="501"/>
      <c r="BI2157" s="501"/>
      <c r="BJ2157" s="501"/>
      <c r="BK2157" s="501"/>
      <c r="BL2157" s="501"/>
      <c r="BM2157" s="501"/>
      <c r="BN2157" s="501"/>
      <c r="BO2157" s="501"/>
      <c r="BP2157" s="501"/>
      <c r="BQ2157" s="501"/>
      <c r="BR2157" s="501"/>
      <c r="BS2157" s="501"/>
      <c r="BT2157" s="501"/>
      <c r="BU2157" s="501"/>
      <c r="BV2157" s="501"/>
      <c r="BW2157" s="501"/>
      <c r="BX2157" s="501"/>
      <c r="BY2157" s="501"/>
      <c r="BZ2157" s="501"/>
      <c r="CA2157" s="501"/>
      <c r="CB2157" s="501"/>
      <c r="CC2157" s="501"/>
      <c r="CD2157" s="501"/>
      <c r="CE2157" s="501"/>
      <c r="CF2157" s="501"/>
      <c r="CG2157" s="501"/>
      <c r="CH2157" s="501"/>
      <c r="CI2157" s="501"/>
      <c r="CJ2157" s="501"/>
      <c r="CK2157" s="501"/>
      <c r="CL2157" s="501"/>
      <c r="CM2157" s="501"/>
      <c r="CN2157" s="501"/>
      <c r="CO2157" s="501"/>
      <c r="CP2157" s="501"/>
      <c r="CQ2157" s="501"/>
      <c r="CR2157" s="501"/>
      <c r="CS2157" s="501"/>
      <c r="CT2157" s="501"/>
      <c r="CU2157" s="501"/>
      <c r="CV2157" s="501"/>
      <c r="CW2157" s="501"/>
      <c r="CX2157" s="501"/>
      <c r="CY2157" s="501"/>
      <c r="CZ2157" s="501"/>
      <c r="DA2157" s="501"/>
      <c r="DB2157" s="501"/>
      <c r="DC2157" s="501"/>
      <c r="DD2157" s="501"/>
      <c r="DE2157" s="501"/>
      <c r="DF2157" s="501"/>
      <c r="DG2157" s="501"/>
      <c r="DH2157" s="501"/>
      <c r="DI2157" s="501"/>
      <c r="DJ2157" s="501"/>
      <c r="DK2157" s="501"/>
      <c r="DL2157" s="501"/>
      <c r="DM2157" s="501"/>
      <c r="DN2157" s="501"/>
      <c r="DO2157" s="501"/>
      <c r="DP2157" s="501"/>
      <c r="DQ2157" s="501"/>
      <c r="DR2157" s="501"/>
      <c r="DS2157" s="501"/>
      <c r="DT2157" s="501"/>
      <c r="DU2157" s="501"/>
      <c r="DV2157" s="501"/>
      <c r="DW2157" s="501"/>
      <c r="DX2157" s="501"/>
      <c r="DY2157" s="501"/>
      <c r="DZ2157" s="501"/>
      <c r="EA2157" s="501"/>
      <c r="EB2157" s="501"/>
      <c r="EC2157" s="501"/>
      <c r="ED2157" s="501"/>
      <c r="EE2157" s="501"/>
      <c r="EF2157" s="501"/>
      <c r="EG2157" s="501"/>
      <c r="EH2157" s="501"/>
      <c r="EI2157" s="501"/>
      <c r="EJ2157" s="501"/>
      <c r="EK2157" s="501"/>
      <c r="EL2157" s="501"/>
      <c r="EM2157" s="501"/>
      <c r="EN2157" s="501"/>
      <c r="EO2157" s="501"/>
      <c r="EP2157" s="501"/>
      <c r="EQ2157" s="501"/>
      <c r="ER2157" s="501"/>
      <c r="ES2157" s="501"/>
      <c r="ET2157" s="501"/>
      <c r="EU2157" s="501"/>
      <c r="EV2157" s="501"/>
      <c r="EW2157" s="501"/>
      <c r="EX2157" s="501"/>
      <c r="EY2157" s="501"/>
      <c r="EZ2157" s="501"/>
      <c r="FA2157" s="501"/>
      <c r="FB2157" s="501"/>
      <c r="FC2157" s="501"/>
      <c r="FD2157" s="501"/>
      <c r="FE2157" s="501"/>
      <c r="FF2157" s="501"/>
      <c r="FG2157" s="501"/>
      <c r="FH2157" s="501"/>
      <c r="FI2157" s="501"/>
      <c r="FJ2157" s="501"/>
      <c r="FK2157" s="501"/>
      <c r="FL2157" s="501"/>
      <c r="FM2157" s="501"/>
      <c r="FN2157" s="501"/>
      <c r="FO2157" s="501"/>
      <c r="FP2157" s="501"/>
      <c r="FQ2157" s="501"/>
      <c r="FR2157" s="501"/>
      <c r="FS2157" s="501"/>
      <c r="FT2157" s="501"/>
      <c r="FU2157" s="501"/>
      <c r="FV2157" s="501"/>
      <c r="FW2157" s="501"/>
      <c r="FX2157" s="501"/>
      <c r="FY2157" s="501"/>
      <c r="FZ2157" s="501"/>
      <c r="GA2157" s="501"/>
      <c r="GB2157" s="501"/>
      <c r="GC2157" s="501"/>
      <c r="GD2157" s="501"/>
      <c r="GE2157" s="501"/>
      <c r="GF2157" s="501"/>
      <c r="GG2157" s="501"/>
      <c r="GH2157" s="501"/>
      <c r="GI2157" s="501"/>
      <c r="GJ2157" s="501"/>
      <c r="GK2157" s="501"/>
      <c r="GL2157" s="501"/>
      <c r="GM2157" s="501"/>
      <c r="GN2157" s="501"/>
      <c r="GO2157" s="501"/>
      <c r="GP2157" s="501"/>
      <c r="GQ2157" s="501"/>
      <c r="GR2157" s="501"/>
      <c r="GS2157" s="501"/>
      <c r="GT2157" s="501"/>
      <c r="GU2157" s="501"/>
      <c r="GV2157" s="501"/>
      <c r="GW2157" s="501"/>
      <c r="GX2157" s="501"/>
      <c r="GY2157" s="501"/>
      <c r="GZ2157" s="501"/>
      <c r="HA2157" s="501"/>
      <c r="HB2157" s="501"/>
      <c r="HC2157" s="501"/>
      <c r="HD2157" s="501"/>
      <c r="HE2157" s="501"/>
      <c r="HF2157" s="501"/>
      <c r="HG2157" s="501"/>
      <c r="HH2157" s="501"/>
      <c r="HI2157" s="501"/>
      <c r="HJ2157" s="501"/>
      <c r="HK2157" s="501"/>
      <c r="HL2157" s="501"/>
      <c r="HM2157" s="501"/>
      <c r="HN2157" s="501"/>
      <c r="HO2157" s="501"/>
      <c r="HP2157" s="501"/>
      <c r="HQ2157" s="501"/>
      <c r="HR2157" s="501"/>
      <c r="HS2157" s="501"/>
      <c r="HT2157" s="501"/>
      <c r="HU2157" s="501"/>
      <c r="HV2157" s="501"/>
      <c r="HW2157" s="501"/>
      <c r="HX2157" s="501"/>
      <c r="HY2157" s="501"/>
      <c r="HZ2157" s="501"/>
      <c r="IA2157" s="501"/>
      <c r="IB2157" s="501"/>
      <c r="IC2157" s="501"/>
      <c r="ID2157" s="501"/>
      <c r="IE2157" s="501"/>
      <c r="IF2157" s="501"/>
      <c r="IG2157" s="501"/>
      <c r="IH2157" s="501"/>
      <c r="II2157" s="501"/>
      <c r="IJ2157" s="501"/>
      <c r="IK2157" s="501"/>
      <c r="IL2157" s="501"/>
      <c r="IM2157" s="501"/>
      <c r="IN2157" s="501"/>
      <c r="IO2157" s="501"/>
      <c r="IP2157" s="501"/>
      <c r="IQ2157" s="501"/>
      <c r="IR2157" s="501"/>
      <c r="IS2157" s="501"/>
      <c r="IT2157" s="501"/>
      <c r="IU2157" s="501"/>
    </row>
    <row r="2158" spans="1:255" s="877" customFormat="1" ht="24" customHeight="1">
      <c r="A2158" s="501"/>
      <c r="B2158" s="501"/>
      <c r="C2158" s="501"/>
      <c r="D2158" s="501"/>
      <c r="E2158" s="501"/>
      <c r="F2158" s="545"/>
      <c r="G2158" s="889"/>
      <c r="H2158" s="545"/>
      <c r="I2158" s="876"/>
      <c r="J2158" s="876"/>
      <c r="K2158" s="545"/>
      <c r="L2158" s="876"/>
      <c r="M2158" s="882"/>
      <c r="N2158" s="501"/>
      <c r="O2158" s="501"/>
      <c r="P2158" s="902"/>
      <c r="Q2158" s="501"/>
      <c r="R2158" s="501"/>
      <c r="S2158" s="874"/>
      <c r="T2158" s="881"/>
      <c r="V2158" s="501"/>
      <c r="W2158" s="501"/>
      <c r="X2158" s="501"/>
      <c r="Y2158" s="501"/>
      <c r="Z2158" s="501"/>
      <c r="AA2158" s="501"/>
      <c r="AB2158" s="501"/>
      <c r="AC2158" s="501"/>
      <c r="AD2158" s="501"/>
      <c r="AE2158" s="501"/>
      <c r="AF2158" s="501"/>
      <c r="AG2158" s="501"/>
      <c r="AH2158" s="501"/>
      <c r="AI2158" s="501"/>
      <c r="AJ2158" s="501"/>
      <c r="AK2158" s="501"/>
      <c r="AL2158" s="501"/>
      <c r="AM2158" s="501"/>
      <c r="AN2158" s="501"/>
      <c r="AO2158" s="501"/>
      <c r="AP2158" s="501"/>
      <c r="AQ2158" s="501"/>
      <c r="AR2158" s="501"/>
      <c r="AS2158" s="501"/>
      <c r="AT2158" s="501"/>
      <c r="AU2158" s="501"/>
      <c r="AV2158" s="501"/>
      <c r="AW2158" s="501"/>
      <c r="AX2158" s="501"/>
      <c r="AY2158" s="501"/>
      <c r="AZ2158" s="501"/>
      <c r="BA2158" s="501"/>
      <c r="BB2158" s="501"/>
      <c r="BC2158" s="501"/>
      <c r="BD2158" s="501"/>
      <c r="BE2158" s="501"/>
      <c r="BF2158" s="501"/>
      <c r="BG2158" s="501"/>
      <c r="BH2158" s="501"/>
      <c r="BI2158" s="501"/>
      <c r="BJ2158" s="501"/>
      <c r="BK2158" s="501"/>
      <c r="BL2158" s="501"/>
      <c r="BM2158" s="501"/>
      <c r="BN2158" s="501"/>
      <c r="BO2158" s="501"/>
      <c r="BP2158" s="501"/>
      <c r="BQ2158" s="501"/>
      <c r="BR2158" s="501"/>
      <c r="BS2158" s="501"/>
      <c r="BT2158" s="501"/>
      <c r="BU2158" s="501"/>
      <c r="BV2158" s="501"/>
      <c r="BW2158" s="501"/>
      <c r="BX2158" s="501"/>
      <c r="BY2158" s="501"/>
      <c r="BZ2158" s="501"/>
      <c r="CA2158" s="501"/>
      <c r="CB2158" s="501"/>
      <c r="CC2158" s="501"/>
      <c r="CD2158" s="501"/>
      <c r="CE2158" s="501"/>
      <c r="CF2158" s="501"/>
      <c r="CG2158" s="501"/>
      <c r="CH2158" s="501"/>
      <c r="CI2158" s="501"/>
      <c r="CJ2158" s="501"/>
      <c r="CK2158" s="501"/>
      <c r="CL2158" s="501"/>
      <c r="CM2158" s="501"/>
      <c r="CN2158" s="501"/>
      <c r="CO2158" s="501"/>
      <c r="CP2158" s="501"/>
      <c r="CQ2158" s="501"/>
      <c r="CR2158" s="501"/>
      <c r="CS2158" s="501"/>
      <c r="CT2158" s="501"/>
      <c r="CU2158" s="501"/>
      <c r="CV2158" s="501"/>
      <c r="CW2158" s="501"/>
      <c r="CX2158" s="501"/>
      <c r="CY2158" s="501"/>
      <c r="CZ2158" s="501"/>
      <c r="DA2158" s="501"/>
      <c r="DB2158" s="501"/>
      <c r="DC2158" s="501"/>
      <c r="DD2158" s="501"/>
      <c r="DE2158" s="501"/>
      <c r="DF2158" s="501"/>
      <c r="DG2158" s="501"/>
      <c r="DH2158" s="501"/>
      <c r="DI2158" s="501"/>
      <c r="DJ2158" s="501"/>
      <c r="DK2158" s="501"/>
      <c r="DL2158" s="501"/>
      <c r="DM2158" s="501"/>
      <c r="DN2158" s="501"/>
      <c r="DO2158" s="501"/>
      <c r="DP2158" s="501"/>
      <c r="DQ2158" s="501"/>
      <c r="DR2158" s="501"/>
      <c r="DS2158" s="501"/>
      <c r="DT2158" s="501"/>
      <c r="DU2158" s="501"/>
      <c r="DV2158" s="501"/>
      <c r="DW2158" s="501"/>
      <c r="DX2158" s="501"/>
      <c r="DY2158" s="501"/>
      <c r="DZ2158" s="501"/>
      <c r="EA2158" s="501"/>
      <c r="EB2158" s="501"/>
      <c r="EC2158" s="501"/>
      <c r="ED2158" s="501"/>
      <c r="EE2158" s="501"/>
      <c r="EF2158" s="501"/>
      <c r="EG2158" s="501"/>
      <c r="EH2158" s="501"/>
      <c r="EI2158" s="501"/>
      <c r="EJ2158" s="501"/>
      <c r="EK2158" s="501"/>
      <c r="EL2158" s="501"/>
      <c r="EM2158" s="501"/>
      <c r="EN2158" s="501"/>
      <c r="EO2158" s="501"/>
      <c r="EP2158" s="501"/>
      <c r="EQ2158" s="501"/>
      <c r="ER2158" s="501"/>
      <c r="ES2158" s="501"/>
      <c r="ET2158" s="501"/>
      <c r="EU2158" s="501"/>
      <c r="EV2158" s="501"/>
      <c r="EW2158" s="501"/>
      <c r="EX2158" s="501"/>
      <c r="EY2158" s="501"/>
      <c r="EZ2158" s="501"/>
      <c r="FA2158" s="501"/>
      <c r="FB2158" s="501"/>
      <c r="FC2158" s="501"/>
      <c r="FD2158" s="501"/>
      <c r="FE2158" s="501"/>
      <c r="FF2158" s="501"/>
      <c r="FG2158" s="501"/>
      <c r="FH2158" s="501"/>
      <c r="FI2158" s="501"/>
      <c r="FJ2158" s="501"/>
      <c r="FK2158" s="501"/>
      <c r="FL2158" s="501"/>
      <c r="FM2158" s="501"/>
      <c r="FN2158" s="501"/>
      <c r="FO2158" s="501"/>
      <c r="FP2158" s="501"/>
      <c r="FQ2158" s="501"/>
      <c r="FR2158" s="501"/>
      <c r="FS2158" s="501"/>
      <c r="FT2158" s="501"/>
      <c r="FU2158" s="501"/>
      <c r="FV2158" s="501"/>
      <c r="FW2158" s="501"/>
      <c r="FX2158" s="501"/>
      <c r="FY2158" s="501"/>
      <c r="FZ2158" s="501"/>
      <c r="GA2158" s="501"/>
      <c r="GB2158" s="501"/>
      <c r="GC2158" s="501"/>
      <c r="GD2158" s="501"/>
      <c r="GE2158" s="501"/>
      <c r="GF2158" s="501"/>
      <c r="GG2158" s="501"/>
      <c r="GH2158" s="501"/>
      <c r="GI2158" s="501"/>
      <c r="GJ2158" s="501"/>
      <c r="GK2158" s="501"/>
      <c r="GL2158" s="501"/>
      <c r="GM2158" s="501"/>
      <c r="GN2158" s="501"/>
      <c r="GO2158" s="501"/>
      <c r="GP2158" s="501"/>
      <c r="GQ2158" s="501"/>
      <c r="GR2158" s="501"/>
      <c r="GS2158" s="501"/>
      <c r="GT2158" s="501"/>
      <c r="GU2158" s="501"/>
      <c r="GV2158" s="501"/>
      <c r="GW2158" s="501"/>
      <c r="GX2158" s="501"/>
      <c r="GY2158" s="501"/>
      <c r="GZ2158" s="501"/>
      <c r="HA2158" s="501"/>
      <c r="HB2158" s="501"/>
      <c r="HC2158" s="501"/>
      <c r="HD2158" s="501"/>
      <c r="HE2158" s="501"/>
      <c r="HF2158" s="501"/>
      <c r="HG2158" s="501"/>
      <c r="HH2158" s="501"/>
      <c r="HI2158" s="501"/>
      <c r="HJ2158" s="501"/>
      <c r="HK2158" s="501"/>
      <c r="HL2158" s="501"/>
      <c r="HM2158" s="501"/>
      <c r="HN2158" s="501"/>
      <c r="HO2158" s="501"/>
      <c r="HP2158" s="501"/>
      <c r="HQ2158" s="501"/>
      <c r="HR2158" s="501"/>
      <c r="HS2158" s="501"/>
      <c r="HT2158" s="501"/>
      <c r="HU2158" s="501"/>
      <c r="HV2158" s="501"/>
      <c r="HW2158" s="501"/>
      <c r="HX2158" s="501"/>
      <c r="HY2158" s="501"/>
      <c r="HZ2158" s="501"/>
      <c r="IA2158" s="501"/>
      <c r="IB2158" s="501"/>
      <c r="IC2158" s="501"/>
      <c r="ID2158" s="501"/>
      <c r="IE2158" s="501"/>
      <c r="IF2158" s="501"/>
      <c r="IG2158" s="501"/>
      <c r="IH2158" s="501"/>
      <c r="II2158" s="501"/>
      <c r="IJ2158" s="501"/>
      <c r="IK2158" s="501"/>
      <c r="IL2158" s="501"/>
      <c r="IM2158" s="501"/>
      <c r="IN2158" s="501"/>
      <c r="IO2158" s="501"/>
      <c r="IP2158" s="501"/>
      <c r="IQ2158" s="501"/>
      <c r="IR2158" s="501"/>
      <c r="IS2158" s="501"/>
      <c r="IT2158" s="501"/>
      <c r="IU2158" s="501"/>
    </row>
    <row r="2159" spans="1:255" s="877" customFormat="1" ht="24" customHeight="1">
      <c r="A2159" s="501"/>
      <c r="B2159" s="501"/>
      <c r="C2159" s="501"/>
      <c r="D2159" s="501"/>
      <c r="E2159" s="501"/>
      <c r="F2159" s="545"/>
      <c r="G2159" s="889"/>
      <c r="H2159" s="545"/>
      <c r="I2159" s="876"/>
      <c r="J2159" s="876"/>
      <c r="K2159" s="545"/>
      <c r="L2159" s="876"/>
      <c r="M2159" s="882"/>
      <c r="N2159" s="501"/>
      <c r="O2159" s="501"/>
      <c r="P2159" s="902"/>
      <c r="Q2159" s="876"/>
      <c r="R2159" s="501"/>
      <c r="S2159" s="874"/>
      <c r="T2159" s="545"/>
      <c r="V2159" s="501"/>
      <c r="W2159" s="501"/>
      <c r="X2159" s="501"/>
      <c r="Y2159" s="501"/>
      <c r="Z2159" s="501"/>
      <c r="AA2159" s="501"/>
      <c r="AB2159" s="501"/>
      <c r="AC2159" s="501"/>
      <c r="AD2159" s="501"/>
      <c r="AE2159" s="501"/>
      <c r="AF2159" s="501"/>
      <c r="AG2159" s="501"/>
      <c r="AH2159" s="501"/>
      <c r="AI2159" s="501"/>
      <c r="AJ2159" s="501"/>
      <c r="AK2159" s="501"/>
      <c r="AL2159" s="501"/>
      <c r="AM2159" s="501"/>
      <c r="AN2159" s="501"/>
      <c r="AO2159" s="501"/>
      <c r="AP2159" s="501"/>
      <c r="AQ2159" s="501"/>
      <c r="AR2159" s="501"/>
      <c r="AS2159" s="501"/>
      <c r="AT2159" s="501"/>
      <c r="AU2159" s="501"/>
      <c r="AV2159" s="501"/>
      <c r="AW2159" s="501"/>
      <c r="AX2159" s="501"/>
      <c r="AY2159" s="501"/>
      <c r="AZ2159" s="501"/>
      <c r="BA2159" s="501"/>
      <c r="BB2159" s="501"/>
      <c r="BC2159" s="501"/>
      <c r="BD2159" s="501"/>
      <c r="BE2159" s="501"/>
      <c r="BF2159" s="501"/>
      <c r="BG2159" s="501"/>
      <c r="BH2159" s="501"/>
      <c r="BI2159" s="501"/>
      <c r="BJ2159" s="501"/>
      <c r="BK2159" s="501"/>
      <c r="BL2159" s="501"/>
      <c r="BM2159" s="501"/>
      <c r="BN2159" s="501"/>
      <c r="BO2159" s="501"/>
      <c r="BP2159" s="501"/>
      <c r="BQ2159" s="501"/>
      <c r="BR2159" s="501"/>
      <c r="BS2159" s="501"/>
      <c r="BT2159" s="501"/>
      <c r="BU2159" s="501"/>
      <c r="BV2159" s="501"/>
      <c r="BW2159" s="501"/>
      <c r="BX2159" s="501"/>
      <c r="BY2159" s="501"/>
      <c r="BZ2159" s="501"/>
      <c r="CA2159" s="501"/>
      <c r="CB2159" s="501"/>
      <c r="CC2159" s="501"/>
      <c r="CD2159" s="501"/>
      <c r="CE2159" s="501"/>
      <c r="CF2159" s="501"/>
      <c r="CG2159" s="501"/>
      <c r="CH2159" s="501"/>
      <c r="CI2159" s="501"/>
      <c r="CJ2159" s="501"/>
      <c r="CK2159" s="501"/>
      <c r="CL2159" s="501"/>
      <c r="CM2159" s="501"/>
      <c r="CN2159" s="501"/>
      <c r="CO2159" s="501"/>
      <c r="CP2159" s="501"/>
      <c r="CQ2159" s="501"/>
      <c r="CR2159" s="501"/>
      <c r="CS2159" s="501"/>
      <c r="CT2159" s="501"/>
      <c r="CU2159" s="501"/>
      <c r="CV2159" s="501"/>
      <c r="CW2159" s="501"/>
      <c r="CX2159" s="501"/>
      <c r="CY2159" s="501"/>
      <c r="CZ2159" s="501"/>
      <c r="DA2159" s="501"/>
      <c r="DB2159" s="501"/>
      <c r="DC2159" s="501"/>
      <c r="DD2159" s="501"/>
      <c r="DE2159" s="501"/>
      <c r="DF2159" s="501"/>
      <c r="DG2159" s="501"/>
      <c r="DH2159" s="501"/>
      <c r="DI2159" s="501"/>
      <c r="DJ2159" s="501"/>
      <c r="DK2159" s="501"/>
      <c r="DL2159" s="501"/>
      <c r="DM2159" s="501"/>
      <c r="DN2159" s="501"/>
      <c r="DO2159" s="501"/>
      <c r="DP2159" s="501"/>
      <c r="DQ2159" s="501"/>
      <c r="DR2159" s="501"/>
      <c r="DS2159" s="501"/>
      <c r="DT2159" s="501"/>
      <c r="DU2159" s="501"/>
      <c r="DV2159" s="501"/>
      <c r="DW2159" s="501"/>
      <c r="DX2159" s="501"/>
      <c r="DY2159" s="501"/>
      <c r="DZ2159" s="501"/>
      <c r="EA2159" s="501"/>
      <c r="EB2159" s="501"/>
      <c r="EC2159" s="501"/>
      <c r="ED2159" s="501"/>
      <c r="EE2159" s="501"/>
      <c r="EF2159" s="501"/>
      <c r="EG2159" s="501"/>
      <c r="EH2159" s="501"/>
      <c r="EI2159" s="501"/>
      <c r="EJ2159" s="501"/>
      <c r="EK2159" s="501"/>
      <c r="EL2159" s="501"/>
      <c r="EM2159" s="501"/>
      <c r="EN2159" s="501"/>
      <c r="EO2159" s="501"/>
      <c r="EP2159" s="501"/>
      <c r="EQ2159" s="501"/>
      <c r="ER2159" s="501"/>
      <c r="ES2159" s="501"/>
      <c r="ET2159" s="501"/>
      <c r="EU2159" s="501"/>
      <c r="EV2159" s="501"/>
      <c r="EW2159" s="501"/>
      <c r="EX2159" s="501"/>
      <c r="EY2159" s="501"/>
      <c r="EZ2159" s="501"/>
      <c r="FA2159" s="501"/>
      <c r="FB2159" s="501"/>
      <c r="FC2159" s="501"/>
      <c r="FD2159" s="501"/>
      <c r="FE2159" s="501"/>
      <c r="FF2159" s="501"/>
      <c r="FG2159" s="501"/>
      <c r="FH2159" s="501"/>
      <c r="FI2159" s="501"/>
      <c r="FJ2159" s="501"/>
      <c r="FK2159" s="501"/>
      <c r="FL2159" s="501"/>
      <c r="FM2159" s="501"/>
      <c r="FN2159" s="501"/>
      <c r="FO2159" s="501"/>
      <c r="FP2159" s="501"/>
      <c r="FQ2159" s="501"/>
      <c r="FR2159" s="501"/>
      <c r="FS2159" s="501"/>
      <c r="FT2159" s="501"/>
      <c r="FU2159" s="501"/>
      <c r="FV2159" s="501"/>
      <c r="FW2159" s="501"/>
      <c r="FX2159" s="501"/>
      <c r="FY2159" s="501"/>
      <c r="FZ2159" s="501"/>
      <c r="GA2159" s="501"/>
      <c r="GB2159" s="501"/>
      <c r="GC2159" s="501"/>
      <c r="GD2159" s="501"/>
      <c r="GE2159" s="501"/>
      <c r="GF2159" s="501"/>
      <c r="GG2159" s="501"/>
      <c r="GH2159" s="501"/>
      <c r="GI2159" s="501"/>
      <c r="GJ2159" s="501"/>
      <c r="GK2159" s="501"/>
      <c r="GL2159" s="501"/>
      <c r="GM2159" s="501"/>
      <c r="GN2159" s="501"/>
      <c r="GO2159" s="501"/>
      <c r="GP2159" s="501"/>
      <c r="GQ2159" s="501"/>
      <c r="GR2159" s="501"/>
      <c r="GS2159" s="501"/>
      <c r="GT2159" s="501"/>
      <c r="GU2159" s="501"/>
      <c r="GV2159" s="501"/>
      <c r="GW2159" s="501"/>
      <c r="GX2159" s="501"/>
      <c r="GY2159" s="501"/>
      <c r="GZ2159" s="501"/>
      <c r="HA2159" s="501"/>
      <c r="HB2159" s="501"/>
      <c r="HC2159" s="501"/>
      <c r="HD2159" s="501"/>
      <c r="HE2159" s="501"/>
      <c r="HF2159" s="501"/>
      <c r="HG2159" s="501"/>
      <c r="HH2159" s="501"/>
      <c r="HI2159" s="501"/>
      <c r="HJ2159" s="501"/>
      <c r="HK2159" s="501"/>
      <c r="HL2159" s="501"/>
      <c r="HM2159" s="501"/>
      <c r="HN2159" s="501"/>
      <c r="HO2159" s="501"/>
      <c r="HP2159" s="501"/>
      <c r="HQ2159" s="501"/>
      <c r="HR2159" s="501"/>
      <c r="HS2159" s="501"/>
      <c r="HT2159" s="501"/>
      <c r="HU2159" s="501"/>
      <c r="HV2159" s="501"/>
      <c r="HW2159" s="501"/>
      <c r="HX2159" s="501"/>
      <c r="HY2159" s="501"/>
      <c r="HZ2159" s="501"/>
      <c r="IA2159" s="501"/>
      <c r="IB2159" s="501"/>
      <c r="IC2159" s="501"/>
      <c r="ID2159" s="501"/>
      <c r="IE2159" s="501"/>
      <c r="IF2159" s="501"/>
      <c r="IG2159" s="501"/>
      <c r="IH2159" s="501"/>
      <c r="II2159" s="501"/>
      <c r="IJ2159" s="501"/>
      <c r="IK2159" s="501"/>
      <c r="IL2159" s="501"/>
      <c r="IM2159" s="501"/>
      <c r="IN2159" s="501"/>
      <c r="IO2159" s="501"/>
      <c r="IP2159" s="501"/>
      <c r="IQ2159" s="501"/>
      <c r="IR2159" s="501"/>
      <c r="IS2159" s="501"/>
      <c r="IT2159" s="501"/>
      <c r="IU2159" s="501"/>
    </row>
    <row r="2160" spans="1:255" s="877" customFormat="1" ht="24" customHeight="1">
      <c r="A2160" s="501"/>
      <c r="B2160" s="501"/>
      <c r="C2160" s="501"/>
      <c r="D2160" s="501"/>
      <c r="E2160" s="501"/>
      <c r="F2160" s="501"/>
      <c r="G2160" s="915"/>
      <c r="H2160" s="501"/>
      <c r="I2160" s="874"/>
      <c r="J2160" s="876"/>
      <c r="K2160" s="501"/>
      <c r="L2160" s="874"/>
      <c r="M2160" s="882"/>
      <c r="N2160" s="501"/>
      <c r="O2160" s="501"/>
      <c r="P2160" s="902"/>
      <c r="Q2160" s="501"/>
      <c r="R2160" s="501"/>
      <c r="S2160" s="874"/>
      <c r="T2160" s="881"/>
      <c r="V2160" s="501"/>
      <c r="W2160" s="501"/>
      <c r="X2160" s="501"/>
      <c r="Y2160" s="501"/>
      <c r="Z2160" s="501"/>
      <c r="AA2160" s="501"/>
      <c r="AB2160" s="501"/>
      <c r="AC2160" s="501"/>
      <c r="AD2160" s="501"/>
      <c r="AE2160" s="501"/>
      <c r="AF2160" s="501"/>
      <c r="AG2160" s="501"/>
      <c r="AH2160" s="501"/>
      <c r="AI2160" s="501"/>
      <c r="AJ2160" s="501"/>
      <c r="AK2160" s="501"/>
      <c r="AL2160" s="501"/>
      <c r="AM2160" s="501"/>
      <c r="AN2160" s="501"/>
      <c r="AO2160" s="501"/>
      <c r="AP2160" s="501"/>
      <c r="AQ2160" s="501"/>
      <c r="AR2160" s="501"/>
      <c r="AS2160" s="501"/>
      <c r="AT2160" s="501"/>
      <c r="AU2160" s="501"/>
      <c r="AV2160" s="501"/>
      <c r="AW2160" s="501"/>
      <c r="AX2160" s="501"/>
      <c r="AY2160" s="501"/>
      <c r="AZ2160" s="501"/>
      <c r="BA2160" s="501"/>
      <c r="BB2160" s="501"/>
      <c r="BC2160" s="501"/>
      <c r="BD2160" s="501"/>
      <c r="BE2160" s="501"/>
      <c r="BF2160" s="501"/>
      <c r="BG2160" s="501"/>
      <c r="BH2160" s="501"/>
      <c r="BI2160" s="501"/>
      <c r="BJ2160" s="501"/>
      <c r="BK2160" s="501"/>
      <c r="BL2160" s="501"/>
      <c r="BM2160" s="501"/>
      <c r="BN2160" s="501"/>
      <c r="BO2160" s="501"/>
      <c r="BP2160" s="501"/>
      <c r="BQ2160" s="501"/>
      <c r="BR2160" s="501"/>
      <c r="BS2160" s="501"/>
      <c r="BT2160" s="501"/>
      <c r="BU2160" s="501"/>
      <c r="BV2160" s="501"/>
      <c r="BW2160" s="501"/>
      <c r="BX2160" s="501"/>
      <c r="BY2160" s="501"/>
      <c r="BZ2160" s="501"/>
      <c r="CA2160" s="501"/>
      <c r="CB2160" s="501"/>
      <c r="CC2160" s="501"/>
      <c r="CD2160" s="501"/>
      <c r="CE2160" s="501"/>
      <c r="CF2160" s="501"/>
      <c r="CG2160" s="501"/>
      <c r="CH2160" s="501"/>
      <c r="CI2160" s="501"/>
      <c r="CJ2160" s="501"/>
      <c r="CK2160" s="501"/>
      <c r="CL2160" s="501"/>
      <c r="CM2160" s="501"/>
      <c r="CN2160" s="501"/>
      <c r="CO2160" s="501"/>
      <c r="CP2160" s="501"/>
      <c r="CQ2160" s="501"/>
      <c r="CR2160" s="501"/>
      <c r="CS2160" s="501"/>
      <c r="CT2160" s="501"/>
      <c r="CU2160" s="501"/>
      <c r="CV2160" s="501"/>
      <c r="CW2160" s="501"/>
      <c r="CX2160" s="501"/>
      <c r="CY2160" s="501"/>
      <c r="CZ2160" s="501"/>
      <c r="DA2160" s="501"/>
      <c r="DB2160" s="501"/>
      <c r="DC2160" s="501"/>
      <c r="DD2160" s="501"/>
      <c r="DE2160" s="501"/>
      <c r="DF2160" s="501"/>
      <c r="DG2160" s="501"/>
      <c r="DH2160" s="501"/>
      <c r="DI2160" s="501"/>
      <c r="DJ2160" s="501"/>
      <c r="DK2160" s="501"/>
      <c r="DL2160" s="501"/>
      <c r="DM2160" s="501"/>
      <c r="DN2160" s="501"/>
      <c r="DO2160" s="501"/>
      <c r="DP2160" s="501"/>
      <c r="DQ2160" s="501"/>
      <c r="DR2160" s="501"/>
      <c r="DS2160" s="501"/>
      <c r="DT2160" s="501"/>
      <c r="DU2160" s="501"/>
      <c r="DV2160" s="501"/>
      <c r="DW2160" s="501"/>
      <c r="DX2160" s="501"/>
      <c r="DY2160" s="501"/>
      <c r="DZ2160" s="501"/>
      <c r="EA2160" s="501"/>
      <c r="EB2160" s="501"/>
      <c r="EC2160" s="501"/>
      <c r="ED2160" s="501"/>
      <c r="EE2160" s="501"/>
      <c r="EF2160" s="501"/>
      <c r="EG2160" s="501"/>
      <c r="EH2160" s="501"/>
      <c r="EI2160" s="501"/>
      <c r="EJ2160" s="501"/>
      <c r="EK2160" s="501"/>
      <c r="EL2160" s="501"/>
      <c r="EM2160" s="501"/>
      <c r="EN2160" s="501"/>
      <c r="EO2160" s="501"/>
      <c r="EP2160" s="501"/>
      <c r="EQ2160" s="501"/>
      <c r="ER2160" s="501"/>
      <c r="ES2160" s="501"/>
      <c r="ET2160" s="501"/>
      <c r="EU2160" s="501"/>
      <c r="EV2160" s="501"/>
      <c r="EW2160" s="501"/>
      <c r="EX2160" s="501"/>
      <c r="EY2160" s="501"/>
      <c r="EZ2160" s="501"/>
      <c r="FA2160" s="501"/>
      <c r="FB2160" s="501"/>
      <c r="FC2160" s="501"/>
      <c r="FD2160" s="501"/>
      <c r="FE2160" s="501"/>
      <c r="FF2160" s="501"/>
      <c r="FG2160" s="501"/>
      <c r="FH2160" s="501"/>
      <c r="FI2160" s="501"/>
      <c r="FJ2160" s="501"/>
      <c r="FK2160" s="501"/>
      <c r="FL2160" s="501"/>
      <c r="FM2160" s="501"/>
      <c r="FN2160" s="501"/>
      <c r="FO2160" s="501"/>
      <c r="FP2160" s="501"/>
      <c r="FQ2160" s="501"/>
      <c r="FR2160" s="501"/>
      <c r="FS2160" s="501"/>
      <c r="FT2160" s="501"/>
      <c r="FU2160" s="501"/>
      <c r="FV2160" s="501"/>
      <c r="FW2160" s="501"/>
      <c r="FX2160" s="501"/>
      <c r="FY2160" s="501"/>
      <c r="FZ2160" s="501"/>
      <c r="GA2160" s="501"/>
      <c r="GB2160" s="501"/>
      <c r="GC2160" s="501"/>
      <c r="GD2160" s="501"/>
      <c r="GE2160" s="501"/>
      <c r="GF2160" s="501"/>
      <c r="GG2160" s="501"/>
      <c r="GH2160" s="501"/>
      <c r="GI2160" s="501"/>
      <c r="GJ2160" s="501"/>
      <c r="GK2160" s="501"/>
      <c r="GL2160" s="501"/>
      <c r="GM2160" s="501"/>
      <c r="GN2160" s="501"/>
      <c r="GO2160" s="501"/>
      <c r="GP2160" s="501"/>
      <c r="GQ2160" s="501"/>
      <c r="GR2160" s="501"/>
      <c r="GS2160" s="501"/>
      <c r="GT2160" s="501"/>
      <c r="GU2160" s="501"/>
      <c r="GV2160" s="501"/>
      <c r="GW2160" s="501"/>
      <c r="GX2160" s="501"/>
      <c r="GY2160" s="501"/>
      <c r="GZ2160" s="501"/>
      <c r="HA2160" s="501"/>
      <c r="HB2160" s="501"/>
      <c r="HC2160" s="501"/>
      <c r="HD2160" s="501"/>
      <c r="HE2160" s="501"/>
      <c r="HF2160" s="501"/>
      <c r="HG2160" s="501"/>
      <c r="HH2160" s="501"/>
      <c r="HI2160" s="501"/>
      <c r="HJ2160" s="501"/>
      <c r="HK2160" s="501"/>
      <c r="HL2160" s="501"/>
      <c r="HM2160" s="501"/>
      <c r="HN2160" s="501"/>
      <c r="HO2160" s="501"/>
      <c r="HP2160" s="501"/>
      <c r="HQ2160" s="501"/>
      <c r="HR2160" s="501"/>
      <c r="HS2160" s="501"/>
      <c r="HT2160" s="501"/>
      <c r="HU2160" s="501"/>
      <c r="HV2160" s="501"/>
      <c r="HW2160" s="501"/>
      <c r="HX2160" s="501"/>
      <c r="HY2160" s="501"/>
      <c r="HZ2160" s="501"/>
      <c r="IA2160" s="501"/>
      <c r="IB2160" s="501"/>
      <c r="IC2160" s="501"/>
      <c r="ID2160" s="501"/>
      <c r="IE2160" s="501"/>
      <c r="IF2160" s="501"/>
      <c r="IG2160" s="501"/>
      <c r="IH2160" s="501"/>
      <c r="II2160" s="501"/>
      <c r="IJ2160" s="501"/>
      <c r="IK2160" s="501"/>
      <c r="IL2160" s="501"/>
      <c r="IM2160" s="501"/>
      <c r="IN2160" s="501"/>
      <c r="IO2160" s="501"/>
      <c r="IP2160" s="501"/>
      <c r="IQ2160" s="501"/>
      <c r="IR2160" s="501"/>
      <c r="IS2160" s="501"/>
      <c r="IT2160" s="501"/>
      <c r="IU2160" s="501"/>
    </row>
    <row r="2161" spans="1:255" s="877" customFormat="1" ht="24" customHeight="1">
      <c r="A2161" s="501"/>
      <c r="B2161" s="501"/>
      <c r="C2161" s="501"/>
      <c r="D2161" s="501"/>
      <c r="E2161" s="501"/>
      <c r="F2161" s="501"/>
      <c r="G2161" s="915"/>
      <c r="H2161" s="501"/>
      <c r="I2161" s="874"/>
      <c r="J2161" s="876"/>
      <c r="K2161" s="501"/>
      <c r="L2161" s="874"/>
      <c r="M2161" s="882"/>
      <c r="N2161" s="501"/>
      <c r="O2161" s="501"/>
      <c r="P2161" s="501"/>
      <c r="Q2161" s="501"/>
      <c r="R2161" s="501"/>
      <c r="S2161" s="501"/>
      <c r="T2161" s="501"/>
      <c r="V2161" s="501"/>
      <c r="W2161" s="501"/>
      <c r="X2161" s="501"/>
      <c r="Y2161" s="501"/>
      <c r="Z2161" s="501"/>
      <c r="AA2161" s="501"/>
      <c r="AB2161" s="501"/>
      <c r="AC2161" s="501"/>
      <c r="AD2161" s="501"/>
      <c r="AE2161" s="501"/>
      <c r="AF2161" s="501"/>
      <c r="AG2161" s="501"/>
      <c r="AH2161" s="501"/>
      <c r="AI2161" s="501"/>
      <c r="AJ2161" s="501"/>
      <c r="AK2161" s="501"/>
      <c r="AL2161" s="501"/>
      <c r="AM2161" s="501"/>
      <c r="AN2161" s="501"/>
      <c r="AO2161" s="501"/>
      <c r="AP2161" s="501"/>
      <c r="AQ2161" s="501"/>
      <c r="AR2161" s="501"/>
      <c r="AS2161" s="501"/>
      <c r="AT2161" s="501"/>
      <c r="AU2161" s="501"/>
      <c r="AV2161" s="501"/>
      <c r="AW2161" s="501"/>
      <c r="AX2161" s="501"/>
      <c r="AY2161" s="501"/>
      <c r="AZ2161" s="501"/>
      <c r="BA2161" s="501"/>
      <c r="BB2161" s="501"/>
      <c r="BC2161" s="501"/>
      <c r="BD2161" s="501"/>
      <c r="BE2161" s="501"/>
      <c r="BF2161" s="501"/>
      <c r="BG2161" s="501"/>
      <c r="BH2161" s="501"/>
      <c r="BI2161" s="501"/>
      <c r="BJ2161" s="501"/>
      <c r="BK2161" s="501"/>
      <c r="BL2161" s="501"/>
      <c r="BM2161" s="501"/>
      <c r="BN2161" s="501"/>
      <c r="BO2161" s="501"/>
      <c r="BP2161" s="501"/>
      <c r="BQ2161" s="501"/>
      <c r="BR2161" s="501"/>
      <c r="BS2161" s="501"/>
      <c r="BT2161" s="501"/>
      <c r="BU2161" s="501"/>
      <c r="BV2161" s="501"/>
      <c r="BW2161" s="501"/>
      <c r="BX2161" s="501"/>
      <c r="BY2161" s="501"/>
      <c r="BZ2161" s="501"/>
      <c r="CA2161" s="501"/>
      <c r="CB2161" s="501"/>
      <c r="CC2161" s="501"/>
      <c r="CD2161" s="501"/>
      <c r="CE2161" s="501"/>
      <c r="CF2161" s="501"/>
      <c r="CG2161" s="501"/>
      <c r="CH2161" s="501"/>
      <c r="CI2161" s="501"/>
      <c r="CJ2161" s="501"/>
      <c r="CK2161" s="501"/>
      <c r="CL2161" s="501"/>
      <c r="CM2161" s="501"/>
      <c r="CN2161" s="501"/>
      <c r="CO2161" s="501"/>
      <c r="CP2161" s="501"/>
      <c r="CQ2161" s="501"/>
      <c r="CR2161" s="501"/>
      <c r="CS2161" s="501"/>
      <c r="CT2161" s="501"/>
      <c r="CU2161" s="501"/>
      <c r="CV2161" s="501"/>
      <c r="CW2161" s="501"/>
      <c r="CX2161" s="501"/>
      <c r="CY2161" s="501"/>
      <c r="CZ2161" s="501"/>
      <c r="DA2161" s="501"/>
      <c r="DB2161" s="501"/>
      <c r="DC2161" s="501"/>
      <c r="DD2161" s="501"/>
      <c r="DE2161" s="501"/>
      <c r="DF2161" s="501"/>
      <c r="DG2161" s="501"/>
      <c r="DH2161" s="501"/>
      <c r="DI2161" s="501"/>
      <c r="DJ2161" s="501"/>
      <c r="DK2161" s="501"/>
      <c r="DL2161" s="501"/>
      <c r="DM2161" s="501"/>
      <c r="DN2161" s="501"/>
      <c r="DO2161" s="501"/>
      <c r="DP2161" s="501"/>
      <c r="DQ2161" s="501"/>
      <c r="DR2161" s="501"/>
      <c r="DS2161" s="501"/>
      <c r="DT2161" s="501"/>
      <c r="DU2161" s="501"/>
      <c r="DV2161" s="501"/>
      <c r="DW2161" s="501"/>
      <c r="DX2161" s="501"/>
      <c r="DY2161" s="501"/>
      <c r="DZ2161" s="501"/>
      <c r="EA2161" s="501"/>
      <c r="EB2161" s="501"/>
      <c r="EC2161" s="501"/>
      <c r="ED2161" s="501"/>
      <c r="EE2161" s="501"/>
      <c r="EF2161" s="501"/>
      <c r="EG2161" s="501"/>
      <c r="EH2161" s="501"/>
      <c r="EI2161" s="501"/>
      <c r="EJ2161" s="501"/>
      <c r="EK2161" s="501"/>
      <c r="EL2161" s="501"/>
      <c r="EM2161" s="501"/>
      <c r="EN2161" s="501"/>
      <c r="EO2161" s="501"/>
      <c r="EP2161" s="501"/>
      <c r="EQ2161" s="501"/>
      <c r="ER2161" s="501"/>
      <c r="ES2161" s="501"/>
      <c r="ET2161" s="501"/>
      <c r="EU2161" s="501"/>
      <c r="EV2161" s="501"/>
      <c r="EW2161" s="501"/>
      <c r="EX2161" s="501"/>
      <c r="EY2161" s="501"/>
      <c r="EZ2161" s="501"/>
      <c r="FA2161" s="501"/>
      <c r="FB2161" s="501"/>
      <c r="FC2161" s="501"/>
      <c r="FD2161" s="501"/>
      <c r="FE2161" s="501"/>
      <c r="FF2161" s="501"/>
      <c r="FG2161" s="501"/>
      <c r="FH2161" s="501"/>
      <c r="FI2161" s="501"/>
      <c r="FJ2161" s="501"/>
      <c r="FK2161" s="501"/>
      <c r="FL2161" s="501"/>
      <c r="FM2161" s="501"/>
      <c r="FN2161" s="501"/>
      <c r="FO2161" s="501"/>
      <c r="FP2161" s="501"/>
      <c r="FQ2161" s="501"/>
      <c r="FR2161" s="501"/>
      <c r="FS2161" s="501"/>
      <c r="FT2161" s="501"/>
      <c r="FU2161" s="501"/>
      <c r="FV2161" s="501"/>
      <c r="FW2161" s="501"/>
      <c r="FX2161" s="501"/>
      <c r="FY2161" s="501"/>
      <c r="FZ2161" s="501"/>
      <c r="GA2161" s="501"/>
      <c r="GB2161" s="501"/>
      <c r="GC2161" s="501"/>
      <c r="GD2161" s="501"/>
      <c r="GE2161" s="501"/>
      <c r="GF2161" s="501"/>
      <c r="GG2161" s="501"/>
      <c r="GH2161" s="501"/>
      <c r="GI2161" s="501"/>
      <c r="GJ2161" s="501"/>
      <c r="GK2161" s="501"/>
      <c r="GL2161" s="501"/>
      <c r="GM2161" s="501"/>
      <c r="GN2161" s="501"/>
      <c r="GO2161" s="501"/>
      <c r="GP2161" s="501"/>
      <c r="GQ2161" s="501"/>
      <c r="GR2161" s="501"/>
      <c r="GS2161" s="501"/>
      <c r="GT2161" s="501"/>
      <c r="GU2161" s="501"/>
      <c r="GV2161" s="501"/>
      <c r="GW2161" s="501"/>
      <c r="GX2161" s="501"/>
      <c r="GY2161" s="501"/>
      <c r="GZ2161" s="501"/>
      <c r="HA2161" s="501"/>
      <c r="HB2161" s="501"/>
      <c r="HC2161" s="501"/>
      <c r="HD2161" s="501"/>
      <c r="HE2161" s="501"/>
      <c r="HF2161" s="501"/>
      <c r="HG2161" s="501"/>
      <c r="HH2161" s="501"/>
      <c r="HI2161" s="501"/>
      <c r="HJ2161" s="501"/>
      <c r="HK2161" s="501"/>
      <c r="HL2161" s="501"/>
      <c r="HM2161" s="501"/>
      <c r="HN2161" s="501"/>
      <c r="HO2161" s="501"/>
      <c r="HP2161" s="501"/>
      <c r="HQ2161" s="501"/>
      <c r="HR2161" s="501"/>
      <c r="HS2161" s="501"/>
      <c r="HT2161" s="501"/>
      <c r="HU2161" s="501"/>
      <c r="HV2161" s="501"/>
      <c r="HW2161" s="501"/>
      <c r="HX2161" s="501"/>
      <c r="HY2161" s="501"/>
      <c r="HZ2161" s="501"/>
      <c r="IA2161" s="501"/>
      <c r="IB2161" s="501"/>
      <c r="IC2161" s="501"/>
      <c r="ID2161" s="501"/>
      <c r="IE2161" s="501"/>
      <c r="IF2161" s="501"/>
      <c r="IG2161" s="501"/>
      <c r="IH2161" s="501"/>
      <c r="II2161" s="501"/>
      <c r="IJ2161" s="501"/>
      <c r="IK2161" s="501"/>
      <c r="IL2161" s="501"/>
      <c r="IM2161" s="501"/>
      <c r="IN2161" s="501"/>
      <c r="IO2161" s="501"/>
      <c r="IP2161" s="501"/>
      <c r="IQ2161" s="501"/>
      <c r="IR2161" s="501"/>
      <c r="IS2161" s="501"/>
      <c r="IT2161" s="501"/>
      <c r="IU2161" s="501"/>
    </row>
    <row r="2162" spans="1:255" s="877" customFormat="1" ht="24" customHeight="1">
      <c r="A2162" s="501"/>
      <c r="B2162" s="501"/>
      <c r="C2162" s="501"/>
      <c r="D2162" s="501"/>
      <c r="E2162" s="501"/>
      <c r="F2162" s="876"/>
      <c r="G2162" s="916"/>
      <c r="H2162" s="876"/>
      <c r="I2162" s="874"/>
      <c r="J2162" s="501"/>
      <c r="K2162" s="501"/>
      <c r="L2162" s="874"/>
      <c r="M2162" s="882"/>
      <c r="N2162" s="501"/>
      <c r="O2162" s="501"/>
      <c r="P2162" s="501"/>
      <c r="Q2162" s="501"/>
      <c r="R2162" s="501"/>
      <c r="S2162" s="501"/>
      <c r="T2162" s="501"/>
      <c r="V2162" s="501"/>
      <c r="W2162" s="501"/>
      <c r="X2162" s="501"/>
      <c r="Y2162" s="501"/>
      <c r="Z2162" s="501"/>
      <c r="AA2162" s="501"/>
      <c r="AB2162" s="501"/>
      <c r="AC2162" s="501"/>
      <c r="AD2162" s="501"/>
      <c r="AE2162" s="501"/>
      <c r="AF2162" s="501"/>
      <c r="AG2162" s="501"/>
      <c r="AH2162" s="501"/>
      <c r="AI2162" s="501"/>
      <c r="AJ2162" s="501"/>
      <c r="AK2162" s="501"/>
      <c r="AL2162" s="501"/>
      <c r="AM2162" s="501"/>
      <c r="AN2162" s="501"/>
      <c r="AO2162" s="501"/>
      <c r="AP2162" s="501"/>
      <c r="AQ2162" s="501"/>
      <c r="AR2162" s="501"/>
      <c r="AS2162" s="501"/>
      <c r="AT2162" s="501"/>
      <c r="AU2162" s="501"/>
      <c r="AV2162" s="501"/>
      <c r="AW2162" s="501"/>
      <c r="AX2162" s="501"/>
      <c r="AY2162" s="501"/>
      <c r="AZ2162" s="501"/>
      <c r="BA2162" s="501"/>
      <c r="BB2162" s="501"/>
      <c r="BC2162" s="501"/>
      <c r="BD2162" s="501"/>
      <c r="BE2162" s="501"/>
      <c r="BF2162" s="501"/>
      <c r="BG2162" s="501"/>
      <c r="BH2162" s="501"/>
      <c r="BI2162" s="501"/>
      <c r="BJ2162" s="501"/>
      <c r="BK2162" s="501"/>
      <c r="BL2162" s="501"/>
      <c r="BM2162" s="501"/>
      <c r="BN2162" s="501"/>
      <c r="BO2162" s="501"/>
      <c r="BP2162" s="501"/>
      <c r="BQ2162" s="501"/>
      <c r="BR2162" s="501"/>
      <c r="BS2162" s="501"/>
      <c r="BT2162" s="501"/>
      <c r="BU2162" s="501"/>
      <c r="BV2162" s="501"/>
      <c r="BW2162" s="501"/>
      <c r="BX2162" s="501"/>
      <c r="BY2162" s="501"/>
      <c r="BZ2162" s="501"/>
      <c r="CA2162" s="501"/>
      <c r="CB2162" s="501"/>
      <c r="CC2162" s="501"/>
      <c r="CD2162" s="501"/>
      <c r="CE2162" s="501"/>
      <c r="CF2162" s="501"/>
      <c r="CG2162" s="501"/>
      <c r="CH2162" s="501"/>
      <c r="CI2162" s="501"/>
      <c r="CJ2162" s="501"/>
      <c r="CK2162" s="501"/>
      <c r="CL2162" s="501"/>
      <c r="CM2162" s="501"/>
      <c r="CN2162" s="501"/>
      <c r="CO2162" s="501"/>
      <c r="CP2162" s="501"/>
      <c r="CQ2162" s="501"/>
      <c r="CR2162" s="501"/>
      <c r="CS2162" s="501"/>
      <c r="CT2162" s="501"/>
      <c r="CU2162" s="501"/>
      <c r="CV2162" s="501"/>
      <c r="CW2162" s="501"/>
      <c r="CX2162" s="501"/>
      <c r="CY2162" s="501"/>
      <c r="CZ2162" s="501"/>
      <c r="DA2162" s="501"/>
      <c r="DB2162" s="501"/>
      <c r="DC2162" s="501"/>
      <c r="DD2162" s="501"/>
      <c r="DE2162" s="501"/>
      <c r="DF2162" s="501"/>
      <c r="DG2162" s="501"/>
      <c r="DH2162" s="501"/>
      <c r="DI2162" s="501"/>
      <c r="DJ2162" s="501"/>
      <c r="DK2162" s="501"/>
      <c r="DL2162" s="501"/>
      <c r="DM2162" s="501"/>
      <c r="DN2162" s="501"/>
      <c r="DO2162" s="501"/>
      <c r="DP2162" s="501"/>
      <c r="DQ2162" s="501"/>
      <c r="DR2162" s="501"/>
      <c r="DS2162" s="501"/>
      <c r="DT2162" s="501"/>
      <c r="DU2162" s="501"/>
      <c r="DV2162" s="501"/>
      <c r="DW2162" s="501"/>
      <c r="DX2162" s="501"/>
      <c r="DY2162" s="501"/>
      <c r="DZ2162" s="501"/>
      <c r="EA2162" s="501"/>
      <c r="EB2162" s="501"/>
      <c r="EC2162" s="501"/>
      <c r="ED2162" s="501"/>
      <c r="EE2162" s="501"/>
      <c r="EF2162" s="501"/>
      <c r="EG2162" s="501"/>
      <c r="EH2162" s="501"/>
      <c r="EI2162" s="501"/>
      <c r="EJ2162" s="501"/>
      <c r="EK2162" s="501"/>
      <c r="EL2162" s="501"/>
      <c r="EM2162" s="501"/>
      <c r="EN2162" s="501"/>
      <c r="EO2162" s="501"/>
      <c r="EP2162" s="501"/>
      <c r="EQ2162" s="501"/>
      <c r="ER2162" s="501"/>
      <c r="ES2162" s="501"/>
      <c r="ET2162" s="501"/>
      <c r="EU2162" s="501"/>
      <c r="EV2162" s="501"/>
      <c r="EW2162" s="501"/>
      <c r="EX2162" s="501"/>
      <c r="EY2162" s="501"/>
      <c r="EZ2162" s="501"/>
      <c r="FA2162" s="501"/>
      <c r="FB2162" s="501"/>
      <c r="FC2162" s="501"/>
      <c r="FD2162" s="501"/>
      <c r="FE2162" s="501"/>
      <c r="FF2162" s="501"/>
      <c r="FG2162" s="501"/>
      <c r="FH2162" s="501"/>
      <c r="FI2162" s="501"/>
      <c r="FJ2162" s="501"/>
      <c r="FK2162" s="501"/>
      <c r="FL2162" s="501"/>
      <c r="FM2162" s="501"/>
      <c r="FN2162" s="501"/>
      <c r="FO2162" s="501"/>
      <c r="FP2162" s="501"/>
      <c r="FQ2162" s="501"/>
      <c r="FR2162" s="501"/>
      <c r="FS2162" s="501"/>
      <c r="FT2162" s="501"/>
      <c r="FU2162" s="501"/>
      <c r="FV2162" s="501"/>
      <c r="FW2162" s="501"/>
      <c r="FX2162" s="501"/>
      <c r="FY2162" s="501"/>
      <c r="FZ2162" s="501"/>
      <c r="GA2162" s="501"/>
      <c r="GB2162" s="501"/>
      <c r="GC2162" s="501"/>
      <c r="GD2162" s="501"/>
      <c r="GE2162" s="501"/>
      <c r="GF2162" s="501"/>
      <c r="GG2162" s="501"/>
      <c r="GH2162" s="501"/>
      <c r="GI2162" s="501"/>
      <c r="GJ2162" s="501"/>
      <c r="GK2162" s="501"/>
      <c r="GL2162" s="501"/>
      <c r="GM2162" s="501"/>
      <c r="GN2162" s="501"/>
      <c r="GO2162" s="501"/>
      <c r="GP2162" s="501"/>
      <c r="GQ2162" s="501"/>
      <c r="GR2162" s="501"/>
      <c r="GS2162" s="501"/>
      <c r="GT2162" s="501"/>
      <c r="GU2162" s="501"/>
      <c r="GV2162" s="501"/>
      <c r="GW2162" s="501"/>
      <c r="GX2162" s="501"/>
      <c r="GY2162" s="501"/>
      <c r="GZ2162" s="501"/>
      <c r="HA2162" s="501"/>
      <c r="HB2162" s="501"/>
      <c r="HC2162" s="501"/>
      <c r="HD2162" s="501"/>
      <c r="HE2162" s="501"/>
      <c r="HF2162" s="501"/>
      <c r="HG2162" s="501"/>
      <c r="HH2162" s="501"/>
      <c r="HI2162" s="501"/>
      <c r="HJ2162" s="501"/>
      <c r="HK2162" s="501"/>
      <c r="HL2162" s="501"/>
      <c r="HM2162" s="501"/>
      <c r="HN2162" s="501"/>
      <c r="HO2162" s="501"/>
      <c r="HP2162" s="501"/>
      <c r="HQ2162" s="501"/>
      <c r="HR2162" s="501"/>
      <c r="HS2162" s="501"/>
      <c r="HT2162" s="501"/>
      <c r="HU2162" s="501"/>
      <c r="HV2162" s="501"/>
      <c r="HW2162" s="501"/>
      <c r="HX2162" s="501"/>
      <c r="HY2162" s="501"/>
      <c r="HZ2162" s="501"/>
      <c r="IA2162" s="501"/>
      <c r="IB2162" s="501"/>
      <c r="IC2162" s="501"/>
      <c r="ID2162" s="501"/>
      <c r="IE2162" s="501"/>
      <c r="IF2162" s="501"/>
      <c r="IG2162" s="501"/>
      <c r="IH2162" s="501"/>
      <c r="II2162" s="501"/>
      <c r="IJ2162" s="501"/>
      <c r="IK2162" s="501"/>
      <c r="IL2162" s="501"/>
      <c r="IM2162" s="501"/>
      <c r="IN2162" s="501"/>
      <c r="IO2162" s="501"/>
      <c r="IP2162" s="501"/>
      <c r="IQ2162" s="501"/>
      <c r="IR2162" s="501"/>
      <c r="IS2162" s="501"/>
      <c r="IT2162" s="501"/>
      <c r="IU2162" s="501"/>
    </row>
    <row r="2163" spans="1:255" s="877" customFormat="1" ht="24" customHeight="1">
      <c r="A2163" s="501"/>
      <c r="B2163" s="501"/>
      <c r="C2163" s="501"/>
      <c r="D2163" s="501"/>
      <c r="E2163" s="501"/>
      <c r="F2163" s="501"/>
      <c r="G2163" s="915"/>
      <c r="H2163" s="501"/>
      <c r="I2163" s="874"/>
      <c r="J2163" s="876"/>
      <c r="K2163" s="501"/>
      <c r="L2163" s="874"/>
      <c r="M2163" s="882"/>
      <c r="N2163" s="501"/>
      <c r="O2163" s="501"/>
      <c r="P2163" s="501"/>
      <c r="Q2163" s="501"/>
      <c r="R2163" s="501"/>
      <c r="S2163" s="501"/>
      <c r="T2163" s="501"/>
      <c r="V2163" s="501"/>
      <c r="W2163" s="501"/>
      <c r="X2163" s="501"/>
      <c r="Y2163" s="501"/>
      <c r="Z2163" s="501"/>
      <c r="AA2163" s="501"/>
      <c r="AB2163" s="501"/>
      <c r="AC2163" s="501"/>
      <c r="AD2163" s="501"/>
      <c r="AE2163" s="501"/>
      <c r="AF2163" s="501"/>
      <c r="AG2163" s="501"/>
      <c r="AH2163" s="501"/>
      <c r="AI2163" s="501"/>
      <c r="AJ2163" s="501"/>
      <c r="AK2163" s="501"/>
      <c r="AL2163" s="501"/>
      <c r="AM2163" s="501"/>
      <c r="AN2163" s="501"/>
      <c r="AO2163" s="501"/>
      <c r="AP2163" s="501"/>
      <c r="AQ2163" s="501"/>
      <c r="AR2163" s="501"/>
      <c r="AS2163" s="501"/>
      <c r="AT2163" s="501"/>
      <c r="AU2163" s="501"/>
      <c r="AV2163" s="501"/>
      <c r="AW2163" s="501"/>
      <c r="AX2163" s="501"/>
      <c r="AY2163" s="501"/>
      <c r="AZ2163" s="501"/>
      <c r="BA2163" s="501"/>
      <c r="BB2163" s="501"/>
      <c r="BC2163" s="501"/>
      <c r="BD2163" s="501"/>
      <c r="BE2163" s="501"/>
      <c r="BF2163" s="501"/>
      <c r="BG2163" s="501"/>
      <c r="BH2163" s="501"/>
      <c r="BI2163" s="501"/>
      <c r="BJ2163" s="501"/>
      <c r="BK2163" s="501"/>
      <c r="BL2163" s="501"/>
      <c r="BM2163" s="501"/>
      <c r="BN2163" s="501"/>
      <c r="BO2163" s="501"/>
      <c r="BP2163" s="501"/>
      <c r="BQ2163" s="501"/>
      <c r="BR2163" s="501"/>
      <c r="BS2163" s="501"/>
      <c r="BT2163" s="501"/>
      <c r="BU2163" s="501"/>
      <c r="BV2163" s="501"/>
      <c r="BW2163" s="501"/>
      <c r="BX2163" s="501"/>
      <c r="BY2163" s="501"/>
      <c r="BZ2163" s="501"/>
      <c r="CA2163" s="501"/>
      <c r="CB2163" s="501"/>
      <c r="CC2163" s="501"/>
      <c r="CD2163" s="501"/>
      <c r="CE2163" s="501"/>
      <c r="CF2163" s="501"/>
      <c r="CG2163" s="501"/>
      <c r="CH2163" s="501"/>
      <c r="CI2163" s="501"/>
      <c r="CJ2163" s="501"/>
      <c r="CK2163" s="501"/>
      <c r="CL2163" s="501"/>
      <c r="CM2163" s="501"/>
      <c r="CN2163" s="501"/>
      <c r="CO2163" s="501"/>
      <c r="CP2163" s="501"/>
      <c r="CQ2163" s="501"/>
      <c r="CR2163" s="501"/>
      <c r="CS2163" s="501"/>
      <c r="CT2163" s="501"/>
      <c r="CU2163" s="501"/>
      <c r="CV2163" s="501"/>
      <c r="CW2163" s="501"/>
      <c r="CX2163" s="501"/>
      <c r="CY2163" s="501"/>
      <c r="CZ2163" s="501"/>
      <c r="DA2163" s="501"/>
      <c r="DB2163" s="501"/>
      <c r="DC2163" s="501"/>
      <c r="DD2163" s="501"/>
      <c r="DE2163" s="501"/>
      <c r="DF2163" s="501"/>
      <c r="DG2163" s="501"/>
      <c r="DH2163" s="501"/>
      <c r="DI2163" s="501"/>
      <c r="DJ2163" s="501"/>
      <c r="DK2163" s="501"/>
      <c r="DL2163" s="501"/>
      <c r="DM2163" s="501"/>
      <c r="DN2163" s="501"/>
      <c r="DO2163" s="501"/>
      <c r="DP2163" s="501"/>
      <c r="DQ2163" s="501"/>
      <c r="DR2163" s="501"/>
      <c r="DS2163" s="501"/>
      <c r="DT2163" s="501"/>
      <c r="DU2163" s="501"/>
      <c r="DV2163" s="501"/>
      <c r="DW2163" s="501"/>
      <c r="DX2163" s="501"/>
      <c r="DY2163" s="501"/>
      <c r="DZ2163" s="501"/>
      <c r="EA2163" s="501"/>
      <c r="EB2163" s="501"/>
      <c r="EC2163" s="501"/>
      <c r="ED2163" s="501"/>
      <c r="EE2163" s="501"/>
      <c r="EF2163" s="501"/>
      <c r="EG2163" s="501"/>
      <c r="EH2163" s="501"/>
      <c r="EI2163" s="501"/>
      <c r="EJ2163" s="501"/>
      <c r="EK2163" s="501"/>
      <c r="EL2163" s="501"/>
      <c r="EM2163" s="501"/>
      <c r="EN2163" s="501"/>
      <c r="EO2163" s="501"/>
      <c r="EP2163" s="501"/>
      <c r="EQ2163" s="501"/>
      <c r="ER2163" s="501"/>
      <c r="ES2163" s="501"/>
      <c r="ET2163" s="501"/>
      <c r="EU2163" s="501"/>
      <c r="EV2163" s="501"/>
      <c r="EW2163" s="501"/>
      <c r="EX2163" s="501"/>
      <c r="EY2163" s="501"/>
      <c r="EZ2163" s="501"/>
      <c r="FA2163" s="501"/>
      <c r="FB2163" s="501"/>
      <c r="FC2163" s="501"/>
      <c r="FD2163" s="501"/>
      <c r="FE2163" s="501"/>
      <c r="FF2163" s="501"/>
      <c r="FG2163" s="501"/>
      <c r="FH2163" s="501"/>
      <c r="FI2163" s="501"/>
      <c r="FJ2163" s="501"/>
      <c r="FK2163" s="501"/>
      <c r="FL2163" s="501"/>
      <c r="FM2163" s="501"/>
      <c r="FN2163" s="501"/>
      <c r="FO2163" s="501"/>
      <c r="FP2163" s="501"/>
      <c r="FQ2163" s="501"/>
      <c r="FR2163" s="501"/>
      <c r="FS2163" s="501"/>
      <c r="FT2163" s="501"/>
      <c r="FU2163" s="501"/>
      <c r="FV2163" s="501"/>
      <c r="FW2163" s="501"/>
      <c r="FX2163" s="501"/>
      <c r="FY2163" s="501"/>
      <c r="FZ2163" s="501"/>
      <c r="GA2163" s="501"/>
      <c r="GB2163" s="501"/>
      <c r="GC2163" s="501"/>
      <c r="GD2163" s="501"/>
      <c r="GE2163" s="501"/>
      <c r="GF2163" s="501"/>
      <c r="GG2163" s="501"/>
      <c r="GH2163" s="501"/>
      <c r="GI2163" s="501"/>
      <c r="GJ2163" s="501"/>
      <c r="GK2163" s="501"/>
      <c r="GL2163" s="501"/>
      <c r="GM2163" s="501"/>
      <c r="GN2163" s="501"/>
      <c r="GO2163" s="501"/>
      <c r="GP2163" s="501"/>
      <c r="GQ2163" s="501"/>
      <c r="GR2163" s="501"/>
      <c r="GS2163" s="501"/>
      <c r="GT2163" s="501"/>
      <c r="GU2163" s="501"/>
      <c r="GV2163" s="501"/>
      <c r="GW2163" s="501"/>
      <c r="GX2163" s="501"/>
      <c r="GY2163" s="501"/>
      <c r="GZ2163" s="501"/>
      <c r="HA2163" s="501"/>
      <c r="HB2163" s="501"/>
      <c r="HC2163" s="501"/>
      <c r="HD2163" s="501"/>
      <c r="HE2163" s="501"/>
      <c r="HF2163" s="501"/>
      <c r="HG2163" s="501"/>
      <c r="HH2163" s="501"/>
      <c r="HI2163" s="501"/>
      <c r="HJ2163" s="501"/>
      <c r="HK2163" s="501"/>
      <c r="HL2163" s="501"/>
      <c r="HM2163" s="501"/>
      <c r="HN2163" s="501"/>
      <c r="HO2163" s="501"/>
      <c r="HP2163" s="501"/>
      <c r="HQ2163" s="501"/>
      <c r="HR2163" s="501"/>
      <c r="HS2163" s="501"/>
      <c r="HT2163" s="501"/>
      <c r="HU2163" s="501"/>
      <c r="HV2163" s="501"/>
      <c r="HW2163" s="501"/>
      <c r="HX2163" s="501"/>
      <c r="HY2163" s="501"/>
      <c r="HZ2163" s="501"/>
      <c r="IA2163" s="501"/>
      <c r="IB2163" s="501"/>
      <c r="IC2163" s="501"/>
      <c r="ID2163" s="501"/>
      <c r="IE2163" s="501"/>
      <c r="IF2163" s="501"/>
      <c r="IG2163" s="501"/>
      <c r="IH2163" s="501"/>
      <c r="II2163" s="501"/>
      <c r="IJ2163" s="501"/>
      <c r="IK2163" s="501"/>
      <c r="IL2163" s="501"/>
      <c r="IM2163" s="501"/>
      <c r="IN2163" s="501"/>
      <c r="IO2163" s="501"/>
      <c r="IP2163" s="501"/>
      <c r="IQ2163" s="501"/>
      <c r="IR2163" s="501"/>
      <c r="IS2163" s="501"/>
      <c r="IT2163" s="501"/>
      <c r="IU2163" s="501"/>
    </row>
    <row r="2164" spans="1:255" s="877" customFormat="1" ht="24" customHeight="1">
      <c r="A2164" s="501"/>
      <c r="B2164" s="501"/>
      <c r="C2164" s="501"/>
      <c r="D2164" s="501"/>
      <c r="E2164" s="501"/>
      <c r="F2164" s="876"/>
      <c r="G2164" s="916"/>
      <c r="H2164" s="876"/>
      <c r="I2164" s="874"/>
      <c r="J2164" s="501"/>
      <c r="K2164" s="501"/>
      <c r="L2164" s="874"/>
      <c r="M2164" s="554"/>
      <c r="N2164" s="501"/>
      <c r="O2164" s="501"/>
      <c r="P2164" s="501"/>
      <c r="Q2164" s="501"/>
      <c r="R2164" s="501"/>
      <c r="S2164" s="501"/>
      <c r="T2164" s="501"/>
      <c r="V2164" s="501"/>
      <c r="W2164" s="501"/>
      <c r="X2164" s="501"/>
      <c r="Y2164" s="501"/>
      <c r="Z2164" s="501"/>
      <c r="AA2164" s="501"/>
      <c r="AB2164" s="501"/>
      <c r="AC2164" s="501"/>
      <c r="AD2164" s="501"/>
      <c r="AE2164" s="501"/>
      <c r="AF2164" s="501"/>
      <c r="AG2164" s="501"/>
      <c r="AH2164" s="501"/>
      <c r="AI2164" s="501"/>
      <c r="AJ2164" s="501"/>
      <c r="AK2164" s="501"/>
      <c r="AL2164" s="501"/>
      <c r="AM2164" s="501"/>
      <c r="AN2164" s="501"/>
      <c r="AO2164" s="501"/>
      <c r="AP2164" s="501"/>
      <c r="AQ2164" s="501"/>
      <c r="AR2164" s="501"/>
      <c r="AS2164" s="501"/>
      <c r="AT2164" s="501"/>
      <c r="AU2164" s="501"/>
      <c r="AV2164" s="501"/>
      <c r="AW2164" s="501"/>
      <c r="AX2164" s="501"/>
      <c r="AY2164" s="501"/>
      <c r="AZ2164" s="501"/>
      <c r="BA2164" s="501"/>
      <c r="BB2164" s="501"/>
      <c r="BC2164" s="501"/>
      <c r="BD2164" s="501"/>
      <c r="BE2164" s="501"/>
      <c r="BF2164" s="501"/>
      <c r="BG2164" s="501"/>
      <c r="BH2164" s="501"/>
      <c r="BI2164" s="501"/>
      <c r="BJ2164" s="501"/>
      <c r="BK2164" s="501"/>
      <c r="BL2164" s="501"/>
      <c r="BM2164" s="501"/>
      <c r="BN2164" s="501"/>
      <c r="BO2164" s="501"/>
      <c r="BP2164" s="501"/>
      <c r="BQ2164" s="501"/>
      <c r="BR2164" s="501"/>
      <c r="BS2164" s="501"/>
      <c r="BT2164" s="501"/>
      <c r="BU2164" s="501"/>
      <c r="BV2164" s="501"/>
      <c r="BW2164" s="501"/>
      <c r="BX2164" s="501"/>
      <c r="BY2164" s="501"/>
      <c r="BZ2164" s="501"/>
      <c r="CA2164" s="501"/>
      <c r="CB2164" s="501"/>
      <c r="CC2164" s="501"/>
      <c r="CD2164" s="501"/>
      <c r="CE2164" s="501"/>
      <c r="CF2164" s="501"/>
      <c r="CG2164" s="501"/>
      <c r="CH2164" s="501"/>
      <c r="CI2164" s="501"/>
      <c r="CJ2164" s="501"/>
      <c r="CK2164" s="501"/>
      <c r="CL2164" s="501"/>
      <c r="CM2164" s="501"/>
      <c r="CN2164" s="501"/>
      <c r="CO2164" s="501"/>
      <c r="CP2164" s="501"/>
      <c r="CQ2164" s="501"/>
      <c r="CR2164" s="501"/>
      <c r="CS2164" s="501"/>
      <c r="CT2164" s="501"/>
      <c r="CU2164" s="501"/>
      <c r="CV2164" s="501"/>
      <c r="CW2164" s="501"/>
      <c r="CX2164" s="501"/>
      <c r="CY2164" s="501"/>
      <c r="CZ2164" s="501"/>
      <c r="DA2164" s="501"/>
      <c r="DB2164" s="501"/>
      <c r="DC2164" s="501"/>
      <c r="DD2164" s="501"/>
      <c r="DE2164" s="501"/>
      <c r="DF2164" s="501"/>
      <c r="DG2164" s="501"/>
      <c r="DH2164" s="501"/>
      <c r="DI2164" s="501"/>
      <c r="DJ2164" s="501"/>
      <c r="DK2164" s="501"/>
      <c r="DL2164" s="501"/>
      <c r="DM2164" s="501"/>
      <c r="DN2164" s="501"/>
      <c r="DO2164" s="501"/>
      <c r="DP2164" s="501"/>
      <c r="DQ2164" s="501"/>
      <c r="DR2164" s="501"/>
      <c r="DS2164" s="501"/>
      <c r="DT2164" s="501"/>
      <c r="DU2164" s="501"/>
      <c r="DV2164" s="501"/>
      <c r="DW2164" s="501"/>
      <c r="DX2164" s="501"/>
      <c r="DY2164" s="501"/>
      <c r="DZ2164" s="501"/>
      <c r="EA2164" s="501"/>
      <c r="EB2164" s="501"/>
      <c r="EC2164" s="501"/>
      <c r="ED2164" s="501"/>
      <c r="EE2164" s="501"/>
      <c r="EF2164" s="501"/>
      <c r="EG2164" s="501"/>
      <c r="EH2164" s="501"/>
      <c r="EI2164" s="501"/>
      <c r="EJ2164" s="501"/>
      <c r="EK2164" s="501"/>
      <c r="EL2164" s="501"/>
      <c r="EM2164" s="501"/>
      <c r="EN2164" s="501"/>
      <c r="EO2164" s="501"/>
      <c r="EP2164" s="501"/>
      <c r="EQ2164" s="501"/>
      <c r="ER2164" s="501"/>
      <c r="ES2164" s="501"/>
      <c r="ET2164" s="501"/>
      <c r="EU2164" s="501"/>
      <c r="EV2164" s="501"/>
      <c r="EW2164" s="501"/>
      <c r="EX2164" s="501"/>
      <c r="EY2164" s="501"/>
      <c r="EZ2164" s="501"/>
      <c r="FA2164" s="501"/>
      <c r="FB2164" s="501"/>
      <c r="FC2164" s="501"/>
      <c r="FD2164" s="501"/>
      <c r="FE2164" s="501"/>
      <c r="FF2164" s="501"/>
      <c r="FG2164" s="501"/>
      <c r="FH2164" s="501"/>
      <c r="FI2164" s="501"/>
      <c r="FJ2164" s="501"/>
      <c r="FK2164" s="501"/>
      <c r="FL2164" s="501"/>
      <c r="FM2164" s="501"/>
      <c r="FN2164" s="501"/>
      <c r="FO2164" s="501"/>
      <c r="FP2164" s="501"/>
      <c r="FQ2164" s="501"/>
      <c r="FR2164" s="501"/>
      <c r="FS2164" s="501"/>
      <c r="FT2164" s="501"/>
      <c r="FU2164" s="501"/>
      <c r="FV2164" s="501"/>
      <c r="FW2164" s="501"/>
      <c r="FX2164" s="501"/>
      <c r="FY2164" s="501"/>
      <c r="FZ2164" s="501"/>
      <c r="GA2164" s="501"/>
      <c r="GB2164" s="501"/>
      <c r="GC2164" s="501"/>
      <c r="GD2164" s="501"/>
      <c r="GE2164" s="501"/>
      <c r="GF2164" s="501"/>
      <c r="GG2164" s="501"/>
      <c r="GH2164" s="501"/>
      <c r="GI2164" s="501"/>
      <c r="GJ2164" s="501"/>
      <c r="GK2164" s="501"/>
      <c r="GL2164" s="501"/>
      <c r="GM2164" s="501"/>
      <c r="GN2164" s="501"/>
      <c r="GO2164" s="501"/>
      <c r="GP2164" s="501"/>
      <c r="GQ2164" s="501"/>
      <c r="GR2164" s="501"/>
      <c r="GS2164" s="501"/>
      <c r="GT2164" s="501"/>
      <c r="GU2164" s="501"/>
      <c r="GV2164" s="501"/>
      <c r="GW2164" s="501"/>
      <c r="GX2164" s="501"/>
      <c r="GY2164" s="501"/>
      <c r="GZ2164" s="501"/>
      <c r="HA2164" s="501"/>
      <c r="HB2164" s="501"/>
      <c r="HC2164" s="501"/>
      <c r="HD2164" s="501"/>
      <c r="HE2164" s="501"/>
      <c r="HF2164" s="501"/>
      <c r="HG2164" s="501"/>
      <c r="HH2164" s="501"/>
      <c r="HI2164" s="501"/>
      <c r="HJ2164" s="501"/>
      <c r="HK2164" s="501"/>
      <c r="HL2164" s="501"/>
      <c r="HM2164" s="501"/>
      <c r="HN2164" s="501"/>
      <c r="HO2164" s="501"/>
      <c r="HP2164" s="501"/>
      <c r="HQ2164" s="501"/>
      <c r="HR2164" s="501"/>
      <c r="HS2164" s="501"/>
      <c r="HT2164" s="501"/>
      <c r="HU2164" s="501"/>
      <c r="HV2164" s="501"/>
      <c r="HW2164" s="501"/>
      <c r="HX2164" s="501"/>
      <c r="HY2164" s="501"/>
      <c r="HZ2164" s="501"/>
      <c r="IA2164" s="501"/>
      <c r="IB2164" s="501"/>
      <c r="IC2164" s="501"/>
      <c r="ID2164" s="501"/>
      <c r="IE2164" s="501"/>
      <c r="IF2164" s="501"/>
      <c r="IG2164" s="501"/>
      <c r="IH2164" s="501"/>
      <c r="II2164" s="501"/>
      <c r="IJ2164" s="501"/>
      <c r="IK2164" s="501"/>
      <c r="IL2164" s="501"/>
      <c r="IM2164" s="501"/>
      <c r="IN2164" s="501"/>
      <c r="IO2164" s="501"/>
      <c r="IP2164" s="501"/>
      <c r="IQ2164" s="501"/>
      <c r="IR2164" s="501"/>
      <c r="IS2164" s="501"/>
      <c r="IT2164" s="501"/>
      <c r="IU2164" s="501"/>
    </row>
    <row r="2165" spans="1:255" s="877" customFormat="1" ht="24" customHeight="1">
      <c r="A2165" s="501"/>
      <c r="B2165" s="501"/>
      <c r="C2165" s="501"/>
      <c r="D2165" s="501"/>
      <c r="E2165" s="501"/>
      <c r="F2165" s="876"/>
      <c r="G2165" s="916"/>
      <c r="H2165" s="876"/>
      <c r="I2165" s="874"/>
      <c r="J2165" s="501"/>
      <c r="K2165" s="501"/>
      <c r="L2165" s="874"/>
      <c r="M2165" s="554"/>
      <c r="N2165" s="501"/>
      <c r="O2165" s="501"/>
      <c r="P2165" s="501"/>
      <c r="Q2165" s="501"/>
      <c r="R2165" s="501"/>
      <c r="S2165" s="501"/>
      <c r="T2165" s="501"/>
      <c r="V2165" s="501"/>
      <c r="W2165" s="501"/>
      <c r="X2165" s="501"/>
      <c r="Y2165" s="501"/>
      <c r="Z2165" s="501"/>
      <c r="AA2165" s="501"/>
      <c r="AB2165" s="501"/>
      <c r="AC2165" s="501"/>
      <c r="AD2165" s="501"/>
      <c r="AE2165" s="501"/>
      <c r="AF2165" s="501"/>
      <c r="AG2165" s="501"/>
      <c r="AH2165" s="501"/>
      <c r="AI2165" s="501"/>
      <c r="AJ2165" s="501"/>
      <c r="AK2165" s="501"/>
      <c r="AL2165" s="501"/>
      <c r="AM2165" s="501"/>
      <c r="AN2165" s="501"/>
      <c r="AO2165" s="501"/>
      <c r="AP2165" s="501"/>
      <c r="AQ2165" s="501"/>
      <c r="AR2165" s="501"/>
      <c r="AS2165" s="501"/>
      <c r="AT2165" s="501"/>
      <c r="AU2165" s="501"/>
      <c r="AV2165" s="501"/>
      <c r="AW2165" s="501"/>
      <c r="AX2165" s="501"/>
      <c r="AY2165" s="501"/>
      <c r="AZ2165" s="501"/>
      <c r="BA2165" s="501"/>
      <c r="BB2165" s="501"/>
      <c r="BC2165" s="501"/>
      <c r="BD2165" s="501"/>
      <c r="BE2165" s="501"/>
      <c r="BF2165" s="501"/>
      <c r="BG2165" s="501"/>
      <c r="BH2165" s="501"/>
      <c r="BI2165" s="501"/>
      <c r="BJ2165" s="501"/>
      <c r="BK2165" s="501"/>
      <c r="BL2165" s="501"/>
      <c r="BM2165" s="501"/>
      <c r="BN2165" s="501"/>
      <c r="BO2165" s="501"/>
      <c r="BP2165" s="501"/>
      <c r="BQ2165" s="501"/>
      <c r="BR2165" s="501"/>
      <c r="BS2165" s="501"/>
      <c r="BT2165" s="501"/>
      <c r="BU2165" s="501"/>
      <c r="BV2165" s="501"/>
      <c r="BW2165" s="501"/>
      <c r="BX2165" s="501"/>
      <c r="BY2165" s="501"/>
      <c r="BZ2165" s="501"/>
      <c r="CA2165" s="501"/>
      <c r="CB2165" s="501"/>
      <c r="CC2165" s="501"/>
      <c r="CD2165" s="501"/>
      <c r="CE2165" s="501"/>
      <c r="CF2165" s="501"/>
      <c r="CG2165" s="501"/>
      <c r="CH2165" s="501"/>
      <c r="CI2165" s="501"/>
      <c r="CJ2165" s="501"/>
      <c r="CK2165" s="501"/>
      <c r="CL2165" s="501"/>
      <c r="CM2165" s="501"/>
      <c r="CN2165" s="501"/>
      <c r="CO2165" s="501"/>
      <c r="CP2165" s="501"/>
      <c r="CQ2165" s="501"/>
      <c r="CR2165" s="501"/>
      <c r="CS2165" s="501"/>
      <c r="CT2165" s="501"/>
      <c r="CU2165" s="501"/>
      <c r="CV2165" s="501"/>
      <c r="CW2165" s="501"/>
      <c r="CX2165" s="501"/>
      <c r="CY2165" s="501"/>
      <c r="CZ2165" s="501"/>
      <c r="DA2165" s="501"/>
      <c r="DB2165" s="501"/>
      <c r="DC2165" s="501"/>
      <c r="DD2165" s="501"/>
      <c r="DE2165" s="501"/>
      <c r="DF2165" s="501"/>
      <c r="DG2165" s="501"/>
      <c r="DH2165" s="501"/>
      <c r="DI2165" s="501"/>
      <c r="DJ2165" s="501"/>
      <c r="DK2165" s="501"/>
      <c r="DL2165" s="501"/>
      <c r="DM2165" s="501"/>
      <c r="DN2165" s="501"/>
      <c r="DO2165" s="501"/>
      <c r="DP2165" s="501"/>
      <c r="DQ2165" s="501"/>
      <c r="DR2165" s="501"/>
      <c r="DS2165" s="501"/>
      <c r="DT2165" s="501"/>
      <c r="DU2165" s="501"/>
      <c r="DV2165" s="501"/>
      <c r="DW2165" s="501"/>
      <c r="DX2165" s="501"/>
      <c r="DY2165" s="501"/>
      <c r="DZ2165" s="501"/>
      <c r="EA2165" s="501"/>
      <c r="EB2165" s="501"/>
      <c r="EC2165" s="501"/>
      <c r="ED2165" s="501"/>
      <c r="EE2165" s="501"/>
      <c r="EF2165" s="501"/>
      <c r="EG2165" s="501"/>
      <c r="EH2165" s="501"/>
      <c r="EI2165" s="501"/>
      <c r="EJ2165" s="501"/>
      <c r="EK2165" s="501"/>
      <c r="EL2165" s="501"/>
      <c r="EM2165" s="501"/>
      <c r="EN2165" s="501"/>
      <c r="EO2165" s="501"/>
      <c r="EP2165" s="501"/>
      <c r="EQ2165" s="501"/>
      <c r="ER2165" s="501"/>
      <c r="ES2165" s="501"/>
      <c r="ET2165" s="501"/>
      <c r="EU2165" s="501"/>
      <c r="EV2165" s="501"/>
      <c r="EW2165" s="501"/>
      <c r="EX2165" s="501"/>
      <c r="EY2165" s="501"/>
      <c r="EZ2165" s="501"/>
      <c r="FA2165" s="501"/>
      <c r="FB2165" s="501"/>
      <c r="FC2165" s="501"/>
      <c r="FD2165" s="501"/>
      <c r="FE2165" s="501"/>
      <c r="FF2165" s="501"/>
      <c r="FG2165" s="501"/>
      <c r="FH2165" s="501"/>
      <c r="FI2165" s="501"/>
      <c r="FJ2165" s="501"/>
      <c r="FK2165" s="501"/>
      <c r="FL2165" s="501"/>
      <c r="FM2165" s="501"/>
      <c r="FN2165" s="501"/>
      <c r="FO2165" s="501"/>
      <c r="FP2165" s="501"/>
      <c r="FQ2165" s="501"/>
      <c r="FR2165" s="501"/>
      <c r="FS2165" s="501"/>
      <c r="FT2165" s="501"/>
      <c r="FU2165" s="501"/>
      <c r="FV2165" s="501"/>
      <c r="FW2165" s="501"/>
      <c r="FX2165" s="501"/>
      <c r="FY2165" s="501"/>
      <c r="FZ2165" s="501"/>
      <c r="GA2165" s="501"/>
      <c r="GB2165" s="501"/>
      <c r="GC2165" s="501"/>
      <c r="GD2165" s="501"/>
      <c r="GE2165" s="501"/>
      <c r="GF2165" s="501"/>
      <c r="GG2165" s="501"/>
      <c r="GH2165" s="501"/>
      <c r="GI2165" s="501"/>
      <c r="GJ2165" s="501"/>
      <c r="GK2165" s="501"/>
      <c r="GL2165" s="501"/>
      <c r="GM2165" s="501"/>
      <c r="GN2165" s="501"/>
      <c r="GO2165" s="501"/>
      <c r="GP2165" s="501"/>
      <c r="GQ2165" s="501"/>
      <c r="GR2165" s="501"/>
      <c r="GS2165" s="501"/>
      <c r="GT2165" s="501"/>
      <c r="GU2165" s="501"/>
      <c r="GV2165" s="501"/>
      <c r="GW2165" s="501"/>
      <c r="GX2165" s="501"/>
      <c r="GY2165" s="501"/>
      <c r="GZ2165" s="501"/>
      <c r="HA2165" s="501"/>
      <c r="HB2165" s="501"/>
      <c r="HC2165" s="501"/>
      <c r="HD2165" s="501"/>
      <c r="HE2165" s="501"/>
      <c r="HF2165" s="501"/>
      <c r="HG2165" s="501"/>
      <c r="HH2165" s="501"/>
      <c r="HI2165" s="501"/>
      <c r="HJ2165" s="501"/>
      <c r="HK2165" s="501"/>
      <c r="HL2165" s="501"/>
      <c r="HM2165" s="501"/>
      <c r="HN2165" s="501"/>
      <c r="HO2165" s="501"/>
      <c r="HP2165" s="501"/>
      <c r="HQ2165" s="501"/>
      <c r="HR2165" s="501"/>
      <c r="HS2165" s="501"/>
      <c r="HT2165" s="501"/>
      <c r="HU2165" s="501"/>
      <c r="HV2165" s="501"/>
      <c r="HW2165" s="501"/>
      <c r="HX2165" s="501"/>
      <c r="HY2165" s="501"/>
      <c r="HZ2165" s="501"/>
      <c r="IA2165" s="501"/>
      <c r="IB2165" s="501"/>
      <c r="IC2165" s="501"/>
      <c r="ID2165" s="501"/>
      <c r="IE2165" s="501"/>
      <c r="IF2165" s="501"/>
      <c r="IG2165" s="501"/>
      <c r="IH2165" s="501"/>
      <c r="II2165" s="501"/>
      <c r="IJ2165" s="501"/>
      <c r="IK2165" s="501"/>
      <c r="IL2165" s="501"/>
      <c r="IM2165" s="501"/>
      <c r="IN2165" s="501"/>
      <c r="IO2165" s="501"/>
      <c r="IP2165" s="501"/>
      <c r="IQ2165" s="501"/>
      <c r="IR2165" s="501"/>
      <c r="IS2165" s="501"/>
      <c r="IT2165" s="501"/>
      <c r="IU2165" s="501"/>
    </row>
    <row r="2166" spans="1:255" s="877" customFormat="1" ht="24" customHeight="1">
      <c r="A2166" s="501"/>
      <c r="B2166" s="501"/>
      <c r="C2166" s="501"/>
      <c r="D2166" s="501"/>
      <c r="E2166" s="501"/>
      <c r="F2166" s="501"/>
      <c r="G2166" s="915"/>
      <c r="H2166" s="501"/>
      <c r="I2166" s="874"/>
      <c r="J2166" s="501"/>
      <c r="K2166" s="501"/>
      <c r="L2166" s="874"/>
      <c r="M2166" s="882"/>
      <c r="N2166" s="501"/>
      <c r="O2166" s="501"/>
      <c r="P2166" s="501"/>
      <c r="Q2166" s="501"/>
      <c r="R2166" s="501"/>
      <c r="S2166" s="501"/>
      <c r="T2166" s="501"/>
      <c r="V2166" s="501"/>
      <c r="W2166" s="501"/>
      <c r="X2166" s="501"/>
      <c r="Y2166" s="501"/>
      <c r="Z2166" s="501"/>
      <c r="AA2166" s="501"/>
      <c r="AB2166" s="501"/>
      <c r="AC2166" s="501"/>
      <c r="AD2166" s="501"/>
      <c r="AE2166" s="501"/>
      <c r="AF2166" s="501"/>
      <c r="AG2166" s="501"/>
      <c r="AH2166" s="501"/>
      <c r="AI2166" s="501"/>
      <c r="AJ2166" s="501"/>
      <c r="AK2166" s="501"/>
      <c r="AL2166" s="501"/>
      <c r="AM2166" s="501"/>
      <c r="AN2166" s="501"/>
      <c r="AO2166" s="501"/>
      <c r="AP2166" s="501"/>
      <c r="AQ2166" s="501"/>
      <c r="AR2166" s="501"/>
      <c r="AS2166" s="501"/>
      <c r="AT2166" s="501"/>
      <c r="AU2166" s="501"/>
      <c r="AV2166" s="501"/>
      <c r="AW2166" s="501"/>
      <c r="AX2166" s="501"/>
      <c r="AY2166" s="501"/>
      <c r="AZ2166" s="501"/>
      <c r="BA2166" s="501"/>
      <c r="BB2166" s="501"/>
      <c r="BC2166" s="501"/>
      <c r="BD2166" s="501"/>
      <c r="BE2166" s="501"/>
      <c r="BF2166" s="501"/>
      <c r="BG2166" s="501"/>
      <c r="BH2166" s="501"/>
      <c r="BI2166" s="501"/>
      <c r="BJ2166" s="501"/>
      <c r="BK2166" s="501"/>
      <c r="BL2166" s="501"/>
      <c r="BM2166" s="501"/>
      <c r="BN2166" s="501"/>
      <c r="BO2166" s="501"/>
      <c r="BP2166" s="501"/>
      <c r="BQ2166" s="501"/>
      <c r="BR2166" s="501"/>
      <c r="BS2166" s="501"/>
      <c r="BT2166" s="501"/>
      <c r="BU2166" s="501"/>
      <c r="BV2166" s="501"/>
      <c r="BW2166" s="501"/>
      <c r="BX2166" s="501"/>
      <c r="BY2166" s="501"/>
      <c r="BZ2166" s="501"/>
      <c r="CA2166" s="501"/>
      <c r="CB2166" s="501"/>
      <c r="CC2166" s="501"/>
      <c r="CD2166" s="501"/>
      <c r="CE2166" s="501"/>
      <c r="CF2166" s="501"/>
      <c r="CG2166" s="501"/>
      <c r="CH2166" s="501"/>
      <c r="CI2166" s="501"/>
      <c r="CJ2166" s="501"/>
      <c r="CK2166" s="501"/>
      <c r="CL2166" s="501"/>
      <c r="CM2166" s="501"/>
      <c r="CN2166" s="501"/>
      <c r="CO2166" s="501"/>
      <c r="CP2166" s="501"/>
      <c r="CQ2166" s="501"/>
      <c r="CR2166" s="501"/>
      <c r="CS2166" s="501"/>
      <c r="CT2166" s="501"/>
      <c r="CU2166" s="501"/>
      <c r="CV2166" s="501"/>
      <c r="CW2166" s="501"/>
      <c r="CX2166" s="501"/>
      <c r="CY2166" s="501"/>
      <c r="CZ2166" s="501"/>
      <c r="DA2166" s="501"/>
      <c r="DB2166" s="501"/>
      <c r="DC2166" s="501"/>
      <c r="DD2166" s="501"/>
      <c r="DE2166" s="501"/>
      <c r="DF2166" s="501"/>
      <c r="DG2166" s="501"/>
      <c r="DH2166" s="501"/>
      <c r="DI2166" s="501"/>
      <c r="DJ2166" s="501"/>
      <c r="DK2166" s="501"/>
      <c r="DL2166" s="501"/>
      <c r="DM2166" s="501"/>
      <c r="DN2166" s="501"/>
      <c r="DO2166" s="501"/>
      <c r="DP2166" s="501"/>
      <c r="DQ2166" s="501"/>
      <c r="DR2166" s="501"/>
      <c r="DS2166" s="501"/>
      <c r="DT2166" s="501"/>
      <c r="DU2166" s="501"/>
      <c r="DV2166" s="501"/>
      <c r="DW2166" s="501"/>
      <c r="DX2166" s="501"/>
      <c r="DY2166" s="501"/>
      <c r="DZ2166" s="501"/>
      <c r="EA2166" s="501"/>
      <c r="EB2166" s="501"/>
      <c r="EC2166" s="501"/>
      <c r="ED2166" s="501"/>
      <c r="EE2166" s="501"/>
      <c r="EF2166" s="501"/>
      <c r="EG2166" s="501"/>
      <c r="EH2166" s="501"/>
      <c r="EI2166" s="501"/>
      <c r="EJ2166" s="501"/>
      <c r="EK2166" s="501"/>
      <c r="EL2166" s="501"/>
      <c r="EM2166" s="501"/>
      <c r="EN2166" s="501"/>
      <c r="EO2166" s="501"/>
      <c r="EP2166" s="501"/>
      <c r="EQ2166" s="501"/>
      <c r="ER2166" s="501"/>
      <c r="ES2166" s="501"/>
      <c r="ET2166" s="501"/>
      <c r="EU2166" s="501"/>
      <c r="EV2166" s="501"/>
      <c r="EW2166" s="501"/>
      <c r="EX2166" s="501"/>
      <c r="EY2166" s="501"/>
      <c r="EZ2166" s="501"/>
      <c r="FA2166" s="501"/>
      <c r="FB2166" s="501"/>
      <c r="FC2166" s="501"/>
      <c r="FD2166" s="501"/>
      <c r="FE2166" s="501"/>
      <c r="FF2166" s="501"/>
      <c r="FG2166" s="501"/>
      <c r="FH2166" s="501"/>
      <c r="FI2166" s="501"/>
      <c r="FJ2166" s="501"/>
      <c r="FK2166" s="501"/>
      <c r="FL2166" s="501"/>
      <c r="FM2166" s="501"/>
      <c r="FN2166" s="501"/>
      <c r="FO2166" s="501"/>
      <c r="FP2166" s="501"/>
      <c r="FQ2166" s="501"/>
      <c r="FR2166" s="501"/>
      <c r="FS2166" s="501"/>
      <c r="FT2166" s="501"/>
      <c r="FU2166" s="501"/>
      <c r="FV2166" s="501"/>
      <c r="FW2166" s="501"/>
      <c r="FX2166" s="501"/>
      <c r="FY2166" s="501"/>
      <c r="FZ2166" s="501"/>
      <c r="GA2166" s="501"/>
      <c r="GB2166" s="501"/>
      <c r="GC2166" s="501"/>
      <c r="GD2166" s="501"/>
      <c r="GE2166" s="501"/>
      <c r="GF2166" s="501"/>
      <c r="GG2166" s="501"/>
      <c r="GH2166" s="501"/>
      <c r="GI2166" s="501"/>
      <c r="GJ2166" s="501"/>
      <c r="GK2166" s="501"/>
      <c r="GL2166" s="501"/>
      <c r="GM2166" s="501"/>
      <c r="GN2166" s="501"/>
      <c r="GO2166" s="501"/>
      <c r="GP2166" s="501"/>
      <c r="GQ2166" s="501"/>
      <c r="GR2166" s="501"/>
      <c r="GS2166" s="501"/>
      <c r="GT2166" s="501"/>
      <c r="GU2166" s="501"/>
      <c r="GV2166" s="501"/>
      <c r="GW2166" s="501"/>
      <c r="GX2166" s="501"/>
      <c r="GY2166" s="501"/>
      <c r="GZ2166" s="501"/>
      <c r="HA2166" s="501"/>
      <c r="HB2166" s="501"/>
      <c r="HC2166" s="501"/>
      <c r="HD2166" s="501"/>
      <c r="HE2166" s="501"/>
      <c r="HF2166" s="501"/>
      <c r="HG2166" s="501"/>
      <c r="HH2166" s="501"/>
      <c r="HI2166" s="501"/>
      <c r="HJ2166" s="501"/>
      <c r="HK2166" s="501"/>
      <c r="HL2166" s="501"/>
      <c r="HM2166" s="501"/>
      <c r="HN2166" s="501"/>
      <c r="HO2166" s="501"/>
      <c r="HP2166" s="501"/>
      <c r="HQ2166" s="501"/>
      <c r="HR2166" s="501"/>
      <c r="HS2166" s="501"/>
      <c r="HT2166" s="501"/>
      <c r="HU2166" s="501"/>
      <c r="HV2166" s="501"/>
      <c r="HW2166" s="501"/>
      <c r="HX2166" s="501"/>
      <c r="HY2166" s="501"/>
      <c r="HZ2166" s="501"/>
      <c r="IA2166" s="501"/>
      <c r="IB2166" s="501"/>
      <c r="IC2166" s="501"/>
      <c r="ID2166" s="501"/>
      <c r="IE2166" s="501"/>
      <c r="IF2166" s="501"/>
      <c r="IG2166" s="501"/>
      <c r="IH2166" s="501"/>
      <c r="II2166" s="501"/>
      <c r="IJ2166" s="501"/>
      <c r="IK2166" s="501"/>
      <c r="IL2166" s="501"/>
      <c r="IM2166" s="501"/>
      <c r="IN2166" s="501"/>
      <c r="IO2166" s="501"/>
      <c r="IP2166" s="501"/>
      <c r="IQ2166" s="501"/>
      <c r="IR2166" s="501"/>
      <c r="IS2166" s="501"/>
      <c r="IT2166" s="501"/>
      <c r="IU2166" s="501"/>
    </row>
    <row r="2167" spans="1:255" s="877" customFormat="1" ht="24" customHeight="1">
      <c r="A2167" s="501"/>
      <c r="B2167" s="501"/>
      <c r="C2167" s="501"/>
      <c r="D2167" s="501"/>
      <c r="E2167" s="501"/>
      <c r="F2167" s="880"/>
      <c r="G2167" s="918"/>
      <c r="H2167" s="880"/>
      <c r="I2167" s="876"/>
      <c r="J2167" s="876"/>
      <c r="K2167" s="501"/>
      <c r="L2167" s="874"/>
      <c r="M2167" s="554"/>
      <c r="N2167" s="501"/>
      <c r="O2167" s="501"/>
      <c r="P2167" s="501"/>
      <c r="Q2167" s="501"/>
      <c r="R2167" s="501"/>
      <c r="S2167" s="501"/>
      <c r="T2167" s="501"/>
      <c r="V2167" s="501"/>
      <c r="W2167" s="501"/>
      <c r="X2167" s="501"/>
      <c r="Y2167" s="501"/>
      <c r="Z2167" s="501"/>
      <c r="AA2167" s="501"/>
      <c r="AB2167" s="501"/>
      <c r="AC2167" s="501"/>
      <c r="AD2167" s="501"/>
      <c r="AE2167" s="501"/>
      <c r="AF2167" s="501"/>
      <c r="AG2167" s="501"/>
      <c r="AH2167" s="501"/>
      <c r="AI2167" s="501"/>
      <c r="AJ2167" s="501"/>
      <c r="AK2167" s="501"/>
      <c r="AL2167" s="501"/>
      <c r="AM2167" s="501"/>
      <c r="AN2167" s="501"/>
      <c r="AO2167" s="501"/>
      <c r="AP2167" s="501"/>
      <c r="AQ2167" s="501"/>
      <c r="AR2167" s="501"/>
      <c r="AS2167" s="501"/>
      <c r="AT2167" s="501"/>
      <c r="AU2167" s="501"/>
      <c r="AV2167" s="501"/>
      <c r="AW2167" s="501"/>
      <c r="AX2167" s="501"/>
      <c r="AY2167" s="501"/>
      <c r="AZ2167" s="501"/>
      <c r="BA2167" s="501"/>
      <c r="BB2167" s="501"/>
      <c r="BC2167" s="501"/>
      <c r="BD2167" s="501"/>
      <c r="BE2167" s="501"/>
      <c r="BF2167" s="501"/>
      <c r="BG2167" s="501"/>
      <c r="BH2167" s="501"/>
      <c r="BI2167" s="501"/>
      <c r="BJ2167" s="501"/>
      <c r="BK2167" s="501"/>
      <c r="BL2167" s="501"/>
      <c r="BM2167" s="501"/>
      <c r="BN2167" s="501"/>
      <c r="BO2167" s="501"/>
      <c r="BP2167" s="501"/>
      <c r="BQ2167" s="501"/>
      <c r="BR2167" s="501"/>
      <c r="BS2167" s="501"/>
      <c r="BT2167" s="501"/>
      <c r="BU2167" s="501"/>
      <c r="BV2167" s="501"/>
      <c r="BW2167" s="501"/>
      <c r="BX2167" s="501"/>
      <c r="BY2167" s="501"/>
      <c r="BZ2167" s="501"/>
      <c r="CA2167" s="501"/>
      <c r="CB2167" s="501"/>
      <c r="CC2167" s="501"/>
      <c r="CD2167" s="501"/>
      <c r="CE2167" s="501"/>
      <c r="CF2167" s="501"/>
      <c r="CG2167" s="501"/>
      <c r="CH2167" s="501"/>
      <c r="CI2167" s="501"/>
      <c r="CJ2167" s="501"/>
      <c r="CK2167" s="501"/>
      <c r="CL2167" s="501"/>
      <c r="CM2167" s="501"/>
      <c r="CN2167" s="501"/>
      <c r="CO2167" s="501"/>
      <c r="CP2167" s="501"/>
      <c r="CQ2167" s="501"/>
      <c r="CR2167" s="501"/>
      <c r="CS2167" s="501"/>
      <c r="CT2167" s="501"/>
      <c r="CU2167" s="501"/>
      <c r="CV2167" s="501"/>
      <c r="CW2167" s="501"/>
      <c r="CX2167" s="501"/>
      <c r="CY2167" s="501"/>
      <c r="CZ2167" s="501"/>
      <c r="DA2167" s="501"/>
      <c r="DB2167" s="501"/>
      <c r="DC2167" s="501"/>
      <c r="DD2167" s="501"/>
      <c r="DE2167" s="501"/>
      <c r="DF2167" s="501"/>
      <c r="DG2167" s="501"/>
      <c r="DH2167" s="501"/>
      <c r="DI2167" s="501"/>
      <c r="DJ2167" s="501"/>
      <c r="DK2167" s="501"/>
      <c r="DL2167" s="501"/>
      <c r="DM2167" s="501"/>
      <c r="DN2167" s="501"/>
      <c r="DO2167" s="501"/>
      <c r="DP2167" s="501"/>
      <c r="DQ2167" s="501"/>
      <c r="DR2167" s="501"/>
      <c r="DS2167" s="501"/>
      <c r="DT2167" s="501"/>
      <c r="DU2167" s="501"/>
      <c r="DV2167" s="501"/>
      <c r="DW2167" s="501"/>
      <c r="DX2167" s="501"/>
      <c r="DY2167" s="501"/>
      <c r="DZ2167" s="501"/>
      <c r="EA2167" s="501"/>
      <c r="EB2167" s="501"/>
      <c r="EC2167" s="501"/>
      <c r="ED2167" s="501"/>
      <c r="EE2167" s="501"/>
      <c r="EF2167" s="501"/>
      <c r="EG2167" s="501"/>
      <c r="EH2167" s="501"/>
      <c r="EI2167" s="501"/>
      <c r="EJ2167" s="501"/>
      <c r="EK2167" s="501"/>
      <c r="EL2167" s="501"/>
      <c r="EM2167" s="501"/>
      <c r="EN2167" s="501"/>
      <c r="EO2167" s="501"/>
      <c r="EP2167" s="501"/>
      <c r="EQ2167" s="501"/>
      <c r="ER2167" s="501"/>
      <c r="ES2167" s="501"/>
      <c r="ET2167" s="501"/>
      <c r="EU2167" s="501"/>
      <c r="EV2167" s="501"/>
      <c r="EW2167" s="501"/>
      <c r="EX2167" s="501"/>
      <c r="EY2167" s="501"/>
      <c r="EZ2167" s="501"/>
      <c r="FA2167" s="501"/>
      <c r="FB2167" s="501"/>
      <c r="FC2167" s="501"/>
      <c r="FD2167" s="501"/>
      <c r="FE2167" s="501"/>
      <c r="FF2167" s="501"/>
      <c r="FG2167" s="501"/>
      <c r="FH2167" s="501"/>
      <c r="FI2167" s="501"/>
      <c r="FJ2167" s="501"/>
      <c r="FK2167" s="501"/>
      <c r="FL2167" s="501"/>
      <c r="FM2167" s="501"/>
      <c r="FN2167" s="501"/>
      <c r="FO2167" s="501"/>
      <c r="FP2167" s="501"/>
      <c r="FQ2167" s="501"/>
      <c r="FR2167" s="501"/>
      <c r="FS2167" s="501"/>
      <c r="FT2167" s="501"/>
      <c r="FU2167" s="501"/>
      <c r="FV2167" s="501"/>
      <c r="FW2167" s="501"/>
      <c r="FX2167" s="501"/>
      <c r="FY2167" s="501"/>
      <c r="FZ2167" s="501"/>
      <c r="GA2167" s="501"/>
      <c r="GB2167" s="501"/>
      <c r="GC2167" s="501"/>
      <c r="GD2167" s="501"/>
      <c r="GE2167" s="501"/>
      <c r="GF2167" s="501"/>
      <c r="GG2167" s="501"/>
      <c r="GH2167" s="501"/>
      <c r="GI2167" s="501"/>
      <c r="GJ2167" s="501"/>
      <c r="GK2167" s="501"/>
      <c r="GL2167" s="501"/>
      <c r="GM2167" s="501"/>
      <c r="GN2167" s="501"/>
      <c r="GO2167" s="501"/>
      <c r="GP2167" s="501"/>
      <c r="GQ2167" s="501"/>
      <c r="GR2167" s="501"/>
      <c r="GS2167" s="501"/>
      <c r="GT2167" s="501"/>
      <c r="GU2167" s="501"/>
      <c r="GV2167" s="501"/>
      <c r="GW2167" s="501"/>
      <c r="GX2167" s="501"/>
      <c r="GY2167" s="501"/>
      <c r="GZ2167" s="501"/>
      <c r="HA2167" s="501"/>
      <c r="HB2167" s="501"/>
      <c r="HC2167" s="501"/>
      <c r="HD2167" s="501"/>
      <c r="HE2167" s="501"/>
      <c r="HF2167" s="501"/>
      <c r="HG2167" s="501"/>
      <c r="HH2167" s="501"/>
      <c r="HI2167" s="501"/>
      <c r="HJ2167" s="501"/>
      <c r="HK2167" s="501"/>
      <c r="HL2167" s="501"/>
      <c r="HM2167" s="501"/>
      <c r="HN2167" s="501"/>
      <c r="HO2167" s="501"/>
      <c r="HP2167" s="501"/>
      <c r="HQ2167" s="501"/>
      <c r="HR2167" s="501"/>
      <c r="HS2167" s="501"/>
      <c r="HT2167" s="501"/>
      <c r="HU2167" s="501"/>
      <c r="HV2167" s="501"/>
      <c r="HW2167" s="501"/>
      <c r="HX2167" s="501"/>
      <c r="HY2167" s="501"/>
      <c r="HZ2167" s="501"/>
      <c r="IA2167" s="501"/>
      <c r="IB2167" s="501"/>
      <c r="IC2167" s="501"/>
      <c r="ID2167" s="501"/>
      <c r="IE2167" s="501"/>
      <c r="IF2167" s="501"/>
      <c r="IG2167" s="501"/>
      <c r="IH2167" s="501"/>
      <c r="II2167" s="501"/>
      <c r="IJ2167" s="501"/>
      <c r="IK2167" s="501"/>
      <c r="IL2167" s="501"/>
      <c r="IM2167" s="501"/>
      <c r="IN2167" s="501"/>
      <c r="IO2167" s="501"/>
      <c r="IP2167" s="501"/>
      <c r="IQ2167" s="501"/>
      <c r="IR2167" s="501"/>
      <c r="IS2167" s="501"/>
      <c r="IT2167" s="501"/>
      <c r="IU2167" s="501"/>
    </row>
    <row r="2168" spans="1:255" s="877" customFormat="1" ht="24" customHeight="1">
      <c r="A2168" s="501"/>
      <c r="B2168" s="501"/>
      <c r="C2168" s="501"/>
      <c r="D2168" s="501"/>
      <c r="E2168" s="501"/>
      <c r="F2168" s="501"/>
      <c r="G2168" s="915"/>
      <c r="H2168" s="501"/>
      <c r="I2168" s="874"/>
      <c r="J2168" s="545"/>
      <c r="K2168" s="501"/>
      <c r="L2168" s="874"/>
      <c r="M2168" s="554"/>
      <c r="N2168" s="501"/>
      <c r="O2168" s="501"/>
      <c r="P2168" s="501"/>
      <c r="Q2168" s="501"/>
      <c r="R2168" s="501"/>
      <c r="S2168" s="501"/>
      <c r="T2168" s="501"/>
      <c r="V2168" s="501"/>
      <c r="W2168" s="501"/>
      <c r="X2168" s="501"/>
      <c r="Y2168" s="501"/>
      <c r="Z2168" s="501"/>
      <c r="AA2168" s="501"/>
      <c r="AB2168" s="501"/>
      <c r="AC2168" s="501"/>
      <c r="AD2168" s="501"/>
      <c r="AE2168" s="501"/>
      <c r="AF2168" s="501"/>
      <c r="AG2168" s="501"/>
      <c r="AH2168" s="501"/>
      <c r="AI2168" s="501"/>
      <c r="AJ2168" s="501"/>
      <c r="AK2168" s="501"/>
      <c r="AL2168" s="501"/>
      <c r="AM2168" s="501"/>
      <c r="AN2168" s="501"/>
      <c r="AO2168" s="501"/>
      <c r="AP2168" s="501"/>
      <c r="AQ2168" s="501"/>
      <c r="AR2168" s="501"/>
      <c r="AS2168" s="501"/>
      <c r="AT2168" s="501"/>
      <c r="AU2168" s="501"/>
      <c r="AV2168" s="501"/>
      <c r="AW2168" s="501"/>
      <c r="AX2168" s="501"/>
      <c r="AY2168" s="501"/>
      <c r="AZ2168" s="501"/>
      <c r="BA2168" s="501"/>
      <c r="BB2168" s="501"/>
      <c r="BC2168" s="501"/>
      <c r="BD2168" s="501"/>
      <c r="BE2168" s="501"/>
      <c r="BF2168" s="501"/>
      <c r="BG2168" s="501"/>
      <c r="BH2168" s="501"/>
      <c r="BI2168" s="501"/>
      <c r="BJ2168" s="501"/>
      <c r="BK2168" s="501"/>
      <c r="BL2168" s="501"/>
      <c r="BM2168" s="501"/>
      <c r="BN2168" s="501"/>
      <c r="BO2168" s="501"/>
      <c r="BP2168" s="501"/>
      <c r="BQ2168" s="501"/>
      <c r="BR2168" s="501"/>
      <c r="BS2168" s="501"/>
      <c r="BT2168" s="501"/>
      <c r="BU2168" s="501"/>
      <c r="BV2168" s="501"/>
      <c r="BW2168" s="501"/>
      <c r="BX2168" s="501"/>
      <c r="BY2168" s="501"/>
      <c r="BZ2168" s="501"/>
      <c r="CA2168" s="501"/>
      <c r="CB2168" s="501"/>
      <c r="CC2168" s="501"/>
      <c r="CD2168" s="501"/>
      <c r="CE2168" s="501"/>
      <c r="CF2168" s="501"/>
      <c r="CG2168" s="501"/>
      <c r="CH2168" s="501"/>
      <c r="CI2168" s="501"/>
      <c r="CJ2168" s="501"/>
      <c r="CK2168" s="501"/>
      <c r="CL2168" s="501"/>
      <c r="CM2168" s="501"/>
      <c r="CN2168" s="501"/>
      <c r="CO2168" s="501"/>
      <c r="CP2168" s="501"/>
      <c r="CQ2168" s="501"/>
      <c r="CR2168" s="501"/>
      <c r="CS2168" s="501"/>
      <c r="CT2168" s="501"/>
      <c r="CU2168" s="501"/>
      <c r="CV2168" s="501"/>
      <c r="CW2168" s="501"/>
      <c r="CX2168" s="501"/>
      <c r="CY2168" s="501"/>
      <c r="CZ2168" s="501"/>
      <c r="DA2168" s="501"/>
      <c r="DB2168" s="501"/>
      <c r="DC2168" s="501"/>
      <c r="DD2168" s="501"/>
      <c r="DE2168" s="501"/>
      <c r="DF2168" s="501"/>
      <c r="DG2168" s="501"/>
      <c r="DH2168" s="501"/>
      <c r="DI2168" s="501"/>
      <c r="DJ2168" s="501"/>
      <c r="DK2168" s="501"/>
      <c r="DL2168" s="501"/>
      <c r="DM2168" s="501"/>
      <c r="DN2168" s="501"/>
      <c r="DO2168" s="501"/>
      <c r="DP2168" s="501"/>
      <c r="DQ2168" s="501"/>
      <c r="DR2168" s="501"/>
      <c r="DS2168" s="501"/>
      <c r="DT2168" s="501"/>
      <c r="DU2168" s="501"/>
      <c r="DV2168" s="501"/>
      <c r="DW2168" s="501"/>
      <c r="DX2168" s="501"/>
      <c r="DY2168" s="501"/>
      <c r="DZ2168" s="501"/>
      <c r="EA2168" s="501"/>
      <c r="EB2168" s="501"/>
      <c r="EC2168" s="501"/>
      <c r="ED2168" s="501"/>
      <c r="EE2168" s="501"/>
      <c r="EF2168" s="501"/>
      <c r="EG2168" s="501"/>
      <c r="EH2168" s="501"/>
      <c r="EI2168" s="501"/>
      <c r="EJ2168" s="501"/>
      <c r="EK2168" s="501"/>
      <c r="EL2168" s="501"/>
      <c r="EM2168" s="501"/>
      <c r="EN2168" s="501"/>
      <c r="EO2168" s="501"/>
      <c r="EP2168" s="501"/>
      <c r="EQ2168" s="501"/>
      <c r="ER2168" s="501"/>
      <c r="ES2168" s="501"/>
      <c r="ET2168" s="501"/>
      <c r="EU2168" s="501"/>
      <c r="EV2168" s="501"/>
      <c r="EW2168" s="501"/>
      <c r="EX2168" s="501"/>
      <c r="EY2168" s="501"/>
      <c r="EZ2168" s="501"/>
      <c r="FA2168" s="501"/>
      <c r="FB2168" s="501"/>
      <c r="FC2168" s="501"/>
      <c r="FD2168" s="501"/>
      <c r="FE2168" s="501"/>
      <c r="FF2168" s="501"/>
      <c r="FG2168" s="501"/>
      <c r="FH2168" s="501"/>
      <c r="FI2168" s="501"/>
      <c r="FJ2168" s="501"/>
      <c r="FK2168" s="501"/>
      <c r="FL2168" s="501"/>
      <c r="FM2168" s="501"/>
      <c r="FN2168" s="501"/>
      <c r="FO2168" s="501"/>
      <c r="FP2168" s="501"/>
      <c r="FQ2168" s="501"/>
      <c r="FR2168" s="501"/>
      <c r="FS2168" s="501"/>
      <c r="FT2168" s="501"/>
      <c r="FU2168" s="501"/>
      <c r="FV2168" s="501"/>
      <c r="FW2168" s="501"/>
      <c r="FX2168" s="501"/>
      <c r="FY2168" s="501"/>
      <c r="FZ2168" s="501"/>
      <c r="GA2168" s="501"/>
      <c r="GB2168" s="501"/>
      <c r="GC2168" s="501"/>
      <c r="GD2168" s="501"/>
      <c r="GE2168" s="501"/>
      <c r="GF2168" s="501"/>
      <c r="GG2168" s="501"/>
      <c r="GH2168" s="501"/>
      <c r="GI2168" s="501"/>
      <c r="GJ2168" s="501"/>
      <c r="GK2168" s="501"/>
      <c r="GL2168" s="501"/>
      <c r="GM2168" s="501"/>
      <c r="GN2168" s="501"/>
      <c r="GO2168" s="501"/>
      <c r="GP2168" s="501"/>
      <c r="GQ2168" s="501"/>
      <c r="GR2168" s="501"/>
      <c r="GS2168" s="501"/>
      <c r="GT2168" s="501"/>
      <c r="GU2168" s="501"/>
      <c r="GV2168" s="501"/>
      <c r="GW2168" s="501"/>
      <c r="GX2168" s="501"/>
      <c r="GY2168" s="501"/>
      <c r="GZ2168" s="501"/>
      <c r="HA2168" s="501"/>
      <c r="HB2168" s="501"/>
      <c r="HC2168" s="501"/>
      <c r="HD2168" s="501"/>
      <c r="HE2168" s="501"/>
      <c r="HF2168" s="501"/>
      <c r="HG2168" s="501"/>
      <c r="HH2168" s="501"/>
      <c r="HI2168" s="501"/>
      <c r="HJ2168" s="501"/>
      <c r="HK2168" s="501"/>
      <c r="HL2168" s="501"/>
      <c r="HM2168" s="501"/>
      <c r="HN2168" s="501"/>
      <c r="HO2168" s="501"/>
      <c r="HP2168" s="501"/>
      <c r="HQ2168" s="501"/>
      <c r="HR2168" s="501"/>
      <c r="HS2168" s="501"/>
      <c r="HT2168" s="501"/>
      <c r="HU2168" s="501"/>
      <c r="HV2168" s="501"/>
      <c r="HW2168" s="501"/>
      <c r="HX2168" s="501"/>
      <c r="HY2168" s="501"/>
      <c r="HZ2168" s="501"/>
      <c r="IA2168" s="501"/>
      <c r="IB2168" s="501"/>
      <c r="IC2168" s="501"/>
      <c r="ID2168" s="501"/>
      <c r="IE2168" s="501"/>
      <c r="IF2168" s="501"/>
      <c r="IG2168" s="501"/>
      <c r="IH2168" s="501"/>
      <c r="II2168" s="501"/>
      <c r="IJ2168" s="501"/>
      <c r="IK2168" s="501"/>
      <c r="IL2168" s="501"/>
      <c r="IM2168" s="501"/>
      <c r="IN2168" s="501"/>
      <c r="IO2168" s="501"/>
      <c r="IP2168" s="501"/>
      <c r="IQ2168" s="501"/>
      <c r="IR2168" s="501"/>
      <c r="IS2168" s="501"/>
      <c r="IT2168" s="501"/>
      <c r="IU2168" s="501"/>
    </row>
    <row r="2169" spans="1:255" s="877" customFormat="1" ht="24" customHeight="1">
      <c r="A2169" s="501"/>
      <c r="B2169" s="501"/>
      <c r="C2169" s="501"/>
      <c r="D2169" s="501"/>
      <c r="E2169" s="501"/>
      <c r="F2169" s="501"/>
      <c r="G2169" s="915"/>
      <c r="H2169" s="501"/>
      <c r="I2169" s="874"/>
      <c r="J2169" s="881"/>
      <c r="K2169" s="501"/>
      <c r="L2169" s="874"/>
      <c r="M2169" s="554"/>
      <c r="N2169" s="501"/>
      <c r="O2169" s="501"/>
      <c r="P2169" s="501"/>
      <c r="Q2169" s="501"/>
      <c r="R2169" s="501"/>
      <c r="S2169" s="501"/>
      <c r="T2169" s="501"/>
      <c r="V2169" s="501"/>
      <c r="W2169" s="501"/>
      <c r="X2169" s="501"/>
      <c r="Y2169" s="501"/>
      <c r="Z2169" s="501"/>
      <c r="AA2169" s="501"/>
      <c r="AB2169" s="501"/>
      <c r="AC2169" s="501"/>
      <c r="AD2169" s="501"/>
      <c r="AE2169" s="501"/>
      <c r="AF2169" s="501"/>
      <c r="AG2169" s="501"/>
      <c r="AH2169" s="501"/>
      <c r="AI2169" s="501"/>
      <c r="AJ2169" s="501"/>
      <c r="AK2169" s="501"/>
      <c r="AL2169" s="501"/>
      <c r="AM2169" s="501"/>
      <c r="AN2169" s="501"/>
      <c r="AO2169" s="501"/>
      <c r="AP2169" s="501"/>
      <c r="AQ2169" s="501"/>
      <c r="AR2169" s="501"/>
      <c r="AS2169" s="501"/>
      <c r="AT2169" s="501"/>
      <c r="AU2169" s="501"/>
      <c r="AV2169" s="501"/>
      <c r="AW2169" s="501"/>
      <c r="AX2169" s="501"/>
      <c r="AY2169" s="501"/>
      <c r="AZ2169" s="501"/>
      <c r="BA2169" s="501"/>
      <c r="BB2169" s="501"/>
      <c r="BC2169" s="501"/>
      <c r="BD2169" s="501"/>
      <c r="BE2169" s="501"/>
      <c r="BF2169" s="501"/>
      <c r="BG2169" s="501"/>
      <c r="BH2169" s="501"/>
      <c r="BI2169" s="501"/>
      <c r="BJ2169" s="501"/>
      <c r="BK2169" s="501"/>
      <c r="BL2169" s="501"/>
      <c r="BM2169" s="501"/>
      <c r="BN2169" s="501"/>
      <c r="BO2169" s="501"/>
      <c r="BP2169" s="501"/>
      <c r="BQ2169" s="501"/>
      <c r="BR2169" s="501"/>
      <c r="BS2169" s="501"/>
      <c r="BT2169" s="501"/>
      <c r="BU2169" s="501"/>
      <c r="BV2169" s="501"/>
      <c r="BW2169" s="501"/>
      <c r="BX2169" s="501"/>
      <c r="BY2169" s="501"/>
      <c r="BZ2169" s="501"/>
      <c r="CA2169" s="501"/>
      <c r="CB2169" s="501"/>
      <c r="CC2169" s="501"/>
      <c r="CD2169" s="501"/>
      <c r="CE2169" s="501"/>
      <c r="CF2169" s="501"/>
      <c r="CG2169" s="501"/>
      <c r="CH2169" s="501"/>
      <c r="CI2169" s="501"/>
      <c r="CJ2169" s="501"/>
      <c r="CK2169" s="501"/>
      <c r="CL2169" s="501"/>
      <c r="CM2169" s="501"/>
      <c r="CN2169" s="501"/>
      <c r="CO2169" s="501"/>
      <c r="CP2169" s="501"/>
      <c r="CQ2169" s="501"/>
      <c r="CR2169" s="501"/>
      <c r="CS2169" s="501"/>
      <c r="CT2169" s="501"/>
      <c r="CU2169" s="501"/>
      <c r="CV2169" s="501"/>
      <c r="CW2169" s="501"/>
      <c r="CX2169" s="501"/>
      <c r="CY2169" s="501"/>
      <c r="CZ2169" s="501"/>
      <c r="DA2169" s="501"/>
      <c r="DB2169" s="501"/>
      <c r="DC2169" s="501"/>
      <c r="DD2169" s="501"/>
      <c r="DE2169" s="501"/>
      <c r="DF2169" s="501"/>
      <c r="DG2169" s="501"/>
      <c r="DH2169" s="501"/>
      <c r="DI2169" s="501"/>
      <c r="DJ2169" s="501"/>
      <c r="DK2169" s="501"/>
      <c r="DL2169" s="501"/>
      <c r="DM2169" s="501"/>
      <c r="DN2169" s="501"/>
      <c r="DO2169" s="501"/>
      <c r="DP2169" s="501"/>
      <c r="DQ2169" s="501"/>
      <c r="DR2169" s="501"/>
      <c r="DS2169" s="501"/>
      <c r="DT2169" s="501"/>
      <c r="DU2169" s="501"/>
      <c r="DV2169" s="501"/>
      <c r="DW2169" s="501"/>
      <c r="DX2169" s="501"/>
      <c r="DY2169" s="501"/>
      <c r="DZ2169" s="501"/>
      <c r="EA2169" s="501"/>
      <c r="EB2169" s="501"/>
      <c r="EC2169" s="501"/>
      <c r="ED2169" s="501"/>
      <c r="EE2169" s="501"/>
      <c r="EF2169" s="501"/>
      <c r="EG2169" s="501"/>
      <c r="EH2169" s="501"/>
      <c r="EI2169" s="501"/>
      <c r="EJ2169" s="501"/>
      <c r="EK2169" s="501"/>
      <c r="EL2169" s="501"/>
      <c r="EM2169" s="501"/>
      <c r="EN2169" s="501"/>
      <c r="EO2169" s="501"/>
      <c r="EP2169" s="501"/>
      <c r="EQ2169" s="501"/>
      <c r="ER2169" s="501"/>
      <c r="ES2169" s="501"/>
      <c r="ET2169" s="501"/>
      <c r="EU2169" s="501"/>
      <c r="EV2169" s="501"/>
      <c r="EW2169" s="501"/>
      <c r="EX2169" s="501"/>
      <c r="EY2169" s="501"/>
      <c r="EZ2169" s="501"/>
      <c r="FA2169" s="501"/>
      <c r="FB2169" s="501"/>
      <c r="FC2169" s="501"/>
      <c r="FD2169" s="501"/>
      <c r="FE2169" s="501"/>
      <c r="FF2169" s="501"/>
      <c r="FG2169" s="501"/>
      <c r="FH2169" s="501"/>
      <c r="FI2169" s="501"/>
      <c r="FJ2169" s="501"/>
      <c r="FK2169" s="501"/>
      <c r="FL2169" s="501"/>
      <c r="FM2169" s="501"/>
      <c r="FN2169" s="501"/>
      <c r="FO2169" s="501"/>
      <c r="FP2169" s="501"/>
      <c r="FQ2169" s="501"/>
      <c r="FR2169" s="501"/>
      <c r="FS2169" s="501"/>
      <c r="FT2169" s="501"/>
      <c r="FU2169" s="501"/>
      <c r="FV2169" s="501"/>
      <c r="FW2169" s="501"/>
      <c r="FX2169" s="501"/>
      <c r="FY2169" s="501"/>
      <c r="FZ2169" s="501"/>
      <c r="GA2169" s="501"/>
      <c r="GB2169" s="501"/>
      <c r="GC2169" s="501"/>
      <c r="GD2169" s="501"/>
      <c r="GE2169" s="501"/>
      <c r="GF2169" s="501"/>
      <c r="GG2169" s="501"/>
      <c r="GH2169" s="501"/>
      <c r="GI2169" s="501"/>
      <c r="GJ2169" s="501"/>
      <c r="GK2169" s="501"/>
      <c r="GL2169" s="501"/>
      <c r="GM2169" s="501"/>
      <c r="GN2169" s="501"/>
      <c r="GO2169" s="501"/>
      <c r="GP2169" s="501"/>
      <c r="GQ2169" s="501"/>
      <c r="GR2169" s="501"/>
      <c r="GS2169" s="501"/>
      <c r="GT2169" s="501"/>
      <c r="GU2169" s="501"/>
      <c r="GV2169" s="501"/>
      <c r="GW2169" s="501"/>
      <c r="GX2169" s="501"/>
      <c r="GY2169" s="501"/>
      <c r="GZ2169" s="501"/>
      <c r="HA2169" s="501"/>
      <c r="HB2169" s="501"/>
      <c r="HC2169" s="501"/>
      <c r="HD2169" s="501"/>
      <c r="HE2169" s="501"/>
      <c r="HF2169" s="501"/>
      <c r="HG2169" s="501"/>
      <c r="HH2169" s="501"/>
      <c r="HI2169" s="501"/>
      <c r="HJ2169" s="501"/>
      <c r="HK2169" s="501"/>
      <c r="HL2169" s="501"/>
      <c r="HM2169" s="501"/>
      <c r="HN2169" s="501"/>
      <c r="HO2169" s="501"/>
      <c r="HP2169" s="501"/>
      <c r="HQ2169" s="501"/>
      <c r="HR2169" s="501"/>
      <c r="HS2169" s="501"/>
      <c r="HT2169" s="501"/>
      <c r="HU2169" s="501"/>
      <c r="HV2169" s="501"/>
      <c r="HW2169" s="501"/>
      <c r="HX2169" s="501"/>
      <c r="HY2169" s="501"/>
      <c r="HZ2169" s="501"/>
      <c r="IA2169" s="501"/>
      <c r="IB2169" s="501"/>
      <c r="IC2169" s="501"/>
      <c r="ID2169" s="501"/>
      <c r="IE2169" s="501"/>
      <c r="IF2169" s="501"/>
      <c r="IG2169" s="501"/>
      <c r="IH2169" s="501"/>
      <c r="II2169" s="501"/>
      <c r="IJ2169" s="501"/>
      <c r="IK2169" s="501"/>
      <c r="IL2169" s="501"/>
      <c r="IM2169" s="501"/>
      <c r="IN2169" s="501"/>
      <c r="IO2169" s="501"/>
      <c r="IP2169" s="501"/>
      <c r="IQ2169" s="501"/>
      <c r="IR2169" s="501"/>
      <c r="IS2169" s="501"/>
      <c r="IT2169" s="501"/>
      <c r="IU2169" s="501"/>
    </row>
    <row r="2170" spans="1:255" ht="24" customHeight="1">
      <c r="F2170" s="545"/>
      <c r="G2170" s="889"/>
      <c r="H2170" s="545"/>
      <c r="I2170" s="876"/>
      <c r="J2170" s="876"/>
      <c r="K2170" s="545"/>
      <c r="L2170" s="876"/>
      <c r="M2170" s="882"/>
    </row>
    <row r="2171" spans="1:255" ht="24" customHeight="1">
      <c r="F2171" s="545"/>
      <c r="G2171" s="889"/>
      <c r="H2171" s="545"/>
      <c r="I2171" s="876"/>
      <c r="J2171" s="876"/>
      <c r="K2171" s="545"/>
      <c r="L2171" s="876"/>
      <c r="M2171" s="882"/>
    </row>
    <row r="2172" spans="1:255" ht="24" customHeight="1">
      <c r="F2172" s="545"/>
      <c r="G2172" s="889"/>
      <c r="H2172" s="545"/>
      <c r="I2172" s="876"/>
      <c r="J2172" s="876"/>
      <c r="K2172" s="545"/>
      <c r="L2172" s="876"/>
      <c r="M2172" s="882"/>
    </row>
    <row r="2173" spans="1:255" ht="24" customHeight="1">
      <c r="J2173" s="876"/>
      <c r="M2173" s="882"/>
    </row>
    <row r="2174" spans="1:255" ht="24" customHeight="1">
      <c r="J2174" s="876"/>
      <c r="M2174" s="882"/>
    </row>
    <row r="2175" spans="1:255" ht="24" customHeight="1">
      <c r="M2175" s="882"/>
    </row>
    <row r="2176" spans="1:255" ht="24" customHeight="1">
      <c r="J2176" s="876"/>
      <c r="M2176" s="882"/>
    </row>
    <row r="2177" spans="6:13" ht="24" customHeight="1">
      <c r="M2177" s="882"/>
    </row>
    <row r="2178" spans="6:13" ht="24" customHeight="1">
      <c r="J2178" s="880"/>
      <c r="M2178" s="882"/>
    </row>
    <row r="2179" spans="6:13" ht="24" customHeight="1">
      <c r="M2179" s="882"/>
    </row>
    <row r="2180" spans="6:13" ht="24" customHeight="1">
      <c r="F2180" s="880"/>
      <c r="G2180" s="918"/>
      <c r="H2180" s="880"/>
      <c r="I2180" s="876"/>
      <c r="J2180" s="876"/>
    </row>
    <row r="2181" spans="6:13" ht="24" customHeight="1">
      <c r="J2181" s="876"/>
    </row>
    <row r="2182" spans="6:13" ht="24" customHeight="1">
      <c r="J2182" s="881"/>
    </row>
    <row r="2183" spans="6:13" ht="24" customHeight="1">
      <c r="F2183" s="545"/>
      <c r="G2183" s="889"/>
      <c r="H2183" s="545"/>
      <c r="I2183" s="876"/>
      <c r="J2183" s="876"/>
      <c r="K2183" s="545"/>
      <c r="L2183" s="876"/>
      <c r="M2183" s="882"/>
    </row>
    <row r="2184" spans="6:13" ht="24" customHeight="1">
      <c r="F2184" s="876"/>
      <c r="G2184" s="916"/>
      <c r="H2184" s="876"/>
      <c r="J2184" s="876"/>
    </row>
    <row r="2185" spans="6:13" ht="24" customHeight="1">
      <c r="F2185" s="876"/>
      <c r="G2185" s="916"/>
      <c r="H2185" s="876"/>
      <c r="J2185" s="876"/>
      <c r="K2185" s="880"/>
      <c r="M2185" s="882"/>
    </row>
    <row r="2186" spans="6:13" ht="24" customHeight="1">
      <c r="M2186" s="882"/>
    </row>
    <row r="2187" spans="6:13" ht="24" customHeight="1">
      <c r="J2187" s="876"/>
      <c r="M2187" s="882"/>
    </row>
    <row r="2188" spans="6:13" ht="24" customHeight="1">
      <c r="F2188" s="880"/>
      <c r="G2188" s="918"/>
      <c r="H2188" s="880"/>
      <c r="I2188" s="876"/>
      <c r="J2188" s="876"/>
      <c r="M2188" s="882"/>
    </row>
    <row r="2189" spans="6:13" ht="24" customHeight="1">
      <c r="J2189" s="876"/>
      <c r="M2189" s="882"/>
    </row>
    <row r="2190" spans="6:13" ht="24" customHeight="1">
      <c r="J2190" s="881"/>
      <c r="M2190" s="882"/>
    </row>
    <row r="2191" spans="6:13" ht="24" customHeight="1">
      <c r="J2191" s="876"/>
      <c r="M2191" s="882"/>
    </row>
    <row r="2192" spans="6:13" ht="24" customHeight="1">
      <c r="J2192" s="876"/>
      <c r="K2192" s="880"/>
      <c r="M2192" s="882"/>
    </row>
    <row r="2193" spans="6:13" ht="24" customHeight="1">
      <c r="F2193" s="880"/>
      <c r="G2193" s="918"/>
      <c r="H2193" s="880"/>
      <c r="I2193" s="876"/>
      <c r="J2193" s="875"/>
      <c r="M2193" s="882"/>
    </row>
    <row r="2194" spans="6:13" ht="24" customHeight="1">
      <c r="J2194" s="875"/>
      <c r="M2194" s="882"/>
    </row>
    <row r="2195" spans="6:13" ht="24" customHeight="1">
      <c r="J2195" s="881"/>
      <c r="M2195" s="882"/>
    </row>
    <row r="2196" spans="6:13" ht="24" customHeight="1">
      <c r="F2196" s="545"/>
      <c r="G2196" s="889"/>
      <c r="H2196" s="545"/>
      <c r="I2196" s="876"/>
      <c r="J2196" s="876"/>
      <c r="K2196" s="545"/>
      <c r="L2196" s="876"/>
      <c r="M2196" s="882"/>
    </row>
    <row r="2197" spans="6:13" ht="24" customHeight="1">
      <c r="F2197" s="876"/>
      <c r="G2197" s="916"/>
      <c r="H2197" s="876"/>
      <c r="J2197" s="876"/>
    </row>
    <row r="2198" spans="6:13" ht="24" customHeight="1">
      <c r="F2198" s="876"/>
      <c r="G2198" s="916"/>
      <c r="H2198" s="876"/>
      <c r="J2198" s="876"/>
      <c r="K2198" s="880"/>
      <c r="M2198" s="882"/>
    </row>
    <row r="2199" spans="6:13" ht="24" customHeight="1">
      <c r="M2199" s="882"/>
    </row>
    <row r="2200" spans="6:13" ht="24" customHeight="1">
      <c r="J2200" s="876"/>
      <c r="M2200" s="882"/>
    </row>
    <row r="2201" spans="6:13" ht="24" customHeight="1">
      <c r="M2201" s="882"/>
    </row>
    <row r="2203" spans="6:13" ht="24" customHeight="1">
      <c r="F2203" s="880"/>
      <c r="G2203" s="918"/>
      <c r="H2203" s="880"/>
      <c r="I2203" s="876"/>
      <c r="J2203" s="875"/>
    </row>
    <row r="2204" spans="6:13" ht="24" customHeight="1">
      <c r="J2204" s="875"/>
    </row>
    <row r="2205" spans="6:13" ht="24" customHeight="1">
      <c r="J2205" s="881"/>
    </row>
    <row r="2206" spans="6:13" ht="24" customHeight="1">
      <c r="F2206" s="545"/>
      <c r="G2206" s="889"/>
      <c r="H2206" s="545"/>
      <c r="I2206" s="876"/>
      <c r="J2206" s="876"/>
      <c r="K2206" s="545"/>
      <c r="L2206" s="876"/>
      <c r="M2206" s="882"/>
    </row>
    <row r="2207" spans="6:13" ht="24" customHeight="1">
      <c r="F2207" s="876"/>
      <c r="G2207" s="916"/>
      <c r="H2207" s="876"/>
      <c r="J2207" s="876"/>
    </row>
    <row r="2208" spans="6:13" ht="24" customHeight="1">
      <c r="F2208" s="876"/>
      <c r="G2208" s="916"/>
      <c r="H2208" s="876"/>
      <c r="J2208" s="876"/>
      <c r="K2208" s="880"/>
      <c r="M2208" s="882"/>
    </row>
    <row r="2209" spans="6:13" ht="24" customHeight="1">
      <c r="M2209" s="882"/>
    </row>
    <row r="2210" spans="6:13" ht="24" customHeight="1">
      <c r="J2210" s="875"/>
      <c r="M2210" s="882"/>
    </row>
    <row r="2211" spans="6:13" ht="24" customHeight="1">
      <c r="M2211" s="882"/>
    </row>
    <row r="2212" spans="6:13" ht="24" customHeight="1">
      <c r="F2212" s="880"/>
      <c r="G2212" s="918"/>
      <c r="H2212" s="880"/>
      <c r="J2212" s="875"/>
    </row>
    <row r="2213" spans="6:13" ht="24" customHeight="1">
      <c r="J2213" s="875"/>
    </row>
    <row r="2214" spans="6:13" ht="24" customHeight="1">
      <c r="J2214" s="881"/>
    </row>
    <row r="2215" spans="6:13" ht="24" customHeight="1">
      <c r="F2215" s="545"/>
      <c r="G2215" s="889"/>
      <c r="H2215" s="545"/>
      <c r="I2215" s="876"/>
      <c r="J2215" s="876"/>
      <c r="K2215" s="545"/>
      <c r="L2215" s="876"/>
      <c r="M2215" s="1033"/>
    </row>
    <row r="2216" spans="6:13" ht="24" customHeight="1">
      <c r="J2216" s="876"/>
      <c r="L2216" s="876"/>
      <c r="M2216" s="1034"/>
    </row>
    <row r="2217" spans="6:13" ht="24" customHeight="1">
      <c r="I2217" s="876"/>
      <c r="J2217" s="876"/>
      <c r="L2217" s="876"/>
      <c r="M2217" s="1031"/>
    </row>
    <row r="2218" spans="6:13" ht="24" customHeight="1">
      <c r="M2218" s="882"/>
    </row>
    <row r="2219" spans="6:13" ht="24" customHeight="1">
      <c r="J2219" s="872"/>
      <c r="M2219" s="883"/>
    </row>
    <row r="2220" spans="6:13" ht="24" customHeight="1">
      <c r="M2220" s="882"/>
    </row>
    <row r="2222" spans="6:13" ht="24" customHeight="1">
      <c r="F2222" s="880"/>
      <c r="G2222" s="918"/>
      <c r="H2222" s="880"/>
      <c r="I2222" s="876"/>
      <c r="J2222" s="876"/>
    </row>
    <row r="2223" spans="6:13" ht="24" customHeight="1">
      <c r="J2223" s="876"/>
    </row>
    <row r="2224" spans="6:13" ht="24" customHeight="1">
      <c r="J2224" s="876"/>
    </row>
    <row r="2225" spans="6:13" ht="24" customHeight="1">
      <c r="J2225" s="876"/>
    </row>
    <row r="2226" spans="6:13" ht="24" customHeight="1">
      <c r="J2226" s="876"/>
    </row>
    <row r="2227" spans="6:13" ht="24" customHeight="1">
      <c r="J2227" s="876"/>
    </row>
    <row r="2228" spans="6:13" ht="24" customHeight="1">
      <c r="J2228" s="876"/>
    </row>
    <row r="2229" spans="6:13" ht="24" customHeight="1">
      <c r="J2229" s="876"/>
    </row>
    <row r="2230" spans="6:13" ht="24" customHeight="1">
      <c r="J2230" s="876"/>
    </row>
    <row r="2231" spans="6:13" ht="24" customHeight="1">
      <c r="J2231" s="876"/>
    </row>
    <row r="2232" spans="6:13" ht="24" customHeight="1">
      <c r="J2232" s="876"/>
    </row>
    <row r="2233" spans="6:13" ht="24" customHeight="1">
      <c r="J2233" s="876"/>
    </row>
    <row r="2234" spans="6:13" ht="24" customHeight="1">
      <c r="J2234" s="881"/>
      <c r="K2234" s="881"/>
    </row>
    <row r="2235" spans="6:13" ht="24" customHeight="1">
      <c r="F2235" s="876"/>
      <c r="G2235" s="916"/>
      <c r="H2235" s="876"/>
    </row>
    <row r="2236" spans="6:13" ht="24" customHeight="1">
      <c r="F2236" s="922"/>
      <c r="G2236" s="923"/>
      <c r="H2236" s="922"/>
      <c r="I2236" s="876"/>
      <c r="J2236" s="876"/>
      <c r="K2236" s="545"/>
      <c r="L2236" s="876"/>
      <c r="M2236" s="882"/>
    </row>
    <row r="2237" spans="6:13" ht="24" customHeight="1">
      <c r="F2237" s="922"/>
      <c r="G2237" s="923"/>
      <c r="H2237" s="922"/>
      <c r="I2237" s="876"/>
      <c r="J2237" s="876"/>
      <c r="K2237" s="545"/>
      <c r="L2237" s="876"/>
      <c r="M2237" s="882"/>
    </row>
    <row r="2238" spans="6:13" ht="24" customHeight="1">
      <c r="F2238" s="922"/>
      <c r="G2238" s="923"/>
      <c r="H2238" s="922"/>
      <c r="I2238" s="876"/>
      <c r="J2238" s="876"/>
      <c r="K2238" s="545"/>
      <c r="L2238" s="876"/>
      <c r="M2238" s="882"/>
    </row>
    <row r="2239" spans="6:13" ht="24" customHeight="1">
      <c r="F2239" s="545"/>
      <c r="G2239" s="889"/>
      <c r="H2239" s="545"/>
      <c r="I2239" s="876"/>
      <c r="J2239" s="876"/>
      <c r="K2239" s="545"/>
      <c r="L2239" s="876"/>
      <c r="M2239" s="882"/>
    </row>
    <row r="2240" spans="6:13" ht="24" customHeight="1">
      <c r="F2240" s="545"/>
      <c r="G2240" s="889"/>
      <c r="H2240" s="545"/>
      <c r="I2240" s="876"/>
      <c r="J2240" s="876"/>
      <c r="K2240" s="545"/>
      <c r="L2240" s="876"/>
      <c r="M2240" s="882"/>
    </row>
    <row r="2241" spans="6:13" ht="24" customHeight="1">
      <c r="F2241" s="545"/>
      <c r="G2241" s="889"/>
      <c r="H2241" s="545"/>
      <c r="I2241" s="876"/>
      <c r="J2241" s="876"/>
      <c r="K2241" s="545"/>
      <c r="L2241" s="876"/>
      <c r="M2241" s="882"/>
    </row>
    <row r="2242" spans="6:13" ht="24" customHeight="1">
      <c r="F2242" s="545"/>
      <c r="G2242" s="889"/>
      <c r="H2242" s="545"/>
      <c r="I2242" s="876"/>
      <c r="J2242" s="876"/>
      <c r="K2242" s="914"/>
      <c r="L2242" s="876"/>
      <c r="M2242" s="882"/>
    </row>
    <row r="2243" spans="6:13" ht="24" customHeight="1">
      <c r="F2243" s="904"/>
      <c r="G2243" s="924"/>
      <c r="H2243" s="904"/>
      <c r="I2243" s="876"/>
      <c r="J2243" s="876"/>
      <c r="K2243" s="545"/>
      <c r="L2243" s="876"/>
      <c r="M2243" s="882"/>
    </row>
    <row r="2244" spans="6:13" ht="24" customHeight="1">
      <c r="I2244" s="876"/>
      <c r="J2244" s="876"/>
      <c r="L2244" s="876"/>
      <c r="M2244" s="882"/>
    </row>
    <row r="2245" spans="6:13" ht="24" customHeight="1">
      <c r="M2245" s="882"/>
    </row>
    <row r="2246" spans="6:13" ht="24" customHeight="1">
      <c r="J2246" s="872"/>
      <c r="M2246" s="883"/>
    </row>
    <row r="2247" spans="6:13" ht="24" customHeight="1">
      <c r="M2247" s="883"/>
    </row>
    <row r="2248" spans="6:13" ht="24" customHeight="1">
      <c r="M2248" s="899"/>
    </row>
    <row r="2249" spans="6:13" ht="24" customHeight="1">
      <c r="J2249" s="872"/>
      <c r="K2249" s="876"/>
      <c r="M2249" s="883"/>
    </row>
    <row r="2250" spans="6:13" ht="24" customHeight="1">
      <c r="F2250" s="876"/>
      <c r="G2250" s="916"/>
      <c r="H2250" s="876"/>
      <c r="I2250" s="876"/>
      <c r="J2250" s="876"/>
      <c r="K2250" s="876"/>
      <c r="L2250" s="876"/>
    </row>
    <row r="2252" spans="6:13" ht="24" customHeight="1">
      <c r="I2252" s="876"/>
      <c r="J2252" s="875"/>
    </row>
    <row r="2253" spans="6:13" ht="24" customHeight="1">
      <c r="J2253" s="876"/>
    </row>
    <row r="2254" spans="6:13" ht="24" customHeight="1">
      <c r="F2254" s="876"/>
      <c r="G2254" s="916"/>
      <c r="H2254" s="876"/>
      <c r="J2254" s="876"/>
    </row>
    <row r="2255" spans="6:13" ht="35.25" customHeight="1">
      <c r="F2255" s="880"/>
      <c r="G2255" s="918"/>
      <c r="H2255" s="880"/>
      <c r="J2255" s="876"/>
      <c r="M2255" s="882"/>
    </row>
    <row r="2256" spans="6:13" ht="24" customHeight="1">
      <c r="F2256" s="880"/>
      <c r="G2256" s="918"/>
      <c r="H2256" s="880"/>
      <c r="J2256" s="880"/>
      <c r="M2256" s="882"/>
    </row>
    <row r="2257" spans="6:13" ht="24" customHeight="1">
      <c r="F2257" s="880"/>
      <c r="G2257" s="918"/>
      <c r="H2257" s="880"/>
      <c r="J2257" s="876"/>
      <c r="M2257" s="882"/>
    </row>
    <row r="2258" spans="6:13" ht="24" customHeight="1">
      <c r="F2258" s="900"/>
      <c r="G2258" s="926"/>
      <c r="H2258" s="900"/>
      <c r="J2258" s="876"/>
      <c r="M2258" s="882"/>
    </row>
    <row r="2259" spans="6:13" ht="24" customHeight="1">
      <c r="F2259" s="900"/>
      <c r="G2259" s="926"/>
      <c r="H2259" s="900"/>
      <c r="J2259" s="876"/>
      <c r="M2259" s="882"/>
    </row>
    <row r="2260" spans="6:13" ht="24" customHeight="1">
      <c r="F2260" s="900"/>
      <c r="G2260" s="926"/>
      <c r="H2260" s="900"/>
      <c r="J2260" s="876"/>
      <c r="M2260" s="882"/>
    </row>
    <row r="2261" spans="6:13" ht="24" customHeight="1">
      <c r="F2261" s="900"/>
      <c r="G2261" s="926"/>
      <c r="H2261" s="900"/>
      <c r="J2261" s="876"/>
      <c r="M2261" s="882"/>
    </row>
    <row r="2262" spans="6:13" ht="24" customHeight="1">
      <c r="F2262" s="900"/>
      <c r="G2262" s="926"/>
      <c r="H2262" s="900"/>
      <c r="J2262" s="876"/>
      <c r="M2262" s="882"/>
    </row>
    <row r="2263" spans="6:13" ht="24" customHeight="1">
      <c r="F2263" s="900"/>
      <c r="G2263" s="926"/>
      <c r="H2263" s="900"/>
      <c r="J2263" s="876"/>
      <c r="M2263" s="882"/>
    </row>
    <row r="2264" spans="6:13" ht="24" customHeight="1">
      <c r="F2264" s="900"/>
      <c r="G2264" s="926"/>
      <c r="H2264" s="900"/>
      <c r="J2264" s="876"/>
      <c r="L2264" s="878"/>
      <c r="M2264" s="882"/>
    </row>
    <row r="2265" spans="6:13" ht="24" customHeight="1">
      <c r="F2265" s="900"/>
      <c r="G2265" s="926"/>
      <c r="H2265" s="900"/>
      <c r="J2265" s="876"/>
      <c r="M2265" s="882"/>
    </row>
    <row r="2266" spans="6:13" ht="24" customHeight="1">
      <c r="F2266" s="900"/>
      <c r="G2266" s="926"/>
      <c r="H2266" s="900"/>
      <c r="J2266" s="876"/>
      <c r="M2266" s="1031"/>
    </row>
    <row r="2267" spans="6:13" ht="24" customHeight="1">
      <c r="F2267" s="900"/>
      <c r="G2267" s="926"/>
      <c r="H2267" s="900"/>
      <c r="J2267" s="876"/>
      <c r="M2267" s="882"/>
    </row>
    <row r="2268" spans="6:13" ht="24" customHeight="1">
      <c r="F2268" s="900"/>
      <c r="G2268" s="926"/>
      <c r="H2268" s="900"/>
      <c r="J2268" s="876"/>
      <c r="M2268" s="1031"/>
    </row>
    <row r="2269" spans="6:13" ht="24" customHeight="1">
      <c r="F2269" s="900"/>
      <c r="G2269" s="926"/>
      <c r="H2269" s="900"/>
      <c r="J2269" s="876"/>
      <c r="M2269" s="882"/>
    </row>
    <row r="2270" spans="6:13" ht="24" customHeight="1">
      <c r="F2270" s="900"/>
      <c r="G2270" s="926"/>
      <c r="H2270" s="900"/>
      <c r="J2270" s="876"/>
      <c r="M2270" s="882"/>
    </row>
    <row r="2271" spans="6:13" ht="24" customHeight="1">
      <c r="F2271" s="900"/>
      <c r="G2271" s="926"/>
      <c r="H2271" s="900"/>
      <c r="J2271" s="876"/>
      <c r="M2271" s="882"/>
    </row>
    <row r="2272" spans="6:13" ht="24" customHeight="1">
      <c r="F2272" s="900"/>
      <c r="G2272" s="926"/>
      <c r="H2272" s="900"/>
      <c r="J2272" s="876"/>
      <c r="M2272" s="882"/>
    </row>
    <row r="2273" spans="6:13" ht="24" customHeight="1">
      <c r="F2273" s="900"/>
      <c r="G2273" s="926"/>
      <c r="H2273" s="900"/>
      <c r="J2273" s="876"/>
    </row>
    <row r="2274" spans="6:13" ht="24" customHeight="1">
      <c r="F2274" s="900"/>
      <c r="G2274" s="926"/>
      <c r="H2274" s="900"/>
      <c r="J2274" s="876"/>
      <c r="M2274" s="882"/>
    </row>
    <row r="2275" spans="6:13" ht="34.5" customHeight="1">
      <c r="F2275" s="900"/>
      <c r="G2275" s="926"/>
      <c r="H2275" s="900"/>
      <c r="J2275" s="876"/>
      <c r="M2275" s="882"/>
    </row>
    <row r="2276" spans="6:13" ht="24" customHeight="1">
      <c r="F2276" s="900"/>
      <c r="G2276" s="926"/>
      <c r="H2276" s="900"/>
      <c r="J2276" s="876"/>
      <c r="M2276" s="882"/>
    </row>
    <row r="2277" spans="6:13" ht="24" customHeight="1">
      <c r="F2277" s="1035"/>
      <c r="G2277" s="1036"/>
      <c r="H2277" s="1035"/>
      <c r="J2277" s="908"/>
      <c r="M2277" s="1028"/>
    </row>
    <row r="2278" spans="6:13" ht="24" customHeight="1">
      <c r="F2278" s="920"/>
      <c r="G2278" s="921"/>
      <c r="H2278" s="920"/>
      <c r="J2278" s="876"/>
      <c r="M2278" s="882"/>
    </row>
    <row r="2279" spans="6:13" ht="24" customHeight="1">
      <c r="F2279" s="920"/>
      <c r="G2279" s="921"/>
      <c r="H2279" s="920"/>
      <c r="J2279" s="876"/>
      <c r="M2279" s="882"/>
    </row>
    <row r="2280" spans="6:13" ht="24" customHeight="1">
      <c r="F2280" s="900"/>
      <c r="G2280" s="926"/>
      <c r="H2280" s="900"/>
      <c r="J2280" s="876"/>
      <c r="M2280" s="882"/>
    </row>
    <row r="2281" spans="6:13" ht="24" customHeight="1">
      <c r="F2281" s="900"/>
      <c r="G2281" s="926"/>
      <c r="H2281" s="900"/>
      <c r="J2281" s="876"/>
      <c r="M2281" s="882"/>
    </row>
    <row r="2282" spans="6:13" ht="24" customHeight="1">
      <c r="F2282" s="900"/>
      <c r="G2282" s="926"/>
      <c r="H2282" s="900"/>
      <c r="J2282" s="876"/>
      <c r="M2282" s="882"/>
    </row>
    <row r="2283" spans="6:13" ht="24" customHeight="1">
      <c r="F2283" s="900"/>
      <c r="G2283" s="926"/>
      <c r="H2283" s="900"/>
      <c r="J2283" s="876"/>
      <c r="M2283" s="882"/>
    </row>
    <row r="2284" spans="6:13" ht="24" customHeight="1">
      <c r="F2284" s="900"/>
      <c r="G2284" s="926"/>
      <c r="H2284" s="900"/>
      <c r="J2284" s="876"/>
      <c r="M2284" s="882"/>
    </row>
    <row r="2285" spans="6:13" ht="24" customHeight="1">
      <c r="J2285" s="1037"/>
      <c r="M2285" s="882"/>
    </row>
    <row r="2286" spans="6:13" ht="24" customHeight="1">
      <c r="J2286" s="1038"/>
      <c r="M2286" s="882"/>
    </row>
    <row r="2287" spans="6:13" ht="24" customHeight="1">
      <c r="F2287" s="1039"/>
      <c r="G2287" s="1040"/>
      <c r="H2287" s="1039"/>
      <c r="J2287" s="1041"/>
    </row>
    <row r="2288" spans="6:13" ht="24" customHeight="1">
      <c r="J2288" s="876"/>
    </row>
    <row r="2289" spans="6:13" ht="42.75" customHeight="1">
      <c r="J2289" s="1024"/>
      <c r="K2289" s="933"/>
    </row>
    <row r="2295" spans="6:13" ht="24" customHeight="1">
      <c r="M2295" s="882"/>
    </row>
    <row r="2296" spans="6:13" ht="36.75" customHeight="1">
      <c r="J2296" s="876"/>
      <c r="M2296" s="882"/>
    </row>
    <row r="2297" spans="6:13" ht="24" customHeight="1">
      <c r="M2297" s="882"/>
    </row>
    <row r="2298" spans="6:13" ht="24" customHeight="1">
      <c r="J2298" s="876"/>
      <c r="M2298" s="882"/>
    </row>
    <row r="2299" spans="6:13" ht="24" customHeight="1">
      <c r="M2299" s="882"/>
    </row>
    <row r="2301" spans="6:13" ht="24" customHeight="1">
      <c r="F2301" s="929"/>
      <c r="G2301" s="930"/>
      <c r="H2301" s="929"/>
      <c r="J2301" s="875"/>
    </row>
    <row r="2302" spans="6:13" ht="24" customHeight="1">
      <c r="J2302" s="876"/>
    </row>
    <row r="2306" spans="10:13" ht="51.75" customHeight="1">
      <c r="K2306" s="933"/>
    </row>
    <row r="2307" spans="10:13" ht="36.75" customHeight="1"/>
    <row r="2309" spans="10:13" ht="24" customHeight="1">
      <c r="J2309" s="1042"/>
    </row>
    <row r="2311" spans="10:13" ht="24" customHeight="1">
      <c r="M2311" s="882"/>
    </row>
    <row r="2312" spans="10:13" ht="24" customHeight="1">
      <c r="M2312" s="882"/>
    </row>
    <row r="2313" spans="10:13" ht="27" customHeight="1">
      <c r="M2313" s="882"/>
    </row>
    <row r="2314" spans="10:13" ht="45" customHeight="1">
      <c r="J2314" s="885"/>
    </row>
    <row r="2318" spans="10:13" ht="24" customHeight="1">
      <c r="M2318" s="899"/>
    </row>
    <row r="2320" spans="10:13" ht="24" customHeight="1">
      <c r="J2320" s="885"/>
    </row>
    <row r="2321" spans="1:255" ht="24" customHeight="1">
      <c r="K2321" s="933"/>
    </row>
    <row r="2325" spans="1:255" ht="24" customHeight="1">
      <c r="M2325" s="899"/>
    </row>
    <row r="2327" spans="1:255" ht="24" customHeight="1">
      <c r="J2327" s="885"/>
      <c r="P2327" s="902"/>
      <c r="Q2327" s="885"/>
      <c r="S2327" s="874"/>
    </row>
    <row r="2328" spans="1:255" ht="24" customHeight="1">
      <c r="P2328" s="902"/>
      <c r="Q2328" s="969"/>
      <c r="S2328" s="874"/>
    </row>
    <row r="2329" spans="1:255" ht="24" customHeight="1">
      <c r="P2329" s="902"/>
      <c r="S2329" s="874"/>
    </row>
    <row r="2330" spans="1:255" s="877" customFormat="1" ht="24" customHeight="1">
      <c r="A2330" s="501"/>
      <c r="B2330" s="501"/>
      <c r="C2330" s="501"/>
      <c r="D2330" s="501"/>
      <c r="E2330" s="501"/>
      <c r="F2330" s="501"/>
      <c r="G2330" s="915"/>
      <c r="H2330" s="501"/>
      <c r="I2330" s="874"/>
      <c r="J2330" s="501"/>
      <c r="K2330" s="501"/>
      <c r="L2330" s="874"/>
      <c r="M2330" s="554"/>
      <c r="N2330" s="501"/>
      <c r="O2330" s="501"/>
      <c r="P2330" s="902"/>
      <c r="Q2330" s="501"/>
      <c r="R2330" s="501"/>
      <c r="S2330" s="874"/>
      <c r="T2330" s="501"/>
      <c r="V2330" s="501"/>
      <c r="W2330" s="501"/>
      <c r="X2330" s="501"/>
      <c r="Y2330" s="501"/>
      <c r="Z2330" s="501"/>
      <c r="AA2330" s="501"/>
      <c r="AB2330" s="501"/>
      <c r="AC2330" s="501"/>
      <c r="AD2330" s="501"/>
      <c r="AE2330" s="501"/>
      <c r="AF2330" s="501"/>
      <c r="AG2330" s="501"/>
      <c r="AH2330" s="501"/>
      <c r="AI2330" s="501"/>
      <c r="AJ2330" s="501"/>
      <c r="AK2330" s="501"/>
      <c r="AL2330" s="501"/>
      <c r="AM2330" s="501"/>
      <c r="AN2330" s="501"/>
      <c r="AO2330" s="501"/>
      <c r="AP2330" s="501"/>
      <c r="AQ2330" s="501"/>
      <c r="AR2330" s="501"/>
      <c r="AS2330" s="501"/>
      <c r="AT2330" s="501"/>
      <c r="AU2330" s="501"/>
      <c r="AV2330" s="501"/>
      <c r="AW2330" s="501"/>
      <c r="AX2330" s="501"/>
      <c r="AY2330" s="501"/>
      <c r="AZ2330" s="501"/>
      <c r="BA2330" s="501"/>
      <c r="BB2330" s="501"/>
      <c r="BC2330" s="501"/>
      <c r="BD2330" s="501"/>
      <c r="BE2330" s="501"/>
      <c r="BF2330" s="501"/>
      <c r="BG2330" s="501"/>
      <c r="BH2330" s="501"/>
      <c r="BI2330" s="501"/>
      <c r="BJ2330" s="501"/>
      <c r="BK2330" s="501"/>
      <c r="BL2330" s="501"/>
      <c r="BM2330" s="501"/>
      <c r="BN2330" s="501"/>
      <c r="BO2330" s="501"/>
      <c r="BP2330" s="501"/>
      <c r="BQ2330" s="501"/>
      <c r="BR2330" s="501"/>
      <c r="BS2330" s="501"/>
      <c r="BT2330" s="501"/>
      <c r="BU2330" s="501"/>
      <c r="BV2330" s="501"/>
      <c r="BW2330" s="501"/>
      <c r="BX2330" s="501"/>
      <c r="BY2330" s="501"/>
      <c r="BZ2330" s="501"/>
      <c r="CA2330" s="501"/>
      <c r="CB2330" s="501"/>
      <c r="CC2330" s="501"/>
      <c r="CD2330" s="501"/>
      <c r="CE2330" s="501"/>
      <c r="CF2330" s="501"/>
      <c r="CG2330" s="501"/>
      <c r="CH2330" s="501"/>
      <c r="CI2330" s="501"/>
      <c r="CJ2330" s="501"/>
      <c r="CK2330" s="501"/>
      <c r="CL2330" s="501"/>
      <c r="CM2330" s="501"/>
      <c r="CN2330" s="501"/>
      <c r="CO2330" s="501"/>
      <c r="CP2330" s="501"/>
      <c r="CQ2330" s="501"/>
      <c r="CR2330" s="501"/>
      <c r="CS2330" s="501"/>
      <c r="CT2330" s="501"/>
      <c r="CU2330" s="501"/>
      <c r="CV2330" s="501"/>
      <c r="CW2330" s="501"/>
      <c r="CX2330" s="501"/>
      <c r="CY2330" s="501"/>
      <c r="CZ2330" s="501"/>
      <c r="DA2330" s="501"/>
      <c r="DB2330" s="501"/>
      <c r="DC2330" s="501"/>
      <c r="DD2330" s="501"/>
      <c r="DE2330" s="501"/>
      <c r="DF2330" s="501"/>
      <c r="DG2330" s="501"/>
      <c r="DH2330" s="501"/>
      <c r="DI2330" s="501"/>
      <c r="DJ2330" s="501"/>
      <c r="DK2330" s="501"/>
      <c r="DL2330" s="501"/>
      <c r="DM2330" s="501"/>
      <c r="DN2330" s="501"/>
      <c r="DO2330" s="501"/>
      <c r="DP2330" s="501"/>
      <c r="DQ2330" s="501"/>
      <c r="DR2330" s="501"/>
      <c r="DS2330" s="501"/>
      <c r="DT2330" s="501"/>
      <c r="DU2330" s="501"/>
      <c r="DV2330" s="501"/>
      <c r="DW2330" s="501"/>
      <c r="DX2330" s="501"/>
      <c r="DY2330" s="501"/>
      <c r="DZ2330" s="501"/>
      <c r="EA2330" s="501"/>
      <c r="EB2330" s="501"/>
      <c r="EC2330" s="501"/>
      <c r="ED2330" s="501"/>
      <c r="EE2330" s="501"/>
      <c r="EF2330" s="501"/>
      <c r="EG2330" s="501"/>
      <c r="EH2330" s="501"/>
      <c r="EI2330" s="501"/>
      <c r="EJ2330" s="501"/>
      <c r="EK2330" s="501"/>
      <c r="EL2330" s="501"/>
      <c r="EM2330" s="501"/>
      <c r="EN2330" s="501"/>
      <c r="EO2330" s="501"/>
      <c r="EP2330" s="501"/>
      <c r="EQ2330" s="501"/>
      <c r="ER2330" s="501"/>
      <c r="ES2330" s="501"/>
      <c r="ET2330" s="501"/>
      <c r="EU2330" s="501"/>
      <c r="EV2330" s="501"/>
      <c r="EW2330" s="501"/>
      <c r="EX2330" s="501"/>
      <c r="EY2330" s="501"/>
      <c r="EZ2330" s="501"/>
      <c r="FA2330" s="501"/>
      <c r="FB2330" s="501"/>
      <c r="FC2330" s="501"/>
      <c r="FD2330" s="501"/>
      <c r="FE2330" s="501"/>
      <c r="FF2330" s="501"/>
      <c r="FG2330" s="501"/>
      <c r="FH2330" s="501"/>
      <c r="FI2330" s="501"/>
      <c r="FJ2330" s="501"/>
      <c r="FK2330" s="501"/>
      <c r="FL2330" s="501"/>
      <c r="FM2330" s="501"/>
      <c r="FN2330" s="501"/>
      <c r="FO2330" s="501"/>
      <c r="FP2330" s="501"/>
      <c r="FQ2330" s="501"/>
      <c r="FR2330" s="501"/>
      <c r="FS2330" s="501"/>
      <c r="FT2330" s="501"/>
      <c r="FU2330" s="501"/>
      <c r="FV2330" s="501"/>
      <c r="FW2330" s="501"/>
      <c r="FX2330" s="501"/>
      <c r="FY2330" s="501"/>
      <c r="FZ2330" s="501"/>
      <c r="GA2330" s="501"/>
      <c r="GB2330" s="501"/>
      <c r="GC2330" s="501"/>
      <c r="GD2330" s="501"/>
      <c r="GE2330" s="501"/>
      <c r="GF2330" s="501"/>
      <c r="GG2330" s="501"/>
      <c r="GH2330" s="501"/>
      <c r="GI2330" s="501"/>
      <c r="GJ2330" s="501"/>
      <c r="GK2330" s="501"/>
      <c r="GL2330" s="501"/>
      <c r="GM2330" s="501"/>
      <c r="GN2330" s="501"/>
      <c r="GO2330" s="501"/>
      <c r="GP2330" s="501"/>
      <c r="GQ2330" s="501"/>
      <c r="GR2330" s="501"/>
      <c r="GS2330" s="501"/>
      <c r="GT2330" s="501"/>
      <c r="GU2330" s="501"/>
      <c r="GV2330" s="501"/>
      <c r="GW2330" s="501"/>
      <c r="GX2330" s="501"/>
      <c r="GY2330" s="501"/>
      <c r="GZ2330" s="501"/>
      <c r="HA2330" s="501"/>
      <c r="HB2330" s="501"/>
      <c r="HC2330" s="501"/>
      <c r="HD2330" s="501"/>
      <c r="HE2330" s="501"/>
      <c r="HF2330" s="501"/>
      <c r="HG2330" s="501"/>
      <c r="HH2330" s="501"/>
      <c r="HI2330" s="501"/>
      <c r="HJ2330" s="501"/>
      <c r="HK2330" s="501"/>
      <c r="HL2330" s="501"/>
      <c r="HM2330" s="501"/>
      <c r="HN2330" s="501"/>
      <c r="HO2330" s="501"/>
      <c r="HP2330" s="501"/>
      <c r="HQ2330" s="501"/>
      <c r="HR2330" s="501"/>
      <c r="HS2330" s="501"/>
      <c r="HT2330" s="501"/>
      <c r="HU2330" s="501"/>
      <c r="HV2330" s="501"/>
      <c r="HW2330" s="501"/>
      <c r="HX2330" s="501"/>
      <c r="HY2330" s="501"/>
      <c r="HZ2330" s="501"/>
      <c r="IA2330" s="501"/>
      <c r="IB2330" s="501"/>
      <c r="IC2330" s="501"/>
      <c r="ID2330" s="501"/>
      <c r="IE2330" s="501"/>
      <c r="IF2330" s="501"/>
      <c r="IG2330" s="501"/>
      <c r="IH2330" s="501"/>
      <c r="II2330" s="501"/>
      <c r="IJ2330" s="501"/>
      <c r="IK2330" s="501"/>
      <c r="IL2330" s="501"/>
      <c r="IM2330" s="501"/>
      <c r="IN2330" s="501"/>
      <c r="IO2330" s="501"/>
      <c r="IP2330" s="501"/>
      <c r="IQ2330" s="501"/>
      <c r="IR2330" s="501"/>
      <c r="IS2330" s="501"/>
      <c r="IT2330" s="501"/>
      <c r="IU2330" s="501"/>
    </row>
    <row r="2331" spans="1:255" s="877" customFormat="1" ht="24" customHeight="1">
      <c r="A2331" s="501"/>
      <c r="B2331" s="501"/>
      <c r="C2331" s="501"/>
      <c r="D2331" s="501"/>
      <c r="E2331" s="501"/>
      <c r="F2331" s="501"/>
      <c r="G2331" s="915"/>
      <c r="H2331" s="501"/>
      <c r="I2331" s="874"/>
      <c r="J2331" s="501"/>
      <c r="K2331" s="501"/>
      <c r="L2331" s="874"/>
      <c r="M2331" s="554"/>
      <c r="N2331" s="501"/>
      <c r="O2331" s="501"/>
      <c r="P2331" s="902"/>
      <c r="Q2331" s="501"/>
      <c r="R2331" s="501"/>
      <c r="S2331" s="874"/>
      <c r="T2331" s="501"/>
      <c r="V2331" s="501"/>
      <c r="W2331" s="501"/>
      <c r="X2331" s="501"/>
      <c r="Y2331" s="501"/>
      <c r="Z2331" s="501"/>
      <c r="AA2331" s="501"/>
      <c r="AB2331" s="501"/>
      <c r="AC2331" s="501"/>
      <c r="AD2331" s="501"/>
      <c r="AE2331" s="501"/>
      <c r="AF2331" s="501"/>
      <c r="AG2331" s="501"/>
      <c r="AH2331" s="501"/>
      <c r="AI2331" s="501"/>
      <c r="AJ2331" s="501"/>
      <c r="AK2331" s="501"/>
      <c r="AL2331" s="501"/>
      <c r="AM2331" s="501"/>
      <c r="AN2331" s="501"/>
      <c r="AO2331" s="501"/>
      <c r="AP2331" s="501"/>
      <c r="AQ2331" s="501"/>
      <c r="AR2331" s="501"/>
      <c r="AS2331" s="501"/>
      <c r="AT2331" s="501"/>
      <c r="AU2331" s="501"/>
      <c r="AV2331" s="501"/>
      <c r="AW2331" s="501"/>
      <c r="AX2331" s="501"/>
      <c r="AY2331" s="501"/>
      <c r="AZ2331" s="501"/>
      <c r="BA2331" s="501"/>
      <c r="BB2331" s="501"/>
      <c r="BC2331" s="501"/>
      <c r="BD2331" s="501"/>
      <c r="BE2331" s="501"/>
      <c r="BF2331" s="501"/>
      <c r="BG2331" s="501"/>
      <c r="BH2331" s="501"/>
      <c r="BI2331" s="501"/>
      <c r="BJ2331" s="501"/>
      <c r="BK2331" s="501"/>
      <c r="BL2331" s="501"/>
      <c r="BM2331" s="501"/>
      <c r="BN2331" s="501"/>
      <c r="BO2331" s="501"/>
      <c r="BP2331" s="501"/>
      <c r="BQ2331" s="501"/>
      <c r="BR2331" s="501"/>
      <c r="BS2331" s="501"/>
      <c r="BT2331" s="501"/>
      <c r="BU2331" s="501"/>
      <c r="BV2331" s="501"/>
      <c r="BW2331" s="501"/>
      <c r="BX2331" s="501"/>
      <c r="BY2331" s="501"/>
      <c r="BZ2331" s="501"/>
      <c r="CA2331" s="501"/>
      <c r="CB2331" s="501"/>
      <c r="CC2331" s="501"/>
      <c r="CD2331" s="501"/>
      <c r="CE2331" s="501"/>
      <c r="CF2331" s="501"/>
      <c r="CG2331" s="501"/>
      <c r="CH2331" s="501"/>
      <c r="CI2331" s="501"/>
      <c r="CJ2331" s="501"/>
      <c r="CK2331" s="501"/>
      <c r="CL2331" s="501"/>
      <c r="CM2331" s="501"/>
      <c r="CN2331" s="501"/>
      <c r="CO2331" s="501"/>
      <c r="CP2331" s="501"/>
      <c r="CQ2331" s="501"/>
      <c r="CR2331" s="501"/>
      <c r="CS2331" s="501"/>
      <c r="CT2331" s="501"/>
      <c r="CU2331" s="501"/>
      <c r="CV2331" s="501"/>
      <c r="CW2331" s="501"/>
      <c r="CX2331" s="501"/>
      <c r="CY2331" s="501"/>
      <c r="CZ2331" s="501"/>
      <c r="DA2331" s="501"/>
      <c r="DB2331" s="501"/>
      <c r="DC2331" s="501"/>
      <c r="DD2331" s="501"/>
      <c r="DE2331" s="501"/>
      <c r="DF2331" s="501"/>
      <c r="DG2331" s="501"/>
      <c r="DH2331" s="501"/>
      <c r="DI2331" s="501"/>
      <c r="DJ2331" s="501"/>
      <c r="DK2331" s="501"/>
      <c r="DL2331" s="501"/>
      <c r="DM2331" s="501"/>
      <c r="DN2331" s="501"/>
      <c r="DO2331" s="501"/>
      <c r="DP2331" s="501"/>
      <c r="DQ2331" s="501"/>
      <c r="DR2331" s="501"/>
      <c r="DS2331" s="501"/>
      <c r="DT2331" s="501"/>
      <c r="DU2331" s="501"/>
      <c r="DV2331" s="501"/>
      <c r="DW2331" s="501"/>
      <c r="DX2331" s="501"/>
      <c r="DY2331" s="501"/>
      <c r="DZ2331" s="501"/>
      <c r="EA2331" s="501"/>
      <c r="EB2331" s="501"/>
      <c r="EC2331" s="501"/>
      <c r="ED2331" s="501"/>
      <c r="EE2331" s="501"/>
      <c r="EF2331" s="501"/>
      <c r="EG2331" s="501"/>
      <c r="EH2331" s="501"/>
      <c r="EI2331" s="501"/>
      <c r="EJ2331" s="501"/>
      <c r="EK2331" s="501"/>
      <c r="EL2331" s="501"/>
      <c r="EM2331" s="501"/>
      <c r="EN2331" s="501"/>
      <c r="EO2331" s="501"/>
      <c r="EP2331" s="501"/>
      <c r="EQ2331" s="501"/>
      <c r="ER2331" s="501"/>
      <c r="ES2331" s="501"/>
      <c r="ET2331" s="501"/>
      <c r="EU2331" s="501"/>
      <c r="EV2331" s="501"/>
      <c r="EW2331" s="501"/>
      <c r="EX2331" s="501"/>
      <c r="EY2331" s="501"/>
      <c r="EZ2331" s="501"/>
      <c r="FA2331" s="501"/>
      <c r="FB2331" s="501"/>
      <c r="FC2331" s="501"/>
      <c r="FD2331" s="501"/>
      <c r="FE2331" s="501"/>
      <c r="FF2331" s="501"/>
      <c r="FG2331" s="501"/>
      <c r="FH2331" s="501"/>
      <c r="FI2331" s="501"/>
      <c r="FJ2331" s="501"/>
      <c r="FK2331" s="501"/>
      <c r="FL2331" s="501"/>
      <c r="FM2331" s="501"/>
      <c r="FN2331" s="501"/>
      <c r="FO2331" s="501"/>
      <c r="FP2331" s="501"/>
      <c r="FQ2331" s="501"/>
      <c r="FR2331" s="501"/>
      <c r="FS2331" s="501"/>
      <c r="FT2331" s="501"/>
      <c r="FU2331" s="501"/>
      <c r="FV2331" s="501"/>
      <c r="FW2331" s="501"/>
      <c r="FX2331" s="501"/>
      <c r="FY2331" s="501"/>
      <c r="FZ2331" s="501"/>
      <c r="GA2331" s="501"/>
      <c r="GB2331" s="501"/>
      <c r="GC2331" s="501"/>
      <c r="GD2331" s="501"/>
      <c r="GE2331" s="501"/>
      <c r="GF2331" s="501"/>
      <c r="GG2331" s="501"/>
      <c r="GH2331" s="501"/>
      <c r="GI2331" s="501"/>
      <c r="GJ2331" s="501"/>
      <c r="GK2331" s="501"/>
      <c r="GL2331" s="501"/>
      <c r="GM2331" s="501"/>
      <c r="GN2331" s="501"/>
      <c r="GO2331" s="501"/>
      <c r="GP2331" s="501"/>
      <c r="GQ2331" s="501"/>
      <c r="GR2331" s="501"/>
      <c r="GS2331" s="501"/>
      <c r="GT2331" s="501"/>
      <c r="GU2331" s="501"/>
      <c r="GV2331" s="501"/>
      <c r="GW2331" s="501"/>
      <c r="GX2331" s="501"/>
      <c r="GY2331" s="501"/>
      <c r="GZ2331" s="501"/>
      <c r="HA2331" s="501"/>
      <c r="HB2331" s="501"/>
      <c r="HC2331" s="501"/>
      <c r="HD2331" s="501"/>
      <c r="HE2331" s="501"/>
      <c r="HF2331" s="501"/>
      <c r="HG2331" s="501"/>
      <c r="HH2331" s="501"/>
      <c r="HI2331" s="501"/>
      <c r="HJ2331" s="501"/>
      <c r="HK2331" s="501"/>
      <c r="HL2331" s="501"/>
      <c r="HM2331" s="501"/>
      <c r="HN2331" s="501"/>
      <c r="HO2331" s="501"/>
      <c r="HP2331" s="501"/>
      <c r="HQ2331" s="501"/>
      <c r="HR2331" s="501"/>
      <c r="HS2331" s="501"/>
      <c r="HT2331" s="501"/>
      <c r="HU2331" s="501"/>
      <c r="HV2331" s="501"/>
      <c r="HW2331" s="501"/>
      <c r="HX2331" s="501"/>
      <c r="HY2331" s="501"/>
      <c r="HZ2331" s="501"/>
      <c r="IA2331" s="501"/>
      <c r="IB2331" s="501"/>
      <c r="IC2331" s="501"/>
      <c r="ID2331" s="501"/>
      <c r="IE2331" s="501"/>
      <c r="IF2331" s="501"/>
      <c r="IG2331" s="501"/>
      <c r="IH2331" s="501"/>
      <c r="II2331" s="501"/>
      <c r="IJ2331" s="501"/>
      <c r="IK2331" s="501"/>
      <c r="IL2331" s="501"/>
      <c r="IM2331" s="501"/>
      <c r="IN2331" s="501"/>
      <c r="IO2331" s="501"/>
      <c r="IP2331" s="501"/>
      <c r="IQ2331" s="501"/>
      <c r="IR2331" s="501"/>
      <c r="IS2331" s="501"/>
      <c r="IT2331" s="501"/>
      <c r="IU2331" s="501"/>
    </row>
    <row r="2332" spans="1:255" s="877" customFormat="1" ht="24" customHeight="1">
      <c r="A2332" s="501"/>
      <c r="B2332" s="501"/>
      <c r="C2332" s="501"/>
      <c r="D2332" s="501"/>
      <c r="E2332" s="501"/>
      <c r="F2332" s="501"/>
      <c r="G2332" s="915"/>
      <c r="H2332" s="501"/>
      <c r="I2332" s="874"/>
      <c r="J2332" s="501"/>
      <c r="K2332" s="501"/>
      <c r="L2332" s="874"/>
      <c r="M2332" s="899"/>
      <c r="N2332" s="501"/>
      <c r="O2332" s="501"/>
      <c r="P2332" s="902"/>
      <c r="Q2332" s="501"/>
      <c r="R2332" s="501"/>
      <c r="S2332" s="874"/>
      <c r="T2332" s="501"/>
      <c r="V2332" s="501"/>
      <c r="W2332" s="501"/>
      <c r="X2332" s="501"/>
      <c r="Y2332" s="501"/>
      <c r="Z2332" s="501"/>
      <c r="AA2332" s="501"/>
      <c r="AB2332" s="501"/>
      <c r="AC2332" s="501"/>
      <c r="AD2332" s="501"/>
      <c r="AE2332" s="501"/>
      <c r="AF2332" s="501"/>
      <c r="AG2332" s="501"/>
      <c r="AH2332" s="501"/>
      <c r="AI2332" s="501"/>
      <c r="AJ2332" s="501"/>
      <c r="AK2332" s="501"/>
      <c r="AL2332" s="501"/>
      <c r="AM2332" s="501"/>
      <c r="AN2332" s="501"/>
      <c r="AO2332" s="501"/>
      <c r="AP2332" s="501"/>
      <c r="AQ2332" s="501"/>
      <c r="AR2332" s="501"/>
      <c r="AS2332" s="501"/>
      <c r="AT2332" s="501"/>
      <c r="AU2332" s="501"/>
      <c r="AV2332" s="501"/>
      <c r="AW2332" s="501"/>
      <c r="AX2332" s="501"/>
      <c r="AY2332" s="501"/>
      <c r="AZ2332" s="501"/>
      <c r="BA2332" s="501"/>
      <c r="BB2332" s="501"/>
      <c r="BC2332" s="501"/>
      <c r="BD2332" s="501"/>
      <c r="BE2332" s="501"/>
      <c r="BF2332" s="501"/>
      <c r="BG2332" s="501"/>
      <c r="BH2332" s="501"/>
      <c r="BI2332" s="501"/>
      <c r="BJ2332" s="501"/>
      <c r="BK2332" s="501"/>
      <c r="BL2332" s="501"/>
      <c r="BM2332" s="501"/>
      <c r="BN2332" s="501"/>
      <c r="BO2332" s="501"/>
      <c r="BP2332" s="501"/>
      <c r="BQ2332" s="501"/>
      <c r="BR2332" s="501"/>
      <c r="BS2332" s="501"/>
      <c r="BT2332" s="501"/>
      <c r="BU2332" s="501"/>
      <c r="BV2332" s="501"/>
      <c r="BW2332" s="501"/>
      <c r="BX2332" s="501"/>
      <c r="BY2332" s="501"/>
      <c r="BZ2332" s="501"/>
      <c r="CA2332" s="501"/>
      <c r="CB2332" s="501"/>
      <c r="CC2332" s="501"/>
      <c r="CD2332" s="501"/>
      <c r="CE2332" s="501"/>
      <c r="CF2332" s="501"/>
      <c r="CG2332" s="501"/>
      <c r="CH2332" s="501"/>
      <c r="CI2332" s="501"/>
      <c r="CJ2332" s="501"/>
      <c r="CK2332" s="501"/>
      <c r="CL2332" s="501"/>
      <c r="CM2332" s="501"/>
      <c r="CN2332" s="501"/>
      <c r="CO2332" s="501"/>
      <c r="CP2332" s="501"/>
      <c r="CQ2332" s="501"/>
      <c r="CR2332" s="501"/>
      <c r="CS2332" s="501"/>
      <c r="CT2332" s="501"/>
      <c r="CU2332" s="501"/>
      <c r="CV2332" s="501"/>
      <c r="CW2332" s="501"/>
      <c r="CX2332" s="501"/>
      <c r="CY2332" s="501"/>
      <c r="CZ2332" s="501"/>
      <c r="DA2332" s="501"/>
      <c r="DB2332" s="501"/>
      <c r="DC2332" s="501"/>
      <c r="DD2332" s="501"/>
      <c r="DE2332" s="501"/>
      <c r="DF2332" s="501"/>
      <c r="DG2332" s="501"/>
      <c r="DH2332" s="501"/>
      <c r="DI2332" s="501"/>
      <c r="DJ2332" s="501"/>
      <c r="DK2332" s="501"/>
      <c r="DL2332" s="501"/>
      <c r="DM2332" s="501"/>
      <c r="DN2332" s="501"/>
      <c r="DO2332" s="501"/>
      <c r="DP2332" s="501"/>
      <c r="DQ2332" s="501"/>
      <c r="DR2332" s="501"/>
      <c r="DS2332" s="501"/>
      <c r="DT2332" s="501"/>
      <c r="DU2332" s="501"/>
      <c r="DV2332" s="501"/>
      <c r="DW2332" s="501"/>
      <c r="DX2332" s="501"/>
      <c r="DY2332" s="501"/>
      <c r="DZ2332" s="501"/>
      <c r="EA2332" s="501"/>
      <c r="EB2332" s="501"/>
      <c r="EC2332" s="501"/>
      <c r="ED2332" s="501"/>
      <c r="EE2332" s="501"/>
      <c r="EF2332" s="501"/>
      <c r="EG2332" s="501"/>
      <c r="EH2332" s="501"/>
      <c r="EI2332" s="501"/>
      <c r="EJ2332" s="501"/>
      <c r="EK2332" s="501"/>
      <c r="EL2332" s="501"/>
      <c r="EM2332" s="501"/>
      <c r="EN2332" s="501"/>
      <c r="EO2332" s="501"/>
      <c r="EP2332" s="501"/>
      <c r="EQ2332" s="501"/>
      <c r="ER2332" s="501"/>
      <c r="ES2332" s="501"/>
      <c r="ET2332" s="501"/>
      <c r="EU2332" s="501"/>
      <c r="EV2332" s="501"/>
      <c r="EW2332" s="501"/>
      <c r="EX2332" s="501"/>
      <c r="EY2332" s="501"/>
      <c r="EZ2332" s="501"/>
      <c r="FA2332" s="501"/>
      <c r="FB2332" s="501"/>
      <c r="FC2332" s="501"/>
      <c r="FD2332" s="501"/>
      <c r="FE2332" s="501"/>
      <c r="FF2332" s="501"/>
      <c r="FG2332" s="501"/>
      <c r="FH2332" s="501"/>
      <c r="FI2332" s="501"/>
      <c r="FJ2332" s="501"/>
      <c r="FK2332" s="501"/>
      <c r="FL2332" s="501"/>
      <c r="FM2332" s="501"/>
      <c r="FN2332" s="501"/>
      <c r="FO2332" s="501"/>
      <c r="FP2332" s="501"/>
      <c r="FQ2332" s="501"/>
      <c r="FR2332" s="501"/>
      <c r="FS2332" s="501"/>
      <c r="FT2332" s="501"/>
      <c r="FU2332" s="501"/>
      <c r="FV2332" s="501"/>
      <c r="FW2332" s="501"/>
      <c r="FX2332" s="501"/>
      <c r="FY2332" s="501"/>
      <c r="FZ2332" s="501"/>
      <c r="GA2332" s="501"/>
      <c r="GB2332" s="501"/>
      <c r="GC2332" s="501"/>
      <c r="GD2332" s="501"/>
      <c r="GE2332" s="501"/>
      <c r="GF2332" s="501"/>
      <c r="GG2332" s="501"/>
      <c r="GH2332" s="501"/>
      <c r="GI2332" s="501"/>
      <c r="GJ2332" s="501"/>
      <c r="GK2332" s="501"/>
      <c r="GL2332" s="501"/>
      <c r="GM2332" s="501"/>
      <c r="GN2332" s="501"/>
      <c r="GO2332" s="501"/>
      <c r="GP2332" s="501"/>
      <c r="GQ2332" s="501"/>
      <c r="GR2332" s="501"/>
      <c r="GS2332" s="501"/>
      <c r="GT2332" s="501"/>
      <c r="GU2332" s="501"/>
      <c r="GV2332" s="501"/>
      <c r="GW2332" s="501"/>
      <c r="GX2332" s="501"/>
      <c r="GY2332" s="501"/>
      <c r="GZ2332" s="501"/>
      <c r="HA2332" s="501"/>
      <c r="HB2332" s="501"/>
      <c r="HC2332" s="501"/>
      <c r="HD2332" s="501"/>
      <c r="HE2332" s="501"/>
      <c r="HF2332" s="501"/>
      <c r="HG2332" s="501"/>
      <c r="HH2332" s="501"/>
      <c r="HI2332" s="501"/>
      <c r="HJ2332" s="501"/>
      <c r="HK2332" s="501"/>
      <c r="HL2332" s="501"/>
      <c r="HM2332" s="501"/>
      <c r="HN2332" s="501"/>
      <c r="HO2332" s="501"/>
      <c r="HP2332" s="501"/>
      <c r="HQ2332" s="501"/>
      <c r="HR2332" s="501"/>
      <c r="HS2332" s="501"/>
      <c r="HT2332" s="501"/>
      <c r="HU2332" s="501"/>
      <c r="HV2332" s="501"/>
      <c r="HW2332" s="501"/>
      <c r="HX2332" s="501"/>
      <c r="HY2332" s="501"/>
      <c r="HZ2332" s="501"/>
      <c r="IA2332" s="501"/>
      <c r="IB2332" s="501"/>
      <c r="IC2332" s="501"/>
      <c r="ID2332" s="501"/>
      <c r="IE2332" s="501"/>
      <c r="IF2332" s="501"/>
      <c r="IG2332" s="501"/>
      <c r="IH2332" s="501"/>
      <c r="II2332" s="501"/>
      <c r="IJ2332" s="501"/>
      <c r="IK2332" s="501"/>
      <c r="IL2332" s="501"/>
      <c r="IM2332" s="501"/>
      <c r="IN2332" s="501"/>
      <c r="IO2332" s="501"/>
      <c r="IP2332" s="501"/>
      <c r="IQ2332" s="501"/>
      <c r="IR2332" s="501"/>
      <c r="IS2332" s="501"/>
      <c r="IT2332" s="501"/>
      <c r="IU2332" s="501"/>
    </row>
    <row r="2333" spans="1:255" s="877" customFormat="1" ht="24" customHeight="1">
      <c r="A2333" s="501"/>
      <c r="B2333" s="501"/>
      <c r="C2333" s="501"/>
      <c r="D2333" s="501"/>
      <c r="E2333" s="501"/>
      <c r="F2333" s="501"/>
      <c r="G2333" s="915"/>
      <c r="H2333" s="501"/>
      <c r="I2333" s="874"/>
      <c r="J2333" s="501"/>
      <c r="K2333" s="501"/>
      <c r="L2333" s="874"/>
      <c r="M2333" s="554"/>
      <c r="N2333" s="501"/>
      <c r="O2333" s="501"/>
      <c r="P2333" s="501"/>
      <c r="Q2333" s="885"/>
      <c r="R2333" s="501"/>
      <c r="S2333" s="874"/>
      <c r="T2333" s="885"/>
      <c r="V2333" s="501"/>
      <c r="W2333" s="501"/>
      <c r="X2333" s="501"/>
      <c r="Y2333" s="501"/>
      <c r="Z2333" s="501"/>
      <c r="AA2333" s="501"/>
      <c r="AB2333" s="501"/>
      <c r="AC2333" s="501"/>
      <c r="AD2333" s="501"/>
      <c r="AE2333" s="501"/>
      <c r="AF2333" s="501"/>
      <c r="AG2333" s="501"/>
      <c r="AH2333" s="501"/>
      <c r="AI2333" s="501"/>
      <c r="AJ2333" s="501"/>
      <c r="AK2333" s="501"/>
      <c r="AL2333" s="501"/>
      <c r="AM2333" s="501"/>
      <c r="AN2333" s="501"/>
      <c r="AO2333" s="501"/>
      <c r="AP2333" s="501"/>
      <c r="AQ2333" s="501"/>
      <c r="AR2333" s="501"/>
      <c r="AS2333" s="501"/>
      <c r="AT2333" s="501"/>
      <c r="AU2333" s="501"/>
      <c r="AV2333" s="501"/>
      <c r="AW2333" s="501"/>
      <c r="AX2333" s="501"/>
      <c r="AY2333" s="501"/>
      <c r="AZ2333" s="501"/>
      <c r="BA2333" s="501"/>
      <c r="BB2333" s="501"/>
      <c r="BC2333" s="501"/>
      <c r="BD2333" s="501"/>
      <c r="BE2333" s="501"/>
      <c r="BF2333" s="501"/>
      <c r="BG2333" s="501"/>
      <c r="BH2333" s="501"/>
      <c r="BI2333" s="501"/>
      <c r="BJ2333" s="501"/>
      <c r="BK2333" s="501"/>
      <c r="BL2333" s="501"/>
      <c r="BM2333" s="501"/>
      <c r="BN2333" s="501"/>
      <c r="BO2333" s="501"/>
      <c r="BP2333" s="501"/>
      <c r="BQ2333" s="501"/>
      <c r="BR2333" s="501"/>
      <c r="BS2333" s="501"/>
      <c r="BT2333" s="501"/>
      <c r="BU2333" s="501"/>
      <c r="BV2333" s="501"/>
      <c r="BW2333" s="501"/>
      <c r="BX2333" s="501"/>
      <c r="BY2333" s="501"/>
      <c r="BZ2333" s="501"/>
      <c r="CA2333" s="501"/>
      <c r="CB2333" s="501"/>
      <c r="CC2333" s="501"/>
      <c r="CD2333" s="501"/>
      <c r="CE2333" s="501"/>
      <c r="CF2333" s="501"/>
      <c r="CG2333" s="501"/>
      <c r="CH2333" s="501"/>
      <c r="CI2333" s="501"/>
      <c r="CJ2333" s="501"/>
      <c r="CK2333" s="501"/>
      <c r="CL2333" s="501"/>
      <c r="CM2333" s="501"/>
      <c r="CN2333" s="501"/>
      <c r="CO2333" s="501"/>
      <c r="CP2333" s="501"/>
      <c r="CQ2333" s="501"/>
      <c r="CR2333" s="501"/>
      <c r="CS2333" s="501"/>
      <c r="CT2333" s="501"/>
      <c r="CU2333" s="501"/>
      <c r="CV2333" s="501"/>
      <c r="CW2333" s="501"/>
      <c r="CX2333" s="501"/>
      <c r="CY2333" s="501"/>
      <c r="CZ2333" s="501"/>
      <c r="DA2333" s="501"/>
      <c r="DB2333" s="501"/>
      <c r="DC2333" s="501"/>
      <c r="DD2333" s="501"/>
      <c r="DE2333" s="501"/>
      <c r="DF2333" s="501"/>
      <c r="DG2333" s="501"/>
      <c r="DH2333" s="501"/>
      <c r="DI2333" s="501"/>
      <c r="DJ2333" s="501"/>
      <c r="DK2333" s="501"/>
      <c r="DL2333" s="501"/>
      <c r="DM2333" s="501"/>
      <c r="DN2333" s="501"/>
      <c r="DO2333" s="501"/>
      <c r="DP2333" s="501"/>
      <c r="DQ2333" s="501"/>
      <c r="DR2333" s="501"/>
      <c r="DS2333" s="501"/>
      <c r="DT2333" s="501"/>
      <c r="DU2333" s="501"/>
      <c r="DV2333" s="501"/>
      <c r="DW2333" s="501"/>
      <c r="DX2333" s="501"/>
      <c r="DY2333" s="501"/>
      <c r="DZ2333" s="501"/>
      <c r="EA2333" s="501"/>
      <c r="EB2333" s="501"/>
      <c r="EC2333" s="501"/>
      <c r="ED2333" s="501"/>
      <c r="EE2333" s="501"/>
      <c r="EF2333" s="501"/>
      <c r="EG2333" s="501"/>
      <c r="EH2333" s="501"/>
      <c r="EI2333" s="501"/>
      <c r="EJ2333" s="501"/>
      <c r="EK2333" s="501"/>
      <c r="EL2333" s="501"/>
      <c r="EM2333" s="501"/>
      <c r="EN2333" s="501"/>
      <c r="EO2333" s="501"/>
      <c r="EP2333" s="501"/>
      <c r="EQ2333" s="501"/>
      <c r="ER2333" s="501"/>
      <c r="ES2333" s="501"/>
      <c r="ET2333" s="501"/>
      <c r="EU2333" s="501"/>
      <c r="EV2333" s="501"/>
      <c r="EW2333" s="501"/>
      <c r="EX2333" s="501"/>
      <c r="EY2333" s="501"/>
      <c r="EZ2333" s="501"/>
      <c r="FA2333" s="501"/>
      <c r="FB2333" s="501"/>
      <c r="FC2333" s="501"/>
      <c r="FD2333" s="501"/>
      <c r="FE2333" s="501"/>
      <c r="FF2333" s="501"/>
      <c r="FG2333" s="501"/>
      <c r="FH2333" s="501"/>
      <c r="FI2333" s="501"/>
      <c r="FJ2333" s="501"/>
      <c r="FK2333" s="501"/>
      <c r="FL2333" s="501"/>
      <c r="FM2333" s="501"/>
      <c r="FN2333" s="501"/>
      <c r="FO2333" s="501"/>
      <c r="FP2333" s="501"/>
      <c r="FQ2333" s="501"/>
      <c r="FR2333" s="501"/>
      <c r="FS2333" s="501"/>
      <c r="FT2333" s="501"/>
      <c r="FU2333" s="501"/>
      <c r="FV2333" s="501"/>
      <c r="FW2333" s="501"/>
      <c r="FX2333" s="501"/>
      <c r="FY2333" s="501"/>
      <c r="FZ2333" s="501"/>
      <c r="GA2333" s="501"/>
      <c r="GB2333" s="501"/>
      <c r="GC2333" s="501"/>
      <c r="GD2333" s="501"/>
      <c r="GE2333" s="501"/>
      <c r="GF2333" s="501"/>
      <c r="GG2333" s="501"/>
      <c r="GH2333" s="501"/>
      <c r="GI2333" s="501"/>
      <c r="GJ2333" s="501"/>
      <c r="GK2333" s="501"/>
      <c r="GL2333" s="501"/>
      <c r="GM2333" s="501"/>
      <c r="GN2333" s="501"/>
      <c r="GO2333" s="501"/>
      <c r="GP2333" s="501"/>
      <c r="GQ2333" s="501"/>
      <c r="GR2333" s="501"/>
      <c r="GS2333" s="501"/>
      <c r="GT2333" s="501"/>
      <c r="GU2333" s="501"/>
      <c r="GV2333" s="501"/>
      <c r="GW2333" s="501"/>
      <c r="GX2333" s="501"/>
      <c r="GY2333" s="501"/>
      <c r="GZ2333" s="501"/>
      <c r="HA2333" s="501"/>
      <c r="HB2333" s="501"/>
      <c r="HC2333" s="501"/>
      <c r="HD2333" s="501"/>
      <c r="HE2333" s="501"/>
      <c r="HF2333" s="501"/>
      <c r="HG2333" s="501"/>
      <c r="HH2333" s="501"/>
      <c r="HI2333" s="501"/>
      <c r="HJ2333" s="501"/>
      <c r="HK2333" s="501"/>
      <c r="HL2333" s="501"/>
      <c r="HM2333" s="501"/>
      <c r="HN2333" s="501"/>
      <c r="HO2333" s="501"/>
      <c r="HP2333" s="501"/>
      <c r="HQ2333" s="501"/>
      <c r="HR2333" s="501"/>
      <c r="HS2333" s="501"/>
      <c r="HT2333" s="501"/>
      <c r="HU2333" s="501"/>
      <c r="HV2333" s="501"/>
      <c r="HW2333" s="501"/>
      <c r="HX2333" s="501"/>
      <c r="HY2333" s="501"/>
      <c r="HZ2333" s="501"/>
      <c r="IA2333" s="501"/>
      <c r="IB2333" s="501"/>
      <c r="IC2333" s="501"/>
      <c r="ID2333" s="501"/>
      <c r="IE2333" s="501"/>
      <c r="IF2333" s="501"/>
      <c r="IG2333" s="501"/>
      <c r="IH2333" s="501"/>
      <c r="II2333" s="501"/>
      <c r="IJ2333" s="501"/>
      <c r="IK2333" s="501"/>
      <c r="IL2333" s="501"/>
      <c r="IM2333" s="501"/>
      <c r="IN2333" s="501"/>
      <c r="IO2333" s="501"/>
      <c r="IP2333" s="501"/>
      <c r="IQ2333" s="501"/>
      <c r="IR2333" s="501"/>
      <c r="IS2333" s="501"/>
      <c r="IT2333" s="501"/>
      <c r="IU2333" s="501"/>
    </row>
    <row r="2334" spans="1:255" s="877" customFormat="1" ht="24" customHeight="1">
      <c r="A2334" s="501"/>
      <c r="B2334" s="501"/>
      <c r="C2334" s="501"/>
      <c r="D2334" s="501"/>
      <c r="E2334" s="501"/>
      <c r="F2334" s="501"/>
      <c r="G2334" s="915"/>
      <c r="H2334" s="501"/>
      <c r="I2334" s="874"/>
      <c r="J2334" s="885"/>
      <c r="K2334" s="501"/>
      <c r="L2334" s="874"/>
      <c r="M2334" s="554"/>
      <c r="N2334" s="501"/>
      <c r="O2334" s="501"/>
      <c r="P2334" s="501"/>
      <c r="Q2334" s="501"/>
      <c r="R2334" s="501"/>
      <c r="S2334" s="501"/>
      <c r="T2334" s="501"/>
      <c r="V2334" s="501"/>
      <c r="W2334" s="501"/>
      <c r="X2334" s="501"/>
      <c r="Y2334" s="501"/>
      <c r="Z2334" s="501"/>
      <c r="AA2334" s="501"/>
      <c r="AB2334" s="501"/>
      <c r="AC2334" s="501"/>
      <c r="AD2334" s="501"/>
      <c r="AE2334" s="501"/>
      <c r="AF2334" s="501"/>
      <c r="AG2334" s="501"/>
      <c r="AH2334" s="501"/>
      <c r="AI2334" s="501"/>
      <c r="AJ2334" s="501"/>
      <c r="AK2334" s="501"/>
      <c r="AL2334" s="501"/>
      <c r="AM2334" s="501"/>
      <c r="AN2334" s="501"/>
      <c r="AO2334" s="501"/>
      <c r="AP2334" s="501"/>
      <c r="AQ2334" s="501"/>
      <c r="AR2334" s="501"/>
      <c r="AS2334" s="501"/>
      <c r="AT2334" s="501"/>
      <c r="AU2334" s="501"/>
      <c r="AV2334" s="501"/>
      <c r="AW2334" s="501"/>
      <c r="AX2334" s="501"/>
      <c r="AY2334" s="501"/>
      <c r="AZ2334" s="501"/>
      <c r="BA2334" s="501"/>
      <c r="BB2334" s="501"/>
      <c r="BC2334" s="501"/>
      <c r="BD2334" s="501"/>
      <c r="BE2334" s="501"/>
      <c r="BF2334" s="501"/>
      <c r="BG2334" s="501"/>
      <c r="BH2334" s="501"/>
      <c r="BI2334" s="501"/>
      <c r="BJ2334" s="501"/>
      <c r="BK2334" s="501"/>
      <c r="BL2334" s="501"/>
      <c r="BM2334" s="501"/>
      <c r="BN2334" s="501"/>
      <c r="BO2334" s="501"/>
      <c r="BP2334" s="501"/>
      <c r="BQ2334" s="501"/>
      <c r="BR2334" s="501"/>
      <c r="BS2334" s="501"/>
      <c r="BT2334" s="501"/>
      <c r="BU2334" s="501"/>
      <c r="BV2334" s="501"/>
      <c r="BW2334" s="501"/>
      <c r="BX2334" s="501"/>
      <c r="BY2334" s="501"/>
      <c r="BZ2334" s="501"/>
      <c r="CA2334" s="501"/>
      <c r="CB2334" s="501"/>
      <c r="CC2334" s="501"/>
      <c r="CD2334" s="501"/>
      <c r="CE2334" s="501"/>
      <c r="CF2334" s="501"/>
      <c r="CG2334" s="501"/>
      <c r="CH2334" s="501"/>
      <c r="CI2334" s="501"/>
      <c r="CJ2334" s="501"/>
      <c r="CK2334" s="501"/>
      <c r="CL2334" s="501"/>
      <c r="CM2334" s="501"/>
      <c r="CN2334" s="501"/>
      <c r="CO2334" s="501"/>
      <c r="CP2334" s="501"/>
      <c r="CQ2334" s="501"/>
      <c r="CR2334" s="501"/>
      <c r="CS2334" s="501"/>
      <c r="CT2334" s="501"/>
      <c r="CU2334" s="501"/>
      <c r="CV2334" s="501"/>
      <c r="CW2334" s="501"/>
      <c r="CX2334" s="501"/>
      <c r="CY2334" s="501"/>
      <c r="CZ2334" s="501"/>
      <c r="DA2334" s="501"/>
      <c r="DB2334" s="501"/>
      <c r="DC2334" s="501"/>
      <c r="DD2334" s="501"/>
      <c r="DE2334" s="501"/>
      <c r="DF2334" s="501"/>
      <c r="DG2334" s="501"/>
      <c r="DH2334" s="501"/>
      <c r="DI2334" s="501"/>
      <c r="DJ2334" s="501"/>
      <c r="DK2334" s="501"/>
      <c r="DL2334" s="501"/>
      <c r="DM2334" s="501"/>
      <c r="DN2334" s="501"/>
      <c r="DO2334" s="501"/>
      <c r="DP2334" s="501"/>
      <c r="DQ2334" s="501"/>
      <c r="DR2334" s="501"/>
      <c r="DS2334" s="501"/>
      <c r="DT2334" s="501"/>
      <c r="DU2334" s="501"/>
      <c r="DV2334" s="501"/>
      <c r="DW2334" s="501"/>
      <c r="DX2334" s="501"/>
      <c r="DY2334" s="501"/>
      <c r="DZ2334" s="501"/>
      <c r="EA2334" s="501"/>
      <c r="EB2334" s="501"/>
      <c r="EC2334" s="501"/>
      <c r="ED2334" s="501"/>
      <c r="EE2334" s="501"/>
      <c r="EF2334" s="501"/>
      <c r="EG2334" s="501"/>
      <c r="EH2334" s="501"/>
      <c r="EI2334" s="501"/>
      <c r="EJ2334" s="501"/>
      <c r="EK2334" s="501"/>
      <c r="EL2334" s="501"/>
      <c r="EM2334" s="501"/>
      <c r="EN2334" s="501"/>
      <c r="EO2334" s="501"/>
      <c r="EP2334" s="501"/>
      <c r="EQ2334" s="501"/>
      <c r="ER2334" s="501"/>
      <c r="ES2334" s="501"/>
      <c r="ET2334" s="501"/>
      <c r="EU2334" s="501"/>
      <c r="EV2334" s="501"/>
      <c r="EW2334" s="501"/>
      <c r="EX2334" s="501"/>
      <c r="EY2334" s="501"/>
      <c r="EZ2334" s="501"/>
      <c r="FA2334" s="501"/>
      <c r="FB2334" s="501"/>
      <c r="FC2334" s="501"/>
      <c r="FD2334" s="501"/>
      <c r="FE2334" s="501"/>
      <c r="FF2334" s="501"/>
      <c r="FG2334" s="501"/>
      <c r="FH2334" s="501"/>
      <c r="FI2334" s="501"/>
      <c r="FJ2334" s="501"/>
      <c r="FK2334" s="501"/>
      <c r="FL2334" s="501"/>
      <c r="FM2334" s="501"/>
      <c r="FN2334" s="501"/>
      <c r="FO2334" s="501"/>
      <c r="FP2334" s="501"/>
      <c r="FQ2334" s="501"/>
      <c r="FR2334" s="501"/>
      <c r="FS2334" s="501"/>
      <c r="FT2334" s="501"/>
      <c r="FU2334" s="501"/>
      <c r="FV2334" s="501"/>
      <c r="FW2334" s="501"/>
      <c r="FX2334" s="501"/>
      <c r="FY2334" s="501"/>
      <c r="FZ2334" s="501"/>
      <c r="GA2334" s="501"/>
      <c r="GB2334" s="501"/>
      <c r="GC2334" s="501"/>
      <c r="GD2334" s="501"/>
      <c r="GE2334" s="501"/>
      <c r="GF2334" s="501"/>
      <c r="GG2334" s="501"/>
      <c r="GH2334" s="501"/>
      <c r="GI2334" s="501"/>
      <c r="GJ2334" s="501"/>
      <c r="GK2334" s="501"/>
      <c r="GL2334" s="501"/>
      <c r="GM2334" s="501"/>
      <c r="GN2334" s="501"/>
      <c r="GO2334" s="501"/>
      <c r="GP2334" s="501"/>
      <c r="GQ2334" s="501"/>
      <c r="GR2334" s="501"/>
      <c r="GS2334" s="501"/>
      <c r="GT2334" s="501"/>
      <c r="GU2334" s="501"/>
      <c r="GV2334" s="501"/>
      <c r="GW2334" s="501"/>
      <c r="GX2334" s="501"/>
      <c r="GY2334" s="501"/>
      <c r="GZ2334" s="501"/>
      <c r="HA2334" s="501"/>
      <c r="HB2334" s="501"/>
      <c r="HC2334" s="501"/>
      <c r="HD2334" s="501"/>
      <c r="HE2334" s="501"/>
      <c r="HF2334" s="501"/>
      <c r="HG2334" s="501"/>
      <c r="HH2334" s="501"/>
      <c r="HI2334" s="501"/>
      <c r="HJ2334" s="501"/>
      <c r="HK2334" s="501"/>
      <c r="HL2334" s="501"/>
      <c r="HM2334" s="501"/>
      <c r="HN2334" s="501"/>
      <c r="HO2334" s="501"/>
      <c r="HP2334" s="501"/>
      <c r="HQ2334" s="501"/>
      <c r="HR2334" s="501"/>
      <c r="HS2334" s="501"/>
      <c r="HT2334" s="501"/>
      <c r="HU2334" s="501"/>
      <c r="HV2334" s="501"/>
      <c r="HW2334" s="501"/>
      <c r="HX2334" s="501"/>
      <c r="HY2334" s="501"/>
      <c r="HZ2334" s="501"/>
      <c r="IA2334" s="501"/>
      <c r="IB2334" s="501"/>
      <c r="IC2334" s="501"/>
      <c r="ID2334" s="501"/>
      <c r="IE2334" s="501"/>
      <c r="IF2334" s="501"/>
      <c r="IG2334" s="501"/>
      <c r="IH2334" s="501"/>
      <c r="II2334" s="501"/>
      <c r="IJ2334" s="501"/>
      <c r="IK2334" s="501"/>
      <c r="IL2334" s="501"/>
      <c r="IM2334" s="501"/>
      <c r="IN2334" s="501"/>
      <c r="IO2334" s="501"/>
      <c r="IP2334" s="501"/>
      <c r="IQ2334" s="501"/>
      <c r="IR2334" s="501"/>
      <c r="IS2334" s="501"/>
      <c r="IT2334" s="501"/>
      <c r="IU2334" s="501"/>
    </row>
    <row r="2335" spans="1:255" s="877" customFormat="1" ht="24" customHeight="1">
      <c r="A2335" s="501"/>
      <c r="B2335" s="501"/>
      <c r="C2335" s="501"/>
      <c r="D2335" s="501"/>
      <c r="E2335" s="501"/>
      <c r="G2335" s="1043"/>
      <c r="I2335" s="874"/>
      <c r="J2335" s="501"/>
      <c r="K2335" s="501"/>
      <c r="L2335" s="874"/>
      <c r="M2335" s="554"/>
      <c r="N2335" s="501"/>
      <c r="O2335" s="501"/>
      <c r="P2335" s="501"/>
      <c r="Q2335" s="501"/>
      <c r="R2335" s="501"/>
      <c r="S2335" s="501"/>
      <c r="T2335" s="501"/>
      <c r="V2335" s="501"/>
      <c r="W2335" s="501"/>
      <c r="X2335" s="501"/>
      <c r="Y2335" s="501"/>
      <c r="Z2335" s="501"/>
      <c r="AA2335" s="501"/>
      <c r="AB2335" s="501"/>
      <c r="AC2335" s="501"/>
      <c r="AD2335" s="501"/>
      <c r="AE2335" s="501"/>
      <c r="AF2335" s="501"/>
      <c r="AG2335" s="501"/>
      <c r="AH2335" s="501"/>
      <c r="AI2335" s="501"/>
      <c r="AJ2335" s="501"/>
      <c r="AK2335" s="501"/>
      <c r="AL2335" s="501"/>
      <c r="AM2335" s="501"/>
      <c r="AN2335" s="501"/>
      <c r="AO2335" s="501"/>
      <c r="AP2335" s="501"/>
      <c r="AQ2335" s="501"/>
      <c r="AR2335" s="501"/>
      <c r="AS2335" s="501"/>
      <c r="AT2335" s="501"/>
      <c r="AU2335" s="501"/>
      <c r="AV2335" s="501"/>
      <c r="AW2335" s="501"/>
      <c r="AX2335" s="501"/>
      <c r="AY2335" s="501"/>
      <c r="AZ2335" s="501"/>
      <c r="BA2335" s="501"/>
      <c r="BB2335" s="501"/>
      <c r="BC2335" s="501"/>
      <c r="BD2335" s="501"/>
      <c r="BE2335" s="501"/>
      <c r="BF2335" s="501"/>
      <c r="BG2335" s="501"/>
      <c r="BH2335" s="501"/>
      <c r="BI2335" s="501"/>
      <c r="BJ2335" s="501"/>
      <c r="BK2335" s="501"/>
      <c r="BL2335" s="501"/>
      <c r="BM2335" s="501"/>
      <c r="BN2335" s="501"/>
      <c r="BO2335" s="501"/>
      <c r="BP2335" s="501"/>
      <c r="BQ2335" s="501"/>
      <c r="BR2335" s="501"/>
      <c r="BS2335" s="501"/>
      <c r="BT2335" s="501"/>
      <c r="BU2335" s="501"/>
      <c r="BV2335" s="501"/>
      <c r="BW2335" s="501"/>
      <c r="BX2335" s="501"/>
      <c r="BY2335" s="501"/>
      <c r="BZ2335" s="501"/>
      <c r="CA2335" s="501"/>
      <c r="CB2335" s="501"/>
      <c r="CC2335" s="501"/>
      <c r="CD2335" s="501"/>
      <c r="CE2335" s="501"/>
      <c r="CF2335" s="501"/>
      <c r="CG2335" s="501"/>
      <c r="CH2335" s="501"/>
      <c r="CI2335" s="501"/>
      <c r="CJ2335" s="501"/>
      <c r="CK2335" s="501"/>
      <c r="CL2335" s="501"/>
      <c r="CM2335" s="501"/>
      <c r="CN2335" s="501"/>
      <c r="CO2335" s="501"/>
      <c r="CP2335" s="501"/>
      <c r="CQ2335" s="501"/>
      <c r="CR2335" s="501"/>
      <c r="CS2335" s="501"/>
      <c r="CT2335" s="501"/>
      <c r="CU2335" s="501"/>
      <c r="CV2335" s="501"/>
      <c r="CW2335" s="501"/>
      <c r="CX2335" s="501"/>
      <c r="CY2335" s="501"/>
      <c r="CZ2335" s="501"/>
      <c r="DA2335" s="501"/>
      <c r="DB2335" s="501"/>
      <c r="DC2335" s="501"/>
      <c r="DD2335" s="501"/>
      <c r="DE2335" s="501"/>
      <c r="DF2335" s="501"/>
      <c r="DG2335" s="501"/>
      <c r="DH2335" s="501"/>
      <c r="DI2335" s="501"/>
      <c r="DJ2335" s="501"/>
      <c r="DK2335" s="501"/>
      <c r="DL2335" s="501"/>
      <c r="DM2335" s="501"/>
      <c r="DN2335" s="501"/>
      <c r="DO2335" s="501"/>
      <c r="DP2335" s="501"/>
      <c r="DQ2335" s="501"/>
      <c r="DR2335" s="501"/>
      <c r="DS2335" s="501"/>
      <c r="DT2335" s="501"/>
      <c r="DU2335" s="501"/>
      <c r="DV2335" s="501"/>
      <c r="DW2335" s="501"/>
      <c r="DX2335" s="501"/>
      <c r="DY2335" s="501"/>
      <c r="DZ2335" s="501"/>
      <c r="EA2335" s="501"/>
      <c r="EB2335" s="501"/>
      <c r="EC2335" s="501"/>
      <c r="ED2335" s="501"/>
      <c r="EE2335" s="501"/>
      <c r="EF2335" s="501"/>
      <c r="EG2335" s="501"/>
      <c r="EH2335" s="501"/>
      <c r="EI2335" s="501"/>
      <c r="EJ2335" s="501"/>
      <c r="EK2335" s="501"/>
      <c r="EL2335" s="501"/>
      <c r="EM2335" s="501"/>
      <c r="EN2335" s="501"/>
      <c r="EO2335" s="501"/>
      <c r="EP2335" s="501"/>
      <c r="EQ2335" s="501"/>
      <c r="ER2335" s="501"/>
      <c r="ES2335" s="501"/>
      <c r="ET2335" s="501"/>
      <c r="EU2335" s="501"/>
      <c r="EV2335" s="501"/>
      <c r="EW2335" s="501"/>
      <c r="EX2335" s="501"/>
      <c r="EY2335" s="501"/>
      <c r="EZ2335" s="501"/>
      <c r="FA2335" s="501"/>
      <c r="FB2335" s="501"/>
      <c r="FC2335" s="501"/>
      <c r="FD2335" s="501"/>
      <c r="FE2335" s="501"/>
      <c r="FF2335" s="501"/>
      <c r="FG2335" s="501"/>
      <c r="FH2335" s="501"/>
      <c r="FI2335" s="501"/>
      <c r="FJ2335" s="501"/>
      <c r="FK2335" s="501"/>
      <c r="FL2335" s="501"/>
      <c r="FM2335" s="501"/>
      <c r="FN2335" s="501"/>
      <c r="FO2335" s="501"/>
      <c r="FP2335" s="501"/>
      <c r="FQ2335" s="501"/>
      <c r="FR2335" s="501"/>
      <c r="FS2335" s="501"/>
      <c r="FT2335" s="501"/>
      <c r="FU2335" s="501"/>
      <c r="FV2335" s="501"/>
      <c r="FW2335" s="501"/>
      <c r="FX2335" s="501"/>
      <c r="FY2335" s="501"/>
      <c r="FZ2335" s="501"/>
      <c r="GA2335" s="501"/>
      <c r="GB2335" s="501"/>
      <c r="GC2335" s="501"/>
      <c r="GD2335" s="501"/>
      <c r="GE2335" s="501"/>
      <c r="GF2335" s="501"/>
      <c r="GG2335" s="501"/>
      <c r="GH2335" s="501"/>
      <c r="GI2335" s="501"/>
      <c r="GJ2335" s="501"/>
      <c r="GK2335" s="501"/>
      <c r="GL2335" s="501"/>
      <c r="GM2335" s="501"/>
      <c r="GN2335" s="501"/>
      <c r="GO2335" s="501"/>
      <c r="GP2335" s="501"/>
      <c r="GQ2335" s="501"/>
      <c r="GR2335" s="501"/>
      <c r="GS2335" s="501"/>
      <c r="GT2335" s="501"/>
      <c r="GU2335" s="501"/>
      <c r="GV2335" s="501"/>
      <c r="GW2335" s="501"/>
      <c r="GX2335" s="501"/>
      <c r="GY2335" s="501"/>
      <c r="GZ2335" s="501"/>
      <c r="HA2335" s="501"/>
      <c r="HB2335" s="501"/>
      <c r="HC2335" s="501"/>
      <c r="HD2335" s="501"/>
      <c r="HE2335" s="501"/>
      <c r="HF2335" s="501"/>
      <c r="HG2335" s="501"/>
      <c r="HH2335" s="501"/>
      <c r="HI2335" s="501"/>
      <c r="HJ2335" s="501"/>
      <c r="HK2335" s="501"/>
      <c r="HL2335" s="501"/>
      <c r="HM2335" s="501"/>
      <c r="HN2335" s="501"/>
      <c r="HO2335" s="501"/>
      <c r="HP2335" s="501"/>
      <c r="HQ2335" s="501"/>
      <c r="HR2335" s="501"/>
      <c r="HS2335" s="501"/>
      <c r="HT2335" s="501"/>
      <c r="HU2335" s="501"/>
      <c r="HV2335" s="501"/>
      <c r="HW2335" s="501"/>
      <c r="HX2335" s="501"/>
      <c r="HY2335" s="501"/>
      <c r="HZ2335" s="501"/>
      <c r="IA2335" s="501"/>
      <c r="IB2335" s="501"/>
      <c r="IC2335" s="501"/>
      <c r="ID2335" s="501"/>
      <c r="IE2335" s="501"/>
      <c r="IF2335" s="501"/>
      <c r="IG2335" s="501"/>
      <c r="IH2335" s="501"/>
      <c r="II2335" s="501"/>
      <c r="IJ2335" s="501"/>
      <c r="IK2335" s="501"/>
      <c r="IL2335" s="501"/>
      <c r="IM2335" s="501"/>
      <c r="IN2335" s="501"/>
      <c r="IO2335" s="501"/>
      <c r="IP2335" s="501"/>
      <c r="IQ2335" s="501"/>
      <c r="IR2335" s="501"/>
      <c r="IS2335" s="501"/>
      <c r="IT2335" s="501"/>
      <c r="IU2335" s="501"/>
    </row>
    <row r="2336" spans="1:255" s="877" customFormat="1" ht="24" customHeight="1">
      <c r="A2336" s="501"/>
      <c r="B2336" s="501"/>
      <c r="C2336" s="501"/>
      <c r="D2336" s="501"/>
      <c r="E2336" s="501"/>
      <c r="F2336" s="501"/>
      <c r="G2336" s="915"/>
      <c r="H2336" s="501"/>
      <c r="I2336" s="874"/>
      <c r="J2336" s="501"/>
      <c r="K2336" s="501"/>
      <c r="L2336" s="874"/>
      <c r="M2336" s="554"/>
      <c r="N2336" s="501"/>
      <c r="O2336" s="501"/>
      <c r="P2336" s="501"/>
      <c r="Q2336" s="501"/>
      <c r="R2336" s="501"/>
      <c r="S2336" s="501"/>
      <c r="T2336" s="501"/>
      <c r="V2336" s="501"/>
      <c r="W2336" s="501"/>
      <c r="X2336" s="501"/>
      <c r="Y2336" s="501"/>
      <c r="Z2336" s="501"/>
      <c r="AA2336" s="501"/>
      <c r="AB2336" s="501"/>
      <c r="AC2336" s="501"/>
      <c r="AD2336" s="501"/>
      <c r="AE2336" s="501"/>
      <c r="AF2336" s="501"/>
      <c r="AG2336" s="501"/>
      <c r="AH2336" s="501"/>
      <c r="AI2336" s="501"/>
      <c r="AJ2336" s="501"/>
      <c r="AK2336" s="501"/>
      <c r="AL2336" s="501"/>
      <c r="AM2336" s="501"/>
      <c r="AN2336" s="501"/>
      <c r="AO2336" s="501"/>
      <c r="AP2336" s="501"/>
      <c r="AQ2336" s="501"/>
      <c r="AR2336" s="501"/>
      <c r="AS2336" s="501"/>
      <c r="AT2336" s="501"/>
      <c r="AU2336" s="501"/>
      <c r="AV2336" s="501"/>
      <c r="AW2336" s="501"/>
      <c r="AX2336" s="501"/>
      <c r="AY2336" s="501"/>
      <c r="AZ2336" s="501"/>
      <c r="BA2336" s="501"/>
      <c r="BB2336" s="501"/>
      <c r="BC2336" s="501"/>
      <c r="BD2336" s="501"/>
      <c r="BE2336" s="501"/>
      <c r="BF2336" s="501"/>
      <c r="BG2336" s="501"/>
      <c r="BH2336" s="501"/>
      <c r="BI2336" s="501"/>
      <c r="BJ2336" s="501"/>
      <c r="BK2336" s="501"/>
      <c r="BL2336" s="501"/>
      <c r="BM2336" s="501"/>
      <c r="BN2336" s="501"/>
      <c r="BO2336" s="501"/>
      <c r="BP2336" s="501"/>
      <c r="BQ2336" s="501"/>
      <c r="BR2336" s="501"/>
      <c r="BS2336" s="501"/>
      <c r="BT2336" s="501"/>
      <c r="BU2336" s="501"/>
      <c r="BV2336" s="501"/>
      <c r="BW2336" s="501"/>
      <c r="BX2336" s="501"/>
      <c r="BY2336" s="501"/>
      <c r="BZ2336" s="501"/>
      <c r="CA2336" s="501"/>
      <c r="CB2336" s="501"/>
      <c r="CC2336" s="501"/>
      <c r="CD2336" s="501"/>
      <c r="CE2336" s="501"/>
      <c r="CF2336" s="501"/>
      <c r="CG2336" s="501"/>
      <c r="CH2336" s="501"/>
      <c r="CI2336" s="501"/>
      <c r="CJ2336" s="501"/>
      <c r="CK2336" s="501"/>
      <c r="CL2336" s="501"/>
      <c r="CM2336" s="501"/>
      <c r="CN2336" s="501"/>
      <c r="CO2336" s="501"/>
      <c r="CP2336" s="501"/>
      <c r="CQ2336" s="501"/>
      <c r="CR2336" s="501"/>
      <c r="CS2336" s="501"/>
      <c r="CT2336" s="501"/>
      <c r="CU2336" s="501"/>
      <c r="CV2336" s="501"/>
      <c r="CW2336" s="501"/>
      <c r="CX2336" s="501"/>
      <c r="CY2336" s="501"/>
      <c r="CZ2336" s="501"/>
      <c r="DA2336" s="501"/>
      <c r="DB2336" s="501"/>
      <c r="DC2336" s="501"/>
      <c r="DD2336" s="501"/>
      <c r="DE2336" s="501"/>
      <c r="DF2336" s="501"/>
      <c r="DG2336" s="501"/>
      <c r="DH2336" s="501"/>
      <c r="DI2336" s="501"/>
      <c r="DJ2336" s="501"/>
      <c r="DK2336" s="501"/>
      <c r="DL2336" s="501"/>
      <c r="DM2336" s="501"/>
      <c r="DN2336" s="501"/>
      <c r="DO2336" s="501"/>
      <c r="DP2336" s="501"/>
      <c r="DQ2336" s="501"/>
      <c r="DR2336" s="501"/>
      <c r="DS2336" s="501"/>
      <c r="DT2336" s="501"/>
      <c r="DU2336" s="501"/>
      <c r="DV2336" s="501"/>
      <c r="DW2336" s="501"/>
      <c r="DX2336" s="501"/>
      <c r="DY2336" s="501"/>
      <c r="DZ2336" s="501"/>
      <c r="EA2336" s="501"/>
      <c r="EB2336" s="501"/>
      <c r="EC2336" s="501"/>
      <c r="ED2336" s="501"/>
      <c r="EE2336" s="501"/>
      <c r="EF2336" s="501"/>
      <c r="EG2336" s="501"/>
      <c r="EH2336" s="501"/>
      <c r="EI2336" s="501"/>
      <c r="EJ2336" s="501"/>
      <c r="EK2336" s="501"/>
      <c r="EL2336" s="501"/>
      <c r="EM2336" s="501"/>
      <c r="EN2336" s="501"/>
      <c r="EO2336" s="501"/>
      <c r="EP2336" s="501"/>
      <c r="EQ2336" s="501"/>
      <c r="ER2336" s="501"/>
      <c r="ES2336" s="501"/>
      <c r="ET2336" s="501"/>
      <c r="EU2336" s="501"/>
      <c r="EV2336" s="501"/>
      <c r="EW2336" s="501"/>
      <c r="EX2336" s="501"/>
      <c r="EY2336" s="501"/>
      <c r="EZ2336" s="501"/>
      <c r="FA2336" s="501"/>
      <c r="FB2336" s="501"/>
      <c r="FC2336" s="501"/>
      <c r="FD2336" s="501"/>
      <c r="FE2336" s="501"/>
      <c r="FF2336" s="501"/>
      <c r="FG2336" s="501"/>
      <c r="FH2336" s="501"/>
      <c r="FI2336" s="501"/>
      <c r="FJ2336" s="501"/>
      <c r="FK2336" s="501"/>
      <c r="FL2336" s="501"/>
      <c r="FM2336" s="501"/>
      <c r="FN2336" s="501"/>
      <c r="FO2336" s="501"/>
      <c r="FP2336" s="501"/>
      <c r="FQ2336" s="501"/>
      <c r="FR2336" s="501"/>
      <c r="FS2336" s="501"/>
      <c r="FT2336" s="501"/>
      <c r="FU2336" s="501"/>
      <c r="FV2336" s="501"/>
      <c r="FW2336" s="501"/>
      <c r="FX2336" s="501"/>
      <c r="FY2336" s="501"/>
      <c r="FZ2336" s="501"/>
      <c r="GA2336" s="501"/>
      <c r="GB2336" s="501"/>
      <c r="GC2336" s="501"/>
      <c r="GD2336" s="501"/>
      <c r="GE2336" s="501"/>
      <c r="GF2336" s="501"/>
      <c r="GG2336" s="501"/>
      <c r="GH2336" s="501"/>
      <c r="GI2336" s="501"/>
      <c r="GJ2336" s="501"/>
      <c r="GK2336" s="501"/>
      <c r="GL2336" s="501"/>
      <c r="GM2336" s="501"/>
      <c r="GN2336" s="501"/>
      <c r="GO2336" s="501"/>
      <c r="GP2336" s="501"/>
      <c r="GQ2336" s="501"/>
      <c r="GR2336" s="501"/>
      <c r="GS2336" s="501"/>
      <c r="GT2336" s="501"/>
      <c r="GU2336" s="501"/>
      <c r="GV2336" s="501"/>
      <c r="GW2336" s="501"/>
      <c r="GX2336" s="501"/>
      <c r="GY2336" s="501"/>
      <c r="GZ2336" s="501"/>
      <c r="HA2336" s="501"/>
      <c r="HB2336" s="501"/>
      <c r="HC2336" s="501"/>
      <c r="HD2336" s="501"/>
      <c r="HE2336" s="501"/>
      <c r="HF2336" s="501"/>
      <c r="HG2336" s="501"/>
      <c r="HH2336" s="501"/>
      <c r="HI2336" s="501"/>
      <c r="HJ2336" s="501"/>
      <c r="HK2336" s="501"/>
      <c r="HL2336" s="501"/>
      <c r="HM2336" s="501"/>
      <c r="HN2336" s="501"/>
      <c r="HO2336" s="501"/>
      <c r="HP2336" s="501"/>
      <c r="HQ2336" s="501"/>
      <c r="HR2336" s="501"/>
      <c r="HS2336" s="501"/>
      <c r="HT2336" s="501"/>
      <c r="HU2336" s="501"/>
      <c r="HV2336" s="501"/>
      <c r="HW2336" s="501"/>
      <c r="HX2336" s="501"/>
      <c r="HY2336" s="501"/>
      <c r="HZ2336" s="501"/>
      <c r="IA2336" s="501"/>
      <c r="IB2336" s="501"/>
      <c r="IC2336" s="501"/>
      <c r="ID2336" s="501"/>
      <c r="IE2336" s="501"/>
      <c r="IF2336" s="501"/>
      <c r="IG2336" s="501"/>
      <c r="IH2336" s="501"/>
      <c r="II2336" s="501"/>
      <c r="IJ2336" s="501"/>
      <c r="IK2336" s="501"/>
      <c r="IL2336" s="501"/>
      <c r="IM2336" s="501"/>
      <c r="IN2336" s="501"/>
      <c r="IO2336" s="501"/>
      <c r="IP2336" s="501"/>
      <c r="IQ2336" s="501"/>
      <c r="IR2336" s="501"/>
      <c r="IS2336" s="501"/>
      <c r="IT2336" s="501"/>
      <c r="IU2336" s="501"/>
    </row>
    <row r="2337" spans="1:255" s="877" customFormat="1" ht="43.5" customHeight="1">
      <c r="A2337" s="501"/>
      <c r="B2337" s="501"/>
      <c r="C2337" s="501"/>
      <c r="D2337" s="501"/>
      <c r="E2337" s="501"/>
      <c r="F2337" s="501"/>
      <c r="G2337" s="915"/>
      <c r="H2337" s="501"/>
      <c r="I2337" s="874"/>
      <c r="J2337" s="501"/>
      <c r="K2337" s="501"/>
      <c r="L2337" s="874"/>
      <c r="M2337" s="899"/>
      <c r="N2337" s="501"/>
      <c r="O2337" s="501"/>
      <c r="P2337" s="902"/>
      <c r="Q2337" s="1624"/>
      <c r="R2337" s="1624"/>
      <c r="S2337" s="1624"/>
      <c r="T2337" s="501"/>
      <c r="V2337" s="501"/>
      <c r="W2337" s="501"/>
      <c r="X2337" s="501"/>
      <c r="Y2337" s="501"/>
      <c r="Z2337" s="501"/>
      <c r="AA2337" s="501"/>
      <c r="AB2337" s="501"/>
      <c r="AC2337" s="501"/>
      <c r="AD2337" s="501"/>
      <c r="AE2337" s="501"/>
      <c r="AF2337" s="501"/>
      <c r="AG2337" s="501"/>
      <c r="AH2337" s="501"/>
      <c r="AI2337" s="501"/>
      <c r="AJ2337" s="501"/>
      <c r="AK2337" s="501"/>
      <c r="AL2337" s="501"/>
      <c r="AM2337" s="501"/>
      <c r="AN2337" s="501"/>
      <c r="AO2337" s="501"/>
      <c r="AP2337" s="501"/>
      <c r="AQ2337" s="501"/>
      <c r="AR2337" s="501"/>
      <c r="AS2337" s="501"/>
      <c r="AT2337" s="501"/>
      <c r="AU2337" s="501"/>
      <c r="AV2337" s="501"/>
      <c r="AW2337" s="501"/>
      <c r="AX2337" s="501"/>
      <c r="AY2337" s="501"/>
      <c r="AZ2337" s="501"/>
      <c r="BA2337" s="501"/>
      <c r="BB2337" s="501"/>
      <c r="BC2337" s="501"/>
      <c r="BD2337" s="501"/>
      <c r="BE2337" s="501"/>
      <c r="BF2337" s="501"/>
      <c r="BG2337" s="501"/>
      <c r="BH2337" s="501"/>
      <c r="BI2337" s="501"/>
      <c r="BJ2337" s="501"/>
      <c r="BK2337" s="501"/>
      <c r="BL2337" s="501"/>
      <c r="BM2337" s="501"/>
      <c r="BN2337" s="501"/>
      <c r="BO2337" s="501"/>
      <c r="BP2337" s="501"/>
      <c r="BQ2337" s="501"/>
      <c r="BR2337" s="501"/>
      <c r="BS2337" s="501"/>
      <c r="BT2337" s="501"/>
      <c r="BU2337" s="501"/>
      <c r="BV2337" s="501"/>
      <c r="BW2337" s="501"/>
      <c r="BX2337" s="501"/>
      <c r="BY2337" s="501"/>
      <c r="BZ2337" s="501"/>
      <c r="CA2337" s="501"/>
      <c r="CB2337" s="501"/>
      <c r="CC2337" s="501"/>
      <c r="CD2337" s="501"/>
      <c r="CE2337" s="501"/>
      <c r="CF2337" s="501"/>
      <c r="CG2337" s="501"/>
      <c r="CH2337" s="501"/>
      <c r="CI2337" s="501"/>
      <c r="CJ2337" s="501"/>
      <c r="CK2337" s="501"/>
      <c r="CL2337" s="501"/>
      <c r="CM2337" s="501"/>
      <c r="CN2337" s="501"/>
      <c r="CO2337" s="501"/>
      <c r="CP2337" s="501"/>
      <c r="CQ2337" s="501"/>
      <c r="CR2337" s="501"/>
      <c r="CS2337" s="501"/>
      <c r="CT2337" s="501"/>
      <c r="CU2337" s="501"/>
      <c r="CV2337" s="501"/>
      <c r="CW2337" s="501"/>
      <c r="CX2337" s="501"/>
      <c r="CY2337" s="501"/>
      <c r="CZ2337" s="501"/>
      <c r="DA2337" s="501"/>
      <c r="DB2337" s="501"/>
      <c r="DC2337" s="501"/>
      <c r="DD2337" s="501"/>
      <c r="DE2337" s="501"/>
      <c r="DF2337" s="501"/>
      <c r="DG2337" s="501"/>
      <c r="DH2337" s="501"/>
      <c r="DI2337" s="501"/>
      <c r="DJ2337" s="501"/>
      <c r="DK2337" s="501"/>
      <c r="DL2337" s="501"/>
      <c r="DM2337" s="501"/>
      <c r="DN2337" s="501"/>
      <c r="DO2337" s="501"/>
      <c r="DP2337" s="501"/>
      <c r="DQ2337" s="501"/>
      <c r="DR2337" s="501"/>
      <c r="DS2337" s="501"/>
      <c r="DT2337" s="501"/>
      <c r="DU2337" s="501"/>
      <c r="DV2337" s="501"/>
      <c r="DW2337" s="501"/>
      <c r="DX2337" s="501"/>
      <c r="DY2337" s="501"/>
      <c r="DZ2337" s="501"/>
      <c r="EA2337" s="501"/>
      <c r="EB2337" s="501"/>
      <c r="EC2337" s="501"/>
      <c r="ED2337" s="501"/>
      <c r="EE2337" s="501"/>
      <c r="EF2337" s="501"/>
      <c r="EG2337" s="501"/>
      <c r="EH2337" s="501"/>
      <c r="EI2337" s="501"/>
      <c r="EJ2337" s="501"/>
      <c r="EK2337" s="501"/>
      <c r="EL2337" s="501"/>
      <c r="EM2337" s="501"/>
      <c r="EN2337" s="501"/>
      <c r="EO2337" s="501"/>
      <c r="EP2337" s="501"/>
      <c r="EQ2337" s="501"/>
      <c r="ER2337" s="501"/>
      <c r="ES2337" s="501"/>
      <c r="ET2337" s="501"/>
      <c r="EU2337" s="501"/>
      <c r="EV2337" s="501"/>
      <c r="EW2337" s="501"/>
      <c r="EX2337" s="501"/>
      <c r="EY2337" s="501"/>
      <c r="EZ2337" s="501"/>
      <c r="FA2337" s="501"/>
      <c r="FB2337" s="501"/>
      <c r="FC2337" s="501"/>
      <c r="FD2337" s="501"/>
      <c r="FE2337" s="501"/>
      <c r="FF2337" s="501"/>
      <c r="FG2337" s="501"/>
      <c r="FH2337" s="501"/>
      <c r="FI2337" s="501"/>
      <c r="FJ2337" s="501"/>
      <c r="FK2337" s="501"/>
      <c r="FL2337" s="501"/>
      <c r="FM2337" s="501"/>
      <c r="FN2337" s="501"/>
      <c r="FO2337" s="501"/>
      <c r="FP2337" s="501"/>
      <c r="FQ2337" s="501"/>
      <c r="FR2337" s="501"/>
      <c r="FS2337" s="501"/>
      <c r="FT2337" s="501"/>
      <c r="FU2337" s="501"/>
      <c r="FV2337" s="501"/>
      <c r="FW2337" s="501"/>
      <c r="FX2337" s="501"/>
      <c r="FY2337" s="501"/>
      <c r="FZ2337" s="501"/>
      <c r="GA2337" s="501"/>
      <c r="GB2337" s="501"/>
      <c r="GC2337" s="501"/>
      <c r="GD2337" s="501"/>
      <c r="GE2337" s="501"/>
      <c r="GF2337" s="501"/>
      <c r="GG2337" s="501"/>
      <c r="GH2337" s="501"/>
      <c r="GI2337" s="501"/>
      <c r="GJ2337" s="501"/>
      <c r="GK2337" s="501"/>
      <c r="GL2337" s="501"/>
      <c r="GM2337" s="501"/>
      <c r="GN2337" s="501"/>
      <c r="GO2337" s="501"/>
      <c r="GP2337" s="501"/>
      <c r="GQ2337" s="501"/>
      <c r="GR2337" s="501"/>
      <c r="GS2337" s="501"/>
      <c r="GT2337" s="501"/>
      <c r="GU2337" s="501"/>
      <c r="GV2337" s="501"/>
      <c r="GW2337" s="501"/>
      <c r="GX2337" s="501"/>
      <c r="GY2337" s="501"/>
      <c r="GZ2337" s="501"/>
      <c r="HA2337" s="501"/>
      <c r="HB2337" s="501"/>
      <c r="HC2337" s="501"/>
      <c r="HD2337" s="501"/>
      <c r="HE2337" s="501"/>
      <c r="HF2337" s="501"/>
      <c r="HG2337" s="501"/>
      <c r="HH2337" s="501"/>
      <c r="HI2337" s="501"/>
      <c r="HJ2337" s="501"/>
      <c r="HK2337" s="501"/>
      <c r="HL2337" s="501"/>
      <c r="HM2337" s="501"/>
      <c r="HN2337" s="501"/>
      <c r="HO2337" s="501"/>
      <c r="HP2337" s="501"/>
      <c r="HQ2337" s="501"/>
      <c r="HR2337" s="501"/>
      <c r="HS2337" s="501"/>
      <c r="HT2337" s="501"/>
      <c r="HU2337" s="501"/>
      <c r="HV2337" s="501"/>
      <c r="HW2337" s="501"/>
      <c r="HX2337" s="501"/>
      <c r="HY2337" s="501"/>
      <c r="HZ2337" s="501"/>
      <c r="IA2337" s="501"/>
      <c r="IB2337" s="501"/>
      <c r="IC2337" s="501"/>
      <c r="ID2337" s="501"/>
      <c r="IE2337" s="501"/>
      <c r="IF2337" s="501"/>
      <c r="IG2337" s="501"/>
      <c r="IH2337" s="501"/>
      <c r="II2337" s="501"/>
      <c r="IJ2337" s="501"/>
      <c r="IK2337" s="501"/>
      <c r="IL2337" s="501"/>
      <c r="IM2337" s="501"/>
      <c r="IN2337" s="501"/>
      <c r="IO2337" s="501"/>
      <c r="IP2337" s="501"/>
      <c r="IQ2337" s="501"/>
      <c r="IR2337" s="501"/>
      <c r="IS2337" s="501"/>
      <c r="IT2337" s="501"/>
      <c r="IU2337" s="501"/>
    </row>
    <row r="2338" spans="1:255" s="877" customFormat="1" ht="51" customHeight="1">
      <c r="A2338" s="501"/>
      <c r="B2338" s="501"/>
      <c r="C2338" s="501"/>
      <c r="D2338" s="501"/>
      <c r="E2338" s="501"/>
      <c r="F2338" s="501"/>
      <c r="G2338" s="915"/>
      <c r="H2338" s="501"/>
      <c r="I2338" s="874"/>
      <c r="J2338" s="501"/>
      <c r="K2338" s="501"/>
      <c r="L2338" s="874"/>
      <c r="M2338" s="554"/>
      <c r="N2338" s="501"/>
      <c r="O2338" s="501"/>
      <c r="P2338" s="902"/>
      <c r="Q2338" s="501"/>
      <c r="R2338" s="501"/>
      <c r="S2338" s="874"/>
      <c r="T2338" s="501"/>
      <c r="V2338" s="501"/>
      <c r="W2338" s="501"/>
      <c r="X2338" s="501"/>
      <c r="Y2338" s="501"/>
      <c r="Z2338" s="501"/>
      <c r="AA2338" s="501"/>
      <c r="AB2338" s="501"/>
      <c r="AC2338" s="501"/>
      <c r="AD2338" s="501"/>
      <c r="AE2338" s="501"/>
      <c r="AF2338" s="501"/>
      <c r="AG2338" s="501"/>
      <c r="AH2338" s="501"/>
      <c r="AI2338" s="501"/>
      <c r="AJ2338" s="501"/>
      <c r="AK2338" s="501"/>
      <c r="AL2338" s="501"/>
      <c r="AM2338" s="501"/>
      <c r="AN2338" s="501"/>
      <c r="AO2338" s="501"/>
      <c r="AP2338" s="501"/>
      <c r="AQ2338" s="501"/>
      <c r="AR2338" s="501"/>
      <c r="AS2338" s="501"/>
      <c r="AT2338" s="501"/>
      <c r="AU2338" s="501"/>
      <c r="AV2338" s="501"/>
      <c r="AW2338" s="501"/>
      <c r="AX2338" s="501"/>
      <c r="AY2338" s="501"/>
      <c r="AZ2338" s="501"/>
      <c r="BA2338" s="501"/>
      <c r="BB2338" s="501"/>
      <c r="BC2338" s="501"/>
      <c r="BD2338" s="501"/>
      <c r="BE2338" s="501"/>
      <c r="BF2338" s="501"/>
      <c r="BG2338" s="501"/>
      <c r="BH2338" s="501"/>
      <c r="BI2338" s="501"/>
      <c r="BJ2338" s="501"/>
      <c r="BK2338" s="501"/>
      <c r="BL2338" s="501"/>
      <c r="BM2338" s="501"/>
      <c r="BN2338" s="501"/>
      <c r="BO2338" s="501"/>
      <c r="BP2338" s="501"/>
      <c r="BQ2338" s="501"/>
      <c r="BR2338" s="501"/>
      <c r="BS2338" s="501"/>
      <c r="BT2338" s="501"/>
      <c r="BU2338" s="501"/>
      <c r="BV2338" s="501"/>
      <c r="BW2338" s="501"/>
      <c r="BX2338" s="501"/>
      <c r="BY2338" s="501"/>
      <c r="BZ2338" s="501"/>
      <c r="CA2338" s="501"/>
      <c r="CB2338" s="501"/>
      <c r="CC2338" s="501"/>
      <c r="CD2338" s="501"/>
      <c r="CE2338" s="501"/>
      <c r="CF2338" s="501"/>
      <c r="CG2338" s="501"/>
      <c r="CH2338" s="501"/>
      <c r="CI2338" s="501"/>
      <c r="CJ2338" s="501"/>
      <c r="CK2338" s="501"/>
      <c r="CL2338" s="501"/>
      <c r="CM2338" s="501"/>
      <c r="CN2338" s="501"/>
      <c r="CO2338" s="501"/>
      <c r="CP2338" s="501"/>
      <c r="CQ2338" s="501"/>
      <c r="CR2338" s="501"/>
      <c r="CS2338" s="501"/>
      <c r="CT2338" s="501"/>
      <c r="CU2338" s="501"/>
      <c r="CV2338" s="501"/>
      <c r="CW2338" s="501"/>
      <c r="CX2338" s="501"/>
      <c r="CY2338" s="501"/>
      <c r="CZ2338" s="501"/>
      <c r="DA2338" s="501"/>
      <c r="DB2338" s="501"/>
      <c r="DC2338" s="501"/>
      <c r="DD2338" s="501"/>
      <c r="DE2338" s="501"/>
      <c r="DF2338" s="501"/>
      <c r="DG2338" s="501"/>
      <c r="DH2338" s="501"/>
      <c r="DI2338" s="501"/>
      <c r="DJ2338" s="501"/>
      <c r="DK2338" s="501"/>
      <c r="DL2338" s="501"/>
      <c r="DM2338" s="501"/>
      <c r="DN2338" s="501"/>
      <c r="DO2338" s="501"/>
      <c r="DP2338" s="501"/>
      <c r="DQ2338" s="501"/>
      <c r="DR2338" s="501"/>
      <c r="DS2338" s="501"/>
      <c r="DT2338" s="501"/>
      <c r="DU2338" s="501"/>
      <c r="DV2338" s="501"/>
      <c r="DW2338" s="501"/>
      <c r="DX2338" s="501"/>
      <c r="DY2338" s="501"/>
      <c r="DZ2338" s="501"/>
      <c r="EA2338" s="501"/>
      <c r="EB2338" s="501"/>
      <c r="EC2338" s="501"/>
      <c r="ED2338" s="501"/>
      <c r="EE2338" s="501"/>
      <c r="EF2338" s="501"/>
      <c r="EG2338" s="501"/>
      <c r="EH2338" s="501"/>
      <c r="EI2338" s="501"/>
      <c r="EJ2338" s="501"/>
      <c r="EK2338" s="501"/>
      <c r="EL2338" s="501"/>
      <c r="EM2338" s="501"/>
      <c r="EN2338" s="501"/>
      <c r="EO2338" s="501"/>
      <c r="EP2338" s="501"/>
      <c r="EQ2338" s="501"/>
      <c r="ER2338" s="501"/>
      <c r="ES2338" s="501"/>
      <c r="ET2338" s="501"/>
      <c r="EU2338" s="501"/>
      <c r="EV2338" s="501"/>
      <c r="EW2338" s="501"/>
      <c r="EX2338" s="501"/>
      <c r="EY2338" s="501"/>
      <c r="EZ2338" s="501"/>
      <c r="FA2338" s="501"/>
      <c r="FB2338" s="501"/>
      <c r="FC2338" s="501"/>
      <c r="FD2338" s="501"/>
      <c r="FE2338" s="501"/>
      <c r="FF2338" s="501"/>
      <c r="FG2338" s="501"/>
      <c r="FH2338" s="501"/>
      <c r="FI2338" s="501"/>
      <c r="FJ2338" s="501"/>
      <c r="FK2338" s="501"/>
      <c r="FL2338" s="501"/>
      <c r="FM2338" s="501"/>
      <c r="FN2338" s="501"/>
      <c r="FO2338" s="501"/>
      <c r="FP2338" s="501"/>
      <c r="FQ2338" s="501"/>
      <c r="FR2338" s="501"/>
      <c r="FS2338" s="501"/>
      <c r="FT2338" s="501"/>
      <c r="FU2338" s="501"/>
      <c r="FV2338" s="501"/>
      <c r="FW2338" s="501"/>
      <c r="FX2338" s="501"/>
      <c r="FY2338" s="501"/>
      <c r="FZ2338" s="501"/>
      <c r="GA2338" s="501"/>
      <c r="GB2338" s="501"/>
      <c r="GC2338" s="501"/>
      <c r="GD2338" s="501"/>
      <c r="GE2338" s="501"/>
      <c r="GF2338" s="501"/>
      <c r="GG2338" s="501"/>
      <c r="GH2338" s="501"/>
      <c r="GI2338" s="501"/>
      <c r="GJ2338" s="501"/>
      <c r="GK2338" s="501"/>
      <c r="GL2338" s="501"/>
      <c r="GM2338" s="501"/>
      <c r="GN2338" s="501"/>
      <c r="GO2338" s="501"/>
      <c r="GP2338" s="501"/>
      <c r="GQ2338" s="501"/>
      <c r="GR2338" s="501"/>
      <c r="GS2338" s="501"/>
      <c r="GT2338" s="501"/>
      <c r="GU2338" s="501"/>
      <c r="GV2338" s="501"/>
      <c r="GW2338" s="501"/>
      <c r="GX2338" s="501"/>
      <c r="GY2338" s="501"/>
      <c r="GZ2338" s="501"/>
      <c r="HA2338" s="501"/>
      <c r="HB2338" s="501"/>
      <c r="HC2338" s="501"/>
      <c r="HD2338" s="501"/>
      <c r="HE2338" s="501"/>
      <c r="HF2338" s="501"/>
      <c r="HG2338" s="501"/>
      <c r="HH2338" s="501"/>
      <c r="HI2338" s="501"/>
      <c r="HJ2338" s="501"/>
      <c r="HK2338" s="501"/>
      <c r="HL2338" s="501"/>
      <c r="HM2338" s="501"/>
      <c r="HN2338" s="501"/>
      <c r="HO2338" s="501"/>
      <c r="HP2338" s="501"/>
      <c r="HQ2338" s="501"/>
      <c r="HR2338" s="501"/>
      <c r="HS2338" s="501"/>
      <c r="HT2338" s="501"/>
      <c r="HU2338" s="501"/>
      <c r="HV2338" s="501"/>
      <c r="HW2338" s="501"/>
      <c r="HX2338" s="501"/>
      <c r="HY2338" s="501"/>
      <c r="HZ2338" s="501"/>
      <c r="IA2338" s="501"/>
      <c r="IB2338" s="501"/>
      <c r="IC2338" s="501"/>
      <c r="ID2338" s="501"/>
      <c r="IE2338" s="501"/>
      <c r="IF2338" s="501"/>
      <c r="IG2338" s="501"/>
      <c r="IH2338" s="501"/>
      <c r="II2338" s="501"/>
      <c r="IJ2338" s="501"/>
      <c r="IK2338" s="501"/>
      <c r="IL2338" s="501"/>
      <c r="IM2338" s="501"/>
      <c r="IN2338" s="501"/>
      <c r="IO2338" s="501"/>
      <c r="IP2338" s="501"/>
      <c r="IQ2338" s="501"/>
      <c r="IR2338" s="501"/>
      <c r="IS2338" s="501"/>
      <c r="IT2338" s="501"/>
      <c r="IU2338" s="501"/>
    </row>
    <row r="2340" spans="1:255" s="877" customFormat="1" ht="36.75" customHeight="1">
      <c r="A2340" s="501"/>
      <c r="B2340" s="501"/>
      <c r="C2340" s="501"/>
      <c r="D2340" s="501"/>
      <c r="E2340" s="501"/>
      <c r="F2340" s="501"/>
      <c r="G2340" s="915"/>
      <c r="H2340" s="501"/>
      <c r="I2340" s="874"/>
      <c r="J2340" s="1044"/>
      <c r="K2340" s="501"/>
      <c r="L2340" s="874"/>
      <c r="M2340" s="554"/>
      <c r="N2340" s="501"/>
      <c r="O2340" s="501"/>
      <c r="P2340" s="902"/>
      <c r="Q2340" s="501"/>
      <c r="R2340" s="501"/>
      <c r="S2340" s="874"/>
      <c r="T2340" s="501"/>
      <c r="V2340" s="501"/>
      <c r="W2340" s="501"/>
      <c r="X2340" s="501"/>
      <c r="Y2340" s="501"/>
      <c r="Z2340" s="501"/>
      <c r="AA2340" s="501"/>
      <c r="AB2340" s="501"/>
      <c r="AC2340" s="501"/>
      <c r="AD2340" s="501"/>
      <c r="AE2340" s="501"/>
      <c r="AF2340" s="501"/>
      <c r="AG2340" s="501"/>
      <c r="AH2340" s="501"/>
      <c r="AI2340" s="501"/>
      <c r="AJ2340" s="501"/>
      <c r="AK2340" s="501"/>
      <c r="AL2340" s="501"/>
      <c r="AM2340" s="501"/>
      <c r="AN2340" s="501"/>
      <c r="AO2340" s="501"/>
      <c r="AP2340" s="501"/>
      <c r="AQ2340" s="501"/>
      <c r="AR2340" s="501"/>
      <c r="AS2340" s="501"/>
      <c r="AT2340" s="501"/>
      <c r="AU2340" s="501"/>
      <c r="AV2340" s="501"/>
      <c r="AW2340" s="501"/>
      <c r="AX2340" s="501"/>
      <c r="AY2340" s="501"/>
      <c r="AZ2340" s="501"/>
      <c r="BA2340" s="501"/>
      <c r="BB2340" s="501"/>
      <c r="BC2340" s="501"/>
      <c r="BD2340" s="501"/>
      <c r="BE2340" s="501"/>
      <c r="BF2340" s="501"/>
      <c r="BG2340" s="501"/>
      <c r="BH2340" s="501"/>
      <c r="BI2340" s="501"/>
      <c r="BJ2340" s="501"/>
      <c r="BK2340" s="501"/>
      <c r="BL2340" s="501"/>
      <c r="BM2340" s="501"/>
      <c r="BN2340" s="501"/>
      <c r="BO2340" s="501"/>
      <c r="BP2340" s="501"/>
      <c r="BQ2340" s="501"/>
      <c r="BR2340" s="501"/>
      <c r="BS2340" s="501"/>
      <c r="BT2340" s="501"/>
      <c r="BU2340" s="501"/>
      <c r="BV2340" s="501"/>
      <c r="BW2340" s="501"/>
      <c r="BX2340" s="501"/>
      <c r="BY2340" s="501"/>
      <c r="BZ2340" s="501"/>
      <c r="CA2340" s="501"/>
      <c r="CB2340" s="501"/>
      <c r="CC2340" s="501"/>
      <c r="CD2340" s="501"/>
      <c r="CE2340" s="501"/>
      <c r="CF2340" s="501"/>
      <c r="CG2340" s="501"/>
      <c r="CH2340" s="501"/>
      <c r="CI2340" s="501"/>
      <c r="CJ2340" s="501"/>
      <c r="CK2340" s="501"/>
      <c r="CL2340" s="501"/>
      <c r="CM2340" s="501"/>
      <c r="CN2340" s="501"/>
      <c r="CO2340" s="501"/>
      <c r="CP2340" s="501"/>
      <c r="CQ2340" s="501"/>
      <c r="CR2340" s="501"/>
      <c r="CS2340" s="501"/>
      <c r="CT2340" s="501"/>
      <c r="CU2340" s="501"/>
      <c r="CV2340" s="501"/>
      <c r="CW2340" s="501"/>
      <c r="CX2340" s="501"/>
      <c r="CY2340" s="501"/>
      <c r="CZ2340" s="501"/>
      <c r="DA2340" s="501"/>
      <c r="DB2340" s="501"/>
      <c r="DC2340" s="501"/>
      <c r="DD2340" s="501"/>
      <c r="DE2340" s="501"/>
      <c r="DF2340" s="501"/>
      <c r="DG2340" s="501"/>
      <c r="DH2340" s="501"/>
      <c r="DI2340" s="501"/>
      <c r="DJ2340" s="501"/>
      <c r="DK2340" s="501"/>
      <c r="DL2340" s="501"/>
      <c r="DM2340" s="501"/>
      <c r="DN2340" s="501"/>
      <c r="DO2340" s="501"/>
      <c r="DP2340" s="501"/>
      <c r="DQ2340" s="501"/>
      <c r="DR2340" s="501"/>
      <c r="DS2340" s="501"/>
      <c r="DT2340" s="501"/>
      <c r="DU2340" s="501"/>
      <c r="DV2340" s="501"/>
      <c r="DW2340" s="501"/>
      <c r="DX2340" s="501"/>
      <c r="DY2340" s="501"/>
      <c r="DZ2340" s="501"/>
      <c r="EA2340" s="501"/>
      <c r="EB2340" s="501"/>
      <c r="EC2340" s="501"/>
      <c r="ED2340" s="501"/>
      <c r="EE2340" s="501"/>
      <c r="EF2340" s="501"/>
      <c r="EG2340" s="501"/>
      <c r="EH2340" s="501"/>
      <c r="EI2340" s="501"/>
      <c r="EJ2340" s="501"/>
      <c r="EK2340" s="501"/>
      <c r="EL2340" s="501"/>
      <c r="EM2340" s="501"/>
      <c r="EN2340" s="501"/>
      <c r="EO2340" s="501"/>
      <c r="EP2340" s="501"/>
      <c r="EQ2340" s="501"/>
      <c r="ER2340" s="501"/>
      <c r="ES2340" s="501"/>
      <c r="ET2340" s="501"/>
      <c r="EU2340" s="501"/>
      <c r="EV2340" s="501"/>
      <c r="EW2340" s="501"/>
      <c r="EX2340" s="501"/>
      <c r="EY2340" s="501"/>
      <c r="EZ2340" s="501"/>
      <c r="FA2340" s="501"/>
      <c r="FB2340" s="501"/>
      <c r="FC2340" s="501"/>
      <c r="FD2340" s="501"/>
      <c r="FE2340" s="501"/>
      <c r="FF2340" s="501"/>
      <c r="FG2340" s="501"/>
      <c r="FH2340" s="501"/>
      <c r="FI2340" s="501"/>
      <c r="FJ2340" s="501"/>
      <c r="FK2340" s="501"/>
      <c r="FL2340" s="501"/>
      <c r="FM2340" s="501"/>
      <c r="FN2340" s="501"/>
      <c r="FO2340" s="501"/>
      <c r="FP2340" s="501"/>
      <c r="FQ2340" s="501"/>
      <c r="FR2340" s="501"/>
      <c r="FS2340" s="501"/>
      <c r="FT2340" s="501"/>
      <c r="FU2340" s="501"/>
      <c r="FV2340" s="501"/>
      <c r="FW2340" s="501"/>
      <c r="FX2340" s="501"/>
      <c r="FY2340" s="501"/>
      <c r="FZ2340" s="501"/>
      <c r="GA2340" s="501"/>
      <c r="GB2340" s="501"/>
      <c r="GC2340" s="501"/>
      <c r="GD2340" s="501"/>
      <c r="GE2340" s="501"/>
      <c r="GF2340" s="501"/>
      <c r="GG2340" s="501"/>
      <c r="GH2340" s="501"/>
      <c r="GI2340" s="501"/>
      <c r="GJ2340" s="501"/>
      <c r="GK2340" s="501"/>
      <c r="GL2340" s="501"/>
      <c r="GM2340" s="501"/>
      <c r="GN2340" s="501"/>
      <c r="GO2340" s="501"/>
      <c r="GP2340" s="501"/>
      <c r="GQ2340" s="501"/>
      <c r="GR2340" s="501"/>
      <c r="GS2340" s="501"/>
      <c r="GT2340" s="501"/>
      <c r="GU2340" s="501"/>
      <c r="GV2340" s="501"/>
      <c r="GW2340" s="501"/>
      <c r="GX2340" s="501"/>
      <c r="GY2340" s="501"/>
      <c r="GZ2340" s="501"/>
      <c r="HA2340" s="501"/>
      <c r="HB2340" s="501"/>
      <c r="HC2340" s="501"/>
      <c r="HD2340" s="501"/>
      <c r="HE2340" s="501"/>
      <c r="HF2340" s="501"/>
      <c r="HG2340" s="501"/>
      <c r="HH2340" s="501"/>
      <c r="HI2340" s="501"/>
      <c r="HJ2340" s="501"/>
      <c r="HK2340" s="501"/>
      <c r="HL2340" s="501"/>
      <c r="HM2340" s="501"/>
      <c r="HN2340" s="501"/>
      <c r="HO2340" s="501"/>
      <c r="HP2340" s="501"/>
      <c r="HQ2340" s="501"/>
      <c r="HR2340" s="501"/>
      <c r="HS2340" s="501"/>
      <c r="HT2340" s="501"/>
      <c r="HU2340" s="501"/>
      <c r="HV2340" s="501"/>
      <c r="HW2340" s="501"/>
      <c r="HX2340" s="501"/>
      <c r="HY2340" s="501"/>
      <c r="HZ2340" s="501"/>
      <c r="IA2340" s="501"/>
      <c r="IB2340" s="501"/>
      <c r="IC2340" s="501"/>
      <c r="ID2340" s="501"/>
      <c r="IE2340" s="501"/>
      <c r="IF2340" s="501"/>
      <c r="IG2340" s="501"/>
      <c r="IH2340" s="501"/>
      <c r="II2340" s="501"/>
      <c r="IJ2340" s="501"/>
      <c r="IK2340" s="501"/>
      <c r="IL2340" s="501"/>
      <c r="IM2340" s="501"/>
      <c r="IN2340" s="501"/>
      <c r="IO2340" s="501"/>
      <c r="IP2340" s="501"/>
      <c r="IQ2340" s="501"/>
      <c r="IR2340" s="501"/>
      <c r="IS2340" s="501"/>
      <c r="IT2340" s="501"/>
      <c r="IU2340" s="501"/>
    </row>
    <row r="2341" spans="1:255" s="877" customFormat="1" ht="41.25" customHeight="1">
      <c r="A2341" s="501"/>
      <c r="B2341" s="501"/>
      <c r="C2341" s="501"/>
      <c r="D2341" s="501"/>
      <c r="E2341" s="501"/>
      <c r="F2341" s="501"/>
      <c r="G2341" s="915"/>
      <c r="H2341" s="501"/>
      <c r="I2341" s="874"/>
      <c r="J2341" s="1045"/>
      <c r="K2341" s="501"/>
      <c r="L2341" s="874"/>
      <c r="M2341" s="554"/>
      <c r="N2341" s="501"/>
      <c r="O2341" s="501"/>
      <c r="P2341" s="874"/>
      <c r="Q2341" s="501"/>
      <c r="R2341" s="501"/>
      <c r="S2341" s="874"/>
      <c r="T2341" s="501"/>
      <c r="V2341" s="501"/>
      <c r="W2341" s="501"/>
      <c r="X2341" s="501"/>
      <c r="Y2341" s="501"/>
      <c r="Z2341" s="501"/>
      <c r="AA2341" s="501"/>
      <c r="AB2341" s="501"/>
      <c r="AC2341" s="501"/>
      <c r="AD2341" s="501"/>
      <c r="AE2341" s="501"/>
      <c r="AF2341" s="501"/>
      <c r="AG2341" s="501"/>
      <c r="AH2341" s="501"/>
      <c r="AI2341" s="501"/>
      <c r="AJ2341" s="501"/>
      <c r="AK2341" s="501"/>
      <c r="AL2341" s="501"/>
      <c r="AM2341" s="501"/>
      <c r="AN2341" s="501"/>
      <c r="AO2341" s="501"/>
      <c r="AP2341" s="501"/>
      <c r="AQ2341" s="501"/>
      <c r="AR2341" s="501"/>
      <c r="AS2341" s="501"/>
      <c r="AT2341" s="501"/>
      <c r="AU2341" s="501"/>
      <c r="AV2341" s="501"/>
      <c r="AW2341" s="501"/>
      <c r="AX2341" s="501"/>
      <c r="AY2341" s="501"/>
      <c r="AZ2341" s="501"/>
      <c r="BA2341" s="501"/>
      <c r="BB2341" s="501"/>
      <c r="BC2341" s="501"/>
      <c r="BD2341" s="501"/>
      <c r="BE2341" s="501"/>
      <c r="BF2341" s="501"/>
      <c r="BG2341" s="501"/>
      <c r="BH2341" s="501"/>
      <c r="BI2341" s="501"/>
      <c r="BJ2341" s="501"/>
      <c r="BK2341" s="501"/>
      <c r="BL2341" s="501"/>
      <c r="BM2341" s="501"/>
      <c r="BN2341" s="501"/>
      <c r="BO2341" s="501"/>
      <c r="BP2341" s="501"/>
      <c r="BQ2341" s="501"/>
      <c r="BR2341" s="501"/>
      <c r="BS2341" s="501"/>
      <c r="BT2341" s="501"/>
      <c r="BU2341" s="501"/>
      <c r="BV2341" s="501"/>
      <c r="BW2341" s="501"/>
      <c r="BX2341" s="501"/>
      <c r="BY2341" s="501"/>
      <c r="BZ2341" s="501"/>
      <c r="CA2341" s="501"/>
      <c r="CB2341" s="501"/>
      <c r="CC2341" s="501"/>
      <c r="CD2341" s="501"/>
      <c r="CE2341" s="501"/>
      <c r="CF2341" s="501"/>
      <c r="CG2341" s="501"/>
      <c r="CH2341" s="501"/>
      <c r="CI2341" s="501"/>
      <c r="CJ2341" s="501"/>
      <c r="CK2341" s="501"/>
      <c r="CL2341" s="501"/>
      <c r="CM2341" s="501"/>
      <c r="CN2341" s="501"/>
      <c r="CO2341" s="501"/>
      <c r="CP2341" s="501"/>
      <c r="CQ2341" s="501"/>
      <c r="CR2341" s="501"/>
      <c r="CS2341" s="501"/>
      <c r="CT2341" s="501"/>
      <c r="CU2341" s="501"/>
      <c r="CV2341" s="501"/>
      <c r="CW2341" s="501"/>
      <c r="CX2341" s="501"/>
      <c r="CY2341" s="501"/>
      <c r="CZ2341" s="501"/>
      <c r="DA2341" s="501"/>
      <c r="DB2341" s="501"/>
      <c r="DC2341" s="501"/>
      <c r="DD2341" s="501"/>
      <c r="DE2341" s="501"/>
      <c r="DF2341" s="501"/>
      <c r="DG2341" s="501"/>
      <c r="DH2341" s="501"/>
      <c r="DI2341" s="501"/>
      <c r="DJ2341" s="501"/>
      <c r="DK2341" s="501"/>
      <c r="DL2341" s="501"/>
      <c r="DM2341" s="501"/>
      <c r="DN2341" s="501"/>
      <c r="DO2341" s="501"/>
      <c r="DP2341" s="501"/>
      <c r="DQ2341" s="501"/>
      <c r="DR2341" s="501"/>
      <c r="DS2341" s="501"/>
      <c r="DT2341" s="501"/>
      <c r="DU2341" s="501"/>
      <c r="DV2341" s="501"/>
      <c r="DW2341" s="501"/>
      <c r="DX2341" s="501"/>
      <c r="DY2341" s="501"/>
      <c r="DZ2341" s="501"/>
      <c r="EA2341" s="501"/>
      <c r="EB2341" s="501"/>
      <c r="EC2341" s="501"/>
      <c r="ED2341" s="501"/>
      <c r="EE2341" s="501"/>
      <c r="EF2341" s="501"/>
      <c r="EG2341" s="501"/>
      <c r="EH2341" s="501"/>
      <c r="EI2341" s="501"/>
      <c r="EJ2341" s="501"/>
      <c r="EK2341" s="501"/>
      <c r="EL2341" s="501"/>
      <c r="EM2341" s="501"/>
      <c r="EN2341" s="501"/>
      <c r="EO2341" s="501"/>
      <c r="EP2341" s="501"/>
      <c r="EQ2341" s="501"/>
      <c r="ER2341" s="501"/>
      <c r="ES2341" s="501"/>
      <c r="ET2341" s="501"/>
      <c r="EU2341" s="501"/>
      <c r="EV2341" s="501"/>
      <c r="EW2341" s="501"/>
      <c r="EX2341" s="501"/>
      <c r="EY2341" s="501"/>
      <c r="EZ2341" s="501"/>
      <c r="FA2341" s="501"/>
      <c r="FB2341" s="501"/>
      <c r="FC2341" s="501"/>
      <c r="FD2341" s="501"/>
      <c r="FE2341" s="501"/>
      <c r="FF2341" s="501"/>
      <c r="FG2341" s="501"/>
      <c r="FH2341" s="501"/>
      <c r="FI2341" s="501"/>
      <c r="FJ2341" s="501"/>
      <c r="FK2341" s="501"/>
      <c r="FL2341" s="501"/>
      <c r="FM2341" s="501"/>
      <c r="FN2341" s="501"/>
      <c r="FO2341" s="501"/>
      <c r="FP2341" s="501"/>
      <c r="FQ2341" s="501"/>
      <c r="FR2341" s="501"/>
      <c r="FS2341" s="501"/>
      <c r="FT2341" s="501"/>
      <c r="FU2341" s="501"/>
      <c r="FV2341" s="501"/>
      <c r="FW2341" s="501"/>
      <c r="FX2341" s="501"/>
      <c r="FY2341" s="501"/>
      <c r="FZ2341" s="501"/>
      <c r="GA2341" s="501"/>
      <c r="GB2341" s="501"/>
      <c r="GC2341" s="501"/>
      <c r="GD2341" s="501"/>
      <c r="GE2341" s="501"/>
      <c r="GF2341" s="501"/>
      <c r="GG2341" s="501"/>
      <c r="GH2341" s="501"/>
      <c r="GI2341" s="501"/>
      <c r="GJ2341" s="501"/>
      <c r="GK2341" s="501"/>
      <c r="GL2341" s="501"/>
      <c r="GM2341" s="501"/>
      <c r="GN2341" s="501"/>
      <c r="GO2341" s="501"/>
      <c r="GP2341" s="501"/>
      <c r="GQ2341" s="501"/>
      <c r="GR2341" s="501"/>
      <c r="GS2341" s="501"/>
      <c r="GT2341" s="501"/>
      <c r="GU2341" s="501"/>
      <c r="GV2341" s="501"/>
      <c r="GW2341" s="501"/>
      <c r="GX2341" s="501"/>
      <c r="GY2341" s="501"/>
      <c r="GZ2341" s="501"/>
      <c r="HA2341" s="501"/>
      <c r="HB2341" s="501"/>
      <c r="HC2341" s="501"/>
      <c r="HD2341" s="501"/>
      <c r="HE2341" s="501"/>
      <c r="HF2341" s="501"/>
      <c r="HG2341" s="501"/>
      <c r="HH2341" s="501"/>
      <c r="HI2341" s="501"/>
      <c r="HJ2341" s="501"/>
      <c r="HK2341" s="501"/>
      <c r="HL2341" s="501"/>
      <c r="HM2341" s="501"/>
      <c r="HN2341" s="501"/>
      <c r="HO2341" s="501"/>
      <c r="HP2341" s="501"/>
      <c r="HQ2341" s="501"/>
      <c r="HR2341" s="501"/>
      <c r="HS2341" s="501"/>
      <c r="HT2341" s="501"/>
      <c r="HU2341" s="501"/>
      <c r="HV2341" s="501"/>
      <c r="HW2341" s="501"/>
      <c r="HX2341" s="501"/>
      <c r="HY2341" s="501"/>
      <c r="HZ2341" s="501"/>
      <c r="IA2341" s="501"/>
      <c r="IB2341" s="501"/>
      <c r="IC2341" s="501"/>
      <c r="ID2341" s="501"/>
      <c r="IE2341" s="501"/>
      <c r="IF2341" s="501"/>
      <c r="IG2341" s="501"/>
      <c r="IH2341" s="501"/>
      <c r="II2341" s="501"/>
      <c r="IJ2341" s="501"/>
      <c r="IK2341" s="501"/>
      <c r="IL2341" s="501"/>
      <c r="IM2341" s="501"/>
      <c r="IN2341" s="501"/>
      <c r="IO2341" s="501"/>
      <c r="IP2341" s="501"/>
      <c r="IQ2341" s="501"/>
      <c r="IR2341" s="501"/>
      <c r="IS2341" s="501"/>
      <c r="IT2341" s="501"/>
      <c r="IU2341" s="501"/>
    </row>
    <row r="2342" spans="1:255" s="877" customFormat="1" ht="24" customHeight="1">
      <c r="A2342" s="501"/>
      <c r="B2342" s="501"/>
      <c r="C2342" s="501"/>
      <c r="D2342" s="501"/>
      <c r="E2342" s="501"/>
      <c r="F2342" s="501"/>
      <c r="G2342" s="915"/>
      <c r="H2342" s="501"/>
      <c r="I2342" s="874"/>
      <c r="J2342" s="501"/>
      <c r="K2342" s="501"/>
      <c r="L2342" s="874"/>
      <c r="M2342" s="554"/>
      <c r="N2342" s="501"/>
      <c r="O2342" s="501"/>
      <c r="P2342" s="902"/>
      <c r="Q2342" s="501"/>
      <c r="R2342" s="501"/>
      <c r="S2342" s="874"/>
      <c r="T2342" s="501"/>
      <c r="V2342" s="501"/>
      <c r="W2342" s="501"/>
      <c r="X2342" s="501"/>
      <c r="Y2342" s="501"/>
      <c r="Z2342" s="501"/>
      <c r="AA2342" s="501"/>
      <c r="AB2342" s="501"/>
      <c r="AC2342" s="501"/>
      <c r="AD2342" s="501"/>
      <c r="AE2342" s="501"/>
      <c r="AF2342" s="501"/>
      <c r="AG2342" s="501"/>
      <c r="AH2342" s="501"/>
      <c r="AI2342" s="501"/>
      <c r="AJ2342" s="501"/>
      <c r="AK2342" s="501"/>
      <c r="AL2342" s="501"/>
      <c r="AM2342" s="501"/>
      <c r="AN2342" s="501"/>
      <c r="AO2342" s="501"/>
      <c r="AP2342" s="501"/>
      <c r="AQ2342" s="501"/>
      <c r="AR2342" s="501"/>
      <c r="AS2342" s="501"/>
      <c r="AT2342" s="501"/>
      <c r="AU2342" s="501"/>
      <c r="AV2342" s="501"/>
      <c r="AW2342" s="501"/>
      <c r="AX2342" s="501"/>
      <c r="AY2342" s="501"/>
      <c r="AZ2342" s="501"/>
      <c r="BA2342" s="501"/>
      <c r="BB2342" s="501"/>
      <c r="BC2342" s="501"/>
      <c r="BD2342" s="501"/>
      <c r="BE2342" s="501"/>
      <c r="BF2342" s="501"/>
      <c r="BG2342" s="501"/>
      <c r="BH2342" s="501"/>
      <c r="BI2342" s="501"/>
      <c r="BJ2342" s="501"/>
      <c r="BK2342" s="501"/>
      <c r="BL2342" s="501"/>
      <c r="BM2342" s="501"/>
      <c r="BN2342" s="501"/>
      <c r="BO2342" s="501"/>
      <c r="BP2342" s="501"/>
      <c r="BQ2342" s="501"/>
      <c r="BR2342" s="501"/>
      <c r="BS2342" s="501"/>
      <c r="BT2342" s="501"/>
      <c r="BU2342" s="501"/>
      <c r="BV2342" s="501"/>
      <c r="BW2342" s="501"/>
      <c r="BX2342" s="501"/>
      <c r="BY2342" s="501"/>
      <c r="BZ2342" s="501"/>
      <c r="CA2342" s="501"/>
      <c r="CB2342" s="501"/>
      <c r="CC2342" s="501"/>
      <c r="CD2342" s="501"/>
      <c r="CE2342" s="501"/>
      <c r="CF2342" s="501"/>
      <c r="CG2342" s="501"/>
      <c r="CH2342" s="501"/>
      <c r="CI2342" s="501"/>
      <c r="CJ2342" s="501"/>
      <c r="CK2342" s="501"/>
      <c r="CL2342" s="501"/>
      <c r="CM2342" s="501"/>
      <c r="CN2342" s="501"/>
      <c r="CO2342" s="501"/>
      <c r="CP2342" s="501"/>
      <c r="CQ2342" s="501"/>
      <c r="CR2342" s="501"/>
      <c r="CS2342" s="501"/>
      <c r="CT2342" s="501"/>
      <c r="CU2342" s="501"/>
      <c r="CV2342" s="501"/>
      <c r="CW2342" s="501"/>
      <c r="CX2342" s="501"/>
      <c r="CY2342" s="501"/>
      <c r="CZ2342" s="501"/>
      <c r="DA2342" s="501"/>
      <c r="DB2342" s="501"/>
      <c r="DC2342" s="501"/>
      <c r="DD2342" s="501"/>
      <c r="DE2342" s="501"/>
      <c r="DF2342" s="501"/>
      <c r="DG2342" s="501"/>
      <c r="DH2342" s="501"/>
      <c r="DI2342" s="501"/>
      <c r="DJ2342" s="501"/>
      <c r="DK2342" s="501"/>
      <c r="DL2342" s="501"/>
      <c r="DM2342" s="501"/>
      <c r="DN2342" s="501"/>
      <c r="DO2342" s="501"/>
      <c r="DP2342" s="501"/>
      <c r="DQ2342" s="501"/>
      <c r="DR2342" s="501"/>
      <c r="DS2342" s="501"/>
      <c r="DT2342" s="501"/>
      <c r="DU2342" s="501"/>
      <c r="DV2342" s="501"/>
      <c r="DW2342" s="501"/>
      <c r="DX2342" s="501"/>
      <c r="DY2342" s="501"/>
      <c r="DZ2342" s="501"/>
      <c r="EA2342" s="501"/>
      <c r="EB2342" s="501"/>
      <c r="EC2342" s="501"/>
      <c r="ED2342" s="501"/>
      <c r="EE2342" s="501"/>
      <c r="EF2342" s="501"/>
      <c r="EG2342" s="501"/>
      <c r="EH2342" s="501"/>
      <c r="EI2342" s="501"/>
      <c r="EJ2342" s="501"/>
      <c r="EK2342" s="501"/>
      <c r="EL2342" s="501"/>
      <c r="EM2342" s="501"/>
      <c r="EN2342" s="501"/>
      <c r="EO2342" s="501"/>
      <c r="EP2342" s="501"/>
      <c r="EQ2342" s="501"/>
      <c r="ER2342" s="501"/>
      <c r="ES2342" s="501"/>
      <c r="ET2342" s="501"/>
      <c r="EU2342" s="501"/>
      <c r="EV2342" s="501"/>
      <c r="EW2342" s="501"/>
      <c r="EX2342" s="501"/>
      <c r="EY2342" s="501"/>
      <c r="EZ2342" s="501"/>
      <c r="FA2342" s="501"/>
      <c r="FB2342" s="501"/>
      <c r="FC2342" s="501"/>
      <c r="FD2342" s="501"/>
      <c r="FE2342" s="501"/>
      <c r="FF2342" s="501"/>
      <c r="FG2342" s="501"/>
      <c r="FH2342" s="501"/>
      <c r="FI2342" s="501"/>
      <c r="FJ2342" s="501"/>
      <c r="FK2342" s="501"/>
      <c r="FL2342" s="501"/>
      <c r="FM2342" s="501"/>
      <c r="FN2342" s="501"/>
      <c r="FO2342" s="501"/>
      <c r="FP2342" s="501"/>
      <c r="FQ2342" s="501"/>
      <c r="FR2342" s="501"/>
      <c r="FS2342" s="501"/>
      <c r="FT2342" s="501"/>
      <c r="FU2342" s="501"/>
      <c r="FV2342" s="501"/>
      <c r="FW2342" s="501"/>
      <c r="FX2342" s="501"/>
      <c r="FY2342" s="501"/>
      <c r="FZ2342" s="501"/>
      <c r="GA2342" s="501"/>
      <c r="GB2342" s="501"/>
      <c r="GC2342" s="501"/>
      <c r="GD2342" s="501"/>
      <c r="GE2342" s="501"/>
      <c r="GF2342" s="501"/>
      <c r="GG2342" s="501"/>
      <c r="GH2342" s="501"/>
      <c r="GI2342" s="501"/>
      <c r="GJ2342" s="501"/>
      <c r="GK2342" s="501"/>
      <c r="GL2342" s="501"/>
      <c r="GM2342" s="501"/>
      <c r="GN2342" s="501"/>
      <c r="GO2342" s="501"/>
      <c r="GP2342" s="501"/>
      <c r="GQ2342" s="501"/>
      <c r="GR2342" s="501"/>
      <c r="GS2342" s="501"/>
      <c r="GT2342" s="501"/>
      <c r="GU2342" s="501"/>
      <c r="GV2342" s="501"/>
      <c r="GW2342" s="501"/>
      <c r="GX2342" s="501"/>
      <c r="GY2342" s="501"/>
      <c r="GZ2342" s="501"/>
      <c r="HA2342" s="501"/>
      <c r="HB2342" s="501"/>
      <c r="HC2342" s="501"/>
      <c r="HD2342" s="501"/>
      <c r="HE2342" s="501"/>
      <c r="HF2342" s="501"/>
      <c r="HG2342" s="501"/>
      <c r="HH2342" s="501"/>
      <c r="HI2342" s="501"/>
      <c r="HJ2342" s="501"/>
      <c r="HK2342" s="501"/>
      <c r="HL2342" s="501"/>
      <c r="HM2342" s="501"/>
      <c r="HN2342" s="501"/>
      <c r="HO2342" s="501"/>
      <c r="HP2342" s="501"/>
      <c r="HQ2342" s="501"/>
      <c r="HR2342" s="501"/>
      <c r="HS2342" s="501"/>
      <c r="HT2342" s="501"/>
      <c r="HU2342" s="501"/>
      <c r="HV2342" s="501"/>
      <c r="HW2342" s="501"/>
      <c r="HX2342" s="501"/>
      <c r="HY2342" s="501"/>
      <c r="HZ2342" s="501"/>
      <c r="IA2342" s="501"/>
      <c r="IB2342" s="501"/>
      <c r="IC2342" s="501"/>
      <c r="ID2342" s="501"/>
      <c r="IE2342" s="501"/>
      <c r="IF2342" s="501"/>
      <c r="IG2342" s="501"/>
      <c r="IH2342" s="501"/>
      <c r="II2342" s="501"/>
      <c r="IJ2342" s="501"/>
      <c r="IK2342" s="501"/>
      <c r="IL2342" s="501"/>
      <c r="IM2342" s="501"/>
      <c r="IN2342" s="501"/>
      <c r="IO2342" s="501"/>
      <c r="IP2342" s="501"/>
      <c r="IQ2342" s="501"/>
      <c r="IR2342" s="501"/>
      <c r="IS2342" s="501"/>
      <c r="IT2342" s="501"/>
      <c r="IU2342" s="501"/>
    </row>
    <row r="2343" spans="1:255" s="877" customFormat="1" ht="24" customHeight="1">
      <c r="A2343" s="501"/>
      <c r="B2343" s="501"/>
      <c r="C2343" s="501"/>
      <c r="D2343" s="501"/>
      <c r="E2343" s="501"/>
      <c r="F2343" s="501"/>
      <c r="G2343" s="915"/>
      <c r="H2343" s="501"/>
      <c r="I2343" s="874"/>
      <c r="J2343" s="501"/>
      <c r="K2343" s="501"/>
      <c r="L2343" s="874"/>
      <c r="M2343" s="554"/>
      <c r="N2343" s="501"/>
      <c r="O2343" s="501"/>
      <c r="P2343" s="902"/>
      <c r="Q2343" s="501"/>
      <c r="R2343" s="501"/>
      <c r="S2343" s="874"/>
      <c r="T2343" s="501"/>
      <c r="V2343" s="501"/>
      <c r="W2343" s="501"/>
      <c r="X2343" s="501"/>
      <c r="Y2343" s="501"/>
      <c r="Z2343" s="501"/>
      <c r="AA2343" s="501"/>
      <c r="AB2343" s="501"/>
      <c r="AC2343" s="501"/>
      <c r="AD2343" s="501"/>
      <c r="AE2343" s="501"/>
      <c r="AF2343" s="501"/>
      <c r="AG2343" s="501"/>
      <c r="AH2343" s="501"/>
      <c r="AI2343" s="501"/>
      <c r="AJ2343" s="501"/>
      <c r="AK2343" s="501"/>
      <c r="AL2343" s="501"/>
      <c r="AM2343" s="501"/>
      <c r="AN2343" s="501"/>
      <c r="AO2343" s="501"/>
      <c r="AP2343" s="501"/>
      <c r="AQ2343" s="501"/>
      <c r="AR2343" s="501"/>
      <c r="AS2343" s="501"/>
      <c r="AT2343" s="501"/>
      <c r="AU2343" s="501"/>
      <c r="AV2343" s="501"/>
      <c r="AW2343" s="501"/>
      <c r="AX2343" s="501"/>
      <c r="AY2343" s="501"/>
      <c r="AZ2343" s="501"/>
      <c r="BA2343" s="501"/>
      <c r="BB2343" s="501"/>
      <c r="BC2343" s="501"/>
      <c r="BD2343" s="501"/>
      <c r="BE2343" s="501"/>
      <c r="BF2343" s="501"/>
      <c r="BG2343" s="501"/>
      <c r="BH2343" s="501"/>
      <c r="BI2343" s="501"/>
      <c r="BJ2343" s="501"/>
      <c r="BK2343" s="501"/>
      <c r="BL2343" s="501"/>
      <c r="BM2343" s="501"/>
      <c r="BN2343" s="501"/>
      <c r="BO2343" s="501"/>
      <c r="BP2343" s="501"/>
      <c r="BQ2343" s="501"/>
      <c r="BR2343" s="501"/>
      <c r="BS2343" s="501"/>
      <c r="BT2343" s="501"/>
      <c r="BU2343" s="501"/>
      <c r="BV2343" s="501"/>
      <c r="BW2343" s="501"/>
      <c r="BX2343" s="501"/>
      <c r="BY2343" s="501"/>
      <c r="BZ2343" s="501"/>
      <c r="CA2343" s="501"/>
      <c r="CB2343" s="501"/>
      <c r="CC2343" s="501"/>
      <c r="CD2343" s="501"/>
      <c r="CE2343" s="501"/>
      <c r="CF2343" s="501"/>
      <c r="CG2343" s="501"/>
      <c r="CH2343" s="501"/>
      <c r="CI2343" s="501"/>
      <c r="CJ2343" s="501"/>
      <c r="CK2343" s="501"/>
      <c r="CL2343" s="501"/>
      <c r="CM2343" s="501"/>
      <c r="CN2343" s="501"/>
      <c r="CO2343" s="501"/>
      <c r="CP2343" s="501"/>
      <c r="CQ2343" s="501"/>
      <c r="CR2343" s="501"/>
      <c r="CS2343" s="501"/>
      <c r="CT2343" s="501"/>
      <c r="CU2343" s="501"/>
      <c r="CV2343" s="501"/>
      <c r="CW2343" s="501"/>
      <c r="CX2343" s="501"/>
      <c r="CY2343" s="501"/>
      <c r="CZ2343" s="501"/>
      <c r="DA2343" s="501"/>
      <c r="DB2343" s="501"/>
      <c r="DC2343" s="501"/>
      <c r="DD2343" s="501"/>
      <c r="DE2343" s="501"/>
      <c r="DF2343" s="501"/>
      <c r="DG2343" s="501"/>
      <c r="DH2343" s="501"/>
      <c r="DI2343" s="501"/>
      <c r="DJ2343" s="501"/>
      <c r="DK2343" s="501"/>
      <c r="DL2343" s="501"/>
      <c r="DM2343" s="501"/>
      <c r="DN2343" s="501"/>
      <c r="DO2343" s="501"/>
      <c r="DP2343" s="501"/>
      <c r="DQ2343" s="501"/>
      <c r="DR2343" s="501"/>
      <c r="DS2343" s="501"/>
      <c r="DT2343" s="501"/>
      <c r="DU2343" s="501"/>
      <c r="DV2343" s="501"/>
      <c r="DW2343" s="501"/>
      <c r="DX2343" s="501"/>
      <c r="DY2343" s="501"/>
      <c r="DZ2343" s="501"/>
      <c r="EA2343" s="501"/>
      <c r="EB2343" s="501"/>
      <c r="EC2343" s="501"/>
      <c r="ED2343" s="501"/>
      <c r="EE2343" s="501"/>
      <c r="EF2343" s="501"/>
      <c r="EG2343" s="501"/>
      <c r="EH2343" s="501"/>
      <c r="EI2343" s="501"/>
      <c r="EJ2343" s="501"/>
      <c r="EK2343" s="501"/>
      <c r="EL2343" s="501"/>
      <c r="EM2343" s="501"/>
      <c r="EN2343" s="501"/>
      <c r="EO2343" s="501"/>
      <c r="EP2343" s="501"/>
      <c r="EQ2343" s="501"/>
      <c r="ER2343" s="501"/>
      <c r="ES2343" s="501"/>
      <c r="ET2343" s="501"/>
      <c r="EU2343" s="501"/>
      <c r="EV2343" s="501"/>
      <c r="EW2343" s="501"/>
      <c r="EX2343" s="501"/>
      <c r="EY2343" s="501"/>
      <c r="EZ2343" s="501"/>
      <c r="FA2343" s="501"/>
      <c r="FB2343" s="501"/>
      <c r="FC2343" s="501"/>
      <c r="FD2343" s="501"/>
      <c r="FE2343" s="501"/>
      <c r="FF2343" s="501"/>
      <c r="FG2343" s="501"/>
      <c r="FH2343" s="501"/>
      <c r="FI2343" s="501"/>
      <c r="FJ2343" s="501"/>
      <c r="FK2343" s="501"/>
      <c r="FL2343" s="501"/>
      <c r="FM2343" s="501"/>
      <c r="FN2343" s="501"/>
      <c r="FO2343" s="501"/>
      <c r="FP2343" s="501"/>
      <c r="FQ2343" s="501"/>
      <c r="FR2343" s="501"/>
      <c r="FS2343" s="501"/>
      <c r="FT2343" s="501"/>
      <c r="FU2343" s="501"/>
      <c r="FV2343" s="501"/>
      <c r="FW2343" s="501"/>
      <c r="FX2343" s="501"/>
      <c r="FY2343" s="501"/>
      <c r="FZ2343" s="501"/>
      <c r="GA2343" s="501"/>
      <c r="GB2343" s="501"/>
      <c r="GC2343" s="501"/>
      <c r="GD2343" s="501"/>
      <c r="GE2343" s="501"/>
      <c r="GF2343" s="501"/>
      <c r="GG2343" s="501"/>
      <c r="GH2343" s="501"/>
      <c r="GI2343" s="501"/>
      <c r="GJ2343" s="501"/>
      <c r="GK2343" s="501"/>
      <c r="GL2343" s="501"/>
      <c r="GM2343" s="501"/>
      <c r="GN2343" s="501"/>
      <c r="GO2343" s="501"/>
      <c r="GP2343" s="501"/>
      <c r="GQ2343" s="501"/>
      <c r="GR2343" s="501"/>
      <c r="GS2343" s="501"/>
      <c r="GT2343" s="501"/>
      <c r="GU2343" s="501"/>
      <c r="GV2343" s="501"/>
      <c r="GW2343" s="501"/>
      <c r="GX2343" s="501"/>
      <c r="GY2343" s="501"/>
      <c r="GZ2343" s="501"/>
      <c r="HA2343" s="501"/>
      <c r="HB2343" s="501"/>
      <c r="HC2343" s="501"/>
      <c r="HD2343" s="501"/>
      <c r="HE2343" s="501"/>
      <c r="HF2343" s="501"/>
      <c r="HG2343" s="501"/>
      <c r="HH2343" s="501"/>
      <c r="HI2343" s="501"/>
      <c r="HJ2343" s="501"/>
      <c r="HK2343" s="501"/>
      <c r="HL2343" s="501"/>
      <c r="HM2343" s="501"/>
      <c r="HN2343" s="501"/>
      <c r="HO2343" s="501"/>
      <c r="HP2343" s="501"/>
      <c r="HQ2343" s="501"/>
      <c r="HR2343" s="501"/>
      <c r="HS2343" s="501"/>
      <c r="HT2343" s="501"/>
      <c r="HU2343" s="501"/>
      <c r="HV2343" s="501"/>
      <c r="HW2343" s="501"/>
      <c r="HX2343" s="501"/>
      <c r="HY2343" s="501"/>
      <c r="HZ2343" s="501"/>
      <c r="IA2343" s="501"/>
      <c r="IB2343" s="501"/>
      <c r="IC2343" s="501"/>
      <c r="ID2343" s="501"/>
      <c r="IE2343" s="501"/>
      <c r="IF2343" s="501"/>
      <c r="IG2343" s="501"/>
      <c r="IH2343" s="501"/>
      <c r="II2343" s="501"/>
      <c r="IJ2343" s="501"/>
      <c r="IK2343" s="501"/>
      <c r="IL2343" s="501"/>
      <c r="IM2343" s="501"/>
      <c r="IN2343" s="501"/>
      <c r="IO2343" s="501"/>
      <c r="IP2343" s="501"/>
      <c r="IQ2343" s="501"/>
      <c r="IR2343" s="501"/>
      <c r="IS2343" s="501"/>
      <c r="IT2343" s="501"/>
      <c r="IU2343" s="501"/>
    </row>
    <row r="2344" spans="1:255" s="877" customFormat="1" ht="24" customHeight="1">
      <c r="A2344" s="501"/>
      <c r="B2344" s="501"/>
      <c r="C2344" s="501"/>
      <c r="D2344" s="501"/>
      <c r="E2344" s="501"/>
      <c r="F2344" s="501"/>
      <c r="G2344" s="915"/>
      <c r="H2344" s="501"/>
      <c r="I2344" s="874"/>
      <c r="J2344" s="501"/>
      <c r="K2344" s="501"/>
      <c r="L2344" s="874"/>
      <c r="M2344" s="554"/>
      <c r="N2344" s="501"/>
      <c r="O2344" s="501"/>
      <c r="P2344" s="501"/>
      <c r="Q2344" s="501"/>
      <c r="R2344" s="501"/>
      <c r="S2344" s="501"/>
      <c r="T2344" s="885"/>
      <c r="V2344" s="501"/>
      <c r="W2344" s="501"/>
      <c r="X2344" s="501"/>
      <c r="Y2344" s="501"/>
      <c r="Z2344" s="501"/>
      <c r="AA2344" s="501"/>
      <c r="AB2344" s="501"/>
      <c r="AC2344" s="501"/>
      <c r="AD2344" s="501"/>
      <c r="AE2344" s="501"/>
      <c r="AF2344" s="501"/>
      <c r="AG2344" s="501"/>
      <c r="AH2344" s="501"/>
      <c r="AI2344" s="501"/>
      <c r="AJ2344" s="501"/>
      <c r="AK2344" s="501"/>
      <c r="AL2344" s="501"/>
      <c r="AM2344" s="501"/>
      <c r="AN2344" s="501"/>
      <c r="AO2344" s="501"/>
      <c r="AP2344" s="501"/>
      <c r="AQ2344" s="501"/>
      <c r="AR2344" s="501"/>
      <c r="AS2344" s="501"/>
      <c r="AT2344" s="501"/>
      <c r="AU2344" s="501"/>
      <c r="AV2344" s="501"/>
      <c r="AW2344" s="501"/>
      <c r="AX2344" s="501"/>
      <c r="AY2344" s="501"/>
      <c r="AZ2344" s="501"/>
      <c r="BA2344" s="501"/>
      <c r="BB2344" s="501"/>
      <c r="BC2344" s="501"/>
      <c r="BD2344" s="501"/>
      <c r="BE2344" s="501"/>
      <c r="BF2344" s="501"/>
      <c r="BG2344" s="501"/>
      <c r="BH2344" s="501"/>
      <c r="BI2344" s="501"/>
      <c r="BJ2344" s="501"/>
      <c r="BK2344" s="501"/>
      <c r="BL2344" s="501"/>
      <c r="BM2344" s="501"/>
      <c r="BN2344" s="501"/>
      <c r="BO2344" s="501"/>
      <c r="BP2344" s="501"/>
      <c r="BQ2344" s="501"/>
      <c r="BR2344" s="501"/>
      <c r="BS2344" s="501"/>
      <c r="BT2344" s="501"/>
      <c r="BU2344" s="501"/>
      <c r="BV2344" s="501"/>
      <c r="BW2344" s="501"/>
      <c r="BX2344" s="501"/>
      <c r="BY2344" s="501"/>
      <c r="BZ2344" s="501"/>
      <c r="CA2344" s="501"/>
      <c r="CB2344" s="501"/>
      <c r="CC2344" s="501"/>
      <c r="CD2344" s="501"/>
      <c r="CE2344" s="501"/>
      <c r="CF2344" s="501"/>
      <c r="CG2344" s="501"/>
      <c r="CH2344" s="501"/>
      <c r="CI2344" s="501"/>
      <c r="CJ2344" s="501"/>
      <c r="CK2344" s="501"/>
      <c r="CL2344" s="501"/>
      <c r="CM2344" s="501"/>
      <c r="CN2344" s="501"/>
      <c r="CO2344" s="501"/>
      <c r="CP2344" s="501"/>
      <c r="CQ2344" s="501"/>
      <c r="CR2344" s="501"/>
      <c r="CS2344" s="501"/>
      <c r="CT2344" s="501"/>
      <c r="CU2344" s="501"/>
      <c r="CV2344" s="501"/>
      <c r="CW2344" s="501"/>
      <c r="CX2344" s="501"/>
      <c r="CY2344" s="501"/>
      <c r="CZ2344" s="501"/>
      <c r="DA2344" s="501"/>
      <c r="DB2344" s="501"/>
      <c r="DC2344" s="501"/>
      <c r="DD2344" s="501"/>
      <c r="DE2344" s="501"/>
      <c r="DF2344" s="501"/>
      <c r="DG2344" s="501"/>
      <c r="DH2344" s="501"/>
      <c r="DI2344" s="501"/>
      <c r="DJ2344" s="501"/>
      <c r="DK2344" s="501"/>
      <c r="DL2344" s="501"/>
      <c r="DM2344" s="501"/>
      <c r="DN2344" s="501"/>
      <c r="DO2344" s="501"/>
      <c r="DP2344" s="501"/>
      <c r="DQ2344" s="501"/>
      <c r="DR2344" s="501"/>
      <c r="DS2344" s="501"/>
      <c r="DT2344" s="501"/>
      <c r="DU2344" s="501"/>
      <c r="DV2344" s="501"/>
      <c r="DW2344" s="501"/>
      <c r="DX2344" s="501"/>
      <c r="DY2344" s="501"/>
      <c r="DZ2344" s="501"/>
      <c r="EA2344" s="501"/>
      <c r="EB2344" s="501"/>
      <c r="EC2344" s="501"/>
      <c r="ED2344" s="501"/>
      <c r="EE2344" s="501"/>
      <c r="EF2344" s="501"/>
      <c r="EG2344" s="501"/>
      <c r="EH2344" s="501"/>
      <c r="EI2344" s="501"/>
      <c r="EJ2344" s="501"/>
      <c r="EK2344" s="501"/>
      <c r="EL2344" s="501"/>
      <c r="EM2344" s="501"/>
      <c r="EN2344" s="501"/>
      <c r="EO2344" s="501"/>
      <c r="EP2344" s="501"/>
      <c r="EQ2344" s="501"/>
      <c r="ER2344" s="501"/>
      <c r="ES2344" s="501"/>
      <c r="ET2344" s="501"/>
      <c r="EU2344" s="501"/>
      <c r="EV2344" s="501"/>
      <c r="EW2344" s="501"/>
      <c r="EX2344" s="501"/>
      <c r="EY2344" s="501"/>
      <c r="EZ2344" s="501"/>
      <c r="FA2344" s="501"/>
      <c r="FB2344" s="501"/>
      <c r="FC2344" s="501"/>
      <c r="FD2344" s="501"/>
      <c r="FE2344" s="501"/>
      <c r="FF2344" s="501"/>
      <c r="FG2344" s="501"/>
      <c r="FH2344" s="501"/>
      <c r="FI2344" s="501"/>
      <c r="FJ2344" s="501"/>
      <c r="FK2344" s="501"/>
      <c r="FL2344" s="501"/>
      <c r="FM2344" s="501"/>
      <c r="FN2344" s="501"/>
      <c r="FO2344" s="501"/>
      <c r="FP2344" s="501"/>
      <c r="FQ2344" s="501"/>
      <c r="FR2344" s="501"/>
      <c r="FS2344" s="501"/>
      <c r="FT2344" s="501"/>
      <c r="FU2344" s="501"/>
      <c r="FV2344" s="501"/>
      <c r="FW2344" s="501"/>
      <c r="FX2344" s="501"/>
      <c r="FY2344" s="501"/>
      <c r="FZ2344" s="501"/>
      <c r="GA2344" s="501"/>
      <c r="GB2344" s="501"/>
      <c r="GC2344" s="501"/>
      <c r="GD2344" s="501"/>
      <c r="GE2344" s="501"/>
      <c r="GF2344" s="501"/>
      <c r="GG2344" s="501"/>
      <c r="GH2344" s="501"/>
      <c r="GI2344" s="501"/>
      <c r="GJ2344" s="501"/>
      <c r="GK2344" s="501"/>
      <c r="GL2344" s="501"/>
      <c r="GM2344" s="501"/>
      <c r="GN2344" s="501"/>
      <c r="GO2344" s="501"/>
      <c r="GP2344" s="501"/>
      <c r="GQ2344" s="501"/>
      <c r="GR2344" s="501"/>
      <c r="GS2344" s="501"/>
      <c r="GT2344" s="501"/>
      <c r="GU2344" s="501"/>
      <c r="GV2344" s="501"/>
      <c r="GW2344" s="501"/>
      <c r="GX2344" s="501"/>
      <c r="GY2344" s="501"/>
      <c r="GZ2344" s="501"/>
      <c r="HA2344" s="501"/>
      <c r="HB2344" s="501"/>
      <c r="HC2344" s="501"/>
      <c r="HD2344" s="501"/>
      <c r="HE2344" s="501"/>
      <c r="HF2344" s="501"/>
      <c r="HG2344" s="501"/>
      <c r="HH2344" s="501"/>
      <c r="HI2344" s="501"/>
      <c r="HJ2344" s="501"/>
      <c r="HK2344" s="501"/>
      <c r="HL2344" s="501"/>
      <c r="HM2344" s="501"/>
      <c r="HN2344" s="501"/>
      <c r="HO2344" s="501"/>
      <c r="HP2344" s="501"/>
      <c r="HQ2344" s="501"/>
      <c r="HR2344" s="501"/>
      <c r="HS2344" s="501"/>
      <c r="HT2344" s="501"/>
      <c r="HU2344" s="501"/>
      <c r="HV2344" s="501"/>
      <c r="HW2344" s="501"/>
      <c r="HX2344" s="501"/>
      <c r="HY2344" s="501"/>
      <c r="HZ2344" s="501"/>
      <c r="IA2344" s="501"/>
      <c r="IB2344" s="501"/>
      <c r="IC2344" s="501"/>
      <c r="ID2344" s="501"/>
      <c r="IE2344" s="501"/>
      <c r="IF2344" s="501"/>
      <c r="IG2344" s="501"/>
      <c r="IH2344" s="501"/>
      <c r="II2344" s="501"/>
      <c r="IJ2344" s="501"/>
      <c r="IK2344" s="501"/>
      <c r="IL2344" s="501"/>
      <c r="IM2344" s="501"/>
      <c r="IN2344" s="501"/>
      <c r="IO2344" s="501"/>
      <c r="IP2344" s="501"/>
      <c r="IQ2344" s="501"/>
      <c r="IR2344" s="501"/>
      <c r="IS2344" s="501"/>
      <c r="IT2344" s="501"/>
      <c r="IU2344" s="501"/>
    </row>
    <row r="2345" spans="1:255" s="877" customFormat="1" ht="24" customHeight="1">
      <c r="A2345" s="501"/>
      <c r="B2345" s="501"/>
      <c r="C2345" s="501"/>
      <c r="D2345" s="501"/>
      <c r="E2345" s="501"/>
      <c r="F2345" s="501"/>
      <c r="G2345" s="915"/>
      <c r="H2345" s="501"/>
      <c r="I2345" s="874"/>
      <c r="J2345" s="885"/>
      <c r="K2345" s="501"/>
      <c r="L2345" s="874"/>
      <c r="M2345" s="899"/>
      <c r="N2345" s="501"/>
      <c r="O2345" s="501"/>
      <c r="P2345" s="501"/>
      <c r="Q2345" s="501"/>
      <c r="R2345" s="501"/>
      <c r="S2345" s="501"/>
      <c r="T2345" s="501"/>
      <c r="V2345" s="501"/>
      <c r="W2345" s="501"/>
      <c r="X2345" s="501"/>
      <c r="Y2345" s="501"/>
      <c r="Z2345" s="501"/>
      <c r="AA2345" s="501"/>
      <c r="AB2345" s="501"/>
      <c r="AC2345" s="501"/>
      <c r="AD2345" s="501"/>
      <c r="AE2345" s="501"/>
      <c r="AF2345" s="501"/>
      <c r="AG2345" s="501"/>
      <c r="AH2345" s="501"/>
      <c r="AI2345" s="501"/>
      <c r="AJ2345" s="501"/>
      <c r="AK2345" s="501"/>
      <c r="AL2345" s="501"/>
      <c r="AM2345" s="501"/>
      <c r="AN2345" s="501"/>
      <c r="AO2345" s="501"/>
      <c r="AP2345" s="501"/>
      <c r="AQ2345" s="501"/>
      <c r="AR2345" s="501"/>
      <c r="AS2345" s="501"/>
      <c r="AT2345" s="501"/>
      <c r="AU2345" s="501"/>
      <c r="AV2345" s="501"/>
      <c r="AW2345" s="501"/>
      <c r="AX2345" s="501"/>
      <c r="AY2345" s="501"/>
      <c r="AZ2345" s="501"/>
      <c r="BA2345" s="501"/>
      <c r="BB2345" s="501"/>
      <c r="BC2345" s="501"/>
      <c r="BD2345" s="501"/>
      <c r="BE2345" s="501"/>
      <c r="BF2345" s="501"/>
      <c r="BG2345" s="501"/>
      <c r="BH2345" s="501"/>
      <c r="BI2345" s="501"/>
      <c r="BJ2345" s="501"/>
      <c r="BK2345" s="501"/>
      <c r="BL2345" s="501"/>
      <c r="BM2345" s="501"/>
      <c r="BN2345" s="501"/>
      <c r="BO2345" s="501"/>
      <c r="BP2345" s="501"/>
      <c r="BQ2345" s="501"/>
      <c r="BR2345" s="501"/>
      <c r="BS2345" s="501"/>
      <c r="BT2345" s="501"/>
      <c r="BU2345" s="501"/>
      <c r="BV2345" s="501"/>
      <c r="BW2345" s="501"/>
      <c r="BX2345" s="501"/>
      <c r="BY2345" s="501"/>
      <c r="BZ2345" s="501"/>
      <c r="CA2345" s="501"/>
      <c r="CB2345" s="501"/>
      <c r="CC2345" s="501"/>
      <c r="CD2345" s="501"/>
      <c r="CE2345" s="501"/>
      <c r="CF2345" s="501"/>
      <c r="CG2345" s="501"/>
      <c r="CH2345" s="501"/>
      <c r="CI2345" s="501"/>
      <c r="CJ2345" s="501"/>
      <c r="CK2345" s="501"/>
      <c r="CL2345" s="501"/>
      <c r="CM2345" s="501"/>
      <c r="CN2345" s="501"/>
      <c r="CO2345" s="501"/>
      <c r="CP2345" s="501"/>
      <c r="CQ2345" s="501"/>
      <c r="CR2345" s="501"/>
      <c r="CS2345" s="501"/>
      <c r="CT2345" s="501"/>
      <c r="CU2345" s="501"/>
      <c r="CV2345" s="501"/>
      <c r="CW2345" s="501"/>
      <c r="CX2345" s="501"/>
      <c r="CY2345" s="501"/>
      <c r="CZ2345" s="501"/>
      <c r="DA2345" s="501"/>
      <c r="DB2345" s="501"/>
      <c r="DC2345" s="501"/>
      <c r="DD2345" s="501"/>
      <c r="DE2345" s="501"/>
      <c r="DF2345" s="501"/>
      <c r="DG2345" s="501"/>
      <c r="DH2345" s="501"/>
      <c r="DI2345" s="501"/>
      <c r="DJ2345" s="501"/>
      <c r="DK2345" s="501"/>
      <c r="DL2345" s="501"/>
      <c r="DM2345" s="501"/>
      <c r="DN2345" s="501"/>
      <c r="DO2345" s="501"/>
      <c r="DP2345" s="501"/>
      <c r="DQ2345" s="501"/>
      <c r="DR2345" s="501"/>
      <c r="DS2345" s="501"/>
      <c r="DT2345" s="501"/>
      <c r="DU2345" s="501"/>
      <c r="DV2345" s="501"/>
      <c r="DW2345" s="501"/>
      <c r="DX2345" s="501"/>
      <c r="DY2345" s="501"/>
      <c r="DZ2345" s="501"/>
      <c r="EA2345" s="501"/>
      <c r="EB2345" s="501"/>
      <c r="EC2345" s="501"/>
      <c r="ED2345" s="501"/>
      <c r="EE2345" s="501"/>
      <c r="EF2345" s="501"/>
      <c r="EG2345" s="501"/>
      <c r="EH2345" s="501"/>
      <c r="EI2345" s="501"/>
      <c r="EJ2345" s="501"/>
      <c r="EK2345" s="501"/>
      <c r="EL2345" s="501"/>
      <c r="EM2345" s="501"/>
      <c r="EN2345" s="501"/>
      <c r="EO2345" s="501"/>
      <c r="EP2345" s="501"/>
      <c r="EQ2345" s="501"/>
      <c r="ER2345" s="501"/>
      <c r="ES2345" s="501"/>
      <c r="ET2345" s="501"/>
      <c r="EU2345" s="501"/>
      <c r="EV2345" s="501"/>
      <c r="EW2345" s="501"/>
      <c r="EX2345" s="501"/>
      <c r="EY2345" s="501"/>
      <c r="EZ2345" s="501"/>
      <c r="FA2345" s="501"/>
      <c r="FB2345" s="501"/>
      <c r="FC2345" s="501"/>
      <c r="FD2345" s="501"/>
      <c r="FE2345" s="501"/>
      <c r="FF2345" s="501"/>
      <c r="FG2345" s="501"/>
      <c r="FH2345" s="501"/>
      <c r="FI2345" s="501"/>
      <c r="FJ2345" s="501"/>
      <c r="FK2345" s="501"/>
      <c r="FL2345" s="501"/>
      <c r="FM2345" s="501"/>
      <c r="FN2345" s="501"/>
      <c r="FO2345" s="501"/>
      <c r="FP2345" s="501"/>
      <c r="FQ2345" s="501"/>
      <c r="FR2345" s="501"/>
      <c r="FS2345" s="501"/>
      <c r="FT2345" s="501"/>
      <c r="FU2345" s="501"/>
      <c r="FV2345" s="501"/>
      <c r="FW2345" s="501"/>
      <c r="FX2345" s="501"/>
      <c r="FY2345" s="501"/>
      <c r="FZ2345" s="501"/>
      <c r="GA2345" s="501"/>
      <c r="GB2345" s="501"/>
      <c r="GC2345" s="501"/>
      <c r="GD2345" s="501"/>
      <c r="GE2345" s="501"/>
      <c r="GF2345" s="501"/>
      <c r="GG2345" s="501"/>
      <c r="GH2345" s="501"/>
      <c r="GI2345" s="501"/>
      <c r="GJ2345" s="501"/>
      <c r="GK2345" s="501"/>
      <c r="GL2345" s="501"/>
      <c r="GM2345" s="501"/>
      <c r="GN2345" s="501"/>
      <c r="GO2345" s="501"/>
      <c r="GP2345" s="501"/>
      <c r="GQ2345" s="501"/>
      <c r="GR2345" s="501"/>
      <c r="GS2345" s="501"/>
      <c r="GT2345" s="501"/>
      <c r="GU2345" s="501"/>
      <c r="GV2345" s="501"/>
      <c r="GW2345" s="501"/>
      <c r="GX2345" s="501"/>
      <c r="GY2345" s="501"/>
      <c r="GZ2345" s="501"/>
      <c r="HA2345" s="501"/>
      <c r="HB2345" s="501"/>
      <c r="HC2345" s="501"/>
      <c r="HD2345" s="501"/>
      <c r="HE2345" s="501"/>
      <c r="HF2345" s="501"/>
      <c r="HG2345" s="501"/>
      <c r="HH2345" s="501"/>
      <c r="HI2345" s="501"/>
      <c r="HJ2345" s="501"/>
      <c r="HK2345" s="501"/>
      <c r="HL2345" s="501"/>
      <c r="HM2345" s="501"/>
      <c r="HN2345" s="501"/>
      <c r="HO2345" s="501"/>
      <c r="HP2345" s="501"/>
      <c r="HQ2345" s="501"/>
      <c r="HR2345" s="501"/>
      <c r="HS2345" s="501"/>
      <c r="HT2345" s="501"/>
      <c r="HU2345" s="501"/>
      <c r="HV2345" s="501"/>
      <c r="HW2345" s="501"/>
      <c r="HX2345" s="501"/>
      <c r="HY2345" s="501"/>
      <c r="HZ2345" s="501"/>
      <c r="IA2345" s="501"/>
      <c r="IB2345" s="501"/>
      <c r="IC2345" s="501"/>
      <c r="ID2345" s="501"/>
      <c r="IE2345" s="501"/>
      <c r="IF2345" s="501"/>
      <c r="IG2345" s="501"/>
      <c r="IH2345" s="501"/>
      <c r="II2345" s="501"/>
      <c r="IJ2345" s="501"/>
      <c r="IK2345" s="501"/>
      <c r="IL2345" s="501"/>
      <c r="IM2345" s="501"/>
      <c r="IN2345" s="501"/>
      <c r="IO2345" s="501"/>
      <c r="IP2345" s="501"/>
      <c r="IQ2345" s="501"/>
      <c r="IR2345" s="501"/>
      <c r="IS2345" s="501"/>
      <c r="IT2345" s="501"/>
      <c r="IU2345" s="501"/>
    </row>
    <row r="2346" spans="1:255" s="877" customFormat="1" ht="24" customHeight="1">
      <c r="A2346" s="501"/>
      <c r="B2346" s="501"/>
      <c r="C2346" s="501"/>
      <c r="D2346" s="501"/>
      <c r="E2346" s="501"/>
      <c r="F2346" s="501"/>
      <c r="G2346" s="915"/>
      <c r="H2346" s="501"/>
      <c r="I2346" s="874"/>
      <c r="J2346" s="885"/>
      <c r="K2346" s="501"/>
      <c r="L2346" s="874"/>
      <c r="M2346" s="899"/>
      <c r="N2346" s="501"/>
      <c r="O2346" s="501"/>
      <c r="P2346" s="501"/>
      <c r="Q2346" s="501"/>
      <c r="R2346" s="501"/>
      <c r="S2346" s="501"/>
      <c r="T2346" s="501"/>
      <c r="V2346" s="501"/>
      <c r="W2346" s="501"/>
      <c r="X2346" s="501"/>
      <c r="Y2346" s="501"/>
      <c r="Z2346" s="501"/>
      <c r="AA2346" s="501"/>
      <c r="AB2346" s="501"/>
      <c r="AC2346" s="501"/>
      <c r="AD2346" s="501"/>
      <c r="AE2346" s="501"/>
      <c r="AF2346" s="501"/>
      <c r="AG2346" s="501"/>
      <c r="AH2346" s="501"/>
      <c r="AI2346" s="501"/>
      <c r="AJ2346" s="501"/>
      <c r="AK2346" s="501"/>
      <c r="AL2346" s="501"/>
      <c r="AM2346" s="501"/>
      <c r="AN2346" s="501"/>
      <c r="AO2346" s="501"/>
      <c r="AP2346" s="501"/>
      <c r="AQ2346" s="501"/>
      <c r="AR2346" s="501"/>
      <c r="AS2346" s="501"/>
      <c r="AT2346" s="501"/>
      <c r="AU2346" s="501"/>
      <c r="AV2346" s="501"/>
      <c r="AW2346" s="501"/>
      <c r="AX2346" s="501"/>
      <c r="AY2346" s="501"/>
      <c r="AZ2346" s="501"/>
      <c r="BA2346" s="501"/>
      <c r="BB2346" s="501"/>
      <c r="BC2346" s="501"/>
      <c r="BD2346" s="501"/>
      <c r="BE2346" s="501"/>
      <c r="BF2346" s="501"/>
      <c r="BG2346" s="501"/>
      <c r="BH2346" s="501"/>
      <c r="BI2346" s="501"/>
      <c r="BJ2346" s="501"/>
      <c r="BK2346" s="501"/>
      <c r="BL2346" s="501"/>
      <c r="BM2346" s="501"/>
      <c r="BN2346" s="501"/>
      <c r="BO2346" s="501"/>
      <c r="BP2346" s="501"/>
      <c r="BQ2346" s="501"/>
      <c r="BR2346" s="501"/>
      <c r="BS2346" s="501"/>
      <c r="BT2346" s="501"/>
      <c r="BU2346" s="501"/>
      <c r="BV2346" s="501"/>
      <c r="BW2346" s="501"/>
      <c r="BX2346" s="501"/>
      <c r="BY2346" s="501"/>
      <c r="BZ2346" s="501"/>
      <c r="CA2346" s="501"/>
      <c r="CB2346" s="501"/>
      <c r="CC2346" s="501"/>
      <c r="CD2346" s="501"/>
      <c r="CE2346" s="501"/>
      <c r="CF2346" s="501"/>
      <c r="CG2346" s="501"/>
      <c r="CH2346" s="501"/>
      <c r="CI2346" s="501"/>
      <c r="CJ2346" s="501"/>
      <c r="CK2346" s="501"/>
      <c r="CL2346" s="501"/>
      <c r="CM2346" s="501"/>
      <c r="CN2346" s="501"/>
      <c r="CO2346" s="501"/>
      <c r="CP2346" s="501"/>
      <c r="CQ2346" s="501"/>
      <c r="CR2346" s="501"/>
      <c r="CS2346" s="501"/>
      <c r="CT2346" s="501"/>
      <c r="CU2346" s="501"/>
      <c r="CV2346" s="501"/>
      <c r="CW2346" s="501"/>
      <c r="CX2346" s="501"/>
      <c r="CY2346" s="501"/>
      <c r="CZ2346" s="501"/>
      <c r="DA2346" s="501"/>
      <c r="DB2346" s="501"/>
      <c r="DC2346" s="501"/>
      <c r="DD2346" s="501"/>
      <c r="DE2346" s="501"/>
      <c r="DF2346" s="501"/>
      <c r="DG2346" s="501"/>
      <c r="DH2346" s="501"/>
      <c r="DI2346" s="501"/>
      <c r="DJ2346" s="501"/>
      <c r="DK2346" s="501"/>
      <c r="DL2346" s="501"/>
      <c r="DM2346" s="501"/>
      <c r="DN2346" s="501"/>
      <c r="DO2346" s="501"/>
      <c r="DP2346" s="501"/>
      <c r="DQ2346" s="501"/>
      <c r="DR2346" s="501"/>
      <c r="DS2346" s="501"/>
      <c r="DT2346" s="501"/>
      <c r="DU2346" s="501"/>
      <c r="DV2346" s="501"/>
      <c r="DW2346" s="501"/>
      <c r="DX2346" s="501"/>
      <c r="DY2346" s="501"/>
      <c r="DZ2346" s="501"/>
      <c r="EA2346" s="501"/>
      <c r="EB2346" s="501"/>
      <c r="EC2346" s="501"/>
      <c r="ED2346" s="501"/>
      <c r="EE2346" s="501"/>
      <c r="EF2346" s="501"/>
      <c r="EG2346" s="501"/>
      <c r="EH2346" s="501"/>
      <c r="EI2346" s="501"/>
      <c r="EJ2346" s="501"/>
      <c r="EK2346" s="501"/>
      <c r="EL2346" s="501"/>
      <c r="EM2346" s="501"/>
      <c r="EN2346" s="501"/>
      <c r="EO2346" s="501"/>
      <c r="EP2346" s="501"/>
      <c r="EQ2346" s="501"/>
      <c r="ER2346" s="501"/>
      <c r="ES2346" s="501"/>
      <c r="ET2346" s="501"/>
      <c r="EU2346" s="501"/>
      <c r="EV2346" s="501"/>
      <c r="EW2346" s="501"/>
      <c r="EX2346" s="501"/>
      <c r="EY2346" s="501"/>
      <c r="EZ2346" s="501"/>
      <c r="FA2346" s="501"/>
      <c r="FB2346" s="501"/>
      <c r="FC2346" s="501"/>
      <c r="FD2346" s="501"/>
      <c r="FE2346" s="501"/>
      <c r="FF2346" s="501"/>
      <c r="FG2346" s="501"/>
      <c r="FH2346" s="501"/>
      <c r="FI2346" s="501"/>
      <c r="FJ2346" s="501"/>
      <c r="FK2346" s="501"/>
      <c r="FL2346" s="501"/>
      <c r="FM2346" s="501"/>
      <c r="FN2346" s="501"/>
      <c r="FO2346" s="501"/>
      <c r="FP2346" s="501"/>
      <c r="FQ2346" s="501"/>
      <c r="FR2346" s="501"/>
      <c r="FS2346" s="501"/>
      <c r="FT2346" s="501"/>
      <c r="FU2346" s="501"/>
      <c r="FV2346" s="501"/>
      <c r="FW2346" s="501"/>
      <c r="FX2346" s="501"/>
      <c r="FY2346" s="501"/>
      <c r="FZ2346" s="501"/>
      <c r="GA2346" s="501"/>
      <c r="GB2346" s="501"/>
      <c r="GC2346" s="501"/>
      <c r="GD2346" s="501"/>
      <c r="GE2346" s="501"/>
      <c r="GF2346" s="501"/>
      <c r="GG2346" s="501"/>
      <c r="GH2346" s="501"/>
      <c r="GI2346" s="501"/>
      <c r="GJ2346" s="501"/>
      <c r="GK2346" s="501"/>
      <c r="GL2346" s="501"/>
      <c r="GM2346" s="501"/>
      <c r="GN2346" s="501"/>
      <c r="GO2346" s="501"/>
      <c r="GP2346" s="501"/>
      <c r="GQ2346" s="501"/>
      <c r="GR2346" s="501"/>
      <c r="GS2346" s="501"/>
      <c r="GT2346" s="501"/>
      <c r="GU2346" s="501"/>
      <c r="GV2346" s="501"/>
      <c r="GW2346" s="501"/>
      <c r="GX2346" s="501"/>
      <c r="GY2346" s="501"/>
      <c r="GZ2346" s="501"/>
      <c r="HA2346" s="501"/>
      <c r="HB2346" s="501"/>
      <c r="HC2346" s="501"/>
      <c r="HD2346" s="501"/>
      <c r="HE2346" s="501"/>
      <c r="HF2346" s="501"/>
      <c r="HG2346" s="501"/>
      <c r="HH2346" s="501"/>
      <c r="HI2346" s="501"/>
      <c r="HJ2346" s="501"/>
      <c r="HK2346" s="501"/>
      <c r="HL2346" s="501"/>
      <c r="HM2346" s="501"/>
      <c r="HN2346" s="501"/>
      <c r="HO2346" s="501"/>
      <c r="HP2346" s="501"/>
      <c r="HQ2346" s="501"/>
      <c r="HR2346" s="501"/>
      <c r="HS2346" s="501"/>
      <c r="HT2346" s="501"/>
      <c r="HU2346" s="501"/>
      <c r="HV2346" s="501"/>
      <c r="HW2346" s="501"/>
      <c r="HX2346" s="501"/>
      <c r="HY2346" s="501"/>
      <c r="HZ2346" s="501"/>
      <c r="IA2346" s="501"/>
      <c r="IB2346" s="501"/>
      <c r="IC2346" s="501"/>
      <c r="ID2346" s="501"/>
      <c r="IE2346" s="501"/>
      <c r="IF2346" s="501"/>
      <c r="IG2346" s="501"/>
      <c r="IH2346" s="501"/>
      <c r="II2346" s="501"/>
      <c r="IJ2346" s="501"/>
      <c r="IK2346" s="501"/>
      <c r="IL2346" s="501"/>
      <c r="IM2346" s="501"/>
      <c r="IN2346" s="501"/>
      <c r="IO2346" s="501"/>
      <c r="IP2346" s="501"/>
      <c r="IQ2346" s="501"/>
      <c r="IR2346" s="501"/>
      <c r="IS2346" s="501"/>
      <c r="IT2346" s="501"/>
      <c r="IU2346" s="501"/>
    </row>
    <row r="2347" spans="1:255" s="877" customFormat="1" ht="24" customHeight="1">
      <c r="A2347" s="501"/>
      <c r="B2347" s="501"/>
      <c r="C2347" s="501"/>
      <c r="D2347" s="501"/>
      <c r="E2347" s="501"/>
      <c r="F2347" s="501"/>
      <c r="G2347" s="915"/>
      <c r="H2347" s="501"/>
      <c r="I2347" s="874"/>
      <c r="J2347" s="885"/>
      <c r="K2347" s="501"/>
      <c r="L2347" s="874"/>
      <c r="M2347" s="899"/>
      <c r="N2347" s="501"/>
      <c r="O2347" s="501"/>
      <c r="P2347" s="902"/>
      <c r="Q2347" s="1624"/>
      <c r="R2347" s="1624"/>
      <c r="S2347" s="1624"/>
      <c r="T2347" s="501"/>
      <c r="V2347" s="501"/>
      <c r="W2347" s="501"/>
      <c r="X2347" s="501"/>
      <c r="Y2347" s="501"/>
      <c r="Z2347" s="501"/>
      <c r="AA2347" s="501"/>
      <c r="AB2347" s="501"/>
      <c r="AC2347" s="501"/>
      <c r="AD2347" s="501"/>
      <c r="AE2347" s="501"/>
      <c r="AF2347" s="501"/>
      <c r="AG2347" s="501"/>
      <c r="AH2347" s="501"/>
      <c r="AI2347" s="501"/>
      <c r="AJ2347" s="501"/>
      <c r="AK2347" s="501"/>
      <c r="AL2347" s="501"/>
      <c r="AM2347" s="501"/>
      <c r="AN2347" s="501"/>
      <c r="AO2347" s="501"/>
      <c r="AP2347" s="501"/>
      <c r="AQ2347" s="501"/>
      <c r="AR2347" s="501"/>
      <c r="AS2347" s="501"/>
      <c r="AT2347" s="501"/>
      <c r="AU2347" s="501"/>
      <c r="AV2347" s="501"/>
      <c r="AW2347" s="501"/>
      <c r="AX2347" s="501"/>
      <c r="AY2347" s="501"/>
      <c r="AZ2347" s="501"/>
      <c r="BA2347" s="501"/>
      <c r="BB2347" s="501"/>
      <c r="BC2347" s="501"/>
      <c r="BD2347" s="501"/>
      <c r="BE2347" s="501"/>
      <c r="BF2347" s="501"/>
      <c r="BG2347" s="501"/>
      <c r="BH2347" s="501"/>
      <c r="BI2347" s="501"/>
      <c r="BJ2347" s="501"/>
      <c r="BK2347" s="501"/>
      <c r="BL2347" s="501"/>
      <c r="BM2347" s="501"/>
      <c r="BN2347" s="501"/>
      <c r="BO2347" s="501"/>
      <c r="BP2347" s="501"/>
      <c r="BQ2347" s="501"/>
      <c r="BR2347" s="501"/>
      <c r="BS2347" s="501"/>
      <c r="BT2347" s="501"/>
      <c r="BU2347" s="501"/>
      <c r="BV2347" s="501"/>
      <c r="BW2347" s="501"/>
      <c r="BX2347" s="501"/>
      <c r="BY2347" s="501"/>
      <c r="BZ2347" s="501"/>
      <c r="CA2347" s="501"/>
      <c r="CB2347" s="501"/>
      <c r="CC2347" s="501"/>
      <c r="CD2347" s="501"/>
      <c r="CE2347" s="501"/>
      <c r="CF2347" s="501"/>
      <c r="CG2347" s="501"/>
      <c r="CH2347" s="501"/>
      <c r="CI2347" s="501"/>
      <c r="CJ2347" s="501"/>
      <c r="CK2347" s="501"/>
      <c r="CL2347" s="501"/>
      <c r="CM2347" s="501"/>
      <c r="CN2347" s="501"/>
      <c r="CO2347" s="501"/>
      <c r="CP2347" s="501"/>
      <c r="CQ2347" s="501"/>
      <c r="CR2347" s="501"/>
      <c r="CS2347" s="501"/>
      <c r="CT2347" s="501"/>
      <c r="CU2347" s="501"/>
      <c r="CV2347" s="501"/>
      <c r="CW2347" s="501"/>
      <c r="CX2347" s="501"/>
      <c r="CY2347" s="501"/>
      <c r="CZ2347" s="501"/>
      <c r="DA2347" s="501"/>
      <c r="DB2347" s="501"/>
      <c r="DC2347" s="501"/>
      <c r="DD2347" s="501"/>
      <c r="DE2347" s="501"/>
      <c r="DF2347" s="501"/>
      <c r="DG2347" s="501"/>
      <c r="DH2347" s="501"/>
      <c r="DI2347" s="501"/>
      <c r="DJ2347" s="501"/>
      <c r="DK2347" s="501"/>
      <c r="DL2347" s="501"/>
      <c r="DM2347" s="501"/>
      <c r="DN2347" s="501"/>
      <c r="DO2347" s="501"/>
      <c r="DP2347" s="501"/>
      <c r="DQ2347" s="501"/>
      <c r="DR2347" s="501"/>
      <c r="DS2347" s="501"/>
      <c r="DT2347" s="501"/>
      <c r="DU2347" s="501"/>
      <c r="DV2347" s="501"/>
      <c r="DW2347" s="501"/>
      <c r="DX2347" s="501"/>
      <c r="DY2347" s="501"/>
      <c r="DZ2347" s="501"/>
      <c r="EA2347" s="501"/>
      <c r="EB2347" s="501"/>
      <c r="EC2347" s="501"/>
      <c r="ED2347" s="501"/>
      <c r="EE2347" s="501"/>
      <c r="EF2347" s="501"/>
      <c r="EG2347" s="501"/>
      <c r="EH2347" s="501"/>
      <c r="EI2347" s="501"/>
      <c r="EJ2347" s="501"/>
      <c r="EK2347" s="501"/>
      <c r="EL2347" s="501"/>
      <c r="EM2347" s="501"/>
      <c r="EN2347" s="501"/>
      <c r="EO2347" s="501"/>
      <c r="EP2347" s="501"/>
      <c r="EQ2347" s="501"/>
      <c r="ER2347" s="501"/>
      <c r="ES2347" s="501"/>
      <c r="ET2347" s="501"/>
      <c r="EU2347" s="501"/>
      <c r="EV2347" s="501"/>
      <c r="EW2347" s="501"/>
      <c r="EX2347" s="501"/>
      <c r="EY2347" s="501"/>
      <c r="EZ2347" s="501"/>
      <c r="FA2347" s="501"/>
      <c r="FB2347" s="501"/>
      <c r="FC2347" s="501"/>
      <c r="FD2347" s="501"/>
      <c r="FE2347" s="501"/>
      <c r="FF2347" s="501"/>
      <c r="FG2347" s="501"/>
      <c r="FH2347" s="501"/>
      <c r="FI2347" s="501"/>
      <c r="FJ2347" s="501"/>
      <c r="FK2347" s="501"/>
      <c r="FL2347" s="501"/>
      <c r="FM2347" s="501"/>
      <c r="FN2347" s="501"/>
      <c r="FO2347" s="501"/>
      <c r="FP2347" s="501"/>
      <c r="FQ2347" s="501"/>
      <c r="FR2347" s="501"/>
      <c r="FS2347" s="501"/>
      <c r="FT2347" s="501"/>
      <c r="FU2347" s="501"/>
      <c r="FV2347" s="501"/>
      <c r="FW2347" s="501"/>
      <c r="FX2347" s="501"/>
      <c r="FY2347" s="501"/>
      <c r="FZ2347" s="501"/>
      <c r="GA2347" s="501"/>
      <c r="GB2347" s="501"/>
      <c r="GC2347" s="501"/>
      <c r="GD2347" s="501"/>
      <c r="GE2347" s="501"/>
      <c r="GF2347" s="501"/>
      <c r="GG2347" s="501"/>
      <c r="GH2347" s="501"/>
      <c r="GI2347" s="501"/>
      <c r="GJ2347" s="501"/>
      <c r="GK2347" s="501"/>
      <c r="GL2347" s="501"/>
      <c r="GM2347" s="501"/>
      <c r="GN2347" s="501"/>
      <c r="GO2347" s="501"/>
      <c r="GP2347" s="501"/>
      <c r="GQ2347" s="501"/>
      <c r="GR2347" s="501"/>
      <c r="GS2347" s="501"/>
      <c r="GT2347" s="501"/>
      <c r="GU2347" s="501"/>
      <c r="GV2347" s="501"/>
      <c r="GW2347" s="501"/>
      <c r="GX2347" s="501"/>
      <c r="GY2347" s="501"/>
      <c r="GZ2347" s="501"/>
      <c r="HA2347" s="501"/>
      <c r="HB2347" s="501"/>
      <c r="HC2347" s="501"/>
      <c r="HD2347" s="501"/>
      <c r="HE2347" s="501"/>
      <c r="HF2347" s="501"/>
      <c r="HG2347" s="501"/>
      <c r="HH2347" s="501"/>
      <c r="HI2347" s="501"/>
      <c r="HJ2347" s="501"/>
      <c r="HK2347" s="501"/>
      <c r="HL2347" s="501"/>
      <c r="HM2347" s="501"/>
      <c r="HN2347" s="501"/>
      <c r="HO2347" s="501"/>
      <c r="HP2347" s="501"/>
      <c r="HQ2347" s="501"/>
      <c r="HR2347" s="501"/>
      <c r="HS2347" s="501"/>
      <c r="HT2347" s="501"/>
      <c r="HU2347" s="501"/>
      <c r="HV2347" s="501"/>
      <c r="HW2347" s="501"/>
      <c r="HX2347" s="501"/>
      <c r="HY2347" s="501"/>
      <c r="HZ2347" s="501"/>
      <c r="IA2347" s="501"/>
      <c r="IB2347" s="501"/>
      <c r="IC2347" s="501"/>
      <c r="ID2347" s="501"/>
      <c r="IE2347" s="501"/>
      <c r="IF2347" s="501"/>
      <c r="IG2347" s="501"/>
      <c r="IH2347" s="501"/>
      <c r="II2347" s="501"/>
      <c r="IJ2347" s="501"/>
      <c r="IK2347" s="501"/>
      <c r="IL2347" s="501"/>
      <c r="IM2347" s="501"/>
      <c r="IN2347" s="501"/>
      <c r="IO2347" s="501"/>
      <c r="IP2347" s="501"/>
      <c r="IQ2347" s="501"/>
      <c r="IR2347" s="501"/>
      <c r="IS2347" s="501"/>
      <c r="IT2347" s="501"/>
      <c r="IU2347" s="501"/>
    </row>
    <row r="2348" spans="1:255" s="877" customFormat="1" ht="24" customHeight="1">
      <c r="A2348" s="501"/>
      <c r="B2348" s="501"/>
      <c r="C2348" s="501"/>
      <c r="D2348" s="501"/>
      <c r="E2348" s="501"/>
      <c r="F2348" s="501"/>
      <c r="G2348" s="915"/>
      <c r="H2348" s="501"/>
      <c r="I2348" s="895"/>
      <c r="J2348" s="501"/>
      <c r="K2348" s="885"/>
      <c r="L2348" s="874"/>
      <c r="M2348" s="899"/>
      <c r="N2348" s="501"/>
      <c r="O2348" s="501"/>
      <c r="P2348" s="902"/>
      <c r="Q2348" s="501"/>
      <c r="R2348" s="501"/>
      <c r="S2348" s="874"/>
      <c r="T2348" s="501"/>
      <c r="V2348" s="501"/>
      <c r="W2348" s="501"/>
      <c r="X2348" s="501"/>
      <c r="Y2348" s="501"/>
      <c r="Z2348" s="501"/>
      <c r="AA2348" s="501"/>
      <c r="AB2348" s="501"/>
      <c r="AC2348" s="501"/>
      <c r="AD2348" s="501"/>
      <c r="AE2348" s="501"/>
      <c r="AF2348" s="501"/>
      <c r="AG2348" s="501"/>
      <c r="AH2348" s="501"/>
      <c r="AI2348" s="501"/>
      <c r="AJ2348" s="501"/>
      <c r="AK2348" s="501"/>
      <c r="AL2348" s="501"/>
      <c r="AM2348" s="501"/>
      <c r="AN2348" s="501"/>
      <c r="AO2348" s="501"/>
      <c r="AP2348" s="501"/>
      <c r="AQ2348" s="501"/>
      <c r="AR2348" s="501"/>
      <c r="AS2348" s="501"/>
      <c r="AT2348" s="501"/>
      <c r="AU2348" s="501"/>
      <c r="AV2348" s="501"/>
      <c r="AW2348" s="501"/>
      <c r="AX2348" s="501"/>
      <c r="AY2348" s="501"/>
      <c r="AZ2348" s="501"/>
      <c r="BA2348" s="501"/>
      <c r="BB2348" s="501"/>
      <c r="BC2348" s="501"/>
      <c r="BD2348" s="501"/>
      <c r="BE2348" s="501"/>
      <c r="BF2348" s="501"/>
      <c r="BG2348" s="501"/>
      <c r="BH2348" s="501"/>
      <c r="BI2348" s="501"/>
      <c r="BJ2348" s="501"/>
      <c r="BK2348" s="501"/>
      <c r="BL2348" s="501"/>
      <c r="BM2348" s="501"/>
      <c r="BN2348" s="501"/>
      <c r="BO2348" s="501"/>
      <c r="BP2348" s="501"/>
      <c r="BQ2348" s="501"/>
      <c r="BR2348" s="501"/>
      <c r="BS2348" s="501"/>
      <c r="BT2348" s="501"/>
      <c r="BU2348" s="501"/>
      <c r="BV2348" s="501"/>
      <c r="BW2348" s="501"/>
      <c r="BX2348" s="501"/>
      <c r="BY2348" s="501"/>
      <c r="BZ2348" s="501"/>
      <c r="CA2348" s="501"/>
      <c r="CB2348" s="501"/>
      <c r="CC2348" s="501"/>
      <c r="CD2348" s="501"/>
      <c r="CE2348" s="501"/>
      <c r="CF2348" s="501"/>
      <c r="CG2348" s="501"/>
      <c r="CH2348" s="501"/>
      <c r="CI2348" s="501"/>
      <c r="CJ2348" s="501"/>
      <c r="CK2348" s="501"/>
      <c r="CL2348" s="501"/>
      <c r="CM2348" s="501"/>
      <c r="CN2348" s="501"/>
      <c r="CO2348" s="501"/>
      <c r="CP2348" s="501"/>
      <c r="CQ2348" s="501"/>
      <c r="CR2348" s="501"/>
      <c r="CS2348" s="501"/>
      <c r="CT2348" s="501"/>
      <c r="CU2348" s="501"/>
      <c r="CV2348" s="501"/>
      <c r="CW2348" s="501"/>
      <c r="CX2348" s="501"/>
      <c r="CY2348" s="501"/>
      <c r="CZ2348" s="501"/>
      <c r="DA2348" s="501"/>
      <c r="DB2348" s="501"/>
      <c r="DC2348" s="501"/>
      <c r="DD2348" s="501"/>
      <c r="DE2348" s="501"/>
      <c r="DF2348" s="501"/>
      <c r="DG2348" s="501"/>
      <c r="DH2348" s="501"/>
      <c r="DI2348" s="501"/>
      <c r="DJ2348" s="501"/>
      <c r="DK2348" s="501"/>
      <c r="DL2348" s="501"/>
      <c r="DM2348" s="501"/>
      <c r="DN2348" s="501"/>
      <c r="DO2348" s="501"/>
      <c r="DP2348" s="501"/>
      <c r="DQ2348" s="501"/>
      <c r="DR2348" s="501"/>
      <c r="DS2348" s="501"/>
      <c r="DT2348" s="501"/>
      <c r="DU2348" s="501"/>
      <c r="DV2348" s="501"/>
      <c r="DW2348" s="501"/>
      <c r="DX2348" s="501"/>
      <c r="DY2348" s="501"/>
      <c r="DZ2348" s="501"/>
      <c r="EA2348" s="501"/>
      <c r="EB2348" s="501"/>
      <c r="EC2348" s="501"/>
      <c r="ED2348" s="501"/>
      <c r="EE2348" s="501"/>
      <c r="EF2348" s="501"/>
      <c r="EG2348" s="501"/>
      <c r="EH2348" s="501"/>
      <c r="EI2348" s="501"/>
      <c r="EJ2348" s="501"/>
      <c r="EK2348" s="501"/>
      <c r="EL2348" s="501"/>
      <c r="EM2348" s="501"/>
      <c r="EN2348" s="501"/>
      <c r="EO2348" s="501"/>
      <c r="EP2348" s="501"/>
      <c r="EQ2348" s="501"/>
      <c r="ER2348" s="501"/>
      <c r="ES2348" s="501"/>
      <c r="ET2348" s="501"/>
      <c r="EU2348" s="501"/>
      <c r="EV2348" s="501"/>
      <c r="EW2348" s="501"/>
      <c r="EX2348" s="501"/>
      <c r="EY2348" s="501"/>
      <c r="EZ2348" s="501"/>
      <c r="FA2348" s="501"/>
      <c r="FB2348" s="501"/>
      <c r="FC2348" s="501"/>
      <c r="FD2348" s="501"/>
      <c r="FE2348" s="501"/>
      <c r="FF2348" s="501"/>
      <c r="FG2348" s="501"/>
      <c r="FH2348" s="501"/>
      <c r="FI2348" s="501"/>
      <c r="FJ2348" s="501"/>
      <c r="FK2348" s="501"/>
      <c r="FL2348" s="501"/>
      <c r="FM2348" s="501"/>
      <c r="FN2348" s="501"/>
      <c r="FO2348" s="501"/>
      <c r="FP2348" s="501"/>
      <c r="FQ2348" s="501"/>
      <c r="FR2348" s="501"/>
      <c r="FS2348" s="501"/>
      <c r="FT2348" s="501"/>
      <c r="FU2348" s="501"/>
      <c r="FV2348" s="501"/>
      <c r="FW2348" s="501"/>
      <c r="FX2348" s="501"/>
      <c r="FY2348" s="501"/>
      <c r="FZ2348" s="501"/>
      <c r="GA2348" s="501"/>
      <c r="GB2348" s="501"/>
      <c r="GC2348" s="501"/>
      <c r="GD2348" s="501"/>
      <c r="GE2348" s="501"/>
      <c r="GF2348" s="501"/>
      <c r="GG2348" s="501"/>
      <c r="GH2348" s="501"/>
      <c r="GI2348" s="501"/>
      <c r="GJ2348" s="501"/>
      <c r="GK2348" s="501"/>
      <c r="GL2348" s="501"/>
      <c r="GM2348" s="501"/>
      <c r="GN2348" s="501"/>
      <c r="GO2348" s="501"/>
      <c r="GP2348" s="501"/>
      <c r="GQ2348" s="501"/>
      <c r="GR2348" s="501"/>
      <c r="GS2348" s="501"/>
      <c r="GT2348" s="501"/>
      <c r="GU2348" s="501"/>
      <c r="GV2348" s="501"/>
      <c r="GW2348" s="501"/>
      <c r="GX2348" s="501"/>
      <c r="GY2348" s="501"/>
      <c r="GZ2348" s="501"/>
      <c r="HA2348" s="501"/>
      <c r="HB2348" s="501"/>
      <c r="HC2348" s="501"/>
      <c r="HD2348" s="501"/>
      <c r="HE2348" s="501"/>
      <c r="HF2348" s="501"/>
      <c r="HG2348" s="501"/>
      <c r="HH2348" s="501"/>
      <c r="HI2348" s="501"/>
      <c r="HJ2348" s="501"/>
      <c r="HK2348" s="501"/>
      <c r="HL2348" s="501"/>
      <c r="HM2348" s="501"/>
      <c r="HN2348" s="501"/>
      <c r="HO2348" s="501"/>
      <c r="HP2348" s="501"/>
      <c r="HQ2348" s="501"/>
      <c r="HR2348" s="501"/>
      <c r="HS2348" s="501"/>
      <c r="HT2348" s="501"/>
      <c r="HU2348" s="501"/>
      <c r="HV2348" s="501"/>
      <c r="HW2348" s="501"/>
      <c r="HX2348" s="501"/>
      <c r="HY2348" s="501"/>
      <c r="HZ2348" s="501"/>
      <c r="IA2348" s="501"/>
      <c r="IB2348" s="501"/>
      <c r="IC2348" s="501"/>
      <c r="ID2348" s="501"/>
      <c r="IE2348" s="501"/>
      <c r="IF2348" s="501"/>
      <c r="IG2348" s="501"/>
      <c r="IH2348" s="501"/>
      <c r="II2348" s="501"/>
      <c r="IJ2348" s="501"/>
      <c r="IK2348" s="501"/>
      <c r="IL2348" s="501"/>
      <c r="IM2348" s="501"/>
      <c r="IN2348" s="501"/>
      <c r="IO2348" s="501"/>
      <c r="IP2348" s="501"/>
      <c r="IQ2348" s="501"/>
      <c r="IR2348" s="501"/>
      <c r="IS2348" s="501"/>
      <c r="IT2348" s="501"/>
      <c r="IU2348" s="501"/>
    </row>
    <row r="2349" spans="1:255" s="877" customFormat="1" ht="24" customHeight="1">
      <c r="A2349" s="501"/>
      <c r="B2349" s="501"/>
      <c r="C2349" s="501"/>
      <c r="D2349" s="501"/>
      <c r="E2349" s="501"/>
      <c r="F2349" s="501"/>
      <c r="G2349" s="915"/>
      <c r="H2349" s="501"/>
      <c r="I2349" s="895"/>
      <c r="J2349" s="501"/>
      <c r="K2349" s="885"/>
      <c r="L2349" s="874"/>
      <c r="M2349" s="899"/>
      <c r="N2349" s="501"/>
      <c r="P2349" s="902"/>
      <c r="Q2349" s="501"/>
      <c r="R2349" s="501"/>
      <c r="S2349" s="874"/>
      <c r="T2349" s="501"/>
      <c r="V2349" s="501"/>
      <c r="W2349" s="501"/>
      <c r="X2349" s="501"/>
      <c r="Y2349" s="501"/>
      <c r="Z2349" s="501"/>
      <c r="AA2349" s="501"/>
      <c r="AB2349" s="501"/>
      <c r="AC2349" s="501"/>
      <c r="AD2349" s="501"/>
      <c r="AE2349" s="501"/>
      <c r="AF2349" s="501"/>
      <c r="AG2349" s="501"/>
      <c r="AH2349" s="501"/>
      <c r="AI2349" s="501"/>
      <c r="AJ2349" s="501"/>
      <c r="AK2349" s="501"/>
      <c r="AL2349" s="501"/>
      <c r="AM2349" s="501"/>
      <c r="AN2349" s="501"/>
      <c r="AO2349" s="501"/>
      <c r="AP2349" s="501"/>
      <c r="AQ2349" s="501"/>
      <c r="AR2349" s="501"/>
      <c r="AS2349" s="501"/>
      <c r="AT2349" s="501"/>
      <c r="AU2349" s="501"/>
      <c r="AV2349" s="501"/>
      <c r="AW2349" s="501"/>
      <c r="AX2349" s="501"/>
      <c r="AY2349" s="501"/>
      <c r="AZ2349" s="501"/>
      <c r="BA2349" s="501"/>
      <c r="BB2349" s="501"/>
      <c r="BC2349" s="501"/>
      <c r="BD2349" s="501"/>
      <c r="BE2349" s="501"/>
      <c r="BF2349" s="501"/>
      <c r="BG2349" s="501"/>
      <c r="BH2349" s="501"/>
      <c r="BI2349" s="501"/>
      <c r="BJ2349" s="501"/>
      <c r="BK2349" s="501"/>
      <c r="BL2349" s="501"/>
      <c r="BM2349" s="501"/>
      <c r="BN2349" s="501"/>
      <c r="BO2349" s="501"/>
      <c r="BP2349" s="501"/>
      <c r="BQ2349" s="501"/>
      <c r="BR2349" s="501"/>
      <c r="BS2349" s="501"/>
      <c r="BT2349" s="501"/>
      <c r="BU2349" s="501"/>
      <c r="BV2349" s="501"/>
      <c r="BW2349" s="501"/>
      <c r="BX2349" s="501"/>
      <c r="BY2349" s="501"/>
      <c r="BZ2349" s="501"/>
      <c r="CA2349" s="501"/>
      <c r="CB2349" s="501"/>
      <c r="CC2349" s="501"/>
      <c r="CD2349" s="501"/>
      <c r="CE2349" s="501"/>
      <c r="CF2349" s="501"/>
      <c r="CG2349" s="501"/>
      <c r="CH2349" s="501"/>
      <c r="CI2349" s="501"/>
      <c r="CJ2349" s="501"/>
      <c r="CK2349" s="501"/>
      <c r="CL2349" s="501"/>
      <c r="CM2349" s="501"/>
      <c r="CN2349" s="501"/>
      <c r="CO2349" s="501"/>
      <c r="CP2349" s="501"/>
      <c r="CQ2349" s="501"/>
      <c r="CR2349" s="501"/>
      <c r="CS2349" s="501"/>
      <c r="CT2349" s="501"/>
      <c r="CU2349" s="501"/>
      <c r="CV2349" s="501"/>
      <c r="CW2349" s="501"/>
      <c r="CX2349" s="501"/>
      <c r="CY2349" s="501"/>
      <c r="CZ2349" s="501"/>
      <c r="DA2349" s="501"/>
      <c r="DB2349" s="501"/>
      <c r="DC2349" s="501"/>
      <c r="DD2349" s="501"/>
      <c r="DE2349" s="501"/>
      <c r="DF2349" s="501"/>
      <c r="DG2349" s="501"/>
      <c r="DH2349" s="501"/>
      <c r="DI2349" s="501"/>
      <c r="DJ2349" s="501"/>
      <c r="DK2349" s="501"/>
      <c r="DL2349" s="501"/>
      <c r="DM2349" s="501"/>
      <c r="DN2349" s="501"/>
      <c r="DO2349" s="501"/>
      <c r="DP2349" s="501"/>
      <c r="DQ2349" s="501"/>
      <c r="DR2349" s="501"/>
      <c r="DS2349" s="501"/>
      <c r="DT2349" s="501"/>
      <c r="DU2349" s="501"/>
      <c r="DV2349" s="501"/>
      <c r="DW2349" s="501"/>
      <c r="DX2349" s="501"/>
      <c r="DY2349" s="501"/>
      <c r="DZ2349" s="501"/>
      <c r="EA2349" s="501"/>
      <c r="EB2349" s="501"/>
      <c r="EC2349" s="501"/>
      <c r="ED2349" s="501"/>
      <c r="EE2349" s="501"/>
      <c r="EF2349" s="501"/>
      <c r="EG2349" s="501"/>
      <c r="EH2349" s="501"/>
      <c r="EI2349" s="501"/>
      <c r="EJ2349" s="501"/>
      <c r="EK2349" s="501"/>
      <c r="EL2349" s="501"/>
      <c r="EM2349" s="501"/>
      <c r="EN2349" s="501"/>
      <c r="EO2349" s="501"/>
      <c r="EP2349" s="501"/>
      <c r="EQ2349" s="501"/>
      <c r="ER2349" s="501"/>
      <c r="ES2349" s="501"/>
      <c r="ET2349" s="501"/>
      <c r="EU2349" s="501"/>
      <c r="EV2349" s="501"/>
      <c r="EW2349" s="501"/>
      <c r="EX2349" s="501"/>
      <c r="EY2349" s="501"/>
      <c r="EZ2349" s="501"/>
      <c r="FA2349" s="501"/>
      <c r="FB2349" s="501"/>
      <c r="FC2349" s="501"/>
      <c r="FD2349" s="501"/>
      <c r="FE2349" s="501"/>
      <c r="FF2349" s="501"/>
      <c r="FG2349" s="501"/>
      <c r="FH2349" s="501"/>
      <c r="FI2349" s="501"/>
      <c r="FJ2349" s="501"/>
      <c r="FK2349" s="501"/>
      <c r="FL2349" s="501"/>
      <c r="FM2349" s="501"/>
      <c r="FN2349" s="501"/>
      <c r="FO2349" s="501"/>
      <c r="FP2349" s="501"/>
      <c r="FQ2349" s="501"/>
      <c r="FR2349" s="501"/>
      <c r="FS2349" s="501"/>
      <c r="FT2349" s="501"/>
      <c r="FU2349" s="501"/>
      <c r="FV2349" s="501"/>
      <c r="FW2349" s="501"/>
      <c r="FX2349" s="501"/>
      <c r="FY2349" s="501"/>
      <c r="FZ2349" s="501"/>
      <c r="GA2349" s="501"/>
      <c r="GB2349" s="501"/>
      <c r="GC2349" s="501"/>
      <c r="GD2349" s="501"/>
      <c r="GE2349" s="501"/>
      <c r="GF2349" s="501"/>
      <c r="GG2349" s="501"/>
      <c r="GH2349" s="501"/>
      <c r="GI2349" s="501"/>
      <c r="GJ2349" s="501"/>
      <c r="GK2349" s="501"/>
      <c r="GL2349" s="501"/>
      <c r="GM2349" s="501"/>
      <c r="GN2349" s="501"/>
      <c r="GO2349" s="501"/>
      <c r="GP2349" s="501"/>
      <c r="GQ2349" s="501"/>
      <c r="GR2349" s="501"/>
      <c r="GS2349" s="501"/>
      <c r="GT2349" s="501"/>
      <c r="GU2349" s="501"/>
      <c r="GV2349" s="501"/>
      <c r="GW2349" s="501"/>
      <c r="GX2349" s="501"/>
      <c r="GY2349" s="501"/>
      <c r="GZ2349" s="501"/>
      <c r="HA2349" s="501"/>
      <c r="HB2349" s="501"/>
      <c r="HC2349" s="501"/>
      <c r="HD2349" s="501"/>
      <c r="HE2349" s="501"/>
      <c r="HF2349" s="501"/>
      <c r="HG2349" s="501"/>
      <c r="HH2349" s="501"/>
      <c r="HI2349" s="501"/>
      <c r="HJ2349" s="501"/>
      <c r="HK2349" s="501"/>
      <c r="HL2349" s="501"/>
      <c r="HM2349" s="501"/>
      <c r="HN2349" s="501"/>
      <c r="HO2349" s="501"/>
      <c r="HP2349" s="501"/>
      <c r="HQ2349" s="501"/>
      <c r="HR2349" s="501"/>
      <c r="HS2349" s="501"/>
      <c r="HT2349" s="501"/>
      <c r="HU2349" s="501"/>
      <c r="HV2349" s="501"/>
      <c r="HW2349" s="501"/>
      <c r="HX2349" s="501"/>
      <c r="HY2349" s="501"/>
      <c r="HZ2349" s="501"/>
      <c r="IA2349" s="501"/>
      <c r="IB2349" s="501"/>
      <c r="IC2349" s="501"/>
      <c r="ID2349" s="501"/>
      <c r="IE2349" s="501"/>
      <c r="IF2349" s="501"/>
      <c r="IG2349" s="501"/>
      <c r="IH2349" s="501"/>
      <c r="II2349" s="501"/>
      <c r="IJ2349" s="501"/>
      <c r="IK2349" s="501"/>
      <c r="IL2349" s="501"/>
      <c r="IM2349" s="501"/>
      <c r="IN2349" s="501"/>
      <c r="IO2349" s="501"/>
      <c r="IP2349" s="501"/>
      <c r="IQ2349" s="501"/>
      <c r="IR2349" s="501"/>
      <c r="IS2349" s="501"/>
      <c r="IT2349" s="501"/>
      <c r="IU2349" s="501"/>
    </row>
    <row r="2350" spans="1:255" s="877" customFormat="1" ht="24" customHeight="1">
      <c r="A2350" s="501"/>
      <c r="B2350" s="501"/>
      <c r="C2350" s="501"/>
      <c r="D2350" s="501"/>
      <c r="E2350" s="501"/>
      <c r="F2350" s="501"/>
      <c r="G2350" s="915"/>
      <c r="H2350" s="501"/>
      <c r="I2350" s="895"/>
      <c r="J2350" s="501"/>
      <c r="K2350" s="885"/>
      <c r="L2350" s="874"/>
      <c r="M2350" s="899"/>
      <c r="N2350" s="501"/>
      <c r="O2350" s="501"/>
      <c r="P2350" s="501"/>
      <c r="Q2350" s="501"/>
      <c r="R2350" s="501"/>
      <c r="S2350" s="501"/>
      <c r="T2350" s="501"/>
      <c r="V2350" s="501"/>
      <c r="W2350" s="501"/>
      <c r="X2350" s="501"/>
      <c r="Y2350" s="501"/>
      <c r="Z2350" s="501"/>
      <c r="AA2350" s="501"/>
      <c r="AB2350" s="501"/>
      <c r="AC2350" s="501"/>
      <c r="AD2350" s="501"/>
      <c r="AE2350" s="501"/>
      <c r="AF2350" s="501"/>
      <c r="AG2350" s="501"/>
      <c r="AH2350" s="501"/>
      <c r="AI2350" s="501"/>
      <c r="AJ2350" s="501"/>
      <c r="AK2350" s="501"/>
      <c r="AL2350" s="501"/>
      <c r="AM2350" s="501"/>
      <c r="AN2350" s="501"/>
      <c r="AO2350" s="501"/>
      <c r="AP2350" s="501"/>
      <c r="AQ2350" s="501"/>
      <c r="AR2350" s="501"/>
      <c r="AS2350" s="501"/>
      <c r="AT2350" s="501"/>
      <c r="AU2350" s="501"/>
      <c r="AV2350" s="501"/>
      <c r="AW2350" s="501"/>
      <c r="AX2350" s="501"/>
      <c r="AY2350" s="501"/>
      <c r="AZ2350" s="501"/>
      <c r="BA2350" s="501"/>
      <c r="BB2350" s="501"/>
      <c r="BC2350" s="501"/>
      <c r="BD2350" s="501"/>
      <c r="BE2350" s="501"/>
      <c r="BF2350" s="501"/>
      <c r="BG2350" s="501"/>
      <c r="BH2350" s="501"/>
      <c r="BI2350" s="501"/>
      <c r="BJ2350" s="501"/>
      <c r="BK2350" s="501"/>
      <c r="BL2350" s="501"/>
      <c r="BM2350" s="501"/>
      <c r="BN2350" s="501"/>
      <c r="BO2350" s="501"/>
      <c r="BP2350" s="501"/>
      <c r="BQ2350" s="501"/>
      <c r="BR2350" s="501"/>
      <c r="BS2350" s="501"/>
      <c r="BT2350" s="501"/>
      <c r="BU2350" s="501"/>
      <c r="BV2350" s="501"/>
      <c r="BW2350" s="501"/>
      <c r="BX2350" s="501"/>
      <c r="BY2350" s="501"/>
      <c r="BZ2350" s="501"/>
      <c r="CA2350" s="501"/>
      <c r="CB2350" s="501"/>
      <c r="CC2350" s="501"/>
      <c r="CD2350" s="501"/>
      <c r="CE2350" s="501"/>
      <c r="CF2350" s="501"/>
      <c r="CG2350" s="501"/>
      <c r="CH2350" s="501"/>
      <c r="CI2350" s="501"/>
      <c r="CJ2350" s="501"/>
      <c r="CK2350" s="501"/>
      <c r="CL2350" s="501"/>
      <c r="CM2350" s="501"/>
      <c r="CN2350" s="501"/>
      <c r="CO2350" s="501"/>
      <c r="CP2350" s="501"/>
      <c r="CQ2350" s="501"/>
      <c r="CR2350" s="501"/>
      <c r="CS2350" s="501"/>
      <c r="CT2350" s="501"/>
      <c r="CU2350" s="501"/>
      <c r="CV2350" s="501"/>
      <c r="CW2350" s="501"/>
      <c r="CX2350" s="501"/>
      <c r="CY2350" s="501"/>
      <c r="CZ2350" s="501"/>
      <c r="DA2350" s="501"/>
      <c r="DB2350" s="501"/>
      <c r="DC2350" s="501"/>
      <c r="DD2350" s="501"/>
      <c r="DE2350" s="501"/>
      <c r="DF2350" s="501"/>
      <c r="DG2350" s="501"/>
      <c r="DH2350" s="501"/>
      <c r="DI2350" s="501"/>
      <c r="DJ2350" s="501"/>
      <c r="DK2350" s="501"/>
      <c r="DL2350" s="501"/>
      <c r="DM2350" s="501"/>
      <c r="DN2350" s="501"/>
      <c r="DO2350" s="501"/>
      <c r="DP2350" s="501"/>
      <c r="DQ2350" s="501"/>
      <c r="DR2350" s="501"/>
      <c r="DS2350" s="501"/>
      <c r="DT2350" s="501"/>
      <c r="DU2350" s="501"/>
      <c r="DV2350" s="501"/>
      <c r="DW2350" s="501"/>
      <c r="DX2350" s="501"/>
      <c r="DY2350" s="501"/>
      <c r="DZ2350" s="501"/>
      <c r="EA2350" s="501"/>
      <c r="EB2350" s="501"/>
      <c r="EC2350" s="501"/>
      <c r="ED2350" s="501"/>
      <c r="EE2350" s="501"/>
      <c r="EF2350" s="501"/>
      <c r="EG2350" s="501"/>
      <c r="EH2350" s="501"/>
      <c r="EI2350" s="501"/>
      <c r="EJ2350" s="501"/>
      <c r="EK2350" s="501"/>
      <c r="EL2350" s="501"/>
      <c r="EM2350" s="501"/>
      <c r="EN2350" s="501"/>
      <c r="EO2350" s="501"/>
      <c r="EP2350" s="501"/>
      <c r="EQ2350" s="501"/>
      <c r="ER2350" s="501"/>
      <c r="ES2350" s="501"/>
      <c r="ET2350" s="501"/>
      <c r="EU2350" s="501"/>
      <c r="EV2350" s="501"/>
      <c r="EW2350" s="501"/>
      <c r="EX2350" s="501"/>
      <c r="EY2350" s="501"/>
      <c r="EZ2350" s="501"/>
      <c r="FA2350" s="501"/>
      <c r="FB2350" s="501"/>
      <c r="FC2350" s="501"/>
      <c r="FD2350" s="501"/>
      <c r="FE2350" s="501"/>
      <c r="FF2350" s="501"/>
      <c r="FG2350" s="501"/>
      <c r="FH2350" s="501"/>
      <c r="FI2350" s="501"/>
      <c r="FJ2350" s="501"/>
      <c r="FK2350" s="501"/>
      <c r="FL2350" s="501"/>
      <c r="FM2350" s="501"/>
      <c r="FN2350" s="501"/>
      <c r="FO2350" s="501"/>
      <c r="FP2350" s="501"/>
      <c r="FQ2350" s="501"/>
      <c r="FR2350" s="501"/>
      <c r="FS2350" s="501"/>
      <c r="FT2350" s="501"/>
      <c r="FU2350" s="501"/>
      <c r="FV2350" s="501"/>
      <c r="FW2350" s="501"/>
      <c r="FX2350" s="501"/>
      <c r="FY2350" s="501"/>
      <c r="FZ2350" s="501"/>
      <c r="GA2350" s="501"/>
      <c r="GB2350" s="501"/>
      <c r="GC2350" s="501"/>
      <c r="GD2350" s="501"/>
      <c r="GE2350" s="501"/>
      <c r="GF2350" s="501"/>
      <c r="GG2350" s="501"/>
      <c r="GH2350" s="501"/>
      <c r="GI2350" s="501"/>
      <c r="GJ2350" s="501"/>
      <c r="GK2350" s="501"/>
      <c r="GL2350" s="501"/>
      <c r="GM2350" s="501"/>
      <c r="GN2350" s="501"/>
      <c r="GO2350" s="501"/>
      <c r="GP2350" s="501"/>
      <c r="GQ2350" s="501"/>
      <c r="GR2350" s="501"/>
      <c r="GS2350" s="501"/>
      <c r="GT2350" s="501"/>
      <c r="GU2350" s="501"/>
      <c r="GV2350" s="501"/>
      <c r="GW2350" s="501"/>
      <c r="GX2350" s="501"/>
      <c r="GY2350" s="501"/>
      <c r="GZ2350" s="501"/>
      <c r="HA2350" s="501"/>
      <c r="HB2350" s="501"/>
      <c r="HC2350" s="501"/>
      <c r="HD2350" s="501"/>
      <c r="HE2350" s="501"/>
      <c r="HF2350" s="501"/>
      <c r="HG2350" s="501"/>
      <c r="HH2350" s="501"/>
      <c r="HI2350" s="501"/>
      <c r="HJ2350" s="501"/>
      <c r="HK2350" s="501"/>
      <c r="HL2350" s="501"/>
      <c r="HM2350" s="501"/>
      <c r="HN2350" s="501"/>
      <c r="HO2350" s="501"/>
      <c r="HP2350" s="501"/>
      <c r="HQ2350" s="501"/>
      <c r="HR2350" s="501"/>
      <c r="HS2350" s="501"/>
      <c r="HT2350" s="501"/>
      <c r="HU2350" s="501"/>
      <c r="HV2350" s="501"/>
      <c r="HW2350" s="501"/>
      <c r="HX2350" s="501"/>
      <c r="HY2350" s="501"/>
      <c r="HZ2350" s="501"/>
      <c r="IA2350" s="501"/>
      <c r="IB2350" s="501"/>
      <c r="IC2350" s="501"/>
      <c r="ID2350" s="501"/>
      <c r="IE2350" s="501"/>
      <c r="IF2350" s="501"/>
      <c r="IG2350" s="501"/>
      <c r="IH2350" s="501"/>
      <c r="II2350" s="501"/>
      <c r="IJ2350" s="501"/>
      <c r="IK2350" s="501"/>
      <c r="IL2350" s="501"/>
      <c r="IM2350" s="501"/>
      <c r="IN2350" s="501"/>
      <c r="IO2350" s="501"/>
      <c r="IP2350" s="501"/>
      <c r="IQ2350" s="501"/>
      <c r="IR2350" s="501"/>
      <c r="IS2350" s="501"/>
      <c r="IT2350" s="501"/>
      <c r="IU2350" s="501"/>
    </row>
    <row r="2351" spans="1:255" s="877" customFormat="1" ht="24" customHeight="1">
      <c r="A2351" s="501"/>
      <c r="B2351" s="501"/>
      <c r="C2351" s="501"/>
      <c r="D2351" s="501"/>
      <c r="E2351" s="501"/>
      <c r="F2351" s="501"/>
      <c r="G2351" s="915"/>
      <c r="H2351" s="501"/>
      <c r="I2351" s="895"/>
      <c r="J2351" s="501"/>
      <c r="K2351" s="885"/>
      <c r="L2351" s="874"/>
      <c r="M2351" s="899"/>
      <c r="N2351" s="501"/>
      <c r="O2351" s="501"/>
      <c r="P2351" s="874"/>
      <c r="Q2351" s="501"/>
      <c r="R2351" s="501"/>
      <c r="S2351" s="874"/>
      <c r="T2351" s="885"/>
      <c r="V2351" s="501"/>
      <c r="W2351" s="501"/>
      <c r="X2351" s="501"/>
      <c r="Y2351" s="501"/>
      <c r="Z2351" s="501"/>
      <c r="AA2351" s="501"/>
      <c r="AB2351" s="501"/>
      <c r="AC2351" s="501"/>
      <c r="AD2351" s="501"/>
      <c r="AE2351" s="501"/>
      <c r="AF2351" s="501"/>
      <c r="AG2351" s="501"/>
      <c r="AH2351" s="501"/>
      <c r="AI2351" s="501"/>
      <c r="AJ2351" s="501"/>
      <c r="AK2351" s="501"/>
      <c r="AL2351" s="501"/>
      <c r="AM2351" s="501"/>
      <c r="AN2351" s="501"/>
      <c r="AO2351" s="501"/>
      <c r="AP2351" s="501"/>
      <c r="AQ2351" s="501"/>
      <c r="AR2351" s="501"/>
      <c r="AS2351" s="501"/>
      <c r="AT2351" s="501"/>
      <c r="AU2351" s="501"/>
      <c r="AV2351" s="501"/>
      <c r="AW2351" s="501"/>
      <c r="AX2351" s="501"/>
      <c r="AY2351" s="501"/>
      <c r="AZ2351" s="501"/>
      <c r="BA2351" s="501"/>
      <c r="BB2351" s="501"/>
      <c r="BC2351" s="501"/>
      <c r="BD2351" s="501"/>
      <c r="BE2351" s="501"/>
      <c r="BF2351" s="501"/>
      <c r="BG2351" s="501"/>
      <c r="BH2351" s="501"/>
      <c r="BI2351" s="501"/>
      <c r="BJ2351" s="501"/>
      <c r="BK2351" s="501"/>
      <c r="BL2351" s="501"/>
      <c r="BM2351" s="501"/>
      <c r="BN2351" s="501"/>
      <c r="BO2351" s="501"/>
      <c r="BP2351" s="501"/>
      <c r="BQ2351" s="501"/>
      <c r="BR2351" s="501"/>
      <c r="BS2351" s="501"/>
      <c r="BT2351" s="501"/>
      <c r="BU2351" s="501"/>
      <c r="BV2351" s="501"/>
      <c r="BW2351" s="501"/>
      <c r="BX2351" s="501"/>
      <c r="BY2351" s="501"/>
      <c r="BZ2351" s="501"/>
      <c r="CA2351" s="501"/>
      <c r="CB2351" s="501"/>
      <c r="CC2351" s="501"/>
      <c r="CD2351" s="501"/>
      <c r="CE2351" s="501"/>
      <c r="CF2351" s="501"/>
      <c r="CG2351" s="501"/>
      <c r="CH2351" s="501"/>
      <c r="CI2351" s="501"/>
      <c r="CJ2351" s="501"/>
      <c r="CK2351" s="501"/>
      <c r="CL2351" s="501"/>
      <c r="CM2351" s="501"/>
      <c r="CN2351" s="501"/>
      <c r="CO2351" s="501"/>
      <c r="CP2351" s="501"/>
      <c r="CQ2351" s="501"/>
      <c r="CR2351" s="501"/>
      <c r="CS2351" s="501"/>
      <c r="CT2351" s="501"/>
      <c r="CU2351" s="501"/>
      <c r="CV2351" s="501"/>
      <c r="CW2351" s="501"/>
      <c r="CX2351" s="501"/>
      <c r="CY2351" s="501"/>
      <c r="CZ2351" s="501"/>
      <c r="DA2351" s="501"/>
      <c r="DB2351" s="501"/>
      <c r="DC2351" s="501"/>
      <c r="DD2351" s="501"/>
      <c r="DE2351" s="501"/>
      <c r="DF2351" s="501"/>
      <c r="DG2351" s="501"/>
      <c r="DH2351" s="501"/>
      <c r="DI2351" s="501"/>
      <c r="DJ2351" s="501"/>
      <c r="DK2351" s="501"/>
      <c r="DL2351" s="501"/>
      <c r="DM2351" s="501"/>
      <c r="DN2351" s="501"/>
      <c r="DO2351" s="501"/>
      <c r="DP2351" s="501"/>
      <c r="DQ2351" s="501"/>
      <c r="DR2351" s="501"/>
      <c r="DS2351" s="501"/>
      <c r="DT2351" s="501"/>
      <c r="DU2351" s="501"/>
      <c r="DV2351" s="501"/>
      <c r="DW2351" s="501"/>
      <c r="DX2351" s="501"/>
      <c r="DY2351" s="501"/>
      <c r="DZ2351" s="501"/>
      <c r="EA2351" s="501"/>
      <c r="EB2351" s="501"/>
      <c r="EC2351" s="501"/>
      <c r="ED2351" s="501"/>
      <c r="EE2351" s="501"/>
      <c r="EF2351" s="501"/>
      <c r="EG2351" s="501"/>
      <c r="EH2351" s="501"/>
      <c r="EI2351" s="501"/>
      <c r="EJ2351" s="501"/>
      <c r="EK2351" s="501"/>
      <c r="EL2351" s="501"/>
      <c r="EM2351" s="501"/>
      <c r="EN2351" s="501"/>
      <c r="EO2351" s="501"/>
      <c r="EP2351" s="501"/>
      <c r="EQ2351" s="501"/>
      <c r="ER2351" s="501"/>
      <c r="ES2351" s="501"/>
      <c r="ET2351" s="501"/>
      <c r="EU2351" s="501"/>
      <c r="EV2351" s="501"/>
      <c r="EW2351" s="501"/>
      <c r="EX2351" s="501"/>
      <c r="EY2351" s="501"/>
      <c r="EZ2351" s="501"/>
      <c r="FA2351" s="501"/>
      <c r="FB2351" s="501"/>
      <c r="FC2351" s="501"/>
      <c r="FD2351" s="501"/>
      <c r="FE2351" s="501"/>
      <c r="FF2351" s="501"/>
      <c r="FG2351" s="501"/>
      <c r="FH2351" s="501"/>
      <c r="FI2351" s="501"/>
      <c r="FJ2351" s="501"/>
      <c r="FK2351" s="501"/>
      <c r="FL2351" s="501"/>
      <c r="FM2351" s="501"/>
      <c r="FN2351" s="501"/>
      <c r="FO2351" s="501"/>
      <c r="FP2351" s="501"/>
      <c r="FQ2351" s="501"/>
      <c r="FR2351" s="501"/>
      <c r="FS2351" s="501"/>
      <c r="FT2351" s="501"/>
      <c r="FU2351" s="501"/>
      <c r="FV2351" s="501"/>
      <c r="FW2351" s="501"/>
      <c r="FX2351" s="501"/>
      <c r="FY2351" s="501"/>
      <c r="FZ2351" s="501"/>
      <c r="GA2351" s="501"/>
      <c r="GB2351" s="501"/>
      <c r="GC2351" s="501"/>
      <c r="GD2351" s="501"/>
      <c r="GE2351" s="501"/>
      <c r="GF2351" s="501"/>
      <c r="GG2351" s="501"/>
      <c r="GH2351" s="501"/>
      <c r="GI2351" s="501"/>
      <c r="GJ2351" s="501"/>
      <c r="GK2351" s="501"/>
      <c r="GL2351" s="501"/>
      <c r="GM2351" s="501"/>
      <c r="GN2351" s="501"/>
      <c r="GO2351" s="501"/>
      <c r="GP2351" s="501"/>
      <c r="GQ2351" s="501"/>
      <c r="GR2351" s="501"/>
      <c r="GS2351" s="501"/>
      <c r="GT2351" s="501"/>
      <c r="GU2351" s="501"/>
      <c r="GV2351" s="501"/>
      <c r="GW2351" s="501"/>
      <c r="GX2351" s="501"/>
      <c r="GY2351" s="501"/>
      <c r="GZ2351" s="501"/>
      <c r="HA2351" s="501"/>
      <c r="HB2351" s="501"/>
      <c r="HC2351" s="501"/>
      <c r="HD2351" s="501"/>
      <c r="HE2351" s="501"/>
      <c r="HF2351" s="501"/>
      <c r="HG2351" s="501"/>
      <c r="HH2351" s="501"/>
      <c r="HI2351" s="501"/>
      <c r="HJ2351" s="501"/>
      <c r="HK2351" s="501"/>
      <c r="HL2351" s="501"/>
      <c r="HM2351" s="501"/>
      <c r="HN2351" s="501"/>
      <c r="HO2351" s="501"/>
      <c r="HP2351" s="501"/>
      <c r="HQ2351" s="501"/>
      <c r="HR2351" s="501"/>
      <c r="HS2351" s="501"/>
      <c r="HT2351" s="501"/>
      <c r="HU2351" s="501"/>
      <c r="HV2351" s="501"/>
      <c r="HW2351" s="501"/>
      <c r="HX2351" s="501"/>
      <c r="HY2351" s="501"/>
      <c r="HZ2351" s="501"/>
      <c r="IA2351" s="501"/>
      <c r="IB2351" s="501"/>
      <c r="IC2351" s="501"/>
      <c r="ID2351" s="501"/>
      <c r="IE2351" s="501"/>
      <c r="IF2351" s="501"/>
      <c r="IG2351" s="501"/>
      <c r="IH2351" s="501"/>
      <c r="II2351" s="501"/>
      <c r="IJ2351" s="501"/>
      <c r="IK2351" s="501"/>
      <c r="IL2351" s="501"/>
      <c r="IM2351" s="501"/>
      <c r="IN2351" s="501"/>
      <c r="IO2351" s="501"/>
      <c r="IP2351" s="501"/>
      <c r="IQ2351" s="501"/>
      <c r="IR2351" s="501"/>
      <c r="IS2351" s="501"/>
      <c r="IT2351" s="501"/>
      <c r="IU2351" s="501"/>
    </row>
    <row r="2352" spans="1:255" s="877" customFormat="1" ht="24" customHeight="1">
      <c r="A2352" s="501"/>
      <c r="B2352" s="501"/>
      <c r="C2352" s="501"/>
      <c r="D2352" s="501"/>
      <c r="E2352" s="501"/>
      <c r="F2352" s="501"/>
      <c r="G2352" s="915"/>
      <c r="H2352" s="501"/>
      <c r="I2352" s="1046"/>
      <c r="J2352" s="1042"/>
      <c r="K2352" s="885"/>
      <c r="L2352" s="874"/>
      <c r="M2352" s="899"/>
      <c r="N2352" s="501"/>
      <c r="O2352" s="501"/>
      <c r="P2352" s="902"/>
      <c r="Q2352" s="501"/>
      <c r="R2352" s="501"/>
      <c r="S2352" s="874"/>
      <c r="T2352" s="501"/>
      <c r="V2352" s="501"/>
      <c r="W2352" s="501"/>
      <c r="X2352" s="501"/>
      <c r="Y2352" s="501"/>
      <c r="Z2352" s="501"/>
      <c r="AA2352" s="501"/>
      <c r="AB2352" s="501"/>
      <c r="AC2352" s="501"/>
      <c r="AD2352" s="501"/>
      <c r="AE2352" s="501"/>
      <c r="AF2352" s="501"/>
      <c r="AG2352" s="501"/>
      <c r="AH2352" s="501"/>
      <c r="AI2352" s="501"/>
      <c r="AJ2352" s="501"/>
      <c r="AK2352" s="501"/>
      <c r="AL2352" s="501"/>
      <c r="AM2352" s="501"/>
      <c r="AN2352" s="501"/>
      <c r="AO2352" s="501"/>
      <c r="AP2352" s="501"/>
      <c r="AQ2352" s="501"/>
      <c r="AR2352" s="501"/>
      <c r="AS2352" s="501"/>
      <c r="AT2352" s="501"/>
      <c r="AU2352" s="501"/>
      <c r="AV2352" s="501"/>
      <c r="AW2352" s="501"/>
      <c r="AX2352" s="501"/>
      <c r="AY2352" s="501"/>
      <c r="AZ2352" s="501"/>
      <c r="BA2352" s="501"/>
      <c r="BB2352" s="501"/>
      <c r="BC2352" s="501"/>
      <c r="BD2352" s="501"/>
      <c r="BE2352" s="501"/>
      <c r="BF2352" s="501"/>
      <c r="BG2352" s="501"/>
      <c r="BH2352" s="501"/>
      <c r="BI2352" s="501"/>
      <c r="BJ2352" s="501"/>
      <c r="BK2352" s="501"/>
      <c r="BL2352" s="501"/>
      <c r="BM2352" s="501"/>
      <c r="BN2352" s="501"/>
      <c r="BO2352" s="501"/>
      <c r="BP2352" s="501"/>
      <c r="BQ2352" s="501"/>
      <c r="BR2352" s="501"/>
      <c r="BS2352" s="501"/>
      <c r="BT2352" s="501"/>
      <c r="BU2352" s="501"/>
      <c r="BV2352" s="501"/>
      <c r="BW2352" s="501"/>
      <c r="BX2352" s="501"/>
      <c r="BY2352" s="501"/>
      <c r="BZ2352" s="501"/>
      <c r="CA2352" s="501"/>
      <c r="CB2352" s="501"/>
      <c r="CC2352" s="501"/>
      <c r="CD2352" s="501"/>
      <c r="CE2352" s="501"/>
      <c r="CF2352" s="501"/>
      <c r="CG2352" s="501"/>
      <c r="CH2352" s="501"/>
      <c r="CI2352" s="501"/>
      <c r="CJ2352" s="501"/>
      <c r="CK2352" s="501"/>
      <c r="CL2352" s="501"/>
      <c r="CM2352" s="501"/>
      <c r="CN2352" s="501"/>
      <c r="CO2352" s="501"/>
      <c r="CP2352" s="501"/>
      <c r="CQ2352" s="501"/>
      <c r="CR2352" s="501"/>
      <c r="CS2352" s="501"/>
      <c r="CT2352" s="501"/>
      <c r="CU2352" s="501"/>
      <c r="CV2352" s="501"/>
      <c r="CW2352" s="501"/>
      <c r="CX2352" s="501"/>
      <c r="CY2352" s="501"/>
      <c r="CZ2352" s="501"/>
      <c r="DA2352" s="501"/>
      <c r="DB2352" s="501"/>
      <c r="DC2352" s="501"/>
      <c r="DD2352" s="501"/>
      <c r="DE2352" s="501"/>
      <c r="DF2352" s="501"/>
      <c r="DG2352" s="501"/>
      <c r="DH2352" s="501"/>
      <c r="DI2352" s="501"/>
      <c r="DJ2352" s="501"/>
      <c r="DK2352" s="501"/>
      <c r="DL2352" s="501"/>
      <c r="DM2352" s="501"/>
      <c r="DN2352" s="501"/>
      <c r="DO2352" s="501"/>
      <c r="DP2352" s="501"/>
      <c r="DQ2352" s="501"/>
      <c r="DR2352" s="501"/>
      <c r="DS2352" s="501"/>
      <c r="DT2352" s="501"/>
      <c r="DU2352" s="501"/>
      <c r="DV2352" s="501"/>
      <c r="DW2352" s="501"/>
      <c r="DX2352" s="501"/>
      <c r="DY2352" s="501"/>
      <c r="DZ2352" s="501"/>
      <c r="EA2352" s="501"/>
      <c r="EB2352" s="501"/>
      <c r="EC2352" s="501"/>
      <c r="ED2352" s="501"/>
      <c r="EE2352" s="501"/>
      <c r="EF2352" s="501"/>
      <c r="EG2352" s="501"/>
      <c r="EH2352" s="501"/>
      <c r="EI2352" s="501"/>
      <c r="EJ2352" s="501"/>
      <c r="EK2352" s="501"/>
      <c r="EL2352" s="501"/>
      <c r="EM2352" s="501"/>
      <c r="EN2352" s="501"/>
      <c r="EO2352" s="501"/>
      <c r="EP2352" s="501"/>
      <c r="EQ2352" s="501"/>
      <c r="ER2352" s="501"/>
      <c r="ES2352" s="501"/>
      <c r="ET2352" s="501"/>
      <c r="EU2352" s="501"/>
      <c r="EV2352" s="501"/>
      <c r="EW2352" s="501"/>
      <c r="EX2352" s="501"/>
      <c r="EY2352" s="501"/>
      <c r="EZ2352" s="501"/>
      <c r="FA2352" s="501"/>
      <c r="FB2352" s="501"/>
      <c r="FC2352" s="501"/>
      <c r="FD2352" s="501"/>
      <c r="FE2352" s="501"/>
      <c r="FF2352" s="501"/>
      <c r="FG2352" s="501"/>
      <c r="FH2352" s="501"/>
      <c r="FI2352" s="501"/>
      <c r="FJ2352" s="501"/>
      <c r="FK2352" s="501"/>
      <c r="FL2352" s="501"/>
      <c r="FM2352" s="501"/>
      <c r="FN2352" s="501"/>
      <c r="FO2352" s="501"/>
      <c r="FP2352" s="501"/>
      <c r="FQ2352" s="501"/>
      <c r="FR2352" s="501"/>
      <c r="FS2352" s="501"/>
      <c r="FT2352" s="501"/>
      <c r="FU2352" s="501"/>
      <c r="FV2352" s="501"/>
      <c r="FW2352" s="501"/>
      <c r="FX2352" s="501"/>
      <c r="FY2352" s="501"/>
      <c r="FZ2352" s="501"/>
      <c r="GA2352" s="501"/>
      <c r="GB2352" s="501"/>
      <c r="GC2352" s="501"/>
      <c r="GD2352" s="501"/>
      <c r="GE2352" s="501"/>
      <c r="GF2352" s="501"/>
      <c r="GG2352" s="501"/>
      <c r="GH2352" s="501"/>
      <c r="GI2352" s="501"/>
      <c r="GJ2352" s="501"/>
      <c r="GK2352" s="501"/>
      <c r="GL2352" s="501"/>
      <c r="GM2352" s="501"/>
      <c r="GN2352" s="501"/>
      <c r="GO2352" s="501"/>
      <c r="GP2352" s="501"/>
      <c r="GQ2352" s="501"/>
      <c r="GR2352" s="501"/>
      <c r="GS2352" s="501"/>
      <c r="GT2352" s="501"/>
      <c r="GU2352" s="501"/>
      <c r="GV2352" s="501"/>
      <c r="GW2352" s="501"/>
      <c r="GX2352" s="501"/>
      <c r="GY2352" s="501"/>
      <c r="GZ2352" s="501"/>
      <c r="HA2352" s="501"/>
      <c r="HB2352" s="501"/>
      <c r="HC2352" s="501"/>
      <c r="HD2352" s="501"/>
      <c r="HE2352" s="501"/>
      <c r="HF2352" s="501"/>
      <c r="HG2352" s="501"/>
      <c r="HH2352" s="501"/>
      <c r="HI2352" s="501"/>
      <c r="HJ2352" s="501"/>
      <c r="HK2352" s="501"/>
      <c r="HL2352" s="501"/>
      <c r="HM2352" s="501"/>
      <c r="HN2352" s="501"/>
      <c r="HO2352" s="501"/>
      <c r="HP2352" s="501"/>
      <c r="HQ2352" s="501"/>
      <c r="HR2352" s="501"/>
      <c r="HS2352" s="501"/>
      <c r="HT2352" s="501"/>
      <c r="HU2352" s="501"/>
      <c r="HV2352" s="501"/>
      <c r="HW2352" s="501"/>
      <c r="HX2352" s="501"/>
      <c r="HY2352" s="501"/>
      <c r="HZ2352" s="501"/>
      <c r="IA2352" s="501"/>
      <c r="IB2352" s="501"/>
      <c r="IC2352" s="501"/>
      <c r="ID2352" s="501"/>
      <c r="IE2352" s="501"/>
      <c r="IF2352" s="501"/>
      <c r="IG2352" s="501"/>
      <c r="IH2352" s="501"/>
      <c r="II2352" s="501"/>
      <c r="IJ2352" s="501"/>
      <c r="IK2352" s="501"/>
      <c r="IL2352" s="501"/>
      <c r="IM2352" s="501"/>
      <c r="IN2352" s="501"/>
      <c r="IO2352" s="501"/>
      <c r="IP2352" s="501"/>
      <c r="IQ2352" s="501"/>
      <c r="IR2352" s="501"/>
      <c r="IS2352" s="501"/>
      <c r="IT2352" s="501"/>
      <c r="IU2352" s="501"/>
    </row>
    <row r="2353" spans="1:255" s="877" customFormat="1" ht="24" customHeight="1">
      <c r="A2353" s="501"/>
      <c r="B2353" s="501"/>
      <c r="C2353" s="501"/>
      <c r="D2353" s="501"/>
      <c r="E2353" s="501"/>
      <c r="F2353" s="501"/>
      <c r="G2353" s="915"/>
      <c r="H2353" s="501"/>
      <c r="I2353" s="895"/>
      <c r="J2353" s="501"/>
      <c r="K2353" s="501"/>
      <c r="L2353" s="874"/>
      <c r="M2353" s="899"/>
      <c r="N2353" s="501"/>
      <c r="O2353" s="501"/>
      <c r="P2353" s="902"/>
      <c r="Q2353" s="501"/>
      <c r="R2353" s="501"/>
      <c r="S2353" s="874"/>
      <c r="T2353" s="501"/>
      <c r="V2353" s="501"/>
      <c r="W2353" s="501"/>
      <c r="X2353" s="501"/>
      <c r="Y2353" s="501"/>
      <c r="Z2353" s="501"/>
      <c r="AA2353" s="501"/>
      <c r="AB2353" s="501"/>
      <c r="AC2353" s="501"/>
      <c r="AD2353" s="501"/>
      <c r="AE2353" s="501"/>
      <c r="AF2353" s="501"/>
      <c r="AG2353" s="501"/>
      <c r="AH2353" s="501"/>
      <c r="AI2353" s="501"/>
      <c r="AJ2353" s="501"/>
      <c r="AK2353" s="501"/>
      <c r="AL2353" s="501"/>
      <c r="AM2353" s="501"/>
      <c r="AN2353" s="501"/>
      <c r="AO2353" s="501"/>
      <c r="AP2353" s="501"/>
      <c r="AQ2353" s="501"/>
      <c r="AR2353" s="501"/>
      <c r="AS2353" s="501"/>
      <c r="AT2353" s="501"/>
      <c r="AU2353" s="501"/>
      <c r="AV2353" s="501"/>
      <c r="AW2353" s="501"/>
      <c r="AX2353" s="501"/>
      <c r="AY2353" s="501"/>
      <c r="AZ2353" s="501"/>
      <c r="BA2353" s="501"/>
      <c r="BB2353" s="501"/>
      <c r="BC2353" s="501"/>
      <c r="BD2353" s="501"/>
      <c r="BE2353" s="501"/>
      <c r="BF2353" s="501"/>
      <c r="BG2353" s="501"/>
      <c r="BH2353" s="501"/>
      <c r="BI2353" s="501"/>
      <c r="BJ2353" s="501"/>
      <c r="BK2353" s="501"/>
      <c r="BL2353" s="501"/>
      <c r="BM2353" s="501"/>
      <c r="BN2353" s="501"/>
      <c r="BO2353" s="501"/>
      <c r="BP2353" s="501"/>
      <c r="BQ2353" s="501"/>
      <c r="BR2353" s="501"/>
      <c r="BS2353" s="501"/>
      <c r="BT2353" s="501"/>
      <c r="BU2353" s="501"/>
      <c r="BV2353" s="501"/>
      <c r="BW2353" s="501"/>
      <c r="BX2353" s="501"/>
      <c r="BY2353" s="501"/>
      <c r="BZ2353" s="501"/>
      <c r="CA2353" s="501"/>
      <c r="CB2353" s="501"/>
      <c r="CC2353" s="501"/>
      <c r="CD2353" s="501"/>
      <c r="CE2353" s="501"/>
      <c r="CF2353" s="501"/>
      <c r="CG2353" s="501"/>
      <c r="CH2353" s="501"/>
      <c r="CI2353" s="501"/>
      <c r="CJ2353" s="501"/>
      <c r="CK2353" s="501"/>
      <c r="CL2353" s="501"/>
      <c r="CM2353" s="501"/>
      <c r="CN2353" s="501"/>
      <c r="CO2353" s="501"/>
      <c r="CP2353" s="501"/>
      <c r="CQ2353" s="501"/>
      <c r="CR2353" s="501"/>
      <c r="CS2353" s="501"/>
      <c r="CT2353" s="501"/>
      <c r="CU2353" s="501"/>
      <c r="CV2353" s="501"/>
      <c r="CW2353" s="501"/>
      <c r="CX2353" s="501"/>
      <c r="CY2353" s="501"/>
      <c r="CZ2353" s="501"/>
      <c r="DA2353" s="501"/>
      <c r="DB2353" s="501"/>
      <c r="DC2353" s="501"/>
      <c r="DD2353" s="501"/>
      <c r="DE2353" s="501"/>
      <c r="DF2353" s="501"/>
      <c r="DG2353" s="501"/>
      <c r="DH2353" s="501"/>
      <c r="DI2353" s="501"/>
      <c r="DJ2353" s="501"/>
      <c r="DK2353" s="501"/>
      <c r="DL2353" s="501"/>
      <c r="DM2353" s="501"/>
      <c r="DN2353" s="501"/>
      <c r="DO2353" s="501"/>
      <c r="DP2353" s="501"/>
      <c r="DQ2353" s="501"/>
      <c r="DR2353" s="501"/>
      <c r="DS2353" s="501"/>
      <c r="DT2353" s="501"/>
      <c r="DU2353" s="501"/>
      <c r="DV2353" s="501"/>
      <c r="DW2353" s="501"/>
      <c r="DX2353" s="501"/>
      <c r="DY2353" s="501"/>
      <c r="DZ2353" s="501"/>
      <c r="EA2353" s="501"/>
      <c r="EB2353" s="501"/>
      <c r="EC2353" s="501"/>
      <c r="ED2353" s="501"/>
      <c r="EE2353" s="501"/>
      <c r="EF2353" s="501"/>
      <c r="EG2353" s="501"/>
      <c r="EH2353" s="501"/>
      <c r="EI2353" s="501"/>
      <c r="EJ2353" s="501"/>
      <c r="EK2353" s="501"/>
      <c r="EL2353" s="501"/>
      <c r="EM2353" s="501"/>
      <c r="EN2353" s="501"/>
      <c r="EO2353" s="501"/>
      <c r="EP2353" s="501"/>
      <c r="EQ2353" s="501"/>
      <c r="ER2353" s="501"/>
      <c r="ES2353" s="501"/>
      <c r="ET2353" s="501"/>
      <c r="EU2353" s="501"/>
      <c r="EV2353" s="501"/>
      <c r="EW2353" s="501"/>
      <c r="EX2353" s="501"/>
      <c r="EY2353" s="501"/>
      <c r="EZ2353" s="501"/>
      <c r="FA2353" s="501"/>
      <c r="FB2353" s="501"/>
      <c r="FC2353" s="501"/>
      <c r="FD2353" s="501"/>
      <c r="FE2353" s="501"/>
      <c r="FF2353" s="501"/>
      <c r="FG2353" s="501"/>
      <c r="FH2353" s="501"/>
      <c r="FI2353" s="501"/>
      <c r="FJ2353" s="501"/>
      <c r="FK2353" s="501"/>
      <c r="FL2353" s="501"/>
      <c r="FM2353" s="501"/>
      <c r="FN2353" s="501"/>
      <c r="FO2353" s="501"/>
      <c r="FP2353" s="501"/>
      <c r="FQ2353" s="501"/>
      <c r="FR2353" s="501"/>
      <c r="FS2353" s="501"/>
      <c r="FT2353" s="501"/>
      <c r="FU2353" s="501"/>
      <c r="FV2353" s="501"/>
      <c r="FW2353" s="501"/>
      <c r="FX2353" s="501"/>
      <c r="FY2353" s="501"/>
      <c r="FZ2353" s="501"/>
      <c r="GA2353" s="501"/>
      <c r="GB2353" s="501"/>
      <c r="GC2353" s="501"/>
      <c r="GD2353" s="501"/>
      <c r="GE2353" s="501"/>
      <c r="GF2353" s="501"/>
      <c r="GG2353" s="501"/>
      <c r="GH2353" s="501"/>
      <c r="GI2353" s="501"/>
      <c r="GJ2353" s="501"/>
      <c r="GK2353" s="501"/>
      <c r="GL2353" s="501"/>
      <c r="GM2353" s="501"/>
      <c r="GN2353" s="501"/>
      <c r="GO2353" s="501"/>
      <c r="GP2353" s="501"/>
      <c r="GQ2353" s="501"/>
      <c r="GR2353" s="501"/>
      <c r="GS2353" s="501"/>
      <c r="GT2353" s="501"/>
      <c r="GU2353" s="501"/>
      <c r="GV2353" s="501"/>
      <c r="GW2353" s="501"/>
      <c r="GX2353" s="501"/>
      <c r="GY2353" s="501"/>
      <c r="GZ2353" s="501"/>
      <c r="HA2353" s="501"/>
      <c r="HB2353" s="501"/>
      <c r="HC2353" s="501"/>
      <c r="HD2353" s="501"/>
      <c r="HE2353" s="501"/>
      <c r="HF2353" s="501"/>
      <c r="HG2353" s="501"/>
      <c r="HH2353" s="501"/>
      <c r="HI2353" s="501"/>
      <c r="HJ2353" s="501"/>
      <c r="HK2353" s="501"/>
      <c r="HL2353" s="501"/>
      <c r="HM2353" s="501"/>
      <c r="HN2353" s="501"/>
      <c r="HO2353" s="501"/>
      <c r="HP2353" s="501"/>
      <c r="HQ2353" s="501"/>
      <c r="HR2353" s="501"/>
      <c r="HS2353" s="501"/>
      <c r="HT2353" s="501"/>
      <c r="HU2353" s="501"/>
      <c r="HV2353" s="501"/>
      <c r="HW2353" s="501"/>
      <c r="HX2353" s="501"/>
      <c r="HY2353" s="501"/>
      <c r="HZ2353" s="501"/>
      <c r="IA2353" s="501"/>
      <c r="IB2353" s="501"/>
      <c r="IC2353" s="501"/>
      <c r="ID2353" s="501"/>
      <c r="IE2353" s="501"/>
      <c r="IF2353" s="501"/>
      <c r="IG2353" s="501"/>
      <c r="IH2353" s="501"/>
      <c r="II2353" s="501"/>
      <c r="IJ2353" s="501"/>
      <c r="IK2353" s="501"/>
      <c r="IL2353" s="501"/>
      <c r="IM2353" s="501"/>
      <c r="IN2353" s="501"/>
      <c r="IO2353" s="501"/>
      <c r="IP2353" s="501"/>
      <c r="IQ2353" s="501"/>
      <c r="IR2353" s="501"/>
      <c r="IS2353" s="501"/>
      <c r="IT2353" s="501"/>
      <c r="IU2353" s="501"/>
    </row>
    <row r="2354" spans="1:255" s="877" customFormat="1" ht="24" customHeight="1">
      <c r="A2354" s="501"/>
      <c r="B2354" s="501"/>
      <c r="C2354" s="501"/>
      <c r="D2354" s="501"/>
      <c r="E2354" s="501"/>
      <c r="F2354" s="501"/>
      <c r="G2354" s="915"/>
      <c r="H2354" s="501"/>
      <c r="I2354" s="895"/>
      <c r="J2354" s="501"/>
      <c r="K2354" s="885"/>
      <c r="L2354" s="874"/>
      <c r="M2354" s="899"/>
      <c r="N2354" s="501"/>
      <c r="O2354" s="501"/>
      <c r="P2354" s="902"/>
      <c r="Q2354" s="501"/>
      <c r="R2354" s="501"/>
      <c r="S2354" s="501"/>
      <c r="T2354" s="501"/>
      <c r="V2354" s="501"/>
      <c r="W2354" s="501"/>
      <c r="X2354" s="501"/>
      <c r="Y2354" s="501"/>
      <c r="Z2354" s="501"/>
      <c r="AA2354" s="501"/>
      <c r="AB2354" s="501"/>
      <c r="AC2354" s="501"/>
      <c r="AD2354" s="501"/>
      <c r="AE2354" s="501"/>
      <c r="AF2354" s="501"/>
      <c r="AG2354" s="501"/>
      <c r="AH2354" s="501"/>
      <c r="AI2354" s="501"/>
      <c r="AJ2354" s="501"/>
      <c r="AK2354" s="501"/>
      <c r="AL2354" s="501"/>
      <c r="AM2354" s="501"/>
      <c r="AN2354" s="501"/>
      <c r="AO2354" s="501"/>
      <c r="AP2354" s="501"/>
      <c r="AQ2354" s="501"/>
      <c r="AR2354" s="501"/>
      <c r="AS2354" s="501"/>
      <c r="AT2354" s="501"/>
      <c r="AU2354" s="501"/>
      <c r="AV2354" s="501"/>
      <c r="AW2354" s="501"/>
      <c r="AX2354" s="501"/>
      <c r="AY2354" s="501"/>
      <c r="AZ2354" s="501"/>
      <c r="BA2354" s="501"/>
      <c r="BB2354" s="501"/>
      <c r="BC2354" s="501"/>
      <c r="BD2354" s="501"/>
      <c r="BE2354" s="501"/>
      <c r="BF2354" s="501"/>
      <c r="BG2354" s="501"/>
      <c r="BH2354" s="501"/>
      <c r="BI2354" s="501"/>
      <c r="BJ2354" s="501"/>
      <c r="BK2354" s="501"/>
      <c r="BL2354" s="501"/>
      <c r="BM2354" s="501"/>
      <c r="BN2354" s="501"/>
      <c r="BO2354" s="501"/>
      <c r="BP2354" s="501"/>
      <c r="BQ2354" s="501"/>
      <c r="BR2354" s="501"/>
      <c r="BS2354" s="501"/>
      <c r="BT2354" s="501"/>
      <c r="BU2354" s="501"/>
      <c r="BV2354" s="501"/>
      <c r="BW2354" s="501"/>
      <c r="BX2354" s="501"/>
      <c r="BY2354" s="501"/>
      <c r="BZ2354" s="501"/>
      <c r="CA2354" s="501"/>
      <c r="CB2354" s="501"/>
      <c r="CC2354" s="501"/>
      <c r="CD2354" s="501"/>
      <c r="CE2354" s="501"/>
      <c r="CF2354" s="501"/>
      <c r="CG2354" s="501"/>
      <c r="CH2354" s="501"/>
      <c r="CI2354" s="501"/>
      <c r="CJ2354" s="501"/>
      <c r="CK2354" s="501"/>
      <c r="CL2354" s="501"/>
      <c r="CM2354" s="501"/>
      <c r="CN2354" s="501"/>
      <c r="CO2354" s="501"/>
      <c r="CP2354" s="501"/>
      <c r="CQ2354" s="501"/>
      <c r="CR2354" s="501"/>
      <c r="CS2354" s="501"/>
      <c r="CT2354" s="501"/>
      <c r="CU2354" s="501"/>
      <c r="CV2354" s="501"/>
      <c r="CW2354" s="501"/>
      <c r="CX2354" s="501"/>
      <c r="CY2354" s="501"/>
      <c r="CZ2354" s="501"/>
      <c r="DA2354" s="501"/>
      <c r="DB2354" s="501"/>
      <c r="DC2354" s="501"/>
      <c r="DD2354" s="501"/>
      <c r="DE2354" s="501"/>
      <c r="DF2354" s="501"/>
      <c r="DG2354" s="501"/>
      <c r="DH2354" s="501"/>
      <c r="DI2354" s="501"/>
      <c r="DJ2354" s="501"/>
      <c r="DK2354" s="501"/>
      <c r="DL2354" s="501"/>
      <c r="DM2354" s="501"/>
      <c r="DN2354" s="501"/>
      <c r="DO2354" s="501"/>
      <c r="DP2354" s="501"/>
      <c r="DQ2354" s="501"/>
      <c r="DR2354" s="501"/>
      <c r="DS2354" s="501"/>
      <c r="DT2354" s="501"/>
      <c r="DU2354" s="501"/>
      <c r="DV2354" s="501"/>
      <c r="DW2354" s="501"/>
      <c r="DX2354" s="501"/>
      <c r="DY2354" s="501"/>
      <c r="DZ2354" s="501"/>
      <c r="EA2354" s="501"/>
      <c r="EB2354" s="501"/>
      <c r="EC2354" s="501"/>
      <c r="ED2354" s="501"/>
      <c r="EE2354" s="501"/>
      <c r="EF2354" s="501"/>
      <c r="EG2354" s="501"/>
      <c r="EH2354" s="501"/>
      <c r="EI2354" s="501"/>
      <c r="EJ2354" s="501"/>
      <c r="EK2354" s="501"/>
      <c r="EL2354" s="501"/>
      <c r="EM2354" s="501"/>
      <c r="EN2354" s="501"/>
      <c r="EO2354" s="501"/>
      <c r="EP2354" s="501"/>
      <c r="EQ2354" s="501"/>
      <c r="ER2354" s="501"/>
      <c r="ES2354" s="501"/>
      <c r="ET2354" s="501"/>
      <c r="EU2354" s="501"/>
      <c r="EV2354" s="501"/>
      <c r="EW2354" s="501"/>
      <c r="EX2354" s="501"/>
      <c r="EY2354" s="501"/>
      <c r="EZ2354" s="501"/>
      <c r="FA2354" s="501"/>
      <c r="FB2354" s="501"/>
      <c r="FC2354" s="501"/>
      <c r="FD2354" s="501"/>
      <c r="FE2354" s="501"/>
      <c r="FF2354" s="501"/>
      <c r="FG2354" s="501"/>
      <c r="FH2354" s="501"/>
      <c r="FI2354" s="501"/>
      <c r="FJ2354" s="501"/>
      <c r="FK2354" s="501"/>
      <c r="FL2354" s="501"/>
      <c r="FM2354" s="501"/>
      <c r="FN2354" s="501"/>
      <c r="FO2354" s="501"/>
      <c r="FP2354" s="501"/>
      <c r="FQ2354" s="501"/>
      <c r="FR2354" s="501"/>
      <c r="FS2354" s="501"/>
      <c r="FT2354" s="501"/>
      <c r="FU2354" s="501"/>
      <c r="FV2354" s="501"/>
      <c r="FW2354" s="501"/>
      <c r="FX2354" s="501"/>
      <c r="FY2354" s="501"/>
      <c r="FZ2354" s="501"/>
      <c r="GA2354" s="501"/>
      <c r="GB2354" s="501"/>
      <c r="GC2354" s="501"/>
      <c r="GD2354" s="501"/>
      <c r="GE2354" s="501"/>
      <c r="GF2354" s="501"/>
      <c r="GG2354" s="501"/>
      <c r="GH2354" s="501"/>
      <c r="GI2354" s="501"/>
      <c r="GJ2354" s="501"/>
      <c r="GK2354" s="501"/>
      <c r="GL2354" s="501"/>
      <c r="GM2354" s="501"/>
      <c r="GN2354" s="501"/>
      <c r="GO2354" s="501"/>
      <c r="GP2354" s="501"/>
      <c r="GQ2354" s="501"/>
      <c r="GR2354" s="501"/>
      <c r="GS2354" s="501"/>
      <c r="GT2354" s="501"/>
      <c r="GU2354" s="501"/>
      <c r="GV2354" s="501"/>
      <c r="GW2354" s="501"/>
      <c r="GX2354" s="501"/>
      <c r="GY2354" s="501"/>
      <c r="GZ2354" s="501"/>
      <c r="HA2354" s="501"/>
      <c r="HB2354" s="501"/>
      <c r="HC2354" s="501"/>
      <c r="HD2354" s="501"/>
      <c r="HE2354" s="501"/>
      <c r="HF2354" s="501"/>
      <c r="HG2354" s="501"/>
      <c r="HH2354" s="501"/>
      <c r="HI2354" s="501"/>
      <c r="HJ2354" s="501"/>
      <c r="HK2354" s="501"/>
      <c r="HL2354" s="501"/>
      <c r="HM2354" s="501"/>
      <c r="HN2354" s="501"/>
      <c r="HO2354" s="501"/>
      <c r="HP2354" s="501"/>
      <c r="HQ2354" s="501"/>
      <c r="HR2354" s="501"/>
      <c r="HS2354" s="501"/>
      <c r="HT2354" s="501"/>
      <c r="HU2354" s="501"/>
      <c r="HV2354" s="501"/>
      <c r="HW2354" s="501"/>
      <c r="HX2354" s="501"/>
      <c r="HY2354" s="501"/>
      <c r="HZ2354" s="501"/>
      <c r="IA2354" s="501"/>
      <c r="IB2354" s="501"/>
      <c r="IC2354" s="501"/>
      <c r="ID2354" s="501"/>
      <c r="IE2354" s="501"/>
      <c r="IF2354" s="501"/>
      <c r="IG2354" s="501"/>
      <c r="IH2354" s="501"/>
      <c r="II2354" s="501"/>
      <c r="IJ2354" s="501"/>
      <c r="IK2354" s="501"/>
      <c r="IL2354" s="501"/>
      <c r="IM2354" s="501"/>
      <c r="IN2354" s="501"/>
      <c r="IO2354" s="501"/>
      <c r="IP2354" s="501"/>
      <c r="IQ2354" s="501"/>
      <c r="IR2354" s="501"/>
      <c r="IS2354" s="501"/>
      <c r="IT2354" s="501"/>
      <c r="IU2354" s="501"/>
    </row>
    <row r="2355" spans="1:255" s="877" customFormat="1" ht="42" customHeight="1">
      <c r="A2355" s="501"/>
      <c r="B2355" s="501"/>
      <c r="C2355" s="501"/>
      <c r="D2355" s="501"/>
      <c r="E2355" s="501"/>
      <c r="F2355" s="501"/>
      <c r="G2355" s="915"/>
      <c r="H2355" s="501"/>
      <c r="I2355" s="874"/>
      <c r="J2355" s="501"/>
      <c r="K2355" s="501"/>
      <c r="L2355" s="874"/>
      <c r="M2355" s="899"/>
      <c r="N2355" s="501"/>
      <c r="O2355" s="501"/>
      <c r="P2355" s="501"/>
      <c r="Q2355" s="1024"/>
      <c r="R2355" s="501"/>
      <c r="S2355" s="501"/>
      <c r="T2355" s="501"/>
      <c r="V2355" s="501"/>
      <c r="W2355" s="501"/>
      <c r="X2355" s="501"/>
      <c r="Y2355" s="501"/>
      <c r="Z2355" s="501"/>
      <c r="AA2355" s="501"/>
      <c r="AB2355" s="501"/>
      <c r="AC2355" s="501"/>
      <c r="AD2355" s="501"/>
      <c r="AE2355" s="501"/>
      <c r="AF2355" s="501"/>
      <c r="AG2355" s="501"/>
      <c r="AH2355" s="501"/>
      <c r="AI2355" s="501"/>
      <c r="AJ2355" s="501"/>
      <c r="AK2355" s="501"/>
      <c r="AL2355" s="501"/>
      <c r="AM2355" s="501"/>
      <c r="AN2355" s="501"/>
      <c r="AO2355" s="501"/>
      <c r="AP2355" s="501"/>
      <c r="AQ2355" s="501"/>
      <c r="AR2355" s="501"/>
      <c r="AS2355" s="501"/>
      <c r="AT2355" s="501"/>
      <c r="AU2355" s="501"/>
      <c r="AV2355" s="501"/>
      <c r="AW2355" s="501"/>
      <c r="AX2355" s="501"/>
      <c r="AY2355" s="501"/>
      <c r="AZ2355" s="501"/>
      <c r="BA2355" s="501"/>
      <c r="BB2355" s="501"/>
      <c r="BC2355" s="501"/>
      <c r="BD2355" s="501"/>
      <c r="BE2355" s="501"/>
      <c r="BF2355" s="501"/>
      <c r="BG2355" s="501"/>
      <c r="BH2355" s="501"/>
      <c r="BI2355" s="501"/>
      <c r="BJ2355" s="501"/>
      <c r="BK2355" s="501"/>
      <c r="BL2355" s="501"/>
      <c r="BM2355" s="501"/>
      <c r="BN2355" s="501"/>
      <c r="BO2355" s="501"/>
      <c r="BP2355" s="501"/>
      <c r="BQ2355" s="501"/>
      <c r="BR2355" s="501"/>
      <c r="BS2355" s="501"/>
      <c r="BT2355" s="501"/>
      <c r="BU2355" s="501"/>
      <c r="BV2355" s="501"/>
      <c r="BW2355" s="501"/>
      <c r="BX2355" s="501"/>
      <c r="BY2355" s="501"/>
      <c r="BZ2355" s="501"/>
      <c r="CA2355" s="501"/>
      <c r="CB2355" s="501"/>
      <c r="CC2355" s="501"/>
      <c r="CD2355" s="501"/>
      <c r="CE2355" s="501"/>
      <c r="CF2355" s="501"/>
      <c r="CG2355" s="501"/>
      <c r="CH2355" s="501"/>
      <c r="CI2355" s="501"/>
      <c r="CJ2355" s="501"/>
      <c r="CK2355" s="501"/>
      <c r="CL2355" s="501"/>
      <c r="CM2355" s="501"/>
      <c r="CN2355" s="501"/>
      <c r="CO2355" s="501"/>
      <c r="CP2355" s="501"/>
      <c r="CQ2355" s="501"/>
      <c r="CR2355" s="501"/>
      <c r="CS2355" s="501"/>
      <c r="CT2355" s="501"/>
      <c r="CU2355" s="501"/>
      <c r="CV2355" s="501"/>
      <c r="CW2355" s="501"/>
      <c r="CX2355" s="501"/>
      <c r="CY2355" s="501"/>
      <c r="CZ2355" s="501"/>
      <c r="DA2355" s="501"/>
      <c r="DB2355" s="501"/>
      <c r="DC2355" s="501"/>
      <c r="DD2355" s="501"/>
      <c r="DE2355" s="501"/>
      <c r="DF2355" s="501"/>
      <c r="DG2355" s="501"/>
      <c r="DH2355" s="501"/>
      <c r="DI2355" s="501"/>
      <c r="DJ2355" s="501"/>
      <c r="DK2355" s="501"/>
      <c r="DL2355" s="501"/>
      <c r="DM2355" s="501"/>
      <c r="DN2355" s="501"/>
      <c r="DO2355" s="501"/>
      <c r="DP2355" s="501"/>
      <c r="DQ2355" s="501"/>
      <c r="DR2355" s="501"/>
      <c r="DS2355" s="501"/>
      <c r="DT2355" s="501"/>
      <c r="DU2355" s="501"/>
      <c r="DV2355" s="501"/>
      <c r="DW2355" s="501"/>
      <c r="DX2355" s="501"/>
      <c r="DY2355" s="501"/>
      <c r="DZ2355" s="501"/>
      <c r="EA2355" s="501"/>
      <c r="EB2355" s="501"/>
      <c r="EC2355" s="501"/>
      <c r="ED2355" s="501"/>
      <c r="EE2355" s="501"/>
      <c r="EF2355" s="501"/>
      <c r="EG2355" s="501"/>
      <c r="EH2355" s="501"/>
      <c r="EI2355" s="501"/>
      <c r="EJ2355" s="501"/>
      <c r="EK2355" s="501"/>
      <c r="EL2355" s="501"/>
      <c r="EM2355" s="501"/>
      <c r="EN2355" s="501"/>
      <c r="EO2355" s="501"/>
      <c r="EP2355" s="501"/>
      <c r="EQ2355" s="501"/>
      <c r="ER2355" s="501"/>
      <c r="ES2355" s="501"/>
      <c r="ET2355" s="501"/>
      <c r="EU2355" s="501"/>
      <c r="EV2355" s="501"/>
      <c r="EW2355" s="501"/>
      <c r="EX2355" s="501"/>
      <c r="EY2355" s="501"/>
      <c r="EZ2355" s="501"/>
      <c r="FA2355" s="501"/>
      <c r="FB2355" s="501"/>
      <c r="FC2355" s="501"/>
      <c r="FD2355" s="501"/>
      <c r="FE2355" s="501"/>
      <c r="FF2355" s="501"/>
      <c r="FG2355" s="501"/>
      <c r="FH2355" s="501"/>
      <c r="FI2355" s="501"/>
      <c r="FJ2355" s="501"/>
      <c r="FK2355" s="501"/>
      <c r="FL2355" s="501"/>
      <c r="FM2355" s="501"/>
      <c r="FN2355" s="501"/>
      <c r="FO2355" s="501"/>
      <c r="FP2355" s="501"/>
      <c r="FQ2355" s="501"/>
      <c r="FR2355" s="501"/>
      <c r="FS2355" s="501"/>
      <c r="FT2355" s="501"/>
      <c r="FU2355" s="501"/>
      <c r="FV2355" s="501"/>
      <c r="FW2355" s="501"/>
      <c r="FX2355" s="501"/>
      <c r="FY2355" s="501"/>
      <c r="FZ2355" s="501"/>
      <c r="GA2355" s="501"/>
      <c r="GB2355" s="501"/>
      <c r="GC2355" s="501"/>
      <c r="GD2355" s="501"/>
      <c r="GE2355" s="501"/>
      <c r="GF2355" s="501"/>
      <c r="GG2355" s="501"/>
      <c r="GH2355" s="501"/>
      <c r="GI2355" s="501"/>
      <c r="GJ2355" s="501"/>
      <c r="GK2355" s="501"/>
      <c r="GL2355" s="501"/>
      <c r="GM2355" s="501"/>
      <c r="GN2355" s="501"/>
      <c r="GO2355" s="501"/>
      <c r="GP2355" s="501"/>
      <c r="GQ2355" s="501"/>
      <c r="GR2355" s="501"/>
      <c r="GS2355" s="501"/>
      <c r="GT2355" s="501"/>
      <c r="GU2355" s="501"/>
      <c r="GV2355" s="501"/>
      <c r="GW2355" s="501"/>
      <c r="GX2355" s="501"/>
      <c r="GY2355" s="501"/>
      <c r="GZ2355" s="501"/>
      <c r="HA2355" s="501"/>
      <c r="HB2355" s="501"/>
      <c r="HC2355" s="501"/>
      <c r="HD2355" s="501"/>
      <c r="HE2355" s="501"/>
      <c r="HF2355" s="501"/>
      <c r="HG2355" s="501"/>
      <c r="HH2355" s="501"/>
      <c r="HI2355" s="501"/>
      <c r="HJ2355" s="501"/>
      <c r="HK2355" s="501"/>
      <c r="HL2355" s="501"/>
      <c r="HM2355" s="501"/>
      <c r="HN2355" s="501"/>
      <c r="HO2355" s="501"/>
      <c r="HP2355" s="501"/>
      <c r="HQ2355" s="501"/>
      <c r="HR2355" s="501"/>
      <c r="HS2355" s="501"/>
      <c r="HT2355" s="501"/>
      <c r="HU2355" s="501"/>
      <c r="HV2355" s="501"/>
      <c r="HW2355" s="501"/>
      <c r="HX2355" s="501"/>
      <c r="HY2355" s="501"/>
      <c r="HZ2355" s="501"/>
      <c r="IA2355" s="501"/>
      <c r="IB2355" s="501"/>
      <c r="IC2355" s="501"/>
      <c r="ID2355" s="501"/>
      <c r="IE2355" s="501"/>
      <c r="IF2355" s="501"/>
      <c r="IG2355" s="501"/>
      <c r="IH2355" s="501"/>
      <c r="II2355" s="501"/>
      <c r="IJ2355" s="501"/>
      <c r="IK2355" s="501"/>
      <c r="IL2355" s="501"/>
      <c r="IM2355" s="501"/>
      <c r="IN2355" s="501"/>
      <c r="IO2355" s="501"/>
      <c r="IP2355" s="501"/>
      <c r="IQ2355" s="501"/>
      <c r="IR2355" s="501"/>
      <c r="IS2355" s="501"/>
      <c r="IT2355" s="501"/>
      <c r="IU2355" s="501"/>
    </row>
    <row r="2356" spans="1:255" s="877" customFormat="1" ht="24" customHeight="1">
      <c r="A2356" s="501"/>
      <c r="B2356" s="501"/>
      <c r="C2356" s="501"/>
      <c r="D2356" s="501"/>
      <c r="E2356" s="501"/>
      <c r="F2356" s="501"/>
      <c r="G2356" s="915"/>
      <c r="H2356" s="501"/>
      <c r="I2356" s="874"/>
      <c r="J2356" s="501"/>
      <c r="K2356" s="501"/>
      <c r="L2356" s="874"/>
      <c r="M2356" s="554"/>
      <c r="N2356" s="501"/>
      <c r="O2356" s="501"/>
      <c r="P2356" s="501"/>
      <c r="Q2356" s="501"/>
      <c r="R2356" s="501"/>
      <c r="S2356" s="501"/>
      <c r="T2356" s="501"/>
      <c r="V2356" s="501"/>
      <c r="W2356" s="501"/>
      <c r="X2356" s="501"/>
      <c r="Y2356" s="501"/>
      <c r="Z2356" s="501"/>
      <c r="AA2356" s="501"/>
      <c r="AB2356" s="501"/>
      <c r="AC2356" s="501"/>
      <c r="AD2356" s="501"/>
      <c r="AE2356" s="501"/>
      <c r="AF2356" s="501"/>
      <c r="AG2356" s="501"/>
      <c r="AH2356" s="501"/>
      <c r="AI2356" s="501"/>
      <c r="AJ2356" s="501"/>
      <c r="AK2356" s="501"/>
      <c r="AL2356" s="501"/>
      <c r="AM2356" s="501"/>
      <c r="AN2356" s="501"/>
      <c r="AO2356" s="501"/>
      <c r="AP2356" s="501"/>
      <c r="AQ2356" s="501"/>
      <c r="AR2356" s="501"/>
      <c r="AS2356" s="501"/>
      <c r="AT2356" s="501"/>
      <c r="AU2356" s="501"/>
      <c r="AV2356" s="501"/>
      <c r="AW2356" s="501"/>
      <c r="AX2356" s="501"/>
      <c r="AY2356" s="501"/>
      <c r="AZ2356" s="501"/>
      <c r="BA2356" s="501"/>
      <c r="BB2356" s="501"/>
      <c r="BC2356" s="501"/>
      <c r="BD2356" s="501"/>
      <c r="BE2356" s="501"/>
      <c r="BF2356" s="501"/>
      <c r="BG2356" s="501"/>
      <c r="BH2356" s="501"/>
      <c r="BI2356" s="501"/>
      <c r="BJ2356" s="501"/>
      <c r="BK2356" s="501"/>
      <c r="BL2356" s="501"/>
      <c r="BM2356" s="501"/>
      <c r="BN2356" s="501"/>
      <c r="BO2356" s="501"/>
      <c r="BP2356" s="501"/>
      <c r="BQ2356" s="501"/>
      <c r="BR2356" s="501"/>
      <c r="BS2356" s="501"/>
      <c r="BT2356" s="501"/>
      <c r="BU2356" s="501"/>
      <c r="BV2356" s="501"/>
      <c r="BW2356" s="501"/>
      <c r="BX2356" s="501"/>
      <c r="BY2356" s="501"/>
      <c r="BZ2356" s="501"/>
      <c r="CA2356" s="501"/>
      <c r="CB2356" s="501"/>
      <c r="CC2356" s="501"/>
      <c r="CD2356" s="501"/>
      <c r="CE2356" s="501"/>
      <c r="CF2356" s="501"/>
      <c r="CG2356" s="501"/>
      <c r="CH2356" s="501"/>
      <c r="CI2356" s="501"/>
      <c r="CJ2356" s="501"/>
      <c r="CK2356" s="501"/>
      <c r="CL2356" s="501"/>
      <c r="CM2356" s="501"/>
      <c r="CN2356" s="501"/>
      <c r="CO2356" s="501"/>
      <c r="CP2356" s="501"/>
      <c r="CQ2356" s="501"/>
      <c r="CR2356" s="501"/>
      <c r="CS2356" s="501"/>
      <c r="CT2356" s="501"/>
      <c r="CU2356" s="501"/>
      <c r="CV2356" s="501"/>
      <c r="CW2356" s="501"/>
      <c r="CX2356" s="501"/>
      <c r="CY2356" s="501"/>
      <c r="CZ2356" s="501"/>
      <c r="DA2356" s="501"/>
      <c r="DB2356" s="501"/>
      <c r="DC2356" s="501"/>
      <c r="DD2356" s="501"/>
      <c r="DE2356" s="501"/>
      <c r="DF2356" s="501"/>
      <c r="DG2356" s="501"/>
      <c r="DH2356" s="501"/>
      <c r="DI2356" s="501"/>
      <c r="DJ2356" s="501"/>
      <c r="DK2356" s="501"/>
      <c r="DL2356" s="501"/>
      <c r="DM2356" s="501"/>
      <c r="DN2356" s="501"/>
      <c r="DO2356" s="501"/>
      <c r="DP2356" s="501"/>
      <c r="DQ2356" s="501"/>
      <c r="DR2356" s="501"/>
      <c r="DS2356" s="501"/>
      <c r="DT2356" s="501"/>
      <c r="DU2356" s="501"/>
      <c r="DV2356" s="501"/>
      <c r="DW2356" s="501"/>
      <c r="DX2356" s="501"/>
      <c r="DY2356" s="501"/>
      <c r="DZ2356" s="501"/>
      <c r="EA2356" s="501"/>
      <c r="EB2356" s="501"/>
      <c r="EC2356" s="501"/>
      <c r="ED2356" s="501"/>
      <c r="EE2356" s="501"/>
      <c r="EF2356" s="501"/>
      <c r="EG2356" s="501"/>
      <c r="EH2356" s="501"/>
      <c r="EI2356" s="501"/>
      <c r="EJ2356" s="501"/>
      <c r="EK2356" s="501"/>
      <c r="EL2356" s="501"/>
      <c r="EM2356" s="501"/>
      <c r="EN2356" s="501"/>
      <c r="EO2356" s="501"/>
      <c r="EP2356" s="501"/>
      <c r="EQ2356" s="501"/>
      <c r="ER2356" s="501"/>
      <c r="ES2356" s="501"/>
      <c r="ET2356" s="501"/>
      <c r="EU2356" s="501"/>
      <c r="EV2356" s="501"/>
      <c r="EW2356" s="501"/>
      <c r="EX2356" s="501"/>
      <c r="EY2356" s="501"/>
      <c r="EZ2356" s="501"/>
      <c r="FA2356" s="501"/>
      <c r="FB2356" s="501"/>
      <c r="FC2356" s="501"/>
      <c r="FD2356" s="501"/>
      <c r="FE2356" s="501"/>
      <c r="FF2356" s="501"/>
      <c r="FG2356" s="501"/>
      <c r="FH2356" s="501"/>
      <c r="FI2356" s="501"/>
      <c r="FJ2356" s="501"/>
      <c r="FK2356" s="501"/>
      <c r="FL2356" s="501"/>
      <c r="FM2356" s="501"/>
      <c r="FN2356" s="501"/>
      <c r="FO2356" s="501"/>
      <c r="FP2356" s="501"/>
      <c r="FQ2356" s="501"/>
      <c r="FR2356" s="501"/>
      <c r="FS2356" s="501"/>
      <c r="FT2356" s="501"/>
      <c r="FU2356" s="501"/>
      <c r="FV2356" s="501"/>
      <c r="FW2356" s="501"/>
      <c r="FX2356" s="501"/>
      <c r="FY2356" s="501"/>
      <c r="FZ2356" s="501"/>
      <c r="GA2356" s="501"/>
      <c r="GB2356" s="501"/>
      <c r="GC2356" s="501"/>
      <c r="GD2356" s="501"/>
      <c r="GE2356" s="501"/>
      <c r="GF2356" s="501"/>
      <c r="GG2356" s="501"/>
      <c r="GH2356" s="501"/>
      <c r="GI2356" s="501"/>
      <c r="GJ2356" s="501"/>
      <c r="GK2356" s="501"/>
      <c r="GL2356" s="501"/>
      <c r="GM2356" s="501"/>
      <c r="GN2356" s="501"/>
      <c r="GO2356" s="501"/>
      <c r="GP2356" s="501"/>
      <c r="GQ2356" s="501"/>
      <c r="GR2356" s="501"/>
      <c r="GS2356" s="501"/>
      <c r="GT2356" s="501"/>
      <c r="GU2356" s="501"/>
      <c r="GV2356" s="501"/>
      <c r="GW2356" s="501"/>
      <c r="GX2356" s="501"/>
      <c r="GY2356" s="501"/>
      <c r="GZ2356" s="501"/>
      <c r="HA2356" s="501"/>
      <c r="HB2356" s="501"/>
      <c r="HC2356" s="501"/>
      <c r="HD2356" s="501"/>
      <c r="HE2356" s="501"/>
      <c r="HF2356" s="501"/>
      <c r="HG2356" s="501"/>
      <c r="HH2356" s="501"/>
      <c r="HI2356" s="501"/>
      <c r="HJ2356" s="501"/>
      <c r="HK2356" s="501"/>
      <c r="HL2356" s="501"/>
      <c r="HM2356" s="501"/>
      <c r="HN2356" s="501"/>
      <c r="HO2356" s="501"/>
      <c r="HP2356" s="501"/>
      <c r="HQ2356" s="501"/>
      <c r="HR2356" s="501"/>
      <c r="HS2356" s="501"/>
      <c r="HT2356" s="501"/>
      <c r="HU2356" s="501"/>
      <c r="HV2356" s="501"/>
      <c r="HW2356" s="501"/>
      <c r="HX2356" s="501"/>
      <c r="HY2356" s="501"/>
      <c r="HZ2356" s="501"/>
      <c r="IA2356" s="501"/>
      <c r="IB2356" s="501"/>
      <c r="IC2356" s="501"/>
      <c r="ID2356" s="501"/>
      <c r="IE2356" s="501"/>
      <c r="IF2356" s="501"/>
      <c r="IG2356" s="501"/>
      <c r="IH2356" s="501"/>
      <c r="II2356" s="501"/>
      <c r="IJ2356" s="501"/>
      <c r="IK2356" s="501"/>
      <c r="IL2356" s="501"/>
      <c r="IM2356" s="501"/>
      <c r="IN2356" s="501"/>
      <c r="IO2356" s="501"/>
      <c r="IP2356" s="501"/>
      <c r="IQ2356" s="501"/>
      <c r="IR2356" s="501"/>
      <c r="IS2356" s="501"/>
      <c r="IT2356" s="501"/>
      <c r="IU2356" s="501"/>
    </row>
    <row r="2357" spans="1:255" s="877" customFormat="1" ht="24" customHeight="1">
      <c r="A2357" s="501"/>
      <c r="B2357" s="501"/>
      <c r="C2357" s="501"/>
      <c r="D2357" s="501"/>
      <c r="E2357" s="501"/>
      <c r="F2357" s="501"/>
      <c r="G2357" s="915"/>
      <c r="H2357" s="501"/>
      <c r="I2357" s="874"/>
      <c r="J2357" s="885"/>
      <c r="K2357" s="501"/>
      <c r="L2357" s="874"/>
      <c r="M2357" s="554"/>
      <c r="N2357" s="501"/>
      <c r="O2357" s="501"/>
      <c r="P2357" s="501"/>
      <c r="Q2357" s="501"/>
      <c r="R2357" s="501"/>
      <c r="S2357" s="501"/>
      <c r="T2357" s="885"/>
      <c r="V2357" s="501"/>
      <c r="W2357" s="501"/>
      <c r="X2357" s="501"/>
      <c r="Y2357" s="501"/>
      <c r="Z2357" s="501"/>
      <c r="AA2357" s="501"/>
      <c r="AB2357" s="501"/>
      <c r="AC2357" s="501"/>
      <c r="AD2357" s="501"/>
      <c r="AE2357" s="501"/>
      <c r="AF2357" s="501"/>
      <c r="AG2357" s="501"/>
      <c r="AH2357" s="501"/>
      <c r="AI2357" s="501"/>
      <c r="AJ2357" s="501"/>
      <c r="AK2357" s="501"/>
      <c r="AL2357" s="501"/>
      <c r="AM2357" s="501"/>
      <c r="AN2357" s="501"/>
      <c r="AO2357" s="501"/>
      <c r="AP2357" s="501"/>
      <c r="AQ2357" s="501"/>
      <c r="AR2357" s="501"/>
      <c r="AS2357" s="501"/>
      <c r="AT2357" s="501"/>
      <c r="AU2357" s="501"/>
      <c r="AV2357" s="501"/>
      <c r="AW2357" s="501"/>
      <c r="AX2357" s="501"/>
      <c r="AY2357" s="501"/>
      <c r="AZ2357" s="501"/>
      <c r="BA2357" s="501"/>
      <c r="BB2357" s="501"/>
      <c r="BC2357" s="501"/>
      <c r="BD2357" s="501"/>
      <c r="BE2357" s="501"/>
      <c r="BF2357" s="501"/>
      <c r="BG2357" s="501"/>
      <c r="BH2357" s="501"/>
      <c r="BI2357" s="501"/>
      <c r="BJ2357" s="501"/>
      <c r="BK2357" s="501"/>
      <c r="BL2357" s="501"/>
      <c r="BM2357" s="501"/>
      <c r="BN2357" s="501"/>
      <c r="BO2357" s="501"/>
      <c r="BP2357" s="501"/>
      <c r="BQ2357" s="501"/>
      <c r="BR2357" s="501"/>
      <c r="BS2357" s="501"/>
      <c r="BT2357" s="501"/>
      <c r="BU2357" s="501"/>
      <c r="BV2357" s="501"/>
      <c r="BW2357" s="501"/>
      <c r="BX2357" s="501"/>
      <c r="BY2357" s="501"/>
      <c r="BZ2357" s="501"/>
      <c r="CA2357" s="501"/>
      <c r="CB2357" s="501"/>
      <c r="CC2357" s="501"/>
      <c r="CD2357" s="501"/>
      <c r="CE2357" s="501"/>
      <c r="CF2357" s="501"/>
      <c r="CG2357" s="501"/>
      <c r="CH2357" s="501"/>
      <c r="CI2357" s="501"/>
      <c r="CJ2357" s="501"/>
      <c r="CK2357" s="501"/>
      <c r="CL2357" s="501"/>
      <c r="CM2357" s="501"/>
      <c r="CN2357" s="501"/>
      <c r="CO2357" s="501"/>
      <c r="CP2357" s="501"/>
      <c r="CQ2357" s="501"/>
      <c r="CR2357" s="501"/>
      <c r="CS2357" s="501"/>
      <c r="CT2357" s="501"/>
      <c r="CU2357" s="501"/>
      <c r="CV2357" s="501"/>
      <c r="CW2357" s="501"/>
      <c r="CX2357" s="501"/>
      <c r="CY2357" s="501"/>
      <c r="CZ2357" s="501"/>
      <c r="DA2357" s="501"/>
      <c r="DB2357" s="501"/>
      <c r="DC2357" s="501"/>
      <c r="DD2357" s="501"/>
      <c r="DE2357" s="501"/>
      <c r="DF2357" s="501"/>
      <c r="DG2357" s="501"/>
      <c r="DH2357" s="501"/>
      <c r="DI2357" s="501"/>
      <c r="DJ2357" s="501"/>
      <c r="DK2357" s="501"/>
      <c r="DL2357" s="501"/>
      <c r="DM2357" s="501"/>
      <c r="DN2357" s="501"/>
      <c r="DO2357" s="501"/>
      <c r="DP2357" s="501"/>
      <c r="DQ2357" s="501"/>
      <c r="DR2357" s="501"/>
      <c r="DS2357" s="501"/>
      <c r="DT2357" s="501"/>
      <c r="DU2357" s="501"/>
      <c r="DV2357" s="501"/>
      <c r="DW2357" s="501"/>
      <c r="DX2357" s="501"/>
      <c r="DY2357" s="501"/>
      <c r="DZ2357" s="501"/>
      <c r="EA2357" s="501"/>
      <c r="EB2357" s="501"/>
      <c r="EC2357" s="501"/>
      <c r="ED2357" s="501"/>
      <c r="EE2357" s="501"/>
      <c r="EF2357" s="501"/>
      <c r="EG2357" s="501"/>
      <c r="EH2357" s="501"/>
      <c r="EI2357" s="501"/>
      <c r="EJ2357" s="501"/>
      <c r="EK2357" s="501"/>
      <c r="EL2357" s="501"/>
      <c r="EM2357" s="501"/>
      <c r="EN2357" s="501"/>
      <c r="EO2357" s="501"/>
      <c r="EP2357" s="501"/>
      <c r="EQ2357" s="501"/>
      <c r="ER2357" s="501"/>
      <c r="ES2357" s="501"/>
      <c r="ET2357" s="501"/>
      <c r="EU2357" s="501"/>
      <c r="EV2357" s="501"/>
      <c r="EW2357" s="501"/>
      <c r="EX2357" s="501"/>
      <c r="EY2357" s="501"/>
      <c r="EZ2357" s="501"/>
      <c r="FA2357" s="501"/>
      <c r="FB2357" s="501"/>
      <c r="FC2357" s="501"/>
      <c r="FD2357" s="501"/>
      <c r="FE2357" s="501"/>
      <c r="FF2357" s="501"/>
      <c r="FG2357" s="501"/>
      <c r="FH2357" s="501"/>
      <c r="FI2357" s="501"/>
      <c r="FJ2357" s="501"/>
      <c r="FK2357" s="501"/>
      <c r="FL2357" s="501"/>
      <c r="FM2357" s="501"/>
      <c r="FN2357" s="501"/>
      <c r="FO2357" s="501"/>
      <c r="FP2357" s="501"/>
      <c r="FQ2357" s="501"/>
      <c r="FR2357" s="501"/>
      <c r="FS2357" s="501"/>
      <c r="FT2357" s="501"/>
      <c r="FU2357" s="501"/>
      <c r="FV2357" s="501"/>
      <c r="FW2357" s="501"/>
      <c r="FX2357" s="501"/>
      <c r="FY2357" s="501"/>
      <c r="FZ2357" s="501"/>
      <c r="GA2357" s="501"/>
      <c r="GB2357" s="501"/>
      <c r="GC2357" s="501"/>
      <c r="GD2357" s="501"/>
      <c r="GE2357" s="501"/>
      <c r="GF2357" s="501"/>
      <c r="GG2357" s="501"/>
      <c r="GH2357" s="501"/>
      <c r="GI2357" s="501"/>
      <c r="GJ2357" s="501"/>
      <c r="GK2357" s="501"/>
      <c r="GL2357" s="501"/>
      <c r="GM2357" s="501"/>
      <c r="GN2357" s="501"/>
      <c r="GO2357" s="501"/>
      <c r="GP2357" s="501"/>
      <c r="GQ2357" s="501"/>
      <c r="GR2357" s="501"/>
      <c r="GS2357" s="501"/>
      <c r="GT2357" s="501"/>
      <c r="GU2357" s="501"/>
      <c r="GV2357" s="501"/>
      <c r="GW2357" s="501"/>
      <c r="GX2357" s="501"/>
      <c r="GY2357" s="501"/>
      <c r="GZ2357" s="501"/>
      <c r="HA2357" s="501"/>
      <c r="HB2357" s="501"/>
      <c r="HC2357" s="501"/>
      <c r="HD2357" s="501"/>
      <c r="HE2357" s="501"/>
      <c r="HF2357" s="501"/>
      <c r="HG2357" s="501"/>
      <c r="HH2357" s="501"/>
      <c r="HI2357" s="501"/>
      <c r="HJ2357" s="501"/>
      <c r="HK2357" s="501"/>
      <c r="HL2357" s="501"/>
      <c r="HM2357" s="501"/>
      <c r="HN2357" s="501"/>
      <c r="HO2357" s="501"/>
      <c r="HP2357" s="501"/>
      <c r="HQ2357" s="501"/>
      <c r="HR2357" s="501"/>
      <c r="HS2357" s="501"/>
      <c r="HT2357" s="501"/>
      <c r="HU2357" s="501"/>
      <c r="HV2357" s="501"/>
      <c r="HW2357" s="501"/>
      <c r="HX2357" s="501"/>
      <c r="HY2357" s="501"/>
      <c r="HZ2357" s="501"/>
      <c r="IA2357" s="501"/>
      <c r="IB2357" s="501"/>
      <c r="IC2357" s="501"/>
      <c r="ID2357" s="501"/>
      <c r="IE2357" s="501"/>
      <c r="IF2357" s="501"/>
      <c r="IG2357" s="501"/>
      <c r="IH2357" s="501"/>
      <c r="II2357" s="501"/>
      <c r="IJ2357" s="501"/>
      <c r="IK2357" s="501"/>
      <c r="IL2357" s="501"/>
      <c r="IM2357" s="501"/>
      <c r="IN2357" s="501"/>
      <c r="IO2357" s="501"/>
      <c r="IP2357" s="501"/>
      <c r="IQ2357" s="501"/>
      <c r="IR2357" s="501"/>
      <c r="IS2357" s="501"/>
      <c r="IT2357" s="501"/>
      <c r="IU2357" s="501"/>
    </row>
    <row r="2358" spans="1:255" s="877" customFormat="1" ht="24" customHeight="1">
      <c r="A2358" s="501"/>
      <c r="B2358" s="501"/>
      <c r="C2358" s="501"/>
      <c r="D2358" s="501"/>
      <c r="E2358" s="501"/>
      <c r="F2358" s="501"/>
      <c r="G2358" s="915"/>
      <c r="H2358" s="501"/>
      <c r="I2358" s="874"/>
      <c r="J2358" s="933"/>
      <c r="K2358" s="501"/>
      <c r="L2358" s="874"/>
      <c r="M2358" s="554"/>
      <c r="N2358" s="501"/>
      <c r="O2358" s="501"/>
      <c r="P2358" s="501"/>
      <c r="Q2358" s="501"/>
      <c r="R2358" s="501"/>
      <c r="S2358" s="501"/>
      <c r="T2358" s="501"/>
      <c r="V2358" s="501"/>
      <c r="W2358" s="501"/>
      <c r="X2358" s="501"/>
      <c r="Y2358" s="501"/>
      <c r="Z2358" s="501"/>
      <c r="AA2358" s="501"/>
      <c r="AB2358" s="501"/>
      <c r="AC2358" s="501"/>
      <c r="AD2358" s="501"/>
      <c r="AE2358" s="501"/>
      <c r="AF2358" s="501"/>
      <c r="AG2358" s="501"/>
      <c r="AH2358" s="501"/>
      <c r="AI2358" s="501"/>
      <c r="AJ2358" s="501"/>
      <c r="AK2358" s="501"/>
      <c r="AL2358" s="501"/>
      <c r="AM2358" s="501"/>
      <c r="AN2358" s="501"/>
      <c r="AO2358" s="501"/>
      <c r="AP2358" s="501"/>
      <c r="AQ2358" s="501"/>
      <c r="AR2358" s="501"/>
      <c r="AS2358" s="501"/>
      <c r="AT2358" s="501"/>
      <c r="AU2358" s="501"/>
      <c r="AV2358" s="501"/>
      <c r="AW2358" s="501"/>
      <c r="AX2358" s="501"/>
      <c r="AY2358" s="501"/>
      <c r="AZ2358" s="501"/>
      <c r="BA2358" s="501"/>
      <c r="BB2358" s="501"/>
      <c r="BC2358" s="501"/>
      <c r="BD2358" s="501"/>
      <c r="BE2358" s="501"/>
      <c r="BF2358" s="501"/>
      <c r="BG2358" s="501"/>
      <c r="BH2358" s="501"/>
      <c r="BI2358" s="501"/>
      <c r="BJ2358" s="501"/>
      <c r="BK2358" s="501"/>
      <c r="BL2358" s="501"/>
      <c r="BM2358" s="501"/>
      <c r="BN2358" s="501"/>
      <c r="BO2358" s="501"/>
      <c r="BP2358" s="501"/>
      <c r="BQ2358" s="501"/>
      <c r="BR2358" s="501"/>
      <c r="BS2358" s="501"/>
      <c r="BT2358" s="501"/>
      <c r="BU2358" s="501"/>
      <c r="BV2358" s="501"/>
      <c r="BW2358" s="501"/>
      <c r="BX2358" s="501"/>
      <c r="BY2358" s="501"/>
      <c r="BZ2358" s="501"/>
      <c r="CA2358" s="501"/>
      <c r="CB2358" s="501"/>
      <c r="CC2358" s="501"/>
      <c r="CD2358" s="501"/>
      <c r="CE2358" s="501"/>
      <c r="CF2358" s="501"/>
      <c r="CG2358" s="501"/>
      <c r="CH2358" s="501"/>
      <c r="CI2358" s="501"/>
      <c r="CJ2358" s="501"/>
      <c r="CK2358" s="501"/>
      <c r="CL2358" s="501"/>
      <c r="CM2358" s="501"/>
      <c r="CN2358" s="501"/>
      <c r="CO2358" s="501"/>
      <c r="CP2358" s="501"/>
      <c r="CQ2358" s="501"/>
      <c r="CR2358" s="501"/>
      <c r="CS2358" s="501"/>
      <c r="CT2358" s="501"/>
      <c r="CU2358" s="501"/>
      <c r="CV2358" s="501"/>
      <c r="CW2358" s="501"/>
      <c r="CX2358" s="501"/>
      <c r="CY2358" s="501"/>
      <c r="CZ2358" s="501"/>
      <c r="DA2358" s="501"/>
      <c r="DB2358" s="501"/>
      <c r="DC2358" s="501"/>
      <c r="DD2358" s="501"/>
      <c r="DE2358" s="501"/>
      <c r="DF2358" s="501"/>
      <c r="DG2358" s="501"/>
      <c r="DH2358" s="501"/>
      <c r="DI2358" s="501"/>
      <c r="DJ2358" s="501"/>
      <c r="DK2358" s="501"/>
      <c r="DL2358" s="501"/>
      <c r="DM2358" s="501"/>
      <c r="DN2358" s="501"/>
      <c r="DO2358" s="501"/>
      <c r="DP2358" s="501"/>
      <c r="DQ2358" s="501"/>
      <c r="DR2358" s="501"/>
      <c r="DS2358" s="501"/>
      <c r="DT2358" s="501"/>
      <c r="DU2358" s="501"/>
      <c r="DV2358" s="501"/>
      <c r="DW2358" s="501"/>
      <c r="DX2358" s="501"/>
      <c r="DY2358" s="501"/>
      <c r="DZ2358" s="501"/>
      <c r="EA2358" s="501"/>
      <c r="EB2358" s="501"/>
      <c r="EC2358" s="501"/>
      <c r="ED2358" s="501"/>
      <c r="EE2358" s="501"/>
      <c r="EF2358" s="501"/>
      <c r="EG2358" s="501"/>
      <c r="EH2358" s="501"/>
      <c r="EI2358" s="501"/>
      <c r="EJ2358" s="501"/>
      <c r="EK2358" s="501"/>
      <c r="EL2358" s="501"/>
      <c r="EM2358" s="501"/>
      <c r="EN2358" s="501"/>
      <c r="EO2358" s="501"/>
      <c r="EP2358" s="501"/>
      <c r="EQ2358" s="501"/>
      <c r="ER2358" s="501"/>
      <c r="ES2358" s="501"/>
      <c r="ET2358" s="501"/>
      <c r="EU2358" s="501"/>
      <c r="EV2358" s="501"/>
      <c r="EW2358" s="501"/>
      <c r="EX2358" s="501"/>
      <c r="EY2358" s="501"/>
      <c r="EZ2358" s="501"/>
      <c r="FA2358" s="501"/>
      <c r="FB2358" s="501"/>
      <c r="FC2358" s="501"/>
      <c r="FD2358" s="501"/>
      <c r="FE2358" s="501"/>
      <c r="FF2358" s="501"/>
      <c r="FG2358" s="501"/>
      <c r="FH2358" s="501"/>
      <c r="FI2358" s="501"/>
      <c r="FJ2358" s="501"/>
      <c r="FK2358" s="501"/>
      <c r="FL2358" s="501"/>
      <c r="FM2358" s="501"/>
      <c r="FN2358" s="501"/>
      <c r="FO2358" s="501"/>
      <c r="FP2358" s="501"/>
      <c r="FQ2358" s="501"/>
      <c r="FR2358" s="501"/>
      <c r="FS2358" s="501"/>
      <c r="FT2358" s="501"/>
      <c r="FU2358" s="501"/>
      <c r="FV2358" s="501"/>
      <c r="FW2358" s="501"/>
      <c r="FX2358" s="501"/>
      <c r="FY2358" s="501"/>
      <c r="FZ2358" s="501"/>
      <c r="GA2358" s="501"/>
      <c r="GB2358" s="501"/>
      <c r="GC2358" s="501"/>
      <c r="GD2358" s="501"/>
      <c r="GE2358" s="501"/>
      <c r="GF2358" s="501"/>
      <c r="GG2358" s="501"/>
      <c r="GH2358" s="501"/>
      <c r="GI2358" s="501"/>
      <c r="GJ2358" s="501"/>
      <c r="GK2358" s="501"/>
      <c r="GL2358" s="501"/>
      <c r="GM2358" s="501"/>
      <c r="GN2358" s="501"/>
      <c r="GO2358" s="501"/>
      <c r="GP2358" s="501"/>
      <c r="GQ2358" s="501"/>
      <c r="GR2358" s="501"/>
      <c r="GS2358" s="501"/>
      <c r="GT2358" s="501"/>
      <c r="GU2358" s="501"/>
      <c r="GV2358" s="501"/>
      <c r="GW2358" s="501"/>
      <c r="GX2358" s="501"/>
      <c r="GY2358" s="501"/>
      <c r="GZ2358" s="501"/>
      <c r="HA2358" s="501"/>
      <c r="HB2358" s="501"/>
      <c r="HC2358" s="501"/>
      <c r="HD2358" s="501"/>
      <c r="HE2358" s="501"/>
      <c r="HF2358" s="501"/>
      <c r="HG2358" s="501"/>
      <c r="HH2358" s="501"/>
      <c r="HI2358" s="501"/>
      <c r="HJ2358" s="501"/>
      <c r="HK2358" s="501"/>
      <c r="HL2358" s="501"/>
      <c r="HM2358" s="501"/>
      <c r="HN2358" s="501"/>
      <c r="HO2358" s="501"/>
      <c r="HP2358" s="501"/>
      <c r="HQ2358" s="501"/>
      <c r="HR2358" s="501"/>
      <c r="HS2358" s="501"/>
      <c r="HT2358" s="501"/>
      <c r="HU2358" s="501"/>
      <c r="HV2358" s="501"/>
      <c r="HW2358" s="501"/>
      <c r="HX2358" s="501"/>
      <c r="HY2358" s="501"/>
      <c r="HZ2358" s="501"/>
      <c r="IA2358" s="501"/>
      <c r="IB2358" s="501"/>
      <c r="IC2358" s="501"/>
      <c r="ID2358" s="501"/>
      <c r="IE2358" s="501"/>
      <c r="IF2358" s="501"/>
      <c r="IG2358" s="501"/>
      <c r="IH2358" s="501"/>
      <c r="II2358" s="501"/>
      <c r="IJ2358" s="501"/>
      <c r="IK2358" s="501"/>
      <c r="IL2358" s="501"/>
      <c r="IM2358" s="501"/>
      <c r="IN2358" s="501"/>
      <c r="IO2358" s="501"/>
      <c r="IP2358" s="501"/>
      <c r="IQ2358" s="501"/>
      <c r="IR2358" s="501"/>
      <c r="IS2358" s="501"/>
      <c r="IT2358" s="501"/>
      <c r="IU2358" s="501"/>
    </row>
    <row r="2359" spans="1:255" s="877" customFormat="1" ht="24" customHeight="1">
      <c r="A2359" s="501"/>
      <c r="B2359" s="501"/>
      <c r="C2359" s="501"/>
      <c r="D2359" s="501"/>
      <c r="E2359" s="501"/>
      <c r="F2359" s="501"/>
      <c r="G2359" s="915"/>
      <c r="H2359" s="501"/>
      <c r="I2359" s="874"/>
      <c r="J2359" s="933"/>
      <c r="K2359" s="501"/>
      <c r="L2359" s="874"/>
      <c r="M2359" s="554"/>
      <c r="N2359" s="501"/>
      <c r="O2359" s="501"/>
      <c r="P2359" s="501"/>
      <c r="Q2359" s="501"/>
      <c r="R2359" s="501"/>
      <c r="S2359" s="501"/>
      <c r="T2359" s="501"/>
      <c r="V2359" s="501"/>
      <c r="W2359" s="501"/>
      <c r="X2359" s="501"/>
      <c r="Y2359" s="501"/>
      <c r="Z2359" s="501"/>
      <c r="AA2359" s="501"/>
      <c r="AB2359" s="501"/>
      <c r="AC2359" s="501"/>
      <c r="AD2359" s="501"/>
      <c r="AE2359" s="501"/>
      <c r="AF2359" s="501"/>
      <c r="AG2359" s="501"/>
      <c r="AH2359" s="501"/>
      <c r="AI2359" s="501"/>
      <c r="AJ2359" s="501"/>
      <c r="AK2359" s="501"/>
      <c r="AL2359" s="501"/>
      <c r="AM2359" s="501"/>
      <c r="AN2359" s="501"/>
      <c r="AO2359" s="501"/>
      <c r="AP2359" s="501"/>
      <c r="AQ2359" s="501"/>
      <c r="AR2359" s="501"/>
      <c r="AS2359" s="501"/>
      <c r="AT2359" s="501"/>
      <c r="AU2359" s="501"/>
      <c r="AV2359" s="501"/>
      <c r="AW2359" s="501"/>
      <c r="AX2359" s="501"/>
      <c r="AY2359" s="501"/>
      <c r="AZ2359" s="501"/>
      <c r="BA2359" s="501"/>
      <c r="BB2359" s="501"/>
      <c r="BC2359" s="501"/>
      <c r="BD2359" s="501"/>
      <c r="BE2359" s="501"/>
      <c r="BF2359" s="501"/>
      <c r="BG2359" s="501"/>
      <c r="BH2359" s="501"/>
      <c r="BI2359" s="501"/>
      <c r="BJ2359" s="501"/>
      <c r="BK2359" s="501"/>
      <c r="BL2359" s="501"/>
      <c r="BM2359" s="501"/>
      <c r="BN2359" s="501"/>
      <c r="BO2359" s="501"/>
      <c r="BP2359" s="501"/>
      <c r="BQ2359" s="501"/>
      <c r="BR2359" s="501"/>
      <c r="BS2359" s="501"/>
      <c r="BT2359" s="501"/>
      <c r="BU2359" s="501"/>
      <c r="BV2359" s="501"/>
      <c r="BW2359" s="501"/>
      <c r="BX2359" s="501"/>
      <c r="BY2359" s="501"/>
      <c r="BZ2359" s="501"/>
      <c r="CA2359" s="501"/>
      <c r="CB2359" s="501"/>
      <c r="CC2359" s="501"/>
      <c r="CD2359" s="501"/>
      <c r="CE2359" s="501"/>
      <c r="CF2359" s="501"/>
      <c r="CG2359" s="501"/>
      <c r="CH2359" s="501"/>
      <c r="CI2359" s="501"/>
      <c r="CJ2359" s="501"/>
      <c r="CK2359" s="501"/>
      <c r="CL2359" s="501"/>
      <c r="CM2359" s="501"/>
      <c r="CN2359" s="501"/>
      <c r="CO2359" s="501"/>
      <c r="CP2359" s="501"/>
      <c r="CQ2359" s="501"/>
      <c r="CR2359" s="501"/>
      <c r="CS2359" s="501"/>
      <c r="CT2359" s="501"/>
      <c r="CU2359" s="501"/>
      <c r="CV2359" s="501"/>
      <c r="CW2359" s="501"/>
      <c r="CX2359" s="501"/>
      <c r="CY2359" s="501"/>
      <c r="CZ2359" s="501"/>
      <c r="DA2359" s="501"/>
      <c r="DB2359" s="501"/>
      <c r="DC2359" s="501"/>
      <c r="DD2359" s="501"/>
      <c r="DE2359" s="501"/>
      <c r="DF2359" s="501"/>
      <c r="DG2359" s="501"/>
      <c r="DH2359" s="501"/>
      <c r="DI2359" s="501"/>
      <c r="DJ2359" s="501"/>
      <c r="DK2359" s="501"/>
      <c r="DL2359" s="501"/>
      <c r="DM2359" s="501"/>
      <c r="DN2359" s="501"/>
      <c r="DO2359" s="501"/>
      <c r="DP2359" s="501"/>
      <c r="DQ2359" s="501"/>
      <c r="DR2359" s="501"/>
      <c r="DS2359" s="501"/>
      <c r="DT2359" s="501"/>
      <c r="DU2359" s="501"/>
      <c r="DV2359" s="501"/>
      <c r="DW2359" s="501"/>
      <c r="DX2359" s="501"/>
      <c r="DY2359" s="501"/>
      <c r="DZ2359" s="501"/>
      <c r="EA2359" s="501"/>
      <c r="EB2359" s="501"/>
      <c r="EC2359" s="501"/>
      <c r="ED2359" s="501"/>
      <c r="EE2359" s="501"/>
      <c r="EF2359" s="501"/>
      <c r="EG2359" s="501"/>
      <c r="EH2359" s="501"/>
      <c r="EI2359" s="501"/>
      <c r="EJ2359" s="501"/>
      <c r="EK2359" s="501"/>
      <c r="EL2359" s="501"/>
      <c r="EM2359" s="501"/>
      <c r="EN2359" s="501"/>
      <c r="EO2359" s="501"/>
      <c r="EP2359" s="501"/>
      <c r="EQ2359" s="501"/>
      <c r="ER2359" s="501"/>
      <c r="ES2359" s="501"/>
      <c r="ET2359" s="501"/>
      <c r="EU2359" s="501"/>
      <c r="EV2359" s="501"/>
      <c r="EW2359" s="501"/>
      <c r="EX2359" s="501"/>
      <c r="EY2359" s="501"/>
      <c r="EZ2359" s="501"/>
      <c r="FA2359" s="501"/>
      <c r="FB2359" s="501"/>
      <c r="FC2359" s="501"/>
      <c r="FD2359" s="501"/>
      <c r="FE2359" s="501"/>
      <c r="FF2359" s="501"/>
      <c r="FG2359" s="501"/>
      <c r="FH2359" s="501"/>
      <c r="FI2359" s="501"/>
      <c r="FJ2359" s="501"/>
      <c r="FK2359" s="501"/>
      <c r="FL2359" s="501"/>
      <c r="FM2359" s="501"/>
      <c r="FN2359" s="501"/>
      <c r="FO2359" s="501"/>
      <c r="FP2359" s="501"/>
      <c r="FQ2359" s="501"/>
      <c r="FR2359" s="501"/>
      <c r="FS2359" s="501"/>
      <c r="FT2359" s="501"/>
      <c r="FU2359" s="501"/>
      <c r="FV2359" s="501"/>
      <c r="FW2359" s="501"/>
      <c r="FX2359" s="501"/>
      <c r="FY2359" s="501"/>
      <c r="FZ2359" s="501"/>
      <c r="GA2359" s="501"/>
      <c r="GB2359" s="501"/>
      <c r="GC2359" s="501"/>
      <c r="GD2359" s="501"/>
      <c r="GE2359" s="501"/>
      <c r="GF2359" s="501"/>
      <c r="GG2359" s="501"/>
      <c r="GH2359" s="501"/>
      <c r="GI2359" s="501"/>
      <c r="GJ2359" s="501"/>
      <c r="GK2359" s="501"/>
      <c r="GL2359" s="501"/>
      <c r="GM2359" s="501"/>
      <c r="GN2359" s="501"/>
      <c r="GO2359" s="501"/>
      <c r="GP2359" s="501"/>
      <c r="GQ2359" s="501"/>
      <c r="GR2359" s="501"/>
      <c r="GS2359" s="501"/>
      <c r="GT2359" s="501"/>
      <c r="GU2359" s="501"/>
      <c r="GV2359" s="501"/>
      <c r="GW2359" s="501"/>
      <c r="GX2359" s="501"/>
      <c r="GY2359" s="501"/>
      <c r="GZ2359" s="501"/>
      <c r="HA2359" s="501"/>
      <c r="HB2359" s="501"/>
      <c r="HC2359" s="501"/>
      <c r="HD2359" s="501"/>
      <c r="HE2359" s="501"/>
      <c r="HF2359" s="501"/>
      <c r="HG2359" s="501"/>
      <c r="HH2359" s="501"/>
      <c r="HI2359" s="501"/>
      <c r="HJ2359" s="501"/>
      <c r="HK2359" s="501"/>
      <c r="HL2359" s="501"/>
      <c r="HM2359" s="501"/>
      <c r="HN2359" s="501"/>
      <c r="HO2359" s="501"/>
      <c r="HP2359" s="501"/>
      <c r="HQ2359" s="501"/>
      <c r="HR2359" s="501"/>
      <c r="HS2359" s="501"/>
      <c r="HT2359" s="501"/>
      <c r="HU2359" s="501"/>
      <c r="HV2359" s="501"/>
      <c r="HW2359" s="501"/>
      <c r="HX2359" s="501"/>
      <c r="HY2359" s="501"/>
      <c r="HZ2359" s="501"/>
      <c r="IA2359" s="501"/>
      <c r="IB2359" s="501"/>
      <c r="IC2359" s="501"/>
      <c r="ID2359" s="501"/>
      <c r="IE2359" s="501"/>
      <c r="IF2359" s="501"/>
      <c r="IG2359" s="501"/>
      <c r="IH2359" s="501"/>
      <c r="II2359" s="501"/>
      <c r="IJ2359" s="501"/>
      <c r="IK2359" s="501"/>
      <c r="IL2359" s="501"/>
      <c r="IM2359" s="501"/>
      <c r="IN2359" s="501"/>
      <c r="IO2359" s="501"/>
      <c r="IP2359" s="501"/>
      <c r="IQ2359" s="501"/>
      <c r="IR2359" s="501"/>
      <c r="IS2359" s="501"/>
      <c r="IT2359" s="501"/>
      <c r="IU2359" s="501"/>
    </row>
    <row r="2360" spans="1:255" s="877" customFormat="1" ht="24" customHeight="1">
      <c r="A2360" s="501"/>
      <c r="B2360" s="501"/>
      <c r="C2360" s="501"/>
      <c r="D2360" s="501"/>
      <c r="E2360" s="501"/>
      <c r="F2360" s="501"/>
      <c r="G2360" s="915"/>
      <c r="H2360" s="501"/>
      <c r="I2360" s="874"/>
      <c r="J2360" s="1047"/>
      <c r="K2360" s="501"/>
      <c r="L2360" s="874"/>
      <c r="M2360" s="554"/>
      <c r="N2360" s="501"/>
      <c r="O2360" s="501"/>
      <c r="P2360" s="501"/>
      <c r="Q2360" s="501"/>
      <c r="R2360" s="501"/>
      <c r="S2360" s="501"/>
      <c r="T2360" s="501"/>
      <c r="V2360" s="501"/>
      <c r="W2360" s="501"/>
      <c r="X2360" s="501"/>
      <c r="Y2360" s="501"/>
      <c r="Z2360" s="501"/>
      <c r="AA2360" s="501"/>
      <c r="AB2360" s="501"/>
      <c r="AC2360" s="501"/>
      <c r="AD2360" s="501"/>
      <c r="AE2360" s="501"/>
      <c r="AF2360" s="501"/>
      <c r="AG2360" s="501"/>
      <c r="AH2360" s="501"/>
      <c r="AI2360" s="501"/>
      <c r="AJ2360" s="501"/>
      <c r="AK2360" s="501"/>
      <c r="AL2360" s="501"/>
      <c r="AM2360" s="501"/>
      <c r="AN2360" s="501"/>
      <c r="AO2360" s="501"/>
      <c r="AP2360" s="501"/>
      <c r="AQ2360" s="501"/>
      <c r="AR2360" s="501"/>
      <c r="AS2360" s="501"/>
      <c r="AT2360" s="501"/>
      <c r="AU2360" s="501"/>
      <c r="AV2360" s="501"/>
      <c r="AW2360" s="501"/>
      <c r="AX2360" s="501"/>
      <c r="AY2360" s="501"/>
      <c r="AZ2360" s="501"/>
      <c r="BA2360" s="501"/>
      <c r="BB2360" s="501"/>
      <c r="BC2360" s="501"/>
      <c r="BD2360" s="501"/>
      <c r="BE2360" s="501"/>
      <c r="BF2360" s="501"/>
      <c r="BG2360" s="501"/>
      <c r="BH2360" s="501"/>
      <c r="BI2360" s="501"/>
      <c r="BJ2360" s="501"/>
      <c r="BK2360" s="501"/>
      <c r="BL2360" s="501"/>
      <c r="BM2360" s="501"/>
      <c r="BN2360" s="501"/>
      <c r="BO2360" s="501"/>
      <c r="BP2360" s="501"/>
      <c r="BQ2360" s="501"/>
      <c r="BR2360" s="501"/>
      <c r="BS2360" s="501"/>
      <c r="BT2360" s="501"/>
      <c r="BU2360" s="501"/>
      <c r="BV2360" s="501"/>
      <c r="BW2360" s="501"/>
      <c r="BX2360" s="501"/>
      <c r="BY2360" s="501"/>
      <c r="BZ2360" s="501"/>
      <c r="CA2360" s="501"/>
      <c r="CB2360" s="501"/>
      <c r="CC2360" s="501"/>
      <c r="CD2360" s="501"/>
      <c r="CE2360" s="501"/>
      <c r="CF2360" s="501"/>
      <c r="CG2360" s="501"/>
      <c r="CH2360" s="501"/>
      <c r="CI2360" s="501"/>
      <c r="CJ2360" s="501"/>
      <c r="CK2360" s="501"/>
      <c r="CL2360" s="501"/>
      <c r="CM2360" s="501"/>
      <c r="CN2360" s="501"/>
      <c r="CO2360" s="501"/>
      <c r="CP2360" s="501"/>
      <c r="CQ2360" s="501"/>
      <c r="CR2360" s="501"/>
      <c r="CS2360" s="501"/>
      <c r="CT2360" s="501"/>
      <c r="CU2360" s="501"/>
      <c r="CV2360" s="501"/>
      <c r="CW2360" s="501"/>
      <c r="CX2360" s="501"/>
      <c r="CY2360" s="501"/>
      <c r="CZ2360" s="501"/>
      <c r="DA2360" s="501"/>
      <c r="DB2360" s="501"/>
      <c r="DC2360" s="501"/>
      <c r="DD2360" s="501"/>
      <c r="DE2360" s="501"/>
      <c r="DF2360" s="501"/>
      <c r="DG2360" s="501"/>
      <c r="DH2360" s="501"/>
      <c r="DI2360" s="501"/>
      <c r="DJ2360" s="501"/>
      <c r="DK2360" s="501"/>
      <c r="DL2360" s="501"/>
      <c r="DM2360" s="501"/>
      <c r="DN2360" s="501"/>
      <c r="DO2360" s="501"/>
      <c r="DP2360" s="501"/>
      <c r="DQ2360" s="501"/>
      <c r="DR2360" s="501"/>
      <c r="DS2360" s="501"/>
      <c r="DT2360" s="501"/>
      <c r="DU2360" s="501"/>
      <c r="DV2360" s="501"/>
      <c r="DW2360" s="501"/>
      <c r="DX2360" s="501"/>
      <c r="DY2360" s="501"/>
      <c r="DZ2360" s="501"/>
      <c r="EA2360" s="501"/>
      <c r="EB2360" s="501"/>
      <c r="EC2360" s="501"/>
      <c r="ED2360" s="501"/>
      <c r="EE2360" s="501"/>
      <c r="EF2360" s="501"/>
      <c r="EG2360" s="501"/>
      <c r="EH2360" s="501"/>
      <c r="EI2360" s="501"/>
      <c r="EJ2360" s="501"/>
      <c r="EK2360" s="501"/>
      <c r="EL2360" s="501"/>
      <c r="EM2360" s="501"/>
      <c r="EN2360" s="501"/>
      <c r="EO2360" s="501"/>
      <c r="EP2360" s="501"/>
      <c r="EQ2360" s="501"/>
      <c r="ER2360" s="501"/>
      <c r="ES2360" s="501"/>
      <c r="ET2360" s="501"/>
      <c r="EU2360" s="501"/>
      <c r="EV2360" s="501"/>
      <c r="EW2360" s="501"/>
      <c r="EX2360" s="501"/>
      <c r="EY2360" s="501"/>
      <c r="EZ2360" s="501"/>
      <c r="FA2360" s="501"/>
      <c r="FB2360" s="501"/>
      <c r="FC2360" s="501"/>
      <c r="FD2360" s="501"/>
      <c r="FE2360" s="501"/>
      <c r="FF2360" s="501"/>
      <c r="FG2360" s="501"/>
      <c r="FH2360" s="501"/>
      <c r="FI2360" s="501"/>
      <c r="FJ2360" s="501"/>
      <c r="FK2360" s="501"/>
      <c r="FL2360" s="501"/>
      <c r="FM2360" s="501"/>
      <c r="FN2360" s="501"/>
      <c r="FO2360" s="501"/>
      <c r="FP2360" s="501"/>
      <c r="FQ2360" s="501"/>
      <c r="FR2360" s="501"/>
      <c r="FS2360" s="501"/>
      <c r="FT2360" s="501"/>
      <c r="FU2360" s="501"/>
      <c r="FV2360" s="501"/>
      <c r="FW2360" s="501"/>
      <c r="FX2360" s="501"/>
      <c r="FY2360" s="501"/>
      <c r="FZ2360" s="501"/>
      <c r="GA2360" s="501"/>
      <c r="GB2360" s="501"/>
      <c r="GC2360" s="501"/>
      <c r="GD2360" s="501"/>
      <c r="GE2360" s="501"/>
      <c r="GF2360" s="501"/>
      <c r="GG2360" s="501"/>
      <c r="GH2360" s="501"/>
      <c r="GI2360" s="501"/>
      <c r="GJ2360" s="501"/>
      <c r="GK2360" s="501"/>
      <c r="GL2360" s="501"/>
      <c r="GM2360" s="501"/>
      <c r="GN2360" s="501"/>
      <c r="GO2360" s="501"/>
      <c r="GP2360" s="501"/>
      <c r="GQ2360" s="501"/>
      <c r="GR2360" s="501"/>
      <c r="GS2360" s="501"/>
      <c r="GT2360" s="501"/>
      <c r="GU2360" s="501"/>
      <c r="GV2360" s="501"/>
      <c r="GW2360" s="501"/>
      <c r="GX2360" s="501"/>
      <c r="GY2360" s="501"/>
      <c r="GZ2360" s="501"/>
      <c r="HA2360" s="501"/>
      <c r="HB2360" s="501"/>
      <c r="HC2360" s="501"/>
      <c r="HD2360" s="501"/>
      <c r="HE2360" s="501"/>
      <c r="HF2360" s="501"/>
      <c r="HG2360" s="501"/>
      <c r="HH2360" s="501"/>
      <c r="HI2360" s="501"/>
      <c r="HJ2360" s="501"/>
      <c r="HK2360" s="501"/>
      <c r="HL2360" s="501"/>
      <c r="HM2360" s="501"/>
      <c r="HN2360" s="501"/>
      <c r="HO2360" s="501"/>
      <c r="HP2360" s="501"/>
      <c r="HQ2360" s="501"/>
      <c r="HR2360" s="501"/>
      <c r="HS2360" s="501"/>
      <c r="HT2360" s="501"/>
      <c r="HU2360" s="501"/>
      <c r="HV2360" s="501"/>
      <c r="HW2360" s="501"/>
      <c r="HX2360" s="501"/>
      <c r="HY2360" s="501"/>
      <c r="HZ2360" s="501"/>
      <c r="IA2360" s="501"/>
      <c r="IB2360" s="501"/>
      <c r="IC2360" s="501"/>
      <c r="ID2360" s="501"/>
      <c r="IE2360" s="501"/>
      <c r="IF2360" s="501"/>
      <c r="IG2360" s="501"/>
      <c r="IH2360" s="501"/>
      <c r="II2360" s="501"/>
      <c r="IJ2360" s="501"/>
      <c r="IK2360" s="501"/>
      <c r="IL2360" s="501"/>
      <c r="IM2360" s="501"/>
      <c r="IN2360" s="501"/>
      <c r="IO2360" s="501"/>
      <c r="IP2360" s="501"/>
      <c r="IQ2360" s="501"/>
      <c r="IR2360" s="501"/>
      <c r="IS2360" s="501"/>
      <c r="IT2360" s="501"/>
      <c r="IU2360" s="501"/>
    </row>
    <row r="2361" spans="1:255" s="877" customFormat="1" ht="24" customHeight="1">
      <c r="A2361" s="501"/>
      <c r="B2361" s="501"/>
      <c r="C2361" s="501"/>
      <c r="D2361" s="501"/>
      <c r="E2361" s="501"/>
      <c r="F2361" s="501"/>
      <c r="G2361" s="915"/>
      <c r="H2361" s="501"/>
      <c r="I2361" s="874"/>
      <c r="J2361" s="501"/>
      <c r="K2361" s="501"/>
      <c r="L2361" s="874"/>
      <c r="M2361" s="554"/>
      <c r="N2361" s="501"/>
      <c r="O2361" s="501"/>
      <c r="P2361" s="501"/>
      <c r="Q2361" s="501"/>
      <c r="R2361" s="501"/>
      <c r="S2361" s="501"/>
      <c r="T2361" s="501"/>
      <c r="V2361" s="501"/>
      <c r="W2361" s="501"/>
      <c r="X2361" s="501"/>
      <c r="Y2361" s="501"/>
      <c r="Z2361" s="501"/>
      <c r="AA2361" s="501"/>
      <c r="AB2361" s="501"/>
      <c r="AC2361" s="501"/>
      <c r="AD2361" s="501"/>
      <c r="AE2361" s="501"/>
      <c r="AF2361" s="501"/>
      <c r="AG2361" s="501"/>
      <c r="AH2361" s="501"/>
      <c r="AI2361" s="501"/>
      <c r="AJ2361" s="501"/>
      <c r="AK2361" s="501"/>
      <c r="AL2361" s="501"/>
      <c r="AM2361" s="501"/>
      <c r="AN2361" s="501"/>
      <c r="AO2361" s="501"/>
      <c r="AP2361" s="501"/>
      <c r="AQ2361" s="501"/>
      <c r="AR2361" s="501"/>
      <c r="AS2361" s="501"/>
      <c r="AT2361" s="501"/>
      <c r="AU2361" s="501"/>
      <c r="AV2361" s="501"/>
      <c r="AW2361" s="501"/>
      <c r="AX2361" s="501"/>
      <c r="AY2361" s="501"/>
      <c r="AZ2361" s="501"/>
      <c r="BA2361" s="501"/>
      <c r="BB2361" s="501"/>
      <c r="BC2361" s="501"/>
      <c r="BD2361" s="501"/>
      <c r="BE2361" s="501"/>
      <c r="BF2361" s="501"/>
      <c r="BG2361" s="501"/>
      <c r="BH2361" s="501"/>
      <c r="BI2361" s="501"/>
      <c r="BJ2361" s="501"/>
      <c r="BK2361" s="501"/>
      <c r="BL2361" s="501"/>
      <c r="BM2361" s="501"/>
      <c r="BN2361" s="501"/>
      <c r="BO2361" s="501"/>
      <c r="BP2361" s="501"/>
      <c r="BQ2361" s="501"/>
      <c r="BR2361" s="501"/>
      <c r="BS2361" s="501"/>
      <c r="BT2361" s="501"/>
      <c r="BU2361" s="501"/>
      <c r="BV2361" s="501"/>
      <c r="BW2361" s="501"/>
      <c r="BX2361" s="501"/>
      <c r="BY2361" s="501"/>
      <c r="BZ2361" s="501"/>
      <c r="CA2361" s="501"/>
      <c r="CB2361" s="501"/>
      <c r="CC2361" s="501"/>
      <c r="CD2361" s="501"/>
      <c r="CE2361" s="501"/>
      <c r="CF2361" s="501"/>
      <c r="CG2361" s="501"/>
      <c r="CH2361" s="501"/>
      <c r="CI2361" s="501"/>
      <c r="CJ2361" s="501"/>
      <c r="CK2361" s="501"/>
      <c r="CL2361" s="501"/>
      <c r="CM2361" s="501"/>
      <c r="CN2361" s="501"/>
      <c r="CO2361" s="501"/>
      <c r="CP2361" s="501"/>
      <c r="CQ2361" s="501"/>
      <c r="CR2361" s="501"/>
      <c r="CS2361" s="501"/>
      <c r="CT2361" s="501"/>
      <c r="CU2361" s="501"/>
      <c r="CV2361" s="501"/>
      <c r="CW2361" s="501"/>
      <c r="CX2361" s="501"/>
      <c r="CY2361" s="501"/>
      <c r="CZ2361" s="501"/>
      <c r="DA2361" s="501"/>
      <c r="DB2361" s="501"/>
      <c r="DC2361" s="501"/>
      <c r="DD2361" s="501"/>
      <c r="DE2361" s="501"/>
      <c r="DF2361" s="501"/>
      <c r="DG2361" s="501"/>
      <c r="DH2361" s="501"/>
      <c r="DI2361" s="501"/>
      <c r="DJ2361" s="501"/>
      <c r="DK2361" s="501"/>
      <c r="DL2361" s="501"/>
      <c r="DM2361" s="501"/>
      <c r="DN2361" s="501"/>
      <c r="DO2361" s="501"/>
      <c r="DP2361" s="501"/>
      <c r="DQ2361" s="501"/>
      <c r="DR2361" s="501"/>
      <c r="DS2361" s="501"/>
      <c r="DT2361" s="501"/>
      <c r="DU2361" s="501"/>
      <c r="DV2361" s="501"/>
      <c r="DW2361" s="501"/>
      <c r="DX2361" s="501"/>
      <c r="DY2361" s="501"/>
      <c r="DZ2361" s="501"/>
      <c r="EA2361" s="501"/>
      <c r="EB2361" s="501"/>
      <c r="EC2361" s="501"/>
      <c r="ED2361" s="501"/>
      <c r="EE2361" s="501"/>
      <c r="EF2361" s="501"/>
      <c r="EG2361" s="501"/>
      <c r="EH2361" s="501"/>
      <c r="EI2361" s="501"/>
      <c r="EJ2361" s="501"/>
      <c r="EK2361" s="501"/>
      <c r="EL2361" s="501"/>
      <c r="EM2361" s="501"/>
      <c r="EN2361" s="501"/>
      <c r="EO2361" s="501"/>
      <c r="EP2361" s="501"/>
      <c r="EQ2361" s="501"/>
      <c r="ER2361" s="501"/>
      <c r="ES2361" s="501"/>
      <c r="ET2361" s="501"/>
      <c r="EU2361" s="501"/>
      <c r="EV2361" s="501"/>
      <c r="EW2361" s="501"/>
      <c r="EX2361" s="501"/>
      <c r="EY2361" s="501"/>
      <c r="EZ2361" s="501"/>
      <c r="FA2361" s="501"/>
      <c r="FB2361" s="501"/>
      <c r="FC2361" s="501"/>
      <c r="FD2361" s="501"/>
      <c r="FE2361" s="501"/>
      <c r="FF2361" s="501"/>
      <c r="FG2361" s="501"/>
      <c r="FH2361" s="501"/>
      <c r="FI2361" s="501"/>
      <c r="FJ2361" s="501"/>
      <c r="FK2361" s="501"/>
      <c r="FL2361" s="501"/>
      <c r="FM2361" s="501"/>
      <c r="FN2361" s="501"/>
      <c r="FO2361" s="501"/>
      <c r="FP2361" s="501"/>
      <c r="FQ2361" s="501"/>
      <c r="FR2361" s="501"/>
      <c r="FS2361" s="501"/>
      <c r="FT2361" s="501"/>
      <c r="FU2361" s="501"/>
      <c r="FV2361" s="501"/>
      <c r="FW2361" s="501"/>
      <c r="FX2361" s="501"/>
      <c r="FY2361" s="501"/>
      <c r="FZ2361" s="501"/>
      <c r="GA2361" s="501"/>
      <c r="GB2361" s="501"/>
      <c r="GC2361" s="501"/>
      <c r="GD2361" s="501"/>
      <c r="GE2361" s="501"/>
      <c r="GF2361" s="501"/>
      <c r="GG2361" s="501"/>
      <c r="GH2361" s="501"/>
      <c r="GI2361" s="501"/>
      <c r="GJ2361" s="501"/>
      <c r="GK2361" s="501"/>
      <c r="GL2361" s="501"/>
      <c r="GM2361" s="501"/>
      <c r="GN2361" s="501"/>
      <c r="GO2361" s="501"/>
      <c r="GP2361" s="501"/>
      <c r="GQ2361" s="501"/>
      <c r="GR2361" s="501"/>
      <c r="GS2361" s="501"/>
      <c r="GT2361" s="501"/>
      <c r="GU2361" s="501"/>
      <c r="GV2361" s="501"/>
      <c r="GW2361" s="501"/>
      <c r="GX2361" s="501"/>
      <c r="GY2361" s="501"/>
      <c r="GZ2361" s="501"/>
      <c r="HA2361" s="501"/>
      <c r="HB2361" s="501"/>
      <c r="HC2361" s="501"/>
      <c r="HD2361" s="501"/>
      <c r="HE2361" s="501"/>
      <c r="HF2361" s="501"/>
      <c r="HG2361" s="501"/>
      <c r="HH2361" s="501"/>
      <c r="HI2361" s="501"/>
      <c r="HJ2361" s="501"/>
      <c r="HK2361" s="501"/>
      <c r="HL2361" s="501"/>
      <c r="HM2361" s="501"/>
      <c r="HN2361" s="501"/>
      <c r="HO2361" s="501"/>
      <c r="HP2361" s="501"/>
      <c r="HQ2361" s="501"/>
      <c r="HR2361" s="501"/>
      <c r="HS2361" s="501"/>
      <c r="HT2361" s="501"/>
      <c r="HU2361" s="501"/>
      <c r="HV2361" s="501"/>
      <c r="HW2361" s="501"/>
      <c r="HX2361" s="501"/>
      <c r="HY2361" s="501"/>
      <c r="HZ2361" s="501"/>
      <c r="IA2361" s="501"/>
      <c r="IB2361" s="501"/>
      <c r="IC2361" s="501"/>
      <c r="ID2361" s="501"/>
      <c r="IE2361" s="501"/>
      <c r="IF2361" s="501"/>
      <c r="IG2361" s="501"/>
      <c r="IH2361" s="501"/>
      <c r="II2361" s="501"/>
      <c r="IJ2361" s="501"/>
      <c r="IK2361" s="501"/>
      <c r="IL2361" s="501"/>
      <c r="IM2361" s="501"/>
      <c r="IN2361" s="501"/>
      <c r="IO2361" s="501"/>
      <c r="IP2361" s="501"/>
      <c r="IQ2361" s="501"/>
      <c r="IR2361" s="501"/>
      <c r="IS2361" s="501"/>
      <c r="IT2361" s="501"/>
      <c r="IU2361" s="501"/>
    </row>
    <row r="2362" spans="1:255" s="877" customFormat="1" ht="24" customHeight="1">
      <c r="A2362" s="501"/>
      <c r="B2362" s="501"/>
      <c r="C2362" s="501"/>
      <c r="D2362" s="501"/>
      <c r="E2362" s="501"/>
      <c r="F2362" s="501"/>
      <c r="G2362" s="915"/>
      <c r="H2362" s="501"/>
      <c r="I2362" s="874"/>
      <c r="J2362" s="501"/>
      <c r="K2362" s="501"/>
      <c r="L2362" s="874"/>
      <c r="M2362" s="554"/>
      <c r="N2362" s="501"/>
      <c r="O2362" s="501"/>
      <c r="P2362" s="501"/>
      <c r="Q2362" s="501"/>
      <c r="R2362" s="501"/>
      <c r="S2362" s="501"/>
      <c r="T2362" s="501"/>
      <c r="V2362" s="501"/>
      <c r="W2362" s="501"/>
      <c r="X2362" s="501"/>
      <c r="Y2362" s="501"/>
      <c r="Z2362" s="501"/>
      <c r="AA2362" s="501"/>
      <c r="AB2362" s="501"/>
      <c r="AC2362" s="501"/>
      <c r="AD2362" s="501"/>
      <c r="AE2362" s="501"/>
      <c r="AF2362" s="501"/>
      <c r="AG2362" s="501"/>
      <c r="AH2362" s="501"/>
      <c r="AI2362" s="501"/>
      <c r="AJ2362" s="501"/>
      <c r="AK2362" s="501"/>
      <c r="AL2362" s="501"/>
      <c r="AM2362" s="501"/>
      <c r="AN2362" s="501"/>
      <c r="AO2362" s="501"/>
      <c r="AP2362" s="501"/>
      <c r="AQ2362" s="501"/>
      <c r="AR2362" s="501"/>
      <c r="AS2362" s="501"/>
      <c r="AT2362" s="501"/>
      <c r="AU2362" s="501"/>
      <c r="AV2362" s="501"/>
      <c r="AW2362" s="501"/>
      <c r="AX2362" s="501"/>
      <c r="AY2362" s="501"/>
      <c r="AZ2362" s="501"/>
      <c r="BA2362" s="501"/>
      <c r="BB2362" s="501"/>
      <c r="BC2362" s="501"/>
      <c r="BD2362" s="501"/>
      <c r="BE2362" s="501"/>
      <c r="BF2362" s="501"/>
      <c r="BG2362" s="501"/>
      <c r="BH2362" s="501"/>
      <c r="BI2362" s="501"/>
      <c r="BJ2362" s="501"/>
      <c r="BK2362" s="501"/>
      <c r="BL2362" s="501"/>
      <c r="BM2362" s="501"/>
      <c r="BN2362" s="501"/>
      <c r="BO2362" s="501"/>
      <c r="BP2362" s="501"/>
      <c r="BQ2362" s="501"/>
      <c r="BR2362" s="501"/>
      <c r="BS2362" s="501"/>
      <c r="BT2362" s="501"/>
      <c r="BU2362" s="501"/>
      <c r="BV2362" s="501"/>
      <c r="BW2362" s="501"/>
      <c r="BX2362" s="501"/>
      <c r="BY2362" s="501"/>
      <c r="BZ2362" s="501"/>
      <c r="CA2362" s="501"/>
      <c r="CB2362" s="501"/>
      <c r="CC2362" s="501"/>
      <c r="CD2362" s="501"/>
      <c r="CE2362" s="501"/>
      <c r="CF2362" s="501"/>
      <c r="CG2362" s="501"/>
      <c r="CH2362" s="501"/>
      <c r="CI2362" s="501"/>
      <c r="CJ2362" s="501"/>
      <c r="CK2362" s="501"/>
      <c r="CL2362" s="501"/>
      <c r="CM2362" s="501"/>
      <c r="CN2362" s="501"/>
      <c r="CO2362" s="501"/>
      <c r="CP2362" s="501"/>
      <c r="CQ2362" s="501"/>
      <c r="CR2362" s="501"/>
      <c r="CS2362" s="501"/>
      <c r="CT2362" s="501"/>
      <c r="CU2362" s="501"/>
      <c r="CV2362" s="501"/>
      <c r="CW2362" s="501"/>
      <c r="CX2362" s="501"/>
      <c r="CY2362" s="501"/>
      <c r="CZ2362" s="501"/>
      <c r="DA2362" s="501"/>
      <c r="DB2362" s="501"/>
      <c r="DC2362" s="501"/>
      <c r="DD2362" s="501"/>
      <c r="DE2362" s="501"/>
      <c r="DF2362" s="501"/>
      <c r="DG2362" s="501"/>
      <c r="DH2362" s="501"/>
      <c r="DI2362" s="501"/>
      <c r="DJ2362" s="501"/>
      <c r="DK2362" s="501"/>
      <c r="DL2362" s="501"/>
      <c r="DM2362" s="501"/>
      <c r="DN2362" s="501"/>
      <c r="DO2362" s="501"/>
      <c r="DP2362" s="501"/>
      <c r="DQ2362" s="501"/>
      <c r="DR2362" s="501"/>
      <c r="DS2362" s="501"/>
      <c r="DT2362" s="501"/>
      <c r="DU2362" s="501"/>
      <c r="DV2362" s="501"/>
      <c r="DW2362" s="501"/>
      <c r="DX2362" s="501"/>
      <c r="DY2362" s="501"/>
      <c r="DZ2362" s="501"/>
      <c r="EA2362" s="501"/>
      <c r="EB2362" s="501"/>
      <c r="EC2362" s="501"/>
      <c r="ED2362" s="501"/>
      <c r="EE2362" s="501"/>
      <c r="EF2362" s="501"/>
      <c r="EG2362" s="501"/>
      <c r="EH2362" s="501"/>
      <c r="EI2362" s="501"/>
      <c r="EJ2362" s="501"/>
      <c r="EK2362" s="501"/>
      <c r="EL2362" s="501"/>
      <c r="EM2362" s="501"/>
      <c r="EN2362" s="501"/>
      <c r="EO2362" s="501"/>
      <c r="EP2362" s="501"/>
      <c r="EQ2362" s="501"/>
      <c r="ER2362" s="501"/>
      <c r="ES2362" s="501"/>
      <c r="ET2362" s="501"/>
      <c r="EU2362" s="501"/>
      <c r="EV2362" s="501"/>
      <c r="EW2362" s="501"/>
      <c r="EX2362" s="501"/>
      <c r="EY2362" s="501"/>
      <c r="EZ2362" s="501"/>
      <c r="FA2362" s="501"/>
      <c r="FB2362" s="501"/>
      <c r="FC2362" s="501"/>
      <c r="FD2362" s="501"/>
      <c r="FE2362" s="501"/>
      <c r="FF2362" s="501"/>
      <c r="FG2362" s="501"/>
      <c r="FH2362" s="501"/>
      <c r="FI2362" s="501"/>
      <c r="FJ2362" s="501"/>
      <c r="FK2362" s="501"/>
      <c r="FL2362" s="501"/>
      <c r="FM2362" s="501"/>
      <c r="FN2362" s="501"/>
      <c r="FO2362" s="501"/>
      <c r="FP2362" s="501"/>
      <c r="FQ2362" s="501"/>
      <c r="FR2362" s="501"/>
      <c r="FS2362" s="501"/>
      <c r="FT2362" s="501"/>
      <c r="FU2362" s="501"/>
      <c r="FV2362" s="501"/>
      <c r="FW2362" s="501"/>
      <c r="FX2362" s="501"/>
      <c r="FY2362" s="501"/>
      <c r="FZ2362" s="501"/>
      <c r="GA2362" s="501"/>
      <c r="GB2362" s="501"/>
      <c r="GC2362" s="501"/>
      <c r="GD2362" s="501"/>
      <c r="GE2362" s="501"/>
      <c r="GF2362" s="501"/>
      <c r="GG2362" s="501"/>
      <c r="GH2362" s="501"/>
      <c r="GI2362" s="501"/>
      <c r="GJ2362" s="501"/>
      <c r="GK2362" s="501"/>
      <c r="GL2362" s="501"/>
      <c r="GM2362" s="501"/>
      <c r="GN2362" s="501"/>
      <c r="GO2362" s="501"/>
      <c r="GP2362" s="501"/>
      <c r="GQ2362" s="501"/>
      <c r="GR2362" s="501"/>
      <c r="GS2362" s="501"/>
      <c r="GT2362" s="501"/>
      <c r="GU2362" s="501"/>
      <c r="GV2362" s="501"/>
      <c r="GW2362" s="501"/>
      <c r="GX2362" s="501"/>
      <c r="GY2362" s="501"/>
      <c r="GZ2362" s="501"/>
      <c r="HA2362" s="501"/>
      <c r="HB2362" s="501"/>
      <c r="HC2362" s="501"/>
      <c r="HD2362" s="501"/>
      <c r="HE2362" s="501"/>
      <c r="HF2362" s="501"/>
      <c r="HG2362" s="501"/>
      <c r="HH2362" s="501"/>
      <c r="HI2362" s="501"/>
      <c r="HJ2362" s="501"/>
      <c r="HK2362" s="501"/>
      <c r="HL2362" s="501"/>
      <c r="HM2362" s="501"/>
      <c r="HN2362" s="501"/>
      <c r="HO2362" s="501"/>
      <c r="HP2362" s="501"/>
      <c r="HQ2362" s="501"/>
      <c r="HR2362" s="501"/>
      <c r="HS2362" s="501"/>
      <c r="HT2362" s="501"/>
      <c r="HU2362" s="501"/>
      <c r="HV2362" s="501"/>
      <c r="HW2362" s="501"/>
      <c r="HX2362" s="501"/>
      <c r="HY2362" s="501"/>
      <c r="HZ2362" s="501"/>
      <c r="IA2362" s="501"/>
      <c r="IB2362" s="501"/>
      <c r="IC2362" s="501"/>
      <c r="ID2362" s="501"/>
      <c r="IE2362" s="501"/>
      <c r="IF2362" s="501"/>
      <c r="IG2362" s="501"/>
      <c r="IH2362" s="501"/>
      <c r="II2362" s="501"/>
      <c r="IJ2362" s="501"/>
      <c r="IK2362" s="501"/>
      <c r="IL2362" s="501"/>
      <c r="IM2362" s="501"/>
      <c r="IN2362" s="501"/>
      <c r="IO2362" s="501"/>
      <c r="IP2362" s="501"/>
      <c r="IQ2362" s="501"/>
      <c r="IR2362" s="501"/>
      <c r="IS2362" s="501"/>
      <c r="IT2362" s="501"/>
      <c r="IU2362" s="501"/>
    </row>
    <row r="2363" spans="1:255" s="877" customFormat="1" ht="24" customHeight="1">
      <c r="A2363" s="501"/>
      <c r="B2363" s="501"/>
      <c r="C2363" s="501"/>
      <c r="D2363" s="501"/>
      <c r="E2363" s="501"/>
      <c r="F2363" s="501"/>
      <c r="G2363" s="915"/>
      <c r="H2363" s="501"/>
      <c r="I2363" s="874"/>
      <c r="J2363" s="501"/>
      <c r="K2363" s="501"/>
      <c r="L2363" s="874"/>
      <c r="M2363" s="554"/>
      <c r="N2363" s="501"/>
      <c r="O2363" s="501"/>
      <c r="P2363" s="501"/>
      <c r="Q2363" s="878"/>
      <c r="R2363" s="501"/>
      <c r="S2363" s="501"/>
      <c r="T2363" s="501"/>
      <c r="V2363" s="501"/>
      <c r="W2363" s="501"/>
      <c r="X2363" s="501"/>
      <c r="Y2363" s="501"/>
      <c r="Z2363" s="501"/>
      <c r="AA2363" s="501"/>
      <c r="AB2363" s="501"/>
      <c r="AC2363" s="501"/>
      <c r="AD2363" s="501"/>
      <c r="AE2363" s="501"/>
      <c r="AF2363" s="501"/>
      <c r="AG2363" s="501"/>
      <c r="AH2363" s="501"/>
      <c r="AI2363" s="501"/>
      <c r="AJ2363" s="501"/>
      <c r="AK2363" s="501"/>
      <c r="AL2363" s="501"/>
      <c r="AM2363" s="501"/>
      <c r="AN2363" s="501"/>
      <c r="AO2363" s="501"/>
      <c r="AP2363" s="501"/>
      <c r="AQ2363" s="501"/>
      <c r="AR2363" s="501"/>
      <c r="AS2363" s="501"/>
      <c r="AT2363" s="501"/>
      <c r="AU2363" s="501"/>
      <c r="AV2363" s="501"/>
      <c r="AW2363" s="501"/>
      <c r="AX2363" s="501"/>
      <c r="AY2363" s="501"/>
      <c r="AZ2363" s="501"/>
      <c r="BA2363" s="501"/>
      <c r="BB2363" s="501"/>
      <c r="BC2363" s="501"/>
      <c r="BD2363" s="501"/>
      <c r="BE2363" s="501"/>
      <c r="BF2363" s="501"/>
      <c r="BG2363" s="501"/>
      <c r="BH2363" s="501"/>
      <c r="BI2363" s="501"/>
      <c r="BJ2363" s="501"/>
      <c r="BK2363" s="501"/>
      <c r="BL2363" s="501"/>
      <c r="BM2363" s="501"/>
      <c r="BN2363" s="501"/>
      <c r="BO2363" s="501"/>
      <c r="BP2363" s="501"/>
      <c r="BQ2363" s="501"/>
      <c r="BR2363" s="501"/>
      <c r="BS2363" s="501"/>
      <c r="BT2363" s="501"/>
      <c r="BU2363" s="501"/>
      <c r="BV2363" s="501"/>
      <c r="BW2363" s="501"/>
      <c r="BX2363" s="501"/>
      <c r="BY2363" s="501"/>
      <c r="BZ2363" s="501"/>
      <c r="CA2363" s="501"/>
      <c r="CB2363" s="501"/>
      <c r="CC2363" s="501"/>
      <c r="CD2363" s="501"/>
      <c r="CE2363" s="501"/>
      <c r="CF2363" s="501"/>
      <c r="CG2363" s="501"/>
      <c r="CH2363" s="501"/>
      <c r="CI2363" s="501"/>
      <c r="CJ2363" s="501"/>
      <c r="CK2363" s="501"/>
      <c r="CL2363" s="501"/>
      <c r="CM2363" s="501"/>
      <c r="CN2363" s="501"/>
      <c r="CO2363" s="501"/>
      <c r="CP2363" s="501"/>
      <c r="CQ2363" s="501"/>
      <c r="CR2363" s="501"/>
      <c r="CS2363" s="501"/>
      <c r="CT2363" s="501"/>
      <c r="CU2363" s="501"/>
      <c r="CV2363" s="501"/>
      <c r="CW2363" s="501"/>
      <c r="CX2363" s="501"/>
      <c r="CY2363" s="501"/>
      <c r="CZ2363" s="501"/>
      <c r="DA2363" s="501"/>
      <c r="DB2363" s="501"/>
      <c r="DC2363" s="501"/>
      <c r="DD2363" s="501"/>
      <c r="DE2363" s="501"/>
      <c r="DF2363" s="501"/>
      <c r="DG2363" s="501"/>
      <c r="DH2363" s="501"/>
      <c r="DI2363" s="501"/>
      <c r="DJ2363" s="501"/>
      <c r="DK2363" s="501"/>
      <c r="DL2363" s="501"/>
      <c r="DM2363" s="501"/>
      <c r="DN2363" s="501"/>
      <c r="DO2363" s="501"/>
      <c r="DP2363" s="501"/>
      <c r="DQ2363" s="501"/>
      <c r="DR2363" s="501"/>
      <c r="DS2363" s="501"/>
      <c r="DT2363" s="501"/>
      <c r="DU2363" s="501"/>
      <c r="DV2363" s="501"/>
      <c r="DW2363" s="501"/>
      <c r="DX2363" s="501"/>
      <c r="DY2363" s="501"/>
      <c r="DZ2363" s="501"/>
      <c r="EA2363" s="501"/>
      <c r="EB2363" s="501"/>
      <c r="EC2363" s="501"/>
      <c r="ED2363" s="501"/>
      <c r="EE2363" s="501"/>
      <c r="EF2363" s="501"/>
      <c r="EG2363" s="501"/>
      <c r="EH2363" s="501"/>
      <c r="EI2363" s="501"/>
      <c r="EJ2363" s="501"/>
      <c r="EK2363" s="501"/>
      <c r="EL2363" s="501"/>
      <c r="EM2363" s="501"/>
      <c r="EN2363" s="501"/>
      <c r="EO2363" s="501"/>
      <c r="EP2363" s="501"/>
      <c r="EQ2363" s="501"/>
      <c r="ER2363" s="501"/>
      <c r="ES2363" s="501"/>
      <c r="ET2363" s="501"/>
      <c r="EU2363" s="501"/>
      <c r="EV2363" s="501"/>
      <c r="EW2363" s="501"/>
      <c r="EX2363" s="501"/>
      <c r="EY2363" s="501"/>
      <c r="EZ2363" s="501"/>
      <c r="FA2363" s="501"/>
      <c r="FB2363" s="501"/>
      <c r="FC2363" s="501"/>
      <c r="FD2363" s="501"/>
      <c r="FE2363" s="501"/>
      <c r="FF2363" s="501"/>
      <c r="FG2363" s="501"/>
      <c r="FH2363" s="501"/>
      <c r="FI2363" s="501"/>
      <c r="FJ2363" s="501"/>
      <c r="FK2363" s="501"/>
      <c r="FL2363" s="501"/>
      <c r="FM2363" s="501"/>
      <c r="FN2363" s="501"/>
      <c r="FO2363" s="501"/>
      <c r="FP2363" s="501"/>
      <c r="FQ2363" s="501"/>
      <c r="FR2363" s="501"/>
      <c r="FS2363" s="501"/>
      <c r="FT2363" s="501"/>
      <c r="FU2363" s="501"/>
      <c r="FV2363" s="501"/>
      <c r="FW2363" s="501"/>
      <c r="FX2363" s="501"/>
      <c r="FY2363" s="501"/>
      <c r="FZ2363" s="501"/>
      <c r="GA2363" s="501"/>
      <c r="GB2363" s="501"/>
      <c r="GC2363" s="501"/>
      <c r="GD2363" s="501"/>
      <c r="GE2363" s="501"/>
      <c r="GF2363" s="501"/>
      <c r="GG2363" s="501"/>
      <c r="GH2363" s="501"/>
      <c r="GI2363" s="501"/>
      <c r="GJ2363" s="501"/>
      <c r="GK2363" s="501"/>
      <c r="GL2363" s="501"/>
      <c r="GM2363" s="501"/>
      <c r="GN2363" s="501"/>
      <c r="GO2363" s="501"/>
      <c r="GP2363" s="501"/>
      <c r="GQ2363" s="501"/>
      <c r="GR2363" s="501"/>
      <c r="GS2363" s="501"/>
      <c r="GT2363" s="501"/>
      <c r="GU2363" s="501"/>
      <c r="GV2363" s="501"/>
      <c r="GW2363" s="501"/>
      <c r="GX2363" s="501"/>
      <c r="GY2363" s="501"/>
      <c r="GZ2363" s="501"/>
      <c r="HA2363" s="501"/>
      <c r="HB2363" s="501"/>
      <c r="HC2363" s="501"/>
      <c r="HD2363" s="501"/>
      <c r="HE2363" s="501"/>
      <c r="HF2363" s="501"/>
      <c r="HG2363" s="501"/>
      <c r="HH2363" s="501"/>
      <c r="HI2363" s="501"/>
      <c r="HJ2363" s="501"/>
      <c r="HK2363" s="501"/>
      <c r="HL2363" s="501"/>
      <c r="HM2363" s="501"/>
      <c r="HN2363" s="501"/>
      <c r="HO2363" s="501"/>
      <c r="HP2363" s="501"/>
      <c r="HQ2363" s="501"/>
      <c r="HR2363" s="501"/>
      <c r="HS2363" s="501"/>
      <c r="HT2363" s="501"/>
      <c r="HU2363" s="501"/>
      <c r="HV2363" s="501"/>
      <c r="HW2363" s="501"/>
      <c r="HX2363" s="501"/>
      <c r="HY2363" s="501"/>
      <c r="HZ2363" s="501"/>
      <c r="IA2363" s="501"/>
      <c r="IB2363" s="501"/>
      <c r="IC2363" s="501"/>
      <c r="ID2363" s="501"/>
      <c r="IE2363" s="501"/>
      <c r="IF2363" s="501"/>
      <c r="IG2363" s="501"/>
      <c r="IH2363" s="501"/>
      <c r="II2363" s="501"/>
      <c r="IJ2363" s="501"/>
      <c r="IK2363" s="501"/>
      <c r="IL2363" s="501"/>
      <c r="IM2363" s="501"/>
      <c r="IN2363" s="501"/>
      <c r="IO2363" s="501"/>
      <c r="IP2363" s="501"/>
      <c r="IQ2363" s="501"/>
      <c r="IR2363" s="501"/>
      <c r="IS2363" s="501"/>
      <c r="IT2363" s="501"/>
      <c r="IU2363" s="501"/>
    </row>
    <row r="2364" spans="1:255" s="877" customFormat="1" ht="24" customHeight="1">
      <c r="A2364" s="501"/>
      <c r="B2364" s="501"/>
      <c r="C2364" s="501"/>
      <c r="D2364" s="501"/>
      <c r="E2364" s="501"/>
      <c r="F2364" s="501"/>
      <c r="G2364" s="915"/>
      <c r="H2364" s="501"/>
      <c r="I2364" s="874"/>
      <c r="J2364" s="501"/>
      <c r="K2364" s="501"/>
      <c r="L2364" s="874"/>
      <c r="M2364" s="554"/>
      <c r="N2364" s="501"/>
      <c r="O2364" s="501"/>
      <c r="P2364" s="902"/>
      <c r="Q2364" s="1048"/>
      <c r="R2364" s="501"/>
      <c r="S2364" s="874"/>
      <c r="T2364" s="501"/>
      <c r="V2364" s="501"/>
      <c r="W2364" s="501"/>
      <c r="X2364" s="501"/>
      <c r="Y2364" s="501"/>
      <c r="Z2364" s="501"/>
      <c r="AA2364" s="501"/>
      <c r="AB2364" s="501"/>
      <c r="AC2364" s="501"/>
      <c r="AD2364" s="501"/>
      <c r="AE2364" s="501"/>
      <c r="AF2364" s="501"/>
      <c r="AG2364" s="501"/>
      <c r="AH2364" s="501"/>
      <c r="AI2364" s="501"/>
      <c r="AJ2364" s="501"/>
      <c r="AK2364" s="501"/>
      <c r="AL2364" s="501"/>
      <c r="AM2364" s="501"/>
      <c r="AN2364" s="501"/>
      <c r="AO2364" s="501"/>
      <c r="AP2364" s="501"/>
      <c r="AQ2364" s="501"/>
      <c r="AR2364" s="501"/>
      <c r="AS2364" s="501"/>
      <c r="AT2364" s="501"/>
      <c r="AU2364" s="501"/>
      <c r="AV2364" s="501"/>
      <c r="AW2364" s="501"/>
      <c r="AX2364" s="501"/>
      <c r="AY2364" s="501"/>
      <c r="AZ2364" s="501"/>
      <c r="BA2364" s="501"/>
      <c r="BB2364" s="501"/>
      <c r="BC2364" s="501"/>
      <c r="BD2364" s="501"/>
      <c r="BE2364" s="501"/>
      <c r="BF2364" s="501"/>
      <c r="BG2364" s="501"/>
      <c r="BH2364" s="501"/>
      <c r="BI2364" s="501"/>
      <c r="BJ2364" s="501"/>
      <c r="BK2364" s="501"/>
      <c r="BL2364" s="501"/>
      <c r="BM2364" s="501"/>
      <c r="BN2364" s="501"/>
      <c r="BO2364" s="501"/>
      <c r="BP2364" s="501"/>
      <c r="BQ2364" s="501"/>
      <c r="BR2364" s="501"/>
      <c r="BS2364" s="501"/>
      <c r="BT2364" s="501"/>
      <c r="BU2364" s="501"/>
      <c r="BV2364" s="501"/>
      <c r="BW2364" s="501"/>
      <c r="BX2364" s="501"/>
      <c r="BY2364" s="501"/>
      <c r="BZ2364" s="501"/>
      <c r="CA2364" s="501"/>
      <c r="CB2364" s="501"/>
      <c r="CC2364" s="501"/>
      <c r="CD2364" s="501"/>
      <c r="CE2364" s="501"/>
      <c r="CF2364" s="501"/>
      <c r="CG2364" s="501"/>
      <c r="CH2364" s="501"/>
      <c r="CI2364" s="501"/>
      <c r="CJ2364" s="501"/>
      <c r="CK2364" s="501"/>
      <c r="CL2364" s="501"/>
      <c r="CM2364" s="501"/>
      <c r="CN2364" s="501"/>
      <c r="CO2364" s="501"/>
      <c r="CP2364" s="501"/>
      <c r="CQ2364" s="501"/>
      <c r="CR2364" s="501"/>
      <c r="CS2364" s="501"/>
      <c r="CT2364" s="501"/>
      <c r="CU2364" s="501"/>
      <c r="CV2364" s="501"/>
      <c r="CW2364" s="501"/>
      <c r="CX2364" s="501"/>
      <c r="CY2364" s="501"/>
      <c r="CZ2364" s="501"/>
      <c r="DA2364" s="501"/>
      <c r="DB2364" s="501"/>
      <c r="DC2364" s="501"/>
      <c r="DD2364" s="501"/>
      <c r="DE2364" s="501"/>
      <c r="DF2364" s="501"/>
      <c r="DG2364" s="501"/>
      <c r="DH2364" s="501"/>
      <c r="DI2364" s="501"/>
      <c r="DJ2364" s="501"/>
      <c r="DK2364" s="501"/>
      <c r="DL2364" s="501"/>
      <c r="DM2364" s="501"/>
      <c r="DN2364" s="501"/>
      <c r="DO2364" s="501"/>
      <c r="DP2364" s="501"/>
      <c r="DQ2364" s="501"/>
      <c r="DR2364" s="501"/>
      <c r="DS2364" s="501"/>
      <c r="DT2364" s="501"/>
      <c r="DU2364" s="501"/>
      <c r="DV2364" s="501"/>
      <c r="DW2364" s="501"/>
      <c r="DX2364" s="501"/>
      <c r="DY2364" s="501"/>
      <c r="DZ2364" s="501"/>
      <c r="EA2364" s="501"/>
      <c r="EB2364" s="501"/>
      <c r="EC2364" s="501"/>
      <c r="ED2364" s="501"/>
      <c r="EE2364" s="501"/>
      <c r="EF2364" s="501"/>
      <c r="EG2364" s="501"/>
      <c r="EH2364" s="501"/>
      <c r="EI2364" s="501"/>
      <c r="EJ2364" s="501"/>
      <c r="EK2364" s="501"/>
      <c r="EL2364" s="501"/>
      <c r="EM2364" s="501"/>
      <c r="EN2364" s="501"/>
      <c r="EO2364" s="501"/>
      <c r="EP2364" s="501"/>
      <c r="EQ2364" s="501"/>
      <c r="ER2364" s="501"/>
      <c r="ES2364" s="501"/>
      <c r="ET2364" s="501"/>
      <c r="EU2364" s="501"/>
      <c r="EV2364" s="501"/>
      <c r="EW2364" s="501"/>
      <c r="EX2364" s="501"/>
      <c r="EY2364" s="501"/>
      <c r="EZ2364" s="501"/>
      <c r="FA2364" s="501"/>
      <c r="FB2364" s="501"/>
      <c r="FC2364" s="501"/>
      <c r="FD2364" s="501"/>
      <c r="FE2364" s="501"/>
      <c r="FF2364" s="501"/>
      <c r="FG2364" s="501"/>
      <c r="FH2364" s="501"/>
      <c r="FI2364" s="501"/>
      <c r="FJ2364" s="501"/>
      <c r="FK2364" s="501"/>
      <c r="FL2364" s="501"/>
      <c r="FM2364" s="501"/>
      <c r="FN2364" s="501"/>
      <c r="FO2364" s="501"/>
      <c r="FP2364" s="501"/>
      <c r="FQ2364" s="501"/>
      <c r="FR2364" s="501"/>
      <c r="FS2364" s="501"/>
      <c r="FT2364" s="501"/>
      <c r="FU2364" s="501"/>
      <c r="FV2364" s="501"/>
      <c r="FW2364" s="501"/>
      <c r="FX2364" s="501"/>
      <c r="FY2364" s="501"/>
      <c r="FZ2364" s="501"/>
      <c r="GA2364" s="501"/>
      <c r="GB2364" s="501"/>
      <c r="GC2364" s="501"/>
      <c r="GD2364" s="501"/>
      <c r="GE2364" s="501"/>
      <c r="GF2364" s="501"/>
      <c r="GG2364" s="501"/>
      <c r="GH2364" s="501"/>
      <c r="GI2364" s="501"/>
      <c r="GJ2364" s="501"/>
      <c r="GK2364" s="501"/>
      <c r="GL2364" s="501"/>
      <c r="GM2364" s="501"/>
      <c r="GN2364" s="501"/>
      <c r="GO2364" s="501"/>
      <c r="GP2364" s="501"/>
      <c r="GQ2364" s="501"/>
      <c r="GR2364" s="501"/>
      <c r="GS2364" s="501"/>
      <c r="GT2364" s="501"/>
      <c r="GU2364" s="501"/>
      <c r="GV2364" s="501"/>
      <c r="GW2364" s="501"/>
      <c r="GX2364" s="501"/>
      <c r="GY2364" s="501"/>
      <c r="GZ2364" s="501"/>
      <c r="HA2364" s="501"/>
      <c r="HB2364" s="501"/>
      <c r="HC2364" s="501"/>
      <c r="HD2364" s="501"/>
      <c r="HE2364" s="501"/>
      <c r="HF2364" s="501"/>
      <c r="HG2364" s="501"/>
      <c r="HH2364" s="501"/>
      <c r="HI2364" s="501"/>
      <c r="HJ2364" s="501"/>
      <c r="HK2364" s="501"/>
      <c r="HL2364" s="501"/>
      <c r="HM2364" s="501"/>
      <c r="HN2364" s="501"/>
      <c r="HO2364" s="501"/>
      <c r="HP2364" s="501"/>
      <c r="HQ2364" s="501"/>
      <c r="HR2364" s="501"/>
      <c r="HS2364" s="501"/>
      <c r="HT2364" s="501"/>
      <c r="HU2364" s="501"/>
      <c r="HV2364" s="501"/>
      <c r="HW2364" s="501"/>
      <c r="HX2364" s="501"/>
      <c r="HY2364" s="501"/>
      <c r="HZ2364" s="501"/>
      <c r="IA2364" s="501"/>
      <c r="IB2364" s="501"/>
      <c r="IC2364" s="501"/>
      <c r="ID2364" s="501"/>
      <c r="IE2364" s="501"/>
      <c r="IF2364" s="501"/>
      <c r="IG2364" s="501"/>
      <c r="IH2364" s="501"/>
      <c r="II2364" s="501"/>
      <c r="IJ2364" s="501"/>
      <c r="IK2364" s="501"/>
      <c r="IL2364" s="501"/>
      <c r="IM2364" s="501"/>
      <c r="IN2364" s="501"/>
      <c r="IO2364" s="501"/>
      <c r="IP2364" s="501"/>
      <c r="IQ2364" s="501"/>
      <c r="IR2364" s="501"/>
      <c r="IS2364" s="501"/>
      <c r="IT2364" s="501"/>
      <c r="IU2364" s="501"/>
    </row>
    <row r="2365" spans="1:255" s="877" customFormat="1" ht="24" customHeight="1">
      <c r="A2365" s="501"/>
      <c r="B2365" s="501"/>
      <c r="C2365" s="501"/>
      <c r="D2365" s="501"/>
      <c r="E2365" s="501"/>
      <c r="F2365" s="501"/>
      <c r="G2365" s="915"/>
      <c r="H2365" s="501"/>
      <c r="I2365" s="874"/>
      <c r="J2365" s="501"/>
      <c r="K2365" s="501"/>
      <c r="L2365" s="874"/>
      <c r="M2365" s="1049"/>
      <c r="N2365" s="501"/>
      <c r="O2365" s="501"/>
      <c r="P2365" s="902"/>
      <c r="Q2365" s="501"/>
      <c r="R2365" s="501"/>
      <c r="S2365" s="874"/>
      <c r="T2365" s="501"/>
      <c r="V2365" s="501"/>
      <c r="W2365" s="501"/>
      <c r="X2365" s="501"/>
      <c r="Y2365" s="501"/>
      <c r="Z2365" s="501"/>
      <c r="AA2365" s="501"/>
      <c r="AB2365" s="501"/>
      <c r="AC2365" s="501"/>
      <c r="AD2365" s="501"/>
      <c r="AE2365" s="501"/>
      <c r="AF2365" s="501"/>
      <c r="AG2365" s="501"/>
      <c r="AH2365" s="501"/>
      <c r="AI2365" s="501"/>
      <c r="AJ2365" s="501"/>
      <c r="AK2365" s="501"/>
      <c r="AL2365" s="501"/>
      <c r="AM2365" s="501"/>
      <c r="AN2365" s="501"/>
      <c r="AO2365" s="501"/>
      <c r="AP2365" s="501"/>
      <c r="AQ2365" s="501"/>
      <c r="AR2365" s="501"/>
      <c r="AS2365" s="501"/>
      <c r="AT2365" s="501"/>
      <c r="AU2365" s="501"/>
      <c r="AV2365" s="501"/>
      <c r="AW2365" s="501"/>
      <c r="AX2365" s="501"/>
      <c r="AY2365" s="501"/>
      <c r="AZ2365" s="501"/>
      <c r="BA2365" s="501"/>
      <c r="BB2365" s="501"/>
      <c r="BC2365" s="501"/>
      <c r="BD2365" s="501"/>
      <c r="BE2365" s="501"/>
      <c r="BF2365" s="501"/>
      <c r="BG2365" s="501"/>
      <c r="BH2365" s="501"/>
      <c r="BI2365" s="501"/>
      <c r="BJ2365" s="501"/>
      <c r="BK2365" s="501"/>
      <c r="BL2365" s="501"/>
      <c r="BM2365" s="501"/>
      <c r="BN2365" s="501"/>
      <c r="BO2365" s="501"/>
      <c r="BP2365" s="501"/>
      <c r="BQ2365" s="501"/>
      <c r="BR2365" s="501"/>
      <c r="BS2365" s="501"/>
      <c r="BT2365" s="501"/>
      <c r="BU2365" s="501"/>
      <c r="BV2365" s="501"/>
      <c r="BW2365" s="501"/>
      <c r="BX2365" s="501"/>
      <c r="BY2365" s="501"/>
      <c r="BZ2365" s="501"/>
      <c r="CA2365" s="501"/>
      <c r="CB2365" s="501"/>
      <c r="CC2365" s="501"/>
      <c r="CD2365" s="501"/>
      <c r="CE2365" s="501"/>
      <c r="CF2365" s="501"/>
      <c r="CG2365" s="501"/>
      <c r="CH2365" s="501"/>
      <c r="CI2365" s="501"/>
      <c r="CJ2365" s="501"/>
      <c r="CK2365" s="501"/>
      <c r="CL2365" s="501"/>
      <c r="CM2365" s="501"/>
      <c r="CN2365" s="501"/>
      <c r="CO2365" s="501"/>
      <c r="CP2365" s="501"/>
      <c r="CQ2365" s="501"/>
      <c r="CR2365" s="501"/>
      <c r="CS2365" s="501"/>
      <c r="CT2365" s="501"/>
      <c r="CU2365" s="501"/>
      <c r="CV2365" s="501"/>
      <c r="CW2365" s="501"/>
      <c r="CX2365" s="501"/>
      <c r="CY2365" s="501"/>
      <c r="CZ2365" s="501"/>
      <c r="DA2365" s="501"/>
      <c r="DB2365" s="501"/>
      <c r="DC2365" s="501"/>
      <c r="DD2365" s="501"/>
      <c r="DE2365" s="501"/>
      <c r="DF2365" s="501"/>
      <c r="DG2365" s="501"/>
      <c r="DH2365" s="501"/>
      <c r="DI2365" s="501"/>
      <c r="DJ2365" s="501"/>
      <c r="DK2365" s="501"/>
      <c r="DL2365" s="501"/>
      <c r="DM2365" s="501"/>
      <c r="DN2365" s="501"/>
      <c r="DO2365" s="501"/>
      <c r="DP2365" s="501"/>
      <c r="DQ2365" s="501"/>
      <c r="DR2365" s="501"/>
      <c r="DS2365" s="501"/>
      <c r="DT2365" s="501"/>
      <c r="DU2365" s="501"/>
      <c r="DV2365" s="501"/>
      <c r="DW2365" s="501"/>
      <c r="DX2365" s="501"/>
      <c r="DY2365" s="501"/>
      <c r="DZ2365" s="501"/>
      <c r="EA2365" s="501"/>
      <c r="EB2365" s="501"/>
      <c r="EC2365" s="501"/>
      <c r="ED2365" s="501"/>
      <c r="EE2365" s="501"/>
      <c r="EF2365" s="501"/>
      <c r="EG2365" s="501"/>
      <c r="EH2365" s="501"/>
      <c r="EI2365" s="501"/>
      <c r="EJ2365" s="501"/>
      <c r="EK2365" s="501"/>
      <c r="EL2365" s="501"/>
      <c r="EM2365" s="501"/>
      <c r="EN2365" s="501"/>
      <c r="EO2365" s="501"/>
      <c r="EP2365" s="501"/>
      <c r="EQ2365" s="501"/>
      <c r="ER2365" s="501"/>
      <c r="ES2365" s="501"/>
      <c r="ET2365" s="501"/>
      <c r="EU2365" s="501"/>
      <c r="EV2365" s="501"/>
      <c r="EW2365" s="501"/>
      <c r="EX2365" s="501"/>
      <c r="EY2365" s="501"/>
      <c r="EZ2365" s="501"/>
      <c r="FA2365" s="501"/>
      <c r="FB2365" s="501"/>
      <c r="FC2365" s="501"/>
      <c r="FD2365" s="501"/>
      <c r="FE2365" s="501"/>
      <c r="FF2365" s="501"/>
      <c r="FG2365" s="501"/>
      <c r="FH2365" s="501"/>
      <c r="FI2365" s="501"/>
      <c r="FJ2365" s="501"/>
      <c r="FK2365" s="501"/>
      <c r="FL2365" s="501"/>
      <c r="FM2365" s="501"/>
      <c r="FN2365" s="501"/>
      <c r="FO2365" s="501"/>
      <c r="FP2365" s="501"/>
      <c r="FQ2365" s="501"/>
      <c r="FR2365" s="501"/>
      <c r="FS2365" s="501"/>
      <c r="FT2365" s="501"/>
      <c r="FU2365" s="501"/>
      <c r="FV2365" s="501"/>
      <c r="FW2365" s="501"/>
      <c r="FX2365" s="501"/>
      <c r="FY2365" s="501"/>
      <c r="FZ2365" s="501"/>
      <c r="GA2365" s="501"/>
      <c r="GB2365" s="501"/>
      <c r="GC2365" s="501"/>
      <c r="GD2365" s="501"/>
      <c r="GE2365" s="501"/>
      <c r="GF2365" s="501"/>
      <c r="GG2365" s="501"/>
      <c r="GH2365" s="501"/>
      <c r="GI2365" s="501"/>
      <c r="GJ2365" s="501"/>
      <c r="GK2365" s="501"/>
      <c r="GL2365" s="501"/>
      <c r="GM2365" s="501"/>
      <c r="GN2365" s="501"/>
      <c r="GO2365" s="501"/>
      <c r="GP2365" s="501"/>
      <c r="GQ2365" s="501"/>
      <c r="GR2365" s="501"/>
      <c r="GS2365" s="501"/>
      <c r="GT2365" s="501"/>
      <c r="GU2365" s="501"/>
      <c r="GV2365" s="501"/>
      <c r="GW2365" s="501"/>
      <c r="GX2365" s="501"/>
      <c r="GY2365" s="501"/>
      <c r="GZ2365" s="501"/>
      <c r="HA2365" s="501"/>
      <c r="HB2365" s="501"/>
      <c r="HC2365" s="501"/>
      <c r="HD2365" s="501"/>
      <c r="HE2365" s="501"/>
      <c r="HF2365" s="501"/>
      <c r="HG2365" s="501"/>
      <c r="HH2365" s="501"/>
      <c r="HI2365" s="501"/>
      <c r="HJ2365" s="501"/>
      <c r="HK2365" s="501"/>
      <c r="HL2365" s="501"/>
      <c r="HM2365" s="501"/>
      <c r="HN2365" s="501"/>
      <c r="HO2365" s="501"/>
      <c r="HP2365" s="501"/>
      <c r="HQ2365" s="501"/>
      <c r="HR2365" s="501"/>
      <c r="HS2365" s="501"/>
      <c r="HT2365" s="501"/>
      <c r="HU2365" s="501"/>
      <c r="HV2365" s="501"/>
      <c r="HW2365" s="501"/>
      <c r="HX2365" s="501"/>
      <c r="HY2365" s="501"/>
      <c r="HZ2365" s="501"/>
      <c r="IA2365" s="501"/>
      <c r="IB2365" s="501"/>
      <c r="IC2365" s="501"/>
      <c r="ID2365" s="501"/>
      <c r="IE2365" s="501"/>
      <c r="IF2365" s="501"/>
      <c r="IG2365" s="501"/>
      <c r="IH2365" s="501"/>
      <c r="II2365" s="501"/>
      <c r="IJ2365" s="501"/>
      <c r="IK2365" s="501"/>
      <c r="IL2365" s="501"/>
      <c r="IM2365" s="501"/>
      <c r="IN2365" s="501"/>
      <c r="IO2365" s="501"/>
      <c r="IP2365" s="501"/>
      <c r="IQ2365" s="501"/>
      <c r="IR2365" s="501"/>
      <c r="IS2365" s="501"/>
      <c r="IT2365" s="501"/>
      <c r="IU2365" s="501"/>
    </row>
    <row r="2366" spans="1:255" s="877" customFormat="1" ht="24" customHeight="1">
      <c r="A2366" s="501"/>
      <c r="B2366" s="501"/>
      <c r="C2366" s="501"/>
      <c r="D2366" s="501"/>
      <c r="E2366" s="501"/>
      <c r="F2366" s="501"/>
      <c r="G2366" s="915"/>
      <c r="H2366" s="501"/>
      <c r="I2366" s="874"/>
      <c r="J2366" s="1048"/>
      <c r="K2366" s="501"/>
      <c r="L2366" s="874"/>
      <c r="M2366" s="899"/>
      <c r="N2366" s="501"/>
      <c r="O2366" s="501"/>
      <c r="P2366" s="874"/>
      <c r="Q2366" s="501"/>
      <c r="R2366" s="501"/>
      <c r="S2366" s="874"/>
      <c r="T2366" s="501"/>
      <c r="V2366" s="501"/>
      <c r="W2366" s="501"/>
      <c r="X2366" s="501"/>
      <c r="Y2366" s="501"/>
      <c r="Z2366" s="501"/>
      <c r="AA2366" s="501"/>
      <c r="AB2366" s="501"/>
      <c r="AC2366" s="501"/>
      <c r="AD2366" s="501"/>
      <c r="AE2366" s="501"/>
      <c r="AF2366" s="501"/>
      <c r="AG2366" s="501"/>
      <c r="AH2366" s="501"/>
      <c r="AI2366" s="501"/>
      <c r="AJ2366" s="501"/>
      <c r="AK2366" s="501"/>
      <c r="AL2366" s="501"/>
      <c r="AM2366" s="501"/>
      <c r="AN2366" s="501"/>
      <c r="AO2366" s="501"/>
      <c r="AP2366" s="501"/>
      <c r="AQ2366" s="501"/>
      <c r="AR2366" s="501"/>
      <c r="AS2366" s="501"/>
      <c r="AT2366" s="501"/>
      <c r="AU2366" s="501"/>
      <c r="AV2366" s="501"/>
      <c r="AW2366" s="501"/>
      <c r="AX2366" s="501"/>
      <c r="AY2366" s="501"/>
      <c r="AZ2366" s="501"/>
      <c r="BA2366" s="501"/>
      <c r="BB2366" s="501"/>
      <c r="BC2366" s="501"/>
      <c r="BD2366" s="501"/>
      <c r="BE2366" s="501"/>
      <c r="BF2366" s="501"/>
      <c r="BG2366" s="501"/>
      <c r="BH2366" s="501"/>
      <c r="BI2366" s="501"/>
      <c r="BJ2366" s="501"/>
      <c r="BK2366" s="501"/>
      <c r="BL2366" s="501"/>
      <c r="BM2366" s="501"/>
      <c r="BN2366" s="501"/>
      <c r="BO2366" s="501"/>
      <c r="BP2366" s="501"/>
      <c r="BQ2366" s="501"/>
      <c r="BR2366" s="501"/>
      <c r="BS2366" s="501"/>
      <c r="BT2366" s="501"/>
      <c r="BU2366" s="501"/>
      <c r="BV2366" s="501"/>
      <c r="BW2366" s="501"/>
      <c r="BX2366" s="501"/>
      <c r="BY2366" s="501"/>
      <c r="BZ2366" s="501"/>
      <c r="CA2366" s="501"/>
      <c r="CB2366" s="501"/>
      <c r="CC2366" s="501"/>
      <c r="CD2366" s="501"/>
      <c r="CE2366" s="501"/>
      <c r="CF2366" s="501"/>
      <c r="CG2366" s="501"/>
      <c r="CH2366" s="501"/>
      <c r="CI2366" s="501"/>
      <c r="CJ2366" s="501"/>
      <c r="CK2366" s="501"/>
      <c r="CL2366" s="501"/>
      <c r="CM2366" s="501"/>
      <c r="CN2366" s="501"/>
      <c r="CO2366" s="501"/>
      <c r="CP2366" s="501"/>
      <c r="CQ2366" s="501"/>
      <c r="CR2366" s="501"/>
      <c r="CS2366" s="501"/>
      <c r="CT2366" s="501"/>
      <c r="CU2366" s="501"/>
      <c r="CV2366" s="501"/>
      <c r="CW2366" s="501"/>
      <c r="CX2366" s="501"/>
      <c r="CY2366" s="501"/>
      <c r="CZ2366" s="501"/>
      <c r="DA2366" s="501"/>
      <c r="DB2366" s="501"/>
      <c r="DC2366" s="501"/>
      <c r="DD2366" s="501"/>
      <c r="DE2366" s="501"/>
      <c r="DF2366" s="501"/>
      <c r="DG2366" s="501"/>
      <c r="DH2366" s="501"/>
      <c r="DI2366" s="501"/>
      <c r="DJ2366" s="501"/>
      <c r="DK2366" s="501"/>
      <c r="DL2366" s="501"/>
      <c r="DM2366" s="501"/>
      <c r="DN2366" s="501"/>
      <c r="DO2366" s="501"/>
      <c r="DP2366" s="501"/>
      <c r="DQ2366" s="501"/>
      <c r="DR2366" s="501"/>
      <c r="DS2366" s="501"/>
      <c r="DT2366" s="501"/>
      <c r="DU2366" s="501"/>
      <c r="DV2366" s="501"/>
      <c r="DW2366" s="501"/>
      <c r="DX2366" s="501"/>
      <c r="DY2366" s="501"/>
      <c r="DZ2366" s="501"/>
      <c r="EA2366" s="501"/>
      <c r="EB2366" s="501"/>
      <c r="EC2366" s="501"/>
      <c r="ED2366" s="501"/>
      <c r="EE2366" s="501"/>
      <c r="EF2366" s="501"/>
      <c r="EG2366" s="501"/>
      <c r="EH2366" s="501"/>
      <c r="EI2366" s="501"/>
      <c r="EJ2366" s="501"/>
      <c r="EK2366" s="501"/>
      <c r="EL2366" s="501"/>
      <c r="EM2366" s="501"/>
      <c r="EN2366" s="501"/>
      <c r="EO2366" s="501"/>
      <c r="EP2366" s="501"/>
      <c r="EQ2366" s="501"/>
      <c r="ER2366" s="501"/>
      <c r="ES2366" s="501"/>
      <c r="ET2366" s="501"/>
      <c r="EU2366" s="501"/>
      <c r="EV2366" s="501"/>
      <c r="EW2366" s="501"/>
      <c r="EX2366" s="501"/>
      <c r="EY2366" s="501"/>
      <c r="EZ2366" s="501"/>
      <c r="FA2366" s="501"/>
      <c r="FB2366" s="501"/>
      <c r="FC2366" s="501"/>
      <c r="FD2366" s="501"/>
      <c r="FE2366" s="501"/>
      <c r="FF2366" s="501"/>
      <c r="FG2366" s="501"/>
      <c r="FH2366" s="501"/>
      <c r="FI2366" s="501"/>
      <c r="FJ2366" s="501"/>
      <c r="FK2366" s="501"/>
      <c r="FL2366" s="501"/>
      <c r="FM2366" s="501"/>
      <c r="FN2366" s="501"/>
      <c r="FO2366" s="501"/>
      <c r="FP2366" s="501"/>
      <c r="FQ2366" s="501"/>
      <c r="FR2366" s="501"/>
      <c r="FS2366" s="501"/>
      <c r="FT2366" s="501"/>
      <c r="FU2366" s="501"/>
      <c r="FV2366" s="501"/>
      <c r="FW2366" s="501"/>
      <c r="FX2366" s="501"/>
      <c r="FY2366" s="501"/>
      <c r="FZ2366" s="501"/>
      <c r="GA2366" s="501"/>
      <c r="GB2366" s="501"/>
      <c r="GC2366" s="501"/>
      <c r="GD2366" s="501"/>
      <c r="GE2366" s="501"/>
      <c r="GF2366" s="501"/>
      <c r="GG2366" s="501"/>
      <c r="GH2366" s="501"/>
      <c r="GI2366" s="501"/>
      <c r="GJ2366" s="501"/>
      <c r="GK2366" s="501"/>
      <c r="GL2366" s="501"/>
      <c r="GM2366" s="501"/>
      <c r="GN2366" s="501"/>
      <c r="GO2366" s="501"/>
      <c r="GP2366" s="501"/>
      <c r="GQ2366" s="501"/>
      <c r="GR2366" s="501"/>
      <c r="GS2366" s="501"/>
      <c r="GT2366" s="501"/>
      <c r="GU2366" s="501"/>
      <c r="GV2366" s="501"/>
      <c r="GW2366" s="501"/>
      <c r="GX2366" s="501"/>
      <c r="GY2366" s="501"/>
      <c r="GZ2366" s="501"/>
      <c r="HA2366" s="501"/>
      <c r="HB2366" s="501"/>
      <c r="HC2366" s="501"/>
      <c r="HD2366" s="501"/>
      <c r="HE2366" s="501"/>
      <c r="HF2366" s="501"/>
      <c r="HG2366" s="501"/>
      <c r="HH2366" s="501"/>
      <c r="HI2366" s="501"/>
      <c r="HJ2366" s="501"/>
      <c r="HK2366" s="501"/>
      <c r="HL2366" s="501"/>
      <c r="HM2366" s="501"/>
      <c r="HN2366" s="501"/>
      <c r="HO2366" s="501"/>
      <c r="HP2366" s="501"/>
      <c r="HQ2366" s="501"/>
      <c r="HR2366" s="501"/>
      <c r="HS2366" s="501"/>
      <c r="HT2366" s="501"/>
      <c r="HU2366" s="501"/>
      <c r="HV2366" s="501"/>
      <c r="HW2366" s="501"/>
      <c r="HX2366" s="501"/>
      <c r="HY2366" s="501"/>
      <c r="HZ2366" s="501"/>
      <c r="IA2366" s="501"/>
      <c r="IB2366" s="501"/>
      <c r="IC2366" s="501"/>
      <c r="ID2366" s="501"/>
      <c r="IE2366" s="501"/>
      <c r="IF2366" s="501"/>
      <c r="IG2366" s="501"/>
      <c r="IH2366" s="501"/>
      <c r="II2366" s="501"/>
      <c r="IJ2366" s="501"/>
      <c r="IK2366" s="501"/>
      <c r="IL2366" s="501"/>
      <c r="IM2366" s="501"/>
      <c r="IN2366" s="501"/>
      <c r="IO2366" s="501"/>
      <c r="IP2366" s="501"/>
      <c r="IQ2366" s="501"/>
      <c r="IR2366" s="501"/>
      <c r="IS2366" s="501"/>
      <c r="IT2366" s="501"/>
      <c r="IU2366" s="501"/>
    </row>
    <row r="2367" spans="1:255" s="877" customFormat="1" ht="24" customHeight="1">
      <c r="A2367" s="501"/>
      <c r="B2367" s="501"/>
      <c r="C2367" s="501"/>
      <c r="D2367" s="501"/>
      <c r="E2367" s="501"/>
      <c r="F2367" s="501"/>
      <c r="G2367" s="915"/>
      <c r="H2367" s="501"/>
      <c r="I2367" s="874"/>
      <c r="J2367" s="501"/>
      <c r="K2367" s="501"/>
      <c r="L2367" s="874"/>
      <c r="M2367" s="1049"/>
      <c r="N2367" s="501"/>
      <c r="O2367" s="501"/>
      <c r="P2367" s="902"/>
      <c r="Q2367" s="501"/>
      <c r="R2367" s="501"/>
      <c r="S2367" s="874"/>
      <c r="T2367" s="501"/>
      <c r="V2367" s="501"/>
      <c r="W2367" s="501"/>
      <c r="X2367" s="501"/>
      <c r="Y2367" s="501"/>
      <c r="Z2367" s="501"/>
      <c r="AA2367" s="501"/>
      <c r="AB2367" s="501"/>
      <c r="AC2367" s="501"/>
      <c r="AD2367" s="501"/>
      <c r="AE2367" s="501"/>
      <c r="AF2367" s="501"/>
      <c r="AG2367" s="501"/>
      <c r="AH2367" s="501"/>
      <c r="AI2367" s="501"/>
      <c r="AJ2367" s="501"/>
      <c r="AK2367" s="501"/>
      <c r="AL2367" s="501"/>
      <c r="AM2367" s="501"/>
      <c r="AN2367" s="501"/>
      <c r="AO2367" s="501"/>
      <c r="AP2367" s="501"/>
      <c r="AQ2367" s="501"/>
      <c r="AR2367" s="501"/>
      <c r="AS2367" s="501"/>
      <c r="AT2367" s="501"/>
      <c r="AU2367" s="501"/>
      <c r="AV2367" s="501"/>
      <c r="AW2367" s="501"/>
      <c r="AX2367" s="501"/>
      <c r="AY2367" s="501"/>
      <c r="AZ2367" s="501"/>
      <c r="BA2367" s="501"/>
      <c r="BB2367" s="501"/>
      <c r="BC2367" s="501"/>
      <c r="BD2367" s="501"/>
      <c r="BE2367" s="501"/>
      <c r="BF2367" s="501"/>
      <c r="BG2367" s="501"/>
      <c r="BH2367" s="501"/>
      <c r="BI2367" s="501"/>
      <c r="BJ2367" s="501"/>
      <c r="BK2367" s="501"/>
      <c r="BL2367" s="501"/>
      <c r="BM2367" s="501"/>
      <c r="BN2367" s="501"/>
      <c r="BO2367" s="501"/>
      <c r="BP2367" s="501"/>
      <c r="BQ2367" s="501"/>
      <c r="BR2367" s="501"/>
      <c r="BS2367" s="501"/>
      <c r="BT2367" s="501"/>
      <c r="BU2367" s="501"/>
      <c r="BV2367" s="501"/>
      <c r="BW2367" s="501"/>
      <c r="BX2367" s="501"/>
      <c r="BY2367" s="501"/>
      <c r="BZ2367" s="501"/>
      <c r="CA2367" s="501"/>
      <c r="CB2367" s="501"/>
      <c r="CC2367" s="501"/>
      <c r="CD2367" s="501"/>
      <c r="CE2367" s="501"/>
      <c r="CF2367" s="501"/>
      <c r="CG2367" s="501"/>
      <c r="CH2367" s="501"/>
      <c r="CI2367" s="501"/>
      <c r="CJ2367" s="501"/>
      <c r="CK2367" s="501"/>
      <c r="CL2367" s="501"/>
      <c r="CM2367" s="501"/>
      <c r="CN2367" s="501"/>
      <c r="CO2367" s="501"/>
      <c r="CP2367" s="501"/>
      <c r="CQ2367" s="501"/>
      <c r="CR2367" s="501"/>
      <c r="CS2367" s="501"/>
      <c r="CT2367" s="501"/>
      <c r="CU2367" s="501"/>
      <c r="CV2367" s="501"/>
      <c r="CW2367" s="501"/>
      <c r="CX2367" s="501"/>
      <c r="CY2367" s="501"/>
      <c r="CZ2367" s="501"/>
      <c r="DA2367" s="501"/>
      <c r="DB2367" s="501"/>
      <c r="DC2367" s="501"/>
      <c r="DD2367" s="501"/>
      <c r="DE2367" s="501"/>
      <c r="DF2367" s="501"/>
      <c r="DG2367" s="501"/>
      <c r="DH2367" s="501"/>
      <c r="DI2367" s="501"/>
      <c r="DJ2367" s="501"/>
      <c r="DK2367" s="501"/>
      <c r="DL2367" s="501"/>
      <c r="DM2367" s="501"/>
      <c r="DN2367" s="501"/>
      <c r="DO2367" s="501"/>
      <c r="DP2367" s="501"/>
      <c r="DQ2367" s="501"/>
      <c r="DR2367" s="501"/>
      <c r="DS2367" s="501"/>
      <c r="DT2367" s="501"/>
      <c r="DU2367" s="501"/>
      <c r="DV2367" s="501"/>
      <c r="DW2367" s="501"/>
      <c r="DX2367" s="501"/>
      <c r="DY2367" s="501"/>
      <c r="DZ2367" s="501"/>
      <c r="EA2367" s="501"/>
      <c r="EB2367" s="501"/>
      <c r="EC2367" s="501"/>
      <c r="ED2367" s="501"/>
      <c r="EE2367" s="501"/>
      <c r="EF2367" s="501"/>
      <c r="EG2367" s="501"/>
      <c r="EH2367" s="501"/>
      <c r="EI2367" s="501"/>
      <c r="EJ2367" s="501"/>
      <c r="EK2367" s="501"/>
      <c r="EL2367" s="501"/>
      <c r="EM2367" s="501"/>
      <c r="EN2367" s="501"/>
      <c r="EO2367" s="501"/>
      <c r="EP2367" s="501"/>
      <c r="EQ2367" s="501"/>
      <c r="ER2367" s="501"/>
      <c r="ES2367" s="501"/>
      <c r="ET2367" s="501"/>
      <c r="EU2367" s="501"/>
      <c r="EV2367" s="501"/>
      <c r="EW2367" s="501"/>
      <c r="EX2367" s="501"/>
      <c r="EY2367" s="501"/>
      <c r="EZ2367" s="501"/>
      <c r="FA2367" s="501"/>
      <c r="FB2367" s="501"/>
      <c r="FC2367" s="501"/>
      <c r="FD2367" s="501"/>
      <c r="FE2367" s="501"/>
      <c r="FF2367" s="501"/>
      <c r="FG2367" s="501"/>
      <c r="FH2367" s="501"/>
      <c r="FI2367" s="501"/>
      <c r="FJ2367" s="501"/>
      <c r="FK2367" s="501"/>
      <c r="FL2367" s="501"/>
      <c r="FM2367" s="501"/>
      <c r="FN2367" s="501"/>
      <c r="FO2367" s="501"/>
      <c r="FP2367" s="501"/>
      <c r="FQ2367" s="501"/>
      <c r="FR2367" s="501"/>
      <c r="FS2367" s="501"/>
      <c r="FT2367" s="501"/>
      <c r="FU2367" s="501"/>
      <c r="FV2367" s="501"/>
      <c r="FW2367" s="501"/>
      <c r="FX2367" s="501"/>
      <c r="FY2367" s="501"/>
      <c r="FZ2367" s="501"/>
      <c r="GA2367" s="501"/>
      <c r="GB2367" s="501"/>
      <c r="GC2367" s="501"/>
      <c r="GD2367" s="501"/>
      <c r="GE2367" s="501"/>
      <c r="GF2367" s="501"/>
      <c r="GG2367" s="501"/>
      <c r="GH2367" s="501"/>
      <c r="GI2367" s="501"/>
      <c r="GJ2367" s="501"/>
      <c r="GK2367" s="501"/>
      <c r="GL2367" s="501"/>
      <c r="GM2367" s="501"/>
      <c r="GN2367" s="501"/>
      <c r="GO2367" s="501"/>
      <c r="GP2367" s="501"/>
      <c r="GQ2367" s="501"/>
      <c r="GR2367" s="501"/>
      <c r="GS2367" s="501"/>
      <c r="GT2367" s="501"/>
      <c r="GU2367" s="501"/>
      <c r="GV2367" s="501"/>
      <c r="GW2367" s="501"/>
      <c r="GX2367" s="501"/>
      <c r="GY2367" s="501"/>
      <c r="GZ2367" s="501"/>
      <c r="HA2367" s="501"/>
      <c r="HB2367" s="501"/>
      <c r="HC2367" s="501"/>
      <c r="HD2367" s="501"/>
      <c r="HE2367" s="501"/>
      <c r="HF2367" s="501"/>
      <c r="HG2367" s="501"/>
      <c r="HH2367" s="501"/>
      <c r="HI2367" s="501"/>
      <c r="HJ2367" s="501"/>
      <c r="HK2367" s="501"/>
      <c r="HL2367" s="501"/>
      <c r="HM2367" s="501"/>
      <c r="HN2367" s="501"/>
      <c r="HO2367" s="501"/>
      <c r="HP2367" s="501"/>
      <c r="HQ2367" s="501"/>
      <c r="HR2367" s="501"/>
      <c r="HS2367" s="501"/>
      <c r="HT2367" s="501"/>
      <c r="HU2367" s="501"/>
      <c r="HV2367" s="501"/>
      <c r="HW2367" s="501"/>
      <c r="HX2367" s="501"/>
      <c r="HY2367" s="501"/>
      <c r="HZ2367" s="501"/>
      <c r="IA2367" s="501"/>
      <c r="IB2367" s="501"/>
      <c r="IC2367" s="501"/>
      <c r="ID2367" s="501"/>
      <c r="IE2367" s="501"/>
      <c r="IF2367" s="501"/>
      <c r="IG2367" s="501"/>
      <c r="IH2367" s="501"/>
      <c r="II2367" s="501"/>
      <c r="IJ2367" s="501"/>
      <c r="IK2367" s="501"/>
      <c r="IL2367" s="501"/>
      <c r="IM2367" s="501"/>
      <c r="IN2367" s="501"/>
      <c r="IO2367" s="501"/>
      <c r="IP2367" s="501"/>
      <c r="IQ2367" s="501"/>
      <c r="IR2367" s="501"/>
      <c r="IS2367" s="501"/>
      <c r="IT2367" s="501"/>
      <c r="IU2367" s="501"/>
    </row>
    <row r="2368" spans="1:255" s="877" customFormat="1" ht="24" customHeight="1">
      <c r="A2368" s="501"/>
      <c r="B2368" s="501"/>
      <c r="C2368" s="501"/>
      <c r="D2368" s="501"/>
      <c r="E2368" s="501"/>
      <c r="F2368" s="501"/>
      <c r="G2368" s="915"/>
      <c r="H2368" s="501"/>
      <c r="I2368" s="874"/>
      <c r="J2368" s="1048"/>
      <c r="K2368" s="501"/>
      <c r="L2368" s="874"/>
      <c r="M2368" s="899"/>
      <c r="N2368" s="501"/>
      <c r="O2368" s="501"/>
      <c r="P2368" s="902"/>
      <c r="Q2368" s="501"/>
      <c r="R2368" s="501"/>
      <c r="S2368" s="874"/>
      <c r="T2368" s="501"/>
      <c r="V2368" s="501"/>
      <c r="W2368" s="501"/>
      <c r="X2368" s="501"/>
      <c r="Y2368" s="501"/>
      <c r="Z2368" s="501"/>
      <c r="AA2368" s="501"/>
      <c r="AB2368" s="501"/>
      <c r="AC2368" s="501"/>
      <c r="AD2368" s="501"/>
      <c r="AE2368" s="501"/>
      <c r="AF2368" s="501"/>
      <c r="AG2368" s="501"/>
      <c r="AH2368" s="501"/>
      <c r="AI2368" s="501"/>
      <c r="AJ2368" s="501"/>
      <c r="AK2368" s="501"/>
      <c r="AL2368" s="501"/>
      <c r="AM2368" s="501"/>
      <c r="AN2368" s="501"/>
      <c r="AO2368" s="501"/>
      <c r="AP2368" s="501"/>
      <c r="AQ2368" s="501"/>
      <c r="AR2368" s="501"/>
      <c r="AS2368" s="501"/>
      <c r="AT2368" s="501"/>
      <c r="AU2368" s="501"/>
      <c r="AV2368" s="501"/>
      <c r="AW2368" s="501"/>
      <c r="AX2368" s="501"/>
      <c r="AY2368" s="501"/>
      <c r="AZ2368" s="501"/>
      <c r="BA2368" s="501"/>
      <c r="BB2368" s="501"/>
      <c r="BC2368" s="501"/>
      <c r="BD2368" s="501"/>
      <c r="BE2368" s="501"/>
      <c r="BF2368" s="501"/>
      <c r="BG2368" s="501"/>
      <c r="BH2368" s="501"/>
      <c r="BI2368" s="501"/>
      <c r="BJ2368" s="501"/>
      <c r="BK2368" s="501"/>
      <c r="BL2368" s="501"/>
      <c r="BM2368" s="501"/>
      <c r="BN2368" s="501"/>
      <c r="BO2368" s="501"/>
      <c r="BP2368" s="501"/>
      <c r="BQ2368" s="501"/>
      <c r="BR2368" s="501"/>
      <c r="BS2368" s="501"/>
      <c r="BT2368" s="501"/>
      <c r="BU2368" s="501"/>
      <c r="BV2368" s="501"/>
      <c r="BW2368" s="501"/>
      <c r="BX2368" s="501"/>
      <c r="BY2368" s="501"/>
      <c r="BZ2368" s="501"/>
      <c r="CA2368" s="501"/>
      <c r="CB2368" s="501"/>
      <c r="CC2368" s="501"/>
      <c r="CD2368" s="501"/>
      <c r="CE2368" s="501"/>
      <c r="CF2368" s="501"/>
      <c r="CG2368" s="501"/>
      <c r="CH2368" s="501"/>
      <c r="CI2368" s="501"/>
      <c r="CJ2368" s="501"/>
      <c r="CK2368" s="501"/>
      <c r="CL2368" s="501"/>
      <c r="CM2368" s="501"/>
      <c r="CN2368" s="501"/>
      <c r="CO2368" s="501"/>
      <c r="CP2368" s="501"/>
      <c r="CQ2368" s="501"/>
      <c r="CR2368" s="501"/>
      <c r="CS2368" s="501"/>
      <c r="CT2368" s="501"/>
      <c r="CU2368" s="501"/>
      <c r="CV2368" s="501"/>
      <c r="CW2368" s="501"/>
      <c r="CX2368" s="501"/>
      <c r="CY2368" s="501"/>
      <c r="CZ2368" s="501"/>
      <c r="DA2368" s="501"/>
      <c r="DB2368" s="501"/>
      <c r="DC2368" s="501"/>
      <c r="DD2368" s="501"/>
      <c r="DE2368" s="501"/>
      <c r="DF2368" s="501"/>
      <c r="DG2368" s="501"/>
      <c r="DH2368" s="501"/>
      <c r="DI2368" s="501"/>
      <c r="DJ2368" s="501"/>
      <c r="DK2368" s="501"/>
      <c r="DL2368" s="501"/>
      <c r="DM2368" s="501"/>
      <c r="DN2368" s="501"/>
      <c r="DO2368" s="501"/>
      <c r="DP2368" s="501"/>
      <c r="DQ2368" s="501"/>
      <c r="DR2368" s="501"/>
      <c r="DS2368" s="501"/>
      <c r="DT2368" s="501"/>
      <c r="DU2368" s="501"/>
      <c r="DV2368" s="501"/>
      <c r="DW2368" s="501"/>
      <c r="DX2368" s="501"/>
      <c r="DY2368" s="501"/>
      <c r="DZ2368" s="501"/>
      <c r="EA2368" s="501"/>
      <c r="EB2368" s="501"/>
      <c r="EC2368" s="501"/>
      <c r="ED2368" s="501"/>
      <c r="EE2368" s="501"/>
      <c r="EF2368" s="501"/>
      <c r="EG2368" s="501"/>
      <c r="EH2368" s="501"/>
      <c r="EI2368" s="501"/>
      <c r="EJ2368" s="501"/>
      <c r="EK2368" s="501"/>
      <c r="EL2368" s="501"/>
      <c r="EM2368" s="501"/>
      <c r="EN2368" s="501"/>
      <c r="EO2368" s="501"/>
      <c r="EP2368" s="501"/>
      <c r="EQ2368" s="501"/>
      <c r="ER2368" s="501"/>
      <c r="ES2368" s="501"/>
      <c r="ET2368" s="501"/>
      <c r="EU2368" s="501"/>
      <c r="EV2368" s="501"/>
      <c r="EW2368" s="501"/>
      <c r="EX2368" s="501"/>
      <c r="EY2368" s="501"/>
      <c r="EZ2368" s="501"/>
      <c r="FA2368" s="501"/>
      <c r="FB2368" s="501"/>
      <c r="FC2368" s="501"/>
      <c r="FD2368" s="501"/>
      <c r="FE2368" s="501"/>
      <c r="FF2368" s="501"/>
      <c r="FG2368" s="501"/>
      <c r="FH2368" s="501"/>
      <c r="FI2368" s="501"/>
      <c r="FJ2368" s="501"/>
      <c r="FK2368" s="501"/>
      <c r="FL2368" s="501"/>
      <c r="FM2368" s="501"/>
      <c r="FN2368" s="501"/>
      <c r="FO2368" s="501"/>
      <c r="FP2368" s="501"/>
      <c r="FQ2368" s="501"/>
      <c r="FR2368" s="501"/>
      <c r="FS2368" s="501"/>
      <c r="FT2368" s="501"/>
      <c r="FU2368" s="501"/>
      <c r="FV2368" s="501"/>
      <c r="FW2368" s="501"/>
      <c r="FX2368" s="501"/>
      <c r="FY2368" s="501"/>
      <c r="FZ2368" s="501"/>
      <c r="GA2368" s="501"/>
      <c r="GB2368" s="501"/>
      <c r="GC2368" s="501"/>
      <c r="GD2368" s="501"/>
      <c r="GE2368" s="501"/>
      <c r="GF2368" s="501"/>
      <c r="GG2368" s="501"/>
      <c r="GH2368" s="501"/>
      <c r="GI2368" s="501"/>
      <c r="GJ2368" s="501"/>
      <c r="GK2368" s="501"/>
      <c r="GL2368" s="501"/>
      <c r="GM2368" s="501"/>
      <c r="GN2368" s="501"/>
      <c r="GO2368" s="501"/>
      <c r="GP2368" s="501"/>
      <c r="GQ2368" s="501"/>
      <c r="GR2368" s="501"/>
      <c r="GS2368" s="501"/>
      <c r="GT2368" s="501"/>
      <c r="GU2368" s="501"/>
      <c r="GV2368" s="501"/>
      <c r="GW2368" s="501"/>
      <c r="GX2368" s="501"/>
      <c r="GY2368" s="501"/>
      <c r="GZ2368" s="501"/>
      <c r="HA2368" s="501"/>
      <c r="HB2368" s="501"/>
      <c r="HC2368" s="501"/>
      <c r="HD2368" s="501"/>
      <c r="HE2368" s="501"/>
      <c r="HF2368" s="501"/>
      <c r="HG2368" s="501"/>
      <c r="HH2368" s="501"/>
      <c r="HI2368" s="501"/>
      <c r="HJ2368" s="501"/>
      <c r="HK2368" s="501"/>
      <c r="HL2368" s="501"/>
      <c r="HM2368" s="501"/>
      <c r="HN2368" s="501"/>
      <c r="HO2368" s="501"/>
      <c r="HP2368" s="501"/>
      <c r="HQ2368" s="501"/>
      <c r="HR2368" s="501"/>
      <c r="HS2368" s="501"/>
      <c r="HT2368" s="501"/>
      <c r="HU2368" s="501"/>
      <c r="HV2368" s="501"/>
      <c r="HW2368" s="501"/>
      <c r="HX2368" s="501"/>
      <c r="HY2368" s="501"/>
      <c r="HZ2368" s="501"/>
      <c r="IA2368" s="501"/>
      <c r="IB2368" s="501"/>
      <c r="IC2368" s="501"/>
      <c r="ID2368" s="501"/>
      <c r="IE2368" s="501"/>
      <c r="IF2368" s="501"/>
      <c r="IG2368" s="501"/>
      <c r="IH2368" s="501"/>
      <c r="II2368" s="501"/>
      <c r="IJ2368" s="501"/>
      <c r="IK2368" s="501"/>
      <c r="IL2368" s="501"/>
      <c r="IM2368" s="501"/>
      <c r="IN2368" s="501"/>
      <c r="IO2368" s="501"/>
      <c r="IP2368" s="501"/>
      <c r="IQ2368" s="501"/>
      <c r="IR2368" s="501"/>
      <c r="IS2368" s="501"/>
      <c r="IT2368" s="501"/>
      <c r="IU2368" s="501"/>
    </row>
    <row r="2369" spans="1:255" s="877" customFormat="1" ht="24" customHeight="1">
      <c r="A2369" s="501"/>
      <c r="B2369" s="501"/>
      <c r="C2369" s="501"/>
      <c r="D2369" s="501"/>
      <c r="E2369" s="501"/>
      <c r="F2369" s="501"/>
      <c r="G2369" s="915"/>
      <c r="H2369" s="501"/>
      <c r="I2369" s="874"/>
      <c r="J2369" s="501"/>
      <c r="K2369" s="501"/>
      <c r="L2369" s="874"/>
      <c r="M2369" s="1049"/>
      <c r="N2369" s="501"/>
      <c r="O2369" s="501"/>
      <c r="P2369" s="902"/>
      <c r="Q2369" s="501"/>
      <c r="R2369" s="501"/>
      <c r="S2369" s="874"/>
      <c r="T2369" s="501"/>
      <c r="V2369" s="501"/>
      <c r="W2369" s="501"/>
      <c r="X2369" s="501"/>
      <c r="Y2369" s="501"/>
      <c r="Z2369" s="501"/>
      <c r="AA2369" s="501"/>
      <c r="AB2369" s="501"/>
      <c r="AC2369" s="501"/>
      <c r="AD2369" s="501"/>
      <c r="AE2369" s="501"/>
      <c r="AF2369" s="501"/>
      <c r="AG2369" s="501"/>
      <c r="AH2369" s="501"/>
      <c r="AI2369" s="501"/>
      <c r="AJ2369" s="501"/>
      <c r="AK2369" s="501"/>
      <c r="AL2369" s="501"/>
      <c r="AM2369" s="501"/>
      <c r="AN2369" s="501"/>
      <c r="AO2369" s="501"/>
      <c r="AP2369" s="501"/>
      <c r="AQ2369" s="501"/>
      <c r="AR2369" s="501"/>
      <c r="AS2369" s="501"/>
      <c r="AT2369" s="501"/>
      <c r="AU2369" s="501"/>
      <c r="AV2369" s="501"/>
      <c r="AW2369" s="501"/>
      <c r="AX2369" s="501"/>
      <c r="AY2369" s="501"/>
      <c r="AZ2369" s="501"/>
      <c r="BA2369" s="501"/>
      <c r="BB2369" s="501"/>
      <c r="BC2369" s="501"/>
      <c r="BD2369" s="501"/>
      <c r="BE2369" s="501"/>
      <c r="BF2369" s="501"/>
      <c r="BG2369" s="501"/>
      <c r="BH2369" s="501"/>
      <c r="BI2369" s="501"/>
      <c r="BJ2369" s="501"/>
      <c r="BK2369" s="501"/>
      <c r="BL2369" s="501"/>
      <c r="BM2369" s="501"/>
      <c r="BN2369" s="501"/>
      <c r="BO2369" s="501"/>
      <c r="BP2369" s="501"/>
      <c r="BQ2369" s="501"/>
      <c r="BR2369" s="501"/>
      <c r="BS2369" s="501"/>
      <c r="BT2369" s="501"/>
      <c r="BU2369" s="501"/>
      <c r="BV2369" s="501"/>
      <c r="BW2369" s="501"/>
      <c r="BX2369" s="501"/>
      <c r="BY2369" s="501"/>
      <c r="BZ2369" s="501"/>
      <c r="CA2369" s="501"/>
      <c r="CB2369" s="501"/>
      <c r="CC2369" s="501"/>
      <c r="CD2369" s="501"/>
      <c r="CE2369" s="501"/>
      <c r="CF2369" s="501"/>
      <c r="CG2369" s="501"/>
      <c r="CH2369" s="501"/>
      <c r="CI2369" s="501"/>
      <c r="CJ2369" s="501"/>
      <c r="CK2369" s="501"/>
      <c r="CL2369" s="501"/>
      <c r="CM2369" s="501"/>
      <c r="CN2369" s="501"/>
      <c r="CO2369" s="501"/>
      <c r="CP2369" s="501"/>
      <c r="CQ2369" s="501"/>
      <c r="CR2369" s="501"/>
      <c r="CS2369" s="501"/>
      <c r="CT2369" s="501"/>
      <c r="CU2369" s="501"/>
      <c r="CV2369" s="501"/>
      <c r="CW2369" s="501"/>
      <c r="CX2369" s="501"/>
      <c r="CY2369" s="501"/>
      <c r="CZ2369" s="501"/>
      <c r="DA2369" s="501"/>
      <c r="DB2369" s="501"/>
      <c r="DC2369" s="501"/>
      <c r="DD2369" s="501"/>
      <c r="DE2369" s="501"/>
      <c r="DF2369" s="501"/>
      <c r="DG2369" s="501"/>
      <c r="DH2369" s="501"/>
      <c r="DI2369" s="501"/>
      <c r="DJ2369" s="501"/>
      <c r="DK2369" s="501"/>
      <c r="DL2369" s="501"/>
      <c r="DM2369" s="501"/>
      <c r="DN2369" s="501"/>
      <c r="DO2369" s="501"/>
      <c r="DP2369" s="501"/>
      <c r="DQ2369" s="501"/>
      <c r="DR2369" s="501"/>
      <c r="DS2369" s="501"/>
      <c r="DT2369" s="501"/>
      <c r="DU2369" s="501"/>
      <c r="DV2369" s="501"/>
      <c r="DW2369" s="501"/>
      <c r="DX2369" s="501"/>
      <c r="DY2369" s="501"/>
      <c r="DZ2369" s="501"/>
      <c r="EA2369" s="501"/>
      <c r="EB2369" s="501"/>
      <c r="EC2369" s="501"/>
      <c r="ED2369" s="501"/>
      <c r="EE2369" s="501"/>
      <c r="EF2369" s="501"/>
      <c r="EG2369" s="501"/>
      <c r="EH2369" s="501"/>
      <c r="EI2369" s="501"/>
      <c r="EJ2369" s="501"/>
      <c r="EK2369" s="501"/>
      <c r="EL2369" s="501"/>
      <c r="EM2369" s="501"/>
      <c r="EN2369" s="501"/>
      <c r="EO2369" s="501"/>
      <c r="EP2369" s="501"/>
      <c r="EQ2369" s="501"/>
      <c r="ER2369" s="501"/>
      <c r="ES2369" s="501"/>
      <c r="ET2369" s="501"/>
      <c r="EU2369" s="501"/>
      <c r="EV2369" s="501"/>
      <c r="EW2369" s="501"/>
      <c r="EX2369" s="501"/>
      <c r="EY2369" s="501"/>
      <c r="EZ2369" s="501"/>
      <c r="FA2369" s="501"/>
      <c r="FB2369" s="501"/>
      <c r="FC2369" s="501"/>
      <c r="FD2369" s="501"/>
      <c r="FE2369" s="501"/>
      <c r="FF2369" s="501"/>
      <c r="FG2369" s="501"/>
      <c r="FH2369" s="501"/>
      <c r="FI2369" s="501"/>
      <c r="FJ2369" s="501"/>
      <c r="FK2369" s="501"/>
      <c r="FL2369" s="501"/>
      <c r="FM2369" s="501"/>
      <c r="FN2369" s="501"/>
      <c r="FO2369" s="501"/>
      <c r="FP2369" s="501"/>
      <c r="FQ2369" s="501"/>
      <c r="FR2369" s="501"/>
      <c r="FS2369" s="501"/>
      <c r="FT2369" s="501"/>
      <c r="FU2369" s="501"/>
      <c r="FV2369" s="501"/>
      <c r="FW2369" s="501"/>
      <c r="FX2369" s="501"/>
      <c r="FY2369" s="501"/>
      <c r="FZ2369" s="501"/>
      <c r="GA2369" s="501"/>
      <c r="GB2369" s="501"/>
      <c r="GC2369" s="501"/>
      <c r="GD2369" s="501"/>
      <c r="GE2369" s="501"/>
      <c r="GF2369" s="501"/>
      <c r="GG2369" s="501"/>
      <c r="GH2369" s="501"/>
      <c r="GI2369" s="501"/>
      <c r="GJ2369" s="501"/>
      <c r="GK2369" s="501"/>
      <c r="GL2369" s="501"/>
      <c r="GM2369" s="501"/>
      <c r="GN2369" s="501"/>
      <c r="GO2369" s="501"/>
      <c r="GP2369" s="501"/>
      <c r="GQ2369" s="501"/>
      <c r="GR2369" s="501"/>
      <c r="GS2369" s="501"/>
      <c r="GT2369" s="501"/>
      <c r="GU2369" s="501"/>
      <c r="GV2369" s="501"/>
      <c r="GW2369" s="501"/>
      <c r="GX2369" s="501"/>
      <c r="GY2369" s="501"/>
      <c r="GZ2369" s="501"/>
      <c r="HA2369" s="501"/>
      <c r="HB2369" s="501"/>
      <c r="HC2369" s="501"/>
      <c r="HD2369" s="501"/>
      <c r="HE2369" s="501"/>
      <c r="HF2369" s="501"/>
      <c r="HG2369" s="501"/>
      <c r="HH2369" s="501"/>
      <c r="HI2369" s="501"/>
      <c r="HJ2369" s="501"/>
      <c r="HK2369" s="501"/>
      <c r="HL2369" s="501"/>
      <c r="HM2369" s="501"/>
      <c r="HN2369" s="501"/>
      <c r="HO2369" s="501"/>
      <c r="HP2369" s="501"/>
      <c r="HQ2369" s="501"/>
      <c r="HR2369" s="501"/>
      <c r="HS2369" s="501"/>
      <c r="HT2369" s="501"/>
      <c r="HU2369" s="501"/>
      <c r="HV2369" s="501"/>
      <c r="HW2369" s="501"/>
      <c r="HX2369" s="501"/>
      <c r="HY2369" s="501"/>
      <c r="HZ2369" s="501"/>
      <c r="IA2369" s="501"/>
      <c r="IB2369" s="501"/>
      <c r="IC2369" s="501"/>
      <c r="ID2369" s="501"/>
      <c r="IE2369" s="501"/>
      <c r="IF2369" s="501"/>
      <c r="IG2369" s="501"/>
      <c r="IH2369" s="501"/>
      <c r="II2369" s="501"/>
      <c r="IJ2369" s="501"/>
      <c r="IK2369" s="501"/>
      <c r="IL2369" s="501"/>
      <c r="IM2369" s="501"/>
      <c r="IN2369" s="501"/>
      <c r="IO2369" s="501"/>
      <c r="IP2369" s="501"/>
      <c r="IQ2369" s="501"/>
      <c r="IR2369" s="501"/>
      <c r="IS2369" s="501"/>
      <c r="IT2369" s="501"/>
      <c r="IU2369" s="501"/>
    </row>
    <row r="2370" spans="1:255" s="877" customFormat="1" ht="24" customHeight="1">
      <c r="A2370" s="501"/>
      <c r="B2370" s="501"/>
      <c r="C2370" s="501"/>
      <c r="D2370" s="501"/>
      <c r="E2370" s="501"/>
      <c r="F2370" s="501"/>
      <c r="G2370" s="915"/>
      <c r="H2370" s="501"/>
      <c r="I2370" s="874"/>
      <c r="J2370" s="501"/>
      <c r="K2370" s="501"/>
      <c r="L2370" s="874"/>
      <c r="M2370" s="554"/>
      <c r="N2370" s="501"/>
      <c r="O2370" s="501"/>
      <c r="P2370" s="902"/>
      <c r="Q2370" s="501"/>
      <c r="R2370" s="501"/>
      <c r="S2370" s="874"/>
      <c r="T2370" s="501"/>
      <c r="V2370" s="501"/>
      <c r="W2370" s="501"/>
      <c r="X2370" s="501"/>
      <c r="Y2370" s="501"/>
      <c r="Z2370" s="501"/>
      <c r="AA2370" s="501"/>
      <c r="AB2370" s="501"/>
      <c r="AC2370" s="501"/>
      <c r="AD2370" s="501"/>
      <c r="AE2370" s="501"/>
      <c r="AF2370" s="501"/>
      <c r="AG2370" s="501"/>
      <c r="AH2370" s="501"/>
      <c r="AI2370" s="501"/>
      <c r="AJ2370" s="501"/>
      <c r="AK2370" s="501"/>
      <c r="AL2370" s="501"/>
      <c r="AM2370" s="501"/>
      <c r="AN2370" s="501"/>
      <c r="AO2370" s="501"/>
      <c r="AP2370" s="501"/>
      <c r="AQ2370" s="501"/>
      <c r="AR2370" s="501"/>
      <c r="AS2370" s="501"/>
      <c r="AT2370" s="501"/>
      <c r="AU2370" s="501"/>
      <c r="AV2370" s="501"/>
      <c r="AW2370" s="501"/>
      <c r="AX2370" s="501"/>
      <c r="AY2370" s="501"/>
      <c r="AZ2370" s="501"/>
      <c r="BA2370" s="501"/>
      <c r="BB2370" s="501"/>
      <c r="BC2370" s="501"/>
      <c r="BD2370" s="501"/>
      <c r="BE2370" s="501"/>
      <c r="BF2370" s="501"/>
      <c r="BG2370" s="501"/>
      <c r="BH2370" s="501"/>
      <c r="BI2370" s="501"/>
      <c r="BJ2370" s="501"/>
      <c r="BK2370" s="501"/>
      <c r="BL2370" s="501"/>
      <c r="BM2370" s="501"/>
      <c r="BN2370" s="501"/>
      <c r="BO2370" s="501"/>
      <c r="BP2370" s="501"/>
      <c r="BQ2370" s="501"/>
      <c r="BR2370" s="501"/>
      <c r="BS2370" s="501"/>
      <c r="BT2370" s="501"/>
      <c r="BU2370" s="501"/>
      <c r="BV2370" s="501"/>
      <c r="BW2370" s="501"/>
      <c r="BX2370" s="501"/>
      <c r="BY2370" s="501"/>
      <c r="BZ2370" s="501"/>
      <c r="CA2370" s="501"/>
      <c r="CB2370" s="501"/>
      <c r="CC2370" s="501"/>
      <c r="CD2370" s="501"/>
      <c r="CE2370" s="501"/>
      <c r="CF2370" s="501"/>
      <c r="CG2370" s="501"/>
      <c r="CH2370" s="501"/>
      <c r="CI2370" s="501"/>
      <c r="CJ2370" s="501"/>
      <c r="CK2370" s="501"/>
      <c r="CL2370" s="501"/>
      <c r="CM2370" s="501"/>
      <c r="CN2370" s="501"/>
      <c r="CO2370" s="501"/>
      <c r="CP2370" s="501"/>
      <c r="CQ2370" s="501"/>
      <c r="CR2370" s="501"/>
      <c r="CS2370" s="501"/>
      <c r="CT2370" s="501"/>
      <c r="CU2370" s="501"/>
      <c r="CV2370" s="501"/>
      <c r="CW2370" s="501"/>
      <c r="CX2370" s="501"/>
      <c r="CY2370" s="501"/>
      <c r="CZ2370" s="501"/>
      <c r="DA2370" s="501"/>
      <c r="DB2370" s="501"/>
      <c r="DC2370" s="501"/>
      <c r="DD2370" s="501"/>
      <c r="DE2370" s="501"/>
      <c r="DF2370" s="501"/>
      <c r="DG2370" s="501"/>
      <c r="DH2370" s="501"/>
      <c r="DI2370" s="501"/>
      <c r="DJ2370" s="501"/>
      <c r="DK2370" s="501"/>
      <c r="DL2370" s="501"/>
      <c r="DM2370" s="501"/>
      <c r="DN2370" s="501"/>
      <c r="DO2370" s="501"/>
      <c r="DP2370" s="501"/>
      <c r="DQ2370" s="501"/>
      <c r="DR2370" s="501"/>
      <c r="DS2370" s="501"/>
      <c r="DT2370" s="501"/>
      <c r="DU2370" s="501"/>
      <c r="DV2370" s="501"/>
      <c r="DW2370" s="501"/>
      <c r="DX2370" s="501"/>
      <c r="DY2370" s="501"/>
      <c r="DZ2370" s="501"/>
      <c r="EA2370" s="501"/>
      <c r="EB2370" s="501"/>
      <c r="EC2370" s="501"/>
      <c r="ED2370" s="501"/>
      <c r="EE2370" s="501"/>
      <c r="EF2370" s="501"/>
      <c r="EG2370" s="501"/>
      <c r="EH2370" s="501"/>
      <c r="EI2370" s="501"/>
      <c r="EJ2370" s="501"/>
      <c r="EK2370" s="501"/>
      <c r="EL2370" s="501"/>
      <c r="EM2370" s="501"/>
      <c r="EN2370" s="501"/>
      <c r="EO2370" s="501"/>
      <c r="EP2370" s="501"/>
      <c r="EQ2370" s="501"/>
      <c r="ER2370" s="501"/>
      <c r="ES2370" s="501"/>
      <c r="ET2370" s="501"/>
      <c r="EU2370" s="501"/>
      <c r="EV2370" s="501"/>
      <c r="EW2370" s="501"/>
      <c r="EX2370" s="501"/>
      <c r="EY2370" s="501"/>
      <c r="EZ2370" s="501"/>
      <c r="FA2370" s="501"/>
      <c r="FB2370" s="501"/>
      <c r="FC2370" s="501"/>
      <c r="FD2370" s="501"/>
      <c r="FE2370" s="501"/>
      <c r="FF2370" s="501"/>
      <c r="FG2370" s="501"/>
      <c r="FH2370" s="501"/>
      <c r="FI2370" s="501"/>
      <c r="FJ2370" s="501"/>
      <c r="FK2370" s="501"/>
      <c r="FL2370" s="501"/>
      <c r="FM2370" s="501"/>
      <c r="FN2370" s="501"/>
      <c r="FO2370" s="501"/>
      <c r="FP2370" s="501"/>
      <c r="FQ2370" s="501"/>
      <c r="FR2370" s="501"/>
      <c r="FS2370" s="501"/>
      <c r="FT2370" s="501"/>
      <c r="FU2370" s="501"/>
      <c r="FV2370" s="501"/>
      <c r="FW2370" s="501"/>
      <c r="FX2370" s="501"/>
      <c r="FY2370" s="501"/>
      <c r="FZ2370" s="501"/>
      <c r="GA2370" s="501"/>
      <c r="GB2370" s="501"/>
      <c r="GC2370" s="501"/>
      <c r="GD2370" s="501"/>
      <c r="GE2370" s="501"/>
      <c r="GF2370" s="501"/>
      <c r="GG2370" s="501"/>
      <c r="GH2370" s="501"/>
      <c r="GI2370" s="501"/>
      <c r="GJ2370" s="501"/>
      <c r="GK2370" s="501"/>
      <c r="GL2370" s="501"/>
      <c r="GM2370" s="501"/>
      <c r="GN2370" s="501"/>
      <c r="GO2370" s="501"/>
      <c r="GP2370" s="501"/>
      <c r="GQ2370" s="501"/>
      <c r="GR2370" s="501"/>
      <c r="GS2370" s="501"/>
      <c r="GT2370" s="501"/>
      <c r="GU2370" s="501"/>
      <c r="GV2370" s="501"/>
      <c r="GW2370" s="501"/>
      <c r="GX2370" s="501"/>
      <c r="GY2370" s="501"/>
      <c r="GZ2370" s="501"/>
      <c r="HA2370" s="501"/>
      <c r="HB2370" s="501"/>
      <c r="HC2370" s="501"/>
      <c r="HD2370" s="501"/>
      <c r="HE2370" s="501"/>
      <c r="HF2370" s="501"/>
      <c r="HG2370" s="501"/>
      <c r="HH2370" s="501"/>
      <c r="HI2370" s="501"/>
      <c r="HJ2370" s="501"/>
      <c r="HK2370" s="501"/>
      <c r="HL2370" s="501"/>
      <c r="HM2370" s="501"/>
      <c r="HN2370" s="501"/>
      <c r="HO2370" s="501"/>
      <c r="HP2370" s="501"/>
      <c r="HQ2370" s="501"/>
      <c r="HR2370" s="501"/>
      <c r="HS2370" s="501"/>
      <c r="HT2370" s="501"/>
      <c r="HU2370" s="501"/>
      <c r="HV2370" s="501"/>
      <c r="HW2370" s="501"/>
      <c r="HX2370" s="501"/>
      <c r="HY2370" s="501"/>
      <c r="HZ2370" s="501"/>
      <c r="IA2370" s="501"/>
      <c r="IB2370" s="501"/>
      <c r="IC2370" s="501"/>
      <c r="ID2370" s="501"/>
      <c r="IE2370" s="501"/>
      <c r="IF2370" s="501"/>
      <c r="IG2370" s="501"/>
      <c r="IH2370" s="501"/>
      <c r="II2370" s="501"/>
      <c r="IJ2370" s="501"/>
      <c r="IK2370" s="501"/>
      <c r="IL2370" s="501"/>
      <c r="IM2370" s="501"/>
      <c r="IN2370" s="501"/>
      <c r="IO2370" s="501"/>
      <c r="IP2370" s="501"/>
      <c r="IQ2370" s="501"/>
      <c r="IR2370" s="501"/>
      <c r="IS2370" s="501"/>
      <c r="IT2370" s="501"/>
      <c r="IU2370" s="501"/>
    </row>
    <row r="2372" spans="1:255" s="877" customFormat="1" ht="39" customHeight="1">
      <c r="A2372" s="501"/>
      <c r="B2372" s="501"/>
      <c r="C2372" s="501"/>
      <c r="D2372" s="501"/>
      <c r="E2372" s="501"/>
      <c r="F2372" s="501"/>
      <c r="G2372" s="915"/>
      <c r="H2372" s="501"/>
      <c r="I2372" s="874"/>
      <c r="J2372" s="1050"/>
      <c r="K2372" s="501"/>
      <c r="L2372" s="874"/>
      <c r="M2372" s="554"/>
      <c r="N2372" s="501"/>
      <c r="O2372" s="501"/>
      <c r="P2372" s="902"/>
      <c r="Q2372" s="501"/>
      <c r="R2372" s="501"/>
      <c r="S2372" s="874"/>
      <c r="T2372" s="903"/>
      <c r="V2372" s="501"/>
      <c r="W2372" s="501"/>
      <c r="X2372" s="501"/>
      <c r="Y2372" s="501"/>
      <c r="Z2372" s="501"/>
      <c r="AA2372" s="501"/>
      <c r="AB2372" s="501"/>
      <c r="AC2372" s="501"/>
      <c r="AD2372" s="501"/>
      <c r="AE2372" s="501"/>
      <c r="AF2372" s="501"/>
      <c r="AG2372" s="501"/>
      <c r="AH2372" s="501"/>
      <c r="AI2372" s="501"/>
      <c r="AJ2372" s="501"/>
      <c r="AK2372" s="501"/>
      <c r="AL2372" s="501"/>
      <c r="AM2372" s="501"/>
      <c r="AN2372" s="501"/>
      <c r="AO2372" s="501"/>
      <c r="AP2372" s="501"/>
      <c r="AQ2372" s="501"/>
      <c r="AR2372" s="501"/>
      <c r="AS2372" s="501"/>
      <c r="AT2372" s="501"/>
      <c r="AU2372" s="501"/>
      <c r="AV2372" s="501"/>
      <c r="AW2372" s="501"/>
      <c r="AX2372" s="501"/>
      <c r="AY2372" s="501"/>
      <c r="AZ2372" s="501"/>
      <c r="BA2372" s="501"/>
      <c r="BB2372" s="501"/>
      <c r="BC2372" s="501"/>
      <c r="BD2372" s="501"/>
      <c r="BE2372" s="501"/>
      <c r="BF2372" s="501"/>
      <c r="BG2372" s="501"/>
      <c r="BH2372" s="501"/>
      <c r="BI2372" s="501"/>
      <c r="BJ2372" s="501"/>
      <c r="BK2372" s="501"/>
      <c r="BL2372" s="501"/>
      <c r="BM2372" s="501"/>
      <c r="BN2372" s="501"/>
      <c r="BO2372" s="501"/>
      <c r="BP2372" s="501"/>
      <c r="BQ2372" s="501"/>
      <c r="BR2372" s="501"/>
      <c r="BS2372" s="501"/>
      <c r="BT2372" s="501"/>
      <c r="BU2372" s="501"/>
      <c r="BV2372" s="501"/>
      <c r="BW2372" s="501"/>
      <c r="BX2372" s="501"/>
      <c r="BY2372" s="501"/>
      <c r="BZ2372" s="501"/>
      <c r="CA2372" s="501"/>
      <c r="CB2372" s="501"/>
      <c r="CC2372" s="501"/>
      <c r="CD2372" s="501"/>
      <c r="CE2372" s="501"/>
      <c r="CF2372" s="501"/>
      <c r="CG2372" s="501"/>
      <c r="CH2372" s="501"/>
      <c r="CI2372" s="501"/>
      <c r="CJ2372" s="501"/>
      <c r="CK2372" s="501"/>
      <c r="CL2372" s="501"/>
      <c r="CM2372" s="501"/>
      <c r="CN2372" s="501"/>
      <c r="CO2372" s="501"/>
      <c r="CP2372" s="501"/>
      <c r="CQ2372" s="501"/>
      <c r="CR2372" s="501"/>
      <c r="CS2372" s="501"/>
      <c r="CT2372" s="501"/>
      <c r="CU2372" s="501"/>
      <c r="CV2372" s="501"/>
      <c r="CW2372" s="501"/>
      <c r="CX2372" s="501"/>
      <c r="CY2372" s="501"/>
      <c r="CZ2372" s="501"/>
      <c r="DA2372" s="501"/>
      <c r="DB2372" s="501"/>
      <c r="DC2372" s="501"/>
      <c r="DD2372" s="501"/>
      <c r="DE2372" s="501"/>
      <c r="DF2372" s="501"/>
      <c r="DG2372" s="501"/>
      <c r="DH2372" s="501"/>
      <c r="DI2372" s="501"/>
      <c r="DJ2372" s="501"/>
      <c r="DK2372" s="501"/>
      <c r="DL2372" s="501"/>
      <c r="DM2372" s="501"/>
      <c r="DN2372" s="501"/>
      <c r="DO2372" s="501"/>
      <c r="DP2372" s="501"/>
      <c r="DQ2372" s="501"/>
      <c r="DR2372" s="501"/>
      <c r="DS2372" s="501"/>
      <c r="DT2372" s="501"/>
      <c r="DU2372" s="501"/>
      <c r="DV2372" s="501"/>
      <c r="DW2372" s="501"/>
      <c r="DX2372" s="501"/>
      <c r="DY2372" s="501"/>
      <c r="DZ2372" s="501"/>
      <c r="EA2372" s="501"/>
      <c r="EB2372" s="501"/>
      <c r="EC2372" s="501"/>
      <c r="ED2372" s="501"/>
      <c r="EE2372" s="501"/>
      <c r="EF2372" s="501"/>
      <c r="EG2372" s="501"/>
      <c r="EH2372" s="501"/>
      <c r="EI2372" s="501"/>
      <c r="EJ2372" s="501"/>
      <c r="EK2372" s="501"/>
      <c r="EL2372" s="501"/>
      <c r="EM2372" s="501"/>
      <c r="EN2372" s="501"/>
      <c r="EO2372" s="501"/>
      <c r="EP2372" s="501"/>
      <c r="EQ2372" s="501"/>
      <c r="ER2372" s="501"/>
      <c r="ES2372" s="501"/>
      <c r="ET2372" s="501"/>
      <c r="EU2372" s="501"/>
      <c r="EV2372" s="501"/>
      <c r="EW2372" s="501"/>
      <c r="EX2372" s="501"/>
      <c r="EY2372" s="501"/>
      <c r="EZ2372" s="501"/>
      <c r="FA2372" s="501"/>
      <c r="FB2372" s="501"/>
      <c r="FC2372" s="501"/>
      <c r="FD2372" s="501"/>
      <c r="FE2372" s="501"/>
      <c r="FF2372" s="501"/>
      <c r="FG2372" s="501"/>
      <c r="FH2372" s="501"/>
      <c r="FI2372" s="501"/>
      <c r="FJ2372" s="501"/>
      <c r="FK2372" s="501"/>
      <c r="FL2372" s="501"/>
      <c r="FM2372" s="501"/>
      <c r="FN2372" s="501"/>
      <c r="FO2372" s="501"/>
      <c r="FP2372" s="501"/>
      <c r="FQ2372" s="501"/>
      <c r="FR2372" s="501"/>
      <c r="FS2372" s="501"/>
      <c r="FT2372" s="501"/>
      <c r="FU2372" s="501"/>
      <c r="FV2372" s="501"/>
      <c r="FW2372" s="501"/>
      <c r="FX2372" s="501"/>
      <c r="FY2372" s="501"/>
      <c r="FZ2372" s="501"/>
      <c r="GA2372" s="501"/>
      <c r="GB2372" s="501"/>
      <c r="GC2372" s="501"/>
      <c r="GD2372" s="501"/>
      <c r="GE2372" s="501"/>
      <c r="GF2372" s="501"/>
      <c r="GG2372" s="501"/>
      <c r="GH2372" s="501"/>
      <c r="GI2372" s="501"/>
      <c r="GJ2372" s="501"/>
      <c r="GK2372" s="501"/>
      <c r="GL2372" s="501"/>
      <c r="GM2372" s="501"/>
      <c r="GN2372" s="501"/>
      <c r="GO2372" s="501"/>
      <c r="GP2372" s="501"/>
      <c r="GQ2372" s="501"/>
      <c r="GR2372" s="501"/>
      <c r="GS2372" s="501"/>
      <c r="GT2372" s="501"/>
      <c r="GU2372" s="501"/>
      <c r="GV2372" s="501"/>
      <c r="GW2372" s="501"/>
      <c r="GX2372" s="501"/>
      <c r="GY2372" s="501"/>
      <c r="GZ2372" s="501"/>
      <c r="HA2372" s="501"/>
      <c r="HB2372" s="501"/>
      <c r="HC2372" s="501"/>
      <c r="HD2372" s="501"/>
      <c r="HE2372" s="501"/>
      <c r="HF2372" s="501"/>
      <c r="HG2372" s="501"/>
      <c r="HH2372" s="501"/>
      <c r="HI2372" s="501"/>
      <c r="HJ2372" s="501"/>
      <c r="HK2372" s="501"/>
      <c r="HL2372" s="501"/>
      <c r="HM2372" s="501"/>
      <c r="HN2372" s="501"/>
      <c r="HO2372" s="501"/>
      <c r="HP2372" s="501"/>
      <c r="HQ2372" s="501"/>
      <c r="HR2372" s="501"/>
      <c r="HS2372" s="501"/>
      <c r="HT2372" s="501"/>
      <c r="HU2372" s="501"/>
      <c r="HV2372" s="501"/>
      <c r="HW2372" s="501"/>
      <c r="HX2372" s="501"/>
      <c r="HY2372" s="501"/>
      <c r="HZ2372" s="501"/>
      <c r="IA2372" s="501"/>
      <c r="IB2372" s="501"/>
      <c r="IC2372" s="501"/>
      <c r="ID2372" s="501"/>
      <c r="IE2372" s="501"/>
      <c r="IF2372" s="501"/>
      <c r="IG2372" s="501"/>
      <c r="IH2372" s="501"/>
      <c r="II2372" s="501"/>
      <c r="IJ2372" s="501"/>
      <c r="IK2372" s="501"/>
      <c r="IL2372" s="501"/>
      <c r="IM2372" s="501"/>
      <c r="IN2372" s="501"/>
      <c r="IO2372" s="501"/>
      <c r="IP2372" s="501"/>
      <c r="IQ2372" s="501"/>
      <c r="IR2372" s="501"/>
      <c r="IS2372" s="501"/>
      <c r="IT2372" s="501"/>
      <c r="IU2372" s="501"/>
    </row>
    <row r="2373" spans="1:255" s="877" customFormat="1" ht="24" customHeight="1">
      <c r="A2373" s="501"/>
      <c r="B2373" s="501"/>
      <c r="C2373" s="501"/>
      <c r="D2373" s="501"/>
      <c r="E2373" s="501"/>
      <c r="F2373" s="501"/>
      <c r="G2373" s="915"/>
      <c r="H2373" s="501"/>
      <c r="I2373" s="874"/>
      <c r="J2373" s="501"/>
      <c r="K2373" s="501"/>
      <c r="L2373" s="874"/>
      <c r="M2373" s="554"/>
      <c r="N2373" s="501"/>
      <c r="O2373" s="501"/>
      <c r="P2373" s="902"/>
      <c r="Q2373" s="1048"/>
      <c r="R2373" s="501"/>
      <c r="S2373" s="874"/>
      <c r="T2373" s="885"/>
      <c r="V2373" s="501"/>
      <c r="W2373" s="501"/>
      <c r="X2373" s="501"/>
      <c r="Y2373" s="501"/>
      <c r="Z2373" s="501"/>
      <c r="AA2373" s="501"/>
      <c r="AB2373" s="501"/>
      <c r="AC2373" s="501"/>
      <c r="AD2373" s="501"/>
      <c r="AE2373" s="501"/>
      <c r="AF2373" s="501"/>
      <c r="AG2373" s="501"/>
      <c r="AH2373" s="501"/>
      <c r="AI2373" s="501"/>
      <c r="AJ2373" s="501"/>
      <c r="AK2373" s="501"/>
      <c r="AL2373" s="501"/>
      <c r="AM2373" s="501"/>
      <c r="AN2373" s="501"/>
      <c r="AO2373" s="501"/>
      <c r="AP2373" s="501"/>
      <c r="AQ2373" s="501"/>
      <c r="AR2373" s="501"/>
      <c r="AS2373" s="501"/>
      <c r="AT2373" s="501"/>
      <c r="AU2373" s="501"/>
      <c r="AV2373" s="501"/>
      <c r="AW2373" s="501"/>
      <c r="AX2373" s="501"/>
      <c r="AY2373" s="501"/>
      <c r="AZ2373" s="501"/>
      <c r="BA2373" s="501"/>
      <c r="BB2373" s="501"/>
      <c r="BC2373" s="501"/>
      <c r="BD2373" s="501"/>
      <c r="BE2373" s="501"/>
      <c r="BF2373" s="501"/>
      <c r="BG2373" s="501"/>
      <c r="BH2373" s="501"/>
      <c r="BI2373" s="501"/>
      <c r="BJ2373" s="501"/>
      <c r="BK2373" s="501"/>
      <c r="BL2373" s="501"/>
      <c r="BM2373" s="501"/>
      <c r="BN2373" s="501"/>
      <c r="BO2373" s="501"/>
      <c r="BP2373" s="501"/>
      <c r="BQ2373" s="501"/>
      <c r="BR2373" s="501"/>
      <c r="BS2373" s="501"/>
      <c r="BT2373" s="501"/>
      <c r="BU2373" s="501"/>
      <c r="BV2373" s="501"/>
      <c r="BW2373" s="501"/>
      <c r="BX2373" s="501"/>
      <c r="BY2373" s="501"/>
      <c r="BZ2373" s="501"/>
      <c r="CA2373" s="501"/>
      <c r="CB2373" s="501"/>
      <c r="CC2373" s="501"/>
      <c r="CD2373" s="501"/>
      <c r="CE2373" s="501"/>
      <c r="CF2373" s="501"/>
      <c r="CG2373" s="501"/>
      <c r="CH2373" s="501"/>
      <c r="CI2373" s="501"/>
      <c r="CJ2373" s="501"/>
      <c r="CK2373" s="501"/>
      <c r="CL2373" s="501"/>
      <c r="CM2373" s="501"/>
      <c r="CN2373" s="501"/>
      <c r="CO2373" s="501"/>
      <c r="CP2373" s="501"/>
      <c r="CQ2373" s="501"/>
      <c r="CR2373" s="501"/>
      <c r="CS2373" s="501"/>
      <c r="CT2373" s="501"/>
      <c r="CU2373" s="501"/>
      <c r="CV2373" s="501"/>
      <c r="CW2373" s="501"/>
      <c r="CX2373" s="501"/>
      <c r="CY2373" s="501"/>
      <c r="CZ2373" s="501"/>
      <c r="DA2373" s="501"/>
      <c r="DB2373" s="501"/>
      <c r="DC2373" s="501"/>
      <c r="DD2373" s="501"/>
      <c r="DE2373" s="501"/>
      <c r="DF2373" s="501"/>
      <c r="DG2373" s="501"/>
      <c r="DH2373" s="501"/>
      <c r="DI2373" s="501"/>
      <c r="DJ2373" s="501"/>
      <c r="DK2373" s="501"/>
      <c r="DL2373" s="501"/>
      <c r="DM2373" s="501"/>
      <c r="DN2373" s="501"/>
      <c r="DO2373" s="501"/>
      <c r="DP2373" s="501"/>
      <c r="DQ2373" s="501"/>
      <c r="DR2373" s="501"/>
      <c r="DS2373" s="501"/>
      <c r="DT2373" s="501"/>
      <c r="DU2373" s="501"/>
      <c r="DV2373" s="501"/>
      <c r="DW2373" s="501"/>
      <c r="DX2373" s="501"/>
      <c r="DY2373" s="501"/>
      <c r="DZ2373" s="501"/>
      <c r="EA2373" s="501"/>
      <c r="EB2373" s="501"/>
      <c r="EC2373" s="501"/>
      <c r="ED2373" s="501"/>
      <c r="EE2373" s="501"/>
      <c r="EF2373" s="501"/>
      <c r="EG2373" s="501"/>
      <c r="EH2373" s="501"/>
      <c r="EI2373" s="501"/>
      <c r="EJ2373" s="501"/>
      <c r="EK2373" s="501"/>
      <c r="EL2373" s="501"/>
      <c r="EM2373" s="501"/>
      <c r="EN2373" s="501"/>
      <c r="EO2373" s="501"/>
      <c r="EP2373" s="501"/>
      <c r="EQ2373" s="501"/>
      <c r="ER2373" s="501"/>
      <c r="ES2373" s="501"/>
      <c r="ET2373" s="501"/>
      <c r="EU2373" s="501"/>
      <c r="EV2373" s="501"/>
      <c r="EW2373" s="501"/>
      <c r="EX2373" s="501"/>
      <c r="EY2373" s="501"/>
      <c r="EZ2373" s="501"/>
      <c r="FA2373" s="501"/>
      <c r="FB2373" s="501"/>
      <c r="FC2373" s="501"/>
      <c r="FD2373" s="501"/>
      <c r="FE2373" s="501"/>
      <c r="FF2373" s="501"/>
      <c r="FG2373" s="501"/>
      <c r="FH2373" s="501"/>
      <c r="FI2373" s="501"/>
      <c r="FJ2373" s="501"/>
      <c r="FK2373" s="501"/>
      <c r="FL2373" s="501"/>
      <c r="FM2373" s="501"/>
      <c r="FN2373" s="501"/>
      <c r="FO2373" s="501"/>
      <c r="FP2373" s="501"/>
      <c r="FQ2373" s="501"/>
      <c r="FR2373" s="501"/>
      <c r="FS2373" s="501"/>
      <c r="FT2373" s="501"/>
      <c r="FU2373" s="501"/>
      <c r="FV2373" s="501"/>
      <c r="FW2373" s="501"/>
      <c r="FX2373" s="501"/>
      <c r="FY2373" s="501"/>
      <c r="FZ2373" s="501"/>
      <c r="GA2373" s="501"/>
      <c r="GB2373" s="501"/>
      <c r="GC2373" s="501"/>
      <c r="GD2373" s="501"/>
      <c r="GE2373" s="501"/>
      <c r="GF2373" s="501"/>
      <c r="GG2373" s="501"/>
      <c r="GH2373" s="501"/>
      <c r="GI2373" s="501"/>
      <c r="GJ2373" s="501"/>
      <c r="GK2373" s="501"/>
      <c r="GL2373" s="501"/>
      <c r="GM2373" s="501"/>
      <c r="GN2373" s="501"/>
      <c r="GO2373" s="501"/>
      <c r="GP2373" s="501"/>
      <c r="GQ2373" s="501"/>
      <c r="GR2373" s="501"/>
      <c r="GS2373" s="501"/>
      <c r="GT2373" s="501"/>
      <c r="GU2373" s="501"/>
      <c r="GV2373" s="501"/>
      <c r="GW2373" s="501"/>
      <c r="GX2373" s="501"/>
      <c r="GY2373" s="501"/>
      <c r="GZ2373" s="501"/>
      <c r="HA2373" s="501"/>
      <c r="HB2373" s="501"/>
      <c r="HC2373" s="501"/>
      <c r="HD2373" s="501"/>
      <c r="HE2373" s="501"/>
      <c r="HF2373" s="501"/>
      <c r="HG2373" s="501"/>
      <c r="HH2373" s="501"/>
      <c r="HI2373" s="501"/>
      <c r="HJ2373" s="501"/>
      <c r="HK2373" s="501"/>
      <c r="HL2373" s="501"/>
      <c r="HM2373" s="501"/>
      <c r="HN2373" s="501"/>
      <c r="HO2373" s="501"/>
      <c r="HP2373" s="501"/>
      <c r="HQ2373" s="501"/>
      <c r="HR2373" s="501"/>
      <c r="HS2373" s="501"/>
      <c r="HT2373" s="501"/>
      <c r="HU2373" s="501"/>
      <c r="HV2373" s="501"/>
      <c r="HW2373" s="501"/>
      <c r="HX2373" s="501"/>
      <c r="HY2373" s="501"/>
      <c r="HZ2373" s="501"/>
      <c r="IA2373" s="501"/>
      <c r="IB2373" s="501"/>
      <c r="IC2373" s="501"/>
      <c r="ID2373" s="501"/>
      <c r="IE2373" s="501"/>
      <c r="IF2373" s="501"/>
      <c r="IG2373" s="501"/>
      <c r="IH2373" s="501"/>
      <c r="II2373" s="501"/>
      <c r="IJ2373" s="501"/>
      <c r="IK2373" s="501"/>
      <c r="IL2373" s="501"/>
      <c r="IM2373" s="501"/>
      <c r="IN2373" s="501"/>
      <c r="IO2373" s="501"/>
      <c r="IP2373" s="501"/>
      <c r="IQ2373" s="501"/>
      <c r="IR2373" s="501"/>
      <c r="IS2373" s="501"/>
      <c r="IT2373" s="501"/>
      <c r="IU2373" s="501"/>
    </row>
    <row r="2374" spans="1:255" s="877" customFormat="1" ht="24" customHeight="1">
      <c r="A2374" s="501"/>
      <c r="B2374" s="501"/>
      <c r="C2374" s="501"/>
      <c r="D2374" s="501"/>
      <c r="E2374" s="501"/>
      <c r="F2374" s="501"/>
      <c r="G2374" s="915"/>
      <c r="H2374" s="501"/>
      <c r="I2374" s="874"/>
      <c r="J2374" s="501"/>
      <c r="K2374" s="501"/>
      <c r="L2374" s="874"/>
      <c r="M2374" s="554"/>
      <c r="N2374" s="501"/>
      <c r="O2374" s="501"/>
      <c r="P2374" s="902"/>
      <c r="Q2374" s="501"/>
      <c r="R2374" s="501"/>
      <c r="S2374" s="874"/>
      <c r="T2374" s="903"/>
      <c r="V2374" s="501"/>
      <c r="W2374" s="501"/>
      <c r="X2374" s="501"/>
      <c r="Y2374" s="501"/>
      <c r="Z2374" s="501"/>
      <c r="AA2374" s="501"/>
      <c r="AB2374" s="501"/>
      <c r="AC2374" s="501"/>
      <c r="AD2374" s="501"/>
      <c r="AE2374" s="501"/>
      <c r="AF2374" s="501"/>
      <c r="AG2374" s="501"/>
      <c r="AH2374" s="501"/>
      <c r="AI2374" s="501"/>
      <c r="AJ2374" s="501"/>
      <c r="AK2374" s="501"/>
      <c r="AL2374" s="501"/>
      <c r="AM2374" s="501"/>
      <c r="AN2374" s="501"/>
      <c r="AO2374" s="501"/>
      <c r="AP2374" s="501"/>
      <c r="AQ2374" s="501"/>
      <c r="AR2374" s="501"/>
      <c r="AS2374" s="501"/>
      <c r="AT2374" s="501"/>
      <c r="AU2374" s="501"/>
      <c r="AV2374" s="501"/>
      <c r="AW2374" s="501"/>
      <c r="AX2374" s="501"/>
      <c r="AY2374" s="501"/>
      <c r="AZ2374" s="501"/>
      <c r="BA2374" s="501"/>
      <c r="BB2374" s="501"/>
      <c r="BC2374" s="501"/>
      <c r="BD2374" s="501"/>
      <c r="BE2374" s="501"/>
      <c r="BF2374" s="501"/>
      <c r="BG2374" s="501"/>
      <c r="BH2374" s="501"/>
      <c r="BI2374" s="501"/>
      <c r="BJ2374" s="501"/>
      <c r="BK2374" s="501"/>
      <c r="BL2374" s="501"/>
      <c r="BM2374" s="501"/>
      <c r="BN2374" s="501"/>
      <c r="BO2374" s="501"/>
      <c r="BP2374" s="501"/>
      <c r="BQ2374" s="501"/>
      <c r="BR2374" s="501"/>
      <c r="BS2374" s="501"/>
      <c r="BT2374" s="501"/>
      <c r="BU2374" s="501"/>
      <c r="BV2374" s="501"/>
      <c r="BW2374" s="501"/>
      <c r="BX2374" s="501"/>
      <c r="BY2374" s="501"/>
      <c r="BZ2374" s="501"/>
      <c r="CA2374" s="501"/>
      <c r="CB2374" s="501"/>
      <c r="CC2374" s="501"/>
      <c r="CD2374" s="501"/>
      <c r="CE2374" s="501"/>
      <c r="CF2374" s="501"/>
      <c r="CG2374" s="501"/>
      <c r="CH2374" s="501"/>
      <c r="CI2374" s="501"/>
      <c r="CJ2374" s="501"/>
      <c r="CK2374" s="501"/>
      <c r="CL2374" s="501"/>
      <c r="CM2374" s="501"/>
      <c r="CN2374" s="501"/>
      <c r="CO2374" s="501"/>
      <c r="CP2374" s="501"/>
      <c r="CQ2374" s="501"/>
      <c r="CR2374" s="501"/>
      <c r="CS2374" s="501"/>
      <c r="CT2374" s="501"/>
      <c r="CU2374" s="501"/>
      <c r="CV2374" s="501"/>
      <c r="CW2374" s="501"/>
      <c r="CX2374" s="501"/>
      <c r="CY2374" s="501"/>
      <c r="CZ2374" s="501"/>
      <c r="DA2374" s="501"/>
      <c r="DB2374" s="501"/>
      <c r="DC2374" s="501"/>
      <c r="DD2374" s="501"/>
      <c r="DE2374" s="501"/>
      <c r="DF2374" s="501"/>
      <c r="DG2374" s="501"/>
      <c r="DH2374" s="501"/>
      <c r="DI2374" s="501"/>
      <c r="DJ2374" s="501"/>
      <c r="DK2374" s="501"/>
      <c r="DL2374" s="501"/>
      <c r="DM2374" s="501"/>
      <c r="DN2374" s="501"/>
      <c r="DO2374" s="501"/>
      <c r="DP2374" s="501"/>
      <c r="DQ2374" s="501"/>
      <c r="DR2374" s="501"/>
      <c r="DS2374" s="501"/>
      <c r="DT2374" s="501"/>
      <c r="DU2374" s="501"/>
      <c r="DV2374" s="501"/>
      <c r="DW2374" s="501"/>
      <c r="DX2374" s="501"/>
      <c r="DY2374" s="501"/>
      <c r="DZ2374" s="501"/>
      <c r="EA2374" s="501"/>
      <c r="EB2374" s="501"/>
      <c r="EC2374" s="501"/>
      <c r="ED2374" s="501"/>
      <c r="EE2374" s="501"/>
      <c r="EF2374" s="501"/>
      <c r="EG2374" s="501"/>
      <c r="EH2374" s="501"/>
      <c r="EI2374" s="501"/>
      <c r="EJ2374" s="501"/>
      <c r="EK2374" s="501"/>
      <c r="EL2374" s="501"/>
      <c r="EM2374" s="501"/>
      <c r="EN2374" s="501"/>
      <c r="EO2374" s="501"/>
      <c r="EP2374" s="501"/>
      <c r="EQ2374" s="501"/>
      <c r="ER2374" s="501"/>
      <c r="ES2374" s="501"/>
      <c r="ET2374" s="501"/>
      <c r="EU2374" s="501"/>
      <c r="EV2374" s="501"/>
      <c r="EW2374" s="501"/>
      <c r="EX2374" s="501"/>
      <c r="EY2374" s="501"/>
      <c r="EZ2374" s="501"/>
      <c r="FA2374" s="501"/>
      <c r="FB2374" s="501"/>
      <c r="FC2374" s="501"/>
      <c r="FD2374" s="501"/>
      <c r="FE2374" s="501"/>
      <c r="FF2374" s="501"/>
      <c r="FG2374" s="501"/>
      <c r="FH2374" s="501"/>
      <c r="FI2374" s="501"/>
      <c r="FJ2374" s="501"/>
      <c r="FK2374" s="501"/>
      <c r="FL2374" s="501"/>
      <c r="FM2374" s="501"/>
      <c r="FN2374" s="501"/>
      <c r="FO2374" s="501"/>
      <c r="FP2374" s="501"/>
      <c r="FQ2374" s="501"/>
      <c r="FR2374" s="501"/>
      <c r="FS2374" s="501"/>
      <c r="FT2374" s="501"/>
      <c r="FU2374" s="501"/>
      <c r="FV2374" s="501"/>
      <c r="FW2374" s="501"/>
      <c r="FX2374" s="501"/>
      <c r="FY2374" s="501"/>
      <c r="FZ2374" s="501"/>
      <c r="GA2374" s="501"/>
      <c r="GB2374" s="501"/>
      <c r="GC2374" s="501"/>
      <c r="GD2374" s="501"/>
      <c r="GE2374" s="501"/>
      <c r="GF2374" s="501"/>
      <c r="GG2374" s="501"/>
      <c r="GH2374" s="501"/>
      <c r="GI2374" s="501"/>
      <c r="GJ2374" s="501"/>
      <c r="GK2374" s="501"/>
      <c r="GL2374" s="501"/>
      <c r="GM2374" s="501"/>
      <c r="GN2374" s="501"/>
      <c r="GO2374" s="501"/>
      <c r="GP2374" s="501"/>
      <c r="GQ2374" s="501"/>
      <c r="GR2374" s="501"/>
      <c r="GS2374" s="501"/>
      <c r="GT2374" s="501"/>
      <c r="GU2374" s="501"/>
      <c r="GV2374" s="501"/>
      <c r="GW2374" s="501"/>
      <c r="GX2374" s="501"/>
      <c r="GY2374" s="501"/>
      <c r="GZ2374" s="501"/>
      <c r="HA2374" s="501"/>
      <c r="HB2374" s="501"/>
      <c r="HC2374" s="501"/>
      <c r="HD2374" s="501"/>
      <c r="HE2374" s="501"/>
      <c r="HF2374" s="501"/>
      <c r="HG2374" s="501"/>
      <c r="HH2374" s="501"/>
      <c r="HI2374" s="501"/>
      <c r="HJ2374" s="501"/>
      <c r="HK2374" s="501"/>
      <c r="HL2374" s="501"/>
      <c r="HM2374" s="501"/>
      <c r="HN2374" s="501"/>
      <c r="HO2374" s="501"/>
      <c r="HP2374" s="501"/>
      <c r="HQ2374" s="501"/>
      <c r="HR2374" s="501"/>
      <c r="HS2374" s="501"/>
      <c r="HT2374" s="501"/>
      <c r="HU2374" s="501"/>
      <c r="HV2374" s="501"/>
      <c r="HW2374" s="501"/>
      <c r="HX2374" s="501"/>
      <c r="HY2374" s="501"/>
      <c r="HZ2374" s="501"/>
      <c r="IA2374" s="501"/>
      <c r="IB2374" s="501"/>
      <c r="IC2374" s="501"/>
      <c r="ID2374" s="501"/>
      <c r="IE2374" s="501"/>
      <c r="IF2374" s="501"/>
      <c r="IG2374" s="501"/>
      <c r="IH2374" s="501"/>
      <c r="II2374" s="501"/>
      <c r="IJ2374" s="501"/>
      <c r="IK2374" s="501"/>
      <c r="IL2374" s="501"/>
      <c r="IM2374" s="501"/>
      <c r="IN2374" s="501"/>
      <c r="IO2374" s="501"/>
      <c r="IP2374" s="501"/>
      <c r="IQ2374" s="501"/>
      <c r="IR2374" s="501"/>
      <c r="IS2374" s="501"/>
      <c r="IT2374" s="501"/>
      <c r="IU2374" s="501"/>
    </row>
    <row r="2375" spans="1:255" s="877" customFormat="1" ht="24" customHeight="1">
      <c r="A2375" s="501"/>
      <c r="B2375" s="501"/>
      <c r="C2375" s="501"/>
      <c r="D2375" s="501"/>
      <c r="E2375" s="501"/>
      <c r="F2375" s="501"/>
      <c r="G2375" s="915"/>
      <c r="H2375" s="501"/>
      <c r="I2375" s="874"/>
      <c r="J2375" s="501"/>
      <c r="K2375" s="501"/>
      <c r="L2375" s="874"/>
      <c r="M2375" s="554"/>
      <c r="N2375" s="501"/>
      <c r="O2375" s="501"/>
      <c r="P2375" s="902"/>
      <c r="Q2375" s="1048"/>
      <c r="R2375" s="501"/>
      <c r="S2375" s="874"/>
      <c r="T2375" s="885"/>
      <c r="V2375" s="501"/>
      <c r="W2375" s="501"/>
      <c r="X2375" s="501"/>
      <c r="Y2375" s="501"/>
      <c r="Z2375" s="501"/>
      <c r="AA2375" s="501"/>
      <c r="AB2375" s="501"/>
      <c r="AC2375" s="501"/>
      <c r="AD2375" s="501"/>
      <c r="AE2375" s="501"/>
      <c r="AF2375" s="501"/>
      <c r="AG2375" s="501"/>
      <c r="AH2375" s="501"/>
      <c r="AI2375" s="501"/>
      <c r="AJ2375" s="501"/>
      <c r="AK2375" s="501"/>
      <c r="AL2375" s="501"/>
      <c r="AM2375" s="501"/>
      <c r="AN2375" s="501"/>
      <c r="AO2375" s="501"/>
      <c r="AP2375" s="501"/>
      <c r="AQ2375" s="501"/>
      <c r="AR2375" s="501"/>
      <c r="AS2375" s="501"/>
      <c r="AT2375" s="501"/>
      <c r="AU2375" s="501"/>
      <c r="AV2375" s="501"/>
      <c r="AW2375" s="501"/>
      <c r="AX2375" s="501"/>
      <c r="AY2375" s="501"/>
      <c r="AZ2375" s="501"/>
      <c r="BA2375" s="501"/>
      <c r="BB2375" s="501"/>
      <c r="BC2375" s="501"/>
      <c r="BD2375" s="501"/>
      <c r="BE2375" s="501"/>
      <c r="BF2375" s="501"/>
      <c r="BG2375" s="501"/>
      <c r="BH2375" s="501"/>
      <c r="BI2375" s="501"/>
      <c r="BJ2375" s="501"/>
      <c r="BK2375" s="501"/>
      <c r="BL2375" s="501"/>
      <c r="BM2375" s="501"/>
      <c r="BN2375" s="501"/>
      <c r="BO2375" s="501"/>
      <c r="BP2375" s="501"/>
      <c r="BQ2375" s="501"/>
      <c r="BR2375" s="501"/>
      <c r="BS2375" s="501"/>
      <c r="BT2375" s="501"/>
      <c r="BU2375" s="501"/>
      <c r="BV2375" s="501"/>
      <c r="BW2375" s="501"/>
      <c r="BX2375" s="501"/>
      <c r="BY2375" s="501"/>
      <c r="BZ2375" s="501"/>
      <c r="CA2375" s="501"/>
      <c r="CB2375" s="501"/>
      <c r="CC2375" s="501"/>
      <c r="CD2375" s="501"/>
      <c r="CE2375" s="501"/>
      <c r="CF2375" s="501"/>
      <c r="CG2375" s="501"/>
      <c r="CH2375" s="501"/>
      <c r="CI2375" s="501"/>
      <c r="CJ2375" s="501"/>
      <c r="CK2375" s="501"/>
      <c r="CL2375" s="501"/>
      <c r="CM2375" s="501"/>
      <c r="CN2375" s="501"/>
      <c r="CO2375" s="501"/>
      <c r="CP2375" s="501"/>
      <c r="CQ2375" s="501"/>
      <c r="CR2375" s="501"/>
      <c r="CS2375" s="501"/>
      <c r="CT2375" s="501"/>
      <c r="CU2375" s="501"/>
      <c r="CV2375" s="501"/>
      <c r="CW2375" s="501"/>
      <c r="CX2375" s="501"/>
      <c r="CY2375" s="501"/>
      <c r="CZ2375" s="501"/>
      <c r="DA2375" s="501"/>
      <c r="DB2375" s="501"/>
      <c r="DC2375" s="501"/>
      <c r="DD2375" s="501"/>
      <c r="DE2375" s="501"/>
      <c r="DF2375" s="501"/>
      <c r="DG2375" s="501"/>
      <c r="DH2375" s="501"/>
      <c r="DI2375" s="501"/>
      <c r="DJ2375" s="501"/>
      <c r="DK2375" s="501"/>
      <c r="DL2375" s="501"/>
      <c r="DM2375" s="501"/>
      <c r="DN2375" s="501"/>
      <c r="DO2375" s="501"/>
      <c r="DP2375" s="501"/>
      <c r="DQ2375" s="501"/>
      <c r="DR2375" s="501"/>
      <c r="DS2375" s="501"/>
      <c r="DT2375" s="501"/>
      <c r="DU2375" s="501"/>
      <c r="DV2375" s="501"/>
      <c r="DW2375" s="501"/>
      <c r="DX2375" s="501"/>
      <c r="DY2375" s="501"/>
      <c r="DZ2375" s="501"/>
      <c r="EA2375" s="501"/>
      <c r="EB2375" s="501"/>
      <c r="EC2375" s="501"/>
      <c r="ED2375" s="501"/>
      <c r="EE2375" s="501"/>
      <c r="EF2375" s="501"/>
      <c r="EG2375" s="501"/>
      <c r="EH2375" s="501"/>
      <c r="EI2375" s="501"/>
      <c r="EJ2375" s="501"/>
      <c r="EK2375" s="501"/>
      <c r="EL2375" s="501"/>
      <c r="EM2375" s="501"/>
      <c r="EN2375" s="501"/>
      <c r="EO2375" s="501"/>
      <c r="EP2375" s="501"/>
      <c r="EQ2375" s="501"/>
      <c r="ER2375" s="501"/>
      <c r="ES2375" s="501"/>
      <c r="ET2375" s="501"/>
      <c r="EU2375" s="501"/>
      <c r="EV2375" s="501"/>
      <c r="EW2375" s="501"/>
      <c r="EX2375" s="501"/>
      <c r="EY2375" s="501"/>
      <c r="EZ2375" s="501"/>
      <c r="FA2375" s="501"/>
      <c r="FB2375" s="501"/>
      <c r="FC2375" s="501"/>
      <c r="FD2375" s="501"/>
      <c r="FE2375" s="501"/>
      <c r="FF2375" s="501"/>
      <c r="FG2375" s="501"/>
      <c r="FH2375" s="501"/>
      <c r="FI2375" s="501"/>
      <c r="FJ2375" s="501"/>
      <c r="FK2375" s="501"/>
      <c r="FL2375" s="501"/>
      <c r="FM2375" s="501"/>
      <c r="FN2375" s="501"/>
      <c r="FO2375" s="501"/>
      <c r="FP2375" s="501"/>
      <c r="FQ2375" s="501"/>
      <c r="FR2375" s="501"/>
      <c r="FS2375" s="501"/>
      <c r="FT2375" s="501"/>
      <c r="FU2375" s="501"/>
      <c r="FV2375" s="501"/>
      <c r="FW2375" s="501"/>
      <c r="FX2375" s="501"/>
      <c r="FY2375" s="501"/>
      <c r="FZ2375" s="501"/>
      <c r="GA2375" s="501"/>
      <c r="GB2375" s="501"/>
      <c r="GC2375" s="501"/>
      <c r="GD2375" s="501"/>
      <c r="GE2375" s="501"/>
      <c r="GF2375" s="501"/>
      <c r="GG2375" s="501"/>
      <c r="GH2375" s="501"/>
      <c r="GI2375" s="501"/>
      <c r="GJ2375" s="501"/>
      <c r="GK2375" s="501"/>
      <c r="GL2375" s="501"/>
      <c r="GM2375" s="501"/>
      <c r="GN2375" s="501"/>
      <c r="GO2375" s="501"/>
      <c r="GP2375" s="501"/>
      <c r="GQ2375" s="501"/>
      <c r="GR2375" s="501"/>
      <c r="GS2375" s="501"/>
      <c r="GT2375" s="501"/>
      <c r="GU2375" s="501"/>
      <c r="GV2375" s="501"/>
      <c r="GW2375" s="501"/>
      <c r="GX2375" s="501"/>
      <c r="GY2375" s="501"/>
      <c r="GZ2375" s="501"/>
      <c r="HA2375" s="501"/>
      <c r="HB2375" s="501"/>
      <c r="HC2375" s="501"/>
      <c r="HD2375" s="501"/>
      <c r="HE2375" s="501"/>
      <c r="HF2375" s="501"/>
      <c r="HG2375" s="501"/>
      <c r="HH2375" s="501"/>
      <c r="HI2375" s="501"/>
      <c r="HJ2375" s="501"/>
      <c r="HK2375" s="501"/>
      <c r="HL2375" s="501"/>
      <c r="HM2375" s="501"/>
      <c r="HN2375" s="501"/>
      <c r="HO2375" s="501"/>
      <c r="HP2375" s="501"/>
      <c r="HQ2375" s="501"/>
      <c r="HR2375" s="501"/>
      <c r="HS2375" s="501"/>
      <c r="HT2375" s="501"/>
      <c r="HU2375" s="501"/>
      <c r="HV2375" s="501"/>
      <c r="HW2375" s="501"/>
      <c r="HX2375" s="501"/>
      <c r="HY2375" s="501"/>
      <c r="HZ2375" s="501"/>
      <c r="IA2375" s="501"/>
      <c r="IB2375" s="501"/>
      <c r="IC2375" s="501"/>
      <c r="ID2375" s="501"/>
      <c r="IE2375" s="501"/>
      <c r="IF2375" s="501"/>
      <c r="IG2375" s="501"/>
      <c r="IH2375" s="501"/>
      <c r="II2375" s="501"/>
      <c r="IJ2375" s="501"/>
      <c r="IK2375" s="501"/>
      <c r="IL2375" s="501"/>
      <c r="IM2375" s="501"/>
      <c r="IN2375" s="501"/>
      <c r="IO2375" s="501"/>
      <c r="IP2375" s="501"/>
      <c r="IQ2375" s="501"/>
      <c r="IR2375" s="501"/>
      <c r="IS2375" s="501"/>
      <c r="IT2375" s="501"/>
      <c r="IU2375" s="501"/>
    </row>
    <row r="2376" spans="1:255" s="877" customFormat="1" ht="24" customHeight="1">
      <c r="A2376" s="501"/>
      <c r="B2376" s="501"/>
      <c r="C2376" s="501"/>
      <c r="D2376" s="501"/>
      <c r="E2376" s="501"/>
      <c r="F2376" s="501"/>
      <c r="G2376" s="915"/>
      <c r="H2376" s="501"/>
      <c r="I2376" s="874"/>
      <c r="J2376" s="501"/>
      <c r="K2376" s="501"/>
      <c r="L2376" s="874"/>
      <c r="M2376" s="554"/>
      <c r="N2376" s="501"/>
      <c r="O2376" s="501"/>
      <c r="P2376" s="902"/>
      <c r="Q2376" s="501"/>
      <c r="R2376" s="501"/>
      <c r="S2376" s="874"/>
      <c r="T2376" s="903"/>
      <c r="V2376" s="501"/>
      <c r="W2376" s="501"/>
      <c r="X2376" s="501"/>
      <c r="Y2376" s="501"/>
      <c r="Z2376" s="501"/>
      <c r="AA2376" s="501"/>
      <c r="AB2376" s="501"/>
      <c r="AC2376" s="501"/>
      <c r="AD2376" s="501"/>
      <c r="AE2376" s="501"/>
      <c r="AF2376" s="501"/>
      <c r="AG2376" s="501"/>
      <c r="AH2376" s="501"/>
      <c r="AI2376" s="501"/>
      <c r="AJ2376" s="501"/>
      <c r="AK2376" s="501"/>
      <c r="AL2376" s="501"/>
      <c r="AM2376" s="501"/>
      <c r="AN2376" s="501"/>
      <c r="AO2376" s="501"/>
      <c r="AP2376" s="501"/>
      <c r="AQ2376" s="501"/>
      <c r="AR2376" s="501"/>
      <c r="AS2376" s="501"/>
      <c r="AT2376" s="501"/>
      <c r="AU2376" s="501"/>
      <c r="AV2376" s="501"/>
      <c r="AW2376" s="501"/>
      <c r="AX2376" s="501"/>
      <c r="AY2376" s="501"/>
      <c r="AZ2376" s="501"/>
      <c r="BA2376" s="501"/>
      <c r="BB2376" s="501"/>
      <c r="BC2376" s="501"/>
      <c r="BD2376" s="501"/>
      <c r="BE2376" s="501"/>
      <c r="BF2376" s="501"/>
      <c r="BG2376" s="501"/>
      <c r="BH2376" s="501"/>
      <c r="BI2376" s="501"/>
      <c r="BJ2376" s="501"/>
      <c r="BK2376" s="501"/>
      <c r="BL2376" s="501"/>
      <c r="BM2376" s="501"/>
      <c r="BN2376" s="501"/>
      <c r="BO2376" s="501"/>
      <c r="BP2376" s="501"/>
      <c r="BQ2376" s="501"/>
      <c r="BR2376" s="501"/>
      <c r="BS2376" s="501"/>
      <c r="BT2376" s="501"/>
      <c r="BU2376" s="501"/>
      <c r="BV2376" s="501"/>
      <c r="BW2376" s="501"/>
      <c r="BX2376" s="501"/>
      <c r="BY2376" s="501"/>
      <c r="BZ2376" s="501"/>
      <c r="CA2376" s="501"/>
      <c r="CB2376" s="501"/>
      <c r="CC2376" s="501"/>
      <c r="CD2376" s="501"/>
      <c r="CE2376" s="501"/>
      <c r="CF2376" s="501"/>
      <c r="CG2376" s="501"/>
      <c r="CH2376" s="501"/>
      <c r="CI2376" s="501"/>
      <c r="CJ2376" s="501"/>
      <c r="CK2376" s="501"/>
      <c r="CL2376" s="501"/>
      <c r="CM2376" s="501"/>
      <c r="CN2376" s="501"/>
      <c r="CO2376" s="501"/>
      <c r="CP2376" s="501"/>
      <c r="CQ2376" s="501"/>
      <c r="CR2376" s="501"/>
      <c r="CS2376" s="501"/>
      <c r="CT2376" s="501"/>
      <c r="CU2376" s="501"/>
      <c r="CV2376" s="501"/>
      <c r="CW2376" s="501"/>
      <c r="CX2376" s="501"/>
      <c r="CY2376" s="501"/>
      <c r="CZ2376" s="501"/>
      <c r="DA2376" s="501"/>
      <c r="DB2376" s="501"/>
      <c r="DC2376" s="501"/>
      <c r="DD2376" s="501"/>
      <c r="DE2376" s="501"/>
      <c r="DF2376" s="501"/>
      <c r="DG2376" s="501"/>
      <c r="DH2376" s="501"/>
      <c r="DI2376" s="501"/>
      <c r="DJ2376" s="501"/>
      <c r="DK2376" s="501"/>
      <c r="DL2376" s="501"/>
      <c r="DM2376" s="501"/>
      <c r="DN2376" s="501"/>
      <c r="DO2376" s="501"/>
      <c r="DP2376" s="501"/>
      <c r="DQ2376" s="501"/>
      <c r="DR2376" s="501"/>
      <c r="DS2376" s="501"/>
      <c r="DT2376" s="501"/>
      <c r="DU2376" s="501"/>
      <c r="DV2376" s="501"/>
      <c r="DW2376" s="501"/>
      <c r="DX2376" s="501"/>
      <c r="DY2376" s="501"/>
      <c r="DZ2376" s="501"/>
      <c r="EA2376" s="501"/>
      <c r="EB2376" s="501"/>
      <c r="EC2376" s="501"/>
      <c r="ED2376" s="501"/>
      <c r="EE2376" s="501"/>
      <c r="EF2376" s="501"/>
      <c r="EG2376" s="501"/>
      <c r="EH2376" s="501"/>
      <c r="EI2376" s="501"/>
      <c r="EJ2376" s="501"/>
      <c r="EK2376" s="501"/>
      <c r="EL2376" s="501"/>
      <c r="EM2376" s="501"/>
      <c r="EN2376" s="501"/>
      <c r="EO2376" s="501"/>
      <c r="EP2376" s="501"/>
      <c r="EQ2376" s="501"/>
      <c r="ER2376" s="501"/>
      <c r="ES2376" s="501"/>
      <c r="ET2376" s="501"/>
      <c r="EU2376" s="501"/>
      <c r="EV2376" s="501"/>
      <c r="EW2376" s="501"/>
      <c r="EX2376" s="501"/>
      <c r="EY2376" s="501"/>
      <c r="EZ2376" s="501"/>
      <c r="FA2376" s="501"/>
      <c r="FB2376" s="501"/>
      <c r="FC2376" s="501"/>
      <c r="FD2376" s="501"/>
      <c r="FE2376" s="501"/>
      <c r="FF2376" s="501"/>
      <c r="FG2376" s="501"/>
      <c r="FH2376" s="501"/>
      <c r="FI2376" s="501"/>
      <c r="FJ2376" s="501"/>
      <c r="FK2376" s="501"/>
      <c r="FL2376" s="501"/>
      <c r="FM2376" s="501"/>
      <c r="FN2376" s="501"/>
      <c r="FO2376" s="501"/>
      <c r="FP2376" s="501"/>
      <c r="FQ2376" s="501"/>
      <c r="FR2376" s="501"/>
      <c r="FS2376" s="501"/>
      <c r="FT2376" s="501"/>
      <c r="FU2376" s="501"/>
      <c r="FV2376" s="501"/>
      <c r="FW2376" s="501"/>
      <c r="FX2376" s="501"/>
      <c r="FY2376" s="501"/>
      <c r="FZ2376" s="501"/>
      <c r="GA2376" s="501"/>
      <c r="GB2376" s="501"/>
      <c r="GC2376" s="501"/>
      <c r="GD2376" s="501"/>
      <c r="GE2376" s="501"/>
      <c r="GF2376" s="501"/>
      <c r="GG2376" s="501"/>
      <c r="GH2376" s="501"/>
      <c r="GI2376" s="501"/>
      <c r="GJ2376" s="501"/>
      <c r="GK2376" s="501"/>
      <c r="GL2376" s="501"/>
      <c r="GM2376" s="501"/>
      <c r="GN2376" s="501"/>
      <c r="GO2376" s="501"/>
      <c r="GP2376" s="501"/>
      <c r="GQ2376" s="501"/>
      <c r="GR2376" s="501"/>
      <c r="GS2376" s="501"/>
      <c r="GT2376" s="501"/>
      <c r="GU2376" s="501"/>
      <c r="GV2376" s="501"/>
      <c r="GW2376" s="501"/>
      <c r="GX2376" s="501"/>
      <c r="GY2376" s="501"/>
      <c r="GZ2376" s="501"/>
      <c r="HA2376" s="501"/>
      <c r="HB2376" s="501"/>
      <c r="HC2376" s="501"/>
      <c r="HD2376" s="501"/>
      <c r="HE2376" s="501"/>
      <c r="HF2376" s="501"/>
      <c r="HG2376" s="501"/>
      <c r="HH2376" s="501"/>
      <c r="HI2376" s="501"/>
      <c r="HJ2376" s="501"/>
      <c r="HK2376" s="501"/>
      <c r="HL2376" s="501"/>
      <c r="HM2376" s="501"/>
      <c r="HN2376" s="501"/>
      <c r="HO2376" s="501"/>
      <c r="HP2376" s="501"/>
      <c r="HQ2376" s="501"/>
      <c r="HR2376" s="501"/>
      <c r="HS2376" s="501"/>
      <c r="HT2376" s="501"/>
      <c r="HU2376" s="501"/>
      <c r="HV2376" s="501"/>
      <c r="HW2376" s="501"/>
      <c r="HX2376" s="501"/>
      <c r="HY2376" s="501"/>
      <c r="HZ2376" s="501"/>
      <c r="IA2376" s="501"/>
      <c r="IB2376" s="501"/>
      <c r="IC2376" s="501"/>
      <c r="ID2376" s="501"/>
      <c r="IE2376" s="501"/>
      <c r="IF2376" s="501"/>
      <c r="IG2376" s="501"/>
      <c r="IH2376" s="501"/>
      <c r="II2376" s="501"/>
      <c r="IJ2376" s="501"/>
      <c r="IK2376" s="501"/>
      <c r="IL2376" s="501"/>
      <c r="IM2376" s="501"/>
      <c r="IN2376" s="501"/>
      <c r="IO2376" s="501"/>
      <c r="IP2376" s="501"/>
      <c r="IQ2376" s="501"/>
      <c r="IR2376" s="501"/>
      <c r="IS2376" s="501"/>
      <c r="IT2376" s="501"/>
      <c r="IU2376" s="501"/>
    </row>
    <row r="2377" spans="1:255" s="877" customFormat="1" ht="24" customHeight="1">
      <c r="A2377" s="501"/>
      <c r="B2377" s="501"/>
      <c r="C2377" s="501"/>
      <c r="D2377" s="501"/>
      <c r="E2377" s="501"/>
      <c r="F2377" s="501"/>
      <c r="G2377" s="915"/>
      <c r="H2377" s="501"/>
      <c r="I2377" s="874"/>
      <c r="J2377" s="501"/>
      <c r="K2377" s="501"/>
      <c r="L2377" s="876"/>
      <c r="M2377" s="882"/>
      <c r="N2377" s="501"/>
      <c r="O2377" s="501"/>
      <c r="P2377" s="501"/>
      <c r="Q2377" s="501"/>
      <c r="R2377" s="501"/>
      <c r="S2377" s="501"/>
      <c r="T2377" s="501"/>
      <c r="V2377" s="501"/>
      <c r="W2377" s="501"/>
      <c r="X2377" s="501"/>
      <c r="Y2377" s="501"/>
      <c r="Z2377" s="501"/>
      <c r="AA2377" s="501"/>
      <c r="AB2377" s="501"/>
      <c r="AC2377" s="501"/>
      <c r="AD2377" s="501"/>
      <c r="AE2377" s="501"/>
      <c r="AF2377" s="501"/>
      <c r="AG2377" s="501"/>
      <c r="AH2377" s="501"/>
      <c r="AI2377" s="501"/>
      <c r="AJ2377" s="501"/>
      <c r="AK2377" s="501"/>
      <c r="AL2377" s="501"/>
      <c r="AM2377" s="501"/>
      <c r="AN2377" s="501"/>
      <c r="AO2377" s="501"/>
      <c r="AP2377" s="501"/>
      <c r="AQ2377" s="501"/>
      <c r="AR2377" s="501"/>
      <c r="AS2377" s="501"/>
      <c r="AT2377" s="501"/>
      <c r="AU2377" s="501"/>
      <c r="AV2377" s="501"/>
      <c r="AW2377" s="501"/>
      <c r="AX2377" s="501"/>
      <c r="AY2377" s="501"/>
      <c r="AZ2377" s="501"/>
      <c r="BA2377" s="501"/>
      <c r="BB2377" s="501"/>
      <c r="BC2377" s="501"/>
      <c r="BD2377" s="501"/>
      <c r="BE2377" s="501"/>
      <c r="BF2377" s="501"/>
      <c r="BG2377" s="501"/>
      <c r="BH2377" s="501"/>
      <c r="BI2377" s="501"/>
      <c r="BJ2377" s="501"/>
      <c r="BK2377" s="501"/>
      <c r="BL2377" s="501"/>
      <c r="BM2377" s="501"/>
      <c r="BN2377" s="501"/>
      <c r="BO2377" s="501"/>
      <c r="BP2377" s="501"/>
      <c r="BQ2377" s="501"/>
      <c r="BR2377" s="501"/>
      <c r="BS2377" s="501"/>
      <c r="BT2377" s="501"/>
      <c r="BU2377" s="501"/>
      <c r="BV2377" s="501"/>
      <c r="BW2377" s="501"/>
      <c r="BX2377" s="501"/>
      <c r="BY2377" s="501"/>
      <c r="BZ2377" s="501"/>
      <c r="CA2377" s="501"/>
      <c r="CB2377" s="501"/>
      <c r="CC2377" s="501"/>
      <c r="CD2377" s="501"/>
      <c r="CE2377" s="501"/>
      <c r="CF2377" s="501"/>
      <c r="CG2377" s="501"/>
      <c r="CH2377" s="501"/>
      <c r="CI2377" s="501"/>
      <c r="CJ2377" s="501"/>
      <c r="CK2377" s="501"/>
      <c r="CL2377" s="501"/>
      <c r="CM2377" s="501"/>
      <c r="CN2377" s="501"/>
      <c r="CO2377" s="501"/>
      <c r="CP2377" s="501"/>
      <c r="CQ2377" s="501"/>
      <c r="CR2377" s="501"/>
      <c r="CS2377" s="501"/>
      <c r="CT2377" s="501"/>
      <c r="CU2377" s="501"/>
      <c r="CV2377" s="501"/>
      <c r="CW2377" s="501"/>
      <c r="CX2377" s="501"/>
      <c r="CY2377" s="501"/>
      <c r="CZ2377" s="501"/>
      <c r="DA2377" s="501"/>
      <c r="DB2377" s="501"/>
      <c r="DC2377" s="501"/>
      <c r="DD2377" s="501"/>
      <c r="DE2377" s="501"/>
      <c r="DF2377" s="501"/>
      <c r="DG2377" s="501"/>
      <c r="DH2377" s="501"/>
      <c r="DI2377" s="501"/>
      <c r="DJ2377" s="501"/>
      <c r="DK2377" s="501"/>
      <c r="DL2377" s="501"/>
      <c r="DM2377" s="501"/>
      <c r="DN2377" s="501"/>
      <c r="DO2377" s="501"/>
      <c r="DP2377" s="501"/>
      <c r="DQ2377" s="501"/>
      <c r="DR2377" s="501"/>
      <c r="DS2377" s="501"/>
      <c r="DT2377" s="501"/>
      <c r="DU2377" s="501"/>
      <c r="DV2377" s="501"/>
      <c r="DW2377" s="501"/>
      <c r="DX2377" s="501"/>
      <c r="DY2377" s="501"/>
      <c r="DZ2377" s="501"/>
      <c r="EA2377" s="501"/>
      <c r="EB2377" s="501"/>
      <c r="EC2377" s="501"/>
      <c r="ED2377" s="501"/>
      <c r="EE2377" s="501"/>
      <c r="EF2377" s="501"/>
      <c r="EG2377" s="501"/>
      <c r="EH2377" s="501"/>
      <c r="EI2377" s="501"/>
      <c r="EJ2377" s="501"/>
      <c r="EK2377" s="501"/>
      <c r="EL2377" s="501"/>
      <c r="EM2377" s="501"/>
      <c r="EN2377" s="501"/>
      <c r="EO2377" s="501"/>
      <c r="EP2377" s="501"/>
      <c r="EQ2377" s="501"/>
      <c r="ER2377" s="501"/>
      <c r="ES2377" s="501"/>
      <c r="ET2377" s="501"/>
      <c r="EU2377" s="501"/>
      <c r="EV2377" s="501"/>
      <c r="EW2377" s="501"/>
      <c r="EX2377" s="501"/>
      <c r="EY2377" s="501"/>
      <c r="EZ2377" s="501"/>
      <c r="FA2377" s="501"/>
      <c r="FB2377" s="501"/>
      <c r="FC2377" s="501"/>
      <c r="FD2377" s="501"/>
      <c r="FE2377" s="501"/>
      <c r="FF2377" s="501"/>
      <c r="FG2377" s="501"/>
      <c r="FH2377" s="501"/>
      <c r="FI2377" s="501"/>
      <c r="FJ2377" s="501"/>
      <c r="FK2377" s="501"/>
      <c r="FL2377" s="501"/>
      <c r="FM2377" s="501"/>
      <c r="FN2377" s="501"/>
      <c r="FO2377" s="501"/>
      <c r="FP2377" s="501"/>
      <c r="FQ2377" s="501"/>
      <c r="FR2377" s="501"/>
      <c r="FS2377" s="501"/>
      <c r="FT2377" s="501"/>
      <c r="FU2377" s="501"/>
      <c r="FV2377" s="501"/>
      <c r="FW2377" s="501"/>
      <c r="FX2377" s="501"/>
      <c r="FY2377" s="501"/>
      <c r="FZ2377" s="501"/>
      <c r="GA2377" s="501"/>
      <c r="GB2377" s="501"/>
      <c r="GC2377" s="501"/>
      <c r="GD2377" s="501"/>
      <c r="GE2377" s="501"/>
      <c r="GF2377" s="501"/>
      <c r="GG2377" s="501"/>
      <c r="GH2377" s="501"/>
      <c r="GI2377" s="501"/>
      <c r="GJ2377" s="501"/>
      <c r="GK2377" s="501"/>
      <c r="GL2377" s="501"/>
      <c r="GM2377" s="501"/>
      <c r="GN2377" s="501"/>
      <c r="GO2377" s="501"/>
      <c r="GP2377" s="501"/>
      <c r="GQ2377" s="501"/>
      <c r="GR2377" s="501"/>
      <c r="GS2377" s="501"/>
      <c r="GT2377" s="501"/>
      <c r="GU2377" s="501"/>
      <c r="GV2377" s="501"/>
      <c r="GW2377" s="501"/>
      <c r="GX2377" s="501"/>
      <c r="GY2377" s="501"/>
      <c r="GZ2377" s="501"/>
      <c r="HA2377" s="501"/>
      <c r="HB2377" s="501"/>
      <c r="HC2377" s="501"/>
      <c r="HD2377" s="501"/>
      <c r="HE2377" s="501"/>
      <c r="HF2377" s="501"/>
      <c r="HG2377" s="501"/>
      <c r="HH2377" s="501"/>
      <c r="HI2377" s="501"/>
      <c r="HJ2377" s="501"/>
      <c r="HK2377" s="501"/>
      <c r="HL2377" s="501"/>
      <c r="HM2377" s="501"/>
      <c r="HN2377" s="501"/>
      <c r="HO2377" s="501"/>
      <c r="HP2377" s="501"/>
      <c r="HQ2377" s="501"/>
      <c r="HR2377" s="501"/>
      <c r="HS2377" s="501"/>
      <c r="HT2377" s="501"/>
      <c r="HU2377" s="501"/>
      <c r="HV2377" s="501"/>
      <c r="HW2377" s="501"/>
      <c r="HX2377" s="501"/>
      <c r="HY2377" s="501"/>
      <c r="HZ2377" s="501"/>
      <c r="IA2377" s="501"/>
      <c r="IB2377" s="501"/>
      <c r="IC2377" s="501"/>
      <c r="ID2377" s="501"/>
      <c r="IE2377" s="501"/>
      <c r="IF2377" s="501"/>
      <c r="IG2377" s="501"/>
      <c r="IH2377" s="501"/>
      <c r="II2377" s="501"/>
      <c r="IJ2377" s="501"/>
      <c r="IK2377" s="501"/>
      <c r="IL2377" s="501"/>
      <c r="IM2377" s="501"/>
      <c r="IN2377" s="501"/>
      <c r="IO2377" s="501"/>
      <c r="IP2377" s="501"/>
      <c r="IQ2377" s="501"/>
      <c r="IR2377" s="501"/>
      <c r="IS2377" s="501"/>
      <c r="IT2377" s="501"/>
      <c r="IU2377" s="501"/>
    </row>
    <row r="2378" spans="1:255" s="877" customFormat="1" ht="24" customHeight="1">
      <c r="A2378" s="501"/>
      <c r="B2378" s="501"/>
      <c r="C2378" s="501"/>
      <c r="D2378" s="501"/>
      <c r="E2378" s="501"/>
      <c r="F2378" s="501"/>
      <c r="G2378" s="915"/>
      <c r="H2378" s="501"/>
      <c r="I2378" s="874"/>
      <c r="J2378" s="501"/>
      <c r="K2378" s="501"/>
      <c r="L2378" s="876"/>
      <c r="M2378" s="882"/>
      <c r="N2378" s="501"/>
      <c r="O2378" s="501"/>
      <c r="P2378" s="501"/>
      <c r="Q2378" s="501"/>
      <c r="R2378" s="501"/>
      <c r="S2378" s="501"/>
      <c r="T2378" s="501"/>
      <c r="V2378" s="501"/>
      <c r="W2378" s="501"/>
      <c r="X2378" s="501"/>
      <c r="Y2378" s="501"/>
      <c r="Z2378" s="501"/>
      <c r="AA2378" s="501"/>
      <c r="AB2378" s="501"/>
      <c r="AC2378" s="501"/>
      <c r="AD2378" s="501"/>
      <c r="AE2378" s="501"/>
      <c r="AF2378" s="501"/>
      <c r="AG2378" s="501"/>
      <c r="AH2378" s="501"/>
      <c r="AI2378" s="501"/>
      <c r="AJ2378" s="501"/>
      <c r="AK2378" s="501"/>
      <c r="AL2378" s="501"/>
      <c r="AM2378" s="501"/>
      <c r="AN2378" s="501"/>
      <c r="AO2378" s="501"/>
      <c r="AP2378" s="501"/>
      <c r="AQ2378" s="501"/>
      <c r="AR2378" s="501"/>
      <c r="AS2378" s="501"/>
      <c r="AT2378" s="501"/>
      <c r="AU2378" s="501"/>
      <c r="AV2378" s="501"/>
      <c r="AW2378" s="501"/>
      <c r="AX2378" s="501"/>
      <c r="AY2378" s="501"/>
      <c r="AZ2378" s="501"/>
      <c r="BA2378" s="501"/>
      <c r="BB2378" s="501"/>
      <c r="BC2378" s="501"/>
      <c r="BD2378" s="501"/>
      <c r="BE2378" s="501"/>
      <c r="BF2378" s="501"/>
      <c r="BG2378" s="501"/>
      <c r="BH2378" s="501"/>
      <c r="BI2378" s="501"/>
      <c r="BJ2378" s="501"/>
      <c r="BK2378" s="501"/>
      <c r="BL2378" s="501"/>
      <c r="BM2378" s="501"/>
      <c r="BN2378" s="501"/>
      <c r="BO2378" s="501"/>
      <c r="BP2378" s="501"/>
      <c r="BQ2378" s="501"/>
      <c r="BR2378" s="501"/>
      <c r="BS2378" s="501"/>
      <c r="BT2378" s="501"/>
      <c r="BU2378" s="501"/>
      <c r="BV2378" s="501"/>
      <c r="BW2378" s="501"/>
      <c r="BX2378" s="501"/>
      <c r="BY2378" s="501"/>
      <c r="BZ2378" s="501"/>
      <c r="CA2378" s="501"/>
      <c r="CB2378" s="501"/>
      <c r="CC2378" s="501"/>
      <c r="CD2378" s="501"/>
      <c r="CE2378" s="501"/>
      <c r="CF2378" s="501"/>
      <c r="CG2378" s="501"/>
      <c r="CH2378" s="501"/>
      <c r="CI2378" s="501"/>
      <c r="CJ2378" s="501"/>
      <c r="CK2378" s="501"/>
      <c r="CL2378" s="501"/>
      <c r="CM2378" s="501"/>
      <c r="CN2378" s="501"/>
      <c r="CO2378" s="501"/>
      <c r="CP2378" s="501"/>
      <c r="CQ2378" s="501"/>
      <c r="CR2378" s="501"/>
      <c r="CS2378" s="501"/>
      <c r="CT2378" s="501"/>
      <c r="CU2378" s="501"/>
      <c r="CV2378" s="501"/>
      <c r="CW2378" s="501"/>
      <c r="CX2378" s="501"/>
      <c r="CY2378" s="501"/>
      <c r="CZ2378" s="501"/>
      <c r="DA2378" s="501"/>
      <c r="DB2378" s="501"/>
      <c r="DC2378" s="501"/>
      <c r="DD2378" s="501"/>
      <c r="DE2378" s="501"/>
      <c r="DF2378" s="501"/>
      <c r="DG2378" s="501"/>
      <c r="DH2378" s="501"/>
      <c r="DI2378" s="501"/>
      <c r="DJ2378" s="501"/>
      <c r="DK2378" s="501"/>
      <c r="DL2378" s="501"/>
      <c r="DM2378" s="501"/>
      <c r="DN2378" s="501"/>
      <c r="DO2378" s="501"/>
      <c r="DP2378" s="501"/>
      <c r="DQ2378" s="501"/>
      <c r="DR2378" s="501"/>
      <c r="DS2378" s="501"/>
      <c r="DT2378" s="501"/>
      <c r="DU2378" s="501"/>
      <c r="DV2378" s="501"/>
      <c r="DW2378" s="501"/>
      <c r="DX2378" s="501"/>
      <c r="DY2378" s="501"/>
      <c r="DZ2378" s="501"/>
      <c r="EA2378" s="501"/>
      <c r="EB2378" s="501"/>
      <c r="EC2378" s="501"/>
      <c r="ED2378" s="501"/>
      <c r="EE2378" s="501"/>
      <c r="EF2378" s="501"/>
      <c r="EG2378" s="501"/>
      <c r="EH2378" s="501"/>
      <c r="EI2378" s="501"/>
      <c r="EJ2378" s="501"/>
      <c r="EK2378" s="501"/>
      <c r="EL2378" s="501"/>
      <c r="EM2378" s="501"/>
      <c r="EN2378" s="501"/>
      <c r="EO2378" s="501"/>
      <c r="EP2378" s="501"/>
      <c r="EQ2378" s="501"/>
      <c r="ER2378" s="501"/>
      <c r="ES2378" s="501"/>
      <c r="ET2378" s="501"/>
      <c r="EU2378" s="501"/>
      <c r="EV2378" s="501"/>
      <c r="EW2378" s="501"/>
      <c r="EX2378" s="501"/>
      <c r="EY2378" s="501"/>
      <c r="EZ2378" s="501"/>
      <c r="FA2378" s="501"/>
      <c r="FB2378" s="501"/>
      <c r="FC2378" s="501"/>
      <c r="FD2378" s="501"/>
      <c r="FE2378" s="501"/>
      <c r="FF2378" s="501"/>
      <c r="FG2378" s="501"/>
      <c r="FH2378" s="501"/>
      <c r="FI2378" s="501"/>
      <c r="FJ2378" s="501"/>
      <c r="FK2378" s="501"/>
      <c r="FL2378" s="501"/>
      <c r="FM2378" s="501"/>
      <c r="FN2378" s="501"/>
      <c r="FO2378" s="501"/>
      <c r="FP2378" s="501"/>
      <c r="FQ2378" s="501"/>
      <c r="FR2378" s="501"/>
      <c r="FS2378" s="501"/>
      <c r="FT2378" s="501"/>
      <c r="FU2378" s="501"/>
      <c r="FV2378" s="501"/>
      <c r="FW2378" s="501"/>
      <c r="FX2378" s="501"/>
      <c r="FY2378" s="501"/>
      <c r="FZ2378" s="501"/>
      <c r="GA2378" s="501"/>
      <c r="GB2378" s="501"/>
      <c r="GC2378" s="501"/>
      <c r="GD2378" s="501"/>
      <c r="GE2378" s="501"/>
      <c r="GF2378" s="501"/>
      <c r="GG2378" s="501"/>
      <c r="GH2378" s="501"/>
      <c r="GI2378" s="501"/>
      <c r="GJ2378" s="501"/>
      <c r="GK2378" s="501"/>
      <c r="GL2378" s="501"/>
      <c r="GM2378" s="501"/>
      <c r="GN2378" s="501"/>
      <c r="GO2378" s="501"/>
      <c r="GP2378" s="501"/>
      <c r="GQ2378" s="501"/>
      <c r="GR2378" s="501"/>
      <c r="GS2378" s="501"/>
      <c r="GT2378" s="501"/>
      <c r="GU2378" s="501"/>
      <c r="GV2378" s="501"/>
      <c r="GW2378" s="501"/>
      <c r="GX2378" s="501"/>
      <c r="GY2378" s="501"/>
      <c r="GZ2378" s="501"/>
      <c r="HA2378" s="501"/>
      <c r="HB2378" s="501"/>
      <c r="HC2378" s="501"/>
      <c r="HD2378" s="501"/>
      <c r="HE2378" s="501"/>
      <c r="HF2378" s="501"/>
      <c r="HG2378" s="501"/>
      <c r="HH2378" s="501"/>
      <c r="HI2378" s="501"/>
      <c r="HJ2378" s="501"/>
      <c r="HK2378" s="501"/>
      <c r="HL2378" s="501"/>
      <c r="HM2378" s="501"/>
      <c r="HN2378" s="501"/>
      <c r="HO2378" s="501"/>
      <c r="HP2378" s="501"/>
      <c r="HQ2378" s="501"/>
      <c r="HR2378" s="501"/>
      <c r="HS2378" s="501"/>
      <c r="HT2378" s="501"/>
      <c r="HU2378" s="501"/>
      <c r="HV2378" s="501"/>
      <c r="HW2378" s="501"/>
      <c r="HX2378" s="501"/>
      <c r="HY2378" s="501"/>
      <c r="HZ2378" s="501"/>
      <c r="IA2378" s="501"/>
      <c r="IB2378" s="501"/>
      <c r="IC2378" s="501"/>
      <c r="ID2378" s="501"/>
      <c r="IE2378" s="501"/>
      <c r="IF2378" s="501"/>
      <c r="IG2378" s="501"/>
      <c r="IH2378" s="501"/>
      <c r="II2378" s="501"/>
      <c r="IJ2378" s="501"/>
      <c r="IK2378" s="501"/>
      <c r="IL2378" s="501"/>
      <c r="IM2378" s="501"/>
      <c r="IN2378" s="501"/>
      <c r="IO2378" s="501"/>
      <c r="IP2378" s="501"/>
      <c r="IQ2378" s="501"/>
      <c r="IR2378" s="501"/>
      <c r="IS2378" s="501"/>
      <c r="IT2378" s="501"/>
      <c r="IU2378" s="501"/>
    </row>
    <row r="2379" spans="1:255" s="877" customFormat="1" ht="24" customHeight="1">
      <c r="A2379" s="501"/>
      <c r="B2379" s="501"/>
      <c r="C2379" s="501"/>
      <c r="D2379" s="501"/>
      <c r="E2379" s="501"/>
      <c r="F2379" s="501"/>
      <c r="G2379" s="915"/>
      <c r="H2379" s="501"/>
      <c r="I2379" s="874"/>
      <c r="J2379" s="501"/>
      <c r="K2379" s="501"/>
      <c r="L2379" s="876"/>
      <c r="M2379" s="882"/>
      <c r="N2379" s="501"/>
      <c r="O2379" s="501"/>
      <c r="P2379" s="901"/>
      <c r="Q2379" s="501"/>
      <c r="R2379" s="501"/>
      <c r="S2379" s="874"/>
      <c r="T2379" s="501"/>
      <c r="V2379" s="501"/>
      <c r="W2379" s="501"/>
      <c r="X2379" s="501"/>
      <c r="Y2379" s="501"/>
      <c r="Z2379" s="501"/>
      <c r="AA2379" s="501"/>
      <c r="AB2379" s="501"/>
      <c r="AC2379" s="501"/>
      <c r="AD2379" s="501"/>
      <c r="AE2379" s="501"/>
      <c r="AF2379" s="501"/>
      <c r="AG2379" s="501"/>
      <c r="AH2379" s="501"/>
      <c r="AI2379" s="501"/>
      <c r="AJ2379" s="501"/>
      <c r="AK2379" s="501"/>
      <c r="AL2379" s="501"/>
      <c r="AM2379" s="501"/>
      <c r="AN2379" s="501"/>
      <c r="AO2379" s="501"/>
      <c r="AP2379" s="501"/>
      <c r="AQ2379" s="501"/>
      <c r="AR2379" s="501"/>
      <c r="AS2379" s="501"/>
      <c r="AT2379" s="501"/>
      <c r="AU2379" s="501"/>
      <c r="AV2379" s="501"/>
      <c r="AW2379" s="501"/>
      <c r="AX2379" s="501"/>
      <c r="AY2379" s="501"/>
      <c r="AZ2379" s="501"/>
      <c r="BA2379" s="501"/>
      <c r="BB2379" s="501"/>
      <c r="BC2379" s="501"/>
      <c r="BD2379" s="501"/>
      <c r="BE2379" s="501"/>
      <c r="BF2379" s="501"/>
      <c r="BG2379" s="501"/>
      <c r="BH2379" s="501"/>
      <c r="BI2379" s="501"/>
      <c r="BJ2379" s="501"/>
      <c r="BK2379" s="501"/>
      <c r="BL2379" s="501"/>
      <c r="BM2379" s="501"/>
      <c r="BN2379" s="501"/>
      <c r="BO2379" s="501"/>
      <c r="BP2379" s="501"/>
      <c r="BQ2379" s="501"/>
      <c r="BR2379" s="501"/>
      <c r="BS2379" s="501"/>
      <c r="BT2379" s="501"/>
      <c r="BU2379" s="501"/>
      <c r="BV2379" s="501"/>
      <c r="BW2379" s="501"/>
      <c r="BX2379" s="501"/>
      <c r="BY2379" s="501"/>
      <c r="BZ2379" s="501"/>
      <c r="CA2379" s="501"/>
      <c r="CB2379" s="501"/>
      <c r="CC2379" s="501"/>
      <c r="CD2379" s="501"/>
      <c r="CE2379" s="501"/>
      <c r="CF2379" s="501"/>
      <c r="CG2379" s="501"/>
      <c r="CH2379" s="501"/>
      <c r="CI2379" s="501"/>
      <c r="CJ2379" s="501"/>
      <c r="CK2379" s="501"/>
      <c r="CL2379" s="501"/>
      <c r="CM2379" s="501"/>
      <c r="CN2379" s="501"/>
      <c r="CO2379" s="501"/>
      <c r="CP2379" s="501"/>
      <c r="CQ2379" s="501"/>
      <c r="CR2379" s="501"/>
      <c r="CS2379" s="501"/>
      <c r="CT2379" s="501"/>
      <c r="CU2379" s="501"/>
      <c r="CV2379" s="501"/>
      <c r="CW2379" s="501"/>
      <c r="CX2379" s="501"/>
      <c r="CY2379" s="501"/>
      <c r="CZ2379" s="501"/>
      <c r="DA2379" s="501"/>
      <c r="DB2379" s="501"/>
      <c r="DC2379" s="501"/>
      <c r="DD2379" s="501"/>
      <c r="DE2379" s="501"/>
      <c r="DF2379" s="501"/>
      <c r="DG2379" s="501"/>
      <c r="DH2379" s="501"/>
      <c r="DI2379" s="501"/>
      <c r="DJ2379" s="501"/>
      <c r="DK2379" s="501"/>
      <c r="DL2379" s="501"/>
      <c r="DM2379" s="501"/>
      <c r="DN2379" s="501"/>
      <c r="DO2379" s="501"/>
      <c r="DP2379" s="501"/>
      <c r="DQ2379" s="501"/>
      <c r="DR2379" s="501"/>
      <c r="DS2379" s="501"/>
      <c r="DT2379" s="501"/>
      <c r="DU2379" s="501"/>
      <c r="DV2379" s="501"/>
      <c r="DW2379" s="501"/>
      <c r="DX2379" s="501"/>
      <c r="DY2379" s="501"/>
      <c r="DZ2379" s="501"/>
      <c r="EA2379" s="501"/>
      <c r="EB2379" s="501"/>
      <c r="EC2379" s="501"/>
      <c r="ED2379" s="501"/>
      <c r="EE2379" s="501"/>
      <c r="EF2379" s="501"/>
      <c r="EG2379" s="501"/>
      <c r="EH2379" s="501"/>
      <c r="EI2379" s="501"/>
      <c r="EJ2379" s="501"/>
      <c r="EK2379" s="501"/>
      <c r="EL2379" s="501"/>
      <c r="EM2379" s="501"/>
      <c r="EN2379" s="501"/>
      <c r="EO2379" s="501"/>
      <c r="EP2379" s="501"/>
      <c r="EQ2379" s="501"/>
      <c r="ER2379" s="501"/>
      <c r="ES2379" s="501"/>
      <c r="ET2379" s="501"/>
      <c r="EU2379" s="501"/>
      <c r="EV2379" s="501"/>
      <c r="EW2379" s="501"/>
      <c r="EX2379" s="501"/>
      <c r="EY2379" s="501"/>
      <c r="EZ2379" s="501"/>
      <c r="FA2379" s="501"/>
      <c r="FB2379" s="501"/>
      <c r="FC2379" s="501"/>
      <c r="FD2379" s="501"/>
      <c r="FE2379" s="501"/>
      <c r="FF2379" s="501"/>
      <c r="FG2379" s="501"/>
      <c r="FH2379" s="501"/>
      <c r="FI2379" s="501"/>
      <c r="FJ2379" s="501"/>
      <c r="FK2379" s="501"/>
      <c r="FL2379" s="501"/>
      <c r="FM2379" s="501"/>
      <c r="FN2379" s="501"/>
      <c r="FO2379" s="501"/>
      <c r="FP2379" s="501"/>
      <c r="FQ2379" s="501"/>
      <c r="FR2379" s="501"/>
      <c r="FS2379" s="501"/>
      <c r="FT2379" s="501"/>
      <c r="FU2379" s="501"/>
      <c r="FV2379" s="501"/>
      <c r="FW2379" s="501"/>
      <c r="FX2379" s="501"/>
      <c r="FY2379" s="501"/>
      <c r="FZ2379" s="501"/>
      <c r="GA2379" s="501"/>
      <c r="GB2379" s="501"/>
      <c r="GC2379" s="501"/>
      <c r="GD2379" s="501"/>
      <c r="GE2379" s="501"/>
      <c r="GF2379" s="501"/>
      <c r="GG2379" s="501"/>
      <c r="GH2379" s="501"/>
      <c r="GI2379" s="501"/>
      <c r="GJ2379" s="501"/>
      <c r="GK2379" s="501"/>
      <c r="GL2379" s="501"/>
      <c r="GM2379" s="501"/>
      <c r="GN2379" s="501"/>
      <c r="GO2379" s="501"/>
      <c r="GP2379" s="501"/>
      <c r="GQ2379" s="501"/>
      <c r="GR2379" s="501"/>
      <c r="GS2379" s="501"/>
      <c r="GT2379" s="501"/>
      <c r="GU2379" s="501"/>
      <c r="GV2379" s="501"/>
      <c r="GW2379" s="501"/>
      <c r="GX2379" s="501"/>
      <c r="GY2379" s="501"/>
      <c r="GZ2379" s="501"/>
      <c r="HA2379" s="501"/>
      <c r="HB2379" s="501"/>
      <c r="HC2379" s="501"/>
      <c r="HD2379" s="501"/>
      <c r="HE2379" s="501"/>
      <c r="HF2379" s="501"/>
      <c r="HG2379" s="501"/>
      <c r="HH2379" s="501"/>
      <c r="HI2379" s="501"/>
      <c r="HJ2379" s="501"/>
      <c r="HK2379" s="501"/>
      <c r="HL2379" s="501"/>
      <c r="HM2379" s="501"/>
      <c r="HN2379" s="501"/>
      <c r="HO2379" s="501"/>
      <c r="HP2379" s="501"/>
      <c r="HQ2379" s="501"/>
      <c r="HR2379" s="501"/>
      <c r="HS2379" s="501"/>
      <c r="HT2379" s="501"/>
      <c r="HU2379" s="501"/>
      <c r="HV2379" s="501"/>
      <c r="HW2379" s="501"/>
      <c r="HX2379" s="501"/>
      <c r="HY2379" s="501"/>
      <c r="HZ2379" s="501"/>
      <c r="IA2379" s="501"/>
      <c r="IB2379" s="501"/>
      <c r="IC2379" s="501"/>
      <c r="ID2379" s="501"/>
      <c r="IE2379" s="501"/>
      <c r="IF2379" s="501"/>
      <c r="IG2379" s="501"/>
      <c r="IH2379" s="501"/>
      <c r="II2379" s="501"/>
      <c r="IJ2379" s="501"/>
      <c r="IK2379" s="501"/>
      <c r="IL2379" s="501"/>
      <c r="IM2379" s="501"/>
      <c r="IN2379" s="501"/>
      <c r="IO2379" s="501"/>
      <c r="IP2379" s="501"/>
      <c r="IQ2379" s="501"/>
      <c r="IR2379" s="501"/>
      <c r="IS2379" s="501"/>
      <c r="IT2379" s="501"/>
      <c r="IU2379" s="501"/>
    </row>
    <row r="2380" spans="1:255" s="877" customFormat="1" ht="24" customHeight="1">
      <c r="A2380" s="501"/>
      <c r="B2380" s="501"/>
      <c r="C2380" s="501"/>
      <c r="D2380" s="501"/>
      <c r="E2380" s="501"/>
      <c r="F2380" s="501"/>
      <c r="G2380" s="915"/>
      <c r="H2380" s="501"/>
      <c r="I2380" s="874"/>
      <c r="J2380" s="501"/>
      <c r="K2380" s="501"/>
      <c r="L2380" s="876"/>
      <c r="M2380" s="882"/>
      <c r="N2380" s="501"/>
      <c r="O2380" s="501"/>
      <c r="P2380" s="902"/>
      <c r="Q2380" s="876"/>
      <c r="R2380" s="501"/>
      <c r="S2380" s="878"/>
      <c r="T2380" s="501"/>
      <c r="V2380" s="501"/>
      <c r="W2380" s="501"/>
      <c r="X2380" s="501"/>
      <c r="Y2380" s="501"/>
      <c r="Z2380" s="501"/>
      <c r="AA2380" s="501"/>
      <c r="AB2380" s="501"/>
      <c r="AC2380" s="501"/>
      <c r="AD2380" s="501"/>
      <c r="AE2380" s="501"/>
      <c r="AF2380" s="501"/>
      <c r="AG2380" s="501"/>
      <c r="AH2380" s="501"/>
      <c r="AI2380" s="501"/>
      <c r="AJ2380" s="501"/>
      <c r="AK2380" s="501"/>
      <c r="AL2380" s="501"/>
      <c r="AM2380" s="501"/>
      <c r="AN2380" s="501"/>
      <c r="AO2380" s="501"/>
      <c r="AP2380" s="501"/>
      <c r="AQ2380" s="501"/>
      <c r="AR2380" s="501"/>
      <c r="AS2380" s="501"/>
      <c r="AT2380" s="501"/>
      <c r="AU2380" s="501"/>
      <c r="AV2380" s="501"/>
      <c r="AW2380" s="501"/>
      <c r="AX2380" s="501"/>
      <c r="AY2380" s="501"/>
      <c r="AZ2380" s="501"/>
      <c r="BA2380" s="501"/>
      <c r="BB2380" s="501"/>
      <c r="BC2380" s="501"/>
      <c r="BD2380" s="501"/>
      <c r="BE2380" s="501"/>
      <c r="BF2380" s="501"/>
      <c r="BG2380" s="501"/>
      <c r="BH2380" s="501"/>
      <c r="BI2380" s="501"/>
      <c r="BJ2380" s="501"/>
      <c r="BK2380" s="501"/>
      <c r="BL2380" s="501"/>
      <c r="BM2380" s="501"/>
      <c r="BN2380" s="501"/>
      <c r="BO2380" s="501"/>
      <c r="BP2380" s="501"/>
      <c r="BQ2380" s="501"/>
      <c r="BR2380" s="501"/>
      <c r="BS2380" s="501"/>
      <c r="BT2380" s="501"/>
      <c r="BU2380" s="501"/>
      <c r="BV2380" s="501"/>
      <c r="BW2380" s="501"/>
      <c r="BX2380" s="501"/>
      <c r="BY2380" s="501"/>
      <c r="BZ2380" s="501"/>
      <c r="CA2380" s="501"/>
      <c r="CB2380" s="501"/>
      <c r="CC2380" s="501"/>
      <c r="CD2380" s="501"/>
      <c r="CE2380" s="501"/>
      <c r="CF2380" s="501"/>
      <c r="CG2380" s="501"/>
      <c r="CH2380" s="501"/>
      <c r="CI2380" s="501"/>
      <c r="CJ2380" s="501"/>
      <c r="CK2380" s="501"/>
      <c r="CL2380" s="501"/>
      <c r="CM2380" s="501"/>
      <c r="CN2380" s="501"/>
      <c r="CO2380" s="501"/>
      <c r="CP2380" s="501"/>
      <c r="CQ2380" s="501"/>
      <c r="CR2380" s="501"/>
      <c r="CS2380" s="501"/>
      <c r="CT2380" s="501"/>
      <c r="CU2380" s="501"/>
      <c r="CV2380" s="501"/>
      <c r="CW2380" s="501"/>
      <c r="CX2380" s="501"/>
      <c r="CY2380" s="501"/>
      <c r="CZ2380" s="501"/>
      <c r="DA2380" s="501"/>
      <c r="DB2380" s="501"/>
      <c r="DC2380" s="501"/>
      <c r="DD2380" s="501"/>
      <c r="DE2380" s="501"/>
      <c r="DF2380" s="501"/>
      <c r="DG2380" s="501"/>
      <c r="DH2380" s="501"/>
      <c r="DI2380" s="501"/>
      <c r="DJ2380" s="501"/>
      <c r="DK2380" s="501"/>
      <c r="DL2380" s="501"/>
      <c r="DM2380" s="501"/>
      <c r="DN2380" s="501"/>
      <c r="DO2380" s="501"/>
      <c r="DP2380" s="501"/>
      <c r="DQ2380" s="501"/>
      <c r="DR2380" s="501"/>
      <c r="DS2380" s="501"/>
      <c r="DT2380" s="501"/>
      <c r="DU2380" s="501"/>
      <c r="DV2380" s="501"/>
      <c r="DW2380" s="501"/>
      <c r="DX2380" s="501"/>
      <c r="DY2380" s="501"/>
      <c r="DZ2380" s="501"/>
      <c r="EA2380" s="501"/>
      <c r="EB2380" s="501"/>
      <c r="EC2380" s="501"/>
      <c r="ED2380" s="501"/>
      <c r="EE2380" s="501"/>
      <c r="EF2380" s="501"/>
      <c r="EG2380" s="501"/>
      <c r="EH2380" s="501"/>
      <c r="EI2380" s="501"/>
      <c r="EJ2380" s="501"/>
      <c r="EK2380" s="501"/>
      <c r="EL2380" s="501"/>
      <c r="EM2380" s="501"/>
      <c r="EN2380" s="501"/>
      <c r="EO2380" s="501"/>
      <c r="EP2380" s="501"/>
      <c r="EQ2380" s="501"/>
      <c r="ER2380" s="501"/>
      <c r="ES2380" s="501"/>
      <c r="ET2380" s="501"/>
      <c r="EU2380" s="501"/>
      <c r="EV2380" s="501"/>
      <c r="EW2380" s="501"/>
      <c r="EX2380" s="501"/>
      <c r="EY2380" s="501"/>
      <c r="EZ2380" s="501"/>
      <c r="FA2380" s="501"/>
      <c r="FB2380" s="501"/>
      <c r="FC2380" s="501"/>
      <c r="FD2380" s="501"/>
      <c r="FE2380" s="501"/>
      <c r="FF2380" s="501"/>
      <c r="FG2380" s="501"/>
      <c r="FH2380" s="501"/>
      <c r="FI2380" s="501"/>
      <c r="FJ2380" s="501"/>
      <c r="FK2380" s="501"/>
      <c r="FL2380" s="501"/>
      <c r="FM2380" s="501"/>
      <c r="FN2380" s="501"/>
      <c r="FO2380" s="501"/>
      <c r="FP2380" s="501"/>
      <c r="FQ2380" s="501"/>
      <c r="FR2380" s="501"/>
      <c r="FS2380" s="501"/>
      <c r="FT2380" s="501"/>
      <c r="FU2380" s="501"/>
      <c r="FV2380" s="501"/>
      <c r="FW2380" s="501"/>
      <c r="FX2380" s="501"/>
      <c r="FY2380" s="501"/>
      <c r="FZ2380" s="501"/>
      <c r="GA2380" s="501"/>
      <c r="GB2380" s="501"/>
      <c r="GC2380" s="501"/>
      <c r="GD2380" s="501"/>
      <c r="GE2380" s="501"/>
      <c r="GF2380" s="501"/>
      <c r="GG2380" s="501"/>
      <c r="GH2380" s="501"/>
      <c r="GI2380" s="501"/>
      <c r="GJ2380" s="501"/>
      <c r="GK2380" s="501"/>
      <c r="GL2380" s="501"/>
      <c r="GM2380" s="501"/>
      <c r="GN2380" s="501"/>
      <c r="GO2380" s="501"/>
      <c r="GP2380" s="501"/>
      <c r="GQ2380" s="501"/>
      <c r="GR2380" s="501"/>
      <c r="GS2380" s="501"/>
      <c r="GT2380" s="501"/>
      <c r="GU2380" s="501"/>
      <c r="GV2380" s="501"/>
      <c r="GW2380" s="501"/>
      <c r="GX2380" s="501"/>
      <c r="GY2380" s="501"/>
      <c r="GZ2380" s="501"/>
      <c r="HA2380" s="501"/>
      <c r="HB2380" s="501"/>
      <c r="HC2380" s="501"/>
      <c r="HD2380" s="501"/>
      <c r="HE2380" s="501"/>
      <c r="HF2380" s="501"/>
      <c r="HG2380" s="501"/>
      <c r="HH2380" s="501"/>
      <c r="HI2380" s="501"/>
      <c r="HJ2380" s="501"/>
      <c r="HK2380" s="501"/>
      <c r="HL2380" s="501"/>
      <c r="HM2380" s="501"/>
      <c r="HN2380" s="501"/>
      <c r="HO2380" s="501"/>
      <c r="HP2380" s="501"/>
      <c r="HQ2380" s="501"/>
      <c r="HR2380" s="501"/>
      <c r="HS2380" s="501"/>
      <c r="HT2380" s="501"/>
      <c r="HU2380" s="501"/>
      <c r="HV2380" s="501"/>
      <c r="HW2380" s="501"/>
      <c r="HX2380" s="501"/>
      <c r="HY2380" s="501"/>
      <c r="HZ2380" s="501"/>
      <c r="IA2380" s="501"/>
      <c r="IB2380" s="501"/>
      <c r="IC2380" s="501"/>
      <c r="ID2380" s="501"/>
      <c r="IE2380" s="501"/>
      <c r="IF2380" s="501"/>
      <c r="IG2380" s="501"/>
      <c r="IH2380" s="501"/>
      <c r="II2380" s="501"/>
      <c r="IJ2380" s="501"/>
      <c r="IK2380" s="501"/>
      <c r="IL2380" s="501"/>
      <c r="IM2380" s="501"/>
      <c r="IN2380" s="501"/>
      <c r="IO2380" s="501"/>
      <c r="IP2380" s="501"/>
      <c r="IQ2380" s="501"/>
      <c r="IR2380" s="501"/>
      <c r="IS2380" s="501"/>
      <c r="IT2380" s="501"/>
      <c r="IU2380" s="501"/>
    </row>
    <row r="2381" spans="1:255" s="877" customFormat="1" ht="24" customHeight="1">
      <c r="A2381" s="501"/>
      <c r="B2381" s="501"/>
      <c r="C2381" s="501"/>
      <c r="D2381" s="501"/>
      <c r="E2381" s="501"/>
      <c r="F2381" s="501"/>
      <c r="G2381" s="915"/>
      <c r="H2381" s="501"/>
      <c r="I2381" s="874"/>
      <c r="J2381" s="1051"/>
      <c r="K2381" s="501"/>
      <c r="L2381" s="876"/>
      <c r="M2381" s="882"/>
      <c r="N2381" s="501"/>
      <c r="O2381" s="501"/>
      <c r="P2381" s="902"/>
      <c r="Q2381" s="876"/>
      <c r="R2381" s="501"/>
      <c r="S2381" s="878"/>
      <c r="T2381" s="501"/>
      <c r="V2381" s="501"/>
      <c r="W2381" s="501"/>
      <c r="X2381" s="501"/>
      <c r="Y2381" s="501"/>
      <c r="Z2381" s="501"/>
      <c r="AA2381" s="501"/>
      <c r="AB2381" s="501"/>
      <c r="AC2381" s="501"/>
      <c r="AD2381" s="501"/>
      <c r="AE2381" s="501"/>
      <c r="AF2381" s="501"/>
      <c r="AG2381" s="501"/>
      <c r="AH2381" s="501"/>
      <c r="AI2381" s="501"/>
      <c r="AJ2381" s="501"/>
      <c r="AK2381" s="501"/>
      <c r="AL2381" s="501"/>
      <c r="AM2381" s="501"/>
      <c r="AN2381" s="501"/>
      <c r="AO2381" s="501"/>
      <c r="AP2381" s="501"/>
      <c r="AQ2381" s="501"/>
      <c r="AR2381" s="501"/>
      <c r="AS2381" s="501"/>
      <c r="AT2381" s="501"/>
      <c r="AU2381" s="501"/>
      <c r="AV2381" s="501"/>
      <c r="AW2381" s="501"/>
      <c r="AX2381" s="501"/>
      <c r="AY2381" s="501"/>
      <c r="AZ2381" s="501"/>
      <c r="BA2381" s="501"/>
      <c r="BB2381" s="501"/>
      <c r="BC2381" s="501"/>
      <c r="BD2381" s="501"/>
      <c r="BE2381" s="501"/>
      <c r="BF2381" s="501"/>
      <c r="BG2381" s="501"/>
      <c r="BH2381" s="501"/>
      <c r="BI2381" s="501"/>
      <c r="BJ2381" s="501"/>
      <c r="BK2381" s="501"/>
      <c r="BL2381" s="501"/>
      <c r="BM2381" s="501"/>
      <c r="BN2381" s="501"/>
      <c r="BO2381" s="501"/>
      <c r="BP2381" s="501"/>
      <c r="BQ2381" s="501"/>
      <c r="BR2381" s="501"/>
      <c r="BS2381" s="501"/>
      <c r="BT2381" s="501"/>
      <c r="BU2381" s="501"/>
      <c r="BV2381" s="501"/>
      <c r="BW2381" s="501"/>
      <c r="BX2381" s="501"/>
      <c r="BY2381" s="501"/>
      <c r="BZ2381" s="501"/>
      <c r="CA2381" s="501"/>
      <c r="CB2381" s="501"/>
      <c r="CC2381" s="501"/>
      <c r="CD2381" s="501"/>
      <c r="CE2381" s="501"/>
      <c r="CF2381" s="501"/>
      <c r="CG2381" s="501"/>
      <c r="CH2381" s="501"/>
      <c r="CI2381" s="501"/>
      <c r="CJ2381" s="501"/>
      <c r="CK2381" s="501"/>
      <c r="CL2381" s="501"/>
      <c r="CM2381" s="501"/>
      <c r="CN2381" s="501"/>
      <c r="CO2381" s="501"/>
      <c r="CP2381" s="501"/>
      <c r="CQ2381" s="501"/>
      <c r="CR2381" s="501"/>
      <c r="CS2381" s="501"/>
      <c r="CT2381" s="501"/>
      <c r="CU2381" s="501"/>
      <c r="CV2381" s="501"/>
      <c r="CW2381" s="501"/>
      <c r="CX2381" s="501"/>
      <c r="CY2381" s="501"/>
      <c r="CZ2381" s="501"/>
      <c r="DA2381" s="501"/>
      <c r="DB2381" s="501"/>
      <c r="DC2381" s="501"/>
      <c r="DD2381" s="501"/>
      <c r="DE2381" s="501"/>
      <c r="DF2381" s="501"/>
      <c r="DG2381" s="501"/>
      <c r="DH2381" s="501"/>
      <c r="DI2381" s="501"/>
      <c r="DJ2381" s="501"/>
      <c r="DK2381" s="501"/>
      <c r="DL2381" s="501"/>
      <c r="DM2381" s="501"/>
      <c r="DN2381" s="501"/>
      <c r="DO2381" s="501"/>
      <c r="DP2381" s="501"/>
      <c r="DQ2381" s="501"/>
      <c r="DR2381" s="501"/>
      <c r="DS2381" s="501"/>
      <c r="DT2381" s="501"/>
      <c r="DU2381" s="501"/>
      <c r="DV2381" s="501"/>
      <c r="DW2381" s="501"/>
      <c r="DX2381" s="501"/>
      <c r="DY2381" s="501"/>
      <c r="DZ2381" s="501"/>
      <c r="EA2381" s="501"/>
      <c r="EB2381" s="501"/>
      <c r="EC2381" s="501"/>
      <c r="ED2381" s="501"/>
      <c r="EE2381" s="501"/>
      <c r="EF2381" s="501"/>
      <c r="EG2381" s="501"/>
      <c r="EH2381" s="501"/>
      <c r="EI2381" s="501"/>
      <c r="EJ2381" s="501"/>
      <c r="EK2381" s="501"/>
      <c r="EL2381" s="501"/>
      <c r="EM2381" s="501"/>
      <c r="EN2381" s="501"/>
      <c r="EO2381" s="501"/>
      <c r="EP2381" s="501"/>
      <c r="EQ2381" s="501"/>
      <c r="ER2381" s="501"/>
      <c r="ES2381" s="501"/>
      <c r="ET2381" s="501"/>
      <c r="EU2381" s="501"/>
      <c r="EV2381" s="501"/>
      <c r="EW2381" s="501"/>
      <c r="EX2381" s="501"/>
      <c r="EY2381" s="501"/>
      <c r="EZ2381" s="501"/>
      <c r="FA2381" s="501"/>
      <c r="FB2381" s="501"/>
      <c r="FC2381" s="501"/>
      <c r="FD2381" s="501"/>
      <c r="FE2381" s="501"/>
      <c r="FF2381" s="501"/>
      <c r="FG2381" s="501"/>
      <c r="FH2381" s="501"/>
      <c r="FI2381" s="501"/>
      <c r="FJ2381" s="501"/>
      <c r="FK2381" s="501"/>
      <c r="FL2381" s="501"/>
      <c r="FM2381" s="501"/>
      <c r="FN2381" s="501"/>
      <c r="FO2381" s="501"/>
      <c r="FP2381" s="501"/>
      <c r="FQ2381" s="501"/>
      <c r="FR2381" s="501"/>
      <c r="FS2381" s="501"/>
      <c r="FT2381" s="501"/>
      <c r="FU2381" s="501"/>
      <c r="FV2381" s="501"/>
      <c r="FW2381" s="501"/>
      <c r="FX2381" s="501"/>
      <c r="FY2381" s="501"/>
      <c r="FZ2381" s="501"/>
      <c r="GA2381" s="501"/>
      <c r="GB2381" s="501"/>
      <c r="GC2381" s="501"/>
      <c r="GD2381" s="501"/>
      <c r="GE2381" s="501"/>
      <c r="GF2381" s="501"/>
      <c r="GG2381" s="501"/>
      <c r="GH2381" s="501"/>
      <c r="GI2381" s="501"/>
      <c r="GJ2381" s="501"/>
      <c r="GK2381" s="501"/>
      <c r="GL2381" s="501"/>
      <c r="GM2381" s="501"/>
      <c r="GN2381" s="501"/>
      <c r="GO2381" s="501"/>
      <c r="GP2381" s="501"/>
      <c r="GQ2381" s="501"/>
      <c r="GR2381" s="501"/>
      <c r="GS2381" s="501"/>
      <c r="GT2381" s="501"/>
      <c r="GU2381" s="501"/>
      <c r="GV2381" s="501"/>
      <c r="GW2381" s="501"/>
      <c r="GX2381" s="501"/>
      <c r="GY2381" s="501"/>
      <c r="GZ2381" s="501"/>
      <c r="HA2381" s="501"/>
      <c r="HB2381" s="501"/>
      <c r="HC2381" s="501"/>
      <c r="HD2381" s="501"/>
      <c r="HE2381" s="501"/>
      <c r="HF2381" s="501"/>
      <c r="HG2381" s="501"/>
      <c r="HH2381" s="501"/>
      <c r="HI2381" s="501"/>
      <c r="HJ2381" s="501"/>
      <c r="HK2381" s="501"/>
      <c r="HL2381" s="501"/>
      <c r="HM2381" s="501"/>
      <c r="HN2381" s="501"/>
      <c r="HO2381" s="501"/>
      <c r="HP2381" s="501"/>
      <c r="HQ2381" s="501"/>
      <c r="HR2381" s="501"/>
      <c r="HS2381" s="501"/>
      <c r="HT2381" s="501"/>
      <c r="HU2381" s="501"/>
      <c r="HV2381" s="501"/>
      <c r="HW2381" s="501"/>
      <c r="HX2381" s="501"/>
      <c r="HY2381" s="501"/>
      <c r="HZ2381" s="501"/>
      <c r="IA2381" s="501"/>
      <c r="IB2381" s="501"/>
      <c r="IC2381" s="501"/>
      <c r="ID2381" s="501"/>
      <c r="IE2381" s="501"/>
      <c r="IF2381" s="501"/>
      <c r="IG2381" s="501"/>
      <c r="IH2381" s="501"/>
      <c r="II2381" s="501"/>
      <c r="IJ2381" s="501"/>
      <c r="IK2381" s="501"/>
      <c r="IL2381" s="501"/>
      <c r="IM2381" s="501"/>
      <c r="IN2381" s="501"/>
      <c r="IO2381" s="501"/>
      <c r="IP2381" s="501"/>
      <c r="IQ2381" s="501"/>
      <c r="IR2381" s="501"/>
      <c r="IS2381" s="501"/>
      <c r="IT2381" s="501"/>
      <c r="IU2381" s="501"/>
    </row>
    <row r="2382" spans="1:255" s="877" customFormat="1" ht="24" customHeight="1">
      <c r="A2382" s="501"/>
      <c r="B2382" s="501"/>
      <c r="C2382" s="501"/>
      <c r="D2382" s="501"/>
      <c r="E2382" s="501"/>
      <c r="F2382" s="501"/>
      <c r="G2382" s="915"/>
      <c r="H2382" s="501"/>
      <c r="I2382" s="874"/>
      <c r="J2382" s="501"/>
      <c r="K2382" s="933"/>
      <c r="L2382" s="874"/>
      <c r="M2382" s="882"/>
      <c r="N2382" s="501"/>
      <c r="O2382" s="501"/>
      <c r="P2382" s="902"/>
      <c r="Q2382" s="876"/>
      <c r="R2382" s="501"/>
      <c r="S2382" s="878"/>
      <c r="T2382" s="501"/>
      <c r="V2382" s="501"/>
      <c r="W2382" s="501"/>
      <c r="X2382" s="501"/>
      <c r="Y2382" s="501"/>
      <c r="Z2382" s="501"/>
      <c r="AA2382" s="501"/>
      <c r="AB2382" s="501"/>
      <c r="AC2382" s="501"/>
      <c r="AD2382" s="501"/>
      <c r="AE2382" s="501"/>
      <c r="AF2382" s="501"/>
      <c r="AG2382" s="501"/>
      <c r="AH2382" s="501"/>
      <c r="AI2382" s="501"/>
      <c r="AJ2382" s="501"/>
      <c r="AK2382" s="501"/>
      <c r="AL2382" s="501"/>
      <c r="AM2382" s="501"/>
      <c r="AN2382" s="501"/>
      <c r="AO2382" s="501"/>
      <c r="AP2382" s="501"/>
      <c r="AQ2382" s="501"/>
      <c r="AR2382" s="501"/>
      <c r="AS2382" s="501"/>
      <c r="AT2382" s="501"/>
      <c r="AU2382" s="501"/>
      <c r="AV2382" s="501"/>
      <c r="AW2382" s="501"/>
      <c r="AX2382" s="501"/>
      <c r="AY2382" s="501"/>
      <c r="AZ2382" s="501"/>
      <c r="BA2382" s="501"/>
      <c r="BB2382" s="501"/>
      <c r="BC2382" s="501"/>
      <c r="BD2382" s="501"/>
      <c r="BE2382" s="501"/>
      <c r="BF2382" s="501"/>
      <c r="BG2382" s="501"/>
      <c r="BH2382" s="501"/>
      <c r="BI2382" s="501"/>
      <c r="BJ2382" s="501"/>
      <c r="BK2382" s="501"/>
      <c r="BL2382" s="501"/>
      <c r="BM2382" s="501"/>
      <c r="BN2382" s="501"/>
      <c r="BO2382" s="501"/>
      <c r="BP2382" s="501"/>
      <c r="BQ2382" s="501"/>
      <c r="BR2382" s="501"/>
      <c r="BS2382" s="501"/>
      <c r="BT2382" s="501"/>
      <c r="BU2382" s="501"/>
      <c r="BV2382" s="501"/>
      <c r="BW2382" s="501"/>
      <c r="BX2382" s="501"/>
      <c r="BY2382" s="501"/>
      <c r="BZ2382" s="501"/>
      <c r="CA2382" s="501"/>
      <c r="CB2382" s="501"/>
      <c r="CC2382" s="501"/>
      <c r="CD2382" s="501"/>
      <c r="CE2382" s="501"/>
      <c r="CF2382" s="501"/>
      <c r="CG2382" s="501"/>
      <c r="CH2382" s="501"/>
      <c r="CI2382" s="501"/>
      <c r="CJ2382" s="501"/>
      <c r="CK2382" s="501"/>
      <c r="CL2382" s="501"/>
      <c r="CM2382" s="501"/>
      <c r="CN2382" s="501"/>
      <c r="CO2382" s="501"/>
      <c r="CP2382" s="501"/>
      <c r="CQ2382" s="501"/>
      <c r="CR2382" s="501"/>
      <c r="CS2382" s="501"/>
      <c r="CT2382" s="501"/>
      <c r="CU2382" s="501"/>
      <c r="CV2382" s="501"/>
      <c r="CW2382" s="501"/>
      <c r="CX2382" s="501"/>
      <c r="CY2382" s="501"/>
      <c r="CZ2382" s="501"/>
      <c r="DA2382" s="501"/>
      <c r="DB2382" s="501"/>
      <c r="DC2382" s="501"/>
      <c r="DD2382" s="501"/>
      <c r="DE2382" s="501"/>
      <c r="DF2382" s="501"/>
      <c r="DG2382" s="501"/>
      <c r="DH2382" s="501"/>
      <c r="DI2382" s="501"/>
      <c r="DJ2382" s="501"/>
      <c r="DK2382" s="501"/>
      <c r="DL2382" s="501"/>
      <c r="DM2382" s="501"/>
      <c r="DN2382" s="501"/>
      <c r="DO2382" s="501"/>
      <c r="DP2382" s="501"/>
      <c r="DQ2382" s="501"/>
      <c r="DR2382" s="501"/>
      <c r="DS2382" s="501"/>
      <c r="DT2382" s="501"/>
      <c r="DU2382" s="501"/>
      <c r="DV2382" s="501"/>
      <c r="DW2382" s="501"/>
      <c r="DX2382" s="501"/>
      <c r="DY2382" s="501"/>
      <c r="DZ2382" s="501"/>
      <c r="EA2382" s="501"/>
      <c r="EB2382" s="501"/>
      <c r="EC2382" s="501"/>
      <c r="ED2382" s="501"/>
      <c r="EE2382" s="501"/>
      <c r="EF2382" s="501"/>
      <c r="EG2382" s="501"/>
      <c r="EH2382" s="501"/>
      <c r="EI2382" s="501"/>
      <c r="EJ2382" s="501"/>
      <c r="EK2382" s="501"/>
      <c r="EL2382" s="501"/>
      <c r="EM2382" s="501"/>
      <c r="EN2382" s="501"/>
      <c r="EO2382" s="501"/>
      <c r="EP2382" s="501"/>
      <c r="EQ2382" s="501"/>
      <c r="ER2382" s="501"/>
      <c r="ES2382" s="501"/>
      <c r="ET2382" s="501"/>
      <c r="EU2382" s="501"/>
      <c r="EV2382" s="501"/>
      <c r="EW2382" s="501"/>
      <c r="EX2382" s="501"/>
      <c r="EY2382" s="501"/>
      <c r="EZ2382" s="501"/>
      <c r="FA2382" s="501"/>
      <c r="FB2382" s="501"/>
      <c r="FC2382" s="501"/>
      <c r="FD2382" s="501"/>
      <c r="FE2382" s="501"/>
      <c r="FF2382" s="501"/>
      <c r="FG2382" s="501"/>
      <c r="FH2382" s="501"/>
      <c r="FI2382" s="501"/>
      <c r="FJ2382" s="501"/>
      <c r="FK2382" s="501"/>
      <c r="FL2382" s="501"/>
      <c r="FM2382" s="501"/>
      <c r="FN2382" s="501"/>
      <c r="FO2382" s="501"/>
      <c r="FP2382" s="501"/>
      <c r="FQ2382" s="501"/>
      <c r="FR2382" s="501"/>
      <c r="FS2382" s="501"/>
      <c r="FT2382" s="501"/>
      <c r="FU2382" s="501"/>
      <c r="FV2382" s="501"/>
      <c r="FW2382" s="501"/>
      <c r="FX2382" s="501"/>
      <c r="FY2382" s="501"/>
      <c r="FZ2382" s="501"/>
      <c r="GA2382" s="501"/>
      <c r="GB2382" s="501"/>
      <c r="GC2382" s="501"/>
      <c r="GD2382" s="501"/>
      <c r="GE2382" s="501"/>
      <c r="GF2382" s="501"/>
      <c r="GG2382" s="501"/>
      <c r="GH2382" s="501"/>
      <c r="GI2382" s="501"/>
      <c r="GJ2382" s="501"/>
      <c r="GK2382" s="501"/>
      <c r="GL2382" s="501"/>
      <c r="GM2382" s="501"/>
      <c r="GN2382" s="501"/>
      <c r="GO2382" s="501"/>
      <c r="GP2382" s="501"/>
      <c r="GQ2382" s="501"/>
      <c r="GR2382" s="501"/>
      <c r="GS2382" s="501"/>
      <c r="GT2382" s="501"/>
      <c r="GU2382" s="501"/>
      <c r="GV2382" s="501"/>
      <c r="GW2382" s="501"/>
      <c r="GX2382" s="501"/>
      <c r="GY2382" s="501"/>
      <c r="GZ2382" s="501"/>
      <c r="HA2382" s="501"/>
      <c r="HB2382" s="501"/>
      <c r="HC2382" s="501"/>
      <c r="HD2382" s="501"/>
      <c r="HE2382" s="501"/>
      <c r="HF2382" s="501"/>
      <c r="HG2382" s="501"/>
      <c r="HH2382" s="501"/>
      <c r="HI2382" s="501"/>
      <c r="HJ2382" s="501"/>
      <c r="HK2382" s="501"/>
      <c r="HL2382" s="501"/>
      <c r="HM2382" s="501"/>
      <c r="HN2382" s="501"/>
      <c r="HO2382" s="501"/>
      <c r="HP2382" s="501"/>
      <c r="HQ2382" s="501"/>
      <c r="HR2382" s="501"/>
      <c r="HS2382" s="501"/>
      <c r="HT2382" s="501"/>
      <c r="HU2382" s="501"/>
      <c r="HV2382" s="501"/>
      <c r="HW2382" s="501"/>
      <c r="HX2382" s="501"/>
      <c r="HY2382" s="501"/>
      <c r="HZ2382" s="501"/>
      <c r="IA2382" s="501"/>
      <c r="IB2382" s="501"/>
      <c r="IC2382" s="501"/>
      <c r="ID2382" s="501"/>
      <c r="IE2382" s="501"/>
      <c r="IF2382" s="501"/>
      <c r="IG2382" s="501"/>
      <c r="IH2382" s="501"/>
      <c r="II2382" s="501"/>
      <c r="IJ2382" s="501"/>
      <c r="IK2382" s="501"/>
      <c r="IL2382" s="501"/>
      <c r="IM2382" s="501"/>
      <c r="IN2382" s="501"/>
      <c r="IO2382" s="501"/>
      <c r="IP2382" s="501"/>
      <c r="IQ2382" s="501"/>
      <c r="IR2382" s="501"/>
      <c r="IS2382" s="501"/>
      <c r="IT2382" s="501"/>
      <c r="IU2382" s="501"/>
    </row>
    <row r="2383" spans="1:255" s="877" customFormat="1" ht="24" customHeight="1">
      <c r="A2383" s="501"/>
      <c r="B2383" s="501"/>
      <c r="C2383" s="501"/>
      <c r="D2383" s="501"/>
      <c r="E2383" s="501"/>
      <c r="F2383" s="501"/>
      <c r="G2383" s="915"/>
      <c r="H2383" s="501"/>
      <c r="I2383" s="874"/>
      <c r="J2383" s="501"/>
      <c r="K2383" s="501"/>
      <c r="L2383" s="874"/>
      <c r="M2383" s="882"/>
      <c r="N2383" s="501"/>
      <c r="O2383" s="501"/>
      <c r="P2383" s="902"/>
      <c r="Q2383" s="876"/>
      <c r="R2383" s="501"/>
      <c r="S2383" s="878"/>
      <c r="T2383" s="501"/>
      <c r="V2383" s="501"/>
      <c r="W2383" s="501"/>
      <c r="X2383" s="501"/>
      <c r="Y2383" s="501"/>
      <c r="Z2383" s="501"/>
      <c r="AA2383" s="501"/>
      <c r="AB2383" s="501"/>
      <c r="AC2383" s="501"/>
      <c r="AD2383" s="501"/>
      <c r="AE2383" s="501"/>
      <c r="AF2383" s="501"/>
      <c r="AG2383" s="501"/>
      <c r="AH2383" s="501"/>
      <c r="AI2383" s="501"/>
      <c r="AJ2383" s="501"/>
      <c r="AK2383" s="501"/>
      <c r="AL2383" s="501"/>
      <c r="AM2383" s="501"/>
      <c r="AN2383" s="501"/>
      <c r="AO2383" s="501"/>
      <c r="AP2383" s="501"/>
      <c r="AQ2383" s="501"/>
      <c r="AR2383" s="501"/>
      <c r="AS2383" s="501"/>
      <c r="AT2383" s="501"/>
      <c r="AU2383" s="501"/>
      <c r="AV2383" s="501"/>
      <c r="AW2383" s="501"/>
      <c r="AX2383" s="501"/>
      <c r="AY2383" s="501"/>
      <c r="AZ2383" s="501"/>
      <c r="BA2383" s="501"/>
      <c r="BB2383" s="501"/>
      <c r="BC2383" s="501"/>
      <c r="BD2383" s="501"/>
      <c r="BE2383" s="501"/>
      <c r="BF2383" s="501"/>
      <c r="BG2383" s="501"/>
      <c r="BH2383" s="501"/>
      <c r="BI2383" s="501"/>
      <c r="BJ2383" s="501"/>
      <c r="BK2383" s="501"/>
      <c r="BL2383" s="501"/>
      <c r="BM2383" s="501"/>
      <c r="BN2383" s="501"/>
      <c r="BO2383" s="501"/>
      <c r="BP2383" s="501"/>
      <c r="BQ2383" s="501"/>
      <c r="BR2383" s="501"/>
      <c r="BS2383" s="501"/>
      <c r="BT2383" s="501"/>
      <c r="BU2383" s="501"/>
      <c r="BV2383" s="501"/>
      <c r="BW2383" s="501"/>
      <c r="BX2383" s="501"/>
      <c r="BY2383" s="501"/>
      <c r="BZ2383" s="501"/>
      <c r="CA2383" s="501"/>
      <c r="CB2383" s="501"/>
      <c r="CC2383" s="501"/>
      <c r="CD2383" s="501"/>
      <c r="CE2383" s="501"/>
      <c r="CF2383" s="501"/>
      <c r="CG2383" s="501"/>
      <c r="CH2383" s="501"/>
      <c r="CI2383" s="501"/>
      <c r="CJ2383" s="501"/>
      <c r="CK2383" s="501"/>
      <c r="CL2383" s="501"/>
      <c r="CM2383" s="501"/>
      <c r="CN2383" s="501"/>
      <c r="CO2383" s="501"/>
      <c r="CP2383" s="501"/>
      <c r="CQ2383" s="501"/>
      <c r="CR2383" s="501"/>
      <c r="CS2383" s="501"/>
      <c r="CT2383" s="501"/>
      <c r="CU2383" s="501"/>
      <c r="CV2383" s="501"/>
      <c r="CW2383" s="501"/>
      <c r="CX2383" s="501"/>
      <c r="CY2383" s="501"/>
      <c r="CZ2383" s="501"/>
      <c r="DA2383" s="501"/>
      <c r="DB2383" s="501"/>
      <c r="DC2383" s="501"/>
      <c r="DD2383" s="501"/>
      <c r="DE2383" s="501"/>
      <c r="DF2383" s="501"/>
      <c r="DG2383" s="501"/>
      <c r="DH2383" s="501"/>
      <c r="DI2383" s="501"/>
      <c r="DJ2383" s="501"/>
      <c r="DK2383" s="501"/>
      <c r="DL2383" s="501"/>
      <c r="DM2383" s="501"/>
      <c r="DN2383" s="501"/>
      <c r="DO2383" s="501"/>
      <c r="DP2383" s="501"/>
      <c r="DQ2383" s="501"/>
      <c r="DR2383" s="501"/>
      <c r="DS2383" s="501"/>
      <c r="DT2383" s="501"/>
      <c r="DU2383" s="501"/>
      <c r="DV2383" s="501"/>
      <c r="DW2383" s="501"/>
      <c r="DX2383" s="501"/>
      <c r="DY2383" s="501"/>
      <c r="DZ2383" s="501"/>
      <c r="EA2383" s="501"/>
      <c r="EB2383" s="501"/>
      <c r="EC2383" s="501"/>
      <c r="ED2383" s="501"/>
      <c r="EE2383" s="501"/>
      <c r="EF2383" s="501"/>
      <c r="EG2383" s="501"/>
      <c r="EH2383" s="501"/>
      <c r="EI2383" s="501"/>
      <c r="EJ2383" s="501"/>
      <c r="EK2383" s="501"/>
      <c r="EL2383" s="501"/>
      <c r="EM2383" s="501"/>
      <c r="EN2383" s="501"/>
      <c r="EO2383" s="501"/>
      <c r="EP2383" s="501"/>
      <c r="EQ2383" s="501"/>
      <c r="ER2383" s="501"/>
      <c r="ES2383" s="501"/>
      <c r="ET2383" s="501"/>
      <c r="EU2383" s="501"/>
      <c r="EV2383" s="501"/>
      <c r="EW2383" s="501"/>
      <c r="EX2383" s="501"/>
      <c r="EY2383" s="501"/>
      <c r="EZ2383" s="501"/>
      <c r="FA2383" s="501"/>
      <c r="FB2383" s="501"/>
      <c r="FC2383" s="501"/>
      <c r="FD2383" s="501"/>
      <c r="FE2383" s="501"/>
      <c r="FF2383" s="501"/>
      <c r="FG2383" s="501"/>
      <c r="FH2383" s="501"/>
      <c r="FI2383" s="501"/>
      <c r="FJ2383" s="501"/>
      <c r="FK2383" s="501"/>
      <c r="FL2383" s="501"/>
      <c r="FM2383" s="501"/>
      <c r="FN2383" s="501"/>
      <c r="FO2383" s="501"/>
      <c r="FP2383" s="501"/>
      <c r="FQ2383" s="501"/>
      <c r="FR2383" s="501"/>
      <c r="FS2383" s="501"/>
      <c r="FT2383" s="501"/>
      <c r="FU2383" s="501"/>
      <c r="FV2383" s="501"/>
      <c r="FW2383" s="501"/>
      <c r="FX2383" s="501"/>
      <c r="FY2383" s="501"/>
      <c r="FZ2383" s="501"/>
      <c r="GA2383" s="501"/>
      <c r="GB2383" s="501"/>
      <c r="GC2383" s="501"/>
      <c r="GD2383" s="501"/>
      <c r="GE2383" s="501"/>
      <c r="GF2383" s="501"/>
      <c r="GG2383" s="501"/>
      <c r="GH2383" s="501"/>
      <c r="GI2383" s="501"/>
      <c r="GJ2383" s="501"/>
      <c r="GK2383" s="501"/>
      <c r="GL2383" s="501"/>
      <c r="GM2383" s="501"/>
      <c r="GN2383" s="501"/>
      <c r="GO2383" s="501"/>
      <c r="GP2383" s="501"/>
      <c r="GQ2383" s="501"/>
      <c r="GR2383" s="501"/>
      <c r="GS2383" s="501"/>
      <c r="GT2383" s="501"/>
      <c r="GU2383" s="501"/>
      <c r="GV2383" s="501"/>
      <c r="GW2383" s="501"/>
      <c r="GX2383" s="501"/>
      <c r="GY2383" s="501"/>
      <c r="GZ2383" s="501"/>
      <c r="HA2383" s="501"/>
      <c r="HB2383" s="501"/>
      <c r="HC2383" s="501"/>
      <c r="HD2383" s="501"/>
      <c r="HE2383" s="501"/>
      <c r="HF2383" s="501"/>
      <c r="HG2383" s="501"/>
      <c r="HH2383" s="501"/>
      <c r="HI2383" s="501"/>
      <c r="HJ2383" s="501"/>
      <c r="HK2383" s="501"/>
      <c r="HL2383" s="501"/>
      <c r="HM2383" s="501"/>
      <c r="HN2383" s="501"/>
      <c r="HO2383" s="501"/>
      <c r="HP2383" s="501"/>
      <c r="HQ2383" s="501"/>
      <c r="HR2383" s="501"/>
      <c r="HS2383" s="501"/>
      <c r="HT2383" s="501"/>
      <c r="HU2383" s="501"/>
      <c r="HV2383" s="501"/>
      <c r="HW2383" s="501"/>
      <c r="HX2383" s="501"/>
      <c r="HY2383" s="501"/>
      <c r="HZ2383" s="501"/>
      <c r="IA2383" s="501"/>
      <c r="IB2383" s="501"/>
      <c r="IC2383" s="501"/>
      <c r="ID2383" s="501"/>
      <c r="IE2383" s="501"/>
      <c r="IF2383" s="501"/>
      <c r="IG2383" s="501"/>
      <c r="IH2383" s="501"/>
      <c r="II2383" s="501"/>
      <c r="IJ2383" s="501"/>
      <c r="IK2383" s="501"/>
      <c r="IL2383" s="501"/>
      <c r="IM2383" s="501"/>
      <c r="IN2383" s="501"/>
      <c r="IO2383" s="501"/>
      <c r="IP2383" s="501"/>
      <c r="IQ2383" s="501"/>
      <c r="IR2383" s="501"/>
      <c r="IS2383" s="501"/>
      <c r="IT2383" s="501"/>
      <c r="IU2383" s="501"/>
    </row>
    <row r="2384" spans="1:255" s="877" customFormat="1" ht="24" customHeight="1">
      <c r="A2384" s="501"/>
      <c r="B2384" s="501"/>
      <c r="C2384" s="501"/>
      <c r="D2384" s="501"/>
      <c r="E2384" s="501"/>
      <c r="F2384" s="501"/>
      <c r="G2384" s="915"/>
      <c r="H2384" s="501"/>
      <c r="I2384" s="874"/>
      <c r="J2384" s="501"/>
      <c r="K2384" s="501"/>
      <c r="L2384" s="874"/>
      <c r="M2384" s="882"/>
      <c r="N2384" s="501"/>
      <c r="O2384" s="501"/>
      <c r="P2384" s="902"/>
      <c r="Q2384" s="881"/>
      <c r="R2384" s="881"/>
      <c r="S2384" s="878"/>
      <c r="T2384" s="545"/>
      <c r="V2384" s="501"/>
      <c r="W2384" s="501"/>
      <c r="X2384" s="501"/>
      <c r="Y2384" s="501"/>
      <c r="Z2384" s="501"/>
      <c r="AA2384" s="501"/>
      <c r="AB2384" s="501"/>
      <c r="AC2384" s="501"/>
      <c r="AD2384" s="501"/>
      <c r="AE2384" s="501"/>
      <c r="AF2384" s="501"/>
      <c r="AG2384" s="501"/>
      <c r="AH2384" s="501"/>
      <c r="AI2384" s="501"/>
      <c r="AJ2384" s="501"/>
      <c r="AK2384" s="501"/>
      <c r="AL2384" s="501"/>
      <c r="AM2384" s="501"/>
      <c r="AN2384" s="501"/>
      <c r="AO2384" s="501"/>
      <c r="AP2384" s="501"/>
      <c r="AQ2384" s="501"/>
      <c r="AR2384" s="501"/>
      <c r="AS2384" s="501"/>
      <c r="AT2384" s="501"/>
      <c r="AU2384" s="501"/>
      <c r="AV2384" s="501"/>
      <c r="AW2384" s="501"/>
      <c r="AX2384" s="501"/>
      <c r="AY2384" s="501"/>
      <c r="AZ2384" s="501"/>
      <c r="BA2384" s="501"/>
      <c r="BB2384" s="501"/>
      <c r="BC2384" s="501"/>
      <c r="BD2384" s="501"/>
      <c r="BE2384" s="501"/>
      <c r="BF2384" s="501"/>
      <c r="BG2384" s="501"/>
      <c r="BH2384" s="501"/>
      <c r="BI2384" s="501"/>
      <c r="BJ2384" s="501"/>
      <c r="BK2384" s="501"/>
      <c r="BL2384" s="501"/>
      <c r="BM2384" s="501"/>
      <c r="BN2384" s="501"/>
      <c r="BO2384" s="501"/>
      <c r="BP2384" s="501"/>
      <c r="BQ2384" s="501"/>
      <c r="BR2384" s="501"/>
      <c r="BS2384" s="501"/>
      <c r="BT2384" s="501"/>
      <c r="BU2384" s="501"/>
      <c r="BV2384" s="501"/>
      <c r="BW2384" s="501"/>
      <c r="BX2384" s="501"/>
      <c r="BY2384" s="501"/>
      <c r="BZ2384" s="501"/>
      <c r="CA2384" s="501"/>
      <c r="CB2384" s="501"/>
      <c r="CC2384" s="501"/>
      <c r="CD2384" s="501"/>
      <c r="CE2384" s="501"/>
      <c r="CF2384" s="501"/>
      <c r="CG2384" s="501"/>
      <c r="CH2384" s="501"/>
      <c r="CI2384" s="501"/>
      <c r="CJ2384" s="501"/>
      <c r="CK2384" s="501"/>
      <c r="CL2384" s="501"/>
      <c r="CM2384" s="501"/>
      <c r="CN2384" s="501"/>
      <c r="CO2384" s="501"/>
      <c r="CP2384" s="501"/>
      <c r="CQ2384" s="501"/>
      <c r="CR2384" s="501"/>
      <c r="CS2384" s="501"/>
      <c r="CT2384" s="501"/>
      <c r="CU2384" s="501"/>
      <c r="CV2384" s="501"/>
      <c r="CW2384" s="501"/>
      <c r="CX2384" s="501"/>
      <c r="CY2384" s="501"/>
      <c r="CZ2384" s="501"/>
      <c r="DA2384" s="501"/>
      <c r="DB2384" s="501"/>
      <c r="DC2384" s="501"/>
      <c r="DD2384" s="501"/>
      <c r="DE2384" s="501"/>
      <c r="DF2384" s="501"/>
      <c r="DG2384" s="501"/>
      <c r="DH2384" s="501"/>
      <c r="DI2384" s="501"/>
      <c r="DJ2384" s="501"/>
      <c r="DK2384" s="501"/>
      <c r="DL2384" s="501"/>
      <c r="DM2384" s="501"/>
      <c r="DN2384" s="501"/>
      <c r="DO2384" s="501"/>
      <c r="DP2384" s="501"/>
      <c r="DQ2384" s="501"/>
      <c r="DR2384" s="501"/>
      <c r="DS2384" s="501"/>
      <c r="DT2384" s="501"/>
      <c r="DU2384" s="501"/>
      <c r="DV2384" s="501"/>
      <c r="DW2384" s="501"/>
      <c r="DX2384" s="501"/>
      <c r="DY2384" s="501"/>
      <c r="DZ2384" s="501"/>
      <c r="EA2384" s="501"/>
      <c r="EB2384" s="501"/>
      <c r="EC2384" s="501"/>
      <c r="ED2384" s="501"/>
      <c r="EE2384" s="501"/>
      <c r="EF2384" s="501"/>
      <c r="EG2384" s="501"/>
      <c r="EH2384" s="501"/>
      <c r="EI2384" s="501"/>
      <c r="EJ2384" s="501"/>
      <c r="EK2384" s="501"/>
      <c r="EL2384" s="501"/>
      <c r="EM2384" s="501"/>
      <c r="EN2384" s="501"/>
      <c r="EO2384" s="501"/>
      <c r="EP2384" s="501"/>
      <c r="EQ2384" s="501"/>
      <c r="ER2384" s="501"/>
      <c r="ES2384" s="501"/>
      <c r="ET2384" s="501"/>
      <c r="EU2384" s="501"/>
      <c r="EV2384" s="501"/>
      <c r="EW2384" s="501"/>
      <c r="EX2384" s="501"/>
      <c r="EY2384" s="501"/>
      <c r="EZ2384" s="501"/>
      <c r="FA2384" s="501"/>
      <c r="FB2384" s="501"/>
      <c r="FC2384" s="501"/>
      <c r="FD2384" s="501"/>
      <c r="FE2384" s="501"/>
      <c r="FF2384" s="501"/>
      <c r="FG2384" s="501"/>
      <c r="FH2384" s="501"/>
      <c r="FI2384" s="501"/>
      <c r="FJ2384" s="501"/>
      <c r="FK2384" s="501"/>
      <c r="FL2384" s="501"/>
      <c r="FM2384" s="501"/>
      <c r="FN2384" s="501"/>
      <c r="FO2384" s="501"/>
      <c r="FP2384" s="501"/>
      <c r="FQ2384" s="501"/>
      <c r="FR2384" s="501"/>
      <c r="FS2384" s="501"/>
      <c r="FT2384" s="501"/>
      <c r="FU2384" s="501"/>
      <c r="FV2384" s="501"/>
      <c r="FW2384" s="501"/>
      <c r="FX2384" s="501"/>
      <c r="FY2384" s="501"/>
      <c r="FZ2384" s="501"/>
      <c r="GA2384" s="501"/>
      <c r="GB2384" s="501"/>
      <c r="GC2384" s="501"/>
      <c r="GD2384" s="501"/>
      <c r="GE2384" s="501"/>
      <c r="GF2384" s="501"/>
      <c r="GG2384" s="501"/>
      <c r="GH2384" s="501"/>
      <c r="GI2384" s="501"/>
      <c r="GJ2384" s="501"/>
      <c r="GK2384" s="501"/>
      <c r="GL2384" s="501"/>
      <c r="GM2384" s="501"/>
      <c r="GN2384" s="501"/>
      <c r="GO2384" s="501"/>
      <c r="GP2384" s="501"/>
      <c r="GQ2384" s="501"/>
      <c r="GR2384" s="501"/>
      <c r="GS2384" s="501"/>
      <c r="GT2384" s="501"/>
      <c r="GU2384" s="501"/>
      <c r="GV2384" s="501"/>
      <c r="GW2384" s="501"/>
      <c r="GX2384" s="501"/>
      <c r="GY2384" s="501"/>
      <c r="GZ2384" s="501"/>
      <c r="HA2384" s="501"/>
      <c r="HB2384" s="501"/>
      <c r="HC2384" s="501"/>
      <c r="HD2384" s="501"/>
      <c r="HE2384" s="501"/>
      <c r="HF2384" s="501"/>
      <c r="HG2384" s="501"/>
      <c r="HH2384" s="501"/>
      <c r="HI2384" s="501"/>
      <c r="HJ2384" s="501"/>
      <c r="HK2384" s="501"/>
      <c r="HL2384" s="501"/>
      <c r="HM2384" s="501"/>
      <c r="HN2384" s="501"/>
      <c r="HO2384" s="501"/>
      <c r="HP2384" s="501"/>
      <c r="HQ2384" s="501"/>
      <c r="HR2384" s="501"/>
      <c r="HS2384" s="501"/>
      <c r="HT2384" s="501"/>
      <c r="HU2384" s="501"/>
      <c r="HV2384" s="501"/>
      <c r="HW2384" s="501"/>
      <c r="HX2384" s="501"/>
      <c r="HY2384" s="501"/>
      <c r="HZ2384" s="501"/>
      <c r="IA2384" s="501"/>
      <c r="IB2384" s="501"/>
      <c r="IC2384" s="501"/>
      <c r="ID2384" s="501"/>
      <c r="IE2384" s="501"/>
      <c r="IF2384" s="501"/>
      <c r="IG2384" s="501"/>
      <c r="IH2384" s="501"/>
      <c r="II2384" s="501"/>
      <c r="IJ2384" s="501"/>
      <c r="IK2384" s="501"/>
      <c r="IL2384" s="501"/>
      <c r="IM2384" s="501"/>
      <c r="IN2384" s="501"/>
      <c r="IO2384" s="501"/>
      <c r="IP2384" s="501"/>
      <c r="IQ2384" s="501"/>
      <c r="IR2384" s="501"/>
      <c r="IS2384" s="501"/>
      <c r="IT2384" s="501"/>
      <c r="IU2384" s="501"/>
    </row>
    <row r="2385" spans="1:255" s="877" customFormat="1" ht="24" customHeight="1">
      <c r="A2385" s="501"/>
      <c r="B2385" s="501"/>
      <c r="C2385" s="501"/>
      <c r="D2385" s="501"/>
      <c r="E2385" s="501"/>
      <c r="F2385" s="501"/>
      <c r="G2385" s="915"/>
      <c r="H2385" s="501"/>
      <c r="I2385" s="874"/>
      <c r="J2385" s="501"/>
      <c r="K2385" s="501"/>
      <c r="L2385" s="874"/>
      <c r="M2385" s="882"/>
      <c r="N2385" s="501"/>
      <c r="O2385" s="501"/>
      <c r="P2385" s="901"/>
      <c r="Q2385" s="876"/>
      <c r="R2385" s="882"/>
      <c r="S2385" s="880"/>
      <c r="T2385" s="545"/>
      <c r="V2385" s="501"/>
      <c r="W2385" s="501"/>
      <c r="X2385" s="501"/>
      <c r="Y2385" s="501"/>
      <c r="Z2385" s="501"/>
      <c r="AA2385" s="501"/>
      <c r="AB2385" s="501"/>
      <c r="AC2385" s="501"/>
      <c r="AD2385" s="501"/>
      <c r="AE2385" s="501"/>
      <c r="AF2385" s="501"/>
      <c r="AG2385" s="501"/>
      <c r="AH2385" s="501"/>
      <c r="AI2385" s="501"/>
      <c r="AJ2385" s="501"/>
      <c r="AK2385" s="501"/>
      <c r="AL2385" s="501"/>
      <c r="AM2385" s="501"/>
      <c r="AN2385" s="501"/>
      <c r="AO2385" s="501"/>
      <c r="AP2385" s="501"/>
      <c r="AQ2385" s="501"/>
      <c r="AR2385" s="501"/>
      <c r="AS2385" s="501"/>
      <c r="AT2385" s="501"/>
      <c r="AU2385" s="501"/>
      <c r="AV2385" s="501"/>
      <c r="AW2385" s="501"/>
      <c r="AX2385" s="501"/>
      <c r="AY2385" s="501"/>
      <c r="AZ2385" s="501"/>
      <c r="BA2385" s="501"/>
      <c r="BB2385" s="501"/>
      <c r="BC2385" s="501"/>
      <c r="BD2385" s="501"/>
      <c r="BE2385" s="501"/>
      <c r="BF2385" s="501"/>
      <c r="BG2385" s="501"/>
      <c r="BH2385" s="501"/>
      <c r="BI2385" s="501"/>
      <c r="BJ2385" s="501"/>
      <c r="BK2385" s="501"/>
      <c r="BL2385" s="501"/>
      <c r="BM2385" s="501"/>
      <c r="BN2385" s="501"/>
      <c r="BO2385" s="501"/>
      <c r="BP2385" s="501"/>
      <c r="BQ2385" s="501"/>
      <c r="BR2385" s="501"/>
      <c r="BS2385" s="501"/>
      <c r="BT2385" s="501"/>
      <c r="BU2385" s="501"/>
      <c r="BV2385" s="501"/>
      <c r="BW2385" s="501"/>
      <c r="BX2385" s="501"/>
      <c r="BY2385" s="501"/>
      <c r="BZ2385" s="501"/>
      <c r="CA2385" s="501"/>
      <c r="CB2385" s="501"/>
      <c r="CC2385" s="501"/>
      <c r="CD2385" s="501"/>
      <c r="CE2385" s="501"/>
      <c r="CF2385" s="501"/>
      <c r="CG2385" s="501"/>
      <c r="CH2385" s="501"/>
      <c r="CI2385" s="501"/>
      <c r="CJ2385" s="501"/>
      <c r="CK2385" s="501"/>
      <c r="CL2385" s="501"/>
      <c r="CM2385" s="501"/>
      <c r="CN2385" s="501"/>
      <c r="CO2385" s="501"/>
      <c r="CP2385" s="501"/>
      <c r="CQ2385" s="501"/>
      <c r="CR2385" s="501"/>
      <c r="CS2385" s="501"/>
      <c r="CT2385" s="501"/>
      <c r="CU2385" s="501"/>
      <c r="CV2385" s="501"/>
      <c r="CW2385" s="501"/>
      <c r="CX2385" s="501"/>
      <c r="CY2385" s="501"/>
      <c r="CZ2385" s="501"/>
      <c r="DA2385" s="501"/>
      <c r="DB2385" s="501"/>
      <c r="DC2385" s="501"/>
      <c r="DD2385" s="501"/>
      <c r="DE2385" s="501"/>
      <c r="DF2385" s="501"/>
      <c r="DG2385" s="501"/>
      <c r="DH2385" s="501"/>
      <c r="DI2385" s="501"/>
      <c r="DJ2385" s="501"/>
      <c r="DK2385" s="501"/>
      <c r="DL2385" s="501"/>
      <c r="DM2385" s="501"/>
      <c r="DN2385" s="501"/>
      <c r="DO2385" s="501"/>
      <c r="DP2385" s="501"/>
      <c r="DQ2385" s="501"/>
      <c r="DR2385" s="501"/>
      <c r="DS2385" s="501"/>
      <c r="DT2385" s="501"/>
      <c r="DU2385" s="501"/>
      <c r="DV2385" s="501"/>
      <c r="DW2385" s="501"/>
      <c r="DX2385" s="501"/>
      <c r="DY2385" s="501"/>
      <c r="DZ2385" s="501"/>
      <c r="EA2385" s="501"/>
      <c r="EB2385" s="501"/>
      <c r="EC2385" s="501"/>
      <c r="ED2385" s="501"/>
      <c r="EE2385" s="501"/>
      <c r="EF2385" s="501"/>
      <c r="EG2385" s="501"/>
      <c r="EH2385" s="501"/>
      <c r="EI2385" s="501"/>
      <c r="EJ2385" s="501"/>
      <c r="EK2385" s="501"/>
      <c r="EL2385" s="501"/>
      <c r="EM2385" s="501"/>
      <c r="EN2385" s="501"/>
      <c r="EO2385" s="501"/>
      <c r="EP2385" s="501"/>
      <c r="EQ2385" s="501"/>
      <c r="ER2385" s="501"/>
      <c r="ES2385" s="501"/>
      <c r="ET2385" s="501"/>
      <c r="EU2385" s="501"/>
      <c r="EV2385" s="501"/>
      <c r="EW2385" s="501"/>
      <c r="EX2385" s="501"/>
      <c r="EY2385" s="501"/>
      <c r="EZ2385" s="501"/>
      <c r="FA2385" s="501"/>
      <c r="FB2385" s="501"/>
      <c r="FC2385" s="501"/>
      <c r="FD2385" s="501"/>
      <c r="FE2385" s="501"/>
      <c r="FF2385" s="501"/>
      <c r="FG2385" s="501"/>
      <c r="FH2385" s="501"/>
      <c r="FI2385" s="501"/>
      <c r="FJ2385" s="501"/>
      <c r="FK2385" s="501"/>
      <c r="FL2385" s="501"/>
      <c r="FM2385" s="501"/>
      <c r="FN2385" s="501"/>
      <c r="FO2385" s="501"/>
      <c r="FP2385" s="501"/>
      <c r="FQ2385" s="501"/>
      <c r="FR2385" s="501"/>
      <c r="FS2385" s="501"/>
      <c r="FT2385" s="501"/>
      <c r="FU2385" s="501"/>
      <c r="FV2385" s="501"/>
      <c r="FW2385" s="501"/>
      <c r="FX2385" s="501"/>
      <c r="FY2385" s="501"/>
      <c r="FZ2385" s="501"/>
      <c r="GA2385" s="501"/>
      <c r="GB2385" s="501"/>
      <c r="GC2385" s="501"/>
      <c r="GD2385" s="501"/>
      <c r="GE2385" s="501"/>
      <c r="GF2385" s="501"/>
      <c r="GG2385" s="501"/>
      <c r="GH2385" s="501"/>
      <c r="GI2385" s="501"/>
      <c r="GJ2385" s="501"/>
      <c r="GK2385" s="501"/>
      <c r="GL2385" s="501"/>
      <c r="GM2385" s="501"/>
      <c r="GN2385" s="501"/>
      <c r="GO2385" s="501"/>
      <c r="GP2385" s="501"/>
      <c r="GQ2385" s="501"/>
      <c r="GR2385" s="501"/>
      <c r="GS2385" s="501"/>
      <c r="GT2385" s="501"/>
      <c r="GU2385" s="501"/>
      <c r="GV2385" s="501"/>
      <c r="GW2385" s="501"/>
      <c r="GX2385" s="501"/>
      <c r="GY2385" s="501"/>
      <c r="GZ2385" s="501"/>
      <c r="HA2385" s="501"/>
      <c r="HB2385" s="501"/>
      <c r="HC2385" s="501"/>
      <c r="HD2385" s="501"/>
      <c r="HE2385" s="501"/>
      <c r="HF2385" s="501"/>
      <c r="HG2385" s="501"/>
      <c r="HH2385" s="501"/>
      <c r="HI2385" s="501"/>
      <c r="HJ2385" s="501"/>
      <c r="HK2385" s="501"/>
      <c r="HL2385" s="501"/>
      <c r="HM2385" s="501"/>
      <c r="HN2385" s="501"/>
      <c r="HO2385" s="501"/>
      <c r="HP2385" s="501"/>
      <c r="HQ2385" s="501"/>
      <c r="HR2385" s="501"/>
      <c r="HS2385" s="501"/>
      <c r="HT2385" s="501"/>
      <c r="HU2385" s="501"/>
      <c r="HV2385" s="501"/>
      <c r="HW2385" s="501"/>
      <c r="HX2385" s="501"/>
      <c r="HY2385" s="501"/>
      <c r="HZ2385" s="501"/>
      <c r="IA2385" s="501"/>
      <c r="IB2385" s="501"/>
      <c r="IC2385" s="501"/>
      <c r="ID2385" s="501"/>
      <c r="IE2385" s="501"/>
      <c r="IF2385" s="501"/>
      <c r="IG2385" s="501"/>
      <c r="IH2385" s="501"/>
      <c r="II2385" s="501"/>
      <c r="IJ2385" s="501"/>
      <c r="IK2385" s="501"/>
      <c r="IL2385" s="501"/>
      <c r="IM2385" s="501"/>
      <c r="IN2385" s="501"/>
      <c r="IO2385" s="501"/>
      <c r="IP2385" s="501"/>
      <c r="IQ2385" s="501"/>
      <c r="IR2385" s="501"/>
      <c r="IS2385" s="501"/>
      <c r="IT2385" s="501"/>
      <c r="IU2385" s="501"/>
    </row>
    <row r="2386" spans="1:255" s="877" customFormat="1" ht="24" customHeight="1">
      <c r="A2386" s="501"/>
      <c r="B2386" s="501"/>
      <c r="C2386" s="501"/>
      <c r="D2386" s="501"/>
      <c r="E2386" s="501"/>
      <c r="F2386" s="501"/>
      <c r="G2386" s="915"/>
      <c r="H2386" s="501"/>
      <c r="I2386" s="874"/>
      <c r="J2386" s="501"/>
      <c r="K2386" s="501"/>
      <c r="L2386" s="874"/>
      <c r="M2386" s="883"/>
      <c r="N2386" s="501"/>
      <c r="O2386" s="501"/>
      <c r="P2386" s="901"/>
      <c r="Q2386" s="876"/>
      <c r="R2386" s="882"/>
      <c r="S2386" s="880"/>
      <c r="T2386" s="545"/>
      <c r="V2386" s="501"/>
      <c r="W2386" s="501"/>
      <c r="X2386" s="501"/>
      <c r="Y2386" s="501"/>
      <c r="Z2386" s="501"/>
      <c r="AA2386" s="501"/>
      <c r="AB2386" s="501"/>
      <c r="AC2386" s="501"/>
      <c r="AD2386" s="501"/>
      <c r="AE2386" s="501"/>
      <c r="AF2386" s="501"/>
      <c r="AG2386" s="501"/>
      <c r="AH2386" s="501"/>
      <c r="AI2386" s="501"/>
      <c r="AJ2386" s="501"/>
      <c r="AK2386" s="501"/>
      <c r="AL2386" s="501"/>
      <c r="AM2386" s="501"/>
      <c r="AN2386" s="501"/>
      <c r="AO2386" s="501"/>
      <c r="AP2386" s="501"/>
      <c r="AQ2386" s="501"/>
      <c r="AR2386" s="501"/>
      <c r="AS2386" s="501"/>
      <c r="AT2386" s="501"/>
      <c r="AU2386" s="501"/>
      <c r="AV2386" s="501"/>
      <c r="AW2386" s="501"/>
      <c r="AX2386" s="501"/>
      <c r="AY2386" s="501"/>
      <c r="AZ2386" s="501"/>
      <c r="BA2386" s="501"/>
      <c r="BB2386" s="501"/>
      <c r="BC2386" s="501"/>
      <c r="BD2386" s="501"/>
      <c r="BE2386" s="501"/>
      <c r="BF2386" s="501"/>
      <c r="BG2386" s="501"/>
      <c r="BH2386" s="501"/>
      <c r="BI2386" s="501"/>
      <c r="BJ2386" s="501"/>
      <c r="BK2386" s="501"/>
      <c r="BL2386" s="501"/>
      <c r="BM2386" s="501"/>
      <c r="BN2386" s="501"/>
      <c r="BO2386" s="501"/>
      <c r="BP2386" s="501"/>
      <c r="BQ2386" s="501"/>
      <c r="BR2386" s="501"/>
      <c r="BS2386" s="501"/>
      <c r="BT2386" s="501"/>
      <c r="BU2386" s="501"/>
      <c r="BV2386" s="501"/>
      <c r="BW2386" s="501"/>
      <c r="BX2386" s="501"/>
      <c r="BY2386" s="501"/>
      <c r="BZ2386" s="501"/>
      <c r="CA2386" s="501"/>
      <c r="CB2386" s="501"/>
      <c r="CC2386" s="501"/>
      <c r="CD2386" s="501"/>
      <c r="CE2386" s="501"/>
      <c r="CF2386" s="501"/>
      <c r="CG2386" s="501"/>
      <c r="CH2386" s="501"/>
      <c r="CI2386" s="501"/>
      <c r="CJ2386" s="501"/>
      <c r="CK2386" s="501"/>
      <c r="CL2386" s="501"/>
      <c r="CM2386" s="501"/>
      <c r="CN2386" s="501"/>
      <c r="CO2386" s="501"/>
      <c r="CP2386" s="501"/>
      <c r="CQ2386" s="501"/>
      <c r="CR2386" s="501"/>
      <c r="CS2386" s="501"/>
      <c r="CT2386" s="501"/>
      <c r="CU2386" s="501"/>
      <c r="CV2386" s="501"/>
      <c r="CW2386" s="501"/>
      <c r="CX2386" s="501"/>
      <c r="CY2386" s="501"/>
      <c r="CZ2386" s="501"/>
      <c r="DA2386" s="501"/>
      <c r="DB2386" s="501"/>
      <c r="DC2386" s="501"/>
      <c r="DD2386" s="501"/>
      <c r="DE2386" s="501"/>
      <c r="DF2386" s="501"/>
      <c r="DG2386" s="501"/>
      <c r="DH2386" s="501"/>
      <c r="DI2386" s="501"/>
      <c r="DJ2386" s="501"/>
      <c r="DK2386" s="501"/>
      <c r="DL2386" s="501"/>
      <c r="DM2386" s="501"/>
      <c r="DN2386" s="501"/>
      <c r="DO2386" s="501"/>
      <c r="DP2386" s="501"/>
      <c r="DQ2386" s="501"/>
      <c r="DR2386" s="501"/>
      <c r="DS2386" s="501"/>
      <c r="DT2386" s="501"/>
      <c r="DU2386" s="501"/>
      <c r="DV2386" s="501"/>
      <c r="DW2386" s="501"/>
      <c r="DX2386" s="501"/>
      <c r="DY2386" s="501"/>
      <c r="DZ2386" s="501"/>
      <c r="EA2386" s="501"/>
      <c r="EB2386" s="501"/>
      <c r="EC2386" s="501"/>
      <c r="ED2386" s="501"/>
      <c r="EE2386" s="501"/>
      <c r="EF2386" s="501"/>
      <c r="EG2386" s="501"/>
      <c r="EH2386" s="501"/>
      <c r="EI2386" s="501"/>
      <c r="EJ2386" s="501"/>
      <c r="EK2386" s="501"/>
      <c r="EL2386" s="501"/>
      <c r="EM2386" s="501"/>
      <c r="EN2386" s="501"/>
      <c r="EO2386" s="501"/>
      <c r="EP2386" s="501"/>
      <c r="EQ2386" s="501"/>
      <c r="ER2386" s="501"/>
      <c r="ES2386" s="501"/>
      <c r="ET2386" s="501"/>
      <c r="EU2386" s="501"/>
      <c r="EV2386" s="501"/>
      <c r="EW2386" s="501"/>
      <c r="EX2386" s="501"/>
      <c r="EY2386" s="501"/>
      <c r="EZ2386" s="501"/>
      <c r="FA2386" s="501"/>
      <c r="FB2386" s="501"/>
      <c r="FC2386" s="501"/>
      <c r="FD2386" s="501"/>
      <c r="FE2386" s="501"/>
      <c r="FF2386" s="501"/>
      <c r="FG2386" s="501"/>
      <c r="FH2386" s="501"/>
      <c r="FI2386" s="501"/>
      <c r="FJ2386" s="501"/>
      <c r="FK2386" s="501"/>
      <c r="FL2386" s="501"/>
      <c r="FM2386" s="501"/>
      <c r="FN2386" s="501"/>
      <c r="FO2386" s="501"/>
      <c r="FP2386" s="501"/>
      <c r="FQ2386" s="501"/>
      <c r="FR2386" s="501"/>
      <c r="FS2386" s="501"/>
      <c r="FT2386" s="501"/>
      <c r="FU2386" s="501"/>
      <c r="FV2386" s="501"/>
      <c r="FW2386" s="501"/>
      <c r="FX2386" s="501"/>
      <c r="FY2386" s="501"/>
      <c r="FZ2386" s="501"/>
      <c r="GA2386" s="501"/>
      <c r="GB2386" s="501"/>
      <c r="GC2386" s="501"/>
      <c r="GD2386" s="501"/>
      <c r="GE2386" s="501"/>
      <c r="GF2386" s="501"/>
      <c r="GG2386" s="501"/>
      <c r="GH2386" s="501"/>
      <c r="GI2386" s="501"/>
      <c r="GJ2386" s="501"/>
      <c r="GK2386" s="501"/>
      <c r="GL2386" s="501"/>
      <c r="GM2386" s="501"/>
      <c r="GN2386" s="501"/>
      <c r="GO2386" s="501"/>
      <c r="GP2386" s="501"/>
      <c r="GQ2386" s="501"/>
      <c r="GR2386" s="501"/>
      <c r="GS2386" s="501"/>
      <c r="GT2386" s="501"/>
      <c r="GU2386" s="501"/>
      <c r="GV2386" s="501"/>
      <c r="GW2386" s="501"/>
      <c r="GX2386" s="501"/>
      <c r="GY2386" s="501"/>
      <c r="GZ2386" s="501"/>
      <c r="HA2386" s="501"/>
      <c r="HB2386" s="501"/>
      <c r="HC2386" s="501"/>
      <c r="HD2386" s="501"/>
      <c r="HE2386" s="501"/>
      <c r="HF2386" s="501"/>
      <c r="HG2386" s="501"/>
      <c r="HH2386" s="501"/>
      <c r="HI2386" s="501"/>
      <c r="HJ2386" s="501"/>
      <c r="HK2386" s="501"/>
      <c r="HL2386" s="501"/>
      <c r="HM2386" s="501"/>
      <c r="HN2386" s="501"/>
      <c r="HO2386" s="501"/>
      <c r="HP2386" s="501"/>
      <c r="HQ2386" s="501"/>
      <c r="HR2386" s="501"/>
      <c r="HS2386" s="501"/>
      <c r="HT2386" s="501"/>
      <c r="HU2386" s="501"/>
      <c r="HV2386" s="501"/>
      <c r="HW2386" s="501"/>
      <c r="HX2386" s="501"/>
      <c r="HY2386" s="501"/>
      <c r="HZ2386" s="501"/>
      <c r="IA2386" s="501"/>
      <c r="IB2386" s="501"/>
      <c r="IC2386" s="501"/>
      <c r="ID2386" s="501"/>
      <c r="IE2386" s="501"/>
      <c r="IF2386" s="501"/>
      <c r="IG2386" s="501"/>
      <c r="IH2386" s="501"/>
      <c r="II2386" s="501"/>
      <c r="IJ2386" s="501"/>
      <c r="IK2386" s="501"/>
      <c r="IL2386" s="501"/>
      <c r="IM2386" s="501"/>
      <c r="IN2386" s="501"/>
      <c r="IO2386" s="501"/>
      <c r="IP2386" s="501"/>
      <c r="IQ2386" s="501"/>
      <c r="IR2386" s="501"/>
      <c r="IS2386" s="501"/>
      <c r="IT2386" s="501"/>
      <c r="IU2386" s="501"/>
    </row>
    <row r="2387" spans="1:255" s="877" customFormat="1" ht="24" customHeight="1">
      <c r="A2387" s="501"/>
      <c r="B2387" s="501"/>
      <c r="C2387" s="501"/>
      <c r="D2387" s="501"/>
      <c r="E2387" s="501"/>
      <c r="F2387" s="501"/>
      <c r="G2387" s="915"/>
      <c r="H2387" s="501"/>
      <c r="I2387" s="874"/>
      <c r="J2387" s="501"/>
      <c r="K2387" s="501"/>
      <c r="L2387" s="874"/>
      <c r="M2387" s="882"/>
      <c r="N2387" s="501"/>
      <c r="O2387" s="501"/>
      <c r="P2387" s="901"/>
      <c r="Q2387" s="876"/>
      <c r="R2387" s="882"/>
      <c r="S2387" s="880"/>
      <c r="T2387" s="545"/>
      <c r="V2387" s="501"/>
      <c r="W2387" s="501"/>
      <c r="X2387" s="501"/>
      <c r="Y2387" s="501"/>
      <c r="Z2387" s="501"/>
      <c r="AA2387" s="501"/>
      <c r="AB2387" s="501"/>
      <c r="AC2387" s="501"/>
      <c r="AD2387" s="501"/>
      <c r="AE2387" s="501"/>
      <c r="AF2387" s="501"/>
      <c r="AG2387" s="501"/>
      <c r="AH2387" s="501"/>
      <c r="AI2387" s="501"/>
      <c r="AJ2387" s="501"/>
      <c r="AK2387" s="501"/>
      <c r="AL2387" s="501"/>
      <c r="AM2387" s="501"/>
      <c r="AN2387" s="501"/>
      <c r="AO2387" s="501"/>
      <c r="AP2387" s="501"/>
      <c r="AQ2387" s="501"/>
      <c r="AR2387" s="501"/>
      <c r="AS2387" s="501"/>
      <c r="AT2387" s="501"/>
      <c r="AU2387" s="501"/>
      <c r="AV2387" s="501"/>
      <c r="AW2387" s="501"/>
      <c r="AX2387" s="501"/>
      <c r="AY2387" s="501"/>
      <c r="AZ2387" s="501"/>
      <c r="BA2387" s="501"/>
      <c r="BB2387" s="501"/>
      <c r="BC2387" s="501"/>
      <c r="BD2387" s="501"/>
      <c r="BE2387" s="501"/>
      <c r="BF2387" s="501"/>
      <c r="BG2387" s="501"/>
      <c r="BH2387" s="501"/>
      <c r="BI2387" s="501"/>
      <c r="BJ2387" s="501"/>
      <c r="BK2387" s="501"/>
      <c r="BL2387" s="501"/>
      <c r="BM2387" s="501"/>
      <c r="BN2387" s="501"/>
      <c r="BO2387" s="501"/>
      <c r="BP2387" s="501"/>
      <c r="BQ2387" s="501"/>
      <c r="BR2387" s="501"/>
      <c r="BS2387" s="501"/>
      <c r="BT2387" s="501"/>
      <c r="BU2387" s="501"/>
      <c r="BV2387" s="501"/>
      <c r="BW2387" s="501"/>
      <c r="BX2387" s="501"/>
      <c r="BY2387" s="501"/>
      <c r="BZ2387" s="501"/>
      <c r="CA2387" s="501"/>
      <c r="CB2387" s="501"/>
      <c r="CC2387" s="501"/>
      <c r="CD2387" s="501"/>
      <c r="CE2387" s="501"/>
      <c r="CF2387" s="501"/>
      <c r="CG2387" s="501"/>
      <c r="CH2387" s="501"/>
      <c r="CI2387" s="501"/>
      <c r="CJ2387" s="501"/>
      <c r="CK2387" s="501"/>
      <c r="CL2387" s="501"/>
      <c r="CM2387" s="501"/>
      <c r="CN2387" s="501"/>
      <c r="CO2387" s="501"/>
      <c r="CP2387" s="501"/>
      <c r="CQ2387" s="501"/>
      <c r="CR2387" s="501"/>
      <c r="CS2387" s="501"/>
      <c r="CT2387" s="501"/>
      <c r="CU2387" s="501"/>
      <c r="CV2387" s="501"/>
      <c r="CW2387" s="501"/>
      <c r="CX2387" s="501"/>
      <c r="CY2387" s="501"/>
      <c r="CZ2387" s="501"/>
      <c r="DA2387" s="501"/>
      <c r="DB2387" s="501"/>
      <c r="DC2387" s="501"/>
      <c r="DD2387" s="501"/>
      <c r="DE2387" s="501"/>
      <c r="DF2387" s="501"/>
      <c r="DG2387" s="501"/>
      <c r="DH2387" s="501"/>
      <c r="DI2387" s="501"/>
      <c r="DJ2387" s="501"/>
      <c r="DK2387" s="501"/>
      <c r="DL2387" s="501"/>
      <c r="DM2387" s="501"/>
      <c r="DN2387" s="501"/>
      <c r="DO2387" s="501"/>
      <c r="DP2387" s="501"/>
      <c r="DQ2387" s="501"/>
      <c r="DR2387" s="501"/>
      <c r="DS2387" s="501"/>
      <c r="DT2387" s="501"/>
      <c r="DU2387" s="501"/>
      <c r="DV2387" s="501"/>
      <c r="DW2387" s="501"/>
      <c r="DX2387" s="501"/>
      <c r="DY2387" s="501"/>
      <c r="DZ2387" s="501"/>
      <c r="EA2387" s="501"/>
      <c r="EB2387" s="501"/>
      <c r="EC2387" s="501"/>
      <c r="ED2387" s="501"/>
      <c r="EE2387" s="501"/>
      <c r="EF2387" s="501"/>
      <c r="EG2387" s="501"/>
      <c r="EH2387" s="501"/>
      <c r="EI2387" s="501"/>
      <c r="EJ2387" s="501"/>
      <c r="EK2387" s="501"/>
      <c r="EL2387" s="501"/>
      <c r="EM2387" s="501"/>
      <c r="EN2387" s="501"/>
      <c r="EO2387" s="501"/>
      <c r="EP2387" s="501"/>
      <c r="EQ2387" s="501"/>
      <c r="ER2387" s="501"/>
      <c r="ES2387" s="501"/>
      <c r="ET2387" s="501"/>
      <c r="EU2387" s="501"/>
      <c r="EV2387" s="501"/>
      <c r="EW2387" s="501"/>
      <c r="EX2387" s="501"/>
      <c r="EY2387" s="501"/>
      <c r="EZ2387" s="501"/>
      <c r="FA2387" s="501"/>
      <c r="FB2387" s="501"/>
      <c r="FC2387" s="501"/>
      <c r="FD2387" s="501"/>
      <c r="FE2387" s="501"/>
      <c r="FF2387" s="501"/>
      <c r="FG2387" s="501"/>
      <c r="FH2387" s="501"/>
      <c r="FI2387" s="501"/>
      <c r="FJ2387" s="501"/>
      <c r="FK2387" s="501"/>
      <c r="FL2387" s="501"/>
      <c r="FM2387" s="501"/>
      <c r="FN2387" s="501"/>
      <c r="FO2387" s="501"/>
      <c r="FP2387" s="501"/>
      <c r="FQ2387" s="501"/>
      <c r="FR2387" s="501"/>
      <c r="FS2387" s="501"/>
      <c r="FT2387" s="501"/>
      <c r="FU2387" s="501"/>
      <c r="FV2387" s="501"/>
      <c r="FW2387" s="501"/>
      <c r="FX2387" s="501"/>
      <c r="FY2387" s="501"/>
      <c r="FZ2387" s="501"/>
      <c r="GA2387" s="501"/>
      <c r="GB2387" s="501"/>
      <c r="GC2387" s="501"/>
      <c r="GD2387" s="501"/>
      <c r="GE2387" s="501"/>
      <c r="GF2387" s="501"/>
      <c r="GG2387" s="501"/>
      <c r="GH2387" s="501"/>
      <c r="GI2387" s="501"/>
      <c r="GJ2387" s="501"/>
      <c r="GK2387" s="501"/>
      <c r="GL2387" s="501"/>
      <c r="GM2387" s="501"/>
      <c r="GN2387" s="501"/>
      <c r="GO2387" s="501"/>
      <c r="GP2387" s="501"/>
      <c r="GQ2387" s="501"/>
      <c r="GR2387" s="501"/>
      <c r="GS2387" s="501"/>
      <c r="GT2387" s="501"/>
      <c r="GU2387" s="501"/>
      <c r="GV2387" s="501"/>
      <c r="GW2387" s="501"/>
      <c r="GX2387" s="501"/>
      <c r="GY2387" s="501"/>
      <c r="GZ2387" s="501"/>
      <c r="HA2387" s="501"/>
      <c r="HB2387" s="501"/>
      <c r="HC2387" s="501"/>
      <c r="HD2387" s="501"/>
      <c r="HE2387" s="501"/>
      <c r="HF2387" s="501"/>
      <c r="HG2387" s="501"/>
      <c r="HH2387" s="501"/>
      <c r="HI2387" s="501"/>
      <c r="HJ2387" s="501"/>
      <c r="HK2387" s="501"/>
      <c r="HL2387" s="501"/>
      <c r="HM2387" s="501"/>
      <c r="HN2387" s="501"/>
      <c r="HO2387" s="501"/>
      <c r="HP2387" s="501"/>
      <c r="HQ2387" s="501"/>
      <c r="HR2387" s="501"/>
      <c r="HS2387" s="501"/>
      <c r="HT2387" s="501"/>
      <c r="HU2387" s="501"/>
      <c r="HV2387" s="501"/>
      <c r="HW2387" s="501"/>
      <c r="HX2387" s="501"/>
      <c r="HY2387" s="501"/>
      <c r="HZ2387" s="501"/>
      <c r="IA2387" s="501"/>
      <c r="IB2387" s="501"/>
      <c r="IC2387" s="501"/>
      <c r="ID2387" s="501"/>
      <c r="IE2387" s="501"/>
      <c r="IF2387" s="501"/>
      <c r="IG2387" s="501"/>
      <c r="IH2387" s="501"/>
      <c r="II2387" s="501"/>
      <c r="IJ2387" s="501"/>
      <c r="IK2387" s="501"/>
      <c r="IL2387" s="501"/>
      <c r="IM2387" s="501"/>
      <c r="IN2387" s="501"/>
      <c r="IO2387" s="501"/>
      <c r="IP2387" s="501"/>
      <c r="IQ2387" s="501"/>
      <c r="IR2387" s="501"/>
      <c r="IS2387" s="501"/>
      <c r="IT2387" s="501"/>
      <c r="IU2387" s="501"/>
    </row>
    <row r="2388" spans="1:255" s="877" customFormat="1" ht="24" customHeight="1">
      <c r="A2388" s="501"/>
      <c r="B2388" s="501"/>
      <c r="C2388" s="501"/>
      <c r="D2388" s="501"/>
      <c r="E2388" s="501"/>
      <c r="F2388" s="501"/>
      <c r="G2388" s="915"/>
      <c r="H2388" s="501"/>
      <c r="I2388" s="874"/>
      <c r="J2388" s="501"/>
      <c r="K2388" s="501"/>
      <c r="L2388" s="874"/>
      <c r="M2388" s="554"/>
      <c r="N2388" s="501"/>
      <c r="O2388" s="501"/>
      <c r="P2388" s="901"/>
      <c r="Q2388" s="876"/>
      <c r="R2388" s="545"/>
      <c r="S2388" s="880"/>
      <c r="T2388" s="545"/>
      <c r="V2388" s="501"/>
      <c r="W2388" s="501"/>
      <c r="X2388" s="501"/>
      <c r="Y2388" s="501"/>
      <c r="Z2388" s="501"/>
      <c r="AA2388" s="501"/>
      <c r="AB2388" s="501"/>
      <c r="AC2388" s="501"/>
      <c r="AD2388" s="501"/>
      <c r="AE2388" s="501"/>
      <c r="AF2388" s="501"/>
      <c r="AG2388" s="501"/>
      <c r="AH2388" s="501"/>
      <c r="AI2388" s="501"/>
      <c r="AJ2388" s="501"/>
      <c r="AK2388" s="501"/>
      <c r="AL2388" s="501"/>
      <c r="AM2388" s="501"/>
      <c r="AN2388" s="501"/>
      <c r="AO2388" s="501"/>
      <c r="AP2388" s="501"/>
      <c r="AQ2388" s="501"/>
      <c r="AR2388" s="501"/>
      <c r="AS2388" s="501"/>
      <c r="AT2388" s="501"/>
      <c r="AU2388" s="501"/>
      <c r="AV2388" s="501"/>
      <c r="AW2388" s="501"/>
      <c r="AX2388" s="501"/>
      <c r="AY2388" s="501"/>
      <c r="AZ2388" s="501"/>
      <c r="BA2388" s="501"/>
      <c r="BB2388" s="501"/>
      <c r="BC2388" s="501"/>
      <c r="BD2388" s="501"/>
      <c r="BE2388" s="501"/>
      <c r="BF2388" s="501"/>
      <c r="BG2388" s="501"/>
      <c r="BH2388" s="501"/>
      <c r="BI2388" s="501"/>
      <c r="BJ2388" s="501"/>
      <c r="BK2388" s="501"/>
      <c r="BL2388" s="501"/>
      <c r="BM2388" s="501"/>
      <c r="BN2388" s="501"/>
      <c r="BO2388" s="501"/>
      <c r="BP2388" s="501"/>
      <c r="BQ2388" s="501"/>
      <c r="BR2388" s="501"/>
      <c r="BS2388" s="501"/>
      <c r="BT2388" s="501"/>
      <c r="BU2388" s="501"/>
      <c r="BV2388" s="501"/>
      <c r="BW2388" s="501"/>
      <c r="BX2388" s="501"/>
      <c r="BY2388" s="501"/>
      <c r="BZ2388" s="501"/>
      <c r="CA2388" s="501"/>
      <c r="CB2388" s="501"/>
      <c r="CC2388" s="501"/>
      <c r="CD2388" s="501"/>
      <c r="CE2388" s="501"/>
      <c r="CF2388" s="501"/>
      <c r="CG2388" s="501"/>
      <c r="CH2388" s="501"/>
      <c r="CI2388" s="501"/>
      <c r="CJ2388" s="501"/>
      <c r="CK2388" s="501"/>
      <c r="CL2388" s="501"/>
      <c r="CM2388" s="501"/>
      <c r="CN2388" s="501"/>
      <c r="CO2388" s="501"/>
      <c r="CP2388" s="501"/>
      <c r="CQ2388" s="501"/>
      <c r="CR2388" s="501"/>
      <c r="CS2388" s="501"/>
      <c r="CT2388" s="501"/>
      <c r="CU2388" s="501"/>
      <c r="CV2388" s="501"/>
      <c r="CW2388" s="501"/>
      <c r="CX2388" s="501"/>
      <c r="CY2388" s="501"/>
      <c r="CZ2388" s="501"/>
      <c r="DA2388" s="501"/>
      <c r="DB2388" s="501"/>
      <c r="DC2388" s="501"/>
      <c r="DD2388" s="501"/>
      <c r="DE2388" s="501"/>
      <c r="DF2388" s="501"/>
      <c r="DG2388" s="501"/>
      <c r="DH2388" s="501"/>
      <c r="DI2388" s="501"/>
      <c r="DJ2388" s="501"/>
      <c r="DK2388" s="501"/>
      <c r="DL2388" s="501"/>
      <c r="DM2388" s="501"/>
      <c r="DN2388" s="501"/>
      <c r="DO2388" s="501"/>
      <c r="DP2388" s="501"/>
      <c r="DQ2388" s="501"/>
      <c r="DR2388" s="501"/>
      <c r="DS2388" s="501"/>
      <c r="DT2388" s="501"/>
      <c r="DU2388" s="501"/>
      <c r="DV2388" s="501"/>
      <c r="DW2388" s="501"/>
      <c r="DX2388" s="501"/>
      <c r="DY2388" s="501"/>
      <c r="DZ2388" s="501"/>
      <c r="EA2388" s="501"/>
      <c r="EB2388" s="501"/>
      <c r="EC2388" s="501"/>
      <c r="ED2388" s="501"/>
      <c r="EE2388" s="501"/>
      <c r="EF2388" s="501"/>
      <c r="EG2388" s="501"/>
      <c r="EH2388" s="501"/>
      <c r="EI2388" s="501"/>
      <c r="EJ2388" s="501"/>
      <c r="EK2388" s="501"/>
      <c r="EL2388" s="501"/>
      <c r="EM2388" s="501"/>
      <c r="EN2388" s="501"/>
      <c r="EO2388" s="501"/>
      <c r="EP2388" s="501"/>
      <c r="EQ2388" s="501"/>
      <c r="ER2388" s="501"/>
      <c r="ES2388" s="501"/>
      <c r="ET2388" s="501"/>
      <c r="EU2388" s="501"/>
      <c r="EV2388" s="501"/>
      <c r="EW2388" s="501"/>
      <c r="EX2388" s="501"/>
      <c r="EY2388" s="501"/>
      <c r="EZ2388" s="501"/>
      <c r="FA2388" s="501"/>
      <c r="FB2388" s="501"/>
      <c r="FC2388" s="501"/>
      <c r="FD2388" s="501"/>
      <c r="FE2388" s="501"/>
      <c r="FF2388" s="501"/>
      <c r="FG2388" s="501"/>
      <c r="FH2388" s="501"/>
      <c r="FI2388" s="501"/>
      <c r="FJ2388" s="501"/>
      <c r="FK2388" s="501"/>
      <c r="FL2388" s="501"/>
      <c r="FM2388" s="501"/>
      <c r="FN2388" s="501"/>
      <c r="FO2388" s="501"/>
      <c r="FP2388" s="501"/>
      <c r="FQ2388" s="501"/>
      <c r="FR2388" s="501"/>
      <c r="FS2388" s="501"/>
      <c r="FT2388" s="501"/>
      <c r="FU2388" s="501"/>
      <c r="FV2388" s="501"/>
      <c r="FW2388" s="501"/>
      <c r="FX2388" s="501"/>
      <c r="FY2388" s="501"/>
      <c r="FZ2388" s="501"/>
      <c r="GA2388" s="501"/>
      <c r="GB2388" s="501"/>
      <c r="GC2388" s="501"/>
      <c r="GD2388" s="501"/>
      <c r="GE2388" s="501"/>
      <c r="GF2388" s="501"/>
      <c r="GG2388" s="501"/>
      <c r="GH2388" s="501"/>
      <c r="GI2388" s="501"/>
      <c r="GJ2388" s="501"/>
      <c r="GK2388" s="501"/>
      <c r="GL2388" s="501"/>
      <c r="GM2388" s="501"/>
      <c r="GN2388" s="501"/>
      <c r="GO2388" s="501"/>
      <c r="GP2388" s="501"/>
      <c r="GQ2388" s="501"/>
      <c r="GR2388" s="501"/>
      <c r="GS2388" s="501"/>
      <c r="GT2388" s="501"/>
      <c r="GU2388" s="501"/>
      <c r="GV2388" s="501"/>
      <c r="GW2388" s="501"/>
      <c r="GX2388" s="501"/>
      <c r="GY2388" s="501"/>
      <c r="GZ2388" s="501"/>
      <c r="HA2388" s="501"/>
      <c r="HB2388" s="501"/>
      <c r="HC2388" s="501"/>
      <c r="HD2388" s="501"/>
      <c r="HE2388" s="501"/>
      <c r="HF2388" s="501"/>
      <c r="HG2388" s="501"/>
      <c r="HH2388" s="501"/>
      <c r="HI2388" s="501"/>
      <c r="HJ2388" s="501"/>
      <c r="HK2388" s="501"/>
      <c r="HL2388" s="501"/>
      <c r="HM2388" s="501"/>
      <c r="HN2388" s="501"/>
      <c r="HO2388" s="501"/>
      <c r="HP2388" s="501"/>
      <c r="HQ2388" s="501"/>
      <c r="HR2388" s="501"/>
      <c r="HS2388" s="501"/>
      <c r="HT2388" s="501"/>
      <c r="HU2388" s="501"/>
      <c r="HV2388" s="501"/>
      <c r="HW2388" s="501"/>
      <c r="HX2388" s="501"/>
      <c r="HY2388" s="501"/>
      <c r="HZ2388" s="501"/>
      <c r="IA2388" s="501"/>
      <c r="IB2388" s="501"/>
      <c r="IC2388" s="501"/>
      <c r="ID2388" s="501"/>
      <c r="IE2388" s="501"/>
      <c r="IF2388" s="501"/>
      <c r="IG2388" s="501"/>
      <c r="IH2388" s="501"/>
      <c r="II2388" s="501"/>
      <c r="IJ2388" s="501"/>
      <c r="IK2388" s="501"/>
      <c r="IL2388" s="501"/>
      <c r="IM2388" s="501"/>
      <c r="IN2388" s="501"/>
      <c r="IO2388" s="501"/>
      <c r="IP2388" s="501"/>
      <c r="IQ2388" s="501"/>
      <c r="IR2388" s="501"/>
      <c r="IS2388" s="501"/>
      <c r="IT2388" s="501"/>
      <c r="IU2388" s="501"/>
    </row>
    <row r="2389" spans="1:255" s="877" customFormat="1" ht="24" customHeight="1">
      <c r="A2389" s="501"/>
      <c r="B2389" s="501"/>
      <c r="C2389" s="501"/>
      <c r="D2389" s="501"/>
      <c r="E2389" s="501"/>
      <c r="F2389" s="501"/>
      <c r="G2389" s="915"/>
      <c r="H2389" s="501"/>
      <c r="I2389" s="874"/>
      <c r="J2389" s="501"/>
      <c r="K2389" s="501"/>
      <c r="L2389" s="874"/>
      <c r="M2389" s="554"/>
      <c r="N2389" s="501"/>
      <c r="O2389" s="501"/>
      <c r="P2389" s="901"/>
      <c r="Q2389" s="876"/>
      <c r="R2389" s="545"/>
      <c r="S2389" s="880"/>
      <c r="T2389" s="545"/>
      <c r="V2389" s="501"/>
      <c r="W2389" s="501"/>
      <c r="X2389" s="501"/>
      <c r="Y2389" s="501"/>
      <c r="Z2389" s="501"/>
      <c r="AA2389" s="501"/>
      <c r="AB2389" s="501"/>
      <c r="AC2389" s="501"/>
      <c r="AD2389" s="501"/>
      <c r="AE2389" s="501"/>
      <c r="AF2389" s="501"/>
      <c r="AG2389" s="501"/>
      <c r="AH2389" s="501"/>
      <c r="AI2389" s="501"/>
      <c r="AJ2389" s="501"/>
      <c r="AK2389" s="501"/>
      <c r="AL2389" s="501"/>
      <c r="AM2389" s="501"/>
      <c r="AN2389" s="501"/>
      <c r="AO2389" s="501"/>
      <c r="AP2389" s="501"/>
      <c r="AQ2389" s="501"/>
      <c r="AR2389" s="501"/>
      <c r="AS2389" s="501"/>
      <c r="AT2389" s="501"/>
      <c r="AU2389" s="501"/>
      <c r="AV2389" s="501"/>
      <c r="AW2389" s="501"/>
      <c r="AX2389" s="501"/>
      <c r="AY2389" s="501"/>
      <c r="AZ2389" s="501"/>
      <c r="BA2389" s="501"/>
      <c r="BB2389" s="501"/>
      <c r="BC2389" s="501"/>
      <c r="BD2389" s="501"/>
      <c r="BE2389" s="501"/>
      <c r="BF2389" s="501"/>
      <c r="BG2389" s="501"/>
      <c r="BH2389" s="501"/>
      <c r="BI2389" s="501"/>
      <c r="BJ2389" s="501"/>
      <c r="BK2389" s="501"/>
      <c r="BL2389" s="501"/>
      <c r="BM2389" s="501"/>
      <c r="BN2389" s="501"/>
      <c r="BO2389" s="501"/>
      <c r="BP2389" s="501"/>
      <c r="BQ2389" s="501"/>
      <c r="BR2389" s="501"/>
      <c r="BS2389" s="501"/>
      <c r="BT2389" s="501"/>
      <c r="BU2389" s="501"/>
      <c r="BV2389" s="501"/>
      <c r="BW2389" s="501"/>
      <c r="BX2389" s="501"/>
      <c r="BY2389" s="501"/>
      <c r="BZ2389" s="501"/>
      <c r="CA2389" s="501"/>
      <c r="CB2389" s="501"/>
      <c r="CC2389" s="501"/>
      <c r="CD2389" s="501"/>
      <c r="CE2389" s="501"/>
      <c r="CF2389" s="501"/>
      <c r="CG2389" s="501"/>
      <c r="CH2389" s="501"/>
      <c r="CI2389" s="501"/>
      <c r="CJ2389" s="501"/>
      <c r="CK2389" s="501"/>
      <c r="CL2389" s="501"/>
      <c r="CM2389" s="501"/>
      <c r="CN2389" s="501"/>
      <c r="CO2389" s="501"/>
      <c r="CP2389" s="501"/>
      <c r="CQ2389" s="501"/>
      <c r="CR2389" s="501"/>
      <c r="CS2389" s="501"/>
      <c r="CT2389" s="501"/>
      <c r="CU2389" s="501"/>
      <c r="CV2389" s="501"/>
      <c r="CW2389" s="501"/>
      <c r="CX2389" s="501"/>
      <c r="CY2389" s="501"/>
      <c r="CZ2389" s="501"/>
      <c r="DA2389" s="501"/>
      <c r="DB2389" s="501"/>
      <c r="DC2389" s="501"/>
      <c r="DD2389" s="501"/>
      <c r="DE2389" s="501"/>
      <c r="DF2389" s="501"/>
      <c r="DG2389" s="501"/>
      <c r="DH2389" s="501"/>
      <c r="DI2389" s="501"/>
      <c r="DJ2389" s="501"/>
      <c r="DK2389" s="501"/>
      <c r="DL2389" s="501"/>
      <c r="DM2389" s="501"/>
      <c r="DN2389" s="501"/>
      <c r="DO2389" s="501"/>
      <c r="DP2389" s="501"/>
      <c r="DQ2389" s="501"/>
      <c r="DR2389" s="501"/>
      <c r="DS2389" s="501"/>
      <c r="DT2389" s="501"/>
      <c r="DU2389" s="501"/>
      <c r="DV2389" s="501"/>
      <c r="DW2389" s="501"/>
      <c r="DX2389" s="501"/>
      <c r="DY2389" s="501"/>
      <c r="DZ2389" s="501"/>
      <c r="EA2389" s="501"/>
      <c r="EB2389" s="501"/>
      <c r="EC2389" s="501"/>
      <c r="ED2389" s="501"/>
      <c r="EE2389" s="501"/>
      <c r="EF2389" s="501"/>
      <c r="EG2389" s="501"/>
      <c r="EH2389" s="501"/>
      <c r="EI2389" s="501"/>
      <c r="EJ2389" s="501"/>
      <c r="EK2389" s="501"/>
      <c r="EL2389" s="501"/>
      <c r="EM2389" s="501"/>
      <c r="EN2389" s="501"/>
      <c r="EO2389" s="501"/>
      <c r="EP2389" s="501"/>
      <c r="EQ2389" s="501"/>
      <c r="ER2389" s="501"/>
      <c r="ES2389" s="501"/>
      <c r="ET2389" s="501"/>
      <c r="EU2389" s="501"/>
      <c r="EV2389" s="501"/>
      <c r="EW2389" s="501"/>
      <c r="EX2389" s="501"/>
      <c r="EY2389" s="501"/>
      <c r="EZ2389" s="501"/>
      <c r="FA2389" s="501"/>
      <c r="FB2389" s="501"/>
      <c r="FC2389" s="501"/>
      <c r="FD2389" s="501"/>
      <c r="FE2389" s="501"/>
      <c r="FF2389" s="501"/>
      <c r="FG2389" s="501"/>
      <c r="FH2389" s="501"/>
      <c r="FI2389" s="501"/>
      <c r="FJ2389" s="501"/>
      <c r="FK2389" s="501"/>
      <c r="FL2389" s="501"/>
      <c r="FM2389" s="501"/>
      <c r="FN2389" s="501"/>
      <c r="FO2389" s="501"/>
      <c r="FP2389" s="501"/>
      <c r="FQ2389" s="501"/>
      <c r="FR2389" s="501"/>
      <c r="FS2389" s="501"/>
      <c r="FT2389" s="501"/>
      <c r="FU2389" s="501"/>
      <c r="FV2389" s="501"/>
      <c r="FW2389" s="501"/>
      <c r="FX2389" s="501"/>
      <c r="FY2389" s="501"/>
      <c r="FZ2389" s="501"/>
      <c r="GA2389" s="501"/>
      <c r="GB2389" s="501"/>
      <c r="GC2389" s="501"/>
      <c r="GD2389" s="501"/>
      <c r="GE2389" s="501"/>
      <c r="GF2389" s="501"/>
      <c r="GG2389" s="501"/>
      <c r="GH2389" s="501"/>
      <c r="GI2389" s="501"/>
      <c r="GJ2389" s="501"/>
      <c r="GK2389" s="501"/>
      <c r="GL2389" s="501"/>
      <c r="GM2389" s="501"/>
      <c r="GN2389" s="501"/>
      <c r="GO2389" s="501"/>
      <c r="GP2389" s="501"/>
      <c r="GQ2389" s="501"/>
      <c r="GR2389" s="501"/>
      <c r="GS2389" s="501"/>
      <c r="GT2389" s="501"/>
      <c r="GU2389" s="501"/>
      <c r="GV2389" s="501"/>
      <c r="GW2389" s="501"/>
      <c r="GX2389" s="501"/>
      <c r="GY2389" s="501"/>
      <c r="GZ2389" s="501"/>
      <c r="HA2389" s="501"/>
      <c r="HB2389" s="501"/>
      <c r="HC2389" s="501"/>
      <c r="HD2389" s="501"/>
      <c r="HE2389" s="501"/>
      <c r="HF2389" s="501"/>
      <c r="HG2389" s="501"/>
      <c r="HH2389" s="501"/>
      <c r="HI2389" s="501"/>
      <c r="HJ2389" s="501"/>
      <c r="HK2389" s="501"/>
      <c r="HL2389" s="501"/>
      <c r="HM2389" s="501"/>
      <c r="HN2389" s="501"/>
      <c r="HO2389" s="501"/>
      <c r="HP2389" s="501"/>
      <c r="HQ2389" s="501"/>
      <c r="HR2389" s="501"/>
      <c r="HS2389" s="501"/>
      <c r="HT2389" s="501"/>
      <c r="HU2389" s="501"/>
      <c r="HV2389" s="501"/>
      <c r="HW2389" s="501"/>
      <c r="HX2389" s="501"/>
      <c r="HY2389" s="501"/>
      <c r="HZ2389" s="501"/>
      <c r="IA2389" s="501"/>
      <c r="IB2389" s="501"/>
      <c r="IC2389" s="501"/>
      <c r="ID2389" s="501"/>
      <c r="IE2389" s="501"/>
      <c r="IF2389" s="501"/>
      <c r="IG2389" s="501"/>
      <c r="IH2389" s="501"/>
      <c r="II2389" s="501"/>
      <c r="IJ2389" s="501"/>
      <c r="IK2389" s="501"/>
      <c r="IL2389" s="501"/>
      <c r="IM2389" s="501"/>
      <c r="IN2389" s="501"/>
      <c r="IO2389" s="501"/>
      <c r="IP2389" s="501"/>
      <c r="IQ2389" s="501"/>
      <c r="IR2389" s="501"/>
      <c r="IS2389" s="501"/>
      <c r="IT2389" s="501"/>
      <c r="IU2389" s="501"/>
    </row>
    <row r="2390" spans="1:255" s="877" customFormat="1" ht="24" customHeight="1">
      <c r="A2390" s="501"/>
      <c r="B2390" s="501"/>
      <c r="C2390" s="501"/>
      <c r="D2390" s="501"/>
      <c r="E2390" s="501"/>
      <c r="F2390" s="501"/>
      <c r="G2390" s="915"/>
      <c r="H2390" s="501"/>
      <c r="I2390" s="874"/>
      <c r="J2390" s="885"/>
      <c r="K2390" s="501"/>
      <c r="L2390" s="874"/>
      <c r="M2390" s="554"/>
      <c r="N2390" s="501"/>
      <c r="O2390" s="501"/>
      <c r="P2390" s="901"/>
      <c r="Q2390" s="876"/>
      <c r="R2390" s="545"/>
      <c r="S2390" s="880"/>
      <c r="T2390" s="545"/>
      <c r="V2390" s="501"/>
      <c r="W2390" s="501"/>
      <c r="X2390" s="501"/>
      <c r="Y2390" s="501"/>
      <c r="Z2390" s="501"/>
      <c r="AA2390" s="501"/>
      <c r="AB2390" s="501"/>
      <c r="AC2390" s="501"/>
      <c r="AD2390" s="501"/>
      <c r="AE2390" s="501"/>
      <c r="AF2390" s="501"/>
      <c r="AG2390" s="501"/>
      <c r="AH2390" s="501"/>
      <c r="AI2390" s="501"/>
      <c r="AJ2390" s="501"/>
      <c r="AK2390" s="501"/>
      <c r="AL2390" s="501"/>
      <c r="AM2390" s="501"/>
      <c r="AN2390" s="501"/>
      <c r="AO2390" s="501"/>
      <c r="AP2390" s="501"/>
      <c r="AQ2390" s="501"/>
      <c r="AR2390" s="501"/>
      <c r="AS2390" s="501"/>
      <c r="AT2390" s="501"/>
      <c r="AU2390" s="501"/>
      <c r="AV2390" s="501"/>
      <c r="AW2390" s="501"/>
      <c r="AX2390" s="501"/>
      <c r="AY2390" s="501"/>
      <c r="AZ2390" s="501"/>
      <c r="BA2390" s="501"/>
      <c r="BB2390" s="501"/>
      <c r="BC2390" s="501"/>
      <c r="BD2390" s="501"/>
      <c r="BE2390" s="501"/>
      <c r="BF2390" s="501"/>
      <c r="BG2390" s="501"/>
      <c r="BH2390" s="501"/>
      <c r="BI2390" s="501"/>
      <c r="BJ2390" s="501"/>
      <c r="BK2390" s="501"/>
      <c r="BL2390" s="501"/>
      <c r="BM2390" s="501"/>
      <c r="BN2390" s="501"/>
      <c r="BO2390" s="501"/>
      <c r="BP2390" s="501"/>
      <c r="BQ2390" s="501"/>
      <c r="BR2390" s="501"/>
      <c r="BS2390" s="501"/>
      <c r="BT2390" s="501"/>
      <c r="BU2390" s="501"/>
      <c r="BV2390" s="501"/>
      <c r="BW2390" s="501"/>
      <c r="BX2390" s="501"/>
      <c r="BY2390" s="501"/>
      <c r="BZ2390" s="501"/>
      <c r="CA2390" s="501"/>
      <c r="CB2390" s="501"/>
      <c r="CC2390" s="501"/>
      <c r="CD2390" s="501"/>
      <c r="CE2390" s="501"/>
      <c r="CF2390" s="501"/>
      <c r="CG2390" s="501"/>
      <c r="CH2390" s="501"/>
      <c r="CI2390" s="501"/>
      <c r="CJ2390" s="501"/>
      <c r="CK2390" s="501"/>
      <c r="CL2390" s="501"/>
      <c r="CM2390" s="501"/>
      <c r="CN2390" s="501"/>
      <c r="CO2390" s="501"/>
      <c r="CP2390" s="501"/>
      <c r="CQ2390" s="501"/>
      <c r="CR2390" s="501"/>
      <c r="CS2390" s="501"/>
      <c r="CT2390" s="501"/>
      <c r="CU2390" s="501"/>
      <c r="CV2390" s="501"/>
      <c r="CW2390" s="501"/>
      <c r="CX2390" s="501"/>
      <c r="CY2390" s="501"/>
      <c r="CZ2390" s="501"/>
      <c r="DA2390" s="501"/>
      <c r="DB2390" s="501"/>
      <c r="DC2390" s="501"/>
      <c r="DD2390" s="501"/>
      <c r="DE2390" s="501"/>
      <c r="DF2390" s="501"/>
      <c r="DG2390" s="501"/>
      <c r="DH2390" s="501"/>
      <c r="DI2390" s="501"/>
      <c r="DJ2390" s="501"/>
      <c r="DK2390" s="501"/>
      <c r="DL2390" s="501"/>
      <c r="DM2390" s="501"/>
      <c r="DN2390" s="501"/>
      <c r="DO2390" s="501"/>
      <c r="DP2390" s="501"/>
      <c r="DQ2390" s="501"/>
      <c r="DR2390" s="501"/>
      <c r="DS2390" s="501"/>
      <c r="DT2390" s="501"/>
      <c r="DU2390" s="501"/>
      <c r="DV2390" s="501"/>
      <c r="DW2390" s="501"/>
      <c r="DX2390" s="501"/>
      <c r="DY2390" s="501"/>
      <c r="DZ2390" s="501"/>
      <c r="EA2390" s="501"/>
      <c r="EB2390" s="501"/>
      <c r="EC2390" s="501"/>
      <c r="ED2390" s="501"/>
      <c r="EE2390" s="501"/>
      <c r="EF2390" s="501"/>
      <c r="EG2390" s="501"/>
      <c r="EH2390" s="501"/>
      <c r="EI2390" s="501"/>
      <c r="EJ2390" s="501"/>
      <c r="EK2390" s="501"/>
      <c r="EL2390" s="501"/>
      <c r="EM2390" s="501"/>
      <c r="EN2390" s="501"/>
      <c r="EO2390" s="501"/>
      <c r="EP2390" s="501"/>
      <c r="EQ2390" s="501"/>
      <c r="ER2390" s="501"/>
      <c r="ES2390" s="501"/>
      <c r="ET2390" s="501"/>
      <c r="EU2390" s="501"/>
      <c r="EV2390" s="501"/>
      <c r="EW2390" s="501"/>
      <c r="EX2390" s="501"/>
      <c r="EY2390" s="501"/>
      <c r="EZ2390" s="501"/>
      <c r="FA2390" s="501"/>
      <c r="FB2390" s="501"/>
      <c r="FC2390" s="501"/>
      <c r="FD2390" s="501"/>
      <c r="FE2390" s="501"/>
      <c r="FF2390" s="501"/>
      <c r="FG2390" s="501"/>
      <c r="FH2390" s="501"/>
      <c r="FI2390" s="501"/>
      <c r="FJ2390" s="501"/>
      <c r="FK2390" s="501"/>
      <c r="FL2390" s="501"/>
      <c r="FM2390" s="501"/>
      <c r="FN2390" s="501"/>
      <c r="FO2390" s="501"/>
      <c r="FP2390" s="501"/>
      <c r="FQ2390" s="501"/>
      <c r="FR2390" s="501"/>
      <c r="FS2390" s="501"/>
      <c r="FT2390" s="501"/>
      <c r="FU2390" s="501"/>
      <c r="FV2390" s="501"/>
      <c r="FW2390" s="501"/>
      <c r="FX2390" s="501"/>
      <c r="FY2390" s="501"/>
      <c r="FZ2390" s="501"/>
      <c r="GA2390" s="501"/>
      <c r="GB2390" s="501"/>
      <c r="GC2390" s="501"/>
      <c r="GD2390" s="501"/>
      <c r="GE2390" s="501"/>
      <c r="GF2390" s="501"/>
      <c r="GG2390" s="501"/>
      <c r="GH2390" s="501"/>
      <c r="GI2390" s="501"/>
      <c r="GJ2390" s="501"/>
      <c r="GK2390" s="501"/>
      <c r="GL2390" s="501"/>
      <c r="GM2390" s="501"/>
      <c r="GN2390" s="501"/>
      <c r="GO2390" s="501"/>
      <c r="GP2390" s="501"/>
      <c r="GQ2390" s="501"/>
      <c r="GR2390" s="501"/>
      <c r="GS2390" s="501"/>
      <c r="GT2390" s="501"/>
      <c r="GU2390" s="501"/>
      <c r="GV2390" s="501"/>
      <c r="GW2390" s="501"/>
      <c r="GX2390" s="501"/>
      <c r="GY2390" s="501"/>
      <c r="GZ2390" s="501"/>
      <c r="HA2390" s="501"/>
      <c r="HB2390" s="501"/>
      <c r="HC2390" s="501"/>
      <c r="HD2390" s="501"/>
      <c r="HE2390" s="501"/>
      <c r="HF2390" s="501"/>
      <c r="HG2390" s="501"/>
      <c r="HH2390" s="501"/>
      <c r="HI2390" s="501"/>
      <c r="HJ2390" s="501"/>
      <c r="HK2390" s="501"/>
      <c r="HL2390" s="501"/>
      <c r="HM2390" s="501"/>
      <c r="HN2390" s="501"/>
      <c r="HO2390" s="501"/>
      <c r="HP2390" s="501"/>
      <c r="HQ2390" s="501"/>
      <c r="HR2390" s="501"/>
      <c r="HS2390" s="501"/>
      <c r="HT2390" s="501"/>
      <c r="HU2390" s="501"/>
      <c r="HV2390" s="501"/>
      <c r="HW2390" s="501"/>
      <c r="HX2390" s="501"/>
      <c r="HY2390" s="501"/>
      <c r="HZ2390" s="501"/>
      <c r="IA2390" s="501"/>
      <c r="IB2390" s="501"/>
      <c r="IC2390" s="501"/>
      <c r="ID2390" s="501"/>
      <c r="IE2390" s="501"/>
      <c r="IF2390" s="501"/>
      <c r="IG2390" s="501"/>
      <c r="IH2390" s="501"/>
      <c r="II2390" s="501"/>
      <c r="IJ2390" s="501"/>
      <c r="IK2390" s="501"/>
      <c r="IL2390" s="501"/>
      <c r="IM2390" s="501"/>
      <c r="IN2390" s="501"/>
      <c r="IO2390" s="501"/>
      <c r="IP2390" s="501"/>
      <c r="IQ2390" s="501"/>
      <c r="IR2390" s="501"/>
      <c r="IS2390" s="501"/>
      <c r="IT2390" s="501"/>
      <c r="IU2390" s="501"/>
    </row>
    <row r="2391" spans="1:255" s="877" customFormat="1" ht="24" customHeight="1">
      <c r="A2391" s="501"/>
      <c r="B2391" s="501"/>
      <c r="C2391" s="501"/>
      <c r="D2391" s="501"/>
      <c r="E2391" s="501"/>
      <c r="F2391" s="501"/>
      <c r="G2391" s="915"/>
      <c r="H2391" s="501"/>
      <c r="I2391" s="874"/>
      <c r="J2391" s="933"/>
      <c r="K2391" s="501"/>
      <c r="L2391" s="876"/>
      <c r="M2391" s="882"/>
      <c r="N2391" s="501"/>
      <c r="O2391" s="501"/>
      <c r="P2391" s="901"/>
      <c r="Q2391" s="876"/>
      <c r="R2391" s="545"/>
      <c r="S2391" s="880"/>
      <c r="T2391" s="545"/>
      <c r="V2391" s="501"/>
      <c r="W2391" s="501"/>
      <c r="X2391" s="501"/>
      <c r="Y2391" s="501"/>
      <c r="Z2391" s="501"/>
      <c r="AA2391" s="501"/>
      <c r="AB2391" s="501"/>
      <c r="AC2391" s="501"/>
      <c r="AD2391" s="501"/>
      <c r="AE2391" s="501"/>
      <c r="AF2391" s="501"/>
      <c r="AG2391" s="501"/>
      <c r="AH2391" s="501"/>
      <c r="AI2391" s="501"/>
      <c r="AJ2391" s="501"/>
      <c r="AK2391" s="501"/>
      <c r="AL2391" s="501"/>
      <c r="AM2391" s="501"/>
      <c r="AN2391" s="501"/>
      <c r="AO2391" s="501"/>
      <c r="AP2391" s="501"/>
      <c r="AQ2391" s="501"/>
      <c r="AR2391" s="501"/>
      <c r="AS2391" s="501"/>
      <c r="AT2391" s="501"/>
      <c r="AU2391" s="501"/>
      <c r="AV2391" s="501"/>
      <c r="AW2391" s="501"/>
      <c r="AX2391" s="501"/>
      <c r="AY2391" s="501"/>
      <c r="AZ2391" s="501"/>
      <c r="BA2391" s="501"/>
      <c r="BB2391" s="501"/>
      <c r="BC2391" s="501"/>
      <c r="BD2391" s="501"/>
      <c r="BE2391" s="501"/>
      <c r="BF2391" s="501"/>
      <c r="BG2391" s="501"/>
      <c r="BH2391" s="501"/>
      <c r="BI2391" s="501"/>
      <c r="BJ2391" s="501"/>
      <c r="BK2391" s="501"/>
      <c r="BL2391" s="501"/>
      <c r="BM2391" s="501"/>
      <c r="BN2391" s="501"/>
      <c r="BO2391" s="501"/>
      <c r="BP2391" s="501"/>
      <c r="BQ2391" s="501"/>
      <c r="BR2391" s="501"/>
      <c r="BS2391" s="501"/>
      <c r="BT2391" s="501"/>
      <c r="BU2391" s="501"/>
      <c r="BV2391" s="501"/>
      <c r="BW2391" s="501"/>
      <c r="BX2391" s="501"/>
      <c r="BY2391" s="501"/>
      <c r="BZ2391" s="501"/>
      <c r="CA2391" s="501"/>
      <c r="CB2391" s="501"/>
      <c r="CC2391" s="501"/>
      <c r="CD2391" s="501"/>
      <c r="CE2391" s="501"/>
      <c r="CF2391" s="501"/>
      <c r="CG2391" s="501"/>
      <c r="CH2391" s="501"/>
      <c r="CI2391" s="501"/>
      <c r="CJ2391" s="501"/>
      <c r="CK2391" s="501"/>
      <c r="CL2391" s="501"/>
      <c r="CM2391" s="501"/>
      <c r="CN2391" s="501"/>
      <c r="CO2391" s="501"/>
      <c r="CP2391" s="501"/>
      <c r="CQ2391" s="501"/>
      <c r="CR2391" s="501"/>
      <c r="CS2391" s="501"/>
      <c r="CT2391" s="501"/>
      <c r="CU2391" s="501"/>
      <c r="CV2391" s="501"/>
      <c r="CW2391" s="501"/>
      <c r="CX2391" s="501"/>
      <c r="CY2391" s="501"/>
      <c r="CZ2391" s="501"/>
      <c r="DA2391" s="501"/>
      <c r="DB2391" s="501"/>
      <c r="DC2391" s="501"/>
      <c r="DD2391" s="501"/>
      <c r="DE2391" s="501"/>
      <c r="DF2391" s="501"/>
      <c r="DG2391" s="501"/>
      <c r="DH2391" s="501"/>
      <c r="DI2391" s="501"/>
      <c r="DJ2391" s="501"/>
      <c r="DK2391" s="501"/>
      <c r="DL2391" s="501"/>
      <c r="DM2391" s="501"/>
      <c r="DN2391" s="501"/>
      <c r="DO2391" s="501"/>
      <c r="DP2391" s="501"/>
      <c r="DQ2391" s="501"/>
      <c r="DR2391" s="501"/>
      <c r="DS2391" s="501"/>
      <c r="DT2391" s="501"/>
      <c r="DU2391" s="501"/>
      <c r="DV2391" s="501"/>
      <c r="DW2391" s="501"/>
      <c r="DX2391" s="501"/>
      <c r="DY2391" s="501"/>
      <c r="DZ2391" s="501"/>
      <c r="EA2391" s="501"/>
      <c r="EB2391" s="501"/>
      <c r="EC2391" s="501"/>
      <c r="ED2391" s="501"/>
      <c r="EE2391" s="501"/>
      <c r="EF2391" s="501"/>
      <c r="EG2391" s="501"/>
      <c r="EH2391" s="501"/>
      <c r="EI2391" s="501"/>
      <c r="EJ2391" s="501"/>
      <c r="EK2391" s="501"/>
      <c r="EL2391" s="501"/>
      <c r="EM2391" s="501"/>
      <c r="EN2391" s="501"/>
      <c r="EO2391" s="501"/>
      <c r="EP2391" s="501"/>
      <c r="EQ2391" s="501"/>
      <c r="ER2391" s="501"/>
      <c r="ES2391" s="501"/>
      <c r="ET2391" s="501"/>
      <c r="EU2391" s="501"/>
      <c r="EV2391" s="501"/>
      <c r="EW2391" s="501"/>
      <c r="EX2391" s="501"/>
      <c r="EY2391" s="501"/>
      <c r="EZ2391" s="501"/>
      <c r="FA2391" s="501"/>
      <c r="FB2391" s="501"/>
      <c r="FC2391" s="501"/>
      <c r="FD2391" s="501"/>
      <c r="FE2391" s="501"/>
      <c r="FF2391" s="501"/>
      <c r="FG2391" s="501"/>
      <c r="FH2391" s="501"/>
      <c r="FI2391" s="501"/>
      <c r="FJ2391" s="501"/>
      <c r="FK2391" s="501"/>
      <c r="FL2391" s="501"/>
      <c r="FM2391" s="501"/>
      <c r="FN2391" s="501"/>
      <c r="FO2391" s="501"/>
      <c r="FP2391" s="501"/>
      <c r="FQ2391" s="501"/>
      <c r="FR2391" s="501"/>
      <c r="FS2391" s="501"/>
      <c r="FT2391" s="501"/>
      <c r="FU2391" s="501"/>
      <c r="FV2391" s="501"/>
      <c r="FW2391" s="501"/>
      <c r="FX2391" s="501"/>
      <c r="FY2391" s="501"/>
      <c r="FZ2391" s="501"/>
      <c r="GA2391" s="501"/>
      <c r="GB2391" s="501"/>
      <c r="GC2391" s="501"/>
      <c r="GD2391" s="501"/>
      <c r="GE2391" s="501"/>
      <c r="GF2391" s="501"/>
      <c r="GG2391" s="501"/>
      <c r="GH2391" s="501"/>
      <c r="GI2391" s="501"/>
      <c r="GJ2391" s="501"/>
      <c r="GK2391" s="501"/>
      <c r="GL2391" s="501"/>
      <c r="GM2391" s="501"/>
      <c r="GN2391" s="501"/>
      <c r="GO2391" s="501"/>
      <c r="GP2391" s="501"/>
      <c r="GQ2391" s="501"/>
      <c r="GR2391" s="501"/>
      <c r="GS2391" s="501"/>
      <c r="GT2391" s="501"/>
      <c r="GU2391" s="501"/>
      <c r="GV2391" s="501"/>
      <c r="GW2391" s="501"/>
      <c r="GX2391" s="501"/>
      <c r="GY2391" s="501"/>
      <c r="GZ2391" s="501"/>
      <c r="HA2391" s="501"/>
      <c r="HB2391" s="501"/>
      <c r="HC2391" s="501"/>
      <c r="HD2391" s="501"/>
      <c r="HE2391" s="501"/>
      <c r="HF2391" s="501"/>
      <c r="HG2391" s="501"/>
      <c r="HH2391" s="501"/>
      <c r="HI2391" s="501"/>
      <c r="HJ2391" s="501"/>
      <c r="HK2391" s="501"/>
      <c r="HL2391" s="501"/>
      <c r="HM2391" s="501"/>
      <c r="HN2391" s="501"/>
      <c r="HO2391" s="501"/>
      <c r="HP2391" s="501"/>
      <c r="HQ2391" s="501"/>
      <c r="HR2391" s="501"/>
      <c r="HS2391" s="501"/>
      <c r="HT2391" s="501"/>
      <c r="HU2391" s="501"/>
      <c r="HV2391" s="501"/>
      <c r="HW2391" s="501"/>
      <c r="HX2391" s="501"/>
      <c r="HY2391" s="501"/>
      <c r="HZ2391" s="501"/>
      <c r="IA2391" s="501"/>
      <c r="IB2391" s="501"/>
      <c r="IC2391" s="501"/>
      <c r="ID2391" s="501"/>
      <c r="IE2391" s="501"/>
      <c r="IF2391" s="501"/>
      <c r="IG2391" s="501"/>
      <c r="IH2391" s="501"/>
      <c r="II2391" s="501"/>
      <c r="IJ2391" s="501"/>
      <c r="IK2391" s="501"/>
      <c r="IL2391" s="501"/>
      <c r="IM2391" s="501"/>
      <c r="IN2391" s="501"/>
      <c r="IO2391" s="501"/>
      <c r="IP2391" s="501"/>
      <c r="IQ2391" s="501"/>
      <c r="IR2391" s="501"/>
      <c r="IS2391" s="501"/>
      <c r="IT2391" s="501"/>
      <c r="IU2391" s="501"/>
    </row>
    <row r="2392" spans="1:255" s="877" customFormat="1" ht="24" customHeight="1">
      <c r="A2392" s="501"/>
      <c r="B2392" s="501"/>
      <c r="C2392" s="501"/>
      <c r="D2392" s="501"/>
      <c r="E2392" s="501"/>
      <c r="F2392" s="501"/>
      <c r="G2392" s="915"/>
      <c r="H2392" s="501"/>
      <c r="I2392" s="874"/>
      <c r="J2392" s="501"/>
      <c r="K2392" s="501"/>
      <c r="L2392" s="876"/>
      <c r="M2392" s="882"/>
      <c r="N2392" s="501"/>
      <c r="O2392" s="501"/>
      <c r="P2392" s="901"/>
      <c r="Q2392" s="876"/>
      <c r="R2392" s="545"/>
      <c r="S2392" s="880"/>
      <c r="T2392" s="545"/>
      <c r="V2392" s="501"/>
      <c r="W2392" s="501"/>
      <c r="X2392" s="501"/>
      <c r="Y2392" s="501"/>
      <c r="Z2392" s="501"/>
      <c r="AA2392" s="501"/>
      <c r="AB2392" s="501"/>
      <c r="AC2392" s="501"/>
      <c r="AD2392" s="501"/>
      <c r="AE2392" s="501"/>
      <c r="AF2392" s="501"/>
      <c r="AG2392" s="501"/>
      <c r="AH2392" s="501"/>
      <c r="AI2392" s="501"/>
      <c r="AJ2392" s="501"/>
      <c r="AK2392" s="501"/>
      <c r="AL2392" s="501"/>
      <c r="AM2392" s="501"/>
      <c r="AN2392" s="501"/>
      <c r="AO2392" s="501"/>
      <c r="AP2392" s="501"/>
      <c r="AQ2392" s="501"/>
      <c r="AR2392" s="501"/>
      <c r="AS2392" s="501"/>
      <c r="AT2392" s="501"/>
      <c r="AU2392" s="501"/>
      <c r="AV2392" s="501"/>
      <c r="AW2392" s="501"/>
      <c r="AX2392" s="501"/>
      <c r="AY2392" s="501"/>
      <c r="AZ2392" s="501"/>
      <c r="BA2392" s="501"/>
      <c r="BB2392" s="501"/>
      <c r="BC2392" s="501"/>
      <c r="BD2392" s="501"/>
      <c r="BE2392" s="501"/>
      <c r="BF2392" s="501"/>
      <c r="BG2392" s="501"/>
      <c r="BH2392" s="501"/>
      <c r="BI2392" s="501"/>
      <c r="BJ2392" s="501"/>
      <c r="BK2392" s="501"/>
      <c r="BL2392" s="501"/>
      <c r="BM2392" s="501"/>
      <c r="BN2392" s="501"/>
      <c r="BO2392" s="501"/>
      <c r="BP2392" s="501"/>
      <c r="BQ2392" s="501"/>
      <c r="BR2392" s="501"/>
      <c r="BS2392" s="501"/>
      <c r="BT2392" s="501"/>
      <c r="BU2392" s="501"/>
      <c r="BV2392" s="501"/>
      <c r="BW2392" s="501"/>
      <c r="BX2392" s="501"/>
      <c r="BY2392" s="501"/>
      <c r="BZ2392" s="501"/>
      <c r="CA2392" s="501"/>
      <c r="CB2392" s="501"/>
      <c r="CC2392" s="501"/>
      <c r="CD2392" s="501"/>
      <c r="CE2392" s="501"/>
      <c r="CF2392" s="501"/>
      <c r="CG2392" s="501"/>
      <c r="CH2392" s="501"/>
      <c r="CI2392" s="501"/>
      <c r="CJ2392" s="501"/>
      <c r="CK2392" s="501"/>
      <c r="CL2392" s="501"/>
      <c r="CM2392" s="501"/>
      <c r="CN2392" s="501"/>
      <c r="CO2392" s="501"/>
      <c r="CP2392" s="501"/>
      <c r="CQ2392" s="501"/>
      <c r="CR2392" s="501"/>
      <c r="CS2392" s="501"/>
      <c r="CT2392" s="501"/>
      <c r="CU2392" s="501"/>
      <c r="CV2392" s="501"/>
      <c r="CW2392" s="501"/>
      <c r="CX2392" s="501"/>
      <c r="CY2392" s="501"/>
      <c r="CZ2392" s="501"/>
      <c r="DA2392" s="501"/>
      <c r="DB2392" s="501"/>
      <c r="DC2392" s="501"/>
      <c r="DD2392" s="501"/>
      <c r="DE2392" s="501"/>
      <c r="DF2392" s="501"/>
      <c r="DG2392" s="501"/>
      <c r="DH2392" s="501"/>
      <c r="DI2392" s="501"/>
      <c r="DJ2392" s="501"/>
      <c r="DK2392" s="501"/>
      <c r="DL2392" s="501"/>
      <c r="DM2392" s="501"/>
      <c r="DN2392" s="501"/>
      <c r="DO2392" s="501"/>
      <c r="DP2392" s="501"/>
      <c r="DQ2392" s="501"/>
      <c r="DR2392" s="501"/>
      <c r="DS2392" s="501"/>
      <c r="DT2392" s="501"/>
      <c r="DU2392" s="501"/>
      <c r="DV2392" s="501"/>
      <c r="DW2392" s="501"/>
      <c r="DX2392" s="501"/>
      <c r="DY2392" s="501"/>
      <c r="DZ2392" s="501"/>
      <c r="EA2392" s="501"/>
      <c r="EB2392" s="501"/>
      <c r="EC2392" s="501"/>
      <c r="ED2392" s="501"/>
      <c r="EE2392" s="501"/>
      <c r="EF2392" s="501"/>
      <c r="EG2392" s="501"/>
      <c r="EH2392" s="501"/>
      <c r="EI2392" s="501"/>
      <c r="EJ2392" s="501"/>
      <c r="EK2392" s="501"/>
      <c r="EL2392" s="501"/>
      <c r="EM2392" s="501"/>
      <c r="EN2392" s="501"/>
      <c r="EO2392" s="501"/>
      <c r="EP2392" s="501"/>
      <c r="EQ2392" s="501"/>
      <c r="ER2392" s="501"/>
      <c r="ES2392" s="501"/>
      <c r="ET2392" s="501"/>
      <c r="EU2392" s="501"/>
      <c r="EV2392" s="501"/>
      <c r="EW2392" s="501"/>
      <c r="EX2392" s="501"/>
      <c r="EY2392" s="501"/>
      <c r="EZ2392" s="501"/>
      <c r="FA2392" s="501"/>
      <c r="FB2392" s="501"/>
      <c r="FC2392" s="501"/>
      <c r="FD2392" s="501"/>
      <c r="FE2392" s="501"/>
      <c r="FF2392" s="501"/>
      <c r="FG2392" s="501"/>
      <c r="FH2392" s="501"/>
      <c r="FI2392" s="501"/>
      <c r="FJ2392" s="501"/>
      <c r="FK2392" s="501"/>
      <c r="FL2392" s="501"/>
      <c r="FM2392" s="501"/>
      <c r="FN2392" s="501"/>
      <c r="FO2392" s="501"/>
      <c r="FP2392" s="501"/>
      <c r="FQ2392" s="501"/>
      <c r="FR2392" s="501"/>
      <c r="FS2392" s="501"/>
      <c r="FT2392" s="501"/>
      <c r="FU2392" s="501"/>
      <c r="FV2392" s="501"/>
      <c r="FW2392" s="501"/>
      <c r="FX2392" s="501"/>
      <c r="FY2392" s="501"/>
      <c r="FZ2392" s="501"/>
      <c r="GA2392" s="501"/>
      <c r="GB2392" s="501"/>
      <c r="GC2392" s="501"/>
      <c r="GD2392" s="501"/>
      <c r="GE2392" s="501"/>
      <c r="GF2392" s="501"/>
      <c r="GG2392" s="501"/>
      <c r="GH2392" s="501"/>
      <c r="GI2392" s="501"/>
      <c r="GJ2392" s="501"/>
      <c r="GK2392" s="501"/>
      <c r="GL2392" s="501"/>
      <c r="GM2392" s="501"/>
      <c r="GN2392" s="501"/>
      <c r="GO2392" s="501"/>
      <c r="GP2392" s="501"/>
      <c r="GQ2392" s="501"/>
      <c r="GR2392" s="501"/>
      <c r="GS2392" s="501"/>
      <c r="GT2392" s="501"/>
      <c r="GU2392" s="501"/>
      <c r="GV2392" s="501"/>
      <c r="GW2392" s="501"/>
      <c r="GX2392" s="501"/>
      <c r="GY2392" s="501"/>
      <c r="GZ2392" s="501"/>
      <c r="HA2392" s="501"/>
      <c r="HB2392" s="501"/>
      <c r="HC2392" s="501"/>
      <c r="HD2392" s="501"/>
      <c r="HE2392" s="501"/>
      <c r="HF2392" s="501"/>
      <c r="HG2392" s="501"/>
      <c r="HH2392" s="501"/>
      <c r="HI2392" s="501"/>
      <c r="HJ2392" s="501"/>
      <c r="HK2392" s="501"/>
      <c r="HL2392" s="501"/>
      <c r="HM2392" s="501"/>
      <c r="HN2392" s="501"/>
      <c r="HO2392" s="501"/>
      <c r="HP2392" s="501"/>
      <c r="HQ2392" s="501"/>
      <c r="HR2392" s="501"/>
      <c r="HS2392" s="501"/>
      <c r="HT2392" s="501"/>
      <c r="HU2392" s="501"/>
      <c r="HV2392" s="501"/>
      <c r="HW2392" s="501"/>
      <c r="HX2392" s="501"/>
      <c r="HY2392" s="501"/>
      <c r="HZ2392" s="501"/>
      <c r="IA2392" s="501"/>
      <c r="IB2392" s="501"/>
      <c r="IC2392" s="501"/>
      <c r="ID2392" s="501"/>
      <c r="IE2392" s="501"/>
      <c r="IF2392" s="501"/>
      <c r="IG2392" s="501"/>
      <c r="IH2392" s="501"/>
      <c r="II2392" s="501"/>
      <c r="IJ2392" s="501"/>
      <c r="IK2392" s="501"/>
      <c r="IL2392" s="501"/>
      <c r="IM2392" s="501"/>
      <c r="IN2392" s="501"/>
      <c r="IO2392" s="501"/>
      <c r="IP2392" s="501"/>
      <c r="IQ2392" s="501"/>
      <c r="IR2392" s="501"/>
      <c r="IS2392" s="501"/>
      <c r="IT2392" s="501"/>
      <c r="IU2392" s="501"/>
    </row>
    <row r="2393" spans="1:255" s="877" customFormat="1" ht="24" customHeight="1">
      <c r="A2393" s="501"/>
      <c r="B2393" s="501"/>
      <c r="C2393" s="501"/>
      <c r="D2393" s="501"/>
      <c r="E2393" s="501"/>
      <c r="F2393" s="501"/>
      <c r="G2393" s="915"/>
      <c r="H2393" s="501"/>
      <c r="I2393" s="874"/>
      <c r="J2393" s="501"/>
      <c r="K2393" s="501"/>
      <c r="L2393" s="876"/>
      <c r="M2393" s="882"/>
      <c r="N2393" s="501"/>
      <c r="O2393" s="501"/>
      <c r="P2393" s="901"/>
      <c r="Q2393" s="876"/>
      <c r="R2393" s="545"/>
      <c r="S2393" s="880"/>
      <c r="T2393" s="545"/>
      <c r="V2393" s="501"/>
      <c r="W2393" s="501"/>
      <c r="X2393" s="501"/>
      <c r="Y2393" s="501"/>
      <c r="Z2393" s="501"/>
      <c r="AA2393" s="501"/>
      <c r="AB2393" s="501"/>
      <c r="AC2393" s="501"/>
      <c r="AD2393" s="501"/>
      <c r="AE2393" s="501"/>
      <c r="AF2393" s="501"/>
      <c r="AG2393" s="501"/>
      <c r="AH2393" s="501"/>
      <c r="AI2393" s="501"/>
      <c r="AJ2393" s="501"/>
      <c r="AK2393" s="501"/>
      <c r="AL2393" s="501"/>
      <c r="AM2393" s="501"/>
      <c r="AN2393" s="501"/>
      <c r="AO2393" s="501"/>
      <c r="AP2393" s="501"/>
      <c r="AQ2393" s="501"/>
      <c r="AR2393" s="501"/>
      <c r="AS2393" s="501"/>
      <c r="AT2393" s="501"/>
      <c r="AU2393" s="501"/>
      <c r="AV2393" s="501"/>
      <c r="AW2393" s="501"/>
      <c r="AX2393" s="501"/>
      <c r="AY2393" s="501"/>
      <c r="AZ2393" s="501"/>
      <c r="BA2393" s="501"/>
      <c r="BB2393" s="501"/>
      <c r="BC2393" s="501"/>
      <c r="BD2393" s="501"/>
      <c r="BE2393" s="501"/>
      <c r="BF2393" s="501"/>
      <c r="BG2393" s="501"/>
      <c r="BH2393" s="501"/>
      <c r="BI2393" s="501"/>
      <c r="BJ2393" s="501"/>
      <c r="BK2393" s="501"/>
      <c r="BL2393" s="501"/>
      <c r="BM2393" s="501"/>
      <c r="BN2393" s="501"/>
      <c r="BO2393" s="501"/>
      <c r="BP2393" s="501"/>
      <c r="BQ2393" s="501"/>
      <c r="BR2393" s="501"/>
      <c r="BS2393" s="501"/>
      <c r="BT2393" s="501"/>
      <c r="BU2393" s="501"/>
      <c r="BV2393" s="501"/>
      <c r="BW2393" s="501"/>
      <c r="BX2393" s="501"/>
      <c r="BY2393" s="501"/>
      <c r="BZ2393" s="501"/>
      <c r="CA2393" s="501"/>
      <c r="CB2393" s="501"/>
      <c r="CC2393" s="501"/>
      <c r="CD2393" s="501"/>
      <c r="CE2393" s="501"/>
      <c r="CF2393" s="501"/>
      <c r="CG2393" s="501"/>
      <c r="CH2393" s="501"/>
      <c r="CI2393" s="501"/>
      <c r="CJ2393" s="501"/>
      <c r="CK2393" s="501"/>
      <c r="CL2393" s="501"/>
      <c r="CM2393" s="501"/>
      <c r="CN2393" s="501"/>
      <c r="CO2393" s="501"/>
      <c r="CP2393" s="501"/>
      <c r="CQ2393" s="501"/>
      <c r="CR2393" s="501"/>
      <c r="CS2393" s="501"/>
      <c r="CT2393" s="501"/>
      <c r="CU2393" s="501"/>
      <c r="CV2393" s="501"/>
      <c r="CW2393" s="501"/>
      <c r="CX2393" s="501"/>
      <c r="CY2393" s="501"/>
      <c r="CZ2393" s="501"/>
      <c r="DA2393" s="501"/>
      <c r="DB2393" s="501"/>
      <c r="DC2393" s="501"/>
      <c r="DD2393" s="501"/>
      <c r="DE2393" s="501"/>
      <c r="DF2393" s="501"/>
      <c r="DG2393" s="501"/>
      <c r="DH2393" s="501"/>
      <c r="DI2393" s="501"/>
      <c r="DJ2393" s="501"/>
      <c r="DK2393" s="501"/>
      <c r="DL2393" s="501"/>
      <c r="DM2393" s="501"/>
      <c r="DN2393" s="501"/>
      <c r="DO2393" s="501"/>
      <c r="DP2393" s="501"/>
      <c r="DQ2393" s="501"/>
      <c r="DR2393" s="501"/>
      <c r="DS2393" s="501"/>
      <c r="DT2393" s="501"/>
      <c r="DU2393" s="501"/>
      <c r="DV2393" s="501"/>
      <c r="DW2393" s="501"/>
      <c r="DX2393" s="501"/>
      <c r="DY2393" s="501"/>
      <c r="DZ2393" s="501"/>
      <c r="EA2393" s="501"/>
      <c r="EB2393" s="501"/>
      <c r="EC2393" s="501"/>
      <c r="ED2393" s="501"/>
      <c r="EE2393" s="501"/>
      <c r="EF2393" s="501"/>
      <c r="EG2393" s="501"/>
      <c r="EH2393" s="501"/>
      <c r="EI2393" s="501"/>
      <c r="EJ2393" s="501"/>
      <c r="EK2393" s="501"/>
      <c r="EL2393" s="501"/>
      <c r="EM2393" s="501"/>
      <c r="EN2393" s="501"/>
      <c r="EO2393" s="501"/>
      <c r="EP2393" s="501"/>
      <c r="EQ2393" s="501"/>
      <c r="ER2393" s="501"/>
      <c r="ES2393" s="501"/>
      <c r="ET2393" s="501"/>
      <c r="EU2393" s="501"/>
      <c r="EV2393" s="501"/>
      <c r="EW2393" s="501"/>
      <c r="EX2393" s="501"/>
      <c r="EY2393" s="501"/>
      <c r="EZ2393" s="501"/>
      <c r="FA2393" s="501"/>
      <c r="FB2393" s="501"/>
      <c r="FC2393" s="501"/>
      <c r="FD2393" s="501"/>
      <c r="FE2393" s="501"/>
      <c r="FF2393" s="501"/>
      <c r="FG2393" s="501"/>
      <c r="FH2393" s="501"/>
      <c r="FI2393" s="501"/>
      <c r="FJ2393" s="501"/>
      <c r="FK2393" s="501"/>
      <c r="FL2393" s="501"/>
      <c r="FM2393" s="501"/>
      <c r="FN2393" s="501"/>
      <c r="FO2393" s="501"/>
      <c r="FP2393" s="501"/>
      <c r="FQ2393" s="501"/>
      <c r="FR2393" s="501"/>
      <c r="FS2393" s="501"/>
      <c r="FT2393" s="501"/>
      <c r="FU2393" s="501"/>
      <c r="FV2393" s="501"/>
      <c r="FW2393" s="501"/>
      <c r="FX2393" s="501"/>
      <c r="FY2393" s="501"/>
      <c r="FZ2393" s="501"/>
      <c r="GA2393" s="501"/>
      <c r="GB2393" s="501"/>
      <c r="GC2393" s="501"/>
      <c r="GD2393" s="501"/>
      <c r="GE2393" s="501"/>
      <c r="GF2393" s="501"/>
      <c r="GG2393" s="501"/>
      <c r="GH2393" s="501"/>
      <c r="GI2393" s="501"/>
      <c r="GJ2393" s="501"/>
      <c r="GK2393" s="501"/>
      <c r="GL2393" s="501"/>
      <c r="GM2393" s="501"/>
      <c r="GN2393" s="501"/>
      <c r="GO2393" s="501"/>
      <c r="GP2393" s="501"/>
      <c r="GQ2393" s="501"/>
      <c r="GR2393" s="501"/>
      <c r="GS2393" s="501"/>
      <c r="GT2393" s="501"/>
      <c r="GU2393" s="501"/>
      <c r="GV2393" s="501"/>
      <c r="GW2393" s="501"/>
      <c r="GX2393" s="501"/>
      <c r="GY2393" s="501"/>
      <c r="GZ2393" s="501"/>
      <c r="HA2393" s="501"/>
      <c r="HB2393" s="501"/>
      <c r="HC2393" s="501"/>
      <c r="HD2393" s="501"/>
      <c r="HE2393" s="501"/>
      <c r="HF2393" s="501"/>
      <c r="HG2393" s="501"/>
      <c r="HH2393" s="501"/>
      <c r="HI2393" s="501"/>
      <c r="HJ2393" s="501"/>
      <c r="HK2393" s="501"/>
      <c r="HL2393" s="501"/>
      <c r="HM2393" s="501"/>
      <c r="HN2393" s="501"/>
      <c r="HO2393" s="501"/>
      <c r="HP2393" s="501"/>
      <c r="HQ2393" s="501"/>
      <c r="HR2393" s="501"/>
      <c r="HS2393" s="501"/>
      <c r="HT2393" s="501"/>
      <c r="HU2393" s="501"/>
      <c r="HV2393" s="501"/>
      <c r="HW2393" s="501"/>
      <c r="HX2393" s="501"/>
      <c r="HY2393" s="501"/>
      <c r="HZ2393" s="501"/>
      <c r="IA2393" s="501"/>
      <c r="IB2393" s="501"/>
      <c r="IC2393" s="501"/>
      <c r="ID2393" s="501"/>
      <c r="IE2393" s="501"/>
      <c r="IF2393" s="501"/>
      <c r="IG2393" s="501"/>
      <c r="IH2393" s="501"/>
      <c r="II2393" s="501"/>
      <c r="IJ2393" s="501"/>
      <c r="IK2393" s="501"/>
      <c r="IL2393" s="501"/>
      <c r="IM2393" s="501"/>
      <c r="IN2393" s="501"/>
      <c r="IO2393" s="501"/>
      <c r="IP2393" s="501"/>
      <c r="IQ2393" s="501"/>
      <c r="IR2393" s="501"/>
      <c r="IS2393" s="501"/>
      <c r="IT2393" s="501"/>
      <c r="IU2393" s="501"/>
    </row>
    <row r="2394" spans="1:255" s="877" customFormat="1" ht="24" customHeight="1">
      <c r="A2394" s="501"/>
      <c r="B2394" s="501"/>
      <c r="C2394" s="501"/>
      <c r="D2394" s="501"/>
      <c r="E2394" s="501"/>
      <c r="F2394" s="501"/>
      <c r="G2394" s="915"/>
      <c r="H2394" s="501"/>
      <c r="I2394" s="874"/>
      <c r="J2394" s="1051"/>
      <c r="K2394" s="501"/>
      <c r="L2394" s="876"/>
      <c r="M2394" s="882"/>
      <c r="N2394" s="501"/>
      <c r="O2394" s="501"/>
      <c r="P2394" s="901"/>
      <c r="Q2394" s="876"/>
      <c r="R2394" s="545"/>
      <c r="S2394" s="880"/>
      <c r="T2394" s="545"/>
      <c r="V2394" s="501"/>
      <c r="W2394" s="501"/>
      <c r="X2394" s="501"/>
      <c r="Y2394" s="501"/>
      <c r="Z2394" s="501"/>
      <c r="AA2394" s="501"/>
      <c r="AB2394" s="501"/>
      <c r="AC2394" s="501"/>
      <c r="AD2394" s="501"/>
      <c r="AE2394" s="501"/>
      <c r="AF2394" s="501"/>
      <c r="AG2394" s="501"/>
      <c r="AH2394" s="501"/>
      <c r="AI2394" s="501"/>
      <c r="AJ2394" s="501"/>
      <c r="AK2394" s="501"/>
      <c r="AL2394" s="501"/>
      <c r="AM2394" s="501"/>
      <c r="AN2394" s="501"/>
      <c r="AO2394" s="501"/>
      <c r="AP2394" s="501"/>
      <c r="AQ2394" s="501"/>
      <c r="AR2394" s="501"/>
      <c r="AS2394" s="501"/>
      <c r="AT2394" s="501"/>
      <c r="AU2394" s="501"/>
      <c r="AV2394" s="501"/>
      <c r="AW2394" s="501"/>
      <c r="AX2394" s="501"/>
      <c r="AY2394" s="501"/>
      <c r="AZ2394" s="501"/>
      <c r="BA2394" s="501"/>
      <c r="BB2394" s="501"/>
      <c r="BC2394" s="501"/>
      <c r="BD2394" s="501"/>
      <c r="BE2394" s="501"/>
      <c r="BF2394" s="501"/>
      <c r="BG2394" s="501"/>
      <c r="BH2394" s="501"/>
      <c r="BI2394" s="501"/>
      <c r="BJ2394" s="501"/>
      <c r="BK2394" s="501"/>
      <c r="BL2394" s="501"/>
      <c r="BM2394" s="501"/>
      <c r="BN2394" s="501"/>
      <c r="BO2394" s="501"/>
      <c r="BP2394" s="501"/>
      <c r="BQ2394" s="501"/>
      <c r="BR2394" s="501"/>
      <c r="BS2394" s="501"/>
      <c r="BT2394" s="501"/>
      <c r="BU2394" s="501"/>
      <c r="BV2394" s="501"/>
      <c r="BW2394" s="501"/>
      <c r="BX2394" s="501"/>
      <c r="BY2394" s="501"/>
      <c r="BZ2394" s="501"/>
      <c r="CA2394" s="501"/>
      <c r="CB2394" s="501"/>
      <c r="CC2394" s="501"/>
      <c r="CD2394" s="501"/>
      <c r="CE2394" s="501"/>
      <c r="CF2394" s="501"/>
      <c r="CG2394" s="501"/>
      <c r="CH2394" s="501"/>
      <c r="CI2394" s="501"/>
      <c r="CJ2394" s="501"/>
      <c r="CK2394" s="501"/>
      <c r="CL2394" s="501"/>
      <c r="CM2394" s="501"/>
      <c r="CN2394" s="501"/>
      <c r="CO2394" s="501"/>
      <c r="CP2394" s="501"/>
      <c r="CQ2394" s="501"/>
      <c r="CR2394" s="501"/>
      <c r="CS2394" s="501"/>
      <c r="CT2394" s="501"/>
      <c r="CU2394" s="501"/>
      <c r="CV2394" s="501"/>
      <c r="CW2394" s="501"/>
      <c r="CX2394" s="501"/>
      <c r="CY2394" s="501"/>
      <c r="CZ2394" s="501"/>
      <c r="DA2394" s="501"/>
      <c r="DB2394" s="501"/>
      <c r="DC2394" s="501"/>
      <c r="DD2394" s="501"/>
      <c r="DE2394" s="501"/>
      <c r="DF2394" s="501"/>
      <c r="DG2394" s="501"/>
      <c r="DH2394" s="501"/>
      <c r="DI2394" s="501"/>
      <c r="DJ2394" s="501"/>
      <c r="DK2394" s="501"/>
      <c r="DL2394" s="501"/>
      <c r="DM2394" s="501"/>
      <c r="DN2394" s="501"/>
      <c r="DO2394" s="501"/>
      <c r="DP2394" s="501"/>
      <c r="DQ2394" s="501"/>
      <c r="DR2394" s="501"/>
      <c r="DS2394" s="501"/>
      <c r="DT2394" s="501"/>
      <c r="DU2394" s="501"/>
      <c r="DV2394" s="501"/>
      <c r="DW2394" s="501"/>
      <c r="DX2394" s="501"/>
      <c r="DY2394" s="501"/>
      <c r="DZ2394" s="501"/>
      <c r="EA2394" s="501"/>
      <c r="EB2394" s="501"/>
      <c r="EC2394" s="501"/>
      <c r="ED2394" s="501"/>
      <c r="EE2394" s="501"/>
      <c r="EF2394" s="501"/>
      <c r="EG2394" s="501"/>
      <c r="EH2394" s="501"/>
      <c r="EI2394" s="501"/>
      <c r="EJ2394" s="501"/>
      <c r="EK2394" s="501"/>
      <c r="EL2394" s="501"/>
      <c r="EM2394" s="501"/>
      <c r="EN2394" s="501"/>
      <c r="EO2394" s="501"/>
      <c r="EP2394" s="501"/>
      <c r="EQ2394" s="501"/>
      <c r="ER2394" s="501"/>
      <c r="ES2394" s="501"/>
      <c r="ET2394" s="501"/>
      <c r="EU2394" s="501"/>
      <c r="EV2394" s="501"/>
      <c r="EW2394" s="501"/>
      <c r="EX2394" s="501"/>
      <c r="EY2394" s="501"/>
      <c r="EZ2394" s="501"/>
      <c r="FA2394" s="501"/>
      <c r="FB2394" s="501"/>
      <c r="FC2394" s="501"/>
      <c r="FD2394" s="501"/>
      <c r="FE2394" s="501"/>
      <c r="FF2394" s="501"/>
      <c r="FG2394" s="501"/>
      <c r="FH2394" s="501"/>
      <c r="FI2394" s="501"/>
      <c r="FJ2394" s="501"/>
      <c r="FK2394" s="501"/>
      <c r="FL2394" s="501"/>
      <c r="FM2394" s="501"/>
      <c r="FN2394" s="501"/>
      <c r="FO2394" s="501"/>
      <c r="FP2394" s="501"/>
      <c r="FQ2394" s="501"/>
      <c r="FR2394" s="501"/>
      <c r="FS2394" s="501"/>
      <c r="FT2394" s="501"/>
      <c r="FU2394" s="501"/>
      <c r="FV2394" s="501"/>
      <c r="FW2394" s="501"/>
      <c r="FX2394" s="501"/>
      <c r="FY2394" s="501"/>
      <c r="FZ2394" s="501"/>
      <c r="GA2394" s="501"/>
      <c r="GB2394" s="501"/>
      <c r="GC2394" s="501"/>
      <c r="GD2394" s="501"/>
      <c r="GE2394" s="501"/>
      <c r="GF2394" s="501"/>
      <c r="GG2394" s="501"/>
      <c r="GH2394" s="501"/>
      <c r="GI2394" s="501"/>
      <c r="GJ2394" s="501"/>
      <c r="GK2394" s="501"/>
      <c r="GL2394" s="501"/>
      <c r="GM2394" s="501"/>
      <c r="GN2394" s="501"/>
      <c r="GO2394" s="501"/>
      <c r="GP2394" s="501"/>
      <c r="GQ2394" s="501"/>
      <c r="GR2394" s="501"/>
      <c r="GS2394" s="501"/>
      <c r="GT2394" s="501"/>
      <c r="GU2394" s="501"/>
      <c r="GV2394" s="501"/>
      <c r="GW2394" s="501"/>
      <c r="GX2394" s="501"/>
      <c r="GY2394" s="501"/>
      <c r="GZ2394" s="501"/>
      <c r="HA2394" s="501"/>
      <c r="HB2394" s="501"/>
      <c r="HC2394" s="501"/>
      <c r="HD2394" s="501"/>
      <c r="HE2394" s="501"/>
      <c r="HF2394" s="501"/>
      <c r="HG2394" s="501"/>
      <c r="HH2394" s="501"/>
      <c r="HI2394" s="501"/>
      <c r="HJ2394" s="501"/>
      <c r="HK2394" s="501"/>
      <c r="HL2394" s="501"/>
      <c r="HM2394" s="501"/>
      <c r="HN2394" s="501"/>
      <c r="HO2394" s="501"/>
      <c r="HP2394" s="501"/>
      <c r="HQ2394" s="501"/>
      <c r="HR2394" s="501"/>
      <c r="HS2394" s="501"/>
      <c r="HT2394" s="501"/>
      <c r="HU2394" s="501"/>
      <c r="HV2394" s="501"/>
      <c r="HW2394" s="501"/>
      <c r="HX2394" s="501"/>
      <c r="HY2394" s="501"/>
      <c r="HZ2394" s="501"/>
      <c r="IA2394" s="501"/>
      <c r="IB2394" s="501"/>
      <c r="IC2394" s="501"/>
      <c r="ID2394" s="501"/>
      <c r="IE2394" s="501"/>
      <c r="IF2394" s="501"/>
      <c r="IG2394" s="501"/>
      <c r="IH2394" s="501"/>
      <c r="II2394" s="501"/>
      <c r="IJ2394" s="501"/>
      <c r="IK2394" s="501"/>
      <c r="IL2394" s="501"/>
      <c r="IM2394" s="501"/>
      <c r="IN2394" s="501"/>
      <c r="IO2394" s="501"/>
      <c r="IP2394" s="501"/>
      <c r="IQ2394" s="501"/>
      <c r="IR2394" s="501"/>
      <c r="IS2394" s="501"/>
      <c r="IT2394" s="501"/>
      <c r="IU2394" s="501"/>
    </row>
    <row r="2395" spans="1:255" s="877" customFormat="1" ht="24" customHeight="1">
      <c r="A2395" s="501"/>
      <c r="B2395" s="501"/>
      <c r="C2395" s="501"/>
      <c r="D2395" s="501"/>
      <c r="E2395" s="501"/>
      <c r="F2395" s="501"/>
      <c r="G2395" s="915"/>
      <c r="H2395" s="501"/>
      <c r="I2395" s="874"/>
      <c r="J2395" s="501"/>
      <c r="K2395" s="501"/>
      <c r="L2395" s="874"/>
      <c r="M2395" s="882"/>
      <c r="N2395" s="501"/>
      <c r="O2395" s="501"/>
      <c r="P2395" s="901"/>
      <c r="Q2395" s="876"/>
      <c r="R2395" s="545"/>
      <c r="S2395" s="880"/>
      <c r="T2395" s="545"/>
      <c r="V2395" s="501"/>
      <c r="W2395" s="501"/>
      <c r="X2395" s="501"/>
      <c r="Y2395" s="501"/>
      <c r="Z2395" s="501"/>
      <c r="AA2395" s="501"/>
      <c r="AB2395" s="501"/>
      <c r="AC2395" s="501"/>
      <c r="AD2395" s="501"/>
      <c r="AE2395" s="501"/>
      <c r="AF2395" s="501"/>
      <c r="AG2395" s="501"/>
      <c r="AH2395" s="501"/>
      <c r="AI2395" s="501"/>
      <c r="AJ2395" s="501"/>
      <c r="AK2395" s="501"/>
      <c r="AL2395" s="501"/>
      <c r="AM2395" s="501"/>
      <c r="AN2395" s="501"/>
      <c r="AO2395" s="501"/>
      <c r="AP2395" s="501"/>
      <c r="AQ2395" s="501"/>
      <c r="AR2395" s="501"/>
      <c r="AS2395" s="501"/>
      <c r="AT2395" s="501"/>
      <c r="AU2395" s="501"/>
      <c r="AV2395" s="501"/>
      <c r="AW2395" s="501"/>
      <c r="AX2395" s="501"/>
      <c r="AY2395" s="501"/>
      <c r="AZ2395" s="501"/>
      <c r="BA2395" s="501"/>
      <c r="BB2395" s="501"/>
      <c r="BC2395" s="501"/>
      <c r="BD2395" s="501"/>
      <c r="BE2395" s="501"/>
      <c r="BF2395" s="501"/>
      <c r="BG2395" s="501"/>
      <c r="BH2395" s="501"/>
      <c r="BI2395" s="501"/>
      <c r="BJ2395" s="501"/>
      <c r="BK2395" s="501"/>
      <c r="BL2395" s="501"/>
      <c r="BM2395" s="501"/>
      <c r="BN2395" s="501"/>
      <c r="BO2395" s="501"/>
      <c r="BP2395" s="501"/>
      <c r="BQ2395" s="501"/>
      <c r="BR2395" s="501"/>
      <c r="BS2395" s="501"/>
      <c r="BT2395" s="501"/>
      <c r="BU2395" s="501"/>
      <c r="BV2395" s="501"/>
      <c r="BW2395" s="501"/>
      <c r="BX2395" s="501"/>
      <c r="BY2395" s="501"/>
      <c r="BZ2395" s="501"/>
      <c r="CA2395" s="501"/>
      <c r="CB2395" s="501"/>
      <c r="CC2395" s="501"/>
      <c r="CD2395" s="501"/>
      <c r="CE2395" s="501"/>
      <c r="CF2395" s="501"/>
      <c r="CG2395" s="501"/>
      <c r="CH2395" s="501"/>
      <c r="CI2395" s="501"/>
      <c r="CJ2395" s="501"/>
      <c r="CK2395" s="501"/>
      <c r="CL2395" s="501"/>
      <c r="CM2395" s="501"/>
      <c r="CN2395" s="501"/>
      <c r="CO2395" s="501"/>
      <c r="CP2395" s="501"/>
      <c r="CQ2395" s="501"/>
      <c r="CR2395" s="501"/>
      <c r="CS2395" s="501"/>
      <c r="CT2395" s="501"/>
      <c r="CU2395" s="501"/>
      <c r="CV2395" s="501"/>
      <c r="CW2395" s="501"/>
      <c r="CX2395" s="501"/>
      <c r="CY2395" s="501"/>
      <c r="CZ2395" s="501"/>
      <c r="DA2395" s="501"/>
      <c r="DB2395" s="501"/>
      <c r="DC2395" s="501"/>
      <c r="DD2395" s="501"/>
      <c r="DE2395" s="501"/>
      <c r="DF2395" s="501"/>
      <c r="DG2395" s="501"/>
      <c r="DH2395" s="501"/>
      <c r="DI2395" s="501"/>
      <c r="DJ2395" s="501"/>
      <c r="DK2395" s="501"/>
      <c r="DL2395" s="501"/>
      <c r="DM2395" s="501"/>
      <c r="DN2395" s="501"/>
      <c r="DO2395" s="501"/>
      <c r="DP2395" s="501"/>
      <c r="DQ2395" s="501"/>
      <c r="DR2395" s="501"/>
      <c r="DS2395" s="501"/>
      <c r="DT2395" s="501"/>
      <c r="DU2395" s="501"/>
      <c r="DV2395" s="501"/>
      <c r="DW2395" s="501"/>
      <c r="DX2395" s="501"/>
      <c r="DY2395" s="501"/>
      <c r="DZ2395" s="501"/>
      <c r="EA2395" s="501"/>
      <c r="EB2395" s="501"/>
      <c r="EC2395" s="501"/>
      <c r="ED2395" s="501"/>
      <c r="EE2395" s="501"/>
      <c r="EF2395" s="501"/>
      <c r="EG2395" s="501"/>
      <c r="EH2395" s="501"/>
      <c r="EI2395" s="501"/>
      <c r="EJ2395" s="501"/>
      <c r="EK2395" s="501"/>
      <c r="EL2395" s="501"/>
      <c r="EM2395" s="501"/>
      <c r="EN2395" s="501"/>
      <c r="EO2395" s="501"/>
      <c r="EP2395" s="501"/>
      <c r="EQ2395" s="501"/>
      <c r="ER2395" s="501"/>
      <c r="ES2395" s="501"/>
      <c r="ET2395" s="501"/>
      <c r="EU2395" s="501"/>
      <c r="EV2395" s="501"/>
      <c r="EW2395" s="501"/>
      <c r="EX2395" s="501"/>
      <c r="EY2395" s="501"/>
      <c r="EZ2395" s="501"/>
      <c r="FA2395" s="501"/>
      <c r="FB2395" s="501"/>
      <c r="FC2395" s="501"/>
      <c r="FD2395" s="501"/>
      <c r="FE2395" s="501"/>
      <c r="FF2395" s="501"/>
      <c r="FG2395" s="501"/>
      <c r="FH2395" s="501"/>
      <c r="FI2395" s="501"/>
      <c r="FJ2395" s="501"/>
      <c r="FK2395" s="501"/>
      <c r="FL2395" s="501"/>
      <c r="FM2395" s="501"/>
      <c r="FN2395" s="501"/>
      <c r="FO2395" s="501"/>
      <c r="FP2395" s="501"/>
      <c r="FQ2395" s="501"/>
      <c r="FR2395" s="501"/>
      <c r="FS2395" s="501"/>
      <c r="FT2395" s="501"/>
      <c r="FU2395" s="501"/>
      <c r="FV2395" s="501"/>
      <c r="FW2395" s="501"/>
      <c r="FX2395" s="501"/>
      <c r="FY2395" s="501"/>
      <c r="FZ2395" s="501"/>
      <c r="GA2395" s="501"/>
      <c r="GB2395" s="501"/>
      <c r="GC2395" s="501"/>
      <c r="GD2395" s="501"/>
      <c r="GE2395" s="501"/>
      <c r="GF2395" s="501"/>
      <c r="GG2395" s="501"/>
      <c r="GH2395" s="501"/>
      <c r="GI2395" s="501"/>
      <c r="GJ2395" s="501"/>
      <c r="GK2395" s="501"/>
      <c r="GL2395" s="501"/>
      <c r="GM2395" s="501"/>
      <c r="GN2395" s="501"/>
      <c r="GO2395" s="501"/>
      <c r="GP2395" s="501"/>
      <c r="GQ2395" s="501"/>
      <c r="GR2395" s="501"/>
      <c r="GS2395" s="501"/>
      <c r="GT2395" s="501"/>
      <c r="GU2395" s="501"/>
      <c r="GV2395" s="501"/>
      <c r="GW2395" s="501"/>
      <c r="GX2395" s="501"/>
      <c r="GY2395" s="501"/>
      <c r="GZ2395" s="501"/>
      <c r="HA2395" s="501"/>
      <c r="HB2395" s="501"/>
      <c r="HC2395" s="501"/>
      <c r="HD2395" s="501"/>
      <c r="HE2395" s="501"/>
      <c r="HF2395" s="501"/>
      <c r="HG2395" s="501"/>
      <c r="HH2395" s="501"/>
      <c r="HI2395" s="501"/>
      <c r="HJ2395" s="501"/>
      <c r="HK2395" s="501"/>
      <c r="HL2395" s="501"/>
      <c r="HM2395" s="501"/>
      <c r="HN2395" s="501"/>
      <c r="HO2395" s="501"/>
      <c r="HP2395" s="501"/>
      <c r="HQ2395" s="501"/>
      <c r="HR2395" s="501"/>
      <c r="HS2395" s="501"/>
      <c r="HT2395" s="501"/>
      <c r="HU2395" s="501"/>
      <c r="HV2395" s="501"/>
      <c r="HW2395" s="501"/>
      <c r="HX2395" s="501"/>
      <c r="HY2395" s="501"/>
      <c r="HZ2395" s="501"/>
      <c r="IA2395" s="501"/>
      <c r="IB2395" s="501"/>
      <c r="IC2395" s="501"/>
      <c r="ID2395" s="501"/>
      <c r="IE2395" s="501"/>
      <c r="IF2395" s="501"/>
      <c r="IG2395" s="501"/>
      <c r="IH2395" s="501"/>
      <c r="II2395" s="501"/>
      <c r="IJ2395" s="501"/>
      <c r="IK2395" s="501"/>
      <c r="IL2395" s="501"/>
      <c r="IM2395" s="501"/>
      <c r="IN2395" s="501"/>
      <c r="IO2395" s="501"/>
      <c r="IP2395" s="501"/>
      <c r="IQ2395" s="501"/>
      <c r="IR2395" s="501"/>
      <c r="IS2395" s="501"/>
      <c r="IT2395" s="501"/>
      <c r="IU2395" s="501"/>
    </row>
    <row r="2396" spans="1:255" s="877" customFormat="1" ht="24" customHeight="1">
      <c r="A2396" s="501"/>
      <c r="B2396" s="501"/>
      <c r="C2396" s="501"/>
      <c r="D2396" s="501"/>
      <c r="E2396" s="501"/>
      <c r="F2396" s="501"/>
      <c r="G2396" s="915"/>
      <c r="H2396" s="501"/>
      <c r="I2396" s="874"/>
      <c r="J2396" s="501"/>
      <c r="K2396" s="501"/>
      <c r="L2396" s="874"/>
      <c r="M2396" s="1052"/>
      <c r="N2396" s="501"/>
      <c r="O2396" s="501"/>
      <c r="P2396" s="901"/>
      <c r="Q2396" s="876"/>
      <c r="R2396" s="545"/>
      <c r="S2396" s="880"/>
      <c r="T2396" s="545"/>
      <c r="V2396" s="501"/>
      <c r="W2396" s="501"/>
      <c r="X2396" s="501"/>
      <c r="Y2396" s="501"/>
      <c r="Z2396" s="501"/>
      <c r="AA2396" s="501"/>
      <c r="AB2396" s="501"/>
      <c r="AC2396" s="501"/>
      <c r="AD2396" s="501"/>
      <c r="AE2396" s="501"/>
      <c r="AF2396" s="501"/>
      <c r="AG2396" s="501"/>
      <c r="AH2396" s="501"/>
      <c r="AI2396" s="501"/>
      <c r="AJ2396" s="501"/>
      <c r="AK2396" s="501"/>
      <c r="AL2396" s="501"/>
      <c r="AM2396" s="501"/>
      <c r="AN2396" s="501"/>
      <c r="AO2396" s="501"/>
      <c r="AP2396" s="501"/>
      <c r="AQ2396" s="501"/>
      <c r="AR2396" s="501"/>
      <c r="AS2396" s="501"/>
      <c r="AT2396" s="501"/>
      <c r="AU2396" s="501"/>
      <c r="AV2396" s="501"/>
      <c r="AW2396" s="501"/>
      <c r="AX2396" s="501"/>
      <c r="AY2396" s="501"/>
      <c r="AZ2396" s="501"/>
      <c r="BA2396" s="501"/>
      <c r="BB2396" s="501"/>
      <c r="BC2396" s="501"/>
      <c r="BD2396" s="501"/>
      <c r="BE2396" s="501"/>
      <c r="BF2396" s="501"/>
      <c r="BG2396" s="501"/>
      <c r="BH2396" s="501"/>
      <c r="BI2396" s="501"/>
      <c r="BJ2396" s="501"/>
      <c r="BK2396" s="501"/>
      <c r="BL2396" s="501"/>
      <c r="BM2396" s="501"/>
      <c r="BN2396" s="501"/>
      <c r="BO2396" s="501"/>
      <c r="BP2396" s="501"/>
      <c r="BQ2396" s="501"/>
      <c r="BR2396" s="501"/>
      <c r="BS2396" s="501"/>
      <c r="BT2396" s="501"/>
      <c r="BU2396" s="501"/>
      <c r="BV2396" s="501"/>
      <c r="BW2396" s="501"/>
      <c r="BX2396" s="501"/>
      <c r="BY2396" s="501"/>
      <c r="BZ2396" s="501"/>
      <c r="CA2396" s="501"/>
      <c r="CB2396" s="501"/>
      <c r="CC2396" s="501"/>
      <c r="CD2396" s="501"/>
      <c r="CE2396" s="501"/>
      <c r="CF2396" s="501"/>
      <c r="CG2396" s="501"/>
      <c r="CH2396" s="501"/>
      <c r="CI2396" s="501"/>
      <c r="CJ2396" s="501"/>
      <c r="CK2396" s="501"/>
      <c r="CL2396" s="501"/>
      <c r="CM2396" s="501"/>
      <c r="CN2396" s="501"/>
      <c r="CO2396" s="501"/>
      <c r="CP2396" s="501"/>
      <c r="CQ2396" s="501"/>
      <c r="CR2396" s="501"/>
      <c r="CS2396" s="501"/>
      <c r="CT2396" s="501"/>
      <c r="CU2396" s="501"/>
      <c r="CV2396" s="501"/>
      <c r="CW2396" s="501"/>
      <c r="CX2396" s="501"/>
      <c r="CY2396" s="501"/>
      <c r="CZ2396" s="501"/>
      <c r="DA2396" s="501"/>
      <c r="DB2396" s="501"/>
      <c r="DC2396" s="501"/>
      <c r="DD2396" s="501"/>
      <c r="DE2396" s="501"/>
      <c r="DF2396" s="501"/>
      <c r="DG2396" s="501"/>
      <c r="DH2396" s="501"/>
      <c r="DI2396" s="501"/>
      <c r="DJ2396" s="501"/>
      <c r="DK2396" s="501"/>
      <c r="DL2396" s="501"/>
      <c r="DM2396" s="501"/>
      <c r="DN2396" s="501"/>
      <c r="DO2396" s="501"/>
      <c r="DP2396" s="501"/>
      <c r="DQ2396" s="501"/>
      <c r="DR2396" s="501"/>
      <c r="DS2396" s="501"/>
      <c r="DT2396" s="501"/>
      <c r="DU2396" s="501"/>
      <c r="DV2396" s="501"/>
      <c r="DW2396" s="501"/>
      <c r="DX2396" s="501"/>
      <c r="DY2396" s="501"/>
      <c r="DZ2396" s="501"/>
      <c r="EA2396" s="501"/>
      <c r="EB2396" s="501"/>
      <c r="EC2396" s="501"/>
      <c r="ED2396" s="501"/>
      <c r="EE2396" s="501"/>
      <c r="EF2396" s="501"/>
      <c r="EG2396" s="501"/>
      <c r="EH2396" s="501"/>
      <c r="EI2396" s="501"/>
      <c r="EJ2396" s="501"/>
      <c r="EK2396" s="501"/>
      <c r="EL2396" s="501"/>
      <c r="EM2396" s="501"/>
      <c r="EN2396" s="501"/>
      <c r="EO2396" s="501"/>
      <c r="EP2396" s="501"/>
      <c r="EQ2396" s="501"/>
      <c r="ER2396" s="501"/>
      <c r="ES2396" s="501"/>
      <c r="ET2396" s="501"/>
      <c r="EU2396" s="501"/>
      <c r="EV2396" s="501"/>
      <c r="EW2396" s="501"/>
      <c r="EX2396" s="501"/>
      <c r="EY2396" s="501"/>
      <c r="EZ2396" s="501"/>
      <c r="FA2396" s="501"/>
      <c r="FB2396" s="501"/>
      <c r="FC2396" s="501"/>
      <c r="FD2396" s="501"/>
      <c r="FE2396" s="501"/>
      <c r="FF2396" s="501"/>
      <c r="FG2396" s="501"/>
      <c r="FH2396" s="501"/>
      <c r="FI2396" s="501"/>
      <c r="FJ2396" s="501"/>
      <c r="FK2396" s="501"/>
      <c r="FL2396" s="501"/>
      <c r="FM2396" s="501"/>
      <c r="FN2396" s="501"/>
      <c r="FO2396" s="501"/>
      <c r="FP2396" s="501"/>
      <c r="FQ2396" s="501"/>
      <c r="FR2396" s="501"/>
      <c r="FS2396" s="501"/>
      <c r="FT2396" s="501"/>
      <c r="FU2396" s="501"/>
      <c r="FV2396" s="501"/>
      <c r="FW2396" s="501"/>
      <c r="FX2396" s="501"/>
      <c r="FY2396" s="501"/>
      <c r="FZ2396" s="501"/>
      <c r="GA2396" s="501"/>
      <c r="GB2396" s="501"/>
      <c r="GC2396" s="501"/>
      <c r="GD2396" s="501"/>
      <c r="GE2396" s="501"/>
      <c r="GF2396" s="501"/>
      <c r="GG2396" s="501"/>
      <c r="GH2396" s="501"/>
      <c r="GI2396" s="501"/>
      <c r="GJ2396" s="501"/>
      <c r="GK2396" s="501"/>
      <c r="GL2396" s="501"/>
      <c r="GM2396" s="501"/>
      <c r="GN2396" s="501"/>
      <c r="GO2396" s="501"/>
      <c r="GP2396" s="501"/>
      <c r="GQ2396" s="501"/>
      <c r="GR2396" s="501"/>
      <c r="GS2396" s="501"/>
      <c r="GT2396" s="501"/>
      <c r="GU2396" s="501"/>
      <c r="GV2396" s="501"/>
      <c r="GW2396" s="501"/>
      <c r="GX2396" s="501"/>
      <c r="GY2396" s="501"/>
      <c r="GZ2396" s="501"/>
      <c r="HA2396" s="501"/>
      <c r="HB2396" s="501"/>
      <c r="HC2396" s="501"/>
      <c r="HD2396" s="501"/>
      <c r="HE2396" s="501"/>
      <c r="HF2396" s="501"/>
      <c r="HG2396" s="501"/>
      <c r="HH2396" s="501"/>
      <c r="HI2396" s="501"/>
      <c r="HJ2396" s="501"/>
      <c r="HK2396" s="501"/>
      <c r="HL2396" s="501"/>
      <c r="HM2396" s="501"/>
      <c r="HN2396" s="501"/>
      <c r="HO2396" s="501"/>
      <c r="HP2396" s="501"/>
      <c r="HQ2396" s="501"/>
      <c r="HR2396" s="501"/>
      <c r="HS2396" s="501"/>
      <c r="HT2396" s="501"/>
      <c r="HU2396" s="501"/>
      <c r="HV2396" s="501"/>
      <c r="HW2396" s="501"/>
      <c r="HX2396" s="501"/>
      <c r="HY2396" s="501"/>
      <c r="HZ2396" s="501"/>
      <c r="IA2396" s="501"/>
      <c r="IB2396" s="501"/>
      <c r="IC2396" s="501"/>
      <c r="ID2396" s="501"/>
      <c r="IE2396" s="501"/>
      <c r="IF2396" s="501"/>
      <c r="IG2396" s="501"/>
      <c r="IH2396" s="501"/>
      <c r="II2396" s="501"/>
      <c r="IJ2396" s="501"/>
      <c r="IK2396" s="501"/>
      <c r="IL2396" s="501"/>
      <c r="IM2396" s="501"/>
      <c r="IN2396" s="501"/>
      <c r="IO2396" s="501"/>
      <c r="IP2396" s="501"/>
      <c r="IQ2396" s="501"/>
      <c r="IR2396" s="501"/>
      <c r="IS2396" s="501"/>
      <c r="IT2396" s="501"/>
      <c r="IU2396" s="501"/>
    </row>
    <row r="2397" spans="1:255" s="877" customFormat="1" ht="24" customHeight="1">
      <c r="A2397" s="501"/>
      <c r="B2397" s="501"/>
      <c r="C2397" s="501"/>
      <c r="D2397" s="501"/>
      <c r="E2397" s="501"/>
      <c r="F2397" s="501"/>
      <c r="G2397" s="915"/>
      <c r="H2397" s="501"/>
      <c r="I2397" s="874"/>
      <c r="J2397" s="501"/>
      <c r="K2397" s="501"/>
      <c r="L2397" s="874"/>
      <c r="M2397" s="883"/>
      <c r="N2397" s="501"/>
      <c r="O2397" s="501"/>
      <c r="P2397" s="901"/>
      <c r="Q2397" s="876"/>
      <c r="R2397" s="545"/>
      <c r="S2397" s="880"/>
      <c r="T2397" s="545"/>
      <c r="V2397" s="501"/>
      <c r="W2397" s="501"/>
      <c r="X2397" s="501"/>
      <c r="Y2397" s="501"/>
      <c r="Z2397" s="501"/>
      <c r="AA2397" s="501"/>
      <c r="AB2397" s="501"/>
      <c r="AC2397" s="501"/>
      <c r="AD2397" s="501"/>
      <c r="AE2397" s="501"/>
      <c r="AF2397" s="501"/>
      <c r="AG2397" s="501"/>
      <c r="AH2397" s="501"/>
      <c r="AI2397" s="501"/>
      <c r="AJ2397" s="501"/>
      <c r="AK2397" s="501"/>
      <c r="AL2397" s="501"/>
      <c r="AM2397" s="501"/>
      <c r="AN2397" s="501"/>
      <c r="AO2397" s="501"/>
      <c r="AP2397" s="501"/>
      <c r="AQ2397" s="501"/>
      <c r="AR2397" s="501"/>
      <c r="AS2397" s="501"/>
      <c r="AT2397" s="501"/>
      <c r="AU2397" s="501"/>
      <c r="AV2397" s="501"/>
      <c r="AW2397" s="501"/>
      <c r="AX2397" s="501"/>
      <c r="AY2397" s="501"/>
      <c r="AZ2397" s="501"/>
      <c r="BA2397" s="501"/>
      <c r="BB2397" s="501"/>
      <c r="BC2397" s="501"/>
      <c r="BD2397" s="501"/>
      <c r="BE2397" s="501"/>
      <c r="BF2397" s="501"/>
      <c r="BG2397" s="501"/>
      <c r="BH2397" s="501"/>
      <c r="BI2397" s="501"/>
      <c r="BJ2397" s="501"/>
      <c r="BK2397" s="501"/>
      <c r="BL2397" s="501"/>
      <c r="BM2397" s="501"/>
      <c r="BN2397" s="501"/>
      <c r="BO2397" s="501"/>
      <c r="BP2397" s="501"/>
      <c r="BQ2397" s="501"/>
      <c r="BR2397" s="501"/>
      <c r="BS2397" s="501"/>
      <c r="BT2397" s="501"/>
      <c r="BU2397" s="501"/>
      <c r="BV2397" s="501"/>
      <c r="BW2397" s="501"/>
      <c r="BX2397" s="501"/>
      <c r="BY2397" s="501"/>
      <c r="BZ2397" s="501"/>
      <c r="CA2397" s="501"/>
      <c r="CB2397" s="501"/>
      <c r="CC2397" s="501"/>
      <c r="CD2397" s="501"/>
      <c r="CE2397" s="501"/>
      <c r="CF2397" s="501"/>
      <c r="CG2397" s="501"/>
      <c r="CH2397" s="501"/>
      <c r="CI2397" s="501"/>
      <c r="CJ2397" s="501"/>
      <c r="CK2397" s="501"/>
      <c r="CL2397" s="501"/>
      <c r="CM2397" s="501"/>
      <c r="CN2397" s="501"/>
      <c r="CO2397" s="501"/>
      <c r="CP2397" s="501"/>
      <c r="CQ2397" s="501"/>
      <c r="CR2397" s="501"/>
      <c r="CS2397" s="501"/>
      <c r="CT2397" s="501"/>
      <c r="CU2397" s="501"/>
      <c r="CV2397" s="501"/>
      <c r="CW2397" s="501"/>
      <c r="CX2397" s="501"/>
      <c r="CY2397" s="501"/>
      <c r="CZ2397" s="501"/>
      <c r="DA2397" s="501"/>
      <c r="DB2397" s="501"/>
      <c r="DC2397" s="501"/>
      <c r="DD2397" s="501"/>
      <c r="DE2397" s="501"/>
      <c r="DF2397" s="501"/>
      <c r="DG2397" s="501"/>
      <c r="DH2397" s="501"/>
      <c r="DI2397" s="501"/>
      <c r="DJ2397" s="501"/>
      <c r="DK2397" s="501"/>
      <c r="DL2397" s="501"/>
      <c r="DM2397" s="501"/>
      <c r="DN2397" s="501"/>
      <c r="DO2397" s="501"/>
      <c r="DP2397" s="501"/>
      <c r="DQ2397" s="501"/>
      <c r="DR2397" s="501"/>
      <c r="DS2397" s="501"/>
      <c r="DT2397" s="501"/>
      <c r="DU2397" s="501"/>
      <c r="DV2397" s="501"/>
      <c r="DW2397" s="501"/>
      <c r="DX2397" s="501"/>
      <c r="DY2397" s="501"/>
      <c r="DZ2397" s="501"/>
      <c r="EA2397" s="501"/>
      <c r="EB2397" s="501"/>
      <c r="EC2397" s="501"/>
      <c r="ED2397" s="501"/>
      <c r="EE2397" s="501"/>
      <c r="EF2397" s="501"/>
      <c r="EG2397" s="501"/>
      <c r="EH2397" s="501"/>
      <c r="EI2397" s="501"/>
      <c r="EJ2397" s="501"/>
      <c r="EK2397" s="501"/>
      <c r="EL2397" s="501"/>
      <c r="EM2397" s="501"/>
      <c r="EN2397" s="501"/>
      <c r="EO2397" s="501"/>
      <c r="EP2397" s="501"/>
      <c r="EQ2397" s="501"/>
      <c r="ER2397" s="501"/>
      <c r="ES2397" s="501"/>
      <c r="ET2397" s="501"/>
      <c r="EU2397" s="501"/>
      <c r="EV2397" s="501"/>
      <c r="EW2397" s="501"/>
      <c r="EX2397" s="501"/>
      <c r="EY2397" s="501"/>
      <c r="EZ2397" s="501"/>
      <c r="FA2397" s="501"/>
      <c r="FB2397" s="501"/>
      <c r="FC2397" s="501"/>
      <c r="FD2397" s="501"/>
      <c r="FE2397" s="501"/>
      <c r="FF2397" s="501"/>
      <c r="FG2397" s="501"/>
      <c r="FH2397" s="501"/>
      <c r="FI2397" s="501"/>
      <c r="FJ2397" s="501"/>
      <c r="FK2397" s="501"/>
      <c r="FL2397" s="501"/>
      <c r="FM2397" s="501"/>
      <c r="FN2397" s="501"/>
      <c r="FO2397" s="501"/>
      <c r="FP2397" s="501"/>
      <c r="FQ2397" s="501"/>
      <c r="FR2397" s="501"/>
      <c r="FS2397" s="501"/>
      <c r="FT2397" s="501"/>
      <c r="FU2397" s="501"/>
      <c r="FV2397" s="501"/>
      <c r="FW2397" s="501"/>
      <c r="FX2397" s="501"/>
      <c r="FY2397" s="501"/>
      <c r="FZ2397" s="501"/>
      <c r="GA2397" s="501"/>
      <c r="GB2397" s="501"/>
      <c r="GC2397" s="501"/>
      <c r="GD2397" s="501"/>
      <c r="GE2397" s="501"/>
      <c r="GF2397" s="501"/>
      <c r="GG2397" s="501"/>
      <c r="GH2397" s="501"/>
      <c r="GI2397" s="501"/>
      <c r="GJ2397" s="501"/>
      <c r="GK2397" s="501"/>
      <c r="GL2397" s="501"/>
      <c r="GM2397" s="501"/>
      <c r="GN2397" s="501"/>
      <c r="GO2397" s="501"/>
      <c r="GP2397" s="501"/>
      <c r="GQ2397" s="501"/>
      <c r="GR2397" s="501"/>
      <c r="GS2397" s="501"/>
      <c r="GT2397" s="501"/>
      <c r="GU2397" s="501"/>
      <c r="GV2397" s="501"/>
      <c r="GW2397" s="501"/>
      <c r="GX2397" s="501"/>
      <c r="GY2397" s="501"/>
      <c r="GZ2397" s="501"/>
      <c r="HA2397" s="501"/>
      <c r="HB2397" s="501"/>
      <c r="HC2397" s="501"/>
      <c r="HD2397" s="501"/>
      <c r="HE2397" s="501"/>
      <c r="HF2397" s="501"/>
      <c r="HG2397" s="501"/>
      <c r="HH2397" s="501"/>
      <c r="HI2397" s="501"/>
      <c r="HJ2397" s="501"/>
      <c r="HK2397" s="501"/>
      <c r="HL2397" s="501"/>
      <c r="HM2397" s="501"/>
      <c r="HN2397" s="501"/>
      <c r="HO2397" s="501"/>
      <c r="HP2397" s="501"/>
      <c r="HQ2397" s="501"/>
      <c r="HR2397" s="501"/>
      <c r="HS2397" s="501"/>
      <c r="HT2397" s="501"/>
      <c r="HU2397" s="501"/>
      <c r="HV2397" s="501"/>
      <c r="HW2397" s="501"/>
      <c r="HX2397" s="501"/>
      <c r="HY2397" s="501"/>
      <c r="HZ2397" s="501"/>
      <c r="IA2397" s="501"/>
      <c r="IB2397" s="501"/>
      <c r="IC2397" s="501"/>
      <c r="ID2397" s="501"/>
      <c r="IE2397" s="501"/>
      <c r="IF2397" s="501"/>
      <c r="IG2397" s="501"/>
      <c r="IH2397" s="501"/>
      <c r="II2397" s="501"/>
      <c r="IJ2397" s="501"/>
      <c r="IK2397" s="501"/>
      <c r="IL2397" s="501"/>
      <c r="IM2397" s="501"/>
      <c r="IN2397" s="501"/>
      <c r="IO2397" s="501"/>
      <c r="IP2397" s="501"/>
      <c r="IQ2397" s="501"/>
      <c r="IR2397" s="501"/>
      <c r="IS2397" s="501"/>
      <c r="IT2397" s="501"/>
      <c r="IU2397" s="501"/>
    </row>
    <row r="2398" spans="1:255" s="877" customFormat="1" ht="24" customHeight="1">
      <c r="A2398" s="501"/>
      <c r="B2398" s="501"/>
      <c r="C2398" s="501"/>
      <c r="D2398" s="501"/>
      <c r="E2398" s="501"/>
      <c r="F2398" s="501"/>
      <c r="G2398" s="915"/>
      <c r="H2398" s="501"/>
      <c r="I2398" s="874"/>
      <c r="J2398" s="501"/>
      <c r="K2398" s="501"/>
      <c r="L2398" s="874"/>
      <c r="M2398" s="1052"/>
      <c r="N2398" s="501"/>
      <c r="O2398" s="501"/>
      <c r="P2398" s="901"/>
      <c r="Q2398" s="876"/>
      <c r="R2398" s="545"/>
      <c r="S2398" s="880"/>
      <c r="T2398" s="545"/>
      <c r="V2398" s="501"/>
      <c r="W2398" s="501"/>
      <c r="X2398" s="501"/>
      <c r="Y2398" s="501"/>
      <c r="Z2398" s="501"/>
      <c r="AA2398" s="501"/>
      <c r="AB2398" s="501"/>
      <c r="AC2398" s="501"/>
      <c r="AD2398" s="501"/>
      <c r="AE2398" s="501"/>
      <c r="AF2398" s="501"/>
      <c r="AG2398" s="501"/>
      <c r="AH2398" s="501"/>
      <c r="AI2398" s="501"/>
      <c r="AJ2398" s="501"/>
      <c r="AK2398" s="501"/>
      <c r="AL2398" s="501"/>
      <c r="AM2398" s="501"/>
      <c r="AN2398" s="501"/>
      <c r="AO2398" s="501"/>
      <c r="AP2398" s="501"/>
      <c r="AQ2398" s="501"/>
      <c r="AR2398" s="501"/>
      <c r="AS2398" s="501"/>
      <c r="AT2398" s="501"/>
      <c r="AU2398" s="501"/>
      <c r="AV2398" s="501"/>
      <c r="AW2398" s="501"/>
      <c r="AX2398" s="501"/>
      <c r="AY2398" s="501"/>
      <c r="AZ2398" s="501"/>
      <c r="BA2398" s="501"/>
      <c r="BB2398" s="501"/>
      <c r="BC2398" s="501"/>
      <c r="BD2398" s="501"/>
      <c r="BE2398" s="501"/>
      <c r="BF2398" s="501"/>
      <c r="BG2398" s="501"/>
      <c r="BH2398" s="501"/>
      <c r="BI2398" s="501"/>
      <c r="BJ2398" s="501"/>
      <c r="BK2398" s="501"/>
      <c r="BL2398" s="501"/>
      <c r="BM2398" s="501"/>
      <c r="BN2398" s="501"/>
      <c r="BO2398" s="501"/>
      <c r="BP2398" s="501"/>
      <c r="BQ2398" s="501"/>
      <c r="BR2398" s="501"/>
      <c r="BS2398" s="501"/>
      <c r="BT2398" s="501"/>
      <c r="BU2398" s="501"/>
      <c r="BV2398" s="501"/>
      <c r="BW2398" s="501"/>
      <c r="BX2398" s="501"/>
      <c r="BY2398" s="501"/>
      <c r="BZ2398" s="501"/>
      <c r="CA2398" s="501"/>
      <c r="CB2398" s="501"/>
      <c r="CC2398" s="501"/>
      <c r="CD2398" s="501"/>
      <c r="CE2398" s="501"/>
      <c r="CF2398" s="501"/>
      <c r="CG2398" s="501"/>
      <c r="CH2398" s="501"/>
      <c r="CI2398" s="501"/>
      <c r="CJ2398" s="501"/>
      <c r="CK2398" s="501"/>
      <c r="CL2398" s="501"/>
      <c r="CM2398" s="501"/>
      <c r="CN2398" s="501"/>
      <c r="CO2398" s="501"/>
      <c r="CP2398" s="501"/>
      <c r="CQ2398" s="501"/>
      <c r="CR2398" s="501"/>
      <c r="CS2398" s="501"/>
      <c r="CT2398" s="501"/>
      <c r="CU2398" s="501"/>
      <c r="CV2398" s="501"/>
      <c r="CW2398" s="501"/>
      <c r="CX2398" s="501"/>
      <c r="CY2398" s="501"/>
      <c r="CZ2398" s="501"/>
      <c r="DA2398" s="501"/>
      <c r="DB2398" s="501"/>
      <c r="DC2398" s="501"/>
      <c r="DD2398" s="501"/>
      <c r="DE2398" s="501"/>
      <c r="DF2398" s="501"/>
      <c r="DG2398" s="501"/>
      <c r="DH2398" s="501"/>
      <c r="DI2398" s="501"/>
      <c r="DJ2398" s="501"/>
      <c r="DK2398" s="501"/>
      <c r="DL2398" s="501"/>
      <c r="DM2398" s="501"/>
      <c r="DN2398" s="501"/>
      <c r="DO2398" s="501"/>
      <c r="DP2398" s="501"/>
      <c r="DQ2398" s="501"/>
      <c r="DR2398" s="501"/>
      <c r="DS2398" s="501"/>
      <c r="DT2398" s="501"/>
      <c r="DU2398" s="501"/>
      <c r="DV2398" s="501"/>
      <c r="DW2398" s="501"/>
      <c r="DX2398" s="501"/>
      <c r="DY2398" s="501"/>
      <c r="DZ2398" s="501"/>
      <c r="EA2398" s="501"/>
      <c r="EB2398" s="501"/>
      <c r="EC2398" s="501"/>
      <c r="ED2398" s="501"/>
      <c r="EE2398" s="501"/>
      <c r="EF2398" s="501"/>
      <c r="EG2398" s="501"/>
      <c r="EH2398" s="501"/>
      <c r="EI2398" s="501"/>
      <c r="EJ2398" s="501"/>
      <c r="EK2398" s="501"/>
      <c r="EL2398" s="501"/>
      <c r="EM2398" s="501"/>
      <c r="EN2398" s="501"/>
      <c r="EO2398" s="501"/>
      <c r="EP2398" s="501"/>
      <c r="EQ2398" s="501"/>
      <c r="ER2398" s="501"/>
      <c r="ES2398" s="501"/>
      <c r="ET2398" s="501"/>
      <c r="EU2398" s="501"/>
      <c r="EV2398" s="501"/>
      <c r="EW2398" s="501"/>
      <c r="EX2398" s="501"/>
      <c r="EY2398" s="501"/>
      <c r="EZ2398" s="501"/>
      <c r="FA2398" s="501"/>
      <c r="FB2398" s="501"/>
      <c r="FC2398" s="501"/>
      <c r="FD2398" s="501"/>
      <c r="FE2398" s="501"/>
      <c r="FF2398" s="501"/>
      <c r="FG2398" s="501"/>
      <c r="FH2398" s="501"/>
      <c r="FI2398" s="501"/>
      <c r="FJ2398" s="501"/>
      <c r="FK2398" s="501"/>
      <c r="FL2398" s="501"/>
      <c r="FM2398" s="501"/>
      <c r="FN2398" s="501"/>
      <c r="FO2398" s="501"/>
      <c r="FP2398" s="501"/>
      <c r="FQ2398" s="501"/>
      <c r="FR2398" s="501"/>
      <c r="FS2398" s="501"/>
      <c r="FT2398" s="501"/>
      <c r="FU2398" s="501"/>
      <c r="FV2398" s="501"/>
      <c r="FW2398" s="501"/>
      <c r="FX2398" s="501"/>
      <c r="FY2398" s="501"/>
      <c r="FZ2398" s="501"/>
      <c r="GA2398" s="501"/>
      <c r="GB2398" s="501"/>
      <c r="GC2398" s="501"/>
      <c r="GD2398" s="501"/>
      <c r="GE2398" s="501"/>
      <c r="GF2398" s="501"/>
      <c r="GG2398" s="501"/>
      <c r="GH2398" s="501"/>
      <c r="GI2398" s="501"/>
      <c r="GJ2398" s="501"/>
      <c r="GK2398" s="501"/>
      <c r="GL2398" s="501"/>
      <c r="GM2398" s="501"/>
      <c r="GN2398" s="501"/>
      <c r="GO2398" s="501"/>
      <c r="GP2398" s="501"/>
      <c r="GQ2398" s="501"/>
      <c r="GR2398" s="501"/>
      <c r="GS2398" s="501"/>
      <c r="GT2398" s="501"/>
      <c r="GU2398" s="501"/>
      <c r="GV2398" s="501"/>
      <c r="GW2398" s="501"/>
      <c r="GX2398" s="501"/>
      <c r="GY2398" s="501"/>
      <c r="GZ2398" s="501"/>
      <c r="HA2398" s="501"/>
      <c r="HB2398" s="501"/>
      <c r="HC2398" s="501"/>
      <c r="HD2398" s="501"/>
      <c r="HE2398" s="501"/>
      <c r="HF2398" s="501"/>
      <c r="HG2398" s="501"/>
      <c r="HH2398" s="501"/>
      <c r="HI2398" s="501"/>
      <c r="HJ2398" s="501"/>
      <c r="HK2398" s="501"/>
      <c r="HL2398" s="501"/>
      <c r="HM2398" s="501"/>
      <c r="HN2398" s="501"/>
      <c r="HO2398" s="501"/>
      <c r="HP2398" s="501"/>
      <c r="HQ2398" s="501"/>
      <c r="HR2398" s="501"/>
      <c r="HS2398" s="501"/>
      <c r="HT2398" s="501"/>
      <c r="HU2398" s="501"/>
      <c r="HV2398" s="501"/>
      <c r="HW2398" s="501"/>
      <c r="HX2398" s="501"/>
      <c r="HY2398" s="501"/>
      <c r="HZ2398" s="501"/>
      <c r="IA2398" s="501"/>
      <c r="IB2398" s="501"/>
      <c r="IC2398" s="501"/>
      <c r="ID2398" s="501"/>
      <c r="IE2398" s="501"/>
      <c r="IF2398" s="501"/>
      <c r="IG2398" s="501"/>
      <c r="IH2398" s="501"/>
      <c r="II2398" s="501"/>
      <c r="IJ2398" s="501"/>
      <c r="IK2398" s="501"/>
      <c r="IL2398" s="501"/>
      <c r="IM2398" s="501"/>
      <c r="IN2398" s="501"/>
      <c r="IO2398" s="501"/>
      <c r="IP2398" s="501"/>
      <c r="IQ2398" s="501"/>
      <c r="IR2398" s="501"/>
      <c r="IS2398" s="501"/>
      <c r="IT2398" s="501"/>
      <c r="IU2398" s="501"/>
    </row>
    <row r="2399" spans="1:255" s="877" customFormat="1" ht="24" customHeight="1">
      <c r="A2399" s="501"/>
      <c r="B2399" s="501"/>
      <c r="C2399" s="501"/>
      <c r="D2399" s="501"/>
      <c r="E2399" s="501"/>
      <c r="F2399" s="501"/>
      <c r="G2399" s="915"/>
      <c r="H2399" s="501"/>
      <c r="I2399" s="874"/>
      <c r="J2399" s="501"/>
      <c r="K2399" s="501"/>
      <c r="L2399" s="874"/>
      <c r="M2399" s="882"/>
      <c r="N2399" s="501"/>
      <c r="O2399" s="501"/>
      <c r="P2399" s="901"/>
      <c r="Q2399" s="876"/>
      <c r="R2399" s="545"/>
      <c r="S2399" s="880"/>
      <c r="T2399" s="545"/>
      <c r="V2399" s="501"/>
      <c r="W2399" s="501"/>
      <c r="X2399" s="501"/>
      <c r="Y2399" s="501"/>
      <c r="Z2399" s="501"/>
      <c r="AA2399" s="501"/>
      <c r="AB2399" s="501"/>
      <c r="AC2399" s="501"/>
      <c r="AD2399" s="501"/>
      <c r="AE2399" s="501"/>
      <c r="AF2399" s="501"/>
      <c r="AG2399" s="501"/>
      <c r="AH2399" s="501"/>
      <c r="AI2399" s="501"/>
      <c r="AJ2399" s="501"/>
      <c r="AK2399" s="501"/>
      <c r="AL2399" s="501"/>
      <c r="AM2399" s="501"/>
      <c r="AN2399" s="501"/>
      <c r="AO2399" s="501"/>
      <c r="AP2399" s="501"/>
      <c r="AQ2399" s="501"/>
      <c r="AR2399" s="501"/>
      <c r="AS2399" s="501"/>
      <c r="AT2399" s="501"/>
      <c r="AU2399" s="501"/>
      <c r="AV2399" s="501"/>
      <c r="AW2399" s="501"/>
      <c r="AX2399" s="501"/>
      <c r="AY2399" s="501"/>
      <c r="AZ2399" s="501"/>
      <c r="BA2399" s="501"/>
      <c r="BB2399" s="501"/>
      <c r="BC2399" s="501"/>
      <c r="BD2399" s="501"/>
      <c r="BE2399" s="501"/>
      <c r="BF2399" s="501"/>
      <c r="BG2399" s="501"/>
      <c r="BH2399" s="501"/>
      <c r="BI2399" s="501"/>
      <c r="BJ2399" s="501"/>
      <c r="BK2399" s="501"/>
      <c r="BL2399" s="501"/>
      <c r="BM2399" s="501"/>
      <c r="BN2399" s="501"/>
      <c r="BO2399" s="501"/>
      <c r="BP2399" s="501"/>
      <c r="BQ2399" s="501"/>
      <c r="BR2399" s="501"/>
      <c r="BS2399" s="501"/>
      <c r="BT2399" s="501"/>
      <c r="BU2399" s="501"/>
      <c r="BV2399" s="501"/>
      <c r="BW2399" s="501"/>
      <c r="BX2399" s="501"/>
      <c r="BY2399" s="501"/>
      <c r="BZ2399" s="501"/>
      <c r="CA2399" s="501"/>
      <c r="CB2399" s="501"/>
      <c r="CC2399" s="501"/>
      <c r="CD2399" s="501"/>
      <c r="CE2399" s="501"/>
      <c r="CF2399" s="501"/>
      <c r="CG2399" s="501"/>
      <c r="CH2399" s="501"/>
      <c r="CI2399" s="501"/>
      <c r="CJ2399" s="501"/>
      <c r="CK2399" s="501"/>
      <c r="CL2399" s="501"/>
      <c r="CM2399" s="501"/>
      <c r="CN2399" s="501"/>
      <c r="CO2399" s="501"/>
      <c r="CP2399" s="501"/>
      <c r="CQ2399" s="501"/>
      <c r="CR2399" s="501"/>
      <c r="CS2399" s="501"/>
      <c r="CT2399" s="501"/>
      <c r="CU2399" s="501"/>
      <c r="CV2399" s="501"/>
      <c r="CW2399" s="501"/>
      <c r="CX2399" s="501"/>
      <c r="CY2399" s="501"/>
      <c r="CZ2399" s="501"/>
      <c r="DA2399" s="501"/>
      <c r="DB2399" s="501"/>
      <c r="DC2399" s="501"/>
      <c r="DD2399" s="501"/>
      <c r="DE2399" s="501"/>
      <c r="DF2399" s="501"/>
      <c r="DG2399" s="501"/>
      <c r="DH2399" s="501"/>
      <c r="DI2399" s="501"/>
      <c r="DJ2399" s="501"/>
      <c r="DK2399" s="501"/>
      <c r="DL2399" s="501"/>
      <c r="DM2399" s="501"/>
      <c r="DN2399" s="501"/>
      <c r="DO2399" s="501"/>
      <c r="DP2399" s="501"/>
      <c r="DQ2399" s="501"/>
      <c r="DR2399" s="501"/>
      <c r="DS2399" s="501"/>
      <c r="DT2399" s="501"/>
      <c r="DU2399" s="501"/>
      <c r="DV2399" s="501"/>
      <c r="DW2399" s="501"/>
      <c r="DX2399" s="501"/>
      <c r="DY2399" s="501"/>
      <c r="DZ2399" s="501"/>
      <c r="EA2399" s="501"/>
      <c r="EB2399" s="501"/>
      <c r="EC2399" s="501"/>
      <c r="ED2399" s="501"/>
      <c r="EE2399" s="501"/>
      <c r="EF2399" s="501"/>
      <c r="EG2399" s="501"/>
      <c r="EH2399" s="501"/>
      <c r="EI2399" s="501"/>
      <c r="EJ2399" s="501"/>
      <c r="EK2399" s="501"/>
      <c r="EL2399" s="501"/>
      <c r="EM2399" s="501"/>
      <c r="EN2399" s="501"/>
      <c r="EO2399" s="501"/>
      <c r="EP2399" s="501"/>
      <c r="EQ2399" s="501"/>
      <c r="ER2399" s="501"/>
      <c r="ES2399" s="501"/>
      <c r="ET2399" s="501"/>
      <c r="EU2399" s="501"/>
      <c r="EV2399" s="501"/>
      <c r="EW2399" s="501"/>
      <c r="EX2399" s="501"/>
      <c r="EY2399" s="501"/>
      <c r="EZ2399" s="501"/>
      <c r="FA2399" s="501"/>
      <c r="FB2399" s="501"/>
      <c r="FC2399" s="501"/>
      <c r="FD2399" s="501"/>
      <c r="FE2399" s="501"/>
      <c r="FF2399" s="501"/>
      <c r="FG2399" s="501"/>
      <c r="FH2399" s="501"/>
      <c r="FI2399" s="501"/>
      <c r="FJ2399" s="501"/>
      <c r="FK2399" s="501"/>
      <c r="FL2399" s="501"/>
      <c r="FM2399" s="501"/>
      <c r="FN2399" s="501"/>
      <c r="FO2399" s="501"/>
      <c r="FP2399" s="501"/>
      <c r="FQ2399" s="501"/>
      <c r="FR2399" s="501"/>
      <c r="FS2399" s="501"/>
      <c r="FT2399" s="501"/>
      <c r="FU2399" s="501"/>
      <c r="FV2399" s="501"/>
      <c r="FW2399" s="501"/>
      <c r="FX2399" s="501"/>
      <c r="FY2399" s="501"/>
      <c r="FZ2399" s="501"/>
      <c r="GA2399" s="501"/>
      <c r="GB2399" s="501"/>
      <c r="GC2399" s="501"/>
      <c r="GD2399" s="501"/>
      <c r="GE2399" s="501"/>
      <c r="GF2399" s="501"/>
      <c r="GG2399" s="501"/>
      <c r="GH2399" s="501"/>
      <c r="GI2399" s="501"/>
      <c r="GJ2399" s="501"/>
      <c r="GK2399" s="501"/>
      <c r="GL2399" s="501"/>
      <c r="GM2399" s="501"/>
      <c r="GN2399" s="501"/>
      <c r="GO2399" s="501"/>
      <c r="GP2399" s="501"/>
      <c r="GQ2399" s="501"/>
      <c r="GR2399" s="501"/>
      <c r="GS2399" s="501"/>
      <c r="GT2399" s="501"/>
      <c r="GU2399" s="501"/>
      <c r="GV2399" s="501"/>
      <c r="GW2399" s="501"/>
      <c r="GX2399" s="501"/>
      <c r="GY2399" s="501"/>
      <c r="GZ2399" s="501"/>
      <c r="HA2399" s="501"/>
      <c r="HB2399" s="501"/>
      <c r="HC2399" s="501"/>
      <c r="HD2399" s="501"/>
      <c r="HE2399" s="501"/>
      <c r="HF2399" s="501"/>
      <c r="HG2399" s="501"/>
      <c r="HH2399" s="501"/>
      <c r="HI2399" s="501"/>
      <c r="HJ2399" s="501"/>
      <c r="HK2399" s="501"/>
      <c r="HL2399" s="501"/>
      <c r="HM2399" s="501"/>
      <c r="HN2399" s="501"/>
      <c r="HO2399" s="501"/>
      <c r="HP2399" s="501"/>
      <c r="HQ2399" s="501"/>
      <c r="HR2399" s="501"/>
      <c r="HS2399" s="501"/>
      <c r="HT2399" s="501"/>
      <c r="HU2399" s="501"/>
      <c r="HV2399" s="501"/>
      <c r="HW2399" s="501"/>
      <c r="HX2399" s="501"/>
      <c r="HY2399" s="501"/>
      <c r="HZ2399" s="501"/>
      <c r="IA2399" s="501"/>
      <c r="IB2399" s="501"/>
      <c r="IC2399" s="501"/>
      <c r="ID2399" s="501"/>
      <c r="IE2399" s="501"/>
      <c r="IF2399" s="501"/>
      <c r="IG2399" s="501"/>
      <c r="IH2399" s="501"/>
      <c r="II2399" s="501"/>
      <c r="IJ2399" s="501"/>
      <c r="IK2399" s="501"/>
      <c r="IL2399" s="501"/>
      <c r="IM2399" s="501"/>
      <c r="IN2399" s="501"/>
      <c r="IO2399" s="501"/>
      <c r="IP2399" s="501"/>
      <c r="IQ2399" s="501"/>
      <c r="IR2399" s="501"/>
      <c r="IS2399" s="501"/>
      <c r="IT2399" s="501"/>
      <c r="IU2399" s="501"/>
    </row>
    <row r="2400" spans="1:255" s="877" customFormat="1" ht="24" customHeight="1">
      <c r="A2400" s="501"/>
      <c r="B2400" s="501"/>
      <c r="C2400" s="501"/>
      <c r="D2400" s="501"/>
      <c r="E2400" s="501"/>
      <c r="F2400" s="501"/>
      <c r="G2400" s="915"/>
      <c r="H2400" s="501"/>
      <c r="I2400" s="874"/>
      <c r="J2400" s="501"/>
      <c r="K2400" s="501"/>
      <c r="L2400" s="874"/>
      <c r="M2400" s="554"/>
      <c r="N2400" s="501"/>
      <c r="O2400" s="501"/>
      <c r="P2400" s="901"/>
      <c r="Q2400" s="876"/>
      <c r="R2400" s="545"/>
      <c r="S2400" s="880"/>
      <c r="T2400" s="545"/>
      <c r="V2400" s="501"/>
      <c r="W2400" s="501"/>
      <c r="X2400" s="501"/>
      <c r="Y2400" s="501"/>
      <c r="Z2400" s="501"/>
      <c r="AA2400" s="501"/>
      <c r="AB2400" s="501"/>
      <c r="AC2400" s="501"/>
      <c r="AD2400" s="501"/>
      <c r="AE2400" s="501"/>
      <c r="AF2400" s="501"/>
      <c r="AG2400" s="501"/>
      <c r="AH2400" s="501"/>
      <c r="AI2400" s="501"/>
      <c r="AJ2400" s="501"/>
      <c r="AK2400" s="501"/>
      <c r="AL2400" s="501"/>
      <c r="AM2400" s="501"/>
      <c r="AN2400" s="501"/>
      <c r="AO2400" s="501"/>
      <c r="AP2400" s="501"/>
      <c r="AQ2400" s="501"/>
      <c r="AR2400" s="501"/>
      <c r="AS2400" s="501"/>
      <c r="AT2400" s="501"/>
      <c r="AU2400" s="501"/>
      <c r="AV2400" s="501"/>
      <c r="AW2400" s="501"/>
      <c r="AX2400" s="501"/>
      <c r="AY2400" s="501"/>
      <c r="AZ2400" s="501"/>
      <c r="BA2400" s="501"/>
      <c r="BB2400" s="501"/>
      <c r="BC2400" s="501"/>
      <c r="BD2400" s="501"/>
      <c r="BE2400" s="501"/>
      <c r="BF2400" s="501"/>
      <c r="BG2400" s="501"/>
      <c r="BH2400" s="501"/>
      <c r="BI2400" s="501"/>
      <c r="BJ2400" s="501"/>
      <c r="BK2400" s="501"/>
      <c r="BL2400" s="501"/>
      <c r="BM2400" s="501"/>
      <c r="BN2400" s="501"/>
      <c r="BO2400" s="501"/>
      <c r="BP2400" s="501"/>
      <c r="BQ2400" s="501"/>
      <c r="BR2400" s="501"/>
      <c r="BS2400" s="501"/>
      <c r="BT2400" s="501"/>
      <c r="BU2400" s="501"/>
      <c r="BV2400" s="501"/>
      <c r="BW2400" s="501"/>
      <c r="BX2400" s="501"/>
      <c r="BY2400" s="501"/>
      <c r="BZ2400" s="501"/>
      <c r="CA2400" s="501"/>
      <c r="CB2400" s="501"/>
      <c r="CC2400" s="501"/>
      <c r="CD2400" s="501"/>
      <c r="CE2400" s="501"/>
      <c r="CF2400" s="501"/>
      <c r="CG2400" s="501"/>
      <c r="CH2400" s="501"/>
      <c r="CI2400" s="501"/>
      <c r="CJ2400" s="501"/>
      <c r="CK2400" s="501"/>
      <c r="CL2400" s="501"/>
      <c r="CM2400" s="501"/>
      <c r="CN2400" s="501"/>
      <c r="CO2400" s="501"/>
      <c r="CP2400" s="501"/>
      <c r="CQ2400" s="501"/>
      <c r="CR2400" s="501"/>
      <c r="CS2400" s="501"/>
      <c r="CT2400" s="501"/>
      <c r="CU2400" s="501"/>
      <c r="CV2400" s="501"/>
      <c r="CW2400" s="501"/>
      <c r="CX2400" s="501"/>
      <c r="CY2400" s="501"/>
      <c r="CZ2400" s="501"/>
      <c r="DA2400" s="501"/>
      <c r="DB2400" s="501"/>
      <c r="DC2400" s="501"/>
      <c r="DD2400" s="501"/>
      <c r="DE2400" s="501"/>
      <c r="DF2400" s="501"/>
      <c r="DG2400" s="501"/>
      <c r="DH2400" s="501"/>
      <c r="DI2400" s="501"/>
      <c r="DJ2400" s="501"/>
      <c r="DK2400" s="501"/>
      <c r="DL2400" s="501"/>
      <c r="DM2400" s="501"/>
      <c r="DN2400" s="501"/>
      <c r="DO2400" s="501"/>
      <c r="DP2400" s="501"/>
      <c r="DQ2400" s="501"/>
      <c r="DR2400" s="501"/>
      <c r="DS2400" s="501"/>
      <c r="DT2400" s="501"/>
      <c r="DU2400" s="501"/>
      <c r="DV2400" s="501"/>
      <c r="DW2400" s="501"/>
      <c r="DX2400" s="501"/>
      <c r="DY2400" s="501"/>
      <c r="DZ2400" s="501"/>
      <c r="EA2400" s="501"/>
      <c r="EB2400" s="501"/>
      <c r="EC2400" s="501"/>
      <c r="ED2400" s="501"/>
      <c r="EE2400" s="501"/>
      <c r="EF2400" s="501"/>
      <c r="EG2400" s="501"/>
      <c r="EH2400" s="501"/>
      <c r="EI2400" s="501"/>
      <c r="EJ2400" s="501"/>
      <c r="EK2400" s="501"/>
      <c r="EL2400" s="501"/>
      <c r="EM2400" s="501"/>
      <c r="EN2400" s="501"/>
      <c r="EO2400" s="501"/>
      <c r="EP2400" s="501"/>
      <c r="EQ2400" s="501"/>
      <c r="ER2400" s="501"/>
      <c r="ES2400" s="501"/>
      <c r="ET2400" s="501"/>
      <c r="EU2400" s="501"/>
      <c r="EV2400" s="501"/>
      <c r="EW2400" s="501"/>
      <c r="EX2400" s="501"/>
      <c r="EY2400" s="501"/>
      <c r="EZ2400" s="501"/>
      <c r="FA2400" s="501"/>
      <c r="FB2400" s="501"/>
      <c r="FC2400" s="501"/>
      <c r="FD2400" s="501"/>
      <c r="FE2400" s="501"/>
      <c r="FF2400" s="501"/>
      <c r="FG2400" s="501"/>
      <c r="FH2400" s="501"/>
      <c r="FI2400" s="501"/>
      <c r="FJ2400" s="501"/>
      <c r="FK2400" s="501"/>
      <c r="FL2400" s="501"/>
      <c r="FM2400" s="501"/>
      <c r="FN2400" s="501"/>
      <c r="FO2400" s="501"/>
      <c r="FP2400" s="501"/>
      <c r="FQ2400" s="501"/>
      <c r="FR2400" s="501"/>
      <c r="FS2400" s="501"/>
      <c r="FT2400" s="501"/>
      <c r="FU2400" s="501"/>
      <c r="FV2400" s="501"/>
      <c r="FW2400" s="501"/>
      <c r="FX2400" s="501"/>
      <c r="FY2400" s="501"/>
      <c r="FZ2400" s="501"/>
      <c r="GA2400" s="501"/>
      <c r="GB2400" s="501"/>
      <c r="GC2400" s="501"/>
      <c r="GD2400" s="501"/>
      <c r="GE2400" s="501"/>
      <c r="GF2400" s="501"/>
      <c r="GG2400" s="501"/>
      <c r="GH2400" s="501"/>
      <c r="GI2400" s="501"/>
      <c r="GJ2400" s="501"/>
      <c r="GK2400" s="501"/>
      <c r="GL2400" s="501"/>
      <c r="GM2400" s="501"/>
      <c r="GN2400" s="501"/>
      <c r="GO2400" s="501"/>
      <c r="GP2400" s="501"/>
      <c r="GQ2400" s="501"/>
      <c r="GR2400" s="501"/>
      <c r="GS2400" s="501"/>
      <c r="GT2400" s="501"/>
      <c r="GU2400" s="501"/>
      <c r="GV2400" s="501"/>
      <c r="GW2400" s="501"/>
      <c r="GX2400" s="501"/>
      <c r="GY2400" s="501"/>
      <c r="GZ2400" s="501"/>
      <c r="HA2400" s="501"/>
      <c r="HB2400" s="501"/>
      <c r="HC2400" s="501"/>
      <c r="HD2400" s="501"/>
      <c r="HE2400" s="501"/>
      <c r="HF2400" s="501"/>
      <c r="HG2400" s="501"/>
      <c r="HH2400" s="501"/>
      <c r="HI2400" s="501"/>
      <c r="HJ2400" s="501"/>
      <c r="HK2400" s="501"/>
      <c r="HL2400" s="501"/>
      <c r="HM2400" s="501"/>
      <c r="HN2400" s="501"/>
      <c r="HO2400" s="501"/>
      <c r="HP2400" s="501"/>
      <c r="HQ2400" s="501"/>
      <c r="HR2400" s="501"/>
      <c r="HS2400" s="501"/>
      <c r="HT2400" s="501"/>
      <c r="HU2400" s="501"/>
      <c r="HV2400" s="501"/>
      <c r="HW2400" s="501"/>
      <c r="HX2400" s="501"/>
      <c r="HY2400" s="501"/>
      <c r="HZ2400" s="501"/>
      <c r="IA2400" s="501"/>
      <c r="IB2400" s="501"/>
      <c r="IC2400" s="501"/>
      <c r="ID2400" s="501"/>
      <c r="IE2400" s="501"/>
      <c r="IF2400" s="501"/>
      <c r="IG2400" s="501"/>
      <c r="IH2400" s="501"/>
      <c r="II2400" s="501"/>
      <c r="IJ2400" s="501"/>
      <c r="IK2400" s="501"/>
      <c r="IL2400" s="501"/>
      <c r="IM2400" s="501"/>
      <c r="IN2400" s="501"/>
      <c r="IO2400" s="501"/>
      <c r="IP2400" s="501"/>
      <c r="IQ2400" s="501"/>
      <c r="IR2400" s="501"/>
      <c r="IS2400" s="501"/>
      <c r="IT2400" s="501"/>
      <c r="IU2400" s="501"/>
    </row>
    <row r="2401" spans="1:255" s="877" customFormat="1" ht="24" customHeight="1">
      <c r="A2401" s="501"/>
      <c r="B2401" s="501"/>
      <c r="C2401" s="501"/>
      <c r="D2401" s="501"/>
      <c r="E2401" s="501"/>
      <c r="F2401" s="501"/>
      <c r="G2401" s="915"/>
      <c r="H2401" s="501"/>
      <c r="I2401" s="874"/>
      <c r="J2401" s="885"/>
      <c r="K2401" s="501"/>
      <c r="L2401" s="874"/>
      <c r="M2401" s="554"/>
      <c r="N2401" s="501"/>
      <c r="O2401" s="501"/>
      <c r="P2401" s="901"/>
      <c r="Q2401" s="876"/>
      <c r="R2401" s="545"/>
      <c r="S2401" s="878"/>
      <c r="T2401" s="545"/>
      <c r="V2401" s="501"/>
      <c r="W2401" s="501"/>
      <c r="X2401" s="501"/>
      <c r="Y2401" s="501"/>
      <c r="Z2401" s="501"/>
      <c r="AA2401" s="501"/>
      <c r="AB2401" s="501"/>
      <c r="AC2401" s="501"/>
      <c r="AD2401" s="501"/>
      <c r="AE2401" s="501"/>
      <c r="AF2401" s="501"/>
      <c r="AG2401" s="501"/>
      <c r="AH2401" s="501"/>
      <c r="AI2401" s="501"/>
      <c r="AJ2401" s="501"/>
      <c r="AK2401" s="501"/>
      <c r="AL2401" s="501"/>
      <c r="AM2401" s="501"/>
      <c r="AN2401" s="501"/>
      <c r="AO2401" s="501"/>
      <c r="AP2401" s="501"/>
      <c r="AQ2401" s="501"/>
      <c r="AR2401" s="501"/>
      <c r="AS2401" s="501"/>
      <c r="AT2401" s="501"/>
      <c r="AU2401" s="501"/>
      <c r="AV2401" s="501"/>
      <c r="AW2401" s="501"/>
      <c r="AX2401" s="501"/>
      <c r="AY2401" s="501"/>
      <c r="AZ2401" s="501"/>
      <c r="BA2401" s="501"/>
      <c r="BB2401" s="501"/>
      <c r="BC2401" s="501"/>
      <c r="BD2401" s="501"/>
      <c r="BE2401" s="501"/>
      <c r="BF2401" s="501"/>
      <c r="BG2401" s="501"/>
      <c r="BH2401" s="501"/>
      <c r="BI2401" s="501"/>
      <c r="BJ2401" s="501"/>
      <c r="BK2401" s="501"/>
      <c r="BL2401" s="501"/>
      <c r="BM2401" s="501"/>
      <c r="BN2401" s="501"/>
      <c r="BO2401" s="501"/>
      <c r="BP2401" s="501"/>
      <c r="BQ2401" s="501"/>
      <c r="BR2401" s="501"/>
      <c r="BS2401" s="501"/>
      <c r="BT2401" s="501"/>
      <c r="BU2401" s="501"/>
      <c r="BV2401" s="501"/>
      <c r="BW2401" s="501"/>
      <c r="BX2401" s="501"/>
      <c r="BY2401" s="501"/>
      <c r="BZ2401" s="501"/>
      <c r="CA2401" s="501"/>
      <c r="CB2401" s="501"/>
      <c r="CC2401" s="501"/>
      <c r="CD2401" s="501"/>
      <c r="CE2401" s="501"/>
      <c r="CF2401" s="501"/>
      <c r="CG2401" s="501"/>
      <c r="CH2401" s="501"/>
      <c r="CI2401" s="501"/>
      <c r="CJ2401" s="501"/>
      <c r="CK2401" s="501"/>
      <c r="CL2401" s="501"/>
      <c r="CM2401" s="501"/>
      <c r="CN2401" s="501"/>
      <c r="CO2401" s="501"/>
      <c r="CP2401" s="501"/>
      <c r="CQ2401" s="501"/>
      <c r="CR2401" s="501"/>
      <c r="CS2401" s="501"/>
      <c r="CT2401" s="501"/>
      <c r="CU2401" s="501"/>
      <c r="CV2401" s="501"/>
      <c r="CW2401" s="501"/>
      <c r="CX2401" s="501"/>
      <c r="CY2401" s="501"/>
      <c r="CZ2401" s="501"/>
      <c r="DA2401" s="501"/>
      <c r="DB2401" s="501"/>
      <c r="DC2401" s="501"/>
      <c r="DD2401" s="501"/>
      <c r="DE2401" s="501"/>
      <c r="DF2401" s="501"/>
      <c r="DG2401" s="501"/>
      <c r="DH2401" s="501"/>
      <c r="DI2401" s="501"/>
      <c r="DJ2401" s="501"/>
      <c r="DK2401" s="501"/>
      <c r="DL2401" s="501"/>
      <c r="DM2401" s="501"/>
      <c r="DN2401" s="501"/>
      <c r="DO2401" s="501"/>
      <c r="DP2401" s="501"/>
      <c r="DQ2401" s="501"/>
      <c r="DR2401" s="501"/>
      <c r="DS2401" s="501"/>
      <c r="DT2401" s="501"/>
      <c r="DU2401" s="501"/>
      <c r="DV2401" s="501"/>
      <c r="DW2401" s="501"/>
      <c r="DX2401" s="501"/>
      <c r="DY2401" s="501"/>
      <c r="DZ2401" s="501"/>
      <c r="EA2401" s="501"/>
      <c r="EB2401" s="501"/>
      <c r="EC2401" s="501"/>
      <c r="ED2401" s="501"/>
      <c r="EE2401" s="501"/>
      <c r="EF2401" s="501"/>
      <c r="EG2401" s="501"/>
      <c r="EH2401" s="501"/>
      <c r="EI2401" s="501"/>
      <c r="EJ2401" s="501"/>
      <c r="EK2401" s="501"/>
      <c r="EL2401" s="501"/>
      <c r="EM2401" s="501"/>
      <c r="EN2401" s="501"/>
      <c r="EO2401" s="501"/>
      <c r="EP2401" s="501"/>
      <c r="EQ2401" s="501"/>
      <c r="ER2401" s="501"/>
      <c r="ES2401" s="501"/>
      <c r="ET2401" s="501"/>
      <c r="EU2401" s="501"/>
      <c r="EV2401" s="501"/>
      <c r="EW2401" s="501"/>
      <c r="EX2401" s="501"/>
      <c r="EY2401" s="501"/>
      <c r="EZ2401" s="501"/>
      <c r="FA2401" s="501"/>
      <c r="FB2401" s="501"/>
      <c r="FC2401" s="501"/>
      <c r="FD2401" s="501"/>
      <c r="FE2401" s="501"/>
      <c r="FF2401" s="501"/>
      <c r="FG2401" s="501"/>
      <c r="FH2401" s="501"/>
      <c r="FI2401" s="501"/>
      <c r="FJ2401" s="501"/>
      <c r="FK2401" s="501"/>
      <c r="FL2401" s="501"/>
      <c r="FM2401" s="501"/>
      <c r="FN2401" s="501"/>
      <c r="FO2401" s="501"/>
      <c r="FP2401" s="501"/>
      <c r="FQ2401" s="501"/>
      <c r="FR2401" s="501"/>
      <c r="FS2401" s="501"/>
      <c r="FT2401" s="501"/>
      <c r="FU2401" s="501"/>
      <c r="FV2401" s="501"/>
      <c r="FW2401" s="501"/>
      <c r="FX2401" s="501"/>
      <c r="FY2401" s="501"/>
      <c r="FZ2401" s="501"/>
      <c r="GA2401" s="501"/>
      <c r="GB2401" s="501"/>
      <c r="GC2401" s="501"/>
      <c r="GD2401" s="501"/>
      <c r="GE2401" s="501"/>
      <c r="GF2401" s="501"/>
      <c r="GG2401" s="501"/>
      <c r="GH2401" s="501"/>
      <c r="GI2401" s="501"/>
      <c r="GJ2401" s="501"/>
      <c r="GK2401" s="501"/>
      <c r="GL2401" s="501"/>
      <c r="GM2401" s="501"/>
      <c r="GN2401" s="501"/>
      <c r="GO2401" s="501"/>
      <c r="GP2401" s="501"/>
      <c r="GQ2401" s="501"/>
      <c r="GR2401" s="501"/>
      <c r="GS2401" s="501"/>
      <c r="GT2401" s="501"/>
      <c r="GU2401" s="501"/>
      <c r="GV2401" s="501"/>
      <c r="GW2401" s="501"/>
      <c r="GX2401" s="501"/>
      <c r="GY2401" s="501"/>
      <c r="GZ2401" s="501"/>
      <c r="HA2401" s="501"/>
      <c r="HB2401" s="501"/>
      <c r="HC2401" s="501"/>
      <c r="HD2401" s="501"/>
      <c r="HE2401" s="501"/>
      <c r="HF2401" s="501"/>
      <c r="HG2401" s="501"/>
      <c r="HH2401" s="501"/>
      <c r="HI2401" s="501"/>
      <c r="HJ2401" s="501"/>
      <c r="HK2401" s="501"/>
      <c r="HL2401" s="501"/>
      <c r="HM2401" s="501"/>
      <c r="HN2401" s="501"/>
      <c r="HO2401" s="501"/>
      <c r="HP2401" s="501"/>
      <c r="HQ2401" s="501"/>
      <c r="HR2401" s="501"/>
      <c r="HS2401" s="501"/>
      <c r="HT2401" s="501"/>
      <c r="HU2401" s="501"/>
      <c r="HV2401" s="501"/>
      <c r="HW2401" s="501"/>
      <c r="HX2401" s="501"/>
      <c r="HY2401" s="501"/>
      <c r="HZ2401" s="501"/>
      <c r="IA2401" s="501"/>
      <c r="IB2401" s="501"/>
      <c r="IC2401" s="501"/>
      <c r="ID2401" s="501"/>
      <c r="IE2401" s="501"/>
      <c r="IF2401" s="501"/>
      <c r="IG2401" s="501"/>
      <c r="IH2401" s="501"/>
      <c r="II2401" s="501"/>
      <c r="IJ2401" s="501"/>
      <c r="IK2401" s="501"/>
      <c r="IL2401" s="501"/>
      <c r="IM2401" s="501"/>
      <c r="IN2401" s="501"/>
      <c r="IO2401" s="501"/>
      <c r="IP2401" s="501"/>
      <c r="IQ2401" s="501"/>
      <c r="IR2401" s="501"/>
      <c r="IS2401" s="501"/>
      <c r="IT2401" s="501"/>
      <c r="IU2401" s="501"/>
    </row>
    <row r="2402" spans="1:255" s="877" customFormat="1" ht="24" customHeight="1">
      <c r="A2402" s="501"/>
      <c r="B2402" s="501"/>
      <c r="C2402" s="501"/>
      <c r="D2402" s="501"/>
      <c r="E2402" s="501"/>
      <c r="F2402" s="501"/>
      <c r="G2402" s="915"/>
      <c r="H2402" s="501"/>
      <c r="I2402" s="874"/>
      <c r="J2402" s="933"/>
      <c r="K2402" s="501"/>
      <c r="L2402" s="876"/>
      <c r="M2402" s="882"/>
      <c r="N2402" s="501"/>
      <c r="O2402" s="501"/>
      <c r="P2402" s="901"/>
      <c r="Q2402" s="876"/>
      <c r="R2402" s="545"/>
      <c r="S2402" s="878"/>
      <c r="T2402" s="545"/>
      <c r="V2402" s="501"/>
      <c r="W2402" s="501"/>
      <c r="X2402" s="501"/>
      <c r="Y2402" s="501"/>
      <c r="Z2402" s="501"/>
      <c r="AA2402" s="501"/>
      <c r="AB2402" s="501"/>
      <c r="AC2402" s="501"/>
      <c r="AD2402" s="501"/>
      <c r="AE2402" s="501"/>
      <c r="AF2402" s="501"/>
      <c r="AG2402" s="501"/>
      <c r="AH2402" s="501"/>
      <c r="AI2402" s="501"/>
      <c r="AJ2402" s="501"/>
      <c r="AK2402" s="501"/>
      <c r="AL2402" s="501"/>
      <c r="AM2402" s="501"/>
      <c r="AN2402" s="501"/>
      <c r="AO2402" s="501"/>
      <c r="AP2402" s="501"/>
      <c r="AQ2402" s="501"/>
      <c r="AR2402" s="501"/>
      <c r="AS2402" s="501"/>
      <c r="AT2402" s="501"/>
      <c r="AU2402" s="501"/>
      <c r="AV2402" s="501"/>
      <c r="AW2402" s="501"/>
      <c r="AX2402" s="501"/>
      <c r="AY2402" s="501"/>
      <c r="AZ2402" s="501"/>
      <c r="BA2402" s="501"/>
      <c r="BB2402" s="501"/>
      <c r="BC2402" s="501"/>
      <c r="BD2402" s="501"/>
      <c r="BE2402" s="501"/>
      <c r="BF2402" s="501"/>
      <c r="BG2402" s="501"/>
      <c r="BH2402" s="501"/>
      <c r="BI2402" s="501"/>
      <c r="BJ2402" s="501"/>
      <c r="BK2402" s="501"/>
      <c r="BL2402" s="501"/>
      <c r="BM2402" s="501"/>
      <c r="BN2402" s="501"/>
      <c r="BO2402" s="501"/>
      <c r="BP2402" s="501"/>
      <c r="BQ2402" s="501"/>
      <c r="BR2402" s="501"/>
      <c r="BS2402" s="501"/>
      <c r="BT2402" s="501"/>
      <c r="BU2402" s="501"/>
      <c r="BV2402" s="501"/>
      <c r="BW2402" s="501"/>
      <c r="BX2402" s="501"/>
      <c r="BY2402" s="501"/>
      <c r="BZ2402" s="501"/>
      <c r="CA2402" s="501"/>
      <c r="CB2402" s="501"/>
      <c r="CC2402" s="501"/>
      <c r="CD2402" s="501"/>
      <c r="CE2402" s="501"/>
      <c r="CF2402" s="501"/>
      <c r="CG2402" s="501"/>
      <c r="CH2402" s="501"/>
      <c r="CI2402" s="501"/>
      <c r="CJ2402" s="501"/>
      <c r="CK2402" s="501"/>
      <c r="CL2402" s="501"/>
      <c r="CM2402" s="501"/>
      <c r="CN2402" s="501"/>
      <c r="CO2402" s="501"/>
      <c r="CP2402" s="501"/>
      <c r="CQ2402" s="501"/>
      <c r="CR2402" s="501"/>
      <c r="CS2402" s="501"/>
      <c r="CT2402" s="501"/>
      <c r="CU2402" s="501"/>
      <c r="CV2402" s="501"/>
      <c r="CW2402" s="501"/>
      <c r="CX2402" s="501"/>
      <c r="CY2402" s="501"/>
      <c r="CZ2402" s="501"/>
      <c r="DA2402" s="501"/>
      <c r="DB2402" s="501"/>
      <c r="DC2402" s="501"/>
      <c r="DD2402" s="501"/>
      <c r="DE2402" s="501"/>
      <c r="DF2402" s="501"/>
      <c r="DG2402" s="501"/>
      <c r="DH2402" s="501"/>
      <c r="DI2402" s="501"/>
      <c r="DJ2402" s="501"/>
      <c r="DK2402" s="501"/>
      <c r="DL2402" s="501"/>
      <c r="DM2402" s="501"/>
      <c r="DN2402" s="501"/>
      <c r="DO2402" s="501"/>
      <c r="DP2402" s="501"/>
      <c r="DQ2402" s="501"/>
      <c r="DR2402" s="501"/>
      <c r="DS2402" s="501"/>
      <c r="DT2402" s="501"/>
      <c r="DU2402" s="501"/>
      <c r="DV2402" s="501"/>
      <c r="DW2402" s="501"/>
      <c r="DX2402" s="501"/>
      <c r="DY2402" s="501"/>
      <c r="DZ2402" s="501"/>
      <c r="EA2402" s="501"/>
      <c r="EB2402" s="501"/>
      <c r="EC2402" s="501"/>
      <c r="ED2402" s="501"/>
      <c r="EE2402" s="501"/>
      <c r="EF2402" s="501"/>
      <c r="EG2402" s="501"/>
      <c r="EH2402" s="501"/>
      <c r="EI2402" s="501"/>
      <c r="EJ2402" s="501"/>
      <c r="EK2402" s="501"/>
      <c r="EL2402" s="501"/>
      <c r="EM2402" s="501"/>
      <c r="EN2402" s="501"/>
      <c r="EO2402" s="501"/>
      <c r="EP2402" s="501"/>
      <c r="EQ2402" s="501"/>
      <c r="ER2402" s="501"/>
      <c r="ES2402" s="501"/>
      <c r="ET2402" s="501"/>
      <c r="EU2402" s="501"/>
      <c r="EV2402" s="501"/>
      <c r="EW2402" s="501"/>
      <c r="EX2402" s="501"/>
      <c r="EY2402" s="501"/>
      <c r="EZ2402" s="501"/>
      <c r="FA2402" s="501"/>
      <c r="FB2402" s="501"/>
      <c r="FC2402" s="501"/>
      <c r="FD2402" s="501"/>
      <c r="FE2402" s="501"/>
      <c r="FF2402" s="501"/>
      <c r="FG2402" s="501"/>
      <c r="FH2402" s="501"/>
      <c r="FI2402" s="501"/>
      <c r="FJ2402" s="501"/>
      <c r="FK2402" s="501"/>
      <c r="FL2402" s="501"/>
      <c r="FM2402" s="501"/>
      <c r="FN2402" s="501"/>
      <c r="FO2402" s="501"/>
      <c r="FP2402" s="501"/>
      <c r="FQ2402" s="501"/>
      <c r="FR2402" s="501"/>
      <c r="FS2402" s="501"/>
      <c r="FT2402" s="501"/>
      <c r="FU2402" s="501"/>
      <c r="FV2402" s="501"/>
      <c r="FW2402" s="501"/>
      <c r="FX2402" s="501"/>
      <c r="FY2402" s="501"/>
      <c r="FZ2402" s="501"/>
      <c r="GA2402" s="501"/>
      <c r="GB2402" s="501"/>
      <c r="GC2402" s="501"/>
      <c r="GD2402" s="501"/>
      <c r="GE2402" s="501"/>
      <c r="GF2402" s="501"/>
      <c r="GG2402" s="501"/>
      <c r="GH2402" s="501"/>
      <c r="GI2402" s="501"/>
      <c r="GJ2402" s="501"/>
      <c r="GK2402" s="501"/>
      <c r="GL2402" s="501"/>
      <c r="GM2402" s="501"/>
      <c r="GN2402" s="501"/>
      <c r="GO2402" s="501"/>
      <c r="GP2402" s="501"/>
      <c r="GQ2402" s="501"/>
      <c r="GR2402" s="501"/>
      <c r="GS2402" s="501"/>
      <c r="GT2402" s="501"/>
      <c r="GU2402" s="501"/>
      <c r="GV2402" s="501"/>
      <c r="GW2402" s="501"/>
      <c r="GX2402" s="501"/>
      <c r="GY2402" s="501"/>
      <c r="GZ2402" s="501"/>
      <c r="HA2402" s="501"/>
      <c r="HB2402" s="501"/>
      <c r="HC2402" s="501"/>
      <c r="HD2402" s="501"/>
      <c r="HE2402" s="501"/>
      <c r="HF2402" s="501"/>
      <c r="HG2402" s="501"/>
      <c r="HH2402" s="501"/>
      <c r="HI2402" s="501"/>
      <c r="HJ2402" s="501"/>
      <c r="HK2402" s="501"/>
      <c r="HL2402" s="501"/>
      <c r="HM2402" s="501"/>
      <c r="HN2402" s="501"/>
      <c r="HO2402" s="501"/>
      <c r="HP2402" s="501"/>
      <c r="HQ2402" s="501"/>
      <c r="HR2402" s="501"/>
      <c r="HS2402" s="501"/>
      <c r="HT2402" s="501"/>
      <c r="HU2402" s="501"/>
      <c r="HV2402" s="501"/>
      <c r="HW2402" s="501"/>
      <c r="HX2402" s="501"/>
      <c r="HY2402" s="501"/>
      <c r="HZ2402" s="501"/>
      <c r="IA2402" s="501"/>
      <c r="IB2402" s="501"/>
      <c r="IC2402" s="501"/>
      <c r="ID2402" s="501"/>
      <c r="IE2402" s="501"/>
      <c r="IF2402" s="501"/>
      <c r="IG2402" s="501"/>
      <c r="IH2402" s="501"/>
      <c r="II2402" s="501"/>
      <c r="IJ2402" s="501"/>
      <c r="IK2402" s="501"/>
      <c r="IL2402" s="501"/>
      <c r="IM2402" s="501"/>
      <c r="IN2402" s="501"/>
      <c r="IO2402" s="501"/>
      <c r="IP2402" s="501"/>
      <c r="IQ2402" s="501"/>
      <c r="IR2402" s="501"/>
      <c r="IS2402" s="501"/>
      <c r="IT2402" s="501"/>
      <c r="IU2402" s="501"/>
    </row>
    <row r="2403" spans="1:255" s="877" customFormat="1" ht="24" customHeight="1">
      <c r="A2403" s="501"/>
      <c r="B2403" s="501"/>
      <c r="C2403" s="501"/>
      <c r="D2403" s="501"/>
      <c r="E2403" s="501"/>
      <c r="F2403" s="501"/>
      <c r="G2403" s="915"/>
      <c r="H2403" s="501"/>
      <c r="I2403" s="874"/>
      <c r="J2403" s="501"/>
      <c r="K2403" s="501"/>
      <c r="L2403" s="876"/>
      <c r="M2403" s="882"/>
      <c r="N2403" s="501"/>
      <c r="O2403" s="501"/>
      <c r="P2403" s="901"/>
      <c r="Q2403" s="913"/>
      <c r="R2403" s="545"/>
      <c r="S2403" s="880"/>
      <c r="T2403" s="545"/>
      <c r="V2403" s="501"/>
      <c r="W2403" s="501"/>
      <c r="X2403" s="501"/>
      <c r="Y2403" s="501"/>
      <c r="Z2403" s="501"/>
      <c r="AA2403" s="501"/>
      <c r="AB2403" s="501"/>
      <c r="AC2403" s="501"/>
      <c r="AD2403" s="501"/>
      <c r="AE2403" s="501"/>
      <c r="AF2403" s="501"/>
      <c r="AG2403" s="501"/>
      <c r="AH2403" s="501"/>
      <c r="AI2403" s="501"/>
      <c r="AJ2403" s="501"/>
      <c r="AK2403" s="501"/>
      <c r="AL2403" s="501"/>
      <c r="AM2403" s="501"/>
      <c r="AN2403" s="501"/>
      <c r="AO2403" s="501"/>
      <c r="AP2403" s="501"/>
      <c r="AQ2403" s="501"/>
      <c r="AR2403" s="501"/>
      <c r="AS2403" s="501"/>
      <c r="AT2403" s="501"/>
      <c r="AU2403" s="501"/>
      <c r="AV2403" s="501"/>
      <c r="AW2403" s="501"/>
      <c r="AX2403" s="501"/>
      <c r="AY2403" s="501"/>
      <c r="AZ2403" s="501"/>
      <c r="BA2403" s="501"/>
      <c r="BB2403" s="501"/>
      <c r="BC2403" s="501"/>
      <c r="BD2403" s="501"/>
      <c r="BE2403" s="501"/>
      <c r="BF2403" s="501"/>
      <c r="BG2403" s="501"/>
      <c r="BH2403" s="501"/>
      <c r="BI2403" s="501"/>
      <c r="BJ2403" s="501"/>
      <c r="BK2403" s="501"/>
      <c r="BL2403" s="501"/>
      <c r="BM2403" s="501"/>
      <c r="BN2403" s="501"/>
      <c r="BO2403" s="501"/>
      <c r="BP2403" s="501"/>
      <c r="BQ2403" s="501"/>
      <c r="BR2403" s="501"/>
      <c r="BS2403" s="501"/>
      <c r="BT2403" s="501"/>
      <c r="BU2403" s="501"/>
      <c r="BV2403" s="501"/>
      <c r="BW2403" s="501"/>
      <c r="BX2403" s="501"/>
      <c r="BY2403" s="501"/>
      <c r="BZ2403" s="501"/>
      <c r="CA2403" s="501"/>
      <c r="CB2403" s="501"/>
      <c r="CC2403" s="501"/>
      <c r="CD2403" s="501"/>
      <c r="CE2403" s="501"/>
      <c r="CF2403" s="501"/>
      <c r="CG2403" s="501"/>
      <c r="CH2403" s="501"/>
      <c r="CI2403" s="501"/>
      <c r="CJ2403" s="501"/>
      <c r="CK2403" s="501"/>
      <c r="CL2403" s="501"/>
      <c r="CM2403" s="501"/>
      <c r="CN2403" s="501"/>
      <c r="CO2403" s="501"/>
      <c r="CP2403" s="501"/>
      <c r="CQ2403" s="501"/>
      <c r="CR2403" s="501"/>
      <c r="CS2403" s="501"/>
      <c r="CT2403" s="501"/>
      <c r="CU2403" s="501"/>
      <c r="CV2403" s="501"/>
      <c r="CW2403" s="501"/>
      <c r="CX2403" s="501"/>
      <c r="CY2403" s="501"/>
      <c r="CZ2403" s="501"/>
      <c r="DA2403" s="501"/>
      <c r="DB2403" s="501"/>
      <c r="DC2403" s="501"/>
      <c r="DD2403" s="501"/>
      <c r="DE2403" s="501"/>
      <c r="DF2403" s="501"/>
      <c r="DG2403" s="501"/>
      <c r="DH2403" s="501"/>
      <c r="DI2403" s="501"/>
      <c r="DJ2403" s="501"/>
      <c r="DK2403" s="501"/>
      <c r="DL2403" s="501"/>
      <c r="DM2403" s="501"/>
      <c r="DN2403" s="501"/>
      <c r="DO2403" s="501"/>
      <c r="DP2403" s="501"/>
      <c r="DQ2403" s="501"/>
      <c r="DR2403" s="501"/>
      <c r="DS2403" s="501"/>
      <c r="DT2403" s="501"/>
      <c r="DU2403" s="501"/>
      <c r="DV2403" s="501"/>
      <c r="DW2403" s="501"/>
      <c r="DX2403" s="501"/>
      <c r="DY2403" s="501"/>
      <c r="DZ2403" s="501"/>
      <c r="EA2403" s="501"/>
      <c r="EB2403" s="501"/>
      <c r="EC2403" s="501"/>
      <c r="ED2403" s="501"/>
      <c r="EE2403" s="501"/>
      <c r="EF2403" s="501"/>
      <c r="EG2403" s="501"/>
      <c r="EH2403" s="501"/>
      <c r="EI2403" s="501"/>
      <c r="EJ2403" s="501"/>
      <c r="EK2403" s="501"/>
      <c r="EL2403" s="501"/>
      <c r="EM2403" s="501"/>
      <c r="EN2403" s="501"/>
      <c r="EO2403" s="501"/>
      <c r="EP2403" s="501"/>
      <c r="EQ2403" s="501"/>
      <c r="ER2403" s="501"/>
      <c r="ES2403" s="501"/>
      <c r="ET2403" s="501"/>
      <c r="EU2403" s="501"/>
      <c r="EV2403" s="501"/>
      <c r="EW2403" s="501"/>
      <c r="EX2403" s="501"/>
      <c r="EY2403" s="501"/>
      <c r="EZ2403" s="501"/>
      <c r="FA2403" s="501"/>
      <c r="FB2403" s="501"/>
      <c r="FC2403" s="501"/>
      <c r="FD2403" s="501"/>
      <c r="FE2403" s="501"/>
      <c r="FF2403" s="501"/>
      <c r="FG2403" s="501"/>
      <c r="FH2403" s="501"/>
      <c r="FI2403" s="501"/>
      <c r="FJ2403" s="501"/>
      <c r="FK2403" s="501"/>
      <c r="FL2403" s="501"/>
      <c r="FM2403" s="501"/>
      <c r="FN2403" s="501"/>
      <c r="FO2403" s="501"/>
      <c r="FP2403" s="501"/>
      <c r="FQ2403" s="501"/>
      <c r="FR2403" s="501"/>
      <c r="FS2403" s="501"/>
      <c r="FT2403" s="501"/>
      <c r="FU2403" s="501"/>
      <c r="FV2403" s="501"/>
      <c r="FW2403" s="501"/>
      <c r="FX2403" s="501"/>
      <c r="FY2403" s="501"/>
      <c r="FZ2403" s="501"/>
      <c r="GA2403" s="501"/>
      <c r="GB2403" s="501"/>
      <c r="GC2403" s="501"/>
      <c r="GD2403" s="501"/>
      <c r="GE2403" s="501"/>
      <c r="GF2403" s="501"/>
      <c r="GG2403" s="501"/>
      <c r="GH2403" s="501"/>
      <c r="GI2403" s="501"/>
      <c r="GJ2403" s="501"/>
      <c r="GK2403" s="501"/>
      <c r="GL2403" s="501"/>
      <c r="GM2403" s="501"/>
      <c r="GN2403" s="501"/>
      <c r="GO2403" s="501"/>
      <c r="GP2403" s="501"/>
      <c r="GQ2403" s="501"/>
      <c r="GR2403" s="501"/>
      <c r="GS2403" s="501"/>
      <c r="GT2403" s="501"/>
      <c r="GU2403" s="501"/>
      <c r="GV2403" s="501"/>
      <c r="GW2403" s="501"/>
      <c r="GX2403" s="501"/>
      <c r="GY2403" s="501"/>
      <c r="GZ2403" s="501"/>
      <c r="HA2403" s="501"/>
      <c r="HB2403" s="501"/>
      <c r="HC2403" s="501"/>
      <c r="HD2403" s="501"/>
      <c r="HE2403" s="501"/>
      <c r="HF2403" s="501"/>
      <c r="HG2403" s="501"/>
      <c r="HH2403" s="501"/>
      <c r="HI2403" s="501"/>
      <c r="HJ2403" s="501"/>
      <c r="HK2403" s="501"/>
      <c r="HL2403" s="501"/>
      <c r="HM2403" s="501"/>
      <c r="HN2403" s="501"/>
      <c r="HO2403" s="501"/>
      <c r="HP2403" s="501"/>
      <c r="HQ2403" s="501"/>
      <c r="HR2403" s="501"/>
      <c r="HS2403" s="501"/>
      <c r="HT2403" s="501"/>
      <c r="HU2403" s="501"/>
      <c r="HV2403" s="501"/>
      <c r="HW2403" s="501"/>
      <c r="HX2403" s="501"/>
      <c r="HY2403" s="501"/>
      <c r="HZ2403" s="501"/>
      <c r="IA2403" s="501"/>
      <c r="IB2403" s="501"/>
      <c r="IC2403" s="501"/>
      <c r="ID2403" s="501"/>
      <c r="IE2403" s="501"/>
      <c r="IF2403" s="501"/>
      <c r="IG2403" s="501"/>
      <c r="IH2403" s="501"/>
      <c r="II2403" s="501"/>
      <c r="IJ2403" s="501"/>
      <c r="IK2403" s="501"/>
      <c r="IL2403" s="501"/>
      <c r="IM2403" s="501"/>
      <c r="IN2403" s="501"/>
      <c r="IO2403" s="501"/>
      <c r="IP2403" s="501"/>
      <c r="IQ2403" s="501"/>
      <c r="IR2403" s="501"/>
      <c r="IS2403" s="501"/>
      <c r="IT2403" s="501"/>
      <c r="IU2403" s="501"/>
    </row>
    <row r="2404" spans="1:255" s="877" customFormat="1" ht="24" customHeight="1">
      <c r="A2404" s="501"/>
      <c r="B2404" s="501"/>
      <c r="C2404" s="501"/>
      <c r="D2404" s="501"/>
      <c r="E2404" s="501"/>
      <c r="F2404" s="501"/>
      <c r="G2404" s="915"/>
      <c r="H2404" s="501"/>
      <c r="I2404" s="874"/>
      <c r="J2404" s="501"/>
      <c r="K2404" s="501"/>
      <c r="L2404" s="876"/>
      <c r="M2404" s="882"/>
      <c r="N2404" s="501"/>
      <c r="O2404" s="501"/>
      <c r="P2404" s="901"/>
      <c r="Q2404" s="913"/>
      <c r="R2404" s="545"/>
      <c r="S2404" s="880"/>
      <c r="T2404" s="545"/>
      <c r="V2404" s="501"/>
      <c r="W2404" s="501"/>
      <c r="X2404" s="501"/>
      <c r="Y2404" s="501"/>
      <c r="Z2404" s="501"/>
      <c r="AA2404" s="501"/>
      <c r="AB2404" s="501"/>
      <c r="AC2404" s="501"/>
      <c r="AD2404" s="501"/>
      <c r="AE2404" s="501"/>
      <c r="AF2404" s="501"/>
      <c r="AG2404" s="501"/>
      <c r="AH2404" s="501"/>
      <c r="AI2404" s="501"/>
      <c r="AJ2404" s="501"/>
      <c r="AK2404" s="501"/>
      <c r="AL2404" s="501"/>
      <c r="AM2404" s="501"/>
      <c r="AN2404" s="501"/>
      <c r="AO2404" s="501"/>
      <c r="AP2404" s="501"/>
      <c r="AQ2404" s="501"/>
      <c r="AR2404" s="501"/>
      <c r="AS2404" s="501"/>
      <c r="AT2404" s="501"/>
      <c r="AU2404" s="501"/>
      <c r="AV2404" s="501"/>
      <c r="AW2404" s="501"/>
      <c r="AX2404" s="501"/>
      <c r="AY2404" s="501"/>
      <c r="AZ2404" s="501"/>
      <c r="BA2404" s="501"/>
      <c r="BB2404" s="501"/>
      <c r="BC2404" s="501"/>
      <c r="BD2404" s="501"/>
      <c r="BE2404" s="501"/>
      <c r="BF2404" s="501"/>
      <c r="BG2404" s="501"/>
      <c r="BH2404" s="501"/>
      <c r="BI2404" s="501"/>
      <c r="BJ2404" s="501"/>
      <c r="BK2404" s="501"/>
      <c r="BL2404" s="501"/>
      <c r="BM2404" s="501"/>
      <c r="BN2404" s="501"/>
      <c r="BO2404" s="501"/>
      <c r="BP2404" s="501"/>
      <c r="BQ2404" s="501"/>
      <c r="BR2404" s="501"/>
      <c r="BS2404" s="501"/>
      <c r="BT2404" s="501"/>
      <c r="BU2404" s="501"/>
      <c r="BV2404" s="501"/>
      <c r="BW2404" s="501"/>
      <c r="BX2404" s="501"/>
      <c r="BY2404" s="501"/>
      <c r="BZ2404" s="501"/>
      <c r="CA2404" s="501"/>
      <c r="CB2404" s="501"/>
      <c r="CC2404" s="501"/>
      <c r="CD2404" s="501"/>
      <c r="CE2404" s="501"/>
      <c r="CF2404" s="501"/>
      <c r="CG2404" s="501"/>
      <c r="CH2404" s="501"/>
      <c r="CI2404" s="501"/>
      <c r="CJ2404" s="501"/>
      <c r="CK2404" s="501"/>
      <c r="CL2404" s="501"/>
      <c r="CM2404" s="501"/>
      <c r="CN2404" s="501"/>
      <c r="CO2404" s="501"/>
      <c r="CP2404" s="501"/>
      <c r="CQ2404" s="501"/>
      <c r="CR2404" s="501"/>
      <c r="CS2404" s="501"/>
      <c r="CT2404" s="501"/>
      <c r="CU2404" s="501"/>
      <c r="CV2404" s="501"/>
      <c r="CW2404" s="501"/>
      <c r="CX2404" s="501"/>
      <c r="CY2404" s="501"/>
      <c r="CZ2404" s="501"/>
      <c r="DA2404" s="501"/>
      <c r="DB2404" s="501"/>
      <c r="DC2404" s="501"/>
      <c r="DD2404" s="501"/>
      <c r="DE2404" s="501"/>
      <c r="DF2404" s="501"/>
      <c r="DG2404" s="501"/>
      <c r="DH2404" s="501"/>
      <c r="DI2404" s="501"/>
      <c r="DJ2404" s="501"/>
      <c r="DK2404" s="501"/>
      <c r="DL2404" s="501"/>
      <c r="DM2404" s="501"/>
      <c r="DN2404" s="501"/>
      <c r="DO2404" s="501"/>
      <c r="DP2404" s="501"/>
      <c r="DQ2404" s="501"/>
      <c r="DR2404" s="501"/>
      <c r="DS2404" s="501"/>
      <c r="DT2404" s="501"/>
      <c r="DU2404" s="501"/>
      <c r="DV2404" s="501"/>
      <c r="DW2404" s="501"/>
      <c r="DX2404" s="501"/>
      <c r="DY2404" s="501"/>
      <c r="DZ2404" s="501"/>
      <c r="EA2404" s="501"/>
      <c r="EB2404" s="501"/>
      <c r="EC2404" s="501"/>
      <c r="ED2404" s="501"/>
      <c r="EE2404" s="501"/>
      <c r="EF2404" s="501"/>
      <c r="EG2404" s="501"/>
      <c r="EH2404" s="501"/>
      <c r="EI2404" s="501"/>
      <c r="EJ2404" s="501"/>
      <c r="EK2404" s="501"/>
      <c r="EL2404" s="501"/>
      <c r="EM2404" s="501"/>
      <c r="EN2404" s="501"/>
      <c r="EO2404" s="501"/>
      <c r="EP2404" s="501"/>
      <c r="EQ2404" s="501"/>
      <c r="ER2404" s="501"/>
      <c r="ES2404" s="501"/>
      <c r="ET2404" s="501"/>
      <c r="EU2404" s="501"/>
      <c r="EV2404" s="501"/>
      <c r="EW2404" s="501"/>
      <c r="EX2404" s="501"/>
      <c r="EY2404" s="501"/>
      <c r="EZ2404" s="501"/>
      <c r="FA2404" s="501"/>
      <c r="FB2404" s="501"/>
      <c r="FC2404" s="501"/>
      <c r="FD2404" s="501"/>
      <c r="FE2404" s="501"/>
      <c r="FF2404" s="501"/>
      <c r="FG2404" s="501"/>
      <c r="FH2404" s="501"/>
      <c r="FI2404" s="501"/>
      <c r="FJ2404" s="501"/>
      <c r="FK2404" s="501"/>
      <c r="FL2404" s="501"/>
      <c r="FM2404" s="501"/>
      <c r="FN2404" s="501"/>
      <c r="FO2404" s="501"/>
      <c r="FP2404" s="501"/>
      <c r="FQ2404" s="501"/>
      <c r="FR2404" s="501"/>
      <c r="FS2404" s="501"/>
      <c r="FT2404" s="501"/>
      <c r="FU2404" s="501"/>
      <c r="FV2404" s="501"/>
      <c r="FW2404" s="501"/>
      <c r="FX2404" s="501"/>
      <c r="FY2404" s="501"/>
      <c r="FZ2404" s="501"/>
      <c r="GA2404" s="501"/>
      <c r="GB2404" s="501"/>
      <c r="GC2404" s="501"/>
      <c r="GD2404" s="501"/>
      <c r="GE2404" s="501"/>
      <c r="GF2404" s="501"/>
      <c r="GG2404" s="501"/>
      <c r="GH2404" s="501"/>
      <c r="GI2404" s="501"/>
      <c r="GJ2404" s="501"/>
      <c r="GK2404" s="501"/>
      <c r="GL2404" s="501"/>
      <c r="GM2404" s="501"/>
      <c r="GN2404" s="501"/>
      <c r="GO2404" s="501"/>
      <c r="GP2404" s="501"/>
      <c r="GQ2404" s="501"/>
      <c r="GR2404" s="501"/>
      <c r="GS2404" s="501"/>
      <c r="GT2404" s="501"/>
      <c r="GU2404" s="501"/>
      <c r="GV2404" s="501"/>
      <c r="GW2404" s="501"/>
      <c r="GX2404" s="501"/>
      <c r="GY2404" s="501"/>
      <c r="GZ2404" s="501"/>
      <c r="HA2404" s="501"/>
      <c r="HB2404" s="501"/>
      <c r="HC2404" s="501"/>
      <c r="HD2404" s="501"/>
      <c r="HE2404" s="501"/>
      <c r="HF2404" s="501"/>
      <c r="HG2404" s="501"/>
      <c r="HH2404" s="501"/>
      <c r="HI2404" s="501"/>
      <c r="HJ2404" s="501"/>
      <c r="HK2404" s="501"/>
      <c r="HL2404" s="501"/>
      <c r="HM2404" s="501"/>
      <c r="HN2404" s="501"/>
      <c r="HO2404" s="501"/>
      <c r="HP2404" s="501"/>
      <c r="HQ2404" s="501"/>
      <c r="HR2404" s="501"/>
      <c r="HS2404" s="501"/>
      <c r="HT2404" s="501"/>
      <c r="HU2404" s="501"/>
      <c r="HV2404" s="501"/>
      <c r="HW2404" s="501"/>
      <c r="HX2404" s="501"/>
      <c r="HY2404" s="501"/>
      <c r="HZ2404" s="501"/>
      <c r="IA2404" s="501"/>
      <c r="IB2404" s="501"/>
      <c r="IC2404" s="501"/>
      <c r="ID2404" s="501"/>
      <c r="IE2404" s="501"/>
      <c r="IF2404" s="501"/>
      <c r="IG2404" s="501"/>
      <c r="IH2404" s="501"/>
      <c r="II2404" s="501"/>
      <c r="IJ2404" s="501"/>
      <c r="IK2404" s="501"/>
      <c r="IL2404" s="501"/>
      <c r="IM2404" s="501"/>
      <c r="IN2404" s="501"/>
      <c r="IO2404" s="501"/>
      <c r="IP2404" s="501"/>
      <c r="IQ2404" s="501"/>
      <c r="IR2404" s="501"/>
      <c r="IS2404" s="501"/>
      <c r="IT2404" s="501"/>
      <c r="IU2404" s="501"/>
    </row>
    <row r="2405" spans="1:255" s="877" customFormat="1" ht="24" customHeight="1">
      <c r="A2405" s="501"/>
      <c r="B2405" s="501"/>
      <c r="C2405" s="501"/>
      <c r="D2405" s="501"/>
      <c r="E2405" s="501"/>
      <c r="F2405" s="501"/>
      <c r="G2405" s="915"/>
      <c r="H2405" s="501"/>
      <c r="I2405" s="874"/>
      <c r="J2405" s="501"/>
      <c r="K2405" s="501"/>
      <c r="L2405" s="876"/>
      <c r="M2405" s="882"/>
      <c r="N2405" s="501"/>
      <c r="O2405" s="501"/>
      <c r="P2405" s="901"/>
      <c r="Q2405" s="913"/>
      <c r="R2405" s="545"/>
      <c r="S2405" s="880"/>
      <c r="T2405" s="545"/>
      <c r="V2405" s="501"/>
      <c r="W2405" s="501"/>
      <c r="X2405" s="501"/>
      <c r="Y2405" s="501"/>
      <c r="Z2405" s="501"/>
      <c r="AA2405" s="501"/>
      <c r="AB2405" s="501"/>
      <c r="AC2405" s="501"/>
      <c r="AD2405" s="501"/>
      <c r="AE2405" s="501"/>
      <c r="AF2405" s="501"/>
      <c r="AG2405" s="501"/>
      <c r="AH2405" s="501"/>
      <c r="AI2405" s="501"/>
      <c r="AJ2405" s="501"/>
      <c r="AK2405" s="501"/>
      <c r="AL2405" s="501"/>
      <c r="AM2405" s="501"/>
      <c r="AN2405" s="501"/>
      <c r="AO2405" s="501"/>
      <c r="AP2405" s="501"/>
      <c r="AQ2405" s="501"/>
      <c r="AR2405" s="501"/>
      <c r="AS2405" s="501"/>
      <c r="AT2405" s="501"/>
      <c r="AU2405" s="501"/>
      <c r="AV2405" s="501"/>
      <c r="AW2405" s="501"/>
      <c r="AX2405" s="501"/>
      <c r="AY2405" s="501"/>
      <c r="AZ2405" s="501"/>
      <c r="BA2405" s="501"/>
      <c r="BB2405" s="501"/>
      <c r="BC2405" s="501"/>
      <c r="BD2405" s="501"/>
      <c r="BE2405" s="501"/>
      <c r="BF2405" s="501"/>
      <c r="BG2405" s="501"/>
      <c r="BH2405" s="501"/>
      <c r="BI2405" s="501"/>
      <c r="BJ2405" s="501"/>
      <c r="BK2405" s="501"/>
      <c r="BL2405" s="501"/>
      <c r="BM2405" s="501"/>
      <c r="BN2405" s="501"/>
      <c r="BO2405" s="501"/>
      <c r="BP2405" s="501"/>
      <c r="BQ2405" s="501"/>
      <c r="BR2405" s="501"/>
      <c r="BS2405" s="501"/>
      <c r="BT2405" s="501"/>
      <c r="BU2405" s="501"/>
      <c r="BV2405" s="501"/>
      <c r="BW2405" s="501"/>
      <c r="BX2405" s="501"/>
      <c r="BY2405" s="501"/>
      <c r="BZ2405" s="501"/>
      <c r="CA2405" s="501"/>
      <c r="CB2405" s="501"/>
      <c r="CC2405" s="501"/>
      <c r="CD2405" s="501"/>
      <c r="CE2405" s="501"/>
      <c r="CF2405" s="501"/>
      <c r="CG2405" s="501"/>
      <c r="CH2405" s="501"/>
      <c r="CI2405" s="501"/>
      <c r="CJ2405" s="501"/>
      <c r="CK2405" s="501"/>
      <c r="CL2405" s="501"/>
      <c r="CM2405" s="501"/>
      <c r="CN2405" s="501"/>
      <c r="CO2405" s="501"/>
      <c r="CP2405" s="501"/>
      <c r="CQ2405" s="501"/>
      <c r="CR2405" s="501"/>
      <c r="CS2405" s="501"/>
      <c r="CT2405" s="501"/>
      <c r="CU2405" s="501"/>
      <c r="CV2405" s="501"/>
      <c r="CW2405" s="501"/>
      <c r="CX2405" s="501"/>
      <c r="CY2405" s="501"/>
      <c r="CZ2405" s="501"/>
      <c r="DA2405" s="501"/>
      <c r="DB2405" s="501"/>
      <c r="DC2405" s="501"/>
      <c r="DD2405" s="501"/>
      <c r="DE2405" s="501"/>
      <c r="DF2405" s="501"/>
      <c r="DG2405" s="501"/>
      <c r="DH2405" s="501"/>
      <c r="DI2405" s="501"/>
      <c r="DJ2405" s="501"/>
      <c r="DK2405" s="501"/>
      <c r="DL2405" s="501"/>
      <c r="DM2405" s="501"/>
      <c r="DN2405" s="501"/>
      <c r="DO2405" s="501"/>
      <c r="DP2405" s="501"/>
      <c r="DQ2405" s="501"/>
      <c r="DR2405" s="501"/>
      <c r="DS2405" s="501"/>
      <c r="DT2405" s="501"/>
      <c r="DU2405" s="501"/>
      <c r="DV2405" s="501"/>
      <c r="DW2405" s="501"/>
      <c r="DX2405" s="501"/>
      <c r="DY2405" s="501"/>
      <c r="DZ2405" s="501"/>
      <c r="EA2405" s="501"/>
      <c r="EB2405" s="501"/>
      <c r="EC2405" s="501"/>
      <c r="ED2405" s="501"/>
      <c r="EE2405" s="501"/>
      <c r="EF2405" s="501"/>
      <c r="EG2405" s="501"/>
      <c r="EH2405" s="501"/>
      <c r="EI2405" s="501"/>
      <c r="EJ2405" s="501"/>
      <c r="EK2405" s="501"/>
      <c r="EL2405" s="501"/>
      <c r="EM2405" s="501"/>
      <c r="EN2405" s="501"/>
      <c r="EO2405" s="501"/>
      <c r="EP2405" s="501"/>
      <c r="EQ2405" s="501"/>
      <c r="ER2405" s="501"/>
      <c r="ES2405" s="501"/>
      <c r="ET2405" s="501"/>
      <c r="EU2405" s="501"/>
      <c r="EV2405" s="501"/>
      <c r="EW2405" s="501"/>
      <c r="EX2405" s="501"/>
      <c r="EY2405" s="501"/>
      <c r="EZ2405" s="501"/>
      <c r="FA2405" s="501"/>
      <c r="FB2405" s="501"/>
      <c r="FC2405" s="501"/>
      <c r="FD2405" s="501"/>
      <c r="FE2405" s="501"/>
      <c r="FF2405" s="501"/>
      <c r="FG2405" s="501"/>
      <c r="FH2405" s="501"/>
      <c r="FI2405" s="501"/>
      <c r="FJ2405" s="501"/>
      <c r="FK2405" s="501"/>
      <c r="FL2405" s="501"/>
      <c r="FM2405" s="501"/>
      <c r="FN2405" s="501"/>
      <c r="FO2405" s="501"/>
      <c r="FP2405" s="501"/>
      <c r="FQ2405" s="501"/>
      <c r="FR2405" s="501"/>
      <c r="FS2405" s="501"/>
      <c r="FT2405" s="501"/>
      <c r="FU2405" s="501"/>
      <c r="FV2405" s="501"/>
      <c r="FW2405" s="501"/>
      <c r="FX2405" s="501"/>
      <c r="FY2405" s="501"/>
      <c r="FZ2405" s="501"/>
      <c r="GA2405" s="501"/>
      <c r="GB2405" s="501"/>
      <c r="GC2405" s="501"/>
      <c r="GD2405" s="501"/>
      <c r="GE2405" s="501"/>
      <c r="GF2405" s="501"/>
      <c r="GG2405" s="501"/>
      <c r="GH2405" s="501"/>
      <c r="GI2405" s="501"/>
      <c r="GJ2405" s="501"/>
      <c r="GK2405" s="501"/>
      <c r="GL2405" s="501"/>
      <c r="GM2405" s="501"/>
      <c r="GN2405" s="501"/>
      <c r="GO2405" s="501"/>
      <c r="GP2405" s="501"/>
      <c r="GQ2405" s="501"/>
      <c r="GR2405" s="501"/>
      <c r="GS2405" s="501"/>
      <c r="GT2405" s="501"/>
      <c r="GU2405" s="501"/>
      <c r="GV2405" s="501"/>
      <c r="GW2405" s="501"/>
      <c r="GX2405" s="501"/>
      <c r="GY2405" s="501"/>
      <c r="GZ2405" s="501"/>
      <c r="HA2405" s="501"/>
      <c r="HB2405" s="501"/>
      <c r="HC2405" s="501"/>
      <c r="HD2405" s="501"/>
      <c r="HE2405" s="501"/>
      <c r="HF2405" s="501"/>
      <c r="HG2405" s="501"/>
      <c r="HH2405" s="501"/>
      <c r="HI2405" s="501"/>
      <c r="HJ2405" s="501"/>
      <c r="HK2405" s="501"/>
      <c r="HL2405" s="501"/>
      <c r="HM2405" s="501"/>
      <c r="HN2405" s="501"/>
      <c r="HO2405" s="501"/>
      <c r="HP2405" s="501"/>
      <c r="HQ2405" s="501"/>
      <c r="HR2405" s="501"/>
      <c r="HS2405" s="501"/>
      <c r="HT2405" s="501"/>
      <c r="HU2405" s="501"/>
      <c r="HV2405" s="501"/>
      <c r="HW2405" s="501"/>
      <c r="HX2405" s="501"/>
      <c r="HY2405" s="501"/>
      <c r="HZ2405" s="501"/>
      <c r="IA2405" s="501"/>
      <c r="IB2405" s="501"/>
      <c r="IC2405" s="501"/>
      <c r="ID2405" s="501"/>
      <c r="IE2405" s="501"/>
      <c r="IF2405" s="501"/>
      <c r="IG2405" s="501"/>
      <c r="IH2405" s="501"/>
      <c r="II2405" s="501"/>
      <c r="IJ2405" s="501"/>
      <c r="IK2405" s="501"/>
      <c r="IL2405" s="501"/>
      <c r="IM2405" s="501"/>
      <c r="IN2405" s="501"/>
      <c r="IO2405" s="501"/>
      <c r="IP2405" s="501"/>
      <c r="IQ2405" s="501"/>
      <c r="IR2405" s="501"/>
      <c r="IS2405" s="501"/>
      <c r="IT2405" s="501"/>
      <c r="IU2405" s="501"/>
    </row>
    <row r="2406" spans="1:255" s="877" customFormat="1" ht="24" customHeight="1">
      <c r="A2406" s="501"/>
      <c r="B2406" s="501"/>
      <c r="C2406" s="501"/>
      <c r="D2406" s="501"/>
      <c r="E2406" s="501"/>
      <c r="F2406" s="501"/>
      <c r="G2406" s="915"/>
      <c r="H2406" s="501"/>
      <c r="I2406" s="874"/>
      <c r="J2406" s="501"/>
      <c r="K2406" s="501"/>
      <c r="L2406" s="880"/>
      <c r="M2406" s="882"/>
      <c r="N2406" s="501"/>
      <c r="O2406" s="501"/>
      <c r="P2406" s="901"/>
      <c r="Q2406" s="876"/>
      <c r="R2406" s="545"/>
      <c r="S2406" s="880"/>
      <c r="T2406" s="545"/>
      <c r="V2406" s="501"/>
      <c r="W2406" s="501"/>
      <c r="X2406" s="501"/>
      <c r="Y2406" s="501"/>
      <c r="Z2406" s="501"/>
      <c r="AA2406" s="501"/>
      <c r="AB2406" s="501"/>
      <c r="AC2406" s="501"/>
      <c r="AD2406" s="501"/>
      <c r="AE2406" s="501"/>
      <c r="AF2406" s="501"/>
      <c r="AG2406" s="501"/>
      <c r="AH2406" s="501"/>
      <c r="AI2406" s="501"/>
      <c r="AJ2406" s="501"/>
      <c r="AK2406" s="501"/>
      <c r="AL2406" s="501"/>
      <c r="AM2406" s="501"/>
      <c r="AN2406" s="501"/>
      <c r="AO2406" s="501"/>
      <c r="AP2406" s="501"/>
      <c r="AQ2406" s="501"/>
      <c r="AR2406" s="501"/>
      <c r="AS2406" s="501"/>
      <c r="AT2406" s="501"/>
      <c r="AU2406" s="501"/>
      <c r="AV2406" s="501"/>
      <c r="AW2406" s="501"/>
      <c r="AX2406" s="501"/>
      <c r="AY2406" s="501"/>
      <c r="AZ2406" s="501"/>
      <c r="BA2406" s="501"/>
      <c r="BB2406" s="501"/>
      <c r="BC2406" s="501"/>
      <c r="BD2406" s="501"/>
      <c r="BE2406" s="501"/>
      <c r="BF2406" s="501"/>
      <c r="BG2406" s="501"/>
      <c r="BH2406" s="501"/>
      <c r="BI2406" s="501"/>
      <c r="BJ2406" s="501"/>
      <c r="BK2406" s="501"/>
      <c r="BL2406" s="501"/>
      <c r="BM2406" s="501"/>
      <c r="BN2406" s="501"/>
      <c r="BO2406" s="501"/>
      <c r="BP2406" s="501"/>
      <c r="BQ2406" s="501"/>
      <c r="BR2406" s="501"/>
      <c r="BS2406" s="501"/>
      <c r="BT2406" s="501"/>
      <c r="BU2406" s="501"/>
      <c r="BV2406" s="501"/>
      <c r="BW2406" s="501"/>
      <c r="BX2406" s="501"/>
      <c r="BY2406" s="501"/>
      <c r="BZ2406" s="501"/>
      <c r="CA2406" s="501"/>
      <c r="CB2406" s="501"/>
      <c r="CC2406" s="501"/>
      <c r="CD2406" s="501"/>
      <c r="CE2406" s="501"/>
      <c r="CF2406" s="501"/>
      <c r="CG2406" s="501"/>
      <c r="CH2406" s="501"/>
      <c r="CI2406" s="501"/>
      <c r="CJ2406" s="501"/>
      <c r="CK2406" s="501"/>
      <c r="CL2406" s="501"/>
      <c r="CM2406" s="501"/>
      <c r="CN2406" s="501"/>
      <c r="CO2406" s="501"/>
      <c r="CP2406" s="501"/>
      <c r="CQ2406" s="501"/>
      <c r="CR2406" s="501"/>
      <c r="CS2406" s="501"/>
      <c r="CT2406" s="501"/>
      <c r="CU2406" s="501"/>
      <c r="CV2406" s="501"/>
      <c r="CW2406" s="501"/>
      <c r="CX2406" s="501"/>
      <c r="CY2406" s="501"/>
      <c r="CZ2406" s="501"/>
      <c r="DA2406" s="501"/>
      <c r="DB2406" s="501"/>
      <c r="DC2406" s="501"/>
      <c r="DD2406" s="501"/>
      <c r="DE2406" s="501"/>
      <c r="DF2406" s="501"/>
      <c r="DG2406" s="501"/>
      <c r="DH2406" s="501"/>
      <c r="DI2406" s="501"/>
      <c r="DJ2406" s="501"/>
      <c r="DK2406" s="501"/>
      <c r="DL2406" s="501"/>
      <c r="DM2406" s="501"/>
      <c r="DN2406" s="501"/>
      <c r="DO2406" s="501"/>
      <c r="DP2406" s="501"/>
      <c r="DQ2406" s="501"/>
      <c r="DR2406" s="501"/>
      <c r="DS2406" s="501"/>
      <c r="DT2406" s="501"/>
      <c r="DU2406" s="501"/>
      <c r="DV2406" s="501"/>
      <c r="DW2406" s="501"/>
      <c r="DX2406" s="501"/>
      <c r="DY2406" s="501"/>
      <c r="DZ2406" s="501"/>
      <c r="EA2406" s="501"/>
      <c r="EB2406" s="501"/>
      <c r="EC2406" s="501"/>
      <c r="ED2406" s="501"/>
      <c r="EE2406" s="501"/>
      <c r="EF2406" s="501"/>
      <c r="EG2406" s="501"/>
      <c r="EH2406" s="501"/>
      <c r="EI2406" s="501"/>
      <c r="EJ2406" s="501"/>
      <c r="EK2406" s="501"/>
      <c r="EL2406" s="501"/>
      <c r="EM2406" s="501"/>
      <c r="EN2406" s="501"/>
      <c r="EO2406" s="501"/>
      <c r="EP2406" s="501"/>
      <c r="EQ2406" s="501"/>
      <c r="ER2406" s="501"/>
      <c r="ES2406" s="501"/>
      <c r="ET2406" s="501"/>
      <c r="EU2406" s="501"/>
      <c r="EV2406" s="501"/>
      <c r="EW2406" s="501"/>
      <c r="EX2406" s="501"/>
      <c r="EY2406" s="501"/>
      <c r="EZ2406" s="501"/>
      <c r="FA2406" s="501"/>
      <c r="FB2406" s="501"/>
      <c r="FC2406" s="501"/>
      <c r="FD2406" s="501"/>
      <c r="FE2406" s="501"/>
      <c r="FF2406" s="501"/>
      <c r="FG2406" s="501"/>
      <c r="FH2406" s="501"/>
      <c r="FI2406" s="501"/>
      <c r="FJ2406" s="501"/>
      <c r="FK2406" s="501"/>
      <c r="FL2406" s="501"/>
      <c r="FM2406" s="501"/>
      <c r="FN2406" s="501"/>
      <c r="FO2406" s="501"/>
      <c r="FP2406" s="501"/>
      <c r="FQ2406" s="501"/>
      <c r="FR2406" s="501"/>
      <c r="FS2406" s="501"/>
      <c r="FT2406" s="501"/>
      <c r="FU2406" s="501"/>
      <c r="FV2406" s="501"/>
      <c r="FW2406" s="501"/>
      <c r="FX2406" s="501"/>
      <c r="FY2406" s="501"/>
      <c r="FZ2406" s="501"/>
      <c r="GA2406" s="501"/>
      <c r="GB2406" s="501"/>
      <c r="GC2406" s="501"/>
      <c r="GD2406" s="501"/>
      <c r="GE2406" s="501"/>
      <c r="GF2406" s="501"/>
      <c r="GG2406" s="501"/>
      <c r="GH2406" s="501"/>
      <c r="GI2406" s="501"/>
      <c r="GJ2406" s="501"/>
      <c r="GK2406" s="501"/>
      <c r="GL2406" s="501"/>
      <c r="GM2406" s="501"/>
      <c r="GN2406" s="501"/>
      <c r="GO2406" s="501"/>
      <c r="GP2406" s="501"/>
      <c r="GQ2406" s="501"/>
      <c r="GR2406" s="501"/>
      <c r="GS2406" s="501"/>
      <c r="GT2406" s="501"/>
      <c r="GU2406" s="501"/>
      <c r="GV2406" s="501"/>
      <c r="GW2406" s="501"/>
      <c r="GX2406" s="501"/>
      <c r="GY2406" s="501"/>
      <c r="GZ2406" s="501"/>
      <c r="HA2406" s="501"/>
      <c r="HB2406" s="501"/>
      <c r="HC2406" s="501"/>
      <c r="HD2406" s="501"/>
      <c r="HE2406" s="501"/>
      <c r="HF2406" s="501"/>
      <c r="HG2406" s="501"/>
      <c r="HH2406" s="501"/>
      <c r="HI2406" s="501"/>
      <c r="HJ2406" s="501"/>
      <c r="HK2406" s="501"/>
      <c r="HL2406" s="501"/>
      <c r="HM2406" s="501"/>
      <c r="HN2406" s="501"/>
      <c r="HO2406" s="501"/>
      <c r="HP2406" s="501"/>
      <c r="HQ2406" s="501"/>
      <c r="HR2406" s="501"/>
      <c r="HS2406" s="501"/>
      <c r="HT2406" s="501"/>
      <c r="HU2406" s="501"/>
      <c r="HV2406" s="501"/>
      <c r="HW2406" s="501"/>
      <c r="HX2406" s="501"/>
      <c r="HY2406" s="501"/>
      <c r="HZ2406" s="501"/>
      <c r="IA2406" s="501"/>
      <c r="IB2406" s="501"/>
      <c r="IC2406" s="501"/>
      <c r="ID2406" s="501"/>
      <c r="IE2406" s="501"/>
      <c r="IF2406" s="501"/>
      <c r="IG2406" s="501"/>
      <c r="IH2406" s="501"/>
      <c r="II2406" s="501"/>
      <c r="IJ2406" s="501"/>
      <c r="IK2406" s="501"/>
      <c r="IL2406" s="501"/>
      <c r="IM2406" s="501"/>
      <c r="IN2406" s="501"/>
      <c r="IO2406" s="501"/>
      <c r="IP2406" s="501"/>
      <c r="IQ2406" s="501"/>
      <c r="IR2406" s="501"/>
      <c r="IS2406" s="501"/>
      <c r="IT2406" s="501"/>
      <c r="IU2406" s="501"/>
    </row>
    <row r="2407" spans="1:255" s="877" customFormat="1" ht="24" customHeight="1">
      <c r="A2407" s="501"/>
      <c r="B2407" s="501"/>
      <c r="C2407" s="501"/>
      <c r="D2407" s="501"/>
      <c r="E2407" s="501"/>
      <c r="F2407" s="501"/>
      <c r="G2407" s="915"/>
      <c r="H2407" s="501"/>
      <c r="I2407" s="874"/>
      <c r="J2407" s="501"/>
      <c r="K2407" s="501"/>
      <c r="L2407" s="874"/>
      <c r="M2407" s="882"/>
      <c r="N2407" s="501"/>
      <c r="O2407" s="501"/>
      <c r="P2407" s="902"/>
      <c r="Q2407" s="501"/>
      <c r="R2407" s="545"/>
      <c r="S2407" s="874"/>
      <c r="T2407" s="903"/>
      <c r="V2407" s="501"/>
      <c r="W2407" s="501"/>
      <c r="X2407" s="501"/>
      <c r="Y2407" s="501"/>
      <c r="Z2407" s="501"/>
      <c r="AA2407" s="501"/>
      <c r="AB2407" s="501"/>
      <c r="AC2407" s="501"/>
      <c r="AD2407" s="501"/>
      <c r="AE2407" s="501"/>
      <c r="AF2407" s="501"/>
      <c r="AG2407" s="501"/>
      <c r="AH2407" s="501"/>
      <c r="AI2407" s="501"/>
      <c r="AJ2407" s="501"/>
      <c r="AK2407" s="501"/>
      <c r="AL2407" s="501"/>
      <c r="AM2407" s="501"/>
      <c r="AN2407" s="501"/>
      <c r="AO2407" s="501"/>
      <c r="AP2407" s="501"/>
      <c r="AQ2407" s="501"/>
      <c r="AR2407" s="501"/>
      <c r="AS2407" s="501"/>
      <c r="AT2407" s="501"/>
      <c r="AU2407" s="501"/>
      <c r="AV2407" s="501"/>
      <c r="AW2407" s="501"/>
      <c r="AX2407" s="501"/>
      <c r="AY2407" s="501"/>
      <c r="AZ2407" s="501"/>
      <c r="BA2407" s="501"/>
      <c r="BB2407" s="501"/>
      <c r="BC2407" s="501"/>
      <c r="BD2407" s="501"/>
      <c r="BE2407" s="501"/>
      <c r="BF2407" s="501"/>
      <c r="BG2407" s="501"/>
      <c r="BH2407" s="501"/>
      <c r="BI2407" s="501"/>
      <c r="BJ2407" s="501"/>
      <c r="BK2407" s="501"/>
      <c r="BL2407" s="501"/>
      <c r="BM2407" s="501"/>
      <c r="BN2407" s="501"/>
      <c r="BO2407" s="501"/>
      <c r="BP2407" s="501"/>
      <c r="BQ2407" s="501"/>
      <c r="BR2407" s="501"/>
      <c r="BS2407" s="501"/>
      <c r="BT2407" s="501"/>
      <c r="BU2407" s="501"/>
      <c r="BV2407" s="501"/>
      <c r="BW2407" s="501"/>
      <c r="BX2407" s="501"/>
      <c r="BY2407" s="501"/>
      <c r="BZ2407" s="501"/>
      <c r="CA2407" s="501"/>
      <c r="CB2407" s="501"/>
      <c r="CC2407" s="501"/>
      <c r="CD2407" s="501"/>
      <c r="CE2407" s="501"/>
      <c r="CF2407" s="501"/>
      <c r="CG2407" s="501"/>
      <c r="CH2407" s="501"/>
      <c r="CI2407" s="501"/>
      <c r="CJ2407" s="501"/>
      <c r="CK2407" s="501"/>
      <c r="CL2407" s="501"/>
      <c r="CM2407" s="501"/>
      <c r="CN2407" s="501"/>
      <c r="CO2407" s="501"/>
      <c r="CP2407" s="501"/>
      <c r="CQ2407" s="501"/>
      <c r="CR2407" s="501"/>
      <c r="CS2407" s="501"/>
      <c r="CT2407" s="501"/>
      <c r="CU2407" s="501"/>
      <c r="CV2407" s="501"/>
      <c r="CW2407" s="501"/>
      <c r="CX2407" s="501"/>
      <c r="CY2407" s="501"/>
      <c r="CZ2407" s="501"/>
      <c r="DA2407" s="501"/>
      <c r="DB2407" s="501"/>
      <c r="DC2407" s="501"/>
      <c r="DD2407" s="501"/>
      <c r="DE2407" s="501"/>
      <c r="DF2407" s="501"/>
      <c r="DG2407" s="501"/>
      <c r="DH2407" s="501"/>
      <c r="DI2407" s="501"/>
      <c r="DJ2407" s="501"/>
      <c r="DK2407" s="501"/>
      <c r="DL2407" s="501"/>
      <c r="DM2407" s="501"/>
      <c r="DN2407" s="501"/>
      <c r="DO2407" s="501"/>
      <c r="DP2407" s="501"/>
      <c r="DQ2407" s="501"/>
      <c r="DR2407" s="501"/>
      <c r="DS2407" s="501"/>
      <c r="DT2407" s="501"/>
      <c r="DU2407" s="501"/>
      <c r="DV2407" s="501"/>
      <c r="DW2407" s="501"/>
      <c r="DX2407" s="501"/>
      <c r="DY2407" s="501"/>
      <c r="DZ2407" s="501"/>
      <c r="EA2407" s="501"/>
      <c r="EB2407" s="501"/>
      <c r="EC2407" s="501"/>
      <c r="ED2407" s="501"/>
      <c r="EE2407" s="501"/>
      <c r="EF2407" s="501"/>
      <c r="EG2407" s="501"/>
      <c r="EH2407" s="501"/>
      <c r="EI2407" s="501"/>
      <c r="EJ2407" s="501"/>
      <c r="EK2407" s="501"/>
      <c r="EL2407" s="501"/>
      <c r="EM2407" s="501"/>
      <c r="EN2407" s="501"/>
      <c r="EO2407" s="501"/>
      <c r="EP2407" s="501"/>
      <c r="EQ2407" s="501"/>
      <c r="ER2407" s="501"/>
      <c r="ES2407" s="501"/>
      <c r="ET2407" s="501"/>
      <c r="EU2407" s="501"/>
      <c r="EV2407" s="501"/>
      <c r="EW2407" s="501"/>
      <c r="EX2407" s="501"/>
      <c r="EY2407" s="501"/>
      <c r="EZ2407" s="501"/>
      <c r="FA2407" s="501"/>
      <c r="FB2407" s="501"/>
      <c r="FC2407" s="501"/>
      <c r="FD2407" s="501"/>
      <c r="FE2407" s="501"/>
      <c r="FF2407" s="501"/>
      <c r="FG2407" s="501"/>
      <c r="FH2407" s="501"/>
      <c r="FI2407" s="501"/>
      <c r="FJ2407" s="501"/>
      <c r="FK2407" s="501"/>
      <c r="FL2407" s="501"/>
      <c r="FM2407" s="501"/>
      <c r="FN2407" s="501"/>
      <c r="FO2407" s="501"/>
      <c r="FP2407" s="501"/>
      <c r="FQ2407" s="501"/>
      <c r="FR2407" s="501"/>
      <c r="FS2407" s="501"/>
      <c r="FT2407" s="501"/>
      <c r="FU2407" s="501"/>
      <c r="FV2407" s="501"/>
      <c r="FW2407" s="501"/>
      <c r="FX2407" s="501"/>
      <c r="FY2407" s="501"/>
      <c r="FZ2407" s="501"/>
      <c r="GA2407" s="501"/>
      <c r="GB2407" s="501"/>
      <c r="GC2407" s="501"/>
      <c r="GD2407" s="501"/>
      <c r="GE2407" s="501"/>
      <c r="GF2407" s="501"/>
      <c r="GG2407" s="501"/>
      <c r="GH2407" s="501"/>
      <c r="GI2407" s="501"/>
      <c r="GJ2407" s="501"/>
      <c r="GK2407" s="501"/>
      <c r="GL2407" s="501"/>
      <c r="GM2407" s="501"/>
      <c r="GN2407" s="501"/>
      <c r="GO2407" s="501"/>
      <c r="GP2407" s="501"/>
      <c r="GQ2407" s="501"/>
      <c r="GR2407" s="501"/>
      <c r="GS2407" s="501"/>
      <c r="GT2407" s="501"/>
      <c r="GU2407" s="501"/>
      <c r="GV2407" s="501"/>
      <c r="GW2407" s="501"/>
      <c r="GX2407" s="501"/>
      <c r="GY2407" s="501"/>
      <c r="GZ2407" s="501"/>
      <c r="HA2407" s="501"/>
      <c r="HB2407" s="501"/>
      <c r="HC2407" s="501"/>
      <c r="HD2407" s="501"/>
      <c r="HE2407" s="501"/>
      <c r="HF2407" s="501"/>
      <c r="HG2407" s="501"/>
      <c r="HH2407" s="501"/>
      <c r="HI2407" s="501"/>
      <c r="HJ2407" s="501"/>
      <c r="HK2407" s="501"/>
      <c r="HL2407" s="501"/>
      <c r="HM2407" s="501"/>
      <c r="HN2407" s="501"/>
      <c r="HO2407" s="501"/>
      <c r="HP2407" s="501"/>
      <c r="HQ2407" s="501"/>
      <c r="HR2407" s="501"/>
      <c r="HS2407" s="501"/>
      <c r="HT2407" s="501"/>
      <c r="HU2407" s="501"/>
      <c r="HV2407" s="501"/>
      <c r="HW2407" s="501"/>
      <c r="HX2407" s="501"/>
      <c r="HY2407" s="501"/>
      <c r="HZ2407" s="501"/>
      <c r="IA2407" s="501"/>
      <c r="IB2407" s="501"/>
      <c r="IC2407" s="501"/>
      <c r="ID2407" s="501"/>
      <c r="IE2407" s="501"/>
      <c r="IF2407" s="501"/>
      <c r="IG2407" s="501"/>
      <c r="IH2407" s="501"/>
      <c r="II2407" s="501"/>
      <c r="IJ2407" s="501"/>
      <c r="IK2407" s="501"/>
      <c r="IL2407" s="501"/>
      <c r="IM2407" s="501"/>
      <c r="IN2407" s="501"/>
      <c r="IO2407" s="501"/>
      <c r="IP2407" s="501"/>
      <c r="IQ2407" s="501"/>
      <c r="IR2407" s="501"/>
      <c r="IS2407" s="501"/>
      <c r="IT2407" s="501"/>
      <c r="IU2407" s="501"/>
    </row>
    <row r="2408" spans="1:255" s="877" customFormat="1" ht="24" customHeight="1">
      <c r="A2408" s="501"/>
      <c r="B2408" s="501"/>
      <c r="C2408" s="501"/>
      <c r="D2408" s="501"/>
      <c r="E2408" s="501"/>
      <c r="F2408" s="501"/>
      <c r="G2408" s="915"/>
      <c r="H2408" s="501"/>
      <c r="I2408" s="874"/>
      <c r="J2408" s="501"/>
      <c r="K2408" s="501"/>
      <c r="L2408" s="874"/>
      <c r="M2408" s="1052"/>
      <c r="N2408" s="501"/>
      <c r="O2408" s="501"/>
      <c r="P2408" s="902"/>
      <c r="Q2408" s="876"/>
      <c r="R2408" s="501"/>
      <c r="S2408" s="874"/>
      <c r="T2408" s="501"/>
      <c r="V2408" s="501"/>
      <c r="W2408" s="501"/>
      <c r="X2408" s="501"/>
      <c r="Y2408" s="501"/>
      <c r="Z2408" s="501"/>
      <c r="AA2408" s="501"/>
      <c r="AB2408" s="501"/>
      <c r="AC2408" s="501"/>
      <c r="AD2408" s="501"/>
      <c r="AE2408" s="501"/>
      <c r="AF2408" s="501"/>
      <c r="AG2408" s="501"/>
      <c r="AH2408" s="501"/>
      <c r="AI2408" s="501"/>
      <c r="AJ2408" s="501"/>
      <c r="AK2408" s="501"/>
      <c r="AL2408" s="501"/>
      <c r="AM2408" s="501"/>
      <c r="AN2408" s="501"/>
      <c r="AO2408" s="501"/>
      <c r="AP2408" s="501"/>
      <c r="AQ2408" s="501"/>
      <c r="AR2408" s="501"/>
      <c r="AS2408" s="501"/>
      <c r="AT2408" s="501"/>
      <c r="AU2408" s="501"/>
      <c r="AV2408" s="501"/>
      <c r="AW2408" s="501"/>
      <c r="AX2408" s="501"/>
      <c r="AY2408" s="501"/>
      <c r="AZ2408" s="501"/>
      <c r="BA2408" s="501"/>
      <c r="BB2408" s="501"/>
      <c r="BC2408" s="501"/>
      <c r="BD2408" s="501"/>
      <c r="BE2408" s="501"/>
      <c r="BF2408" s="501"/>
      <c r="BG2408" s="501"/>
      <c r="BH2408" s="501"/>
      <c r="BI2408" s="501"/>
      <c r="BJ2408" s="501"/>
      <c r="BK2408" s="501"/>
      <c r="BL2408" s="501"/>
      <c r="BM2408" s="501"/>
      <c r="BN2408" s="501"/>
      <c r="BO2408" s="501"/>
      <c r="BP2408" s="501"/>
      <c r="BQ2408" s="501"/>
      <c r="BR2408" s="501"/>
      <c r="BS2408" s="501"/>
      <c r="BT2408" s="501"/>
      <c r="BU2408" s="501"/>
      <c r="BV2408" s="501"/>
      <c r="BW2408" s="501"/>
      <c r="BX2408" s="501"/>
      <c r="BY2408" s="501"/>
      <c r="BZ2408" s="501"/>
      <c r="CA2408" s="501"/>
      <c r="CB2408" s="501"/>
      <c r="CC2408" s="501"/>
      <c r="CD2408" s="501"/>
      <c r="CE2408" s="501"/>
      <c r="CF2408" s="501"/>
      <c r="CG2408" s="501"/>
      <c r="CH2408" s="501"/>
      <c r="CI2408" s="501"/>
      <c r="CJ2408" s="501"/>
      <c r="CK2408" s="501"/>
      <c r="CL2408" s="501"/>
      <c r="CM2408" s="501"/>
      <c r="CN2408" s="501"/>
      <c r="CO2408" s="501"/>
      <c r="CP2408" s="501"/>
      <c r="CQ2408" s="501"/>
      <c r="CR2408" s="501"/>
      <c r="CS2408" s="501"/>
      <c r="CT2408" s="501"/>
      <c r="CU2408" s="501"/>
      <c r="CV2408" s="501"/>
      <c r="CW2408" s="501"/>
      <c r="CX2408" s="501"/>
      <c r="CY2408" s="501"/>
      <c r="CZ2408" s="501"/>
      <c r="DA2408" s="501"/>
      <c r="DB2408" s="501"/>
      <c r="DC2408" s="501"/>
      <c r="DD2408" s="501"/>
      <c r="DE2408" s="501"/>
      <c r="DF2408" s="501"/>
      <c r="DG2408" s="501"/>
      <c r="DH2408" s="501"/>
      <c r="DI2408" s="501"/>
      <c r="DJ2408" s="501"/>
      <c r="DK2408" s="501"/>
      <c r="DL2408" s="501"/>
      <c r="DM2408" s="501"/>
      <c r="DN2408" s="501"/>
      <c r="DO2408" s="501"/>
      <c r="DP2408" s="501"/>
      <c r="DQ2408" s="501"/>
      <c r="DR2408" s="501"/>
      <c r="DS2408" s="501"/>
      <c r="DT2408" s="501"/>
      <c r="DU2408" s="501"/>
      <c r="DV2408" s="501"/>
      <c r="DW2408" s="501"/>
      <c r="DX2408" s="501"/>
      <c r="DY2408" s="501"/>
      <c r="DZ2408" s="501"/>
      <c r="EA2408" s="501"/>
      <c r="EB2408" s="501"/>
      <c r="EC2408" s="501"/>
      <c r="ED2408" s="501"/>
      <c r="EE2408" s="501"/>
      <c r="EF2408" s="501"/>
      <c r="EG2408" s="501"/>
      <c r="EH2408" s="501"/>
      <c r="EI2408" s="501"/>
      <c r="EJ2408" s="501"/>
      <c r="EK2408" s="501"/>
      <c r="EL2408" s="501"/>
      <c r="EM2408" s="501"/>
      <c r="EN2408" s="501"/>
      <c r="EO2408" s="501"/>
      <c r="EP2408" s="501"/>
      <c r="EQ2408" s="501"/>
      <c r="ER2408" s="501"/>
      <c r="ES2408" s="501"/>
      <c r="ET2408" s="501"/>
      <c r="EU2408" s="501"/>
      <c r="EV2408" s="501"/>
      <c r="EW2408" s="501"/>
      <c r="EX2408" s="501"/>
      <c r="EY2408" s="501"/>
      <c r="EZ2408" s="501"/>
      <c r="FA2408" s="501"/>
      <c r="FB2408" s="501"/>
      <c r="FC2408" s="501"/>
      <c r="FD2408" s="501"/>
      <c r="FE2408" s="501"/>
      <c r="FF2408" s="501"/>
      <c r="FG2408" s="501"/>
      <c r="FH2408" s="501"/>
      <c r="FI2408" s="501"/>
      <c r="FJ2408" s="501"/>
      <c r="FK2408" s="501"/>
      <c r="FL2408" s="501"/>
      <c r="FM2408" s="501"/>
      <c r="FN2408" s="501"/>
      <c r="FO2408" s="501"/>
      <c r="FP2408" s="501"/>
      <c r="FQ2408" s="501"/>
      <c r="FR2408" s="501"/>
      <c r="FS2408" s="501"/>
      <c r="FT2408" s="501"/>
      <c r="FU2408" s="501"/>
      <c r="FV2408" s="501"/>
      <c r="FW2408" s="501"/>
      <c r="FX2408" s="501"/>
      <c r="FY2408" s="501"/>
      <c r="FZ2408" s="501"/>
      <c r="GA2408" s="501"/>
      <c r="GB2408" s="501"/>
      <c r="GC2408" s="501"/>
      <c r="GD2408" s="501"/>
      <c r="GE2408" s="501"/>
      <c r="GF2408" s="501"/>
      <c r="GG2408" s="501"/>
      <c r="GH2408" s="501"/>
      <c r="GI2408" s="501"/>
      <c r="GJ2408" s="501"/>
      <c r="GK2408" s="501"/>
      <c r="GL2408" s="501"/>
      <c r="GM2408" s="501"/>
      <c r="GN2408" s="501"/>
      <c r="GO2408" s="501"/>
      <c r="GP2408" s="501"/>
      <c r="GQ2408" s="501"/>
      <c r="GR2408" s="501"/>
      <c r="GS2408" s="501"/>
      <c r="GT2408" s="501"/>
      <c r="GU2408" s="501"/>
      <c r="GV2408" s="501"/>
      <c r="GW2408" s="501"/>
      <c r="GX2408" s="501"/>
      <c r="GY2408" s="501"/>
      <c r="GZ2408" s="501"/>
      <c r="HA2408" s="501"/>
      <c r="HB2408" s="501"/>
      <c r="HC2408" s="501"/>
      <c r="HD2408" s="501"/>
      <c r="HE2408" s="501"/>
      <c r="HF2408" s="501"/>
      <c r="HG2408" s="501"/>
      <c r="HH2408" s="501"/>
      <c r="HI2408" s="501"/>
      <c r="HJ2408" s="501"/>
      <c r="HK2408" s="501"/>
      <c r="HL2408" s="501"/>
      <c r="HM2408" s="501"/>
      <c r="HN2408" s="501"/>
      <c r="HO2408" s="501"/>
      <c r="HP2408" s="501"/>
      <c r="HQ2408" s="501"/>
      <c r="HR2408" s="501"/>
      <c r="HS2408" s="501"/>
      <c r="HT2408" s="501"/>
      <c r="HU2408" s="501"/>
      <c r="HV2408" s="501"/>
      <c r="HW2408" s="501"/>
      <c r="HX2408" s="501"/>
      <c r="HY2408" s="501"/>
      <c r="HZ2408" s="501"/>
      <c r="IA2408" s="501"/>
      <c r="IB2408" s="501"/>
      <c r="IC2408" s="501"/>
      <c r="ID2408" s="501"/>
      <c r="IE2408" s="501"/>
      <c r="IF2408" s="501"/>
      <c r="IG2408" s="501"/>
      <c r="IH2408" s="501"/>
      <c r="II2408" s="501"/>
      <c r="IJ2408" s="501"/>
      <c r="IK2408" s="501"/>
      <c r="IL2408" s="501"/>
      <c r="IM2408" s="501"/>
      <c r="IN2408" s="501"/>
      <c r="IO2408" s="501"/>
      <c r="IP2408" s="501"/>
      <c r="IQ2408" s="501"/>
      <c r="IR2408" s="501"/>
      <c r="IS2408" s="501"/>
      <c r="IT2408" s="501"/>
      <c r="IU2408" s="501"/>
    </row>
    <row r="2409" spans="1:255" s="877" customFormat="1" ht="24" customHeight="1">
      <c r="A2409" s="501"/>
      <c r="B2409" s="501"/>
      <c r="C2409" s="501"/>
      <c r="D2409" s="501"/>
      <c r="E2409" s="501"/>
      <c r="F2409" s="501"/>
      <c r="G2409" s="915"/>
      <c r="H2409" s="501"/>
      <c r="I2409" s="874"/>
      <c r="J2409" s="501"/>
      <c r="K2409" s="501"/>
      <c r="L2409" s="874"/>
      <c r="M2409" s="883"/>
      <c r="N2409" s="501"/>
      <c r="O2409" s="501"/>
      <c r="P2409" s="902"/>
      <c r="Q2409" s="885"/>
      <c r="R2409" s="885"/>
      <c r="S2409" s="895"/>
      <c r="T2409" s="881"/>
      <c r="V2409" s="501"/>
      <c r="W2409" s="501"/>
      <c r="X2409" s="501"/>
      <c r="Y2409" s="501"/>
      <c r="Z2409" s="501"/>
      <c r="AA2409" s="501"/>
      <c r="AB2409" s="501"/>
      <c r="AC2409" s="501"/>
      <c r="AD2409" s="501"/>
      <c r="AE2409" s="501"/>
      <c r="AF2409" s="501"/>
      <c r="AG2409" s="501"/>
      <c r="AH2409" s="501"/>
      <c r="AI2409" s="501"/>
      <c r="AJ2409" s="501"/>
      <c r="AK2409" s="501"/>
      <c r="AL2409" s="501"/>
      <c r="AM2409" s="501"/>
      <c r="AN2409" s="501"/>
      <c r="AO2409" s="501"/>
      <c r="AP2409" s="501"/>
      <c r="AQ2409" s="501"/>
      <c r="AR2409" s="501"/>
      <c r="AS2409" s="501"/>
      <c r="AT2409" s="501"/>
      <c r="AU2409" s="501"/>
      <c r="AV2409" s="501"/>
      <c r="AW2409" s="501"/>
      <c r="AX2409" s="501"/>
      <c r="AY2409" s="501"/>
      <c r="AZ2409" s="501"/>
      <c r="BA2409" s="501"/>
      <c r="BB2409" s="501"/>
      <c r="BC2409" s="501"/>
      <c r="BD2409" s="501"/>
      <c r="BE2409" s="501"/>
      <c r="BF2409" s="501"/>
      <c r="BG2409" s="501"/>
      <c r="BH2409" s="501"/>
      <c r="BI2409" s="501"/>
      <c r="BJ2409" s="501"/>
      <c r="BK2409" s="501"/>
      <c r="BL2409" s="501"/>
      <c r="BM2409" s="501"/>
      <c r="BN2409" s="501"/>
      <c r="BO2409" s="501"/>
      <c r="BP2409" s="501"/>
      <c r="BQ2409" s="501"/>
      <c r="BR2409" s="501"/>
      <c r="BS2409" s="501"/>
      <c r="BT2409" s="501"/>
      <c r="BU2409" s="501"/>
      <c r="BV2409" s="501"/>
      <c r="BW2409" s="501"/>
      <c r="BX2409" s="501"/>
      <c r="BY2409" s="501"/>
      <c r="BZ2409" s="501"/>
      <c r="CA2409" s="501"/>
      <c r="CB2409" s="501"/>
      <c r="CC2409" s="501"/>
      <c r="CD2409" s="501"/>
      <c r="CE2409" s="501"/>
      <c r="CF2409" s="501"/>
      <c r="CG2409" s="501"/>
      <c r="CH2409" s="501"/>
      <c r="CI2409" s="501"/>
      <c r="CJ2409" s="501"/>
      <c r="CK2409" s="501"/>
      <c r="CL2409" s="501"/>
      <c r="CM2409" s="501"/>
      <c r="CN2409" s="501"/>
      <c r="CO2409" s="501"/>
      <c r="CP2409" s="501"/>
      <c r="CQ2409" s="501"/>
      <c r="CR2409" s="501"/>
      <c r="CS2409" s="501"/>
      <c r="CT2409" s="501"/>
      <c r="CU2409" s="501"/>
      <c r="CV2409" s="501"/>
      <c r="CW2409" s="501"/>
      <c r="CX2409" s="501"/>
      <c r="CY2409" s="501"/>
      <c r="CZ2409" s="501"/>
      <c r="DA2409" s="501"/>
      <c r="DB2409" s="501"/>
      <c r="DC2409" s="501"/>
      <c r="DD2409" s="501"/>
      <c r="DE2409" s="501"/>
      <c r="DF2409" s="501"/>
      <c r="DG2409" s="501"/>
      <c r="DH2409" s="501"/>
      <c r="DI2409" s="501"/>
      <c r="DJ2409" s="501"/>
      <c r="DK2409" s="501"/>
      <c r="DL2409" s="501"/>
      <c r="DM2409" s="501"/>
      <c r="DN2409" s="501"/>
      <c r="DO2409" s="501"/>
      <c r="DP2409" s="501"/>
      <c r="DQ2409" s="501"/>
      <c r="DR2409" s="501"/>
      <c r="DS2409" s="501"/>
      <c r="DT2409" s="501"/>
      <c r="DU2409" s="501"/>
      <c r="DV2409" s="501"/>
      <c r="DW2409" s="501"/>
      <c r="DX2409" s="501"/>
      <c r="DY2409" s="501"/>
      <c r="DZ2409" s="501"/>
      <c r="EA2409" s="501"/>
      <c r="EB2409" s="501"/>
      <c r="EC2409" s="501"/>
      <c r="ED2409" s="501"/>
      <c r="EE2409" s="501"/>
      <c r="EF2409" s="501"/>
      <c r="EG2409" s="501"/>
      <c r="EH2409" s="501"/>
      <c r="EI2409" s="501"/>
      <c r="EJ2409" s="501"/>
      <c r="EK2409" s="501"/>
      <c r="EL2409" s="501"/>
      <c r="EM2409" s="501"/>
      <c r="EN2409" s="501"/>
      <c r="EO2409" s="501"/>
      <c r="EP2409" s="501"/>
      <c r="EQ2409" s="501"/>
      <c r="ER2409" s="501"/>
      <c r="ES2409" s="501"/>
      <c r="ET2409" s="501"/>
      <c r="EU2409" s="501"/>
      <c r="EV2409" s="501"/>
      <c r="EW2409" s="501"/>
      <c r="EX2409" s="501"/>
      <c r="EY2409" s="501"/>
      <c r="EZ2409" s="501"/>
      <c r="FA2409" s="501"/>
      <c r="FB2409" s="501"/>
      <c r="FC2409" s="501"/>
      <c r="FD2409" s="501"/>
      <c r="FE2409" s="501"/>
      <c r="FF2409" s="501"/>
      <c r="FG2409" s="501"/>
      <c r="FH2409" s="501"/>
      <c r="FI2409" s="501"/>
      <c r="FJ2409" s="501"/>
      <c r="FK2409" s="501"/>
      <c r="FL2409" s="501"/>
      <c r="FM2409" s="501"/>
      <c r="FN2409" s="501"/>
      <c r="FO2409" s="501"/>
      <c r="FP2409" s="501"/>
      <c r="FQ2409" s="501"/>
      <c r="FR2409" s="501"/>
      <c r="FS2409" s="501"/>
      <c r="FT2409" s="501"/>
      <c r="FU2409" s="501"/>
      <c r="FV2409" s="501"/>
      <c r="FW2409" s="501"/>
      <c r="FX2409" s="501"/>
      <c r="FY2409" s="501"/>
      <c r="FZ2409" s="501"/>
      <c r="GA2409" s="501"/>
      <c r="GB2409" s="501"/>
      <c r="GC2409" s="501"/>
      <c r="GD2409" s="501"/>
      <c r="GE2409" s="501"/>
      <c r="GF2409" s="501"/>
      <c r="GG2409" s="501"/>
      <c r="GH2409" s="501"/>
      <c r="GI2409" s="501"/>
      <c r="GJ2409" s="501"/>
      <c r="GK2409" s="501"/>
      <c r="GL2409" s="501"/>
      <c r="GM2409" s="501"/>
      <c r="GN2409" s="501"/>
      <c r="GO2409" s="501"/>
      <c r="GP2409" s="501"/>
      <c r="GQ2409" s="501"/>
      <c r="GR2409" s="501"/>
      <c r="GS2409" s="501"/>
      <c r="GT2409" s="501"/>
      <c r="GU2409" s="501"/>
      <c r="GV2409" s="501"/>
      <c r="GW2409" s="501"/>
      <c r="GX2409" s="501"/>
      <c r="GY2409" s="501"/>
      <c r="GZ2409" s="501"/>
      <c r="HA2409" s="501"/>
      <c r="HB2409" s="501"/>
      <c r="HC2409" s="501"/>
      <c r="HD2409" s="501"/>
      <c r="HE2409" s="501"/>
      <c r="HF2409" s="501"/>
      <c r="HG2409" s="501"/>
      <c r="HH2409" s="501"/>
      <c r="HI2409" s="501"/>
      <c r="HJ2409" s="501"/>
      <c r="HK2409" s="501"/>
      <c r="HL2409" s="501"/>
      <c r="HM2409" s="501"/>
      <c r="HN2409" s="501"/>
      <c r="HO2409" s="501"/>
      <c r="HP2409" s="501"/>
      <c r="HQ2409" s="501"/>
      <c r="HR2409" s="501"/>
      <c r="HS2409" s="501"/>
      <c r="HT2409" s="501"/>
      <c r="HU2409" s="501"/>
      <c r="HV2409" s="501"/>
      <c r="HW2409" s="501"/>
      <c r="HX2409" s="501"/>
      <c r="HY2409" s="501"/>
      <c r="HZ2409" s="501"/>
      <c r="IA2409" s="501"/>
      <c r="IB2409" s="501"/>
      <c r="IC2409" s="501"/>
      <c r="ID2409" s="501"/>
      <c r="IE2409" s="501"/>
      <c r="IF2409" s="501"/>
      <c r="IG2409" s="501"/>
      <c r="IH2409" s="501"/>
      <c r="II2409" s="501"/>
      <c r="IJ2409" s="501"/>
      <c r="IK2409" s="501"/>
      <c r="IL2409" s="501"/>
      <c r="IM2409" s="501"/>
      <c r="IN2409" s="501"/>
      <c r="IO2409" s="501"/>
      <c r="IP2409" s="501"/>
      <c r="IQ2409" s="501"/>
      <c r="IR2409" s="501"/>
      <c r="IS2409" s="501"/>
      <c r="IT2409" s="501"/>
      <c r="IU2409" s="501"/>
    </row>
    <row r="2410" spans="1:255" s="877" customFormat="1" ht="24" customHeight="1">
      <c r="A2410" s="501"/>
      <c r="B2410" s="501"/>
      <c r="C2410" s="501"/>
      <c r="D2410" s="501"/>
      <c r="E2410" s="501"/>
      <c r="F2410" s="501"/>
      <c r="G2410" s="915"/>
      <c r="H2410" s="501"/>
      <c r="I2410" s="874"/>
      <c r="J2410" s="501"/>
      <c r="K2410" s="501"/>
      <c r="L2410" s="874"/>
      <c r="M2410" s="1052"/>
      <c r="N2410" s="501"/>
      <c r="O2410" s="501"/>
      <c r="P2410" s="902"/>
      <c r="Q2410" s="885"/>
      <c r="R2410" s="885"/>
      <c r="S2410" s="895"/>
      <c r="T2410" s="883"/>
      <c r="V2410" s="501"/>
      <c r="W2410" s="501"/>
      <c r="X2410" s="501"/>
      <c r="Y2410" s="501"/>
      <c r="Z2410" s="501"/>
      <c r="AA2410" s="501"/>
      <c r="AB2410" s="501"/>
      <c r="AC2410" s="501"/>
      <c r="AD2410" s="501"/>
      <c r="AE2410" s="501"/>
      <c r="AF2410" s="501"/>
      <c r="AG2410" s="501"/>
      <c r="AH2410" s="501"/>
      <c r="AI2410" s="501"/>
      <c r="AJ2410" s="501"/>
      <c r="AK2410" s="501"/>
      <c r="AL2410" s="501"/>
      <c r="AM2410" s="501"/>
      <c r="AN2410" s="501"/>
      <c r="AO2410" s="501"/>
      <c r="AP2410" s="501"/>
      <c r="AQ2410" s="501"/>
      <c r="AR2410" s="501"/>
      <c r="AS2410" s="501"/>
      <c r="AT2410" s="501"/>
      <c r="AU2410" s="501"/>
      <c r="AV2410" s="501"/>
      <c r="AW2410" s="501"/>
      <c r="AX2410" s="501"/>
      <c r="AY2410" s="501"/>
      <c r="AZ2410" s="501"/>
      <c r="BA2410" s="501"/>
      <c r="BB2410" s="501"/>
      <c r="BC2410" s="501"/>
      <c r="BD2410" s="501"/>
      <c r="BE2410" s="501"/>
      <c r="BF2410" s="501"/>
      <c r="BG2410" s="501"/>
      <c r="BH2410" s="501"/>
      <c r="BI2410" s="501"/>
      <c r="BJ2410" s="501"/>
      <c r="BK2410" s="501"/>
      <c r="BL2410" s="501"/>
      <c r="BM2410" s="501"/>
      <c r="BN2410" s="501"/>
      <c r="BO2410" s="501"/>
      <c r="BP2410" s="501"/>
      <c r="BQ2410" s="501"/>
      <c r="BR2410" s="501"/>
      <c r="BS2410" s="501"/>
      <c r="BT2410" s="501"/>
      <c r="BU2410" s="501"/>
      <c r="BV2410" s="501"/>
      <c r="BW2410" s="501"/>
      <c r="BX2410" s="501"/>
      <c r="BY2410" s="501"/>
      <c r="BZ2410" s="501"/>
      <c r="CA2410" s="501"/>
      <c r="CB2410" s="501"/>
      <c r="CC2410" s="501"/>
      <c r="CD2410" s="501"/>
      <c r="CE2410" s="501"/>
      <c r="CF2410" s="501"/>
      <c r="CG2410" s="501"/>
      <c r="CH2410" s="501"/>
      <c r="CI2410" s="501"/>
      <c r="CJ2410" s="501"/>
      <c r="CK2410" s="501"/>
      <c r="CL2410" s="501"/>
      <c r="CM2410" s="501"/>
      <c r="CN2410" s="501"/>
      <c r="CO2410" s="501"/>
      <c r="CP2410" s="501"/>
      <c r="CQ2410" s="501"/>
      <c r="CR2410" s="501"/>
      <c r="CS2410" s="501"/>
      <c r="CT2410" s="501"/>
      <c r="CU2410" s="501"/>
      <c r="CV2410" s="501"/>
      <c r="CW2410" s="501"/>
      <c r="CX2410" s="501"/>
      <c r="CY2410" s="501"/>
      <c r="CZ2410" s="501"/>
      <c r="DA2410" s="501"/>
      <c r="DB2410" s="501"/>
      <c r="DC2410" s="501"/>
      <c r="DD2410" s="501"/>
      <c r="DE2410" s="501"/>
      <c r="DF2410" s="501"/>
      <c r="DG2410" s="501"/>
      <c r="DH2410" s="501"/>
      <c r="DI2410" s="501"/>
      <c r="DJ2410" s="501"/>
      <c r="DK2410" s="501"/>
      <c r="DL2410" s="501"/>
      <c r="DM2410" s="501"/>
      <c r="DN2410" s="501"/>
      <c r="DO2410" s="501"/>
      <c r="DP2410" s="501"/>
      <c r="DQ2410" s="501"/>
      <c r="DR2410" s="501"/>
      <c r="DS2410" s="501"/>
      <c r="DT2410" s="501"/>
      <c r="DU2410" s="501"/>
      <c r="DV2410" s="501"/>
      <c r="DW2410" s="501"/>
      <c r="DX2410" s="501"/>
      <c r="DY2410" s="501"/>
      <c r="DZ2410" s="501"/>
      <c r="EA2410" s="501"/>
      <c r="EB2410" s="501"/>
      <c r="EC2410" s="501"/>
      <c r="ED2410" s="501"/>
      <c r="EE2410" s="501"/>
      <c r="EF2410" s="501"/>
      <c r="EG2410" s="501"/>
      <c r="EH2410" s="501"/>
      <c r="EI2410" s="501"/>
      <c r="EJ2410" s="501"/>
      <c r="EK2410" s="501"/>
      <c r="EL2410" s="501"/>
      <c r="EM2410" s="501"/>
      <c r="EN2410" s="501"/>
      <c r="EO2410" s="501"/>
      <c r="EP2410" s="501"/>
      <c r="EQ2410" s="501"/>
      <c r="ER2410" s="501"/>
      <c r="ES2410" s="501"/>
      <c r="ET2410" s="501"/>
      <c r="EU2410" s="501"/>
      <c r="EV2410" s="501"/>
      <c r="EW2410" s="501"/>
      <c r="EX2410" s="501"/>
      <c r="EY2410" s="501"/>
      <c r="EZ2410" s="501"/>
      <c r="FA2410" s="501"/>
      <c r="FB2410" s="501"/>
      <c r="FC2410" s="501"/>
      <c r="FD2410" s="501"/>
      <c r="FE2410" s="501"/>
      <c r="FF2410" s="501"/>
      <c r="FG2410" s="501"/>
      <c r="FH2410" s="501"/>
      <c r="FI2410" s="501"/>
      <c r="FJ2410" s="501"/>
      <c r="FK2410" s="501"/>
      <c r="FL2410" s="501"/>
      <c r="FM2410" s="501"/>
      <c r="FN2410" s="501"/>
      <c r="FO2410" s="501"/>
      <c r="FP2410" s="501"/>
      <c r="FQ2410" s="501"/>
      <c r="FR2410" s="501"/>
      <c r="FS2410" s="501"/>
      <c r="FT2410" s="501"/>
      <c r="FU2410" s="501"/>
      <c r="FV2410" s="501"/>
      <c r="FW2410" s="501"/>
      <c r="FX2410" s="501"/>
      <c r="FY2410" s="501"/>
      <c r="FZ2410" s="501"/>
      <c r="GA2410" s="501"/>
      <c r="GB2410" s="501"/>
      <c r="GC2410" s="501"/>
      <c r="GD2410" s="501"/>
      <c r="GE2410" s="501"/>
      <c r="GF2410" s="501"/>
      <c r="GG2410" s="501"/>
      <c r="GH2410" s="501"/>
      <c r="GI2410" s="501"/>
      <c r="GJ2410" s="501"/>
      <c r="GK2410" s="501"/>
      <c r="GL2410" s="501"/>
      <c r="GM2410" s="501"/>
      <c r="GN2410" s="501"/>
      <c r="GO2410" s="501"/>
      <c r="GP2410" s="501"/>
      <c r="GQ2410" s="501"/>
      <c r="GR2410" s="501"/>
      <c r="GS2410" s="501"/>
      <c r="GT2410" s="501"/>
      <c r="GU2410" s="501"/>
      <c r="GV2410" s="501"/>
      <c r="GW2410" s="501"/>
      <c r="GX2410" s="501"/>
      <c r="GY2410" s="501"/>
      <c r="GZ2410" s="501"/>
      <c r="HA2410" s="501"/>
      <c r="HB2410" s="501"/>
      <c r="HC2410" s="501"/>
      <c r="HD2410" s="501"/>
      <c r="HE2410" s="501"/>
      <c r="HF2410" s="501"/>
      <c r="HG2410" s="501"/>
      <c r="HH2410" s="501"/>
      <c r="HI2410" s="501"/>
      <c r="HJ2410" s="501"/>
      <c r="HK2410" s="501"/>
      <c r="HL2410" s="501"/>
      <c r="HM2410" s="501"/>
      <c r="HN2410" s="501"/>
      <c r="HO2410" s="501"/>
      <c r="HP2410" s="501"/>
      <c r="HQ2410" s="501"/>
      <c r="HR2410" s="501"/>
      <c r="HS2410" s="501"/>
      <c r="HT2410" s="501"/>
      <c r="HU2410" s="501"/>
      <c r="HV2410" s="501"/>
      <c r="HW2410" s="501"/>
      <c r="HX2410" s="501"/>
      <c r="HY2410" s="501"/>
      <c r="HZ2410" s="501"/>
      <c r="IA2410" s="501"/>
      <c r="IB2410" s="501"/>
      <c r="IC2410" s="501"/>
      <c r="ID2410" s="501"/>
      <c r="IE2410" s="501"/>
      <c r="IF2410" s="501"/>
      <c r="IG2410" s="501"/>
      <c r="IH2410" s="501"/>
      <c r="II2410" s="501"/>
      <c r="IJ2410" s="501"/>
      <c r="IK2410" s="501"/>
      <c r="IL2410" s="501"/>
      <c r="IM2410" s="501"/>
      <c r="IN2410" s="501"/>
      <c r="IO2410" s="501"/>
      <c r="IP2410" s="501"/>
      <c r="IQ2410" s="501"/>
      <c r="IR2410" s="501"/>
      <c r="IS2410" s="501"/>
      <c r="IT2410" s="501"/>
      <c r="IU2410" s="501"/>
    </row>
    <row r="2411" spans="1:255" s="877" customFormat="1" ht="24" customHeight="1">
      <c r="A2411" s="501"/>
      <c r="B2411" s="501"/>
      <c r="C2411" s="501"/>
      <c r="D2411" s="501"/>
      <c r="E2411" s="501"/>
      <c r="F2411" s="501"/>
      <c r="G2411" s="915"/>
      <c r="H2411" s="501"/>
      <c r="I2411" s="874"/>
      <c r="J2411" s="501"/>
      <c r="K2411" s="501"/>
      <c r="L2411" s="874"/>
      <c r="M2411" s="882"/>
      <c r="N2411" s="501"/>
      <c r="O2411" s="501"/>
      <c r="P2411" s="501"/>
      <c r="Q2411" s="501"/>
      <c r="R2411" s="501"/>
      <c r="S2411" s="501"/>
      <c r="T2411" s="501"/>
      <c r="V2411" s="501"/>
      <c r="W2411" s="501"/>
      <c r="X2411" s="501"/>
      <c r="Y2411" s="501"/>
      <c r="Z2411" s="501"/>
      <c r="AA2411" s="501"/>
      <c r="AB2411" s="501"/>
      <c r="AC2411" s="501"/>
      <c r="AD2411" s="501"/>
      <c r="AE2411" s="501"/>
      <c r="AF2411" s="501"/>
      <c r="AG2411" s="501"/>
      <c r="AH2411" s="501"/>
      <c r="AI2411" s="501"/>
      <c r="AJ2411" s="501"/>
      <c r="AK2411" s="501"/>
      <c r="AL2411" s="501"/>
      <c r="AM2411" s="501"/>
      <c r="AN2411" s="501"/>
      <c r="AO2411" s="501"/>
      <c r="AP2411" s="501"/>
      <c r="AQ2411" s="501"/>
      <c r="AR2411" s="501"/>
      <c r="AS2411" s="501"/>
      <c r="AT2411" s="501"/>
      <c r="AU2411" s="501"/>
      <c r="AV2411" s="501"/>
      <c r="AW2411" s="501"/>
      <c r="AX2411" s="501"/>
      <c r="AY2411" s="501"/>
      <c r="AZ2411" s="501"/>
      <c r="BA2411" s="501"/>
      <c r="BB2411" s="501"/>
      <c r="BC2411" s="501"/>
      <c r="BD2411" s="501"/>
      <c r="BE2411" s="501"/>
      <c r="BF2411" s="501"/>
      <c r="BG2411" s="501"/>
      <c r="BH2411" s="501"/>
      <c r="BI2411" s="501"/>
      <c r="BJ2411" s="501"/>
      <c r="BK2411" s="501"/>
      <c r="BL2411" s="501"/>
      <c r="BM2411" s="501"/>
      <c r="BN2411" s="501"/>
      <c r="BO2411" s="501"/>
      <c r="BP2411" s="501"/>
      <c r="BQ2411" s="501"/>
      <c r="BR2411" s="501"/>
      <c r="BS2411" s="501"/>
      <c r="BT2411" s="501"/>
      <c r="BU2411" s="501"/>
      <c r="BV2411" s="501"/>
      <c r="BW2411" s="501"/>
      <c r="BX2411" s="501"/>
      <c r="BY2411" s="501"/>
      <c r="BZ2411" s="501"/>
      <c r="CA2411" s="501"/>
      <c r="CB2411" s="501"/>
      <c r="CC2411" s="501"/>
      <c r="CD2411" s="501"/>
      <c r="CE2411" s="501"/>
      <c r="CF2411" s="501"/>
      <c r="CG2411" s="501"/>
      <c r="CH2411" s="501"/>
      <c r="CI2411" s="501"/>
      <c r="CJ2411" s="501"/>
      <c r="CK2411" s="501"/>
      <c r="CL2411" s="501"/>
      <c r="CM2411" s="501"/>
      <c r="CN2411" s="501"/>
      <c r="CO2411" s="501"/>
      <c r="CP2411" s="501"/>
      <c r="CQ2411" s="501"/>
      <c r="CR2411" s="501"/>
      <c r="CS2411" s="501"/>
      <c r="CT2411" s="501"/>
      <c r="CU2411" s="501"/>
      <c r="CV2411" s="501"/>
      <c r="CW2411" s="501"/>
      <c r="CX2411" s="501"/>
      <c r="CY2411" s="501"/>
      <c r="CZ2411" s="501"/>
      <c r="DA2411" s="501"/>
      <c r="DB2411" s="501"/>
      <c r="DC2411" s="501"/>
      <c r="DD2411" s="501"/>
      <c r="DE2411" s="501"/>
      <c r="DF2411" s="501"/>
      <c r="DG2411" s="501"/>
      <c r="DH2411" s="501"/>
      <c r="DI2411" s="501"/>
      <c r="DJ2411" s="501"/>
      <c r="DK2411" s="501"/>
      <c r="DL2411" s="501"/>
      <c r="DM2411" s="501"/>
      <c r="DN2411" s="501"/>
      <c r="DO2411" s="501"/>
      <c r="DP2411" s="501"/>
      <c r="DQ2411" s="501"/>
      <c r="DR2411" s="501"/>
      <c r="DS2411" s="501"/>
      <c r="DT2411" s="501"/>
      <c r="DU2411" s="501"/>
      <c r="DV2411" s="501"/>
      <c r="DW2411" s="501"/>
      <c r="DX2411" s="501"/>
      <c r="DY2411" s="501"/>
      <c r="DZ2411" s="501"/>
      <c r="EA2411" s="501"/>
      <c r="EB2411" s="501"/>
      <c r="EC2411" s="501"/>
      <c r="ED2411" s="501"/>
      <c r="EE2411" s="501"/>
      <c r="EF2411" s="501"/>
      <c r="EG2411" s="501"/>
      <c r="EH2411" s="501"/>
      <c r="EI2411" s="501"/>
      <c r="EJ2411" s="501"/>
      <c r="EK2411" s="501"/>
      <c r="EL2411" s="501"/>
      <c r="EM2411" s="501"/>
      <c r="EN2411" s="501"/>
      <c r="EO2411" s="501"/>
      <c r="EP2411" s="501"/>
      <c r="EQ2411" s="501"/>
      <c r="ER2411" s="501"/>
      <c r="ES2411" s="501"/>
      <c r="ET2411" s="501"/>
      <c r="EU2411" s="501"/>
      <c r="EV2411" s="501"/>
      <c r="EW2411" s="501"/>
      <c r="EX2411" s="501"/>
      <c r="EY2411" s="501"/>
      <c r="EZ2411" s="501"/>
      <c r="FA2411" s="501"/>
      <c r="FB2411" s="501"/>
      <c r="FC2411" s="501"/>
      <c r="FD2411" s="501"/>
      <c r="FE2411" s="501"/>
      <c r="FF2411" s="501"/>
      <c r="FG2411" s="501"/>
      <c r="FH2411" s="501"/>
      <c r="FI2411" s="501"/>
      <c r="FJ2411" s="501"/>
      <c r="FK2411" s="501"/>
      <c r="FL2411" s="501"/>
      <c r="FM2411" s="501"/>
      <c r="FN2411" s="501"/>
      <c r="FO2411" s="501"/>
      <c r="FP2411" s="501"/>
      <c r="FQ2411" s="501"/>
      <c r="FR2411" s="501"/>
      <c r="FS2411" s="501"/>
      <c r="FT2411" s="501"/>
      <c r="FU2411" s="501"/>
      <c r="FV2411" s="501"/>
      <c r="FW2411" s="501"/>
      <c r="FX2411" s="501"/>
      <c r="FY2411" s="501"/>
      <c r="FZ2411" s="501"/>
      <c r="GA2411" s="501"/>
      <c r="GB2411" s="501"/>
      <c r="GC2411" s="501"/>
      <c r="GD2411" s="501"/>
      <c r="GE2411" s="501"/>
      <c r="GF2411" s="501"/>
      <c r="GG2411" s="501"/>
      <c r="GH2411" s="501"/>
      <c r="GI2411" s="501"/>
      <c r="GJ2411" s="501"/>
      <c r="GK2411" s="501"/>
      <c r="GL2411" s="501"/>
      <c r="GM2411" s="501"/>
      <c r="GN2411" s="501"/>
      <c r="GO2411" s="501"/>
      <c r="GP2411" s="501"/>
      <c r="GQ2411" s="501"/>
      <c r="GR2411" s="501"/>
      <c r="GS2411" s="501"/>
      <c r="GT2411" s="501"/>
      <c r="GU2411" s="501"/>
      <c r="GV2411" s="501"/>
      <c r="GW2411" s="501"/>
      <c r="GX2411" s="501"/>
      <c r="GY2411" s="501"/>
      <c r="GZ2411" s="501"/>
      <c r="HA2411" s="501"/>
      <c r="HB2411" s="501"/>
      <c r="HC2411" s="501"/>
      <c r="HD2411" s="501"/>
      <c r="HE2411" s="501"/>
      <c r="HF2411" s="501"/>
      <c r="HG2411" s="501"/>
      <c r="HH2411" s="501"/>
      <c r="HI2411" s="501"/>
      <c r="HJ2411" s="501"/>
      <c r="HK2411" s="501"/>
      <c r="HL2411" s="501"/>
      <c r="HM2411" s="501"/>
      <c r="HN2411" s="501"/>
      <c r="HO2411" s="501"/>
      <c r="HP2411" s="501"/>
      <c r="HQ2411" s="501"/>
      <c r="HR2411" s="501"/>
      <c r="HS2411" s="501"/>
      <c r="HT2411" s="501"/>
      <c r="HU2411" s="501"/>
      <c r="HV2411" s="501"/>
      <c r="HW2411" s="501"/>
      <c r="HX2411" s="501"/>
      <c r="HY2411" s="501"/>
      <c r="HZ2411" s="501"/>
      <c r="IA2411" s="501"/>
      <c r="IB2411" s="501"/>
      <c r="IC2411" s="501"/>
      <c r="ID2411" s="501"/>
      <c r="IE2411" s="501"/>
      <c r="IF2411" s="501"/>
      <c r="IG2411" s="501"/>
      <c r="IH2411" s="501"/>
      <c r="II2411" s="501"/>
      <c r="IJ2411" s="501"/>
      <c r="IK2411" s="501"/>
      <c r="IL2411" s="501"/>
      <c r="IM2411" s="501"/>
      <c r="IN2411" s="501"/>
      <c r="IO2411" s="501"/>
      <c r="IP2411" s="501"/>
      <c r="IQ2411" s="501"/>
      <c r="IR2411" s="501"/>
      <c r="IS2411" s="501"/>
      <c r="IT2411" s="501"/>
      <c r="IU2411" s="501"/>
    </row>
    <row r="2412" spans="1:255" s="877" customFormat="1" ht="24" customHeight="1">
      <c r="A2412" s="501"/>
      <c r="B2412" s="501"/>
      <c r="C2412" s="501"/>
      <c r="D2412" s="501"/>
      <c r="E2412" s="501"/>
      <c r="F2412" s="501"/>
      <c r="G2412" s="915"/>
      <c r="H2412" s="501"/>
      <c r="I2412" s="874"/>
      <c r="J2412" s="501"/>
      <c r="K2412" s="501"/>
      <c r="L2412" s="874"/>
      <c r="M2412" s="882"/>
      <c r="N2412" s="501"/>
      <c r="O2412" s="501"/>
      <c r="P2412" s="501"/>
      <c r="Q2412" s="501"/>
      <c r="R2412" s="501"/>
      <c r="S2412" s="501"/>
      <c r="T2412" s="501"/>
      <c r="V2412" s="501"/>
      <c r="W2412" s="501"/>
      <c r="X2412" s="501"/>
      <c r="Y2412" s="501"/>
      <c r="Z2412" s="501"/>
      <c r="AA2412" s="501"/>
      <c r="AB2412" s="501"/>
      <c r="AC2412" s="501"/>
      <c r="AD2412" s="501"/>
      <c r="AE2412" s="501"/>
      <c r="AF2412" s="501"/>
      <c r="AG2412" s="501"/>
      <c r="AH2412" s="501"/>
      <c r="AI2412" s="501"/>
      <c r="AJ2412" s="501"/>
      <c r="AK2412" s="501"/>
      <c r="AL2412" s="501"/>
      <c r="AM2412" s="501"/>
      <c r="AN2412" s="501"/>
      <c r="AO2412" s="501"/>
      <c r="AP2412" s="501"/>
      <c r="AQ2412" s="501"/>
      <c r="AR2412" s="501"/>
      <c r="AS2412" s="501"/>
      <c r="AT2412" s="501"/>
      <c r="AU2412" s="501"/>
      <c r="AV2412" s="501"/>
      <c r="AW2412" s="501"/>
      <c r="AX2412" s="501"/>
      <c r="AY2412" s="501"/>
      <c r="AZ2412" s="501"/>
      <c r="BA2412" s="501"/>
      <c r="BB2412" s="501"/>
      <c r="BC2412" s="501"/>
      <c r="BD2412" s="501"/>
      <c r="BE2412" s="501"/>
      <c r="BF2412" s="501"/>
      <c r="BG2412" s="501"/>
      <c r="BH2412" s="501"/>
      <c r="BI2412" s="501"/>
      <c r="BJ2412" s="501"/>
      <c r="BK2412" s="501"/>
      <c r="BL2412" s="501"/>
      <c r="BM2412" s="501"/>
      <c r="BN2412" s="501"/>
      <c r="BO2412" s="501"/>
      <c r="BP2412" s="501"/>
      <c r="BQ2412" s="501"/>
      <c r="BR2412" s="501"/>
      <c r="BS2412" s="501"/>
      <c r="BT2412" s="501"/>
      <c r="BU2412" s="501"/>
      <c r="BV2412" s="501"/>
      <c r="BW2412" s="501"/>
      <c r="BX2412" s="501"/>
      <c r="BY2412" s="501"/>
      <c r="BZ2412" s="501"/>
      <c r="CA2412" s="501"/>
      <c r="CB2412" s="501"/>
      <c r="CC2412" s="501"/>
      <c r="CD2412" s="501"/>
      <c r="CE2412" s="501"/>
      <c r="CF2412" s="501"/>
      <c r="CG2412" s="501"/>
      <c r="CH2412" s="501"/>
      <c r="CI2412" s="501"/>
      <c r="CJ2412" s="501"/>
      <c r="CK2412" s="501"/>
      <c r="CL2412" s="501"/>
      <c r="CM2412" s="501"/>
      <c r="CN2412" s="501"/>
      <c r="CO2412" s="501"/>
      <c r="CP2412" s="501"/>
      <c r="CQ2412" s="501"/>
      <c r="CR2412" s="501"/>
      <c r="CS2412" s="501"/>
      <c r="CT2412" s="501"/>
      <c r="CU2412" s="501"/>
      <c r="CV2412" s="501"/>
      <c r="CW2412" s="501"/>
      <c r="CX2412" s="501"/>
      <c r="CY2412" s="501"/>
      <c r="CZ2412" s="501"/>
      <c r="DA2412" s="501"/>
      <c r="DB2412" s="501"/>
      <c r="DC2412" s="501"/>
      <c r="DD2412" s="501"/>
      <c r="DE2412" s="501"/>
      <c r="DF2412" s="501"/>
      <c r="DG2412" s="501"/>
      <c r="DH2412" s="501"/>
      <c r="DI2412" s="501"/>
      <c r="DJ2412" s="501"/>
      <c r="DK2412" s="501"/>
      <c r="DL2412" s="501"/>
      <c r="DM2412" s="501"/>
      <c r="DN2412" s="501"/>
      <c r="DO2412" s="501"/>
      <c r="DP2412" s="501"/>
      <c r="DQ2412" s="501"/>
      <c r="DR2412" s="501"/>
      <c r="DS2412" s="501"/>
      <c r="DT2412" s="501"/>
      <c r="DU2412" s="501"/>
      <c r="DV2412" s="501"/>
      <c r="DW2412" s="501"/>
      <c r="DX2412" s="501"/>
      <c r="DY2412" s="501"/>
      <c r="DZ2412" s="501"/>
      <c r="EA2412" s="501"/>
      <c r="EB2412" s="501"/>
      <c r="EC2412" s="501"/>
      <c r="ED2412" s="501"/>
      <c r="EE2412" s="501"/>
      <c r="EF2412" s="501"/>
      <c r="EG2412" s="501"/>
      <c r="EH2412" s="501"/>
      <c r="EI2412" s="501"/>
      <c r="EJ2412" s="501"/>
      <c r="EK2412" s="501"/>
      <c r="EL2412" s="501"/>
      <c r="EM2412" s="501"/>
      <c r="EN2412" s="501"/>
      <c r="EO2412" s="501"/>
      <c r="EP2412" s="501"/>
      <c r="EQ2412" s="501"/>
      <c r="ER2412" s="501"/>
      <c r="ES2412" s="501"/>
      <c r="ET2412" s="501"/>
      <c r="EU2412" s="501"/>
      <c r="EV2412" s="501"/>
      <c r="EW2412" s="501"/>
      <c r="EX2412" s="501"/>
      <c r="EY2412" s="501"/>
      <c r="EZ2412" s="501"/>
      <c r="FA2412" s="501"/>
      <c r="FB2412" s="501"/>
      <c r="FC2412" s="501"/>
      <c r="FD2412" s="501"/>
      <c r="FE2412" s="501"/>
      <c r="FF2412" s="501"/>
      <c r="FG2412" s="501"/>
      <c r="FH2412" s="501"/>
      <c r="FI2412" s="501"/>
      <c r="FJ2412" s="501"/>
      <c r="FK2412" s="501"/>
      <c r="FL2412" s="501"/>
      <c r="FM2412" s="501"/>
      <c r="FN2412" s="501"/>
      <c r="FO2412" s="501"/>
      <c r="FP2412" s="501"/>
      <c r="FQ2412" s="501"/>
      <c r="FR2412" s="501"/>
      <c r="FS2412" s="501"/>
      <c r="FT2412" s="501"/>
      <c r="FU2412" s="501"/>
      <c r="FV2412" s="501"/>
      <c r="FW2412" s="501"/>
      <c r="FX2412" s="501"/>
      <c r="FY2412" s="501"/>
      <c r="FZ2412" s="501"/>
      <c r="GA2412" s="501"/>
      <c r="GB2412" s="501"/>
      <c r="GC2412" s="501"/>
      <c r="GD2412" s="501"/>
      <c r="GE2412" s="501"/>
      <c r="GF2412" s="501"/>
      <c r="GG2412" s="501"/>
      <c r="GH2412" s="501"/>
      <c r="GI2412" s="501"/>
      <c r="GJ2412" s="501"/>
      <c r="GK2412" s="501"/>
      <c r="GL2412" s="501"/>
      <c r="GM2412" s="501"/>
      <c r="GN2412" s="501"/>
      <c r="GO2412" s="501"/>
      <c r="GP2412" s="501"/>
      <c r="GQ2412" s="501"/>
      <c r="GR2412" s="501"/>
      <c r="GS2412" s="501"/>
      <c r="GT2412" s="501"/>
      <c r="GU2412" s="501"/>
      <c r="GV2412" s="501"/>
      <c r="GW2412" s="501"/>
      <c r="GX2412" s="501"/>
      <c r="GY2412" s="501"/>
      <c r="GZ2412" s="501"/>
      <c r="HA2412" s="501"/>
      <c r="HB2412" s="501"/>
      <c r="HC2412" s="501"/>
      <c r="HD2412" s="501"/>
      <c r="HE2412" s="501"/>
      <c r="HF2412" s="501"/>
      <c r="HG2412" s="501"/>
      <c r="HH2412" s="501"/>
      <c r="HI2412" s="501"/>
      <c r="HJ2412" s="501"/>
      <c r="HK2412" s="501"/>
      <c r="HL2412" s="501"/>
      <c r="HM2412" s="501"/>
      <c r="HN2412" s="501"/>
      <c r="HO2412" s="501"/>
      <c r="HP2412" s="501"/>
      <c r="HQ2412" s="501"/>
      <c r="HR2412" s="501"/>
      <c r="HS2412" s="501"/>
      <c r="HT2412" s="501"/>
      <c r="HU2412" s="501"/>
      <c r="HV2412" s="501"/>
      <c r="HW2412" s="501"/>
      <c r="HX2412" s="501"/>
      <c r="HY2412" s="501"/>
      <c r="HZ2412" s="501"/>
      <c r="IA2412" s="501"/>
      <c r="IB2412" s="501"/>
      <c r="IC2412" s="501"/>
      <c r="ID2412" s="501"/>
      <c r="IE2412" s="501"/>
      <c r="IF2412" s="501"/>
      <c r="IG2412" s="501"/>
      <c r="IH2412" s="501"/>
      <c r="II2412" s="501"/>
      <c r="IJ2412" s="501"/>
      <c r="IK2412" s="501"/>
      <c r="IL2412" s="501"/>
      <c r="IM2412" s="501"/>
      <c r="IN2412" s="501"/>
      <c r="IO2412" s="501"/>
      <c r="IP2412" s="501"/>
      <c r="IQ2412" s="501"/>
      <c r="IR2412" s="501"/>
      <c r="IS2412" s="501"/>
      <c r="IT2412" s="501"/>
      <c r="IU2412" s="501"/>
    </row>
    <row r="2413" spans="1:255" s="877" customFormat="1" ht="24" customHeight="1">
      <c r="A2413" s="501"/>
      <c r="B2413" s="501"/>
      <c r="C2413" s="501"/>
      <c r="D2413" s="501"/>
      <c r="E2413" s="501"/>
      <c r="F2413" s="501"/>
      <c r="G2413" s="915"/>
      <c r="H2413" s="501"/>
      <c r="I2413" s="874"/>
      <c r="J2413" s="501"/>
      <c r="K2413" s="501"/>
      <c r="L2413" s="874"/>
      <c r="M2413" s="882"/>
      <c r="N2413" s="501"/>
      <c r="O2413" s="501"/>
      <c r="P2413" s="501"/>
      <c r="Q2413" s="501"/>
      <c r="R2413" s="501"/>
      <c r="S2413" s="501"/>
      <c r="T2413" s="501"/>
      <c r="V2413" s="501"/>
      <c r="W2413" s="501"/>
      <c r="X2413" s="501"/>
      <c r="Y2413" s="501"/>
      <c r="Z2413" s="501"/>
      <c r="AA2413" s="501"/>
      <c r="AB2413" s="501"/>
      <c r="AC2413" s="501"/>
      <c r="AD2413" s="501"/>
      <c r="AE2413" s="501"/>
      <c r="AF2413" s="501"/>
      <c r="AG2413" s="501"/>
      <c r="AH2413" s="501"/>
      <c r="AI2413" s="501"/>
      <c r="AJ2413" s="501"/>
      <c r="AK2413" s="501"/>
      <c r="AL2413" s="501"/>
      <c r="AM2413" s="501"/>
      <c r="AN2413" s="501"/>
      <c r="AO2413" s="501"/>
      <c r="AP2413" s="501"/>
      <c r="AQ2413" s="501"/>
      <c r="AR2413" s="501"/>
      <c r="AS2413" s="501"/>
      <c r="AT2413" s="501"/>
      <c r="AU2413" s="501"/>
      <c r="AV2413" s="501"/>
      <c r="AW2413" s="501"/>
      <c r="AX2413" s="501"/>
      <c r="AY2413" s="501"/>
      <c r="AZ2413" s="501"/>
      <c r="BA2413" s="501"/>
      <c r="BB2413" s="501"/>
      <c r="BC2413" s="501"/>
      <c r="BD2413" s="501"/>
      <c r="BE2413" s="501"/>
      <c r="BF2413" s="501"/>
      <c r="BG2413" s="501"/>
      <c r="BH2413" s="501"/>
      <c r="BI2413" s="501"/>
      <c r="BJ2413" s="501"/>
      <c r="BK2413" s="501"/>
      <c r="BL2413" s="501"/>
      <c r="BM2413" s="501"/>
      <c r="BN2413" s="501"/>
      <c r="BO2413" s="501"/>
      <c r="BP2413" s="501"/>
      <c r="BQ2413" s="501"/>
      <c r="BR2413" s="501"/>
      <c r="BS2413" s="501"/>
      <c r="BT2413" s="501"/>
      <c r="BU2413" s="501"/>
      <c r="BV2413" s="501"/>
      <c r="BW2413" s="501"/>
      <c r="BX2413" s="501"/>
      <c r="BY2413" s="501"/>
      <c r="BZ2413" s="501"/>
      <c r="CA2413" s="501"/>
      <c r="CB2413" s="501"/>
      <c r="CC2413" s="501"/>
      <c r="CD2413" s="501"/>
      <c r="CE2413" s="501"/>
      <c r="CF2413" s="501"/>
      <c r="CG2413" s="501"/>
      <c r="CH2413" s="501"/>
      <c r="CI2413" s="501"/>
      <c r="CJ2413" s="501"/>
      <c r="CK2413" s="501"/>
      <c r="CL2413" s="501"/>
      <c r="CM2413" s="501"/>
      <c r="CN2413" s="501"/>
      <c r="CO2413" s="501"/>
      <c r="CP2413" s="501"/>
      <c r="CQ2413" s="501"/>
      <c r="CR2413" s="501"/>
      <c r="CS2413" s="501"/>
      <c r="CT2413" s="501"/>
      <c r="CU2413" s="501"/>
      <c r="CV2413" s="501"/>
      <c r="CW2413" s="501"/>
      <c r="CX2413" s="501"/>
      <c r="CY2413" s="501"/>
      <c r="CZ2413" s="501"/>
      <c r="DA2413" s="501"/>
      <c r="DB2413" s="501"/>
      <c r="DC2413" s="501"/>
      <c r="DD2413" s="501"/>
      <c r="DE2413" s="501"/>
      <c r="DF2413" s="501"/>
      <c r="DG2413" s="501"/>
      <c r="DH2413" s="501"/>
      <c r="DI2413" s="501"/>
      <c r="DJ2413" s="501"/>
      <c r="DK2413" s="501"/>
      <c r="DL2413" s="501"/>
      <c r="DM2413" s="501"/>
      <c r="DN2413" s="501"/>
      <c r="DO2413" s="501"/>
      <c r="DP2413" s="501"/>
      <c r="DQ2413" s="501"/>
      <c r="DR2413" s="501"/>
      <c r="DS2413" s="501"/>
      <c r="DT2413" s="501"/>
      <c r="DU2413" s="501"/>
      <c r="DV2413" s="501"/>
      <c r="DW2413" s="501"/>
      <c r="DX2413" s="501"/>
      <c r="DY2413" s="501"/>
      <c r="DZ2413" s="501"/>
      <c r="EA2413" s="501"/>
      <c r="EB2413" s="501"/>
      <c r="EC2413" s="501"/>
      <c r="ED2413" s="501"/>
      <c r="EE2413" s="501"/>
      <c r="EF2413" s="501"/>
      <c r="EG2413" s="501"/>
      <c r="EH2413" s="501"/>
      <c r="EI2413" s="501"/>
      <c r="EJ2413" s="501"/>
      <c r="EK2413" s="501"/>
      <c r="EL2413" s="501"/>
      <c r="EM2413" s="501"/>
      <c r="EN2413" s="501"/>
      <c r="EO2413" s="501"/>
      <c r="EP2413" s="501"/>
      <c r="EQ2413" s="501"/>
      <c r="ER2413" s="501"/>
      <c r="ES2413" s="501"/>
      <c r="ET2413" s="501"/>
      <c r="EU2413" s="501"/>
      <c r="EV2413" s="501"/>
      <c r="EW2413" s="501"/>
      <c r="EX2413" s="501"/>
      <c r="EY2413" s="501"/>
      <c r="EZ2413" s="501"/>
      <c r="FA2413" s="501"/>
      <c r="FB2413" s="501"/>
      <c r="FC2413" s="501"/>
      <c r="FD2413" s="501"/>
      <c r="FE2413" s="501"/>
      <c r="FF2413" s="501"/>
      <c r="FG2413" s="501"/>
      <c r="FH2413" s="501"/>
      <c r="FI2413" s="501"/>
      <c r="FJ2413" s="501"/>
      <c r="FK2413" s="501"/>
      <c r="FL2413" s="501"/>
      <c r="FM2413" s="501"/>
      <c r="FN2413" s="501"/>
      <c r="FO2413" s="501"/>
      <c r="FP2413" s="501"/>
      <c r="FQ2413" s="501"/>
      <c r="FR2413" s="501"/>
      <c r="FS2413" s="501"/>
      <c r="FT2413" s="501"/>
      <c r="FU2413" s="501"/>
      <c r="FV2413" s="501"/>
      <c r="FW2413" s="501"/>
      <c r="FX2413" s="501"/>
      <c r="FY2413" s="501"/>
      <c r="FZ2413" s="501"/>
      <c r="GA2413" s="501"/>
      <c r="GB2413" s="501"/>
      <c r="GC2413" s="501"/>
      <c r="GD2413" s="501"/>
      <c r="GE2413" s="501"/>
      <c r="GF2413" s="501"/>
      <c r="GG2413" s="501"/>
      <c r="GH2413" s="501"/>
      <c r="GI2413" s="501"/>
      <c r="GJ2413" s="501"/>
      <c r="GK2413" s="501"/>
      <c r="GL2413" s="501"/>
      <c r="GM2413" s="501"/>
      <c r="GN2413" s="501"/>
      <c r="GO2413" s="501"/>
      <c r="GP2413" s="501"/>
      <c r="GQ2413" s="501"/>
      <c r="GR2413" s="501"/>
      <c r="GS2413" s="501"/>
      <c r="GT2413" s="501"/>
      <c r="GU2413" s="501"/>
      <c r="GV2413" s="501"/>
      <c r="GW2413" s="501"/>
      <c r="GX2413" s="501"/>
      <c r="GY2413" s="501"/>
      <c r="GZ2413" s="501"/>
      <c r="HA2413" s="501"/>
      <c r="HB2413" s="501"/>
      <c r="HC2413" s="501"/>
      <c r="HD2413" s="501"/>
      <c r="HE2413" s="501"/>
      <c r="HF2413" s="501"/>
      <c r="HG2413" s="501"/>
      <c r="HH2413" s="501"/>
      <c r="HI2413" s="501"/>
      <c r="HJ2413" s="501"/>
      <c r="HK2413" s="501"/>
      <c r="HL2413" s="501"/>
      <c r="HM2413" s="501"/>
      <c r="HN2413" s="501"/>
      <c r="HO2413" s="501"/>
      <c r="HP2413" s="501"/>
      <c r="HQ2413" s="501"/>
      <c r="HR2413" s="501"/>
      <c r="HS2413" s="501"/>
      <c r="HT2413" s="501"/>
      <c r="HU2413" s="501"/>
      <c r="HV2413" s="501"/>
      <c r="HW2413" s="501"/>
      <c r="HX2413" s="501"/>
      <c r="HY2413" s="501"/>
      <c r="HZ2413" s="501"/>
      <c r="IA2413" s="501"/>
      <c r="IB2413" s="501"/>
      <c r="IC2413" s="501"/>
      <c r="ID2413" s="501"/>
      <c r="IE2413" s="501"/>
      <c r="IF2413" s="501"/>
      <c r="IG2413" s="501"/>
      <c r="IH2413" s="501"/>
      <c r="II2413" s="501"/>
      <c r="IJ2413" s="501"/>
      <c r="IK2413" s="501"/>
      <c r="IL2413" s="501"/>
      <c r="IM2413" s="501"/>
      <c r="IN2413" s="501"/>
      <c r="IO2413" s="501"/>
      <c r="IP2413" s="501"/>
      <c r="IQ2413" s="501"/>
      <c r="IR2413" s="501"/>
      <c r="IS2413" s="501"/>
      <c r="IT2413" s="501"/>
      <c r="IU2413" s="501"/>
    </row>
    <row r="2414" spans="1:255" s="877" customFormat="1" ht="24" customHeight="1">
      <c r="A2414" s="501"/>
      <c r="B2414" s="501"/>
      <c r="C2414" s="501"/>
      <c r="D2414" s="501"/>
      <c r="E2414" s="501"/>
      <c r="F2414" s="880"/>
      <c r="G2414" s="918"/>
      <c r="H2414" s="880"/>
      <c r="I2414" s="876"/>
      <c r="J2414" s="1624"/>
      <c r="K2414" s="1624"/>
      <c r="L2414" s="1624"/>
      <c r="M2414" s="1624"/>
      <c r="N2414" s="501"/>
      <c r="O2414" s="501"/>
      <c r="P2414" s="501"/>
      <c r="Q2414" s="501"/>
      <c r="R2414" s="501"/>
      <c r="S2414" s="501"/>
      <c r="T2414" s="501"/>
      <c r="V2414" s="501"/>
      <c r="W2414" s="501"/>
      <c r="X2414" s="501"/>
      <c r="Y2414" s="501"/>
      <c r="Z2414" s="501"/>
      <c r="AA2414" s="501"/>
      <c r="AB2414" s="501"/>
      <c r="AC2414" s="501"/>
      <c r="AD2414" s="501"/>
      <c r="AE2414" s="501"/>
      <c r="AF2414" s="501"/>
      <c r="AG2414" s="501"/>
      <c r="AH2414" s="501"/>
      <c r="AI2414" s="501"/>
      <c r="AJ2414" s="501"/>
      <c r="AK2414" s="501"/>
      <c r="AL2414" s="501"/>
      <c r="AM2414" s="501"/>
      <c r="AN2414" s="501"/>
      <c r="AO2414" s="501"/>
      <c r="AP2414" s="501"/>
      <c r="AQ2414" s="501"/>
      <c r="AR2414" s="501"/>
      <c r="AS2414" s="501"/>
      <c r="AT2414" s="501"/>
      <c r="AU2414" s="501"/>
      <c r="AV2414" s="501"/>
      <c r="AW2414" s="501"/>
      <c r="AX2414" s="501"/>
      <c r="AY2414" s="501"/>
      <c r="AZ2414" s="501"/>
      <c r="BA2414" s="501"/>
      <c r="BB2414" s="501"/>
      <c r="BC2414" s="501"/>
      <c r="BD2414" s="501"/>
      <c r="BE2414" s="501"/>
      <c r="BF2414" s="501"/>
      <c r="BG2414" s="501"/>
      <c r="BH2414" s="501"/>
      <c r="BI2414" s="501"/>
      <c r="BJ2414" s="501"/>
      <c r="BK2414" s="501"/>
      <c r="BL2414" s="501"/>
      <c r="BM2414" s="501"/>
      <c r="BN2414" s="501"/>
      <c r="BO2414" s="501"/>
      <c r="BP2414" s="501"/>
      <c r="BQ2414" s="501"/>
      <c r="BR2414" s="501"/>
      <c r="BS2414" s="501"/>
      <c r="BT2414" s="501"/>
      <c r="BU2414" s="501"/>
      <c r="BV2414" s="501"/>
      <c r="BW2414" s="501"/>
      <c r="BX2414" s="501"/>
      <c r="BY2414" s="501"/>
      <c r="BZ2414" s="501"/>
      <c r="CA2414" s="501"/>
      <c r="CB2414" s="501"/>
      <c r="CC2414" s="501"/>
      <c r="CD2414" s="501"/>
      <c r="CE2414" s="501"/>
      <c r="CF2414" s="501"/>
      <c r="CG2414" s="501"/>
      <c r="CH2414" s="501"/>
      <c r="CI2414" s="501"/>
      <c r="CJ2414" s="501"/>
      <c r="CK2414" s="501"/>
      <c r="CL2414" s="501"/>
      <c r="CM2414" s="501"/>
      <c r="CN2414" s="501"/>
      <c r="CO2414" s="501"/>
      <c r="CP2414" s="501"/>
      <c r="CQ2414" s="501"/>
      <c r="CR2414" s="501"/>
      <c r="CS2414" s="501"/>
      <c r="CT2414" s="501"/>
      <c r="CU2414" s="501"/>
      <c r="CV2414" s="501"/>
      <c r="CW2414" s="501"/>
      <c r="CX2414" s="501"/>
      <c r="CY2414" s="501"/>
      <c r="CZ2414" s="501"/>
      <c r="DA2414" s="501"/>
      <c r="DB2414" s="501"/>
      <c r="DC2414" s="501"/>
      <c r="DD2414" s="501"/>
      <c r="DE2414" s="501"/>
      <c r="DF2414" s="501"/>
      <c r="DG2414" s="501"/>
      <c r="DH2414" s="501"/>
      <c r="DI2414" s="501"/>
      <c r="DJ2414" s="501"/>
      <c r="DK2414" s="501"/>
      <c r="DL2414" s="501"/>
      <c r="DM2414" s="501"/>
      <c r="DN2414" s="501"/>
      <c r="DO2414" s="501"/>
      <c r="DP2414" s="501"/>
      <c r="DQ2414" s="501"/>
      <c r="DR2414" s="501"/>
      <c r="DS2414" s="501"/>
      <c r="DT2414" s="501"/>
      <c r="DU2414" s="501"/>
      <c r="DV2414" s="501"/>
      <c r="DW2414" s="501"/>
      <c r="DX2414" s="501"/>
      <c r="DY2414" s="501"/>
      <c r="DZ2414" s="501"/>
      <c r="EA2414" s="501"/>
      <c r="EB2414" s="501"/>
      <c r="EC2414" s="501"/>
      <c r="ED2414" s="501"/>
      <c r="EE2414" s="501"/>
      <c r="EF2414" s="501"/>
      <c r="EG2414" s="501"/>
      <c r="EH2414" s="501"/>
      <c r="EI2414" s="501"/>
      <c r="EJ2414" s="501"/>
      <c r="EK2414" s="501"/>
      <c r="EL2414" s="501"/>
      <c r="EM2414" s="501"/>
      <c r="EN2414" s="501"/>
      <c r="EO2414" s="501"/>
      <c r="EP2414" s="501"/>
      <c r="EQ2414" s="501"/>
      <c r="ER2414" s="501"/>
      <c r="ES2414" s="501"/>
      <c r="ET2414" s="501"/>
      <c r="EU2414" s="501"/>
      <c r="EV2414" s="501"/>
      <c r="EW2414" s="501"/>
      <c r="EX2414" s="501"/>
      <c r="EY2414" s="501"/>
      <c r="EZ2414" s="501"/>
      <c r="FA2414" s="501"/>
      <c r="FB2414" s="501"/>
      <c r="FC2414" s="501"/>
      <c r="FD2414" s="501"/>
      <c r="FE2414" s="501"/>
      <c r="FF2414" s="501"/>
      <c r="FG2414" s="501"/>
      <c r="FH2414" s="501"/>
      <c r="FI2414" s="501"/>
      <c r="FJ2414" s="501"/>
      <c r="FK2414" s="501"/>
      <c r="FL2414" s="501"/>
      <c r="FM2414" s="501"/>
      <c r="FN2414" s="501"/>
      <c r="FO2414" s="501"/>
      <c r="FP2414" s="501"/>
      <c r="FQ2414" s="501"/>
      <c r="FR2414" s="501"/>
      <c r="FS2414" s="501"/>
      <c r="FT2414" s="501"/>
      <c r="FU2414" s="501"/>
      <c r="FV2414" s="501"/>
      <c r="FW2414" s="501"/>
      <c r="FX2414" s="501"/>
      <c r="FY2414" s="501"/>
      <c r="FZ2414" s="501"/>
      <c r="GA2414" s="501"/>
      <c r="GB2414" s="501"/>
      <c r="GC2414" s="501"/>
      <c r="GD2414" s="501"/>
      <c r="GE2414" s="501"/>
      <c r="GF2414" s="501"/>
      <c r="GG2414" s="501"/>
      <c r="GH2414" s="501"/>
      <c r="GI2414" s="501"/>
      <c r="GJ2414" s="501"/>
      <c r="GK2414" s="501"/>
      <c r="GL2414" s="501"/>
      <c r="GM2414" s="501"/>
      <c r="GN2414" s="501"/>
      <c r="GO2414" s="501"/>
      <c r="GP2414" s="501"/>
      <c r="GQ2414" s="501"/>
      <c r="GR2414" s="501"/>
      <c r="GS2414" s="501"/>
      <c r="GT2414" s="501"/>
      <c r="GU2414" s="501"/>
      <c r="GV2414" s="501"/>
      <c r="GW2414" s="501"/>
      <c r="GX2414" s="501"/>
      <c r="GY2414" s="501"/>
      <c r="GZ2414" s="501"/>
      <c r="HA2414" s="501"/>
      <c r="HB2414" s="501"/>
      <c r="HC2414" s="501"/>
      <c r="HD2414" s="501"/>
      <c r="HE2414" s="501"/>
      <c r="HF2414" s="501"/>
      <c r="HG2414" s="501"/>
      <c r="HH2414" s="501"/>
      <c r="HI2414" s="501"/>
      <c r="HJ2414" s="501"/>
      <c r="HK2414" s="501"/>
      <c r="HL2414" s="501"/>
      <c r="HM2414" s="501"/>
      <c r="HN2414" s="501"/>
      <c r="HO2414" s="501"/>
      <c r="HP2414" s="501"/>
      <c r="HQ2414" s="501"/>
      <c r="HR2414" s="501"/>
      <c r="HS2414" s="501"/>
      <c r="HT2414" s="501"/>
      <c r="HU2414" s="501"/>
      <c r="HV2414" s="501"/>
      <c r="HW2414" s="501"/>
      <c r="HX2414" s="501"/>
      <c r="HY2414" s="501"/>
      <c r="HZ2414" s="501"/>
      <c r="IA2414" s="501"/>
      <c r="IB2414" s="501"/>
      <c r="IC2414" s="501"/>
      <c r="ID2414" s="501"/>
      <c r="IE2414" s="501"/>
      <c r="IF2414" s="501"/>
      <c r="IG2414" s="501"/>
      <c r="IH2414" s="501"/>
      <c r="II2414" s="501"/>
      <c r="IJ2414" s="501"/>
      <c r="IK2414" s="501"/>
      <c r="IL2414" s="501"/>
      <c r="IM2414" s="501"/>
      <c r="IN2414" s="501"/>
      <c r="IO2414" s="501"/>
      <c r="IP2414" s="501"/>
      <c r="IQ2414" s="501"/>
      <c r="IR2414" s="501"/>
      <c r="IS2414" s="501"/>
      <c r="IT2414" s="501"/>
      <c r="IU2414" s="501"/>
    </row>
    <row r="2415" spans="1:255" s="877" customFormat="1" ht="24" customHeight="1">
      <c r="A2415" s="501"/>
      <c r="B2415" s="501"/>
      <c r="C2415" s="501"/>
      <c r="D2415" s="501"/>
      <c r="E2415" s="501"/>
      <c r="F2415" s="880"/>
      <c r="G2415" s="918"/>
      <c r="H2415" s="880"/>
      <c r="I2415" s="876"/>
      <c r="J2415" s="880"/>
      <c r="K2415" s="880"/>
      <c r="L2415" s="874"/>
      <c r="M2415" s="554"/>
      <c r="N2415" s="501"/>
      <c r="O2415" s="501"/>
      <c r="P2415" s="501"/>
      <c r="Q2415" s="501"/>
      <c r="R2415" s="501"/>
      <c r="S2415" s="501"/>
      <c r="T2415" s="501"/>
      <c r="V2415" s="501"/>
      <c r="W2415" s="501"/>
      <c r="X2415" s="501"/>
      <c r="Y2415" s="501"/>
      <c r="Z2415" s="501"/>
      <c r="AA2415" s="501"/>
      <c r="AB2415" s="501"/>
      <c r="AC2415" s="501"/>
      <c r="AD2415" s="501"/>
      <c r="AE2415" s="501"/>
      <c r="AF2415" s="501"/>
      <c r="AG2415" s="501"/>
      <c r="AH2415" s="501"/>
      <c r="AI2415" s="501"/>
      <c r="AJ2415" s="501"/>
      <c r="AK2415" s="501"/>
      <c r="AL2415" s="501"/>
      <c r="AM2415" s="501"/>
      <c r="AN2415" s="501"/>
      <c r="AO2415" s="501"/>
      <c r="AP2415" s="501"/>
      <c r="AQ2415" s="501"/>
      <c r="AR2415" s="501"/>
      <c r="AS2415" s="501"/>
      <c r="AT2415" s="501"/>
      <c r="AU2415" s="501"/>
      <c r="AV2415" s="501"/>
      <c r="AW2415" s="501"/>
      <c r="AX2415" s="501"/>
      <c r="AY2415" s="501"/>
      <c r="AZ2415" s="501"/>
      <c r="BA2415" s="501"/>
      <c r="BB2415" s="501"/>
      <c r="BC2415" s="501"/>
      <c r="BD2415" s="501"/>
      <c r="BE2415" s="501"/>
      <c r="BF2415" s="501"/>
      <c r="BG2415" s="501"/>
      <c r="BH2415" s="501"/>
      <c r="BI2415" s="501"/>
      <c r="BJ2415" s="501"/>
      <c r="BK2415" s="501"/>
      <c r="BL2415" s="501"/>
      <c r="BM2415" s="501"/>
      <c r="BN2415" s="501"/>
      <c r="BO2415" s="501"/>
      <c r="BP2415" s="501"/>
      <c r="BQ2415" s="501"/>
      <c r="BR2415" s="501"/>
      <c r="BS2415" s="501"/>
      <c r="BT2415" s="501"/>
      <c r="BU2415" s="501"/>
      <c r="BV2415" s="501"/>
      <c r="BW2415" s="501"/>
      <c r="BX2415" s="501"/>
      <c r="BY2415" s="501"/>
      <c r="BZ2415" s="501"/>
      <c r="CA2415" s="501"/>
      <c r="CB2415" s="501"/>
      <c r="CC2415" s="501"/>
      <c r="CD2415" s="501"/>
      <c r="CE2415" s="501"/>
      <c r="CF2415" s="501"/>
      <c r="CG2415" s="501"/>
      <c r="CH2415" s="501"/>
      <c r="CI2415" s="501"/>
      <c r="CJ2415" s="501"/>
      <c r="CK2415" s="501"/>
      <c r="CL2415" s="501"/>
      <c r="CM2415" s="501"/>
      <c r="CN2415" s="501"/>
      <c r="CO2415" s="501"/>
      <c r="CP2415" s="501"/>
      <c r="CQ2415" s="501"/>
      <c r="CR2415" s="501"/>
      <c r="CS2415" s="501"/>
      <c r="CT2415" s="501"/>
      <c r="CU2415" s="501"/>
      <c r="CV2415" s="501"/>
      <c r="CW2415" s="501"/>
      <c r="CX2415" s="501"/>
      <c r="CY2415" s="501"/>
      <c r="CZ2415" s="501"/>
      <c r="DA2415" s="501"/>
      <c r="DB2415" s="501"/>
      <c r="DC2415" s="501"/>
      <c r="DD2415" s="501"/>
      <c r="DE2415" s="501"/>
      <c r="DF2415" s="501"/>
      <c r="DG2415" s="501"/>
      <c r="DH2415" s="501"/>
      <c r="DI2415" s="501"/>
      <c r="DJ2415" s="501"/>
      <c r="DK2415" s="501"/>
      <c r="DL2415" s="501"/>
      <c r="DM2415" s="501"/>
      <c r="DN2415" s="501"/>
      <c r="DO2415" s="501"/>
      <c r="DP2415" s="501"/>
      <c r="DQ2415" s="501"/>
      <c r="DR2415" s="501"/>
      <c r="DS2415" s="501"/>
      <c r="DT2415" s="501"/>
      <c r="DU2415" s="501"/>
      <c r="DV2415" s="501"/>
      <c r="DW2415" s="501"/>
      <c r="DX2415" s="501"/>
      <c r="DY2415" s="501"/>
      <c r="DZ2415" s="501"/>
      <c r="EA2415" s="501"/>
      <c r="EB2415" s="501"/>
      <c r="EC2415" s="501"/>
      <c r="ED2415" s="501"/>
      <c r="EE2415" s="501"/>
      <c r="EF2415" s="501"/>
      <c r="EG2415" s="501"/>
      <c r="EH2415" s="501"/>
      <c r="EI2415" s="501"/>
      <c r="EJ2415" s="501"/>
      <c r="EK2415" s="501"/>
      <c r="EL2415" s="501"/>
      <c r="EM2415" s="501"/>
      <c r="EN2415" s="501"/>
      <c r="EO2415" s="501"/>
      <c r="EP2415" s="501"/>
      <c r="EQ2415" s="501"/>
      <c r="ER2415" s="501"/>
      <c r="ES2415" s="501"/>
      <c r="ET2415" s="501"/>
      <c r="EU2415" s="501"/>
      <c r="EV2415" s="501"/>
      <c r="EW2415" s="501"/>
      <c r="EX2415" s="501"/>
      <c r="EY2415" s="501"/>
      <c r="EZ2415" s="501"/>
      <c r="FA2415" s="501"/>
      <c r="FB2415" s="501"/>
      <c r="FC2415" s="501"/>
      <c r="FD2415" s="501"/>
      <c r="FE2415" s="501"/>
      <c r="FF2415" s="501"/>
      <c r="FG2415" s="501"/>
      <c r="FH2415" s="501"/>
      <c r="FI2415" s="501"/>
      <c r="FJ2415" s="501"/>
      <c r="FK2415" s="501"/>
      <c r="FL2415" s="501"/>
      <c r="FM2415" s="501"/>
      <c r="FN2415" s="501"/>
      <c r="FO2415" s="501"/>
      <c r="FP2415" s="501"/>
      <c r="FQ2415" s="501"/>
      <c r="FR2415" s="501"/>
      <c r="FS2415" s="501"/>
      <c r="FT2415" s="501"/>
      <c r="FU2415" s="501"/>
      <c r="FV2415" s="501"/>
      <c r="FW2415" s="501"/>
      <c r="FX2415" s="501"/>
      <c r="FY2415" s="501"/>
      <c r="FZ2415" s="501"/>
      <c r="GA2415" s="501"/>
      <c r="GB2415" s="501"/>
      <c r="GC2415" s="501"/>
      <c r="GD2415" s="501"/>
      <c r="GE2415" s="501"/>
      <c r="GF2415" s="501"/>
      <c r="GG2415" s="501"/>
      <c r="GH2415" s="501"/>
      <c r="GI2415" s="501"/>
      <c r="GJ2415" s="501"/>
      <c r="GK2415" s="501"/>
      <c r="GL2415" s="501"/>
      <c r="GM2415" s="501"/>
      <c r="GN2415" s="501"/>
      <c r="GO2415" s="501"/>
      <c r="GP2415" s="501"/>
      <c r="GQ2415" s="501"/>
      <c r="GR2415" s="501"/>
      <c r="GS2415" s="501"/>
      <c r="GT2415" s="501"/>
      <c r="GU2415" s="501"/>
      <c r="GV2415" s="501"/>
      <c r="GW2415" s="501"/>
      <c r="GX2415" s="501"/>
      <c r="GY2415" s="501"/>
      <c r="GZ2415" s="501"/>
      <c r="HA2415" s="501"/>
      <c r="HB2415" s="501"/>
      <c r="HC2415" s="501"/>
      <c r="HD2415" s="501"/>
      <c r="HE2415" s="501"/>
      <c r="HF2415" s="501"/>
      <c r="HG2415" s="501"/>
      <c r="HH2415" s="501"/>
      <c r="HI2415" s="501"/>
      <c r="HJ2415" s="501"/>
      <c r="HK2415" s="501"/>
      <c r="HL2415" s="501"/>
      <c r="HM2415" s="501"/>
      <c r="HN2415" s="501"/>
      <c r="HO2415" s="501"/>
      <c r="HP2415" s="501"/>
      <c r="HQ2415" s="501"/>
      <c r="HR2415" s="501"/>
      <c r="HS2415" s="501"/>
      <c r="HT2415" s="501"/>
      <c r="HU2415" s="501"/>
      <c r="HV2415" s="501"/>
      <c r="HW2415" s="501"/>
      <c r="HX2415" s="501"/>
      <c r="HY2415" s="501"/>
      <c r="HZ2415" s="501"/>
      <c r="IA2415" s="501"/>
      <c r="IB2415" s="501"/>
      <c r="IC2415" s="501"/>
      <c r="ID2415" s="501"/>
      <c r="IE2415" s="501"/>
      <c r="IF2415" s="501"/>
      <c r="IG2415" s="501"/>
      <c r="IH2415" s="501"/>
      <c r="II2415" s="501"/>
      <c r="IJ2415" s="501"/>
      <c r="IK2415" s="501"/>
      <c r="IL2415" s="501"/>
      <c r="IM2415" s="501"/>
      <c r="IN2415" s="501"/>
      <c r="IO2415" s="501"/>
      <c r="IP2415" s="501"/>
      <c r="IQ2415" s="501"/>
      <c r="IR2415" s="501"/>
      <c r="IS2415" s="501"/>
      <c r="IT2415" s="501"/>
      <c r="IU2415" s="501"/>
    </row>
    <row r="2416" spans="1:255" s="877" customFormat="1" ht="24" customHeight="1">
      <c r="A2416" s="501"/>
      <c r="B2416" s="501"/>
      <c r="C2416" s="501"/>
      <c r="D2416" s="501"/>
      <c r="E2416" s="501"/>
      <c r="F2416" s="545"/>
      <c r="G2416" s="889"/>
      <c r="H2416" s="545"/>
      <c r="I2416" s="876"/>
      <c r="J2416" s="1624"/>
      <c r="K2416" s="545"/>
      <c r="L2416" s="876"/>
      <c r="M2416" s="882"/>
      <c r="N2416" s="501"/>
      <c r="O2416" s="501"/>
      <c r="P2416" s="501"/>
      <c r="Q2416" s="501"/>
      <c r="R2416" s="501"/>
      <c r="S2416" s="501"/>
      <c r="T2416" s="501"/>
      <c r="V2416" s="501"/>
      <c r="W2416" s="501"/>
      <c r="X2416" s="501"/>
      <c r="Y2416" s="501"/>
      <c r="Z2416" s="501"/>
      <c r="AA2416" s="501"/>
      <c r="AB2416" s="501"/>
      <c r="AC2416" s="501"/>
      <c r="AD2416" s="501"/>
      <c r="AE2416" s="501"/>
      <c r="AF2416" s="501"/>
      <c r="AG2416" s="501"/>
      <c r="AH2416" s="501"/>
      <c r="AI2416" s="501"/>
      <c r="AJ2416" s="501"/>
      <c r="AK2416" s="501"/>
      <c r="AL2416" s="501"/>
      <c r="AM2416" s="501"/>
      <c r="AN2416" s="501"/>
      <c r="AO2416" s="501"/>
      <c r="AP2416" s="501"/>
      <c r="AQ2416" s="501"/>
      <c r="AR2416" s="501"/>
      <c r="AS2416" s="501"/>
      <c r="AT2416" s="501"/>
      <c r="AU2416" s="501"/>
      <c r="AV2416" s="501"/>
      <c r="AW2416" s="501"/>
      <c r="AX2416" s="501"/>
      <c r="AY2416" s="501"/>
      <c r="AZ2416" s="501"/>
      <c r="BA2416" s="501"/>
      <c r="BB2416" s="501"/>
      <c r="BC2416" s="501"/>
      <c r="BD2416" s="501"/>
      <c r="BE2416" s="501"/>
      <c r="BF2416" s="501"/>
      <c r="BG2416" s="501"/>
      <c r="BH2416" s="501"/>
      <c r="BI2416" s="501"/>
      <c r="BJ2416" s="501"/>
      <c r="BK2416" s="501"/>
      <c r="BL2416" s="501"/>
      <c r="BM2416" s="501"/>
      <c r="BN2416" s="501"/>
      <c r="BO2416" s="501"/>
      <c r="BP2416" s="501"/>
      <c r="BQ2416" s="501"/>
      <c r="BR2416" s="501"/>
      <c r="BS2416" s="501"/>
      <c r="BT2416" s="501"/>
      <c r="BU2416" s="501"/>
      <c r="BV2416" s="501"/>
      <c r="BW2416" s="501"/>
      <c r="BX2416" s="501"/>
      <c r="BY2416" s="501"/>
      <c r="BZ2416" s="501"/>
      <c r="CA2416" s="501"/>
      <c r="CB2416" s="501"/>
      <c r="CC2416" s="501"/>
      <c r="CD2416" s="501"/>
      <c r="CE2416" s="501"/>
      <c r="CF2416" s="501"/>
      <c r="CG2416" s="501"/>
      <c r="CH2416" s="501"/>
      <c r="CI2416" s="501"/>
      <c r="CJ2416" s="501"/>
      <c r="CK2416" s="501"/>
      <c r="CL2416" s="501"/>
      <c r="CM2416" s="501"/>
      <c r="CN2416" s="501"/>
      <c r="CO2416" s="501"/>
      <c r="CP2416" s="501"/>
      <c r="CQ2416" s="501"/>
      <c r="CR2416" s="501"/>
      <c r="CS2416" s="501"/>
      <c r="CT2416" s="501"/>
      <c r="CU2416" s="501"/>
      <c r="CV2416" s="501"/>
      <c r="CW2416" s="501"/>
      <c r="CX2416" s="501"/>
      <c r="CY2416" s="501"/>
      <c r="CZ2416" s="501"/>
      <c r="DA2416" s="501"/>
      <c r="DB2416" s="501"/>
      <c r="DC2416" s="501"/>
      <c r="DD2416" s="501"/>
      <c r="DE2416" s="501"/>
      <c r="DF2416" s="501"/>
      <c r="DG2416" s="501"/>
      <c r="DH2416" s="501"/>
      <c r="DI2416" s="501"/>
      <c r="DJ2416" s="501"/>
      <c r="DK2416" s="501"/>
      <c r="DL2416" s="501"/>
      <c r="DM2416" s="501"/>
      <c r="DN2416" s="501"/>
      <c r="DO2416" s="501"/>
      <c r="DP2416" s="501"/>
      <c r="DQ2416" s="501"/>
      <c r="DR2416" s="501"/>
      <c r="DS2416" s="501"/>
      <c r="DT2416" s="501"/>
      <c r="DU2416" s="501"/>
      <c r="DV2416" s="501"/>
      <c r="DW2416" s="501"/>
      <c r="DX2416" s="501"/>
      <c r="DY2416" s="501"/>
      <c r="DZ2416" s="501"/>
      <c r="EA2416" s="501"/>
      <c r="EB2416" s="501"/>
      <c r="EC2416" s="501"/>
      <c r="ED2416" s="501"/>
      <c r="EE2416" s="501"/>
      <c r="EF2416" s="501"/>
      <c r="EG2416" s="501"/>
      <c r="EH2416" s="501"/>
      <c r="EI2416" s="501"/>
      <c r="EJ2416" s="501"/>
      <c r="EK2416" s="501"/>
      <c r="EL2416" s="501"/>
      <c r="EM2416" s="501"/>
      <c r="EN2416" s="501"/>
      <c r="EO2416" s="501"/>
      <c r="EP2416" s="501"/>
      <c r="EQ2416" s="501"/>
      <c r="ER2416" s="501"/>
      <c r="ES2416" s="501"/>
      <c r="ET2416" s="501"/>
      <c r="EU2416" s="501"/>
      <c r="EV2416" s="501"/>
      <c r="EW2416" s="501"/>
      <c r="EX2416" s="501"/>
      <c r="EY2416" s="501"/>
      <c r="EZ2416" s="501"/>
      <c r="FA2416" s="501"/>
      <c r="FB2416" s="501"/>
      <c r="FC2416" s="501"/>
      <c r="FD2416" s="501"/>
      <c r="FE2416" s="501"/>
      <c r="FF2416" s="501"/>
      <c r="FG2416" s="501"/>
      <c r="FH2416" s="501"/>
      <c r="FI2416" s="501"/>
      <c r="FJ2416" s="501"/>
      <c r="FK2416" s="501"/>
      <c r="FL2416" s="501"/>
      <c r="FM2416" s="501"/>
      <c r="FN2416" s="501"/>
      <c r="FO2416" s="501"/>
      <c r="FP2416" s="501"/>
      <c r="FQ2416" s="501"/>
      <c r="FR2416" s="501"/>
      <c r="FS2416" s="501"/>
      <c r="FT2416" s="501"/>
      <c r="FU2416" s="501"/>
      <c r="FV2416" s="501"/>
      <c r="FW2416" s="501"/>
      <c r="FX2416" s="501"/>
      <c r="FY2416" s="501"/>
      <c r="FZ2416" s="501"/>
      <c r="GA2416" s="501"/>
      <c r="GB2416" s="501"/>
      <c r="GC2416" s="501"/>
      <c r="GD2416" s="501"/>
      <c r="GE2416" s="501"/>
      <c r="GF2416" s="501"/>
      <c r="GG2416" s="501"/>
      <c r="GH2416" s="501"/>
      <c r="GI2416" s="501"/>
      <c r="GJ2416" s="501"/>
      <c r="GK2416" s="501"/>
      <c r="GL2416" s="501"/>
      <c r="GM2416" s="501"/>
      <c r="GN2416" s="501"/>
      <c r="GO2416" s="501"/>
      <c r="GP2416" s="501"/>
      <c r="GQ2416" s="501"/>
      <c r="GR2416" s="501"/>
      <c r="GS2416" s="501"/>
      <c r="GT2416" s="501"/>
      <c r="GU2416" s="501"/>
      <c r="GV2416" s="501"/>
      <c r="GW2416" s="501"/>
      <c r="GX2416" s="501"/>
      <c r="GY2416" s="501"/>
      <c r="GZ2416" s="501"/>
      <c r="HA2416" s="501"/>
      <c r="HB2416" s="501"/>
      <c r="HC2416" s="501"/>
      <c r="HD2416" s="501"/>
      <c r="HE2416" s="501"/>
      <c r="HF2416" s="501"/>
      <c r="HG2416" s="501"/>
      <c r="HH2416" s="501"/>
      <c r="HI2416" s="501"/>
      <c r="HJ2416" s="501"/>
      <c r="HK2416" s="501"/>
      <c r="HL2416" s="501"/>
      <c r="HM2416" s="501"/>
      <c r="HN2416" s="501"/>
      <c r="HO2416" s="501"/>
      <c r="HP2416" s="501"/>
      <c r="HQ2416" s="501"/>
      <c r="HR2416" s="501"/>
      <c r="HS2416" s="501"/>
      <c r="HT2416" s="501"/>
      <c r="HU2416" s="501"/>
      <c r="HV2416" s="501"/>
      <c r="HW2416" s="501"/>
      <c r="HX2416" s="501"/>
      <c r="HY2416" s="501"/>
      <c r="HZ2416" s="501"/>
      <c r="IA2416" s="501"/>
      <c r="IB2416" s="501"/>
      <c r="IC2416" s="501"/>
      <c r="ID2416" s="501"/>
      <c r="IE2416" s="501"/>
      <c r="IF2416" s="501"/>
      <c r="IG2416" s="501"/>
      <c r="IH2416" s="501"/>
      <c r="II2416" s="501"/>
      <c r="IJ2416" s="501"/>
      <c r="IK2416" s="501"/>
      <c r="IL2416" s="501"/>
      <c r="IM2416" s="501"/>
      <c r="IN2416" s="501"/>
      <c r="IO2416" s="501"/>
      <c r="IP2416" s="501"/>
      <c r="IQ2416" s="501"/>
      <c r="IR2416" s="501"/>
      <c r="IS2416" s="501"/>
      <c r="IT2416" s="501"/>
      <c r="IU2416" s="501"/>
    </row>
    <row r="2417" spans="1:255" s="877" customFormat="1" ht="24" customHeight="1">
      <c r="A2417" s="501"/>
      <c r="B2417" s="501"/>
      <c r="C2417" s="501"/>
      <c r="D2417" s="501"/>
      <c r="E2417" s="501"/>
      <c r="F2417" s="501"/>
      <c r="G2417" s="915"/>
      <c r="H2417" s="501"/>
      <c r="I2417" s="874"/>
      <c r="J2417" s="1624"/>
      <c r="K2417" s="876"/>
      <c r="L2417" s="874"/>
      <c r="M2417" s="882"/>
      <c r="N2417" s="501"/>
      <c r="O2417" s="501"/>
      <c r="P2417" s="501"/>
      <c r="Q2417" s="501"/>
      <c r="R2417" s="501"/>
      <c r="S2417" s="501"/>
      <c r="T2417" s="501"/>
      <c r="V2417" s="501"/>
      <c r="W2417" s="501"/>
      <c r="X2417" s="501"/>
      <c r="Y2417" s="501"/>
      <c r="Z2417" s="501"/>
      <c r="AA2417" s="501"/>
      <c r="AB2417" s="501"/>
      <c r="AC2417" s="501"/>
      <c r="AD2417" s="501"/>
      <c r="AE2417" s="501"/>
      <c r="AF2417" s="501"/>
      <c r="AG2417" s="501"/>
      <c r="AH2417" s="501"/>
      <c r="AI2417" s="501"/>
      <c r="AJ2417" s="501"/>
      <c r="AK2417" s="501"/>
      <c r="AL2417" s="501"/>
      <c r="AM2417" s="501"/>
      <c r="AN2417" s="501"/>
      <c r="AO2417" s="501"/>
      <c r="AP2417" s="501"/>
      <c r="AQ2417" s="501"/>
      <c r="AR2417" s="501"/>
      <c r="AS2417" s="501"/>
      <c r="AT2417" s="501"/>
      <c r="AU2417" s="501"/>
      <c r="AV2417" s="501"/>
      <c r="AW2417" s="501"/>
      <c r="AX2417" s="501"/>
      <c r="AY2417" s="501"/>
      <c r="AZ2417" s="501"/>
      <c r="BA2417" s="501"/>
      <c r="BB2417" s="501"/>
      <c r="BC2417" s="501"/>
      <c r="BD2417" s="501"/>
      <c r="BE2417" s="501"/>
      <c r="BF2417" s="501"/>
      <c r="BG2417" s="501"/>
      <c r="BH2417" s="501"/>
      <c r="BI2417" s="501"/>
      <c r="BJ2417" s="501"/>
      <c r="BK2417" s="501"/>
      <c r="BL2417" s="501"/>
      <c r="BM2417" s="501"/>
      <c r="BN2417" s="501"/>
      <c r="BO2417" s="501"/>
      <c r="BP2417" s="501"/>
      <c r="BQ2417" s="501"/>
      <c r="BR2417" s="501"/>
      <c r="BS2417" s="501"/>
      <c r="BT2417" s="501"/>
      <c r="BU2417" s="501"/>
      <c r="BV2417" s="501"/>
      <c r="BW2417" s="501"/>
      <c r="BX2417" s="501"/>
      <c r="BY2417" s="501"/>
      <c r="BZ2417" s="501"/>
      <c r="CA2417" s="501"/>
      <c r="CB2417" s="501"/>
      <c r="CC2417" s="501"/>
      <c r="CD2417" s="501"/>
      <c r="CE2417" s="501"/>
      <c r="CF2417" s="501"/>
      <c r="CG2417" s="501"/>
      <c r="CH2417" s="501"/>
      <c r="CI2417" s="501"/>
      <c r="CJ2417" s="501"/>
      <c r="CK2417" s="501"/>
      <c r="CL2417" s="501"/>
      <c r="CM2417" s="501"/>
      <c r="CN2417" s="501"/>
      <c r="CO2417" s="501"/>
      <c r="CP2417" s="501"/>
      <c r="CQ2417" s="501"/>
      <c r="CR2417" s="501"/>
      <c r="CS2417" s="501"/>
      <c r="CT2417" s="501"/>
      <c r="CU2417" s="501"/>
      <c r="CV2417" s="501"/>
      <c r="CW2417" s="501"/>
      <c r="CX2417" s="501"/>
      <c r="CY2417" s="501"/>
      <c r="CZ2417" s="501"/>
      <c r="DA2417" s="501"/>
      <c r="DB2417" s="501"/>
      <c r="DC2417" s="501"/>
      <c r="DD2417" s="501"/>
      <c r="DE2417" s="501"/>
      <c r="DF2417" s="501"/>
      <c r="DG2417" s="501"/>
      <c r="DH2417" s="501"/>
      <c r="DI2417" s="501"/>
      <c r="DJ2417" s="501"/>
      <c r="DK2417" s="501"/>
      <c r="DL2417" s="501"/>
      <c r="DM2417" s="501"/>
      <c r="DN2417" s="501"/>
      <c r="DO2417" s="501"/>
      <c r="DP2417" s="501"/>
      <c r="DQ2417" s="501"/>
      <c r="DR2417" s="501"/>
      <c r="DS2417" s="501"/>
      <c r="DT2417" s="501"/>
      <c r="DU2417" s="501"/>
      <c r="DV2417" s="501"/>
      <c r="DW2417" s="501"/>
      <c r="DX2417" s="501"/>
      <c r="DY2417" s="501"/>
      <c r="DZ2417" s="501"/>
      <c r="EA2417" s="501"/>
      <c r="EB2417" s="501"/>
      <c r="EC2417" s="501"/>
      <c r="ED2417" s="501"/>
      <c r="EE2417" s="501"/>
      <c r="EF2417" s="501"/>
      <c r="EG2417" s="501"/>
      <c r="EH2417" s="501"/>
      <c r="EI2417" s="501"/>
      <c r="EJ2417" s="501"/>
      <c r="EK2417" s="501"/>
      <c r="EL2417" s="501"/>
      <c r="EM2417" s="501"/>
      <c r="EN2417" s="501"/>
      <c r="EO2417" s="501"/>
      <c r="EP2417" s="501"/>
      <c r="EQ2417" s="501"/>
      <c r="ER2417" s="501"/>
      <c r="ES2417" s="501"/>
      <c r="ET2417" s="501"/>
      <c r="EU2417" s="501"/>
      <c r="EV2417" s="501"/>
      <c r="EW2417" s="501"/>
      <c r="EX2417" s="501"/>
      <c r="EY2417" s="501"/>
      <c r="EZ2417" s="501"/>
      <c r="FA2417" s="501"/>
      <c r="FB2417" s="501"/>
      <c r="FC2417" s="501"/>
      <c r="FD2417" s="501"/>
      <c r="FE2417" s="501"/>
      <c r="FF2417" s="501"/>
      <c r="FG2417" s="501"/>
      <c r="FH2417" s="501"/>
      <c r="FI2417" s="501"/>
      <c r="FJ2417" s="501"/>
      <c r="FK2417" s="501"/>
      <c r="FL2417" s="501"/>
      <c r="FM2417" s="501"/>
      <c r="FN2417" s="501"/>
      <c r="FO2417" s="501"/>
      <c r="FP2417" s="501"/>
      <c r="FQ2417" s="501"/>
      <c r="FR2417" s="501"/>
      <c r="FS2417" s="501"/>
      <c r="FT2417" s="501"/>
      <c r="FU2417" s="501"/>
      <c r="FV2417" s="501"/>
      <c r="FW2417" s="501"/>
      <c r="FX2417" s="501"/>
      <c r="FY2417" s="501"/>
      <c r="FZ2417" s="501"/>
      <c r="GA2417" s="501"/>
      <c r="GB2417" s="501"/>
      <c r="GC2417" s="501"/>
      <c r="GD2417" s="501"/>
      <c r="GE2417" s="501"/>
      <c r="GF2417" s="501"/>
      <c r="GG2417" s="501"/>
      <c r="GH2417" s="501"/>
      <c r="GI2417" s="501"/>
      <c r="GJ2417" s="501"/>
      <c r="GK2417" s="501"/>
      <c r="GL2417" s="501"/>
      <c r="GM2417" s="501"/>
      <c r="GN2417" s="501"/>
      <c r="GO2417" s="501"/>
      <c r="GP2417" s="501"/>
      <c r="GQ2417" s="501"/>
      <c r="GR2417" s="501"/>
      <c r="GS2417" s="501"/>
      <c r="GT2417" s="501"/>
      <c r="GU2417" s="501"/>
      <c r="GV2417" s="501"/>
      <c r="GW2417" s="501"/>
      <c r="GX2417" s="501"/>
      <c r="GY2417" s="501"/>
      <c r="GZ2417" s="501"/>
      <c r="HA2417" s="501"/>
      <c r="HB2417" s="501"/>
      <c r="HC2417" s="501"/>
      <c r="HD2417" s="501"/>
      <c r="HE2417" s="501"/>
      <c r="HF2417" s="501"/>
      <c r="HG2417" s="501"/>
      <c r="HH2417" s="501"/>
      <c r="HI2417" s="501"/>
      <c r="HJ2417" s="501"/>
      <c r="HK2417" s="501"/>
      <c r="HL2417" s="501"/>
      <c r="HM2417" s="501"/>
      <c r="HN2417" s="501"/>
      <c r="HO2417" s="501"/>
      <c r="HP2417" s="501"/>
      <c r="HQ2417" s="501"/>
      <c r="HR2417" s="501"/>
      <c r="HS2417" s="501"/>
      <c r="HT2417" s="501"/>
      <c r="HU2417" s="501"/>
      <c r="HV2417" s="501"/>
      <c r="HW2417" s="501"/>
      <c r="HX2417" s="501"/>
      <c r="HY2417" s="501"/>
      <c r="HZ2417" s="501"/>
      <c r="IA2417" s="501"/>
      <c r="IB2417" s="501"/>
      <c r="IC2417" s="501"/>
      <c r="ID2417" s="501"/>
      <c r="IE2417" s="501"/>
      <c r="IF2417" s="501"/>
      <c r="IG2417" s="501"/>
      <c r="IH2417" s="501"/>
      <c r="II2417" s="501"/>
      <c r="IJ2417" s="501"/>
      <c r="IK2417" s="501"/>
      <c r="IL2417" s="501"/>
      <c r="IM2417" s="501"/>
      <c r="IN2417" s="501"/>
      <c r="IO2417" s="501"/>
      <c r="IP2417" s="501"/>
      <c r="IQ2417" s="501"/>
      <c r="IR2417" s="501"/>
      <c r="IS2417" s="501"/>
      <c r="IT2417" s="501"/>
      <c r="IU2417" s="501"/>
    </row>
    <row r="2418" spans="1:255" s="877" customFormat="1" ht="24" customHeight="1">
      <c r="A2418" s="501"/>
      <c r="B2418" s="501"/>
      <c r="C2418" s="501"/>
      <c r="D2418" s="501"/>
      <c r="E2418" s="501"/>
      <c r="F2418" s="545"/>
      <c r="G2418" s="889"/>
      <c r="H2418" s="545"/>
      <c r="I2418" s="876"/>
      <c r="J2418" s="876"/>
      <c r="K2418" s="545"/>
      <c r="L2418" s="876"/>
      <c r="M2418" s="882"/>
      <c r="N2418" s="501"/>
      <c r="O2418" s="501"/>
      <c r="P2418" s="501"/>
      <c r="Q2418" s="501"/>
      <c r="R2418" s="501"/>
      <c r="S2418" s="501"/>
      <c r="T2418" s="501"/>
      <c r="V2418" s="501"/>
      <c r="W2418" s="501"/>
      <c r="X2418" s="501"/>
      <c r="Y2418" s="501"/>
      <c r="Z2418" s="501"/>
      <c r="AA2418" s="501"/>
      <c r="AB2418" s="501"/>
      <c r="AC2418" s="501"/>
      <c r="AD2418" s="501"/>
      <c r="AE2418" s="501"/>
      <c r="AF2418" s="501"/>
      <c r="AG2418" s="501"/>
      <c r="AH2418" s="501"/>
      <c r="AI2418" s="501"/>
      <c r="AJ2418" s="501"/>
      <c r="AK2418" s="501"/>
      <c r="AL2418" s="501"/>
      <c r="AM2418" s="501"/>
      <c r="AN2418" s="501"/>
      <c r="AO2418" s="501"/>
      <c r="AP2418" s="501"/>
      <c r="AQ2418" s="501"/>
      <c r="AR2418" s="501"/>
      <c r="AS2418" s="501"/>
      <c r="AT2418" s="501"/>
      <c r="AU2418" s="501"/>
      <c r="AV2418" s="501"/>
      <c r="AW2418" s="501"/>
      <c r="AX2418" s="501"/>
      <c r="AY2418" s="501"/>
      <c r="AZ2418" s="501"/>
      <c r="BA2418" s="501"/>
      <c r="BB2418" s="501"/>
      <c r="BC2418" s="501"/>
      <c r="BD2418" s="501"/>
      <c r="BE2418" s="501"/>
      <c r="BF2418" s="501"/>
      <c r="BG2418" s="501"/>
      <c r="BH2418" s="501"/>
      <c r="BI2418" s="501"/>
      <c r="BJ2418" s="501"/>
      <c r="BK2418" s="501"/>
      <c r="BL2418" s="501"/>
      <c r="BM2418" s="501"/>
      <c r="BN2418" s="501"/>
      <c r="BO2418" s="501"/>
      <c r="BP2418" s="501"/>
      <c r="BQ2418" s="501"/>
      <c r="BR2418" s="501"/>
      <c r="BS2418" s="501"/>
      <c r="BT2418" s="501"/>
      <c r="BU2418" s="501"/>
      <c r="BV2418" s="501"/>
      <c r="BW2418" s="501"/>
      <c r="BX2418" s="501"/>
      <c r="BY2418" s="501"/>
      <c r="BZ2418" s="501"/>
      <c r="CA2418" s="501"/>
      <c r="CB2418" s="501"/>
      <c r="CC2418" s="501"/>
      <c r="CD2418" s="501"/>
      <c r="CE2418" s="501"/>
      <c r="CF2418" s="501"/>
      <c r="CG2418" s="501"/>
      <c r="CH2418" s="501"/>
      <c r="CI2418" s="501"/>
      <c r="CJ2418" s="501"/>
      <c r="CK2418" s="501"/>
      <c r="CL2418" s="501"/>
      <c r="CM2418" s="501"/>
      <c r="CN2418" s="501"/>
      <c r="CO2418" s="501"/>
      <c r="CP2418" s="501"/>
      <c r="CQ2418" s="501"/>
      <c r="CR2418" s="501"/>
      <c r="CS2418" s="501"/>
      <c r="CT2418" s="501"/>
      <c r="CU2418" s="501"/>
      <c r="CV2418" s="501"/>
      <c r="CW2418" s="501"/>
      <c r="CX2418" s="501"/>
      <c r="CY2418" s="501"/>
      <c r="CZ2418" s="501"/>
      <c r="DA2418" s="501"/>
      <c r="DB2418" s="501"/>
      <c r="DC2418" s="501"/>
      <c r="DD2418" s="501"/>
      <c r="DE2418" s="501"/>
      <c r="DF2418" s="501"/>
      <c r="DG2418" s="501"/>
      <c r="DH2418" s="501"/>
      <c r="DI2418" s="501"/>
      <c r="DJ2418" s="501"/>
      <c r="DK2418" s="501"/>
      <c r="DL2418" s="501"/>
      <c r="DM2418" s="501"/>
      <c r="DN2418" s="501"/>
      <c r="DO2418" s="501"/>
      <c r="DP2418" s="501"/>
      <c r="DQ2418" s="501"/>
      <c r="DR2418" s="501"/>
      <c r="DS2418" s="501"/>
      <c r="DT2418" s="501"/>
      <c r="DU2418" s="501"/>
      <c r="DV2418" s="501"/>
      <c r="DW2418" s="501"/>
      <c r="DX2418" s="501"/>
      <c r="DY2418" s="501"/>
      <c r="DZ2418" s="501"/>
      <c r="EA2418" s="501"/>
      <c r="EB2418" s="501"/>
      <c r="EC2418" s="501"/>
      <c r="ED2418" s="501"/>
      <c r="EE2418" s="501"/>
      <c r="EF2418" s="501"/>
      <c r="EG2418" s="501"/>
      <c r="EH2418" s="501"/>
      <c r="EI2418" s="501"/>
      <c r="EJ2418" s="501"/>
      <c r="EK2418" s="501"/>
      <c r="EL2418" s="501"/>
      <c r="EM2418" s="501"/>
      <c r="EN2418" s="501"/>
      <c r="EO2418" s="501"/>
      <c r="EP2418" s="501"/>
      <c r="EQ2418" s="501"/>
      <c r="ER2418" s="501"/>
      <c r="ES2418" s="501"/>
      <c r="ET2418" s="501"/>
      <c r="EU2418" s="501"/>
      <c r="EV2418" s="501"/>
      <c r="EW2418" s="501"/>
      <c r="EX2418" s="501"/>
      <c r="EY2418" s="501"/>
      <c r="EZ2418" s="501"/>
      <c r="FA2418" s="501"/>
      <c r="FB2418" s="501"/>
      <c r="FC2418" s="501"/>
      <c r="FD2418" s="501"/>
      <c r="FE2418" s="501"/>
      <c r="FF2418" s="501"/>
      <c r="FG2418" s="501"/>
      <c r="FH2418" s="501"/>
      <c r="FI2418" s="501"/>
      <c r="FJ2418" s="501"/>
      <c r="FK2418" s="501"/>
      <c r="FL2418" s="501"/>
      <c r="FM2418" s="501"/>
      <c r="FN2418" s="501"/>
      <c r="FO2418" s="501"/>
      <c r="FP2418" s="501"/>
      <c r="FQ2418" s="501"/>
      <c r="FR2418" s="501"/>
      <c r="FS2418" s="501"/>
      <c r="FT2418" s="501"/>
      <c r="FU2418" s="501"/>
      <c r="FV2418" s="501"/>
      <c r="FW2418" s="501"/>
      <c r="FX2418" s="501"/>
      <c r="FY2418" s="501"/>
      <c r="FZ2418" s="501"/>
      <c r="GA2418" s="501"/>
      <c r="GB2418" s="501"/>
      <c r="GC2418" s="501"/>
      <c r="GD2418" s="501"/>
      <c r="GE2418" s="501"/>
      <c r="GF2418" s="501"/>
      <c r="GG2418" s="501"/>
      <c r="GH2418" s="501"/>
      <c r="GI2418" s="501"/>
      <c r="GJ2418" s="501"/>
      <c r="GK2418" s="501"/>
      <c r="GL2418" s="501"/>
      <c r="GM2418" s="501"/>
      <c r="GN2418" s="501"/>
      <c r="GO2418" s="501"/>
      <c r="GP2418" s="501"/>
      <c r="GQ2418" s="501"/>
      <c r="GR2418" s="501"/>
      <c r="GS2418" s="501"/>
      <c r="GT2418" s="501"/>
      <c r="GU2418" s="501"/>
      <c r="GV2418" s="501"/>
      <c r="GW2418" s="501"/>
      <c r="GX2418" s="501"/>
      <c r="GY2418" s="501"/>
      <c r="GZ2418" s="501"/>
      <c r="HA2418" s="501"/>
      <c r="HB2418" s="501"/>
      <c r="HC2418" s="501"/>
      <c r="HD2418" s="501"/>
      <c r="HE2418" s="501"/>
      <c r="HF2418" s="501"/>
      <c r="HG2418" s="501"/>
      <c r="HH2418" s="501"/>
      <c r="HI2418" s="501"/>
      <c r="HJ2418" s="501"/>
      <c r="HK2418" s="501"/>
      <c r="HL2418" s="501"/>
      <c r="HM2418" s="501"/>
      <c r="HN2418" s="501"/>
      <c r="HO2418" s="501"/>
      <c r="HP2418" s="501"/>
      <c r="HQ2418" s="501"/>
      <c r="HR2418" s="501"/>
      <c r="HS2418" s="501"/>
      <c r="HT2418" s="501"/>
      <c r="HU2418" s="501"/>
      <c r="HV2418" s="501"/>
      <c r="HW2418" s="501"/>
      <c r="HX2418" s="501"/>
      <c r="HY2418" s="501"/>
      <c r="HZ2418" s="501"/>
      <c r="IA2418" s="501"/>
      <c r="IB2418" s="501"/>
      <c r="IC2418" s="501"/>
      <c r="ID2418" s="501"/>
      <c r="IE2418" s="501"/>
      <c r="IF2418" s="501"/>
      <c r="IG2418" s="501"/>
      <c r="IH2418" s="501"/>
      <c r="II2418" s="501"/>
      <c r="IJ2418" s="501"/>
      <c r="IK2418" s="501"/>
      <c r="IL2418" s="501"/>
      <c r="IM2418" s="501"/>
      <c r="IN2418" s="501"/>
      <c r="IO2418" s="501"/>
      <c r="IP2418" s="501"/>
      <c r="IQ2418" s="501"/>
      <c r="IR2418" s="501"/>
      <c r="IS2418" s="501"/>
      <c r="IT2418" s="501"/>
      <c r="IU2418" s="501"/>
    </row>
    <row r="2419" spans="1:255" s="877" customFormat="1" ht="24" customHeight="1">
      <c r="A2419" s="501"/>
      <c r="B2419" s="501"/>
      <c r="C2419" s="501"/>
      <c r="D2419" s="501"/>
      <c r="E2419" s="501"/>
      <c r="F2419" s="545"/>
      <c r="G2419" s="889"/>
      <c r="H2419" s="545"/>
      <c r="I2419" s="876"/>
      <c r="J2419" s="876"/>
      <c r="K2419" s="545"/>
      <c r="L2419" s="876"/>
      <c r="M2419" s="882"/>
      <c r="N2419" s="501"/>
      <c r="O2419" s="501"/>
      <c r="P2419" s="501"/>
      <c r="Q2419" s="501"/>
      <c r="R2419" s="501"/>
      <c r="S2419" s="501"/>
      <c r="T2419" s="501"/>
      <c r="V2419" s="501"/>
      <c r="W2419" s="501"/>
      <c r="X2419" s="501"/>
      <c r="Y2419" s="501"/>
      <c r="Z2419" s="501"/>
      <c r="AA2419" s="501"/>
      <c r="AB2419" s="501"/>
      <c r="AC2419" s="501"/>
      <c r="AD2419" s="501"/>
      <c r="AE2419" s="501"/>
      <c r="AF2419" s="501"/>
      <c r="AG2419" s="501"/>
      <c r="AH2419" s="501"/>
      <c r="AI2419" s="501"/>
      <c r="AJ2419" s="501"/>
      <c r="AK2419" s="501"/>
      <c r="AL2419" s="501"/>
      <c r="AM2419" s="501"/>
      <c r="AN2419" s="501"/>
      <c r="AO2419" s="501"/>
      <c r="AP2419" s="501"/>
      <c r="AQ2419" s="501"/>
      <c r="AR2419" s="501"/>
      <c r="AS2419" s="501"/>
      <c r="AT2419" s="501"/>
      <c r="AU2419" s="501"/>
      <c r="AV2419" s="501"/>
      <c r="AW2419" s="501"/>
      <c r="AX2419" s="501"/>
      <c r="AY2419" s="501"/>
      <c r="AZ2419" s="501"/>
      <c r="BA2419" s="501"/>
      <c r="BB2419" s="501"/>
      <c r="BC2419" s="501"/>
      <c r="BD2419" s="501"/>
      <c r="BE2419" s="501"/>
      <c r="BF2419" s="501"/>
      <c r="BG2419" s="501"/>
      <c r="BH2419" s="501"/>
      <c r="BI2419" s="501"/>
      <c r="BJ2419" s="501"/>
      <c r="BK2419" s="501"/>
      <c r="BL2419" s="501"/>
      <c r="BM2419" s="501"/>
      <c r="BN2419" s="501"/>
      <c r="BO2419" s="501"/>
      <c r="BP2419" s="501"/>
      <c r="BQ2419" s="501"/>
      <c r="BR2419" s="501"/>
      <c r="BS2419" s="501"/>
      <c r="BT2419" s="501"/>
      <c r="BU2419" s="501"/>
      <c r="BV2419" s="501"/>
      <c r="BW2419" s="501"/>
      <c r="BX2419" s="501"/>
      <c r="BY2419" s="501"/>
      <c r="BZ2419" s="501"/>
      <c r="CA2419" s="501"/>
      <c r="CB2419" s="501"/>
      <c r="CC2419" s="501"/>
      <c r="CD2419" s="501"/>
      <c r="CE2419" s="501"/>
      <c r="CF2419" s="501"/>
      <c r="CG2419" s="501"/>
      <c r="CH2419" s="501"/>
      <c r="CI2419" s="501"/>
      <c r="CJ2419" s="501"/>
      <c r="CK2419" s="501"/>
      <c r="CL2419" s="501"/>
      <c r="CM2419" s="501"/>
      <c r="CN2419" s="501"/>
      <c r="CO2419" s="501"/>
      <c r="CP2419" s="501"/>
      <c r="CQ2419" s="501"/>
      <c r="CR2419" s="501"/>
      <c r="CS2419" s="501"/>
      <c r="CT2419" s="501"/>
      <c r="CU2419" s="501"/>
      <c r="CV2419" s="501"/>
      <c r="CW2419" s="501"/>
      <c r="CX2419" s="501"/>
      <c r="CY2419" s="501"/>
      <c r="CZ2419" s="501"/>
      <c r="DA2419" s="501"/>
      <c r="DB2419" s="501"/>
      <c r="DC2419" s="501"/>
      <c r="DD2419" s="501"/>
      <c r="DE2419" s="501"/>
      <c r="DF2419" s="501"/>
      <c r="DG2419" s="501"/>
      <c r="DH2419" s="501"/>
      <c r="DI2419" s="501"/>
      <c r="DJ2419" s="501"/>
      <c r="DK2419" s="501"/>
      <c r="DL2419" s="501"/>
      <c r="DM2419" s="501"/>
      <c r="DN2419" s="501"/>
      <c r="DO2419" s="501"/>
      <c r="DP2419" s="501"/>
      <c r="DQ2419" s="501"/>
      <c r="DR2419" s="501"/>
      <c r="DS2419" s="501"/>
      <c r="DT2419" s="501"/>
      <c r="DU2419" s="501"/>
      <c r="DV2419" s="501"/>
      <c r="DW2419" s="501"/>
      <c r="DX2419" s="501"/>
      <c r="DY2419" s="501"/>
      <c r="DZ2419" s="501"/>
      <c r="EA2419" s="501"/>
      <c r="EB2419" s="501"/>
      <c r="EC2419" s="501"/>
      <c r="ED2419" s="501"/>
      <c r="EE2419" s="501"/>
      <c r="EF2419" s="501"/>
      <c r="EG2419" s="501"/>
      <c r="EH2419" s="501"/>
      <c r="EI2419" s="501"/>
      <c r="EJ2419" s="501"/>
      <c r="EK2419" s="501"/>
      <c r="EL2419" s="501"/>
      <c r="EM2419" s="501"/>
      <c r="EN2419" s="501"/>
      <c r="EO2419" s="501"/>
      <c r="EP2419" s="501"/>
      <c r="EQ2419" s="501"/>
      <c r="ER2419" s="501"/>
      <c r="ES2419" s="501"/>
      <c r="ET2419" s="501"/>
      <c r="EU2419" s="501"/>
      <c r="EV2419" s="501"/>
      <c r="EW2419" s="501"/>
      <c r="EX2419" s="501"/>
      <c r="EY2419" s="501"/>
      <c r="EZ2419" s="501"/>
      <c r="FA2419" s="501"/>
      <c r="FB2419" s="501"/>
      <c r="FC2419" s="501"/>
      <c r="FD2419" s="501"/>
      <c r="FE2419" s="501"/>
      <c r="FF2419" s="501"/>
      <c r="FG2419" s="501"/>
      <c r="FH2419" s="501"/>
      <c r="FI2419" s="501"/>
      <c r="FJ2419" s="501"/>
      <c r="FK2419" s="501"/>
      <c r="FL2419" s="501"/>
      <c r="FM2419" s="501"/>
      <c r="FN2419" s="501"/>
      <c r="FO2419" s="501"/>
      <c r="FP2419" s="501"/>
      <c r="FQ2419" s="501"/>
      <c r="FR2419" s="501"/>
      <c r="FS2419" s="501"/>
      <c r="FT2419" s="501"/>
      <c r="FU2419" s="501"/>
      <c r="FV2419" s="501"/>
      <c r="FW2419" s="501"/>
      <c r="FX2419" s="501"/>
      <c r="FY2419" s="501"/>
      <c r="FZ2419" s="501"/>
      <c r="GA2419" s="501"/>
      <c r="GB2419" s="501"/>
      <c r="GC2419" s="501"/>
      <c r="GD2419" s="501"/>
      <c r="GE2419" s="501"/>
      <c r="GF2419" s="501"/>
      <c r="GG2419" s="501"/>
      <c r="GH2419" s="501"/>
      <c r="GI2419" s="501"/>
      <c r="GJ2419" s="501"/>
      <c r="GK2419" s="501"/>
      <c r="GL2419" s="501"/>
      <c r="GM2419" s="501"/>
      <c r="GN2419" s="501"/>
      <c r="GO2419" s="501"/>
      <c r="GP2419" s="501"/>
      <c r="GQ2419" s="501"/>
      <c r="GR2419" s="501"/>
      <c r="GS2419" s="501"/>
      <c r="GT2419" s="501"/>
      <c r="GU2419" s="501"/>
      <c r="GV2419" s="501"/>
      <c r="GW2419" s="501"/>
      <c r="GX2419" s="501"/>
      <c r="GY2419" s="501"/>
      <c r="GZ2419" s="501"/>
      <c r="HA2419" s="501"/>
      <c r="HB2419" s="501"/>
      <c r="HC2419" s="501"/>
      <c r="HD2419" s="501"/>
      <c r="HE2419" s="501"/>
      <c r="HF2419" s="501"/>
      <c r="HG2419" s="501"/>
      <c r="HH2419" s="501"/>
      <c r="HI2419" s="501"/>
      <c r="HJ2419" s="501"/>
      <c r="HK2419" s="501"/>
      <c r="HL2419" s="501"/>
      <c r="HM2419" s="501"/>
      <c r="HN2419" s="501"/>
      <c r="HO2419" s="501"/>
      <c r="HP2419" s="501"/>
      <c r="HQ2419" s="501"/>
      <c r="HR2419" s="501"/>
      <c r="HS2419" s="501"/>
      <c r="HT2419" s="501"/>
      <c r="HU2419" s="501"/>
      <c r="HV2419" s="501"/>
      <c r="HW2419" s="501"/>
      <c r="HX2419" s="501"/>
      <c r="HY2419" s="501"/>
      <c r="HZ2419" s="501"/>
      <c r="IA2419" s="501"/>
      <c r="IB2419" s="501"/>
      <c r="IC2419" s="501"/>
      <c r="ID2419" s="501"/>
      <c r="IE2419" s="501"/>
      <c r="IF2419" s="501"/>
      <c r="IG2419" s="501"/>
      <c r="IH2419" s="501"/>
      <c r="II2419" s="501"/>
      <c r="IJ2419" s="501"/>
      <c r="IK2419" s="501"/>
      <c r="IL2419" s="501"/>
      <c r="IM2419" s="501"/>
      <c r="IN2419" s="501"/>
      <c r="IO2419" s="501"/>
      <c r="IP2419" s="501"/>
      <c r="IQ2419" s="501"/>
      <c r="IR2419" s="501"/>
      <c r="IS2419" s="501"/>
      <c r="IT2419" s="501"/>
      <c r="IU2419" s="501"/>
    </row>
    <row r="2420" spans="1:255" s="877" customFormat="1" ht="24" customHeight="1">
      <c r="A2420" s="501"/>
      <c r="B2420" s="501"/>
      <c r="C2420" s="501"/>
      <c r="D2420" s="501"/>
      <c r="E2420" s="501"/>
      <c r="F2420" s="545"/>
      <c r="G2420" s="889"/>
      <c r="H2420" s="545"/>
      <c r="I2420" s="876"/>
      <c r="J2420" s="932"/>
      <c r="K2420" s="545"/>
      <c r="L2420" s="876"/>
      <c r="M2420" s="882"/>
      <c r="N2420" s="501"/>
      <c r="O2420" s="501"/>
      <c r="P2420" s="501"/>
      <c r="Q2420" s="501"/>
      <c r="R2420" s="501"/>
      <c r="S2420" s="501"/>
      <c r="T2420" s="501"/>
      <c r="V2420" s="501"/>
      <c r="W2420" s="501"/>
      <c r="X2420" s="501"/>
      <c r="Y2420" s="501"/>
      <c r="Z2420" s="501"/>
      <c r="AA2420" s="501"/>
      <c r="AB2420" s="501"/>
      <c r="AC2420" s="501"/>
      <c r="AD2420" s="501"/>
      <c r="AE2420" s="501"/>
      <c r="AF2420" s="501"/>
      <c r="AG2420" s="501"/>
      <c r="AH2420" s="501"/>
      <c r="AI2420" s="501"/>
      <c r="AJ2420" s="501"/>
      <c r="AK2420" s="501"/>
      <c r="AL2420" s="501"/>
      <c r="AM2420" s="501"/>
      <c r="AN2420" s="501"/>
      <c r="AO2420" s="501"/>
      <c r="AP2420" s="501"/>
      <c r="AQ2420" s="501"/>
      <c r="AR2420" s="501"/>
      <c r="AS2420" s="501"/>
      <c r="AT2420" s="501"/>
      <c r="AU2420" s="501"/>
      <c r="AV2420" s="501"/>
      <c r="AW2420" s="501"/>
      <c r="AX2420" s="501"/>
      <c r="AY2420" s="501"/>
      <c r="AZ2420" s="501"/>
      <c r="BA2420" s="501"/>
      <c r="BB2420" s="501"/>
      <c r="BC2420" s="501"/>
      <c r="BD2420" s="501"/>
      <c r="BE2420" s="501"/>
      <c r="BF2420" s="501"/>
      <c r="BG2420" s="501"/>
      <c r="BH2420" s="501"/>
      <c r="BI2420" s="501"/>
      <c r="BJ2420" s="501"/>
      <c r="BK2420" s="501"/>
      <c r="BL2420" s="501"/>
      <c r="BM2420" s="501"/>
      <c r="BN2420" s="501"/>
      <c r="BO2420" s="501"/>
      <c r="BP2420" s="501"/>
      <c r="BQ2420" s="501"/>
      <c r="BR2420" s="501"/>
      <c r="BS2420" s="501"/>
      <c r="BT2420" s="501"/>
      <c r="BU2420" s="501"/>
      <c r="BV2420" s="501"/>
      <c r="BW2420" s="501"/>
      <c r="BX2420" s="501"/>
      <c r="BY2420" s="501"/>
      <c r="BZ2420" s="501"/>
      <c r="CA2420" s="501"/>
      <c r="CB2420" s="501"/>
      <c r="CC2420" s="501"/>
      <c r="CD2420" s="501"/>
      <c r="CE2420" s="501"/>
      <c r="CF2420" s="501"/>
      <c r="CG2420" s="501"/>
      <c r="CH2420" s="501"/>
      <c r="CI2420" s="501"/>
      <c r="CJ2420" s="501"/>
      <c r="CK2420" s="501"/>
      <c r="CL2420" s="501"/>
      <c r="CM2420" s="501"/>
      <c r="CN2420" s="501"/>
      <c r="CO2420" s="501"/>
      <c r="CP2420" s="501"/>
      <c r="CQ2420" s="501"/>
      <c r="CR2420" s="501"/>
      <c r="CS2420" s="501"/>
      <c r="CT2420" s="501"/>
      <c r="CU2420" s="501"/>
      <c r="CV2420" s="501"/>
      <c r="CW2420" s="501"/>
      <c r="CX2420" s="501"/>
      <c r="CY2420" s="501"/>
      <c r="CZ2420" s="501"/>
      <c r="DA2420" s="501"/>
      <c r="DB2420" s="501"/>
      <c r="DC2420" s="501"/>
      <c r="DD2420" s="501"/>
      <c r="DE2420" s="501"/>
      <c r="DF2420" s="501"/>
      <c r="DG2420" s="501"/>
      <c r="DH2420" s="501"/>
      <c r="DI2420" s="501"/>
      <c r="DJ2420" s="501"/>
      <c r="DK2420" s="501"/>
      <c r="DL2420" s="501"/>
      <c r="DM2420" s="501"/>
      <c r="DN2420" s="501"/>
      <c r="DO2420" s="501"/>
      <c r="DP2420" s="501"/>
      <c r="DQ2420" s="501"/>
      <c r="DR2420" s="501"/>
      <c r="DS2420" s="501"/>
      <c r="DT2420" s="501"/>
      <c r="DU2420" s="501"/>
      <c r="DV2420" s="501"/>
      <c r="DW2420" s="501"/>
      <c r="DX2420" s="501"/>
      <c r="DY2420" s="501"/>
      <c r="DZ2420" s="501"/>
      <c r="EA2420" s="501"/>
      <c r="EB2420" s="501"/>
      <c r="EC2420" s="501"/>
      <c r="ED2420" s="501"/>
      <c r="EE2420" s="501"/>
      <c r="EF2420" s="501"/>
      <c r="EG2420" s="501"/>
      <c r="EH2420" s="501"/>
      <c r="EI2420" s="501"/>
      <c r="EJ2420" s="501"/>
      <c r="EK2420" s="501"/>
      <c r="EL2420" s="501"/>
      <c r="EM2420" s="501"/>
      <c r="EN2420" s="501"/>
      <c r="EO2420" s="501"/>
      <c r="EP2420" s="501"/>
      <c r="EQ2420" s="501"/>
      <c r="ER2420" s="501"/>
      <c r="ES2420" s="501"/>
      <c r="ET2420" s="501"/>
      <c r="EU2420" s="501"/>
      <c r="EV2420" s="501"/>
      <c r="EW2420" s="501"/>
      <c r="EX2420" s="501"/>
      <c r="EY2420" s="501"/>
      <c r="EZ2420" s="501"/>
      <c r="FA2420" s="501"/>
      <c r="FB2420" s="501"/>
      <c r="FC2420" s="501"/>
      <c r="FD2420" s="501"/>
      <c r="FE2420" s="501"/>
      <c r="FF2420" s="501"/>
      <c r="FG2420" s="501"/>
      <c r="FH2420" s="501"/>
      <c r="FI2420" s="501"/>
      <c r="FJ2420" s="501"/>
      <c r="FK2420" s="501"/>
      <c r="FL2420" s="501"/>
      <c r="FM2420" s="501"/>
      <c r="FN2420" s="501"/>
      <c r="FO2420" s="501"/>
      <c r="FP2420" s="501"/>
      <c r="FQ2420" s="501"/>
      <c r="FR2420" s="501"/>
      <c r="FS2420" s="501"/>
      <c r="FT2420" s="501"/>
      <c r="FU2420" s="501"/>
      <c r="FV2420" s="501"/>
      <c r="FW2420" s="501"/>
      <c r="FX2420" s="501"/>
      <c r="FY2420" s="501"/>
      <c r="FZ2420" s="501"/>
      <c r="GA2420" s="501"/>
      <c r="GB2420" s="501"/>
      <c r="GC2420" s="501"/>
      <c r="GD2420" s="501"/>
      <c r="GE2420" s="501"/>
      <c r="GF2420" s="501"/>
      <c r="GG2420" s="501"/>
      <c r="GH2420" s="501"/>
      <c r="GI2420" s="501"/>
      <c r="GJ2420" s="501"/>
      <c r="GK2420" s="501"/>
      <c r="GL2420" s="501"/>
      <c r="GM2420" s="501"/>
      <c r="GN2420" s="501"/>
      <c r="GO2420" s="501"/>
      <c r="GP2420" s="501"/>
      <c r="GQ2420" s="501"/>
      <c r="GR2420" s="501"/>
      <c r="GS2420" s="501"/>
      <c r="GT2420" s="501"/>
      <c r="GU2420" s="501"/>
      <c r="GV2420" s="501"/>
      <c r="GW2420" s="501"/>
      <c r="GX2420" s="501"/>
      <c r="GY2420" s="501"/>
      <c r="GZ2420" s="501"/>
      <c r="HA2420" s="501"/>
      <c r="HB2420" s="501"/>
      <c r="HC2420" s="501"/>
      <c r="HD2420" s="501"/>
      <c r="HE2420" s="501"/>
      <c r="HF2420" s="501"/>
      <c r="HG2420" s="501"/>
      <c r="HH2420" s="501"/>
      <c r="HI2420" s="501"/>
      <c r="HJ2420" s="501"/>
      <c r="HK2420" s="501"/>
      <c r="HL2420" s="501"/>
      <c r="HM2420" s="501"/>
      <c r="HN2420" s="501"/>
      <c r="HO2420" s="501"/>
      <c r="HP2420" s="501"/>
      <c r="HQ2420" s="501"/>
      <c r="HR2420" s="501"/>
      <c r="HS2420" s="501"/>
      <c r="HT2420" s="501"/>
      <c r="HU2420" s="501"/>
      <c r="HV2420" s="501"/>
      <c r="HW2420" s="501"/>
      <c r="HX2420" s="501"/>
      <c r="HY2420" s="501"/>
      <c r="HZ2420" s="501"/>
      <c r="IA2420" s="501"/>
      <c r="IB2420" s="501"/>
      <c r="IC2420" s="501"/>
      <c r="ID2420" s="501"/>
      <c r="IE2420" s="501"/>
      <c r="IF2420" s="501"/>
      <c r="IG2420" s="501"/>
      <c r="IH2420" s="501"/>
      <c r="II2420" s="501"/>
      <c r="IJ2420" s="501"/>
      <c r="IK2420" s="501"/>
      <c r="IL2420" s="501"/>
      <c r="IM2420" s="501"/>
      <c r="IN2420" s="501"/>
      <c r="IO2420" s="501"/>
      <c r="IP2420" s="501"/>
      <c r="IQ2420" s="501"/>
      <c r="IR2420" s="501"/>
      <c r="IS2420" s="501"/>
      <c r="IT2420" s="501"/>
      <c r="IU2420" s="501"/>
    </row>
    <row r="2421" spans="1:255" s="877" customFormat="1" ht="24" customHeight="1">
      <c r="A2421" s="501"/>
      <c r="B2421" s="501"/>
      <c r="C2421" s="501"/>
      <c r="D2421" s="501"/>
      <c r="E2421" s="501"/>
      <c r="F2421" s="545"/>
      <c r="G2421" s="889"/>
      <c r="H2421" s="545"/>
      <c r="I2421" s="876"/>
      <c r="J2421" s="876"/>
      <c r="K2421" s="545"/>
      <c r="L2421" s="876"/>
      <c r="M2421" s="882"/>
      <c r="N2421" s="501"/>
      <c r="O2421" s="880"/>
      <c r="P2421" s="880"/>
      <c r="Q2421" s="1624"/>
      <c r="R2421" s="1624"/>
      <c r="S2421" s="1624"/>
      <c r="T2421" s="1624"/>
      <c r="V2421" s="501"/>
      <c r="W2421" s="501"/>
      <c r="X2421" s="501"/>
      <c r="Y2421" s="501"/>
      <c r="Z2421" s="501"/>
      <c r="AA2421" s="501"/>
      <c r="AB2421" s="501"/>
      <c r="AC2421" s="501"/>
      <c r="AD2421" s="501"/>
      <c r="AE2421" s="501"/>
      <c r="AF2421" s="501"/>
      <c r="AG2421" s="501"/>
      <c r="AH2421" s="501"/>
      <c r="AI2421" s="501"/>
      <c r="AJ2421" s="501"/>
      <c r="AK2421" s="501"/>
      <c r="AL2421" s="501"/>
      <c r="AM2421" s="501"/>
      <c r="AN2421" s="501"/>
      <c r="AO2421" s="501"/>
      <c r="AP2421" s="501"/>
      <c r="AQ2421" s="501"/>
      <c r="AR2421" s="501"/>
      <c r="AS2421" s="501"/>
      <c r="AT2421" s="501"/>
      <c r="AU2421" s="501"/>
      <c r="AV2421" s="501"/>
      <c r="AW2421" s="501"/>
      <c r="AX2421" s="501"/>
      <c r="AY2421" s="501"/>
      <c r="AZ2421" s="501"/>
      <c r="BA2421" s="501"/>
      <c r="BB2421" s="501"/>
      <c r="BC2421" s="501"/>
      <c r="BD2421" s="501"/>
      <c r="BE2421" s="501"/>
      <c r="BF2421" s="501"/>
      <c r="BG2421" s="501"/>
      <c r="BH2421" s="501"/>
      <c r="BI2421" s="501"/>
      <c r="BJ2421" s="501"/>
      <c r="BK2421" s="501"/>
      <c r="BL2421" s="501"/>
      <c r="BM2421" s="501"/>
      <c r="BN2421" s="501"/>
      <c r="BO2421" s="501"/>
      <c r="BP2421" s="501"/>
      <c r="BQ2421" s="501"/>
      <c r="BR2421" s="501"/>
      <c r="BS2421" s="501"/>
      <c r="BT2421" s="501"/>
      <c r="BU2421" s="501"/>
      <c r="BV2421" s="501"/>
      <c r="BW2421" s="501"/>
      <c r="BX2421" s="501"/>
      <c r="BY2421" s="501"/>
      <c r="BZ2421" s="501"/>
      <c r="CA2421" s="501"/>
      <c r="CB2421" s="501"/>
      <c r="CC2421" s="501"/>
      <c r="CD2421" s="501"/>
      <c r="CE2421" s="501"/>
      <c r="CF2421" s="501"/>
      <c r="CG2421" s="501"/>
      <c r="CH2421" s="501"/>
      <c r="CI2421" s="501"/>
      <c r="CJ2421" s="501"/>
      <c r="CK2421" s="501"/>
      <c r="CL2421" s="501"/>
      <c r="CM2421" s="501"/>
      <c r="CN2421" s="501"/>
      <c r="CO2421" s="501"/>
      <c r="CP2421" s="501"/>
      <c r="CQ2421" s="501"/>
      <c r="CR2421" s="501"/>
      <c r="CS2421" s="501"/>
      <c r="CT2421" s="501"/>
      <c r="CU2421" s="501"/>
      <c r="CV2421" s="501"/>
      <c r="CW2421" s="501"/>
      <c r="CX2421" s="501"/>
      <c r="CY2421" s="501"/>
      <c r="CZ2421" s="501"/>
      <c r="DA2421" s="501"/>
      <c r="DB2421" s="501"/>
      <c r="DC2421" s="501"/>
      <c r="DD2421" s="501"/>
      <c r="DE2421" s="501"/>
      <c r="DF2421" s="501"/>
      <c r="DG2421" s="501"/>
      <c r="DH2421" s="501"/>
      <c r="DI2421" s="501"/>
      <c r="DJ2421" s="501"/>
      <c r="DK2421" s="501"/>
      <c r="DL2421" s="501"/>
      <c r="DM2421" s="501"/>
      <c r="DN2421" s="501"/>
      <c r="DO2421" s="501"/>
      <c r="DP2421" s="501"/>
      <c r="DQ2421" s="501"/>
      <c r="DR2421" s="501"/>
      <c r="DS2421" s="501"/>
      <c r="DT2421" s="501"/>
      <c r="DU2421" s="501"/>
      <c r="DV2421" s="501"/>
      <c r="DW2421" s="501"/>
      <c r="DX2421" s="501"/>
      <c r="DY2421" s="501"/>
      <c r="DZ2421" s="501"/>
      <c r="EA2421" s="501"/>
      <c r="EB2421" s="501"/>
      <c r="EC2421" s="501"/>
      <c r="ED2421" s="501"/>
      <c r="EE2421" s="501"/>
      <c r="EF2421" s="501"/>
      <c r="EG2421" s="501"/>
      <c r="EH2421" s="501"/>
      <c r="EI2421" s="501"/>
      <c r="EJ2421" s="501"/>
      <c r="EK2421" s="501"/>
      <c r="EL2421" s="501"/>
      <c r="EM2421" s="501"/>
      <c r="EN2421" s="501"/>
      <c r="EO2421" s="501"/>
      <c r="EP2421" s="501"/>
      <c r="EQ2421" s="501"/>
      <c r="ER2421" s="501"/>
      <c r="ES2421" s="501"/>
      <c r="ET2421" s="501"/>
      <c r="EU2421" s="501"/>
      <c r="EV2421" s="501"/>
      <c r="EW2421" s="501"/>
      <c r="EX2421" s="501"/>
      <c r="EY2421" s="501"/>
      <c r="EZ2421" s="501"/>
      <c r="FA2421" s="501"/>
      <c r="FB2421" s="501"/>
      <c r="FC2421" s="501"/>
      <c r="FD2421" s="501"/>
      <c r="FE2421" s="501"/>
      <c r="FF2421" s="501"/>
      <c r="FG2421" s="501"/>
      <c r="FH2421" s="501"/>
      <c r="FI2421" s="501"/>
      <c r="FJ2421" s="501"/>
      <c r="FK2421" s="501"/>
      <c r="FL2421" s="501"/>
      <c r="FM2421" s="501"/>
      <c r="FN2421" s="501"/>
      <c r="FO2421" s="501"/>
      <c r="FP2421" s="501"/>
      <c r="FQ2421" s="501"/>
      <c r="FR2421" s="501"/>
      <c r="FS2421" s="501"/>
      <c r="FT2421" s="501"/>
      <c r="FU2421" s="501"/>
      <c r="FV2421" s="501"/>
      <c r="FW2421" s="501"/>
      <c r="FX2421" s="501"/>
      <c r="FY2421" s="501"/>
      <c r="FZ2421" s="501"/>
      <c r="GA2421" s="501"/>
      <c r="GB2421" s="501"/>
      <c r="GC2421" s="501"/>
      <c r="GD2421" s="501"/>
      <c r="GE2421" s="501"/>
      <c r="GF2421" s="501"/>
      <c r="GG2421" s="501"/>
      <c r="GH2421" s="501"/>
      <c r="GI2421" s="501"/>
      <c r="GJ2421" s="501"/>
      <c r="GK2421" s="501"/>
      <c r="GL2421" s="501"/>
      <c r="GM2421" s="501"/>
      <c r="GN2421" s="501"/>
      <c r="GO2421" s="501"/>
      <c r="GP2421" s="501"/>
      <c r="GQ2421" s="501"/>
      <c r="GR2421" s="501"/>
      <c r="GS2421" s="501"/>
      <c r="GT2421" s="501"/>
      <c r="GU2421" s="501"/>
      <c r="GV2421" s="501"/>
      <c r="GW2421" s="501"/>
      <c r="GX2421" s="501"/>
      <c r="GY2421" s="501"/>
      <c r="GZ2421" s="501"/>
      <c r="HA2421" s="501"/>
      <c r="HB2421" s="501"/>
      <c r="HC2421" s="501"/>
      <c r="HD2421" s="501"/>
      <c r="HE2421" s="501"/>
      <c r="HF2421" s="501"/>
      <c r="HG2421" s="501"/>
      <c r="HH2421" s="501"/>
      <c r="HI2421" s="501"/>
      <c r="HJ2421" s="501"/>
      <c r="HK2421" s="501"/>
      <c r="HL2421" s="501"/>
      <c r="HM2421" s="501"/>
      <c r="HN2421" s="501"/>
      <c r="HO2421" s="501"/>
      <c r="HP2421" s="501"/>
      <c r="HQ2421" s="501"/>
      <c r="HR2421" s="501"/>
      <c r="HS2421" s="501"/>
      <c r="HT2421" s="501"/>
      <c r="HU2421" s="501"/>
      <c r="HV2421" s="501"/>
      <c r="HW2421" s="501"/>
      <c r="HX2421" s="501"/>
      <c r="HY2421" s="501"/>
      <c r="HZ2421" s="501"/>
      <c r="IA2421" s="501"/>
      <c r="IB2421" s="501"/>
      <c r="IC2421" s="501"/>
      <c r="ID2421" s="501"/>
      <c r="IE2421" s="501"/>
      <c r="IF2421" s="501"/>
      <c r="IG2421" s="501"/>
      <c r="IH2421" s="501"/>
      <c r="II2421" s="501"/>
      <c r="IJ2421" s="501"/>
      <c r="IK2421" s="501"/>
      <c r="IL2421" s="501"/>
      <c r="IM2421" s="501"/>
      <c r="IN2421" s="501"/>
      <c r="IO2421" s="501"/>
      <c r="IP2421" s="501"/>
      <c r="IQ2421" s="501"/>
      <c r="IR2421" s="501"/>
      <c r="IS2421" s="501"/>
      <c r="IT2421" s="501"/>
      <c r="IU2421" s="501"/>
    </row>
    <row r="2422" spans="1:255" s="877" customFormat="1" ht="24" customHeight="1">
      <c r="A2422" s="501"/>
      <c r="B2422" s="501"/>
      <c r="C2422" s="501"/>
      <c r="D2422" s="501"/>
      <c r="E2422" s="501"/>
      <c r="F2422" s="545"/>
      <c r="G2422" s="889"/>
      <c r="H2422" s="545"/>
      <c r="I2422" s="876"/>
      <c r="J2422" s="876"/>
      <c r="K2422" s="545"/>
      <c r="L2422" s="876"/>
      <c r="M2422" s="882"/>
      <c r="N2422" s="501"/>
      <c r="O2422" s="880"/>
      <c r="P2422" s="880"/>
      <c r="Q2422" s="880"/>
      <c r="R2422" s="880"/>
      <c r="S2422" s="874"/>
      <c r="T2422" s="501"/>
      <c r="V2422" s="501"/>
      <c r="W2422" s="501"/>
      <c r="X2422" s="501"/>
      <c r="Y2422" s="501"/>
      <c r="Z2422" s="501"/>
      <c r="AA2422" s="501"/>
      <c r="AB2422" s="501"/>
      <c r="AC2422" s="501"/>
      <c r="AD2422" s="501"/>
      <c r="AE2422" s="501"/>
      <c r="AF2422" s="501"/>
      <c r="AG2422" s="501"/>
      <c r="AH2422" s="501"/>
      <c r="AI2422" s="501"/>
      <c r="AJ2422" s="501"/>
      <c r="AK2422" s="501"/>
      <c r="AL2422" s="501"/>
      <c r="AM2422" s="501"/>
      <c r="AN2422" s="501"/>
      <c r="AO2422" s="501"/>
      <c r="AP2422" s="501"/>
      <c r="AQ2422" s="501"/>
      <c r="AR2422" s="501"/>
      <c r="AS2422" s="501"/>
      <c r="AT2422" s="501"/>
      <c r="AU2422" s="501"/>
      <c r="AV2422" s="501"/>
      <c r="AW2422" s="501"/>
      <c r="AX2422" s="501"/>
      <c r="AY2422" s="501"/>
      <c r="AZ2422" s="501"/>
      <c r="BA2422" s="501"/>
      <c r="BB2422" s="501"/>
      <c r="BC2422" s="501"/>
      <c r="BD2422" s="501"/>
      <c r="BE2422" s="501"/>
      <c r="BF2422" s="501"/>
      <c r="BG2422" s="501"/>
      <c r="BH2422" s="501"/>
      <c r="BI2422" s="501"/>
      <c r="BJ2422" s="501"/>
      <c r="BK2422" s="501"/>
      <c r="BL2422" s="501"/>
      <c r="BM2422" s="501"/>
      <c r="BN2422" s="501"/>
      <c r="BO2422" s="501"/>
      <c r="BP2422" s="501"/>
      <c r="BQ2422" s="501"/>
      <c r="BR2422" s="501"/>
      <c r="BS2422" s="501"/>
      <c r="BT2422" s="501"/>
      <c r="BU2422" s="501"/>
      <c r="BV2422" s="501"/>
      <c r="BW2422" s="501"/>
      <c r="BX2422" s="501"/>
      <c r="BY2422" s="501"/>
      <c r="BZ2422" s="501"/>
      <c r="CA2422" s="501"/>
      <c r="CB2422" s="501"/>
      <c r="CC2422" s="501"/>
      <c r="CD2422" s="501"/>
      <c r="CE2422" s="501"/>
      <c r="CF2422" s="501"/>
      <c r="CG2422" s="501"/>
      <c r="CH2422" s="501"/>
      <c r="CI2422" s="501"/>
      <c r="CJ2422" s="501"/>
      <c r="CK2422" s="501"/>
      <c r="CL2422" s="501"/>
      <c r="CM2422" s="501"/>
      <c r="CN2422" s="501"/>
      <c r="CO2422" s="501"/>
      <c r="CP2422" s="501"/>
      <c r="CQ2422" s="501"/>
      <c r="CR2422" s="501"/>
      <c r="CS2422" s="501"/>
      <c r="CT2422" s="501"/>
      <c r="CU2422" s="501"/>
      <c r="CV2422" s="501"/>
      <c r="CW2422" s="501"/>
      <c r="CX2422" s="501"/>
      <c r="CY2422" s="501"/>
      <c r="CZ2422" s="501"/>
      <c r="DA2422" s="501"/>
      <c r="DB2422" s="501"/>
      <c r="DC2422" s="501"/>
      <c r="DD2422" s="501"/>
      <c r="DE2422" s="501"/>
      <c r="DF2422" s="501"/>
      <c r="DG2422" s="501"/>
      <c r="DH2422" s="501"/>
      <c r="DI2422" s="501"/>
      <c r="DJ2422" s="501"/>
      <c r="DK2422" s="501"/>
      <c r="DL2422" s="501"/>
      <c r="DM2422" s="501"/>
      <c r="DN2422" s="501"/>
      <c r="DO2422" s="501"/>
      <c r="DP2422" s="501"/>
      <c r="DQ2422" s="501"/>
      <c r="DR2422" s="501"/>
      <c r="DS2422" s="501"/>
      <c r="DT2422" s="501"/>
      <c r="DU2422" s="501"/>
      <c r="DV2422" s="501"/>
      <c r="DW2422" s="501"/>
      <c r="DX2422" s="501"/>
      <c r="DY2422" s="501"/>
      <c r="DZ2422" s="501"/>
      <c r="EA2422" s="501"/>
      <c r="EB2422" s="501"/>
      <c r="EC2422" s="501"/>
      <c r="ED2422" s="501"/>
      <c r="EE2422" s="501"/>
      <c r="EF2422" s="501"/>
      <c r="EG2422" s="501"/>
      <c r="EH2422" s="501"/>
      <c r="EI2422" s="501"/>
      <c r="EJ2422" s="501"/>
      <c r="EK2422" s="501"/>
      <c r="EL2422" s="501"/>
      <c r="EM2422" s="501"/>
      <c r="EN2422" s="501"/>
      <c r="EO2422" s="501"/>
      <c r="EP2422" s="501"/>
      <c r="EQ2422" s="501"/>
      <c r="ER2422" s="501"/>
      <c r="ES2422" s="501"/>
      <c r="ET2422" s="501"/>
      <c r="EU2422" s="501"/>
      <c r="EV2422" s="501"/>
      <c r="EW2422" s="501"/>
      <c r="EX2422" s="501"/>
      <c r="EY2422" s="501"/>
      <c r="EZ2422" s="501"/>
      <c r="FA2422" s="501"/>
      <c r="FB2422" s="501"/>
      <c r="FC2422" s="501"/>
      <c r="FD2422" s="501"/>
      <c r="FE2422" s="501"/>
      <c r="FF2422" s="501"/>
      <c r="FG2422" s="501"/>
      <c r="FH2422" s="501"/>
      <c r="FI2422" s="501"/>
      <c r="FJ2422" s="501"/>
      <c r="FK2422" s="501"/>
      <c r="FL2422" s="501"/>
      <c r="FM2422" s="501"/>
      <c r="FN2422" s="501"/>
      <c r="FO2422" s="501"/>
      <c r="FP2422" s="501"/>
      <c r="FQ2422" s="501"/>
      <c r="FR2422" s="501"/>
      <c r="FS2422" s="501"/>
      <c r="FT2422" s="501"/>
      <c r="FU2422" s="501"/>
      <c r="FV2422" s="501"/>
      <c r="FW2422" s="501"/>
      <c r="FX2422" s="501"/>
      <c r="FY2422" s="501"/>
      <c r="FZ2422" s="501"/>
      <c r="GA2422" s="501"/>
      <c r="GB2422" s="501"/>
      <c r="GC2422" s="501"/>
      <c r="GD2422" s="501"/>
      <c r="GE2422" s="501"/>
      <c r="GF2422" s="501"/>
      <c r="GG2422" s="501"/>
      <c r="GH2422" s="501"/>
      <c r="GI2422" s="501"/>
      <c r="GJ2422" s="501"/>
      <c r="GK2422" s="501"/>
      <c r="GL2422" s="501"/>
      <c r="GM2422" s="501"/>
      <c r="GN2422" s="501"/>
      <c r="GO2422" s="501"/>
      <c r="GP2422" s="501"/>
      <c r="GQ2422" s="501"/>
      <c r="GR2422" s="501"/>
      <c r="GS2422" s="501"/>
      <c r="GT2422" s="501"/>
      <c r="GU2422" s="501"/>
      <c r="GV2422" s="501"/>
      <c r="GW2422" s="501"/>
      <c r="GX2422" s="501"/>
      <c r="GY2422" s="501"/>
      <c r="GZ2422" s="501"/>
      <c r="HA2422" s="501"/>
      <c r="HB2422" s="501"/>
      <c r="HC2422" s="501"/>
      <c r="HD2422" s="501"/>
      <c r="HE2422" s="501"/>
      <c r="HF2422" s="501"/>
      <c r="HG2422" s="501"/>
      <c r="HH2422" s="501"/>
      <c r="HI2422" s="501"/>
      <c r="HJ2422" s="501"/>
      <c r="HK2422" s="501"/>
      <c r="HL2422" s="501"/>
      <c r="HM2422" s="501"/>
      <c r="HN2422" s="501"/>
      <c r="HO2422" s="501"/>
      <c r="HP2422" s="501"/>
      <c r="HQ2422" s="501"/>
      <c r="HR2422" s="501"/>
      <c r="HS2422" s="501"/>
      <c r="HT2422" s="501"/>
      <c r="HU2422" s="501"/>
      <c r="HV2422" s="501"/>
      <c r="HW2422" s="501"/>
      <c r="HX2422" s="501"/>
      <c r="HY2422" s="501"/>
      <c r="HZ2422" s="501"/>
      <c r="IA2422" s="501"/>
      <c r="IB2422" s="501"/>
      <c r="IC2422" s="501"/>
      <c r="ID2422" s="501"/>
      <c r="IE2422" s="501"/>
      <c r="IF2422" s="501"/>
      <c r="IG2422" s="501"/>
      <c r="IH2422" s="501"/>
      <c r="II2422" s="501"/>
      <c r="IJ2422" s="501"/>
      <c r="IK2422" s="501"/>
      <c r="IL2422" s="501"/>
      <c r="IM2422" s="501"/>
      <c r="IN2422" s="501"/>
      <c r="IO2422" s="501"/>
      <c r="IP2422" s="501"/>
      <c r="IQ2422" s="501"/>
      <c r="IR2422" s="501"/>
      <c r="IS2422" s="501"/>
      <c r="IT2422" s="501"/>
      <c r="IU2422" s="501"/>
    </row>
    <row r="2423" spans="1:255" s="877" customFormat="1" ht="24" customHeight="1">
      <c r="A2423" s="501"/>
      <c r="B2423" s="501"/>
      <c r="C2423" s="501"/>
      <c r="D2423" s="501"/>
      <c r="E2423" s="501"/>
      <c r="F2423" s="545"/>
      <c r="G2423" s="889"/>
      <c r="H2423" s="545"/>
      <c r="I2423" s="876"/>
      <c r="J2423" s="876"/>
      <c r="K2423" s="545"/>
      <c r="L2423" s="876"/>
      <c r="M2423" s="882"/>
      <c r="N2423" s="501"/>
      <c r="O2423" s="545"/>
      <c r="P2423" s="901"/>
      <c r="Q2423" s="1624"/>
      <c r="R2423" s="545"/>
      <c r="S2423" s="876"/>
      <c r="T2423" s="545"/>
      <c r="V2423" s="501"/>
      <c r="W2423" s="501"/>
      <c r="X2423" s="501"/>
      <c r="Y2423" s="501"/>
      <c r="Z2423" s="501"/>
      <c r="AA2423" s="501"/>
      <c r="AB2423" s="501"/>
      <c r="AC2423" s="501"/>
      <c r="AD2423" s="501"/>
      <c r="AE2423" s="501"/>
      <c r="AF2423" s="501"/>
      <c r="AG2423" s="501"/>
      <c r="AH2423" s="501"/>
      <c r="AI2423" s="501"/>
      <c r="AJ2423" s="501"/>
      <c r="AK2423" s="501"/>
      <c r="AL2423" s="501"/>
      <c r="AM2423" s="501"/>
      <c r="AN2423" s="501"/>
      <c r="AO2423" s="501"/>
      <c r="AP2423" s="501"/>
      <c r="AQ2423" s="501"/>
      <c r="AR2423" s="501"/>
      <c r="AS2423" s="501"/>
      <c r="AT2423" s="501"/>
      <c r="AU2423" s="501"/>
      <c r="AV2423" s="501"/>
      <c r="AW2423" s="501"/>
      <c r="AX2423" s="501"/>
      <c r="AY2423" s="501"/>
      <c r="AZ2423" s="501"/>
      <c r="BA2423" s="501"/>
      <c r="BB2423" s="501"/>
      <c r="BC2423" s="501"/>
      <c r="BD2423" s="501"/>
      <c r="BE2423" s="501"/>
      <c r="BF2423" s="501"/>
      <c r="BG2423" s="501"/>
      <c r="BH2423" s="501"/>
      <c r="BI2423" s="501"/>
      <c r="BJ2423" s="501"/>
      <c r="BK2423" s="501"/>
      <c r="BL2423" s="501"/>
      <c r="BM2423" s="501"/>
      <c r="BN2423" s="501"/>
      <c r="BO2423" s="501"/>
      <c r="BP2423" s="501"/>
      <c r="BQ2423" s="501"/>
      <c r="BR2423" s="501"/>
      <c r="BS2423" s="501"/>
      <c r="BT2423" s="501"/>
      <c r="BU2423" s="501"/>
      <c r="BV2423" s="501"/>
      <c r="BW2423" s="501"/>
      <c r="BX2423" s="501"/>
      <c r="BY2423" s="501"/>
      <c r="BZ2423" s="501"/>
      <c r="CA2423" s="501"/>
      <c r="CB2423" s="501"/>
      <c r="CC2423" s="501"/>
      <c r="CD2423" s="501"/>
      <c r="CE2423" s="501"/>
      <c r="CF2423" s="501"/>
      <c r="CG2423" s="501"/>
      <c r="CH2423" s="501"/>
      <c r="CI2423" s="501"/>
      <c r="CJ2423" s="501"/>
      <c r="CK2423" s="501"/>
      <c r="CL2423" s="501"/>
      <c r="CM2423" s="501"/>
      <c r="CN2423" s="501"/>
      <c r="CO2423" s="501"/>
      <c r="CP2423" s="501"/>
      <c r="CQ2423" s="501"/>
      <c r="CR2423" s="501"/>
      <c r="CS2423" s="501"/>
      <c r="CT2423" s="501"/>
      <c r="CU2423" s="501"/>
      <c r="CV2423" s="501"/>
      <c r="CW2423" s="501"/>
      <c r="CX2423" s="501"/>
      <c r="CY2423" s="501"/>
      <c r="CZ2423" s="501"/>
      <c r="DA2423" s="501"/>
      <c r="DB2423" s="501"/>
      <c r="DC2423" s="501"/>
      <c r="DD2423" s="501"/>
      <c r="DE2423" s="501"/>
      <c r="DF2423" s="501"/>
      <c r="DG2423" s="501"/>
      <c r="DH2423" s="501"/>
      <c r="DI2423" s="501"/>
      <c r="DJ2423" s="501"/>
      <c r="DK2423" s="501"/>
      <c r="DL2423" s="501"/>
      <c r="DM2423" s="501"/>
      <c r="DN2423" s="501"/>
      <c r="DO2423" s="501"/>
      <c r="DP2423" s="501"/>
      <c r="DQ2423" s="501"/>
      <c r="DR2423" s="501"/>
      <c r="DS2423" s="501"/>
      <c r="DT2423" s="501"/>
      <c r="DU2423" s="501"/>
      <c r="DV2423" s="501"/>
      <c r="DW2423" s="501"/>
      <c r="DX2423" s="501"/>
      <c r="DY2423" s="501"/>
      <c r="DZ2423" s="501"/>
      <c r="EA2423" s="501"/>
      <c r="EB2423" s="501"/>
      <c r="EC2423" s="501"/>
      <c r="ED2423" s="501"/>
      <c r="EE2423" s="501"/>
      <c r="EF2423" s="501"/>
      <c r="EG2423" s="501"/>
      <c r="EH2423" s="501"/>
      <c r="EI2423" s="501"/>
      <c r="EJ2423" s="501"/>
      <c r="EK2423" s="501"/>
      <c r="EL2423" s="501"/>
      <c r="EM2423" s="501"/>
      <c r="EN2423" s="501"/>
      <c r="EO2423" s="501"/>
      <c r="EP2423" s="501"/>
      <c r="EQ2423" s="501"/>
      <c r="ER2423" s="501"/>
      <c r="ES2423" s="501"/>
      <c r="ET2423" s="501"/>
      <c r="EU2423" s="501"/>
      <c r="EV2423" s="501"/>
      <c r="EW2423" s="501"/>
      <c r="EX2423" s="501"/>
      <c r="EY2423" s="501"/>
      <c r="EZ2423" s="501"/>
      <c r="FA2423" s="501"/>
      <c r="FB2423" s="501"/>
      <c r="FC2423" s="501"/>
      <c r="FD2423" s="501"/>
      <c r="FE2423" s="501"/>
      <c r="FF2423" s="501"/>
      <c r="FG2423" s="501"/>
      <c r="FH2423" s="501"/>
      <c r="FI2423" s="501"/>
      <c r="FJ2423" s="501"/>
      <c r="FK2423" s="501"/>
      <c r="FL2423" s="501"/>
      <c r="FM2423" s="501"/>
      <c r="FN2423" s="501"/>
      <c r="FO2423" s="501"/>
      <c r="FP2423" s="501"/>
      <c r="FQ2423" s="501"/>
      <c r="FR2423" s="501"/>
      <c r="FS2423" s="501"/>
      <c r="FT2423" s="501"/>
      <c r="FU2423" s="501"/>
      <c r="FV2423" s="501"/>
      <c r="FW2423" s="501"/>
      <c r="FX2423" s="501"/>
      <c r="FY2423" s="501"/>
      <c r="FZ2423" s="501"/>
      <c r="GA2423" s="501"/>
      <c r="GB2423" s="501"/>
      <c r="GC2423" s="501"/>
      <c r="GD2423" s="501"/>
      <c r="GE2423" s="501"/>
      <c r="GF2423" s="501"/>
      <c r="GG2423" s="501"/>
      <c r="GH2423" s="501"/>
      <c r="GI2423" s="501"/>
      <c r="GJ2423" s="501"/>
      <c r="GK2423" s="501"/>
      <c r="GL2423" s="501"/>
      <c r="GM2423" s="501"/>
      <c r="GN2423" s="501"/>
      <c r="GO2423" s="501"/>
      <c r="GP2423" s="501"/>
      <c r="GQ2423" s="501"/>
      <c r="GR2423" s="501"/>
      <c r="GS2423" s="501"/>
      <c r="GT2423" s="501"/>
      <c r="GU2423" s="501"/>
      <c r="GV2423" s="501"/>
      <c r="GW2423" s="501"/>
      <c r="GX2423" s="501"/>
      <c r="GY2423" s="501"/>
      <c r="GZ2423" s="501"/>
      <c r="HA2423" s="501"/>
      <c r="HB2423" s="501"/>
      <c r="HC2423" s="501"/>
      <c r="HD2423" s="501"/>
      <c r="HE2423" s="501"/>
      <c r="HF2423" s="501"/>
      <c r="HG2423" s="501"/>
      <c r="HH2423" s="501"/>
      <c r="HI2423" s="501"/>
      <c r="HJ2423" s="501"/>
      <c r="HK2423" s="501"/>
      <c r="HL2423" s="501"/>
      <c r="HM2423" s="501"/>
      <c r="HN2423" s="501"/>
      <c r="HO2423" s="501"/>
      <c r="HP2423" s="501"/>
      <c r="HQ2423" s="501"/>
      <c r="HR2423" s="501"/>
      <c r="HS2423" s="501"/>
      <c r="HT2423" s="501"/>
      <c r="HU2423" s="501"/>
      <c r="HV2423" s="501"/>
      <c r="HW2423" s="501"/>
      <c r="HX2423" s="501"/>
      <c r="HY2423" s="501"/>
      <c r="HZ2423" s="501"/>
      <c r="IA2423" s="501"/>
      <c r="IB2423" s="501"/>
      <c r="IC2423" s="501"/>
      <c r="ID2423" s="501"/>
      <c r="IE2423" s="501"/>
      <c r="IF2423" s="501"/>
      <c r="IG2423" s="501"/>
      <c r="IH2423" s="501"/>
      <c r="II2423" s="501"/>
      <c r="IJ2423" s="501"/>
      <c r="IK2423" s="501"/>
      <c r="IL2423" s="501"/>
      <c r="IM2423" s="501"/>
      <c r="IN2423" s="501"/>
      <c r="IO2423" s="501"/>
      <c r="IP2423" s="501"/>
      <c r="IQ2423" s="501"/>
      <c r="IR2423" s="501"/>
      <c r="IS2423" s="501"/>
      <c r="IT2423" s="501"/>
      <c r="IU2423" s="501"/>
    </row>
    <row r="2424" spans="1:255" s="877" customFormat="1" ht="24" customHeight="1">
      <c r="A2424" s="501"/>
      <c r="B2424" s="501"/>
      <c r="C2424" s="501"/>
      <c r="D2424" s="501"/>
      <c r="E2424" s="501"/>
      <c r="F2424" s="545"/>
      <c r="G2424" s="889"/>
      <c r="H2424" s="545"/>
      <c r="I2424" s="876"/>
      <c r="J2424" s="876"/>
      <c r="K2424" s="545"/>
      <c r="L2424" s="876"/>
      <c r="M2424" s="882"/>
      <c r="N2424" s="501"/>
      <c r="O2424" s="501"/>
      <c r="P2424" s="902"/>
      <c r="Q2424" s="1624"/>
      <c r="R2424" s="876"/>
      <c r="S2424" s="874"/>
      <c r="T2424" s="876"/>
      <c r="V2424" s="501"/>
      <c r="W2424" s="501"/>
      <c r="X2424" s="501"/>
      <c r="Y2424" s="501"/>
      <c r="Z2424" s="501"/>
      <c r="AA2424" s="501"/>
      <c r="AB2424" s="501"/>
      <c r="AC2424" s="501"/>
      <c r="AD2424" s="501"/>
      <c r="AE2424" s="501"/>
      <c r="AF2424" s="501"/>
      <c r="AG2424" s="501"/>
      <c r="AH2424" s="501"/>
      <c r="AI2424" s="501"/>
      <c r="AJ2424" s="501"/>
      <c r="AK2424" s="501"/>
      <c r="AL2424" s="501"/>
      <c r="AM2424" s="501"/>
      <c r="AN2424" s="501"/>
      <c r="AO2424" s="501"/>
      <c r="AP2424" s="501"/>
      <c r="AQ2424" s="501"/>
      <c r="AR2424" s="501"/>
      <c r="AS2424" s="501"/>
      <c r="AT2424" s="501"/>
      <c r="AU2424" s="501"/>
      <c r="AV2424" s="501"/>
      <c r="AW2424" s="501"/>
      <c r="AX2424" s="501"/>
      <c r="AY2424" s="501"/>
      <c r="AZ2424" s="501"/>
      <c r="BA2424" s="501"/>
      <c r="BB2424" s="501"/>
      <c r="BC2424" s="501"/>
      <c r="BD2424" s="501"/>
      <c r="BE2424" s="501"/>
      <c r="BF2424" s="501"/>
      <c r="BG2424" s="501"/>
      <c r="BH2424" s="501"/>
      <c r="BI2424" s="501"/>
      <c r="BJ2424" s="501"/>
      <c r="BK2424" s="501"/>
      <c r="BL2424" s="501"/>
      <c r="BM2424" s="501"/>
      <c r="BN2424" s="501"/>
      <c r="BO2424" s="501"/>
      <c r="BP2424" s="501"/>
      <c r="BQ2424" s="501"/>
      <c r="BR2424" s="501"/>
      <c r="BS2424" s="501"/>
      <c r="BT2424" s="501"/>
      <c r="BU2424" s="501"/>
      <c r="BV2424" s="501"/>
      <c r="BW2424" s="501"/>
      <c r="BX2424" s="501"/>
      <c r="BY2424" s="501"/>
      <c r="BZ2424" s="501"/>
      <c r="CA2424" s="501"/>
      <c r="CB2424" s="501"/>
      <c r="CC2424" s="501"/>
      <c r="CD2424" s="501"/>
      <c r="CE2424" s="501"/>
      <c r="CF2424" s="501"/>
      <c r="CG2424" s="501"/>
      <c r="CH2424" s="501"/>
      <c r="CI2424" s="501"/>
      <c r="CJ2424" s="501"/>
      <c r="CK2424" s="501"/>
      <c r="CL2424" s="501"/>
      <c r="CM2424" s="501"/>
      <c r="CN2424" s="501"/>
      <c r="CO2424" s="501"/>
      <c r="CP2424" s="501"/>
      <c r="CQ2424" s="501"/>
      <c r="CR2424" s="501"/>
      <c r="CS2424" s="501"/>
      <c r="CT2424" s="501"/>
      <c r="CU2424" s="501"/>
      <c r="CV2424" s="501"/>
      <c r="CW2424" s="501"/>
      <c r="CX2424" s="501"/>
      <c r="CY2424" s="501"/>
      <c r="CZ2424" s="501"/>
      <c r="DA2424" s="501"/>
      <c r="DB2424" s="501"/>
      <c r="DC2424" s="501"/>
      <c r="DD2424" s="501"/>
      <c r="DE2424" s="501"/>
      <c r="DF2424" s="501"/>
      <c r="DG2424" s="501"/>
      <c r="DH2424" s="501"/>
      <c r="DI2424" s="501"/>
      <c r="DJ2424" s="501"/>
      <c r="DK2424" s="501"/>
      <c r="DL2424" s="501"/>
      <c r="DM2424" s="501"/>
      <c r="DN2424" s="501"/>
      <c r="DO2424" s="501"/>
      <c r="DP2424" s="501"/>
      <c r="DQ2424" s="501"/>
      <c r="DR2424" s="501"/>
      <c r="DS2424" s="501"/>
      <c r="DT2424" s="501"/>
      <c r="DU2424" s="501"/>
      <c r="DV2424" s="501"/>
      <c r="DW2424" s="501"/>
      <c r="DX2424" s="501"/>
      <c r="DY2424" s="501"/>
      <c r="DZ2424" s="501"/>
      <c r="EA2424" s="501"/>
      <c r="EB2424" s="501"/>
      <c r="EC2424" s="501"/>
      <c r="ED2424" s="501"/>
      <c r="EE2424" s="501"/>
      <c r="EF2424" s="501"/>
      <c r="EG2424" s="501"/>
      <c r="EH2424" s="501"/>
      <c r="EI2424" s="501"/>
      <c r="EJ2424" s="501"/>
      <c r="EK2424" s="501"/>
      <c r="EL2424" s="501"/>
      <c r="EM2424" s="501"/>
      <c r="EN2424" s="501"/>
      <c r="EO2424" s="501"/>
      <c r="EP2424" s="501"/>
      <c r="EQ2424" s="501"/>
      <c r="ER2424" s="501"/>
      <c r="ES2424" s="501"/>
      <c r="ET2424" s="501"/>
      <c r="EU2424" s="501"/>
      <c r="EV2424" s="501"/>
      <c r="EW2424" s="501"/>
      <c r="EX2424" s="501"/>
      <c r="EY2424" s="501"/>
      <c r="EZ2424" s="501"/>
      <c r="FA2424" s="501"/>
      <c r="FB2424" s="501"/>
      <c r="FC2424" s="501"/>
      <c r="FD2424" s="501"/>
      <c r="FE2424" s="501"/>
      <c r="FF2424" s="501"/>
      <c r="FG2424" s="501"/>
      <c r="FH2424" s="501"/>
      <c r="FI2424" s="501"/>
      <c r="FJ2424" s="501"/>
      <c r="FK2424" s="501"/>
      <c r="FL2424" s="501"/>
      <c r="FM2424" s="501"/>
      <c r="FN2424" s="501"/>
      <c r="FO2424" s="501"/>
      <c r="FP2424" s="501"/>
      <c r="FQ2424" s="501"/>
      <c r="FR2424" s="501"/>
      <c r="FS2424" s="501"/>
      <c r="FT2424" s="501"/>
      <c r="FU2424" s="501"/>
      <c r="FV2424" s="501"/>
      <c r="FW2424" s="501"/>
      <c r="FX2424" s="501"/>
      <c r="FY2424" s="501"/>
      <c r="FZ2424" s="501"/>
      <c r="GA2424" s="501"/>
      <c r="GB2424" s="501"/>
      <c r="GC2424" s="501"/>
      <c r="GD2424" s="501"/>
      <c r="GE2424" s="501"/>
      <c r="GF2424" s="501"/>
      <c r="GG2424" s="501"/>
      <c r="GH2424" s="501"/>
      <c r="GI2424" s="501"/>
      <c r="GJ2424" s="501"/>
      <c r="GK2424" s="501"/>
      <c r="GL2424" s="501"/>
      <c r="GM2424" s="501"/>
      <c r="GN2424" s="501"/>
      <c r="GO2424" s="501"/>
      <c r="GP2424" s="501"/>
      <c r="GQ2424" s="501"/>
      <c r="GR2424" s="501"/>
      <c r="GS2424" s="501"/>
      <c r="GT2424" s="501"/>
      <c r="GU2424" s="501"/>
      <c r="GV2424" s="501"/>
      <c r="GW2424" s="501"/>
      <c r="GX2424" s="501"/>
      <c r="GY2424" s="501"/>
      <c r="GZ2424" s="501"/>
      <c r="HA2424" s="501"/>
      <c r="HB2424" s="501"/>
      <c r="HC2424" s="501"/>
      <c r="HD2424" s="501"/>
      <c r="HE2424" s="501"/>
      <c r="HF2424" s="501"/>
      <c r="HG2424" s="501"/>
      <c r="HH2424" s="501"/>
      <c r="HI2424" s="501"/>
      <c r="HJ2424" s="501"/>
      <c r="HK2424" s="501"/>
      <c r="HL2424" s="501"/>
      <c r="HM2424" s="501"/>
      <c r="HN2424" s="501"/>
      <c r="HO2424" s="501"/>
      <c r="HP2424" s="501"/>
      <c r="HQ2424" s="501"/>
      <c r="HR2424" s="501"/>
      <c r="HS2424" s="501"/>
      <c r="HT2424" s="501"/>
      <c r="HU2424" s="501"/>
      <c r="HV2424" s="501"/>
      <c r="HW2424" s="501"/>
      <c r="HX2424" s="501"/>
      <c r="HY2424" s="501"/>
      <c r="HZ2424" s="501"/>
      <c r="IA2424" s="501"/>
      <c r="IB2424" s="501"/>
      <c r="IC2424" s="501"/>
      <c r="ID2424" s="501"/>
      <c r="IE2424" s="501"/>
      <c r="IF2424" s="501"/>
      <c r="IG2424" s="501"/>
      <c r="IH2424" s="501"/>
      <c r="II2424" s="501"/>
      <c r="IJ2424" s="501"/>
      <c r="IK2424" s="501"/>
      <c r="IL2424" s="501"/>
      <c r="IM2424" s="501"/>
      <c r="IN2424" s="501"/>
      <c r="IO2424" s="501"/>
      <c r="IP2424" s="501"/>
      <c r="IQ2424" s="501"/>
      <c r="IR2424" s="501"/>
      <c r="IS2424" s="501"/>
      <c r="IT2424" s="501"/>
      <c r="IU2424" s="501"/>
    </row>
    <row r="2425" spans="1:255" s="877" customFormat="1" ht="24" customHeight="1">
      <c r="A2425" s="501"/>
      <c r="B2425" s="501"/>
      <c r="C2425" s="501"/>
      <c r="D2425" s="501"/>
      <c r="E2425" s="501"/>
      <c r="F2425" s="904"/>
      <c r="G2425" s="924"/>
      <c r="H2425" s="904"/>
      <c r="I2425" s="876"/>
      <c r="J2425" s="501"/>
      <c r="K2425" s="545"/>
      <c r="L2425" s="876"/>
      <c r="M2425" s="882"/>
      <c r="N2425" s="501"/>
      <c r="O2425" s="545"/>
      <c r="P2425" s="901"/>
      <c r="Q2425" s="876"/>
      <c r="R2425" s="545"/>
      <c r="S2425" s="876"/>
      <c r="T2425" s="545"/>
      <c r="V2425" s="501"/>
      <c r="W2425" s="501"/>
      <c r="X2425" s="501"/>
      <c r="Y2425" s="501"/>
      <c r="Z2425" s="501"/>
      <c r="AA2425" s="501"/>
      <c r="AB2425" s="501"/>
      <c r="AC2425" s="501"/>
      <c r="AD2425" s="501"/>
      <c r="AE2425" s="501"/>
      <c r="AF2425" s="501"/>
      <c r="AG2425" s="501"/>
      <c r="AH2425" s="501"/>
      <c r="AI2425" s="501"/>
      <c r="AJ2425" s="501"/>
      <c r="AK2425" s="501"/>
      <c r="AL2425" s="501"/>
      <c r="AM2425" s="501"/>
      <c r="AN2425" s="501"/>
      <c r="AO2425" s="501"/>
      <c r="AP2425" s="501"/>
      <c r="AQ2425" s="501"/>
      <c r="AR2425" s="501"/>
      <c r="AS2425" s="501"/>
      <c r="AT2425" s="501"/>
      <c r="AU2425" s="501"/>
      <c r="AV2425" s="501"/>
      <c r="AW2425" s="501"/>
      <c r="AX2425" s="501"/>
      <c r="AY2425" s="501"/>
      <c r="AZ2425" s="501"/>
      <c r="BA2425" s="501"/>
      <c r="BB2425" s="501"/>
      <c r="BC2425" s="501"/>
      <c r="BD2425" s="501"/>
      <c r="BE2425" s="501"/>
      <c r="BF2425" s="501"/>
      <c r="BG2425" s="501"/>
      <c r="BH2425" s="501"/>
      <c r="BI2425" s="501"/>
      <c r="BJ2425" s="501"/>
      <c r="BK2425" s="501"/>
      <c r="BL2425" s="501"/>
      <c r="BM2425" s="501"/>
      <c r="BN2425" s="501"/>
      <c r="BO2425" s="501"/>
      <c r="BP2425" s="501"/>
      <c r="BQ2425" s="501"/>
      <c r="BR2425" s="501"/>
      <c r="BS2425" s="501"/>
      <c r="BT2425" s="501"/>
      <c r="BU2425" s="501"/>
      <c r="BV2425" s="501"/>
      <c r="BW2425" s="501"/>
      <c r="BX2425" s="501"/>
      <c r="BY2425" s="501"/>
      <c r="BZ2425" s="501"/>
      <c r="CA2425" s="501"/>
      <c r="CB2425" s="501"/>
      <c r="CC2425" s="501"/>
      <c r="CD2425" s="501"/>
      <c r="CE2425" s="501"/>
      <c r="CF2425" s="501"/>
      <c r="CG2425" s="501"/>
      <c r="CH2425" s="501"/>
      <c r="CI2425" s="501"/>
      <c r="CJ2425" s="501"/>
      <c r="CK2425" s="501"/>
      <c r="CL2425" s="501"/>
      <c r="CM2425" s="501"/>
      <c r="CN2425" s="501"/>
      <c r="CO2425" s="501"/>
      <c r="CP2425" s="501"/>
      <c r="CQ2425" s="501"/>
      <c r="CR2425" s="501"/>
      <c r="CS2425" s="501"/>
      <c r="CT2425" s="501"/>
      <c r="CU2425" s="501"/>
      <c r="CV2425" s="501"/>
      <c r="CW2425" s="501"/>
      <c r="CX2425" s="501"/>
      <c r="CY2425" s="501"/>
      <c r="CZ2425" s="501"/>
      <c r="DA2425" s="501"/>
      <c r="DB2425" s="501"/>
      <c r="DC2425" s="501"/>
      <c r="DD2425" s="501"/>
      <c r="DE2425" s="501"/>
      <c r="DF2425" s="501"/>
      <c r="DG2425" s="501"/>
      <c r="DH2425" s="501"/>
      <c r="DI2425" s="501"/>
      <c r="DJ2425" s="501"/>
      <c r="DK2425" s="501"/>
      <c r="DL2425" s="501"/>
      <c r="DM2425" s="501"/>
      <c r="DN2425" s="501"/>
      <c r="DO2425" s="501"/>
      <c r="DP2425" s="501"/>
      <c r="DQ2425" s="501"/>
      <c r="DR2425" s="501"/>
      <c r="DS2425" s="501"/>
      <c r="DT2425" s="501"/>
      <c r="DU2425" s="501"/>
      <c r="DV2425" s="501"/>
      <c r="DW2425" s="501"/>
      <c r="DX2425" s="501"/>
      <c r="DY2425" s="501"/>
      <c r="DZ2425" s="501"/>
      <c r="EA2425" s="501"/>
      <c r="EB2425" s="501"/>
      <c r="EC2425" s="501"/>
      <c r="ED2425" s="501"/>
      <c r="EE2425" s="501"/>
      <c r="EF2425" s="501"/>
      <c r="EG2425" s="501"/>
      <c r="EH2425" s="501"/>
      <c r="EI2425" s="501"/>
      <c r="EJ2425" s="501"/>
      <c r="EK2425" s="501"/>
      <c r="EL2425" s="501"/>
      <c r="EM2425" s="501"/>
      <c r="EN2425" s="501"/>
      <c r="EO2425" s="501"/>
      <c r="EP2425" s="501"/>
      <c r="EQ2425" s="501"/>
      <c r="ER2425" s="501"/>
      <c r="ES2425" s="501"/>
      <c r="ET2425" s="501"/>
      <c r="EU2425" s="501"/>
      <c r="EV2425" s="501"/>
      <c r="EW2425" s="501"/>
      <c r="EX2425" s="501"/>
      <c r="EY2425" s="501"/>
      <c r="EZ2425" s="501"/>
      <c r="FA2425" s="501"/>
      <c r="FB2425" s="501"/>
      <c r="FC2425" s="501"/>
      <c r="FD2425" s="501"/>
      <c r="FE2425" s="501"/>
      <c r="FF2425" s="501"/>
      <c r="FG2425" s="501"/>
      <c r="FH2425" s="501"/>
      <c r="FI2425" s="501"/>
      <c r="FJ2425" s="501"/>
      <c r="FK2425" s="501"/>
      <c r="FL2425" s="501"/>
      <c r="FM2425" s="501"/>
      <c r="FN2425" s="501"/>
      <c r="FO2425" s="501"/>
      <c r="FP2425" s="501"/>
      <c r="FQ2425" s="501"/>
      <c r="FR2425" s="501"/>
      <c r="FS2425" s="501"/>
      <c r="FT2425" s="501"/>
      <c r="FU2425" s="501"/>
      <c r="FV2425" s="501"/>
      <c r="FW2425" s="501"/>
      <c r="FX2425" s="501"/>
      <c r="FY2425" s="501"/>
      <c r="FZ2425" s="501"/>
      <c r="GA2425" s="501"/>
      <c r="GB2425" s="501"/>
      <c r="GC2425" s="501"/>
      <c r="GD2425" s="501"/>
      <c r="GE2425" s="501"/>
      <c r="GF2425" s="501"/>
      <c r="GG2425" s="501"/>
      <c r="GH2425" s="501"/>
      <c r="GI2425" s="501"/>
      <c r="GJ2425" s="501"/>
      <c r="GK2425" s="501"/>
      <c r="GL2425" s="501"/>
      <c r="GM2425" s="501"/>
      <c r="GN2425" s="501"/>
      <c r="GO2425" s="501"/>
      <c r="GP2425" s="501"/>
      <c r="GQ2425" s="501"/>
      <c r="GR2425" s="501"/>
      <c r="GS2425" s="501"/>
      <c r="GT2425" s="501"/>
      <c r="GU2425" s="501"/>
      <c r="GV2425" s="501"/>
      <c r="GW2425" s="501"/>
      <c r="GX2425" s="501"/>
      <c r="GY2425" s="501"/>
      <c r="GZ2425" s="501"/>
      <c r="HA2425" s="501"/>
      <c r="HB2425" s="501"/>
      <c r="HC2425" s="501"/>
      <c r="HD2425" s="501"/>
      <c r="HE2425" s="501"/>
      <c r="HF2425" s="501"/>
      <c r="HG2425" s="501"/>
      <c r="HH2425" s="501"/>
      <c r="HI2425" s="501"/>
      <c r="HJ2425" s="501"/>
      <c r="HK2425" s="501"/>
      <c r="HL2425" s="501"/>
      <c r="HM2425" s="501"/>
      <c r="HN2425" s="501"/>
      <c r="HO2425" s="501"/>
      <c r="HP2425" s="501"/>
      <c r="HQ2425" s="501"/>
      <c r="HR2425" s="501"/>
      <c r="HS2425" s="501"/>
      <c r="HT2425" s="501"/>
      <c r="HU2425" s="501"/>
      <c r="HV2425" s="501"/>
      <c r="HW2425" s="501"/>
      <c r="HX2425" s="501"/>
      <c r="HY2425" s="501"/>
      <c r="HZ2425" s="501"/>
      <c r="IA2425" s="501"/>
      <c r="IB2425" s="501"/>
      <c r="IC2425" s="501"/>
      <c r="ID2425" s="501"/>
      <c r="IE2425" s="501"/>
      <c r="IF2425" s="501"/>
      <c r="IG2425" s="501"/>
      <c r="IH2425" s="501"/>
      <c r="II2425" s="501"/>
      <c r="IJ2425" s="501"/>
      <c r="IK2425" s="501"/>
      <c r="IL2425" s="501"/>
      <c r="IM2425" s="501"/>
      <c r="IN2425" s="501"/>
      <c r="IO2425" s="501"/>
      <c r="IP2425" s="501"/>
      <c r="IQ2425" s="501"/>
      <c r="IR2425" s="501"/>
      <c r="IS2425" s="501"/>
      <c r="IT2425" s="501"/>
      <c r="IU2425" s="501"/>
    </row>
    <row r="2426" spans="1:255" s="877" customFormat="1" ht="24" customHeight="1">
      <c r="A2426" s="501"/>
      <c r="B2426" s="501"/>
      <c r="C2426" s="501"/>
      <c r="D2426" s="501"/>
      <c r="E2426" s="501"/>
      <c r="F2426" s="545"/>
      <c r="G2426" s="889"/>
      <c r="H2426" s="545"/>
      <c r="I2426" s="876"/>
      <c r="J2426" s="875"/>
      <c r="K2426" s="501"/>
      <c r="L2426" s="874"/>
      <c r="M2426" s="1052"/>
      <c r="N2426" s="501"/>
      <c r="O2426" s="545"/>
      <c r="P2426" s="901"/>
      <c r="Q2426" s="876"/>
      <c r="R2426" s="545"/>
      <c r="S2426" s="876"/>
      <c r="T2426" s="545"/>
      <c r="V2426" s="501"/>
      <c r="W2426" s="501"/>
      <c r="X2426" s="501"/>
      <c r="Y2426" s="501"/>
      <c r="Z2426" s="501"/>
      <c r="AA2426" s="501"/>
      <c r="AB2426" s="501"/>
      <c r="AC2426" s="501"/>
      <c r="AD2426" s="501"/>
      <c r="AE2426" s="501"/>
      <c r="AF2426" s="501"/>
      <c r="AG2426" s="501"/>
      <c r="AH2426" s="501"/>
      <c r="AI2426" s="501"/>
      <c r="AJ2426" s="501"/>
      <c r="AK2426" s="501"/>
      <c r="AL2426" s="501"/>
      <c r="AM2426" s="501"/>
      <c r="AN2426" s="501"/>
      <c r="AO2426" s="501"/>
      <c r="AP2426" s="501"/>
      <c r="AQ2426" s="501"/>
      <c r="AR2426" s="501"/>
      <c r="AS2426" s="501"/>
      <c r="AT2426" s="501"/>
      <c r="AU2426" s="501"/>
      <c r="AV2426" s="501"/>
      <c r="AW2426" s="501"/>
      <c r="AX2426" s="501"/>
      <c r="AY2426" s="501"/>
      <c r="AZ2426" s="501"/>
      <c r="BA2426" s="501"/>
      <c r="BB2426" s="501"/>
      <c r="BC2426" s="501"/>
      <c r="BD2426" s="501"/>
      <c r="BE2426" s="501"/>
      <c r="BF2426" s="501"/>
      <c r="BG2426" s="501"/>
      <c r="BH2426" s="501"/>
      <c r="BI2426" s="501"/>
      <c r="BJ2426" s="501"/>
      <c r="BK2426" s="501"/>
      <c r="BL2426" s="501"/>
      <c r="BM2426" s="501"/>
      <c r="BN2426" s="501"/>
      <c r="BO2426" s="501"/>
      <c r="BP2426" s="501"/>
      <c r="BQ2426" s="501"/>
      <c r="BR2426" s="501"/>
      <c r="BS2426" s="501"/>
      <c r="BT2426" s="501"/>
      <c r="BU2426" s="501"/>
      <c r="BV2426" s="501"/>
      <c r="BW2426" s="501"/>
      <c r="BX2426" s="501"/>
      <c r="BY2426" s="501"/>
      <c r="BZ2426" s="501"/>
      <c r="CA2426" s="501"/>
      <c r="CB2426" s="501"/>
      <c r="CC2426" s="501"/>
      <c r="CD2426" s="501"/>
      <c r="CE2426" s="501"/>
      <c r="CF2426" s="501"/>
      <c r="CG2426" s="501"/>
      <c r="CH2426" s="501"/>
      <c r="CI2426" s="501"/>
      <c r="CJ2426" s="501"/>
      <c r="CK2426" s="501"/>
      <c r="CL2426" s="501"/>
      <c r="CM2426" s="501"/>
      <c r="CN2426" s="501"/>
      <c r="CO2426" s="501"/>
      <c r="CP2426" s="501"/>
      <c r="CQ2426" s="501"/>
      <c r="CR2426" s="501"/>
      <c r="CS2426" s="501"/>
      <c r="CT2426" s="501"/>
      <c r="CU2426" s="501"/>
      <c r="CV2426" s="501"/>
      <c r="CW2426" s="501"/>
      <c r="CX2426" s="501"/>
      <c r="CY2426" s="501"/>
      <c r="CZ2426" s="501"/>
      <c r="DA2426" s="501"/>
      <c r="DB2426" s="501"/>
      <c r="DC2426" s="501"/>
      <c r="DD2426" s="501"/>
      <c r="DE2426" s="501"/>
      <c r="DF2426" s="501"/>
      <c r="DG2426" s="501"/>
      <c r="DH2426" s="501"/>
      <c r="DI2426" s="501"/>
      <c r="DJ2426" s="501"/>
      <c r="DK2426" s="501"/>
      <c r="DL2426" s="501"/>
      <c r="DM2426" s="501"/>
      <c r="DN2426" s="501"/>
      <c r="DO2426" s="501"/>
      <c r="DP2426" s="501"/>
      <c r="DQ2426" s="501"/>
      <c r="DR2426" s="501"/>
      <c r="DS2426" s="501"/>
      <c r="DT2426" s="501"/>
      <c r="DU2426" s="501"/>
      <c r="DV2426" s="501"/>
      <c r="DW2426" s="501"/>
      <c r="DX2426" s="501"/>
      <c r="DY2426" s="501"/>
      <c r="DZ2426" s="501"/>
      <c r="EA2426" s="501"/>
      <c r="EB2426" s="501"/>
      <c r="EC2426" s="501"/>
      <c r="ED2426" s="501"/>
      <c r="EE2426" s="501"/>
      <c r="EF2426" s="501"/>
      <c r="EG2426" s="501"/>
      <c r="EH2426" s="501"/>
      <c r="EI2426" s="501"/>
      <c r="EJ2426" s="501"/>
      <c r="EK2426" s="501"/>
      <c r="EL2426" s="501"/>
      <c r="EM2426" s="501"/>
      <c r="EN2426" s="501"/>
      <c r="EO2426" s="501"/>
      <c r="EP2426" s="501"/>
      <c r="EQ2426" s="501"/>
      <c r="ER2426" s="501"/>
      <c r="ES2426" s="501"/>
      <c r="ET2426" s="501"/>
      <c r="EU2426" s="501"/>
      <c r="EV2426" s="501"/>
      <c r="EW2426" s="501"/>
      <c r="EX2426" s="501"/>
      <c r="EY2426" s="501"/>
      <c r="EZ2426" s="501"/>
      <c r="FA2426" s="501"/>
      <c r="FB2426" s="501"/>
      <c r="FC2426" s="501"/>
      <c r="FD2426" s="501"/>
      <c r="FE2426" s="501"/>
      <c r="FF2426" s="501"/>
      <c r="FG2426" s="501"/>
      <c r="FH2426" s="501"/>
      <c r="FI2426" s="501"/>
      <c r="FJ2426" s="501"/>
      <c r="FK2426" s="501"/>
      <c r="FL2426" s="501"/>
      <c r="FM2426" s="501"/>
      <c r="FN2426" s="501"/>
      <c r="FO2426" s="501"/>
      <c r="FP2426" s="501"/>
      <c r="FQ2426" s="501"/>
      <c r="FR2426" s="501"/>
      <c r="FS2426" s="501"/>
      <c r="FT2426" s="501"/>
      <c r="FU2426" s="501"/>
      <c r="FV2426" s="501"/>
      <c r="FW2426" s="501"/>
      <c r="FX2426" s="501"/>
      <c r="FY2426" s="501"/>
      <c r="FZ2426" s="501"/>
      <c r="GA2426" s="501"/>
      <c r="GB2426" s="501"/>
      <c r="GC2426" s="501"/>
      <c r="GD2426" s="501"/>
      <c r="GE2426" s="501"/>
      <c r="GF2426" s="501"/>
      <c r="GG2426" s="501"/>
      <c r="GH2426" s="501"/>
      <c r="GI2426" s="501"/>
      <c r="GJ2426" s="501"/>
      <c r="GK2426" s="501"/>
      <c r="GL2426" s="501"/>
      <c r="GM2426" s="501"/>
      <c r="GN2426" s="501"/>
      <c r="GO2426" s="501"/>
      <c r="GP2426" s="501"/>
      <c r="GQ2426" s="501"/>
      <c r="GR2426" s="501"/>
      <c r="GS2426" s="501"/>
      <c r="GT2426" s="501"/>
      <c r="GU2426" s="501"/>
      <c r="GV2426" s="501"/>
      <c r="GW2426" s="501"/>
      <c r="GX2426" s="501"/>
      <c r="GY2426" s="501"/>
      <c r="GZ2426" s="501"/>
      <c r="HA2426" s="501"/>
      <c r="HB2426" s="501"/>
      <c r="HC2426" s="501"/>
      <c r="HD2426" s="501"/>
      <c r="HE2426" s="501"/>
      <c r="HF2426" s="501"/>
      <c r="HG2426" s="501"/>
      <c r="HH2426" s="501"/>
      <c r="HI2426" s="501"/>
      <c r="HJ2426" s="501"/>
      <c r="HK2426" s="501"/>
      <c r="HL2426" s="501"/>
      <c r="HM2426" s="501"/>
      <c r="HN2426" s="501"/>
      <c r="HO2426" s="501"/>
      <c r="HP2426" s="501"/>
      <c r="HQ2426" s="501"/>
      <c r="HR2426" s="501"/>
      <c r="HS2426" s="501"/>
      <c r="HT2426" s="501"/>
      <c r="HU2426" s="501"/>
      <c r="HV2426" s="501"/>
      <c r="HW2426" s="501"/>
      <c r="HX2426" s="501"/>
      <c r="HY2426" s="501"/>
      <c r="HZ2426" s="501"/>
      <c r="IA2426" s="501"/>
      <c r="IB2426" s="501"/>
      <c r="IC2426" s="501"/>
      <c r="ID2426" s="501"/>
      <c r="IE2426" s="501"/>
      <c r="IF2426" s="501"/>
      <c r="IG2426" s="501"/>
      <c r="IH2426" s="501"/>
      <c r="II2426" s="501"/>
      <c r="IJ2426" s="501"/>
      <c r="IK2426" s="501"/>
      <c r="IL2426" s="501"/>
      <c r="IM2426" s="501"/>
      <c r="IN2426" s="501"/>
      <c r="IO2426" s="501"/>
      <c r="IP2426" s="501"/>
      <c r="IQ2426" s="501"/>
      <c r="IR2426" s="501"/>
      <c r="IS2426" s="501"/>
      <c r="IT2426" s="501"/>
      <c r="IU2426" s="501"/>
    </row>
    <row r="2427" spans="1:255" s="877" customFormat="1" ht="24" customHeight="1">
      <c r="A2427" s="501"/>
      <c r="B2427" s="501"/>
      <c r="C2427" s="501"/>
      <c r="D2427" s="501"/>
      <c r="E2427" s="501"/>
      <c r="F2427" s="545"/>
      <c r="G2427" s="889"/>
      <c r="H2427" s="545"/>
      <c r="I2427" s="876"/>
      <c r="J2427" s="875"/>
      <c r="K2427" s="501"/>
      <c r="L2427" s="874"/>
      <c r="M2427" s="883"/>
      <c r="N2427" s="501"/>
      <c r="O2427" s="545"/>
      <c r="P2427" s="901"/>
      <c r="Q2427" s="876"/>
      <c r="R2427" s="545"/>
      <c r="S2427" s="876"/>
      <c r="T2427" s="545"/>
      <c r="V2427" s="501"/>
      <c r="W2427" s="501"/>
      <c r="X2427" s="501"/>
      <c r="Y2427" s="501"/>
      <c r="Z2427" s="501"/>
      <c r="AA2427" s="501"/>
      <c r="AB2427" s="501"/>
      <c r="AC2427" s="501"/>
      <c r="AD2427" s="501"/>
      <c r="AE2427" s="501"/>
      <c r="AF2427" s="501"/>
      <c r="AG2427" s="501"/>
      <c r="AH2427" s="501"/>
      <c r="AI2427" s="501"/>
      <c r="AJ2427" s="501"/>
      <c r="AK2427" s="501"/>
      <c r="AL2427" s="501"/>
      <c r="AM2427" s="501"/>
      <c r="AN2427" s="501"/>
      <c r="AO2427" s="501"/>
      <c r="AP2427" s="501"/>
      <c r="AQ2427" s="501"/>
      <c r="AR2427" s="501"/>
      <c r="AS2427" s="501"/>
      <c r="AT2427" s="501"/>
      <c r="AU2427" s="501"/>
      <c r="AV2427" s="501"/>
      <c r="AW2427" s="501"/>
      <c r="AX2427" s="501"/>
      <c r="AY2427" s="501"/>
      <c r="AZ2427" s="501"/>
      <c r="BA2427" s="501"/>
      <c r="BB2427" s="501"/>
      <c r="BC2427" s="501"/>
      <c r="BD2427" s="501"/>
      <c r="BE2427" s="501"/>
      <c r="BF2427" s="501"/>
      <c r="BG2427" s="501"/>
      <c r="BH2427" s="501"/>
      <c r="BI2427" s="501"/>
      <c r="BJ2427" s="501"/>
      <c r="BK2427" s="501"/>
      <c r="BL2427" s="501"/>
      <c r="BM2427" s="501"/>
      <c r="BN2427" s="501"/>
      <c r="BO2427" s="501"/>
      <c r="BP2427" s="501"/>
      <c r="BQ2427" s="501"/>
      <c r="BR2427" s="501"/>
      <c r="BS2427" s="501"/>
      <c r="BT2427" s="501"/>
      <c r="BU2427" s="501"/>
      <c r="BV2427" s="501"/>
      <c r="BW2427" s="501"/>
      <c r="BX2427" s="501"/>
      <c r="BY2427" s="501"/>
      <c r="BZ2427" s="501"/>
      <c r="CA2427" s="501"/>
      <c r="CB2427" s="501"/>
      <c r="CC2427" s="501"/>
      <c r="CD2427" s="501"/>
      <c r="CE2427" s="501"/>
      <c r="CF2427" s="501"/>
      <c r="CG2427" s="501"/>
      <c r="CH2427" s="501"/>
      <c r="CI2427" s="501"/>
      <c r="CJ2427" s="501"/>
      <c r="CK2427" s="501"/>
      <c r="CL2427" s="501"/>
      <c r="CM2427" s="501"/>
      <c r="CN2427" s="501"/>
      <c r="CO2427" s="501"/>
      <c r="CP2427" s="501"/>
      <c r="CQ2427" s="501"/>
      <c r="CR2427" s="501"/>
      <c r="CS2427" s="501"/>
      <c r="CT2427" s="501"/>
      <c r="CU2427" s="501"/>
      <c r="CV2427" s="501"/>
      <c r="CW2427" s="501"/>
      <c r="CX2427" s="501"/>
      <c r="CY2427" s="501"/>
      <c r="CZ2427" s="501"/>
      <c r="DA2427" s="501"/>
      <c r="DB2427" s="501"/>
      <c r="DC2427" s="501"/>
      <c r="DD2427" s="501"/>
      <c r="DE2427" s="501"/>
      <c r="DF2427" s="501"/>
      <c r="DG2427" s="501"/>
      <c r="DH2427" s="501"/>
      <c r="DI2427" s="501"/>
      <c r="DJ2427" s="501"/>
      <c r="DK2427" s="501"/>
      <c r="DL2427" s="501"/>
      <c r="DM2427" s="501"/>
      <c r="DN2427" s="501"/>
      <c r="DO2427" s="501"/>
      <c r="DP2427" s="501"/>
      <c r="DQ2427" s="501"/>
      <c r="DR2427" s="501"/>
      <c r="DS2427" s="501"/>
      <c r="DT2427" s="501"/>
      <c r="DU2427" s="501"/>
      <c r="DV2427" s="501"/>
      <c r="DW2427" s="501"/>
      <c r="DX2427" s="501"/>
      <c r="DY2427" s="501"/>
      <c r="DZ2427" s="501"/>
      <c r="EA2427" s="501"/>
      <c r="EB2427" s="501"/>
      <c r="EC2427" s="501"/>
      <c r="ED2427" s="501"/>
      <c r="EE2427" s="501"/>
      <c r="EF2427" s="501"/>
      <c r="EG2427" s="501"/>
      <c r="EH2427" s="501"/>
      <c r="EI2427" s="501"/>
      <c r="EJ2427" s="501"/>
      <c r="EK2427" s="501"/>
      <c r="EL2427" s="501"/>
      <c r="EM2427" s="501"/>
      <c r="EN2427" s="501"/>
      <c r="EO2427" s="501"/>
      <c r="EP2427" s="501"/>
      <c r="EQ2427" s="501"/>
      <c r="ER2427" s="501"/>
      <c r="ES2427" s="501"/>
      <c r="ET2427" s="501"/>
      <c r="EU2427" s="501"/>
      <c r="EV2427" s="501"/>
      <c r="EW2427" s="501"/>
      <c r="EX2427" s="501"/>
      <c r="EY2427" s="501"/>
      <c r="EZ2427" s="501"/>
      <c r="FA2427" s="501"/>
      <c r="FB2427" s="501"/>
      <c r="FC2427" s="501"/>
      <c r="FD2427" s="501"/>
      <c r="FE2427" s="501"/>
      <c r="FF2427" s="501"/>
      <c r="FG2427" s="501"/>
      <c r="FH2427" s="501"/>
      <c r="FI2427" s="501"/>
      <c r="FJ2427" s="501"/>
      <c r="FK2427" s="501"/>
      <c r="FL2427" s="501"/>
      <c r="FM2427" s="501"/>
      <c r="FN2427" s="501"/>
      <c r="FO2427" s="501"/>
      <c r="FP2427" s="501"/>
      <c r="FQ2427" s="501"/>
      <c r="FR2427" s="501"/>
      <c r="FS2427" s="501"/>
      <c r="FT2427" s="501"/>
      <c r="FU2427" s="501"/>
      <c r="FV2427" s="501"/>
      <c r="FW2427" s="501"/>
      <c r="FX2427" s="501"/>
      <c r="FY2427" s="501"/>
      <c r="FZ2427" s="501"/>
      <c r="GA2427" s="501"/>
      <c r="GB2427" s="501"/>
      <c r="GC2427" s="501"/>
      <c r="GD2427" s="501"/>
      <c r="GE2427" s="501"/>
      <c r="GF2427" s="501"/>
      <c r="GG2427" s="501"/>
      <c r="GH2427" s="501"/>
      <c r="GI2427" s="501"/>
      <c r="GJ2427" s="501"/>
      <c r="GK2427" s="501"/>
      <c r="GL2427" s="501"/>
      <c r="GM2427" s="501"/>
      <c r="GN2427" s="501"/>
      <c r="GO2427" s="501"/>
      <c r="GP2427" s="501"/>
      <c r="GQ2427" s="501"/>
      <c r="GR2427" s="501"/>
      <c r="GS2427" s="501"/>
      <c r="GT2427" s="501"/>
      <c r="GU2427" s="501"/>
      <c r="GV2427" s="501"/>
      <c r="GW2427" s="501"/>
      <c r="GX2427" s="501"/>
      <c r="GY2427" s="501"/>
      <c r="GZ2427" s="501"/>
      <c r="HA2427" s="501"/>
      <c r="HB2427" s="501"/>
      <c r="HC2427" s="501"/>
      <c r="HD2427" s="501"/>
      <c r="HE2427" s="501"/>
      <c r="HF2427" s="501"/>
      <c r="HG2427" s="501"/>
      <c r="HH2427" s="501"/>
      <c r="HI2427" s="501"/>
      <c r="HJ2427" s="501"/>
      <c r="HK2427" s="501"/>
      <c r="HL2427" s="501"/>
      <c r="HM2427" s="501"/>
      <c r="HN2427" s="501"/>
      <c r="HO2427" s="501"/>
      <c r="HP2427" s="501"/>
      <c r="HQ2427" s="501"/>
      <c r="HR2427" s="501"/>
      <c r="HS2427" s="501"/>
      <c r="HT2427" s="501"/>
      <c r="HU2427" s="501"/>
      <c r="HV2427" s="501"/>
      <c r="HW2427" s="501"/>
      <c r="HX2427" s="501"/>
      <c r="HY2427" s="501"/>
      <c r="HZ2427" s="501"/>
      <c r="IA2427" s="501"/>
      <c r="IB2427" s="501"/>
      <c r="IC2427" s="501"/>
      <c r="ID2427" s="501"/>
      <c r="IE2427" s="501"/>
      <c r="IF2427" s="501"/>
      <c r="IG2427" s="501"/>
      <c r="IH2427" s="501"/>
      <c r="II2427" s="501"/>
      <c r="IJ2427" s="501"/>
      <c r="IK2427" s="501"/>
      <c r="IL2427" s="501"/>
      <c r="IM2427" s="501"/>
      <c r="IN2427" s="501"/>
      <c r="IO2427" s="501"/>
      <c r="IP2427" s="501"/>
      <c r="IQ2427" s="501"/>
      <c r="IR2427" s="501"/>
      <c r="IS2427" s="501"/>
      <c r="IT2427" s="501"/>
      <c r="IU2427" s="501"/>
    </row>
    <row r="2428" spans="1:255" s="877" customFormat="1" ht="24" customHeight="1">
      <c r="A2428" s="501"/>
      <c r="B2428" s="501"/>
      <c r="C2428" s="501"/>
      <c r="D2428" s="501"/>
      <c r="E2428" s="501"/>
      <c r="F2428" s="545"/>
      <c r="G2428" s="889"/>
      <c r="H2428" s="545"/>
      <c r="I2428" s="876"/>
      <c r="J2428" s="875"/>
      <c r="K2428" s="545"/>
      <c r="L2428" s="876"/>
      <c r="M2428" s="1053"/>
      <c r="N2428" s="501"/>
      <c r="O2428" s="545"/>
      <c r="P2428" s="901"/>
      <c r="Q2428" s="876"/>
      <c r="R2428" s="545"/>
      <c r="S2428" s="876"/>
      <c r="T2428" s="545"/>
      <c r="V2428" s="501"/>
      <c r="W2428" s="501"/>
      <c r="X2428" s="501"/>
      <c r="Y2428" s="501"/>
      <c r="Z2428" s="501"/>
      <c r="AA2428" s="501"/>
      <c r="AB2428" s="501"/>
      <c r="AC2428" s="501"/>
      <c r="AD2428" s="501"/>
      <c r="AE2428" s="501"/>
      <c r="AF2428" s="501"/>
      <c r="AG2428" s="501"/>
      <c r="AH2428" s="501"/>
      <c r="AI2428" s="501"/>
      <c r="AJ2428" s="501"/>
      <c r="AK2428" s="501"/>
      <c r="AL2428" s="501"/>
      <c r="AM2428" s="501"/>
      <c r="AN2428" s="501"/>
      <c r="AO2428" s="501"/>
      <c r="AP2428" s="501"/>
      <c r="AQ2428" s="501"/>
      <c r="AR2428" s="501"/>
      <c r="AS2428" s="501"/>
      <c r="AT2428" s="501"/>
      <c r="AU2428" s="501"/>
      <c r="AV2428" s="501"/>
      <c r="AW2428" s="501"/>
      <c r="AX2428" s="501"/>
      <c r="AY2428" s="501"/>
      <c r="AZ2428" s="501"/>
      <c r="BA2428" s="501"/>
      <c r="BB2428" s="501"/>
      <c r="BC2428" s="501"/>
      <c r="BD2428" s="501"/>
      <c r="BE2428" s="501"/>
      <c r="BF2428" s="501"/>
      <c r="BG2428" s="501"/>
      <c r="BH2428" s="501"/>
      <c r="BI2428" s="501"/>
      <c r="BJ2428" s="501"/>
      <c r="BK2428" s="501"/>
      <c r="BL2428" s="501"/>
      <c r="BM2428" s="501"/>
      <c r="BN2428" s="501"/>
      <c r="BO2428" s="501"/>
      <c r="BP2428" s="501"/>
      <c r="BQ2428" s="501"/>
      <c r="BR2428" s="501"/>
      <c r="BS2428" s="501"/>
      <c r="BT2428" s="501"/>
      <c r="BU2428" s="501"/>
      <c r="BV2428" s="501"/>
      <c r="BW2428" s="501"/>
      <c r="BX2428" s="501"/>
      <c r="BY2428" s="501"/>
      <c r="BZ2428" s="501"/>
      <c r="CA2428" s="501"/>
      <c r="CB2428" s="501"/>
      <c r="CC2428" s="501"/>
      <c r="CD2428" s="501"/>
      <c r="CE2428" s="501"/>
      <c r="CF2428" s="501"/>
      <c r="CG2428" s="501"/>
      <c r="CH2428" s="501"/>
      <c r="CI2428" s="501"/>
      <c r="CJ2428" s="501"/>
      <c r="CK2428" s="501"/>
      <c r="CL2428" s="501"/>
      <c r="CM2428" s="501"/>
      <c r="CN2428" s="501"/>
      <c r="CO2428" s="501"/>
      <c r="CP2428" s="501"/>
      <c r="CQ2428" s="501"/>
      <c r="CR2428" s="501"/>
      <c r="CS2428" s="501"/>
      <c r="CT2428" s="501"/>
      <c r="CU2428" s="501"/>
      <c r="CV2428" s="501"/>
      <c r="CW2428" s="501"/>
      <c r="CX2428" s="501"/>
      <c r="CY2428" s="501"/>
      <c r="CZ2428" s="501"/>
      <c r="DA2428" s="501"/>
      <c r="DB2428" s="501"/>
      <c r="DC2428" s="501"/>
      <c r="DD2428" s="501"/>
      <c r="DE2428" s="501"/>
      <c r="DF2428" s="501"/>
      <c r="DG2428" s="501"/>
      <c r="DH2428" s="501"/>
      <c r="DI2428" s="501"/>
      <c r="DJ2428" s="501"/>
      <c r="DK2428" s="501"/>
      <c r="DL2428" s="501"/>
      <c r="DM2428" s="501"/>
      <c r="DN2428" s="501"/>
      <c r="DO2428" s="501"/>
      <c r="DP2428" s="501"/>
      <c r="DQ2428" s="501"/>
      <c r="DR2428" s="501"/>
      <c r="DS2428" s="501"/>
      <c r="DT2428" s="501"/>
      <c r="DU2428" s="501"/>
      <c r="DV2428" s="501"/>
      <c r="DW2428" s="501"/>
      <c r="DX2428" s="501"/>
      <c r="DY2428" s="501"/>
      <c r="DZ2428" s="501"/>
      <c r="EA2428" s="501"/>
      <c r="EB2428" s="501"/>
      <c r="EC2428" s="501"/>
      <c r="ED2428" s="501"/>
      <c r="EE2428" s="501"/>
      <c r="EF2428" s="501"/>
      <c r="EG2428" s="501"/>
      <c r="EH2428" s="501"/>
      <c r="EI2428" s="501"/>
      <c r="EJ2428" s="501"/>
      <c r="EK2428" s="501"/>
      <c r="EL2428" s="501"/>
      <c r="EM2428" s="501"/>
      <c r="EN2428" s="501"/>
      <c r="EO2428" s="501"/>
      <c r="EP2428" s="501"/>
      <c r="EQ2428" s="501"/>
      <c r="ER2428" s="501"/>
      <c r="ES2428" s="501"/>
      <c r="ET2428" s="501"/>
      <c r="EU2428" s="501"/>
      <c r="EV2428" s="501"/>
      <c r="EW2428" s="501"/>
      <c r="EX2428" s="501"/>
      <c r="EY2428" s="501"/>
      <c r="EZ2428" s="501"/>
      <c r="FA2428" s="501"/>
      <c r="FB2428" s="501"/>
      <c r="FC2428" s="501"/>
      <c r="FD2428" s="501"/>
      <c r="FE2428" s="501"/>
      <c r="FF2428" s="501"/>
      <c r="FG2428" s="501"/>
      <c r="FH2428" s="501"/>
      <c r="FI2428" s="501"/>
      <c r="FJ2428" s="501"/>
      <c r="FK2428" s="501"/>
      <c r="FL2428" s="501"/>
      <c r="FM2428" s="501"/>
      <c r="FN2428" s="501"/>
      <c r="FO2428" s="501"/>
      <c r="FP2428" s="501"/>
      <c r="FQ2428" s="501"/>
      <c r="FR2428" s="501"/>
      <c r="FS2428" s="501"/>
      <c r="FT2428" s="501"/>
      <c r="FU2428" s="501"/>
      <c r="FV2428" s="501"/>
      <c r="FW2428" s="501"/>
      <c r="FX2428" s="501"/>
      <c r="FY2428" s="501"/>
      <c r="FZ2428" s="501"/>
      <c r="GA2428" s="501"/>
      <c r="GB2428" s="501"/>
      <c r="GC2428" s="501"/>
      <c r="GD2428" s="501"/>
      <c r="GE2428" s="501"/>
      <c r="GF2428" s="501"/>
      <c r="GG2428" s="501"/>
      <c r="GH2428" s="501"/>
      <c r="GI2428" s="501"/>
      <c r="GJ2428" s="501"/>
      <c r="GK2428" s="501"/>
      <c r="GL2428" s="501"/>
      <c r="GM2428" s="501"/>
      <c r="GN2428" s="501"/>
      <c r="GO2428" s="501"/>
      <c r="GP2428" s="501"/>
      <c r="GQ2428" s="501"/>
      <c r="GR2428" s="501"/>
      <c r="GS2428" s="501"/>
      <c r="GT2428" s="501"/>
      <c r="GU2428" s="501"/>
      <c r="GV2428" s="501"/>
      <c r="GW2428" s="501"/>
      <c r="GX2428" s="501"/>
      <c r="GY2428" s="501"/>
      <c r="GZ2428" s="501"/>
      <c r="HA2428" s="501"/>
      <c r="HB2428" s="501"/>
      <c r="HC2428" s="501"/>
      <c r="HD2428" s="501"/>
      <c r="HE2428" s="501"/>
      <c r="HF2428" s="501"/>
      <c r="HG2428" s="501"/>
      <c r="HH2428" s="501"/>
      <c r="HI2428" s="501"/>
      <c r="HJ2428" s="501"/>
      <c r="HK2428" s="501"/>
      <c r="HL2428" s="501"/>
      <c r="HM2428" s="501"/>
      <c r="HN2428" s="501"/>
      <c r="HO2428" s="501"/>
      <c r="HP2428" s="501"/>
      <c r="HQ2428" s="501"/>
      <c r="HR2428" s="501"/>
      <c r="HS2428" s="501"/>
      <c r="HT2428" s="501"/>
      <c r="HU2428" s="501"/>
      <c r="HV2428" s="501"/>
      <c r="HW2428" s="501"/>
      <c r="HX2428" s="501"/>
      <c r="HY2428" s="501"/>
      <c r="HZ2428" s="501"/>
      <c r="IA2428" s="501"/>
      <c r="IB2428" s="501"/>
      <c r="IC2428" s="501"/>
      <c r="ID2428" s="501"/>
      <c r="IE2428" s="501"/>
      <c r="IF2428" s="501"/>
      <c r="IG2428" s="501"/>
      <c r="IH2428" s="501"/>
      <c r="II2428" s="501"/>
      <c r="IJ2428" s="501"/>
      <c r="IK2428" s="501"/>
      <c r="IL2428" s="501"/>
      <c r="IM2428" s="501"/>
      <c r="IN2428" s="501"/>
      <c r="IO2428" s="501"/>
      <c r="IP2428" s="501"/>
      <c r="IQ2428" s="501"/>
      <c r="IR2428" s="501"/>
      <c r="IS2428" s="501"/>
      <c r="IT2428" s="501"/>
      <c r="IU2428" s="501"/>
    </row>
    <row r="2429" spans="1:255" s="877" customFormat="1" ht="24" customHeight="1">
      <c r="A2429" s="501"/>
      <c r="B2429" s="501"/>
      <c r="C2429" s="501"/>
      <c r="D2429" s="501"/>
      <c r="E2429" s="501"/>
      <c r="F2429" s="876"/>
      <c r="G2429" s="916"/>
      <c r="H2429" s="876"/>
      <c r="I2429" s="874"/>
      <c r="J2429" s="875"/>
      <c r="K2429" s="876"/>
      <c r="L2429" s="874"/>
      <c r="M2429" s="883"/>
      <c r="N2429" s="501"/>
      <c r="O2429" s="545"/>
      <c r="P2429" s="901"/>
      <c r="Q2429" s="876"/>
      <c r="R2429" s="545"/>
      <c r="S2429" s="876"/>
      <c r="T2429" s="545"/>
      <c r="V2429" s="501"/>
      <c r="W2429" s="501"/>
      <c r="X2429" s="501"/>
      <c r="Y2429" s="501"/>
      <c r="Z2429" s="501"/>
      <c r="AA2429" s="501"/>
      <c r="AB2429" s="501"/>
      <c r="AC2429" s="501"/>
      <c r="AD2429" s="501"/>
      <c r="AE2429" s="501"/>
      <c r="AF2429" s="501"/>
      <c r="AG2429" s="501"/>
      <c r="AH2429" s="501"/>
      <c r="AI2429" s="501"/>
      <c r="AJ2429" s="501"/>
      <c r="AK2429" s="501"/>
      <c r="AL2429" s="501"/>
      <c r="AM2429" s="501"/>
      <c r="AN2429" s="501"/>
      <c r="AO2429" s="501"/>
      <c r="AP2429" s="501"/>
      <c r="AQ2429" s="501"/>
      <c r="AR2429" s="501"/>
      <c r="AS2429" s="501"/>
      <c r="AT2429" s="501"/>
      <c r="AU2429" s="501"/>
      <c r="AV2429" s="501"/>
      <c r="AW2429" s="501"/>
      <c r="AX2429" s="501"/>
      <c r="AY2429" s="501"/>
      <c r="AZ2429" s="501"/>
      <c r="BA2429" s="501"/>
      <c r="BB2429" s="501"/>
      <c r="BC2429" s="501"/>
      <c r="BD2429" s="501"/>
      <c r="BE2429" s="501"/>
      <c r="BF2429" s="501"/>
      <c r="BG2429" s="501"/>
      <c r="BH2429" s="501"/>
      <c r="BI2429" s="501"/>
      <c r="BJ2429" s="501"/>
      <c r="BK2429" s="501"/>
      <c r="BL2429" s="501"/>
      <c r="BM2429" s="501"/>
      <c r="BN2429" s="501"/>
      <c r="BO2429" s="501"/>
      <c r="BP2429" s="501"/>
      <c r="BQ2429" s="501"/>
      <c r="BR2429" s="501"/>
      <c r="BS2429" s="501"/>
      <c r="BT2429" s="501"/>
      <c r="BU2429" s="501"/>
      <c r="BV2429" s="501"/>
      <c r="BW2429" s="501"/>
      <c r="BX2429" s="501"/>
      <c r="BY2429" s="501"/>
      <c r="BZ2429" s="501"/>
      <c r="CA2429" s="501"/>
      <c r="CB2429" s="501"/>
      <c r="CC2429" s="501"/>
      <c r="CD2429" s="501"/>
      <c r="CE2429" s="501"/>
      <c r="CF2429" s="501"/>
      <c r="CG2429" s="501"/>
      <c r="CH2429" s="501"/>
      <c r="CI2429" s="501"/>
      <c r="CJ2429" s="501"/>
      <c r="CK2429" s="501"/>
      <c r="CL2429" s="501"/>
      <c r="CM2429" s="501"/>
      <c r="CN2429" s="501"/>
      <c r="CO2429" s="501"/>
      <c r="CP2429" s="501"/>
      <c r="CQ2429" s="501"/>
      <c r="CR2429" s="501"/>
      <c r="CS2429" s="501"/>
      <c r="CT2429" s="501"/>
      <c r="CU2429" s="501"/>
      <c r="CV2429" s="501"/>
      <c r="CW2429" s="501"/>
      <c r="CX2429" s="501"/>
      <c r="CY2429" s="501"/>
      <c r="CZ2429" s="501"/>
      <c r="DA2429" s="501"/>
      <c r="DB2429" s="501"/>
      <c r="DC2429" s="501"/>
      <c r="DD2429" s="501"/>
      <c r="DE2429" s="501"/>
      <c r="DF2429" s="501"/>
      <c r="DG2429" s="501"/>
      <c r="DH2429" s="501"/>
      <c r="DI2429" s="501"/>
      <c r="DJ2429" s="501"/>
      <c r="DK2429" s="501"/>
      <c r="DL2429" s="501"/>
      <c r="DM2429" s="501"/>
      <c r="DN2429" s="501"/>
      <c r="DO2429" s="501"/>
      <c r="DP2429" s="501"/>
      <c r="DQ2429" s="501"/>
      <c r="DR2429" s="501"/>
      <c r="DS2429" s="501"/>
      <c r="DT2429" s="501"/>
      <c r="DU2429" s="501"/>
      <c r="DV2429" s="501"/>
      <c r="DW2429" s="501"/>
      <c r="DX2429" s="501"/>
      <c r="DY2429" s="501"/>
      <c r="DZ2429" s="501"/>
      <c r="EA2429" s="501"/>
      <c r="EB2429" s="501"/>
      <c r="EC2429" s="501"/>
      <c r="ED2429" s="501"/>
      <c r="EE2429" s="501"/>
      <c r="EF2429" s="501"/>
      <c r="EG2429" s="501"/>
      <c r="EH2429" s="501"/>
      <c r="EI2429" s="501"/>
      <c r="EJ2429" s="501"/>
      <c r="EK2429" s="501"/>
      <c r="EL2429" s="501"/>
      <c r="EM2429" s="501"/>
      <c r="EN2429" s="501"/>
      <c r="EO2429" s="501"/>
      <c r="EP2429" s="501"/>
      <c r="EQ2429" s="501"/>
      <c r="ER2429" s="501"/>
      <c r="ES2429" s="501"/>
      <c r="ET2429" s="501"/>
      <c r="EU2429" s="501"/>
      <c r="EV2429" s="501"/>
      <c r="EW2429" s="501"/>
      <c r="EX2429" s="501"/>
      <c r="EY2429" s="501"/>
      <c r="EZ2429" s="501"/>
      <c r="FA2429" s="501"/>
      <c r="FB2429" s="501"/>
      <c r="FC2429" s="501"/>
      <c r="FD2429" s="501"/>
      <c r="FE2429" s="501"/>
      <c r="FF2429" s="501"/>
      <c r="FG2429" s="501"/>
      <c r="FH2429" s="501"/>
      <c r="FI2429" s="501"/>
      <c r="FJ2429" s="501"/>
      <c r="FK2429" s="501"/>
      <c r="FL2429" s="501"/>
      <c r="FM2429" s="501"/>
      <c r="FN2429" s="501"/>
      <c r="FO2429" s="501"/>
      <c r="FP2429" s="501"/>
      <c r="FQ2429" s="501"/>
      <c r="FR2429" s="501"/>
      <c r="FS2429" s="501"/>
      <c r="FT2429" s="501"/>
      <c r="FU2429" s="501"/>
      <c r="FV2429" s="501"/>
      <c r="FW2429" s="501"/>
      <c r="FX2429" s="501"/>
      <c r="FY2429" s="501"/>
      <c r="FZ2429" s="501"/>
      <c r="GA2429" s="501"/>
      <c r="GB2429" s="501"/>
      <c r="GC2429" s="501"/>
      <c r="GD2429" s="501"/>
      <c r="GE2429" s="501"/>
      <c r="GF2429" s="501"/>
      <c r="GG2429" s="501"/>
      <c r="GH2429" s="501"/>
      <c r="GI2429" s="501"/>
      <c r="GJ2429" s="501"/>
      <c r="GK2429" s="501"/>
      <c r="GL2429" s="501"/>
      <c r="GM2429" s="501"/>
      <c r="GN2429" s="501"/>
      <c r="GO2429" s="501"/>
      <c r="GP2429" s="501"/>
      <c r="GQ2429" s="501"/>
      <c r="GR2429" s="501"/>
      <c r="GS2429" s="501"/>
      <c r="GT2429" s="501"/>
      <c r="GU2429" s="501"/>
      <c r="GV2429" s="501"/>
      <c r="GW2429" s="501"/>
      <c r="GX2429" s="501"/>
      <c r="GY2429" s="501"/>
      <c r="GZ2429" s="501"/>
      <c r="HA2429" s="501"/>
      <c r="HB2429" s="501"/>
      <c r="HC2429" s="501"/>
      <c r="HD2429" s="501"/>
      <c r="HE2429" s="501"/>
      <c r="HF2429" s="501"/>
      <c r="HG2429" s="501"/>
      <c r="HH2429" s="501"/>
      <c r="HI2429" s="501"/>
      <c r="HJ2429" s="501"/>
      <c r="HK2429" s="501"/>
      <c r="HL2429" s="501"/>
      <c r="HM2429" s="501"/>
      <c r="HN2429" s="501"/>
      <c r="HO2429" s="501"/>
      <c r="HP2429" s="501"/>
      <c r="HQ2429" s="501"/>
      <c r="HR2429" s="501"/>
      <c r="HS2429" s="501"/>
      <c r="HT2429" s="501"/>
      <c r="HU2429" s="501"/>
      <c r="HV2429" s="501"/>
      <c r="HW2429" s="501"/>
      <c r="HX2429" s="501"/>
      <c r="HY2429" s="501"/>
      <c r="HZ2429" s="501"/>
      <c r="IA2429" s="501"/>
      <c r="IB2429" s="501"/>
      <c r="IC2429" s="501"/>
      <c r="ID2429" s="501"/>
      <c r="IE2429" s="501"/>
      <c r="IF2429" s="501"/>
      <c r="IG2429" s="501"/>
      <c r="IH2429" s="501"/>
      <c r="II2429" s="501"/>
      <c r="IJ2429" s="501"/>
      <c r="IK2429" s="501"/>
      <c r="IL2429" s="501"/>
      <c r="IM2429" s="501"/>
      <c r="IN2429" s="501"/>
      <c r="IO2429" s="501"/>
      <c r="IP2429" s="501"/>
      <c r="IQ2429" s="501"/>
      <c r="IR2429" s="501"/>
      <c r="IS2429" s="501"/>
      <c r="IT2429" s="501"/>
      <c r="IU2429" s="501"/>
    </row>
    <row r="2430" spans="1:255" s="877" customFormat="1" ht="24" customHeight="1">
      <c r="A2430" s="501"/>
      <c r="B2430" s="501"/>
      <c r="C2430" s="501"/>
      <c r="D2430" s="501"/>
      <c r="E2430" s="501"/>
      <c r="F2430" s="501"/>
      <c r="G2430" s="915"/>
      <c r="H2430" s="501"/>
      <c r="I2430" s="874"/>
      <c r="J2430" s="501"/>
      <c r="K2430" s="501"/>
      <c r="L2430" s="874"/>
      <c r="M2430" s="1049"/>
      <c r="N2430" s="501"/>
      <c r="O2430" s="545"/>
      <c r="P2430" s="901"/>
      <c r="Q2430" s="876"/>
      <c r="R2430" s="545"/>
      <c r="S2430" s="876"/>
      <c r="T2430" s="545"/>
      <c r="V2430" s="501"/>
      <c r="W2430" s="501"/>
      <c r="X2430" s="501"/>
      <c r="Y2430" s="501"/>
      <c r="Z2430" s="501"/>
      <c r="AA2430" s="501"/>
      <c r="AB2430" s="501"/>
      <c r="AC2430" s="501"/>
      <c r="AD2430" s="501"/>
      <c r="AE2430" s="501"/>
      <c r="AF2430" s="501"/>
      <c r="AG2430" s="501"/>
      <c r="AH2430" s="501"/>
      <c r="AI2430" s="501"/>
      <c r="AJ2430" s="501"/>
      <c r="AK2430" s="501"/>
      <c r="AL2430" s="501"/>
      <c r="AM2430" s="501"/>
      <c r="AN2430" s="501"/>
      <c r="AO2430" s="501"/>
      <c r="AP2430" s="501"/>
      <c r="AQ2430" s="501"/>
      <c r="AR2430" s="501"/>
      <c r="AS2430" s="501"/>
      <c r="AT2430" s="501"/>
      <c r="AU2430" s="501"/>
      <c r="AV2430" s="501"/>
      <c r="AW2430" s="501"/>
      <c r="AX2430" s="501"/>
      <c r="AY2430" s="501"/>
      <c r="AZ2430" s="501"/>
      <c r="BA2430" s="501"/>
      <c r="BB2430" s="501"/>
      <c r="BC2430" s="501"/>
      <c r="BD2430" s="501"/>
      <c r="BE2430" s="501"/>
      <c r="BF2430" s="501"/>
      <c r="BG2430" s="501"/>
      <c r="BH2430" s="501"/>
      <c r="BI2430" s="501"/>
      <c r="BJ2430" s="501"/>
      <c r="BK2430" s="501"/>
      <c r="BL2430" s="501"/>
      <c r="BM2430" s="501"/>
      <c r="BN2430" s="501"/>
      <c r="BO2430" s="501"/>
      <c r="BP2430" s="501"/>
      <c r="BQ2430" s="501"/>
      <c r="BR2430" s="501"/>
      <c r="BS2430" s="501"/>
      <c r="BT2430" s="501"/>
      <c r="BU2430" s="501"/>
      <c r="BV2430" s="501"/>
      <c r="BW2430" s="501"/>
      <c r="BX2430" s="501"/>
      <c r="BY2430" s="501"/>
      <c r="BZ2430" s="501"/>
      <c r="CA2430" s="501"/>
      <c r="CB2430" s="501"/>
      <c r="CC2430" s="501"/>
      <c r="CD2430" s="501"/>
      <c r="CE2430" s="501"/>
      <c r="CF2430" s="501"/>
      <c r="CG2430" s="501"/>
      <c r="CH2430" s="501"/>
      <c r="CI2430" s="501"/>
      <c r="CJ2430" s="501"/>
      <c r="CK2430" s="501"/>
      <c r="CL2430" s="501"/>
      <c r="CM2430" s="501"/>
      <c r="CN2430" s="501"/>
      <c r="CO2430" s="501"/>
      <c r="CP2430" s="501"/>
      <c r="CQ2430" s="501"/>
      <c r="CR2430" s="501"/>
      <c r="CS2430" s="501"/>
      <c r="CT2430" s="501"/>
      <c r="CU2430" s="501"/>
      <c r="CV2430" s="501"/>
      <c r="CW2430" s="501"/>
      <c r="CX2430" s="501"/>
      <c r="CY2430" s="501"/>
      <c r="CZ2430" s="501"/>
      <c r="DA2430" s="501"/>
      <c r="DB2430" s="501"/>
      <c r="DC2430" s="501"/>
      <c r="DD2430" s="501"/>
      <c r="DE2430" s="501"/>
      <c r="DF2430" s="501"/>
      <c r="DG2430" s="501"/>
      <c r="DH2430" s="501"/>
      <c r="DI2430" s="501"/>
      <c r="DJ2430" s="501"/>
      <c r="DK2430" s="501"/>
      <c r="DL2430" s="501"/>
      <c r="DM2430" s="501"/>
      <c r="DN2430" s="501"/>
      <c r="DO2430" s="501"/>
      <c r="DP2430" s="501"/>
      <c r="DQ2430" s="501"/>
      <c r="DR2430" s="501"/>
      <c r="DS2430" s="501"/>
      <c r="DT2430" s="501"/>
      <c r="DU2430" s="501"/>
      <c r="DV2430" s="501"/>
      <c r="DW2430" s="501"/>
      <c r="DX2430" s="501"/>
      <c r="DY2430" s="501"/>
      <c r="DZ2430" s="501"/>
      <c r="EA2430" s="501"/>
      <c r="EB2430" s="501"/>
      <c r="EC2430" s="501"/>
      <c r="ED2430" s="501"/>
      <c r="EE2430" s="501"/>
      <c r="EF2430" s="501"/>
      <c r="EG2430" s="501"/>
      <c r="EH2430" s="501"/>
      <c r="EI2430" s="501"/>
      <c r="EJ2430" s="501"/>
      <c r="EK2430" s="501"/>
      <c r="EL2430" s="501"/>
      <c r="EM2430" s="501"/>
      <c r="EN2430" s="501"/>
      <c r="EO2430" s="501"/>
      <c r="EP2430" s="501"/>
      <c r="EQ2430" s="501"/>
      <c r="ER2430" s="501"/>
      <c r="ES2430" s="501"/>
      <c r="ET2430" s="501"/>
      <c r="EU2430" s="501"/>
      <c r="EV2430" s="501"/>
      <c r="EW2430" s="501"/>
      <c r="EX2430" s="501"/>
      <c r="EY2430" s="501"/>
      <c r="EZ2430" s="501"/>
      <c r="FA2430" s="501"/>
      <c r="FB2430" s="501"/>
      <c r="FC2430" s="501"/>
      <c r="FD2430" s="501"/>
      <c r="FE2430" s="501"/>
      <c r="FF2430" s="501"/>
      <c r="FG2430" s="501"/>
      <c r="FH2430" s="501"/>
      <c r="FI2430" s="501"/>
      <c r="FJ2430" s="501"/>
      <c r="FK2430" s="501"/>
      <c r="FL2430" s="501"/>
      <c r="FM2430" s="501"/>
      <c r="FN2430" s="501"/>
      <c r="FO2430" s="501"/>
      <c r="FP2430" s="501"/>
      <c r="FQ2430" s="501"/>
      <c r="FR2430" s="501"/>
      <c r="FS2430" s="501"/>
      <c r="FT2430" s="501"/>
      <c r="FU2430" s="501"/>
      <c r="FV2430" s="501"/>
      <c r="FW2430" s="501"/>
      <c r="FX2430" s="501"/>
      <c r="FY2430" s="501"/>
      <c r="FZ2430" s="501"/>
      <c r="GA2430" s="501"/>
      <c r="GB2430" s="501"/>
      <c r="GC2430" s="501"/>
      <c r="GD2430" s="501"/>
      <c r="GE2430" s="501"/>
      <c r="GF2430" s="501"/>
      <c r="GG2430" s="501"/>
      <c r="GH2430" s="501"/>
      <c r="GI2430" s="501"/>
      <c r="GJ2430" s="501"/>
      <c r="GK2430" s="501"/>
      <c r="GL2430" s="501"/>
      <c r="GM2430" s="501"/>
      <c r="GN2430" s="501"/>
      <c r="GO2430" s="501"/>
      <c r="GP2430" s="501"/>
      <c r="GQ2430" s="501"/>
      <c r="GR2430" s="501"/>
      <c r="GS2430" s="501"/>
      <c r="GT2430" s="501"/>
      <c r="GU2430" s="501"/>
      <c r="GV2430" s="501"/>
      <c r="GW2430" s="501"/>
      <c r="GX2430" s="501"/>
      <c r="GY2430" s="501"/>
      <c r="GZ2430" s="501"/>
      <c r="HA2430" s="501"/>
      <c r="HB2430" s="501"/>
      <c r="HC2430" s="501"/>
      <c r="HD2430" s="501"/>
      <c r="HE2430" s="501"/>
      <c r="HF2430" s="501"/>
      <c r="HG2430" s="501"/>
      <c r="HH2430" s="501"/>
      <c r="HI2430" s="501"/>
      <c r="HJ2430" s="501"/>
      <c r="HK2430" s="501"/>
      <c r="HL2430" s="501"/>
      <c r="HM2430" s="501"/>
      <c r="HN2430" s="501"/>
      <c r="HO2430" s="501"/>
      <c r="HP2430" s="501"/>
      <c r="HQ2430" s="501"/>
      <c r="HR2430" s="501"/>
      <c r="HS2430" s="501"/>
      <c r="HT2430" s="501"/>
      <c r="HU2430" s="501"/>
      <c r="HV2430" s="501"/>
      <c r="HW2430" s="501"/>
      <c r="HX2430" s="501"/>
      <c r="HY2430" s="501"/>
      <c r="HZ2430" s="501"/>
      <c r="IA2430" s="501"/>
      <c r="IB2430" s="501"/>
      <c r="IC2430" s="501"/>
      <c r="ID2430" s="501"/>
      <c r="IE2430" s="501"/>
      <c r="IF2430" s="501"/>
      <c r="IG2430" s="501"/>
      <c r="IH2430" s="501"/>
      <c r="II2430" s="501"/>
      <c r="IJ2430" s="501"/>
      <c r="IK2430" s="501"/>
      <c r="IL2430" s="501"/>
      <c r="IM2430" s="501"/>
      <c r="IN2430" s="501"/>
      <c r="IO2430" s="501"/>
      <c r="IP2430" s="501"/>
      <c r="IQ2430" s="501"/>
      <c r="IR2430" s="501"/>
      <c r="IS2430" s="501"/>
      <c r="IT2430" s="501"/>
      <c r="IU2430" s="501"/>
    </row>
    <row r="2431" spans="1:255" s="877" customFormat="1" ht="24" customHeight="1">
      <c r="A2431" s="501"/>
      <c r="B2431" s="501"/>
      <c r="C2431" s="501"/>
      <c r="D2431" s="501"/>
      <c r="E2431" s="501"/>
      <c r="F2431" s="501"/>
      <c r="G2431" s="915"/>
      <c r="H2431" s="501"/>
      <c r="I2431" s="874"/>
      <c r="J2431" s="501"/>
      <c r="K2431" s="501"/>
      <c r="L2431" s="874"/>
      <c r="M2431" s="554"/>
      <c r="N2431" s="501"/>
      <c r="O2431" s="545"/>
      <c r="P2431" s="901"/>
      <c r="Q2431" s="876"/>
      <c r="R2431" s="545"/>
      <c r="S2431" s="876"/>
      <c r="T2431" s="545"/>
      <c r="V2431" s="501"/>
      <c r="W2431" s="501"/>
      <c r="X2431" s="501"/>
      <c r="Y2431" s="501"/>
      <c r="Z2431" s="501"/>
      <c r="AA2431" s="501"/>
      <c r="AB2431" s="501"/>
      <c r="AC2431" s="501"/>
      <c r="AD2431" s="501"/>
      <c r="AE2431" s="501"/>
      <c r="AF2431" s="501"/>
      <c r="AG2431" s="501"/>
      <c r="AH2431" s="501"/>
      <c r="AI2431" s="501"/>
      <c r="AJ2431" s="501"/>
      <c r="AK2431" s="501"/>
      <c r="AL2431" s="501"/>
      <c r="AM2431" s="501"/>
      <c r="AN2431" s="501"/>
      <c r="AO2431" s="501"/>
      <c r="AP2431" s="501"/>
      <c r="AQ2431" s="501"/>
      <c r="AR2431" s="501"/>
      <c r="AS2431" s="501"/>
      <c r="AT2431" s="501"/>
      <c r="AU2431" s="501"/>
      <c r="AV2431" s="501"/>
      <c r="AW2431" s="501"/>
      <c r="AX2431" s="501"/>
      <c r="AY2431" s="501"/>
      <c r="AZ2431" s="501"/>
      <c r="BA2431" s="501"/>
      <c r="BB2431" s="501"/>
      <c r="BC2431" s="501"/>
      <c r="BD2431" s="501"/>
      <c r="BE2431" s="501"/>
      <c r="BF2431" s="501"/>
      <c r="BG2431" s="501"/>
      <c r="BH2431" s="501"/>
      <c r="BI2431" s="501"/>
      <c r="BJ2431" s="501"/>
      <c r="BK2431" s="501"/>
      <c r="BL2431" s="501"/>
      <c r="BM2431" s="501"/>
      <c r="BN2431" s="501"/>
      <c r="BO2431" s="501"/>
      <c r="BP2431" s="501"/>
      <c r="BQ2431" s="501"/>
      <c r="BR2431" s="501"/>
      <c r="BS2431" s="501"/>
      <c r="BT2431" s="501"/>
      <c r="BU2431" s="501"/>
      <c r="BV2431" s="501"/>
      <c r="BW2431" s="501"/>
      <c r="BX2431" s="501"/>
      <c r="BY2431" s="501"/>
      <c r="BZ2431" s="501"/>
      <c r="CA2431" s="501"/>
      <c r="CB2431" s="501"/>
      <c r="CC2431" s="501"/>
      <c r="CD2431" s="501"/>
      <c r="CE2431" s="501"/>
      <c r="CF2431" s="501"/>
      <c r="CG2431" s="501"/>
      <c r="CH2431" s="501"/>
      <c r="CI2431" s="501"/>
      <c r="CJ2431" s="501"/>
      <c r="CK2431" s="501"/>
      <c r="CL2431" s="501"/>
      <c r="CM2431" s="501"/>
      <c r="CN2431" s="501"/>
      <c r="CO2431" s="501"/>
      <c r="CP2431" s="501"/>
      <c r="CQ2431" s="501"/>
      <c r="CR2431" s="501"/>
      <c r="CS2431" s="501"/>
      <c r="CT2431" s="501"/>
      <c r="CU2431" s="501"/>
      <c r="CV2431" s="501"/>
      <c r="CW2431" s="501"/>
      <c r="CX2431" s="501"/>
      <c r="CY2431" s="501"/>
      <c r="CZ2431" s="501"/>
      <c r="DA2431" s="501"/>
      <c r="DB2431" s="501"/>
      <c r="DC2431" s="501"/>
      <c r="DD2431" s="501"/>
      <c r="DE2431" s="501"/>
      <c r="DF2431" s="501"/>
      <c r="DG2431" s="501"/>
      <c r="DH2431" s="501"/>
      <c r="DI2431" s="501"/>
      <c r="DJ2431" s="501"/>
      <c r="DK2431" s="501"/>
      <c r="DL2431" s="501"/>
      <c r="DM2431" s="501"/>
      <c r="DN2431" s="501"/>
      <c r="DO2431" s="501"/>
      <c r="DP2431" s="501"/>
      <c r="DQ2431" s="501"/>
      <c r="DR2431" s="501"/>
      <c r="DS2431" s="501"/>
      <c r="DT2431" s="501"/>
      <c r="DU2431" s="501"/>
      <c r="DV2431" s="501"/>
      <c r="DW2431" s="501"/>
      <c r="DX2431" s="501"/>
      <c r="DY2431" s="501"/>
      <c r="DZ2431" s="501"/>
      <c r="EA2431" s="501"/>
      <c r="EB2431" s="501"/>
      <c r="EC2431" s="501"/>
      <c r="ED2431" s="501"/>
      <c r="EE2431" s="501"/>
      <c r="EF2431" s="501"/>
      <c r="EG2431" s="501"/>
      <c r="EH2431" s="501"/>
      <c r="EI2431" s="501"/>
      <c r="EJ2431" s="501"/>
      <c r="EK2431" s="501"/>
      <c r="EL2431" s="501"/>
      <c r="EM2431" s="501"/>
      <c r="EN2431" s="501"/>
      <c r="EO2431" s="501"/>
      <c r="EP2431" s="501"/>
      <c r="EQ2431" s="501"/>
      <c r="ER2431" s="501"/>
      <c r="ES2431" s="501"/>
      <c r="ET2431" s="501"/>
      <c r="EU2431" s="501"/>
      <c r="EV2431" s="501"/>
      <c r="EW2431" s="501"/>
      <c r="EX2431" s="501"/>
      <c r="EY2431" s="501"/>
      <c r="EZ2431" s="501"/>
      <c r="FA2431" s="501"/>
      <c r="FB2431" s="501"/>
      <c r="FC2431" s="501"/>
      <c r="FD2431" s="501"/>
      <c r="FE2431" s="501"/>
      <c r="FF2431" s="501"/>
      <c r="FG2431" s="501"/>
      <c r="FH2431" s="501"/>
      <c r="FI2431" s="501"/>
      <c r="FJ2431" s="501"/>
      <c r="FK2431" s="501"/>
      <c r="FL2431" s="501"/>
      <c r="FM2431" s="501"/>
      <c r="FN2431" s="501"/>
      <c r="FO2431" s="501"/>
      <c r="FP2431" s="501"/>
      <c r="FQ2431" s="501"/>
      <c r="FR2431" s="501"/>
      <c r="FS2431" s="501"/>
      <c r="FT2431" s="501"/>
      <c r="FU2431" s="501"/>
      <c r="FV2431" s="501"/>
      <c r="FW2431" s="501"/>
      <c r="FX2431" s="501"/>
      <c r="FY2431" s="501"/>
      <c r="FZ2431" s="501"/>
      <c r="GA2431" s="501"/>
      <c r="GB2431" s="501"/>
      <c r="GC2431" s="501"/>
      <c r="GD2431" s="501"/>
      <c r="GE2431" s="501"/>
      <c r="GF2431" s="501"/>
      <c r="GG2431" s="501"/>
      <c r="GH2431" s="501"/>
      <c r="GI2431" s="501"/>
      <c r="GJ2431" s="501"/>
      <c r="GK2431" s="501"/>
      <c r="GL2431" s="501"/>
      <c r="GM2431" s="501"/>
      <c r="GN2431" s="501"/>
      <c r="GO2431" s="501"/>
      <c r="GP2431" s="501"/>
      <c r="GQ2431" s="501"/>
      <c r="GR2431" s="501"/>
      <c r="GS2431" s="501"/>
      <c r="GT2431" s="501"/>
      <c r="GU2431" s="501"/>
      <c r="GV2431" s="501"/>
      <c r="GW2431" s="501"/>
      <c r="GX2431" s="501"/>
      <c r="GY2431" s="501"/>
      <c r="GZ2431" s="501"/>
      <c r="HA2431" s="501"/>
      <c r="HB2431" s="501"/>
      <c r="HC2431" s="501"/>
      <c r="HD2431" s="501"/>
      <c r="HE2431" s="501"/>
      <c r="HF2431" s="501"/>
      <c r="HG2431" s="501"/>
      <c r="HH2431" s="501"/>
      <c r="HI2431" s="501"/>
      <c r="HJ2431" s="501"/>
      <c r="HK2431" s="501"/>
      <c r="HL2431" s="501"/>
      <c r="HM2431" s="501"/>
      <c r="HN2431" s="501"/>
      <c r="HO2431" s="501"/>
      <c r="HP2431" s="501"/>
      <c r="HQ2431" s="501"/>
      <c r="HR2431" s="501"/>
      <c r="HS2431" s="501"/>
      <c r="HT2431" s="501"/>
      <c r="HU2431" s="501"/>
      <c r="HV2431" s="501"/>
      <c r="HW2431" s="501"/>
      <c r="HX2431" s="501"/>
      <c r="HY2431" s="501"/>
      <c r="HZ2431" s="501"/>
      <c r="IA2431" s="501"/>
      <c r="IB2431" s="501"/>
      <c r="IC2431" s="501"/>
      <c r="ID2431" s="501"/>
      <c r="IE2431" s="501"/>
      <c r="IF2431" s="501"/>
      <c r="IG2431" s="501"/>
      <c r="IH2431" s="501"/>
      <c r="II2431" s="501"/>
      <c r="IJ2431" s="501"/>
      <c r="IK2431" s="501"/>
      <c r="IL2431" s="501"/>
      <c r="IM2431" s="501"/>
      <c r="IN2431" s="501"/>
      <c r="IO2431" s="501"/>
      <c r="IP2431" s="501"/>
      <c r="IQ2431" s="501"/>
      <c r="IR2431" s="501"/>
      <c r="IS2431" s="501"/>
      <c r="IT2431" s="501"/>
      <c r="IU2431" s="501"/>
    </row>
    <row r="2432" spans="1:255" s="877" customFormat="1" ht="24" customHeight="1">
      <c r="A2432" s="501"/>
      <c r="B2432" s="501"/>
      <c r="C2432" s="501"/>
      <c r="D2432" s="501"/>
      <c r="E2432" s="501"/>
      <c r="F2432" s="501"/>
      <c r="G2432" s="915"/>
      <c r="H2432" s="501"/>
      <c r="I2432" s="874"/>
      <c r="J2432" s="501"/>
      <c r="K2432" s="501"/>
      <c r="L2432" s="874"/>
      <c r="M2432" s="554"/>
      <c r="N2432" s="501"/>
      <c r="O2432" s="904"/>
      <c r="P2432" s="901"/>
      <c r="Q2432" s="501"/>
      <c r="R2432" s="545"/>
      <c r="S2432" s="876"/>
      <c r="T2432" s="545"/>
      <c r="V2432" s="501"/>
      <c r="W2432" s="501"/>
      <c r="X2432" s="501"/>
      <c r="Y2432" s="501"/>
      <c r="Z2432" s="501"/>
      <c r="AA2432" s="501"/>
      <c r="AB2432" s="501"/>
      <c r="AC2432" s="501"/>
      <c r="AD2432" s="501"/>
      <c r="AE2432" s="501"/>
      <c r="AF2432" s="501"/>
      <c r="AG2432" s="501"/>
      <c r="AH2432" s="501"/>
      <c r="AI2432" s="501"/>
      <c r="AJ2432" s="501"/>
      <c r="AK2432" s="501"/>
      <c r="AL2432" s="501"/>
      <c r="AM2432" s="501"/>
      <c r="AN2432" s="501"/>
      <c r="AO2432" s="501"/>
      <c r="AP2432" s="501"/>
      <c r="AQ2432" s="501"/>
      <c r="AR2432" s="501"/>
      <c r="AS2432" s="501"/>
      <c r="AT2432" s="501"/>
      <c r="AU2432" s="501"/>
      <c r="AV2432" s="501"/>
      <c r="AW2432" s="501"/>
      <c r="AX2432" s="501"/>
      <c r="AY2432" s="501"/>
      <c r="AZ2432" s="501"/>
      <c r="BA2432" s="501"/>
      <c r="BB2432" s="501"/>
      <c r="BC2432" s="501"/>
      <c r="BD2432" s="501"/>
      <c r="BE2432" s="501"/>
      <c r="BF2432" s="501"/>
      <c r="BG2432" s="501"/>
      <c r="BH2432" s="501"/>
      <c r="BI2432" s="501"/>
      <c r="BJ2432" s="501"/>
      <c r="BK2432" s="501"/>
      <c r="BL2432" s="501"/>
      <c r="BM2432" s="501"/>
      <c r="BN2432" s="501"/>
      <c r="BO2432" s="501"/>
      <c r="BP2432" s="501"/>
      <c r="BQ2432" s="501"/>
      <c r="BR2432" s="501"/>
      <c r="BS2432" s="501"/>
      <c r="BT2432" s="501"/>
      <c r="BU2432" s="501"/>
      <c r="BV2432" s="501"/>
      <c r="BW2432" s="501"/>
      <c r="BX2432" s="501"/>
      <c r="BY2432" s="501"/>
      <c r="BZ2432" s="501"/>
      <c r="CA2432" s="501"/>
      <c r="CB2432" s="501"/>
      <c r="CC2432" s="501"/>
      <c r="CD2432" s="501"/>
      <c r="CE2432" s="501"/>
      <c r="CF2432" s="501"/>
      <c r="CG2432" s="501"/>
      <c r="CH2432" s="501"/>
      <c r="CI2432" s="501"/>
      <c r="CJ2432" s="501"/>
      <c r="CK2432" s="501"/>
      <c r="CL2432" s="501"/>
      <c r="CM2432" s="501"/>
      <c r="CN2432" s="501"/>
      <c r="CO2432" s="501"/>
      <c r="CP2432" s="501"/>
      <c r="CQ2432" s="501"/>
      <c r="CR2432" s="501"/>
      <c r="CS2432" s="501"/>
      <c r="CT2432" s="501"/>
      <c r="CU2432" s="501"/>
      <c r="CV2432" s="501"/>
      <c r="CW2432" s="501"/>
      <c r="CX2432" s="501"/>
      <c r="CY2432" s="501"/>
      <c r="CZ2432" s="501"/>
      <c r="DA2432" s="501"/>
      <c r="DB2432" s="501"/>
      <c r="DC2432" s="501"/>
      <c r="DD2432" s="501"/>
      <c r="DE2432" s="501"/>
      <c r="DF2432" s="501"/>
      <c r="DG2432" s="501"/>
      <c r="DH2432" s="501"/>
      <c r="DI2432" s="501"/>
      <c r="DJ2432" s="501"/>
      <c r="DK2432" s="501"/>
      <c r="DL2432" s="501"/>
      <c r="DM2432" s="501"/>
      <c r="DN2432" s="501"/>
      <c r="DO2432" s="501"/>
      <c r="DP2432" s="501"/>
      <c r="DQ2432" s="501"/>
      <c r="DR2432" s="501"/>
      <c r="DS2432" s="501"/>
      <c r="DT2432" s="501"/>
      <c r="DU2432" s="501"/>
      <c r="DV2432" s="501"/>
      <c r="DW2432" s="501"/>
      <c r="DX2432" s="501"/>
      <c r="DY2432" s="501"/>
      <c r="DZ2432" s="501"/>
      <c r="EA2432" s="501"/>
      <c r="EB2432" s="501"/>
      <c r="EC2432" s="501"/>
      <c r="ED2432" s="501"/>
      <c r="EE2432" s="501"/>
      <c r="EF2432" s="501"/>
      <c r="EG2432" s="501"/>
      <c r="EH2432" s="501"/>
      <c r="EI2432" s="501"/>
      <c r="EJ2432" s="501"/>
      <c r="EK2432" s="501"/>
      <c r="EL2432" s="501"/>
      <c r="EM2432" s="501"/>
      <c r="EN2432" s="501"/>
      <c r="EO2432" s="501"/>
      <c r="EP2432" s="501"/>
      <c r="EQ2432" s="501"/>
      <c r="ER2432" s="501"/>
      <c r="ES2432" s="501"/>
      <c r="ET2432" s="501"/>
      <c r="EU2432" s="501"/>
      <c r="EV2432" s="501"/>
      <c r="EW2432" s="501"/>
      <c r="EX2432" s="501"/>
      <c r="EY2432" s="501"/>
      <c r="EZ2432" s="501"/>
      <c r="FA2432" s="501"/>
      <c r="FB2432" s="501"/>
      <c r="FC2432" s="501"/>
      <c r="FD2432" s="501"/>
      <c r="FE2432" s="501"/>
      <c r="FF2432" s="501"/>
      <c r="FG2432" s="501"/>
      <c r="FH2432" s="501"/>
      <c r="FI2432" s="501"/>
      <c r="FJ2432" s="501"/>
      <c r="FK2432" s="501"/>
      <c r="FL2432" s="501"/>
      <c r="FM2432" s="501"/>
      <c r="FN2432" s="501"/>
      <c r="FO2432" s="501"/>
      <c r="FP2432" s="501"/>
      <c r="FQ2432" s="501"/>
      <c r="FR2432" s="501"/>
      <c r="FS2432" s="501"/>
      <c r="FT2432" s="501"/>
      <c r="FU2432" s="501"/>
      <c r="FV2432" s="501"/>
      <c r="FW2432" s="501"/>
      <c r="FX2432" s="501"/>
      <c r="FY2432" s="501"/>
      <c r="FZ2432" s="501"/>
      <c r="GA2432" s="501"/>
      <c r="GB2432" s="501"/>
      <c r="GC2432" s="501"/>
      <c r="GD2432" s="501"/>
      <c r="GE2432" s="501"/>
      <c r="GF2432" s="501"/>
      <c r="GG2432" s="501"/>
      <c r="GH2432" s="501"/>
      <c r="GI2432" s="501"/>
      <c r="GJ2432" s="501"/>
      <c r="GK2432" s="501"/>
      <c r="GL2432" s="501"/>
      <c r="GM2432" s="501"/>
      <c r="GN2432" s="501"/>
      <c r="GO2432" s="501"/>
      <c r="GP2432" s="501"/>
      <c r="GQ2432" s="501"/>
      <c r="GR2432" s="501"/>
      <c r="GS2432" s="501"/>
      <c r="GT2432" s="501"/>
      <c r="GU2432" s="501"/>
      <c r="GV2432" s="501"/>
      <c r="GW2432" s="501"/>
      <c r="GX2432" s="501"/>
      <c r="GY2432" s="501"/>
      <c r="GZ2432" s="501"/>
      <c r="HA2432" s="501"/>
      <c r="HB2432" s="501"/>
      <c r="HC2432" s="501"/>
      <c r="HD2432" s="501"/>
      <c r="HE2432" s="501"/>
      <c r="HF2432" s="501"/>
      <c r="HG2432" s="501"/>
      <c r="HH2432" s="501"/>
      <c r="HI2432" s="501"/>
      <c r="HJ2432" s="501"/>
      <c r="HK2432" s="501"/>
      <c r="HL2432" s="501"/>
      <c r="HM2432" s="501"/>
      <c r="HN2432" s="501"/>
      <c r="HO2432" s="501"/>
      <c r="HP2432" s="501"/>
      <c r="HQ2432" s="501"/>
      <c r="HR2432" s="501"/>
      <c r="HS2432" s="501"/>
      <c r="HT2432" s="501"/>
      <c r="HU2432" s="501"/>
      <c r="HV2432" s="501"/>
      <c r="HW2432" s="501"/>
      <c r="HX2432" s="501"/>
      <c r="HY2432" s="501"/>
      <c r="HZ2432" s="501"/>
      <c r="IA2432" s="501"/>
      <c r="IB2432" s="501"/>
      <c r="IC2432" s="501"/>
      <c r="ID2432" s="501"/>
      <c r="IE2432" s="501"/>
      <c r="IF2432" s="501"/>
      <c r="IG2432" s="501"/>
      <c r="IH2432" s="501"/>
      <c r="II2432" s="501"/>
      <c r="IJ2432" s="501"/>
      <c r="IK2432" s="501"/>
      <c r="IL2432" s="501"/>
      <c r="IM2432" s="501"/>
      <c r="IN2432" s="501"/>
      <c r="IO2432" s="501"/>
      <c r="IP2432" s="501"/>
      <c r="IQ2432" s="501"/>
      <c r="IR2432" s="501"/>
      <c r="IS2432" s="501"/>
      <c r="IT2432" s="501"/>
      <c r="IU2432" s="501"/>
    </row>
    <row r="2433" spans="1:255" s="877" customFormat="1" ht="24" customHeight="1">
      <c r="A2433" s="501"/>
      <c r="B2433" s="501"/>
      <c r="C2433" s="501"/>
      <c r="D2433" s="501"/>
      <c r="E2433" s="501"/>
      <c r="F2433" s="545"/>
      <c r="G2433" s="889"/>
      <c r="H2433" s="545"/>
      <c r="I2433" s="876"/>
      <c r="J2433" s="875"/>
      <c r="K2433" s="545"/>
      <c r="L2433" s="876"/>
      <c r="M2433" s="882"/>
      <c r="N2433" s="501"/>
      <c r="O2433" s="545"/>
      <c r="P2433" s="901"/>
      <c r="Q2433" s="875"/>
      <c r="R2433" s="501"/>
      <c r="S2433" s="874"/>
      <c r="T2433" s="1054"/>
      <c r="V2433" s="501"/>
      <c r="W2433" s="501"/>
      <c r="X2433" s="501"/>
      <c r="Y2433" s="501"/>
      <c r="Z2433" s="501"/>
      <c r="AA2433" s="501"/>
      <c r="AB2433" s="501"/>
      <c r="AC2433" s="501"/>
      <c r="AD2433" s="501"/>
      <c r="AE2433" s="501"/>
      <c r="AF2433" s="501"/>
      <c r="AG2433" s="501"/>
      <c r="AH2433" s="501"/>
      <c r="AI2433" s="501"/>
      <c r="AJ2433" s="501"/>
      <c r="AK2433" s="501"/>
      <c r="AL2433" s="501"/>
      <c r="AM2433" s="501"/>
      <c r="AN2433" s="501"/>
      <c r="AO2433" s="501"/>
      <c r="AP2433" s="501"/>
      <c r="AQ2433" s="501"/>
      <c r="AR2433" s="501"/>
      <c r="AS2433" s="501"/>
      <c r="AT2433" s="501"/>
      <c r="AU2433" s="501"/>
      <c r="AV2433" s="501"/>
      <c r="AW2433" s="501"/>
      <c r="AX2433" s="501"/>
      <c r="AY2433" s="501"/>
      <c r="AZ2433" s="501"/>
      <c r="BA2433" s="501"/>
      <c r="BB2433" s="501"/>
      <c r="BC2433" s="501"/>
      <c r="BD2433" s="501"/>
      <c r="BE2433" s="501"/>
      <c r="BF2433" s="501"/>
      <c r="BG2433" s="501"/>
      <c r="BH2433" s="501"/>
      <c r="BI2433" s="501"/>
      <c r="BJ2433" s="501"/>
      <c r="BK2433" s="501"/>
      <c r="BL2433" s="501"/>
      <c r="BM2433" s="501"/>
      <c r="BN2433" s="501"/>
      <c r="BO2433" s="501"/>
      <c r="BP2433" s="501"/>
      <c r="BQ2433" s="501"/>
      <c r="BR2433" s="501"/>
      <c r="BS2433" s="501"/>
      <c r="BT2433" s="501"/>
      <c r="BU2433" s="501"/>
      <c r="BV2433" s="501"/>
      <c r="BW2433" s="501"/>
      <c r="BX2433" s="501"/>
      <c r="BY2433" s="501"/>
      <c r="BZ2433" s="501"/>
      <c r="CA2433" s="501"/>
      <c r="CB2433" s="501"/>
      <c r="CC2433" s="501"/>
      <c r="CD2433" s="501"/>
      <c r="CE2433" s="501"/>
      <c r="CF2433" s="501"/>
      <c r="CG2433" s="501"/>
      <c r="CH2433" s="501"/>
      <c r="CI2433" s="501"/>
      <c r="CJ2433" s="501"/>
      <c r="CK2433" s="501"/>
      <c r="CL2433" s="501"/>
      <c r="CM2433" s="501"/>
      <c r="CN2433" s="501"/>
      <c r="CO2433" s="501"/>
      <c r="CP2433" s="501"/>
      <c r="CQ2433" s="501"/>
      <c r="CR2433" s="501"/>
      <c r="CS2433" s="501"/>
      <c r="CT2433" s="501"/>
      <c r="CU2433" s="501"/>
      <c r="CV2433" s="501"/>
      <c r="CW2433" s="501"/>
      <c r="CX2433" s="501"/>
      <c r="CY2433" s="501"/>
      <c r="CZ2433" s="501"/>
      <c r="DA2433" s="501"/>
      <c r="DB2433" s="501"/>
      <c r="DC2433" s="501"/>
      <c r="DD2433" s="501"/>
      <c r="DE2433" s="501"/>
      <c r="DF2433" s="501"/>
      <c r="DG2433" s="501"/>
      <c r="DH2433" s="501"/>
      <c r="DI2433" s="501"/>
      <c r="DJ2433" s="501"/>
      <c r="DK2433" s="501"/>
      <c r="DL2433" s="501"/>
      <c r="DM2433" s="501"/>
      <c r="DN2433" s="501"/>
      <c r="DO2433" s="501"/>
      <c r="DP2433" s="501"/>
      <c r="DQ2433" s="501"/>
      <c r="DR2433" s="501"/>
      <c r="DS2433" s="501"/>
      <c r="DT2433" s="501"/>
      <c r="DU2433" s="501"/>
      <c r="DV2433" s="501"/>
      <c r="DW2433" s="501"/>
      <c r="DX2433" s="501"/>
      <c r="DY2433" s="501"/>
      <c r="DZ2433" s="501"/>
      <c r="EA2433" s="501"/>
      <c r="EB2433" s="501"/>
      <c r="EC2433" s="501"/>
      <c r="ED2433" s="501"/>
      <c r="EE2433" s="501"/>
      <c r="EF2433" s="501"/>
      <c r="EG2433" s="501"/>
      <c r="EH2433" s="501"/>
      <c r="EI2433" s="501"/>
      <c r="EJ2433" s="501"/>
      <c r="EK2433" s="501"/>
      <c r="EL2433" s="501"/>
      <c r="EM2433" s="501"/>
      <c r="EN2433" s="501"/>
      <c r="EO2433" s="501"/>
      <c r="EP2433" s="501"/>
      <c r="EQ2433" s="501"/>
      <c r="ER2433" s="501"/>
      <c r="ES2433" s="501"/>
      <c r="ET2433" s="501"/>
      <c r="EU2433" s="501"/>
      <c r="EV2433" s="501"/>
      <c r="EW2433" s="501"/>
      <c r="EX2433" s="501"/>
      <c r="EY2433" s="501"/>
      <c r="EZ2433" s="501"/>
      <c r="FA2433" s="501"/>
      <c r="FB2433" s="501"/>
      <c r="FC2433" s="501"/>
      <c r="FD2433" s="501"/>
      <c r="FE2433" s="501"/>
      <c r="FF2433" s="501"/>
      <c r="FG2433" s="501"/>
      <c r="FH2433" s="501"/>
      <c r="FI2433" s="501"/>
      <c r="FJ2433" s="501"/>
      <c r="FK2433" s="501"/>
      <c r="FL2433" s="501"/>
      <c r="FM2433" s="501"/>
      <c r="FN2433" s="501"/>
      <c r="FO2433" s="501"/>
      <c r="FP2433" s="501"/>
      <c r="FQ2433" s="501"/>
      <c r="FR2433" s="501"/>
      <c r="FS2433" s="501"/>
      <c r="FT2433" s="501"/>
      <c r="FU2433" s="501"/>
      <c r="FV2433" s="501"/>
      <c r="FW2433" s="501"/>
      <c r="FX2433" s="501"/>
      <c r="FY2433" s="501"/>
      <c r="FZ2433" s="501"/>
      <c r="GA2433" s="501"/>
      <c r="GB2433" s="501"/>
      <c r="GC2433" s="501"/>
      <c r="GD2433" s="501"/>
      <c r="GE2433" s="501"/>
      <c r="GF2433" s="501"/>
      <c r="GG2433" s="501"/>
      <c r="GH2433" s="501"/>
      <c r="GI2433" s="501"/>
      <c r="GJ2433" s="501"/>
      <c r="GK2433" s="501"/>
      <c r="GL2433" s="501"/>
      <c r="GM2433" s="501"/>
      <c r="GN2433" s="501"/>
      <c r="GO2433" s="501"/>
      <c r="GP2433" s="501"/>
      <c r="GQ2433" s="501"/>
      <c r="GR2433" s="501"/>
      <c r="GS2433" s="501"/>
      <c r="GT2433" s="501"/>
      <c r="GU2433" s="501"/>
      <c r="GV2433" s="501"/>
      <c r="GW2433" s="501"/>
      <c r="GX2433" s="501"/>
      <c r="GY2433" s="501"/>
      <c r="GZ2433" s="501"/>
      <c r="HA2433" s="501"/>
      <c r="HB2433" s="501"/>
      <c r="HC2433" s="501"/>
      <c r="HD2433" s="501"/>
      <c r="HE2433" s="501"/>
      <c r="HF2433" s="501"/>
      <c r="HG2433" s="501"/>
      <c r="HH2433" s="501"/>
      <c r="HI2433" s="501"/>
      <c r="HJ2433" s="501"/>
      <c r="HK2433" s="501"/>
      <c r="HL2433" s="501"/>
      <c r="HM2433" s="501"/>
      <c r="HN2433" s="501"/>
      <c r="HO2433" s="501"/>
      <c r="HP2433" s="501"/>
      <c r="HQ2433" s="501"/>
      <c r="HR2433" s="501"/>
      <c r="HS2433" s="501"/>
      <c r="HT2433" s="501"/>
      <c r="HU2433" s="501"/>
      <c r="HV2433" s="501"/>
      <c r="HW2433" s="501"/>
      <c r="HX2433" s="501"/>
      <c r="HY2433" s="501"/>
      <c r="HZ2433" s="501"/>
      <c r="IA2433" s="501"/>
      <c r="IB2433" s="501"/>
      <c r="IC2433" s="501"/>
      <c r="ID2433" s="501"/>
      <c r="IE2433" s="501"/>
      <c r="IF2433" s="501"/>
      <c r="IG2433" s="501"/>
      <c r="IH2433" s="501"/>
      <c r="II2433" s="501"/>
      <c r="IJ2433" s="501"/>
      <c r="IK2433" s="501"/>
      <c r="IL2433" s="501"/>
      <c r="IM2433" s="501"/>
      <c r="IN2433" s="501"/>
      <c r="IO2433" s="501"/>
      <c r="IP2433" s="501"/>
      <c r="IQ2433" s="501"/>
      <c r="IR2433" s="501"/>
      <c r="IS2433" s="501"/>
      <c r="IT2433" s="501"/>
      <c r="IU2433" s="501"/>
    </row>
    <row r="2434" spans="1:255" s="877" customFormat="1" ht="24" customHeight="1">
      <c r="A2434" s="501"/>
      <c r="B2434" s="501"/>
      <c r="C2434" s="501"/>
      <c r="D2434" s="501"/>
      <c r="E2434" s="501"/>
      <c r="F2434" s="545"/>
      <c r="G2434" s="889"/>
      <c r="H2434" s="545"/>
      <c r="I2434" s="876"/>
      <c r="J2434" s="501"/>
      <c r="K2434" s="545"/>
      <c r="L2434" s="876"/>
      <c r="M2434" s="554"/>
      <c r="N2434" s="501"/>
      <c r="O2434" s="545"/>
      <c r="P2434" s="901"/>
      <c r="Q2434" s="875"/>
      <c r="R2434" s="501"/>
      <c r="S2434" s="874"/>
      <c r="T2434" s="892"/>
      <c r="V2434" s="501"/>
      <c r="W2434" s="501"/>
      <c r="X2434" s="501"/>
      <c r="Y2434" s="501"/>
      <c r="Z2434" s="501"/>
      <c r="AA2434" s="501"/>
      <c r="AB2434" s="501"/>
      <c r="AC2434" s="501"/>
      <c r="AD2434" s="501"/>
      <c r="AE2434" s="501"/>
      <c r="AF2434" s="501"/>
      <c r="AG2434" s="501"/>
      <c r="AH2434" s="501"/>
      <c r="AI2434" s="501"/>
      <c r="AJ2434" s="501"/>
      <c r="AK2434" s="501"/>
      <c r="AL2434" s="501"/>
      <c r="AM2434" s="501"/>
      <c r="AN2434" s="501"/>
      <c r="AO2434" s="501"/>
      <c r="AP2434" s="501"/>
      <c r="AQ2434" s="501"/>
      <c r="AR2434" s="501"/>
      <c r="AS2434" s="501"/>
      <c r="AT2434" s="501"/>
      <c r="AU2434" s="501"/>
      <c r="AV2434" s="501"/>
      <c r="AW2434" s="501"/>
      <c r="AX2434" s="501"/>
      <c r="AY2434" s="501"/>
      <c r="AZ2434" s="501"/>
      <c r="BA2434" s="501"/>
      <c r="BB2434" s="501"/>
      <c r="BC2434" s="501"/>
      <c r="BD2434" s="501"/>
      <c r="BE2434" s="501"/>
      <c r="BF2434" s="501"/>
      <c r="BG2434" s="501"/>
      <c r="BH2434" s="501"/>
      <c r="BI2434" s="501"/>
      <c r="BJ2434" s="501"/>
      <c r="BK2434" s="501"/>
      <c r="BL2434" s="501"/>
      <c r="BM2434" s="501"/>
      <c r="BN2434" s="501"/>
      <c r="BO2434" s="501"/>
      <c r="BP2434" s="501"/>
      <c r="BQ2434" s="501"/>
      <c r="BR2434" s="501"/>
      <c r="BS2434" s="501"/>
      <c r="BT2434" s="501"/>
      <c r="BU2434" s="501"/>
      <c r="BV2434" s="501"/>
      <c r="BW2434" s="501"/>
      <c r="BX2434" s="501"/>
      <c r="BY2434" s="501"/>
      <c r="BZ2434" s="501"/>
      <c r="CA2434" s="501"/>
      <c r="CB2434" s="501"/>
      <c r="CC2434" s="501"/>
      <c r="CD2434" s="501"/>
      <c r="CE2434" s="501"/>
      <c r="CF2434" s="501"/>
      <c r="CG2434" s="501"/>
      <c r="CH2434" s="501"/>
      <c r="CI2434" s="501"/>
      <c r="CJ2434" s="501"/>
      <c r="CK2434" s="501"/>
      <c r="CL2434" s="501"/>
      <c r="CM2434" s="501"/>
      <c r="CN2434" s="501"/>
      <c r="CO2434" s="501"/>
      <c r="CP2434" s="501"/>
      <c r="CQ2434" s="501"/>
      <c r="CR2434" s="501"/>
      <c r="CS2434" s="501"/>
      <c r="CT2434" s="501"/>
      <c r="CU2434" s="501"/>
      <c r="CV2434" s="501"/>
      <c r="CW2434" s="501"/>
      <c r="CX2434" s="501"/>
      <c r="CY2434" s="501"/>
      <c r="CZ2434" s="501"/>
      <c r="DA2434" s="501"/>
      <c r="DB2434" s="501"/>
      <c r="DC2434" s="501"/>
      <c r="DD2434" s="501"/>
      <c r="DE2434" s="501"/>
      <c r="DF2434" s="501"/>
      <c r="DG2434" s="501"/>
      <c r="DH2434" s="501"/>
      <c r="DI2434" s="501"/>
      <c r="DJ2434" s="501"/>
      <c r="DK2434" s="501"/>
      <c r="DL2434" s="501"/>
      <c r="DM2434" s="501"/>
      <c r="DN2434" s="501"/>
      <c r="DO2434" s="501"/>
      <c r="DP2434" s="501"/>
      <c r="DQ2434" s="501"/>
      <c r="DR2434" s="501"/>
      <c r="DS2434" s="501"/>
      <c r="DT2434" s="501"/>
      <c r="DU2434" s="501"/>
      <c r="DV2434" s="501"/>
      <c r="DW2434" s="501"/>
      <c r="DX2434" s="501"/>
      <c r="DY2434" s="501"/>
      <c r="DZ2434" s="501"/>
      <c r="EA2434" s="501"/>
      <c r="EB2434" s="501"/>
      <c r="EC2434" s="501"/>
      <c r="ED2434" s="501"/>
      <c r="EE2434" s="501"/>
      <c r="EF2434" s="501"/>
      <c r="EG2434" s="501"/>
      <c r="EH2434" s="501"/>
      <c r="EI2434" s="501"/>
      <c r="EJ2434" s="501"/>
      <c r="EK2434" s="501"/>
      <c r="EL2434" s="501"/>
      <c r="EM2434" s="501"/>
      <c r="EN2434" s="501"/>
      <c r="EO2434" s="501"/>
      <c r="EP2434" s="501"/>
      <c r="EQ2434" s="501"/>
      <c r="ER2434" s="501"/>
      <c r="ES2434" s="501"/>
      <c r="ET2434" s="501"/>
      <c r="EU2434" s="501"/>
      <c r="EV2434" s="501"/>
      <c r="EW2434" s="501"/>
      <c r="EX2434" s="501"/>
      <c r="EY2434" s="501"/>
      <c r="EZ2434" s="501"/>
      <c r="FA2434" s="501"/>
      <c r="FB2434" s="501"/>
      <c r="FC2434" s="501"/>
      <c r="FD2434" s="501"/>
      <c r="FE2434" s="501"/>
      <c r="FF2434" s="501"/>
      <c r="FG2434" s="501"/>
      <c r="FH2434" s="501"/>
      <c r="FI2434" s="501"/>
      <c r="FJ2434" s="501"/>
      <c r="FK2434" s="501"/>
      <c r="FL2434" s="501"/>
      <c r="FM2434" s="501"/>
      <c r="FN2434" s="501"/>
      <c r="FO2434" s="501"/>
      <c r="FP2434" s="501"/>
      <c r="FQ2434" s="501"/>
      <c r="FR2434" s="501"/>
      <c r="FS2434" s="501"/>
      <c r="FT2434" s="501"/>
      <c r="FU2434" s="501"/>
      <c r="FV2434" s="501"/>
      <c r="FW2434" s="501"/>
      <c r="FX2434" s="501"/>
      <c r="FY2434" s="501"/>
      <c r="FZ2434" s="501"/>
      <c r="GA2434" s="501"/>
      <c r="GB2434" s="501"/>
      <c r="GC2434" s="501"/>
      <c r="GD2434" s="501"/>
      <c r="GE2434" s="501"/>
      <c r="GF2434" s="501"/>
      <c r="GG2434" s="501"/>
      <c r="GH2434" s="501"/>
      <c r="GI2434" s="501"/>
      <c r="GJ2434" s="501"/>
      <c r="GK2434" s="501"/>
      <c r="GL2434" s="501"/>
      <c r="GM2434" s="501"/>
      <c r="GN2434" s="501"/>
      <c r="GO2434" s="501"/>
      <c r="GP2434" s="501"/>
      <c r="GQ2434" s="501"/>
      <c r="GR2434" s="501"/>
      <c r="GS2434" s="501"/>
      <c r="GT2434" s="501"/>
      <c r="GU2434" s="501"/>
      <c r="GV2434" s="501"/>
      <c r="GW2434" s="501"/>
      <c r="GX2434" s="501"/>
      <c r="GY2434" s="501"/>
      <c r="GZ2434" s="501"/>
      <c r="HA2434" s="501"/>
      <c r="HB2434" s="501"/>
      <c r="HC2434" s="501"/>
      <c r="HD2434" s="501"/>
      <c r="HE2434" s="501"/>
      <c r="HF2434" s="501"/>
      <c r="HG2434" s="501"/>
      <c r="HH2434" s="501"/>
      <c r="HI2434" s="501"/>
      <c r="HJ2434" s="501"/>
      <c r="HK2434" s="501"/>
      <c r="HL2434" s="501"/>
      <c r="HM2434" s="501"/>
      <c r="HN2434" s="501"/>
      <c r="HO2434" s="501"/>
      <c r="HP2434" s="501"/>
      <c r="HQ2434" s="501"/>
      <c r="HR2434" s="501"/>
      <c r="HS2434" s="501"/>
      <c r="HT2434" s="501"/>
      <c r="HU2434" s="501"/>
      <c r="HV2434" s="501"/>
      <c r="HW2434" s="501"/>
      <c r="HX2434" s="501"/>
      <c r="HY2434" s="501"/>
      <c r="HZ2434" s="501"/>
      <c r="IA2434" s="501"/>
      <c r="IB2434" s="501"/>
      <c r="IC2434" s="501"/>
      <c r="ID2434" s="501"/>
      <c r="IE2434" s="501"/>
      <c r="IF2434" s="501"/>
      <c r="IG2434" s="501"/>
      <c r="IH2434" s="501"/>
      <c r="II2434" s="501"/>
      <c r="IJ2434" s="501"/>
      <c r="IK2434" s="501"/>
      <c r="IL2434" s="501"/>
      <c r="IM2434" s="501"/>
      <c r="IN2434" s="501"/>
      <c r="IO2434" s="501"/>
      <c r="IP2434" s="501"/>
      <c r="IQ2434" s="501"/>
      <c r="IR2434" s="501"/>
      <c r="IS2434" s="501"/>
      <c r="IT2434" s="501"/>
      <c r="IU2434" s="501"/>
    </row>
    <row r="2435" spans="1:255" s="877" customFormat="1" ht="24" customHeight="1">
      <c r="A2435" s="501"/>
      <c r="B2435" s="501"/>
      <c r="C2435" s="501"/>
      <c r="D2435" s="501"/>
      <c r="E2435" s="501"/>
      <c r="F2435" s="545"/>
      <c r="G2435" s="889"/>
      <c r="H2435" s="545"/>
      <c r="I2435" s="876"/>
      <c r="J2435" s="876"/>
      <c r="K2435" s="545"/>
      <c r="L2435" s="876"/>
      <c r="M2435" s="882"/>
      <c r="N2435" s="501"/>
      <c r="O2435" s="545"/>
      <c r="P2435" s="901"/>
      <c r="Q2435" s="875"/>
      <c r="R2435" s="545"/>
      <c r="S2435" s="876"/>
      <c r="T2435" s="1055"/>
      <c r="V2435" s="501"/>
      <c r="W2435" s="501"/>
      <c r="X2435" s="501"/>
      <c r="Y2435" s="501"/>
      <c r="Z2435" s="501"/>
      <c r="AA2435" s="501"/>
      <c r="AB2435" s="501"/>
      <c r="AC2435" s="501"/>
      <c r="AD2435" s="501"/>
      <c r="AE2435" s="501"/>
      <c r="AF2435" s="501"/>
      <c r="AG2435" s="501"/>
      <c r="AH2435" s="501"/>
      <c r="AI2435" s="501"/>
      <c r="AJ2435" s="501"/>
      <c r="AK2435" s="501"/>
      <c r="AL2435" s="501"/>
      <c r="AM2435" s="501"/>
      <c r="AN2435" s="501"/>
      <c r="AO2435" s="501"/>
      <c r="AP2435" s="501"/>
      <c r="AQ2435" s="501"/>
      <c r="AR2435" s="501"/>
      <c r="AS2435" s="501"/>
      <c r="AT2435" s="501"/>
      <c r="AU2435" s="501"/>
      <c r="AV2435" s="501"/>
      <c r="AW2435" s="501"/>
      <c r="AX2435" s="501"/>
      <c r="AY2435" s="501"/>
      <c r="AZ2435" s="501"/>
      <c r="BA2435" s="501"/>
      <c r="BB2435" s="501"/>
      <c r="BC2435" s="501"/>
      <c r="BD2435" s="501"/>
      <c r="BE2435" s="501"/>
      <c r="BF2435" s="501"/>
      <c r="BG2435" s="501"/>
      <c r="BH2435" s="501"/>
      <c r="BI2435" s="501"/>
      <c r="BJ2435" s="501"/>
      <c r="BK2435" s="501"/>
      <c r="BL2435" s="501"/>
      <c r="BM2435" s="501"/>
      <c r="BN2435" s="501"/>
      <c r="BO2435" s="501"/>
      <c r="BP2435" s="501"/>
      <c r="BQ2435" s="501"/>
      <c r="BR2435" s="501"/>
      <c r="BS2435" s="501"/>
      <c r="BT2435" s="501"/>
      <c r="BU2435" s="501"/>
      <c r="BV2435" s="501"/>
      <c r="BW2435" s="501"/>
      <c r="BX2435" s="501"/>
      <c r="BY2435" s="501"/>
      <c r="BZ2435" s="501"/>
      <c r="CA2435" s="501"/>
      <c r="CB2435" s="501"/>
      <c r="CC2435" s="501"/>
      <c r="CD2435" s="501"/>
      <c r="CE2435" s="501"/>
      <c r="CF2435" s="501"/>
      <c r="CG2435" s="501"/>
      <c r="CH2435" s="501"/>
      <c r="CI2435" s="501"/>
      <c r="CJ2435" s="501"/>
      <c r="CK2435" s="501"/>
      <c r="CL2435" s="501"/>
      <c r="CM2435" s="501"/>
      <c r="CN2435" s="501"/>
      <c r="CO2435" s="501"/>
      <c r="CP2435" s="501"/>
      <c r="CQ2435" s="501"/>
      <c r="CR2435" s="501"/>
      <c r="CS2435" s="501"/>
      <c r="CT2435" s="501"/>
      <c r="CU2435" s="501"/>
      <c r="CV2435" s="501"/>
      <c r="CW2435" s="501"/>
      <c r="CX2435" s="501"/>
      <c r="CY2435" s="501"/>
      <c r="CZ2435" s="501"/>
      <c r="DA2435" s="501"/>
      <c r="DB2435" s="501"/>
      <c r="DC2435" s="501"/>
      <c r="DD2435" s="501"/>
      <c r="DE2435" s="501"/>
      <c r="DF2435" s="501"/>
      <c r="DG2435" s="501"/>
      <c r="DH2435" s="501"/>
      <c r="DI2435" s="501"/>
      <c r="DJ2435" s="501"/>
      <c r="DK2435" s="501"/>
      <c r="DL2435" s="501"/>
      <c r="DM2435" s="501"/>
      <c r="DN2435" s="501"/>
      <c r="DO2435" s="501"/>
      <c r="DP2435" s="501"/>
      <c r="DQ2435" s="501"/>
      <c r="DR2435" s="501"/>
      <c r="DS2435" s="501"/>
      <c r="DT2435" s="501"/>
      <c r="DU2435" s="501"/>
      <c r="DV2435" s="501"/>
      <c r="DW2435" s="501"/>
      <c r="DX2435" s="501"/>
      <c r="DY2435" s="501"/>
      <c r="DZ2435" s="501"/>
      <c r="EA2435" s="501"/>
      <c r="EB2435" s="501"/>
      <c r="EC2435" s="501"/>
      <c r="ED2435" s="501"/>
      <c r="EE2435" s="501"/>
      <c r="EF2435" s="501"/>
      <c r="EG2435" s="501"/>
      <c r="EH2435" s="501"/>
      <c r="EI2435" s="501"/>
      <c r="EJ2435" s="501"/>
      <c r="EK2435" s="501"/>
      <c r="EL2435" s="501"/>
      <c r="EM2435" s="501"/>
      <c r="EN2435" s="501"/>
      <c r="EO2435" s="501"/>
      <c r="EP2435" s="501"/>
      <c r="EQ2435" s="501"/>
      <c r="ER2435" s="501"/>
      <c r="ES2435" s="501"/>
      <c r="ET2435" s="501"/>
      <c r="EU2435" s="501"/>
      <c r="EV2435" s="501"/>
      <c r="EW2435" s="501"/>
      <c r="EX2435" s="501"/>
      <c r="EY2435" s="501"/>
      <c r="EZ2435" s="501"/>
      <c r="FA2435" s="501"/>
      <c r="FB2435" s="501"/>
      <c r="FC2435" s="501"/>
      <c r="FD2435" s="501"/>
      <c r="FE2435" s="501"/>
      <c r="FF2435" s="501"/>
      <c r="FG2435" s="501"/>
      <c r="FH2435" s="501"/>
      <c r="FI2435" s="501"/>
      <c r="FJ2435" s="501"/>
      <c r="FK2435" s="501"/>
      <c r="FL2435" s="501"/>
      <c r="FM2435" s="501"/>
      <c r="FN2435" s="501"/>
      <c r="FO2435" s="501"/>
      <c r="FP2435" s="501"/>
      <c r="FQ2435" s="501"/>
      <c r="FR2435" s="501"/>
      <c r="FS2435" s="501"/>
      <c r="FT2435" s="501"/>
      <c r="FU2435" s="501"/>
      <c r="FV2435" s="501"/>
      <c r="FW2435" s="501"/>
      <c r="FX2435" s="501"/>
      <c r="FY2435" s="501"/>
      <c r="FZ2435" s="501"/>
      <c r="GA2435" s="501"/>
      <c r="GB2435" s="501"/>
      <c r="GC2435" s="501"/>
      <c r="GD2435" s="501"/>
      <c r="GE2435" s="501"/>
      <c r="GF2435" s="501"/>
      <c r="GG2435" s="501"/>
      <c r="GH2435" s="501"/>
      <c r="GI2435" s="501"/>
      <c r="GJ2435" s="501"/>
      <c r="GK2435" s="501"/>
      <c r="GL2435" s="501"/>
      <c r="GM2435" s="501"/>
      <c r="GN2435" s="501"/>
      <c r="GO2435" s="501"/>
      <c r="GP2435" s="501"/>
      <c r="GQ2435" s="501"/>
      <c r="GR2435" s="501"/>
      <c r="GS2435" s="501"/>
      <c r="GT2435" s="501"/>
      <c r="GU2435" s="501"/>
      <c r="GV2435" s="501"/>
      <c r="GW2435" s="501"/>
      <c r="GX2435" s="501"/>
      <c r="GY2435" s="501"/>
      <c r="GZ2435" s="501"/>
      <c r="HA2435" s="501"/>
      <c r="HB2435" s="501"/>
      <c r="HC2435" s="501"/>
      <c r="HD2435" s="501"/>
      <c r="HE2435" s="501"/>
      <c r="HF2435" s="501"/>
      <c r="HG2435" s="501"/>
      <c r="HH2435" s="501"/>
      <c r="HI2435" s="501"/>
      <c r="HJ2435" s="501"/>
      <c r="HK2435" s="501"/>
      <c r="HL2435" s="501"/>
      <c r="HM2435" s="501"/>
      <c r="HN2435" s="501"/>
      <c r="HO2435" s="501"/>
      <c r="HP2435" s="501"/>
      <c r="HQ2435" s="501"/>
      <c r="HR2435" s="501"/>
      <c r="HS2435" s="501"/>
      <c r="HT2435" s="501"/>
      <c r="HU2435" s="501"/>
      <c r="HV2435" s="501"/>
      <c r="HW2435" s="501"/>
      <c r="HX2435" s="501"/>
      <c r="HY2435" s="501"/>
      <c r="HZ2435" s="501"/>
      <c r="IA2435" s="501"/>
      <c r="IB2435" s="501"/>
      <c r="IC2435" s="501"/>
      <c r="ID2435" s="501"/>
      <c r="IE2435" s="501"/>
      <c r="IF2435" s="501"/>
      <c r="IG2435" s="501"/>
      <c r="IH2435" s="501"/>
      <c r="II2435" s="501"/>
      <c r="IJ2435" s="501"/>
      <c r="IK2435" s="501"/>
      <c r="IL2435" s="501"/>
      <c r="IM2435" s="501"/>
      <c r="IN2435" s="501"/>
      <c r="IO2435" s="501"/>
      <c r="IP2435" s="501"/>
      <c r="IQ2435" s="501"/>
      <c r="IR2435" s="501"/>
      <c r="IS2435" s="501"/>
      <c r="IT2435" s="501"/>
      <c r="IU2435" s="501"/>
    </row>
    <row r="2436" spans="1:255" s="877" customFormat="1" ht="24" customHeight="1">
      <c r="A2436" s="501"/>
      <c r="B2436" s="501"/>
      <c r="C2436" s="501"/>
      <c r="D2436" s="501"/>
      <c r="E2436" s="501"/>
      <c r="F2436" s="501"/>
      <c r="G2436" s="915"/>
      <c r="H2436" s="501"/>
      <c r="I2436" s="876"/>
      <c r="J2436" s="501"/>
      <c r="K2436" s="933"/>
      <c r="L2436" s="876"/>
      <c r="M2436" s="882"/>
      <c r="N2436" s="501"/>
      <c r="O2436" s="876"/>
      <c r="P2436" s="902"/>
      <c r="Q2436" s="875"/>
      <c r="R2436" s="876"/>
      <c r="S2436" s="874"/>
      <c r="T2436" s="883"/>
      <c r="V2436" s="501"/>
      <c r="W2436" s="501"/>
      <c r="X2436" s="501"/>
      <c r="Y2436" s="501"/>
      <c r="Z2436" s="501"/>
      <c r="AA2436" s="501"/>
      <c r="AB2436" s="501"/>
      <c r="AC2436" s="501"/>
      <c r="AD2436" s="501"/>
      <c r="AE2436" s="501"/>
      <c r="AF2436" s="501"/>
      <c r="AG2436" s="501"/>
      <c r="AH2436" s="501"/>
      <c r="AI2436" s="501"/>
      <c r="AJ2436" s="501"/>
      <c r="AK2436" s="501"/>
      <c r="AL2436" s="501"/>
      <c r="AM2436" s="501"/>
      <c r="AN2436" s="501"/>
      <c r="AO2436" s="501"/>
      <c r="AP2436" s="501"/>
      <c r="AQ2436" s="501"/>
      <c r="AR2436" s="501"/>
      <c r="AS2436" s="501"/>
      <c r="AT2436" s="501"/>
      <c r="AU2436" s="501"/>
      <c r="AV2436" s="501"/>
      <c r="AW2436" s="501"/>
      <c r="AX2436" s="501"/>
      <c r="AY2436" s="501"/>
      <c r="AZ2436" s="501"/>
      <c r="BA2436" s="501"/>
      <c r="BB2436" s="501"/>
      <c r="BC2436" s="501"/>
      <c r="BD2436" s="501"/>
      <c r="BE2436" s="501"/>
      <c r="BF2436" s="501"/>
      <c r="BG2436" s="501"/>
      <c r="BH2436" s="501"/>
      <c r="BI2436" s="501"/>
      <c r="BJ2436" s="501"/>
      <c r="BK2436" s="501"/>
      <c r="BL2436" s="501"/>
      <c r="BM2436" s="501"/>
      <c r="BN2436" s="501"/>
      <c r="BO2436" s="501"/>
      <c r="BP2436" s="501"/>
      <c r="BQ2436" s="501"/>
      <c r="BR2436" s="501"/>
      <c r="BS2436" s="501"/>
      <c r="BT2436" s="501"/>
      <c r="BU2436" s="501"/>
      <c r="BV2436" s="501"/>
      <c r="BW2436" s="501"/>
      <c r="BX2436" s="501"/>
      <c r="BY2436" s="501"/>
      <c r="BZ2436" s="501"/>
      <c r="CA2436" s="501"/>
      <c r="CB2436" s="501"/>
      <c r="CC2436" s="501"/>
      <c r="CD2436" s="501"/>
      <c r="CE2436" s="501"/>
      <c r="CF2436" s="501"/>
      <c r="CG2436" s="501"/>
      <c r="CH2436" s="501"/>
      <c r="CI2436" s="501"/>
      <c r="CJ2436" s="501"/>
      <c r="CK2436" s="501"/>
      <c r="CL2436" s="501"/>
      <c r="CM2436" s="501"/>
      <c r="CN2436" s="501"/>
      <c r="CO2436" s="501"/>
      <c r="CP2436" s="501"/>
      <c r="CQ2436" s="501"/>
      <c r="CR2436" s="501"/>
      <c r="CS2436" s="501"/>
      <c r="CT2436" s="501"/>
      <c r="CU2436" s="501"/>
      <c r="CV2436" s="501"/>
      <c r="CW2436" s="501"/>
      <c r="CX2436" s="501"/>
      <c r="CY2436" s="501"/>
      <c r="CZ2436" s="501"/>
      <c r="DA2436" s="501"/>
      <c r="DB2436" s="501"/>
      <c r="DC2436" s="501"/>
      <c r="DD2436" s="501"/>
      <c r="DE2436" s="501"/>
      <c r="DF2436" s="501"/>
      <c r="DG2436" s="501"/>
      <c r="DH2436" s="501"/>
      <c r="DI2436" s="501"/>
      <c r="DJ2436" s="501"/>
      <c r="DK2436" s="501"/>
      <c r="DL2436" s="501"/>
      <c r="DM2436" s="501"/>
      <c r="DN2436" s="501"/>
      <c r="DO2436" s="501"/>
      <c r="DP2436" s="501"/>
      <c r="DQ2436" s="501"/>
      <c r="DR2436" s="501"/>
      <c r="DS2436" s="501"/>
      <c r="DT2436" s="501"/>
      <c r="DU2436" s="501"/>
      <c r="DV2436" s="501"/>
      <c r="DW2436" s="501"/>
      <c r="DX2436" s="501"/>
      <c r="DY2436" s="501"/>
      <c r="DZ2436" s="501"/>
      <c r="EA2436" s="501"/>
      <c r="EB2436" s="501"/>
      <c r="EC2436" s="501"/>
      <c r="ED2436" s="501"/>
      <c r="EE2436" s="501"/>
      <c r="EF2436" s="501"/>
      <c r="EG2436" s="501"/>
      <c r="EH2436" s="501"/>
      <c r="EI2436" s="501"/>
      <c r="EJ2436" s="501"/>
      <c r="EK2436" s="501"/>
      <c r="EL2436" s="501"/>
      <c r="EM2436" s="501"/>
      <c r="EN2436" s="501"/>
      <c r="EO2436" s="501"/>
      <c r="EP2436" s="501"/>
      <c r="EQ2436" s="501"/>
      <c r="ER2436" s="501"/>
      <c r="ES2436" s="501"/>
      <c r="ET2436" s="501"/>
      <c r="EU2436" s="501"/>
      <c r="EV2436" s="501"/>
      <c r="EW2436" s="501"/>
      <c r="EX2436" s="501"/>
      <c r="EY2436" s="501"/>
      <c r="EZ2436" s="501"/>
      <c r="FA2436" s="501"/>
      <c r="FB2436" s="501"/>
      <c r="FC2436" s="501"/>
      <c r="FD2436" s="501"/>
      <c r="FE2436" s="501"/>
      <c r="FF2436" s="501"/>
      <c r="FG2436" s="501"/>
      <c r="FH2436" s="501"/>
      <c r="FI2436" s="501"/>
      <c r="FJ2436" s="501"/>
      <c r="FK2436" s="501"/>
      <c r="FL2436" s="501"/>
      <c r="FM2436" s="501"/>
      <c r="FN2436" s="501"/>
      <c r="FO2436" s="501"/>
      <c r="FP2436" s="501"/>
      <c r="FQ2436" s="501"/>
      <c r="FR2436" s="501"/>
      <c r="FS2436" s="501"/>
      <c r="FT2436" s="501"/>
      <c r="FU2436" s="501"/>
      <c r="FV2436" s="501"/>
      <c r="FW2436" s="501"/>
      <c r="FX2436" s="501"/>
      <c r="FY2436" s="501"/>
      <c r="FZ2436" s="501"/>
      <c r="GA2436" s="501"/>
      <c r="GB2436" s="501"/>
      <c r="GC2436" s="501"/>
      <c r="GD2436" s="501"/>
      <c r="GE2436" s="501"/>
      <c r="GF2436" s="501"/>
      <c r="GG2436" s="501"/>
      <c r="GH2436" s="501"/>
      <c r="GI2436" s="501"/>
      <c r="GJ2436" s="501"/>
      <c r="GK2436" s="501"/>
      <c r="GL2436" s="501"/>
      <c r="GM2436" s="501"/>
      <c r="GN2436" s="501"/>
      <c r="GO2436" s="501"/>
      <c r="GP2436" s="501"/>
      <c r="GQ2436" s="501"/>
      <c r="GR2436" s="501"/>
      <c r="GS2436" s="501"/>
      <c r="GT2436" s="501"/>
      <c r="GU2436" s="501"/>
      <c r="GV2436" s="501"/>
      <c r="GW2436" s="501"/>
      <c r="GX2436" s="501"/>
      <c r="GY2436" s="501"/>
      <c r="GZ2436" s="501"/>
      <c r="HA2436" s="501"/>
      <c r="HB2436" s="501"/>
      <c r="HC2436" s="501"/>
      <c r="HD2436" s="501"/>
      <c r="HE2436" s="501"/>
      <c r="HF2436" s="501"/>
      <c r="HG2436" s="501"/>
      <c r="HH2436" s="501"/>
      <c r="HI2436" s="501"/>
      <c r="HJ2436" s="501"/>
      <c r="HK2436" s="501"/>
      <c r="HL2436" s="501"/>
      <c r="HM2436" s="501"/>
      <c r="HN2436" s="501"/>
      <c r="HO2436" s="501"/>
      <c r="HP2436" s="501"/>
      <c r="HQ2436" s="501"/>
      <c r="HR2436" s="501"/>
      <c r="HS2436" s="501"/>
      <c r="HT2436" s="501"/>
      <c r="HU2436" s="501"/>
      <c r="HV2436" s="501"/>
      <c r="HW2436" s="501"/>
      <c r="HX2436" s="501"/>
      <c r="HY2436" s="501"/>
      <c r="HZ2436" s="501"/>
      <c r="IA2436" s="501"/>
      <c r="IB2436" s="501"/>
      <c r="IC2436" s="501"/>
      <c r="ID2436" s="501"/>
      <c r="IE2436" s="501"/>
      <c r="IF2436" s="501"/>
      <c r="IG2436" s="501"/>
      <c r="IH2436" s="501"/>
      <c r="II2436" s="501"/>
      <c r="IJ2436" s="501"/>
      <c r="IK2436" s="501"/>
      <c r="IL2436" s="501"/>
      <c r="IM2436" s="501"/>
      <c r="IN2436" s="501"/>
      <c r="IO2436" s="501"/>
      <c r="IP2436" s="501"/>
      <c r="IQ2436" s="501"/>
      <c r="IR2436" s="501"/>
      <c r="IS2436" s="501"/>
      <c r="IT2436" s="501"/>
      <c r="IU2436" s="501"/>
    </row>
    <row r="2437" spans="1:255" s="877" customFormat="1" ht="24" customHeight="1">
      <c r="A2437" s="501"/>
      <c r="B2437" s="501"/>
      <c r="C2437" s="501"/>
      <c r="D2437" s="501"/>
      <c r="E2437" s="501"/>
      <c r="F2437" s="501"/>
      <c r="G2437" s="915"/>
      <c r="H2437" s="501"/>
      <c r="I2437" s="874"/>
      <c r="J2437" s="876"/>
      <c r="K2437" s="501"/>
      <c r="L2437" s="874"/>
      <c r="M2437" s="554"/>
      <c r="N2437" s="501"/>
      <c r="O2437" s="501"/>
      <c r="P2437" s="902"/>
      <c r="Q2437" s="501"/>
      <c r="R2437" s="501"/>
      <c r="S2437" s="874"/>
      <c r="T2437" s="903"/>
      <c r="V2437" s="501"/>
      <c r="W2437" s="501"/>
      <c r="X2437" s="501"/>
      <c r="Y2437" s="501"/>
      <c r="Z2437" s="501"/>
      <c r="AA2437" s="501"/>
      <c r="AB2437" s="501"/>
      <c r="AC2437" s="501"/>
      <c r="AD2437" s="501"/>
      <c r="AE2437" s="501"/>
      <c r="AF2437" s="501"/>
      <c r="AG2437" s="501"/>
      <c r="AH2437" s="501"/>
      <c r="AI2437" s="501"/>
      <c r="AJ2437" s="501"/>
      <c r="AK2437" s="501"/>
      <c r="AL2437" s="501"/>
      <c r="AM2437" s="501"/>
      <c r="AN2437" s="501"/>
      <c r="AO2437" s="501"/>
      <c r="AP2437" s="501"/>
      <c r="AQ2437" s="501"/>
      <c r="AR2437" s="501"/>
      <c r="AS2437" s="501"/>
      <c r="AT2437" s="501"/>
      <c r="AU2437" s="501"/>
      <c r="AV2437" s="501"/>
      <c r="AW2437" s="501"/>
      <c r="AX2437" s="501"/>
      <c r="AY2437" s="501"/>
      <c r="AZ2437" s="501"/>
      <c r="BA2437" s="501"/>
      <c r="BB2437" s="501"/>
      <c r="BC2437" s="501"/>
      <c r="BD2437" s="501"/>
      <c r="BE2437" s="501"/>
      <c r="BF2437" s="501"/>
      <c r="BG2437" s="501"/>
      <c r="BH2437" s="501"/>
      <c r="BI2437" s="501"/>
      <c r="BJ2437" s="501"/>
      <c r="BK2437" s="501"/>
      <c r="BL2437" s="501"/>
      <c r="BM2437" s="501"/>
      <c r="BN2437" s="501"/>
      <c r="BO2437" s="501"/>
      <c r="BP2437" s="501"/>
      <c r="BQ2437" s="501"/>
      <c r="BR2437" s="501"/>
      <c r="BS2437" s="501"/>
      <c r="BT2437" s="501"/>
      <c r="BU2437" s="501"/>
      <c r="BV2437" s="501"/>
      <c r="BW2437" s="501"/>
      <c r="BX2437" s="501"/>
      <c r="BY2437" s="501"/>
      <c r="BZ2437" s="501"/>
      <c r="CA2437" s="501"/>
      <c r="CB2437" s="501"/>
      <c r="CC2437" s="501"/>
      <c r="CD2437" s="501"/>
      <c r="CE2437" s="501"/>
      <c r="CF2437" s="501"/>
      <c r="CG2437" s="501"/>
      <c r="CH2437" s="501"/>
      <c r="CI2437" s="501"/>
      <c r="CJ2437" s="501"/>
      <c r="CK2437" s="501"/>
      <c r="CL2437" s="501"/>
      <c r="CM2437" s="501"/>
      <c r="CN2437" s="501"/>
      <c r="CO2437" s="501"/>
      <c r="CP2437" s="501"/>
      <c r="CQ2437" s="501"/>
      <c r="CR2437" s="501"/>
      <c r="CS2437" s="501"/>
      <c r="CT2437" s="501"/>
      <c r="CU2437" s="501"/>
      <c r="CV2437" s="501"/>
      <c r="CW2437" s="501"/>
      <c r="CX2437" s="501"/>
      <c r="CY2437" s="501"/>
      <c r="CZ2437" s="501"/>
      <c r="DA2437" s="501"/>
      <c r="DB2437" s="501"/>
      <c r="DC2437" s="501"/>
      <c r="DD2437" s="501"/>
      <c r="DE2437" s="501"/>
      <c r="DF2437" s="501"/>
      <c r="DG2437" s="501"/>
      <c r="DH2437" s="501"/>
      <c r="DI2437" s="501"/>
      <c r="DJ2437" s="501"/>
      <c r="DK2437" s="501"/>
      <c r="DL2437" s="501"/>
      <c r="DM2437" s="501"/>
      <c r="DN2437" s="501"/>
      <c r="DO2437" s="501"/>
      <c r="DP2437" s="501"/>
      <c r="DQ2437" s="501"/>
      <c r="DR2437" s="501"/>
      <c r="DS2437" s="501"/>
      <c r="DT2437" s="501"/>
      <c r="DU2437" s="501"/>
      <c r="DV2437" s="501"/>
      <c r="DW2437" s="501"/>
      <c r="DX2437" s="501"/>
      <c r="DY2437" s="501"/>
      <c r="DZ2437" s="501"/>
      <c r="EA2437" s="501"/>
      <c r="EB2437" s="501"/>
      <c r="EC2437" s="501"/>
      <c r="ED2437" s="501"/>
      <c r="EE2437" s="501"/>
      <c r="EF2437" s="501"/>
      <c r="EG2437" s="501"/>
      <c r="EH2437" s="501"/>
      <c r="EI2437" s="501"/>
      <c r="EJ2437" s="501"/>
      <c r="EK2437" s="501"/>
      <c r="EL2437" s="501"/>
      <c r="EM2437" s="501"/>
      <c r="EN2437" s="501"/>
      <c r="EO2437" s="501"/>
      <c r="EP2437" s="501"/>
      <c r="EQ2437" s="501"/>
      <c r="ER2437" s="501"/>
      <c r="ES2437" s="501"/>
      <c r="ET2437" s="501"/>
      <c r="EU2437" s="501"/>
      <c r="EV2437" s="501"/>
      <c r="EW2437" s="501"/>
      <c r="EX2437" s="501"/>
      <c r="EY2437" s="501"/>
      <c r="EZ2437" s="501"/>
      <c r="FA2437" s="501"/>
      <c r="FB2437" s="501"/>
      <c r="FC2437" s="501"/>
      <c r="FD2437" s="501"/>
      <c r="FE2437" s="501"/>
      <c r="FF2437" s="501"/>
      <c r="FG2437" s="501"/>
      <c r="FH2437" s="501"/>
      <c r="FI2437" s="501"/>
      <c r="FJ2437" s="501"/>
      <c r="FK2437" s="501"/>
      <c r="FL2437" s="501"/>
      <c r="FM2437" s="501"/>
      <c r="FN2437" s="501"/>
      <c r="FO2437" s="501"/>
      <c r="FP2437" s="501"/>
      <c r="FQ2437" s="501"/>
      <c r="FR2437" s="501"/>
      <c r="FS2437" s="501"/>
      <c r="FT2437" s="501"/>
      <c r="FU2437" s="501"/>
      <c r="FV2437" s="501"/>
      <c r="FW2437" s="501"/>
      <c r="FX2437" s="501"/>
      <c r="FY2437" s="501"/>
      <c r="FZ2437" s="501"/>
      <c r="GA2437" s="501"/>
      <c r="GB2437" s="501"/>
      <c r="GC2437" s="501"/>
      <c r="GD2437" s="501"/>
      <c r="GE2437" s="501"/>
      <c r="GF2437" s="501"/>
      <c r="GG2437" s="501"/>
      <c r="GH2437" s="501"/>
      <c r="GI2437" s="501"/>
      <c r="GJ2437" s="501"/>
      <c r="GK2437" s="501"/>
      <c r="GL2437" s="501"/>
      <c r="GM2437" s="501"/>
      <c r="GN2437" s="501"/>
      <c r="GO2437" s="501"/>
      <c r="GP2437" s="501"/>
      <c r="GQ2437" s="501"/>
      <c r="GR2437" s="501"/>
      <c r="GS2437" s="501"/>
      <c r="GT2437" s="501"/>
      <c r="GU2437" s="501"/>
      <c r="GV2437" s="501"/>
      <c r="GW2437" s="501"/>
      <c r="GX2437" s="501"/>
      <c r="GY2437" s="501"/>
      <c r="GZ2437" s="501"/>
      <c r="HA2437" s="501"/>
      <c r="HB2437" s="501"/>
      <c r="HC2437" s="501"/>
      <c r="HD2437" s="501"/>
      <c r="HE2437" s="501"/>
      <c r="HF2437" s="501"/>
      <c r="HG2437" s="501"/>
      <c r="HH2437" s="501"/>
      <c r="HI2437" s="501"/>
      <c r="HJ2437" s="501"/>
      <c r="HK2437" s="501"/>
      <c r="HL2437" s="501"/>
      <c r="HM2437" s="501"/>
      <c r="HN2437" s="501"/>
      <c r="HO2437" s="501"/>
      <c r="HP2437" s="501"/>
      <c r="HQ2437" s="501"/>
      <c r="HR2437" s="501"/>
      <c r="HS2437" s="501"/>
      <c r="HT2437" s="501"/>
      <c r="HU2437" s="501"/>
      <c r="HV2437" s="501"/>
      <c r="HW2437" s="501"/>
      <c r="HX2437" s="501"/>
      <c r="HY2437" s="501"/>
      <c r="HZ2437" s="501"/>
      <c r="IA2437" s="501"/>
      <c r="IB2437" s="501"/>
      <c r="IC2437" s="501"/>
      <c r="ID2437" s="501"/>
      <c r="IE2437" s="501"/>
      <c r="IF2437" s="501"/>
      <c r="IG2437" s="501"/>
      <c r="IH2437" s="501"/>
      <c r="II2437" s="501"/>
      <c r="IJ2437" s="501"/>
      <c r="IK2437" s="501"/>
      <c r="IL2437" s="501"/>
      <c r="IM2437" s="501"/>
      <c r="IN2437" s="501"/>
      <c r="IO2437" s="501"/>
      <c r="IP2437" s="501"/>
      <c r="IQ2437" s="501"/>
      <c r="IR2437" s="501"/>
      <c r="IS2437" s="501"/>
      <c r="IT2437" s="501"/>
      <c r="IU2437" s="501"/>
    </row>
    <row r="2438" spans="1:255" s="877" customFormat="1" ht="24" customHeight="1">
      <c r="A2438" s="501"/>
      <c r="B2438" s="501"/>
      <c r="C2438" s="501"/>
      <c r="D2438" s="501"/>
      <c r="E2438" s="501"/>
      <c r="F2438" s="501"/>
      <c r="G2438" s="915"/>
      <c r="H2438" s="501"/>
      <c r="I2438" s="874"/>
      <c r="J2438" s="501"/>
      <c r="K2438" s="501"/>
      <c r="L2438" s="874"/>
      <c r="M2438" s="554"/>
      <c r="N2438" s="501"/>
      <c r="O2438" s="501"/>
      <c r="P2438" s="501"/>
      <c r="Q2438" s="501"/>
      <c r="R2438" s="501"/>
      <c r="S2438" s="501"/>
      <c r="T2438" s="501"/>
      <c r="V2438" s="501"/>
      <c r="W2438" s="501"/>
      <c r="X2438" s="501"/>
      <c r="Y2438" s="501"/>
      <c r="Z2438" s="501"/>
      <c r="AA2438" s="501"/>
      <c r="AB2438" s="501"/>
      <c r="AC2438" s="501"/>
      <c r="AD2438" s="501"/>
      <c r="AE2438" s="501"/>
      <c r="AF2438" s="501"/>
      <c r="AG2438" s="501"/>
      <c r="AH2438" s="501"/>
      <c r="AI2438" s="501"/>
      <c r="AJ2438" s="501"/>
      <c r="AK2438" s="501"/>
      <c r="AL2438" s="501"/>
      <c r="AM2438" s="501"/>
      <c r="AN2438" s="501"/>
      <c r="AO2438" s="501"/>
      <c r="AP2438" s="501"/>
      <c r="AQ2438" s="501"/>
      <c r="AR2438" s="501"/>
      <c r="AS2438" s="501"/>
      <c r="AT2438" s="501"/>
      <c r="AU2438" s="501"/>
      <c r="AV2438" s="501"/>
      <c r="AW2438" s="501"/>
      <c r="AX2438" s="501"/>
      <c r="AY2438" s="501"/>
      <c r="AZ2438" s="501"/>
      <c r="BA2438" s="501"/>
      <c r="BB2438" s="501"/>
      <c r="BC2438" s="501"/>
      <c r="BD2438" s="501"/>
      <c r="BE2438" s="501"/>
      <c r="BF2438" s="501"/>
      <c r="BG2438" s="501"/>
      <c r="BH2438" s="501"/>
      <c r="BI2438" s="501"/>
      <c r="BJ2438" s="501"/>
      <c r="BK2438" s="501"/>
      <c r="BL2438" s="501"/>
      <c r="BM2438" s="501"/>
      <c r="BN2438" s="501"/>
      <c r="BO2438" s="501"/>
      <c r="BP2438" s="501"/>
      <c r="BQ2438" s="501"/>
      <c r="BR2438" s="501"/>
      <c r="BS2438" s="501"/>
      <c r="BT2438" s="501"/>
      <c r="BU2438" s="501"/>
      <c r="BV2438" s="501"/>
      <c r="BW2438" s="501"/>
      <c r="BX2438" s="501"/>
      <c r="BY2438" s="501"/>
      <c r="BZ2438" s="501"/>
      <c r="CA2438" s="501"/>
      <c r="CB2438" s="501"/>
      <c r="CC2438" s="501"/>
      <c r="CD2438" s="501"/>
      <c r="CE2438" s="501"/>
      <c r="CF2438" s="501"/>
      <c r="CG2438" s="501"/>
      <c r="CH2438" s="501"/>
      <c r="CI2438" s="501"/>
      <c r="CJ2438" s="501"/>
      <c r="CK2438" s="501"/>
      <c r="CL2438" s="501"/>
      <c r="CM2438" s="501"/>
      <c r="CN2438" s="501"/>
      <c r="CO2438" s="501"/>
      <c r="CP2438" s="501"/>
      <c r="CQ2438" s="501"/>
      <c r="CR2438" s="501"/>
      <c r="CS2438" s="501"/>
      <c r="CT2438" s="501"/>
      <c r="CU2438" s="501"/>
      <c r="CV2438" s="501"/>
      <c r="CW2438" s="501"/>
      <c r="CX2438" s="501"/>
      <c r="CY2438" s="501"/>
      <c r="CZ2438" s="501"/>
      <c r="DA2438" s="501"/>
      <c r="DB2438" s="501"/>
      <c r="DC2438" s="501"/>
      <c r="DD2438" s="501"/>
      <c r="DE2438" s="501"/>
      <c r="DF2438" s="501"/>
      <c r="DG2438" s="501"/>
      <c r="DH2438" s="501"/>
      <c r="DI2438" s="501"/>
      <c r="DJ2438" s="501"/>
      <c r="DK2438" s="501"/>
      <c r="DL2438" s="501"/>
      <c r="DM2438" s="501"/>
      <c r="DN2438" s="501"/>
      <c r="DO2438" s="501"/>
      <c r="DP2438" s="501"/>
      <c r="DQ2438" s="501"/>
      <c r="DR2438" s="501"/>
      <c r="DS2438" s="501"/>
      <c r="DT2438" s="501"/>
      <c r="DU2438" s="501"/>
      <c r="DV2438" s="501"/>
      <c r="DW2438" s="501"/>
      <c r="DX2438" s="501"/>
      <c r="DY2438" s="501"/>
      <c r="DZ2438" s="501"/>
      <c r="EA2438" s="501"/>
      <c r="EB2438" s="501"/>
      <c r="EC2438" s="501"/>
      <c r="ED2438" s="501"/>
      <c r="EE2438" s="501"/>
      <c r="EF2438" s="501"/>
      <c r="EG2438" s="501"/>
      <c r="EH2438" s="501"/>
      <c r="EI2438" s="501"/>
      <c r="EJ2438" s="501"/>
      <c r="EK2438" s="501"/>
      <c r="EL2438" s="501"/>
      <c r="EM2438" s="501"/>
      <c r="EN2438" s="501"/>
      <c r="EO2438" s="501"/>
      <c r="EP2438" s="501"/>
      <c r="EQ2438" s="501"/>
      <c r="ER2438" s="501"/>
      <c r="ES2438" s="501"/>
      <c r="ET2438" s="501"/>
      <c r="EU2438" s="501"/>
      <c r="EV2438" s="501"/>
      <c r="EW2438" s="501"/>
      <c r="EX2438" s="501"/>
      <c r="EY2438" s="501"/>
      <c r="EZ2438" s="501"/>
      <c r="FA2438" s="501"/>
      <c r="FB2438" s="501"/>
      <c r="FC2438" s="501"/>
      <c r="FD2438" s="501"/>
      <c r="FE2438" s="501"/>
      <c r="FF2438" s="501"/>
      <c r="FG2438" s="501"/>
      <c r="FH2438" s="501"/>
      <c r="FI2438" s="501"/>
      <c r="FJ2438" s="501"/>
      <c r="FK2438" s="501"/>
      <c r="FL2438" s="501"/>
      <c r="FM2438" s="501"/>
      <c r="FN2438" s="501"/>
      <c r="FO2438" s="501"/>
      <c r="FP2438" s="501"/>
      <c r="FQ2438" s="501"/>
      <c r="FR2438" s="501"/>
      <c r="FS2438" s="501"/>
      <c r="FT2438" s="501"/>
      <c r="FU2438" s="501"/>
      <c r="FV2438" s="501"/>
      <c r="FW2438" s="501"/>
      <c r="FX2438" s="501"/>
      <c r="FY2438" s="501"/>
      <c r="FZ2438" s="501"/>
      <c r="GA2438" s="501"/>
      <c r="GB2438" s="501"/>
      <c r="GC2438" s="501"/>
      <c r="GD2438" s="501"/>
      <c r="GE2438" s="501"/>
      <c r="GF2438" s="501"/>
      <c r="GG2438" s="501"/>
      <c r="GH2438" s="501"/>
      <c r="GI2438" s="501"/>
      <c r="GJ2438" s="501"/>
      <c r="GK2438" s="501"/>
      <c r="GL2438" s="501"/>
      <c r="GM2438" s="501"/>
      <c r="GN2438" s="501"/>
      <c r="GO2438" s="501"/>
      <c r="GP2438" s="501"/>
      <c r="GQ2438" s="501"/>
      <c r="GR2438" s="501"/>
      <c r="GS2438" s="501"/>
      <c r="GT2438" s="501"/>
      <c r="GU2438" s="501"/>
      <c r="GV2438" s="501"/>
      <c r="GW2438" s="501"/>
      <c r="GX2438" s="501"/>
      <c r="GY2438" s="501"/>
      <c r="GZ2438" s="501"/>
      <c r="HA2438" s="501"/>
      <c r="HB2438" s="501"/>
      <c r="HC2438" s="501"/>
      <c r="HD2438" s="501"/>
      <c r="HE2438" s="501"/>
      <c r="HF2438" s="501"/>
      <c r="HG2438" s="501"/>
      <c r="HH2438" s="501"/>
      <c r="HI2438" s="501"/>
      <c r="HJ2438" s="501"/>
      <c r="HK2438" s="501"/>
      <c r="HL2438" s="501"/>
      <c r="HM2438" s="501"/>
      <c r="HN2438" s="501"/>
      <c r="HO2438" s="501"/>
      <c r="HP2438" s="501"/>
      <c r="HQ2438" s="501"/>
      <c r="HR2438" s="501"/>
      <c r="HS2438" s="501"/>
      <c r="HT2438" s="501"/>
      <c r="HU2438" s="501"/>
      <c r="HV2438" s="501"/>
      <c r="HW2438" s="501"/>
      <c r="HX2438" s="501"/>
      <c r="HY2438" s="501"/>
      <c r="HZ2438" s="501"/>
      <c r="IA2438" s="501"/>
      <c r="IB2438" s="501"/>
      <c r="IC2438" s="501"/>
      <c r="ID2438" s="501"/>
      <c r="IE2438" s="501"/>
      <c r="IF2438" s="501"/>
      <c r="IG2438" s="501"/>
      <c r="IH2438" s="501"/>
      <c r="II2438" s="501"/>
      <c r="IJ2438" s="501"/>
      <c r="IK2438" s="501"/>
      <c r="IL2438" s="501"/>
      <c r="IM2438" s="501"/>
      <c r="IN2438" s="501"/>
      <c r="IO2438" s="501"/>
      <c r="IP2438" s="501"/>
      <c r="IQ2438" s="501"/>
      <c r="IR2438" s="501"/>
      <c r="IS2438" s="501"/>
      <c r="IT2438" s="501"/>
      <c r="IU2438" s="501"/>
    </row>
    <row r="2439" spans="1:255" s="877" customFormat="1" ht="24" customHeight="1">
      <c r="A2439" s="501"/>
      <c r="B2439" s="501"/>
      <c r="C2439" s="501"/>
      <c r="D2439" s="501"/>
      <c r="E2439" s="501"/>
      <c r="F2439" s="501"/>
      <c r="G2439" s="915"/>
      <c r="H2439" s="501"/>
      <c r="I2439" s="874"/>
      <c r="J2439" s="501"/>
      <c r="K2439" s="501"/>
      <c r="L2439" s="874"/>
      <c r="M2439" s="882"/>
      <c r="N2439" s="501"/>
      <c r="O2439" s="501"/>
      <c r="P2439" s="501"/>
      <c r="Q2439" s="501"/>
      <c r="R2439" s="501"/>
      <c r="S2439" s="501"/>
      <c r="T2439" s="501"/>
      <c r="V2439" s="501"/>
      <c r="W2439" s="501"/>
      <c r="X2439" s="501"/>
      <c r="Y2439" s="501"/>
      <c r="Z2439" s="501"/>
      <c r="AA2439" s="501"/>
      <c r="AB2439" s="501"/>
      <c r="AC2439" s="501"/>
      <c r="AD2439" s="501"/>
      <c r="AE2439" s="501"/>
      <c r="AF2439" s="501"/>
      <c r="AG2439" s="501"/>
      <c r="AH2439" s="501"/>
      <c r="AI2439" s="501"/>
      <c r="AJ2439" s="501"/>
      <c r="AK2439" s="501"/>
      <c r="AL2439" s="501"/>
      <c r="AM2439" s="501"/>
      <c r="AN2439" s="501"/>
      <c r="AO2439" s="501"/>
      <c r="AP2439" s="501"/>
      <c r="AQ2439" s="501"/>
      <c r="AR2439" s="501"/>
      <c r="AS2439" s="501"/>
      <c r="AT2439" s="501"/>
      <c r="AU2439" s="501"/>
      <c r="AV2439" s="501"/>
      <c r="AW2439" s="501"/>
      <c r="AX2439" s="501"/>
      <c r="AY2439" s="501"/>
      <c r="AZ2439" s="501"/>
      <c r="BA2439" s="501"/>
      <c r="BB2439" s="501"/>
      <c r="BC2439" s="501"/>
      <c r="BD2439" s="501"/>
      <c r="BE2439" s="501"/>
      <c r="BF2439" s="501"/>
      <c r="BG2439" s="501"/>
      <c r="BH2439" s="501"/>
      <c r="BI2439" s="501"/>
      <c r="BJ2439" s="501"/>
      <c r="BK2439" s="501"/>
      <c r="BL2439" s="501"/>
      <c r="BM2439" s="501"/>
      <c r="BN2439" s="501"/>
      <c r="BO2439" s="501"/>
      <c r="BP2439" s="501"/>
      <c r="BQ2439" s="501"/>
      <c r="BR2439" s="501"/>
      <c r="BS2439" s="501"/>
      <c r="BT2439" s="501"/>
      <c r="BU2439" s="501"/>
      <c r="BV2439" s="501"/>
      <c r="BW2439" s="501"/>
      <c r="BX2439" s="501"/>
      <c r="BY2439" s="501"/>
      <c r="BZ2439" s="501"/>
      <c r="CA2439" s="501"/>
      <c r="CB2439" s="501"/>
      <c r="CC2439" s="501"/>
      <c r="CD2439" s="501"/>
      <c r="CE2439" s="501"/>
      <c r="CF2439" s="501"/>
      <c r="CG2439" s="501"/>
      <c r="CH2439" s="501"/>
      <c r="CI2439" s="501"/>
      <c r="CJ2439" s="501"/>
      <c r="CK2439" s="501"/>
      <c r="CL2439" s="501"/>
      <c r="CM2439" s="501"/>
      <c r="CN2439" s="501"/>
      <c r="CO2439" s="501"/>
      <c r="CP2439" s="501"/>
      <c r="CQ2439" s="501"/>
      <c r="CR2439" s="501"/>
      <c r="CS2439" s="501"/>
      <c r="CT2439" s="501"/>
      <c r="CU2439" s="501"/>
      <c r="CV2439" s="501"/>
      <c r="CW2439" s="501"/>
      <c r="CX2439" s="501"/>
      <c r="CY2439" s="501"/>
      <c r="CZ2439" s="501"/>
      <c r="DA2439" s="501"/>
      <c r="DB2439" s="501"/>
      <c r="DC2439" s="501"/>
      <c r="DD2439" s="501"/>
      <c r="DE2439" s="501"/>
      <c r="DF2439" s="501"/>
      <c r="DG2439" s="501"/>
      <c r="DH2439" s="501"/>
      <c r="DI2439" s="501"/>
      <c r="DJ2439" s="501"/>
      <c r="DK2439" s="501"/>
      <c r="DL2439" s="501"/>
      <c r="DM2439" s="501"/>
      <c r="DN2439" s="501"/>
      <c r="DO2439" s="501"/>
      <c r="DP2439" s="501"/>
      <c r="DQ2439" s="501"/>
      <c r="DR2439" s="501"/>
      <c r="DS2439" s="501"/>
      <c r="DT2439" s="501"/>
      <c r="DU2439" s="501"/>
      <c r="DV2439" s="501"/>
      <c r="DW2439" s="501"/>
      <c r="DX2439" s="501"/>
      <c r="DY2439" s="501"/>
      <c r="DZ2439" s="501"/>
      <c r="EA2439" s="501"/>
      <c r="EB2439" s="501"/>
      <c r="EC2439" s="501"/>
      <c r="ED2439" s="501"/>
      <c r="EE2439" s="501"/>
      <c r="EF2439" s="501"/>
      <c r="EG2439" s="501"/>
      <c r="EH2439" s="501"/>
      <c r="EI2439" s="501"/>
      <c r="EJ2439" s="501"/>
      <c r="EK2439" s="501"/>
      <c r="EL2439" s="501"/>
      <c r="EM2439" s="501"/>
      <c r="EN2439" s="501"/>
      <c r="EO2439" s="501"/>
      <c r="EP2439" s="501"/>
      <c r="EQ2439" s="501"/>
      <c r="ER2439" s="501"/>
      <c r="ES2439" s="501"/>
      <c r="ET2439" s="501"/>
      <c r="EU2439" s="501"/>
      <c r="EV2439" s="501"/>
      <c r="EW2439" s="501"/>
      <c r="EX2439" s="501"/>
      <c r="EY2439" s="501"/>
      <c r="EZ2439" s="501"/>
      <c r="FA2439" s="501"/>
      <c r="FB2439" s="501"/>
      <c r="FC2439" s="501"/>
      <c r="FD2439" s="501"/>
      <c r="FE2439" s="501"/>
      <c r="FF2439" s="501"/>
      <c r="FG2439" s="501"/>
      <c r="FH2439" s="501"/>
      <c r="FI2439" s="501"/>
      <c r="FJ2439" s="501"/>
      <c r="FK2439" s="501"/>
      <c r="FL2439" s="501"/>
      <c r="FM2439" s="501"/>
      <c r="FN2439" s="501"/>
      <c r="FO2439" s="501"/>
      <c r="FP2439" s="501"/>
      <c r="FQ2439" s="501"/>
      <c r="FR2439" s="501"/>
      <c r="FS2439" s="501"/>
      <c r="FT2439" s="501"/>
      <c r="FU2439" s="501"/>
      <c r="FV2439" s="501"/>
      <c r="FW2439" s="501"/>
      <c r="FX2439" s="501"/>
      <c r="FY2439" s="501"/>
      <c r="FZ2439" s="501"/>
      <c r="GA2439" s="501"/>
      <c r="GB2439" s="501"/>
      <c r="GC2439" s="501"/>
      <c r="GD2439" s="501"/>
      <c r="GE2439" s="501"/>
      <c r="GF2439" s="501"/>
      <c r="GG2439" s="501"/>
      <c r="GH2439" s="501"/>
      <c r="GI2439" s="501"/>
      <c r="GJ2439" s="501"/>
      <c r="GK2439" s="501"/>
      <c r="GL2439" s="501"/>
      <c r="GM2439" s="501"/>
      <c r="GN2439" s="501"/>
      <c r="GO2439" s="501"/>
      <c r="GP2439" s="501"/>
      <c r="GQ2439" s="501"/>
      <c r="GR2439" s="501"/>
      <c r="GS2439" s="501"/>
      <c r="GT2439" s="501"/>
      <c r="GU2439" s="501"/>
      <c r="GV2439" s="501"/>
      <c r="GW2439" s="501"/>
      <c r="GX2439" s="501"/>
      <c r="GY2439" s="501"/>
      <c r="GZ2439" s="501"/>
      <c r="HA2439" s="501"/>
      <c r="HB2439" s="501"/>
      <c r="HC2439" s="501"/>
      <c r="HD2439" s="501"/>
      <c r="HE2439" s="501"/>
      <c r="HF2439" s="501"/>
      <c r="HG2439" s="501"/>
      <c r="HH2439" s="501"/>
      <c r="HI2439" s="501"/>
      <c r="HJ2439" s="501"/>
      <c r="HK2439" s="501"/>
      <c r="HL2439" s="501"/>
      <c r="HM2439" s="501"/>
      <c r="HN2439" s="501"/>
      <c r="HO2439" s="501"/>
      <c r="HP2439" s="501"/>
      <c r="HQ2439" s="501"/>
      <c r="HR2439" s="501"/>
      <c r="HS2439" s="501"/>
      <c r="HT2439" s="501"/>
      <c r="HU2439" s="501"/>
      <c r="HV2439" s="501"/>
      <c r="HW2439" s="501"/>
      <c r="HX2439" s="501"/>
      <c r="HY2439" s="501"/>
      <c r="HZ2439" s="501"/>
      <c r="IA2439" s="501"/>
      <c r="IB2439" s="501"/>
      <c r="IC2439" s="501"/>
      <c r="ID2439" s="501"/>
      <c r="IE2439" s="501"/>
      <c r="IF2439" s="501"/>
      <c r="IG2439" s="501"/>
      <c r="IH2439" s="501"/>
      <c r="II2439" s="501"/>
      <c r="IJ2439" s="501"/>
      <c r="IK2439" s="501"/>
      <c r="IL2439" s="501"/>
      <c r="IM2439" s="501"/>
      <c r="IN2439" s="501"/>
      <c r="IO2439" s="501"/>
      <c r="IP2439" s="501"/>
      <c r="IQ2439" s="501"/>
      <c r="IR2439" s="501"/>
      <c r="IS2439" s="501"/>
      <c r="IT2439" s="501"/>
      <c r="IU2439" s="501"/>
    </row>
    <row r="2440" spans="1:255" s="877" customFormat="1" ht="24" customHeight="1">
      <c r="A2440" s="501"/>
      <c r="B2440" s="501"/>
      <c r="C2440" s="501"/>
      <c r="D2440" s="501"/>
      <c r="E2440" s="501"/>
      <c r="F2440" s="876"/>
      <c r="G2440" s="916"/>
      <c r="H2440" s="876"/>
      <c r="I2440" s="874"/>
      <c r="J2440" s="875"/>
      <c r="K2440" s="501"/>
      <c r="L2440" s="874"/>
      <c r="M2440" s="899"/>
      <c r="N2440" s="501"/>
      <c r="O2440" s="501"/>
      <c r="P2440" s="501"/>
      <c r="Q2440" s="501"/>
      <c r="R2440" s="501"/>
      <c r="S2440" s="501"/>
      <c r="T2440" s="501"/>
      <c r="V2440" s="501"/>
      <c r="W2440" s="501"/>
      <c r="X2440" s="501"/>
      <c r="Y2440" s="501"/>
      <c r="Z2440" s="501"/>
      <c r="AA2440" s="501"/>
      <c r="AB2440" s="501"/>
      <c r="AC2440" s="501"/>
      <c r="AD2440" s="501"/>
      <c r="AE2440" s="501"/>
      <c r="AF2440" s="501"/>
      <c r="AG2440" s="501"/>
      <c r="AH2440" s="501"/>
      <c r="AI2440" s="501"/>
      <c r="AJ2440" s="501"/>
      <c r="AK2440" s="501"/>
      <c r="AL2440" s="501"/>
      <c r="AM2440" s="501"/>
      <c r="AN2440" s="501"/>
      <c r="AO2440" s="501"/>
      <c r="AP2440" s="501"/>
      <c r="AQ2440" s="501"/>
      <c r="AR2440" s="501"/>
      <c r="AS2440" s="501"/>
      <c r="AT2440" s="501"/>
      <c r="AU2440" s="501"/>
      <c r="AV2440" s="501"/>
      <c r="AW2440" s="501"/>
      <c r="AX2440" s="501"/>
      <c r="AY2440" s="501"/>
      <c r="AZ2440" s="501"/>
      <c r="BA2440" s="501"/>
      <c r="BB2440" s="501"/>
      <c r="BC2440" s="501"/>
      <c r="BD2440" s="501"/>
      <c r="BE2440" s="501"/>
      <c r="BF2440" s="501"/>
      <c r="BG2440" s="501"/>
      <c r="BH2440" s="501"/>
      <c r="BI2440" s="501"/>
      <c r="BJ2440" s="501"/>
      <c r="BK2440" s="501"/>
      <c r="BL2440" s="501"/>
      <c r="BM2440" s="501"/>
      <c r="BN2440" s="501"/>
      <c r="BO2440" s="501"/>
      <c r="BP2440" s="501"/>
      <c r="BQ2440" s="501"/>
      <c r="BR2440" s="501"/>
      <c r="BS2440" s="501"/>
      <c r="BT2440" s="501"/>
      <c r="BU2440" s="501"/>
      <c r="BV2440" s="501"/>
      <c r="BW2440" s="501"/>
      <c r="BX2440" s="501"/>
      <c r="BY2440" s="501"/>
      <c r="BZ2440" s="501"/>
      <c r="CA2440" s="501"/>
      <c r="CB2440" s="501"/>
      <c r="CC2440" s="501"/>
      <c r="CD2440" s="501"/>
      <c r="CE2440" s="501"/>
      <c r="CF2440" s="501"/>
      <c r="CG2440" s="501"/>
      <c r="CH2440" s="501"/>
      <c r="CI2440" s="501"/>
      <c r="CJ2440" s="501"/>
      <c r="CK2440" s="501"/>
      <c r="CL2440" s="501"/>
      <c r="CM2440" s="501"/>
      <c r="CN2440" s="501"/>
      <c r="CO2440" s="501"/>
      <c r="CP2440" s="501"/>
      <c r="CQ2440" s="501"/>
      <c r="CR2440" s="501"/>
      <c r="CS2440" s="501"/>
      <c r="CT2440" s="501"/>
      <c r="CU2440" s="501"/>
      <c r="CV2440" s="501"/>
      <c r="CW2440" s="501"/>
      <c r="CX2440" s="501"/>
      <c r="CY2440" s="501"/>
      <c r="CZ2440" s="501"/>
      <c r="DA2440" s="501"/>
      <c r="DB2440" s="501"/>
      <c r="DC2440" s="501"/>
      <c r="DD2440" s="501"/>
      <c r="DE2440" s="501"/>
      <c r="DF2440" s="501"/>
      <c r="DG2440" s="501"/>
      <c r="DH2440" s="501"/>
      <c r="DI2440" s="501"/>
      <c r="DJ2440" s="501"/>
      <c r="DK2440" s="501"/>
      <c r="DL2440" s="501"/>
      <c r="DM2440" s="501"/>
      <c r="DN2440" s="501"/>
      <c r="DO2440" s="501"/>
      <c r="DP2440" s="501"/>
      <c r="DQ2440" s="501"/>
      <c r="DR2440" s="501"/>
      <c r="DS2440" s="501"/>
      <c r="DT2440" s="501"/>
      <c r="DU2440" s="501"/>
      <c r="DV2440" s="501"/>
      <c r="DW2440" s="501"/>
      <c r="DX2440" s="501"/>
      <c r="DY2440" s="501"/>
      <c r="DZ2440" s="501"/>
      <c r="EA2440" s="501"/>
      <c r="EB2440" s="501"/>
      <c r="EC2440" s="501"/>
      <c r="ED2440" s="501"/>
      <c r="EE2440" s="501"/>
      <c r="EF2440" s="501"/>
      <c r="EG2440" s="501"/>
      <c r="EH2440" s="501"/>
      <c r="EI2440" s="501"/>
      <c r="EJ2440" s="501"/>
      <c r="EK2440" s="501"/>
      <c r="EL2440" s="501"/>
      <c r="EM2440" s="501"/>
      <c r="EN2440" s="501"/>
      <c r="EO2440" s="501"/>
      <c r="EP2440" s="501"/>
      <c r="EQ2440" s="501"/>
      <c r="ER2440" s="501"/>
      <c r="ES2440" s="501"/>
      <c r="ET2440" s="501"/>
      <c r="EU2440" s="501"/>
      <c r="EV2440" s="501"/>
      <c r="EW2440" s="501"/>
      <c r="EX2440" s="501"/>
      <c r="EY2440" s="501"/>
      <c r="EZ2440" s="501"/>
      <c r="FA2440" s="501"/>
      <c r="FB2440" s="501"/>
      <c r="FC2440" s="501"/>
      <c r="FD2440" s="501"/>
      <c r="FE2440" s="501"/>
      <c r="FF2440" s="501"/>
      <c r="FG2440" s="501"/>
      <c r="FH2440" s="501"/>
      <c r="FI2440" s="501"/>
      <c r="FJ2440" s="501"/>
      <c r="FK2440" s="501"/>
      <c r="FL2440" s="501"/>
      <c r="FM2440" s="501"/>
      <c r="FN2440" s="501"/>
      <c r="FO2440" s="501"/>
      <c r="FP2440" s="501"/>
      <c r="FQ2440" s="501"/>
      <c r="FR2440" s="501"/>
      <c r="FS2440" s="501"/>
      <c r="FT2440" s="501"/>
      <c r="FU2440" s="501"/>
      <c r="FV2440" s="501"/>
      <c r="FW2440" s="501"/>
      <c r="FX2440" s="501"/>
      <c r="FY2440" s="501"/>
      <c r="FZ2440" s="501"/>
      <c r="GA2440" s="501"/>
      <c r="GB2440" s="501"/>
      <c r="GC2440" s="501"/>
      <c r="GD2440" s="501"/>
      <c r="GE2440" s="501"/>
      <c r="GF2440" s="501"/>
      <c r="GG2440" s="501"/>
      <c r="GH2440" s="501"/>
      <c r="GI2440" s="501"/>
      <c r="GJ2440" s="501"/>
      <c r="GK2440" s="501"/>
      <c r="GL2440" s="501"/>
      <c r="GM2440" s="501"/>
      <c r="GN2440" s="501"/>
      <c r="GO2440" s="501"/>
      <c r="GP2440" s="501"/>
      <c r="GQ2440" s="501"/>
      <c r="GR2440" s="501"/>
      <c r="GS2440" s="501"/>
      <c r="GT2440" s="501"/>
      <c r="GU2440" s="501"/>
      <c r="GV2440" s="501"/>
      <c r="GW2440" s="501"/>
      <c r="GX2440" s="501"/>
      <c r="GY2440" s="501"/>
      <c r="GZ2440" s="501"/>
      <c r="HA2440" s="501"/>
      <c r="HB2440" s="501"/>
      <c r="HC2440" s="501"/>
      <c r="HD2440" s="501"/>
      <c r="HE2440" s="501"/>
      <c r="HF2440" s="501"/>
      <c r="HG2440" s="501"/>
      <c r="HH2440" s="501"/>
      <c r="HI2440" s="501"/>
      <c r="HJ2440" s="501"/>
      <c r="HK2440" s="501"/>
      <c r="HL2440" s="501"/>
      <c r="HM2440" s="501"/>
      <c r="HN2440" s="501"/>
      <c r="HO2440" s="501"/>
      <c r="HP2440" s="501"/>
      <c r="HQ2440" s="501"/>
      <c r="HR2440" s="501"/>
      <c r="HS2440" s="501"/>
      <c r="HT2440" s="501"/>
      <c r="HU2440" s="501"/>
      <c r="HV2440" s="501"/>
      <c r="HW2440" s="501"/>
      <c r="HX2440" s="501"/>
      <c r="HY2440" s="501"/>
      <c r="HZ2440" s="501"/>
      <c r="IA2440" s="501"/>
      <c r="IB2440" s="501"/>
      <c r="IC2440" s="501"/>
      <c r="ID2440" s="501"/>
      <c r="IE2440" s="501"/>
      <c r="IF2440" s="501"/>
      <c r="IG2440" s="501"/>
      <c r="IH2440" s="501"/>
      <c r="II2440" s="501"/>
      <c r="IJ2440" s="501"/>
      <c r="IK2440" s="501"/>
      <c r="IL2440" s="501"/>
      <c r="IM2440" s="501"/>
      <c r="IN2440" s="501"/>
      <c r="IO2440" s="501"/>
      <c r="IP2440" s="501"/>
      <c r="IQ2440" s="501"/>
      <c r="IR2440" s="501"/>
      <c r="IS2440" s="501"/>
      <c r="IT2440" s="501"/>
      <c r="IU2440" s="501"/>
    </row>
    <row r="2441" spans="1:255" s="877" customFormat="1" ht="24" customHeight="1">
      <c r="A2441" s="501"/>
      <c r="B2441" s="501"/>
      <c r="C2441" s="501"/>
      <c r="D2441" s="501"/>
      <c r="E2441" s="501"/>
      <c r="F2441" s="501"/>
      <c r="G2441" s="915"/>
      <c r="H2441" s="501"/>
      <c r="I2441" s="874"/>
      <c r="J2441" s="501"/>
      <c r="K2441" s="501"/>
      <c r="L2441" s="874"/>
      <c r="M2441" s="1052"/>
      <c r="N2441" s="501"/>
      <c r="O2441" s="501"/>
      <c r="P2441" s="501"/>
      <c r="Q2441" s="501"/>
      <c r="R2441" s="501"/>
      <c r="S2441" s="501"/>
      <c r="T2441" s="501"/>
      <c r="V2441" s="501"/>
      <c r="W2441" s="501"/>
      <c r="X2441" s="501"/>
      <c r="Y2441" s="501"/>
      <c r="Z2441" s="501"/>
      <c r="AA2441" s="501"/>
      <c r="AB2441" s="501"/>
      <c r="AC2441" s="501"/>
      <c r="AD2441" s="501"/>
      <c r="AE2441" s="501"/>
      <c r="AF2441" s="501"/>
      <c r="AG2441" s="501"/>
      <c r="AH2441" s="501"/>
      <c r="AI2441" s="501"/>
      <c r="AJ2441" s="501"/>
      <c r="AK2441" s="501"/>
      <c r="AL2441" s="501"/>
      <c r="AM2441" s="501"/>
      <c r="AN2441" s="501"/>
      <c r="AO2441" s="501"/>
      <c r="AP2441" s="501"/>
      <c r="AQ2441" s="501"/>
      <c r="AR2441" s="501"/>
      <c r="AS2441" s="501"/>
      <c r="AT2441" s="501"/>
      <c r="AU2441" s="501"/>
      <c r="AV2441" s="501"/>
      <c r="AW2441" s="501"/>
      <c r="AX2441" s="501"/>
      <c r="AY2441" s="501"/>
      <c r="AZ2441" s="501"/>
      <c r="BA2441" s="501"/>
      <c r="BB2441" s="501"/>
      <c r="BC2441" s="501"/>
      <c r="BD2441" s="501"/>
      <c r="BE2441" s="501"/>
      <c r="BF2441" s="501"/>
      <c r="BG2441" s="501"/>
      <c r="BH2441" s="501"/>
      <c r="BI2441" s="501"/>
      <c r="BJ2441" s="501"/>
      <c r="BK2441" s="501"/>
      <c r="BL2441" s="501"/>
      <c r="BM2441" s="501"/>
      <c r="BN2441" s="501"/>
      <c r="BO2441" s="501"/>
      <c r="BP2441" s="501"/>
      <c r="BQ2441" s="501"/>
      <c r="BR2441" s="501"/>
      <c r="BS2441" s="501"/>
      <c r="BT2441" s="501"/>
      <c r="BU2441" s="501"/>
      <c r="BV2441" s="501"/>
      <c r="BW2441" s="501"/>
      <c r="BX2441" s="501"/>
      <c r="BY2441" s="501"/>
      <c r="BZ2441" s="501"/>
      <c r="CA2441" s="501"/>
      <c r="CB2441" s="501"/>
      <c r="CC2441" s="501"/>
      <c r="CD2441" s="501"/>
      <c r="CE2441" s="501"/>
      <c r="CF2441" s="501"/>
      <c r="CG2441" s="501"/>
      <c r="CH2441" s="501"/>
      <c r="CI2441" s="501"/>
      <c r="CJ2441" s="501"/>
      <c r="CK2441" s="501"/>
      <c r="CL2441" s="501"/>
      <c r="CM2441" s="501"/>
      <c r="CN2441" s="501"/>
      <c r="CO2441" s="501"/>
      <c r="CP2441" s="501"/>
      <c r="CQ2441" s="501"/>
      <c r="CR2441" s="501"/>
      <c r="CS2441" s="501"/>
      <c r="CT2441" s="501"/>
      <c r="CU2441" s="501"/>
      <c r="CV2441" s="501"/>
      <c r="CW2441" s="501"/>
      <c r="CX2441" s="501"/>
      <c r="CY2441" s="501"/>
      <c r="CZ2441" s="501"/>
      <c r="DA2441" s="501"/>
      <c r="DB2441" s="501"/>
      <c r="DC2441" s="501"/>
      <c r="DD2441" s="501"/>
      <c r="DE2441" s="501"/>
      <c r="DF2441" s="501"/>
      <c r="DG2441" s="501"/>
      <c r="DH2441" s="501"/>
      <c r="DI2441" s="501"/>
      <c r="DJ2441" s="501"/>
      <c r="DK2441" s="501"/>
      <c r="DL2441" s="501"/>
      <c r="DM2441" s="501"/>
      <c r="DN2441" s="501"/>
      <c r="DO2441" s="501"/>
      <c r="DP2441" s="501"/>
      <c r="DQ2441" s="501"/>
      <c r="DR2441" s="501"/>
      <c r="DS2441" s="501"/>
      <c r="DT2441" s="501"/>
      <c r="DU2441" s="501"/>
      <c r="DV2441" s="501"/>
      <c r="DW2441" s="501"/>
      <c r="DX2441" s="501"/>
      <c r="DY2441" s="501"/>
      <c r="DZ2441" s="501"/>
      <c r="EA2441" s="501"/>
      <c r="EB2441" s="501"/>
      <c r="EC2441" s="501"/>
      <c r="ED2441" s="501"/>
      <c r="EE2441" s="501"/>
      <c r="EF2441" s="501"/>
      <c r="EG2441" s="501"/>
      <c r="EH2441" s="501"/>
      <c r="EI2441" s="501"/>
      <c r="EJ2441" s="501"/>
      <c r="EK2441" s="501"/>
      <c r="EL2441" s="501"/>
      <c r="EM2441" s="501"/>
      <c r="EN2441" s="501"/>
      <c r="EO2441" s="501"/>
      <c r="EP2441" s="501"/>
      <c r="EQ2441" s="501"/>
      <c r="ER2441" s="501"/>
      <c r="ES2441" s="501"/>
      <c r="ET2441" s="501"/>
      <c r="EU2441" s="501"/>
      <c r="EV2441" s="501"/>
      <c r="EW2441" s="501"/>
      <c r="EX2441" s="501"/>
      <c r="EY2441" s="501"/>
      <c r="EZ2441" s="501"/>
      <c r="FA2441" s="501"/>
      <c r="FB2441" s="501"/>
      <c r="FC2441" s="501"/>
      <c r="FD2441" s="501"/>
      <c r="FE2441" s="501"/>
      <c r="FF2441" s="501"/>
      <c r="FG2441" s="501"/>
      <c r="FH2441" s="501"/>
      <c r="FI2441" s="501"/>
      <c r="FJ2441" s="501"/>
      <c r="FK2441" s="501"/>
      <c r="FL2441" s="501"/>
      <c r="FM2441" s="501"/>
      <c r="FN2441" s="501"/>
      <c r="FO2441" s="501"/>
      <c r="FP2441" s="501"/>
      <c r="FQ2441" s="501"/>
      <c r="FR2441" s="501"/>
      <c r="FS2441" s="501"/>
      <c r="FT2441" s="501"/>
      <c r="FU2441" s="501"/>
      <c r="FV2441" s="501"/>
      <c r="FW2441" s="501"/>
      <c r="FX2441" s="501"/>
      <c r="FY2441" s="501"/>
      <c r="FZ2441" s="501"/>
      <c r="GA2441" s="501"/>
      <c r="GB2441" s="501"/>
      <c r="GC2441" s="501"/>
      <c r="GD2441" s="501"/>
      <c r="GE2441" s="501"/>
      <c r="GF2441" s="501"/>
      <c r="GG2441" s="501"/>
      <c r="GH2441" s="501"/>
      <c r="GI2441" s="501"/>
      <c r="GJ2441" s="501"/>
      <c r="GK2441" s="501"/>
      <c r="GL2441" s="501"/>
      <c r="GM2441" s="501"/>
      <c r="GN2441" s="501"/>
      <c r="GO2441" s="501"/>
      <c r="GP2441" s="501"/>
      <c r="GQ2441" s="501"/>
      <c r="GR2441" s="501"/>
      <c r="GS2441" s="501"/>
      <c r="GT2441" s="501"/>
      <c r="GU2441" s="501"/>
      <c r="GV2441" s="501"/>
      <c r="GW2441" s="501"/>
      <c r="GX2441" s="501"/>
      <c r="GY2441" s="501"/>
      <c r="GZ2441" s="501"/>
      <c r="HA2441" s="501"/>
      <c r="HB2441" s="501"/>
      <c r="HC2441" s="501"/>
      <c r="HD2441" s="501"/>
      <c r="HE2441" s="501"/>
      <c r="HF2441" s="501"/>
      <c r="HG2441" s="501"/>
      <c r="HH2441" s="501"/>
      <c r="HI2441" s="501"/>
      <c r="HJ2441" s="501"/>
      <c r="HK2441" s="501"/>
      <c r="HL2441" s="501"/>
      <c r="HM2441" s="501"/>
      <c r="HN2441" s="501"/>
      <c r="HO2441" s="501"/>
      <c r="HP2441" s="501"/>
      <c r="HQ2441" s="501"/>
      <c r="HR2441" s="501"/>
      <c r="HS2441" s="501"/>
      <c r="HT2441" s="501"/>
      <c r="HU2441" s="501"/>
      <c r="HV2441" s="501"/>
      <c r="HW2441" s="501"/>
      <c r="HX2441" s="501"/>
      <c r="HY2441" s="501"/>
      <c r="HZ2441" s="501"/>
      <c r="IA2441" s="501"/>
      <c r="IB2441" s="501"/>
      <c r="IC2441" s="501"/>
      <c r="ID2441" s="501"/>
      <c r="IE2441" s="501"/>
      <c r="IF2441" s="501"/>
      <c r="IG2441" s="501"/>
      <c r="IH2441" s="501"/>
      <c r="II2441" s="501"/>
      <c r="IJ2441" s="501"/>
      <c r="IK2441" s="501"/>
      <c r="IL2441" s="501"/>
      <c r="IM2441" s="501"/>
      <c r="IN2441" s="501"/>
      <c r="IO2441" s="501"/>
      <c r="IP2441" s="501"/>
      <c r="IQ2441" s="501"/>
      <c r="IR2441" s="501"/>
      <c r="IS2441" s="501"/>
      <c r="IT2441" s="501"/>
      <c r="IU2441" s="501"/>
    </row>
    <row r="2442" spans="1:255" ht="24" customHeight="1">
      <c r="F2442" s="876"/>
      <c r="G2442" s="916"/>
      <c r="H2442" s="876"/>
      <c r="J2442" s="875"/>
      <c r="M2442" s="883"/>
    </row>
    <row r="2443" spans="1:255" ht="24" customHeight="1">
      <c r="M2443" s="1049"/>
    </row>
    <row r="2448" spans="1:255" ht="24" customHeight="1">
      <c r="J2448" s="885"/>
    </row>
    <row r="2450" spans="6:13" ht="24" customHeight="1">
      <c r="F2450" s="874"/>
      <c r="G2450" s="1056"/>
      <c r="H2450" s="874"/>
      <c r="J2450" s="874"/>
    </row>
    <row r="2455" spans="6:13" ht="24" customHeight="1">
      <c r="K2455" s="903"/>
    </row>
    <row r="2460" spans="6:13" ht="24" customHeight="1">
      <c r="J2460" s="933"/>
    </row>
    <row r="2463" spans="6:13" ht="24" customHeight="1">
      <c r="K2463" s="933"/>
    </row>
    <row r="2464" spans="6:13" ht="24" customHeight="1">
      <c r="M2464" s="1049"/>
    </row>
    <row r="2465" spans="6:13" ht="24" customHeight="1">
      <c r="J2465" s="885"/>
      <c r="M2465" s="899"/>
    </row>
    <row r="2466" spans="6:13" ht="24" customHeight="1">
      <c r="M2466" s="1049"/>
    </row>
    <row r="2467" spans="6:13" ht="24" customHeight="1">
      <c r="J2467" s="885"/>
      <c r="M2467" s="899"/>
    </row>
    <row r="2469" spans="6:13" ht="24" customHeight="1">
      <c r="F2469" s="874"/>
      <c r="G2469" s="1056"/>
      <c r="H2469" s="874"/>
      <c r="J2469" s="874"/>
    </row>
    <row r="2474" spans="6:13" ht="24" customHeight="1">
      <c r="K2474" s="903"/>
    </row>
    <row r="2475" spans="6:13" ht="24" customHeight="1">
      <c r="K2475" s="885"/>
    </row>
    <row r="2476" spans="6:13" ht="24" customHeight="1">
      <c r="K2476" s="903"/>
    </row>
    <row r="2482" spans="1:255" ht="24" customHeight="1">
      <c r="K2482" s="933"/>
    </row>
    <row r="2483" spans="1:255" ht="24" customHeight="1">
      <c r="M2483" s="1049"/>
    </row>
    <row r="2484" spans="1:255" ht="24" customHeight="1">
      <c r="J2484" s="885"/>
      <c r="M2484" s="899"/>
    </row>
    <row r="2485" spans="1:255" ht="24" customHeight="1">
      <c r="M2485" s="1049"/>
    </row>
    <row r="2486" spans="1:255" ht="24" customHeight="1">
      <c r="K2486" s="885"/>
      <c r="M2486" s="899"/>
    </row>
    <row r="2489" spans="1:255" ht="24" customHeight="1">
      <c r="J2489" s="885"/>
    </row>
    <row r="2490" spans="1:255" s="877" customFormat="1" ht="24" customHeight="1">
      <c r="A2490" s="501"/>
      <c r="B2490" s="501"/>
      <c r="C2490" s="501"/>
      <c r="D2490" s="501"/>
      <c r="E2490" s="501"/>
      <c r="F2490" s="501"/>
      <c r="G2490" s="915"/>
      <c r="H2490" s="501"/>
      <c r="I2490" s="874"/>
      <c r="J2490" s="501"/>
      <c r="K2490" s="501"/>
      <c r="L2490" s="874"/>
      <c r="M2490" s="554"/>
      <c r="N2490" s="501"/>
      <c r="O2490" s="501"/>
      <c r="P2490" s="501"/>
      <c r="Q2490" s="501"/>
      <c r="R2490" s="501"/>
      <c r="S2490" s="501"/>
      <c r="T2490" s="501"/>
      <c r="V2490" s="501"/>
      <c r="W2490" s="501"/>
      <c r="X2490" s="501"/>
      <c r="Y2490" s="501"/>
      <c r="Z2490" s="501"/>
      <c r="AA2490" s="501"/>
      <c r="AB2490" s="501"/>
      <c r="AC2490" s="501"/>
      <c r="AD2490" s="501"/>
      <c r="AE2490" s="501"/>
      <c r="AF2490" s="501"/>
      <c r="AG2490" s="501"/>
      <c r="AH2490" s="501"/>
      <c r="AI2490" s="501"/>
      <c r="AJ2490" s="501"/>
      <c r="AK2490" s="501"/>
      <c r="AL2490" s="501"/>
      <c r="AM2490" s="501"/>
      <c r="AN2490" s="501"/>
      <c r="AO2490" s="501"/>
      <c r="AP2490" s="501"/>
      <c r="AQ2490" s="501"/>
      <c r="AR2490" s="501"/>
      <c r="AS2490" s="501"/>
      <c r="AT2490" s="501"/>
      <c r="AU2490" s="501"/>
      <c r="AV2490" s="501"/>
      <c r="AW2490" s="501"/>
      <c r="AX2490" s="501"/>
      <c r="AY2490" s="501"/>
      <c r="AZ2490" s="501"/>
      <c r="BA2490" s="501"/>
      <c r="BB2490" s="501"/>
      <c r="BC2490" s="501"/>
      <c r="BD2490" s="501"/>
      <c r="BE2490" s="501"/>
      <c r="BF2490" s="501"/>
      <c r="BG2490" s="501"/>
      <c r="BH2490" s="501"/>
      <c r="BI2490" s="501"/>
      <c r="BJ2490" s="501"/>
      <c r="BK2490" s="501"/>
      <c r="BL2490" s="501"/>
      <c r="BM2490" s="501"/>
      <c r="BN2490" s="501"/>
      <c r="BO2490" s="501"/>
      <c r="BP2490" s="501"/>
      <c r="BQ2490" s="501"/>
      <c r="BR2490" s="501"/>
      <c r="BS2490" s="501"/>
      <c r="BT2490" s="501"/>
      <c r="BU2490" s="501"/>
      <c r="BV2490" s="501"/>
      <c r="BW2490" s="501"/>
      <c r="BX2490" s="501"/>
      <c r="BY2490" s="501"/>
      <c r="BZ2490" s="501"/>
      <c r="CA2490" s="501"/>
      <c r="CB2490" s="501"/>
      <c r="CC2490" s="501"/>
      <c r="CD2490" s="501"/>
      <c r="CE2490" s="501"/>
      <c r="CF2490" s="501"/>
      <c r="CG2490" s="501"/>
      <c r="CH2490" s="501"/>
      <c r="CI2490" s="501"/>
      <c r="CJ2490" s="501"/>
      <c r="CK2490" s="501"/>
      <c r="CL2490" s="501"/>
      <c r="CM2490" s="501"/>
      <c r="CN2490" s="501"/>
      <c r="CO2490" s="501"/>
      <c r="CP2490" s="501"/>
      <c r="CQ2490" s="501"/>
      <c r="CR2490" s="501"/>
      <c r="CS2490" s="501"/>
      <c r="CT2490" s="501"/>
      <c r="CU2490" s="501"/>
      <c r="CV2490" s="501"/>
      <c r="CW2490" s="501"/>
      <c r="CX2490" s="501"/>
      <c r="CY2490" s="501"/>
      <c r="CZ2490" s="501"/>
      <c r="DA2490" s="501"/>
      <c r="DB2490" s="501"/>
      <c r="DC2490" s="501"/>
      <c r="DD2490" s="501"/>
      <c r="DE2490" s="501"/>
      <c r="DF2490" s="501"/>
      <c r="DG2490" s="501"/>
      <c r="DH2490" s="501"/>
      <c r="DI2490" s="501"/>
      <c r="DJ2490" s="501"/>
      <c r="DK2490" s="501"/>
      <c r="DL2490" s="501"/>
      <c r="DM2490" s="501"/>
      <c r="DN2490" s="501"/>
      <c r="DO2490" s="501"/>
      <c r="DP2490" s="501"/>
      <c r="DQ2490" s="501"/>
      <c r="DR2490" s="501"/>
      <c r="DS2490" s="501"/>
      <c r="DT2490" s="501"/>
      <c r="DU2490" s="501"/>
      <c r="DV2490" s="501"/>
      <c r="DW2490" s="501"/>
      <c r="DX2490" s="501"/>
      <c r="DY2490" s="501"/>
      <c r="DZ2490" s="501"/>
      <c r="EA2490" s="501"/>
      <c r="EB2490" s="501"/>
      <c r="EC2490" s="501"/>
      <c r="ED2490" s="501"/>
      <c r="EE2490" s="501"/>
      <c r="EF2490" s="501"/>
      <c r="EG2490" s="501"/>
      <c r="EH2490" s="501"/>
      <c r="EI2490" s="501"/>
      <c r="EJ2490" s="501"/>
      <c r="EK2490" s="501"/>
      <c r="EL2490" s="501"/>
      <c r="EM2490" s="501"/>
      <c r="EN2490" s="501"/>
      <c r="EO2490" s="501"/>
      <c r="EP2490" s="501"/>
      <c r="EQ2490" s="501"/>
      <c r="ER2490" s="501"/>
      <c r="ES2490" s="501"/>
      <c r="ET2490" s="501"/>
      <c r="EU2490" s="501"/>
      <c r="EV2490" s="501"/>
      <c r="EW2490" s="501"/>
      <c r="EX2490" s="501"/>
      <c r="EY2490" s="501"/>
      <c r="EZ2490" s="501"/>
      <c r="FA2490" s="501"/>
      <c r="FB2490" s="501"/>
      <c r="FC2490" s="501"/>
      <c r="FD2490" s="501"/>
      <c r="FE2490" s="501"/>
      <c r="FF2490" s="501"/>
      <c r="FG2490" s="501"/>
      <c r="FH2490" s="501"/>
      <c r="FI2490" s="501"/>
      <c r="FJ2490" s="501"/>
      <c r="FK2490" s="501"/>
      <c r="FL2490" s="501"/>
      <c r="FM2490" s="501"/>
      <c r="FN2490" s="501"/>
      <c r="FO2490" s="501"/>
      <c r="FP2490" s="501"/>
      <c r="FQ2490" s="501"/>
      <c r="FR2490" s="501"/>
      <c r="FS2490" s="501"/>
      <c r="FT2490" s="501"/>
      <c r="FU2490" s="501"/>
      <c r="FV2490" s="501"/>
      <c r="FW2490" s="501"/>
      <c r="FX2490" s="501"/>
      <c r="FY2490" s="501"/>
      <c r="FZ2490" s="501"/>
      <c r="GA2490" s="501"/>
      <c r="GB2490" s="501"/>
      <c r="GC2490" s="501"/>
      <c r="GD2490" s="501"/>
      <c r="GE2490" s="501"/>
      <c r="GF2490" s="501"/>
      <c r="GG2490" s="501"/>
      <c r="GH2490" s="501"/>
      <c r="GI2490" s="501"/>
      <c r="GJ2490" s="501"/>
      <c r="GK2490" s="501"/>
      <c r="GL2490" s="501"/>
      <c r="GM2490" s="501"/>
      <c r="GN2490" s="501"/>
      <c r="GO2490" s="501"/>
      <c r="GP2490" s="501"/>
      <c r="GQ2490" s="501"/>
      <c r="GR2490" s="501"/>
      <c r="GS2490" s="501"/>
      <c r="GT2490" s="501"/>
      <c r="GU2490" s="501"/>
      <c r="GV2490" s="501"/>
      <c r="GW2490" s="501"/>
      <c r="GX2490" s="501"/>
      <c r="GY2490" s="501"/>
      <c r="GZ2490" s="501"/>
      <c r="HA2490" s="501"/>
      <c r="HB2490" s="501"/>
      <c r="HC2490" s="501"/>
      <c r="HD2490" s="501"/>
      <c r="HE2490" s="501"/>
      <c r="HF2490" s="501"/>
      <c r="HG2490" s="501"/>
      <c r="HH2490" s="501"/>
      <c r="HI2490" s="501"/>
      <c r="HJ2490" s="501"/>
      <c r="HK2490" s="501"/>
      <c r="HL2490" s="501"/>
      <c r="HM2490" s="501"/>
      <c r="HN2490" s="501"/>
      <c r="HO2490" s="501"/>
      <c r="HP2490" s="501"/>
      <c r="HQ2490" s="501"/>
      <c r="HR2490" s="501"/>
      <c r="HS2490" s="501"/>
      <c r="HT2490" s="501"/>
      <c r="HU2490" s="501"/>
      <c r="HV2490" s="501"/>
      <c r="HW2490" s="501"/>
      <c r="HX2490" s="501"/>
      <c r="HY2490" s="501"/>
      <c r="HZ2490" s="501"/>
      <c r="IA2490" s="501"/>
      <c r="IB2490" s="501"/>
      <c r="IC2490" s="501"/>
      <c r="ID2490" s="501"/>
      <c r="IE2490" s="501"/>
      <c r="IF2490" s="501"/>
      <c r="IG2490" s="501"/>
      <c r="IH2490" s="501"/>
      <c r="II2490" s="501"/>
      <c r="IJ2490" s="501"/>
      <c r="IK2490" s="501"/>
      <c r="IL2490" s="501"/>
      <c r="IM2490" s="501"/>
      <c r="IN2490" s="501"/>
      <c r="IO2490" s="501"/>
      <c r="IP2490" s="501"/>
      <c r="IQ2490" s="501"/>
      <c r="IR2490" s="501"/>
      <c r="IS2490" s="501"/>
      <c r="IT2490" s="501"/>
      <c r="IU2490" s="501"/>
    </row>
    <row r="2491" spans="1:255" s="877" customFormat="1" ht="24" customHeight="1">
      <c r="A2491" s="501"/>
      <c r="B2491" s="501"/>
      <c r="C2491" s="501"/>
      <c r="D2491" s="501"/>
      <c r="E2491" s="501"/>
      <c r="F2491" s="874"/>
      <c r="G2491" s="1056"/>
      <c r="H2491" s="874"/>
      <c r="I2491" s="874"/>
      <c r="J2491" s="874"/>
      <c r="K2491" s="501"/>
      <c r="L2491" s="874"/>
      <c r="M2491" s="554"/>
      <c r="N2491" s="501"/>
      <c r="O2491" s="501"/>
      <c r="P2491" s="501"/>
      <c r="Q2491" s="501"/>
      <c r="R2491" s="501"/>
      <c r="S2491" s="501"/>
      <c r="T2491" s="501"/>
      <c r="V2491" s="501"/>
      <c r="W2491" s="501"/>
      <c r="X2491" s="501"/>
      <c r="Y2491" s="501"/>
      <c r="Z2491" s="501"/>
      <c r="AA2491" s="501"/>
      <c r="AB2491" s="501"/>
      <c r="AC2491" s="501"/>
      <c r="AD2491" s="501"/>
      <c r="AE2491" s="501"/>
      <c r="AF2491" s="501"/>
      <c r="AG2491" s="501"/>
      <c r="AH2491" s="501"/>
      <c r="AI2491" s="501"/>
      <c r="AJ2491" s="501"/>
      <c r="AK2491" s="501"/>
      <c r="AL2491" s="501"/>
      <c r="AM2491" s="501"/>
      <c r="AN2491" s="501"/>
      <c r="AO2491" s="501"/>
      <c r="AP2491" s="501"/>
      <c r="AQ2491" s="501"/>
      <c r="AR2491" s="501"/>
      <c r="AS2491" s="501"/>
      <c r="AT2491" s="501"/>
      <c r="AU2491" s="501"/>
      <c r="AV2491" s="501"/>
      <c r="AW2491" s="501"/>
      <c r="AX2491" s="501"/>
      <c r="AY2491" s="501"/>
      <c r="AZ2491" s="501"/>
      <c r="BA2491" s="501"/>
      <c r="BB2491" s="501"/>
      <c r="BC2491" s="501"/>
      <c r="BD2491" s="501"/>
      <c r="BE2491" s="501"/>
      <c r="BF2491" s="501"/>
      <c r="BG2491" s="501"/>
      <c r="BH2491" s="501"/>
      <c r="BI2491" s="501"/>
      <c r="BJ2491" s="501"/>
      <c r="BK2491" s="501"/>
      <c r="BL2491" s="501"/>
      <c r="BM2491" s="501"/>
      <c r="BN2491" s="501"/>
      <c r="BO2491" s="501"/>
      <c r="BP2491" s="501"/>
      <c r="BQ2491" s="501"/>
      <c r="BR2491" s="501"/>
      <c r="BS2491" s="501"/>
      <c r="BT2491" s="501"/>
      <c r="BU2491" s="501"/>
      <c r="BV2491" s="501"/>
      <c r="BW2491" s="501"/>
      <c r="BX2491" s="501"/>
      <c r="BY2491" s="501"/>
      <c r="BZ2491" s="501"/>
      <c r="CA2491" s="501"/>
      <c r="CB2491" s="501"/>
      <c r="CC2491" s="501"/>
      <c r="CD2491" s="501"/>
      <c r="CE2491" s="501"/>
      <c r="CF2491" s="501"/>
      <c r="CG2491" s="501"/>
      <c r="CH2491" s="501"/>
      <c r="CI2491" s="501"/>
      <c r="CJ2491" s="501"/>
      <c r="CK2491" s="501"/>
      <c r="CL2491" s="501"/>
      <c r="CM2491" s="501"/>
      <c r="CN2491" s="501"/>
      <c r="CO2491" s="501"/>
      <c r="CP2491" s="501"/>
      <c r="CQ2491" s="501"/>
      <c r="CR2491" s="501"/>
      <c r="CS2491" s="501"/>
      <c r="CT2491" s="501"/>
      <c r="CU2491" s="501"/>
      <c r="CV2491" s="501"/>
      <c r="CW2491" s="501"/>
      <c r="CX2491" s="501"/>
      <c r="CY2491" s="501"/>
      <c r="CZ2491" s="501"/>
      <c r="DA2491" s="501"/>
      <c r="DB2491" s="501"/>
      <c r="DC2491" s="501"/>
      <c r="DD2491" s="501"/>
      <c r="DE2491" s="501"/>
      <c r="DF2491" s="501"/>
      <c r="DG2491" s="501"/>
      <c r="DH2491" s="501"/>
      <c r="DI2491" s="501"/>
      <c r="DJ2491" s="501"/>
      <c r="DK2491" s="501"/>
      <c r="DL2491" s="501"/>
      <c r="DM2491" s="501"/>
      <c r="DN2491" s="501"/>
      <c r="DO2491" s="501"/>
      <c r="DP2491" s="501"/>
      <c r="DQ2491" s="501"/>
      <c r="DR2491" s="501"/>
      <c r="DS2491" s="501"/>
      <c r="DT2491" s="501"/>
      <c r="DU2491" s="501"/>
      <c r="DV2491" s="501"/>
      <c r="DW2491" s="501"/>
      <c r="DX2491" s="501"/>
      <c r="DY2491" s="501"/>
      <c r="DZ2491" s="501"/>
      <c r="EA2491" s="501"/>
      <c r="EB2491" s="501"/>
      <c r="EC2491" s="501"/>
      <c r="ED2491" s="501"/>
      <c r="EE2491" s="501"/>
      <c r="EF2491" s="501"/>
      <c r="EG2491" s="501"/>
      <c r="EH2491" s="501"/>
      <c r="EI2491" s="501"/>
      <c r="EJ2491" s="501"/>
      <c r="EK2491" s="501"/>
      <c r="EL2491" s="501"/>
      <c r="EM2491" s="501"/>
      <c r="EN2491" s="501"/>
      <c r="EO2491" s="501"/>
      <c r="EP2491" s="501"/>
      <c r="EQ2491" s="501"/>
      <c r="ER2491" s="501"/>
      <c r="ES2491" s="501"/>
      <c r="ET2491" s="501"/>
      <c r="EU2491" s="501"/>
      <c r="EV2491" s="501"/>
      <c r="EW2491" s="501"/>
      <c r="EX2491" s="501"/>
      <c r="EY2491" s="501"/>
      <c r="EZ2491" s="501"/>
      <c r="FA2491" s="501"/>
      <c r="FB2491" s="501"/>
      <c r="FC2491" s="501"/>
      <c r="FD2491" s="501"/>
      <c r="FE2491" s="501"/>
      <c r="FF2491" s="501"/>
      <c r="FG2491" s="501"/>
      <c r="FH2491" s="501"/>
      <c r="FI2491" s="501"/>
      <c r="FJ2491" s="501"/>
      <c r="FK2491" s="501"/>
      <c r="FL2491" s="501"/>
      <c r="FM2491" s="501"/>
      <c r="FN2491" s="501"/>
      <c r="FO2491" s="501"/>
      <c r="FP2491" s="501"/>
      <c r="FQ2491" s="501"/>
      <c r="FR2491" s="501"/>
      <c r="FS2491" s="501"/>
      <c r="FT2491" s="501"/>
      <c r="FU2491" s="501"/>
      <c r="FV2491" s="501"/>
      <c r="FW2491" s="501"/>
      <c r="FX2491" s="501"/>
      <c r="FY2491" s="501"/>
      <c r="FZ2491" s="501"/>
      <c r="GA2491" s="501"/>
      <c r="GB2491" s="501"/>
      <c r="GC2491" s="501"/>
      <c r="GD2491" s="501"/>
      <c r="GE2491" s="501"/>
      <c r="GF2491" s="501"/>
      <c r="GG2491" s="501"/>
      <c r="GH2491" s="501"/>
      <c r="GI2491" s="501"/>
      <c r="GJ2491" s="501"/>
      <c r="GK2491" s="501"/>
      <c r="GL2491" s="501"/>
      <c r="GM2491" s="501"/>
      <c r="GN2491" s="501"/>
      <c r="GO2491" s="501"/>
      <c r="GP2491" s="501"/>
      <c r="GQ2491" s="501"/>
      <c r="GR2491" s="501"/>
      <c r="GS2491" s="501"/>
      <c r="GT2491" s="501"/>
      <c r="GU2491" s="501"/>
      <c r="GV2491" s="501"/>
      <c r="GW2491" s="501"/>
      <c r="GX2491" s="501"/>
      <c r="GY2491" s="501"/>
      <c r="GZ2491" s="501"/>
      <c r="HA2491" s="501"/>
      <c r="HB2491" s="501"/>
      <c r="HC2491" s="501"/>
      <c r="HD2491" s="501"/>
      <c r="HE2491" s="501"/>
      <c r="HF2491" s="501"/>
      <c r="HG2491" s="501"/>
      <c r="HH2491" s="501"/>
      <c r="HI2491" s="501"/>
      <c r="HJ2491" s="501"/>
      <c r="HK2491" s="501"/>
      <c r="HL2491" s="501"/>
      <c r="HM2491" s="501"/>
      <c r="HN2491" s="501"/>
      <c r="HO2491" s="501"/>
      <c r="HP2491" s="501"/>
      <c r="HQ2491" s="501"/>
      <c r="HR2491" s="501"/>
      <c r="HS2491" s="501"/>
      <c r="HT2491" s="501"/>
      <c r="HU2491" s="501"/>
      <c r="HV2491" s="501"/>
      <c r="HW2491" s="501"/>
      <c r="HX2491" s="501"/>
      <c r="HY2491" s="501"/>
      <c r="HZ2491" s="501"/>
      <c r="IA2491" s="501"/>
      <c r="IB2491" s="501"/>
      <c r="IC2491" s="501"/>
      <c r="ID2491" s="501"/>
      <c r="IE2491" s="501"/>
      <c r="IF2491" s="501"/>
      <c r="IG2491" s="501"/>
      <c r="IH2491" s="501"/>
      <c r="II2491" s="501"/>
      <c r="IJ2491" s="501"/>
      <c r="IK2491" s="501"/>
      <c r="IL2491" s="501"/>
      <c r="IM2491" s="501"/>
      <c r="IN2491" s="501"/>
      <c r="IO2491" s="501"/>
      <c r="IP2491" s="501"/>
      <c r="IQ2491" s="501"/>
      <c r="IR2491" s="501"/>
      <c r="IS2491" s="501"/>
      <c r="IT2491" s="501"/>
      <c r="IU2491" s="501"/>
    </row>
    <row r="2492" spans="1:255" s="877" customFormat="1" ht="24" customHeight="1">
      <c r="A2492" s="501"/>
      <c r="B2492" s="501"/>
      <c r="C2492" s="501"/>
      <c r="D2492" s="501"/>
      <c r="E2492" s="501"/>
      <c r="F2492" s="501"/>
      <c r="G2492" s="915"/>
      <c r="H2492" s="501"/>
      <c r="I2492" s="874"/>
      <c r="J2492" s="501"/>
      <c r="K2492" s="501"/>
      <c r="L2492" s="874"/>
      <c r="M2492" s="554"/>
      <c r="N2492" s="501"/>
      <c r="O2492" s="501"/>
      <c r="P2492" s="501"/>
      <c r="Q2492" s="501"/>
      <c r="R2492" s="501"/>
      <c r="S2492" s="501"/>
      <c r="T2492" s="501"/>
      <c r="V2492" s="501"/>
      <c r="W2492" s="501"/>
      <c r="X2492" s="501"/>
      <c r="Y2492" s="501"/>
      <c r="Z2492" s="501"/>
      <c r="AA2492" s="501"/>
      <c r="AB2492" s="501"/>
      <c r="AC2492" s="501"/>
      <c r="AD2492" s="501"/>
      <c r="AE2492" s="501"/>
      <c r="AF2492" s="501"/>
      <c r="AG2492" s="501"/>
      <c r="AH2492" s="501"/>
      <c r="AI2492" s="501"/>
      <c r="AJ2492" s="501"/>
      <c r="AK2492" s="501"/>
      <c r="AL2492" s="501"/>
      <c r="AM2492" s="501"/>
      <c r="AN2492" s="501"/>
      <c r="AO2492" s="501"/>
      <c r="AP2492" s="501"/>
      <c r="AQ2492" s="501"/>
      <c r="AR2492" s="501"/>
      <c r="AS2492" s="501"/>
      <c r="AT2492" s="501"/>
      <c r="AU2492" s="501"/>
      <c r="AV2492" s="501"/>
      <c r="AW2492" s="501"/>
      <c r="AX2492" s="501"/>
      <c r="AY2492" s="501"/>
      <c r="AZ2492" s="501"/>
      <c r="BA2492" s="501"/>
      <c r="BB2492" s="501"/>
      <c r="BC2492" s="501"/>
      <c r="BD2492" s="501"/>
      <c r="BE2492" s="501"/>
      <c r="BF2492" s="501"/>
      <c r="BG2492" s="501"/>
      <c r="BH2492" s="501"/>
      <c r="BI2492" s="501"/>
      <c r="BJ2492" s="501"/>
      <c r="BK2492" s="501"/>
      <c r="BL2492" s="501"/>
      <c r="BM2492" s="501"/>
      <c r="BN2492" s="501"/>
      <c r="BO2492" s="501"/>
      <c r="BP2492" s="501"/>
      <c r="BQ2492" s="501"/>
      <c r="BR2492" s="501"/>
      <c r="BS2492" s="501"/>
      <c r="BT2492" s="501"/>
      <c r="BU2492" s="501"/>
      <c r="BV2492" s="501"/>
      <c r="BW2492" s="501"/>
      <c r="BX2492" s="501"/>
      <c r="BY2492" s="501"/>
      <c r="BZ2492" s="501"/>
      <c r="CA2492" s="501"/>
      <c r="CB2492" s="501"/>
      <c r="CC2492" s="501"/>
      <c r="CD2492" s="501"/>
      <c r="CE2492" s="501"/>
      <c r="CF2492" s="501"/>
      <c r="CG2492" s="501"/>
      <c r="CH2492" s="501"/>
      <c r="CI2492" s="501"/>
      <c r="CJ2492" s="501"/>
      <c r="CK2492" s="501"/>
      <c r="CL2492" s="501"/>
      <c r="CM2492" s="501"/>
      <c r="CN2492" s="501"/>
      <c r="CO2492" s="501"/>
      <c r="CP2492" s="501"/>
      <c r="CQ2492" s="501"/>
      <c r="CR2492" s="501"/>
      <c r="CS2492" s="501"/>
      <c r="CT2492" s="501"/>
      <c r="CU2492" s="501"/>
      <c r="CV2492" s="501"/>
      <c r="CW2492" s="501"/>
      <c r="CX2492" s="501"/>
      <c r="CY2492" s="501"/>
      <c r="CZ2492" s="501"/>
      <c r="DA2492" s="501"/>
      <c r="DB2492" s="501"/>
      <c r="DC2492" s="501"/>
      <c r="DD2492" s="501"/>
      <c r="DE2492" s="501"/>
      <c r="DF2492" s="501"/>
      <c r="DG2492" s="501"/>
      <c r="DH2492" s="501"/>
      <c r="DI2492" s="501"/>
      <c r="DJ2492" s="501"/>
      <c r="DK2492" s="501"/>
      <c r="DL2492" s="501"/>
      <c r="DM2492" s="501"/>
      <c r="DN2492" s="501"/>
      <c r="DO2492" s="501"/>
      <c r="DP2492" s="501"/>
      <c r="DQ2492" s="501"/>
      <c r="DR2492" s="501"/>
      <c r="DS2492" s="501"/>
      <c r="DT2492" s="501"/>
      <c r="DU2492" s="501"/>
      <c r="DV2492" s="501"/>
      <c r="DW2492" s="501"/>
      <c r="DX2492" s="501"/>
      <c r="DY2492" s="501"/>
      <c r="DZ2492" s="501"/>
      <c r="EA2492" s="501"/>
      <c r="EB2492" s="501"/>
      <c r="EC2492" s="501"/>
      <c r="ED2492" s="501"/>
      <c r="EE2492" s="501"/>
      <c r="EF2492" s="501"/>
      <c r="EG2492" s="501"/>
      <c r="EH2492" s="501"/>
      <c r="EI2492" s="501"/>
      <c r="EJ2492" s="501"/>
      <c r="EK2492" s="501"/>
      <c r="EL2492" s="501"/>
      <c r="EM2492" s="501"/>
      <c r="EN2492" s="501"/>
      <c r="EO2492" s="501"/>
      <c r="EP2492" s="501"/>
      <c r="EQ2492" s="501"/>
      <c r="ER2492" s="501"/>
      <c r="ES2492" s="501"/>
      <c r="ET2492" s="501"/>
      <c r="EU2492" s="501"/>
      <c r="EV2492" s="501"/>
      <c r="EW2492" s="501"/>
      <c r="EX2492" s="501"/>
      <c r="EY2492" s="501"/>
      <c r="EZ2492" s="501"/>
      <c r="FA2492" s="501"/>
      <c r="FB2492" s="501"/>
      <c r="FC2492" s="501"/>
      <c r="FD2492" s="501"/>
      <c r="FE2492" s="501"/>
      <c r="FF2492" s="501"/>
      <c r="FG2492" s="501"/>
      <c r="FH2492" s="501"/>
      <c r="FI2492" s="501"/>
      <c r="FJ2492" s="501"/>
      <c r="FK2492" s="501"/>
      <c r="FL2492" s="501"/>
      <c r="FM2492" s="501"/>
      <c r="FN2492" s="501"/>
      <c r="FO2492" s="501"/>
      <c r="FP2492" s="501"/>
      <c r="FQ2492" s="501"/>
      <c r="FR2492" s="501"/>
      <c r="FS2492" s="501"/>
      <c r="FT2492" s="501"/>
      <c r="FU2492" s="501"/>
      <c r="FV2492" s="501"/>
      <c r="FW2492" s="501"/>
      <c r="FX2492" s="501"/>
      <c r="FY2492" s="501"/>
      <c r="FZ2492" s="501"/>
      <c r="GA2492" s="501"/>
      <c r="GB2492" s="501"/>
      <c r="GC2492" s="501"/>
      <c r="GD2492" s="501"/>
      <c r="GE2492" s="501"/>
      <c r="GF2492" s="501"/>
      <c r="GG2492" s="501"/>
      <c r="GH2492" s="501"/>
      <c r="GI2492" s="501"/>
      <c r="GJ2492" s="501"/>
      <c r="GK2492" s="501"/>
      <c r="GL2492" s="501"/>
      <c r="GM2492" s="501"/>
      <c r="GN2492" s="501"/>
      <c r="GO2492" s="501"/>
      <c r="GP2492" s="501"/>
      <c r="GQ2492" s="501"/>
      <c r="GR2492" s="501"/>
      <c r="GS2492" s="501"/>
      <c r="GT2492" s="501"/>
      <c r="GU2492" s="501"/>
      <c r="GV2492" s="501"/>
      <c r="GW2492" s="501"/>
      <c r="GX2492" s="501"/>
      <c r="GY2492" s="501"/>
      <c r="GZ2492" s="501"/>
      <c r="HA2492" s="501"/>
      <c r="HB2492" s="501"/>
      <c r="HC2492" s="501"/>
      <c r="HD2492" s="501"/>
      <c r="HE2492" s="501"/>
      <c r="HF2492" s="501"/>
      <c r="HG2492" s="501"/>
      <c r="HH2492" s="501"/>
      <c r="HI2492" s="501"/>
      <c r="HJ2492" s="501"/>
      <c r="HK2492" s="501"/>
      <c r="HL2492" s="501"/>
      <c r="HM2492" s="501"/>
      <c r="HN2492" s="501"/>
      <c r="HO2492" s="501"/>
      <c r="HP2492" s="501"/>
      <c r="HQ2492" s="501"/>
      <c r="HR2492" s="501"/>
      <c r="HS2492" s="501"/>
      <c r="HT2492" s="501"/>
      <c r="HU2492" s="501"/>
      <c r="HV2492" s="501"/>
      <c r="HW2492" s="501"/>
      <c r="HX2492" s="501"/>
      <c r="HY2492" s="501"/>
      <c r="HZ2492" s="501"/>
      <c r="IA2492" s="501"/>
      <c r="IB2492" s="501"/>
      <c r="IC2492" s="501"/>
      <c r="ID2492" s="501"/>
      <c r="IE2492" s="501"/>
      <c r="IF2492" s="501"/>
      <c r="IG2492" s="501"/>
      <c r="IH2492" s="501"/>
      <c r="II2492" s="501"/>
      <c r="IJ2492" s="501"/>
      <c r="IK2492" s="501"/>
      <c r="IL2492" s="501"/>
      <c r="IM2492" s="501"/>
      <c r="IN2492" s="501"/>
      <c r="IO2492" s="501"/>
      <c r="IP2492" s="501"/>
      <c r="IQ2492" s="501"/>
      <c r="IR2492" s="501"/>
      <c r="IS2492" s="501"/>
      <c r="IT2492" s="501"/>
      <c r="IU2492" s="501"/>
    </row>
    <row r="2493" spans="1:255" s="877" customFormat="1" ht="24" customHeight="1">
      <c r="A2493" s="501"/>
      <c r="B2493" s="501"/>
      <c r="C2493" s="501"/>
      <c r="D2493" s="501"/>
      <c r="E2493" s="501"/>
      <c r="F2493" s="501"/>
      <c r="G2493" s="915"/>
      <c r="H2493" s="501"/>
      <c r="I2493" s="874"/>
      <c r="J2493" s="501"/>
      <c r="K2493" s="501"/>
      <c r="L2493" s="874"/>
      <c r="M2493" s="554"/>
      <c r="N2493" s="501"/>
      <c r="O2493" s="501"/>
      <c r="P2493" s="501"/>
      <c r="Q2493" s="501"/>
      <c r="R2493" s="501"/>
      <c r="S2493" s="501"/>
      <c r="T2493" s="501"/>
      <c r="V2493" s="501"/>
      <c r="W2493" s="501"/>
      <c r="X2493" s="501"/>
      <c r="Y2493" s="501"/>
      <c r="Z2493" s="501"/>
      <c r="AA2493" s="501"/>
      <c r="AB2493" s="501"/>
      <c r="AC2493" s="501"/>
      <c r="AD2493" s="501"/>
      <c r="AE2493" s="501"/>
      <c r="AF2493" s="501"/>
      <c r="AG2493" s="501"/>
      <c r="AH2493" s="501"/>
      <c r="AI2493" s="501"/>
      <c r="AJ2493" s="501"/>
      <c r="AK2493" s="501"/>
      <c r="AL2493" s="501"/>
      <c r="AM2493" s="501"/>
      <c r="AN2493" s="501"/>
      <c r="AO2493" s="501"/>
      <c r="AP2493" s="501"/>
      <c r="AQ2493" s="501"/>
      <c r="AR2493" s="501"/>
      <c r="AS2493" s="501"/>
      <c r="AT2493" s="501"/>
      <c r="AU2493" s="501"/>
      <c r="AV2493" s="501"/>
      <c r="AW2493" s="501"/>
      <c r="AX2493" s="501"/>
      <c r="AY2493" s="501"/>
      <c r="AZ2493" s="501"/>
      <c r="BA2493" s="501"/>
      <c r="BB2493" s="501"/>
      <c r="BC2493" s="501"/>
      <c r="BD2493" s="501"/>
      <c r="BE2493" s="501"/>
      <c r="BF2493" s="501"/>
      <c r="BG2493" s="501"/>
      <c r="BH2493" s="501"/>
      <c r="BI2493" s="501"/>
      <c r="BJ2493" s="501"/>
      <c r="BK2493" s="501"/>
      <c r="BL2493" s="501"/>
      <c r="BM2493" s="501"/>
      <c r="BN2493" s="501"/>
      <c r="BO2493" s="501"/>
      <c r="BP2493" s="501"/>
      <c r="BQ2493" s="501"/>
      <c r="BR2493" s="501"/>
      <c r="BS2493" s="501"/>
      <c r="BT2493" s="501"/>
      <c r="BU2493" s="501"/>
      <c r="BV2493" s="501"/>
      <c r="BW2493" s="501"/>
      <c r="BX2493" s="501"/>
      <c r="BY2493" s="501"/>
      <c r="BZ2493" s="501"/>
      <c r="CA2493" s="501"/>
      <c r="CB2493" s="501"/>
      <c r="CC2493" s="501"/>
      <c r="CD2493" s="501"/>
      <c r="CE2493" s="501"/>
      <c r="CF2493" s="501"/>
      <c r="CG2493" s="501"/>
      <c r="CH2493" s="501"/>
      <c r="CI2493" s="501"/>
      <c r="CJ2493" s="501"/>
      <c r="CK2493" s="501"/>
      <c r="CL2493" s="501"/>
      <c r="CM2493" s="501"/>
      <c r="CN2493" s="501"/>
      <c r="CO2493" s="501"/>
      <c r="CP2493" s="501"/>
      <c r="CQ2493" s="501"/>
      <c r="CR2493" s="501"/>
      <c r="CS2493" s="501"/>
      <c r="CT2493" s="501"/>
      <c r="CU2493" s="501"/>
      <c r="CV2493" s="501"/>
      <c r="CW2493" s="501"/>
      <c r="CX2493" s="501"/>
      <c r="CY2493" s="501"/>
      <c r="CZ2493" s="501"/>
      <c r="DA2493" s="501"/>
      <c r="DB2493" s="501"/>
      <c r="DC2493" s="501"/>
      <c r="DD2493" s="501"/>
      <c r="DE2493" s="501"/>
      <c r="DF2493" s="501"/>
      <c r="DG2493" s="501"/>
      <c r="DH2493" s="501"/>
      <c r="DI2493" s="501"/>
      <c r="DJ2493" s="501"/>
      <c r="DK2493" s="501"/>
      <c r="DL2493" s="501"/>
      <c r="DM2493" s="501"/>
      <c r="DN2493" s="501"/>
      <c r="DO2493" s="501"/>
      <c r="DP2493" s="501"/>
      <c r="DQ2493" s="501"/>
      <c r="DR2493" s="501"/>
      <c r="DS2493" s="501"/>
      <c r="DT2493" s="501"/>
      <c r="DU2493" s="501"/>
      <c r="DV2493" s="501"/>
      <c r="DW2493" s="501"/>
      <c r="DX2493" s="501"/>
      <c r="DY2493" s="501"/>
      <c r="DZ2493" s="501"/>
      <c r="EA2493" s="501"/>
      <c r="EB2493" s="501"/>
      <c r="EC2493" s="501"/>
      <c r="ED2493" s="501"/>
      <c r="EE2493" s="501"/>
      <c r="EF2493" s="501"/>
      <c r="EG2493" s="501"/>
      <c r="EH2493" s="501"/>
      <c r="EI2493" s="501"/>
      <c r="EJ2493" s="501"/>
      <c r="EK2493" s="501"/>
      <c r="EL2493" s="501"/>
      <c r="EM2493" s="501"/>
      <c r="EN2493" s="501"/>
      <c r="EO2493" s="501"/>
      <c r="EP2493" s="501"/>
      <c r="EQ2493" s="501"/>
      <c r="ER2493" s="501"/>
      <c r="ES2493" s="501"/>
      <c r="ET2493" s="501"/>
      <c r="EU2493" s="501"/>
      <c r="EV2493" s="501"/>
      <c r="EW2493" s="501"/>
      <c r="EX2493" s="501"/>
      <c r="EY2493" s="501"/>
      <c r="EZ2493" s="501"/>
      <c r="FA2493" s="501"/>
      <c r="FB2493" s="501"/>
      <c r="FC2493" s="501"/>
      <c r="FD2493" s="501"/>
      <c r="FE2493" s="501"/>
      <c r="FF2493" s="501"/>
      <c r="FG2493" s="501"/>
      <c r="FH2493" s="501"/>
      <c r="FI2493" s="501"/>
      <c r="FJ2493" s="501"/>
      <c r="FK2493" s="501"/>
      <c r="FL2493" s="501"/>
      <c r="FM2493" s="501"/>
      <c r="FN2493" s="501"/>
      <c r="FO2493" s="501"/>
      <c r="FP2493" s="501"/>
      <c r="FQ2493" s="501"/>
      <c r="FR2493" s="501"/>
      <c r="FS2493" s="501"/>
      <c r="FT2493" s="501"/>
      <c r="FU2493" s="501"/>
      <c r="FV2493" s="501"/>
      <c r="FW2493" s="501"/>
      <c r="FX2493" s="501"/>
      <c r="FY2493" s="501"/>
      <c r="FZ2493" s="501"/>
      <c r="GA2493" s="501"/>
      <c r="GB2493" s="501"/>
      <c r="GC2493" s="501"/>
      <c r="GD2493" s="501"/>
      <c r="GE2493" s="501"/>
      <c r="GF2493" s="501"/>
      <c r="GG2493" s="501"/>
      <c r="GH2493" s="501"/>
      <c r="GI2493" s="501"/>
      <c r="GJ2493" s="501"/>
      <c r="GK2493" s="501"/>
      <c r="GL2493" s="501"/>
      <c r="GM2493" s="501"/>
      <c r="GN2493" s="501"/>
      <c r="GO2493" s="501"/>
      <c r="GP2493" s="501"/>
      <c r="GQ2493" s="501"/>
      <c r="GR2493" s="501"/>
      <c r="GS2493" s="501"/>
      <c r="GT2493" s="501"/>
      <c r="GU2493" s="501"/>
      <c r="GV2493" s="501"/>
      <c r="GW2493" s="501"/>
      <c r="GX2493" s="501"/>
      <c r="GY2493" s="501"/>
      <c r="GZ2493" s="501"/>
      <c r="HA2493" s="501"/>
      <c r="HB2493" s="501"/>
      <c r="HC2493" s="501"/>
      <c r="HD2493" s="501"/>
      <c r="HE2493" s="501"/>
      <c r="HF2493" s="501"/>
      <c r="HG2493" s="501"/>
      <c r="HH2493" s="501"/>
      <c r="HI2493" s="501"/>
      <c r="HJ2493" s="501"/>
      <c r="HK2493" s="501"/>
      <c r="HL2493" s="501"/>
      <c r="HM2493" s="501"/>
      <c r="HN2493" s="501"/>
      <c r="HO2493" s="501"/>
      <c r="HP2493" s="501"/>
      <c r="HQ2493" s="501"/>
      <c r="HR2493" s="501"/>
      <c r="HS2493" s="501"/>
      <c r="HT2493" s="501"/>
      <c r="HU2493" s="501"/>
      <c r="HV2493" s="501"/>
      <c r="HW2493" s="501"/>
      <c r="HX2493" s="501"/>
      <c r="HY2493" s="501"/>
      <c r="HZ2493" s="501"/>
      <c r="IA2493" s="501"/>
      <c r="IB2493" s="501"/>
      <c r="IC2493" s="501"/>
      <c r="ID2493" s="501"/>
      <c r="IE2493" s="501"/>
      <c r="IF2493" s="501"/>
      <c r="IG2493" s="501"/>
      <c r="IH2493" s="501"/>
      <c r="II2493" s="501"/>
      <c r="IJ2493" s="501"/>
      <c r="IK2493" s="501"/>
      <c r="IL2493" s="501"/>
      <c r="IM2493" s="501"/>
      <c r="IN2493" s="501"/>
      <c r="IO2493" s="501"/>
      <c r="IP2493" s="501"/>
      <c r="IQ2493" s="501"/>
      <c r="IR2493" s="501"/>
      <c r="IS2493" s="501"/>
      <c r="IT2493" s="501"/>
      <c r="IU2493" s="501"/>
    </row>
    <row r="2494" spans="1:255" s="877" customFormat="1" ht="24" customHeight="1">
      <c r="A2494" s="501"/>
      <c r="B2494" s="501"/>
      <c r="C2494" s="501"/>
      <c r="D2494" s="501"/>
      <c r="E2494" s="501"/>
      <c r="F2494" s="501"/>
      <c r="G2494" s="915"/>
      <c r="H2494" s="501"/>
      <c r="I2494" s="874"/>
      <c r="J2494" s="501"/>
      <c r="K2494" s="501"/>
      <c r="L2494" s="874"/>
      <c r="M2494" s="554"/>
      <c r="N2494" s="501"/>
      <c r="O2494" s="501"/>
      <c r="P2494" s="501"/>
      <c r="Q2494" s="501"/>
      <c r="R2494" s="501"/>
      <c r="S2494" s="501"/>
      <c r="T2494" s="501"/>
      <c r="V2494" s="501"/>
      <c r="W2494" s="501"/>
      <c r="X2494" s="501"/>
      <c r="Y2494" s="501"/>
      <c r="Z2494" s="501"/>
      <c r="AA2494" s="501"/>
      <c r="AB2494" s="501"/>
      <c r="AC2494" s="501"/>
      <c r="AD2494" s="501"/>
      <c r="AE2494" s="501"/>
      <c r="AF2494" s="501"/>
      <c r="AG2494" s="501"/>
      <c r="AH2494" s="501"/>
      <c r="AI2494" s="501"/>
      <c r="AJ2494" s="501"/>
      <c r="AK2494" s="501"/>
      <c r="AL2494" s="501"/>
      <c r="AM2494" s="501"/>
      <c r="AN2494" s="501"/>
      <c r="AO2494" s="501"/>
      <c r="AP2494" s="501"/>
      <c r="AQ2494" s="501"/>
      <c r="AR2494" s="501"/>
      <c r="AS2494" s="501"/>
      <c r="AT2494" s="501"/>
      <c r="AU2494" s="501"/>
      <c r="AV2494" s="501"/>
      <c r="AW2494" s="501"/>
      <c r="AX2494" s="501"/>
      <c r="AY2494" s="501"/>
      <c r="AZ2494" s="501"/>
      <c r="BA2494" s="501"/>
      <c r="BB2494" s="501"/>
      <c r="BC2494" s="501"/>
      <c r="BD2494" s="501"/>
      <c r="BE2494" s="501"/>
      <c r="BF2494" s="501"/>
      <c r="BG2494" s="501"/>
      <c r="BH2494" s="501"/>
      <c r="BI2494" s="501"/>
      <c r="BJ2494" s="501"/>
      <c r="BK2494" s="501"/>
      <c r="BL2494" s="501"/>
      <c r="BM2494" s="501"/>
      <c r="BN2494" s="501"/>
      <c r="BO2494" s="501"/>
      <c r="BP2494" s="501"/>
      <c r="BQ2494" s="501"/>
      <c r="BR2494" s="501"/>
      <c r="BS2494" s="501"/>
      <c r="BT2494" s="501"/>
      <c r="BU2494" s="501"/>
      <c r="BV2494" s="501"/>
      <c r="BW2494" s="501"/>
      <c r="BX2494" s="501"/>
      <c r="BY2494" s="501"/>
      <c r="BZ2494" s="501"/>
      <c r="CA2494" s="501"/>
      <c r="CB2494" s="501"/>
      <c r="CC2494" s="501"/>
      <c r="CD2494" s="501"/>
      <c r="CE2494" s="501"/>
      <c r="CF2494" s="501"/>
      <c r="CG2494" s="501"/>
      <c r="CH2494" s="501"/>
      <c r="CI2494" s="501"/>
      <c r="CJ2494" s="501"/>
      <c r="CK2494" s="501"/>
      <c r="CL2494" s="501"/>
      <c r="CM2494" s="501"/>
      <c r="CN2494" s="501"/>
      <c r="CO2494" s="501"/>
      <c r="CP2494" s="501"/>
      <c r="CQ2494" s="501"/>
      <c r="CR2494" s="501"/>
      <c r="CS2494" s="501"/>
      <c r="CT2494" s="501"/>
      <c r="CU2494" s="501"/>
      <c r="CV2494" s="501"/>
      <c r="CW2494" s="501"/>
      <c r="CX2494" s="501"/>
      <c r="CY2494" s="501"/>
      <c r="CZ2494" s="501"/>
      <c r="DA2494" s="501"/>
      <c r="DB2494" s="501"/>
      <c r="DC2494" s="501"/>
      <c r="DD2494" s="501"/>
      <c r="DE2494" s="501"/>
      <c r="DF2494" s="501"/>
      <c r="DG2494" s="501"/>
      <c r="DH2494" s="501"/>
      <c r="DI2494" s="501"/>
      <c r="DJ2494" s="501"/>
      <c r="DK2494" s="501"/>
      <c r="DL2494" s="501"/>
      <c r="DM2494" s="501"/>
      <c r="DN2494" s="501"/>
      <c r="DO2494" s="501"/>
      <c r="DP2494" s="501"/>
      <c r="DQ2494" s="501"/>
      <c r="DR2494" s="501"/>
      <c r="DS2494" s="501"/>
      <c r="DT2494" s="501"/>
      <c r="DU2494" s="501"/>
      <c r="DV2494" s="501"/>
      <c r="DW2494" s="501"/>
      <c r="DX2494" s="501"/>
      <c r="DY2494" s="501"/>
      <c r="DZ2494" s="501"/>
      <c r="EA2494" s="501"/>
      <c r="EB2494" s="501"/>
      <c r="EC2494" s="501"/>
      <c r="ED2494" s="501"/>
      <c r="EE2494" s="501"/>
      <c r="EF2494" s="501"/>
      <c r="EG2494" s="501"/>
      <c r="EH2494" s="501"/>
      <c r="EI2494" s="501"/>
      <c r="EJ2494" s="501"/>
      <c r="EK2494" s="501"/>
      <c r="EL2494" s="501"/>
      <c r="EM2494" s="501"/>
      <c r="EN2494" s="501"/>
      <c r="EO2494" s="501"/>
      <c r="EP2494" s="501"/>
      <c r="EQ2494" s="501"/>
      <c r="ER2494" s="501"/>
      <c r="ES2494" s="501"/>
      <c r="ET2494" s="501"/>
      <c r="EU2494" s="501"/>
      <c r="EV2494" s="501"/>
      <c r="EW2494" s="501"/>
      <c r="EX2494" s="501"/>
      <c r="EY2494" s="501"/>
      <c r="EZ2494" s="501"/>
      <c r="FA2494" s="501"/>
      <c r="FB2494" s="501"/>
      <c r="FC2494" s="501"/>
      <c r="FD2494" s="501"/>
      <c r="FE2494" s="501"/>
      <c r="FF2494" s="501"/>
      <c r="FG2494" s="501"/>
      <c r="FH2494" s="501"/>
      <c r="FI2494" s="501"/>
      <c r="FJ2494" s="501"/>
      <c r="FK2494" s="501"/>
      <c r="FL2494" s="501"/>
      <c r="FM2494" s="501"/>
      <c r="FN2494" s="501"/>
      <c r="FO2494" s="501"/>
      <c r="FP2494" s="501"/>
      <c r="FQ2494" s="501"/>
      <c r="FR2494" s="501"/>
      <c r="FS2494" s="501"/>
      <c r="FT2494" s="501"/>
      <c r="FU2494" s="501"/>
      <c r="FV2494" s="501"/>
      <c r="FW2494" s="501"/>
      <c r="FX2494" s="501"/>
      <c r="FY2494" s="501"/>
      <c r="FZ2494" s="501"/>
      <c r="GA2494" s="501"/>
      <c r="GB2494" s="501"/>
      <c r="GC2494" s="501"/>
      <c r="GD2494" s="501"/>
      <c r="GE2494" s="501"/>
      <c r="GF2494" s="501"/>
      <c r="GG2494" s="501"/>
      <c r="GH2494" s="501"/>
      <c r="GI2494" s="501"/>
      <c r="GJ2494" s="501"/>
      <c r="GK2494" s="501"/>
      <c r="GL2494" s="501"/>
      <c r="GM2494" s="501"/>
      <c r="GN2494" s="501"/>
      <c r="GO2494" s="501"/>
      <c r="GP2494" s="501"/>
      <c r="GQ2494" s="501"/>
      <c r="GR2494" s="501"/>
      <c r="GS2494" s="501"/>
      <c r="GT2494" s="501"/>
      <c r="GU2494" s="501"/>
      <c r="GV2494" s="501"/>
      <c r="GW2494" s="501"/>
      <c r="GX2494" s="501"/>
      <c r="GY2494" s="501"/>
      <c r="GZ2494" s="501"/>
      <c r="HA2494" s="501"/>
      <c r="HB2494" s="501"/>
      <c r="HC2494" s="501"/>
      <c r="HD2494" s="501"/>
      <c r="HE2494" s="501"/>
      <c r="HF2494" s="501"/>
      <c r="HG2494" s="501"/>
      <c r="HH2494" s="501"/>
      <c r="HI2494" s="501"/>
      <c r="HJ2494" s="501"/>
      <c r="HK2494" s="501"/>
      <c r="HL2494" s="501"/>
      <c r="HM2494" s="501"/>
      <c r="HN2494" s="501"/>
      <c r="HO2494" s="501"/>
      <c r="HP2494" s="501"/>
      <c r="HQ2494" s="501"/>
      <c r="HR2494" s="501"/>
      <c r="HS2494" s="501"/>
      <c r="HT2494" s="501"/>
      <c r="HU2494" s="501"/>
      <c r="HV2494" s="501"/>
      <c r="HW2494" s="501"/>
      <c r="HX2494" s="501"/>
      <c r="HY2494" s="501"/>
      <c r="HZ2494" s="501"/>
      <c r="IA2494" s="501"/>
      <c r="IB2494" s="501"/>
      <c r="IC2494" s="501"/>
      <c r="ID2494" s="501"/>
      <c r="IE2494" s="501"/>
      <c r="IF2494" s="501"/>
      <c r="IG2494" s="501"/>
      <c r="IH2494" s="501"/>
      <c r="II2494" s="501"/>
      <c r="IJ2494" s="501"/>
      <c r="IK2494" s="501"/>
      <c r="IL2494" s="501"/>
      <c r="IM2494" s="501"/>
      <c r="IN2494" s="501"/>
      <c r="IO2494" s="501"/>
      <c r="IP2494" s="501"/>
      <c r="IQ2494" s="501"/>
      <c r="IR2494" s="501"/>
      <c r="IS2494" s="501"/>
      <c r="IT2494" s="501"/>
      <c r="IU2494" s="501"/>
    </row>
    <row r="2495" spans="1:255" s="877" customFormat="1" ht="24" customHeight="1">
      <c r="A2495" s="501"/>
      <c r="B2495" s="501"/>
      <c r="C2495" s="501"/>
      <c r="D2495" s="501"/>
      <c r="E2495" s="501"/>
      <c r="F2495" s="501"/>
      <c r="G2495" s="915"/>
      <c r="H2495" s="501"/>
      <c r="I2495" s="874"/>
      <c r="J2495" s="501"/>
      <c r="K2495" s="501"/>
      <c r="L2495" s="874"/>
      <c r="M2495" s="554"/>
      <c r="N2495" s="501"/>
      <c r="O2495" s="501"/>
      <c r="P2495" s="501"/>
      <c r="Q2495" s="501"/>
      <c r="R2495" s="501"/>
      <c r="S2495" s="501"/>
      <c r="T2495" s="501"/>
      <c r="V2495" s="501"/>
      <c r="W2495" s="501"/>
      <c r="X2495" s="501"/>
      <c r="Y2495" s="501"/>
      <c r="Z2495" s="501"/>
      <c r="AA2495" s="501"/>
      <c r="AB2495" s="501"/>
      <c r="AC2495" s="501"/>
      <c r="AD2495" s="501"/>
      <c r="AE2495" s="501"/>
      <c r="AF2495" s="501"/>
      <c r="AG2495" s="501"/>
      <c r="AH2495" s="501"/>
      <c r="AI2495" s="501"/>
      <c r="AJ2495" s="501"/>
      <c r="AK2495" s="501"/>
      <c r="AL2495" s="501"/>
      <c r="AM2495" s="501"/>
      <c r="AN2495" s="501"/>
      <c r="AO2495" s="501"/>
      <c r="AP2495" s="501"/>
      <c r="AQ2495" s="501"/>
      <c r="AR2495" s="501"/>
      <c r="AS2495" s="501"/>
      <c r="AT2495" s="501"/>
      <c r="AU2495" s="501"/>
      <c r="AV2495" s="501"/>
      <c r="AW2495" s="501"/>
      <c r="AX2495" s="501"/>
      <c r="AY2495" s="501"/>
      <c r="AZ2495" s="501"/>
      <c r="BA2495" s="501"/>
      <c r="BB2495" s="501"/>
      <c r="BC2495" s="501"/>
      <c r="BD2495" s="501"/>
      <c r="BE2495" s="501"/>
      <c r="BF2495" s="501"/>
      <c r="BG2495" s="501"/>
      <c r="BH2495" s="501"/>
      <c r="BI2495" s="501"/>
      <c r="BJ2495" s="501"/>
      <c r="BK2495" s="501"/>
      <c r="BL2495" s="501"/>
      <c r="BM2495" s="501"/>
      <c r="BN2495" s="501"/>
      <c r="BO2495" s="501"/>
      <c r="BP2495" s="501"/>
      <c r="BQ2495" s="501"/>
      <c r="BR2495" s="501"/>
      <c r="BS2495" s="501"/>
      <c r="BT2495" s="501"/>
      <c r="BU2495" s="501"/>
      <c r="BV2495" s="501"/>
      <c r="BW2495" s="501"/>
      <c r="BX2495" s="501"/>
      <c r="BY2495" s="501"/>
      <c r="BZ2495" s="501"/>
      <c r="CA2495" s="501"/>
      <c r="CB2495" s="501"/>
      <c r="CC2495" s="501"/>
      <c r="CD2495" s="501"/>
      <c r="CE2495" s="501"/>
      <c r="CF2495" s="501"/>
      <c r="CG2495" s="501"/>
      <c r="CH2495" s="501"/>
      <c r="CI2495" s="501"/>
      <c r="CJ2495" s="501"/>
      <c r="CK2495" s="501"/>
      <c r="CL2495" s="501"/>
      <c r="CM2495" s="501"/>
      <c r="CN2495" s="501"/>
      <c r="CO2495" s="501"/>
      <c r="CP2495" s="501"/>
      <c r="CQ2495" s="501"/>
      <c r="CR2495" s="501"/>
      <c r="CS2495" s="501"/>
      <c r="CT2495" s="501"/>
      <c r="CU2495" s="501"/>
      <c r="CV2495" s="501"/>
      <c r="CW2495" s="501"/>
      <c r="CX2495" s="501"/>
      <c r="CY2495" s="501"/>
      <c r="CZ2495" s="501"/>
      <c r="DA2495" s="501"/>
      <c r="DB2495" s="501"/>
      <c r="DC2495" s="501"/>
      <c r="DD2495" s="501"/>
      <c r="DE2495" s="501"/>
      <c r="DF2495" s="501"/>
      <c r="DG2495" s="501"/>
      <c r="DH2495" s="501"/>
      <c r="DI2495" s="501"/>
      <c r="DJ2495" s="501"/>
      <c r="DK2495" s="501"/>
      <c r="DL2495" s="501"/>
      <c r="DM2495" s="501"/>
      <c r="DN2495" s="501"/>
      <c r="DO2495" s="501"/>
      <c r="DP2495" s="501"/>
      <c r="DQ2495" s="501"/>
      <c r="DR2495" s="501"/>
      <c r="DS2495" s="501"/>
      <c r="DT2495" s="501"/>
      <c r="DU2495" s="501"/>
      <c r="DV2495" s="501"/>
      <c r="DW2495" s="501"/>
      <c r="DX2495" s="501"/>
      <c r="DY2495" s="501"/>
      <c r="DZ2495" s="501"/>
      <c r="EA2495" s="501"/>
      <c r="EB2495" s="501"/>
      <c r="EC2495" s="501"/>
      <c r="ED2495" s="501"/>
      <c r="EE2495" s="501"/>
      <c r="EF2495" s="501"/>
      <c r="EG2495" s="501"/>
      <c r="EH2495" s="501"/>
      <c r="EI2495" s="501"/>
      <c r="EJ2495" s="501"/>
      <c r="EK2495" s="501"/>
      <c r="EL2495" s="501"/>
      <c r="EM2495" s="501"/>
      <c r="EN2495" s="501"/>
      <c r="EO2495" s="501"/>
      <c r="EP2495" s="501"/>
      <c r="EQ2495" s="501"/>
      <c r="ER2495" s="501"/>
      <c r="ES2495" s="501"/>
      <c r="ET2495" s="501"/>
      <c r="EU2495" s="501"/>
      <c r="EV2495" s="501"/>
      <c r="EW2495" s="501"/>
      <c r="EX2495" s="501"/>
      <c r="EY2495" s="501"/>
      <c r="EZ2495" s="501"/>
      <c r="FA2495" s="501"/>
      <c r="FB2495" s="501"/>
      <c r="FC2495" s="501"/>
      <c r="FD2495" s="501"/>
      <c r="FE2495" s="501"/>
      <c r="FF2495" s="501"/>
      <c r="FG2495" s="501"/>
      <c r="FH2495" s="501"/>
      <c r="FI2495" s="501"/>
      <c r="FJ2495" s="501"/>
      <c r="FK2495" s="501"/>
      <c r="FL2495" s="501"/>
      <c r="FM2495" s="501"/>
      <c r="FN2495" s="501"/>
      <c r="FO2495" s="501"/>
      <c r="FP2495" s="501"/>
      <c r="FQ2495" s="501"/>
      <c r="FR2495" s="501"/>
      <c r="FS2495" s="501"/>
      <c r="FT2495" s="501"/>
      <c r="FU2495" s="501"/>
      <c r="FV2495" s="501"/>
      <c r="FW2495" s="501"/>
      <c r="FX2495" s="501"/>
      <c r="FY2495" s="501"/>
      <c r="FZ2495" s="501"/>
      <c r="GA2495" s="501"/>
      <c r="GB2495" s="501"/>
      <c r="GC2495" s="501"/>
      <c r="GD2495" s="501"/>
      <c r="GE2495" s="501"/>
      <c r="GF2495" s="501"/>
      <c r="GG2495" s="501"/>
      <c r="GH2495" s="501"/>
      <c r="GI2495" s="501"/>
      <c r="GJ2495" s="501"/>
      <c r="GK2495" s="501"/>
      <c r="GL2495" s="501"/>
      <c r="GM2495" s="501"/>
      <c r="GN2495" s="501"/>
      <c r="GO2495" s="501"/>
      <c r="GP2495" s="501"/>
      <c r="GQ2495" s="501"/>
      <c r="GR2495" s="501"/>
      <c r="GS2495" s="501"/>
      <c r="GT2495" s="501"/>
      <c r="GU2495" s="501"/>
      <c r="GV2495" s="501"/>
      <c r="GW2495" s="501"/>
      <c r="GX2495" s="501"/>
      <c r="GY2495" s="501"/>
      <c r="GZ2495" s="501"/>
      <c r="HA2495" s="501"/>
      <c r="HB2495" s="501"/>
      <c r="HC2495" s="501"/>
      <c r="HD2495" s="501"/>
      <c r="HE2495" s="501"/>
      <c r="HF2495" s="501"/>
      <c r="HG2495" s="501"/>
      <c r="HH2495" s="501"/>
      <c r="HI2495" s="501"/>
      <c r="HJ2495" s="501"/>
      <c r="HK2495" s="501"/>
      <c r="HL2495" s="501"/>
      <c r="HM2495" s="501"/>
      <c r="HN2495" s="501"/>
      <c r="HO2495" s="501"/>
      <c r="HP2495" s="501"/>
      <c r="HQ2495" s="501"/>
      <c r="HR2495" s="501"/>
      <c r="HS2495" s="501"/>
      <c r="HT2495" s="501"/>
      <c r="HU2495" s="501"/>
      <c r="HV2495" s="501"/>
      <c r="HW2495" s="501"/>
      <c r="HX2495" s="501"/>
      <c r="HY2495" s="501"/>
      <c r="HZ2495" s="501"/>
      <c r="IA2495" s="501"/>
      <c r="IB2495" s="501"/>
      <c r="IC2495" s="501"/>
      <c r="ID2495" s="501"/>
      <c r="IE2495" s="501"/>
      <c r="IF2495" s="501"/>
      <c r="IG2495" s="501"/>
      <c r="IH2495" s="501"/>
      <c r="II2495" s="501"/>
      <c r="IJ2495" s="501"/>
      <c r="IK2495" s="501"/>
      <c r="IL2495" s="501"/>
      <c r="IM2495" s="501"/>
      <c r="IN2495" s="501"/>
      <c r="IO2495" s="501"/>
      <c r="IP2495" s="501"/>
      <c r="IQ2495" s="501"/>
      <c r="IR2495" s="501"/>
      <c r="IS2495" s="501"/>
      <c r="IT2495" s="501"/>
      <c r="IU2495" s="501"/>
    </row>
    <row r="2496" spans="1:255" s="877" customFormat="1" ht="24" customHeight="1">
      <c r="A2496" s="501"/>
      <c r="B2496" s="501"/>
      <c r="C2496" s="501"/>
      <c r="D2496" s="501"/>
      <c r="E2496" s="501"/>
      <c r="F2496" s="501"/>
      <c r="G2496" s="915"/>
      <c r="H2496" s="501"/>
      <c r="I2496" s="874"/>
      <c r="J2496" s="501"/>
      <c r="K2496" s="903"/>
      <c r="L2496" s="874"/>
      <c r="M2496" s="554"/>
      <c r="N2496" s="501"/>
      <c r="O2496" s="501"/>
      <c r="P2496" s="902"/>
      <c r="Q2496" s="885"/>
      <c r="R2496" s="501"/>
      <c r="S2496" s="874"/>
      <c r="T2496" s="501"/>
      <c r="V2496" s="501"/>
      <c r="W2496" s="501"/>
      <c r="X2496" s="501"/>
      <c r="Y2496" s="501"/>
      <c r="Z2496" s="501"/>
      <c r="AA2496" s="501"/>
      <c r="AB2496" s="501"/>
      <c r="AC2496" s="501"/>
      <c r="AD2496" s="501"/>
      <c r="AE2496" s="501"/>
      <c r="AF2496" s="501"/>
      <c r="AG2496" s="501"/>
      <c r="AH2496" s="501"/>
      <c r="AI2496" s="501"/>
      <c r="AJ2496" s="501"/>
      <c r="AK2496" s="501"/>
      <c r="AL2496" s="501"/>
      <c r="AM2496" s="501"/>
      <c r="AN2496" s="501"/>
      <c r="AO2496" s="501"/>
      <c r="AP2496" s="501"/>
      <c r="AQ2496" s="501"/>
      <c r="AR2496" s="501"/>
      <c r="AS2496" s="501"/>
      <c r="AT2496" s="501"/>
      <c r="AU2496" s="501"/>
      <c r="AV2496" s="501"/>
      <c r="AW2496" s="501"/>
      <c r="AX2496" s="501"/>
      <c r="AY2496" s="501"/>
      <c r="AZ2496" s="501"/>
      <c r="BA2496" s="501"/>
      <c r="BB2496" s="501"/>
      <c r="BC2496" s="501"/>
      <c r="BD2496" s="501"/>
      <c r="BE2496" s="501"/>
      <c r="BF2496" s="501"/>
      <c r="BG2496" s="501"/>
      <c r="BH2496" s="501"/>
      <c r="BI2496" s="501"/>
      <c r="BJ2496" s="501"/>
      <c r="BK2496" s="501"/>
      <c r="BL2496" s="501"/>
      <c r="BM2496" s="501"/>
      <c r="BN2496" s="501"/>
      <c r="BO2496" s="501"/>
      <c r="BP2496" s="501"/>
      <c r="BQ2496" s="501"/>
      <c r="BR2496" s="501"/>
      <c r="BS2496" s="501"/>
      <c r="BT2496" s="501"/>
      <c r="BU2496" s="501"/>
      <c r="BV2496" s="501"/>
      <c r="BW2496" s="501"/>
      <c r="BX2496" s="501"/>
      <c r="BY2496" s="501"/>
      <c r="BZ2496" s="501"/>
      <c r="CA2496" s="501"/>
      <c r="CB2496" s="501"/>
      <c r="CC2496" s="501"/>
      <c r="CD2496" s="501"/>
      <c r="CE2496" s="501"/>
      <c r="CF2496" s="501"/>
      <c r="CG2496" s="501"/>
      <c r="CH2496" s="501"/>
      <c r="CI2496" s="501"/>
      <c r="CJ2496" s="501"/>
      <c r="CK2496" s="501"/>
      <c r="CL2496" s="501"/>
      <c r="CM2496" s="501"/>
      <c r="CN2496" s="501"/>
      <c r="CO2496" s="501"/>
      <c r="CP2496" s="501"/>
      <c r="CQ2496" s="501"/>
      <c r="CR2496" s="501"/>
      <c r="CS2496" s="501"/>
      <c r="CT2496" s="501"/>
      <c r="CU2496" s="501"/>
      <c r="CV2496" s="501"/>
      <c r="CW2496" s="501"/>
      <c r="CX2496" s="501"/>
      <c r="CY2496" s="501"/>
      <c r="CZ2496" s="501"/>
      <c r="DA2496" s="501"/>
      <c r="DB2496" s="501"/>
      <c r="DC2496" s="501"/>
      <c r="DD2496" s="501"/>
      <c r="DE2496" s="501"/>
      <c r="DF2496" s="501"/>
      <c r="DG2496" s="501"/>
      <c r="DH2496" s="501"/>
      <c r="DI2496" s="501"/>
      <c r="DJ2496" s="501"/>
      <c r="DK2496" s="501"/>
      <c r="DL2496" s="501"/>
      <c r="DM2496" s="501"/>
      <c r="DN2496" s="501"/>
      <c r="DO2496" s="501"/>
      <c r="DP2496" s="501"/>
      <c r="DQ2496" s="501"/>
      <c r="DR2496" s="501"/>
      <c r="DS2496" s="501"/>
      <c r="DT2496" s="501"/>
      <c r="DU2496" s="501"/>
      <c r="DV2496" s="501"/>
      <c r="DW2496" s="501"/>
      <c r="DX2496" s="501"/>
      <c r="DY2496" s="501"/>
      <c r="DZ2496" s="501"/>
      <c r="EA2496" s="501"/>
      <c r="EB2496" s="501"/>
      <c r="EC2496" s="501"/>
      <c r="ED2496" s="501"/>
      <c r="EE2496" s="501"/>
      <c r="EF2496" s="501"/>
      <c r="EG2496" s="501"/>
      <c r="EH2496" s="501"/>
      <c r="EI2496" s="501"/>
      <c r="EJ2496" s="501"/>
      <c r="EK2496" s="501"/>
      <c r="EL2496" s="501"/>
      <c r="EM2496" s="501"/>
      <c r="EN2496" s="501"/>
      <c r="EO2496" s="501"/>
      <c r="EP2496" s="501"/>
      <c r="EQ2496" s="501"/>
      <c r="ER2496" s="501"/>
      <c r="ES2496" s="501"/>
      <c r="ET2496" s="501"/>
      <c r="EU2496" s="501"/>
      <c r="EV2496" s="501"/>
      <c r="EW2496" s="501"/>
      <c r="EX2496" s="501"/>
      <c r="EY2496" s="501"/>
      <c r="EZ2496" s="501"/>
      <c r="FA2496" s="501"/>
      <c r="FB2496" s="501"/>
      <c r="FC2496" s="501"/>
      <c r="FD2496" s="501"/>
      <c r="FE2496" s="501"/>
      <c r="FF2496" s="501"/>
      <c r="FG2496" s="501"/>
      <c r="FH2496" s="501"/>
      <c r="FI2496" s="501"/>
      <c r="FJ2496" s="501"/>
      <c r="FK2496" s="501"/>
      <c r="FL2496" s="501"/>
      <c r="FM2496" s="501"/>
      <c r="FN2496" s="501"/>
      <c r="FO2496" s="501"/>
      <c r="FP2496" s="501"/>
      <c r="FQ2496" s="501"/>
      <c r="FR2496" s="501"/>
      <c r="FS2496" s="501"/>
      <c r="FT2496" s="501"/>
      <c r="FU2496" s="501"/>
      <c r="FV2496" s="501"/>
      <c r="FW2496" s="501"/>
      <c r="FX2496" s="501"/>
      <c r="FY2496" s="501"/>
      <c r="FZ2496" s="501"/>
      <c r="GA2496" s="501"/>
      <c r="GB2496" s="501"/>
      <c r="GC2496" s="501"/>
      <c r="GD2496" s="501"/>
      <c r="GE2496" s="501"/>
      <c r="GF2496" s="501"/>
      <c r="GG2496" s="501"/>
      <c r="GH2496" s="501"/>
      <c r="GI2496" s="501"/>
      <c r="GJ2496" s="501"/>
      <c r="GK2496" s="501"/>
      <c r="GL2496" s="501"/>
      <c r="GM2496" s="501"/>
      <c r="GN2496" s="501"/>
      <c r="GO2496" s="501"/>
      <c r="GP2496" s="501"/>
      <c r="GQ2496" s="501"/>
      <c r="GR2496" s="501"/>
      <c r="GS2496" s="501"/>
      <c r="GT2496" s="501"/>
      <c r="GU2496" s="501"/>
      <c r="GV2496" s="501"/>
      <c r="GW2496" s="501"/>
      <c r="GX2496" s="501"/>
      <c r="GY2496" s="501"/>
      <c r="GZ2496" s="501"/>
      <c r="HA2496" s="501"/>
      <c r="HB2496" s="501"/>
      <c r="HC2496" s="501"/>
      <c r="HD2496" s="501"/>
      <c r="HE2496" s="501"/>
      <c r="HF2496" s="501"/>
      <c r="HG2496" s="501"/>
      <c r="HH2496" s="501"/>
      <c r="HI2496" s="501"/>
      <c r="HJ2496" s="501"/>
      <c r="HK2496" s="501"/>
      <c r="HL2496" s="501"/>
      <c r="HM2496" s="501"/>
      <c r="HN2496" s="501"/>
      <c r="HO2496" s="501"/>
      <c r="HP2496" s="501"/>
      <c r="HQ2496" s="501"/>
      <c r="HR2496" s="501"/>
      <c r="HS2496" s="501"/>
      <c r="HT2496" s="501"/>
      <c r="HU2496" s="501"/>
      <c r="HV2496" s="501"/>
      <c r="HW2496" s="501"/>
      <c r="HX2496" s="501"/>
      <c r="HY2496" s="501"/>
      <c r="HZ2496" s="501"/>
      <c r="IA2496" s="501"/>
      <c r="IB2496" s="501"/>
      <c r="IC2496" s="501"/>
      <c r="ID2496" s="501"/>
      <c r="IE2496" s="501"/>
      <c r="IF2496" s="501"/>
      <c r="IG2496" s="501"/>
      <c r="IH2496" s="501"/>
      <c r="II2496" s="501"/>
      <c r="IJ2496" s="501"/>
      <c r="IK2496" s="501"/>
      <c r="IL2496" s="501"/>
      <c r="IM2496" s="501"/>
      <c r="IN2496" s="501"/>
      <c r="IO2496" s="501"/>
      <c r="IP2496" s="501"/>
      <c r="IQ2496" s="501"/>
      <c r="IR2496" s="501"/>
      <c r="IS2496" s="501"/>
      <c r="IT2496" s="501"/>
      <c r="IU2496" s="501"/>
    </row>
    <row r="2497" spans="1:255" s="877" customFormat="1" ht="24" customHeight="1">
      <c r="A2497" s="501"/>
      <c r="B2497" s="501"/>
      <c r="C2497" s="501"/>
      <c r="D2497" s="501"/>
      <c r="E2497" s="501"/>
      <c r="F2497" s="501"/>
      <c r="G2497" s="915"/>
      <c r="H2497" s="501"/>
      <c r="I2497" s="874"/>
      <c r="J2497" s="501"/>
      <c r="K2497" s="501"/>
      <c r="L2497" s="874"/>
      <c r="M2497" s="554"/>
      <c r="N2497" s="501"/>
      <c r="O2497" s="501"/>
      <c r="P2497" s="902"/>
      <c r="Q2497" s="501"/>
      <c r="R2497" s="501"/>
      <c r="S2497" s="874"/>
      <c r="T2497" s="501"/>
      <c r="V2497" s="501"/>
      <c r="W2497" s="501"/>
      <c r="X2497" s="501"/>
      <c r="Y2497" s="501"/>
      <c r="Z2497" s="501"/>
      <c r="AA2497" s="501"/>
      <c r="AB2497" s="501"/>
      <c r="AC2497" s="501"/>
      <c r="AD2497" s="501"/>
      <c r="AE2497" s="501"/>
      <c r="AF2497" s="501"/>
      <c r="AG2497" s="501"/>
      <c r="AH2497" s="501"/>
      <c r="AI2497" s="501"/>
      <c r="AJ2497" s="501"/>
      <c r="AK2497" s="501"/>
      <c r="AL2497" s="501"/>
      <c r="AM2497" s="501"/>
      <c r="AN2497" s="501"/>
      <c r="AO2497" s="501"/>
      <c r="AP2497" s="501"/>
      <c r="AQ2497" s="501"/>
      <c r="AR2497" s="501"/>
      <c r="AS2497" s="501"/>
      <c r="AT2497" s="501"/>
      <c r="AU2497" s="501"/>
      <c r="AV2497" s="501"/>
      <c r="AW2497" s="501"/>
      <c r="AX2497" s="501"/>
      <c r="AY2497" s="501"/>
      <c r="AZ2497" s="501"/>
      <c r="BA2497" s="501"/>
      <c r="BB2497" s="501"/>
      <c r="BC2497" s="501"/>
      <c r="BD2497" s="501"/>
      <c r="BE2497" s="501"/>
      <c r="BF2497" s="501"/>
      <c r="BG2497" s="501"/>
      <c r="BH2497" s="501"/>
      <c r="BI2497" s="501"/>
      <c r="BJ2497" s="501"/>
      <c r="BK2497" s="501"/>
      <c r="BL2497" s="501"/>
      <c r="BM2497" s="501"/>
      <c r="BN2497" s="501"/>
      <c r="BO2497" s="501"/>
      <c r="BP2497" s="501"/>
      <c r="BQ2497" s="501"/>
      <c r="BR2497" s="501"/>
      <c r="BS2497" s="501"/>
      <c r="BT2497" s="501"/>
      <c r="BU2497" s="501"/>
      <c r="BV2497" s="501"/>
      <c r="BW2497" s="501"/>
      <c r="BX2497" s="501"/>
      <c r="BY2497" s="501"/>
      <c r="BZ2497" s="501"/>
      <c r="CA2497" s="501"/>
      <c r="CB2497" s="501"/>
      <c r="CC2497" s="501"/>
      <c r="CD2497" s="501"/>
      <c r="CE2497" s="501"/>
      <c r="CF2497" s="501"/>
      <c r="CG2497" s="501"/>
      <c r="CH2497" s="501"/>
      <c r="CI2497" s="501"/>
      <c r="CJ2497" s="501"/>
      <c r="CK2497" s="501"/>
      <c r="CL2497" s="501"/>
      <c r="CM2497" s="501"/>
      <c r="CN2497" s="501"/>
      <c r="CO2497" s="501"/>
      <c r="CP2497" s="501"/>
      <c r="CQ2497" s="501"/>
      <c r="CR2497" s="501"/>
      <c r="CS2497" s="501"/>
      <c r="CT2497" s="501"/>
      <c r="CU2497" s="501"/>
      <c r="CV2497" s="501"/>
      <c r="CW2497" s="501"/>
      <c r="CX2497" s="501"/>
      <c r="CY2497" s="501"/>
      <c r="CZ2497" s="501"/>
      <c r="DA2497" s="501"/>
      <c r="DB2497" s="501"/>
      <c r="DC2497" s="501"/>
      <c r="DD2497" s="501"/>
      <c r="DE2497" s="501"/>
      <c r="DF2497" s="501"/>
      <c r="DG2497" s="501"/>
      <c r="DH2497" s="501"/>
      <c r="DI2497" s="501"/>
      <c r="DJ2497" s="501"/>
      <c r="DK2497" s="501"/>
      <c r="DL2497" s="501"/>
      <c r="DM2497" s="501"/>
      <c r="DN2497" s="501"/>
      <c r="DO2497" s="501"/>
      <c r="DP2497" s="501"/>
      <c r="DQ2497" s="501"/>
      <c r="DR2497" s="501"/>
      <c r="DS2497" s="501"/>
      <c r="DT2497" s="501"/>
      <c r="DU2497" s="501"/>
      <c r="DV2497" s="501"/>
      <c r="DW2497" s="501"/>
      <c r="DX2497" s="501"/>
      <c r="DY2497" s="501"/>
      <c r="DZ2497" s="501"/>
      <c r="EA2497" s="501"/>
      <c r="EB2497" s="501"/>
      <c r="EC2497" s="501"/>
      <c r="ED2497" s="501"/>
      <c r="EE2497" s="501"/>
      <c r="EF2497" s="501"/>
      <c r="EG2497" s="501"/>
      <c r="EH2497" s="501"/>
      <c r="EI2497" s="501"/>
      <c r="EJ2497" s="501"/>
      <c r="EK2497" s="501"/>
      <c r="EL2497" s="501"/>
      <c r="EM2497" s="501"/>
      <c r="EN2497" s="501"/>
      <c r="EO2497" s="501"/>
      <c r="EP2497" s="501"/>
      <c r="EQ2497" s="501"/>
      <c r="ER2497" s="501"/>
      <c r="ES2497" s="501"/>
      <c r="ET2497" s="501"/>
      <c r="EU2497" s="501"/>
      <c r="EV2497" s="501"/>
      <c r="EW2497" s="501"/>
      <c r="EX2497" s="501"/>
      <c r="EY2497" s="501"/>
      <c r="EZ2497" s="501"/>
      <c r="FA2497" s="501"/>
      <c r="FB2497" s="501"/>
      <c r="FC2497" s="501"/>
      <c r="FD2497" s="501"/>
      <c r="FE2497" s="501"/>
      <c r="FF2497" s="501"/>
      <c r="FG2497" s="501"/>
      <c r="FH2497" s="501"/>
      <c r="FI2497" s="501"/>
      <c r="FJ2497" s="501"/>
      <c r="FK2497" s="501"/>
      <c r="FL2497" s="501"/>
      <c r="FM2497" s="501"/>
      <c r="FN2497" s="501"/>
      <c r="FO2497" s="501"/>
      <c r="FP2497" s="501"/>
      <c r="FQ2497" s="501"/>
      <c r="FR2497" s="501"/>
      <c r="FS2497" s="501"/>
      <c r="FT2497" s="501"/>
      <c r="FU2497" s="501"/>
      <c r="FV2497" s="501"/>
      <c r="FW2497" s="501"/>
      <c r="FX2497" s="501"/>
      <c r="FY2497" s="501"/>
      <c r="FZ2497" s="501"/>
      <c r="GA2497" s="501"/>
      <c r="GB2497" s="501"/>
      <c r="GC2497" s="501"/>
      <c r="GD2497" s="501"/>
      <c r="GE2497" s="501"/>
      <c r="GF2497" s="501"/>
      <c r="GG2497" s="501"/>
      <c r="GH2497" s="501"/>
      <c r="GI2497" s="501"/>
      <c r="GJ2497" s="501"/>
      <c r="GK2497" s="501"/>
      <c r="GL2497" s="501"/>
      <c r="GM2497" s="501"/>
      <c r="GN2497" s="501"/>
      <c r="GO2497" s="501"/>
      <c r="GP2497" s="501"/>
      <c r="GQ2497" s="501"/>
      <c r="GR2497" s="501"/>
      <c r="GS2497" s="501"/>
      <c r="GT2497" s="501"/>
      <c r="GU2497" s="501"/>
      <c r="GV2497" s="501"/>
      <c r="GW2497" s="501"/>
      <c r="GX2497" s="501"/>
      <c r="GY2497" s="501"/>
      <c r="GZ2497" s="501"/>
      <c r="HA2497" s="501"/>
      <c r="HB2497" s="501"/>
      <c r="HC2497" s="501"/>
      <c r="HD2497" s="501"/>
      <c r="HE2497" s="501"/>
      <c r="HF2497" s="501"/>
      <c r="HG2497" s="501"/>
      <c r="HH2497" s="501"/>
      <c r="HI2497" s="501"/>
      <c r="HJ2497" s="501"/>
      <c r="HK2497" s="501"/>
      <c r="HL2497" s="501"/>
      <c r="HM2497" s="501"/>
      <c r="HN2497" s="501"/>
      <c r="HO2497" s="501"/>
      <c r="HP2497" s="501"/>
      <c r="HQ2497" s="501"/>
      <c r="HR2497" s="501"/>
      <c r="HS2497" s="501"/>
      <c r="HT2497" s="501"/>
      <c r="HU2497" s="501"/>
      <c r="HV2497" s="501"/>
      <c r="HW2497" s="501"/>
      <c r="HX2497" s="501"/>
      <c r="HY2497" s="501"/>
      <c r="HZ2497" s="501"/>
      <c r="IA2497" s="501"/>
      <c r="IB2497" s="501"/>
      <c r="IC2497" s="501"/>
      <c r="ID2497" s="501"/>
      <c r="IE2497" s="501"/>
      <c r="IF2497" s="501"/>
      <c r="IG2497" s="501"/>
      <c r="IH2497" s="501"/>
      <c r="II2497" s="501"/>
      <c r="IJ2497" s="501"/>
      <c r="IK2497" s="501"/>
      <c r="IL2497" s="501"/>
      <c r="IM2497" s="501"/>
      <c r="IN2497" s="501"/>
      <c r="IO2497" s="501"/>
      <c r="IP2497" s="501"/>
      <c r="IQ2497" s="501"/>
      <c r="IR2497" s="501"/>
      <c r="IS2497" s="501"/>
      <c r="IT2497" s="501"/>
      <c r="IU2497" s="501"/>
    </row>
    <row r="2498" spans="1:255" s="877" customFormat="1" ht="24" customHeight="1">
      <c r="A2498" s="501"/>
      <c r="B2498" s="501"/>
      <c r="C2498" s="501"/>
      <c r="D2498" s="501"/>
      <c r="E2498" s="501"/>
      <c r="F2498" s="501"/>
      <c r="G2498" s="915"/>
      <c r="H2498" s="501"/>
      <c r="I2498" s="874"/>
      <c r="J2498" s="501"/>
      <c r="K2498" s="903"/>
      <c r="L2498" s="874"/>
      <c r="M2498" s="554"/>
      <c r="N2498" s="501"/>
      <c r="O2498" s="874"/>
      <c r="P2498" s="874"/>
      <c r="Q2498" s="874"/>
      <c r="S2498" s="874"/>
      <c r="T2498" s="874"/>
      <c r="V2498" s="501"/>
      <c r="W2498" s="501"/>
      <c r="X2498" s="501"/>
      <c r="Y2498" s="501"/>
      <c r="Z2498" s="501"/>
      <c r="AA2498" s="501"/>
      <c r="AB2498" s="501"/>
      <c r="AC2498" s="501"/>
      <c r="AD2498" s="501"/>
      <c r="AE2498" s="501"/>
      <c r="AF2498" s="501"/>
      <c r="AG2498" s="501"/>
      <c r="AH2498" s="501"/>
      <c r="AI2498" s="501"/>
      <c r="AJ2498" s="501"/>
      <c r="AK2498" s="501"/>
      <c r="AL2498" s="501"/>
      <c r="AM2498" s="501"/>
      <c r="AN2498" s="501"/>
      <c r="AO2498" s="501"/>
      <c r="AP2498" s="501"/>
      <c r="AQ2498" s="501"/>
      <c r="AR2498" s="501"/>
      <c r="AS2498" s="501"/>
      <c r="AT2498" s="501"/>
      <c r="AU2498" s="501"/>
      <c r="AV2498" s="501"/>
      <c r="AW2498" s="501"/>
      <c r="AX2498" s="501"/>
      <c r="AY2498" s="501"/>
      <c r="AZ2498" s="501"/>
      <c r="BA2498" s="501"/>
      <c r="BB2498" s="501"/>
      <c r="BC2498" s="501"/>
      <c r="BD2498" s="501"/>
      <c r="BE2498" s="501"/>
      <c r="BF2498" s="501"/>
      <c r="BG2498" s="501"/>
      <c r="BH2498" s="501"/>
      <c r="BI2498" s="501"/>
      <c r="BJ2498" s="501"/>
      <c r="BK2498" s="501"/>
      <c r="BL2498" s="501"/>
      <c r="BM2498" s="501"/>
      <c r="BN2498" s="501"/>
      <c r="BO2498" s="501"/>
      <c r="BP2498" s="501"/>
      <c r="BQ2498" s="501"/>
      <c r="BR2498" s="501"/>
      <c r="BS2498" s="501"/>
      <c r="BT2498" s="501"/>
      <c r="BU2498" s="501"/>
      <c r="BV2498" s="501"/>
      <c r="BW2498" s="501"/>
      <c r="BX2498" s="501"/>
      <c r="BY2498" s="501"/>
      <c r="BZ2498" s="501"/>
      <c r="CA2498" s="501"/>
      <c r="CB2498" s="501"/>
      <c r="CC2498" s="501"/>
      <c r="CD2498" s="501"/>
      <c r="CE2498" s="501"/>
      <c r="CF2498" s="501"/>
      <c r="CG2498" s="501"/>
      <c r="CH2498" s="501"/>
      <c r="CI2498" s="501"/>
      <c r="CJ2498" s="501"/>
      <c r="CK2498" s="501"/>
      <c r="CL2498" s="501"/>
      <c r="CM2498" s="501"/>
      <c r="CN2498" s="501"/>
      <c r="CO2498" s="501"/>
      <c r="CP2498" s="501"/>
      <c r="CQ2498" s="501"/>
      <c r="CR2498" s="501"/>
      <c r="CS2498" s="501"/>
      <c r="CT2498" s="501"/>
      <c r="CU2498" s="501"/>
      <c r="CV2498" s="501"/>
      <c r="CW2498" s="501"/>
      <c r="CX2498" s="501"/>
      <c r="CY2498" s="501"/>
      <c r="CZ2498" s="501"/>
      <c r="DA2498" s="501"/>
      <c r="DB2498" s="501"/>
      <c r="DC2498" s="501"/>
      <c r="DD2498" s="501"/>
      <c r="DE2498" s="501"/>
      <c r="DF2498" s="501"/>
      <c r="DG2498" s="501"/>
      <c r="DH2498" s="501"/>
      <c r="DI2498" s="501"/>
      <c r="DJ2498" s="501"/>
      <c r="DK2498" s="501"/>
      <c r="DL2498" s="501"/>
      <c r="DM2498" s="501"/>
      <c r="DN2498" s="501"/>
      <c r="DO2498" s="501"/>
      <c r="DP2498" s="501"/>
      <c r="DQ2498" s="501"/>
      <c r="DR2498" s="501"/>
      <c r="DS2498" s="501"/>
      <c r="DT2498" s="501"/>
      <c r="DU2498" s="501"/>
      <c r="DV2498" s="501"/>
      <c r="DW2498" s="501"/>
      <c r="DX2498" s="501"/>
      <c r="DY2498" s="501"/>
      <c r="DZ2498" s="501"/>
      <c r="EA2498" s="501"/>
      <c r="EB2498" s="501"/>
      <c r="EC2498" s="501"/>
      <c r="ED2498" s="501"/>
      <c r="EE2498" s="501"/>
      <c r="EF2498" s="501"/>
      <c r="EG2498" s="501"/>
      <c r="EH2498" s="501"/>
      <c r="EI2498" s="501"/>
      <c r="EJ2498" s="501"/>
      <c r="EK2498" s="501"/>
      <c r="EL2498" s="501"/>
      <c r="EM2498" s="501"/>
      <c r="EN2498" s="501"/>
      <c r="EO2498" s="501"/>
      <c r="EP2498" s="501"/>
      <c r="EQ2498" s="501"/>
      <c r="ER2498" s="501"/>
      <c r="ES2498" s="501"/>
      <c r="ET2498" s="501"/>
      <c r="EU2498" s="501"/>
      <c r="EV2498" s="501"/>
      <c r="EW2498" s="501"/>
      <c r="EX2498" s="501"/>
      <c r="EY2498" s="501"/>
      <c r="EZ2498" s="501"/>
      <c r="FA2498" s="501"/>
      <c r="FB2498" s="501"/>
      <c r="FC2498" s="501"/>
      <c r="FD2498" s="501"/>
      <c r="FE2498" s="501"/>
      <c r="FF2498" s="501"/>
      <c r="FG2498" s="501"/>
      <c r="FH2498" s="501"/>
      <c r="FI2498" s="501"/>
      <c r="FJ2498" s="501"/>
      <c r="FK2498" s="501"/>
      <c r="FL2498" s="501"/>
      <c r="FM2498" s="501"/>
      <c r="FN2498" s="501"/>
      <c r="FO2498" s="501"/>
      <c r="FP2498" s="501"/>
      <c r="FQ2498" s="501"/>
      <c r="FR2498" s="501"/>
      <c r="FS2498" s="501"/>
      <c r="FT2498" s="501"/>
      <c r="FU2498" s="501"/>
      <c r="FV2498" s="501"/>
      <c r="FW2498" s="501"/>
      <c r="FX2498" s="501"/>
      <c r="FY2498" s="501"/>
      <c r="FZ2498" s="501"/>
      <c r="GA2498" s="501"/>
      <c r="GB2498" s="501"/>
      <c r="GC2498" s="501"/>
      <c r="GD2498" s="501"/>
      <c r="GE2498" s="501"/>
      <c r="GF2498" s="501"/>
      <c r="GG2498" s="501"/>
      <c r="GH2498" s="501"/>
      <c r="GI2498" s="501"/>
      <c r="GJ2498" s="501"/>
      <c r="GK2498" s="501"/>
      <c r="GL2498" s="501"/>
      <c r="GM2498" s="501"/>
      <c r="GN2498" s="501"/>
      <c r="GO2498" s="501"/>
      <c r="GP2498" s="501"/>
      <c r="GQ2498" s="501"/>
      <c r="GR2498" s="501"/>
      <c r="GS2498" s="501"/>
      <c r="GT2498" s="501"/>
      <c r="GU2498" s="501"/>
      <c r="GV2498" s="501"/>
      <c r="GW2498" s="501"/>
      <c r="GX2498" s="501"/>
      <c r="GY2498" s="501"/>
      <c r="GZ2498" s="501"/>
      <c r="HA2498" s="501"/>
      <c r="HB2498" s="501"/>
      <c r="HC2498" s="501"/>
      <c r="HD2498" s="501"/>
      <c r="HE2498" s="501"/>
      <c r="HF2498" s="501"/>
      <c r="HG2498" s="501"/>
      <c r="HH2498" s="501"/>
      <c r="HI2498" s="501"/>
      <c r="HJ2498" s="501"/>
      <c r="HK2498" s="501"/>
      <c r="HL2498" s="501"/>
      <c r="HM2498" s="501"/>
      <c r="HN2498" s="501"/>
      <c r="HO2498" s="501"/>
      <c r="HP2498" s="501"/>
      <c r="HQ2498" s="501"/>
      <c r="HR2498" s="501"/>
      <c r="HS2498" s="501"/>
      <c r="HT2498" s="501"/>
      <c r="HU2498" s="501"/>
      <c r="HV2498" s="501"/>
      <c r="HW2498" s="501"/>
      <c r="HX2498" s="501"/>
      <c r="HY2498" s="501"/>
      <c r="HZ2498" s="501"/>
      <c r="IA2498" s="501"/>
      <c r="IB2498" s="501"/>
      <c r="IC2498" s="501"/>
      <c r="ID2498" s="501"/>
      <c r="IE2498" s="501"/>
      <c r="IF2498" s="501"/>
      <c r="IG2498" s="501"/>
      <c r="IH2498" s="501"/>
      <c r="II2498" s="501"/>
      <c r="IJ2498" s="501"/>
      <c r="IK2498" s="501"/>
      <c r="IL2498" s="501"/>
      <c r="IM2498" s="501"/>
      <c r="IN2498" s="501"/>
      <c r="IO2498" s="501"/>
      <c r="IP2498" s="501"/>
      <c r="IQ2498" s="501"/>
      <c r="IR2498" s="501"/>
      <c r="IS2498" s="501"/>
      <c r="IT2498" s="501"/>
      <c r="IU2498" s="501"/>
    </row>
    <row r="2499" spans="1:255" s="877" customFormat="1" ht="24" customHeight="1">
      <c r="A2499" s="501"/>
      <c r="B2499" s="501"/>
      <c r="C2499" s="501"/>
      <c r="D2499" s="501"/>
      <c r="E2499" s="501"/>
      <c r="F2499" s="501"/>
      <c r="G2499" s="915"/>
      <c r="H2499" s="501"/>
      <c r="I2499" s="874"/>
      <c r="J2499" s="501"/>
      <c r="K2499" s="501"/>
      <c r="L2499" s="874"/>
      <c r="M2499" s="554"/>
      <c r="N2499" s="501"/>
      <c r="O2499" s="501"/>
      <c r="P2499" s="902"/>
      <c r="Q2499" s="501"/>
      <c r="R2499" s="501"/>
      <c r="S2499" s="874"/>
      <c r="T2499" s="874"/>
      <c r="V2499" s="501"/>
      <c r="W2499" s="501"/>
      <c r="X2499" s="501"/>
      <c r="Y2499" s="501"/>
      <c r="Z2499" s="501"/>
      <c r="AA2499" s="501"/>
      <c r="AB2499" s="501"/>
      <c r="AC2499" s="501"/>
      <c r="AD2499" s="501"/>
      <c r="AE2499" s="501"/>
      <c r="AF2499" s="501"/>
      <c r="AG2499" s="501"/>
      <c r="AH2499" s="501"/>
      <c r="AI2499" s="501"/>
      <c r="AJ2499" s="501"/>
      <c r="AK2499" s="501"/>
      <c r="AL2499" s="501"/>
      <c r="AM2499" s="501"/>
      <c r="AN2499" s="501"/>
      <c r="AO2499" s="501"/>
      <c r="AP2499" s="501"/>
      <c r="AQ2499" s="501"/>
      <c r="AR2499" s="501"/>
      <c r="AS2499" s="501"/>
      <c r="AT2499" s="501"/>
      <c r="AU2499" s="501"/>
      <c r="AV2499" s="501"/>
      <c r="AW2499" s="501"/>
      <c r="AX2499" s="501"/>
      <c r="AY2499" s="501"/>
      <c r="AZ2499" s="501"/>
      <c r="BA2499" s="501"/>
      <c r="BB2499" s="501"/>
      <c r="BC2499" s="501"/>
      <c r="BD2499" s="501"/>
      <c r="BE2499" s="501"/>
      <c r="BF2499" s="501"/>
      <c r="BG2499" s="501"/>
      <c r="BH2499" s="501"/>
      <c r="BI2499" s="501"/>
      <c r="BJ2499" s="501"/>
      <c r="BK2499" s="501"/>
      <c r="BL2499" s="501"/>
      <c r="BM2499" s="501"/>
      <c r="BN2499" s="501"/>
      <c r="BO2499" s="501"/>
      <c r="BP2499" s="501"/>
      <c r="BQ2499" s="501"/>
      <c r="BR2499" s="501"/>
      <c r="BS2499" s="501"/>
      <c r="BT2499" s="501"/>
      <c r="BU2499" s="501"/>
      <c r="BV2499" s="501"/>
      <c r="BW2499" s="501"/>
      <c r="BX2499" s="501"/>
      <c r="BY2499" s="501"/>
      <c r="BZ2499" s="501"/>
      <c r="CA2499" s="501"/>
      <c r="CB2499" s="501"/>
      <c r="CC2499" s="501"/>
      <c r="CD2499" s="501"/>
      <c r="CE2499" s="501"/>
      <c r="CF2499" s="501"/>
      <c r="CG2499" s="501"/>
      <c r="CH2499" s="501"/>
      <c r="CI2499" s="501"/>
      <c r="CJ2499" s="501"/>
      <c r="CK2499" s="501"/>
      <c r="CL2499" s="501"/>
      <c r="CM2499" s="501"/>
      <c r="CN2499" s="501"/>
      <c r="CO2499" s="501"/>
      <c r="CP2499" s="501"/>
      <c r="CQ2499" s="501"/>
      <c r="CR2499" s="501"/>
      <c r="CS2499" s="501"/>
      <c r="CT2499" s="501"/>
      <c r="CU2499" s="501"/>
      <c r="CV2499" s="501"/>
      <c r="CW2499" s="501"/>
      <c r="CX2499" s="501"/>
      <c r="CY2499" s="501"/>
      <c r="CZ2499" s="501"/>
      <c r="DA2499" s="501"/>
      <c r="DB2499" s="501"/>
      <c r="DC2499" s="501"/>
      <c r="DD2499" s="501"/>
      <c r="DE2499" s="501"/>
      <c r="DF2499" s="501"/>
      <c r="DG2499" s="501"/>
      <c r="DH2499" s="501"/>
      <c r="DI2499" s="501"/>
      <c r="DJ2499" s="501"/>
      <c r="DK2499" s="501"/>
      <c r="DL2499" s="501"/>
      <c r="DM2499" s="501"/>
      <c r="DN2499" s="501"/>
      <c r="DO2499" s="501"/>
      <c r="DP2499" s="501"/>
      <c r="DQ2499" s="501"/>
      <c r="DR2499" s="501"/>
      <c r="DS2499" s="501"/>
      <c r="DT2499" s="501"/>
      <c r="DU2499" s="501"/>
      <c r="DV2499" s="501"/>
      <c r="DW2499" s="501"/>
      <c r="DX2499" s="501"/>
      <c r="DY2499" s="501"/>
      <c r="DZ2499" s="501"/>
      <c r="EA2499" s="501"/>
      <c r="EB2499" s="501"/>
      <c r="EC2499" s="501"/>
      <c r="ED2499" s="501"/>
      <c r="EE2499" s="501"/>
      <c r="EF2499" s="501"/>
      <c r="EG2499" s="501"/>
      <c r="EH2499" s="501"/>
      <c r="EI2499" s="501"/>
      <c r="EJ2499" s="501"/>
      <c r="EK2499" s="501"/>
      <c r="EL2499" s="501"/>
      <c r="EM2499" s="501"/>
      <c r="EN2499" s="501"/>
      <c r="EO2499" s="501"/>
      <c r="EP2499" s="501"/>
      <c r="EQ2499" s="501"/>
      <c r="ER2499" s="501"/>
      <c r="ES2499" s="501"/>
      <c r="ET2499" s="501"/>
      <c r="EU2499" s="501"/>
      <c r="EV2499" s="501"/>
      <c r="EW2499" s="501"/>
      <c r="EX2499" s="501"/>
      <c r="EY2499" s="501"/>
      <c r="EZ2499" s="501"/>
      <c r="FA2499" s="501"/>
      <c r="FB2499" s="501"/>
      <c r="FC2499" s="501"/>
      <c r="FD2499" s="501"/>
      <c r="FE2499" s="501"/>
      <c r="FF2499" s="501"/>
      <c r="FG2499" s="501"/>
      <c r="FH2499" s="501"/>
      <c r="FI2499" s="501"/>
      <c r="FJ2499" s="501"/>
      <c r="FK2499" s="501"/>
      <c r="FL2499" s="501"/>
      <c r="FM2499" s="501"/>
      <c r="FN2499" s="501"/>
      <c r="FO2499" s="501"/>
      <c r="FP2499" s="501"/>
      <c r="FQ2499" s="501"/>
      <c r="FR2499" s="501"/>
      <c r="FS2499" s="501"/>
      <c r="FT2499" s="501"/>
      <c r="FU2499" s="501"/>
      <c r="FV2499" s="501"/>
      <c r="FW2499" s="501"/>
      <c r="FX2499" s="501"/>
      <c r="FY2499" s="501"/>
      <c r="FZ2499" s="501"/>
      <c r="GA2499" s="501"/>
      <c r="GB2499" s="501"/>
      <c r="GC2499" s="501"/>
      <c r="GD2499" s="501"/>
      <c r="GE2499" s="501"/>
      <c r="GF2499" s="501"/>
      <c r="GG2499" s="501"/>
      <c r="GH2499" s="501"/>
      <c r="GI2499" s="501"/>
      <c r="GJ2499" s="501"/>
      <c r="GK2499" s="501"/>
      <c r="GL2499" s="501"/>
      <c r="GM2499" s="501"/>
      <c r="GN2499" s="501"/>
      <c r="GO2499" s="501"/>
      <c r="GP2499" s="501"/>
      <c r="GQ2499" s="501"/>
      <c r="GR2499" s="501"/>
      <c r="GS2499" s="501"/>
      <c r="GT2499" s="501"/>
      <c r="GU2499" s="501"/>
      <c r="GV2499" s="501"/>
      <c r="GW2499" s="501"/>
      <c r="GX2499" s="501"/>
      <c r="GY2499" s="501"/>
      <c r="GZ2499" s="501"/>
      <c r="HA2499" s="501"/>
      <c r="HB2499" s="501"/>
      <c r="HC2499" s="501"/>
      <c r="HD2499" s="501"/>
      <c r="HE2499" s="501"/>
      <c r="HF2499" s="501"/>
      <c r="HG2499" s="501"/>
      <c r="HH2499" s="501"/>
      <c r="HI2499" s="501"/>
      <c r="HJ2499" s="501"/>
      <c r="HK2499" s="501"/>
      <c r="HL2499" s="501"/>
      <c r="HM2499" s="501"/>
      <c r="HN2499" s="501"/>
      <c r="HO2499" s="501"/>
      <c r="HP2499" s="501"/>
      <c r="HQ2499" s="501"/>
      <c r="HR2499" s="501"/>
      <c r="HS2499" s="501"/>
      <c r="HT2499" s="501"/>
      <c r="HU2499" s="501"/>
      <c r="HV2499" s="501"/>
      <c r="HW2499" s="501"/>
      <c r="HX2499" s="501"/>
      <c r="HY2499" s="501"/>
      <c r="HZ2499" s="501"/>
      <c r="IA2499" s="501"/>
      <c r="IB2499" s="501"/>
      <c r="IC2499" s="501"/>
      <c r="ID2499" s="501"/>
      <c r="IE2499" s="501"/>
      <c r="IF2499" s="501"/>
      <c r="IG2499" s="501"/>
      <c r="IH2499" s="501"/>
      <c r="II2499" s="501"/>
      <c r="IJ2499" s="501"/>
      <c r="IK2499" s="501"/>
      <c r="IL2499" s="501"/>
      <c r="IM2499" s="501"/>
      <c r="IN2499" s="501"/>
      <c r="IO2499" s="501"/>
      <c r="IP2499" s="501"/>
      <c r="IQ2499" s="501"/>
      <c r="IR2499" s="501"/>
      <c r="IS2499" s="501"/>
      <c r="IT2499" s="501"/>
      <c r="IU2499" s="501"/>
    </row>
    <row r="2500" spans="1:255" s="877" customFormat="1" ht="24" customHeight="1">
      <c r="A2500" s="501"/>
      <c r="B2500" s="501"/>
      <c r="C2500" s="501"/>
      <c r="D2500" s="501"/>
      <c r="E2500" s="501"/>
      <c r="F2500" s="501"/>
      <c r="G2500" s="915"/>
      <c r="H2500" s="501"/>
      <c r="I2500" s="874"/>
      <c r="J2500" s="501"/>
      <c r="K2500" s="501"/>
      <c r="L2500" s="874"/>
      <c r="M2500" s="554"/>
      <c r="N2500" s="501"/>
      <c r="O2500" s="501"/>
      <c r="P2500" s="902"/>
      <c r="Q2500" s="501"/>
      <c r="R2500" s="501"/>
      <c r="S2500" s="874"/>
      <c r="T2500" s="874"/>
      <c r="V2500" s="501"/>
      <c r="W2500" s="501"/>
      <c r="X2500" s="501"/>
      <c r="Y2500" s="501"/>
      <c r="Z2500" s="501"/>
      <c r="AA2500" s="501"/>
      <c r="AB2500" s="501"/>
      <c r="AC2500" s="501"/>
      <c r="AD2500" s="501"/>
      <c r="AE2500" s="501"/>
      <c r="AF2500" s="501"/>
      <c r="AG2500" s="501"/>
      <c r="AH2500" s="501"/>
      <c r="AI2500" s="501"/>
      <c r="AJ2500" s="501"/>
      <c r="AK2500" s="501"/>
      <c r="AL2500" s="501"/>
      <c r="AM2500" s="501"/>
      <c r="AN2500" s="501"/>
      <c r="AO2500" s="501"/>
      <c r="AP2500" s="501"/>
      <c r="AQ2500" s="501"/>
      <c r="AR2500" s="501"/>
      <c r="AS2500" s="501"/>
      <c r="AT2500" s="501"/>
      <c r="AU2500" s="501"/>
      <c r="AV2500" s="501"/>
      <c r="AW2500" s="501"/>
      <c r="AX2500" s="501"/>
      <c r="AY2500" s="501"/>
      <c r="AZ2500" s="501"/>
      <c r="BA2500" s="501"/>
      <c r="BB2500" s="501"/>
      <c r="BC2500" s="501"/>
      <c r="BD2500" s="501"/>
      <c r="BE2500" s="501"/>
      <c r="BF2500" s="501"/>
      <c r="BG2500" s="501"/>
      <c r="BH2500" s="501"/>
      <c r="BI2500" s="501"/>
      <c r="BJ2500" s="501"/>
      <c r="BK2500" s="501"/>
      <c r="BL2500" s="501"/>
      <c r="BM2500" s="501"/>
      <c r="BN2500" s="501"/>
      <c r="BO2500" s="501"/>
      <c r="BP2500" s="501"/>
      <c r="BQ2500" s="501"/>
      <c r="BR2500" s="501"/>
      <c r="BS2500" s="501"/>
      <c r="BT2500" s="501"/>
      <c r="BU2500" s="501"/>
      <c r="BV2500" s="501"/>
      <c r="BW2500" s="501"/>
      <c r="BX2500" s="501"/>
      <c r="BY2500" s="501"/>
      <c r="BZ2500" s="501"/>
      <c r="CA2500" s="501"/>
      <c r="CB2500" s="501"/>
      <c r="CC2500" s="501"/>
      <c r="CD2500" s="501"/>
      <c r="CE2500" s="501"/>
      <c r="CF2500" s="501"/>
      <c r="CG2500" s="501"/>
      <c r="CH2500" s="501"/>
      <c r="CI2500" s="501"/>
      <c r="CJ2500" s="501"/>
      <c r="CK2500" s="501"/>
      <c r="CL2500" s="501"/>
      <c r="CM2500" s="501"/>
      <c r="CN2500" s="501"/>
      <c r="CO2500" s="501"/>
      <c r="CP2500" s="501"/>
      <c r="CQ2500" s="501"/>
      <c r="CR2500" s="501"/>
      <c r="CS2500" s="501"/>
      <c r="CT2500" s="501"/>
      <c r="CU2500" s="501"/>
      <c r="CV2500" s="501"/>
      <c r="CW2500" s="501"/>
      <c r="CX2500" s="501"/>
      <c r="CY2500" s="501"/>
      <c r="CZ2500" s="501"/>
      <c r="DA2500" s="501"/>
      <c r="DB2500" s="501"/>
      <c r="DC2500" s="501"/>
      <c r="DD2500" s="501"/>
      <c r="DE2500" s="501"/>
      <c r="DF2500" s="501"/>
      <c r="DG2500" s="501"/>
      <c r="DH2500" s="501"/>
      <c r="DI2500" s="501"/>
      <c r="DJ2500" s="501"/>
      <c r="DK2500" s="501"/>
      <c r="DL2500" s="501"/>
      <c r="DM2500" s="501"/>
      <c r="DN2500" s="501"/>
      <c r="DO2500" s="501"/>
      <c r="DP2500" s="501"/>
      <c r="DQ2500" s="501"/>
      <c r="DR2500" s="501"/>
      <c r="DS2500" s="501"/>
      <c r="DT2500" s="501"/>
      <c r="DU2500" s="501"/>
      <c r="DV2500" s="501"/>
      <c r="DW2500" s="501"/>
      <c r="DX2500" s="501"/>
      <c r="DY2500" s="501"/>
      <c r="DZ2500" s="501"/>
      <c r="EA2500" s="501"/>
      <c r="EB2500" s="501"/>
      <c r="EC2500" s="501"/>
      <c r="ED2500" s="501"/>
      <c r="EE2500" s="501"/>
      <c r="EF2500" s="501"/>
      <c r="EG2500" s="501"/>
      <c r="EH2500" s="501"/>
      <c r="EI2500" s="501"/>
      <c r="EJ2500" s="501"/>
      <c r="EK2500" s="501"/>
      <c r="EL2500" s="501"/>
      <c r="EM2500" s="501"/>
      <c r="EN2500" s="501"/>
      <c r="EO2500" s="501"/>
      <c r="EP2500" s="501"/>
      <c r="EQ2500" s="501"/>
      <c r="ER2500" s="501"/>
      <c r="ES2500" s="501"/>
      <c r="ET2500" s="501"/>
      <c r="EU2500" s="501"/>
      <c r="EV2500" s="501"/>
      <c r="EW2500" s="501"/>
      <c r="EX2500" s="501"/>
      <c r="EY2500" s="501"/>
      <c r="EZ2500" s="501"/>
      <c r="FA2500" s="501"/>
      <c r="FB2500" s="501"/>
      <c r="FC2500" s="501"/>
      <c r="FD2500" s="501"/>
      <c r="FE2500" s="501"/>
      <c r="FF2500" s="501"/>
      <c r="FG2500" s="501"/>
      <c r="FH2500" s="501"/>
      <c r="FI2500" s="501"/>
      <c r="FJ2500" s="501"/>
      <c r="FK2500" s="501"/>
      <c r="FL2500" s="501"/>
      <c r="FM2500" s="501"/>
      <c r="FN2500" s="501"/>
      <c r="FO2500" s="501"/>
      <c r="FP2500" s="501"/>
      <c r="FQ2500" s="501"/>
      <c r="FR2500" s="501"/>
      <c r="FS2500" s="501"/>
      <c r="FT2500" s="501"/>
      <c r="FU2500" s="501"/>
      <c r="FV2500" s="501"/>
      <c r="FW2500" s="501"/>
      <c r="FX2500" s="501"/>
      <c r="FY2500" s="501"/>
      <c r="FZ2500" s="501"/>
      <c r="GA2500" s="501"/>
      <c r="GB2500" s="501"/>
      <c r="GC2500" s="501"/>
      <c r="GD2500" s="501"/>
      <c r="GE2500" s="501"/>
      <c r="GF2500" s="501"/>
      <c r="GG2500" s="501"/>
      <c r="GH2500" s="501"/>
      <c r="GI2500" s="501"/>
      <c r="GJ2500" s="501"/>
      <c r="GK2500" s="501"/>
      <c r="GL2500" s="501"/>
      <c r="GM2500" s="501"/>
      <c r="GN2500" s="501"/>
      <c r="GO2500" s="501"/>
      <c r="GP2500" s="501"/>
      <c r="GQ2500" s="501"/>
      <c r="GR2500" s="501"/>
      <c r="GS2500" s="501"/>
      <c r="GT2500" s="501"/>
      <c r="GU2500" s="501"/>
      <c r="GV2500" s="501"/>
      <c r="GW2500" s="501"/>
      <c r="GX2500" s="501"/>
      <c r="GY2500" s="501"/>
      <c r="GZ2500" s="501"/>
      <c r="HA2500" s="501"/>
      <c r="HB2500" s="501"/>
      <c r="HC2500" s="501"/>
      <c r="HD2500" s="501"/>
      <c r="HE2500" s="501"/>
      <c r="HF2500" s="501"/>
      <c r="HG2500" s="501"/>
      <c r="HH2500" s="501"/>
      <c r="HI2500" s="501"/>
      <c r="HJ2500" s="501"/>
      <c r="HK2500" s="501"/>
      <c r="HL2500" s="501"/>
      <c r="HM2500" s="501"/>
      <c r="HN2500" s="501"/>
      <c r="HO2500" s="501"/>
      <c r="HP2500" s="501"/>
      <c r="HQ2500" s="501"/>
      <c r="HR2500" s="501"/>
      <c r="HS2500" s="501"/>
      <c r="HT2500" s="501"/>
      <c r="HU2500" s="501"/>
      <c r="HV2500" s="501"/>
      <c r="HW2500" s="501"/>
      <c r="HX2500" s="501"/>
      <c r="HY2500" s="501"/>
      <c r="HZ2500" s="501"/>
      <c r="IA2500" s="501"/>
      <c r="IB2500" s="501"/>
      <c r="IC2500" s="501"/>
      <c r="ID2500" s="501"/>
      <c r="IE2500" s="501"/>
      <c r="IF2500" s="501"/>
      <c r="IG2500" s="501"/>
      <c r="IH2500" s="501"/>
      <c r="II2500" s="501"/>
      <c r="IJ2500" s="501"/>
      <c r="IK2500" s="501"/>
      <c r="IL2500" s="501"/>
      <c r="IM2500" s="501"/>
      <c r="IN2500" s="501"/>
      <c r="IO2500" s="501"/>
      <c r="IP2500" s="501"/>
      <c r="IQ2500" s="501"/>
      <c r="IR2500" s="501"/>
      <c r="IS2500" s="501"/>
      <c r="IT2500" s="501"/>
      <c r="IU2500" s="501"/>
    </row>
    <row r="2501" spans="1:255" s="877" customFormat="1" ht="24" customHeight="1">
      <c r="A2501" s="501"/>
      <c r="B2501" s="501"/>
      <c r="C2501" s="501"/>
      <c r="D2501" s="501"/>
      <c r="E2501" s="501"/>
      <c r="F2501" s="501"/>
      <c r="G2501" s="915"/>
      <c r="H2501" s="501"/>
      <c r="I2501" s="874"/>
      <c r="J2501" s="501"/>
      <c r="K2501" s="501"/>
      <c r="L2501" s="874"/>
      <c r="M2501" s="554"/>
      <c r="N2501" s="501"/>
      <c r="O2501" s="501"/>
      <c r="P2501" s="902"/>
      <c r="Q2501" s="501"/>
      <c r="R2501" s="501"/>
      <c r="S2501" s="874"/>
      <c r="T2501" s="874"/>
      <c r="V2501" s="501"/>
      <c r="W2501" s="501"/>
      <c r="X2501" s="501"/>
      <c r="Y2501" s="501"/>
      <c r="Z2501" s="501"/>
      <c r="AA2501" s="501"/>
      <c r="AB2501" s="501"/>
      <c r="AC2501" s="501"/>
      <c r="AD2501" s="501"/>
      <c r="AE2501" s="501"/>
      <c r="AF2501" s="501"/>
      <c r="AG2501" s="501"/>
      <c r="AH2501" s="501"/>
      <c r="AI2501" s="501"/>
      <c r="AJ2501" s="501"/>
      <c r="AK2501" s="501"/>
      <c r="AL2501" s="501"/>
      <c r="AM2501" s="501"/>
      <c r="AN2501" s="501"/>
      <c r="AO2501" s="501"/>
      <c r="AP2501" s="501"/>
      <c r="AQ2501" s="501"/>
      <c r="AR2501" s="501"/>
      <c r="AS2501" s="501"/>
      <c r="AT2501" s="501"/>
      <c r="AU2501" s="501"/>
      <c r="AV2501" s="501"/>
      <c r="AW2501" s="501"/>
      <c r="AX2501" s="501"/>
      <c r="AY2501" s="501"/>
      <c r="AZ2501" s="501"/>
      <c r="BA2501" s="501"/>
      <c r="BB2501" s="501"/>
      <c r="BC2501" s="501"/>
      <c r="BD2501" s="501"/>
      <c r="BE2501" s="501"/>
      <c r="BF2501" s="501"/>
      <c r="BG2501" s="501"/>
      <c r="BH2501" s="501"/>
      <c r="BI2501" s="501"/>
      <c r="BJ2501" s="501"/>
      <c r="BK2501" s="501"/>
      <c r="BL2501" s="501"/>
      <c r="BM2501" s="501"/>
      <c r="BN2501" s="501"/>
      <c r="BO2501" s="501"/>
      <c r="BP2501" s="501"/>
      <c r="BQ2501" s="501"/>
      <c r="BR2501" s="501"/>
      <c r="BS2501" s="501"/>
      <c r="BT2501" s="501"/>
      <c r="BU2501" s="501"/>
      <c r="BV2501" s="501"/>
      <c r="BW2501" s="501"/>
      <c r="BX2501" s="501"/>
      <c r="BY2501" s="501"/>
      <c r="BZ2501" s="501"/>
      <c r="CA2501" s="501"/>
      <c r="CB2501" s="501"/>
      <c r="CC2501" s="501"/>
      <c r="CD2501" s="501"/>
      <c r="CE2501" s="501"/>
      <c r="CF2501" s="501"/>
      <c r="CG2501" s="501"/>
      <c r="CH2501" s="501"/>
      <c r="CI2501" s="501"/>
      <c r="CJ2501" s="501"/>
      <c r="CK2501" s="501"/>
      <c r="CL2501" s="501"/>
      <c r="CM2501" s="501"/>
      <c r="CN2501" s="501"/>
      <c r="CO2501" s="501"/>
      <c r="CP2501" s="501"/>
      <c r="CQ2501" s="501"/>
      <c r="CR2501" s="501"/>
      <c r="CS2501" s="501"/>
      <c r="CT2501" s="501"/>
      <c r="CU2501" s="501"/>
      <c r="CV2501" s="501"/>
      <c r="CW2501" s="501"/>
      <c r="CX2501" s="501"/>
      <c r="CY2501" s="501"/>
      <c r="CZ2501" s="501"/>
      <c r="DA2501" s="501"/>
      <c r="DB2501" s="501"/>
      <c r="DC2501" s="501"/>
      <c r="DD2501" s="501"/>
      <c r="DE2501" s="501"/>
      <c r="DF2501" s="501"/>
      <c r="DG2501" s="501"/>
      <c r="DH2501" s="501"/>
      <c r="DI2501" s="501"/>
      <c r="DJ2501" s="501"/>
      <c r="DK2501" s="501"/>
      <c r="DL2501" s="501"/>
      <c r="DM2501" s="501"/>
      <c r="DN2501" s="501"/>
      <c r="DO2501" s="501"/>
      <c r="DP2501" s="501"/>
      <c r="DQ2501" s="501"/>
      <c r="DR2501" s="501"/>
      <c r="DS2501" s="501"/>
      <c r="DT2501" s="501"/>
      <c r="DU2501" s="501"/>
      <c r="DV2501" s="501"/>
      <c r="DW2501" s="501"/>
      <c r="DX2501" s="501"/>
      <c r="DY2501" s="501"/>
      <c r="DZ2501" s="501"/>
      <c r="EA2501" s="501"/>
      <c r="EB2501" s="501"/>
      <c r="EC2501" s="501"/>
      <c r="ED2501" s="501"/>
      <c r="EE2501" s="501"/>
      <c r="EF2501" s="501"/>
      <c r="EG2501" s="501"/>
      <c r="EH2501" s="501"/>
      <c r="EI2501" s="501"/>
      <c r="EJ2501" s="501"/>
      <c r="EK2501" s="501"/>
      <c r="EL2501" s="501"/>
      <c r="EM2501" s="501"/>
      <c r="EN2501" s="501"/>
      <c r="EO2501" s="501"/>
      <c r="EP2501" s="501"/>
      <c r="EQ2501" s="501"/>
      <c r="ER2501" s="501"/>
      <c r="ES2501" s="501"/>
      <c r="ET2501" s="501"/>
      <c r="EU2501" s="501"/>
      <c r="EV2501" s="501"/>
      <c r="EW2501" s="501"/>
      <c r="EX2501" s="501"/>
      <c r="EY2501" s="501"/>
      <c r="EZ2501" s="501"/>
      <c r="FA2501" s="501"/>
      <c r="FB2501" s="501"/>
      <c r="FC2501" s="501"/>
      <c r="FD2501" s="501"/>
      <c r="FE2501" s="501"/>
      <c r="FF2501" s="501"/>
      <c r="FG2501" s="501"/>
      <c r="FH2501" s="501"/>
      <c r="FI2501" s="501"/>
      <c r="FJ2501" s="501"/>
      <c r="FK2501" s="501"/>
      <c r="FL2501" s="501"/>
      <c r="FM2501" s="501"/>
      <c r="FN2501" s="501"/>
      <c r="FO2501" s="501"/>
      <c r="FP2501" s="501"/>
      <c r="FQ2501" s="501"/>
      <c r="FR2501" s="501"/>
      <c r="FS2501" s="501"/>
      <c r="FT2501" s="501"/>
      <c r="FU2501" s="501"/>
      <c r="FV2501" s="501"/>
      <c r="FW2501" s="501"/>
      <c r="FX2501" s="501"/>
      <c r="FY2501" s="501"/>
      <c r="FZ2501" s="501"/>
      <c r="GA2501" s="501"/>
      <c r="GB2501" s="501"/>
      <c r="GC2501" s="501"/>
      <c r="GD2501" s="501"/>
      <c r="GE2501" s="501"/>
      <c r="GF2501" s="501"/>
      <c r="GG2501" s="501"/>
      <c r="GH2501" s="501"/>
      <c r="GI2501" s="501"/>
      <c r="GJ2501" s="501"/>
      <c r="GK2501" s="501"/>
      <c r="GL2501" s="501"/>
      <c r="GM2501" s="501"/>
      <c r="GN2501" s="501"/>
      <c r="GO2501" s="501"/>
      <c r="GP2501" s="501"/>
      <c r="GQ2501" s="501"/>
      <c r="GR2501" s="501"/>
      <c r="GS2501" s="501"/>
      <c r="GT2501" s="501"/>
      <c r="GU2501" s="501"/>
      <c r="GV2501" s="501"/>
      <c r="GW2501" s="501"/>
      <c r="GX2501" s="501"/>
      <c r="GY2501" s="501"/>
      <c r="GZ2501" s="501"/>
      <c r="HA2501" s="501"/>
      <c r="HB2501" s="501"/>
      <c r="HC2501" s="501"/>
      <c r="HD2501" s="501"/>
      <c r="HE2501" s="501"/>
      <c r="HF2501" s="501"/>
      <c r="HG2501" s="501"/>
      <c r="HH2501" s="501"/>
      <c r="HI2501" s="501"/>
      <c r="HJ2501" s="501"/>
      <c r="HK2501" s="501"/>
      <c r="HL2501" s="501"/>
      <c r="HM2501" s="501"/>
      <c r="HN2501" s="501"/>
      <c r="HO2501" s="501"/>
      <c r="HP2501" s="501"/>
      <c r="HQ2501" s="501"/>
      <c r="HR2501" s="501"/>
      <c r="HS2501" s="501"/>
      <c r="HT2501" s="501"/>
      <c r="HU2501" s="501"/>
      <c r="HV2501" s="501"/>
      <c r="HW2501" s="501"/>
      <c r="HX2501" s="501"/>
      <c r="HY2501" s="501"/>
      <c r="HZ2501" s="501"/>
      <c r="IA2501" s="501"/>
      <c r="IB2501" s="501"/>
      <c r="IC2501" s="501"/>
      <c r="ID2501" s="501"/>
      <c r="IE2501" s="501"/>
      <c r="IF2501" s="501"/>
      <c r="IG2501" s="501"/>
      <c r="IH2501" s="501"/>
      <c r="II2501" s="501"/>
      <c r="IJ2501" s="501"/>
      <c r="IK2501" s="501"/>
      <c r="IL2501" s="501"/>
      <c r="IM2501" s="501"/>
      <c r="IN2501" s="501"/>
      <c r="IO2501" s="501"/>
      <c r="IP2501" s="501"/>
      <c r="IQ2501" s="501"/>
      <c r="IR2501" s="501"/>
      <c r="IS2501" s="501"/>
      <c r="IT2501" s="501"/>
      <c r="IU2501" s="501"/>
    </row>
    <row r="2502" spans="1:255" s="877" customFormat="1" ht="24" customHeight="1">
      <c r="A2502" s="501"/>
      <c r="B2502" s="501"/>
      <c r="C2502" s="501"/>
      <c r="D2502" s="501"/>
      <c r="E2502" s="501"/>
      <c r="F2502" s="501"/>
      <c r="G2502" s="915"/>
      <c r="H2502" s="501"/>
      <c r="I2502" s="874"/>
      <c r="J2502" s="501"/>
      <c r="K2502" s="501"/>
      <c r="L2502" s="874"/>
      <c r="M2502" s="554"/>
      <c r="N2502" s="501"/>
      <c r="O2502" s="501"/>
      <c r="P2502" s="902"/>
      <c r="Q2502" s="501"/>
      <c r="R2502" s="501"/>
      <c r="S2502" s="874"/>
      <c r="T2502" s="874"/>
      <c r="V2502" s="501"/>
      <c r="W2502" s="501"/>
      <c r="X2502" s="501"/>
      <c r="Y2502" s="501"/>
      <c r="Z2502" s="501"/>
      <c r="AA2502" s="501"/>
      <c r="AB2502" s="501"/>
      <c r="AC2502" s="501"/>
      <c r="AD2502" s="501"/>
      <c r="AE2502" s="501"/>
      <c r="AF2502" s="501"/>
      <c r="AG2502" s="501"/>
      <c r="AH2502" s="501"/>
      <c r="AI2502" s="501"/>
      <c r="AJ2502" s="501"/>
      <c r="AK2502" s="501"/>
      <c r="AL2502" s="501"/>
      <c r="AM2502" s="501"/>
      <c r="AN2502" s="501"/>
      <c r="AO2502" s="501"/>
      <c r="AP2502" s="501"/>
      <c r="AQ2502" s="501"/>
      <c r="AR2502" s="501"/>
      <c r="AS2502" s="501"/>
      <c r="AT2502" s="501"/>
      <c r="AU2502" s="501"/>
      <c r="AV2502" s="501"/>
      <c r="AW2502" s="501"/>
      <c r="AX2502" s="501"/>
      <c r="AY2502" s="501"/>
      <c r="AZ2502" s="501"/>
      <c r="BA2502" s="501"/>
      <c r="BB2502" s="501"/>
      <c r="BC2502" s="501"/>
      <c r="BD2502" s="501"/>
      <c r="BE2502" s="501"/>
      <c r="BF2502" s="501"/>
      <c r="BG2502" s="501"/>
      <c r="BH2502" s="501"/>
      <c r="BI2502" s="501"/>
      <c r="BJ2502" s="501"/>
      <c r="BK2502" s="501"/>
      <c r="BL2502" s="501"/>
      <c r="BM2502" s="501"/>
      <c r="BN2502" s="501"/>
      <c r="BO2502" s="501"/>
      <c r="BP2502" s="501"/>
      <c r="BQ2502" s="501"/>
      <c r="BR2502" s="501"/>
      <c r="BS2502" s="501"/>
      <c r="BT2502" s="501"/>
      <c r="BU2502" s="501"/>
      <c r="BV2502" s="501"/>
      <c r="BW2502" s="501"/>
      <c r="BX2502" s="501"/>
      <c r="BY2502" s="501"/>
      <c r="BZ2502" s="501"/>
      <c r="CA2502" s="501"/>
      <c r="CB2502" s="501"/>
      <c r="CC2502" s="501"/>
      <c r="CD2502" s="501"/>
      <c r="CE2502" s="501"/>
      <c r="CF2502" s="501"/>
      <c r="CG2502" s="501"/>
      <c r="CH2502" s="501"/>
      <c r="CI2502" s="501"/>
      <c r="CJ2502" s="501"/>
      <c r="CK2502" s="501"/>
      <c r="CL2502" s="501"/>
      <c r="CM2502" s="501"/>
      <c r="CN2502" s="501"/>
      <c r="CO2502" s="501"/>
      <c r="CP2502" s="501"/>
      <c r="CQ2502" s="501"/>
      <c r="CR2502" s="501"/>
      <c r="CS2502" s="501"/>
      <c r="CT2502" s="501"/>
      <c r="CU2502" s="501"/>
      <c r="CV2502" s="501"/>
      <c r="CW2502" s="501"/>
      <c r="CX2502" s="501"/>
      <c r="CY2502" s="501"/>
      <c r="CZ2502" s="501"/>
      <c r="DA2502" s="501"/>
      <c r="DB2502" s="501"/>
      <c r="DC2502" s="501"/>
      <c r="DD2502" s="501"/>
      <c r="DE2502" s="501"/>
      <c r="DF2502" s="501"/>
      <c r="DG2502" s="501"/>
      <c r="DH2502" s="501"/>
      <c r="DI2502" s="501"/>
      <c r="DJ2502" s="501"/>
      <c r="DK2502" s="501"/>
      <c r="DL2502" s="501"/>
      <c r="DM2502" s="501"/>
      <c r="DN2502" s="501"/>
      <c r="DO2502" s="501"/>
      <c r="DP2502" s="501"/>
      <c r="DQ2502" s="501"/>
      <c r="DR2502" s="501"/>
      <c r="DS2502" s="501"/>
      <c r="DT2502" s="501"/>
      <c r="DU2502" s="501"/>
      <c r="DV2502" s="501"/>
      <c r="DW2502" s="501"/>
      <c r="DX2502" s="501"/>
      <c r="DY2502" s="501"/>
      <c r="DZ2502" s="501"/>
      <c r="EA2502" s="501"/>
      <c r="EB2502" s="501"/>
      <c r="EC2502" s="501"/>
      <c r="ED2502" s="501"/>
      <c r="EE2502" s="501"/>
      <c r="EF2502" s="501"/>
      <c r="EG2502" s="501"/>
      <c r="EH2502" s="501"/>
      <c r="EI2502" s="501"/>
      <c r="EJ2502" s="501"/>
      <c r="EK2502" s="501"/>
      <c r="EL2502" s="501"/>
      <c r="EM2502" s="501"/>
      <c r="EN2502" s="501"/>
      <c r="EO2502" s="501"/>
      <c r="EP2502" s="501"/>
      <c r="EQ2502" s="501"/>
      <c r="ER2502" s="501"/>
      <c r="ES2502" s="501"/>
      <c r="ET2502" s="501"/>
      <c r="EU2502" s="501"/>
      <c r="EV2502" s="501"/>
      <c r="EW2502" s="501"/>
      <c r="EX2502" s="501"/>
      <c r="EY2502" s="501"/>
      <c r="EZ2502" s="501"/>
      <c r="FA2502" s="501"/>
      <c r="FB2502" s="501"/>
      <c r="FC2502" s="501"/>
      <c r="FD2502" s="501"/>
      <c r="FE2502" s="501"/>
      <c r="FF2502" s="501"/>
      <c r="FG2502" s="501"/>
      <c r="FH2502" s="501"/>
      <c r="FI2502" s="501"/>
      <c r="FJ2502" s="501"/>
      <c r="FK2502" s="501"/>
      <c r="FL2502" s="501"/>
      <c r="FM2502" s="501"/>
      <c r="FN2502" s="501"/>
      <c r="FO2502" s="501"/>
      <c r="FP2502" s="501"/>
      <c r="FQ2502" s="501"/>
      <c r="FR2502" s="501"/>
      <c r="FS2502" s="501"/>
      <c r="FT2502" s="501"/>
      <c r="FU2502" s="501"/>
      <c r="FV2502" s="501"/>
      <c r="FW2502" s="501"/>
      <c r="FX2502" s="501"/>
      <c r="FY2502" s="501"/>
      <c r="FZ2502" s="501"/>
      <c r="GA2502" s="501"/>
      <c r="GB2502" s="501"/>
      <c r="GC2502" s="501"/>
      <c r="GD2502" s="501"/>
      <c r="GE2502" s="501"/>
      <c r="GF2502" s="501"/>
      <c r="GG2502" s="501"/>
      <c r="GH2502" s="501"/>
      <c r="GI2502" s="501"/>
      <c r="GJ2502" s="501"/>
      <c r="GK2502" s="501"/>
      <c r="GL2502" s="501"/>
      <c r="GM2502" s="501"/>
      <c r="GN2502" s="501"/>
      <c r="GO2502" s="501"/>
      <c r="GP2502" s="501"/>
      <c r="GQ2502" s="501"/>
      <c r="GR2502" s="501"/>
      <c r="GS2502" s="501"/>
      <c r="GT2502" s="501"/>
      <c r="GU2502" s="501"/>
      <c r="GV2502" s="501"/>
      <c r="GW2502" s="501"/>
      <c r="GX2502" s="501"/>
      <c r="GY2502" s="501"/>
      <c r="GZ2502" s="501"/>
      <c r="HA2502" s="501"/>
      <c r="HB2502" s="501"/>
      <c r="HC2502" s="501"/>
      <c r="HD2502" s="501"/>
      <c r="HE2502" s="501"/>
      <c r="HF2502" s="501"/>
      <c r="HG2502" s="501"/>
      <c r="HH2502" s="501"/>
      <c r="HI2502" s="501"/>
      <c r="HJ2502" s="501"/>
      <c r="HK2502" s="501"/>
      <c r="HL2502" s="501"/>
      <c r="HM2502" s="501"/>
      <c r="HN2502" s="501"/>
      <c r="HO2502" s="501"/>
      <c r="HP2502" s="501"/>
      <c r="HQ2502" s="501"/>
      <c r="HR2502" s="501"/>
      <c r="HS2502" s="501"/>
      <c r="HT2502" s="501"/>
      <c r="HU2502" s="501"/>
      <c r="HV2502" s="501"/>
      <c r="HW2502" s="501"/>
      <c r="HX2502" s="501"/>
      <c r="HY2502" s="501"/>
      <c r="HZ2502" s="501"/>
      <c r="IA2502" s="501"/>
      <c r="IB2502" s="501"/>
      <c r="IC2502" s="501"/>
      <c r="ID2502" s="501"/>
      <c r="IE2502" s="501"/>
      <c r="IF2502" s="501"/>
      <c r="IG2502" s="501"/>
      <c r="IH2502" s="501"/>
      <c r="II2502" s="501"/>
      <c r="IJ2502" s="501"/>
      <c r="IK2502" s="501"/>
      <c r="IL2502" s="501"/>
      <c r="IM2502" s="501"/>
      <c r="IN2502" s="501"/>
      <c r="IO2502" s="501"/>
      <c r="IP2502" s="501"/>
      <c r="IQ2502" s="501"/>
      <c r="IR2502" s="501"/>
      <c r="IS2502" s="501"/>
      <c r="IT2502" s="501"/>
      <c r="IU2502" s="501"/>
    </row>
    <row r="2503" spans="1:255" s="877" customFormat="1" ht="24" customHeight="1">
      <c r="A2503" s="501"/>
      <c r="B2503" s="501"/>
      <c r="C2503" s="501"/>
      <c r="D2503" s="501"/>
      <c r="E2503" s="501"/>
      <c r="F2503" s="501"/>
      <c r="G2503" s="915"/>
      <c r="H2503" s="501"/>
      <c r="I2503" s="874"/>
      <c r="J2503" s="501"/>
      <c r="K2503" s="501"/>
      <c r="L2503" s="874"/>
      <c r="M2503" s="554"/>
      <c r="N2503" s="501"/>
      <c r="O2503" s="501"/>
      <c r="P2503" s="902"/>
      <c r="Q2503" s="501"/>
      <c r="R2503" s="903"/>
      <c r="S2503" s="874"/>
      <c r="T2503" s="874"/>
      <c r="V2503" s="501"/>
      <c r="W2503" s="501"/>
      <c r="X2503" s="501"/>
      <c r="Y2503" s="501"/>
      <c r="Z2503" s="501"/>
      <c r="AA2503" s="501"/>
      <c r="AB2503" s="501"/>
      <c r="AC2503" s="501"/>
      <c r="AD2503" s="501"/>
      <c r="AE2503" s="501"/>
      <c r="AF2503" s="501"/>
      <c r="AG2503" s="501"/>
      <c r="AH2503" s="501"/>
      <c r="AI2503" s="501"/>
      <c r="AJ2503" s="501"/>
      <c r="AK2503" s="501"/>
      <c r="AL2503" s="501"/>
      <c r="AM2503" s="501"/>
      <c r="AN2503" s="501"/>
      <c r="AO2503" s="501"/>
      <c r="AP2503" s="501"/>
      <c r="AQ2503" s="501"/>
      <c r="AR2503" s="501"/>
      <c r="AS2503" s="501"/>
      <c r="AT2503" s="501"/>
      <c r="AU2503" s="501"/>
      <c r="AV2503" s="501"/>
      <c r="AW2503" s="501"/>
      <c r="AX2503" s="501"/>
      <c r="AY2503" s="501"/>
      <c r="AZ2503" s="501"/>
      <c r="BA2503" s="501"/>
      <c r="BB2503" s="501"/>
      <c r="BC2503" s="501"/>
      <c r="BD2503" s="501"/>
      <c r="BE2503" s="501"/>
      <c r="BF2503" s="501"/>
      <c r="BG2503" s="501"/>
      <c r="BH2503" s="501"/>
      <c r="BI2503" s="501"/>
      <c r="BJ2503" s="501"/>
      <c r="BK2503" s="501"/>
      <c r="BL2503" s="501"/>
      <c r="BM2503" s="501"/>
      <c r="BN2503" s="501"/>
      <c r="BO2503" s="501"/>
      <c r="BP2503" s="501"/>
      <c r="BQ2503" s="501"/>
      <c r="BR2503" s="501"/>
      <c r="BS2503" s="501"/>
      <c r="BT2503" s="501"/>
      <c r="BU2503" s="501"/>
      <c r="BV2503" s="501"/>
      <c r="BW2503" s="501"/>
      <c r="BX2503" s="501"/>
      <c r="BY2503" s="501"/>
      <c r="BZ2503" s="501"/>
      <c r="CA2503" s="501"/>
      <c r="CB2503" s="501"/>
      <c r="CC2503" s="501"/>
      <c r="CD2503" s="501"/>
      <c r="CE2503" s="501"/>
      <c r="CF2503" s="501"/>
      <c r="CG2503" s="501"/>
      <c r="CH2503" s="501"/>
      <c r="CI2503" s="501"/>
      <c r="CJ2503" s="501"/>
      <c r="CK2503" s="501"/>
      <c r="CL2503" s="501"/>
      <c r="CM2503" s="501"/>
      <c r="CN2503" s="501"/>
      <c r="CO2503" s="501"/>
      <c r="CP2503" s="501"/>
      <c r="CQ2503" s="501"/>
      <c r="CR2503" s="501"/>
      <c r="CS2503" s="501"/>
      <c r="CT2503" s="501"/>
      <c r="CU2503" s="501"/>
      <c r="CV2503" s="501"/>
      <c r="CW2503" s="501"/>
      <c r="CX2503" s="501"/>
      <c r="CY2503" s="501"/>
      <c r="CZ2503" s="501"/>
      <c r="DA2503" s="501"/>
      <c r="DB2503" s="501"/>
      <c r="DC2503" s="501"/>
      <c r="DD2503" s="501"/>
      <c r="DE2503" s="501"/>
      <c r="DF2503" s="501"/>
      <c r="DG2503" s="501"/>
      <c r="DH2503" s="501"/>
      <c r="DI2503" s="501"/>
      <c r="DJ2503" s="501"/>
      <c r="DK2503" s="501"/>
      <c r="DL2503" s="501"/>
      <c r="DM2503" s="501"/>
      <c r="DN2503" s="501"/>
      <c r="DO2503" s="501"/>
      <c r="DP2503" s="501"/>
      <c r="DQ2503" s="501"/>
      <c r="DR2503" s="501"/>
      <c r="DS2503" s="501"/>
      <c r="DT2503" s="501"/>
      <c r="DU2503" s="501"/>
      <c r="DV2503" s="501"/>
      <c r="DW2503" s="501"/>
      <c r="DX2503" s="501"/>
      <c r="DY2503" s="501"/>
      <c r="DZ2503" s="501"/>
      <c r="EA2503" s="501"/>
      <c r="EB2503" s="501"/>
      <c r="EC2503" s="501"/>
      <c r="ED2503" s="501"/>
      <c r="EE2503" s="501"/>
      <c r="EF2503" s="501"/>
      <c r="EG2503" s="501"/>
      <c r="EH2503" s="501"/>
      <c r="EI2503" s="501"/>
      <c r="EJ2503" s="501"/>
      <c r="EK2503" s="501"/>
      <c r="EL2503" s="501"/>
      <c r="EM2503" s="501"/>
      <c r="EN2503" s="501"/>
      <c r="EO2503" s="501"/>
      <c r="EP2503" s="501"/>
      <c r="EQ2503" s="501"/>
      <c r="ER2503" s="501"/>
      <c r="ES2503" s="501"/>
      <c r="ET2503" s="501"/>
      <c r="EU2503" s="501"/>
      <c r="EV2503" s="501"/>
      <c r="EW2503" s="501"/>
      <c r="EX2503" s="501"/>
      <c r="EY2503" s="501"/>
      <c r="EZ2503" s="501"/>
      <c r="FA2503" s="501"/>
      <c r="FB2503" s="501"/>
      <c r="FC2503" s="501"/>
      <c r="FD2503" s="501"/>
      <c r="FE2503" s="501"/>
      <c r="FF2503" s="501"/>
      <c r="FG2503" s="501"/>
      <c r="FH2503" s="501"/>
      <c r="FI2503" s="501"/>
      <c r="FJ2503" s="501"/>
      <c r="FK2503" s="501"/>
      <c r="FL2503" s="501"/>
      <c r="FM2503" s="501"/>
      <c r="FN2503" s="501"/>
      <c r="FO2503" s="501"/>
      <c r="FP2503" s="501"/>
      <c r="FQ2503" s="501"/>
      <c r="FR2503" s="501"/>
      <c r="FS2503" s="501"/>
      <c r="FT2503" s="501"/>
      <c r="FU2503" s="501"/>
      <c r="FV2503" s="501"/>
      <c r="FW2503" s="501"/>
      <c r="FX2503" s="501"/>
      <c r="FY2503" s="501"/>
      <c r="FZ2503" s="501"/>
      <c r="GA2503" s="501"/>
      <c r="GB2503" s="501"/>
      <c r="GC2503" s="501"/>
      <c r="GD2503" s="501"/>
      <c r="GE2503" s="501"/>
      <c r="GF2503" s="501"/>
      <c r="GG2503" s="501"/>
      <c r="GH2503" s="501"/>
      <c r="GI2503" s="501"/>
      <c r="GJ2503" s="501"/>
      <c r="GK2503" s="501"/>
      <c r="GL2503" s="501"/>
      <c r="GM2503" s="501"/>
      <c r="GN2503" s="501"/>
      <c r="GO2503" s="501"/>
      <c r="GP2503" s="501"/>
      <c r="GQ2503" s="501"/>
      <c r="GR2503" s="501"/>
      <c r="GS2503" s="501"/>
      <c r="GT2503" s="501"/>
      <c r="GU2503" s="501"/>
      <c r="GV2503" s="501"/>
      <c r="GW2503" s="501"/>
      <c r="GX2503" s="501"/>
      <c r="GY2503" s="501"/>
      <c r="GZ2503" s="501"/>
      <c r="HA2503" s="501"/>
      <c r="HB2503" s="501"/>
      <c r="HC2503" s="501"/>
      <c r="HD2503" s="501"/>
      <c r="HE2503" s="501"/>
      <c r="HF2503" s="501"/>
      <c r="HG2503" s="501"/>
      <c r="HH2503" s="501"/>
      <c r="HI2503" s="501"/>
      <c r="HJ2503" s="501"/>
      <c r="HK2503" s="501"/>
      <c r="HL2503" s="501"/>
      <c r="HM2503" s="501"/>
      <c r="HN2503" s="501"/>
      <c r="HO2503" s="501"/>
      <c r="HP2503" s="501"/>
      <c r="HQ2503" s="501"/>
      <c r="HR2503" s="501"/>
      <c r="HS2503" s="501"/>
      <c r="HT2503" s="501"/>
      <c r="HU2503" s="501"/>
      <c r="HV2503" s="501"/>
      <c r="HW2503" s="501"/>
      <c r="HX2503" s="501"/>
      <c r="HY2503" s="501"/>
      <c r="HZ2503" s="501"/>
      <c r="IA2503" s="501"/>
      <c r="IB2503" s="501"/>
      <c r="IC2503" s="501"/>
      <c r="ID2503" s="501"/>
      <c r="IE2503" s="501"/>
      <c r="IF2503" s="501"/>
      <c r="IG2503" s="501"/>
      <c r="IH2503" s="501"/>
      <c r="II2503" s="501"/>
      <c r="IJ2503" s="501"/>
      <c r="IK2503" s="501"/>
      <c r="IL2503" s="501"/>
      <c r="IM2503" s="501"/>
      <c r="IN2503" s="501"/>
      <c r="IO2503" s="501"/>
      <c r="IP2503" s="501"/>
      <c r="IQ2503" s="501"/>
      <c r="IR2503" s="501"/>
      <c r="IS2503" s="501"/>
      <c r="IT2503" s="501"/>
      <c r="IU2503" s="501"/>
    </row>
    <row r="2504" spans="1:255" s="877" customFormat="1" ht="24" customHeight="1">
      <c r="A2504" s="501"/>
      <c r="B2504" s="501"/>
      <c r="C2504" s="501"/>
      <c r="D2504" s="501"/>
      <c r="E2504" s="501"/>
      <c r="F2504" s="501"/>
      <c r="G2504" s="915"/>
      <c r="H2504" s="501"/>
      <c r="I2504" s="874"/>
      <c r="J2504" s="501"/>
      <c r="K2504" s="933"/>
      <c r="L2504" s="874"/>
      <c r="M2504" s="554"/>
      <c r="N2504" s="501"/>
      <c r="O2504" s="501"/>
      <c r="P2504" s="902"/>
      <c r="Q2504" s="501"/>
      <c r="R2504" s="927"/>
      <c r="S2504" s="874"/>
      <c r="T2504" s="874"/>
      <c r="V2504" s="501"/>
      <c r="W2504" s="501"/>
      <c r="X2504" s="501"/>
      <c r="Y2504" s="501"/>
      <c r="Z2504" s="501"/>
      <c r="AA2504" s="501"/>
      <c r="AB2504" s="501"/>
      <c r="AC2504" s="501"/>
      <c r="AD2504" s="501"/>
      <c r="AE2504" s="501"/>
      <c r="AF2504" s="501"/>
      <c r="AG2504" s="501"/>
      <c r="AH2504" s="501"/>
      <c r="AI2504" s="501"/>
      <c r="AJ2504" s="501"/>
      <c r="AK2504" s="501"/>
      <c r="AL2504" s="501"/>
      <c r="AM2504" s="501"/>
      <c r="AN2504" s="501"/>
      <c r="AO2504" s="501"/>
      <c r="AP2504" s="501"/>
      <c r="AQ2504" s="501"/>
      <c r="AR2504" s="501"/>
      <c r="AS2504" s="501"/>
      <c r="AT2504" s="501"/>
      <c r="AU2504" s="501"/>
      <c r="AV2504" s="501"/>
      <c r="AW2504" s="501"/>
      <c r="AX2504" s="501"/>
      <c r="AY2504" s="501"/>
      <c r="AZ2504" s="501"/>
      <c r="BA2504" s="501"/>
      <c r="BB2504" s="501"/>
      <c r="BC2504" s="501"/>
      <c r="BD2504" s="501"/>
      <c r="BE2504" s="501"/>
      <c r="BF2504" s="501"/>
      <c r="BG2504" s="501"/>
      <c r="BH2504" s="501"/>
      <c r="BI2504" s="501"/>
      <c r="BJ2504" s="501"/>
      <c r="BK2504" s="501"/>
      <c r="BL2504" s="501"/>
      <c r="BM2504" s="501"/>
      <c r="BN2504" s="501"/>
      <c r="BO2504" s="501"/>
      <c r="BP2504" s="501"/>
      <c r="BQ2504" s="501"/>
      <c r="BR2504" s="501"/>
      <c r="BS2504" s="501"/>
      <c r="BT2504" s="501"/>
      <c r="BU2504" s="501"/>
      <c r="BV2504" s="501"/>
      <c r="BW2504" s="501"/>
      <c r="BX2504" s="501"/>
      <c r="BY2504" s="501"/>
      <c r="BZ2504" s="501"/>
      <c r="CA2504" s="501"/>
      <c r="CB2504" s="501"/>
      <c r="CC2504" s="501"/>
      <c r="CD2504" s="501"/>
      <c r="CE2504" s="501"/>
      <c r="CF2504" s="501"/>
      <c r="CG2504" s="501"/>
      <c r="CH2504" s="501"/>
      <c r="CI2504" s="501"/>
      <c r="CJ2504" s="501"/>
      <c r="CK2504" s="501"/>
      <c r="CL2504" s="501"/>
      <c r="CM2504" s="501"/>
      <c r="CN2504" s="501"/>
      <c r="CO2504" s="501"/>
      <c r="CP2504" s="501"/>
      <c r="CQ2504" s="501"/>
      <c r="CR2504" s="501"/>
      <c r="CS2504" s="501"/>
      <c r="CT2504" s="501"/>
      <c r="CU2504" s="501"/>
      <c r="CV2504" s="501"/>
      <c r="CW2504" s="501"/>
      <c r="CX2504" s="501"/>
      <c r="CY2504" s="501"/>
      <c r="CZ2504" s="501"/>
      <c r="DA2504" s="501"/>
      <c r="DB2504" s="501"/>
      <c r="DC2504" s="501"/>
      <c r="DD2504" s="501"/>
      <c r="DE2504" s="501"/>
      <c r="DF2504" s="501"/>
      <c r="DG2504" s="501"/>
      <c r="DH2504" s="501"/>
      <c r="DI2504" s="501"/>
      <c r="DJ2504" s="501"/>
      <c r="DK2504" s="501"/>
      <c r="DL2504" s="501"/>
      <c r="DM2504" s="501"/>
      <c r="DN2504" s="501"/>
      <c r="DO2504" s="501"/>
      <c r="DP2504" s="501"/>
      <c r="DQ2504" s="501"/>
      <c r="DR2504" s="501"/>
      <c r="DS2504" s="501"/>
      <c r="DT2504" s="501"/>
      <c r="DU2504" s="501"/>
      <c r="DV2504" s="501"/>
      <c r="DW2504" s="501"/>
      <c r="DX2504" s="501"/>
      <c r="DY2504" s="501"/>
      <c r="DZ2504" s="501"/>
      <c r="EA2504" s="501"/>
      <c r="EB2504" s="501"/>
      <c r="EC2504" s="501"/>
      <c r="ED2504" s="501"/>
      <c r="EE2504" s="501"/>
      <c r="EF2504" s="501"/>
      <c r="EG2504" s="501"/>
      <c r="EH2504" s="501"/>
      <c r="EI2504" s="501"/>
      <c r="EJ2504" s="501"/>
      <c r="EK2504" s="501"/>
      <c r="EL2504" s="501"/>
      <c r="EM2504" s="501"/>
      <c r="EN2504" s="501"/>
      <c r="EO2504" s="501"/>
      <c r="EP2504" s="501"/>
      <c r="EQ2504" s="501"/>
      <c r="ER2504" s="501"/>
      <c r="ES2504" s="501"/>
      <c r="ET2504" s="501"/>
      <c r="EU2504" s="501"/>
      <c r="EV2504" s="501"/>
      <c r="EW2504" s="501"/>
      <c r="EX2504" s="501"/>
      <c r="EY2504" s="501"/>
      <c r="EZ2504" s="501"/>
      <c r="FA2504" s="501"/>
      <c r="FB2504" s="501"/>
      <c r="FC2504" s="501"/>
      <c r="FD2504" s="501"/>
      <c r="FE2504" s="501"/>
      <c r="FF2504" s="501"/>
      <c r="FG2504" s="501"/>
      <c r="FH2504" s="501"/>
      <c r="FI2504" s="501"/>
      <c r="FJ2504" s="501"/>
      <c r="FK2504" s="501"/>
      <c r="FL2504" s="501"/>
      <c r="FM2504" s="501"/>
      <c r="FN2504" s="501"/>
      <c r="FO2504" s="501"/>
      <c r="FP2504" s="501"/>
      <c r="FQ2504" s="501"/>
      <c r="FR2504" s="501"/>
      <c r="FS2504" s="501"/>
      <c r="FT2504" s="501"/>
      <c r="FU2504" s="501"/>
      <c r="FV2504" s="501"/>
      <c r="FW2504" s="501"/>
      <c r="FX2504" s="501"/>
      <c r="FY2504" s="501"/>
      <c r="FZ2504" s="501"/>
      <c r="GA2504" s="501"/>
      <c r="GB2504" s="501"/>
      <c r="GC2504" s="501"/>
      <c r="GD2504" s="501"/>
      <c r="GE2504" s="501"/>
      <c r="GF2504" s="501"/>
      <c r="GG2504" s="501"/>
      <c r="GH2504" s="501"/>
      <c r="GI2504" s="501"/>
      <c r="GJ2504" s="501"/>
      <c r="GK2504" s="501"/>
      <c r="GL2504" s="501"/>
      <c r="GM2504" s="501"/>
      <c r="GN2504" s="501"/>
      <c r="GO2504" s="501"/>
      <c r="GP2504" s="501"/>
      <c r="GQ2504" s="501"/>
      <c r="GR2504" s="501"/>
      <c r="GS2504" s="501"/>
      <c r="GT2504" s="501"/>
      <c r="GU2504" s="501"/>
      <c r="GV2504" s="501"/>
      <c r="GW2504" s="501"/>
      <c r="GX2504" s="501"/>
      <c r="GY2504" s="501"/>
      <c r="GZ2504" s="501"/>
      <c r="HA2504" s="501"/>
      <c r="HB2504" s="501"/>
      <c r="HC2504" s="501"/>
      <c r="HD2504" s="501"/>
      <c r="HE2504" s="501"/>
      <c r="HF2504" s="501"/>
      <c r="HG2504" s="501"/>
      <c r="HH2504" s="501"/>
      <c r="HI2504" s="501"/>
      <c r="HJ2504" s="501"/>
      <c r="HK2504" s="501"/>
      <c r="HL2504" s="501"/>
      <c r="HM2504" s="501"/>
      <c r="HN2504" s="501"/>
      <c r="HO2504" s="501"/>
      <c r="HP2504" s="501"/>
      <c r="HQ2504" s="501"/>
      <c r="HR2504" s="501"/>
      <c r="HS2504" s="501"/>
      <c r="HT2504" s="501"/>
      <c r="HU2504" s="501"/>
      <c r="HV2504" s="501"/>
      <c r="HW2504" s="501"/>
      <c r="HX2504" s="501"/>
      <c r="HY2504" s="501"/>
      <c r="HZ2504" s="501"/>
      <c r="IA2504" s="501"/>
      <c r="IB2504" s="501"/>
      <c r="IC2504" s="501"/>
      <c r="ID2504" s="501"/>
      <c r="IE2504" s="501"/>
      <c r="IF2504" s="501"/>
      <c r="IG2504" s="501"/>
      <c r="IH2504" s="501"/>
      <c r="II2504" s="501"/>
      <c r="IJ2504" s="501"/>
      <c r="IK2504" s="501"/>
      <c r="IL2504" s="501"/>
      <c r="IM2504" s="501"/>
      <c r="IN2504" s="501"/>
      <c r="IO2504" s="501"/>
      <c r="IP2504" s="501"/>
      <c r="IQ2504" s="501"/>
      <c r="IR2504" s="501"/>
      <c r="IS2504" s="501"/>
      <c r="IT2504" s="501"/>
      <c r="IU2504" s="501"/>
    </row>
    <row r="2505" spans="1:255" s="877" customFormat="1" ht="24" customHeight="1">
      <c r="A2505" s="501"/>
      <c r="B2505" s="501"/>
      <c r="C2505" s="501"/>
      <c r="D2505" s="501"/>
      <c r="E2505" s="501"/>
      <c r="F2505" s="501"/>
      <c r="G2505" s="915"/>
      <c r="H2505" s="501"/>
      <c r="I2505" s="874"/>
      <c r="J2505" s="501"/>
      <c r="K2505" s="501"/>
      <c r="L2505" s="874"/>
      <c r="M2505" s="1049"/>
      <c r="N2505" s="501"/>
      <c r="O2505" s="501"/>
      <c r="P2505" s="902"/>
      <c r="Q2505" s="501"/>
      <c r="R2505" s="903"/>
      <c r="S2505" s="874"/>
      <c r="T2505" s="501"/>
      <c r="V2505" s="501"/>
      <c r="W2505" s="501"/>
      <c r="X2505" s="501"/>
      <c r="Y2505" s="501"/>
      <c r="Z2505" s="501"/>
      <c r="AA2505" s="501"/>
      <c r="AB2505" s="501"/>
      <c r="AC2505" s="501"/>
      <c r="AD2505" s="501"/>
      <c r="AE2505" s="501"/>
      <c r="AF2505" s="501"/>
      <c r="AG2505" s="501"/>
      <c r="AH2505" s="501"/>
      <c r="AI2505" s="501"/>
      <c r="AJ2505" s="501"/>
      <c r="AK2505" s="501"/>
      <c r="AL2505" s="501"/>
      <c r="AM2505" s="501"/>
      <c r="AN2505" s="501"/>
      <c r="AO2505" s="501"/>
      <c r="AP2505" s="501"/>
      <c r="AQ2505" s="501"/>
      <c r="AR2505" s="501"/>
      <c r="AS2505" s="501"/>
      <c r="AT2505" s="501"/>
      <c r="AU2505" s="501"/>
      <c r="AV2505" s="501"/>
      <c r="AW2505" s="501"/>
      <c r="AX2505" s="501"/>
      <c r="AY2505" s="501"/>
      <c r="AZ2505" s="501"/>
      <c r="BA2505" s="501"/>
      <c r="BB2505" s="501"/>
      <c r="BC2505" s="501"/>
      <c r="BD2505" s="501"/>
      <c r="BE2505" s="501"/>
      <c r="BF2505" s="501"/>
      <c r="BG2505" s="501"/>
      <c r="BH2505" s="501"/>
      <c r="BI2505" s="501"/>
      <c r="BJ2505" s="501"/>
      <c r="BK2505" s="501"/>
      <c r="BL2505" s="501"/>
      <c r="BM2505" s="501"/>
      <c r="BN2505" s="501"/>
      <c r="BO2505" s="501"/>
      <c r="BP2505" s="501"/>
      <c r="BQ2505" s="501"/>
      <c r="BR2505" s="501"/>
      <c r="BS2505" s="501"/>
      <c r="BT2505" s="501"/>
      <c r="BU2505" s="501"/>
      <c r="BV2505" s="501"/>
      <c r="BW2505" s="501"/>
      <c r="BX2505" s="501"/>
      <c r="BY2505" s="501"/>
      <c r="BZ2505" s="501"/>
      <c r="CA2505" s="501"/>
      <c r="CB2505" s="501"/>
      <c r="CC2505" s="501"/>
      <c r="CD2505" s="501"/>
      <c r="CE2505" s="501"/>
      <c r="CF2505" s="501"/>
      <c r="CG2505" s="501"/>
      <c r="CH2505" s="501"/>
      <c r="CI2505" s="501"/>
      <c r="CJ2505" s="501"/>
      <c r="CK2505" s="501"/>
      <c r="CL2505" s="501"/>
      <c r="CM2505" s="501"/>
      <c r="CN2505" s="501"/>
      <c r="CO2505" s="501"/>
      <c r="CP2505" s="501"/>
      <c r="CQ2505" s="501"/>
      <c r="CR2505" s="501"/>
      <c r="CS2505" s="501"/>
      <c r="CT2505" s="501"/>
      <c r="CU2505" s="501"/>
      <c r="CV2505" s="501"/>
      <c r="CW2505" s="501"/>
      <c r="CX2505" s="501"/>
      <c r="CY2505" s="501"/>
      <c r="CZ2505" s="501"/>
      <c r="DA2505" s="501"/>
      <c r="DB2505" s="501"/>
      <c r="DC2505" s="501"/>
      <c r="DD2505" s="501"/>
      <c r="DE2505" s="501"/>
      <c r="DF2505" s="501"/>
      <c r="DG2505" s="501"/>
      <c r="DH2505" s="501"/>
      <c r="DI2505" s="501"/>
      <c r="DJ2505" s="501"/>
      <c r="DK2505" s="501"/>
      <c r="DL2505" s="501"/>
      <c r="DM2505" s="501"/>
      <c r="DN2505" s="501"/>
      <c r="DO2505" s="501"/>
      <c r="DP2505" s="501"/>
      <c r="DQ2505" s="501"/>
      <c r="DR2505" s="501"/>
      <c r="DS2505" s="501"/>
      <c r="DT2505" s="501"/>
      <c r="DU2505" s="501"/>
      <c r="DV2505" s="501"/>
      <c r="DW2505" s="501"/>
      <c r="DX2505" s="501"/>
      <c r="DY2505" s="501"/>
      <c r="DZ2505" s="501"/>
      <c r="EA2505" s="501"/>
      <c r="EB2505" s="501"/>
      <c r="EC2505" s="501"/>
      <c r="ED2505" s="501"/>
      <c r="EE2505" s="501"/>
      <c r="EF2505" s="501"/>
      <c r="EG2505" s="501"/>
      <c r="EH2505" s="501"/>
      <c r="EI2505" s="501"/>
      <c r="EJ2505" s="501"/>
      <c r="EK2505" s="501"/>
      <c r="EL2505" s="501"/>
      <c r="EM2505" s="501"/>
      <c r="EN2505" s="501"/>
      <c r="EO2505" s="501"/>
      <c r="EP2505" s="501"/>
      <c r="EQ2505" s="501"/>
      <c r="ER2505" s="501"/>
      <c r="ES2505" s="501"/>
      <c r="ET2505" s="501"/>
      <c r="EU2505" s="501"/>
      <c r="EV2505" s="501"/>
      <c r="EW2505" s="501"/>
      <c r="EX2505" s="501"/>
      <c r="EY2505" s="501"/>
      <c r="EZ2505" s="501"/>
      <c r="FA2505" s="501"/>
      <c r="FB2505" s="501"/>
      <c r="FC2505" s="501"/>
      <c r="FD2505" s="501"/>
      <c r="FE2505" s="501"/>
      <c r="FF2505" s="501"/>
      <c r="FG2505" s="501"/>
      <c r="FH2505" s="501"/>
      <c r="FI2505" s="501"/>
      <c r="FJ2505" s="501"/>
      <c r="FK2505" s="501"/>
      <c r="FL2505" s="501"/>
      <c r="FM2505" s="501"/>
      <c r="FN2505" s="501"/>
      <c r="FO2505" s="501"/>
      <c r="FP2505" s="501"/>
      <c r="FQ2505" s="501"/>
      <c r="FR2505" s="501"/>
      <c r="FS2505" s="501"/>
      <c r="FT2505" s="501"/>
      <c r="FU2505" s="501"/>
      <c r="FV2505" s="501"/>
      <c r="FW2505" s="501"/>
      <c r="FX2505" s="501"/>
      <c r="FY2505" s="501"/>
      <c r="FZ2505" s="501"/>
      <c r="GA2505" s="501"/>
      <c r="GB2505" s="501"/>
      <c r="GC2505" s="501"/>
      <c r="GD2505" s="501"/>
      <c r="GE2505" s="501"/>
      <c r="GF2505" s="501"/>
      <c r="GG2505" s="501"/>
      <c r="GH2505" s="501"/>
      <c r="GI2505" s="501"/>
      <c r="GJ2505" s="501"/>
      <c r="GK2505" s="501"/>
      <c r="GL2505" s="501"/>
      <c r="GM2505" s="501"/>
      <c r="GN2505" s="501"/>
      <c r="GO2505" s="501"/>
      <c r="GP2505" s="501"/>
      <c r="GQ2505" s="501"/>
      <c r="GR2505" s="501"/>
      <c r="GS2505" s="501"/>
      <c r="GT2505" s="501"/>
      <c r="GU2505" s="501"/>
      <c r="GV2505" s="501"/>
      <c r="GW2505" s="501"/>
      <c r="GX2505" s="501"/>
      <c r="GY2505" s="501"/>
      <c r="GZ2505" s="501"/>
      <c r="HA2505" s="501"/>
      <c r="HB2505" s="501"/>
      <c r="HC2505" s="501"/>
      <c r="HD2505" s="501"/>
      <c r="HE2505" s="501"/>
      <c r="HF2505" s="501"/>
      <c r="HG2505" s="501"/>
      <c r="HH2505" s="501"/>
      <c r="HI2505" s="501"/>
      <c r="HJ2505" s="501"/>
      <c r="HK2505" s="501"/>
      <c r="HL2505" s="501"/>
      <c r="HM2505" s="501"/>
      <c r="HN2505" s="501"/>
      <c r="HO2505" s="501"/>
      <c r="HP2505" s="501"/>
      <c r="HQ2505" s="501"/>
      <c r="HR2505" s="501"/>
      <c r="HS2505" s="501"/>
      <c r="HT2505" s="501"/>
      <c r="HU2505" s="501"/>
      <c r="HV2505" s="501"/>
      <c r="HW2505" s="501"/>
      <c r="HX2505" s="501"/>
      <c r="HY2505" s="501"/>
      <c r="HZ2505" s="501"/>
      <c r="IA2505" s="501"/>
      <c r="IB2505" s="501"/>
      <c r="IC2505" s="501"/>
      <c r="ID2505" s="501"/>
      <c r="IE2505" s="501"/>
      <c r="IF2505" s="501"/>
      <c r="IG2505" s="501"/>
      <c r="IH2505" s="501"/>
      <c r="II2505" s="501"/>
      <c r="IJ2505" s="501"/>
      <c r="IK2505" s="501"/>
      <c r="IL2505" s="501"/>
      <c r="IM2505" s="501"/>
      <c r="IN2505" s="501"/>
      <c r="IO2505" s="501"/>
      <c r="IP2505" s="501"/>
      <c r="IQ2505" s="501"/>
      <c r="IR2505" s="501"/>
      <c r="IS2505" s="501"/>
      <c r="IT2505" s="501"/>
      <c r="IU2505" s="501"/>
    </row>
    <row r="2506" spans="1:255" s="877" customFormat="1" ht="24" customHeight="1">
      <c r="A2506" s="501"/>
      <c r="B2506" s="501"/>
      <c r="C2506" s="501"/>
      <c r="D2506" s="501"/>
      <c r="E2506" s="501"/>
      <c r="F2506" s="501"/>
      <c r="G2506" s="915"/>
      <c r="H2506" s="501"/>
      <c r="I2506" s="874"/>
      <c r="J2506" s="885"/>
      <c r="K2506" s="501"/>
      <c r="L2506" s="874"/>
      <c r="M2506" s="899"/>
      <c r="N2506" s="501"/>
      <c r="O2506" s="501"/>
      <c r="P2506" s="902"/>
      <c r="Q2506" s="501"/>
      <c r="R2506" s="501"/>
      <c r="S2506" s="874"/>
      <c r="T2506" s="501"/>
      <c r="V2506" s="501"/>
      <c r="W2506" s="501"/>
      <c r="X2506" s="501"/>
      <c r="Y2506" s="501"/>
      <c r="Z2506" s="501"/>
      <c r="AA2506" s="501"/>
      <c r="AB2506" s="501"/>
      <c r="AC2506" s="501"/>
      <c r="AD2506" s="501"/>
      <c r="AE2506" s="501"/>
      <c r="AF2506" s="501"/>
      <c r="AG2506" s="501"/>
      <c r="AH2506" s="501"/>
      <c r="AI2506" s="501"/>
      <c r="AJ2506" s="501"/>
      <c r="AK2506" s="501"/>
      <c r="AL2506" s="501"/>
      <c r="AM2506" s="501"/>
      <c r="AN2506" s="501"/>
      <c r="AO2506" s="501"/>
      <c r="AP2506" s="501"/>
      <c r="AQ2506" s="501"/>
      <c r="AR2506" s="501"/>
      <c r="AS2506" s="501"/>
      <c r="AT2506" s="501"/>
      <c r="AU2506" s="501"/>
      <c r="AV2506" s="501"/>
      <c r="AW2506" s="501"/>
      <c r="AX2506" s="501"/>
      <c r="AY2506" s="501"/>
      <c r="AZ2506" s="501"/>
      <c r="BA2506" s="501"/>
      <c r="BB2506" s="501"/>
      <c r="BC2506" s="501"/>
      <c r="BD2506" s="501"/>
      <c r="BE2506" s="501"/>
      <c r="BF2506" s="501"/>
      <c r="BG2506" s="501"/>
      <c r="BH2506" s="501"/>
      <c r="BI2506" s="501"/>
      <c r="BJ2506" s="501"/>
      <c r="BK2506" s="501"/>
      <c r="BL2506" s="501"/>
      <c r="BM2506" s="501"/>
      <c r="BN2506" s="501"/>
      <c r="BO2506" s="501"/>
      <c r="BP2506" s="501"/>
      <c r="BQ2506" s="501"/>
      <c r="BR2506" s="501"/>
      <c r="BS2506" s="501"/>
      <c r="BT2506" s="501"/>
      <c r="BU2506" s="501"/>
      <c r="BV2506" s="501"/>
      <c r="BW2506" s="501"/>
      <c r="BX2506" s="501"/>
      <c r="BY2506" s="501"/>
      <c r="BZ2506" s="501"/>
      <c r="CA2506" s="501"/>
      <c r="CB2506" s="501"/>
      <c r="CC2506" s="501"/>
      <c r="CD2506" s="501"/>
      <c r="CE2506" s="501"/>
      <c r="CF2506" s="501"/>
      <c r="CG2506" s="501"/>
      <c r="CH2506" s="501"/>
      <c r="CI2506" s="501"/>
      <c r="CJ2506" s="501"/>
      <c r="CK2506" s="501"/>
      <c r="CL2506" s="501"/>
      <c r="CM2506" s="501"/>
      <c r="CN2506" s="501"/>
      <c r="CO2506" s="501"/>
      <c r="CP2506" s="501"/>
      <c r="CQ2506" s="501"/>
      <c r="CR2506" s="501"/>
      <c r="CS2506" s="501"/>
      <c r="CT2506" s="501"/>
      <c r="CU2506" s="501"/>
      <c r="CV2506" s="501"/>
      <c r="CW2506" s="501"/>
      <c r="CX2506" s="501"/>
      <c r="CY2506" s="501"/>
      <c r="CZ2506" s="501"/>
      <c r="DA2506" s="501"/>
      <c r="DB2506" s="501"/>
      <c r="DC2506" s="501"/>
      <c r="DD2506" s="501"/>
      <c r="DE2506" s="501"/>
      <c r="DF2506" s="501"/>
      <c r="DG2506" s="501"/>
      <c r="DH2506" s="501"/>
      <c r="DI2506" s="501"/>
      <c r="DJ2506" s="501"/>
      <c r="DK2506" s="501"/>
      <c r="DL2506" s="501"/>
      <c r="DM2506" s="501"/>
      <c r="DN2506" s="501"/>
      <c r="DO2506" s="501"/>
      <c r="DP2506" s="501"/>
      <c r="DQ2506" s="501"/>
      <c r="DR2506" s="501"/>
      <c r="DS2506" s="501"/>
      <c r="DT2506" s="501"/>
      <c r="DU2506" s="501"/>
      <c r="DV2506" s="501"/>
      <c r="DW2506" s="501"/>
      <c r="DX2506" s="501"/>
      <c r="DY2506" s="501"/>
      <c r="DZ2506" s="501"/>
      <c r="EA2506" s="501"/>
      <c r="EB2506" s="501"/>
      <c r="EC2506" s="501"/>
      <c r="ED2506" s="501"/>
      <c r="EE2506" s="501"/>
      <c r="EF2506" s="501"/>
      <c r="EG2506" s="501"/>
      <c r="EH2506" s="501"/>
      <c r="EI2506" s="501"/>
      <c r="EJ2506" s="501"/>
      <c r="EK2506" s="501"/>
      <c r="EL2506" s="501"/>
      <c r="EM2506" s="501"/>
      <c r="EN2506" s="501"/>
      <c r="EO2506" s="501"/>
      <c r="EP2506" s="501"/>
      <c r="EQ2506" s="501"/>
      <c r="ER2506" s="501"/>
      <c r="ES2506" s="501"/>
      <c r="ET2506" s="501"/>
      <c r="EU2506" s="501"/>
      <c r="EV2506" s="501"/>
      <c r="EW2506" s="501"/>
      <c r="EX2506" s="501"/>
      <c r="EY2506" s="501"/>
      <c r="EZ2506" s="501"/>
      <c r="FA2506" s="501"/>
      <c r="FB2506" s="501"/>
      <c r="FC2506" s="501"/>
      <c r="FD2506" s="501"/>
      <c r="FE2506" s="501"/>
      <c r="FF2506" s="501"/>
      <c r="FG2506" s="501"/>
      <c r="FH2506" s="501"/>
      <c r="FI2506" s="501"/>
      <c r="FJ2506" s="501"/>
      <c r="FK2506" s="501"/>
      <c r="FL2506" s="501"/>
      <c r="FM2506" s="501"/>
      <c r="FN2506" s="501"/>
      <c r="FO2506" s="501"/>
      <c r="FP2506" s="501"/>
      <c r="FQ2506" s="501"/>
      <c r="FR2506" s="501"/>
      <c r="FS2506" s="501"/>
      <c r="FT2506" s="501"/>
      <c r="FU2506" s="501"/>
      <c r="FV2506" s="501"/>
      <c r="FW2506" s="501"/>
      <c r="FX2506" s="501"/>
      <c r="FY2506" s="501"/>
      <c r="FZ2506" s="501"/>
      <c r="GA2506" s="501"/>
      <c r="GB2506" s="501"/>
      <c r="GC2506" s="501"/>
      <c r="GD2506" s="501"/>
      <c r="GE2506" s="501"/>
      <c r="GF2506" s="501"/>
      <c r="GG2506" s="501"/>
      <c r="GH2506" s="501"/>
      <c r="GI2506" s="501"/>
      <c r="GJ2506" s="501"/>
      <c r="GK2506" s="501"/>
      <c r="GL2506" s="501"/>
      <c r="GM2506" s="501"/>
      <c r="GN2506" s="501"/>
      <c r="GO2506" s="501"/>
      <c r="GP2506" s="501"/>
      <c r="GQ2506" s="501"/>
      <c r="GR2506" s="501"/>
      <c r="GS2506" s="501"/>
      <c r="GT2506" s="501"/>
      <c r="GU2506" s="501"/>
      <c r="GV2506" s="501"/>
      <c r="GW2506" s="501"/>
      <c r="GX2506" s="501"/>
      <c r="GY2506" s="501"/>
      <c r="GZ2506" s="501"/>
      <c r="HA2506" s="501"/>
      <c r="HB2506" s="501"/>
      <c r="HC2506" s="501"/>
      <c r="HD2506" s="501"/>
      <c r="HE2506" s="501"/>
      <c r="HF2506" s="501"/>
      <c r="HG2506" s="501"/>
      <c r="HH2506" s="501"/>
      <c r="HI2506" s="501"/>
      <c r="HJ2506" s="501"/>
      <c r="HK2506" s="501"/>
      <c r="HL2506" s="501"/>
      <c r="HM2506" s="501"/>
      <c r="HN2506" s="501"/>
      <c r="HO2506" s="501"/>
      <c r="HP2506" s="501"/>
      <c r="HQ2506" s="501"/>
      <c r="HR2506" s="501"/>
      <c r="HS2506" s="501"/>
      <c r="HT2506" s="501"/>
      <c r="HU2506" s="501"/>
      <c r="HV2506" s="501"/>
      <c r="HW2506" s="501"/>
      <c r="HX2506" s="501"/>
      <c r="HY2506" s="501"/>
      <c r="HZ2506" s="501"/>
      <c r="IA2506" s="501"/>
      <c r="IB2506" s="501"/>
      <c r="IC2506" s="501"/>
      <c r="ID2506" s="501"/>
      <c r="IE2506" s="501"/>
      <c r="IF2506" s="501"/>
      <c r="IG2506" s="501"/>
      <c r="IH2506" s="501"/>
      <c r="II2506" s="501"/>
      <c r="IJ2506" s="501"/>
      <c r="IK2506" s="501"/>
      <c r="IL2506" s="501"/>
      <c r="IM2506" s="501"/>
      <c r="IN2506" s="501"/>
      <c r="IO2506" s="501"/>
      <c r="IP2506" s="501"/>
      <c r="IQ2506" s="501"/>
      <c r="IR2506" s="501"/>
      <c r="IS2506" s="501"/>
      <c r="IT2506" s="501"/>
      <c r="IU2506" s="501"/>
    </row>
    <row r="2507" spans="1:255" s="877" customFormat="1" ht="24" customHeight="1">
      <c r="A2507" s="501"/>
      <c r="B2507" s="501"/>
      <c r="C2507" s="501"/>
      <c r="D2507" s="501"/>
      <c r="E2507" s="501"/>
      <c r="F2507" s="501"/>
      <c r="G2507" s="915"/>
      <c r="H2507" s="501"/>
      <c r="I2507" s="874"/>
      <c r="J2507" s="501"/>
      <c r="K2507" s="501"/>
      <c r="L2507" s="874"/>
      <c r="M2507" s="1049"/>
      <c r="N2507" s="501"/>
      <c r="O2507" s="501"/>
      <c r="P2507" s="902"/>
      <c r="Q2507" s="501"/>
      <c r="R2507" s="501"/>
      <c r="S2507" s="874"/>
      <c r="T2507" s="501"/>
      <c r="V2507" s="501"/>
      <c r="W2507" s="501"/>
      <c r="X2507" s="501"/>
      <c r="Y2507" s="501"/>
      <c r="Z2507" s="501"/>
      <c r="AA2507" s="501"/>
      <c r="AB2507" s="501"/>
      <c r="AC2507" s="501"/>
      <c r="AD2507" s="501"/>
      <c r="AE2507" s="501"/>
      <c r="AF2507" s="501"/>
      <c r="AG2507" s="501"/>
      <c r="AH2507" s="501"/>
      <c r="AI2507" s="501"/>
      <c r="AJ2507" s="501"/>
      <c r="AK2507" s="501"/>
      <c r="AL2507" s="501"/>
      <c r="AM2507" s="501"/>
      <c r="AN2507" s="501"/>
      <c r="AO2507" s="501"/>
      <c r="AP2507" s="501"/>
      <c r="AQ2507" s="501"/>
      <c r="AR2507" s="501"/>
      <c r="AS2507" s="501"/>
      <c r="AT2507" s="501"/>
      <c r="AU2507" s="501"/>
      <c r="AV2507" s="501"/>
      <c r="AW2507" s="501"/>
      <c r="AX2507" s="501"/>
      <c r="AY2507" s="501"/>
      <c r="AZ2507" s="501"/>
      <c r="BA2507" s="501"/>
      <c r="BB2507" s="501"/>
      <c r="BC2507" s="501"/>
      <c r="BD2507" s="501"/>
      <c r="BE2507" s="501"/>
      <c r="BF2507" s="501"/>
      <c r="BG2507" s="501"/>
      <c r="BH2507" s="501"/>
      <c r="BI2507" s="501"/>
      <c r="BJ2507" s="501"/>
      <c r="BK2507" s="501"/>
      <c r="BL2507" s="501"/>
      <c r="BM2507" s="501"/>
      <c r="BN2507" s="501"/>
      <c r="BO2507" s="501"/>
      <c r="BP2507" s="501"/>
      <c r="BQ2507" s="501"/>
      <c r="BR2507" s="501"/>
      <c r="BS2507" s="501"/>
      <c r="BT2507" s="501"/>
      <c r="BU2507" s="501"/>
      <c r="BV2507" s="501"/>
      <c r="BW2507" s="501"/>
      <c r="BX2507" s="501"/>
      <c r="BY2507" s="501"/>
      <c r="BZ2507" s="501"/>
      <c r="CA2507" s="501"/>
      <c r="CB2507" s="501"/>
      <c r="CC2507" s="501"/>
      <c r="CD2507" s="501"/>
      <c r="CE2507" s="501"/>
      <c r="CF2507" s="501"/>
      <c r="CG2507" s="501"/>
      <c r="CH2507" s="501"/>
      <c r="CI2507" s="501"/>
      <c r="CJ2507" s="501"/>
      <c r="CK2507" s="501"/>
      <c r="CL2507" s="501"/>
      <c r="CM2507" s="501"/>
      <c r="CN2507" s="501"/>
      <c r="CO2507" s="501"/>
      <c r="CP2507" s="501"/>
      <c r="CQ2507" s="501"/>
      <c r="CR2507" s="501"/>
      <c r="CS2507" s="501"/>
      <c r="CT2507" s="501"/>
      <c r="CU2507" s="501"/>
      <c r="CV2507" s="501"/>
      <c r="CW2507" s="501"/>
      <c r="CX2507" s="501"/>
      <c r="CY2507" s="501"/>
      <c r="CZ2507" s="501"/>
      <c r="DA2507" s="501"/>
      <c r="DB2507" s="501"/>
      <c r="DC2507" s="501"/>
      <c r="DD2507" s="501"/>
      <c r="DE2507" s="501"/>
      <c r="DF2507" s="501"/>
      <c r="DG2507" s="501"/>
      <c r="DH2507" s="501"/>
      <c r="DI2507" s="501"/>
      <c r="DJ2507" s="501"/>
      <c r="DK2507" s="501"/>
      <c r="DL2507" s="501"/>
      <c r="DM2507" s="501"/>
      <c r="DN2507" s="501"/>
      <c r="DO2507" s="501"/>
      <c r="DP2507" s="501"/>
      <c r="DQ2507" s="501"/>
      <c r="DR2507" s="501"/>
      <c r="DS2507" s="501"/>
      <c r="DT2507" s="501"/>
      <c r="DU2507" s="501"/>
      <c r="DV2507" s="501"/>
      <c r="DW2507" s="501"/>
      <c r="DX2507" s="501"/>
      <c r="DY2507" s="501"/>
      <c r="DZ2507" s="501"/>
      <c r="EA2507" s="501"/>
      <c r="EB2507" s="501"/>
      <c r="EC2507" s="501"/>
      <c r="ED2507" s="501"/>
      <c r="EE2507" s="501"/>
      <c r="EF2507" s="501"/>
      <c r="EG2507" s="501"/>
      <c r="EH2507" s="501"/>
      <c r="EI2507" s="501"/>
      <c r="EJ2507" s="501"/>
      <c r="EK2507" s="501"/>
      <c r="EL2507" s="501"/>
      <c r="EM2507" s="501"/>
      <c r="EN2507" s="501"/>
      <c r="EO2507" s="501"/>
      <c r="EP2507" s="501"/>
      <c r="EQ2507" s="501"/>
      <c r="ER2507" s="501"/>
      <c r="ES2507" s="501"/>
      <c r="ET2507" s="501"/>
      <c r="EU2507" s="501"/>
      <c r="EV2507" s="501"/>
      <c r="EW2507" s="501"/>
      <c r="EX2507" s="501"/>
      <c r="EY2507" s="501"/>
      <c r="EZ2507" s="501"/>
      <c r="FA2507" s="501"/>
      <c r="FB2507" s="501"/>
      <c r="FC2507" s="501"/>
      <c r="FD2507" s="501"/>
      <c r="FE2507" s="501"/>
      <c r="FF2507" s="501"/>
      <c r="FG2507" s="501"/>
      <c r="FH2507" s="501"/>
      <c r="FI2507" s="501"/>
      <c r="FJ2507" s="501"/>
      <c r="FK2507" s="501"/>
      <c r="FL2507" s="501"/>
      <c r="FM2507" s="501"/>
      <c r="FN2507" s="501"/>
      <c r="FO2507" s="501"/>
      <c r="FP2507" s="501"/>
      <c r="FQ2507" s="501"/>
      <c r="FR2507" s="501"/>
      <c r="FS2507" s="501"/>
      <c r="FT2507" s="501"/>
      <c r="FU2507" s="501"/>
      <c r="FV2507" s="501"/>
      <c r="FW2507" s="501"/>
      <c r="FX2507" s="501"/>
      <c r="FY2507" s="501"/>
      <c r="FZ2507" s="501"/>
      <c r="GA2507" s="501"/>
      <c r="GB2507" s="501"/>
      <c r="GC2507" s="501"/>
      <c r="GD2507" s="501"/>
      <c r="GE2507" s="501"/>
      <c r="GF2507" s="501"/>
      <c r="GG2507" s="501"/>
      <c r="GH2507" s="501"/>
      <c r="GI2507" s="501"/>
      <c r="GJ2507" s="501"/>
      <c r="GK2507" s="501"/>
      <c r="GL2507" s="501"/>
      <c r="GM2507" s="501"/>
      <c r="GN2507" s="501"/>
      <c r="GO2507" s="501"/>
      <c r="GP2507" s="501"/>
      <c r="GQ2507" s="501"/>
      <c r="GR2507" s="501"/>
      <c r="GS2507" s="501"/>
      <c r="GT2507" s="501"/>
      <c r="GU2507" s="501"/>
      <c r="GV2507" s="501"/>
      <c r="GW2507" s="501"/>
      <c r="GX2507" s="501"/>
      <c r="GY2507" s="501"/>
      <c r="GZ2507" s="501"/>
      <c r="HA2507" s="501"/>
      <c r="HB2507" s="501"/>
      <c r="HC2507" s="501"/>
      <c r="HD2507" s="501"/>
      <c r="HE2507" s="501"/>
      <c r="HF2507" s="501"/>
      <c r="HG2507" s="501"/>
      <c r="HH2507" s="501"/>
      <c r="HI2507" s="501"/>
      <c r="HJ2507" s="501"/>
      <c r="HK2507" s="501"/>
      <c r="HL2507" s="501"/>
      <c r="HM2507" s="501"/>
      <c r="HN2507" s="501"/>
      <c r="HO2507" s="501"/>
      <c r="HP2507" s="501"/>
      <c r="HQ2507" s="501"/>
      <c r="HR2507" s="501"/>
      <c r="HS2507" s="501"/>
      <c r="HT2507" s="501"/>
      <c r="HU2507" s="501"/>
      <c r="HV2507" s="501"/>
      <c r="HW2507" s="501"/>
      <c r="HX2507" s="501"/>
      <c r="HY2507" s="501"/>
      <c r="HZ2507" s="501"/>
      <c r="IA2507" s="501"/>
      <c r="IB2507" s="501"/>
      <c r="IC2507" s="501"/>
      <c r="ID2507" s="501"/>
      <c r="IE2507" s="501"/>
      <c r="IF2507" s="501"/>
      <c r="IG2507" s="501"/>
      <c r="IH2507" s="501"/>
      <c r="II2507" s="501"/>
      <c r="IJ2507" s="501"/>
      <c r="IK2507" s="501"/>
      <c r="IL2507" s="501"/>
      <c r="IM2507" s="501"/>
      <c r="IN2507" s="501"/>
      <c r="IO2507" s="501"/>
      <c r="IP2507" s="501"/>
      <c r="IQ2507" s="501"/>
      <c r="IR2507" s="501"/>
      <c r="IS2507" s="501"/>
      <c r="IT2507" s="501"/>
      <c r="IU2507" s="501"/>
    </row>
    <row r="2508" spans="1:255" s="877" customFormat="1" ht="24" customHeight="1">
      <c r="A2508" s="501"/>
      <c r="B2508" s="501"/>
      <c r="C2508" s="501"/>
      <c r="D2508" s="501"/>
      <c r="E2508" s="501"/>
      <c r="F2508" s="501"/>
      <c r="G2508" s="915"/>
      <c r="H2508" s="501"/>
      <c r="I2508" s="874"/>
      <c r="J2508" s="501"/>
      <c r="K2508" s="501"/>
      <c r="L2508" s="874"/>
      <c r="M2508" s="554"/>
      <c r="N2508" s="501"/>
      <c r="P2508" s="902"/>
      <c r="Q2508" s="501"/>
      <c r="R2508" s="501"/>
      <c r="S2508" s="874"/>
      <c r="T2508" s="501"/>
      <c r="V2508" s="501"/>
      <c r="W2508" s="501"/>
      <c r="X2508" s="501"/>
      <c r="Y2508" s="501"/>
      <c r="Z2508" s="501"/>
      <c r="AA2508" s="501"/>
      <c r="AB2508" s="501"/>
      <c r="AC2508" s="501"/>
      <c r="AD2508" s="501"/>
      <c r="AE2508" s="501"/>
      <c r="AF2508" s="501"/>
      <c r="AG2508" s="501"/>
      <c r="AH2508" s="501"/>
      <c r="AI2508" s="501"/>
      <c r="AJ2508" s="501"/>
      <c r="AK2508" s="501"/>
      <c r="AL2508" s="501"/>
      <c r="AM2508" s="501"/>
      <c r="AN2508" s="501"/>
      <c r="AO2508" s="501"/>
      <c r="AP2508" s="501"/>
      <c r="AQ2508" s="501"/>
      <c r="AR2508" s="501"/>
      <c r="AS2508" s="501"/>
      <c r="AT2508" s="501"/>
      <c r="AU2508" s="501"/>
      <c r="AV2508" s="501"/>
      <c r="AW2508" s="501"/>
      <c r="AX2508" s="501"/>
      <c r="AY2508" s="501"/>
      <c r="AZ2508" s="501"/>
      <c r="BA2508" s="501"/>
      <c r="BB2508" s="501"/>
      <c r="BC2508" s="501"/>
      <c r="BD2508" s="501"/>
      <c r="BE2508" s="501"/>
      <c r="BF2508" s="501"/>
      <c r="BG2508" s="501"/>
      <c r="BH2508" s="501"/>
      <c r="BI2508" s="501"/>
      <c r="BJ2508" s="501"/>
      <c r="BK2508" s="501"/>
      <c r="BL2508" s="501"/>
      <c r="BM2508" s="501"/>
      <c r="BN2508" s="501"/>
      <c r="BO2508" s="501"/>
      <c r="BP2508" s="501"/>
      <c r="BQ2508" s="501"/>
      <c r="BR2508" s="501"/>
      <c r="BS2508" s="501"/>
      <c r="BT2508" s="501"/>
      <c r="BU2508" s="501"/>
      <c r="BV2508" s="501"/>
      <c r="BW2508" s="501"/>
      <c r="BX2508" s="501"/>
      <c r="BY2508" s="501"/>
      <c r="BZ2508" s="501"/>
      <c r="CA2508" s="501"/>
      <c r="CB2508" s="501"/>
      <c r="CC2508" s="501"/>
      <c r="CD2508" s="501"/>
      <c r="CE2508" s="501"/>
      <c r="CF2508" s="501"/>
      <c r="CG2508" s="501"/>
      <c r="CH2508" s="501"/>
      <c r="CI2508" s="501"/>
      <c r="CJ2508" s="501"/>
      <c r="CK2508" s="501"/>
      <c r="CL2508" s="501"/>
      <c r="CM2508" s="501"/>
      <c r="CN2508" s="501"/>
      <c r="CO2508" s="501"/>
      <c r="CP2508" s="501"/>
      <c r="CQ2508" s="501"/>
      <c r="CR2508" s="501"/>
      <c r="CS2508" s="501"/>
      <c r="CT2508" s="501"/>
      <c r="CU2508" s="501"/>
      <c r="CV2508" s="501"/>
      <c r="CW2508" s="501"/>
      <c r="CX2508" s="501"/>
      <c r="CY2508" s="501"/>
      <c r="CZ2508" s="501"/>
      <c r="DA2508" s="501"/>
      <c r="DB2508" s="501"/>
      <c r="DC2508" s="501"/>
      <c r="DD2508" s="501"/>
      <c r="DE2508" s="501"/>
      <c r="DF2508" s="501"/>
      <c r="DG2508" s="501"/>
      <c r="DH2508" s="501"/>
      <c r="DI2508" s="501"/>
      <c r="DJ2508" s="501"/>
      <c r="DK2508" s="501"/>
      <c r="DL2508" s="501"/>
      <c r="DM2508" s="501"/>
      <c r="DN2508" s="501"/>
      <c r="DO2508" s="501"/>
      <c r="DP2508" s="501"/>
      <c r="DQ2508" s="501"/>
      <c r="DR2508" s="501"/>
      <c r="DS2508" s="501"/>
      <c r="DT2508" s="501"/>
      <c r="DU2508" s="501"/>
      <c r="DV2508" s="501"/>
      <c r="DW2508" s="501"/>
      <c r="DX2508" s="501"/>
      <c r="DY2508" s="501"/>
      <c r="DZ2508" s="501"/>
      <c r="EA2508" s="501"/>
      <c r="EB2508" s="501"/>
      <c r="EC2508" s="501"/>
      <c r="ED2508" s="501"/>
      <c r="EE2508" s="501"/>
      <c r="EF2508" s="501"/>
      <c r="EG2508" s="501"/>
      <c r="EH2508" s="501"/>
      <c r="EI2508" s="501"/>
      <c r="EJ2508" s="501"/>
      <c r="EK2508" s="501"/>
      <c r="EL2508" s="501"/>
      <c r="EM2508" s="501"/>
      <c r="EN2508" s="501"/>
      <c r="EO2508" s="501"/>
      <c r="EP2508" s="501"/>
      <c r="EQ2508" s="501"/>
      <c r="ER2508" s="501"/>
      <c r="ES2508" s="501"/>
      <c r="ET2508" s="501"/>
      <c r="EU2508" s="501"/>
      <c r="EV2508" s="501"/>
      <c r="EW2508" s="501"/>
      <c r="EX2508" s="501"/>
      <c r="EY2508" s="501"/>
      <c r="EZ2508" s="501"/>
      <c r="FA2508" s="501"/>
      <c r="FB2508" s="501"/>
      <c r="FC2508" s="501"/>
      <c r="FD2508" s="501"/>
      <c r="FE2508" s="501"/>
      <c r="FF2508" s="501"/>
      <c r="FG2508" s="501"/>
      <c r="FH2508" s="501"/>
      <c r="FI2508" s="501"/>
      <c r="FJ2508" s="501"/>
      <c r="FK2508" s="501"/>
      <c r="FL2508" s="501"/>
      <c r="FM2508" s="501"/>
      <c r="FN2508" s="501"/>
      <c r="FO2508" s="501"/>
      <c r="FP2508" s="501"/>
      <c r="FQ2508" s="501"/>
      <c r="FR2508" s="501"/>
      <c r="FS2508" s="501"/>
      <c r="FT2508" s="501"/>
      <c r="FU2508" s="501"/>
      <c r="FV2508" s="501"/>
      <c r="FW2508" s="501"/>
      <c r="FX2508" s="501"/>
      <c r="FY2508" s="501"/>
      <c r="FZ2508" s="501"/>
      <c r="GA2508" s="501"/>
      <c r="GB2508" s="501"/>
      <c r="GC2508" s="501"/>
      <c r="GD2508" s="501"/>
      <c r="GE2508" s="501"/>
      <c r="GF2508" s="501"/>
      <c r="GG2508" s="501"/>
      <c r="GH2508" s="501"/>
      <c r="GI2508" s="501"/>
      <c r="GJ2508" s="501"/>
      <c r="GK2508" s="501"/>
      <c r="GL2508" s="501"/>
      <c r="GM2508" s="501"/>
      <c r="GN2508" s="501"/>
      <c r="GO2508" s="501"/>
      <c r="GP2508" s="501"/>
      <c r="GQ2508" s="501"/>
      <c r="GR2508" s="501"/>
      <c r="GS2508" s="501"/>
      <c r="GT2508" s="501"/>
      <c r="GU2508" s="501"/>
      <c r="GV2508" s="501"/>
      <c r="GW2508" s="501"/>
      <c r="GX2508" s="501"/>
      <c r="GY2508" s="501"/>
      <c r="GZ2508" s="501"/>
      <c r="HA2508" s="501"/>
      <c r="HB2508" s="501"/>
      <c r="HC2508" s="501"/>
      <c r="HD2508" s="501"/>
      <c r="HE2508" s="501"/>
      <c r="HF2508" s="501"/>
      <c r="HG2508" s="501"/>
      <c r="HH2508" s="501"/>
      <c r="HI2508" s="501"/>
      <c r="HJ2508" s="501"/>
      <c r="HK2508" s="501"/>
      <c r="HL2508" s="501"/>
      <c r="HM2508" s="501"/>
      <c r="HN2508" s="501"/>
      <c r="HO2508" s="501"/>
      <c r="HP2508" s="501"/>
      <c r="HQ2508" s="501"/>
      <c r="HR2508" s="501"/>
      <c r="HS2508" s="501"/>
      <c r="HT2508" s="501"/>
      <c r="HU2508" s="501"/>
      <c r="HV2508" s="501"/>
      <c r="HW2508" s="501"/>
      <c r="HX2508" s="501"/>
      <c r="HY2508" s="501"/>
      <c r="HZ2508" s="501"/>
      <c r="IA2508" s="501"/>
      <c r="IB2508" s="501"/>
      <c r="IC2508" s="501"/>
      <c r="ID2508" s="501"/>
      <c r="IE2508" s="501"/>
      <c r="IF2508" s="501"/>
      <c r="IG2508" s="501"/>
      <c r="IH2508" s="501"/>
      <c r="II2508" s="501"/>
      <c r="IJ2508" s="501"/>
      <c r="IK2508" s="501"/>
      <c r="IL2508" s="501"/>
      <c r="IM2508" s="501"/>
      <c r="IN2508" s="501"/>
      <c r="IO2508" s="501"/>
      <c r="IP2508" s="501"/>
      <c r="IQ2508" s="501"/>
      <c r="IR2508" s="501"/>
      <c r="IS2508" s="501"/>
      <c r="IT2508" s="501"/>
      <c r="IU2508" s="501"/>
    </row>
    <row r="2509" spans="1:255" s="877" customFormat="1" ht="24" customHeight="1">
      <c r="A2509" s="501"/>
      <c r="B2509" s="501"/>
      <c r="C2509" s="501"/>
      <c r="D2509" s="501"/>
      <c r="E2509" s="501"/>
      <c r="F2509" s="501"/>
      <c r="G2509" s="915"/>
      <c r="H2509" s="501"/>
      <c r="I2509" s="874"/>
      <c r="J2509" s="885"/>
      <c r="K2509" s="501"/>
      <c r="L2509" s="874"/>
      <c r="M2509" s="554"/>
      <c r="N2509" s="501"/>
      <c r="O2509" s="501"/>
      <c r="P2509" s="902"/>
      <c r="Q2509" s="501"/>
      <c r="R2509" s="501"/>
      <c r="S2509" s="874"/>
      <c r="T2509" s="501"/>
      <c r="V2509" s="501"/>
      <c r="W2509" s="501"/>
      <c r="X2509" s="501"/>
      <c r="Y2509" s="501"/>
      <c r="Z2509" s="501"/>
      <c r="AA2509" s="501"/>
      <c r="AB2509" s="501"/>
      <c r="AC2509" s="501"/>
      <c r="AD2509" s="501"/>
      <c r="AE2509" s="501"/>
      <c r="AF2509" s="501"/>
      <c r="AG2509" s="501"/>
      <c r="AH2509" s="501"/>
      <c r="AI2509" s="501"/>
      <c r="AJ2509" s="501"/>
      <c r="AK2509" s="501"/>
      <c r="AL2509" s="501"/>
      <c r="AM2509" s="501"/>
      <c r="AN2509" s="501"/>
      <c r="AO2509" s="501"/>
      <c r="AP2509" s="501"/>
      <c r="AQ2509" s="501"/>
      <c r="AR2509" s="501"/>
      <c r="AS2509" s="501"/>
      <c r="AT2509" s="501"/>
      <c r="AU2509" s="501"/>
      <c r="AV2509" s="501"/>
      <c r="AW2509" s="501"/>
      <c r="AX2509" s="501"/>
      <c r="AY2509" s="501"/>
      <c r="AZ2509" s="501"/>
      <c r="BA2509" s="501"/>
      <c r="BB2509" s="501"/>
      <c r="BC2509" s="501"/>
      <c r="BD2509" s="501"/>
      <c r="BE2509" s="501"/>
      <c r="BF2509" s="501"/>
      <c r="BG2509" s="501"/>
      <c r="BH2509" s="501"/>
      <c r="BI2509" s="501"/>
      <c r="BJ2509" s="501"/>
      <c r="BK2509" s="501"/>
      <c r="BL2509" s="501"/>
      <c r="BM2509" s="501"/>
      <c r="BN2509" s="501"/>
      <c r="BO2509" s="501"/>
      <c r="BP2509" s="501"/>
      <c r="BQ2509" s="501"/>
      <c r="BR2509" s="501"/>
      <c r="BS2509" s="501"/>
      <c r="BT2509" s="501"/>
      <c r="BU2509" s="501"/>
      <c r="BV2509" s="501"/>
      <c r="BW2509" s="501"/>
      <c r="BX2509" s="501"/>
      <c r="BY2509" s="501"/>
      <c r="BZ2509" s="501"/>
      <c r="CA2509" s="501"/>
      <c r="CB2509" s="501"/>
      <c r="CC2509" s="501"/>
      <c r="CD2509" s="501"/>
      <c r="CE2509" s="501"/>
      <c r="CF2509" s="501"/>
      <c r="CG2509" s="501"/>
      <c r="CH2509" s="501"/>
      <c r="CI2509" s="501"/>
      <c r="CJ2509" s="501"/>
      <c r="CK2509" s="501"/>
      <c r="CL2509" s="501"/>
      <c r="CM2509" s="501"/>
      <c r="CN2509" s="501"/>
      <c r="CO2509" s="501"/>
      <c r="CP2509" s="501"/>
      <c r="CQ2509" s="501"/>
      <c r="CR2509" s="501"/>
      <c r="CS2509" s="501"/>
      <c r="CT2509" s="501"/>
      <c r="CU2509" s="501"/>
      <c r="CV2509" s="501"/>
      <c r="CW2509" s="501"/>
      <c r="CX2509" s="501"/>
      <c r="CY2509" s="501"/>
      <c r="CZ2509" s="501"/>
      <c r="DA2509" s="501"/>
      <c r="DB2509" s="501"/>
      <c r="DC2509" s="501"/>
      <c r="DD2509" s="501"/>
      <c r="DE2509" s="501"/>
      <c r="DF2509" s="501"/>
      <c r="DG2509" s="501"/>
      <c r="DH2509" s="501"/>
      <c r="DI2509" s="501"/>
      <c r="DJ2509" s="501"/>
      <c r="DK2509" s="501"/>
      <c r="DL2509" s="501"/>
      <c r="DM2509" s="501"/>
      <c r="DN2509" s="501"/>
      <c r="DO2509" s="501"/>
      <c r="DP2509" s="501"/>
      <c r="DQ2509" s="501"/>
      <c r="DR2509" s="501"/>
      <c r="DS2509" s="501"/>
      <c r="DT2509" s="501"/>
      <c r="DU2509" s="501"/>
      <c r="DV2509" s="501"/>
      <c r="DW2509" s="501"/>
      <c r="DX2509" s="501"/>
      <c r="DY2509" s="501"/>
      <c r="DZ2509" s="501"/>
      <c r="EA2509" s="501"/>
      <c r="EB2509" s="501"/>
      <c r="EC2509" s="501"/>
      <c r="ED2509" s="501"/>
      <c r="EE2509" s="501"/>
      <c r="EF2509" s="501"/>
      <c r="EG2509" s="501"/>
      <c r="EH2509" s="501"/>
      <c r="EI2509" s="501"/>
      <c r="EJ2509" s="501"/>
      <c r="EK2509" s="501"/>
      <c r="EL2509" s="501"/>
      <c r="EM2509" s="501"/>
      <c r="EN2509" s="501"/>
      <c r="EO2509" s="501"/>
      <c r="EP2509" s="501"/>
      <c r="EQ2509" s="501"/>
      <c r="ER2509" s="501"/>
      <c r="ES2509" s="501"/>
      <c r="ET2509" s="501"/>
      <c r="EU2509" s="501"/>
      <c r="EV2509" s="501"/>
      <c r="EW2509" s="501"/>
      <c r="EX2509" s="501"/>
      <c r="EY2509" s="501"/>
      <c r="EZ2509" s="501"/>
      <c r="FA2509" s="501"/>
      <c r="FB2509" s="501"/>
      <c r="FC2509" s="501"/>
      <c r="FD2509" s="501"/>
      <c r="FE2509" s="501"/>
      <c r="FF2509" s="501"/>
      <c r="FG2509" s="501"/>
      <c r="FH2509" s="501"/>
      <c r="FI2509" s="501"/>
      <c r="FJ2509" s="501"/>
      <c r="FK2509" s="501"/>
      <c r="FL2509" s="501"/>
      <c r="FM2509" s="501"/>
      <c r="FN2509" s="501"/>
      <c r="FO2509" s="501"/>
      <c r="FP2509" s="501"/>
      <c r="FQ2509" s="501"/>
      <c r="FR2509" s="501"/>
      <c r="FS2509" s="501"/>
      <c r="FT2509" s="501"/>
      <c r="FU2509" s="501"/>
      <c r="FV2509" s="501"/>
      <c r="FW2509" s="501"/>
      <c r="FX2509" s="501"/>
      <c r="FY2509" s="501"/>
      <c r="FZ2509" s="501"/>
      <c r="GA2509" s="501"/>
      <c r="GB2509" s="501"/>
      <c r="GC2509" s="501"/>
      <c r="GD2509" s="501"/>
      <c r="GE2509" s="501"/>
      <c r="GF2509" s="501"/>
      <c r="GG2509" s="501"/>
      <c r="GH2509" s="501"/>
      <c r="GI2509" s="501"/>
      <c r="GJ2509" s="501"/>
      <c r="GK2509" s="501"/>
      <c r="GL2509" s="501"/>
      <c r="GM2509" s="501"/>
      <c r="GN2509" s="501"/>
      <c r="GO2509" s="501"/>
      <c r="GP2509" s="501"/>
      <c r="GQ2509" s="501"/>
      <c r="GR2509" s="501"/>
      <c r="GS2509" s="501"/>
      <c r="GT2509" s="501"/>
      <c r="GU2509" s="501"/>
      <c r="GV2509" s="501"/>
      <c r="GW2509" s="501"/>
      <c r="GX2509" s="501"/>
      <c r="GY2509" s="501"/>
      <c r="GZ2509" s="501"/>
      <c r="HA2509" s="501"/>
      <c r="HB2509" s="501"/>
      <c r="HC2509" s="501"/>
      <c r="HD2509" s="501"/>
      <c r="HE2509" s="501"/>
      <c r="HF2509" s="501"/>
      <c r="HG2509" s="501"/>
      <c r="HH2509" s="501"/>
      <c r="HI2509" s="501"/>
      <c r="HJ2509" s="501"/>
      <c r="HK2509" s="501"/>
      <c r="HL2509" s="501"/>
      <c r="HM2509" s="501"/>
      <c r="HN2509" s="501"/>
      <c r="HO2509" s="501"/>
      <c r="HP2509" s="501"/>
      <c r="HQ2509" s="501"/>
      <c r="HR2509" s="501"/>
      <c r="HS2509" s="501"/>
      <c r="HT2509" s="501"/>
      <c r="HU2509" s="501"/>
      <c r="HV2509" s="501"/>
      <c r="HW2509" s="501"/>
      <c r="HX2509" s="501"/>
      <c r="HY2509" s="501"/>
      <c r="HZ2509" s="501"/>
      <c r="IA2509" s="501"/>
      <c r="IB2509" s="501"/>
      <c r="IC2509" s="501"/>
      <c r="ID2509" s="501"/>
      <c r="IE2509" s="501"/>
      <c r="IF2509" s="501"/>
      <c r="IG2509" s="501"/>
      <c r="IH2509" s="501"/>
      <c r="II2509" s="501"/>
      <c r="IJ2509" s="501"/>
      <c r="IK2509" s="501"/>
      <c r="IL2509" s="501"/>
      <c r="IM2509" s="501"/>
      <c r="IN2509" s="501"/>
      <c r="IO2509" s="501"/>
      <c r="IP2509" s="501"/>
      <c r="IQ2509" s="501"/>
      <c r="IR2509" s="501"/>
      <c r="IS2509" s="501"/>
      <c r="IT2509" s="501"/>
      <c r="IU2509" s="501"/>
    </row>
    <row r="2510" spans="1:255" s="877" customFormat="1" ht="24" customHeight="1">
      <c r="A2510" s="501"/>
      <c r="B2510" s="501"/>
      <c r="C2510" s="501"/>
      <c r="D2510" s="501"/>
      <c r="E2510" s="501"/>
      <c r="F2510" s="501"/>
      <c r="G2510" s="915"/>
      <c r="H2510" s="501"/>
      <c r="I2510" s="874"/>
      <c r="J2510" s="501"/>
      <c r="K2510" s="501"/>
      <c r="L2510" s="874"/>
      <c r="M2510" s="554"/>
      <c r="N2510" s="501"/>
      <c r="O2510" s="501"/>
      <c r="P2510" s="902"/>
      <c r="Q2510" s="501"/>
      <c r="R2510" s="501"/>
      <c r="S2510" s="874"/>
      <c r="T2510" s="501"/>
      <c r="V2510" s="501"/>
      <c r="W2510" s="501"/>
      <c r="X2510" s="501"/>
      <c r="Y2510" s="501"/>
      <c r="Z2510" s="501"/>
      <c r="AA2510" s="501"/>
      <c r="AB2510" s="501"/>
      <c r="AC2510" s="501"/>
      <c r="AD2510" s="501"/>
      <c r="AE2510" s="501"/>
      <c r="AF2510" s="501"/>
      <c r="AG2510" s="501"/>
      <c r="AH2510" s="501"/>
      <c r="AI2510" s="501"/>
      <c r="AJ2510" s="501"/>
      <c r="AK2510" s="501"/>
      <c r="AL2510" s="501"/>
      <c r="AM2510" s="501"/>
      <c r="AN2510" s="501"/>
      <c r="AO2510" s="501"/>
      <c r="AP2510" s="501"/>
      <c r="AQ2510" s="501"/>
      <c r="AR2510" s="501"/>
      <c r="AS2510" s="501"/>
      <c r="AT2510" s="501"/>
      <c r="AU2510" s="501"/>
      <c r="AV2510" s="501"/>
      <c r="AW2510" s="501"/>
      <c r="AX2510" s="501"/>
      <c r="AY2510" s="501"/>
      <c r="AZ2510" s="501"/>
      <c r="BA2510" s="501"/>
      <c r="BB2510" s="501"/>
      <c r="BC2510" s="501"/>
      <c r="BD2510" s="501"/>
      <c r="BE2510" s="501"/>
      <c r="BF2510" s="501"/>
      <c r="BG2510" s="501"/>
      <c r="BH2510" s="501"/>
      <c r="BI2510" s="501"/>
      <c r="BJ2510" s="501"/>
      <c r="BK2510" s="501"/>
      <c r="BL2510" s="501"/>
      <c r="BM2510" s="501"/>
      <c r="BN2510" s="501"/>
      <c r="BO2510" s="501"/>
      <c r="BP2510" s="501"/>
      <c r="BQ2510" s="501"/>
      <c r="BR2510" s="501"/>
      <c r="BS2510" s="501"/>
      <c r="BT2510" s="501"/>
      <c r="BU2510" s="501"/>
      <c r="BV2510" s="501"/>
      <c r="BW2510" s="501"/>
      <c r="BX2510" s="501"/>
      <c r="BY2510" s="501"/>
      <c r="BZ2510" s="501"/>
      <c r="CA2510" s="501"/>
      <c r="CB2510" s="501"/>
      <c r="CC2510" s="501"/>
      <c r="CD2510" s="501"/>
      <c r="CE2510" s="501"/>
      <c r="CF2510" s="501"/>
      <c r="CG2510" s="501"/>
      <c r="CH2510" s="501"/>
      <c r="CI2510" s="501"/>
      <c r="CJ2510" s="501"/>
      <c r="CK2510" s="501"/>
      <c r="CL2510" s="501"/>
      <c r="CM2510" s="501"/>
      <c r="CN2510" s="501"/>
      <c r="CO2510" s="501"/>
      <c r="CP2510" s="501"/>
      <c r="CQ2510" s="501"/>
      <c r="CR2510" s="501"/>
      <c r="CS2510" s="501"/>
      <c r="CT2510" s="501"/>
      <c r="CU2510" s="501"/>
      <c r="CV2510" s="501"/>
      <c r="CW2510" s="501"/>
      <c r="CX2510" s="501"/>
      <c r="CY2510" s="501"/>
      <c r="CZ2510" s="501"/>
      <c r="DA2510" s="501"/>
      <c r="DB2510" s="501"/>
      <c r="DC2510" s="501"/>
      <c r="DD2510" s="501"/>
      <c r="DE2510" s="501"/>
      <c r="DF2510" s="501"/>
      <c r="DG2510" s="501"/>
      <c r="DH2510" s="501"/>
      <c r="DI2510" s="501"/>
      <c r="DJ2510" s="501"/>
      <c r="DK2510" s="501"/>
      <c r="DL2510" s="501"/>
      <c r="DM2510" s="501"/>
      <c r="DN2510" s="501"/>
      <c r="DO2510" s="501"/>
      <c r="DP2510" s="501"/>
      <c r="DQ2510" s="501"/>
      <c r="DR2510" s="501"/>
      <c r="DS2510" s="501"/>
      <c r="DT2510" s="501"/>
      <c r="DU2510" s="501"/>
      <c r="DV2510" s="501"/>
      <c r="DW2510" s="501"/>
      <c r="DX2510" s="501"/>
      <c r="DY2510" s="501"/>
      <c r="DZ2510" s="501"/>
      <c r="EA2510" s="501"/>
      <c r="EB2510" s="501"/>
      <c r="EC2510" s="501"/>
      <c r="ED2510" s="501"/>
      <c r="EE2510" s="501"/>
      <c r="EF2510" s="501"/>
      <c r="EG2510" s="501"/>
      <c r="EH2510" s="501"/>
      <c r="EI2510" s="501"/>
      <c r="EJ2510" s="501"/>
      <c r="EK2510" s="501"/>
      <c r="EL2510" s="501"/>
      <c r="EM2510" s="501"/>
      <c r="EN2510" s="501"/>
      <c r="EO2510" s="501"/>
      <c r="EP2510" s="501"/>
      <c r="EQ2510" s="501"/>
      <c r="ER2510" s="501"/>
      <c r="ES2510" s="501"/>
      <c r="ET2510" s="501"/>
      <c r="EU2510" s="501"/>
      <c r="EV2510" s="501"/>
      <c r="EW2510" s="501"/>
      <c r="EX2510" s="501"/>
      <c r="EY2510" s="501"/>
      <c r="EZ2510" s="501"/>
      <c r="FA2510" s="501"/>
      <c r="FB2510" s="501"/>
      <c r="FC2510" s="501"/>
      <c r="FD2510" s="501"/>
      <c r="FE2510" s="501"/>
      <c r="FF2510" s="501"/>
      <c r="FG2510" s="501"/>
      <c r="FH2510" s="501"/>
      <c r="FI2510" s="501"/>
      <c r="FJ2510" s="501"/>
      <c r="FK2510" s="501"/>
      <c r="FL2510" s="501"/>
      <c r="FM2510" s="501"/>
      <c r="FN2510" s="501"/>
      <c r="FO2510" s="501"/>
      <c r="FP2510" s="501"/>
      <c r="FQ2510" s="501"/>
      <c r="FR2510" s="501"/>
      <c r="FS2510" s="501"/>
      <c r="FT2510" s="501"/>
      <c r="FU2510" s="501"/>
      <c r="FV2510" s="501"/>
      <c r="FW2510" s="501"/>
      <c r="FX2510" s="501"/>
      <c r="FY2510" s="501"/>
      <c r="FZ2510" s="501"/>
      <c r="GA2510" s="501"/>
      <c r="GB2510" s="501"/>
      <c r="GC2510" s="501"/>
      <c r="GD2510" s="501"/>
      <c r="GE2510" s="501"/>
      <c r="GF2510" s="501"/>
      <c r="GG2510" s="501"/>
      <c r="GH2510" s="501"/>
      <c r="GI2510" s="501"/>
      <c r="GJ2510" s="501"/>
      <c r="GK2510" s="501"/>
      <c r="GL2510" s="501"/>
      <c r="GM2510" s="501"/>
      <c r="GN2510" s="501"/>
      <c r="GO2510" s="501"/>
      <c r="GP2510" s="501"/>
      <c r="GQ2510" s="501"/>
      <c r="GR2510" s="501"/>
      <c r="GS2510" s="501"/>
      <c r="GT2510" s="501"/>
      <c r="GU2510" s="501"/>
      <c r="GV2510" s="501"/>
      <c r="GW2510" s="501"/>
      <c r="GX2510" s="501"/>
      <c r="GY2510" s="501"/>
      <c r="GZ2510" s="501"/>
      <c r="HA2510" s="501"/>
      <c r="HB2510" s="501"/>
      <c r="HC2510" s="501"/>
      <c r="HD2510" s="501"/>
      <c r="HE2510" s="501"/>
      <c r="HF2510" s="501"/>
      <c r="HG2510" s="501"/>
      <c r="HH2510" s="501"/>
      <c r="HI2510" s="501"/>
      <c r="HJ2510" s="501"/>
      <c r="HK2510" s="501"/>
      <c r="HL2510" s="501"/>
      <c r="HM2510" s="501"/>
      <c r="HN2510" s="501"/>
      <c r="HO2510" s="501"/>
      <c r="HP2510" s="501"/>
      <c r="HQ2510" s="501"/>
      <c r="HR2510" s="501"/>
      <c r="HS2510" s="501"/>
      <c r="HT2510" s="501"/>
      <c r="HU2510" s="501"/>
      <c r="HV2510" s="501"/>
      <c r="HW2510" s="501"/>
      <c r="HX2510" s="501"/>
      <c r="HY2510" s="501"/>
      <c r="HZ2510" s="501"/>
      <c r="IA2510" s="501"/>
      <c r="IB2510" s="501"/>
      <c r="IC2510" s="501"/>
      <c r="ID2510" s="501"/>
      <c r="IE2510" s="501"/>
      <c r="IF2510" s="501"/>
      <c r="IG2510" s="501"/>
      <c r="IH2510" s="501"/>
      <c r="II2510" s="501"/>
      <c r="IJ2510" s="501"/>
      <c r="IK2510" s="501"/>
      <c r="IL2510" s="501"/>
      <c r="IM2510" s="501"/>
      <c r="IN2510" s="501"/>
      <c r="IO2510" s="501"/>
      <c r="IP2510" s="501"/>
      <c r="IQ2510" s="501"/>
      <c r="IR2510" s="501"/>
      <c r="IS2510" s="501"/>
      <c r="IT2510" s="501"/>
      <c r="IU2510" s="501"/>
    </row>
    <row r="2511" spans="1:255" s="877" customFormat="1" ht="24" customHeight="1">
      <c r="A2511" s="501"/>
      <c r="B2511" s="501"/>
      <c r="C2511" s="501"/>
      <c r="D2511" s="501"/>
      <c r="E2511" s="501"/>
      <c r="F2511" s="885"/>
      <c r="G2511" s="1057"/>
      <c r="H2511" s="885"/>
      <c r="I2511" s="895"/>
      <c r="J2511" s="501"/>
      <c r="K2511" s="501"/>
      <c r="L2511" s="874"/>
      <c r="M2511" s="554"/>
      <c r="N2511" s="501"/>
      <c r="O2511" s="501"/>
      <c r="P2511" s="902"/>
      <c r="Q2511" s="501"/>
      <c r="R2511" s="501"/>
      <c r="S2511" s="874"/>
      <c r="T2511" s="501"/>
      <c r="V2511" s="501"/>
      <c r="W2511" s="501"/>
      <c r="X2511" s="501"/>
      <c r="Y2511" s="501"/>
      <c r="Z2511" s="501"/>
      <c r="AA2511" s="501"/>
      <c r="AB2511" s="501"/>
      <c r="AC2511" s="501"/>
      <c r="AD2511" s="501"/>
      <c r="AE2511" s="501"/>
      <c r="AF2511" s="501"/>
      <c r="AG2511" s="501"/>
      <c r="AH2511" s="501"/>
      <c r="AI2511" s="501"/>
      <c r="AJ2511" s="501"/>
      <c r="AK2511" s="501"/>
      <c r="AL2511" s="501"/>
      <c r="AM2511" s="501"/>
      <c r="AN2511" s="501"/>
      <c r="AO2511" s="501"/>
      <c r="AP2511" s="501"/>
      <c r="AQ2511" s="501"/>
      <c r="AR2511" s="501"/>
      <c r="AS2511" s="501"/>
      <c r="AT2511" s="501"/>
      <c r="AU2511" s="501"/>
      <c r="AV2511" s="501"/>
      <c r="AW2511" s="501"/>
      <c r="AX2511" s="501"/>
      <c r="AY2511" s="501"/>
      <c r="AZ2511" s="501"/>
      <c r="BA2511" s="501"/>
      <c r="BB2511" s="501"/>
      <c r="BC2511" s="501"/>
      <c r="BD2511" s="501"/>
      <c r="BE2511" s="501"/>
      <c r="BF2511" s="501"/>
      <c r="BG2511" s="501"/>
      <c r="BH2511" s="501"/>
      <c r="BI2511" s="501"/>
      <c r="BJ2511" s="501"/>
      <c r="BK2511" s="501"/>
      <c r="BL2511" s="501"/>
      <c r="BM2511" s="501"/>
      <c r="BN2511" s="501"/>
      <c r="BO2511" s="501"/>
      <c r="BP2511" s="501"/>
      <c r="BQ2511" s="501"/>
      <c r="BR2511" s="501"/>
      <c r="BS2511" s="501"/>
      <c r="BT2511" s="501"/>
      <c r="BU2511" s="501"/>
      <c r="BV2511" s="501"/>
      <c r="BW2511" s="501"/>
      <c r="BX2511" s="501"/>
      <c r="BY2511" s="501"/>
      <c r="BZ2511" s="501"/>
      <c r="CA2511" s="501"/>
      <c r="CB2511" s="501"/>
      <c r="CC2511" s="501"/>
      <c r="CD2511" s="501"/>
      <c r="CE2511" s="501"/>
      <c r="CF2511" s="501"/>
      <c r="CG2511" s="501"/>
      <c r="CH2511" s="501"/>
      <c r="CI2511" s="501"/>
      <c r="CJ2511" s="501"/>
      <c r="CK2511" s="501"/>
      <c r="CL2511" s="501"/>
      <c r="CM2511" s="501"/>
      <c r="CN2511" s="501"/>
      <c r="CO2511" s="501"/>
      <c r="CP2511" s="501"/>
      <c r="CQ2511" s="501"/>
      <c r="CR2511" s="501"/>
      <c r="CS2511" s="501"/>
      <c r="CT2511" s="501"/>
      <c r="CU2511" s="501"/>
      <c r="CV2511" s="501"/>
      <c r="CW2511" s="501"/>
      <c r="CX2511" s="501"/>
      <c r="CY2511" s="501"/>
      <c r="CZ2511" s="501"/>
      <c r="DA2511" s="501"/>
      <c r="DB2511" s="501"/>
      <c r="DC2511" s="501"/>
      <c r="DD2511" s="501"/>
      <c r="DE2511" s="501"/>
      <c r="DF2511" s="501"/>
      <c r="DG2511" s="501"/>
      <c r="DH2511" s="501"/>
      <c r="DI2511" s="501"/>
      <c r="DJ2511" s="501"/>
      <c r="DK2511" s="501"/>
      <c r="DL2511" s="501"/>
      <c r="DM2511" s="501"/>
      <c r="DN2511" s="501"/>
      <c r="DO2511" s="501"/>
      <c r="DP2511" s="501"/>
      <c r="DQ2511" s="501"/>
      <c r="DR2511" s="501"/>
      <c r="DS2511" s="501"/>
      <c r="DT2511" s="501"/>
      <c r="DU2511" s="501"/>
      <c r="DV2511" s="501"/>
      <c r="DW2511" s="501"/>
      <c r="DX2511" s="501"/>
      <c r="DY2511" s="501"/>
      <c r="DZ2511" s="501"/>
      <c r="EA2511" s="501"/>
      <c r="EB2511" s="501"/>
      <c r="EC2511" s="501"/>
      <c r="ED2511" s="501"/>
      <c r="EE2511" s="501"/>
      <c r="EF2511" s="501"/>
      <c r="EG2511" s="501"/>
      <c r="EH2511" s="501"/>
      <c r="EI2511" s="501"/>
      <c r="EJ2511" s="501"/>
      <c r="EK2511" s="501"/>
      <c r="EL2511" s="501"/>
      <c r="EM2511" s="501"/>
      <c r="EN2511" s="501"/>
      <c r="EO2511" s="501"/>
      <c r="EP2511" s="501"/>
      <c r="EQ2511" s="501"/>
      <c r="ER2511" s="501"/>
      <c r="ES2511" s="501"/>
      <c r="ET2511" s="501"/>
      <c r="EU2511" s="501"/>
      <c r="EV2511" s="501"/>
      <c r="EW2511" s="501"/>
      <c r="EX2511" s="501"/>
      <c r="EY2511" s="501"/>
      <c r="EZ2511" s="501"/>
      <c r="FA2511" s="501"/>
      <c r="FB2511" s="501"/>
      <c r="FC2511" s="501"/>
      <c r="FD2511" s="501"/>
      <c r="FE2511" s="501"/>
      <c r="FF2511" s="501"/>
      <c r="FG2511" s="501"/>
      <c r="FH2511" s="501"/>
      <c r="FI2511" s="501"/>
      <c r="FJ2511" s="501"/>
      <c r="FK2511" s="501"/>
      <c r="FL2511" s="501"/>
      <c r="FM2511" s="501"/>
      <c r="FN2511" s="501"/>
      <c r="FO2511" s="501"/>
      <c r="FP2511" s="501"/>
      <c r="FQ2511" s="501"/>
      <c r="FR2511" s="501"/>
      <c r="FS2511" s="501"/>
      <c r="FT2511" s="501"/>
      <c r="FU2511" s="501"/>
      <c r="FV2511" s="501"/>
      <c r="FW2511" s="501"/>
      <c r="FX2511" s="501"/>
      <c r="FY2511" s="501"/>
      <c r="FZ2511" s="501"/>
      <c r="GA2511" s="501"/>
      <c r="GB2511" s="501"/>
      <c r="GC2511" s="501"/>
      <c r="GD2511" s="501"/>
      <c r="GE2511" s="501"/>
      <c r="GF2511" s="501"/>
      <c r="GG2511" s="501"/>
      <c r="GH2511" s="501"/>
      <c r="GI2511" s="501"/>
      <c r="GJ2511" s="501"/>
      <c r="GK2511" s="501"/>
      <c r="GL2511" s="501"/>
      <c r="GM2511" s="501"/>
      <c r="GN2511" s="501"/>
      <c r="GO2511" s="501"/>
      <c r="GP2511" s="501"/>
      <c r="GQ2511" s="501"/>
      <c r="GR2511" s="501"/>
      <c r="GS2511" s="501"/>
      <c r="GT2511" s="501"/>
      <c r="GU2511" s="501"/>
      <c r="GV2511" s="501"/>
      <c r="GW2511" s="501"/>
      <c r="GX2511" s="501"/>
      <c r="GY2511" s="501"/>
      <c r="GZ2511" s="501"/>
      <c r="HA2511" s="501"/>
      <c r="HB2511" s="501"/>
      <c r="HC2511" s="501"/>
      <c r="HD2511" s="501"/>
      <c r="HE2511" s="501"/>
      <c r="HF2511" s="501"/>
      <c r="HG2511" s="501"/>
      <c r="HH2511" s="501"/>
      <c r="HI2511" s="501"/>
      <c r="HJ2511" s="501"/>
      <c r="HK2511" s="501"/>
      <c r="HL2511" s="501"/>
      <c r="HM2511" s="501"/>
      <c r="HN2511" s="501"/>
      <c r="HO2511" s="501"/>
      <c r="HP2511" s="501"/>
      <c r="HQ2511" s="501"/>
      <c r="HR2511" s="501"/>
      <c r="HS2511" s="501"/>
      <c r="HT2511" s="501"/>
      <c r="HU2511" s="501"/>
      <c r="HV2511" s="501"/>
      <c r="HW2511" s="501"/>
      <c r="HX2511" s="501"/>
      <c r="HY2511" s="501"/>
      <c r="HZ2511" s="501"/>
      <c r="IA2511" s="501"/>
      <c r="IB2511" s="501"/>
      <c r="IC2511" s="501"/>
      <c r="ID2511" s="501"/>
      <c r="IE2511" s="501"/>
      <c r="IF2511" s="501"/>
      <c r="IG2511" s="501"/>
      <c r="IH2511" s="501"/>
      <c r="II2511" s="501"/>
      <c r="IJ2511" s="501"/>
      <c r="IK2511" s="501"/>
      <c r="IL2511" s="501"/>
      <c r="IM2511" s="501"/>
      <c r="IN2511" s="501"/>
      <c r="IO2511" s="501"/>
      <c r="IP2511" s="501"/>
      <c r="IQ2511" s="501"/>
      <c r="IR2511" s="501"/>
      <c r="IS2511" s="501"/>
      <c r="IT2511" s="501"/>
      <c r="IU2511" s="501"/>
    </row>
    <row r="2512" spans="1:255" s="877" customFormat="1" ht="24" customHeight="1">
      <c r="A2512" s="501"/>
      <c r="B2512" s="501"/>
      <c r="C2512" s="501"/>
      <c r="D2512" s="501"/>
      <c r="E2512" s="501"/>
      <c r="F2512" s="501"/>
      <c r="G2512" s="915"/>
      <c r="H2512" s="501"/>
      <c r="I2512" s="874"/>
      <c r="J2512" s="501"/>
      <c r="K2512" s="501"/>
      <c r="L2512" s="874"/>
      <c r="M2512" s="554"/>
      <c r="N2512" s="501"/>
      <c r="O2512" s="501"/>
      <c r="P2512" s="902"/>
      <c r="Q2512" s="501"/>
      <c r="R2512" s="501"/>
      <c r="S2512" s="874"/>
      <c r="T2512" s="903"/>
      <c r="V2512" s="501"/>
      <c r="W2512" s="501"/>
      <c r="X2512" s="501"/>
      <c r="Y2512" s="501"/>
      <c r="Z2512" s="501"/>
      <c r="AA2512" s="501"/>
      <c r="AB2512" s="501"/>
      <c r="AC2512" s="501"/>
      <c r="AD2512" s="501"/>
      <c r="AE2512" s="501"/>
      <c r="AF2512" s="501"/>
      <c r="AG2512" s="501"/>
      <c r="AH2512" s="501"/>
      <c r="AI2512" s="501"/>
      <c r="AJ2512" s="501"/>
      <c r="AK2512" s="501"/>
      <c r="AL2512" s="501"/>
      <c r="AM2512" s="501"/>
      <c r="AN2512" s="501"/>
      <c r="AO2512" s="501"/>
      <c r="AP2512" s="501"/>
      <c r="AQ2512" s="501"/>
      <c r="AR2512" s="501"/>
      <c r="AS2512" s="501"/>
      <c r="AT2512" s="501"/>
      <c r="AU2512" s="501"/>
      <c r="AV2512" s="501"/>
      <c r="AW2512" s="501"/>
      <c r="AX2512" s="501"/>
      <c r="AY2512" s="501"/>
      <c r="AZ2512" s="501"/>
      <c r="BA2512" s="501"/>
      <c r="BB2512" s="501"/>
      <c r="BC2512" s="501"/>
      <c r="BD2512" s="501"/>
      <c r="BE2512" s="501"/>
      <c r="BF2512" s="501"/>
      <c r="BG2512" s="501"/>
      <c r="BH2512" s="501"/>
      <c r="BI2512" s="501"/>
      <c r="BJ2512" s="501"/>
      <c r="BK2512" s="501"/>
      <c r="BL2512" s="501"/>
      <c r="BM2512" s="501"/>
      <c r="BN2512" s="501"/>
      <c r="BO2512" s="501"/>
      <c r="BP2512" s="501"/>
      <c r="BQ2512" s="501"/>
      <c r="BR2512" s="501"/>
      <c r="BS2512" s="501"/>
      <c r="BT2512" s="501"/>
      <c r="BU2512" s="501"/>
      <c r="BV2512" s="501"/>
      <c r="BW2512" s="501"/>
      <c r="BX2512" s="501"/>
      <c r="BY2512" s="501"/>
      <c r="BZ2512" s="501"/>
      <c r="CA2512" s="501"/>
      <c r="CB2512" s="501"/>
      <c r="CC2512" s="501"/>
      <c r="CD2512" s="501"/>
      <c r="CE2512" s="501"/>
      <c r="CF2512" s="501"/>
      <c r="CG2512" s="501"/>
      <c r="CH2512" s="501"/>
      <c r="CI2512" s="501"/>
      <c r="CJ2512" s="501"/>
      <c r="CK2512" s="501"/>
      <c r="CL2512" s="501"/>
      <c r="CM2512" s="501"/>
      <c r="CN2512" s="501"/>
      <c r="CO2512" s="501"/>
      <c r="CP2512" s="501"/>
      <c r="CQ2512" s="501"/>
      <c r="CR2512" s="501"/>
      <c r="CS2512" s="501"/>
      <c r="CT2512" s="501"/>
      <c r="CU2512" s="501"/>
      <c r="CV2512" s="501"/>
      <c r="CW2512" s="501"/>
      <c r="CX2512" s="501"/>
      <c r="CY2512" s="501"/>
      <c r="CZ2512" s="501"/>
      <c r="DA2512" s="501"/>
      <c r="DB2512" s="501"/>
      <c r="DC2512" s="501"/>
      <c r="DD2512" s="501"/>
      <c r="DE2512" s="501"/>
      <c r="DF2512" s="501"/>
      <c r="DG2512" s="501"/>
      <c r="DH2512" s="501"/>
      <c r="DI2512" s="501"/>
      <c r="DJ2512" s="501"/>
      <c r="DK2512" s="501"/>
      <c r="DL2512" s="501"/>
      <c r="DM2512" s="501"/>
      <c r="DN2512" s="501"/>
      <c r="DO2512" s="501"/>
      <c r="DP2512" s="501"/>
      <c r="DQ2512" s="501"/>
      <c r="DR2512" s="501"/>
      <c r="DS2512" s="501"/>
      <c r="DT2512" s="501"/>
      <c r="DU2512" s="501"/>
      <c r="DV2512" s="501"/>
      <c r="DW2512" s="501"/>
      <c r="DX2512" s="501"/>
      <c r="DY2512" s="501"/>
      <c r="DZ2512" s="501"/>
      <c r="EA2512" s="501"/>
      <c r="EB2512" s="501"/>
      <c r="EC2512" s="501"/>
      <c r="ED2512" s="501"/>
      <c r="EE2512" s="501"/>
      <c r="EF2512" s="501"/>
      <c r="EG2512" s="501"/>
      <c r="EH2512" s="501"/>
      <c r="EI2512" s="501"/>
      <c r="EJ2512" s="501"/>
      <c r="EK2512" s="501"/>
      <c r="EL2512" s="501"/>
      <c r="EM2512" s="501"/>
      <c r="EN2512" s="501"/>
      <c r="EO2512" s="501"/>
      <c r="EP2512" s="501"/>
      <c r="EQ2512" s="501"/>
      <c r="ER2512" s="501"/>
      <c r="ES2512" s="501"/>
      <c r="ET2512" s="501"/>
      <c r="EU2512" s="501"/>
      <c r="EV2512" s="501"/>
      <c r="EW2512" s="501"/>
      <c r="EX2512" s="501"/>
      <c r="EY2512" s="501"/>
      <c r="EZ2512" s="501"/>
      <c r="FA2512" s="501"/>
      <c r="FB2512" s="501"/>
      <c r="FC2512" s="501"/>
      <c r="FD2512" s="501"/>
      <c r="FE2512" s="501"/>
      <c r="FF2512" s="501"/>
      <c r="FG2512" s="501"/>
      <c r="FH2512" s="501"/>
      <c r="FI2512" s="501"/>
      <c r="FJ2512" s="501"/>
      <c r="FK2512" s="501"/>
      <c r="FL2512" s="501"/>
      <c r="FM2512" s="501"/>
      <c r="FN2512" s="501"/>
      <c r="FO2512" s="501"/>
      <c r="FP2512" s="501"/>
      <c r="FQ2512" s="501"/>
      <c r="FR2512" s="501"/>
      <c r="FS2512" s="501"/>
      <c r="FT2512" s="501"/>
      <c r="FU2512" s="501"/>
      <c r="FV2512" s="501"/>
      <c r="FW2512" s="501"/>
      <c r="FX2512" s="501"/>
      <c r="FY2512" s="501"/>
      <c r="FZ2512" s="501"/>
      <c r="GA2512" s="501"/>
      <c r="GB2512" s="501"/>
      <c r="GC2512" s="501"/>
      <c r="GD2512" s="501"/>
      <c r="GE2512" s="501"/>
      <c r="GF2512" s="501"/>
      <c r="GG2512" s="501"/>
      <c r="GH2512" s="501"/>
      <c r="GI2512" s="501"/>
      <c r="GJ2512" s="501"/>
      <c r="GK2512" s="501"/>
      <c r="GL2512" s="501"/>
      <c r="GM2512" s="501"/>
      <c r="GN2512" s="501"/>
      <c r="GO2512" s="501"/>
      <c r="GP2512" s="501"/>
      <c r="GQ2512" s="501"/>
      <c r="GR2512" s="501"/>
      <c r="GS2512" s="501"/>
      <c r="GT2512" s="501"/>
      <c r="GU2512" s="501"/>
      <c r="GV2512" s="501"/>
      <c r="GW2512" s="501"/>
      <c r="GX2512" s="501"/>
      <c r="GY2512" s="501"/>
      <c r="GZ2512" s="501"/>
      <c r="HA2512" s="501"/>
      <c r="HB2512" s="501"/>
      <c r="HC2512" s="501"/>
      <c r="HD2512" s="501"/>
      <c r="HE2512" s="501"/>
      <c r="HF2512" s="501"/>
      <c r="HG2512" s="501"/>
      <c r="HH2512" s="501"/>
      <c r="HI2512" s="501"/>
      <c r="HJ2512" s="501"/>
      <c r="HK2512" s="501"/>
      <c r="HL2512" s="501"/>
      <c r="HM2512" s="501"/>
      <c r="HN2512" s="501"/>
      <c r="HO2512" s="501"/>
      <c r="HP2512" s="501"/>
      <c r="HQ2512" s="501"/>
      <c r="HR2512" s="501"/>
      <c r="HS2512" s="501"/>
      <c r="HT2512" s="501"/>
      <c r="HU2512" s="501"/>
      <c r="HV2512" s="501"/>
      <c r="HW2512" s="501"/>
      <c r="HX2512" s="501"/>
      <c r="HY2512" s="501"/>
      <c r="HZ2512" s="501"/>
      <c r="IA2512" s="501"/>
      <c r="IB2512" s="501"/>
      <c r="IC2512" s="501"/>
      <c r="ID2512" s="501"/>
      <c r="IE2512" s="501"/>
      <c r="IF2512" s="501"/>
      <c r="IG2512" s="501"/>
      <c r="IH2512" s="501"/>
      <c r="II2512" s="501"/>
      <c r="IJ2512" s="501"/>
      <c r="IK2512" s="501"/>
      <c r="IL2512" s="501"/>
      <c r="IM2512" s="501"/>
      <c r="IN2512" s="501"/>
      <c r="IO2512" s="501"/>
      <c r="IP2512" s="501"/>
      <c r="IQ2512" s="501"/>
      <c r="IR2512" s="501"/>
      <c r="IS2512" s="501"/>
      <c r="IT2512" s="501"/>
      <c r="IU2512" s="501"/>
    </row>
    <row r="2513" spans="1:255" s="877" customFormat="1" ht="24" customHeight="1">
      <c r="A2513" s="501"/>
      <c r="B2513" s="501"/>
      <c r="C2513" s="501"/>
      <c r="D2513" s="501"/>
      <c r="E2513" s="501"/>
      <c r="F2513" s="501"/>
      <c r="G2513" s="915"/>
      <c r="H2513" s="501"/>
      <c r="I2513" s="874"/>
      <c r="J2513" s="501"/>
      <c r="K2513" s="501"/>
      <c r="L2513" s="874"/>
      <c r="M2513" s="554"/>
      <c r="N2513" s="501"/>
      <c r="O2513" s="501"/>
      <c r="P2513" s="902"/>
      <c r="Q2513" s="885"/>
      <c r="R2513" s="501"/>
      <c r="S2513" s="874"/>
      <c r="T2513" s="885"/>
      <c r="V2513" s="501"/>
      <c r="W2513" s="501"/>
      <c r="X2513" s="501"/>
      <c r="Y2513" s="501"/>
      <c r="Z2513" s="501"/>
      <c r="AA2513" s="501"/>
      <c r="AB2513" s="501"/>
      <c r="AC2513" s="501"/>
      <c r="AD2513" s="501"/>
      <c r="AE2513" s="501"/>
      <c r="AF2513" s="501"/>
      <c r="AG2513" s="501"/>
      <c r="AH2513" s="501"/>
      <c r="AI2513" s="501"/>
      <c r="AJ2513" s="501"/>
      <c r="AK2513" s="501"/>
      <c r="AL2513" s="501"/>
      <c r="AM2513" s="501"/>
      <c r="AN2513" s="501"/>
      <c r="AO2513" s="501"/>
      <c r="AP2513" s="501"/>
      <c r="AQ2513" s="501"/>
      <c r="AR2513" s="501"/>
      <c r="AS2513" s="501"/>
      <c r="AT2513" s="501"/>
      <c r="AU2513" s="501"/>
      <c r="AV2513" s="501"/>
      <c r="AW2513" s="501"/>
      <c r="AX2513" s="501"/>
      <c r="AY2513" s="501"/>
      <c r="AZ2513" s="501"/>
      <c r="BA2513" s="501"/>
      <c r="BB2513" s="501"/>
      <c r="BC2513" s="501"/>
      <c r="BD2513" s="501"/>
      <c r="BE2513" s="501"/>
      <c r="BF2513" s="501"/>
      <c r="BG2513" s="501"/>
      <c r="BH2513" s="501"/>
      <c r="BI2513" s="501"/>
      <c r="BJ2513" s="501"/>
      <c r="BK2513" s="501"/>
      <c r="BL2513" s="501"/>
      <c r="BM2513" s="501"/>
      <c r="BN2513" s="501"/>
      <c r="BO2513" s="501"/>
      <c r="BP2513" s="501"/>
      <c r="BQ2513" s="501"/>
      <c r="BR2513" s="501"/>
      <c r="BS2513" s="501"/>
      <c r="BT2513" s="501"/>
      <c r="BU2513" s="501"/>
      <c r="BV2513" s="501"/>
      <c r="BW2513" s="501"/>
      <c r="BX2513" s="501"/>
      <c r="BY2513" s="501"/>
      <c r="BZ2513" s="501"/>
      <c r="CA2513" s="501"/>
      <c r="CB2513" s="501"/>
      <c r="CC2513" s="501"/>
      <c r="CD2513" s="501"/>
      <c r="CE2513" s="501"/>
      <c r="CF2513" s="501"/>
      <c r="CG2513" s="501"/>
      <c r="CH2513" s="501"/>
      <c r="CI2513" s="501"/>
      <c r="CJ2513" s="501"/>
      <c r="CK2513" s="501"/>
      <c r="CL2513" s="501"/>
      <c r="CM2513" s="501"/>
      <c r="CN2513" s="501"/>
      <c r="CO2513" s="501"/>
      <c r="CP2513" s="501"/>
      <c r="CQ2513" s="501"/>
      <c r="CR2513" s="501"/>
      <c r="CS2513" s="501"/>
      <c r="CT2513" s="501"/>
      <c r="CU2513" s="501"/>
      <c r="CV2513" s="501"/>
      <c r="CW2513" s="501"/>
      <c r="CX2513" s="501"/>
      <c r="CY2513" s="501"/>
      <c r="CZ2513" s="501"/>
      <c r="DA2513" s="501"/>
      <c r="DB2513" s="501"/>
      <c r="DC2513" s="501"/>
      <c r="DD2513" s="501"/>
      <c r="DE2513" s="501"/>
      <c r="DF2513" s="501"/>
      <c r="DG2513" s="501"/>
      <c r="DH2513" s="501"/>
      <c r="DI2513" s="501"/>
      <c r="DJ2513" s="501"/>
      <c r="DK2513" s="501"/>
      <c r="DL2513" s="501"/>
      <c r="DM2513" s="501"/>
      <c r="DN2513" s="501"/>
      <c r="DO2513" s="501"/>
      <c r="DP2513" s="501"/>
      <c r="DQ2513" s="501"/>
      <c r="DR2513" s="501"/>
      <c r="DS2513" s="501"/>
      <c r="DT2513" s="501"/>
      <c r="DU2513" s="501"/>
      <c r="DV2513" s="501"/>
      <c r="DW2513" s="501"/>
      <c r="DX2513" s="501"/>
      <c r="DY2513" s="501"/>
      <c r="DZ2513" s="501"/>
      <c r="EA2513" s="501"/>
      <c r="EB2513" s="501"/>
      <c r="EC2513" s="501"/>
      <c r="ED2513" s="501"/>
      <c r="EE2513" s="501"/>
      <c r="EF2513" s="501"/>
      <c r="EG2513" s="501"/>
      <c r="EH2513" s="501"/>
      <c r="EI2513" s="501"/>
      <c r="EJ2513" s="501"/>
      <c r="EK2513" s="501"/>
      <c r="EL2513" s="501"/>
      <c r="EM2513" s="501"/>
      <c r="EN2513" s="501"/>
      <c r="EO2513" s="501"/>
      <c r="EP2513" s="501"/>
      <c r="EQ2513" s="501"/>
      <c r="ER2513" s="501"/>
      <c r="ES2513" s="501"/>
      <c r="ET2513" s="501"/>
      <c r="EU2513" s="501"/>
      <c r="EV2513" s="501"/>
      <c r="EW2513" s="501"/>
      <c r="EX2513" s="501"/>
      <c r="EY2513" s="501"/>
      <c r="EZ2513" s="501"/>
      <c r="FA2513" s="501"/>
      <c r="FB2513" s="501"/>
      <c r="FC2513" s="501"/>
      <c r="FD2513" s="501"/>
      <c r="FE2513" s="501"/>
      <c r="FF2513" s="501"/>
      <c r="FG2513" s="501"/>
      <c r="FH2513" s="501"/>
      <c r="FI2513" s="501"/>
      <c r="FJ2513" s="501"/>
      <c r="FK2513" s="501"/>
      <c r="FL2513" s="501"/>
      <c r="FM2513" s="501"/>
      <c r="FN2513" s="501"/>
      <c r="FO2513" s="501"/>
      <c r="FP2513" s="501"/>
      <c r="FQ2513" s="501"/>
      <c r="FR2513" s="501"/>
      <c r="FS2513" s="501"/>
      <c r="FT2513" s="501"/>
      <c r="FU2513" s="501"/>
      <c r="FV2513" s="501"/>
      <c r="FW2513" s="501"/>
      <c r="FX2513" s="501"/>
      <c r="FY2513" s="501"/>
      <c r="FZ2513" s="501"/>
      <c r="GA2513" s="501"/>
      <c r="GB2513" s="501"/>
      <c r="GC2513" s="501"/>
      <c r="GD2513" s="501"/>
      <c r="GE2513" s="501"/>
      <c r="GF2513" s="501"/>
      <c r="GG2513" s="501"/>
      <c r="GH2513" s="501"/>
      <c r="GI2513" s="501"/>
      <c r="GJ2513" s="501"/>
      <c r="GK2513" s="501"/>
      <c r="GL2513" s="501"/>
      <c r="GM2513" s="501"/>
      <c r="GN2513" s="501"/>
      <c r="GO2513" s="501"/>
      <c r="GP2513" s="501"/>
      <c r="GQ2513" s="501"/>
      <c r="GR2513" s="501"/>
      <c r="GS2513" s="501"/>
      <c r="GT2513" s="501"/>
      <c r="GU2513" s="501"/>
      <c r="GV2513" s="501"/>
      <c r="GW2513" s="501"/>
      <c r="GX2513" s="501"/>
      <c r="GY2513" s="501"/>
      <c r="GZ2513" s="501"/>
      <c r="HA2513" s="501"/>
      <c r="HB2513" s="501"/>
      <c r="HC2513" s="501"/>
      <c r="HD2513" s="501"/>
      <c r="HE2513" s="501"/>
      <c r="HF2513" s="501"/>
      <c r="HG2513" s="501"/>
      <c r="HH2513" s="501"/>
      <c r="HI2513" s="501"/>
      <c r="HJ2513" s="501"/>
      <c r="HK2513" s="501"/>
      <c r="HL2513" s="501"/>
      <c r="HM2513" s="501"/>
      <c r="HN2513" s="501"/>
      <c r="HO2513" s="501"/>
      <c r="HP2513" s="501"/>
      <c r="HQ2513" s="501"/>
      <c r="HR2513" s="501"/>
      <c r="HS2513" s="501"/>
      <c r="HT2513" s="501"/>
      <c r="HU2513" s="501"/>
      <c r="HV2513" s="501"/>
      <c r="HW2513" s="501"/>
      <c r="HX2513" s="501"/>
      <c r="HY2513" s="501"/>
      <c r="HZ2513" s="501"/>
      <c r="IA2513" s="501"/>
      <c r="IB2513" s="501"/>
      <c r="IC2513" s="501"/>
      <c r="ID2513" s="501"/>
      <c r="IE2513" s="501"/>
      <c r="IF2513" s="501"/>
      <c r="IG2513" s="501"/>
      <c r="IH2513" s="501"/>
      <c r="II2513" s="501"/>
      <c r="IJ2513" s="501"/>
      <c r="IK2513" s="501"/>
      <c r="IL2513" s="501"/>
      <c r="IM2513" s="501"/>
      <c r="IN2513" s="501"/>
      <c r="IO2513" s="501"/>
      <c r="IP2513" s="501"/>
      <c r="IQ2513" s="501"/>
      <c r="IR2513" s="501"/>
      <c r="IS2513" s="501"/>
      <c r="IT2513" s="501"/>
      <c r="IU2513" s="501"/>
    </row>
    <row r="2514" spans="1:255" s="877" customFormat="1" ht="24" customHeight="1">
      <c r="A2514" s="501"/>
      <c r="B2514" s="501"/>
      <c r="C2514" s="501"/>
      <c r="D2514" s="501"/>
      <c r="E2514" s="501"/>
      <c r="F2514" s="501"/>
      <c r="G2514" s="915"/>
      <c r="H2514" s="501"/>
      <c r="I2514" s="874"/>
      <c r="J2514" s="501"/>
      <c r="K2514" s="501"/>
      <c r="L2514" s="874"/>
      <c r="M2514" s="554"/>
      <c r="N2514" s="501"/>
      <c r="O2514" s="501"/>
      <c r="P2514" s="902"/>
      <c r="Q2514" s="501"/>
      <c r="R2514" s="501"/>
      <c r="S2514" s="874"/>
      <c r="T2514" s="903"/>
      <c r="V2514" s="501"/>
      <c r="W2514" s="501"/>
      <c r="X2514" s="501"/>
      <c r="Y2514" s="501"/>
      <c r="Z2514" s="501"/>
      <c r="AA2514" s="501"/>
      <c r="AB2514" s="501"/>
      <c r="AC2514" s="501"/>
      <c r="AD2514" s="501"/>
      <c r="AE2514" s="501"/>
      <c r="AF2514" s="501"/>
      <c r="AG2514" s="501"/>
      <c r="AH2514" s="501"/>
      <c r="AI2514" s="501"/>
      <c r="AJ2514" s="501"/>
      <c r="AK2514" s="501"/>
      <c r="AL2514" s="501"/>
      <c r="AM2514" s="501"/>
      <c r="AN2514" s="501"/>
      <c r="AO2514" s="501"/>
      <c r="AP2514" s="501"/>
      <c r="AQ2514" s="501"/>
      <c r="AR2514" s="501"/>
      <c r="AS2514" s="501"/>
      <c r="AT2514" s="501"/>
      <c r="AU2514" s="501"/>
      <c r="AV2514" s="501"/>
      <c r="AW2514" s="501"/>
      <c r="AX2514" s="501"/>
      <c r="AY2514" s="501"/>
      <c r="AZ2514" s="501"/>
      <c r="BA2514" s="501"/>
      <c r="BB2514" s="501"/>
      <c r="BC2514" s="501"/>
      <c r="BD2514" s="501"/>
      <c r="BE2514" s="501"/>
      <c r="BF2514" s="501"/>
      <c r="BG2514" s="501"/>
      <c r="BH2514" s="501"/>
      <c r="BI2514" s="501"/>
      <c r="BJ2514" s="501"/>
      <c r="BK2514" s="501"/>
      <c r="BL2514" s="501"/>
      <c r="BM2514" s="501"/>
      <c r="BN2514" s="501"/>
      <c r="BO2514" s="501"/>
      <c r="BP2514" s="501"/>
      <c r="BQ2514" s="501"/>
      <c r="BR2514" s="501"/>
      <c r="BS2514" s="501"/>
      <c r="BT2514" s="501"/>
      <c r="BU2514" s="501"/>
      <c r="BV2514" s="501"/>
      <c r="BW2514" s="501"/>
      <c r="BX2514" s="501"/>
      <c r="BY2514" s="501"/>
      <c r="BZ2514" s="501"/>
      <c r="CA2514" s="501"/>
      <c r="CB2514" s="501"/>
      <c r="CC2514" s="501"/>
      <c r="CD2514" s="501"/>
      <c r="CE2514" s="501"/>
      <c r="CF2514" s="501"/>
      <c r="CG2514" s="501"/>
      <c r="CH2514" s="501"/>
      <c r="CI2514" s="501"/>
      <c r="CJ2514" s="501"/>
      <c r="CK2514" s="501"/>
      <c r="CL2514" s="501"/>
      <c r="CM2514" s="501"/>
      <c r="CN2514" s="501"/>
      <c r="CO2514" s="501"/>
      <c r="CP2514" s="501"/>
      <c r="CQ2514" s="501"/>
      <c r="CR2514" s="501"/>
      <c r="CS2514" s="501"/>
      <c r="CT2514" s="501"/>
      <c r="CU2514" s="501"/>
      <c r="CV2514" s="501"/>
      <c r="CW2514" s="501"/>
      <c r="CX2514" s="501"/>
      <c r="CY2514" s="501"/>
      <c r="CZ2514" s="501"/>
      <c r="DA2514" s="501"/>
      <c r="DB2514" s="501"/>
      <c r="DC2514" s="501"/>
      <c r="DD2514" s="501"/>
      <c r="DE2514" s="501"/>
      <c r="DF2514" s="501"/>
      <c r="DG2514" s="501"/>
      <c r="DH2514" s="501"/>
      <c r="DI2514" s="501"/>
      <c r="DJ2514" s="501"/>
      <c r="DK2514" s="501"/>
      <c r="DL2514" s="501"/>
      <c r="DM2514" s="501"/>
      <c r="DN2514" s="501"/>
      <c r="DO2514" s="501"/>
      <c r="DP2514" s="501"/>
      <c r="DQ2514" s="501"/>
      <c r="DR2514" s="501"/>
      <c r="DS2514" s="501"/>
      <c r="DT2514" s="501"/>
      <c r="DU2514" s="501"/>
      <c r="DV2514" s="501"/>
      <c r="DW2514" s="501"/>
      <c r="DX2514" s="501"/>
      <c r="DY2514" s="501"/>
      <c r="DZ2514" s="501"/>
      <c r="EA2514" s="501"/>
      <c r="EB2514" s="501"/>
      <c r="EC2514" s="501"/>
      <c r="ED2514" s="501"/>
      <c r="EE2514" s="501"/>
      <c r="EF2514" s="501"/>
      <c r="EG2514" s="501"/>
      <c r="EH2514" s="501"/>
      <c r="EI2514" s="501"/>
      <c r="EJ2514" s="501"/>
      <c r="EK2514" s="501"/>
      <c r="EL2514" s="501"/>
      <c r="EM2514" s="501"/>
      <c r="EN2514" s="501"/>
      <c r="EO2514" s="501"/>
      <c r="EP2514" s="501"/>
      <c r="EQ2514" s="501"/>
      <c r="ER2514" s="501"/>
      <c r="ES2514" s="501"/>
      <c r="ET2514" s="501"/>
      <c r="EU2514" s="501"/>
      <c r="EV2514" s="501"/>
      <c r="EW2514" s="501"/>
      <c r="EX2514" s="501"/>
      <c r="EY2514" s="501"/>
      <c r="EZ2514" s="501"/>
      <c r="FA2514" s="501"/>
      <c r="FB2514" s="501"/>
      <c r="FC2514" s="501"/>
      <c r="FD2514" s="501"/>
      <c r="FE2514" s="501"/>
      <c r="FF2514" s="501"/>
      <c r="FG2514" s="501"/>
      <c r="FH2514" s="501"/>
      <c r="FI2514" s="501"/>
      <c r="FJ2514" s="501"/>
      <c r="FK2514" s="501"/>
      <c r="FL2514" s="501"/>
      <c r="FM2514" s="501"/>
      <c r="FN2514" s="501"/>
      <c r="FO2514" s="501"/>
      <c r="FP2514" s="501"/>
      <c r="FQ2514" s="501"/>
      <c r="FR2514" s="501"/>
      <c r="FS2514" s="501"/>
      <c r="FT2514" s="501"/>
      <c r="FU2514" s="501"/>
      <c r="FV2514" s="501"/>
      <c r="FW2514" s="501"/>
      <c r="FX2514" s="501"/>
      <c r="FY2514" s="501"/>
      <c r="FZ2514" s="501"/>
      <c r="GA2514" s="501"/>
      <c r="GB2514" s="501"/>
      <c r="GC2514" s="501"/>
      <c r="GD2514" s="501"/>
      <c r="GE2514" s="501"/>
      <c r="GF2514" s="501"/>
      <c r="GG2514" s="501"/>
      <c r="GH2514" s="501"/>
      <c r="GI2514" s="501"/>
      <c r="GJ2514" s="501"/>
      <c r="GK2514" s="501"/>
      <c r="GL2514" s="501"/>
      <c r="GM2514" s="501"/>
      <c r="GN2514" s="501"/>
      <c r="GO2514" s="501"/>
      <c r="GP2514" s="501"/>
      <c r="GQ2514" s="501"/>
      <c r="GR2514" s="501"/>
      <c r="GS2514" s="501"/>
      <c r="GT2514" s="501"/>
      <c r="GU2514" s="501"/>
      <c r="GV2514" s="501"/>
      <c r="GW2514" s="501"/>
      <c r="GX2514" s="501"/>
      <c r="GY2514" s="501"/>
      <c r="GZ2514" s="501"/>
      <c r="HA2514" s="501"/>
      <c r="HB2514" s="501"/>
      <c r="HC2514" s="501"/>
      <c r="HD2514" s="501"/>
      <c r="HE2514" s="501"/>
      <c r="HF2514" s="501"/>
      <c r="HG2514" s="501"/>
      <c r="HH2514" s="501"/>
      <c r="HI2514" s="501"/>
      <c r="HJ2514" s="501"/>
      <c r="HK2514" s="501"/>
      <c r="HL2514" s="501"/>
      <c r="HM2514" s="501"/>
      <c r="HN2514" s="501"/>
      <c r="HO2514" s="501"/>
      <c r="HP2514" s="501"/>
      <c r="HQ2514" s="501"/>
      <c r="HR2514" s="501"/>
      <c r="HS2514" s="501"/>
      <c r="HT2514" s="501"/>
      <c r="HU2514" s="501"/>
      <c r="HV2514" s="501"/>
      <c r="HW2514" s="501"/>
      <c r="HX2514" s="501"/>
      <c r="HY2514" s="501"/>
      <c r="HZ2514" s="501"/>
      <c r="IA2514" s="501"/>
      <c r="IB2514" s="501"/>
      <c r="IC2514" s="501"/>
      <c r="ID2514" s="501"/>
      <c r="IE2514" s="501"/>
      <c r="IF2514" s="501"/>
      <c r="IG2514" s="501"/>
      <c r="IH2514" s="501"/>
      <c r="II2514" s="501"/>
      <c r="IJ2514" s="501"/>
      <c r="IK2514" s="501"/>
      <c r="IL2514" s="501"/>
      <c r="IM2514" s="501"/>
      <c r="IN2514" s="501"/>
      <c r="IO2514" s="501"/>
      <c r="IP2514" s="501"/>
      <c r="IQ2514" s="501"/>
      <c r="IR2514" s="501"/>
      <c r="IS2514" s="501"/>
      <c r="IT2514" s="501"/>
      <c r="IU2514" s="501"/>
    </row>
    <row r="2515" spans="1:255" s="877" customFormat="1" ht="24" customHeight="1">
      <c r="A2515" s="501"/>
      <c r="B2515" s="501"/>
      <c r="C2515" s="501"/>
      <c r="D2515" s="501"/>
      <c r="E2515" s="501"/>
      <c r="F2515" s="501"/>
      <c r="G2515" s="915"/>
      <c r="H2515" s="501"/>
      <c r="I2515" s="874"/>
      <c r="J2515" s="501"/>
      <c r="K2515" s="501"/>
      <c r="L2515" s="874"/>
      <c r="M2515" s="554"/>
      <c r="N2515" s="501"/>
      <c r="O2515" s="501"/>
      <c r="P2515" s="902"/>
      <c r="Q2515" s="899"/>
      <c r="R2515" s="501"/>
      <c r="S2515" s="874"/>
      <c r="T2515" s="885"/>
      <c r="V2515" s="501"/>
      <c r="W2515" s="501"/>
      <c r="X2515" s="501"/>
      <c r="Y2515" s="501"/>
      <c r="Z2515" s="501"/>
      <c r="AA2515" s="501"/>
      <c r="AB2515" s="501"/>
      <c r="AC2515" s="501"/>
      <c r="AD2515" s="501"/>
      <c r="AE2515" s="501"/>
      <c r="AF2515" s="501"/>
      <c r="AG2515" s="501"/>
      <c r="AH2515" s="501"/>
      <c r="AI2515" s="501"/>
      <c r="AJ2515" s="501"/>
      <c r="AK2515" s="501"/>
      <c r="AL2515" s="501"/>
      <c r="AM2515" s="501"/>
      <c r="AN2515" s="501"/>
      <c r="AO2515" s="501"/>
      <c r="AP2515" s="501"/>
      <c r="AQ2515" s="501"/>
      <c r="AR2515" s="501"/>
      <c r="AS2515" s="501"/>
      <c r="AT2515" s="501"/>
      <c r="AU2515" s="501"/>
      <c r="AV2515" s="501"/>
      <c r="AW2515" s="501"/>
      <c r="AX2515" s="501"/>
      <c r="AY2515" s="501"/>
      <c r="AZ2515" s="501"/>
      <c r="BA2515" s="501"/>
      <c r="BB2515" s="501"/>
      <c r="BC2515" s="501"/>
      <c r="BD2515" s="501"/>
      <c r="BE2515" s="501"/>
      <c r="BF2515" s="501"/>
      <c r="BG2515" s="501"/>
      <c r="BH2515" s="501"/>
      <c r="BI2515" s="501"/>
      <c r="BJ2515" s="501"/>
      <c r="BK2515" s="501"/>
      <c r="BL2515" s="501"/>
      <c r="BM2515" s="501"/>
      <c r="BN2515" s="501"/>
      <c r="BO2515" s="501"/>
      <c r="BP2515" s="501"/>
      <c r="BQ2515" s="501"/>
      <c r="BR2515" s="501"/>
      <c r="BS2515" s="501"/>
      <c r="BT2515" s="501"/>
      <c r="BU2515" s="501"/>
      <c r="BV2515" s="501"/>
      <c r="BW2515" s="501"/>
      <c r="BX2515" s="501"/>
      <c r="BY2515" s="501"/>
      <c r="BZ2515" s="501"/>
      <c r="CA2515" s="501"/>
      <c r="CB2515" s="501"/>
      <c r="CC2515" s="501"/>
      <c r="CD2515" s="501"/>
      <c r="CE2515" s="501"/>
      <c r="CF2515" s="501"/>
      <c r="CG2515" s="501"/>
      <c r="CH2515" s="501"/>
      <c r="CI2515" s="501"/>
      <c r="CJ2515" s="501"/>
      <c r="CK2515" s="501"/>
      <c r="CL2515" s="501"/>
      <c r="CM2515" s="501"/>
      <c r="CN2515" s="501"/>
      <c r="CO2515" s="501"/>
      <c r="CP2515" s="501"/>
      <c r="CQ2515" s="501"/>
      <c r="CR2515" s="501"/>
      <c r="CS2515" s="501"/>
      <c r="CT2515" s="501"/>
      <c r="CU2515" s="501"/>
      <c r="CV2515" s="501"/>
      <c r="CW2515" s="501"/>
      <c r="CX2515" s="501"/>
      <c r="CY2515" s="501"/>
      <c r="CZ2515" s="501"/>
      <c r="DA2515" s="501"/>
      <c r="DB2515" s="501"/>
      <c r="DC2515" s="501"/>
      <c r="DD2515" s="501"/>
      <c r="DE2515" s="501"/>
      <c r="DF2515" s="501"/>
      <c r="DG2515" s="501"/>
      <c r="DH2515" s="501"/>
      <c r="DI2515" s="501"/>
      <c r="DJ2515" s="501"/>
      <c r="DK2515" s="501"/>
      <c r="DL2515" s="501"/>
      <c r="DM2515" s="501"/>
      <c r="DN2515" s="501"/>
      <c r="DO2515" s="501"/>
      <c r="DP2515" s="501"/>
      <c r="DQ2515" s="501"/>
      <c r="DR2515" s="501"/>
      <c r="DS2515" s="501"/>
      <c r="DT2515" s="501"/>
      <c r="DU2515" s="501"/>
      <c r="DV2515" s="501"/>
      <c r="DW2515" s="501"/>
      <c r="DX2515" s="501"/>
      <c r="DY2515" s="501"/>
      <c r="DZ2515" s="501"/>
      <c r="EA2515" s="501"/>
      <c r="EB2515" s="501"/>
      <c r="EC2515" s="501"/>
      <c r="ED2515" s="501"/>
      <c r="EE2515" s="501"/>
      <c r="EF2515" s="501"/>
      <c r="EG2515" s="501"/>
      <c r="EH2515" s="501"/>
      <c r="EI2515" s="501"/>
      <c r="EJ2515" s="501"/>
      <c r="EK2515" s="501"/>
      <c r="EL2515" s="501"/>
      <c r="EM2515" s="501"/>
      <c r="EN2515" s="501"/>
      <c r="EO2515" s="501"/>
      <c r="EP2515" s="501"/>
      <c r="EQ2515" s="501"/>
      <c r="ER2515" s="501"/>
      <c r="ES2515" s="501"/>
      <c r="ET2515" s="501"/>
      <c r="EU2515" s="501"/>
      <c r="EV2515" s="501"/>
      <c r="EW2515" s="501"/>
      <c r="EX2515" s="501"/>
      <c r="EY2515" s="501"/>
      <c r="EZ2515" s="501"/>
      <c r="FA2515" s="501"/>
      <c r="FB2515" s="501"/>
      <c r="FC2515" s="501"/>
      <c r="FD2515" s="501"/>
      <c r="FE2515" s="501"/>
      <c r="FF2515" s="501"/>
      <c r="FG2515" s="501"/>
      <c r="FH2515" s="501"/>
      <c r="FI2515" s="501"/>
      <c r="FJ2515" s="501"/>
      <c r="FK2515" s="501"/>
      <c r="FL2515" s="501"/>
      <c r="FM2515" s="501"/>
      <c r="FN2515" s="501"/>
      <c r="FO2515" s="501"/>
      <c r="FP2515" s="501"/>
      <c r="FQ2515" s="501"/>
      <c r="FR2515" s="501"/>
      <c r="FS2515" s="501"/>
      <c r="FT2515" s="501"/>
      <c r="FU2515" s="501"/>
      <c r="FV2515" s="501"/>
      <c r="FW2515" s="501"/>
      <c r="FX2515" s="501"/>
      <c r="FY2515" s="501"/>
      <c r="FZ2515" s="501"/>
      <c r="GA2515" s="501"/>
      <c r="GB2515" s="501"/>
      <c r="GC2515" s="501"/>
      <c r="GD2515" s="501"/>
      <c r="GE2515" s="501"/>
      <c r="GF2515" s="501"/>
      <c r="GG2515" s="501"/>
      <c r="GH2515" s="501"/>
      <c r="GI2515" s="501"/>
      <c r="GJ2515" s="501"/>
      <c r="GK2515" s="501"/>
      <c r="GL2515" s="501"/>
      <c r="GM2515" s="501"/>
      <c r="GN2515" s="501"/>
      <c r="GO2515" s="501"/>
      <c r="GP2515" s="501"/>
      <c r="GQ2515" s="501"/>
      <c r="GR2515" s="501"/>
      <c r="GS2515" s="501"/>
      <c r="GT2515" s="501"/>
      <c r="GU2515" s="501"/>
      <c r="GV2515" s="501"/>
      <c r="GW2515" s="501"/>
      <c r="GX2515" s="501"/>
      <c r="GY2515" s="501"/>
      <c r="GZ2515" s="501"/>
      <c r="HA2515" s="501"/>
      <c r="HB2515" s="501"/>
      <c r="HC2515" s="501"/>
      <c r="HD2515" s="501"/>
      <c r="HE2515" s="501"/>
      <c r="HF2515" s="501"/>
      <c r="HG2515" s="501"/>
      <c r="HH2515" s="501"/>
      <c r="HI2515" s="501"/>
      <c r="HJ2515" s="501"/>
      <c r="HK2515" s="501"/>
      <c r="HL2515" s="501"/>
      <c r="HM2515" s="501"/>
      <c r="HN2515" s="501"/>
      <c r="HO2515" s="501"/>
      <c r="HP2515" s="501"/>
      <c r="HQ2515" s="501"/>
      <c r="HR2515" s="501"/>
      <c r="HS2515" s="501"/>
      <c r="HT2515" s="501"/>
      <c r="HU2515" s="501"/>
      <c r="HV2515" s="501"/>
      <c r="HW2515" s="501"/>
      <c r="HX2515" s="501"/>
      <c r="HY2515" s="501"/>
      <c r="HZ2515" s="501"/>
      <c r="IA2515" s="501"/>
      <c r="IB2515" s="501"/>
      <c r="IC2515" s="501"/>
      <c r="ID2515" s="501"/>
      <c r="IE2515" s="501"/>
      <c r="IF2515" s="501"/>
      <c r="IG2515" s="501"/>
      <c r="IH2515" s="501"/>
      <c r="II2515" s="501"/>
      <c r="IJ2515" s="501"/>
      <c r="IK2515" s="501"/>
      <c r="IL2515" s="501"/>
      <c r="IM2515" s="501"/>
      <c r="IN2515" s="501"/>
      <c r="IO2515" s="501"/>
      <c r="IP2515" s="501"/>
      <c r="IQ2515" s="501"/>
      <c r="IR2515" s="501"/>
      <c r="IS2515" s="501"/>
      <c r="IT2515" s="501"/>
      <c r="IU2515" s="501"/>
    </row>
    <row r="2516" spans="1:255" s="877" customFormat="1" ht="24" customHeight="1">
      <c r="A2516" s="501"/>
      <c r="B2516" s="501"/>
      <c r="C2516" s="501"/>
      <c r="D2516" s="501"/>
      <c r="E2516" s="501"/>
      <c r="F2516" s="501"/>
      <c r="G2516" s="915"/>
      <c r="H2516" s="501"/>
      <c r="I2516" s="874"/>
      <c r="J2516" s="501"/>
      <c r="K2516" s="501"/>
      <c r="L2516" s="874"/>
      <c r="M2516" s="554"/>
      <c r="N2516" s="501"/>
      <c r="O2516" s="501"/>
      <c r="P2516" s="501"/>
      <c r="Q2516" s="501"/>
      <c r="R2516" s="501"/>
      <c r="S2516" s="501"/>
      <c r="T2516" s="501"/>
      <c r="V2516" s="501"/>
      <c r="W2516" s="501"/>
      <c r="X2516" s="501"/>
      <c r="Y2516" s="501"/>
      <c r="Z2516" s="501"/>
      <c r="AA2516" s="501"/>
      <c r="AB2516" s="501"/>
      <c r="AC2516" s="501"/>
      <c r="AD2516" s="501"/>
      <c r="AE2516" s="501"/>
      <c r="AF2516" s="501"/>
      <c r="AG2516" s="501"/>
      <c r="AH2516" s="501"/>
      <c r="AI2516" s="501"/>
      <c r="AJ2516" s="501"/>
      <c r="AK2516" s="501"/>
      <c r="AL2516" s="501"/>
      <c r="AM2516" s="501"/>
      <c r="AN2516" s="501"/>
      <c r="AO2516" s="501"/>
      <c r="AP2516" s="501"/>
      <c r="AQ2516" s="501"/>
      <c r="AR2516" s="501"/>
      <c r="AS2516" s="501"/>
      <c r="AT2516" s="501"/>
      <c r="AU2516" s="501"/>
      <c r="AV2516" s="501"/>
      <c r="AW2516" s="501"/>
      <c r="AX2516" s="501"/>
      <c r="AY2516" s="501"/>
      <c r="AZ2516" s="501"/>
      <c r="BA2516" s="501"/>
      <c r="BB2516" s="501"/>
      <c r="BC2516" s="501"/>
      <c r="BD2516" s="501"/>
      <c r="BE2516" s="501"/>
      <c r="BF2516" s="501"/>
      <c r="BG2516" s="501"/>
      <c r="BH2516" s="501"/>
      <c r="BI2516" s="501"/>
      <c r="BJ2516" s="501"/>
      <c r="BK2516" s="501"/>
      <c r="BL2516" s="501"/>
      <c r="BM2516" s="501"/>
      <c r="BN2516" s="501"/>
      <c r="BO2516" s="501"/>
      <c r="BP2516" s="501"/>
      <c r="BQ2516" s="501"/>
      <c r="BR2516" s="501"/>
      <c r="BS2516" s="501"/>
      <c r="BT2516" s="501"/>
      <c r="BU2516" s="501"/>
      <c r="BV2516" s="501"/>
      <c r="BW2516" s="501"/>
      <c r="BX2516" s="501"/>
      <c r="BY2516" s="501"/>
      <c r="BZ2516" s="501"/>
      <c r="CA2516" s="501"/>
      <c r="CB2516" s="501"/>
      <c r="CC2516" s="501"/>
      <c r="CD2516" s="501"/>
      <c r="CE2516" s="501"/>
      <c r="CF2516" s="501"/>
      <c r="CG2516" s="501"/>
      <c r="CH2516" s="501"/>
      <c r="CI2516" s="501"/>
      <c r="CJ2516" s="501"/>
      <c r="CK2516" s="501"/>
      <c r="CL2516" s="501"/>
      <c r="CM2516" s="501"/>
      <c r="CN2516" s="501"/>
      <c r="CO2516" s="501"/>
      <c r="CP2516" s="501"/>
      <c r="CQ2516" s="501"/>
      <c r="CR2516" s="501"/>
      <c r="CS2516" s="501"/>
      <c r="CT2516" s="501"/>
      <c r="CU2516" s="501"/>
      <c r="CV2516" s="501"/>
      <c r="CW2516" s="501"/>
      <c r="CX2516" s="501"/>
      <c r="CY2516" s="501"/>
      <c r="CZ2516" s="501"/>
      <c r="DA2516" s="501"/>
      <c r="DB2516" s="501"/>
      <c r="DC2516" s="501"/>
      <c r="DD2516" s="501"/>
      <c r="DE2516" s="501"/>
      <c r="DF2516" s="501"/>
      <c r="DG2516" s="501"/>
      <c r="DH2516" s="501"/>
      <c r="DI2516" s="501"/>
      <c r="DJ2516" s="501"/>
      <c r="DK2516" s="501"/>
      <c r="DL2516" s="501"/>
      <c r="DM2516" s="501"/>
      <c r="DN2516" s="501"/>
      <c r="DO2516" s="501"/>
      <c r="DP2516" s="501"/>
      <c r="DQ2516" s="501"/>
      <c r="DR2516" s="501"/>
      <c r="DS2516" s="501"/>
      <c r="DT2516" s="501"/>
      <c r="DU2516" s="501"/>
      <c r="DV2516" s="501"/>
      <c r="DW2516" s="501"/>
      <c r="DX2516" s="501"/>
      <c r="DY2516" s="501"/>
      <c r="DZ2516" s="501"/>
      <c r="EA2516" s="501"/>
      <c r="EB2516" s="501"/>
      <c r="EC2516" s="501"/>
      <c r="ED2516" s="501"/>
      <c r="EE2516" s="501"/>
      <c r="EF2516" s="501"/>
      <c r="EG2516" s="501"/>
      <c r="EH2516" s="501"/>
      <c r="EI2516" s="501"/>
      <c r="EJ2516" s="501"/>
      <c r="EK2516" s="501"/>
      <c r="EL2516" s="501"/>
      <c r="EM2516" s="501"/>
      <c r="EN2516" s="501"/>
      <c r="EO2516" s="501"/>
      <c r="EP2516" s="501"/>
      <c r="EQ2516" s="501"/>
      <c r="ER2516" s="501"/>
      <c r="ES2516" s="501"/>
      <c r="ET2516" s="501"/>
      <c r="EU2516" s="501"/>
      <c r="EV2516" s="501"/>
      <c r="EW2516" s="501"/>
      <c r="EX2516" s="501"/>
      <c r="EY2516" s="501"/>
      <c r="EZ2516" s="501"/>
      <c r="FA2516" s="501"/>
      <c r="FB2516" s="501"/>
      <c r="FC2516" s="501"/>
      <c r="FD2516" s="501"/>
      <c r="FE2516" s="501"/>
      <c r="FF2516" s="501"/>
      <c r="FG2516" s="501"/>
      <c r="FH2516" s="501"/>
      <c r="FI2516" s="501"/>
      <c r="FJ2516" s="501"/>
      <c r="FK2516" s="501"/>
      <c r="FL2516" s="501"/>
      <c r="FM2516" s="501"/>
      <c r="FN2516" s="501"/>
      <c r="FO2516" s="501"/>
      <c r="FP2516" s="501"/>
      <c r="FQ2516" s="501"/>
      <c r="FR2516" s="501"/>
      <c r="FS2516" s="501"/>
      <c r="FT2516" s="501"/>
      <c r="FU2516" s="501"/>
      <c r="FV2516" s="501"/>
      <c r="FW2516" s="501"/>
      <c r="FX2516" s="501"/>
      <c r="FY2516" s="501"/>
      <c r="FZ2516" s="501"/>
      <c r="GA2516" s="501"/>
      <c r="GB2516" s="501"/>
      <c r="GC2516" s="501"/>
      <c r="GD2516" s="501"/>
      <c r="GE2516" s="501"/>
      <c r="GF2516" s="501"/>
      <c r="GG2516" s="501"/>
      <c r="GH2516" s="501"/>
      <c r="GI2516" s="501"/>
      <c r="GJ2516" s="501"/>
      <c r="GK2516" s="501"/>
      <c r="GL2516" s="501"/>
      <c r="GM2516" s="501"/>
      <c r="GN2516" s="501"/>
      <c r="GO2516" s="501"/>
      <c r="GP2516" s="501"/>
      <c r="GQ2516" s="501"/>
      <c r="GR2516" s="501"/>
      <c r="GS2516" s="501"/>
      <c r="GT2516" s="501"/>
      <c r="GU2516" s="501"/>
      <c r="GV2516" s="501"/>
      <c r="GW2516" s="501"/>
      <c r="GX2516" s="501"/>
      <c r="GY2516" s="501"/>
      <c r="GZ2516" s="501"/>
      <c r="HA2516" s="501"/>
      <c r="HB2516" s="501"/>
      <c r="HC2516" s="501"/>
      <c r="HD2516" s="501"/>
      <c r="HE2516" s="501"/>
      <c r="HF2516" s="501"/>
      <c r="HG2516" s="501"/>
      <c r="HH2516" s="501"/>
      <c r="HI2516" s="501"/>
      <c r="HJ2516" s="501"/>
      <c r="HK2516" s="501"/>
      <c r="HL2516" s="501"/>
      <c r="HM2516" s="501"/>
      <c r="HN2516" s="501"/>
      <c r="HO2516" s="501"/>
      <c r="HP2516" s="501"/>
      <c r="HQ2516" s="501"/>
      <c r="HR2516" s="501"/>
      <c r="HS2516" s="501"/>
      <c r="HT2516" s="501"/>
      <c r="HU2516" s="501"/>
      <c r="HV2516" s="501"/>
      <c r="HW2516" s="501"/>
      <c r="HX2516" s="501"/>
      <c r="HY2516" s="501"/>
      <c r="HZ2516" s="501"/>
      <c r="IA2516" s="501"/>
      <c r="IB2516" s="501"/>
      <c r="IC2516" s="501"/>
      <c r="ID2516" s="501"/>
      <c r="IE2516" s="501"/>
      <c r="IF2516" s="501"/>
      <c r="IG2516" s="501"/>
      <c r="IH2516" s="501"/>
      <c r="II2516" s="501"/>
      <c r="IJ2516" s="501"/>
      <c r="IK2516" s="501"/>
      <c r="IL2516" s="501"/>
      <c r="IM2516" s="501"/>
      <c r="IN2516" s="501"/>
      <c r="IO2516" s="501"/>
      <c r="IP2516" s="501"/>
      <c r="IQ2516" s="501"/>
      <c r="IR2516" s="501"/>
      <c r="IS2516" s="501"/>
      <c r="IT2516" s="501"/>
      <c r="IU2516" s="501"/>
    </row>
    <row r="2517" spans="1:255" s="877" customFormat="1" ht="24" customHeight="1">
      <c r="A2517" s="501"/>
      <c r="B2517" s="501"/>
      <c r="C2517" s="501"/>
      <c r="D2517" s="501"/>
      <c r="E2517" s="501"/>
      <c r="F2517" s="501"/>
      <c r="G2517" s="915"/>
      <c r="H2517" s="501"/>
      <c r="I2517" s="874"/>
      <c r="J2517" s="501"/>
      <c r="K2517" s="501"/>
      <c r="L2517" s="874"/>
      <c r="M2517" s="554"/>
      <c r="N2517" s="501"/>
      <c r="O2517" s="501"/>
      <c r="P2517" s="501"/>
      <c r="Q2517" s="501"/>
      <c r="R2517" s="501"/>
      <c r="S2517" s="501"/>
      <c r="T2517" s="501"/>
      <c r="V2517" s="501"/>
      <c r="W2517" s="501"/>
      <c r="X2517" s="501"/>
      <c r="Y2517" s="501"/>
      <c r="Z2517" s="501"/>
      <c r="AA2517" s="501"/>
      <c r="AB2517" s="501"/>
      <c r="AC2517" s="501"/>
      <c r="AD2517" s="501"/>
      <c r="AE2517" s="501"/>
      <c r="AF2517" s="501"/>
      <c r="AG2517" s="501"/>
      <c r="AH2517" s="501"/>
      <c r="AI2517" s="501"/>
      <c r="AJ2517" s="501"/>
      <c r="AK2517" s="501"/>
      <c r="AL2517" s="501"/>
      <c r="AM2517" s="501"/>
      <c r="AN2517" s="501"/>
      <c r="AO2517" s="501"/>
      <c r="AP2517" s="501"/>
      <c r="AQ2517" s="501"/>
      <c r="AR2517" s="501"/>
      <c r="AS2517" s="501"/>
      <c r="AT2517" s="501"/>
      <c r="AU2517" s="501"/>
      <c r="AV2517" s="501"/>
      <c r="AW2517" s="501"/>
      <c r="AX2517" s="501"/>
      <c r="AY2517" s="501"/>
      <c r="AZ2517" s="501"/>
      <c r="BA2517" s="501"/>
      <c r="BB2517" s="501"/>
      <c r="BC2517" s="501"/>
      <c r="BD2517" s="501"/>
      <c r="BE2517" s="501"/>
      <c r="BF2517" s="501"/>
      <c r="BG2517" s="501"/>
      <c r="BH2517" s="501"/>
      <c r="BI2517" s="501"/>
      <c r="BJ2517" s="501"/>
      <c r="BK2517" s="501"/>
      <c r="BL2517" s="501"/>
      <c r="BM2517" s="501"/>
      <c r="BN2517" s="501"/>
      <c r="BO2517" s="501"/>
      <c r="BP2517" s="501"/>
      <c r="BQ2517" s="501"/>
      <c r="BR2517" s="501"/>
      <c r="BS2517" s="501"/>
      <c r="BT2517" s="501"/>
      <c r="BU2517" s="501"/>
      <c r="BV2517" s="501"/>
      <c r="BW2517" s="501"/>
      <c r="BX2517" s="501"/>
      <c r="BY2517" s="501"/>
      <c r="BZ2517" s="501"/>
      <c r="CA2517" s="501"/>
      <c r="CB2517" s="501"/>
      <c r="CC2517" s="501"/>
      <c r="CD2517" s="501"/>
      <c r="CE2517" s="501"/>
      <c r="CF2517" s="501"/>
      <c r="CG2517" s="501"/>
      <c r="CH2517" s="501"/>
      <c r="CI2517" s="501"/>
      <c r="CJ2517" s="501"/>
      <c r="CK2517" s="501"/>
      <c r="CL2517" s="501"/>
      <c r="CM2517" s="501"/>
      <c r="CN2517" s="501"/>
      <c r="CO2517" s="501"/>
      <c r="CP2517" s="501"/>
      <c r="CQ2517" s="501"/>
      <c r="CR2517" s="501"/>
      <c r="CS2517" s="501"/>
      <c r="CT2517" s="501"/>
      <c r="CU2517" s="501"/>
      <c r="CV2517" s="501"/>
      <c r="CW2517" s="501"/>
      <c r="CX2517" s="501"/>
      <c r="CY2517" s="501"/>
      <c r="CZ2517" s="501"/>
      <c r="DA2517" s="501"/>
      <c r="DB2517" s="501"/>
      <c r="DC2517" s="501"/>
      <c r="DD2517" s="501"/>
      <c r="DE2517" s="501"/>
      <c r="DF2517" s="501"/>
      <c r="DG2517" s="501"/>
      <c r="DH2517" s="501"/>
      <c r="DI2517" s="501"/>
      <c r="DJ2517" s="501"/>
      <c r="DK2517" s="501"/>
      <c r="DL2517" s="501"/>
      <c r="DM2517" s="501"/>
      <c r="DN2517" s="501"/>
      <c r="DO2517" s="501"/>
      <c r="DP2517" s="501"/>
      <c r="DQ2517" s="501"/>
      <c r="DR2517" s="501"/>
      <c r="DS2517" s="501"/>
      <c r="DT2517" s="501"/>
      <c r="DU2517" s="501"/>
      <c r="DV2517" s="501"/>
      <c r="DW2517" s="501"/>
      <c r="DX2517" s="501"/>
      <c r="DY2517" s="501"/>
      <c r="DZ2517" s="501"/>
      <c r="EA2517" s="501"/>
      <c r="EB2517" s="501"/>
      <c r="EC2517" s="501"/>
      <c r="ED2517" s="501"/>
      <c r="EE2517" s="501"/>
      <c r="EF2517" s="501"/>
      <c r="EG2517" s="501"/>
      <c r="EH2517" s="501"/>
      <c r="EI2517" s="501"/>
      <c r="EJ2517" s="501"/>
      <c r="EK2517" s="501"/>
      <c r="EL2517" s="501"/>
      <c r="EM2517" s="501"/>
      <c r="EN2517" s="501"/>
      <c r="EO2517" s="501"/>
      <c r="EP2517" s="501"/>
      <c r="EQ2517" s="501"/>
      <c r="ER2517" s="501"/>
      <c r="ES2517" s="501"/>
      <c r="ET2517" s="501"/>
      <c r="EU2517" s="501"/>
      <c r="EV2517" s="501"/>
      <c r="EW2517" s="501"/>
      <c r="EX2517" s="501"/>
      <c r="EY2517" s="501"/>
      <c r="EZ2517" s="501"/>
      <c r="FA2517" s="501"/>
      <c r="FB2517" s="501"/>
      <c r="FC2517" s="501"/>
      <c r="FD2517" s="501"/>
      <c r="FE2517" s="501"/>
      <c r="FF2517" s="501"/>
      <c r="FG2517" s="501"/>
      <c r="FH2517" s="501"/>
      <c r="FI2517" s="501"/>
      <c r="FJ2517" s="501"/>
      <c r="FK2517" s="501"/>
      <c r="FL2517" s="501"/>
      <c r="FM2517" s="501"/>
      <c r="FN2517" s="501"/>
      <c r="FO2517" s="501"/>
      <c r="FP2517" s="501"/>
      <c r="FQ2517" s="501"/>
      <c r="FR2517" s="501"/>
      <c r="FS2517" s="501"/>
      <c r="FT2517" s="501"/>
      <c r="FU2517" s="501"/>
      <c r="FV2517" s="501"/>
      <c r="FW2517" s="501"/>
      <c r="FX2517" s="501"/>
      <c r="FY2517" s="501"/>
      <c r="FZ2517" s="501"/>
      <c r="GA2517" s="501"/>
      <c r="GB2517" s="501"/>
      <c r="GC2517" s="501"/>
      <c r="GD2517" s="501"/>
      <c r="GE2517" s="501"/>
      <c r="GF2517" s="501"/>
      <c r="GG2517" s="501"/>
      <c r="GH2517" s="501"/>
      <c r="GI2517" s="501"/>
      <c r="GJ2517" s="501"/>
      <c r="GK2517" s="501"/>
      <c r="GL2517" s="501"/>
      <c r="GM2517" s="501"/>
      <c r="GN2517" s="501"/>
      <c r="GO2517" s="501"/>
      <c r="GP2517" s="501"/>
      <c r="GQ2517" s="501"/>
      <c r="GR2517" s="501"/>
      <c r="GS2517" s="501"/>
      <c r="GT2517" s="501"/>
      <c r="GU2517" s="501"/>
      <c r="GV2517" s="501"/>
      <c r="GW2517" s="501"/>
      <c r="GX2517" s="501"/>
      <c r="GY2517" s="501"/>
      <c r="GZ2517" s="501"/>
      <c r="HA2517" s="501"/>
      <c r="HB2517" s="501"/>
      <c r="HC2517" s="501"/>
      <c r="HD2517" s="501"/>
      <c r="HE2517" s="501"/>
      <c r="HF2517" s="501"/>
      <c r="HG2517" s="501"/>
      <c r="HH2517" s="501"/>
      <c r="HI2517" s="501"/>
      <c r="HJ2517" s="501"/>
      <c r="HK2517" s="501"/>
      <c r="HL2517" s="501"/>
      <c r="HM2517" s="501"/>
      <c r="HN2517" s="501"/>
      <c r="HO2517" s="501"/>
      <c r="HP2517" s="501"/>
      <c r="HQ2517" s="501"/>
      <c r="HR2517" s="501"/>
      <c r="HS2517" s="501"/>
      <c r="HT2517" s="501"/>
      <c r="HU2517" s="501"/>
      <c r="HV2517" s="501"/>
      <c r="HW2517" s="501"/>
      <c r="HX2517" s="501"/>
      <c r="HY2517" s="501"/>
      <c r="HZ2517" s="501"/>
      <c r="IA2517" s="501"/>
      <c r="IB2517" s="501"/>
      <c r="IC2517" s="501"/>
      <c r="ID2517" s="501"/>
      <c r="IE2517" s="501"/>
      <c r="IF2517" s="501"/>
      <c r="IG2517" s="501"/>
      <c r="IH2517" s="501"/>
      <c r="II2517" s="501"/>
      <c r="IJ2517" s="501"/>
      <c r="IK2517" s="501"/>
      <c r="IL2517" s="501"/>
      <c r="IM2517" s="501"/>
      <c r="IN2517" s="501"/>
      <c r="IO2517" s="501"/>
      <c r="IP2517" s="501"/>
      <c r="IQ2517" s="501"/>
      <c r="IR2517" s="501"/>
      <c r="IS2517" s="501"/>
      <c r="IT2517" s="501"/>
      <c r="IU2517" s="501"/>
    </row>
    <row r="2518" spans="1:255" s="877" customFormat="1" ht="24" customHeight="1">
      <c r="A2518" s="501"/>
      <c r="B2518" s="501"/>
      <c r="C2518" s="501"/>
      <c r="D2518" s="501"/>
      <c r="E2518" s="501"/>
      <c r="F2518" s="501"/>
      <c r="G2518" s="915"/>
      <c r="H2518" s="501"/>
      <c r="I2518" s="874"/>
      <c r="J2518" s="885"/>
      <c r="K2518" s="501"/>
      <c r="L2518" s="874"/>
      <c r="M2518" s="554"/>
      <c r="N2518" s="501"/>
      <c r="O2518" s="501"/>
      <c r="P2518" s="501"/>
      <c r="Q2518" s="501"/>
      <c r="R2518" s="501"/>
      <c r="S2518" s="501"/>
      <c r="T2518" s="501"/>
      <c r="V2518" s="501"/>
      <c r="W2518" s="501"/>
      <c r="X2518" s="501"/>
      <c r="Y2518" s="501"/>
      <c r="Z2518" s="501"/>
      <c r="AA2518" s="501"/>
      <c r="AB2518" s="501"/>
      <c r="AC2518" s="501"/>
      <c r="AD2518" s="501"/>
      <c r="AE2518" s="501"/>
      <c r="AF2518" s="501"/>
      <c r="AG2518" s="501"/>
      <c r="AH2518" s="501"/>
      <c r="AI2518" s="501"/>
      <c r="AJ2518" s="501"/>
      <c r="AK2518" s="501"/>
      <c r="AL2518" s="501"/>
      <c r="AM2518" s="501"/>
      <c r="AN2518" s="501"/>
      <c r="AO2518" s="501"/>
      <c r="AP2518" s="501"/>
      <c r="AQ2518" s="501"/>
      <c r="AR2518" s="501"/>
      <c r="AS2518" s="501"/>
      <c r="AT2518" s="501"/>
      <c r="AU2518" s="501"/>
      <c r="AV2518" s="501"/>
      <c r="AW2518" s="501"/>
      <c r="AX2518" s="501"/>
      <c r="AY2518" s="501"/>
      <c r="AZ2518" s="501"/>
      <c r="BA2518" s="501"/>
      <c r="BB2518" s="501"/>
      <c r="BC2518" s="501"/>
      <c r="BD2518" s="501"/>
      <c r="BE2518" s="501"/>
      <c r="BF2518" s="501"/>
      <c r="BG2518" s="501"/>
      <c r="BH2518" s="501"/>
      <c r="BI2518" s="501"/>
      <c r="BJ2518" s="501"/>
      <c r="BK2518" s="501"/>
      <c r="BL2518" s="501"/>
      <c r="BM2518" s="501"/>
      <c r="BN2518" s="501"/>
      <c r="BO2518" s="501"/>
      <c r="BP2518" s="501"/>
      <c r="BQ2518" s="501"/>
      <c r="BR2518" s="501"/>
      <c r="BS2518" s="501"/>
      <c r="BT2518" s="501"/>
      <c r="BU2518" s="501"/>
      <c r="BV2518" s="501"/>
      <c r="BW2518" s="501"/>
      <c r="BX2518" s="501"/>
      <c r="BY2518" s="501"/>
      <c r="BZ2518" s="501"/>
      <c r="CA2518" s="501"/>
      <c r="CB2518" s="501"/>
      <c r="CC2518" s="501"/>
      <c r="CD2518" s="501"/>
      <c r="CE2518" s="501"/>
      <c r="CF2518" s="501"/>
      <c r="CG2518" s="501"/>
      <c r="CH2518" s="501"/>
      <c r="CI2518" s="501"/>
      <c r="CJ2518" s="501"/>
      <c r="CK2518" s="501"/>
      <c r="CL2518" s="501"/>
      <c r="CM2518" s="501"/>
      <c r="CN2518" s="501"/>
      <c r="CO2518" s="501"/>
      <c r="CP2518" s="501"/>
      <c r="CQ2518" s="501"/>
      <c r="CR2518" s="501"/>
      <c r="CS2518" s="501"/>
      <c r="CT2518" s="501"/>
      <c r="CU2518" s="501"/>
      <c r="CV2518" s="501"/>
      <c r="CW2518" s="501"/>
      <c r="CX2518" s="501"/>
      <c r="CY2518" s="501"/>
      <c r="CZ2518" s="501"/>
      <c r="DA2518" s="501"/>
      <c r="DB2518" s="501"/>
      <c r="DC2518" s="501"/>
      <c r="DD2518" s="501"/>
      <c r="DE2518" s="501"/>
      <c r="DF2518" s="501"/>
      <c r="DG2518" s="501"/>
      <c r="DH2518" s="501"/>
      <c r="DI2518" s="501"/>
      <c r="DJ2518" s="501"/>
      <c r="DK2518" s="501"/>
      <c r="DL2518" s="501"/>
      <c r="DM2518" s="501"/>
      <c r="DN2518" s="501"/>
      <c r="DO2518" s="501"/>
      <c r="DP2518" s="501"/>
      <c r="DQ2518" s="501"/>
      <c r="DR2518" s="501"/>
      <c r="DS2518" s="501"/>
      <c r="DT2518" s="501"/>
      <c r="DU2518" s="501"/>
      <c r="DV2518" s="501"/>
      <c r="DW2518" s="501"/>
      <c r="DX2518" s="501"/>
      <c r="DY2518" s="501"/>
      <c r="DZ2518" s="501"/>
      <c r="EA2518" s="501"/>
      <c r="EB2518" s="501"/>
      <c r="EC2518" s="501"/>
      <c r="ED2518" s="501"/>
      <c r="EE2518" s="501"/>
      <c r="EF2518" s="501"/>
      <c r="EG2518" s="501"/>
      <c r="EH2518" s="501"/>
      <c r="EI2518" s="501"/>
      <c r="EJ2518" s="501"/>
      <c r="EK2518" s="501"/>
      <c r="EL2518" s="501"/>
      <c r="EM2518" s="501"/>
      <c r="EN2518" s="501"/>
      <c r="EO2518" s="501"/>
      <c r="EP2518" s="501"/>
      <c r="EQ2518" s="501"/>
      <c r="ER2518" s="501"/>
      <c r="ES2518" s="501"/>
      <c r="ET2518" s="501"/>
      <c r="EU2518" s="501"/>
      <c r="EV2518" s="501"/>
      <c r="EW2518" s="501"/>
      <c r="EX2518" s="501"/>
      <c r="EY2518" s="501"/>
      <c r="EZ2518" s="501"/>
      <c r="FA2518" s="501"/>
      <c r="FB2518" s="501"/>
      <c r="FC2518" s="501"/>
      <c r="FD2518" s="501"/>
      <c r="FE2518" s="501"/>
      <c r="FF2518" s="501"/>
      <c r="FG2518" s="501"/>
      <c r="FH2518" s="501"/>
      <c r="FI2518" s="501"/>
      <c r="FJ2518" s="501"/>
      <c r="FK2518" s="501"/>
      <c r="FL2518" s="501"/>
      <c r="FM2518" s="501"/>
      <c r="FN2518" s="501"/>
      <c r="FO2518" s="501"/>
      <c r="FP2518" s="501"/>
      <c r="FQ2518" s="501"/>
      <c r="FR2518" s="501"/>
      <c r="FS2518" s="501"/>
      <c r="FT2518" s="501"/>
      <c r="FU2518" s="501"/>
      <c r="FV2518" s="501"/>
      <c r="FW2518" s="501"/>
      <c r="FX2518" s="501"/>
      <c r="FY2518" s="501"/>
      <c r="FZ2518" s="501"/>
      <c r="GA2518" s="501"/>
      <c r="GB2518" s="501"/>
      <c r="GC2518" s="501"/>
      <c r="GD2518" s="501"/>
      <c r="GE2518" s="501"/>
      <c r="GF2518" s="501"/>
      <c r="GG2518" s="501"/>
      <c r="GH2518" s="501"/>
      <c r="GI2518" s="501"/>
      <c r="GJ2518" s="501"/>
      <c r="GK2518" s="501"/>
      <c r="GL2518" s="501"/>
      <c r="GM2518" s="501"/>
      <c r="GN2518" s="501"/>
      <c r="GO2518" s="501"/>
      <c r="GP2518" s="501"/>
      <c r="GQ2518" s="501"/>
      <c r="GR2518" s="501"/>
      <c r="GS2518" s="501"/>
      <c r="GT2518" s="501"/>
      <c r="GU2518" s="501"/>
      <c r="GV2518" s="501"/>
      <c r="GW2518" s="501"/>
      <c r="GX2518" s="501"/>
      <c r="GY2518" s="501"/>
      <c r="GZ2518" s="501"/>
      <c r="HA2518" s="501"/>
      <c r="HB2518" s="501"/>
      <c r="HC2518" s="501"/>
      <c r="HD2518" s="501"/>
      <c r="HE2518" s="501"/>
      <c r="HF2518" s="501"/>
      <c r="HG2518" s="501"/>
      <c r="HH2518" s="501"/>
      <c r="HI2518" s="501"/>
      <c r="HJ2518" s="501"/>
      <c r="HK2518" s="501"/>
      <c r="HL2518" s="501"/>
      <c r="HM2518" s="501"/>
      <c r="HN2518" s="501"/>
      <c r="HO2518" s="501"/>
      <c r="HP2518" s="501"/>
      <c r="HQ2518" s="501"/>
      <c r="HR2518" s="501"/>
      <c r="HS2518" s="501"/>
      <c r="HT2518" s="501"/>
      <c r="HU2518" s="501"/>
      <c r="HV2518" s="501"/>
      <c r="HW2518" s="501"/>
      <c r="HX2518" s="501"/>
      <c r="HY2518" s="501"/>
      <c r="HZ2518" s="501"/>
      <c r="IA2518" s="501"/>
      <c r="IB2518" s="501"/>
      <c r="IC2518" s="501"/>
      <c r="ID2518" s="501"/>
      <c r="IE2518" s="501"/>
      <c r="IF2518" s="501"/>
      <c r="IG2518" s="501"/>
      <c r="IH2518" s="501"/>
      <c r="II2518" s="501"/>
      <c r="IJ2518" s="501"/>
      <c r="IK2518" s="501"/>
      <c r="IL2518" s="501"/>
      <c r="IM2518" s="501"/>
      <c r="IN2518" s="501"/>
      <c r="IO2518" s="501"/>
      <c r="IP2518" s="501"/>
      <c r="IQ2518" s="501"/>
      <c r="IR2518" s="501"/>
      <c r="IS2518" s="501"/>
      <c r="IT2518" s="501"/>
      <c r="IU2518" s="501"/>
    </row>
    <row r="2519" spans="1:255" s="877" customFormat="1" ht="24" customHeight="1">
      <c r="A2519" s="501"/>
      <c r="B2519" s="501"/>
      <c r="C2519" s="501"/>
      <c r="D2519" s="501"/>
      <c r="E2519" s="501"/>
      <c r="F2519" s="501"/>
      <c r="G2519" s="915"/>
      <c r="H2519" s="501"/>
      <c r="I2519" s="874"/>
      <c r="J2519" s="501"/>
      <c r="K2519" s="501"/>
      <c r="L2519" s="874"/>
      <c r="M2519" s="554"/>
      <c r="N2519" s="501"/>
      <c r="O2519" s="501"/>
      <c r="P2519" s="501"/>
      <c r="Q2519" s="501"/>
      <c r="R2519" s="501"/>
      <c r="S2519" s="501"/>
      <c r="T2519" s="501"/>
      <c r="V2519" s="501"/>
      <c r="W2519" s="501"/>
      <c r="X2519" s="501"/>
      <c r="Y2519" s="501"/>
      <c r="Z2519" s="501"/>
      <c r="AA2519" s="501"/>
      <c r="AB2519" s="501"/>
      <c r="AC2519" s="501"/>
      <c r="AD2519" s="501"/>
      <c r="AE2519" s="501"/>
      <c r="AF2519" s="501"/>
      <c r="AG2519" s="501"/>
      <c r="AH2519" s="501"/>
      <c r="AI2519" s="501"/>
      <c r="AJ2519" s="501"/>
      <c r="AK2519" s="501"/>
      <c r="AL2519" s="501"/>
      <c r="AM2519" s="501"/>
      <c r="AN2519" s="501"/>
      <c r="AO2519" s="501"/>
      <c r="AP2519" s="501"/>
      <c r="AQ2519" s="501"/>
      <c r="AR2519" s="501"/>
      <c r="AS2519" s="501"/>
      <c r="AT2519" s="501"/>
      <c r="AU2519" s="501"/>
      <c r="AV2519" s="501"/>
      <c r="AW2519" s="501"/>
      <c r="AX2519" s="501"/>
      <c r="AY2519" s="501"/>
      <c r="AZ2519" s="501"/>
      <c r="BA2519" s="501"/>
      <c r="BB2519" s="501"/>
      <c r="BC2519" s="501"/>
      <c r="BD2519" s="501"/>
      <c r="BE2519" s="501"/>
      <c r="BF2519" s="501"/>
      <c r="BG2519" s="501"/>
      <c r="BH2519" s="501"/>
      <c r="BI2519" s="501"/>
      <c r="BJ2519" s="501"/>
      <c r="BK2519" s="501"/>
      <c r="BL2519" s="501"/>
      <c r="BM2519" s="501"/>
      <c r="BN2519" s="501"/>
      <c r="BO2519" s="501"/>
      <c r="BP2519" s="501"/>
      <c r="BQ2519" s="501"/>
      <c r="BR2519" s="501"/>
      <c r="BS2519" s="501"/>
      <c r="BT2519" s="501"/>
      <c r="BU2519" s="501"/>
      <c r="BV2519" s="501"/>
      <c r="BW2519" s="501"/>
      <c r="BX2519" s="501"/>
      <c r="BY2519" s="501"/>
      <c r="BZ2519" s="501"/>
      <c r="CA2519" s="501"/>
      <c r="CB2519" s="501"/>
      <c r="CC2519" s="501"/>
      <c r="CD2519" s="501"/>
      <c r="CE2519" s="501"/>
      <c r="CF2519" s="501"/>
      <c r="CG2519" s="501"/>
      <c r="CH2519" s="501"/>
      <c r="CI2519" s="501"/>
      <c r="CJ2519" s="501"/>
      <c r="CK2519" s="501"/>
      <c r="CL2519" s="501"/>
      <c r="CM2519" s="501"/>
      <c r="CN2519" s="501"/>
      <c r="CO2519" s="501"/>
      <c r="CP2519" s="501"/>
      <c r="CQ2519" s="501"/>
      <c r="CR2519" s="501"/>
      <c r="CS2519" s="501"/>
      <c r="CT2519" s="501"/>
      <c r="CU2519" s="501"/>
      <c r="CV2519" s="501"/>
      <c r="CW2519" s="501"/>
      <c r="CX2519" s="501"/>
      <c r="CY2519" s="501"/>
      <c r="CZ2519" s="501"/>
      <c r="DA2519" s="501"/>
      <c r="DB2519" s="501"/>
      <c r="DC2519" s="501"/>
      <c r="DD2519" s="501"/>
      <c r="DE2519" s="501"/>
      <c r="DF2519" s="501"/>
      <c r="DG2519" s="501"/>
      <c r="DH2519" s="501"/>
      <c r="DI2519" s="501"/>
      <c r="DJ2519" s="501"/>
      <c r="DK2519" s="501"/>
      <c r="DL2519" s="501"/>
      <c r="DM2519" s="501"/>
      <c r="DN2519" s="501"/>
      <c r="DO2519" s="501"/>
      <c r="DP2519" s="501"/>
      <c r="DQ2519" s="501"/>
      <c r="DR2519" s="501"/>
      <c r="DS2519" s="501"/>
      <c r="DT2519" s="501"/>
      <c r="DU2519" s="501"/>
      <c r="DV2519" s="501"/>
      <c r="DW2519" s="501"/>
      <c r="DX2519" s="501"/>
      <c r="DY2519" s="501"/>
      <c r="DZ2519" s="501"/>
      <c r="EA2519" s="501"/>
      <c r="EB2519" s="501"/>
      <c r="EC2519" s="501"/>
      <c r="ED2519" s="501"/>
      <c r="EE2519" s="501"/>
      <c r="EF2519" s="501"/>
      <c r="EG2519" s="501"/>
      <c r="EH2519" s="501"/>
      <c r="EI2519" s="501"/>
      <c r="EJ2519" s="501"/>
      <c r="EK2519" s="501"/>
      <c r="EL2519" s="501"/>
      <c r="EM2519" s="501"/>
      <c r="EN2519" s="501"/>
      <c r="EO2519" s="501"/>
      <c r="EP2519" s="501"/>
      <c r="EQ2519" s="501"/>
      <c r="ER2519" s="501"/>
      <c r="ES2519" s="501"/>
      <c r="ET2519" s="501"/>
      <c r="EU2519" s="501"/>
      <c r="EV2519" s="501"/>
      <c r="EW2519" s="501"/>
      <c r="EX2519" s="501"/>
      <c r="EY2519" s="501"/>
      <c r="EZ2519" s="501"/>
      <c r="FA2519" s="501"/>
      <c r="FB2519" s="501"/>
      <c r="FC2519" s="501"/>
      <c r="FD2519" s="501"/>
      <c r="FE2519" s="501"/>
      <c r="FF2519" s="501"/>
      <c r="FG2519" s="501"/>
      <c r="FH2519" s="501"/>
      <c r="FI2519" s="501"/>
      <c r="FJ2519" s="501"/>
      <c r="FK2519" s="501"/>
      <c r="FL2519" s="501"/>
      <c r="FM2519" s="501"/>
      <c r="FN2519" s="501"/>
      <c r="FO2519" s="501"/>
      <c r="FP2519" s="501"/>
      <c r="FQ2519" s="501"/>
      <c r="FR2519" s="501"/>
      <c r="FS2519" s="501"/>
      <c r="FT2519" s="501"/>
      <c r="FU2519" s="501"/>
      <c r="FV2519" s="501"/>
      <c r="FW2519" s="501"/>
      <c r="FX2519" s="501"/>
      <c r="FY2519" s="501"/>
      <c r="FZ2519" s="501"/>
      <c r="GA2519" s="501"/>
      <c r="GB2519" s="501"/>
      <c r="GC2519" s="501"/>
      <c r="GD2519" s="501"/>
      <c r="GE2519" s="501"/>
      <c r="GF2519" s="501"/>
      <c r="GG2519" s="501"/>
      <c r="GH2519" s="501"/>
      <c r="GI2519" s="501"/>
      <c r="GJ2519" s="501"/>
      <c r="GK2519" s="501"/>
      <c r="GL2519" s="501"/>
      <c r="GM2519" s="501"/>
      <c r="GN2519" s="501"/>
      <c r="GO2519" s="501"/>
      <c r="GP2519" s="501"/>
      <c r="GQ2519" s="501"/>
      <c r="GR2519" s="501"/>
      <c r="GS2519" s="501"/>
      <c r="GT2519" s="501"/>
      <c r="GU2519" s="501"/>
      <c r="GV2519" s="501"/>
      <c r="GW2519" s="501"/>
      <c r="GX2519" s="501"/>
      <c r="GY2519" s="501"/>
      <c r="GZ2519" s="501"/>
      <c r="HA2519" s="501"/>
      <c r="HB2519" s="501"/>
      <c r="HC2519" s="501"/>
      <c r="HD2519" s="501"/>
      <c r="HE2519" s="501"/>
      <c r="HF2519" s="501"/>
      <c r="HG2519" s="501"/>
      <c r="HH2519" s="501"/>
      <c r="HI2519" s="501"/>
      <c r="HJ2519" s="501"/>
      <c r="HK2519" s="501"/>
      <c r="HL2519" s="501"/>
      <c r="HM2519" s="501"/>
      <c r="HN2519" s="501"/>
      <c r="HO2519" s="501"/>
      <c r="HP2519" s="501"/>
      <c r="HQ2519" s="501"/>
      <c r="HR2519" s="501"/>
      <c r="HS2519" s="501"/>
      <c r="HT2519" s="501"/>
      <c r="HU2519" s="501"/>
      <c r="HV2519" s="501"/>
      <c r="HW2519" s="501"/>
      <c r="HX2519" s="501"/>
      <c r="HY2519" s="501"/>
      <c r="HZ2519" s="501"/>
      <c r="IA2519" s="501"/>
      <c r="IB2519" s="501"/>
      <c r="IC2519" s="501"/>
      <c r="ID2519" s="501"/>
      <c r="IE2519" s="501"/>
      <c r="IF2519" s="501"/>
      <c r="IG2519" s="501"/>
      <c r="IH2519" s="501"/>
      <c r="II2519" s="501"/>
      <c r="IJ2519" s="501"/>
      <c r="IK2519" s="501"/>
      <c r="IL2519" s="501"/>
      <c r="IM2519" s="501"/>
      <c r="IN2519" s="501"/>
      <c r="IO2519" s="501"/>
      <c r="IP2519" s="501"/>
      <c r="IQ2519" s="501"/>
      <c r="IR2519" s="501"/>
      <c r="IS2519" s="501"/>
      <c r="IT2519" s="501"/>
      <c r="IU2519" s="501"/>
    </row>
    <row r="2520" spans="1:255" s="877" customFormat="1" ht="24" customHeight="1">
      <c r="A2520" s="501"/>
      <c r="B2520" s="501"/>
      <c r="C2520" s="501"/>
      <c r="D2520" s="501"/>
      <c r="E2520" s="501"/>
      <c r="F2520" s="501"/>
      <c r="G2520" s="915"/>
      <c r="H2520" s="501"/>
      <c r="I2520" s="874"/>
      <c r="J2520" s="501"/>
      <c r="K2520" s="501"/>
      <c r="L2520" s="874"/>
      <c r="M2520" s="554"/>
      <c r="N2520" s="501"/>
      <c r="O2520" s="501"/>
      <c r="P2520" s="501"/>
      <c r="Q2520" s="501"/>
      <c r="R2520" s="501"/>
      <c r="S2520" s="501"/>
      <c r="T2520" s="501"/>
      <c r="V2520" s="501"/>
      <c r="W2520" s="501"/>
      <c r="X2520" s="501"/>
      <c r="Y2520" s="501"/>
      <c r="Z2520" s="501"/>
      <c r="AA2520" s="501"/>
      <c r="AB2520" s="501"/>
      <c r="AC2520" s="501"/>
      <c r="AD2520" s="501"/>
      <c r="AE2520" s="501"/>
      <c r="AF2520" s="501"/>
      <c r="AG2520" s="501"/>
      <c r="AH2520" s="501"/>
      <c r="AI2520" s="501"/>
      <c r="AJ2520" s="501"/>
      <c r="AK2520" s="501"/>
      <c r="AL2520" s="501"/>
      <c r="AM2520" s="501"/>
      <c r="AN2520" s="501"/>
      <c r="AO2520" s="501"/>
      <c r="AP2520" s="501"/>
      <c r="AQ2520" s="501"/>
      <c r="AR2520" s="501"/>
      <c r="AS2520" s="501"/>
      <c r="AT2520" s="501"/>
      <c r="AU2520" s="501"/>
      <c r="AV2520" s="501"/>
      <c r="AW2520" s="501"/>
      <c r="AX2520" s="501"/>
      <c r="AY2520" s="501"/>
      <c r="AZ2520" s="501"/>
      <c r="BA2520" s="501"/>
      <c r="BB2520" s="501"/>
      <c r="BC2520" s="501"/>
      <c r="BD2520" s="501"/>
      <c r="BE2520" s="501"/>
      <c r="BF2520" s="501"/>
      <c r="BG2520" s="501"/>
      <c r="BH2520" s="501"/>
      <c r="BI2520" s="501"/>
      <c r="BJ2520" s="501"/>
      <c r="BK2520" s="501"/>
      <c r="BL2520" s="501"/>
      <c r="BM2520" s="501"/>
      <c r="BN2520" s="501"/>
      <c r="BO2520" s="501"/>
      <c r="BP2520" s="501"/>
      <c r="BQ2520" s="501"/>
      <c r="BR2520" s="501"/>
      <c r="BS2520" s="501"/>
      <c r="BT2520" s="501"/>
      <c r="BU2520" s="501"/>
      <c r="BV2520" s="501"/>
      <c r="BW2520" s="501"/>
      <c r="BX2520" s="501"/>
      <c r="BY2520" s="501"/>
      <c r="BZ2520" s="501"/>
      <c r="CA2520" s="501"/>
      <c r="CB2520" s="501"/>
      <c r="CC2520" s="501"/>
      <c r="CD2520" s="501"/>
      <c r="CE2520" s="501"/>
      <c r="CF2520" s="501"/>
      <c r="CG2520" s="501"/>
      <c r="CH2520" s="501"/>
      <c r="CI2520" s="501"/>
      <c r="CJ2520" s="501"/>
      <c r="CK2520" s="501"/>
      <c r="CL2520" s="501"/>
      <c r="CM2520" s="501"/>
      <c r="CN2520" s="501"/>
      <c r="CO2520" s="501"/>
      <c r="CP2520" s="501"/>
      <c r="CQ2520" s="501"/>
      <c r="CR2520" s="501"/>
      <c r="CS2520" s="501"/>
      <c r="CT2520" s="501"/>
      <c r="CU2520" s="501"/>
      <c r="CV2520" s="501"/>
      <c r="CW2520" s="501"/>
      <c r="CX2520" s="501"/>
      <c r="CY2520" s="501"/>
      <c r="CZ2520" s="501"/>
      <c r="DA2520" s="501"/>
      <c r="DB2520" s="501"/>
      <c r="DC2520" s="501"/>
      <c r="DD2520" s="501"/>
      <c r="DE2520" s="501"/>
      <c r="DF2520" s="501"/>
      <c r="DG2520" s="501"/>
      <c r="DH2520" s="501"/>
      <c r="DI2520" s="501"/>
      <c r="DJ2520" s="501"/>
      <c r="DK2520" s="501"/>
      <c r="DL2520" s="501"/>
      <c r="DM2520" s="501"/>
      <c r="DN2520" s="501"/>
      <c r="DO2520" s="501"/>
      <c r="DP2520" s="501"/>
      <c r="DQ2520" s="501"/>
      <c r="DR2520" s="501"/>
      <c r="DS2520" s="501"/>
      <c r="DT2520" s="501"/>
      <c r="DU2520" s="501"/>
      <c r="DV2520" s="501"/>
      <c r="DW2520" s="501"/>
      <c r="DX2520" s="501"/>
      <c r="DY2520" s="501"/>
      <c r="DZ2520" s="501"/>
      <c r="EA2520" s="501"/>
      <c r="EB2520" s="501"/>
      <c r="EC2520" s="501"/>
      <c r="ED2520" s="501"/>
      <c r="EE2520" s="501"/>
      <c r="EF2520" s="501"/>
      <c r="EG2520" s="501"/>
      <c r="EH2520" s="501"/>
      <c r="EI2520" s="501"/>
      <c r="EJ2520" s="501"/>
      <c r="EK2520" s="501"/>
      <c r="EL2520" s="501"/>
      <c r="EM2520" s="501"/>
      <c r="EN2520" s="501"/>
      <c r="EO2520" s="501"/>
      <c r="EP2520" s="501"/>
      <c r="EQ2520" s="501"/>
      <c r="ER2520" s="501"/>
      <c r="ES2520" s="501"/>
      <c r="ET2520" s="501"/>
      <c r="EU2520" s="501"/>
      <c r="EV2520" s="501"/>
      <c r="EW2520" s="501"/>
      <c r="EX2520" s="501"/>
      <c r="EY2520" s="501"/>
      <c r="EZ2520" s="501"/>
      <c r="FA2520" s="501"/>
      <c r="FB2520" s="501"/>
      <c r="FC2520" s="501"/>
      <c r="FD2520" s="501"/>
      <c r="FE2520" s="501"/>
      <c r="FF2520" s="501"/>
      <c r="FG2520" s="501"/>
      <c r="FH2520" s="501"/>
      <c r="FI2520" s="501"/>
      <c r="FJ2520" s="501"/>
      <c r="FK2520" s="501"/>
      <c r="FL2520" s="501"/>
      <c r="FM2520" s="501"/>
      <c r="FN2520" s="501"/>
      <c r="FO2520" s="501"/>
      <c r="FP2520" s="501"/>
      <c r="FQ2520" s="501"/>
      <c r="FR2520" s="501"/>
      <c r="FS2520" s="501"/>
      <c r="FT2520" s="501"/>
      <c r="FU2520" s="501"/>
      <c r="FV2520" s="501"/>
      <c r="FW2520" s="501"/>
      <c r="FX2520" s="501"/>
      <c r="FY2520" s="501"/>
      <c r="FZ2520" s="501"/>
      <c r="GA2520" s="501"/>
      <c r="GB2520" s="501"/>
      <c r="GC2520" s="501"/>
      <c r="GD2520" s="501"/>
      <c r="GE2520" s="501"/>
      <c r="GF2520" s="501"/>
      <c r="GG2520" s="501"/>
      <c r="GH2520" s="501"/>
      <c r="GI2520" s="501"/>
      <c r="GJ2520" s="501"/>
      <c r="GK2520" s="501"/>
      <c r="GL2520" s="501"/>
      <c r="GM2520" s="501"/>
      <c r="GN2520" s="501"/>
      <c r="GO2520" s="501"/>
      <c r="GP2520" s="501"/>
      <c r="GQ2520" s="501"/>
      <c r="GR2520" s="501"/>
      <c r="GS2520" s="501"/>
      <c r="GT2520" s="501"/>
      <c r="GU2520" s="501"/>
      <c r="GV2520" s="501"/>
      <c r="GW2520" s="501"/>
      <c r="GX2520" s="501"/>
      <c r="GY2520" s="501"/>
      <c r="GZ2520" s="501"/>
      <c r="HA2520" s="501"/>
      <c r="HB2520" s="501"/>
      <c r="HC2520" s="501"/>
      <c r="HD2520" s="501"/>
      <c r="HE2520" s="501"/>
      <c r="HF2520" s="501"/>
      <c r="HG2520" s="501"/>
      <c r="HH2520" s="501"/>
      <c r="HI2520" s="501"/>
      <c r="HJ2520" s="501"/>
      <c r="HK2520" s="501"/>
      <c r="HL2520" s="501"/>
      <c r="HM2520" s="501"/>
      <c r="HN2520" s="501"/>
      <c r="HO2520" s="501"/>
      <c r="HP2520" s="501"/>
      <c r="HQ2520" s="501"/>
      <c r="HR2520" s="501"/>
      <c r="HS2520" s="501"/>
      <c r="HT2520" s="501"/>
      <c r="HU2520" s="501"/>
      <c r="HV2520" s="501"/>
      <c r="HW2520" s="501"/>
      <c r="HX2520" s="501"/>
      <c r="HY2520" s="501"/>
      <c r="HZ2520" s="501"/>
      <c r="IA2520" s="501"/>
      <c r="IB2520" s="501"/>
      <c r="IC2520" s="501"/>
      <c r="ID2520" s="501"/>
      <c r="IE2520" s="501"/>
      <c r="IF2520" s="501"/>
      <c r="IG2520" s="501"/>
      <c r="IH2520" s="501"/>
      <c r="II2520" s="501"/>
      <c r="IJ2520" s="501"/>
      <c r="IK2520" s="501"/>
      <c r="IL2520" s="501"/>
      <c r="IM2520" s="501"/>
      <c r="IN2520" s="501"/>
      <c r="IO2520" s="501"/>
      <c r="IP2520" s="501"/>
      <c r="IQ2520" s="501"/>
      <c r="IR2520" s="501"/>
      <c r="IS2520" s="501"/>
      <c r="IT2520" s="501"/>
      <c r="IU2520" s="501"/>
    </row>
    <row r="2521" spans="1:255" s="877" customFormat="1" ht="24" customHeight="1">
      <c r="A2521" s="501"/>
      <c r="B2521" s="501"/>
      <c r="C2521" s="501"/>
      <c r="D2521" s="501"/>
      <c r="E2521" s="501"/>
      <c r="F2521" s="501"/>
      <c r="G2521" s="915"/>
      <c r="H2521" s="501"/>
      <c r="I2521" s="874"/>
      <c r="J2521" s="501"/>
      <c r="K2521" s="501"/>
      <c r="L2521" s="874"/>
      <c r="M2521" s="554"/>
      <c r="N2521" s="501"/>
      <c r="O2521" s="501"/>
      <c r="P2521" s="501"/>
      <c r="Q2521" s="501"/>
      <c r="R2521" s="501"/>
      <c r="S2521" s="501"/>
      <c r="T2521" s="501"/>
      <c r="V2521" s="501"/>
      <c r="W2521" s="501"/>
      <c r="X2521" s="501"/>
      <c r="Y2521" s="501"/>
      <c r="Z2521" s="501"/>
      <c r="AA2521" s="501"/>
      <c r="AB2521" s="501"/>
      <c r="AC2521" s="501"/>
      <c r="AD2521" s="501"/>
      <c r="AE2521" s="501"/>
      <c r="AF2521" s="501"/>
      <c r="AG2521" s="501"/>
      <c r="AH2521" s="501"/>
      <c r="AI2521" s="501"/>
      <c r="AJ2521" s="501"/>
      <c r="AK2521" s="501"/>
      <c r="AL2521" s="501"/>
      <c r="AM2521" s="501"/>
      <c r="AN2521" s="501"/>
      <c r="AO2521" s="501"/>
      <c r="AP2521" s="501"/>
      <c r="AQ2521" s="501"/>
      <c r="AR2521" s="501"/>
      <c r="AS2521" s="501"/>
      <c r="AT2521" s="501"/>
      <c r="AU2521" s="501"/>
      <c r="AV2521" s="501"/>
      <c r="AW2521" s="501"/>
      <c r="AX2521" s="501"/>
      <c r="AY2521" s="501"/>
      <c r="AZ2521" s="501"/>
      <c r="BA2521" s="501"/>
      <c r="BB2521" s="501"/>
      <c r="BC2521" s="501"/>
      <c r="BD2521" s="501"/>
      <c r="BE2521" s="501"/>
      <c r="BF2521" s="501"/>
      <c r="BG2521" s="501"/>
      <c r="BH2521" s="501"/>
      <c r="BI2521" s="501"/>
      <c r="BJ2521" s="501"/>
      <c r="BK2521" s="501"/>
      <c r="BL2521" s="501"/>
      <c r="BM2521" s="501"/>
      <c r="BN2521" s="501"/>
      <c r="BO2521" s="501"/>
      <c r="BP2521" s="501"/>
      <c r="BQ2521" s="501"/>
      <c r="BR2521" s="501"/>
      <c r="BS2521" s="501"/>
      <c r="BT2521" s="501"/>
      <c r="BU2521" s="501"/>
      <c r="BV2521" s="501"/>
      <c r="BW2521" s="501"/>
      <c r="BX2521" s="501"/>
      <c r="BY2521" s="501"/>
      <c r="BZ2521" s="501"/>
      <c r="CA2521" s="501"/>
      <c r="CB2521" s="501"/>
      <c r="CC2521" s="501"/>
      <c r="CD2521" s="501"/>
      <c r="CE2521" s="501"/>
      <c r="CF2521" s="501"/>
      <c r="CG2521" s="501"/>
      <c r="CH2521" s="501"/>
      <c r="CI2521" s="501"/>
      <c r="CJ2521" s="501"/>
      <c r="CK2521" s="501"/>
      <c r="CL2521" s="501"/>
      <c r="CM2521" s="501"/>
      <c r="CN2521" s="501"/>
      <c r="CO2521" s="501"/>
      <c r="CP2521" s="501"/>
      <c r="CQ2521" s="501"/>
      <c r="CR2521" s="501"/>
      <c r="CS2521" s="501"/>
      <c r="CT2521" s="501"/>
      <c r="CU2521" s="501"/>
      <c r="CV2521" s="501"/>
      <c r="CW2521" s="501"/>
      <c r="CX2521" s="501"/>
      <c r="CY2521" s="501"/>
      <c r="CZ2521" s="501"/>
      <c r="DA2521" s="501"/>
      <c r="DB2521" s="501"/>
      <c r="DC2521" s="501"/>
      <c r="DD2521" s="501"/>
      <c r="DE2521" s="501"/>
      <c r="DF2521" s="501"/>
      <c r="DG2521" s="501"/>
      <c r="DH2521" s="501"/>
      <c r="DI2521" s="501"/>
      <c r="DJ2521" s="501"/>
      <c r="DK2521" s="501"/>
      <c r="DL2521" s="501"/>
      <c r="DM2521" s="501"/>
      <c r="DN2521" s="501"/>
      <c r="DO2521" s="501"/>
      <c r="DP2521" s="501"/>
      <c r="DQ2521" s="501"/>
      <c r="DR2521" s="501"/>
      <c r="DS2521" s="501"/>
      <c r="DT2521" s="501"/>
      <c r="DU2521" s="501"/>
      <c r="DV2521" s="501"/>
      <c r="DW2521" s="501"/>
      <c r="DX2521" s="501"/>
      <c r="DY2521" s="501"/>
      <c r="DZ2521" s="501"/>
      <c r="EA2521" s="501"/>
      <c r="EB2521" s="501"/>
      <c r="EC2521" s="501"/>
      <c r="ED2521" s="501"/>
      <c r="EE2521" s="501"/>
      <c r="EF2521" s="501"/>
      <c r="EG2521" s="501"/>
      <c r="EH2521" s="501"/>
      <c r="EI2521" s="501"/>
      <c r="EJ2521" s="501"/>
      <c r="EK2521" s="501"/>
      <c r="EL2521" s="501"/>
      <c r="EM2521" s="501"/>
      <c r="EN2521" s="501"/>
      <c r="EO2521" s="501"/>
      <c r="EP2521" s="501"/>
      <c r="EQ2521" s="501"/>
      <c r="ER2521" s="501"/>
      <c r="ES2521" s="501"/>
      <c r="ET2521" s="501"/>
      <c r="EU2521" s="501"/>
      <c r="EV2521" s="501"/>
      <c r="EW2521" s="501"/>
      <c r="EX2521" s="501"/>
      <c r="EY2521" s="501"/>
      <c r="EZ2521" s="501"/>
      <c r="FA2521" s="501"/>
      <c r="FB2521" s="501"/>
      <c r="FC2521" s="501"/>
      <c r="FD2521" s="501"/>
      <c r="FE2521" s="501"/>
      <c r="FF2521" s="501"/>
      <c r="FG2521" s="501"/>
      <c r="FH2521" s="501"/>
      <c r="FI2521" s="501"/>
      <c r="FJ2521" s="501"/>
      <c r="FK2521" s="501"/>
      <c r="FL2521" s="501"/>
      <c r="FM2521" s="501"/>
      <c r="FN2521" s="501"/>
      <c r="FO2521" s="501"/>
      <c r="FP2521" s="501"/>
      <c r="FQ2521" s="501"/>
      <c r="FR2521" s="501"/>
      <c r="FS2521" s="501"/>
      <c r="FT2521" s="501"/>
      <c r="FU2521" s="501"/>
      <c r="FV2521" s="501"/>
      <c r="FW2521" s="501"/>
      <c r="FX2521" s="501"/>
      <c r="FY2521" s="501"/>
      <c r="FZ2521" s="501"/>
      <c r="GA2521" s="501"/>
      <c r="GB2521" s="501"/>
      <c r="GC2521" s="501"/>
      <c r="GD2521" s="501"/>
      <c r="GE2521" s="501"/>
      <c r="GF2521" s="501"/>
      <c r="GG2521" s="501"/>
      <c r="GH2521" s="501"/>
      <c r="GI2521" s="501"/>
      <c r="GJ2521" s="501"/>
      <c r="GK2521" s="501"/>
      <c r="GL2521" s="501"/>
      <c r="GM2521" s="501"/>
      <c r="GN2521" s="501"/>
      <c r="GO2521" s="501"/>
      <c r="GP2521" s="501"/>
      <c r="GQ2521" s="501"/>
      <c r="GR2521" s="501"/>
      <c r="GS2521" s="501"/>
      <c r="GT2521" s="501"/>
      <c r="GU2521" s="501"/>
      <c r="GV2521" s="501"/>
      <c r="GW2521" s="501"/>
      <c r="GX2521" s="501"/>
      <c r="GY2521" s="501"/>
      <c r="GZ2521" s="501"/>
      <c r="HA2521" s="501"/>
      <c r="HB2521" s="501"/>
      <c r="HC2521" s="501"/>
      <c r="HD2521" s="501"/>
      <c r="HE2521" s="501"/>
      <c r="HF2521" s="501"/>
      <c r="HG2521" s="501"/>
      <c r="HH2521" s="501"/>
      <c r="HI2521" s="501"/>
      <c r="HJ2521" s="501"/>
      <c r="HK2521" s="501"/>
      <c r="HL2521" s="501"/>
      <c r="HM2521" s="501"/>
      <c r="HN2521" s="501"/>
      <c r="HO2521" s="501"/>
      <c r="HP2521" s="501"/>
      <c r="HQ2521" s="501"/>
      <c r="HR2521" s="501"/>
      <c r="HS2521" s="501"/>
      <c r="HT2521" s="501"/>
      <c r="HU2521" s="501"/>
      <c r="HV2521" s="501"/>
      <c r="HW2521" s="501"/>
      <c r="HX2521" s="501"/>
      <c r="HY2521" s="501"/>
      <c r="HZ2521" s="501"/>
      <c r="IA2521" s="501"/>
      <c r="IB2521" s="501"/>
      <c r="IC2521" s="501"/>
      <c r="ID2521" s="501"/>
      <c r="IE2521" s="501"/>
      <c r="IF2521" s="501"/>
      <c r="IG2521" s="501"/>
      <c r="IH2521" s="501"/>
      <c r="II2521" s="501"/>
      <c r="IJ2521" s="501"/>
      <c r="IK2521" s="501"/>
      <c r="IL2521" s="501"/>
      <c r="IM2521" s="501"/>
      <c r="IN2521" s="501"/>
      <c r="IO2521" s="501"/>
      <c r="IP2521" s="501"/>
      <c r="IQ2521" s="501"/>
      <c r="IR2521" s="501"/>
      <c r="IS2521" s="501"/>
      <c r="IT2521" s="501"/>
      <c r="IU2521" s="501"/>
    </row>
    <row r="2527" spans="1:255" ht="24" customHeight="1">
      <c r="K2527" s="903"/>
    </row>
    <row r="2528" spans="1:255" ht="24" customHeight="1">
      <c r="K2528" s="885"/>
    </row>
    <row r="2529" spans="10:14" ht="24" customHeight="1">
      <c r="K2529" s="903"/>
    </row>
    <row r="2532" spans="10:14" ht="24" customHeight="1">
      <c r="N2532" s="877"/>
    </row>
    <row r="2535" spans="10:14" ht="24" customHeight="1">
      <c r="M2535" s="1049"/>
    </row>
    <row r="2538" spans="10:14" ht="24" customHeight="1">
      <c r="M2538" s="1049"/>
    </row>
    <row r="2539" spans="10:14" ht="24" customHeight="1">
      <c r="J2539" s="885"/>
      <c r="M2539" s="899"/>
    </row>
    <row r="2540" spans="10:14" ht="24" customHeight="1">
      <c r="M2540" s="1049"/>
    </row>
    <row r="2544" spans="10:14" ht="24" customHeight="1">
      <c r="J2544" s="885"/>
    </row>
    <row r="2546" spans="1:255" ht="24" customHeight="1">
      <c r="F2546" s="885"/>
      <c r="G2546" s="1057"/>
      <c r="H2546" s="885"/>
      <c r="I2546" s="895"/>
    </row>
    <row r="2548" spans="1:255" ht="24" customHeight="1">
      <c r="K2548" s="877"/>
    </row>
    <row r="2549" spans="1:255" ht="24" customHeight="1">
      <c r="K2549" s="877"/>
    </row>
    <row r="2550" spans="1:255" ht="24" customHeight="1">
      <c r="K2550" s="877"/>
    </row>
    <row r="2553" spans="1:255" ht="24" customHeight="1">
      <c r="J2553" s="885"/>
    </row>
    <row r="2554" spans="1:255" s="877" customFormat="1" ht="24" customHeight="1">
      <c r="A2554" s="501"/>
      <c r="B2554" s="501"/>
      <c r="C2554" s="501"/>
      <c r="D2554" s="501"/>
      <c r="E2554" s="501"/>
      <c r="F2554" s="501"/>
      <c r="G2554" s="915"/>
      <c r="H2554" s="501"/>
      <c r="I2554" s="874"/>
      <c r="J2554" s="501"/>
      <c r="K2554" s="501"/>
      <c r="L2554" s="874"/>
      <c r="M2554" s="554"/>
      <c r="N2554" s="501"/>
      <c r="O2554" s="501"/>
      <c r="P2554" s="501"/>
      <c r="Q2554" s="501"/>
      <c r="R2554" s="501"/>
      <c r="S2554" s="501"/>
      <c r="T2554" s="501"/>
      <c r="V2554" s="501"/>
      <c r="W2554" s="501"/>
      <c r="X2554" s="501"/>
      <c r="Y2554" s="501"/>
      <c r="Z2554" s="501"/>
      <c r="AA2554" s="501"/>
      <c r="AB2554" s="501"/>
      <c r="AC2554" s="501"/>
      <c r="AD2554" s="501"/>
      <c r="AE2554" s="501"/>
      <c r="AF2554" s="501"/>
      <c r="AG2554" s="501"/>
      <c r="AH2554" s="501"/>
      <c r="AI2554" s="501"/>
      <c r="AJ2554" s="501"/>
      <c r="AK2554" s="501"/>
      <c r="AL2554" s="501"/>
      <c r="AM2554" s="501"/>
      <c r="AN2554" s="501"/>
      <c r="AO2554" s="501"/>
      <c r="AP2554" s="501"/>
      <c r="AQ2554" s="501"/>
      <c r="AR2554" s="501"/>
      <c r="AS2554" s="501"/>
      <c r="AT2554" s="501"/>
      <c r="AU2554" s="501"/>
      <c r="AV2554" s="501"/>
      <c r="AW2554" s="501"/>
      <c r="AX2554" s="501"/>
      <c r="AY2554" s="501"/>
      <c r="AZ2554" s="501"/>
      <c r="BA2554" s="501"/>
      <c r="BB2554" s="501"/>
      <c r="BC2554" s="501"/>
      <c r="BD2554" s="501"/>
      <c r="BE2554" s="501"/>
      <c r="BF2554" s="501"/>
      <c r="BG2554" s="501"/>
      <c r="BH2554" s="501"/>
      <c r="BI2554" s="501"/>
      <c r="BJ2554" s="501"/>
      <c r="BK2554" s="501"/>
      <c r="BL2554" s="501"/>
      <c r="BM2554" s="501"/>
      <c r="BN2554" s="501"/>
      <c r="BO2554" s="501"/>
      <c r="BP2554" s="501"/>
      <c r="BQ2554" s="501"/>
      <c r="BR2554" s="501"/>
      <c r="BS2554" s="501"/>
      <c r="BT2554" s="501"/>
      <c r="BU2554" s="501"/>
      <c r="BV2554" s="501"/>
      <c r="BW2554" s="501"/>
      <c r="BX2554" s="501"/>
      <c r="BY2554" s="501"/>
      <c r="BZ2554" s="501"/>
      <c r="CA2554" s="501"/>
      <c r="CB2554" s="501"/>
      <c r="CC2554" s="501"/>
      <c r="CD2554" s="501"/>
      <c r="CE2554" s="501"/>
      <c r="CF2554" s="501"/>
      <c r="CG2554" s="501"/>
      <c r="CH2554" s="501"/>
      <c r="CI2554" s="501"/>
      <c r="CJ2554" s="501"/>
      <c r="CK2554" s="501"/>
      <c r="CL2554" s="501"/>
      <c r="CM2554" s="501"/>
      <c r="CN2554" s="501"/>
      <c r="CO2554" s="501"/>
      <c r="CP2554" s="501"/>
      <c r="CQ2554" s="501"/>
      <c r="CR2554" s="501"/>
      <c r="CS2554" s="501"/>
      <c r="CT2554" s="501"/>
      <c r="CU2554" s="501"/>
      <c r="CV2554" s="501"/>
      <c r="CW2554" s="501"/>
      <c r="CX2554" s="501"/>
      <c r="CY2554" s="501"/>
      <c r="CZ2554" s="501"/>
      <c r="DA2554" s="501"/>
      <c r="DB2554" s="501"/>
      <c r="DC2554" s="501"/>
      <c r="DD2554" s="501"/>
      <c r="DE2554" s="501"/>
      <c r="DF2554" s="501"/>
      <c r="DG2554" s="501"/>
      <c r="DH2554" s="501"/>
      <c r="DI2554" s="501"/>
      <c r="DJ2554" s="501"/>
      <c r="DK2554" s="501"/>
      <c r="DL2554" s="501"/>
      <c r="DM2554" s="501"/>
      <c r="DN2554" s="501"/>
      <c r="DO2554" s="501"/>
      <c r="DP2554" s="501"/>
      <c r="DQ2554" s="501"/>
      <c r="DR2554" s="501"/>
      <c r="DS2554" s="501"/>
      <c r="DT2554" s="501"/>
      <c r="DU2554" s="501"/>
      <c r="DV2554" s="501"/>
      <c r="DW2554" s="501"/>
      <c r="DX2554" s="501"/>
      <c r="DY2554" s="501"/>
      <c r="DZ2554" s="501"/>
      <c r="EA2554" s="501"/>
      <c r="EB2554" s="501"/>
      <c r="EC2554" s="501"/>
      <c r="ED2554" s="501"/>
      <c r="EE2554" s="501"/>
      <c r="EF2554" s="501"/>
      <c r="EG2554" s="501"/>
      <c r="EH2554" s="501"/>
      <c r="EI2554" s="501"/>
      <c r="EJ2554" s="501"/>
      <c r="EK2554" s="501"/>
      <c r="EL2554" s="501"/>
      <c r="EM2554" s="501"/>
      <c r="EN2554" s="501"/>
      <c r="EO2554" s="501"/>
      <c r="EP2554" s="501"/>
      <c r="EQ2554" s="501"/>
      <c r="ER2554" s="501"/>
      <c r="ES2554" s="501"/>
      <c r="ET2554" s="501"/>
      <c r="EU2554" s="501"/>
      <c r="EV2554" s="501"/>
      <c r="EW2554" s="501"/>
      <c r="EX2554" s="501"/>
      <c r="EY2554" s="501"/>
      <c r="EZ2554" s="501"/>
      <c r="FA2554" s="501"/>
      <c r="FB2554" s="501"/>
      <c r="FC2554" s="501"/>
      <c r="FD2554" s="501"/>
      <c r="FE2554" s="501"/>
      <c r="FF2554" s="501"/>
      <c r="FG2554" s="501"/>
      <c r="FH2554" s="501"/>
      <c r="FI2554" s="501"/>
      <c r="FJ2554" s="501"/>
      <c r="FK2554" s="501"/>
      <c r="FL2554" s="501"/>
      <c r="FM2554" s="501"/>
      <c r="FN2554" s="501"/>
      <c r="FO2554" s="501"/>
      <c r="FP2554" s="501"/>
      <c r="FQ2554" s="501"/>
      <c r="FR2554" s="501"/>
      <c r="FS2554" s="501"/>
      <c r="FT2554" s="501"/>
      <c r="FU2554" s="501"/>
      <c r="FV2554" s="501"/>
      <c r="FW2554" s="501"/>
      <c r="FX2554" s="501"/>
      <c r="FY2554" s="501"/>
      <c r="FZ2554" s="501"/>
      <c r="GA2554" s="501"/>
      <c r="GB2554" s="501"/>
      <c r="GC2554" s="501"/>
      <c r="GD2554" s="501"/>
      <c r="GE2554" s="501"/>
      <c r="GF2554" s="501"/>
      <c r="GG2554" s="501"/>
      <c r="GH2554" s="501"/>
      <c r="GI2554" s="501"/>
      <c r="GJ2554" s="501"/>
      <c r="GK2554" s="501"/>
      <c r="GL2554" s="501"/>
      <c r="GM2554" s="501"/>
      <c r="GN2554" s="501"/>
      <c r="GO2554" s="501"/>
      <c r="GP2554" s="501"/>
      <c r="GQ2554" s="501"/>
      <c r="GR2554" s="501"/>
      <c r="GS2554" s="501"/>
      <c r="GT2554" s="501"/>
      <c r="GU2554" s="501"/>
      <c r="GV2554" s="501"/>
      <c r="GW2554" s="501"/>
      <c r="GX2554" s="501"/>
      <c r="GY2554" s="501"/>
      <c r="GZ2554" s="501"/>
      <c r="HA2554" s="501"/>
      <c r="HB2554" s="501"/>
      <c r="HC2554" s="501"/>
      <c r="HD2554" s="501"/>
      <c r="HE2554" s="501"/>
      <c r="HF2554" s="501"/>
      <c r="HG2554" s="501"/>
      <c r="HH2554" s="501"/>
      <c r="HI2554" s="501"/>
      <c r="HJ2554" s="501"/>
      <c r="HK2554" s="501"/>
      <c r="HL2554" s="501"/>
      <c r="HM2554" s="501"/>
      <c r="HN2554" s="501"/>
      <c r="HO2554" s="501"/>
      <c r="HP2554" s="501"/>
      <c r="HQ2554" s="501"/>
      <c r="HR2554" s="501"/>
      <c r="HS2554" s="501"/>
      <c r="HT2554" s="501"/>
      <c r="HU2554" s="501"/>
      <c r="HV2554" s="501"/>
      <c r="HW2554" s="501"/>
      <c r="HX2554" s="501"/>
      <c r="HY2554" s="501"/>
      <c r="HZ2554" s="501"/>
      <c r="IA2554" s="501"/>
      <c r="IB2554" s="501"/>
      <c r="IC2554" s="501"/>
      <c r="ID2554" s="501"/>
      <c r="IE2554" s="501"/>
      <c r="IF2554" s="501"/>
      <c r="IG2554" s="501"/>
      <c r="IH2554" s="501"/>
      <c r="II2554" s="501"/>
      <c r="IJ2554" s="501"/>
      <c r="IK2554" s="501"/>
      <c r="IL2554" s="501"/>
      <c r="IM2554" s="501"/>
      <c r="IN2554" s="501"/>
      <c r="IO2554" s="501"/>
      <c r="IP2554" s="501"/>
      <c r="IQ2554" s="501"/>
      <c r="IR2554" s="501"/>
      <c r="IS2554" s="501"/>
      <c r="IT2554" s="501"/>
      <c r="IU2554" s="501"/>
    </row>
    <row r="2555" spans="1:255" s="877" customFormat="1" ht="24" customHeight="1">
      <c r="A2555" s="501"/>
      <c r="B2555" s="501"/>
      <c r="C2555" s="501"/>
      <c r="D2555" s="501"/>
      <c r="E2555" s="501"/>
      <c r="F2555" s="501"/>
      <c r="G2555" s="915"/>
      <c r="H2555" s="501"/>
      <c r="I2555" s="874"/>
      <c r="J2555" s="501"/>
      <c r="K2555" s="501"/>
      <c r="L2555" s="874"/>
      <c r="M2555" s="554"/>
      <c r="N2555" s="501"/>
      <c r="O2555" s="501"/>
      <c r="P2555" s="1058"/>
      <c r="Q2555" s="885"/>
      <c r="R2555" s="501"/>
      <c r="S2555" s="874"/>
      <c r="T2555" s="501"/>
      <c r="V2555" s="501"/>
      <c r="W2555" s="501"/>
      <c r="X2555" s="501"/>
      <c r="Y2555" s="501"/>
      <c r="Z2555" s="501"/>
      <c r="AA2555" s="501"/>
      <c r="AB2555" s="501"/>
      <c r="AC2555" s="501"/>
      <c r="AD2555" s="501"/>
      <c r="AE2555" s="501"/>
      <c r="AF2555" s="501"/>
      <c r="AG2555" s="501"/>
      <c r="AH2555" s="501"/>
      <c r="AI2555" s="501"/>
      <c r="AJ2555" s="501"/>
      <c r="AK2555" s="501"/>
      <c r="AL2555" s="501"/>
      <c r="AM2555" s="501"/>
      <c r="AN2555" s="501"/>
      <c r="AO2555" s="501"/>
      <c r="AP2555" s="501"/>
      <c r="AQ2555" s="501"/>
      <c r="AR2555" s="501"/>
      <c r="AS2555" s="501"/>
      <c r="AT2555" s="501"/>
      <c r="AU2555" s="501"/>
      <c r="AV2555" s="501"/>
      <c r="AW2555" s="501"/>
      <c r="AX2555" s="501"/>
      <c r="AY2555" s="501"/>
      <c r="AZ2555" s="501"/>
      <c r="BA2555" s="501"/>
      <c r="BB2555" s="501"/>
      <c r="BC2555" s="501"/>
      <c r="BD2555" s="501"/>
      <c r="BE2555" s="501"/>
      <c r="BF2555" s="501"/>
      <c r="BG2555" s="501"/>
      <c r="BH2555" s="501"/>
      <c r="BI2555" s="501"/>
      <c r="BJ2555" s="501"/>
      <c r="BK2555" s="501"/>
      <c r="BL2555" s="501"/>
      <c r="BM2555" s="501"/>
      <c r="BN2555" s="501"/>
      <c r="BO2555" s="501"/>
      <c r="BP2555" s="501"/>
      <c r="BQ2555" s="501"/>
      <c r="BR2555" s="501"/>
      <c r="BS2555" s="501"/>
      <c r="BT2555" s="501"/>
      <c r="BU2555" s="501"/>
      <c r="BV2555" s="501"/>
      <c r="BW2555" s="501"/>
      <c r="BX2555" s="501"/>
      <c r="BY2555" s="501"/>
      <c r="BZ2555" s="501"/>
      <c r="CA2555" s="501"/>
      <c r="CB2555" s="501"/>
      <c r="CC2555" s="501"/>
      <c r="CD2555" s="501"/>
      <c r="CE2555" s="501"/>
      <c r="CF2555" s="501"/>
      <c r="CG2555" s="501"/>
      <c r="CH2555" s="501"/>
      <c r="CI2555" s="501"/>
      <c r="CJ2555" s="501"/>
      <c r="CK2555" s="501"/>
      <c r="CL2555" s="501"/>
      <c r="CM2555" s="501"/>
      <c r="CN2555" s="501"/>
      <c r="CO2555" s="501"/>
      <c r="CP2555" s="501"/>
      <c r="CQ2555" s="501"/>
      <c r="CR2555" s="501"/>
      <c r="CS2555" s="501"/>
      <c r="CT2555" s="501"/>
      <c r="CU2555" s="501"/>
      <c r="CV2555" s="501"/>
      <c r="CW2555" s="501"/>
      <c r="CX2555" s="501"/>
      <c r="CY2555" s="501"/>
      <c r="CZ2555" s="501"/>
      <c r="DA2555" s="501"/>
      <c r="DB2555" s="501"/>
      <c r="DC2555" s="501"/>
      <c r="DD2555" s="501"/>
      <c r="DE2555" s="501"/>
      <c r="DF2555" s="501"/>
      <c r="DG2555" s="501"/>
      <c r="DH2555" s="501"/>
      <c r="DI2555" s="501"/>
      <c r="DJ2555" s="501"/>
      <c r="DK2555" s="501"/>
      <c r="DL2555" s="501"/>
      <c r="DM2555" s="501"/>
      <c r="DN2555" s="501"/>
      <c r="DO2555" s="501"/>
      <c r="DP2555" s="501"/>
      <c r="DQ2555" s="501"/>
      <c r="DR2555" s="501"/>
      <c r="DS2555" s="501"/>
      <c r="DT2555" s="501"/>
      <c r="DU2555" s="501"/>
      <c r="DV2555" s="501"/>
      <c r="DW2555" s="501"/>
      <c r="DX2555" s="501"/>
      <c r="DY2555" s="501"/>
      <c r="DZ2555" s="501"/>
      <c r="EA2555" s="501"/>
      <c r="EB2555" s="501"/>
      <c r="EC2555" s="501"/>
      <c r="ED2555" s="501"/>
      <c r="EE2555" s="501"/>
      <c r="EF2555" s="501"/>
      <c r="EG2555" s="501"/>
      <c r="EH2555" s="501"/>
      <c r="EI2555" s="501"/>
      <c r="EJ2555" s="501"/>
      <c r="EK2555" s="501"/>
      <c r="EL2555" s="501"/>
      <c r="EM2555" s="501"/>
      <c r="EN2555" s="501"/>
      <c r="EO2555" s="501"/>
      <c r="EP2555" s="501"/>
      <c r="EQ2555" s="501"/>
      <c r="ER2555" s="501"/>
      <c r="ES2555" s="501"/>
      <c r="ET2555" s="501"/>
      <c r="EU2555" s="501"/>
      <c r="EV2555" s="501"/>
      <c r="EW2555" s="501"/>
      <c r="EX2555" s="501"/>
      <c r="EY2555" s="501"/>
      <c r="EZ2555" s="501"/>
      <c r="FA2555" s="501"/>
      <c r="FB2555" s="501"/>
      <c r="FC2555" s="501"/>
      <c r="FD2555" s="501"/>
      <c r="FE2555" s="501"/>
      <c r="FF2555" s="501"/>
      <c r="FG2555" s="501"/>
      <c r="FH2555" s="501"/>
      <c r="FI2555" s="501"/>
      <c r="FJ2555" s="501"/>
      <c r="FK2555" s="501"/>
      <c r="FL2555" s="501"/>
      <c r="FM2555" s="501"/>
      <c r="FN2555" s="501"/>
      <c r="FO2555" s="501"/>
      <c r="FP2555" s="501"/>
      <c r="FQ2555" s="501"/>
      <c r="FR2555" s="501"/>
      <c r="FS2555" s="501"/>
      <c r="FT2555" s="501"/>
      <c r="FU2555" s="501"/>
      <c r="FV2555" s="501"/>
      <c r="FW2555" s="501"/>
      <c r="FX2555" s="501"/>
      <c r="FY2555" s="501"/>
      <c r="FZ2555" s="501"/>
      <c r="GA2555" s="501"/>
      <c r="GB2555" s="501"/>
      <c r="GC2555" s="501"/>
      <c r="GD2555" s="501"/>
      <c r="GE2555" s="501"/>
      <c r="GF2555" s="501"/>
      <c r="GG2555" s="501"/>
      <c r="GH2555" s="501"/>
      <c r="GI2555" s="501"/>
      <c r="GJ2555" s="501"/>
      <c r="GK2555" s="501"/>
      <c r="GL2555" s="501"/>
      <c r="GM2555" s="501"/>
      <c r="GN2555" s="501"/>
      <c r="GO2555" s="501"/>
      <c r="GP2555" s="501"/>
      <c r="GQ2555" s="501"/>
      <c r="GR2555" s="501"/>
      <c r="GS2555" s="501"/>
      <c r="GT2555" s="501"/>
      <c r="GU2555" s="501"/>
      <c r="GV2555" s="501"/>
      <c r="GW2555" s="501"/>
      <c r="GX2555" s="501"/>
      <c r="GY2555" s="501"/>
      <c r="GZ2555" s="501"/>
      <c r="HA2555" s="501"/>
      <c r="HB2555" s="501"/>
      <c r="HC2555" s="501"/>
      <c r="HD2555" s="501"/>
      <c r="HE2555" s="501"/>
      <c r="HF2555" s="501"/>
      <c r="HG2555" s="501"/>
      <c r="HH2555" s="501"/>
      <c r="HI2555" s="501"/>
      <c r="HJ2555" s="501"/>
      <c r="HK2555" s="501"/>
      <c r="HL2555" s="501"/>
      <c r="HM2555" s="501"/>
      <c r="HN2555" s="501"/>
      <c r="HO2555" s="501"/>
      <c r="HP2555" s="501"/>
      <c r="HQ2555" s="501"/>
      <c r="HR2555" s="501"/>
      <c r="HS2555" s="501"/>
      <c r="HT2555" s="501"/>
      <c r="HU2555" s="501"/>
      <c r="HV2555" s="501"/>
      <c r="HW2555" s="501"/>
      <c r="HX2555" s="501"/>
      <c r="HY2555" s="501"/>
      <c r="HZ2555" s="501"/>
      <c r="IA2555" s="501"/>
      <c r="IB2555" s="501"/>
      <c r="IC2555" s="501"/>
      <c r="ID2555" s="501"/>
      <c r="IE2555" s="501"/>
      <c r="IF2555" s="501"/>
      <c r="IG2555" s="501"/>
      <c r="IH2555" s="501"/>
      <c r="II2555" s="501"/>
      <c r="IJ2555" s="501"/>
      <c r="IK2555" s="501"/>
      <c r="IL2555" s="501"/>
      <c r="IM2555" s="501"/>
      <c r="IN2555" s="501"/>
      <c r="IO2555" s="501"/>
      <c r="IP2555" s="501"/>
      <c r="IQ2555" s="501"/>
      <c r="IR2555" s="501"/>
      <c r="IS2555" s="501"/>
      <c r="IT2555" s="501"/>
      <c r="IU2555" s="501"/>
    </row>
    <row r="2556" spans="1:255" s="877" customFormat="1" ht="24" customHeight="1">
      <c r="A2556" s="501"/>
      <c r="B2556" s="501"/>
      <c r="C2556" s="501"/>
      <c r="D2556" s="501"/>
      <c r="E2556" s="501"/>
      <c r="F2556" s="501"/>
      <c r="G2556" s="915"/>
      <c r="H2556" s="501"/>
      <c r="I2556" s="874"/>
      <c r="J2556" s="501"/>
      <c r="K2556" s="501"/>
      <c r="L2556" s="874"/>
      <c r="M2556" s="554"/>
      <c r="N2556" s="501"/>
      <c r="O2556" s="501"/>
      <c r="P2556" s="1059"/>
      <c r="Q2556" s="1060"/>
      <c r="R2556" s="501"/>
      <c r="S2556" s="874"/>
      <c r="T2556" s="501"/>
      <c r="V2556" s="501"/>
      <c r="W2556" s="501"/>
      <c r="X2556" s="501"/>
      <c r="Y2556" s="501"/>
      <c r="Z2556" s="501"/>
      <c r="AA2556" s="501"/>
      <c r="AB2556" s="501"/>
      <c r="AC2556" s="501"/>
      <c r="AD2556" s="501"/>
      <c r="AE2556" s="501"/>
      <c r="AF2556" s="501"/>
      <c r="AG2556" s="501"/>
      <c r="AH2556" s="501"/>
      <c r="AI2556" s="501"/>
      <c r="AJ2556" s="501"/>
      <c r="AK2556" s="501"/>
      <c r="AL2556" s="501"/>
      <c r="AM2556" s="501"/>
      <c r="AN2556" s="501"/>
      <c r="AO2556" s="501"/>
      <c r="AP2556" s="501"/>
      <c r="AQ2556" s="501"/>
      <c r="AR2556" s="501"/>
      <c r="AS2556" s="501"/>
      <c r="AT2556" s="501"/>
      <c r="AU2556" s="501"/>
      <c r="AV2556" s="501"/>
      <c r="AW2556" s="501"/>
      <c r="AX2556" s="501"/>
      <c r="AY2556" s="501"/>
      <c r="AZ2556" s="501"/>
      <c r="BA2556" s="501"/>
      <c r="BB2556" s="501"/>
      <c r="BC2556" s="501"/>
      <c r="BD2556" s="501"/>
      <c r="BE2556" s="501"/>
      <c r="BF2556" s="501"/>
      <c r="BG2556" s="501"/>
      <c r="BH2556" s="501"/>
      <c r="BI2556" s="501"/>
      <c r="BJ2556" s="501"/>
      <c r="BK2556" s="501"/>
      <c r="BL2556" s="501"/>
      <c r="BM2556" s="501"/>
      <c r="BN2556" s="501"/>
      <c r="BO2556" s="501"/>
      <c r="BP2556" s="501"/>
      <c r="BQ2556" s="501"/>
      <c r="BR2556" s="501"/>
      <c r="BS2556" s="501"/>
      <c r="BT2556" s="501"/>
      <c r="BU2556" s="501"/>
      <c r="BV2556" s="501"/>
      <c r="BW2556" s="501"/>
      <c r="BX2556" s="501"/>
      <c r="BY2556" s="501"/>
      <c r="BZ2556" s="501"/>
      <c r="CA2556" s="501"/>
      <c r="CB2556" s="501"/>
      <c r="CC2556" s="501"/>
      <c r="CD2556" s="501"/>
      <c r="CE2556" s="501"/>
      <c r="CF2556" s="501"/>
      <c r="CG2556" s="501"/>
      <c r="CH2556" s="501"/>
      <c r="CI2556" s="501"/>
      <c r="CJ2556" s="501"/>
      <c r="CK2556" s="501"/>
      <c r="CL2556" s="501"/>
      <c r="CM2556" s="501"/>
      <c r="CN2556" s="501"/>
      <c r="CO2556" s="501"/>
      <c r="CP2556" s="501"/>
      <c r="CQ2556" s="501"/>
      <c r="CR2556" s="501"/>
      <c r="CS2556" s="501"/>
      <c r="CT2556" s="501"/>
      <c r="CU2556" s="501"/>
      <c r="CV2556" s="501"/>
      <c r="CW2556" s="501"/>
      <c r="CX2556" s="501"/>
      <c r="CY2556" s="501"/>
      <c r="CZ2556" s="501"/>
      <c r="DA2556" s="501"/>
      <c r="DB2556" s="501"/>
      <c r="DC2556" s="501"/>
      <c r="DD2556" s="501"/>
      <c r="DE2556" s="501"/>
      <c r="DF2556" s="501"/>
      <c r="DG2556" s="501"/>
      <c r="DH2556" s="501"/>
      <c r="DI2556" s="501"/>
      <c r="DJ2556" s="501"/>
      <c r="DK2556" s="501"/>
      <c r="DL2556" s="501"/>
      <c r="DM2556" s="501"/>
      <c r="DN2556" s="501"/>
      <c r="DO2556" s="501"/>
      <c r="DP2556" s="501"/>
      <c r="DQ2556" s="501"/>
      <c r="DR2556" s="501"/>
      <c r="DS2556" s="501"/>
      <c r="DT2556" s="501"/>
      <c r="DU2556" s="501"/>
      <c r="DV2556" s="501"/>
      <c r="DW2556" s="501"/>
      <c r="DX2556" s="501"/>
      <c r="DY2556" s="501"/>
      <c r="DZ2556" s="501"/>
      <c r="EA2556" s="501"/>
      <c r="EB2556" s="501"/>
      <c r="EC2556" s="501"/>
      <c r="ED2556" s="501"/>
      <c r="EE2556" s="501"/>
      <c r="EF2556" s="501"/>
      <c r="EG2556" s="501"/>
      <c r="EH2556" s="501"/>
      <c r="EI2556" s="501"/>
      <c r="EJ2556" s="501"/>
      <c r="EK2556" s="501"/>
      <c r="EL2556" s="501"/>
      <c r="EM2556" s="501"/>
      <c r="EN2556" s="501"/>
      <c r="EO2556" s="501"/>
      <c r="EP2556" s="501"/>
      <c r="EQ2556" s="501"/>
      <c r="ER2556" s="501"/>
      <c r="ES2556" s="501"/>
      <c r="ET2556" s="501"/>
      <c r="EU2556" s="501"/>
      <c r="EV2556" s="501"/>
      <c r="EW2556" s="501"/>
      <c r="EX2556" s="501"/>
      <c r="EY2556" s="501"/>
      <c r="EZ2556" s="501"/>
      <c r="FA2556" s="501"/>
      <c r="FB2556" s="501"/>
      <c r="FC2556" s="501"/>
      <c r="FD2556" s="501"/>
      <c r="FE2556" s="501"/>
      <c r="FF2556" s="501"/>
      <c r="FG2556" s="501"/>
      <c r="FH2556" s="501"/>
      <c r="FI2556" s="501"/>
      <c r="FJ2556" s="501"/>
      <c r="FK2556" s="501"/>
      <c r="FL2556" s="501"/>
      <c r="FM2556" s="501"/>
      <c r="FN2556" s="501"/>
      <c r="FO2556" s="501"/>
      <c r="FP2556" s="501"/>
      <c r="FQ2556" s="501"/>
      <c r="FR2556" s="501"/>
      <c r="FS2556" s="501"/>
      <c r="FT2556" s="501"/>
      <c r="FU2556" s="501"/>
      <c r="FV2556" s="501"/>
      <c r="FW2556" s="501"/>
      <c r="FX2556" s="501"/>
      <c r="FY2556" s="501"/>
      <c r="FZ2556" s="501"/>
      <c r="GA2556" s="501"/>
      <c r="GB2556" s="501"/>
      <c r="GC2556" s="501"/>
      <c r="GD2556" s="501"/>
      <c r="GE2556" s="501"/>
      <c r="GF2556" s="501"/>
      <c r="GG2556" s="501"/>
      <c r="GH2556" s="501"/>
      <c r="GI2556" s="501"/>
      <c r="GJ2556" s="501"/>
      <c r="GK2556" s="501"/>
      <c r="GL2556" s="501"/>
      <c r="GM2556" s="501"/>
      <c r="GN2556" s="501"/>
      <c r="GO2556" s="501"/>
      <c r="GP2556" s="501"/>
      <c r="GQ2556" s="501"/>
      <c r="GR2556" s="501"/>
      <c r="GS2556" s="501"/>
      <c r="GT2556" s="501"/>
      <c r="GU2556" s="501"/>
      <c r="GV2556" s="501"/>
      <c r="GW2556" s="501"/>
      <c r="GX2556" s="501"/>
      <c r="GY2556" s="501"/>
      <c r="GZ2556" s="501"/>
      <c r="HA2556" s="501"/>
      <c r="HB2556" s="501"/>
      <c r="HC2556" s="501"/>
      <c r="HD2556" s="501"/>
      <c r="HE2556" s="501"/>
      <c r="HF2556" s="501"/>
      <c r="HG2556" s="501"/>
      <c r="HH2556" s="501"/>
      <c r="HI2556" s="501"/>
      <c r="HJ2556" s="501"/>
      <c r="HK2556" s="501"/>
      <c r="HL2556" s="501"/>
      <c r="HM2556" s="501"/>
      <c r="HN2556" s="501"/>
      <c r="HO2556" s="501"/>
      <c r="HP2556" s="501"/>
      <c r="HQ2556" s="501"/>
      <c r="HR2556" s="501"/>
      <c r="HS2556" s="501"/>
      <c r="HT2556" s="501"/>
      <c r="HU2556" s="501"/>
      <c r="HV2556" s="501"/>
      <c r="HW2556" s="501"/>
      <c r="HX2556" s="501"/>
      <c r="HY2556" s="501"/>
      <c r="HZ2556" s="501"/>
      <c r="IA2556" s="501"/>
      <c r="IB2556" s="501"/>
      <c r="IC2556" s="501"/>
      <c r="ID2556" s="501"/>
      <c r="IE2556" s="501"/>
      <c r="IF2556" s="501"/>
      <c r="IG2556" s="501"/>
      <c r="IH2556" s="501"/>
      <c r="II2556" s="501"/>
      <c r="IJ2556" s="501"/>
      <c r="IK2556" s="501"/>
      <c r="IL2556" s="501"/>
      <c r="IM2556" s="501"/>
      <c r="IN2556" s="501"/>
      <c r="IO2556" s="501"/>
      <c r="IP2556" s="501"/>
      <c r="IQ2556" s="501"/>
      <c r="IR2556" s="501"/>
      <c r="IS2556" s="501"/>
      <c r="IT2556" s="501"/>
      <c r="IU2556" s="501"/>
    </row>
    <row r="2557" spans="1:255" s="877" customFormat="1" ht="24" customHeight="1">
      <c r="A2557" s="501"/>
      <c r="B2557" s="501"/>
      <c r="C2557" s="501"/>
      <c r="D2557" s="501"/>
      <c r="E2557" s="501"/>
      <c r="F2557" s="501"/>
      <c r="G2557" s="915"/>
      <c r="H2557" s="501"/>
      <c r="I2557" s="874"/>
      <c r="J2557" s="501"/>
      <c r="K2557" s="501"/>
      <c r="L2557" s="874"/>
      <c r="M2557" s="554"/>
      <c r="N2557" s="501"/>
      <c r="O2557" s="874"/>
      <c r="P2557" s="874"/>
      <c r="Q2557" s="874"/>
      <c r="R2557" s="501"/>
      <c r="S2557" s="874"/>
      <c r="T2557" s="501"/>
      <c r="V2557" s="501"/>
      <c r="W2557" s="501"/>
      <c r="X2557" s="501"/>
      <c r="Y2557" s="501"/>
      <c r="Z2557" s="501"/>
      <c r="AA2557" s="501"/>
      <c r="AB2557" s="501"/>
      <c r="AC2557" s="501"/>
      <c r="AD2557" s="501"/>
      <c r="AE2557" s="501"/>
      <c r="AF2557" s="501"/>
      <c r="AG2557" s="501"/>
      <c r="AH2557" s="501"/>
      <c r="AI2557" s="501"/>
      <c r="AJ2557" s="501"/>
      <c r="AK2557" s="501"/>
      <c r="AL2557" s="501"/>
      <c r="AM2557" s="501"/>
      <c r="AN2557" s="501"/>
      <c r="AO2557" s="501"/>
      <c r="AP2557" s="501"/>
      <c r="AQ2557" s="501"/>
      <c r="AR2557" s="501"/>
      <c r="AS2557" s="501"/>
      <c r="AT2557" s="501"/>
      <c r="AU2557" s="501"/>
      <c r="AV2557" s="501"/>
      <c r="AW2557" s="501"/>
      <c r="AX2557" s="501"/>
      <c r="AY2557" s="501"/>
      <c r="AZ2557" s="501"/>
      <c r="BA2557" s="501"/>
      <c r="BB2557" s="501"/>
      <c r="BC2557" s="501"/>
      <c r="BD2557" s="501"/>
      <c r="BE2557" s="501"/>
      <c r="BF2557" s="501"/>
      <c r="BG2557" s="501"/>
      <c r="BH2557" s="501"/>
      <c r="BI2557" s="501"/>
      <c r="BJ2557" s="501"/>
      <c r="BK2557" s="501"/>
      <c r="BL2557" s="501"/>
      <c r="BM2557" s="501"/>
      <c r="BN2557" s="501"/>
      <c r="BO2557" s="501"/>
      <c r="BP2557" s="501"/>
      <c r="BQ2557" s="501"/>
      <c r="BR2557" s="501"/>
      <c r="BS2557" s="501"/>
      <c r="BT2557" s="501"/>
      <c r="BU2557" s="501"/>
      <c r="BV2557" s="501"/>
      <c r="BW2557" s="501"/>
      <c r="BX2557" s="501"/>
      <c r="BY2557" s="501"/>
      <c r="BZ2557" s="501"/>
      <c r="CA2557" s="501"/>
      <c r="CB2557" s="501"/>
      <c r="CC2557" s="501"/>
      <c r="CD2557" s="501"/>
      <c r="CE2557" s="501"/>
      <c r="CF2557" s="501"/>
      <c r="CG2557" s="501"/>
      <c r="CH2557" s="501"/>
      <c r="CI2557" s="501"/>
      <c r="CJ2557" s="501"/>
      <c r="CK2557" s="501"/>
      <c r="CL2557" s="501"/>
      <c r="CM2557" s="501"/>
      <c r="CN2557" s="501"/>
      <c r="CO2557" s="501"/>
      <c r="CP2557" s="501"/>
      <c r="CQ2557" s="501"/>
      <c r="CR2557" s="501"/>
      <c r="CS2557" s="501"/>
      <c r="CT2557" s="501"/>
      <c r="CU2557" s="501"/>
      <c r="CV2557" s="501"/>
      <c r="CW2557" s="501"/>
      <c r="CX2557" s="501"/>
      <c r="CY2557" s="501"/>
      <c r="CZ2557" s="501"/>
      <c r="DA2557" s="501"/>
      <c r="DB2557" s="501"/>
      <c r="DC2557" s="501"/>
      <c r="DD2557" s="501"/>
      <c r="DE2557" s="501"/>
      <c r="DF2557" s="501"/>
      <c r="DG2557" s="501"/>
      <c r="DH2557" s="501"/>
      <c r="DI2557" s="501"/>
      <c r="DJ2557" s="501"/>
      <c r="DK2557" s="501"/>
      <c r="DL2557" s="501"/>
      <c r="DM2557" s="501"/>
      <c r="DN2557" s="501"/>
      <c r="DO2557" s="501"/>
      <c r="DP2557" s="501"/>
      <c r="DQ2557" s="501"/>
      <c r="DR2557" s="501"/>
      <c r="DS2557" s="501"/>
      <c r="DT2557" s="501"/>
      <c r="DU2557" s="501"/>
      <c r="DV2557" s="501"/>
      <c r="DW2557" s="501"/>
      <c r="DX2557" s="501"/>
      <c r="DY2557" s="501"/>
      <c r="DZ2557" s="501"/>
      <c r="EA2557" s="501"/>
      <c r="EB2557" s="501"/>
      <c r="EC2557" s="501"/>
      <c r="ED2557" s="501"/>
      <c r="EE2557" s="501"/>
      <c r="EF2557" s="501"/>
      <c r="EG2557" s="501"/>
      <c r="EH2557" s="501"/>
      <c r="EI2557" s="501"/>
      <c r="EJ2557" s="501"/>
      <c r="EK2557" s="501"/>
      <c r="EL2557" s="501"/>
      <c r="EM2557" s="501"/>
      <c r="EN2557" s="501"/>
      <c r="EO2557" s="501"/>
      <c r="EP2557" s="501"/>
      <c r="EQ2557" s="501"/>
      <c r="ER2557" s="501"/>
      <c r="ES2557" s="501"/>
      <c r="ET2557" s="501"/>
      <c r="EU2557" s="501"/>
      <c r="EV2557" s="501"/>
      <c r="EW2557" s="501"/>
      <c r="EX2557" s="501"/>
      <c r="EY2557" s="501"/>
      <c r="EZ2557" s="501"/>
      <c r="FA2557" s="501"/>
      <c r="FB2557" s="501"/>
      <c r="FC2557" s="501"/>
      <c r="FD2557" s="501"/>
      <c r="FE2557" s="501"/>
      <c r="FF2557" s="501"/>
      <c r="FG2557" s="501"/>
      <c r="FH2557" s="501"/>
      <c r="FI2557" s="501"/>
      <c r="FJ2557" s="501"/>
      <c r="FK2557" s="501"/>
      <c r="FL2557" s="501"/>
      <c r="FM2557" s="501"/>
      <c r="FN2557" s="501"/>
      <c r="FO2557" s="501"/>
      <c r="FP2557" s="501"/>
      <c r="FQ2557" s="501"/>
      <c r="FR2557" s="501"/>
      <c r="FS2557" s="501"/>
      <c r="FT2557" s="501"/>
      <c r="FU2557" s="501"/>
      <c r="FV2557" s="501"/>
      <c r="FW2557" s="501"/>
      <c r="FX2557" s="501"/>
      <c r="FY2557" s="501"/>
      <c r="FZ2557" s="501"/>
      <c r="GA2557" s="501"/>
      <c r="GB2557" s="501"/>
      <c r="GC2557" s="501"/>
      <c r="GD2557" s="501"/>
      <c r="GE2557" s="501"/>
      <c r="GF2557" s="501"/>
      <c r="GG2557" s="501"/>
      <c r="GH2557" s="501"/>
      <c r="GI2557" s="501"/>
      <c r="GJ2557" s="501"/>
      <c r="GK2557" s="501"/>
      <c r="GL2557" s="501"/>
      <c r="GM2557" s="501"/>
      <c r="GN2557" s="501"/>
      <c r="GO2557" s="501"/>
      <c r="GP2557" s="501"/>
      <c r="GQ2557" s="501"/>
      <c r="GR2557" s="501"/>
      <c r="GS2557" s="501"/>
      <c r="GT2557" s="501"/>
      <c r="GU2557" s="501"/>
      <c r="GV2557" s="501"/>
      <c r="GW2557" s="501"/>
      <c r="GX2557" s="501"/>
      <c r="GY2557" s="501"/>
      <c r="GZ2557" s="501"/>
      <c r="HA2557" s="501"/>
      <c r="HB2557" s="501"/>
      <c r="HC2557" s="501"/>
      <c r="HD2557" s="501"/>
      <c r="HE2557" s="501"/>
      <c r="HF2557" s="501"/>
      <c r="HG2557" s="501"/>
      <c r="HH2557" s="501"/>
      <c r="HI2557" s="501"/>
      <c r="HJ2557" s="501"/>
      <c r="HK2557" s="501"/>
      <c r="HL2557" s="501"/>
      <c r="HM2557" s="501"/>
      <c r="HN2557" s="501"/>
      <c r="HO2557" s="501"/>
      <c r="HP2557" s="501"/>
      <c r="HQ2557" s="501"/>
      <c r="HR2557" s="501"/>
      <c r="HS2557" s="501"/>
      <c r="HT2557" s="501"/>
      <c r="HU2557" s="501"/>
      <c r="HV2557" s="501"/>
      <c r="HW2557" s="501"/>
      <c r="HX2557" s="501"/>
      <c r="HY2557" s="501"/>
      <c r="HZ2557" s="501"/>
      <c r="IA2557" s="501"/>
      <c r="IB2557" s="501"/>
      <c r="IC2557" s="501"/>
      <c r="ID2557" s="501"/>
      <c r="IE2557" s="501"/>
      <c r="IF2557" s="501"/>
      <c r="IG2557" s="501"/>
      <c r="IH2557" s="501"/>
      <c r="II2557" s="501"/>
      <c r="IJ2557" s="501"/>
      <c r="IK2557" s="501"/>
      <c r="IL2557" s="501"/>
      <c r="IM2557" s="501"/>
      <c r="IN2557" s="501"/>
      <c r="IO2557" s="501"/>
      <c r="IP2557" s="501"/>
      <c r="IQ2557" s="501"/>
      <c r="IR2557" s="501"/>
      <c r="IS2557" s="501"/>
      <c r="IT2557" s="501"/>
      <c r="IU2557" s="501"/>
    </row>
    <row r="2558" spans="1:255" s="877" customFormat="1" ht="24" customHeight="1">
      <c r="A2558" s="501"/>
      <c r="B2558" s="501"/>
      <c r="C2558" s="501"/>
      <c r="D2558" s="501"/>
      <c r="E2558" s="501"/>
      <c r="F2558" s="501"/>
      <c r="G2558" s="915"/>
      <c r="H2558" s="501"/>
      <c r="I2558" s="874"/>
      <c r="J2558" s="501"/>
      <c r="K2558" s="501"/>
      <c r="L2558" s="874"/>
      <c r="M2558" s="554"/>
      <c r="N2558" s="501"/>
      <c r="O2558" s="501"/>
      <c r="P2558" s="902"/>
      <c r="Q2558" s="501"/>
      <c r="R2558" s="501"/>
      <c r="S2558" s="874"/>
      <c r="T2558" s="501"/>
      <c r="V2558" s="501"/>
      <c r="W2558" s="501"/>
      <c r="X2558" s="501"/>
      <c r="Y2558" s="501"/>
      <c r="Z2558" s="501"/>
      <c r="AA2558" s="501"/>
      <c r="AB2558" s="501"/>
      <c r="AC2558" s="501"/>
      <c r="AD2558" s="501"/>
      <c r="AE2558" s="501"/>
      <c r="AF2558" s="501"/>
      <c r="AG2558" s="501"/>
      <c r="AH2558" s="501"/>
      <c r="AI2558" s="501"/>
      <c r="AJ2558" s="501"/>
      <c r="AK2558" s="501"/>
      <c r="AL2558" s="501"/>
      <c r="AM2558" s="501"/>
      <c r="AN2558" s="501"/>
      <c r="AO2558" s="501"/>
      <c r="AP2558" s="501"/>
      <c r="AQ2558" s="501"/>
      <c r="AR2558" s="501"/>
      <c r="AS2558" s="501"/>
      <c r="AT2558" s="501"/>
      <c r="AU2558" s="501"/>
      <c r="AV2558" s="501"/>
      <c r="AW2558" s="501"/>
      <c r="AX2558" s="501"/>
      <c r="AY2558" s="501"/>
      <c r="AZ2558" s="501"/>
      <c r="BA2558" s="501"/>
      <c r="BB2558" s="501"/>
      <c r="BC2558" s="501"/>
      <c r="BD2558" s="501"/>
      <c r="BE2558" s="501"/>
      <c r="BF2558" s="501"/>
      <c r="BG2558" s="501"/>
      <c r="BH2558" s="501"/>
      <c r="BI2558" s="501"/>
      <c r="BJ2558" s="501"/>
      <c r="BK2558" s="501"/>
      <c r="BL2558" s="501"/>
      <c r="BM2558" s="501"/>
      <c r="BN2558" s="501"/>
      <c r="BO2558" s="501"/>
      <c r="BP2558" s="501"/>
      <c r="BQ2558" s="501"/>
      <c r="BR2558" s="501"/>
      <c r="BS2558" s="501"/>
      <c r="BT2558" s="501"/>
      <c r="BU2558" s="501"/>
      <c r="BV2558" s="501"/>
      <c r="BW2558" s="501"/>
      <c r="BX2558" s="501"/>
      <c r="BY2558" s="501"/>
      <c r="BZ2558" s="501"/>
      <c r="CA2558" s="501"/>
      <c r="CB2558" s="501"/>
      <c r="CC2558" s="501"/>
      <c r="CD2558" s="501"/>
      <c r="CE2558" s="501"/>
      <c r="CF2558" s="501"/>
      <c r="CG2558" s="501"/>
      <c r="CH2558" s="501"/>
      <c r="CI2558" s="501"/>
      <c r="CJ2558" s="501"/>
      <c r="CK2558" s="501"/>
      <c r="CL2558" s="501"/>
      <c r="CM2558" s="501"/>
      <c r="CN2558" s="501"/>
      <c r="CO2558" s="501"/>
      <c r="CP2558" s="501"/>
      <c r="CQ2558" s="501"/>
      <c r="CR2558" s="501"/>
      <c r="CS2558" s="501"/>
      <c r="CT2558" s="501"/>
      <c r="CU2558" s="501"/>
      <c r="CV2558" s="501"/>
      <c r="CW2558" s="501"/>
      <c r="CX2558" s="501"/>
      <c r="CY2558" s="501"/>
      <c r="CZ2558" s="501"/>
      <c r="DA2558" s="501"/>
      <c r="DB2558" s="501"/>
      <c r="DC2558" s="501"/>
      <c r="DD2558" s="501"/>
      <c r="DE2558" s="501"/>
      <c r="DF2558" s="501"/>
      <c r="DG2558" s="501"/>
      <c r="DH2558" s="501"/>
      <c r="DI2558" s="501"/>
      <c r="DJ2558" s="501"/>
      <c r="DK2558" s="501"/>
      <c r="DL2558" s="501"/>
      <c r="DM2558" s="501"/>
      <c r="DN2558" s="501"/>
      <c r="DO2558" s="501"/>
      <c r="DP2558" s="501"/>
      <c r="DQ2558" s="501"/>
      <c r="DR2558" s="501"/>
      <c r="DS2558" s="501"/>
      <c r="DT2558" s="501"/>
      <c r="DU2558" s="501"/>
      <c r="DV2558" s="501"/>
      <c r="DW2558" s="501"/>
      <c r="DX2558" s="501"/>
      <c r="DY2558" s="501"/>
      <c r="DZ2558" s="501"/>
      <c r="EA2558" s="501"/>
      <c r="EB2558" s="501"/>
      <c r="EC2558" s="501"/>
      <c r="ED2558" s="501"/>
      <c r="EE2558" s="501"/>
      <c r="EF2558" s="501"/>
      <c r="EG2558" s="501"/>
      <c r="EH2558" s="501"/>
      <c r="EI2558" s="501"/>
      <c r="EJ2558" s="501"/>
      <c r="EK2558" s="501"/>
      <c r="EL2558" s="501"/>
      <c r="EM2558" s="501"/>
      <c r="EN2558" s="501"/>
      <c r="EO2558" s="501"/>
      <c r="EP2558" s="501"/>
      <c r="EQ2558" s="501"/>
      <c r="ER2558" s="501"/>
      <c r="ES2558" s="501"/>
      <c r="ET2558" s="501"/>
      <c r="EU2558" s="501"/>
      <c r="EV2558" s="501"/>
      <c r="EW2558" s="501"/>
      <c r="EX2558" s="501"/>
      <c r="EY2558" s="501"/>
      <c r="EZ2558" s="501"/>
      <c r="FA2558" s="501"/>
      <c r="FB2558" s="501"/>
      <c r="FC2558" s="501"/>
      <c r="FD2558" s="501"/>
      <c r="FE2558" s="501"/>
      <c r="FF2558" s="501"/>
      <c r="FG2558" s="501"/>
      <c r="FH2558" s="501"/>
      <c r="FI2558" s="501"/>
      <c r="FJ2558" s="501"/>
      <c r="FK2558" s="501"/>
      <c r="FL2558" s="501"/>
      <c r="FM2558" s="501"/>
      <c r="FN2558" s="501"/>
      <c r="FO2558" s="501"/>
      <c r="FP2558" s="501"/>
      <c r="FQ2558" s="501"/>
      <c r="FR2558" s="501"/>
      <c r="FS2558" s="501"/>
      <c r="FT2558" s="501"/>
      <c r="FU2558" s="501"/>
      <c r="FV2558" s="501"/>
      <c r="FW2558" s="501"/>
      <c r="FX2558" s="501"/>
      <c r="FY2558" s="501"/>
      <c r="FZ2558" s="501"/>
      <c r="GA2558" s="501"/>
      <c r="GB2558" s="501"/>
      <c r="GC2558" s="501"/>
      <c r="GD2558" s="501"/>
      <c r="GE2558" s="501"/>
      <c r="GF2558" s="501"/>
      <c r="GG2558" s="501"/>
      <c r="GH2558" s="501"/>
      <c r="GI2558" s="501"/>
      <c r="GJ2558" s="501"/>
      <c r="GK2558" s="501"/>
      <c r="GL2558" s="501"/>
      <c r="GM2558" s="501"/>
      <c r="GN2558" s="501"/>
      <c r="GO2558" s="501"/>
      <c r="GP2558" s="501"/>
      <c r="GQ2558" s="501"/>
      <c r="GR2558" s="501"/>
      <c r="GS2558" s="501"/>
      <c r="GT2558" s="501"/>
      <c r="GU2558" s="501"/>
      <c r="GV2558" s="501"/>
      <c r="GW2558" s="501"/>
      <c r="GX2558" s="501"/>
      <c r="GY2558" s="501"/>
      <c r="GZ2558" s="501"/>
      <c r="HA2558" s="501"/>
      <c r="HB2558" s="501"/>
      <c r="HC2558" s="501"/>
      <c r="HD2558" s="501"/>
      <c r="HE2558" s="501"/>
      <c r="HF2558" s="501"/>
      <c r="HG2558" s="501"/>
      <c r="HH2558" s="501"/>
      <c r="HI2558" s="501"/>
      <c r="HJ2558" s="501"/>
      <c r="HK2558" s="501"/>
      <c r="HL2558" s="501"/>
      <c r="HM2558" s="501"/>
      <c r="HN2558" s="501"/>
      <c r="HO2558" s="501"/>
      <c r="HP2558" s="501"/>
      <c r="HQ2558" s="501"/>
      <c r="HR2558" s="501"/>
      <c r="HS2558" s="501"/>
      <c r="HT2558" s="501"/>
      <c r="HU2558" s="501"/>
      <c r="HV2558" s="501"/>
      <c r="HW2558" s="501"/>
      <c r="HX2558" s="501"/>
      <c r="HY2558" s="501"/>
      <c r="HZ2558" s="501"/>
      <c r="IA2558" s="501"/>
      <c r="IB2558" s="501"/>
      <c r="IC2558" s="501"/>
      <c r="ID2558" s="501"/>
      <c r="IE2558" s="501"/>
      <c r="IF2558" s="501"/>
      <c r="IG2558" s="501"/>
      <c r="IH2558" s="501"/>
      <c r="II2558" s="501"/>
      <c r="IJ2558" s="501"/>
      <c r="IK2558" s="501"/>
      <c r="IL2558" s="501"/>
      <c r="IM2558" s="501"/>
      <c r="IN2558" s="501"/>
      <c r="IO2558" s="501"/>
      <c r="IP2558" s="501"/>
      <c r="IQ2558" s="501"/>
      <c r="IR2558" s="501"/>
      <c r="IS2558" s="501"/>
      <c r="IT2558" s="501"/>
      <c r="IU2558" s="501"/>
    </row>
    <row r="2559" spans="1:255" s="877" customFormat="1" ht="24" customHeight="1">
      <c r="A2559" s="501"/>
      <c r="B2559" s="501"/>
      <c r="C2559" s="501"/>
      <c r="D2559" s="501"/>
      <c r="E2559" s="501"/>
      <c r="F2559" s="501"/>
      <c r="G2559" s="915"/>
      <c r="H2559" s="501"/>
      <c r="I2559" s="874"/>
      <c r="J2559" s="501"/>
      <c r="K2559" s="501"/>
      <c r="L2559" s="874"/>
      <c r="M2559" s="554"/>
      <c r="N2559" s="501"/>
      <c r="O2559" s="501"/>
      <c r="P2559" s="902"/>
      <c r="Q2559" s="501"/>
      <c r="R2559" s="501"/>
      <c r="S2559" s="874"/>
      <c r="T2559" s="501"/>
      <c r="V2559" s="501"/>
      <c r="W2559" s="501"/>
      <c r="X2559" s="501"/>
      <c r="Y2559" s="501"/>
      <c r="Z2559" s="501"/>
      <c r="AA2559" s="501"/>
      <c r="AB2559" s="501"/>
      <c r="AC2559" s="501"/>
      <c r="AD2559" s="501"/>
      <c r="AE2559" s="501"/>
      <c r="AF2559" s="501"/>
      <c r="AG2559" s="501"/>
      <c r="AH2559" s="501"/>
      <c r="AI2559" s="501"/>
      <c r="AJ2559" s="501"/>
      <c r="AK2559" s="501"/>
      <c r="AL2559" s="501"/>
      <c r="AM2559" s="501"/>
      <c r="AN2559" s="501"/>
      <c r="AO2559" s="501"/>
      <c r="AP2559" s="501"/>
      <c r="AQ2559" s="501"/>
      <c r="AR2559" s="501"/>
      <c r="AS2559" s="501"/>
      <c r="AT2559" s="501"/>
      <c r="AU2559" s="501"/>
      <c r="AV2559" s="501"/>
      <c r="AW2559" s="501"/>
      <c r="AX2559" s="501"/>
      <c r="AY2559" s="501"/>
      <c r="AZ2559" s="501"/>
      <c r="BA2559" s="501"/>
      <c r="BB2559" s="501"/>
      <c r="BC2559" s="501"/>
      <c r="BD2559" s="501"/>
      <c r="BE2559" s="501"/>
      <c r="BF2559" s="501"/>
      <c r="BG2559" s="501"/>
      <c r="BH2559" s="501"/>
      <c r="BI2559" s="501"/>
      <c r="BJ2559" s="501"/>
      <c r="BK2559" s="501"/>
      <c r="BL2559" s="501"/>
      <c r="BM2559" s="501"/>
      <c r="BN2559" s="501"/>
      <c r="BO2559" s="501"/>
      <c r="BP2559" s="501"/>
      <c r="BQ2559" s="501"/>
      <c r="BR2559" s="501"/>
      <c r="BS2559" s="501"/>
      <c r="BT2559" s="501"/>
      <c r="BU2559" s="501"/>
      <c r="BV2559" s="501"/>
      <c r="BW2559" s="501"/>
      <c r="BX2559" s="501"/>
      <c r="BY2559" s="501"/>
      <c r="BZ2559" s="501"/>
      <c r="CA2559" s="501"/>
      <c r="CB2559" s="501"/>
      <c r="CC2559" s="501"/>
      <c r="CD2559" s="501"/>
      <c r="CE2559" s="501"/>
      <c r="CF2559" s="501"/>
      <c r="CG2559" s="501"/>
      <c r="CH2559" s="501"/>
      <c r="CI2559" s="501"/>
      <c r="CJ2559" s="501"/>
      <c r="CK2559" s="501"/>
      <c r="CL2559" s="501"/>
      <c r="CM2559" s="501"/>
      <c r="CN2559" s="501"/>
      <c r="CO2559" s="501"/>
      <c r="CP2559" s="501"/>
      <c r="CQ2559" s="501"/>
      <c r="CR2559" s="501"/>
      <c r="CS2559" s="501"/>
      <c r="CT2559" s="501"/>
      <c r="CU2559" s="501"/>
      <c r="CV2559" s="501"/>
      <c r="CW2559" s="501"/>
      <c r="CX2559" s="501"/>
      <c r="CY2559" s="501"/>
      <c r="CZ2559" s="501"/>
      <c r="DA2559" s="501"/>
      <c r="DB2559" s="501"/>
      <c r="DC2559" s="501"/>
      <c r="DD2559" s="501"/>
      <c r="DE2559" s="501"/>
      <c r="DF2559" s="501"/>
      <c r="DG2559" s="501"/>
      <c r="DH2559" s="501"/>
      <c r="DI2559" s="501"/>
      <c r="DJ2559" s="501"/>
      <c r="DK2559" s="501"/>
      <c r="DL2559" s="501"/>
      <c r="DM2559" s="501"/>
      <c r="DN2559" s="501"/>
      <c r="DO2559" s="501"/>
      <c r="DP2559" s="501"/>
      <c r="DQ2559" s="501"/>
      <c r="DR2559" s="501"/>
      <c r="DS2559" s="501"/>
      <c r="DT2559" s="501"/>
      <c r="DU2559" s="501"/>
      <c r="DV2559" s="501"/>
      <c r="DW2559" s="501"/>
      <c r="DX2559" s="501"/>
      <c r="DY2559" s="501"/>
      <c r="DZ2559" s="501"/>
      <c r="EA2559" s="501"/>
      <c r="EB2559" s="501"/>
      <c r="EC2559" s="501"/>
      <c r="ED2559" s="501"/>
      <c r="EE2559" s="501"/>
      <c r="EF2559" s="501"/>
      <c r="EG2559" s="501"/>
      <c r="EH2559" s="501"/>
      <c r="EI2559" s="501"/>
      <c r="EJ2559" s="501"/>
      <c r="EK2559" s="501"/>
      <c r="EL2559" s="501"/>
      <c r="EM2559" s="501"/>
      <c r="EN2559" s="501"/>
      <c r="EO2559" s="501"/>
      <c r="EP2559" s="501"/>
      <c r="EQ2559" s="501"/>
      <c r="ER2559" s="501"/>
      <c r="ES2559" s="501"/>
      <c r="ET2559" s="501"/>
      <c r="EU2559" s="501"/>
      <c r="EV2559" s="501"/>
      <c r="EW2559" s="501"/>
      <c r="EX2559" s="501"/>
      <c r="EY2559" s="501"/>
      <c r="EZ2559" s="501"/>
      <c r="FA2559" s="501"/>
      <c r="FB2559" s="501"/>
      <c r="FC2559" s="501"/>
      <c r="FD2559" s="501"/>
      <c r="FE2559" s="501"/>
      <c r="FF2559" s="501"/>
      <c r="FG2559" s="501"/>
      <c r="FH2559" s="501"/>
      <c r="FI2559" s="501"/>
      <c r="FJ2559" s="501"/>
      <c r="FK2559" s="501"/>
      <c r="FL2559" s="501"/>
      <c r="FM2559" s="501"/>
      <c r="FN2559" s="501"/>
      <c r="FO2559" s="501"/>
      <c r="FP2559" s="501"/>
      <c r="FQ2559" s="501"/>
      <c r="FR2559" s="501"/>
      <c r="FS2559" s="501"/>
      <c r="FT2559" s="501"/>
      <c r="FU2559" s="501"/>
      <c r="FV2559" s="501"/>
      <c r="FW2559" s="501"/>
      <c r="FX2559" s="501"/>
      <c r="FY2559" s="501"/>
      <c r="FZ2559" s="501"/>
      <c r="GA2559" s="501"/>
      <c r="GB2559" s="501"/>
      <c r="GC2559" s="501"/>
      <c r="GD2559" s="501"/>
      <c r="GE2559" s="501"/>
      <c r="GF2559" s="501"/>
      <c r="GG2559" s="501"/>
      <c r="GH2559" s="501"/>
      <c r="GI2559" s="501"/>
      <c r="GJ2559" s="501"/>
      <c r="GK2559" s="501"/>
      <c r="GL2559" s="501"/>
      <c r="GM2559" s="501"/>
      <c r="GN2559" s="501"/>
      <c r="GO2559" s="501"/>
      <c r="GP2559" s="501"/>
      <c r="GQ2559" s="501"/>
      <c r="GR2559" s="501"/>
      <c r="GS2559" s="501"/>
      <c r="GT2559" s="501"/>
      <c r="GU2559" s="501"/>
      <c r="GV2559" s="501"/>
      <c r="GW2559" s="501"/>
      <c r="GX2559" s="501"/>
      <c r="GY2559" s="501"/>
      <c r="GZ2559" s="501"/>
      <c r="HA2559" s="501"/>
      <c r="HB2559" s="501"/>
      <c r="HC2559" s="501"/>
      <c r="HD2559" s="501"/>
      <c r="HE2559" s="501"/>
      <c r="HF2559" s="501"/>
      <c r="HG2559" s="501"/>
      <c r="HH2559" s="501"/>
      <c r="HI2559" s="501"/>
      <c r="HJ2559" s="501"/>
      <c r="HK2559" s="501"/>
      <c r="HL2559" s="501"/>
      <c r="HM2559" s="501"/>
      <c r="HN2559" s="501"/>
      <c r="HO2559" s="501"/>
      <c r="HP2559" s="501"/>
      <c r="HQ2559" s="501"/>
      <c r="HR2559" s="501"/>
      <c r="HS2559" s="501"/>
      <c r="HT2559" s="501"/>
      <c r="HU2559" s="501"/>
      <c r="HV2559" s="501"/>
      <c r="HW2559" s="501"/>
      <c r="HX2559" s="501"/>
      <c r="HY2559" s="501"/>
      <c r="HZ2559" s="501"/>
      <c r="IA2559" s="501"/>
      <c r="IB2559" s="501"/>
      <c r="IC2559" s="501"/>
      <c r="ID2559" s="501"/>
      <c r="IE2559" s="501"/>
      <c r="IF2559" s="501"/>
      <c r="IG2559" s="501"/>
      <c r="IH2559" s="501"/>
      <c r="II2559" s="501"/>
      <c r="IJ2559" s="501"/>
      <c r="IK2559" s="501"/>
      <c r="IL2559" s="501"/>
      <c r="IM2559" s="501"/>
      <c r="IN2559" s="501"/>
      <c r="IO2559" s="501"/>
      <c r="IP2559" s="501"/>
      <c r="IQ2559" s="501"/>
      <c r="IR2559" s="501"/>
      <c r="IS2559" s="501"/>
      <c r="IT2559" s="501"/>
      <c r="IU2559" s="501"/>
    </row>
    <row r="2560" spans="1:255" s="877" customFormat="1" ht="24" customHeight="1">
      <c r="A2560" s="501"/>
      <c r="B2560" s="501"/>
      <c r="C2560" s="501"/>
      <c r="D2560" s="501"/>
      <c r="E2560" s="501"/>
      <c r="F2560" s="501"/>
      <c r="G2560" s="915"/>
      <c r="H2560" s="501"/>
      <c r="I2560" s="874"/>
      <c r="J2560" s="501"/>
      <c r="K2560" s="501"/>
      <c r="L2560" s="874"/>
      <c r="M2560" s="554"/>
      <c r="N2560" s="501"/>
      <c r="O2560" s="501"/>
      <c r="P2560" s="902"/>
      <c r="Q2560" s="501"/>
      <c r="R2560" s="501"/>
      <c r="S2560" s="874"/>
      <c r="T2560" s="501"/>
      <c r="V2560" s="501"/>
      <c r="W2560" s="501"/>
      <c r="X2560" s="501"/>
      <c r="Y2560" s="501"/>
      <c r="Z2560" s="501"/>
      <c r="AA2560" s="501"/>
      <c r="AB2560" s="501"/>
      <c r="AC2560" s="501"/>
      <c r="AD2560" s="501"/>
      <c r="AE2560" s="501"/>
      <c r="AF2560" s="501"/>
      <c r="AG2560" s="501"/>
      <c r="AH2560" s="501"/>
      <c r="AI2560" s="501"/>
      <c r="AJ2560" s="501"/>
      <c r="AK2560" s="501"/>
      <c r="AL2560" s="501"/>
      <c r="AM2560" s="501"/>
      <c r="AN2560" s="501"/>
      <c r="AO2560" s="501"/>
      <c r="AP2560" s="501"/>
      <c r="AQ2560" s="501"/>
      <c r="AR2560" s="501"/>
      <c r="AS2560" s="501"/>
      <c r="AT2560" s="501"/>
      <c r="AU2560" s="501"/>
      <c r="AV2560" s="501"/>
      <c r="AW2560" s="501"/>
      <c r="AX2560" s="501"/>
      <c r="AY2560" s="501"/>
      <c r="AZ2560" s="501"/>
      <c r="BA2560" s="501"/>
      <c r="BB2560" s="501"/>
      <c r="BC2560" s="501"/>
      <c r="BD2560" s="501"/>
      <c r="BE2560" s="501"/>
      <c r="BF2560" s="501"/>
      <c r="BG2560" s="501"/>
      <c r="BH2560" s="501"/>
      <c r="BI2560" s="501"/>
      <c r="BJ2560" s="501"/>
      <c r="BK2560" s="501"/>
      <c r="BL2560" s="501"/>
      <c r="BM2560" s="501"/>
      <c r="BN2560" s="501"/>
      <c r="BO2560" s="501"/>
      <c r="BP2560" s="501"/>
      <c r="BQ2560" s="501"/>
      <c r="BR2560" s="501"/>
      <c r="BS2560" s="501"/>
      <c r="BT2560" s="501"/>
      <c r="BU2560" s="501"/>
      <c r="BV2560" s="501"/>
      <c r="BW2560" s="501"/>
      <c r="BX2560" s="501"/>
      <c r="BY2560" s="501"/>
      <c r="BZ2560" s="501"/>
      <c r="CA2560" s="501"/>
      <c r="CB2560" s="501"/>
      <c r="CC2560" s="501"/>
      <c r="CD2560" s="501"/>
      <c r="CE2560" s="501"/>
      <c r="CF2560" s="501"/>
      <c r="CG2560" s="501"/>
      <c r="CH2560" s="501"/>
      <c r="CI2560" s="501"/>
      <c r="CJ2560" s="501"/>
      <c r="CK2560" s="501"/>
      <c r="CL2560" s="501"/>
      <c r="CM2560" s="501"/>
      <c r="CN2560" s="501"/>
      <c r="CO2560" s="501"/>
      <c r="CP2560" s="501"/>
      <c r="CQ2560" s="501"/>
      <c r="CR2560" s="501"/>
      <c r="CS2560" s="501"/>
      <c r="CT2560" s="501"/>
      <c r="CU2560" s="501"/>
      <c r="CV2560" s="501"/>
      <c r="CW2560" s="501"/>
      <c r="CX2560" s="501"/>
      <c r="CY2560" s="501"/>
      <c r="CZ2560" s="501"/>
      <c r="DA2560" s="501"/>
      <c r="DB2560" s="501"/>
      <c r="DC2560" s="501"/>
      <c r="DD2560" s="501"/>
      <c r="DE2560" s="501"/>
      <c r="DF2560" s="501"/>
      <c r="DG2560" s="501"/>
      <c r="DH2560" s="501"/>
      <c r="DI2560" s="501"/>
      <c r="DJ2560" s="501"/>
      <c r="DK2560" s="501"/>
      <c r="DL2560" s="501"/>
      <c r="DM2560" s="501"/>
      <c r="DN2560" s="501"/>
      <c r="DO2560" s="501"/>
      <c r="DP2560" s="501"/>
      <c r="DQ2560" s="501"/>
      <c r="DR2560" s="501"/>
      <c r="DS2560" s="501"/>
      <c r="DT2560" s="501"/>
      <c r="DU2560" s="501"/>
      <c r="DV2560" s="501"/>
      <c r="DW2560" s="501"/>
      <c r="DX2560" s="501"/>
      <c r="DY2560" s="501"/>
      <c r="DZ2560" s="501"/>
      <c r="EA2560" s="501"/>
      <c r="EB2560" s="501"/>
      <c r="EC2560" s="501"/>
      <c r="ED2560" s="501"/>
      <c r="EE2560" s="501"/>
      <c r="EF2560" s="501"/>
      <c r="EG2560" s="501"/>
      <c r="EH2560" s="501"/>
      <c r="EI2560" s="501"/>
      <c r="EJ2560" s="501"/>
      <c r="EK2560" s="501"/>
      <c r="EL2560" s="501"/>
      <c r="EM2560" s="501"/>
      <c r="EN2560" s="501"/>
      <c r="EO2560" s="501"/>
      <c r="EP2560" s="501"/>
      <c r="EQ2560" s="501"/>
      <c r="ER2560" s="501"/>
      <c r="ES2560" s="501"/>
      <c r="ET2560" s="501"/>
      <c r="EU2560" s="501"/>
      <c r="EV2560" s="501"/>
      <c r="EW2560" s="501"/>
      <c r="EX2560" s="501"/>
      <c r="EY2560" s="501"/>
      <c r="EZ2560" s="501"/>
      <c r="FA2560" s="501"/>
      <c r="FB2560" s="501"/>
      <c r="FC2560" s="501"/>
      <c r="FD2560" s="501"/>
      <c r="FE2560" s="501"/>
      <c r="FF2560" s="501"/>
      <c r="FG2560" s="501"/>
      <c r="FH2560" s="501"/>
      <c r="FI2560" s="501"/>
      <c r="FJ2560" s="501"/>
      <c r="FK2560" s="501"/>
      <c r="FL2560" s="501"/>
      <c r="FM2560" s="501"/>
      <c r="FN2560" s="501"/>
      <c r="FO2560" s="501"/>
      <c r="FP2560" s="501"/>
      <c r="FQ2560" s="501"/>
      <c r="FR2560" s="501"/>
      <c r="FS2560" s="501"/>
      <c r="FT2560" s="501"/>
      <c r="FU2560" s="501"/>
      <c r="FV2560" s="501"/>
      <c r="FW2560" s="501"/>
      <c r="FX2560" s="501"/>
      <c r="FY2560" s="501"/>
      <c r="FZ2560" s="501"/>
      <c r="GA2560" s="501"/>
      <c r="GB2560" s="501"/>
      <c r="GC2560" s="501"/>
      <c r="GD2560" s="501"/>
      <c r="GE2560" s="501"/>
      <c r="GF2560" s="501"/>
      <c r="GG2560" s="501"/>
      <c r="GH2560" s="501"/>
      <c r="GI2560" s="501"/>
      <c r="GJ2560" s="501"/>
      <c r="GK2560" s="501"/>
      <c r="GL2560" s="501"/>
      <c r="GM2560" s="501"/>
      <c r="GN2560" s="501"/>
      <c r="GO2560" s="501"/>
      <c r="GP2560" s="501"/>
      <c r="GQ2560" s="501"/>
      <c r="GR2560" s="501"/>
      <c r="GS2560" s="501"/>
      <c r="GT2560" s="501"/>
      <c r="GU2560" s="501"/>
      <c r="GV2560" s="501"/>
      <c r="GW2560" s="501"/>
      <c r="GX2560" s="501"/>
      <c r="GY2560" s="501"/>
      <c r="GZ2560" s="501"/>
      <c r="HA2560" s="501"/>
      <c r="HB2560" s="501"/>
      <c r="HC2560" s="501"/>
      <c r="HD2560" s="501"/>
      <c r="HE2560" s="501"/>
      <c r="HF2560" s="501"/>
      <c r="HG2560" s="501"/>
      <c r="HH2560" s="501"/>
      <c r="HI2560" s="501"/>
      <c r="HJ2560" s="501"/>
      <c r="HK2560" s="501"/>
      <c r="HL2560" s="501"/>
      <c r="HM2560" s="501"/>
      <c r="HN2560" s="501"/>
      <c r="HO2560" s="501"/>
      <c r="HP2560" s="501"/>
      <c r="HQ2560" s="501"/>
      <c r="HR2560" s="501"/>
      <c r="HS2560" s="501"/>
      <c r="HT2560" s="501"/>
      <c r="HU2560" s="501"/>
      <c r="HV2560" s="501"/>
      <c r="HW2560" s="501"/>
      <c r="HX2560" s="501"/>
      <c r="HY2560" s="501"/>
      <c r="HZ2560" s="501"/>
      <c r="IA2560" s="501"/>
      <c r="IB2560" s="501"/>
      <c r="IC2560" s="501"/>
      <c r="ID2560" s="501"/>
      <c r="IE2560" s="501"/>
      <c r="IF2560" s="501"/>
      <c r="IG2560" s="501"/>
      <c r="IH2560" s="501"/>
      <c r="II2560" s="501"/>
      <c r="IJ2560" s="501"/>
      <c r="IK2560" s="501"/>
      <c r="IL2560" s="501"/>
      <c r="IM2560" s="501"/>
      <c r="IN2560" s="501"/>
      <c r="IO2560" s="501"/>
      <c r="IP2560" s="501"/>
      <c r="IQ2560" s="501"/>
      <c r="IR2560" s="501"/>
      <c r="IS2560" s="501"/>
      <c r="IT2560" s="501"/>
      <c r="IU2560" s="501"/>
    </row>
    <row r="2561" spans="1:255" s="877" customFormat="1" ht="24" customHeight="1">
      <c r="A2561" s="501"/>
      <c r="B2561" s="501"/>
      <c r="C2561" s="501"/>
      <c r="D2561" s="501"/>
      <c r="E2561" s="501"/>
      <c r="F2561" s="501"/>
      <c r="G2561" s="915"/>
      <c r="H2561" s="501"/>
      <c r="I2561" s="874"/>
      <c r="J2561" s="501"/>
      <c r="K2561" s="501"/>
      <c r="L2561" s="874"/>
      <c r="M2561" s="554"/>
      <c r="N2561" s="501"/>
      <c r="O2561" s="501"/>
      <c r="P2561" s="902"/>
      <c r="Q2561" s="501"/>
      <c r="R2561" s="501"/>
      <c r="S2561" s="874"/>
      <c r="T2561" s="501"/>
      <c r="V2561" s="501"/>
      <c r="W2561" s="501"/>
      <c r="X2561" s="501"/>
      <c r="Y2561" s="501"/>
      <c r="Z2561" s="501"/>
      <c r="AA2561" s="501"/>
      <c r="AB2561" s="501"/>
      <c r="AC2561" s="501"/>
      <c r="AD2561" s="501"/>
      <c r="AE2561" s="501"/>
      <c r="AF2561" s="501"/>
      <c r="AG2561" s="501"/>
      <c r="AH2561" s="501"/>
      <c r="AI2561" s="501"/>
      <c r="AJ2561" s="501"/>
      <c r="AK2561" s="501"/>
      <c r="AL2561" s="501"/>
      <c r="AM2561" s="501"/>
      <c r="AN2561" s="501"/>
      <c r="AO2561" s="501"/>
      <c r="AP2561" s="501"/>
      <c r="AQ2561" s="501"/>
      <c r="AR2561" s="501"/>
      <c r="AS2561" s="501"/>
      <c r="AT2561" s="501"/>
      <c r="AU2561" s="501"/>
      <c r="AV2561" s="501"/>
      <c r="AW2561" s="501"/>
      <c r="AX2561" s="501"/>
      <c r="AY2561" s="501"/>
      <c r="AZ2561" s="501"/>
      <c r="BA2561" s="501"/>
      <c r="BB2561" s="501"/>
      <c r="BC2561" s="501"/>
      <c r="BD2561" s="501"/>
      <c r="BE2561" s="501"/>
      <c r="BF2561" s="501"/>
      <c r="BG2561" s="501"/>
      <c r="BH2561" s="501"/>
      <c r="BI2561" s="501"/>
      <c r="BJ2561" s="501"/>
      <c r="BK2561" s="501"/>
      <c r="BL2561" s="501"/>
      <c r="BM2561" s="501"/>
      <c r="BN2561" s="501"/>
      <c r="BO2561" s="501"/>
      <c r="BP2561" s="501"/>
      <c r="BQ2561" s="501"/>
      <c r="BR2561" s="501"/>
      <c r="BS2561" s="501"/>
      <c r="BT2561" s="501"/>
      <c r="BU2561" s="501"/>
      <c r="BV2561" s="501"/>
      <c r="BW2561" s="501"/>
      <c r="BX2561" s="501"/>
      <c r="BY2561" s="501"/>
      <c r="BZ2561" s="501"/>
      <c r="CA2561" s="501"/>
      <c r="CB2561" s="501"/>
      <c r="CC2561" s="501"/>
      <c r="CD2561" s="501"/>
      <c r="CE2561" s="501"/>
      <c r="CF2561" s="501"/>
      <c r="CG2561" s="501"/>
      <c r="CH2561" s="501"/>
      <c r="CI2561" s="501"/>
      <c r="CJ2561" s="501"/>
      <c r="CK2561" s="501"/>
      <c r="CL2561" s="501"/>
      <c r="CM2561" s="501"/>
      <c r="CN2561" s="501"/>
      <c r="CO2561" s="501"/>
      <c r="CP2561" s="501"/>
      <c r="CQ2561" s="501"/>
      <c r="CR2561" s="501"/>
      <c r="CS2561" s="501"/>
      <c r="CT2561" s="501"/>
      <c r="CU2561" s="501"/>
      <c r="CV2561" s="501"/>
      <c r="CW2561" s="501"/>
      <c r="CX2561" s="501"/>
      <c r="CY2561" s="501"/>
      <c r="CZ2561" s="501"/>
      <c r="DA2561" s="501"/>
      <c r="DB2561" s="501"/>
      <c r="DC2561" s="501"/>
      <c r="DD2561" s="501"/>
      <c r="DE2561" s="501"/>
      <c r="DF2561" s="501"/>
      <c r="DG2561" s="501"/>
      <c r="DH2561" s="501"/>
      <c r="DI2561" s="501"/>
      <c r="DJ2561" s="501"/>
      <c r="DK2561" s="501"/>
      <c r="DL2561" s="501"/>
      <c r="DM2561" s="501"/>
      <c r="DN2561" s="501"/>
      <c r="DO2561" s="501"/>
      <c r="DP2561" s="501"/>
      <c r="DQ2561" s="501"/>
      <c r="DR2561" s="501"/>
      <c r="DS2561" s="501"/>
      <c r="DT2561" s="501"/>
      <c r="DU2561" s="501"/>
      <c r="DV2561" s="501"/>
      <c r="DW2561" s="501"/>
      <c r="DX2561" s="501"/>
      <c r="DY2561" s="501"/>
      <c r="DZ2561" s="501"/>
      <c r="EA2561" s="501"/>
      <c r="EB2561" s="501"/>
      <c r="EC2561" s="501"/>
      <c r="ED2561" s="501"/>
      <c r="EE2561" s="501"/>
      <c r="EF2561" s="501"/>
      <c r="EG2561" s="501"/>
      <c r="EH2561" s="501"/>
      <c r="EI2561" s="501"/>
      <c r="EJ2561" s="501"/>
      <c r="EK2561" s="501"/>
      <c r="EL2561" s="501"/>
      <c r="EM2561" s="501"/>
      <c r="EN2561" s="501"/>
      <c r="EO2561" s="501"/>
      <c r="EP2561" s="501"/>
      <c r="EQ2561" s="501"/>
      <c r="ER2561" s="501"/>
      <c r="ES2561" s="501"/>
      <c r="ET2561" s="501"/>
      <c r="EU2561" s="501"/>
      <c r="EV2561" s="501"/>
      <c r="EW2561" s="501"/>
      <c r="EX2561" s="501"/>
      <c r="EY2561" s="501"/>
      <c r="EZ2561" s="501"/>
      <c r="FA2561" s="501"/>
      <c r="FB2561" s="501"/>
      <c r="FC2561" s="501"/>
      <c r="FD2561" s="501"/>
      <c r="FE2561" s="501"/>
      <c r="FF2561" s="501"/>
      <c r="FG2561" s="501"/>
      <c r="FH2561" s="501"/>
      <c r="FI2561" s="501"/>
      <c r="FJ2561" s="501"/>
      <c r="FK2561" s="501"/>
      <c r="FL2561" s="501"/>
      <c r="FM2561" s="501"/>
      <c r="FN2561" s="501"/>
      <c r="FO2561" s="501"/>
      <c r="FP2561" s="501"/>
      <c r="FQ2561" s="501"/>
      <c r="FR2561" s="501"/>
      <c r="FS2561" s="501"/>
      <c r="FT2561" s="501"/>
      <c r="FU2561" s="501"/>
      <c r="FV2561" s="501"/>
      <c r="FW2561" s="501"/>
      <c r="FX2561" s="501"/>
      <c r="FY2561" s="501"/>
      <c r="FZ2561" s="501"/>
      <c r="GA2561" s="501"/>
      <c r="GB2561" s="501"/>
      <c r="GC2561" s="501"/>
      <c r="GD2561" s="501"/>
      <c r="GE2561" s="501"/>
      <c r="GF2561" s="501"/>
      <c r="GG2561" s="501"/>
      <c r="GH2561" s="501"/>
      <c r="GI2561" s="501"/>
      <c r="GJ2561" s="501"/>
      <c r="GK2561" s="501"/>
      <c r="GL2561" s="501"/>
      <c r="GM2561" s="501"/>
      <c r="GN2561" s="501"/>
      <c r="GO2561" s="501"/>
      <c r="GP2561" s="501"/>
      <c r="GQ2561" s="501"/>
      <c r="GR2561" s="501"/>
      <c r="GS2561" s="501"/>
      <c r="GT2561" s="501"/>
      <c r="GU2561" s="501"/>
      <c r="GV2561" s="501"/>
      <c r="GW2561" s="501"/>
      <c r="GX2561" s="501"/>
      <c r="GY2561" s="501"/>
      <c r="GZ2561" s="501"/>
      <c r="HA2561" s="501"/>
      <c r="HB2561" s="501"/>
      <c r="HC2561" s="501"/>
      <c r="HD2561" s="501"/>
      <c r="HE2561" s="501"/>
      <c r="HF2561" s="501"/>
      <c r="HG2561" s="501"/>
      <c r="HH2561" s="501"/>
      <c r="HI2561" s="501"/>
      <c r="HJ2561" s="501"/>
      <c r="HK2561" s="501"/>
      <c r="HL2561" s="501"/>
      <c r="HM2561" s="501"/>
      <c r="HN2561" s="501"/>
      <c r="HO2561" s="501"/>
      <c r="HP2561" s="501"/>
      <c r="HQ2561" s="501"/>
      <c r="HR2561" s="501"/>
      <c r="HS2561" s="501"/>
      <c r="HT2561" s="501"/>
      <c r="HU2561" s="501"/>
      <c r="HV2561" s="501"/>
      <c r="HW2561" s="501"/>
      <c r="HX2561" s="501"/>
      <c r="HY2561" s="501"/>
      <c r="HZ2561" s="501"/>
      <c r="IA2561" s="501"/>
      <c r="IB2561" s="501"/>
      <c r="IC2561" s="501"/>
      <c r="ID2561" s="501"/>
      <c r="IE2561" s="501"/>
      <c r="IF2561" s="501"/>
      <c r="IG2561" s="501"/>
      <c r="IH2561" s="501"/>
      <c r="II2561" s="501"/>
      <c r="IJ2561" s="501"/>
      <c r="IK2561" s="501"/>
      <c r="IL2561" s="501"/>
      <c r="IM2561" s="501"/>
      <c r="IN2561" s="501"/>
      <c r="IO2561" s="501"/>
      <c r="IP2561" s="501"/>
      <c r="IQ2561" s="501"/>
      <c r="IR2561" s="501"/>
      <c r="IS2561" s="501"/>
      <c r="IT2561" s="501"/>
      <c r="IU2561" s="501"/>
    </row>
    <row r="2562" spans="1:255" s="877" customFormat="1" ht="24" customHeight="1">
      <c r="A2562" s="501"/>
      <c r="B2562" s="501"/>
      <c r="C2562" s="501"/>
      <c r="D2562" s="501"/>
      <c r="E2562" s="501"/>
      <c r="F2562" s="501"/>
      <c r="G2562" s="915"/>
      <c r="H2562" s="501"/>
      <c r="I2562" s="874"/>
      <c r="J2562" s="501"/>
      <c r="K2562" s="903"/>
      <c r="L2562" s="874"/>
      <c r="M2562" s="554"/>
      <c r="N2562" s="501"/>
      <c r="O2562" s="501"/>
      <c r="P2562" s="902"/>
      <c r="Q2562" s="501"/>
      <c r="R2562" s="903"/>
      <c r="S2562" s="874"/>
      <c r="T2562" s="501"/>
      <c r="V2562" s="501"/>
      <c r="W2562" s="501"/>
      <c r="X2562" s="501"/>
      <c r="Y2562" s="501"/>
      <c r="Z2562" s="501"/>
      <c r="AA2562" s="501"/>
      <c r="AB2562" s="501"/>
      <c r="AC2562" s="501"/>
      <c r="AD2562" s="501"/>
      <c r="AE2562" s="501"/>
      <c r="AF2562" s="501"/>
      <c r="AG2562" s="501"/>
      <c r="AH2562" s="501"/>
      <c r="AI2562" s="501"/>
      <c r="AJ2562" s="501"/>
      <c r="AK2562" s="501"/>
      <c r="AL2562" s="501"/>
      <c r="AM2562" s="501"/>
      <c r="AN2562" s="501"/>
      <c r="AO2562" s="501"/>
      <c r="AP2562" s="501"/>
      <c r="AQ2562" s="501"/>
      <c r="AR2562" s="501"/>
      <c r="AS2562" s="501"/>
      <c r="AT2562" s="501"/>
      <c r="AU2562" s="501"/>
      <c r="AV2562" s="501"/>
      <c r="AW2562" s="501"/>
      <c r="AX2562" s="501"/>
      <c r="AY2562" s="501"/>
      <c r="AZ2562" s="501"/>
      <c r="BA2562" s="501"/>
      <c r="BB2562" s="501"/>
      <c r="BC2562" s="501"/>
      <c r="BD2562" s="501"/>
      <c r="BE2562" s="501"/>
      <c r="BF2562" s="501"/>
      <c r="BG2562" s="501"/>
      <c r="BH2562" s="501"/>
      <c r="BI2562" s="501"/>
      <c r="BJ2562" s="501"/>
      <c r="BK2562" s="501"/>
      <c r="BL2562" s="501"/>
      <c r="BM2562" s="501"/>
      <c r="BN2562" s="501"/>
      <c r="BO2562" s="501"/>
      <c r="BP2562" s="501"/>
      <c r="BQ2562" s="501"/>
      <c r="BR2562" s="501"/>
      <c r="BS2562" s="501"/>
      <c r="BT2562" s="501"/>
      <c r="BU2562" s="501"/>
      <c r="BV2562" s="501"/>
      <c r="BW2562" s="501"/>
      <c r="BX2562" s="501"/>
      <c r="BY2562" s="501"/>
      <c r="BZ2562" s="501"/>
      <c r="CA2562" s="501"/>
      <c r="CB2562" s="501"/>
      <c r="CC2562" s="501"/>
      <c r="CD2562" s="501"/>
      <c r="CE2562" s="501"/>
      <c r="CF2562" s="501"/>
      <c r="CG2562" s="501"/>
      <c r="CH2562" s="501"/>
      <c r="CI2562" s="501"/>
      <c r="CJ2562" s="501"/>
      <c r="CK2562" s="501"/>
      <c r="CL2562" s="501"/>
      <c r="CM2562" s="501"/>
      <c r="CN2562" s="501"/>
      <c r="CO2562" s="501"/>
      <c r="CP2562" s="501"/>
      <c r="CQ2562" s="501"/>
      <c r="CR2562" s="501"/>
      <c r="CS2562" s="501"/>
      <c r="CT2562" s="501"/>
      <c r="CU2562" s="501"/>
      <c r="CV2562" s="501"/>
      <c r="CW2562" s="501"/>
      <c r="CX2562" s="501"/>
      <c r="CY2562" s="501"/>
      <c r="CZ2562" s="501"/>
      <c r="DA2562" s="501"/>
      <c r="DB2562" s="501"/>
      <c r="DC2562" s="501"/>
      <c r="DD2562" s="501"/>
      <c r="DE2562" s="501"/>
      <c r="DF2562" s="501"/>
      <c r="DG2562" s="501"/>
      <c r="DH2562" s="501"/>
      <c r="DI2562" s="501"/>
      <c r="DJ2562" s="501"/>
      <c r="DK2562" s="501"/>
      <c r="DL2562" s="501"/>
      <c r="DM2562" s="501"/>
      <c r="DN2562" s="501"/>
      <c r="DO2562" s="501"/>
      <c r="DP2562" s="501"/>
      <c r="DQ2562" s="501"/>
      <c r="DR2562" s="501"/>
      <c r="DS2562" s="501"/>
      <c r="DT2562" s="501"/>
      <c r="DU2562" s="501"/>
      <c r="DV2562" s="501"/>
      <c r="DW2562" s="501"/>
      <c r="DX2562" s="501"/>
      <c r="DY2562" s="501"/>
      <c r="DZ2562" s="501"/>
      <c r="EA2562" s="501"/>
      <c r="EB2562" s="501"/>
      <c r="EC2562" s="501"/>
      <c r="ED2562" s="501"/>
      <c r="EE2562" s="501"/>
      <c r="EF2562" s="501"/>
      <c r="EG2562" s="501"/>
      <c r="EH2562" s="501"/>
      <c r="EI2562" s="501"/>
      <c r="EJ2562" s="501"/>
      <c r="EK2562" s="501"/>
      <c r="EL2562" s="501"/>
      <c r="EM2562" s="501"/>
      <c r="EN2562" s="501"/>
      <c r="EO2562" s="501"/>
      <c r="EP2562" s="501"/>
      <c r="EQ2562" s="501"/>
      <c r="ER2562" s="501"/>
      <c r="ES2562" s="501"/>
      <c r="ET2562" s="501"/>
      <c r="EU2562" s="501"/>
      <c r="EV2562" s="501"/>
      <c r="EW2562" s="501"/>
      <c r="EX2562" s="501"/>
      <c r="EY2562" s="501"/>
      <c r="EZ2562" s="501"/>
      <c r="FA2562" s="501"/>
      <c r="FB2562" s="501"/>
      <c r="FC2562" s="501"/>
      <c r="FD2562" s="501"/>
      <c r="FE2562" s="501"/>
      <c r="FF2562" s="501"/>
      <c r="FG2562" s="501"/>
      <c r="FH2562" s="501"/>
      <c r="FI2562" s="501"/>
      <c r="FJ2562" s="501"/>
      <c r="FK2562" s="501"/>
      <c r="FL2562" s="501"/>
      <c r="FM2562" s="501"/>
      <c r="FN2562" s="501"/>
      <c r="FO2562" s="501"/>
      <c r="FP2562" s="501"/>
      <c r="FQ2562" s="501"/>
      <c r="FR2562" s="501"/>
      <c r="FS2562" s="501"/>
      <c r="FT2562" s="501"/>
      <c r="FU2562" s="501"/>
      <c r="FV2562" s="501"/>
      <c r="FW2562" s="501"/>
      <c r="FX2562" s="501"/>
      <c r="FY2562" s="501"/>
      <c r="FZ2562" s="501"/>
      <c r="GA2562" s="501"/>
      <c r="GB2562" s="501"/>
      <c r="GC2562" s="501"/>
      <c r="GD2562" s="501"/>
      <c r="GE2562" s="501"/>
      <c r="GF2562" s="501"/>
      <c r="GG2562" s="501"/>
      <c r="GH2562" s="501"/>
      <c r="GI2562" s="501"/>
      <c r="GJ2562" s="501"/>
      <c r="GK2562" s="501"/>
      <c r="GL2562" s="501"/>
      <c r="GM2562" s="501"/>
      <c r="GN2562" s="501"/>
      <c r="GO2562" s="501"/>
      <c r="GP2562" s="501"/>
      <c r="GQ2562" s="501"/>
      <c r="GR2562" s="501"/>
      <c r="GS2562" s="501"/>
      <c r="GT2562" s="501"/>
      <c r="GU2562" s="501"/>
      <c r="GV2562" s="501"/>
      <c r="GW2562" s="501"/>
      <c r="GX2562" s="501"/>
      <c r="GY2562" s="501"/>
      <c r="GZ2562" s="501"/>
      <c r="HA2562" s="501"/>
      <c r="HB2562" s="501"/>
      <c r="HC2562" s="501"/>
      <c r="HD2562" s="501"/>
      <c r="HE2562" s="501"/>
      <c r="HF2562" s="501"/>
      <c r="HG2562" s="501"/>
      <c r="HH2562" s="501"/>
      <c r="HI2562" s="501"/>
      <c r="HJ2562" s="501"/>
      <c r="HK2562" s="501"/>
      <c r="HL2562" s="501"/>
      <c r="HM2562" s="501"/>
      <c r="HN2562" s="501"/>
      <c r="HO2562" s="501"/>
      <c r="HP2562" s="501"/>
      <c r="HQ2562" s="501"/>
      <c r="HR2562" s="501"/>
      <c r="HS2562" s="501"/>
      <c r="HT2562" s="501"/>
      <c r="HU2562" s="501"/>
      <c r="HV2562" s="501"/>
      <c r="HW2562" s="501"/>
      <c r="HX2562" s="501"/>
      <c r="HY2562" s="501"/>
      <c r="HZ2562" s="501"/>
      <c r="IA2562" s="501"/>
      <c r="IB2562" s="501"/>
      <c r="IC2562" s="501"/>
      <c r="ID2562" s="501"/>
      <c r="IE2562" s="501"/>
      <c r="IF2562" s="501"/>
      <c r="IG2562" s="501"/>
      <c r="IH2562" s="501"/>
      <c r="II2562" s="501"/>
      <c r="IJ2562" s="501"/>
      <c r="IK2562" s="501"/>
      <c r="IL2562" s="501"/>
      <c r="IM2562" s="501"/>
      <c r="IN2562" s="501"/>
      <c r="IO2562" s="501"/>
      <c r="IP2562" s="501"/>
      <c r="IQ2562" s="501"/>
      <c r="IR2562" s="501"/>
      <c r="IS2562" s="501"/>
      <c r="IT2562" s="501"/>
      <c r="IU2562" s="501"/>
    </row>
    <row r="2563" spans="1:255" s="877" customFormat="1" ht="24" customHeight="1">
      <c r="A2563" s="501"/>
      <c r="B2563" s="501"/>
      <c r="C2563" s="501"/>
      <c r="D2563" s="501"/>
      <c r="E2563" s="501"/>
      <c r="F2563" s="501"/>
      <c r="G2563" s="915"/>
      <c r="H2563" s="501"/>
      <c r="I2563" s="874"/>
      <c r="J2563" s="501"/>
      <c r="K2563" s="885"/>
      <c r="L2563" s="874"/>
      <c r="M2563" s="554"/>
      <c r="N2563" s="501"/>
      <c r="O2563" s="501"/>
      <c r="P2563" s="902"/>
      <c r="Q2563" s="501"/>
      <c r="R2563" s="501"/>
      <c r="S2563" s="874"/>
      <c r="T2563" s="501"/>
      <c r="V2563" s="501"/>
      <c r="W2563" s="501"/>
      <c r="X2563" s="501"/>
      <c r="Y2563" s="501"/>
      <c r="Z2563" s="501"/>
      <c r="AA2563" s="501"/>
      <c r="AB2563" s="501"/>
      <c r="AC2563" s="501"/>
      <c r="AD2563" s="501"/>
      <c r="AE2563" s="501"/>
      <c r="AF2563" s="501"/>
      <c r="AG2563" s="501"/>
      <c r="AH2563" s="501"/>
      <c r="AI2563" s="501"/>
      <c r="AJ2563" s="501"/>
      <c r="AK2563" s="501"/>
      <c r="AL2563" s="501"/>
      <c r="AM2563" s="501"/>
      <c r="AN2563" s="501"/>
      <c r="AO2563" s="501"/>
      <c r="AP2563" s="501"/>
      <c r="AQ2563" s="501"/>
      <c r="AR2563" s="501"/>
      <c r="AS2563" s="501"/>
      <c r="AT2563" s="501"/>
      <c r="AU2563" s="501"/>
      <c r="AV2563" s="501"/>
      <c r="AW2563" s="501"/>
      <c r="AX2563" s="501"/>
      <c r="AY2563" s="501"/>
      <c r="AZ2563" s="501"/>
      <c r="BA2563" s="501"/>
      <c r="BB2563" s="501"/>
      <c r="BC2563" s="501"/>
      <c r="BD2563" s="501"/>
      <c r="BE2563" s="501"/>
      <c r="BF2563" s="501"/>
      <c r="BG2563" s="501"/>
      <c r="BH2563" s="501"/>
      <c r="BI2563" s="501"/>
      <c r="BJ2563" s="501"/>
      <c r="BK2563" s="501"/>
      <c r="BL2563" s="501"/>
      <c r="BM2563" s="501"/>
      <c r="BN2563" s="501"/>
      <c r="BO2563" s="501"/>
      <c r="BP2563" s="501"/>
      <c r="BQ2563" s="501"/>
      <c r="BR2563" s="501"/>
      <c r="BS2563" s="501"/>
      <c r="BT2563" s="501"/>
      <c r="BU2563" s="501"/>
      <c r="BV2563" s="501"/>
      <c r="BW2563" s="501"/>
      <c r="BX2563" s="501"/>
      <c r="BY2563" s="501"/>
      <c r="BZ2563" s="501"/>
      <c r="CA2563" s="501"/>
      <c r="CB2563" s="501"/>
      <c r="CC2563" s="501"/>
      <c r="CD2563" s="501"/>
      <c r="CE2563" s="501"/>
      <c r="CF2563" s="501"/>
      <c r="CG2563" s="501"/>
      <c r="CH2563" s="501"/>
      <c r="CI2563" s="501"/>
      <c r="CJ2563" s="501"/>
      <c r="CK2563" s="501"/>
      <c r="CL2563" s="501"/>
      <c r="CM2563" s="501"/>
      <c r="CN2563" s="501"/>
      <c r="CO2563" s="501"/>
      <c r="CP2563" s="501"/>
      <c r="CQ2563" s="501"/>
      <c r="CR2563" s="501"/>
      <c r="CS2563" s="501"/>
      <c r="CT2563" s="501"/>
      <c r="CU2563" s="501"/>
      <c r="CV2563" s="501"/>
      <c r="CW2563" s="501"/>
      <c r="CX2563" s="501"/>
      <c r="CY2563" s="501"/>
      <c r="CZ2563" s="501"/>
      <c r="DA2563" s="501"/>
      <c r="DB2563" s="501"/>
      <c r="DC2563" s="501"/>
      <c r="DD2563" s="501"/>
      <c r="DE2563" s="501"/>
      <c r="DF2563" s="501"/>
      <c r="DG2563" s="501"/>
      <c r="DH2563" s="501"/>
      <c r="DI2563" s="501"/>
      <c r="DJ2563" s="501"/>
      <c r="DK2563" s="501"/>
      <c r="DL2563" s="501"/>
      <c r="DM2563" s="501"/>
      <c r="DN2563" s="501"/>
      <c r="DO2563" s="501"/>
      <c r="DP2563" s="501"/>
      <c r="DQ2563" s="501"/>
      <c r="DR2563" s="501"/>
      <c r="DS2563" s="501"/>
      <c r="DT2563" s="501"/>
      <c r="DU2563" s="501"/>
      <c r="DV2563" s="501"/>
      <c r="DW2563" s="501"/>
      <c r="DX2563" s="501"/>
      <c r="DY2563" s="501"/>
      <c r="DZ2563" s="501"/>
      <c r="EA2563" s="501"/>
      <c r="EB2563" s="501"/>
      <c r="EC2563" s="501"/>
      <c r="ED2563" s="501"/>
      <c r="EE2563" s="501"/>
      <c r="EF2563" s="501"/>
      <c r="EG2563" s="501"/>
      <c r="EH2563" s="501"/>
      <c r="EI2563" s="501"/>
      <c r="EJ2563" s="501"/>
      <c r="EK2563" s="501"/>
      <c r="EL2563" s="501"/>
      <c r="EM2563" s="501"/>
      <c r="EN2563" s="501"/>
      <c r="EO2563" s="501"/>
      <c r="EP2563" s="501"/>
      <c r="EQ2563" s="501"/>
      <c r="ER2563" s="501"/>
      <c r="ES2563" s="501"/>
      <c r="ET2563" s="501"/>
      <c r="EU2563" s="501"/>
      <c r="EV2563" s="501"/>
      <c r="EW2563" s="501"/>
      <c r="EX2563" s="501"/>
      <c r="EY2563" s="501"/>
      <c r="EZ2563" s="501"/>
      <c r="FA2563" s="501"/>
      <c r="FB2563" s="501"/>
      <c r="FC2563" s="501"/>
      <c r="FD2563" s="501"/>
      <c r="FE2563" s="501"/>
      <c r="FF2563" s="501"/>
      <c r="FG2563" s="501"/>
      <c r="FH2563" s="501"/>
      <c r="FI2563" s="501"/>
      <c r="FJ2563" s="501"/>
      <c r="FK2563" s="501"/>
      <c r="FL2563" s="501"/>
      <c r="FM2563" s="501"/>
      <c r="FN2563" s="501"/>
      <c r="FO2563" s="501"/>
      <c r="FP2563" s="501"/>
      <c r="FQ2563" s="501"/>
      <c r="FR2563" s="501"/>
      <c r="FS2563" s="501"/>
      <c r="FT2563" s="501"/>
      <c r="FU2563" s="501"/>
      <c r="FV2563" s="501"/>
      <c r="FW2563" s="501"/>
      <c r="FX2563" s="501"/>
      <c r="FY2563" s="501"/>
      <c r="FZ2563" s="501"/>
      <c r="GA2563" s="501"/>
      <c r="GB2563" s="501"/>
      <c r="GC2563" s="501"/>
      <c r="GD2563" s="501"/>
      <c r="GE2563" s="501"/>
      <c r="GF2563" s="501"/>
      <c r="GG2563" s="501"/>
      <c r="GH2563" s="501"/>
      <c r="GI2563" s="501"/>
      <c r="GJ2563" s="501"/>
      <c r="GK2563" s="501"/>
      <c r="GL2563" s="501"/>
      <c r="GM2563" s="501"/>
      <c r="GN2563" s="501"/>
      <c r="GO2563" s="501"/>
      <c r="GP2563" s="501"/>
      <c r="GQ2563" s="501"/>
      <c r="GR2563" s="501"/>
      <c r="GS2563" s="501"/>
      <c r="GT2563" s="501"/>
      <c r="GU2563" s="501"/>
      <c r="GV2563" s="501"/>
      <c r="GW2563" s="501"/>
      <c r="GX2563" s="501"/>
      <c r="GY2563" s="501"/>
      <c r="GZ2563" s="501"/>
      <c r="HA2563" s="501"/>
      <c r="HB2563" s="501"/>
      <c r="HC2563" s="501"/>
      <c r="HD2563" s="501"/>
      <c r="HE2563" s="501"/>
      <c r="HF2563" s="501"/>
      <c r="HG2563" s="501"/>
      <c r="HH2563" s="501"/>
      <c r="HI2563" s="501"/>
      <c r="HJ2563" s="501"/>
      <c r="HK2563" s="501"/>
      <c r="HL2563" s="501"/>
      <c r="HM2563" s="501"/>
      <c r="HN2563" s="501"/>
      <c r="HO2563" s="501"/>
      <c r="HP2563" s="501"/>
      <c r="HQ2563" s="501"/>
      <c r="HR2563" s="501"/>
      <c r="HS2563" s="501"/>
      <c r="HT2563" s="501"/>
      <c r="HU2563" s="501"/>
      <c r="HV2563" s="501"/>
      <c r="HW2563" s="501"/>
      <c r="HX2563" s="501"/>
      <c r="HY2563" s="501"/>
      <c r="HZ2563" s="501"/>
      <c r="IA2563" s="501"/>
      <c r="IB2563" s="501"/>
      <c r="IC2563" s="501"/>
      <c r="ID2563" s="501"/>
      <c r="IE2563" s="501"/>
      <c r="IF2563" s="501"/>
      <c r="IG2563" s="501"/>
      <c r="IH2563" s="501"/>
      <c r="II2563" s="501"/>
      <c r="IJ2563" s="501"/>
      <c r="IK2563" s="501"/>
      <c r="IL2563" s="501"/>
      <c r="IM2563" s="501"/>
      <c r="IN2563" s="501"/>
      <c r="IO2563" s="501"/>
      <c r="IP2563" s="501"/>
      <c r="IQ2563" s="501"/>
      <c r="IR2563" s="501"/>
      <c r="IS2563" s="501"/>
      <c r="IT2563" s="501"/>
      <c r="IU2563" s="501"/>
    </row>
    <row r="2564" spans="1:255" s="877" customFormat="1" ht="24" customHeight="1">
      <c r="A2564" s="501"/>
      <c r="B2564" s="501"/>
      <c r="C2564" s="501"/>
      <c r="D2564" s="501"/>
      <c r="E2564" s="501"/>
      <c r="F2564" s="501"/>
      <c r="G2564" s="915"/>
      <c r="H2564" s="501"/>
      <c r="I2564" s="874"/>
      <c r="J2564" s="501"/>
      <c r="K2564" s="903"/>
      <c r="L2564" s="874"/>
      <c r="M2564" s="554"/>
      <c r="N2564" s="501"/>
      <c r="O2564" s="501"/>
      <c r="P2564" s="902"/>
      <c r="Q2564" s="501"/>
      <c r="R2564" s="501"/>
      <c r="S2564" s="874"/>
      <c r="T2564" s="501"/>
      <c r="V2564" s="501"/>
      <c r="W2564" s="501"/>
      <c r="X2564" s="501"/>
      <c r="Y2564" s="501"/>
      <c r="Z2564" s="501"/>
      <c r="AA2564" s="501"/>
      <c r="AB2564" s="501"/>
      <c r="AC2564" s="501"/>
      <c r="AD2564" s="501"/>
      <c r="AE2564" s="501"/>
      <c r="AF2564" s="501"/>
      <c r="AG2564" s="501"/>
      <c r="AH2564" s="501"/>
      <c r="AI2564" s="501"/>
      <c r="AJ2564" s="501"/>
      <c r="AK2564" s="501"/>
      <c r="AL2564" s="501"/>
      <c r="AM2564" s="501"/>
      <c r="AN2564" s="501"/>
      <c r="AO2564" s="501"/>
      <c r="AP2564" s="501"/>
      <c r="AQ2564" s="501"/>
      <c r="AR2564" s="501"/>
      <c r="AS2564" s="501"/>
      <c r="AT2564" s="501"/>
      <c r="AU2564" s="501"/>
      <c r="AV2564" s="501"/>
      <c r="AW2564" s="501"/>
      <c r="AX2564" s="501"/>
      <c r="AY2564" s="501"/>
      <c r="AZ2564" s="501"/>
      <c r="BA2564" s="501"/>
      <c r="BB2564" s="501"/>
      <c r="BC2564" s="501"/>
      <c r="BD2564" s="501"/>
      <c r="BE2564" s="501"/>
      <c r="BF2564" s="501"/>
      <c r="BG2564" s="501"/>
      <c r="BH2564" s="501"/>
      <c r="BI2564" s="501"/>
      <c r="BJ2564" s="501"/>
      <c r="BK2564" s="501"/>
      <c r="BL2564" s="501"/>
      <c r="BM2564" s="501"/>
      <c r="BN2564" s="501"/>
      <c r="BO2564" s="501"/>
      <c r="BP2564" s="501"/>
      <c r="BQ2564" s="501"/>
      <c r="BR2564" s="501"/>
      <c r="BS2564" s="501"/>
      <c r="BT2564" s="501"/>
      <c r="BU2564" s="501"/>
      <c r="BV2564" s="501"/>
      <c r="BW2564" s="501"/>
      <c r="BX2564" s="501"/>
      <c r="BY2564" s="501"/>
      <c r="BZ2564" s="501"/>
      <c r="CA2564" s="501"/>
      <c r="CB2564" s="501"/>
      <c r="CC2564" s="501"/>
      <c r="CD2564" s="501"/>
      <c r="CE2564" s="501"/>
      <c r="CF2564" s="501"/>
      <c r="CG2564" s="501"/>
      <c r="CH2564" s="501"/>
      <c r="CI2564" s="501"/>
      <c r="CJ2564" s="501"/>
      <c r="CK2564" s="501"/>
      <c r="CL2564" s="501"/>
      <c r="CM2564" s="501"/>
      <c r="CN2564" s="501"/>
      <c r="CO2564" s="501"/>
      <c r="CP2564" s="501"/>
      <c r="CQ2564" s="501"/>
      <c r="CR2564" s="501"/>
      <c r="CS2564" s="501"/>
      <c r="CT2564" s="501"/>
      <c r="CU2564" s="501"/>
      <c r="CV2564" s="501"/>
      <c r="CW2564" s="501"/>
      <c r="CX2564" s="501"/>
      <c r="CY2564" s="501"/>
      <c r="CZ2564" s="501"/>
      <c r="DA2564" s="501"/>
      <c r="DB2564" s="501"/>
      <c r="DC2564" s="501"/>
      <c r="DD2564" s="501"/>
      <c r="DE2564" s="501"/>
      <c r="DF2564" s="501"/>
      <c r="DG2564" s="501"/>
      <c r="DH2564" s="501"/>
      <c r="DI2564" s="501"/>
      <c r="DJ2564" s="501"/>
      <c r="DK2564" s="501"/>
      <c r="DL2564" s="501"/>
      <c r="DM2564" s="501"/>
      <c r="DN2564" s="501"/>
      <c r="DO2564" s="501"/>
      <c r="DP2564" s="501"/>
      <c r="DQ2564" s="501"/>
      <c r="DR2564" s="501"/>
      <c r="DS2564" s="501"/>
      <c r="DT2564" s="501"/>
      <c r="DU2564" s="501"/>
      <c r="DV2564" s="501"/>
      <c r="DW2564" s="501"/>
      <c r="DX2564" s="501"/>
      <c r="DY2564" s="501"/>
      <c r="DZ2564" s="501"/>
      <c r="EA2564" s="501"/>
      <c r="EB2564" s="501"/>
      <c r="EC2564" s="501"/>
      <c r="ED2564" s="501"/>
      <c r="EE2564" s="501"/>
      <c r="EF2564" s="501"/>
      <c r="EG2564" s="501"/>
      <c r="EH2564" s="501"/>
      <c r="EI2564" s="501"/>
      <c r="EJ2564" s="501"/>
      <c r="EK2564" s="501"/>
      <c r="EL2564" s="501"/>
      <c r="EM2564" s="501"/>
      <c r="EN2564" s="501"/>
      <c r="EO2564" s="501"/>
      <c r="EP2564" s="501"/>
      <c r="EQ2564" s="501"/>
      <c r="ER2564" s="501"/>
      <c r="ES2564" s="501"/>
      <c r="ET2564" s="501"/>
      <c r="EU2564" s="501"/>
      <c r="EV2564" s="501"/>
      <c r="EW2564" s="501"/>
      <c r="EX2564" s="501"/>
      <c r="EY2564" s="501"/>
      <c r="EZ2564" s="501"/>
      <c r="FA2564" s="501"/>
      <c r="FB2564" s="501"/>
      <c r="FC2564" s="501"/>
      <c r="FD2564" s="501"/>
      <c r="FE2564" s="501"/>
      <c r="FF2564" s="501"/>
      <c r="FG2564" s="501"/>
      <c r="FH2564" s="501"/>
      <c r="FI2564" s="501"/>
      <c r="FJ2564" s="501"/>
      <c r="FK2564" s="501"/>
      <c r="FL2564" s="501"/>
      <c r="FM2564" s="501"/>
      <c r="FN2564" s="501"/>
      <c r="FO2564" s="501"/>
      <c r="FP2564" s="501"/>
      <c r="FQ2564" s="501"/>
      <c r="FR2564" s="501"/>
      <c r="FS2564" s="501"/>
      <c r="FT2564" s="501"/>
      <c r="FU2564" s="501"/>
      <c r="FV2564" s="501"/>
      <c r="FW2564" s="501"/>
      <c r="FX2564" s="501"/>
      <c r="FY2564" s="501"/>
      <c r="FZ2564" s="501"/>
      <c r="GA2564" s="501"/>
      <c r="GB2564" s="501"/>
      <c r="GC2564" s="501"/>
      <c r="GD2564" s="501"/>
      <c r="GE2564" s="501"/>
      <c r="GF2564" s="501"/>
      <c r="GG2564" s="501"/>
      <c r="GH2564" s="501"/>
      <c r="GI2564" s="501"/>
      <c r="GJ2564" s="501"/>
      <c r="GK2564" s="501"/>
      <c r="GL2564" s="501"/>
      <c r="GM2564" s="501"/>
      <c r="GN2564" s="501"/>
      <c r="GO2564" s="501"/>
      <c r="GP2564" s="501"/>
      <c r="GQ2564" s="501"/>
      <c r="GR2564" s="501"/>
      <c r="GS2564" s="501"/>
      <c r="GT2564" s="501"/>
      <c r="GU2564" s="501"/>
      <c r="GV2564" s="501"/>
      <c r="GW2564" s="501"/>
      <c r="GX2564" s="501"/>
      <c r="GY2564" s="501"/>
      <c r="GZ2564" s="501"/>
      <c r="HA2564" s="501"/>
      <c r="HB2564" s="501"/>
      <c r="HC2564" s="501"/>
      <c r="HD2564" s="501"/>
      <c r="HE2564" s="501"/>
      <c r="HF2564" s="501"/>
      <c r="HG2564" s="501"/>
      <c r="HH2564" s="501"/>
      <c r="HI2564" s="501"/>
      <c r="HJ2564" s="501"/>
      <c r="HK2564" s="501"/>
      <c r="HL2564" s="501"/>
      <c r="HM2564" s="501"/>
      <c r="HN2564" s="501"/>
      <c r="HO2564" s="501"/>
      <c r="HP2564" s="501"/>
      <c r="HQ2564" s="501"/>
      <c r="HR2564" s="501"/>
      <c r="HS2564" s="501"/>
      <c r="HT2564" s="501"/>
      <c r="HU2564" s="501"/>
      <c r="HV2564" s="501"/>
      <c r="HW2564" s="501"/>
      <c r="HX2564" s="501"/>
      <c r="HY2564" s="501"/>
      <c r="HZ2564" s="501"/>
      <c r="IA2564" s="501"/>
      <c r="IB2564" s="501"/>
      <c r="IC2564" s="501"/>
      <c r="ID2564" s="501"/>
      <c r="IE2564" s="501"/>
      <c r="IF2564" s="501"/>
      <c r="IG2564" s="501"/>
      <c r="IH2564" s="501"/>
      <c r="II2564" s="501"/>
      <c r="IJ2564" s="501"/>
      <c r="IK2564" s="501"/>
      <c r="IL2564" s="501"/>
      <c r="IM2564" s="501"/>
      <c r="IN2564" s="501"/>
      <c r="IO2564" s="501"/>
      <c r="IP2564" s="501"/>
      <c r="IQ2564" s="501"/>
      <c r="IR2564" s="501"/>
      <c r="IS2564" s="501"/>
      <c r="IT2564" s="501"/>
      <c r="IU2564" s="501"/>
    </row>
    <row r="2565" spans="1:255" s="877" customFormat="1" ht="24" customHeight="1">
      <c r="A2565" s="501"/>
      <c r="B2565" s="501"/>
      <c r="C2565" s="501"/>
      <c r="D2565" s="501"/>
      <c r="E2565" s="501"/>
      <c r="F2565" s="501"/>
      <c r="G2565" s="915"/>
      <c r="H2565" s="501"/>
      <c r="I2565" s="874"/>
      <c r="J2565" s="501"/>
      <c r="K2565" s="501"/>
      <c r="L2565" s="874"/>
      <c r="M2565" s="554"/>
      <c r="N2565" s="501"/>
      <c r="O2565" s="501"/>
      <c r="P2565" s="902"/>
      <c r="Q2565" s="501"/>
      <c r="R2565" s="501"/>
      <c r="S2565" s="874"/>
      <c r="T2565" s="501"/>
      <c r="V2565" s="501"/>
      <c r="W2565" s="501"/>
      <c r="X2565" s="501"/>
      <c r="Y2565" s="501"/>
      <c r="Z2565" s="501"/>
      <c r="AA2565" s="501"/>
      <c r="AB2565" s="501"/>
      <c r="AC2565" s="501"/>
      <c r="AD2565" s="501"/>
      <c r="AE2565" s="501"/>
      <c r="AF2565" s="501"/>
      <c r="AG2565" s="501"/>
      <c r="AH2565" s="501"/>
      <c r="AI2565" s="501"/>
      <c r="AJ2565" s="501"/>
      <c r="AK2565" s="501"/>
      <c r="AL2565" s="501"/>
      <c r="AM2565" s="501"/>
      <c r="AN2565" s="501"/>
      <c r="AO2565" s="501"/>
      <c r="AP2565" s="501"/>
      <c r="AQ2565" s="501"/>
      <c r="AR2565" s="501"/>
      <c r="AS2565" s="501"/>
      <c r="AT2565" s="501"/>
      <c r="AU2565" s="501"/>
      <c r="AV2565" s="501"/>
      <c r="AW2565" s="501"/>
      <c r="AX2565" s="501"/>
      <c r="AY2565" s="501"/>
      <c r="AZ2565" s="501"/>
      <c r="BA2565" s="501"/>
      <c r="BB2565" s="501"/>
      <c r="BC2565" s="501"/>
      <c r="BD2565" s="501"/>
      <c r="BE2565" s="501"/>
      <c r="BF2565" s="501"/>
      <c r="BG2565" s="501"/>
      <c r="BH2565" s="501"/>
      <c r="BI2565" s="501"/>
      <c r="BJ2565" s="501"/>
      <c r="BK2565" s="501"/>
      <c r="BL2565" s="501"/>
      <c r="BM2565" s="501"/>
      <c r="BN2565" s="501"/>
      <c r="BO2565" s="501"/>
      <c r="BP2565" s="501"/>
      <c r="BQ2565" s="501"/>
      <c r="BR2565" s="501"/>
      <c r="BS2565" s="501"/>
      <c r="BT2565" s="501"/>
      <c r="BU2565" s="501"/>
      <c r="BV2565" s="501"/>
      <c r="BW2565" s="501"/>
      <c r="BX2565" s="501"/>
      <c r="BY2565" s="501"/>
      <c r="BZ2565" s="501"/>
      <c r="CA2565" s="501"/>
      <c r="CB2565" s="501"/>
      <c r="CC2565" s="501"/>
      <c r="CD2565" s="501"/>
      <c r="CE2565" s="501"/>
      <c r="CF2565" s="501"/>
      <c r="CG2565" s="501"/>
      <c r="CH2565" s="501"/>
      <c r="CI2565" s="501"/>
      <c r="CJ2565" s="501"/>
      <c r="CK2565" s="501"/>
      <c r="CL2565" s="501"/>
      <c r="CM2565" s="501"/>
      <c r="CN2565" s="501"/>
      <c r="CO2565" s="501"/>
      <c r="CP2565" s="501"/>
      <c r="CQ2565" s="501"/>
      <c r="CR2565" s="501"/>
      <c r="CS2565" s="501"/>
      <c r="CT2565" s="501"/>
      <c r="CU2565" s="501"/>
      <c r="CV2565" s="501"/>
      <c r="CW2565" s="501"/>
      <c r="CX2565" s="501"/>
      <c r="CY2565" s="501"/>
      <c r="CZ2565" s="501"/>
      <c r="DA2565" s="501"/>
      <c r="DB2565" s="501"/>
      <c r="DC2565" s="501"/>
      <c r="DD2565" s="501"/>
      <c r="DE2565" s="501"/>
      <c r="DF2565" s="501"/>
      <c r="DG2565" s="501"/>
      <c r="DH2565" s="501"/>
      <c r="DI2565" s="501"/>
      <c r="DJ2565" s="501"/>
      <c r="DK2565" s="501"/>
      <c r="DL2565" s="501"/>
      <c r="DM2565" s="501"/>
      <c r="DN2565" s="501"/>
      <c r="DO2565" s="501"/>
      <c r="DP2565" s="501"/>
      <c r="DQ2565" s="501"/>
      <c r="DR2565" s="501"/>
      <c r="DS2565" s="501"/>
      <c r="DT2565" s="501"/>
      <c r="DU2565" s="501"/>
      <c r="DV2565" s="501"/>
      <c r="DW2565" s="501"/>
      <c r="DX2565" s="501"/>
      <c r="DY2565" s="501"/>
      <c r="DZ2565" s="501"/>
      <c r="EA2565" s="501"/>
      <c r="EB2565" s="501"/>
      <c r="EC2565" s="501"/>
      <c r="ED2565" s="501"/>
      <c r="EE2565" s="501"/>
      <c r="EF2565" s="501"/>
      <c r="EG2565" s="501"/>
      <c r="EH2565" s="501"/>
      <c r="EI2565" s="501"/>
      <c r="EJ2565" s="501"/>
      <c r="EK2565" s="501"/>
      <c r="EL2565" s="501"/>
      <c r="EM2565" s="501"/>
      <c r="EN2565" s="501"/>
      <c r="EO2565" s="501"/>
      <c r="EP2565" s="501"/>
      <c r="EQ2565" s="501"/>
      <c r="ER2565" s="501"/>
      <c r="ES2565" s="501"/>
      <c r="ET2565" s="501"/>
      <c r="EU2565" s="501"/>
      <c r="EV2565" s="501"/>
      <c r="EW2565" s="501"/>
      <c r="EX2565" s="501"/>
      <c r="EY2565" s="501"/>
      <c r="EZ2565" s="501"/>
      <c r="FA2565" s="501"/>
      <c r="FB2565" s="501"/>
      <c r="FC2565" s="501"/>
      <c r="FD2565" s="501"/>
      <c r="FE2565" s="501"/>
      <c r="FF2565" s="501"/>
      <c r="FG2565" s="501"/>
      <c r="FH2565" s="501"/>
      <c r="FI2565" s="501"/>
      <c r="FJ2565" s="501"/>
      <c r="FK2565" s="501"/>
      <c r="FL2565" s="501"/>
      <c r="FM2565" s="501"/>
      <c r="FN2565" s="501"/>
      <c r="FO2565" s="501"/>
      <c r="FP2565" s="501"/>
      <c r="FQ2565" s="501"/>
      <c r="FR2565" s="501"/>
      <c r="FS2565" s="501"/>
      <c r="FT2565" s="501"/>
      <c r="FU2565" s="501"/>
      <c r="FV2565" s="501"/>
      <c r="FW2565" s="501"/>
      <c r="FX2565" s="501"/>
      <c r="FY2565" s="501"/>
      <c r="FZ2565" s="501"/>
      <c r="GA2565" s="501"/>
      <c r="GB2565" s="501"/>
      <c r="GC2565" s="501"/>
      <c r="GD2565" s="501"/>
      <c r="GE2565" s="501"/>
      <c r="GF2565" s="501"/>
      <c r="GG2565" s="501"/>
      <c r="GH2565" s="501"/>
      <c r="GI2565" s="501"/>
      <c r="GJ2565" s="501"/>
      <c r="GK2565" s="501"/>
      <c r="GL2565" s="501"/>
      <c r="GM2565" s="501"/>
      <c r="GN2565" s="501"/>
      <c r="GO2565" s="501"/>
      <c r="GP2565" s="501"/>
      <c r="GQ2565" s="501"/>
      <c r="GR2565" s="501"/>
      <c r="GS2565" s="501"/>
      <c r="GT2565" s="501"/>
      <c r="GU2565" s="501"/>
      <c r="GV2565" s="501"/>
      <c r="GW2565" s="501"/>
      <c r="GX2565" s="501"/>
      <c r="GY2565" s="501"/>
      <c r="GZ2565" s="501"/>
      <c r="HA2565" s="501"/>
      <c r="HB2565" s="501"/>
      <c r="HC2565" s="501"/>
      <c r="HD2565" s="501"/>
      <c r="HE2565" s="501"/>
      <c r="HF2565" s="501"/>
      <c r="HG2565" s="501"/>
      <c r="HH2565" s="501"/>
      <c r="HI2565" s="501"/>
      <c r="HJ2565" s="501"/>
      <c r="HK2565" s="501"/>
      <c r="HL2565" s="501"/>
      <c r="HM2565" s="501"/>
      <c r="HN2565" s="501"/>
      <c r="HO2565" s="501"/>
      <c r="HP2565" s="501"/>
      <c r="HQ2565" s="501"/>
      <c r="HR2565" s="501"/>
      <c r="HS2565" s="501"/>
      <c r="HT2565" s="501"/>
      <c r="HU2565" s="501"/>
      <c r="HV2565" s="501"/>
      <c r="HW2565" s="501"/>
      <c r="HX2565" s="501"/>
      <c r="HY2565" s="501"/>
      <c r="HZ2565" s="501"/>
      <c r="IA2565" s="501"/>
      <c r="IB2565" s="501"/>
      <c r="IC2565" s="501"/>
      <c r="ID2565" s="501"/>
      <c r="IE2565" s="501"/>
      <c r="IF2565" s="501"/>
      <c r="IG2565" s="501"/>
      <c r="IH2565" s="501"/>
      <c r="II2565" s="501"/>
      <c r="IJ2565" s="501"/>
      <c r="IK2565" s="501"/>
      <c r="IL2565" s="501"/>
      <c r="IM2565" s="501"/>
      <c r="IN2565" s="501"/>
      <c r="IO2565" s="501"/>
      <c r="IP2565" s="501"/>
      <c r="IQ2565" s="501"/>
      <c r="IR2565" s="501"/>
      <c r="IS2565" s="501"/>
      <c r="IT2565" s="501"/>
      <c r="IU2565" s="501"/>
    </row>
    <row r="2566" spans="1:255" s="877" customFormat="1" ht="24" customHeight="1">
      <c r="A2566" s="501"/>
      <c r="B2566" s="501"/>
      <c r="C2566" s="501"/>
      <c r="D2566" s="501"/>
      <c r="E2566" s="501"/>
      <c r="F2566" s="501"/>
      <c r="G2566" s="915"/>
      <c r="H2566" s="501"/>
      <c r="I2566" s="874"/>
      <c r="J2566" s="501"/>
      <c r="K2566" s="501"/>
      <c r="L2566" s="874"/>
      <c r="M2566" s="554"/>
      <c r="N2566" s="501"/>
      <c r="O2566" s="501"/>
      <c r="P2566" s="902"/>
      <c r="Q2566" s="501"/>
      <c r="R2566" s="501"/>
      <c r="S2566" s="874"/>
      <c r="T2566" s="501"/>
      <c r="V2566" s="501"/>
      <c r="W2566" s="501"/>
      <c r="X2566" s="501"/>
      <c r="Y2566" s="501"/>
      <c r="Z2566" s="501"/>
      <c r="AA2566" s="501"/>
      <c r="AB2566" s="501"/>
      <c r="AC2566" s="501"/>
      <c r="AD2566" s="501"/>
      <c r="AE2566" s="501"/>
      <c r="AF2566" s="501"/>
      <c r="AG2566" s="501"/>
      <c r="AH2566" s="501"/>
      <c r="AI2566" s="501"/>
      <c r="AJ2566" s="501"/>
      <c r="AK2566" s="501"/>
      <c r="AL2566" s="501"/>
      <c r="AM2566" s="501"/>
      <c r="AN2566" s="501"/>
      <c r="AO2566" s="501"/>
      <c r="AP2566" s="501"/>
      <c r="AQ2566" s="501"/>
      <c r="AR2566" s="501"/>
      <c r="AS2566" s="501"/>
      <c r="AT2566" s="501"/>
      <c r="AU2566" s="501"/>
      <c r="AV2566" s="501"/>
      <c r="AW2566" s="501"/>
      <c r="AX2566" s="501"/>
      <c r="AY2566" s="501"/>
      <c r="AZ2566" s="501"/>
      <c r="BA2566" s="501"/>
      <c r="BB2566" s="501"/>
      <c r="BC2566" s="501"/>
      <c r="BD2566" s="501"/>
      <c r="BE2566" s="501"/>
      <c r="BF2566" s="501"/>
      <c r="BG2566" s="501"/>
      <c r="BH2566" s="501"/>
      <c r="BI2566" s="501"/>
      <c r="BJ2566" s="501"/>
      <c r="BK2566" s="501"/>
      <c r="BL2566" s="501"/>
      <c r="BM2566" s="501"/>
      <c r="BN2566" s="501"/>
      <c r="BO2566" s="501"/>
      <c r="BP2566" s="501"/>
      <c r="BQ2566" s="501"/>
      <c r="BR2566" s="501"/>
      <c r="BS2566" s="501"/>
      <c r="BT2566" s="501"/>
      <c r="BU2566" s="501"/>
      <c r="BV2566" s="501"/>
      <c r="BW2566" s="501"/>
      <c r="BX2566" s="501"/>
      <c r="BY2566" s="501"/>
      <c r="BZ2566" s="501"/>
      <c r="CA2566" s="501"/>
      <c r="CB2566" s="501"/>
      <c r="CC2566" s="501"/>
      <c r="CD2566" s="501"/>
      <c r="CE2566" s="501"/>
      <c r="CF2566" s="501"/>
      <c r="CG2566" s="501"/>
      <c r="CH2566" s="501"/>
      <c r="CI2566" s="501"/>
      <c r="CJ2566" s="501"/>
      <c r="CK2566" s="501"/>
      <c r="CL2566" s="501"/>
      <c r="CM2566" s="501"/>
      <c r="CN2566" s="501"/>
      <c r="CO2566" s="501"/>
      <c r="CP2566" s="501"/>
      <c r="CQ2566" s="501"/>
      <c r="CR2566" s="501"/>
      <c r="CS2566" s="501"/>
      <c r="CT2566" s="501"/>
      <c r="CU2566" s="501"/>
      <c r="CV2566" s="501"/>
      <c r="CW2566" s="501"/>
      <c r="CX2566" s="501"/>
      <c r="CY2566" s="501"/>
      <c r="CZ2566" s="501"/>
      <c r="DA2566" s="501"/>
      <c r="DB2566" s="501"/>
      <c r="DC2566" s="501"/>
      <c r="DD2566" s="501"/>
      <c r="DE2566" s="501"/>
      <c r="DF2566" s="501"/>
      <c r="DG2566" s="501"/>
      <c r="DH2566" s="501"/>
      <c r="DI2566" s="501"/>
      <c r="DJ2566" s="501"/>
      <c r="DK2566" s="501"/>
      <c r="DL2566" s="501"/>
      <c r="DM2566" s="501"/>
      <c r="DN2566" s="501"/>
      <c r="DO2566" s="501"/>
      <c r="DP2566" s="501"/>
      <c r="DQ2566" s="501"/>
      <c r="DR2566" s="501"/>
      <c r="DS2566" s="501"/>
      <c r="DT2566" s="501"/>
      <c r="DU2566" s="501"/>
      <c r="DV2566" s="501"/>
      <c r="DW2566" s="501"/>
      <c r="DX2566" s="501"/>
      <c r="DY2566" s="501"/>
      <c r="DZ2566" s="501"/>
      <c r="EA2566" s="501"/>
      <c r="EB2566" s="501"/>
      <c r="EC2566" s="501"/>
      <c r="ED2566" s="501"/>
      <c r="EE2566" s="501"/>
      <c r="EF2566" s="501"/>
      <c r="EG2566" s="501"/>
      <c r="EH2566" s="501"/>
      <c r="EI2566" s="501"/>
      <c r="EJ2566" s="501"/>
      <c r="EK2566" s="501"/>
      <c r="EL2566" s="501"/>
      <c r="EM2566" s="501"/>
      <c r="EN2566" s="501"/>
      <c r="EO2566" s="501"/>
      <c r="EP2566" s="501"/>
      <c r="EQ2566" s="501"/>
      <c r="ER2566" s="501"/>
      <c r="ES2566" s="501"/>
      <c r="ET2566" s="501"/>
      <c r="EU2566" s="501"/>
      <c r="EV2566" s="501"/>
      <c r="EW2566" s="501"/>
      <c r="EX2566" s="501"/>
      <c r="EY2566" s="501"/>
      <c r="EZ2566" s="501"/>
      <c r="FA2566" s="501"/>
      <c r="FB2566" s="501"/>
      <c r="FC2566" s="501"/>
      <c r="FD2566" s="501"/>
      <c r="FE2566" s="501"/>
      <c r="FF2566" s="501"/>
      <c r="FG2566" s="501"/>
      <c r="FH2566" s="501"/>
      <c r="FI2566" s="501"/>
      <c r="FJ2566" s="501"/>
      <c r="FK2566" s="501"/>
      <c r="FL2566" s="501"/>
      <c r="FM2566" s="501"/>
      <c r="FN2566" s="501"/>
      <c r="FO2566" s="501"/>
      <c r="FP2566" s="501"/>
      <c r="FQ2566" s="501"/>
      <c r="FR2566" s="501"/>
      <c r="FS2566" s="501"/>
      <c r="FT2566" s="501"/>
      <c r="FU2566" s="501"/>
      <c r="FV2566" s="501"/>
      <c r="FW2566" s="501"/>
      <c r="FX2566" s="501"/>
      <c r="FY2566" s="501"/>
      <c r="FZ2566" s="501"/>
      <c r="GA2566" s="501"/>
      <c r="GB2566" s="501"/>
      <c r="GC2566" s="501"/>
      <c r="GD2566" s="501"/>
      <c r="GE2566" s="501"/>
      <c r="GF2566" s="501"/>
      <c r="GG2566" s="501"/>
      <c r="GH2566" s="501"/>
      <c r="GI2566" s="501"/>
      <c r="GJ2566" s="501"/>
      <c r="GK2566" s="501"/>
      <c r="GL2566" s="501"/>
      <c r="GM2566" s="501"/>
      <c r="GN2566" s="501"/>
      <c r="GO2566" s="501"/>
      <c r="GP2566" s="501"/>
      <c r="GQ2566" s="501"/>
      <c r="GR2566" s="501"/>
      <c r="GS2566" s="501"/>
      <c r="GT2566" s="501"/>
      <c r="GU2566" s="501"/>
      <c r="GV2566" s="501"/>
      <c r="GW2566" s="501"/>
      <c r="GX2566" s="501"/>
      <c r="GY2566" s="501"/>
      <c r="GZ2566" s="501"/>
      <c r="HA2566" s="501"/>
      <c r="HB2566" s="501"/>
      <c r="HC2566" s="501"/>
      <c r="HD2566" s="501"/>
      <c r="HE2566" s="501"/>
      <c r="HF2566" s="501"/>
      <c r="HG2566" s="501"/>
      <c r="HH2566" s="501"/>
      <c r="HI2566" s="501"/>
      <c r="HJ2566" s="501"/>
      <c r="HK2566" s="501"/>
      <c r="HL2566" s="501"/>
      <c r="HM2566" s="501"/>
      <c r="HN2566" s="501"/>
      <c r="HO2566" s="501"/>
      <c r="HP2566" s="501"/>
      <c r="HQ2566" s="501"/>
      <c r="HR2566" s="501"/>
      <c r="HS2566" s="501"/>
      <c r="HT2566" s="501"/>
      <c r="HU2566" s="501"/>
      <c r="HV2566" s="501"/>
      <c r="HW2566" s="501"/>
      <c r="HX2566" s="501"/>
      <c r="HY2566" s="501"/>
      <c r="HZ2566" s="501"/>
      <c r="IA2566" s="501"/>
      <c r="IB2566" s="501"/>
      <c r="IC2566" s="501"/>
      <c r="ID2566" s="501"/>
      <c r="IE2566" s="501"/>
      <c r="IF2566" s="501"/>
      <c r="IG2566" s="501"/>
      <c r="IH2566" s="501"/>
      <c r="II2566" s="501"/>
      <c r="IJ2566" s="501"/>
      <c r="IK2566" s="501"/>
      <c r="IL2566" s="501"/>
      <c r="IM2566" s="501"/>
      <c r="IN2566" s="501"/>
      <c r="IO2566" s="501"/>
      <c r="IP2566" s="501"/>
      <c r="IQ2566" s="501"/>
      <c r="IR2566" s="501"/>
      <c r="IS2566" s="501"/>
      <c r="IT2566" s="501"/>
      <c r="IU2566" s="501"/>
    </row>
    <row r="2567" spans="1:255" s="877" customFormat="1" ht="24" customHeight="1">
      <c r="A2567" s="501"/>
      <c r="B2567" s="501"/>
      <c r="C2567" s="501"/>
      <c r="D2567" s="501"/>
      <c r="E2567" s="501"/>
      <c r="F2567" s="501"/>
      <c r="G2567" s="915"/>
      <c r="H2567" s="501"/>
      <c r="I2567" s="874"/>
      <c r="J2567" s="501"/>
      <c r="K2567" s="501"/>
      <c r="L2567" s="874"/>
      <c r="M2567" s="1061"/>
      <c r="N2567" s="501"/>
      <c r="O2567" s="501"/>
      <c r="P2567" s="902"/>
      <c r="Q2567" s="501"/>
      <c r="R2567" s="501"/>
      <c r="S2567" s="874"/>
      <c r="T2567" s="501"/>
      <c r="V2567" s="501"/>
      <c r="W2567" s="501"/>
      <c r="X2567" s="501"/>
      <c r="Y2567" s="501"/>
      <c r="Z2567" s="501"/>
      <c r="AA2567" s="501"/>
      <c r="AB2567" s="501"/>
      <c r="AC2567" s="501"/>
      <c r="AD2567" s="501"/>
      <c r="AE2567" s="501"/>
      <c r="AF2567" s="501"/>
      <c r="AG2567" s="501"/>
      <c r="AH2567" s="501"/>
      <c r="AI2567" s="501"/>
      <c r="AJ2567" s="501"/>
      <c r="AK2567" s="501"/>
      <c r="AL2567" s="501"/>
      <c r="AM2567" s="501"/>
      <c r="AN2567" s="501"/>
      <c r="AO2567" s="501"/>
      <c r="AP2567" s="501"/>
      <c r="AQ2567" s="501"/>
      <c r="AR2567" s="501"/>
      <c r="AS2567" s="501"/>
      <c r="AT2567" s="501"/>
      <c r="AU2567" s="501"/>
      <c r="AV2567" s="501"/>
      <c r="AW2567" s="501"/>
      <c r="AX2567" s="501"/>
      <c r="AY2567" s="501"/>
      <c r="AZ2567" s="501"/>
      <c r="BA2567" s="501"/>
      <c r="BB2567" s="501"/>
      <c r="BC2567" s="501"/>
      <c r="BD2567" s="501"/>
      <c r="BE2567" s="501"/>
      <c r="BF2567" s="501"/>
      <c r="BG2567" s="501"/>
      <c r="BH2567" s="501"/>
      <c r="BI2567" s="501"/>
      <c r="BJ2567" s="501"/>
      <c r="BK2567" s="501"/>
      <c r="BL2567" s="501"/>
      <c r="BM2567" s="501"/>
      <c r="BN2567" s="501"/>
      <c r="BO2567" s="501"/>
      <c r="BP2567" s="501"/>
      <c r="BQ2567" s="501"/>
      <c r="BR2567" s="501"/>
      <c r="BS2567" s="501"/>
      <c r="BT2567" s="501"/>
      <c r="BU2567" s="501"/>
      <c r="BV2567" s="501"/>
      <c r="BW2567" s="501"/>
      <c r="BX2567" s="501"/>
      <c r="BY2567" s="501"/>
      <c r="BZ2567" s="501"/>
      <c r="CA2567" s="501"/>
      <c r="CB2567" s="501"/>
      <c r="CC2567" s="501"/>
      <c r="CD2567" s="501"/>
      <c r="CE2567" s="501"/>
      <c r="CF2567" s="501"/>
      <c r="CG2567" s="501"/>
      <c r="CH2567" s="501"/>
      <c r="CI2567" s="501"/>
      <c r="CJ2567" s="501"/>
      <c r="CK2567" s="501"/>
      <c r="CL2567" s="501"/>
      <c r="CM2567" s="501"/>
      <c r="CN2567" s="501"/>
      <c r="CO2567" s="501"/>
      <c r="CP2567" s="501"/>
      <c r="CQ2567" s="501"/>
      <c r="CR2567" s="501"/>
      <c r="CS2567" s="501"/>
      <c r="CT2567" s="501"/>
      <c r="CU2567" s="501"/>
      <c r="CV2567" s="501"/>
      <c r="CW2567" s="501"/>
      <c r="CX2567" s="501"/>
      <c r="CY2567" s="501"/>
      <c r="CZ2567" s="501"/>
      <c r="DA2567" s="501"/>
      <c r="DB2567" s="501"/>
      <c r="DC2567" s="501"/>
      <c r="DD2567" s="501"/>
      <c r="DE2567" s="501"/>
      <c r="DF2567" s="501"/>
      <c r="DG2567" s="501"/>
      <c r="DH2567" s="501"/>
      <c r="DI2567" s="501"/>
      <c r="DJ2567" s="501"/>
      <c r="DK2567" s="501"/>
      <c r="DL2567" s="501"/>
      <c r="DM2567" s="501"/>
      <c r="DN2567" s="501"/>
      <c r="DO2567" s="501"/>
      <c r="DP2567" s="501"/>
      <c r="DQ2567" s="501"/>
      <c r="DR2567" s="501"/>
      <c r="DS2567" s="501"/>
      <c r="DT2567" s="501"/>
      <c r="DU2567" s="501"/>
      <c r="DV2567" s="501"/>
      <c r="DW2567" s="501"/>
      <c r="DX2567" s="501"/>
      <c r="DY2567" s="501"/>
      <c r="DZ2567" s="501"/>
      <c r="EA2567" s="501"/>
      <c r="EB2567" s="501"/>
      <c r="EC2567" s="501"/>
      <c r="ED2567" s="501"/>
      <c r="EE2567" s="501"/>
      <c r="EF2567" s="501"/>
      <c r="EG2567" s="501"/>
      <c r="EH2567" s="501"/>
      <c r="EI2567" s="501"/>
      <c r="EJ2567" s="501"/>
      <c r="EK2567" s="501"/>
      <c r="EL2567" s="501"/>
      <c r="EM2567" s="501"/>
      <c r="EN2567" s="501"/>
      <c r="EO2567" s="501"/>
      <c r="EP2567" s="501"/>
      <c r="EQ2567" s="501"/>
      <c r="ER2567" s="501"/>
      <c r="ES2567" s="501"/>
      <c r="ET2567" s="501"/>
      <c r="EU2567" s="501"/>
      <c r="EV2567" s="501"/>
      <c r="EW2567" s="501"/>
      <c r="EX2567" s="501"/>
      <c r="EY2567" s="501"/>
      <c r="EZ2567" s="501"/>
      <c r="FA2567" s="501"/>
      <c r="FB2567" s="501"/>
      <c r="FC2567" s="501"/>
      <c r="FD2567" s="501"/>
      <c r="FE2567" s="501"/>
      <c r="FF2567" s="501"/>
      <c r="FG2567" s="501"/>
      <c r="FH2567" s="501"/>
      <c r="FI2567" s="501"/>
      <c r="FJ2567" s="501"/>
      <c r="FK2567" s="501"/>
      <c r="FL2567" s="501"/>
      <c r="FM2567" s="501"/>
      <c r="FN2567" s="501"/>
      <c r="FO2567" s="501"/>
      <c r="FP2567" s="501"/>
      <c r="FQ2567" s="501"/>
      <c r="FR2567" s="501"/>
      <c r="FS2567" s="501"/>
      <c r="FT2567" s="501"/>
      <c r="FU2567" s="501"/>
      <c r="FV2567" s="501"/>
      <c r="FW2567" s="501"/>
      <c r="FX2567" s="501"/>
      <c r="FY2567" s="501"/>
      <c r="FZ2567" s="501"/>
      <c r="GA2567" s="501"/>
      <c r="GB2567" s="501"/>
      <c r="GC2567" s="501"/>
      <c r="GD2567" s="501"/>
      <c r="GE2567" s="501"/>
      <c r="GF2567" s="501"/>
      <c r="GG2567" s="501"/>
      <c r="GH2567" s="501"/>
      <c r="GI2567" s="501"/>
      <c r="GJ2567" s="501"/>
      <c r="GK2567" s="501"/>
      <c r="GL2567" s="501"/>
      <c r="GM2567" s="501"/>
      <c r="GN2567" s="501"/>
      <c r="GO2567" s="501"/>
      <c r="GP2567" s="501"/>
      <c r="GQ2567" s="501"/>
      <c r="GR2567" s="501"/>
      <c r="GS2567" s="501"/>
      <c r="GT2567" s="501"/>
      <c r="GU2567" s="501"/>
      <c r="GV2567" s="501"/>
      <c r="GW2567" s="501"/>
      <c r="GX2567" s="501"/>
      <c r="GY2567" s="501"/>
      <c r="GZ2567" s="501"/>
      <c r="HA2567" s="501"/>
      <c r="HB2567" s="501"/>
      <c r="HC2567" s="501"/>
      <c r="HD2567" s="501"/>
      <c r="HE2567" s="501"/>
      <c r="HF2567" s="501"/>
      <c r="HG2567" s="501"/>
      <c r="HH2567" s="501"/>
      <c r="HI2567" s="501"/>
      <c r="HJ2567" s="501"/>
      <c r="HK2567" s="501"/>
      <c r="HL2567" s="501"/>
      <c r="HM2567" s="501"/>
      <c r="HN2567" s="501"/>
      <c r="HO2567" s="501"/>
      <c r="HP2567" s="501"/>
      <c r="HQ2567" s="501"/>
      <c r="HR2567" s="501"/>
      <c r="HS2567" s="501"/>
      <c r="HT2567" s="501"/>
      <c r="HU2567" s="501"/>
      <c r="HV2567" s="501"/>
      <c r="HW2567" s="501"/>
      <c r="HX2567" s="501"/>
      <c r="HY2567" s="501"/>
      <c r="HZ2567" s="501"/>
      <c r="IA2567" s="501"/>
      <c r="IB2567" s="501"/>
      <c r="IC2567" s="501"/>
      <c r="ID2567" s="501"/>
      <c r="IE2567" s="501"/>
      <c r="IF2567" s="501"/>
      <c r="IG2567" s="501"/>
      <c r="IH2567" s="501"/>
      <c r="II2567" s="501"/>
      <c r="IJ2567" s="501"/>
      <c r="IK2567" s="501"/>
      <c r="IL2567" s="501"/>
      <c r="IM2567" s="501"/>
      <c r="IN2567" s="501"/>
      <c r="IO2567" s="501"/>
      <c r="IP2567" s="501"/>
      <c r="IQ2567" s="501"/>
      <c r="IR2567" s="501"/>
      <c r="IS2567" s="501"/>
      <c r="IT2567" s="501"/>
      <c r="IU2567" s="501"/>
    </row>
    <row r="2568" spans="1:255" s="877" customFormat="1" ht="24" customHeight="1">
      <c r="A2568" s="501"/>
      <c r="B2568" s="501"/>
      <c r="C2568" s="501"/>
      <c r="D2568" s="501"/>
      <c r="E2568" s="501"/>
      <c r="F2568" s="501"/>
      <c r="G2568" s="915"/>
      <c r="H2568" s="501"/>
      <c r="I2568" s="874"/>
      <c r="J2568" s="501"/>
      <c r="K2568" s="501"/>
      <c r="L2568" s="874"/>
      <c r="M2568" s="554"/>
      <c r="N2568" s="501"/>
      <c r="O2568" s="501"/>
      <c r="P2568" s="902"/>
      <c r="Q2568" s="501"/>
      <c r="R2568" s="501"/>
      <c r="S2568" s="874"/>
      <c r="T2568" s="501"/>
      <c r="V2568" s="501"/>
      <c r="W2568" s="501"/>
      <c r="X2568" s="501"/>
      <c r="Y2568" s="501"/>
      <c r="Z2568" s="501"/>
      <c r="AA2568" s="501"/>
      <c r="AB2568" s="501"/>
      <c r="AC2568" s="501"/>
      <c r="AD2568" s="501"/>
      <c r="AE2568" s="501"/>
      <c r="AF2568" s="501"/>
      <c r="AG2568" s="501"/>
      <c r="AH2568" s="501"/>
      <c r="AI2568" s="501"/>
      <c r="AJ2568" s="501"/>
      <c r="AK2568" s="501"/>
      <c r="AL2568" s="501"/>
      <c r="AM2568" s="501"/>
      <c r="AN2568" s="501"/>
      <c r="AO2568" s="501"/>
      <c r="AP2568" s="501"/>
      <c r="AQ2568" s="501"/>
      <c r="AR2568" s="501"/>
      <c r="AS2568" s="501"/>
      <c r="AT2568" s="501"/>
      <c r="AU2568" s="501"/>
      <c r="AV2568" s="501"/>
      <c r="AW2568" s="501"/>
      <c r="AX2568" s="501"/>
      <c r="AY2568" s="501"/>
      <c r="AZ2568" s="501"/>
      <c r="BA2568" s="501"/>
      <c r="BB2568" s="501"/>
      <c r="BC2568" s="501"/>
      <c r="BD2568" s="501"/>
      <c r="BE2568" s="501"/>
      <c r="BF2568" s="501"/>
      <c r="BG2568" s="501"/>
      <c r="BH2568" s="501"/>
      <c r="BI2568" s="501"/>
      <c r="BJ2568" s="501"/>
      <c r="BK2568" s="501"/>
      <c r="BL2568" s="501"/>
      <c r="BM2568" s="501"/>
      <c r="BN2568" s="501"/>
      <c r="BO2568" s="501"/>
      <c r="BP2568" s="501"/>
      <c r="BQ2568" s="501"/>
      <c r="BR2568" s="501"/>
      <c r="BS2568" s="501"/>
      <c r="BT2568" s="501"/>
      <c r="BU2568" s="501"/>
      <c r="BV2568" s="501"/>
      <c r="BW2568" s="501"/>
      <c r="BX2568" s="501"/>
      <c r="BY2568" s="501"/>
      <c r="BZ2568" s="501"/>
      <c r="CA2568" s="501"/>
      <c r="CB2568" s="501"/>
      <c r="CC2568" s="501"/>
      <c r="CD2568" s="501"/>
      <c r="CE2568" s="501"/>
      <c r="CF2568" s="501"/>
      <c r="CG2568" s="501"/>
      <c r="CH2568" s="501"/>
      <c r="CI2568" s="501"/>
      <c r="CJ2568" s="501"/>
      <c r="CK2568" s="501"/>
      <c r="CL2568" s="501"/>
      <c r="CM2568" s="501"/>
      <c r="CN2568" s="501"/>
      <c r="CO2568" s="501"/>
      <c r="CP2568" s="501"/>
      <c r="CQ2568" s="501"/>
      <c r="CR2568" s="501"/>
      <c r="CS2568" s="501"/>
      <c r="CT2568" s="501"/>
      <c r="CU2568" s="501"/>
      <c r="CV2568" s="501"/>
      <c r="CW2568" s="501"/>
      <c r="CX2568" s="501"/>
      <c r="CY2568" s="501"/>
      <c r="CZ2568" s="501"/>
      <c r="DA2568" s="501"/>
      <c r="DB2568" s="501"/>
      <c r="DC2568" s="501"/>
      <c r="DD2568" s="501"/>
      <c r="DE2568" s="501"/>
      <c r="DF2568" s="501"/>
      <c r="DG2568" s="501"/>
      <c r="DH2568" s="501"/>
      <c r="DI2568" s="501"/>
      <c r="DJ2568" s="501"/>
      <c r="DK2568" s="501"/>
      <c r="DL2568" s="501"/>
      <c r="DM2568" s="501"/>
      <c r="DN2568" s="501"/>
      <c r="DO2568" s="501"/>
      <c r="DP2568" s="501"/>
      <c r="DQ2568" s="501"/>
      <c r="DR2568" s="501"/>
      <c r="DS2568" s="501"/>
      <c r="DT2568" s="501"/>
      <c r="DU2568" s="501"/>
      <c r="DV2568" s="501"/>
      <c r="DW2568" s="501"/>
      <c r="DX2568" s="501"/>
      <c r="DY2568" s="501"/>
      <c r="DZ2568" s="501"/>
      <c r="EA2568" s="501"/>
      <c r="EB2568" s="501"/>
      <c r="EC2568" s="501"/>
      <c r="ED2568" s="501"/>
      <c r="EE2568" s="501"/>
      <c r="EF2568" s="501"/>
      <c r="EG2568" s="501"/>
      <c r="EH2568" s="501"/>
      <c r="EI2568" s="501"/>
      <c r="EJ2568" s="501"/>
      <c r="EK2568" s="501"/>
      <c r="EL2568" s="501"/>
      <c r="EM2568" s="501"/>
      <c r="EN2568" s="501"/>
      <c r="EO2568" s="501"/>
      <c r="EP2568" s="501"/>
      <c r="EQ2568" s="501"/>
      <c r="ER2568" s="501"/>
      <c r="ES2568" s="501"/>
      <c r="ET2568" s="501"/>
      <c r="EU2568" s="501"/>
      <c r="EV2568" s="501"/>
      <c r="EW2568" s="501"/>
      <c r="EX2568" s="501"/>
      <c r="EY2568" s="501"/>
      <c r="EZ2568" s="501"/>
      <c r="FA2568" s="501"/>
      <c r="FB2568" s="501"/>
      <c r="FC2568" s="501"/>
      <c r="FD2568" s="501"/>
      <c r="FE2568" s="501"/>
      <c r="FF2568" s="501"/>
      <c r="FG2568" s="501"/>
      <c r="FH2568" s="501"/>
      <c r="FI2568" s="501"/>
      <c r="FJ2568" s="501"/>
      <c r="FK2568" s="501"/>
      <c r="FL2568" s="501"/>
      <c r="FM2568" s="501"/>
      <c r="FN2568" s="501"/>
      <c r="FO2568" s="501"/>
      <c r="FP2568" s="501"/>
      <c r="FQ2568" s="501"/>
      <c r="FR2568" s="501"/>
      <c r="FS2568" s="501"/>
      <c r="FT2568" s="501"/>
      <c r="FU2568" s="501"/>
      <c r="FV2568" s="501"/>
      <c r="FW2568" s="501"/>
      <c r="FX2568" s="501"/>
      <c r="FY2568" s="501"/>
      <c r="FZ2568" s="501"/>
      <c r="GA2568" s="501"/>
      <c r="GB2568" s="501"/>
      <c r="GC2568" s="501"/>
      <c r="GD2568" s="501"/>
      <c r="GE2568" s="501"/>
      <c r="GF2568" s="501"/>
      <c r="GG2568" s="501"/>
      <c r="GH2568" s="501"/>
      <c r="GI2568" s="501"/>
      <c r="GJ2568" s="501"/>
      <c r="GK2568" s="501"/>
      <c r="GL2568" s="501"/>
      <c r="GM2568" s="501"/>
      <c r="GN2568" s="501"/>
      <c r="GO2568" s="501"/>
      <c r="GP2568" s="501"/>
      <c r="GQ2568" s="501"/>
      <c r="GR2568" s="501"/>
      <c r="GS2568" s="501"/>
      <c r="GT2568" s="501"/>
      <c r="GU2568" s="501"/>
      <c r="GV2568" s="501"/>
      <c r="GW2568" s="501"/>
      <c r="GX2568" s="501"/>
      <c r="GY2568" s="501"/>
      <c r="GZ2568" s="501"/>
      <c r="HA2568" s="501"/>
      <c r="HB2568" s="501"/>
      <c r="HC2568" s="501"/>
      <c r="HD2568" s="501"/>
      <c r="HE2568" s="501"/>
      <c r="HF2568" s="501"/>
      <c r="HG2568" s="501"/>
      <c r="HH2568" s="501"/>
      <c r="HI2568" s="501"/>
      <c r="HJ2568" s="501"/>
      <c r="HK2568" s="501"/>
      <c r="HL2568" s="501"/>
      <c r="HM2568" s="501"/>
      <c r="HN2568" s="501"/>
      <c r="HO2568" s="501"/>
      <c r="HP2568" s="501"/>
      <c r="HQ2568" s="501"/>
      <c r="HR2568" s="501"/>
      <c r="HS2568" s="501"/>
      <c r="HT2568" s="501"/>
      <c r="HU2568" s="501"/>
      <c r="HV2568" s="501"/>
      <c r="HW2568" s="501"/>
      <c r="HX2568" s="501"/>
      <c r="HY2568" s="501"/>
      <c r="HZ2568" s="501"/>
      <c r="IA2568" s="501"/>
      <c r="IB2568" s="501"/>
      <c r="IC2568" s="501"/>
      <c r="ID2568" s="501"/>
      <c r="IE2568" s="501"/>
      <c r="IF2568" s="501"/>
      <c r="IG2568" s="501"/>
      <c r="IH2568" s="501"/>
      <c r="II2568" s="501"/>
      <c r="IJ2568" s="501"/>
      <c r="IK2568" s="501"/>
      <c r="IL2568" s="501"/>
      <c r="IM2568" s="501"/>
      <c r="IN2568" s="501"/>
      <c r="IO2568" s="501"/>
      <c r="IP2568" s="501"/>
      <c r="IQ2568" s="501"/>
      <c r="IR2568" s="501"/>
      <c r="IS2568" s="501"/>
      <c r="IT2568" s="501"/>
      <c r="IU2568" s="501"/>
    </row>
    <row r="2569" spans="1:255" s="877" customFormat="1" ht="24" customHeight="1">
      <c r="A2569" s="501"/>
      <c r="B2569" s="501"/>
      <c r="C2569" s="501"/>
      <c r="D2569" s="501"/>
      <c r="E2569" s="501"/>
      <c r="F2569" s="501"/>
      <c r="G2569" s="915"/>
      <c r="H2569" s="501"/>
      <c r="I2569" s="874"/>
      <c r="J2569" s="501"/>
      <c r="K2569" s="501"/>
      <c r="L2569" s="874"/>
      <c r="M2569" s="554"/>
      <c r="N2569" s="501"/>
      <c r="O2569" s="501"/>
      <c r="P2569" s="902"/>
      <c r="Q2569" s="969"/>
      <c r="R2569" s="501"/>
      <c r="S2569" s="874"/>
      <c r="T2569" s="501"/>
      <c r="V2569" s="501"/>
      <c r="W2569" s="501"/>
      <c r="X2569" s="501"/>
      <c r="Y2569" s="501"/>
      <c r="Z2569" s="501"/>
      <c r="AA2569" s="501"/>
      <c r="AB2569" s="501"/>
      <c r="AC2569" s="501"/>
      <c r="AD2569" s="501"/>
      <c r="AE2569" s="501"/>
      <c r="AF2569" s="501"/>
      <c r="AG2569" s="501"/>
      <c r="AH2569" s="501"/>
      <c r="AI2569" s="501"/>
      <c r="AJ2569" s="501"/>
      <c r="AK2569" s="501"/>
      <c r="AL2569" s="501"/>
      <c r="AM2569" s="501"/>
      <c r="AN2569" s="501"/>
      <c r="AO2569" s="501"/>
      <c r="AP2569" s="501"/>
      <c r="AQ2569" s="501"/>
      <c r="AR2569" s="501"/>
      <c r="AS2569" s="501"/>
      <c r="AT2569" s="501"/>
      <c r="AU2569" s="501"/>
      <c r="AV2569" s="501"/>
      <c r="AW2569" s="501"/>
      <c r="AX2569" s="501"/>
      <c r="AY2569" s="501"/>
      <c r="AZ2569" s="501"/>
      <c r="BA2569" s="501"/>
      <c r="BB2569" s="501"/>
      <c r="BC2569" s="501"/>
      <c r="BD2569" s="501"/>
      <c r="BE2569" s="501"/>
      <c r="BF2569" s="501"/>
      <c r="BG2569" s="501"/>
      <c r="BH2569" s="501"/>
      <c r="BI2569" s="501"/>
      <c r="BJ2569" s="501"/>
      <c r="BK2569" s="501"/>
      <c r="BL2569" s="501"/>
      <c r="BM2569" s="501"/>
      <c r="BN2569" s="501"/>
      <c r="BO2569" s="501"/>
      <c r="BP2569" s="501"/>
      <c r="BQ2569" s="501"/>
      <c r="BR2569" s="501"/>
      <c r="BS2569" s="501"/>
      <c r="BT2569" s="501"/>
      <c r="BU2569" s="501"/>
      <c r="BV2569" s="501"/>
      <c r="BW2569" s="501"/>
      <c r="BX2569" s="501"/>
      <c r="BY2569" s="501"/>
      <c r="BZ2569" s="501"/>
      <c r="CA2569" s="501"/>
      <c r="CB2569" s="501"/>
      <c r="CC2569" s="501"/>
      <c r="CD2569" s="501"/>
      <c r="CE2569" s="501"/>
      <c r="CF2569" s="501"/>
      <c r="CG2569" s="501"/>
      <c r="CH2569" s="501"/>
      <c r="CI2569" s="501"/>
      <c r="CJ2569" s="501"/>
      <c r="CK2569" s="501"/>
      <c r="CL2569" s="501"/>
      <c r="CM2569" s="501"/>
      <c r="CN2569" s="501"/>
      <c r="CO2569" s="501"/>
      <c r="CP2569" s="501"/>
      <c r="CQ2569" s="501"/>
      <c r="CR2569" s="501"/>
      <c r="CS2569" s="501"/>
      <c r="CT2569" s="501"/>
      <c r="CU2569" s="501"/>
      <c r="CV2569" s="501"/>
      <c r="CW2569" s="501"/>
      <c r="CX2569" s="501"/>
      <c r="CY2569" s="501"/>
      <c r="CZ2569" s="501"/>
      <c r="DA2569" s="501"/>
      <c r="DB2569" s="501"/>
      <c r="DC2569" s="501"/>
      <c r="DD2569" s="501"/>
      <c r="DE2569" s="501"/>
      <c r="DF2569" s="501"/>
      <c r="DG2569" s="501"/>
      <c r="DH2569" s="501"/>
      <c r="DI2569" s="501"/>
      <c r="DJ2569" s="501"/>
      <c r="DK2569" s="501"/>
      <c r="DL2569" s="501"/>
      <c r="DM2569" s="501"/>
      <c r="DN2569" s="501"/>
      <c r="DO2569" s="501"/>
      <c r="DP2569" s="501"/>
      <c r="DQ2569" s="501"/>
      <c r="DR2569" s="501"/>
      <c r="DS2569" s="501"/>
      <c r="DT2569" s="501"/>
      <c r="DU2569" s="501"/>
      <c r="DV2569" s="501"/>
      <c r="DW2569" s="501"/>
      <c r="DX2569" s="501"/>
      <c r="DY2569" s="501"/>
      <c r="DZ2569" s="501"/>
      <c r="EA2569" s="501"/>
      <c r="EB2569" s="501"/>
      <c r="EC2569" s="501"/>
      <c r="ED2569" s="501"/>
      <c r="EE2569" s="501"/>
      <c r="EF2569" s="501"/>
      <c r="EG2569" s="501"/>
      <c r="EH2569" s="501"/>
      <c r="EI2569" s="501"/>
      <c r="EJ2569" s="501"/>
      <c r="EK2569" s="501"/>
      <c r="EL2569" s="501"/>
      <c r="EM2569" s="501"/>
      <c r="EN2569" s="501"/>
      <c r="EO2569" s="501"/>
      <c r="EP2569" s="501"/>
      <c r="EQ2569" s="501"/>
      <c r="ER2569" s="501"/>
      <c r="ES2569" s="501"/>
      <c r="ET2569" s="501"/>
      <c r="EU2569" s="501"/>
      <c r="EV2569" s="501"/>
      <c r="EW2569" s="501"/>
      <c r="EX2569" s="501"/>
      <c r="EY2569" s="501"/>
      <c r="EZ2569" s="501"/>
      <c r="FA2569" s="501"/>
      <c r="FB2569" s="501"/>
      <c r="FC2569" s="501"/>
      <c r="FD2569" s="501"/>
      <c r="FE2569" s="501"/>
      <c r="FF2569" s="501"/>
      <c r="FG2569" s="501"/>
      <c r="FH2569" s="501"/>
      <c r="FI2569" s="501"/>
      <c r="FJ2569" s="501"/>
      <c r="FK2569" s="501"/>
      <c r="FL2569" s="501"/>
      <c r="FM2569" s="501"/>
      <c r="FN2569" s="501"/>
      <c r="FO2569" s="501"/>
      <c r="FP2569" s="501"/>
      <c r="FQ2569" s="501"/>
      <c r="FR2569" s="501"/>
      <c r="FS2569" s="501"/>
      <c r="FT2569" s="501"/>
      <c r="FU2569" s="501"/>
      <c r="FV2569" s="501"/>
      <c r="FW2569" s="501"/>
      <c r="FX2569" s="501"/>
      <c r="FY2569" s="501"/>
      <c r="FZ2569" s="501"/>
      <c r="GA2569" s="501"/>
      <c r="GB2569" s="501"/>
      <c r="GC2569" s="501"/>
      <c r="GD2569" s="501"/>
      <c r="GE2569" s="501"/>
      <c r="GF2569" s="501"/>
      <c r="GG2569" s="501"/>
      <c r="GH2569" s="501"/>
      <c r="GI2569" s="501"/>
      <c r="GJ2569" s="501"/>
      <c r="GK2569" s="501"/>
      <c r="GL2569" s="501"/>
      <c r="GM2569" s="501"/>
      <c r="GN2569" s="501"/>
      <c r="GO2569" s="501"/>
      <c r="GP2569" s="501"/>
      <c r="GQ2569" s="501"/>
      <c r="GR2569" s="501"/>
      <c r="GS2569" s="501"/>
      <c r="GT2569" s="501"/>
      <c r="GU2569" s="501"/>
      <c r="GV2569" s="501"/>
      <c r="GW2569" s="501"/>
      <c r="GX2569" s="501"/>
      <c r="GY2569" s="501"/>
      <c r="GZ2569" s="501"/>
      <c r="HA2569" s="501"/>
      <c r="HB2569" s="501"/>
      <c r="HC2569" s="501"/>
      <c r="HD2569" s="501"/>
      <c r="HE2569" s="501"/>
      <c r="HF2569" s="501"/>
      <c r="HG2569" s="501"/>
      <c r="HH2569" s="501"/>
      <c r="HI2569" s="501"/>
      <c r="HJ2569" s="501"/>
      <c r="HK2569" s="501"/>
      <c r="HL2569" s="501"/>
      <c r="HM2569" s="501"/>
      <c r="HN2569" s="501"/>
      <c r="HO2569" s="501"/>
      <c r="HP2569" s="501"/>
      <c r="HQ2569" s="501"/>
      <c r="HR2569" s="501"/>
      <c r="HS2569" s="501"/>
      <c r="HT2569" s="501"/>
      <c r="HU2569" s="501"/>
      <c r="HV2569" s="501"/>
      <c r="HW2569" s="501"/>
      <c r="HX2569" s="501"/>
      <c r="HY2569" s="501"/>
      <c r="HZ2569" s="501"/>
      <c r="IA2569" s="501"/>
      <c r="IB2569" s="501"/>
      <c r="IC2569" s="501"/>
      <c r="ID2569" s="501"/>
      <c r="IE2569" s="501"/>
      <c r="IF2569" s="501"/>
      <c r="IG2569" s="501"/>
      <c r="IH2569" s="501"/>
      <c r="II2569" s="501"/>
      <c r="IJ2569" s="501"/>
      <c r="IK2569" s="501"/>
      <c r="IL2569" s="501"/>
      <c r="IM2569" s="501"/>
      <c r="IN2569" s="501"/>
      <c r="IO2569" s="501"/>
      <c r="IP2569" s="501"/>
      <c r="IQ2569" s="501"/>
      <c r="IR2569" s="501"/>
      <c r="IS2569" s="501"/>
      <c r="IT2569" s="501"/>
      <c r="IU2569" s="501"/>
    </row>
    <row r="2570" spans="1:255" ht="24" customHeight="1">
      <c r="M2570" s="1049"/>
      <c r="P2570" s="902"/>
      <c r="S2570" s="874"/>
    </row>
    <row r="2571" spans="1:255" ht="24" customHeight="1">
      <c r="P2571" s="902"/>
      <c r="S2571" s="874"/>
      <c r="T2571" s="903"/>
    </row>
    <row r="2572" spans="1:255" ht="24" customHeight="1">
      <c r="P2572" s="902"/>
      <c r="Q2572" s="885"/>
      <c r="S2572" s="874"/>
      <c r="T2572" s="885"/>
    </row>
    <row r="2573" spans="1:255" ht="24" customHeight="1">
      <c r="M2573" s="1049"/>
      <c r="P2573" s="902"/>
      <c r="S2573" s="874"/>
      <c r="T2573" s="903"/>
    </row>
    <row r="2574" spans="1:255" ht="24" customHeight="1">
      <c r="J2574" s="885"/>
      <c r="M2574" s="899"/>
      <c r="P2574" s="902"/>
      <c r="S2574" s="874"/>
    </row>
    <row r="2575" spans="1:255" ht="24" customHeight="1">
      <c r="M2575" s="1049"/>
      <c r="Q2575" s="874"/>
    </row>
    <row r="2576" spans="1:255" ht="24" customHeight="1">
      <c r="Q2576" s="874"/>
    </row>
    <row r="2577" spans="6:17" ht="24" customHeight="1">
      <c r="Q2577" s="874"/>
    </row>
    <row r="2578" spans="6:17" ht="24" customHeight="1">
      <c r="Q2578" s="874"/>
    </row>
    <row r="2579" spans="6:17" ht="24" customHeight="1">
      <c r="J2579" s="885"/>
    </row>
    <row r="2581" spans="6:17" ht="24" customHeight="1">
      <c r="F2581" s="885"/>
      <c r="G2581" s="1057"/>
      <c r="H2581" s="885"/>
      <c r="I2581" s="895"/>
    </row>
    <row r="2583" spans="6:17" ht="24" customHeight="1">
      <c r="K2583" s="877"/>
    </row>
    <row r="2584" spans="6:17" ht="24" customHeight="1">
      <c r="K2584" s="877"/>
    </row>
    <row r="2585" spans="6:17" ht="24" customHeight="1">
      <c r="K2585" s="877"/>
    </row>
    <row r="2588" spans="6:17" ht="24" customHeight="1">
      <c r="J2588" s="885"/>
    </row>
    <row r="2595" spans="11:34" ht="24" customHeight="1">
      <c r="U2595" s="927"/>
      <c r="AE2595" s="902"/>
      <c r="AH2595" s="874"/>
    </row>
    <row r="2596" spans="11:34" ht="24" customHeight="1">
      <c r="U2596" s="927"/>
      <c r="AE2596" s="902"/>
      <c r="AH2596" s="874"/>
    </row>
    <row r="2597" spans="11:34" ht="24" customHeight="1">
      <c r="K2597" s="903"/>
      <c r="U2597" s="927"/>
      <c r="AE2597" s="902"/>
      <c r="AG2597" s="1062"/>
      <c r="AH2597" s="874"/>
    </row>
    <row r="2598" spans="11:34" ht="24" customHeight="1">
      <c r="K2598" s="885"/>
      <c r="U2598" s="927"/>
      <c r="AE2598" s="902"/>
      <c r="AG2598" s="1062"/>
      <c r="AH2598" s="874"/>
    </row>
    <row r="2599" spans="11:34" ht="24" customHeight="1">
      <c r="K2599" s="903"/>
      <c r="AE2599" s="902"/>
      <c r="AG2599" s="927"/>
      <c r="AH2599" s="874"/>
    </row>
    <row r="2600" spans="11:34" ht="24" customHeight="1">
      <c r="AE2600" s="902"/>
      <c r="AG2600" s="927"/>
      <c r="AH2600" s="874"/>
    </row>
    <row r="2601" spans="11:34" ht="24" customHeight="1">
      <c r="AE2601" s="902"/>
      <c r="AG2601" s="1063"/>
      <c r="AH2601" s="874"/>
    </row>
    <row r="2602" spans="11:34" ht="24" customHeight="1">
      <c r="M2602" s="1061"/>
      <c r="AE2602" s="902"/>
      <c r="AH2602" s="874"/>
    </row>
    <row r="2603" spans="11:34" ht="24" customHeight="1">
      <c r="AE2603" s="902"/>
      <c r="AH2603" s="874"/>
    </row>
    <row r="2604" spans="11:34" ht="24" customHeight="1">
      <c r="K2604" s="933"/>
      <c r="AE2604" s="902"/>
      <c r="AG2604" s="927"/>
      <c r="AH2604" s="874"/>
    </row>
    <row r="2605" spans="11:34" ht="24" customHeight="1">
      <c r="M2605" s="1049"/>
      <c r="AE2605" s="902"/>
      <c r="AG2605" s="927"/>
      <c r="AH2605" s="874"/>
    </row>
    <row r="2606" spans="11:34" ht="24" customHeight="1">
      <c r="AE2606" s="902"/>
      <c r="AG2606" s="1063"/>
      <c r="AH2606" s="874"/>
    </row>
    <row r="2607" spans="11:34" ht="24" customHeight="1">
      <c r="K2607" s="933"/>
      <c r="AE2607" s="902"/>
      <c r="AF2607" s="885"/>
      <c r="AH2607" s="874"/>
    </row>
    <row r="2608" spans="11:34" ht="24" customHeight="1">
      <c r="M2608" s="1049"/>
      <c r="AE2608" s="902"/>
      <c r="AH2608" s="874"/>
    </row>
    <row r="2609" spans="10:35" ht="24" customHeight="1">
      <c r="J2609" s="885"/>
      <c r="M2609" s="899"/>
      <c r="AD2609" s="927"/>
      <c r="AE2609" s="902"/>
      <c r="AH2609" s="874"/>
    </row>
    <row r="2610" spans="10:35" ht="24" customHeight="1">
      <c r="M2610" s="1049"/>
      <c r="AD2610" s="927"/>
      <c r="AE2610" s="902"/>
      <c r="AH2610" s="874"/>
    </row>
    <row r="2611" spans="10:35" ht="24" customHeight="1">
      <c r="AD2611" s="960"/>
      <c r="AE2611" s="902"/>
      <c r="AH2611" s="874"/>
    </row>
    <row r="2612" spans="10:35" ht="24" customHeight="1">
      <c r="AD2612" s="927"/>
      <c r="AE2612" s="902"/>
      <c r="AH2612" s="874"/>
    </row>
    <row r="2613" spans="10:35" ht="24" customHeight="1">
      <c r="AE2613" s="902"/>
      <c r="AH2613" s="874"/>
    </row>
    <row r="2614" spans="10:35" ht="24" customHeight="1">
      <c r="AE2614" s="902"/>
      <c r="AH2614" s="874"/>
    </row>
    <row r="2615" spans="10:35" ht="24" customHeight="1">
      <c r="AE2615" s="902"/>
      <c r="AH2615" s="874"/>
    </row>
    <row r="2616" spans="10:35" ht="24" customHeight="1">
      <c r="K2616" s="1062"/>
      <c r="AE2616" s="902"/>
      <c r="AH2616" s="874"/>
    </row>
    <row r="2617" spans="10:35" ht="24" customHeight="1">
      <c r="K2617" s="927"/>
      <c r="V2617" s="902"/>
      <c r="Y2617" s="874"/>
      <c r="AE2617" s="902"/>
      <c r="AH2617" s="874"/>
    </row>
    <row r="2618" spans="10:35" ht="24" customHeight="1">
      <c r="K2618" s="927"/>
      <c r="V2618" s="902"/>
      <c r="Y2618" s="874"/>
      <c r="AE2618" s="902"/>
      <c r="AH2618" s="874"/>
    </row>
    <row r="2619" spans="10:35" ht="24" customHeight="1">
      <c r="K2619" s="1063"/>
      <c r="V2619" s="902"/>
      <c r="X2619" s="1062"/>
      <c r="Y2619" s="874"/>
      <c r="AE2619" s="902"/>
      <c r="AH2619" s="874"/>
    </row>
    <row r="2620" spans="10:35" ht="24" customHeight="1">
      <c r="P2620" s="902"/>
      <c r="S2620" s="874"/>
      <c r="V2620" s="902"/>
      <c r="X2620" s="1062"/>
      <c r="Y2620" s="874"/>
      <c r="AE2620" s="902"/>
      <c r="AH2620" s="874"/>
      <c r="AI2620" s="903"/>
    </row>
    <row r="2621" spans="10:35" ht="24" customHeight="1">
      <c r="P2621" s="902"/>
      <c r="S2621" s="874"/>
      <c r="V2621" s="902"/>
      <c r="X2621" s="927"/>
      <c r="Y2621" s="874"/>
      <c r="AE2621" s="961"/>
      <c r="AF2621" s="885"/>
      <c r="AH2621" s="874"/>
      <c r="AI2621" s="885"/>
    </row>
    <row r="2622" spans="10:35" ht="24" customHeight="1">
      <c r="K2622" s="927"/>
      <c r="P2622" s="902"/>
      <c r="S2622" s="874"/>
      <c r="V2622" s="902"/>
      <c r="X2622" s="927"/>
      <c r="Y2622" s="874"/>
      <c r="AE2622" s="961"/>
      <c r="AF2622" s="885"/>
      <c r="AH2622" s="874"/>
      <c r="AI2622" s="903"/>
    </row>
    <row r="2623" spans="10:35" ht="24" customHeight="1">
      <c r="K2623" s="927"/>
      <c r="P2623" s="902"/>
      <c r="R2623" s="1062"/>
      <c r="S2623" s="874"/>
      <c r="V2623" s="902"/>
      <c r="X2623" s="1063"/>
      <c r="Y2623" s="874"/>
      <c r="AE2623" s="961"/>
      <c r="AF2623" s="885"/>
      <c r="AH2623" s="874"/>
      <c r="AI2623" s="885"/>
    </row>
    <row r="2624" spans="10:35" ht="24" customHeight="1">
      <c r="K2624" s="1063"/>
      <c r="P2624" s="902"/>
      <c r="R2624" s="927"/>
      <c r="S2624" s="874"/>
      <c r="V2624" s="902"/>
      <c r="Y2624" s="874"/>
    </row>
    <row r="2625" spans="6:34" ht="24" customHeight="1">
      <c r="J2625" s="885"/>
      <c r="P2625" s="902"/>
      <c r="R2625" s="927"/>
      <c r="S2625" s="874"/>
      <c r="V2625" s="902"/>
      <c r="Y2625" s="874"/>
    </row>
    <row r="2626" spans="6:34" ht="24" customHeight="1">
      <c r="P2626" s="902"/>
      <c r="R2626" s="1063"/>
      <c r="S2626" s="874"/>
      <c r="V2626" s="902"/>
      <c r="X2626" s="927"/>
      <c r="Y2626" s="874"/>
    </row>
    <row r="2627" spans="6:34" ht="24" customHeight="1">
      <c r="F2627" s="927"/>
      <c r="G2627" s="1064"/>
      <c r="H2627" s="927"/>
      <c r="P2627" s="902"/>
      <c r="S2627" s="874"/>
      <c r="V2627" s="902"/>
      <c r="X2627" s="927"/>
      <c r="Y2627" s="874"/>
    </row>
    <row r="2628" spans="6:34" ht="24" customHeight="1">
      <c r="F2628" s="927"/>
      <c r="G2628" s="1064"/>
      <c r="H2628" s="927"/>
      <c r="P2628" s="902"/>
      <c r="S2628" s="874"/>
      <c r="V2628" s="902"/>
      <c r="X2628" s="1063"/>
      <c r="Y2628" s="874"/>
    </row>
    <row r="2629" spans="6:34" ht="24" customHeight="1">
      <c r="F2629" s="960"/>
      <c r="G2629" s="1065"/>
      <c r="H2629" s="960"/>
      <c r="P2629" s="902"/>
      <c r="R2629" s="927"/>
      <c r="S2629" s="874"/>
      <c r="V2629" s="902"/>
      <c r="W2629" s="885"/>
      <c r="Y2629" s="874"/>
      <c r="AA2629" s="927"/>
      <c r="AD2629" s="877"/>
      <c r="AE2629" s="902"/>
      <c r="AH2629" s="874"/>
    </row>
    <row r="2630" spans="6:34" ht="24" customHeight="1">
      <c r="F2630" s="877"/>
      <c r="G2630" s="1043"/>
      <c r="H2630" s="877"/>
      <c r="P2630" s="902"/>
      <c r="R2630" s="927"/>
      <c r="S2630" s="874"/>
      <c r="V2630" s="902"/>
      <c r="Y2630" s="874"/>
      <c r="AA2630" s="927"/>
      <c r="AD2630" s="877"/>
      <c r="AE2630" s="902"/>
      <c r="AH2630" s="874"/>
    </row>
    <row r="2631" spans="6:34" ht="24" customHeight="1">
      <c r="P2631" s="902"/>
      <c r="R2631" s="1063"/>
      <c r="S2631" s="874"/>
      <c r="V2631" s="902"/>
      <c r="Y2631" s="874"/>
      <c r="AA2631" s="927"/>
      <c r="AD2631" s="877"/>
      <c r="AE2631" s="902"/>
      <c r="AG2631" s="1062"/>
      <c r="AH2631" s="874"/>
    </row>
    <row r="2632" spans="6:34" ht="24" customHeight="1">
      <c r="P2632" s="902"/>
      <c r="Q2632" s="885"/>
      <c r="S2632" s="874"/>
      <c r="V2632" s="902"/>
      <c r="Y2632" s="874"/>
      <c r="AA2632" s="927"/>
      <c r="AD2632" s="877"/>
      <c r="AE2632" s="902"/>
      <c r="AG2632" s="1062"/>
      <c r="AH2632" s="874"/>
    </row>
    <row r="2633" spans="6:34" ht="24" customHeight="1">
      <c r="P2633" s="902"/>
      <c r="S2633" s="874"/>
      <c r="V2633" s="902"/>
      <c r="Y2633" s="874"/>
      <c r="AA2633" s="927"/>
      <c r="AD2633" s="877"/>
      <c r="AE2633" s="902"/>
      <c r="AG2633" s="927"/>
      <c r="AH2633" s="874"/>
    </row>
    <row r="2634" spans="6:34" ht="24" customHeight="1">
      <c r="O2634" s="927"/>
      <c r="P2634" s="902"/>
      <c r="S2634" s="874"/>
      <c r="V2634" s="902"/>
      <c r="Y2634" s="874"/>
      <c r="AA2634" s="927"/>
      <c r="AD2634" s="877"/>
      <c r="AE2634" s="902"/>
      <c r="AG2634" s="927"/>
      <c r="AH2634" s="874"/>
    </row>
    <row r="2635" spans="6:34" ht="24" customHeight="1">
      <c r="O2635" s="927"/>
      <c r="P2635" s="902"/>
      <c r="S2635" s="874"/>
      <c r="V2635" s="902"/>
      <c r="Y2635" s="874"/>
      <c r="AA2635" s="927"/>
      <c r="AC2635" s="877"/>
      <c r="AD2635" s="877"/>
      <c r="AE2635" s="902"/>
      <c r="AG2635" s="1063"/>
      <c r="AH2635" s="874"/>
    </row>
    <row r="2636" spans="6:34" ht="24" customHeight="1">
      <c r="O2636" s="960"/>
      <c r="P2636" s="902"/>
      <c r="S2636" s="874"/>
      <c r="V2636" s="902"/>
      <c r="Y2636" s="874"/>
      <c r="AA2636" s="927"/>
      <c r="AC2636" s="877"/>
      <c r="AD2636" s="877"/>
      <c r="AE2636" s="902"/>
      <c r="AH2636" s="874"/>
    </row>
    <row r="2637" spans="6:34" ht="24" customHeight="1">
      <c r="O2637" s="877"/>
      <c r="P2637" s="902"/>
      <c r="S2637" s="874"/>
      <c r="V2637" s="902"/>
      <c r="Y2637" s="874"/>
      <c r="AA2637" s="927"/>
      <c r="AC2637" s="877"/>
      <c r="AD2637" s="877"/>
      <c r="AE2637" s="902"/>
      <c r="AH2637" s="874"/>
    </row>
    <row r="2638" spans="6:34" ht="24" customHeight="1">
      <c r="M2638" s="1049"/>
      <c r="P2638" s="902"/>
      <c r="S2638" s="874"/>
      <c r="V2638" s="902"/>
      <c r="Y2638" s="874"/>
      <c r="AA2638" s="927"/>
      <c r="AC2638" s="877"/>
      <c r="AD2638" s="877"/>
      <c r="AE2638" s="902"/>
      <c r="AG2638" s="927"/>
      <c r="AH2638" s="874"/>
    </row>
    <row r="2639" spans="6:34" ht="24" customHeight="1">
      <c r="I2639" s="895"/>
      <c r="J2639" s="885"/>
      <c r="M2639" s="899"/>
      <c r="N2639" s="1066"/>
      <c r="P2639" s="902"/>
      <c r="S2639" s="874"/>
      <c r="V2639" s="902"/>
      <c r="Y2639" s="874"/>
      <c r="AA2639" s="927"/>
      <c r="AC2639" s="877"/>
      <c r="AD2639" s="877"/>
      <c r="AE2639" s="902"/>
      <c r="AG2639" s="927"/>
      <c r="AH2639" s="874"/>
    </row>
    <row r="2640" spans="6:34" ht="24" customHeight="1">
      <c r="I2640" s="895"/>
      <c r="J2640" s="885"/>
      <c r="M2640" s="1049"/>
      <c r="P2640" s="902"/>
      <c r="S2640" s="874"/>
      <c r="V2640" s="902"/>
      <c r="Y2640" s="874"/>
      <c r="AC2640" s="877"/>
      <c r="AD2640" s="877"/>
      <c r="AE2640" s="902"/>
      <c r="AG2640" s="1063"/>
      <c r="AH2640" s="874"/>
    </row>
    <row r="2641" spans="6:36" ht="24" customHeight="1">
      <c r="I2641" s="895"/>
      <c r="J2641" s="885"/>
      <c r="M2641" s="899"/>
      <c r="P2641" s="902"/>
      <c r="S2641" s="874"/>
      <c r="V2641" s="902"/>
      <c r="Y2641" s="874"/>
      <c r="AC2641" s="877"/>
      <c r="AD2641" s="877"/>
      <c r="AE2641" s="902"/>
      <c r="AF2641" s="885"/>
      <c r="AH2641" s="874"/>
      <c r="AJ2641" s="927"/>
    </row>
    <row r="2642" spans="6:36" ht="24" customHeight="1">
      <c r="I2642" s="895"/>
      <c r="M2642" s="1049"/>
      <c r="P2642" s="902"/>
      <c r="S2642" s="874"/>
      <c r="V2642" s="902"/>
      <c r="Y2642" s="874"/>
      <c r="AC2642" s="877"/>
      <c r="AD2642" s="877"/>
      <c r="AE2642" s="902"/>
      <c r="AH2642" s="874"/>
      <c r="AJ2642" s="927"/>
    </row>
    <row r="2643" spans="6:36" ht="24" customHeight="1">
      <c r="F2643" s="1067"/>
      <c r="G2643" s="1068"/>
      <c r="H2643" s="1067"/>
      <c r="I2643" s="1069"/>
      <c r="J2643" s="1070"/>
      <c r="K2643" s="1071"/>
      <c r="L2643" s="1069"/>
      <c r="M2643" s="1072"/>
      <c r="P2643" s="902"/>
      <c r="S2643" s="874"/>
      <c r="V2643" s="961"/>
      <c r="W2643" s="885"/>
      <c r="Y2643" s="874"/>
      <c r="Z2643" s="885"/>
      <c r="AC2643" s="877"/>
      <c r="AD2643" s="927"/>
      <c r="AE2643" s="902"/>
      <c r="AH2643" s="874"/>
      <c r="AJ2643" s="927"/>
    </row>
    <row r="2644" spans="6:36" ht="24" customHeight="1">
      <c r="F2644" s="1071"/>
      <c r="G2644" s="1073"/>
      <c r="H2644" s="1071"/>
      <c r="I2644" s="1069"/>
      <c r="J2644" s="1074"/>
      <c r="K2644" s="1074"/>
      <c r="L2644" s="1070"/>
      <c r="M2644" s="1072"/>
      <c r="P2644" s="902"/>
      <c r="S2644" s="874"/>
      <c r="V2644" s="961"/>
      <c r="W2644" s="885"/>
      <c r="Y2644" s="874"/>
      <c r="Z2644" s="903"/>
      <c r="AC2644" s="877"/>
      <c r="AD2644" s="927"/>
      <c r="AE2644" s="902"/>
      <c r="AH2644" s="874"/>
      <c r="AJ2644" s="927"/>
    </row>
    <row r="2645" spans="6:36" ht="37.5" customHeight="1">
      <c r="F2645" s="1071"/>
      <c r="G2645" s="1073"/>
      <c r="H2645" s="1071"/>
      <c r="I2645" s="1069"/>
      <c r="J2645" s="1071"/>
      <c r="K2645" s="1071"/>
      <c r="L2645" s="1069"/>
      <c r="M2645" s="1072"/>
      <c r="P2645" s="902"/>
      <c r="S2645" s="874"/>
      <c r="T2645" s="903"/>
      <c r="V2645" s="961"/>
      <c r="W2645" s="885"/>
      <c r="Y2645" s="874"/>
      <c r="Z2645" s="885"/>
      <c r="AC2645" s="877"/>
      <c r="AD2645" s="927"/>
      <c r="AE2645" s="902"/>
      <c r="AF2645" s="1024"/>
      <c r="AH2645" s="874"/>
      <c r="AJ2645" s="927"/>
    </row>
    <row r="2646" spans="6:36" ht="34.5" customHeight="1">
      <c r="F2646" s="1071"/>
      <c r="G2646" s="1073"/>
      <c r="H2646" s="1071"/>
      <c r="I2646" s="1069"/>
      <c r="J2646" s="1070"/>
      <c r="K2646" s="1071"/>
      <c r="L2646" s="1069"/>
      <c r="M2646" s="1072"/>
      <c r="P2646" s="961"/>
      <c r="Q2646" s="885"/>
      <c r="S2646" s="874"/>
      <c r="T2646" s="885"/>
      <c r="AC2646" s="877"/>
      <c r="AD2646" s="927"/>
      <c r="AE2646" s="902"/>
      <c r="AF2646" s="1024"/>
      <c r="AH2646" s="874"/>
      <c r="AJ2646" s="927"/>
    </row>
    <row r="2647" spans="6:36" ht="24" customHeight="1">
      <c r="F2647" s="1071"/>
      <c r="G2647" s="1073"/>
      <c r="H2647" s="1071"/>
      <c r="I2647" s="1069"/>
      <c r="J2647" s="1070"/>
      <c r="K2647" s="1071"/>
      <c r="L2647" s="1069"/>
      <c r="M2647" s="1072"/>
      <c r="P2647" s="961"/>
      <c r="Q2647" s="885"/>
      <c r="S2647" s="874"/>
      <c r="T2647" s="903"/>
      <c r="AC2647" s="877"/>
      <c r="AD2647" s="877"/>
      <c r="AE2647" s="902"/>
      <c r="AH2647" s="874"/>
      <c r="AJ2647" s="927"/>
    </row>
    <row r="2648" spans="6:36" ht="24" customHeight="1">
      <c r="F2648" s="1071"/>
      <c r="G2648" s="1073"/>
      <c r="H2648" s="1071"/>
      <c r="I2648" s="1069"/>
      <c r="J2648" s="1070"/>
      <c r="K2648" s="1071"/>
      <c r="L2648" s="1069"/>
      <c r="M2648" s="1072"/>
      <c r="P2648" s="961"/>
      <c r="Q2648" s="885"/>
      <c r="S2648" s="874"/>
      <c r="T2648" s="885"/>
      <c r="AC2648" s="877"/>
      <c r="AD2648" s="877"/>
      <c r="AE2648" s="902"/>
      <c r="AH2648" s="874"/>
      <c r="AJ2648" s="927"/>
    </row>
    <row r="2649" spans="6:36" ht="24" customHeight="1">
      <c r="F2649" s="1071"/>
      <c r="G2649" s="1073"/>
      <c r="H2649" s="1071"/>
      <c r="I2649" s="1069"/>
      <c r="J2649" s="1070"/>
      <c r="K2649" s="1071"/>
      <c r="L2649" s="1069"/>
      <c r="M2649" s="1072"/>
      <c r="P2649" s="961"/>
      <c r="S2649" s="874"/>
      <c r="T2649" s="903"/>
      <c r="AC2649" s="927"/>
      <c r="AD2649" s="877"/>
      <c r="AE2649" s="902"/>
      <c r="AH2649" s="874"/>
      <c r="AJ2649" s="927"/>
    </row>
    <row r="2650" spans="6:36" ht="24" customHeight="1">
      <c r="F2650" s="1071"/>
      <c r="G2650" s="1073"/>
      <c r="H2650" s="1071"/>
      <c r="I2650" s="1069"/>
      <c r="J2650" s="1070"/>
      <c r="K2650" s="1071"/>
      <c r="L2650" s="1069"/>
      <c r="M2650" s="1072"/>
      <c r="AC2650" s="927"/>
      <c r="AD2650" s="877"/>
      <c r="AE2650" s="902"/>
      <c r="AH2650" s="874"/>
      <c r="AJ2650" s="927"/>
    </row>
    <row r="2651" spans="6:36" ht="24" customHeight="1">
      <c r="F2651" s="1071"/>
      <c r="G2651" s="1073"/>
      <c r="H2651" s="1071"/>
      <c r="I2651" s="1069"/>
      <c r="J2651" s="1070"/>
      <c r="K2651" s="1071"/>
      <c r="L2651" s="1069"/>
      <c r="M2651" s="1072"/>
      <c r="AC2651" s="927"/>
      <c r="AD2651" s="877"/>
      <c r="AE2651" s="902"/>
      <c r="AH2651" s="874"/>
      <c r="AJ2651" s="927"/>
    </row>
    <row r="2652" spans="6:36" ht="24" customHeight="1">
      <c r="F2652" s="1071"/>
      <c r="G2652" s="1073"/>
      <c r="H2652" s="1071"/>
      <c r="I2652" s="1069"/>
      <c r="J2652" s="1070"/>
      <c r="K2652" s="1071"/>
      <c r="L2652" s="1070"/>
      <c r="M2652" s="1075"/>
      <c r="AC2652" s="927"/>
      <c r="AD2652" s="877"/>
      <c r="AE2652" s="902"/>
      <c r="AH2652" s="874"/>
    </row>
    <row r="2653" spans="6:36" ht="24" customHeight="1">
      <c r="F2653" s="1071"/>
      <c r="G2653" s="1073"/>
      <c r="H2653" s="1071"/>
      <c r="I2653" s="1069"/>
      <c r="J2653" s="1070"/>
      <c r="K2653" s="1071"/>
      <c r="L2653" s="1076"/>
      <c r="M2653" s="1075"/>
      <c r="AC2653" s="877"/>
      <c r="AD2653" s="877"/>
      <c r="AE2653" s="902"/>
      <c r="AH2653" s="874"/>
    </row>
    <row r="2654" spans="6:36" ht="24" customHeight="1">
      <c r="F2654" s="1071"/>
      <c r="G2654" s="1073"/>
      <c r="H2654" s="1071"/>
      <c r="I2654" s="1069"/>
      <c r="J2654" s="1070"/>
      <c r="K2654" s="1071"/>
      <c r="L2654" s="1069"/>
      <c r="M2654" s="1075"/>
      <c r="AC2654" s="877"/>
      <c r="AD2654" s="877"/>
      <c r="AE2654" s="902"/>
      <c r="AH2654" s="874"/>
    </row>
    <row r="2655" spans="6:36" ht="24" customHeight="1">
      <c r="F2655" s="1071"/>
      <c r="G2655" s="1073"/>
      <c r="H2655" s="1071"/>
      <c r="I2655" s="1069"/>
      <c r="J2655" s="1071"/>
      <c r="K2655" s="1071"/>
      <c r="L2655" s="1069"/>
      <c r="M2655" s="1072"/>
      <c r="AC2655" s="877"/>
      <c r="AD2655" s="877"/>
      <c r="AE2655" s="961"/>
      <c r="AF2655" s="885"/>
      <c r="AH2655" s="874"/>
      <c r="AI2655" s="885"/>
    </row>
    <row r="2656" spans="6:36" ht="24" customHeight="1">
      <c r="F2656" s="1077"/>
      <c r="G2656" s="1078"/>
      <c r="H2656" s="1077"/>
      <c r="I2656" s="1070"/>
      <c r="J2656" s="1070"/>
      <c r="K2656" s="1079"/>
      <c r="L2656" s="1070"/>
      <c r="M2656" s="1080"/>
      <c r="AC2656" s="877"/>
      <c r="AD2656" s="877"/>
      <c r="AE2656" s="961"/>
      <c r="AF2656" s="885"/>
      <c r="AH2656" s="874"/>
      <c r="AI2656" s="903"/>
    </row>
    <row r="2657" spans="1:255" ht="24" customHeight="1">
      <c r="F2657" s="1077"/>
      <c r="G2657" s="1078"/>
      <c r="H2657" s="1077"/>
      <c r="I2657" s="1070"/>
      <c r="J2657" s="1070"/>
      <c r="K2657" s="1079"/>
      <c r="L2657" s="1070"/>
      <c r="M2657" s="1080"/>
      <c r="AC2657" s="877"/>
      <c r="AD2657" s="877"/>
      <c r="AE2657" s="961"/>
      <c r="AF2657" s="885"/>
      <c r="AH2657" s="874"/>
      <c r="AI2657" s="885"/>
    </row>
    <row r="2658" spans="1:255" ht="24" customHeight="1">
      <c r="F2658" s="1077"/>
      <c r="G2658" s="1078"/>
      <c r="H2658" s="1077"/>
      <c r="I2658" s="1070"/>
      <c r="J2658" s="1070"/>
      <c r="K2658" s="1079"/>
      <c r="L2658" s="1070"/>
      <c r="M2658" s="1080"/>
      <c r="AC2658" s="877"/>
      <c r="AD2658" s="902"/>
      <c r="AG2658" s="874"/>
    </row>
    <row r="2659" spans="1:255" ht="24" customHeight="1">
      <c r="F2659" s="1077"/>
      <c r="G2659" s="1078"/>
      <c r="H2659" s="1077"/>
      <c r="I2659" s="1070"/>
      <c r="J2659" s="1070"/>
      <c r="K2659" s="1081"/>
      <c r="L2659" s="1070"/>
      <c r="M2659" s="1080"/>
      <c r="AC2659" s="877"/>
      <c r="AD2659" s="902"/>
      <c r="AG2659" s="874"/>
    </row>
    <row r="2660" spans="1:255" ht="24" customHeight="1">
      <c r="F2660" s="1077"/>
      <c r="G2660" s="1078"/>
      <c r="H2660" s="1077"/>
      <c r="I2660" s="1070"/>
      <c r="J2660" s="1070"/>
      <c r="K2660" s="1079"/>
      <c r="L2660" s="1070"/>
      <c r="M2660" s="1080"/>
      <c r="AC2660" s="877"/>
      <c r="AD2660" s="902"/>
      <c r="AG2660" s="874"/>
    </row>
    <row r="2661" spans="1:255" ht="24" customHeight="1">
      <c r="F2661" s="1079"/>
      <c r="G2661" s="1082"/>
      <c r="H2661" s="1079"/>
      <c r="I2661" s="1070"/>
      <c r="J2661" s="1070"/>
      <c r="K2661" s="1079"/>
      <c r="L2661" s="1070"/>
      <c r="M2661" s="1080"/>
      <c r="AC2661" s="877"/>
      <c r="AD2661" s="961"/>
      <c r="AE2661" s="885"/>
      <c r="AG2661" s="874"/>
      <c r="AH2661" s="885"/>
    </row>
    <row r="2662" spans="1:255" ht="24" customHeight="1">
      <c r="F2662" s="1079"/>
      <c r="G2662" s="1082"/>
      <c r="H2662" s="1079"/>
      <c r="I2662" s="1070"/>
      <c r="J2662" s="1070"/>
      <c r="K2662" s="1079"/>
      <c r="L2662" s="1070"/>
      <c r="M2662" s="1080"/>
      <c r="AC2662" s="877"/>
      <c r="AD2662" s="961"/>
      <c r="AE2662" s="885"/>
      <c r="AG2662" s="874"/>
      <c r="AH2662" s="903"/>
    </row>
    <row r="2663" spans="1:255" ht="24" customHeight="1">
      <c r="F2663" s="1079"/>
      <c r="G2663" s="1082"/>
      <c r="H2663" s="1079"/>
      <c r="I2663" s="1070"/>
      <c r="J2663" s="1083"/>
      <c r="K2663" s="1079"/>
      <c r="L2663" s="1070"/>
      <c r="M2663" s="1080"/>
      <c r="AC2663" s="877"/>
      <c r="AD2663" s="961"/>
      <c r="AE2663" s="885"/>
      <c r="AG2663" s="874"/>
      <c r="AH2663" s="885"/>
    </row>
    <row r="2664" spans="1:255" ht="24" customHeight="1">
      <c r="F2664" s="1079"/>
      <c r="G2664" s="1082"/>
      <c r="H2664" s="1079"/>
      <c r="I2664" s="1070"/>
      <c r="J2664" s="1070"/>
      <c r="K2664" s="1081"/>
      <c r="L2664" s="1070"/>
      <c r="M2664" s="1080"/>
      <c r="AC2664" s="877"/>
    </row>
    <row r="2665" spans="1:255" ht="24" customHeight="1">
      <c r="F2665" s="1079"/>
      <c r="G2665" s="1082"/>
      <c r="H2665" s="1079"/>
      <c r="I2665" s="1070"/>
      <c r="J2665" s="1070"/>
      <c r="K2665" s="1079"/>
      <c r="L2665" s="1070"/>
      <c r="M2665" s="1080"/>
    </row>
    <row r="2666" spans="1:255" s="877" customFormat="1" ht="24" customHeight="1">
      <c r="A2666" s="501"/>
      <c r="B2666" s="501"/>
      <c r="C2666" s="501"/>
      <c r="D2666" s="501"/>
      <c r="E2666" s="501"/>
      <c r="F2666" s="1071"/>
      <c r="G2666" s="1073"/>
      <c r="H2666" s="1071"/>
      <c r="I2666" s="1069"/>
      <c r="J2666" s="1070"/>
      <c r="K2666" s="1084"/>
      <c r="L2666" s="1069"/>
      <c r="M2666" s="1080"/>
      <c r="N2666" s="501"/>
      <c r="O2666" s="501"/>
      <c r="P2666" s="501"/>
      <c r="Q2666" s="501"/>
      <c r="R2666" s="969"/>
      <c r="S2666" s="501"/>
      <c r="T2666" s="501"/>
      <c r="V2666" s="501"/>
      <c r="W2666" s="501"/>
      <c r="X2666" s="501"/>
      <c r="Y2666" s="501"/>
      <c r="Z2666" s="501"/>
      <c r="AA2666" s="501"/>
      <c r="AB2666" s="501"/>
      <c r="AC2666" s="501"/>
      <c r="AD2666" s="501"/>
      <c r="AE2666" s="501"/>
      <c r="AF2666" s="501"/>
      <c r="AG2666" s="501"/>
      <c r="AH2666" s="501"/>
      <c r="AI2666" s="501"/>
      <c r="AJ2666" s="501"/>
      <c r="AK2666" s="501"/>
      <c r="AL2666" s="501"/>
      <c r="AM2666" s="501"/>
      <c r="AN2666" s="501"/>
      <c r="AO2666" s="501"/>
      <c r="AP2666" s="501"/>
      <c r="AQ2666" s="501"/>
      <c r="AR2666" s="501"/>
      <c r="AS2666" s="501"/>
      <c r="AT2666" s="501"/>
      <c r="AU2666" s="501"/>
      <c r="AV2666" s="501"/>
      <c r="AW2666" s="501"/>
      <c r="AX2666" s="501"/>
      <c r="AY2666" s="501"/>
      <c r="AZ2666" s="501"/>
      <c r="BA2666" s="501"/>
      <c r="BB2666" s="501"/>
      <c r="BC2666" s="501"/>
      <c r="BD2666" s="501"/>
      <c r="BE2666" s="501"/>
      <c r="BF2666" s="501"/>
      <c r="BG2666" s="501"/>
      <c r="BH2666" s="501"/>
      <c r="BI2666" s="501"/>
      <c r="BJ2666" s="501"/>
      <c r="BK2666" s="501"/>
      <c r="BL2666" s="501"/>
      <c r="BM2666" s="501"/>
      <c r="BN2666" s="501"/>
      <c r="BO2666" s="501"/>
      <c r="BP2666" s="501"/>
      <c r="BQ2666" s="501"/>
      <c r="BR2666" s="501"/>
      <c r="BS2666" s="501"/>
      <c r="BT2666" s="501"/>
      <c r="BU2666" s="501"/>
      <c r="BV2666" s="501"/>
      <c r="BW2666" s="501"/>
      <c r="BX2666" s="501"/>
      <c r="BY2666" s="501"/>
      <c r="BZ2666" s="501"/>
      <c r="CA2666" s="501"/>
      <c r="CB2666" s="501"/>
      <c r="CC2666" s="501"/>
      <c r="CD2666" s="501"/>
      <c r="CE2666" s="501"/>
      <c r="CF2666" s="501"/>
      <c r="CG2666" s="501"/>
      <c r="CH2666" s="501"/>
      <c r="CI2666" s="501"/>
      <c r="CJ2666" s="501"/>
      <c r="CK2666" s="501"/>
      <c r="CL2666" s="501"/>
      <c r="CM2666" s="501"/>
      <c r="CN2666" s="501"/>
      <c r="CO2666" s="501"/>
      <c r="CP2666" s="501"/>
      <c r="CQ2666" s="501"/>
      <c r="CR2666" s="501"/>
      <c r="CS2666" s="501"/>
      <c r="CT2666" s="501"/>
      <c r="CU2666" s="501"/>
      <c r="CV2666" s="501"/>
      <c r="CW2666" s="501"/>
      <c r="CX2666" s="501"/>
      <c r="CY2666" s="501"/>
      <c r="CZ2666" s="501"/>
      <c r="DA2666" s="501"/>
      <c r="DB2666" s="501"/>
      <c r="DC2666" s="501"/>
      <c r="DD2666" s="501"/>
      <c r="DE2666" s="501"/>
      <c r="DF2666" s="501"/>
      <c r="DG2666" s="501"/>
      <c r="DH2666" s="501"/>
      <c r="DI2666" s="501"/>
      <c r="DJ2666" s="501"/>
      <c r="DK2666" s="501"/>
      <c r="DL2666" s="501"/>
      <c r="DM2666" s="501"/>
      <c r="DN2666" s="501"/>
      <c r="DO2666" s="501"/>
      <c r="DP2666" s="501"/>
      <c r="DQ2666" s="501"/>
      <c r="DR2666" s="501"/>
      <c r="DS2666" s="501"/>
      <c r="DT2666" s="501"/>
      <c r="DU2666" s="501"/>
      <c r="DV2666" s="501"/>
      <c r="DW2666" s="501"/>
      <c r="DX2666" s="501"/>
      <c r="DY2666" s="501"/>
      <c r="DZ2666" s="501"/>
      <c r="EA2666" s="501"/>
      <c r="EB2666" s="501"/>
      <c r="EC2666" s="501"/>
      <c r="ED2666" s="501"/>
      <c r="EE2666" s="501"/>
      <c r="EF2666" s="501"/>
      <c r="EG2666" s="501"/>
      <c r="EH2666" s="501"/>
      <c r="EI2666" s="501"/>
      <c r="EJ2666" s="501"/>
      <c r="EK2666" s="501"/>
      <c r="EL2666" s="501"/>
      <c r="EM2666" s="501"/>
      <c r="EN2666" s="501"/>
      <c r="EO2666" s="501"/>
      <c r="EP2666" s="501"/>
      <c r="EQ2666" s="501"/>
      <c r="ER2666" s="501"/>
      <c r="ES2666" s="501"/>
      <c r="ET2666" s="501"/>
      <c r="EU2666" s="501"/>
      <c r="EV2666" s="501"/>
      <c r="EW2666" s="501"/>
      <c r="EX2666" s="501"/>
      <c r="EY2666" s="501"/>
      <c r="EZ2666" s="501"/>
      <c r="FA2666" s="501"/>
      <c r="FB2666" s="501"/>
      <c r="FC2666" s="501"/>
      <c r="FD2666" s="501"/>
      <c r="FE2666" s="501"/>
      <c r="FF2666" s="501"/>
      <c r="FG2666" s="501"/>
      <c r="FH2666" s="501"/>
      <c r="FI2666" s="501"/>
      <c r="FJ2666" s="501"/>
      <c r="FK2666" s="501"/>
      <c r="FL2666" s="501"/>
      <c r="FM2666" s="501"/>
      <c r="FN2666" s="501"/>
      <c r="FO2666" s="501"/>
      <c r="FP2666" s="501"/>
      <c r="FQ2666" s="501"/>
      <c r="FR2666" s="501"/>
      <c r="FS2666" s="501"/>
      <c r="FT2666" s="501"/>
      <c r="FU2666" s="501"/>
      <c r="FV2666" s="501"/>
      <c r="FW2666" s="501"/>
      <c r="FX2666" s="501"/>
      <c r="FY2666" s="501"/>
      <c r="FZ2666" s="501"/>
      <c r="GA2666" s="501"/>
      <c r="GB2666" s="501"/>
      <c r="GC2666" s="501"/>
      <c r="GD2666" s="501"/>
      <c r="GE2666" s="501"/>
      <c r="GF2666" s="501"/>
      <c r="GG2666" s="501"/>
      <c r="GH2666" s="501"/>
      <c r="GI2666" s="501"/>
      <c r="GJ2666" s="501"/>
      <c r="GK2666" s="501"/>
      <c r="GL2666" s="501"/>
      <c r="GM2666" s="501"/>
      <c r="GN2666" s="501"/>
      <c r="GO2666" s="501"/>
      <c r="GP2666" s="501"/>
      <c r="GQ2666" s="501"/>
      <c r="GR2666" s="501"/>
      <c r="GS2666" s="501"/>
      <c r="GT2666" s="501"/>
      <c r="GU2666" s="501"/>
      <c r="GV2666" s="501"/>
      <c r="GW2666" s="501"/>
      <c r="GX2666" s="501"/>
      <c r="GY2666" s="501"/>
      <c r="GZ2666" s="501"/>
      <c r="HA2666" s="501"/>
      <c r="HB2666" s="501"/>
      <c r="HC2666" s="501"/>
      <c r="HD2666" s="501"/>
      <c r="HE2666" s="501"/>
      <c r="HF2666" s="501"/>
      <c r="HG2666" s="501"/>
      <c r="HH2666" s="501"/>
      <c r="HI2666" s="501"/>
      <c r="HJ2666" s="501"/>
      <c r="HK2666" s="501"/>
      <c r="HL2666" s="501"/>
      <c r="HM2666" s="501"/>
      <c r="HN2666" s="501"/>
      <c r="HO2666" s="501"/>
      <c r="HP2666" s="501"/>
      <c r="HQ2666" s="501"/>
      <c r="HR2666" s="501"/>
      <c r="HS2666" s="501"/>
      <c r="HT2666" s="501"/>
      <c r="HU2666" s="501"/>
      <c r="HV2666" s="501"/>
      <c r="HW2666" s="501"/>
      <c r="HX2666" s="501"/>
      <c r="HY2666" s="501"/>
      <c r="HZ2666" s="501"/>
      <c r="IA2666" s="501"/>
      <c r="IB2666" s="501"/>
      <c r="IC2666" s="501"/>
      <c r="ID2666" s="501"/>
      <c r="IE2666" s="501"/>
      <c r="IF2666" s="501"/>
      <c r="IG2666" s="501"/>
      <c r="IH2666" s="501"/>
      <c r="II2666" s="501"/>
      <c r="IJ2666" s="501"/>
      <c r="IK2666" s="501"/>
      <c r="IL2666" s="501"/>
      <c r="IM2666" s="501"/>
      <c r="IN2666" s="501"/>
      <c r="IO2666" s="501"/>
      <c r="IP2666" s="501"/>
      <c r="IQ2666" s="501"/>
      <c r="IR2666" s="501"/>
      <c r="IS2666" s="501"/>
      <c r="IT2666" s="501"/>
      <c r="IU2666" s="501"/>
    </row>
    <row r="2667" spans="1:255" s="877" customFormat="1" ht="24" customHeight="1">
      <c r="A2667" s="501"/>
      <c r="B2667" s="501"/>
      <c r="C2667" s="501"/>
      <c r="D2667" s="501"/>
      <c r="E2667" s="501"/>
      <c r="F2667" s="1071"/>
      <c r="G2667" s="1073"/>
      <c r="H2667" s="1071"/>
      <c r="I2667" s="1069"/>
      <c r="J2667" s="1085"/>
      <c r="K2667" s="1085"/>
      <c r="L2667" s="1086"/>
      <c r="M2667" s="1087"/>
      <c r="N2667" s="501"/>
      <c r="O2667" s="501"/>
      <c r="P2667" s="501"/>
      <c r="Q2667" s="501"/>
      <c r="R2667" s="501"/>
      <c r="S2667" s="501"/>
      <c r="T2667" s="501"/>
      <c r="V2667" s="501"/>
      <c r="W2667" s="501"/>
      <c r="X2667" s="501"/>
      <c r="Y2667" s="501"/>
      <c r="Z2667" s="501"/>
      <c r="AA2667" s="501"/>
      <c r="AB2667" s="501"/>
      <c r="AC2667" s="501"/>
      <c r="AD2667" s="501"/>
      <c r="AE2667" s="501"/>
      <c r="AF2667" s="501"/>
      <c r="AG2667" s="501"/>
      <c r="AH2667" s="501"/>
      <c r="AI2667" s="501"/>
      <c r="AJ2667" s="501"/>
      <c r="AK2667" s="501"/>
      <c r="AL2667" s="501"/>
      <c r="AM2667" s="501"/>
      <c r="AN2667" s="501"/>
      <c r="AO2667" s="501"/>
      <c r="AP2667" s="501"/>
      <c r="AQ2667" s="501"/>
      <c r="AR2667" s="501"/>
      <c r="AS2667" s="501"/>
      <c r="AT2667" s="501"/>
      <c r="AU2667" s="501"/>
      <c r="AV2667" s="501"/>
      <c r="AW2667" s="501"/>
      <c r="AX2667" s="501"/>
      <c r="AY2667" s="501"/>
      <c r="AZ2667" s="501"/>
      <c r="BA2667" s="501"/>
      <c r="BB2667" s="501"/>
      <c r="BC2667" s="501"/>
      <c r="BD2667" s="501"/>
      <c r="BE2667" s="501"/>
      <c r="BF2667" s="501"/>
      <c r="BG2667" s="501"/>
      <c r="BH2667" s="501"/>
      <c r="BI2667" s="501"/>
      <c r="BJ2667" s="501"/>
      <c r="BK2667" s="501"/>
      <c r="BL2667" s="501"/>
      <c r="BM2667" s="501"/>
      <c r="BN2667" s="501"/>
      <c r="BO2667" s="501"/>
      <c r="BP2667" s="501"/>
      <c r="BQ2667" s="501"/>
      <c r="BR2667" s="501"/>
      <c r="BS2667" s="501"/>
      <c r="BT2667" s="501"/>
      <c r="BU2667" s="501"/>
      <c r="BV2667" s="501"/>
      <c r="BW2667" s="501"/>
      <c r="BX2667" s="501"/>
      <c r="BY2667" s="501"/>
      <c r="BZ2667" s="501"/>
      <c r="CA2667" s="501"/>
      <c r="CB2667" s="501"/>
      <c r="CC2667" s="501"/>
      <c r="CD2667" s="501"/>
      <c r="CE2667" s="501"/>
      <c r="CF2667" s="501"/>
      <c r="CG2667" s="501"/>
      <c r="CH2667" s="501"/>
      <c r="CI2667" s="501"/>
      <c r="CJ2667" s="501"/>
      <c r="CK2667" s="501"/>
      <c r="CL2667" s="501"/>
      <c r="CM2667" s="501"/>
      <c r="CN2667" s="501"/>
      <c r="CO2667" s="501"/>
      <c r="CP2667" s="501"/>
      <c r="CQ2667" s="501"/>
      <c r="CR2667" s="501"/>
      <c r="CS2667" s="501"/>
      <c r="CT2667" s="501"/>
      <c r="CU2667" s="501"/>
      <c r="CV2667" s="501"/>
      <c r="CW2667" s="501"/>
      <c r="CX2667" s="501"/>
      <c r="CY2667" s="501"/>
      <c r="CZ2667" s="501"/>
      <c r="DA2667" s="501"/>
      <c r="DB2667" s="501"/>
      <c r="DC2667" s="501"/>
      <c r="DD2667" s="501"/>
      <c r="DE2667" s="501"/>
      <c r="DF2667" s="501"/>
      <c r="DG2667" s="501"/>
      <c r="DH2667" s="501"/>
      <c r="DI2667" s="501"/>
      <c r="DJ2667" s="501"/>
      <c r="DK2667" s="501"/>
      <c r="DL2667" s="501"/>
      <c r="DM2667" s="501"/>
      <c r="DN2667" s="501"/>
      <c r="DO2667" s="501"/>
      <c r="DP2667" s="501"/>
      <c r="DQ2667" s="501"/>
      <c r="DR2667" s="501"/>
      <c r="DS2667" s="501"/>
      <c r="DT2667" s="501"/>
      <c r="DU2667" s="501"/>
      <c r="DV2667" s="501"/>
      <c r="DW2667" s="501"/>
      <c r="DX2667" s="501"/>
      <c r="DY2667" s="501"/>
      <c r="DZ2667" s="501"/>
      <c r="EA2667" s="501"/>
      <c r="EB2667" s="501"/>
      <c r="EC2667" s="501"/>
      <c r="ED2667" s="501"/>
      <c r="EE2667" s="501"/>
      <c r="EF2667" s="501"/>
      <c r="EG2667" s="501"/>
      <c r="EH2667" s="501"/>
      <c r="EI2667" s="501"/>
      <c r="EJ2667" s="501"/>
      <c r="EK2667" s="501"/>
      <c r="EL2667" s="501"/>
      <c r="EM2667" s="501"/>
      <c r="EN2667" s="501"/>
      <c r="EO2667" s="501"/>
      <c r="EP2667" s="501"/>
      <c r="EQ2667" s="501"/>
      <c r="ER2667" s="501"/>
      <c r="ES2667" s="501"/>
      <c r="ET2667" s="501"/>
      <c r="EU2667" s="501"/>
      <c r="EV2667" s="501"/>
      <c r="EW2667" s="501"/>
      <c r="EX2667" s="501"/>
      <c r="EY2667" s="501"/>
      <c r="EZ2667" s="501"/>
      <c r="FA2667" s="501"/>
      <c r="FB2667" s="501"/>
      <c r="FC2667" s="501"/>
      <c r="FD2667" s="501"/>
      <c r="FE2667" s="501"/>
      <c r="FF2667" s="501"/>
      <c r="FG2667" s="501"/>
      <c r="FH2667" s="501"/>
      <c r="FI2667" s="501"/>
      <c r="FJ2667" s="501"/>
      <c r="FK2667" s="501"/>
      <c r="FL2667" s="501"/>
      <c r="FM2667" s="501"/>
      <c r="FN2667" s="501"/>
      <c r="FO2667" s="501"/>
      <c r="FP2667" s="501"/>
      <c r="FQ2667" s="501"/>
      <c r="FR2667" s="501"/>
      <c r="FS2667" s="501"/>
      <c r="FT2667" s="501"/>
      <c r="FU2667" s="501"/>
      <c r="FV2667" s="501"/>
      <c r="FW2667" s="501"/>
      <c r="FX2667" s="501"/>
      <c r="FY2667" s="501"/>
      <c r="FZ2667" s="501"/>
      <c r="GA2667" s="501"/>
      <c r="GB2667" s="501"/>
      <c r="GC2667" s="501"/>
      <c r="GD2667" s="501"/>
      <c r="GE2667" s="501"/>
      <c r="GF2667" s="501"/>
      <c r="GG2667" s="501"/>
      <c r="GH2667" s="501"/>
      <c r="GI2667" s="501"/>
      <c r="GJ2667" s="501"/>
      <c r="GK2667" s="501"/>
      <c r="GL2667" s="501"/>
      <c r="GM2667" s="501"/>
      <c r="GN2667" s="501"/>
      <c r="GO2667" s="501"/>
      <c r="GP2667" s="501"/>
      <c r="GQ2667" s="501"/>
      <c r="GR2667" s="501"/>
      <c r="GS2667" s="501"/>
      <c r="GT2667" s="501"/>
      <c r="GU2667" s="501"/>
      <c r="GV2667" s="501"/>
      <c r="GW2667" s="501"/>
      <c r="GX2667" s="501"/>
      <c r="GY2667" s="501"/>
      <c r="GZ2667" s="501"/>
      <c r="HA2667" s="501"/>
      <c r="HB2667" s="501"/>
      <c r="HC2667" s="501"/>
      <c r="HD2667" s="501"/>
      <c r="HE2667" s="501"/>
      <c r="HF2667" s="501"/>
      <c r="HG2667" s="501"/>
      <c r="HH2667" s="501"/>
      <c r="HI2667" s="501"/>
      <c r="HJ2667" s="501"/>
      <c r="HK2667" s="501"/>
      <c r="HL2667" s="501"/>
      <c r="HM2667" s="501"/>
      <c r="HN2667" s="501"/>
      <c r="HO2667" s="501"/>
      <c r="HP2667" s="501"/>
      <c r="HQ2667" s="501"/>
      <c r="HR2667" s="501"/>
      <c r="HS2667" s="501"/>
      <c r="HT2667" s="501"/>
      <c r="HU2667" s="501"/>
      <c r="HV2667" s="501"/>
      <c r="HW2667" s="501"/>
      <c r="HX2667" s="501"/>
      <c r="HY2667" s="501"/>
      <c r="HZ2667" s="501"/>
      <c r="IA2667" s="501"/>
      <c r="IB2667" s="501"/>
      <c r="IC2667" s="501"/>
      <c r="ID2667" s="501"/>
      <c r="IE2667" s="501"/>
      <c r="IF2667" s="501"/>
      <c r="IG2667" s="501"/>
      <c r="IH2667" s="501"/>
      <c r="II2667" s="501"/>
      <c r="IJ2667" s="501"/>
      <c r="IK2667" s="501"/>
      <c r="IL2667" s="501"/>
      <c r="IM2667" s="501"/>
      <c r="IN2667" s="501"/>
      <c r="IO2667" s="501"/>
      <c r="IP2667" s="501"/>
      <c r="IQ2667" s="501"/>
      <c r="IR2667" s="501"/>
      <c r="IS2667" s="501"/>
      <c r="IT2667" s="501"/>
      <c r="IU2667" s="501"/>
    </row>
    <row r="2668" spans="1:255" s="877" customFormat="1" ht="24" customHeight="1">
      <c r="A2668" s="501"/>
      <c r="B2668" s="501"/>
      <c r="C2668" s="501"/>
      <c r="D2668" s="501"/>
      <c r="E2668" s="501"/>
      <c r="F2668" s="1071"/>
      <c r="G2668" s="1073"/>
      <c r="H2668" s="1071"/>
      <c r="I2668" s="1069"/>
      <c r="J2668" s="1088"/>
      <c r="K2668" s="1085"/>
      <c r="L2668" s="1086"/>
      <c r="M2668" s="1087"/>
      <c r="N2668" s="501"/>
      <c r="O2668" s="501"/>
      <c r="P2668" s="501"/>
      <c r="Q2668" s="501"/>
      <c r="R2668" s="501"/>
      <c r="S2668" s="501"/>
      <c r="T2668" s="501"/>
      <c r="V2668" s="501"/>
      <c r="W2668" s="501"/>
      <c r="X2668" s="501"/>
      <c r="Y2668" s="501"/>
      <c r="Z2668" s="501"/>
      <c r="AA2668" s="501"/>
      <c r="AB2668" s="501"/>
      <c r="AC2668" s="501"/>
      <c r="AD2668" s="501"/>
      <c r="AE2668" s="501"/>
      <c r="AF2668" s="501"/>
      <c r="AG2668" s="501"/>
      <c r="AH2668" s="501"/>
      <c r="AI2668" s="501"/>
      <c r="AJ2668" s="501"/>
      <c r="AK2668" s="501"/>
      <c r="AL2668" s="501"/>
      <c r="AM2668" s="501"/>
      <c r="AN2668" s="501"/>
      <c r="AO2668" s="501"/>
      <c r="AP2668" s="501"/>
      <c r="AQ2668" s="501"/>
      <c r="AR2668" s="501"/>
      <c r="AS2668" s="501"/>
      <c r="AT2668" s="501"/>
      <c r="AU2668" s="501"/>
      <c r="AV2668" s="501"/>
      <c r="AW2668" s="501"/>
      <c r="AX2668" s="501"/>
      <c r="AY2668" s="501"/>
      <c r="AZ2668" s="501"/>
      <c r="BA2668" s="501"/>
      <c r="BB2668" s="501"/>
      <c r="BC2668" s="501"/>
      <c r="BD2668" s="501"/>
      <c r="BE2668" s="501"/>
      <c r="BF2668" s="501"/>
      <c r="BG2668" s="501"/>
      <c r="BH2668" s="501"/>
      <c r="BI2668" s="501"/>
      <c r="BJ2668" s="501"/>
      <c r="BK2668" s="501"/>
      <c r="BL2668" s="501"/>
      <c r="BM2668" s="501"/>
      <c r="BN2668" s="501"/>
      <c r="BO2668" s="501"/>
      <c r="BP2668" s="501"/>
      <c r="BQ2668" s="501"/>
      <c r="BR2668" s="501"/>
      <c r="BS2668" s="501"/>
      <c r="BT2668" s="501"/>
      <c r="BU2668" s="501"/>
      <c r="BV2668" s="501"/>
      <c r="BW2668" s="501"/>
      <c r="BX2668" s="501"/>
      <c r="BY2668" s="501"/>
      <c r="BZ2668" s="501"/>
      <c r="CA2668" s="501"/>
      <c r="CB2668" s="501"/>
      <c r="CC2668" s="501"/>
      <c r="CD2668" s="501"/>
      <c r="CE2668" s="501"/>
      <c r="CF2668" s="501"/>
      <c r="CG2668" s="501"/>
      <c r="CH2668" s="501"/>
      <c r="CI2668" s="501"/>
      <c r="CJ2668" s="501"/>
      <c r="CK2668" s="501"/>
      <c r="CL2668" s="501"/>
      <c r="CM2668" s="501"/>
      <c r="CN2668" s="501"/>
      <c r="CO2668" s="501"/>
      <c r="CP2668" s="501"/>
      <c r="CQ2668" s="501"/>
      <c r="CR2668" s="501"/>
      <c r="CS2668" s="501"/>
      <c r="CT2668" s="501"/>
      <c r="CU2668" s="501"/>
      <c r="CV2668" s="501"/>
      <c r="CW2668" s="501"/>
      <c r="CX2668" s="501"/>
      <c r="CY2668" s="501"/>
      <c r="CZ2668" s="501"/>
      <c r="DA2668" s="501"/>
      <c r="DB2668" s="501"/>
      <c r="DC2668" s="501"/>
      <c r="DD2668" s="501"/>
      <c r="DE2668" s="501"/>
      <c r="DF2668" s="501"/>
      <c r="DG2668" s="501"/>
      <c r="DH2668" s="501"/>
      <c r="DI2668" s="501"/>
      <c r="DJ2668" s="501"/>
      <c r="DK2668" s="501"/>
      <c r="DL2668" s="501"/>
      <c r="DM2668" s="501"/>
      <c r="DN2668" s="501"/>
      <c r="DO2668" s="501"/>
      <c r="DP2668" s="501"/>
      <c r="DQ2668" s="501"/>
      <c r="DR2668" s="501"/>
      <c r="DS2668" s="501"/>
      <c r="DT2668" s="501"/>
      <c r="DU2668" s="501"/>
      <c r="DV2668" s="501"/>
      <c r="DW2668" s="501"/>
      <c r="DX2668" s="501"/>
      <c r="DY2668" s="501"/>
      <c r="DZ2668" s="501"/>
      <c r="EA2668" s="501"/>
      <c r="EB2668" s="501"/>
      <c r="EC2668" s="501"/>
      <c r="ED2668" s="501"/>
      <c r="EE2668" s="501"/>
      <c r="EF2668" s="501"/>
      <c r="EG2668" s="501"/>
      <c r="EH2668" s="501"/>
      <c r="EI2668" s="501"/>
      <c r="EJ2668" s="501"/>
      <c r="EK2668" s="501"/>
      <c r="EL2668" s="501"/>
      <c r="EM2668" s="501"/>
      <c r="EN2668" s="501"/>
      <c r="EO2668" s="501"/>
      <c r="EP2668" s="501"/>
      <c r="EQ2668" s="501"/>
      <c r="ER2668" s="501"/>
      <c r="ES2668" s="501"/>
      <c r="ET2668" s="501"/>
      <c r="EU2668" s="501"/>
      <c r="EV2668" s="501"/>
      <c r="EW2668" s="501"/>
      <c r="EX2668" s="501"/>
      <c r="EY2668" s="501"/>
      <c r="EZ2668" s="501"/>
      <c r="FA2668" s="501"/>
      <c r="FB2668" s="501"/>
      <c r="FC2668" s="501"/>
      <c r="FD2668" s="501"/>
      <c r="FE2668" s="501"/>
      <c r="FF2668" s="501"/>
      <c r="FG2668" s="501"/>
      <c r="FH2668" s="501"/>
      <c r="FI2668" s="501"/>
      <c r="FJ2668" s="501"/>
      <c r="FK2668" s="501"/>
      <c r="FL2668" s="501"/>
      <c r="FM2668" s="501"/>
      <c r="FN2668" s="501"/>
      <c r="FO2668" s="501"/>
      <c r="FP2668" s="501"/>
      <c r="FQ2668" s="501"/>
      <c r="FR2668" s="501"/>
      <c r="FS2668" s="501"/>
      <c r="FT2668" s="501"/>
      <c r="FU2668" s="501"/>
      <c r="FV2668" s="501"/>
      <c r="FW2668" s="501"/>
      <c r="FX2668" s="501"/>
      <c r="FY2668" s="501"/>
      <c r="FZ2668" s="501"/>
      <c r="GA2668" s="501"/>
      <c r="GB2668" s="501"/>
      <c r="GC2668" s="501"/>
      <c r="GD2668" s="501"/>
      <c r="GE2668" s="501"/>
      <c r="GF2668" s="501"/>
      <c r="GG2668" s="501"/>
      <c r="GH2668" s="501"/>
      <c r="GI2668" s="501"/>
      <c r="GJ2668" s="501"/>
      <c r="GK2668" s="501"/>
      <c r="GL2668" s="501"/>
      <c r="GM2668" s="501"/>
      <c r="GN2668" s="501"/>
      <c r="GO2668" s="501"/>
      <c r="GP2668" s="501"/>
      <c r="GQ2668" s="501"/>
      <c r="GR2668" s="501"/>
      <c r="GS2668" s="501"/>
      <c r="GT2668" s="501"/>
      <c r="GU2668" s="501"/>
      <c r="GV2668" s="501"/>
      <c r="GW2668" s="501"/>
      <c r="GX2668" s="501"/>
      <c r="GY2668" s="501"/>
      <c r="GZ2668" s="501"/>
      <c r="HA2668" s="501"/>
      <c r="HB2668" s="501"/>
      <c r="HC2668" s="501"/>
      <c r="HD2668" s="501"/>
      <c r="HE2668" s="501"/>
      <c r="HF2668" s="501"/>
      <c r="HG2668" s="501"/>
      <c r="HH2668" s="501"/>
      <c r="HI2668" s="501"/>
      <c r="HJ2668" s="501"/>
      <c r="HK2668" s="501"/>
      <c r="HL2668" s="501"/>
      <c r="HM2668" s="501"/>
      <c r="HN2668" s="501"/>
      <c r="HO2668" s="501"/>
      <c r="HP2668" s="501"/>
      <c r="HQ2668" s="501"/>
      <c r="HR2668" s="501"/>
      <c r="HS2668" s="501"/>
      <c r="HT2668" s="501"/>
      <c r="HU2668" s="501"/>
      <c r="HV2668" s="501"/>
      <c r="HW2668" s="501"/>
      <c r="HX2668" s="501"/>
      <c r="HY2668" s="501"/>
      <c r="HZ2668" s="501"/>
      <c r="IA2668" s="501"/>
      <c r="IB2668" s="501"/>
      <c r="IC2668" s="501"/>
      <c r="ID2668" s="501"/>
      <c r="IE2668" s="501"/>
      <c r="IF2668" s="501"/>
      <c r="IG2668" s="501"/>
      <c r="IH2668" s="501"/>
      <c r="II2668" s="501"/>
      <c r="IJ2668" s="501"/>
      <c r="IK2668" s="501"/>
      <c r="IL2668" s="501"/>
      <c r="IM2668" s="501"/>
      <c r="IN2668" s="501"/>
      <c r="IO2668" s="501"/>
      <c r="IP2668" s="501"/>
      <c r="IQ2668" s="501"/>
      <c r="IR2668" s="501"/>
      <c r="IS2668" s="501"/>
      <c r="IT2668" s="501"/>
      <c r="IU2668" s="501"/>
    </row>
    <row r="2669" spans="1:255" s="877" customFormat="1" ht="24" customHeight="1">
      <c r="A2669" s="501"/>
      <c r="B2669" s="501"/>
      <c r="C2669" s="501"/>
      <c r="D2669" s="501"/>
      <c r="E2669" s="501"/>
      <c r="F2669" s="1071"/>
      <c r="G2669" s="1073"/>
      <c r="H2669" s="1071"/>
      <c r="I2669" s="1070"/>
      <c r="J2669" s="1085"/>
      <c r="K2669" s="1085"/>
      <c r="L2669" s="1086"/>
      <c r="M2669" s="1087"/>
      <c r="N2669" s="501"/>
      <c r="O2669" s="501"/>
      <c r="P2669" s="501"/>
      <c r="Q2669" s="501"/>
      <c r="R2669" s="501"/>
      <c r="S2669" s="501"/>
      <c r="T2669" s="501"/>
      <c r="V2669" s="501"/>
      <c r="W2669" s="501"/>
      <c r="X2669" s="501"/>
      <c r="Y2669" s="501"/>
      <c r="Z2669" s="501"/>
      <c r="AA2669" s="501"/>
      <c r="AB2669" s="501"/>
      <c r="AC2669" s="501"/>
      <c r="AD2669" s="501"/>
      <c r="AE2669" s="501"/>
      <c r="AF2669" s="501"/>
      <c r="AG2669" s="501"/>
      <c r="AH2669" s="501"/>
      <c r="AI2669" s="501"/>
      <c r="AJ2669" s="501"/>
      <c r="AK2669" s="501"/>
      <c r="AL2669" s="501"/>
      <c r="AM2669" s="501"/>
      <c r="AN2669" s="501"/>
      <c r="AO2669" s="501"/>
      <c r="AP2669" s="501"/>
      <c r="AQ2669" s="501"/>
      <c r="AR2669" s="501"/>
      <c r="AS2669" s="501"/>
      <c r="AT2669" s="501"/>
      <c r="AU2669" s="501"/>
      <c r="AV2669" s="501"/>
      <c r="AW2669" s="501"/>
      <c r="AX2669" s="501"/>
      <c r="AY2669" s="501"/>
      <c r="AZ2669" s="501"/>
      <c r="BA2669" s="501"/>
      <c r="BB2669" s="501"/>
      <c r="BC2669" s="501"/>
      <c r="BD2669" s="501"/>
      <c r="BE2669" s="501"/>
      <c r="BF2669" s="501"/>
      <c r="BG2669" s="501"/>
      <c r="BH2669" s="501"/>
      <c r="BI2669" s="501"/>
      <c r="BJ2669" s="501"/>
      <c r="BK2669" s="501"/>
      <c r="BL2669" s="501"/>
      <c r="BM2669" s="501"/>
      <c r="BN2669" s="501"/>
      <c r="BO2669" s="501"/>
      <c r="BP2669" s="501"/>
      <c r="BQ2669" s="501"/>
      <c r="BR2669" s="501"/>
      <c r="BS2669" s="501"/>
      <c r="BT2669" s="501"/>
      <c r="BU2669" s="501"/>
      <c r="BV2669" s="501"/>
      <c r="BW2669" s="501"/>
      <c r="BX2669" s="501"/>
      <c r="BY2669" s="501"/>
      <c r="BZ2669" s="501"/>
      <c r="CA2669" s="501"/>
      <c r="CB2669" s="501"/>
      <c r="CC2669" s="501"/>
      <c r="CD2669" s="501"/>
      <c r="CE2669" s="501"/>
      <c r="CF2669" s="501"/>
      <c r="CG2669" s="501"/>
      <c r="CH2669" s="501"/>
      <c r="CI2669" s="501"/>
      <c r="CJ2669" s="501"/>
      <c r="CK2669" s="501"/>
      <c r="CL2669" s="501"/>
      <c r="CM2669" s="501"/>
      <c r="CN2669" s="501"/>
      <c r="CO2669" s="501"/>
      <c r="CP2669" s="501"/>
      <c r="CQ2669" s="501"/>
      <c r="CR2669" s="501"/>
      <c r="CS2669" s="501"/>
      <c r="CT2669" s="501"/>
      <c r="CU2669" s="501"/>
      <c r="CV2669" s="501"/>
      <c r="CW2669" s="501"/>
      <c r="CX2669" s="501"/>
      <c r="CY2669" s="501"/>
      <c r="CZ2669" s="501"/>
      <c r="DA2669" s="501"/>
      <c r="DB2669" s="501"/>
      <c r="DC2669" s="501"/>
      <c r="DD2669" s="501"/>
      <c r="DE2669" s="501"/>
      <c r="DF2669" s="501"/>
      <c r="DG2669" s="501"/>
      <c r="DH2669" s="501"/>
      <c r="DI2669" s="501"/>
      <c r="DJ2669" s="501"/>
      <c r="DK2669" s="501"/>
      <c r="DL2669" s="501"/>
      <c r="DM2669" s="501"/>
      <c r="DN2669" s="501"/>
      <c r="DO2669" s="501"/>
      <c r="DP2669" s="501"/>
      <c r="DQ2669" s="501"/>
      <c r="DR2669" s="501"/>
      <c r="DS2669" s="501"/>
      <c r="DT2669" s="501"/>
      <c r="DU2669" s="501"/>
      <c r="DV2669" s="501"/>
      <c r="DW2669" s="501"/>
      <c r="DX2669" s="501"/>
      <c r="DY2669" s="501"/>
      <c r="DZ2669" s="501"/>
      <c r="EA2669" s="501"/>
      <c r="EB2669" s="501"/>
      <c r="EC2669" s="501"/>
      <c r="ED2669" s="501"/>
      <c r="EE2669" s="501"/>
      <c r="EF2669" s="501"/>
      <c r="EG2669" s="501"/>
      <c r="EH2669" s="501"/>
      <c r="EI2669" s="501"/>
      <c r="EJ2669" s="501"/>
      <c r="EK2669" s="501"/>
      <c r="EL2669" s="501"/>
      <c r="EM2669" s="501"/>
      <c r="EN2669" s="501"/>
      <c r="EO2669" s="501"/>
      <c r="EP2669" s="501"/>
      <c r="EQ2669" s="501"/>
      <c r="ER2669" s="501"/>
      <c r="ES2669" s="501"/>
      <c r="ET2669" s="501"/>
      <c r="EU2669" s="501"/>
      <c r="EV2669" s="501"/>
      <c r="EW2669" s="501"/>
      <c r="EX2669" s="501"/>
      <c r="EY2669" s="501"/>
      <c r="EZ2669" s="501"/>
      <c r="FA2669" s="501"/>
      <c r="FB2669" s="501"/>
      <c r="FC2669" s="501"/>
      <c r="FD2669" s="501"/>
      <c r="FE2669" s="501"/>
      <c r="FF2669" s="501"/>
      <c r="FG2669" s="501"/>
      <c r="FH2669" s="501"/>
      <c r="FI2669" s="501"/>
      <c r="FJ2669" s="501"/>
      <c r="FK2669" s="501"/>
      <c r="FL2669" s="501"/>
      <c r="FM2669" s="501"/>
      <c r="FN2669" s="501"/>
      <c r="FO2669" s="501"/>
      <c r="FP2669" s="501"/>
      <c r="FQ2669" s="501"/>
      <c r="FR2669" s="501"/>
      <c r="FS2669" s="501"/>
      <c r="FT2669" s="501"/>
      <c r="FU2669" s="501"/>
      <c r="FV2669" s="501"/>
      <c r="FW2669" s="501"/>
      <c r="FX2669" s="501"/>
      <c r="FY2669" s="501"/>
      <c r="FZ2669" s="501"/>
      <c r="GA2669" s="501"/>
      <c r="GB2669" s="501"/>
      <c r="GC2669" s="501"/>
      <c r="GD2669" s="501"/>
      <c r="GE2669" s="501"/>
      <c r="GF2669" s="501"/>
      <c r="GG2669" s="501"/>
      <c r="GH2669" s="501"/>
      <c r="GI2669" s="501"/>
      <c r="GJ2669" s="501"/>
      <c r="GK2669" s="501"/>
      <c r="GL2669" s="501"/>
      <c r="GM2669" s="501"/>
      <c r="GN2669" s="501"/>
      <c r="GO2669" s="501"/>
      <c r="GP2669" s="501"/>
      <c r="GQ2669" s="501"/>
      <c r="GR2669" s="501"/>
      <c r="GS2669" s="501"/>
      <c r="GT2669" s="501"/>
      <c r="GU2669" s="501"/>
      <c r="GV2669" s="501"/>
      <c r="GW2669" s="501"/>
      <c r="GX2669" s="501"/>
      <c r="GY2669" s="501"/>
      <c r="GZ2669" s="501"/>
      <c r="HA2669" s="501"/>
      <c r="HB2669" s="501"/>
      <c r="HC2669" s="501"/>
      <c r="HD2669" s="501"/>
      <c r="HE2669" s="501"/>
      <c r="HF2669" s="501"/>
      <c r="HG2669" s="501"/>
      <c r="HH2669" s="501"/>
      <c r="HI2669" s="501"/>
      <c r="HJ2669" s="501"/>
      <c r="HK2669" s="501"/>
      <c r="HL2669" s="501"/>
      <c r="HM2669" s="501"/>
      <c r="HN2669" s="501"/>
      <c r="HO2669" s="501"/>
      <c r="HP2669" s="501"/>
      <c r="HQ2669" s="501"/>
      <c r="HR2669" s="501"/>
      <c r="HS2669" s="501"/>
      <c r="HT2669" s="501"/>
      <c r="HU2669" s="501"/>
      <c r="HV2669" s="501"/>
      <c r="HW2669" s="501"/>
      <c r="HX2669" s="501"/>
      <c r="HY2669" s="501"/>
      <c r="HZ2669" s="501"/>
      <c r="IA2669" s="501"/>
      <c r="IB2669" s="501"/>
      <c r="IC2669" s="501"/>
      <c r="ID2669" s="501"/>
      <c r="IE2669" s="501"/>
      <c r="IF2669" s="501"/>
      <c r="IG2669" s="501"/>
      <c r="IH2669" s="501"/>
      <c r="II2669" s="501"/>
      <c r="IJ2669" s="501"/>
      <c r="IK2669" s="501"/>
      <c r="IL2669" s="501"/>
      <c r="IM2669" s="501"/>
      <c r="IN2669" s="501"/>
      <c r="IO2669" s="501"/>
      <c r="IP2669" s="501"/>
      <c r="IQ2669" s="501"/>
      <c r="IR2669" s="501"/>
      <c r="IS2669" s="501"/>
      <c r="IT2669" s="501"/>
      <c r="IU2669" s="501"/>
    </row>
    <row r="2670" spans="1:255" s="877" customFormat="1" ht="24" customHeight="1">
      <c r="A2670" s="501"/>
      <c r="B2670" s="501"/>
      <c r="C2670" s="501"/>
      <c r="D2670" s="501"/>
      <c r="E2670" s="501"/>
      <c r="F2670" s="1071"/>
      <c r="G2670" s="1073"/>
      <c r="H2670" s="1071"/>
      <c r="I2670" s="1069"/>
      <c r="J2670" s="1088"/>
      <c r="K2670" s="1085"/>
      <c r="L2670" s="1086"/>
      <c r="M2670" s="1087"/>
      <c r="N2670" s="501"/>
      <c r="O2670" s="501"/>
      <c r="P2670" s="501"/>
      <c r="Q2670" s="501"/>
      <c r="R2670" s="501"/>
      <c r="S2670" s="501"/>
      <c r="T2670" s="501"/>
      <c r="V2670" s="501"/>
      <c r="W2670" s="501"/>
      <c r="X2670" s="501"/>
      <c r="Y2670" s="501"/>
      <c r="Z2670" s="501"/>
      <c r="AA2670" s="501"/>
      <c r="AB2670" s="501"/>
      <c r="AC2670" s="501"/>
      <c r="AD2670" s="501"/>
      <c r="AE2670" s="501"/>
      <c r="AF2670" s="501"/>
      <c r="AG2670" s="501"/>
      <c r="AH2670" s="501"/>
      <c r="AI2670" s="501"/>
      <c r="AJ2670" s="501"/>
      <c r="AK2670" s="501"/>
      <c r="AL2670" s="501"/>
      <c r="AM2670" s="501"/>
      <c r="AN2670" s="501"/>
      <c r="AO2670" s="501"/>
      <c r="AP2670" s="501"/>
      <c r="AQ2670" s="501"/>
      <c r="AR2670" s="501"/>
      <c r="AS2670" s="501"/>
      <c r="AT2670" s="501"/>
      <c r="AU2670" s="501"/>
      <c r="AV2670" s="501"/>
      <c r="AW2670" s="501"/>
      <c r="AX2670" s="501"/>
      <c r="AY2670" s="501"/>
      <c r="AZ2670" s="501"/>
      <c r="BA2670" s="501"/>
      <c r="BB2670" s="501"/>
      <c r="BC2670" s="501"/>
      <c r="BD2670" s="501"/>
      <c r="BE2670" s="501"/>
      <c r="BF2670" s="501"/>
      <c r="BG2670" s="501"/>
      <c r="BH2670" s="501"/>
      <c r="BI2670" s="501"/>
      <c r="BJ2670" s="501"/>
      <c r="BK2670" s="501"/>
      <c r="BL2670" s="501"/>
      <c r="BM2670" s="501"/>
      <c r="BN2670" s="501"/>
      <c r="BO2670" s="501"/>
      <c r="BP2670" s="501"/>
      <c r="BQ2670" s="501"/>
      <c r="BR2670" s="501"/>
      <c r="BS2670" s="501"/>
      <c r="BT2670" s="501"/>
      <c r="BU2670" s="501"/>
      <c r="BV2670" s="501"/>
      <c r="BW2670" s="501"/>
      <c r="BX2670" s="501"/>
      <c r="BY2670" s="501"/>
      <c r="BZ2670" s="501"/>
      <c r="CA2670" s="501"/>
      <c r="CB2670" s="501"/>
      <c r="CC2670" s="501"/>
      <c r="CD2670" s="501"/>
      <c r="CE2670" s="501"/>
      <c r="CF2670" s="501"/>
      <c r="CG2670" s="501"/>
      <c r="CH2670" s="501"/>
      <c r="CI2670" s="501"/>
      <c r="CJ2670" s="501"/>
      <c r="CK2670" s="501"/>
      <c r="CL2670" s="501"/>
      <c r="CM2670" s="501"/>
      <c r="CN2670" s="501"/>
      <c r="CO2670" s="501"/>
      <c r="CP2670" s="501"/>
      <c r="CQ2670" s="501"/>
      <c r="CR2670" s="501"/>
      <c r="CS2670" s="501"/>
      <c r="CT2670" s="501"/>
      <c r="CU2670" s="501"/>
      <c r="CV2670" s="501"/>
      <c r="CW2670" s="501"/>
      <c r="CX2670" s="501"/>
      <c r="CY2670" s="501"/>
      <c r="CZ2670" s="501"/>
      <c r="DA2670" s="501"/>
      <c r="DB2670" s="501"/>
      <c r="DC2670" s="501"/>
      <c r="DD2670" s="501"/>
      <c r="DE2670" s="501"/>
      <c r="DF2670" s="501"/>
      <c r="DG2670" s="501"/>
      <c r="DH2670" s="501"/>
      <c r="DI2670" s="501"/>
      <c r="DJ2670" s="501"/>
      <c r="DK2670" s="501"/>
      <c r="DL2670" s="501"/>
      <c r="DM2670" s="501"/>
      <c r="DN2670" s="501"/>
      <c r="DO2670" s="501"/>
      <c r="DP2670" s="501"/>
      <c r="DQ2670" s="501"/>
      <c r="DR2670" s="501"/>
      <c r="DS2670" s="501"/>
      <c r="DT2670" s="501"/>
      <c r="DU2670" s="501"/>
      <c r="DV2670" s="501"/>
      <c r="DW2670" s="501"/>
      <c r="DX2670" s="501"/>
      <c r="DY2670" s="501"/>
      <c r="DZ2670" s="501"/>
      <c r="EA2670" s="501"/>
      <c r="EB2670" s="501"/>
      <c r="EC2670" s="501"/>
      <c r="ED2670" s="501"/>
      <c r="EE2670" s="501"/>
      <c r="EF2670" s="501"/>
      <c r="EG2670" s="501"/>
      <c r="EH2670" s="501"/>
      <c r="EI2670" s="501"/>
      <c r="EJ2670" s="501"/>
      <c r="EK2670" s="501"/>
      <c r="EL2670" s="501"/>
      <c r="EM2670" s="501"/>
      <c r="EN2670" s="501"/>
      <c r="EO2670" s="501"/>
      <c r="EP2670" s="501"/>
      <c r="EQ2670" s="501"/>
      <c r="ER2670" s="501"/>
      <c r="ES2670" s="501"/>
      <c r="ET2670" s="501"/>
      <c r="EU2670" s="501"/>
      <c r="EV2670" s="501"/>
      <c r="EW2670" s="501"/>
      <c r="EX2670" s="501"/>
      <c r="EY2670" s="501"/>
      <c r="EZ2670" s="501"/>
      <c r="FA2670" s="501"/>
      <c r="FB2670" s="501"/>
      <c r="FC2670" s="501"/>
      <c r="FD2670" s="501"/>
      <c r="FE2670" s="501"/>
      <c r="FF2670" s="501"/>
      <c r="FG2670" s="501"/>
      <c r="FH2670" s="501"/>
      <c r="FI2670" s="501"/>
      <c r="FJ2670" s="501"/>
      <c r="FK2670" s="501"/>
      <c r="FL2670" s="501"/>
      <c r="FM2670" s="501"/>
      <c r="FN2670" s="501"/>
      <c r="FO2670" s="501"/>
      <c r="FP2670" s="501"/>
      <c r="FQ2670" s="501"/>
      <c r="FR2670" s="501"/>
      <c r="FS2670" s="501"/>
      <c r="FT2670" s="501"/>
      <c r="FU2670" s="501"/>
      <c r="FV2670" s="501"/>
      <c r="FW2670" s="501"/>
      <c r="FX2670" s="501"/>
      <c r="FY2670" s="501"/>
      <c r="FZ2670" s="501"/>
      <c r="GA2670" s="501"/>
      <c r="GB2670" s="501"/>
      <c r="GC2670" s="501"/>
      <c r="GD2670" s="501"/>
      <c r="GE2670" s="501"/>
      <c r="GF2670" s="501"/>
      <c r="GG2670" s="501"/>
      <c r="GH2670" s="501"/>
      <c r="GI2670" s="501"/>
      <c r="GJ2670" s="501"/>
      <c r="GK2670" s="501"/>
      <c r="GL2670" s="501"/>
      <c r="GM2670" s="501"/>
      <c r="GN2670" s="501"/>
      <c r="GO2670" s="501"/>
      <c r="GP2670" s="501"/>
      <c r="GQ2670" s="501"/>
      <c r="GR2670" s="501"/>
      <c r="GS2670" s="501"/>
      <c r="GT2670" s="501"/>
      <c r="GU2670" s="501"/>
      <c r="GV2670" s="501"/>
      <c r="GW2670" s="501"/>
      <c r="GX2670" s="501"/>
      <c r="GY2670" s="501"/>
      <c r="GZ2670" s="501"/>
      <c r="HA2670" s="501"/>
      <c r="HB2670" s="501"/>
      <c r="HC2670" s="501"/>
      <c r="HD2670" s="501"/>
      <c r="HE2670" s="501"/>
      <c r="HF2670" s="501"/>
      <c r="HG2670" s="501"/>
      <c r="HH2670" s="501"/>
      <c r="HI2670" s="501"/>
      <c r="HJ2670" s="501"/>
      <c r="HK2670" s="501"/>
      <c r="HL2670" s="501"/>
      <c r="HM2670" s="501"/>
      <c r="HN2670" s="501"/>
      <c r="HO2670" s="501"/>
      <c r="HP2670" s="501"/>
      <c r="HQ2670" s="501"/>
      <c r="HR2670" s="501"/>
      <c r="HS2670" s="501"/>
      <c r="HT2670" s="501"/>
      <c r="HU2670" s="501"/>
      <c r="HV2670" s="501"/>
      <c r="HW2670" s="501"/>
      <c r="HX2670" s="501"/>
      <c r="HY2670" s="501"/>
      <c r="HZ2670" s="501"/>
      <c r="IA2670" s="501"/>
      <c r="IB2670" s="501"/>
      <c r="IC2670" s="501"/>
      <c r="ID2670" s="501"/>
      <c r="IE2670" s="501"/>
      <c r="IF2670" s="501"/>
      <c r="IG2670" s="501"/>
      <c r="IH2670" s="501"/>
      <c r="II2670" s="501"/>
      <c r="IJ2670" s="501"/>
      <c r="IK2670" s="501"/>
      <c r="IL2670" s="501"/>
      <c r="IM2670" s="501"/>
      <c r="IN2670" s="501"/>
      <c r="IO2670" s="501"/>
      <c r="IP2670" s="501"/>
      <c r="IQ2670" s="501"/>
      <c r="IR2670" s="501"/>
      <c r="IS2670" s="501"/>
      <c r="IT2670" s="501"/>
      <c r="IU2670" s="501"/>
    </row>
    <row r="2671" spans="1:255" s="877" customFormat="1" ht="24" customHeight="1">
      <c r="A2671" s="501"/>
      <c r="B2671" s="501"/>
      <c r="C2671" s="501"/>
      <c r="D2671" s="501"/>
      <c r="E2671" s="501"/>
      <c r="F2671" s="1071"/>
      <c r="G2671" s="1073"/>
      <c r="H2671" s="1071"/>
      <c r="I2671" s="1069"/>
      <c r="J2671" s="1085"/>
      <c r="K2671" s="1085"/>
      <c r="L2671" s="1086"/>
      <c r="M2671" s="1087"/>
      <c r="N2671" s="501"/>
      <c r="O2671" s="501"/>
      <c r="P2671" s="501"/>
      <c r="Q2671" s="501"/>
      <c r="R2671" s="501"/>
      <c r="S2671" s="501"/>
      <c r="T2671" s="501"/>
      <c r="V2671" s="501"/>
      <c r="W2671" s="501"/>
      <c r="X2671" s="501"/>
      <c r="Y2671" s="501"/>
      <c r="Z2671" s="501"/>
      <c r="AA2671" s="501"/>
      <c r="AB2671" s="501"/>
      <c r="AC2671" s="501"/>
      <c r="AD2671" s="501"/>
      <c r="AE2671" s="501"/>
      <c r="AF2671" s="501"/>
      <c r="AG2671" s="501"/>
      <c r="AH2671" s="501"/>
      <c r="AI2671" s="501"/>
      <c r="AJ2671" s="501"/>
      <c r="AK2671" s="501"/>
      <c r="AL2671" s="501"/>
      <c r="AM2671" s="501"/>
      <c r="AN2671" s="501"/>
      <c r="AO2671" s="501"/>
      <c r="AP2671" s="501"/>
      <c r="AQ2671" s="501"/>
      <c r="AR2671" s="501"/>
      <c r="AS2671" s="501"/>
      <c r="AT2671" s="501"/>
      <c r="AU2671" s="501"/>
      <c r="AV2671" s="501"/>
      <c r="AW2671" s="501"/>
      <c r="AX2671" s="501"/>
      <c r="AY2671" s="501"/>
      <c r="AZ2671" s="501"/>
      <c r="BA2671" s="501"/>
      <c r="BB2671" s="501"/>
      <c r="BC2671" s="501"/>
      <c r="BD2671" s="501"/>
      <c r="BE2671" s="501"/>
      <c r="BF2671" s="501"/>
      <c r="BG2671" s="501"/>
      <c r="BH2671" s="501"/>
      <c r="BI2671" s="501"/>
      <c r="BJ2671" s="501"/>
      <c r="BK2671" s="501"/>
      <c r="BL2671" s="501"/>
      <c r="BM2671" s="501"/>
      <c r="BN2671" s="501"/>
      <c r="BO2671" s="501"/>
      <c r="BP2671" s="501"/>
      <c r="BQ2671" s="501"/>
      <c r="BR2671" s="501"/>
      <c r="BS2671" s="501"/>
      <c r="BT2671" s="501"/>
      <c r="BU2671" s="501"/>
      <c r="BV2671" s="501"/>
      <c r="BW2671" s="501"/>
      <c r="BX2671" s="501"/>
      <c r="BY2671" s="501"/>
      <c r="BZ2671" s="501"/>
      <c r="CA2671" s="501"/>
      <c r="CB2671" s="501"/>
      <c r="CC2671" s="501"/>
      <c r="CD2671" s="501"/>
      <c r="CE2671" s="501"/>
      <c r="CF2671" s="501"/>
      <c r="CG2671" s="501"/>
      <c r="CH2671" s="501"/>
      <c r="CI2671" s="501"/>
      <c r="CJ2671" s="501"/>
      <c r="CK2671" s="501"/>
      <c r="CL2671" s="501"/>
      <c r="CM2671" s="501"/>
      <c r="CN2671" s="501"/>
      <c r="CO2671" s="501"/>
      <c r="CP2671" s="501"/>
      <c r="CQ2671" s="501"/>
      <c r="CR2671" s="501"/>
      <c r="CS2671" s="501"/>
      <c r="CT2671" s="501"/>
      <c r="CU2671" s="501"/>
      <c r="CV2671" s="501"/>
      <c r="CW2671" s="501"/>
      <c r="CX2671" s="501"/>
      <c r="CY2671" s="501"/>
      <c r="CZ2671" s="501"/>
      <c r="DA2671" s="501"/>
      <c r="DB2671" s="501"/>
      <c r="DC2671" s="501"/>
      <c r="DD2671" s="501"/>
      <c r="DE2671" s="501"/>
      <c r="DF2671" s="501"/>
      <c r="DG2671" s="501"/>
      <c r="DH2671" s="501"/>
      <c r="DI2671" s="501"/>
      <c r="DJ2671" s="501"/>
      <c r="DK2671" s="501"/>
      <c r="DL2671" s="501"/>
      <c r="DM2671" s="501"/>
      <c r="DN2671" s="501"/>
      <c r="DO2671" s="501"/>
      <c r="DP2671" s="501"/>
      <c r="DQ2671" s="501"/>
      <c r="DR2671" s="501"/>
      <c r="DS2671" s="501"/>
      <c r="DT2671" s="501"/>
      <c r="DU2671" s="501"/>
      <c r="DV2671" s="501"/>
      <c r="DW2671" s="501"/>
      <c r="DX2671" s="501"/>
      <c r="DY2671" s="501"/>
      <c r="DZ2671" s="501"/>
      <c r="EA2671" s="501"/>
      <c r="EB2671" s="501"/>
      <c r="EC2671" s="501"/>
      <c r="ED2671" s="501"/>
      <c r="EE2671" s="501"/>
      <c r="EF2671" s="501"/>
      <c r="EG2671" s="501"/>
      <c r="EH2671" s="501"/>
      <c r="EI2671" s="501"/>
      <c r="EJ2671" s="501"/>
      <c r="EK2671" s="501"/>
      <c r="EL2671" s="501"/>
      <c r="EM2671" s="501"/>
      <c r="EN2671" s="501"/>
      <c r="EO2671" s="501"/>
      <c r="EP2671" s="501"/>
      <c r="EQ2671" s="501"/>
      <c r="ER2671" s="501"/>
      <c r="ES2671" s="501"/>
      <c r="ET2671" s="501"/>
      <c r="EU2671" s="501"/>
      <c r="EV2671" s="501"/>
      <c r="EW2671" s="501"/>
      <c r="EX2671" s="501"/>
      <c r="EY2671" s="501"/>
      <c r="EZ2671" s="501"/>
      <c r="FA2671" s="501"/>
      <c r="FB2671" s="501"/>
      <c r="FC2671" s="501"/>
      <c r="FD2671" s="501"/>
      <c r="FE2671" s="501"/>
      <c r="FF2671" s="501"/>
      <c r="FG2671" s="501"/>
      <c r="FH2671" s="501"/>
      <c r="FI2671" s="501"/>
      <c r="FJ2671" s="501"/>
      <c r="FK2671" s="501"/>
      <c r="FL2671" s="501"/>
      <c r="FM2671" s="501"/>
      <c r="FN2671" s="501"/>
      <c r="FO2671" s="501"/>
      <c r="FP2671" s="501"/>
      <c r="FQ2671" s="501"/>
      <c r="FR2671" s="501"/>
      <c r="FS2671" s="501"/>
      <c r="FT2671" s="501"/>
      <c r="FU2671" s="501"/>
      <c r="FV2671" s="501"/>
      <c r="FW2671" s="501"/>
      <c r="FX2671" s="501"/>
      <c r="FY2671" s="501"/>
      <c r="FZ2671" s="501"/>
      <c r="GA2671" s="501"/>
      <c r="GB2671" s="501"/>
      <c r="GC2671" s="501"/>
      <c r="GD2671" s="501"/>
      <c r="GE2671" s="501"/>
      <c r="GF2671" s="501"/>
      <c r="GG2671" s="501"/>
      <c r="GH2671" s="501"/>
      <c r="GI2671" s="501"/>
      <c r="GJ2671" s="501"/>
      <c r="GK2671" s="501"/>
      <c r="GL2671" s="501"/>
      <c r="GM2671" s="501"/>
      <c r="GN2671" s="501"/>
      <c r="GO2671" s="501"/>
      <c r="GP2671" s="501"/>
      <c r="GQ2671" s="501"/>
      <c r="GR2671" s="501"/>
      <c r="GS2671" s="501"/>
      <c r="GT2671" s="501"/>
      <c r="GU2671" s="501"/>
      <c r="GV2671" s="501"/>
      <c r="GW2671" s="501"/>
      <c r="GX2671" s="501"/>
      <c r="GY2671" s="501"/>
      <c r="GZ2671" s="501"/>
      <c r="HA2671" s="501"/>
      <c r="HB2671" s="501"/>
      <c r="HC2671" s="501"/>
      <c r="HD2671" s="501"/>
      <c r="HE2671" s="501"/>
      <c r="HF2671" s="501"/>
      <c r="HG2671" s="501"/>
      <c r="HH2671" s="501"/>
      <c r="HI2671" s="501"/>
      <c r="HJ2671" s="501"/>
      <c r="HK2671" s="501"/>
      <c r="HL2671" s="501"/>
      <c r="HM2671" s="501"/>
      <c r="HN2671" s="501"/>
      <c r="HO2671" s="501"/>
      <c r="HP2671" s="501"/>
      <c r="HQ2671" s="501"/>
      <c r="HR2671" s="501"/>
      <c r="HS2671" s="501"/>
      <c r="HT2671" s="501"/>
      <c r="HU2671" s="501"/>
      <c r="HV2671" s="501"/>
      <c r="HW2671" s="501"/>
      <c r="HX2671" s="501"/>
      <c r="HY2671" s="501"/>
      <c r="HZ2671" s="501"/>
      <c r="IA2671" s="501"/>
      <c r="IB2671" s="501"/>
      <c r="IC2671" s="501"/>
      <c r="ID2671" s="501"/>
      <c r="IE2671" s="501"/>
      <c r="IF2671" s="501"/>
      <c r="IG2671" s="501"/>
      <c r="IH2671" s="501"/>
      <c r="II2671" s="501"/>
      <c r="IJ2671" s="501"/>
      <c r="IK2671" s="501"/>
      <c r="IL2671" s="501"/>
      <c r="IM2671" s="501"/>
      <c r="IN2671" s="501"/>
      <c r="IO2671" s="501"/>
      <c r="IP2671" s="501"/>
      <c r="IQ2671" s="501"/>
      <c r="IR2671" s="501"/>
      <c r="IS2671" s="501"/>
      <c r="IT2671" s="501"/>
      <c r="IU2671" s="501"/>
    </row>
    <row r="2672" spans="1:255" s="877" customFormat="1" ht="24" customHeight="1">
      <c r="A2672" s="501"/>
      <c r="B2672" s="501"/>
      <c r="C2672" s="501"/>
      <c r="D2672" s="501"/>
      <c r="E2672" s="501"/>
      <c r="F2672" s="1071"/>
      <c r="G2672" s="1073"/>
      <c r="H2672" s="1071"/>
      <c r="I2672" s="1069"/>
      <c r="J2672" s="1085"/>
      <c r="K2672" s="1085"/>
      <c r="L2672" s="1086"/>
      <c r="M2672" s="1089"/>
      <c r="N2672" s="501"/>
      <c r="O2672" s="501"/>
      <c r="P2672" s="501"/>
      <c r="Q2672" s="501"/>
      <c r="R2672" s="501"/>
      <c r="S2672" s="501"/>
      <c r="T2672" s="501"/>
      <c r="V2672" s="501"/>
      <c r="W2672" s="501"/>
      <c r="X2672" s="501"/>
      <c r="Y2672" s="501"/>
      <c r="Z2672" s="501"/>
      <c r="AA2672" s="501"/>
      <c r="AB2672" s="501"/>
      <c r="AC2672" s="501"/>
      <c r="AD2672" s="501"/>
      <c r="AE2672" s="501"/>
      <c r="AF2672" s="501"/>
      <c r="AG2672" s="501"/>
      <c r="AH2672" s="501"/>
      <c r="AI2672" s="501"/>
      <c r="AJ2672" s="501"/>
      <c r="AK2672" s="501"/>
      <c r="AL2672" s="501"/>
      <c r="AM2672" s="501"/>
      <c r="AN2672" s="501"/>
      <c r="AO2672" s="501"/>
      <c r="AP2672" s="501"/>
      <c r="AQ2672" s="501"/>
      <c r="AR2672" s="501"/>
      <c r="AS2672" s="501"/>
      <c r="AT2672" s="501"/>
      <c r="AU2672" s="501"/>
      <c r="AV2672" s="501"/>
      <c r="AW2672" s="501"/>
      <c r="AX2672" s="501"/>
      <c r="AY2672" s="501"/>
      <c r="AZ2672" s="501"/>
      <c r="BA2672" s="501"/>
      <c r="BB2672" s="501"/>
      <c r="BC2672" s="501"/>
      <c r="BD2672" s="501"/>
      <c r="BE2672" s="501"/>
      <c r="BF2672" s="501"/>
      <c r="BG2672" s="501"/>
      <c r="BH2672" s="501"/>
      <c r="BI2672" s="501"/>
      <c r="BJ2672" s="501"/>
      <c r="BK2672" s="501"/>
      <c r="BL2672" s="501"/>
      <c r="BM2672" s="501"/>
      <c r="BN2672" s="501"/>
      <c r="BO2672" s="501"/>
      <c r="BP2672" s="501"/>
      <c r="BQ2672" s="501"/>
      <c r="BR2672" s="501"/>
      <c r="BS2672" s="501"/>
      <c r="BT2672" s="501"/>
      <c r="BU2672" s="501"/>
      <c r="BV2672" s="501"/>
      <c r="BW2672" s="501"/>
      <c r="BX2672" s="501"/>
      <c r="BY2672" s="501"/>
      <c r="BZ2672" s="501"/>
      <c r="CA2672" s="501"/>
      <c r="CB2672" s="501"/>
      <c r="CC2672" s="501"/>
      <c r="CD2672" s="501"/>
      <c r="CE2672" s="501"/>
      <c r="CF2672" s="501"/>
      <c r="CG2672" s="501"/>
      <c r="CH2672" s="501"/>
      <c r="CI2672" s="501"/>
      <c r="CJ2672" s="501"/>
      <c r="CK2672" s="501"/>
      <c r="CL2672" s="501"/>
      <c r="CM2672" s="501"/>
      <c r="CN2672" s="501"/>
      <c r="CO2672" s="501"/>
      <c r="CP2672" s="501"/>
      <c r="CQ2672" s="501"/>
      <c r="CR2672" s="501"/>
      <c r="CS2672" s="501"/>
      <c r="CT2672" s="501"/>
      <c r="CU2672" s="501"/>
      <c r="CV2672" s="501"/>
      <c r="CW2672" s="501"/>
      <c r="CX2672" s="501"/>
      <c r="CY2672" s="501"/>
      <c r="CZ2672" s="501"/>
      <c r="DA2672" s="501"/>
      <c r="DB2672" s="501"/>
      <c r="DC2672" s="501"/>
      <c r="DD2672" s="501"/>
      <c r="DE2672" s="501"/>
      <c r="DF2672" s="501"/>
      <c r="DG2672" s="501"/>
      <c r="DH2672" s="501"/>
      <c r="DI2672" s="501"/>
      <c r="DJ2672" s="501"/>
      <c r="DK2672" s="501"/>
      <c r="DL2672" s="501"/>
      <c r="DM2672" s="501"/>
      <c r="DN2672" s="501"/>
      <c r="DO2672" s="501"/>
      <c r="DP2672" s="501"/>
      <c r="DQ2672" s="501"/>
      <c r="DR2672" s="501"/>
      <c r="DS2672" s="501"/>
      <c r="DT2672" s="501"/>
      <c r="DU2672" s="501"/>
      <c r="DV2672" s="501"/>
      <c r="DW2672" s="501"/>
      <c r="DX2672" s="501"/>
      <c r="DY2672" s="501"/>
      <c r="DZ2672" s="501"/>
      <c r="EA2672" s="501"/>
      <c r="EB2672" s="501"/>
      <c r="EC2672" s="501"/>
      <c r="ED2672" s="501"/>
      <c r="EE2672" s="501"/>
      <c r="EF2672" s="501"/>
      <c r="EG2672" s="501"/>
      <c r="EH2672" s="501"/>
      <c r="EI2672" s="501"/>
      <c r="EJ2672" s="501"/>
      <c r="EK2672" s="501"/>
      <c r="EL2672" s="501"/>
      <c r="EM2672" s="501"/>
      <c r="EN2672" s="501"/>
      <c r="EO2672" s="501"/>
      <c r="EP2672" s="501"/>
      <c r="EQ2672" s="501"/>
      <c r="ER2672" s="501"/>
      <c r="ES2672" s="501"/>
      <c r="ET2672" s="501"/>
      <c r="EU2672" s="501"/>
      <c r="EV2672" s="501"/>
      <c r="EW2672" s="501"/>
      <c r="EX2672" s="501"/>
      <c r="EY2672" s="501"/>
      <c r="EZ2672" s="501"/>
      <c r="FA2672" s="501"/>
      <c r="FB2672" s="501"/>
      <c r="FC2672" s="501"/>
      <c r="FD2672" s="501"/>
      <c r="FE2672" s="501"/>
      <c r="FF2672" s="501"/>
      <c r="FG2672" s="501"/>
      <c r="FH2672" s="501"/>
      <c r="FI2672" s="501"/>
      <c r="FJ2672" s="501"/>
      <c r="FK2672" s="501"/>
      <c r="FL2672" s="501"/>
      <c r="FM2672" s="501"/>
      <c r="FN2672" s="501"/>
      <c r="FO2672" s="501"/>
      <c r="FP2672" s="501"/>
      <c r="FQ2672" s="501"/>
      <c r="FR2672" s="501"/>
      <c r="FS2672" s="501"/>
      <c r="FT2672" s="501"/>
      <c r="FU2672" s="501"/>
      <c r="FV2672" s="501"/>
      <c r="FW2672" s="501"/>
      <c r="FX2672" s="501"/>
      <c r="FY2672" s="501"/>
      <c r="FZ2672" s="501"/>
      <c r="GA2672" s="501"/>
      <c r="GB2672" s="501"/>
      <c r="GC2672" s="501"/>
      <c r="GD2672" s="501"/>
      <c r="GE2672" s="501"/>
      <c r="GF2672" s="501"/>
      <c r="GG2672" s="501"/>
      <c r="GH2672" s="501"/>
      <c r="GI2672" s="501"/>
      <c r="GJ2672" s="501"/>
      <c r="GK2672" s="501"/>
      <c r="GL2672" s="501"/>
      <c r="GM2672" s="501"/>
      <c r="GN2672" s="501"/>
      <c r="GO2672" s="501"/>
      <c r="GP2672" s="501"/>
      <c r="GQ2672" s="501"/>
      <c r="GR2672" s="501"/>
      <c r="GS2672" s="501"/>
      <c r="GT2672" s="501"/>
      <c r="GU2672" s="501"/>
      <c r="GV2672" s="501"/>
      <c r="GW2672" s="501"/>
      <c r="GX2672" s="501"/>
      <c r="GY2672" s="501"/>
      <c r="GZ2672" s="501"/>
      <c r="HA2672" s="501"/>
      <c r="HB2672" s="501"/>
      <c r="HC2672" s="501"/>
      <c r="HD2672" s="501"/>
      <c r="HE2672" s="501"/>
      <c r="HF2672" s="501"/>
      <c r="HG2672" s="501"/>
      <c r="HH2672" s="501"/>
      <c r="HI2672" s="501"/>
      <c r="HJ2672" s="501"/>
      <c r="HK2672" s="501"/>
      <c r="HL2672" s="501"/>
      <c r="HM2672" s="501"/>
      <c r="HN2672" s="501"/>
      <c r="HO2672" s="501"/>
      <c r="HP2672" s="501"/>
      <c r="HQ2672" s="501"/>
      <c r="HR2672" s="501"/>
      <c r="HS2672" s="501"/>
      <c r="HT2672" s="501"/>
      <c r="HU2672" s="501"/>
      <c r="HV2672" s="501"/>
      <c r="HW2672" s="501"/>
      <c r="HX2672" s="501"/>
      <c r="HY2672" s="501"/>
      <c r="HZ2672" s="501"/>
      <c r="IA2672" s="501"/>
      <c r="IB2672" s="501"/>
      <c r="IC2672" s="501"/>
      <c r="ID2672" s="501"/>
      <c r="IE2672" s="501"/>
      <c r="IF2672" s="501"/>
      <c r="IG2672" s="501"/>
      <c r="IH2672" s="501"/>
      <c r="II2672" s="501"/>
      <c r="IJ2672" s="501"/>
      <c r="IK2672" s="501"/>
      <c r="IL2672" s="501"/>
      <c r="IM2672" s="501"/>
      <c r="IN2672" s="501"/>
      <c r="IO2672" s="501"/>
      <c r="IP2672" s="501"/>
      <c r="IQ2672" s="501"/>
      <c r="IR2672" s="501"/>
      <c r="IS2672" s="501"/>
      <c r="IT2672" s="501"/>
      <c r="IU2672" s="501"/>
    </row>
    <row r="2673" spans="1:255" s="877" customFormat="1" ht="24" customHeight="1">
      <c r="A2673" s="501"/>
      <c r="B2673" s="501"/>
      <c r="C2673" s="501"/>
      <c r="D2673" s="501"/>
      <c r="E2673" s="501"/>
      <c r="F2673" s="1066"/>
      <c r="G2673" s="1090"/>
      <c r="H2673" s="1066"/>
      <c r="I2673" s="1066"/>
      <c r="J2673" s="1066"/>
      <c r="K2673" s="1066"/>
      <c r="L2673" s="1066"/>
      <c r="M2673" s="1091"/>
      <c r="N2673" s="501"/>
      <c r="O2673" s="501"/>
      <c r="P2673" s="501"/>
      <c r="Q2673" s="501"/>
      <c r="R2673" s="501"/>
      <c r="S2673" s="501"/>
      <c r="T2673" s="501"/>
      <c r="V2673" s="501"/>
      <c r="W2673" s="501"/>
      <c r="X2673" s="501"/>
      <c r="Y2673" s="501"/>
      <c r="Z2673" s="501"/>
      <c r="AA2673" s="501"/>
      <c r="AB2673" s="501"/>
      <c r="AC2673" s="501"/>
      <c r="AD2673" s="501"/>
      <c r="AE2673" s="501"/>
      <c r="AF2673" s="501"/>
      <c r="AG2673" s="501"/>
      <c r="AH2673" s="501"/>
      <c r="AI2673" s="501"/>
      <c r="AJ2673" s="501"/>
      <c r="AK2673" s="501"/>
      <c r="AL2673" s="501"/>
      <c r="AM2673" s="501"/>
      <c r="AN2673" s="501"/>
      <c r="AO2673" s="501"/>
      <c r="AP2673" s="501"/>
      <c r="AQ2673" s="501"/>
      <c r="AR2673" s="501"/>
      <c r="AS2673" s="501"/>
      <c r="AT2673" s="501"/>
      <c r="AU2673" s="501"/>
      <c r="AV2673" s="501"/>
      <c r="AW2673" s="501"/>
      <c r="AX2673" s="501"/>
      <c r="AY2673" s="501"/>
      <c r="AZ2673" s="501"/>
      <c r="BA2673" s="501"/>
      <c r="BB2673" s="501"/>
      <c r="BC2673" s="501"/>
      <c r="BD2673" s="501"/>
      <c r="BE2673" s="501"/>
      <c r="BF2673" s="501"/>
      <c r="BG2673" s="501"/>
      <c r="BH2673" s="501"/>
      <c r="BI2673" s="501"/>
      <c r="BJ2673" s="501"/>
      <c r="BK2673" s="501"/>
      <c r="BL2673" s="501"/>
      <c r="BM2673" s="501"/>
      <c r="BN2673" s="501"/>
      <c r="BO2673" s="501"/>
      <c r="BP2673" s="501"/>
      <c r="BQ2673" s="501"/>
      <c r="BR2673" s="501"/>
      <c r="BS2673" s="501"/>
      <c r="BT2673" s="501"/>
      <c r="BU2673" s="501"/>
      <c r="BV2673" s="501"/>
      <c r="BW2673" s="501"/>
      <c r="BX2673" s="501"/>
      <c r="BY2673" s="501"/>
      <c r="BZ2673" s="501"/>
      <c r="CA2673" s="501"/>
      <c r="CB2673" s="501"/>
      <c r="CC2673" s="501"/>
      <c r="CD2673" s="501"/>
      <c r="CE2673" s="501"/>
      <c r="CF2673" s="501"/>
      <c r="CG2673" s="501"/>
      <c r="CH2673" s="501"/>
      <c r="CI2673" s="501"/>
      <c r="CJ2673" s="501"/>
      <c r="CK2673" s="501"/>
      <c r="CL2673" s="501"/>
      <c r="CM2673" s="501"/>
      <c r="CN2673" s="501"/>
      <c r="CO2673" s="501"/>
      <c r="CP2673" s="501"/>
      <c r="CQ2673" s="501"/>
      <c r="CR2673" s="501"/>
      <c r="CS2673" s="501"/>
      <c r="CT2673" s="501"/>
      <c r="CU2673" s="501"/>
      <c r="CV2673" s="501"/>
      <c r="CW2673" s="501"/>
      <c r="CX2673" s="501"/>
      <c r="CY2673" s="501"/>
      <c r="CZ2673" s="501"/>
      <c r="DA2673" s="501"/>
      <c r="DB2673" s="501"/>
      <c r="DC2673" s="501"/>
      <c r="DD2673" s="501"/>
      <c r="DE2673" s="501"/>
      <c r="DF2673" s="501"/>
      <c r="DG2673" s="501"/>
      <c r="DH2673" s="501"/>
      <c r="DI2673" s="501"/>
      <c r="DJ2673" s="501"/>
      <c r="DK2673" s="501"/>
      <c r="DL2673" s="501"/>
      <c r="DM2673" s="501"/>
      <c r="DN2673" s="501"/>
      <c r="DO2673" s="501"/>
      <c r="DP2673" s="501"/>
      <c r="DQ2673" s="501"/>
      <c r="DR2673" s="501"/>
      <c r="DS2673" s="501"/>
      <c r="DT2673" s="501"/>
      <c r="DU2673" s="501"/>
      <c r="DV2673" s="501"/>
      <c r="DW2673" s="501"/>
      <c r="DX2673" s="501"/>
      <c r="DY2673" s="501"/>
      <c r="DZ2673" s="501"/>
      <c r="EA2673" s="501"/>
      <c r="EB2673" s="501"/>
      <c r="EC2673" s="501"/>
      <c r="ED2673" s="501"/>
      <c r="EE2673" s="501"/>
      <c r="EF2673" s="501"/>
      <c r="EG2673" s="501"/>
      <c r="EH2673" s="501"/>
      <c r="EI2673" s="501"/>
      <c r="EJ2673" s="501"/>
      <c r="EK2673" s="501"/>
      <c r="EL2673" s="501"/>
      <c r="EM2673" s="501"/>
      <c r="EN2673" s="501"/>
      <c r="EO2673" s="501"/>
      <c r="EP2673" s="501"/>
      <c r="EQ2673" s="501"/>
      <c r="ER2673" s="501"/>
      <c r="ES2673" s="501"/>
      <c r="ET2673" s="501"/>
      <c r="EU2673" s="501"/>
      <c r="EV2673" s="501"/>
      <c r="EW2673" s="501"/>
      <c r="EX2673" s="501"/>
      <c r="EY2673" s="501"/>
      <c r="EZ2673" s="501"/>
      <c r="FA2673" s="501"/>
      <c r="FB2673" s="501"/>
      <c r="FC2673" s="501"/>
      <c r="FD2673" s="501"/>
      <c r="FE2673" s="501"/>
      <c r="FF2673" s="501"/>
      <c r="FG2673" s="501"/>
      <c r="FH2673" s="501"/>
      <c r="FI2673" s="501"/>
      <c r="FJ2673" s="501"/>
      <c r="FK2673" s="501"/>
      <c r="FL2673" s="501"/>
      <c r="FM2673" s="501"/>
      <c r="FN2673" s="501"/>
      <c r="FO2673" s="501"/>
      <c r="FP2673" s="501"/>
      <c r="FQ2673" s="501"/>
      <c r="FR2673" s="501"/>
      <c r="FS2673" s="501"/>
      <c r="FT2673" s="501"/>
      <c r="FU2673" s="501"/>
      <c r="FV2673" s="501"/>
      <c r="FW2673" s="501"/>
      <c r="FX2673" s="501"/>
      <c r="FY2673" s="501"/>
      <c r="FZ2673" s="501"/>
      <c r="GA2673" s="501"/>
      <c r="GB2673" s="501"/>
      <c r="GC2673" s="501"/>
      <c r="GD2673" s="501"/>
      <c r="GE2673" s="501"/>
      <c r="GF2673" s="501"/>
      <c r="GG2673" s="501"/>
      <c r="GH2673" s="501"/>
      <c r="GI2673" s="501"/>
      <c r="GJ2673" s="501"/>
      <c r="GK2673" s="501"/>
      <c r="GL2673" s="501"/>
      <c r="GM2673" s="501"/>
      <c r="GN2673" s="501"/>
      <c r="GO2673" s="501"/>
      <c r="GP2673" s="501"/>
      <c r="GQ2673" s="501"/>
      <c r="GR2673" s="501"/>
      <c r="GS2673" s="501"/>
      <c r="GT2673" s="501"/>
      <c r="GU2673" s="501"/>
      <c r="GV2673" s="501"/>
      <c r="GW2673" s="501"/>
      <c r="GX2673" s="501"/>
      <c r="GY2673" s="501"/>
      <c r="GZ2673" s="501"/>
      <c r="HA2673" s="501"/>
      <c r="HB2673" s="501"/>
      <c r="HC2673" s="501"/>
      <c r="HD2673" s="501"/>
      <c r="HE2673" s="501"/>
      <c r="HF2673" s="501"/>
      <c r="HG2673" s="501"/>
      <c r="HH2673" s="501"/>
      <c r="HI2673" s="501"/>
      <c r="HJ2673" s="501"/>
      <c r="HK2673" s="501"/>
      <c r="HL2673" s="501"/>
      <c r="HM2673" s="501"/>
      <c r="HN2673" s="501"/>
      <c r="HO2673" s="501"/>
      <c r="HP2673" s="501"/>
      <c r="HQ2673" s="501"/>
      <c r="HR2673" s="501"/>
      <c r="HS2673" s="501"/>
      <c r="HT2673" s="501"/>
      <c r="HU2673" s="501"/>
      <c r="HV2673" s="501"/>
      <c r="HW2673" s="501"/>
      <c r="HX2673" s="501"/>
      <c r="HY2673" s="501"/>
      <c r="HZ2673" s="501"/>
      <c r="IA2673" s="501"/>
      <c r="IB2673" s="501"/>
      <c r="IC2673" s="501"/>
      <c r="ID2673" s="501"/>
      <c r="IE2673" s="501"/>
      <c r="IF2673" s="501"/>
      <c r="IG2673" s="501"/>
      <c r="IH2673" s="501"/>
      <c r="II2673" s="501"/>
      <c r="IJ2673" s="501"/>
      <c r="IK2673" s="501"/>
      <c r="IL2673" s="501"/>
      <c r="IM2673" s="501"/>
      <c r="IN2673" s="501"/>
      <c r="IO2673" s="501"/>
      <c r="IP2673" s="501"/>
      <c r="IQ2673" s="501"/>
      <c r="IR2673" s="501"/>
      <c r="IS2673" s="501"/>
      <c r="IT2673" s="501"/>
      <c r="IU2673" s="501"/>
    </row>
    <row r="2674" spans="1:255" s="877" customFormat="1" ht="24" customHeight="1">
      <c r="A2674" s="501"/>
      <c r="B2674" s="501"/>
      <c r="C2674" s="501"/>
      <c r="D2674" s="501"/>
      <c r="E2674" s="501"/>
      <c r="F2674" s="1092"/>
      <c r="G2674" s="1093"/>
      <c r="H2674" s="1092"/>
      <c r="I2674" s="874"/>
      <c r="J2674" s="501"/>
      <c r="K2674" s="501"/>
      <c r="L2674" s="874"/>
      <c r="M2674" s="1094"/>
      <c r="N2674" s="501"/>
      <c r="O2674" s="501"/>
      <c r="P2674" s="501"/>
      <c r="Q2674" s="501"/>
      <c r="R2674" s="501"/>
      <c r="S2674" s="501"/>
      <c r="T2674" s="501"/>
      <c r="V2674" s="501"/>
      <c r="W2674" s="501"/>
      <c r="X2674" s="501"/>
      <c r="Y2674" s="501"/>
      <c r="Z2674" s="501"/>
      <c r="AA2674" s="501"/>
      <c r="AB2674" s="501"/>
      <c r="AC2674" s="501"/>
      <c r="AD2674" s="501"/>
      <c r="AE2674" s="501"/>
      <c r="AF2674" s="501"/>
      <c r="AG2674" s="501"/>
      <c r="AH2674" s="501"/>
      <c r="AI2674" s="501"/>
      <c r="AJ2674" s="501"/>
      <c r="AK2674" s="501"/>
      <c r="AL2674" s="501"/>
      <c r="AM2674" s="501"/>
      <c r="AN2674" s="501"/>
      <c r="AO2674" s="501"/>
      <c r="AP2674" s="501"/>
      <c r="AQ2674" s="501"/>
      <c r="AR2674" s="501"/>
      <c r="AS2674" s="501"/>
      <c r="AT2674" s="501"/>
      <c r="AU2674" s="501"/>
      <c r="AV2674" s="501"/>
      <c r="AW2674" s="501"/>
      <c r="AX2674" s="501"/>
      <c r="AY2674" s="501"/>
      <c r="AZ2674" s="501"/>
      <c r="BA2674" s="501"/>
      <c r="BB2674" s="501"/>
      <c r="BC2674" s="501"/>
      <c r="BD2674" s="501"/>
      <c r="BE2674" s="501"/>
      <c r="BF2674" s="501"/>
      <c r="BG2674" s="501"/>
      <c r="BH2674" s="501"/>
      <c r="BI2674" s="501"/>
      <c r="BJ2674" s="501"/>
      <c r="BK2674" s="501"/>
      <c r="BL2674" s="501"/>
      <c r="BM2674" s="501"/>
      <c r="BN2674" s="501"/>
      <c r="BO2674" s="501"/>
      <c r="BP2674" s="501"/>
      <c r="BQ2674" s="501"/>
      <c r="BR2674" s="501"/>
      <c r="BS2674" s="501"/>
      <c r="BT2674" s="501"/>
      <c r="BU2674" s="501"/>
      <c r="BV2674" s="501"/>
      <c r="BW2674" s="501"/>
      <c r="BX2674" s="501"/>
      <c r="BY2674" s="501"/>
      <c r="BZ2674" s="501"/>
      <c r="CA2674" s="501"/>
      <c r="CB2674" s="501"/>
      <c r="CC2674" s="501"/>
      <c r="CD2674" s="501"/>
      <c r="CE2674" s="501"/>
      <c r="CF2674" s="501"/>
      <c r="CG2674" s="501"/>
      <c r="CH2674" s="501"/>
      <c r="CI2674" s="501"/>
      <c r="CJ2674" s="501"/>
      <c r="CK2674" s="501"/>
      <c r="CL2674" s="501"/>
      <c r="CM2674" s="501"/>
      <c r="CN2674" s="501"/>
      <c r="CO2674" s="501"/>
      <c r="CP2674" s="501"/>
      <c r="CQ2674" s="501"/>
      <c r="CR2674" s="501"/>
      <c r="CS2674" s="501"/>
      <c r="CT2674" s="501"/>
      <c r="CU2674" s="501"/>
      <c r="CV2674" s="501"/>
      <c r="CW2674" s="501"/>
      <c r="CX2674" s="501"/>
      <c r="CY2674" s="501"/>
      <c r="CZ2674" s="501"/>
      <c r="DA2674" s="501"/>
      <c r="DB2674" s="501"/>
      <c r="DC2674" s="501"/>
      <c r="DD2674" s="501"/>
      <c r="DE2674" s="501"/>
      <c r="DF2674" s="501"/>
      <c r="DG2674" s="501"/>
      <c r="DH2674" s="501"/>
      <c r="DI2674" s="501"/>
      <c r="DJ2674" s="501"/>
      <c r="DK2674" s="501"/>
      <c r="DL2674" s="501"/>
      <c r="DM2674" s="501"/>
      <c r="DN2674" s="501"/>
      <c r="DO2674" s="501"/>
      <c r="DP2674" s="501"/>
      <c r="DQ2674" s="501"/>
      <c r="DR2674" s="501"/>
      <c r="DS2674" s="501"/>
      <c r="DT2674" s="501"/>
      <c r="DU2674" s="501"/>
      <c r="DV2674" s="501"/>
      <c r="DW2674" s="501"/>
      <c r="DX2674" s="501"/>
      <c r="DY2674" s="501"/>
      <c r="DZ2674" s="501"/>
      <c r="EA2674" s="501"/>
      <c r="EB2674" s="501"/>
      <c r="EC2674" s="501"/>
      <c r="ED2674" s="501"/>
      <c r="EE2674" s="501"/>
      <c r="EF2674" s="501"/>
      <c r="EG2674" s="501"/>
      <c r="EH2674" s="501"/>
      <c r="EI2674" s="501"/>
      <c r="EJ2674" s="501"/>
      <c r="EK2674" s="501"/>
      <c r="EL2674" s="501"/>
      <c r="EM2674" s="501"/>
      <c r="EN2674" s="501"/>
      <c r="EO2674" s="501"/>
      <c r="EP2674" s="501"/>
      <c r="EQ2674" s="501"/>
      <c r="ER2674" s="501"/>
      <c r="ES2674" s="501"/>
      <c r="ET2674" s="501"/>
      <c r="EU2674" s="501"/>
      <c r="EV2674" s="501"/>
      <c r="EW2674" s="501"/>
      <c r="EX2674" s="501"/>
      <c r="EY2674" s="501"/>
      <c r="EZ2674" s="501"/>
      <c r="FA2674" s="501"/>
      <c r="FB2674" s="501"/>
      <c r="FC2674" s="501"/>
      <c r="FD2674" s="501"/>
      <c r="FE2674" s="501"/>
      <c r="FF2674" s="501"/>
      <c r="FG2674" s="501"/>
      <c r="FH2674" s="501"/>
      <c r="FI2674" s="501"/>
      <c r="FJ2674" s="501"/>
      <c r="FK2674" s="501"/>
      <c r="FL2674" s="501"/>
      <c r="FM2674" s="501"/>
      <c r="FN2674" s="501"/>
      <c r="FO2674" s="501"/>
      <c r="FP2674" s="501"/>
      <c r="FQ2674" s="501"/>
      <c r="FR2674" s="501"/>
      <c r="FS2674" s="501"/>
      <c r="FT2674" s="501"/>
      <c r="FU2674" s="501"/>
      <c r="FV2674" s="501"/>
      <c r="FW2674" s="501"/>
      <c r="FX2674" s="501"/>
      <c r="FY2674" s="501"/>
      <c r="FZ2674" s="501"/>
      <c r="GA2674" s="501"/>
      <c r="GB2674" s="501"/>
      <c r="GC2674" s="501"/>
      <c r="GD2674" s="501"/>
      <c r="GE2674" s="501"/>
      <c r="GF2674" s="501"/>
      <c r="GG2674" s="501"/>
      <c r="GH2674" s="501"/>
      <c r="GI2674" s="501"/>
      <c r="GJ2674" s="501"/>
      <c r="GK2674" s="501"/>
      <c r="GL2674" s="501"/>
      <c r="GM2674" s="501"/>
      <c r="GN2674" s="501"/>
      <c r="GO2674" s="501"/>
      <c r="GP2674" s="501"/>
      <c r="GQ2674" s="501"/>
      <c r="GR2674" s="501"/>
      <c r="GS2674" s="501"/>
      <c r="GT2674" s="501"/>
      <c r="GU2674" s="501"/>
      <c r="GV2674" s="501"/>
      <c r="GW2674" s="501"/>
      <c r="GX2674" s="501"/>
      <c r="GY2674" s="501"/>
      <c r="GZ2674" s="501"/>
      <c r="HA2674" s="501"/>
      <c r="HB2674" s="501"/>
      <c r="HC2674" s="501"/>
      <c r="HD2674" s="501"/>
      <c r="HE2674" s="501"/>
      <c r="HF2674" s="501"/>
      <c r="HG2674" s="501"/>
      <c r="HH2674" s="501"/>
      <c r="HI2674" s="501"/>
      <c r="HJ2674" s="501"/>
      <c r="HK2674" s="501"/>
      <c r="HL2674" s="501"/>
      <c r="HM2674" s="501"/>
      <c r="HN2674" s="501"/>
      <c r="HO2674" s="501"/>
      <c r="HP2674" s="501"/>
      <c r="HQ2674" s="501"/>
      <c r="HR2674" s="501"/>
      <c r="HS2674" s="501"/>
      <c r="HT2674" s="501"/>
      <c r="HU2674" s="501"/>
      <c r="HV2674" s="501"/>
      <c r="HW2674" s="501"/>
      <c r="HX2674" s="501"/>
      <c r="HY2674" s="501"/>
      <c r="HZ2674" s="501"/>
      <c r="IA2674" s="501"/>
      <c r="IB2674" s="501"/>
      <c r="IC2674" s="501"/>
      <c r="ID2674" s="501"/>
      <c r="IE2674" s="501"/>
      <c r="IF2674" s="501"/>
      <c r="IG2674" s="501"/>
      <c r="IH2674" s="501"/>
      <c r="II2674" s="501"/>
      <c r="IJ2674" s="501"/>
      <c r="IK2674" s="501"/>
      <c r="IL2674" s="501"/>
      <c r="IM2674" s="501"/>
      <c r="IN2674" s="501"/>
      <c r="IO2674" s="501"/>
      <c r="IP2674" s="501"/>
      <c r="IQ2674" s="501"/>
      <c r="IR2674" s="501"/>
      <c r="IS2674" s="501"/>
      <c r="IT2674" s="501"/>
      <c r="IU2674" s="501"/>
    </row>
    <row r="2675" spans="1:255" s="877" customFormat="1" ht="24" customHeight="1">
      <c r="A2675" s="501"/>
      <c r="B2675" s="501"/>
      <c r="C2675" s="501"/>
      <c r="D2675" s="501"/>
      <c r="E2675" s="501"/>
      <c r="F2675" s="1092"/>
      <c r="G2675" s="1093"/>
      <c r="H2675" s="1092"/>
      <c r="I2675" s="874"/>
      <c r="J2675" s="501"/>
      <c r="K2675" s="501"/>
      <c r="L2675" s="874"/>
      <c r="M2675" s="1094"/>
      <c r="N2675" s="501"/>
      <c r="O2675" s="501"/>
      <c r="P2675" s="501"/>
      <c r="Q2675" s="501"/>
      <c r="R2675" s="501"/>
      <c r="S2675" s="501"/>
      <c r="T2675" s="501"/>
      <c r="V2675" s="501"/>
      <c r="W2675" s="501"/>
      <c r="X2675" s="501"/>
      <c r="Y2675" s="501"/>
      <c r="Z2675" s="501"/>
      <c r="AA2675" s="501"/>
      <c r="AB2675" s="501"/>
      <c r="AC2675" s="501"/>
      <c r="AD2675" s="501"/>
      <c r="AE2675" s="501"/>
      <c r="AF2675" s="501"/>
      <c r="AG2675" s="501"/>
      <c r="AH2675" s="501"/>
      <c r="AI2675" s="501"/>
      <c r="AJ2675" s="501"/>
      <c r="AK2675" s="501"/>
      <c r="AL2675" s="501"/>
      <c r="AM2675" s="501"/>
      <c r="AN2675" s="501"/>
      <c r="AO2675" s="501"/>
      <c r="AP2675" s="501"/>
      <c r="AQ2675" s="501"/>
      <c r="AR2675" s="501"/>
      <c r="AS2675" s="501"/>
      <c r="AT2675" s="501"/>
      <c r="AU2675" s="501"/>
      <c r="AV2675" s="501"/>
      <c r="AW2675" s="501"/>
      <c r="AX2675" s="501"/>
      <c r="AY2675" s="501"/>
      <c r="AZ2675" s="501"/>
      <c r="BA2675" s="501"/>
      <c r="BB2675" s="501"/>
      <c r="BC2675" s="501"/>
      <c r="BD2675" s="501"/>
      <c r="BE2675" s="501"/>
      <c r="BF2675" s="501"/>
      <c r="BG2675" s="501"/>
      <c r="BH2675" s="501"/>
      <c r="BI2675" s="501"/>
      <c r="BJ2675" s="501"/>
      <c r="BK2675" s="501"/>
      <c r="BL2675" s="501"/>
      <c r="BM2675" s="501"/>
      <c r="BN2675" s="501"/>
      <c r="BO2675" s="501"/>
      <c r="BP2675" s="501"/>
      <c r="BQ2675" s="501"/>
      <c r="BR2675" s="501"/>
      <c r="BS2675" s="501"/>
      <c r="BT2675" s="501"/>
      <c r="BU2675" s="501"/>
      <c r="BV2675" s="501"/>
      <c r="BW2675" s="501"/>
      <c r="BX2675" s="501"/>
      <c r="BY2675" s="501"/>
      <c r="BZ2675" s="501"/>
      <c r="CA2675" s="501"/>
      <c r="CB2675" s="501"/>
      <c r="CC2675" s="501"/>
      <c r="CD2675" s="501"/>
      <c r="CE2675" s="501"/>
      <c r="CF2675" s="501"/>
      <c r="CG2675" s="501"/>
      <c r="CH2675" s="501"/>
      <c r="CI2675" s="501"/>
      <c r="CJ2675" s="501"/>
      <c r="CK2675" s="501"/>
      <c r="CL2675" s="501"/>
      <c r="CM2675" s="501"/>
      <c r="CN2675" s="501"/>
      <c r="CO2675" s="501"/>
      <c r="CP2675" s="501"/>
      <c r="CQ2675" s="501"/>
      <c r="CR2675" s="501"/>
      <c r="CS2675" s="501"/>
      <c r="CT2675" s="501"/>
      <c r="CU2675" s="501"/>
      <c r="CV2675" s="501"/>
      <c r="CW2675" s="501"/>
      <c r="CX2675" s="501"/>
      <c r="CY2675" s="501"/>
      <c r="CZ2675" s="501"/>
      <c r="DA2675" s="501"/>
      <c r="DB2675" s="501"/>
      <c r="DC2675" s="501"/>
      <c r="DD2675" s="501"/>
      <c r="DE2675" s="501"/>
      <c r="DF2675" s="501"/>
      <c r="DG2675" s="501"/>
      <c r="DH2675" s="501"/>
      <c r="DI2675" s="501"/>
      <c r="DJ2675" s="501"/>
      <c r="DK2675" s="501"/>
      <c r="DL2675" s="501"/>
      <c r="DM2675" s="501"/>
      <c r="DN2675" s="501"/>
      <c r="DO2675" s="501"/>
      <c r="DP2675" s="501"/>
      <c r="DQ2675" s="501"/>
      <c r="DR2675" s="501"/>
      <c r="DS2675" s="501"/>
      <c r="DT2675" s="501"/>
      <c r="DU2675" s="501"/>
      <c r="DV2675" s="501"/>
      <c r="DW2675" s="501"/>
      <c r="DX2675" s="501"/>
      <c r="DY2675" s="501"/>
      <c r="DZ2675" s="501"/>
      <c r="EA2675" s="501"/>
      <c r="EB2675" s="501"/>
      <c r="EC2675" s="501"/>
      <c r="ED2675" s="501"/>
      <c r="EE2675" s="501"/>
      <c r="EF2675" s="501"/>
      <c r="EG2675" s="501"/>
      <c r="EH2675" s="501"/>
      <c r="EI2675" s="501"/>
      <c r="EJ2675" s="501"/>
      <c r="EK2675" s="501"/>
      <c r="EL2675" s="501"/>
      <c r="EM2675" s="501"/>
      <c r="EN2675" s="501"/>
      <c r="EO2675" s="501"/>
      <c r="EP2675" s="501"/>
      <c r="EQ2675" s="501"/>
      <c r="ER2675" s="501"/>
      <c r="ES2675" s="501"/>
      <c r="ET2675" s="501"/>
      <c r="EU2675" s="501"/>
      <c r="EV2675" s="501"/>
      <c r="EW2675" s="501"/>
      <c r="EX2675" s="501"/>
      <c r="EY2675" s="501"/>
      <c r="EZ2675" s="501"/>
      <c r="FA2675" s="501"/>
      <c r="FB2675" s="501"/>
      <c r="FC2675" s="501"/>
      <c r="FD2675" s="501"/>
      <c r="FE2675" s="501"/>
      <c r="FF2675" s="501"/>
      <c r="FG2675" s="501"/>
      <c r="FH2675" s="501"/>
      <c r="FI2675" s="501"/>
      <c r="FJ2675" s="501"/>
      <c r="FK2675" s="501"/>
      <c r="FL2675" s="501"/>
      <c r="FM2675" s="501"/>
      <c r="FN2675" s="501"/>
      <c r="FO2675" s="501"/>
      <c r="FP2675" s="501"/>
      <c r="FQ2675" s="501"/>
      <c r="FR2675" s="501"/>
      <c r="FS2675" s="501"/>
      <c r="FT2675" s="501"/>
      <c r="FU2675" s="501"/>
      <c r="FV2675" s="501"/>
      <c r="FW2675" s="501"/>
      <c r="FX2675" s="501"/>
      <c r="FY2675" s="501"/>
      <c r="FZ2675" s="501"/>
      <c r="GA2675" s="501"/>
      <c r="GB2675" s="501"/>
      <c r="GC2675" s="501"/>
      <c r="GD2675" s="501"/>
      <c r="GE2675" s="501"/>
      <c r="GF2675" s="501"/>
      <c r="GG2675" s="501"/>
      <c r="GH2675" s="501"/>
      <c r="GI2675" s="501"/>
      <c r="GJ2675" s="501"/>
      <c r="GK2675" s="501"/>
      <c r="GL2675" s="501"/>
      <c r="GM2675" s="501"/>
      <c r="GN2675" s="501"/>
      <c r="GO2675" s="501"/>
      <c r="GP2675" s="501"/>
      <c r="GQ2675" s="501"/>
      <c r="GR2675" s="501"/>
      <c r="GS2675" s="501"/>
      <c r="GT2675" s="501"/>
      <c r="GU2675" s="501"/>
      <c r="GV2675" s="501"/>
      <c r="GW2675" s="501"/>
      <c r="GX2675" s="501"/>
      <c r="GY2675" s="501"/>
      <c r="GZ2675" s="501"/>
      <c r="HA2675" s="501"/>
      <c r="HB2675" s="501"/>
      <c r="HC2675" s="501"/>
      <c r="HD2675" s="501"/>
      <c r="HE2675" s="501"/>
      <c r="HF2675" s="501"/>
      <c r="HG2675" s="501"/>
      <c r="HH2675" s="501"/>
      <c r="HI2675" s="501"/>
      <c r="HJ2675" s="501"/>
      <c r="HK2675" s="501"/>
      <c r="HL2675" s="501"/>
      <c r="HM2675" s="501"/>
      <c r="HN2675" s="501"/>
      <c r="HO2675" s="501"/>
      <c r="HP2675" s="501"/>
      <c r="HQ2675" s="501"/>
      <c r="HR2675" s="501"/>
      <c r="HS2675" s="501"/>
      <c r="HT2675" s="501"/>
      <c r="HU2675" s="501"/>
      <c r="HV2675" s="501"/>
      <c r="HW2675" s="501"/>
      <c r="HX2675" s="501"/>
      <c r="HY2675" s="501"/>
      <c r="HZ2675" s="501"/>
      <c r="IA2675" s="501"/>
      <c r="IB2675" s="501"/>
      <c r="IC2675" s="501"/>
      <c r="ID2675" s="501"/>
      <c r="IE2675" s="501"/>
      <c r="IF2675" s="501"/>
      <c r="IG2675" s="501"/>
      <c r="IH2675" s="501"/>
      <c r="II2675" s="501"/>
      <c r="IJ2675" s="501"/>
      <c r="IK2675" s="501"/>
      <c r="IL2675" s="501"/>
      <c r="IM2675" s="501"/>
      <c r="IN2675" s="501"/>
      <c r="IO2675" s="501"/>
      <c r="IP2675" s="501"/>
      <c r="IQ2675" s="501"/>
      <c r="IR2675" s="501"/>
      <c r="IS2675" s="501"/>
      <c r="IT2675" s="501"/>
      <c r="IU2675" s="501"/>
    </row>
    <row r="2676" spans="1:255" s="877" customFormat="1" ht="24" customHeight="1">
      <c r="A2676" s="501"/>
      <c r="B2676" s="501"/>
      <c r="C2676" s="501"/>
      <c r="D2676" s="501"/>
      <c r="E2676" s="501"/>
      <c r="F2676" s="1092"/>
      <c r="G2676" s="1093"/>
      <c r="H2676" s="1092"/>
      <c r="I2676" s="874"/>
      <c r="J2676" s="501"/>
      <c r="K2676" s="501"/>
      <c r="L2676" s="874"/>
      <c r="M2676" s="1094"/>
      <c r="N2676" s="501"/>
      <c r="O2676" s="501"/>
      <c r="P2676" s="501"/>
      <c r="Q2676" s="501"/>
      <c r="R2676" s="501"/>
      <c r="S2676" s="501"/>
      <c r="T2676" s="501"/>
      <c r="V2676" s="501"/>
      <c r="W2676" s="501"/>
      <c r="X2676" s="501"/>
      <c r="Y2676" s="501"/>
      <c r="Z2676" s="501"/>
      <c r="AA2676" s="501"/>
      <c r="AB2676" s="501"/>
      <c r="AC2676" s="501"/>
      <c r="AD2676" s="501"/>
      <c r="AE2676" s="501"/>
      <c r="AF2676" s="501"/>
      <c r="AG2676" s="501"/>
      <c r="AH2676" s="501"/>
      <c r="AI2676" s="501"/>
      <c r="AJ2676" s="501"/>
      <c r="AK2676" s="501"/>
      <c r="AL2676" s="501"/>
      <c r="AM2676" s="501"/>
      <c r="AN2676" s="501"/>
      <c r="AO2676" s="501"/>
      <c r="AP2676" s="501"/>
      <c r="AQ2676" s="501"/>
      <c r="AR2676" s="501"/>
      <c r="AS2676" s="501"/>
      <c r="AT2676" s="501"/>
      <c r="AU2676" s="501"/>
      <c r="AV2676" s="501"/>
      <c r="AW2676" s="501"/>
      <c r="AX2676" s="501"/>
      <c r="AY2676" s="501"/>
      <c r="AZ2676" s="501"/>
      <c r="BA2676" s="501"/>
      <c r="BB2676" s="501"/>
      <c r="BC2676" s="501"/>
      <c r="BD2676" s="501"/>
      <c r="BE2676" s="501"/>
      <c r="BF2676" s="501"/>
      <c r="BG2676" s="501"/>
      <c r="BH2676" s="501"/>
      <c r="BI2676" s="501"/>
      <c r="BJ2676" s="501"/>
      <c r="BK2676" s="501"/>
      <c r="BL2676" s="501"/>
      <c r="BM2676" s="501"/>
      <c r="BN2676" s="501"/>
      <c r="BO2676" s="501"/>
      <c r="BP2676" s="501"/>
      <c r="BQ2676" s="501"/>
      <c r="BR2676" s="501"/>
      <c r="BS2676" s="501"/>
      <c r="BT2676" s="501"/>
      <c r="BU2676" s="501"/>
      <c r="BV2676" s="501"/>
      <c r="BW2676" s="501"/>
      <c r="BX2676" s="501"/>
      <c r="BY2676" s="501"/>
      <c r="BZ2676" s="501"/>
      <c r="CA2676" s="501"/>
      <c r="CB2676" s="501"/>
      <c r="CC2676" s="501"/>
      <c r="CD2676" s="501"/>
      <c r="CE2676" s="501"/>
      <c r="CF2676" s="501"/>
      <c r="CG2676" s="501"/>
      <c r="CH2676" s="501"/>
      <c r="CI2676" s="501"/>
      <c r="CJ2676" s="501"/>
      <c r="CK2676" s="501"/>
      <c r="CL2676" s="501"/>
      <c r="CM2676" s="501"/>
      <c r="CN2676" s="501"/>
      <c r="CO2676" s="501"/>
      <c r="CP2676" s="501"/>
      <c r="CQ2676" s="501"/>
      <c r="CR2676" s="501"/>
      <c r="CS2676" s="501"/>
      <c r="CT2676" s="501"/>
      <c r="CU2676" s="501"/>
      <c r="CV2676" s="501"/>
      <c r="CW2676" s="501"/>
      <c r="CX2676" s="501"/>
      <c r="CY2676" s="501"/>
      <c r="CZ2676" s="501"/>
      <c r="DA2676" s="501"/>
      <c r="DB2676" s="501"/>
      <c r="DC2676" s="501"/>
      <c r="DD2676" s="501"/>
      <c r="DE2676" s="501"/>
      <c r="DF2676" s="501"/>
      <c r="DG2676" s="501"/>
      <c r="DH2676" s="501"/>
      <c r="DI2676" s="501"/>
      <c r="DJ2676" s="501"/>
      <c r="DK2676" s="501"/>
      <c r="DL2676" s="501"/>
      <c r="DM2676" s="501"/>
      <c r="DN2676" s="501"/>
      <c r="DO2676" s="501"/>
      <c r="DP2676" s="501"/>
      <c r="DQ2676" s="501"/>
      <c r="DR2676" s="501"/>
      <c r="DS2676" s="501"/>
      <c r="DT2676" s="501"/>
      <c r="DU2676" s="501"/>
      <c r="DV2676" s="501"/>
      <c r="DW2676" s="501"/>
      <c r="DX2676" s="501"/>
      <c r="DY2676" s="501"/>
      <c r="DZ2676" s="501"/>
      <c r="EA2676" s="501"/>
      <c r="EB2676" s="501"/>
      <c r="EC2676" s="501"/>
      <c r="ED2676" s="501"/>
      <c r="EE2676" s="501"/>
      <c r="EF2676" s="501"/>
      <c r="EG2676" s="501"/>
      <c r="EH2676" s="501"/>
      <c r="EI2676" s="501"/>
      <c r="EJ2676" s="501"/>
      <c r="EK2676" s="501"/>
      <c r="EL2676" s="501"/>
      <c r="EM2676" s="501"/>
      <c r="EN2676" s="501"/>
      <c r="EO2676" s="501"/>
      <c r="EP2676" s="501"/>
      <c r="EQ2676" s="501"/>
      <c r="ER2676" s="501"/>
      <c r="ES2676" s="501"/>
      <c r="ET2676" s="501"/>
      <c r="EU2676" s="501"/>
      <c r="EV2676" s="501"/>
      <c r="EW2676" s="501"/>
      <c r="EX2676" s="501"/>
      <c r="EY2676" s="501"/>
      <c r="EZ2676" s="501"/>
      <c r="FA2676" s="501"/>
      <c r="FB2676" s="501"/>
      <c r="FC2676" s="501"/>
      <c r="FD2676" s="501"/>
      <c r="FE2676" s="501"/>
      <c r="FF2676" s="501"/>
      <c r="FG2676" s="501"/>
      <c r="FH2676" s="501"/>
      <c r="FI2676" s="501"/>
      <c r="FJ2676" s="501"/>
      <c r="FK2676" s="501"/>
      <c r="FL2676" s="501"/>
      <c r="FM2676" s="501"/>
      <c r="FN2676" s="501"/>
      <c r="FO2676" s="501"/>
      <c r="FP2676" s="501"/>
      <c r="FQ2676" s="501"/>
      <c r="FR2676" s="501"/>
      <c r="FS2676" s="501"/>
      <c r="FT2676" s="501"/>
      <c r="FU2676" s="501"/>
      <c r="FV2676" s="501"/>
      <c r="FW2676" s="501"/>
      <c r="FX2676" s="501"/>
      <c r="FY2676" s="501"/>
      <c r="FZ2676" s="501"/>
      <c r="GA2676" s="501"/>
      <c r="GB2676" s="501"/>
      <c r="GC2676" s="501"/>
      <c r="GD2676" s="501"/>
      <c r="GE2676" s="501"/>
      <c r="GF2676" s="501"/>
      <c r="GG2676" s="501"/>
      <c r="GH2676" s="501"/>
      <c r="GI2676" s="501"/>
      <c r="GJ2676" s="501"/>
      <c r="GK2676" s="501"/>
      <c r="GL2676" s="501"/>
      <c r="GM2676" s="501"/>
      <c r="GN2676" s="501"/>
      <c r="GO2676" s="501"/>
      <c r="GP2676" s="501"/>
      <c r="GQ2676" s="501"/>
      <c r="GR2676" s="501"/>
      <c r="GS2676" s="501"/>
      <c r="GT2676" s="501"/>
      <c r="GU2676" s="501"/>
      <c r="GV2676" s="501"/>
      <c r="GW2676" s="501"/>
      <c r="GX2676" s="501"/>
      <c r="GY2676" s="501"/>
      <c r="GZ2676" s="501"/>
      <c r="HA2676" s="501"/>
      <c r="HB2676" s="501"/>
      <c r="HC2676" s="501"/>
      <c r="HD2676" s="501"/>
      <c r="HE2676" s="501"/>
      <c r="HF2676" s="501"/>
      <c r="HG2676" s="501"/>
      <c r="HH2676" s="501"/>
      <c r="HI2676" s="501"/>
      <c r="HJ2676" s="501"/>
      <c r="HK2676" s="501"/>
      <c r="HL2676" s="501"/>
      <c r="HM2676" s="501"/>
      <c r="HN2676" s="501"/>
      <c r="HO2676" s="501"/>
      <c r="HP2676" s="501"/>
      <c r="HQ2676" s="501"/>
      <c r="HR2676" s="501"/>
      <c r="HS2676" s="501"/>
      <c r="HT2676" s="501"/>
      <c r="HU2676" s="501"/>
      <c r="HV2676" s="501"/>
      <c r="HW2676" s="501"/>
      <c r="HX2676" s="501"/>
      <c r="HY2676" s="501"/>
      <c r="HZ2676" s="501"/>
      <c r="IA2676" s="501"/>
      <c r="IB2676" s="501"/>
      <c r="IC2676" s="501"/>
      <c r="ID2676" s="501"/>
      <c r="IE2676" s="501"/>
      <c r="IF2676" s="501"/>
      <c r="IG2676" s="501"/>
      <c r="IH2676" s="501"/>
      <c r="II2676" s="501"/>
      <c r="IJ2676" s="501"/>
      <c r="IK2676" s="501"/>
      <c r="IL2676" s="501"/>
      <c r="IM2676" s="501"/>
      <c r="IN2676" s="501"/>
      <c r="IO2676" s="501"/>
      <c r="IP2676" s="501"/>
      <c r="IQ2676" s="501"/>
      <c r="IR2676" s="501"/>
      <c r="IS2676" s="501"/>
      <c r="IT2676" s="501"/>
      <c r="IU2676" s="501"/>
    </row>
    <row r="2677" spans="1:255" s="877" customFormat="1" ht="24" customHeight="1">
      <c r="A2677" s="501"/>
      <c r="B2677" s="501"/>
      <c r="C2677" s="501"/>
      <c r="D2677" s="501"/>
      <c r="E2677" s="501"/>
      <c r="F2677" s="1092"/>
      <c r="G2677" s="1093"/>
      <c r="H2677" s="1092"/>
      <c r="I2677" s="874"/>
      <c r="J2677" s="501"/>
      <c r="K2677" s="501"/>
      <c r="L2677" s="874"/>
      <c r="M2677" s="1094"/>
      <c r="N2677" s="501"/>
      <c r="O2677" s="501"/>
      <c r="P2677" s="501"/>
      <c r="Q2677" s="501"/>
      <c r="R2677" s="501"/>
      <c r="S2677" s="501"/>
      <c r="T2677" s="501"/>
      <c r="V2677" s="501"/>
      <c r="W2677" s="501"/>
      <c r="X2677" s="501"/>
      <c r="Y2677" s="501"/>
      <c r="Z2677" s="501"/>
      <c r="AA2677" s="501"/>
      <c r="AB2677" s="501"/>
      <c r="AC2677" s="501"/>
      <c r="AD2677" s="501"/>
      <c r="AE2677" s="501"/>
      <c r="AF2677" s="501"/>
      <c r="AG2677" s="501"/>
      <c r="AH2677" s="501"/>
      <c r="AI2677" s="501"/>
      <c r="AJ2677" s="501"/>
      <c r="AK2677" s="501"/>
      <c r="AL2677" s="501"/>
      <c r="AM2677" s="501"/>
      <c r="AN2677" s="501"/>
      <c r="AO2677" s="501"/>
      <c r="AP2677" s="501"/>
      <c r="AQ2677" s="501"/>
      <c r="AR2677" s="501"/>
      <c r="AS2677" s="501"/>
      <c r="AT2677" s="501"/>
      <c r="AU2677" s="501"/>
      <c r="AV2677" s="501"/>
      <c r="AW2677" s="501"/>
      <c r="AX2677" s="501"/>
      <c r="AY2677" s="501"/>
      <c r="AZ2677" s="501"/>
      <c r="BA2677" s="501"/>
      <c r="BB2677" s="501"/>
      <c r="BC2677" s="501"/>
      <c r="BD2677" s="501"/>
      <c r="BE2677" s="501"/>
      <c r="BF2677" s="501"/>
      <c r="BG2677" s="501"/>
      <c r="BH2677" s="501"/>
      <c r="BI2677" s="501"/>
      <c r="BJ2677" s="501"/>
      <c r="BK2677" s="501"/>
      <c r="BL2677" s="501"/>
      <c r="BM2677" s="501"/>
      <c r="BN2677" s="501"/>
      <c r="BO2677" s="501"/>
      <c r="BP2677" s="501"/>
      <c r="BQ2677" s="501"/>
      <c r="BR2677" s="501"/>
      <c r="BS2677" s="501"/>
      <c r="BT2677" s="501"/>
      <c r="BU2677" s="501"/>
      <c r="BV2677" s="501"/>
      <c r="BW2677" s="501"/>
      <c r="BX2677" s="501"/>
      <c r="BY2677" s="501"/>
      <c r="BZ2677" s="501"/>
      <c r="CA2677" s="501"/>
      <c r="CB2677" s="501"/>
      <c r="CC2677" s="501"/>
      <c r="CD2677" s="501"/>
      <c r="CE2677" s="501"/>
      <c r="CF2677" s="501"/>
      <c r="CG2677" s="501"/>
      <c r="CH2677" s="501"/>
      <c r="CI2677" s="501"/>
      <c r="CJ2677" s="501"/>
      <c r="CK2677" s="501"/>
      <c r="CL2677" s="501"/>
      <c r="CM2677" s="501"/>
      <c r="CN2677" s="501"/>
      <c r="CO2677" s="501"/>
      <c r="CP2677" s="501"/>
      <c r="CQ2677" s="501"/>
      <c r="CR2677" s="501"/>
      <c r="CS2677" s="501"/>
      <c r="CT2677" s="501"/>
      <c r="CU2677" s="501"/>
      <c r="CV2677" s="501"/>
      <c r="CW2677" s="501"/>
      <c r="CX2677" s="501"/>
      <c r="CY2677" s="501"/>
      <c r="CZ2677" s="501"/>
      <c r="DA2677" s="501"/>
      <c r="DB2677" s="501"/>
      <c r="DC2677" s="501"/>
      <c r="DD2677" s="501"/>
      <c r="DE2677" s="501"/>
      <c r="DF2677" s="501"/>
      <c r="DG2677" s="501"/>
      <c r="DH2677" s="501"/>
      <c r="DI2677" s="501"/>
      <c r="DJ2677" s="501"/>
      <c r="DK2677" s="501"/>
      <c r="DL2677" s="501"/>
      <c r="DM2677" s="501"/>
      <c r="DN2677" s="501"/>
      <c r="DO2677" s="501"/>
      <c r="DP2677" s="501"/>
      <c r="DQ2677" s="501"/>
      <c r="DR2677" s="501"/>
      <c r="DS2677" s="501"/>
      <c r="DT2677" s="501"/>
      <c r="DU2677" s="501"/>
      <c r="DV2677" s="501"/>
      <c r="DW2677" s="501"/>
      <c r="DX2677" s="501"/>
      <c r="DY2677" s="501"/>
      <c r="DZ2677" s="501"/>
      <c r="EA2677" s="501"/>
      <c r="EB2677" s="501"/>
      <c r="EC2677" s="501"/>
      <c r="ED2677" s="501"/>
      <c r="EE2677" s="501"/>
      <c r="EF2677" s="501"/>
      <c r="EG2677" s="501"/>
      <c r="EH2677" s="501"/>
      <c r="EI2677" s="501"/>
      <c r="EJ2677" s="501"/>
      <c r="EK2677" s="501"/>
      <c r="EL2677" s="501"/>
      <c r="EM2677" s="501"/>
      <c r="EN2677" s="501"/>
      <c r="EO2677" s="501"/>
      <c r="EP2677" s="501"/>
      <c r="EQ2677" s="501"/>
      <c r="ER2677" s="501"/>
      <c r="ES2677" s="501"/>
      <c r="ET2677" s="501"/>
      <c r="EU2677" s="501"/>
      <c r="EV2677" s="501"/>
      <c r="EW2677" s="501"/>
      <c r="EX2677" s="501"/>
      <c r="EY2677" s="501"/>
      <c r="EZ2677" s="501"/>
      <c r="FA2677" s="501"/>
      <c r="FB2677" s="501"/>
      <c r="FC2677" s="501"/>
      <c r="FD2677" s="501"/>
      <c r="FE2677" s="501"/>
      <c r="FF2677" s="501"/>
      <c r="FG2677" s="501"/>
      <c r="FH2677" s="501"/>
      <c r="FI2677" s="501"/>
      <c r="FJ2677" s="501"/>
      <c r="FK2677" s="501"/>
      <c r="FL2677" s="501"/>
      <c r="FM2677" s="501"/>
      <c r="FN2677" s="501"/>
      <c r="FO2677" s="501"/>
      <c r="FP2677" s="501"/>
      <c r="FQ2677" s="501"/>
      <c r="FR2677" s="501"/>
      <c r="FS2677" s="501"/>
      <c r="FT2677" s="501"/>
      <c r="FU2677" s="501"/>
      <c r="FV2677" s="501"/>
      <c r="FW2677" s="501"/>
      <c r="FX2677" s="501"/>
      <c r="FY2677" s="501"/>
      <c r="FZ2677" s="501"/>
      <c r="GA2677" s="501"/>
      <c r="GB2677" s="501"/>
      <c r="GC2677" s="501"/>
      <c r="GD2677" s="501"/>
      <c r="GE2677" s="501"/>
      <c r="GF2677" s="501"/>
      <c r="GG2677" s="501"/>
      <c r="GH2677" s="501"/>
      <c r="GI2677" s="501"/>
      <c r="GJ2677" s="501"/>
      <c r="GK2677" s="501"/>
      <c r="GL2677" s="501"/>
      <c r="GM2677" s="501"/>
      <c r="GN2677" s="501"/>
      <c r="GO2677" s="501"/>
      <c r="GP2677" s="501"/>
      <c r="GQ2677" s="501"/>
      <c r="GR2677" s="501"/>
      <c r="GS2677" s="501"/>
      <c r="GT2677" s="501"/>
      <c r="GU2677" s="501"/>
      <c r="GV2677" s="501"/>
      <c r="GW2677" s="501"/>
      <c r="GX2677" s="501"/>
      <c r="GY2677" s="501"/>
      <c r="GZ2677" s="501"/>
      <c r="HA2677" s="501"/>
      <c r="HB2677" s="501"/>
      <c r="HC2677" s="501"/>
      <c r="HD2677" s="501"/>
      <c r="HE2677" s="501"/>
      <c r="HF2677" s="501"/>
      <c r="HG2677" s="501"/>
      <c r="HH2677" s="501"/>
      <c r="HI2677" s="501"/>
      <c r="HJ2677" s="501"/>
      <c r="HK2677" s="501"/>
      <c r="HL2677" s="501"/>
      <c r="HM2677" s="501"/>
      <c r="HN2677" s="501"/>
      <c r="HO2677" s="501"/>
      <c r="HP2677" s="501"/>
      <c r="HQ2677" s="501"/>
      <c r="HR2677" s="501"/>
      <c r="HS2677" s="501"/>
      <c r="HT2677" s="501"/>
      <c r="HU2677" s="501"/>
      <c r="HV2677" s="501"/>
      <c r="HW2677" s="501"/>
      <c r="HX2677" s="501"/>
      <c r="HY2677" s="501"/>
      <c r="HZ2677" s="501"/>
      <c r="IA2677" s="501"/>
      <c r="IB2677" s="501"/>
      <c r="IC2677" s="501"/>
      <c r="ID2677" s="501"/>
      <c r="IE2677" s="501"/>
      <c r="IF2677" s="501"/>
      <c r="IG2677" s="501"/>
      <c r="IH2677" s="501"/>
      <c r="II2677" s="501"/>
      <c r="IJ2677" s="501"/>
      <c r="IK2677" s="501"/>
      <c r="IL2677" s="501"/>
      <c r="IM2677" s="501"/>
      <c r="IN2677" s="501"/>
      <c r="IO2677" s="501"/>
      <c r="IP2677" s="501"/>
      <c r="IQ2677" s="501"/>
      <c r="IR2677" s="501"/>
      <c r="IS2677" s="501"/>
      <c r="IT2677" s="501"/>
      <c r="IU2677" s="501"/>
    </row>
    <row r="2678" spans="1:255" s="877" customFormat="1" ht="24" customHeight="1">
      <c r="A2678" s="501"/>
      <c r="B2678" s="501"/>
      <c r="C2678" s="501"/>
      <c r="D2678" s="501"/>
      <c r="E2678" s="501"/>
      <c r="F2678" s="1092"/>
      <c r="G2678" s="1093"/>
      <c r="H2678" s="1092"/>
      <c r="I2678" s="874"/>
      <c r="J2678" s="501"/>
      <c r="K2678" s="501"/>
      <c r="L2678" s="874"/>
      <c r="M2678" s="1094"/>
      <c r="N2678" s="501"/>
      <c r="O2678" s="501"/>
      <c r="P2678" s="501"/>
      <c r="Q2678" s="501"/>
      <c r="R2678" s="501"/>
      <c r="S2678" s="501"/>
      <c r="T2678" s="501"/>
      <c r="V2678" s="501"/>
      <c r="W2678" s="501"/>
      <c r="X2678" s="501"/>
      <c r="Y2678" s="501"/>
      <c r="Z2678" s="501"/>
      <c r="AA2678" s="501"/>
      <c r="AB2678" s="501"/>
      <c r="AC2678" s="501"/>
      <c r="AD2678" s="501"/>
      <c r="AE2678" s="501"/>
      <c r="AF2678" s="501"/>
      <c r="AG2678" s="501"/>
      <c r="AH2678" s="501"/>
      <c r="AI2678" s="501"/>
      <c r="AJ2678" s="501"/>
      <c r="AK2678" s="501"/>
      <c r="AL2678" s="501"/>
      <c r="AM2678" s="501"/>
      <c r="AN2678" s="501"/>
      <c r="AO2678" s="501"/>
      <c r="AP2678" s="501"/>
      <c r="AQ2678" s="501"/>
      <c r="AR2678" s="501"/>
      <c r="AS2678" s="501"/>
      <c r="AT2678" s="501"/>
      <c r="AU2678" s="501"/>
      <c r="AV2678" s="501"/>
      <c r="AW2678" s="501"/>
      <c r="AX2678" s="501"/>
      <c r="AY2678" s="501"/>
      <c r="AZ2678" s="501"/>
      <c r="BA2678" s="501"/>
      <c r="BB2678" s="501"/>
      <c r="BC2678" s="501"/>
      <c r="BD2678" s="501"/>
      <c r="BE2678" s="501"/>
      <c r="BF2678" s="501"/>
      <c r="BG2678" s="501"/>
      <c r="BH2678" s="501"/>
      <c r="BI2678" s="501"/>
      <c r="BJ2678" s="501"/>
      <c r="BK2678" s="501"/>
      <c r="BL2678" s="501"/>
      <c r="BM2678" s="501"/>
      <c r="BN2678" s="501"/>
      <c r="BO2678" s="501"/>
      <c r="BP2678" s="501"/>
      <c r="BQ2678" s="501"/>
      <c r="BR2678" s="501"/>
      <c r="BS2678" s="501"/>
      <c r="BT2678" s="501"/>
      <c r="BU2678" s="501"/>
      <c r="BV2678" s="501"/>
      <c r="BW2678" s="501"/>
      <c r="BX2678" s="501"/>
      <c r="BY2678" s="501"/>
      <c r="BZ2678" s="501"/>
      <c r="CA2678" s="501"/>
      <c r="CB2678" s="501"/>
      <c r="CC2678" s="501"/>
      <c r="CD2678" s="501"/>
      <c r="CE2678" s="501"/>
      <c r="CF2678" s="501"/>
      <c r="CG2678" s="501"/>
      <c r="CH2678" s="501"/>
      <c r="CI2678" s="501"/>
      <c r="CJ2678" s="501"/>
      <c r="CK2678" s="501"/>
      <c r="CL2678" s="501"/>
      <c r="CM2678" s="501"/>
      <c r="CN2678" s="501"/>
      <c r="CO2678" s="501"/>
      <c r="CP2678" s="501"/>
      <c r="CQ2678" s="501"/>
      <c r="CR2678" s="501"/>
      <c r="CS2678" s="501"/>
      <c r="CT2678" s="501"/>
      <c r="CU2678" s="501"/>
      <c r="CV2678" s="501"/>
      <c r="CW2678" s="501"/>
      <c r="CX2678" s="501"/>
      <c r="CY2678" s="501"/>
      <c r="CZ2678" s="501"/>
      <c r="DA2678" s="501"/>
      <c r="DB2678" s="501"/>
      <c r="DC2678" s="501"/>
      <c r="DD2678" s="501"/>
      <c r="DE2678" s="501"/>
      <c r="DF2678" s="501"/>
      <c r="DG2678" s="501"/>
      <c r="DH2678" s="501"/>
      <c r="DI2678" s="501"/>
      <c r="DJ2678" s="501"/>
      <c r="DK2678" s="501"/>
      <c r="DL2678" s="501"/>
      <c r="DM2678" s="501"/>
      <c r="DN2678" s="501"/>
      <c r="DO2678" s="501"/>
      <c r="DP2678" s="501"/>
      <c r="DQ2678" s="501"/>
      <c r="DR2678" s="501"/>
      <c r="DS2678" s="501"/>
      <c r="DT2678" s="501"/>
      <c r="DU2678" s="501"/>
      <c r="DV2678" s="501"/>
      <c r="DW2678" s="501"/>
      <c r="DX2678" s="501"/>
      <c r="DY2678" s="501"/>
      <c r="DZ2678" s="501"/>
      <c r="EA2678" s="501"/>
      <c r="EB2678" s="501"/>
      <c r="EC2678" s="501"/>
      <c r="ED2678" s="501"/>
      <c r="EE2678" s="501"/>
      <c r="EF2678" s="501"/>
      <c r="EG2678" s="501"/>
      <c r="EH2678" s="501"/>
      <c r="EI2678" s="501"/>
      <c r="EJ2678" s="501"/>
      <c r="EK2678" s="501"/>
      <c r="EL2678" s="501"/>
      <c r="EM2678" s="501"/>
      <c r="EN2678" s="501"/>
      <c r="EO2678" s="501"/>
      <c r="EP2678" s="501"/>
      <c r="EQ2678" s="501"/>
      <c r="ER2678" s="501"/>
      <c r="ES2678" s="501"/>
      <c r="ET2678" s="501"/>
      <c r="EU2678" s="501"/>
      <c r="EV2678" s="501"/>
      <c r="EW2678" s="501"/>
      <c r="EX2678" s="501"/>
      <c r="EY2678" s="501"/>
      <c r="EZ2678" s="501"/>
      <c r="FA2678" s="501"/>
      <c r="FB2678" s="501"/>
      <c r="FC2678" s="501"/>
      <c r="FD2678" s="501"/>
      <c r="FE2678" s="501"/>
      <c r="FF2678" s="501"/>
      <c r="FG2678" s="501"/>
      <c r="FH2678" s="501"/>
      <c r="FI2678" s="501"/>
      <c r="FJ2678" s="501"/>
      <c r="FK2678" s="501"/>
      <c r="FL2678" s="501"/>
      <c r="FM2678" s="501"/>
      <c r="FN2678" s="501"/>
      <c r="FO2678" s="501"/>
      <c r="FP2678" s="501"/>
      <c r="FQ2678" s="501"/>
      <c r="FR2678" s="501"/>
      <c r="FS2678" s="501"/>
      <c r="FT2678" s="501"/>
      <c r="FU2678" s="501"/>
      <c r="FV2678" s="501"/>
      <c r="FW2678" s="501"/>
      <c r="FX2678" s="501"/>
      <c r="FY2678" s="501"/>
      <c r="FZ2678" s="501"/>
      <c r="GA2678" s="501"/>
      <c r="GB2678" s="501"/>
      <c r="GC2678" s="501"/>
      <c r="GD2678" s="501"/>
      <c r="GE2678" s="501"/>
      <c r="GF2678" s="501"/>
      <c r="GG2678" s="501"/>
      <c r="GH2678" s="501"/>
      <c r="GI2678" s="501"/>
      <c r="GJ2678" s="501"/>
      <c r="GK2678" s="501"/>
      <c r="GL2678" s="501"/>
      <c r="GM2678" s="501"/>
      <c r="GN2678" s="501"/>
      <c r="GO2678" s="501"/>
      <c r="GP2678" s="501"/>
      <c r="GQ2678" s="501"/>
      <c r="GR2678" s="501"/>
      <c r="GS2678" s="501"/>
      <c r="GT2678" s="501"/>
      <c r="GU2678" s="501"/>
      <c r="GV2678" s="501"/>
      <c r="GW2678" s="501"/>
      <c r="GX2678" s="501"/>
      <c r="GY2678" s="501"/>
      <c r="GZ2678" s="501"/>
      <c r="HA2678" s="501"/>
      <c r="HB2678" s="501"/>
      <c r="HC2678" s="501"/>
      <c r="HD2678" s="501"/>
      <c r="HE2678" s="501"/>
      <c r="HF2678" s="501"/>
      <c r="HG2678" s="501"/>
      <c r="HH2678" s="501"/>
      <c r="HI2678" s="501"/>
      <c r="HJ2678" s="501"/>
      <c r="HK2678" s="501"/>
      <c r="HL2678" s="501"/>
      <c r="HM2678" s="501"/>
      <c r="HN2678" s="501"/>
      <c r="HO2678" s="501"/>
      <c r="HP2678" s="501"/>
      <c r="HQ2678" s="501"/>
      <c r="HR2678" s="501"/>
      <c r="HS2678" s="501"/>
      <c r="HT2678" s="501"/>
      <c r="HU2678" s="501"/>
      <c r="HV2678" s="501"/>
      <c r="HW2678" s="501"/>
      <c r="HX2678" s="501"/>
      <c r="HY2678" s="501"/>
      <c r="HZ2678" s="501"/>
      <c r="IA2678" s="501"/>
      <c r="IB2678" s="501"/>
      <c r="IC2678" s="501"/>
      <c r="ID2678" s="501"/>
      <c r="IE2678" s="501"/>
      <c r="IF2678" s="501"/>
      <c r="IG2678" s="501"/>
      <c r="IH2678" s="501"/>
      <c r="II2678" s="501"/>
      <c r="IJ2678" s="501"/>
      <c r="IK2678" s="501"/>
      <c r="IL2678" s="501"/>
      <c r="IM2678" s="501"/>
      <c r="IN2678" s="501"/>
      <c r="IO2678" s="501"/>
      <c r="IP2678" s="501"/>
      <c r="IQ2678" s="501"/>
      <c r="IR2678" s="501"/>
      <c r="IS2678" s="501"/>
      <c r="IT2678" s="501"/>
      <c r="IU2678" s="501"/>
    </row>
    <row r="2679" spans="1:255" s="877" customFormat="1" ht="24" customHeight="1">
      <c r="A2679" s="501"/>
      <c r="B2679" s="501"/>
      <c r="C2679" s="501"/>
      <c r="D2679" s="501"/>
      <c r="E2679" s="501"/>
      <c r="F2679" s="1092"/>
      <c r="G2679" s="1093"/>
      <c r="H2679" s="1092"/>
      <c r="I2679" s="874"/>
      <c r="J2679" s="501"/>
      <c r="K2679" s="501"/>
      <c r="L2679" s="874"/>
      <c r="M2679" s="1094"/>
      <c r="N2679" s="501"/>
      <c r="O2679" s="501"/>
      <c r="P2679" s="501"/>
      <c r="Q2679" s="501"/>
      <c r="R2679" s="501"/>
      <c r="S2679" s="501"/>
      <c r="T2679" s="501"/>
      <c r="V2679" s="501"/>
      <c r="W2679" s="501"/>
      <c r="X2679" s="501"/>
      <c r="Y2679" s="501"/>
      <c r="Z2679" s="501"/>
      <c r="AA2679" s="501"/>
      <c r="AB2679" s="501"/>
      <c r="AC2679" s="501"/>
      <c r="AD2679" s="501"/>
      <c r="AE2679" s="501"/>
      <c r="AF2679" s="501"/>
      <c r="AG2679" s="501"/>
      <c r="AH2679" s="501"/>
      <c r="AI2679" s="501"/>
      <c r="AJ2679" s="501"/>
      <c r="AK2679" s="501"/>
      <c r="AL2679" s="501"/>
      <c r="AM2679" s="501"/>
      <c r="AN2679" s="501"/>
      <c r="AO2679" s="501"/>
      <c r="AP2679" s="501"/>
      <c r="AQ2679" s="501"/>
      <c r="AR2679" s="501"/>
      <c r="AS2679" s="501"/>
      <c r="AT2679" s="501"/>
      <c r="AU2679" s="501"/>
      <c r="AV2679" s="501"/>
      <c r="AW2679" s="501"/>
      <c r="AX2679" s="501"/>
      <c r="AY2679" s="501"/>
      <c r="AZ2679" s="501"/>
      <c r="BA2679" s="501"/>
      <c r="BB2679" s="501"/>
      <c r="BC2679" s="501"/>
      <c r="BD2679" s="501"/>
      <c r="BE2679" s="501"/>
      <c r="BF2679" s="501"/>
      <c r="BG2679" s="501"/>
      <c r="BH2679" s="501"/>
      <c r="BI2679" s="501"/>
      <c r="BJ2679" s="501"/>
      <c r="BK2679" s="501"/>
      <c r="BL2679" s="501"/>
      <c r="BM2679" s="501"/>
      <c r="BN2679" s="501"/>
      <c r="BO2679" s="501"/>
      <c r="BP2679" s="501"/>
      <c r="BQ2679" s="501"/>
      <c r="BR2679" s="501"/>
      <c r="BS2679" s="501"/>
      <c r="BT2679" s="501"/>
      <c r="BU2679" s="501"/>
      <c r="BV2679" s="501"/>
      <c r="BW2679" s="501"/>
      <c r="BX2679" s="501"/>
      <c r="BY2679" s="501"/>
      <c r="BZ2679" s="501"/>
      <c r="CA2679" s="501"/>
      <c r="CB2679" s="501"/>
      <c r="CC2679" s="501"/>
      <c r="CD2679" s="501"/>
      <c r="CE2679" s="501"/>
      <c r="CF2679" s="501"/>
      <c r="CG2679" s="501"/>
      <c r="CH2679" s="501"/>
      <c r="CI2679" s="501"/>
      <c r="CJ2679" s="501"/>
      <c r="CK2679" s="501"/>
      <c r="CL2679" s="501"/>
      <c r="CM2679" s="501"/>
      <c r="CN2679" s="501"/>
      <c r="CO2679" s="501"/>
      <c r="CP2679" s="501"/>
      <c r="CQ2679" s="501"/>
      <c r="CR2679" s="501"/>
      <c r="CS2679" s="501"/>
      <c r="CT2679" s="501"/>
      <c r="CU2679" s="501"/>
      <c r="CV2679" s="501"/>
      <c r="CW2679" s="501"/>
      <c r="CX2679" s="501"/>
      <c r="CY2679" s="501"/>
      <c r="CZ2679" s="501"/>
      <c r="DA2679" s="501"/>
      <c r="DB2679" s="501"/>
      <c r="DC2679" s="501"/>
      <c r="DD2679" s="501"/>
      <c r="DE2679" s="501"/>
      <c r="DF2679" s="501"/>
      <c r="DG2679" s="501"/>
      <c r="DH2679" s="501"/>
      <c r="DI2679" s="501"/>
      <c r="DJ2679" s="501"/>
      <c r="DK2679" s="501"/>
      <c r="DL2679" s="501"/>
      <c r="DM2679" s="501"/>
      <c r="DN2679" s="501"/>
      <c r="DO2679" s="501"/>
      <c r="DP2679" s="501"/>
      <c r="DQ2679" s="501"/>
      <c r="DR2679" s="501"/>
      <c r="DS2679" s="501"/>
      <c r="DT2679" s="501"/>
      <c r="DU2679" s="501"/>
      <c r="DV2679" s="501"/>
      <c r="DW2679" s="501"/>
      <c r="DX2679" s="501"/>
      <c r="DY2679" s="501"/>
      <c r="DZ2679" s="501"/>
      <c r="EA2679" s="501"/>
      <c r="EB2679" s="501"/>
      <c r="EC2679" s="501"/>
      <c r="ED2679" s="501"/>
      <c r="EE2679" s="501"/>
      <c r="EF2679" s="501"/>
      <c r="EG2679" s="501"/>
      <c r="EH2679" s="501"/>
      <c r="EI2679" s="501"/>
      <c r="EJ2679" s="501"/>
      <c r="EK2679" s="501"/>
      <c r="EL2679" s="501"/>
      <c r="EM2679" s="501"/>
      <c r="EN2679" s="501"/>
      <c r="EO2679" s="501"/>
      <c r="EP2679" s="501"/>
      <c r="EQ2679" s="501"/>
      <c r="ER2679" s="501"/>
      <c r="ES2679" s="501"/>
      <c r="ET2679" s="501"/>
      <c r="EU2679" s="501"/>
      <c r="EV2679" s="501"/>
      <c r="EW2679" s="501"/>
      <c r="EX2679" s="501"/>
      <c r="EY2679" s="501"/>
      <c r="EZ2679" s="501"/>
      <c r="FA2679" s="501"/>
      <c r="FB2679" s="501"/>
      <c r="FC2679" s="501"/>
      <c r="FD2679" s="501"/>
      <c r="FE2679" s="501"/>
      <c r="FF2679" s="501"/>
      <c r="FG2679" s="501"/>
      <c r="FH2679" s="501"/>
      <c r="FI2679" s="501"/>
      <c r="FJ2679" s="501"/>
      <c r="FK2679" s="501"/>
      <c r="FL2679" s="501"/>
      <c r="FM2679" s="501"/>
      <c r="FN2679" s="501"/>
      <c r="FO2679" s="501"/>
      <c r="FP2679" s="501"/>
      <c r="FQ2679" s="501"/>
      <c r="FR2679" s="501"/>
      <c r="FS2679" s="501"/>
      <c r="FT2679" s="501"/>
      <c r="FU2679" s="501"/>
      <c r="FV2679" s="501"/>
      <c r="FW2679" s="501"/>
      <c r="FX2679" s="501"/>
      <c r="FY2679" s="501"/>
      <c r="FZ2679" s="501"/>
      <c r="GA2679" s="501"/>
      <c r="GB2679" s="501"/>
      <c r="GC2679" s="501"/>
      <c r="GD2679" s="501"/>
      <c r="GE2679" s="501"/>
      <c r="GF2679" s="501"/>
      <c r="GG2679" s="501"/>
      <c r="GH2679" s="501"/>
      <c r="GI2679" s="501"/>
      <c r="GJ2679" s="501"/>
      <c r="GK2679" s="501"/>
      <c r="GL2679" s="501"/>
      <c r="GM2679" s="501"/>
      <c r="GN2679" s="501"/>
      <c r="GO2679" s="501"/>
      <c r="GP2679" s="501"/>
      <c r="GQ2679" s="501"/>
      <c r="GR2679" s="501"/>
      <c r="GS2679" s="501"/>
      <c r="GT2679" s="501"/>
      <c r="GU2679" s="501"/>
      <c r="GV2679" s="501"/>
      <c r="GW2679" s="501"/>
      <c r="GX2679" s="501"/>
      <c r="GY2679" s="501"/>
      <c r="GZ2679" s="501"/>
      <c r="HA2679" s="501"/>
      <c r="HB2679" s="501"/>
      <c r="HC2679" s="501"/>
      <c r="HD2679" s="501"/>
      <c r="HE2679" s="501"/>
      <c r="HF2679" s="501"/>
      <c r="HG2679" s="501"/>
      <c r="HH2679" s="501"/>
      <c r="HI2679" s="501"/>
      <c r="HJ2679" s="501"/>
      <c r="HK2679" s="501"/>
      <c r="HL2679" s="501"/>
      <c r="HM2679" s="501"/>
      <c r="HN2679" s="501"/>
      <c r="HO2679" s="501"/>
      <c r="HP2679" s="501"/>
      <c r="HQ2679" s="501"/>
      <c r="HR2679" s="501"/>
      <c r="HS2679" s="501"/>
      <c r="HT2679" s="501"/>
      <c r="HU2679" s="501"/>
      <c r="HV2679" s="501"/>
      <c r="HW2679" s="501"/>
      <c r="HX2679" s="501"/>
      <c r="HY2679" s="501"/>
      <c r="HZ2679" s="501"/>
      <c r="IA2679" s="501"/>
      <c r="IB2679" s="501"/>
      <c r="IC2679" s="501"/>
      <c r="ID2679" s="501"/>
      <c r="IE2679" s="501"/>
      <c r="IF2679" s="501"/>
      <c r="IG2679" s="501"/>
      <c r="IH2679" s="501"/>
      <c r="II2679" s="501"/>
      <c r="IJ2679" s="501"/>
      <c r="IK2679" s="501"/>
      <c r="IL2679" s="501"/>
      <c r="IM2679" s="501"/>
      <c r="IN2679" s="501"/>
      <c r="IO2679" s="501"/>
      <c r="IP2679" s="501"/>
      <c r="IQ2679" s="501"/>
      <c r="IR2679" s="501"/>
      <c r="IS2679" s="501"/>
      <c r="IT2679" s="501"/>
      <c r="IU2679" s="501"/>
    </row>
    <row r="2680" spans="1:255" s="877" customFormat="1" ht="24" customHeight="1">
      <c r="A2680" s="501"/>
      <c r="B2680" s="501"/>
      <c r="C2680" s="501"/>
      <c r="D2680" s="501"/>
      <c r="E2680" s="501"/>
      <c r="F2680" s="1092"/>
      <c r="G2680" s="1093"/>
      <c r="H2680" s="1092"/>
      <c r="I2680" s="874"/>
      <c r="J2680" s="501"/>
      <c r="K2680" s="501"/>
      <c r="L2680" s="874"/>
      <c r="M2680" s="1094"/>
      <c r="N2680" s="501"/>
      <c r="O2680" s="501"/>
      <c r="P2680" s="501"/>
      <c r="Q2680" s="501"/>
      <c r="R2680" s="501"/>
      <c r="S2680" s="501"/>
      <c r="T2680" s="501"/>
      <c r="V2680" s="501"/>
      <c r="W2680" s="501"/>
      <c r="X2680" s="501"/>
      <c r="Y2680" s="501"/>
      <c r="Z2680" s="501"/>
      <c r="AA2680" s="501"/>
      <c r="AB2680" s="501"/>
      <c r="AC2680" s="501"/>
      <c r="AD2680" s="501"/>
      <c r="AE2680" s="501"/>
      <c r="AF2680" s="501"/>
      <c r="AG2680" s="501"/>
      <c r="AH2680" s="501"/>
      <c r="AI2680" s="501"/>
      <c r="AJ2680" s="501"/>
      <c r="AK2680" s="501"/>
      <c r="AL2680" s="501"/>
      <c r="AM2680" s="501"/>
      <c r="AN2680" s="501"/>
      <c r="AO2680" s="501"/>
      <c r="AP2680" s="501"/>
      <c r="AQ2680" s="501"/>
      <c r="AR2680" s="501"/>
      <c r="AS2680" s="501"/>
      <c r="AT2680" s="501"/>
      <c r="AU2680" s="501"/>
      <c r="AV2680" s="501"/>
      <c r="AW2680" s="501"/>
      <c r="AX2680" s="501"/>
      <c r="AY2680" s="501"/>
      <c r="AZ2680" s="501"/>
      <c r="BA2680" s="501"/>
      <c r="BB2680" s="501"/>
      <c r="BC2680" s="501"/>
      <c r="BD2680" s="501"/>
      <c r="BE2680" s="501"/>
      <c r="BF2680" s="501"/>
      <c r="BG2680" s="501"/>
      <c r="BH2680" s="501"/>
      <c r="BI2680" s="501"/>
      <c r="BJ2680" s="501"/>
      <c r="BK2680" s="501"/>
      <c r="BL2680" s="501"/>
      <c r="BM2680" s="501"/>
      <c r="BN2680" s="501"/>
      <c r="BO2680" s="501"/>
      <c r="BP2680" s="501"/>
      <c r="BQ2680" s="501"/>
      <c r="BR2680" s="501"/>
      <c r="BS2680" s="501"/>
      <c r="BT2680" s="501"/>
      <c r="BU2680" s="501"/>
      <c r="BV2680" s="501"/>
      <c r="BW2680" s="501"/>
      <c r="BX2680" s="501"/>
      <c r="BY2680" s="501"/>
      <c r="BZ2680" s="501"/>
      <c r="CA2680" s="501"/>
      <c r="CB2680" s="501"/>
      <c r="CC2680" s="501"/>
      <c r="CD2680" s="501"/>
      <c r="CE2680" s="501"/>
      <c r="CF2680" s="501"/>
      <c r="CG2680" s="501"/>
      <c r="CH2680" s="501"/>
      <c r="CI2680" s="501"/>
      <c r="CJ2680" s="501"/>
      <c r="CK2680" s="501"/>
      <c r="CL2680" s="501"/>
      <c r="CM2680" s="501"/>
      <c r="CN2680" s="501"/>
      <c r="CO2680" s="501"/>
      <c r="CP2680" s="501"/>
      <c r="CQ2680" s="501"/>
      <c r="CR2680" s="501"/>
      <c r="CS2680" s="501"/>
      <c r="CT2680" s="501"/>
      <c r="CU2680" s="501"/>
      <c r="CV2680" s="501"/>
      <c r="CW2680" s="501"/>
      <c r="CX2680" s="501"/>
      <c r="CY2680" s="501"/>
      <c r="CZ2680" s="501"/>
      <c r="DA2680" s="501"/>
      <c r="DB2680" s="501"/>
      <c r="DC2680" s="501"/>
      <c r="DD2680" s="501"/>
      <c r="DE2680" s="501"/>
      <c r="DF2680" s="501"/>
      <c r="DG2680" s="501"/>
      <c r="DH2680" s="501"/>
      <c r="DI2680" s="501"/>
      <c r="DJ2680" s="501"/>
      <c r="DK2680" s="501"/>
      <c r="DL2680" s="501"/>
      <c r="DM2680" s="501"/>
      <c r="DN2680" s="501"/>
      <c r="DO2680" s="501"/>
      <c r="DP2680" s="501"/>
      <c r="DQ2680" s="501"/>
      <c r="DR2680" s="501"/>
      <c r="DS2680" s="501"/>
      <c r="DT2680" s="501"/>
      <c r="DU2680" s="501"/>
      <c r="DV2680" s="501"/>
      <c r="DW2680" s="501"/>
      <c r="DX2680" s="501"/>
      <c r="DY2680" s="501"/>
      <c r="DZ2680" s="501"/>
      <c r="EA2680" s="501"/>
      <c r="EB2680" s="501"/>
      <c r="EC2680" s="501"/>
      <c r="ED2680" s="501"/>
      <c r="EE2680" s="501"/>
      <c r="EF2680" s="501"/>
      <c r="EG2680" s="501"/>
      <c r="EH2680" s="501"/>
      <c r="EI2680" s="501"/>
      <c r="EJ2680" s="501"/>
      <c r="EK2680" s="501"/>
      <c r="EL2680" s="501"/>
      <c r="EM2680" s="501"/>
      <c r="EN2680" s="501"/>
      <c r="EO2680" s="501"/>
      <c r="EP2680" s="501"/>
      <c r="EQ2680" s="501"/>
      <c r="ER2680" s="501"/>
      <c r="ES2680" s="501"/>
      <c r="ET2680" s="501"/>
      <c r="EU2680" s="501"/>
      <c r="EV2680" s="501"/>
      <c r="EW2680" s="501"/>
      <c r="EX2680" s="501"/>
      <c r="EY2680" s="501"/>
      <c r="EZ2680" s="501"/>
      <c r="FA2680" s="501"/>
      <c r="FB2680" s="501"/>
      <c r="FC2680" s="501"/>
      <c r="FD2680" s="501"/>
      <c r="FE2680" s="501"/>
      <c r="FF2680" s="501"/>
      <c r="FG2680" s="501"/>
      <c r="FH2680" s="501"/>
      <c r="FI2680" s="501"/>
      <c r="FJ2680" s="501"/>
      <c r="FK2680" s="501"/>
      <c r="FL2680" s="501"/>
      <c r="FM2680" s="501"/>
      <c r="FN2680" s="501"/>
      <c r="FO2680" s="501"/>
      <c r="FP2680" s="501"/>
      <c r="FQ2680" s="501"/>
      <c r="FR2680" s="501"/>
      <c r="FS2680" s="501"/>
      <c r="FT2680" s="501"/>
      <c r="FU2680" s="501"/>
      <c r="FV2680" s="501"/>
      <c r="FW2680" s="501"/>
      <c r="FX2680" s="501"/>
      <c r="FY2680" s="501"/>
      <c r="FZ2680" s="501"/>
      <c r="GA2680" s="501"/>
      <c r="GB2680" s="501"/>
      <c r="GC2680" s="501"/>
      <c r="GD2680" s="501"/>
      <c r="GE2680" s="501"/>
      <c r="GF2680" s="501"/>
      <c r="GG2680" s="501"/>
      <c r="GH2680" s="501"/>
      <c r="GI2680" s="501"/>
      <c r="GJ2680" s="501"/>
      <c r="GK2680" s="501"/>
      <c r="GL2680" s="501"/>
      <c r="GM2680" s="501"/>
      <c r="GN2680" s="501"/>
      <c r="GO2680" s="501"/>
      <c r="GP2680" s="501"/>
      <c r="GQ2680" s="501"/>
      <c r="GR2680" s="501"/>
      <c r="GS2680" s="501"/>
      <c r="GT2680" s="501"/>
      <c r="GU2680" s="501"/>
      <c r="GV2680" s="501"/>
      <c r="GW2680" s="501"/>
      <c r="GX2680" s="501"/>
      <c r="GY2680" s="501"/>
      <c r="GZ2680" s="501"/>
      <c r="HA2680" s="501"/>
      <c r="HB2680" s="501"/>
      <c r="HC2680" s="501"/>
      <c r="HD2680" s="501"/>
      <c r="HE2680" s="501"/>
      <c r="HF2680" s="501"/>
      <c r="HG2680" s="501"/>
      <c r="HH2680" s="501"/>
      <c r="HI2680" s="501"/>
      <c r="HJ2680" s="501"/>
      <c r="HK2680" s="501"/>
      <c r="HL2680" s="501"/>
      <c r="HM2680" s="501"/>
      <c r="HN2680" s="501"/>
      <c r="HO2680" s="501"/>
      <c r="HP2680" s="501"/>
      <c r="HQ2680" s="501"/>
      <c r="HR2680" s="501"/>
      <c r="HS2680" s="501"/>
      <c r="HT2680" s="501"/>
      <c r="HU2680" s="501"/>
      <c r="HV2680" s="501"/>
      <c r="HW2680" s="501"/>
      <c r="HX2680" s="501"/>
      <c r="HY2680" s="501"/>
      <c r="HZ2680" s="501"/>
      <c r="IA2680" s="501"/>
      <c r="IB2680" s="501"/>
      <c r="IC2680" s="501"/>
      <c r="ID2680" s="501"/>
      <c r="IE2680" s="501"/>
      <c r="IF2680" s="501"/>
      <c r="IG2680" s="501"/>
      <c r="IH2680" s="501"/>
      <c r="II2680" s="501"/>
      <c r="IJ2680" s="501"/>
      <c r="IK2680" s="501"/>
      <c r="IL2680" s="501"/>
      <c r="IM2680" s="501"/>
      <c r="IN2680" s="501"/>
      <c r="IO2680" s="501"/>
      <c r="IP2680" s="501"/>
      <c r="IQ2680" s="501"/>
      <c r="IR2680" s="501"/>
      <c r="IS2680" s="501"/>
      <c r="IT2680" s="501"/>
      <c r="IU2680" s="501"/>
    </row>
    <row r="2681" spans="1:255" s="877" customFormat="1" ht="24" customHeight="1">
      <c r="A2681" s="501"/>
      <c r="B2681" s="501"/>
      <c r="C2681" s="501"/>
      <c r="D2681" s="501"/>
      <c r="E2681" s="501"/>
      <c r="F2681" s="1092"/>
      <c r="G2681" s="1093"/>
      <c r="H2681" s="1092"/>
      <c r="I2681" s="874"/>
      <c r="J2681" s="501"/>
      <c r="K2681" s="501"/>
      <c r="L2681" s="874"/>
      <c r="M2681" s="1094"/>
      <c r="N2681" s="501"/>
      <c r="O2681" s="501"/>
      <c r="P2681" s="501"/>
      <c r="Q2681" s="501"/>
      <c r="R2681" s="501"/>
      <c r="S2681" s="501"/>
      <c r="T2681" s="501"/>
      <c r="V2681" s="501"/>
      <c r="W2681" s="501"/>
      <c r="X2681" s="501"/>
      <c r="Y2681" s="501"/>
      <c r="Z2681" s="501"/>
      <c r="AA2681" s="501"/>
      <c r="AB2681" s="501"/>
      <c r="AC2681" s="501"/>
      <c r="AD2681" s="501"/>
      <c r="AE2681" s="501"/>
      <c r="AF2681" s="501"/>
      <c r="AG2681" s="501"/>
      <c r="AH2681" s="501"/>
      <c r="AI2681" s="501"/>
      <c r="AJ2681" s="501"/>
      <c r="AK2681" s="501"/>
      <c r="AL2681" s="501"/>
      <c r="AM2681" s="501"/>
      <c r="AN2681" s="501"/>
      <c r="AO2681" s="501"/>
      <c r="AP2681" s="501"/>
      <c r="AQ2681" s="501"/>
      <c r="AR2681" s="501"/>
      <c r="AS2681" s="501"/>
      <c r="AT2681" s="501"/>
      <c r="AU2681" s="501"/>
      <c r="AV2681" s="501"/>
      <c r="AW2681" s="501"/>
      <c r="AX2681" s="501"/>
      <c r="AY2681" s="501"/>
      <c r="AZ2681" s="501"/>
      <c r="BA2681" s="501"/>
      <c r="BB2681" s="501"/>
      <c r="BC2681" s="501"/>
      <c r="BD2681" s="501"/>
      <c r="BE2681" s="501"/>
      <c r="BF2681" s="501"/>
      <c r="BG2681" s="501"/>
      <c r="BH2681" s="501"/>
      <c r="BI2681" s="501"/>
      <c r="BJ2681" s="501"/>
      <c r="BK2681" s="501"/>
      <c r="BL2681" s="501"/>
      <c r="BM2681" s="501"/>
      <c r="BN2681" s="501"/>
      <c r="BO2681" s="501"/>
      <c r="BP2681" s="501"/>
      <c r="BQ2681" s="501"/>
      <c r="BR2681" s="501"/>
      <c r="BS2681" s="501"/>
      <c r="BT2681" s="501"/>
      <c r="BU2681" s="501"/>
      <c r="BV2681" s="501"/>
      <c r="BW2681" s="501"/>
      <c r="BX2681" s="501"/>
      <c r="BY2681" s="501"/>
      <c r="BZ2681" s="501"/>
      <c r="CA2681" s="501"/>
      <c r="CB2681" s="501"/>
      <c r="CC2681" s="501"/>
      <c r="CD2681" s="501"/>
      <c r="CE2681" s="501"/>
      <c r="CF2681" s="501"/>
      <c r="CG2681" s="501"/>
      <c r="CH2681" s="501"/>
      <c r="CI2681" s="501"/>
      <c r="CJ2681" s="501"/>
      <c r="CK2681" s="501"/>
      <c r="CL2681" s="501"/>
      <c r="CM2681" s="501"/>
      <c r="CN2681" s="501"/>
      <c r="CO2681" s="501"/>
      <c r="CP2681" s="501"/>
      <c r="CQ2681" s="501"/>
      <c r="CR2681" s="501"/>
      <c r="CS2681" s="501"/>
      <c r="CT2681" s="501"/>
      <c r="CU2681" s="501"/>
      <c r="CV2681" s="501"/>
      <c r="CW2681" s="501"/>
      <c r="CX2681" s="501"/>
      <c r="CY2681" s="501"/>
      <c r="CZ2681" s="501"/>
      <c r="DA2681" s="501"/>
      <c r="DB2681" s="501"/>
      <c r="DC2681" s="501"/>
      <c r="DD2681" s="501"/>
      <c r="DE2681" s="501"/>
      <c r="DF2681" s="501"/>
      <c r="DG2681" s="501"/>
      <c r="DH2681" s="501"/>
      <c r="DI2681" s="501"/>
      <c r="DJ2681" s="501"/>
      <c r="DK2681" s="501"/>
      <c r="DL2681" s="501"/>
      <c r="DM2681" s="501"/>
      <c r="DN2681" s="501"/>
      <c r="DO2681" s="501"/>
      <c r="DP2681" s="501"/>
      <c r="DQ2681" s="501"/>
      <c r="DR2681" s="501"/>
      <c r="DS2681" s="501"/>
      <c r="DT2681" s="501"/>
      <c r="DU2681" s="501"/>
      <c r="DV2681" s="501"/>
      <c r="DW2681" s="501"/>
      <c r="DX2681" s="501"/>
      <c r="DY2681" s="501"/>
      <c r="DZ2681" s="501"/>
      <c r="EA2681" s="501"/>
      <c r="EB2681" s="501"/>
      <c r="EC2681" s="501"/>
      <c r="ED2681" s="501"/>
      <c r="EE2681" s="501"/>
      <c r="EF2681" s="501"/>
      <c r="EG2681" s="501"/>
      <c r="EH2681" s="501"/>
      <c r="EI2681" s="501"/>
      <c r="EJ2681" s="501"/>
      <c r="EK2681" s="501"/>
      <c r="EL2681" s="501"/>
      <c r="EM2681" s="501"/>
      <c r="EN2681" s="501"/>
      <c r="EO2681" s="501"/>
      <c r="EP2681" s="501"/>
      <c r="EQ2681" s="501"/>
      <c r="ER2681" s="501"/>
      <c r="ES2681" s="501"/>
      <c r="ET2681" s="501"/>
      <c r="EU2681" s="501"/>
      <c r="EV2681" s="501"/>
      <c r="EW2681" s="501"/>
      <c r="EX2681" s="501"/>
      <c r="EY2681" s="501"/>
      <c r="EZ2681" s="501"/>
      <c r="FA2681" s="501"/>
      <c r="FB2681" s="501"/>
      <c r="FC2681" s="501"/>
      <c r="FD2681" s="501"/>
      <c r="FE2681" s="501"/>
      <c r="FF2681" s="501"/>
      <c r="FG2681" s="501"/>
      <c r="FH2681" s="501"/>
      <c r="FI2681" s="501"/>
      <c r="FJ2681" s="501"/>
      <c r="FK2681" s="501"/>
      <c r="FL2681" s="501"/>
      <c r="FM2681" s="501"/>
      <c r="FN2681" s="501"/>
      <c r="FO2681" s="501"/>
      <c r="FP2681" s="501"/>
      <c r="FQ2681" s="501"/>
      <c r="FR2681" s="501"/>
      <c r="FS2681" s="501"/>
      <c r="FT2681" s="501"/>
      <c r="FU2681" s="501"/>
      <c r="FV2681" s="501"/>
      <c r="FW2681" s="501"/>
      <c r="FX2681" s="501"/>
      <c r="FY2681" s="501"/>
      <c r="FZ2681" s="501"/>
      <c r="GA2681" s="501"/>
      <c r="GB2681" s="501"/>
      <c r="GC2681" s="501"/>
      <c r="GD2681" s="501"/>
      <c r="GE2681" s="501"/>
      <c r="GF2681" s="501"/>
      <c r="GG2681" s="501"/>
      <c r="GH2681" s="501"/>
      <c r="GI2681" s="501"/>
      <c r="GJ2681" s="501"/>
      <c r="GK2681" s="501"/>
      <c r="GL2681" s="501"/>
      <c r="GM2681" s="501"/>
      <c r="GN2681" s="501"/>
      <c r="GO2681" s="501"/>
      <c r="GP2681" s="501"/>
      <c r="GQ2681" s="501"/>
      <c r="GR2681" s="501"/>
      <c r="GS2681" s="501"/>
      <c r="GT2681" s="501"/>
      <c r="GU2681" s="501"/>
      <c r="GV2681" s="501"/>
      <c r="GW2681" s="501"/>
      <c r="GX2681" s="501"/>
      <c r="GY2681" s="501"/>
      <c r="GZ2681" s="501"/>
      <c r="HA2681" s="501"/>
      <c r="HB2681" s="501"/>
      <c r="HC2681" s="501"/>
      <c r="HD2681" s="501"/>
      <c r="HE2681" s="501"/>
      <c r="HF2681" s="501"/>
      <c r="HG2681" s="501"/>
      <c r="HH2681" s="501"/>
      <c r="HI2681" s="501"/>
      <c r="HJ2681" s="501"/>
      <c r="HK2681" s="501"/>
      <c r="HL2681" s="501"/>
      <c r="HM2681" s="501"/>
      <c r="HN2681" s="501"/>
      <c r="HO2681" s="501"/>
      <c r="HP2681" s="501"/>
      <c r="HQ2681" s="501"/>
      <c r="HR2681" s="501"/>
      <c r="HS2681" s="501"/>
      <c r="HT2681" s="501"/>
      <c r="HU2681" s="501"/>
      <c r="HV2681" s="501"/>
      <c r="HW2681" s="501"/>
      <c r="HX2681" s="501"/>
      <c r="HY2681" s="501"/>
      <c r="HZ2681" s="501"/>
      <c r="IA2681" s="501"/>
      <c r="IB2681" s="501"/>
      <c r="IC2681" s="501"/>
      <c r="ID2681" s="501"/>
      <c r="IE2681" s="501"/>
      <c r="IF2681" s="501"/>
      <c r="IG2681" s="501"/>
      <c r="IH2681" s="501"/>
      <c r="II2681" s="501"/>
      <c r="IJ2681" s="501"/>
      <c r="IK2681" s="501"/>
      <c r="IL2681" s="501"/>
      <c r="IM2681" s="501"/>
      <c r="IN2681" s="501"/>
      <c r="IO2681" s="501"/>
      <c r="IP2681" s="501"/>
      <c r="IQ2681" s="501"/>
      <c r="IR2681" s="501"/>
      <c r="IS2681" s="501"/>
      <c r="IT2681" s="501"/>
      <c r="IU2681" s="501"/>
    </row>
    <row r="2682" spans="1:255" ht="24" customHeight="1">
      <c r="K2682" s="554"/>
    </row>
    <row r="2683" spans="1:255" ht="24" customHeight="1">
      <c r="J2683" s="1095"/>
      <c r="M2683" s="1096"/>
    </row>
    <row r="2684" spans="1:255" ht="24" customHeight="1">
      <c r="J2684" s="1095"/>
      <c r="M2684" s="1096"/>
    </row>
    <row r="2688" spans="1:255" ht="24" customHeight="1">
      <c r="F2688" s="1097"/>
      <c r="G2688" s="1098"/>
      <c r="H2688" s="1097"/>
      <c r="I2688" s="1099"/>
      <c r="J2688" s="1100"/>
      <c r="K2688" s="1097"/>
      <c r="L2688" s="1101"/>
      <c r="M2688" s="1102"/>
    </row>
    <row r="2689" spans="6:13" ht="24" customHeight="1">
      <c r="F2689" s="1097"/>
      <c r="G2689" s="1098"/>
      <c r="H2689" s="1097"/>
      <c r="I2689" s="1099"/>
      <c r="J2689" s="1097"/>
      <c r="K2689" s="1097"/>
      <c r="L2689" s="1101"/>
      <c r="M2689" s="1102"/>
    </row>
    <row r="2690" spans="6:13" ht="24" customHeight="1">
      <c r="F2690" s="1097"/>
      <c r="G2690" s="1098"/>
      <c r="H2690" s="1097"/>
      <c r="I2690" s="1099"/>
      <c r="J2690" s="1097"/>
      <c r="K2690" s="1097"/>
      <c r="L2690" s="1101"/>
      <c r="M2690" s="1102"/>
    </row>
    <row r="2691" spans="6:13" ht="24" customHeight="1">
      <c r="F2691" s="1097"/>
      <c r="G2691" s="1098"/>
      <c r="H2691" s="1097"/>
      <c r="I2691" s="1099"/>
      <c r="J2691" s="1097"/>
      <c r="K2691" s="1097"/>
      <c r="L2691" s="1101"/>
      <c r="M2691" s="1102"/>
    </row>
    <row r="2692" spans="6:13" ht="24" customHeight="1">
      <c r="F2692" s="1097"/>
      <c r="G2692" s="1098"/>
      <c r="H2692" s="1097"/>
      <c r="I2692" s="1099"/>
      <c r="J2692" s="1097"/>
      <c r="K2692" s="1097"/>
      <c r="L2692" s="1101"/>
      <c r="M2692" s="1102"/>
    </row>
    <row r="2693" spans="6:13" ht="24" customHeight="1">
      <c r="F2693" s="1097"/>
      <c r="G2693" s="1098"/>
      <c r="H2693" s="1097"/>
      <c r="I2693" s="1099"/>
      <c r="J2693" s="1097"/>
      <c r="K2693" s="1097"/>
      <c r="L2693" s="1101"/>
      <c r="M2693" s="1102"/>
    </row>
    <row r="2694" spans="6:13" ht="24" customHeight="1">
      <c r="F2694" s="1097"/>
      <c r="G2694" s="1098"/>
      <c r="H2694" s="1097"/>
      <c r="I2694" s="1099"/>
      <c r="J2694" s="1097"/>
      <c r="K2694" s="1097"/>
      <c r="L2694" s="1101"/>
      <c r="M2694" s="1102"/>
    </row>
    <row r="2695" spans="6:13" ht="24" customHeight="1">
      <c r="F2695" s="1097"/>
      <c r="G2695" s="1098"/>
      <c r="H2695" s="1097"/>
      <c r="I2695" s="1099"/>
      <c r="J2695" s="1102"/>
      <c r="K2695" s="1097"/>
      <c r="L2695" s="1102"/>
      <c r="M2695" s="1102"/>
    </row>
    <row r="2696" spans="6:13" ht="24" customHeight="1">
      <c r="F2696" s="1097"/>
      <c r="G2696" s="1098"/>
      <c r="H2696" s="1097"/>
      <c r="I2696" s="1099"/>
      <c r="J2696" s="1102"/>
      <c r="K2696" s="1097"/>
      <c r="L2696" s="1102"/>
      <c r="M2696" s="1102"/>
    </row>
    <row r="2697" spans="6:13" ht="24" customHeight="1">
      <c r="F2697" s="1097"/>
      <c r="G2697" s="1098"/>
      <c r="H2697" s="1097"/>
      <c r="I2697" s="1099"/>
      <c r="J2697" s="1103"/>
      <c r="K2697" s="1104"/>
      <c r="L2697" s="1103"/>
      <c r="M2697" s="1103"/>
    </row>
    <row r="2698" spans="6:13" ht="24" customHeight="1">
      <c r="F2698" s="1097"/>
      <c r="G2698" s="1098"/>
      <c r="H2698" s="1097"/>
      <c r="I2698" s="1099"/>
      <c r="J2698" s="1097"/>
      <c r="K2698" s="1097"/>
      <c r="L2698" s="1101"/>
      <c r="M2698" s="1102"/>
    </row>
    <row r="2699" spans="6:13" ht="24" customHeight="1">
      <c r="F2699" s="1097"/>
      <c r="G2699" s="1098"/>
      <c r="H2699" s="1097"/>
      <c r="I2699" s="1099"/>
      <c r="J2699" s="1097"/>
      <c r="K2699" s="1097"/>
      <c r="L2699" s="1101"/>
      <c r="M2699" s="1102"/>
    </row>
    <row r="2700" spans="6:13" ht="24" customHeight="1">
      <c r="F2700" s="974"/>
      <c r="G2700" s="1105"/>
      <c r="H2700" s="974"/>
      <c r="I2700" s="973"/>
      <c r="J2700" s="973"/>
      <c r="K2700" s="1097"/>
      <c r="L2700" s="1101"/>
      <c r="M2700" s="1102"/>
    </row>
    <row r="2701" spans="6:13" ht="50.25" customHeight="1">
      <c r="F2701" s="1097"/>
      <c r="G2701" s="1098"/>
      <c r="H2701" s="1097"/>
      <c r="I2701" s="1099"/>
      <c r="J2701" s="973"/>
      <c r="K2701" s="1097"/>
      <c r="L2701" s="1101"/>
      <c r="M2701" s="1102"/>
    </row>
    <row r="2702" spans="6:13" ht="24" customHeight="1">
      <c r="F2702" s="1097"/>
      <c r="G2702" s="1098"/>
      <c r="H2702" s="1097"/>
      <c r="I2702" s="1099"/>
      <c r="J2702" s="973"/>
      <c r="K2702" s="1097"/>
      <c r="L2702" s="1101"/>
      <c r="M2702" s="1102"/>
    </row>
    <row r="2703" spans="6:13" ht="24" customHeight="1">
      <c r="F2703" s="1097"/>
      <c r="G2703" s="1098"/>
      <c r="H2703" s="1097"/>
      <c r="I2703" s="1099"/>
      <c r="J2703" s="973"/>
      <c r="K2703" s="1097"/>
      <c r="L2703" s="1101"/>
      <c r="M2703" s="1102"/>
    </row>
    <row r="2704" spans="6:13" ht="24" customHeight="1">
      <c r="F2704" s="1097"/>
      <c r="G2704" s="1098"/>
      <c r="H2704" s="1097"/>
      <c r="I2704" s="1099"/>
      <c r="J2704" s="1106"/>
      <c r="K2704" s="1097"/>
      <c r="L2704" s="1101"/>
      <c r="M2704" s="1102"/>
    </row>
    <row r="2705" spans="6:13" ht="24" customHeight="1">
      <c r="F2705" s="968"/>
      <c r="G2705" s="1107"/>
      <c r="H2705" s="968"/>
      <c r="I2705" s="973"/>
      <c r="J2705" s="1108"/>
      <c r="K2705" s="968"/>
      <c r="L2705" s="974"/>
      <c r="M2705" s="1109"/>
    </row>
    <row r="2706" spans="6:13" ht="24" customHeight="1">
      <c r="F2706" s="968"/>
      <c r="G2706" s="1107"/>
      <c r="H2706" s="968"/>
      <c r="I2706" s="973"/>
      <c r="J2706" s="973"/>
      <c r="K2706" s="968"/>
      <c r="L2706" s="974"/>
      <c r="M2706" s="1109"/>
    </row>
    <row r="2707" spans="6:13" ht="24" customHeight="1">
      <c r="F2707" s="968"/>
      <c r="G2707" s="1107"/>
      <c r="H2707" s="968"/>
      <c r="I2707" s="973"/>
      <c r="J2707" s="973"/>
      <c r="K2707" s="968"/>
      <c r="L2707" s="974"/>
      <c r="M2707" s="1109"/>
    </row>
    <row r="2708" spans="6:13" ht="24" customHeight="1">
      <c r="F2708" s="968"/>
      <c r="G2708" s="1107"/>
      <c r="H2708" s="968"/>
      <c r="I2708" s="973"/>
      <c r="J2708" s="973"/>
      <c r="K2708" s="968"/>
      <c r="L2708" s="974"/>
      <c r="M2708" s="1109"/>
    </row>
    <row r="2709" spans="6:13" ht="24" customHeight="1">
      <c r="F2709" s="1097"/>
      <c r="G2709" s="1098"/>
      <c r="H2709" s="1097"/>
      <c r="I2709" s="973"/>
      <c r="J2709" s="973"/>
      <c r="K2709" s="973"/>
      <c r="L2709" s="974"/>
      <c r="M2709" s="1109"/>
    </row>
    <row r="2710" spans="6:13" ht="24" customHeight="1">
      <c r="F2710" s="1097"/>
      <c r="G2710" s="1098"/>
      <c r="H2710" s="1097"/>
      <c r="I2710" s="1099"/>
      <c r="J2710" s="1104"/>
      <c r="K2710" s="1104"/>
      <c r="L2710" s="1110"/>
      <c r="M2710" s="1111"/>
    </row>
    <row r="2711" spans="6:13" ht="24" customHeight="1">
      <c r="F2711" s="968"/>
      <c r="G2711" s="1107"/>
      <c r="H2711" s="968"/>
      <c r="I2711" s="973"/>
      <c r="J2711" s="973"/>
      <c r="K2711" s="1109"/>
      <c r="L2711" s="974"/>
      <c r="M2711" s="1109"/>
    </row>
    <row r="2712" spans="6:13" ht="24" customHeight="1">
      <c r="F2712" s="968"/>
      <c r="G2712" s="1107"/>
      <c r="H2712" s="968"/>
      <c r="I2712" s="973"/>
      <c r="J2712" s="973"/>
      <c r="K2712" s="1109"/>
      <c r="L2712" s="974"/>
      <c r="M2712" s="1109"/>
    </row>
    <row r="2713" spans="6:13" ht="24" customHeight="1">
      <c r="F2713" s="968"/>
      <c r="G2713" s="1107"/>
      <c r="H2713" s="968"/>
      <c r="I2713" s="973"/>
      <c r="J2713" s="973"/>
      <c r="K2713" s="1109"/>
      <c r="L2713" s="974"/>
      <c r="M2713" s="1109"/>
    </row>
    <row r="2714" spans="6:13" ht="24" customHeight="1">
      <c r="F2714" s="968"/>
      <c r="G2714" s="1107"/>
      <c r="H2714" s="968"/>
      <c r="I2714" s="973"/>
      <c r="J2714" s="973"/>
      <c r="K2714" s="1109"/>
      <c r="L2714" s="974"/>
      <c r="M2714" s="1109"/>
    </row>
    <row r="2715" spans="6:13" ht="24" customHeight="1">
      <c r="F2715" s="1097"/>
      <c r="G2715" s="1098"/>
      <c r="H2715" s="1097"/>
      <c r="I2715" s="973"/>
      <c r="J2715" s="973"/>
      <c r="K2715" s="973"/>
      <c r="L2715" s="974"/>
      <c r="M2715" s="1109"/>
    </row>
    <row r="2716" spans="6:13" ht="24" customHeight="1">
      <c r="F2716" s="1097"/>
      <c r="G2716" s="1098"/>
      <c r="H2716" s="1097"/>
      <c r="I2716" s="1099"/>
      <c r="J2716" s="1104"/>
      <c r="K2716" s="1104"/>
      <c r="L2716" s="1110"/>
      <c r="M2716" s="1111"/>
    </row>
    <row r="2717" spans="6:13" ht="24" customHeight="1">
      <c r="F2717" s="1097"/>
      <c r="G2717" s="1098"/>
      <c r="H2717" s="1097"/>
      <c r="I2717" s="1099"/>
      <c r="J2717" s="1112"/>
      <c r="K2717" s="1104"/>
      <c r="L2717" s="1110"/>
      <c r="M2717" s="1111"/>
    </row>
    <row r="2718" spans="6:13" ht="24" customHeight="1">
      <c r="F2718" s="1097"/>
      <c r="G2718" s="1098"/>
      <c r="H2718" s="1097"/>
      <c r="I2718" s="1099"/>
      <c r="J2718" s="1104"/>
      <c r="K2718" s="1104"/>
      <c r="L2718" s="1110"/>
      <c r="M2718" s="1111"/>
    </row>
    <row r="2719" spans="6:13" ht="24" customHeight="1">
      <c r="F2719" s="1097"/>
      <c r="G2719" s="1098"/>
      <c r="H2719" s="1097"/>
      <c r="I2719" s="1099"/>
      <c r="J2719" s="1112"/>
      <c r="K2719" s="1104"/>
      <c r="L2719" s="1110"/>
      <c r="M2719" s="1111"/>
    </row>
    <row r="2720" spans="6:13" ht="24" customHeight="1">
      <c r="F2720" s="1097"/>
      <c r="G2720" s="1098"/>
      <c r="H2720" s="1097"/>
      <c r="I2720" s="1099"/>
      <c r="J2720" s="1097"/>
      <c r="K2720" s="1097"/>
      <c r="L2720" s="1097"/>
      <c r="M2720" s="1102"/>
    </row>
    <row r="2721" spans="6:14" ht="24" customHeight="1">
      <c r="F2721" s="1113"/>
      <c r="G2721" s="1114"/>
      <c r="H2721" s="1113"/>
      <c r="I2721" s="973"/>
      <c r="J2721" s="973"/>
      <c r="K2721" s="1097"/>
      <c r="L2721" s="1101"/>
      <c r="M2721" s="1102"/>
    </row>
    <row r="2722" spans="6:14" ht="24" customHeight="1">
      <c r="F2722" s="1097"/>
      <c r="G2722" s="1098"/>
      <c r="H2722" s="1097"/>
      <c r="I2722" s="1099"/>
      <c r="J2722" s="973"/>
      <c r="K2722" s="1097"/>
      <c r="L2722" s="1101"/>
      <c r="M2722" s="1102"/>
    </row>
    <row r="2723" spans="6:14" ht="24" customHeight="1">
      <c r="F2723" s="1097"/>
      <c r="G2723" s="1098"/>
      <c r="H2723" s="1097"/>
      <c r="I2723" s="1099"/>
      <c r="J2723" s="973"/>
      <c r="K2723" s="1097"/>
      <c r="L2723" s="1101"/>
      <c r="M2723" s="1102"/>
    </row>
    <row r="2724" spans="6:14" ht="24" customHeight="1">
      <c r="F2724" s="1097"/>
      <c r="G2724" s="1098"/>
      <c r="H2724" s="1097"/>
      <c r="I2724" s="1099"/>
      <c r="J2724" s="1106"/>
      <c r="K2724" s="1097"/>
      <c r="L2724" s="1101"/>
      <c r="M2724" s="1102"/>
    </row>
    <row r="2725" spans="6:14" ht="24" customHeight="1">
      <c r="F2725" s="1097"/>
      <c r="G2725" s="1098"/>
      <c r="H2725" s="1097"/>
      <c r="I2725" s="973"/>
      <c r="J2725" s="973"/>
      <c r="K2725" s="1097"/>
      <c r="L2725" s="1101"/>
      <c r="M2725" s="1109"/>
    </row>
    <row r="2726" spans="6:14" ht="24" customHeight="1">
      <c r="F2726" s="1097"/>
      <c r="G2726" s="1098"/>
      <c r="H2726" s="1097"/>
      <c r="I2726" s="1099"/>
      <c r="J2726" s="1106"/>
      <c r="K2726" s="1097"/>
      <c r="L2726" s="1101"/>
      <c r="M2726" s="1109"/>
    </row>
    <row r="2727" spans="6:14" ht="24" customHeight="1">
      <c r="F2727" s="968"/>
      <c r="G2727" s="1107"/>
      <c r="H2727" s="968"/>
      <c r="I2727" s="973"/>
      <c r="J2727" s="973"/>
      <c r="K2727" s="968"/>
      <c r="L2727" s="974"/>
      <c r="M2727" s="1109"/>
    </row>
    <row r="2728" spans="6:14" ht="24" customHeight="1">
      <c r="F2728" s="973"/>
      <c r="G2728" s="1115"/>
      <c r="H2728" s="973"/>
      <c r="I2728" s="1099"/>
      <c r="J2728" s="973"/>
      <c r="K2728" s="973"/>
      <c r="L2728" s="1101"/>
      <c r="M2728" s="1109"/>
    </row>
    <row r="2729" spans="6:14" ht="24" customHeight="1">
      <c r="F2729" s="968"/>
      <c r="G2729" s="1107"/>
      <c r="H2729" s="968"/>
      <c r="I2729" s="973"/>
      <c r="J2729" s="973"/>
      <c r="K2729" s="968"/>
      <c r="L2729" s="974"/>
      <c r="M2729" s="1109"/>
    </row>
    <row r="2730" spans="6:14" ht="24" customHeight="1">
      <c r="F2730" s="968"/>
      <c r="G2730" s="1107"/>
      <c r="H2730" s="968"/>
      <c r="I2730" s="973"/>
      <c r="J2730" s="973"/>
      <c r="K2730" s="968"/>
      <c r="L2730" s="974"/>
      <c r="M2730" s="1109"/>
      <c r="N2730" s="975"/>
    </row>
    <row r="2731" spans="6:14" ht="24" customHeight="1">
      <c r="F2731" s="968"/>
      <c r="G2731" s="1107"/>
      <c r="H2731" s="968"/>
      <c r="I2731" s="973"/>
      <c r="J2731" s="973"/>
      <c r="K2731" s="968"/>
      <c r="L2731" s="974"/>
      <c r="M2731" s="1109"/>
      <c r="N2731" s="976"/>
    </row>
    <row r="2732" spans="6:14" ht="24" customHeight="1">
      <c r="F2732" s="968"/>
      <c r="G2732" s="1107"/>
      <c r="H2732" s="968"/>
      <c r="I2732" s="973"/>
      <c r="J2732" s="973"/>
      <c r="K2732" s="968"/>
      <c r="L2732" s="974"/>
      <c r="M2732" s="1109"/>
      <c r="N2732" s="976"/>
    </row>
    <row r="2733" spans="6:14" ht="24" customHeight="1">
      <c r="F2733" s="968"/>
      <c r="G2733" s="1107"/>
      <c r="H2733" s="968"/>
      <c r="I2733" s="973"/>
      <c r="J2733" s="973"/>
      <c r="K2733" s="968"/>
      <c r="L2733" s="974"/>
      <c r="M2733" s="1109"/>
      <c r="N2733" s="976"/>
    </row>
    <row r="2734" spans="6:14" ht="24" customHeight="1">
      <c r="F2734" s="968"/>
      <c r="G2734" s="1107"/>
      <c r="H2734" s="968"/>
      <c r="I2734" s="973"/>
      <c r="J2734" s="973"/>
      <c r="K2734" s="968"/>
      <c r="L2734" s="974"/>
      <c r="M2734" s="1109"/>
      <c r="N2734" s="976"/>
    </row>
    <row r="2735" spans="6:14" ht="24" customHeight="1">
      <c r="F2735" s="1097"/>
      <c r="G2735" s="1098"/>
      <c r="H2735" s="1097"/>
      <c r="I2735" s="973"/>
      <c r="J2735" s="1116"/>
      <c r="K2735" s="968"/>
      <c r="L2735" s="974"/>
      <c r="M2735" s="1109"/>
      <c r="N2735" s="976"/>
    </row>
    <row r="2736" spans="6:14" ht="24" customHeight="1">
      <c r="F2736" s="1097"/>
      <c r="G2736" s="1098"/>
      <c r="H2736" s="1097"/>
      <c r="I2736" s="1099"/>
      <c r="J2736" s="973"/>
      <c r="K2736" s="968"/>
      <c r="L2736" s="1101"/>
      <c r="M2736" s="1109"/>
      <c r="N2736" s="976"/>
    </row>
    <row r="2737" spans="6:14" ht="24" customHeight="1">
      <c r="F2737" s="1097"/>
      <c r="G2737" s="1098"/>
      <c r="H2737" s="1097"/>
      <c r="I2737" s="1099"/>
      <c r="J2737" s="1097"/>
      <c r="K2737" s="1097"/>
      <c r="L2737" s="1097"/>
      <c r="M2737" s="1102"/>
      <c r="N2737" s="976"/>
    </row>
    <row r="2738" spans="6:14" ht="24" customHeight="1">
      <c r="F2738" s="1097"/>
      <c r="G2738" s="1098"/>
      <c r="H2738" s="1097"/>
      <c r="I2738" s="1099"/>
      <c r="J2738" s="1097"/>
      <c r="K2738" s="1097"/>
      <c r="L2738" s="1101"/>
      <c r="M2738" s="1109"/>
      <c r="N2738" s="976"/>
    </row>
    <row r="2739" spans="6:14" ht="24" customHeight="1">
      <c r="F2739" s="1097"/>
      <c r="G2739" s="1098"/>
      <c r="H2739" s="1097"/>
      <c r="I2739" s="1099"/>
      <c r="J2739" s="1112"/>
      <c r="K2739" s="1104"/>
      <c r="L2739" s="1110"/>
      <c r="M2739" s="1111"/>
      <c r="N2739" s="977"/>
    </row>
    <row r="2740" spans="6:14" ht="24" customHeight="1">
      <c r="F2740" s="1097"/>
      <c r="G2740" s="1098"/>
      <c r="H2740" s="1097"/>
      <c r="I2740" s="1099"/>
      <c r="J2740" s="1104"/>
      <c r="K2740" s="1104"/>
      <c r="L2740" s="1110"/>
      <c r="M2740" s="1111"/>
    </row>
    <row r="2741" spans="6:14" ht="24" customHeight="1">
      <c r="F2741" s="1097"/>
      <c r="G2741" s="1098"/>
      <c r="H2741" s="1097"/>
      <c r="I2741" s="1099"/>
      <c r="J2741" s="1112"/>
      <c r="K2741" s="1104"/>
      <c r="L2741" s="1110"/>
      <c r="M2741" s="1111"/>
    </row>
    <row r="2742" spans="6:14" ht="24" customHeight="1">
      <c r="F2742" s="1097"/>
      <c r="G2742" s="1098"/>
      <c r="H2742" s="1097"/>
      <c r="I2742" s="1099"/>
      <c r="J2742" s="1097"/>
      <c r="K2742" s="1097"/>
      <c r="L2742" s="1097"/>
      <c r="M2742" s="1102"/>
    </row>
    <row r="2743" spans="6:14" ht="24" customHeight="1">
      <c r="F2743" s="1097"/>
      <c r="G2743" s="1098"/>
      <c r="H2743" s="1097"/>
      <c r="I2743" s="1099"/>
      <c r="J2743" s="1097"/>
      <c r="K2743" s="1097"/>
      <c r="L2743" s="1097"/>
      <c r="M2743" s="1102"/>
    </row>
    <row r="2744" spans="6:14" ht="24" customHeight="1">
      <c r="F2744" s="1117"/>
      <c r="G2744" s="1118"/>
      <c r="H2744" s="1117"/>
      <c r="I2744" s="973"/>
      <c r="J2744" s="973"/>
      <c r="K2744" s="1097"/>
      <c r="L2744" s="1101"/>
      <c r="M2744" s="1102"/>
    </row>
    <row r="2745" spans="6:14" ht="24" customHeight="1">
      <c r="F2745" s="1097"/>
      <c r="G2745" s="1098"/>
      <c r="H2745" s="1097"/>
      <c r="I2745" s="1099"/>
      <c r="J2745" s="973"/>
      <c r="K2745" s="1097"/>
      <c r="L2745" s="1101"/>
      <c r="M2745" s="1102"/>
    </row>
    <row r="2746" spans="6:14" ht="24" customHeight="1">
      <c r="F2746" s="1097"/>
      <c r="G2746" s="1098"/>
      <c r="H2746" s="1097"/>
      <c r="I2746" s="1099"/>
      <c r="J2746" s="973"/>
      <c r="K2746" s="1097"/>
      <c r="L2746" s="1101"/>
      <c r="M2746" s="1102"/>
    </row>
    <row r="2747" spans="6:14" ht="24" customHeight="1">
      <c r="F2747" s="1097"/>
      <c r="G2747" s="1098"/>
      <c r="H2747" s="1097"/>
      <c r="I2747" s="1099"/>
      <c r="J2747" s="973"/>
      <c r="K2747" s="1097"/>
      <c r="L2747" s="1101"/>
      <c r="M2747" s="1102"/>
    </row>
    <row r="2748" spans="6:14" ht="24" customHeight="1">
      <c r="F2748" s="1097"/>
      <c r="G2748" s="1098"/>
      <c r="H2748" s="1097"/>
      <c r="I2748" s="1099"/>
      <c r="J2748" s="973"/>
      <c r="K2748" s="1097"/>
      <c r="L2748" s="1101"/>
      <c r="M2748" s="1102"/>
    </row>
    <row r="2749" spans="6:14" ht="24" customHeight="1">
      <c r="F2749" s="1097"/>
      <c r="G2749" s="1098"/>
      <c r="H2749" s="1097"/>
      <c r="I2749" s="1099"/>
      <c r="J2749" s="973"/>
      <c r="K2749" s="1097"/>
      <c r="L2749" s="1101"/>
      <c r="M2749" s="1102"/>
    </row>
    <row r="2750" spans="6:14" ht="24" customHeight="1">
      <c r="F2750" s="1097"/>
      <c r="G2750" s="1098"/>
      <c r="H2750" s="1097"/>
      <c r="I2750" s="1099"/>
      <c r="J2750" s="973"/>
      <c r="K2750" s="1097"/>
      <c r="L2750" s="1101"/>
      <c r="M2750" s="1102"/>
    </row>
    <row r="2751" spans="6:14" ht="24" customHeight="1">
      <c r="F2751" s="1097"/>
      <c r="G2751" s="1098"/>
      <c r="H2751" s="1097"/>
      <c r="I2751" s="1099"/>
      <c r="J2751" s="973"/>
      <c r="K2751" s="1097"/>
      <c r="L2751" s="1101"/>
      <c r="M2751" s="1102"/>
    </row>
    <row r="2752" spans="6:14" ht="24" customHeight="1">
      <c r="F2752" s="1097"/>
      <c r="G2752" s="1098"/>
      <c r="H2752" s="1097"/>
      <c r="I2752" s="1099"/>
      <c r="J2752" s="1106"/>
      <c r="K2752" s="1106"/>
      <c r="L2752" s="1101"/>
      <c r="M2752" s="1102"/>
    </row>
    <row r="2753" spans="5:21" ht="24" customHeight="1">
      <c r="F2753" s="1097"/>
      <c r="G2753" s="1098"/>
      <c r="H2753" s="1097"/>
      <c r="I2753" s="973"/>
      <c r="J2753" s="973"/>
      <c r="K2753" s="1097"/>
      <c r="L2753" s="1101"/>
      <c r="M2753" s="1102"/>
    </row>
    <row r="2754" spans="5:21" ht="24" customHeight="1">
      <c r="E2754" s="927"/>
      <c r="F2754" s="1097"/>
      <c r="G2754" s="1098"/>
      <c r="H2754" s="1097"/>
      <c r="I2754" s="1099"/>
      <c r="J2754" s="973"/>
      <c r="K2754" s="1097"/>
      <c r="L2754" s="1101"/>
      <c r="M2754" s="1102"/>
    </row>
    <row r="2755" spans="5:21" ht="24" customHeight="1">
      <c r="F2755" s="1097"/>
      <c r="G2755" s="1098"/>
      <c r="H2755" s="1097"/>
      <c r="I2755" s="973"/>
      <c r="J2755" s="973"/>
      <c r="K2755" s="1097"/>
      <c r="L2755" s="1101"/>
      <c r="M2755" s="1102"/>
    </row>
    <row r="2756" spans="5:21" ht="24" customHeight="1">
      <c r="F2756" s="1097"/>
      <c r="G2756" s="1098"/>
      <c r="H2756" s="1097"/>
      <c r="I2756" s="1099"/>
      <c r="J2756" s="1106"/>
      <c r="K2756" s="1097"/>
      <c r="L2756" s="1101"/>
      <c r="M2756" s="1102"/>
    </row>
    <row r="2757" spans="5:21" ht="24" customHeight="1">
      <c r="F2757" s="968"/>
      <c r="G2757" s="1107"/>
      <c r="H2757" s="968"/>
      <c r="I2757" s="973"/>
      <c r="J2757" s="973"/>
      <c r="K2757" s="968"/>
      <c r="L2757" s="974"/>
      <c r="M2757" s="1109"/>
    </row>
    <row r="2758" spans="5:21" ht="24" customHeight="1">
      <c r="F2758" s="968"/>
      <c r="G2758" s="1107"/>
      <c r="H2758" s="968"/>
      <c r="I2758" s="973"/>
      <c r="J2758" s="973"/>
      <c r="K2758" s="968"/>
      <c r="L2758" s="974"/>
      <c r="M2758" s="1109"/>
    </row>
    <row r="2759" spans="5:21" ht="24" customHeight="1">
      <c r="F2759" s="968"/>
      <c r="G2759" s="1107"/>
      <c r="H2759" s="968"/>
      <c r="I2759" s="973"/>
      <c r="J2759" s="973"/>
      <c r="K2759" s="968"/>
      <c r="L2759" s="974"/>
      <c r="M2759" s="1109"/>
    </row>
    <row r="2760" spans="5:21" ht="24" customHeight="1">
      <c r="F2760" s="1097"/>
      <c r="G2760" s="1098"/>
      <c r="H2760" s="1097"/>
      <c r="I2760" s="1099"/>
      <c r="J2760" s="1097"/>
      <c r="K2760" s="973"/>
      <c r="L2760" s="1101"/>
      <c r="M2760" s="1109"/>
    </row>
    <row r="2761" spans="5:21" ht="24" customHeight="1">
      <c r="F2761" s="1097"/>
      <c r="G2761" s="1098"/>
      <c r="H2761" s="1097"/>
      <c r="I2761" s="1099"/>
      <c r="J2761" s="1112"/>
      <c r="K2761" s="1104"/>
      <c r="L2761" s="1110"/>
      <c r="M2761" s="1111"/>
      <c r="U2761" s="1119"/>
    </row>
    <row r="2762" spans="5:21" ht="24" customHeight="1">
      <c r="F2762" s="1097"/>
      <c r="G2762" s="1098"/>
      <c r="H2762" s="1097"/>
      <c r="I2762" s="1099"/>
      <c r="J2762" s="973"/>
      <c r="K2762" s="973"/>
      <c r="L2762" s="1101"/>
      <c r="M2762" s="1109"/>
      <c r="U2762" s="1120"/>
    </row>
    <row r="2763" spans="5:21" ht="24" customHeight="1">
      <c r="F2763" s="1097"/>
      <c r="G2763" s="1098"/>
      <c r="H2763" s="1097"/>
      <c r="I2763" s="1099"/>
      <c r="J2763" s="1097"/>
      <c r="K2763" s="1097"/>
      <c r="L2763" s="1097"/>
      <c r="M2763" s="1102"/>
      <c r="U2763" s="1119"/>
    </row>
    <row r="2764" spans="5:21" ht="24" customHeight="1">
      <c r="F2764" s="1121"/>
      <c r="G2764" s="1122"/>
      <c r="H2764" s="1123"/>
      <c r="I2764" s="1124"/>
      <c r="J2764" s="1123"/>
      <c r="K2764" s="1123"/>
      <c r="L2764" s="1123"/>
      <c r="M2764" s="1125"/>
      <c r="U2764" s="1119"/>
    </row>
    <row r="2765" spans="5:21" ht="24" customHeight="1">
      <c r="F2765" s="1126"/>
      <c r="G2765" s="1127"/>
      <c r="H2765" s="1128"/>
      <c r="I2765" s="1129"/>
      <c r="J2765" s="1130"/>
      <c r="K2765" s="1130"/>
      <c r="L2765" s="1131"/>
      <c r="M2765" s="1132"/>
      <c r="U2765" s="1119"/>
    </row>
    <row r="2766" spans="5:21" ht="24" customHeight="1">
      <c r="F2766" s="1133"/>
      <c r="G2766" s="1134"/>
      <c r="H2766" s="1130"/>
      <c r="I2766" s="1135"/>
      <c r="J2766" s="1130"/>
      <c r="K2766" s="1130"/>
      <c r="L2766" s="1131"/>
      <c r="M2766" s="1132"/>
      <c r="U2766" s="1119"/>
    </row>
    <row r="2767" spans="5:21" ht="24" customHeight="1">
      <c r="F2767" s="1133"/>
      <c r="G2767" s="1134"/>
      <c r="H2767" s="1130"/>
      <c r="I2767" s="1135"/>
      <c r="J2767" s="1130"/>
      <c r="K2767" s="1134"/>
      <c r="L2767" s="1131"/>
      <c r="M2767" s="1132"/>
      <c r="U2767" s="1119"/>
    </row>
    <row r="2768" spans="5:21" ht="24" customHeight="1">
      <c r="F2768" s="1133"/>
      <c r="G2768" s="1134"/>
      <c r="H2768" s="1130"/>
      <c r="I2768" s="1135"/>
      <c r="J2768" s="1130"/>
      <c r="K2768" s="1130"/>
      <c r="L2768" s="1131"/>
      <c r="M2768" s="1132"/>
      <c r="U2768" s="1119"/>
    </row>
    <row r="2769" spans="6:35" ht="24" customHeight="1">
      <c r="F2769" s="1133"/>
      <c r="G2769" s="1134"/>
      <c r="H2769" s="1130"/>
      <c r="I2769" s="1135"/>
      <c r="J2769" s="1130"/>
      <c r="K2769" s="1130"/>
      <c r="L2769" s="1131"/>
      <c r="M2769" s="1132"/>
      <c r="U2769" s="1119"/>
    </row>
    <row r="2770" spans="6:35" ht="24" customHeight="1">
      <c r="F2770" s="1133"/>
      <c r="G2770" s="1134"/>
      <c r="H2770" s="1130"/>
      <c r="I2770" s="1135"/>
      <c r="J2770" s="1130"/>
      <c r="K2770" s="1132"/>
      <c r="L2770" s="1131"/>
      <c r="M2770" s="1132"/>
      <c r="U2770" s="1119"/>
    </row>
    <row r="2771" spans="6:35" ht="24" customHeight="1">
      <c r="F2771" s="1133"/>
      <c r="G2771" s="1134"/>
      <c r="H2771" s="1130"/>
      <c r="I2771" s="1135"/>
      <c r="J2771" s="1130"/>
      <c r="K2771" s="1130"/>
      <c r="L2771" s="1131"/>
      <c r="M2771" s="1136"/>
      <c r="U2771" s="1119"/>
    </row>
    <row r="2772" spans="6:35" ht="24" customHeight="1">
      <c r="F2772" s="1133"/>
      <c r="G2772" s="1134"/>
      <c r="H2772" s="1130"/>
      <c r="I2772" s="1135"/>
      <c r="J2772" s="1130"/>
      <c r="K2772" s="1130"/>
      <c r="L2772" s="1131"/>
      <c r="M2772" s="1137"/>
      <c r="N2772" s="960"/>
      <c r="U2772" s="1119"/>
    </row>
    <row r="2773" spans="6:35" ht="24" customHeight="1">
      <c r="F2773" s="1138"/>
      <c r="G2773" s="1139"/>
      <c r="H2773" s="1140"/>
      <c r="I2773" s="1141"/>
      <c r="J2773" s="1140"/>
      <c r="K2773" s="1140"/>
      <c r="L2773" s="1142"/>
      <c r="M2773" s="1143"/>
      <c r="U2773" s="1119"/>
    </row>
    <row r="2774" spans="6:35" ht="24" customHeight="1">
      <c r="F2774" s="1097"/>
      <c r="G2774" s="1098"/>
      <c r="H2774" s="1097"/>
      <c r="I2774" s="1099"/>
      <c r="J2774" s="1097"/>
      <c r="K2774" s="1097"/>
      <c r="L2774" s="1101"/>
      <c r="M2774" s="1102"/>
      <c r="U2774" s="1119"/>
    </row>
    <row r="2775" spans="6:35" ht="24" customHeight="1">
      <c r="F2775" s="1097"/>
      <c r="G2775" s="1098"/>
      <c r="H2775" s="1097"/>
      <c r="I2775" s="1099"/>
      <c r="J2775" s="1097"/>
      <c r="K2775" s="1097"/>
      <c r="L2775" s="1101"/>
      <c r="M2775" s="1102"/>
      <c r="U2775" s="1144"/>
    </row>
    <row r="2776" spans="6:35" ht="24" customHeight="1">
      <c r="F2776" s="1097"/>
      <c r="G2776" s="1098"/>
      <c r="H2776" s="1097"/>
      <c r="I2776" s="1099"/>
      <c r="J2776" s="1097"/>
      <c r="K2776" s="1097"/>
      <c r="L2776" s="1101"/>
      <c r="M2776" s="1102"/>
      <c r="U2776" s="1144"/>
    </row>
    <row r="2777" spans="6:35" ht="24" customHeight="1">
      <c r="F2777" s="1097"/>
      <c r="G2777" s="1098"/>
      <c r="H2777" s="1097"/>
      <c r="I2777" s="1099"/>
      <c r="J2777" s="1097"/>
      <c r="K2777" s="1097"/>
      <c r="L2777" s="1101"/>
      <c r="M2777" s="1102"/>
      <c r="U2777" s="1144"/>
      <c r="AE2777" s="885"/>
    </row>
    <row r="2778" spans="6:35" ht="24" customHeight="1">
      <c r="F2778" s="1097"/>
      <c r="G2778" s="1098"/>
      <c r="H2778" s="1097"/>
      <c r="I2778" s="1099"/>
      <c r="J2778" s="1097"/>
      <c r="K2778" s="1097"/>
      <c r="L2778" s="1101"/>
      <c r="M2778" s="1102"/>
      <c r="U2778" s="1144"/>
      <c r="AE2778" s="885"/>
    </row>
    <row r="2779" spans="6:35" ht="24" customHeight="1">
      <c r="F2779" s="1097"/>
      <c r="G2779" s="1098"/>
      <c r="H2779" s="1097"/>
      <c r="I2779" s="1145"/>
      <c r="J2779" s="1097"/>
      <c r="K2779" s="1097"/>
      <c r="L2779" s="1101"/>
      <c r="M2779" s="1102"/>
      <c r="U2779" s="1144"/>
    </row>
    <row r="2780" spans="6:35" ht="24" customHeight="1">
      <c r="F2780" s="1097"/>
      <c r="G2780" s="1098"/>
      <c r="H2780" s="1097"/>
      <c r="I2780" s="1099"/>
      <c r="J2780" s="1097"/>
      <c r="K2780" s="1097"/>
      <c r="L2780" s="1101"/>
      <c r="M2780" s="1102"/>
      <c r="U2780" s="1144"/>
      <c r="AD2780" s="1146"/>
      <c r="AE2780" s="961"/>
      <c r="AF2780" s="885"/>
      <c r="AG2780" s="885"/>
      <c r="AH2780" s="895"/>
      <c r="AI2780" s="885"/>
    </row>
    <row r="2781" spans="6:35" ht="24" customHeight="1">
      <c r="F2781" s="1104"/>
      <c r="G2781" s="1147"/>
      <c r="H2781" s="1104"/>
      <c r="I2781" s="1099"/>
      <c r="J2781" s="1097"/>
      <c r="K2781" s="1097"/>
      <c r="L2781" s="1101"/>
      <c r="M2781" s="1102"/>
      <c r="U2781" s="1144"/>
      <c r="AD2781" s="1146"/>
      <c r="AE2781" s="961"/>
      <c r="AF2781" s="885"/>
      <c r="AG2781" s="885"/>
      <c r="AH2781" s="895"/>
      <c r="AI2781" s="885"/>
    </row>
    <row r="2782" spans="6:35" ht="24" customHeight="1">
      <c r="F2782" s="1097"/>
      <c r="G2782" s="1098"/>
      <c r="H2782" s="1097"/>
      <c r="I2782" s="1099"/>
      <c r="J2782" s="1097"/>
      <c r="K2782" s="1097"/>
      <c r="L2782" s="1101"/>
      <c r="M2782" s="1102"/>
      <c r="U2782" s="1144"/>
      <c r="AD2782" s="1148"/>
      <c r="AE2782" s="961"/>
      <c r="AF2782" s="885"/>
      <c r="AG2782" s="885"/>
      <c r="AH2782" s="895"/>
      <c r="AI2782" s="885"/>
    </row>
    <row r="2783" spans="6:35" ht="24" customHeight="1">
      <c r="F2783" s="1119"/>
      <c r="G2783" s="1149"/>
      <c r="H2783" s="1119"/>
      <c r="I2783" s="1099"/>
      <c r="J2783" s="1097"/>
      <c r="K2783" s="1097"/>
      <c r="L2783" s="1102"/>
      <c r="M2783" s="1102"/>
      <c r="U2783" s="1144"/>
      <c r="AD2783" s="1148"/>
      <c r="AE2783" s="961"/>
      <c r="AF2783" s="885"/>
      <c r="AG2783" s="885"/>
      <c r="AH2783" s="895"/>
      <c r="AI2783" s="885"/>
    </row>
    <row r="2784" spans="6:35" ht="24" customHeight="1">
      <c r="F2784" s="1097"/>
      <c r="G2784" s="1098"/>
      <c r="H2784" s="1097"/>
      <c r="I2784" s="1099"/>
      <c r="J2784" s="1097"/>
      <c r="K2784" s="1097"/>
      <c r="L2784" s="1102"/>
      <c r="M2784" s="1102"/>
      <c r="U2784" s="1144"/>
      <c r="AD2784" s="885"/>
      <c r="AE2784" s="961"/>
      <c r="AF2784" s="885"/>
      <c r="AG2784" s="885"/>
      <c r="AH2784" s="895"/>
      <c r="AI2784" s="885"/>
    </row>
    <row r="2785" spans="6:35" ht="24" customHeight="1">
      <c r="F2785" s="1097"/>
      <c r="G2785" s="1098"/>
      <c r="H2785" s="1097"/>
      <c r="I2785" s="1099"/>
      <c r="J2785" s="1097"/>
      <c r="K2785" s="1097"/>
      <c r="L2785" s="1102"/>
      <c r="M2785" s="1102"/>
      <c r="U2785" s="1144"/>
      <c r="AD2785" s="885"/>
      <c r="AE2785" s="961"/>
      <c r="AF2785" s="885"/>
      <c r="AG2785" s="885"/>
      <c r="AH2785" s="895"/>
      <c r="AI2785" s="885"/>
    </row>
    <row r="2786" spans="6:35" ht="24" customHeight="1">
      <c r="F2786" s="1097"/>
      <c r="G2786" s="1098"/>
      <c r="H2786" s="1097"/>
      <c r="I2786" s="1099"/>
      <c r="J2786" s="1097"/>
      <c r="K2786" s="1097"/>
      <c r="L2786" s="1102"/>
      <c r="M2786" s="1102"/>
      <c r="U2786" s="1119"/>
      <c r="AD2786" s="885"/>
      <c r="AE2786" s="961"/>
      <c r="AF2786" s="885"/>
      <c r="AG2786" s="885"/>
      <c r="AH2786" s="895"/>
      <c r="AI2786" s="885"/>
    </row>
    <row r="2787" spans="6:35" ht="24" customHeight="1">
      <c r="F2787" s="1097"/>
      <c r="G2787" s="1098"/>
      <c r="H2787" s="1097"/>
      <c r="I2787" s="1099"/>
      <c r="J2787" s="1097"/>
      <c r="K2787" s="1097"/>
      <c r="L2787" s="1102"/>
      <c r="M2787" s="1102"/>
      <c r="U2787" s="1119"/>
      <c r="AD2787" s="885"/>
      <c r="AE2787" s="961"/>
      <c r="AF2787" s="885"/>
      <c r="AG2787" s="885"/>
      <c r="AH2787" s="895"/>
      <c r="AI2787" s="885"/>
    </row>
    <row r="2788" spans="6:35" ht="24" customHeight="1">
      <c r="F2788" s="1097"/>
      <c r="G2788" s="1098"/>
      <c r="H2788" s="1097"/>
      <c r="I2788" s="1099"/>
      <c r="J2788" s="1097"/>
      <c r="K2788" s="1097"/>
      <c r="L2788" s="1101"/>
      <c r="M2788" s="1102"/>
      <c r="U2788" s="1119"/>
      <c r="AD2788" s="885"/>
      <c r="AE2788" s="961"/>
      <c r="AF2788" s="885"/>
      <c r="AG2788" s="885"/>
      <c r="AH2788" s="895"/>
      <c r="AI2788" s="885"/>
    </row>
    <row r="2789" spans="6:35" ht="24" customHeight="1">
      <c r="F2789" s="1097"/>
      <c r="G2789" s="1098"/>
      <c r="H2789" s="1097"/>
      <c r="I2789" s="1099"/>
      <c r="J2789" s="1097"/>
      <c r="K2789" s="1097"/>
      <c r="L2789" s="1101"/>
      <c r="M2789" s="1102"/>
      <c r="U2789" s="1119"/>
      <c r="AD2789" s="885"/>
      <c r="AE2789" s="961"/>
      <c r="AF2789" s="885"/>
      <c r="AG2789" s="885"/>
      <c r="AH2789" s="895"/>
      <c r="AI2789" s="885"/>
    </row>
    <row r="2790" spans="6:35" ht="24" customHeight="1">
      <c r="F2790" s="1097"/>
      <c r="G2790" s="1098"/>
      <c r="H2790" s="1097"/>
      <c r="I2790" s="1099"/>
      <c r="J2790" s="1097"/>
      <c r="K2790" s="1097"/>
      <c r="L2790" s="1101"/>
      <c r="M2790" s="1102"/>
      <c r="U2790" s="1119"/>
      <c r="AD2790" s="885"/>
      <c r="AE2790" s="961"/>
      <c r="AF2790" s="885"/>
      <c r="AG2790" s="885"/>
      <c r="AH2790" s="895"/>
      <c r="AI2790" s="885"/>
    </row>
    <row r="2791" spans="6:35" ht="24" customHeight="1">
      <c r="F2791" s="1097"/>
      <c r="G2791" s="1098"/>
      <c r="H2791" s="1097"/>
      <c r="I2791" s="1099"/>
      <c r="J2791" s="1097"/>
      <c r="K2791" s="1097"/>
      <c r="L2791" s="1101"/>
      <c r="M2791" s="1102"/>
      <c r="AD2791" s="885"/>
      <c r="AE2791" s="961"/>
      <c r="AF2791" s="885"/>
      <c r="AG2791" s="885"/>
      <c r="AH2791" s="895"/>
      <c r="AI2791" s="885"/>
    </row>
    <row r="2792" spans="6:35" ht="24" customHeight="1">
      <c r="F2792" s="1097"/>
      <c r="G2792" s="1098"/>
      <c r="H2792" s="1097"/>
      <c r="I2792" s="1099"/>
      <c r="J2792" s="1097"/>
      <c r="K2792" s="1097"/>
      <c r="L2792" s="1101"/>
      <c r="M2792" s="1102"/>
      <c r="AD2792" s="885"/>
      <c r="AE2792" s="961"/>
      <c r="AF2792" s="885"/>
      <c r="AG2792" s="885"/>
      <c r="AH2792" s="895"/>
      <c r="AI2792" s="1150"/>
    </row>
    <row r="2793" spans="6:35" ht="24" customHeight="1">
      <c r="F2793" s="1097"/>
      <c r="G2793" s="1098"/>
      <c r="H2793" s="1097"/>
      <c r="I2793" s="1099"/>
      <c r="J2793" s="1097"/>
      <c r="K2793" s="1097"/>
      <c r="L2793" s="1101"/>
      <c r="M2793" s="1102"/>
      <c r="AD2793" s="885"/>
      <c r="AE2793" s="961"/>
      <c r="AF2793" s="885"/>
      <c r="AG2793" s="885"/>
      <c r="AH2793" s="895"/>
      <c r="AI2793" s="885"/>
    </row>
    <row r="2794" spans="6:35" ht="54.75" customHeight="1">
      <c r="F2794" s="974"/>
      <c r="G2794" s="1105"/>
      <c r="H2794" s="974"/>
      <c r="I2794" s="973"/>
      <c r="J2794" s="973"/>
      <c r="K2794" s="1097"/>
      <c r="L2794" s="1101"/>
      <c r="M2794" s="1102"/>
      <c r="AD2794" s="885"/>
      <c r="AE2794" s="961"/>
      <c r="AF2794" s="885"/>
      <c r="AG2794" s="885"/>
      <c r="AH2794" s="895"/>
      <c r="AI2794" s="1150"/>
    </row>
    <row r="2795" spans="6:35" ht="24" customHeight="1">
      <c r="F2795" s="1097"/>
      <c r="G2795" s="1098"/>
      <c r="H2795" s="1097"/>
      <c r="I2795" s="1099"/>
      <c r="J2795" s="973"/>
      <c r="K2795" s="1097"/>
      <c r="L2795" s="1101"/>
      <c r="M2795" s="1102"/>
    </row>
    <row r="2796" spans="6:35" ht="24" customHeight="1">
      <c r="F2796" s="1097"/>
      <c r="G2796" s="1098"/>
      <c r="H2796" s="1097"/>
      <c r="I2796" s="1099"/>
      <c r="J2796" s="973"/>
      <c r="K2796" s="1104"/>
      <c r="L2796" s="1101"/>
      <c r="M2796" s="1102"/>
    </row>
    <row r="2797" spans="6:35" ht="24" customHeight="1">
      <c r="F2797" s="1097"/>
      <c r="G2797" s="1098"/>
      <c r="H2797" s="1097"/>
      <c r="I2797" s="1099"/>
      <c r="J2797" s="1106"/>
      <c r="K2797" s="1097"/>
      <c r="L2797" s="1101"/>
      <c r="M2797" s="1102"/>
      <c r="V2797" s="1151"/>
      <c r="W2797" s="1097"/>
      <c r="X2797" s="1097"/>
      <c r="Y2797" s="1101"/>
      <c r="Z2797" s="1097"/>
    </row>
    <row r="2798" spans="6:35" ht="24" customHeight="1">
      <c r="F2798" s="1097"/>
      <c r="G2798" s="1098"/>
      <c r="H2798" s="1097"/>
      <c r="I2798" s="1099"/>
      <c r="J2798" s="973"/>
      <c r="K2798" s="1097"/>
      <c r="L2798" s="1101"/>
      <c r="M2798" s="1102"/>
      <c r="V2798" s="1152"/>
      <c r="W2798" s="973"/>
      <c r="X2798" s="1097"/>
      <c r="Y2798" s="1101"/>
      <c r="Z2798" s="1097"/>
    </row>
    <row r="2799" spans="6:35" ht="24" customHeight="1">
      <c r="F2799" s="1097"/>
      <c r="G2799" s="1098"/>
      <c r="H2799" s="1097"/>
      <c r="I2799" s="1099"/>
      <c r="J2799" s="973"/>
      <c r="K2799" s="1097"/>
      <c r="L2799" s="1101"/>
      <c r="M2799" s="1102"/>
      <c r="V2799" s="1151"/>
      <c r="W2799" s="973"/>
      <c r="X2799" s="1097"/>
      <c r="Y2799" s="1101"/>
      <c r="Z2799" s="1097"/>
    </row>
    <row r="2800" spans="6:35" ht="24" customHeight="1">
      <c r="F2800" s="1097"/>
      <c r="G2800" s="1098"/>
      <c r="H2800" s="1097"/>
      <c r="I2800" s="1099"/>
      <c r="J2800" s="1097"/>
      <c r="K2800" s="1097"/>
      <c r="L2800" s="974"/>
      <c r="M2800" s="1102"/>
      <c r="V2800" s="1151"/>
      <c r="W2800" s="973"/>
      <c r="X2800" s="1097"/>
      <c r="Y2800" s="1101"/>
      <c r="Z2800" s="1097"/>
    </row>
    <row r="2801" spans="1:255" ht="24" customHeight="1">
      <c r="F2801" s="1097"/>
      <c r="G2801" s="1098"/>
      <c r="H2801" s="1097"/>
      <c r="I2801" s="1099"/>
      <c r="J2801" s="973"/>
      <c r="K2801" s="1097"/>
      <c r="L2801" s="1101"/>
      <c r="M2801" s="1102"/>
      <c r="O2801" s="974"/>
      <c r="P2801" s="1152"/>
      <c r="Q2801" s="973"/>
      <c r="R2801" s="1097"/>
      <c r="S2801" s="1101"/>
      <c r="T2801" s="1097"/>
      <c r="V2801" s="1151"/>
      <c r="W2801" s="1106"/>
      <c r="X2801" s="1097"/>
      <c r="Y2801" s="1101"/>
      <c r="Z2801" s="1097"/>
    </row>
    <row r="2802" spans="1:255" ht="24" customHeight="1">
      <c r="F2802" s="1097"/>
      <c r="G2802" s="1098"/>
      <c r="H2802" s="1097"/>
      <c r="I2802" s="1099"/>
      <c r="J2802" s="973"/>
      <c r="K2802" s="1097"/>
      <c r="L2802" s="1101"/>
      <c r="M2802" s="1153"/>
      <c r="O2802" s="1097"/>
      <c r="P2802" s="1151"/>
      <c r="Q2802" s="973"/>
      <c r="R2802" s="1097"/>
      <c r="S2802" s="1101"/>
      <c r="T2802" s="1097"/>
      <c r="V2802" s="1151"/>
      <c r="W2802" s="973"/>
      <c r="X2802" s="1097"/>
      <c r="Y2802" s="1101"/>
      <c r="Z2802" s="1097"/>
    </row>
    <row r="2803" spans="1:255" ht="24" customHeight="1">
      <c r="F2803" s="1097"/>
      <c r="G2803" s="1098"/>
      <c r="H2803" s="1097"/>
      <c r="I2803" s="1099"/>
      <c r="J2803" s="1097"/>
      <c r="K2803" s="1097"/>
      <c r="L2803" s="974"/>
      <c r="M2803" s="1109"/>
      <c r="O2803" s="1097"/>
      <c r="P2803" s="1151"/>
      <c r="Q2803" s="973"/>
      <c r="R2803" s="1104"/>
      <c r="S2803" s="1101"/>
      <c r="T2803" s="1097"/>
      <c r="V2803" s="1151"/>
      <c r="W2803" s="973"/>
      <c r="X2803" s="1097"/>
      <c r="Y2803" s="1101"/>
      <c r="Z2803" s="1097"/>
    </row>
    <row r="2804" spans="1:255" ht="24" customHeight="1">
      <c r="F2804" s="1097"/>
      <c r="G2804" s="1098"/>
      <c r="H2804" s="1097"/>
      <c r="I2804" s="1099"/>
      <c r="J2804" s="973"/>
      <c r="K2804" s="1097"/>
      <c r="L2804" s="1154"/>
      <c r="M2804" s="1153"/>
      <c r="O2804" s="1097"/>
      <c r="P2804" s="1151"/>
      <c r="Q2804" s="1106"/>
      <c r="R2804" s="1097"/>
      <c r="S2804" s="1101"/>
      <c r="T2804" s="1097"/>
      <c r="V2804" s="1151"/>
      <c r="W2804" s="1097"/>
      <c r="X2804" s="1097"/>
      <c r="Y2804" s="974"/>
      <c r="Z2804" s="1097"/>
    </row>
    <row r="2805" spans="1:255" ht="24" customHeight="1">
      <c r="F2805" s="1097"/>
      <c r="G2805" s="1098"/>
      <c r="H2805" s="1097"/>
      <c r="I2805" s="1099"/>
      <c r="J2805" s="973"/>
      <c r="K2805" s="1097"/>
      <c r="L2805" s="974"/>
      <c r="M2805" s="1153"/>
      <c r="O2805" s="1097"/>
      <c r="P2805" s="1151"/>
      <c r="Q2805" s="973"/>
      <c r="R2805" s="1097"/>
      <c r="S2805" s="1101"/>
      <c r="T2805" s="1097"/>
      <c r="V2805" s="1151"/>
      <c r="W2805" s="973"/>
      <c r="X2805" s="1097"/>
      <c r="Y2805" s="1101"/>
      <c r="Z2805" s="1097"/>
    </row>
    <row r="2806" spans="1:255" ht="24" customHeight="1">
      <c r="F2806" s="1155"/>
      <c r="G2806" s="1156"/>
      <c r="H2806" s="1155"/>
      <c r="I2806" s="1099"/>
      <c r="J2806" s="1097"/>
      <c r="K2806" s="1097"/>
      <c r="L2806" s="1101"/>
      <c r="M2806" s="1109"/>
      <c r="O2806" s="1097"/>
      <c r="P2806" s="1151"/>
      <c r="Q2806" s="973"/>
      <c r="R2806" s="1097"/>
      <c r="S2806" s="1101"/>
      <c r="T2806" s="1097"/>
      <c r="V2806" s="1151"/>
      <c r="W2806" s="973"/>
      <c r="X2806" s="1097"/>
      <c r="Y2806" s="1101"/>
      <c r="Z2806" s="1157"/>
    </row>
    <row r="2807" spans="1:255" ht="24" customHeight="1">
      <c r="F2807" s="1157"/>
      <c r="G2807" s="1158"/>
      <c r="H2807" s="1157"/>
      <c r="I2807" s="973"/>
      <c r="J2807" s="973"/>
      <c r="K2807" s="968"/>
      <c r="L2807" s="974"/>
      <c r="M2807" s="1109"/>
      <c r="O2807" s="1097"/>
      <c r="P2807" s="1151"/>
      <c r="Q2807" s="1097"/>
      <c r="R2807" s="1097"/>
      <c r="S2807" s="974"/>
      <c r="T2807" s="1097"/>
      <c r="V2807" s="1151"/>
      <c r="W2807" s="1097"/>
      <c r="X2807" s="1097"/>
      <c r="Y2807" s="974"/>
      <c r="Z2807" s="1106"/>
      <c r="AA2807" s="960"/>
    </row>
    <row r="2808" spans="1:255" ht="24" customHeight="1">
      <c r="F2808" s="1157"/>
      <c r="G2808" s="1158"/>
      <c r="H2808" s="1157"/>
      <c r="I2808" s="973"/>
      <c r="J2808" s="973"/>
      <c r="K2808" s="968"/>
      <c r="L2808" s="974"/>
      <c r="M2808" s="1109"/>
      <c r="O2808" s="1097"/>
      <c r="P2808" s="1151"/>
      <c r="Q2808" s="973"/>
      <c r="R2808" s="1097"/>
      <c r="S2808" s="1101"/>
      <c r="T2808" s="1097"/>
      <c r="V2808" s="1151"/>
      <c r="W2808" s="973"/>
      <c r="X2808" s="1097"/>
      <c r="Y2808" s="1154"/>
      <c r="Z2808" s="1157"/>
    </row>
    <row r="2809" spans="1:255" ht="24" customHeight="1">
      <c r="F2809" s="1157"/>
      <c r="G2809" s="1158"/>
      <c r="H2809" s="1157"/>
      <c r="I2809" s="973"/>
      <c r="J2809" s="973"/>
      <c r="K2809" s="968"/>
      <c r="L2809" s="974"/>
      <c r="M2809" s="1109"/>
      <c r="O2809" s="1097"/>
      <c r="P2809" s="1151"/>
      <c r="Q2809" s="973"/>
      <c r="R2809" s="1097"/>
      <c r="S2809" s="1101"/>
      <c r="T2809" s="1157"/>
      <c r="V2809" s="1151"/>
      <c r="W2809" s="973"/>
      <c r="X2809" s="1097"/>
      <c r="Y2809" s="974"/>
      <c r="Z2809" s="1157"/>
    </row>
    <row r="2810" spans="1:255" s="877" customFormat="1" ht="24" customHeight="1">
      <c r="A2810" s="501"/>
      <c r="B2810" s="501"/>
      <c r="C2810" s="501"/>
      <c r="D2810" s="501"/>
      <c r="E2810" s="501"/>
      <c r="F2810" s="1159"/>
      <c r="G2810" s="1160"/>
      <c r="H2810" s="1159"/>
      <c r="I2810" s="1099"/>
      <c r="J2810" s="973"/>
      <c r="K2810" s="968"/>
      <c r="L2810" s="1101"/>
      <c r="M2810" s="1109"/>
      <c r="N2810" s="501"/>
      <c r="O2810" s="1097"/>
      <c r="P2810" s="1151"/>
      <c r="Q2810" s="1097"/>
      <c r="R2810" s="1097"/>
      <c r="S2810" s="974"/>
      <c r="T2810" s="1106"/>
      <c r="V2810" s="1151"/>
      <c r="W2810" s="1097"/>
      <c r="X2810" s="1097"/>
      <c r="Y2810" s="1101"/>
      <c r="Z2810" s="1106"/>
      <c r="AA2810" s="501"/>
      <c r="AB2810" s="501"/>
      <c r="AC2810" s="501"/>
      <c r="AD2810" s="501"/>
      <c r="AE2810" s="501"/>
      <c r="AF2810" s="501"/>
      <c r="AG2810" s="501"/>
      <c r="AH2810" s="501"/>
      <c r="AI2810" s="501"/>
      <c r="AJ2810" s="501"/>
      <c r="AK2810" s="501"/>
      <c r="AL2810" s="501"/>
      <c r="AM2810" s="501"/>
      <c r="AN2810" s="501"/>
      <c r="AO2810" s="501"/>
      <c r="AP2810" s="501"/>
      <c r="AQ2810" s="501"/>
      <c r="AR2810" s="501"/>
      <c r="AS2810" s="501"/>
      <c r="AT2810" s="501"/>
      <c r="AU2810" s="501"/>
      <c r="AV2810" s="501"/>
      <c r="AW2810" s="501"/>
      <c r="AX2810" s="501"/>
      <c r="AY2810" s="501"/>
      <c r="AZ2810" s="501"/>
      <c r="BA2810" s="501"/>
      <c r="BB2810" s="501"/>
      <c r="BC2810" s="501"/>
      <c r="BD2810" s="501"/>
      <c r="BE2810" s="501"/>
      <c r="BF2810" s="501"/>
      <c r="BG2810" s="501"/>
      <c r="BH2810" s="501"/>
      <c r="BI2810" s="501"/>
      <c r="BJ2810" s="501"/>
      <c r="BK2810" s="501"/>
      <c r="BL2810" s="501"/>
      <c r="BM2810" s="501"/>
      <c r="BN2810" s="501"/>
      <c r="BO2810" s="501"/>
      <c r="BP2810" s="501"/>
      <c r="BQ2810" s="501"/>
      <c r="BR2810" s="501"/>
      <c r="BS2810" s="501"/>
      <c r="BT2810" s="501"/>
      <c r="BU2810" s="501"/>
      <c r="BV2810" s="501"/>
      <c r="BW2810" s="501"/>
      <c r="BX2810" s="501"/>
      <c r="BY2810" s="501"/>
      <c r="BZ2810" s="501"/>
      <c r="CA2810" s="501"/>
      <c r="CB2810" s="501"/>
      <c r="CC2810" s="501"/>
      <c r="CD2810" s="501"/>
      <c r="CE2810" s="501"/>
      <c r="CF2810" s="501"/>
      <c r="CG2810" s="501"/>
      <c r="CH2810" s="501"/>
      <c r="CI2810" s="501"/>
      <c r="CJ2810" s="501"/>
      <c r="CK2810" s="501"/>
      <c r="CL2810" s="501"/>
      <c r="CM2810" s="501"/>
      <c r="CN2810" s="501"/>
      <c r="CO2810" s="501"/>
      <c r="CP2810" s="501"/>
      <c r="CQ2810" s="501"/>
      <c r="CR2810" s="501"/>
      <c r="CS2810" s="501"/>
      <c r="CT2810" s="501"/>
      <c r="CU2810" s="501"/>
      <c r="CV2810" s="501"/>
      <c r="CW2810" s="501"/>
      <c r="CX2810" s="501"/>
      <c r="CY2810" s="501"/>
      <c r="CZ2810" s="501"/>
      <c r="DA2810" s="501"/>
      <c r="DB2810" s="501"/>
      <c r="DC2810" s="501"/>
      <c r="DD2810" s="501"/>
      <c r="DE2810" s="501"/>
      <c r="DF2810" s="501"/>
      <c r="DG2810" s="501"/>
      <c r="DH2810" s="501"/>
      <c r="DI2810" s="501"/>
      <c r="DJ2810" s="501"/>
      <c r="DK2810" s="501"/>
      <c r="DL2810" s="501"/>
      <c r="DM2810" s="501"/>
      <c r="DN2810" s="501"/>
      <c r="DO2810" s="501"/>
      <c r="DP2810" s="501"/>
      <c r="DQ2810" s="501"/>
      <c r="DR2810" s="501"/>
      <c r="DS2810" s="501"/>
      <c r="DT2810" s="501"/>
      <c r="DU2810" s="501"/>
      <c r="DV2810" s="501"/>
      <c r="DW2810" s="501"/>
      <c r="DX2810" s="501"/>
      <c r="DY2810" s="501"/>
      <c r="DZ2810" s="501"/>
      <c r="EA2810" s="501"/>
      <c r="EB2810" s="501"/>
      <c r="EC2810" s="501"/>
      <c r="ED2810" s="501"/>
      <c r="EE2810" s="501"/>
      <c r="EF2810" s="501"/>
      <c r="EG2810" s="501"/>
      <c r="EH2810" s="501"/>
      <c r="EI2810" s="501"/>
      <c r="EJ2810" s="501"/>
      <c r="EK2810" s="501"/>
      <c r="EL2810" s="501"/>
      <c r="EM2810" s="501"/>
      <c r="EN2810" s="501"/>
      <c r="EO2810" s="501"/>
      <c r="EP2810" s="501"/>
      <c r="EQ2810" s="501"/>
      <c r="ER2810" s="501"/>
      <c r="ES2810" s="501"/>
      <c r="ET2810" s="501"/>
      <c r="EU2810" s="501"/>
      <c r="EV2810" s="501"/>
      <c r="EW2810" s="501"/>
      <c r="EX2810" s="501"/>
      <c r="EY2810" s="501"/>
      <c r="EZ2810" s="501"/>
      <c r="FA2810" s="501"/>
      <c r="FB2810" s="501"/>
      <c r="FC2810" s="501"/>
      <c r="FD2810" s="501"/>
      <c r="FE2810" s="501"/>
      <c r="FF2810" s="501"/>
      <c r="FG2810" s="501"/>
      <c r="FH2810" s="501"/>
      <c r="FI2810" s="501"/>
      <c r="FJ2810" s="501"/>
      <c r="FK2810" s="501"/>
      <c r="FL2810" s="501"/>
      <c r="FM2810" s="501"/>
      <c r="FN2810" s="501"/>
      <c r="FO2810" s="501"/>
      <c r="FP2810" s="501"/>
      <c r="FQ2810" s="501"/>
      <c r="FR2810" s="501"/>
      <c r="FS2810" s="501"/>
      <c r="FT2810" s="501"/>
      <c r="FU2810" s="501"/>
      <c r="FV2810" s="501"/>
      <c r="FW2810" s="501"/>
      <c r="FX2810" s="501"/>
      <c r="FY2810" s="501"/>
      <c r="FZ2810" s="501"/>
      <c r="GA2810" s="501"/>
      <c r="GB2810" s="501"/>
      <c r="GC2810" s="501"/>
      <c r="GD2810" s="501"/>
      <c r="GE2810" s="501"/>
      <c r="GF2810" s="501"/>
      <c r="GG2810" s="501"/>
      <c r="GH2810" s="501"/>
      <c r="GI2810" s="501"/>
      <c r="GJ2810" s="501"/>
      <c r="GK2810" s="501"/>
      <c r="GL2810" s="501"/>
      <c r="GM2810" s="501"/>
      <c r="GN2810" s="501"/>
      <c r="GO2810" s="501"/>
      <c r="GP2810" s="501"/>
      <c r="GQ2810" s="501"/>
      <c r="GR2810" s="501"/>
      <c r="GS2810" s="501"/>
      <c r="GT2810" s="501"/>
      <c r="GU2810" s="501"/>
      <c r="GV2810" s="501"/>
      <c r="GW2810" s="501"/>
      <c r="GX2810" s="501"/>
      <c r="GY2810" s="501"/>
      <c r="GZ2810" s="501"/>
      <c r="HA2810" s="501"/>
      <c r="HB2810" s="501"/>
      <c r="HC2810" s="501"/>
      <c r="HD2810" s="501"/>
      <c r="HE2810" s="501"/>
      <c r="HF2810" s="501"/>
      <c r="HG2810" s="501"/>
      <c r="HH2810" s="501"/>
      <c r="HI2810" s="501"/>
      <c r="HJ2810" s="501"/>
      <c r="HK2810" s="501"/>
      <c r="HL2810" s="501"/>
      <c r="HM2810" s="501"/>
      <c r="HN2810" s="501"/>
      <c r="HO2810" s="501"/>
      <c r="HP2810" s="501"/>
      <c r="HQ2810" s="501"/>
      <c r="HR2810" s="501"/>
      <c r="HS2810" s="501"/>
      <c r="HT2810" s="501"/>
      <c r="HU2810" s="501"/>
      <c r="HV2810" s="501"/>
      <c r="HW2810" s="501"/>
      <c r="HX2810" s="501"/>
      <c r="HY2810" s="501"/>
      <c r="HZ2810" s="501"/>
      <c r="IA2810" s="501"/>
      <c r="IB2810" s="501"/>
      <c r="IC2810" s="501"/>
      <c r="ID2810" s="501"/>
      <c r="IE2810" s="501"/>
      <c r="IF2810" s="501"/>
      <c r="IG2810" s="501"/>
      <c r="IH2810" s="501"/>
      <c r="II2810" s="501"/>
      <c r="IJ2810" s="501"/>
      <c r="IK2810" s="501"/>
      <c r="IL2810" s="501"/>
      <c r="IM2810" s="501"/>
      <c r="IN2810" s="501"/>
      <c r="IO2810" s="501"/>
      <c r="IP2810" s="501"/>
      <c r="IQ2810" s="501"/>
      <c r="IR2810" s="501"/>
      <c r="IS2810" s="501"/>
      <c r="IT2810" s="501"/>
      <c r="IU2810" s="501"/>
    </row>
    <row r="2811" spans="1:255" s="877" customFormat="1" ht="24" customHeight="1">
      <c r="A2811" s="501"/>
      <c r="B2811" s="501"/>
      <c r="C2811" s="501"/>
      <c r="D2811" s="501"/>
      <c r="E2811" s="501"/>
      <c r="F2811" s="1159"/>
      <c r="G2811" s="1160"/>
      <c r="H2811" s="1159"/>
      <c r="I2811" s="973"/>
      <c r="J2811" s="973"/>
      <c r="K2811" s="968"/>
      <c r="L2811" s="974"/>
      <c r="M2811" s="1109"/>
      <c r="N2811" s="501"/>
      <c r="O2811" s="1097"/>
      <c r="P2811" s="1151"/>
      <c r="Q2811" s="973"/>
      <c r="R2811" s="1097"/>
      <c r="S2811" s="1154"/>
      <c r="T2811" s="1157"/>
      <c r="V2811" s="1152"/>
      <c r="W2811" s="973"/>
      <c r="X2811" s="968"/>
      <c r="Y2811" s="974"/>
      <c r="Z2811" s="968"/>
      <c r="AA2811" s="501"/>
      <c r="AB2811" s="501"/>
      <c r="AC2811" s="501"/>
      <c r="AD2811" s="501"/>
      <c r="AE2811" s="501"/>
      <c r="AF2811" s="501"/>
      <c r="AG2811" s="501"/>
      <c r="AH2811" s="501"/>
      <c r="AI2811" s="501"/>
      <c r="AJ2811" s="501"/>
      <c r="AK2811" s="501"/>
      <c r="AL2811" s="501"/>
      <c r="AM2811" s="501"/>
      <c r="AN2811" s="501"/>
      <c r="AO2811" s="501"/>
      <c r="AP2811" s="501"/>
      <c r="AQ2811" s="501"/>
      <c r="AR2811" s="501"/>
      <c r="AS2811" s="501"/>
      <c r="AT2811" s="501"/>
      <c r="AU2811" s="501"/>
      <c r="AV2811" s="501"/>
      <c r="AW2811" s="501"/>
      <c r="AX2811" s="501"/>
      <c r="AY2811" s="501"/>
      <c r="AZ2811" s="501"/>
      <c r="BA2811" s="501"/>
      <c r="BB2811" s="501"/>
      <c r="BC2811" s="501"/>
      <c r="BD2811" s="501"/>
      <c r="BE2811" s="501"/>
      <c r="BF2811" s="501"/>
      <c r="BG2811" s="501"/>
      <c r="BH2811" s="501"/>
      <c r="BI2811" s="501"/>
      <c r="BJ2811" s="501"/>
      <c r="BK2811" s="501"/>
      <c r="BL2811" s="501"/>
      <c r="BM2811" s="501"/>
      <c r="BN2811" s="501"/>
      <c r="BO2811" s="501"/>
      <c r="BP2811" s="501"/>
      <c r="BQ2811" s="501"/>
      <c r="BR2811" s="501"/>
      <c r="BS2811" s="501"/>
      <c r="BT2811" s="501"/>
      <c r="BU2811" s="501"/>
      <c r="BV2811" s="501"/>
      <c r="BW2811" s="501"/>
      <c r="BX2811" s="501"/>
      <c r="BY2811" s="501"/>
      <c r="BZ2811" s="501"/>
      <c r="CA2811" s="501"/>
      <c r="CB2811" s="501"/>
      <c r="CC2811" s="501"/>
      <c r="CD2811" s="501"/>
      <c r="CE2811" s="501"/>
      <c r="CF2811" s="501"/>
      <c r="CG2811" s="501"/>
      <c r="CH2811" s="501"/>
      <c r="CI2811" s="501"/>
      <c r="CJ2811" s="501"/>
      <c r="CK2811" s="501"/>
      <c r="CL2811" s="501"/>
      <c r="CM2811" s="501"/>
      <c r="CN2811" s="501"/>
      <c r="CO2811" s="501"/>
      <c r="CP2811" s="501"/>
      <c r="CQ2811" s="501"/>
      <c r="CR2811" s="501"/>
      <c r="CS2811" s="501"/>
      <c r="CT2811" s="501"/>
      <c r="CU2811" s="501"/>
      <c r="CV2811" s="501"/>
      <c r="CW2811" s="501"/>
      <c r="CX2811" s="501"/>
      <c r="CY2811" s="501"/>
      <c r="CZ2811" s="501"/>
      <c r="DA2811" s="501"/>
      <c r="DB2811" s="501"/>
      <c r="DC2811" s="501"/>
      <c r="DD2811" s="501"/>
      <c r="DE2811" s="501"/>
      <c r="DF2811" s="501"/>
      <c r="DG2811" s="501"/>
      <c r="DH2811" s="501"/>
      <c r="DI2811" s="501"/>
      <c r="DJ2811" s="501"/>
      <c r="DK2811" s="501"/>
      <c r="DL2811" s="501"/>
      <c r="DM2811" s="501"/>
      <c r="DN2811" s="501"/>
      <c r="DO2811" s="501"/>
      <c r="DP2811" s="501"/>
      <c r="DQ2811" s="501"/>
      <c r="DR2811" s="501"/>
      <c r="DS2811" s="501"/>
      <c r="DT2811" s="501"/>
      <c r="DU2811" s="501"/>
      <c r="DV2811" s="501"/>
      <c r="DW2811" s="501"/>
      <c r="DX2811" s="501"/>
      <c r="DY2811" s="501"/>
      <c r="DZ2811" s="501"/>
      <c r="EA2811" s="501"/>
      <c r="EB2811" s="501"/>
      <c r="EC2811" s="501"/>
      <c r="ED2811" s="501"/>
      <c r="EE2811" s="501"/>
      <c r="EF2811" s="501"/>
      <c r="EG2811" s="501"/>
      <c r="EH2811" s="501"/>
      <c r="EI2811" s="501"/>
      <c r="EJ2811" s="501"/>
      <c r="EK2811" s="501"/>
      <c r="EL2811" s="501"/>
      <c r="EM2811" s="501"/>
      <c r="EN2811" s="501"/>
      <c r="EO2811" s="501"/>
      <c r="EP2811" s="501"/>
      <c r="EQ2811" s="501"/>
      <c r="ER2811" s="501"/>
      <c r="ES2811" s="501"/>
      <c r="ET2811" s="501"/>
      <c r="EU2811" s="501"/>
      <c r="EV2811" s="501"/>
      <c r="EW2811" s="501"/>
      <c r="EX2811" s="501"/>
      <c r="EY2811" s="501"/>
      <c r="EZ2811" s="501"/>
      <c r="FA2811" s="501"/>
      <c r="FB2811" s="501"/>
      <c r="FC2811" s="501"/>
      <c r="FD2811" s="501"/>
      <c r="FE2811" s="501"/>
      <c r="FF2811" s="501"/>
      <c r="FG2811" s="501"/>
      <c r="FH2811" s="501"/>
      <c r="FI2811" s="501"/>
      <c r="FJ2811" s="501"/>
      <c r="FK2811" s="501"/>
      <c r="FL2811" s="501"/>
      <c r="FM2811" s="501"/>
      <c r="FN2811" s="501"/>
      <c r="FO2811" s="501"/>
      <c r="FP2811" s="501"/>
      <c r="FQ2811" s="501"/>
      <c r="FR2811" s="501"/>
      <c r="FS2811" s="501"/>
      <c r="FT2811" s="501"/>
      <c r="FU2811" s="501"/>
      <c r="FV2811" s="501"/>
      <c r="FW2811" s="501"/>
      <c r="FX2811" s="501"/>
      <c r="FY2811" s="501"/>
      <c r="FZ2811" s="501"/>
      <c r="GA2811" s="501"/>
      <c r="GB2811" s="501"/>
      <c r="GC2811" s="501"/>
      <c r="GD2811" s="501"/>
      <c r="GE2811" s="501"/>
      <c r="GF2811" s="501"/>
      <c r="GG2811" s="501"/>
      <c r="GH2811" s="501"/>
      <c r="GI2811" s="501"/>
      <c r="GJ2811" s="501"/>
      <c r="GK2811" s="501"/>
      <c r="GL2811" s="501"/>
      <c r="GM2811" s="501"/>
      <c r="GN2811" s="501"/>
      <c r="GO2811" s="501"/>
      <c r="GP2811" s="501"/>
      <c r="GQ2811" s="501"/>
      <c r="GR2811" s="501"/>
      <c r="GS2811" s="501"/>
      <c r="GT2811" s="501"/>
      <c r="GU2811" s="501"/>
      <c r="GV2811" s="501"/>
      <c r="GW2811" s="501"/>
      <c r="GX2811" s="501"/>
      <c r="GY2811" s="501"/>
      <c r="GZ2811" s="501"/>
      <c r="HA2811" s="501"/>
      <c r="HB2811" s="501"/>
      <c r="HC2811" s="501"/>
      <c r="HD2811" s="501"/>
      <c r="HE2811" s="501"/>
      <c r="HF2811" s="501"/>
      <c r="HG2811" s="501"/>
      <c r="HH2811" s="501"/>
      <c r="HI2811" s="501"/>
      <c r="HJ2811" s="501"/>
      <c r="HK2811" s="501"/>
      <c r="HL2811" s="501"/>
      <c r="HM2811" s="501"/>
      <c r="HN2811" s="501"/>
      <c r="HO2811" s="501"/>
      <c r="HP2811" s="501"/>
      <c r="HQ2811" s="501"/>
      <c r="HR2811" s="501"/>
      <c r="HS2811" s="501"/>
      <c r="HT2811" s="501"/>
      <c r="HU2811" s="501"/>
      <c r="HV2811" s="501"/>
      <c r="HW2811" s="501"/>
      <c r="HX2811" s="501"/>
      <c r="HY2811" s="501"/>
      <c r="HZ2811" s="501"/>
      <c r="IA2811" s="501"/>
      <c r="IB2811" s="501"/>
      <c r="IC2811" s="501"/>
      <c r="ID2811" s="501"/>
      <c r="IE2811" s="501"/>
      <c r="IF2811" s="501"/>
      <c r="IG2811" s="501"/>
      <c r="IH2811" s="501"/>
      <c r="II2811" s="501"/>
      <c r="IJ2811" s="501"/>
      <c r="IK2811" s="501"/>
      <c r="IL2811" s="501"/>
      <c r="IM2811" s="501"/>
      <c r="IN2811" s="501"/>
      <c r="IO2811" s="501"/>
      <c r="IP2811" s="501"/>
      <c r="IQ2811" s="501"/>
      <c r="IR2811" s="501"/>
      <c r="IS2811" s="501"/>
      <c r="IT2811" s="501"/>
      <c r="IU2811" s="501"/>
    </row>
    <row r="2812" spans="1:255" s="877" customFormat="1" ht="24" customHeight="1">
      <c r="A2812" s="501"/>
      <c r="B2812" s="501"/>
      <c r="C2812" s="501"/>
      <c r="D2812" s="501"/>
      <c r="E2812" s="501"/>
      <c r="F2812" s="968"/>
      <c r="G2812" s="1107"/>
      <c r="H2812" s="968"/>
      <c r="I2812" s="973"/>
      <c r="J2812" s="973"/>
      <c r="K2812" s="968"/>
      <c r="L2812" s="974"/>
      <c r="M2812" s="1109"/>
      <c r="N2812" s="501"/>
      <c r="O2812" s="1097"/>
      <c r="P2812" s="1151"/>
      <c r="Q2812" s="973"/>
      <c r="R2812" s="1097"/>
      <c r="S2812" s="974"/>
      <c r="T2812" s="1157"/>
      <c r="V2812" s="1152"/>
      <c r="W2812" s="973"/>
      <c r="X2812" s="968"/>
      <c r="Y2812" s="974"/>
      <c r="Z2812" s="968"/>
      <c r="AA2812" s="501"/>
      <c r="AB2812" s="501"/>
      <c r="AC2812" s="501"/>
      <c r="AD2812" s="501"/>
      <c r="AE2812" s="501"/>
      <c r="AF2812" s="501"/>
      <c r="AG2812" s="501"/>
      <c r="AH2812" s="501"/>
      <c r="AI2812" s="501"/>
      <c r="AJ2812" s="501"/>
      <c r="AK2812" s="501"/>
      <c r="AL2812" s="501"/>
      <c r="AM2812" s="501"/>
      <c r="AN2812" s="501"/>
      <c r="AO2812" s="501"/>
      <c r="AP2812" s="501"/>
      <c r="AQ2812" s="501"/>
      <c r="AR2812" s="501"/>
      <c r="AS2812" s="501"/>
      <c r="AT2812" s="501"/>
      <c r="AU2812" s="501"/>
      <c r="AV2812" s="501"/>
      <c r="AW2812" s="501"/>
      <c r="AX2812" s="501"/>
      <c r="AY2812" s="501"/>
      <c r="AZ2812" s="501"/>
      <c r="BA2812" s="501"/>
      <c r="BB2812" s="501"/>
      <c r="BC2812" s="501"/>
      <c r="BD2812" s="501"/>
      <c r="BE2812" s="501"/>
      <c r="BF2812" s="501"/>
      <c r="BG2812" s="501"/>
      <c r="BH2812" s="501"/>
      <c r="BI2812" s="501"/>
      <c r="BJ2812" s="501"/>
      <c r="BK2812" s="501"/>
      <c r="BL2812" s="501"/>
      <c r="BM2812" s="501"/>
      <c r="BN2812" s="501"/>
      <c r="BO2812" s="501"/>
      <c r="BP2812" s="501"/>
      <c r="BQ2812" s="501"/>
      <c r="BR2812" s="501"/>
      <c r="BS2812" s="501"/>
      <c r="BT2812" s="501"/>
      <c r="BU2812" s="501"/>
      <c r="BV2812" s="501"/>
      <c r="BW2812" s="501"/>
      <c r="BX2812" s="501"/>
      <c r="BY2812" s="501"/>
      <c r="BZ2812" s="501"/>
      <c r="CA2812" s="501"/>
      <c r="CB2812" s="501"/>
      <c r="CC2812" s="501"/>
      <c r="CD2812" s="501"/>
      <c r="CE2812" s="501"/>
      <c r="CF2812" s="501"/>
      <c r="CG2812" s="501"/>
      <c r="CH2812" s="501"/>
      <c r="CI2812" s="501"/>
      <c r="CJ2812" s="501"/>
      <c r="CK2812" s="501"/>
      <c r="CL2812" s="501"/>
      <c r="CM2812" s="501"/>
      <c r="CN2812" s="501"/>
      <c r="CO2812" s="501"/>
      <c r="CP2812" s="501"/>
      <c r="CQ2812" s="501"/>
      <c r="CR2812" s="501"/>
      <c r="CS2812" s="501"/>
      <c r="CT2812" s="501"/>
      <c r="CU2812" s="501"/>
      <c r="CV2812" s="501"/>
      <c r="CW2812" s="501"/>
      <c r="CX2812" s="501"/>
      <c r="CY2812" s="501"/>
      <c r="CZ2812" s="501"/>
      <c r="DA2812" s="501"/>
      <c r="DB2812" s="501"/>
      <c r="DC2812" s="501"/>
      <c r="DD2812" s="501"/>
      <c r="DE2812" s="501"/>
      <c r="DF2812" s="501"/>
      <c r="DG2812" s="501"/>
      <c r="DH2812" s="501"/>
      <c r="DI2812" s="501"/>
      <c r="DJ2812" s="501"/>
      <c r="DK2812" s="501"/>
      <c r="DL2812" s="501"/>
      <c r="DM2812" s="501"/>
      <c r="DN2812" s="501"/>
      <c r="DO2812" s="501"/>
      <c r="DP2812" s="501"/>
      <c r="DQ2812" s="501"/>
      <c r="DR2812" s="501"/>
      <c r="DS2812" s="501"/>
      <c r="DT2812" s="501"/>
      <c r="DU2812" s="501"/>
      <c r="DV2812" s="501"/>
      <c r="DW2812" s="501"/>
      <c r="DX2812" s="501"/>
      <c r="DY2812" s="501"/>
      <c r="DZ2812" s="501"/>
      <c r="EA2812" s="501"/>
      <c r="EB2812" s="501"/>
      <c r="EC2812" s="501"/>
      <c r="ED2812" s="501"/>
      <c r="EE2812" s="501"/>
      <c r="EF2812" s="501"/>
      <c r="EG2812" s="501"/>
      <c r="EH2812" s="501"/>
      <c r="EI2812" s="501"/>
      <c r="EJ2812" s="501"/>
      <c r="EK2812" s="501"/>
      <c r="EL2812" s="501"/>
      <c r="EM2812" s="501"/>
      <c r="EN2812" s="501"/>
      <c r="EO2812" s="501"/>
      <c r="EP2812" s="501"/>
      <c r="EQ2812" s="501"/>
      <c r="ER2812" s="501"/>
      <c r="ES2812" s="501"/>
      <c r="ET2812" s="501"/>
      <c r="EU2812" s="501"/>
      <c r="EV2812" s="501"/>
      <c r="EW2812" s="501"/>
      <c r="EX2812" s="501"/>
      <c r="EY2812" s="501"/>
      <c r="EZ2812" s="501"/>
      <c r="FA2812" s="501"/>
      <c r="FB2812" s="501"/>
      <c r="FC2812" s="501"/>
      <c r="FD2812" s="501"/>
      <c r="FE2812" s="501"/>
      <c r="FF2812" s="501"/>
      <c r="FG2812" s="501"/>
      <c r="FH2812" s="501"/>
      <c r="FI2812" s="501"/>
      <c r="FJ2812" s="501"/>
      <c r="FK2812" s="501"/>
      <c r="FL2812" s="501"/>
      <c r="FM2812" s="501"/>
      <c r="FN2812" s="501"/>
      <c r="FO2812" s="501"/>
      <c r="FP2812" s="501"/>
      <c r="FQ2812" s="501"/>
      <c r="FR2812" s="501"/>
      <c r="FS2812" s="501"/>
      <c r="FT2812" s="501"/>
      <c r="FU2812" s="501"/>
      <c r="FV2812" s="501"/>
      <c r="FW2812" s="501"/>
      <c r="FX2812" s="501"/>
      <c r="FY2812" s="501"/>
      <c r="FZ2812" s="501"/>
      <c r="GA2812" s="501"/>
      <c r="GB2812" s="501"/>
      <c r="GC2812" s="501"/>
      <c r="GD2812" s="501"/>
      <c r="GE2812" s="501"/>
      <c r="GF2812" s="501"/>
      <c r="GG2812" s="501"/>
      <c r="GH2812" s="501"/>
      <c r="GI2812" s="501"/>
      <c r="GJ2812" s="501"/>
      <c r="GK2812" s="501"/>
      <c r="GL2812" s="501"/>
      <c r="GM2812" s="501"/>
      <c r="GN2812" s="501"/>
      <c r="GO2812" s="501"/>
      <c r="GP2812" s="501"/>
      <c r="GQ2812" s="501"/>
      <c r="GR2812" s="501"/>
      <c r="GS2812" s="501"/>
      <c r="GT2812" s="501"/>
      <c r="GU2812" s="501"/>
      <c r="GV2812" s="501"/>
      <c r="GW2812" s="501"/>
      <c r="GX2812" s="501"/>
      <c r="GY2812" s="501"/>
      <c r="GZ2812" s="501"/>
      <c r="HA2812" s="501"/>
      <c r="HB2812" s="501"/>
      <c r="HC2812" s="501"/>
      <c r="HD2812" s="501"/>
      <c r="HE2812" s="501"/>
      <c r="HF2812" s="501"/>
      <c r="HG2812" s="501"/>
      <c r="HH2812" s="501"/>
      <c r="HI2812" s="501"/>
      <c r="HJ2812" s="501"/>
      <c r="HK2812" s="501"/>
      <c r="HL2812" s="501"/>
      <c r="HM2812" s="501"/>
      <c r="HN2812" s="501"/>
      <c r="HO2812" s="501"/>
      <c r="HP2812" s="501"/>
      <c r="HQ2812" s="501"/>
      <c r="HR2812" s="501"/>
      <c r="HS2812" s="501"/>
      <c r="HT2812" s="501"/>
      <c r="HU2812" s="501"/>
      <c r="HV2812" s="501"/>
      <c r="HW2812" s="501"/>
      <c r="HX2812" s="501"/>
      <c r="HY2812" s="501"/>
      <c r="HZ2812" s="501"/>
      <c r="IA2812" s="501"/>
      <c r="IB2812" s="501"/>
      <c r="IC2812" s="501"/>
      <c r="ID2812" s="501"/>
      <c r="IE2812" s="501"/>
      <c r="IF2812" s="501"/>
      <c r="IG2812" s="501"/>
      <c r="IH2812" s="501"/>
      <c r="II2812" s="501"/>
      <c r="IJ2812" s="501"/>
      <c r="IK2812" s="501"/>
      <c r="IL2812" s="501"/>
      <c r="IM2812" s="501"/>
      <c r="IN2812" s="501"/>
      <c r="IO2812" s="501"/>
      <c r="IP2812" s="501"/>
      <c r="IQ2812" s="501"/>
      <c r="IR2812" s="501"/>
      <c r="IS2812" s="501"/>
      <c r="IT2812" s="501"/>
      <c r="IU2812" s="501"/>
    </row>
    <row r="2813" spans="1:255" s="877" customFormat="1" ht="24" customHeight="1">
      <c r="A2813" s="501"/>
      <c r="B2813" s="501"/>
      <c r="C2813" s="501"/>
      <c r="D2813" s="501"/>
      <c r="E2813" s="501"/>
      <c r="F2813" s="968"/>
      <c r="G2813" s="1107"/>
      <c r="H2813" s="968"/>
      <c r="I2813" s="973"/>
      <c r="J2813" s="973"/>
      <c r="K2813" s="968"/>
      <c r="L2813" s="974"/>
      <c r="M2813" s="1109"/>
      <c r="N2813" s="501"/>
      <c r="O2813" s="1097"/>
      <c r="P2813" s="1151"/>
      <c r="Q2813" s="1097"/>
      <c r="R2813" s="1097"/>
      <c r="S2813" s="1101"/>
      <c r="T2813" s="1106"/>
      <c r="V2813" s="1152"/>
      <c r="W2813" s="973"/>
      <c r="X2813" s="968"/>
      <c r="Y2813" s="974"/>
      <c r="Z2813" s="968"/>
      <c r="AA2813" s="501"/>
      <c r="AB2813" s="501"/>
      <c r="AC2813" s="501"/>
      <c r="AD2813" s="501"/>
      <c r="AE2813" s="501"/>
      <c r="AF2813" s="501"/>
      <c r="AG2813" s="501"/>
      <c r="AH2813" s="501"/>
      <c r="AI2813" s="501"/>
      <c r="AJ2813" s="501"/>
      <c r="AK2813" s="501"/>
      <c r="AL2813" s="501"/>
      <c r="AM2813" s="501"/>
      <c r="AN2813" s="501"/>
      <c r="AO2813" s="501"/>
      <c r="AP2813" s="501"/>
      <c r="AQ2813" s="501"/>
      <c r="AR2813" s="501"/>
      <c r="AS2813" s="501"/>
      <c r="AT2813" s="501"/>
      <c r="AU2813" s="501"/>
      <c r="AV2813" s="501"/>
      <c r="AW2813" s="501"/>
      <c r="AX2813" s="501"/>
      <c r="AY2813" s="501"/>
      <c r="AZ2813" s="501"/>
      <c r="BA2813" s="501"/>
      <c r="BB2813" s="501"/>
      <c r="BC2813" s="501"/>
      <c r="BD2813" s="501"/>
      <c r="BE2813" s="501"/>
      <c r="BF2813" s="501"/>
      <c r="BG2813" s="501"/>
      <c r="BH2813" s="501"/>
      <c r="BI2813" s="501"/>
      <c r="BJ2813" s="501"/>
      <c r="BK2813" s="501"/>
      <c r="BL2813" s="501"/>
      <c r="BM2813" s="501"/>
      <c r="BN2813" s="501"/>
      <c r="BO2813" s="501"/>
      <c r="BP2813" s="501"/>
      <c r="BQ2813" s="501"/>
      <c r="BR2813" s="501"/>
      <c r="BS2813" s="501"/>
      <c r="BT2813" s="501"/>
      <c r="BU2813" s="501"/>
      <c r="BV2813" s="501"/>
      <c r="BW2813" s="501"/>
      <c r="BX2813" s="501"/>
      <c r="BY2813" s="501"/>
      <c r="BZ2813" s="501"/>
      <c r="CA2813" s="501"/>
      <c r="CB2813" s="501"/>
      <c r="CC2813" s="501"/>
      <c r="CD2813" s="501"/>
      <c r="CE2813" s="501"/>
      <c r="CF2813" s="501"/>
      <c r="CG2813" s="501"/>
      <c r="CH2813" s="501"/>
      <c r="CI2813" s="501"/>
      <c r="CJ2813" s="501"/>
      <c r="CK2813" s="501"/>
      <c r="CL2813" s="501"/>
      <c r="CM2813" s="501"/>
      <c r="CN2813" s="501"/>
      <c r="CO2813" s="501"/>
      <c r="CP2813" s="501"/>
      <c r="CQ2813" s="501"/>
      <c r="CR2813" s="501"/>
      <c r="CS2813" s="501"/>
      <c r="CT2813" s="501"/>
      <c r="CU2813" s="501"/>
      <c r="CV2813" s="501"/>
      <c r="CW2813" s="501"/>
      <c r="CX2813" s="501"/>
      <c r="CY2813" s="501"/>
      <c r="CZ2813" s="501"/>
      <c r="DA2813" s="501"/>
      <c r="DB2813" s="501"/>
      <c r="DC2813" s="501"/>
      <c r="DD2813" s="501"/>
      <c r="DE2813" s="501"/>
      <c r="DF2813" s="501"/>
      <c r="DG2813" s="501"/>
      <c r="DH2813" s="501"/>
      <c r="DI2813" s="501"/>
      <c r="DJ2813" s="501"/>
      <c r="DK2813" s="501"/>
      <c r="DL2813" s="501"/>
      <c r="DM2813" s="501"/>
      <c r="DN2813" s="501"/>
      <c r="DO2813" s="501"/>
      <c r="DP2813" s="501"/>
      <c r="DQ2813" s="501"/>
      <c r="DR2813" s="501"/>
      <c r="DS2813" s="501"/>
      <c r="DT2813" s="501"/>
      <c r="DU2813" s="501"/>
      <c r="DV2813" s="501"/>
      <c r="DW2813" s="501"/>
      <c r="DX2813" s="501"/>
      <c r="DY2813" s="501"/>
      <c r="DZ2813" s="501"/>
      <c r="EA2813" s="501"/>
      <c r="EB2813" s="501"/>
      <c r="EC2813" s="501"/>
      <c r="ED2813" s="501"/>
      <c r="EE2813" s="501"/>
      <c r="EF2813" s="501"/>
      <c r="EG2813" s="501"/>
      <c r="EH2813" s="501"/>
      <c r="EI2813" s="501"/>
      <c r="EJ2813" s="501"/>
      <c r="EK2813" s="501"/>
      <c r="EL2813" s="501"/>
      <c r="EM2813" s="501"/>
      <c r="EN2813" s="501"/>
      <c r="EO2813" s="501"/>
      <c r="EP2813" s="501"/>
      <c r="EQ2813" s="501"/>
      <c r="ER2813" s="501"/>
      <c r="ES2813" s="501"/>
      <c r="ET2813" s="501"/>
      <c r="EU2813" s="501"/>
      <c r="EV2813" s="501"/>
      <c r="EW2813" s="501"/>
      <c r="EX2813" s="501"/>
      <c r="EY2813" s="501"/>
      <c r="EZ2813" s="501"/>
      <c r="FA2813" s="501"/>
      <c r="FB2813" s="501"/>
      <c r="FC2813" s="501"/>
      <c r="FD2813" s="501"/>
      <c r="FE2813" s="501"/>
      <c r="FF2813" s="501"/>
      <c r="FG2813" s="501"/>
      <c r="FH2813" s="501"/>
      <c r="FI2813" s="501"/>
      <c r="FJ2813" s="501"/>
      <c r="FK2813" s="501"/>
      <c r="FL2813" s="501"/>
      <c r="FM2813" s="501"/>
      <c r="FN2813" s="501"/>
      <c r="FO2813" s="501"/>
      <c r="FP2813" s="501"/>
      <c r="FQ2813" s="501"/>
      <c r="FR2813" s="501"/>
      <c r="FS2813" s="501"/>
      <c r="FT2813" s="501"/>
      <c r="FU2813" s="501"/>
      <c r="FV2813" s="501"/>
      <c r="FW2813" s="501"/>
      <c r="FX2813" s="501"/>
      <c r="FY2813" s="501"/>
      <c r="FZ2813" s="501"/>
      <c r="GA2813" s="501"/>
      <c r="GB2813" s="501"/>
      <c r="GC2813" s="501"/>
      <c r="GD2813" s="501"/>
      <c r="GE2813" s="501"/>
      <c r="GF2813" s="501"/>
      <c r="GG2813" s="501"/>
      <c r="GH2813" s="501"/>
      <c r="GI2813" s="501"/>
      <c r="GJ2813" s="501"/>
      <c r="GK2813" s="501"/>
      <c r="GL2813" s="501"/>
      <c r="GM2813" s="501"/>
      <c r="GN2813" s="501"/>
      <c r="GO2813" s="501"/>
      <c r="GP2813" s="501"/>
      <c r="GQ2813" s="501"/>
      <c r="GR2813" s="501"/>
      <c r="GS2813" s="501"/>
      <c r="GT2813" s="501"/>
      <c r="GU2813" s="501"/>
      <c r="GV2813" s="501"/>
      <c r="GW2813" s="501"/>
      <c r="GX2813" s="501"/>
      <c r="GY2813" s="501"/>
      <c r="GZ2813" s="501"/>
      <c r="HA2813" s="501"/>
      <c r="HB2813" s="501"/>
      <c r="HC2813" s="501"/>
      <c r="HD2813" s="501"/>
      <c r="HE2813" s="501"/>
      <c r="HF2813" s="501"/>
      <c r="HG2813" s="501"/>
      <c r="HH2813" s="501"/>
      <c r="HI2813" s="501"/>
      <c r="HJ2813" s="501"/>
      <c r="HK2813" s="501"/>
      <c r="HL2813" s="501"/>
      <c r="HM2813" s="501"/>
      <c r="HN2813" s="501"/>
      <c r="HO2813" s="501"/>
      <c r="HP2813" s="501"/>
      <c r="HQ2813" s="501"/>
      <c r="HR2813" s="501"/>
      <c r="HS2813" s="501"/>
      <c r="HT2813" s="501"/>
      <c r="HU2813" s="501"/>
      <c r="HV2813" s="501"/>
      <c r="HW2813" s="501"/>
      <c r="HX2813" s="501"/>
      <c r="HY2813" s="501"/>
      <c r="HZ2813" s="501"/>
      <c r="IA2813" s="501"/>
      <c r="IB2813" s="501"/>
      <c r="IC2813" s="501"/>
      <c r="ID2813" s="501"/>
      <c r="IE2813" s="501"/>
      <c r="IF2813" s="501"/>
      <c r="IG2813" s="501"/>
      <c r="IH2813" s="501"/>
      <c r="II2813" s="501"/>
      <c r="IJ2813" s="501"/>
      <c r="IK2813" s="501"/>
      <c r="IL2813" s="501"/>
      <c r="IM2813" s="501"/>
      <c r="IN2813" s="501"/>
      <c r="IO2813" s="501"/>
      <c r="IP2813" s="501"/>
      <c r="IQ2813" s="501"/>
      <c r="IR2813" s="501"/>
      <c r="IS2813" s="501"/>
      <c r="IT2813" s="501"/>
      <c r="IU2813" s="501"/>
    </row>
    <row r="2814" spans="1:255" s="877" customFormat="1" ht="24" customHeight="1">
      <c r="A2814" s="501"/>
      <c r="B2814" s="501"/>
      <c r="C2814" s="501"/>
      <c r="D2814" s="501"/>
      <c r="E2814" s="501"/>
      <c r="F2814" s="968"/>
      <c r="G2814" s="1107"/>
      <c r="H2814" s="968"/>
      <c r="I2814" s="973"/>
      <c r="J2814" s="973"/>
      <c r="K2814" s="968"/>
      <c r="L2814" s="974"/>
      <c r="M2814" s="1109"/>
      <c r="N2814" s="501"/>
      <c r="O2814" s="1157"/>
      <c r="P2814" s="1152"/>
      <c r="Q2814" s="973"/>
      <c r="R2814" s="968"/>
      <c r="S2814" s="974"/>
      <c r="T2814" s="968"/>
      <c r="V2814" s="1151"/>
      <c r="W2814" s="973"/>
      <c r="X2814" s="968"/>
      <c r="Y2814" s="1101"/>
      <c r="Z2814" s="968"/>
      <c r="AA2814" s="501"/>
      <c r="AB2814" s="501"/>
      <c r="AC2814" s="501"/>
      <c r="AD2814" s="501"/>
      <c r="AE2814" s="501"/>
      <c r="AF2814" s="501"/>
      <c r="AG2814" s="501"/>
      <c r="AH2814" s="501"/>
      <c r="AI2814" s="501"/>
      <c r="AJ2814" s="501"/>
      <c r="AK2814" s="501"/>
      <c r="AL2814" s="501"/>
      <c r="AM2814" s="501"/>
      <c r="AN2814" s="501"/>
      <c r="AO2814" s="501"/>
      <c r="AP2814" s="501"/>
      <c r="AQ2814" s="501"/>
      <c r="AR2814" s="501"/>
      <c r="AS2814" s="501"/>
      <c r="AT2814" s="501"/>
      <c r="AU2814" s="501"/>
      <c r="AV2814" s="501"/>
      <c r="AW2814" s="501"/>
      <c r="AX2814" s="501"/>
      <c r="AY2814" s="501"/>
      <c r="AZ2814" s="501"/>
      <c r="BA2814" s="501"/>
      <c r="BB2814" s="501"/>
      <c r="BC2814" s="501"/>
      <c r="BD2814" s="501"/>
      <c r="BE2814" s="501"/>
      <c r="BF2814" s="501"/>
      <c r="BG2814" s="501"/>
      <c r="BH2814" s="501"/>
      <c r="BI2814" s="501"/>
      <c r="BJ2814" s="501"/>
      <c r="BK2814" s="501"/>
      <c r="BL2814" s="501"/>
      <c r="BM2814" s="501"/>
      <c r="BN2814" s="501"/>
      <c r="BO2814" s="501"/>
      <c r="BP2814" s="501"/>
      <c r="BQ2814" s="501"/>
      <c r="BR2814" s="501"/>
      <c r="BS2814" s="501"/>
      <c r="BT2814" s="501"/>
      <c r="BU2814" s="501"/>
      <c r="BV2814" s="501"/>
      <c r="BW2814" s="501"/>
      <c r="BX2814" s="501"/>
      <c r="BY2814" s="501"/>
      <c r="BZ2814" s="501"/>
      <c r="CA2814" s="501"/>
      <c r="CB2814" s="501"/>
      <c r="CC2814" s="501"/>
      <c r="CD2814" s="501"/>
      <c r="CE2814" s="501"/>
      <c r="CF2814" s="501"/>
      <c r="CG2814" s="501"/>
      <c r="CH2814" s="501"/>
      <c r="CI2814" s="501"/>
      <c r="CJ2814" s="501"/>
      <c r="CK2814" s="501"/>
      <c r="CL2814" s="501"/>
      <c r="CM2814" s="501"/>
      <c r="CN2814" s="501"/>
      <c r="CO2814" s="501"/>
      <c r="CP2814" s="501"/>
      <c r="CQ2814" s="501"/>
      <c r="CR2814" s="501"/>
      <c r="CS2814" s="501"/>
      <c r="CT2814" s="501"/>
      <c r="CU2814" s="501"/>
      <c r="CV2814" s="501"/>
      <c r="CW2814" s="501"/>
      <c r="CX2814" s="501"/>
      <c r="CY2814" s="501"/>
      <c r="CZ2814" s="501"/>
      <c r="DA2814" s="501"/>
      <c r="DB2814" s="501"/>
      <c r="DC2814" s="501"/>
      <c r="DD2814" s="501"/>
      <c r="DE2814" s="501"/>
      <c r="DF2814" s="501"/>
      <c r="DG2814" s="501"/>
      <c r="DH2814" s="501"/>
      <c r="DI2814" s="501"/>
      <c r="DJ2814" s="501"/>
      <c r="DK2814" s="501"/>
      <c r="DL2814" s="501"/>
      <c r="DM2814" s="501"/>
      <c r="DN2814" s="501"/>
      <c r="DO2814" s="501"/>
      <c r="DP2814" s="501"/>
      <c r="DQ2814" s="501"/>
      <c r="DR2814" s="501"/>
      <c r="DS2814" s="501"/>
      <c r="DT2814" s="501"/>
      <c r="DU2814" s="501"/>
      <c r="DV2814" s="501"/>
      <c r="DW2814" s="501"/>
      <c r="DX2814" s="501"/>
      <c r="DY2814" s="501"/>
      <c r="DZ2814" s="501"/>
      <c r="EA2814" s="501"/>
      <c r="EB2814" s="501"/>
      <c r="EC2814" s="501"/>
      <c r="ED2814" s="501"/>
      <c r="EE2814" s="501"/>
      <c r="EF2814" s="501"/>
      <c r="EG2814" s="501"/>
      <c r="EH2814" s="501"/>
      <c r="EI2814" s="501"/>
      <c r="EJ2814" s="501"/>
      <c r="EK2814" s="501"/>
      <c r="EL2814" s="501"/>
      <c r="EM2814" s="501"/>
      <c r="EN2814" s="501"/>
      <c r="EO2814" s="501"/>
      <c r="EP2814" s="501"/>
      <c r="EQ2814" s="501"/>
      <c r="ER2814" s="501"/>
      <c r="ES2814" s="501"/>
      <c r="ET2814" s="501"/>
      <c r="EU2814" s="501"/>
      <c r="EV2814" s="501"/>
      <c r="EW2814" s="501"/>
      <c r="EX2814" s="501"/>
      <c r="EY2814" s="501"/>
      <c r="EZ2814" s="501"/>
      <c r="FA2814" s="501"/>
      <c r="FB2814" s="501"/>
      <c r="FC2814" s="501"/>
      <c r="FD2814" s="501"/>
      <c r="FE2814" s="501"/>
      <c r="FF2814" s="501"/>
      <c r="FG2814" s="501"/>
      <c r="FH2814" s="501"/>
      <c r="FI2814" s="501"/>
      <c r="FJ2814" s="501"/>
      <c r="FK2814" s="501"/>
      <c r="FL2814" s="501"/>
      <c r="FM2814" s="501"/>
      <c r="FN2814" s="501"/>
      <c r="FO2814" s="501"/>
      <c r="FP2814" s="501"/>
      <c r="FQ2814" s="501"/>
      <c r="FR2814" s="501"/>
      <c r="FS2814" s="501"/>
      <c r="FT2814" s="501"/>
      <c r="FU2814" s="501"/>
      <c r="FV2814" s="501"/>
      <c r="FW2814" s="501"/>
      <c r="FX2814" s="501"/>
      <c r="FY2814" s="501"/>
      <c r="FZ2814" s="501"/>
      <c r="GA2814" s="501"/>
      <c r="GB2814" s="501"/>
      <c r="GC2814" s="501"/>
      <c r="GD2814" s="501"/>
      <c r="GE2814" s="501"/>
      <c r="GF2814" s="501"/>
      <c r="GG2814" s="501"/>
      <c r="GH2814" s="501"/>
      <c r="GI2814" s="501"/>
      <c r="GJ2814" s="501"/>
      <c r="GK2814" s="501"/>
      <c r="GL2814" s="501"/>
      <c r="GM2814" s="501"/>
      <c r="GN2814" s="501"/>
      <c r="GO2814" s="501"/>
      <c r="GP2814" s="501"/>
      <c r="GQ2814" s="501"/>
      <c r="GR2814" s="501"/>
      <c r="GS2814" s="501"/>
      <c r="GT2814" s="501"/>
      <c r="GU2814" s="501"/>
      <c r="GV2814" s="501"/>
      <c r="GW2814" s="501"/>
      <c r="GX2814" s="501"/>
      <c r="GY2814" s="501"/>
      <c r="GZ2814" s="501"/>
      <c r="HA2814" s="501"/>
      <c r="HB2814" s="501"/>
      <c r="HC2814" s="501"/>
      <c r="HD2814" s="501"/>
      <c r="HE2814" s="501"/>
      <c r="HF2814" s="501"/>
      <c r="HG2814" s="501"/>
      <c r="HH2814" s="501"/>
      <c r="HI2814" s="501"/>
      <c r="HJ2814" s="501"/>
      <c r="HK2814" s="501"/>
      <c r="HL2814" s="501"/>
      <c r="HM2814" s="501"/>
      <c r="HN2814" s="501"/>
      <c r="HO2814" s="501"/>
      <c r="HP2814" s="501"/>
      <c r="HQ2814" s="501"/>
      <c r="HR2814" s="501"/>
      <c r="HS2814" s="501"/>
      <c r="HT2814" s="501"/>
      <c r="HU2814" s="501"/>
      <c r="HV2814" s="501"/>
      <c r="HW2814" s="501"/>
      <c r="HX2814" s="501"/>
      <c r="HY2814" s="501"/>
      <c r="HZ2814" s="501"/>
      <c r="IA2814" s="501"/>
      <c r="IB2814" s="501"/>
      <c r="IC2814" s="501"/>
      <c r="ID2814" s="501"/>
      <c r="IE2814" s="501"/>
      <c r="IF2814" s="501"/>
      <c r="IG2814" s="501"/>
      <c r="IH2814" s="501"/>
      <c r="II2814" s="501"/>
      <c r="IJ2814" s="501"/>
      <c r="IK2814" s="501"/>
      <c r="IL2814" s="501"/>
      <c r="IM2814" s="501"/>
      <c r="IN2814" s="501"/>
      <c r="IO2814" s="501"/>
      <c r="IP2814" s="501"/>
      <c r="IQ2814" s="501"/>
      <c r="IR2814" s="501"/>
      <c r="IS2814" s="501"/>
      <c r="IT2814" s="501"/>
      <c r="IU2814" s="501"/>
    </row>
    <row r="2815" spans="1:255" s="877" customFormat="1" ht="24" customHeight="1">
      <c r="A2815" s="501"/>
      <c r="B2815" s="501"/>
      <c r="C2815" s="501"/>
      <c r="D2815" s="501"/>
      <c r="E2815" s="501"/>
      <c r="F2815" s="968"/>
      <c r="G2815" s="1107"/>
      <c r="H2815" s="968"/>
      <c r="I2815" s="973"/>
      <c r="J2815" s="973"/>
      <c r="K2815" s="968"/>
      <c r="L2815" s="974"/>
      <c r="M2815" s="1109"/>
      <c r="N2815" s="501"/>
      <c r="O2815" s="1157"/>
      <c r="P2815" s="1152"/>
      <c r="Q2815" s="973"/>
      <c r="R2815" s="968"/>
      <c r="S2815" s="974"/>
      <c r="T2815" s="968"/>
      <c r="V2815" s="1152"/>
      <c r="W2815" s="973"/>
      <c r="X2815" s="968"/>
      <c r="Y2815" s="974"/>
      <c r="Z2815" s="968"/>
      <c r="AA2815" s="501"/>
      <c r="AB2815" s="501"/>
      <c r="AC2815" s="501"/>
      <c r="AD2815" s="501"/>
      <c r="AE2815" s="501"/>
      <c r="AF2815" s="501"/>
      <c r="AG2815" s="501"/>
      <c r="AH2815" s="501"/>
      <c r="AI2815" s="501"/>
      <c r="AJ2815" s="501"/>
      <c r="AK2815" s="501"/>
      <c r="AL2815" s="501"/>
      <c r="AM2815" s="501"/>
      <c r="AN2815" s="501"/>
      <c r="AO2815" s="501"/>
      <c r="AP2815" s="501"/>
      <c r="AQ2815" s="501"/>
      <c r="AR2815" s="501"/>
      <c r="AS2815" s="501"/>
      <c r="AT2815" s="501"/>
      <c r="AU2815" s="501"/>
      <c r="AV2815" s="501"/>
      <c r="AW2815" s="501"/>
      <c r="AX2815" s="501"/>
      <c r="AY2815" s="501"/>
      <c r="AZ2815" s="501"/>
      <c r="BA2815" s="501"/>
      <c r="BB2815" s="501"/>
      <c r="BC2815" s="501"/>
      <c r="BD2815" s="501"/>
      <c r="BE2815" s="501"/>
      <c r="BF2815" s="501"/>
      <c r="BG2815" s="501"/>
      <c r="BH2815" s="501"/>
      <c r="BI2815" s="501"/>
      <c r="BJ2815" s="501"/>
      <c r="BK2815" s="501"/>
      <c r="BL2815" s="501"/>
      <c r="BM2815" s="501"/>
      <c r="BN2815" s="501"/>
      <c r="BO2815" s="501"/>
      <c r="BP2815" s="501"/>
      <c r="BQ2815" s="501"/>
      <c r="BR2815" s="501"/>
      <c r="BS2815" s="501"/>
      <c r="BT2815" s="501"/>
      <c r="BU2815" s="501"/>
      <c r="BV2815" s="501"/>
      <c r="BW2815" s="501"/>
      <c r="BX2815" s="501"/>
      <c r="BY2815" s="501"/>
      <c r="BZ2815" s="501"/>
      <c r="CA2815" s="501"/>
      <c r="CB2815" s="501"/>
      <c r="CC2815" s="501"/>
      <c r="CD2815" s="501"/>
      <c r="CE2815" s="501"/>
      <c r="CF2815" s="501"/>
      <c r="CG2815" s="501"/>
      <c r="CH2815" s="501"/>
      <c r="CI2815" s="501"/>
      <c r="CJ2815" s="501"/>
      <c r="CK2815" s="501"/>
      <c r="CL2815" s="501"/>
      <c r="CM2815" s="501"/>
      <c r="CN2815" s="501"/>
      <c r="CO2815" s="501"/>
      <c r="CP2815" s="501"/>
      <c r="CQ2815" s="501"/>
      <c r="CR2815" s="501"/>
      <c r="CS2815" s="501"/>
      <c r="CT2815" s="501"/>
      <c r="CU2815" s="501"/>
      <c r="CV2815" s="501"/>
      <c r="CW2815" s="501"/>
      <c r="CX2815" s="501"/>
      <c r="CY2815" s="501"/>
      <c r="CZ2815" s="501"/>
      <c r="DA2815" s="501"/>
      <c r="DB2815" s="501"/>
      <c r="DC2815" s="501"/>
      <c r="DD2815" s="501"/>
      <c r="DE2815" s="501"/>
      <c r="DF2815" s="501"/>
      <c r="DG2815" s="501"/>
      <c r="DH2815" s="501"/>
      <c r="DI2815" s="501"/>
      <c r="DJ2815" s="501"/>
      <c r="DK2815" s="501"/>
      <c r="DL2815" s="501"/>
      <c r="DM2815" s="501"/>
      <c r="DN2815" s="501"/>
      <c r="DO2815" s="501"/>
      <c r="DP2815" s="501"/>
      <c r="DQ2815" s="501"/>
      <c r="DR2815" s="501"/>
      <c r="DS2815" s="501"/>
      <c r="DT2815" s="501"/>
      <c r="DU2815" s="501"/>
      <c r="DV2815" s="501"/>
      <c r="DW2815" s="501"/>
      <c r="DX2815" s="501"/>
      <c r="DY2815" s="501"/>
      <c r="DZ2815" s="501"/>
      <c r="EA2815" s="501"/>
      <c r="EB2815" s="501"/>
      <c r="EC2815" s="501"/>
      <c r="ED2815" s="501"/>
      <c r="EE2815" s="501"/>
      <c r="EF2815" s="501"/>
      <c r="EG2815" s="501"/>
      <c r="EH2815" s="501"/>
      <c r="EI2815" s="501"/>
      <c r="EJ2815" s="501"/>
      <c r="EK2815" s="501"/>
      <c r="EL2815" s="501"/>
      <c r="EM2815" s="501"/>
      <c r="EN2815" s="501"/>
      <c r="EO2815" s="501"/>
      <c r="EP2815" s="501"/>
      <c r="EQ2815" s="501"/>
      <c r="ER2815" s="501"/>
      <c r="ES2815" s="501"/>
      <c r="ET2815" s="501"/>
      <c r="EU2815" s="501"/>
      <c r="EV2815" s="501"/>
      <c r="EW2815" s="501"/>
      <c r="EX2815" s="501"/>
      <c r="EY2815" s="501"/>
      <c r="EZ2815" s="501"/>
      <c r="FA2815" s="501"/>
      <c r="FB2815" s="501"/>
      <c r="FC2815" s="501"/>
      <c r="FD2815" s="501"/>
      <c r="FE2815" s="501"/>
      <c r="FF2815" s="501"/>
      <c r="FG2815" s="501"/>
      <c r="FH2815" s="501"/>
      <c r="FI2815" s="501"/>
      <c r="FJ2815" s="501"/>
      <c r="FK2815" s="501"/>
      <c r="FL2815" s="501"/>
      <c r="FM2815" s="501"/>
      <c r="FN2815" s="501"/>
      <c r="FO2815" s="501"/>
      <c r="FP2815" s="501"/>
      <c r="FQ2815" s="501"/>
      <c r="FR2815" s="501"/>
      <c r="FS2815" s="501"/>
      <c r="FT2815" s="501"/>
      <c r="FU2815" s="501"/>
      <c r="FV2815" s="501"/>
      <c r="FW2815" s="501"/>
      <c r="FX2815" s="501"/>
      <c r="FY2815" s="501"/>
      <c r="FZ2815" s="501"/>
      <c r="GA2815" s="501"/>
      <c r="GB2815" s="501"/>
      <c r="GC2815" s="501"/>
      <c r="GD2815" s="501"/>
      <c r="GE2815" s="501"/>
      <c r="GF2815" s="501"/>
      <c r="GG2815" s="501"/>
      <c r="GH2815" s="501"/>
      <c r="GI2815" s="501"/>
      <c r="GJ2815" s="501"/>
      <c r="GK2815" s="501"/>
      <c r="GL2815" s="501"/>
      <c r="GM2815" s="501"/>
      <c r="GN2815" s="501"/>
      <c r="GO2815" s="501"/>
      <c r="GP2815" s="501"/>
      <c r="GQ2815" s="501"/>
      <c r="GR2815" s="501"/>
      <c r="GS2815" s="501"/>
      <c r="GT2815" s="501"/>
      <c r="GU2815" s="501"/>
      <c r="GV2815" s="501"/>
      <c r="GW2815" s="501"/>
      <c r="GX2815" s="501"/>
      <c r="GY2815" s="501"/>
      <c r="GZ2815" s="501"/>
      <c r="HA2815" s="501"/>
      <c r="HB2815" s="501"/>
      <c r="HC2815" s="501"/>
      <c r="HD2815" s="501"/>
      <c r="HE2815" s="501"/>
      <c r="HF2815" s="501"/>
      <c r="HG2815" s="501"/>
      <c r="HH2815" s="501"/>
      <c r="HI2815" s="501"/>
      <c r="HJ2815" s="501"/>
      <c r="HK2815" s="501"/>
      <c r="HL2815" s="501"/>
      <c r="HM2815" s="501"/>
      <c r="HN2815" s="501"/>
      <c r="HO2815" s="501"/>
      <c r="HP2815" s="501"/>
      <c r="HQ2815" s="501"/>
      <c r="HR2815" s="501"/>
      <c r="HS2815" s="501"/>
      <c r="HT2815" s="501"/>
      <c r="HU2815" s="501"/>
      <c r="HV2815" s="501"/>
      <c r="HW2815" s="501"/>
      <c r="HX2815" s="501"/>
      <c r="HY2815" s="501"/>
      <c r="HZ2815" s="501"/>
      <c r="IA2815" s="501"/>
      <c r="IB2815" s="501"/>
      <c r="IC2815" s="501"/>
      <c r="ID2815" s="501"/>
      <c r="IE2815" s="501"/>
      <c r="IF2815" s="501"/>
      <c r="IG2815" s="501"/>
      <c r="IH2815" s="501"/>
      <c r="II2815" s="501"/>
      <c r="IJ2815" s="501"/>
      <c r="IK2815" s="501"/>
      <c r="IL2815" s="501"/>
      <c r="IM2815" s="501"/>
      <c r="IN2815" s="501"/>
      <c r="IO2815" s="501"/>
      <c r="IP2815" s="501"/>
      <c r="IQ2815" s="501"/>
      <c r="IR2815" s="501"/>
      <c r="IS2815" s="501"/>
      <c r="IT2815" s="501"/>
      <c r="IU2815" s="501"/>
    </row>
    <row r="2816" spans="1:255" s="877" customFormat="1" ht="24" customHeight="1">
      <c r="A2816" s="501"/>
      <c r="B2816" s="501"/>
      <c r="C2816" s="501"/>
      <c r="D2816" s="501"/>
      <c r="E2816" s="501"/>
      <c r="F2816" s="968"/>
      <c r="G2816" s="1107"/>
      <c r="H2816" s="968"/>
      <c r="I2816" s="973"/>
      <c r="J2816" s="973"/>
      <c r="K2816" s="968"/>
      <c r="L2816" s="974"/>
      <c r="M2816" s="1109"/>
      <c r="N2816" s="501"/>
      <c r="O2816" s="1157"/>
      <c r="P2816" s="1152"/>
      <c r="Q2816" s="973"/>
      <c r="R2816" s="968"/>
      <c r="S2816" s="974"/>
      <c r="T2816" s="968"/>
      <c r="V2816" s="1152"/>
      <c r="W2816" s="973"/>
      <c r="X2816" s="968"/>
      <c r="Y2816" s="974"/>
      <c r="Z2816" s="968"/>
      <c r="AA2816" s="501"/>
      <c r="AB2816" s="501"/>
      <c r="AC2816" s="501"/>
      <c r="AD2816" s="501"/>
      <c r="AE2816" s="501"/>
      <c r="AF2816" s="501"/>
      <c r="AG2816" s="501"/>
      <c r="AH2816" s="501"/>
      <c r="AI2816" s="501"/>
      <c r="AJ2816" s="501"/>
      <c r="AK2816" s="501"/>
      <c r="AL2816" s="501"/>
      <c r="AM2816" s="501"/>
      <c r="AN2816" s="501"/>
      <c r="AO2816" s="501"/>
      <c r="AP2816" s="501"/>
      <c r="AQ2816" s="501"/>
      <c r="AR2816" s="501"/>
      <c r="AS2816" s="501"/>
      <c r="AT2816" s="501"/>
      <c r="AU2816" s="501"/>
      <c r="AV2816" s="501"/>
      <c r="AW2816" s="501"/>
      <c r="AX2816" s="501"/>
      <c r="AY2816" s="501"/>
      <c r="AZ2816" s="501"/>
      <c r="BA2816" s="501"/>
      <c r="BB2816" s="501"/>
      <c r="BC2816" s="501"/>
      <c r="BD2816" s="501"/>
      <c r="BE2816" s="501"/>
      <c r="BF2816" s="501"/>
      <c r="BG2816" s="501"/>
      <c r="BH2816" s="501"/>
      <c r="BI2816" s="501"/>
      <c r="BJ2816" s="501"/>
      <c r="BK2816" s="501"/>
      <c r="BL2816" s="501"/>
      <c r="BM2816" s="501"/>
      <c r="BN2816" s="501"/>
      <c r="BO2816" s="501"/>
      <c r="BP2816" s="501"/>
      <c r="BQ2816" s="501"/>
      <c r="BR2816" s="501"/>
      <c r="BS2816" s="501"/>
      <c r="BT2816" s="501"/>
      <c r="BU2816" s="501"/>
      <c r="BV2816" s="501"/>
      <c r="BW2816" s="501"/>
      <c r="BX2816" s="501"/>
      <c r="BY2816" s="501"/>
      <c r="BZ2816" s="501"/>
      <c r="CA2816" s="501"/>
      <c r="CB2816" s="501"/>
      <c r="CC2816" s="501"/>
      <c r="CD2816" s="501"/>
      <c r="CE2816" s="501"/>
      <c r="CF2816" s="501"/>
      <c r="CG2816" s="501"/>
      <c r="CH2816" s="501"/>
      <c r="CI2816" s="501"/>
      <c r="CJ2816" s="501"/>
      <c r="CK2816" s="501"/>
      <c r="CL2816" s="501"/>
      <c r="CM2816" s="501"/>
      <c r="CN2816" s="501"/>
      <c r="CO2816" s="501"/>
      <c r="CP2816" s="501"/>
      <c r="CQ2816" s="501"/>
      <c r="CR2816" s="501"/>
      <c r="CS2816" s="501"/>
      <c r="CT2816" s="501"/>
      <c r="CU2816" s="501"/>
      <c r="CV2816" s="501"/>
      <c r="CW2816" s="501"/>
      <c r="CX2816" s="501"/>
      <c r="CY2816" s="501"/>
      <c r="CZ2816" s="501"/>
      <c r="DA2816" s="501"/>
      <c r="DB2816" s="501"/>
      <c r="DC2816" s="501"/>
      <c r="DD2816" s="501"/>
      <c r="DE2816" s="501"/>
      <c r="DF2816" s="501"/>
      <c r="DG2816" s="501"/>
      <c r="DH2816" s="501"/>
      <c r="DI2816" s="501"/>
      <c r="DJ2816" s="501"/>
      <c r="DK2816" s="501"/>
      <c r="DL2816" s="501"/>
      <c r="DM2816" s="501"/>
      <c r="DN2816" s="501"/>
      <c r="DO2816" s="501"/>
      <c r="DP2816" s="501"/>
      <c r="DQ2816" s="501"/>
      <c r="DR2816" s="501"/>
      <c r="DS2816" s="501"/>
      <c r="DT2816" s="501"/>
      <c r="DU2816" s="501"/>
      <c r="DV2816" s="501"/>
      <c r="DW2816" s="501"/>
      <c r="DX2816" s="501"/>
      <c r="DY2816" s="501"/>
      <c r="DZ2816" s="501"/>
      <c r="EA2816" s="501"/>
      <c r="EB2816" s="501"/>
      <c r="EC2816" s="501"/>
      <c r="ED2816" s="501"/>
      <c r="EE2816" s="501"/>
      <c r="EF2816" s="501"/>
      <c r="EG2816" s="501"/>
      <c r="EH2816" s="501"/>
      <c r="EI2816" s="501"/>
      <c r="EJ2816" s="501"/>
      <c r="EK2816" s="501"/>
      <c r="EL2816" s="501"/>
      <c r="EM2816" s="501"/>
      <c r="EN2816" s="501"/>
      <c r="EO2816" s="501"/>
      <c r="EP2816" s="501"/>
      <c r="EQ2816" s="501"/>
      <c r="ER2816" s="501"/>
      <c r="ES2816" s="501"/>
      <c r="ET2816" s="501"/>
      <c r="EU2816" s="501"/>
      <c r="EV2816" s="501"/>
      <c r="EW2816" s="501"/>
      <c r="EX2816" s="501"/>
      <c r="EY2816" s="501"/>
      <c r="EZ2816" s="501"/>
      <c r="FA2816" s="501"/>
      <c r="FB2816" s="501"/>
      <c r="FC2816" s="501"/>
      <c r="FD2816" s="501"/>
      <c r="FE2816" s="501"/>
      <c r="FF2816" s="501"/>
      <c r="FG2816" s="501"/>
      <c r="FH2816" s="501"/>
      <c r="FI2816" s="501"/>
      <c r="FJ2816" s="501"/>
      <c r="FK2816" s="501"/>
      <c r="FL2816" s="501"/>
      <c r="FM2816" s="501"/>
      <c r="FN2816" s="501"/>
      <c r="FO2816" s="501"/>
      <c r="FP2816" s="501"/>
      <c r="FQ2816" s="501"/>
      <c r="FR2816" s="501"/>
      <c r="FS2816" s="501"/>
      <c r="FT2816" s="501"/>
      <c r="FU2816" s="501"/>
      <c r="FV2816" s="501"/>
      <c r="FW2816" s="501"/>
      <c r="FX2816" s="501"/>
      <c r="FY2816" s="501"/>
      <c r="FZ2816" s="501"/>
      <c r="GA2816" s="501"/>
      <c r="GB2816" s="501"/>
      <c r="GC2816" s="501"/>
      <c r="GD2816" s="501"/>
      <c r="GE2816" s="501"/>
      <c r="GF2816" s="501"/>
      <c r="GG2816" s="501"/>
      <c r="GH2816" s="501"/>
      <c r="GI2816" s="501"/>
      <c r="GJ2816" s="501"/>
      <c r="GK2816" s="501"/>
      <c r="GL2816" s="501"/>
      <c r="GM2816" s="501"/>
      <c r="GN2816" s="501"/>
      <c r="GO2816" s="501"/>
      <c r="GP2816" s="501"/>
      <c r="GQ2816" s="501"/>
      <c r="GR2816" s="501"/>
      <c r="GS2816" s="501"/>
      <c r="GT2816" s="501"/>
      <c r="GU2816" s="501"/>
      <c r="GV2816" s="501"/>
      <c r="GW2816" s="501"/>
      <c r="GX2816" s="501"/>
      <c r="GY2816" s="501"/>
      <c r="GZ2816" s="501"/>
      <c r="HA2816" s="501"/>
      <c r="HB2816" s="501"/>
      <c r="HC2816" s="501"/>
      <c r="HD2816" s="501"/>
      <c r="HE2816" s="501"/>
      <c r="HF2816" s="501"/>
      <c r="HG2816" s="501"/>
      <c r="HH2816" s="501"/>
      <c r="HI2816" s="501"/>
      <c r="HJ2816" s="501"/>
      <c r="HK2816" s="501"/>
      <c r="HL2816" s="501"/>
      <c r="HM2816" s="501"/>
      <c r="HN2816" s="501"/>
      <c r="HO2816" s="501"/>
      <c r="HP2816" s="501"/>
      <c r="HQ2816" s="501"/>
      <c r="HR2816" s="501"/>
      <c r="HS2816" s="501"/>
      <c r="HT2816" s="501"/>
      <c r="HU2816" s="501"/>
      <c r="HV2816" s="501"/>
      <c r="HW2816" s="501"/>
      <c r="HX2816" s="501"/>
      <c r="HY2816" s="501"/>
      <c r="HZ2816" s="501"/>
      <c r="IA2816" s="501"/>
      <c r="IB2816" s="501"/>
      <c r="IC2816" s="501"/>
      <c r="ID2816" s="501"/>
      <c r="IE2816" s="501"/>
      <c r="IF2816" s="501"/>
      <c r="IG2816" s="501"/>
      <c r="IH2816" s="501"/>
      <c r="II2816" s="501"/>
      <c r="IJ2816" s="501"/>
      <c r="IK2816" s="501"/>
      <c r="IL2816" s="501"/>
      <c r="IM2816" s="501"/>
      <c r="IN2816" s="501"/>
      <c r="IO2816" s="501"/>
      <c r="IP2816" s="501"/>
      <c r="IQ2816" s="501"/>
      <c r="IR2816" s="501"/>
      <c r="IS2816" s="501"/>
      <c r="IT2816" s="501"/>
      <c r="IU2816" s="501"/>
    </row>
    <row r="2817" spans="1:255" s="877" customFormat="1" ht="24" customHeight="1">
      <c r="A2817" s="501"/>
      <c r="B2817" s="501"/>
      <c r="C2817" s="501"/>
      <c r="D2817" s="501"/>
      <c r="E2817" s="501"/>
      <c r="F2817" s="968"/>
      <c r="G2817" s="1107"/>
      <c r="H2817" s="968"/>
      <c r="I2817" s="973"/>
      <c r="J2817" s="973"/>
      <c r="K2817" s="1161"/>
      <c r="L2817" s="974"/>
      <c r="M2817" s="1109"/>
      <c r="N2817" s="501"/>
      <c r="O2817" s="1159"/>
      <c r="P2817" s="1151"/>
      <c r="Q2817" s="973"/>
      <c r="R2817" s="968"/>
      <c r="S2817" s="1101"/>
      <c r="T2817" s="968"/>
      <c r="V2817" s="1152"/>
      <c r="W2817" s="973"/>
      <c r="X2817" s="968"/>
      <c r="Y2817" s="974"/>
      <c r="Z2817" s="968"/>
      <c r="AA2817" s="501"/>
      <c r="AB2817" s="501"/>
      <c r="AC2817" s="501"/>
      <c r="AD2817" s="501"/>
      <c r="AE2817" s="501"/>
      <c r="AF2817" s="501"/>
      <c r="AG2817" s="501"/>
      <c r="AH2817" s="501"/>
      <c r="AI2817" s="501"/>
      <c r="AJ2817" s="501"/>
      <c r="AK2817" s="501"/>
      <c r="AL2817" s="501"/>
      <c r="AM2817" s="501"/>
      <c r="AN2817" s="501"/>
      <c r="AO2817" s="501"/>
      <c r="AP2817" s="501"/>
      <c r="AQ2817" s="501"/>
      <c r="AR2817" s="501"/>
      <c r="AS2817" s="501"/>
      <c r="AT2817" s="501"/>
      <c r="AU2817" s="501"/>
      <c r="AV2817" s="501"/>
      <c r="AW2817" s="501"/>
      <c r="AX2817" s="501"/>
      <c r="AY2817" s="501"/>
      <c r="AZ2817" s="501"/>
      <c r="BA2817" s="501"/>
      <c r="BB2817" s="501"/>
      <c r="BC2817" s="501"/>
      <c r="BD2817" s="501"/>
      <c r="BE2817" s="501"/>
      <c r="BF2817" s="501"/>
      <c r="BG2817" s="501"/>
      <c r="BH2817" s="501"/>
      <c r="BI2817" s="501"/>
      <c r="BJ2817" s="501"/>
      <c r="BK2817" s="501"/>
      <c r="BL2817" s="501"/>
      <c r="BM2817" s="501"/>
      <c r="BN2817" s="501"/>
      <c r="BO2817" s="501"/>
      <c r="BP2817" s="501"/>
      <c r="BQ2817" s="501"/>
      <c r="BR2817" s="501"/>
      <c r="BS2817" s="501"/>
      <c r="BT2817" s="501"/>
      <c r="BU2817" s="501"/>
      <c r="BV2817" s="501"/>
      <c r="BW2817" s="501"/>
      <c r="BX2817" s="501"/>
      <c r="BY2817" s="501"/>
      <c r="BZ2817" s="501"/>
      <c r="CA2817" s="501"/>
      <c r="CB2817" s="501"/>
      <c r="CC2817" s="501"/>
      <c r="CD2817" s="501"/>
      <c r="CE2817" s="501"/>
      <c r="CF2817" s="501"/>
      <c r="CG2817" s="501"/>
      <c r="CH2817" s="501"/>
      <c r="CI2817" s="501"/>
      <c r="CJ2817" s="501"/>
      <c r="CK2817" s="501"/>
      <c r="CL2817" s="501"/>
      <c r="CM2817" s="501"/>
      <c r="CN2817" s="501"/>
      <c r="CO2817" s="501"/>
      <c r="CP2817" s="501"/>
      <c r="CQ2817" s="501"/>
      <c r="CR2817" s="501"/>
      <c r="CS2817" s="501"/>
      <c r="CT2817" s="501"/>
      <c r="CU2817" s="501"/>
      <c r="CV2817" s="501"/>
      <c r="CW2817" s="501"/>
      <c r="CX2817" s="501"/>
      <c r="CY2817" s="501"/>
      <c r="CZ2817" s="501"/>
      <c r="DA2817" s="501"/>
      <c r="DB2817" s="501"/>
      <c r="DC2817" s="501"/>
      <c r="DD2817" s="501"/>
      <c r="DE2817" s="501"/>
      <c r="DF2817" s="501"/>
      <c r="DG2817" s="501"/>
      <c r="DH2817" s="501"/>
      <c r="DI2817" s="501"/>
      <c r="DJ2817" s="501"/>
      <c r="DK2817" s="501"/>
      <c r="DL2817" s="501"/>
      <c r="DM2817" s="501"/>
      <c r="DN2817" s="501"/>
      <c r="DO2817" s="501"/>
      <c r="DP2817" s="501"/>
      <c r="DQ2817" s="501"/>
      <c r="DR2817" s="501"/>
      <c r="DS2817" s="501"/>
      <c r="DT2817" s="501"/>
      <c r="DU2817" s="501"/>
      <c r="DV2817" s="501"/>
      <c r="DW2817" s="501"/>
      <c r="DX2817" s="501"/>
      <c r="DY2817" s="501"/>
      <c r="DZ2817" s="501"/>
      <c r="EA2817" s="501"/>
      <c r="EB2817" s="501"/>
      <c r="EC2817" s="501"/>
      <c r="ED2817" s="501"/>
      <c r="EE2817" s="501"/>
      <c r="EF2817" s="501"/>
      <c r="EG2817" s="501"/>
      <c r="EH2817" s="501"/>
      <c r="EI2817" s="501"/>
      <c r="EJ2817" s="501"/>
      <c r="EK2817" s="501"/>
      <c r="EL2817" s="501"/>
      <c r="EM2817" s="501"/>
      <c r="EN2817" s="501"/>
      <c r="EO2817" s="501"/>
      <c r="EP2817" s="501"/>
      <c r="EQ2817" s="501"/>
      <c r="ER2817" s="501"/>
      <c r="ES2817" s="501"/>
      <c r="ET2817" s="501"/>
      <c r="EU2817" s="501"/>
      <c r="EV2817" s="501"/>
      <c r="EW2817" s="501"/>
      <c r="EX2817" s="501"/>
      <c r="EY2817" s="501"/>
      <c r="EZ2817" s="501"/>
      <c r="FA2817" s="501"/>
      <c r="FB2817" s="501"/>
      <c r="FC2817" s="501"/>
      <c r="FD2817" s="501"/>
      <c r="FE2817" s="501"/>
      <c r="FF2817" s="501"/>
      <c r="FG2817" s="501"/>
      <c r="FH2817" s="501"/>
      <c r="FI2817" s="501"/>
      <c r="FJ2817" s="501"/>
      <c r="FK2817" s="501"/>
      <c r="FL2817" s="501"/>
      <c r="FM2817" s="501"/>
      <c r="FN2817" s="501"/>
      <c r="FO2817" s="501"/>
      <c r="FP2817" s="501"/>
      <c r="FQ2817" s="501"/>
      <c r="FR2817" s="501"/>
      <c r="FS2817" s="501"/>
      <c r="FT2817" s="501"/>
      <c r="FU2817" s="501"/>
      <c r="FV2817" s="501"/>
      <c r="FW2817" s="501"/>
      <c r="FX2817" s="501"/>
      <c r="FY2817" s="501"/>
      <c r="FZ2817" s="501"/>
      <c r="GA2817" s="501"/>
      <c r="GB2817" s="501"/>
      <c r="GC2817" s="501"/>
      <c r="GD2817" s="501"/>
      <c r="GE2817" s="501"/>
      <c r="GF2817" s="501"/>
      <c r="GG2817" s="501"/>
      <c r="GH2817" s="501"/>
      <c r="GI2817" s="501"/>
      <c r="GJ2817" s="501"/>
      <c r="GK2817" s="501"/>
      <c r="GL2817" s="501"/>
      <c r="GM2817" s="501"/>
      <c r="GN2817" s="501"/>
      <c r="GO2817" s="501"/>
      <c r="GP2817" s="501"/>
      <c r="GQ2817" s="501"/>
      <c r="GR2817" s="501"/>
      <c r="GS2817" s="501"/>
      <c r="GT2817" s="501"/>
      <c r="GU2817" s="501"/>
      <c r="GV2817" s="501"/>
      <c r="GW2817" s="501"/>
      <c r="GX2817" s="501"/>
      <c r="GY2817" s="501"/>
      <c r="GZ2817" s="501"/>
      <c r="HA2817" s="501"/>
      <c r="HB2817" s="501"/>
      <c r="HC2817" s="501"/>
      <c r="HD2817" s="501"/>
      <c r="HE2817" s="501"/>
      <c r="HF2817" s="501"/>
      <c r="HG2817" s="501"/>
      <c r="HH2817" s="501"/>
      <c r="HI2817" s="501"/>
      <c r="HJ2817" s="501"/>
      <c r="HK2817" s="501"/>
      <c r="HL2817" s="501"/>
      <c r="HM2817" s="501"/>
      <c r="HN2817" s="501"/>
      <c r="HO2817" s="501"/>
      <c r="HP2817" s="501"/>
      <c r="HQ2817" s="501"/>
      <c r="HR2817" s="501"/>
      <c r="HS2817" s="501"/>
      <c r="HT2817" s="501"/>
      <c r="HU2817" s="501"/>
      <c r="HV2817" s="501"/>
      <c r="HW2817" s="501"/>
      <c r="HX2817" s="501"/>
      <c r="HY2817" s="501"/>
      <c r="HZ2817" s="501"/>
      <c r="IA2817" s="501"/>
      <c r="IB2817" s="501"/>
      <c r="IC2817" s="501"/>
      <c r="ID2817" s="501"/>
      <c r="IE2817" s="501"/>
      <c r="IF2817" s="501"/>
      <c r="IG2817" s="501"/>
      <c r="IH2817" s="501"/>
      <c r="II2817" s="501"/>
      <c r="IJ2817" s="501"/>
      <c r="IK2817" s="501"/>
      <c r="IL2817" s="501"/>
      <c r="IM2817" s="501"/>
      <c r="IN2817" s="501"/>
      <c r="IO2817" s="501"/>
      <c r="IP2817" s="501"/>
      <c r="IQ2817" s="501"/>
      <c r="IR2817" s="501"/>
      <c r="IS2817" s="501"/>
      <c r="IT2817" s="501"/>
      <c r="IU2817" s="501"/>
    </row>
    <row r="2818" spans="1:255" s="877" customFormat="1" ht="24" customHeight="1">
      <c r="A2818" s="501"/>
      <c r="B2818" s="501"/>
      <c r="C2818" s="501"/>
      <c r="D2818" s="501"/>
      <c r="E2818" s="501"/>
      <c r="F2818" s="1097"/>
      <c r="G2818" s="1098"/>
      <c r="H2818" s="1097"/>
      <c r="I2818" s="1099"/>
      <c r="J2818" s="1097"/>
      <c r="K2818" s="1097"/>
      <c r="L2818" s="1101"/>
      <c r="M2818" s="1109"/>
      <c r="N2818" s="501"/>
      <c r="O2818" s="1159"/>
      <c r="P2818" s="1152"/>
      <c r="Q2818" s="973"/>
      <c r="R2818" s="968"/>
      <c r="S2818" s="974"/>
      <c r="T2818" s="968"/>
      <c r="V2818" s="1152"/>
      <c r="W2818" s="973"/>
      <c r="X2818" s="968"/>
      <c r="Y2818" s="974"/>
      <c r="Z2818" s="968"/>
      <c r="AA2818" s="501"/>
      <c r="AB2818" s="501"/>
      <c r="AC2818" s="501"/>
      <c r="AD2818" s="501"/>
      <c r="AE2818" s="501"/>
      <c r="AF2818" s="501"/>
      <c r="AG2818" s="501"/>
      <c r="AH2818" s="501"/>
      <c r="AI2818" s="501"/>
      <c r="AJ2818" s="501"/>
      <c r="AK2818" s="501"/>
      <c r="AL2818" s="501"/>
      <c r="AM2818" s="501"/>
      <c r="AN2818" s="501"/>
      <c r="AO2818" s="501"/>
      <c r="AP2818" s="501"/>
      <c r="AQ2818" s="501"/>
      <c r="AR2818" s="501"/>
      <c r="AS2818" s="501"/>
      <c r="AT2818" s="501"/>
      <c r="AU2818" s="501"/>
      <c r="AV2818" s="501"/>
      <c r="AW2818" s="501"/>
      <c r="AX2818" s="501"/>
      <c r="AY2818" s="501"/>
      <c r="AZ2818" s="501"/>
      <c r="BA2818" s="501"/>
      <c r="BB2818" s="501"/>
      <c r="BC2818" s="501"/>
      <c r="BD2818" s="501"/>
      <c r="BE2818" s="501"/>
      <c r="BF2818" s="501"/>
      <c r="BG2818" s="501"/>
      <c r="BH2818" s="501"/>
      <c r="BI2818" s="501"/>
      <c r="BJ2818" s="501"/>
      <c r="BK2818" s="501"/>
      <c r="BL2818" s="501"/>
      <c r="BM2818" s="501"/>
      <c r="BN2818" s="501"/>
      <c r="BO2818" s="501"/>
      <c r="BP2818" s="501"/>
      <c r="BQ2818" s="501"/>
      <c r="BR2818" s="501"/>
      <c r="BS2818" s="501"/>
      <c r="BT2818" s="501"/>
      <c r="BU2818" s="501"/>
      <c r="BV2818" s="501"/>
      <c r="BW2818" s="501"/>
      <c r="BX2818" s="501"/>
      <c r="BY2818" s="501"/>
      <c r="BZ2818" s="501"/>
      <c r="CA2818" s="501"/>
      <c r="CB2818" s="501"/>
      <c r="CC2818" s="501"/>
      <c r="CD2818" s="501"/>
      <c r="CE2818" s="501"/>
      <c r="CF2818" s="501"/>
      <c r="CG2818" s="501"/>
      <c r="CH2818" s="501"/>
      <c r="CI2818" s="501"/>
      <c r="CJ2818" s="501"/>
      <c r="CK2818" s="501"/>
      <c r="CL2818" s="501"/>
      <c r="CM2818" s="501"/>
      <c r="CN2818" s="501"/>
      <c r="CO2818" s="501"/>
      <c r="CP2818" s="501"/>
      <c r="CQ2818" s="501"/>
      <c r="CR2818" s="501"/>
      <c r="CS2818" s="501"/>
      <c r="CT2818" s="501"/>
      <c r="CU2818" s="501"/>
      <c r="CV2818" s="501"/>
      <c r="CW2818" s="501"/>
      <c r="CX2818" s="501"/>
      <c r="CY2818" s="501"/>
      <c r="CZ2818" s="501"/>
      <c r="DA2818" s="501"/>
      <c r="DB2818" s="501"/>
      <c r="DC2818" s="501"/>
      <c r="DD2818" s="501"/>
      <c r="DE2818" s="501"/>
      <c r="DF2818" s="501"/>
      <c r="DG2818" s="501"/>
      <c r="DH2818" s="501"/>
      <c r="DI2818" s="501"/>
      <c r="DJ2818" s="501"/>
      <c r="DK2818" s="501"/>
      <c r="DL2818" s="501"/>
      <c r="DM2818" s="501"/>
      <c r="DN2818" s="501"/>
      <c r="DO2818" s="501"/>
      <c r="DP2818" s="501"/>
      <c r="DQ2818" s="501"/>
      <c r="DR2818" s="501"/>
      <c r="DS2818" s="501"/>
      <c r="DT2818" s="501"/>
      <c r="DU2818" s="501"/>
      <c r="DV2818" s="501"/>
      <c r="DW2818" s="501"/>
      <c r="DX2818" s="501"/>
      <c r="DY2818" s="501"/>
      <c r="DZ2818" s="501"/>
      <c r="EA2818" s="501"/>
      <c r="EB2818" s="501"/>
      <c r="EC2818" s="501"/>
      <c r="ED2818" s="501"/>
      <c r="EE2818" s="501"/>
      <c r="EF2818" s="501"/>
      <c r="EG2818" s="501"/>
      <c r="EH2818" s="501"/>
      <c r="EI2818" s="501"/>
      <c r="EJ2818" s="501"/>
      <c r="EK2818" s="501"/>
      <c r="EL2818" s="501"/>
      <c r="EM2818" s="501"/>
      <c r="EN2818" s="501"/>
      <c r="EO2818" s="501"/>
      <c r="EP2818" s="501"/>
      <c r="EQ2818" s="501"/>
      <c r="ER2818" s="501"/>
      <c r="ES2818" s="501"/>
      <c r="ET2818" s="501"/>
      <c r="EU2818" s="501"/>
      <c r="EV2818" s="501"/>
      <c r="EW2818" s="501"/>
      <c r="EX2818" s="501"/>
      <c r="EY2818" s="501"/>
      <c r="EZ2818" s="501"/>
      <c r="FA2818" s="501"/>
      <c r="FB2818" s="501"/>
      <c r="FC2818" s="501"/>
      <c r="FD2818" s="501"/>
      <c r="FE2818" s="501"/>
      <c r="FF2818" s="501"/>
      <c r="FG2818" s="501"/>
      <c r="FH2818" s="501"/>
      <c r="FI2818" s="501"/>
      <c r="FJ2818" s="501"/>
      <c r="FK2818" s="501"/>
      <c r="FL2818" s="501"/>
      <c r="FM2818" s="501"/>
      <c r="FN2818" s="501"/>
      <c r="FO2818" s="501"/>
      <c r="FP2818" s="501"/>
      <c r="FQ2818" s="501"/>
      <c r="FR2818" s="501"/>
      <c r="FS2818" s="501"/>
      <c r="FT2818" s="501"/>
      <c r="FU2818" s="501"/>
      <c r="FV2818" s="501"/>
      <c r="FW2818" s="501"/>
      <c r="FX2818" s="501"/>
      <c r="FY2818" s="501"/>
      <c r="FZ2818" s="501"/>
      <c r="GA2818" s="501"/>
      <c r="GB2818" s="501"/>
      <c r="GC2818" s="501"/>
      <c r="GD2818" s="501"/>
      <c r="GE2818" s="501"/>
      <c r="GF2818" s="501"/>
      <c r="GG2818" s="501"/>
      <c r="GH2818" s="501"/>
      <c r="GI2818" s="501"/>
      <c r="GJ2818" s="501"/>
      <c r="GK2818" s="501"/>
      <c r="GL2818" s="501"/>
      <c r="GM2818" s="501"/>
      <c r="GN2818" s="501"/>
      <c r="GO2818" s="501"/>
      <c r="GP2818" s="501"/>
      <c r="GQ2818" s="501"/>
      <c r="GR2818" s="501"/>
      <c r="GS2818" s="501"/>
      <c r="GT2818" s="501"/>
      <c r="GU2818" s="501"/>
      <c r="GV2818" s="501"/>
      <c r="GW2818" s="501"/>
      <c r="GX2818" s="501"/>
      <c r="GY2818" s="501"/>
      <c r="GZ2818" s="501"/>
      <c r="HA2818" s="501"/>
      <c r="HB2818" s="501"/>
      <c r="HC2818" s="501"/>
      <c r="HD2818" s="501"/>
      <c r="HE2818" s="501"/>
      <c r="HF2818" s="501"/>
      <c r="HG2818" s="501"/>
      <c r="HH2818" s="501"/>
      <c r="HI2818" s="501"/>
      <c r="HJ2818" s="501"/>
      <c r="HK2818" s="501"/>
      <c r="HL2818" s="501"/>
      <c r="HM2818" s="501"/>
      <c r="HN2818" s="501"/>
      <c r="HO2818" s="501"/>
      <c r="HP2818" s="501"/>
      <c r="HQ2818" s="501"/>
      <c r="HR2818" s="501"/>
      <c r="HS2818" s="501"/>
      <c r="HT2818" s="501"/>
      <c r="HU2818" s="501"/>
      <c r="HV2818" s="501"/>
      <c r="HW2818" s="501"/>
      <c r="HX2818" s="501"/>
      <c r="HY2818" s="501"/>
      <c r="HZ2818" s="501"/>
      <c r="IA2818" s="501"/>
      <c r="IB2818" s="501"/>
      <c r="IC2818" s="501"/>
      <c r="ID2818" s="501"/>
      <c r="IE2818" s="501"/>
      <c r="IF2818" s="501"/>
      <c r="IG2818" s="501"/>
      <c r="IH2818" s="501"/>
      <c r="II2818" s="501"/>
      <c r="IJ2818" s="501"/>
      <c r="IK2818" s="501"/>
      <c r="IL2818" s="501"/>
      <c r="IM2818" s="501"/>
      <c r="IN2818" s="501"/>
      <c r="IO2818" s="501"/>
      <c r="IP2818" s="501"/>
      <c r="IQ2818" s="501"/>
      <c r="IR2818" s="501"/>
      <c r="IS2818" s="501"/>
      <c r="IT2818" s="501"/>
      <c r="IU2818" s="501"/>
    </row>
    <row r="2819" spans="1:255" s="877" customFormat="1" ht="24" customHeight="1">
      <c r="A2819" s="501"/>
      <c r="B2819" s="501"/>
      <c r="C2819" s="501"/>
      <c r="D2819" s="501"/>
      <c r="E2819" s="501"/>
      <c r="F2819" s="1097"/>
      <c r="G2819" s="1098"/>
      <c r="H2819" s="1097"/>
      <c r="I2819" s="1099"/>
      <c r="J2819" s="973"/>
      <c r="K2819" s="1097"/>
      <c r="L2819" s="1101"/>
      <c r="M2819" s="1109"/>
      <c r="N2819" s="501"/>
      <c r="O2819" s="968"/>
      <c r="P2819" s="1152"/>
      <c r="Q2819" s="973"/>
      <c r="R2819" s="968"/>
      <c r="S2819" s="974"/>
      <c r="T2819" s="968"/>
      <c r="V2819" s="1152"/>
      <c r="W2819" s="973"/>
      <c r="X2819" s="968"/>
      <c r="Y2819" s="974"/>
      <c r="Z2819" s="968"/>
      <c r="AA2819" s="501"/>
      <c r="AB2819" s="501"/>
      <c r="AC2819" s="501"/>
      <c r="AD2819" s="501"/>
      <c r="AE2819" s="501"/>
      <c r="AF2819" s="501"/>
      <c r="AG2819" s="501"/>
      <c r="AH2819" s="501"/>
      <c r="AI2819" s="501"/>
      <c r="AJ2819" s="501"/>
      <c r="AK2819" s="501"/>
      <c r="AL2819" s="501"/>
      <c r="AM2819" s="501"/>
      <c r="AN2819" s="501"/>
      <c r="AO2819" s="501"/>
      <c r="AP2819" s="501"/>
      <c r="AQ2819" s="501"/>
      <c r="AR2819" s="501"/>
      <c r="AS2819" s="501"/>
      <c r="AT2819" s="501"/>
      <c r="AU2819" s="501"/>
      <c r="AV2819" s="501"/>
      <c r="AW2819" s="501"/>
      <c r="AX2819" s="501"/>
      <c r="AY2819" s="501"/>
      <c r="AZ2819" s="501"/>
      <c r="BA2819" s="501"/>
      <c r="BB2819" s="501"/>
      <c r="BC2819" s="501"/>
      <c r="BD2819" s="501"/>
      <c r="BE2819" s="501"/>
      <c r="BF2819" s="501"/>
      <c r="BG2819" s="501"/>
      <c r="BH2819" s="501"/>
      <c r="BI2819" s="501"/>
      <c r="BJ2819" s="501"/>
      <c r="BK2819" s="501"/>
      <c r="BL2819" s="501"/>
      <c r="BM2819" s="501"/>
      <c r="BN2819" s="501"/>
      <c r="BO2819" s="501"/>
      <c r="BP2819" s="501"/>
      <c r="BQ2819" s="501"/>
      <c r="BR2819" s="501"/>
      <c r="BS2819" s="501"/>
      <c r="BT2819" s="501"/>
      <c r="BU2819" s="501"/>
      <c r="BV2819" s="501"/>
      <c r="BW2819" s="501"/>
      <c r="BX2819" s="501"/>
      <c r="BY2819" s="501"/>
      <c r="BZ2819" s="501"/>
      <c r="CA2819" s="501"/>
      <c r="CB2819" s="501"/>
      <c r="CC2819" s="501"/>
      <c r="CD2819" s="501"/>
      <c r="CE2819" s="501"/>
      <c r="CF2819" s="501"/>
      <c r="CG2819" s="501"/>
      <c r="CH2819" s="501"/>
      <c r="CI2819" s="501"/>
      <c r="CJ2819" s="501"/>
      <c r="CK2819" s="501"/>
      <c r="CL2819" s="501"/>
      <c r="CM2819" s="501"/>
      <c r="CN2819" s="501"/>
      <c r="CO2819" s="501"/>
      <c r="CP2819" s="501"/>
      <c r="CQ2819" s="501"/>
      <c r="CR2819" s="501"/>
      <c r="CS2819" s="501"/>
      <c r="CT2819" s="501"/>
      <c r="CU2819" s="501"/>
      <c r="CV2819" s="501"/>
      <c r="CW2819" s="501"/>
      <c r="CX2819" s="501"/>
      <c r="CY2819" s="501"/>
      <c r="CZ2819" s="501"/>
      <c r="DA2819" s="501"/>
      <c r="DB2819" s="501"/>
      <c r="DC2819" s="501"/>
      <c r="DD2819" s="501"/>
      <c r="DE2819" s="501"/>
      <c r="DF2819" s="501"/>
      <c r="DG2819" s="501"/>
      <c r="DH2819" s="501"/>
      <c r="DI2819" s="501"/>
      <c r="DJ2819" s="501"/>
      <c r="DK2819" s="501"/>
      <c r="DL2819" s="501"/>
      <c r="DM2819" s="501"/>
      <c r="DN2819" s="501"/>
      <c r="DO2819" s="501"/>
      <c r="DP2819" s="501"/>
      <c r="DQ2819" s="501"/>
      <c r="DR2819" s="501"/>
      <c r="DS2819" s="501"/>
      <c r="DT2819" s="501"/>
      <c r="DU2819" s="501"/>
      <c r="DV2819" s="501"/>
      <c r="DW2819" s="501"/>
      <c r="DX2819" s="501"/>
      <c r="DY2819" s="501"/>
      <c r="DZ2819" s="501"/>
      <c r="EA2819" s="501"/>
      <c r="EB2819" s="501"/>
      <c r="EC2819" s="501"/>
      <c r="ED2819" s="501"/>
      <c r="EE2819" s="501"/>
      <c r="EF2819" s="501"/>
      <c r="EG2819" s="501"/>
      <c r="EH2819" s="501"/>
      <c r="EI2819" s="501"/>
      <c r="EJ2819" s="501"/>
      <c r="EK2819" s="501"/>
      <c r="EL2819" s="501"/>
      <c r="EM2819" s="501"/>
      <c r="EN2819" s="501"/>
      <c r="EO2819" s="501"/>
      <c r="EP2819" s="501"/>
      <c r="EQ2819" s="501"/>
      <c r="ER2819" s="501"/>
      <c r="ES2819" s="501"/>
      <c r="ET2819" s="501"/>
      <c r="EU2819" s="501"/>
      <c r="EV2819" s="501"/>
      <c r="EW2819" s="501"/>
      <c r="EX2819" s="501"/>
      <c r="EY2819" s="501"/>
      <c r="EZ2819" s="501"/>
      <c r="FA2819" s="501"/>
      <c r="FB2819" s="501"/>
      <c r="FC2819" s="501"/>
      <c r="FD2819" s="501"/>
      <c r="FE2819" s="501"/>
      <c r="FF2819" s="501"/>
      <c r="FG2819" s="501"/>
      <c r="FH2819" s="501"/>
      <c r="FI2819" s="501"/>
      <c r="FJ2819" s="501"/>
      <c r="FK2819" s="501"/>
      <c r="FL2819" s="501"/>
      <c r="FM2819" s="501"/>
      <c r="FN2819" s="501"/>
      <c r="FO2819" s="501"/>
      <c r="FP2819" s="501"/>
      <c r="FQ2819" s="501"/>
      <c r="FR2819" s="501"/>
      <c r="FS2819" s="501"/>
      <c r="FT2819" s="501"/>
      <c r="FU2819" s="501"/>
      <c r="FV2819" s="501"/>
      <c r="FW2819" s="501"/>
      <c r="FX2819" s="501"/>
      <c r="FY2819" s="501"/>
      <c r="FZ2819" s="501"/>
      <c r="GA2819" s="501"/>
      <c r="GB2819" s="501"/>
      <c r="GC2819" s="501"/>
      <c r="GD2819" s="501"/>
      <c r="GE2819" s="501"/>
      <c r="GF2819" s="501"/>
      <c r="GG2819" s="501"/>
      <c r="GH2819" s="501"/>
      <c r="GI2819" s="501"/>
      <c r="GJ2819" s="501"/>
      <c r="GK2819" s="501"/>
      <c r="GL2819" s="501"/>
      <c r="GM2819" s="501"/>
      <c r="GN2819" s="501"/>
      <c r="GO2819" s="501"/>
      <c r="GP2819" s="501"/>
      <c r="GQ2819" s="501"/>
      <c r="GR2819" s="501"/>
      <c r="GS2819" s="501"/>
      <c r="GT2819" s="501"/>
      <c r="GU2819" s="501"/>
      <c r="GV2819" s="501"/>
      <c r="GW2819" s="501"/>
      <c r="GX2819" s="501"/>
      <c r="GY2819" s="501"/>
      <c r="GZ2819" s="501"/>
      <c r="HA2819" s="501"/>
      <c r="HB2819" s="501"/>
      <c r="HC2819" s="501"/>
      <c r="HD2819" s="501"/>
      <c r="HE2819" s="501"/>
      <c r="HF2819" s="501"/>
      <c r="HG2819" s="501"/>
      <c r="HH2819" s="501"/>
      <c r="HI2819" s="501"/>
      <c r="HJ2819" s="501"/>
      <c r="HK2819" s="501"/>
      <c r="HL2819" s="501"/>
      <c r="HM2819" s="501"/>
      <c r="HN2819" s="501"/>
      <c r="HO2819" s="501"/>
      <c r="HP2819" s="501"/>
      <c r="HQ2819" s="501"/>
      <c r="HR2819" s="501"/>
      <c r="HS2819" s="501"/>
      <c r="HT2819" s="501"/>
      <c r="HU2819" s="501"/>
      <c r="HV2819" s="501"/>
      <c r="HW2819" s="501"/>
      <c r="HX2819" s="501"/>
      <c r="HY2819" s="501"/>
      <c r="HZ2819" s="501"/>
      <c r="IA2819" s="501"/>
      <c r="IB2819" s="501"/>
      <c r="IC2819" s="501"/>
      <c r="ID2819" s="501"/>
      <c r="IE2819" s="501"/>
      <c r="IF2819" s="501"/>
      <c r="IG2819" s="501"/>
      <c r="IH2819" s="501"/>
      <c r="II2819" s="501"/>
      <c r="IJ2819" s="501"/>
      <c r="IK2819" s="501"/>
      <c r="IL2819" s="501"/>
      <c r="IM2819" s="501"/>
      <c r="IN2819" s="501"/>
      <c r="IO2819" s="501"/>
      <c r="IP2819" s="501"/>
      <c r="IQ2819" s="501"/>
      <c r="IR2819" s="501"/>
      <c r="IS2819" s="501"/>
      <c r="IT2819" s="501"/>
      <c r="IU2819" s="501"/>
    </row>
    <row r="2820" spans="1:255" s="877" customFormat="1" ht="24" customHeight="1">
      <c r="A2820" s="501"/>
      <c r="B2820" s="501"/>
      <c r="C2820" s="501"/>
      <c r="D2820" s="501"/>
      <c r="E2820" s="501"/>
      <c r="F2820" s="1097"/>
      <c r="G2820" s="1098"/>
      <c r="H2820" s="1097"/>
      <c r="I2820" s="1099"/>
      <c r="J2820" s="1097"/>
      <c r="K2820" s="1097"/>
      <c r="L2820" s="1101"/>
      <c r="M2820" s="1109"/>
      <c r="N2820" s="501"/>
      <c r="O2820" s="968"/>
      <c r="P2820" s="1152"/>
      <c r="Q2820" s="973"/>
      <c r="R2820" s="968"/>
      <c r="S2820" s="974"/>
      <c r="T2820" s="968"/>
      <c r="V2820" s="1152"/>
      <c r="W2820" s="973"/>
      <c r="X2820" s="968"/>
      <c r="Y2820" s="974"/>
      <c r="Z2820" s="968"/>
      <c r="AA2820" s="501"/>
      <c r="AB2820" s="501"/>
      <c r="AC2820" s="501"/>
      <c r="AD2820" s="501"/>
      <c r="AE2820" s="501"/>
      <c r="AF2820" s="501"/>
      <c r="AG2820" s="501"/>
      <c r="AH2820" s="501"/>
      <c r="AI2820" s="501"/>
      <c r="AJ2820" s="501"/>
      <c r="AK2820" s="501"/>
      <c r="AL2820" s="501"/>
      <c r="AM2820" s="501"/>
      <c r="AN2820" s="501"/>
      <c r="AO2820" s="501"/>
      <c r="AP2820" s="501"/>
      <c r="AQ2820" s="501"/>
      <c r="AR2820" s="501"/>
      <c r="AS2820" s="501"/>
      <c r="AT2820" s="501"/>
      <c r="AU2820" s="501"/>
      <c r="AV2820" s="501"/>
      <c r="AW2820" s="501"/>
      <c r="AX2820" s="501"/>
      <c r="AY2820" s="501"/>
      <c r="AZ2820" s="501"/>
      <c r="BA2820" s="501"/>
      <c r="BB2820" s="501"/>
      <c r="BC2820" s="501"/>
      <c r="BD2820" s="501"/>
      <c r="BE2820" s="501"/>
      <c r="BF2820" s="501"/>
      <c r="BG2820" s="501"/>
      <c r="BH2820" s="501"/>
      <c r="BI2820" s="501"/>
      <c r="BJ2820" s="501"/>
      <c r="BK2820" s="501"/>
      <c r="BL2820" s="501"/>
      <c r="BM2820" s="501"/>
      <c r="BN2820" s="501"/>
      <c r="BO2820" s="501"/>
      <c r="BP2820" s="501"/>
      <c r="BQ2820" s="501"/>
      <c r="BR2820" s="501"/>
      <c r="BS2820" s="501"/>
      <c r="BT2820" s="501"/>
      <c r="BU2820" s="501"/>
      <c r="BV2820" s="501"/>
      <c r="BW2820" s="501"/>
      <c r="BX2820" s="501"/>
      <c r="BY2820" s="501"/>
      <c r="BZ2820" s="501"/>
      <c r="CA2820" s="501"/>
      <c r="CB2820" s="501"/>
      <c r="CC2820" s="501"/>
      <c r="CD2820" s="501"/>
      <c r="CE2820" s="501"/>
      <c r="CF2820" s="501"/>
      <c r="CG2820" s="501"/>
      <c r="CH2820" s="501"/>
      <c r="CI2820" s="501"/>
      <c r="CJ2820" s="501"/>
      <c r="CK2820" s="501"/>
      <c r="CL2820" s="501"/>
      <c r="CM2820" s="501"/>
      <c r="CN2820" s="501"/>
      <c r="CO2820" s="501"/>
      <c r="CP2820" s="501"/>
      <c r="CQ2820" s="501"/>
      <c r="CR2820" s="501"/>
      <c r="CS2820" s="501"/>
      <c r="CT2820" s="501"/>
      <c r="CU2820" s="501"/>
      <c r="CV2820" s="501"/>
      <c r="CW2820" s="501"/>
      <c r="CX2820" s="501"/>
      <c r="CY2820" s="501"/>
      <c r="CZ2820" s="501"/>
      <c r="DA2820" s="501"/>
      <c r="DB2820" s="501"/>
      <c r="DC2820" s="501"/>
      <c r="DD2820" s="501"/>
      <c r="DE2820" s="501"/>
      <c r="DF2820" s="501"/>
      <c r="DG2820" s="501"/>
      <c r="DH2820" s="501"/>
      <c r="DI2820" s="501"/>
      <c r="DJ2820" s="501"/>
      <c r="DK2820" s="501"/>
      <c r="DL2820" s="501"/>
      <c r="DM2820" s="501"/>
      <c r="DN2820" s="501"/>
      <c r="DO2820" s="501"/>
      <c r="DP2820" s="501"/>
      <c r="DQ2820" s="501"/>
      <c r="DR2820" s="501"/>
      <c r="DS2820" s="501"/>
      <c r="DT2820" s="501"/>
      <c r="DU2820" s="501"/>
      <c r="DV2820" s="501"/>
      <c r="DW2820" s="501"/>
      <c r="DX2820" s="501"/>
      <c r="DY2820" s="501"/>
      <c r="DZ2820" s="501"/>
      <c r="EA2820" s="501"/>
      <c r="EB2820" s="501"/>
      <c r="EC2820" s="501"/>
      <c r="ED2820" s="501"/>
      <c r="EE2820" s="501"/>
      <c r="EF2820" s="501"/>
      <c r="EG2820" s="501"/>
      <c r="EH2820" s="501"/>
      <c r="EI2820" s="501"/>
      <c r="EJ2820" s="501"/>
      <c r="EK2820" s="501"/>
      <c r="EL2820" s="501"/>
      <c r="EM2820" s="501"/>
      <c r="EN2820" s="501"/>
      <c r="EO2820" s="501"/>
      <c r="EP2820" s="501"/>
      <c r="EQ2820" s="501"/>
      <c r="ER2820" s="501"/>
      <c r="ES2820" s="501"/>
      <c r="ET2820" s="501"/>
      <c r="EU2820" s="501"/>
      <c r="EV2820" s="501"/>
      <c r="EW2820" s="501"/>
      <c r="EX2820" s="501"/>
      <c r="EY2820" s="501"/>
      <c r="EZ2820" s="501"/>
      <c r="FA2820" s="501"/>
      <c r="FB2820" s="501"/>
      <c r="FC2820" s="501"/>
      <c r="FD2820" s="501"/>
      <c r="FE2820" s="501"/>
      <c r="FF2820" s="501"/>
      <c r="FG2820" s="501"/>
      <c r="FH2820" s="501"/>
      <c r="FI2820" s="501"/>
      <c r="FJ2820" s="501"/>
      <c r="FK2820" s="501"/>
      <c r="FL2820" s="501"/>
      <c r="FM2820" s="501"/>
      <c r="FN2820" s="501"/>
      <c r="FO2820" s="501"/>
      <c r="FP2820" s="501"/>
      <c r="FQ2820" s="501"/>
      <c r="FR2820" s="501"/>
      <c r="FS2820" s="501"/>
      <c r="FT2820" s="501"/>
      <c r="FU2820" s="501"/>
      <c r="FV2820" s="501"/>
      <c r="FW2820" s="501"/>
      <c r="FX2820" s="501"/>
      <c r="FY2820" s="501"/>
      <c r="FZ2820" s="501"/>
      <c r="GA2820" s="501"/>
      <c r="GB2820" s="501"/>
      <c r="GC2820" s="501"/>
      <c r="GD2820" s="501"/>
      <c r="GE2820" s="501"/>
      <c r="GF2820" s="501"/>
      <c r="GG2820" s="501"/>
      <c r="GH2820" s="501"/>
      <c r="GI2820" s="501"/>
      <c r="GJ2820" s="501"/>
      <c r="GK2820" s="501"/>
      <c r="GL2820" s="501"/>
      <c r="GM2820" s="501"/>
      <c r="GN2820" s="501"/>
      <c r="GO2820" s="501"/>
      <c r="GP2820" s="501"/>
      <c r="GQ2820" s="501"/>
      <c r="GR2820" s="501"/>
      <c r="GS2820" s="501"/>
      <c r="GT2820" s="501"/>
      <c r="GU2820" s="501"/>
      <c r="GV2820" s="501"/>
      <c r="GW2820" s="501"/>
      <c r="GX2820" s="501"/>
      <c r="GY2820" s="501"/>
      <c r="GZ2820" s="501"/>
      <c r="HA2820" s="501"/>
      <c r="HB2820" s="501"/>
      <c r="HC2820" s="501"/>
      <c r="HD2820" s="501"/>
      <c r="HE2820" s="501"/>
      <c r="HF2820" s="501"/>
      <c r="HG2820" s="501"/>
      <c r="HH2820" s="501"/>
      <c r="HI2820" s="501"/>
      <c r="HJ2820" s="501"/>
      <c r="HK2820" s="501"/>
      <c r="HL2820" s="501"/>
      <c r="HM2820" s="501"/>
      <c r="HN2820" s="501"/>
      <c r="HO2820" s="501"/>
      <c r="HP2820" s="501"/>
      <c r="HQ2820" s="501"/>
      <c r="HR2820" s="501"/>
      <c r="HS2820" s="501"/>
      <c r="HT2820" s="501"/>
      <c r="HU2820" s="501"/>
      <c r="HV2820" s="501"/>
      <c r="HW2820" s="501"/>
      <c r="HX2820" s="501"/>
      <c r="HY2820" s="501"/>
      <c r="HZ2820" s="501"/>
      <c r="IA2820" s="501"/>
      <c r="IB2820" s="501"/>
      <c r="IC2820" s="501"/>
      <c r="ID2820" s="501"/>
      <c r="IE2820" s="501"/>
      <c r="IF2820" s="501"/>
      <c r="IG2820" s="501"/>
      <c r="IH2820" s="501"/>
      <c r="II2820" s="501"/>
      <c r="IJ2820" s="501"/>
      <c r="IK2820" s="501"/>
      <c r="IL2820" s="501"/>
      <c r="IM2820" s="501"/>
      <c r="IN2820" s="501"/>
      <c r="IO2820" s="501"/>
      <c r="IP2820" s="501"/>
      <c r="IQ2820" s="501"/>
      <c r="IR2820" s="501"/>
      <c r="IS2820" s="501"/>
      <c r="IT2820" s="501"/>
      <c r="IU2820" s="501"/>
    </row>
    <row r="2821" spans="1:255" s="877" customFormat="1" ht="24" customHeight="1">
      <c r="A2821" s="501"/>
      <c r="B2821" s="501"/>
      <c r="C2821" s="501"/>
      <c r="D2821" s="501"/>
      <c r="E2821" s="501"/>
      <c r="F2821" s="1097"/>
      <c r="G2821" s="1098"/>
      <c r="H2821" s="1097"/>
      <c r="I2821" s="1099"/>
      <c r="J2821" s="973"/>
      <c r="K2821" s="1097"/>
      <c r="L2821" s="1101"/>
      <c r="M2821" s="1109"/>
      <c r="N2821" s="501"/>
      <c r="O2821" s="968"/>
      <c r="P2821" s="1152"/>
      <c r="Q2821" s="973"/>
      <c r="R2821" s="968"/>
      <c r="S2821" s="974"/>
      <c r="T2821" s="968"/>
      <c r="V2821" s="1152"/>
      <c r="W2821" s="973"/>
      <c r="X2821" s="968"/>
      <c r="Y2821" s="974"/>
      <c r="Z2821" s="968"/>
      <c r="AA2821" s="501"/>
      <c r="AB2821" s="501"/>
      <c r="AC2821" s="501"/>
      <c r="AD2821" s="501"/>
      <c r="AE2821" s="501"/>
      <c r="AF2821" s="501"/>
      <c r="AG2821" s="501"/>
      <c r="AH2821" s="501"/>
      <c r="AI2821" s="501"/>
      <c r="AJ2821" s="501"/>
      <c r="AK2821" s="501"/>
      <c r="AL2821" s="501"/>
      <c r="AM2821" s="501"/>
      <c r="AN2821" s="501"/>
      <c r="AO2821" s="501"/>
      <c r="AP2821" s="501"/>
      <c r="AQ2821" s="501"/>
      <c r="AR2821" s="501"/>
      <c r="AS2821" s="501"/>
      <c r="AT2821" s="501"/>
      <c r="AU2821" s="501"/>
      <c r="AV2821" s="501"/>
      <c r="AW2821" s="501"/>
      <c r="AX2821" s="501"/>
      <c r="AY2821" s="501"/>
      <c r="AZ2821" s="501"/>
      <c r="BA2821" s="501"/>
      <c r="BB2821" s="501"/>
      <c r="BC2821" s="501"/>
      <c r="BD2821" s="501"/>
      <c r="BE2821" s="501"/>
      <c r="BF2821" s="501"/>
      <c r="BG2821" s="501"/>
      <c r="BH2821" s="501"/>
      <c r="BI2821" s="501"/>
      <c r="BJ2821" s="501"/>
      <c r="BK2821" s="501"/>
      <c r="BL2821" s="501"/>
      <c r="BM2821" s="501"/>
      <c r="BN2821" s="501"/>
      <c r="BO2821" s="501"/>
      <c r="BP2821" s="501"/>
      <c r="BQ2821" s="501"/>
      <c r="BR2821" s="501"/>
      <c r="BS2821" s="501"/>
      <c r="BT2821" s="501"/>
      <c r="BU2821" s="501"/>
      <c r="BV2821" s="501"/>
      <c r="BW2821" s="501"/>
      <c r="BX2821" s="501"/>
      <c r="BY2821" s="501"/>
      <c r="BZ2821" s="501"/>
      <c r="CA2821" s="501"/>
      <c r="CB2821" s="501"/>
      <c r="CC2821" s="501"/>
      <c r="CD2821" s="501"/>
      <c r="CE2821" s="501"/>
      <c r="CF2821" s="501"/>
      <c r="CG2821" s="501"/>
      <c r="CH2821" s="501"/>
      <c r="CI2821" s="501"/>
      <c r="CJ2821" s="501"/>
      <c r="CK2821" s="501"/>
      <c r="CL2821" s="501"/>
      <c r="CM2821" s="501"/>
      <c r="CN2821" s="501"/>
      <c r="CO2821" s="501"/>
      <c r="CP2821" s="501"/>
      <c r="CQ2821" s="501"/>
      <c r="CR2821" s="501"/>
      <c r="CS2821" s="501"/>
      <c r="CT2821" s="501"/>
      <c r="CU2821" s="501"/>
      <c r="CV2821" s="501"/>
      <c r="CW2821" s="501"/>
      <c r="CX2821" s="501"/>
      <c r="CY2821" s="501"/>
      <c r="CZ2821" s="501"/>
      <c r="DA2821" s="501"/>
      <c r="DB2821" s="501"/>
      <c r="DC2821" s="501"/>
      <c r="DD2821" s="501"/>
      <c r="DE2821" s="501"/>
      <c r="DF2821" s="501"/>
      <c r="DG2821" s="501"/>
      <c r="DH2821" s="501"/>
      <c r="DI2821" s="501"/>
      <c r="DJ2821" s="501"/>
      <c r="DK2821" s="501"/>
      <c r="DL2821" s="501"/>
      <c r="DM2821" s="501"/>
      <c r="DN2821" s="501"/>
      <c r="DO2821" s="501"/>
      <c r="DP2821" s="501"/>
      <c r="DQ2821" s="501"/>
      <c r="DR2821" s="501"/>
      <c r="DS2821" s="501"/>
      <c r="DT2821" s="501"/>
      <c r="DU2821" s="501"/>
      <c r="DV2821" s="501"/>
      <c r="DW2821" s="501"/>
      <c r="DX2821" s="501"/>
      <c r="DY2821" s="501"/>
      <c r="DZ2821" s="501"/>
      <c r="EA2821" s="501"/>
      <c r="EB2821" s="501"/>
      <c r="EC2821" s="501"/>
      <c r="ED2821" s="501"/>
      <c r="EE2821" s="501"/>
      <c r="EF2821" s="501"/>
      <c r="EG2821" s="501"/>
      <c r="EH2821" s="501"/>
      <c r="EI2821" s="501"/>
      <c r="EJ2821" s="501"/>
      <c r="EK2821" s="501"/>
      <c r="EL2821" s="501"/>
      <c r="EM2821" s="501"/>
      <c r="EN2821" s="501"/>
      <c r="EO2821" s="501"/>
      <c r="EP2821" s="501"/>
      <c r="EQ2821" s="501"/>
      <c r="ER2821" s="501"/>
      <c r="ES2821" s="501"/>
      <c r="ET2821" s="501"/>
      <c r="EU2821" s="501"/>
      <c r="EV2821" s="501"/>
      <c r="EW2821" s="501"/>
      <c r="EX2821" s="501"/>
      <c r="EY2821" s="501"/>
      <c r="EZ2821" s="501"/>
      <c r="FA2821" s="501"/>
      <c r="FB2821" s="501"/>
      <c r="FC2821" s="501"/>
      <c r="FD2821" s="501"/>
      <c r="FE2821" s="501"/>
      <c r="FF2821" s="501"/>
      <c r="FG2821" s="501"/>
      <c r="FH2821" s="501"/>
      <c r="FI2821" s="501"/>
      <c r="FJ2821" s="501"/>
      <c r="FK2821" s="501"/>
      <c r="FL2821" s="501"/>
      <c r="FM2821" s="501"/>
      <c r="FN2821" s="501"/>
      <c r="FO2821" s="501"/>
      <c r="FP2821" s="501"/>
      <c r="FQ2821" s="501"/>
      <c r="FR2821" s="501"/>
      <c r="FS2821" s="501"/>
      <c r="FT2821" s="501"/>
      <c r="FU2821" s="501"/>
      <c r="FV2821" s="501"/>
      <c r="FW2821" s="501"/>
      <c r="FX2821" s="501"/>
      <c r="FY2821" s="501"/>
      <c r="FZ2821" s="501"/>
      <c r="GA2821" s="501"/>
      <c r="GB2821" s="501"/>
      <c r="GC2821" s="501"/>
      <c r="GD2821" s="501"/>
      <c r="GE2821" s="501"/>
      <c r="GF2821" s="501"/>
      <c r="GG2821" s="501"/>
      <c r="GH2821" s="501"/>
      <c r="GI2821" s="501"/>
      <c r="GJ2821" s="501"/>
      <c r="GK2821" s="501"/>
      <c r="GL2821" s="501"/>
      <c r="GM2821" s="501"/>
      <c r="GN2821" s="501"/>
      <c r="GO2821" s="501"/>
      <c r="GP2821" s="501"/>
      <c r="GQ2821" s="501"/>
      <c r="GR2821" s="501"/>
      <c r="GS2821" s="501"/>
      <c r="GT2821" s="501"/>
      <c r="GU2821" s="501"/>
      <c r="GV2821" s="501"/>
      <c r="GW2821" s="501"/>
      <c r="GX2821" s="501"/>
      <c r="GY2821" s="501"/>
      <c r="GZ2821" s="501"/>
      <c r="HA2821" s="501"/>
      <c r="HB2821" s="501"/>
      <c r="HC2821" s="501"/>
      <c r="HD2821" s="501"/>
      <c r="HE2821" s="501"/>
      <c r="HF2821" s="501"/>
      <c r="HG2821" s="501"/>
      <c r="HH2821" s="501"/>
      <c r="HI2821" s="501"/>
      <c r="HJ2821" s="501"/>
      <c r="HK2821" s="501"/>
      <c r="HL2821" s="501"/>
      <c r="HM2821" s="501"/>
      <c r="HN2821" s="501"/>
      <c r="HO2821" s="501"/>
      <c r="HP2821" s="501"/>
      <c r="HQ2821" s="501"/>
      <c r="HR2821" s="501"/>
      <c r="HS2821" s="501"/>
      <c r="HT2821" s="501"/>
      <c r="HU2821" s="501"/>
      <c r="HV2821" s="501"/>
      <c r="HW2821" s="501"/>
      <c r="HX2821" s="501"/>
      <c r="HY2821" s="501"/>
      <c r="HZ2821" s="501"/>
      <c r="IA2821" s="501"/>
      <c r="IB2821" s="501"/>
      <c r="IC2821" s="501"/>
      <c r="ID2821" s="501"/>
      <c r="IE2821" s="501"/>
      <c r="IF2821" s="501"/>
      <c r="IG2821" s="501"/>
      <c r="IH2821" s="501"/>
      <c r="II2821" s="501"/>
      <c r="IJ2821" s="501"/>
      <c r="IK2821" s="501"/>
      <c r="IL2821" s="501"/>
      <c r="IM2821" s="501"/>
      <c r="IN2821" s="501"/>
      <c r="IO2821" s="501"/>
      <c r="IP2821" s="501"/>
      <c r="IQ2821" s="501"/>
      <c r="IR2821" s="501"/>
      <c r="IS2821" s="501"/>
      <c r="IT2821" s="501"/>
      <c r="IU2821" s="501"/>
    </row>
    <row r="2822" spans="1:255" s="877" customFormat="1" ht="24" customHeight="1">
      <c r="A2822" s="501"/>
      <c r="B2822" s="501"/>
      <c r="C2822" s="501"/>
      <c r="D2822" s="501"/>
      <c r="E2822" s="501"/>
      <c r="F2822" s="1097"/>
      <c r="G2822" s="1098"/>
      <c r="H2822" s="1097"/>
      <c r="I2822" s="1099"/>
      <c r="J2822" s="1097"/>
      <c r="K2822" s="1097"/>
      <c r="L2822" s="1101"/>
      <c r="M2822" s="1102"/>
      <c r="N2822" s="501"/>
      <c r="O2822" s="968"/>
      <c r="P2822" s="1152"/>
      <c r="Q2822" s="973"/>
      <c r="R2822" s="968"/>
      <c r="S2822" s="974"/>
      <c r="T2822" s="968"/>
      <c r="V2822" s="1151"/>
      <c r="W2822" s="1097"/>
      <c r="X2822" s="1097"/>
      <c r="Y2822" s="1101"/>
      <c r="Z2822" s="968"/>
      <c r="AA2822" s="501"/>
      <c r="AB2822" s="501"/>
      <c r="AC2822" s="501"/>
      <c r="AD2822" s="501"/>
      <c r="AE2822" s="501"/>
      <c r="AF2822" s="501"/>
      <c r="AG2822" s="501"/>
      <c r="AH2822" s="501"/>
      <c r="AI2822" s="501"/>
      <c r="AJ2822" s="501"/>
      <c r="AK2822" s="501"/>
      <c r="AL2822" s="501"/>
      <c r="AM2822" s="501"/>
      <c r="AN2822" s="501"/>
      <c r="AO2822" s="501"/>
      <c r="AP2822" s="501"/>
      <c r="AQ2822" s="501"/>
      <c r="AR2822" s="501"/>
      <c r="AS2822" s="501"/>
      <c r="AT2822" s="501"/>
      <c r="AU2822" s="501"/>
      <c r="AV2822" s="501"/>
      <c r="AW2822" s="501"/>
      <c r="AX2822" s="501"/>
      <c r="AY2822" s="501"/>
      <c r="AZ2822" s="501"/>
      <c r="BA2822" s="501"/>
      <c r="BB2822" s="501"/>
      <c r="BC2822" s="501"/>
      <c r="BD2822" s="501"/>
      <c r="BE2822" s="501"/>
      <c r="BF2822" s="501"/>
      <c r="BG2822" s="501"/>
      <c r="BH2822" s="501"/>
      <c r="BI2822" s="501"/>
      <c r="BJ2822" s="501"/>
      <c r="BK2822" s="501"/>
      <c r="BL2822" s="501"/>
      <c r="BM2822" s="501"/>
      <c r="BN2822" s="501"/>
      <c r="BO2822" s="501"/>
      <c r="BP2822" s="501"/>
      <c r="BQ2822" s="501"/>
      <c r="BR2822" s="501"/>
      <c r="BS2822" s="501"/>
      <c r="BT2822" s="501"/>
      <c r="BU2822" s="501"/>
      <c r="BV2822" s="501"/>
      <c r="BW2822" s="501"/>
      <c r="BX2822" s="501"/>
      <c r="BY2822" s="501"/>
      <c r="BZ2822" s="501"/>
      <c r="CA2822" s="501"/>
      <c r="CB2822" s="501"/>
      <c r="CC2822" s="501"/>
      <c r="CD2822" s="501"/>
      <c r="CE2822" s="501"/>
      <c r="CF2822" s="501"/>
      <c r="CG2822" s="501"/>
      <c r="CH2822" s="501"/>
      <c r="CI2822" s="501"/>
      <c r="CJ2822" s="501"/>
      <c r="CK2822" s="501"/>
      <c r="CL2822" s="501"/>
      <c r="CM2822" s="501"/>
      <c r="CN2822" s="501"/>
      <c r="CO2822" s="501"/>
      <c r="CP2822" s="501"/>
      <c r="CQ2822" s="501"/>
      <c r="CR2822" s="501"/>
      <c r="CS2822" s="501"/>
      <c r="CT2822" s="501"/>
      <c r="CU2822" s="501"/>
      <c r="CV2822" s="501"/>
      <c r="CW2822" s="501"/>
      <c r="CX2822" s="501"/>
      <c r="CY2822" s="501"/>
      <c r="CZ2822" s="501"/>
      <c r="DA2822" s="501"/>
      <c r="DB2822" s="501"/>
      <c r="DC2822" s="501"/>
      <c r="DD2822" s="501"/>
      <c r="DE2822" s="501"/>
      <c r="DF2822" s="501"/>
      <c r="DG2822" s="501"/>
      <c r="DH2822" s="501"/>
      <c r="DI2822" s="501"/>
      <c r="DJ2822" s="501"/>
      <c r="DK2822" s="501"/>
      <c r="DL2822" s="501"/>
      <c r="DM2822" s="501"/>
      <c r="DN2822" s="501"/>
      <c r="DO2822" s="501"/>
      <c r="DP2822" s="501"/>
      <c r="DQ2822" s="501"/>
      <c r="DR2822" s="501"/>
      <c r="DS2822" s="501"/>
      <c r="DT2822" s="501"/>
      <c r="DU2822" s="501"/>
      <c r="DV2822" s="501"/>
      <c r="DW2822" s="501"/>
      <c r="DX2822" s="501"/>
      <c r="DY2822" s="501"/>
      <c r="DZ2822" s="501"/>
      <c r="EA2822" s="501"/>
      <c r="EB2822" s="501"/>
      <c r="EC2822" s="501"/>
      <c r="ED2822" s="501"/>
      <c r="EE2822" s="501"/>
      <c r="EF2822" s="501"/>
      <c r="EG2822" s="501"/>
      <c r="EH2822" s="501"/>
      <c r="EI2822" s="501"/>
      <c r="EJ2822" s="501"/>
      <c r="EK2822" s="501"/>
      <c r="EL2822" s="501"/>
      <c r="EM2822" s="501"/>
      <c r="EN2822" s="501"/>
      <c r="EO2822" s="501"/>
      <c r="EP2822" s="501"/>
      <c r="EQ2822" s="501"/>
      <c r="ER2822" s="501"/>
      <c r="ES2822" s="501"/>
      <c r="ET2822" s="501"/>
      <c r="EU2822" s="501"/>
      <c r="EV2822" s="501"/>
      <c r="EW2822" s="501"/>
      <c r="EX2822" s="501"/>
      <c r="EY2822" s="501"/>
      <c r="EZ2822" s="501"/>
      <c r="FA2822" s="501"/>
      <c r="FB2822" s="501"/>
      <c r="FC2822" s="501"/>
      <c r="FD2822" s="501"/>
      <c r="FE2822" s="501"/>
      <c r="FF2822" s="501"/>
      <c r="FG2822" s="501"/>
      <c r="FH2822" s="501"/>
      <c r="FI2822" s="501"/>
      <c r="FJ2822" s="501"/>
      <c r="FK2822" s="501"/>
      <c r="FL2822" s="501"/>
      <c r="FM2822" s="501"/>
      <c r="FN2822" s="501"/>
      <c r="FO2822" s="501"/>
      <c r="FP2822" s="501"/>
      <c r="FQ2822" s="501"/>
      <c r="FR2822" s="501"/>
      <c r="FS2822" s="501"/>
      <c r="FT2822" s="501"/>
      <c r="FU2822" s="501"/>
      <c r="FV2822" s="501"/>
      <c r="FW2822" s="501"/>
      <c r="FX2822" s="501"/>
      <c r="FY2822" s="501"/>
      <c r="FZ2822" s="501"/>
      <c r="GA2822" s="501"/>
      <c r="GB2822" s="501"/>
      <c r="GC2822" s="501"/>
      <c r="GD2822" s="501"/>
      <c r="GE2822" s="501"/>
      <c r="GF2822" s="501"/>
      <c r="GG2822" s="501"/>
      <c r="GH2822" s="501"/>
      <c r="GI2822" s="501"/>
      <c r="GJ2822" s="501"/>
      <c r="GK2822" s="501"/>
      <c r="GL2822" s="501"/>
      <c r="GM2822" s="501"/>
      <c r="GN2822" s="501"/>
      <c r="GO2822" s="501"/>
      <c r="GP2822" s="501"/>
      <c r="GQ2822" s="501"/>
      <c r="GR2822" s="501"/>
      <c r="GS2822" s="501"/>
      <c r="GT2822" s="501"/>
      <c r="GU2822" s="501"/>
      <c r="GV2822" s="501"/>
      <c r="GW2822" s="501"/>
      <c r="GX2822" s="501"/>
      <c r="GY2822" s="501"/>
      <c r="GZ2822" s="501"/>
      <c r="HA2822" s="501"/>
      <c r="HB2822" s="501"/>
      <c r="HC2822" s="501"/>
      <c r="HD2822" s="501"/>
      <c r="HE2822" s="501"/>
      <c r="HF2822" s="501"/>
      <c r="HG2822" s="501"/>
      <c r="HH2822" s="501"/>
      <c r="HI2822" s="501"/>
      <c r="HJ2822" s="501"/>
      <c r="HK2822" s="501"/>
      <c r="HL2822" s="501"/>
      <c r="HM2822" s="501"/>
      <c r="HN2822" s="501"/>
      <c r="HO2822" s="501"/>
      <c r="HP2822" s="501"/>
      <c r="HQ2822" s="501"/>
      <c r="HR2822" s="501"/>
      <c r="HS2822" s="501"/>
      <c r="HT2822" s="501"/>
      <c r="HU2822" s="501"/>
      <c r="HV2822" s="501"/>
      <c r="HW2822" s="501"/>
      <c r="HX2822" s="501"/>
      <c r="HY2822" s="501"/>
      <c r="HZ2822" s="501"/>
      <c r="IA2822" s="501"/>
      <c r="IB2822" s="501"/>
      <c r="IC2822" s="501"/>
      <c r="ID2822" s="501"/>
      <c r="IE2822" s="501"/>
      <c r="IF2822" s="501"/>
      <c r="IG2822" s="501"/>
      <c r="IH2822" s="501"/>
      <c r="II2822" s="501"/>
      <c r="IJ2822" s="501"/>
      <c r="IK2822" s="501"/>
      <c r="IL2822" s="501"/>
      <c r="IM2822" s="501"/>
      <c r="IN2822" s="501"/>
      <c r="IO2822" s="501"/>
      <c r="IP2822" s="501"/>
      <c r="IQ2822" s="501"/>
      <c r="IR2822" s="501"/>
      <c r="IS2822" s="501"/>
      <c r="IT2822" s="501"/>
      <c r="IU2822" s="501"/>
    </row>
    <row r="2823" spans="1:255" s="877" customFormat="1" ht="24" customHeight="1">
      <c r="A2823" s="501"/>
      <c r="B2823" s="501"/>
      <c r="C2823" s="501"/>
      <c r="D2823" s="501"/>
      <c r="E2823" s="501"/>
      <c r="F2823" s="974"/>
      <c r="G2823" s="1105"/>
      <c r="H2823" s="974"/>
      <c r="I2823" s="973"/>
      <c r="J2823" s="973"/>
      <c r="K2823" s="1097"/>
      <c r="L2823" s="1101"/>
      <c r="M2823" s="1102"/>
      <c r="N2823" s="501"/>
      <c r="O2823" s="968"/>
      <c r="P2823" s="1152"/>
      <c r="Q2823" s="973"/>
      <c r="R2823" s="968"/>
      <c r="S2823" s="974"/>
      <c r="T2823" s="968"/>
      <c r="V2823" s="1151"/>
      <c r="W2823" s="973"/>
      <c r="X2823" s="1097"/>
      <c r="Y2823" s="1101"/>
      <c r="Z2823" s="968"/>
      <c r="AA2823" s="501"/>
      <c r="AB2823" s="501"/>
      <c r="AC2823" s="501"/>
      <c r="AD2823" s="501"/>
      <c r="AE2823" s="501"/>
      <c r="AF2823" s="501"/>
      <c r="AG2823" s="501"/>
      <c r="AH2823" s="501"/>
      <c r="AI2823" s="501"/>
      <c r="AJ2823" s="501"/>
      <c r="AK2823" s="501"/>
      <c r="AL2823" s="501"/>
      <c r="AM2823" s="501"/>
      <c r="AN2823" s="501"/>
      <c r="AO2823" s="501"/>
      <c r="AP2823" s="501"/>
      <c r="AQ2823" s="501"/>
      <c r="AR2823" s="501"/>
      <c r="AS2823" s="501"/>
      <c r="AT2823" s="501"/>
      <c r="AU2823" s="501"/>
      <c r="AV2823" s="501"/>
      <c r="AW2823" s="501"/>
      <c r="AX2823" s="501"/>
      <c r="AY2823" s="501"/>
      <c r="AZ2823" s="501"/>
      <c r="BA2823" s="501"/>
      <c r="BB2823" s="501"/>
      <c r="BC2823" s="501"/>
      <c r="BD2823" s="501"/>
      <c r="BE2823" s="501"/>
      <c r="BF2823" s="501"/>
      <c r="BG2823" s="501"/>
      <c r="BH2823" s="501"/>
      <c r="BI2823" s="501"/>
      <c r="BJ2823" s="501"/>
      <c r="BK2823" s="501"/>
      <c r="BL2823" s="501"/>
      <c r="BM2823" s="501"/>
      <c r="BN2823" s="501"/>
      <c r="BO2823" s="501"/>
      <c r="BP2823" s="501"/>
      <c r="BQ2823" s="501"/>
      <c r="BR2823" s="501"/>
      <c r="BS2823" s="501"/>
      <c r="BT2823" s="501"/>
      <c r="BU2823" s="501"/>
      <c r="BV2823" s="501"/>
      <c r="BW2823" s="501"/>
      <c r="BX2823" s="501"/>
      <c r="BY2823" s="501"/>
      <c r="BZ2823" s="501"/>
      <c r="CA2823" s="501"/>
      <c r="CB2823" s="501"/>
      <c r="CC2823" s="501"/>
      <c r="CD2823" s="501"/>
      <c r="CE2823" s="501"/>
      <c r="CF2823" s="501"/>
      <c r="CG2823" s="501"/>
      <c r="CH2823" s="501"/>
      <c r="CI2823" s="501"/>
      <c r="CJ2823" s="501"/>
      <c r="CK2823" s="501"/>
      <c r="CL2823" s="501"/>
      <c r="CM2823" s="501"/>
      <c r="CN2823" s="501"/>
      <c r="CO2823" s="501"/>
      <c r="CP2823" s="501"/>
      <c r="CQ2823" s="501"/>
      <c r="CR2823" s="501"/>
      <c r="CS2823" s="501"/>
      <c r="CT2823" s="501"/>
      <c r="CU2823" s="501"/>
      <c r="CV2823" s="501"/>
      <c r="CW2823" s="501"/>
      <c r="CX2823" s="501"/>
      <c r="CY2823" s="501"/>
      <c r="CZ2823" s="501"/>
      <c r="DA2823" s="501"/>
      <c r="DB2823" s="501"/>
      <c r="DC2823" s="501"/>
      <c r="DD2823" s="501"/>
      <c r="DE2823" s="501"/>
      <c r="DF2823" s="501"/>
      <c r="DG2823" s="501"/>
      <c r="DH2823" s="501"/>
      <c r="DI2823" s="501"/>
      <c r="DJ2823" s="501"/>
      <c r="DK2823" s="501"/>
      <c r="DL2823" s="501"/>
      <c r="DM2823" s="501"/>
      <c r="DN2823" s="501"/>
      <c r="DO2823" s="501"/>
      <c r="DP2823" s="501"/>
      <c r="DQ2823" s="501"/>
      <c r="DR2823" s="501"/>
      <c r="DS2823" s="501"/>
      <c r="DT2823" s="501"/>
      <c r="DU2823" s="501"/>
      <c r="DV2823" s="501"/>
      <c r="DW2823" s="501"/>
      <c r="DX2823" s="501"/>
      <c r="DY2823" s="501"/>
      <c r="DZ2823" s="501"/>
      <c r="EA2823" s="501"/>
      <c r="EB2823" s="501"/>
      <c r="EC2823" s="501"/>
      <c r="ED2823" s="501"/>
      <c r="EE2823" s="501"/>
      <c r="EF2823" s="501"/>
      <c r="EG2823" s="501"/>
      <c r="EH2823" s="501"/>
      <c r="EI2823" s="501"/>
      <c r="EJ2823" s="501"/>
      <c r="EK2823" s="501"/>
      <c r="EL2823" s="501"/>
      <c r="EM2823" s="501"/>
      <c r="EN2823" s="501"/>
      <c r="EO2823" s="501"/>
      <c r="EP2823" s="501"/>
      <c r="EQ2823" s="501"/>
      <c r="ER2823" s="501"/>
      <c r="ES2823" s="501"/>
      <c r="ET2823" s="501"/>
      <c r="EU2823" s="501"/>
      <c r="EV2823" s="501"/>
      <c r="EW2823" s="501"/>
      <c r="EX2823" s="501"/>
      <c r="EY2823" s="501"/>
      <c r="EZ2823" s="501"/>
      <c r="FA2823" s="501"/>
      <c r="FB2823" s="501"/>
      <c r="FC2823" s="501"/>
      <c r="FD2823" s="501"/>
      <c r="FE2823" s="501"/>
      <c r="FF2823" s="501"/>
      <c r="FG2823" s="501"/>
      <c r="FH2823" s="501"/>
      <c r="FI2823" s="501"/>
      <c r="FJ2823" s="501"/>
      <c r="FK2823" s="501"/>
      <c r="FL2823" s="501"/>
      <c r="FM2823" s="501"/>
      <c r="FN2823" s="501"/>
      <c r="FO2823" s="501"/>
      <c r="FP2823" s="501"/>
      <c r="FQ2823" s="501"/>
      <c r="FR2823" s="501"/>
      <c r="FS2823" s="501"/>
      <c r="FT2823" s="501"/>
      <c r="FU2823" s="501"/>
      <c r="FV2823" s="501"/>
      <c r="FW2823" s="501"/>
      <c r="FX2823" s="501"/>
      <c r="FY2823" s="501"/>
      <c r="FZ2823" s="501"/>
      <c r="GA2823" s="501"/>
      <c r="GB2823" s="501"/>
      <c r="GC2823" s="501"/>
      <c r="GD2823" s="501"/>
      <c r="GE2823" s="501"/>
      <c r="GF2823" s="501"/>
      <c r="GG2823" s="501"/>
      <c r="GH2823" s="501"/>
      <c r="GI2823" s="501"/>
      <c r="GJ2823" s="501"/>
      <c r="GK2823" s="501"/>
      <c r="GL2823" s="501"/>
      <c r="GM2823" s="501"/>
      <c r="GN2823" s="501"/>
      <c r="GO2823" s="501"/>
      <c r="GP2823" s="501"/>
      <c r="GQ2823" s="501"/>
      <c r="GR2823" s="501"/>
      <c r="GS2823" s="501"/>
      <c r="GT2823" s="501"/>
      <c r="GU2823" s="501"/>
      <c r="GV2823" s="501"/>
      <c r="GW2823" s="501"/>
      <c r="GX2823" s="501"/>
      <c r="GY2823" s="501"/>
      <c r="GZ2823" s="501"/>
      <c r="HA2823" s="501"/>
      <c r="HB2823" s="501"/>
      <c r="HC2823" s="501"/>
      <c r="HD2823" s="501"/>
      <c r="HE2823" s="501"/>
      <c r="HF2823" s="501"/>
      <c r="HG2823" s="501"/>
      <c r="HH2823" s="501"/>
      <c r="HI2823" s="501"/>
      <c r="HJ2823" s="501"/>
      <c r="HK2823" s="501"/>
      <c r="HL2823" s="501"/>
      <c r="HM2823" s="501"/>
      <c r="HN2823" s="501"/>
      <c r="HO2823" s="501"/>
      <c r="HP2823" s="501"/>
      <c r="HQ2823" s="501"/>
      <c r="HR2823" s="501"/>
      <c r="HS2823" s="501"/>
      <c r="HT2823" s="501"/>
      <c r="HU2823" s="501"/>
      <c r="HV2823" s="501"/>
      <c r="HW2823" s="501"/>
      <c r="HX2823" s="501"/>
      <c r="HY2823" s="501"/>
      <c r="HZ2823" s="501"/>
      <c r="IA2823" s="501"/>
      <c r="IB2823" s="501"/>
      <c r="IC2823" s="501"/>
      <c r="ID2823" s="501"/>
      <c r="IE2823" s="501"/>
      <c r="IF2823" s="501"/>
      <c r="IG2823" s="501"/>
      <c r="IH2823" s="501"/>
      <c r="II2823" s="501"/>
      <c r="IJ2823" s="501"/>
      <c r="IK2823" s="501"/>
      <c r="IL2823" s="501"/>
      <c r="IM2823" s="501"/>
      <c r="IN2823" s="501"/>
      <c r="IO2823" s="501"/>
      <c r="IP2823" s="501"/>
      <c r="IQ2823" s="501"/>
      <c r="IR2823" s="501"/>
      <c r="IS2823" s="501"/>
      <c r="IT2823" s="501"/>
      <c r="IU2823" s="501"/>
    </row>
    <row r="2824" spans="1:255" s="877" customFormat="1" ht="24" customHeight="1">
      <c r="A2824" s="501"/>
      <c r="B2824" s="501"/>
      <c r="C2824" s="501"/>
      <c r="D2824" s="501"/>
      <c r="E2824" s="501"/>
      <c r="F2824" s="1097"/>
      <c r="G2824" s="1098"/>
      <c r="H2824" s="1097"/>
      <c r="I2824" s="1099"/>
      <c r="J2824" s="973"/>
      <c r="K2824" s="1097"/>
      <c r="L2824" s="1101"/>
      <c r="M2824" s="1102"/>
      <c r="N2824" s="501"/>
      <c r="O2824" s="968"/>
      <c r="P2824" s="1152"/>
      <c r="Q2824" s="973"/>
      <c r="R2824" s="968"/>
      <c r="S2824" s="974"/>
      <c r="T2824" s="968"/>
      <c r="V2824" s="1151"/>
      <c r="W2824" s="1097"/>
      <c r="X2824" s="1097"/>
      <c r="Y2824" s="1101"/>
      <c r="Z2824" s="1106"/>
      <c r="AA2824" s="501"/>
      <c r="AB2824" s="501"/>
      <c r="AC2824" s="501"/>
      <c r="AD2824" s="501"/>
      <c r="AE2824" s="501"/>
      <c r="AF2824" s="501"/>
      <c r="AG2824" s="501"/>
      <c r="AH2824" s="501"/>
      <c r="AI2824" s="501"/>
      <c r="AJ2824" s="501"/>
      <c r="AK2824" s="501"/>
      <c r="AL2824" s="501"/>
      <c r="AM2824" s="501"/>
      <c r="AN2824" s="501"/>
      <c r="AO2824" s="501"/>
      <c r="AP2824" s="501"/>
      <c r="AQ2824" s="501"/>
      <c r="AR2824" s="501"/>
      <c r="AS2824" s="501"/>
      <c r="AT2824" s="501"/>
      <c r="AU2824" s="501"/>
      <c r="AV2824" s="501"/>
      <c r="AW2824" s="501"/>
      <c r="AX2824" s="501"/>
      <c r="AY2824" s="501"/>
      <c r="AZ2824" s="501"/>
      <c r="BA2824" s="501"/>
      <c r="BB2824" s="501"/>
      <c r="BC2824" s="501"/>
      <c r="BD2824" s="501"/>
      <c r="BE2824" s="501"/>
      <c r="BF2824" s="501"/>
      <c r="BG2824" s="501"/>
      <c r="BH2824" s="501"/>
      <c r="BI2824" s="501"/>
      <c r="BJ2824" s="501"/>
      <c r="BK2824" s="501"/>
      <c r="BL2824" s="501"/>
      <c r="BM2824" s="501"/>
      <c r="BN2824" s="501"/>
      <c r="BO2824" s="501"/>
      <c r="BP2824" s="501"/>
      <c r="BQ2824" s="501"/>
      <c r="BR2824" s="501"/>
      <c r="BS2824" s="501"/>
      <c r="BT2824" s="501"/>
      <c r="BU2824" s="501"/>
      <c r="BV2824" s="501"/>
      <c r="BW2824" s="501"/>
      <c r="BX2824" s="501"/>
      <c r="BY2824" s="501"/>
      <c r="BZ2824" s="501"/>
      <c r="CA2824" s="501"/>
      <c r="CB2824" s="501"/>
      <c r="CC2824" s="501"/>
      <c r="CD2824" s="501"/>
      <c r="CE2824" s="501"/>
      <c r="CF2824" s="501"/>
      <c r="CG2824" s="501"/>
      <c r="CH2824" s="501"/>
      <c r="CI2824" s="501"/>
      <c r="CJ2824" s="501"/>
      <c r="CK2824" s="501"/>
      <c r="CL2824" s="501"/>
      <c r="CM2824" s="501"/>
      <c r="CN2824" s="501"/>
      <c r="CO2824" s="501"/>
      <c r="CP2824" s="501"/>
      <c r="CQ2824" s="501"/>
      <c r="CR2824" s="501"/>
      <c r="CS2824" s="501"/>
      <c r="CT2824" s="501"/>
      <c r="CU2824" s="501"/>
      <c r="CV2824" s="501"/>
      <c r="CW2824" s="501"/>
      <c r="CX2824" s="501"/>
      <c r="CY2824" s="501"/>
      <c r="CZ2824" s="501"/>
      <c r="DA2824" s="501"/>
      <c r="DB2824" s="501"/>
      <c r="DC2824" s="501"/>
      <c r="DD2824" s="501"/>
      <c r="DE2824" s="501"/>
      <c r="DF2824" s="501"/>
      <c r="DG2824" s="501"/>
      <c r="DH2824" s="501"/>
      <c r="DI2824" s="501"/>
      <c r="DJ2824" s="501"/>
      <c r="DK2824" s="501"/>
      <c r="DL2824" s="501"/>
      <c r="DM2824" s="501"/>
      <c r="DN2824" s="501"/>
      <c r="DO2824" s="501"/>
      <c r="DP2824" s="501"/>
      <c r="DQ2824" s="501"/>
      <c r="DR2824" s="501"/>
      <c r="DS2824" s="501"/>
      <c r="DT2824" s="501"/>
      <c r="DU2824" s="501"/>
      <c r="DV2824" s="501"/>
      <c r="DW2824" s="501"/>
      <c r="DX2824" s="501"/>
      <c r="DY2824" s="501"/>
      <c r="DZ2824" s="501"/>
      <c r="EA2824" s="501"/>
      <c r="EB2824" s="501"/>
      <c r="EC2824" s="501"/>
      <c r="ED2824" s="501"/>
      <c r="EE2824" s="501"/>
      <c r="EF2824" s="501"/>
      <c r="EG2824" s="501"/>
      <c r="EH2824" s="501"/>
      <c r="EI2824" s="501"/>
      <c r="EJ2824" s="501"/>
      <c r="EK2824" s="501"/>
      <c r="EL2824" s="501"/>
      <c r="EM2824" s="501"/>
      <c r="EN2824" s="501"/>
      <c r="EO2824" s="501"/>
      <c r="EP2824" s="501"/>
      <c r="EQ2824" s="501"/>
      <c r="ER2824" s="501"/>
      <c r="ES2824" s="501"/>
      <c r="ET2824" s="501"/>
      <c r="EU2824" s="501"/>
      <c r="EV2824" s="501"/>
      <c r="EW2824" s="501"/>
      <c r="EX2824" s="501"/>
      <c r="EY2824" s="501"/>
      <c r="EZ2824" s="501"/>
      <c r="FA2824" s="501"/>
      <c r="FB2824" s="501"/>
      <c r="FC2824" s="501"/>
      <c r="FD2824" s="501"/>
      <c r="FE2824" s="501"/>
      <c r="FF2824" s="501"/>
      <c r="FG2824" s="501"/>
      <c r="FH2824" s="501"/>
      <c r="FI2824" s="501"/>
      <c r="FJ2824" s="501"/>
      <c r="FK2824" s="501"/>
      <c r="FL2824" s="501"/>
      <c r="FM2824" s="501"/>
      <c r="FN2824" s="501"/>
      <c r="FO2824" s="501"/>
      <c r="FP2824" s="501"/>
      <c r="FQ2824" s="501"/>
      <c r="FR2824" s="501"/>
      <c r="FS2824" s="501"/>
      <c r="FT2824" s="501"/>
      <c r="FU2824" s="501"/>
      <c r="FV2824" s="501"/>
      <c r="FW2824" s="501"/>
      <c r="FX2824" s="501"/>
      <c r="FY2824" s="501"/>
      <c r="FZ2824" s="501"/>
      <c r="GA2824" s="501"/>
      <c r="GB2824" s="501"/>
      <c r="GC2824" s="501"/>
      <c r="GD2824" s="501"/>
      <c r="GE2824" s="501"/>
      <c r="GF2824" s="501"/>
      <c r="GG2824" s="501"/>
      <c r="GH2824" s="501"/>
      <c r="GI2824" s="501"/>
      <c r="GJ2824" s="501"/>
      <c r="GK2824" s="501"/>
      <c r="GL2824" s="501"/>
      <c r="GM2824" s="501"/>
      <c r="GN2824" s="501"/>
      <c r="GO2824" s="501"/>
      <c r="GP2824" s="501"/>
      <c r="GQ2824" s="501"/>
      <c r="GR2824" s="501"/>
      <c r="GS2824" s="501"/>
      <c r="GT2824" s="501"/>
      <c r="GU2824" s="501"/>
      <c r="GV2824" s="501"/>
      <c r="GW2824" s="501"/>
      <c r="GX2824" s="501"/>
      <c r="GY2824" s="501"/>
      <c r="GZ2824" s="501"/>
      <c r="HA2824" s="501"/>
      <c r="HB2824" s="501"/>
      <c r="HC2824" s="501"/>
      <c r="HD2824" s="501"/>
      <c r="HE2824" s="501"/>
      <c r="HF2824" s="501"/>
      <c r="HG2824" s="501"/>
      <c r="HH2824" s="501"/>
      <c r="HI2824" s="501"/>
      <c r="HJ2824" s="501"/>
      <c r="HK2824" s="501"/>
      <c r="HL2824" s="501"/>
      <c r="HM2824" s="501"/>
      <c r="HN2824" s="501"/>
      <c r="HO2824" s="501"/>
      <c r="HP2824" s="501"/>
      <c r="HQ2824" s="501"/>
      <c r="HR2824" s="501"/>
      <c r="HS2824" s="501"/>
      <c r="HT2824" s="501"/>
      <c r="HU2824" s="501"/>
      <c r="HV2824" s="501"/>
      <c r="HW2824" s="501"/>
      <c r="HX2824" s="501"/>
      <c r="HY2824" s="501"/>
      <c r="HZ2824" s="501"/>
      <c r="IA2824" s="501"/>
      <c r="IB2824" s="501"/>
      <c r="IC2824" s="501"/>
      <c r="ID2824" s="501"/>
      <c r="IE2824" s="501"/>
      <c r="IF2824" s="501"/>
      <c r="IG2824" s="501"/>
      <c r="IH2824" s="501"/>
      <c r="II2824" s="501"/>
      <c r="IJ2824" s="501"/>
      <c r="IK2824" s="501"/>
      <c r="IL2824" s="501"/>
      <c r="IM2824" s="501"/>
      <c r="IN2824" s="501"/>
      <c r="IO2824" s="501"/>
      <c r="IP2824" s="501"/>
      <c r="IQ2824" s="501"/>
      <c r="IR2824" s="501"/>
      <c r="IS2824" s="501"/>
      <c r="IT2824" s="501"/>
      <c r="IU2824" s="501"/>
    </row>
    <row r="2825" spans="1:255" s="877" customFormat="1" ht="24" customHeight="1">
      <c r="A2825" s="501"/>
      <c r="B2825" s="501"/>
      <c r="C2825" s="501"/>
      <c r="D2825" s="501"/>
      <c r="E2825" s="501"/>
      <c r="F2825" s="1097"/>
      <c r="G2825" s="1098"/>
      <c r="H2825" s="1097"/>
      <c r="I2825" s="1099"/>
      <c r="J2825" s="973"/>
      <c r="K2825" s="1097"/>
      <c r="L2825" s="1101"/>
      <c r="M2825" s="1102"/>
      <c r="N2825" s="501"/>
      <c r="O2825" s="1097"/>
      <c r="P2825" s="1152"/>
      <c r="Q2825" s="1097"/>
      <c r="R2825" s="1097"/>
      <c r="S2825" s="1101"/>
      <c r="T2825" s="968"/>
      <c r="V2825" s="1151"/>
      <c r="W2825" s="973"/>
      <c r="X2825" s="1097"/>
      <c r="Y2825" s="1101"/>
      <c r="Z2825" s="968"/>
      <c r="AA2825" s="501"/>
      <c r="AB2825" s="501"/>
      <c r="AC2825" s="501"/>
      <c r="AD2825" s="501"/>
      <c r="AE2825" s="501"/>
      <c r="AF2825" s="501"/>
      <c r="AG2825" s="501"/>
      <c r="AH2825" s="501"/>
      <c r="AI2825" s="501"/>
      <c r="AJ2825" s="501"/>
      <c r="AK2825" s="501"/>
      <c r="AL2825" s="501"/>
      <c r="AM2825" s="501"/>
      <c r="AN2825" s="501"/>
      <c r="AO2825" s="501"/>
      <c r="AP2825" s="501"/>
      <c r="AQ2825" s="501"/>
      <c r="AR2825" s="501"/>
      <c r="AS2825" s="501"/>
      <c r="AT2825" s="501"/>
      <c r="AU2825" s="501"/>
      <c r="AV2825" s="501"/>
      <c r="AW2825" s="501"/>
      <c r="AX2825" s="501"/>
      <c r="AY2825" s="501"/>
      <c r="AZ2825" s="501"/>
      <c r="BA2825" s="501"/>
      <c r="BB2825" s="501"/>
      <c r="BC2825" s="501"/>
      <c r="BD2825" s="501"/>
      <c r="BE2825" s="501"/>
      <c r="BF2825" s="501"/>
      <c r="BG2825" s="501"/>
      <c r="BH2825" s="501"/>
      <c r="BI2825" s="501"/>
      <c r="BJ2825" s="501"/>
      <c r="BK2825" s="501"/>
      <c r="BL2825" s="501"/>
      <c r="BM2825" s="501"/>
      <c r="BN2825" s="501"/>
      <c r="BO2825" s="501"/>
      <c r="BP2825" s="501"/>
      <c r="BQ2825" s="501"/>
      <c r="BR2825" s="501"/>
      <c r="BS2825" s="501"/>
      <c r="BT2825" s="501"/>
      <c r="BU2825" s="501"/>
      <c r="BV2825" s="501"/>
      <c r="BW2825" s="501"/>
      <c r="BX2825" s="501"/>
      <c r="BY2825" s="501"/>
      <c r="BZ2825" s="501"/>
      <c r="CA2825" s="501"/>
      <c r="CB2825" s="501"/>
      <c r="CC2825" s="501"/>
      <c r="CD2825" s="501"/>
      <c r="CE2825" s="501"/>
      <c r="CF2825" s="501"/>
      <c r="CG2825" s="501"/>
      <c r="CH2825" s="501"/>
      <c r="CI2825" s="501"/>
      <c r="CJ2825" s="501"/>
      <c r="CK2825" s="501"/>
      <c r="CL2825" s="501"/>
      <c r="CM2825" s="501"/>
      <c r="CN2825" s="501"/>
      <c r="CO2825" s="501"/>
      <c r="CP2825" s="501"/>
      <c r="CQ2825" s="501"/>
      <c r="CR2825" s="501"/>
      <c r="CS2825" s="501"/>
      <c r="CT2825" s="501"/>
      <c r="CU2825" s="501"/>
      <c r="CV2825" s="501"/>
      <c r="CW2825" s="501"/>
      <c r="CX2825" s="501"/>
      <c r="CY2825" s="501"/>
      <c r="CZ2825" s="501"/>
      <c r="DA2825" s="501"/>
      <c r="DB2825" s="501"/>
      <c r="DC2825" s="501"/>
      <c r="DD2825" s="501"/>
      <c r="DE2825" s="501"/>
      <c r="DF2825" s="501"/>
      <c r="DG2825" s="501"/>
      <c r="DH2825" s="501"/>
      <c r="DI2825" s="501"/>
      <c r="DJ2825" s="501"/>
      <c r="DK2825" s="501"/>
      <c r="DL2825" s="501"/>
      <c r="DM2825" s="501"/>
      <c r="DN2825" s="501"/>
      <c r="DO2825" s="501"/>
      <c r="DP2825" s="501"/>
      <c r="DQ2825" s="501"/>
      <c r="DR2825" s="501"/>
      <c r="DS2825" s="501"/>
      <c r="DT2825" s="501"/>
      <c r="DU2825" s="501"/>
      <c r="DV2825" s="501"/>
      <c r="DW2825" s="501"/>
      <c r="DX2825" s="501"/>
      <c r="DY2825" s="501"/>
      <c r="DZ2825" s="501"/>
      <c r="EA2825" s="501"/>
      <c r="EB2825" s="501"/>
      <c r="EC2825" s="501"/>
      <c r="ED2825" s="501"/>
      <c r="EE2825" s="501"/>
      <c r="EF2825" s="501"/>
      <c r="EG2825" s="501"/>
      <c r="EH2825" s="501"/>
      <c r="EI2825" s="501"/>
      <c r="EJ2825" s="501"/>
      <c r="EK2825" s="501"/>
      <c r="EL2825" s="501"/>
      <c r="EM2825" s="501"/>
      <c r="EN2825" s="501"/>
      <c r="EO2825" s="501"/>
      <c r="EP2825" s="501"/>
      <c r="EQ2825" s="501"/>
      <c r="ER2825" s="501"/>
      <c r="ES2825" s="501"/>
      <c r="ET2825" s="501"/>
      <c r="EU2825" s="501"/>
      <c r="EV2825" s="501"/>
      <c r="EW2825" s="501"/>
      <c r="EX2825" s="501"/>
      <c r="EY2825" s="501"/>
      <c r="EZ2825" s="501"/>
      <c r="FA2825" s="501"/>
      <c r="FB2825" s="501"/>
      <c r="FC2825" s="501"/>
      <c r="FD2825" s="501"/>
      <c r="FE2825" s="501"/>
      <c r="FF2825" s="501"/>
      <c r="FG2825" s="501"/>
      <c r="FH2825" s="501"/>
      <c r="FI2825" s="501"/>
      <c r="FJ2825" s="501"/>
      <c r="FK2825" s="501"/>
      <c r="FL2825" s="501"/>
      <c r="FM2825" s="501"/>
      <c r="FN2825" s="501"/>
      <c r="FO2825" s="501"/>
      <c r="FP2825" s="501"/>
      <c r="FQ2825" s="501"/>
      <c r="FR2825" s="501"/>
      <c r="FS2825" s="501"/>
      <c r="FT2825" s="501"/>
      <c r="FU2825" s="501"/>
      <c r="FV2825" s="501"/>
      <c r="FW2825" s="501"/>
      <c r="FX2825" s="501"/>
      <c r="FY2825" s="501"/>
      <c r="FZ2825" s="501"/>
      <c r="GA2825" s="501"/>
      <c r="GB2825" s="501"/>
      <c r="GC2825" s="501"/>
      <c r="GD2825" s="501"/>
      <c r="GE2825" s="501"/>
      <c r="GF2825" s="501"/>
      <c r="GG2825" s="501"/>
      <c r="GH2825" s="501"/>
      <c r="GI2825" s="501"/>
      <c r="GJ2825" s="501"/>
      <c r="GK2825" s="501"/>
      <c r="GL2825" s="501"/>
      <c r="GM2825" s="501"/>
      <c r="GN2825" s="501"/>
      <c r="GO2825" s="501"/>
      <c r="GP2825" s="501"/>
      <c r="GQ2825" s="501"/>
      <c r="GR2825" s="501"/>
      <c r="GS2825" s="501"/>
      <c r="GT2825" s="501"/>
      <c r="GU2825" s="501"/>
      <c r="GV2825" s="501"/>
      <c r="GW2825" s="501"/>
      <c r="GX2825" s="501"/>
      <c r="GY2825" s="501"/>
      <c r="GZ2825" s="501"/>
      <c r="HA2825" s="501"/>
      <c r="HB2825" s="501"/>
      <c r="HC2825" s="501"/>
      <c r="HD2825" s="501"/>
      <c r="HE2825" s="501"/>
      <c r="HF2825" s="501"/>
      <c r="HG2825" s="501"/>
      <c r="HH2825" s="501"/>
      <c r="HI2825" s="501"/>
      <c r="HJ2825" s="501"/>
      <c r="HK2825" s="501"/>
      <c r="HL2825" s="501"/>
      <c r="HM2825" s="501"/>
      <c r="HN2825" s="501"/>
      <c r="HO2825" s="501"/>
      <c r="HP2825" s="501"/>
      <c r="HQ2825" s="501"/>
      <c r="HR2825" s="501"/>
      <c r="HS2825" s="501"/>
      <c r="HT2825" s="501"/>
      <c r="HU2825" s="501"/>
      <c r="HV2825" s="501"/>
      <c r="HW2825" s="501"/>
      <c r="HX2825" s="501"/>
      <c r="HY2825" s="501"/>
      <c r="HZ2825" s="501"/>
      <c r="IA2825" s="501"/>
      <c r="IB2825" s="501"/>
      <c r="IC2825" s="501"/>
      <c r="ID2825" s="501"/>
      <c r="IE2825" s="501"/>
      <c r="IF2825" s="501"/>
      <c r="IG2825" s="501"/>
      <c r="IH2825" s="501"/>
      <c r="II2825" s="501"/>
      <c r="IJ2825" s="501"/>
      <c r="IK2825" s="501"/>
      <c r="IL2825" s="501"/>
      <c r="IM2825" s="501"/>
      <c r="IN2825" s="501"/>
      <c r="IO2825" s="501"/>
      <c r="IP2825" s="501"/>
      <c r="IQ2825" s="501"/>
      <c r="IR2825" s="501"/>
      <c r="IS2825" s="501"/>
      <c r="IT2825" s="501"/>
      <c r="IU2825" s="501"/>
    </row>
    <row r="2826" spans="1:255" s="877" customFormat="1" ht="24" customHeight="1">
      <c r="A2826" s="501"/>
      <c r="B2826" s="501"/>
      <c r="C2826" s="501"/>
      <c r="D2826" s="501"/>
      <c r="E2826" s="501"/>
      <c r="F2826" s="1097"/>
      <c r="G2826" s="1098"/>
      <c r="H2826" s="1097"/>
      <c r="I2826" s="1099"/>
      <c r="J2826" s="1106"/>
      <c r="K2826" s="1097"/>
      <c r="L2826" s="1101"/>
      <c r="M2826" s="1102"/>
      <c r="N2826" s="501"/>
      <c r="O2826" s="1097"/>
      <c r="P2826" s="1151"/>
      <c r="Q2826" s="973"/>
      <c r="R2826" s="1097"/>
      <c r="S2826" s="1101"/>
      <c r="T2826" s="968"/>
      <c r="V2826" s="1151"/>
      <c r="W2826" s="1097"/>
      <c r="X2826" s="1097"/>
      <c r="Y2826" s="1101"/>
      <c r="Z2826" s="1097"/>
      <c r="AA2826" s="501"/>
      <c r="AB2826" s="501"/>
      <c r="AC2826" s="501"/>
      <c r="AD2826" s="501"/>
      <c r="AE2826" s="501"/>
      <c r="AF2826" s="501"/>
      <c r="AG2826" s="501"/>
      <c r="AH2826" s="501"/>
      <c r="AI2826" s="501"/>
      <c r="AJ2826" s="501"/>
      <c r="AK2826" s="501"/>
      <c r="AL2826" s="501"/>
      <c r="AM2826" s="501"/>
      <c r="AN2826" s="501"/>
      <c r="AO2826" s="501"/>
      <c r="AP2826" s="501"/>
      <c r="AQ2826" s="501"/>
      <c r="AR2826" s="501"/>
      <c r="AS2826" s="501"/>
      <c r="AT2826" s="501"/>
      <c r="AU2826" s="501"/>
      <c r="AV2826" s="501"/>
      <c r="AW2826" s="501"/>
      <c r="AX2826" s="501"/>
      <c r="AY2826" s="501"/>
      <c r="AZ2826" s="501"/>
      <c r="BA2826" s="501"/>
      <c r="BB2826" s="501"/>
      <c r="BC2826" s="501"/>
      <c r="BD2826" s="501"/>
      <c r="BE2826" s="501"/>
      <c r="BF2826" s="501"/>
      <c r="BG2826" s="501"/>
      <c r="BH2826" s="501"/>
      <c r="BI2826" s="501"/>
      <c r="BJ2826" s="501"/>
      <c r="BK2826" s="501"/>
      <c r="BL2826" s="501"/>
      <c r="BM2826" s="501"/>
      <c r="BN2826" s="501"/>
      <c r="BO2826" s="501"/>
      <c r="BP2826" s="501"/>
      <c r="BQ2826" s="501"/>
      <c r="BR2826" s="501"/>
      <c r="BS2826" s="501"/>
      <c r="BT2826" s="501"/>
      <c r="BU2826" s="501"/>
      <c r="BV2826" s="501"/>
      <c r="BW2826" s="501"/>
      <c r="BX2826" s="501"/>
      <c r="BY2826" s="501"/>
      <c r="BZ2826" s="501"/>
      <c r="CA2826" s="501"/>
      <c r="CB2826" s="501"/>
      <c r="CC2826" s="501"/>
      <c r="CD2826" s="501"/>
      <c r="CE2826" s="501"/>
      <c r="CF2826" s="501"/>
      <c r="CG2826" s="501"/>
      <c r="CH2826" s="501"/>
      <c r="CI2826" s="501"/>
      <c r="CJ2826" s="501"/>
      <c r="CK2826" s="501"/>
      <c r="CL2826" s="501"/>
      <c r="CM2826" s="501"/>
      <c r="CN2826" s="501"/>
      <c r="CO2826" s="501"/>
      <c r="CP2826" s="501"/>
      <c r="CQ2826" s="501"/>
      <c r="CR2826" s="501"/>
      <c r="CS2826" s="501"/>
      <c r="CT2826" s="501"/>
      <c r="CU2826" s="501"/>
      <c r="CV2826" s="501"/>
      <c r="CW2826" s="501"/>
      <c r="CX2826" s="501"/>
      <c r="CY2826" s="501"/>
      <c r="CZ2826" s="501"/>
      <c r="DA2826" s="501"/>
      <c r="DB2826" s="501"/>
      <c r="DC2826" s="501"/>
      <c r="DD2826" s="501"/>
      <c r="DE2826" s="501"/>
      <c r="DF2826" s="501"/>
      <c r="DG2826" s="501"/>
      <c r="DH2826" s="501"/>
      <c r="DI2826" s="501"/>
      <c r="DJ2826" s="501"/>
      <c r="DK2826" s="501"/>
      <c r="DL2826" s="501"/>
      <c r="DM2826" s="501"/>
      <c r="DN2826" s="501"/>
      <c r="DO2826" s="501"/>
      <c r="DP2826" s="501"/>
      <c r="DQ2826" s="501"/>
      <c r="DR2826" s="501"/>
      <c r="DS2826" s="501"/>
      <c r="DT2826" s="501"/>
      <c r="DU2826" s="501"/>
      <c r="DV2826" s="501"/>
      <c r="DW2826" s="501"/>
      <c r="DX2826" s="501"/>
      <c r="DY2826" s="501"/>
      <c r="DZ2826" s="501"/>
      <c r="EA2826" s="501"/>
      <c r="EB2826" s="501"/>
      <c r="EC2826" s="501"/>
      <c r="ED2826" s="501"/>
      <c r="EE2826" s="501"/>
      <c r="EF2826" s="501"/>
      <c r="EG2826" s="501"/>
      <c r="EH2826" s="501"/>
      <c r="EI2826" s="501"/>
      <c r="EJ2826" s="501"/>
      <c r="EK2826" s="501"/>
      <c r="EL2826" s="501"/>
      <c r="EM2826" s="501"/>
      <c r="EN2826" s="501"/>
      <c r="EO2826" s="501"/>
      <c r="EP2826" s="501"/>
      <c r="EQ2826" s="501"/>
      <c r="ER2826" s="501"/>
      <c r="ES2826" s="501"/>
      <c r="ET2826" s="501"/>
      <c r="EU2826" s="501"/>
      <c r="EV2826" s="501"/>
      <c r="EW2826" s="501"/>
      <c r="EX2826" s="501"/>
      <c r="EY2826" s="501"/>
      <c r="EZ2826" s="501"/>
      <c r="FA2826" s="501"/>
      <c r="FB2826" s="501"/>
      <c r="FC2826" s="501"/>
      <c r="FD2826" s="501"/>
      <c r="FE2826" s="501"/>
      <c r="FF2826" s="501"/>
      <c r="FG2826" s="501"/>
      <c r="FH2826" s="501"/>
      <c r="FI2826" s="501"/>
      <c r="FJ2826" s="501"/>
      <c r="FK2826" s="501"/>
      <c r="FL2826" s="501"/>
      <c r="FM2826" s="501"/>
      <c r="FN2826" s="501"/>
      <c r="FO2826" s="501"/>
      <c r="FP2826" s="501"/>
      <c r="FQ2826" s="501"/>
      <c r="FR2826" s="501"/>
      <c r="FS2826" s="501"/>
      <c r="FT2826" s="501"/>
      <c r="FU2826" s="501"/>
      <c r="FV2826" s="501"/>
      <c r="FW2826" s="501"/>
      <c r="FX2826" s="501"/>
      <c r="FY2826" s="501"/>
      <c r="FZ2826" s="501"/>
      <c r="GA2826" s="501"/>
      <c r="GB2826" s="501"/>
      <c r="GC2826" s="501"/>
      <c r="GD2826" s="501"/>
      <c r="GE2826" s="501"/>
      <c r="GF2826" s="501"/>
      <c r="GG2826" s="501"/>
      <c r="GH2826" s="501"/>
      <c r="GI2826" s="501"/>
      <c r="GJ2826" s="501"/>
      <c r="GK2826" s="501"/>
      <c r="GL2826" s="501"/>
      <c r="GM2826" s="501"/>
      <c r="GN2826" s="501"/>
      <c r="GO2826" s="501"/>
      <c r="GP2826" s="501"/>
      <c r="GQ2826" s="501"/>
      <c r="GR2826" s="501"/>
      <c r="GS2826" s="501"/>
      <c r="GT2826" s="501"/>
      <c r="GU2826" s="501"/>
      <c r="GV2826" s="501"/>
      <c r="GW2826" s="501"/>
      <c r="GX2826" s="501"/>
      <c r="GY2826" s="501"/>
      <c r="GZ2826" s="501"/>
      <c r="HA2826" s="501"/>
      <c r="HB2826" s="501"/>
      <c r="HC2826" s="501"/>
      <c r="HD2826" s="501"/>
      <c r="HE2826" s="501"/>
      <c r="HF2826" s="501"/>
      <c r="HG2826" s="501"/>
      <c r="HH2826" s="501"/>
      <c r="HI2826" s="501"/>
      <c r="HJ2826" s="501"/>
      <c r="HK2826" s="501"/>
      <c r="HL2826" s="501"/>
      <c r="HM2826" s="501"/>
      <c r="HN2826" s="501"/>
      <c r="HO2826" s="501"/>
      <c r="HP2826" s="501"/>
      <c r="HQ2826" s="501"/>
      <c r="HR2826" s="501"/>
      <c r="HS2826" s="501"/>
      <c r="HT2826" s="501"/>
      <c r="HU2826" s="501"/>
      <c r="HV2826" s="501"/>
      <c r="HW2826" s="501"/>
      <c r="HX2826" s="501"/>
      <c r="HY2826" s="501"/>
      <c r="HZ2826" s="501"/>
      <c r="IA2826" s="501"/>
      <c r="IB2826" s="501"/>
      <c r="IC2826" s="501"/>
      <c r="ID2826" s="501"/>
      <c r="IE2826" s="501"/>
      <c r="IF2826" s="501"/>
      <c r="IG2826" s="501"/>
      <c r="IH2826" s="501"/>
      <c r="II2826" s="501"/>
      <c r="IJ2826" s="501"/>
      <c r="IK2826" s="501"/>
      <c r="IL2826" s="501"/>
      <c r="IM2826" s="501"/>
      <c r="IN2826" s="501"/>
      <c r="IO2826" s="501"/>
      <c r="IP2826" s="501"/>
      <c r="IQ2826" s="501"/>
      <c r="IR2826" s="501"/>
      <c r="IS2826" s="501"/>
      <c r="IT2826" s="501"/>
      <c r="IU2826" s="501"/>
    </row>
    <row r="2827" spans="1:255" s="877" customFormat="1" ht="24" customHeight="1">
      <c r="A2827" s="501"/>
      <c r="B2827" s="501"/>
      <c r="C2827" s="501"/>
      <c r="D2827" s="501"/>
      <c r="E2827" s="501"/>
      <c r="F2827" s="1097"/>
      <c r="G2827" s="1098"/>
      <c r="H2827" s="1097"/>
      <c r="I2827" s="1099"/>
      <c r="J2827" s="973"/>
      <c r="K2827" s="1097"/>
      <c r="L2827" s="1101"/>
      <c r="M2827" s="1102"/>
      <c r="N2827" s="501"/>
      <c r="O2827" s="1097"/>
      <c r="P2827" s="1151"/>
      <c r="Q2827" s="1097"/>
      <c r="R2827" s="1097"/>
      <c r="S2827" s="1101"/>
      <c r="T2827" s="1106"/>
      <c r="V2827" s="501"/>
      <c r="W2827" s="501"/>
      <c r="X2827" s="501"/>
      <c r="Y2827" s="501"/>
      <c r="Z2827" s="501"/>
      <c r="AA2827" s="501"/>
      <c r="AB2827" s="501"/>
      <c r="AC2827" s="501"/>
      <c r="AD2827" s="501"/>
      <c r="AE2827" s="501"/>
      <c r="AF2827" s="501"/>
      <c r="AG2827" s="501"/>
      <c r="AH2827" s="501"/>
      <c r="AI2827" s="501"/>
      <c r="AJ2827" s="501"/>
      <c r="AK2827" s="501"/>
      <c r="AL2827" s="501"/>
      <c r="AM2827" s="501"/>
      <c r="AN2827" s="501"/>
      <c r="AO2827" s="501"/>
      <c r="AP2827" s="501"/>
      <c r="AQ2827" s="501"/>
      <c r="AR2827" s="501"/>
      <c r="AS2827" s="501"/>
      <c r="AT2827" s="501"/>
      <c r="AU2827" s="501"/>
      <c r="AV2827" s="501"/>
      <c r="AW2827" s="501"/>
      <c r="AX2827" s="501"/>
      <c r="AY2827" s="501"/>
      <c r="AZ2827" s="501"/>
      <c r="BA2827" s="501"/>
      <c r="BB2827" s="501"/>
      <c r="BC2827" s="501"/>
      <c r="BD2827" s="501"/>
      <c r="BE2827" s="501"/>
      <c r="BF2827" s="501"/>
      <c r="BG2827" s="501"/>
      <c r="BH2827" s="501"/>
      <c r="BI2827" s="501"/>
      <c r="BJ2827" s="501"/>
      <c r="BK2827" s="501"/>
      <c r="BL2827" s="501"/>
      <c r="BM2827" s="501"/>
      <c r="BN2827" s="501"/>
      <c r="BO2827" s="501"/>
      <c r="BP2827" s="501"/>
      <c r="BQ2827" s="501"/>
      <c r="BR2827" s="501"/>
      <c r="BS2827" s="501"/>
      <c r="BT2827" s="501"/>
      <c r="BU2827" s="501"/>
      <c r="BV2827" s="501"/>
      <c r="BW2827" s="501"/>
      <c r="BX2827" s="501"/>
      <c r="BY2827" s="501"/>
      <c r="BZ2827" s="501"/>
      <c r="CA2827" s="501"/>
      <c r="CB2827" s="501"/>
      <c r="CC2827" s="501"/>
      <c r="CD2827" s="501"/>
      <c r="CE2827" s="501"/>
      <c r="CF2827" s="501"/>
      <c r="CG2827" s="501"/>
      <c r="CH2827" s="501"/>
      <c r="CI2827" s="501"/>
      <c r="CJ2827" s="501"/>
      <c r="CK2827" s="501"/>
      <c r="CL2827" s="501"/>
      <c r="CM2827" s="501"/>
      <c r="CN2827" s="501"/>
      <c r="CO2827" s="501"/>
      <c r="CP2827" s="501"/>
      <c r="CQ2827" s="501"/>
      <c r="CR2827" s="501"/>
      <c r="CS2827" s="501"/>
      <c r="CT2827" s="501"/>
      <c r="CU2827" s="501"/>
      <c r="CV2827" s="501"/>
      <c r="CW2827" s="501"/>
      <c r="CX2827" s="501"/>
      <c r="CY2827" s="501"/>
      <c r="CZ2827" s="501"/>
      <c r="DA2827" s="501"/>
      <c r="DB2827" s="501"/>
      <c r="DC2827" s="501"/>
      <c r="DD2827" s="501"/>
      <c r="DE2827" s="501"/>
      <c r="DF2827" s="501"/>
      <c r="DG2827" s="501"/>
      <c r="DH2827" s="501"/>
      <c r="DI2827" s="501"/>
      <c r="DJ2827" s="501"/>
      <c r="DK2827" s="501"/>
      <c r="DL2827" s="501"/>
      <c r="DM2827" s="501"/>
      <c r="DN2827" s="501"/>
      <c r="DO2827" s="501"/>
      <c r="DP2827" s="501"/>
      <c r="DQ2827" s="501"/>
      <c r="DR2827" s="501"/>
      <c r="DS2827" s="501"/>
      <c r="DT2827" s="501"/>
      <c r="DU2827" s="501"/>
      <c r="DV2827" s="501"/>
      <c r="DW2827" s="501"/>
      <c r="DX2827" s="501"/>
      <c r="DY2827" s="501"/>
      <c r="DZ2827" s="501"/>
      <c r="EA2827" s="501"/>
      <c r="EB2827" s="501"/>
      <c r="EC2827" s="501"/>
      <c r="ED2827" s="501"/>
      <c r="EE2827" s="501"/>
      <c r="EF2827" s="501"/>
      <c r="EG2827" s="501"/>
      <c r="EH2827" s="501"/>
      <c r="EI2827" s="501"/>
      <c r="EJ2827" s="501"/>
      <c r="EK2827" s="501"/>
      <c r="EL2827" s="501"/>
      <c r="EM2827" s="501"/>
      <c r="EN2827" s="501"/>
      <c r="EO2827" s="501"/>
      <c r="EP2827" s="501"/>
      <c r="EQ2827" s="501"/>
      <c r="ER2827" s="501"/>
      <c r="ES2827" s="501"/>
      <c r="ET2827" s="501"/>
      <c r="EU2827" s="501"/>
      <c r="EV2827" s="501"/>
      <c r="EW2827" s="501"/>
      <c r="EX2827" s="501"/>
      <c r="EY2827" s="501"/>
      <c r="EZ2827" s="501"/>
      <c r="FA2827" s="501"/>
      <c r="FB2827" s="501"/>
      <c r="FC2827" s="501"/>
      <c r="FD2827" s="501"/>
      <c r="FE2827" s="501"/>
      <c r="FF2827" s="501"/>
      <c r="FG2827" s="501"/>
      <c r="FH2827" s="501"/>
      <c r="FI2827" s="501"/>
      <c r="FJ2827" s="501"/>
      <c r="FK2827" s="501"/>
      <c r="FL2827" s="501"/>
      <c r="FM2827" s="501"/>
      <c r="FN2827" s="501"/>
      <c r="FO2827" s="501"/>
      <c r="FP2827" s="501"/>
      <c r="FQ2827" s="501"/>
      <c r="FR2827" s="501"/>
      <c r="FS2827" s="501"/>
      <c r="FT2827" s="501"/>
      <c r="FU2827" s="501"/>
      <c r="FV2827" s="501"/>
      <c r="FW2827" s="501"/>
      <c r="FX2827" s="501"/>
      <c r="FY2827" s="501"/>
      <c r="FZ2827" s="501"/>
      <c r="GA2827" s="501"/>
      <c r="GB2827" s="501"/>
      <c r="GC2827" s="501"/>
      <c r="GD2827" s="501"/>
      <c r="GE2827" s="501"/>
      <c r="GF2827" s="501"/>
      <c r="GG2827" s="501"/>
      <c r="GH2827" s="501"/>
      <c r="GI2827" s="501"/>
      <c r="GJ2827" s="501"/>
      <c r="GK2827" s="501"/>
      <c r="GL2827" s="501"/>
      <c r="GM2827" s="501"/>
      <c r="GN2827" s="501"/>
      <c r="GO2827" s="501"/>
      <c r="GP2827" s="501"/>
      <c r="GQ2827" s="501"/>
      <c r="GR2827" s="501"/>
      <c r="GS2827" s="501"/>
      <c r="GT2827" s="501"/>
      <c r="GU2827" s="501"/>
      <c r="GV2827" s="501"/>
      <c r="GW2827" s="501"/>
      <c r="GX2827" s="501"/>
      <c r="GY2827" s="501"/>
      <c r="GZ2827" s="501"/>
      <c r="HA2827" s="501"/>
      <c r="HB2827" s="501"/>
      <c r="HC2827" s="501"/>
      <c r="HD2827" s="501"/>
      <c r="HE2827" s="501"/>
      <c r="HF2827" s="501"/>
      <c r="HG2827" s="501"/>
      <c r="HH2827" s="501"/>
      <c r="HI2827" s="501"/>
      <c r="HJ2827" s="501"/>
      <c r="HK2827" s="501"/>
      <c r="HL2827" s="501"/>
      <c r="HM2827" s="501"/>
      <c r="HN2827" s="501"/>
      <c r="HO2827" s="501"/>
      <c r="HP2827" s="501"/>
      <c r="HQ2827" s="501"/>
      <c r="HR2827" s="501"/>
      <c r="HS2827" s="501"/>
      <c r="HT2827" s="501"/>
      <c r="HU2827" s="501"/>
      <c r="HV2827" s="501"/>
      <c r="HW2827" s="501"/>
      <c r="HX2827" s="501"/>
      <c r="HY2827" s="501"/>
      <c r="HZ2827" s="501"/>
      <c r="IA2827" s="501"/>
      <c r="IB2827" s="501"/>
      <c r="IC2827" s="501"/>
      <c r="ID2827" s="501"/>
      <c r="IE2827" s="501"/>
      <c r="IF2827" s="501"/>
      <c r="IG2827" s="501"/>
      <c r="IH2827" s="501"/>
      <c r="II2827" s="501"/>
      <c r="IJ2827" s="501"/>
      <c r="IK2827" s="501"/>
      <c r="IL2827" s="501"/>
      <c r="IM2827" s="501"/>
      <c r="IN2827" s="501"/>
      <c r="IO2827" s="501"/>
      <c r="IP2827" s="501"/>
      <c r="IQ2827" s="501"/>
      <c r="IR2827" s="501"/>
      <c r="IS2827" s="501"/>
      <c r="IT2827" s="501"/>
      <c r="IU2827" s="501"/>
    </row>
    <row r="2828" spans="1:255" s="877" customFormat="1" ht="24" customHeight="1">
      <c r="A2828" s="501"/>
      <c r="B2828" s="501"/>
      <c r="C2828" s="501"/>
      <c r="D2828" s="501"/>
      <c r="E2828" s="501"/>
      <c r="F2828" s="1119"/>
      <c r="G2828" s="1149"/>
      <c r="H2828" s="1119"/>
      <c r="I2828" s="973"/>
      <c r="J2828" s="1116"/>
      <c r="K2828" s="1162"/>
      <c r="L2828" s="974"/>
      <c r="M2828" s="1102"/>
      <c r="N2828" s="501"/>
      <c r="O2828" s="1097"/>
      <c r="P2828" s="1151"/>
      <c r="Q2828" s="973"/>
      <c r="R2828" s="1097"/>
      <c r="S2828" s="1101"/>
      <c r="T2828" s="968"/>
      <c r="V2828" s="501"/>
      <c r="W2828" s="501"/>
      <c r="X2828" s="501"/>
      <c r="Y2828" s="501"/>
      <c r="Z2828" s="501"/>
      <c r="AA2828" s="501"/>
      <c r="AB2828" s="501"/>
      <c r="AC2828" s="501"/>
      <c r="AD2828" s="501"/>
      <c r="AE2828" s="501"/>
      <c r="AF2828" s="501"/>
      <c r="AG2828" s="501"/>
      <c r="AH2828" s="501"/>
      <c r="AI2828" s="501"/>
      <c r="AJ2828" s="501"/>
      <c r="AK2828" s="501"/>
      <c r="AL2828" s="501"/>
      <c r="AM2828" s="501"/>
      <c r="AN2828" s="501"/>
      <c r="AO2828" s="501"/>
      <c r="AP2828" s="501"/>
      <c r="AQ2828" s="501"/>
      <c r="AR2828" s="501"/>
      <c r="AS2828" s="501"/>
      <c r="AT2828" s="501"/>
      <c r="AU2828" s="501"/>
      <c r="AV2828" s="501"/>
      <c r="AW2828" s="501"/>
      <c r="AX2828" s="501"/>
      <c r="AY2828" s="501"/>
      <c r="AZ2828" s="501"/>
      <c r="BA2828" s="501"/>
      <c r="BB2828" s="501"/>
      <c r="BC2828" s="501"/>
      <c r="BD2828" s="501"/>
      <c r="BE2828" s="501"/>
      <c r="BF2828" s="501"/>
      <c r="BG2828" s="501"/>
      <c r="BH2828" s="501"/>
      <c r="BI2828" s="501"/>
      <c r="BJ2828" s="501"/>
      <c r="BK2828" s="501"/>
      <c r="BL2828" s="501"/>
      <c r="BM2828" s="501"/>
      <c r="BN2828" s="501"/>
      <c r="BO2828" s="501"/>
      <c r="BP2828" s="501"/>
      <c r="BQ2828" s="501"/>
      <c r="BR2828" s="501"/>
      <c r="BS2828" s="501"/>
      <c r="BT2828" s="501"/>
      <c r="BU2828" s="501"/>
      <c r="BV2828" s="501"/>
      <c r="BW2828" s="501"/>
      <c r="BX2828" s="501"/>
      <c r="BY2828" s="501"/>
      <c r="BZ2828" s="501"/>
      <c r="CA2828" s="501"/>
      <c r="CB2828" s="501"/>
      <c r="CC2828" s="501"/>
      <c r="CD2828" s="501"/>
      <c r="CE2828" s="501"/>
      <c r="CF2828" s="501"/>
      <c r="CG2828" s="501"/>
      <c r="CH2828" s="501"/>
      <c r="CI2828" s="501"/>
      <c r="CJ2828" s="501"/>
      <c r="CK2828" s="501"/>
      <c r="CL2828" s="501"/>
      <c r="CM2828" s="501"/>
      <c r="CN2828" s="501"/>
      <c r="CO2828" s="501"/>
      <c r="CP2828" s="501"/>
      <c r="CQ2828" s="501"/>
      <c r="CR2828" s="501"/>
      <c r="CS2828" s="501"/>
      <c r="CT2828" s="501"/>
      <c r="CU2828" s="501"/>
      <c r="CV2828" s="501"/>
      <c r="CW2828" s="501"/>
      <c r="CX2828" s="501"/>
      <c r="CY2828" s="501"/>
      <c r="CZ2828" s="501"/>
      <c r="DA2828" s="501"/>
      <c r="DB2828" s="501"/>
      <c r="DC2828" s="501"/>
      <c r="DD2828" s="501"/>
      <c r="DE2828" s="501"/>
      <c r="DF2828" s="501"/>
      <c r="DG2828" s="501"/>
      <c r="DH2828" s="501"/>
      <c r="DI2828" s="501"/>
      <c r="DJ2828" s="501"/>
      <c r="DK2828" s="501"/>
      <c r="DL2828" s="501"/>
      <c r="DM2828" s="501"/>
      <c r="DN2828" s="501"/>
      <c r="DO2828" s="501"/>
      <c r="DP2828" s="501"/>
      <c r="DQ2828" s="501"/>
      <c r="DR2828" s="501"/>
      <c r="DS2828" s="501"/>
      <c r="DT2828" s="501"/>
      <c r="DU2828" s="501"/>
      <c r="DV2828" s="501"/>
      <c r="DW2828" s="501"/>
      <c r="DX2828" s="501"/>
      <c r="DY2828" s="501"/>
      <c r="DZ2828" s="501"/>
      <c r="EA2828" s="501"/>
      <c r="EB2828" s="501"/>
      <c r="EC2828" s="501"/>
      <c r="ED2828" s="501"/>
      <c r="EE2828" s="501"/>
      <c r="EF2828" s="501"/>
      <c r="EG2828" s="501"/>
      <c r="EH2828" s="501"/>
      <c r="EI2828" s="501"/>
      <c r="EJ2828" s="501"/>
      <c r="EK2828" s="501"/>
      <c r="EL2828" s="501"/>
      <c r="EM2828" s="501"/>
      <c r="EN2828" s="501"/>
      <c r="EO2828" s="501"/>
      <c r="EP2828" s="501"/>
      <c r="EQ2828" s="501"/>
      <c r="ER2828" s="501"/>
      <c r="ES2828" s="501"/>
      <c r="ET2828" s="501"/>
      <c r="EU2828" s="501"/>
      <c r="EV2828" s="501"/>
      <c r="EW2828" s="501"/>
      <c r="EX2828" s="501"/>
      <c r="EY2828" s="501"/>
      <c r="EZ2828" s="501"/>
      <c r="FA2828" s="501"/>
      <c r="FB2828" s="501"/>
      <c r="FC2828" s="501"/>
      <c r="FD2828" s="501"/>
      <c r="FE2828" s="501"/>
      <c r="FF2828" s="501"/>
      <c r="FG2828" s="501"/>
      <c r="FH2828" s="501"/>
      <c r="FI2828" s="501"/>
      <c r="FJ2828" s="501"/>
      <c r="FK2828" s="501"/>
      <c r="FL2828" s="501"/>
      <c r="FM2828" s="501"/>
      <c r="FN2828" s="501"/>
      <c r="FO2828" s="501"/>
      <c r="FP2828" s="501"/>
      <c r="FQ2828" s="501"/>
      <c r="FR2828" s="501"/>
      <c r="FS2828" s="501"/>
      <c r="FT2828" s="501"/>
      <c r="FU2828" s="501"/>
      <c r="FV2828" s="501"/>
      <c r="FW2828" s="501"/>
      <c r="FX2828" s="501"/>
      <c r="FY2828" s="501"/>
      <c r="FZ2828" s="501"/>
      <c r="GA2828" s="501"/>
      <c r="GB2828" s="501"/>
      <c r="GC2828" s="501"/>
      <c r="GD2828" s="501"/>
      <c r="GE2828" s="501"/>
      <c r="GF2828" s="501"/>
      <c r="GG2828" s="501"/>
      <c r="GH2828" s="501"/>
      <c r="GI2828" s="501"/>
      <c r="GJ2828" s="501"/>
      <c r="GK2828" s="501"/>
      <c r="GL2828" s="501"/>
      <c r="GM2828" s="501"/>
      <c r="GN2828" s="501"/>
      <c r="GO2828" s="501"/>
      <c r="GP2828" s="501"/>
      <c r="GQ2828" s="501"/>
      <c r="GR2828" s="501"/>
      <c r="GS2828" s="501"/>
      <c r="GT2828" s="501"/>
      <c r="GU2828" s="501"/>
      <c r="GV2828" s="501"/>
      <c r="GW2828" s="501"/>
      <c r="GX2828" s="501"/>
      <c r="GY2828" s="501"/>
      <c r="GZ2828" s="501"/>
      <c r="HA2828" s="501"/>
      <c r="HB2828" s="501"/>
      <c r="HC2828" s="501"/>
      <c r="HD2828" s="501"/>
      <c r="HE2828" s="501"/>
      <c r="HF2828" s="501"/>
      <c r="HG2828" s="501"/>
      <c r="HH2828" s="501"/>
      <c r="HI2828" s="501"/>
      <c r="HJ2828" s="501"/>
      <c r="HK2828" s="501"/>
      <c r="HL2828" s="501"/>
      <c r="HM2828" s="501"/>
      <c r="HN2828" s="501"/>
      <c r="HO2828" s="501"/>
      <c r="HP2828" s="501"/>
      <c r="HQ2828" s="501"/>
      <c r="HR2828" s="501"/>
      <c r="HS2828" s="501"/>
      <c r="HT2828" s="501"/>
      <c r="HU2828" s="501"/>
      <c r="HV2828" s="501"/>
      <c r="HW2828" s="501"/>
      <c r="HX2828" s="501"/>
      <c r="HY2828" s="501"/>
      <c r="HZ2828" s="501"/>
      <c r="IA2828" s="501"/>
      <c r="IB2828" s="501"/>
      <c r="IC2828" s="501"/>
      <c r="ID2828" s="501"/>
      <c r="IE2828" s="501"/>
      <c r="IF2828" s="501"/>
      <c r="IG2828" s="501"/>
      <c r="IH2828" s="501"/>
      <c r="II2828" s="501"/>
      <c r="IJ2828" s="501"/>
      <c r="IK2828" s="501"/>
      <c r="IL2828" s="501"/>
      <c r="IM2828" s="501"/>
      <c r="IN2828" s="501"/>
      <c r="IO2828" s="501"/>
      <c r="IP2828" s="501"/>
      <c r="IQ2828" s="501"/>
      <c r="IR2828" s="501"/>
      <c r="IS2828" s="501"/>
      <c r="IT2828" s="501"/>
      <c r="IU2828" s="501"/>
    </row>
    <row r="2829" spans="1:255" s="877" customFormat="1" ht="24" customHeight="1">
      <c r="A2829" s="501"/>
      <c r="B2829" s="501"/>
      <c r="C2829" s="501"/>
      <c r="D2829" s="501"/>
      <c r="E2829" s="501"/>
      <c r="F2829" s="1144"/>
      <c r="G2829" s="1163"/>
      <c r="H2829" s="1144"/>
      <c r="I2829" s="973"/>
      <c r="J2829" s="1108"/>
      <c r="K2829" s="968"/>
      <c r="L2829" s="974"/>
      <c r="M2829" s="1109"/>
      <c r="N2829" s="501"/>
      <c r="O2829" s="501"/>
      <c r="P2829" s="501"/>
      <c r="Q2829" s="501"/>
      <c r="R2829" s="501"/>
      <c r="S2829" s="501"/>
      <c r="T2829" s="501"/>
      <c r="V2829" s="501"/>
      <c r="W2829" s="501"/>
      <c r="X2829" s="501"/>
      <c r="Y2829" s="501"/>
      <c r="Z2829" s="501"/>
      <c r="AA2829" s="501"/>
      <c r="AB2829" s="501"/>
      <c r="AC2829" s="501"/>
      <c r="AD2829" s="501"/>
      <c r="AE2829" s="501"/>
      <c r="AF2829" s="501"/>
      <c r="AG2829" s="501"/>
      <c r="AH2829" s="501"/>
      <c r="AI2829" s="501"/>
      <c r="AJ2829" s="501"/>
      <c r="AK2829" s="501"/>
      <c r="AL2829" s="501"/>
      <c r="AM2829" s="501"/>
      <c r="AN2829" s="501"/>
      <c r="AO2829" s="501"/>
      <c r="AP2829" s="501"/>
      <c r="AQ2829" s="501"/>
      <c r="AR2829" s="501"/>
      <c r="AS2829" s="501"/>
      <c r="AT2829" s="501"/>
      <c r="AU2829" s="501"/>
      <c r="AV2829" s="501"/>
      <c r="AW2829" s="501"/>
      <c r="AX2829" s="501"/>
      <c r="AY2829" s="501"/>
      <c r="AZ2829" s="501"/>
      <c r="BA2829" s="501"/>
      <c r="BB2829" s="501"/>
      <c r="BC2829" s="501"/>
      <c r="BD2829" s="501"/>
      <c r="BE2829" s="501"/>
      <c r="BF2829" s="501"/>
      <c r="BG2829" s="501"/>
      <c r="BH2829" s="501"/>
      <c r="BI2829" s="501"/>
      <c r="BJ2829" s="501"/>
      <c r="BK2829" s="501"/>
      <c r="BL2829" s="501"/>
      <c r="BM2829" s="501"/>
      <c r="BN2829" s="501"/>
      <c r="BO2829" s="501"/>
      <c r="BP2829" s="501"/>
      <c r="BQ2829" s="501"/>
      <c r="BR2829" s="501"/>
      <c r="BS2829" s="501"/>
      <c r="BT2829" s="501"/>
      <c r="BU2829" s="501"/>
      <c r="BV2829" s="501"/>
      <c r="BW2829" s="501"/>
      <c r="BX2829" s="501"/>
      <c r="BY2829" s="501"/>
      <c r="BZ2829" s="501"/>
      <c r="CA2829" s="501"/>
      <c r="CB2829" s="501"/>
      <c r="CC2829" s="501"/>
      <c r="CD2829" s="501"/>
      <c r="CE2829" s="501"/>
      <c r="CF2829" s="501"/>
      <c r="CG2829" s="501"/>
      <c r="CH2829" s="501"/>
      <c r="CI2829" s="501"/>
      <c r="CJ2829" s="501"/>
      <c r="CK2829" s="501"/>
      <c r="CL2829" s="501"/>
      <c r="CM2829" s="501"/>
      <c r="CN2829" s="501"/>
      <c r="CO2829" s="501"/>
      <c r="CP2829" s="501"/>
      <c r="CQ2829" s="501"/>
      <c r="CR2829" s="501"/>
      <c r="CS2829" s="501"/>
      <c r="CT2829" s="501"/>
      <c r="CU2829" s="501"/>
      <c r="CV2829" s="501"/>
      <c r="CW2829" s="501"/>
      <c r="CX2829" s="501"/>
      <c r="CY2829" s="501"/>
      <c r="CZ2829" s="501"/>
      <c r="DA2829" s="501"/>
      <c r="DB2829" s="501"/>
      <c r="DC2829" s="501"/>
      <c r="DD2829" s="501"/>
      <c r="DE2829" s="501"/>
      <c r="DF2829" s="501"/>
      <c r="DG2829" s="501"/>
      <c r="DH2829" s="501"/>
      <c r="DI2829" s="501"/>
      <c r="DJ2829" s="501"/>
      <c r="DK2829" s="501"/>
      <c r="DL2829" s="501"/>
      <c r="DM2829" s="501"/>
      <c r="DN2829" s="501"/>
      <c r="DO2829" s="501"/>
      <c r="DP2829" s="501"/>
      <c r="DQ2829" s="501"/>
      <c r="DR2829" s="501"/>
      <c r="DS2829" s="501"/>
      <c r="DT2829" s="501"/>
      <c r="DU2829" s="501"/>
      <c r="DV2829" s="501"/>
      <c r="DW2829" s="501"/>
      <c r="DX2829" s="501"/>
      <c r="DY2829" s="501"/>
      <c r="DZ2829" s="501"/>
      <c r="EA2829" s="501"/>
      <c r="EB2829" s="501"/>
      <c r="EC2829" s="501"/>
      <c r="ED2829" s="501"/>
      <c r="EE2829" s="501"/>
      <c r="EF2829" s="501"/>
      <c r="EG2829" s="501"/>
      <c r="EH2829" s="501"/>
      <c r="EI2829" s="501"/>
      <c r="EJ2829" s="501"/>
      <c r="EK2829" s="501"/>
      <c r="EL2829" s="501"/>
      <c r="EM2829" s="501"/>
      <c r="EN2829" s="501"/>
      <c r="EO2829" s="501"/>
      <c r="EP2829" s="501"/>
      <c r="EQ2829" s="501"/>
      <c r="ER2829" s="501"/>
      <c r="ES2829" s="501"/>
      <c r="ET2829" s="501"/>
      <c r="EU2829" s="501"/>
      <c r="EV2829" s="501"/>
      <c r="EW2829" s="501"/>
      <c r="EX2829" s="501"/>
      <c r="EY2829" s="501"/>
      <c r="EZ2829" s="501"/>
      <c r="FA2829" s="501"/>
      <c r="FB2829" s="501"/>
      <c r="FC2829" s="501"/>
      <c r="FD2829" s="501"/>
      <c r="FE2829" s="501"/>
      <c r="FF2829" s="501"/>
      <c r="FG2829" s="501"/>
      <c r="FH2829" s="501"/>
      <c r="FI2829" s="501"/>
      <c r="FJ2829" s="501"/>
      <c r="FK2829" s="501"/>
      <c r="FL2829" s="501"/>
      <c r="FM2829" s="501"/>
      <c r="FN2829" s="501"/>
      <c r="FO2829" s="501"/>
      <c r="FP2829" s="501"/>
      <c r="FQ2829" s="501"/>
      <c r="FR2829" s="501"/>
      <c r="FS2829" s="501"/>
      <c r="FT2829" s="501"/>
      <c r="FU2829" s="501"/>
      <c r="FV2829" s="501"/>
      <c r="FW2829" s="501"/>
      <c r="FX2829" s="501"/>
      <c r="FY2829" s="501"/>
      <c r="FZ2829" s="501"/>
      <c r="GA2829" s="501"/>
      <c r="GB2829" s="501"/>
      <c r="GC2829" s="501"/>
      <c r="GD2829" s="501"/>
      <c r="GE2829" s="501"/>
      <c r="GF2829" s="501"/>
      <c r="GG2829" s="501"/>
      <c r="GH2829" s="501"/>
      <c r="GI2829" s="501"/>
      <c r="GJ2829" s="501"/>
      <c r="GK2829" s="501"/>
      <c r="GL2829" s="501"/>
      <c r="GM2829" s="501"/>
      <c r="GN2829" s="501"/>
      <c r="GO2829" s="501"/>
      <c r="GP2829" s="501"/>
      <c r="GQ2829" s="501"/>
      <c r="GR2829" s="501"/>
      <c r="GS2829" s="501"/>
      <c r="GT2829" s="501"/>
      <c r="GU2829" s="501"/>
      <c r="GV2829" s="501"/>
      <c r="GW2829" s="501"/>
      <c r="GX2829" s="501"/>
      <c r="GY2829" s="501"/>
      <c r="GZ2829" s="501"/>
      <c r="HA2829" s="501"/>
      <c r="HB2829" s="501"/>
      <c r="HC2829" s="501"/>
      <c r="HD2829" s="501"/>
      <c r="HE2829" s="501"/>
      <c r="HF2829" s="501"/>
      <c r="HG2829" s="501"/>
      <c r="HH2829" s="501"/>
      <c r="HI2829" s="501"/>
      <c r="HJ2829" s="501"/>
      <c r="HK2829" s="501"/>
      <c r="HL2829" s="501"/>
      <c r="HM2829" s="501"/>
      <c r="HN2829" s="501"/>
      <c r="HO2829" s="501"/>
      <c r="HP2829" s="501"/>
      <c r="HQ2829" s="501"/>
      <c r="HR2829" s="501"/>
      <c r="HS2829" s="501"/>
      <c r="HT2829" s="501"/>
      <c r="HU2829" s="501"/>
      <c r="HV2829" s="501"/>
      <c r="HW2829" s="501"/>
      <c r="HX2829" s="501"/>
      <c r="HY2829" s="501"/>
      <c r="HZ2829" s="501"/>
      <c r="IA2829" s="501"/>
      <c r="IB2829" s="501"/>
      <c r="IC2829" s="501"/>
      <c r="ID2829" s="501"/>
      <c r="IE2829" s="501"/>
      <c r="IF2829" s="501"/>
      <c r="IG2829" s="501"/>
      <c r="IH2829" s="501"/>
      <c r="II2829" s="501"/>
      <c r="IJ2829" s="501"/>
      <c r="IK2829" s="501"/>
      <c r="IL2829" s="501"/>
      <c r="IM2829" s="501"/>
      <c r="IN2829" s="501"/>
      <c r="IO2829" s="501"/>
      <c r="IP2829" s="501"/>
      <c r="IQ2829" s="501"/>
      <c r="IR2829" s="501"/>
      <c r="IS2829" s="501"/>
      <c r="IT2829" s="501"/>
      <c r="IU2829" s="501"/>
    </row>
    <row r="2830" spans="1:255" s="877" customFormat="1" ht="24" customHeight="1">
      <c r="A2830" s="501"/>
      <c r="B2830" s="501"/>
      <c r="C2830" s="501"/>
      <c r="D2830" s="501"/>
      <c r="E2830" s="501"/>
      <c r="F2830" s="968"/>
      <c r="G2830" s="1107"/>
      <c r="H2830" s="968"/>
      <c r="I2830" s="973"/>
      <c r="J2830" s="973"/>
      <c r="K2830" s="968"/>
      <c r="L2830" s="974"/>
      <c r="M2830" s="1109"/>
      <c r="N2830" s="501"/>
      <c r="O2830" s="501"/>
      <c r="P2830" s="501"/>
      <c r="Q2830" s="501"/>
      <c r="R2830" s="501"/>
      <c r="S2830" s="501"/>
      <c r="T2830" s="501"/>
      <c r="V2830" s="501"/>
      <c r="W2830" s="501"/>
      <c r="X2830" s="501"/>
      <c r="Y2830" s="501"/>
      <c r="Z2830" s="501"/>
      <c r="AA2830" s="501"/>
      <c r="AB2830" s="501"/>
      <c r="AC2830" s="501"/>
      <c r="AD2830" s="501"/>
      <c r="AE2830" s="501"/>
      <c r="AF2830" s="501"/>
      <c r="AG2830" s="501"/>
      <c r="AH2830" s="501"/>
      <c r="AI2830" s="501"/>
      <c r="AJ2830" s="501"/>
      <c r="AK2830" s="501"/>
      <c r="AL2830" s="501"/>
      <c r="AM2830" s="501"/>
      <c r="AN2830" s="501"/>
      <c r="AO2830" s="501"/>
      <c r="AP2830" s="501"/>
      <c r="AQ2830" s="501"/>
      <c r="AR2830" s="501"/>
      <c r="AS2830" s="501"/>
      <c r="AT2830" s="501"/>
      <c r="AU2830" s="501"/>
      <c r="AV2830" s="501"/>
      <c r="AW2830" s="501"/>
      <c r="AX2830" s="501"/>
      <c r="AY2830" s="501"/>
      <c r="AZ2830" s="501"/>
      <c r="BA2830" s="501"/>
      <c r="BB2830" s="501"/>
      <c r="BC2830" s="501"/>
      <c r="BD2830" s="501"/>
      <c r="BE2830" s="501"/>
      <c r="BF2830" s="501"/>
      <c r="BG2830" s="501"/>
      <c r="BH2830" s="501"/>
      <c r="BI2830" s="501"/>
      <c r="BJ2830" s="501"/>
      <c r="BK2830" s="501"/>
      <c r="BL2830" s="501"/>
      <c r="BM2830" s="501"/>
      <c r="BN2830" s="501"/>
      <c r="BO2830" s="501"/>
      <c r="BP2830" s="501"/>
      <c r="BQ2830" s="501"/>
      <c r="BR2830" s="501"/>
      <c r="BS2830" s="501"/>
      <c r="BT2830" s="501"/>
      <c r="BU2830" s="501"/>
      <c r="BV2830" s="501"/>
      <c r="BW2830" s="501"/>
      <c r="BX2830" s="501"/>
      <c r="BY2830" s="501"/>
      <c r="BZ2830" s="501"/>
      <c r="CA2830" s="501"/>
      <c r="CB2830" s="501"/>
      <c r="CC2830" s="501"/>
      <c r="CD2830" s="501"/>
      <c r="CE2830" s="501"/>
      <c r="CF2830" s="501"/>
      <c r="CG2830" s="501"/>
      <c r="CH2830" s="501"/>
      <c r="CI2830" s="501"/>
      <c r="CJ2830" s="501"/>
      <c r="CK2830" s="501"/>
      <c r="CL2830" s="501"/>
      <c r="CM2830" s="501"/>
      <c r="CN2830" s="501"/>
      <c r="CO2830" s="501"/>
      <c r="CP2830" s="501"/>
      <c r="CQ2830" s="501"/>
      <c r="CR2830" s="501"/>
      <c r="CS2830" s="501"/>
      <c r="CT2830" s="501"/>
      <c r="CU2830" s="501"/>
      <c r="CV2830" s="501"/>
      <c r="CW2830" s="501"/>
      <c r="CX2830" s="501"/>
      <c r="CY2830" s="501"/>
      <c r="CZ2830" s="501"/>
      <c r="DA2830" s="501"/>
      <c r="DB2830" s="501"/>
      <c r="DC2830" s="501"/>
      <c r="DD2830" s="501"/>
      <c r="DE2830" s="501"/>
      <c r="DF2830" s="501"/>
      <c r="DG2830" s="501"/>
      <c r="DH2830" s="501"/>
      <c r="DI2830" s="501"/>
      <c r="DJ2830" s="501"/>
      <c r="DK2830" s="501"/>
      <c r="DL2830" s="501"/>
      <c r="DM2830" s="501"/>
      <c r="DN2830" s="501"/>
      <c r="DO2830" s="501"/>
      <c r="DP2830" s="501"/>
      <c r="DQ2830" s="501"/>
      <c r="DR2830" s="501"/>
      <c r="DS2830" s="501"/>
      <c r="DT2830" s="501"/>
      <c r="DU2830" s="501"/>
      <c r="DV2830" s="501"/>
      <c r="DW2830" s="501"/>
      <c r="DX2830" s="501"/>
      <c r="DY2830" s="501"/>
      <c r="DZ2830" s="501"/>
      <c r="EA2830" s="501"/>
      <c r="EB2830" s="501"/>
      <c r="EC2830" s="501"/>
      <c r="ED2830" s="501"/>
      <c r="EE2830" s="501"/>
      <c r="EF2830" s="501"/>
      <c r="EG2830" s="501"/>
      <c r="EH2830" s="501"/>
      <c r="EI2830" s="501"/>
      <c r="EJ2830" s="501"/>
      <c r="EK2830" s="501"/>
      <c r="EL2830" s="501"/>
      <c r="EM2830" s="501"/>
      <c r="EN2830" s="501"/>
      <c r="EO2830" s="501"/>
      <c r="EP2830" s="501"/>
      <c r="EQ2830" s="501"/>
      <c r="ER2830" s="501"/>
      <c r="ES2830" s="501"/>
      <c r="ET2830" s="501"/>
      <c r="EU2830" s="501"/>
      <c r="EV2830" s="501"/>
      <c r="EW2830" s="501"/>
      <c r="EX2830" s="501"/>
      <c r="EY2830" s="501"/>
      <c r="EZ2830" s="501"/>
      <c r="FA2830" s="501"/>
      <c r="FB2830" s="501"/>
      <c r="FC2830" s="501"/>
      <c r="FD2830" s="501"/>
      <c r="FE2830" s="501"/>
      <c r="FF2830" s="501"/>
      <c r="FG2830" s="501"/>
      <c r="FH2830" s="501"/>
      <c r="FI2830" s="501"/>
      <c r="FJ2830" s="501"/>
      <c r="FK2830" s="501"/>
      <c r="FL2830" s="501"/>
      <c r="FM2830" s="501"/>
      <c r="FN2830" s="501"/>
      <c r="FO2830" s="501"/>
      <c r="FP2830" s="501"/>
      <c r="FQ2830" s="501"/>
      <c r="FR2830" s="501"/>
      <c r="FS2830" s="501"/>
      <c r="FT2830" s="501"/>
      <c r="FU2830" s="501"/>
      <c r="FV2830" s="501"/>
      <c r="FW2830" s="501"/>
      <c r="FX2830" s="501"/>
      <c r="FY2830" s="501"/>
      <c r="FZ2830" s="501"/>
      <c r="GA2830" s="501"/>
      <c r="GB2830" s="501"/>
      <c r="GC2830" s="501"/>
      <c r="GD2830" s="501"/>
      <c r="GE2830" s="501"/>
      <c r="GF2830" s="501"/>
      <c r="GG2830" s="501"/>
      <c r="GH2830" s="501"/>
      <c r="GI2830" s="501"/>
      <c r="GJ2830" s="501"/>
      <c r="GK2830" s="501"/>
      <c r="GL2830" s="501"/>
      <c r="GM2830" s="501"/>
      <c r="GN2830" s="501"/>
      <c r="GO2830" s="501"/>
      <c r="GP2830" s="501"/>
      <c r="GQ2830" s="501"/>
      <c r="GR2830" s="501"/>
      <c r="GS2830" s="501"/>
      <c r="GT2830" s="501"/>
      <c r="GU2830" s="501"/>
      <c r="GV2830" s="501"/>
      <c r="GW2830" s="501"/>
      <c r="GX2830" s="501"/>
      <c r="GY2830" s="501"/>
      <c r="GZ2830" s="501"/>
      <c r="HA2830" s="501"/>
      <c r="HB2830" s="501"/>
      <c r="HC2830" s="501"/>
      <c r="HD2830" s="501"/>
      <c r="HE2830" s="501"/>
      <c r="HF2830" s="501"/>
      <c r="HG2830" s="501"/>
      <c r="HH2830" s="501"/>
      <c r="HI2830" s="501"/>
      <c r="HJ2830" s="501"/>
      <c r="HK2830" s="501"/>
      <c r="HL2830" s="501"/>
      <c r="HM2830" s="501"/>
      <c r="HN2830" s="501"/>
      <c r="HO2830" s="501"/>
      <c r="HP2830" s="501"/>
      <c r="HQ2830" s="501"/>
      <c r="HR2830" s="501"/>
      <c r="HS2830" s="501"/>
      <c r="HT2830" s="501"/>
      <c r="HU2830" s="501"/>
      <c r="HV2830" s="501"/>
      <c r="HW2830" s="501"/>
      <c r="HX2830" s="501"/>
      <c r="HY2830" s="501"/>
      <c r="HZ2830" s="501"/>
      <c r="IA2830" s="501"/>
      <c r="IB2830" s="501"/>
      <c r="IC2830" s="501"/>
      <c r="ID2830" s="501"/>
      <c r="IE2830" s="501"/>
      <c r="IF2830" s="501"/>
      <c r="IG2830" s="501"/>
      <c r="IH2830" s="501"/>
      <c r="II2830" s="501"/>
      <c r="IJ2830" s="501"/>
      <c r="IK2830" s="501"/>
      <c r="IL2830" s="501"/>
      <c r="IM2830" s="501"/>
      <c r="IN2830" s="501"/>
      <c r="IO2830" s="501"/>
      <c r="IP2830" s="501"/>
      <c r="IQ2830" s="501"/>
      <c r="IR2830" s="501"/>
      <c r="IS2830" s="501"/>
      <c r="IT2830" s="501"/>
      <c r="IU2830" s="501"/>
    </row>
    <row r="2831" spans="1:255" s="877" customFormat="1" ht="24" customHeight="1">
      <c r="A2831" s="501"/>
      <c r="B2831" s="501"/>
      <c r="C2831" s="501"/>
      <c r="D2831" s="501"/>
      <c r="E2831" s="501"/>
      <c r="F2831" s="968"/>
      <c r="G2831" s="1107"/>
      <c r="H2831" s="968"/>
      <c r="I2831" s="973"/>
      <c r="J2831" s="973"/>
      <c r="K2831" s="968"/>
      <c r="L2831" s="974"/>
      <c r="M2831" s="1109"/>
      <c r="N2831" s="501"/>
      <c r="O2831" s="501"/>
      <c r="P2831" s="501"/>
      <c r="Q2831" s="501"/>
      <c r="R2831" s="501"/>
      <c r="S2831" s="501"/>
      <c r="T2831" s="501"/>
      <c r="V2831" s="501"/>
      <c r="W2831" s="501"/>
      <c r="X2831" s="501"/>
      <c r="Y2831" s="501"/>
      <c r="Z2831" s="501"/>
      <c r="AA2831" s="501"/>
      <c r="AB2831" s="501"/>
      <c r="AC2831" s="501"/>
      <c r="AD2831" s="501"/>
      <c r="AE2831" s="501"/>
      <c r="AF2831" s="501"/>
      <c r="AG2831" s="501"/>
      <c r="AH2831" s="501"/>
      <c r="AI2831" s="501"/>
      <c r="AJ2831" s="501"/>
      <c r="AK2831" s="501"/>
      <c r="AL2831" s="501"/>
      <c r="AM2831" s="501"/>
      <c r="AN2831" s="501"/>
      <c r="AO2831" s="501"/>
      <c r="AP2831" s="501"/>
      <c r="AQ2831" s="501"/>
      <c r="AR2831" s="501"/>
      <c r="AS2831" s="501"/>
      <c r="AT2831" s="501"/>
      <c r="AU2831" s="501"/>
      <c r="AV2831" s="501"/>
      <c r="AW2831" s="501"/>
      <c r="AX2831" s="501"/>
      <c r="AY2831" s="501"/>
      <c r="AZ2831" s="501"/>
      <c r="BA2831" s="501"/>
      <c r="BB2831" s="501"/>
      <c r="BC2831" s="501"/>
      <c r="BD2831" s="501"/>
      <c r="BE2831" s="501"/>
      <c r="BF2831" s="501"/>
      <c r="BG2831" s="501"/>
      <c r="BH2831" s="501"/>
      <c r="BI2831" s="501"/>
      <c r="BJ2831" s="501"/>
      <c r="BK2831" s="501"/>
      <c r="BL2831" s="501"/>
      <c r="BM2831" s="501"/>
      <c r="BN2831" s="501"/>
      <c r="BO2831" s="501"/>
      <c r="BP2831" s="501"/>
      <c r="BQ2831" s="501"/>
      <c r="BR2831" s="501"/>
      <c r="BS2831" s="501"/>
      <c r="BT2831" s="501"/>
      <c r="BU2831" s="501"/>
      <c r="BV2831" s="501"/>
      <c r="BW2831" s="501"/>
      <c r="BX2831" s="501"/>
      <c r="BY2831" s="501"/>
      <c r="BZ2831" s="501"/>
      <c r="CA2831" s="501"/>
      <c r="CB2831" s="501"/>
      <c r="CC2831" s="501"/>
      <c r="CD2831" s="501"/>
      <c r="CE2831" s="501"/>
      <c r="CF2831" s="501"/>
      <c r="CG2831" s="501"/>
      <c r="CH2831" s="501"/>
      <c r="CI2831" s="501"/>
      <c r="CJ2831" s="501"/>
      <c r="CK2831" s="501"/>
      <c r="CL2831" s="501"/>
      <c r="CM2831" s="501"/>
      <c r="CN2831" s="501"/>
      <c r="CO2831" s="501"/>
      <c r="CP2831" s="501"/>
      <c r="CQ2831" s="501"/>
      <c r="CR2831" s="501"/>
      <c r="CS2831" s="501"/>
      <c r="CT2831" s="501"/>
      <c r="CU2831" s="501"/>
      <c r="CV2831" s="501"/>
      <c r="CW2831" s="501"/>
      <c r="CX2831" s="501"/>
      <c r="CY2831" s="501"/>
      <c r="CZ2831" s="501"/>
      <c r="DA2831" s="501"/>
      <c r="DB2831" s="501"/>
      <c r="DC2831" s="501"/>
      <c r="DD2831" s="501"/>
      <c r="DE2831" s="501"/>
      <c r="DF2831" s="501"/>
      <c r="DG2831" s="501"/>
      <c r="DH2831" s="501"/>
      <c r="DI2831" s="501"/>
      <c r="DJ2831" s="501"/>
      <c r="DK2831" s="501"/>
      <c r="DL2831" s="501"/>
      <c r="DM2831" s="501"/>
      <c r="DN2831" s="501"/>
      <c r="DO2831" s="501"/>
      <c r="DP2831" s="501"/>
      <c r="DQ2831" s="501"/>
      <c r="DR2831" s="501"/>
      <c r="DS2831" s="501"/>
      <c r="DT2831" s="501"/>
      <c r="DU2831" s="501"/>
      <c r="DV2831" s="501"/>
      <c r="DW2831" s="501"/>
      <c r="DX2831" s="501"/>
      <c r="DY2831" s="501"/>
      <c r="DZ2831" s="501"/>
      <c r="EA2831" s="501"/>
      <c r="EB2831" s="501"/>
      <c r="EC2831" s="501"/>
      <c r="ED2831" s="501"/>
      <c r="EE2831" s="501"/>
      <c r="EF2831" s="501"/>
      <c r="EG2831" s="501"/>
      <c r="EH2831" s="501"/>
      <c r="EI2831" s="501"/>
      <c r="EJ2831" s="501"/>
      <c r="EK2831" s="501"/>
      <c r="EL2831" s="501"/>
      <c r="EM2831" s="501"/>
      <c r="EN2831" s="501"/>
      <c r="EO2831" s="501"/>
      <c r="EP2831" s="501"/>
      <c r="EQ2831" s="501"/>
      <c r="ER2831" s="501"/>
      <c r="ES2831" s="501"/>
      <c r="ET2831" s="501"/>
      <c r="EU2831" s="501"/>
      <c r="EV2831" s="501"/>
      <c r="EW2831" s="501"/>
      <c r="EX2831" s="501"/>
      <c r="EY2831" s="501"/>
      <c r="EZ2831" s="501"/>
      <c r="FA2831" s="501"/>
      <c r="FB2831" s="501"/>
      <c r="FC2831" s="501"/>
      <c r="FD2831" s="501"/>
      <c r="FE2831" s="501"/>
      <c r="FF2831" s="501"/>
      <c r="FG2831" s="501"/>
      <c r="FH2831" s="501"/>
      <c r="FI2831" s="501"/>
      <c r="FJ2831" s="501"/>
      <c r="FK2831" s="501"/>
      <c r="FL2831" s="501"/>
      <c r="FM2831" s="501"/>
      <c r="FN2831" s="501"/>
      <c r="FO2831" s="501"/>
      <c r="FP2831" s="501"/>
      <c r="FQ2831" s="501"/>
      <c r="FR2831" s="501"/>
      <c r="FS2831" s="501"/>
      <c r="FT2831" s="501"/>
      <c r="FU2831" s="501"/>
      <c r="FV2831" s="501"/>
      <c r="FW2831" s="501"/>
      <c r="FX2831" s="501"/>
      <c r="FY2831" s="501"/>
      <c r="FZ2831" s="501"/>
      <c r="GA2831" s="501"/>
      <c r="GB2831" s="501"/>
      <c r="GC2831" s="501"/>
      <c r="GD2831" s="501"/>
      <c r="GE2831" s="501"/>
      <c r="GF2831" s="501"/>
      <c r="GG2831" s="501"/>
      <c r="GH2831" s="501"/>
      <c r="GI2831" s="501"/>
      <c r="GJ2831" s="501"/>
      <c r="GK2831" s="501"/>
      <c r="GL2831" s="501"/>
      <c r="GM2831" s="501"/>
      <c r="GN2831" s="501"/>
      <c r="GO2831" s="501"/>
      <c r="GP2831" s="501"/>
      <c r="GQ2831" s="501"/>
      <c r="GR2831" s="501"/>
      <c r="GS2831" s="501"/>
      <c r="GT2831" s="501"/>
      <c r="GU2831" s="501"/>
      <c r="GV2831" s="501"/>
      <c r="GW2831" s="501"/>
      <c r="GX2831" s="501"/>
      <c r="GY2831" s="501"/>
      <c r="GZ2831" s="501"/>
      <c r="HA2831" s="501"/>
      <c r="HB2831" s="501"/>
      <c r="HC2831" s="501"/>
      <c r="HD2831" s="501"/>
      <c r="HE2831" s="501"/>
      <c r="HF2831" s="501"/>
      <c r="HG2831" s="501"/>
      <c r="HH2831" s="501"/>
      <c r="HI2831" s="501"/>
      <c r="HJ2831" s="501"/>
      <c r="HK2831" s="501"/>
      <c r="HL2831" s="501"/>
      <c r="HM2831" s="501"/>
      <c r="HN2831" s="501"/>
      <c r="HO2831" s="501"/>
      <c r="HP2831" s="501"/>
      <c r="HQ2831" s="501"/>
      <c r="HR2831" s="501"/>
      <c r="HS2831" s="501"/>
      <c r="HT2831" s="501"/>
      <c r="HU2831" s="501"/>
      <c r="HV2831" s="501"/>
      <c r="HW2831" s="501"/>
      <c r="HX2831" s="501"/>
      <c r="HY2831" s="501"/>
      <c r="HZ2831" s="501"/>
      <c r="IA2831" s="501"/>
      <c r="IB2831" s="501"/>
      <c r="IC2831" s="501"/>
      <c r="ID2831" s="501"/>
      <c r="IE2831" s="501"/>
      <c r="IF2831" s="501"/>
      <c r="IG2831" s="501"/>
      <c r="IH2831" s="501"/>
      <c r="II2831" s="501"/>
      <c r="IJ2831" s="501"/>
      <c r="IK2831" s="501"/>
      <c r="IL2831" s="501"/>
      <c r="IM2831" s="501"/>
      <c r="IN2831" s="501"/>
      <c r="IO2831" s="501"/>
      <c r="IP2831" s="501"/>
      <c r="IQ2831" s="501"/>
      <c r="IR2831" s="501"/>
      <c r="IS2831" s="501"/>
      <c r="IT2831" s="501"/>
      <c r="IU2831" s="501"/>
    </row>
    <row r="2832" spans="1:255" s="877" customFormat="1" ht="24" customHeight="1">
      <c r="A2832" s="501"/>
      <c r="B2832" s="501"/>
      <c r="C2832" s="501"/>
      <c r="D2832" s="501"/>
      <c r="E2832" s="501"/>
      <c r="F2832" s="968"/>
      <c r="G2832" s="1107"/>
      <c r="H2832" s="968"/>
      <c r="I2832" s="973"/>
      <c r="J2832" s="973"/>
      <c r="K2832" s="968"/>
      <c r="L2832" s="974"/>
      <c r="M2832" s="1109"/>
      <c r="N2832" s="501"/>
      <c r="O2832" s="501"/>
      <c r="P2832" s="501"/>
      <c r="Q2832" s="501"/>
      <c r="R2832" s="501"/>
      <c r="S2832" s="501"/>
      <c r="T2832" s="501"/>
      <c r="V2832" s="501"/>
      <c r="W2832" s="501"/>
      <c r="X2832" s="501"/>
      <c r="Y2832" s="501"/>
      <c r="Z2832" s="501"/>
      <c r="AA2832" s="501"/>
      <c r="AB2832" s="501"/>
      <c r="AC2832" s="501"/>
      <c r="AD2832" s="501"/>
      <c r="AE2832" s="501"/>
      <c r="AF2832" s="501"/>
      <c r="AG2832" s="501"/>
      <c r="AH2832" s="501"/>
      <c r="AI2832" s="501"/>
      <c r="AJ2832" s="501"/>
      <c r="AK2832" s="501"/>
      <c r="AL2832" s="501"/>
      <c r="AM2832" s="501"/>
      <c r="AN2832" s="501"/>
      <c r="AO2832" s="501"/>
      <c r="AP2832" s="501"/>
      <c r="AQ2832" s="501"/>
      <c r="AR2832" s="501"/>
      <c r="AS2832" s="501"/>
      <c r="AT2832" s="501"/>
      <c r="AU2832" s="501"/>
      <c r="AV2832" s="501"/>
      <c r="AW2832" s="501"/>
      <c r="AX2832" s="501"/>
      <c r="AY2832" s="501"/>
      <c r="AZ2832" s="501"/>
      <c r="BA2832" s="501"/>
      <c r="BB2832" s="501"/>
      <c r="BC2832" s="501"/>
      <c r="BD2832" s="501"/>
      <c r="BE2832" s="501"/>
      <c r="BF2832" s="501"/>
      <c r="BG2832" s="501"/>
      <c r="BH2832" s="501"/>
      <c r="BI2832" s="501"/>
      <c r="BJ2832" s="501"/>
      <c r="BK2832" s="501"/>
      <c r="BL2832" s="501"/>
      <c r="BM2832" s="501"/>
      <c r="BN2832" s="501"/>
      <c r="BO2832" s="501"/>
      <c r="BP2832" s="501"/>
      <c r="BQ2832" s="501"/>
      <c r="BR2832" s="501"/>
      <c r="BS2832" s="501"/>
      <c r="BT2832" s="501"/>
      <c r="BU2832" s="501"/>
      <c r="BV2832" s="501"/>
      <c r="BW2832" s="501"/>
      <c r="BX2832" s="501"/>
      <c r="BY2832" s="501"/>
      <c r="BZ2832" s="501"/>
      <c r="CA2832" s="501"/>
      <c r="CB2832" s="501"/>
      <c r="CC2832" s="501"/>
      <c r="CD2832" s="501"/>
      <c r="CE2832" s="501"/>
      <c r="CF2832" s="501"/>
      <c r="CG2832" s="501"/>
      <c r="CH2832" s="501"/>
      <c r="CI2832" s="501"/>
      <c r="CJ2832" s="501"/>
      <c r="CK2832" s="501"/>
      <c r="CL2832" s="501"/>
      <c r="CM2832" s="501"/>
      <c r="CN2832" s="501"/>
      <c r="CO2832" s="501"/>
      <c r="CP2832" s="501"/>
      <c r="CQ2832" s="501"/>
      <c r="CR2832" s="501"/>
      <c r="CS2832" s="501"/>
      <c r="CT2832" s="501"/>
      <c r="CU2832" s="501"/>
      <c r="CV2832" s="501"/>
      <c r="CW2832" s="501"/>
      <c r="CX2832" s="501"/>
      <c r="CY2832" s="501"/>
      <c r="CZ2832" s="501"/>
      <c r="DA2832" s="501"/>
      <c r="DB2832" s="501"/>
      <c r="DC2832" s="501"/>
      <c r="DD2832" s="501"/>
      <c r="DE2832" s="501"/>
      <c r="DF2832" s="501"/>
      <c r="DG2832" s="501"/>
      <c r="DH2832" s="501"/>
      <c r="DI2832" s="501"/>
      <c r="DJ2832" s="501"/>
      <c r="DK2832" s="501"/>
      <c r="DL2832" s="501"/>
      <c r="DM2832" s="501"/>
      <c r="DN2832" s="501"/>
      <c r="DO2832" s="501"/>
      <c r="DP2832" s="501"/>
      <c r="DQ2832" s="501"/>
      <c r="DR2832" s="501"/>
      <c r="DS2832" s="501"/>
      <c r="DT2832" s="501"/>
      <c r="DU2832" s="501"/>
      <c r="DV2832" s="501"/>
      <c r="DW2832" s="501"/>
      <c r="DX2832" s="501"/>
      <c r="DY2832" s="501"/>
      <c r="DZ2832" s="501"/>
      <c r="EA2832" s="501"/>
      <c r="EB2832" s="501"/>
      <c r="EC2832" s="501"/>
      <c r="ED2832" s="501"/>
      <c r="EE2832" s="501"/>
      <c r="EF2832" s="501"/>
      <c r="EG2832" s="501"/>
      <c r="EH2832" s="501"/>
      <c r="EI2832" s="501"/>
      <c r="EJ2832" s="501"/>
      <c r="EK2832" s="501"/>
      <c r="EL2832" s="501"/>
      <c r="EM2832" s="501"/>
      <c r="EN2832" s="501"/>
      <c r="EO2832" s="501"/>
      <c r="EP2832" s="501"/>
      <c r="EQ2832" s="501"/>
      <c r="ER2832" s="501"/>
      <c r="ES2832" s="501"/>
      <c r="ET2832" s="501"/>
      <c r="EU2832" s="501"/>
      <c r="EV2832" s="501"/>
      <c r="EW2832" s="501"/>
      <c r="EX2832" s="501"/>
      <c r="EY2832" s="501"/>
      <c r="EZ2832" s="501"/>
      <c r="FA2832" s="501"/>
      <c r="FB2832" s="501"/>
      <c r="FC2832" s="501"/>
      <c r="FD2832" s="501"/>
      <c r="FE2832" s="501"/>
      <c r="FF2832" s="501"/>
      <c r="FG2832" s="501"/>
      <c r="FH2832" s="501"/>
      <c r="FI2832" s="501"/>
      <c r="FJ2832" s="501"/>
      <c r="FK2832" s="501"/>
      <c r="FL2832" s="501"/>
      <c r="FM2832" s="501"/>
      <c r="FN2832" s="501"/>
      <c r="FO2832" s="501"/>
      <c r="FP2832" s="501"/>
      <c r="FQ2832" s="501"/>
      <c r="FR2832" s="501"/>
      <c r="FS2832" s="501"/>
      <c r="FT2832" s="501"/>
      <c r="FU2832" s="501"/>
      <c r="FV2832" s="501"/>
      <c r="FW2832" s="501"/>
      <c r="FX2832" s="501"/>
      <c r="FY2832" s="501"/>
      <c r="FZ2832" s="501"/>
      <c r="GA2832" s="501"/>
      <c r="GB2832" s="501"/>
      <c r="GC2832" s="501"/>
      <c r="GD2832" s="501"/>
      <c r="GE2832" s="501"/>
      <c r="GF2832" s="501"/>
      <c r="GG2832" s="501"/>
      <c r="GH2832" s="501"/>
      <c r="GI2832" s="501"/>
      <c r="GJ2832" s="501"/>
      <c r="GK2832" s="501"/>
      <c r="GL2832" s="501"/>
      <c r="GM2832" s="501"/>
      <c r="GN2832" s="501"/>
      <c r="GO2832" s="501"/>
      <c r="GP2832" s="501"/>
      <c r="GQ2832" s="501"/>
      <c r="GR2832" s="501"/>
      <c r="GS2832" s="501"/>
      <c r="GT2832" s="501"/>
      <c r="GU2832" s="501"/>
      <c r="GV2832" s="501"/>
      <c r="GW2832" s="501"/>
      <c r="GX2832" s="501"/>
      <c r="GY2832" s="501"/>
      <c r="GZ2832" s="501"/>
      <c r="HA2832" s="501"/>
      <c r="HB2832" s="501"/>
      <c r="HC2832" s="501"/>
      <c r="HD2832" s="501"/>
      <c r="HE2832" s="501"/>
      <c r="HF2832" s="501"/>
      <c r="HG2832" s="501"/>
      <c r="HH2832" s="501"/>
      <c r="HI2832" s="501"/>
      <c r="HJ2832" s="501"/>
      <c r="HK2832" s="501"/>
      <c r="HL2832" s="501"/>
      <c r="HM2832" s="501"/>
      <c r="HN2832" s="501"/>
      <c r="HO2832" s="501"/>
      <c r="HP2832" s="501"/>
      <c r="HQ2832" s="501"/>
      <c r="HR2832" s="501"/>
      <c r="HS2832" s="501"/>
      <c r="HT2832" s="501"/>
      <c r="HU2832" s="501"/>
      <c r="HV2832" s="501"/>
      <c r="HW2832" s="501"/>
      <c r="HX2832" s="501"/>
      <c r="HY2832" s="501"/>
      <c r="HZ2832" s="501"/>
      <c r="IA2832" s="501"/>
      <c r="IB2832" s="501"/>
      <c r="IC2832" s="501"/>
      <c r="ID2832" s="501"/>
      <c r="IE2832" s="501"/>
      <c r="IF2832" s="501"/>
      <c r="IG2832" s="501"/>
      <c r="IH2832" s="501"/>
      <c r="II2832" s="501"/>
      <c r="IJ2832" s="501"/>
      <c r="IK2832" s="501"/>
      <c r="IL2832" s="501"/>
      <c r="IM2832" s="501"/>
      <c r="IN2832" s="501"/>
      <c r="IO2832" s="501"/>
      <c r="IP2832" s="501"/>
      <c r="IQ2832" s="501"/>
      <c r="IR2832" s="501"/>
      <c r="IS2832" s="501"/>
      <c r="IT2832" s="501"/>
      <c r="IU2832" s="501"/>
    </row>
    <row r="2833" spans="1:255" s="877" customFormat="1" ht="24" customHeight="1">
      <c r="A2833" s="501"/>
      <c r="B2833" s="501"/>
      <c r="C2833" s="501"/>
      <c r="D2833" s="501"/>
      <c r="E2833" s="501"/>
      <c r="F2833" s="968"/>
      <c r="G2833" s="1107"/>
      <c r="H2833" s="968"/>
      <c r="I2833" s="973"/>
      <c r="J2833" s="973"/>
      <c r="K2833" s="968"/>
      <c r="L2833" s="974"/>
      <c r="M2833" s="1109"/>
      <c r="N2833" s="501"/>
      <c r="O2833" s="501"/>
      <c r="P2833" s="501"/>
      <c r="Q2833" s="501"/>
      <c r="R2833" s="501"/>
      <c r="S2833" s="501"/>
      <c r="T2833" s="501"/>
      <c r="V2833" s="501"/>
      <c r="W2833" s="501"/>
      <c r="X2833" s="501"/>
      <c r="Y2833" s="501"/>
      <c r="Z2833" s="501"/>
      <c r="AA2833" s="501"/>
      <c r="AB2833" s="501"/>
      <c r="AC2833" s="501"/>
      <c r="AD2833" s="501"/>
      <c r="AE2833" s="501"/>
      <c r="AF2833" s="501"/>
      <c r="AG2833" s="501"/>
      <c r="AH2833" s="501"/>
      <c r="AI2833" s="501"/>
      <c r="AJ2833" s="501"/>
      <c r="AK2833" s="501"/>
      <c r="AL2833" s="501"/>
      <c r="AM2833" s="501"/>
      <c r="AN2833" s="501"/>
      <c r="AO2833" s="501"/>
      <c r="AP2833" s="501"/>
      <c r="AQ2833" s="501"/>
      <c r="AR2833" s="501"/>
      <c r="AS2833" s="501"/>
      <c r="AT2833" s="501"/>
      <c r="AU2833" s="501"/>
      <c r="AV2833" s="501"/>
      <c r="AW2833" s="501"/>
      <c r="AX2833" s="501"/>
      <c r="AY2833" s="501"/>
      <c r="AZ2833" s="501"/>
      <c r="BA2833" s="501"/>
      <c r="BB2833" s="501"/>
      <c r="BC2833" s="501"/>
      <c r="BD2833" s="501"/>
      <c r="BE2833" s="501"/>
      <c r="BF2833" s="501"/>
      <c r="BG2833" s="501"/>
      <c r="BH2833" s="501"/>
      <c r="BI2833" s="501"/>
      <c r="BJ2833" s="501"/>
      <c r="BK2833" s="501"/>
      <c r="BL2833" s="501"/>
      <c r="BM2833" s="501"/>
      <c r="BN2833" s="501"/>
      <c r="BO2833" s="501"/>
      <c r="BP2833" s="501"/>
      <c r="BQ2833" s="501"/>
      <c r="BR2833" s="501"/>
      <c r="BS2833" s="501"/>
      <c r="BT2833" s="501"/>
      <c r="BU2833" s="501"/>
      <c r="BV2833" s="501"/>
      <c r="BW2833" s="501"/>
      <c r="BX2833" s="501"/>
      <c r="BY2833" s="501"/>
      <c r="BZ2833" s="501"/>
      <c r="CA2833" s="501"/>
      <c r="CB2833" s="501"/>
      <c r="CC2833" s="501"/>
      <c r="CD2833" s="501"/>
      <c r="CE2833" s="501"/>
      <c r="CF2833" s="501"/>
      <c r="CG2833" s="501"/>
      <c r="CH2833" s="501"/>
      <c r="CI2833" s="501"/>
      <c r="CJ2833" s="501"/>
      <c r="CK2833" s="501"/>
      <c r="CL2833" s="501"/>
      <c r="CM2833" s="501"/>
      <c r="CN2833" s="501"/>
      <c r="CO2833" s="501"/>
      <c r="CP2833" s="501"/>
      <c r="CQ2833" s="501"/>
      <c r="CR2833" s="501"/>
      <c r="CS2833" s="501"/>
      <c r="CT2833" s="501"/>
      <c r="CU2833" s="501"/>
      <c r="CV2833" s="501"/>
      <c r="CW2833" s="501"/>
      <c r="CX2833" s="501"/>
      <c r="CY2833" s="501"/>
      <c r="CZ2833" s="501"/>
      <c r="DA2833" s="501"/>
      <c r="DB2833" s="501"/>
      <c r="DC2833" s="501"/>
      <c r="DD2833" s="501"/>
      <c r="DE2833" s="501"/>
      <c r="DF2833" s="501"/>
      <c r="DG2833" s="501"/>
      <c r="DH2833" s="501"/>
      <c r="DI2833" s="501"/>
      <c r="DJ2833" s="501"/>
      <c r="DK2833" s="501"/>
      <c r="DL2833" s="501"/>
      <c r="DM2833" s="501"/>
      <c r="DN2833" s="501"/>
      <c r="DO2833" s="501"/>
      <c r="DP2833" s="501"/>
      <c r="DQ2833" s="501"/>
      <c r="DR2833" s="501"/>
      <c r="DS2833" s="501"/>
      <c r="DT2833" s="501"/>
      <c r="DU2833" s="501"/>
      <c r="DV2833" s="501"/>
      <c r="DW2833" s="501"/>
      <c r="DX2833" s="501"/>
      <c r="DY2833" s="501"/>
      <c r="DZ2833" s="501"/>
      <c r="EA2833" s="501"/>
      <c r="EB2833" s="501"/>
      <c r="EC2833" s="501"/>
      <c r="ED2833" s="501"/>
      <c r="EE2833" s="501"/>
      <c r="EF2833" s="501"/>
      <c r="EG2833" s="501"/>
      <c r="EH2833" s="501"/>
      <c r="EI2833" s="501"/>
      <c r="EJ2833" s="501"/>
      <c r="EK2833" s="501"/>
      <c r="EL2833" s="501"/>
      <c r="EM2833" s="501"/>
      <c r="EN2833" s="501"/>
      <c r="EO2833" s="501"/>
      <c r="EP2833" s="501"/>
      <c r="EQ2833" s="501"/>
      <c r="ER2833" s="501"/>
      <c r="ES2833" s="501"/>
      <c r="ET2833" s="501"/>
      <c r="EU2833" s="501"/>
      <c r="EV2833" s="501"/>
      <c r="EW2833" s="501"/>
      <c r="EX2833" s="501"/>
      <c r="EY2833" s="501"/>
      <c r="EZ2833" s="501"/>
      <c r="FA2833" s="501"/>
      <c r="FB2833" s="501"/>
      <c r="FC2833" s="501"/>
      <c r="FD2833" s="501"/>
      <c r="FE2833" s="501"/>
      <c r="FF2833" s="501"/>
      <c r="FG2833" s="501"/>
      <c r="FH2833" s="501"/>
      <c r="FI2833" s="501"/>
      <c r="FJ2833" s="501"/>
      <c r="FK2833" s="501"/>
      <c r="FL2833" s="501"/>
      <c r="FM2833" s="501"/>
      <c r="FN2833" s="501"/>
      <c r="FO2833" s="501"/>
      <c r="FP2833" s="501"/>
      <c r="FQ2833" s="501"/>
      <c r="FR2833" s="501"/>
      <c r="FS2833" s="501"/>
      <c r="FT2833" s="501"/>
      <c r="FU2833" s="501"/>
      <c r="FV2833" s="501"/>
      <c r="FW2833" s="501"/>
      <c r="FX2833" s="501"/>
      <c r="FY2833" s="501"/>
      <c r="FZ2833" s="501"/>
      <c r="GA2833" s="501"/>
      <c r="GB2833" s="501"/>
      <c r="GC2833" s="501"/>
      <c r="GD2833" s="501"/>
      <c r="GE2833" s="501"/>
      <c r="GF2833" s="501"/>
      <c r="GG2833" s="501"/>
      <c r="GH2833" s="501"/>
      <c r="GI2833" s="501"/>
      <c r="GJ2833" s="501"/>
      <c r="GK2833" s="501"/>
      <c r="GL2833" s="501"/>
      <c r="GM2833" s="501"/>
      <c r="GN2833" s="501"/>
      <c r="GO2833" s="501"/>
      <c r="GP2833" s="501"/>
      <c r="GQ2833" s="501"/>
      <c r="GR2833" s="501"/>
      <c r="GS2833" s="501"/>
      <c r="GT2833" s="501"/>
      <c r="GU2833" s="501"/>
      <c r="GV2833" s="501"/>
      <c r="GW2833" s="501"/>
      <c r="GX2833" s="501"/>
      <c r="GY2833" s="501"/>
      <c r="GZ2833" s="501"/>
      <c r="HA2833" s="501"/>
      <c r="HB2833" s="501"/>
      <c r="HC2833" s="501"/>
      <c r="HD2833" s="501"/>
      <c r="HE2833" s="501"/>
      <c r="HF2833" s="501"/>
      <c r="HG2833" s="501"/>
      <c r="HH2833" s="501"/>
      <c r="HI2833" s="501"/>
      <c r="HJ2833" s="501"/>
      <c r="HK2833" s="501"/>
      <c r="HL2833" s="501"/>
      <c r="HM2833" s="501"/>
      <c r="HN2833" s="501"/>
      <c r="HO2833" s="501"/>
      <c r="HP2833" s="501"/>
      <c r="HQ2833" s="501"/>
      <c r="HR2833" s="501"/>
      <c r="HS2833" s="501"/>
      <c r="HT2833" s="501"/>
      <c r="HU2833" s="501"/>
      <c r="HV2833" s="501"/>
      <c r="HW2833" s="501"/>
      <c r="HX2833" s="501"/>
      <c r="HY2833" s="501"/>
      <c r="HZ2833" s="501"/>
      <c r="IA2833" s="501"/>
      <c r="IB2833" s="501"/>
      <c r="IC2833" s="501"/>
      <c r="ID2833" s="501"/>
      <c r="IE2833" s="501"/>
      <c r="IF2833" s="501"/>
      <c r="IG2833" s="501"/>
      <c r="IH2833" s="501"/>
      <c r="II2833" s="501"/>
      <c r="IJ2833" s="501"/>
      <c r="IK2833" s="501"/>
      <c r="IL2833" s="501"/>
      <c r="IM2833" s="501"/>
      <c r="IN2833" s="501"/>
      <c r="IO2833" s="501"/>
      <c r="IP2833" s="501"/>
      <c r="IQ2833" s="501"/>
      <c r="IR2833" s="501"/>
      <c r="IS2833" s="501"/>
      <c r="IT2833" s="501"/>
      <c r="IU2833" s="501"/>
    </row>
    <row r="2834" spans="1:255" s="877" customFormat="1" ht="24" customHeight="1">
      <c r="A2834" s="501"/>
      <c r="B2834" s="501"/>
      <c r="C2834" s="501"/>
      <c r="D2834" s="501"/>
      <c r="E2834" s="501"/>
      <c r="F2834" s="968"/>
      <c r="G2834" s="1107"/>
      <c r="H2834" s="968"/>
      <c r="I2834" s="973"/>
      <c r="J2834" s="973"/>
      <c r="K2834" s="968"/>
      <c r="L2834" s="974"/>
      <c r="M2834" s="1109"/>
      <c r="N2834" s="501"/>
      <c r="O2834" s="974"/>
      <c r="P2834" s="1152"/>
      <c r="Q2834" s="973"/>
      <c r="R2834" s="1097"/>
      <c r="S2834" s="1101"/>
      <c r="T2834" s="1097"/>
      <c r="V2834" s="501"/>
      <c r="W2834" s="501"/>
      <c r="X2834" s="501"/>
      <c r="Y2834" s="501"/>
      <c r="Z2834" s="501"/>
      <c r="AA2834" s="501"/>
      <c r="AB2834" s="501"/>
      <c r="AC2834" s="501"/>
      <c r="AD2834" s="501"/>
      <c r="AE2834" s="501"/>
      <c r="AF2834" s="501"/>
      <c r="AG2834" s="501"/>
      <c r="AH2834" s="501"/>
      <c r="AI2834" s="501"/>
      <c r="AJ2834" s="501"/>
      <c r="AK2834" s="501"/>
      <c r="AL2834" s="501"/>
      <c r="AM2834" s="501"/>
      <c r="AN2834" s="501"/>
      <c r="AO2834" s="501"/>
      <c r="AP2834" s="501"/>
      <c r="AQ2834" s="501"/>
      <c r="AR2834" s="501"/>
      <c r="AS2834" s="501"/>
      <c r="AT2834" s="501"/>
      <c r="AU2834" s="501"/>
      <c r="AV2834" s="501"/>
      <c r="AW2834" s="501"/>
      <c r="AX2834" s="501"/>
      <c r="AY2834" s="501"/>
      <c r="AZ2834" s="501"/>
      <c r="BA2834" s="501"/>
      <c r="BB2834" s="501"/>
      <c r="BC2834" s="501"/>
      <c r="BD2834" s="501"/>
      <c r="BE2834" s="501"/>
      <c r="BF2834" s="501"/>
      <c r="BG2834" s="501"/>
      <c r="BH2834" s="501"/>
      <c r="BI2834" s="501"/>
      <c r="BJ2834" s="501"/>
      <c r="BK2834" s="501"/>
      <c r="BL2834" s="501"/>
      <c r="BM2834" s="501"/>
      <c r="BN2834" s="501"/>
      <c r="BO2834" s="501"/>
      <c r="BP2834" s="501"/>
      <c r="BQ2834" s="501"/>
      <c r="BR2834" s="501"/>
      <c r="BS2834" s="501"/>
      <c r="BT2834" s="501"/>
      <c r="BU2834" s="501"/>
      <c r="BV2834" s="501"/>
      <c r="BW2834" s="501"/>
      <c r="BX2834" s="501"/>
      <c r="BY2834" s="501"/>
      <c r="BZ2834" s="501"/>
      <c r="CA2834" s="501"/>
      <c r="CB2834" s="501"/>
      <c r="CC2834" s="501"/>
      <c r="CD2834" s="501"/>
      <c r="CE2834" s="501"/>
      <c r="CF2834" s="501"/>
      <c r="CG2834" s="501"/>
      <c r="CH2834" s="501"/>
      <c r="CI2834" s="501"/>
      <c r="CJ2834" s="501"/>
      <c r="CK2834" s="501"/>
      <c r="CL2834" s="501"/>
      <c r="CM2834" s="501"/>
      <c r="CN2834" s="501"/>
      <c r="CO2834" s="501"/>
      <c r="CP2834" s="501"/>
      <c r="CQ2834" s="501"/>
      <c r="CR2834" s="501"/>
      <c r="CS2834" s="501"/>
      <c r="CT2834" s="501"/>
      <c r="CU2834" s="501"/>
      <c r="CV2834" s="501"/>
      <c r="CW2834" s="501"/>
      <c r="CX2834" s="501"/>
      <c r="CY2834" s="501"/>
      <c r="CZ2834" s="501"/>
      <c r="DA2834" s="501"/>
      <c r="DB2834" s="501"/>
      <c r="DC2834" s="501"/>
      <c r="DD2834" s="501"/>
      <c r="DE2834" s="501"/>
      <c r="DF2834" s="501"/>
      <c r="DG2834" s="501"/>
      <c r="DH2834" s="501"/>
      <c r="DI2834" s="501"/>
      <c r="DJ2834" s="501"/>
      <c r="DK2834" s="501"/>
      <c r="DL2834" s="501"/>
      <c r="DM2834" s="501"/>
      <c r="DN2834" s="501"/>
      <c r="DO2834" s="501"/>
      <c r="DP2834" s="501"/>
      <c r="DQ2834" s="501"/>
      <c r="DR2834" s="501"/>
      <c r="DS2834" s="501"/>
      <c r="DT2834" s="501"/>
      <c r="DU2834" s="501"/>
      <c r="DV2834" s="501"/>
      <c r="DW2834" s="501"/>
      <c r="DX2834" s="501"/>
      <c r="DY2834" s="501"/>
      <c r="DZ2834" s="501"/>
      <c r="EA2834" s="501"/>
      <c r="EB2834" s="501"/>
      <c r="EC2834" s="501"/>
      <c r="ED2834" s="501"/>
      <c r="EE2834" s="501"/>
      <c r="EF2834" s="501"/>
      <c r="EG2834" s="501"/>
      <c r="EH2834" s="501"/>
      <c r="EI2834" s="501"/>
      <c r="EJ2834" s="501"/>
      <c r="EK2834" s="501"/>
      <c r="EL2834" s="501"/>
      <c r="EM2834" s="501"/>
      <c r="EN2834" s="501"/>
      <c r="EO2834" s="501"/>
      <c r="EP2834" s="501"/>
      <c r="EQ2834" s="501"/>
      <c r="ER2834" s="501"/>
      <c r="ES2834" s="501"/>
      <c r="ET2834" s="501"/>
      <c r="EU2834" s="501"/>
      <c r="EV2834" s="501"/>
      <c r="EW2834" s="501"/>
      <c r="EX2834" s="501"/>
      <c r="EY2834" s="501"/>
      <c r="EZ2834" s="501"/>
      <c r="FA2834" s="501"/>
      <c r="FB2834" s="501"/>
      <c r="FC2834" s="501"/>
      <c r="FD2834" s="501"/>
      <c r="FE2834" s="501"/>
      <c r="FF2834" s="501"/>
      <c r="FG2834" s="501"/>
      <c r="FH2834" s="501"/>
      <c r="FI2834" s="501"/>
      <c r="FJ2834" s="501"/>
      <c r="FK2834" s="501"/>
      <c r="FL2834" s="501"/>
      <c r="FM2834" s="501"/>
      <c r="FN2834" s="501"/>
      <c r="FO2834" s="501"/>
      <c r="FP2834" s="501"/>
      <c r="FQ2834" s="501"/>
      <c r="FR2834" s="501"/>
      <c r="FS2834" s="501"/>
      <c r="FT2834" s="501"/>
      <c r="FU2834" s="501"/>
      <c r="FV2834" s="501"/>
      <c r="FW2834" s="501"/>
      <c r="FX2834" s="501"/>
      <c r="FY2834" s="501"/>
      <c r="FZ2834" s="501"/>
      <c r="GA2834" s="501"/>
      <c r="GB2834" s="501"/>
      <c r="GC2834" s="501"/>
      <c r="GD2834" s="501"/>
      <c r="GE2834" s="501"/>
      <c r="GF2834" s="501"/>
      <c r="GG2834" s="501"/>
      <c r="GH2834" s="501"/>
      <c r="GI2834" s="501"/>
      <c r="GJ2834" s="501"/>
      <c r="GK2834" s="501"/>
      <c r="GL2834" s="501"/>
      <c r="GM2834" s="501"/>
      <c r="GN2834" s="501"/>
      <c r="GO2834" s="501"/>
      <c r="GP2834" s="501"/>
      <c r="GQ2834" s="501"/>
      <c r="GR2834" s="501"/>
      <c r="GS2834" s="501"/>
      <c r="GT2834" s="501"/>
      <c r="GU2834" s="501"/>
      <c r="GV2834" s="501"/>
      <c r="GW2834" s="501"/>
      <c r="GX2834" s="501"/>
      <c r="GY2834" s="501"/>
      <c r="GZ2834" s="501"/>
      <c r="HA2834" s="501"/>
      <c r="HB2834" s="501"/>
      <c r="HC2834" s="501"/>
      <c r="HD2834" s="501"/>
      <c r="HE2834" s="501"/>
      <c r="HF2834" s="501"/>
      <c r="HG2834" s="501"/>
      <c r="HH2834" s="501"/>
      <c r="HI2834" s="501"/>
      <c r="HJ2834" s="501"/>
      <c r="HK2834" s="501"/>
      <c r="HL2834" s="501"/>
      <c r="HM2834" s="501"/>
      <c r="HN2834" s="501"/>
      <c r="HO2834" s="501"/>
      <c r="HP2834" s="501"/>
      <c r="HQ2834" s="501"/>
      <c r="HR2834" s="501"/>
      <c r="HS2834" s="501"/>
      <c r="HT2834" s="501"/>
      <c r="HU2834" s="501"/>
      <c r="HV2834" s="501"/>
      <c r="HW2834" s="501"/>
      <c r="HX2834" s="501"/>
      <c r="HY2834" s="501"/>
      <c r="HZ2834" s="501"/>
      <c r="IA2834" s="501"/>
      <c r="IB2834" s="501"/>
      <c r="IC2834" s="501"/>
      <c r="ID2834" s="501"/>
      <c r="IE2834" s="501"/>
      <c r="IF2834" s="501"/>
      <c r="IG2834" s="501"/>
      <c r="IH2834" s="501"/>
      <c r="II2834" s="501"/>
      <c r="IJ2834" s="501"/>
      <c r="IK2834" s="501"/>
      <c r="IL2834" s="501"/>
      <c r="IM2834" s="501"/>
      <c r="IN2834" s="501"/>
      <c r="IO2834" s="501"/>
      <c r="IP2834" s="501"/>
      <c r="IQ2834" s="501"/>
      <c r="IR2834" s="501"/>
      <c r="IS2834" s="501"/>
      <c r="IT2834" s="501"/>
      <c r="IU2834" s="501"/>
    </row>
    <row r="2835" spans="1:255" s="877" customFormat="1" ht="24" customHeight="1">
      <c r="A2835" s="501"/>
      <c r="B2835" s="501"/>
      <c r="C2835" s="501"/>
      <c r="D2835" s="501"/>
      <c r="E2835" s="501"/>
      <c r="F2835" s="968"/>
      <c r="G2835" s="1107"/>
      <c r="H2835" s="968"/>
      <c r="I2835" s="973"/>
      <c r="J2835" s="973"/>
      <c r="K2835" s="968"/>
      <c r="L2835" s="974"/>
      <c r="M2835" s="1109"/>
      <c r="N2835" s="501"/>
      <c r="O2835" s="1097"/>
      <c r="P2835" s="1151"/>
      <c r="Q2835" s="973"/>
      <c r="R2835" s="1104"/>
      <c r="S2835" s="1101"/>
      <c r="T2835" s="1097"/>
      <c r="V2835" s="501"/>
      <c r="W2835" s="501"/>
      <c r="X2835" s="501"/>
      <c r="Y2835" s="501"/>
      <c r="Z2835" s="501"/>
      <c r="AA2835" s="501"/>
      <c r="AB2835" s="501"/>
      <c r="AC2835" s="501"/>
      <c r="AD2835" s="501"/>
      <c r="AE2835" s="501"/>
      <c r="AF2835" s="501"/>
      <c r="AG2835" s="501"/>
      <c r="AH2835" s="501"/>
      <c r="AI2835" s="501"/>
      <c r="AJ2835" s="501"/>
      <c r="AK2835" s="501"/>
      <c r="AL2835" s="501"/>
      <c r="AM2835" s="501"/>
      <c r="AN2835" s="501"/>
      <c r="AO2835" s="501"/>
      <c r="AP2835" s="501"/>
      <c r="AQ2835" s="501"/>
      <c r="AR2835" s="501"/>
      <c r="AS2835" s="501"/>
      <c r="AT2835" s="501"/>
      <c r="AU2835" s="501"/>
      <c r="AV2835" s="501"/>
      <c r="AW2835" s="501"/>
      <c r="AX2835" s="501"/>
      <c r="AY2835" s="501"/>
      <c r="AZ2835" s="501"/>
      <c r="BA2835" s="501"/>
      <c r="BB2835" s="501"/>
      <c r="BC2835" s="501"/>
      <c r="BD2835" s="501"/>
      <c r="BE2835" s="501"/>
      <c r="BF2835" s="501"/>
      <c r="BG2835" s="501"/>
      <c r="BH2835" s="501"/>
      <c r="BI2835" s="501"/>
      <c r="BJ2835" s="501"/>
      <c r="BK2835" s="501"/>
      <c r="BL2835" s="501"/>
      <c r="BM2835" s="501"/>
      <c r="BN2835" s="501"/>
      <c r="BO2835" s="501"/>
      <c r="BP2835" s="501"/>
      <c r="BQ2835" s="501"/>
      <c r="BR2835" s="501"/>
      <c r="BS2835" s="501"/>
      <c r="BT2835" s="501"/>
      <c r="BU2835" s="501"/>
      <c r="BV2835" s="501"/>
      <c r="BW2835" s="501"/>
      <c r="BX2835" s="501"/>
      <c r="BY2835" s="501"/>
      <c r="BZ2835" s="501"/>
      <c r="CA2835" s="501"/>
      <c r="CB2835" s="501"/>
      <c r="CC2835" s="501"/>
      <c r="CD2835" s="501"/>
      <c r="CE2835" s="501"/>
      <c r="CF2835" s="501"/>
      <c r="CG2835" s="501"/>
      <c r="CH2835" s="501"/>
      <c r="CI2835" s="501"/>
      <c r="CJ2835" s="501"/>
      <c r="CK2835" s="501"/>
      <c r="CL2835" s="501"/>
      <c r="CM2835" s="501"/>
      <c r="CN2835" s="501"/>
      <c r="CO2835" s="501"/>
      <c r="CP2835" s="501"/>
      <c r="CQ2835" s="501"/>
      <c r="CR2835" s="501"/>
      <c r="CS2835" s="501"/>
      <c r="CT2835" s="501"/>
      <c r="CU2835" s="501"/>
      <c r="CV2835" s="501"/>
      <c r="CW2835" s="501"/>
      <c r="CX2835" s="501"/>
      <c r="CY2835" s="501"/>
      <c r="CZ2835" s="501"/>
      <c r="DA2835" s="501"/>
      <c r="DB2835" s="501"/>
      <c r="DC2835" s="501"/>
      <c r="DD2835" s="501"/>
      <c r="DE2835" s="501"/>
      <c r="DF2835" s="501"/>
      <c r="DG2835" s="501"/>
      <c r="DH2835" s="501"/>
      <c r="DI2835" s="501"/>
      <c r="DJ2835" s="501"/>
      <c r="DK2835" s="501"/>
      <c r="DL2835" s="501"/>
      <c r="DM2835" s="501"/>
      <c r="DN2835" s="501"/>
      <c r="DO2835" s="501"/>
      <c r="DP2835" s="501"/>
      <c r="DQ2835" s="501"/>
      <c r="DR2835" s="501"/>
      <c r="DS2835" s="501"/>
      <c r="DT2835" s="501"/>
      <c r="DU2835" s="501"/>
      <c r="DV2835" s="501"/>
      <c r="DW2835" s="501"/>
      <c r="DX2835" s="501"/>
      <c r="DY2835" s="501"/>
      <c r="DZ2835" s="501"/>
      <c r="EA2835" s="501"/>
      <c r="EB2835" s="501"/>
      <c r="EC2835" s="501"/>
      <c r="ED2835" s="501"/>
      <c r="EE2835" s="501"/>
      <c r="EF2835" s="501"/>
      <c r="EG2835" s="501"/>
      <c r="EH2835" s="501"/>
      <c r="EI2835" s="501"/>
      <c r="EJ2835" s="501"/>
      <c r="EK2835" s="501"/>
      <c r="EL2835" s="501"/>
      <c r="EM2835" s="501"/>
      <c r="EN2835" s="501"/>
      <c r="EO2835" s="501"/>
      <c r="EP2835" s="501"/>
      <c r="EQ2835" s="501"/>
      <c r="ER2835" s="501"/>
      <c r="ES2835" s="501"/>
      <c r="ET2835" s="501"/>
      <c r="EU2835" s="501"/>
      <c r="EV2835" s="501"/>
      <c r="EW2835" s="501"/>
      <c r="EX2835" s="501"/>
      <c r="EY2835" s="501"/>
      <c r="EZ2835" s="501"/>
      <c r="FA2835" s="501"/>
      <c r="FB2835" s="501"/>
      <c r="FC2835" s="501"/>
      <c r="FD2835" s="501"/>
      <c r="FE2835" s="501"/>
      <c r="FF2835" s="501"/>
      <c r="FG2835" s="501"/>
      <c r="FH2835" s="501"/>
      <c r="FI2835" s="501"/>
      <c r="FJ2835" s="501"/>
      <c r="FK2835" s="501"/>
      <c r="FL2835" s="501"/>
      <c r="FM2835" s="501"/>
      <c r="FN2835" s="501"/>
      <c r="FO2835" s="501"/>
      <c r="FP2835" s="501"/>
      <c r="FQ2835" s="501"/>
      <c r="FR2835" s="501"/>
      <c r="FS2835" s="501"/>
      <c r="FT2835" s="501"/>
      <c r="FU2835" s="501"/>
      <c r="FV2835" s="501"/>
      <c r="FW2835" s="501"/>
      <c r="FX2835" s="501"/>
      <c r="FY2835" s="501"/>
      <c r="FZ2835" s="501"/>
      <c r="GA2835" s="501"/>
      <c r="GB2835" s="501"/>
      <c r="GC2835" s="501"/>
      <c r="GD2835" s="501"/>
      <c r="GE2835" s="501"/>
      <c r="GF2835" s="501"/>
      <c r="GG2835" s="501"/>
      <c r="GH2835" s="501"/>
      <c r="GI2835" s="501"/>
      <c r="GJ2835" s="501"/>
      <c r="GK2835" s="501"/>
      <c r="GL2835" s="501"/>
      <c r="GM2835" s="501"/>
      <c r="GN2835" s="501"/>
      <c r="GO2835" s="501"/>
      <c r="GP2835" s="501"/>
      <c r="GQ2835" s="501"/>
      <c r="GR2835" s="501"/>
      <c r="GS2835" s="501"/>
      <c r="GT2835" s="501"/>
      <c r="GU2835" s="501"/>
      <c r="GV2835" s="501"/>
      <c r="GW2835" s="501"/>
      <c r="GX2835" s="501"/>
      <c r="GY2835" s="501"/>
      <c r="GZ2835" s="501"/>
      <c r="HA2835" s="501"/>
      <c r="HB2835" s="501"/>
      <c r="HC2835" s="501"/>
      <c r="HD2835" s="501"/>
      <c r="HE2835" s="501"/>
      <c r="HF2835" s="501"/>
      <c r="HG2835" s="501"/>
      <c r="HH2835" s="501"/>
      <c r="HI2835" s="501"/>
      <c r="HJ2835" s="501"/>
      <c r="HK2835" s="501"/>
      <c r="HL2835" s="501"/>
      <c r="HM2835" s="501"/>
      <c r="HN2835" s="501"/>
      <c r="HO2835" s="501"/>
      <c r="HP2835" s="501"/>
      <c r="HQ2835" s="501"/>
      <c r="HR2835" s="501"/>
      <c r="HS2835" s="501"/>
      <c r="HT2835" s="501"/>
      <c r="HU2835" s="501"/>
      <c r="HV2835" s="501"/>
      <c r="HW2835" s="501"/>
      <c r="HX2835" s="501"/>
      <c r="HY2835" s="501"/>
      <c r="HZ2835" s="501"/>
      <c r="IA2835" s="501"/>
      <c r="IB2835" s="501"/>
      <c r="IC2835" s="501"/>
      <c r="ID2835" s="501"/>
      <c r="IE2835" s="501"/>
      <c r="IF2835" s="501"/>
      <c r="IG2835" s="501"/>
      <c r="IH2835" s="501"/>
      <c r="II2835" s="501"/>
      <c r="IJ2835" s="501"/>
      <c r="IK2835" s="501"/>
      <c r="IL2835" s="501"/>
      <c r="IM2835" s="501"/>
      <c r="IN2835" s="501"/>
      <c r="IO2835" s="501"/>
      <c r="IP2835" s="501"/>
      <c r="IQ2835" s="501"/>
      <c r="IR2835" s="501"/>
      <c r="IS2835" s="501"/>
      <c r="IT2835" s="501"/>
      <c r="IU2835" s="501"/>
    </row>
    <row r="2836" spans="1:255" s="877" customFormat="1" ht="24" customHeight="1">
      <c r="A2836" s="501"/>
      <c r="B2836" s="501"/>
      <c r="C2836" s="501"/>
      <c r="D2836" s="501"/>
      <c r="E2836" s="501"/>
      <c r="F2836" s="1097"/>
      <c r="G2836" s="1098"/>
      <c r="H2836" s="1097"/>
      <c r="I2836" s="1099"/>
      <c r="J2836" s="1097"/>
      <c r="K2836" s="1097"/>
      <c r="L2836" s="1101"/>
      <c r="M2836" s="1109"/>
      <c r="N2836" s="501"/>
      <c r="O2836" s="1097"/>
      <c r="P2836" s="1151"/>
      <c r="Q2836" s="973"/>
      <c r="R2836" s="1104"/>
      <c r="S2836" s="1101"/>
      <c r="T2836" s="1097"/>
      <c r="V2836" s="501"/>
      <c r="W2836" s="501"/>
      <c r="X2836" s="501"/>
      <c r="Y2836" s="501"/>
      <c r="Z2836" s="501"/>
      <c r="AA2836" s="501"/>
      <c r="AB2836" s="501"/>
      <c r="AC2836" s="501"/>
      <c r="AD2836" s="501"/>
      <c r="AE2836" s="501"/>
      <c r="AF2836" s="501"/>
      <c r="AG2836" s="501"/>
      <c r="AH2836" s="501"/>
      <c r="AI2836" s="501"/>
      <c r="AJ2836" s="501"/>
      <c r="AK2836" s="501"/>
      <c r="AL2836" s="501"/>
      <c r="AM2836" s="501"/>
      <c r="AN2836" s="501"/>
      <c r="AO2836" s="501"/>
      <c r="AP2836" s="501"/>
      <c r="AQ2836" s="501"/>
      <c r="AR2836" s="501"/>
      <c r="AS2836" s="501"/>
      <c r="AT2836" s="501"/>
      <c r="AU2836" s="501"/>
      <c r="AV2836" s="501"/>
      <c r="AW2836" s="501"/>
      <c r="AX2836" s="501"/>
      <c r="AY2836" s="501"/>
      <c r="AZ2836" s="501"/>
      <c r="BA2836" s="501"/>
      <c r="BB2836" s="501"/>
      <c r="BC2836" s="501"/>
      <c r="BD2836" s="501"/>
      <c r="BE2836" s="501"/>
      <c r="BF2836" s="501"/>
      <c r="BG2836" s="501"/>
      <c r="BH2836" s="501"/>
      <c r="BI2836" s="501"/>
      <c r="BJ2836" s="501"/>
      <c r="BK2836" s="501"/>
      <c r="BL2836" s="501"/>
      <c r="BM2836" s="501"/>
      <c r="BN2836" s="501"/>
      <c r="BO2836" s="501"/>
      <c r="BP2836" s="501"/>
      <c r="BQ2836" s="501"/>
      <c r="BR2836" s="501"/>
      <c r="BS2836" s="501"/>
      <c r="BT2836" s="501"/>
      <c r="BU2836" s="501"/>
      <c r="BV2836" s="501"/>
      <c r="BW2836" s="501"/>
      <c r="BX2836" s="501"/>
      <c r="BY2836" s="501"/>
      <c r="BZ2836" s="501"/>
      <c r="CA2836" s="501"/>
      <c r="CB2836" s="501"/>
      <c r="CC2836" s="501"/>
      <c r="CD2836" s="501"/>
      <c r="CE2836" s="501"/>
      <c r="CF2836" s="501"/>
      <c r="CG2836" s="501"/>
      <c r="CH2836" s="501"/>
      <c r="CI2836" s="501"/>
      <c r="CJ2836" s="501"/>
      <c r="CK2836" s="501"/>
      <c r="CL2836" s="501"/>
      <c r="CM2836" s="501"/>
      <c r="CN2836" s="501"/>
      <c r="CO2836" s="501"/>
      <c r="CP2836" s="501"/>
      <c r="CQ2836" s="501"/>
      <c r="CR2836" s="501"/>
      <c r="CS2836" s="501"/>
      <c r="CT2836" s="501"/>
      <c r="CU2836" s="501"/>
      <c r="CV2836" s="501"/>
      <c r="CW2836" s="501"/>
      <c r="CX2836" s="501"/>
      <c r="CY2836" s="501"/>
      <c r="CZ2836" s="501"/>
      <c r="DA2836" s="501"/>
      <c r="DB2836" s="501"/>
      <c r="DC2836" s="501"/>
      <c r="DD2836" s="501"/>
      <c r="DE2836" s="501"/>
      <c r="DF2836" s="501"/>
      <c r="DG2836" s="501"/>
      <c r="DH2836" s="501"/>
      <c r="DI2836" s="501"/>
      <c r="DJ2836" s="501"/>
      <c r="DK2836" s="501"/>
      <c r="DL2836" s="501"/>
      <c r="DM2836" s="501"/>
      <c r="DN2836" s="501"/>
      <c r="DO2836" s="501"/>
      <c r="DP2836" s="501"/>
      <c r="DQ2836" s="501"/>
      <c r="DR2836" s="501"/>
      <c r="DS2836" s="501"/>
      <c r="DT2836" s="501"/>
      <c r="DU2836" s="501"/>
      <c r="DV2836" s="501"/>
      <c r="DW2836" s="501"/>
      <c r="DX2836" s="501"/>
      <c r="DY2836" s="501"/>
      <c r="DZ2836" s="501"/>
      <c r="EA2836" s="501"/>
      <c r="EB2836" s="501"/>
      <c r="EC2836" s="501"/>
      <c r="ED2836" s="501"/>
      <c r="EE2836" s="501"/>
      <c r="EF2836" s="501"/>
      <c r="EG2836" s="501"/>
      <c r="EH2836" s="501"/>
      <c r="EI2836" s="501"/>
      <c r="EJ2836" s="501"/>
      <c r="EK2836" s="501"/>
      <c r="EL2836" s="501"/>
      <c r="EM2836" s="501"/>
      <c r="EN2836" s="501"/>
      <c r="EO2836" s="501"/>
      <c r="EP2836" s="501"/>
      <c r="EQ2836" s="501"/>
      <c r="ER2836" s="501"/>
      <c r="ES2836" s="501"/>
      <c r="ET2836" s="501"/>
      <c r="EU2836" s="501"/>
      <c r="EV2836" s="501"/>
      <c r="EW2836" s="501"/>
      <c r="EX2836" s="501"/>
      <c r="EY2836" s="501"/>
      <c r="EZ2836" s="501"/>
      <c r="FA2836" s="501"/>
      <c r="FB2836" s="501"/>
      <c r="FC2836" s="501"/>
      <c r="FD2836" s="501"/>
      <c r="FE2836" s="501"/>
      <c r="FF2836" s="501"/>
      <c r="FG2836" s="501"/>
      <c r="FH2836" s="501"/>
      <c r="FI2836" s="501"/>
      <c r="FJ2836" s="501"/>
      <c r="FK2836" s="501"/>
      <c r="FL2836" s="501"/>
      <c r="FM2836" s="501"/>
      <c r="FN2836" s="501"/>
      <c r="FO2836" s="501"/>
      <c r="FP2836" s="501"/>
      <c r="FQ2836" s="501"/>
      <c r="FR2836" s="501"/>
      <c r="FS2836" s="501"/>
      <c r="FT2836" s="501"/>
      <c r="FU2836" s="501"/>
      <c r="FV2836" s="501"/>
      <c r="FW2836" s="501"/>
      <c r="FX2836" s="501"/>
      <c r="FY2836" s="501"/>
      <c r="FZ2836" s="501"/>
      <c r="GA2836" s="501"/>
      <c r="GB2836" s="501"/>
      <c r="GC2836" s="501"/>
      <c r="GD2836" s="501"/>
      <c r="GE2836" s="501"/>
      <c r="GF2836" s="501"/>
      <c r="GG2836" s="501"/>
      <c r="GH2836" s="501"/>
      <c r="GI2836" s="501"/>
      <c r="GJ2836" s="501"/>
      <c r="GK2836" s="501"/>
      <c r="GL2836" s="501"/>
      <c r="GM2836" s="501"/>
      <c r="GN2836" s="501"/>
      <c r="GO2836" s="501"/>
      <c r="GP2836" s="501"/>
      <c r="GQ2836" s="501"/>
      <c r="GR2836" s="501"/>
      <c r="GS2836" s="501"/>
      <c r="GT2836" s="501"/>
      <c r="GU2836" s="501"/>
      <c r="GV2836" s="501"/>
      <c r="GW2836" s="501"/>
      <c r="GX2836" s="501"/>
      <c r="GY2836" s="501"/>
      <c r="GZ2836" s="501"/>
      <c r="HA2836" s="501"/>
      <c r="HB2836" s="501"/>
      <c r="HC2836" s="501"/>
      <c r="HD2836" s="501"/>
      <c r="HE2836" s="501"/>
      <c r="HF2836" s="501"/>
      <c r="HG2836" s="501"/>
      <c r="HH2836" s="501"/>
      <c r="HI2836" s="501"/>
      <c r="HJ2836" s="501"/>
      <c r="HK2836" s="501"/>
      <c r="HL2836" s="501"/>
      <c r="HM2836" s="501"/>
      <c r="HN2836" s="501"/>
      <c r="HO2836" s="501"/>
      <c r="HP2836" s="501"/>
      <c r="HQ2836" s="501"/>
      <c r="HR2836" s="501"/>
      <c r="HS2836" s="501"/>
      <c r="HT2836" s="501"/>
      <c r="HU2836" s="501"/>
      <c r="HV2836" s="501"/>
      <c r="HW2836" s="501"/>
      <c r="HX2836" s="501"/>
      <c r="HY2836" s="501"/>
      <c r="HZ2836" s="501"/>
      <c r="IA2836" s="501"/>
      <c r="IB2836" s="501"/>
      <c r="IC2836" s="501"/>
      <c r="ID2836" s="501"/>
      <c r="IE2836" s="501"/>
      <c r="IF2836" s="501"/>
      <c r="IG2836" s="501"/>
      <c r="IH2836" s="501"/>
      <c r="II2836" s="501"/>
      <c r="IJ2836" s="501"/>
      <c r="IK2836" s="501"/>
      <c r="IL2836" s="501"/>
      <c r="IM2836" s="501"/>
      <c r="IN2836" s="501"/>
      <c r="IO2836" s="501"/>
      <c r="IP2836" s="501"/>
      <c r="IQ2836" s="501"/>
      <c r="IR2836" s="501"/>
      <c r="IS2836" s="501"/>
      <c r="IT2836" s="501"/>
      <c r="IU2836" s="501"/>
    </row>
    <row r="2837" spans="1:255" s="877" customFormat="1" ht="24" customHeight="1">
      <c r="A2837" s="501"/>
      <c r="B2837" s="501"/>
      <c r="C2837" s="501"/>
      <c r="D2837" s="501"/>
      <c r="E2837" s="501"/>
      <c r="F2837" s="1097"/>
      <c r="G2837" s="1098"/>
      <c r="H2837" s="1097"/>
      <c r="I2837" s="1099"/>
      <c r="J2837" s="973"/>
      <c r="K2837" s="1097"/>
      <c r="L2837" s="1101"/>
      <c r="M2837" s="1109"/>
      <c r="N2837" s="501"/>
      <c r="O2837" s="1097"/>
      <c r="P2837" s="1151"/>
      <c r="Q2837" s="1106"/>
      <c r="R2837" s="501"/>
      <c r="S2837" s="1101"/>
      <c r="T2837" s="1097"/>
      <c r="V2837" s="501"/>
      <c r="W2837" s="501"/>
      <c r="X2837" s="501"/>
      <c r="Y2837" s="501"/>
      <c r="Z2837" s="501"/>
      <c r="AA2837" s="501"/>
      <c r="AB2837" s="501"/>
      <c r="AC2837" s="501"/>
      <c r="AD2837" s="501"/>
      <c r="AE2837" s="501"/>
      <c r="AF2837" s="501"/>
      <c r="AG2837" s="501"/>
      <c r="AH2837" s="501"/>
      <c r="AI2837" s="501"/>
      <c r="AJ2837" s="501"/>
      <c r="AK2837" s="501"/>
      <c r="AL2837" s="501"/>
      <c r="AM2837" s="501"/>
      <c r="AN2837" s="501"/>
      <c r="AO2837" s="501"/>
      <c r="AP2837" s="501"/>
      <c r="AQ2837" s="501"/>
      <c r="AR2837" s="501"/>
      <c r="AS2837" s="501"/>
      <c r="AT2837" s="501"/>
      <c r="AU2837" s="501"/>
      <c r="AV2837" s="501"/>
      <c r="AW2837" s="501"/>
      <c r="AX2837" s="501"/>
      <c r="AY2837" s="501"/>
      <c r="AZ2837" s="501"/>
      <c r="BA2837" s="501"/>
      <c r="BB2837" s="501"/>
      <c r="BC2837" s="501"/>
      <c r="BD2837" s="501"/>
      <c r="BE2837" s="501"/>
      <c r="BF2837" s="501"/>
      <c r="BG2837" s="501"/>
      <c r="BH2837" s="501"/>
      <c r="BI2837" s="501"/>
      <c r="BJ2837" s="501"/>
      <c r="BK2837" s="501"/>
      <c r="BL2837" s="501"/>
      <c r="BM2837" s="501"/>
      <c r="BN2837" s="501"/>
      <c r="BO2837" s="501"/>
      <c r="BP2837" s="501"/>
      <c r="BQ2837" s="501"/>
      <c r="BR2837" s="501"/>
      <c r="BS2837" s="501"/>
      <c r="BT2837" s="501"/>
      <c r="BU2837" s="501"/>
      <c r="BV2837" s="501"/>
      <c r="BW2837" s="501"/>
      <c r="BX2837" s="501"/>
      <c r="BY2837" s="501"/>
      <c r="BZ2837" s="501"/>
      <c r="CA2837" s="501"/>
      <c r="CB2837" s="501"/>
      <c r="CC2837" s="501"/>
      <c r="CD2837" s="501"/>
      <c r="CE2837" s="501"/>
      <c r="CF2837" s="501"/>
      <c r="CG2837" s="501"/>
      <c r="CH2837" s="501"/>
      <c r="CI2837" s="501"/>
      <c r="CJ2837" s="501"/>
      <c r="CK2837" s="501"/>
      <c r="CL2837" s="501"/>
      <c r="CM2837" s="501"/>
      <c r="CN2837" s="501"/>
      <c r="CO2837" s="501"/>
      <c r="CP2837" s="501"/>
      <c r="CQ2837" s="501"/>
      <c r="CR2837" s="501"/>
      <c r="CS2837" s="501"/>
      <c r="CT2837" s="501"/>
      <c r="CU2837" s="501"/>
      <c r="CV2837" s="501"/>
      <c r="CW2837" s="501"/>
      <c r="CX2837" s="501"/>
      <c r="CY2837" s="501"/>
      <c r="CZ2837" s="501"/>
      <c r="DA2837" s="501"/>
      <c r="DB2837" s="501"/>
      <c r="DC2837" s="501"/>
      <c r="DD2837" s="501"/>
      <c r="DE2837" s="501"/>
      <c r="DF2837" s="501"/>
      <c r="DG2837" s="501"/>
      <c r="DH2837" s="501"/>
      <c r="DI2837" s="501"/>
      <c r="DJ2837" s="501"/>
      <c r="DK2837" s="501"/>
      <c r="DL2837" s="501"/>
      <c r="DM2837" s="501"/>
      <c r="DN2837" s="501"/>
      <c r="DO2837" s="501"/>
      <c r="DP2837" s="501"/>
      <c r="DQ2837" s="501"/>
      <c r="DR2837" s="501"/>
      <c r="DS2837" s="501"/>
      <c r="DT2837" s="501"/>
      <c r="DU2837" s="501"/>
      <c r="DV2837" s="501"/>
      <c r="DW2837" s="501"/>
      <c r="DX2837" s="501"/>
      <c r="DY2837" s="501"/>
      <c r="DZ2837" s="501"/>
      <c r="EA2837" s="501"/>
      <c r="EB2837" s="501"/>
      <c r="EC2837" s="501"/>
      <c r="ED2837" s="501"/>
      <c r="EE2837" s="501"/>
      <c r="EF2837" s="501"/>
      <c r="EG2837" s="501"/>
      <c r="EH2837" s="501"/>
      <c r="EI2837" s="501"/>
      <c r="EJ2837" s="501"/>
      <c r="EK2837" s="501"/>
      <c r="EL2837" s="501"/>
      <c r="EM2837" s="501"/>
      <c r="EN2837" s="501"/>
      <c r="EO2837" s="501"/>
      <c r="EP2837" s="501"/>
      <c r="EQ2837" s="501"/>
      <c r="ER2837" s="501"/>
      <c r="ES2837" s="501"/>
      <c r="ET2837" s="501"/>
      <c r="EU2837" s="501"/>
      <c r="EV2837" s="501"/>
      <c r="EW2837" s="501"/>
      <c r="EX2837" s="501"/>
      <c r="EY2837" s="501"/>
      <c r="EZ2837" s="501"/>
      <c r="FA2837" s="501"/>
      <c r="FB2837" s="501"/>
      <c r="FC2837" s="501"/>
      <c r="FD2837" s="501"/>
      <c r="FE2837" s="501"/>
      <c r="FF2837" s="501"/>
      <c r="FG2837" s="501"/>
      <c r="FH2837" s="501"/>
      <c r="FI2837" s="501"/>
      <c r="FJ2837" s="501"/>
      <c r="FK2837" s="501"/>
      <c r="FL2837" s="501"/>
      <c r="FM2837" s="501"/>
      <c r="FN2837" s="501"/>
      <c r="FO2837" s="501"/>
      <c r="FP2837" s="501"/>
      <c r="FQ2837" s="501"/>
      <c r="FR2837" s="501"/>
      <c r="FS2837" s="501"/>
      <c r="FT2837" s="501"/>
      <c r="FU2837" s="501"/>
      <c r="FV2837" s="501"/>
      <c r="FW2837" s="501"/>
      <c r="FX2837" s="501"/>
      <c r="FY2837" s="501"/>
      <c r="FZ2837" s="501"/>
      <c r="GA2837" s="501"/>
      <c r="GB2837" s="501"/>
      <c r="GC2837" s="501"/>
      <c r="GD2837" s="501"/>
      <c r="GE2837" s="501"/>
      <c r="GF2837" s="501"/>
      <c r="GG2837" s="501"/>
      <c r="GH2837" s="501"/>
      <c r="GI2837" s="501"/>
      <c r="GJ2837" s="501"/>
      <c r="GK2837" s="501"/>
      <c r="GL2837" s="501"/>
      <c r="GM2837" s="501"/>
      <c r="GN2837" s="501"/>
      <c r="GO2837" s="501"/>
      <c r="GP2837" s="501"/>
      <c r="GQ2837" s="501"/>
      <c r="GR2837" s="501"/>
      <c r="GS2837" s="501"/>
      <c r="GT2837" s="501"/>
      <c r="GU2837" s="501"/>
      <c r="GV2837" s="501"/>
      <c r="GW2837" s="501"/>
      <c r="GX2837" s="501"/>
      <c r="GY2837" s="501"/>
      <c r="GZ2837" s="501"/>
      <c r="HA2837" s="501"/>
      <c r="HB2837" s="501"/>
      <c r="HC2837" s="501"/>
      <c r="HD2837" s="501"/>
      <c r="HE2837" s="501"/>
      <c r="HF2837" s="501"/>
      <c r="HG2837" s="501"/>
      <c r="HH2837" s="501"/>
      <c r="HI2837" s="501"/>
      <c r="HJ2837" s="501"/>
      <c r="HK2837" s="501"/>
      <c r="HL2837" s="501"/>
      <c r="HM2837" s="501"/>
      <c r="HN2837" s="501"/>
      <c r="HO2837" s="501"/>
      <c r="HP2837" s="501"/>
      <c r="HQ2837" s="501"/>
      <c r="HR2837" s="501"/>
      <c r="HS2837" s="501"/>
      <c r="HT2837" s="501"/>
      <c r="HU2837" s="501"/>
      <c r="HV2837" s="501"/>
      <c r="HW2837" s="501"/>
      <c r="HX2837" s="501"/>
      <c r="HY2837" s="501"/>
      <c r="HZ2837" s="501"/>
      <c r="IA2837" s="501"/>
      <c r="IB2837" s="501"/>
      <c r="IC2837" s="501"/>
      <c r="ID2837" s="501"/>
      <c r="IE2837" s="501"/>
      <c r="IF2837" s="501"/>
      <c r="IG2837" s="501"/>
      <c r="IH2837" s="501"/>
      <c r="II2837" s="501"/>
      <c r="IJ2837" s="501"/>
      <c r="IK2837" s="501"/>
      <c r="IL2837" s="501"/>
      <c r="IM2837" s="501"/>
      <c r="IN2837" s="501"/>
      <c r="IO2837" s="501"/>
      <c r="IP2837" s="501"/>
      <c r="IQ2837" s="501"/>
      <c r="IR2837" s="501"/>
      <c r="IS2837" s="501"/>
      <c r="IT2837" s="501"/>
      <c r="IU2837" s="501"/>
    </row>
    <row r="2838" spans="1:255" s="877" customFormat="1" ht="24" customHeight="1">
      <c r="A2838" s="501"/>
      <c r="B2838" s="501"/>
      <c r="C2838" s="501"/>
      <c r="D2838" s="501"/>
      <c r="E2838" s="501"/>
      <c r="F2838" s="1097"/>
      <c r="G2838" s="1098"/>
      <c r="H2838" s="1097"/>
      <c r="I2838" s="1099"/>
      <c r="J2838" s="1097"/>
      <c r="K2838" s="1097"/>
      <c r="L2838" s="1101"/>
      <c r="M2838" s="1109"/>
      <c r="N2838" s="501"/>
      <c r="O2838" s="1097"/>
      <c r="P2838" s="1151"/>
      <c r="Q2838" s="973"/>
      <c r="R2838" s="1097"/>
      <c r="S2838" s="1101"/>
      <c r="T2838" s="1097"/>
      <c r="V2838" s="501"/>
      <c r="W2838" s="501"/>
      <c r="X2838" s="501"/>
      <c r="Y2838" s="501"/>
      <c r="Z2838" s="501"/>
      <c r="AA2838" s="501"/>
      <c r="AB2838" s="501"/>
      <c r="AC2838" s="501"/>
      <c r="AD2838" s="501"/>
      <c r="AE2838" s="501"/>
      <c r="AF2838" s="501"/>
      <c r="AG2838" s="501"/>
      <c r="AH2838" s="501"/>
      <c r="AI2838" s="501"/>
      <c r="AJ2838" s="501"/>
      <c r="AK2838" s="501"/>
      <c r="AL2838" s="501"/>
      <c r="AM2838" s="501"/>
      <c r="AN2838" s="501"/>
      <c r="AO2838" s="501"/>
      <c r="AP2838" s="501"/>
      <c r="AQ2838" s="501"/>
      <c r="AR2838" s="501"/>
      <c r="AS2838" s="501"/>
      <c r="AT2838" s="501"/>
      <c r="AU2838" s="501"/>
      <c r="AV2838" s="501"/>
      <c r="AW2838" s="501"/>
      <c r="AX2838" s="501"/>
      <c r="AY2838" s="501"/>
      <c r="AZ2838" s="501"/>
      <c r="BA2838" s="501"/>
      <c r="BB2838" s="501"/>
      <c r="BC2838" s="501"/>
      <c r="BD2838" s="501"/>
      <c r="BE2838" s="501"/>
      <c r="BF2838" s="501"/>
      <c r="BG2838" s="501"/>
      <c r="BH2838" s="501"/>
      <c r="BI2838" s="501"/>
      <c r="BJ2838" s="501"/>
      <c r="BK2838" s="501"/>
      <c r="BL2838" s="501"/>
      <c r="BM2838" s="501"/>
      <c r="BN2838" s="501"/>
      <c r="BO2838" s="501"/>
      <c r="BP2838" s="501"/>
      <c r="BQ2838" s="501"/>
      <c r="BR2838" s="501"/>
      <c r="BS2838" s="501"/>
      <c r="BT2838" s="501"/>
      <c r="BU2838" s="501"/>
      <c r="BV2838" s="501"/>
      <c r="BW2838" s="501"/>
      <c r="BX2838" s="501"/>
      <c r="BY2838" s="501"/>
      <c r="BZ2838" s="501"/>
      <c r="CA2838" s="501"/>
      <c r="CB2838" s="501"/>
      <c r="CC2838" s="501"/>
      <c r="CD2838" s="501"/>
      <c r="CE2838" s="501"/>
      <c r="CF2838" s="501"/>
      <c r="CG2838" s="501"/>
      <c r="CH2838" s="501"/>
      <c r="CI2838" s="501"/>
      <c r="CJ2838" s="501"/>
      <c r="CK2838" s="501"/>
      <c r="CL2838" s="501"/>
      <c r="CM2838" s="501"/>
      <c r="CN2838" s="501"/>
      <c r="CO2838" s="501"/>
      <c r="CP2838" s="501"/>
      <c r="CQ2838" s="501"/>
      <c r="CR2838" s="501"/>
      <c r="CS2838" s="501"/>
      <c r="CT2838" s="501"/>
      <c r="CU2838" s="501"/>
      <c r="CV2838" s="501"/>
      <c r="CW2838" s="501"/>
      <c r="CX2838" s="501"/>
      <c r="CY2838" s="501"/>
      <c r="CZ2838" s="501"/>
      <c r="DA2838" s="501"/>
      <c r="DB2838" s="501"/>
      <c r="DC2838" s="501"/>
      <c r="DD2838" s="501"/>
      <c r="DE2838" s="501"/>
      <c r="DF2838" s="501"/>
      <c r="DG2838" s="501"/>
      <c r="DH2838" s="501"/>
      <c r="DI2838" s="501"/>
      <c r="DJ2838" s="501"/>
      <c r="DK2838" s="501"/>
      <c r="DL2838" s="501"/>
      <c r="DM2838" s="501"/>
      <c r="DN2838" s="501"/>
      <c r="DO2838" s="501"/>
      <c r="DP2838" s="501"/>
      <c r="DQ2838" s="501"/>
      <c r="DR2838" s="501"/>
      <c r="DS2838" s="501"/>
      <c r="DT2838" s="501"/>
      <c r="DU2838" s="501"/>
      <c r="DV2838" s="501"/>
      <c r="DW2838" s="501"/>
      <c r="DX2838" s="501"/>
      <c r="DY2838" s="501"/>
      <c r="DZ2838" s="501"/>
      <c r="EA2838" s="501"/>
      <c r="EB2838" s="501"/>
      <c r="EC2838" s="501"/>
      <c r="ED2838" s="501"/>
      <c r="EE2838" s="501"/>
      <c r="EF2838" s="501"/>
      <c r="EG2838" s="501"/>
      <c r="EH2838" s="501"/>
      <c r="EI2838" s="501"/>
      <c r="EJ2838" s="501"/>
      <c r="EK2838" s="501"/>
      <c r="EL2838" s="501"/>
      <c r="EM2838" s="501"/>
      <c r="EN2838" s="501"/>
      <c r="EO2838" s="501"/>
      <c r="EP2838" s="501"/>
      <c r="EQ2838" s="501"/>
      <c r="ER2838" s="501"/>
      <c r="ES2838" s="501"/>
      <c r="ET2838" s="501"/>
      <c r="EU2838" s="501"/>
      <c r="EV2838" s="501"/>
      <c r="EW2838" s="501"/>
      <c r="EX2838" s="501"/>
      <c r="EY2838" s="501"/>
      <c r="EZ2838" s="501"/>
      <c r="FA2838" s="501"/>
      <c r="FB2838" s="501"/>
      <c r="FC2838" s="501"/>
      <c r="FD2838" s="501"/>
      <c r="FE2838" s="501"/>
      <c r="FF2838" s="501"/>
      <c r="FG2838" s="501"/>
      <c r="FH2838" s="501"/>
      <c r="FI2838" s="501"/>
      <c r="FJ2838" s="501"/>
      <c r="FK2838" s="501"/>
      <c r="FL2838" s="501"/>
      <c r="FM2838" s="501"/>
      <c r="FN2838" s="501"/>
      <c r="FO2838" s="501"/>
      <c r="FP2838" s="501"/>
      <c r="FQ2838" s="501"/>
      <c r="FR2838" s="501"/>
      <c r="FS2838" s="501"/>
      <c r="FT2838" s="501"/>
      <c r="FU2838" s="501"/>
      <c r="FV2838" s="501"/>
      <c r="FW2838" s="501"/>
      <c r="FX2838" s="501"/>
      <c r="FY2838" s="501"/>
      <c r="FZ2838" s="501"/>
      <c r="GA2838" s="501"/>
      <c r="GB2838" s="501"/>
      <c r="GC2838" s="501"/>
      <c r="GD2838" s="501"/>
      <c r="GE2838" s="501"/>
      <c r="GF2838" s="501"/>
      <c r="GG2838" s="501"/>
      <c r="GH2838" s="501"/>
      <c r="GI2838" s="501"/>
      <c r="GJ2838" s="501"/>
      <c r="GK2838" s="501"/>
      <c r="GL2838" s="501"/>
      <c r="GM2838" s="501"/>
      <c r="GN2838" s="501"/>
      <c r="GO2838" s="501"/>
      <c r="GP2838" s="501"/>
      <c r="GQ2838" s="501"/>
      <c r="GR2838" s="501"/>
      <c r="GS2838" s="501"/>
      <c r="GT2838" s="501"/>
      <c r="GU2838" s="501"/>
      <c r="GV2838" s="501"/>
      <c r="GW2838" s="501"/>
      <c r="GX2838" s="501"/>
      <c r="GY2838" s="501"/>
      <c r="GZ2838" s="501"/>
      <c r="HA2838" s="501"/>
      <c r="HB2838" s="501"/>
      <c r="HC2838" s="501"/>
      <c r="HD2838" s="501"/>
      <c r="HE2838" s="501"/>
      <c r="HF2838" s="501"/>
      <c r="HG2838" s="501"/>
      <c r="HH2838" s="501"/>
      <c r="HI2838" s="501"/>
      <c r="HJ2838" s="501"/>
      <c r="HK2838" s="501"/>
      <c r="HL2838" s="501"/>
      <c r="HM2838" s="501"/>
      <c r="HN2838" s="501"/>
      <c r="HO2838" s="501"/>
      <c r="HP2838" s="501"/>
      <c r="HQ2838" s="501"/>
      <c r="HR2838" s="501"/>
      <c r="HS2838" s="501"/>
      <c r="HT2838" s="501"/>
      <c r="HU2838" s="501"/>
      <c r="HV2838" s="501"/>
      <c r="HW2838" s="501"/>
      <c r="HX2838" s="501"/>
      <c r="HY2838" s="501"/>
      <c r="HZ2838" s="501"/>
      <c r="IA2838" s="501"/>
      <c r="IB2838" s="501"/>
      <c r="IC2838" s="501"/>
      <c r="ID2838" s="501"/>
      <c r="IE2838" s="501"/>
      <c r="IF2838" s="501"/>
      <c r="IG2838" s="501"/>
      <c r="IH2838" s="501"/>
      <c r="II2838" s="501"/>
      <c r="IJ2838" s="501"/>
      <c r="IK2838" s="501"/>
      <c r="IL2838" s="501"/>
      <c r="IM2838" s="501"/>
      <c r="IN2838" s="501"/>
      <c r="IO2838" s="501"/>
      <c r="IP2838" s="501"/>
      <c r="IQ2838" s="501"/>
      <c r="IR2838" s="501"/>
      <c r="IS2838" s="501"/>
      <c r="IT2838" s="501"/>
      <c r="IU2838" s="501"/>
    </row>
    <row r="2839" spans="1:255" s="877" customFormat="1" ht="24" customHeight="1">
      <c r="A2839" s="501"/>
      <c r="B2839" s="501"/>
      <c r="C2839" s="501"/>
      <c r="D2839" s="501"/>
      <c r="E2839" s="501"/>
      <c r="F2839" s="1097"/>
      <c r="G2839" s="1098"/>
      <c r="H2839" s="1097"/>
      <c r="I2839" s="1099"/>
      <c r="J2839" s="973"/>
      <c r="K2839" s="1097"/>
      <c r="L2839" s="1101"/>
      <c r="M2839" s="1109"/>
      <c r="N2839" s="501"/>
      <c r="O2839" s="1097"/>
      <c r="P2839" s="1151"/>
      <c r="Q2839" s="973"/>
      <c r="R2839" s="1097"/>
      <c r="S2839" s="1101"/>
      <c r="T2839" s="1097"/>
      <c r="V2839" s="501"/>
      <c r="W2839" s="501"/>
      <c r="X2839" s="501"/>
      <c r="Y2839" s="501"/>
      <c r="Z2839" s="501"/>
      <c r="AA2839" s="501"/>
      <c r="AB2839" s="501"/>
      <c r="AC2839" s="501"/>
      <c r="AD2839" s="501"/>
      <c r="AE2839" s="501"/>
      <c r="AF2839" s="501"/>
      <c r="AG2839" s="501"/>
      <c r="AH2839" s="501"/>
      <c r="AI2839" s="501"/>
      <c r="AJ2839" s="501"/>
      <c r="AK2839" s="501"/>
      <c r="AL2839" s="501"/>
      <c r="AM2839" s="501"/>
      <c r="AN2839" s="501"/>
      <c r="AO2839" s="501"/>
      <c r="AP2839" s="501"/>
      <c r="AQ2839" s="501"/>
      <c r="AR2839" s="501"/>
      <c r="AS2839" s="501"/>
      <c r="AT2839" s="501"/>
      <c r="AU2839" s="501"/>
      <c r="AV2839" s="501"/>
      <c r="AW2839" s="501"/>
      <c r="AX2839" s="501"/>
      <c r="AY2839" s="501"/>
      <c r="AZ2839" s="501"/>
      <c r="BA2839" s="501"/>
      <c r="BB2839" s="501"/>
      <c r="BC2839" s="501"/>
      <c r="BD2839" s="501"/>
      <c r="BE2839" s="501"/>
      <c r="BF2839" s="501"/>
      <c r="BG2839" s="501"/>
      <c r="BH2839" s="501"/>
      <c r="BI2839" s="501"/>
      <c r="BJ2839" s="501"/>
      <c r="BK2839" s="501"/>
      <c r="BL2839" s="501"/>
      <c r="BM2839" s="501"/>
      <c r="BN2839" s="501"/>
      <c r="BO2839" s="501"/>
      <c r="BP2839" s="501"/>
      <c r="BQ2839" s="501"/>
      <c r="BR2839" s="501"/>
      <c r="BS2839" s="501"/>
      <c r="BT2839" s="501"/>
      <c r="BU2839" s="501"/>
      <c r="BV2839" s="501"/>
      <c r="BW2839" s="501"/>
      <c r="BX2839" s="501"/>
      <c r="BY2839" s="501"/>
      <c r="BZ2839" s="501"/>
      <c r="CA2839" s="501"/>
      <c r="CB2839" s="501"/>
      <c r="CC2839" s="501"/>
      <c r="CD2839" s="501"/>
      <c r="CE2839" s="501"/>
      <c r="CF2839" s="501"/>
      <c r="CG2839" s="501"/>
      <c r="CH2839" s="501"/>
      <c r="CI2839" s="501"/>
      <c r="CJ2839" s="501"/>
      <c r="CK2839" s="501"/>
      <c r="CL2839" s="501"/>
      <c r="CM2839" s="501"/>
      <c r="CN2839" s="501"/>
      <c r="CO2839" s="501"/>
      <c r="CP2839" s="501"/>
      <c r="CQ2839" s="501"/>
      <c r="CR2839" s="501"/>
      <c r="CS2839" s="501"/>
      <c r="CT2839" s="501"/>
      <c r="CU2839" s="501"/>
      <c r="CV2839" s="501"/>
      <c r="CW2839" s="501"/>
      <c r="CX2839" s="501"/>
      <c r="CY2839" s="501"/>
      <c r="CZ2839" s="501"/>
      <c r="DA2839" s="501"/>
      <c r="DB2839" s="501"/>
      <c r="DC2839" s="501"/>
      <c r="DD2839" s="501"/>
      <c r="DE2839" s="501"/>
      <c r="DF2839" s="501"/>
      <c r="DG2839" s="501"/>
      <c r="DH2839" s="501"/>
      <c r="DI2839" s="501"/>
      <c r="DJ2839" s="501"/>
      <c r="DK2839" s="501"/>
      <c r="DL2839" s="501"/>
      <c r="DM2839" s="501"/>
      <c r="DN2839" s="501"/>
      <c r="DO2839" s="501"/>
      <c r="DP2839" s="501"/>
      <c r="DQ2839" s="501"/>
      <c r="DR2839" s="501"/>
      <c r="DS2839" s="501"/>
      <c r="DT2839" s="501"/>
      <c r="DU2839" s="501"/>
      <c r="DV2839" s="501"/>
      <c r="DW2839" s="501"/>
      <c r="DX2839" s="501"/>
      <c r="DY2839" s="501"/>
      <c r="DZ2839" s="501"/>
      <c r="EA2839" s="501"/>
      <c r="EB2839" s="501"/>
      <c r="EC2839" s="501"/>
      <c r="ED2839" s="501"/>
      <c r="EE2839" s="501"/>
      <c r="EF2839" s="501"/>
      <c r="EG2839" s="501"/>
      <c r="EH2839" s="501"/>
      <c r="EI2839" s="501"/>
      <c r="EJ2839" s="501"/>
      <c r="EK2839" s="501"/>
      <c r="EL2839" s="501"/>
      <c r="EM2839" s="501"/>
      <c r="EN2839" s="501"/>
      <c r="EO2839" s="501"/>
      <c r="EP2839" s="501"/>
      <c r="EQ2839" s="501"/>
      <c r="ER2839" s="501"/>
      <c r="ES2839" s="501"/>
      <c r="ET2839" s="501"/>
      <c r="EU2839" s="501"/>
      <c r="EV2839" s="501"/>
      <c r="EW2839" s="501"/>
      <c r="EX2839" s="501"/>
      <c r="EY2839" s="501"/>
      <c r="EZ2839" s="501"/>
      <c r="FA2839" s="501"/>
      <c r="FB2839" s="501"/>
      <c r="FC2839" s="501"/>
      <c r="FD2839" s="501"/>
      <c r="FE2839" s="501"/>
      <c r="FF2839" s="501"/>
      <c r="FG2839" s="501"/>
      <c r="FH2839" s="501"/>
      <c r="FI2839" s="501"/>
      <c r="FJ2839" s="501"/>
      <c r="FK2839" s="501"/>
      <c r="FL2839" s="501"/>
      <c r="FM2839" s="501"/>
      <c r="FN2839" s="501"/>
      <c r="FO2839" s="501"/>
      <c r="FP2839" s="501"/>
      <c r="FQ2839" s="501"/>
      <c r="FR2839" s="501"/>
      <c r="FS2839" s="501"/>
      <c r="FT2839" s="501"/>
      <c r="FU2839" s="501"/>
      <c r="FV2839" s="501"/>
      <c r="FW2839" s="501"/>
      <c r="FX2839" s="501"/>
      <c r="FY2839" s="501"/>
      <c r="FZ2839" s="501"/>
      <c r="GA2839" s="501"/>
      <c r="GB2839" s="501"/>
      <c r="GC2839" s="501"/>
      <c r="GD2839" s="501"/>
      <c r="GE2839" s="501"/>
      <c r="GF2839" s="501"/>
      <c r="GG2839" s="501"/>
      <c r="GH2839" s="501"/>
      <c r="GI2839" s="501"/>
      <c r="GJ2839" s="501"/>
      <c r="GK2839" s="501"/>
      <c r="GL2839" s="501"/>
      <c r="GM2839" s="501"/>
      <c r="GN2839" s="501"/>
      <c r="GO2839" s="501"/>
      <c r="GP2839" s="501"/>
      <c r="GQ2839" s="501"/>
      <c r="GR2839" s="501"/>
      <c r="GS2839" s="501"/>
      <c r="GT2839" s="501"/>
      <c r="GU2839" s="501"/>
      <c r="GV2839" s="501"/>
      <c r="GW2839" s="501"/>
      <c r="GX2839" s="501"/>
      <c r="GY2839" s="501"/>
      <c r="GZ2839" s="501"/>
      <c r="HA2839" s="501"/>
      <c r="HB2839" s="501"/>
      <c r="HC2839" s="501"/>
      <c r="HD2839" s="501"/>
      <c r="HE2839" s="501"/>
      <c r="HF2839" s="501"/>
      <c r="HG2839" s="501"/>
      <c r="HH2839" s="501"/>
      <c r="HI2839" s="501"/>
      <c r="HJ2839" s="501"/>
      <c r="HK2839" s="501"/>
      <c r="HL2839" s="501"/>
      <c r="HM2839" s="501"/>
      <c r="HN2839" s="501"/>
      <c r="HO2839" s="501"/>
      <c r="HP2839" s="501"/>
      <c r="HQ2839" s="501"/>
      <c r="HR2839" s="501"/>
      <c r="HS2839" s="501"/>
      <c r="HT2839" s="501"/>
      <c r="HU2839" s="501"/>
      <c r="HV2839" s="501"/>
      <c r="HW2839" s="501"/>
      <c r="HX2839" s="501"/>
      <c r="HY2839" s="501"/>
      <c r="HZ2839" s="501"/>
      <c r="IA2839" s="501"/>
      <c r="IB2839" s="501"/>
      <c r="IC2839" s="501"/>
      <c r="ID2839" s="501"/>
      <c r="IE2839" s="501"/>
      <c r="IF2839" s="501"/>
      <c r="IG2839" s="501"/>
      <c r="IH2839" s="501"/>
      <c r="II2839" s="501"/>
      <c r="IJ2839" s="501"/>
      <c r="IK2839" s="501"/>
      <c r="IL2839" s="501"/>
      <c r="IM2839" s="501"/>
      <c r="IN2839" s="501"/>
      <c r="IO2839" s="501"/>
      <c r="IP2839" s="501"/>
      <c r="IQ2839" s="501"/>
      <c r="IR2839" s="501"/>
      <c r="IS2839" s="501"/>
      <c r="IT2839" s="501"/>
      <c r="IU2839" s="501"/>
    </row>
    <row r="2840" spans="1:255" s="877" customFormat="1" ht="24" customHeight="1">
      <c r="A2840" s="501"/>
      <c r="B2840" s="501"/>
      <c r="C2840" s="501"/>
      <c r="D2840" s="501"/>
      <c r="E2840" s="501"/>
      <c r="F2840" s="973"/>
      <c r="G2840" s="1115"/>
      <c r="H2840" s="973"/>
      <c r="I2840" s="1099"/>
      <c r="J2840" s="1097"/>
      <c r="K2840" s="1097"/>
      <c r="L2840" s="1101"/>
      <c r="M2840" s="1102"/>
      <c r="N2840" s="501"/>
      <c r="O2840" s="1097"/>
      <c r="P2840" s="1151"/>
      <c r="Q2840" s="1097"/>
      <c r="R2840" s="1097"/>
      <c r="S2840" s="974"/>
      <c r="T2840" s="1097"/>
      <c r="V2840" s="501"/>
      <c r="W2840" s="501"/>
      <c r="X2840" s="501"/>
      <c r="Y2840" s="501"/>
      <c r="Z2840" s="501"/>
      <c r="AA2840" s="501"/>
      <c r="AB2840" s="501"/>
      <c r="AC2840" s="501"/>
      <c r="AD2840" s="501"/>
      <c r="AE2840" s="501"/>
      <c r="AF2840" s="501"/>
      <c r="AG2840" s="501"/>
      <c r="AH2840" s="501"/>
      <c r="AI2840" s="501"/>
      <c r="AJ2840" s="501"/>
      <c r="AK2840" s="501"/>
      <c r="AL2840" s="501"/>
      <c r="AM2840" s="501"/>
      <c r="AN2840" s="501"/>
      <c r="AO2840" s="501"/>
      <c r="AP2840" s="501"/>
      <c r="AQ2840" s="501"/>
      <c r="AR2840" s="501"/>
      <c r="AS2840" s="501"/>
      <c r="AT2840" s="501"/>
      <c r="AU2840" s="501"/>
      <c r="AV2840" s="501"/>
      <c r="AW2840" s="501"/>
      <c r="AX2840" s="501"/>
      <c r="AY2840" s="501"/>
      <c r="AZ2840" s="501"/>
      <c r="BA2840" s="501"/>
      <c r="BB2840" s="501"/>
      <c r="BC2840" s="501"/>
      <c r="BD2840" s="501"/>
      <c r="BE2840" s="501"/>
      <c r="BF2840" s="501"/>
      <c r="BG2840" s="501"/>
      <c r="BH2840" s="501"/>
      <c r="BI2840" s="501"/>
      <c r="BJ2840" s="501"/>
      <c r="BK2840" s="501"/>
      <c r="BL2840" s="501"/>
      <c r="BM2840" s="501"/>
      <c r="BN2840" s="501"/>
      <c r="BO2840" s="501"/>
      <c r="BP2840" s="501"/>
      <c r="BQ2840" s="501"/>
      <c r="BR2840" s="501"/>
      <c r="BS2840" s="501"/>
      <c r="BT2840" s="501"/>
      <c r="BU2840" s="501"/>
      <c r="BV2840" s="501"/>
      <c r="BW2840" s="501"/>
      <c r="BX2840" s="501"/>
      <c r="BY2840" s="501"/>
      <c r="BZ2840" s="501"/>
      <c r="CA2840" s="501"/>
      <c r="CB2840" s="501"/>
      <c r="CC2840" s="501"/>
      <c r="CD2840" s="501"/>
      <c r="CE2840" s="501"/>
      <c r="CF2840" s="501"/>
      <c r="CG2840" s="501"/>
      <c r="CH2840" s="501"/>
      <c r="CI2840" s="501"/>
      <c r="CJ2840" s="501"/>
      <c r="CK2840" s="501"/>
      <c r="CL2840" s="501"/>
      <c r="CM2840" s="501"/>
      <c r="CN2840" s="501"/>
      <c r="CO2840" s="501"/>
      <c r="CP2840" s="501"/>
      <c r="CQ2840" s="501"/>
      <c r="CR2840" s="501"/>
      <c r="CS2840" s="501"/>
      <c r="CT2840" s="501"/>
      <c r="CU2840" s="501"/>
      <c r="CV2840" s="501"/>
      <c r="CW2840" s="501"/>
      <c r="CX2840" s="501"/>
      <c r="CY2840" s="501"/>
      <c r="CZ2840" s="501"/>
      <c r="DA2840" s="501"/>
      <c r="DB2840" s="501"/>
      <c r="DC2840" s="501"/>
      <c r="DD2840" s="501"/>
      <c r="DE2840" s="501"/>
      <c r="DF2840" s="501"/>
      <c r="DG2840" s="501"/>
      <c r="DH2840" s="501"/>
      <c r="DI2840" s="501"/>
      <c r="DJ2840" s="501"/>
      <c r="DK2840" s="501"/>
      <c r="DL2840" s="501"/>
      <c r="DM2840" s="501"/>
      <c r="DN2840" s="501"/>
      <c r="DO2840" s="501"/>
      <c r="DP2840" s="501"/>
      <c r="DQ2840" s="501"/>
      <c r="DR2840" s="501"/>
      <c r="DS2840" s="501"/>
      <c r="DT2840" s="501"/>
      <c r="DU2840" s="501"/>
      <c r="DV2840" s="501"/>
      <c r="DW2840" s="501"/>
      <c r="DX2840" s="501"/>
      <c r="DY2840" s="501"/>
      <c r="DZ2840" s="501"/>
      <c r="EA2840" s="501"/>
      <c r="EB2840" s="501"/>
      <c r="EC2840" s="501"/>
      <c r="ED2840" s="501"/>
      <c r="EE2840" s="501"/>
      <c r="EF2840" s="501"/>
      <c r="EG2840" s="501"/>
      <c r="EH2840" s="501"/>
      <c r="EI2840" s="501"/>
      <c r="EJ2840" s="501"/>
      <c r="EK2840" s="501"/>
      <c r="EL2840" s="501"/>
      <c r="EM2840" s="501"/>
      <c r="EN2840" s="501"/>
      <c r="EO2840" s="501"/>
      <c r="EP2840" s="501"/>
      <c r="EQ2840" s="501"/>
      <c r="ER2840" s="501"/>
      <c r="ES2840" s="501"/>
      <c r="ET2840" s="501"/>
      <c r="EU2840" s="501"/>
      <c r="EV2840" s="501"/>
      <c r="EW2840" s="501"/>
      <c r="EX2840" s="501"/>
      <c r="EY2840" s="501"/>
      <c r="EZ2840" s="501"/>
      <c r="FA2840" s="501"/>
      <c r="FB2840" s="501"/>
      <c r="FC2840" s="501"/>
      <c r="FD2840" s="501"/>
      <c r="FE2840" s="501"/>
      <c r="FF2840" s="501"/>
      <c r="FG2840" s="501"/>
      <c r="FH2840" s="501"/>
      <c r="FI2840" s="501"/>
      <c r="FJ2840" s="501"/>
      <c r="FK2840" s="501"/>
      <c r="FL2840" s="501"/>
      <c r="FM2840" s="501"/>
      <c r="FN2840" s="501"/>
      <c r="FO2840" s="501"/>
      <c r="FP2840" s="501"/>
      <c r="FQ2840" s="501"/>
      <c r="FR2840" s="501"/>
      <c r="FS2840" s="501"/>
      <c r="FT2840" s="501"/>
      <c r="FU2840" s="501"/>
      <c r="FV2840" s="501"/>
      <c r="FW2840" s="501"/>
      <c r="FX2840" s="501"/>
      <c r="FY2840" s="501"/>
      <c r="FZ2840" s="501"/>
      <c r="GA2840" s="501"/>
      <c r="GB2840" s="501"/>
      <c r="GC2840" s="501"/>
      <c r="GD2840" s="501"/>
      <c r="GE2840" s="501"/>
      <c r="GF2840" s="501"/>
      <c r="GG2840" s="501"/>
      <c r="GH2840" s="501"/>
      <c r="GI2840" s="501"/>
      <c r="GJ2840" s="501"/>
      <c r="GK2840" s="501"/>
      <c r="GL2840" s="501"/>
      <c r="GM2840" s="501"/>
      <c r="GN2840" s="501"/>
      <c r="GO2840" s="501"/>
      <c r="GP2840" s="501"/>
      <c r="GQ2840" s="501"/>
      <c r="GR2840" s="501"/>
      <c r="GS2840" s="501"/>
      <c r="GT2840" s="501"/>
      <c r="GU2840" s="501"/>
      <c r="GV2840" s="501"/>
      <c r="GW2840" s="501"/>
      <c r="GX2840" s="501"/>
      <c r="GY2840" s="501"/>
      <c r="GZ2840" s="501"/>
      <c r="HA2840" s="501"/>
      <c r="HB2840" s="501"/>
      <c r="HC2840" s="501"/>
      <c r="HD2840" s="501"/>
      <c r="HE2840" s="501"/>
      <c r="HF2840" s="501"/>
      <c r="HG2840" s="501"/>
      <c r="HH2840" s="501"/>
      <c r="HI2840" s="501"/>
      <c r="HJ2840" s="501"/>
      <c r="HK2840" s="501"/>
      <c r="HL2840" s="501"/>
      <c r="HM2840" s="501"/>
      <c r="HN2840" s="501"/>
      <c r="HO2840" s="501"/>
      <c r="HP2840" s="501"/>
      <c r="HQ2840" s="501"/>
      <c r="HR2840" s="501"/>
      <c r="HS2840" s="501"/>
      <c r="HT2840" s="501"/>
      <c r="HU2840" s="501"/>
      <c r="HV2840" s="501"/>
      <c r="HW2840" s="501"/>
      <c r="HX2840" s="501"/>
      <c r="HY2840" s="501"/>
      <c r="HZ2840" s="501"/>
      <c r="IA2840" s="501"/>
      <c r="IB2840" s="501"/>
      <c r="IC2840" s="501"/>
      <c r="ID2840" s="501"/>
      <c r="IE2840" s="501"/>
      <c r="IF2840" s="501"/>
      <c r="IG2840" s="501"/>
      <c r="IH2840" s="501"/>
      <c r="II2840" s="501"/>
      <c r="IJ2840" s="501"/>
      <c r="IK2840" s="501"/>
      <c r="IL2840" s="501"/>
      <c r="IM2840" s="501"/>
      <c r="IN2840" s="501"/>
      <c r="IO2840" s="501"/>
      <c r="IP2840" s="501"/>
      <c r="IQ2840" s="501"/>
      <c r="IR2840" s="501"/>
      <c r="IS2840" s="501"/>
      <c r="IT2840" s="501"/>
      <c r="IU2840" s="501"/>
    </row>
    <row r="2841" spans="1:255" s="877" customFormat="1" ht="24" customHeight="1">
      <c r="A2841" s="501"/>
      <c r="B2841" s="501"/>
      <c r="C2841" s="501"/>
      <c r="D2841" s="501"/>
      <c r="E2841" s="501"/>
      <c r="F2841" s="1097"/>
      <c r="G2841" s="1098"/>
      <c r="H2841" s="1097"/>
      <c r="I2841" s="1099"/>
      <c r="J2841" s="1097"/>
      <c r="K2841" s="1097"/>
      <c r="L2841" s="1101"/>
      <c r="M2841" s="1102"/>
      <c r="N2841" s="501"/>
      <c r="O2841" s="1097"/>
      <c r="P2841" s="1151"/>
      <c r="Q2841" s="973"/>
      <c r="R2841" s="1097"/>
      <c r="S2841" s="1101"/>
      <c r="T2841" s="1097"/>
      <c r="V2841" s="501"/>
      <c r="W2841" s="501"/>
      <c r="X2841" s="501"/>
      <c r="Y2841" s="501"/>
      <c r="Z2841" s="501"/>
      <c r="AA2841" s="501"/>
      <c r="AB2841" s="501"/>
      <c r="AC2841" s="501"/>
      <c r="AD2841" s="501"/>
      <c r="AE2841" s="501"/>
      <c r="AF2841" s="501"/>
      <c r="AG2841" s="501"/>
      <c r="AH2841" s="501"/>
      <c r="AI2841" s="501"/>
      <c r="AJ2841" s="501"/>
      <c r="AK2841" s="501"/>
      <c r="AL2841" s="501"/>
      <c r="AM2841" s="501"/>
      <c r="AN2841" s="501"/>
      <c r="AO2841" s="501"/>
      <c r="AP2841" s="501"/>
      <c r="AQ2841" s="501"/>
      <c r="AR2841" s="501"/>
      <c r="AS2841" s="501"/>
      <c r="AT2841" s="501"/>
      <c r="AU2841" s="501"/>
      <c r="AV2841" s="501"/>
      <c r="AW2841" s="501"/>
      <c r="AX2841" s="501"/>
      <c r="AY2841" s="501"/>
      <c r="AZ2841" s="501"/>
      <c r="BA2841" s="501"/>
      <c r="BB2841" s="501"/>
      <c r="BC2841" s="501"/>
      <c r="BD2841" s="501"/>
      <c r="BE2841" s="501"/>
      <c r="BF2841" s="501"/>
      <c r="BG2841" s="501"/>
      <c r="BH2841" s="501"/>
      <c r="BI2841" s="501"/>
      <c r="BJ2841" s="501"/>
      <c r="BK2841" s="501"/>
      <c r="BL2841" s="501"/>
      <c r="BM2841" s="501"/>
      <c r="BN2841" s="501"/>
      <c r="BO2841" s="501"/>
      <c r="BP2841" s="501"/>
      <c r="BQ2841" s="501"/>
      <c r="BR2841" s="501"/>
      <c r="BS2841" s="501"/>
      <c r="BT2841" s="501"/>
      <c r="BU2841" s="501"/>
      <c r="BV2841" s="501"/>
      <c r="BW2841" s="501"/>
      <c r="BX2841" s="501"/>
      <c r="BY2841" s="501"/>
      <c r="BZ2841" s="501"/>
      <c r="CA2841" s="501"/>
      <c r="CB2841" s="501"/>
      <c r="CC2841" s="501"/>
      <c r="CD2841" s="501"/>
      <c r="CE2841" s="501"/>
      <c r="CF2841" s="501"/>
      <c r="CG2841" s="501"/>
      <c r="CH2841" s="501"/>
      <c r="CI2841" s="501"/>
      <c r="CJ2841" s="501"/>
      <c r="CK2841" s="501"/>
      <c r="CL2841" s="501"/>
      <c r="CM2841" s="501"/>
      <c r="CN2841" s="501"/>
      <c r="CO2841" s="501"/>
      <c r="CP2841" s="501"/>
      <c r="CQ2841" s="501"/>
      <c r="CR2841" s="501"/>
      <c r="CS2841" s="501"/>
      <c r="CT2841" s="501"/>
      <c r="CU2841" s="501"/>
      <c r="CV2841" s="501"/>
      <c r="CW2841" s="501"/>
      <c r="CX2841" s="501"/>
      <c r="CY2841" s="501"/>
      <c r="CZ2841" s="501"/>
      <c r="DA2841" s="501"/>
      <c r="DB2841" s="501"/>
      <c r="DC2841" s="501"/>
      <c r="DD2841" s="501"/>
      <c r="DE2841" s="501"/>
      <c r="DF2841" s="501"/>
      <c r="DG2841" s="501"/>
      <c r="DH2841" s="501"/>
      <c r="DI2841" s="501"/>
      <c r="DJ2841" s="501"/>
      <c r="DK2841" s="501"/>
      <c r="DL2841" s="501"/>
      <c r="DM2841" s="501"/>
      <c r="DN2841" s="501"/>
      <c r="DO2841" s="501"/>
      <c r="DP2841" s="501"/>
      <c r="DQ2841" s="501"/>
      <c r="DR2841" s="501"/>
      <c r="DS2841" s="501"/>
      <c r="DT2841" s="501"/>
      <c r="DU2841" s="501"/>
      <c r="DV2841" s="501"/>
      <c r="DW2841" s="501"/>
      <c r="DX2841" s="501"/>
      <c r="DY2841" s="501"/>
      <c r="DZ2841" s="501"/>
      <c r="EA2841" s="501"/>
      <c r="EB2841" s="501"/>
      <c r="EC2841" s="501"/>
      <c r="ED2841" s="501"/>
      <c r="EE2841" s="501"/>
      <c r="EF2841" s="501"/>
      <c r="EG2841" s="501"/>
      <c r="EH2841" s="501"/>
      <c r="EI2841" s="501"/>
      <c r="EJ2841" s="501"/>
      <c r="EK2841" s="501"/>
      <c r="EL2841" s="501"/>
      <c r="EM2841" s="501"/>
      <c r="EN2841" s="501"/>
      <c r="EO2841" s="501"/>
      <c r="EP2841" s="501"/>
      <c r="EQ2841" s="501"/>
      <c r="ER2841" s="501"/>
      <c r="ES2841" s="501"/>
      <c r="ET2841" s="501"/>
      <c r="EU2841" s="501"/>
      <c r="EV2841" s="501"/>
      <c r="EW2841" s="501"/>
      <c r="EX2841" s="501"/>
      <c r="EY2841" s="501"/>
      <c r="EZ2841" s="501"/>
      <c r="FA2841" s="501"/>
      <c r="FB2841" s="501"/>
      <c r="FC2841" s="501"/>
      <c r="FD2841" s="501"/>
      <c r="FE2841" s="501"/>
      <c r="FF2841" s="501"/>
      <c r="FG2841" s="501"/>
      <c r="FH2841" s="501"/>
      <c r="FI2841" s="501"/>
      <c r="FJ2841" s="501"/>
      <c r="FK2841" s="501"/>
      <c r="FL2841" s="501"/>
      <c r="FM2841" s="501"/>
      <c r="FN2841" s="501"/>
      <c r="FO2841" s="501"/>
      <c r="FP2841" s="501"/>
      <c r="FQ2841" s="501"/>
      <c r="FR2841" s="501"/>
      <c r="FS2841" s="501"/>
      <c r="FT2841" s="501"/>
      <c r="FU2841" s="501"/>
      <c r="FV2841" s="501"/>
      <c r="FW2841" s="501"/>
      <c r="FX2841" s="501"/>
      <c r="FY2841" s="501"/>
      <c r="FZ2841" s="501"/>
      <c r="GA2841" s="501"/>
      <c r="GB2841" s="501"/>
      <c r="GC2841" s="501"/>
      <c r="GD2841" s="501"/>
      <c r="GE2841" s="501"/>
      <c r="GF2841" s="501"/>
      <c r="GG2841" s="501"/>
      <c r="GH2841" s="501"/>
      <c r="GI2841" s="501"/>
      <c r="GJ2841" s="501"/>
      <c r="GK2841" s="501"/>
      <c r="GL2841" s="501"/>
      <c r="GM2841" s="501"/>
      <c r="GN2841" s="501"/>
      <c r="GO2841" s="501"/>
      <c r="GP2841" s="501"/>
      <c r="GQ2841" s="501"/>
      <c r="GR2841" s="501"/>
      <c r="GS2841" s="501"/>
      <c r="GT2841" s="501"/>
      <c r="GU2841" s="501"/>
      <c r="GV2841" s="501"/>
      <c r="GW2841" s="501"/>
      <c r="GX2841" s="501"/>
      <c r="GY2841" s="501"/>
      <c r="GZ2841" s="501"/>
      <c r="HA2841" s="501"/>
      <c r="HB2841" s="501"/>
      <c r="HC2841" s="501"/>
      <c r="HD2841" s="501"/>
      <c r="HE2841" s="501"/>
      <c r="HF2841" s="501"/>
      <c r="HG2841" s="501"/>
      <c r="HH2841" s="501"/>
      <c r="HI2841" s="501"/>
      <c r="HJ2841" s="501"/>
      <c r="HK2841" s="501"/>
      <c r="HL2841" s="501"/>
      <c r="HM2841" s="501"/>
      <c r="HN2841" s="501"/>
      <c r="HO2841" s="501"/>
      <c r="HP2841" s="501"/>
      <c r="HQ2841" s="501"/>
      <c r="HR2841" s="501"/>
      <c r="HS2841" s="501"/>
      <c r="HT2841" s="501"/>
      <c r="HU2841" s="501"/>
      <c r="HV2841" s="501"/>
      <c r="HW2841" s="501"/>
      <c r="HX2841" s="501"/>
      <c r="HY2841" s="501"/>
      <c r="HZ2841" s="501"/>
      <c r="IA2841" s="501"/>
      <c r="IB2841" s="501"/>
      <c r="IC2841" s="501"/>
      <c r="ID2841" s="501"/>
      <c r="IE2841" s="501"/>
      <c r="IF2841" s="501"/>
      <c r="IG2841" s="501"/>
      <c r="IH2841" s="501"/>
      <c r="II2841" s="501"/>
      <c r="IJ2841" s="501"/>
      <c r="IK2841" s="501"/>
      <c r="IL2841" s="501"/>
      <c r="IM2841" s="501"/>
      <c r="IN2841" s="501"/>
      <c r="IO2841" s="501"/>
      <c r="IP2841" s="501"/>
      <c r="IQ2841" s="501"/>
      <c r="IR2841" s="501"/>
      <c r="IS2841" s="501"/>
      <c r="IT2841" s="501"/>
      <c r="IU2841" s="501"/>
    </row>
    <row r="2842" spans="1:255" s="877" customFormat="1" ht="24" customHeight="1">
      <c r="A2842" s="501"/>
      <c r="B2842" s="501"/>
      <c r="C2842" s="501"/>
      <c r="D2842" s="501"/>
      <c r="E2842" s="501"/>
      <c r="F2842" s="1113"/>
      <c r="G2842" s="1114"/>
      <c r="H2842" s="1113"/>
      <c r="I2842" s="1099"/>
      <c r="J2842" s="973"/>
      <c r="K2842" s="1097"/>
      <c r="L2842" s="1099"/>
      <c r="M2842" s="1102"/>
      <c r="N2842" s="501"/>
      <c r="O2842" s="1097"/>
      <c r="P2842" s="1151"/>
      <c r="Q2842" s="973"/>
      <c r="R2842" s="1097"/>
      <c r="S2842" s="1101"/>
      <c r="T2842" s="1157"/>
      <c r="V2842" s="501"/>
      <c r="W2842" s="501"/>
      <c r="X2842" s="501"/>
      <c r="Y2842" s="501"/>
      <c r="Z2842" s="501"/>
      <c r="AA2842" s="501"/>
      <c r="AB2842" s="501"/>
      <c r="AC2842" s="501"/>
      <c r="AD2842" s="501"/>
      <c r="AE2842" s="501"/>
      <c r="AF2842" s="501"/>
      <c r="AG2842" s="501"/>
      <c r="AH2842" s="501"/>
      <c r="AI2842" s="501"/>
      <c r="AJ2842" s="501"/>
      <c r="AK2842" s="501"/>
      <c r="AL2842" s="501"/>
      <c r="AM2842" s="501"/>
      <c r="AN2842" s="501"/>
      <c r="AO2842" s="501"/>
      <c r="AP2842" s="501"/>
      <c r="AQ2842" s="501"/>
      <c r="AR2842" s="501"/>
      <c r="AS2842" s="501"/>
      <c r="AT2842" s="501"/>
      <c r="AU2842" s="501"/>
      <c r="AV2842" s="501"/>
      <c r="AW2842" s="501"/>
      <c r="AX2842" s="501"/>
      <c r="AY2842" s="501"/>
      <c r="AZ2842" s="501"/>
      <c r="BA2842" s="501"/>
      <c r="BB2842" s="501"/>
      <c r="BC2842" s="501"/>
      <c r="BD2842" s="501"/>
      <c r="BE2842" s="501"/>
      <c r="BF2842" s="501"/>
      <c r="BG2842" s="501"/>
      <c r="BH2842" s="501"/>
      <c r="BI2842" s="501"/>
      <c r="BJ2842" s="501"/>
      <c r="BK2842" s="501"/>
      <c r="BL2842" s="501"/>
      <c r="BM2842" s="501"/>
      <c r="BN2842" s="501"/>
      <c r="BO2842" s="501"/>
      <c r="BP2842" s="501"/>
      <c r="BQ2842" s="501"/>
      <c r="BR2842" s="501"/>
      <c r="BS2842" s="501"/>
      <c r="BT2842" s="501"/>
      <c r="BU2842" s="501"/>
      <c r="BV2842" s="501"/>
      <c r="BW2842" s="501"/>
      <c r="BX2842" s="501"/>
      <c r="BY2842" s="501"/>
      <c r="BZ2842" s="501"/>
      <c r="CA2842" s="501"/>
      <c r="CB2842" s="501"/>
      <c r="CC2842" s="501"/>
      <c r="CD2842" s="501"/>
      <c r="CE2842" s="501"/>
      <c r="CF2842" s="501"/>
      <c r="CG2842" s="501"/>
      <c r="CH2842" s="501"/>
      <c r="CI2842" s="501"/>
      <c r="CJ2842" s="501"/>
      <c r="CK2842" s="501"/>
      <c r="CL2842" s="501"/>
      <c r="CM2842" s="501"/>
      <c r="CN2842" s="501"/>
      <c r="CO2842" s="501"/>
      <c r="CP2842" s="501"/>
      <c r="CQ2842" s="501"/>
      <c r="CR2842" s="501"/>
      <c r="CS2842" s="501"/>
      <c r="CT2842" s="501"/>
      <c r="CU2842" s="501"/>
      <c r="CV2842" s="501"/>
      <c r="CW2842" s="501"/>
      <c r="CX2842" s="501"/>
      <c r="CY2842" s="501"/>
      <c r="CZ2842" s="501"/>
      <c r="DA2842" s="501"/>
      <c r="DB2842" s="501"/>
      <c r="DC2842" s="501"/>
      <c r="DD2842" s="501"/>
      <c r="DE2842" s="501"/>
      <c r="DF2842" s="501"/>
      <c r="DG2842" s="501"/>
      <c r="DH2842" s="501"/>
      <c r="DI2842" s="501"/>
      <c r="DJ2842" s="501"/>
      <c r="DK2842" s="501"/>
      <c r="DL2842" s="501"/>
      <c r="DM2842" s="501"/>
      <c r="DN2842" s="501"/>
      <c r="DO2842" s="501"/>
      <c r="DP2842" s="501"/>
      <c r="DQ2842" s="501"/>
      <c r="DR2842" s="501"/>
      <c r="DS2842" s="501"/>
      <c r="DT2842" s="501"/>
      <c r="DU2842" s="501"/>
      <c r="DV2842" s="501"/>
      <c r="DW2842" s="501"/>
      <c r="DX2842" s="501"/>
      <c r="DY2842" s="501"/>
      <c r="DZ2842" s="501"/>
      <c r="EA2842" s="501"/>
      <c r="EB2842" s="501"/>
      <c r="EC2842" s="501"/>
      <c r="ED2842" s="501"/>
      <c r="EE2842" s="501"/>
      <c r="EF2842" s="501"/>
      <c r="EG2842" s="501"/>
      <c r="EH2842" s="501"/>
      <c r="EI2842" s="501"/>
      <c r="EJ2842" s="501"/>
      <c r="EK2842" s="501"/>
      <c r="EL2842" s="501"/>
      <c r="EM2842" s="501"/>
      <c r="EN2842" s="501"/>
      <c r="EO2842" s="501"/>
      <c r="EP2842" s="501"/>
      <c r="EQ2842" s="501"/>
      <c r="ER2842" s="501"/>
      <c r="ES2842" s="501"/>
      <c r="ET2842" s="501"/>
      <c r="EU2842" s="501"/>
      <c r="EV2842" s="501"/>
      <c r="EW2842" s="501"/>
      <c r="EX2842" s="501"/>
      <c r="EY2842" s="501"/>
      <c r="EZ2842" s="501"/>
      <c r="FA2842" s="501"/>
      <c r="FB2842" s="501"/>
      <c r="FC2842" s="501"/>
      <c r="FD2842" s="501"/>
      <c r="FE2842" s="501"/>
      <c r="FF2842" s="501"/>
      <c r="FG2842" s="501"/>
      <c r="FH2842" s="501"/>
      <c r="FI2842" s="501"/>
      <c r="FJ2842" s="501"/>
      <c r="FK2842" s="501"/>
      <c r="FL2842" s="501"/>
      <c r="FM2842" s="501"/>
      <c r="FN2842" s="501"/>
      <c r="FO2842" s="501"/>
      <c r="FP2842" s="501"/>
      <c r="FQ2842" s="501"/>
      <c r="FR2842" s="501"/>
      <c r="FS2842" s="501"/>
      <c r="FT2842" s="501"/>
      <c r="FU2842" s="501"/>
      <c r="FV2842" s="501"/>
      <c r="FW2842" s="501"/>
      <c r="FX2842" s="501"/>
      <c r="FY2842" s="501"/>
      <c r="FZ2842" s="501"/>
      <c r="GA2842" s="501"/>
      <c r="GB2842" s="501"/>
      <c r="GC2842" s="501"/>
      <c r="GD2842" s="501"/>
      <c r="GE2842" s="501"/>
      <c r="GF2842" s="501"/>
      <c r="GG2842" s="501"/>
      <c r="GH2842" s="501"/>
      <c r="GI2842" s="501"/>
      <c r="GJ2842" s="501"/>
      <c r="GK2842" s="501"/>
      <c r="GL2842" s="501"/>
      <c r="GM2842" s="501"/>
      <c r="GN2842" s="501"/>
      <c r="GO2842" s="501"/>
      <c r="GP2842" s="501"/>
      <c r="GQ2842" s="501"/>
      <c r="GR2842" s="501"/>
      <c r="GS2842" s="501"/>
      <c r="GT2842" s="501"/>
      <c r="GU2842" s="501"/>
      <c r="GV2842" s="501"/>
      <c r="GW2842" s="501"/>
      <c r="GX2842" s="501"/>
      <c r="GY2842" s="501"/>
      <c r="GZ2842" s="501"/>
      <c r="HA2842" s="501"/>
      <c r="HB2842" s="501"/>
      <c r="HC2842" s="501"/>
      <c r="HD2842" s="501"/>
      <c r="HE2842" s="501"/>
      <c r="HF2842" s="501"/>
      <c r="HG2842" s="501"/>
      <c r="HH2842" s="501"/>
      <c r="HI2842" s="501"/>
      <c r="HJ2842" s="501"/>
      <c r="HK2842" s="501"/>
      <c r="HL2842" s="501"/>
      <c r="HM2842" s="501"/>
      <c r="HN2842" s="501"/>
      <c r="HO2842" s="501"/>
      <c r="HP2842" s="501"/>
      <c r="HQ2842" s="501"/>
      <c r="HR2842" s="501"/>
      <c r="HS2842" s="501"/>
      <c r="HT2842" s="501"/>
      <c r="HU2842" s="501"/>
      <c r="HV2842" s="501"/>
      <c r="HW2842" s="501"/>
      <c r="HX2842" s="501"/>
      <c r="HY2842" s="501"/>
      <c r="HZ2842" s="501"/>
      <c r="IA2842" s="501"/>
      <c r="IB2842" s="501"/>
      <c r="IC2842" s="501"/>
      <c r="ID2842" s="501"/>
      <c r="IE2842" s="501"/>
      <c r="IF2842" s="501"/>
      <c r="IG2842" s="501"/>
      <c r="IH2842" s="501"/>
      <c r="II2842" s="501"/>
      <c r="IJ2842" s="501"/>
      <c r="IK2842" s="501"/>
      <c r="IL2842" s="501"/>
      <c r="IM2842" s="501"/>
      <c r="IN2842" s="501"/>
      <c r="IO2842" s="501"/>
      <c r="IP2842" s="501"/>
      <c r="IQ2842" s="501"/>
      <c r="IR2842" s="501"/>
      <c r="IS2842" s="501"/>
      <c r="IT2842" s="501"/>
      <c r="IU2842" s="501"/>
    </row>
    <row r="2843" spans="1:255" s="877" customFormat="1" ht="24" customHeight="1">
      <c r="A2843" s="501"/>
      <c r="B2843" s="501"/>
      <c r="C2843" s="501"/>
      <c r="D2843" s="501"/>
      <c r="E2843" s="501"/>
      <c r="F2843" s="1097"/>
      <c r="G2843" s="1098"/>
      <c r="H2843" s="1097"/>
      <c r="I2843" s="1099"/>
      <c r="J2843" s="1106"/>
      <c r="K2843" s="1106"/>
      <c r="L2843" s="973"/>
      <c r="M2843" s="1102"/>
      <c r="N2843" s="501"/>
      <c r="O2843" s="1097"/>
      <c r="P2843" s="1151"/>
      <c r="Q2843" s="1097"/>
      <c r="R2843" s="1097"/>
      <c r="S2843" s="974"/>
      <c r="T2843" s="1106"/>
      <c r="V2843" s="501"/>
      <c r="W2843" s="501"/>
      <c r="X2843" s="501"/>
      <c r="Y2843" s="501"/>
      <c r="Z2843" s="501"/>
      <c r="AA2843" s="501"/>
      <c r="AB2843" s="501"/>
      <c r="AC2843" s="501"/>
      <c r="AD2843" s="501"/>
      <c r="AE2843" s="501"/>
      <c r="AF2843" s="501"/>
      <c r="AG2843" s="501"/>
      <c r="AH2843" s="501"/>
      <c r="AI2843" s="501"/>
      <c r="AJ2843" s="501"/>
      <c r="AK2843" s="501"/>
      <c r="AL2843" s="501"/>
      <c r="AM2843" s="501"/>
      <c r="AN2843" s="501"/>
      <c r="AO2843" s="501"/>
      <c r="AP2843" s="501"/>
      <c r="AQ2843" s="501"/>
      <c r="AR2843" s="501"/>
      <c r="AS2843" s="501"/>
      <c r="AT2843" s="501"/>
      <c r="AU2843" s="501"/>
      <c r="AV2843" s="501"/>
      <c r="AW2843" s="501"/>
      <c r="AX2843" s="501"/>
      <c r="AY2843" s="501"/>
      <c r="AZ2843" s="501"/>
      <c r="BA2843" s="501"/>
      <c r="BB2843" s="501"/>
      <c r="BC2843" s="501"/>
      <c r="BD2843" s="501"/>
      <c r="BE2843" s="501"/>
      <c r="BF2843" s="501"/>
      <c r="BG2843" s="501"/>
      <c r="BH2843" s="501"/>
      <c r="BI2843" s="501"/>
      <c r="BJ2843" s="501"/>
      <c r="BK2843" s="501"/>
      <c r="BL2843" s="501"/>
      <c r="BM2843" s="501"/>
      <c r="BN2843" s="501"/>
      <c r="BO2843" s="501"/>
      <c r="BP2843" s="501"/>
      <c r="BQ2843" s="501"/>
      <c r="BR2843" s="501"/>
      <c r="BS2843" s="501"/>
      <c r="BT2843" s="501"/>
      <c r="BU2843" s="501"/>
      <c r="BV2843" s="501"/>
      <c r="BW2843" s="501"/>
      <c r="BX2843" s="501"/>
      <c r="BY2843" s="501"/>
      <c r="BZ2843" s="501"/>
      <c r="CA2843" s="501"/>
      <c r="CB2843" s="501"/>
      <c r="CC2843" s="501"/>
      <c r="CD2843" s="501"/>
      <c r="CE2843" s="501"/>
      <c r="CF2843" s="501"/>
      <c r="CG2843" s="501"/>
      <c r="CH2843" s="501"/>
      <c r="CI2843" s="501"/>
      <c r="CJ2843" s="501"/>
      <c r="CK2843" s="501"/>
      <c r="CL2843" s="501"/>
      <c r="CM2843" s="501"/>
      <c r="CN2843" s="501"/>
      <c r="CO2843" s="501"/>
      <c r="CP2843" s="501"/>
      <c r="CQ2843" s="501"/>
      <c r="CR2843" s="501"/>
      <c r="CS2843" s="501"/>
      <c r="CT2843" s="501"/>
      <c r="CU2843" s="501"/>
      <c r="CV2843" s="501"/>
      <c r="CW2843" s="501"/>
      <c r="CX2843" s="501"/>
      <c r="CY2843" s="501"/>
      <c r="CZ2843" s="501"/>
      <c r="DA2843" s="501"/>
      <c r="DB2843" s="501"/>
      <c r="DC2843" s="501"/>
      <c r="DD2843" s="501"/>
      <c r="DE2843" s="501"/>
      <c r="DF2843" s="501"/>
      <c r="DG2843" s="501"/>
      <c r="DH2843" s="501"/>
      <c r="DI2843" s="501"/>
      <c r="DJ2843" s="501"/>
      <c r="DK2843" s="501"/>
      <c r="DL2843" s="501"/>
      <c r="DM2843" s="501"/>
      <c r="DN2843" s="501"/>
      <c r="DO2843" s="501"/>
      <c r="DP2843" s="501"/>
      <c r="DQ2843" s="501"/>
      <c r="DR2843" s="501"/>
      <c r="DS2843" s="501"/>
      <c r="DT2843" s="501"/>
      <c r="DU2843" s="501"/>
      <c r="DV2843" s="501"/>
      <c r="DW2843" s="501"/>
      <c r="DX2843" s="501"/>
      <c r="DY2843" s="501"/>
      <c r="DZ2843" s="501"/>
      <c r="EA2843" s="501"/>
      <c r="EB2843" s="501"/>
      <c r="EC2843" s="501"/>
      <c r="ED2843" s="501"/>
      <c r="EE2843" s="501"/>
      <c r="EF2843" s="501"/>
      <c r="EG2843" s="501"/>
      <c r="EH2843" s="501"/>
      <c r="EI2843" s="501"/>
      <c r="EJ2843" s="501"/>
      <c r="EK2843" s="501"/>
      <c r="EL2843" s="501"/>
      <c r="EM2843" s="501"/>
      <c r="EN2843" s="501"/>
      <c r="EO2843" s="501"/>
      <c r="EP2843" s="501"/>
      <c r="EQ2843" s="501"/>
      <c r="ER2843" s="501"/>
      <c r="ES2843" s="501"/>
      <c r="ET2843" s="501"/>
      <c r="EU2843" s="501"/>
      <c r="EV2843" s="501"/>
      <c r="EW2843" s="501"/>
      <c r="EX2843" s="501"/>
      <c r="EY2843" s="501"/>
      <c r="EZ2843" s="501"/>
      <c r="FA2843" s="501"/>
      <c r="FB2843" s="501"/>
      <c r="FC2843" s="501"/>
      <c r="FD2843" s="501"/>
      <c r="FE2843" s="501"/>
      <c r="FF2843" s="501"/>
      <c r="FG2843" s="501"/>
      <c r="FH2843" s="501"/>
      <c r="FI2843" s="501"/>
      <c r="FJ2843" s="501"/>
      <c r="FK2843" s="501"/>
      <c r="FL2843" s="501"/>
      <c r="FM2843" s="501"/>
      <c r="FN2843" s="501"/>
      <c r="FO2843" s="501"/>
      <c r="FP2843" s="501"/>
      <c r="FQ2843" s="501"/>
      <c r="FR2843" s="501"/>
      <c r="FS2843" s="501"/>
      <c r="FT2843" s="501"/>
      <c r="FU2843" s="501"/>
      <c r="FV2843" s="501"/>
      <c r="FW2843" s="501"/>
      <c r="FX2843" s="501"/>
      <c r="FY2843" s="501"/>
      <c r="FZ2843" s="501"/>
      <c r="GA2843" s="501"/>
      <c r="GB2843" s="501"/>
      <c r="GC2843" s="501"/>
      <c r="GD2843" s="501"/>
      <c r="GE2843" s="501"/>
      <c r="GF2843" s="501"/>
      <c r="GG2843" s="501"/>
      <c r="GH2843" s="501"/>
      <c r="GI2843" s="501"/>
      <c r="GJ2843" s="501"/>
      <c r="GK2843" s="501"/>
      <c r="GL2843" s="501"/>
      <c r="GM2843" s="501"/>
      <c r="GN2843" s="501"/>
      <c r="GO2843" s="501"/>
      <c r="GP2843" s="501"/>
      <c r="GQ2843" s="501"/>
      <c r="GR2843" s="501"/>
      <c r="GS2843" s="501"/>
      <c r="GT2843" s="501"/>
      <c r="GU2843" s="501"/>
      <c r="GV2843" s="501"/>
      <c r="GW2843" s="501"/>
      <c r="GX2843" s="501"/>
      <c r="GY2843" s="501"/>
      <c r="GZ2843" s="501"/>
      <c r="HA2843" s="501"/>
      <c r="HB2843" s="501"/>
      <c r="HC2843" s="501"/>
      <c r="HD2843" s="501"/>
      <c r="HE2843" s="501"/>
      <c r="HF2843" s="501"/>
      <c r="HG2843" s="501"/>
      <c r="HH2843" s="501"/>
      <c r="HI2843" s="501"/>
      <c r="HJ2843" s="501"/>
      <c r="HK2843" s="501"/>
      <c r="HL2843" s="501"/>
      <c r="HM2843" s="501"/>
      <c r="HN2843" s="501"/>
      <c r="HO2843" s="501"/>
      <c r="HP2843" s="501"/>
      <c r="HQ2843" s="501"/>
      <c r="HR2843" s="501"/>
      <c r="HS2843" s="501"/>
      <c r="HT2843" s="501"/>
      <c r="HU2843" s="501"/>
      <c r="HV2843" s="501"/>
      <c r="HW2843" s="501"/>
      <c r="HX2843" s="501"/>
      <c r="HY2843" s="501"/>
      <c r="HZ2843" s="501"/>
      <c r="IA2843" s="501"/>
      <c r="IB2843" s="501"/>
      <c r="IC2843" s="501"/>
      <c r="ID2843" s="501"/>
      <c r="IE2843" s="501"/>
      <c r="IF2843" s="501"/>
      <c r="IG2843" s="501"/>
      <c r="IH2843" s="501"/>
      <c r="II2843" s="501"/>
      <c r="IJ2843" s="501"/>
      <c r="IK2843" s="501"/>
      <c r="IL2843" s="501"/>
      <c r="IM2843" s="501"/>
      <c r="IN2843" s="501"/>
      <c r="IO2843" s="501"/>
      <c r="IP2843" s="501"/>
      <c r="IQ2843" s="501"/>
      <c r="IR2843" s="501"/>
      <c r="IS2843" s="501"/>
      <c r="IT2843" s="501"/>
      <c r="IU2843" s="501"/>
    </row>
    <row r="2844" spans="1:255" s="877" customFormat="1" ht="24" customHeight="1">
      <c r="A2844" s="501"/>
      <c r="B2844" s="501"/>
      <c r="C2844" s="501"/>
      <c r="D2844" s="501"/>
      <c r="E2844" s="501"/>
      <c r="F2844" s="1097"/>
      <c r="G2844" s="1098"/>
      <c r="H2844" s="1097"/>
      <c r="I2844" s="1099"/>
      <c r="J2844" s="1097"/>
      <c r="K2844" s="1097"/>
      <c r="L2844" s="1099"/>
      <c r="M2844" s="1102"/>
      <c r="N2844" s="501"/>
      <c r="O2844" s="1097"/>
      <c r="P2844" s="1151"/>
      <c r="Q2844" s="973"/>
      <c r="R2844" s="1097"/>
      <c r="S2844" s="1154"/>
      <c r="T2844" s="1157"/>
      <c r="V2844" s="501"/>
      <c r="W2844" s="501"/>
      <c r="X2844" s="501"/>
      <c r="Y2844" s="501"/>
      <c r="Z2844" s="501"/>
      <c r="AA2844" s="501"/>
      <c r="AB2844" s="501"/>
      <c r="AC2844" s="501"/>
      <c r="AD2844" s="501"/>
      <c r="AE2844" s="501"/>
      <c r="AF2844" s="501"/>
      <c r="AG2844" s="501"/>
      <c r="AH2844" s="501"/>
      <c r="AI2844" s="501"/>
      <c r="AJ2844" s="501"/>
      <c r="AK2844" s="501"/>
      <c r="AL2844" s="501"/>
      <c r="AM2844" s="501"/>
      <c r="AN2844" s="501"/>
      <c r="AO2844" s="501"/>
      <c r="AP2844" s="501"/>
      <c r="AQ2844" s="501"/>
      <c r="AR2844" s="501"/>
      <c r="AS2844" s="501"/>
      <c r="AT2844" s="501"/>
      <c r="AU2844" s="501"/>
      <c r="AV2844" s="501"/>
      <c r="AW2844" s="501"/>
      <c r="AX2844" s="501"/>
      <c r="AY2844" s="501"/>
      <c r="AZ2844" s="501"/>
      <c r="BA2844" s="501"/>
      <c r="BB2844" s="501"/>
      <c r="BC2844" s="501"/>
      <c r="BD2844" s="501"/>
      <c r="BE2844" s="501"/>
      <c r="BF2844" s="501"/>
      <c r="BG2844" s="501"/>
      <c r="BH2844" s="501"/>
      <c r="BI2844" s="501"/>
      <c r="BJ2844" s="501"/>
      <c r="BK2844" s="501"/>
      <c r="BL2844" s="501"/>
      <c r="BM2844" s="501"/>
      <c r="BN2844" s="501"/>
      <c r="BO2844" s="501"/>
      <c r="BP2844" s="501"/>
      <c r="BQ2844" s="501"/>
      <c r="BR2844" s="501"/>
      <c r="BS2844" s="501"/>
      <c r="BT2844" s="501"/>
      <c r="BU2844" s="501"/>
      <c r="BV2844" s="501"/>
      <c r="BW2844" s="501"/>
      <c r="BX2844" s="501"/>
      <c r="BY2844" s="501"/>
      <c r="BZ2844" s="501"/>
      <c r="CA2844" s="501"/>
      <c r="CB2844" s="501"/>
      <c r="CC2844" s="501"/>
      <c r="CD2844" s="501"/>
      <c r="CE2844" s="501"/>
      <c r="CF2844" s="501"/>
      <c r="CG2844" s="501"/>
      <c r="CH2844" s="501"/>
      <c r="CI2844" s="501"/>
      <c r="CJ2844" s="501"/>
      <c r="CK2844" s="501"/>
      <c r="CL2844" s="501"/>
      <c r="CM2844" s="501"/>
      <c r="CN2844" s="501"/>
      <c r="CO2844" s="501"/>
      <c r="CP2844" s="501"/>
      <c r="CQ2844" s="501"/>
      <c r="CR2844" s="501"/>
      <c r="CS2844" s="501"/>
      <c r="CT2844" s="501"/>
      <c r="CU2844" s="501"/>
      <c r="CV2844" s="501"/>
      <c r="CW2844" s="501"/>
      <c r="CX2844" s="501"/>
      <c r="CY2844" s="501"/>
      <c r="CZ2844" s="501"/>
      <c r="DA2844" s="501"/>
      <c r="DB2844" s="501"/>
      <c r="DC2844" s="501"/>
      <c r="DD2844" s="501"/>
      <c r="DE2844" s="501"/>
      <c r="DF2844" s="501"/>
      <c r="DG2844" s="501"/>
      <c r="DH2844" s="501"/>
      <c r="DI2844" s="501"/>
      <c r="DJ2844" s="501"/>
      <c r="DK2844" s="501"/>
      <c r="DL2844" s="501"/>
      <c r="DM2844" s="501"/>
      <c r="DN2844" s="501"/>
      <c r="DO2844" s="501"/>
      <c r="DP2844" s="501"/>
      <c r="DQ2844" s="501"/>
      <c r="DR2844" s="501"/>
      <c r="DS2844" s="501"/>
      <c r="DT2844" s="501"/>
      <c r="DU2844" s="501"/>
      <c r="DV2844" s="501"/>
      <c r="DW2844" s="501"/>
      <c r="DX2844" s="501"/>
      <c r="DY2844" s="501"/>
      <c r="DZ2844" s="501"/>
      <c r="EA2844" s="501"/>
      <c r="EB2844" s="501"/>
      <c r="EC2844" s="501"/>
      <c r="ED2844" s="501"/>
      <c r="EE2844" s="501"/>
      <c r="EF2844" s="501"/>
      <c r="EG2844" s="501"/>
      <c r="EH2844" s="501"/>
      <c r="EI2844" s="501"/>
      <c r="EJ2844" s="501"/>
      <c r="EK2844" s="501"/>
      <c r="EL2844" s="501"/>
      <c r="EM2844" s="501"/>
      <c r="EN2844" s="501"/>
      <c r="EO2844" s="501"/>
      <c r="EP2844" s="501"/>
      <c r="EQ2844" s="501"/>
      <c r="ER2844" s="501"/>
      <c r="ES2844" s="501"/>
      <c r="ET2844" s="501"/>
      <c r="EU2844" s="501"/>
      <c r="EV2844" s="501"/>
      <c r="EW2844" s="501"/>
      <c r="EX2844" s="501"/>
      <c r="EY2844" s="501"/>
      <c r="EZ2844" s="501"/>
      <c r="FA2844" s="501"/>
      <c r="FB2844" s="501"/>
      <c r="FC2844" s="501"/>
      <c r="FD2844" s="501"/>
      <c r="FE2844" s="501"/>
      <c r="FF2844" s="501"/>
      <c r="FG2844" s="501"/>
      <c r="FH2844" s="501"/>
      <c r="FI2844" s="501"/>
      <c r="FJ2844" s="501"/>
      <c r="FK2844" s="501"/>
      <c r="FL2844" s="501"/>
      <c r="FM2844" s="501"/>
      <c r="FN2844" s="501"/>
      <c r="FO2844" s="501"/>
      <c r="FP2844" s="501"/>
      <c r="FQ2844" s="501"/>
      <c r="FR2844" s="501"/>
      <c r="FS2844" s="501"/>
      <c r="FT2844" s="501"/>
      <c r="FU2844" s="501"/>
      <c r="FV2844" s="501"/>
      <c r="FW2844" s="501"/>
      <c r="FX2844" s="501"/>
      <c r="FY2844" s="501"/>
      <c r="FZ2844" s="501"/>
      <c r="GA2844" s="501"/>
      <c r="GB2844" s="501"/>
      <c r="GC2844" s="501"/>
      <c r="GD2844" s="501"/>
      <c r="GE2844" s="501"/>
      <c r="GF2844" s="501"/>
      <c r="GG2844" s="501"/>
      <c r="GH2844" s="501"/>
      <c r="GI2844" s="501"/>
      <c r="GJ2844" s="501"/>
      <c r="GK2844" s="501"/>
      <c r="GL2844" s="501"/>
      <c r="GM2844" s="501"/>
      <c r="GN2844" s="501"/>
      <c r="GO2844" s="501"/>
      <c r="GP2844" s="501"/>
      <c r="GQ2844" s="501"/>
      <c r="GR2844" s="501"/>
      <c r="GS2844" s="501"/>
      <c r="GT2844" s="501"/>
      <c r="GU2844" s="501"/>
      <c r="GV2844" s="501"/>
      <c r="GW2844" s="501"/>
      <c r="GX2844" s="501"/>
      <c r="GY2844" s="501"/>
      <c r="GZ2844" s="501"/>
      <c r="HA2844" s="501"/>
      <c r="HB2844" s="501"/>
      <c r="HC2844" s="501"/>
      <c r="HD2844" s="501"/>
      <c r="HE2844" s="501"/>
      <c r="HF2844" s="501"/>
      <c r="HG2844" s="501"/>
      <c r="HH2844" s="501"/>
      <c r="HI2844" s="501"/>
      <c r="HJ2844" s="501"/>
      <c r="HK2844" s="501"/>
      <c r="HL2844" s="501"/>
      <c r="HM2844" s="501"/>
      <c r="HN2844" s="501"/>
      <c r="HO2844" s="501"/>
      <c r="HP2844" s="501"/>
      <c r="HQ2844" s="501"/>
      <c r="HR2844" s="501"/>
      <c r="HS2844" s="501"/>
      <c r="HT2844" s="501"/>
      <c r="HU2844" s="501"/>
      <c r="HV2844" s="501"/>
      <c r="HW2844" s="501"/>
      <c r="HX2844" s="501"/>
      <c r="HY2844" s="501"/>
      <c r="HZ2844" s="501"/>
      <c r="IA2844" s="501"/>
      <c r="IB2844" s="501"/>
      <c r="IC2844" s="501"/>
      <c r="ID2844" s="501"/>
      <c r="IE2844" s="501"/>
      <c r="IF2844" s="501"/>
      <c r="IG2844" s="501"/>
      <c r="IH2844" s="501"/>
      <c r="II2844" s="501"/>
      <c r="IJ2844" s="501"/>
      <c r="IK2844" s="501"/>
      <c r="IL2844" s="501"/>
      <c r="IM2844" s="501"/>
      <c r="IN2844" s="501"/>
      <c r="IO2844" s="501"/>
      <c r="IP2844" s="501"/>
      <c r="IQ2844" s="501"/>
      <c r="IR2844" s="501"/>
      <c r="IS2844" s="501"/>
      <c r="IT2844" s="501"/>
      <c r="IU2844" s="501"/>
    </row>
    <row r="2845" spans="1:255" s="877" customFormat="1" ht="24" customHeight="1">
      <c r="A2845" s="501"/>
      <c r="B2845" s="501"/>
      <c r="C2845" s="501"/>
      <c r="D2845" s="501"/>
      <c r="E2845" s="501"/>
      <c r="F2845" s="1097"/>
      <c r="G2845" s="1098"/>
      <c r="H2845" s="1097"/>
      <c r="I2845" s="1099"/>
      <c r="J2845" s="973"/>
      <c r="K2845" s="1097"/>
      <c r="L2845" s="1099"/>
      <c r="M2845" s="1102"/>
      <c r="N2845" s="501"/>
      <c r="O2845" s="1097"/>
      <c r="P2845" s="1151"/>
      <c r="Q2845" s="973"/>
      <c r="R2845" s="1097"/>
      <c r="S2845" s="974"/>
      <c r="T2845" s="1157"/>
      <c r="V2845" s="501"/>
      <c r="W2845" s="501"/>
      <c r="X2845" s="501"/>
      <c r="Y2845" s="501"/>
      <c r="Z2845" s="501"/>
      <c r="AA2845" s="501"/>
      <c r="AB2845" s="501"/>
      <c r="AC2845" s="501"/>
      <c r="AD2845" s="501"/>
      <c r="AE2845" s="501"/>
      <c r="AF2845" s="501"/>
      <c r="AG2845" s="501"/>
      <c r="AH2845" s="501"/>
      <c r="AI2845" s="501"/>
      <c r="AJ2845" s="501"/>
      <c r="AK2845" s="501"/>
      <c r="AL2845" s="501"/>
      <c r="AM2845" s="501"/>
      <c r="AN2845" s="501"/>
      <c r="AO2845" s="501"/>
      <c r="AP2845" s="501"/>
      <c r="AQ2845" s="501"/>
      <c r="AR2845" s="501"/>
      <c r="AS2845" s="501"/>
      <c r="AT2845" s="501"/>
      <c r="AU2845" s="501"/>
      <c r="AV2845" s="501"/>
      <c r="AW2845" s="501"/>
      <c r="AX2845" s="501"/>
      <c r="AY2845" s="501"/>
      <c r="AZ2845" s="501"/>
      <c r="BA2845" s="501"/>
      <c r="BB2845" s="501"/>
      <c r="BC2845" s="501"/>
      <c r="BD2845" s="501"/>
      <c r="BE2845" s="501"/>
      <c r="BF2845" s="501"/>
      <c r="BG2845" s="501"/>
      <c r="BH2845" s="501"/>
      <c r="BI2845" s="501"/>
      <c r="BJ2845" s="501"/>
      <c r="BK2845" s="501"/>
      <c r="BL2845" s="501"/>
      <c r="BM2845" s="501"/>
      <c r="BN2845" s="501"/>
      <c r="BO2845" s="501"/>
      <c r="BP2845" s="501"/>
      <c r="BQ2845" s="501"/>
      <c r="BR2845" s="501"/>
      <c r="BS2845" s="501"/>
      <c r="BT2845" s="501"/>
      <c r="BU2845" s="501"/>
      <c r="BV2845" s="501"/>
      <c r="BW2845" s="501"/>
      <c r="BX2845" s="501"/>
      <c r="BY2845" s="501"/>
      <c r="BZ2845" s="501"/>
      <c r="CA2845" s="501"/>
      <c r="CB2845" s="501"/>
      <c r="CC2845" s="501"/>
      <c r="CD2845" s="501"/>
      <c r="CE2845" s="501"/>
      <c r="CF2845" s="501"/>
      <c r="CG2845" s="501"/>
      <c r="CH2845" s="501"/>
      <c r="CI2845" s="501"/>
      <c r="CJ2845" s="501"/>
      <c r="CK2845" s="501"/>
      <c r="CL2845" s="501"/>
      <c r="CM2845" s="501"/>
      <c r="CN2845" s="501"/>
      <c r="CO2845" s="501"/>
      <c r="CP2845" s="501"/>
      <c r="CQ2845" s="501"/>
      <c r="CR2845" s="501"/>
      <c r="CS2845" s="501"/>
      <c r="CT2845" s="501"/>
      <c r="CU2845" s="501"/>
      <c r="CV2845" s="501"/>
      <c r="CW2845" s="501"/>
      <c r="CX2845" s="501"/>
      <c r="CY2845" s="501"/>
      <c r="CZ2845" s="501"/>
      <c r="DA2845" s="501"/>
      <c r="DB2845" s="501"/>
      <c r="DC2845" s="501"/>
      <c r="DD2845" s="501"/>
      <c r="DE2845" s="501"/>
      <c r="DF2845" s="501"/>
      <c r="DG2845" s="501"/>
      <c r="DH2845" s="501"/>
      <c r="DI2845" s="501"/>
      <c r="DJ2845" s="501"/>
      <c r="DK2845" s="501"/>
      <c r="DL2845" s="501"/>
      <c r="DM2845" s="501"/>
      <c r="DN2845" s="501"/>
      <c r="DO2845" s="501"/>
      <c r="DP2845" s="501"/>
      <c r="DQ2845" s="501"/>
      <c r="DR2845" s="501"/>
      <c r="DS2845" s="501"/>
      <c r="DT2845" s="501"/>
      <c r="DU2845" s="501"/>
      <c r="DV2845" s="501"/>
      <c r="DW2845" s="501"/>
      <c r="DX2845" s="501"/>
      <c r="DY2845" s="501"/>
      <c r="DZ2845" s="501"/>
      <c r="EA2845" s="501"/>
      <c r="EB2845" s="501"/>
      <c r="EC2845" s="501"/>
      <c r="ED2845" s="501"/>
      <c r="EE2845" s="501"/>
      <c r="EF2845" s="501"/>
      <c r="EG2845" s="501"/>
      <c r="EH2845" s="501"/>
      <c r="EI2845" s="501"/>
      <c r="EJ2845" s="501"/>
      <c r="EK2845" s="501"/>
      <c r="EL2845" s="501"/>
      <c r="EM2845" s="501"/>
      <c r="EN2845" s="501"/>
      <c r="EO2845" s="501"/>
      <c r="EP2845" s="501"/>
      <c r="EQ2845" s="501"/>
      <c r="ER2845" s="501"/>
      <c r="ES2845" s="501"/>
      <c r="ET2845" s="501"/>
      <c r="EU2845" s="501"/>
      <c r="EV2845" s="501"/>
      <c r="EW2845" s="501"/>
      <c r="EX2845" s="501"/>
      <c r="EY2845" s="501"/>
      <c r="EZ2845" s="501"/>
      <c r="FA2845" s="501"/>
      <c r="FB2845" s="501"/>
      <c r="FC2845" s="501"/>
      <c r="FD2845" s="501"/>
      <c r="FE2845" s="501"/>
      <c r="FF2845" s="501"/>
      <c r="FG2845" s="501"/>
      <c r="FH2845" s="501"/>
      <c r="FI2845" s="501"/>
      <c r="FJ2845" s="501"/>
      <c r="FK2845" s="501"/>
      <c r="FL2845" s="501"/>
      <c r="FM2845" s="501"/>
      <c r="FN2845" s="501"/>
      <c r="FO2845" s="501"/>
      <c r="FP2845" s="501"/>
      <c r="FQ2845" s="501"/>
      <c r="FR2845" s="501"/>
      <c r="FS2845" s="501"/>
      <c r="FT2845" s="501"/>
      <c r="FU2845" s="501"/>
      <c r="FV2845" s="501"/>
      <c r="FW2845" s="501"/>
      <c r="FX2845" s="501"/>
      <c r="FY2845" s="501"/>
      <c r="FZ2845" s="501"/>
      <c r="GA2845" s="501"/>
      <c r="GB2845" s="501"/>
      <c r="GC2845" s="501"/>
      <c r="GD2845" s="501"/>
      <c r="GE2845" s="501"/>
      <c r="GF2845" s="501"/>
      <c r="GG2845" s="501"/>
      <c r="GH2845" s="501"/>
      <c r="GI2845" s="501"/>
      <c r="GJ2845" s="501"/>
      <c r="GK2845" s="501"/>
      <c r="GL2845" s="501"/>
      <c r="GM2845" s="501"/>
      <c r="GN2845" s="501"/>
      <c r="GO2845" s="501"/>
      <c r="GP2845" s="501"/>
      <c r="GQ2845" s="501"/>
      <c r="GR2845" s="501"/>
      <c r="GS2845" s="501"/>
      <c r="GT2845" s="501"/>
      <c r="GU2845" s="501"/>
      <c r="GV2845" s="501"/>
      <c r="GW2845" s="501"/>
      <c r="GX2845" s="501"/>
      <c r="GY2845" s="501"/>
      <c r="GZ2845" s="501"/>
      <c r="HA2845" s="501"/>
      <c r="HB2845" s="501"/>
      <c r="HC2845" s="501"/>
      <c r="HD2845" s="501"/>
      <c r="HE2845" s="501"/>
      <c r="HF2845" s="501"/>
      <c r="HG2845" s="501"/>
      <c r="HH2845" s="501"/>
      <c r="HI2845" s="501"/>
      <c r="HJ2845" s="501"/>
      <c r="HK2845" s="501"/>
      <c r="HL2845" s="501"/>
      <c r="HM2845" s="501"/>
      <c r="HN2845" s="501"/>
      <c r="HO2845" s="501"/>
      <c r="HP2845" s="501"/>
      <c r="HQ2845" s="501"/>
      <c r="HR2845" s="501"/>
      <c r="HS2845" s="501"/>
      <c r="HT2845" s="501"/>
      <c r="HU2845" s="501"/>
      <c r="HV2845" s="501"/>
      <c r="HW2845" s="501"/>
      <c r="HX2845" s="501"/>
      <c r="HY2845" s="501"/>
      <c r="HZ2845" s="501"/>
      <c r="IA2845" s="501"/>
      <c r="IB2845" s="501"/>
      <c r="IC2845" s="501"/>
      <c r="ID2845" s="501"/>
      <c r="IE2845" s="501"/>
      <c r="IF2845" s="501"/>
      <c r="IG2845" s="501"/>
      <c r="IH2845" s="501"/>
      <c r="II2845" s="501"/>
      <c r="IJ2845" s="501"/>
      <c r="IK2845" s="501"/>
      <c r="IL2845" s="501"/>
      <c r="IM2845" s="501"/>
      <c r="IN2845" s="501"/>
      <c r="IO2845" s="501"/>
      <c r="IP2845" s="501"/>
      <c r="IQ2845" s="501"/>
      <c r="IR2845" s="501"/>
      <c r="IS2845" s="501"/>
      <c r="IT2845" s="501"/>
      <c r="IU2845" s="501"/>
    </row>
    <row r="2846" spans="1:255" s="877" customFormat="1" ht="24" customHeight="1">
      <c r="A2846" s="501"/>
      <c r="B2846" s="501"/>
      <c r="C2846" s="501"/>
      <c r="D2846" s="501"/>
      <c r="E2846" s="501"/>
      <c r="F2846" s="1097"/>
      <c r="G2846" s="1098"/>
      <c r="H2846" s="1097"/>
      <c r="I2846" s="1099"/>
      <c r="J2846" s="973"/>
      <c r="K2846" s="1097"/>
      <c r="L2846" s="1099"/>
      <c r="M2846" s="1102"/>
      <c r="N2846" s="501"/>
      <c r="O2846" s="1097"/>
      <c r="P2846" s="1151"/>
      <c r="Q2846" s="1097"/>
      <c r="R2846" s="1097"/>
      <c r="S2846" s="1101"/>
      <c r="T2846" s="1106"/>
      <c r="V2846" s="501"/>
      <c r="W2846" s="501"/>
      <c r="X2846" s="501"/>
      <c r="Y2846" s="501"/>
      <c r="Z2846" s="501"/>
      <c r="AA2846" s="501"/>
      <c r="AB2846" s="501"/>
      <c r="AC2846" s="501"/>
      <c r="AD2846" s="501"/>
      <c r="AE2846" s="501"/>
      <c r="AF2846" s="501"/>
      <c r="AG2846" s="501"/>
      <c r="AH2846" s="501"/>
      <c r="AI2846" s="501"/>
      <c r="AJ2846" s="501"/>
      <c r="AK2846" s="501"/>
      <c r="AL2846" s="501"/>
      <c r="AM2846" s="501"/>
      <c r="AN2846" s="501"/>
      <c r="AO2846" s="501"/>
      <c r="AP2846" s="501"/>
      <c r="AQ2846" s="501"/>
      <c r="AR2846" s="501"/>
      <c r="AS2846" s="501"/>
      <c r="AT2846" s="501"/>
      <c r="AU2846" s="501"/>
      <c r="AV2846" s="501"/>
      <c r="AW2846" s="501"/>
      <c r="AX2846" s="501"/>
      <c r="AY2846" s="501"/>
      <c r="AZ2846" s="501"/>
      <c r="BA2846" s="501"/>
      <c r="BB2846" s="501"/>
      <c r="BC2846" s="501"/>
      <c r="BD2846" s="501"/>
      <c r="BE2846" s="501"/>
      <c r="BF2846" s="501"/>
      <c r="BG2846" s="501"/>
      <c r="BH2846" s="501"/>
      <c r="BI2846" s="501"/>
      <c r="BJ2846" s="501"/>
      <c r="BK2846" s="501"/>
      <c r="BL2846" s="501"/>
      <c r="BM2846" s="501"/>
      <c r="BN2846" s="501"/>
      <c r="BO2846" s="501"/>
      <c r="BP2846" s="501"/>
      <c r="BQ2846" s="501"/>
      <c r="BR2846" s="501"/>
      <c r="BS2846" s="501"/>
      <c r="BT2846" s="501"/>
      <c r="BU2846" s="501"/>
      <c r="BV2846" s="501"/>
      <c r="BW2846" s="501"/>
      <c r="BX2846" s="501"/>
      <c r="BY2846" s="501"/>
      <c r="BZ2846" s="501"/>
      <c r="CA2846" s="501"/>
      <c r="CB2846" s="501"/>
      <c r="CC2846" s="501"/>
      <c r="CD2846" s="501"/>
      <c r="CE2846" s="501"/>
      <c r="CF2846" s="501"/>
      <c r="CG2846" s="501"/>
      <c r="CH2846" s="501"/>
      <c r="CI2846" s="501"/>
      <c r="CJ2846" s="501"/>
      <c r="CK2846" s="501"/>
      <c r="CL2846" s="501"/>
      <c r="CM2846" s="501"/>
      <c r="CN2846" s="501"/>
      <c r="CO2846" s="501"/>
      <c r="CP2846" s="501"/>
      <c r="CQ2846" s="501"/>
      <c r="CR2846" s="501"/>
      <c r="CS2846" s="501"/>
      <c r="CT2846" s="501"/>
      <c r="CU2846" s="501"/>
      <c r="CV2846" s="501"/>
      <c r="CW2846" s="501"/>
      <c r="CX2846" s="501"/>
      <c r="CY2846" s="501"/>
      <c r="CZ2846" s="501"/>
      <c r="DA2846" s="501"/>
      <c r="DB2846" s="501"/>
      <c r="DC2846" s="501"/>
      <c r="DD2846" s="501"/>
      <c r="DE2846" s="501"/>
      <c r="DF2846" s="501"/>
      <c r="DG2846" s="501"/>
      <c r="DH2846" s="501"/>
      <c r="DI2846" s="501"/>
      <c r="DJ2846" s="501"/>
      <c r="DK2846" s="501"/>
      <c r="DL2846" s="501"/>
      <c r="DM2846" s="501"/>
      <c r="DN2846" s="501"/>
      <c r="DO2846" s="501"/>
      <c r="DP2846" s="501"/>
      <c r="DQ2846" s="501"/>
      <c r="DR2846" s="501"/>
      <c r="DS2846" s="501"/>
      <c r="DT2846" s="501"/>
      <c r="DU2846" s="501"/>
      <c r="DV2846" s="501"/>
      <c r="DW2846" s="501"/>
      <c r="DX2846" s="501"/>
      <c r="DY2846" s="501"/>
      <c r="DZ2846" s="501"/>
      <c r="EA2846" s="501"/>
      <c r="EB2846" s="501"/>
      <c r="EC2846" s="501"/>
      <c r="ED2846" s="501"/>
      <c r="EE2846" s="501"/>
      <c r="EF2846" s="501"/>
      <c r="EG2846" s="501"/>
      <c r="EH2846" s="501"/>
      <c r="EI2846" s="501"/>
      <c r="EJ2846" s="501"/>
      <c r="EK2846" s="501"/>
      <c r="EL2846" s="501"/>
      <c r="EM2846" s="501"/>
      <c r="EN2846" s="501"/>
      <c r="EO2846" s="501"/>
      <c r="EP2846" s="501"/>
      <c r="EQ2846" s="501"/>
      <c r="ER2846" s="501"/>
      <c r="ES2846" s="501"/>
      <c r="ET2846" s="501"/>
      <c r="EU2846" s="501"/>
      <c r="EV2846" s="501"/>
      <c r="EW2846" s="501"/>
      <c r="EX2846" s="501"/>
      <c r="EY2846" s="501"/>
      <c r="EZ2846" s="501"/>
      <c r="FA2846" s="501"/>
      <c r="FB2846" s="501"/>
      <c r="FC2846" s="501"/>
      <c r="FD2846" s="501"/>
      <c r="FE2846" s="501"/>
      <c r="FF2846" s="501"/>
      <c r="FG2846" s="501"/>
      <c r="FH2846" s="501"/>
      <c r="FI2846" s="501"/>
      <c r="FJ2846" s="501"/>
      <c r="FK2846" s="501"/>
      <c r="FL2846" s="501"/>
      <c r="FM2846" s="501"/>
      <c r="FN2846" s="501"/>
      <c r="FO2846" s="501"/>
      <c r="FP2846" s="501"/>
      <c r="FQ2846" s="501"/>
      <c r="FR2846" s="501"/>
      <c r="FS2846" s="501"/>
      <c r="FT2846" s="501"/>
      <c r="FU2846" s="501"/>
      <c r="FV2846" s="501"/>
      <c r="FW2846" s="501"/>
      <c r="FX2846" s="501"/>
      <c r="FY2846" s="501"/>
      <c r="FZ2846" s="501"/>
      <c r="GA2846" s="501"/>
      <c r="GB2846" s="501"/>
      <c r="GC2846" s="501"/>
      <c r="GD2846" s="501"/>
      <c r="GE2846" s="501"/>
      <c r="GF2846" s="501"/>
      <c r="GG2846" s="501"/>
      <c r="GH2846" s="501"/>
      <c r="GI2846" s="501"/>
      <c r="GJ2846" s="501"/>
      <c r="GK2846" s="501"/>
      <c r="GL2846" s="501"/>
      <c r="GM2846" s="501"/>
      <c r="GN2846" s="501"/>
      <c r="GO2846" s="501"/>
      <c r="GP2846" s="501"/>
      <c r="GQ2846" s="501"/>
      <c r="GR2846" s="501"/>
      <c r="GS2846" s="501"/>
      <c r="GT2846" s="501"/>
      <c r="GU2846" s="501"/>
      <c r="GV2846" s="501"/>
      <c r="GW2846" s="501"/>
      <c r="GX2846" s="501"/>
      <c r="GY2846" s="501"/>
      <c r="GZ2846" s="501"/>
      <c r="HA2846" s="501"/>
      <c r="HB2846" s="501"/>
      <c r="HC2846" s="501"/>
      <c r="HD2846" s="501"/>
      <c r="HE2846" s="501"/>
      <c r="HF2846" s="501"/>
      <c r="HG2846" s="501"/>
      <c r="HH2846" s="501"/>
      <c r="HI2846" s="501"/>
      <c r="HJ2846" s="501"/>
      <c r="HK2846" s="501"/>
      <c r="HL2846" s="501"/>
      <c r="HM2846" s="501"/>
      <c r="HN2846" s="501"/>
      <c r="HO2846" s="501"/>
      <c r="HP2846" s="501"/>
      <c r="HQ2846" s="501"/>
      <c r="HR2846" s="501"/>
      <c r="HS2846" s="501"/>
      <c r="HT2846" s="501"/>
      <c r="HU2846" s="501"/>
      <c r="HV2846" s="501"/>
      <c r="HW2846" s="501"/>
      <c r="HX2846" s="501"/>
      <c r="HY2846" s="501"/>
      <c r="HZ2846" s="501"/>
      <c r="IA2846" s="501"/>
      <c r="IB2846" s="501"/>
      <c r="IC2846" s="501"/>
      <c r="ID2846" s="501"/>
      <c r="IE2846" s="501"/>
      <c r="IF2846" s="501"/>
      <c r="IG2846" s="501"/>
      <c r="IH2846" s="501"/>
      <c r="II2846" s="501"/>
      <c r="IJ2846" s="501"/>
      <c r="IK2846" s="501"/>
      <c r="IL2846" s="501"/>
      <c r="IM2846" s="501"/>
      <c r="IN2846" s="501"/>
      <c r="IO2846" s="501"/>
      <c r="IP2846" s="501"/>
      <c r="IQ2846" s="501"/>
      <c r="IR2846" s="501"/>
      <c r="IS2846" s="501"/>
      <c r="IT2846" s="501"/>
      <c r="IU2846" s="501"/>
    </row>
    <row r="2847" spans="1:255" s="877" customFormat="1" ht="24" customHeight="1">
      <c r="A2847" s="501"/>
      <c r="B2847" s="501"/>
      <c r="C2847" s="501"/>
      <c r="D2847" s="501"/>
      <c r="E2847" s="501"/>
      <c r="F2847" s="1097"/>
      <c r="G2847" s="1098"/>
      <c r="H2847" s="1097"/>
      <c r="I2847" s="1099"/>
      <c r="J2847" s="1164"/>
      <c r="K2847" s="1097"/>
      <c r="L2847" s="1099"/>
      <c r="M2847" s="1165"/>
      <c r="N2847" s="501"/>
      <c r="O2847" s="1157"/>
      <c r="P2847" s="1152"/>
      <c r="Q2847" s="973"/>
      <c r="R2847" s="968"/>
      <c r="S2847" s="974"/>
      <c r="T2847" s="968"/>
      <c r="V2847" s="501"/>
      <c r="W2847" s="501"/>
      <c r="X2847" s="501"/>
      <c r="Y2847" s="501"/>
      <c r="Z2847" s="501"/>
      <c r="AA2847" s="501"/>
      <c r="AB2847" s="501"/>
      <c r="AC2847" s="501"/>
      <c r="AD2847" s="501"/>
      <c r="AE2847" s="501"/>
      <c r="AF2847" s="501"/>
      <c r="AG2847" s="501"/>
      <c r="AH2847" s="501"/>
      <c r="AI2847" s="501"/>
      <c r="AJ2847" s="501"/>
      <c r="AK2847" s="501"/>
      <c r="AL2847" s="501"/>
      <c r="AM2847" s="501"/>
      <c r="AN2847" s="501"/>
      <c r="AO2847" s="501"/>
      <c r="AP2847" s="501"/>
      <c r="AQ2847" s="501"/>
      <c r="AR2847" s="501"/>
      <c r="AS2847" s="501"/>
      <c r="AT2847" s="501"/>
      <c r="AU2847" s="501"/>
      <c r="AV2847" s="501"/>
      <c r="AW2847" s="501"/>
      <c r="AX2847" s="501"/>
      <c r="AY2847" s="501"/>
      <c r="AZ2847" s="501"/>
      <c r="BA2847" s="501"/>
      <c r="BB2847" s="501"/>
      <c r="BC2847" s="501"/>
      <c r="BD2847" s="501"/>
      <c r="BE2847" s="501"/>
      <c r="BF2847" s="501"/>
      <c r="BG2847" s="501"/>
      <c r="BH2847" s="501"/>
      <c r="BI2847" s="501"/>
      <c r="BJ2847" s="501"/>
      <c r="BK2847" s="501"/>
      <c r="BL2847" s="501"/>
      <c r="BM2847" s="501"/>
      <c r="BN2847" s="501"/>
      <c r="BO2847" s="501"/>
      <c r="BP2847" s="501"/>
      <c r="BQ2847" s="501"/>
      <c r="BR2847" s="501"/>
      <c r="BS2847" s="501"/>
      <c r="BT2847" s="501"/>
      <c r="BU2847" s="501"/>
      <c r="BV2847" s="501"/>
      <c r="BW2847" s="501"/>
      <c r="BX2847" s="501"/>
      <c r="BY2847" s="501"/>
      <c r="BZ2847" s="501"/>
      <c r="CA2847" s="501"/>
      <c r="CB2847" s="501"/>
      <c r="CC2847" s="501"/>
      <c r="CD2847" s="501"/>
      <c r="CE2847" s="501"/>
      <c r="CF2847" s="501"/>
      <c r="CG2847" s="501"/>
      <c r="CH2847" s="501"/>
      <c r="CI2847" s="501"/>
      <c r="CJ2847" s="501"/>
      <c r="CK2847" s="501"/>
      <c r="CL2847" s="501"/>
      <c r="CM2847" s="501"/>
      <c r="CN2847" s="501"/>
      <c r="CO2847" s="501"/>
      <c r="CP2847" s="501"/>
      <c r="CQ2847" s="501"/>
      <c r="CR2847" s="501"/>
      <c r="CS2847" s="501"/>
      <c r="CT2847" s="501"/>
      <c r="CU2847" s="501"/>
      <c r="CV2847" s="501"/>
      <c r="CW2847" s="501"/>
      <c r="CX2847" s="501"/>
      <c r="CY2847" s="501"/>
      <c r="CZ2847" s="501"/>
      <c r="DA2847" s="501"/>
      <c r="DB2847" s="501"/>
      <c r="DC2847" s="501"/>
      <c r="DD2847" s="501"/>
      <c r="DE2847" s="501"/>
      <c r="DF2847" s="501"/>
      <c r="DG2847" s="501"/>
      <c r="DH2847" s="501"/>
      <c r="DI2847" s="501"/>
      <c r="DJ2847" s="501"/>
      <c r="DK2847" s="501"/>
      <c r="DL2847" s="501"/>
      <c r="DM2847" s="501"/>
      <c r="DN2847" s="501"/>
      <c r="DO2847" s="501"/>
      <c r="DP2847" s="501"/>
      <c r="DQ2847" s="501"/>
      <c r="DR2847" s="501"/>
      <c r="DS2847" s="501"/>
      <c r="DT2847" s="501"/>
      <c r="DU2847" s="501"/>
      <c r="DV2847" s="501"/>
      <c r="DW2847" s="501"/>
      <c r="DX2847" s="501"/>
      <c r="DY2847" s="501"/>
      <c r="DZ2847" s="501"/>
      <c r="EA2847" s="501"/>
      <c r="EB2847" s="501"/>
      <c r="EC2847" s="501"/>
      <c r="ED2847" s="501"/>
      <c r="EE2847" s="501"/>
      <c r="EF2847" s="501"/>
      <c r="EG2847" s="501"/>
      <c r="EH2847" s="501"/>
      <c r="EI2847" s="501"/>
      <c r="EJ2847" s="501"/>
      <c r="EK2847" s="501"/>
      <c r="EL2847" s="501"/>
      <c r="EM2847" s="501"/>
      <c r="EN2847" s="501"/>
      <c r="EO2847" s="501"/>
      <c r="EP2847" s="501"/>
      <c r="EQ2847" s="501"/>
      <c r="ER2847" s="501"/>
      <c r="ES2847" s="501"/>
      <c r="ET2847" s="501"/>
      <c r="EU2847" s="501"/>
      <c r="EV2847" s="501"/>
      <c r="EW2847" s="501"/>
      <c r="EX2847" s="501"/>
      <c r="EY2847" s="501"/>
      <c r="EZ2847" s="501"/>
      <c r="FA2847" s="501"/>
      <c r="FB2847" s="501"/>
      <c r="FC2847" s="501"/>
      <c r="FD2847" s="501"/>
      <c r="FE2847" s="501"/>
      <c r="FF2847" s="501"/>
      <c r="FG2847" s="501"/>
      <c r="FH2847" s="501"/>
      <c r="FI2847" s="501"/>
      <c r="FJ2847" s="501"/>
      <c r="FK2847" s="501"/>
      <c r="FL2847" s="501"/>
      <c r="FM2847" s="501"/>
      <c r="FN2847" s="501"/>
      <c r="FO2847" s="501"/>
      <c r="FP2847" s="501"/>
      <c r="FQ2847" s="501"/>
      <c r="FR2847" s="501"/>
      <c r="FS2847" s="501"/>
      <c r="FT2847" s="501"/>
      <c r="FU2847" s="501"/>
      <c r="FV2847" s="501"/>
      <c r="FW2847" s="501"/>
      <c r="FX2847" s="501"/>
      <c r="FY2847" s="501"/>
      <c r="FZ2847" s="501"/>
      <c r="GA2847" s="501"/>
      <c r="GB2847" s="501"/>
      <c r="GC2847" s="501"/>
      <c r="GD2847" s="501"/>
      <c r="GE2847" s="501"/>
      <c r="GF2847" s="501"/>
      <c r="GG2847" s="501"/>
      <c r="GH2847" s="501"/>
      <c r="GI2847" s="501"/>
      <c r="GJ2847" s="501"/>
      <c r="GK2847" s="501"/>
      <c r="GL2847" s="501"/>
      <c r="GM2847" s="501"/>
      <c r="GN2847" s="501"/>
      <c r="GO2847" s="501"/>
      <c r="GP2847" s="501"/>
      <c r="GQ2847" s="501"/>
      <c r="GR2847" s="501"/>
      <c r="GS2847" s="501"/>
      <c r="GT2847" s="501"/>
      <c r="GU2847" s="501"/>
      <c r="GV2847" s="501"/>
      <c r="GW2847" s="501"/>
      <c r="GX2847" s="501"/>
      <c r="GY2847" s="501"/>
      <c r="GZ2847" s="501"/>
      <c r="HA2847" s="501"/>
      <c r="HB2847" s="501"/>
      <c r="HC2847" s="501"/>
      <c r="HD2847" s="501"/>
      <c r="HE2847" s="501"/>
      <c r="HF2847" s="501"/>
      <c r="HG2847" s="501"/>
      <c r="HH2847" s="501"/>
      <c r="HI2847" s="501"/>
      <c r="HJ2847" s="501"/>
      <c r="HK2847" s="501"/>
      <c r="HL2847" s="501"/>
      <c r="HM2847" s="501"/>
      <c r="HN2847" s="501"/>
      <c r="HO2847" s="501"/>
      <c r="HP2847" s="501"/>
      <c r="HQ2847" s="501"/>
      <c r="HR2847" s="501"/>
      <c r="HS2847" s="501"/>
      <c r="HT2847" s="501"/>
      <c r="HU2847" s="501"/>
      <c r="HV2847" s="501"/>
      <c r="HW2847" s="501"/>
      <c r="HX2847" s="501"/>
      <c r="HY2847" s="501"/>
      <c r="HZ2847" s="501"/>
      <c r="IA2847" s="501"/>
      <c r="IB2847" s="501"/>
      <c r="IC2847" s="501"/>
      <c r="ID2847" s="501"/>
      <c r="IE2847" s="501"/>
      <c r="IF2847" s="501"/>
      <c r="IG2847" s="501"/>
      <c r="IH2847" s="501"/>
      <c r="II2847" s="501"/>
      <c r="IJ2847" s="501"/>
      <c r="IK2847" s="501"/>
      <c r="IL2847" s="501"/>
      <c r="IM2847" s="501"/>
      <c r="IN2847" s="501"/>
      <c r="IO2847" s="501"/>
      <c r="IP2847" s="501"/>
      <c r="IQ2847" s="501"/>
      <c r="IR2847" s="501"/>
      <c r="IS2847" s="501"/>
      <c r="IT2847" s="501"/>
      <c r="IU2847" s="501"/>
    </row>
    <row r="2848" spans="1:255" s="877" customFormat="1" ht="24" customHeight="1">
      <c r="A2848" s="501"/>
      <c r="B2848" s="501"/>
      <c r="C2848" s="501"/>
      <c r="D2848" s="501"/>
      <c r="E2848" s="501"/>
      <c r="F2848" s="1097"/>
      <c r="G2848" s="1098"/>
      <c r="H2848" s="1097"/>
      <c r="I2848" s="1099"/>
      <c r="J2848" s="973"/>
      <c r="K2848" s="1166"/>
      <c r="L2848" s="1099"/>
      <c r="M2848" s="1102"/>
      <c r="N2848" s="501"/>
      <c r="O2848" s="1157"/>
      <c r="P2848" s="1152"/>
      <c r="Q2848" s="973"/>
      <c r="R2848" s="968"/>
      <c r="S2848" s="974"/>
      <c r="T2848" s="968"/>
      <c r="V2848" s="501"/>
      <c r="W2848" s="501"/>
      <c r="X2848" s="501"/>
      <c r="Y2848" s="501"/>
      <c r="Z2848" s="501"/>
      <c r="AA2848" s="501"/>
      <c r="AB2848" s="501"/>
      <c r="AC2848" s="501"/>
      <c r="AD2848" s="501"/>
      <c r="AE2848" s="501"/>
      <c r="AF2848" s="501"/>
      <c r="AG2848" s="501"/>
      <c r="AH2848" s="501"/>
      <c r="AI2848" s="501"/>
      <c r="AJ2848" s="501"/>
      <c r="AK2848" s="501"/>
      <c r="AL2848" s="501"/>
      <c r="AM2848" s="501"/>
      <c r="AN2848" s="501"/>
      <c r="AO2848" s="501"/>
      <c r="AP2848" s="501"/>
      <c r="AQ2848" s="501"/>
      <c r="AR2848" s="501"/>
      <c r="AS2848" s="501"/>
      <c r="AT2848" s="501"/>
      <c r="AU2848" s="501"/>
      <c r="AV2848" s="501"/>
      <c r="AW2848" s="501"/>
      <c r="AX2848" s="501"/>
      <c r="AY2848" s="501"/>
      <c r="AZ2848" s="501"/>
      <c r="BA2848" s="501"/>
      <c r="BB2848" s="501"/>
      <c r="BC2848" s="501"/>
      <c r="BD2848" s="501"/>
      <c r="BE2848" s="501"/>
      <c r="BF2848" s="501"/>
      <c r="BG2848" s="501"/>
      <c r="BH2848" s="501"/>
      <c r="BI2848" s="501"/>
      <c r="BJ2848" s="501"/>
      <c r="BK2848" s="501"/>
      <c r="BL2848" s="501"/>
      <c r="BM2848" s="501"/>
      <c r="BN2848" s="501"/>
      <c r="BO2848" s="501"/>
      <c r="BP2848" s="501"/>
      <c r="BQ2848" s="501"/>
      <c r="BR2848" s="501"/>
      <c r="BS2848" s="501"/>
      <c r="BT2848" s="501"/>
      <c r="BU2848" s="501"/>
      <c r="BV2848" s="501"/>
      <c r="BW2848" s="501"/>
      <c r="BX2848" s="501"/>
      <c r="BY2848" s="501"/>
      <c r="BZ2848" s="501"/>
      <c r="CA2848" s="501"/>
      <c r="CB2848" s="501"/>
      <c r="CC2848" s="501"/>
      <c r="CD2848" s="501"/>
      <c r="CE2848" s="501"/>
      <c r="CF2848" s="501"/>
      <c r="CG2848" s="501"/>
      <c r="CH2848" s="501"/>
      <c r="CI2848" s="501"/>
      <c r="CJ2848" s="501"/>
      <c r="CK2848" s="501"/>
      <c r="CL2848" s="501"/>
      <c r="CM2848" s="501"/>
      <c r="CN2848" s="501"/>
      <c r="CO2848" s="501"/>
      <c r="CP2848" s="501"/>
      <c r="CQ2848" s="501"/>
      <c r="CR2848" s="501"/>
      <c r="CS2848" s="501"/>
      <c r="CT2848" s="501"/>
      <c r="CU2848" s="501"/>
      <c r="CV2848" s="501"/>
      <c r="CW2848" s="501"/>
      <c r="CX2848" s="501"/>
      <c r="CY2848" s="501"/>
      <c r="CZ2848" s="501"/>
      <c r="DA2848" s="501"/>
      <c r="DB2848" s="501"/>
      <c r="DC2848" s="501"/>
      <c r="DD2848" s="501"/>
      <c r="DE2848" s="501"/>
      <c r="DF2848" s="501"/>
      <c r="DG2848" s="501"/>
      <c r="DH2848" s="501"/>
      <c r="DI2848" s="501"/>
      <c r="DJ2848" s="501"/>
      <c r="DK2848" s="501"/>
      <c r="DL2848" s="501"/>
      <c r="DM2848" s="501"/>
      <c r="DN2848" s="501"/>
      <c r="DO2848" s="501"/>
      <c r="DP2848" s="501"/>
      <c r="DQ2848" s="501"/>
      <c r="DR2848" s="501"/>
      <c r="DS2848" s="501"/>
      <c r="DT2848" s="501"/>
      <c r="DU2848" s="501"/>
      <c r="DV2848" s="501"/>
      <c r="DW2848" s="501"/>
      <c r="DX2848" s="501"/>
      <c r="DY2848" s="501"/>
      <c r="DZ2848" s="501"/>
      <c r="EA2848" s="501"/>
      <c r="EB2848" s="501"/>
      <c r="EC2848" s="501"/>
      <c r="ED2848" s="501"/>
      <c r="EE2848" s="501"/>
      <c r="EF2848" s="501"/>
      <c r="EG2848" s="501"/>
      <c r="EH2848" s="501"/>
      <c r="EI2848" s="501"/>
      <c r="EJ2848" s="501"/>
      <c r="EK2848" s="501"/>
      <c r="EL2848" s="501"/>
      <c r="EM2848" s="501"/>
      <c r="EN2848" s="501"/>
      <c r="EO2848" s="501"/>
      <c r="EP2848" s="501"/>
      <c r="EQ2848" s="501"/>
      <c r="ER2848" s="501"/>
      <c r="ES2848" s="501"/>
      <c r="ET2848" s="501"/>
      <c r="EU2848" s="501"/>
      <c r="EV2848" s="501"/>
      <c r="EW2848" s="501"/>
      <c r="EX2848" s="501"/>
      <c r="EY2848" s="501"/>
      <c r="EZ2848" s="501"/>
      <c r="FA2848" s="501"/>
      <c r="FB2848" s="501"/>
      <c r="FC2848" s="501"/>
      <c r="FD2848" s="501"/>
      <c r="FE2848" s="501"/>
      <c r="FF2848" s="501"/>
      <c r="FG2848" s="501"/>
      <c r="FH2848" s="501"/>
      <c r="FI2848" s="501"/>
      <c r="FJ2848" s="501"/>
      <c r="FK2848" s="501"/>
      <c r="FL2848" s="501"/>
      <c r="FM2848" s="501"/>
      <c r="FN2848" s="501"/>
      <c r="FO2848" s="501"/>
      <c r="FP2848" s="501"/>
      <c r="FQ2848" s="501"/>
      <c r="FR2848" s="501"/>
      <c r="FS2848" s="501"/>
      <c r="FT2848" s="501"/>
      <c r="FU2848" s="501"/>
      <c r="FV2848" s="501"/>
      <c r="FW2848" s="501"/>
      <c r="FX2848" s="501"/>
      <c r="FY2848" s="501"/>
      <c r="FZ2848" s="501"/>
      <c r="GA2848" s="501"/>
      <c r="GB2848" s="501"/>
      <c r="GC2848" s="501"/>
      <c r="GD2848" s="501"/>
      <c r="GE2848" s="501"/>
      <c r="GF2848" s="501"/>
      <c r="GG2848" s="501"/>
      <c r="GH2848" s="501"/>
      <c r="GI2848" s="501"/>
      <c r="GJ2848" s="501"/>
      <c r="GK2848" s="501"/>
      <c r="GL2848" s="501"/>
      <c r="GM2848" s="501"/>
      <c r="GN2848" s="501"/>
      <c r="GO2848" s="501"/>
      <c r="GP2848" s="501"/>
      <c r="GQ2848" s="501"/>
      <c r="GR2848" s="501"/>
      <c r="GS2848" s="501"/>
      <c r="GT2848" s="501"/>
      <c r="GU2848" s="501"/>
      <c r="GV2848" s="501"/>
      <c r="GW2848" s="501"/>
      <c r="GX2848" s="501"/>
      <c r="GY2848" s="501"/>
      <c r="GZ2848" s="501"/>
      <c r="HA2848" s="501"/>
      <c r="HB2848" s="501"/>
      <c r="HC2848" s="501"/>
      <c r="HD2848" s="501"/>
      <c r="HE2848" s="501"/>
      <c r="HF2848" s="501"/>
      <c r="HG2848" s="501"/>
      <c r="HH2848" s="501"/>
      <c r="HI2848" s="501"/>
      <c r="HJ2848" s="501"/>
      <c r="HK2848" s="501"/>
      <c r="HL2848" s="501"/>
      <c r="HM2848" s="501"/>
      <c r="HN2848" s="501"/>
      <c r="HO2848" s="501"/>
      <c r="HP2848" s="501"/>
      <c r="HQ2848" s="501"/>
      <c r="HR2848" s="501"/>
      <c r="HS2848" s="501"/>
      <c r="HT2848" s="501"/>
      <c r="HU2848" s="501"/>
      <c r="HV2848" s="501"/>
      <c r="HW2848" s="501"/>
      <c r="HX2848" s="501"/>
      <c r="HY2848" s="501"/>
      <c r="HZ2848" s="501"/>
      <c r="IA2848" s="501"/>
      <c r="IB2848" s="501"/>
      <c r="IC2848" s="501"/>
      <c r="ID2848" s="501"/>
      <c r="IE2848" s="501"/>
      <c r="IF2848" s="501"/>
      <c r="IG2848" s="501"/>
      <c r="IH2848" s="501"/>
      <c r="II2848" s="501"/>
      <c r="IJ2848" s="501"/>
      <c r="IK2848" s="501"/>
      <c r="IL2848" s="501"/>
      <c r="IM2848" s="501"/>
      <c r="IN2848" s="501"/>
      <c r="IO2848" s="501"/>
      <c r="IP2848" s="501"/>
      <c r="IQ2848" s="501"/>
      <c r="IR2848" s="501"/>
      <c r="IS2848" s="501"/>
      <c r="IT2848" s="501"/>
      <c r="IU2848" s="501"/>
    </row>
    <row r="2849" spans="1:255" s="877" customFormat="1" ht="24" customHeight="1">
      <c r="A2849" s="501"/>
      <c r="B2849" s="501"/>
      <c r="C2849" s="501"/>
      <c r="D2849" s="501"/>
      <c r="E2849" s="501"/>
      <c r="F2849" s="1097"/>
      <c r="G2849" s="1098"/>
      <c r="H2849" s="1097"/>
      <c r="I2849" s="1099"/>
      <c r="J2849" s="973"/>
      <c r="K2849" s="1097"/>
      <c r="L2849" s="1099"/>
      <c r="M2849" s="1102"/>
      <c r="N2849" s="501"/>
      <c r="O2849" s="1157"/>
      <c r="P2849" s="1152"/>
      <c r="Q2849" s="973"/>
      <c r="R2849" s="968"/>
      <c r="S2849" s="974"/>
      <c r="T2849" s="968"/>
      <c r="V2849" s="501"/>
      <c r="W2849" s="501"/>
      <c r="X2849" s="501"/>
      <c r="Y2849" s="501"/>
      <c r="Z2849" s="501"/>
      <c r="AA2849" s="501"/>
      <c r="AB2849" s="501"/>
      <c r="AC2849" s="501"/>
      <c r="AD2849" s="501"/>
      <c r="AE2849" s="501"/>
      <c r="AF2849" s="501"/>
      <c r="AG2849" s="501"/>
      <c r="AH2849" s="501"/>
      <c r="AI2849" s="501"/>
      <c r="AJ2849" s="501"/>
      <c r="AK2849" s="501"/>
      <c r="AL2849" s="501"/>
      <c r="AM2849" s="501"/>
      <c r="AN2849" s="501"/>
      <c r="AO2849" s="501"/>
      <c r="AP2849" s="501"/>
      <c r="AQ2849" s="501"/>
      <c r="AR2849" s="501"/>
      <c r="AS2849" s="501"/>
      <c r="AT2849" s="501"/>
      <c r="AU2849" s="501"/>
      <c r="AV2849" s="501"/>
      <c r="AW2849" s="501"/>
      <c r="AX2849" s="501"/>
      <c r="AY2849" s="501"/>
      <c r="AZ2849" s="501"/>
      <c r="BA2849" s="501"/>
      <c r="BB2849" s="501"/>
      <c r="BC2849" s="501"/>
      <c r="BD2849" s="501"/>
      <c r="BE2849" s="501"/>
      <c r="BF2849" s="501"/>
      <c r="BG2849" s="501"/>
      <c r="BH2849" s="501"/>
      <c r="BI2849" s="501"/>
      <c r="BJ2849" s="501"/>
      <c r="BK2849" s="501"/>
      <c r="BL2849" s="501"/>
      <c r="BM2849" s="501"/>
      <c r="BN2849" s="501"/>
      <c r="BO2849" s="501"/>
      <c r="BP2849" s="501"/>
      <c r="BQ2849" s="501"/>
      <c r="BR2849" s="501"/>
      <c r="BS2849" s="501"/>
      <c r="BT2849" s="501"/>
      <c r="BU2849" s="501"/>
      <c r="BV2849" s="501"/>
      <c r="BW2849" s="501"/>
      <c r="BX2849" s="501"/>
      <c r="BY2849" s="501"/>
      <c r="BZ2849" s="501"/>
      <c r="CA2849" s="501"/>
      <c r="CB2849" s="501"/>
      <c r="CC2849" s="501"/>
      <c r="CD2849" s="501"/>
      <c r="CE2849" s="501"/>
      <c r="CF2849" s="501"/>
      <c r="CG2849" s="501"/>
      <c r="CH2849" s="501"/>
      <c r="CI2849" s="501"/>
      <c r="CJ2849" s="501"/>
      <c r="CK2849" s="501"/>
      <c r="CL2849" s="501"/>
      <c r="CM2849" s="501"/>
      <c r="CN2849" s="501"/>
      <c r="CO2849" s="501"/>
      <c r="CP2849" s="501"/>
      <c r="CQ2849" s="501"/>
      <c r="CR2849" s="501"/>
      <c r="CS2849" s="501"/>
      <c r="CT2849" s="501"/>
      <c r="CU2849" s="501"/>
      <c r="CV2849" s="501"/>
      <c r="CW2849" s="501"/>
      <c r="CX2849" s="501"/>
      <c r="CY2849" s="501"/>
      <c r="CZ2849" s="501"/>
      <c r="DA2849" s="501"/>
      <c r="DB2849" s="501"/>
      <c r="DC2849" s="501"/>
      <c r="DD2849" s="501"/>
      <c r="DE2849" s="501"/>
      <c r="DF2849" s="501"/>
      <c r="DG2849" s="501"/>
      <c r="DH2849" s="501"/>
      <c r="DI2849" s="501"/>
      <c r="DJ2849" s="501"/>
      <c r="DK2849" s="501"/>
      <c r="DL2849" s="501"/>
      <c r="DM2849" s="501"/>
      <c r="DN2849" s="501"/>
      <c r="DO2849" s="501"/>
      <c r="DP2849" s="501"/>
      <c r="DQ2849" s="501"/>
      <c r="DR2849" s="501"/>
      <c r="DS2849" s="501"/>
      <c r="DT2849" s="501"/>
      <c r="DU2849" s="501"/>
      <c r="DV2849" s="501"/>
      <c r="DW2849" s="501"/>
      <c r="DX2849" s="501"/>
      <c r="DY2849" s="501"/>
      <c r="DZ2849" s="501"/>
      <c r="EA2849" s="501"/>
      <c r="EB2849" s="501"/>
      <c r="EC2849" s="501"/>
      <c r="ED2849" s="501"/>
      <c r="EE2849" s="501"/>
      <c r="EF2849" s="501"/>
      <c r="EG2849" s="501"/>
      <c r="EH2849" s="501"/>
      <c r="EI2849" s="501"/>
      <c r="EJ2849" s="501"/>
      <c r="EK2849" s="501"/>
      <c r="EL2849" s="501"/>
      <c r="EM2849" s="501"/>
      <c r="EN2849" s="501"/>
      <c r="EO2849" s="501"/>
      <c r="EP2849" s="501"/>
      <c r="EQ2849" s="501"/>
      <c r="ER2849" s="501"/>
      <c r="ES2849" s="501"/>
      <c r="ET2849" s="501"/>
      <c r="EU2849" s="501"/>
      <c r="EV2849" s="501"/>
      <c r="EW2849" s="501"/>
      <c r="EX2849" s="501"/>
      <c r="EY2849" s="501"/>
      <c r="EZ2849" s="501"/>
      <c r="FA2849" s="501"/>
      <c r="FB2849" s="501"/>
      <c r="FC2849" s="501"/>
      <c r="FD2849" s="501"/>
      <c r="FE2849" s="501"/>
      <c r="FF2849" s="501"/>
      <c r="FG2849" s="501"/>
      <c r="FH2849" s="501"/>
      <c r="FI2849" s="501"/>
      <c r="FJ2849" s="501"/>
      <c r="FK2849" s="501"/>
      <c r="FL2849" s="501"/>
      <c r="FM2849" s="501"/>
      <c r="FN2849" s="501"/>
      <c r="FO2849" s="501"/>
      <c r="FP2849" s="501"/>
      <c r="FQ2849" s="501"/>
      <c r="FR2849" s="501"/>
      <c r="FS2849" s="501"/>
      <c r="FT2849" s="501"/>
      <c r="FU2849" s="501"/>
      <c r="FV2849" s="501"/>
      <c r="FW2849" s="501"/>
      <c r="FX2849" s="501"/>
      <c r="FY2849" s="501"/>
      <c r="FZ2849" s="501"/>
      <c r="GA2849" s="501"/>
      <c r="GB2849" s="501"/>
      <c r="GC2849" s="501"/>
      <c r="GD2849" s="501"/>
      <c r="GE2849" s="501"/>
      <c r="GF2849" s="501"/>
      <c r="GG2849" s="501"/>
      <c r="GH2849" s="501"/>
      <c r="GI2849" s="501"/>
      <c r="GJ2849" s="501"/>
      <c r="GK2849" s="501"/>
      <c r="GL2849" s="501"/>
      <c r="GM2849" s="501"/>
      <c r="GN2849" s="501"/>
      <c r="GO2849" s="501"/>
      <c r="GP2849" s="501"/>
      <c r="GQ2849" s="501"/>
      <c r="GR2849" s="501"/>
      <c r="GS2849" s="501"/>
      <c r="GT2849" s="501"/>
      <c r="GU2849" s="501"/>
      <c r="GV2849" s="501"/>
      <c r="GW2849" s="501"/>
      <c r="GX2849" s="501"/>
      <c r="GY2849" s="501"/>
      <c r="GZ2849" s="501"/>
      <c r="HA2849" s="501"/>
      <c r="HB2849" s="501"/>
      <c r="HC2849" s="501"/>
      <c r="HD2849" s="501"/>
      <c r="HE2849" s="501"/>
      <c r="HF2849" s="501"/>
      <c r="HG2849" s="501"/>
      <c r="HH2849" s="501"/>
      <c r="HI2849" s="501"/>
      <c r="HJ2849" s="501"/>
      <c r="HK2849" s="501"/>
      <c r="HL2849" s="501"/>
      <c r="HM2849" s="501"/>
      <c r="HN2849" s="501"/>
      <c r="HO2849" s="501"/>
      <c r="HP2849" s="501"/>
      <c r="HQ2849" s="501"/>
      <c r="HR2849" s="501"/>
      <c r="HS2849" s="501"/>
      <c r="HT2849" s="501"/>
      <c r="HU2849" s="501"/>
      <c r="HV2849" s="501"/>
      <c r="HW2849" s="501"/>
      <c r="HX2849" s="501"/>
      <c r="HY2849" s="501"/>
      <c r="HZ2849" s="501"/>
      <c r="IA2849" s="501"/>
      <c r="IB2849" s="501"/>
      <c r="IC2849" s="501"/>
      <c r="ID2849" s="501"/>
      <c r="IE2849" s="501"/>
      <c r="IF2849" s="501"/>
      <c r="IG2849" s="501"/>
      <c r="IH2849" s="501"/>
      <c r="II2849" s="501"/>
      <c r="IJ2849" s="501"/>
      <c r="IK2849" s="501"/>
      <c r="IL2849" s="501"/>
      <c r="IM2849" s="501"/>
      <c r="IN2849" s="501"/>
      <c r="IO2849" s="501"/>
      <c r="IP2849" s="501"/>
      <c r="IQ2849" s="501"/>
      <c r="IR2849" s="501"/>
      <c r="IS2849" s="501"/>
      <c r="IT2849" s="501"/>
      <c r="IU2849" s="501"/>
    </row>
    <row r="2850" spans="1:255" s="877" customFormat="1" ht="24" customHeight="1">
      <c r="A2850" s="501"/>
      <c r="B2850" s="501"/>
      <c r="C2850" s="501"/>
      <c r="D2850" s="501"/>
      <c r="E2850" s="501"/>
      <c r="F2850" s="1097"/>
      <c r="G2850" s="1098"/>
      <c r="H2850" s="1097"/>
      <c r="I2850" s="1099"/>
      <c r="J2850" s="973"/>
      <c r="K2850" s="1097"/>
      <c r="L2850" s="1099"/>
      <c r="M2850" s="1102"/>
      <c r="N2850" s="501"/>
      <c r="O2850" s="1159"/>
      <c r="P2850" s="1151"/>
      <c r="Q2850" s="973"/>
      <c r="R2850" s="968"/>
      <c r="S2850" s="1101"/>
      <c r="T2850" s="968"/>
      <c r="V2850" s="501"/>
      <c r="W2850" s="501"/>
      <c r="X2850" s="501"/>
      <c r="Y2850" s="501"/>
      <c r="Z2850" s="501"/>
      <c r="AA2850" s="501"/>
      <c r="AB2850" s="501"/>
      <c r="AC2850" s="501"/>
      <c r="AD2850" s="501"/>
      <c r="AE2850" s="501"/>
      <c r="AF2850" s="501"/>
      <c r="AG2850" s="501"/>
      <c r="AH2850" s="501"/>
      <c r="AI2850" s="501"/>
      <c r="AJ2850" s="501"/>
      <c r="AK2850" s="501"/>
      <c r="AL2850" s="501"/>
      <c r="AM2850" s="501"/>
      <c r="AN2850" s="501"/>
      <c r="AO2850" s="501"/>
      <c r="AP2850" s="501"/>
      <c r="AQ2850" s="501"/>
      <c r="AR2850" s="501"/>
      <c r="AS2850" s="501"/>
      <c r="AT2850" s="501"/>
      <c r="AU2850" s="501"/>
      <c r="AV2850" s="501"/>
      <c r="AW2850" s="501"/>
      <c r="AX2850" s="501"/>
      <c r="AY2850" s="501"/>
      <c r="AZ2850" s="501"/>
      <c r="BA2850" s="501"/>
      <c r="BB2850" s="501"/>
      <c r="BC2850" s="501"/>
      <c r="BD2850" s="501"/>
      <c r="BE2850" s="501"/>
      <c r="BF2850" s="501"/>
      <c r="BG2850" s="501"/>
      <c r="BH2850" s="501"/>
      <c r="BI2850" s="501"/>
      <c r="BJ2850" s="501"/>
      <c r="BK2850" s="501"/>
      <c r="BL2850" s="501"/>
      <c r="BM2850" s="501"/>
      <c r="BN2850" s="501"/>
      <c r="BO2850" s="501"/>
      <c r="BP2850" s="501"/>
      <c r="BQ2850" s="501"/>
      <c r="BR2850" s="501"/>
      <c r="BS2850" s="501"/>
      <c r="BT2850" s="501"/>
      <c r="BU2850" s="501"/>
      <c r="BV2850" s="501"/>
      <c r="BW2850" s="501"/>
      <c r="BX2850" s="501"/>
      <c r="BY2850" s="501"/>
      <c r="BZ2850" s="501"/>
      <c r="CA2850" s="501"/>
      <c r="CB2850" s="501"/>
      <c r="CC2850" s="501"/>
      <c r="CD2850" s="501"/>
      <c r="CE2850" s="501"/>
      <c r="CF2850" s="501"/>
      <c r="CG2850" s="501"/>
      <c r="CH2850" s="501"/>
      <c r="CI2850" s="501"/>
      <c r="CJ2850" s="501"/>
      <c r="CK2850" s="501"/>
      <c r="CL2850" s="501"/>
      <c r="CM2850" s="501"/>
      <c r="CN2850" s="501"/>
      <c r="CO2850" s="501"/>
      <c r="CP2850" s="501"/>
      <c r="CQ2850" s="501"/>
      <c r="CR2850" s="501"/>
      <c r="CS2850" s="501"/>
      <c r="CT2850" s="501"/>
      <c r="CU2850" s="501"/>
      <c r="CV2850" s="501"/>
      <c r="CW2850" s="501"/>
      <c r="CX2850" s="501"/>
      <c r="CY2850" s="501"/>
      <c r="CZ2850" s="501"/>
      <c r="DA2850" s="501"/>
      <c r="DB2850" s="501"/>
      <c r="DC2850" s="501"/>
      <c r="DD2850" s="501"/>
      <c r="DE2850" s="501"/>
      <c r="DF2850" s="501"/>
      <c r="DG2850" s="501"/>
      <c r="DH2850" s="501"/>
      <c r="DI2850" s="501"/>
      <c r="DJ2850" s="501"/>
      <c r="DK2850" s="501"/>
      <c r="DL2850" s="501"/>
      <c r="DM2850" s="501"/>
      <c r="DN2850" s="501"/>
      <c r="DO2850" s="501"/>
      <c r="DP2850" s="501"/>
      <c r="DQ2850" s="501"/>
      <c r="DR2850" s="501"/>
      <c r="DS2850" s="501"/>
      <c r="DT2850" s="501"/>
      <c r="DU2850" s="501"/>
      <c r="DV2850" s="501"/>
      <c r="DW2850" s="501"/>
      <c r="DX2850" s="501"/>
      <c r="DY2850" s="501"/>
      <c r="DZ2850" s="501"/>
      <c r="EA2850" s="501"/>
      <c r="EB2850" s="501"/>
      <c r="EC2850" s="501"/>
      <c r="ED2850" s="501"/>
      <c r="EE2850" s="501"/>
      <c r="EF2850" s="501"/>
      <c r="EG2850" s="501"/>
      <c r="EH2850" s="501"/>
      <c r="EI2850" s="501"/>
      <c r="EJ2850" s="501"/>
      <c r="EK2850" s="501"/>
      <c r="EL2850" s="501"/>
      <c r="EM2850" s="501"/>
      <c r="EN2850" s="501"/>
      <c r="EO2850" s="501"/>
      <c r="EP2850" s="501"/>
      <c r="EQ2850" s="501"/>
      <c r="ER2850" s="501"/>
      <c r="ES2850" s="501"/>
      <c r="ET2850" s="501"/>
      <c r="EU2850" s="501"/>
      <c r="EV2850" s="501"/>
      <c r="EW2850" s="501"/>
      <c r="EX2850" s="501"/>
      <c r="EY2850" s="501"/>
      <c r="EZ2850" s="501"/>
      <c r="FA2850" s="501"/>
      <c r="FB2850" s="501"/>
      <c r="FC2850" s="501"/>
      <c r="FD2850" s="501"/>
      <c r="FE2850" s="501"/>
      <c r="FF2850" s="501"/>
      <c r="FG2850" s="501"/>
      <c r="FH2850" s="501"/>
      <c r="FI2850" s="501"/>
      <c r="FJ2850" s="501"/>
      <c r="FK2850" s="501"/>
      <c r="FL2850" s="501"/>
      <c r="FM2850" s="501"/>
      <c r="FN2850" s="501"/>
      <c r="FO2850" s="501"/>
      <c r="FP2850" s="501"/>
      <c r="FQ2850" s="501"/>
      <c r="FR2850" s="501"/>
      <c r="FS2850" s="501"/>
      <c r="FT2850" s="501"/>
      <c r="FU2850" s="501"/>
      <c r="FV2850" s="501"/>
      <c r="FW2850" s="501"/>
      <c r="FX2850" s="501"/>
      <c r="FY2850" s="501"/>
      <c r="FZ2850" s="501"/>
      <c r="GA2850" s="501"/>
      <c r="GB2850" s="501"/>
      <c r="GC2850" s="501"/>
      <c r="GD2850" s="501"/>
      <c r="GE2850" s="501"/>
      <c r="GF2850" s="501"/>
      <c r="GG2850" s="501"/>
      <c r="GH2850" s="501"/>
      <c r="GI2850" s="501"/>
      <c r="GJ2850" s="501"/>
      <c r="GK2850" s="501"/>
      <c r="GL2850" s="501"/>
      <c r="GM2850" s="501"/>
      <c r="GN2850" s="501"/>
      <c r="GO2850" s="501"/>
      <c r="GP2850" s="501"/>
      <c r="GQ2850" s="501"/>
      <c r="GR2850" s="501"/>
      <c r="GS2850" s="501"/>
      <c r="GT2850" s="501"/>
      <c r="GU2850" s="501"/>
      <c r="GV2850" s="501"/>
      <c r="GW2850" s="501"/>
      <c r="GX2850" s="501"/>
      <c r="GY2850" s="501"/>
      <c r="GZ2850" s="501"/>
      <c r="HA2850" s="501"/>
      <c r="HB2850" s="501"/>
      <c r="HC2850" s="501"/>
      <c r="HD2850" s="501"/>
      <c r="HE2850" s="501"/>
      <c r="HF2850" s="501"/>
      <c r="HG2850" s="501"/>
      <c r="HH2850" s="501"/>
      <c r="HI2850" s="501"/>
      <c r="HJ2850" s="501"/>
      <c r="HK2850" s="501"/>
      <c r="HL2850" s="501"/>
      <c r="HM2850" s="501"/>
      <c r="HN2850" s="501"/>
      <c r="HO2850" s="501"/>
      <c r="HP2850" s="501"/>
      <c r="HQ2850" s="501"/>
      <c r="HR2850" s="501"/>
      <c r="HS2850" s="501"/>
      <c r="HT2850" s="501"/>
      <c r="HU2850" s="501"/>
      <c r="HV2850" s="501"/>
      <c r="HW2850" s="501"/>
      <c r="HX2850" s="501"/>
      <c r="HY2850" s="501"/>
      <c r="HZ2850" s="501"/>
      <c r="IA2850" s="501"/>
      <c r="IB2850" s="501"/>
      <c r="IC2850" s="501"/>
      <c r="ID2850" s="501"/>
      <c r="IE2850" s="501"/>
      <c r="IF2850" s="501"/>
      <c r="IG2850" s="501"/>
      <c r="IH2850" s="501"/>
      <c r="II2850" s="501"/>
      <c r="IJ2850" s="501"/>
      <c r="IK2850" s="501"/>
      <c r="IL2850" s="501"/>
      <c r="IM2850" s="501"/>
      <c r="IN2850" s="501"/>
      <c r="IO2850" s="501"/>
      <c r="IP2850" s="501"/>
      <c r="IQ2850" s="501"/>
      <c r="IR2850" s="501"/>
      <c r="IS2850" s="501"/>
      <c r="IT2850" s="501"/>
      <c r="IU2850" s="501"/>
    </row>
    <row r="2851" spans="1:255" s="877" customFormat="1" ht="24" customHeight="1">
      <c r="A2851" s="501"/>
      <c r="B2851" s="501"/>
      <c r="C2851" s="501"/>
      <c r="D2851" s="501"/>
      <c r="E2851" s="501"/>
      <c r="F2851" s="1097"/>
      <c r="G2851" s="1098"/>
      <c r="H2851" s="1097"/>
      <c r="I2851" s="1099"/>
      <c r="J2851" s="973"/>
      <c r="K2851" s="1097"/>
      <c r="L2851" s="973"/>
      <c r="M2851" s="1153"/>
      <c r="N2851" s="501"/>
      <c r="O2851" s="1159"/>
      <c r="P2851" s="1152"/>
      <c r="Q2851" s="973"/>
      <c r="R2851" s="968"/>
      <c r="S2851" s="974"/>
      <c r="T2851" s="968"/>
      <c r="V2851" s="501"/>
      <c r="W2851" s="501"/>
      <c r="X2851" s="501"/>
      <c r="Y2851" s="501"/>
      <c r="Z2851" s="501"/>
      <c r="AA2851" s="501"/>
      <c r="AB2851" s="501"/>
      <c r="AC2851" s="501"/>
      <c r="AD2851" s="501"/>
      <c r="AE2851" s="501"/>
      <c r="AF2851" s="501"/>
      <c r="AG2851" s="501"/>
      <c r="AH2851" s="501"/>
      <c r="AI2851" s="501"/>
      <c r="AJ2851" s="501"/>
      <c r="AK2851" s="501"/>
      <c r="AL2851" s="501"/>
      <c r="AM2851" s="501"/>
      <c r="AN2851" s="501"/>
      <c r="AO2851" s="501"/>
      <c r="AP2851" s="501"/>
      <c r="AQ2851" s="501"/>
      <c r="AR2851" s="501"/>
      <c r="AS2851" s="501"/>
      <c r="AT2851" s="501"/>
      <c r="AU2851" s="501"/>
      <c r="AV2851" s="501"/>
      <c r="AW2851" s="501"/>
      <c r="AX2851" s="501"/>
      <c r="AY2851" s="501"/>
      <c r="AZ2851" s="501"/>
      <c r="BA2851" s="501"/>
      <c r="BB2851" s="501"/>
      <c r="BC2851" s="501"/>
      <c r="BD2851" s="501"/>
      <c r="BE2851" s="501"/>
      <c r="BF2851" s="501"/>
      <c r="BG2851" s="501"/>
      <c r="BH2851" s="501"/>
      <c r="BI2851" s="501"/>
      <c r="BJ2851" s="501"/>
      <c r="BK2851" s="501"/>
      <c r="BL2851" s="501"/>
      <c r="BM2851" s="501"/>
      <c r="BN2851" s="501"/>
      <c r="BO2851" s="501"/>
      <c r="BP2851" s="501"/>
      <c r="BQ2851" s="501"/>
      <c r="BR2851" s="501"/>
      <c r="BS2851" s="501"/>
      <c r="BT2851" s="501"/>
      <c r="BU2851" s="501"/>
      <c r="BV2851" s="501"/>
      <c r="BW2851" s="501"/>
      <c r="BX2851" s="501"/>
      <c r="BY2851" s="501"/>
      <c r="BZ2851" s="501"/>
      <c r="CA2851" s="501"/>
      <c r="CB2851" s="501"/>
      <c r="CC2851" s="501"/>
      <c r="CD2851" s="501"/>
      <c r="CE2851" s="501"/>
      <c r="CF2851" s="501"/>
      <c r="CG2851" s="501"/>
      <c r="CH2851" s="501"/>
      <c r="CI2851" s="501"/>
      <c r="CJ2851" s="501"/>
      <c r="CK2851" s="501"/>
      <c r="CL2851" s="501"/>
      <c r="CM2851" s="501"/>
      <c r="CN2851" s="501"/>
      <c r="CO2851" s="501"/>
      <c r="CP2851" s="501"/>
      <c r="CQ2851" s="501"/>
      <c r="CR2851" s="501"/>
      <c r="CS2851" s="501"/>
      <c r="CT2851" s="501"/>
      <c r="CU2851" s="501"/>
      <c r="CV2851" s="501"/>
      <c r="CW2851" s="501"/>
      <c r="CX2851" s="501"/>
      <c r="CY2851" s="501"/>
      <c r="CZ2851" s="501"/>
      <c r="DA2851" s="501"/>
      <c r="DB2851" s="501"/>
      <c r="DC2851" s="501"/>
      <c r="DD2851" s="501"/>
      <c r="DE2851" s="501"/>
      <c r="DF2851" s="501"/>
      <c r="DG2851" s="501"/>
      <c r="DH2851" s="501"/>
      <c r="DI2851" s="501"/>
      <c r="DJ2851" s="501"/>
      <c r="DK2851" s="501"/>
      <c r="DL2851" s="501"/>
      <c r="DM2851" s="501"/>
      <c r="DN2851" s="501"/>
      <c r="DO2851" s="501"/>
      <c r="DP2851" s="501"/>
      <c r="DQ2851" s="501"/>
      <c r="DR2851" s="501"/>
      <c r="DS2851" s="501"/>
      <c r="DT2851" s="501"/>
      <c r="DU2851" s="501"/>
      <c r="DV2851" s="501"/>
      <c r="DW2851" s="501"/>
      <c r="DX2851" s="501"/>
      <c r="DY2851" s="501"/>
      <c r="DZ2851" s="501"/>
      <c r="EA2851" s="501"/>
      <c r="EB2851" s="501"/>
      <c r="EC2851" s="501"/>
      <c r="ED2851" s="501"/>
      <c r="EE2851" s="501"/>
      <c r="EF2851" s="501"/>
      <c r="EG2851" s="501"/>
      <c r="EH2851" s="501"/>
      <c r="EI2851" s="501"/>
      <c r="EJ2851" s="501"/>
      <c r="EK2851" s="501"/>
      <c r="EL2851" s="501"/>
      <c r="EM2851" s="501"/>
      <c r="EN2851" s="501"/>
      <c r="EO2851" s="501"/>
      <c r="EP2851" s="501"/>
      <c r="EQ2851" s="501"/>
      <c r="ER2851" s="501"/>
      <c r="ES2851" s="501"/>
      <c r="ET2851" s="501"/>
      <c r="EU2851" s="501"/>
      <c r="EV2851" s="501"/>
      <c r="EW2851" s="501"/>
      <c r="EX2851" s="501"/>
      <c r="EY2851" s="501"/>
      <c r="EZ2851" s="501"/>
      <c r="FA2851" s="501"/>
      <c r="FB2851" s="501"/>
      <c r="FC2851" s="501"/>
      <c r="FD2851" s="501"/>
      <c r="FE2851" s="501"/>
      <c r="FF2851" s="501"/>
      <c r="FG2851" s="501"/>
      <c r="FH2851" s="501"/>
      <c r="FI2851" s="501"/>
      <c r="FJ2851" s="501"/>
      <c r="FK2851" s="501"/>
      <c r="FL2851" s="501"/>
      <c r="FM2851" s="501"/>
      <c r="FN2851" s="501"/>
      <c r="FO2851" s="501"/>
      <c r="FP2851" s="501"/>
      <c r="FQ2851" s="501"/>
      <c r="FR2851" s="501"/>
      <c r="FS2851" s="501"/>
      <c r="FT2851" s="501"/>
      <c r="FU2851" s="501"/>
      <c r="FV2851" s="501"/>
      <c r="FW2851" s="501"/>
      <c r="FX2851" s="501"/>
      <c r="FY2851" s="501"/>
      <c r="FZ2851" s="501"/>
      <c r="GA2851" s="501"/>
      <c r="GB2851" s="501"/>
      <c r="GC2851" s="501"/>
      <c r="GD2851" s="501"/>
      <c r="GE2851" s="501"/>
      <c r="GF2851" s="501"/>
      <c r="GG2851" s="501"/>
      <c r="GH2851" s="501"/>
      <c r="GI2851" s="501"/>
      <c r="GJ2851" s="501"/>
      <c r="GK2851" s="501"/>
      <c r="GL2851" s="501"/>
      <c r="GM2851" s="501"/>
      <c r="GN2851" s="501"/>
      <c r="GO2851" s="501"/>
      <c r="GP2851" s="501"/>
      <c r="GQ2851" s="501"/>
      <c r="GR2851" s="501"/>
      <c r="GS2851" s="501"/>
      <c r="GT2851" s="501"/>
      <c r="GU2851" s="501"/>
      <c r="GV2851" s="501"/>
      <c r="GW2851" s="501"/>
      <c r="GX2851" s="501"/>
      <c r="GY2851" s="501"/>
      <c r="GZ2851" s="501"/>
      <c r="HA2851" s="501"/>
      <c r="HB2851" s="501"/>
      <c r="HC2851" s="501"/>
      <c r="HD2851" s="501"/>
      <c r="HE2851" s="501"/>
      <c r="HF2851" s="501"/>
      <c r="HG2851" s="501"/>
      <c r="HH2851" s="501"/>
      <c r="HI2851" s="501"/>
      <c r="HJ2851" s="501"/>
      <c r="HK2851" s="501"/>
      <c r="HL2851" s="501"/>
      <c r="HM2851" s="501"/>
      <c r="HN2851" s="501"/>
      <c r="HO2851" s="501"/>
      <c r="HP2851" s="501"/>
      <c r="HQ2851" s="501"/>
      <c r="HR2851" s="501"/>
      <c r="HS2851" s="501"/>
      <c r="HT2851" s="501"/>
      <c r="HU2851" s="501"/>
      <c r="HV2851" s="501"/>
      <c r="HW2851" s="501"/>
      <c r="HX2851" s="501"/>
      <c r="HY2851" s="501"/>
      <c r="HZ2851" s="501"/>
      <c r="IA2851" s="501"/>
      <c r="IB2851" s="501"/>
      <c r="IC2851" s="501"/>
      <c r="ID2851" s="501"/>
      <c r="IE2851" s="501"/>
      <c r="IF2851" s="501"/>
      <c r="IG2851" s="501"/>
      <c r="IH2851" s="501"/>
      <c r="II2851" s="501"/>
      <c r="IJ2851" s="501"/>
      <c r="IK2851" s="501"/>
      <c r="IL2851" s="501"/>
      <c r="IM2851" s="501"/>
      <c r="IN2851" s="501"/>
      <c r="IO2851" s="501"/>
      <c r="IP2851" s="501"/>
      <c r="IQ2851" s="501"/>
      <c r="IR2851" s="501"/>
      <c r="IS2851" s="501"/>
      <c r="IT2851" s="501"/>
      <c r="IU2851" s="501"/>
    </row>
    <row r="2852" spans="1:255" s="877" customFormat="1" ht="24" customHeight="1">
      <c r="A2852" s="501"/>
      <c r="B2852" s="501"/>
      <c r="C2852" s="501"/>
      <c r="D2852" s="501"/>
      <c r="E2852" s="501"/>
      <c r="F2852" s="1097"/>
      <c r="G2852" s="1098"/>
      <c r="H2852" s="1097"/>
      <c r="I2852" s="1099"/>
      <c r="J2852" s="973"/>
      <c r="K2852" s="1097"/>
      <c r="L2852" s="1164"/>
      <c r="M2852" s="1153"/>
      <c r="N2852" s="501"/>
      <c r="O2852" s="968"/>
      <c r="P2852" s="1152"/>
      <c r="Q2852" s="973"/>
      <c r="R2852" s="968"/>
      <c r="S2852" s="974"/>
      <c r="T2852" s="968"/>
      <c r="V2852" s="501"/>
      <c r="W2852" s="501"/>
      <c r="X2852" s="501"/>
      <c r="Y2852" s="501"/>
      <c r="Z2852" s="501"/>
      <c r="AA2852" s="501"/>
      <c r="AB2852" s="501"/>
      <c r="AC2852" s="501"/>
      <c r="AD2852" s="501"/>
      <c r="AE2852" s="501"/>
      <c r="AF2852" s="501"/>
      <c r="AG2852" s="501"/>
      <c r="AH2852" s="501"/>
      <c r="AI2852" s="501"/>
      <c r="AJ2852" s="501"/>
      <c r="AK2852" s="501"/>
      <c r="AL2852" s="501"/>
      <c r="AM2852" s="501"/>
      <c r="AN2852" s="501"/>
      <c r="AO2852" s="501"/>
      <c r="AP2852" s="501"/>
      <c r="AQ2852" s="501"/>
      <c r="AR2852" s="501"/>
      <c r="AS2852" s="501"/>
      <c r="AT2852" s="501"/>
      <c r="AU2852" s="501"/>
      <c r="AV2852" s="501"/>
      <c r="AW2852" s="501"/>
      <c r="AX2852" s="501"/>
      <c r="AY2852" s="501"/>
      <c r="AZ2852" s="501"/>
      <c r="BA2852" s="501"/>
      <c r="BB2852" s="501"/>
      <c r="BC2852" s="501"/>
      <c r="BD2852" s="501"/>
      <c r="BE2852" s="501"/>
      <c r="BF2852" s="501"/>
      <c r="BG2852" s="501"/>
      <c r="BH2852" s="501"/>
      <c r="BI2852" s="501"/>
      <c r="BJ2852" s="501"/>
      <c r="BK2852" s="501"/>
      <c r="BL2852" s="501"/>
      <c r="BM2852" s="501"/>
      <c r="BN2852" s="501"/>
      <c r="BO2852" s="501"/>
      <c r="BP2852" s="501"/>
      <c r="BQ2852" s="501"/>
      <c r="BR2852" s="501"/>
      <c r="BS2852" s="501"/>
      <c r="BT2852" s="501"/>
      <c r="BU2852" s="501"/>
      <c r="BV2852" s="501"/>
      <c r="BW2852" s="501"/>
      <c r="BX2852" s="501"/>
      <c r="BY2852" s="501"/>
      <c r="BZ2852" s="501"/>
      <c r="CA2852" s="501"/>
      <c r="CB2852" s="501"/>
      <c r="CC2852" s="501"/>
      <c r="CD2852" s="501"/>
      <c r="CE2852" s="501"/>
      <c r="CF2852" s="501"/>
      <c r="CG2852" s="501"/>
      <c r="CH2852" s="501"/>
      <c r="CI2852" s="501"/>
      <c r="CJ2852" s="501"/>
      <c r="CK2852" s="501"/>
      <c r="CL2852" s="501"/>
      <c r="CM2852" s="501"/>
      <c r="CN2852" s="501"/>
      <c r="CO2852" s="501"/>
      <c r="CP2852" s="501"/>
      <c r="CQ2852" s="501"/>
      <c r="CR2852" s="501"/>
      <c r="CS2852" s="501"/>
      <c r="CT2852" s="501"/>
      <c r="CU2852" s="501"/>
      <c r="CV2852" s="501"/>
      <c r="CW2852" s="501"/>
      <c r="CX2852" s="501"/>
      <c r="CY2852" s="501"/>
      <c r="CZ2852" s="501"/>
      <c r="DA2852" s="501"/>
      <c r="DB2852" s="501"/>
      <c r="DC2852" s="501"/>
      <c r="DD2852" s="501"/>
      <c r="DE2852" s="501"/>
      <c r="DF2852" s="501"/>
      <c r="DG2852" s="501"/>
      <c r="DH2852" s="501"/>
      <c r="DI2852" s="501"/>
      <c r="DJ2852" s="501"/>
      <c r="DK2852" s="501"/>
      <c r="DL2852" s="501"/>
      <c r="DM2852" s="501"/>
      <c r="DN2852" s="501"/>
      <c r="DO2852" s="501"/>
      <c r="DP2852" s="501"/>
      <c r="DQ2852" s="501"/>
      <c r="DR2852" s="501"/>
      <c r="DS2852" s="501"/>
      <c r="DT2852" s="501"/>
      <c r="DU2852" s="501"/>
      <c r="DV2852" s="501"/>
      <c r="DW2852" s="501"/>
      <c r="DX2852" s="501"/>
      <c r="DY2852" s="501"/>
      <c r="DZ2852" s="501"/>
      <c r="EA2852" s="501"/>
      <c r="EB2852" s="501"/>
      <c r="EC2852" s="501"/>
      <c r="ED2852" s="501"/>
      <c r="EE2852" s="501"/>
      <c r="EF2852" s="501"/>
      <c r="EG2852" s="501"/>
      <c r="EH2852" s="501"/>
      <c r="EI2852" s="501"/>
      <c r="EJ2852" s="501"/>
      <c r="EK2852" s="501"/>
      <c r="EL2852" s="501"/>
      <c r="EM2852" s="501"/>
      <c r="EN2852" s="501"/>
      <c r="EO2852" s="501"/>
      <c r="EP2852" s="501"/>
      <c r="EQ2852" s="501"/>
      <c r="ER2852" s="501"/>
      <c r="ES2852" s="501"/>
      <c r="ET2852" s="501"/>
      <c r="EU2852" s="501"/>
      <c r="EV2852" s="501"/>
      <c r="EW2852" s="501"/>
      <c r="EX2852" s="501"/>
      <c r="EY2852" s="501"/>
      <c r="EZ2852" s="501"/>
      <c r="FA2852" s="501"/>
      <c r="FB2852" s="501"/>
      <c r="FC2852" s="501"/>
      <c r="FD2852" s="501"/>
      <c r="FE2852" s="501"/>
      <c r="FF2852" s="501"/>
      <c r="FG2852" s="501"/>
      <c r="FH2852" s="501"/>
      <c r="FI2852" s="501"/>
      <c r="FJ2852" s="501"/>
      <c r="FK2852" s="501"/>
      <c r="FL2852" s="501"/>
      <c r="FM2852" s="501"/>
      <c r="FN2852" s="501"/>
      <c r="FO2852" s="501"/>
      <c r="FP2852" s="501"/>
      <c r="FQ2852" s="501"/>
      <c r="FR2852" s="501"/>
      <c r="FS2852" s="501"/>
      <c r="FT2852" s="501"/>
      <c r="FU2852" s="501"/>
      <c r="FV2852" s="501"/>
      <c r="FW2852" s="501"/>
      <c r="FX2852" s="501"/>
      <c r="FY2852" s="501"/>
      <c r="FZ2852" s="501"/>
      <c r="GA2852" s="501"/>
      <c r="GB2852" s="501"/>
      <c r="GC2852" s="501"/>
      <c r="GD2852" s="501"/>
      <c r="GE2852" s="501"/>
      <c r="GF2852" s="501"/>
      <c r="GG2852" s="501"/>
      <c r="GH2852" s="501"/>
      <c r="GI2852" s="501"/>
      <c r="GJ2852" s="501"/>
      <c r="GK2852" s="501"/>
      <c r="GL2852" s="501"/>
      <c r="GM2852" s="501"/>
      <c r="GN2852" s="501"/>
      <c r="GO2852" s="501"/>
      <c r="GP2852" s="501"/>
      <c r="GQ2852" s="501"/>
      <c r="GR2852" s="501"/>
      <c r="GS2852" s="501"/>
      <c r="GT2852" s="501"/>
      <c r="GU2852" s="501"/>
      <c r="GV2852" s="501"/>
      <c r="GW2852" s="501"/>
      <c r="GX2852" s="501"/>
      <c r="GY2852" s="501"/>
      <c r="GZ2852" s="501"/>
      <c r="HA2852" s="501"/>
      <c r="HB2852" s="501"/>
      <c r="HC2852" s="501"/>
      <c r="HD2852" s="501"/>
      <c r="HE2852" s="501"/>
      <c r="HF2852" s="501"/>
      <c r="HG2852" s="501"/>
      <c r="HH2852" s="501"/>
      <c r="HI2852" s="501"/>
      <c r="HJ2852" s="501"/>
      <c r="HK2852" s="501"/>
      <c r="HL2852" s="501"/>
      <c r="HM2852" s="501"/>
      <c r="HN2852" s="501"/>
      <c r="HO2852" s="501"/>
      <c r="HP2852" s="501"/>
      <c r="HQ2852" s="501"/>
      <c r="HR2852" s="501"/>
      <c r="HS2852" s="501"/>
      <c r="HT2852" s="501"/>
      <c r="HU2852" s="501"/>
      <c r="HV2852" s="501"/>
      <c r="HW2852" s="501"/>
      <c r="HX2852" s="501"/>
      <c r="HY2852" s="501"/>
      <c r="HZ2852" s="501"/>
      <c r="IA2852" s="501"/>
      <c r="IB2852" s="501"/>
      <c r="IC2852" s="501"/>
      <c r="ID2852" s="501"/>
      <c r="IE2852" s="501"/>
      <c r="IF2852" s="501"/>
      <c r="IG2852" s="501"/>
      <c r="IH2852" s="501"/>
      <c r="II2852" s="501"/>
      <c r="IJ2852" s="501"/>
      <c r="IK2852" s="501"/>
      <c r="IL2852" s="501"/>
      <c r="IM2852" s="501"/>
      <c r="IN2852" s="501"/>
      <c r="IO2852" s="501"/>
      <c r="IP2852" s="501"/>
      <c r="IQ2852" s="501"/>
      <c r="IR2852" s="501"/>
      <c r="IS2852" s="501"/>
      <c r="IT2852" s="501"/>
      <c r="IU2852" s="501"/>
    </row>
    <row r="2853" spans="1:255" s="877" customFormat="1" ht="67.5" customHeight="1">
      <c r="A2853" s="501"/>
      <c r="B2853" s="501"/>
      <c r="C2853" s="501"/>
      <c r="D2853" s="501"/>
      <c r="E2853" s="501"/>
      <c r="F2853" s="1097"/>
      <c r="G2853" s="1098"/>
      <c r="H2853" s="1097"/>
      <c r="I2853" s="1099"/>
      <c r="J2853" s="973"/>
      <c r="K2853" s="1097"/>
      <c r="L2853" s="1099"/>
      <c r="M2853" s="1153"/>
      <c r="N2853" s="501"/>
      <c r="O2853" s="968"/>
      <c r="P2853" s="1152"/>
      <c r="Q2853" s="973"/>
      <c r="R2853" s="968"/>
      <c r="S2853" s="974"/>
      <c r="T2853" s="968"/>
      <c r="V2853" s="501"/>
      <c r="W2853" s="501"/>
      <c r="X2853" s="501"/>
      <c r="Y2853" s="501"/>
      <c r="Z2853" s="501"/>
      <c r="AA2853" s="501"/>
      <c r="AB2853" s="501"/>
      <c r="AC2853" s="501"/>
      <c r="AD2853" s="501"/>
      <c r="AE2853" s="501"/>
      <c r="AF2853" s="501"/>
      <c r="AG2853" s="501"/>
      <c r="AH2853" s="501"/>
      <c r="AI2853" s="501"/>
      <c r="AJ2853" s="501"/>
      <c r="AK2853" s="501"/>
      <c r="AL2853" s="501"/>
      <c r="AM2853" s="501"/>
      <c r="AN2853" s="501"/>
      <c r="AO2853" s="501"/>
      <c r="AP2853" s="501"/>
      <c r="AQ2853" s="501"/>
      <c r="AR2853" s="501"/>
      <c r="AS2853" s="501"/>
      <c r="AT2853" s="501"/>
      <c r="AU2853" s="501"/>
      <c r="AV2853" s="501"/>
      <c r="AW2853" s="501"/>
      <c r="AX2853" s="501"/>
      <c r="AY2853" s="501"/>
      <c r="AZ2853" s="501"/>
      <c r="BA2853" s="501"/>
      <c r="BB2853" s="501"/>
      <c r="BC2853" s="501"/>
      <c r="BD2853" s="501"/>
      <c r="BE2853" s="501"/>
      <c r="BF2853" s="501"/>
      <c r="BG2853" s="501"/>
      <c r="BH2853" s="501"/>
      <c r="BI2853" s="501"/>
      <c r="BJ2853" s="501"/>
      <c r="BK2853" s="501"/>
      <c r="BL2853" s="501"/>
      <c r="BM2853" s="501"/>
      <c r="BN2853" s="501"/>
      <c r="BO2853" s="501"/>
      <c r="BP2853" s="501"/>
      <c r="BQ2853" s="501"/>
      <c r="BR2853" s="501"/>
      <c r="BS2853" s="501"/>
      <c r="BT2853" s="501"/>
      <c r="BU2853" s="501"/>
      <c r="BV2853" s="501"/>
      <c r="BW2853" s="501"/>
      <c r="BX2853" s="501"/>
      <c r="BY2853" s="501"/>
      <c r="BZ2853" s="501"/>
      <c r="CA2853" s="501"/>
      <c r="CB2853" s="501"/>
      <c r="CC2853" s="501"/>
      <c r="CD2853" s="501"/>
      <c r="CE2853" s="501"/>
      <c r="CF2853" s="501"/>
      <c r="CG2853" s="501"/>
      <c r="CH2853" s="501"/>
      <c r="CI2853" s="501"/>
      <c r="CJ2853" s="501"/>
      <c r="CK2853" s="501"/>
      <c r="CL2853" s="501"/>
      <c r="CM2853" s="501"/>
      <c r="CN2853" s="501"/>
      <c r="CO2853" s="501"/>
      <c r="CP2853" s="501"/>
      <c r="CQ2853" s="501"/>
      <c r="CR2853" s="501"/>
      <c r="CS2853" s="501"/>
      <c r="CT2853" s="501"/>
      <c r="CU2853" s="501"/>
      <c r="CV2853" s="501"/>
      <c r="CW2853" s="501"/>
      <c r="CX2853" s="501"/>
      <c r="CY2853" s="501"/>
      <c r="CZ2853" s="501"/>
      <c r="DA2853" s="501"/>
      <c r="DB2853" s="501"/>
      <c r="DC2853" s="501"/>
      <c r="DD2853" s="501"/>
      <c r="DE2853" s="501"/>
      <c r="DF2853" s="501"/>
      <c r="DG2853" s="501"/>
      <c r="DH2853" s="501"/>
      <c r="DI2853" s="501"/>
      <c r="DJ2853" s="501"/>
      <c r="DK2853" s="501"/>
      <c r="DL2853" s="501"/>
      <c r="DM2853" s="501"/>
      <c r="DN2853" s="501"/>
      <c r="DO2853" s="501"/>
      <c r="DP2853" s="501"/>
      <c r="DQ2853" s="501"/>
      <c r="DR2853" s="501"/>
      <c r="DS2853" s="501"/>
      <c r="DT2853" s="501"/>
      <c r="DU2853" s="501"/>
      <c r="DV2853" s="501"/>
      <c r="DW2853" s="501"/>
      <c r="DX2853" s="501"/>
      <c r="DY2853" s="501"/>
      <c r="DZ2853" s="501"/>
      <c r="EA2853" s="501"/>
      <c r="EB2853" s="501"/>
      <c r="EC2853" s="501"/>
      <c r="ED2853" s="501"/>
      <c r="EE2853" s="501"/>
      <c r="EF2853" s="501"/>
      <c r="EG2853" s="501"/>
      <c r="EH2853" s="501"/>
      <c r="EI2853" s="501"/>
      <c r="EJ2853" s="501"/>
      <c r="EK2853" s="501"/>
      <c r="EL2853" s="501"/>
      <c r="EM2853" s="501"/>
      <c r="EN2853" s="501"/>
      <c r="EO2853" s="501"/>
      <c r="EP2853" s="501"/>
      <c r="EQ2853" s="501"/>
      <c r="ER2853" s="501"/>
      <c r="ES2853" s="501"/>
      <c r="ET2853" s="501"/>
      <c r="EU2853" s="501"/>
      <c r="EV2853" s="501"/>
      <c r="EW2853" s="501"/>
      <c r="EX2853" s="501"/>
      <c r="EY2853" s="501"/>
      <c r="EZ2853" s="501"/>
      <c r="FA2853" s="501"/>
      <c r="FB2853" s="501"/>
      <c r="FC2853" s="501"/>
      <c r="FD2853" s="501"/>
      <c r="FE2853" s="501"/>
      <c r="FF2853" s="501"/>
      <c r="FG2853" s="501"/>
      <c r="FH2853" s="501"/>
      <c r="FI2853" s="501"/>
      <c r="FJ2853" s="501"/>
      <c r="FK2853" s="501"/>
      <c r="FL2853" s="501"/>
      <c r="FM2853" s="501"/>
      <c r="FN2853" s="501"/>
      <c r="FO2853" s="501"/>
      <c r="FP2853" s="501"/>
      <c r="FQ2853" s="501"/>
      <c r="FR2853" s="501"/>
      <c r="FS2853" s="501"/>
      <c r="FT2853" s="501"/>
      <c r="FU2853" s="501"/>
      <c r="FV2853" s="501"/>
      <c r="FW2853" s="501"/>
      <c r="FX2853" s="501"/>
      <c r="FY2853" s="501"/>
      <c r="FZ2853" s="501"/>
      <c r="GA2853" s="501"/>
      <c r="GB2853" s="501"/>
      <c r="GC2853" s="501"/>
      <c r="GD2853" s="501"/>
      <c r="GE2853" s="501"/>
      <c r="GF2853" s="501"/>
      <c r="GG2853" s="501"/>
      <c r="GH2853" s="501"/>
      <c r="GI2853" s="501"/>
      <c r="GJ2853" s="501"/>
      <c r="GK2853" s="501"/>
      <c r="GL2853" s="501"/>
      <c r="GM2853" s="501"/>
      <c r="GN2853" s="501"/>
      <c r="GO2853" s="501"/>
      <c r="GP2853" s="501"/>
      <c r="GQ2853" s="501"/>
      <c r="GR2853" s="501"/>
      <c r="GS2853" s="501"/>
      <c r="GT2853" s="501"/>
      <c r="GU2853" s="501"/>
      <c r="GV2853" s="501"/>
      <c r="GW2853" s="501"/>
      <c r="GX2853" s="501"/>
      <c r="GY2853" s="501"/>
      <c r="GZ2853" s="501"/>
      <c r="HA2853" s="501"/>
      <c r="HB2853" s="501"/>
      <c r="HC2853" s="501"/>
      <c r="HD2853" s="501"/>
      <c r="HE2853" s="501"/>
      <c r="HF2853" s="501"/>
      <c r="HG2853" s="501"/>
      <c r="HH2853" s="501"/>
      <c r="HI2853" s="501"/>
      <c r="HJ2853" s="501"/>
      <c r="HK2853" s="501"/>
      <c r="HL2853" s="501"/>
      <c r="HM2853" s="501"/>
      <c r="HN2853" s="501"/>
      <c r="HO2853" s="501"/>
      <c r="HP2853" s="501"/>
      <c r="HQ2853" s="501"/>
      <c r="HR2853" s="501"/>
      <c r="HS2853" s="501"/>
      <c r="HT2853" s="501"/>
      <c r="HU2853" s="501"/>
      <c r="HV2853" s="501"/>
      <c r="HW2853" s="501"/>
      <c r="HX2853" s="501"/>
      <c r="HY2853" s="501"/>
      <c r="HZ2853" s="501"/>
      <c r="IA2853" s="501"/>
      <c r="IB2853" s="501"/>
      <c r="IC2853" s="501"/>
      <c r="ID2853" s="501"/>
      <c r="IE2853" s="501"/>
      <c r="IF2853" s="501"/>
      <c r="IG2853" s="501"/>
      <c r="IH2853" s="501"/>
      <c r="II2853" s="501"/>
      <c r="IJ2853" s="501"/>
      <c r="IK2853" s="501"/>
      <c r="IL2853" s="501"/>
      <c r="IM2853" s="501"/>
      <c r="IN2853" s="501"/>
      <c r="IO2853" s="501"/>
      <c r="IP2853" s="501"/>
      <c r="IQ2853" s="501"/>
      <c r="IR2853" s="501"/>
      <c r="IS2853" s="501"/>
      <c r="IT2853" s="501"/>
      <c r="IU2853" s="501"/>
    </row>
    <row r="2854" spans="1:255" s="877" customFormat="1" ht="24" customHeight="1">
      <c r="A2854" s="501"/>
      <c r="B2854" s="501"/>
      <c r="C2854" s="501"/>
      <c r="D2854" s="501"/>
      <c r="E2854" s="501"/>
      <c r="F2854" s="1097"/>
      <c r="G2854" s="1098"/>
      <c r="H2854" s="1097"/>
      <c r="I2854" s="1099"/>
      <c r="J2854" s="973"/>
      <c r="K2854" s="1097"/>
      <c r="L2854" s="1099"/>
      <c r="M2854" s="1153"/>
      <c r="N2854" s="501"/>
      <c r="O2854" s="968"/>
      <c r="P2854" s="1152"/>
      <c r="Q2854" s="973"/>
      <c r="R2854" s="968"/>
      <c r="S2854" s="974"/>
      <c r="T2854" s="968"/>
      <c r="V2854" s="501"/>
      <c r="W2854" s="501"/>
      <c r="X2854" s="501"/>
      <c r="Y2854" s="501"/>
      <c r="Z2854" s="501"/>
      <c r="AA2854" s="501"/>
      <c r="AB2854" s="501"/>
      <c r="AC2854" s="501"/>
      <c r="AD2854" s="501"/>
      <c r="AE2854" s="501"/>
      <c r="AF2854" s="501"/>
      <c r="AG2854" s="501"/>
      <c r="AH2854" s="501"/>
      <c r="AI2854" s="501"/>
      <c r="AJ2854" s="501"/>
      <c r="AK2854" s="501"/>
      <c r="AL2854" s="501"/>
      <c r="AM2854" s="501"/>
      <c r="AN2854" s="501"/>
      <c r="AO2854" s="501"/>
      <c r="AP2854" s="501"/>
      <c r="AQ2854" s="501"/>
      <c r="AR2854" s="501"/>
      <c r="AS2854" s="501"/>
      <c r="AT2854" s="501"/>
      <c r="AU2854" s="501"/>
      <c r="AV2854" s="501"/>
      <c r="AW2854" s="501"/>
      <c r="AX2854" s="501"/>
      <c r="AY2854" s="501"/>
      <c r="AZ2854" s="501"/>
      <c r="BA2854" s="501"/>
      <c r="BB2854" s="501"/>
      <c r="BC2854" s="501"/>
      <c r="BD2854" s="501"/>
      <c r="BE2854" s="501"/>
      <c r="BF2854" s="501"/>
      <c r="BG2854" s="501"/>
      <c r="BH2854" s="501"/>
      <c r="BI2854" s="501"/>
      <c r="BJ2854" s="501"/>
      <c r="BK2854" s="501"/>
      <c r="BL2854" s="501"/>
      <c r="BM2854" s="501"/>
      <c r="BN2854" s="501"/>
      <c r="BO2854" s="501"/>
      <c r="BP2854" s="501"/>
      <c r="BQ2854" s="501"/>
      <c r="BR2854" s="501"/>
      <c r="BS2854" s="501"/>
      <c r="BT2854" s="501"/>
      <c r="BU2854" s="501"/>
      <c r="BV2854" s="501"/>
      <c r="BW2854" s="501"/>
      <c r="BX2854" s="501"/>
      <c r="BY2854" s="501"/>
      <c r="BZ2854" s="501"/>
      <c r="CA2854" s="501"/>
      <c r="CB2854" s="501"/>
      <c r="CC2854" s="501"/>
      <c r="CD2854" s="501"/>
      <c r="CE2854" s="501"/>
      <c r="CF2854" s="501"/>
      <c r="CG2854" s="501"/>
      <c r="CH2854" s="501"/>
      <c r="CI2854" s="501"/>
      <c r="CJ2854" s="501"/>
      <c r="CK2854" s="501"/>
      <c r="CL2854" s="501"/>
      <c r="CM2854" s="501"/>
      <c r="CN2854" s="501"/>
      <c r="CO2854" s="501"/>
      <c r="CP2854" s="501"/>
      <c r="CQ2854" s="501"/>
      <c r="CR2854" s="501"/>
      <c r="CS2854" s="501"/>
      <c r="CT2854" s="501"/>
      <c r="CU2854" s="501"/>
      <c r="CV2854" s="501"/>
      <c r="CW2854" s="501"/>
      <c r="CX2854" s="501"/>
      <c r="CY2854" s="501"/>
      <c r="CZ2854" s="501"/>
      <c r="DA2854" s="501"/>
      <c r="DB2854" s="501"/>
      <c r="DC2854" s="501"/>
      <c r="DD2854" s="501"/>
      <c r="DE2854" s="501"/>
      <c r="DF2854" s="501"/>
      <c r="DG2854" s="501"/>
      <c r="DH2854" s="501"/>
      <c r="DI2854" s="501"/>
      <c r="DJ2854" s="501"/>
      <c r="DK2854" s="501"/>
      <c r="DL2854" s="501"/>
      <c r="DM2854" s="501"/>
      <c r="DN2854" s="501"/>
      <c r="DO2854" s="501"/>
      <c r="DP2854" s="501"/>
      <c r="DQ2854" s="501"/>
      <c r="DR2854" s="501"/>
      <c r="DS2854" s="501"/>
      <c r="DT2854" s="501"/>
      <c r="DU2854" s="501"/>
      <c r="DV2854" s="501"/>
      <c r="DW2854" s="501"/>
      <c r="DX2854" s="501"/>
      <c r="DY2854" s="501"/>
      <c r="DZ2854" s="501"/>
      <c r="EA2854" s="501"/>
      <c r="EB2854" s="501"/>
      <c r="EC2854" s="501"/>
      <c r="ED2854" s="501"/>
      <c r="EE2854" s="501"/>
      <c r="EF2854" s="501"/>
      <c r="EG2854" s="501"/>
      <c r="EH2854" s="501"/>
      <c r="EI2854" s="501"/>
      <c r="EJ2854" s="501"/>
      <c r="EK2854" s="501"/>
      <c r="EL2854" s="501"/>
      <c r="EM2854" s="501"/>
      <c r="EN2854" s="501"/>
      <c r="EO2854" s="501"/>
      <c r="EP2854" s="501"/>
      <c r="EQ2854" s="501"/>
      <c r="ER2854" s="501"/>
      <c r="ES2854" s="501"/>
      <c r="ET2854" s="501"/>
      <c r="EU2854" s="501"/>
      <c r="EV2854" s="501"/>
      <c r="EW2854" s="501"/>
      <c r="EX2854" s="501"/>
      <c r="EY2854" s="501"/>
      <c r="EZ2854" s="501"/>
      <c r="FA2854" s="501"/>
      <c r="FB2854" s="501"/>
      <c r="FC2854" s="501"/>
      <c r="FD2854" s="501"/>
      <c r="FE2854" s="501"/>
      <c r="FF2854" s="501"/>
      <c r="FG2854" s="501"/>
      <c r="FH2854" s="501"/>
      <c r="FI2854" s="501"/>
      <c r="FJ2854" s="501"/>
      <c r="FK2854" s="501"/>
      <c r="FL2854" s="501"/>
      <c r="FM2854" s="501"/>
      <c r="FN2854" s="501"/>
      <c r="FO2854" s="501"/>
      <c r="FP2854" s="501"/>
      <c r="FQ2854" s="501"/>
      <c r="FR2854" s="501"/>
      <c r="FS2854" s="501"/>
      <c r="FT2854" s="501"/>
      <c r="FU2854" s="501"/>
      <c r="FV2854" s="501"/>
      <c r="FW2854" s="501"/>
      <c r="FX2854" s="501"/>
      <c r="FY2854" s="501"/>
      <c r="FZ2854" s="501"/>
      <c r="GA2854" s="501"/>
      <c r="GB2854" s="501"/>
      <c r="GC2854" s="501"/>
      <c r="GD2854" s="501"/>
      <c r="GE2854" s="501"/>
      <c r="GF2854" s="501"/>
      <c r="GG2854" s="501"/>
      <c r="GH2854" s="501"/>
      <c r="GI2854" s="501"/>
      <c r="GJ2854" s="501"/>
      <c r="GK2854" s="501"/>
      <c r="GL2854" s="501"/>
      <c r="GM2854" s="501"/>
      <c r="GN2854" s="501"/>
      <c r="GO2854" s="501"/>
      <c r="GP2854" s="501"/>
      <c r="GQ2854" s="501"/>
      <c r="GR2854" s="501"/>
      <c r="GS2854" s="501"/>
      <c r="GT2854" s="501"/>
      <c r="GU2854" s="501"/>
      <c r="GV2854" s="501"/>
      <c r="GW2854" s="501"/>
      <c r="GX2854" s="501"/>
      <c r="GY2854" s="501"/>
      <c r="GZ2854" s="501"/>
      <c r="HA2854" s="501"/>
      <c r="HB2854" s="501"/>
      <c r="HC2854" s="501"/>
      <c r="HD2854" s="501"/>
      <c r="HE2854" s="501"/>
      <c r="HF2854" s="501"/>
      <c r="HG2854" s="501"/>
      <c r="HH2854" s="501"/>
      <c r="HI2854" s="501"/>
      <c r="HJ2854" s="501"/>
      <c r="HK2854" s="501"/>
      <c r="HL2854" s="501"/>
      <c r="HM2854" s="501"/>
      <c r="HN2854" s="501"/>
      <c r="HO2854" s="501"/>
      <c r="HP2854" s="501"/>
      <c r="HQ2854" s="501"/>
      <c r="HR2854" s="501"/>
      <c r="HS2854" s="501"/>
      <c r="HT2854" s="501"/>
      <c r="HU2854" s="501"/>
      <c r="HV2854" s="501"/>
      <c r="HW2854" s="501"/>
      <c r="HX2854" s="501"/>
      <c r="HY2854" s="501"/>
      <c r="HZ2854" s="501"/>
      <c r="IA2854" s="501"/>
      <c r="IB2854" s="501"/>
      <c r="IC2854" s="501"/>
      <c r="ID2854" s="501"/>
      <c r="IE2854" s="501"/>
      <c r="IF2854" s="501"/>
      <c r="IG2854" s="501"/>
      <c r="IH2854" s="501"/>
      <c r="II2854" s="501"/>
      <c r="IJ2854" s="501"/>
      <c r="IK2854" s="501"/>
      <c r="IL2854" s="501"/>
      <c r="IM2854" s="501"/>
      <c r="IN2854" s="501"/>
      <c r="IO2854" s="501"/>
      <c r="IP2854" s="501"/>
      <c r="IQ2854" s="501"/>
      <c r="IR2854" s="501"/>
      <c r="IS2854" s="501"/>
      <c r="IT2854" s="501"/>
      <c r="IU2854" s="501"/>
    </row>
    <row r="2855" spans="1:255" s="877" customFormat="1" ht="24" customHeight="1">
      <c r="A2855" s="501"/>
      <c r="B2855" s="501"/>
      <c r="C2855" s="501"/>
      <c r="D2855" s="501"/>
      <c r="E2855" s="501"/>
      <c r="F2855" s="1097"/>
      <c r="G2855" s="1098"/>
      <c r="H2855" s="1097"/>
      <c r="I2855" s="1099"/>
      <c r="J2855" s="973"/>
      <c r="K2855" s="1097"/>
      <c r="L2855" s="1099"/>
      <c r="M2855" s="1153"/>
      <c r="N2855" s="501"/>
      <c r="O2855" s="968"/>
      <c r="P2855" s="1152"/>
      <c r="Q2855" s="973"/>
      <c r="R2855" s="968"/>
      <c r="S2855" s="974"/>
      <c r="T2855" s="968"/>
      <c r="V2855" s="501"/>
      <c r="W2855" s="501"/>
      <c r="X2855" s="501"/>
      <c r="Y2855" s="501"/>
      <c r="Z2855" s="501"/>
      <c r="AA2855" s="501"/>
      <c r="AB2855" s="501"/>
      <c r="AC2855" s="501"/>
      <c r="AD2855" s="501"/>
      <c r="AE2855" s="501"/>
      <c r="AF2855" s="501"/>
      <c r="AG2855" s="501"/>
      <c r="AH2855" s="501"/>
      <c r="AI2855" s="501"/>
      <c r="AJ2855" s="501"/>
      <c r="AK2855" s="501"/>
      <c r="AL2855" s="501"/>
      <c r="AM2855" s="501"/>
      <c r="AN2855" s="501"/>
      <c r="AO2855" s="501"/>
      <c r="AP2855" s="501"/>
      <c r="AQ2855" s="501"/>
      <c r="AR2855" s="501"/>
      <c r="AS2855" s="501"/>
      <c r="AT2855" s="501"/>
      <c r="AU2855" s="501"/>
      <c r="AV2855" s="501"/>
      <c r="AW2855" s="501"/>
      <c r="AX2855" s="501"/>
      <c r="AY2855" s="501"/>
      <c r="AZ2855" s="501"/>
      <c r="BA2855" s="501"/>
      <c r="BB2855" s="501"/>
      <c r="BC2855" s="501"/>
      <c r="BD2855" s="501"/>
      <c r="BE2855" s="501"/>
      <c r="BF2855" s="501"/>
      <c r="BG2855" s="501"/>
      <c r="BH2855" s="501"/>
      <c r="BI2855" s="501"/>
      <c r="BJ2855" s="501"/>
      <c r="BK2855" s="501"/>
      <c r="BL2855" s="501"/>
      <c r="BM2855" s="501"/>
      <c r="BN2855" s="501"/>
      <c r="BO2855" s="501"/>
      <c r="BP2855" s="501"/>
      <c r="BQ2855" s="501"/>
      <c r="BR2855" s="501"/>
      <c r="BS2855" s="501"/>
      <c r="BT2855" s="501"/>
      <c r="BU2855" s="501"/>
      <c r="BV2855" s="501"/>
      <c r="BW2855" s="501"/>
      <c r="BX2855" s="501"/>
      <c r="BY2855" s="501"/>
      <c r="BZ2855" s="501"/>
      <c r="CA2855" s="501"/>
      <c r="CB2855" s="501"/>
      <c r="CC2855" s="501"/>
      <c r="CD2855" s="501"/>
      <c r="CE2855" s="501"/>
      <c r="CF2855" s="501"/>
      <c r="CG2855" s="501"/>
      <c r="CH2855" s="501"/>
      <c r="CI2855" s="501"/>
      <c r="CJ2855" s="501"/>
      <c r="CK2855" s="501"/>
      <c r="CL2855" s="501"/>
      <c r="CM2855" s="501"/>
      <c r="CN2855" s="501"/>
      <c r="CO2855" s="501"/>
      <c r="CP2855" s="501"/>
      <c r="CQ2855" s="501"/>
      <c r="CR2855" s="501"/>
      <c r="CS2855" s="501"/>
      <c r="CT2855" s="501"/>
      <c r="CU2855" s="501"/>
      <c r="CV2855" s="501"/>
      <c r="CW2855" s="501"/>
      <c r="CX2855" s="501"/>
      <c r="CY2855" s="501"/>
      <c r="CZ2855" s="501"/>
      <c r="DA2855" s="501"/>
      <c r="DB2855" s="501"/>
      <c r="DC2855" s="501"/>
      <c r="DD2855" s="501"/>
      <c r="DE2855" s="501"/>
      <c r="DF2855" s="501"/>
      <c r="DG2855" s="501"/>
      <c r="DH2855" s="501"/>
      <c r="DI2855" s="501"/>
      <c r="DJ2855" s="501"/>
      <c r="DK2855" s="501"/>
      <c r="DL2855" s="501"/>
      <c r="DM2855" s="501"/>
      <c r="DN2855" s="501"/>
      <c r="DO2855" s="501"/>
      <c r="DP2855" s="501"/>
      <c r="DQ2855" s="501"/>
      <c r="DR2855" s="501"/>
      <c r="DS2855" s="501"/>
      <c r="DT2855" s="501"/>
      <c r="DU2855" s="501"/>
      <c r="DV2855" s="501"/>
      <c r="DW2855" s="501"/>
      <c r="DX2855" s="501"/>
      <c r="DY2855" s="501"/>
      <c r="DZ2855" s="501"/>
      <c r="EA2855" s="501"/>
      <c r="EB2855" s="501"/>
      <c r="EC2855" s="501"/>
      <c r="ED2855" s="501"/>
      <c r="EE2855" s="501"/>
      <c r="EF2855" s="501"/>
      <c r="EG2855" s="501"/>
      <c r="EH2855" s="501"/>
      <c r="EI2855" s="501"/>
      <c r="EJ2855" s="501"/>
      <c r="EK2855" s="501"/>
      <c r="EL2855" s="501"/>
      <c r="EM2855" s="501"/>
      <c r="EN2855" s="501"/>
      <c r="EO2855" s="501"/>
      <c r="EP2855" s="501"/>
      <c r="EQ2855" s="501"/>
      <c r="ER2855" s="501"/>
      <c r="ES2855" s="501"/>
      <c r="ET2855" s="501"/>
      <c r="EU2855" s="501"/>
      <c r="EV2855" s="501"/>
      <c r="EW2855" s="501"/>
      <c r="EX2855" s="501"/>
      <c r="EY2855" s="501"/>
      <c r="EZ2855" s="501"/>
      <c r="FA2855" s="501"/>
      <c r="FB2855" s="501"/>
      <c r="FC2855" s="501"/>
      <c r="FD2855" s="501"/>
      <c r="FE2855" s="501"/>
      <c r="FF2855" s="501"/>
      <c r="FG2855" s="501"/>
      <c r="FH2855" s="501"/>
      <c r="FI2855" s="501"/>
      <c r="FJ2855" s="501"/>
      <c r="FK2855" s="501"/>
      <c r="FL2855" s="501"/>
      <c r="FM2855" s="501"/>
      <c r="FN2855" s="501"/>
      <c r="FO2855" s="501"/>
      <c r="FP2855" s="501"/>
      <c r="FQ2855" s="501"/>
      <c r="FR2855" s="501"/>
      <c r="FS2855" s="501"/>
      <c r="FT2855" s="501"/>
      <c r="FU2855" s="501"/>
      <c r="FV2855" s="501"/>
      <c r="FW2855" s="501"/>
      <c r="FX2855" s="501"/>
      <c r="FY2855" s="501"/>
      <c r="FZ2855" s="501"/>
      <c r="GA2855" s="501"/>
      <c r="GB2855" s="501"/>
      <c r="GC2855" s="501"/>
      <c r="GD2855" s="501"/>
      <c r="GE2855" s="501"/>
      <c r="GF2855" s="501"/>
      <c r="GG2855" s="501"/>
      <c r="GH2855" s="501"/>
      <c r="GI2855" s="501"/>
      <c r="GJ2855" s="501"/>
      <c r="GK2855" s="501"/>
      <c r="GL2855" s="501"/>
      <c r="GM2855" s="501"/>
      <c r="GN2855" s="501"/>
      <c r="GO2855" s="501"/>
      <c r="GP2855" s="501"/>
      <c r="GQ2855" s="501"/>
      <c r="GR2855" s="501"/>
      <c r="GS2855" s="501"/>
      <c r="GT2855" s="501"/>
      <c r="GU2855" s="501"/>
      <c r="GV2855" s="501"/>
      <c r="GW2855" s="501"/>
      <c r="GX2855" s="501"/>
      <c r="GY2855" s="501"/>
      <c r="GZ2855" s="501"/>
      <c r="HA2855" s="501"/>
      <c r="HB2855" s="501"/>
      <c r="HC2855" s="501"/>
      <c r="HD2855" s="501"/>
      <c r="HE2855" s="501"/>
      <c r="HF2855" s="501"/>
      <c r="HG2855" s="501"/>
      <c r="HH2855" s="501"/>
      <c r="HI2855" s="501"/>
      <c r="HJ2855" s="501"/>
      <c r="HK2855" s="501"/>
      <c r="HL2855" s="501"/>
      <c r="HM2855" s="501"/>
      <c r="HN2855" s="501"/>
      <c r="HO2855" s="501"/>
      <c r="HP2855" s="501"/>
      <c r="HQ2855" s="501"/>
      <c r="HR2855" s="501"/>
      <c r="HS2855" s="501"/>
      <c r="HT2855" s="501"/>
      <c r="HU2855" s="501"/>
      <c r="HV2855" s="501"/>
      <c r="HW2855" s="501"/>
      <c r="HX2855" s="501"/>
      <c r="HY2855" s="501"/>
      <c r="HZ2855" s="501"/>
      <c r="IA2855" s="501"/>
      <c r="IB2855" s="501"/>
      <c r="IC2855" s="501"/>
      <c r="ID2855" s="501"/>
      <c r="IE2855" s="501"/>
      <c r="IF2855" s="501"/>
      <c r="IG2855" s="501"/>
      <c r="IH2855" s="501"/>
      <c r="II2855" s="501"/>
      <c r="IJ2855" s="501"/>
      <c r="IK2855" s="501"/>
      <c r="IL2855" s="501"/>
      <c r="IM2855" s="501"/>
      <c r="IN2855" s="501"/>
      <c r="IO2855" s="501"/>
      <c r="IP2855" s="501"/>
      <c r="IQ2855" s="501"/>
      <c r="IR2855" s="501"/>
      <c r="IS2855" s="501"/>
      <c r="IT2855" s="501"/>
      <c r="IU2855" s="501"/>
    </row>
    <row r="2856" spans="1:255" s="877" customFormat="1" ht="24" customHeight="1">
      <c r="A2856" s="501"/>
      <c r="B2856" s="501"/>
      <c r="C2856" s="501"/>
      <c r="D2856" s="501"/>
      <c r="E2856" s="501"/>
      <c r="F2856" s="1097"/>
      <c r="G2856" s="1098"/>
      <c r="H2856" s="1097"/>
      <c r="I2856" s="1099"/>
      <c r="J2856" s="1097"/>
      <c r="K2856" s="1097"/>
      <c r="L2856" s="1099"/>
      <c r="M2856" s="1102"/>
      <c r="N2856" s="501"/>
      <c r="O2856" s="968"/>
      <c r="P2856" s="1152"/>
      <c r="Q2856" s="973"/>
      <c r="R2856" s="968"/>
      <c r="S2856" s="974"/>
      <c r="T2856" s="968"/>
      <c r="V2856" s="501"/>
      <c r="W2856" s="501"/>
      <c r="X2856" s="501"/>
      <c r="Y2856" s="501"/>
      <c r="Z2856" s="501"/>
      <c r="AA2856" s="501"/>
      <c r="AB2856" s="501"/>
      <c r="AC2856" s="501"/>
      <c r="AD2856" s="501"/>
      <c r="AE2856" s="501"/>
      <c r="AF2856" s="501"/>
      <c r="AG2856" s="501"/>
      <c r="AH2856" s="501"/>
      <c r="AI2856" s="501"/>
      <c r="AJ2856" s="501"/>
      <c r="AK2856" s="501"/>
      <c r="AL2856" s="501"/>
      <c r="AM2856" s="501"/>
      <c r="AN2856" s="501"/>
      <c r="AO2856" s="501"/>
      <c r="AP2856" s="501"/>
      <c r="AQ2856" s="501"/>
      <c r="AR2856" s="501"/>
      <c r="AS2856" s="501"/>
      <c r="AT2856" s="501"/>
      <c r="AU2856" s="501"/>
      <c r="AV2856" s="501"/>
      <c r="AW2856" s="501"/>
      <c r="AX2856" s="501"/>
      <c r="AY2856" s="501"/>
      <c r="AZ2856" s="501"/>
      <c r="BA2856" s="501"/>
      <c r="BB2856" s="501"/>
      <c r="BC2856" s="501"/>
      <c r="BD2856" s="501"/>
      <c r="BE2856" s="501"/>
      <c r="BF2856" s="501"/>
      <c r="BG2856" s="501"/>
      <c r="BH2856" s="501"/>
      <c r="BI2856" s="501"/>
      <c r="BJ2856" s="501"/>
      <c r="BK2856" s="501"/>
      <c r="BL2856" s="501"/>
      <c r="BM2856" s="501"/>
      <c r="BN2856" s="501"/>
      <c r="BO2856" s="501"/>
      <c r="BP2856" s="501"/>
      <c r="BQ2856" s="501"/>
      <c r="BR2856" s="501"/>
      <c r="BS2856" s="501"/>
      <c r="BT2856" s="501"/>
      <c r="BU2856" s="501"/>
      <c r="BV2856" s="501"/>
      <c r="BW2856" s="501"/>
      <c r="BX2856" s="501"/>
      <c r="BY2856" s="501"/>
      <c r="BZ2856" s="501"/>
      <c r="CA2856" s="501"/>
      <c r="CB2856" s="501"/>
      <c r="CC2856" s="501"/>
      <c r="CD2856" s="501"/>
      <c r="CE2856" s="501"/>
      <c r="CF2856" s="501"/>
      <c r="CG2856" s="501"/>
      <c r="CH2856" s="501"/>
      <c r="CI2856" s="501"/>
      <c r="CJ2856" s="501"/>
      <c r="CK2856" s="501"/>
      <c r="CL2856" s="501"/>
      <c r="CM2856" s="501"/>
      <c r="CN2856" s="501"/>
      <c r="CO2856" s="501"/>
      <c r="CP2856" s="501"/>
      <c r="CQ2856" s="501"/>
      <c r="CR2856" s="501"/>
      <c r="CS2856" s="501"/>
      <c r="CT2856" s="501"/>
      <c r="CU2856" s="501"/>
      <c r="CV2856" s="501"/>
      <c r="CW2856" s="501"/>
      <c r="CX2856" s="501"/>
      <c r="CY2856" s="501"/>
      <c r="CZ2856" s="501"/>
      <c r="DA2856" s="501"/>
      <c r="DB2856" s="501"/>
      <c r="DC2856" s="501"/>
      <c r="DD2856" s="501"/>
      <c r="DE2856" s="501"/>
      <c r="DF2856" s="501"/>
      <c r="DG2856" s="501"/>
      <c r="DH2856" s="501"/>
      <c r="DI2856" s="501"/>
      <c r="DJ2856" s="501"/>
      <c r="DK2856" s="501"/>
      <c r="DL2856" s="501"/>
      <c r="DM2856" s="501"/>
      <c r="DN2856" s="501"/>
      <c r="DO2856" s="501"/>
      <c r="DP2856" s="501"/>
      <c r="DQ2856" s="501"/>
      <c r="DR2856" s="501"/>
      <c r="DS2856" s="501"/>
      <c r="DT2856" s="501"/>
      <c r="DU2856" s="501"/>
      <c r="DV2856" s="501"/>
      <c r="DW2856" s="501"/>
      <c r="DX2856" s="501"/>
      <c r="DY2856" s="501"/>
      <c r="DZ2856" s="501"/>
      <c r="EA2856" s="501"/>
      <c r="EB2856" s="501"/>
      <c r="EC2856" s="501"/>
      <c r="ED2856" s="501"/>
      <c r="EE2856" s="501"/>
      <c r="EF2856" s="501"/>
      <c r="EG2856" s="501"/>
      <c r="EH2856" s="501"/>
      <c r="EI2856" s="501"/>
      <c r="EJ2856" s="501"/>
      <c r="EK2856" s="501"/>
      <c r="EL2856" s="501"/>
      <c r="EM2856" s="501"/>
      <c r="EN2856" s="501"/>
      <c r="EO2856" s="501"/>
      <c r="EP2856" s="501"/>
      <c r="EQ2856" s="501"/>
      <c r="ER2856" s="501"/>
      <c r="ES2856" s="501"/>
      <c r="ET2856" s="501"/>
      <c r="EU2856" s="501"/>
      <c r="EV2856" s="501"/>
      <c r="EW2856" s="501"/>
      <c r="EX2856" s="501"/>
      <c r="EY2856" s="501"/>
      <c r="EZ2856" s="501"/>
      <c r="FA2856" s="501"/>
      <c r="FB2856" s="501"/>
      <c r="FC2856" s="501"/>
      <c r="FD2856" s="501"/>
      <c r="FE2856" s="501"/>
      <c r="FF2856" s="501"/>
      <c r="FG2856" s="501"/>
      <c r="FH2856" s="501"/>
      <c r="FI2856" s="501"/>
      <c r="FJ2856" s="501"/>
      <c r="FK2856" s="501"/>
      <c r="FL2856" s="501"/>
      <c r="FM2856" s="501"/>
      <c r="FN2856" s="501"/>
      <c r="FO2856" s="501"/>
      <c r="FP2856" s="501"/>
      <c r="FQ2856" s="501"/>
      <c r="FR2856" s="501"/>
      <c r="FS2856" s="501"/>
      <c r="FT2856" s="501"/>
      <c r="FU2856" s="501"/>
      <c r="FV2856" s="501"/>
      <c r="FW2856" s="501"/>
      <c r="FX2856" s="501"/>
      <c r="FY2856" s="501"/>
      <c r="FZ2856" s="501"/>
      <c r="GA2856" s="501"/>
      <c r="GB2856" s="501"/>
      <c r="GC2856" s="501"/>
      <c r="GD2856" s="501"/>
      <c r="GE2856" s="501"/>
      <c r="GF2856" s="501"/>
      <c r="GG2856" s="501"/>
      <c r="GH2856" s="501"/>
      <c r="GI2856" s="501"/>
      <c r="GJ2856" s="501"/>
      <c r="GK2856" s="501"/>
      <c r="GL2856" s="501"/>
      <c r="GM2856" s="501"/>
      <c r="GN2856" s="501"/>
      <c r="GO2856" s="501"/>
      <c r="GP2856" s="501"/>
      <c r="GQ2856" s="501"/>
      <c r="GR2856" s="501"/>
      <c r="GS2856" s="501"/>
      <c r="GT2856" s="501"/>
      <c r="GU2856" s="501"/>
      <c r="GV2856" s="501"/>
      <c r="GW2856" s="501"/>
      <c r="GX2856" s="501"/>
      <c r="GY2856" s="501"/>
      <c r="GZ2856" s="501"/>
      <c r="HA2856" s="501"/>
      <c r="HB2856" s="501"/>
      <c r="HC2856" s="501"/>
      <c r="HD2856" s="501"/>
      <c r="HE2856" s="501"/>
      <c r="HF2856" s="501"/>
      <c r="HG2856" s="501"/>
      <c r="HH2856" s="501"/>
      <c r="HI2856" s="501"/>
      <c r="HJ2856" s="501"/>
      <c r="HK2856" s="501"/>
      <c r="HL2856" s="501"/>
      <c r="HM2856" s="501"/>
      <c r="HN2856" s="501"/>
      <c r="HO2856" s="501"/>
      <c r="HP2856" s="501"/>
      <c r="HQ2856" s="501"/>
      <c r="HR2856" s="501"/>
      <c r="HS2856" s="501"/>
      <c r="HT2856" s="501"/>
      <c r="HU2856" s="501"/>
      <c r="HV2856" s="501"/>
      <c r="HW2856" s="501"/>
      <c r="HX2856" s="501"/>
      <c r="HY2856" s="501"/>
      <c r="HZ2856" s="501"/>
      <c r="IA2856" s="501"/>
      <c r="IB2856" s="501"/>
      <c r="IC2856" s="501"/>
      <c r="ID2856" s="501"/>
      <c r="IE2856" s="501"/>
      <c r="IF2856" s="501"/>
      <c r="IG2856" s="501"/>
      <c r="IH2856" s="501"/>
      <c r="II2856" s="501"/>
      <c r="IJ2856" s="501"/>
      <c r="IK2856" s="501"/>
      <c r="IL2856" s="501"/>
      <c r="IM2856" s="501"/>
      <c r="IN2856" s="501"/>
      <c r="IO2856" s="501"/>
      <c r="IP2856" s="501"/>
      <c r="IQ2856" s="501"/>
      <c r="IR2856" s="501"/>
      <c r="IS2856" s="501"/>
      <c r="IT2856" s="501"/>
      <c r="IU2856" s="501"/>
    </row>
    <row r="2857" spans="1:255" s="877" customFormat="1" ht="24" customHeight="1">
      <c r="A2857" s="501"/>
      <c r="B2857" s="501"/>
      <c r="C2857" s="501"/>
      <c r="D2857" s="501"/>
      <c r="E2857" s="501"/>
      <c r="F2857" s="1167"/>
      <c r="G2857" s="1168"/>
      <c r="H2857" s="1167"/>
      <c r="I2857" s="973"/>
      <c r="J2857" s="973"/>
      <c r="K2857" s="968"/>
      <c r="L2857" s="973"/>
      <c r="M2857" s="1109"/>
      <c r="N2857" s="501"/>
      <c r="O2857" s="968"/>
      <c r="P2857" s="1152"/>
      <c r="Q2857" s="973"/>
      <c r="R2857" s="968"/>
      <c r="S2857" s="974"/>
      <c r="T2857" s="968"/>
      <c r="V2857" s="501"/>
      <c r="W2857" s="501"/>
      <c r="X2857" s="501"/>
      <c r="Y2857" s="501"/>
      <c r="Z2857" s="501"/>
      <c r="AA2857" s="501"/>
      <c r="AB2857" s="501"/>
      <c r="AC2857" s="501"/>
      <c r="AD2857" s="501"/>
      <c r="AE2857" s="501"/>
      <c r="AF2857" s="501"/>
      <c r="AG2857" s="501"/>
      <c r="AH2857" s="501"/>
      <c r="AI2857" s="501"/>
      <c r="AJ2857" s="501"/>
      <c r="AK2857" s="501"/>
      <c r="AL2857" s="501"/>
      <c r="AM2857" s="501"/>
      <c r="AN2857" s="501"/>
      <c r="AO2857" s="501"/>
      <c r="AP2857" s="501"/>
      <c r="AQ2857" s="501"/>
      <c r="AR2857" s="501"/>
      <c r="AS2857" s="501"/>
      <c r="AT2857" s="501"/>
      <c r="AU2857" s="501"/>
      <c r="AV2857" s="501"/>
      <c r="AW2857" s="501"/>
      <c r="AX2857" s="501"/>
      <c r="AY2857" s="501"/>
      <c r="AZ2857" s="501"/>
      <c r="BA2857" s="501"/>
      <c r="BB2857" s="501"/>
      <c r="BC2857" s="501"/>
      <c r="BD2857" s="501"/>
      <c r="BE2857" s="501"/>
      <c r="BF2857" s="501"/>
      <c r="BG2857" s="501"/>
      <c r="BH2857" s="501"/>
      <c r="BI2857" s="501"/>
      <c r="BJ2857" s="501"/>
      <c r="BK2857" s="501"/>
      <c r="BL2857" s="501"/>
      <c r="BM2857" s="501"/>
      <c r="BN2857" s="501"/>
      <c r="BO2857" s="501"/>
      <c r="BP2857" s="501"/>
      <c r="BQ2857" s="501"/>
      <c r="BR2857" s="501"/>
      <c r="BS2857" s="501"/>
      <c r="BT2857" s="501"/>
      <c r="BU2857" s="501"/>
      <c r="BV2857" s="501"/>
      <c r="BW2857" s="501"/>
      <c r="BX2857" s="501"/>
      <c r="BY2857" s="501"/>
      <c r="BZ2857" s="501"/>
      <c r="CA2857" s="501"/>
      <c r="CB2857" s="501"/>
      <c r="CC2857" s="501"/>
      <c r="CD2857" s="501"/>
      <c r="CE2857" s="501"/>
      <c r="CF2857" s="501"/>
      <c r="CG2857" s="501"/>
      <c r="CH2857" s="501"/>
      <c r="CI2857" s="501"/>
      <c r="CJ2857" s="501"/>
      <c r="CK2857" s="501"/>
      <c r="CL2857" s="501"/>
      <c r="CM2857" s="501"/>
      <c r="CN2857" s="501"/>
      <c r="CO2857" s="501"/>
      <c r="CP2857" s="501"/>
      <c r="CQ2857" s="501"/>
      <c r="CR2857" s="501"/>
      <c r="CS2857" s="501"/>
      <c r="CT2857" s="501"/>
      <c r="CU2857" s="501"/>
      <c r="CV2857" s="501"/>
      <c r="CW2857" s="501"/>
      <c r="CX2857" s="501"/>
      <c r="CY2857" s="501"/>
      <c r="CZ2857" s="501"/>
      <c r="DA2857" s="501"/>
      <c r="DB2857" s="501"/>
      <c r="DC2857" s="501"/>
      <c r="DD2857" s="501"/>
      <c r="DE2857" s="501"/>
      <c r="DF2857" s="501"/>
      <c r="DG2857" s="501"/>
      <c r="DH2857" s="501"/>
      <c r="DI2857" s="501"/>
      <c r="DJ2857" s="501"/>
      <c r="DK2857" s="501"/>
      <c r="DL2857" s="501"/>
      <c r="DM2857" s="501"/>
      <c r="DN2857" s="501"/>
      <c r="DO2857" s="501"/>
      <c r="DP2857" s="501"/>
      <c r="DQ2857" s="501"/>
      <c r="DR2857" s="501"/>
      <c r="DS2857" s="501"/>
      <c r="DT2857" s="501"/>
      <c r="DU2857" s="501"/>
      <c r="DV2857" s="501"/>
      <c r="DW2857" s="501"/>
      <c r="DX2857" s="501"/>
      <c r="DY2857" s="501"/>
      <c r="DZ2857" s="501"/>
      <c r="EA2857" s="501"/>
      <c r="EB2857" s="501"/>
      <c r="EC2857" s="501"/>
      <c r="ED2857" s="501"/>
      <c r="EE2857" s="501"/>
      <c r="EF2857" s="501"/>
      <c r="EG2857" s="501"/>
      <c r="EH2857" s="501"/>
      <c r="EI2857" s="501"/>
      <c r="EJ2857" s="501"/>
      <c r="EK2857" s="501"/>
      <c r="EL2857" s="501"/>
      <c r="EM2857" s="501"/>
      <c r="EN2857" s="501"/>
      <c r="EO2857" s="501"/>
      <c r="EP2857" s="501"/>
      <c r="EQ2857" s="501"/>
      <c r="ER2857" s="501"/>
      <c r="ES2857" s="501"/>
      <c r="ET2857" s="501"/>
      <c r="EU2857" s="501"/>
      <c r="EV2857" s="501"/>
      <c r="EW2857" s="501"/>
      <c r="EX2857" s="501"/>
      <c r="EY2857" s="501"/>
      <c r="EZ2857" s="501"/>
      <c r="FA2857" s="501"/>
      <c r="FB2857" s="501"/>
      <c r="FC2857" s="501"/>
      <c r="FD2857" s="501"/>
      <c r="FE2857" s="501"/>
      <c r="FF2857" s="501"/>
      <c r="FG2857" s="501"/>
      <c r="FH2857" s="501"/>
      <c r="FI2857" s="501"/>
      <c r="FJ2857" s="501"/>
      <c r="FK2857" s="501"/>
      <c r="FL2857" s="501"/>
      <c r="FM2857" s="501"/>
      <c r="FN2857" s="501"/>
      <c r="FO2857" s="501"/>
      <c r="FP2857" s="501"/>
      <c r="FQ2857" s="501"/>
      <c r="FR2857" s="501"/>
      <c r="FS2857" s="501"/>
      <c r="FT2857" s="501"/>
      <c r="FU2857" s="501"/>
      <c r="FV2857" s="501"/>
      <c r="FW2857" s="501"/>
      <c r="FX2857" s="501"/>
      <c r="FY2857" s="501"/>
      <c r="FZ2857" s="501"/>
      <c r="GA2857" s="501"/>
      <c r="GB2857" s="501"/>
      <c r="GC2857" s="501"/>
      <c r="GD2857" s="501"/>
      <c r="GE2857" s="501"/>
      <c r="GF2857" s="501"/>
      <c r="GG2857" s="501"/>
      <c r="GH2857" s="501"/>
      <c r="GI2857" s="501"/>
      <c r="GJ2857" s="501"/>
      <c r="GK2857" s="501"/>
      <c r="GL2857" s="501"/>
      <c r="GM2857" s="501"/>
      <c r="GN2857" s="501"/>
      <c r="GO2857" s="501"/>
      <c r="GP2857" s="501"/>
      <c r="GQ2857" s="501"/>
      <c r="GR2857" s="501"/>
      <c r="GS2857" s="501"/>
      <c r="GT2857" s="501"/>
      <c r="GU2857" s="501"/>
      <c r="GV2857" s="501"/>
      <c r="GW2857" s="501"/>
      <c r="GX2857" s="501"/>
      <c r="GY2857" s="501"/>
      <c r="GZ2857" s="501"/>
      <c r="HA2857" s="501"/>
      <c r="HB2857" s="501"/>
      <c r="HC2857" s="501"/>
      <c r="HD2857" s="501"/>
      <c r="HE2857" s="501"/>
      <c r="HF2857" s="501"/>
      <c r="HG2857" s="501"/>
      <c r="HH2857" s="501"/>
      <c r="HI2857" s="501"/>
      <c r="HJ2857" s="501"/>
      <c r="HK2857" s="501"/>
      <c r="HL2857" s="501"/>
      <c r="HM2857" s="501"/>
      <c r="HN2857" s="501"/>
      <c r="HO2857" s="501"/>
      <c r="HP2857" s="501"/>
      <c r="HQ2857" s="501"/>
      <c r="HR2857" s="501"/>
      <c r="HS2857" s="501"/>
      <c r="HT2857" s="501"/>
      <c r="HU2857" s="501"/>
      <c r="HV2857" s="501"/>
      <c r="HW2857" s="501"/>
      <c r="HX2857" s="501"/>
      <c r="HY2857" s="501"/>
      <c r="HZ2857" s="501"/>
      <c r="IA2857" s="501"/>
      <c r="IB2857" s="501"/>
      <c r="IC2857" s="501"/>
      <c r="ID2857" s="501"/>
      <c r="IE2857" s="501"/>
      <c r="IF2857" s="501"/>
      <c r="IG2857" s="501"/>
      <c r="IH2857" s="501"/>
      <c r="II2857" s="501"/>
      <c r="IJ2857" s="501"/>
      <c r="IK2857" s="501"/>
      <c r="IL2857" s="501"/>
      <c r="IM2857" s="501"/>
      <c r="IN2857" s="501"/>
      <c r="IO2857" s="501"/>
      <c r="IP2857" s="501"/>
      <c r="IQ2857" s="501"/>
      <c r="IR2857" s="501"/>
      <c r="IS2857" s="501"/>
      <c r="IT2857" s="501"/>
      <c r="IU2857" s="501"/>
    </row>
    <row r="2858" spans="1:255" s="877" customFormat="1" ht="24" customHeight="1">
      <c r="A2858" s="501"/>
      <c r="B2858" s="501"/>
      <c r="C2858" s="501"/>
      <c r="D2858" s="501"/>
      <c r="E2858" s="501"/>
      <c r="F2858" s="1157"/>
      <c r="G2858" s="1158"/>
      <c r="H2858" s="1157"/>
      <c r="I2858" s="973"/>
      <c r="J2858" s="973"/>
      <c r="K2858" s="968"/>
      <c r="L2858" s="973"/>
      <c r="M2858" s="1109"/>
      <c r="N2858" s="501"/>
      <c r="O2858" s="1097"/>
      <c r="P2858" s="1152"/>
      <c r="Q2858" s="1097"/>
      <c r="R2858" s="1097"/>
      <c r="S2858" s="1101"/>
      <c r="T2858" s="968"/>
      <c r="V2858" s="501"/>
      <c r="W2858" s="501"/>
      <c r="X2858" s="501"/>
      <c r="Y2858" s="501"/>
      <c r="Z2858" s="501"/>
      <c r="AA2858" s="501"/>
      <c r="AB2858" s="501"/>
      <c r="AC2858" s="501"/>
      <c r="AD2858" s="501"/>
      <c r="AE2858" s="501"/>
      <c r="AF2858" s="501"/>
      <c r="AG2858" s="501"/>
      <c r="AH2858" s="501"/>
      <c r="AI2858" s="501"/>
      <c r="AJ2858" s="501"/>
      <c r="AK2858" s="501"/>
      <c r="AL2858" s="501"/>
      <c r="AM2858" s="501"/>
      <c r="AN2858" s="501"/>
      <c r="AO2858" s="501"/>
      <c r="AP2858" s="501"/>
      <c r="AQ2858" s="501"/>
      <c r="AR2858" s="501"/>
      <c r="AS2858" s="501"/>
      <c r="AT2858" s="501"/>
      <c r="AU2858" s="501"/>
      <c r="AV2858" s="501"/>
      <c r="AW2858" s="501"/>
      <c r="AX2858" s="501"/>
      <c r="AY2858" s="501"/>
      <c r="AZ2858" s="501"/>
      <c r="BA2858" s="501"/>
      <c r="BB2858" s="501"/>
      <c r="BC2858" s="501"/>
      <c r="BD2858" s="501"/>
      <c r="BE2858" s="501"/>
      <c r="BF2858" s="501"/>
      <c r="BG2858" s="501"/>
      <c r="BH2858" s="501"/>
      <c r="BI2858" s="501"/>
      <c r="BJ2858" s="501"/>
      <c r="BK2858" s="501"/>
      <c r="BL2858" s="501"/>
      <c r="BM2858" s="501"/>
      <c r="BN2858" s="501"/>
      <c r="BO2858" s="501"/>
      <c r="BP2858" s="501"/>
      <c r="BQ2858" s="501"/>
      <c r="BR2858" s="501"/>
      <c r="BS2858" s="501"/>
      <c r="BT2858" s="501"/>
      <c r="BU2858" s="501"/>
      <c r="BV2858" s="501"/>
      <c r="BW2858" s="501"/>
      <c r="BX2858" s="501"/>
      <c r="BY2858" s="501"/>
      <c r="BZ2858" s="501"/>
      <c r="CA2858" s="501"/>
      <c r="CB2858" s="501"/>
      <c r="CC2858" s="501"/>
      <c r="CD2858" s="501"/>
      <c r="CE2858" s="501"/>
      <c r="CF2858" s="501"/>
      <c r="CG2858" s="501"/>
      <c r="CH2858" s="501"/>
      <c r="CI2858" s="501"/>
      <c r="CJ2858" s="501"/>
      <c r="CK2858" s="501"/>
      <c r="CL2858" s="501"/>
      <c r="CM2858" s="501"/>
      <c r="CN2858" s="501"/>
      <c r="CO2858" s="501"/>
      <c r="CP2858" s="501"/>
      <c r="CQ2858" s="501"/>
      <c r="CR2858" s="501"/>
      <c r="CS2858" s="501"/>
      <c r="CT2858" s="501"/>
      <c r="CU2858" s="501"/>
      <c r="CV2858" s="501"/>
      <c r="CW2858" s="501"/>
      <c r="CX2858" s="501"/>
      <c r="CY2858" s="501"/>
      <c r="CZ2858" s="501"/>
      <c r="DA2858" s="501"/>
      <c r="DB2858" s="501"/>
      <c r="DC2858" s="501"/>
      <c r="DD2858" s="501"/>
      <c r="DE2858" s="501"/>
      <c r="DF2858" s="501"/>
      <c r="DG2858" s="501"/>
      <c r="DH2858" s="501"/>
      <c r="DI2858" s="501"/>
      <c r="DJ2858" s="501"/>
      <c r="DK2858" s="501"/>
      <c r="DL2858" s="501"/>
      <c r="DM2858" s="501"/>
      <c r="DN2858" s="501"/>
      <c r="DO2858" s="501"/>
      <c r="DP2858" s="501"/>
      <c r="DQ2858" s="501"/>
      <c r="DR2858" s="501"/>
      <c r="DS2858" s="501"/>
      <c r="DT2858" s="501"/>
      <c r="DU2858" s="501"/>
      <c r="DV2858" s="501"/>
      <c r="DW2858" s="501"/>
      <c r="DX2858" s="501"/>
      <c r="DY2858" s="501"/>
      <c r="DZ2858" s="501"/>
      <c r="EA2858" s="501"/>
      <c r="EB2858" s="501"/>
      <c r="EC2858" s="501"/>
      <c r="ED2858" s="501"/>
      <c r="EE2858" s="501"/>
      <c r="EF2858" s="501"/>
      <c r="EG2858" s="501"/>
      <c r="EH2858" s="501"/>
      <c r="EI2858" s="501"/>
      <c r="EJ2858" s="501"/>
      <c r="EK2858" s="501"/>
      <c r="EL2858" s="501"/>
      <c r="EM2858" s="501"/>
      <c r="EN2858" s="501"/>
      <c r="EO2858" s="501"/>
      <c r="EP2858" s="501"/>
      <c r="EQ2858" s="501"/>
      <c r="ER2858" s="501"/>
      <c r="ES2858" s="501"/>
      <c r="ET2858" s="501"/>
      <c r="EU2858" s="501"/>
      <c r="EV2858" s="501"/>
      <c r="EW2858" s="501"/>
      <c r="EX2858" s="501"/>
      <c r="EY2858" s="501"/>
      <c r="EZ2858" s="501"/>
      <c r="FA2858" s="501"/>
      <c r="FB2858" s="501"/>
      <c r="FC2858" s="501"/>
      <c r="FD2858" s="501"/>
      <c r="FE2858" s="501"/>
      <c r="FF2858" s="501"/>
      <c r="FG2858" s="501"/>
      <c r="FH2858" s="501"/>
      <c r="FI2858" s="501"/>
      <c r="FJ2858" s="501"/>
      <c r="FK2858" s="501"/>
      <c r="FL2858" s="501"/>
      <c r="FM2858" s="501"/>
      <c r="FN2858" s="501"/>
      <c r="FO2858" s="501"/>
      <c r="FP2858" s="501"/>
      <c r="FQ2858" s="501"/>
      <c r="FR2858" s="501"/>
      <c r="FS2858" s="501"/>
      <c r="FT2858" s="501"/>
      <c r="FU2858" s="501"/>
      <c r="FV2858" s="501"/>
      <c r="FW2858" s="501"/>
      <c r="FX2858" s="501"/>
      <c r="FY2858" s="501"/>
      <c r="FZ2858" s="501"/>
      <c r="GA2858" s="501"/>
      <c r="GB2858" s="501"/>
      <c r="GC2858" s="501"/>
      <c r="GD2858" s="501"/>
      <c r="GE2858" s="501"/>
      <c r="GF2858" s="501"/>
      <c r="GG2858" s="501"/>
      <c r="GH2858" s="501"/>
      <c r="GI2858" s="501"/>
      <c r="GJ2858" s="501"/>
      <c r="GK2858" s="501"/>
      <c r="GL2858" s="501"/>
      <c r="GM2858" s="501"/>
      <c r="GN2858" s="501"/>
      <c r="GO2858" s="501"/>
      <c r="GP2858" s="501"/>
      <c r="GQ2858" s="501"/>
      <c r="GR2858" s="501"/>
      <c r="GS2858" s="501"/>
      <c r="GT2858" s="501"/>
      <c r="GU2858" s="501"/>
      <c r="GV2858" s="501"/>
      <c r="GW2858" s="501"/>
      <c r="GX2858" s="501"/>
      <c r="GY2858" s="501"/>
      <c r="GZ2858" s="501"/>
      <c r="HA2858" s="501"/>
      <c r="HB2858" s="501"/>
      <c r="HC2858" s="501"/>
      <c r="HD2858" s="501"/>
      <c r="HE2858" s="501"/>
      <c r="HF2858" s="501"/>
      <c r="HG2858" s="501"/>
      <c r="HH2858" s="501"/>
      <c r="HI2858" s="501"/>
      <c r="HJ2858" s="501"/>
      <c r="HK2858" s="501"/>
      <c r="HL2858" s="501"/>
      <c r="HM2858" s="501"/>
      <c r="HN2858" s="501"/>
      <c r="HO2858" s="501"/>
      <c r="HP2858" s="501"/>
      <c r="HQ2858" s="501"/>
      <c r="HR2858" s="501"/>
      <c r="HS2858" s="501"/>
      <c r="HT2858" s="501"/>
      <c r="HU2858" s="501"/>
      <c r="HV2858" s="501"/>
      <c r="HW2858" s="501"/>
      <c r="HX2858" s="501"/>
      <c r="HY2858" s="501"/>
      <c r="HZ2858" s="501"/>
      <c r="IA2858" s="501"/>
      <c r="IB2858" s="501"/>
      <c r="IC2858" s="501"/>
      <c r="ID2858" s="501"/>
      <c r="IE2858" s="501"/>
      <c r="IF2858" s="501"/>
      <c r="IG2858" s="501"/>
      <c r="IH2858" s="501"/>
      <c r="II2858" s="501"/>
      <c r="IJ2858" s="501"/>
      <c r="IK2858" s="501"/>
      <c r="IL2858" s="501"/>
      <c r="IM2858" s="501"/>
      <c r="IN2858" s="501"/>
      <c r="IO2858" s="501"/>
      <c r="IP2858" s="501"/>
      <c r="IQ2858" s="501"/>
      <c r="IR2858" s="501"/>
      <c r="IS2858" s="501"/>
      <c r="IT2858" s="501"/>
      <c r="IU2858" s="501"/>
    </row>
    <row r="2859" spans="1:255" s="877" customFormat="1" ht="24" customHeight="1">
      <c r="A2859" s="501"/>
      <c r="B2859" s="501"/>
      <c r="C2859" s="501"/>
      <c r="D2859" s="501"/>
      <c r="E2859" s="501"/>
      <c r="F2859" s="1157"/>
      <c r="G2859" s="1158"/>
      <c r="H2859" s="1157"/>
      <c r="I2859" s="973"/>
      <c r="J2859" s="973"/>
      <c r="K2859" s="968"/>
      <c r="L2859" s="973"/>
      <c r="M2859" s="1109"/>
      <c r="N2859" s="501"/>
      <c r="O2859" s="1097"/>
      <c r="P2859" s="1151"/>
      <c r="Q2859" s="973"/>
      <c r="R2859" s="1097"/>
      <c r="S2859" s="1101"/>
      <c r="T2859" s="968"/>
      <c r="V2859" s="501"/>
      <c r="W2859" s="501"/>
      <c r="X2859" s="501"/>
      <c r="Y2859" s="501"/>
      <c r="Z2859" s="501"/>
      <c r="AA2859" s="501"/>
      <c r="AB2859" s="501"/>
      <c r="AC2859" s="501"/>
      <c r="AD2859" s="501"/>
      <c r="AE2859" s="501"/>
      <c r="AF2859" s="501"/>
      <c r="AG2859" s="501"/>
      <c r="AH2859" s="501"/>
      <c r="AI2859" s="501"/>
      <c r="AJ2859" s="501"/>
      <c r="AK2859" s="501"/>
      <c r="AL2859" s="501"/>
      <c r="AM2859" s="501"/>
      <c r="AN2859" s="501"/>
      <c r="AO2859" s="501"/>
      <c r="AP2859" s="501"/>
      <c r="AQ2859" s="501"/>
      <c r="AR2859" s="501"/>
      <c r="AS2859" s="501"/>
      <c r="AT2859" s="501"/>
      <c r="AU2859" s="501"/>
      <c r="AV2859" s="501"/>
      <c r="AW2859" s="501"/>
      <c r="AX2859" s="501"/>
      <c r="AY2859" s="501"/>
      <c r="AZ2859" s="501"/>
      <c r="BA2859" s="501"/>
      <c r="BB2859" s="501"/>
      <c r="BC2859" s="501"/>
      <c r="BD2859" s="501"/>
      <c r="BE2859" s="501"/>
      <c r="BF2859" s="501"/>
      <c r="BG2859" s="501"/>
      <c r="BH2859" s="501"/>
      <c r="BI2859" s="501"/>
      <c r="BJ2859" s="501"/>
      <c r="BK2859" s="501"/>
      <c r="BL2859" s="501"/>
      <c r="BM2859" s="501"/>
      <c r="BN2859" s="501"/>
      <c r="BO2859" s="501"/>
      <c r="BP2859" s="501"/>
      <c r="BQ2859" s="501"/>
      <c r="BR2859" s="501"/>
      <c r="BS2859" s="501"/>
      <c r="BT2859" s="501"/>
      <c r="BU2859" s="501"/>
      <c r="BV2859" s="501"/>
      <c r="BW2859" s="501"/>
      <c r="BX2859" s="501"/>
      <c r="BY2859" s="501"/>
      <c r="BZ2859" s="501"/>
      <c r="CA2859" s="501"/>
      <c r="CB2859" s="501"/>
      <c r="CC2859" s="501"/>
      <c r="CD2859" s="501"/>
      <c r="CE2859" s="501"/>
      <c r="CF2859" s="501"/>
      <c r="CG2859" s="501"/>
      <c r="CH2859" s="501"/>
      <c r="CI2859" s="501"/>
      <c r="CJ2859" s="501"/>
      <c r="CK2859" s="501"/>
      <c r="CL2859" s="501"/>
      <c r="CM2859" s="501"/>
      <c r="CN2859" s="501"/>
      <c r="CO2859" s="501"/>
      <c r="CP2859" s="501"/>
      <c r="CQ2859" s="501"/>
      <c r="CR2859" s="501"/>
      <c r="CS2859" s="501"/>
      <c r="CT2859" s="501"/>
      <c r="CU2859" s="501"/>
      <c r="CV2859" s="501"/>
      <c r="CW2859" s="501"/>
      <c r="CX2859" s="501"/>
      <c r="CY2859" s="501"/>
      <c r="CZ2859" s="501"/>
      <c r="DA2859" s="501"/>
      <c r="DB2859" s="501"/>
      <c r="DC2859" s="501"/>
      <c r="DD2859" s="501"/>
      <c r="DE2859" s="501"/>
      <c r="DF2859" s="501"/>
      <c r="DG2859" s="501"/>
      <c r="DH2859" s="501"/>
      <c r="DI2859" s="501"/>
      <c r="DJ2859" s="501"/>
      <c r="DK2859" s="501"/>
      <c r="DL2859" s="501"/>
      <c r="DM2859" s="501"/>
      <c r="DN2859" s="501"/>
      <c r="DO2859" s="501"/>
      <c r="DP2859" s="501"/>
      <c r="DQ2859" s="501"/>
      <c r="DR2859" s="501"/>
      <c r="DS2859" s="501"/>
      <c r="DT2859" s="501"/>
      <c r="DU2859" s="501"/>
      <c r="DV2859" s="501"/>
      <c r="DW2859" s="501"/>
      <c r="DX2859" s="501"/>
      <c r="DY2859" s="501"/>
      <c r="DZ2859" s="501"/>
      <c r="EA2859" s="501"/>
      <c r="EB2859" s="501"/>
      <c r="EC2859" s="501"/>
      <c r="ED2859" s="501"/>
      <c r="EE2859" s="501"/>
      <c r="EF2859" s="501"/>
      <c r="EG2859" s="501"/>
      <c r="EH2859" s="501"/>
      <c r="EI2859" s="501"/>
      <c r="EJ2859" s="501"/>
      <c r="EK2859" s="501"/>
      <c r="EL2859" s="501"/>
      <c r="EM2859" s="501"/>
      <c r="EN2859" s="501"/>
      <c r="EO2859" s="501"/>
      <c r="EP2859" s="501"/>
      <c r="EQ2859" s="501"/>
      <c r="ER2859" s="501"/>
      <c r="ES2859" s="501"/>
      <c r="ET2859" s="501"/>
      <c r="EU2859" s="501"/>
      <c r="EV2859" s="501"/>
      <c r="EW2859" s="501"/>
      <c r="EX2859" s="501"/>
      <c r="EY2859" s="501"/>
      <c r="EZ2859" s="501"/>
      <c r="FA2859" s="501"/>
      <c r="FB2859" s="501"/>
      <c r="FC2859" s="501"/>
      <c r="FD2859" s="501"/>
      <c r="FE2859" s="501"/>
      <c r="FF2859" s="501"/>
      <c r="FG2859" s="501"/>
      <c r="FH2859" s="501"/>
      <c r="FI2859" s="501"/>
      <c r="FJ2859" s="501"/>
      <c r="FK2859" s="501"/>
      <c r="FL2859" s="501"/>
      <c r="FM2859" s="501"/>
      <c r="FN2859" s="501"/>
      <c r="FO2859" s="501"/>
      <c r="FP2859" s="501"/>
      <c r="FQ2859" s="501"/>
      <c r="FR2859" s="501"/>
      <c r="FS2859" s="501"/>
      <c r="FT2859" s="501"/>
      <c r="FU2859" s="501"/>
      <c r="FV2859" s="501"/>
      <c r="FW2859" s="501"/>
      <c r="FX2859" s="501"/>
      <c r="FY2859" s="501"/>
      <c r="FZ2859" s="501"/>
      <c r="GA2859" s="501"/>
      <c r="GB2859" s="501"/>
      <c r="GC2859" s="501"/>
      <c r="GD2859" s="501"/>
      <c r="GE2859" s="501"/>
      <c r="GF2859" s="501"/>
      <c r="GG2859" s="501"/>
      <c r="GH2859" s="501"/>
      <c r="GI2859" s="501"/>
      <c r="GJ2859" s="501"/>
      <c r="GK2859" s="501"/>
      <c r="GL2859" s="501"/>
      <c r="GM2859" s="501"/>
      <c r="GN2859" s="501"/>
      <c r="GO2859" s="501"/>
      <c r="GP2859" s="501"/>
      <c r="GQ2859" s="501"/>
      <c r="GR2859" s="501"/>
      <c r="GS2859" s="501"/>
      <c r="GT2859" s="501"/>
      <c r="GU2859" s="501"/>
      <c r="GV2859" s="501"/>
      <c r="GW2859" s="501"/>
      <c r="GX2859" s="501"/>
      <c r="GY2859" s="501"/>
      <c r="GZ2859" s="501"/>
      <c r="HA2859" s="501"/>
      <c r="HB2859" s="501"/>
      <c r="HC2859" s="501"/>
      <c r="HD2859" s="501"/>
      <c r="HE2859" s="501"/>
      <c r="HF2859" s="501"/>
      <c r="HG2859" s="501"/>
      <c r="HH2859" s="501"/>
      <c r="HI2859" s="501"/>
      <c r="HJ2859" s="501"/>
      <c r="HK2859" s="501"/>
      <c r="HL2859" s="501"/>
      <c r="HM2859" s="501"/>
      <c r="HN2859" s="501"/>
      <c r="HO2859" s="501"/>
      <c r="HP2859" s="501"/>
      <c r="HQ2859" s="501"/>
      <c r="HR2859" s="501"/>
      <c r="HS2859" s="501"/>
      <c r="HT2859" s="501"/>
      <c r="HU2859" s="501"/>
      <c r="HV2859" s="501"/>
      <c r="HW2859" s="501"/>
      <c r="HX2859" s="501"/>
      <c r="HY2859" s="501"/>
      <c r="HZ2859" s="501"/>
      <c r="IA2859" s="501"/>
      <c r="IB2859" s="501"/>
      <c r="IC2859" s="501"/>
      <c r="ID2859" s="501"/>
      <c r="IE2859" s="501"/>
      <c r="IF2859" s="501"/>
      <c r="IG2859" s="501"/>
      <c r="IH2859" s="501"/>
      <c r="II2859" s="501"/>
      <c r="IJ2859" s="501"/>
      <c r="IK2859" s="501"/>
      <c r="IL2859" s="501"/>
      <c r="IM2859" s="501"/>
      <c r="IN2859" s="501"/>
      <c r="IO2859" s="501"/>
      <c r="IP2859" s="501"/>
      <c r="IQ2859" s="501"/>
      <c r="IR2859" s="501"/>
      <c r="IS2859" s="501"/>
      <c r="IT2859" s="501"/>
      <c r="IU2859" s="501"/>
    </row>
    <row r="2860" spans="1:255" s="877" customFormat="1" ht="24" customHeight="1">
      <c r="A2860" s="501"/>
      <c r="B2860" s="501"/>
      <c r="C2860" s="501"/>
      <c r="D2860" s="501"/>
      <c r="E2860" s="501"/>
      <c r="F2860" s="1157"/>
      <c r="G2860" s="1158"/>
      <c r="H2860" s="1157"/>
      <c r="I2860" s="973"/>
      <c r="J2860" s="973"/>
      <c r="K2860" s="968"/>
      <c r="L2860" s="973"/>
      <c r="M2860" s="1109"/>
      <c r="N2860" s="501"/>
      <c r="O2860" s="1097"/>
      <c r="P2860" s="1151"/>
      <c r="Q2860" s="1097"/>
      <c r="R2860" s="1097"/>
      <c r="S2860" s="1101"/>
      <c r="T2860" s="1106"/>
      <c r="V2860" s="501"/>
      <c r="W2860" s="501"/>
      <c r="X2860" s="501"/>
      <c r="Y2860" s="501"/>
      <c r="Z2860" s="501"/>
      <c r="AA2860" s="501"/>
      <c r="AB2860" s="501"/>
      <c r="AC2860" s="501"/>
      <c r="AD2860" s="501"/>
      <c r="AE2860" s="501"/>
      <c r="AF2860" s="501"/>
      <c r="AG2860" s="501"/>
      <c r="AH2860" s="501"/>
      <c r="AI2860" s="501"/>
      <c r="AJ2860" s="501"/>
      <c r="AK2860" s="501"/>
      <c r="AL2860" s="501"/>
      <c r="AM2860" s="501"/>
      <c r="AN2860" s="501"/>
      <c r="AO2860" s="501"/>
      <c r="AP2860" s="501"/>
      <c r="AQ2860" s="501"/>
      <c r="AR2860" s="501"/>
      <c r="AS2860" s="501"/>
      <c r="AT2860" s="501"/>
      <c r="AU2860" s="501"/>
      <c r="AV2860" s="501"/>
      <c r="AW2860" s="501"/>
      <c r="AX2860" s="501"/>
      <c r="AY2860" s="501"/>
      <c r="AZ2860" s="501"/>
      <c r="BA2860" s="501"/>
      <c r="BB2860" s="501"/>
      <c r="BC2860" s="501"/>
      <c r="BD2860" s="501"/>
      <c r="BE2860" s="501"/>
      <c r="BF2860" s="501"/>
      <c r="BG2860" s="501"/>
      <c r="BH2860" s="501"/>
      <c r="BI2860" s="501"/>
      <c r="BJ2860" s="501"/>
      <c r="BK2860" s="501"/>
      <c r="BL2860" s="501"/>
      <c r="BM2860" s="501"/>
      <c r="BN2860" s="501"/>
      <c r="BO2860" s="501"/>
      <c r="BP2860" s="501"/>
      <c r="BQ2860" s="501"/>
      <c r="BR2860" s="501"/>
      <c r="BS2860" s="501"/>
      <c r="BT2860" s="501"/>
      <c r="BU2860" s="501"/>
      <c r="BV2860" s="501"/>
      <c r="BW2860" s="501"/>
      <c r="BX2860" s="501"/>
      <c r="BY2860" s="501"/>
      <c r="BZ2860" s="501"/>
      <c r="CA2860" s="501"/>
      <c r="CB2860" s="501"/>
      <c r="CC2860" s="501"/>
      <c r="CD2860" s="501"/>
      <c r="CE2860" s="501"/>
      <c r="CF2860" s="501"/>
      <c r="CG2860" s="501"/>
      <c r="CH2860" s="501"/>
      <c r="CI2860" s="501"/>
      <c r="CJ2860" s="501"/>
      <c r="CK2860" s="501"/>
      <c r="CL2860" s="501"/>
      <c r="CM2860" s="501"/>
      <c r="CN2860" s="501"/>
      <c r="CO2860" s="501"/>
      <c r="CP2860" s="501"/>
      <c r="CQ2860" s="501"/>
      <c r="CR2860" s="501"/>
      <c r="CS2860" s="501"/>
      <c r="CT2860" s="501"/>
      <c r="CU2860" s="501"/>
      <c r="CV2860" s="501"/>
      <c r="CW2860" s="501"/>
      <c r="CX2860" s="501"/>
      <c r="CY2860" s="501"/>
      <c r="CZ2860" s="501"/>
      <c r="DA2860" s="501"/>
      <c r="DB2860" s="501"/>
      <c r="DC2860" s="501"/>
      <c r="DD2860" s="501"/>
      <c r="DE2860" s="501"/>
      <c r="DF2860" s="501"/>
      <c r="DG2860" s="501"/>
      <c r="DH2860" s="501"/>
      <c r="DI2860" s="501"/>
      <c r="DJ2860" s="501"/>
      <c r="DK2860" s="501"/>
      <c r="DL2860" s="501"/>
      <c r="DM2860" s="501"/>
      <c r="DN2860" s="501"/>
      <c r="DO2860" s="501"/>
      <c r="DP2860" s="501"/>
      <c r="DQ2860" s="501"/>
      <c r="DR2860" s="501"/>
      <c r="DS2860" s="501"/>
      <c r="DT2860" s="501"/>
      <c r="DU2860" s="501"/>
      <c r="DV2860" s="501"/>
      <c r="DW2860" s="501"/>
      <c r="DX2860" s="501"/>
      <c r="DY2860" s="501"/>
      <c r="DZ2860" s="501"/>
      <c r="EA2860" s="501"/>
      <c r="EB2860" s="501"/>
      <c r="EC2860" s="501"/>
      <c r="ED2860" s="501"/>
      <c r="EE2860" s="501"/>
      <c r="EF2860" s="501"/>
      <c r="EG2860" s="501"/>
      <c r="EH2860" s="501"/>
      <c r="EI2860" s="501"/>
      <c r="EJ2860" s="501"/>
      <c r="EK2860" s="501"/>
      <c r="EL2860" s="501"/>
      <c r="EM2860" s="501"/>
      <c r="EN2860" s="501"/>
      <c r="EO2860" s="501"/>
      <c r="EP2860" s="501"/>
      <c r="EQ2860" s="501"/>
      <c r="ER2860" s="501"/>
      <c r="ES2860" s="501"/>
      <c r="ET2860" s="501"/>
      <c r="EU2860" s="501"/>
      <c r="EV2860" s="501"/>
      <c r="EW2860" s="501"/>
      <c r="EX2860" s="501"/>
      <c r="EY2860" s="501"/>
      <c r="EZ2860" s="501"/>
      <c r="FA2860" s="501"/>
      <c r="FB2860" s="501"/>
      <c r="FC2860" s="501"/>
      <c r="FD2860" s="501"/>
      <c r="FE2860" s="501"/>
      <c r="FF2860" s="501"/>
      <c r="FG2860" s="501"/>
      <c r="FH2860" s="501"/>
      <c r="FI2860" s="501"/>
      <c r="FJ2860" s="501"/>
      <c r="FK2860" s="501"/>
      <c r="FL2860" s="501"/>
      <c r="FM2860" s="501"/>
      <c r="FN2860" s="501"/>
      <c r="FO2860" s="501"/>
      <c r="FP2860" s="501"/>
      <c r="FQ2860" s="501"/>
      <c r="FR2860" s="501"/>
      <c r="FS2860" s="501"/>
      <c r="FT2860" s="501"/>
      <c r="FU2860" s="501"/>
      <c r="FV2860" s="501"/>
      <c r="FW2860" s="501"/>
      <c r="FX2860" s="501"/>
      <c r="FY2860" s="501"/>
      <c r="FZ2860" s="501"/>
      <c r="GA2860" s="501"/>
      <c r="GB2860" s="501"/>
      <c r="GC2860" s="501"/>
      <c r="GD2860" s="501"/>
      <c r="GE2860" s="501"/>
      <c r="GF2860" s="501"/>
      <c r="GG2860" s="501"/>
      <c r="GH2860" s="501"/>
      <c r="GI2860" s="501"/>
      <c r="GJ2860" s="501"/>
      <c r="GK2860" s="501"/>
      <c r="GL2860" s="501"/>
      <c r="GM2860" s="501"/>
      <c r="GN2860" s="501"/>
      <c r="GO2860" s="501"/>
      <c r="GP2860" s="501"/>
      <c r="GQ2860" s="501"/>
      <c r="GR2860" s="501"/>
      <c r="GS2860" s="501"/>
      <c r="GT2860" s="501"/>
      <c r="GU2860" s="501"/>
      <c r="GV2860" s="501"/>
      <c r="GW2860" s="501"/>
      <c r="GX2860" s="501"/>
      <c r="GY2860" s="501"/>
      <c r="GZ2860" s="501"/>
      <c r="HA2860" s="501"/>
      <c r="HB2860" s="501"/>
      <c r="HC2860" s="501"/>
      <c r="HD2860" s="501"/>
      <c r="HE2860" s="501"/>
      <c r="HF2860" s="501"/>
      <c r="HG2860" s="501"/>
      <c r="HH2860" s="501"/>
      <c r="HI2860" s="501"/>
      <c r="HJ2860" s="501"/>
      <c r="HK2860" s="501"/>
      <c r="HL2860" s="501"/>
      <c r="HM2860" s="501"/>
      <c r="HN2860" s="501"/>
      <c r="HO2860" s="501"/>
      <c r="HP2860" s="501"/>
      <c r="HQ2860" s="501"/>
      <c r="HR2860" s="501"/>
      <c r="HS2860" s="501"/>
      <c r="HT2860" s="501"/>
      <c r="HU2860" s="501"/>
      <c r="HV2860" s="501"/>
      <c r="HW2860" s="501"/>
      <c r="HX2860" s="501"/>
      <c r="HY2860" s="501"/>
      <c r="HZ2860" s="501"/>
      <c r="IA2860" s="501"/>
      <c r="IB2860" s="501"/>
      <c r="IC2860" s="501"/>
      <c r="ID2860" s="501"/>
      <c r="IE2860" s="501"/>
      <c r="IF2860" s="501"/>
      <c r="IG2860" s="501"/>
      <c r="IH2860" s="501"/>
      <c r="II2860" s="501"/>
      <c r="IJ2860" s="501"/>
      <c r="IK2860" s="501"/>
      <c r="IL2860" s="501"/>
      <c r="IM2860" s="501"/>
      <c r="IN2860" s="501"/>
      <c r="IO2860" s="501"/>
      <c r="IP2860" s="501"/>
      <c r="IQ2860" s="501"/>
      <c r="IR2860" s="501"/>
      <c r="IS2860" s="501"/>
      <c r="IT2860" s="501"/>
      <c r="IU2860" s="501"/>
    </row>
    <row r="2861" spans="1:255" s="877" customFormat="1" ht="24" customHeight="1">
      <c r="A2861" s="501"/>
      <c r="B2861" s="501"/>
      <c r="C2861" s="501"/>
      <c r="D2861" s="501"/>
      <c r="E2861" s="501"/>
      <c r="F2861" s="1157"/>
      <c r="G2861" s="1158"/>
      <c r="H2861" s="1157"/>
      <c r="I2861" s="973"/>
      <c r="J2861" s="1108"/>
      <c r="K2861" s="968"/>
      <c r="L2861" s="973"/>
      <c r="M2861" s="1109"/>
      <c r="N2861" s="501"/>
      <c r="O2861" s="1097"/>
      <c r="P2861" s="1151"/>
      <c r="Q2861" s="973"/>
      <c r="R2861" s="1097"/>
      <c r="S2861" s="1101"/>
      <c r="T2861" s="968"/>
      <c r="V2861" s="501"/>
      <c r="W2861" s="501"/>
      <c r="X2861" s="501"/>
      <c r="Y2861" s="501"/>
      <c r="Z2861" s="501"/>
      <c r="AA2861" s="501"/>
      <c r="AB2861" s="501"/>
      <c r="AC2861" s="501"/>
      <c r="AD2861" s="501"/>
      <c r="AE2861" s="501"/>
      <c r="AF2861" s="501"/>
      <c r="AG2861" s="501"/>
      <c r="AH2861" s="501"/>
      <c r="AI2861" s="501"/>
      <c r="AJ2861" s="501"/>
      <c r="AK2861" s="501"/>
      <c r="AL2861" s="501"/>
      <c r="AM2861" s="501"/>
      <c r="AN2861" s="501"/>
      <c r="AO2861" s="501"/>
      <c r="AP2861" s="501"/>
      <c r="AQ2861" s="501"/>
      <c r="AR2861" s="501"/>
      <c r="AS2861" s="501"/>
      <c r="AT2861" s="501"/>
      <c r="AU2861" s="501"/>
      <c r="AV2861" s="501"/>
      <c r="AW2861" s="501"/>
      <c r="AX2861" s="501"/>
      <c r="AY2861" s="501"/>
      <c r="AZ2861" s="501"/>
      <c r="BA2861" s="501"/>
      <c r="BB2861" s="501"/>
      <c r="BC2861" s="501"/>
      <c r="BD2861" s="501"/>
      <c r="BE2861" s="501"/>
      <c r="BF2861" s="501"/>
      <c r="BG2861" s="501"/>
      <c r="BH2861" s="501"/>
      <c r="BI2861" s="501"/>
      <c r="BJ2861" s="501"/>
      <c r="BK2861" s="501"/>
      <c r="BL2861" s="501"/>
      <c r="BM2861" s="501"/>
      <c r="BN2861" s="501"/>
      <c r="BO2861" s="501"/>
      <c r="BP2861" s="501"/>
      <c r="BQ2861" s="501"/>
      <c r="BR2861" s="501"/>
      <c r="BS2861" s="501"/>
      <c r="BT2861" s="501"/>
      <c r="BU2861" s="501"/>
      <c r="BV2861" s="501"/>
      <c r="BW2861" s="501"/>
      <c r="BX2861" s="501"/>
      <c r="BY2861" s="501"/>
      <c r="BZ2861" s="501"/>
      <c r="CA2861" s="501"/>
      <c r="CB2861" s="501"/>
      <c r="CC2861" s="501"/>
      <c r="CD2861" s="501"/>
      <c r="CE2861" s="501"/>
      <c r="CF2861" s="501"/>
      <c r="CG2861" s="501"/>
      <c r="CH2861" s="501"/>
      <c r="CI2861" s="501"/>
      <c r="CJ2861" s="501"/>
      <c r="CK2861" s="501"/>
      <c r="CL2861" s="501"/>
      <c r="CM2861" s="501"/>
      <c r="CN2861" s="501"/>
      <c r="CO2861" s="501"/>
      <c r="CP2861" s="501"/>
      <c r="CQ2861" s="501"/>
      <c r="CR2861" s="501"/>
      <c r="CS2861" s="501"/>
      <c r="CT2861" s="501"/>
      <c r="CU2861" s="501"/>
      <c r="CV2861" s="501"/>
      <c r="CW2861" s="501"/>
      <c r="CX2861" s="501"/>
      <c r="CY2861" s="501"/>
      <c r="CZ2861" s="501"/>
      <c r="DA2861" s="501"/>
      <c r="DB2861" s="501"/>
      <c r="DC2861" s="501"/>
      <c r="DD2861" s="501"/>
      <c r="DE2861" s="501"/>
      <c r="DF2861" s="501"/>
      <c r="DG2861" s="501"/>
      <c r="DH2861" s="501"/>
      <c r="DI2861" s="501"/>
      <c r="DJ2861" s="501"/>
      <c r="DK2861" s="501"/>
      <c r="DL2861" s="501"/>
      <c r="DM2861" s="501"/>
      <c r="DN2861" s="501"/>
      <c r="DO2861" s="501"/>
      <c r="DP2861" s="501"/>
      <c r="DQ2861" s="501"/>
      <c r="DR2861" s="501"/>
      <c r="DS2861" s="501"/>
      <c r="DT2861" s="501"/>
      <c r="DU2861" s="501"/>
      <c r="DV2861" s="501"/>
      <c r="DW2861" s="501"/>
      <c r="DX2861" s="501"/>
      <c r="DY2861" s="501"/>
      <c r="DZ2861" s="501"/>
      <c r="EA2861" s="501"/>
      <c r="EB2861" s="501"/>
      <c r="EC2861" s="501"/>
      <c r="ED2861" s="501"/>
      <c r="EE2861" s="501"/>
      <c r="EF2861" s="501"/>
      <c r="EG2861" s="501"/>
      <c r="EH2861" s="501"/>
      <c r="EI2861" s="501"/>
      <c r="EJ2861" s="501"/>
      <c r="EK2861" s="501"/>
      <c r="EL2861" s="501"/>
      <c r="EM2861" s="501"/>
      <c r="EN2861" s="501"/>
      <c r="EO2861" s="501"/>
      <c r="EP2861" s="501"/>
      <c r="EQ2861" s="501"/>
      <c r="ER2861" s="501"/>
      <c r="ES2861" s="501"/>
      <c r="ET2861" s="501"/>
      <c r="EU2861" s="501"/>
      <c r="EV2861" s="501"/>
      <c r="EW2861" s="501"/>
      <c r="EX2861" s="501"/>
      <c r="EY2861" s="501"/>
      <c r="EZ2861" s="501"/>
      <c r="FA2861" s="501"/>
      <c r="FB2861" s="501"/>
      <c r="FC2861" s="501"/>
      <c r="FD2861" s="501"/>
      <c r="FE2861" s="501"/>
      <c r="FF2861" s="501"/>
      <c r="FG2861" s="501"/>
      <c r="FH2861" s="501"/>
      <c r="FI2861" s="501"/>
      <c r="FJ2861" s="501"/>
      <c r="FK2861" s="501"/>
      <c r="FL2861" s="501"/>
      <c r="FM2861" s="501"/>
      <c r="FN2861" s="501"/>
      <c r="FO2861" s="501"/>
      <c r="FP2861" s="501"/>
      <c r="FQ2861" s="501"/>
      <c r="FR2861" s="501"/>
      <c r="FS2861" s="501"/>
      <c r="FT2861" s="501"/>
      <c r="FU2861" s="501"/>
      <c r="FV2861" s="501"/>
      <c r="FW2861" s="501"/>
      <c r="FX2861" s="501"/>
      <c r="FY2861" s="501"/>
      <c r="FZ2861" s="501"/>
      <c r="GA2861" s="501"/>
      <c r="GB2861" s="501"/>
      <c r="GC2861" s="501"/>
      <c r="GD2861" s="501"/>
      <c r="GE2861" s="501"/>
      <c r="GF2861" s="501"/>
      <c r="GG2861" s="501"/>
      <c r="GH2861" s="501"/>
      <c r="GI2861" s="501"/>
      <c r="GJ2861" s="501"/>
      <c r="GK2861" s="501"/>
      <c r="GL2861" s="501"/>
      <c r="GM2861" s="501"/>
      <c r="GN2861" s="501"/>
      <c r="GO2861" s="501"/>
      <c r="GP2861" s="501"/>
      <c r="GQ2861" s="501"/>
      <c r="GR2861" s="501"/>
      <c r="GS2861" s="501"/>
      <c r="GT2861" s="501"/>
      <c r="GU2861" s="501"/>
      <c r="GV2861" s="501"/>
      <c r="GW2861" s="501"/>
      <c r="GX2861" s="501"/>
      <c r="GY2861" s="501"/>
      <c r="GZ2861" s="501"/>
      <c r="HA2861" s="501"/>
      <c r="HB2861" s="501"/>
      <c r="HC2861" s="501"/>
      <c r="HD2861" s="501"/>
      <c r="HE2861" s="501"/>
      <c r="HF2861" s="501"/>
      <c r="HG2861" s="501"/>
      <c r="HH2861" s="501"/>
      <c r="HI2861" s="501"/>
      <c r="HJ2861" s="501"/>
      <c r="HK2861" s="501"/>
      <c r="HL2861" s="501"/>
      <c r="HM2861" s="501"/>
      <c r="HN2861" s="501"/>
      <c r="HO2861" s="501"/>
      <c r="HP2861" s="501"/>
      <c r="HQ2861" s="501"/>
      <c r="HR2861" s="501"/>
      <c r="HS2861" s="501"/>
      <c r="HT2861" s="501"/>
      <c r="HU2861" s="501"/>
      <c r="HV2861" s="501"/>
      <c r="HW2861" s="501"/>
      <c r="HX2861" s="501"/>
      <c r="HY2861" s="501"/>
      <c r="HZ2861" s="501"/>
      <c r="IA2861" s="501"/>
      <c r="IB2861" s="501"/>
      <c r="IC2861" s="501"/>
      <c r="ID2861" s="501"/>
      <c r="IE2861" s="501"/>
      <c r="IF2861" s="501"/>
      <c r="IG2861" s="501"/>
      <c r="IH2861" s="501"/>
      <c r="II2861" s="501"/>
      <c r="IJ2861" s="501"/>
      <c r="IK2861" s="501"/>
      <c r="IL2861" s="501"/>
      <c r="IM2861" s="501"/>
      <c r="IN2861" s="501"/>
      <c r="IO2861" s="501"/>
      <c r="IP2861" s="501"/>
      <c r="IQ2861" s="501"/>
      <c r="IR2861" s="501"/>
      <c r="IS2861" s="501"/>
      <c r="IT2861" s="501"/>
      <c r="IU2861" s="501"/>
    </row>
    <row r="2862" spans="1:255" s="877" customFormat="1" ht="24" customHeight="1">
      <c r="A2862" s="501"/>
      <c r="B2862" s="501"/>
      <c r="C2862" s="501"/>
      <c r="D2862" s="501"/>
      <c r="E2862" s="501"/>
      <c r="F2862" s="968"/>
      <c r="G2862" s="1107"/>
      <c r="H2862" s="968"/>
      <c r="I2862" s="973"/>
      <c r="J2862" s="973"/>
      <c r="K2862" s="968"/>
      <c r="L2862" s="973"/>
      <c r="M2862" s="1109"/>
      <c r="N2862" s="501"/>
      <c r="O2862" s="501"/>
      <c r="P2862" s="501"/>
      <c r="Q2862" s="501"/>
      <c r="R2862" s="501"/>
      <c r="S2862" s="501"/>
      <c r="T2862" s="501"/>
      <c r="V2862" s="501"/>
      <c r="W2862" s="501"/>
      <c r="X2862" s="501"/>
      <c r="Y2862" s="501"/>
      <c r="Z2862" s="501"/>
      <c r="AA2862" s="501"/>
      <c r="AB2862" s="501"/>
      <c r="AC2862" s="501"/>
      <c r="AD2862" s="501"/>
      <c r="AE2862" s="501"/>
      <c r="AF2862" s="501"/>
      <c r="AG2862" s="501"/>
      <c r="AH2862" s="501"/>
      <c r="AI2862" s="501"/>
      <c r="AJ2862" s="501"/>
      <c r="AK2862" s="501"/>
      <c r="AL2862" s="501"/>
      <c r="AM2862" s="501"/>
      <c r="AN2862" s="501"/>
      <c r="AO2862" s="501"/>
      <c r="AP2862" s="501"/>
      <c r="AQ2862" s="501"/>
      <c r="AR2862" s="501"/>
      <c r="AS2862" s="501"/>
      <c r="AT2862" s="501"/>
      <c r="AU2862" s="501"/>
      <c r="AV2862" s="501"/>
      <c r="AW2862" s="501"/>
      <c r="AX2862" s="501"/>
      <c r="AY2862" s="501"/>
      <c r="AZ2862" s="501"/>
      <c r="BA2862" s="501"/>
      <c r="BB2862" s="501"/>
      <c r="BC2862" s="501"/>
      <c r="BD2862" s="501"/>
      <c r="BE2862" s="501"/>
      <c r="BF2862" s="501"/>
      <c r="BG2862" s="501"/>
      <c r="BH2862" s="501"/>
      <c r="BI2862" s="501"/>
      <c r="BJ2862" s="501"/>
      <c r="BK2862" s="501"/>
      <c r="BL2862" s="501"/>
      <c r="BM2862" s="501"/>
      <c r="BN2862" s="501"/>
      <c r="BO2862" s="501"/>
      <c r="BP2862" s="501"/>
      <c r="BQ2862" s="501"/>
      <c r="BR2862" s="501"/>
      <c r="BS2862" s="501"/>
      <c r="BT2862" s="501"/>
      <c r="BU2862" s="501"/>
      <c r="BV2862" s="501"/>
      <c r="BW2862" s="501"/>
      <c r="BX2862" s="501"/>
      <c r="BY2862" s="501"/>
      <c r="BZ2862" s="501"/>
      <c r="CA2862" s="501"/>
      <c r="CB2862" s="501"/>
      <c r="CC2862" s="501"/>
      <c r="CD2862" s="501"/>
      <c r="CE2862" s="501"/>
      <c r="CF2862" s="501"/>
      <c r="CG2862" s="501"/>
      <c r="CH2862" s="501"/>
      <c r="CI2862" s="501"/>
      <c r="CJ2862" s="501"/>
      <c r="CK2862" s="501"/>
      <c r="CL2862" s="501"/>
      <c r="CM2862" s="501"/>
      <c r="CN2862" s="501"/>
      <c r="CO2862" s="501"/>
      <c r="CP2862" s="501"/>
      <c r="CQ2862" s="501"/>
      <c r="CR2862" s="501"/>
      <c r="CS2862" s="501"/>
      <c r="CT2862" s="501"/>
      <c r="CU2862" s="501"/>
      <c r="CV2862" s="501"/>
      <c r="CW2862" s="501"/>
      <c r="CX2862" s="501"/>
      <c r="CY2862" s="501"/>
      <c r="CZ2862" s="501"/>
      <c r="DA2862" s="501"/>
      <c r="DB2862" s="501"/>
      <c r="DC2862" s="501"/>
      <c r="DD2862" s="501"/>
      <c r="DE2862" s="501"/>
      <c r="DF2862" s="501"/>
      <c r="DG2862" s="501"/>
      <c r="DH2862" s="501"/>
      <c r="DI2862" s="501"/>
      <c r="DJ2862" s="501"/>
      <c r="DK2862" s="501"/>
      <c r="DL2862" s="501"/>
      <c r="DM2862" s="501"/>
      <c r="DN2862" s="501"/>
      <c r="DO2862" s="501"/>
      <c r="DP2862" s="501"/>
      <c r="DQ2862" s="501"/>
      <c r="DR2862" s="501"/>
      <c r="DS2862" s="501"/>
      <c r="DT2862" s="501"/>
      <c r="DU2862" s="501"/>
      <c r="DV2862" s="501"/>
      <c r="DW2862" s="501"/>
      <c r="DX2862" s="501"/>
      <c r="DY2862" s="501"/>
      <c r="DZ2862" s="501"/>
      <c r="EA2862" s="501"/>
      <c r="EB2862" s="501"/>
      <c r="EC2862" s="501"/>
      <c r="ED2862" s="501"/>
      <c r="EE2862" s="501"/>
      <c r="EF2862" s="501"/>
      <c r="EG2862" s="501"/>
      <c r="EH2862" s="501"/>
      <c r="EI2862" s="501"/>
      <c r="EJ2862" s="501"/>
      <c r="EK2862" s="501"/>
      <c r="EL2862" s="501"/>
      <c r="EM2862" s="501"/>
      <c r="EN2862" s="501"/>
      <c r="EO2862" s="501"/>
      <c r="EP2862" s="501"/>
      <c r="EQ2862" s="501"/>
      <c r="ER2862" s="501"/>
      <c r="ES2862" s="501"/>
      <c r="ET2862" s="501"/>
      <c r="EU2862" s="501"/>
      <c r="EV2862" s="501"/>
      <c r="EW2862" s="501"/>
      <c r="EX2862" s="501"/>
      <c r="EY2862" s="501"/>
      <c r="EZ2862" s="501"/>
      <c r="FA2862" s="501"/>
      <c r="FB2862" s="501"/>
      <c r="FC2862" s="501"/>
      <c r="FD2862" s="501"/>
      <c r="FE2862" s="501"/>
      <c r="FF2862" s="501"/>
      <c r="FG2862" s="501"/>
      <c r="FH2862" s="501"/>
      <c r="FI2862" s="501"/>
      <c r="FJ2862" s="501"/>
      <c r="FK2862" s="501"/>
      <c r="FL2862" s="501"/>
      <c r="FM2862" s="501"/>
      <c r="FN2862" s="501"/>
      <c r="FO2862" s="501"/>
      <c r="FP2862" s="501"/>
      <c r="FQ2862" s="501"/>
      <c r="FR2862" s="501"/>
      <c r="FS2862" s="501"/>
      <c r="FT2862" s="501"/>
      <c r="FU2862" s="501"/>
      <c r="FV2862" s="501"/>
      <c r="FW2862" s="501"/>
      <c r="FX2862" s="501"/>
      <c r="FY2862" s="501"/>
      <c r="FZ2862" s="501"/>
      <c r="GA2862" s="501"/>
      <c r="GB2862" s="501"/>
      <c r="GC2862" s="501"/>
      <c r="GD2862" s="501"/>
      <c r="GE2862" s="501"/>
      <c r="GF2862" s="501"/>
      <c r="GG2862" s="501"/>
      <c r="GH2862" s="501"/>
      <c r="GI2862" s="501"/>
      <c r="GJ2862" s="501"/>
      <c r="GK2862" s="501"/>
      <c r="GL2862" s="501"/>
      <c r="GM2862" s="501"/>
      <c r="GN2862" s="501"/>
      <c r="GO2862" s="501"/>
      <c r="GP2862" s="501"/>
      <c r="GQ2862" s="501"/>
      <c r="GR2862" s="501"/>
      <c r="GS2862" s="501"/>
      <c r="GT2862" s="501"/>
      <c r="GU2862" s="501"/>
      <c r="GV2862" s="501"/>
      <c r="GW2862" s="501"/>
      <c r="GX2862" s="501"/>
      <c r="GY2862" s="501"/>
      <c r="GZ2862" s="501"/>
      <c r="HA2862" s="501"/>
      <c r="HB2862" s="501"/>
      <c r="HC2862" s="501"/>
      <c r="HD2862" s="501"/>
      <c r="HE2862" s="501"/>
      <c r="HF2862" s="501"/>
      <c r="HG2862" s="501"/>
      <c r="HH2862" s="501"/>
      <c r="HI2862" s="501"/>
      <c r="HJ2862" s="501"/>
      <c r="HK2862" s="501"/>
      <c r="HL2862" s="501"/>
      <c r="HM2862" s="501"/>
      <c r="HN2862" s="501"/>
      <c r="HO2862" s="501"/>
      <c r="HP2862" s="501"/>
      <c r="HQ2862" s="501"/>
      <c r="HR2862" s="501"/>
      <c r="HS2862" s="501"/>
      <c r="HT2862" s="501"/>
      <c r="HU2862" s="501"/>
      <c r="HV2862" s="501"/>
      <c r="HW2862" s="501"/>
      <c r="HX2862" s="501"/>
      <c r="HY2862" s="501"/>
      <c r="HZ2862" s="501"/>
      <c r="IA2862" s="501"/>
      <c r="IB2862" s="501"/>
      <c r="IC2862" s="501"/>
      <c r="ID2862" s="501"/>
      <c r="IE2862" s="501"/>
      <c r="IF2862" s="501"/>
      <c r="IG2862" s="501"/>
      <c r="IH2862" s="501"/>
      <c r="II2862" s="501"/>
      <c r="IJ2862" s="501"/>
      <c r="IK2862" s="501"/>
      <c r="IL2862" s="501"/>
      <c r="IM2862" s="501"/>
      <c r="IN2862" s="501"/>
      <c r="IO2862" s="501"/>
      <c r="IP2862" s="501"/>
      <c r="IQ2862" s="501"/>
      <c r="IR2862" s="501"/>
      <c r="IS2862" s="501"/>
      <c r="IT2862" s="501"/>
      <c r="IU2862" s="501"/>
    </row>
    <row r="2863" spans="1:255" s="877" customFormat="1" ht="24" customHeight="1">
      <c r="A2863" s="501"/>
      <c r="B2863" s="501"/>
      <c r="C2863" s="501"/>
      <c r="D2863" s="501"/>
      <c r="E2863" s="501"/>
      <c r="F2863" s="968"/>
      <c r="G2863" s="1107"/>
      <c r="H2863" s="968"/>
      <c r="I2863" s="973"/>
      <c r="J2863" s="973"/>
      <c r="K2863" s="968"/>
      <c r="L2863" s="973"/>
      <c r="M2863" s="1109"/>
      <c r="N2863" s="501"/>
      <c r="O2863" s="501"/>
      <c r="P2863" s="501"/>
      <c r="Q2863" s="501"/>
      <c r="R2863" s="501"/>
      <c r="S2863" s="501"/>
      <c r="T2863" s="501"/>
      <c r="V2863" s="501"/>
      <c r="W2863" s="501"/>
      <c r="X2863" s="501"/>
      <c r="Y2863" s="501"/>
      <c r="Z2863" s="501"/>
      <c r="AA2863" s="501"/>
      <c r="AB2863" s="501"/>
      <c r="AC2863" s="501"/>
      <c r="AD2863" s="501"/>
      <c r="AE2863" s="501"/>
      <c r="AF2863" s="501"/>
      <c r="AG2863" s="501"/>
      <c r="AH2863" s="501"/>
      <c r="AI2863" s="501"/>
      <c r="AJ2863" s="501"/>
      <c r="AK2863" s="501"/>
      <c r="AL2863" s="501"/>
      <c r="AM2863" s="501"/>
      <c r="AN2863" s="501"/>
      <c r="AO2863" s="501"/>
      <c r="AP2863" s="501"/>
      <c r="AQ2863" s="501"/>
      <c r="AR2863" s="501"/>
      <c r="AS2863" s="501"/>
      <c r="AT2863" s="501"/>
      <c r="AU2863" s="501"/>
      <c r="AV2863" s="501"/>
      <c r="AW2863" s="501"/>
      <c r="AX2863" s="501"/>
      <c r="AY2863" s="501"/>
      <c r="AZ2863" s="501"/>
      <c r="BA2863" s="501"/>
      <c r="BB2863" s="501"/>
      <c r="BC2863" s="501"/>
      <c r="BD2863" s="501"/>
      <c r="BE2863" s="501"/>
      <c r="BF2863" s="501"/>
      <c r="BG2863" s="501"/>
      <c r="BH2863" s="501"/>
      <c r="BI2863" s="501"/>
      <c r="BJ2863" s="501"/>
      <c r="BK2863" s="501"/>
      <c r="BL2863" s="501"/>
      <c r="BM2863" s="501"/>
      <c r="BN2863" s="501"/>
      <c r="BO2863" s="501"/>
      <c r="BP2863" s="501"/>
      <c r="BQ2863" s="501"/>
      <c r="BR2863" s="501"/>
      <c r="BS2863" s="501"/>
      <c r="BT2863" s="501"/>
      <c r="BU2863" s="501"/>
      <c r="BV2863" s="501"/>
      <c r="BW2863" s="501"/>
      <c r="BX2863" s="501"/>
      <c r="BY2863" s="501"/>
      <c r="BZ2863" s="501"/>
      <c r="CA2863" s="501"/>
      <c r="CB2863" s="501"/>
      <c r="CC2863" s="501"/>
      <c r="CD2863" s="501"/>
      <c r="CE2863" s="501"/>
      <c r="CF2863" s="501"/>
      <c r="CG2863" s="501"/>
      <c r="CH2863" s="501"/>
      <c r="CI2863" s="501"/>
      <c r="CJ2863" s="501"/>
      <c r="CK2863" s="501"/>
      <c r="CL2863" s="501"/>
      <c r="CM2863" s="501"/>
      <c r="CN2863" s="501"/>
      <c r="CO2863" s="501"/>
      <c r="CP2863" s="501"/>
      <c r="CQ2863" s="501"/>
      <c r="CR2863" s="501"/>
      <c r="CS2863" s="501"/>
      <c r="CT2863" s="501"/>
      <c r="CU2863" s="501"/>
      <c r="CV2863" s="501"/>
      <c r="CW2863" s="501"/>
      <c r="CX2863" s="501"/>
      <c r="CY2863" s="501"/>
      <c r="CZ2863" s="501"/>
      <c r="DA2863" s="501"/>
      <c r="DB2863" s="501"/>
      <c r="DC2863" s="501"/>
      <c r="DD2863" s="501"/>
      <c r="DE2863" s="501"/>
      <c r="DF2863" s="501"/>
      <c r="DG2863" s="501"/>
      <c r="DH2863" s="501"/>
      <c r="DI2863" s="501"/>
      <c r="DJ2863" s="501"/>
      <c r="DK2863" s="501"/>
      <c r="DL2863" s="501"/>
      <c r="DM2863" s="501"/>
      <c r="DN2863" s="501"/>
      <c r="DO2863" s="501"/>
      <c r="DP2863" s="501"/>
      <c r="DQ2863" s="501"/>
      <c r="DR2863" s="501"/>
      <c r="DS2863" s="501"/>
      <c r="DT2863" s="501"/>
      <c r="DU2863" s="501"/>
      <c r="DV2863" s="501"/>
      <c r="DW2863" s="501"/>
      <c r="DX2863" s="501"/>
      <c r="DY2863" s="501"/>
      <c r="DZ2863" s="501"/>
      <c r="EA2863" s="501"/>
      <c r="EB2863" s="501"/>
      <c r="EC2863" s="501"/>
      <c r="ED2863" s="501"/>
      <c r="EE2863" s="501"/>
      <c r="EF2863" s="501"/>
      <c r="EG2863" s="501"/>
      <c r="EH2863" s="501"/>
      <c r="EI2863" s="501"/>
      <c r="EJ2863" s="501"/>
      <c r="EK2863" s="501"/>
      <c r="EL2863" s="501"/>
      <c r="EM2863" s="501"/>
      <c r="EN2863" s="501"/>
      <c r="EO2863" s="501"/>
      <c r="EP2863" s="501"/>
      <c r="EQ2863" s="501"/>
      <c r="ER2863" s="501"/>
      <c r="ES2863" s="501"/>
      <c r="ET2863" s="501"/>
      <c r="EU2863" s="501"/>
      <c r="EV2863" s="501"/>
      <c r="EW2863" s="501"/>
      <c r="EX2863" s="501"/>
      <c r="EY2863" s="501"/>
      <c r="EZ2863" s="501"/>
      <c r="FA2863" s="501"/>
      <c r="FB2863" s="501"/>
      <c r="FC2863" s="501"/>
      <c r="FD2863" s="501"/>
      <c r="FE2863" s="501"/>
      <c r="FF2863" s="501"/>
      <c r="FG2863" s="501"/>
      <c r="FH2863" s="501"/>
      <c r="FI2863" s="501"/>
      <c r="FJ2863" s="501"/>
      <c r="FK2863" s="501"/>
      <c r="FL2863" s="501"/>
      <c r="FM2863" s="501"/>
      <c r="FN2863" s="501"/>
      <c r="FO2863" s="501"/>
      <c r="FP2863" s="501"/>
      <c r="FQ2863" s="501"/>
      <c r="FR2863" s="501"/>
      <c r="FS2863" s="501"/>
      <c r="FT2863" s="501"/>
      <c r="FU2863" s="501"/>
      <c r="FV2863" s="501"/>
      <c r="FW2863" s="501"/>
      <c r="FX2863" s="501"/>
      <c r="FY2863" s="501"/>
      <c r="FZ2863" s="501"/>
      <c r="GA2863" s="501"/>
      <c r="GB2863" s="501"/>
      <c r="GC2863" s="501"/>
      <c r="GD2863" s="501"/>
      <c r="GE2863" s="501"/>
      <c r="GF2863" s="501"/>
      <c r="GG2863" s="501"/>
      <c r="GH2863" s="501"/>
      <c r="GI2863" s="501"/>
      <c r="GJ2863" s="501"/>
      <c r="GK2863" s="501"/>
      <c r="GL2863" s="501"/>
      <c r="GM2863" s="501"/>
      <c r="GN2863" s="501"/>
      <c r="GO2863" s="501"/>
      <c r="GP2863" s="501"/>
      <c r="GQ2863" s="501"/>
      <c r="GR2863" s="501"/>
      <c r="GS2863" s="501"/>
      <c r="GT2863" s="501"/>
      <c r="GU2863" s="501"/>
      <c r="GV2863" s="501"/>
      <c r="GW2863" s="501"/>
      <c r="GX2863" s="501"/>
      <c r="GY2863" s="501"/>
      <c r="GZ2863" s="501"/>
      <c r="HA2863" s="501"/>
      <c r="HB2863" s="501"/>
      <c r="HC2863" s="501"/>
      <c r="HD2863" s="501"/>
      <c r="HE2863" s="501"/>
      <c r="HF2863" s="501"/>
      <c r="HG2863" s="501"/>
      <c r="HH2863" s="501"/>
      <c r="HI2863" s="501"/>
      <c r="HJ2863" s="501"/>
      <c r="HK2863" s="501"/>
      <c r="HL2863" s="501"/>
      <c r="HM2863" s="501"/>
      <c r="HN2863" s="501"/>
      <c r="HO2863" s="501"/>
      <c r="HP2863" s="501"/>
      <c r="HQ2863" s="501"/>
      <c r="HR2863" s="501"/>
      <c r="HS2863" s="501"/>
      <c r="HT2863" s="501"/>
      <c r="HU2863" s="501"/>
      <c r="HV2863" s="501"/>
      <c r="HW2863" s="501"/>
      <c r="HX2863" s="501"/>
      <c r="HY2863" s="501"/>
      <c r="HZ2863" s="501"/>
      <c r="IA2863" s="501"/>
      <c r="IB2863" s="501"/>
      <c r="IC2863" s="501"/>
      <c r="ID2863" s="501"/>
      <c r="IE2863" s="501"/>
      <c r="IF2863" s="501"/>
      <c r="IG2863" s="501"/>
      <c r="IH2863" s="501"/>
      <c r="II2863" s="501"/>
      <c r="IJ2863" s="501"/>
      <c r="IK2863" s="501"/>
      <c r="IL2863" s="501"/>
      <c r="IM2863" s="501"/>
      <c r="IN2863" s="501"/>
      <c r="IO2863" s="501"/>
      <c r="IP2863" s="501"/>
      <c r="IQ2863" s="501"/>
      <c r="IR2863" s="501"/>
      <c r="IS2863" s="501"/>
      <c r="IT2863" s="501"/>
      <c r="IU2863" s="501"/>
    </row>
    <row r="2864" spans="1:255" s="877" customFormat="1" ht="24" customHeight="1">
      <c r="A2864" s="501"/>
      <c r="B2864" s="501"/>
      <c r="C2864" s="501"/>
      <c r="D2864" s="501"/>
      <c r="E2864" s="501"/>
      <c r="F2864" s="968"/>
      <c r="G2864" s="1107"/>
      <c r="H2864" s="968"/>
      <c r="I2864" s="973"/>
      <c r="J2864" s="973"/>
      <c r="K2864" s="968"/>
      <c r="L2864" s="973"/>
      <c r="M2864" s="1109"/>
      <c r="N2864" s="501"/>
      <c r="O2864" s="501"/>
      <c r="P2864" s="501"/>
      <c r="Q2864" s="501"/>
      <c r="R2864" s="501"/>
      <c r="S2864" s="501"/>
      <c r="T2864" s="501"/>
      <c r="V2864" s="501"/>
      <c r="W2864" s="501"/>
      <c r="X2864" s="501"/>
      <c r="Y2864" s="501"/>
      <c r="Z2864" s="501"/>
      <c r="AA2864" s="501"/>
      <c r="AB2864" s="501"/>
      <c r="AC2864" s="501"/>
      <c r="AD2864" s="501"/>
      <c r="AE2864" s="501"/>
      <c r="AF2864" s="501"/>
      <c r="AG2864" s="501"/>
      <c r="AH2864" s="501"/>
      <c r="AI2864" s="501"/>
      <c r="AJ2864" s="501"/>
      <c r="AK2864" s="501"/>
      <c r="AL2864" s="501"/>
      <c r="AM2864" s="501"/>
      <c r="AN2864" s="501"/>
      <c r="AO2864" s="501"/>
      <c r="AP2864" s="501"/>
      <c r="AQ2864" s="501"/>
      <c r="AR2864" s="501"/>
      <c r="AS2864" s="501"/>
      <c r="AT2864" s="501"/>
      <c r="AU2864" s="501"/>
      <c r="AV2864" s="501"/>
      <c r="AW2864" s="501"/>
      <c r="AX2864" s="501"/>
      <c r="AY2864" s="501"/>
      <c r="AZ2864" s="501"/>
      <c r="BA2864" s="501"/>
      <c r="BB2864" s="501"/>
      <c r="BC2864" s="501"/>
      <c r="BD2864" s="501"/>
      <c r="BE2864" s="501"/>
      <c r="BF2864" s="501"/>
      <c r="BG2864" s="501"/>
      <c r="BH2864" s="501"/>
      <c r="BI2864" s="501"/>
      <c r="BJ2864" s="501"/>
      <c r="BK2864" s="501"/>
      <c r="BL2864" s="501"/>
      <c r="BM2864" s="501"/>
      <c r="BN2864" s="501"/>
      <c r="BO2864" s="501"/>
      <c r="BP2864" s="501"/>
      <c r="BQ2864" s="501"/>
      <c r="BR2864" s="501"/>
      <c r="BS2864" s="501"/>
      <c r="BT2864" s="501"/>
      <c r="BU2864" s="501"/>
      <c r="BV2864" s="501"/>
      <c r="BW2864" s="501"/>
      <c r="BX2864" s="501"/>
      <c r="BY2864" s="501"/>
      <c r="BZ2864" s="501"/>
      <c r="CA2864" s="501"/>
      <c r="CB2864" s="501"/>
      <c r="CC2864" s="501"/>
      <c r="CD2864" s="501"/>
      <c r="CE2864" s="501"/>
      <c r="CF2864" s="501"/>
      <c r="CG2864" s="501"/>
      <c r="CH2864" s="501"/>
      <c r="CI2864" s="501"/>
      <c r="CJ2864" s="501"/>
      <c r="CK2864" s="501"/>
      <c r="CL2864" s="501"/>
      <c r="CM2864" s="501"/>
      <c r="CN2864" s="501"/>
      <c r="CO2864" s="501"/>
      <c r="CP2864" s="501"/>
      <c r="CQ2864" s="501"/>
      <c r="CR2864" s="501"/>
      <c r="CS2864" s="501"/>
      <c r="CT2864" s="501"/>
      <c r="CU2864" s="501"/>
      <c r="CV2864" s="501"/>
      <c r="CW2864" s="501"/>
      <c r="CX2864" s="501"/>
      <c r="CY2864" s="501"/>
      <c r="CZ2864" s="501"/>
      <c r="DA2864" s="501"/>
      <c r="DB2864" s="501"/>
      <c r="DC2864" s="501"/>
      <c r="DD2864" s="501"/>
      <c r="DE2864" s="501"/>
      <c r="DF2864" s="501"/>
      <c r="DG2864" s="501"/>
      <c r="DH2864" s="501"/>
      <c r="DI2864" s="501"/>
      <c r="DJ2864" s="501"/>
      <c r="DK2864" s="501"/>
      <c r="DL2864" s="501"/>
      <c r="DM2864" s="501"/>
      <c r="DN2864" s="501"/>
      <c r="DO2864" s="501"/>
      <c r="DP2864" s="501"/>
      <c r="DQ2864" s="501"/>
      <c r="DR2864" s="501"/>
      <c r="DS2864" s="501"/>
      <c r="DT2864" s="501"/>
      <c r="DU2864" s="501"/>
      <c r="DV2864" s="501"/>
      <c r="DW2864" s="501"/>
      <c r="DX2864" s="501"/>
      <c r="DY2864" s="501"/>
      <c r="DZ2864" s="501"/>
      <c r="EA2864" s="501"/>
      <c r="EB2864" s="501"/>
      <c r="EC2864" s="501"/>
      <c r="ED2864" s="501"/>
      <c r="EE2864" s="501"/>
      <c r="EF2864" s="501"/>
      <c r="EG2864" s="501"/>
      <c r="EH2864" s="501"/>
      <c r="EI2864" s="501"/>
      <c r="EJ2864" s="501"/>
      <c r="EK2864" s="501"/>
      <c r="EL2864" s="501"/>
      <c r="EM2864" s="501"/>
      <c r="EN2864" s="501"/>
      <c r="EO2864" s="501"/>
      <c r="EP2864" s="501"/>
      <c r="EQ2864" s="501"/>
      <c r="ER2864" s="501"/>
      <c r="ES2864" s="501"/>
      <c r="ET2864" s="501"/>
      <c r="EU2864" s="501"/>
      <c r="EV2864" s="501"/>
      <c r="EW2864" s="501"/>
      <c r="EX2864" s="501"/>
      <c r="EY2864" s="501"/>
      <c r="EZ2864" s="501"/>
      <c r="FA2864" s="501"/>
      <c r="FB2864" s="501"/>
      <c r="FC2864" s="501"/>
      <c r="FD2864" s="501"/>
      <c r="FE2864" s="501"/>
      <c r="FF2864" s="501"/>
      <c r="FG2864" s="501"/>
      <c r="FH2864" s="501"/>
      <c r="FI2864" s="501"/>
      <c r="FJ2864" s="501"/>
      <c r="FK2864" s="501"/>
      <c r="FL2864" s="501"/>
      <c r="FM2864" s="501"/>
      <c r="FN2864" s="501"/>
      <c r="FO2864" s="501"/>
      <c r="FP2864" s="501"/>
      <c r="FQ2864" s="501"/>
      <c r="FR2864" s="501"/>
      <c r="FS2864" s="501"/>
      <c r="FT2864" s="501"/>
      <c r="FU2864" s="501"/>
      <c r="FV2864" s="501"/>
      <c r="FW2864" s="501"/>
      <c r="FX2864" s="501"/>
      <c r="FY2864" s="501"/>
      <c r="FZ2864" s="501"/>
      <c r="GA2864" s="501"/>
      <c r="GB2864" s="501"/>
      <c r="GC2864" s="501"/>
      <c r="GD2864" s="501"/>
      <c r="GE2864" s="501"/>
      <c r="GF2864" s="501"/>
      <c r="GG2864" s="501"/>
      <c r="GH2864" s="501"/>
      <c r="GI2864" s="501"/>
      <c r="GJ2864" s="501"/>
      <c r="GK2864" s="501"/>
      <c r="GL2864" s="501"/>
      <c r="GM2864" s="501"/>
      <c r="GN2864" s="501"/>
      <c r="GO2864" s="501"/>
      <c r="GP2864" s="501"/>
      <c r="GQ2864" s="501"/>
      <c r="GR2864" s="501"/>
      <c r="GS2864" s="501"/>
      <c r="GT2864" s="501"/>
      <c r="GU2864" s="501"/>
      <c r="GV2864" s="501"/>
      <c r="GW2864" s="501"/>
      <c r="GX2864" s="501"/>
      <c r="GY2864" s="501"/>
      <c r="GZ2864" s="501"/>
      <c r="HA2864" s="501"/>
      <c r="HB2864" s="501"/>
      <c r="HC2864" s="501"/>
      <c r="HD2864" s="501"/>
      <c r="HE2864" s="501"/>
      <c r="HF2864" s="501"/>
      <c r="HG2864" s="501"/>
      <c r="HH2864" s="501"/>
      <c r="HI2864" s="501"/>
      <c r="HJ2864" s="501"/>
      <c r="HK2864" s="501"/>
      <c r="HL2864" s="501"/>
      <c r="HM2864" s="501"/>
      <c r="HN2864" s="501"/>
      <c r="HO2864" s="501"/>
      <c r="HP2864" s="501"/>
      <c r="HQ2864" s="501"/>
      <c r="HR2864" s="501"/>
      <c r="HS2864" s="501"/>
      <c r="HT2864" s="501"/>
      <c r="HU2864" s="501"/>
      <c r="HV2864" s="501"/>
      <c r="HW2864" s="501"/>
      <c r="HX2864" s="501"/>
      <c r="HY2864" s="501"/>
      <c r="HZ2864" s="501"/>
      <c r="IA2864" s="501"/>
      <c r="IB2864" s="501"/>
      <c r="IC2864" s="501"/>
      <c r="ID2864" s="501"/>
      <c r="IE2864" s="501"/>
      <c r="IF2864" s="501"/>
      <c r="IG2864" s="501"/>
      <c r="IH2864" s="501"/>
      <c r="II2864" s="501"/>
      <c r="IJ2864" s="501"/>
      <c r="IK2864" s="501"/>
      <c r="IL2864" s="501"/>
      <c r="IM2864" s="501"/>
      <c r="IN2864" s="501"/>
      <c r="IO2864" s="501"/>
      <c r="IP2864" s="501"/>
      <c r="IQ2864" s="501"/>
      <c r="IR2864" s="501"/>
      <c r="IS2864" s="501"/>
      <c r="IT2864" s="501"/>
      <c r="IU2864" s="501"/>
    </row>
    <row r="2865" spans="1:255" s="877" customFormat="1" ht="24" customHeight="1">
      <c r="A2865" s="501"/>
      <c r="B2865" s="501"/>
      <c r="C2865" s="501"/>
      <c r="D2865" s="501"/>
      <c r="E2865" s="501"/>
      <c r="F2865" s="968"/>
      <c r="G2865" s="1107"/>
      <c r="H2865" s="968"/>
      <c r="I2865" s="973"/>
      <c r="J2865" s="973"/>
      <c r="K2865" s="968"/>
      <c r="L2865" s="973"/>
      <c r="M2865" s="1109"/>
      <c r="N2865" s="501"/>
      <c r="O2865" s="501"/>
      <c r="P2865" s="501"/>
      <c r="Q2865" s="501"/>
      <c r="R2865" s="501"/>
      <c r="S2865" s="501"/>
      <c r="T2865" s="501"/>
      <c r="V2865" s="501"/>
      <c r="W2865" s="501"/>
      <c r="X2865" s="501"/>
      <c r="Y2865" s="501"/>
      <c r="Z2865" s="501"/>
      <c r="AA2865" s="501"/>
      <c r="AB2865" s="501"/>
      <c r="AC2865" s="501"/>
      <c r="AD2865" s="501"/>
      <c r="AE2865" s="501"/>
      <c r="AF2865" s="501"/>
      <c r="AG2865" s="501"/>
      <c r="AH2865" s="501"/>
      <c r="AI2865" s="501"/>
      <c r="AJ2865" s="501"/>
      <c r="AK2865" s="501"/>
      <c r="AL2865" s="501"/>
      <c r="AM2865" s="501"/>
      <c r="AN2865" s="501"/>
      <c r="AO2865" s="501"/>
      <c r="AP2865" s="501"/>
      <c r="AQ2865" s="501"/>
      <c r="AR2865" s="501"/>
      <c r="AS2865" s="501"/>
      <c r="AT2865" s="501"/>
      <c r="AU2865" s="501"/>
      <c r="AV2865" s="501"/>
      <c r="AW2865" s="501"/>
      <c r="AX2865" s="501"/>
      <c r="AY2865" s="501"/>
      <c r="AZ2865" s="501"/>
      <c r="BA2865" s="501"/>
      <c r="BB2865" s="501"/>
      <c r="BC2865" s="501"/>
      <c r="BD2865" s="501"/>
      <c r="BE2865" s="501"/>
      <c r="BF2865" s="501"/>
      <c r="BG2865" s="501"/>
      <c r="BH2865" s="501"/>
      <c r="BI2865" s="501"/>
      <c r="BJ2865" s="501"/>
      <c r="BK2865" s="501"/>
      <c r="BL2865" s="501"/>
      <c r="BM2865" s="501"/>
      <c r="BN2865" s="501"/>
      <c r="BO2865" s="501"/>
      <c r="BP2865" s="501"/>
      <c r="BQ2865" s="501"/>
      <c r="BR2865" s="501"/>
      <c r="BS2865" s="501"/>
      <c r="BT2865" s="501"/>
      <c r="BU2865" s="501"/>
      <c r="BV2865" s="501"/>
      <c r="BW2865" s="501"/>
      <c r="BX2865" s="501"/>
      <c r="BY2865" s="501"/>
      <c r="BZ2865" s="501"/>
      <c r="CA2865" s="501"/>
      <c r="CB2865" s="501"/>
      <c r="CC2865" s="501"/>
      <c r="CD2865" s="501"/>
      <c r="CE2865" s="501"/>
      <c r="CF2865" s="501"/>
      <c r="CG2865" s="501"/>
      <c r="CH2865" s="501"/>
      <c r="CI2865" s="501"/>
      <c r="CJ2865" s="501"/>
      <c r="CK2865" s="501"/>
      <c r="CL2865" s="501"/>
      <c r="CM2865" s="501"/>
      <c r="CN2865" s="501"/>
      <c r="CO2865" s="501"/>
      <c r="CP2865" s="501"/>
      <c r="CQ2865" s="501"/>
      <c r="CR2865" s="501"/>
      <c r="CS2865" s="501"/>
      <c r="CT2865" s="501"/>
      <c r="CU2865" s="501"/>
      <c r="CV2865" s="501"/>
      <c r="CW2865" s="501"/>
      <c r="CX2865" s="501"/>
      <c r="CY2865" s="501"/>
      <c r="CZ2865" s="501"/>
      <c r="DA2865" s="501"/>
      <c r="DB2865" s="501"/>
      <c r="DC2865" s="501"/>
      <c r="DD2865" s="501"/>
      <c r="DE2865" s="501"/>
      <c r="DF2865" s="501"/>
      <c r="DG2865" s="501"/>
      <c r="DH2865" s="501"/>
      <c r="DI2865" s="501"/>
      <c r="DJ2865" s="501"/>
      <c r="DK2865" s="501"/>
      <c r="DL2865" s="501"/>
      <c r="DM2865" s="501"/>
      <c r="DN2865" s="501"/>
      <c r="DO2865" s="501"/>
      <c r="DP2865" s="501"/>
      <c r="DQ2865" s="501"/>
      <c r="DR2865" s="501"/>
      <c r="DS2865" s="501"/>
      <c r="DT2865" s="501"/>
      <c r="DU2865" s="501"/>
      <c r="DV2865" s="501"/>
      <c r="DW2865" s="501"/>
      <c r="DX2865" s="501"/>
      <c r="DY2865" s="501"/>
      <c r="DZ2865" s="501"/>
      <c r="EA2865" s="501"/>
      <c r="EB2865" s="501"/>
      <c r="EC2865" s="501"/>
      <c r="ED2865" s="501"/>
      <c r="EE2865" s="501"/>
      <c r="EF2865" s="501"/>
      <c r="EG2865" s="501"/>
      <c r="EH2865" s="501"/>
      <c r="EI2865" s="501"/>
      <c r="EJ2865" s="501"/>
      <c r="EK2865" s="501"/>
      <c r="EL2865" s="501"/>
      <c r="EM2865" s="501"/>
      <c r="EN2865" s="501"/>
      <c r="EO2865" s="501"/>
      <c r="EP2865" s="501"/>
      <c r="EQ2865" s="501"/>
      <c r="ER2865" s="501"/>
      <c r="ES2865" s="501"/>
      <c r="ET2865" s="501"/>
      <c r="EU2865" s="501"/>
      <c r="EV2865" s="501"/>
      <c r="EW2865" s="501"/>
      <c r="EX2865" s="501"/>
      <c r="EY2865" s="501"/>
      <c r="EZ2865" s="501"/>
      <c r="FA2865" s="501"/>
      <c r="FB2865" s="501"/>
      <c r="FC2865" s="501"/>
      <c r="FD2865" s="501"/>
      <c r="FE2865" s="501"/>
      <c r="FF2865" s="501"/>
      <c r="FG2865" s="501"/>
      <c r="FH2865" s="501"/>
      <c r="FI2865" s="501"/>
      <c r="FJ2865" s="501"/>
      <c r="FK2865" s="501"/>
      <c r="FL2865" s="501"/>
      <c r="FM2865" s="501"/>
      <c r="FN2865" s="501"/>
      <c r="FO2865" s="501"/>
      <c r="FP2865" s="501"/>
      <c r="FQ2865" s="501"/>
      <c r="FR2865" s="501"/>
      <c r="FS2865" s="501"/>
      <c r="FT2865" s="501"/>
      <c r="FU2865" s="501"/>
      <c r="FV2865" s="501"/>
      <c r="FW2865" s="501"/>
      <c r="FX2865" s="501"/>
      <c r="FY2865" s="501"/>
      <c r="FZ2865" s="501"/>
      <c r="GA2865" s="501"/>
      <c r="GB2865" s="501"/>
      <c r="GC2865" s="501"/>
      <c r="GD2865" s="501"/>
      <c r="GE2865" s="501"/>
      <c r="GF2865" s="501"/>
      <c r="GG2865" s="501"/>
      <c r="GH2865" s="501"/>
      <c r="GI2865" s="501"/>
      <c r="GJ2865" s="501"/>
      <c r="GK2865" s="501"/>
      <c r="GL2865" s="501"/>
      <c r="GM2865" s="501"/>
      <c r="GN2865" s="501"/>
      <c r="GO2865" s="501"/>
      <c r="GP2865" s="501"/>
      <c r="GQ2865" s="501"/>
      <c r="GR2865" s="501"/>
      <c r="GS2865" s="501"/>
      <c r="GT2865" s="501"/>
      <c r="GU2865" s="501"/>
      <c r="GV2865" s="501"/>
      <c r="GW2865" s="501"/>
      <c r="GX2865" s="501"/>
      <c r="GY2865" s="501"/>
      <c r="GZ2865" s="501"/>
      <c r="HA2865" s="501"/>
      <c r="HB2865" s="501"/>
      <c r="HC2865" s="501"/>
      <c r="HD2865" s="501"/>
      <c r="HE2865" s="501"/>
      <c r="HF2865" s="501"/>
      <c r="HG2865" s="501"/>
      <c r="HH2865" s="501"/>
      <c r="HI2865" s="501"/>
      <c r="HJ2865" s="501"/>
      <c r="HK2865" s="501"/>
      <c r="HL2865" s="501"/>
      <c r="HM2865" s="501"/>
      <c r="HN2865" s="501"/>
      <c r="HO2865" s="501"/>
      <c r="HP2865" s="501"/>
      <c r="HQ2865" s="501"/>
      <c r="HR2865" s="501"/>
      <c r="HS2865" s="501"/>
      <c r="HT2865" s="501"/>
      <c r="HU2865" s="501"/>
      <c r="HV2865" s="501"/>
      <c r="HW2865" s="501"/>
      <c r="HX2865" s="501"/>
      <c r="HY2865" s="501"/>
      <c r="HZ2865" s="501"/>
      <c r="IA2865" s="501"/>
      <c r="IB2865" s="501"/>
      <c r="IC2865" s="501"/>
      <c r="ID2865" s="501"/>
      <c r="IE2865" s="501"/>
      <c r="IF2865" s="501"/>
      <c r="IG2865" s="501"/>
      <c r="IH2865" s="501"/>
      <c r="II2865" s="501"/>
      <c r="IJ2865" s="501"/>
      <c r="IK2865" s="501"/>
      <c r="IL2865" s="501"/>
      <c r="IM2865" s="501"/>
      <c r="IN2865" s="501"/>
      <c r="IO2865" s="501"/>
      <c r="IP2865" s="501"/>
      <c r="IQ2865" s="501"/>
      <c r="IR2865" s="501"/>
      <c r="IS2865" s="501"/>
      <c r="IT2865" s="501"/>
      <c r="IU2865" s="501"/>
    </row>
    <row r="2866" spans="1:255" s="877" customFormat="1" ht="24" customHeight="1">
      <c r="A2866" s="501"/>
      <c r="B2866" s="501"/>
      <c r="C2866" s="501"/>
      <c r="D2866" s="501"/>
      <c r="E2866" s="501"/>
      <c r="F2866" s="1144"/>
      <c r="G2866" s="1163"/>
      <c r="H2866" s="1144"/>
      <c r="I2866" s="973"/>
      <c r="J2866" s="973"/>
      <c r="K2866" s="968"/>
      <c r="L2866" s="973"/>
      <c r="M2866" s="1109"/>
      <c r="N2866" s="501"/>
      <c r="O2866" s="501"/>
      <c r="P2866" s="501"/>
      <c r="Q2866" s="501"/>
      <c r="R2866" s="501"/>
      <c r="S2866" s="501"/>
      <c r="T2866" s="501"/>
      <c r="V2866" s="501"/>
      <c r="W2866" s="501"/>
      <c r="X2866" s="501"/>
      <c r="Y2866" s="501"/>
      <c r="Z2866" s="501"/>
      <c r="AA2866" s="501"/>
      <c r="AB2866" s="501"/>
      <c r="AC2866" s="501"/>
      <c r="AD2866" s="501"/>
      <c r="AE2866" s="501"/>
      <c r="AF2866" s="501"/>
      <c r="AG2866" s="501"/>
      <c r="AH2866" s="501"/>
      <c r="AI2866" s="501"/>
      <c r="AJ2866" s="501"/>
      <c r="AK2866" s="501"/>
      <c r="AL2866" s="501"/>
      <c r="AM2866" s="501"/>
      <c r="AN2866" s="501"/>
      <c r="AO2866" s="501"/>
      <c r="AP2866" s="501"/>
      <c r="AQ2866" s="501"/>
      <c r="AR2866" s="501"/>
      <c r="AS2866" s="501"/>
      <c r="AT2866" s="501"/>
      <c r="AU2866" s="501"/>
      <c r="AV2866" s="501"/>
      <c r="AW2866" s="501"/>
      <c r="AX2866" s="501"/>
      <c r="AY2866" s="501"/>
      <c r="AZ2866" s="501"/>
      <c r="BA2866" s="501"/>
      <c r="BB2866" s="501"/>
      <c r="BC2866" s="501"/>
      <c r="BD2866" s="501"/>
      <c r="BE2866" s="501"/>
      <c r="BF2866" s="501"/>
      <c r="BG2866" s="501"/>
      <c r="BH2866" s="501"/>
      <c r="BI2866" s="501"/>
      <c r="BJ2866" s="501"/>
      <c r="BK2866" s="501"/>
      <c r="BL2866" s="501"/>
      <c r="BM2866" s="501"/>
      <c r="BN2866" s="501"/>
      <c r="BO2866" s="501"/>
      <c r="BP2866" s="501"/>
      <c r="BQ2866" s="501"/>
      <c r="BR2866" s="501"/>
      <c r="BS2866" s="501"/>
      <c r="BT2866" s="501"/>
      <c r="BU2866" s="501"/>
      <c r="BV2866" s="501"/>
      <c r="BW2866" s="501"/>
      <c r="BX2866" s="501"/>
      <c r="BY2866" s="501"/>
      <c r="BZ2866" s="501"/>
      <c r="CA2866" s="501"/>
      <c r="CB2866" s="501"/>
      <c r="CC2866" s="501"/>
      <c r="CD2866" s="501"/>
      <c r="CE2866" s="501"/>
      <c r="CF2866" s="501"/>
      <c r="CG2866" s="501"/>
      <c r="CH2866" s="501"/>
      <c r="CI2866" s="501"/>
      <c r="CJ2866" s="501"/>
      <c r="CK2866" s="501"/>
      <c r="CL2866" s="501"/>
      <c r="CM2866" s="501"/>
      <c r="CN2866" s="501"/>
      <c r="CO2866" s="501"/>
      <c r="CP2866" s="501"/>
      <c r="CQ2866" s="501"/>
      <c r="CR2866" s="501"/>
      <c r="CS2866" s="501"/>
      <c r="CT2866" s="501"/>
      <c r="CU2866" s="501"/>
      <c r="CV2866" s="501"/>
      <c r="CW2866" s="501"/>
      <c r="CX2866" s="501"/>
      <c r="CY2866" s="501"/>
      <c r="CZ2866" s="501"/>
      <c r="DA2866" s="501"/>
      <c r="DB2866" s="501"/>
      <c r="DC2866" s="501"/>
      <c r="DD2866" s="501"/>
      <c r="DE2866" s="501"/>
      <c r="DF2866" s="501"/>
      <c r="DG2866" s="501"/>
      <c r="DH2866" s="501"/>
      <c r="DI2866" s="501"/>
      <c r="DJ2866" s="501"/>
      <c r="DK2866" s="501"/>
      <c r="DL2866" s="501"/>
      <c r="DM2866" s="501"/>
      <c r="DN2866" s="501"/>
      <c r="DO2866" s="501"/>
      <c r="DP2866" s="501"/>
      <c r="DQ2866" s="501"/>
      <c r="DR2866" s="501"/>
      <c r="DS2866" s="501"/>
      <c r="DT2866" s="501"/>
      <c r="DU2866" s="501"/>
      <c r="DV2866" s="501"/>
      <c r="DW2866" s="501"/>
      <c r="DX2866" s="501"/>
      <c r="DY2866" s="501"/>
      <c r="DZ2866" s="501"/>
      <c r="EA2866" s="501"/>
      <c r="EB2866" s="501"/>
      <c r="EC2866" s="501"/>
      <c r="ED2866" s="501"/>
      <c r="EE2866" s="501"/>
      <c r="EF2866" s="501"/>
      <c r="EG2866" s="501"/>
      <c r="EH2866" s="501"/>
      <c r="EI2866" s="501"/>
      <c r="EJ2866" s="501"/>
      <c r="EK2866" s="501"/>
      <c r="EL2866" s="501"/>
      <c r="EM2866" s="501"/>
      <c r="EN2866" s="501"/>
      <c r="EO2866" s="501"/>
      <c r="EP2866" s="501"/>
      <c r="EQ2866" s="501"/>
      <c r="ER2866" s="501"/>
      <c r="ES2866" s="501"/>
      <c r="ET2866" s="501"/>
      <c r="EU2866" s="501"/>
      <c r="EV2866" s="501"/>
      <c r="EW2866" s="501"/>
      <c r="EX2866" s="501"/>
      <c r="EY2866" s="501"/>
      <c r="EZ2866" s="501"/>
      <c r="FA2866" s="501"/>
      <c r="FB2866" s="501"/>
      <c r="FC2866" s="501"/>
      <c r="FD2866" s="501"/>
      <c r="FE2866" s="501"/>
      <c r="FF2866" s="501"/>
      <c r="FG2866" s="501"/>
      <c r="FH2866" s="501"/>
      <c r="FI2866" s="501"/>
      <c r="FJ2866" s="501"/>
      <c r="FK2866" s="501"/>
      <c r="FL2866" s="501"/>
      <c r="FM2866" s="501"/>
      <c r="FN2866" s="501"/>
      <c r="FO2866" s="501"/>
      <c r="FP2866" s="501"/>
      <c r="FQ2866" s="501"/>
      <c r="FR2866" s="501"/>
      <c r="FS2866" s="501"/>
      <c r="FT2866" s="501"/>
      <c r="FU2866" s="501"/>
      <c r="FV2866" s="501"/>
      <c r="FW2866" s="501"/>
      <c r="FX2866" s="501"/>
      <c r="FY2866" s="501"/>
      <c r="FZ2866" s="501"/>
      <c r="GA2866" s="501"/>
      <c r="GB2866" s="501"/>
      <c r="GC2866" s="501"/>
      <c r="GD2866" s="501"/>
      <c r="GE2866" s="501"/>
      <c r="GF2866" s="501"/>
      <c r="GG2866" s="501"/>
      <c r="GH2866" s="501"/>
      <c r="GI2866" s="501"/>
      <c r="GJ2866" s="501"/>
      <c r="GK2866" s="501"/>
      <c r="GL2866" s="501"/>
      <c r="GM2866" s="501"/>
      <c r="GN2866" s="501"/>
      <c r="GO2866" s="501"/>
      <c r="GP2866" s="501"/>
      <c r="GQ2866" s="501"/>
      <c r="GR2866" s="501"/>
      <c r="GS2866" s="501"/>
      <c r="GT2866" s="501"/>
      <c r="GU2866" s="501"/>
      <c r="GV2866" s="501"/>
      <c r="GW2866" s="501"/>
      <c r="GX2866" s="501"/>
      <c r="GY2866" s="501"/>
      <c r="GZ2866" s="501"/>
      <c r="HA2866" s="501"/>
      <c r="HB2866" s="501"/>
      <c r="HC2866" s="501"/>
      <c r="HD2866" s="501"/>
      <c r="HE2866" s="501"/>
      <c r="HF2866" s="501"/>
      <c r="HG2866" s="501"/>
      <c r="HH2866" s="501"/>
      <c r="HI2866" s="501"/>
      <c r="HJ2866" s="501"/>
      <c r="HK2866" s="501"/>
      <c r="HL2866" s="501"/>
      <c r="HM2866" s="501"/>
      <c r="HN2866" s="501"/>
      <c r="HO2866" s="501"/>
      <c r="HP2866" s="501"/>
      <c r="HQ2866" s="501"/>
      <c r="HR2866" s="501"/>
      <c r="HS2866" s="501"/>
      <c r="HT2866" s="501"/>
      <c r="HU2866" s="501"/>
      <c r="HV2866" s="501"/>
      <c r="HW2866" s="501"/>
      <c r="HX2866" s="501"/>
      <c r="HY2866" s="501"/>
      <c r="HZ2866" s="501"/>
      <c r="IA2866" s="501"/>
      <c r="IB2866" s="501"/>
      <c r="IC2866" s="501"/>
      <c r="ID2866" s="501"/>
      <c r="IE2866" s="501"/>
      <c r="IF2866" s="501"/>
      <c r="IG2866" s="501"/>
      <c r="IH2866" s="501"/>
      <c r="II2866" s="501"/>
      <c r="IJ2866" s="501"/>
      <c r="IK2866" s="501"/>
      <c r="IL2866" s="501"/>
      <c r="IM2866" s="501"/>
      <c r="IN2866" s="501"/>
      <c r="IO2866" s="501"/>
      <c r="IP2866" s="501"/>
      <c r="IQ2866" s="501"/>
      <c r="IR2866" s="501"/>
      <c r="IS2866" s="501"/>
      <c r="IT2866" s="501"/>
      <c r="IU2866" s="501"/>
    </row>
    <row r="2867" spans="1:255" s="877" customFormat="1" ht="24" customHeight="1">
      <c r="A2867" s="501"/>
      <c r="B2867" s="501"/>
      <c r="C2867" s="501"/>
      <c r="D2867" s="501"/>
      <c r="E2867" s="501"/>
      <c r="F2867" s="1097"/>
      <c r="G2867" s="1098"/>
      <c r="H2867" s="1097"/>
      <c r="I2867" s="1099"/>
      <c r="J2867" s="973"/>
      <c r="K2867" s="974"/>
      <c r="L2867" s="1099"/>
      <c r="M2867" s="1109"/>
      <c r="N2867" s="501"/>
      <c r="O2867" s="501"/>
      <c r="P2867" s="501"/>
      <c r="Q2867" s="501"/>
      <c r="R2867" s="501"/>
      <c r="S2867" s="501"/>
      <c r="T2867" s="501"/>
      <c r="V2867" s="501"/>
      <c r="W2867" s="501"/>
      <c r="X2867" s="501"/>
      <c r="Y2867" s="501"/>
      <c r="Z2867" s="501"/>
      <c r="AA2867" s="501"/>
      <c r="AB2867" s="501"/>
      <c r="AC2867" s="501"/>
      <c r="AD2867" s="501"/>
      <c r="AE2867" s="501"/>
      <c r="AF2867" s="501"/>
      <c r="AG2867" s="501"/>
      <c r="AH2867" s="501"/>
      <c r="AI2867" s="501"/>
      <c r="AJ2867" s="501"/>
      <c r="AK2867" s="501"/>
      <c r="AL2867" s="501"/>
      <c r="AM2867" s="501"/>
      <c r="AN2867" s="501"/>
      <c r="AO2867" s="501"/>
      <c r="AP2867" s="501"/>
      <c r="AQ2867" s="501"/>
      <c r="AR2867" s="501"/>
      <c r="AS2867" s="501"/>
      <c r="AT2867" s="501"/>
      <c r="AU2867" s="501"/>
      <c r="AV2867" s="501"/>
      <c r="AW2867" s="501"/>
      <c r="AX2867" s="501"/>
      <c r="AY2867" s="501"/>
      <c r="AZ2867" s="501"/>
      <c r="BA2867" s="501"/>
      <c r="BB2867" s="501"/>
      <c r="BC2867" s="501"/>
      <c r="BD2867" s="501"/>
      <c r="BE2867" s="501"/>
      <c r="BF2867" s="501"/>
      <c r="BG2867" s="501"/>
      <c r="BH2867" s="501"/>
      <c r="BI2867" s="501"/>
      <c r="BJ2867" s="501"/>
      <c r="BK2867" s="501"/>
      <c r="BL2867" s="501"/>
      <c r="BM2867" s="501"/>
      <c r="BN2867" s="501"/>
      <c r="BO2867" s="501"/>
      <c r="BP2867" s="501"/>
      <c r="BQ2867" s="501"/>
      <c r="BR2867" s="501"/>
      <c r="BS2867" s="501"/>
      <c r="BT2867" s="501"/>
      <c r="BU2867" s="501"/>
      <c r="BV2867" s="501"/>
      <c r="BW2867" s="501"/>
      <c r="BX2867" s="501"/>
      <c r="BY2867" s="501"/>
      <c r="BZ2867" s="501"/>
      <c r="CA2867" s="501"/>
      <c r="CB2867" s="501"/>
      <c r="CC2867" s="501"/>
      <c r="CD2867" s="501"/>
      <c r="CE2867" s="501"/>
      <c r="CF2867" s="501"/>
      <c r="CG2867" s="501"/>
      <c r="CH2867" s="501"/>
      <c r="CI2867" s="501"/>
      <c r="CJ2867" s="501"/>
      <c r="CK2867" s="501"/>
      <c r="CL2867" s="501"/>
      <c r="CM2867" s="501"/>
      <c r="CN2867" s="501"/>
      <c r="CO2867" s="501"/>
      <c r="CP2867" s="501"/>
      <c r="CQ2867" s="501"/>
      <c r="CR2867" s="501"/>
      <c r="CS2867" s="501"/>
      <c r="CT2867" s="501"/>
      <c r="CU2867" s="501"/>
      <c r="CV2867" s="501"/>
      <c r="CW2867" s="501"/>
      <c r="CX2867" s="501"/>
      <c r="CY2867" s="501"/>
      <c r="CZ2867" s="501"/>
      <c r="DA2867" s="501"/>
      <c r="DB2867" s="501"/>
      <c r="DC2867" s="501"/>
      <c r="DD2867" s="501"/>
      <c r="DE2867" s="501"/>
      <c r="DF2867" s="501"/>
      <c r="DG2867" s="501"/>
      <c r="DH2867" s="501"/>
      <c r="DI2867" s="501"/>
      <c r="DJ2867" s="501"/>
      <c r="DK2867" s="501"/>
      <c r="DL2867" s="501"/>
      <c r="DM2867" s="501"/>
      <c r="DN2867" s="501"/>
      <c r="DO2867" s="501"/>
      <c r="DP2867" s="501"/>
      <c r="DQ2867" s="501"/>
      <c r="DR2867" s="501"/>
      <c r="DS2867" s="501"/>
      <c r="DT2867" s="501"/>
      <c r="DU2867" s="501"/>
      <c r="DV2867" s="501"/>
      <c r="DW2867" s="501"/>
      <c r="DX2867" s="501"/>
      <c r="DY2867" s="501"/>
      <c r="DZ2867" s="501"/>
      <c r="EA2867" s="501"/>
      <c r="EB2867" s="501"/>
      <c r="EC2867" s="501"/>
      <c r="ED2867" s="501"/>
      <c r="EE2867" s="501"/>
      <c r="EF2867" s="501"/>
      <c r="EG2867" s="501"/>
      <c r="EH2867" s="501"/>
      <c r="EI2867" s="501"/>
      <c r="EJ2867" s="501"/>
      <c r="EK2867" s="501"/>
      <c r="EL2867" s="501"/>
      <c r="EM2867" s="501"/>
      <c r="EN2867" s="501"/>
      <c r="EO2867" s="501"/>
      <c r="EP2867" s="501"/>
      <c r="EQ2867" s="501"/>
      <c r="ER2867" s="501"/>
      <c r="ES2867" s="501"/>
      <c r="ET2867" s="501"/>
      <c r="EU2867" s="501"/>
      <c r="EV2867" s="501"/>
      <c r="EW2867" s="501"/>
      <c r="EX2867" s="501"/>
      <c r="EY2867" s="501"/>
      <c r="EZ2867" s="501"/>
      <c r="FA2867" s="501"/>
      <c r="FB2867" s="501"/>
      <c r="FC2867" s="501"/>
      <c r="FD2867" s="501"/>
      <c r="FE2867" s="501"/>
      <c r="FF2867" s="501"/>
      <c r="FG2867" s="501"/>
      <c r="FH2867" s="501"/>
      <c r="FI2867" s="501"/>
      <c r="FJ2867" s="501"/>
      <c r="FK2867" s="501"/>
      <c r="FL2867" s="501"/>
      <c r="FM2867" s="501"/>
      <c r="FN2867" s="501"/>
      <c r="FO2867" s="501"/>
      <c r="FP2867" s="501"/>
      <c r="FQ2867" s="501"/>
      <c r="FR2867" s="501"/>
      <c r="FS2867" s="501"/>
      <c r="FT2867" s="501"/>
      <c r="FU2867" s="501"/>
      <c r="FV2867" s="501"/>
      <c r="FW2867" s="501"/>
      <c r="FX2867" s="501"/>
      <c r="FY2867" s="501"/>
      <c r="FZ2867" s="501"/>
      <c r="GA2867" s="501"/>
      <c r="GB2867" s="501"/>
      <c r="GC2867" s="501"/>
      <c r="GD2867" s="501"/>
      <c r="GE2867" s="501"/>
      <c r="GF2867" s="501"/>
      <c r="GG2867" s="501"/>
      <c r="GH2867" s="501"/>
      <c r="GI2867" s="501"/>
      <c r="GJ2867" s="501"/>
      <c r="GK2867" s="501"/>
      <c r="GL2867" s="501"/>
      <c r="GM2867" s="501"/>
      <c r="GN2867" s="501"/>
      <c r="GO2867" s="501"/>
      <c r="GP2867" s="501"/>
      <c r="GQ2867" s="501"/>
      <c r="GR2867" s="501"/>
      <c r="GS2867" s="501"/>
      <c r="GT2867" s="501"/>
      <c r="GU2867" s="501"/>
      <c r="GV2867" s="501"/>
      <c r="GW2867" s="501"/>
      <c r="GX2867" s="501"/>
      <c r="GY2867" s="501"/>
      <c r="GZ2867" s="501"/>
      <c r="HA2867" s="501"/>
      <c r="HB2867" s="501"/>
      <c r="HC2867" s="501"/>
      <c r="HD2867" s="501"/>
      <c r="HE2867" s="501"/>
      <c r="HF2867" s="501"/>
      <c r="HG2867" s="501"/>
      <c r="HH2867" s="501"/>
      <c r="HI2867" s="501"/>
      <c r="HJ2867" s="501"/>
      <c r="HK2867" s="501"/>
      <c r="HL2867" s="501"/>
      <c r="HM2867" s="501"/>
      <c r="HN2867" s="501"/>
      <c r="HO2867" s="501"/>
      <c r="HP2867" s="501"/>
      <c r="HQ2867" s="501"/>
      <c r="HR2867" s="501"/>
      <c r="HS2867" s="501"/>
      <c r="HT2867" s="501"/>
      <c r="HU2867" s="501"/>
      <c r="HV2867" s="501"/>
      <c r="HW2867" s="501"/>
      <c r="HX2867" s="501"/>
      <c r="HY2867" s="501"/>
      <c r="HZ2867" s="501"/>
      <c r="IA2867" s="501"/>
      <c r="IB2867" s="501"/>
      <c r="IC2867" s="501"/>
      <c r="ID2867" s="501"/>
      <c r="IE2867" s="501"/>
      <c r="IF2867" s="501"/>
      <c r="IG2867" s="501"/>
      <c r="IH2867" s="501"/>
      <c r="II2867" s="501"/>
      <c r="IJ2867" s="501"/>
      <c r="IK2867" s="501"/>
      <c r="IL2867" s="501"/>
      <c r="IM2867" s="501"/>
      <c r="IN2867" s="501"/>
      <c r="IO2867" s="501"/>
      <c r="IP2867" s="501"/>
      <c r="IQ2867" s="501"/>
      <c r="IR2867" s="501"/>
      <c r="IS2867" s="501"/>
      <c r="IT2867" s="501"/>
      <c r="IU2867" s="501"/>
    </row>
    <row r="2868" spans="1:255" s="877" customFormat="1" ht="24" customHeight="1">
      <c r="A2868" s="501"/>
      <c r="B2868" s="501"/>
      <c r="C2868" s="501"/>
      <c r="D2868" s="501"/>
      <c r="E2868" s="501"/>
      <c r="F2868" s="1097"/>
      <c r="G2868" s="1098"/>
      <c r="H2868" s="1097"/>
      <c r="I2868" s="1099"/>
      <c r="J2868" s="1104"/>
      <c r="K2868" s="1104"/>
      <c r="L2868" s="1169"/>
      <c r="M2868" s="1111"/>
      <c r="N2868" s="501"/>
      <c r="O2868" s="501"/>
      <c r="P2868" s="501"/>
      <c r="Q2868" s="501"/>
      <c r="R2868" s="501"/>
      <c r="S2868" s="501"/>
      <c r="T2868" s="501"/>
      <c r="V2868" s="501"/>
      <c r="W2868" s="501"/>
      <c r="X2868" s="501"/>
      <c r="Y2868" s="501"/>
      <c r="Z2868" s="501"/>
      <c r="AA2868" s="501"/>
      <c r="AB2868" s="501"/>
      <c r="AC2868" s="501"/>
      <c r="AD2868" s="501"/>
      <c r="AE2868" s="501"/>
      <c r="AF2868" s="501"/>
      <c r="AG2868" s="501"/>
      <c r="AH2868" s="501"/>
      <c r="AI2868" s="501"/>
      <c r="AJ2868" s="501"/>
      <c r="AK2868" s="501"/>
      <c r="AL2868" s="501"/>
      <c r="AM2868" s="501"/>
      <c r="AN2868" s="501"/>
      <c r="AO2868" s="501"/>
      <c r="AP2868" s="501"/>
      <c r="AQ2868" s="501"/>
      <c r="AR2868" s="501"/>
      <c r="AS2868" s="501"/>
      <c r="AT2868" s="501"/>
      <c r="AU2868" s="501"/>
      <c r="AV2868" s="501"/>
      <c r="AW2868" s="501"/>
      <c r="AX2868" s="501"/>
      <c r="AY2868" s="501"/>
      <c r="AZ2868" s="501"/>
      <c r="BA2868" s="501"/>
      <c r="BB2868" s="501"/>
      <c r="BC2868" s="501"/>
      <c r="BD2868" s="501"/>
      <c r="BE2868" s="501"/>
      <c r="BF2868" s="501"/>
      <c r="BG2868" s="501"/>
      <c r="BH2868" s="501"/>
      <c r="BI2868" s="501"/>
      <c r="BJ2868" s="501"/>
      <c r="BK2868" s="501"/>
      <c r="BL2868" s="501"/>
      <c r="BM2868" s="501"/>
      <c r="BN2868" s="501"/>
      <c r="BO2868" s="501"/>
      <c r="BP2868" s="501"/>
      <c r="BQ2868" s="501"/>
      <c r="BR2868" s="501"/>
      <c r="BS2868" s="501"/>
      <c r="BT2868" s="501"/>
      <c r="BU2868" s="501"/>
      <c r="BV2868" s="501"/>
      <c r="BW2868" s="501"/>
      <c r="BX2868" s="501"/>
      <c r="BY2868" s="501"/>
      <c r="BZ2868" s="501"/>
      <c r="CA2868" s="501"/>
      <c r="CB2868" s="501"/>
      <c r="CC2868" s="501"/>
      <c r="CD2868" s="501"/>
      <c r="CE2868" s="501"/>
      <c r="CF2868" s="501"/>
      <c r="CG2868" s="501"/>
      <c r="CH2868" s="501"/>
      <c r="CI2868" s="501"/>
      <c r="CJ2868" s="501"/>
      <c r="CK2868" s="501"/>
      <c r="CL2868" s="501"/>
      <c r="CM2868" s="501"/>
      <c r="CN2868" s="501"/>
      <c r="CO2868" s="501"/>
      <c r="CP2868" s="501"/>
      <c r="CQ2868" s="501"/>
      <c r="CR2868" s="501"/>
      <c r="CS2868" s="501"/>
      <c r="CT2868" s="501"/>
      <c r="CU2868" s="501"/>
      <c r="CV2868" s="501"/>
      <c r="CW2868" s="501"/>
      <c r="CX2868" s="501"/>
      <c r="CY2868" s="501"/>
      <c r="CZ2868" s="501"/>
      <c r="DA2868" s="501"/>
      <c r="DB2868" s="501"/>
      <c r="DC2868" s="501"/>
      <c r="DD2868" s="501"/>
      <c r="DE2868" s="501"/>
      <c r="DF2868" s="501"/>
      <c r="DG2868" s="501"/>
      <c r="DH2868" s="501"/>
      <c r="DI2868" s="501"/>
      <c r="DJ2868" s="501"/>
      <c r="DK2868" s="501"/>
      <c r="DL2868" s="501"/>
      <c r="DM2868" s="501"/>
      <c r="DN2868" s="501"/>
      <c r="DO2868" s="501"/>
      <c r="DP2868" s="501"/>
      <c r="DQ2868" s="501"/>
      <c r="DR2868" s="501"/>
      <c r="DS2868" s="501"/>
      <c r="DT2868" s="501"/>
      <c r="DU2868" s="501"/>
      <c r="DV2868" s="501"/>
      <c r="DW2868" s="501"/>
      <c r="DX2868" s="501"/>
      <c r="DY2868" s="501"/>
      <c r="DZ2868" s="501"/>
      <c r="EA2868" s="501"/>
      <c r="EB2868" s="501"/>
      <c r="EC2868" s="501"/>
      <c r="ED2868" s="501"/>
      <c r="EE2868" s="501"/>
      <c r="EF2868" s="501"/>
      <c r="EG2868" s="501"/>
      <c r="EH2868" s="501"/>
      <c r="EI2868" s="501"/>
      <c r="EJ2868" s="501"/>
      <c r="EK2868" s="501"/>
      <c r="EL2868" s="501"/>
      <c r="EM2868" s="501"/>
      <c r="EN2868" s="501"/>
      <c r="EO2868" s="501"/>
      <c r="EP2868" s="501"/>
      <c r="EQ2868" s="501"/>
      <c r="ER2868" s="501"/>
      <c r="ES2868" s="501"/>
      <c r="ET2868" s="501"/>
      <c r="EU2868" s="501"/>
      <c r="EV2868" s="501"/>
      <c r="EW2868" s="501"/>
      <c r="EX2868" s="501"/>
      <c r="EY2868" s="501"/>
      <c r="EZ2868" s="501"/>
      <c r="FA2868" s="501"/>
      <c r="FB2868" s="501"/>
      <c r="FC2868" s="501"/>
      <c r="FD2868" s="501"/>
      <c r="FE2868" s="501"/>
      <c r="FF2868" s="501"/>
      <c r="FG2868" s="501"/>
      <c r="FH2868" s="501"/>
      <c r="FI2868" s="501"/>
      <c r="FJ2868" s="501"/>
      <c r="FK2868" s="501"/>
      <c r="FL2868" s="501"/>
      <c r="FM2868" s="501"/>
      <c r="FN2868" s="501"/>
      <c r="FO2868" s="501"/>
      <c r="FP2868" s="501"/>
      <c r="FQ2868" s="501"/>
      <c r="FR2868" s="501"/>
      <c r="FS2868" s="501"/>
      <c r="FT2868" s="501"/>
      <c r="FU2868" s="501"/>
      <c r="FV2868" s="501"/>
      <c r="FW2868" s="501"/>
      <c r="FX2868" s="501"/>
      <c r="FY2868" s="501"/>
      <c r="FZ2868" s="501"/>
      <c r="GA2868" s="501"/>
      <c r="GB2868" s="501"/>
      <c r="GC2868" s="501"/>
      <c r="GD2868" s="501"/>
      <c r="GE2868" s="501"/>
      <c r="GF2868" s="501"/>
      <c r="GG2868" s="501"/>
      <c r="GH2868" s="501"/>
      <c r="GI2868" s="501"/>
      <c r="GJ2868" s="501"/>
      <c r="GK2868" s="501"/>
      <c r="GL2868" s="501"/>
      <c r="GM2868" s="501"/>
      <c r="GN2868" s="501"/>
      <c r="GO2868" s="501"/>
      <c r="GP2868" s="501"/>
      <c r="GQ2868" s="501"/>
      <c r="GR2868" s="501"/>
      <c r="GS2868" s="501"/>
      <c r="GT2868" s="501"/>
      <c r="GU2868" s="501"/>
      <c r="GV2868" s="501"/>
      <c r="GW2868" s="501"/>
      <c r="GX2868" s="501"/>
      <c r="GY2868" s="501"/>
      <c r="GZ2868" s="501"/>
      <c r="HA2868" s="501"/>
      <c r="HB2868" s="501"/>
      <c r="HC2868" s="501"/>
      <c r="HD2868" s="501"/>
      <c r="HE2868" s="501"/>
      <c r="HF2868" s="501"/>
      <c r="HG2868" s="501"/>
      <c r="HH2868" s="501"/>
      <c r="HI2868" s="501"/>
      <c r="HJ2868" s="501"/>
      <c r="HK2868" s="501"/>
      <c r="HL2868" s="501"/>
      <c r="HM2868" s="501"/>
      <c r="HN2868" s="501"/>
      <c r="HO2868" s="501"/>
      <c r="HP2868" s="501"/>
      <c r="HQ2868" s="501"/>
      <c r="HR2868" s="501"/>
      <c r="HS2868" s="501"/>
      <c r="HT2868" s="501"/>
      <c r="HU2868" s="501"/>
      <c r="HV2868" s="501"/>
      <c r="HW2868" s="501"/>
      <c r="HX2868" s="501"/>
      <c r="HY2868" s="501"/>
      <c r="HZ2868" s="501"/>
      <c r="IA2868" s="501"/>
      <c r="IB2868" s="501"/>
      <c r="IC2868" s="501"/>
      <c r="ID2868" s="501"/>
      <c r="IE2868" s="501"/>
      <c r="IF2868" s="501"/>
      <c r="IG2868" s="501"/>
      <c r="IH2868" s="501"/>
      <c r="II2868" s="501"/>
      <c r="IJ2868" s="501"/>
      <c r="IK2868" s="501"/>
      <c r="IL2868" s="501"/>
      <c r="IM2868" s="501"/>
      <c r="IN2868" s="501"/>
      <c r="IO2868" s="501"/>
      <c r="IP2868" s="501"/>
      <c r="IQ2868" s="501"/>
      <c r="IR2868" s="501"/>
      <c r="IS2868" s="501"/>
      <c r="IT2868" s="501"/>
      <c r="IU2868" s="501"/>
    </row>
    <row r="2869" spans="1:255" s="877" customFormat="1" ht="24" customHeight="1">
      <c r="A2869" s="501"/>
      <c r="B2869" s="501"/>
      <c r="C2869" s="501"/>
      <c r="D2869" s="501"/>
      <c r="E2869" s="501"/>
      <c r="F2869" s="1097"/>
      <c r="G2869" s="1098"/>
      <c r="H2869" s="1097"/>
      <c r="I2869" s="1099"/>
      <c r="J2869" s="1170"/>
      <c r="K2869" s="1104"/>
      <c r="L2869" s="1169"/>
      <c r="M2869" s="1111"/>
      <c r="N2869" s="501"/>
      <c r="O2869" s="501"/>
      <c r="P2869" s="501"/>
      <c r="Q2869" s="501"/>
      <c r="R2869" s="501"/>
      <c r="S2869" s="501"/>
      <c r="T2869" s="501"/>
      <c r="V2869" s="501"/>
      <c r="W2869" s="501"/>
      <c r="X2869" s="501"/>
      <c r="Y2869" s="501"/>
      <c r="Z2869" s="501"/>
      <c r="AA2869" s="501"/>
      <c r="AB2869" s="501"/>
      <c r="AC2869" s="501"/>
      <c r="AD2869" s="501"/>
      <c r="AE2869" s="501"/>
      <c r="AF2869" s="501"/>
      <c r="AG2869" s="501"/>
      <c r="AH2869" s="501"/>
      <c r="AI2869" s="501"/>
      <c r="AJ2869" s="501"/>
      <c r="AK2869" s="501"/>
      <c r="AL2869" s="501"/>
      <c r="AM2869" s="501"/>
      <c r="AN2869" s="501"/>
      <c r="AO2869" s="501"/>
      <c r="AP2869" s="501"/>
      <c r="AQ2869" s="501"/>
      <c r="AR2869" s="501"/>
      <c r="AS2869" s="501"/>
      <c r="AT2869" s="501"/>
      <c r="AU2869" s="501"/>
      <c r="AV2869" s="501"/>
      <c r="AW2869" s="501"/>
      <c r="AX2869" s="501"/>
      <c r="AY2869" s="501"/>
      <c r="AZ2869" s="501"/>
      <c r="BA2869" s="501"/>
      <c r="BB2869" s="501"/>
      <c r="BC2869" s="501"/>
      <c r="BD2869" s="501"/>
      <c r="BE2869" s="501"/>
      <c r="BF2869" s="501"/>
      <c r="BG2869" s="501"/>
      <c r="BH2869" s="501"/>
      <c r="BI2869" s="501"/>
      <c r="BJ2869" s="501"/>
      <c r="BK2869" s="501"/>
      <c r="BL2869" s="501"/>
      <c r="BM2869" s="501"/>
      <c r="BN2869" s="501"/>
      <c r="BO2869" s="501"/>
      <c r="BP2869" s="501"/>
      <c r="BQ2869" s="501"/>
      <c r="BR2869" s="501"/>
      <c r="BS2869" s="501"/>
      <c r="BT2869" s="501"/>
      <c r="BU2869" s="501"/>
      <c r="BV2869" s="501"/>
      <c r="BW2869" s="501"/>
      <c r="BX2869" s="501"/>
      <c r="BY2869" s="501"/>
      <c r="BZ2869" s="501"/>
      <c r="CA2869" s="501"/>
      <c r="CB2869" s="501"/>
      <c r="CC2869" s="501"/>
      <c r="CD2869" s="501"/>
      <c r="CE2869" s="501"/>
      <c r="CF2869" s="501"/>
      <c r="CG2869" s="501"/>
      <c r="CH2869" s="501"/>
      <c r="CI2869" s="501"/>
      <c r="CJ2869" s="501"/>
      <c r="CK2869" s="501"/>
      <c r="CL2869" s="501"/>
      <c r="CM2869" s="501"/>
      <c r="CN2869" s="501"/>
      <c r="CO2869" s="501"/>
      <c r="CP2869" s="501"/>
      <c r="CQ2869" s="501"/>
      <c r="CR2869" s="501"/>
      <c r="CS2869" s="501"/>
      <c r="CT2869" s="501"/>
      <c r="CU2869" s="501"/>
      <c r="CV2869" s="501"/>
      <c r="CW2869" s="501"/>
      <c r="CX2869" s="501"/>
      <c r="CY2869" s="501"/>
      <c r="CZ2869" s="501"/>
      <c r="DA2869" s="501"/>
      <c r="DB2869" s="501"/>
      <c r="DC2869" s="501"/>
      <c r="DD2869" s="501"/>
      <c r="DE2869" s="501"/>
      <c r="DF2869" s="501"/>
      <c r="DG2869" s="501"/>
      <c r="DH2869" s="501"/>
      <c r="DI2869" s="501"/>
      <c r="DJ2869" s="501"/>
      <c r="DK2869" s="501"/>
      <c r="DL2869" s="501"/>
      <c r="DM2869" s="501"/>
      <c r="DN2869" s="501"/>
      <c r="DO2869" s="501"/>
      <c r="DP2869" s="501"/>
      <c r="DQ2869" s="501"/>
      <c r="DR2869" s="501"/>
      <c r="DS2869" s="501"/>
      <c r="DT2869" s="501"/>
      <c r="DU2869" s="501"/>
      <c r="DV2869" s="501"/>
      <c r="DW2869" s="501"/>
      <c r="DX2869" s="501"/>
      <c r="DY2869" s="501"/>
      <c r="DZ2869" s="501"/>
      <c r="EA2869" s="501"/>
      <c r="EB2869" s="501"/>
      <c r="EC2869" s="501"/>
      <c r="ED2869" s="501"/>
      <c r="EE2869" s="501"/>
      <c r="EF2869" s="501"/>
      <c r="EG2869" s="501"/>
      <c r="EH2869" s="501"/>
      <c r="EI2869" s="501"/>
      <c r="EJ2869" s="501"/>
      <c r="EK2869" s="501"/>
      <c r="EL2869" s="501"/>
      <c r="EM2869" s="501"/>
      <c r="EN2869" s="501"/>
      <c r="EO2869" s="501"/>
      <c r="EP2869" s="501"/>
      <c r="EQ2869" s="501"/>
      <c r="ER2869" s="501"/>
      <c r="ES2869" s="501"/>
      <c r="ET2869" s="501"/>
      <c r="EU2869" s="501"/>
      <c r="EV2869" s="501"/>
      <c r="EW2869" s="501"/>
      <c r="EX2869" s="501"/>
      <c r="EY2869" s="501"/>
      <c r="EZ2869" s="501"/>
      <c r="FA2869" s="501"/>
      <c r="FB2869" s="501"/>
      <c r="FC2869" s="501"/>
      <c r="FD2869" s="501"/>
      <c r="FE2869" s="501"/>
      <c r="FF2869" s="501"/>
      <c r="FG2869" s="501"/>
      <c r="FH2869" s="501"/>
      <c r="FI2869" s="501"/>
      <c r="FJ2869" s="501"/>
      <c r="FK2869" s="501"/>
      <c r="FL2869" s="501"/>
      <c r="FM2869" s="501"/>
      <c r="FN2869" s="501"/>
      <c r="FO2869" s="501"/>
      <c r="FP2869" s="501"/>
      <c r="FQ2869" s="501"/>
      <c r="FR2869" s="501"/>
      <c r="FS2869" s="501"/>
      <c r="FT2869" s="501"/>
      <c r="FU2869" s="501"/>
      <c r="FV2869" s="501"/>
      <c r="FW2869" s="501"/>
      <c r="FX2869" s="501"/>
      <c r="FY2869" s="501"/>
      <c r="FZ2869" s="501"/>
      <c r="GA2869" s="501"/>
      <c r="GB2869" s="501"/>
      <c r="GC2869" s="501"/>
      <c r="GD2869" s="501"/>
      <c r="GE2869" s="501"/>
      <c r="GF2869" s="501"/>
      <c r="GG2869" s="501"/>
      <c r="GH2869" s="501"/>
      <c r="GI2869" s="501"/>
      <c r="GJ2869" s="501"/>
      <c r="GK2869" s="501"/>
      <c r="GL2869" s="501"/>
      <c r="GM2869" s="501"/>
      <c r="GN2869" s="501"/>
      <c r="GO2869" s="501"/>
      <c r="GP2869" s="501"/>
      <c r="GQ2869" s="501"/>
      <c r="GR2869" s="501"/>
      <c r="GS2869" s="501"/>
      <c r="GT2869" s="501"/>
      <c r="GU2869" s="501"/>
      <c r="GV2869" s="501"/>
      <c r="GW2869" s="501"/>
      <c r="GX2869" s="501"/>
      <c r="GY2869" s="501"/>
      <c r="GZ2869" s="501"/>
      <c r="HA2869" s="501"/>
      <c r="HB2869" s="501"/>
      <c r="HC2869" s="501"/>
      <c r="HD2869" s="501"/>
      <c r="HE2869" s="501"/>
      <c r="HF2869" s="501"/>
      <c r="HG2869" s="501"/>
      <c r="HH2869" s="501"/>
      <c r="HI2869" s="501"/>
      <c r="HJ2869" s="501"/>
      <c r="HK2869" s="501"/>
      <c r="HL2869" s="501"/>
      <c r="HM2869" s="501"/>
      <c r="HN2869" s="501"/>
      <c r="HO2869" s="501"/>
      <c r="HP2869" s="501"/>
      <c r="HQ2869" s="501"/>
      <c r="HR2869" s="501"/>
      <c r="HS2869" s="501"/>
      <c r="HT2869" s="501"/>
      <c r="HU2869" s="501"/>
      <c r="HV2869" s="501"/>
      <c r="HW2869" s="501"/>
      <c r="HX2869" s="501"/>
      <c r="HY2869" s="501"/>
      <c r="HZ2869" s="501"/>
      <c r="IA2869" s="501"/>
      <c r="IB2869" s="501"/>
      <c r="IC2869" s="501"/>
      <c r="ID2869" s="501"/>
      <c r="IE2869" s="501"/>
      <c r="IF2869" s="501"/>
      <c r="IG2869" s="501"/>
      <c r="IH2869" s="501"/>
      <c r="II2869" s="501"/>
      <c r="IJ2869" s="501"/>
      <c r="IK2869" s="501"/>
      <c r="IL2869" s="501"/>
      <c r="IM2869" s="501"/>
      <c r="IN2869" s="501"/>
      <c r="IO2869" s="501"/>
      <c r="IP2869" s="501"/>
      <c r="IQ2869" s="501"/>
      <c r="IR2869" s="501"/>
      <c r="IS2869" s="501"/>
      <c r="IT2869" s="501"/>
      <c r="IU2869" s="501"/>
    </row>
    <row r="2870" spans="1:255" s="877" customFormat="1" ht="24" customHeight="1">
      <c r="A2870" s="501"/>
      <c r="B2870" s="501"/>
      <c r="C2870" s="501"/>
      <c r="D2870" s="501"/>
      <c r="E2870" s="501"/>
      <c r="F2870" s="1097"/>
      <c r="G2870" s="1098"/>
      <c r="H2870" s="1097"/>
      <c r="I2870" s="973"/>
      <c r="J2870" s="1104"/>
      <c r="K2870" s="1104"/>
      <c r="L2870" s="1169"/>
      <c r="M2870" s="1111"/>
      <c r="N2870" s="501"/>
      <c r="O2870" s="501"/>
      <c r="P2870" s="501"/>
      <c r="Q2870" s="501"/>
      <c r="R2870" s="501"/>
      <c r="S2870" s="501"/>
      <c r="T2870" s="501"/>
      <c r="V2870" s="501"/>
      <c r="W2870" s="501"/>
      <c r="X2870" s="501"/>
      <c r="Y2870" s="501"/>
      <c r="Z2870" s="501"/>
      <c r="AA2870" s="501"/>
      <c r="AB2870" s="501"/>
      <c r="AC2870" s="501"/>
      <c r="AD2870" s="501"/>
      <c r="AE2870" s="501"/>
      <c r="AF2870" s="501"/>
      <c r="AG2870" s="501"/>
      <c r="AH2870" s="501"/>
      <c r="AI2870" s="501"/>
      <c r="AJ2870" s="501"/>
      <c r="AK2870" s="501"/>
      <c r="AL2870" s="501"/>
      <c r="AM2870" s="501"/>
      <c r="AN2870" s="501"/>
      <c r="AO2870" s="501"/>
      <c r="AP2870" s="501"/>
      <c r="AQ2870" s="501"/>
      <c r="AR2870" s="501"/>
      <c r="AS2870" s="501"/>
      <c r="AT2870" s="501"/>
      <c r="AU2870" s="501"/>
      <c r="AV2870" s="501"/>
      <c r="AW2870" s="501"/>
      <c r="AX2870" s="501"/>
      <c r="AY2870" s="501"/>
      <c r="AZ2870" s="501"/>
      <c r="BA2870" s="501"/>
      <c r="BB2870" s="501"/>
      <c r="BC2870" s="501"/>
      <c r="BD2870" s="501"/>
      <c r="BE2870" s="501"/>
      <c r="BF2870" s="501"/>
      <c r="BG2870" s="501"/>
      <c r="BH2870" s="501"/>
      <c r="BI2870" s="501"/>
      <c r="BJ2870" s="501"/>
      <c r="BK2870" s="501"/>
      <c r="BL2870" s="501"/>
      <c r="BM2870" s="501"/>
      <c r="BN2870" s="501"/>
      <c r="BO2870" s="501"/>
      <c r="BP2870" s="501"/>
      <c r="BQ2870" s="501"/>
      <c r="BR2870" s="501"/>
      <c r="BS2870" s="501"/>
      <c r="BT2870" s="501"/>
      <c r="BU2870" s="501"/>
      <c r="BV2870" s="501"/>
      <c r="BW2870" s="501"/>
      <c r="BX2870" s="501"/>
      <c r="BY2870" s="501"/>
      <c r="BZ2870" s="501"/>
      <c r="CA2870" s="501"/>
      <c r="CB2870" s="501"/>
      <c r="CC2870" s="501"/>
      <c r="CD2870" s="501"/>
      <c r="CE2870" s="501"/>
      <c r="CF2870" s="501"/>
      <c r="CG2870" s="501"/>
      <c r="CH2870" s="501"/>
      <c r="CI2870" s="501"/>
      <c r="CJ2870" s="501"/>
      <c r="CK2870" s="501"/>
      <c r="CL2870" s="501"/>
      <c r="CM2870" s="501"/>
      <c r="CN2870" s="501"/>
      <c r="CO2870" s="501"/>
      <c r="CP2870" s="501"/>
      <c r="CQ2870" s="501"/>
      <c r="CR2870" s="501"/>
      <c r="CS2870" s="501"/>
      <c r="CT2870" s="501"/>
      <c r="CU2870" s="501"/>
      <c r="CV2870" s="501"/>
      <c r="CW2870" s="501"/>
      <c r="CX2870" s="501"/>
      <c r="CY2870" s="501"/>
      <c r="CZ2870" s="501"/>
      <c r="DA2870" s="501"/>
      <c r="DB2870" s="501"/>
      <c r="DC2870" s="501"/>
      <c r="DD2870" s="501"/>
      <c r="DE2870" s="501"/>
      <c r="DF2870" s="501"/>
      <c r="DG2870" s="501"/>
      <c r="DH2870" s="501"/>
      <c r="DI2870" s="501"/>
      <c r="DJ2870" s="501"/>
      <c r="DK2870" s="501"/>
      <c r="DL2870" s="501"/>
      <c r="DM2870" s="501"/>
      <c r="DN2870" s="501"/>
      <c r="DO2870" s="501"/>
      <c r="DP2870" s="501"/>
      <c r="DQ2870" s="501"/>
      <c r="DR2870" s="501"/>
      <c r="DS2870" s="501"/>
      <c r="DT2870" s="501"/>
      <c r="DU2870" s="501"/>
      <c r="DV2870" s="501"/>
      <c r="DW2870" s="501"/>
      <c r="DX2870" s="501"/>
      <c r="DY2870" s="501"/>
      <c r="DZ2870" s="501"/>
      <c r="EA2870" s="501"/>
      <c r="EB2870" s="501"/>
      <c r="EC2870" s="501"/>
      <c r="ED2870" s="501"/>
      <c r="EE2870" s="501"/>
      <c r="EF2870" s="501"/>
      <c r="EG2870" s="501"/>
      <c r="EH2870" s="501"/>
      <c r="EI2870" s="501"/>
      <c r="EJ2870" s="501"/>
      <c r="EK2870" s="501"/>
      <c r="EL2870" s="501"/>
      <c r="EM2870" s="501"/>
      <c r="EN2870" s="501"/>
      <c r="EO2870" s="501"/>
      <c r="EP2870" s="501"/>
      <c r="EQ2870" s="501"/>
      <c r="ER2870" s="501"/>
      <c r="ES2870" s="501"/>
      <c r="ET2870" s="501"/>
      <c r="EU2870" s="501"/>
      <c r="EV2870" s="501"/>
      <c r="EW2870" s="501"/>
      <c r="EX2870" s="501"/>
      <c r="EY2870" s="501"/>
      <c r="EZ2870" s="501"/>
      <c r="FA2870" s="501"/>
      <c r="FB2870" s="501"/>
      <c r="FC2870" s="501"/>
      <c r="FD2870" s="501"/>
      <c r="FE2870" s="501"/>
      <c r="FF2870" s="501"/>
      <c r="FG2870" s="501"/>
      <c r="FH2870" s="501"/>
      <c r="FI2870" s="501"/>
      <c r="FJ2870" s="501"/>
      <c r="FK2870" s="501"/>
      <c r="FL2870" s="501"/>
      <c r="FM2870" s="501"/>
      <c r="FN2870" s="501"/>
      <c r="FO2870" s="501"/>
      <c r="FP2870" s="501"/>
      <c r="FQ2870" s="501"/>
      <c r="FR2870" s="501"/>
      <c r="FS2870" s="501"/>
      <c r="FT2870" s="501"/>
      <c r="FU2870" s="501"/>
      <c r="FV2870" s="501"/>
      <c r="FW2870" s="501"/>
      <c r="FX2870" s="501"/>
      <c r="FY2870" s="501"/>
      <c r="FZ2870" s="501"/>
      <c r="GA2870" s="501"/>
      <c r="GB2870" s="501"/>
      <c r="GC2870" s="501"/>
      <c r="GD2870" s="501"/>
      <c r="GE2870" s="501"/>
      <c r="GF2870" s="501"/>
      <c r="GG2870" s="501"/>
      <c r="GH2870" s="501"/>
      <c r="GI2870" s="501"/>
      <c r="GJ2870" s="501"/>
      <c r="GK2870" s="501"/>
      <c r="GL2870" s="501"/>
      <c r="GM2870" s="501"/>
      <c r="GN2870" s="501"/>
      <c r="GO2870" s="501"/>
      <c r="GP2870" s="501"/>
      <c r="GQ2870" s="501"/>
      <c r="GR2870" s="501"/>
      <c r="GS2870" s="501"/>
      <c r="GT2870" s="501"/>
      <c r="GU2870" s="501"/>
      <c r="GV2870" s="501"/>
      <c r="GW2870" s="501"/>
      <c r="GX2870" s="501"/>
      <c r="GY2870" s="501"/>
      <c r="GZ2870" s="501"/>
      <c r="HA2870" s="501"/>
      <c r="HB2870" s="501"/>
      <c r="HC2870" s="501"/>
      <c r="HD2870" s="501"/>
      <c r="HE2870" s="501"/>
      <c r="HF2870" s="501"/>
      <c r="HG2870" s="501"/>
      <c r="HH2870" s="501"/>
      <c r="HI2870" s="501"/>
      <c r="HJ2870" s="501"/>
      <c r="HK2870" s="501"/>
      <c r="HL2870" s="501"/>
      <c r="HM2870" s="501"/>
      <c r="HN2870" s="501"/>
      <c r="HO2870" s="501"/>
      <c r="HP2870" s="501"/>
      <c r="HQ2870" s="501"/>
      <c r="HR2870" s="501"/>
      <c r="HS2870" s="501"/>
      <c r="HT2870" s="501"/>
      <c r="HU2870" s="501"/>
      <c r="HV2870" s="501"/>
      <c r="HW2870" s="501"/>
      <c r="HX2870" s="501"/>
      <c r="HY2870" s="501"/>
      <c r="HZ2870" s="501"/>
      <c r="IA2870" s="501"/>
      <c r="IB2870" s="501"/>
      <c r="IC2870" s="501"/>
      <c r="ID2870" s="501"/>
      <c r="IE2870" s="501"/>
      <c r="IF2870" s="501"/>
      <c r="IG2870" s="501"/>
      <c r="IH2870" s="501"/>
      <c r="II2870" s="501"/>
      <c r="IJ2870" s="501"/>
      <c r="IK2870" s="501"/>
      <c r="IL2870" s="501"/>
      <c r="IM2870" s="501"/>
      <c r="IN2870" s="501"/>
      <c r="IO2870" s="501"/>
      <c r="IP2870" s="501"/>
      <c r="IQ2870" s="501"/>
      <c r="IR2870" s="501"/>
      <c r="IS2870" s="501"/>
      <c r="IT2870" s="501"/>
      <c r="IU2870" s="501"/>
    </row>
    <row r="2871" spans="1:255" s="877" customFormat="1" ht="24" customHeight="1">
      <c r="A2871" s="501"/>
      <c r="B2871" s="501"/>
      <c r="C2871" s="501"/>
      <c r="D2871" s="501"/>
      <c r="E2871" s="501"/>
      <c r="F2871" s="1097"/>
      <c r="G2871" s="1098"/>
      <c r="H2871" s="1097"/>
      <c r="I2871" s="1099"/>
      <c r="J2871" s="1170"/>
      <c r="K2871" s="1104"/>
      <c r="L2871" s="1169"/>
      <c r="M2871" s="1111"/>
      <c r="N2871" s="501"/>
      <c r="O2871" s="501"/>
      <c r="P2871" s="501"/>
      <c r="Q2871" s="501"/>
      <c r="R2871" s="501"/>
      <c r="S2871" s="501"/>
      <c r="T2871" s="501"/>
      <c r="V2871" s="501"/>
      <c r="W2871" s="501"/>
      <c r="X2871" s="501"/>
      <c r="Y2871" s="501"/>
      <c r="Z2871" s="501"/>
      <c r="AA2871" s="501"/>
      <c r="AB2871" s="501"/>
      <c r="AC2871" s="501"/>
      <c r="AD2871" s="501"/>
      <c r="AE2871" s="501"/>
      <c r="AF2871" s="501"/>
      <c r="AG2871" s="501"/>
      <c r="AH2871" s="501"/>
      <c r="AI2871" s="501"/>
      <c r="AJ2871" s="501"/>
      <c r="AK2871" s="501"/>
      <c r="AL2871" s="501"/>
      <c r="AM2871" s="501"/>
      <c r="AN2871" s="501"/>
      <c r="AO2871" s="501"/>
      <c r="AP2871" s="501"/>
      <c r="AQ2871" s="501"/>
      <c r="AR2871" s="501"/>
      <c r="AS2871" s="501"/>
      <c r="AT2871" s="501"/>
      <c r="AU2871" s="501"/>
      <c r="AV2871" s="501"/>
      <c r="AW2871" s="501"/>
      <c r="AX2871" s="501"/>
      <c r="AY2871" s="501"/>
      <c r="AZ2871" s="501"/>
      <c r="BA2871" s="501"/>
      <c r="BB2871" s="501"/>
      <c r="BC2871" s="501"/>
      <c r="BD2871" s="501"/>
      <c r="BE2871" s="501"/>
      <c r="BF2871" s="501"/>
      <c r="BG2871" s="501"/>
      <c r="BH2871" s="501"/>
      <c r="BI2871" s="501"/>
      <c r="BJ2871" s="501"/>
      <c r="BK2871" s="501"/>
      <c r="BL2871" s="501"/>
      <c r="BM2871" s="501"/>
      <c r="BN2871" s="501"/>
      <c r="BO2871" s="501"/>
      <c r="BP2871" s="501"/>
      <c r="BQ2871" s="501"/>
      <c r="BR2871" s="501"/>
      <c r="BS2871" s="501"/>
      <c r="BT2871" s="501"/>
      <c r="BU2871" s="501"/>
      <c r="BV2871" s="501"/>
      <c r="BW2871" s="501"/>
      <c r="BX2871" s="501"/>
      <c r="BY2871" s="501"/>
      <c r="BZ2871" s="501"/>
      <c r="CA2871" s="501"/>
      <c r="CB2871" s="501"/>
      <c r="CC2871" s="501"/>
      <c r="CD2871" s="501"/>
      <c r="CE2871" s="501"/>
      <c r="CF2871" s="501"/>
      <c r="CG2871" s="501"/>
      <c r="CH2871" s="501"/>
      <c r="CI2871" s="501"/>
      <c r="CJ2871" s="501"/>
      <c r="CK2871" s="501"/>
      <c r="CL2871" s="501"/>
      <c r="CM2871" s="501"/>
      <c r="CN2871" s="501"/>
      <c r="CO2871" s="501"/>
      <c r="CP2871" s="501"/>
      <c r="CQ2871" s="501"/>
      <c r="CR2871" s="501"/>
      <c r="CS2871" s="501"/>
      <c r="CT2871" s="501"/>
      <c r="CU2871" s="501"/>
      <c r="CV2871" s="501"/>
      <c r="CW2871" s="501"/>
      <c r="CX2871" s="501"/>
      <c r="CY2871" s="501"/>
      <c r="CZ2871" s="501"/>
      <c r="DA2871" s="501"/>
      <c r="DB2871" s="501"/>
      <c r="DC2871" s="501"/>
      <c r="DD2871" s="501"/>
      <c r="DE2871" s="501"/>
      <c r="DF2871" s="501"/>
      <c r="DG2871" s="501"/>
      <c r="DH2871" s="501"/>
      <c r="DI2871" s="501"/>
      <c r="DJ2871" s="501"/>
      <c r="DK2871" s="501"/>
      <c r="DL2871" s="501"/>
      <c r="DM2871" s="501"/>
      <c r="DN2871" s="501"/>
      <c r="DO2871" s="501"/>
      <c r="DP2871" s="501"/>
      <c r="DQ2871" s="501"/>
      <c r="DR2871" s="501"/>
      <c r="DS2871" s="501"/>
      <c r="DT2871" s="501"/>
      <c r="DU2871" s="501"/>
      <c r="DV2871" s="501"/>
      <c r="DW2871" s="501"/>
      <c r="DX2871" s="501"/>
      <c r="DY2871" s="501"/>
      <c r="DZ2871" s="501"/>
      <c r="EA2871" s="501"/>
      <c r="EB2871" s="501"/>
      <c r="EC2871" s="501"/>
      <c r="ED2871" s="501"/>
      <c r="EE2871" s="501"/>
      <c r="EF2871" s="501"/>
      <c r="EG2871" s="501"/>
      <c r="EH2871" s="501"/>
      <c r="EI2871" s="501"/>
      <c r="EJ2871" s="501"/>
      <c r="EK2871" s="501"/>
      <c r="EL2871" s="501"/>
      <c r="EM2871" s="501"/>
      <c r="EN2871" s="501"/>
      <c r="EO2871" s="501"/>
      <c r="EP2871" s="501"/>
      <c r="EQ2871" s="501"/>
      <c r="ER2871" s="501"/>
      <c r="ES2871" s="501"/>
      <c r="ET2871" s="501"/>
      <c r="EU2871" s="501"/>
      <c r="EV2871" s="501"/>
      <c r="EW2871" s="501"/>
      <c r="EX2871" s="501"/>
      <c r="EY2871" s="501"/>
      <c r="EZ2871" s="501"/>
      <c r="FA2871" s="501"/>
      <c r="FB2871" s="501"/>
      <c r="FC2871" s="501"/>
      <c r="FD2871" s="501"/>
      <c r="FE2871" s="501"/>
      <c r="FF2871" s="501"/>
      <c r="FG2871" s="501"/>
      <c r="FH2871" s="501"/>
      <c r="FI2871" s="501"/>
      <c r="FJ2871" s="501"/>
      <c r="FK2871" s="501"/>
      <c r="FL2871" s="501"/>
      <c r="FM2871" s="501"/>
      <c r="FN2871" s="501"/>
      <c r="FO2871" s="501"/>
      <c r="FP2871" s="501"/>
      <c r="FQ2871" s="501"/>
      <c r="FR2871" s="501"/>
      <c r="FS2871" s="501"/>
      <c r="FT2871" s="501"/>
      <c r="FU2871" s="501"/>
      <c r="FV2871" s="501"/>
      <c r="FW2871" s="501"/>
      <c r="FX2871" s="501"/>
      <c r="FY2871" s="501"/>
      <c r="FZ2871" s="501"/>
      <c r="GA2871" s="501"/>
      <c r="GB2871" s="501"/>
      <c r="GC2871" s="501"/>
      <c r="GD2871" s="501"/>
      <c r="GE2871" s="501"/>
      <c r="GF2871" s="501"/>
      <c r="GG2871" s="501"/>
      <c r="GH2871" s="501"/>
      <c r="GI2871" s="501"/>
      <c r="GJ2871" s="501"/>
      <c r="GK2871" s="501"/>
      <c r="GL2871" s="501"/>
      <c r="GM2871" s="501"/>
      <c r="GN2871" s="501"/>
      <c r="GO2871" s="501"/>
      <c r="GP2871" s="501"/>
      <c r="GQ2871" s="501"/>
      <c r="GR2871" s="501"/>
      <c r="GS2871" s="501"/>
      <c r="GT2871" s="501"/>
      <c r="GU2871" s="501"/>
      <c r="GV2871" s="501"/>
      <c r="GW2871" s="501"/>
      <c r="GX2871" s="501"/>
      <c r="GY2871" s="501"/>
      <c r="GZ2871" s="501"/>
      <c r="HA2871" s="501"/>
      <c r="HB2871" s="501"/>
      <c r="HC2871" s="501"/>
      <c r="HD2871" s="501"/>
      <c r="HE2871" s="501"/>
      <c r="HF2871" s="501"/>
      <c r="HG2871" s="501"/>
      <c r="HH2871" s="501"/>
      <c r="HI2871" s="501"/>
      <c r="HJ2871" s="501"/>
      <c r="HK2871" s="501"/>
      <c r="HL2871" s="501"/>
      <c r="HM2871" s="501"/>
      <c r="HN2871" s="501"/>
      <c r="HO2871" s="501"/>
      <c r="HP2871" s="501"/>
      <c r="HQ2871" s="501"/>
      <c r="HR2871" s="501"/>
      <c r="HS2871" s="501"/>
      <c r="HT2871" s="501"/>
      <c r="HU2871" s="501"/>
      <c r="HV2871" s="501"/>
      <c r="HW2871" s="501"/>
      <c r="HX2871" s="501"/>
      <c r="HY2871" s="501"/>
      <c r="HZ2871" s="501"/>
      <c r="IA2871" s="501"/>
      <c r="IB2871" s="501"/>
      <c r="IC2871" s="501"/>
      <c r="ID2871" s="501"/>
      <c r="IE2871" s="501"/>
      <c r="IF2871" s="501"/>
      <c r="IG2871" s="501"/>
      <c r="IH2871" s="501"/>
      <c r="II2871" s="501"/>
      <c r="IJ2871" s="501"/>
      <c r="IK2871" s="501"/>
      <c r="IL2871" s="501"/>
      <c r="IM2871" s="501"/>
      <c r="IN2871" s="501"/>
      <c r="IO2871" s="501"/>
      <c r="IP2871" s="501"/>
      <c r="IQ2871" s="501"/>
      <c r="IR2871" s="501"/>
      <c r="IS2871" s="501"/>
      <c r="IT2871" s="501"/>
      <c r="IU2871" s="501"/>
    </row>
    <row r="2872" spans="1:255" s="877" customFormat="1" ht="24" customHeight="1">
      <c r="A2872" s="501"/>
      <c r="B2872" s="501"/>
      <c r="C2872" s="501"/>
      <c r="D2872" s="501"/>
      <c r="E2872" s="501"/>
      <c r="F2872" s="1097"/>
      <c r="G2872" s="1098"/>
      <c r="H2872" s="1097"/>
      <c r="I2872" s="1099"/>
      <c r="J2872" s="1104"/>
      <c r="K2872" s="1104"/>
      <c r="L2872" s="1169"/>
      <c r="M2872" s="1111"/>
      <c r="N2872" s="501"/>
      <c r="O2872" s="501"/>
      <c r="P2872" s="501"/>
      <c r="Q2872" s="501"/>
      <c r="R2872" s="501"/>
      <c r="S2872" s="501"/>
      <c r="T2872" s="501"/>
      <c r="V2872" s="501"/>
      <c r="W2872" s="501"/>
      <c r="X2872" s="501"/>
      <c r="Y2872" s="501"/>
      <c r="Z2872" s="501"/>
      <c r="AA2872" s="501"/>
      <c r="AB2872" s="501"/>
      <c r="AC2872" s="501"/>
      <c r="AD2872" s="501"/>
      <c r="AE2872" s="501"/>
      <c r="AF2872" s="501"/>
      <c r="AG2872" s="501"/>
      <c r="AH2872" s="501"/>
      <c r="AI2872" s="501"/>
      <c r="AJ2872" s="501"/>
      <c r="AK2872" s="501"/>
      <c r="AL2872" s="501"/>
      <c r="AM2872" s="501"/>
      <c r="AN2872" s="501"/>
      <c r="AO2872" s="501"/>
      <c r="AP2872" s="501"/>
      <c r="AQ2872" s="501"/>
      <c r="AR2872" s="501"/>
      <c r="AS2872" s="501"/>
      <c r="AT2872" s="501"/>
      <c r="AU2872" s="501"/>
      <c r="AV2872" s="501"/>
      <c r="AW2872" s="501"/>
      <c r="AX2872" s="501"/>
      <c r="AY2872" s="501"/>
      <c r="AZ2872" s="501"/>
      <c r="BA2872" s="501"/>
      <c r="BB2872" s="501"/>
      <c r="BC2872" s="501"/>
      <c r="BD2872" s="501"/>
      <c r="BE2872" s="501"/>
      <c r="BF2872" s="501"/>
      <c r="BG2872" s="501"/>
      <c r="BH2872" s="501"/>
      <c r="BI2872" s="501"/>
      <c r="BJ2872" s="501"/>
      <c r="BK2872" s="501"/>
      <c r="BL2872" s="501"/>
      <c r="BM2872" s="501"/>
      <c r="BN2872" s="501"/>
      <c r="BO2872" s="501"/>
      <c r="BP2872" s="501"/>
      <c r="BQ2872" s="501"/>
      <c r="BR2872" s="501"/>
      <c r="BS2872" s="501"/>
      <c r="BT2872" s="501"/>
      <c r="BU2872" s="501"/>
      <c r="BV2872" s="501"/>
      <c r="BW2872" s="501"/>
      <c r="BX2872" s="501"/>
      <c r="BY2872" s="501"/>
      <c r="BZ2872" s="501"/>
      <c r="CA2872" s="501"/>
      <c r="CB2872" s="501"/>
      <c r="CC2872" s="501"/>
      <c r="CD2872" s="501"/>
      <c r="CE2872" s="501"/>
      <c r="CF2872" s="501"/>
      <c r="CG2872" s="501"/>
      <c r="CH2872" s="501"/>
      <c r="CI2872" s="501"/>
      <c r="CJ2872" s="501"/>
      <c r="CK2872" s="501"/>
      <c r="CL2872" s="501"/>
      <c r="CM2872" s="501"/>
      <c r="CN2872" s="501"/>
      <c r="CO2872" s="501"/>
      <c r="CP2872" s="501"/>
      <c r="CQ2872" s="501"/>
      <c r="CR2872" s="501"/>
      <c r="CS2872" s="501"/>
      <c r="CT2872" s="501"/>
      <c r="CU2872" s="501"/>
      <c r="CV2872" s="501"/>
      <c r="CW2872" s="501"/>
      <c r="CX2872" s="501"/>
      <c r="CY2872" s="501"/>
      <c r="CZ2872" s="501"/>
      <c r="DA2872" s="501"/>
      <c r="DB2872" s="501"/>
      <c r="DC2872" s="501"/>
      <c r="DD2872" s="501"/>
      <c r="DE2872" s="501"/>
      <c r="DF2872" s="501"/>
      <c r="DG2872" s="501"/>
      <c r="DH2872" s="501"/>
      <c r="DI2872" s="501"/>
      <c r="DJ2872" s="501"/>
      <c r="DK2872" s="501"/>
      <c r="DL2872" s="501"/>
      <c r="DM2872" s="501"/>
      <c r="DN2872" s="501"/>
      <c r="DO2872" s="501"/>
      <c r="DP2872" s="501"/>
      <c r="DQ2872" s="501"/>
      <c r="DR2872" s="501"/>
      <c r="DS2872" s="501"/>
      <c r="DT2872" s="501"/>
      <c r="DU2872" s="501"/>
      <c r="DV2872" s="501"/>
      <c r="DW2872" s="501"/>
      <c r="DX2872" s="501"/>
      <c r="DY2872" s="501"/>
      <c r="DZ2872" s="501"/>
      <c r="EA2872" s="501"/>
      <c r="EB2872" s="501"/>
      <c r="EC2872" s="501"/>
      <c r="ED2872" s="501"/>
      <c r="EE2872" s="501"/>
      <c r="EF2872" s="501"/>
      <c r="EG2872" s="501"/>
      <c r="EH2872" s="501"/>
      <c r="EI2872" s="501"/>
      <c r="EJ2872" s="501"/>
      <c r="EK2872" s="501"/>
      <c r="EL2872" s="501"/>
      <c r="EM2872" s="501"/>
      <c r="EN2872" s="501"/>
      <c r="EO2872" s="501"/>
      <c r="EP2872" s="501"/>
      <c r="EQ2872" s="501"/>
      <c r="ER2872" s="501"/>
      <c r="ES2872" s="501"/>
      <c r="ET2872" s="501"/>
      <c r="EU2872" s="501"/>
      <c r="EV2872" s="501"/>
      <c r="EW2872" s="501"/>
      <c r="EX2872" s="501"/>
      <c r="EY2872" s="501"/>
      <c r="EZ2872" s="501"/>
      <c r="FA2872" s="501"/>
      <c r="FB2872" s="501"/>
      <c r="FC2872" s="501"/>
      <c r="FD2872" s="501"/>
      <c r="FE2872" s="501"/>
      <c r="FF2872" s="501"/>
      <c r="FG2872" s="501"/>
      <c r="FH2872" s="501"/>
      <c r="FI2872" s="501"/>
      <c r="FJ2872" s="501"/>
      <c r="FK2872" s="501"/>
      <c r="FL2872" s="501"/>
      <c r="FM2872" s="501"/>
      <c r="FN2872" s="501"/>
      <c r="FO2872" s="501"/>
      <c r="FP2872" s="501"/>
      <c r="FQ2872" s="501"/>
      <c r="FR2872" s="501"/>
      <c r="FS2872" s="501"/>
      <c r="FT2872" s="501"/>
      <c r="FU2872" s="501"/>
      <c r="FV2872" s="501"/>
      <c r="FW2872" s="501"/>
      <c r="FX2872" s="501"/>
      <c r="FY2872" s="501"/>
      <c r="FZ2872" s="501"/>
      <c r="GA2872" s="501"/>
      <c r="GB2872" s="501"/>
      <c r="GC2872" s="501"/>
      <c r="GD2872" s="501"/>
      <c r="GE2872" s="501"/>
      <c r="GF2872" s="501"/>
      <c r="GG2872" s="501"/>
      <c r="GH2872" s="501"/>
      <c r="GI2872" s="501"/>
      <c r="GJ2872" s="501"/>
      <c r="GK2872" s="501"/>
      <c r="GL2872" s="501"/>
      <c r="GM2872" s="501"/>
      <c r="GN2872" s="501"/>
      <c r="GO2872" s="501"/>
      <c r="GP2872" s="501"/>
      <c r="GQ2872" s="501"/>
      <c r="GR2872" s="501"/>
      <c r="GS2872" s="501"/>
      <c r="GT2872" s="501"/>
      <c r="GU2872" s="501"/>
      <c r="GV2872" s="501"/>
      <c r="GW2872" s="501"/>
      <c r="GX2872" s="501"/>
      <c r="GY2872" s="501"/>
      <c r="GZ2872" s="501"/>
      <c r="HA2872" s="501"/>
      <c r="HB2872" s="501"/>
      <c r="HC2872" s="501"/>
      <c r="HD2872" s="501"/>
      <c r="HE2872" s="501"/>
      <c r="HF2872" s="501"/>
      <c r="HG2872" s="501"/>
      <c r="HH2872" s="501"/>
      <c r="HI2872" s="501"/>
      <c r="HJ2872" s="501"/>
      <c r="HK2872" s="501"/>
      <c r="HL2872" s="501"/>
      <c r="HM2872" s="501"/>
      <c r="HN2872" s="501"/>
      <c r="HO2872" s="501"/>
      <c r="HP2872" s="501"/>
      <c r="HQ2872" s="501"/>
      <c r="HR2872" s="501"/>
      <c r="HS2872" s="501"/>
      <c r="HT2872" s="501"/>
      <c r="HU2872" s="501"/>
      <c r="HV2872" s="501"/>
      <c r="HW2872" s="501"/>
      <c r="HX2872" s="501"/>
      <c r="HY2872" s="501"/>
      <c r="HZ2872" s="501"/>
      <c r="IA2872" s="501"/>
      <c r="IB2872" s="501"/>
      <c r="IC2872" s="501"/>
      <c r="ID2872" s="501"/>
      <c r="IE2872" s="501"/>
      <c r="IF2872" s="501"/>
      <c r="IG2872" s="501"/>
      <c r="IH2872" s="501"/>
      <c r="II2872" s="501"/>
      <c r="IJ2872" s="501"/>
      <c r="IK2872" s="501"/>
      <c r="IL2872" s="501"/>
      <c r="IM2872" s="501"/>
      <c r="IN2872" s="501"/>
      <c r="IO2872" s="501"/>
      <c r="IP2872" s="501"/>
      <c r="IQ2872" s="501"/>
      <c r="IR2872" s="501"/>
      <c r="IS2872" s="501"/>
      <c r="IT2872" s="501"/>
      <c r="IU2872" s="501"/>
    </row>
    <row r="2873" spans="1:255" s="877" customFormat="1" ht="24" customHeight="1">
      <c r="A2873" s="501"/>
      <c r="B2873" s="501"/>
      <c r="C2873" s="501"/>
      <c r="D2873" s="501"/>
      <c r="E2873" s="501"/>
      <c r="F2873" s="1097"/>
      <c r="G2873" s="1098"/>
      <c r="H2873" s="1097"/>
      <c r="I2873" s="1099"/>
      <c r="J2873" s="1097"/>
      <c r="K2873" s="1097"/>
      <c r="L2873" s="1101"/>
      <c r="M2873" s="1102"/>
      <c r="N2873" s="501"/>
      <c r="O2873" s="501"/>
      <c r="P2873" s="501"/>
      <c r="Q2873" s="501"/>
      <c r="R2873" s="501"/>
      <c r="S2873" s="501"/>
      <c r="T2873" s="501"/>
      <c r="V2873" s="501"/>
      <c r="W2873" s="501"/>
      <c r="X2873" s="501"/>
      <c r="Y2873" s="501"/>
      <c r="Z2873" s="501"/>
      <c r="AA2873" s="501"/>
      <c r="AB2873" s="501"/>
      <c r="AC2873" s="501"/>
      <c r="AD2873" s="501"/>
      <c r="AE2873" s="501"/>
      <c r="AF2873" s="501"/>
      <c r="AG2873" s="501"/>
      <c r="AH2873" s="501"/>
      <c r="AI2873" s="501"/>
      <c r="AJ2873" s="501"/>
      <c r="AK2873" s="501"/>
      <c r="AL2873" s="501"/>
      <c r="AM2873" s="501"/>
      <c r="AN2873" s="501"/>
      <c r="AO2873" s="501"/>
      <c r="AP2873" s="501"/>
      <c r="AQ2873" s="501"/>
      <c r="AR2873" s="501"/>
      <c r="AS2873" s="501"/>
      <c r="AT2873" s="501"/>
      <c r="AU2873" s="501"/>
      <c r="AV2873" s="501"/>
      <c r="AW2873" s="501"/>
      <c r="AX2873" s="501"/>
      <c r="AY2873" s="501"/>
      <c r="AZ2873" s="501"/>
      <c r="BA2873" s="501"/>
      <c r="BB2873" s="501"/>
      <c r="BC2873" s="501"/>
      <c r="BD2873" s="501"/>
      <c r="BE2873" s="501"/>
      <c r="BF2873" s="501"/>
      <c r="BG2873" s="501"/>
      <c r="BH2873" s="501"/>
      <c r="BI2873" s="501"/>
      <c r="BJ2873" s="501"/>
      <c r="BK2873" s="501"/>
      <c r="BL2873" s="501"/>
      <c r="BM2873" s="501"/>
      <c r="BN2873" s="501"/>
      <c r="BO2873" s="501"/>
      <c r="BP2873" s="501"/>
      <c r="BQ2873" s="501"/>
      <c r="BR2873" s="501"/>
      <c r="BS2873" s="501"/>
      <c r="BT2873" s="501"/>
      <c r="BU2873" s="501"/>
      <c r="BV2873" s="501"/>
      <c r="BW2873" s="501"/>
      <c r="BX2873" s="501"/>
      <c r="BY2873" s="501"/>
      <c r="BZ2873" s="501"/>
      <c r="CA2873" s="501"/>
      <c r="CB2873" s="501"/>
      <c r="CC2873" s="501"/>
      <c r="CD2873" s="501"/>
      <c r="CE2873" s="501"/>
      <c r="CF2873" s="501"/>
      <c r="CG2873" s="501"/>
      <c r="CH2873" s="501"/>
      <c r="CI2873" s="501"/>
      <c r="CJ2873" s="501"/>
      <c r="CK2873" s="501"/>
      <c r="CL2873" s="501"/>
      <c r="CM2873" s="501"/>
      <c r="CN2873" s="501"/>
      <c r="CO2873" s="501"/>
      <c r="CP2873" s="501"/>
      <c r="CQ2873" s="501"/>
      <c r="CR2873" s="501"/>
      <c r="CS2873" s="501"/>
      <c r="CT2873" s="501"/>
      <c r="CU2873" s="501"/>
      <c r="CV2873" s="501"/>
      <c r="CW2873" s="501"/>
      <c r="CX2873" s="501"/>
      <c r="CY2873" s="501"/>
      <c r="CZ2873" s="501"/>
      <c r="DA2873" s="501"/>
      <c r="DB2873" s="501"/>
      <c r="DC2873" s="501"/>
      <c r="DD2873" s="501"/>
      <c r="DE2873" s="501"/>
      <c r="DF2873" s="501"/>
      <c r="DG2873" s="501"/>
      <c r="DH2873" s="501"/>
      <c r="DI2873" s="501"/>
      <c r="DJ2873" s="501"/>
      <c r="DK2873" s="501"/>
      <c r="DL2873" s="501"/>
      <c r="DM2873" s="501"/>
      <c r="DN2873" s="501"/>
      <c r="DO2873" s="501"/>
      <c r="DP2873" s="501"/>
      <c r="DQ2873" s="501"/>
      <c r="DR2873" s="501"/>
      <c r="DS2873" s="501"/>
      <c r="DT2873" s="501"/>
      <c r="DU2873" s="501"/>
      <c r="DV2873" s="501"/>
      <c r="DW2873" s="501"/>
      <c r="DX2873" s="501"/>
      <c r="DY2873" s="501"/>
      <c r="DZ2873" s="501"/>
      <c r="EA2873" s="501"/>
      <c r="EB2873" s="501"/>
      <c r="EC2873" s="501"/>
      <c r="ED2873" s="501"/>
      <c r="EE2873" s="501"/>
      <c r="EF2873" s="501"/>
      <c r="EG2873" s="501"/>
      <c r="EH2873" s="501"/>
      <c r="EI2873" s="501"/>
      <c r="EJ2873" s="501"/>
      <c r="EK2873" s="501"/>
      <c r="EL2873" s="501"/>
      <c r="EM2873" s="501"/>
      <c r="EN2873" s="501"/>
      <c r="EO2873" s="501"/>
      <c r="EP2873" s="501"/>
      <c r="EQ2873" s="501"/>
      <c r="ER2873" s="501"/>
      <c r="ES2873" s="501"/>
      <c r="ET2873" s="501"/>
      <c r="EU2873" s="501"/>
      <c r="EV2873" s="501"/>
      <c r="EW2873" s="501"/>
      <c r="EX2873" s="501"/>
      <c r="EY2873" s="501"/>
      <c r="EZ2873" s="501"/>
      <c r="FA2873" s="501"/>
      <c r="FB2873" s="501"/>
      <c r="FC2873" s="501"/>
      <c r="FD2873" s="501"/>
      <c r="FE2873" s="501"/>
      <c r="FF2873" s="501"/>
      <c r="FG2873" s="501"/>
      <c r="FH2873" s="501"/>
      <c r="FI2873" s="501"/>
      <c r="FJ2873" s="501"/>
      <c r="FK2873" s="501"/>
      <c r="FL2873" s="501"/>
      <c r="FM2873" s="501"/>
      <c r="FN2873" s="501"/>
      <c r="FO2873" s="501"/>
      <c r="FP2873" s="501"/>
      <c r="FQ2873" s="501"/>
      <c r="FR2873" s="501"/>
      <c r="FS2873" s="501"/>
      <c r="FT2873" s="501"/>
      <c r="FU2873" s="501"/>
      <c r="FV2873" s="501"/>
      <c r="FW2873" s="501"/>
      <c r="FX2873" s="501"/>
      <c r="FY2873" s="501"/>
      <c r="FZ2873" s="501"/>
      <c r="GA2873" s="501"/>
      <c r="GB2873" s="501"/>
      <c r="GC2873" s="501"/>
      <c r="GD2873" s="501"/>
      <c r="GE2873" s="501"/>
      <c r="GF2873" s="501"/>
      <c r="GG2873" s="501"/>
      <c r="GH2873" s="501"/>
      <c r="GI2873" s="501"/>
      <c r="GJ2873" s="501"/>
      <c r="GK2873" s="501"/>
      <c r="GL2873" s="501"/>
      <c r="GM2873" s="501"/>
      <c r="GN2873" s="501"/>
      <c r="GO2873" s="501"/>
      <c r="GP2873" s="501"/>
      <c r="GQ2873" s="501"/>
      <c r="GR2873" s="501"/>
      <c r="GS2873" s="501"/>
      <c r="GT2873" s="501"/>
      <c r="GU2873" s="501"/>
      <c r="GV2873" s="501"/>
      <c r="GW2873" s="501"/>
      <c r="GX2873" s="501"/>
      <c r="GY2873" s="501"/>
      <c r="GZ2873" s="501"/>
      <c r="HA2873" s="501"/>
      <c r="HB2873" s="501"/>
      <c r="HC2873" s="501"/>
      <c r="HD2873" s="501"/>
      <c r="HE2873" s="501"/>
      <c r="HF2873" s="501"/>
      <c r="HG2873" s="501"/>
      <c r="HH2873" s="501"/>
      <c r="HI2873" s="501"/>
      <c r="HJ2873" s="501"/>
      <c r="HK2873" s="501"/>
      <c r="HL2873" s="501"/>
      <c r="HM2873" s="501"/>
      <c r="HN2873" s="501"/>
      <c r="HO2873" s="501"/>
      <c r="HP2873" s="501"/>
      <c r="HQ2873" s="501"/>
      <c r="HR2873" s="501"/>
      <c r="HS2873" s="501"/>
      <c r="HT2873" s="501"/>
      <c r="HU2873" s="501"/>
      <c r="HV2873" s="501"/>
      <c r="HW2873" s="501"/>
      <c r="HX2873" s="501"/>
      <c r="HY2873" s="501"/>
      <c r="HZ2873" s="501"/>
      <c r="IA2873" s="501"/>
      <c r="IB2873" s="501"/>
      <c r="IC2873" s="501"/>
      <c r="ID2873" s="501"/>
      <c r="IE2873" s="501"/>
      <c r="IF2873" s="501"/>
      <c r="IG2873" s="501"/>
      <c r="IH2873" s="501"/>
      <c r="II2873" s="501"/>
      <c r="IJ2873" s="501"/>
      <c r="IK2873" s="501"/>
      <c r="IL2873" s="501"/>
      <c r="IM2873" s="501"/>
      <c r="IN2873" s="501"/>
      <c r="IO2873" s="501"/>
      <c r="IP2873" s="501"/>
      <c r="IQ2873" s="501"/>
      <c r="IR2873" s="501"/>
      <c r="IS2873" s="501"/>
      <c r="IT2873" s="501"/>
      <c r="IU2873" s="501"/>
    </row>
    <row r="2874" spans="1:255" ht="24" customHeight="1">
      <c r="F2874" s="1097"/>
      <c r="G2874" s="1098"/>
      <c r="H2874" s="1097"/>
      <c r="I2874" s="1099"/>
      <c r="J2874" s="1097"/>
      <c r="K2874" s="1097"/>
      <c r="L2874" s="1101"/>
      <c r="M2874" s="1102"/>
    </row>
    <row r="2875" spans="1:255" ht="24" customHeight="1">
      <c r="F2875" s="1097"/>
      <c r="G2875" s="1098"/>
      <c r="H2875" s="1097"/>
      <c r="I2875" s="1099"/>
      <c r="J2875" s="1097"/>
      <c r="K2875" s="1097"/>
      <c r="L2875" s="1101"/>
      <c r="M2875" s="1102"/>
    </row>
    <row r="2876" spans="1:255" ht="24" customHeight="1">
      <c r="F2876" s="1097"/>
      <c r="G2876" s="1098"/>
      <c r="H2876" s="1097"/>
      <c r="I2876" s="1099"/>
      <c r="J2876" s="1097"/>
      <c r="K2876" s="1097"/>
      <c r="L2876" s="1101"/>
      <c r="M2876" s="1102"/>
    </row>
    <row r="2877" spans="1:255" ht="24" customHeight="1">
      <c r="F2877" s="1097"/>
      <c r="G2877" s="1098"/>
      <c r="H2877" s="1097"/>
      <c r="I2877" s="1099"/>
      <c r="J2877" s="1097"/>
      <c r="K2877" s="1162"/>
      <c r="L2877" s="1101"/>
      <c r="M2877" s="1102"/>
    </row>
    <row r="2878" spans="1:255" ht="24" customHeight="1">
      <c r="F2878" s="1097"/>
      <c r="G2878" s="1098"/>
      <c r="H2878" s="1097"/>
      <c r="I2878" s="1099"/>
      <c r="J2878" s="1097"/>
      <c r="K2878" s="1162"/>
      <c r="L2878" s="1101"/>
      <c r="M2878" s="1102"/>
    </row>
    <row r="2879" spans="1:255" ht="24" customHeight="1">
      <c r="F2879" s="1097"/>
      <c r="G2879" s="1098"/>
      <c r="H2879" s="1097"/>
      <c r="I2879" s="1099"/>
      <c r="J2879" s="1097"/>
      <c r="K2879" s="1097"/>
      <c r="L2879" s="1101"/>
      <c r="M2879" s="1102"/>
    </row>
    <row r="2880" spans="1:255" ht="24" customHeight="1">
      <c r="F2880" s="1097"/>
      <c r="G2880" s="1098"/>
      <c r="H2880" s="1097"/>
      <c r="I2880" s="1099"/>
      <c r="J2880" s="1102"/>
      <c r="K2880" s="1097"/>
      <c r="L2880" s="1101"/>
      <c r="M2880" s="1102"/>
    </row>
    <row r="2881" spans="6:13" ht="24" customHeight="1">
      <c r="F2881" s="1097"/>
      <c r="G2881" s="1098"/>
      <c r="H2881" s="1097"/>
      <c r="I2881" s="1099"/>
      <c r="J2881" s="1097"/>
      <c r="K2881" s="1097"/>
      <c r="L2881" s="1101"/>
      <c r="M2881" s="1102"/>
    </row>
    <row r="2882" spans="6:13" ht="24" customHeight="1">
      <c r="F2882" s="1097"/>
      <c r="G2882" s="1098"/>
      <c r="H2882" s="1097"/>
      <c r="I2882" s="1099"/>
      <c r="J2882" s="1103"/>
      <c r="K2882" s="1104"/>
      <c r="L2882" s="1110"/>
      <c r="M2882" s="1103"/>
    </row>
    <row r="2883" spans="6:13" ht="24" customHeight="1">
      <c r="F2883" s="1097"/>
      <c r="G2883" s="1098"/>
      <c r="H2883" s="1097"/>
      <c r="I2883" s="1099"/>
      <c r="J2883" s="1097"/>
      <c r="K2883" s="1097"/>
      <c r="L2883" s="1101"/>
      <c r="M2883" s="1102"/>
    </row>
    <row r="2884" spans="6:13" ht="24" customHeight="1">
      <c r="F2884" s="1097"/>
      <c r="G2884" s="1098"/>
      <c r="H2884" s="1097"/>
      <c r="I2884" s="1099"/>
      <c r="J2884" s="1097"/>
      <c r="K2884" s="1097"/>
      <c r="L2884" s="1101"/>
      <c r="M2884" s="1102"/>
    </row>
    <row r="2885" spans="6:13" ht="24" customHeight="1">
      <c r="F2885" s="1097"/>
      <c r="G2885" s="1098"/>
      <c r="H2885" s="1097"/>
      <c r="I2885" s="1099"/>
      <c r="J2885" s="1097"/>
      <c r="K2885" s="1097"/>
      <c r="L2885" s="1101"/>
      <c r="M2885" s="1102"/>
    </row>
    <row r="2886" spans="6:13" ht="24" customHeight="1">
      <c r="F2886" s="1097"/>
      <c r="G2886" s="1098"/>
      <c r="H2886" s="1097"/>
      <c r="I2886" s="1099"/>
      <c r="J2886" s="1097"/>
      <c r="K2886" s="1097"/>
      <c r="L2886" s="1101"/>
      <c r="M2886" s="1102"/>
    </row>
    <row r="2887" spans="6:13" ht="24" customHeight="1">
      <c r="F2887" s="1097"/>
      <c r="G2887" s="1098"/>
      <c r="H2887" s="1097"/>
      <c r="I2887" s="1099"/>
      <c r="J2887" s="1171"/>
      <c r="K2887" s="1097"/>
      <c r="L2887" s="1101"/>
      <c r="M2887" s="1102"/>
    </row>
    <row r="2888" spans="6:13" ht="24" customHeight="1">
      <c r="F2888" s="974"/>
      <c r="G2888" s="1105"/>
      <c r="H2888" s="974"/>
      <c r="I2888" s="973"/>
      <c r="J2888" s="973"/>
      <c r="K2888" s="1097"/>
      <c r="L2888" s="1101"/>
      <c r="M2888" s="1102"/>
    </row>
    <row r="2889" spans="6:13" ht="24" customHeight="1">
      <c r="F2889" s="1097"/>
      <c r="G2889" s="1098"/>
      <c r="H2889" s="1097"/>
      <c r="I2889" s="1099"/>
      <c r="J2889" s="973"/>
      <c r="K2889" s="1097"/>
      <c r="L2889" s="1101"/>
      <c r="M2889" s="1102"/>
    </row>
    <row r="2890" spans="6:13" ht="24" customHeight="1">
      <c r="F2890" s="1097"/>
      <c r="G2890" s="1098"/>
      <c r="H2890" s="1097"/>
      <c r="I2890" s="1099"/>
      <c r="J2890" s="1106"/>
      <c r="K2890" s="1097"/>
      <c r="L2890" s="1101"/>
      <c r="M2890" s="1102"/>
    </row>
    <row r="2891" spans="6:13" ht="24" customHeight="1">
      <c r="F2891" s="968"/>
      <c r="G2891" s="1107"/>
      <c r="H2891" s="968"/>
      <c r="I2891" s="973"/>
      <c r="J2891" s="973"/>
      <c r="K2891" s="968"/>
      <c r="L2891" s="974"/>
      <c r="M2891" s="1109"/>
    </row>
    <row r="2892" spans="6:13" ht="24" customHeight="1">
      <c r="F2892" s="1144"/>
      <c r="G2892" s="1163"/>
      <c r="H2892" s="1144"/>
      <c r="I2892" s="973"/>
      <c r="J2892" s="973"/>
      <c r="K2892" s="968"/>
      <c r="L2892" s="974"/>
      <c r="M2892" s="1109"/>
    </row>
    <row r="2893" spans="6:13" ht="24" customHeight="1">
      <c r="F2893" s="968"/>
      <c r="G2893" s="1107"/>
      <c r="H2893" s="968"/>
      <c r="I2893" s="973"/>
      <c r="J2893" s="973"/>
      <c r="K2893" s="968"/>
      <c r="L2893" s="974"/>
      <c r="M2893" s="1109"/>
    </row>
    <row r="2894" spans="6:13" ht="24" customHeight="1">
      <c r="F2894" s="968"/>
      <c r="G2894" s="1107"/>
      <c r="H2894" s="968"/>
      <c r="I2894" s="973"/>
      <c r="J2894" s="973"/>
      <c r="K2894" s="968"/>
      <c r="L2894" s="974"/>
      <c r="M2894" s="1109"/>
    </row>
    <row r="2895" spans="6:13" ht="24" customHeight="1">
      <c r="F2895" s="968"/>
      <c r="G2895" s="1107"/>
      <c r="H2895" s="968"/>
      <c r="I2895" s="973"/>
      <c r="J2895" s="973"/>
      <c r="K2895" s="968"/>
      <c r="L2895" s="974"/>
      <c r="M2895" s="1109"/>
    </row>
    <row r="2896" spans="6:13" ht="24" customHeight="1">
      <c r="F2896" s="968"/>
      <c r="G2896" s="1107"/>
      <c r="H2896" s="968"/>
      <c r="I2896" s="973"/>
      <c r="J2896" s="973"/>
      <c r="K2896" s="968"/>
      <c r="L2896" s="974"/>
      <c r="M2896" s="1109"/>
    </row>
    <row r="2897" spans="6:13" ht="24" customHeight="1">
      <c r="F2897" s="1097"/>
      <c r="G2897" s="1098"/>
      <c r="H2897" s="1097"/>
      <c r="I2897" s="973"/>
      <c r="J2897" s="973"/>
      <c r="K2897" s="973"/>
      <c r="L2897" s="974"/>
      <c r="M2897" s="1109"/>
    </row>
    <row r="2898" spans="6:13" ht="24" customHeight="1">
      <c r="F2898" s="1097"/>
      <c r="G2898" s="1098"/>
      <c r="H2898" s="1097"/>
      <c r="I2898" s="1099"/>
      <c r="J2898" s="1097"/>
      <c r="K2898" s="1097"/>
      <c r="L2898" s="1101"/>
      <c r="M2898" s="1109"/>
    </row>
    <row r="2899" spans="6:13" ht="24" customHeight="1">
      <c r="F2899" s="1097"/>
      <c r="G2899" s="1098"/>
      <c r="H2899" s="1097"/>
      <c r="I2899" s="1099"/>
      <c r="J2899" s="973"/>
      <c r="K2899" s="1097"/>
      <c r="L2899" s="1101"/>
      <c r="M2899" s="1109"/>
    </row>
    <row r="2900" spans="6:13" ht="24" customHeight="1">
      <c r="F2900" s="1097"/>
      <c r="G2900" s="1098"/>
      <c r="H2900" s="1097"/>
      <c r="I2900" s="1099"/>
      <c r="J2900" s="1097"/>
      <c r="K2900" s="1097"/>
      <c r="L2900" s="1101"/>
      <c r="M2900" s="1109"/>
    </row>
    <row r="2901" spans="6:13" ht="24" customHeight="1">
      <c r="F2901" s="1097"/>
      <c r="G2901" s="1098"/>
      <c r="H2901" s="1097"/>
      <c r="I2901" s="1099"/>
      <c r="J2901" s="973"/>
      <c r="K2901" s="1097"/>
      <c r="L2901" s="1101"/>
      <c r="M2901" s="1109"/>
    </row>
    <row r="2902" spans="6:13" ht="24" customHeight="1">
      <c r="F2902" s="1097"/>
      <c r="G2902" s="1098"/>
      <c r="H2902" s="1097"/>
      <c r="I2902" s="1099"/>
      <c r="J2902" s="1097"/>
      <c r="K2902" s="1097"/>
      <c r="L2902" s="1101"/>
      <c r="M2902" s="1102"/>
    </row>
    <row r="2903" spans="6:13" ht="24" customHeight="1">
      <c r="F2903" s="968"/>
      <c r="G2903" s="1107"/>
      <c r="H2903" s="968"/>
      <c r="I2903" s="973"/>
      <c r="J2903" s="973"/>
      <c r="K2903" s="1097"/>
      <c r="L2903" s="1101"/>
      <c r="M2903" s="1109"/>
    </row>
    <row r="2904" spans="6:13" ht="24" customHeight="1">
      <c r="F2904" s="1097"/>
      <c r="G2904" s="1098"/>
      <c r="H2904" s="1097"/>
      <c r="I2904" s="1099"/>
      <c r="J2904" s="1097"/>
      <c r="K2904" s="1097"/>
      <c r="L2904" s="1101"/>
      <c r="M2904" s="1109"/>
    </row>
    <row r="2905" spans="6:13" ht="24" customHeight="1">
      <c r="F2905" s="1097"/>
      <c r="G2905" s="1098"/>
      <c r="H2905" s="1097"/>
      <c r="I2905" s="1099"/>
      <c r="J2905" s="973"/>
      <c r="K2905" s="1097"/>
      <c r="L2905" s="1101"/>
      <c r="M2905" s="1109"/>
    </row>
    <row r="2906" spans="6:13" ht="24" customHeight="1">
      <c r="F2906" s="1097"/>
      <c r="G2906" s="1098"/>
      <c r="H2906" s="1097"/>
      <c r="I2906" s="1099"/>
      <c r="J2906" s="1097"/>
      <c r="K2906" s="1097"/>
      <c r="L2906" s="1101"/>
      <c r="M2906" s="1109"/>
    </row>
    <row r="2907" spans="6:13" ht="24" customHeight="1">
      <c r="F2907" s="1097"/>
      <c r="G2907" s="1098"/>
      <c r="H2907" s="1097"/>
      <c r="I2907" s="973"/>
      <c r="J2907" s="973"/>
      <c r="K2907" s="1097"/>
      <c r="L2907" s="1101"/>
      <c r="M2907" s="1109"/>
    </row>
    <row r="2908" spans="6:13" ht="24" customHeight="1">
      <c r="F2908" s="1097"/>
      <c r="G2908" s="1098"/>
      <c r="H2908" s="1097"/>
      <c r="I2908" s="973"/>
      <c r="J2908" s="973"/>
      <c r="K2908" s="1097"/>
      <c r="L2908" s="1101"/>
      <c r="M2908" s="1109"/>
    </row>
    <row r="2909" spans="6:13" ht="24" customHeight="1">
      <c r="F2909" s="1097"/>
      <c r="G2909" s="1098"/>
      <c r="H2909" s="1097"/>
      <c r="I2909" s="973"/>
      <c r="J2909" s="973"/>
      <c r="K2909" s="1097"/>
      <c r="L2909" s="1101"/>
      <c r="M2909" s="1109"/>
    </row>
    <row r="2910" spans="6:13" ht="24" customHeight="1">
      <c r="F2910" s="1097"/>
      <c r="G2910" s="1098"/>
      <c r="H2910" s="1097"/>
      <c r="I2910" s="973"/>
      <c r="J2910" s="973"/>
      <c r="K2910" s="1097"/>
      <c r="L2910" s="1101"/>
      <c r="M2910" s="1109"/>
    </row>
    <row r="2911" spans="6:13" ht="24" customHeight="1">
      <c r="F2911" s="1097"/>
      <c r="G2911" s="1098"/>
      <c r="H2911" s="1097"/>
      <c r="I2911" s="1099"/>
      <c r="J2911" s="1097"/>
      <c r="K2911" s="1097"/>
      <c r="L2911" s="1101"/>
      <c r="M2911" s="1102"/>
    </row>
    <row r="2912" spans="6:13" ht="24" customHeight="1">
      <c r="F2912" s="1097"/>
      <c r="G2912" s="1098"/>
      <c r="H2912" s="1097"/>
      <c r="I2912" s="1169"/>
      <c r="J2912" s="1171"/>
      <c r="K2912" s="1097"/>
      <c r="L2912" s="1099"/>
      <c r="M2912" s="1102"/>
    </row>
    <row r="2913" spans="6:13" ht="24" customHeight="1">
      <c r="F2913" s="1097"/>
      <c r="G2913" s="1098"/>
      <c r="H2913" s="1097"/>
      <c r="I2913" s="1099"/>
      <c r="J2913" s="1104"/>
      <c r="K2913" s="1097"/>
      <c r="L2913" s="1099"/>
      <c r="M2913" s="1102"/>
    </row>
    <row r="2914" spans="6:13" ht="24" customHeight="1">
      <c r="F2914" s="1097"/>
      <c r="G2914" s="1098"/>
      <c r="H2914" s="1097"/>
      <c r="I2914" s="1099"/>
      <c r="J2914" s="1097"/>
      <c r="K2914" s="1097"/>
      <c r="L2914" s="1099"/>
      <c r="M2914" s="1102"/>
    </row>
    <row r="2915" spans="6:13" ht="24" customHeight="1">
      <c r="F2915" s="1172"/>
      <c r="G2915" s="1173"/>
      <c r="H2915" s="1172"/>
      <c r="I2915" s="1099"/>
      <c r="J2915" s="1097"/>
      <c r="K2915" s="1097"/>
      <c r="L2915" s="1151"/>
      <c r="M2915" s="1102"/>
    </row>
    <row r="2916" spans="6:13" ht="24" customHeight="1">
      <c r="F2916" s="1119"/>
      <c r="G2916" s="1149"/>
      <c r="H2916" s="1119"/>
      <c r="I2916" s="1099"/>
      <c r="J2916" s="1097"/>
      <c r="K2916" s="1097"/>
      <c r="L2916" s="1151"/>
      <c r="M2916" s="1102"/>
    </row>
    <row r="2917" spans="6:13" ht="24" customHeight="1">
      <c r="F2917" s="1097"/>
      <c r="G2917" s="1098"/>
      <c r="H2917" s="1097"/>
      <c r="I2917" s="1099"/>
      <c r="J2917" s="1099"/>
      <c r="K2917" s="1097"/>
      <c r="L2917" s="1102"/>
      <c r="M2917" s="1102"/>
    </row>
    <row r="2918" spans="6:13" ht="24" customHeight="1">
      <c r="F2918" s="1097"/>
      <c r="G2918" s="1098"/>
      <c r="H2918" s="1097"/>
      <c r="I2918" s="1099"/>
      <c r="J2918" s="1110"/>
      <c r="K2918" s="1104"/>
      <c r="L2918" s="1103"/>
      <c r="M2918" s="1103"/>
    </row>
    <row r="2919" spans="6:13" ht="24" customHeight="1">
      <c r="F2919" s="1097"/>
      <c r="G2919" s="1098"/>
      <c r="H2919" s="1097"/>
      <c r="I2919" s="1099"/>
      <c r="J2919" s="1097"/>
      <c r="K2919" s="1097"/>
      <c r="L2919" s="1099"/>
      <c r="M2919" s="1102"/>
    </row>
    <row r="2920" spans="6:13" ht="24" customHeight="1">
      <c r="F2920" s="1097"/>
      <c r="G2920" s="1098"/>
      <c r="H2920" s="1097"/>
      <c r="I2920" s="1099"/>
      <c r="J2920" s="1104"/>
      <c r="K2920" s="1097"/>
      <c r="L2920" s="1099"/>
      <c r="M2920" s="1102"/>
    </row>
    <row r="2921" spans="6:13" ht="24" customHeight="1">
      <c r="F2921" s="1172"/>
      <c r="G2921" s="1173"/>
      <c r="H2921" s="1172"/>
      <c r="I2921" s="1099"/>
      <c r="J2921" s="1097"/>
      <c r="K2921" s="1097"/>
      <c r="L2921" s="1151"/>
      <c r="M2921" s="1102"/>
    </row>
    <row r="2922" spans="6:13" ht="24" customHeight="1">
      <c r="F2922" s="1119"/>
      <c r="G2922" s="1149"/>
      <c r="H2922" s="1119"/>
      <c r="I2922" s="1099"/>
      <c r="J2922" s="1174"/>
      <c r="K2922" s="1097"/>
      <c r="L2922" s="1151"/>
      <c r="M2922" s="1102"/>
    </row>
    <row r="2923" spans="6:13" ht="24" customHeight="1">
      <c r="F2923" s="1119"/>
      <c r="G2923" s="1149"/>
      <c r="H2923" s="1119"/>
      <c r="I2923" s="1099"/>
      <c r="J2923" s="1097"/>
      <c r="K2923" s="1097"/>
      <c r="L2923" s="1151"/>
      <c r="M2923" s="1102"/>
    </row>
    <row r="2924" spans="6:13" ht="24" customHeight="1">
      <c r="F2924" s="1097"/>
      <c r="G2924" s="1098"/>
      <c r="H2924" s="1097"/>
      <c r="I2924" s="1099"/>
      <c r="J2924" s="1103"/>
      <c r="K2924" s="1104"/>
      <c r="L2924" s="1103"/>
      <c r="M2924" s="1103"/>
    </row>
    <row r="2925" spans="6:13" ht="24" customHeight="1">
      <c r="F2925" s="1172"/>
      <c r="G2925" s="1173"/>
      <c r="H2925" s="1172"/>
      <c r="I2925" s="1099"/>
      <c r="J2925" s="1103"/>
      <c r="K2925" s="1097"/>
      <c r="L2925" s="1103"/>
      <c r="M2925" s="1103"/>
    </row>
    <row r="2926" spans="6:13" ht="24" customHeight="1">
      <c r="F2926" s="1119"/>
      <c r="G2926" s="1149"/>
      <c r="H2926" s="1119"/>
      <c r="I2926" s="1099"/>
      <c r="J2926" s="1097"/>
      <c r="K2926" s="1097"/>
      <c r="L2926" s="1151"/>
      <c r="M2926" s="1102"/>
    </row>
    <row r="2927" spans="6:13" ht="24" customHeight="1">
      <c r="F2927" s="1097"/>
      <c r="G2927" s="1098"/>
      <c r="H2927" s="1097"/>
      <c r="I2927" s="1099"/>
      <c r="J2927" s="1102"/>
      <c r="K2927" s="1097"/>
      <c r="L2927" s="1102"/>
      <c r="M2927" s="1102"/>
    </row>
    <row r="2928" spans="6:13" ht="24" customHeight="1">
      <c r="F2928" s="1097"/>
      <c r="G2928" s="1098"/>
      <c r="H2928" s="1097"/>
      <c r="I2928" s="1099"/>
      <c r="J2928" s="1103"/>
      <c r="K2928" s="1104"/>
      <c r="L2928" s="1103"/>
      <c r="M2928" s="1103"/>
    </row>
    <row r="2929" spans="6:13" ht="24" customHeight="1">
      <c r="F2929" s="1097"/>
      <c r="G2929" s="1098"/>
      <c r="H2929" s="1097"/>
      <c r="I2929" s="1099"/>
      <c r="J2929" s="1104"/>
      <c r="K2929" s="1097"/>
      <c r="L2929" s="1099"/>
      <c r="M2929" s="1102"/>
    </row>
    <row r="2930" spans="6:13" ht="56.25" customHeight="1">
      <c r="F2930" s="1172"/>
      <c r="G2930" s="1173"/>
      <c r="H2930" s="1172"/>
      <c r="I2930" s="1099"/>
      <c r="J2930" s="1097"/>
      <c r="K2930" s="1097"/>
      <c r="L2930" s="1151"/>
      <c r="M2930" s="1102"/>
    </row>
    <row r="2931" spans="6:13" ht="24" customHeight="1">
      <c r="F2931" s="1119"/>
      <c r="G2931" s="1149"/>
      <c r="H2931" s="1119"/>
      <c r="I2931" s="1099"/>
      <c r="J2931" s="1174"/>
      <c r="K2931" s="1097"/>
      <c r="L2931" s="1151"/>
      <c r="M2931" s="1102"/>
    </row>
    <row r="2932" spans="6:13" ht="24" customHeight="1">
      <c r="F2932" s="1119"/>
      <c r="G2932" s="1149"/>
      <c r="H2932" s="1119"/>
      <c r="I2932" s="1099"/>
      <c r="J2932" s="1097"/>
      <c r="K2932" s="1097"/>
      <c r="L2932" s="1151"/>
      <c r="M2932" s="1102"/>
    </row>
    <row r="2933" spans="6:13" ht="24" customHeight="1">
      <c r="F2933" s="1097"/>
      <c r="G2933" s="1098"/>
      <c r="H2933" s="1097"/>
      <c r="I2933" s="1099"/>
      <c r="J2933" s="1103"/>
      <c r="K2933" s="1104"/>
      <c r="L2933" s="1103"/>
      <c r="M2933" s="1103"/>
    </row>
    <row r="2934" spans="6:13" ht="24" customHeight="1">
      <c r="F2934" s="1172"/>
      <c r="G2934" s="1173"/>
      <c r="H2934" s="1172"/>
      <c r="I2934" s="1099"/>
      <c r="J2934" s="1103"/>
      <c r="K2934" s="1097"/>
      <c r="L2934" s="1103"/>
      <c r="M2934" s="1103"/>
    </row>
    <row r="2935" spans="6:13" ht="24" customHeight="1">
      <c r="F2935" s="1119"/>
      <c r="G2935" s="1149"/>
      <c r="H2935" s="1119"/>
      <c r="I2935" s="1099"/>
      <c r="J2935" s="1097"/>
      <c r="K2935" s="1097"/>
      <c r="L2935" s="1151"/>
      <c r="M2935" s="1102"/>
    </row>
    <row r="2936" spans="6:13" ht="24" customHeight="1">
      <c r="F2936" s="1097"/>
      <c r="G2936" s="1098"/>
      <c r="H2936" s="1097"/>
      <c r="I2936" s="1099"/>
      <c r="J2936" s="1097"/>
      <c r="K2936" s="1097"/>
      <c r="L2936" s="1099"/>
      <c r="M2936" s="1102"/>
    </row>
    <row r="2937" spans="6:13" ht="24" customHeight="1">
      <c r="F2937" s="1097"/>
      <c r="G2937" s="1098"/>
      <c r="H2937" s="1097"/>
      <c r="I2937" s="1099"/>
      <c r="J2937" s="1097"/>
      <c r="K2937" s="1097"/>
      <c r="L2937" s="1099"/>
      <c r="M2937" s="1102"/>
    </row>
    <row r="2938" spans="6:13" ht="24" customHeight="1">
      <c r="F2938" s="1097"/>
      <c r="G2938" s="1098"/>
      <c r="H2938" s="1097"/>
      <c r="I2938" s="1099"/>
      <c r="J2938" s="1097"/>
      <c r="K2938" s="1097"/>
      <c r="L2938" s="1099"/>
      <c r="M2938" s="1102"/>
    </row>
    <row r="2939" spans="6:13" ht="24" customHeight="1">
      <c r="F2939" s="1097"/>
      <c r="G2939" s="1098"/>
      <c r="H2939" s="1097"/>
      <c r="I2939" s="1099"/>
      <c r="J2939" s="1104"/>
      <c r="K2939" s="1097"/>
      <c r="L2939" s="1099"/>
      <c r="M2939" s="1102"/>
    </row>
    <row r="2940" spans="6:13" ht="24" customHeight="1">
      <c r="F2940" s="1172"/>
      <c r="G2940" s="1173"/>
      <c r="H2940" s="1172"/>
      <c r="I2940" s="1099"/>
      <c r="J2940" s="1097"/>
      <c r="K2940" s="1097"/>
      <c r="L2940" s="1151"/>
      <c r="M2940" s="1102"/>
    </row>
    <row r="2941" spans="6:13" ht="24" customHeight="1">
      <c r="F2941" s="1119"/>
      <c r="G2941" s="1149"/>
      <c r="H2941" s="1119"/>
      <c r="I2941" s="1099"/>
      <c r="J2941" s="1174"/>
      <c r="K2941" s="1097"/>
      <c r="L2941" s="1151"/>
      <c r="M2941" s="1102"/>
    </row>
    <row r="2942" spans="6:13" ht="24" customHeight="1">
      <c r="F2942" s="1119"/>
      <c r="G2942" s="1149"/>
      <c r="H2942" s="1119"/>
      <c r="I2942" s="1099"/>
      <c r="J2942" s="1097"/>
      <c r="K2942" s="1097"/>
      <c r="L2942" s="1151"/>
      <c r="M2942" s="1102"/>
    </row>
    <row r="2943" spans="6:13" ht="24" customHeight="1">
      <c r="F2943" s="1097"/>
      <c r="G2943" s="1098"/>
      <c r="H2943" s="1097"/>
      <c r="I2943" s="1099"/>
      <c r="J2943" s="1103"/>
      <c r="K2943" s="1104"/>
      <c r="L2943" s="1103"/>
      <c r="M2943" s="1103"/>
    </row>
    <row r="2944" spans="6:13" ht="24" customHeight="1">
      <c r="F2944" s="1172"/>
      <c r="G2944" s="1173"/>
      <c r="H2944" s="1172"/>
      <c r="I2944" s="1099"/>
      <c r="J2944" s="1103"/>
      <c r="K2944" s="1097"/>
      <c r="L2944" s="1103"/>
      <c r="M2944" s="1103"/>
    </row>
    <row r="2945" spans="6:13" ht="24" customHeight="1">
      <c r="F2945" s="1119"/>
      <c r="G2945" s="1149"/>
      <c r="H2945" s="1119"/>
      <c r="I2945" s="1099"/>
      <c r="J2945" s="1097"/>
      <c r="K2945" s="1097"/>
      <c r="L2945" s="1151"/>
      <c r="M2945" s="1102"/>
    </row>
    <row r="2946" spans="6:13" ht="24" customHeight="1">
      <c r="F2946" s="1097"/>
      <c r="G2946" s="1098"/>
      <c r="H2946" s="1097"/>
      <c r="I2946" s="1099"/>
      <c r="J2946" s="1097"/>
      <c r="K2946" s="1097"/>
      <c r="L2946" s="1099"/>
      <c r="M2946" s="1102"/>
    </row>
    <row r="2947" spans="6:13" ht="24" customHeight="1">
      <c r="F2947" s="1097"/>
      <c r="G2947" s="1098"/>
      <c r="H2947" s="1097"/>
      <c r="I2947" s="1099"/>
      <c r="J2947" s="1097"/>
      <c r="K2947" s="1097"/>
      <c r="L2947" s="1099"/>
      <c r="M2947" s="1102"/>
    </row>
    <row r="2948" spans="6:13" ht="24" customHeight="1">
      <c r="F2948" s="1097"/>
      <c r="G2948" s="1098"/>
      <c r="H2948" s="1097"/>
      <c r="I2948" s="1099"/>
      <c r="J2948" s="1104"/>
      <c r="K2948" s="1097"/>
      <c r="L2948" s="1099"/>
      <c r="M2948" s="1102"/>
    </row>
    <row r="2949" spans="6:13" ht="24" customHeight="1">
      <c r="F2949" s="1172"/>
      <c r="G2949" s="1173"/>
      <c r="H2949" s="1172"/>
      <c r="I2949" s="1099"/>
      <c r="J2949" s="1097"/>
      <c r="K2949" s="1097"/>
      <c r="L2949" s="1151"/>
      <c r="M2949" s="1102"/>
    </row>
    <row r="2950" spans="6:13" ht="24" customHeight="1">
      <c r="F2950" s="1119"/>
      <c r="G2950" s="1149"/>
      <c r="H2950" s="1119"/>
      <c r="I2950" s="1099"/>
      <c r="J2950" s="1174"/>
      <c r="K2950" s="1097"/>
      <c r="L2950" s="1151"/>
      <c r="M2950" s="1102"/>
    </row>
    <row r="2951" spans="6:13" ht="24" customHeight="1">
      <c r="F2951" s="1119"/>
      <c r="G2951" s="1149"/>
      <c r="H2951" s="1119"/>
      <c r="I2951" s="1099"/>
      <c r="J2951" s="1097"/>
      <c r="K2951" s="1097"/>
      <c r="L2951" s="1151"/>
      <c r="M2951" s="1102"/>
    </row>
    <row r="2952" spans="6:13" ht="24" customHeight="1">
      <c r="F2952" s="1097"/>
      <c r="G2952" s="1098"/>
      <c r="H2952" s="1097"/>
      <c r="I2952" s="1099"/>
      <c r="J2952" s="1103"/>
      <c r="K2952" s="1104"/>
      <c r="L2952" s="1103"/>
      <c r="M2952" s="1103"/>
    </row>
    <row r="2953" spans="6:13" ht="24" customHeight="1">
      <c r="F2953" s="1172"/>
      <c r="G2953" s="1173"/>
      <c r="H2953" s="1172"/>
      <c r="I2953" s="1099"/>
      <c r="J2953" s="1103"/>
      <c r="K2953" s="1097"/>
      <c r="L2953" s="1103"/>
      <c r="M2953" s="1103"/>
    </row>
    <row r="2954" spans="6:13" ht="24" customHeight="1">
      <c r="F2954" s="1119"/>
      <c r="G2954" s="1149"/>
      <c r="H2954" s="1119"/>
      <c r="I2954" s="1099"/>
      <c r="J2954" s="1097"/>
      <c r="K2954" s="1097"/>
      <c r="L2954" s="1151"/>
      <c r="M2954" s="1102"/>
    </row>
    <row r="2955" spans="6:13" ht="24" customHeight="1">
      <c r="F2955" s="1097"/>
      <c r="G2955" s="1098"/>
      <c r="H2955" s="1097"/>
      <c r="I2955" s="1099"/>
      <c r="J2955" s="1097"/>
      <c r="K2955" s="1097"/>
      <c r="L2955" s="1101"/>
      <c r="M2955" s="1102"/>
    </row>
    <row r="2956" spans="6:13" ht="24" customHeight="1">
      <c r="F2956" s="1097"/>
      <c r="G2956" s="1098"/>
      <c r="H2956" s="1097"/>
      <c r="I2956" s="1099"/>
      <c r="J2956" s="1097"/>
      <c r="K2956" s="1097"/>
      <c r="L2956" s="1101"/>
      <c r="M2956" s="1102"/>
    </row>
    <row r="2957" spans="6:13" ht="24" customHeight="1">
      <c r="F2957" s="1097"/>
      <c r="G2957" s="1098"/>
      <c r="H2957" s="1097"/>
      <c r="I2957" s="1099"/>
      <c r="J2957" s="1097"/>
      <c r="K2957" s="1097"/>
      <c r="L2957" s="1101"/>
      <c r="M2957" s="1102"/>
    </row>
    <row r="2958" spans="6:13" ht="24" customHeight="1">
      <c r="F2958" s="974"/>
      <c r="G2958" s="1105"/>
      <c r="H2958" s="974"/>
      <c r="I2958" s="973"/>
      <c r="J2958" s="973"/>
      <c r="K2958" s="1097"/>
      <c r="L2958" s="1101"/>
      <c r="M2958" s="1102"/>
    </row>
    <row r="2959" spans="6:13" ht="24" customHeight="1">
      <c r="F2959" s="1097"/>
      <c r="G2959" s="1098"/>
      <c r="H2959" s="1097"/>
      <c r="I2959" s="1099"/>
      <c r="J2959" s="973"/>
      <c r="K2959" s="1097"/>
      <c r="L2959" s="1101"/>
      <c r="M2959" s="1102"/>
    </row>
    <row r="2960" spans="6:13" ht="24" customHeight="1">
      <c r="F2960" s="1097"/>
      <c r="G2960" s="1098"/>
      <c r="H2960" s="1097"/>
      <c r="I2960" s="1099"/>
      <c r="J2960" s="973"/>
      <c r="K2960" s="1097"/>
      <c r="L2960" s="1101"/>
      <c r="M2960" s="1102"/>
    </row>
    <row r="2961" spans="1:255" ht="24" customHeight="1">
      <c r="F2961" s="1097"/>
      <c r="G2961" s="1098"/>
      <c r="H2961" s="1097"/>
      <c r="I2961" s="1099"/>
      <c r="J2961" s="1106"/>
      <c r="K2961" s="1172"/>
      <c r="L2961" s="1101"/>
      <c r="M2961" s="1102"/>
    </row>
    <row r="2962" spans="1:255" ht="24" customHeight="1">
      <c r="F2962" s="1097"/>
      <c r="G2962" s="1098"/>
      <c r="H2962" s="1097"/>
      <c r="I2962" s="1099"/>
      <c r="J2962" s="973"/>
      <c r="K2962" s="1097"/>
      <c r="L2962" s="1101"/>
      <c r="M2962" s="1102"/>
    </row>
    <row r="2963" spans="1:255" ht="24" customHeight="1">
      <c r="F2963" s="1097"/>
      <c r="G2963" s="1098"/>
      <c r="H2963" s="1097"/>
      <c r="I2963" s="1099"/>
      <c r="J2963" s="1097"/>
      <c r="K2963" s="1097"/>
      <c r="L2963" s="1101"/>
      <c r="M2963" s="1102"/>
    </row>
    <row r="2964" spans="1:255" ht="44.25" customHeight="1">
      <c r="F2964" s="1119"/>
      <c r="G2964" s="1149"/>
      <c r="H2964" s="1119"/>
      <c r="I2964" s="973"/>
      <c r="J2964" s="1116"/>
      <c r="K2964" s="1175"/>
      <c r="L2964" s="974"/>
      <c r="M2964" s="1102"/>
    </row>
    <row r="2965" spans="1:255" ht="24" customHeight="1">
      <c r="F2965" s="1144"/>
      <c r="G2965" s="1163"/>
      <c r="H2965" s="1144"/>
      <c r="I2965" s="973"/>
      <c r="J2965" s="973"/>
      <c r="K2965" s="1097"/>
      <c r="L2965" s="974"/>
      <c r="M2965" s="1109"/>
      <c r="Q2965" s="973"/>
    </row>
    <row r="2966" spans="1:255" ht="24" customHeight="1">
      <c r="F2966" s="968"/>
      <c r="G2966" s="1107"/>
      <c r="H2966" s="968"/>
      <c r="I2966" s="973"/>
      <c r="J2966" s="973"/>
      <c r="K2966" s="1097"/>
      <c r="L2966" s="974"/>
      <c r="M2966" s="1109"/>
      <c r="Q2966" s="973"/>
    </row>
    <row r="2967" spans="1:255" ht="24" customHeight="1">
      <c r="F2967" s="968"/>
      <c r="G2967" s="1107"/>
      <c r="H2967" s="968"/>
      <c r="I2967" s="973"/>
      <c r="J2967" s="973"/>
      <c r="K2967" s="1097"/>
      <c r="L2967" s="974"/>
      <c r="M2967" s="1109"/>
      <c r="Q2967" s="973"/>
    </row>
    <row r="2968" spans="1:255" ht="24" customHeight="1">
      <c r="F2968" s="968"/>
      <c r="G2968" s="1107"/>
      <c r="H2968" s="968"/>
      <c r="I2968" s="973"/>
      <c r="J2968" s="973"/>
      <c r="K2968" s="1097"/>
      <c r="L2968" s="974"/>
      <c r="M2968" s="1109"/>
      <c r="Q2968" s="1106"/>
    </row>
    <row r="2969" spans="1:255" ht="24" customHeight="1">
      <c r="F2969" s="968"/>
      <c r="G2969" s="1107"/>
      <c r="H2969" s="968"/>
      <c r="I2969" s="973"/>
      <c r="J2969" s="973"/>
      <c r="K2969" s="1097"/>
      <c r="L2969" s="974"/>
      <c r="M2969" s="1109"/>
      <c r="Q2969" s="973"/>
    </row>
    <row r="2970" spans="1:255" s="877" customFormat="1" ht="24" customHeight="1">
      <c r="A2970" s="501"/>
      <c r="B2970" s="501"/>
      <c r="C2970" s="501"/>
      <c r="D2970" s="501"/>
      <c r="E2970" s="501"/>
      <c r="F2970" s="968"/>
      <c r="G2970" s="1107"/>
      <c r="H2970" s="968"/>
      <c r="I2970" s="973"/>
      <c r="J2970" s="973"/>
      <c r="K2970" s="1097"/>
      <c r="L2970" s="974"/>
      <c r="M2970" s="1109"/>
      <c r="N2970" s="501"/>
      <c r="O2970" s="501"/>
      <c r="P2970" s="501"/>
      <c r="Q2970" s="501"/>
      <c r="R2970" s="501"/>
      <c r="S2970" s="501"/>
      <c r="T2970" s="501"/>
      <c r="V2970" s="501"/>
      <c r="W2970" s="501"/>
      <c r="X2970" s="501"/>
      <c r="Y2970" s="501"/>
      <c r="Z2970" s="501"/>
      <c r="AA2970" s="501"/>
      <c r="AB2970" s="501"/>
      <c r="AC2970" s="501"/>
      <c r="AD2970" s="501"/>
      <c r="AE2970" s="501"/>
      <c r="AF2970" s="501"/>
      <c r="AG2970" s="501"/>
      <c r="AH2970" s="501"/>
      <c r="AI2970" s="501"/>
      <c r="AJ2970" s="501"/>
      <c r="AK2970" s="501"/>
      <c r="AL2970" s="501"/>
      <c r="AM2970" s="501"/>
      <c r="AN2970" s="501"/>
      <c r="AO2970" s="501"/>
      <c r="AP2970" s="501"/>
      <c r="AQ2970" s="501"/>
      <c r="AR2970" s="501"/>
      <c r="AS2970" s="501"/>
      <c r="AT2970" s="501"/>
      <c r="AU2970" s="501"/>
      <c r="AV2970" s="501"/>
      <c r="AW2970" s="501"/>
      <c r="AX2970" s="501"/>
      <c r="AY2970" s="501"/>
      <c r="AZ2970" s="501"/>
      <c r="BA2970" s="501"/>
      <c r="BB2970" s="501"/>
      <c r="BC2970" s="501"/>
      <c r="BD2970" s="501"/>
      <c r="BE2970" s="501"/>
      <c r="BF2970" s="501"/>
      <c r="BG2970" s="501"/>
      <c r="BH2970" s="501"/>
      <c r="BI2970" s="501"/>
      <c r="BJ2970" s="501"/>
      <c r="BK2970" s="501"/>
      <c r="BL2970" s="501"/>
      <c r="BM2970" s="501"/>
      <c r="BN2970" s="501"/>
      <c r="BO2970" s="501"/>
      <c r="BP2970" s="501"/>
      <c r="BQ2970" s="501"/>
      <c r="BR2970" s="501"/>
      <c r="BS2970" s="501"/>
      <c r="BT2970" s="501"/>
      <c r="BU2970" s="501"/>
      <c r="BV2970" s="501"/>
      <c r="BW2970" s="501"/>
      <c r="BX2970" s="501"/>
      <c r="BY2970" s="501"/>
      <c r="BZ2970" s="501"/>
      <c r="CA2970" s="501"/>
      <c r="CB2970" s="501"/>
      <c r="CC2970" s="501"/>
      <c r="CD2970" s="501"/>
      <c r="CE2970" s="501"/>
      <c r="CF2970" s="501"/>
      <c r="CG2970" s="501"/>
      <c r="CH2970" s="501"/>
      <c r="CI2970" s="501"/>
      <c r="CJ2970" s="501"/>
      <c r="CK2970" s="501"/>
      <c r="CL2970" s="501"/>
      <c r="CM2970" s="501"/>
      <c r="CN2970" s="501"/>
      <c r="CO2970" s="501"/>
      <c r="CP2970" s="501"/>
      <c r="CQ2970" s="501"/>
      <c r="CR2970" s="501"/>
      <c r="CS2970" s="501"/>
      <c r="CT2970" s="501"/>
      <c r="CU2970" s="501"/>
      <c r="CV2970" s="501"/>
      <c r="CW2970" s="501"/>
      <c r="CX2970" s="501"/>
      <c r="CY2970" s="501"/>
      <c r="CZ2970" s="501"/>
      <c r="DA2970" s="501"/>
      <c r="DB2970" s="501"/>
      <c r="DC2970" s="501"/>
      <c r="DD2970" s="501"/>
      <c r="DE2970" s="501"/>
      <c r="DF2970" s="501"/>
      <c r="DG2970" s="501"/>
      <c r="DH2970" s="501"/>
      <c r="DI2970" s="501"/>
      <c r="DJ2970" s="501"/>
      <c r="DK2970" s="501"/>
      <c r="DL2970" s="501"/>
      <c r="DM2970" s="501"/>
      <c r="DN2970" s="501"/>
      <c r="DO2970" s="501"/>
      <c r="DP2970" s="501"/>
      <c r="DQ2970" s="501"/>
      <c r="DR2970" s="501"/>
      <c r="DS2970" s="501"/>
      <c r="DT2970" s="501"/>
      <c r="DU2970" s="501"/>
      <c r="DV2970" s="501"/>
      <c r="DW2970" s="501"/>
      <c r="DX2970" s="501"/>
      <c r="DY2970" s="501"/>
      <c r="DZ2970" s="501"/>
      <c r="EA2970" s="501"/>
      <c r="EB2970" s="501"/>
      <c r="EC2970" s="501"/>
      <c r="ED2970" s="501"/>
      <c r="EE2970" s="501"/>
      <c r="EF2970" s="501"/>
      <c r="EG2970" s="501"/>
      <c r="EH2970" s="501"/>
      <c r="EI2970" s="501"/>
      <c r="EJ2970" s="501"/>
      <c r="EK2970" s="501"/>
      <c r="EL2970" s="501"/>
      <c r="EM2970" s="501"/>
      <c r="EN2970" s="501"/>
      <c r="EO2970" s="501"/>
      <c r="EP2970" s="501"/>
      <c r="EQ2970" s="501"/>
      <c r="ER2970" s="501"/>
      <c r="ES2970" s="501"/>
      <c r="ET2970" s="501"/>
      <c r="EU2970" s="501"/>
      <c r="EV2970" s="501"/>
      <c r="EW2970" s="501"/>
      <c r="EX2970" s="501"/>
      <c r="EY2970" s="501"/>
      <c r="EZ2970" s="501"/>
      <c r="FA2970" s="501"/>
      <c r="FB2970" s="501"/>
      <c r="FC2970" s="501"/>
      <c r="FD2970" s="501"/>
      <c r="FE2970" s="501"/>
      <c r="FF2970" s="501"/>
      <c r="FG2970" s="501"/>
      <c r="FH2970" s="501"/>
      <c r="FI2970" s="501"/>
      <c r="FJ2970" s="501"/>
      <c r="FK2970" s="501"/>
      <c r="FL2970" s="501"/>
      <c r="FM2970" s="501"/>
      <c r="FN2970" s="501"/>
      <c r="FO2970" s="501"/>
      <c r="FP2970" s="501"/>
      <c r="FQ2970" s="501"/>
      <c r="FR2970" s="501"/>
      <c r="FS2970" s="501"/>
      <c r="FT2970" s="501"/>
      <c r="FU2970" s="501"/>
      <c r="FV2970" s="501"/>
      <c r="FW2970" s="501"/>
      <c r="FX2970" s="501"/>
      <c r="FY2970" s="501"/>
      <c r="FZ2970" s="501"/>
      <c r="GA2970" s="501"/>
      <c r="GB2970" s="501"/>
      <c r="GC2970" s="501"/>
      <c r="GD2970" s="501"/>
      <c r="GE2970" s="501"/>
      <c r="GF2970" s="501"/>
      <c r="GG2970" s="501"/>
      <c r="GH2970" s="501"/>
      <c r="GI2970" s="501"/>
      <c r="GJ2970" s="501"/>
      <c r="GK2970" s="501"/>
      <c r="GL2970" s="501"/>
      <c r="GM2970" s="501"/>
      <c r="GN2970" s="501"/>
      <c r="GO2970" s="501"/>
      <c r="GP2970" s="501"/>
      <c r="GQ2970" s="501"/>
      <c r="GR2970" s="501"/>
      <c r="GS2970" s="501"/>
      <c r="GT2970" s="501"/>
      <c r="GU2970" s="501"/>
      <c r="GV2970" s="501"/>
      <c r="GW2970" s="501"/>
      <c r="GX2970" s="501"/>
      <c r="GY2970" s="501"/>
      <c r="GZ2970" s="501"/>
      <c r="HA2970" s="501"/>
      <c r="HB2970" s="501"/>
      <c r="HC2970" s="501"/>
      <c r="HD2970" s="501"/>
      <c r="HE2970" s="501"/>
      <c r="HF2970" s="501"/>
      <c r="HG2970" s="501"/>
      <c r="HH2970" s="501"/>
      <c r="HI2970" s="501"/>
      <c r="HJ2970" s="501"/>
      <c r="HK2970" s="501"/>
      <c r="HL2970" s="501"/>
      <c r="HM2970" s="501"/>
      <c r="HN2970" s="501"/>
      <c r="HO2970" s="501"/>
      <c r="HP2970" s="501"/>
      <c r="HQ2970" s="501"/>
      <c r="HR2970" s="501"/>
      <c r="HS2970" s="501"/>
      <c r="HT2970" s="501"/>
      <c r="HU2970" s="501"/>
      <c r="HV2970" s="501"/>
      <c r="HW2970" s="501"/>
      <c r="HX2970" s="501"/>
      <c r="HY2970" s="501"/>
      <c r="HZ2970" s="501"/>
      <c r="IA2970" s="501"/>
      <c r="IB2970" s="501"/>
      <c r="IC2970" s="501"/>
      <c r="ID2970" s="501"/>
      <c r="IE2970" s="501"/>
      <c r="IF2970" s="501"/>
      <c r="IG2970" s="501"/>
      <c r="IH2970" s="501"/>
      <c r="II2970" s="501"/>
      <c r="IJ2970" s="501"/>
      <c r="IK2970" s="501"/>
      <c r="IL2970" s="501"/>
      <c r="IM2970" s="501"/>
      <c r="IN2970" s="501"/>
      <c r="IO2970" s="501"/>
      <c r="IP2970" s="501"/>
      <c r="IQ2970" s="501"/>
      <c r="IR2970" s="501"/>
      <c r="IS2970" s="501"/>
      <c r="IT2970" s="501"/>
      <c r="IU2970" s="501"/>
    </row>
    <row r="2971" spans="1:255" s="877" customFormat="1" ht="24" customHeight="1">
      <c r="A2971" s="501"/>
      <c r="B2971" s="501"/>
      <c r="C2971" s="501"/>
      <c r="D2971" s="501"/>
      <c r="E2971" s="501"/>
      <c r="F2971" s="968"/>
      <c r="G2971" s="1107"/>
      <c r="H2971" s="968"/>
      <c r="I2971" s="973"/>
      <c r="J2971" s="973"/>
      <c r="K2971" s="1097"/>
      <c r="L2971" s="974"/>
      <c r="M2971" s="1109"/>
      <c r="N2971" s="501"/>
      <c r="O2971" s="1119"/>
      <c r="P2971" s="1152"/>
      <c r="Q2971" s="1116"/>
      <c r="R2971" s="1097"/>
      <c r="S2971" s="974"/>
      <c r="T2971" s="1097"/>
      <c r="V2971" s="501"/>
      <c r="W2971" s="501"/>
      <c r="X2971" s="501"/>
      <c r="Y2971" s="501"/>
      <c r="Z2971" s="501"/>
      <c r="AA2971" s="501"/>
      <c r="AB2971" s="501"/>
      <c r="AC2971" s="501"/>
      <c r="AD2971" s="501"/>
      <c r="AE2971" s="501"/>
      <c r="AF2971" s="501"/>
      <c r="AG2971" s="501"/>
      <c r="AH2971" s="501"/>
      <c r="AI2971" s="501"/>
      <c r="AJ2971" s="501"/>
      <c r="AK2971" s="501"/>
      <c r="AL2971" s="501"/>
      <c r="AM2971" s="501"/>
      <c r="AN2971" s="501"/>
      <c r="AO2971" s="501"/>
      <c r="AP2971" s="501"/>
      <c r="AQ2971" s="501"/>
      <c r="AR2971" s="501"/>
      <c r="AS2971" s="501"/>
      <c r="AT2971" s="501"/>
      <c r="AU2971" s="501"/>
      <c r="AV2971" s="501"/>
      <c r="AW2971" s="501"/>
      <c r="AX2971" s="501"/>
      <c r="AY2971" s="501"/>
      <c r="AZ2971" s="501"/>
      <c r="BA2971" s="501"/>
      <c r="BB2971" s="501"/>
      <c r="BC2971" s="501"/>
      <c r="BD2971" s="501"/>
      <c r="BE2971" s="501"/>
      <c r="BF2971" s="501"/>
      <c r="BG2971" s="501"/>
      <c r="BH2971" s="501"/>
      <c r="BI2971" s="501"/>
      <c r="BJ2971" s="501"/>
      <c r="BK2971" s="501"/>
      <c r="BL2971" s="501"/>
      <c r="BM2971" s="501"/>
      <c r="BN2971" s="501"/>
      <c r="BO2971" s="501"/>
      <c r="BP2971" s="501"/>
      <c r="BQ2971" s="501"/>
      <c r="BR2971" s="501"/>
      <c r="BS2971" s="501"/>
      <c r="BT2971" s="501"/>
      <c r="BU2971" s="501"/>
      <c r="BV2971" s="501"/>
      <c r="BW2971" s="501"/>
      <c r="BX2971" s="501"/>
      <c r="BY2971" s="501"/>
      <c r="BZ2971" s="501"/>
      <c r="CA2971" s="501"/>
      <c r="CB2971" s="501"/>
      <c r="CC2971" s="501"/>
      <c r="CD2971" s="501"/>
      <c r="CE2971" s="501"/>
      <c r="CF2971" s="501"/>
      <c r="CG2971" s="501"/>
      <c r="CH2971" s="501"/>
      <c r="CI2971" s="501"/>
      <c r="CJ2971" s="501"/>
      <c r="CK2971" s="501"/>
      <c r="CL2971" s="501"/>
      <c r="CM2971" s="501"/>
      <c r="CN2971" s="501"/>
      <c r="CO2971" s="501"/>
      <c r="CP2971" s="501"/>
      <c r="CQ2971" s="501"/>
      <c r="CR2971" s="501"/>
      <c r="CS2971" s="501"/>
      <c r="CT2971" s="501"/>
      <c r="CU2971" s="501"/>
      <c r="CV2971" s="501"/>
      <c r="CW2971" s="501"/>
      <c r="CX2971" s="501"/>
      <c r="CY2971" s="501"/>
      <c r="CZ2971" s="501"/>
      <c r="DA2971" s="501"/>
      <c r="DB2971" s="501"/>
      <c r="DC2971" s="501"/>
      <c r="DD2971" s="501"/>
      <c r="DE2971" s="501"/>
      <c r="DF2971" s="501"/>
      <c r="DG2971" s="501"/>
      <c r="DH2971" s="501"/>
      <c r="DI2971" s="501"/>
      <c r="DJ2971" s="501"/>
      <c r="DK2971" s="501"/>
      <c r="DL2971" s="501"/>
      <c r="DM2971" s="501"/>
      <c r="DN2971" s="501"/>
      <c r="DO2971" s="501"/>
      <c r="DP2971" s="501"/>
      <c r="DQ2971" s="501"/>
      <c r="DR2971" s="501"/>
      <c r="DS2971" s="501"/>
      <c r="DT2971" s="501"/>
      <c r="DU2971" s="501"/>
      <c r="DV2971" s="501"/>
      <c r="DW2971" s="501"/>
      <c r="DX2971" s="501"/>
      <c r="DY2971" s="501"/>
      <c r="DZ2971" s="501"/>
      <c r="EA2971" s="501"/>
      <c r="EB2971" s="501"/>
      <c r="EC2971" s="501"/>
      <c r="ED2971" s="501"/>
      <c r="EE2971" s="501"/>
      <c r="EF2971" s="501"/>
      <c r="EG2971" s="501"/>
      <c r="EH2971" s="501"/>
      <c r="EI2971" s="501"/>
      <c r="EJ2971" s="501"/>
      <c r="EK2971" s="501"/>
      <c r="EL2971" s="501"/>
      <c r="EM2971" s="501"/>
      <c r="EN2971" s="501"/>
      <c r="EO2971" s="501"/>
      <c r="EP2971" s="501"/>
      <c r="EQ2971" s="501"/>
      <c r="ER2971" s="501"/>
      <c r="ES2971" s="501"/>
      <c r="ET2971" s="501"/>
      <c r="EU2971" s="501"/>
      <c r="EV2971" s="501"/>
      <c r="EW2971" s="501"/>
      <c r="EX2971" s="501"/>
      <c r="EY2971" s="501"/>
      <c r="EZ2971" s="501"/>
      <c r="FA2971" s="501"/>
      <c r="FB2971" s="501"/>
      <c r="FC2971" s="501"/>
      <c r="FD2971" s="501"/>
      <c r="FE2971" s="501"/>
      <c r="FF2971" s="501"/>
      <c r="FG2971" s="501"/>
      <c r="FH2971" s="501"/>
      <c r="FI2971" s="501"/>
      <c r="FJ2971" s="501"/>
      <c r="FK2971" s="501"/>
      <c r="FL2971" s="501"/>
      <c r="FM2971" s="501"/>
      <c r="FN2971" s="501"/>
      <c r="FO2971" s="501"/>
      <c r="FP2971" s="501"/>
      <c r="FQ2971" s="501"/>
      <c r="FR2971" s="501"/>
      <c r="FS2971" s="501"/>
      <c r="FT2971" s="501"/>
      <c r="FU2971" s="501"/>
      <c r="FV2971" s="501"/>
      <c r="FW2971" s="501"/>
      <c r="FX2971" s="501"/>
      <c r="FY2971" s="501"/>
      <c r="FZ2971" s="501"/>
      <c r="GA2971" s="501"/>
      <c r="GB2971" s="501"/>
      <c r="GC2971" s="501"/>
      <c r="GD2971" s="501"/>
      <c r="GE2971" s="501"/>
      <c r="GF2971" s="501"/>
      <c r="GG2971" s="501"/>
      <c r="GH2971" s="501"/>
      <c r="GI2971" s="501"/>
      <c r="GJ2971" s="501"/>
      <c r="GK2971" s="501"/>
      <c r="GL2971" s="501"/>
      <c r="GM2971" s="501"/>
      <c r="GN2971" s="501"/>
      <c r="GO2971" s="501"/>
      <c r="GP2971" s="501"/>
      <c r="GQ2971" s="501"/>
      <c r="GR2971" s="501"/>
      <c r="GS2971" s="501"/>
      <c r="GT2971" s="501"/>
      <c r="GU2971" s="501"/>
      <c r="GV2971" s="501"/>
      <c r="GW2971" s="501"/>
      <c r="GX2971" s="501"/>
      <c r="GY2971" s="501"/>
      <c r="GZ2971" s="501"/>
      <c r="HA2971" s="501"/>
      <c r="HB2971" s="501"/>
      <c r="HC2971" s="501"/>
      <c r="HD2971" s="501"/>
      <c r="HE2971" s="501"/>
      <c r="HF2971" s="501"/>
      <c r="HG2971" s="501"/>
      <c r="HH2971" s="501"/>
      <c r="HI2971" s="501"/>
      <c r="HJ2971" s="501"/>
      <c r="HK2971" s="501"/>
      <c r="HL2971" s="501"/>
      <c r="HM2971" s="501"/>
      <c r="HN2971" s="501"/>
      <c r="HO2971" s="501"/>
      <c r="HP2971" s="501"/>
      <c r="HQ2971" s="501"/>
      <c r="HR2971" s="501"/>
      <c r="HS2971" s="501"/>
      <c r="HT2971" s="501"/>
      <c r="HU2971" s="501"/>
      <c r="HV2971" s="501"/>
      <c r="HW2971" s="501"/>
      <c r="HX2971" s="501"/>
      <c r="HY2971" s="501"/>
      <c r="HZ2971" s="501"/>
      <c r="IA2971" s="501"/>
      <c r="IB2971" s="501"/>
      <c r="IC2971" s="501"/>
      <c r="ID2971" s="501"/>
      <c r="IE2971" s="501"/>
      <c r="IF2971" s="501"/>
      <c r="IG2971" s="501"/>
      <c r="IH2971" s="501"/>
      <c r="II2971" s="501"/>
      <c r="IJ2971" s="501"/>
      <c r="IK2971" s="501"/>
      <c r="IL2971" s="501"/>
      <c r="IM2971" s="501"/>
      <c r="IN2971" s="501"/>
      <c r="IO2971" s="501"/>
      <c r="IP2971" s="501"/>
      <c r="IQ2971" s="501"/>
      <c r="IR2971" s="501"/>
      <c r="IS2971" s="501"/>
      <c r="IT2971" s="501"/>
      <c r="IU2971" s="501"/>
    </row>
    <row r="2972" spans="1:255" s="877" customFormat="1" ht="24" customHeight="1">
      <c r="A2972" s="501"/>
      <c r="B2972" s="501"/>
      <c r="C2972" s="501"/>
      <c r="D2972" s="501"/>
      <c r="E2972" s="501"/>
      <c r="F2972" s="1097"/>
      <c r="G2972" s="1098"/>
      <c r="H2972" s="1097"/>
      <c r="I2972" s="1099"/>
      <c r="J2972" s="1097"/>
      <c r="K2972" s="1097"/>
      <c r="L2972" s="1101"/>
      <c r="M2972" s="1109"/>
      <c r="N2972" s="501"/>
      <c r="O2972" s="1144"/>
      <c r="P2972" s="1152"/>
      <c r="Q2972" s="973"/>
      <c r="R2972" s="1097"/>
      <c r="S2972" s="974"/>
      <c r="T2972" s="968"/>
      <c r="V2972" s="501"/>
      <c r="W2972" s="501"/>
      <c r="X2972" s="501"/>
      <c r="Y2972" s="501"/>
      <c r="Z2972" s="501"/>
      <c r="AA2972" s="501"/>
      <c r="AB2972" s="501"/>
      <c r="AC2972" s="501"/>
      <c r="AD2972" s="501"/>
      <c r="AE2972" s="501"/>
      <c r="AF2972" s="501"/>
      <c r="AG2972" s="501"/>
      <c r="AH2972" s="501"/>
      <c r="AI2972" s="501"/>
      <c r="AJ2972" s="501"/>
      <c r="AK2972" s="501"/>
      <c r="AL2972" s="501"/>
      <c r="AM2972" s="501"/>
      <c r="AN2972" s="501"/>
      <c r="AO2972" s="501"/>
      <c r="AP2972" s="501"/>
      <c r="AQ2972" s="501"/>
      <c r="AR2972" s="501"/>
      <c r="AS2972" s="501"/>
      <c r="AT2972" s="501"/>
      <c r="AU2972" s="501"/>
      <c r="AV2972" s="501"/>
      <c r="AW2972" s="501"/>
      <c r="AX2972" s="501"/>
      <c r="AY2972" s="501"/>
      <c r="AZ2972" s="501"/>
      <c r="BA2972" s="501"/>
      <c r="BB2972" s="501"/>
      <c r="BC2972" s="501"/>
      <c r="BD2972" s="501"/>
      <c r="BE2972" s="501"/>
      <c r="BF2972" s="501"/>
      <c r="BG2972" s="501"/>
      <c r="BH2972" s="501"/>
      <c r="BI2972" s="501"/>
      <c r="BJ2972" s="501"/>
      <c r="BK2972" s="501"/>
      <c r="BL2972" s="501"/>
      <c r="BM2972" s="501"/>
      <c r="BN2972" s="501"/>
      <c r="BO2972" s="501"/>
      <c r="BP2972" s="501"/>
      <c r="BQ2972" s="501"/>
      <c r="BR2972" s="501"/>
      <c r="BS2972" s="501"/>
      <c r="BT2972" s="501"/>
      <c r="BU2972" s="501"/>
      <c r="BV2972" s="501"/>
      <c r="BW2972" s="501"/>
      <c r="BX2972" s="501"/>
      <c r="BY2972" s="501"/>
      <c r="BZ2972" s="501"/>
      <c r="CA2972" s="501"/>
      <c r="CB2972" s="501"/>
      <c r="CC2972" s="501"/>
      <c r="CD2972" s="501"/>
      <c r="CE2972" s="501"/>
      <c r="CF2972" s="501"/>
      <c r="CG2972" s="501"/>
      <c r="CH2972" s="501"/>
      <c r="CI2972" s="501"/>
      <c r="CJ2972" s="501"/>
      <c r="CK2972" s="501"/>
      <c r="CL2972" s="501"/>
      <c r="CM2972" s="501"/>
      <c r="CN2972" s="501"/>
      <c r="CO2972" s="501"/>
      <c r="CP2972" s="501"/>
      <c r="CQ2972" s="501"/>
      <c r="CR2972" s="501"/>
      <c r="CS2972" s="501"/>
      <c r="CT2972" s="501"/>
      <c r="CU2972" s="501"/>
      <c r="CV2972" s="501"/>
      <c r="CW2972" s="501"/>
      <c r="CX2972" s="501"/>
      <c r="CY2972" s="501"/>
      <c r="CZ2972" s="501"/>
      <c r="DA2972" s="501"/>
      <c r="DB2972" s="501"/>
      <c r="DC2972" s="501"/>
      <c r="DD2972" s="501"/>
      <c r="DE2972" s="501"/>
      <c r="DF2972" s="501"/>
      <c r="DG2972" s="501"/>
      <c r="DH2972" s="501"/>
      <c r="DI2972" s="501"/>
      <c r="DJ2972" s="501"/>
      <c r="DK2972" s="501"/>
      <c r="DL2972" s="501"/>
      <c r="DM2972" s="501"/>
      <c r="DN2972" s="501"/>
      <c r="DO2972" s="501"/>
      <c r="DP2972" s="501"/>
      <c r="DQ2972" s="501"/>
      <c r="DR2972" s="501"/>
      <c r="DS2972" s="501"/>
      <c r="DT2972" s="501"/>
      <c r="DU2972" s="501"/>
      <c r="DV2972" s="501"/>
      <c r="DW2972" s="501"/>
      <c r="DX2972" s="501"/>
      <c r="DY2972" s="501"/>
      <c r="DZ2972" s="501"/>
      <c r="EA2972" s="501"/>
      <c r="EB2972" s="501"/>
      <c r="EC2972" s="501"/>
      <c r="ED2972" s="501"/>
      <c r="EE2972" s="501"/>
      <c r="EF2972" s="501"/>
      <c r="EG2972" s="501"/>
      <c r="EH2972" s="501"/>
      <c r="EI2972" s="501"/>
      <c r="EJ2972" s="501"/>
      <c r="EK2972" s="501"/>
      <c r="EL2972" s="501"/>
      <c r="EM2972" s="501"/>
      <c r="EN2972" s="501"/>
      <c r="EO2972" s="501"/>
      <c r="EP2972" s="501"/>
      <c r="EQ2972" s="501"/>
      <c r="ER2972" s="501"/>
      <c r="ES2972" s="501"/>
      <c r="ET2972" s="501"/>
      <c r="EU2972" s="501"/>
      <c r="EV2972" s="501"/>
      <c r="EW2972" s="501"/>
      <c r="EX2972" s="501"/>
      <c r="EY2972" s="501"/>
      <c r="EZ2972" s="501"/>
      <c r="FA2972" s="501"/>
      <c r="FB2972" s="501"/>
      <c r="FC2972" s="501"/>
      <c r="FD2972" s="501"/>
      <c r="FE2972" s="501"/>
      <c r="FF2972" s="501"/>
      <c r="FG2972" s="501"/>
      <c r="FH2972" s="501"/>
      <c r="FI2972" s="501"/>
      <c r="FJ2972" s="501"/>
      <c r="FK2972" s="501"/>
      <c r="FL2972" s="501"/>
      <c r="FM2972" s="501"/>
      <c r="FN2972" s="501"/>
      <c r="FO2972" s="501"/>
      <c r="FP2972" s="501"/>
      <c r="FQ2972" s="501"/>
      <c r="FR2972" s="501"/>
      <c r="FS2972" s="501"/>
      <c r="FT2972" s="501"/>
      <c r="FU2972" s="501"/>
      <c r="FV2972" s="501"/>
      <c r="FW2972" s="501"/>
      <c r="FX2972" s="501"/>
      <c r="FY2972" s="501"/>
      <c r="FZ2972" s="501"/>
      <c r="GA2972" s="501"/>
      <c r="GB2972" s="501"/>
      <c r="GC2972" s="501"/>
      <c r="GD2972" s="501"/>
      <c r="GE2972" s="501"/>
      <c r="GF2972" s="501"/>
      <c r="GG2972" s="501"/>
      <c r="GH2972" s="501"/>
      <c r="GI2972" s="501"/>
      <c r="GJ2972" s="501"/>
      <c r="GK2972" s="501"/>
      <c r="GL2972" s="501"/>
      <c r="GM2972" s="501"/>
      <c r="GN2972" s="501"/>
      <c r="GO2972" s="501"/>
      <c r="GP2972" s="501"/>
      <c r="GQ2972" s="501"/>
      <c r="GR2972" s="501"/>
      <c r="GS2972" s="501"/>
      <c r="GT2972" s="501"/>
      <c r="GU2972" s="501"/>
      <c r="GV2972" s="501"/>
      <c r="GW2972" s="501"/>
      <c r="GX2972" s="501"/>
      <c r="GY2972" s="501"/>
      <c r="GZ2972" s="501"/>
      <c r="HA2972" s="501"/>
      <c r="HB2972" s="501"/>
      <c r="HC2972" s="501"/>
      <c r="HD2972" s="501"/>
      <c r="HE2972" s="501"/>
      <c r="HF2972" s="501"/>
      <c r="HG2972" s="501"/>
      <c r="HH2972" s="501"/>
      <c r="HI2972" s="501"/>
      <c r="HJ2972" s="501"/>
      <c r="HK2972" s="501"/>
      <c r="HL2972" s="501"/>
      <c r="HM2972" s="501"/>
      <c r="HN2972" s="501"/>
      <c r="HO2972" s="501"/>
      <c r="HP2972" s="501"/>
      <c r="HQ2972" s="501"/>
      <c r="HR2972" s="501"/>
      <c r="HS2972" s="501"/>
      <c r="HT2972" s="501"/>
      <c r="HU2972" s="501"/>
      <c r="HV2972" s="501"/>
      <c r="HW2972" s="501"/>
      <c r="HX2972" s="501"/>
      <c r="HY2972" s="501"/>
      <c r="HZ2972" s="501"/>
      <c r="IA2972" s="501"/>
      <c r="IB2972" s="501"/>
      <c r="IC2972" s="501"/>
      <c r="ID2972" s="501"/>
      <c r="IE2972" s="501"/>
      <c r="IF2972" s="501"/>
      <c r="IG2972" s="501"/>
      <c r="IH2972" s="501"/>
      <c r="II2972" s="501"/>
      <c r="IJ2972" s="501"/>
      <c r="IK2972" s="501"/>
      <c r="IL2972" s="501"/>
      <c r="IM2972" s="501"/>
      <c r="IN2972" s="501"/>
      <c r="IO2972" s="501"/>
      <c r="IP2972" s="501"/>
      <c r="IQ2972" s="501"/>
      <c r="IR2972" s="501"/>
      <c r="IS2972" s="501"/>
      <c r="IT2972" s="501"/>
      <c r="IU2972" s="501"/>
    </row>
    <row r="2973" spans="1:255" s="877" customFormat="1" ht="24" customHeight="1">
      <c r="A2973" s="501"/>
      <c r="B2973" s="501"/>
      <c r="C2973" s="501"/>
      <c r="D2973" s="501"/>
      <c r="E2973" s="501"/>
      <c r="F2973" s="1097"/>
      <c r="G2973" s="1098"/>
      <c r="H2973" s="1097"/>
      <c r="I2973" s="1099"/>
      <c r="J2973" s="973"/>
      <c r="K2973" s="1097"/>
      <c r="L2973" s="1101"/>
      <c r="M2973" s="1109"/>
      <c r="N2973" s="501"/>
      <c r="O2973" s="968"/>
      <c r="P2973" s="1152"/>
      <c r="Q2973" s="973"/>
      <c r="R2973" s="1097"/>
      <c r="S2973" s="974"/>
      <c r="T2973" s="968"/>
      <c r="V2973" s="501"/>
      <c r="W2973" s="501"/>
      <c r="X2973" s="501"/>
      <c r="Y2973" s="501"/>
      <c r="Z2973" s="501"/>
      <c r="AA2973" s="501"/>
      <c r="AB2973" s="501"/>
      <c r="AC2973" s="501"/>
      <c r="AD2973" s="501"/>
      <c r="AE2973" s="501"/>
      <c r="AF2973" s="501"/>
      <c r="AG2973" s="501"/>
      <c r="AH2973" s="501"/>
      <c r="AI2973" s="501"/>
      <c r="AJ2973" s="501"/>
      <c r="AK2973" s="501"/>
      <c r="AL2973" s="501"/>
      <c r="AM2973" s="501"/>
      <c r="AN2973" s="501"/>
      <c r="AO2973" s="501"/>
      <c r="AP2973" s="501"/>
      <c r="AQ2973" s="501"/>
      <c r="AR2973" s="501"/>
      <c r="AS2973" s="501"/>
      <c r="AT2973" s="501"/>
      <c r="AU2973" s="501"/>
      <c r="AV2973" s="501"/>
      <c r="AW2973" s="501"/>
      <c r="AX2973" s="501"/>
      <c r="AY2973" s="501"/>
      <c r="AZ2973" s="501"/>
      <c r="BA2973" s="501"/>
      <c r="BB2973" s="501"/>
      <c r="BC2973" s="501"/>
      <c r="BD2973" s="501"/>
      <c r="BE2973" s="501"/>
      <c r="BF2973" s="501"/>
      <c r="BG2973" s="501"/>
      <c r="BH2973" s="501"/>
      <c r="BI2973" s="501"/>
      <c r="BJ2973" s="501"/>
      <c r="BK2973" s="501"/>
      <c r="BL2973" s="501"/>
      <c r="BM2973" s="501"/>
      <c r="BN2973" s="501"/>
      <c r="BO2973" s="501"/>
      <c r="BP2973" s="501"/>
      <c r="BQ2973" s="501"/>
      <c r="BR2973" s="501"/>
      <c r="BS2973" s="501"/>
      <c r="BT2973" s="501"/>
      <c r="BU2973" s="501"/>
      <c r="BV2973" s="501"/>
      <c r="BW2973" s="501"/>
      <c r="BX2973" s="501"/>
      <c r="BY2973" s="501"/>
      <c r="BZ2973" s="501"/>
      <c r="CA2973" s="501"/>
      <c r="CB2973" s="501"/>
      <c r="CC2973" s="501"/>
      <c r="CD2973" s="501"/>
      <c r="CE2973" s="501"/>
      <c r="CF2973" s="501"/>
      <c r="CG2973" s="501"/>
      <c r="CH2973" s="501"/>
      <c r="CI2973" s="501"/>
      <c r="CJ2973" s="501"/>
      <c r="CK2973" s="501"/>
      <c r="CL2973" s="501"/>
      <c r="CM2973" s="501"/>
      <c r="CN2973" s="501"/>
      <c r="CO2973" s="501"/>
      <c r="CP2973" s="501"/>
      <c r="CQ2973" s="501"/>
      <c r="CR2973" s="501"/>
      <c r="CS2973" s="501"/>
      <c r="CT2973" s="501"/>
      <c r="CU2973" s="501"/>
      <c r="CV2973" s="501"/>
      <c r="CW2973" s="501"/>
      <c r="CX2973" s="501"/>
      <c r="CY2973" s="501"/>
      <c r="CZ2973" s="501"/>
      <c r="DA2973" s="501"/>
      <c r="DB2973" s="501"/>
      <c r="DC2973" s="501"/>
      <c r="DD2973" s="501"/>
      <c r="DE2973" s="501"/>
      <c r="DF2973" s="501"/>
      <c r="DG2973" s="501"/>
      <c r="DH2973" s="501"/>
      <c r="DI2973" s="501"/>
      <c r="DJ2973" s="501"/>
      <c r="DK2973" s="501"/>
      <c r="DL2973" s="501"/>
      <c r="DM2973" s="501"/>
      <c r="DN2973" s="501"/>
      <c r="DO2973" s="501"/>
      <c r="DP2973" s="501"/>
      <c r="DQ2973" s="501"/>
      <c r="DR2973" s="501"/>
      <c r="DS2973" s="501"/>
      <c r="DT2973" s="501"/>
      <c r="DU2973" s="501"/>
      <c r="DV2973" s="501"/>
      <c r="DW2973" s="501"/>
      <c r="DX2973" s="501"/>
      <c r="DY2973" s="501"/>
      <c r="DZ2973" s="501"/>
      <c r="EA2973" s="501"/>
      <c r="EB2973" s="501"/>
      <c r="EC2973" s="501"/>
      <c r="ED2973" s="501"/>
      <c r="EE2973" s="501"/>
      <c r="EF2973" s="501"/>
      <c r="EG2973" s="501"/>
      <c r="EH2973" s="501"/>
      <c r="EI2973" s="501"/>
      <c r="EJ2973" s="501"/>
      <c r="EK2973" s="501"/>
      <c r="EL2973" s="501"/>
      <c r="EM2973" s="501"/>
      <c r="EN2973" s="501"/>
      <c r="EO2973" s="501"/>
      <c r="EP2973" s="501"/>
      <c r="EQ2973" s="501"/>
      <c r="ER2973" s="501"/>
      <c r="ES2973" s="501"/>
      <c r="ET2973" s="501"/>
      <c r="EU2973" s="501"/>
      <c r="EV2973" s="501"/>
      <c r="EW2973" s="501"/>
      <c r="EX2973" s="501"/>
      <c r="EY2973" s="501"/>
      <c r="EZ2973" s="501"/>
      <c r="FA2973" s="501"/>
      <c r="FB2973" s="501"/>
      <c r="FC2973" s="501"/>
      <c r="FD2973" s="501"/>
      <c r="FE2973" s="501"/>
      <c r="FF2973" s="501"/>
      <c r="FG2973" s="501"/>
      <c r="FH2973" s="501"/>
      <c r="FI2973" s="501"/>
      <c r="FJ2973" s="501"/>
      <c r="FK2973" s="501"/>
      <c r="FL2973" s="501"/>
      <c r="FM2973" s="501"/>
      <c r="FN2973" s="501"/>
      <c r="FO2973" s="501"/>
      <c r="FP2973" s="501"/>
      <c r="FQ2973" s="501"/>
      <c r="FR2973" s="501"/>
      <c r="FS2973" s="501"/>
      <c r="FT2973" s="501"/>
      <c r="FU2973" s="501"/>
      <c r="FV2973" s="501"/>
      <c r="FW2973" s="501"/>
      <c r="FX2973" s="501"/>
      <c r="FY2973" s="501"/>
      <c r="FZ2973" s="501"/>
      <c r="GA2973" s="501"/>
      <c r="GB2973" s="501"/>
      <c r="GC2973" s="501"/>
      <c r="GD2973" s="501"/>
      <c r="GE2973" s="501"/>
      <c r="GF2973" s="501"/>
      <c r="GG2973" s="501"/>
      <c r="GH2973" s="501"/>
      <c r="GI2973" s="501"/>
      <c r="GJ2973" s="501"/>
      <c r="GK2973" s="501"/>
      <c r="GL2973" s="501"/>
      <c r="GM2973" s="501"/>
      <c r="GN2973" s="501"/>
      <c r="GO2973" s="501"/>
      <c r="GP2973" s="501"/>
      <c r="GQ2973" s="501"/>
      <c r="GR2973" s="501"/>
      <c r="GS2973" s="501"/>
      <c r="GT2973" s="501"/>
      <c r="GU2973" s="501"/>
      <c r="GV2973" s="501"/>
      <c r="GW2973" s="501"/>
      <c r="GX2973" s="501"/>
      <c r="GY2973" s="501"/>
      <c r="GZ2973" s="501"/>
      <c r="HA2973" s="501"/>
      <c r="HB2973" s="501"/>
      <c r="HC2973" s="501"/>
      <c r="HD2973" s="501"/>
      <c r="HE2973" s="501"/>
      <c r="HF2973" s="501"/>
      <c r="HG2973" s="501"/>
      <c r="HH2973" s="501"/>
      <c r="HI2973" s="501"/>
      <c r="HJ2973" s="501"/>
      <c r="HK2973" s="501"/>
      <c r="HL2973" s="501"/>
      <c r="HM2973" s="501"/>
      <c r="HN2973" s="501"/>
      <c r="HO2973" s="501"/>
      <c r="HP2973" s="501"/>
      <c r="HQ2973" s="501"/>
      <c r="HR2973" s="501"/>
      <c r="HS2973" s="501"/>
      <c r="HT2973" s="501"/>
      <c r="HU2973" s="501"/>
      <c r="HV2973" s="501"/>
      <c r="HW2973" s="501"/>
      <c r="HX2973" s="501"/>
      <c r="HY2973" s="501"/>
      <c r="HZ2973" s="501"/>
      <c r="IA2973" s="501"/>
      <c r="IB2973" s="501"/>
      <c r="IC2973" s="501"/>
      <c r="ID2973" s="501"/>
      <c r="IE2973" s="501"/>
      <c r="IF2973" s="501"/>
      <c r="IG2973" s="501"/>
      <c r="IH2973" s="501"/>
      <c r="II2973" s="501"/>
      <c r="IJ2973" s="501"/>
      <c r="IK2973" s="501"/>
      <c r="IL2973" s="501"/>
      <c r="IM2973" s="501"/>
      <c r="IN2973" s="501"/>
      <c r="IO2973" s="501"/>
      <c r="IP2973" s="501"/>
      <c r="IQ2973" s="501"/>
      <c r="IR2973" s="501"/>
      <c r="IS2973" s="501"/>
      <c r="IT2973" s="501"/>
      <c r="IU2973" s="501"/>
    </row>
    <row r="2974" spans="1:255" s="877" customFormat="1" ht="24" customHeight="1">
      <c r="A2974" s="501"/>
      <c r="B2974" s="501"/>
      <c r="C2974" s="501"/>
      <c r="D2974" s="501"/>
      <c r="E2974" s="501"/>
      <c r="F2974" s="1097"/>
      <c r="G2974" s="1098"/>
      <c r="H2974" s="1097"/>
      <c r="I2974" s="1099"/>
      <c r="J2974" s="1097"/>
      <c r="K2974" s="1097"/>
      <c r="L2974" s="1101"/>
      <c r="M2974" s="1109"/>
      <c r="N2974" s="501"/>
      <c r="O2974" s="968"/>
      <c r="P2974" s="1152"/>
      <c r="Q2974" s="973"/>
      <c r="R2974" s="1097"/>
      <c r="S2974" s="974"/>
      <c r="T2974" s="968"/>
      <c r="V2974" s="501"/>
      <c r="W2974" s="501"/>
      <c r="X2974" s="501"/>
      <c r="Y2974" s="501"/>
      <c r="Z2974" s="501"/>
      <c r="AA2974" s="501"/>
      <c r="AB2974" s="501"/>
      <c r="AC2974" s="501"/>
      <c r="AD2974" s="501"/>
      <c r="AE2974" s="501"/>
      <c r="AF2974" s="501"/>
      <c r="AG2974" s="501"/>
      <c r="AH2974" s="501"/>
      <c r="AI2974" s="501"/>
      <c r="AJ2974" s="501"/>
      <c r="AK2974" s="501"/>
      <c r="AL2974" s="501"/>
      <c r="AM2974" s="501"/>
      <c r="AN2974" s="501"/>
      <c r="AO2974" s="501"/>
      <c r="AP2974" s="501"/>
      <c r="AQ2974" s="501"/>
      <c r="AR2974" s="501"/>
      <c r="AS2974" s="501"/>
      <c r="AT2974" s="501"/>
      <c r="AU2974" s="501"/>
      <c r="AV2974" s="501"/>
      <c r="AW2974" s="501"/>
      <c r="AX2974" s="501"/>
      <c r="AY2974" s="501"/>
      <c r="AZ2974" s="501"/>
      <c r="BA2974" s="501"/>
      <c r="BB2974" s="501"/>
      <c r="BC2974" s="501"/>
      <c r="BD2974" s="501"/>
      <c r="BE2974" s="501"/>
      <c r="BF2974" s="501"/>
      <c r="BG2974" s="501"/>
      <c r="BH2974" s="501"/>
      <c r="BI2974" s="501"/>
      <c r="BJ2974" s="501"/>
      <c r="BK2974" s="501"/>
      <c r="BL2974" s="501"/>
      <c r="BM2974" s="501"/>
      <c r="BN2974" s="501"/>
      <c r="BO2974" s="501"/>
      <c r="BP2974" s="501"/>
      <c r="BQ2974" s="501"/>
      <c r="BR2974" s="501"/>
      <c r="BS2974" s="501"/>
      <c r="BT2974" s="501"/>
      <c r="BU2974" s="501"/>
      <c r="BV2974" s="501"/>
      <c r="BW2974" s="501"/>
      <c r="BX2974" s="501"/>
      <c r="BY2974" s="501"/>
      <c r="BZ2974" s="501"/>
      <c r="CA2974" s="501"/>
      <c r="CB2974" s="501"/>
      <c r="CC2974" s="501"/>
      <c r="CD2974" s="501"/>
      <c r="CE2974" s="501"/>
      <c r="CF2974" s="501"/>
      <c r="CG2974" s="501"/>
      <c r="CH2974" s="501"/>
      <c r="CI2974" s="501"/>
      <c r="CJ2974" s="501"/>
      <c r="CK2974" s="501"/>
      <c r="CL2974" s="501"/>
      <c r="CM2974" s="501"/>
      <c r="CN2974" s="501"/>
      <c r="CO2974" s="501"/>
      <c r="CP2974" s="501"/>
      <c r="CQ2974" s="501"/>
      <c r="CR2974" s="501"/>
      <c r="CS2974" s="501"/>
      <c r="CT2974" s="501"/>
      <c r="CU2974" s="501"/>
      <c r="CV2974" s="501"/>
      <c r="CW2974" s="501"/>
      <c r="CX2974" s="501"/>
      <c r="CY2974" s="501"/>
      <c r="CZ2974" s="501"/>
      <c r="DA2974" s="501"/>
      <c r="DB2974" s="501"/>
      <c r="DC2974" s="501"/>
      <c r="DD2974" s="501"/>
      <c r="DE2974" s="501"/>
      <c r="DF2974" s="501"/>
      <c r="DG2974" s="501"/>
      <c r="DH2974" s="501"/>
      <c r="DI2974" s="501"/>
      <c r="DJ2974" s="501"/>
      <c r="DK2974" s="501"/>
      <c r="DL2974" s="501"/>
      <c r="DM2974" s="501"/>
      <c r="DN2974" s="501"/>
      <c r="DO2974" s="501"/>
      <c r="DP2974" s="501"/>
      <c r="DQ2974" s="501"/>
      <c r="DR2974" s="501"/>
      <c r="DS2974" s="501"/>
      <c r="DT2974" s="501"/>
      <c r="DU2974" s="501"/>
      <c r="DV2974" s="501"/>
      <c r="DW2974" s="501"/>
      <c r="DX2974" s="501"/>
      <c r="DY2974" s="501"/>
      <c r="DZ2974" s="501"/>
      <c r="EA2974" s="501"/>
      <c r="EB2974" s="501"/>
      <c r="EC2974" s="501"/>
      <c r="ED2974" s="501"/>
      <c r="EE2974" s="501"/>
      <c r="EF2974" s="501"/>
      <c r="EG2974" s="501"/>
      <c r="EH2974" s="501"/>
      <c r="EI2974" s="501"/>
      <c r="EJ2974" s="501"/>
      <c r="EK2974" s="501"/>
      <c r="EL2974" s="501"/>
      <c r="EM2974" s="501"/>
      <c r="EN2974" s="501"/>
      <c r="EO2974" s="501"/>
      <c r="EP2974" s="501"/>
      <c r="EQ2974" s="501"/>
      <c r="ER2974" s="501"/>
      <c r="ES2974" s="501"/>
      <c r="ET2974" s="501"/>
      <c r="EU2974" s="501"/>
      <c r="EV2974" s="501"/>
      <c r="EW2974" s="501"/>
      <c r="EX2974" s="501"/>
      <c r="EY2974" s="501"/>
      <c r="EZ2974" s="501"/>
      <c r="FA2974" s="501"/>
      <c r="FB2974" s="501"/>
      <c r="FC2974" s="501"/>
      <c r="FD2974" s="501"/>
      <c r="FE2974" s="501"/>
      <c r="FF2974" s="501"/>
      <c r="FG2974" s="501"/>
      <c r="FH2974" s="501"/>
      <c r="FI2974" s="501"/>
      <c r="FJ2974" s="501"/>
      <c r="FK2974" s="501"/>
      <c r="FL2974" s="501"/>
      <c r="FM2974" s="501"/>
      <c r="FN2974" s="501"/>
      <c r="FO2974" s="501"/>
      <c r="FP2974" s="501"/>
      <c r="FQ2974" s="501"/>
      <c r="FR2974" s="501"/>
      <c r="FS2974" s="501"/>
      <c r="FT2974" s="501"/>
      <c r="FU2974" s="501"/>
      <c r="FV2974" s="501"/>
      <c r="FW2974" s="501"/>
      <c r="FX2974" s="501"/>
      <c r="FY2974" s="501"/>
      <c r="FZ2974" s="501"/>
      <c r="GA2974" s="501"/>
      <c r="GB2974" s="501"/>
      <c r="GC2974" s="501"/>
      <c r="GD2974" s="501"/>
      <c r="GE2974" s="501"/>
      <c r="GF2974" s="501"/>
      <c r="GG2974" s="501"/>
      <c r="GH2974" s="501"/>
      <c r="GI2974" s="501"/>
      <c r="GJ2974" s="501"/>
      <c r="GK2974" s="501"/>
      <c r="GL2974" s="501"/>
      <c r="GM2974" s="501"/>
      <c r="GN2974" s="501"/>
      <c r="GO2974" s="501"/>
      <c r="GP2974" s="501"/>
      <c r="GQ2974" s="501"/>
      <c r="GR2974" s="501"/>
      <c r="GS2974" s="501"/>
      <c r="GT2974" s="501"/>
      <c r="GU2974" s="501"/>
      <c r="GV2974" s="501"/>
      <c r="GW2974" s="501"/>
      <c r="GX2974" s="501"/>
      <c r="GY2974" s="501"/>
      <c r="GZ2974" s="501"/>
      <c r="HA2974" s="501"/>
      <c r="HB2974" s="501"/>
      <c r="HC2974" s="501"/>
      <c r="HD2974" s="501"/>
      <c r="HE2974" s="501"/>
      <c r="HF2974" s="501"/>
      <c r="HG2974" s="501"/>
      <c r="HH2974" s="501"/>
      <c r="HI2974" s="501"/>
      <c r="HJ2974" s="501"/>
      <c r="HK2974" s="501"/>
      <c r="HL2974" s="501"/>
      <c r="HM2974" s="501"/>
      <c r="HN2974" s="501"/>
      <c r="HO2974" s="501"/>
      <c r="HP2974" s="501"/>
      <c r="HQ2974" s="501"/>
      <c r="HR2974" s="501"/>
      <c r="HS2974" s="501"/>
      <c r="HT2974" s="501"/>
      <c r="HU2974" s="501"/>
      <c r="HV2974" s="501"/>
      <c r="HW2974" s="501"/>
      <c r="HX2974" s="501"/>
      <c r="HY2974" s="501"/>
      <c r="HZ2974" s="501"/>
      <c r="IA2974" s="501"/>
      <c r="IB2974" s="501"/>
      <c r="IC2974" s="501"/>
      <c r="ID2974" s="501"/>
      <c r="IE2974" s="501"/>
      <c r="IF2974" s="501"/>
      <c r="IG2974" s="501"/>
      <c r="IH2974" s="501"/>
      <c r="II2974" s="501"/>
      <c r="IJ2974" s="501"/>
      <c r="IK2974" s="501"/>
      <c r="IL2974" s="501"/>
      <c r="IM2974" s="501"/>
      <c r="IN2974" s="501"/>
      <c r="IO2974" s="501"/>
      <c r="IP2974" s="501"/>
      <c r="IQ2974" s="501"/>
      <c r="IR2974" s="501"/>
      <c r="IS2974" s="501"/>
      <c r="IT2974" s="501"/>
      <c r="IU2974" s="501"/>
    </row>
    <row r="2975" spans="1:255" s="877" customFormat="1" ht="24" customHeight="1">
      <c r="A2975" s="501"/>
      <c r="B2975" s="501"/>
      <c r="C2975" s="501"/>
      <c r="D2975" s="501"/>
      <c r="E2975" s="501"/>
      <c r="F2975" s="1097"/>
      <c r="G2975" s="1098"/>
      <c r="H2975" s="1097"/>
      <c r="I2975" s="1099"/>
      <c r="J2975" s="973"/>
      <c r="K2975" s="1097"/>
      <c r="L2975" s="1101"/>
      <c r="M2975" s="1109"/>
      <c r="N2975" s="501"/>
      <c r="O2975" s="968"/>
      <c r="P2975" s="1152"/>
      <c r="Q2975" s="973"/>
      <c r="R2975" s="1097"/>
      <c r="S2975" s="974"/>
      <c r="T2975" s="968"/>
      <c r="V2975" s="501"/>
      <c r="W2975" s="501"/>
      <c r="X2975" s="501"/>
      <c r="Y2975" s="501"/>
      <c r="Z2975" s="501"/>
      <c r="AA2975" s="501"/>
      <c r="AB2975" s="501"/>
      <c r="AC2975" s="501"/>
      <c r="AD2975" s="501"/>
      <c r="AE2975" s="501"/>
      <c r="AF2975" s="501"/>
      <c r="AG2975" s="501"/>
      <c r="AH2975" s="501"/>
      <c r="AI2975" s="501"/>
      <c r="AJ2975" s="501"/>
      <c r="AK2975" s="501"/>
      <c r="AL2975" s="501"/>
      <c r="AM2975" s="501"/>
      <c r="AN2975" s="501"/>
      <c r="AO2975" s="501"/>
      <c r="AP2975" s="501"/>
      <c r="AQ2975" s="501"/>
      <c r="AR2975" s="501"/>
      <c r="AS2975" s="501"/>
      <c r="AT2975" s="501"/>
      <c r="AU2975" s="501"/>
      <c r="AV2975" s="501"/>
      <c r="AW2975" s="501"/>
      <c r="AX2975" s="501"/>
      <c r="AY2975" s="501"/>
      <c r="AZ2975" s="501"/>
      <c r="BA2975" s="501"/>
      <c r="BB2975" s="501"/>
      <c r="BC2975" s="501"/>
      <c r="BD2975" s="501"/>
      <c r="BE2975" s="501"/>
      <c r="BF2975" s="501"/>
      <c r="BG2975" s="501"/>
      <c r="BH2975" s="501"/>
      <c r="BI2975" s="501"/>
      <c r="BJ2975" s="501"/>
      <c r="BK2975" s="501"/>
      <c r="BL2975" s="501"/>
      <c r="BM2975" s="501"/>
      <c r="BN2975" s="501"/>
      <c r="BO2975" s="501"/>
      <c r="BP2975" s="501"/>
      <c r="BQ2975" s="501"/>
      <c r="BR2975" s="501"/>
      <c r="BS2975" s="501"/>
      <c r="BT2975" s="501"/>
      <c r="BU2975" s="501"/>
      <c r="BV2975" s="501"/>
      <c r="BW2975" s="501"/>
      <c r="BX2975" s="501"/>
      <c r="BY2975" s="501"/>
      <c r="BZ2975" s="501"/>
      <c r="CA2975" s="501"/>
      <c r="CB2975" s="501"/>
      <c r="CC2975" s="501"/>
      <c r="CD2975" s="501"/>
      <c r="CE2975" s="501"/>
      <c r="CF2975" s="501"/>
      <c r="CG2975" s="501"/>
      <c r="CH2975" s="501"/>
      <c r="CI2975" s="501"/>
      <c r="CJ2975" s="501"/>
      <c r="CK2975" s="501"/>
      <c r="CL2975" s="501"/>
      <c r="CM2975" s="501"/>
      <c r="CN2975" s="501"/>
      <c r="CO2975" s="501"/>
      <c r="CP2975" s="501"/>
      <c r="CQ2975" s="501"/>
      <c r="CR2975" s="501"/>
      <c r="CS2975" s="501"/>
      <c r="CT2975" s="501"/>
      <c r="CU2975" s="501"/>
      <c r="CV2975" s="501"/>
      <c r="CW2975" s="501"/>
      <c r="CX2975" s="501"/>
      <c r="CY2975" s="501"/>
      <c r="CZ2975" s="501"/>
      <c r="DA2975" s="501"/>
      <c r="DB2975" s="501"/>
      <c r="DC2975" s="501"/>
      <c r="DD2975" s="501"/>
      <c r="DE2975" s="501"/>
      <c r="DF2975" s="501"/>
      <c r="DG2975" s="501"/>
      <c r="DH2975" s="501"/>
      <c r="DI2975" s="501"/>
      <c r="DJ2975" s="501"/>
      <c r="DK2975" s="501"/>
      <c r="DL2975" s="501"/>
      <c r="DM2975" s="501"/>
      <c r="DN2975" s="501"/>
      <c r="DO2975" s="501"/>
      <c r="DP2975" s="501"/>
      <c r="DQ2975" s="501"/>
      <c r="DR2975" s="501"/>
      <c r="DS2975" s="501"/>
      <c r="DT2975" s="501"/>
      <c r="DU2975" s="501"/>
      <c r="DV2975" s="501"/>
      <c r="DW2975" s="501"/>
      <c r="DX2975" s="501"/>
      <c r="DY2975" s="501"/>
      <c r="DZ2975" s="501"/>
      <c r="EA2975" s="501"/>
      <c r="EB2975" s="501"/>
      <c r="EC2975" s="501"/>
      <c r="ED2975" s="501"/>
      <c r="EE2975" s="501"/>
      <c r="EF2975" s="501"/>
      <c r="EG2975" s="501"/>
      <c r="EH2975" s="501"/>
      <c r="EI2975" s="501"/>
      <c r="EJ2975" s="501"/>
      <c r="EK2975" s="501"/>
      <c r="EL2975" s="501"/>
      <c r="EM2975" s="501"/>
      <c r="EN2975" s="501"/>
      <c r="EO2975" s="501"/>
      <c r="EP2975" s="501"/>
      <c r="EQ2975" s="501"/>
      <c r="ER2975" s="501"/>
      <c r="ES2975" s="501"/>
      <c r="ET2975" s="501"/>
      <c r="EU2975" s="501"/>
      <c r="EV2975" s="501"/>
      <c r="EW2975" s="501"/>
      <c r="EX2975" s="501"/>
      <c r="EY2975" s="501"/>
      <c r="EZ2975" s="501"/>
      <c r="FA2975" s="501"/>
      <c r="FB2975" s="501"/>
      <c r="FC2975" s="501"/>
      <c r="FD2975" s="501"/>
      <c r="FE2975" s="501"/>
      <c r="FF2975" s="501"/>
      <c r="FG2975" s="501"/>
      <c r="FH2975" s="501"/>
      <c r="FI2975" s="501"/>
      <c r="FJ2975" s="501"/>
      <c r="FK2975" s="501"/>
      <c r="FL2975" s="501"/>
      <c r="FM2975" s="501"/>
      <c r="FN2975" s="501"/>
      <c r="FO2975" s="501"/>
      <c r="FP2975" s="501"/>
      <c r="FQ2975" s="501"/>
      <c r="FR2975" s="501"/>
      <c r="FS2975" s="501"/>
      <c r="FT2975" s="501"/>
      <c r="FU2975" s="501"/>
      <c r="FV2975" s="501"/>
      <c r="FW2975" s="501"/>
      <c r="FX2975" s="501"/>
      <c r="FY2975" s="501"/>
      <c r="FZ2975" s="501"/>
      <c r="GA2975" s="501"/>
      <c r="GB2975" s="501"/>
      <c r="GC2975" s="501"/>
      <c r="GD2975" s="501"/>
      <c r="GE2975" s="501"/>
      <c r="GF2975" s="501"/>
      <c r="GG2975" s="501"/>
      <c r="GH2975" s="501"/>
      <c r="GI2975" s="501"/>
      <c r="GJ2975" s="501"/>
      <c r="GK2975" s="501"/>
      <c r="GL2975" s="501"/>
      <c r="GM2975" s="501"/>
      <c r="GN2975" s="501"/>
      <c r="GO2975" s="501"/>
      <c r="GP2975" s="501"/>
      <c r="GQ2975" s="501"/>
      <c r="GR2975" s="501"/>
      <c r="GS2975" s="501"/>
      <c r="GT2975" s="501"/>
      <c r="GU2975" s="501"/>
      <c r="GV2975" s="501"/>
      <c r="GW2975" s="501"/>
      <c r="GX2975" s="501"/>
      <c r="GY2975" s="501"/>
      <c r="GZ2975" s="501"/>
      <c r="HA2975" s="501"/>
      <c r="HB2975" s="501"/>
      <c r="HC2975" s="501"/>
      <c r="HD2975" s="501"/>
      <c r="HE2975" s="501"/>
      <c r="HF2975" s="501"/>
      <c r="HG2975" s="501"/>
      <c r="HH2975" s="501"/>
      <c r="HI2975" s="501"/>
      <c r="HJ2975" s="501"/>
      <c r="HK2975" s="501"/>
      <c r="HL2975" s="501"/>
      <c r="HM2975" s="501"/>
      <c r="HN2975" s="501"/>
      <c r="HO2975" s="501"/>
      <c r="HP2975" s="501"/>
      <c r="HQ2975" s="501"/>
      <c r="HR2975" s="501"/>
      <c r="HS2975" s="501"/>
      <c r="HT2975" s="501"/>
      <c r="HU2975" s="501"/>
      <c r="HV2975" s="501"/>
      <c r="HW2975" s="501"/>
      <c r="HX2975" s="501"/>
      <c r="HY2975" s="501"/>
      <c r="HZ2975" s="501"/>
      <c r="IA2975" s="501"/>
      <c r="IB2975" s="501"/>
      <c r="IC2975" s="501"/>
      <c r="ID2975" s="501"/>
      <c r="IE2975" s="501"/>
      <c r="IF2975" s="501"/>
      <c r="IG2975" s="501"/>
      <c r="IH2975" s="501"/>
      <c r="II2975" s="501"/>
      <c r="IJ2975" s="501"/>
      <c r="IK2975" s="501"/>
      <c r="IL2975" s="501"/>
      <c r="IM2975" s="501"/>
      <c r="IN2975" s="501"/>
      <c r="IO2975" s="501"/>
      <c r="IP2975" s="501"/>
      <c r="IQ2975" s="501"/>
      <c r="IR2975" s="501"/>
      <c r="IS2975" s="501"/>
      <c r="IT2975" s="501"/>
      <c r="IU2975" s="501"/>
    </row>
    <row r="2976" spans="1:255" s="877" customFormat="1" ht="24" customHeight="1">
      <c r="A2976" s="501"/>
      <c r="B2976" s="501"/>
      <c r="C2976" s="501"/>
      <c r="D2976" s="501"/>
      <c r="E2976" s="501"/>
      <c r="F2976" s="973"/>
      <c r="G2976" s="1115"/>
      <c r="H2976" s="973"/>
      <c r="I2976" s="1099"/>
      <c r="J2976" s="1097"/>
      <c r="K2976" s="1097"/>
      <c r="L2976" s="1101"/>
      <c r="M2976" s="1102"/>
      <c r="N2976" s="501"/>
      <c r="O2976" s="968"/>
      <c r="P2976" s="1152"/>
      <c r="Q2976" s="973"/>
      <c r="R2976" s="1097"/>
      <c r="S2976" s="974"/>
      <c r="T2976" s="968"/>
      <c r="V2976" s="501"/>
      <c r="W2976" s="501"/>
      <c r="X2976" s="501"/>
      <c r="Y2976" s="501"/>
      <c r="Z2976" s="501"/>
      <c r="AA2976" s="501"/>
      <c r="AB2976" s="501"/>
      <c r="AC2976" s="501"/>
      <c r="AD2976" s="501"/>
      <c r="AE2976" s="501"/>
      <c r="AF2976" s="501"/>
      <c r="AG2976" s="501"/>
      <c r="AH2976" s="501"/>
      <c r="AI2976" s="501"/>
      <c r="AJ2976" s="501"/>
      <c r="AK2976" s="501"/>
      <c r="AL2976" s="501"/>
      <c r="AM2976" s="501"/>
      <c r="AN2976" s="501"/>
      <c r="AO2976" s="501"/>
      <c r="AP2976" s="501"/>
      <c r="AQ2976" s="501"/>
      <c r="AR2976" s="501"/>
      <c r="AS2976" s="501"/>
      <c r="AT2976" s="501"/>
      <c r="AU2976" s="501"/>
      <c r="AV2976" s="501"/>
      <c r="AW2976" s="501"/>
      <c r="AX2976" s="501"/>
      <c r="AY2976" s="501"/>
      <c r="AZ2976" s="501"/>
      <c r="BA2976" s="501"/>
      <c r="BB2976" s="501"/>
      <c r="BC2976" s="501"/>
      <c r="BD2976" s="501"/>
      <c r="BE2976" s="501"/>
      <c r="BF2976" s="501"/>
      <c r="BG2976" s="501"/>
      <c r="BH2976" s="501"/>
      <c r="BI2976" s="501"/>
      <c r="BJ2976" s="501"/>
      <c r="BK2976" s="501"/>
      <c r="BL2976" s="501"/>
      <c r="BM2976" s="501"/>
      <c r="BN2976" s="501"/>
      <c r="BO2976" s="501"/>
      <c r="BP2976" s="501"/>
      <c r="BQ2976" s="501"/>
      <c r="BR2976" s="501"/>
      <c r="BS2976" s="501"/>
      <c r="BT2976" s="501"/>
      <c r="BU2976" s="501"/>
      <c r="BV2976" s="501"/>
      <c r="BW2976" s="501"/>
      <c r="BX2976" s="501"/>
      <c r="BY2976" s="501"/>
      <c r="BZ2976" s="501"/>
      <c r="CA2976" s="501"/>
      <c r="CB2976" s="501"/>
      <c r="CC2976" s="501"/>
      <c r="CD2976" s="501"/>
      <c r="CE2976" s="501"/>
      <c r="CF2976" s="501"/>
      <c r="CG2976" s="501"/>
      <c r="CH2976" s="501"/>
      <c r="CI2976" s="501"/>
      <c r="CJ2976" s="501"/>
      <c r="CK2976" s="501"/>
      <c r="CL2976" s="501"/>
      <c r="CM2976" s="501"/>
      <c r="CN2976" s="501"/>
      <c r="CO2976" s="501"/>
      <c r="CP2976" s="501"/>
      <c r="CQ2976" s="501"/>
      <c r="CR2976" s="501"/>
      <c r="CS2976" s="501"/>
      <c r="CT2976" s="501"/>
      <c r="CU2976" s="501"/>
      <c r="CV2976" s="501"/>
      <c r="CW2976" s="501"/>
      <c r="CX2976" s="501"/>
      <c r="CY2976" s="501"/>
      <c r="CZ2976" s="501"/>
      <c r="DA2976" s="501"/>
      <c r="DB2976" s="501"/>
      <c r="DC2976" s="501"/>
      <c r="DD2976" s="501"/>
      <c r="DE2976" s="501"/>
      <c r="DF2976" s="501"/>
      <c r="DG2976" s="501"/>
      <c r="DH2976" s="501"/>
      <c r="DI2976" s="501"/>
      <c r="DJ2976" s="501"/>
      <c r="DK2976" s="501"/>
      <c r="DL2976" s="501"/>
      <c r="DM2976" s="501"/>
      <c r="DN2976" s="501"/>
      <c r="DO2976" s="501"/>
      <c r="DP2976" s="501"/>
      <c r="DQ2976" s="501"/>
      <c r="DR2976" s="501"/>
      <c r="DS2976" s="501"/>
      <c r="DT2976" s="501"/>
      <c r="DU2976" s="501"/>
      <c r="DV2976" s="501"/>
      <c r="DW2976" s="501"/>
      <c r="DX2976" s="501"/>
      <c r="DY2976" s="501"/>
      <c r="DZ2976" s="501"/>
      <c r="EA2976" s="501"/>
      <c r="EB2976" s="501"/>
      <c r="EC2976" s="501"/>
      <c r="ED2976" s="501"/>
      <c r="EE2976" s="501"/>
      <c r="EF2976" s="501"/>
      <c r="EG2976" s="501"/>
      <c r="EH2976" s="501"/>
      <c r="EI2976" s="501"/>
      <c r="EJ2976" s="501"/>
      <c r="EK2976" s="501"/>
      <c r="EL2976" s="501"/>
      <c r="EM2976" s="501"/>
      <c r="EN2976" s="501"/>
      <c r="EO2976" s="501"/>
      <c r="EP2976" s="501"/>
      <c r="EQ2976" s="501"/>
      <c r="ER2976" s="501"/>
      <c r="ES2976" s="501"/>
      <c r="ET2976" s="501"/>
      <c r="EU2976" s="501"/>
      <c r="EV2976" s="501"/>
      <c r="EW2976" s="501"/>
      <c r="EX2976" s="501"/>
      <c r="EY2976" s="501"/>
      <c r="EZ2976" s="501"/>
      <c r="FA2976" s="501"/>
      <c r="FB2976" s="501"/>
      <c r="FC2976" s="501"/>
      <c r="FD2976" s="501"/>
      <c r="FE2976" s="501"/>
      <c r="FF2976" s="501"/>
      <c r="FG2976" s="501"/>
      <c r="FH2976" s="501"/>
      <c r="FI2976" s="501"/>
      <c r="FJ2976" s="501"/>
      <c r="FK2976" s="501"/>
      <c r="FL2976" s="501"/>
      <c r="FM2976" s="501"/>
      <c r="FN2976" s="501"/>
      <c r="FO2976" s="501"/>
      <c r="FP2976" s="501"/>
      <c r="FQ2976" s="501"/>
      <c r="FR2976" s="501"/>
      <c r="FS2976" s="501"/>
      <c r="FT2976" s="501"/>
      <c r="FU2976" s="501"/>
      <c r="FV2976" s="501"/>
      <c r="FW2976" s="501"/>
      <c r="FX2976" s="501"/>
      <c r="FY2976" s="501"/>
      <c r="FZ2976" s="501"/>
      <c r="GA2976" s="501"/>
      <c r="GB2976" s="501"/>
      <c r="GC2976" s="501"/>
      <c r="GD2976" s="501"/>
      <c r="GE2976" s="501"/>
      <c r="GF2976" s="501"/>
      <c r="GG2976" s="501"/>
      <c r="GH2976" s="501"/>
      <c r="GI2976" s="501"/>
      <c r="GJ2976" s="501"/>
      <c r="GK2976" s="501"/>
      <c r="GL2976" s="501"/>
      <c r="GM2976" s="501"/>
      <c r="GN2976" s="501"/>
      <c r="GO2976" s="501"/>
      <c r="GP2976" s="501"/>
      <c r="GQ2976" s="501"/>
      <c r="GR2976" s="501"/>
      <c r="GS2976" s="501"/>
      <c r="GT2976" s="501"/>
      <c r="GU2976" s="501"/>
      <c r="GV2976" s="501"/>
      <c r="GW2976" s="501"/>
      <c r="GX2976" s="501"/>
      <c r="GY2976" s="501"/>
      <c r="GZ2976" s="501"/>
      <c r="HA2976" s="501"/>
      <c r="HB2976" s="501"/>
      <c r="HC2976" s="501"/>
      <c r="HD2976" s="501"/>
      <c r="HE2976" s="501"/>
      <c r="HF2976" s="501"/>
      <c r="HG2976" s="501"/>
      <c r="HH2976" s="501"/>
      <c r="HI2976" s="501"/>
      <c r="HJ2976" s="501"/>
      <c r="HK2976" s="501"/>
      <c r="HL2976" s="501"/>
      <c r="HM2976" s="501"/>
      <c r="HN2976" s="501"/>
      <c r="HO2976" s="501"/>
      <c r="HP2976" s="501"/>
      <c r="HQ2976" s="501"/>
      <c r="HR2976" s="501"/>
      <c r="HS2976" s="501"/>
      <c r="HT2976" s="501"/>
      <c r="HU2976" s="501"/>
      <c r="HV2976" s="501"/>
      <c r="HW2976" s="501"/>
      <c r="HX2976" s="501"/>
      <c r="HY2976" s="501"/>
      <c r="HZ2976" s="501"/>
      <c r="IA2976" s="501"/>
      <c r="IB2976" s="501"/>
      <c r="IC2976" s="501"/>
      <c r="ID2976" s="501"/>
      <c r="IE2976" s="501"/>
      <c r="IF2976" s="501"/>
      <c r="IG2976" s="501"/>
      <c r="IH2976" s="501"/>
      <c r="II2976" s="501"/>
      <c r="IJ2976" s="501"/>
      <c r="IK2976" s="501"/>
      <c r="IL2976" s="501"/>
      <c r="IM2976" s="501"/>
      <c r="IN2976" s="501"/>
      <c r="IO2976" s="501"/>
      <c r="IP2976" s="501"/>
      <c r="IQ2976" s="501"/>
      <c r="IR2976" s="501"/>
      <c r="IS2976" s="501"/>
      <c r="IT2976" s="501"/>
      <c r="IU2976" s="501"/>
    </row>
    <row r="2977" spans="1:255" s="877" customFormat="1" ht="24" customHeight="1">
      <c r="A2977" s="501"/>
      <c r="B2977" s="501"/>
      <c r="C2977" s="501"/>
      <c r="D2977" s="501"/>
      <c r="E2977" s="501"/>
      <c r="F2977" s="1097"/>
      <c r="G2977" s="1098"/>
      <c r="H2977" s="1097"/>
      <c r="I2977" s="1099"/>
      <c r="J2977" s="1097"/>
      <c r="K2977" s="1097"/>
      <c r="L2977" s="1101"/>
      <c r="M2977" s="1102"/>
      <c r="N2977" s="501"/>
      <c r="O2977" s="968"/>
      <c r="P2977" s="1152"/>
      <c r="Q2977" s="973"/>
      <c r="R2977" s="1097"/>
      <c r="S2977" s="974"/>
      <c r="T2977" s="968"/>
      <c r="V2977" s="501"/>
      <c r="W2977" s="501"/>
      <c r="X2977" s="501"/>
      <c r="Y2977" s="501"/>
      <c r="Z2977" s="501"/>
      <c r="AA2977" s="501"/>
      <c r="AB2977" s="501"/>
      <c r="AC2977" s="501"/>
      <c r="AD2977" s="501"/>
      <c r="AE2977" s="501"/>
      <c r="AF2977" s="501"/>
      <c r="AG2977" s="501"/>
      <c r="AH2977" s="501"/>
      <c r="AI2977" s="501"/>
      <c r="AJ2977" s="501"/>
      <c r="AK2977" s="501"/>
      <c r="AL2977" s="501"/>
      <c r="AM2977" s="501"/>
      <c r="AN2977" s="501"/>
      <c r="AO2977" s="501"/>
      <c r="AP2977" s="501"/>
      <c r="AQ2977" s="501"/>
      <c r="AR2977" s="501"/>
      <c r="AS2977" s="501"/>
      <c r="AT2977" s="501"/>
      <c r="AU2977" s="501"/>
      <c r="AV2977" s="501"/>
      <c r="AW2977" s="501"/>
      <c r="AX2977" s="501"/>
      <c r="AY2977" s="501"/>
      <c r="AZ2977" s="501"/>
      <c r="BA2977" s="501"/>
      <c r="BB2977" s="501"/>
      <c r="BC2977" s="501"/>
      <c r="BD2977" s="501"/>
      <c r="BE2977" s="501"/>
      <c r="BF2977" s="501"/>
      <c r="BG2977" s="501"/>
      <c r="BH2977" s="501"/>
      <c r="BI2977" s="501"/>
      <c r="BJ2977" s="501"/>
      <c r="BK2977" s="501"/>
      <c r="BL2977" s="501"/>
      <c r="BM2977" s="501"/>
      <c r="BN2977" s="501"/>
      <c r="BO2977" s="501"/>
      <c r="BP2977" s="501"/>
      <c r="BQ2977" s="501"/>
      <c r="BR2977" s="501"/>
      <c r="BS2977" s="501"/>
      <c r="BT2977" s="501"/>
      <c r="BU2977" s="501"/>
      <c r="BV2977" s="501"/>
      <c r="BW2977" s="501"/>
      <c r="BX2977" s="501"/>
      <c r="BY2977" s="501"/>
      <c r="BZ2977" s="501"/>
      <c r="CA2977" s="501"/>
      <c r="CB2977" s="501"/>
      <c r="CC2977" s="501"/>
      <c r="CD2977" s="501"/>
      <c r="CE2977" s="501"/>
      <c r="CF2977" s="501"/>
      <c r="CG2977" s="501"/>
      <c r="CH2977" s="501"/>
      <c r="CI2977" s="501"/>
      <c r="CJ2977" s="501"/>
      <c r="CK2977" s="501"/>
      <c r="CL2977" s="501"/>
      <c r="CM2977" s="501"/>
      <c r="CN2977" s="501"/>
      <c r="CO2977" s="501"/>
      <c r="CP2977" s="501"/>
      <c r="CQ2977" s="501"/>
      <c r="CR2977" s="501"/>
      <c r="CS2977" s="501"/>
      <c r="CT2977" s="501"/>
      <c r="CU2977" s="501"/>
      <c r="CV2977" s="501"/>
      <c r="CW2977" s="501"/>
      <c r="CX2977" s="501"/>
      <c r="CY2977" s="501"/>
      <c r="CZ2977" s="501"/>
      <c r="DA2977" s="501"/>
      <c r="DB2977" s="501"/>
      <c r="DC2977" s="501"/>
      <c r="DD2977" s="501"/>
      <c r="DE2977" s="501"/>
      <c r="DF2977" s="501"/>
      <c r="DG2977" s="501"/>
      <c r="DH2977" s="501"/>
      <c r="DI2977" s="501"/>
      <c r="DJ2977" s="501"/>
      <c r="DK2977" s="501"/>
      <c r="DL2977" s="501"/>
      <c r="DM2977" s="501"/>
      <c r="DN2977" s="501"/>
      <c r="DO2977" s="501"/>
      <c r="DP2977" s="501"/>
      <c r="DQ2977" s="501"/>
      <c r="DR2977" s="501"/>
      <c r="DS2977" s="501"/>
      <c r="DT2977" s="501"/>
      <c r="DU2977" s="501"/>
      <c r="DV2977" s="501"/>
      <c r="DW2977" s="501"/>
      <c r="DX2977" s="501"/>
      <c r="DY2977" s="501"/>
      <c r="DZ2977" s="501"/>
      <c r="EA2977" s="501"/>
      <c r="EB2977" s="501"/>
      <c r="EC2977" s="501"/>
      <c r="ED2977" s="501"/>
      <c r="EE2977" s="501"/>
      <c r="EF2977" s="501"/>
      <c r="EG2977" s="501"/>
      <c r="EH2977" s="501"/>
      <c r="EI2977" s="501"/>
      <c r="EJ2977" s="501"/>
      <c r="EK2977" s="501"/>
      <c r="EL2977" s="501"/>
      <c r="EM2977" s="501"/>
      <c r="EN2977" s="501"/>
      <c r="EO2977" s="501"/>
      <c r="EP2977" s="501"/>
      <c r="EQ2977" s="501"/>
      <c r="ER2977" s="501"/>
      <c r="ES2977" s="501"/>
      <c r="ET2977" s="501"/>
      <c r="EU2977" s="501"/>
      <c r="EV2977" s="501"/>
      <c r="EW2977" s="501"/>
      <c r="EX2977" s="501"/>
      <c r="EY2977" s="501"/>
      <c r="EZ2977" s="501"/>
      <c r="FA2977" s="501"/>
      <c r="FB2977" s="501"/>
      <c r="FC2977" s="501"/>
      <c r="FD2977" s="501"/>
      <c r="FE2977" s="501"/>
      <c r="FF2977" s="501"/>
      <c r="FG2977" s="501"/>
      <c r="FH2977" s="501"/>
      <c r="FI2977" s="501"/>
      <c r="FJ2977" s="501"/>
      <c r="FK2977" s="501"/>
      <c r="FL2977" s="501"/>
      <c r="FM2977" s="501"/>
      <c r="FN2977" s="501"/>
      <c r="FO2977" s="501"/>
      <c r="FP2977" s="501"/>
      <c r="FQ2977" s="501"/>
      <c r="FR2977" s="501"/>
      <c r="FS2977" s="501"/>
      <c r="FT2977" s="501"/>
      <c r="FU2977" s="501"/>
      <c r="FV2977" s="501"/>
      <c r="FW2977" s="501"/>
      <c r="FX2977" s="501"/>
      <c r="FY2977" s="501"/>
      <c r="FZ2977" s="501"/>
      <c r="GA2977" s="501"/>
      <c r="GB2977" s="501"/>
      <c r="GC2977" s="501"/>
      <c r="GD2977" s="501"/>
      <c r="GE2977" s="501"/>
      <c r="GF2977" s="501"/>
      <c r="GG2977" s="501"/>
      <c r="GH2977" s="501"/>
      <c r="GI2977" s="501"/>
      <c r="GJ2977" s="501"/>
      <c r="GK2977" s="501"/>
      <c r="GL2977" s="501"/>
      <c r="GM2977" s="501"/>
      <c r="GN2977" s="501"/>
      <c r="GO2977" s="501"/>
      <c r="GP2977" s="501"/>
      <c r="GQ2977" s="501"/>
      <c r="GR2977" s="501"/>
      <c r="GS2977" s="501"/>
      <c r="GT2977" s="501"/>
      <c r="GU2977" s="501"/>
      <c r="GV2977" s="501"/>
      <c r="GW2977" s="501"/>
      <c r="GX2977" s="501"/>
      <c r="GY2977" s="501"/>
      <c r="GZ2977" s="501"/>
      <c r="HA2977" s="501"/>
      <c r="HB2977" s="501"/>
      <c r="HC2977" s="501"/>
      <c r="HD2977" s="501"/>
      <c r="HE2977" s="501"/>
      <c r="HF2977" s="501"/>
      <c r="HG2977" s="501"/>
      <c r="HH2977" s="501"/>
      <c r="HI2977" s="501"/>
      <c r="HJ2977" s="501"/>
      <c r="HK2977" s="501"/>
      <c r="HL2977" s="501"/>
      <c r="HM2977" s="501"/>
      <c r="HN2977" s="501"/>
      <c r="HO2977" s="501"/>
      <c r="HP2977" s="501"/>
      <c r="HQ2977" s="501"/>
      <c r="HR2977" s="501"/>
      <c r="HS2977" s="501"/>
      <c r="HT2977" s="501"/>
      <c r="HU2977" s="501"/>
      <c r="HV2977" s="501"/>
      <c r="HW2977" s="501"/>
      <c r="HX2977" s="501"/>
      <c r="HY2977" s="501"/>
      <c r="HZ2977" s="501"/>
      <c r="IA2977" s="501"/>
      <c r="IB2977" s="501"/>
      <c r="IC2977" s="501"/>
      <c r="ID2977" s="501"/>
      <c r="IE2977" s="501"/>
      <c r="IF2977" s="501"/>
      <c r="IG2977" s="501"/>
      <c r="IH2977" s="501"/>
      <c r="II2977" s="501"/>
      <c r="IJ2977" s="501"/>
      <c r="IK2977" s="501"/>
      <c r="IL2977" s="501"/>
      <c r="IM2977" s="501"/>
      <c r="IN2977" s="501"/>
      <c r="IO2977" s="501"/>
      <c r="IP2977" s="501"/>
      <c r="IQ2977" s="501"/>
      <c r="IR2977" s="501"/>
      <c r="IS2977" s="501"/>
      <c r="IT2977" s="501"/>
      <c r="IU2977" s="501"/>
    </row>
    <row r="2978" spans="1:255" s="877" customFormat="1" ht="24" customHeight="1">
      <c r="A2978" s="501"/>
      <c r="B2978" s="501"/>
      <c r="C2978" s="501"/>
      <c r="D2978" s="501"/>
      <c r="E2978" s="501"/>
      <c r="F2978" s="1130"/>
      <c r="G2978" s="1134"/>
      <c r="H2978" s="1130"/>
      <c r="I2978" s="1135"/>
      <c r="J2978" s="1130"/>
      <c r="K2978" s="1130"/>
      <c r="L2978" s="1131"/>
      <c r="M2978" s="1132"/>
      <c r="N2978" s="501"/>
      <c r="O2978" s="968"/>
      <c r="P2978" s="1152"/>
      <c r="Q2978" s="973"/>
      <c r="R2978" s="1097"/>
      <c r="S2978" s="974"/>
      <c r="T2978" s="968"/>
      <c r="V2978" s="501"/>
      <c r="W2978" s="501"/>
      <c r="X2978" s="501"/>
      <c r="Y2978" s="501"/>
      <c r="Z2978" s="501"/>
      <c r="AA2978" s="501"/>
      <c r="AB2978" s="501"/>
      <c r="AC2978" s="501"/>
      <c r="AD2978" s="501"/>
      <c r="AE2978" s="501"/>
      <c r="AF2978" s="501"/>
      <c r="AG2978" s="501"/>
      <c r="AH2978" s="501"/>
      <c r="AI2978" s="501"/>
      <c r="AJ2978" s="501"/>
      <c r="AK2978" s="501"/>
      <c r="AL2978" s="501"/>
      <c r="AM2978" s="501"/>
      <c r="AN2978" s="501"/>
      <c r="AO2978" s="501"/>
      <c r="AP2978" s="501"/>
      <c r="AQ2978" s="501"/>
      <c r="AR2978" s="501"/>
      <c r="AS2978" s="501"/>
      <c r="AT2978" s="501"/>
      <c r="AU2978" s="501"/>
      <c r="AV2978" s="501"/>
      <c r="AW2978" s="501"/>
      <c r="AX2978" s="501"/>
      <c r="AY2978" s="501"/>
      <c r="AZ2978" s="501"/>
      <c r="BA2978" s="501"/>
      <c r="BB2978" s="501"/>
      <c r="BC2978" s="501"/>
      <c r="BD2978" s="501"/>
      <c r="BE2978" s="501"/>
      <c r="BF2978" s="501"/>
      <c r="BG2978" s="501"/>
      <c r="BH2978" s="501"/>
      <c r="BI2978" s="501"/>
      <c r="BJ2978" s="501"/>
      <c r="BK2978" s="501"/>
      <c r="BL2978" s="501"/>
      <c r="BM2978" s="501"/>
      <c r="BN2978" s="501"/>
      <c r="BO2978" s="501"/>
      <c r="BP2978" s="501"/>
      <c r="BQ2978" s="501"/>
      <c r="BR2978" s="501"/>
      <c r="BS2978" s="501"/>
      <c r="BT2978" s="501"/>
      <c r="BU2978" s="501"/>
      <c r="BV2978" s="501"/>
      <c r="BW2978" s="501"/>
      <c r="BX2978" s="501"/>
      <c r="BY2978" s="501"/>
      <c r="BZ2978" s="501"/>
      <c r="CA2978" s="501"/>
      <c r="CB2978" s="501"/>
      <c r="CC2978" s="501"/>
      <c r="CD2978" s="501"/>
      <c r="CE2978" s="501"/>
      <c r="CF2978" s="501"/>
      <c r="CG2978" s="501"/>
      <c r="CH2978" s="501"/>
      <c r="CI2978" s="501"/>
      <c r="CJ2978" s="501"/>
      <c r="CK2978" s="501"/>
      <c r="CL2978" s="501"/>
      <c r="CM2978" s="501"/>
      <c r="CN2978" s="501"/>
      <c r="CO2978" s="501"/>
      <c r="CP2978" s="501"/>
      <c r="CQ2978" s="501"/>
      <c r="CR2978" s="501"/>
      <c r="CS2978" s="501"/>
      <c r="CT2978" s="501"/>
      <c r="CU2978" s="501"/>
      <c r="CV2978" s="501"/>
      <c r="CW2978" s="501"/>
      <c r="CX2978" s="501"/>
      <c r="CY2978" s="501"/>
      <c r="CZ2978" s="501"/>
      <c r="DA2978" s="501"/>
      <c r="DB2978" s="501"/>
      <c r="DC2978" s="501"/>
      <c r="DD2978" s="501"/>
      <c r="DE2978" s="501"/>
      <c r="DF2978" s="501"/>
      <c r="DG2978" s="501"/>
      <c r="DH2978" s="501"/>
      <c r="DI2978" s="501"/>
      <c r="DJ2978" s="501"/>
      <c r="DK2978" s="501"/>
      <c r="DL2978" s="501"/>
      <c r="DM2978" s="501"/>
      <c r="DN2978" s="501"/>
      <c r="DO2978" s="501"/>
      <c r="DP2978" s="501"/>
      <c r="DQ2978" s="501"/>
      <c r="DR2978" s="501"/>
      <c r="DS2978" s="501"/>
      <c r="DT2978" s="501"/>
      <c r="DU2978" s="501"/>
      <c r="DV2978" s="501"/>
      <c r="DW2978" s="501"/>
      <c r="DX2978" s="501"/>
      <c r="DY2978" s="501"/>
      <c r="DZ2978" s="501"/>
      <c r="EA2978" s="501"/>
      <c r="EB2978" s="501"/>
      <c r="EC2978" s="501"/>
      <c r="ED2978" s="501"/>
      <c r="EE2978" s="501"/>
      <c r="EF2978" s="501"/>
      <c r="EG2978" s="501"/>
      <c r="EH2978" s="501"/>
      <c r="EI2978" s="501"/>
      <c r="EJ2978" s="501"/>
      <c r="EK2978" s="501"/>
      <c r="EL2978" s="501"/>
      <c r="EM2978" s="501"/>
      <c r="EN2978" s="501"/>
      <c r="EO2978" s="501"/>
      <c r="EP2978" s="501"/>
      <c r="EQ2978" s="501"/>
      <c r="ER2978" s="501"/>
      <c r="ES2978" s="501"/>
      <c r="ET2978" s="501"/>
      <c r="EU2978" s="501"/>
      <c r="EV2978" s="501"/>
      <c r="EW2978" s="501"/>
      <c r="EX2978" s="501"/>
      <c r="EY2978" s="501"/>
      <c r="EZ2978" s="501"/>
      <c r="FA2978" s="501"/>
      <c r="FB2978" s="501"/>
      <c r="FC2978" s="501"/>
      <c r="FD2978" s="501"/>
      <c r="FE2978" s="501"/>
      <c r="FF2978" s="501"/>
      <c r="FG2978" s="501"/>
      <c r="FH2978" s="501"/>
      <c r="FI2978" s="501"/>
      <c r="FJ2978" s="501"/>
      <c r="FK2978" s="501"/>
      <c r="FL2978" s="501"/>
      <c r="FM2978" s="501"/>
      <c r="FN2978" s="501"/>
      <c r="FO2978" s="501"/>
      <c r="FP2978" s="501"/>
      <c r="FQ2978" s="501"/>
      <c r="FR2978" s="501"/>
      <c r="FS2978" s="501"/>
      <c r="FT2978" s="501"/>
      <c r="FU2978" s="501"/>
      <c r="FV2978" s="501"/>
      <c r="FW2978" s="501"/>
      <c r="FX2978" s="501"/>
      <c r="FY2978" s="501"/>
      <c r="FZ2978" s="501"/>
      <c r="GA2978" s="501"/>
      <c r="GB2978" s="501"/>
      <c r="GC2978" s="501"/>
      <c r="GD2978" s="501"/>
      <c r="GE2978" s="501"/>
      <c r="GF2978" s="501"/>
      <c r="GG2978" s="501"/>
      <c r="GH2978" s="501"/>
      <c r="GI2978" s="501"/>
      <c r="GJ2978" s="501"/>
      <c r="GK2978" s="501"/>
      <c r="GL2978" s="501"/>
      <c r="GM2978" s="501"/>
      <c r="GN2978" s="501"/>
      <c r="GO2978" s="501"/>
      <c r="GP2978" s="501"/>
      <c r="GQ2978" s="501"/>
      <c r="GR2978" s="501"/>
      <c r="GS2978" s="501"/>
      <c r="GT2978" s="501"/>
      <c r="GU2978" s="501"/>
      <c r="GV2978" s="501"/>
      <c r="GW2978" s="501"/>
      <c r="GX2978" s="501"/>
      <c r="GY2978" s="501"/>
      <c r="GZ2978" s="501"/>
      <c r="HA2978" s="501"/>
      <c r="HB2978" s="501"/>
      <c r="HC2978" s="501"/>
      <c r="HD2978" s="501"/>
      <c r="HE2978" s="501"/>
      <c r="HF2978" s="501"/>
      <c r="HG2978" s="501"/>
      <c r="HH2978" s="501"/>
      <c r="HI2978" s="501"/>
      <c r="HJ2978" s="501"/>
      <c r="HK2978" s="501"/>
      <c r="HL2978" s="501"/>
      <c r="HM2978" s="501"/>
      <c r="HN2978" s="501"/>
      <c r="HO2978" s="501"/>
      <c r="HP2978" s="501"/>
      <c r="HQ2978" s="501"/>
      <c r="HR2978" s="501"/>
      <c r="HS2978" s="501"/>
      <c r="HT2978" s="501"/>
      <c r="HU2978" s="501"/>
      <c r="HV2978" s="501"/>
      <c r="HW2978" s="501"/>
      <c r="HX2978" s="501"/>
      <c r="HY2978" s="501"/>
      <c r="HZ2978" s="501"/>
      <c r="IA2978" s="501"/>
      <c r="IB2978" s="501"/>
      <c r="IC2978" s="501"/>
      <c r="ID2978" s="501"/>
      <c r="IE2978" s="501"/>
      <c r="IF2978" s="501"/>
      <c r="IG2978" s="501"/>
      <c r="IH2978" s="501"/>
      <c r="II2978" s="501"/>
      <c r="IJ2978" s="501"/>
      <c r="IK2978" s="501"/>
      <c r="IL2978" s="501"/>
      <c r="IM2978" s="501"/>
      <c r="IN2978" s="501"/>
      <c r="IO2978" s="501"/>
      <c r="IP2978" s="501"/>
      <c r="IQ2978" s="501"/>
      <c r="IR2978" s="501"/>
      <c r="IS2978" s="501"/>
      <c r="IT2978" s="501"/>
      <c r="IU2978" s="501"/>
    </row>
    <row r="2979" spans="1:255" s="877" customFormat="1" ht="24" customHeight="1">
      <c r="A2979" s="501"/>
      <c r="B2979" s="501"/>
      <c r="C2979" s="501"/>
      <c r="D2979" s="501"/>
      <c r="E2979" s="501"/>
      <c r="F2979" s="1130"/>
      <c r="G2979" s="1134"/>
      <c r="H2979" s="1130"/>
      <c r="I2979" s="1135"/>
      <c r="J2979" s="1130"/>
      <c r="K2979" s="1130"/>
      <c r="L2979" s="1131"/>
      <c r="M2979" s="1132"/>
      <c r="N2979" s="501"/>
      <c r="O2979" s="1097"/>
      <c r="P2979" s="1151"/>
      <c r="Q2979" s="1097"/>
      <c r="R2979" s="1097"/>
      <c r="S2979" s="1101"/>
      <c r="T2979" s="1106"/>
      <c r="V2979" s="501"/>
      <c r="W2979" s="501"/>
      <c r="X2979" s="501"/>
      <c r="Y2979" s="501"/>
      <c r="Z2979" s="501"/>
      <c r="AA2979" s="501"/>
      <c r="AB2979" s="501"/>
      <c r="AC2979" s="501"/>
      <c r="AD2979" s="501"/>
      <c r="AE2979" s="501"/>
      <c r="AF2979" s="501"/>
      <c r="AG2979" s="501"/>
      <c r="AH2979" s="501"/>
      <c r="AI2979" s="501"/>
      <c r="AJ2979" s="501"/>
      <c r="AK2979" s="501"/>
      <c r="AL2979" s="501"/>
      <c r="AM2979" s="501"/>
      <c r="AN2979" s="501"/>
      <c r="AO2979" s="501"/>
      <c r="AP2979" s="501"/>
      <c r="AQ2979" s="501"/>
      <c r="AR2979" s="501"/>
      <c r="AS2979" s="501"/>
      <c r="AT2979" s="501"/>
      <c r="AU2979" s="501"/>
      <c r="AV2979" s="501"/>
      <c r="AW2979" s="501"/>
      <c r="AX2979" s="501"/>
      <c r="AY2979" s="501"/>
      <c r="AZ2979" s="501"/>
      <c r="BA2979" s="501"/>
      <c r="BB2979" s="501"/>
      <c r="BC2979" s="501"/>
      <c r="BD2979" s="501"/>
      <c r="BE2979" s="501"/>
      <c r="BF2979" s="501"/>
      <c r="BG2979" s="501"/>
      <c r="BH2979" s="501"/>
      <c r="BI2979" s="501"/>
      <c r="BJ2979" s="501"/>
      <c r="BK2979" s="501"/>
      <c r="BL2979" s="501"/>
      <c r="BM2979" s="501"/>
      <c r="BN2979" s="501"/>
      <c r="BO2979" s="501"/>
      <c r="BP2979" s="501"/>
      <c r="BQ2979" s="501"/>
      <c r="BR2979" s="501"/>
      <c r="BS2979" s="501"/>
      <c r="BT2979" s="501"/>
      <c r="BU2979" s="501"/>
      <c r="BV2979" s="501"/>
      <c r="BW2979" s="501"/>
      <c r="BX2979" s="501"/>
      <c r="BY2979" s="501"/>
      <c r="BZ2979" s="501"/>
      <c r="CA2979" s="501"/>
      <c r="CB2979" s="501"/>
      <c r="CC2979" s="501"/>
      <c r="CD2979" s="501"/>
      <c r="CE2979" s="501"/>
      <c r="CF2979" s="501"/>
      <c r="CG2979" s="501"/>
      <c r="CH2979" s="501"/>
      <c r="CI2979" s="501"/>
      <c r="CJ2979" s="501"/>
      <c r="CK2979" s="501"/>
      <c r="CL2979" s="501"/>
      <c r="CM2979" s="501"/>
      <c r="CN2979" s="501"/>
      <c r="CO2979" s="501"/>
      <c r="CP2979" s="501"/>
      <c r="CQ2979" s="501"/>
      <c r="CR2979" s="501"/>
      <c r="CS2979" s="501"/>
      <c r="CT2979" s="501"/>
      <c r="CU2979" s="501"/>
      <c r="CV2979" s="501"/>
      <c r="CW2979" s="501"/>
      <c r="CX2979" s="501"/>
      <c r="CY2979" s="501"/>
      <c r="CZ2979" s="501"/>
      <c r="DA2979" s="501"/>
      <c r="DB2979" s="501"/>
      <c r="DC2979" s="501"/>
      <c r="DD2979" s="501"/>
      <c r="DE2979" s="501"/>
      <c r="DF2979" s="501"/>
      <c r="DG2979" s="501"/>
      <c r="DH2979" s="501"/>
      <c r="DI2979" s="501"/>
      <c r="DJ2979" s="501"/>
      <c r="DK2979" s="501"/>
      <c r="DL2979" s="501"/>
      <c r="DM2979" s="501"/>
      <c r="DN2979" s="501"/>
      <c r="DO2979" s="501"/>
      <c r="DP2979" s="501"/>
      <c r="DQ2979" s="501"/>
      <c r="DR2979" s="501"/>
      <c r="DS2979" s="501"/>
      <c r="DT2979" s="501"/>
      <c r="DU2979" s="501"/>
      <c r="DV2979" s="501"/>
      <c r="DW2979" s="501"/>
      <c r="DX2979" s="501"/>
      <c r="DY2979" s="501"/>
      <c r="DZ2979" s="501"/>
      <c r="EA2979" s="501"/>
      <c r="EB2979" s="501"/>
      <c r="EC2979" s="501"/>
      <c r="ED2979" s="501"/>
      <c r="EE2979" s="501"/>
      <c r="EF2979" s="501"/>
      <c r="EG2979" s="501"/>
      <c r="EH2979" s="501"/>
      <c r="EI2979" s="501"/>
      <c r="EJ2979" s="501"/>
      <c r="EK2979" s="501"/>
      <c r="EL2979" s="501"/>
      <c r="EM2979" s="501"/>
      <c r="EN2979" s="501"/>
      <c r="EO2979" s="501"/>
      <c r="EP2979" s="501"/>
      <c r="EQ2979" s="501"/>
      <c r="ER2979" s="501"/>
      <c r="ES2979" s="501"/>
      <c r="ET2979" s="501"/>
      <c r="EU2979" s="501"/>
      <c r="EV2979" s="501"/>
      <c r="EW2979" s="501"/>
      <c r="EX2979" s="501"/>
      <c r="EY2979" s="501"/>
      <c r="EZ2979" s="501"/>
      <c r="FA2979" s="501"/>
      <c r="FB2979" s="501"/>
      <c r="FC2979" s="501"/>
      <c r="FD2979" s="501"/>
      <c r="FE2979" s="501"/>
      <c r="FF2979" s="501"/>
      <c r="FG2979" s="501"/>
      <c r="FH2979" s="501"/>
      <c r="FI2979" s="501"/>
      <c r="FJ2979" s="501"/>
      <c r="FK2979" s="501"/>
      <c r="FL2979" s="501"/>
      <c r="FM2979" s="501"/>
      <c r="FN2979" s="501"/>
      <c r="FO2979" s="501"/>
      <c r="FP2979" s="501"/>
      <c r="FQ2979" s="501"/>
      <c r="FR2979" s="501"/>
      <c r="FS2979" s="501"/>
      <c r="FT2979" s="501"/>
      <c r="FU2979" s="501"/>
      <c r="FV2979" s="501"/>
      <c r="FW2979" s="501"/>
      <c r="FX2979" s="501"/>
      <c r="FY2979" s="501"/>
      <c r="FZ2979" s="501"/>
      <c r="GA2979" s="501"/>
      <c r="GB2979" s="501"/>
      <c r="GC2979" s="501"/>
      <c r="GD2979" s="501"/>
      <c r="GE2979" s="501"/>
      <c r="GF2979" s="501"/>
      <c r="GG2979" s="501"/>
      <c r="GH2979" s="501"/>
      <c r="GI2979" s="501"/>
      <c r="GJ2979" s="501"/>
      <c r="GK2979" s="501"/>
      <c r="GL2979" s="501"/>
      <c r="GM2979" s="501"/>
      <c r="GN2979" s="501"/>
      <c r="GO2979" s="501"/>
      <c r="GP2979" s="501"/>
      <c r="GQ2979" s="501"/>
      <c r="GR2979" s="501"/>
      <c r="GS2979" s="501"/>
      <c r="GT2979" s="501"/>
      <c r="GU2979" s="501"/>
      <c r="GV2979" s="501"/>
      <c r="GW2979" s="501"/>
      <c r="GX2979" s="501"/>
      <c r="GY2979" s="501"/>
      <c r="GZ2979" s="501"/>
      <c r="HA2979" s="501"/>
      <c r="HB2979" s="501"/>
      <c r="HC2979" s="501"/>
      <c r="HD2979" s="501"/>
      <c r="HE2979" s="501"/>
      <c r="HF2979" s="501"/>
      <c r="HG2979" s="501"/>
      <c r="HH2979" s="501"/>
      <c r="HI2979" s="501"/>
      <c r="HJ2979" s="501"/>
      <c r="HK2979" s="501"/>
      <c r="HL2979" s="501"/>
      <c r="HM2979" s="501"/>
      <c r="HN2979" s="501"/>
      <c r="HO2979" s="501"/>
      <c r="HP2979" s="501"/>
      <c r="HQ2979" s="501"/>
      <c r="HR2979" s="501"/>
      <c r="HS2979" s="501"/>
      <c r="HT2979" s="501"/>
      <c r="HU2979" s="501"/>
      <c r="HV2979" s="501"/>
      <c r="HW2979" s="501"/>
      <c r="HX2979" s="501"/>
      <c r="HY2979" s="501"/>
      <c r="HZ2979" s="501"/>
      <c r="IA2979" s="501"/>
      <c r="IB2979" s="501"/>
      <c r="IC2979" s="501"/>
      <c r="ID2979" s="501"/>
      <c r="IE2979" s="501"/>
      <c r="IF2979" s="501"/>
      <c r="IG2979" s="501"/>
      <c r="IH2979" s="501"/>
      <c r="II2979" s="501"/>
      <c r="IJ2979" s="501"/>
      <c r="IK2979" s="501"/>
      <c r="IL2979" s="501"/>
      <c r="IM2979" s="501"/>
      <c r="IN2979" s="501"/>
      <c r="IO2979" s="501"/>
      <c r="IP2979" s="501"/>
      <c r="IQ2979" s="501"/>
      <c r="IR2979" s="501"/>
      <c r="IS2979" s="501"/>
      <c r="IT2979" s="501"/>
      <c r="IU2979" s="501"/>
    </row>
    <row r="2980" spans="1:255" s="877" customFormat="1" ht="24" customHeight="1">
      <c r="A2980" s="501"/>
      <c r="B2980" s="501"/>
      <c r="C2980" s="501"/>
      <c r="D2980" s="501"/>
      <c r="E2980" s="501"/>
      <c r="F2980" s="1130"/>
      <c r="G2980" s="1134"/>
      <c r="H2980" s="1130"/>
      <c r="I2980" s="1135"/>
      <c r="J2980" s="1130"/>
      <c r="K2980" s="1130"/>
      <c r="L2980" s="1131"/>
      <c r="M2980" s="1132"/>
      <c r="N2980" s="501"/>
      <c r="O2980" s="1097"/>
      <c r="P2980" s="1151"/>
      <c r="Q2980" s="973"/>
      <c r="R2980" s="1097"/>
      <c r="S2980" s="1101"/>
      <c r="T2980" s="968"/>
      <c r="V2980" s="501"/>
      <c r="W2980" s="501"/>
      <c r="X2980" s="501"/>
      <c r="Y2980" s="501"/>
      <c r="Z2980" s="501"/>
      <c r="AA2980" s="501"/>
      <c r="AB2980" s="501"/>
      <c r="AC2980" s="501"/>
      <c r="AD2980" s="501"/>
      <c r="AE2980" s="501"/>
      <c r="AF2980" s="501"/>
      <c r="AG2980" s="501"/>
      <c r="AH2980" s="501"/>
      <c r="AI2980" s="501"/>
      <c r="AJ2980" s="501"/>
      <c r="AK2980" s="501"/>
      <c r="AL2980" s="501"/>
      <c r="AM2980" s="501"/>
      <c r="AN2980" s="501"/>
      <c r="AO2980" s="501"/>
      <c r="AP2980" s="501"/>
      <c r="AQ2980" s="501"/>
      <c r="AR2980" s="501"/>
      <c r="AS2980" s="501"/>
      <c r="AT2980" s="501"/>
      <c r="AU2980" s="501"/>
      <c r="AV2980" s="501"/>
      <c r="AW2980" s="501"/>
      <c r="AX2980" s="501"/>
      <c r="AY2980" s="501"/>
      <c r="AZ2980" s="501"/>
      <c r="BA2980" s="501"/>
      <c r="BB2980" s="501"/>
      <c r="BC2980" s="501"/>
      <c r="BD2980" s="501"/>
      <c r="BE2980" s="501"/>
      <c r="BF2980" s="501"/>
      <c r="BG2980" s="501"/>
      <c r="BH2980" s="501"/>
      <c r="BI2980" s="501"/>
      <c r="BJ2980" s="501"/>
      <c r="BK2980" s="501"/>
      <c r="BL2980" s="501"/>
      <c r="BM2980" s="501"/>
      <c r="BN2980" s="501"/>
      <c r="BO2980" s="501"/>
      <c r="BP2980" s="501"/>
      <c r="BQ2980" s="501"/>
      <c r="BR2980" s="501"/>
      <c r="BS2980" s="501"/>
      <c r="BT2980" s="501"/>
      <c r="BU2980" s="501"/>
      <c r="BV2980" s="501"/>
      <c r="BW2980" s="501"/>
      <c r="BX2980" s="501"/>
      <c r="BY2980" s="501"/>
      <c r="BZ2980" s="501"/>
      <c r="CA2980" s="501"/>
      <c r="CB2980" s="501"/>
      <c r="CC2980" s="501"/>
      <c r="CD2980" s="501"/>
      <c r="CE2980" s="501"/>
      <c r="CF2980" s="501"/>
      <c r="CG2980" s="501"/>
      <c r="CH2980" s="501"/>
      <c r="CI2980" s="501"/>
      <c r="CJ2980" s="501"/>
      <c r="CK2980" s="501"/>
      <c r="CL2980" s="501"/>
      <c r="CM2980" s="501"/>
      <c r="CN2980" s="501"/>
      <c r="CO2980" s="501"/>
      <c r="CP2980" s="501"/>
      <c r="CQ2980" s="501"/>
      <c r="CR2980" s="501"/>
      <c r="CS2980" s="501"/>
      <c r="CT2980" s="501"/>
      <c r="CU2980" s="501"/>
      <c r="CV2980" s="501"/>
      <c r="CW2980" s="501"/>
      <c r="CX2980" s="501"/>
      <c r="CY2980" s="501"/>
      <c r="CZ2980" s="501"/>
      <c r="DA2980" s="501"/>
      <c r="DB2980" s="501"/>
      <c r="DC2980" s="501"/>
      <c r="DD2980" s="501"/>
      <c r="DE2980" s="501"/>
      <c r="DF2980" s="501"/>
      <c r="DG2980" s="501"/>
      <c r="DH2980" s="501"/>
      <c r="DI2980" s="501"/>
      <c r="DJ2980" s="501"/>
      <c r="DK2980" s="501"/>
      <c r="DL2980" s="501"/>
      <c r="DM2980" s="501"/>
      <c r="DN2980" s="501"/>
      <c r="DO2980" s="501"/>
      <c r="DP2980" s="501"/>
      <c r="DQ2980" s="501"/>
      <c r="DR2980" s="501"/>
      <c r="DS2980" s="501"/>
      <c r="DT2980" s="501"/>
      <c r="DU2980" s="501"/>
      <c r="DV2980" s="501"/>
      <c r="DW2980" s="501"/>
      <c r="DX2980" s="501"/>
      <c r="DY2980" s="501"/>
      <c r="DZ2980" s="501"/>
      <c r="EA2980" s="501"/>
      <c r="EB2980" s="501"/>
      <c r="EC2980" s="501"/>
      <c r="ED2980" s="501"/>
      <c r="EE2980" s="501"/>
      <c r="EF2980" s="501"/>
      <c r="EG2980" s="501"/>
      <c r="EH2980" s="501"/>
      <c r="EI2980" s="501"/>
      <c r="EJ2980" s="501"/>
      <c r="EK2980" s="501"/>
      <c r="EL2980" s="501"/>
      <c r="EM2980" s="501"/>
      <c r="EN2980" s="501"/>
      <c r="EO2980" s="501"/>
      <c r="EP2980" s="501"/>
      <c r="EQ2980" s="501"/>
      <c r="ER2980" s="501"/>
      <c r="ES2980" s="501"/>
      <c r="ET2980" s="501"/>
      <c r="EU2980" s="501"/>
      <c r="EV2980" s="501"/>
      <c r="EW2980" s="501"/>
      <c r="EX2980" s="501"/>
      <c r="EY2980" s="501"/>
      <c r="EZ2980" s="501"/>
      <c r="FA2980" s="501"/>
      <c r="FB2980" s="501"/>
      <c r="FC2980" s="501"/>
      <c r="FD2980" s="501"/>
      <c r="FE2980" s="501"/>
      <c r="FF2980" s="501"/>
      <c r="FG2980" s="501"/>
      <c r="FH2980" s="501"/>
      <c r="FI2980" s="501"/>
      <c r="FJ2980" s="501"/>
      <c r="FK2980" s="501"/>
      <c r="FL2980" s="501"/>
      <c r="FM2980" s="501"/>
      <c r="FN2980" s="501"/>
      <c r="FO2980" s="501"/>
      <c r="FP2980" s="501"/>
      <c r="FQ2980" s="501"/>
      <c r="FR2980" s="501"/>
      <c r="FS2980" s="501"/>
      <c r="FT2980" s="501"/>
      <c r="FU2980" s="501"/>
      <c r="FV2980" s="501"/>
      <c r="FW2980" s="501"/>
      <c r="FX2980" s="501"/>
      <c r="FY2980" s="501"/>
      <c r="FZ2980" s="501"/>
      <c r="GA2980" s="501"/>
      <c r="GB2980" s="501"/>
      <c r="GC2980" s="501"/>
      <c r="GD2980" s="501"/>
      <c r="GE2980" s="501"/>
      <c r="GF2980" s="501"/>
      <c r="GG2980" s="501"/>
      <c r="GH2980" s="501"/>
      <c r="GI2980" s="501"/>
      <c r="GJ2980" s="501"/>
      <c r="GK2980" s="501"/>
      <c r="GL2980" s="501"/>
      <c r="GM2980" s="501"/>
      <c r="GN2980" s="501"/>
      <c r="GO2980" s="501"/>
      <c r="GP2980" s="501"/>
      <c r="GQ2980" s="501"/>
      <c r="GR2980" s="501"/>
      <c r="GS2980" s="501"/>
      <c r="GT2980" s="501"/>
      <c r="GU2980" s="501"/>
      <c r="GV2980" s="501"/>
      <c r="GW2980" s="501"/>
      <c r="GX2980" s="501"/>
      <c r="GY2980" s="501"/>
      <c r="GZ2980" s="501"/>
      <c r="HA2980" s="501"/>
      <c r="HB2980" s="501"/>
      <c r="HC2980" s="501"/>
      <c r="HD2980" s="501"/>
      <c r="HE2980" s="501"/>
      <c r="HF2980" s="501"/>
      <c r="HG2980" s="501"/>
      <c r="HH2980" s="501"/>
      <c r="HI2980" s="501"/>
      <c r="HJ2980" s="501"/>
      <c r="HK2980" s="501"/>
      <c r="HL2980" s="501"/>
      <c r="HM2980" s="501"/>
      <c r="HN2980" s="501"/>
      <c r="HO2980" s="501"/>
      <c r="HP2980" s="501"/>
      <c r="HQ2980" s="501"/>
      <c r="HR2980" s="501"/>
      <c r="HS2980" s="501"/>
      <c r="HT2980" s="501"/>
      <c r="HU2980" s="501"/>
      <c r="HV2980" s="501"/>
      <c r="HW2980" s="501"/>
      <c r="HX2980" s="501"/>
      <c r="HY2980" s="501"/>
      <c r="HZ2980" s="501"/>
      <c r="IA2980" s="501"/>
      <c r="IB2980" s="501"/>
      <c r="IC2980" s="501"/>
      <c r="ID2980" s="501"/>
      <c r="IE2980" s="501"/>
      <c r="IF2980" s="501"/>
      <c r="IG2980" s="501"/>
      <c r="IH2980" s="501"/>
      <c r="II2980" s="501"/>
      <c r="IJ2980" s="501"/>
      <c r="IK2980" s="501"/>
      <c r="IL2980" s="501"/>
      <c r="IM2980" s="501"/>
      <c r="IN2980" s="501"/>
      <c r="IO2980" s="501"/>
      <c r="IP2980" s="501"/>
      <c r="IQ2980" s="501"/>
      <c r="IR2980" s="501"/>
      <c r="IS2980" s="501"/>
      <c r="IT2980" s="501"/>
      <c r="IU2980" s="501"/>
    </row>
    <row r="2981" spans="1:255" s="877" customFormat="1" ht="24" customHeight="1">
      <c r="A2981" s="501"/>
      <c r="B2981" s="501"/>
      <c r="C2981" s="501"/>
      <c r="D2981" s="501"/>
      <c r="E2981" s="501"/>
      <c r="F2981" s="1130"/>
      <c r="G2981" s="1134"/>
      <c r="H2981" s="1130"/>
      <c r="I2981" s="1135"/>
      <c r="J2981" s="1130"/>
      <c r="K2981" s="1130"/>
      <c r="L2981" s="1131"/>
      <c r="M2981" s="1132"/>
      <c r="N2981" s="501"/>
      <c r="O2981" s="1097"/>
      <c r="P2981" s="1151"/>
      <c r="Q2981" s="1097"/>
      <c r="R2981" s="1097"/>
      <c r="S2981" s="1101"/>
      <c r="T2981" s="1106"/>
      <c r="V2981" s="501"/>
      <c r="W2981" s="501"/>
      <c r="X2981" s="501"/>
      <c r="Y2981" s="501"/>
      <c r="Z2981" s="501"/>
      <c r="AA2981" s="501"/>
      <c r="AB2981" s="501"/>
      <c r="AC2981" s="501"/>
      <c r="AD2981" s="501"/>
      <c r="AE2981" s="501"/>
      <c r="AF2981" s="501"/>
      <c r="AG2981" s="501"/>
      <c r="AH2981" s="501"/>
      <c r="AI2981" s="501"/>
      <c r="AJ2981" s="501"/>
      <c r="AK2981" s="501"/>
      <c r="AL2981" s="501"/>
      <c r="AM2981" s="501"/>
      <c r="AN2981" s="501"/>
      <c r="AO2981" s="501"/>
      <c r="AP2981" s="501"/>
      <c r="AQ2981" s="501"/>
      <c r="AR2981" s="501"/>
      <c r="AS2981" s="501"/>
      <c r="AT2981" s="501"/>
      <c r="AU2981" s="501"/>
      <c r="AV2981" s="501"/>
      <c r="AW2981" s="501"/>
      <c r="AX2981" s="501"/>
      <c r="AY2981" s="501"/>
      <c r="AZ2981" s="501"/>
      <c r="BA2981" s="501"/>
      <c r="BB2981" s="501"/>
      <c r="BC2981" s="501"/>
      <c r="BD2981" s="501"/>
      <c r="BE2981" s="501"/>
      <c r="BF2981" s="501"/>
      <c r="BG2981" s="501"/>
      <c r="BH2981" s="501"/>
      <c r="BI2981" s="501"/>
      <c r="BJ2981" s="501"/>
      <c r="BK2981" s="501"/>
      <c r="BL2981" s="501"/>
      <c r="BM2981" s="501"/>
      <c r="BN2981" s="501"/>
      <c r="BO2981" s="501"/>
      <c r="BP2981" s="501"/>
      <c r="BQ2981" s="501"/>
      <c r="BR2981" s="501"/>
      <c r="BS2981" s="501"/>
      <c r="BT2981" s="501"/>
      <c r="BU2981" s="501"/>
      <c r="BV2981" s="501"/>
      <c r="BW2981" s="501"/>
      <c r="BX2981" s="501"/>
      <c r="BY2981" s="501"/>
      <c r="BZ2981" s="501"/>
      <c r="CA2981" s="501"/>
      <c r="CB2981" s="501"/>
      <c r="CC2981" s="501"/>
      <c r="CD2981" s="501"/>
      <c r="CE2981" s="501"/>
      <c r="CF2981" s="501"/>
      <c r="CG2981" s="501"/>
      <c r="CH2981" s="501"/>
      <c r="CI2981" s="501"/>
      <c r="CJ2981" s="501"/>
      <c r="CK2981" s="501"/>
      <c r="CL2981" s="501"/>
      <c r="CM2981" s="501"/>
      <c r="CN2981" s="501"/>
      <c r="CO2981" s="501"/>
      <c r="CP2981" s="501"/>
      <c r="CQ2981" s="501"/>
      <c r="CR2981" s="501"/>
      <c r="CS2981" s="501"/>
      <c r="CT2981" s="501"/>
      <c r="CU2981" s="501"/>
      <c r="CV2981" s="501"/>
      <c r="CW2981" s="501"/>
      <c r="CX2981" s="501"/>
      <c r="CY2981" s="501"/>
      <c r="CZ2981" s="501"/>
      <c r="DA2981" s="501"/>
      <c r="DB2981" s="501"/>
      <c r="DC2981" s="501"/>
      <c r="DD2981" s="501"/>
      <c r="DE2981" s="501"/>
      <c r="DF2981" s="501"/>
      <c r="DG2981" s="501"/>
      <c r="DH2981" s="501"/>
      <c r="DI2981" s="501"/>
      <c r="DJ2981" s="501"/>
      <c r="DK2981" s="501"/>
      <c r="DL2981" s="501"/>
      <c r="DM2981" s="501"/>
      <c r="DN2981" s="501"/>
      <c r="DO2981" s="501"/>
      <c r="DP2981" s="501"/>
      <c r="DQ2981" s="501"/>
      <c r="DR2981" s="501"/>
      <c r="DS2981" s="501"/>
      <c r="DT2981" s="501"/>
      <c r="DU2981" s="501"/>
      <c r="DV2981" s="501"/>
      <c r="DW2981" s="501"/>
      <c r="DX2981" s="501"/>
      <c r="DY2981" s="501"/>
      <c r="DZ2981" s="501"/>
      <c r="EA2981" s="501"/>
      <c r="EB2981" s="501"/>
      <c r="EC2981" s="501"/>
      <c r="ED2981" s="501"/>
      <c r="EE2981" s="501"/>
      <c r="EF2981" s="501"/>
      <c r="EG2981" s="501"/>
      <c r="EH2981" s="501"/>
      <c r="EI2981" s="501"/>
      <c r="EJ2981" s="501"/>
      <c r="EK2981" s="501"/>
      <c r="EL2981" s="501"/>
      <c r="EM2981" s="501"/>
      <c r="EN2981" s="501"/>
      <c r="EO2981" s="501"/>
      <c r="EP2981" s="501"/>
      <c r="EQ2981" s="501"/>
      <c r="ER2981" s="501"/>
      <c r="ES2981" s="501"/>
      <c r="ET2981" s="501"/>
      <c r="EU2981" s="501"/>
      <c r="EV2981" s="501"/>
      <c r="EW2981" s="501"/>
      <c r="EX2981" s="501"/>
      <c r="EY2981" s="501"/>
      <c r="EZ2981" s="501"/>
      <c r="FA2981" s="501"/>
      <c r="FB2981" s="501"/>
      <c r="FC2981" s="501"/>
      <c r="FD2981" s="501"/>
      <c r="FE2981" s="501"/>
      <c r="FF2981" s="501"/>
      <c r="FG2981" s="501"/>
      <c r="FH2981" s="501"/>
      <c r="FI2981" s="501"/>
      <c r="FJ2981" s="501"/>
      <c r="FK2981" s="501"/>
      <c r="FL2981" s="501"/>
      <c r="FM2981" s="501"/>
      <c r="FN2981" s="501"/>
      <c r="FO2981" s="501"/>
      <c r="FP2981" s="501"/>
      <c r="FQ2981" s="501"/>
      <c r="FR2981" s="501"/>
      <c r="FS2981" s="501"/>
      <c r="FT2981" s="501"/>
      <c r="FU2981" s="501"/>
      <c r="FV2981" s="501"/>
      <c r="FW2981" s="501"/>
      <c r="FX2981" s="501"/>
      <c r="FY2981" s="501"/>
      <c r="FZ2981" s="501"/>
      <c r="GA2981" s="501"/>
      <c r="GB2981" s="501"/>
      <c r="GC2981" s="501"/>
      <c r="GD2981" s="501"/>
      <c r="GE2981" s="501"/>
      <c r="GF2981" s="501"/>
      <c r="GG2981" s="501"/>
      <c r="GH2981" s="501"/>
      <c r="GI2981" s="501"/>
      <c r="GJ2981" s="501"/>
      <c r="GK2981" s="501"/>
      <c r="GL2981" s="501"/>
      <c r="GM2981" s="501"/>
      <c r="GN2981" s="501"/>
      <c r="GO2981" s="501"/>
      <c r="GP2981" s="501"/>
      <c r="GQ2981" s="501"/>
      <c r="GR2981" s="501"/>
      <c r="GS2981" s="501"/>
      <c r="GT2981" s="501"/>
      <c r="GU2981" s="501"/>
      <c r="GV2981" s="501"/>
      <c r="GW2981" s="501"/>
      <c r="GX2981" s="501"/>
      <c r="GY2981" s="501"/>
      <c r="GZ2981" s="501"/>
      <c r="HA2981" s="501"/>
      <c r="HB2981" s="501"/>
      <c r="HC2981" s="501"/>
      <c r="HD2981" s="501"/>
      <c r="HE2981" s="501"/>
      <c r="HF2981" s="501"/>
      <c r="HG2981" s="501"/>
      <c r="HH2981" s="501"/>
      <c r="HI2981" s="501"/>
      <c r="HJ2981" s="501"/>
      <c r="HK2981" s="501"/>
      <c r="HL2981" s="501"/>
      <c r="HM2981" s="501"/>
      <c r="HN2981" s="501"/>
      <c r="HO2981" s="501"/>
      <c r="HP2981" s="501"/>
      <c r="HQ2981" s="501"/>
      <c r="HR2981" s="501"/>
      <c r="HS2981" s="501"/>
      <c r="HT2981" s="501"/>
      <c r="HU2981" s="501"/>
      <c r="HV2981" s="501"/>
      <c r="HW2981" s="501"/>
      <c r="HX2981" s="501"/>
      <c r="HY2981" s="501"/>
      <c r="HZ2981" s="501"/>
      <c r="IA2981" s="501"/>
      <c r="IB2981" s="501"/>
      <c r="IC2981" s="501"/>
      <c r="ID2981" s="501"/>
      <c r="IE2981" s="501"/>
      <c r="IF2981" s="501"/>
      <c r="IG2981" s="501"/>
      <c r="IH2981" s="501"/>
      <c r="II2981" s="501"/>
      <c r="IJ2981" s="501"/>
      <c r="IK2981" s="501"/>
      <c r="IL2981" s="501"/>
      <c r="IM2981" s="501"/>
      <c r="IN2981" s="501"/>
      <c r="IO2981" s="501"/>
      <c r="IP2981" s="501"/>
      <c r="IQ2981" s="501"/>
      <c r="IR2981" s="501"/>
      <c r="IS2981" s="501"/>
      <c r="IT2981" s="501"/>
      <c r="IU2981" s="501"/>
    </row>
    <row r="2982" spans="1:255" s="877" customFormat="1" ht="24" customHeight="1">
      <c r="A2982" s="501"/>
      <c r="B2982" s="501"/>
      <c r="C2982" s="501"/>
      <c r="D2982" s="501"/>
      <c r="E2982" s="501"/>
      <c r="F2982" s="1130"/>
      <c r="G2982" s="1134"/>
      <c r="H2982" s="1130"/>
      <c r="I2982" s="1176"/>
      <c r="J2982" s="1130"/>
      <c r="K2982" s="1130"/>
      <c r="L2982" s="1131"/>
      <c r="M2982" s="1132"/>
      <c r="N2982" s="501"/>
      <c r="O2982" s="1097"/>
      <c r="P2982" s="1151"/>
      <c r="Q2982" s="973"/>
      <c r="R2982" s="1097"/>
      <c r="S2982" s="1101"/>
      <c r="T2982" s="968"/>
      <c r="V2982" s="501"/>
      <c r="W2982" s="501"/>
      <c r="X2982" s="501"/>
      <c r="Y2982" s="501"/>
      <c r="Z2982" s="501"/>
      <c r="AA2982" s="501"/>
      <c r="AB2982" s="501"/>
      <c r="AC2982" s="501"/>
      <c r="AD2982" s="501"/>
      <c r="AE2982" s="501"/>
      <c r="AF2982" s="501"/>
      <c r="AG2982" s="501"/>
      <c r="AH2982" s="501"/>
      <c r="AI2982" s="501"/>
      <c r="AJ2982" s="501"/>
      <c r="AK2982" s="501"/>
      <c r="AL2982" s="501"/>
      <c r="AM2982" s="501"/>
      <c r="AN2982" s="501"/>
      <c r="AO2982" s="501"/>
      <c r="AP2982" s="501"/>
      <c r="AQ2982" s="501"/>
      <c r="AR2982" s="501"/>
      <c r="AS2982" s="501"/>
      <c r="AT2982" s="501"/>
      <c r="AU2982" s="501"/>
      <c r="AV2982" s="501"/>
      <c r="AW2982" s="501"/>
      <c r="AX2982" s="501"/>
      <c r="AY2982" s="501"/>
      <c r="AZ2982" s="501"/>
      <c r="BA2982" s="501"/>
      <c r="BB2982" s="501"/>
      <c r="BC2982" s="501"/>
      <c r="BD2982" s="501"/>
      <c r="BE2982" s="501"/>
      <c r="BF2982" s="501"/>
      <c r="BG2982" s="501"/>
      <c r="BH2982" s="501"/>
      <c r="BI2982" s="501"/>
      <c r="BJ2982" s="501"/>
      <c r="BK2982" s="501"/>
      <c r="BL2982" s="501"/>
      <c r="BM2982" s="501"/>
      <c r="BN2982" s="501"/>
      <c r="BO2982" s="501"/>
      <c r="BP2982" s="501"/>
      <c r="BQ2982" s="501"/>
      <c r="BR2982" s="501"/>
      <c r="BS2982" s="501"/>
      <c r="BT2982" s="501"/>
      <c r="BU2982" s="501"/>
      <c r="BV2982" s="501"/>
      <c r="BW2982" s="501"/>
      <c r="BX2982" s="501"/>
      <c r="BY2982" s="501"/>
      <c r="BZ2982" s="501"/>
      <c r="CA2982" s="501"/>
      <c r="CB2982" s="501"/>
      <c r="CC2982" s="501"/>
      <c r="CD2982" s="501"/>
      <c r="CE2982" s="501"/>
      <c r="CF2982" s="501"/>
      <c r="CG2982" s="501"/>
      <c r="CH2982" s="501"/>
      <c r="CI2982" s="501"/>
      <c r="CJ2982" s="501"/>
      <c r="CK2982" s="501"/>
      <c r="CL2982" s="501"/>
      <c r="CM2982" s="501"/>
      <c r="CN2982" s="501"/>
      <c r="CO2982" s="501"/>
      <c r="CP2982" s="501"/>
      <c r="CQ2982" s="501"/>
      <c r="CR2982" s="501"/>
      <c r="CS2982" s="501"/>
      <c r="CT2982" s="501"/>
      <c r="CU2982" s="501"/>
      <c r="CV2982" s="501"/>
      <c r="CW2982" s="501"/>
      <c r="CX2982" s="501"/>
      <c r="CY2982" s="501"/>
      <c r="CZ2982" s="501"/>
      <c r="DA2982" s="501"/>
      <c r="DB2982" s="501"/>
      <c r="DC2982" s="501"/>
      <c r="DD2982" s="501"/>
      <c r="DE2982" s="501"/>
      <c r="DF2982" s="501"/>
      <c r="DG2982" s="501"/>
      <c r="DH2982" s="501"/>
      <c r="DI2982" s="501"/>
      <c r="DJ2982" s="501"/>
      <c r="DK2982" s="501"/>
      <c r="DL2982" s="501"/>
      <c r="DM2982" s="501"/>
      <c r="DN2982" s="501"/>
      <c r="DO2982" s="501"/>
      <c r="DP2982" s="501"/>
      <c r="DQ2982" s="501"/>
      <c r="DR2982" s="501"/>
      <c r="DS2982" s="501"/>
      <c r="DT2982" s="501"/>
      <c r="DU2982" s="501"/>
      <c r="DV2982" s="501"/>
      <c r="DW2982" s="501"/>
      <c r="DX2982" s="501"/>
      <c r="DY2982" s="501"/>
      <c r="DZ2982" s="501"/>
      <c r="EA2982" s="501"/>
      <c r="EB2982" s="501"/>
      <c r="EC2982" s="501"/>
      <c r="ED2982" s="501"/>
      <c r="EE2982" s="501"/>
      <c r="EF2982" s="501"/>
      <c r="EG2982" s="501"/>
      <c r="EH2982" s="501"/>
      <c r="EI2982" s="501"/>
      <c r="EJ2982" s="501"/>
      <c r="EK2982" s="501"/>
      <c r="EL2982" s="501"/>
      <c r="EM2982" s="501"/>
      <c r="EN2982" s="501"/>
      <c r="EO2982" s="501"/>
      <c r="EP2982" s="501"/>
      <c r="EQ2982" s="501"/>
      <c r="ER2982" s="501"/>
      <c r="ES2982" s="501"/>
      <c r="ET2982" s="501"/>
      <c r="EU2982" s="501"/>
      <c r="EV2982" s="501"/>
      <c r="EW2982" s="501"/>
      <c r="EX2982" s="501"/>
      <c r="EY2982" s="501"/>
      <c r="EZ2982" s="501"/>
      <c r="FA2982" s="501"/>
      <c r="FB2982" s="501"/>
      <c r="FC2982" s="501"/>
      <c r="FD2982" s="501"/>
      <c r="FE2982" s="501"/>
      <c r="FF2982" s="501"/>
      <c r="FG2982" s="501"/>
      <c r="FH2982" s="501"/>
      <c r="FI2982" s="501"/>
      <c r="FJ2982" s="501"/>
      <c r="FK2982" s="501"/>
      <c r="FL2982" s="501"/>
      <c r="FM2982" s="501"/>
      <c r="FN2982" s="501"/>
      <c r="FO2982" s="501"/>
      <c r="FP2982" s="501"/>
      <c r="FQ2982" s="501"/>
      <c r="FR2982" s="501"/>
      <c r="FS2982" s="501"/>
      <c r="FT2982" s="501"/>
      <c r="FU2982" s="501"/>
      <c r="FV2982" s="501"/>
      <c r="FW2982" s="501"/>
      <c r="FX2982" s="501"/>
      <c r="FY2982" s="501"/>
      <c r="FZ2982" s="501"/>
      <c r="GA2982" s="501"/>
      <c r="GB2982" s="501"/>
      <c r="GC2982" s="501"/>
      <c r="GD2982" s="501"/>
      <c r="GE2982" s="501"/>
      <c r="GF2982" s="501"/>
      <c r="GG2982" s="501"/>
      <c r="GH2982" s="501"/>
      <c r="GI2982" s="501"/>
      <c r="GJ2982" s="501"/>
      <c r="GK2982" s="501"/>
      <c r="GL2982" s="501"/>
      <c r="GM2982" s="501"/>
      <c r="GN2982" s="501"/>
      <c r="GO2982" s="501"/>
      <c r="GP2982" s="501"/>
      <c r="GQ2982" s="501"/>
      <c r="GR2982" s="501"/>
      <c r="GS2982" s="501"/>
      <c r="GT2982" s="501"/>
      <c r="GU2982" s="501"/>
      <c r="GV2982" s="501"/>
      <c r="GW2982" s="501"/>
      <c r="GX2982" s="501"/>
      <c r="GY2982" s="501"/>
      <c r="GZ2982" s="501"/>
      <c r="HA2982" s="501"/>
      <c r="HB2982" s="501"/>
      <c r="HC2982" s="501"/>
      <c r="HD2982" s="501"/>
      <c r="HE2982" s="501"/>
      <c r="HF2982" s="501"/>
      <c r="HG2982" s="501"/>
      <c r="HH2982" s="501"/>
      <c r="HI2982" s="501"/>
      <c r="HJ2982" s="501"/>
      <c r="HK2982" s="501"/>
      <c r="HL2982" s="501"/>
      <c r="HM2982" s="501"/>
      <c r="HN2982" s="501"/>
      <c r="HO2982" s="501"/>
      <c r="HP2982" s="501"/>
      <c r="HQ2982" s="501"/>
      <c r="HR2982" s="501"/>
      <c r="HS2982" s="501"/>
      <c r="HT2982" s="501"/>
      <c r="HU2982" s="501"/>
      <c r="HV2982" s="501"/>
      <c r="HW2982" s="501"/>
      <c r="HX2982" s="501"/>
      <c r="HY2982" s="501"/>
      <c r="HZ2982" s="501"/>
      <c r="IA2982" s="501"/>
      <c r="IB2982" s="501"/>
      <c r="IC2982" s="501"/>
      <c r="ID2982" s="501"/>
      <c r="IE2982" s="501"/>
      <c r="IF2982" s="501"/>
      <c r="IG2982" s="501"/>
      <c r="IH2982" s="501"/>
      <c r="II2982" s="501"/>
      <c r="IJ2982" s="501"/>
      <c r="IK2982" s="501"/>
      <c r="IL2982" s="501"/>
      <c r="IM2982" s="501"/>
      <c r="IN2982" s="501"/>
      <c r="IO2982" s="501"/>
      <c r="IP2982" s="501"/>
      <c r="IQ2982" s="501"/>
      <c r="IR2982" s="501"/>
      <c r="IS2982" s="501"/>
      <c r="IT2982" s="501"/>
      <c r="IU2982" s="501"/>
    </row>
    <row r="2983" spans="1:255" s="877" customFormat="1" ht="24" customHeight="1">
      <c r="A2983" s="501"/>
      <c r="B2983" s="501"/>
      <c r="C2983" s="501"/>
      <c r="D2983" s="501"/>
      <c r="E2983" s="501"/>
      <c r="F2983" s="1130"/>
      <c r="G2983" s="1134"/>
      <c r="H2983" s="1130"/>
      <c r="I2983" s="1135"/>
      <c r="J2983" s="1130"/>
      <c r="K2983" s="1130"/>
      <c r="L2983" s="1131"/>
      <c r="M2983" s="1132"/>
      <c r="N2983" s="501"/>
      <c r="O2983" s="501"/>
      <c r="P2983" s="501"/>
      <c r="Q2983" s="501"/>
      <c r="R2983" s="501"/>
      <c r="S2983" s="501"/>
      <c r="T2983" s="501"/>
      <c r="V2983" s="501"/>
      <c r="W2983" s="501"/>
      <c r="X2983" s="501"/>
      <c r="Y2983" s="501"/>
      <c r="Z2983" s="501"/>
      <c r="AA2983" s="501"/>
      <c r="AB2983" s="501"/>
      <c r="AC2983" s="501"/>
      <c r="AD2983" s="501"/>
      <c r="AE2983" s="501"/>
      <c r="AF2983" s="501"/>
      <c r="AG2983" s="501"/>
      <c r="AH2983" s="501"/>
      <c r="AI2983" s="501"/>
      <c r="AJ2983" s="501"/>
      <c r="AK2983" s="501"/>
      <c r="AL2983" s="501"/>
      <c r="AM2983" s="501"/>
      <c r="AN2983" s="501"/>
      <c r="AO2983" s="501"/>
      <c r="AP2983" s="501"/>
      <c r="AQ2983" s="501"/>
      <c r="AR2983" s="501"/>
      <c r="AS2983" s="501"/>
      <c r="AT2983" s="501"/>
      <c r="AU2983" s="501"/>
      <c r="AV2983" s="501"/>
      <c r="AW2983" s="501"/>
      <c r="AX2983" s="501"/>
      <c r="AY2983" s="501"/>
      <c r="AZ2983" s="501"/>
      <c r="BA2983" s="501"/>
      <c r="BB2983" s="501"/>
      <c r="BC2983" s="501"/>
      <c r="BD2983" s="501"/>
      <c r="BE2983" s="501"/>
      <c r="BF2983" s="501"/>
      <c r="BG2983" s="501"/>
      <c r="BH2983" s="501"/>
      <c r="BI2983" s="501"/>
      <c r="BJ2983" s="501"/>
      <c r="BK2983" s="501"/>
      <c r="BL2983" s="501"/>
      <c r="BM2983" s="501"/>
      <c r="BN2983" s="501"/>
      <c r="BO2983" s="501"/>
      <c r="BP2983" s="501"/>
      <c r="BQ2983" s="501"/>
      <c r="BR2983" s="501"/>
      <c r="BS2983" s="501"/>
      <c r="BT2983" s="501"/>
      <c r="BU2983" s="501"/>
      <c r="BV2983" s="501"/>
      <c r="BW2983" s="501"/>
      <c r="BX2983" s="501"/>
      <c r="BY2983" s="501"/>
      <c r="BZ2983" s="501"/>
      <c r="CA2983" s="501"/>
      <c r="CB2983" s="501"/>
      <c r="CC2983" s="501"/>
      <c r="CD2983" s="501"/>
      <c r="CE2983" s="501"/>
      <c r="CF2983" s="501"/>
      <c r="CG2983" s="501"/>
      <c r="CH2983" s="501"/>
      <c r="CI2983" s="501"/>
      <c r="CJ2983" s="501"/>
      <c r="CK2983" s="501"/>
      <c r="CL2983" s="501"/>
      <c r="CM2983" s="501"/>
      <c r="CN2983" s="501"/>
      <c r="CO2983" s="501"/>
      <c r="CP2983" s="501"/>
      <c r="CQ2983" s="501"/>
      <c r="CR2983" s="501"/>
      <c r="CS2983" s="501"/>
      <c r="CT2983" s="501"/>
      <c r="CU2983" s="501"/>
      <c r="CV2983" s="501"/>
      <c r="CW2983" s="501"/>
      <c r="CX2983" s="501"/>
      <c r="CY2983" s="501"/>
      <c r="CZ2983" s="501"/>
      <c r="DA2983" s="501"/>
      <c r="DB2983" s="501"/>
      <c r="DC2983" s="501"/>
      <c r="DD2983" s="501"/>
      <c r="DE2983" s="501"/>
      <c r="DF2983" s="501"/>
      <c r="DG2983" s="501"/>
      <c r="DH2983" s="501"/>
      <c r="DI2983" s="501"/>
      <c r="DJ2983" s="501"/>
      <c r="DK2983" s="501"/>
      <c r="DL2983" s="501"/>
      <c r="DM2983" s="501"/>
      <c r="DN2983" s="501"/>
      <c r="DO2983" s="501"/>
      <c r="DP2983" s="501"/>
      <c r="DQ2983" s="501"/>
      <c r="DR2983" s="501"/>
      <c r="DS2983" s="501"/>
      <c r="DT2983" s="501"/>
      <c r="DU2983" s="501"/>
      <c r="DV2983" s="501"/>
      <c r="DW2983" s="501"/>
      <c r="DX2983" s="501"/>
      <c r="DY2983" s="501"/>
      <c r="DZ2983" s="501"/>
      <c r="EA2983" s="501"/>
      <c r="EB2983" s="501"/>
      <c r="EC2983" s="501"/>
      <c r="ED2983" s="501"/>
      <c r="EE2983" s="501"/>
      <c r="EF2983" s="501"/>
      <c r="EG2983" s="501"/>
      <c r="EH2983" s="501"/>
      <c r="EI2983" s="501"/>
      <c r="EJ2983" s="501"/>
      <c r="EK2983" s="501"/>
      <c r="EL2983" s="501"/>
      <c r="EM2983" s="501"/>
      <c r="EN2983" s="501"/>
      <c r="EO2983" s="501"/>
      <c r="EP2983" s="501"/>
      <c r="EQ2983" s="501"/>
      <c r="ER2983" s="501"/>
      <c r="ES2983" s="501"/>
      <c r="ET2983" s="501"/>
      <c r="EU2983" s="501"/>
      <c r="EV2983" s="501"/>
      <c r="EW2983" s="501"/>
      <c r="EX2983" s="501"/>
      <c r="EY2983" s="501"/>
      <c r="EZ2983" s="501"/>
      <c r="FA2983" s="501"/>
      <c r="FB2983" s="501"/>
      <c r="FC2983" s="501"/>
      <c r="FD2983" s="501"/>
      <c r="FE2983" s="501"/>
      <c r="FF2983" s="501"/>
      <c r="FG2983" s="501"/>
      <c r="FH2983" s="501"/>
      <c r="FI2983" s="501"/>
      <c r="FJ2983" s="501"/>
      <c r="FK2983" s="501"/>
      <c r="FL2983" s="501"/>
      <c r="FM2983" s="501"/>
      <c r="FN2983" s="501"/>
      <c r="FO2983" s="501"/>
      <c r="FP2983" s="501"/>
      <c r="FQ2983" s="501"/>
      <c r="FR2983" s="501"/>
      <c r="FS2983" s="501"/>
      <c r="FT2983" s="501"/>
      <c r="FU2983" s="501"/>
      <c r="FV2983" s="501"/>
      <c r="FW2983" s="501"/>
      <c r="FX2983" s="501"/>
      <c r="FY2983" s="501"/>
      <c r="FZ2983" s="501"/>
      <c r="GA2983" s="501"/>
      <c r="GB2983" s="501"/>
      <c r="GC2983" s="501"/>
      <c r="GD2983" s="501"/>
      <c r="GE2983" s="501"/>
      <c r="GF2983" s="501"/>
      <c r="GG2983" s="501"/>
      <c r="GH2983" s="501"/>
      <c r="GI2983" s="501"/>
      <c r="GJ2983" s="501"/>
      <c r="GK2983" s="501"/>
      <c r="GL2983" s="501"/>
      <c r="GM2983" s="501"/>
      <c r="GN2983" s="501"/>
      <c r="GO2983" s="501"/>
      <c r="GP2983" s="501"/>
      <c r="GQ2983" s="501"/>
      <c r="GR2983" s="501"/>
      <c r="GS2983" s="501"/>
      <c r="GT2983" s="501"/>
      <c r="GU2983" s="501"/>
      <c r="GV2983" s="501"/>
      <c r="GW2983" s="501"/>
      <c r="GX2983" s="501"/>
      <c r="GY2983" s="501"/>
      <c r="GZ2983" s="501"/>
      <c r="HA2983" s="501"/>
      <c r="HB2983" s="501"/>
      <c r="HC2983" s="501"/>
      <c r="HD2983" s="501"/>
      <c r="HE2983" s="501"/>
      <c r="HF2983" s="501"/>
      <c r="HG2983" s="501"/>
      <c r="HH2983" s="501"/>
      <c r="HI2983" s="501"/>
      <c r="HJ2983" s="501"/>
      <c r="HK2983" s="501"/>
      <c r="HL2983" s="501"/>
      <c r="HM2983" s="501"/>
      <c r="HN2983" s="501"/>
      <c r="HO2983" s="501"/>
      <c r="HP2983" s="501"/>
      <c r="HQ2983" s="501"/>
      <c r="HR2983" s="501"/>
      <c r="HS2983" s="501"/>
      <c r="HT2983" s="501"/>
      <c r="HU2983" s="501"/>
      <c r="HV2983" s="501"/>
      <c r="HW2983" s="501"/>
      <c r="HX2983" s="501"/>
      <c r="HY2983" s="501"/>
      <c r="HZ2983" s="501"/>
      <c r="IA2983" s="501"/>
      <c r="IB2983" s="501"/>
      <c r="IC2983" s="501"/>
      <c r="ID2983" s="501"/>
      <c r="IE2983" s="501"/>
      <c r="IF2983" s="501"/>
      <c r="IG2983" s="501"/>
      <c r="IH2983" s="501"/>
      <c r="II2983" s="501"/>
      <c r="IJ2983" s="501"/>
      <c r="IK2983" s="501"/>
      <c r="IL2983" s="501"/>
      <c r="IM2983" s="501"/>
      <c r="IN2983" s="501"/>
      <c r="IO2983" s="501"/>
      <c r="IP2983" s="501"/>
      <c r="IQ2983" s="501"/>
      <c r="IR2983" s="501"/>
      <c r="IS2983" s="501"/>
      <c r="IT2983" s="501"/>
      <c r="IU2983" s="501"/>
    </row>
    <row r="2984" spans="1:255" s="877" customFormat="1" ht="24" customHeight="1">
      <c r="A2984" s="501"/>
      <c r="B2984" s="501"/>
      <c r="C2984" s="501"/>
      <c r="D2984" s="501"/>
      <c r="E2984" s="501"/>
      <c r="F2984" s="1177"/>
      <c r="G2984" s="1178"/>
      <c r="H2984" s="1177"/>
      <c r="I2984" s="1135"/>
      <c r="J2984" s="1130"/>
      <c r="K2984" s="1130"/>
      <c r="L2984" s="1131"/>
      <c r="M2984" s="1132"/>
      <c r="N2984" s="501"/>
      <c r="O2984" s="501"/>
      <c r="P2984" s="501"/>
      <c r="Q2984" s="501"/>
      <c r="R2984" s="501"/>
      <c r="S2984" s="501"/>
      <c r="T2984" s="501"/>
      <c r="V2984" s="501"/>
      <c r="W2984" s="501"/>
      <c r="X2984" s="501"/>
      <c r="Y2984" s="501"/>
      <c r="Z2984" s="501"/>
      <c r="AA2984" s="501"/>
      <c r="AB2984" s="501"/>
      <c r="AC2984" s="501"/>
      <c r="AD2984" s="501"/>
      <c r="AE2984" s="501"/>
      <c r="AF2984" s="501"/>
      <c r="AG2984" s="501"/>
      <c r="AH2984" s="501"/>
      <c r="AI2984" s="501"/>
      <c r="AJ2984" s="501"/>
      <c r="AK2984" s="501"/>
      <c r="AL2984" s="501"/>
      <c r="AM2984" s="501"/>
      <c r="AN2984" s="501"/>
      <c r="AO2984" s="501"/>
      <c r="AP2984" s="501"/>
      <c r="AQ2984" s="501"/>
      <c r="AR2984" s="501"/>
      <c r="AS2984" s="501"/>
      <c r="AT2984" s="501"/>
      <c r="AU2984" s="501"/>
      <c r="AV2984" s="501"/>
      <c r="AW2984" s="501"/>
      <c r="AX2984" s="501"/>
      <c r="AY2984" s="501"/>
      <c r="AZ2984" s="501"/>
      <c r="BA2984" s="501"/>
      <c r="BB2984" s="501"/>
      <c r="BC2984" s="501"/>
      <c r="BD2984" s="501"/>
      <c r="BE2984" s="501"/>
      <c r="BF2984" s="501"/>
      <c r="BG2984" s="501"/>
      <c r="BH2984" s="501"/>
      <c r="BI2984" s="501"/>
      <c r="BJ2984" s="501"/>
      <c r="BK2984" s="501"/>
      <c r="BL2984" s="501"/>
      <c r="BM2984" s="501"/>
      <c r="BN2984" s="501"/>
      <c r="BO2984" s="501"/>
      <c r="BP2984" s="501"/>
      <c r="BQ2984" s="501"/>
      <c r="BR2984" s="501"/>
      <c r="BS2984" s="501"/>
      <c r="BT2984" s="501"/>
      <c r="BU2984" s="501"/>
      <c r="BV2984" s="501"/>
      <c r="BW2984" s="501"/>
      <c r="BX2984" s="501"/>
      <c r="BY2984" s="501"/>
      <c r="BZ2984" s="501"/>
      <c r="CA2984" s="501"/>
      <c r="CB2984" s="501"/>
      <c r="CC2984" s="501"/>
      <c r="CD2984" s="501"/>
      <c r="CE2984" s="501"/>
      <c r="CF2984" s="501"/>
      <c r="CG2984" s="501"/>
      <c r="CH2984" s="501"/>
      <c r="CI2984" s="501"/>
      <c r="CJ2984" s="501"/>
      <c r="CK2984" s="501"/>
      <c r="CL2984" s="501"/>
      <c r="CM2984" s="501"/>
      <c r="CN2984" s="501"/>
      <c r="CO2984" s="501"/>
      <c r="CP2984" s="501"/>
      <c r="CQ2984" s="501"/>
      <c r="CR2984" s="501"/>
      <c r="CS2984" s="501"/>
      <c r="CT2984" s="501"/>
      <c r="CU2984" s="501"/>
      <c r="CV2984" s="501"/>
      <c r="CW2984" s="501"/>
      <c r="CX2984" s="501"/>
      <c r="CY2984" s="501"/>
      <c r="CZ2984" s="501"/>
      <c r="DA2984" s="501"/>
      <c r="DB2984" s="501"/>
      <c r="DC2984" s="501"/>
      <c r="DD2984" s="501"/>
      <c r="DE2984" s="501"/>
      <c r="DF2984" s="501"/>
      <c r="DG2984" s="501"/>
      <c r="DH2984" s="501"/>
      <c r="DI2984" s="501"/>
      <c r="DJ2984" s="501"/>
      <c r="DK2984" s="501"/>
      <c r="DL2984" s="501"/>
      <c r="DM2984" s="501"/>
      <c r="DN2984" s="501"/>
      <c r="DO2984" s="501"/>
      <c r="DP2984" s="501"/>
      <c r="DQ2984" s="501"/>
      <c r="DR2984" s="501"/>
      <c r="DS2984" s="501"/>
      <c r="DT2984" s="501"/>
      <c r="DU2984" s="501"/>
      <c r="DV2984" s="501"/>
      <c r="DW2984" s="501"/>
      <c r="DX2984" s="501"/>
      <c r="DY2984" s="501"/>
      <c r="DZ2984" s="501"/>
      <c r="EA2984" s="501"/>
      <c r="EB2984" s="501"/>
      <c r="EC2984" s="501"/>
      <c r="ED2984" s="501"/>
      <c r="EE2984" s="501"/>
      <c r="EF2984" s="501"/>
      <c r="EG2984" s="501"/>
      <c r="EH2984" s="501"/>
      <c r="EI2984" s="501"/>
      <c r="EJ2984" s="501"/>
      <c r="EK2984" s="501"/>
      <c r="EL2984" s="501"/>
      <c r="EM2984" s="501"/>
      <c r="EN2984" s="501"/>
      <c r="EO2984" s="501"/>
      <c r="EP2984" s="501"/>
      <c r="EQ2984" s="501"/>
      <c r="ER2984" s="501"/>
      <c r="ES2984" s="501"/>
      <c r="ET2984" s="501"/>
      <c r="EU2984" s="501"/>
      <c r="EV2984" s="501"/>
      <c r="EW2984" s="501"/>
      <c r="EX2984" s="501"/>
      <c r="EY2984" s="501"/>
      <c r="EZ2984" s="501"/>
      <c r="FA2984" s="501"/>
      <c r="FB2984" s="501"/>
      <c r="FC2984" s="501"/>
      <c r="FD2984" s="501"/>
      <c r="FE2984" s="501"/>
      <c r="FF2984" s="501"/>
      <c r="FG2984" s="501"/>
      <c r="FH2984" s="501"/>
      <c r="FI2984" s="501"/>
      <c r="FJ2984" s="501"/>
      <c r="FK2984" s="501"/>
      <c r="FL2984" s="501"/>
      <c r="FM2984" s="501"/>
      <c r="FN2984" s="501"/>
      <c r="FO2984" s="501"/>
      <c r="FP2984" s="501"/>
      <c r="FQ2984" s="501"/>
      <c r="FR2984" s="501"/>
      <c r="FS2984" s="501"/>
      <c r="FT2984" s="501"/>
      <c r="FU2984" s="501"/>
      <c r="FV2984" s="501"/>
      <c r="FW2984" s="501"/>
      <c r="FX2984" s="501"/>
      <c r="FY2984" s="501"/>
      <c r="FZ2984" s="501"/>
      <c r="GA2984" s="501"/>
      <c r="GB2984" s="501"/>
      <c r="GC2984" s="501"/>
      <c r="GD2984" s="501"/>
      <c r="GE2984" s="501"/>
      <c r="GF2984" s="501"/>
      <c r="GG2984" s="501"/>
      <c r="GH2984" s="501"/>
      <c r="GI2984" s="501"/>
      <c r="GJ2984" s="501"/>
      <c r="GK2984" s="501"/>
      <c r="GL2984" s="501"/>
      <c r="GM2984" s="501"/>
      <c r="GN2984" s="501"/>
      <c r="GO2984" s="501"/>
      <c r="GP2984" s="501"/>
      <c r="GQ2984" s="501"/>
      <c r="GR2984" s="501"/>
      <c r="GS2984" s="501"/>
      <c r="GT2984" s="501"/>
      <c r="GU2984" s="501"/>
      <c r="GV2984" s="501"/>
      <c r="GW2984" s="501"/>
      <c r="GX2984" s="501"/>
      <c r="GY2984" s="501"/>
      <c r="GZ2984" s="501"/>
      <c r="HA2984" s="501"/>
      <c r="HB2984" s="501"/>
      <c r="HC2984" s="501"/>
      <c r="HD2984" s="501"/>
      <c r="HE2984" s="501"/>
      <c r="HF2984" s="501"/>
      <c r="HG2984" s="501"/>
      <c r="HH2984" s="501"/>
      <c r="HI2984" s="501"/>
      <c r="HJ2984" s="501"/>
      <c r="HK2984" s="501"/>
      <c r="HL2984" s="501"/>
      <c r="HM2984" s="501"/>
      <c r="HN2984" s="501"/>
      <c r="HO2984" s="501"/>
      <c r="HP2984" s="501"/>
      <c r="HQ2984" s="501"/>
      <c r="HR2984" s="501"/>
      <c r="HS2984" s="501"/>
      <c r="HT2984" s="501"/>
      <c r="HU2984" s="501"/>
      <c r="HV2984" s="501"/>
      <c r="HW2984" s="501"/>
      <c r="HX2984" s="501"/>
      <c r="HY2984" s="501"/>
      <c r="HZ2984" s="501"/>
      <c r="IA2984" s="501"/>
      <c r="IB2984" s="501"/>
      <c r="IC2984" s="501"/>
      <c r="ID2984" s="501"/>
      <c r="IE2984" s="501"/>
      <c r="IF2984" s="501"/>
      <c r="IG2984" s="501"/>
      <c r="IH2984" s="501"/>
      <c r="II2984" s="501"/>
      <c r="IJ2984" s="501"/>
      <c r="IK2984" s="501"/>
      <c r="IL2984" s="501"/>
      <c r="IM2984" s="501"/>
      <c r="IN2984" s="501"/>
      <c r="IO2984" s="501"/>
      <c r="IP2984" s="501"/>
      <c r="IQ2984" s="501"/>
      <c r="IR2984" s="501"/>
      <c r="IS2984" s="501"/>
      <c r="IT2984" s="501"/>
      <c r="IU2984" s="501"/>
    </row>
    <row r="2985" spans="1:255" s="877" customFormat="1" ht="24" customHeight="1">
      <c r="A2985" s="501"/>
      <c r="B2985" s="501"/>
      <c r="C2985" s="501"/>
      <c r="D2985" s="501"/>
      <c r="E2985" s="501"/>
      <c r="F2985" s="1130"/>
      <c r="G2985" s="1134"/>
      <c r="H2985" s="1130"/>
      <c r="I2985" s="1135"/>
      <c r="J2985" s="1130"/>
      <c r="K2985" s="1130"/>
      <c r="L2985" s="1131"/>
      <c r="M2985" s="1132"/>
      <c r="N2985" s="501"/>
      <c r="O2985" s="501"/>
      <c r="P2985" s="501"/>
      <c r="Q2985" s="501"/>
      <c r="R2985" s="501"/>
      <c r="S2985" s="501"/>
      <c r="T2985" s="501"/>
      <c r="V2985" s="501"/>
      <c r="W2985" s="501"/>
      <c r="X2985" s="501"/>
      <c r="Y2985" s="501"/>
      <c r="Z2985" s="501"/>
      <c r="AA2985" s="501"/>
      <c r="AB2985" s="501"/>
      <c r="AC2985" s="501"/>
      <c r="AD2985" s="501"/>
      <c r="AE2985" s="501"/>
      <c r="AF2985" s="501"/>
      <c r="AG2985" s="501"/>
      <c r="AH2985" s="501"/>
      <c r="AI2985" s="501"/>
      <c r="AJ2985" s="501"/>
      <c r="AK2985" s="501"/>
      <c r="AL2985" s="501"/>
      <c r="AM2985" s="501"/>
      <c r="AN2985" s="501"/>
      <c r="AO2985" s="501"/>
      <c r="AP2985" s="501"/>
      <c r="AQ2985" s="501"/>
      <c r="AR2985" s="501"/>
      <c r="AS2985" s="501"/>
      <c r="AT2985" s="501"/>
      <c r="AU2985" s="501"/>
      <c r="AV2985" s="501"/>
      <c r="AW2985" s="501"/>
      <c r="AX2985" s="501"/>
      <c r="AY2985" s="501"/>
      <c r="AZ2985" s="501"/>
      <c r="BA2985" s="501"/>
      <c r="BB2985" s="501"/>
      <c r="BC2985" s="501"/>
      <c r="BD2985" s="501"/>
      <c r="BE2985" s="501"/>
      <c r="BF2985" s="501"/>
      <c r="BG2985" s="501"/>
      <c r="BH2985" s="501"/>
      <c r="BI2985" s="501"/>
      <c r="BJ2985" s="501"/>
      <c r="BK2985" s="501"/>
      <c r="BL2985" s="501"/>
      <c r="BM2985" s="501"/>
      <c r="BN2985" s="501"/>
      <c r="BO2985" s="501"/>
      <c r="BP2985" s="501"/>
      <c r="BQ2985" s="501"/>
      <c r="BR2985" s="501"/>
      <c r="BS2985" s="501"/>
      <c r="BT2985" s="501"/>
      <c r="BU2985" s="501"/>
      <c r="BV2985" s="501"/>
      <c r="BW2985" s="501"/>
      <c r="BX2985" s="501"/>
      <c r="BY2985" s="501"/>
      <c r="BZ2985" s="501"/>
      <c r="CA2985" s="501"/>
      <c r="CB2985" s="501"/>
      <c r="CC2985" s="501"/>
      <c r="CD2985" s="501"/>
      <c r="CE2985" s="501"/>
      <c r="CF2985" s="501"/>
      <c r="CG2985" s="501"/>
      <c r="CH2985" s="501"/>
      <c r="CI2985" s="501"/>
      <c r="CJ2985" s="501"/>
      <c r="CK2985" s="501"/>
      <c r="CL2985" s="501"/>
      <c r="CM2985" s="501"/>
      <c r="CN2985" s="501"/>
      <c r="CO2985" s="501"/>
      <c r="CP2985" s="501"/>
      <c r="CQ2985" s="501"/>
      <c r="CR2985" s="501"/>
      <c r="CS2985" s="501"/>
      <c r="CT2985" s="501"/>
      <c r="CU2985" s="501"/>
      <c r="CV2985" s="501"/>
      <c r="CW2985" s="501"/>
      <c r="CX2985" s="501"/>
      <c r="CY2985" s="501"/>
      <c r="CZ2985" s="501"/>
      <c r="DA2985" s="501"/>
      <c r="DB2985" s="501"/>
      <c r="DC2985" s="501"/>
      <c r="DD2985" s="501"/>
      <c r="DE2985" s="501"/>
      <c r="DF2985" s="501"/>
      <c r="DG2985" s="501"/>
      <c r="DH2985" s="501"/>
      <c r="DI2985" s="501"/>
      <c r="DJ2985" s="501"/>
      <c r="DK2985" s="501"/>
      <c r="DL2985" s="501"/>
      <c r="DM2985" s="501"/>
      <c r="DN2985" s="501"/>
      <c r="DO2985" s="501"/>
      <c r="DP2985" s="501"/>
      <c r="DQ2985" s="501"/>
      <c r="DR2985" s="501"/>
      <c r="DS2985" s="501"/>
      <c r="DT2985" s="501"/>
      <c r="DU2985" s="501"/>
      <c r="DV2985" s="501"/>
      <c r="DW2985" s="501"/>
      <c r="DX2985" s="501"/>
      <c r="DY2985" s="501"/>
      <c r="DZ2985" s="501"/>
      <c r="EA2985" s="501"/>
      <c r="EB2985" s="501"/>
      <c r="EC2985" s="501"/>
      <c r="ED2985" s="501"/>
      <c r="EE2985" s="501"/>
      <c r="EF2985" s="501"/>
      <c r="EG2985" s="501"/>
      <c r="EH2985" s="501"/>
      <c r="EI2985" s="501"/>
      <c r="EJ2985" s="501"/>
      <c r="EK2985" s="501"/>
      <c r="EL2985" s="501"/>
      <c r="EM2985" s="501"/>
      <c r="EN2985" s="501"/>
      <c r="EO2985" s="501"/>
      <c r="EP2985" s="501"/>
      <c r="EQ2985" s="501"/>
      <c r="ER2985" s="501"/>
      <c r="ES2985" s="501"/>
      <c r="ET2985" s="501"/>
      <c r="EU2985" s="501"/>
      <c r="EV2985" s="501"/>
      <c r="EW2985" s="501"/>
      <c r="EX2985" s="501"/>
      <c r="EY2985" s="501"/>
      <c r="EZ2985" s="501"/>
      <c r="FA2985" s="501"/>
      <c r="FB2985" s="501"/>
      <c r="FC2985" s="501"/>
      <c r="FD2985" s="501"/>
      <c r="FE2985" s="501"/>
      <c r="FF2985" s="501"/>
      <c r="FG2985" s="501"/>
      <c r="FH2985" s="501"/>
      <c r="FI2985" s="501"/>
      <c r="FJ2985" s="501"/>
      <c r="FK2985" s="501"/>
      <c r="FL2985" s="501"/>
      <c r="FM2985" s="501"/>
      <c r="FN2985" s="501"/>
      <c r="FO2985" s="501"/>
      <c r="FP2985" s="501"/>
      <c r="FQ2985" s="501"/>
      <c r="FR2985" s="501"/>
      <c r="FS2985" s="501"/>
      <c r="FT2985" s="501"/>
      <c r="FU2985" s="501"/>
      <c r="FV2985" s="501"/>
      <c r="FW2985" s="501"/>
      <c r="FX2985" s="501"/>
      <c r="FY2985" s="501"/>
      <c r="FZ2985" s="501"/>
      <c r="GA2985" s="501"/>
      <c r="GB2985" s="501"/>
      <c r="GC2985" s="501"/>
      <c r="GD2985" s="501"/>
      <c r="GE2985" s="501"/>
      <c r="GF2985" s="501"/>
      <c r="GG2985" s="501"/>
      <c r="GH2985" s="501"/>
      <c r="GI2985" s="501"/>
      <c r="GJ2985" s="501"/>
      <c r="GK2985" s="501"/>
      <c r="GL2985" s="501"/>
      <c r="GM2985" s="501"/>
      <c r="GN2985" s="501"/>
      <c r="GO2985" s="501"/>
      <c r="GP2985" s="501"/>
      <c r="GQ2985" s="501"/>
      <c r="GR2985" s="501"/>
      <c r="GS2985" s="501"/>
      <c r="GT2985" s="501"/>
      <c r="GU2985" s="501"/>
      <c r="GV2985" s="501"/>
      <c r="GW2985" s="501"/>
      <c r="GX2985" s="501"/>
      <c r="GY2985" s="501"/>
      <c r="GZ2985" s="501"/>
      <c r="HA2985" s="501"/>
      <c r="HB2985" s="501"/>
      <c r="HC2985" s="501"/>
      <c r="HD2985" s="501"/>
      <c r="HE2985" s="501"/>
      <c r="HF2985" s="501"/>
      <c r="HG2985" s="501"/>
      <c r="HH2985" s="501"/>
      <c r="HI2985" s="501"/>
      <c r="HJ2985" s="501"/>
      <c r="HK2985" s="501"/>
      <c r="HL2985" s="501"/>
      <c r="HM2985" s="501"/>
      <c r="HN2985" s="501"/>
      <c r="HO2985" s="501"/>
      <c r="HP2985" s="501"/>
      <c r="HQ2985" s="501"/>
      <c r="HR2985" s="501"/>
      <c r="HS2985" s="501"/>
      <c r="HT2985" s="501"/>
      <c r="HU2985" s="501"/>
      <c r="HV2985" s="501"/>
      <c r="HW2985" s="501"/>
      <c r="HX2985" s="501"/>
      <c r="HY2985" s="501"/>
      <c r="HZ2985" s="501"/>
      <c r="IA2985" s="501"/>
      <c r="IB2985" s="501"/>
      <c r="IC2985" s="501"/>
      <c r="ID2985" s="501"/>
      <c r="IE2985" s="501"/>
      <c r="IF2985" s="501"/>
      <c r="IG2985" s="501"/>
      <c r="IH2985" s="501"/>
      <c r="II2985" s="501"/>
      <c r="IJ2985" s="501"/>
      <c r="IK2985" s="501"/>
      <c r="IL2985" s="501"/>
      <c r="IM2985" s="501"/>
      <c r="IN2985" s="501"/>
      <c r="IO2985" s="501"/>
      <c r="IP2985" s="501"/>
      <c r="IQ2985" s="501"/>
      <c r="IR2985" s="501"/>
      <c r="IS2985" s="501"/>
      <c r="IT2985" s="501"/>
      <c r="IU2985" s="501"/>
    </row>
    <row r="2986" spans="1:255" ht="24" customHeight="1">
      <c r="F2986" s="1179"/>
      <c r="G2986" s="1180"/>
      <c r="H2986" s="1179"/>
      <c r="I2986" s="1135"/>
      <c r="J2986" s="1130"/>
      <c r="K2986" s="1130"/>
      <c r="L2986" s="1132"/>
      <c r="M2986" s="1132"/>
    </row>
    <row r="2987" spans="1:255" ht="24" customHeight="1">
      <c r="F2987" s="1130"/>
      <c r="G2987" s="1134"/>
      <c r="H2987" s="1130"/>
      <c r="I2987" s="1135"/>
      <c r="J2987" s="1130"/>
      <c r="K2987" s="1130"/>
      <c r="L2987" s="1132"/>
      <c r="M2987" s="1132"/>
    </row>
    <row r="2988" spans="1:255" ht="24" customHeight="1">
      <c r="F2988" s="1130"/>
      <c r="G2988" s="1134"/>
      <c r="H2988" s="1130"/>
      <c r="I2988" s="1135"/>
      <c r="J2988" s="1130"/>
      <c r="K2988" s="1130"/>
      <c r="L2988" s="1132"/>
      <c r="M2988" s="1132"/>
    </row>
    <row r="2989" spans="1:255" ht="24" customHeight="1">
      <c r="F2989" s="1181"/>
      <c r="G2989" s="1134"/>
      <c r="H2989" s="1181"/>
      <c r="I2989" s="1182"/>
      <c r="J2989" s="1181"/>
      <c r="K2989" s="1130"/>
      <c r="L2989" s="1132"/>
      <c r="M2989" s="1132"/>
    </row>
    <row r="2990" spans="1:255" ht="24" customHeight="1">
      <c r="F2990" s="1130"/>
      <c r="G2990" s="1134"/>
      <c r="H2990" s="1130"/>
      <c r="I2990" s="1135"/>
      <c r="J2990" s="1130"/>
      <c r="K2990" s="1130"/>
      <c r="L2990" s="1132"/>
      <c r="M2990" s="1132"/>
    </row>
    <row r="2991" spans="1:255" ht="24" customHeight="1">
      <c r="F2991" s="1130"/>
      <c r="G2991" s="1134"/>
      <c r="H2991" s="1130"/>
      <c r="I2991" s="1135"/>
      <c r="J2991" s="1130"/>
      <c r="K2991" s="1130"/>
      <c r="L2991" s="1131"/>
      <c r="M2991" s="1132"/>
    </row>
    <row r="2992" spans="1:255" ht="24" customHeight="1">
      <c r="F2992" s="1130"/>
      <c r="G2992" s="1134"/>
      <c r="H2992" s="1130"/>
      <c r="I2992" s="1135"/>
      <c r="J2992" s="1130"/>
      <c r="K2992" s="1130"/>
      <c r="L2992" s="1131"/>
      <c r="M2992" s="1132"/>
    </row>
    <row r="2993" spans="6:13" ht="24" customHeight="1">
      <c r="F2993" s="1130"/>
      <c r="G2993" s="1134"/>
      <c r="H2993" s="1130"/>
      <c r="I2993" s="1135"/>
      <c r="J2993" s="1130"/>
      <c r="K2993" s="1130"/>
      <c r="L2993" s="1131"/>
      <c r="M2993" s="1132"/>
    </row>
    <row r="2994" spans="6:13" ht="24" customHeight="1">
      <c r="F2994" s="1130"/>
      <c r="G2994" s="1134"/>
      <c r="H2994" s="1130"/>
      <c r="I2994" s="1135"/>
      <c r="J2994" s="1130"/>
      <c r="K2994" s="1130"/>
      <c r="L2994" s="1131"/>
      <c r="M2994" s="1132"/>
    </row>
    <row r="2995" spans="6:13" ht="24" customHeight="1">
      <c r="F2995" s="1130"/>
      <c r="G2995" s="1134"/>
      <c r="H2995" s="1130"/>
      <c r="I2995" s="1135"/>
      <c r="J2995" s="1130"/>
      <c r="K2995" s="1130"/>
      <c r="L2995" s="1131"/>
      <c r="M2995" s="1132"/>
    </row>
    <row r="2996" spans="6:13" ht="24" customHeight="1">
      <c r="F2996" s="1130"/>
      <c r="G2996" s="1134"/>
      <c r="H2996" s="1130"/>
      <c r="I2996" s="1129"/>
      <c r="J2996" s="1130"/>
      <c r="K2996" s="1130"/>
      <c r="L2996" s="1131"/>
      <c r="M2996" s="1132"/>
    </row>
    <row r="2997" spans="6:13" ht="24" customHeight="1">
      <c r="F2997" s="1097"/>
      <c r="G2997" s="1098"/>
      <c r="H2997" s="1097"/>
      <c r="I2997" s="1099"/>
      <c r="J2997" s="1097"/>
      <c r="K2997" s="1097"/>
      <c r="L2997" s="1101"/>
      <c r="M2997" s="1102"/>
    </row>
    <row r="2998" spans="6:13" ht="42" customHeight="1">
      <c r="F2998" s="1097"/>
      <c r="G2998" s="1098"/>
      <c r="H2998" s="1097"/>
      <c r="I2998" s="1135"/>
      <c r="J2998" s="1097"/>
      <c r="K2998" s="1097"/>
      <c r="L2998" s="1132"/>
      <c r="M2998" s="1132"/>
    </row>
    <row r="2999" spans="6:13" ht="24" customHeight="1">
      <c r="F2999" s="1097"/>
      <c r="G2999" s="1098"/>
      <c r="H2999" s="1097"/>
      <c r="I2999" s="1135"/>
      <c r="J2999" s="1097"/>
      <c r="K2999" s="1097"/>
      <c r="L2999" s="1132"/>
      <c r="M2999" s="1132"/>
    </row>
    <row r="3000" spans="6:13" ht="24" customHeight="1">
      <c r="F3000" s="1097"/>
      <c r="G3000" s="1098"/>
      <c r="H3000" s="1097"/>
      <c r="I3000" s="1099"/>
      <c r="J3000" s="1097"/>
      <c r="K3000" s="1097"/>
      <c r="L3000" s="1101"/>
      <c r="M3000" s="1103"/>
    </row>
    <row r="3002" spans="6:13" ht="24" customHeight="1">
      <c r="J3002" s="902"/>
      <c r="K3002" s="1024"/>
      <c r="L3002" s="878"/>
    </row>
    <row r="3003" spans="6:13" ht="24" customHeight="1">
      <c r="J3003" s="1024"/>
      <c r="K3003" s="1024"/>
      <c r="L3003" s="878"/>
    </row>
    <row r="3004" spans="6:13" ht="24" customHeight="1">
      <c r="L3004" s="878"/>
    </row>
    <row r="3005" spans="6:13" ht="24" customHeight="1">
      <c r="L3005" s="878"/>
    </row>
    <row r="3006" spans="6:13" ht="24" customHeight="1">
      <c r="K3006" s="933"/>
      <c r="L3006" s="878"/>
    </row>
    <row r="3007" spans="6:13" ht="24" customHeight="1">
      <c r="L3007" s="878"/>
    </row>
    <row r="3008" spans="6:13" ht="24" customHeight="1">
      <c r="K3008" s="933"/>
      <c r="L3008" s="878"/>
    </row>
    <row r="3009" spans="10:13" ht="24" customHeight="1">
      <c r="L3009" s="878"/>
    </row>
    <row r="3010" spans="10:13" ht="24" customHeight="1">
      <c r="L3010" s="878"/>
    </row>
    <row r="3011" spans="10:13" ht="24" customHeight="1">
      <c r="K3011" s="933"/>
      <c r="L3011" s="878"/>
    </row>
    <row r="3012" spans="10:13" ht="24" customHeight="1">
      <c r="J3012" s="876"/>
      <c r="L3012" s="878"/>
    </row>
    <row r="3013" spans="10:13" ht="24" customHeight="1">
      <c r="L3013" s="878"/>
    </row>
    <row r="3014" spans="10:13" ht="44.25" customHeight="1">
      <c r="L3014" s="878"/>
    </row>
    <row r="3015" spans="10:13" ht="68.25" customHeight="1">
      <c r="L3015" s="878"/>
    </row>
    <row r="3016" spans="10:13" ht="24" customHeight="1">
      <c r="L3016" s="878"/>
    </row>
    <row r="3017" spans="10:13" ht="24" customHeight="1">
      <c r="L3017" s="878"/>
    </row>
    <row r="3018" spans="10:13" ht="24" customHeight="1">
      <c r="L3018" s="878"/>
    </row>
    <row r="3019" spans="10:13" ht="24" customHeight="1">
      <c r="J3019" s="554"/>
      <c r="L3019" s="878"/>
    </row>
    <row r="3020" spans="10:13" ht="24" customHeight="1">
      <c r="L3020" s="878"/>
    </row>
    <row r="3021" spans="10:13" ht="24" customHeight="1">
      <c r="J3021" s="899"/>
      <c r="K3021" s="885"/>
      <c r="L3021" s="1048"/>
      <c r="M3021" s="899"/>
    </row>
    <row r="3025" spans="10:13" ht="24" customHeight="1">
      <c r="M3025" s="1183"/>
    </row>
    <row r="3027" spans="10:13" ht="24" customHeight="1">
      <c r="M3027" s="1183"/>
    </row>
    <row r="3030" spans="10:13" ht="24" customHeight="1">
      <c r="J3030" s="876"/>
      <c r="M3030" s="1031"/>
    </row>
    <row r="3032" spans="10:13" ht="45" customHeight="1">
      <c r="J3032" s="908"/>
      <c r="M3032" s="882"/>
    </row>
    <row r="3034" spans="10:13" ht="41.25" customHeight="1"/>
    <row r="3040" spans="10:13" ht="24" customHeight="1">
      <c r="K3040" s="1624"/>
      <c r="L3040" s="1624"/>
      <c r="M3040" s="899"/>
    </row>
    <row r="3043" spans="1:255" ht="24" customHeight="1">
      <c r="F3043" s="974"/>
      <c r="G3043" s="1105"/>
      <c r="H3043" s="974"/>
      <c r="I3043" s="973"/>
      <c r="J3043" s="973"/>
      <c r="K3043" s="1097"/>
      <c r="L3043" s="1101"/>
      <c r="M3043" s="1102"/>
    </row>
    <row r="3044" spans="1:255" ht="24" customHeight="1">
      <c r="F3044" s="1097"/>
      <c r="G3044" s="1098"/>
      <c r="H3044" s="1097"/>
      <c r="I3044" s="1099"/>
      <c r="J3044" s="973"/>
      <c r="K3044" s="1097"/>
      <c r="L3044" s="1101"/>
      <c r="M3044" s="1102"/>
    </row>
    <row r="3045" spans="1:255" ht="24" customHeight="1">
      <c r="F3045" s="1097"/>
      <c r="G3045" s="1098"/>
      <c r="H3045" s="1097"/>
      <c r="I3045" s="1099"/>
      <c r="J3045" s="973"/>
      <c r="K3045" s="1097"/>
      <c r="L3045" s="1101"/>
      <c r="M3045" s="1102"/>
    </row>
    <row r="3046" spans="1:255" ht="24" customHeight="1">
      <c r="F3046" s="1097"/>
      <c r="G3046" s="1098"/>
      <c r="H3046" s="1097"/>
      <c r="I3046" s="1099"/>
      <c r="J3046" s="1106"/>
      <c r="K3046" s="1097"/>
      <c r="L3046" s="1101"/>
      <c r="M3046" s="1102"/>
    </row>
    <row r="3047" spans="1:255" ht="24" customHeight="1">
      <c r="F3047" s="1097"/>
      <c r="G3047" s="1098"/>
      <c r="H3047" s="1097"/>
      <c r="I3047" s="1099"/>
      <c r="J3047" s="973"/>
      <c r="K3047" s="1097"/>
      <c r="L3047" s="1101"/>
      <c r="M3047" s="1102"/>
    </row>
    <row r="3048" spans="1:255" ht="24" customHeight="1">
      <c r="F3048" s="1097"/>
      <c r="G3048" s="1098"/>
      <c r="H3048" s="1097"/>
      <c r="I3048" s="1099"/>
      <c r="J3048" s="1097"/>
      <c r="K3048" s="1097"/>
      <c r="L3048" s="1101"/>
      <c r="M3048" s="1102"/>
    </row>
    <row r="3049" spans="1:255" ht="38.25" customHeight="1">
      <c r="F3049" s="1172"/>
      <c r="G3049" s="1173"/>
      <c r="H3049" s="1172"/>
      <c r="I3049" s="973"/>
      <c r="J3049" s="1116"/>
      <c r="K3049" s="1097"/>
      <c r="L3049" s="974"/>
      <c r="M3049" s="1102"/>
    </row>
    <row r="3050" spans="1:255" s="877" customFormat="1" ht="24" customHeight="1">
      <c r="A3050" s="501"/>
      <c r="B3050" s="501"/>
      <c r="C3050" s="501"/>
      <c r="D3050" s="501"/>
      <c r="E3050" s="501"/>
      <c r="F3050" s="1159"/>
      <c r="G3050" s="1160"/>
      <c r="H3050" s="1159"/>
      <c r="I3050" s="973"/>
      <c r="J3050" s="1108"/>
      <c r="K3050" s="1097"/>
      <c r="L3050" s="974"/>
      <c r="M3050" s="1109"/>
      <c r="N3050" s="501"/>
      <c r="O3050" s="974"/>
      <c r="P3050" s="1152"/>
      <c r="Q3050" s="973"/>
      <c r="R3050" s="1097"/>
      <c r="S3050" s="1101"/>
      <c r="T3050" s="1097"/>
      <c r="V3050" s="501"/>
      <c r="W3050" s="501"/>
      <c r="X3050" s="501"/>
      <c r="Y3050" s="501"/>
      <c r="Z3050" s="501"/>
      <c r="AA3050" s="501"/>
      <c r="AB3050" s="501"/>
      <c r="AC3050" s="501"/>
      <c r="AD3050" s="501"/>
      <c r="AE3050" s="501"/>
      <c r="AF3050" s="501"/>
      <c r="AG3050" s="501"/>
      <c r="AH3050" s="501"/>
      <c r="AI3050" s="501"/>
      <c r="AJ3050" s="501"/>
      <c r="AK3050" s="501"/>
      <c r="AL3050" s="501"/>
      <c r="AM3050" s="501"/>
      <c r="AN3050" s="501"/>
      <c r="AO3050" s="501"/>
      <c r="AP3050" s="501"/>
      <c r="AQ3050" s="501"/>
      <c r="AR3050" s="501"/>
      <c r="AS3050" s="501"/>
      <c r="AT3050" s="501"/>
      <c r="AU3050" s="501"/>
      <c r="AV3050" s="501"/>
      <c r="AW3050" s="501"/>
      <c r="AX3050" s="501"/>
      <c r="AY3050" s="501"/>
      <c r="AZ3050" s="501"/>
      <c r="BA3050" s="501"/>
      <c r="BB3050" s="501"/>
      <c r="BC3050" s="501"/>
      <c r="BD3050" s="501"/>
      <c r="BE3050" s="501"/>
      <c r="BF3050" s="501"/>
      <c r="BG3050" s="501"/>
      <c r="BH3050" s="501"/>
      <c r="BI3050" s="501"/>
      <c r="BJ3050" s="501"/>
      <c r="BK3050" s="501"/>
      <c r="BL3050" s="501"/>
      <c r="BM3050" s="501"/>
      <c r="BN3050" s="501"/>
      <c r="BO3050" s="501"/>
      <c r="BP3050" s="501"/>
      <c r="BQ3050" s="501"/>
      <c r="BR3050" s="501"/>
      <c r="BS3050" s="501"/>
      <c r="BT3050" s="501"/>
      <c r="BU3050" s="501"/>
      <c r="BV3050" s="501"/>
      <c r="BW3050" s="501"/>
      <c r="BX3050" s="501"/>
      <c r="BY3050" s="501"/>
      <c r="BZ3050" s="501"/>
      <c r="CA3050" s="501"/>
      <c r="CB3050" s="501"/>
      <c r="CC3050" s="501"/>
      <c r="CD3050" s="501"/>
      <c r="CE3050" s="501"/>
      <c r="CF3050" s="501"/>
      <c r="CG3050" s="501"/>
      <c r="CH3050" s="501"/>
      <c r="CI3050" s="501"/>
      <c r="CJ3050" s="501"/>
      <c r="CK3050" s="501"/>
      <c r="CL3050" s="501"/>
      <c r="CM3050" s="501"/>
      <c r="CN3050" s="501"/>
      <c r="CO3050" s="501"/>
      <c r="CP3050" s="501"/>
      <c r="CQ3050" s="501"/>
      <c r="CR3050" s="501"/>
      <c r="CS3050" s="501"/>
      <c r="CT3050" s="501"/>
      <c r="CU3050" s="501"/>
      <c r="CV3050" s="501"/>
      <c r="CW3050" s="501"/>
      <c r="CX3050" s="501"/>
      <c r="CY3050" s="501"/>
      <c r="CZ3050" s="501"/>
      <c r="DA3050" s="501"/>
      <c r="DB3050" s="501"/>
      <c r="DC3050" s="501"/>
      <c r="DD3050" s="501"/>
      <c r="DE3050" s="501"/>
      <c r="DF3050" s="501"/>
      <c r="DG3050" s="501"/>
      <c r="DH3050" s="501"/>
      <c r="DI3050" s="501"/>
      <c r="DJ3050" s="501"/>
      <c r="DK3050" s="501"/>
      <c r="DL3050" s="501"/>
      <c r="DM3050" s="501"/>
      <c r="DN3050" s="501"/>
      <c r="DO3050" s="501"/>
      <c r="DP3050" s="501"/>
      <c r="DQ3050" s="501"/>
      <c r="DR3050" s="501"/>
      <c r="DS3050" s="501"/>
      <c r="DT3050" s="501"/>
      <c r="DU3050" s="501"/>
      <c r="DV3050" s="501"/>
      <c r="DW3050" s="501"/>
      <c r="DX3050" s="501"/>
      <c r="DY3050" s="501"/>
      <c r="DZ3050" s="501"/>
      <c r="EA3050" s="501"/>
      <c r="EB3050" s="501"/>
      <c r="EC3050" s="501"/>
      <c r="ED3050" s="501"/>
      <c r="EE3050" s="501"/>
      <c r="EF3050" s="501"/>
      <c r="EG3050" s="501"/>
      <c r="EH3050" s="501"/>
      <c r="EI3050" s="501"/>
      <c r="EJ3050" s="501"/>
      <c r="EK3050" s="501"/>
      <c r="EL3050" s="501"/>
      <c r="EM3050" s="501"/>
      <c r="EN3050" s="501"/>
      <c r="EO3050" s="501"/>
      <c r="EP3050" s="501"/>
      <c r="EQ3050" s="501"/>
      <c r="ER3050" s="501"/>
      <c r="ES3050" s="501"/>
      <c r="ET3050" s="501"/>
      <c r="EU3050" s="501"/>
      <c r="EV3050" s="501"/>
      <c r="EW3050" s="501"/>
      <c r="EX3050" s="501"/>
      <c r="EY3050" s="501"/>
      <c r="EZ3050" s="501"/>
      <c r="FA3050" s="501"/>
      <c r="FB3050" s="501"/>
      <c r="FC3050" s="501"/>
      <c r="FD3050" s="501"/>
      <c r="FE3050" s="501"/>
      <c r="FF3050" s="501"/>
      <c r="FG3050" s="501"/>
      <c r="FH3050" s="501"/>
      <c r="FI3050" s="501"/>
      <c r="FJ3050" s="501"/>
      <c r="FK3050" s="501"/>
      <c r="FL3050" s="501"/>
      <c r="FM3050" s="501"/>
      <c r="FN3050" s="501"/>
      <c r="FO3050" s="501"/>
      <c r="FP3050" s="501"/>
      <c r="FQ3050" s="501"/>
      <c r="FR3050" s="501"/>
      <c r="FS3050" s="501"/>
      <c r="FT3050" s="501"/>
      <c r="FU3050" s="501"/>
      <c r="FV3050" s="501"/>
      <c r="FW3050" s="501"/>
      <c r="FX3050" s="501"/>
      <c r="FY3050" s="501"/>
      <c r="FZ3050" s="501"/>
      <c r="GA3050" s="501"/>
      <c r="GB3050" s="501"/>
      <c r="GC3050" s="501"/>
      <c r="GD3050" s="501"/>
      <c r="GE3050" s="501"/>
      <c r="GF3050" s="501"/>
      <c r="GG3050" s="501"/>
      <c r="GH3050" s="501"/>
      <c r="GI3050" s="501"/>
      <c r="GJ3050" s="501"/>
      <c r="GK3050" s="501"/>
      <c r="GL3050" s="501"/>
      <c r="GM3050" s="501"/>
      <c r="GN3050" s="501"/>
      <c r="GO3050" s="501"/>
      <c r="GP3050" s="501"/>
      <c r="GQ3050" s="501"/>
      <c r="GR3050" s="501"/>
      <c r="GS3050" s="501"/>
      <c r="GT3050" s="501"/>
      <c r="GU3050" s="501"/>
      <c r="GV3050" s="501"/>
      <c r="GW3050" s="501"/>
      <c r="GX3050" s="501"/>
      <c r="GY3050" s="501"/>
      <c r="GZ3050" s="501"/>
      <c r="HA3050" s="501"/>
      <c r="HB3050" s="501"/>
      <c r="HC3050" s="501"/>
      <c r="HD3050" s="501"/>
      <c r="HE3050" s="501"/>
      <c r="HF3050" s="501"/>
      <c r="HG3050" s="501"/>
      <c r="HH3050" s="501"/>
      <c r="HI3050" s="501"/>
      <c r="HJ3050" s="501"/>
      <c r="HK3050" s="501"/>
      <c r="HL3050" s="501"/>
      <c r="HM3050" s="501"/>
      <c r="HN3050" s="501"/>
      <c r="HO3050" s="501"/>
      <c r="HP3050" s="501"/>
      <c r="HQ3050" s="501"/>
      <c r="HR3050" s="501"/>
      <c r="HS3050" s="501"/>
      <c r="HT3050" s="501"/>
      <c r="HU3050" s="501"/>
      <c r="HV3050" s="501"/>
      <c r="HW3050" s="501"/>
      <c r="HX3050" s="501"/>
      <c r="HY3050" s="501"/>
      <c r="HZ3050" s="501"/>
      <c r="IA3050" s="501"/>
      <c r="IB3050" s="501"/>
      <c r="IC3050" s="501"/>
      <c r="ID3050" s="501"/>
      <c r="IE3050" s="501"/>
      <c r="IF3050" s="501"/>
      <c r="IG3050" s="501"/>
      <c r="IH3050" s="501"/>
      <c r="II3050" s="501"/>
      <c r="IJ3050" s="501"/>
      <c r="IK3050" s="501"/>
      <c r="IL3050" s="501"/>
      <c r="IM3050" s="501"/>
      <c r="IN3050" s="501"/>
      <c r="IO3050" s="501"/>
      <c r="IP3050" s="501"/>
      <c r="IQ3050" s="501"/>
      <c r="IR3050" s="501"/>
      <c r="IS3050" s="501"/>
      <c r="IT3050" s="501"/>
      <c r="IU3050" s="501"/>
    </row>
    <row r="3051" spans="1:255" s="877" customFormat="1" ht="24" customHeight="1">
      <c r="A3051" s="501"/>
      <c r="B3051" s="501"/>
      <c r="C3051" s="501"/>
      <c r="D3051" s="501"/>
      <c r="E3051" s="501"/>
      <c r="F3051" s="968"/>
      <c r="G3051" s="1107"/>
      <c r="H3051" s="968"/>
      <c r="I3051" s="973"/>
      <c r="J3051" s="973"/>
      <c r="K3051" s="1097"/>
      <c r="L3051" s="974"/>
      <c r="M3051" s="1109"/>
      <c r="N3051" s="501"/>
      <c r="O3051" s="1097"/>
      <c r="P3051" s="1151"/>
      <c r="Q3051" s="973"/>
      <c r="R3051" s="1097"/>
      <c r="S3051" s="1101"/>
      <c r="T3051" s="1097"/>
      <c r="V3051" s="501"/>
      <c r="W3051" s="501"/>
      <c r="X3051" s="501"/>
      <c r="Y3051" s="501"/>
      <c r="Z3051" s="501"/>
      <c r="AA3051" s="501"/>
      <c r="AB3051" s="501"/>
      <c r="AC3051" s="501"/>
      <c r="AD3051" s="501"/>
      <c r="AE3051" s="501"/>
      <c r="AF3051" s="501"/>
      <c r="AG3051" s="501"/>
      <c r="AH3051" s="501"/>
      <c r="AI3051" s="501"/>
      <c r="AJ3051" s="501"/>
      <c r="AK3051" s="501"/>
      <c r="AL3051" s="501"/>
      <c r="AM3051" s="501"/>
      <c r="AN3051" s="501"/>
      <c r="AO3051" s="501"/>
      <c r="AP3051" s="501"/>
      <c r="AQ3051" s="501"/>
      <c r="AR3051" s="501"/>
      <c r="AS3051" s="501"/>
      <c r="AT3051" s="501"/>
      <c r="AU3051" s="501"/>
      <c r="AV3051" s="501"/>
      <c r="AW3051" s="501"/>
      <c r="AX3051" s="501"/>
      <c r="AY3051" s="501"/>
      <c r="AZ3051" s="501"/>
      <c r="BA3051" s="501"/>
      <c r="BB3051" s="501"/>
      <c r="BC3051" s="501"/>
      <c r="BD3051" s="501"/>
      <c r="BE3051" s="501"/>
      <c r="BF3051" s="501"/>
      <c r="BG3051" s="501"/>
      <c r="BH3051" s="501"/>
      <c r="BI3051" s="501"/>
      <c r="BJ3051" s="501"/>
      <c r="BK3051" s="501"/>
      <c r="BL3051" s="501"/>
      <c r="BM3051" s="501"/>
      <c r="BN3051" s="501"/>
      <c r="BO3051" s="501"/>
      <c r="BP3051" s="501"/>
      <c r="BQ3051" s="501"/>
      <c r="BR3051" s="501"/>
      <c r="BS3051" s="501"/>
      <c r="BT3051" s="501"/>
      <c r="BU3051" s="501"/>
      <c r="BV3051" s="501"/>
      <c r="BW3051" s="501"/>
      <c r="BX3051" s="501"/>
      <c r="BY3051" s="501"/>
      <c r="BZ3051" s="501"/>
      <c r="CA3051" s="501"/>
      <c r="CB3051" s="501"/>
      <c r="CC3051" s="501"/>
      <c r="CD3051" s="501"/>
      <c r="CE3051" s="501"/>
      <c r="CF3051" s="501"/>
      <c r="CG3051" s="501"/>
      <c r="CH3051" s="501"/>
      <c r="CI3051" s="501"/>
      <c r="CJ3051" s="501"/>
      <c r="CK3051" s="501"/>
      <c r="CL3051" s="501"/>
      <c r="CM3051" s="501"/>
      <c r="CN3051" s="501"/>
      <c r="CO3051" s="501"/>
      <c r="CP3051" s="501"/>
      <c r="CQ3051" s="501"/>
      <c r="CR3051" s="501"/>
      <c r="CS3051" s="501"/>
      <c r="CT3051" s="501"/>
      <c r="CU3051" s="501"/>
      <c r="CV3051" s="501"/>
      <c r="CW3051" s="501"/>
      <c r="CX3051" s="501"/>
      <c r="CY3051" s="501"/>
      <c r="CZ3051" s="501"/>
      <c r="DA3051" s="501"/>
      <c r="DB3051" s="501"/>
      <c r="DC3051" s="501"/>
      <c r="DD3051" s="501"/>
      <c r="DE3051" s="501"/>
      <c r="DF3051" s="501"/>
      <c r="DG3051" s="501"/>
      <c r="DH3051" s="501"/>
      <c r="DI3051" s="501"/>
      <c r="DJ3051" s="501"/>
      <c r="DK3051" s="501"/>
      <c r="DL3051" s="501"/>
      <c r="DM3051" s="501"/>
      <c r="DN3051" s="501"/>
      <c r="DO3051" s="501"/>
      <c r="DP3051" s="501"/>
      <c r="DQ3051" s="501"/>
      <c r="DR3051" s="501"/>
      <c r="DS3051" s="501"/>
      <c r="DT3051" s="501"/>
      <c r="DU3051" s="501"/>
      <c r="DV3051" s="501"/>
      <c r="DW3051" s="501"/>
      <c r="DX3051" s="501"/>
      <c r="DY3051" s="501"/>
      <c r="DZ3051" s="501"/>
      <c r="EA3051" s="501"/>
      <c r="EB3051" s="501"/>
      <c r="EC3051" s="501"/>
      <c r="ED3051" s="501"/>
      <c r="EE3051" s="501"/>
      <c r="EF3051" s="501"/>
      <c r="EG3051" s="501"/>
      <c r="EH3051" s="501"/>
      <c r="EI3051" s="501"/>
      <c r="EJ3051" s="501"/>
      <c r="EK3051" s="501"/>
      <c r="EL3051" s="501"/>
      <c r="EM3051" s="501"/>
      <c r="EN3051" s="501"/>
      <c r="EO3051" s="501"/>
      <c r="EP3051" s="501"/>
      <c r="EQ3051" s="501"/>
      <c r="ER3051" s="501"/>
      <c r="ES3051" s="501"/>
      <c r="ET3051" s="501"/>
      <c r="EU3051" s="501"/>
      <c r="EV3051" s="501"/>
      <c r="EW3051" s="501"/>
      <c r="EX3051" s="501"/>
      <c r="EY3051" s="501"/>
      <c r="EZ3051" s="501"/>
      <c r="FA3051" s="501"/>
      <c r="FB3051" s="501"/>
      <c r="FC3051" s="501"/>
      <c r="FD3051" s="501"/>
      <c r="FE3051" s="501"/>
      <c r="FF3051" s="501"/>
      <c r="FG3051" s="501"/>
      <c r="FH3051" s="501"/>
      <c r="FI3051" s="501"/>
      <c r="FJ3051" s="501"/>
      <c r="FK3051" s="501"/>
      <c r="FL3051" s="501"/>
      <c r="FM3051" s="501"/>
      <c r="FN3051" s="501"/>
      <c r="FO3051" s="501"/>
      <c r="FP3051" s="501"/>
      <c r="FQ3051" s="501"/>
      <c r="FR3051" s="501"/>
      <c r="FS3051" s="501"/>
      <c r="FT3051" s="501"/>
      <c r="FU3051" s="501"/>
      <c r="FV3051" s="501"/>
      <c r="FW3051" s="501"/>
      <c r="FX3051" s="501"/>
      <c r="FY3051" s="501"/>
      <c r="FZ3051" s="501"/>
      <c r="GA3051" s="501"/>
      <c r="GB3051" s="501"/>
      <c r="GC3051" s="501"/>
      <c r="GD3051" s="501"/>
      <c r="GE3051" s="501"/>
      <c r="GF3051" s="501"/>
      <c r="GG3051" s="501"/>
      <c r="GH3051" s="501"/>
      <c r="GI3051" s="501"/>
      <c r="GJ3051" s="501"/>
      <c r="GK3051" s="501"/>
      <c r="GL3051" s="501"/>
      <c r="GM3051" s="501"/>
      <c r="GN3051" s="501"/>
      <c r="GO3051" s="501"/>
      <c r="GP3051" s="501"/>
      <c r="GQ3051" s="501"/>
      <c r="GR3051" s="501"/>
      <c r="GS3051" s="501"/>
      <c r="GT3051" s="501"/>
      <c r="GU3051" s="501"/>
      <c r="GV3051" s="501"/>
      <c r="GW3051" s="501"/>
      <c r="GX3051" s="501"/>
      <c r="GY3051" s="501"/>
      <c r="GZ3051" s="501"/>
      <c r="HA3051" s="501"/>
      <c r="HB3051" s="501"/>
      <c r="HC3051" s="501"/>
      <c r="HD3051" s="501"/>
      <c r="HE3051" s="501"/>
      <c r="HF3051" s="501"/>
      <c r="HG3051" s="501"/>
      <c r="HH3051" s="501"/>
      <c r="HI3051" s="501"/>
      <c r="HJ3051" s="501"/>
      <c r="HK3051" s="501"/>
      <c r="HL3051" s="501"/>
      <c r="HM3051" s="501"/>
      <c r="HN3051" s="501"/>
      <c r="HO3051" s="501"/>
      <c r="HP3051" s="501"/>
      <c r="HQ3051" s="501"/>
      <c r="HR3051" s="501"/>
      <c r="HS3051" s="501"/>
      <c r="HT3051" s="501"/>
      <c r="HU3051" s="501"/>
      <c r="HV3051" s="501"/>
      <c r="HW3051" s="501"/>
      <c r="HX3051" s="501"/>
      <c r="HY3051" s="501"/>
      <c r="HZ3051" s="501"/>
      <c r="IA3051" s="501"/>
      <c r="IB3051" s="501"/>
      <c r="IC3051" s="501"/>
      <c r="ID3051" s="501"/>
      <c r="IE3051" s="501"/>
      <c r="IF3051" s="501"/>
      <c r="IG3051" s="501"/>
      <c r="IH3051" s="501"/>
      <c r="II3051" s="501"/>
      <c r="IJ3051" s="501"/>
      <c r="IK3051" s="501"/>
      <c r="IL3051" s="501"/>
      <c r="IM3051" s="501"/>
      <c r="IN3051" s="501"/>
      <c r="IO3051" s="501"/>
      <c r="IP3051" s="501"/>
      <c r="IQ3051" s="501"/>
      <c r="IR3051" s="501"/>
      <c r="IS3051" s="501"/>
      <c r="IT3051" s="501"/>
      <c r="IU3051" s="501"/>
    </row>
    <row r="3052" spans="1:255" s="877" customFormat="1" ht="24" customHeight="1">
      <c r="A3052" s="501"/>
      <c r="B3052" s="501"/>
      <c r="C3052" s="501"/>
      <c r="D3052" s="501"/>
      <c r="E3052" s="501"/>
      <c r="F3052" s="968"/>
      <c r="G3052" s="1107"/>
      <c r="H3052" s="968"/>
      <c r="I3052" s="973"/>
      <c r="J3052" s="973"/>
      <c r="K3052" s="1097"/>
      <c r="L3052" s="974"/>
      <c r="M3052" s="1109"/>
      <c r="N3052" s="501"/>
      <c r="O3052" s="1097"/>
      <c r="P3052" s="1151"/>
      <c r="Q3052" s="973"/>
      <c r="R3052" s="1097"/>
      <c r="S3052" s="1101"/>
      <c r="T3052" s="1097"/>
      <c r="V3052" s="501"/>
      <c r="W3052" s="501"/>
      <c r="X3052" s="501"/>
      <c r="Y3052" s="501"/>
      <c r="Z3052" s="501"/>
      <c r="AA3052" s="501"/>
      <c r="AB3052" s="501"/>
      <c r="AC3052" s="501"/>
      <c r="AD3052" s="501"/>
      <c r="AE3052" s="501"/>
      <c r="AF3052" s="501"/>
      <c r="AG3052" s="501"/>
      <c r="AH3052" s="501"/>
      <c r="AI3052" s="501"/>
      <c r="AJ3052" s="501"/>
      <c r="AK3052" s="501"/>
      <c r="AL3052" s="501"/>
      <c r="AM3052" s="501"/>
      <c r="AN3052" s="501"/>
      <c r="AO3052" s="501"/>
      <c r="AP3052" s="501"/>
      <c r="AQ3052" s="501"/>
      <c r="AR3052" s="501"/>
      <c r="AS3052" s="501"/>
      <c r="AT3052" s="501"/>
      <c r="AU3052" s="501"/>
      <c r="AV3052" s="501"/>
      <c r="AW3052" s="501"/>
      <c r="AX3052" s="501"/>
      <c r="AY3052" s="501"/>
      <c r="AZ3052" s="501"/>
      <c r="BA3052" s="501"/>
      <c r="BB3052" s="501"/>
      <c r="BC3052" s="501"/>
      <c r="BD3052" s="501"/>
      <c r="BE3052" s="501"/>
      <c r="BF3052" s="501"/>
      <c r="BG3052" s="501"/>
      <c r="BH3052" s="501"/>
      <c r="BI3052" s="501"/>
      <c r="BJ3052" s="501"/>
      <c r="BK3052" s="501"/>
      <c r="BL3052" s="501"/>
      <c r="BM3052" s="501"/>
      <c r="BN3052" s="501"/>
      <c r="BO3052" s="501"/>
      <c r="BP3052" s="501"/>
      <c r="BQ3052" s="501"/>
      <c r="BR3052" s="501"/>
      <c r="BS3052" s="501"/>
      <c r="BT3052" s="501"/>
      <c r="BU3052" s="501"/>
      <c r="BV3052" s="501"/>
      <c r="BW3052" s="501"/>
      <c r="BX3052" s="501"/>
      <c r="BY3052" s="501"/>
      <c r="BZ3052" s="501"/>
      <c r="CA3052" s="501"/>
      <c r="CB3052" s="501"/>
      <c r="CC3052" s="501"/>
      <c r="CD3052" s="501"/>
      <c r="CE3052" s="501"/>
      <c r="CF3052" s="501"/>
      <c r="CG3052" s="501"/>
      <c r="CH3052" s="501"/>
      <c r="CI3052" s="501"/>
      <c r="CJ3052" s="501"/>
      <c r="CK3052" s="501"/>
      <c r="CL3052" s="501"/>
      <c r="CM3052" s="501"/>
      <c r="CN3052" s="501"/>
      <c r="CO3052" s="501"/>
      <c r="CP3052" s="501"/>
      <c r="CQ3052" s="501"/>
      <c r="CR3052" s="501"/>
      <c r="CS3052" s="501"/>
      <c r="CT3052" s="501"/>
      <c r="CU3052" s="501"/>
      <c r="CV3052" s="501"/>
      <c r="CW3052" s="501"/>
      <c r="CX3052" s="501"/>
      <c r="CY3052" s="501"/>
      <c r="CZ3052" s="501"/>
      <c r="DA3052" s="501"/>
      <c r="DB3052" s="501"/>
      <c r="DC3052" s="501"/>
      <c r="DD3052" s="501"/>
      <c r="DE3052" s="501"/>
      <c r="DF3052" s="501"/>
      <c r="DG3052" s="501"/>
      <c r="DH3052" s="501"/>
      <c r="DI3052" s="501"/>
      <c r="DJ3052" s="501"/>
      <c r="DK3052" s="501"/>
      <c r="DL3052" s="501"/>
      <c r="DM3052" s="501"/>
      <c r="DN3052" s="501"/>
      <c r="DO3052" s="501"/>
      <c r="DP3052" s="501"/>
      <c r="DQ3052" s="501"/>
      <c r="DR3052" s="501"/>
      <c r="DS3052" s="501"/>
      <c r="DT3052" s="501"/>
      <c r="DU3052" s="501"/>
      <c r="DV3052" s="501"/>
      <c r="DW3052" s="501"/>
      <c r="DX3052" s="501"/>
      <c r="DY3052" s="501"/>
      <c r="DZ3052" s="501"/>
      <c r="EA3052" s="501"/>
      <c r="EB3052" s="501"/>
      <c r="EC3052" s="501"/>
      <c r="ED3052" s="501"/>
      <c r="EE3052" s="501"/>
      <c r="EF3052" s="501"/>
      <c r="EG3052" s="501"/>
      <c r="EH3052" s="501"/>
      <c r="EI3052" s="501"/>
      <c r="EJ3052" s="501"/>
      <c r="EK3052" s="501"/>
      <c r="EL3052" s="501"/>
      <c r="EM3052" s="501"/>
      <c r="EN3052" s="501"/>
      <c r="EO3052" s="501"/>
      <c r="EP3052" s="501"/>
      <c r="EQ3052" s="501"/>
      <c r="ER3052" s="501"/>
      <c r="ES3052" s="501"/>
      <c r="ET3052" s="501"/>
      <c r="EU3052" s="501"/>
      <c r="EV3052" s="501"/>
      <c r="EW3052" s="501"/>
      <c r="EX3052" s="501"/>
      <c r="EY3052" s="501"/>
      <c r="EZ3052" s="501"/>
      <c r="FA3052" s="501"/>
      <c r="FB3052" s="501"/>
      <c r="FC3052" s="501"/>
      <c r="FD3052" s="501"/>
      <c r="FE3052" s="501"/>
      <c r="FF3052" s="501"/>
      <c r="FG3052" s="501"/>
      <c r="FH3052" s="501"/>
      <c r="FI3052" s="501"/>
      <c r="FJ3052" s="501"/>
      <c r="FK3052" s="501"/>
      <c r="FL3052" s="501"/>
      <c r="FM3052" s="501"/>
      <c r="FN3052" s="501"/>
      <c r="FO3052" s="501"/>
      <c r="FP3052" s="501"/>
      <c r="FQ3052" s="501"/>
      <c r="FR3052" s="501"/>
      <c r="FS3052" s="501"/>
      <c r="FT3052" s="501"/>
      <c r="FU3052" s="501"/>
      <c r="FV3052" s="501"/>
      <c r="FW3052" s="501"/>
      <c r="FX3052" s="501"/>
      <c r="FY3052" s="501"/>
      <c r="FZ3052" s="501"/>
      <c r="GA3052" s="501"/>
      <c r="GB3052" s="501"/>
      <c r="GC3052" s="501"/>
      <c r="GD3052" s="501"/>
      <c r="GE3052" s="501"/>
      <c r="GF3052" s="501"/>
      <c r="GG3052" s="501"/>
      <c r="GH3052" s="501"/>
      <c r="GI3052" s="501"/>
      <c r="GJ3052" s="501"/>
      <c r="GK3052" s="501"/>
      <c r="GL3052" s="501"/>
      <c r="GM3052" s="501"/>
      <c r="GN3052" s="501"/>
      <c r="GO3052" s="501"/>
      <c r="GP3052" s="501"/>
      <c r="GQ3052" s="501"/>
      <c r="GR3052" s="501"/>
      <c r="GS3052" s="501"/>
      <c r="GT3052" s="501"/>
      <c r="GU3052" s="501"/>
      <c r="GV3052" s="501"/>
      <c r="GW3052" s="501"/>
      <c r="GX3052" s="501"/>
      <c r="GY3052" s="501"/>
      <c r="GZ3052" s="501"/>
      <c r="HA3052" s="501"/>
      <c r="HB3052" s="501"/>
      <c r="HC3052" s="501"/>
      <c r="HD3052" s="501"/>
      <c r="HE3052" s="501"/>
      <c r="HF3052" s="501"/>
      <c r="HG3052" s="501"/>
      <c r="HH3052" s="501"/>
      <c r="HI3052" s="501"/>
      <c r="HJ3052" s="501"/>
      <c r="HK3052" s="501"/>
      <c r="HL3052" s="501"/>
      <c r="HM3052" s="501"/>
      <c r="HN3052" s="501"/>
      <c r="HO3052" s="501"/>
      <c r="HP3052" s="501"/>
      <c r="HQ3052" s="501"/>
      <c r="HR3052" s="501"/>
      <c r="HS3052" s="501"/>
      <c r="HT3052" s="501"/>
      <c r="HU3052" s="501"/>
      <c r="HV3052" s="501"/>
      <c r="HW3052" s="501"/>
      <c r="HX3052" s="501"/>
      <c r="HY3052" s="501"/>
      <c r="HZ3052" s="501"/>
      <c r="IA3052" s="501"/>
      <c r="IB3052" s="501"/>
      <c r="IC3052" s="501"/>
      <c r="ID3052" s="501"/>
      <c r="IE3052" s="501"/>
      <c r="IF3052" s="501"/>
      <c r="IG3052" s="501"/>
      <c r="IH3052" s="501"/>
      <c r="II3052" s="501"/>
      <c r="IJ3052" s="501"/>
      <c r="IK3052" s="501"/>
      <c r="IL3052" s="501"/>
      <c r="IM3052" s="501"/>
      <c r="IN3052" s="501"/>
      <c r="IO3052" s="501"/>
      <c r="IP3052" s="501"/>
      <c r="IQ3052" s="501"/>
      <c r="IR3052" s="501"/>
      <c r="IS3052" s="501"/>
      <c r="IT3052" s="501"/>
      <c r="IU3052" s="501"/>
    </row>
    <row r="3053" spans="1:255" s="877" customFormat="1" ht="24" customHeight="1">
      <c r="A3053" s="501"/>
      <c r="B3053" s="501"/>
      <c r="C3053" s="501"/>
      <c r="D3053" s="501"/>
      <c r="E3053" s="501"/>
      <c r="F3053" s="968"/>
      <c r="G3053" s="1107"/>
      <c r="H3053" s="968"/>
      <c r="I3053" s="973"/>
      <c r="J3053" s="973"/>
      <c r="K3053" s="1097"/>
      <c r="L3053" s="974"/>
      <c r="M3053" s="1109"/>
      <c r="N3053" s="501"/>
      <c r="O3053" s="1097"/>
      <c r="P3053" s="1151"/>
      <c r="Q3053" s="1106"/>
      <c r="R3053" s="1097"/>
      <c r="S3053" s="1101"/>
      <c r="T3053" s="1097"/>
      <c r="V3053" s="501"/>
      <c r="W3053" s="501"/>
      <c r="X3053" s="501"/>
      <c r="Y3053" s="501"/>
      <c r="Z3053" s="501"/>
      <c r="AA3053" s="501"/>
      <c r="AB3053" s="501"/>
      <c r="AC3053" s="501"/>
      <c r="AD3053" s="501"/>
      <c r="AE3053" s="501"/>
      <c r="AF3053" s="501"/>
      <c r="AG3053" s="501"/>
      <c r="AH3053" s="501"/>
      <c r="AI3053" s="501"/>
      <c r="AJ3053" s="501"/>
      <c r="AK3053" s="501"/>
      <c r="AL3053" s="501"/>
      <c r="AM3053" s="501"/>
      <c r="AN3053" s="501"/>
      <c r="AO3053" s="501"/>
      <c r="AP3053" s="501"/>
      <c r="AQ3053" s="501"/>
      <c r="AR3053" s="501"/>
      <c r="AS3053" s="501"/>
      <c r="AT3053" s="501"/>
      <c r="AU3053" s="501"/>
      <c r="AV3053" s="501"/>
      <c r="AW3053" s="501"/>
      <c r="AX3053" s="501"/>
      <c r="AY3053" s="501"/>
      <c r="AZ3053" s="501"/>
      <c r="BA3053" s="501"/>
      <c r="BB3053" s="501"/>
      <c r="BC3053" s="501"/>
      <c r="BD3053" s="501"/>
      <c r="BE3053" s="501"/>
      <c r="BF3053" s="501"/>
      <c r="BG3053" s="501"/>
      <c r="BH3053" s="501"/>
      <c r="BI3053" s="501"/>
      <c r="BJ3053" s="501"/>
      <c r="BK3053" s="501"/>
      <c r="BL3053" s="501"/>
      <c r="BM3053" s="501"/>
      <c r="BN3053" s="501"/>
      <c r="BO3053" s="501"/>
      <c r="BP3053" s="501"/>
      <c r="BQ3053" s="501"/>
      <c r="BR3053" s="501"/>
      <c r="BS3053" s="501"/>
      <c r="BT3053" s="501"/>
      <c r="BU3053" s="501"/>
      <c r="BV3053" s="501"/>
      <c r="BW3053" s="501"/>
      <c r="BX3053" s="501"/>
      <c r="BY3053" s="501"/>
      <c r="BZ3053" s="501"/>
      <c r="CA3053" s="501"/>
      <c r="CB3053" s="501"/>
      <c r="CC3053" s="501"/>
      <c r="CD3053" s="501"/>
      <c r="CE3053" s="501"/>
      <c r="CF3053" s="501"/>
      <c r="CG3053" s="501"/>
      <c r="CH3053" s="501"/>
      <c r="CI3053" s="501"/>
      <c r="CJ3053" s="501"/>
      <c r="CK3053" s="501"/>
      <c r="CL3053" s="501"/>
      <c r="CM3053" s="501"/>
      <c r="CN3053" s="501"/>
      <c r="CO3053" s="501"/>
      <c r="CP3053" s="501"/>
      <c r="CQ3053" s="501"/>
      <c r="CR3053" s="501"/>
      <c r="CS3053" s="501"/>
      <c r="CT3053" s="501"/>
      <c r="CU3053" s="501"/>
      <c r="CV3053" s="501"/>
      <c r="CW3053" s="501"/>
      <c r="CX3053" s="501"/>
      <c r="CY3053" s="501"/>
      <c r="CZ3053" s="501"/>
      <c r="DA3053" s="501"/>
      <c r="DB3053" s="501"/>
      <c r="DC3053" s="501"/>
      <c r="DD3053" s="501"/>
      <c r="DE3053" s="501"/>
      <c r="DF3053" s="501"/>
      <c r="DG3053" s="501"/>
      <c r="DH3053" s="501"/>
      <c r="DI3053" s="501"/>
      <c r="DJ3053" s="501"/>
      <c r="DK3053" s="501"/>
      <c r="DL3053" s="501"/>
      <c r="DM3053" s="501"/>
      <c r="DN3053" s="501"/>
      <c r="DO3053" s="501"/>
      <c r="DP3053" s="501"/>
      <c r="DQ3053" s="501"/>
      <c r="DR3053" s="501"/>
      <c r="DS3053" s="501"/>
      <c r="DT3053" s="501"/>
      <c r="DU3053" s="501"/>
      <c r="DV3053" s="501"/>
      <c r="DW3053" s="501"/>
      <c r="DX3053" s="501"/>
      <c r="DY3053" s="501"/>
      <c r="DZ3053" s="501"/>
      <c r="EA3053" s="501"/>
      <c r="EB3053" s="501"/>
      <c r="EC3053" s="501"/>
      <c r="ED3053" s="501"/>
      <c r="EE3053" s="501"/>
      <c r="EF3053" s="501"/>
      <c r="EG3053" s="501"/>
      <c r="EH3053" s="501"/>
      <c r="EI3053" s="501"/>
      <c r="EJ3053" s="501"/>
      <c r="EK3053" s="501"/>
      <c r="EL3053" s="501"/>
      <c r="EM3053" s="501"/>
      <c r="EN3053" s="501"/>
      <c r="EO3053" s="501"/>
      <c r="EP3053" s="501"/>
      <c r="EQ3053" s="501"/>
      <c r="ER3053" s="501"/>
      <c r="ES3053" s="501"/>
      <c r="ET3053" s="501"/>
      <c r="EU3053" s="501"/>
      <c r="EV3053" s="501"/>
      <c r="EW3053" s="501"/>
      <c r="EX3053" s="501"/>
      <c r="EY3053" s="501"/>
      <c r="EZ3053" s="501"/>
      <c r="FA3053" s="501"/>
      <c r="FB3053" s="501"/>
      <c r="FC3053" s="501"/>
      <c r="FD3053" s="501"/>
      <c r="FE3053" s="501"/>
      <c r="FF3053" s="501"/>
      <c r="FG3053" s="501"/>
      <c r="FH3053" s="501"/>
      <c r="FI3053" s="501"/>
      <c r="FJ3053" s="501"/>
      <c r="FK3053" s="501"/>
      <c r="FL3053" s="501"/>
      <c r="FM3053" s="501"/>
      <c r="FN3053" s="501"/>
      <c r="FO3053" s="501"/>
      <c r="FP3053" s="501"/>
      <c r="FQ3053" s="501"/>
      <c r="FR3053" s="501"/>
      <c r="FS3053" s="501"/>
      <c r="FT3053" s="501"/>
      <c r="FU3053" s="501"/>
      <c r="FV3053" s="501"/>
      <c r="FW3053" s="501"/>
      <c r="FX3053" s="501"/>
      <c r="FY3053" s="501"/>
      <c r="FZ3053" s="501"/>
      <c r="GA3053" s="501"/>
      <c r="GB3053" s="501"/>
      <c r="GC3053" s="501"/>
      <c r="GD3053" s="501"/>
      <c r="GE3053" s="501"/>
      <c r="GF3053" s="501"/>
      <c r="GG3053" s="501"/>
      <c r="GH3053" s="501"/>
      <c r="GI3053" s="501"/>
      <c r="GJ3053" s="501"/>
      <c r="GK3053" s="501"/>
      <c r="GL3053" s="501"/>
      <c r="GM3053" s="501"/>
      <c r="GN3053" s="501"/>
      <c r="GO3053" s="501"/>
      <c r="GP3053" s="501"/>
      <c r="GQ3053" s="501"/>
      <c r="GR3053" s="501"/>
      <c r="GS3053" s="501"/>
      <c r="GT3053" s="501"/>
      <c r="GU3053" s="501"/>
      <c r="GV3053" s="501"/>
      <c r="GW3053" s="501"/>
      <c r="GX3053" s="501"/>
      <c r="GY3053" s="501"/>
      <c r="GZ3053" s="501"/>
      <c r="HA3053" s="501"/>
      <c r="HB3053" s="501"/>
      <c r="HC3053" s="501"/>
      <c r="HD3053" s="501"/>
      <c r="HE3053" s="501"/>
      <c r="HF3053" s="501"/>
      <c r="HG3053" s="501"/>
      <c r="HH3053" s="501"/>
      <c r="HI3053" s="501"/>
      <c r="HJ3053" s="501"/>
      <c r="HK3053" s="501"/>
      <c r="HL3053" s="501"/>
      <c r="HM3053" s="501"/>
      <c r="HN3053" s="501"/>
      <c r="HO3053" s="501"/>
      <c r="HP3053" s="501"/>
      <c r="HQ3053" s="501"/>
      <c r="HR3053" s="501"/>
      <c r="HS3053" s="501"/>
      <c r="HT3053" s="501"/>
      <c r="HU3053" s="501"/>
      <c r="HV3053" s="501"/>
      <c r="HW3053" s="501"/>
      <c r="HX3053" s="501"/>
      <c r="HY3053" s="501"/>
      <c r="HZ3053" s="501"/>
      <c r="IA3053" s="501"/>
      <c r="IB3053" s="501"/>
      <c r="IC3053" s="501"/>
      <c r="ID3053" s="501"/>
      <c r="IE3053" s="501"/>
      <c r="IF3053" s="501"/>
      <c r="IG3053" s="501"/>
      <c r="IH3053" s="501"/>
      <c r="II3053" s="501"/>
      <c r="IJ3053" s="501"/>
      <c r="IK3053" s="501"/>
      <c r="IL3053" s="501"/>
      <c r="IM3053" s="501"/>
      <c r="IN3053" s="501"/>
      <c r="IO3053" s="501"/>
      <c r="IP3053" s="501"/>
      <c r="IQ3053" s="501"/>
      <c r="IR3053" s="501"/>
      <c r="IS3053" s="501"/>
      <c r="IT3053" s="501"/>
      <c r="IU3053" s="501"/>
    </row>
    <row r="3054" spans="1:255" s="877" customFormat="1" ht="24" customHeight="1">
      <c r="A3054" s="501"/>
      <c r="B3054" s="501"/>
      <c r="C3054" s="501"/>
      <c r="D3054" s="501"/>
      <c r="E3054" s="501"/>
      <c r="F3054" s="968"/>
      <c r="G3054" s="1107"/>
      <c r="H3054" s="968"/>
      <c r="I3054" s="973"/>
      <c r="J3054" s="973"/>
      <c r="K3054" s="1097"/>
      <c r="L3054" s="974"/>
      <c r="M3054" s="1109"/>
      <c r="N3054" s="501"/>
      <c r="O3054" s="1097"/>
      <c r="P3054" s="1151"/>
      <c r="Q3054" s="973"/>
      <c r="R3054" s="1097"/>
      <c r="S3054" s="1101"/>
      <c r="T3054" s="1097"/>
      <c r="V3054" s="501"/>
      <c r="W3054" s="501"/>
      <c r="X3054" s="501"/>
      <c r="Y3054" s="501"/>
      <c r="Z3054" s="501"/>
      <c r="AA3054" s="501"/>
      <c r="AB3054" s="501"/>
      <c r="AC3054" s="501"/>
      <c r="AD3054" s="501"/>
      <c r="AE3054" s="501"/>
      <c r="AF3054" s="501"/>
      <c r="AG3054" s="501"/>
      <c r="AH3054" s="501"/>
      <c r="AI3054" s="501"/>
      <c r="AJ3054" s="501"/>
      <c r="AK3054" s="501"/>
      <c r="AL3054" s="501"/>
      <c r="AM3054" s="501"/>
      <c r="AN3054" s="501"/>
      <c r="AO3054" s="501"/>
      <c r="AP3054" s="501"/>
      <c r="AQ3054" s="501"/>
      <c r="AR3054" s="501"/>
      <c r="AS3054" s="501"/>
      <c r="AT3054" s="501"/>
      <c r="AU3054" s="501"/>
      <c r="AV3054" s="501"/>
      <c r="AW3054" s="501"/>
      <c r="AX3054" s="501"/>
      <c r="AY3054" s="501"/>
      <c r="AZ3054" s="501"/>
      <c r="BA3054" s="501"/>
      <c r="BB3054" s="501"/>
      <c r="BC3054" s="501"/>
      <c r="BD3054" s="501"/>
      <c r="BE3054" s="501"/>
      <c r="BF3054" s="501"/>
      <c r="BG3054" s="501"/>
      <c r="BH3054" s="501"/>
      <c r="BI3054" s="501"/>
      <c r="BJ3054" s="501"/>
      <c r="BK3054" s="501"/>
      <c r="BL3054" s="501"/>
      <c r="BM3054" s="501"/>
      <c r="BN3054" s="501"/>
      <c r="BO3054" s="501"/>
      <c r="BP3054" s="501"/>
      <c r="BQ3054" s="501"/>
      <c r="BR3054" s="501"/>
      <c r="BS3054" s="501"/>
      <c r="BT3054" s="501"/>
      <c r="BU3054" s="501"/>
      <c r="BV3054" s="501"/>
      <c r="BW3054" s="501"/>
      <c r="BX3054" s="501"/>
      <c r="BY3054" s="501"/>
      <c r="BZ3054" s="501"/>
      <c r="CA3054" s="501"/>
      <c r="CB3054" s="501"/>
      <c r="CC3054" s="501"/>
      <c r="CD3054" s="501"/>
      <c r="CE3054" s="501"/>
      <c r="CF3054" s="501"/>
      <c r="CG3054" s="501"/>
      <c r="CH3054" s="501"/>
      <c r="CI3054" s="501"/>
      <c r="CJ3054" s="501"/>
      <c r="CK3054" s="501"/>
      <c r="CL3054" s="501"/>
      <c r="CM3054" s="501"/>
      <c r="CN3054" s="501"/>
      <c r="CO3054" s="501"/>
      <c r="CP3054" s="501"/>
      <c r="CQ3054" s="501"/>
      <c r="CR3054" s="501"/>
      <c r="CS3054" s="501"/>
      <c r="CT3054" s="501"/>
      <c r="CU3054" s="501"/>
      <c r="CV3054" s="501"/>
      <c r="CW3054" s="501"/>
      <c r="CX3054" s="501"/>
      <c r="CY3054" s="501"/>
      <c r="CZ3054" s="501"/>
      <c r="DA3054" s="501"/>
      <c r="DB3054" s="501"/>
      <c r="DC3054" s="501"/>
      <c r="DD3054" s="501"/>
      <c r="DE3054" s="501"/>
      <c r="DF3054" s="501"/>
      <c r="DG3054" s="501"/>
      <c r="DH3054" s="501"/>
      <c r="DI3054" s="501"/>
      <c r="DJ3054" s="501"/>
      <c r="DK3054" s="501"/>
      <c r="DL3054" s="501"/>
      <c r="DM3054" s="501"/>
      <c r="DN3054" s="501"/>
      <c r="DO3054" s="501"/>
      <c r="DP3054" s="501"/>
      <c r="DQ3054" s="501"/>
      <c r="DR3054" s="501"/>
      <c r="DS3054" s="501"/>
      <c r="DT3054" s="501"/>
      <c r="DU3054" s="501"/>
      <c r="DV3054" s="501"/>
      <c r="DW3054" s="501"/>
      <c r="DX3054" s="501"/>
      <c r="DY3054" s="501"/>
      <c r="DZ3054" s="501"/>
      <c r="EA3054" s="501"/>
      <c r="EB3054" s="501"/>
      <c r="EC3054" s="501"/>
      <c r="ED3054" s="501"/>
      <c r="EE3054" s="501"/>
      <c r="EF3054" s="501"/>
      <c r="EG3054" s="501"/>
      <c r="EH3054" s="501"/>
      <c r="EI3054" s="501"/>
      <c r="EJ3054" s="501"/>
      <c r="EK3054" s="501"/>
      <c r="EL3054" s="501"/>
      <c r="EM3054" s="501"/>
      <c r="EN3054" s="501"/>
      <c r="EO3054" s="501"/>
      <c r="EP3054" s="501"/>
      <c r="EQ3054" s="501"/>
      <c r="ER3054" s="501"/>
      <c r="ES3054" s="501"/>
      <c r="ET3054" s="501"/>
      <c r="EU3054" s="501"/>
      <c r="EV3054" s="501"/>
      <c r="EW3054" s="501"/>
      <c r="EX3054" s="501"/>
      <c r="EY3054" s="501"/>
      <c r="EZ3054" s="501"/>
      <c r="FA3054" s="501"/>
      <c r="FB3054" s="501"/>
      <c r="FC3054" s="501"/>
      <c r="FD3054" s="501"/>
      <c r="FE3054" s="501"/>
      <c r="FF3054" s="501"/>
      <c r="FG3054" s="501"/>
      <c r="FH3054" s="501"/>
      <c r="FI3054" s="501"/>
      <c r="FJ3054" s="501"/>
      <c r="FK3054" s="501"/>
      <c r="FL3054" s="501"/>
      <c r="FM3054" s="501"/>
      <c r="FN3054" s="501"/>
      <c r="FO3054" s="501"/>
      <c r="FP3054" s="501"/>
      <c r="FQ3054" s="501"/>
      <c r="FR3054" s="501"/>
      <c r="FS3054" s="501"/>
      <c r="FT3054" s="501"/>
      <c r="FU3054" s="501"/>
      <c r="FV3054" s="501"/>
      <c r="FW3054" s="501"/>
      <c r="FX3054" s="501"/>
      <c r="FY3054" s="501"/>
      <c r="FZ3054" s="501"/>
      <c r="GA3054" s="501"/>
      <c r="GB3054" s="501"/>
      <c r="GC3054" s="501"/>
      <c r="GD3054" s="501"/>
      <c r="GE3054" s="501"/>
      <c r="GF3054" s="501"/>
      <c r="GG3054" s="501"/>
      <c r="GH3054" s="501"/>
      <c r="GI3054" s="501"/>
      <c r="GJ3054" s="501"/>
      <c r="GK3054" s="501"/>
      <c r="GL3054" s="501"/>
      <c r="GM3054" s="501"/>
      <c r="GN3054" s="501"/>
      <c r="GO3054" s="501"/>
      <c r="GP3054" s="501"/>
      <c r="GQ3054" s="501"/>
      <c r="GR3054" s="501"/>
      <c r="GS3054" s="501"/>
      <c r="GT3054" s="501"/>
      <c r="GU3054" s="501"/>
      <c r="GV3054" s="501"/>
      <c r="GW3054" s="501"/>
      <c r="GX3054" s="501"/>
      <c r="GY3054" s="501"/>
      <c r="GZ3054" s="501"/>
      <c r="HA3054" s="501"/>
      <c r="HB3054" s="501"/>
      <c r="HC3054" s="501"/>
      <c r="HD3054" s="501"/>
      <c r="HE3054" s="501"/>
      <c r="HF3054" s="501"/>
      <c r="HG3054" s="501"/>
      <c r="HH3054" s="501"/>
      <c r="HI3054" s="501"/>
      <c r="HJ3054" s="501"/>
      <c r="HK3054" s="501"/>
      <c r="HL3054" s="501"/>
      <c r="HM3054" s="501"/>
      <c r="HN3054" s="501"/>
      <c r="HO3054" s="501"/>
      <c r="HP3054" s="501"/>
      <c r="HQ3054" s="501"/>
      <c r="HR3054" s="501"/>
      <c r="HS3054" s="501"/>
      <c r="HT3054" s="501"/>
      <c r="HU3054" s="501"/>
      <c r="HV3054" s="501"/>
      <c r="HW3054" s="501"/>
      <c r="HX3054" s="501"/>
      <c r="HY3054" s="501"/>
      <c r="HZ3054" s="501"/>
      <c r="IA3054" s="501"/>
      <c r="IB3054" s="501"/>
      <c r="IC3054" s="501"/>
      <c r="ID3054" s="501"/>
      <c r="IE3054" s="501"/>
      <c r="IF3054" s="501"/>
      <c r="IG3054" s="501"/>
      <c r="IH3054" s="501"/>
      <c r="II3054" s="501"/>
      <c r="IJ3054" s="501"/>
      <c r="IK3054" s="501"/>
      <c r="IL3054" s="501"/>
      <c r="IM3054" s="501"/>
      <c r="IN3054" s="501"/>
      <c r="IO3054" s="501"/>
      <c r="IP3054" s="501"/>
      <c r="IQ3054" s="501"/>
      <c r="IR3054" s="501"/>
      <c r="IS3054" s="501"/>
      <c r="IT3054" s="501"/>
      <c r="IU3054" s="501"/>
    </row>
    <row r="3055" spans="1:255" s="877" customFormat="1" ht="24" customHeight="1">
      <c r="A3055" s="501"/>
      <c r="B3055" s="501"/>
      <c r="C3055" s="501"/>
      <c r="D3055" s="501"/>
      <c r="E3055" s="501"/>
      <c r="F3055" s="968"/>
      <c r="G3055" s="1107"/>
      <c r="H3055" s="968"/>
      <c r="I3055" s="973"/>
      <c r="J3055" s="973"/>
      <c r="K3055" s="1097"/>
      <c r="L3055" s="974"/>
      <c r="M3055" s="1109"/>
      <c r="N3055" s="501"/>
      <c r="O3055" s="1097"/>
      <c r="P3055" s="1151"/>
      <c r="Q3055" s="1097"/>
      <c r="R3055" s="1097"/>
      <c r="S3055" s="1101"/>
      <c r="T3055" s="1097"/>
      <c r="V3055" s="501"/>
      <c r="W3055" s="501"/>
      <c r="X3055" s="501"/>
      <c r="Y3055" s="501"/>
      <c r="Z3055" s="501"/>
      <c r="AA3055" s="501"/>
      <c r="AB3055" s="501"/>
      <c r="AC3055" s="501"/>
      <c r="AD3055" s="501"/>
      <c r="AE3055" s="501"/>
      <c r="AF3055" s="501"/>
      <c r="AG3055" s="501"/>
      <c r="AH3055" s="501"/>
      <c r="AI3055" s="501"/>
      <c r="AJ3055" s="501"/>
      <c r="AK3055" s="501"/>
      <c r="AL3055" s="501"/>
      <c r="AM3055" s="501"/>
      <c r="AN3055" s="501"/>
      <c r="AO3055" s="501"/>
      <c r="AP3055" s="501"/>
      <c r="AQ3055" s="501"/>
      <c r="AR3055" s="501"/>
      <c r="AS3055" s="501"/>
      <c r="AT3055" s="501"/>
      <c r="AU3055" s="501"/>
      <c r="AV3055" s="501"/>
      <c r="AW3055" s="501"/>
      <c r="AX3055" s="501"/>
      <c r="AY3055" s="501"/>
      <c r="AZ3055" s="501"/>
      <c r="BA3055" s="501"/>
      <c r="BB3055" s="501"/>
      <c r="BC3055" s="501"/>
      <c r="BD3055" s="501"/>
      <c r="BE3055" s="501"/>
      <c r="BF3055" s="501"/>
      <c r="BG3055" s="501"/>
      <c r="BH3055" s="501"/>
      <c r="BI3055" s="501"/>
      <c r="BJ3055" s="501"/>
      <c r="BK3055" s="501"/>
      <c r="BL3055" s="501"/>
      <c r="BM3055" s="501"/>
      <c r="BN3055" s="501"/>
      <c r="BO3055" s="501"/>
      <c r="BP3055" s="501"/>
      <c r="BQ3055" s="501"/>
      <c r="BR3055" s="501"/>
      <c r="BS3055" s="501"/>
      <c r="BT3055" s="501"/>
      <c r="BU3055" s="501"/>
      <c r="BV3055" s="501"/>
      <c r="BW3055" s="501"/>
      <c r="BX3055" s="501"/>
      <c r="BY3055" s="501"/>
      <c r="BZ3055" s="501"/>
      <c r="CA3055" s="501"/>
      <c r="CB3055" s="501"/>
      <c r="CC3055" s="501"/>
      <c r="CD3055" s="501"/>
      <c r="CE3055" s="501"/>
      <c r="CF3055" s="501"/>
      <c r="CG3055" s="501"/>
      <c r="CH3055" s="501"/>
      <c r="CI3055" s="501"/>
      <c r="CJ3055" s="501"/>
      <c r="CK3055" s="501"/>
      <c r="CL3055" s="501"/>
      <c r="CM3055" s="501"/>
      <c r="CN3055" s="501"/>
      <c r="CO3055" s="501"/>
      <c r="CP3055" s="501"/>
      <c r="CQ3055" s="501"/>
      <c r="CR3055" s="501"/>
      <c r="CS3055" s="501"/>
      <c r="CT3055" s="501"/>
      <c r="CU3055" s="501"/>
      <c r="CV3055" s="501"/>
      <c r="CW3055" s="501"/>
      <c r="CX3055" s="501"/>
      <c r="CY3055" s="501"/>
      <c r="CZ3055" s="501"/>
      <c r="DA3055" s="501"/>
      <c r="DB3055" s="501"/>
      <c r="DC3055" s="501"/>
      <c r="DD3055" s="501"/>
      <c r="DE3055" s="501"/>
      <c r="DF3055" s="501"/>
      <c r="DG3055" s="501"/>
      <c r="DH3055" s="501"/>
      <c r="DI3055" s="501"/>
      <c r="DJ3055" s="501"/>
      <c r="DK3055" s="501"/>
      <c r="DL3055" s="501"/>
      <c r="DM3055" s="501"/>
      <c r="DN3055" s="501"/>
      <c r="DO3055" s="501"/>
      <c r="DP3055" s="501"/>
      <c r="DQ3055" s="501"/>
      <c r="DR3055" s="501"/>
      <c r="DS3055" s="501"/>
      <c r="DT3055" s="501"/>
      <c r="DU3055" s="501"/>
      <c r="DV3055" s="501"/>
      <c r="DW3055" s="501"/>
      <c r="DX3055" s="501"/>
      <c r="DY3055" s="501"/>
      <c r="DZ3055" s="501"/>
      <c r="EA3055" s="501"/>
      <c r="EB3055" s="501"/>
      <c r="EC3055" s="501"/>
      <c r="ED3055" s="501"/>
      <c r="EE3055" s="501"/>
      <c r="EF3055" s="501"/>
      <c r="EG3055" s="501"/>
      <c r="EH3055" s="501"/>
      <c r="EI3055" s="501"/>
      <c r="EJ3055" s="501"/>
      <c r="EK3055" s="501"/>
      <c r="EL3055" s="501"/>
      <c r="EM3055" s="501"/>
      <c r="EN3055" s="501"/>
      <c r="EO3055" s="501"/>
      <c r="EP3055" s="501"/>
      <c r="EQ3055" s="501"/>
      <c r="ER3055" s="501"/>
      <c r="ES3055" s="501"/>
      <c r="ET3055" s="501"/>
      <c r="EU3055" s="501"/>
      <c r="EV3055" s="501"/>
      <c r="EW3055" s="501"/>
      <c r="EX3055" s="501"/>
      <c r="EY3055" s="501"/>
      <c r="EZ3055" s="501"/>
      <c r="FA3055" s="501"/>
      <c r="FB3055" s="501"/>
      <c r="FC3055" s="501"/>
      <c r="FD3055" s="501"/>
      <c r="FE3055" s="501"/>
      <c r="FF3055" s="501"/>
      <c r="FG3055" s="501"/>
      <c r="FH3055" s="501"/>
      <c r="FI3055" s="501"/>
      <c r="FJ3055" s="501"/>
      <c r="FK3055" s="501"/>
      <c r="FL3055" s="501"/>
      <c r="FM3055" s="501"/>
      <c r="FN3055" s="501"/>
      <c r="FO3055" s="501"/>
      <c r="FP3055" s="501"/>
      <c r="FQ3055" s="501"/>
      <c r="FR3055" s="501"/>
      <c r="FS3055" s="501"/>
      <c r="FT3055" s="501"/>
      <c r="FU3055" s="501"/>
      <c r="FV3055" s="501"/>
      <c r="FW3055" s="501"/>
      <c r="FX3055" s="501"/>
      <c r="FY3055" s="501"/>
      <c r="FZ3055" s="501"/>
      <c r="GA3055" s="501"/>
      <c r="GB3055" s="501"/>
      <c r="GC3055" s="501"/>
      <c r="GD3055" s="501"/>
      <c r="GE3055" s="501"/>
      <c r="GF3055" s="501"/>
      <c r="GG3055" s="501"/>
      <c r="GH3055" s="501"/>
      <c r="GI3055" s="501"/>
      <c r="GJ3055" s="501"/>
      <c r="GK3055" s="501"/>
      <c r="GL3055" s="501"/>
      <c r="GM3055" s="501"/>
      <c r="GN3055" s="501"/>
      <c r="GO3055" s="501"/>
      <c r="GP3055" s="501"/>
      <c r="GQ3055" s="501"/>
      <c r="GR3055" s="501"/>
      <c r="GS3055" s="501"/>
      <c r="GT3055" s="501"/>
      <c r="GU3055" s="501"/>
      <c r="GV3055" s="501"/>
      <c r="GW3055" s="501"/>
      <c r="GX3055" s="501"/>
      <c r="GY3055" s="501"/>
      <c r="GZ3055" s="501"/>
      <c r="HA3055" s="501"/>
      <c r="HB3055" s="501"/>
      <c r="HC3055" s="501"/>
      <c r="HD3055" s="501"/>
      <c r="HE3055" s="501"/>
      <c r="HF3055" s="501"/>
      <c r="HG3055" s="501"/>
      <c r="HH3055" s="501"/>
      <c r="HI3055" s="501"/>
      <c r="HJ3055" s="501"/>
      <c r="HK3055" s="501"/>
      <c r="HL3055" s="501"/>
      <c r="HM3055" s="501"/>
      <c r="HN3055" s="501"/>
      <c r="HO3055" s="501"/>
      <c r="HP3055" s="501"/>
      <c r="HQ3055" s="501"/>
      <c r="HR3055" s="501"/>
      <c r="HS3055" s="501"/>
      <c r="HT3055" s="501"/>
      <c r="HU3055" s="501"/>
      <c r="HV3055" s="501"/>
      <c r="HW3055" s="501"/>
      <c r="HX3055" s="501"/>
      <c r="HY3055" s="501"/>
      <c r="HZ3055" s="501"/>
      <c r="IA3055" s="501"/>
      <c r="IB3055" s="501"/>
      <c r="IC3055" s="501"/>
      <c r="ID3055" s="501"/>
      <c r="IE3055" s="501"/>
      <c r="IF3055" s="501"/>
      <c r="IG3055" s="501"/>
      <c r="IH3055" s="501"/>
      <c r="II3055" s="501"/>
      <c r="IJ3055" s="501"/>
      <c r="IK3055" s="501"/>
      <c r="IL3055" s="501"/>
      <c r="IM3055" s="501"/>
      <c r="IN3055" s="501"/>
      <c r="IO3055" s="501"/>
      <c r="IP3055" s="501"/>
      <c r="IQ3055" s="501"/>
      <c r="IR3055" s="501"/>
      <c r="IS3055" s="501"/>
      <c r="IT3055" s="501"/>
      <c r="IU3055" s="501"/>
    </row>
    <row r="3056" spans="1:255" s="877" customFormat="1" ht="24" customHeight="1">
      <c r="A3056" s="501"/>
      <c r="B3056" s="501"/>
      <c r="C3056" s="501"/>
      <c r="D3056" s="501"/>
      <c r="E3056" s="501"/>
      <c r="F3056" s="968"/>
      <c r="G3056" s="1107"/>
      <c r="H3056" s="968"/>
      <c r="I3056" s="973"/>
      <c r="J3056" s="973"/>
      <c r="K3056" s="1097"/>
      <c r="L3056" s="974"/>
      <c r="M3056" s="1109"/>
      <c r="N3056" s="501"/>
      <c r="O3056" s="1119"/>
      <c r="P3056" s="1152"/>
      <c r="Q3056" s="1116"/>
      <c r="R3056" s="1097"/>
      <c r="S3056" s="974"/>
      <c r="T3056" s="1097"/>
      <c r="V3056" s="501"/>
      <c r="W3056" s="501"/>
      <c r="X3056" s="501"/>
      <c r="Y3056" s="501"/>
      <c r="Z3056" s="501"/>
      <c r="AA3056" s="501"/>
      <c r="AB3056" s="501"/>
      <c r="AC3056" s="501"/>
      <c r="AD3056" s="501"/>
      <c r="AE3056" s="501"/>
      <c r="AF3056" s="501"/>
      <c r="AG3056" s="501"/>
      <c r="AH3056" s="501"/>
      <c r="AI3056" s="501"/>
      <c r="AJ3056" s="501"/>
      <c r="AK3056" s="501"/>
      <c r="AL3056" s="501"/>
      <c r="AM3056" s="501"/>
      <c r="AN3056" s="501"/>
      <c r="AO3056" s="501"/>
      <c r="AP3056" s="501"/>
      <c r="AQ3056" s="501"/>
      <c r="AR3056" s="501"/>
      <c r="AS3056" s="501"/>
      <c r="AT3056" s="501"/>
      <c r="AU3056" s="501"/>
      <c r="AV3056" s="501"/>
      <c r="AW3056" s="501"/>
      <c r="AX3056" s="501"/>
      <c r="AY3056" s="501"/>
      <c r="AZ3056" s="501"/>
      <c r="BA3056" s="501"/>
      <c r="BB3056" s="501"/>
      <c r="BC3056" s="501"/>
      <c r="BD3056" s="501"/>
      <c r="BE3056" s="501"/>
      <c r="BF3056" s="501"/>
      <c r="BG3056" s="501"/>
      <c r="BH3056" s="501"/>
      <c r="BI3056" s="501"/>
      <c r="BJ3056" s="501"/>
      <c r="BK3056" s="501"/>
      <c r="BL3056" s="501"/>
      <c r="BM3056" s="501"/>
      <c r="BN3056" s="501"/>
      <c r="BO3056" s="501"/>
      <c r="BP3056" s="501"/>
      <c r="BQ3056" s="501"/>
      <c r="BR3056" s="501"/>
      <c r="BS3056" s="501"/>
      <c r="BT3056" s="501"/>
      <c r="BU3056" s="501"/>
      <c r="BV3056" s="501"/>
      <c r="BW3056" s="501"/>
      <c r="BX3056" s="501"/>
      <c r="BY3056" s="501"/>
      <c r="BZ3056" s="501"/>
      <c r="CA3056" s="501"/>
      <c r="CB3056" s="501"/>
      <c r="CC3056" s="501"/>
      <c r="CD3056" s="501"/>
      <c r="CE3056" s="501"/>
      <c r="CF3056" s="501"/>
      <c r="CG3056" s="501"/>
      <c r="CH3056" s="501"/>
      <c r="CI3056" s="501"/>
      <c r="CJ3056" s="501"/>
      <c r="CK3056" s="501"/>
      <c r="CL3056" s="501"/>
      <c r="CM3056" s="501"/>
      <c r="CN3056" s="501"/>
      <c r="CO3056" s="501"/>
      <c r="CP3056" s="501"/>
      <c r="CQ3056" s="501"/>
      <c r="CR3056" s="501"/>
      <c r="CS3056" s="501"/>
      <c r="CT3056" s="501"/>
      <c r="CU3056" s="501"/>
      <c r="CV3056" s="501"/>
      <c r="CW3056" s="501"/>
      <c r="CX3056" s="501"/>
      <c r="CY3056" s="501"/>
      <c r="CZ3056" s="501"/>
      <c r="DA3056" s="501"/>
      <c r="DB3056" s="501"/>
      <c r="DC3056" s="501"/>
      <c r="DD3056" s="501"/>
      <c r="DE3056" s="501"/>
      <c r="DF3056" s="501"/>
      <c r="DG3056" s="501"/>
      <c r="DH3056" s="501"/>
      <c r="DI3056" s="501"/>
      <c r="DJ3056" s="501"/>
      <c r="DK3056" s="501"/>
      <c r="DL3056" s="501"/>
      <c r="DM3056" s="501"/>
      <c r="DN3056" s="501"/>
      <c r="DO3056" s="501"/>
      <c r="DP3056" s="501"/>
      <c r="DQ3056" s="501"/>
      <c r="DR3056" s="501"/>
      <c r="DS3056" s="501"/>
      <c r="DT3056" s="501"/>
      <c r="DU3056" s="501"/>
      <c r="DV3056" s="501"/>
      <c r="DW3056" s="501"/>
      <c r="DX3056" s="501"/>
      <c r="DY3056" s="501"/>
      <c r="DZ3056" s="501"/>
      <c r="EA3056" s="501"/>
      <c r="EB3056" s="501"/>
      <c r="EC3056" s="501"/>
      <c r="ED3056" s="501"/>
      <c r="EE3056" s="501"/>
      <c r="EF3056" s="501"/>
      <c r="EG3056" s="501"/>
      <c r="EH3056" s="501"/>
      <c r="EI3056" s="501"/>
      <c r="EJ3056" s="501"/>
      <c r="EK3056" s="501"/>
      <c r="EL3056" s="501"/>
      <c r="EM3056" s="501"/>
      <c r="EN3056" s="501"/>
      <c r="EO3056" s="501"/>
      <c r="EP3056" s="501"/>
      <c r="EQ3056" s="501"/>
      <c r="ER3056" s="501"/>
      <c r="ES3056" s="501"/>
      <c r="ET3056" s="501"/>
      <c r="EU3056" s="501"/>
      <c r="EV3056" s="501"/>
      <c r="EW3056" s="501"/>
      <c r="EX3056" s="501"/>
      <c r="EY3056" s="501"/>
      <c r="EZ3056" s="501"/>
      <c r="FA3056" s="501"/>
      <c r="FB3056" s="501"/>
      <c r="FC3056" s="501"/>
      <c r="FD3056" s="501"/>
      <c r="FE3056" s="501"/>
      <c r="FF3056" s="501"/>
      <c r="FG3056" s="501"/>
      <c r="FH3056" s="501"/>
      <c r="FI3056" s="501"/>
      <c r="FJ3056" s="501"/>
      <c r="FK3056" s="501"/>
      <c r="FL3056" s="501"/>
      <c r="FM3056" s="501"/>
      <c r="FN3056" s="501"/>
      <c r="FO3056" s="501"/>
      <c r="FP3056" s="501"/>
      <c r="FQ3056" s="501"/>
      <c r="FR3056" s="501"/>
      <c r="FS3056" s="501"/>
      <c r="FT3056" s="501"/>
      <c r="FU3056" s="501"/>
      <c r="FV3056" s="501"/>
      <c r="FW3056" s="501"/>
      <c r="FX3056" s="501"/>
      <c r="FY3056" s="501"/>
      <c r="FZ3056" s="501"/>
      <c r="GA3056" s="501"/>
      <c r="GB3056" s="501"/>
      <c r="GC3056" s="501"/>
      <c r="GD3056" s="501"/>
      <c r="GE3056" s="501"/>
      <c r="GF3056" s="501"/>
      <c r="GG3056" s="501"/>
      <c r="GH3056" s="501"/>
      <c r="GI3056" s="501"/>
      <c r="GJ3056" s="501"/>
      <c r="GK3056" s="501"/>
      <c r="GL3056" s="501"/>
      <c r="GM3056" s="501"/>
      <c r="GN3056" s="501"/>
      <c r="GO3056" s="501"/>
      <c r="GP3056" s="501"/>
      <c r="GQ3056" s="501"/>
      <c r="GR3056" s="501"/>
      <c r="GS3056" s="501"/>
      <c r="GT3056" s="501"/>
      <c r="GU3056" s="501"/>
      <c r="GV3056" s="501"/>
      <c r="GW3056" s="501"/>
      <c r="GX3056" s="501"/>
      <c r="GY3056" s="501"/>
      <c r="GZ3056" s="501"/>
      <c r="HA3056" s="501"/>
      <c r="HB3056" s="501"/>
      <c r="HC3056" s="501"/>
      <c r="HD3056" s="501"/>
      <c r="HE3056" s="501"/>
      <c r="HF3056" s="501"/>
      <c r="HG3056" s="501"/>
      <c r="HH3056" s="501"/>
      <c r="HI3056" s="501"/>
      <c r="HJ3056" s="501"/>
      <c r="HK3056" s="501"/>
      <c r="HL3056" s="501"/>
      <c r="HM3056" s="501"/>
      <c r="HN3056" s="501"/>
      <c r="HO3056" s="501"/>
      <c r="HP3056" s="501"/>
      <c r="HQ3056" s="501"/>
      <c r="HR3056" s="501"/>
      <c r="HS3056" s="501"/>
      <c r="HT3056" s="501"/>
      <c r="HU3056" s="501"/>
      <c r="HV3056" s="501"/>
      <c r="HW3056" s="501"/>
      <c r="HX3056" s="501"/>
      <c r="HY3056" s="501"/>
      <c r="HZ3056" s="501"/>
      <c r="IA3056" s="501"/>
      <c r="IB3056" s="501"/>
      <c r="IC3056" s="501"/>
      <c r="ID3056" s="501"/>
      <c r="IE3056" s="501"/>
      <c r="IF3056" s="501"/>
      <c r="IG3056" s="501"/>
      <c r="IH3056" s="501"/>
      <c r="II3056" s="501"/>
      <c r="IJ3056" s="501"/>
      <c r="IK3056" s="501"/>
      <c r="IL3056" s="501"/>
      <c r="IM3056" s="501"/>
      <c r="IN3056" s="501"/>
      <c r="IO3056" s="501"/>
      <c r="IP3056" s="501"/>
      <c r="IQ3056" s="501"/>
      <c r="IR3056" s="501"/>
      <c r="IS3056" s="501"/>
      <c r="IT3056" s="501"/>
      <c r="IU3056" s="501"/>
    </row>
    <row r="3057" spans="1:255" s="877" customFormat="1" ht="24" customHeight="1">
      <c r="A3057" s="501"/>
      <c r="B3057" s="501"/>
      <c r="C3057" s="501"/>
      <c r="D3057" s="501"/>
      <c r="E3057" s="501"/>
      <c r="F3057" s="1097"/>
      <c r="G3057" s="1098"/>
      <c r="H3057" s="1097"/>
      <c r="I3057" s="1099"/>
      <c r="J3057" s="1097"/>
      <c r="K3057" s="1097"/>
      <c r="L3057" s="1101"/>
      <c r="M3057" s="1109"/>
      <c r="N3057" s="501"/>
      <c r="O3057" s="1144"/>
      <c r="P3057" s="1152"/>
      <c r="Q3057" s="973"/>
      <c r="R3057" s="1097"/>
      <c r="S3057" s="974"/>
      <c r="T3057" s="968"/>
      <c r="V3057" s="501"/>
      <c r="W3057" s="501"/>
      <c r="X3057" s="501"/>
      <c r="Y3057" s="501"/>
      <c r="Z3057" s="501"/>
      <c r="AA3057" s="501"/>
      <c r="AB3057" s="501"/>
      <c r="AC3057" s="501"/>
      <c r="AD3057" s="501"/>
      <c r="AE3057" s="501"/>
      <c r="AF3057" s="501"/>
      <c r="AG3057" s="501"/>
      <c r="AH3057" s="501"/>
      <c r="AI3057" s="501"/>
      <c r="AJ3057" s="501"/>
      <c r="AK3057" s="501"/>
      <c r="AL3057" s="501"/>
      <c r="AM3057" s="501"/>
      <c r="AN3057" s="501"/>
      <c r="AO3057" s="501"/>
      <c r="AP3057" s="501"/>
      <c r="AQ3057" s="501"/>
      <c r="AR3057" s="501"/>
      <c r="AS3057" s="501"/>
      <c r="AT3057" s="501"/>
      <c r="AU3057" s="501"/>
      <c r="AV3057" s="501"/>
      <c r="AW3057" s="501"/>
      <c r="AX3057" s="501"/>
      <c r="AY3057" s="501"/>
      <c r="AZ3057" s="501"/>
      <c r="BA3057" s="501"/>
      <c r="BB3057" s="501"/>
      <c r="BC3057" s="501"/>
      <c r="BD3057" s="501"/>
      <c r="BE3057" s="501"/>
      <c r="BF3057" s="501"/>
      <c r="BG3057" s="501"/>
      <c r="BH3057" s="501"/>
      <c r="BI3057" s="501"/>
      <c r="BJ3057" s="501"/>
      <c r="BK3057" s="501"/>
      <c r="BL3057" s="501"/>
      <c r="BM3057" s="501"/>
      <c r="BN3057" s="501"/>
      <c r="BO3057" s="501"/>
      <c r="BP3057" s="501"/>
      <c r="BQ3057" s="501"/>
      <c r="BR3057" s="501"/>
      <c r="BS3057" s="501"/>
      <c r="BT3057" s="501"/>
      <c r="BU3057" s="501"/>
      <c r="BV3057" s="501"/>
      <c r="BW3057" s="501"/>
      <c r="BX3057" s="501"/>
      <c r="BY3057" s="501"/>
      <c r="BZ3057" s="501"/>
      <c r="CA3057" s="501"/>
      <c r="CB3057" s="501"/>
      <c r="CC3057" s="501"/>
      <c r="CD3057" s="501"/>
      <c r="CE3057" s="501"/>
      <c r="CF3057" s="501"/>
      <c r="CG3057" s="501"/>
      <c r="CH3057" s="501"/>
      <c r="CI3057" s="501"/>
      <c r="CJ3057" s="501"/>
      <c r="CK3057" s="501"/>
      <c r="CL3057" s="501"/>
      <c r="CM3057" s="501"/>
      <c r="CN3057" s="501"/>
      <c r="CO3057" s="501"/>
      <c r="CP3057" s="501"/>
      <c r="CQ3057" s="501"/>
      <c r="CR3057" s="501"/>
      <c r="CS3057" s="501"/>
      <c r="CT3057" s="501"/>
      <c r="CU3057" s="501"/>
      <c r="CV3057" s="501"/>
      <c r="CW3057" s="501"/>
      <c r="CX3057" s="501"/>
      <c r="CY3057" s="501"/>
      <c r="CZ3057" s="501"/>
      <c r="DA3057" s="501"/>
      <c r="DB3057" s="501"/>
      <c r="DC3057" s="501"/>
      <c r="DD3057" s="501"/>
      <c r="DE3057" s="501"/>
      <c r="DF3057" s="501"/>
      <c r="DG3057" s="501"/>
      <c r="DH3057" s="501"/>
      <c r="DI3057" s="501"/>
      <c r="DJ3057" s="501"/>
      <c r="DK3057" s="501"/>
      <c r="DL3057" s="501"/>
      <c r="DM3057" s="501"/>
      <c r="DN3057" s="501"/>
      <c r="DO3057" s="501"/>
      <c r="DP3057" s="501"/>
      <c r="DQ3057" s="501"/>
      <c r="DR3057" s="501"/>
      <c r="DS3057" s="501"/>
      <c r="DT3057" s="501"/>
      <c r="DU3057" s="501"/>
      <c r="DV3057" s="501"/>
      <c r="DW3057" s="501"/>
      <c r="DX3057" s="501"/>
      <c r="DY3057" s="501"/>
      <c r="DZ3057" s="501"/>
      <c r="EA3057" s="501"/>
      <c r="EB3057" s="501"/>
      <c r="EC3057" s="501"/>
      <c r="ED3057" s="501"/>
      <c r="EE3057" s="501"/>
      <c r="EF3057" s="501"/>
      <c r="EG3057" s="501"/>
      <c r="EH3057" s="501"/>
      <c r="EI3057" s="501"/>
      <c r="EJ3057" s="501"/>
      <c r="EK3057" s="501"/>
      <c r="EL3057" s="501"/>
      <c r="EM3057" s="501"/>
      <c r="EN3057" s="501"/>
      <c r="EO3057" s="501"/>
      <c r="EP3057" s="501"/>
      <c r="EQ3057" s="501"/>
      <c r="ER3057" s="501"/>
      <c r="ES3057" s="501"/>
      <c r="ET3057" s="501"/>
      <c r="EU3057" s="501"/>
      <c r="EV3057" s="501"/>
      <c r="EW3057" s="501"/>
      <c r="EX3057" s="501"/>
      <c r="EY3057" s="501"/>
      <c r="EZ3057" s="501"/>
      <c r="FA3057" s="501"/>
      <c r="FB3057" s="501"/>
      <c r="FC3057" s="501"/>
      <c r="FD3057" s="501"/>
      <c r="FE3057" s="501"/>
      <c r="FF3057" s="501"/>
      <c r="FG3057" s="501"/>
      <c r="FH3057" s="501"/>
      <c r="FI3057" s="501"/>
      <c r="FJ3057" s="501"/>
      <c r="FK3057" s="501"/>
      <c r="FL3057" s="501"/>
      <c r="FM3057" s="501"/>
      <c r="FN3057" s="501"/>
      <c r="FO3057" s="501"/>
      <c r="FP3057" s="501"/>
      <c r="FQ3057" s="501"/>
      <c r="FR3057" s="501"/>
      <c r="FS3057" s="501"/>
      <c r="FT3057" s="501"/>
      <c r="FU3057" s="501"/>
      <c r="FV3057" s="501"/>
      <c r="FW3057" s="501"/>
      <c r="FX3057" s="501"/>
      <c r="FY3057" s="501"/>
      <c r="FZ3057" s="501"/>
      <c r="GA3057" s="501"/>
      <c r="GB3057" s="501"/>
      <c r="GC3057" s="501"/>
      <c r="GD3057" s="501"/>
      <c r="GE3057" s="501"/>
      <c r="GF3057" s="501"/>
      <c r="GG3057" s="501"/>
      <c r="GH3057" s="501"/>
      <c r="GI3057" s="501"/>
      <c r="GJ3057" s="501"/>
      <c r="GK3057" s="501"/>
      <c r="GL3057" s="501"/>
      <c r="GM3057" s="501"/>
      <c r="GN3057" s="501"/>
      <c r="GO3057" s="501"/>
      <c r="GP3057" s="501"/>
      <c r="GQ3057" s="501"/>
      <c r="GR3057" s="501"/>
      <c r="GS3057" s="501"/>
      <c r="GT3057" s="501"/>
      <c r="GU3057" s="501"/>
      <c r="GV3057" s="501"/>
      <c r="GW3057" s="501"/>
      <c r="GX3057" s="501"/>
      <c r="GY3057" s="501"/>
      <c r="GZ3057" s="501"/>
      <c r="HA3057" s="501"/>
      <c r="HB3057" s="501"/>
      <c r="HC3057" s="501"/>
      <c r="HD3057" s="501"/>
      <c r="HE3057" s="501"/>
      <c r="HF3057" s="501"/>
      <c r="HG3057" s="501"/>
      <c r="HH3057" s="501"/>
      <c r="HI3057" s="501"/>
      <c r="HJ3057" s="501"/>
      <c r="HK3057" s="501"/>
      <c r="HL3057" s="501"/>
      <c r="HM3057" s="501"/>
      <c r="HN3057" s="501"/>
      <c r="HO3057" s="501"/>
      <c r="HP3057" s="501"/>
      <c r="HQ3057" s="501"/>
      <c r="HR3057" s="501"/>
      <c r="HS3057" s="501"/>
      <c r="HT3057" s="501"/>
      <c r="HU3057" s="501"/>
      <c r="HV3057" s="501"/>
      <c r="HW3057" s="501"/>
      <c r="HX3057" s="501"/>
      <c r="HY3057" s="501"/>
      <c r="HZ3057" s="501"/>
      <c r="IA3057" s="501"/>
      <c r="IB3057" s="501"/>
      <c r="IC3057" s="501"/>
      <c r="ID3057" s="501"/>
      <c r="IE3057" s="501"/>
      <c r="IF3057" s="501"/>
      <c r="IG3057" s="501"/>
      <c r="IH3057" s="501"/>
      <c r="II3057" s="501"/>
      <c r="IJ3057" s="501"/>
      <c r="IK3057" s="501"/>
      <c r="IL3057" s="501"/>
      <c r="IM3057" s="501"/>
      <c r="IN3057" s="501"/>
      <c r="IO3057" s="501"/>
      <c r="IP3057" s="501"/>
      <c r="IQ3057" s="501"/>
      <c r="IR3057" s="501"/>
      <c r="IS3057" s="501"/>
      <c r="IT3057" s="501"/>
      <c r="IU3057" s="501"/>
    </row>
    <row r="3058" spans="1:255" s="877" customFormat="1" ht="24" customHeight="1">
      <c r="A3058" s="501"/>
      <c r="B3058" s="501"/>
      <c r="C3058" s="501"/>
      <c r="D3058" s="501"/>
      <c r="E3058" s="501"/>
      <c r="F3058" s="1097"/>
      <c r="G3058" s="1098"/>
      <c r="H3058" s="1097"/>
      <c r="I3058" s="1099"/>
      <c r="J3058" s="973"/>
      <c r="K3058" s="1097"/>
      <c r="L3058" s="1101"/>
      <c r="M3058" s="1109"/>
      <c r="N3058" s="501"/>
      <c r="O3058" s="968"/>
      <c r="P3058" s="1152"/>
      <c r="Q3058" s="973"/>
      <c r="R3058" s="1097"/>
      <c r="S3058" s="974"/>
      <c r="T3058" s="968"/>
      <c r="V3058" s="501"/>
      <c r="W3058" s="501"/>
      <c r="X3058" s="501"/>
      <c r="Y3058" s="501"/>
      <c r="Z3058" s="501"/>
      <c r="AA3058" s="501"/>
      <c r="AB3058" s="501"/>
      <c r="AC3058" s="501"/>
      <c r="AD3058" s="501"/>
      <c r="AE3058" s="501"/>
      <c r="AF3058" s="501"/>
      <c r="AG3058" s="501"/>
      <c r="AH3058" s="501"/>
      <c r="AI3058" s="501"/>
      <c r="AJ3058" s="501"/>
      <c r="AK3058" s="501"/>
      <c r="AL3058" s="501"/>
      <c r="AM3058" s="501"/>
      <c r="AN3058" s="501"/>
      <c r="AO3058" s="501"/>
      <c r="AP3058" s="501"/>
      <c r="AQ3058" s="501"/>
      <c r="AR3058" s="501"/>
      <c r="AS3058" s="501"/>
      <c r="AT3058" s="501"/>
      <c r="AU3058" s="501"/>
      <c r="AV3058" s="501"/>
      <c r="AW3058" s="501"/>
      <c r="AX3058" s="501"/>
      <c r="AY3058" s="501"/>
      <c r="AZ3058" s="501"/>
      <c r="BA3058" s="501"/>
      <c r="BB3058" s="501"/>
      <c r="BC3058" s="501"/>
      <c r="BD3058" s="501"/>
      <c r="BE3058" s="501"/>
      <c r="BF3058" s="501"/>
      <c r="BG3058" s="501"/>
      <c r="BH3058" s="501"/>
      <c r="BI3058" s="501"/>
      <c r="BJ3058" s="501"/>
      <c r="BK3058" s="501"/>
      <c r="BL3058" s="501"/>
      <c r="BM3058" s="501"/>
      <c r="BN3058" s="501"/>
      <c r="BO3058" s="501"/>
      <c r="BP3058" s="501"/>
      <c r="BQ3058" s="501"/>
      <c r="BR3058" s="501"/>
      <c r="BS3058" s="501"/>
      <c r="BT3058" s="501"/>
      <c r="BU3058" s="501"/>
      <c r="BV3058" s="501"/>
      <c r="BW3058" s="501"/>
      <c r="BX3058" s="501"/>
      <c r="BY3058" s="501"/>
      <c r="BZ3058" s="501"/>
      <c r="CA3058" s="501"/>
      <c r="CB3058" s="501"/>
      <c r="CC3058" s="501"/>
      <c r="CD3058" s="501"/>
      <c r="CE3058" s="501"/>
      <c r="CF3058" s="501"/>
      <c r="CG3058" s="501"/>
      <c r="CH3058" s="501"/>
      <c r="CI3058" s="501"/>
      <c r="CJ3058" s="501"/>
      <c r="CK3058" s="501"/>
      <c r="CL3058" s="501"/>
      <c r="CM3058" s="501"/>
      <c r="CN3058" s="501"/>
      <c r="CO3058" s="501"/>
      <c r="CP3058" s="501"/>
      <c r="CQ3058" s="501"/>
      <c r="CR3058" s="501"/>
      <c r="CS3058" s="501"/>
      <c r="CT3058" s="501"/>
      <c r="CU3058" s="501"/>
      <c r="CV3058" s="501"/>
      <c r="CW3058" s="501"/>
      <c r="CX3058" s="501"/>
      <c r="CY3058" s="501"/>
      <c r="CZ3058" s="501"/>
      <c r="DA3058" s="501"/>
      <c r="DB3058" s="501"/>
      <c r="DC3058" s="501"/>
      <c r="DD3058" s="501"/>
      <c r="DE3058" s="501"/>
      <c r="DF3058" s="501"/>
      <c r="DG3058" s="501"/>
      <c r="DH3058" s="501"/>
      <c r="DI3058" s="501"/>
      <c r="DJ3058" s="501"/>
      <c r="DK3058" s="501"/>
      <c r="DL3058" s="501"/>
      <c r="DM3058" s="501"/>
      <c r="DN3058" s="501"/>
      <c r="DO3058" s="501"/>
      <c r="DP3058" s="501"/>
      <c r="DQ3058" s="501"/>
      <c r="DR3058" s="501"/>
      <c r="DS3058" s="501"/>
      <c r="DT3058" s="501"/>
      <c r="DU3058" s="501"/>
      <c r="DV3058" s="501"/>
      <c r="DW3058" s="501"/>
      <c r="DX3058" s="501"/>
      <c r="DY3058" s="501"/>
      <c r="DZ3058" s="501"/>
      <c r="EA3058" s="501"/>
      <c r="EB3058" s="501"/>
      <c r="EC3058" s="501"/>
      <c r="ED3058" s="501"/>
      <c r="EE3058" s="501"/>
      <c r="EF3058" s="501"/>
      <c r="EG3058" s="501"/>
      <c r="EH3058" s="501"/>
      <c r="EI3058" s="501"/>
      <c r="EJ3058" s="501"/>
      <c r="EK3058" s="501"/>
      <c r="EL3058" s="501"/>
      <c r="EM3058" s="501"/>
      <c r="EN3058" s="501"/>
      <c r="EO3058" s="501"/>
      <c r="EP3058" s="501"/>
      <c r="EQ3058" s="501"/>
      <c r="ER3058" s="501"/>
      <c r="ES3058" s="501"/>
      <c r="ET3058" s="501"/>
      <c r="EU3058" s="501"/>
      <c r="EV3058" s="501"/>
      <c r="EW3058" s="501"/>
      <c r="EX3058" s="501"/>
      <c r="EY3058" s="501"/>
      <c r="EZ3058" s="501"/>
      <c r="FA3058" s="501"/>
      <c r="FB3058" s="501"/>
      <c r="FC3058" s="501"/>
      <c r="FD3058" s="501"/>
      <c r="FE3058" s="501"/>
      <c r="FF3058" s="501"/>
      <c r="FG3058" s="501"/>
      <c r="FH3058" s="501"/>
      <c r="FI3058" s="501"/>
      <c r="FJ3058" s="501"/>
      <c r="FK3058" s="501"/>
      <c r="FL3058" s="501"/>
      <c r="FM3058" s="501"/>
      <c r="FN3058" s="501"/>
      <c r="FO3058" s="501"/>
      <c r="FP3058" s="501"/>
      <c r="FQ3058" s="501"/>
      <c r="FR3058" s="501"/>
      <c r="FS3058" s="501"/>
      <c r="FT3058" s="501"/>
      <c r="FU3058" s="501"/>
      <c r="FV3058" s="501"/>
      <c r="FW3058" s="501"/>
      <c r="FX3058" s="501"/>
      <c r="FY3058" s="501"/>
      <c r="FZ3058" s="501"/>
      <c r="GA3058" s="501"/>
      <c r="GB3058" s="501"/>
      <c r="GC3058" s="501"/>
      <c r="GD3058" s="501"/>
      <c r="GE3058" s="501"/>
      <c r="GF3058" s="501"/>
      <c r="GG3058" s="501"/>
      <c r="GH3058" s="501"/>
      <c r="GI3058" s="501"/>
      <c r="GJ3058" s="501"/>
      <c r="GK3058" s="501"/>
      <c r="GL3058" s="501"/>
      <c r="GM3058" s="501"/>
      <c r="GN3058" s="501"/>
      <c r="GO3058" s="501"/>
      <c r="GP3058" s="501"/>
      <c r="GQ3058" s="501"/>
      <c r="GR3058" s="501"/>
      <c r="GS3058" s="501"/>
      <c r="GT3058" s="501"/>
      <c r="GU3058" s="501"/>
      <c r="GV3058" s="501"/>
      <c r="GW3058" s="501"/>
      <c r="GX3058" s="501"/>
      <c r="GY3058" s="501"/>
      <c r="GZ3058" s="501"/>
      <c r="HA3058" s="501"/>
      <c r="HB3058" s="501"/>
      <c r="HC3058" s="501"/>
      <c r="HD3058" s="501"/>
      <c r="HE3058" s="501"/>
      <c r="HF3058" s="501"/>
      <c r="HG3058" s="501"/>
      <c r="HH3058" s="501"/>
      <c r="HI3058" s="501"/>
      <c r="HJ3058" s="501"/>
      <c r="HK3058" s="501"/>
      <c r="HL3058" s="501"/>
      <c r="HM3058" s="501"/>
      <c r="HN3058" s="501"/>
      <c r="HO3058" s="501"/>
      <c r="HP3058" s="501"/>
      <c r="HQ3058" s="501"/>
      <c r="HR3058" s="501"/>
      <c r="HS3058" s="501"/>
      <c r="HT3058" s="501"/>
      <c r="HU3058" s="501"/>
      <c r="HV3058" s="501"/>
      <c r="HW3058" s="501"/>
      <c r="HX3058" s="501"/>
      <c r="HY3058" s="501"/>
      <c r="HZ3058" s="501"/>
      <c r="IA3058" s="501"/>
      <c r="IB3058" s="501"/>
      <c r="IC3058" s="501"/>
      <c r="ID3058" s="501"/>
      <c r="IE3058" s="501"/>
      <c r="IF3058" s="501"/>
      <c r="IG3058" s="501"/>
      <c r="IH3058" s="501"/>
      <c r="II3058" s="501"/>
      <c r="IJ3058" s="501"/>
      <c r="IK3058" s="501"/>
      <c r="IL3058" s="501"/>
      <c r="IM3058" s="501"/>
      <c r="IN3058" s="501"/>
      <c r="IO3058" s="501"/>
      <c r="IP3058" s="501"/>
      <c r="IQ3058" s="501"/>
      <c r="IR3058" s="501"/>
      <c r="IS3058" s="501"/>
      <c r="IT3058" s="501"/>
      <c r="IU3058" s="501"/>
    </row>
    <row r="3059" spans="1:255" s="877" customFormat="1" ht="24" customHeight="1">
      <c r="A3059" s="501"/>
      <c r="B3059" s="501"/>
      <c r="C3059" s="501"/>
      <c r="D3059" s="501"/>
      <c r="E3059" s="501"/>
      <c r="F3059" s="1097"/>
      <c r="G3059" s="1098"/>
      <c r="H3059" s="1097"/>
      <c r="I3059" s="1099"/>
      <c r="J3059" s="1097"/>
      <c r="K3059" s="1097"/>
      <c r="L3059" s="1101"/>
      <c r="M3059" s="1109"/>
      <c r="N3059" s="501"/>
      <c r="O3059" s="968"/>
      <c r="P3059" s="1152"/>
      <c r="Q3059" s="973"/>
      <c r="R3059" s="1097"/>
      <c r="S3059" s="974"/>
      <c r="T3059" s="968"/>
      <c r="V3059" s="501"/>
      <c r="W3059" s="501"/>
      <c r="X3059" s="501"/>
      <c r="Y3059" s="501"/>
      <c r="Z3059" s="501"/>
      <c r="AA3059" s="501"/>
      <c r="AB3059" s="501"/>
      <c r="AC3059" s="501"/>
      <c r="AD3059" s="501"/>
      <c r="AE3059" s="501"/>
      <c r="AF3059" s="501"/>
      <c r="AG3059" s="501"/>
      <c r="AH3059" s="501"/>
      <c r="AI3059" s="501"/>
      <c r="AJ3059" s="501"/>
      <c r="AK3059" s="501"/>
      <c r="AL3059" s="501"/>
      <c r="AM3059" s="501"/>
      <c r="AN3059" s="501"/>
      <c r="AO3059" s="501"/>
      <c r="AP3059" s="501"/>
      <c r="AQ3059" s="501"/>
      <c r="AR3059" s="501"/>
      <c r="AS3059" s="501"/>
      <c r="AT3059" s="501"/>
      <c r="AU3059" s="501"/>
      <c r="AV3059" s="501"/>
      <c r="AW3059" s="501"/>
      <c r="AX3059" s="501"/>
      <c r="AY3059" s="501"/>
      <c r="AZ3059" s="501"/>
      <c r="BA3059" s="501"/>
      <c r="BB3059" s="501"/>
      <c r="BC3059" s="501"/>
      <c r="BD3059" s="501"/>
      <c r="BE3059" s="501"/>
      <c r="BF3059" s="501"/>
      <c r="BG3059" s="501"/>
      <c r="BH3059" s="501"/>
      <c r="BI3059" s="501"/>
      <c r="BJ3059" s="501"/>
      <c r="BK3059" s="501"/>
      <c r="BL3059" s="501"/>
      <c r="BM3059" s="501"/>
      <c r="BN3059" s="501"/>
      <c r="BO3059" s="501"/>
      <c r="BP3059" s="501"/>
      <c r="BQ3059" s="501"/>
      <c r="BR3059" s="501"/>
      <c r="BS3059" s="501"/>
      <c r="BT3059" s="501"/>
      <c r="BU3059" s="501"/>
      <c r="BV3059" s="501"/>
      <c r="BW3059" s="501"/>
      <c r="BX3059" s="501"/>
      <c r="BY3059" s="501"/>
      <c r="BZ3059" s="501"/>
      <c r="CA3059" s="501"/>
      <c r="CB3059" s="501"/>
      <c r="CC3059" s="501"/>
      <c r="CD3059" s="501"/>
      <c r="CE3059" s="501"/>
      <c r="CF3059" s="501"/>
      <c r="CG3059" s="501"/>
      <c r="CH3059" s="501"/>
      <c r="CI3059" s="501"/>
      <c r="CJ3059" s="501"/>
      <c r="CK3059" s="501"/>
      <c r="CL3059" s="501"/>
      <c r="CM3059" s="501"/>
      <c r="CN3059" s="501"/>
      <c r="CO3059" s="501"/>
      <c r="CP3059" s="501"/>
      <c r="CQ3059" s="501"/>
      <c r="CR3059" s="501"/>
      <c r="CS3059" s="501"/>
      <c r="CT3059" s="501"/>
      <c r="CU3059" s="501"/>
      <c r="CV3059" s="501"/>
      <c r="CW3059" s="501"/>
      <c r="CX3059" s="501"/>
      <c r="CY3059" s="501"/>
      <c r="CZ3059" s="501"/>
      <c r="DA3059" s="501"/>
      <c r="DB3059" s="501"/>
      <c r="DC3059" s="501"/>
      <c r="DD3059" s="501"/>
      <c r="DE3059" s="501"/>
      <c r="DF3059" s="501"/>
      <c r="DG3059" s="501"/>
      <c r="DH3059" s="501"/>
      <c r="DI3059" s="501"/>
      <c r="DJ3059" s="501"/>
      <c r="DK3059" s="501"/>
      <c r="DL3059" s="501"/>
      <c r="DM3059" s="501"/>
      <c r="DN3059" s="501"/>
      <c r="DO3059" s="501"/>
      <c r="DP3059" s="501"/>
      <c r="DQ3059" s="501"/>
      <c r="DR3059" s="501"/>
      <c r="DS3059" s="501"/>
      <c r="DT3059" s="501"/>
      <c r="DU3059" s="501"/>
      <c r="DV3059" s="501"/>
      <c r="DW3059" s="501"/>
      <c r="DX3059" s="501"/>
      <c r="DY3059" s="501"/>
      <c r="DZ3059" s="501"/>
      <c r="EA3059" s="501"/>
      <c r="EB3059" s="501"/>
      <c r="EC3059" s="501"/>
      <c r="ED3059" s="501"/>
      <c r="EE3059" s="501"/>
      <c r="EF3059" s="501"/>
      <c r="EG3059" s="501"/>
      <c r="EH3059" s="501"/>
      <c r="EI3059" s="501"/>
      <c r="EJ3059" s="501"/>
      <c r="EK3059" s="501"/>
      <c r="EL3059" s="501"/>
      <c r="EM3059" s="501"/>
      <c r="EN3059" s="501"/>
      <c r="EO3059" s="501"/>
      <c r="EP3059" s="501"/>
      <c r="EQ3059" s="501"/>
      <c r="ER3059" s="501"/>
      <c r="ES3059" s="501"/>
      <c r="ET3059" s="501"/>
      <c r="EU3059" s="501"/>
      <c r="EV3059" s="501"/>
      <c r="EW3059" s="501"/>
      <c r="EX3059" s="501"/>
      <c r="EY3059" s="501"/>
      <c r="EZ3059" s="501"/>
      <c r="FA3059" s="501"/>
      <c r="FB3059" s="501"/>
      <c r="FC3059" s="501"/>
      <c r="FD3059" s="501"/>
      <c r="FE3059" s="501"/>
      <c r="FF3059" s="501"/>
      <c r="FG3059" s="501"/>
      <c r="FH3059" s="501"/>
      <c r="FI3059" s="501"/>
      <c r="FJ3059" s="501"/>
      <c r="FK3059" s="501"/>
      <c r="FL3059" s="501"/>
      <c r="FM3059" s="501"/>
      <c r="FN3059" s="501"/>
      <c r="FO3059" s="501"/>
      <c r="FP3059" s="501"/>
      <c r="FQ3059" s="501"/>
      <c r="FR3059" s="501"/>
      <c r="FS3059" s="501"/>
      <c r="FT3059" s="501"/>
      <c r="FU3059" s="501"/>
      <c r="FV3059" s="501"/>
      <c r="FW3059" s="501"/>
      <c r="FX3059" s="501"/>
      <c r="FY3059" s="501"/>
      <c r="FZ3059" s="501"/>
      <c r="GA3059" s="501"/>
      <c r="GB3059" s="501"/>
      <c r="GC3059" s="501"/>
      <c r="GD3059" s="501"/>
      <c r="GE3059" s="501"/>
      <c r="GF3059" s="501"/>
      <c r="GG3059" s="501"/>
      <c r="GH3059" s="501"/>
      <c r="GI3059" s="501"/>
      <c r="GJ3059" s="501"/>
      <c r="GK3059" s="501"/>
      <c r="GL3059" s="501"/>
      <c r="GM3059" s="501"/>
      <c r="GN3059" s="501"/>
      <c r="GO3059" s="501"/>
      <c r="GP3059" s="501"/>
      <c r="GQ3059" s="501"/>
      <c r="GR3059" s="501"/>
      <c r="GS3059" s="501"/>
      <c r="GT3059" s="501"/>
      <c r="GU3059" s="501"/>
      <c r="GV3059" s="501"/>
      <c r="GW3059" s="501"/>
      <c r="GX3059" s="501"/>
      <c r="GY3059" s="501"/>
      <c r="GZ3059" s="501"/>
      <c r="HA3059" s="501"/>
      <c r="HB3059" s="501"/>
      <c r="HC3059" s="501"/>
      <c r="HD3059" s="501"/>
      <c r="HE3059" s="501"/>
      <c r="HF3059" s="501"/>
      <c r="HG3059" s="501"/>
      <c r="HH3059" s="501"/>
      <c r="HI3059" s="501"/>
      <c r="HJ3059" s="501"/>
      <c r="HK3059" s="501"/>
      <c r="HL3059" s="501"/>
      <c r="HM3059" s="501"/>
      <c r="HN3059" s="501"/>
      <c r="HO3059" s="501"/>
      <c r="HP3059" s="501"/>
      <c r="HQ3059" s="501"/>
      <c r="HR3059" s="501"/>
      <c r="HS3059" s="501"/>
      <c r="HT3059" s="501"/>
      <c r="HU3059" s="501"/>
      <c r="HV3059" s="501"/>
      <c r="HW3059" s="501"/>
      <c r="HX3059" s="501"/>
      <c r="HY3059" s="501"/>
      <c r="HZ3059" s="501"/>
      <c r="IA3059" s="501"/>
      <c r="IB3059" s="501"/>
      <c r="IC3059" s="501"/>
      <c r="ID3059" s="501"/>
      <c r="IE3059" s="501"/>
      <c r="IF3059" s="501"/>
      <c r="IG3059" s="501"/>
      <c r="IH3059" s="501"/>
      <c r="II3059" s="501"/>
      <c r="IJ3059" s="501"/>
      <c r="IK3059" s="501"/>
      <c r="IL3059" s="501"/>
      <c r="IM3059" s="501"/>
      <c r="IN3059" s="501"/>
      <c r="IO3059" s="501"/>
      <c r="IP3059" s="501"/>
      <c r="IQ3059" s="501"/>
      <c r="IR3059" s="501"/>
      <c r="IS3059" s="501"/>
      <c r="IT3059" s="501"/>
      <c r="IU3059" s="501"/>
    </row>
    <row r="3060" spans="1:255" s="877" customFormat="1" ht="24" customHeight="1">
      <c r="A3060" s="501"/>
      <c r="B3060" s="501"/>
      <c r="C3060" s="501"/>
      <c r="D3060" s="501"/>
      <c r="E3060" s="501"/>
      <c r="F3060" s="1097"/>
      <c r="G3060" s="1098"/>
      <c r="H3060" s="1097"/>
      <c r="I3060" s="1099"/>
      <c r="J3060" s="973"/>
      <c r="K3060" s="1097"/>
      <c r="L3060" s="1101"/>
      <c r="M3060" s="1109"/>
      <c r="N3060" s="501"/>
      <c r="O3060" s="968"/>
      <c r="P3060" s="1152"/>
      <c r="Q3060" s="973"/>
      <c r="R3060" s="1097"/>
      <c r="S3060" s="974"/>
      <c r="T3060" s="968"/>
      <c r="V3060" s="501"/>
      <c r="W3060" s="501"/>
      <c r="X3060" s="501"/>
      <c r="Y3060" s="501"/>
      <c r="Z3060" s="501"/>
      <c r="AA3060" s="501"/>
      <c r="AB3060" s="501"/>
      <c r="AC3060" s="501"/>
      <c r="AD3060" s="501"/>
      <c r="AE3060" s="501"/>
      <c r="AF3060" s="501"/>
      <c r="AG3060" s="501"/>
      <c r="AH3060" s="501"/>
      <c r="AI3060" s="501"/>
      <c r="AJ3060" s="501"/>
      <c r="AK3060" s="501"/>
      <c r="AL3060" s="501"/>
      <c r="AM3060" s="501"/>
      <c r="AN3060" s="501"/>
      <c r="AO3060" s="501"/>
      <c r="AP3060" s="501"/>
      <c r="AQ3060" s="501"/>
      <c r="AR3060" s="501"/>
      <c r="AS3060" s="501"/>
      <c r="AT3060" s="501"/>
      <c r="AU3060" s="501"/>
      <c r="AV3060" s="501"/>
      <c r="AW3060" s="501"/>
      <c r="AX3060" s="501"/>
      <c r="AY3060" s="501"/>
      <c r="AZ3060" s="501"/>
      <c r="BA3060" s="501"/>
      <c r="BB3060" s="501"/>
      <c r="BC3060" s="501"/>
      <c r="BD3060" s="501"/>
      <c r="BE3060" s="501"/>
      <c r="BF3060" s="501"/>
      <c r="BG3060" s="501"/>
      <c r="BH3060" s="501"/>
      <c r="BI3060" s="501"/>
      <c r="BJ3060" s="501"/>
      <c r="BK3060" s="501"/>
      <c r="BL3060" s="501"/>
      <c r="BM3060" s="501"/>
      <c r="BN3060" s="501"/>
      <c r="BO3060" s="501"/>
      <c r="BP3060" s="501"/>
      <c r="BQ3060" s="501"/>
      <c r="BR3060" s="501"/>
      <c r="BS3060" s="501"/>
      <c r="BT3060" s="501"/>
      <c r="BU3060" s="501"/>
      <c r="BV3060" s="501"/>
      <c r="BW3060" s="501"/>
      <c r="BX3060" s="501"/>
      <c r="BY3060" s="501"/>
      <c r="BZ3060" s="501"/>
      <c r="CA3060" s="501"/>
      <c r="CB3060" s="501"/>
      <c r="CC3060" s="501"/>
      <c r="CD3060" s="501"/>
      <c r="CE3060" s="501"/>
      <c r="CF3060" s="501"/>
      <c r="CG3060" s="501"/>
      <c r="CH3060" s="501"/>
      <c r="CI3060" s="501"/>
      <c r="CJ3060" s="501"/>
      <c r="CK3060" s="501"/>
      <c r="CL3060" s="501"/>
      <c r="CM3060" s="501"/>
      <c r="CN3060" s="501"/>
      <c r="CO3060" s="501"/>
      <c r="CP3060" s="501"/>
      <c r="CQ3060" s="501"/>
      <c r="CR3060" s="501"/>
      <c r="CS3060" s="501"/>
      <c r="CT3060" s="501"/>
      <c r="CU3060" s="501"/>
      <c r="CV3060" s="501"/>
      <c r="CW3060" s="501"/>
      <c r="CX3060" s="501"/>
      <c r="CY3060" s="501"/>
      <c r="CZ3060" s="501"/>
      <c r="DA3060" s="501"/>
      <c r="DB3060" s="501"/>
      <c r="DC3060" s="501"/>
      <c r="DD3060" s="501"/>
      <c r="DE3060" s="501"/>
      <c r="DF3060" s="501"/>
      <c r="DG3060" s="501"/>
      <c r="DH3060" s="501"/>
      <c r="DI3060" s="501"/>
      <c r="DJ3060" s="501"/>
      <c r="DK3060" s="501"/>
      <c r="DL3060" s="501"/>
      <c r="DM3060" s="501"/>
      <c r="DN3060" s="501"/>
      <c r="DO3060" s="501"/>
      <c r="DP3060" s="501"/>
      <c r="DQ3060" s="501"/>
      <c r="DR3060" s="501"/>
      <c r="DS3060" s="501"/>
      <c r="DT3060" s="501"/>
      <c r="DU3060" s="501"/>
      <c r="DV3060" s="501"/>
      <c r="DW3060" s="501"/>
      <c r="DX3060" s="501"/>
      <c r="DY3060" s="501"/>
      <c r="DZ3060" s="501"/>
      <c r="EA3060" s="501"/>
      <c r="EB3060" s="501"/>
      <c r="EC3060" s="501"/>
      <c r="ED3060" s="501"/>
      <c r="EE3060" s="501"/>
      <c r="EF3060" s="501"/>
      <c r="EG3060" s="501"/>
      <c r="EH3060" s="501"/>
      <c r="EI3060" s="501"/>
      <c r="EJ3060" s="501"/>
      <c r="EK3060" s="501"/>
      <c r="EL3060" s="501"/>
      <c r="EM3060" s="501"/>
      <c r="EN3060" s="501"/>
      <c r="EO3060" s="501"/>
      <c r="EP3060" s="501"/>
      <c r="EQ3060" s="501"/>
      <c r="ER3060" s="501"/>
      <c r="ES3060" s="501"/>
      <c r="ET3060" s="501"/>
      <c r="EU3060" s="501"/>
      <c r="EV3060" s="501"/>
      <c r="EW3060" s="501"/>
      <c r="EX3060" s="501"/>
      <c r="EY3060" s="501"/>
      <c r="EZ3060" s="501"/>
      <c r="FA3060" s="501"/>
      <c r="FB3060" s="501"/>
      <c r="FC3060" s="501"/>
      <c r="FD3060" s="501"/>
      <c r="FE3060" s="501"/>
      <c r="FF3060" s="501"/>
      <c r="FG3060" s="501"/>
      <c r="FH3060" s="501"/>
      <c r="FI3060" s="501"/>
      <c r="FJ3060" s="501"/>
      <c r="FK3060" s="501"/>
      <c r="FL3060" s="501"/>
      <c r="FM3060" s="501"/>
      <c r="FN3060" s="501"/>
      <c r="FO3060" s="501"/>
      <c r="FP3060" s="501"/>
      <c r="FQ3060" s="501"/>
      <c r="FR3060" s="501"/>
      <c r="FS3060" s="501"/>
      <c r="FT3060" s="501"/>
      <c r="FU3060" s="501"/>
      <c r="FV3060" s="501"/>
      <c r="FW3060" s="501"/>
      <c r="FX3060" s="501"/>
      <c r="FY3060" s="501"/>
      <c r="FZ3060" s="501"/>
      <c r="GA3060" s="501"/>
      <c r="GB3060" s="501"/>
      <c r="GC3060" s="501"/>
      <c r="GD3060" s="501"/>
      <c r="GE3060" s="501"/>
      <c r="GF3060" s="501"/>
      <c r="GG3060" s="501"/>
      <c r="GH3060" s="501"/>
      <c r="GI3060" s="501"/>
      <c r="GJ3060" s="501"/>
      <c r="GK3060" s="501"/>
      <c r="GL3060" s="501"/>
      <c r="GM3060" s="501"/>
      <c r="GN3060" s="501"/>
      <c r="GO3060" s="501"/>
      <c r="GP3060" s="501"/>
      <c r="GQ3060" s="501"/>
      <c r="GR3060" s="501"/>
      <c r="GS3060" s="501"/>
      <c r="GT3060" s="501"/>
      <c r="GU3060" s="501"/>
      <c r="GV3060" s="501"/>
      <c r="GW3060" s="501"/>
      <c r="GX3060" s="501"/>
      <c r="GY3060" s="501"/>
      <c r="GZ3060" s="501"/>
      <c r="HA3060" s="501"/>
      <c r="HB3060" s="501"/>
      <c r="HC3060" s="501"/>
      <c r="HD3060" s="501"/>
      <c r="HE3060" s="501"/>
      <c r="HF3060" s="501"/>
      <c r="HG3060" s="501"/>
      <c r="HH3060" s="501"/>
      <c r="HI3060" s="501"/>
      <c r="HJ3060" s="501"/>
      <c r="HK3060" s="501"/>
      <c r="HL3060" s="501"/>
      <c r="HM3060" s="501"/>
      <c r="HN3060" s="501"/>
      <c r="HO3060" s="501"/>
      <c r="HP3060" s="501"/>
      <c r="HQ3060" s="501"/>
      <c r="HR3060" s="501"/>
      <c r="HS3060" s="501"/>
      <c r="HT3060" s="501"/>
      <c r="HU3060" s="501"/>
      <c r="HV3060" s="501"/>
      <c r="HW3060" s="501"/>
      <c r="HX3060" s="501"/>
      <c r="HY3060" s="501"/>
      <c r="HZ3060" s="501"/>
      <c r="IA3060" s="501"/>
      <c r="IB3060" s="501"/>
      <c r="IC3060" s="501"/>
      <c r="ID3060" s="501"/>
      <c r="IE3060" s="501"/>
      <c r="IF3060" s="501"/>
      <c r="IG3060" s="501"/>
      <c r="IH3060" s="501"/>
      <c r="II3060" s="501"/>
      <c r="IJ3060" s="501"/>
      <c r="IK3060" s="501"/>
      <c r="IL3060" s="501"/>
      <c r="IM3060" s="501"/>
      <c r="IN3060" s="501"/>
      <c r="IO3060" s="501"/>
      <c r="IP3060" s="501"/>
      <c r="IQ3060" s="501"/>
      <c r="IR3060" s="501"/>
      <c r="IS3060" s="501"/>
      <c r="IT3060" s="501"/>
      <c r="IU3060" s="501"/>
    </row>
    <row r="3061" spans="1:255" s="877" customFormat="1" ht="24" customHeight="1">
      <c r="A3061" s="501"/>
      <c r="B3061" s="501"/>
      <c r="C3061" s="501"/>
      <c r="D3061" s="501"/>
      <c r="E3061" s="501"/>
      <c r="F3061" s="501"/>
      <c r="G3061" s="915"/>
      <c r="H3061" s="501"/>
      <c r="I3061" s="874"/>
      <c r="J3061" s="501"/>
      <c r="K3061" s="501"/>
      <c r="L3061" s="874"/>
      <c r="M3061" s="554"/>
      <c r="N3061" s="501"/>
      <c r="O3061" s="968"/>
      <c r="P3061" s="1152"/>
      <c r="Q3061" s="973"/>
      <c r="R3061" s="1097"/>
      <c r="S3061" s="974"/>
      <c r="T3061" s="968"/>
      <c r="V3061" s="501"/>
      <c r="W3061" s="501"/>
      <c r="X3061" s="501"/>
      <c r="Y3061" s="501"/>
      <c r="Z3061" s="501"/>
      <c r="AA3061" s="501"/>
      <c r="AB3061" s="501"/>
      <c r="AC3061" s="501"/>
      <c r="AD3061" s="501"/>
      <c r="AE3061" s="501"/>
      <c r="AF3061" s="501"/>
      <c r="AG3061" s="501"/>
      <c r="AH3061" s="501"/>
      <c r="AI3061" s="501"/>
      <c r="AJ3061" s="501"/>
      <c r="AK3061" s="501"/>
      <c r="AL3061" s="501"/>
      <c r="AM3061" s="501"/>
      <c r="AN3061" s="501"/>
      <c r="AO3061" s="501"/>
      <c r="AP3061" s="501"/>
      <c r="AQ3061" s="501"/>
      <c r="AR3061" s="501"/>
      <c r="AS3061" s="501"/>
      <c r="AT3061" s="501"/>
      <c r="AU3061" s="501"/>
      <c r="AV3061" s="501"/>
      <c r="AW3061" s="501"/>
      <c r="AX3061" s="501"/>
      <c r="AY3061" s="501"/>
      <c r="AZ3061" s="501"/>
      <c r="BA3061" s="501"/>
      <c r="BB3061" s="501"/>
      <c r="BC3061" s="501"/>
      <c r="BD3061" s="501"/>
      <c r="BE3061" s="501"/>
      <c r="BF3061" s="501"/>
      <c r="BG3061" s="501"/>
      <c r="BH3061" s="501"/>
      <c r="BI3061" s="501"/>
      <c r="BJ3061" s="501"/>
      <c r="BK3061" s="501"/>
      <c r="BL3061" s="501"/>
      <c r="BM3061" s="501"/>
      <c r="BN3061" s="501"/>
      <c r="BO3061" s="501"/>
      <c r="BP3061" s="501"/>
      <c r="BQ3061" s="501"/>
      <c r="BR3061" s="501"/>
      <c r="BS3061" s="501"/>
      <c r="BT3061" s="501"/>
      <c r="BU3061" s="501"/>
      <c r="BV3061" s="501"/>
      <c r="BW3061" s="501"/>
      <c r="BX3061" s="501"/>
      <c r="BY3061" s="501"/>
      <c r="BZ3061" s="501"/>
      <c r="CA3061" s="501"/>
      <c r="CB3061" s="501"/>
      <c r="CC3061" s="501"/>
      <c r="CD3061" s="501"/>
      <c r="CE3061" s="501"/>
      <c r="CF3061" s="501"/>
      <c r="CG3061" s="501"/>
      <c r="CH3061" s="501"/>
      <c r="CI3061" s="501"/>
      <c r="CJ3061" s="501"/>
      <c r="CK3061" s="501"/>
      <c r="CL3061" s="501"/>
      <c r="CM3061" s="501"/>
      <c r="CN3061" s="501"/>
      <c r="CO3061" s="501"/>
      <c r="CP3061" s="501"/>
      <c r="CQ3061" s="501"/>
      <c r="CR3061" s="501"/>
      <c r="CS3061" s="501"/>
      <c r="CT3061" s="501"/>
      <c r="CU3061" s="501"/>
      <c r="CV3061" s="501"/>
      <c r="CW3061" s="501"/>
      <c r="CX3061" s="501"/>
      <c r="CY3061" s="501"/>
      <c r="CZ3061" s="501"/>
      <c r="DA3061" s="501"/>
      <c r="DB3061" s="501"/>
      <c r="DC3061" s="501"/>
      <c r="DD3061" s="501"/>
      <c r="DE3061" s="501"/>
      <c r="DF3061" s="501"/>
      <c r="DG3061" s="501"/>
      <c r="DH3061" s="501"/>
      <c r="DI3061" s="501"/>
      <c r="DJ3061" s="501"/>
      <c r="DK3061" s="501"/>
      <c r="DL3061" s="501"/>
      <c r="DM3061" s="501"/>
      <c r="DN3061" s="501"/>
      <c r="DO3061" s="501"/>
      <c r="DP3061" s="501"/>
      <c r="DQ3061" s="501"/>
      <c r="DR3061" s="501"/>
      <c r="DS3061" s="501"/>
      <c r="DT3061" s="501"/>
      <c r="DU3061" s="501"/>
      <c r="DV3061" s="501"/>
      <c r="DW3061" s="501"/>
      <c r="DX3061" s="501"/>
      <c r="DY3061" s="501"/>
      <c r="DZ3061" s="501"/>
      <c r="EA3061" s="501"/>
      <c r="EB3061" s="501"/>
      <c r="EC3061" s="501"/>
      <c r="ED3061" s="501"/>
      <c r="EE3061" s="501"/>
      <c r="EF3061" s="501"/>
      <c r="EG3061" s="501"/>
      <c r="EH3061" s="501"/>
      <c r="EI3061" s="501"/>
      <c r="EJ3061" s="501"/>
      <c r="EK3061" s="501"/>
      <c r="EL3061" s="501"/>
      <c r="EM3061" s="501"/>
      <c r="EN3061" s="501"/>
      <c r="EO3061" s="501"/>
      <c r="EP3061" s="501"/>
      <c r="EQ3061" s="501"/>
      <c r="ER3061" s="501"/>
      <c r="ES3061" s="501"/>
      <c r="ET3061" s="501"/>
      <c r="EU3061" s="501"/>
      <c r="EV3061" s="501"/>
      <c r="EW3061" s="501"/>
      <c r="EX3061" s="501"/>
      <c r="EY3061" s="501"/>
      <c r="EZ3061" s="501"/>
      <c r="FA3061" s="501"/>
      <c r="FB3061" s="501"/>
      <c r="FC3061" s="501"/>
      <c r="FD3061" s="501"/>
      <c r="FE3061" s="501"/>
      <c r="FF3061" s="501"/>
      <c r="FG3061" s="501"/>
      <c r="FH3061" s="501"/>
      <c r="FI3061" s="501"/>
      <c r="FJ3061" s="501"/>
      <c r="FK3061" s="501"/>
      <c r="FL3061" s="501"/>
      <c r="FM3061" s="501"/>
      <c r="FN3061" s="501"/>
      <c r="FO3061" s="501"/>
      <c r="FP3061" s="501"/>
      <c r="FQ3061" s="501"/>
      <c r="FR3061" s="501"/>
      <c r="FS3061" s="501"/>
      <c r="FT3061" s="501"/>
      <c r="FU3061" s="501"/>
      <c r="FV3061" s="501"/>
      <c r="FW3061" s="501"/>
      <c r="FX3061" s="501"/>
      <c r="FY3061" s="501"/>
      <c r="FZ3061" s="501"/>
      <c r="GA3061" s="501"/>
      <c r="GB3061" s="501"/>
      <c r="GC3061" s="501"/>
      <c r="GD3061" s="501"/>
      <c r="GE3061" s="501"/>
      <c r="GF3061" s="501"/>
      <c r="GG3061" s="501"/>
      <c r="GH3061" s="501"/>
      <c r="GI3061" s="501"/>
      <c r="GJ3061" s="501"/>
      <c r="GK3061" s="501"/>
      <c r="GL3061" s="501"/>
      <c r="GM3061" s="501"/>
      <c r="GN3061" s="501"/>
      <c r="GO3061" s="501"/>
      <c r="GP3061" s="501"/>
      <c r="GQ3061" s="501"/>
      <c r="GR3061" s="501"/>
      <c r="GS3061" s="501"/>
      <c r="GT3061" s="501"/>
      <c r="GU3061" s="501"/>
      <c r="GV3061" s="501"/>
      <c r="GW3061" s="501"/>
      <c r="GX3061" s="501"/>
      <c r="GY3061" s="501"/>
      <c r="GZ3061" s="501"/>
      <c r="HA3061" s="501"/>
      <c r="HB3061" s="501"/>
      <c r="HC3061" s="501"/>
      <c r="HD3061" s="501"/>
      <c r="HE3061" s="501"/>
      <c r="HF3061" s="501"/>
      <c r="HG3061" s="501"/>
      <c r="HH3061" s="501"/>
      <c r="HI3061" s="501"/>
      <c r="HJ3061" s="501"/>
      <c r="HK3061" s="501"/>
      <c r="HL3061" s="501"/>
      <c r="HM3061" s="501"/>
      <c r="HN3061" s="501"/>
      <c r="HO3061" s="501"/>
      <c r="HP3061" s="501"/>
      <c r="HQ3061" s="501"/>
      <c r="HR3061" s="501"/>
      <c r="HS3061" s="501"/>
      <c r="HT3061" s="501"/>
      <c r="HU3061" s="501"/>
      <c r="HV3061" s="501"/>
      <c r="HW3061" s="501"/>
      <c r="HX3061" s="501"/>
      <c r="HY3061" s="501"/>
      <c r="HZ3061" s="501"/>
      <c r="IA3061" s="501"/>
      <c r="IB3061" s="501"/>
      <c r="IC3061" s="501"/>
      <c r="ID3061" s="501"/>
      <c r="IE3061" s="501"/>
      <c r="IF3061" s="501"/>
      <c r="IG3061" s="501"/>
      <c r="IH3061" s="501"/>
      <c r="II3061" s="501"/>
      <c r="IJ3061" s="501"/>
      <c r="IK3061" s="501"/>
      <c r="IL3061" s="501"/>
      <c r="IM3061" s="501"/>
      <c r="IN3061" s="501"/>
      <c r="IO3061" s="501"/>
      <c r="IP3061" s="501"/>
      <c r="IQ3061" s="501"/>
      <c r="IR3061" s="501"/>
      <c r="IS3061" s="501"/>
      <c r="IT3061" s="501"/>
      <c r="IU3061" s="501"/>
    </row>
    <row r="3062" spans="1:255" s="877" customFormat="1" ht="24" customHeight="1">
      <c r="A3062" s="501"/>
      <c r="B3062" s="501"/>
      <c r="C3062" s="501"/>
      <c r="D3062" s="501"/>
      <c r="E3062" s="501"/>
      <c r="F3062" s="974"/>
      <c r="G3062" s="1105"/>
      <c r="H3062" s="974"/>
      <c r="I3062" s="973"/>
      <c r="J3062" s="973"/>
      <c r="K3062" s="1097"/>
      <c r="L3062" s="1101"/>
      <c r="M3062" s="1102"/>
      <c r="N3062" s="501"/>
      <c r="O3062" s="968"/>
      <c r="P3062" s="1152"/>
      <c r="Q3062" s="973"/>
      <c r="R3062" s="1097"/>
      <c r="S3062" s="974"/>
      <c r="T3062" s="968"/>
      <c r="V3062" s="501"/>
      <c r="W3062" s="501"/>
      <c r="X3062" s="501"/>
      <c r="Y3062" s="501"/>
      <c r="Z3062" s="501"/>
      <c r="AA3062" s="501"/>
      <c r="AB3062" s="501"/>
      <c r="AC3062" s="501"/>
      <c r="AD3062" s="501"/>
      <c r="AE3062" s="501"/>
      <c r="AF3062" s="501"/>
      <c r="AG3062" s="501"/>
      <c r="AH3062" s="501"/>
      <c r="AI3062" s="501"/>
      <c r="AJ3062" s="501"/>
      <c r="AK3062" s="501"/>
      <c r="AL3062" s="501"/>
      <c r="AM3062" s="501"/>
      <c r="AN3062" s="501"/>
      <c r="AO3062" s="501"/>
      <c r="AP3062" s="501"/>
      <c r="AQ3062" s="501"/>
      <c r="AR3062" s="501"/>
      <c r="AS3062" s="501"/>
      <c r="AT3062" s="501"/>
      <c r="AU3062" s="501"/>
      <c r="AV3062" s="501"/>
      <c r="AW3062" s="501"/>
      <c r="AX3062" s="501"/>
      <c r="AY3062" s="501"/>
      <c r="AZ3062" s="501"/>
      <c r="BA3062" s="501"/>
      <c r="BB3062" s="501"/>
      <c r="BC3062" s="501"/>
      <c r="BD3062" s="501"/>
      <c r="BE3062" s="501"/>
      <c r="BF3062" s="501"/>
      <c r="BG3062" s="501"/>
      <c r="BH3062" s="501"/>
      <c r="BI3062" s="501"/>
      <c r="BJ3062" s="501"/>
      <c r="BK3062" s="501"/>
      <c r="BL3062" s="501"/>
      <c r="BM3062" s="501"/>
      <c r="BN3062" s="501"/>
      <c r="BO3062" s="501"/>
      <c r="BP3062" s="501"/>
      <c r="BQ3062" s="501"/>
      <c r="BR3062" s="501"/>
      <c r="BS3062" s="501"/>
      <c r="BT3062" s="501"/>
      <c r="BU3062" s="501"/>
      <c r="BV3062" s="501"/>
      <c r="BW3062" s="501"/>
      <c r="BX3062" s="501"/>
      <c r="BY3062" s="501"/>
      <c r="BZ3062" s="501"/>
      <c r="CA3062" s="501"/>
      <c r="CB3062" s="501"/>
      <c r="CC3062" s="501"/>
      <c r="CD3062" s="501"/>
      <c r="CE3062" s="501"/>
      <c r="CF3062" s="501"/>
      <c r="CG3062" s="501"/>
      <c r="CH3062" s="501"/>
      <c r="CI3062" s="501"/>
      <c r="CJ3062" s="501"/>
      <c r="CK3062" s="501"/>
      <c r="CL3062" s="501"/>
      <c r="CM3062" s="501"/>
      <c r="CN3062" s="501"/>
      <c r="CO3062" s="501"/>
      <c r="CP3062" s="501"/>
      <c r="CQ3062" s="501"/>
      <c r="CR3062" s="501"/>
      <c r="CS3062" s="501"/>
      <c r="CT3062" s="501"/>
      <c r="CU3062" s="501"/>
      <c r="CV3062" s="501"/>
      <c r="CW3062" s="501"/>
      <c r="CX3062" s="501"/>
      <c r="CY3062" s="501"/>
      <c r="CZ3062" s="501"/>
      <c r="DA3062" s="501"/>
      <c r="DB3062" s="501"/>
      <c r="DC3062" s="501"/>
      <c r="DD3062" s="501"/>
      <c r="DE3062" s="501"/>
      <c r="DF3062" s="501"/>
      <c r="DG3062" s="501"/>
      <c r="DH3062" s="501"/>
      <c r="DI3062" s="501"/>
      <c r="DJ3062" s="501"/>
      <c r="DK3062" s="501"/>
      <c r="DL3062" s="501"/>
      <c r="DM3062" s="501"/>
      <c r="DN3062" s="501"/>
      <c r="DO3062" s="501"/>
      <c r="DP3062" s="501"/>
      <c r="DQ3062" s="501"/>
      <c r="DR3062" s="501"/>
      <c r="DS3062" s="501"/>
      <c r="DT3062" s="501"/>
      <c r="DU3062" s="501"/>
      <c r="DV3062" s="501"/>
      <c r="DW3062" s="501"/>
      <c r="DX3062" s="501"/>
      <c r="DY3062" s="501"/>
      <c r="DZ3062" s="501"/>
      <c r="EA3062" s="501"/>
      <c r="EB3062" s="501"/>
      <c r="EC3062" s="501"/>
      <c r="ED3062" s="501"/>
      <c r="EE3062" s="501"/>
      <c r="EF3062" s="501"/>
      <c r="EG3062" s="501"/>
      <c r="EH3062" s="501"/>
      <c r="EI3062" s="501"/>
      <c r="EJ3062" s="501"/>
      <c r="EK3062" s="501"/>
      <c r="EL3062" s="501"/>
      <c r="EM3062" s="501"/>
      <c r="EN3062" s="501"/>
      <c r="EO3062" s="501"/>
      <c r="EP3062" s="501"/>
      <c r="EQ3062" s="501"/>
      <c r="ER3062" s="501"/>
      <c r="ES3062" s="501"/>
      <c r="ET3062" s="501"/>
      <c r="EU3062" s="501"/>
      <c r="EV3062" s="501"/>
      <c r="EW3062" s="501"/>
      <c r="EX3062" s="501"/>
      <c r="EY3062" s="501"/>
      <c r="EZ3062" s="501"/>
      <c r="FA3062" s="501"/>
      <c r="FB3062" s="501"/>
      <c r="FC3062" s="501"/>
      <c r="FD3062" s="501"/>
      <c r="FE3062" s="501"/>
      <c r="FF3062" s="501"/>
      <c r="FG3062" s="501"/>
      <c r="FH3062" s="501"/>
      <c r="FI3062" s="501"/>
      <c r="FJ3062" s="501"/>
      <c r="FK3062" s="501"/>
      <c r="FL3062" s="501"/>
      <c r="FM3062" s="501"/>
      <c r="FN3062" s="501"/>
      <c r="FO3062" s="501"/>
      <c r="FP3062" s="501"/>
      <c r="FQ3062" s="501"/>
      <c r="FR3062" s="501"/>
      <c r="FS3062" s="501"/>
      <c r="FT3062" s="501"/>
      <c r="FU3062" s="501"/>
      <c r="FV3062" s="501"/>
      <c r="FW3062" s="501"/>
      <c r="FX3062" s="501"/>
      <c r="FY3062" s="501"/>
      <c r="FZ3062" s="501"/>
      <c r="GA3062" s="501"/>
      <c r="GB3062" s="501"/>
      <c r="GC3062" s="501"/>
      <c r="GD3062" s="501"/>
      <c r="GE3062" s="501"/>
      <c r="GF3062" s="501"/>
      <c r="GG3062" s="501"/>
      <c r="GH3062" s="501"/>
      <c r="GI3062" s="501"/>
      <c r="GJ3062" s="501"/>
      <c r="GK3062" s="501"/>
      <c r="GL3062" s="501"/>
      <c r="GM3062" s="501"/>
      <c r="GN3062" s="501"/>
      <c r="GO3062" s="501"/>
      <c r="GP3062" s="501"/>
      <c r="GQ3062" s="501"/>
      <c r="GR3062" s="501"/>
      <c r="GS3062" s="501"/>
      <c r="GT3062" s="501"/>
      <c r="GU3062" s="501"/>
      <c r="GV3062" s="501"/>
      <c r="GW3062" s="501"/>
      <c r="GX3062" s="501"/>
      <c r="GY3062" s="501"/>
      <c r="GZ3062" s="501"/>
      <c r="HA3062" s="501"/>
      <c r="HB3062" s="501"/>
      <c r="HC3062" s="501"/>
      <c r="HD3062" s="501"/>
      <c r="HE3062" s="501"/>
      <c r="HF3062" s="501"/>
      <c r="HG3062" s="501"/>
      <c r="HH3062" s="501"/>
      <c r="HI3062" s="501"/>
      <c r="HJ3062" s="501"/>
      <c r="HK3062" s="501"/>
      <c r="HL3062" s="501"/>
      <c r="HM3062" s="501"/>
      <c r="HN3062" s="501"/>
      <c r="HO3062" s="501"/>
      <c r="HP3062" s="501"/>
      <c r="HQ3062" s="501"/>
      <c r="HR3062" s="501"/>
      <c r="HS3062" s="501"/>
      <c r="HT3062" s="501"/>
      <c r="HU3062" s="501"/>
      <c r="HV3062" s="501"/>
      <c r="HW3062" s="501"/>
      <c r="HX3062" s="501"/>
      <c r="HY3062" s="501"/>
      <c r="HZ3062" s="501"/>
      <c r="IA3062" s="501"/>
      <c r="IB3062" s="501"/>
      <c r="IC3062" s="501"/>
      <c r="ID3062" s="501"/>
      <c r="IE3062" s="501"/>
      <c r="IF3062" s="501"/>
      <c r="IG3062" s="501"/>
      <c r="IH3062" s="501"/>
      <c r="II3062" s="501"/>
      <c r="IJ3062" s="501"/>
      <c r="IK3062" s="501"/>
      <c r="IL3062" s="501"/>
      <c r="IM3062" s="501"/>
      <c r="IN3062" s="501"/>
      <c r="IO3062" s="501"/>
      <c r="IP3062" s="501"/>
      <c r="IQ3062" s="501"/>
      <c r="IR3062" s="501"/>
      <c r="IS3062" s="501"/>
      <c r="IT3062" s="501"/>
      <c r="IU3062" s="501"/>
    </row>
    <row r="3063" spans="1:255" s="877" customFormat="1" ht="24" customHeight="1">
      <c r="A3063" s="501"/>
      <c r="B3063" s="501"/>
      <c r="C3063" s="501"/>
      <c r="D3063" s="501"/>
      <c r="E3063" s="501"/>
      <c r="F3063" s="1097"/>
      <c r="G3063" s="1098"/>
      <c r="H3063" s="1097"/>
      <c r="I3063" s="1099"/>
      <c r="J3063" s="973"/>
      <c r="K3063" s="1097"/>
      <c r="L3063" s="1101"/>
      <c r="M3063" s="1102"/>
      <c r="N3063" s="501"/>
      <c r="O3063" s="968"/>
      <c r="P3063" s="1152"/>
      <c r="Q3063" s="973"/>
      <c r="R3063" s="1097"/>
      <c r="S3063" s="974"/>
      <c r="T3063" s="968"/>
      <c r="V3063" s="501"/>
      <c r="W3063" s="501"/>
      <c r="X3063" s="501"/>
      <c r="Y3063" s="501"/>
      <c r="Z3063" s="501"/>
      <c r="AA3063" s="501"/>
      <c r="AB3063" s="501"/>
      <c r="AC3063" s="501"/>
      <c r="AD3063" s="501"/>
      <c r="AE3063" s="501"/>
      <c r="AF3063" s="501"/>
      <c r="AG3063" s="501"/>
      <c r="AH3063" s="501"/>
      <c r="AI3063" s="501"/>
      <c r="AJ3063" s="501"/>
      <c r="AK3063" s="501"/>
      <c r="AL3063" s="501"/>
      <c r="AM3063" s="501"/>
      <c r="AN3063" s="501"/>
      <c r="AO3063" s="501"/>
      <c r="AP3063" s="501"/>
      <c r="AQ3063" s="501"/>
      <c r="AR3063" s="501"/>
      <c r="AS3063" s="501"/>
      <c r="AT3063" s="501"/>
      <c r="AU3063" s="501"/>
      <c r="AV3063" s="501"/>
      <c r="AW3063" s="501"/>
      <c r="AX3063" s="501"/>
      <c r="AY3063" s="501"/>
      <c r="AZ3063" s="501"/>
      <c r="BA3063" s="501"/>
      <c r="BB3063" s="501"/>
      <c r="BC3063" s="501"/>
      <c r="BD3063" s="501"/>
      <c r="BE3063" s="501"/>
      <c r="BF3063" s="501"/>
      <c r="BG3063" s="501"/>
      <c r="BH3063" s="501"/>
      <c r="BI3063" s="501"/>
      <c r="BJ3063" s="501"/>
      <c r="BK3063" s="501"/>
      <c r="BL3063" s="501"/>
      <c r="BM3063" s="501"/>
      <c r="BN3063" s="501"/>
      <c r="BO3063" s="501"/>
      <c r="BP3063" s="501"/>
      <c r="BQ3063" s="501"/>
      <c r="BR3063" s="501"/>
      <c r="BS3063" s="501"/>
      <c r="BT3063" s="501"/>
      <c r="BU3063" s="501"/>
      <c r="BV3063" s="501"/>
      <c r="BW3063" s="501"/>
      <c r="BX3063" s="501"/>
      <c r="BY3063" s="501"/>
      <c r="BZ3063" s="501"/>
      <c r="CA3063" s="501"/>
      <c r="CB3063" s="501"/>
      <c r="CC3063" s="501"/>
      <c r="CD3063" s="501"/>
      <c r="CE3063" s="501"/>
      <c r="CF3063" s="501"/>
      <c r="CG3063" s="501"/>
      <c r="CH3063" s="501"/>
      <c r="CI3063" s="501"/>
      <c r="CJ3063" s="501"/>
      <c r="CK3063" s="501"/>
      <c r="CL3063" s="501"/>
      <c r="CM3063" s="501"/>
      <c r="CN3063" s="501"/>
      <c r="CO3063" s="501"/>
      <c r="CP3063" s="501"/>
      <c r="CQ3063" s="501"/>
      <c r="CR3063" s="501"/>
      <c r="CS3063" s="501"/>
      <c r="CT3063" s="501"/>
      <c r="CU3063" s="501"/>
      <c r="CV3063" s="501"/>
      <c r="CW3063" s="501"/>
      <c r="CX3063" s="501"/>
      <c r="CY3063" s="501"/>
      <c r="CZ3063" s="501"/>
      <c r="DA3063" s="501"/>
      <c r="DB3063" s="501"/>
      <c r="DC3063" s="501"/>
      <c r="DD3063" s="501"/>
      <c r="DE3063" s="501"/>
      <c r="DF3063" s="501"/>
      <c r="DG3063" s="501"/>
      <c r="DH3063" s="501"/>
      <c r="DI3063" s="501"/>
      <c r="DJ3063" s="501"/>
      <c r="DK3063" s="501"/>
      <c r="DL3063" s="501"/>
      <c r="DM3063" s="501"/>
      <c r="DN3063" s="501"/>
      <c r="DO3063" s="501"/>
      <c r="DP3063" s="501"/>
      <c r="DQ3063" s="501"/>
      <c r="DR3063" s="501"/>
      <c r="DS3063" s="501"/>
      <c r="DT3063" s="501"/>
      <c r="DU3063" s="501"/>
      <c r="DV3063" s="501"/>
      <c r="DW3063" s="501"/>
      <c r="DX3063" s="501"/>
      <c r="DY3063" s="501"/>
      <c r="DZ3063" s="501"/>
      <c r="EA3063" s="501"/>
      <c r="EB3063" s="501"/>
      <c r="EC3063" s="501"/>
      <c r="ED3063" s="501"/>
      <c r="EE3063" s="501"/>
      <c r="EF3063" s="501"/>
      <c r="EG3063" s="501"/>
      <c r="EH3063" s="501"/>
      <c r="EI3063" s="501"/>
      <c r="EJ3063" s="501"/>
      <c r="EK3063" s="501"/>
      <c r="EL3063" s="501"/>
      <c r="EM3063" s="501"/>
      <c r="EN3063" s="501"/>
      <c r="EO3063" s="501"/>
      <c r="EP3063" s="501"/>
      <c r="EQ3063" s="501"/>
      <c r="ER3063" s="501"/>
      <c r="ES3063" s="501"/>
      <c r="ET3063" s="501"/>
      <c r="EU3063" s="501"/>
      <c r="EV3063" s="501"/>
      <c r="EW3063" s="501"/>
      <c r="EX3063" s="501"/>
      <c r="EY3063" s="501"/>
      <c r="EZ3063" s="501"/>
      <c r="FA3063" s="501"/>
      <c r="FB3063" s="501"/>
      <c r="FC3063" s="501"/>
      <c r="FD3063" s="501"/>
      <c r="FE3063" s="501"/>
      <c r="FF3063" s="501"/>
      <c r="FG3063" s="501"/>
      <c r="FH3063" s="501"/>
      <c r="FI3063" s="501"/>
      <c r="FJ3063" s="501"/>
      <c r="FK3063" s="501"/>
      <c r="FL3063" s="501"/>
      <c r="FM3063" s="501"/>
      <c r="FN3063" s="501"/>
      <c r="FO3063" s="501"/>
      <c r="FP3063" s="501"/>
      <c r="FQ3063" s="501"/>
      <c r="FR3063" s="501"/>
      <c r="FS3063" s="501"/>
      <c r="FT3063" s="501"/>
      <c r="FU3063" s="501"/>
      <c r="FV3063" s="501"/>
      <c r="FW3063" s="501"/>
      <c r="FX3063" s="501"/>
      <c r="FY3063" s="501"/>
      <c r="FZ3063" s="501"/>
      <c r="GA3063" s="501"/>
      <c r="GB3063" s="501"/>
      <c r="GC3063" s="501"/>
      <c r="GD3063" s="501"/>
      <c r="GE3063" s="501"/>
      <c r="GF3063" s="501"/>
      <c r="GG3063" s="501"/>
      <c r="GH3063" s="501"/>
      <c r="GI3063" s="501"/>
      <c r="GJ3063" s="501"/>
      <c r="GK3063" s="501"/>
      <c r="GL3063" s="501"/>
      <c r="GM3063" s="501"/>
      <c r="GN3063" s="501"/>
      <c r="GO3063" s="501"/>
      <c r="GP3063" s="501"/>
      <c r="GQ3063" s="501"/>
      <c r="GR3063" s="501"/>
      <c r="GS3063" s="501"/>
      <c r="GT3063" s="501"/>
      <c r="GU3063" s="501"/>
      <c r="GV3063" s="501"/>
      <c r="GW3063" s="501"/>
      <c r="GX3063" s="501"/>
      <c r="GY3063" s="501"/>
      <c r="GZ3063" s="501"/>
      <c r="HA3063" s="501"/>
      <c r="HB3063" s="501"/>
      <c r="HC3063" s="501"/>
      <c r="HD3063" s="501"/>
      <c r="HE3063" s="501"/>
      <c r="HF3063" s="501"/>
      <c r="HG3063" s="501"/>
      <c r="HH3063" s="501"/>
      <c r="HI3063" s="501"/>
      <c r="HJ3063" s="501"/>
      <c r="HK3063" s="501"/>
      <c r="HL3063" s="501"/>
      <c r="HM3063" s="501"/>
      <c r="HN3063" s="501"/>
      <c r="HO3063" s="501"/>
      <c r="HP3063" s="501"/>
      <c r="HQ3063" s="501"/>
      <c r="HR3063" s="501"/>
      <c r="HS3063" s="501"/>
      <c r="HT3063" s="501"/>
      <c r="HU3063" s="501"/>
      <c r="HV3063" s="501"/>
      <c r="HW3063" s="501"/>
      <c r="HX3063" s="501"/>
      <c r="HY3063" s="501"/>
      <c r="HZ3063" s="501"/>
      <c r="IA3063" s="501"/>
      <c r="IB3063" s="501"/>
      <c r="IC3063" s="501"/>
      <c r="ID3063" s="501"/>
      <c r="IE3063" s="501"/>
      <c r="IF3063" s="501"/>
      <c r="IG3063" s="501"/>
      <c r="IH3063" s="501"/>
      <c r="II3063" s="501"/>
      <c r="IJ3063" s="501"/>
      <c r="IK3063" s="501"/>
      <c r="IL3063" s="501"/>
      <c r="IM3063" s="501"/>
      <c r="IN3063" s="501"/>
      <c r="IO3063" s="501"/>
      <c r="IP3063" s="501"/>
      <c r="IQ3063" s="501"/>
      <c r="IR3063" s="501"/>
      <c r="IS3063" s="501"/>
      <c r="IT3063" s="501"/>
      <c r="IU3063" s="501"/>
    </row>
    <row r="3064" spans="1:255" s="877" customFormat="1" ht="24" customHeight="1">
      <c r="A3064" s="501"/>
      <c r="B3064" s="501"/>
      <c r="C3064" s="501"/>
      <c r="D3064" s="501"/>
      <c r="E3064" s="501"/>
      <c r="F3064" s="1097"/>
      <c r="G3064" s="1098"/>
      <c r="H3064" s="1097"/>
      <c r="I3064" s="1099"/>
      <c r="J3064" s="973"/>
      <c r="K3064" s="1097"/>
      <c r="L3064" s="1101"/>
      <c r="M3064" s="1102"/>
      <c r="N3064" s="501"/>
      <c r="O3064" s="1097"/>
      <c r="P3064" s="1151"/>
      <c r="Q3064" s="1097"/>
      <c r="R3064" s="1097"/>
      <c r="S3064" s="1101"/>
      <c r="T3064" s="1106"/>
      <c r="V3064" s="501"/>
      <c r="W3064" s="501"/>
      <c r="X3064" s="501"/>
      <c r="Y3064" s="501"/>
      <c r="Z3064" s="501"/>
      <c r="AA3064" s="501"/>
      <c r="AB3064" s="501"/>
      <c r="AC3064" s="501"/>
      <c r="AD3064" s="501"/>
      <c r="AE3064" s="501"/>
      <c r="AF3064" s="501"/>
      <c r="AG3064" s="501"/>
      <c r="AH3064" s="501"/>
      <c r="AI3064" s="501"/>
      <c r="AJ3064" s="501"/>
      <c r="AK3064" s="501"/>
      <c r="AL3064" s="501"/>
      <c r="AM3064" s="501"/>
      <c r="AN3064" s="501"/>
      <c r="AO3064" s="501"/>
      <c r="AP3064" s="501"/>
      <c r="AQ3064" s="501"/>
      <c r="AR3064" s="501"/>
      <c r="AS3064" s="501"/>
      <c r="AT3064" s="501"/>
      <c r="AU3064" s="501"/>
      <c r="AV3064" s="501"/>
      <c r="AW3064" s="501"/>
      <c r="AX3064" s="501"/>
      <c r="AY3064" s="501"/>
      <c r="AZ3064" s="501"/>
      <c r="BA3064" s="501"/>
      <c r="BB3064" s="501"/>
      <c r="BC3064" s="501"/>
      <c r="BD3064" s="501"/>
      <c r="BE3064" s="501"/>
      <c r="BF3064" s="501"/>
      <c r="BG3064" s="501"/>
      <c r="BH3064" s="501"/>
      <c r="BI3064" s="501"/>
      <c r="BJ3064" s="501"/>
      <c r="BK3064" s="501"/>
      <c r="BL3064" s="501"/>
      <c r="BM3064" s="501"/>
      <c r="BN3064" s="501"/>
      <c r="BO3064" s="501"/>
      <c r="BP3064" s="501"/>
      <c r="BQ3064" s="501"/>
      <c r="BR3064" s="501"/>
      <c r="BS3064" s="501"/>
      <c r="BT3064" s="501"/>
      <c r="BU3064" s="501"/>
      <c r="BV3064" s="501"/>
      <c r="BW3064" s="501"/>
      <c r="BX3064" s="501"/>
      <c r="BY3064" s="501"/>
      <c r="BZ3064" s="501"/>
      <c r="CA3064" s="501"/>
      <c r="CB3064" s="501"/>
      <c r="CC3064" s="501"/>
      <c r="CD3064" s="501"/>
      <c r="CE3064" s="501"/>
      <c r="CF3064" s="501"/>
      <c r="CG3064" s="501"/>
      <c r="CH3064" s="501"/>
      <c r="CI3064" s="501"/>
      <c r="CJ3064" s="501"/>
      <c r="CK3064" s="501"/>
      <c r="CL3064" s="501"/>
      <c r="CM3064" s="501"/>
      <c r="CN3064" s="501"/>
      <c r="CO3064" s="501"/>
      <c r="CP3064" s="501"/>
      <c r="CQ3064" s="501"/>
      <c r="CR3064" s="501"/>
      <c r="CS3064" s="501"/>
      <c r="CT3064" s="501"/>
      <c r="CU3064" s="501"/>
      <c r="CV3064" s="501"/>
      <c r="CW3064" s="501"/>
      <c r="CX3064" s="501"/>
      <c r="CY3064" s="501"/>
      <c r="CZ3064" s="501"/>
      <c r="DA3064" s="501"/>
      <c r="DB3064" s="501"/>
      <c r="DC3064" s="501"/>
      <c r="DD3064" s="501"/>
      <c r="DE3064" s="501"/>
      <c r="DF3064" s="501"/>
      <c r="DG3064" s="501"/>
      <c r="DH3064" s="501"/>
      <c r="DI3064" s="501"/>
      <c r="DJ3064" s="501"/>
      <c r="DK3064" s="501"/>
      <c r="DL3064" s="501"/>
      <c r="DM3064" s="501"/>
      <c r="DN3064" s="501"/>
      <c r="DO3064" s="501"/>
      <c r="DP3064" s="501"/>
      <c r="DQ3064" s="501"/>
      <c r="DR3064" s="501"/>
      <c r="DS3064" s="501"/>
      <c r="DT3064" s="501"/>
      <c r="DU3064" s="501"/>
      <c r="DV3064" s="501"/>
      <c r="DW3064" s="501"/>
      <c r="DX3064" s="501"/>
      <c r="DY3064" s="501"/>
      <c r="DZ3064" s="501"/>
      <c r="EA3064" s="501"/>
      <c r="EB3064" s="501"/>
      <c r="EC3064" s="501"/>
      <c r="ED3064" s="501"/>
      <c r="EE3064" s="501"/>
      <c r="EF3064" s="501"/>
      <c r="EG3064" s="501"/>
      <c r="EH3064" s="501"/>
      <c r="EI3064" s="501"/>
      <c r="EJ3064" s="501"/>
      <c r="EK3064" s="501"/>
      <c r="EL3064" s="501"/>
      <c r="EM3064" s="501"/>
      <c r="EN3064" s="501"/>
      <c r="EO3064" s="501"/>
      <c r="EP3064" s="501"/>
      <c r="EQ3064" s="501"/>
      <c r="ER3064" s="501"/>
      <c r="ES3064" s="501"/>
      <c r="ET3064" s="501"/>
      <c r="EU3064" s="501"/>
      <c r="EV3064" s="501"/>
      <c r="EW3064" s="501"/>
      <c r="EX3064" s="501"/>
      <c r="EY3064" s="501"/>
      <c r="EZ3064" s="501"/>
      <c r="FA3064" s="501"/>
      <c r="FB3064" s="501"/>
      <c r="FC3064" s="501"/>
      <c r="FD3064" s="501"/>
      <c r="FE3064" s="501"/>
      <c r="FF3064" s="501"/>
      <c r="FG3064" s="501"/>
      <c r="FH3064" s="501"/>
      <c r="FI3064" s="501"/>
      <c r="FJ3064" s="501"/>
      <c r="FK3064" s="501"/>
      <c r="FL3064" s="501"/>
      <c r="FM3064" s="501"/>
      <c r="FN3064" s="501"/>
      <c r="FO3064" s="501"/>
      <c r="FP3064" s="501"/>
      <c r="FQ3064" s="501"/>
      <c r="FR3064" s="501"/>
      <c r="FS3064" s="501"/>
      <c r="FT3064" s="501"/>
      <c r="FU3064" s="501"/>
      <c r="FV3064" s="501"/>
      <c r="FW3064" s="501"/>
      <c r="FX3064" s="501"/>
      <c r="FY3064" s="501"/>
      <c r="FZ3064" s="501"/>
      <c r="GA3064" s="501"/>
      <c r="GB3064" s="501"/>
      <c r="GC3064" s="501"/>
      <c r="GD3064" s="501"/>
      <c r="GE3064" s="501"/>
      <c r="GF3064" s="501"/>
      <c r="GG3064" s="501"/>
      <c r="GH3064" s="501"/>
      <c r="GI3064" s="501"/>
      <c r="GJ3064" s="501"/>
      <c r="GK3064" s="501"/>
      <c r="GL3064" s="501"/>
      <c r="GM3064" s="501"/>
      <c r="GN3064" s="501"/>
      <c r="GO3064" s="501"/>
      <c r="GP3064" s="501"/>
      <c r="GQ3064" s="501"/>
      <c r="GR3064" s="501"/>
      <c r="GS3064" s="501"/>
      <c r="GT3064" s="501"/>
      <c r="GU3064" s="501"/>
      <c r="GV3064" s="501"/>
      <c r="GW3064" s="501"/>
      <c r="GX3064" s="501"/>
      <c r="GY3064" s="501"/>
      <c r="GZ3064" s="501"/>
      <c r="HA3064" s="501"/>
      <c r="HB3064" s="501"/>
      <c r="HC3064" s="501"/>
      <c r="HD3064" s="501"/>
      <c r="HE3064" s="501"/>
      <c r="HF3064" s="501"/>
      <c r="HG3064" s="501"/>
      <c r="HH3064" s="501"/>
      <c r="HI3064" s="501"/>
      <c r="HJ3064" s="501"/>
      <c r="HK3064" s="501"/>
      <c r="HL3064" s="501"/>
      <c r="HM3064" s="501"/>
      <c r="HN3064" s="501"/>
      <c r="HO3064" s="501"/>
      <c r="HP3064" s="501"/>
      <c r="HQ3064" s="501"/>
      <c r="HR3064" s="501"/>
      <c r="HS3064" s="501"/>
      <c r="HT3064" s="501"/>
      <c r="HU3064" s="501"/>
      <c r="HV3064" s="501"/>
      <c r="HW3064" s="501"/>
      <c r="HX3064" s="501"/>
      <c r="HY3064" s="501"/>
      <c r="HZ3064" s="501"/>
      <c r="IA3064" s="501"/>
      <c r="IB3064" s="501"/>
      <c r="IC3064" s="501"/>
      <c r="ID3064" s="501"/>
      <c r="IE3064" s="501"/>
      <c r="IF3064" s="501"/>
      <c r="IG3064" s="501"/>
      <c r="IH3064" s="501"/>
      <c r="II3064" s="501"/>
      <c r="IJ3064" s="501"/>
      <c r="IK3064" s="501"/>
      <c r="IL3064" s="501"/>
      <c r="IM3064" s="501"/>
      <c r="IN3064" s="501"/>
      <c r="IO3064" s="501"/>
      <c r="IP3064" s="501"/>
      <c r="IQ3064" s="501"/>
      <c r="IR3064" s="501"/>
      <c r="IS3064" s="501"/>
      <c r="IT3064" s="501"/>
      <c r="IU3064" s="501"/>
    </row>
    <row r="3065" spans="1:255" s="877" customFormat="1" ht="24" customHeight="1">
      <c r="A3065" s="501"/>
      <c r="B3065" s="501"/>
      <c r="C3065" s="501"/>
      <c r="D3065" s="501"/>
      <c r="E3065" s="501"/>
      <c r="F3065" s="1097"/>
      <c r="G3065" s="1098"/>
      <c r="H3065" s="1097"/>
      <c r="I3065" s="1099"/>
      <c r="J3065" s="1106"/>
      <c r="K3065" s="1097"/>
      <c r="L3065" s="1101"/>
      <c r="M3065" s="1102"/>
      <c r="N3065" s="501"/>
      <c r="O3065" s="1097"/>
      <c r="P3065" s="1151"/>
      <c r="Q3065" s="973"/>
      <c r="R3065" s="1097"/>
      <c r="S3065" s="1101"/>
      <c r="T3065" s="968"/>
      <c r="V3065" s="501"/>
      <c r="W3065" s="501"/>
      <c r="X3065" s="501"/>
      <c r="Y3065" s="501"/>
      <c r="Z3065" s="501"/>
      <c r="AA3065" s="501"/>
      <c r="AB3065" s="501"/>
      <c r="AC3065" s="501"/>
      <c r="AD3065" s="501"/>
      <c r="AE3065" s="501"/>
      <c r="AF3065" s="501"/>
      <c r="AG3065" s="501"/>
      <c r="AH3065" s="501"/>
      <c r="AI3065" s="501"/>
      <c r="AJ3065" s="501"/>
      <c r="AK3065" s="501"/>
      <c r="AL3065" s="501"/>
      <c r="AM3065" s="501"/>
      <c r="AN3065" s="501"/>
      <c r="AO3065" s="501"/>
      <c r="AP3065" s="501"/>
      <c r="AQ3065" s="501"/>
      <c r="AR3065" s="501"/>
      <c r="AS3065" s="501"/>
      <c r="AT3065" s="501"/>
      <c r="AU3065" s="501"/>
      <c r="AV3065" s="501"/>
      <c r="AW3065" s="501"/>
      <c r="AX3065" s="501"/>
      <c r="AY3065" s="501"/>
      <c r="AZ3065" s="501"/>
      <c r="BA3065" s="501"/>
      <c r="BB3065" s="501"/>
      <c r="BC3065" s="501"/>
      <c r="BD3065" s="501"/>
      <c r="BE3065" s="501"/>
      <c r="BF3065" s="501"/>
      <c r="BG3065" s="501"/>
      <c r="BH3065" s="501"/>
      <c r="BI3065" s="501"/>
      <c r="BJ3065" s="501"/>
      <c r="BK3065" s="501"/>
      <c r="BL3065" s="501"/>
      <c r="BM3065" s="501"/>
      <c r="BN3065" s="501"/>
      <c r="BO3065" s="501"/>
      <c r="BP3065" s="501"/>
      <c r="BQ3065" s="501"/>
      <c r="BR3065" s="501"/>
      <c r="BS3065" s="501"/>
      <c r="BT3065" s="501"/>
      <c r="BU3065" s="501"/>
      <c r="BV3065" s="501"/>
      <c r="BW3065" s="501"/>
      <c r="BX3065" s="501"/>
      <c r="BY3065" s="501"/>
      <c r="BZ3065" s="501"/>
      <c r="CA3065" s="501"/>
      <c r="CB3065" s="501"/>
      <c r="CC3065" s="501"/>
      <c r="CD3065" s="501"/>
      <c r="CE3065" s="501"/>
      <c r="CF3065" s="501"/>
      <c r="CG3065" s="501"/>
      <c r="CH3065" s="501"/>
      <c r="CI3065" s="501"/>
      <c r="CJ3065" s="501"/>
      <c r="CK3065" s="501"/>
      <c r="CL3065" s="501"/>
      <c r="CM3065" s="501"/>
      <c r="CN3065" s="501"/>
      <c r="CO3065" s="501"/>
      <c r="CP3065" s="501"/>
      <c r="CQ3065" s="501"/>
      <c r="CR3065" s="501"/>
      <c r="CS3065" s="501"/>
      <c r="CT3065" s="501"/>
      <c r="CU3065" s="501"/>
      <c r="CV3065" s="501"/>
      <c r="CW3065" s="501"/>
      <c r="CX3065" s="501"/>
      <c r="CY3065" s="501"/>
      <c r="CZ3065" s="501"/>
      <c r="DA3065" s="501"/>
      <c r="DB3065" s="501"/>
      <c r="DC3065" s="501"/>
      <c r="DD3065" s="501"/>
      <c r="DE3065" s="501"/>
      <c r="DF3065" s="501"/>
      <c r="DG3065" s="501"/>
      <c r="DH3065" s="501"/>
      <c r="DI3065" s="501"/>
      <c r="DJ3065" s="501"/>
      <c r="DK3065" s="501"/>
      <c r="DL3065" s="501"/>
      <c r="DM3065" s="501"/>
      <c r="DN3065" s="501"/>
      <c r="DO3065" s="501"/>
      <c r="DP3065" s="501"/>
      <c r="DQ3065" s="501"/>
      <c r="DR3065" s="501"/>
      <c r="DS3065" s="501"/>
      <c r="DT3065" s="501"/>
      <c r="DU3065" s="501"/>
      <c r="DV3065" s="501"/>
      <c r="DW3065" s="501"/>
      <c r="DX3065" s="501"/>
      <c r="DY3065" s="501"/>
      <c r="DZ3065" s="501"/>
      <c r="EA3065" s="501"/>
      <c r="EB3065" s="501"/>
      <c r="EC3065" s="501"/>
      <c r="ED3065" s="501"/>
      <c r="EE3065" s="501"/>
      <c r="EF3065" s="501"/>
      <c r="EG3065" s="501"/>
      <c r="EH3065" s="501"/>
      <c r="EI3065" s="501"/>
      <c r="EJ3065" s="501"/>
      <c r="EK3065" s="501"/>
      <c r="EL3065" s="501"/>
      <c r="EM3065" s="501"/>
      <c r="EN3065" s="501"/>
      <c r="EO3065" s="501"/>
      <c r="EP3065" s="501"/>
      <c r="EQ3065" s="501"/>
      <c r="ER3065" s="501"/>
      <c r="ES3065" s="501"/>
      <c r="ET3065" s="501"/>
      <c r="EU3065" s="501"/>
      <c r="EV3065" s="501"/>
      <c r="EW3065" s="501"/>
      <c r="EX3065" s="501"/>
      <c r="EY3065" s="501"/>
      <c r="EZ3065" s="501"/>
      <c r="FA3065" s="501"/>
      <c r="FB3065" s="501"/>
      <c r="FC3065" s="501"/>
      <c r="FD3065" s="501"/>
      <c r="FE3065" s="501"/>
      <c r="FF3065" s="501"/>
      <c r="FG3065" s="501"/>
      <c r="FH3065" s="501"/>
      <c r="FI3065" s="501"/>
      <c r="FJ3065" s="501"/>
      <c r="FK3065" s="501"/>
      <c r="FL3065" s="501"/>
      <c r="FM3065" s="501"/>
      <c r="FN3065" s="501"/>
      <c r="FO3065" s="501"/>
      <c r="FP3065" s="501"/>
      <c r="FQ3065" s="501"/>
      <c r="FR3065" s="501"/>
      <c r="FS3065" s="501"/>
      <c r="FT3065" s="501"/>
      <c r="FU3065" s="501"/>
      <c r="FV3065" s="501"/>
      <c r="FW3065" s="501"/>
      <c r="FX3065" s="501"/>
      <c r="FY3065" s="501"/>
      <c r="FZ3065" s="501"/>
      <c r="GA3065" s="501"/>
      <c r="GB3065" s="501"/>
      <c r="GC3065" s="501"/>
      <c r="GD3065" s="501"/>
      <c r="GE3065" s="501"/>
      <c r="GF3065" s="501"/>
      <c r="GG3065" s="501"/>
      <c r="GH3065" s="501"/>
      <c r="GI3065" s="501"/>
      <c r="GJ3065" s="501"/>
      <c r="GK3065" s="501"/>
      <c r="GL3065" s="501"/>
      <c r="GM3065" s="501"/>
      <c r="GN3065" s="501"/>
      <c r="GO3065" s="501"/>
      <c r="GP3065" s="501"/>
      <c r="GQ3065" s="501"/>
      <c r="GR3065" s="501"/>
      <c r="GS3065" s="501"/>
      <c r="GT3065" s="501"/>
      <c r="GU3065" s="501"/>
      <c r="GV3065" s="501"/>
      <c r="GW3065" s="501"/>
      <c r="GX3065" s="501"/>
      <c r="GY3065" s="501"/>
      <c r="GZ3065" s="501"/>
      <c r="HA3065" s="501"/>
      <c r="HB3065" s="501"/>
      <c r="HC3065" s="501"/>
      <c r="HD3065" s="501"/>
      <c r="HE3065" s="501"/>
      <c r="HF3065" s="501"/>
      <c r="HG3065" s="501"/>
      <c r="HH3065" s="501"/>
      <c r="HI3065" s="501"/>
      <c r="HJ3065" s="501"/>
      <c r="HK3065" s="501"/>
      <c r="HL3065" s="501"/>
      <c r="HM3065" s="501"/>
      <c r="HN3065" s="501"/>
      <c r="HO3065" s="501"/>
      <c r="HP3065" s="501"/>
      <c r="HQ3065" s="501"/>
      <c r="HR3065" s="501"/>
      <c r="HS3065" s="501"/>
      <c r="HT3065" s="501"/>
      <c r="HU3065" s="501"/>
      <c r="HV3065" s="501"/>
      <c r="HW3065" s="501"/>
      <c r="HX3065" s="501"/>
      <c r="HY3065" s="501"/>
      <c r="HZ3065" s="501"/>
      <c r="IA3065" s="501"/>
      <c r="IB3065" s="501"/>
      <c r="IC3065" s="501"/>
      <c r="ID3065" s="501"/>
      <c r="IE3065" s="501"/>
      <c r="IF3065" s="501"/>
      <c r="IG3065" s="501"/>
      <c r="IH3065" s="501"/>
      <c r="II3065" s="501"/>
      <c r="IJ3065" s="501"/>
      <c r="IK3065" s="501"/>
      <c r="IL3065" s="501"/>
      <c r="IM3065" s="501"/>
      <c r="IN3065" s="501"/>
      <c r="IO3065" s="501"/>
      <c r="IP3065" s="501"/>
      <c r="IQ3065" s="501"/>
      <c r="IR3065" s="501"/>
      <c r="IS3065" s="501"/>
      <c r="IT3065" s="501"/>
      <c r="IU3065" s="501"/>
    </row>
    <row r="3066" spans="1:255" s="877" customFormat="1" ht="24" customHeight="1">
      <c r="A3066" s="501"/>
      <c r="B3066" s="501"/>
      <c r="C3066" s="501"/>
      <c r="D3066" s="501"/>
      <c r="E3066" s="501"/>
      <c r="F3066" s="1097"/>
      <c r="G3066" s="1098"/>
      <c r="H3066" s="1097"/>
      <c r="I3066" s="1099"/>
      <c r="J3066" s="973"/>
      <c r="K3066" s="1097"/>
      <c r="L3066" s="1101"/>
      <c r="M3066" s="1102"/>
      <c r="N3066" s="501"/>
      <c r="O3066" s="1097"/>
      <c r="P3066" s="1151"/>
      <c r="Q3066" s="1097"/>
      <c r="R3066" s="1097"/>
      <c r="S3066" s="1101"/>
      <c r="T3066" s="1106"/>
      <c r="V3066" s="501"/>
      <c r="W3066" s="501"/>
      <c r="X3066" s="501"/>
      <c r="Y3066" s="501"/>
      <c r="Z3066" s="501"/>
      <c r="AA3066" s="501"/>
      <c r="AB3066" s="501"/>
      <c r="AC3066" s="501"/>
      <c r="AD3066" s="501"/>
      <c r="AE3066" s="501"/>
      <c r="AF3066" s="501"/>
      <c r="AG3066" s="501"/>
      <c r="AH3066" s="501"/>
      <c r="AI3066" s="501"/>
      <c r="AJ3066" s="501"/>
      <c r="AK3066" s="501"/>
      <c r="AL3066" s="501"/>
      <c r="AM3066" s="501"/>
      <c r="AN3066" s="501"/>
      <c r="AO3066" s="501"/>
      <c r="AP3066" s="501"/>
      <c r="AQ3066" s="501"/>
      <c r="AR3066" s="501"/>
      <c r="AS3066" s="501"/>
      <c r="AT3066" s="501"/>
      <c r="AU3066" s="501"/>
      <c r="AV3066" s="501"/>
      <c r="AW3066" s="501"/>
      <c r="AX3066" s="501"/>
      <c r="AY3066" s="501"/>
      <c r="AZ3066" s="501"/>
      <c r="BA3066" s="501"/>
      <c r="BB3066" s="501"/>
      <c r="BC3066" s="501"/>
      <c r="BD3066" s="501"/>
      <c r="BE3066" s="501"/>
      <c r="BF3066" s="501"/>
      <c r="BG3066" s="501"/>
      <c r="BH3066" s="501"/>
      <c r="BI3066" s="501"/>
      <c r="BJ3066" s="501"/>
      <c r="BK3066" s="501"/>
      <c r="BL3066" s="501"/>
      <c r="BM3066" s="501"/>
      <c r="BN3066" s="501"/>
      <c r="BO3066" s="501"/>
      <c r="BP3066" s="501"/>
      <c r="BQ3066" s="501"/>
      <c r="BR3066" s="501"/>
      <c r="BS3066" s="501"/>
      <c r="BT3066" s="501"/>
      <c r="BU3066" s="501"/>
      <c r="BV3066" s="501"/>
      <c r="BW3066" s="501"/>
      <c r="BX3066" s="501"/>
      <c r="BY3066" s="501"/>
      <c r="BZ3066" s="501"/>
      <c r="CA3066" s="501"/>
      <c r="CB3066" s="501"/>
      <c r="CC3066" s="501"/>
      <c r="CD3066" s="501"/>
      <c r="CE3066" s="501"/>
      <c r="CF3066" s="501"/>
      <c r="CG3066" s="501"/>
      <c r="CH3066" s="501"/>
      <c r="CI3066" s="501"/>
      <c r="CJ3066" s="501"/>
      <c r="CK3066" s="501"/>
      <c r="CL3066" s="501"/>
      <c r="CM3066" s="501"/>
      <c r="CN3066" s="501"/>
      <c r="CO3066" s="501"/>
      <c r="CP3066" s="501"/>
      <c r="CQ3066" s="501"/>
      <c r="CR3066" s="501"/>
      <c r="CS3066" s="501"/>
      <c r="CT3066" s="501"/>
      <c r="CU3066" s="501"/>
      <c r="CV3066" s="501"/>
      <c r="CW3066" s="501"/>
      <c r="CX3066" s="501"/>
      <c r="CY3066" s="501"/>
      <c r="CZ3066" s="501"/>
      <c r="DA3066" s="501"/>
      <c r="DB3066" s="501"/>
      <c r="DC3066" s="501"/>
      <c r="DD3066" s="501"/>
      <c r="DE3066" s="501"/>
      <c r="DF3066" s="501"/>
      <c r="DG3066" s="501"/>
      <c r="DH3066" s="501"/>
      <c r="DI3066" s="501"/>
      <c r="DJ3066" s="501"/>
      <c r="DK3066" s="501"/>
      <c r="DL3066" s="501"/>
      <c r="DM3066" s="501"/>
      <c r="DN3066" s="501"/>
      <c r="DO3066" s="501"/>
      <c r="DP3066" s="501"/>
      <c r="DQ3066" s="501"/>
      <c r="DR3066" s="501"/>
      <c r="DS3066" s="501"/>
      <c r="DT3066" s="501"/>
      <c r="DU3066" s="501"/>
      <c r="DV3066" s="501"/>
      <c r="DW3066" s="501"/>
      <c r="DX3066" s="501"/>
      <c r="DY3066" s="501"/>
      <c r="DZ3066" s="501"/>
      <c r="EA3066" s="501"/>
      <c r="EB3066" s="501"/>
      <c r="EC3066" s="501"/>
      <c r="ED3066" s="501"/>
      <c r="EE3066" s="501"/>
      <c r="EF3066" s="501"/>
      <c r="EG3066" s="501"/>
      <c r="EH3066" s="501"/>
      <c r="EI3066" s="501"/>
      <c r="EJ3066" s="501"/>
      <c r="EK3066" s="501"/>
      <c r="EL3066" s="501"/>
      <c r="EM3066" s="501"/>
      <c r="EN3066" s="501"/>
      <c r="EO3066" s="501"/>
      <c r="EP3066" s="501"/>
      <c r="EQ3066" s="501"/>
      <c r="ER3066" s="501"/>
      <c r="ES3066" s="501"/>
      <c r="ET3066" s="501"/>
      <c r="EU3066" s="501"/>
      <c r="EV3066" s="501"/>
      <c r="EW3066" s="501"/>
      <c r="EX3066" s="501"/>
      <c r="EY3066" s="501"/>
      <c r="EZ3066" s="501"/>
      <c r="FA3066" s="501"/>
      <c r="FB3066" s="501"/>
      <c r="FC3066" s="501"/>
      <c r="FD3066" s="501"/>
      <c r="FE3066" s="501"/>
      <c r="FF3066" s="501"/>
      <c r="FG3066" s="501"/>
      <c r="FH3066" s="501"/>
      <c r="FI3066" s="501"/>
      <c r="FJ3066" s="501"/>
      <c r="FK3066" s="501"/>
      <c r="FL3066" s="501"/>
      <c r="FM3066" s="501"/>
      <c r="FN3066" s="501"/>
      <c r="FO3066" s="501"/>
      <c r="FP3066" s="501"/>
      <c r="FQ3066" s="501"/>
      <c r="FR3066" s="501"/>
      <c r="FS3066" s="501"/>
      <c r="FT3066" s="501"/>
      <c r="FU3066" s="501"/>
      <c r="FV3066" s="501"/>
      <c r="FW3066" s="501"/>
      <c r="FX3066" s="501"/>
      <c r="FY3066" s="501"/>
      <c r="FZ3066" s="501"/>
      <c r="GA3066" s="501"/>
      <c r="GB3066" s="501"/>
      <c r="GC3066" s="501"/>
      <c r="GD3066" s="501"/>
      <c r="GE3066" s="501"/>
      <c r="GF3066" s="501"/>
      <c r="GG3066" s="501"/>
      <c r="GH3066" s="501"/>
      <c r="GI3066" s="501"/>
      <c r="GJ3066" s="501"/>
      <c r="GK3066" s="501"/>
      <c r="GL3066" s="501"/>
      <c r="GM3066" s="501"/>
      <c r="GN3066" s="501"/>
      <c r="GO3066" s="501"/>
      <c r="GP3066" s="501"/>
      <c r="GQ3066" s="501"/>
      <c r="GR3066" s="501"/>
      <c r="GS3066" s="501"/>
      <c r="GT3066" s="501"/>
      <c r="GU3066" s="501"/>
      <c r="GV3066" s="501"/>
      <c r="GW3066" s="501"/>
      <c r="GX3066" s="501"/>
      <c r="GY3066" s="501"/>
      <c r="GZ3066" s="501"/>
      <c r="HA3066" s="501"/>
      <c r="HB3066" s="501"/>
      <c r="HC3066" s="501"/>
      <c r="HD3066" s="501"/>
      <c r="HE3066" s="501"/>
      <c r="HF3066" s="501"/>
      <c r="HG3066" s="501"/>
      <c r="HH3066" s="501"/>
      <c r="HI3066" s="501"/>
      <c r="HJ3066" s="501"/>
      <c r="HK3066" s="501"/>
      <c r="HL3066" s="501"/>
      <c r="HM3066" s="501"/>
      <c r="HN3066" s="501"/>
      <c r="HO3066" s="501"/>
      <c r="HP3066" s="501"/>
      <c r="HQ3066" s="501"/>
      <c r="HR3066" s="501"/>
      <c r="HS3066" s="501"/>
      <c r="HT3066" s="501"/>
      <c r="HU3066" s="501"/>
      <c r="HV3066" s="501"/>
      <c r="HW3066" s="501"/>
      <c r="HX3066" s="501"/>
      <c r="HY3066" s="501"/>
      <c r="HZ3066" s="501"/>
      <c r="IA3066" s="501"/>
      <c r="IB3066" s="501"/>
      <c r="IC3066" s="501"/>
      <c r="ID3066" s="501"/>
      <c r="IE3066" s="501"/>
      <c r="IF3066" s="501"/>
      <c r="IG3066" s="501"/>
      <c r="IH3066" s="501"/>
      <c r="II3066" s="501"/>
      <c r="IJ3066" s="501"/>
      <c r="IK3066" s="501"/>
      <c r="IL3066" s="501"/>
      <c r="IM3066" s="501"/>
      <c r="IN3066" s="501"/>
      <c r="IO3066" s="501"/>
      <c r="IP3066" s="501"/>
      <c r="IQ3066" s="501"/>
      <c r="IR3066" s="501"/>
      <c r="IS3066" s="501"/>
      <c r="IT3066" s="501"/>
      <c r="IU3066" s="501"/>
    </row>
    <row r="3067" spans="1:255" s="877" customFormat="1" ht="24" customHeight="1">
      <c r="A3067" s="501"/>
      <c r="B3067" s="501"/>
      <c r="C3067" s="501"/>
      <c r="D3067" s="501"/>
      <c r="E3067" s="501"/>
      <c r="F3067" s="1097"/>
      <c r="G3067" s="1098"/>
      <c r="H3067" s="1097"/>
      <c r="I3067" s="1099"/>
      <c r="J3067" s="1097"/>
      <c r="K3067" s="1097"/>
      <c r="L3067" s="1101"/>
      <c r="M3067" s="1102"/>
      <c r="N3067" s="501"/>
      <c r="O3067" s="1097"/>
      <c r="P3067" s="1151"/>
      <c r="Q3067" s="973"/>
      <c r="R3067" s="1097"/>
      <c r="S3067" s="1101"/>
      <c r="T3067" s="968"/>
      <c r="V3067" s="501"/>
      <c r="W3067" s="501"/>
      <c r="X3067" s="501"/>
      <c r="Y3067" s="501"/>
      <c r="Z3067" s="501"/>
      <c r="AA3067" s="501"/>
      <c r="AB3067" s="501"/>
      <c r="AC3067" s="501"/>
      <c r="AD3067" s="501"/>
      <c r="AE3067" s="501"/>
      <c r="AF3067" s="501"/>
      <c r="AG3067" s="501"/>
      <c r="AH3067" s="501"/>
      <c r="AI3067" s="501"/>
      <c r="AJ3067" s="501"/>
      <c r="AK3067" s="501"/>
      <c r="AL3067" s="501"/>
      <c r="AM3067" s="501"/>
      <c r="AN3067" s="501"/>
      <c r="AO3067" s="501"/>
      <c r="AP3067" s="501"/>
      <c r="AQ3067" s="501"/>
      <c r="AR3067" s="501"/>
      <c r="AS3067" s="501"/>
      <c r="AT3067" s="501"/>
      <c r="AU3067" s="501"/>
      <c r="AV3067" s="501"/>
      <c r="AW3067" s="501"/>
      <c r="AX3067" s="501"/>
      <c r="AY3067" s="501"/>
      <c r="AZ3067" s="501"/>
      <c r="BA3067" s="501"/>
      <c r="BB3067" s="501"/>
      <c r="BC3067" s="501"/>
      <c r="BD3067" s="501"/>
      <c r="BE3067" s="501"/>
      <c r="BF3067" s="501"/>
      <c r="BG3067" s="501"/>
      <c r="BH3067" s="501"/>
      <c r="BI3067" s="501"/>
      <c r="BJ3067" s="501"/>
      <c r="BK3067" s="501"/>
      <c r="BL3067" s="501"/>
      <c r="BM3067" s="501"/>
      <c r="BN3067" s="501"/>
      <c r="BO3067" s="501"/>
      <c r="BP3067" s="501"/>
      <c r="BQ3067" s="501"/>
      <c r="BR3067" s="501"/>
      <c r="BS3067" s="501"/>
      <c r="BT3067" s="501"/>
      <c r="BU3067" s="501"/>
      <c r="BV3067" s="501"/>
      <c r="BW3067" s="501"/>
      <c r="BX3067" s="501"/>
      <c r="BY3067" s="501"/>
      <c r="BZ3067" s="501"/>
      <c r="CA3067" s="501"/>
      <c r="CB3067" s="501"/>
      <c r="CC3067" s="501"/>
      <c r="CD3067" s="501"/>
      <c r="CE3067" s="501"/>
      <c r="CF3067" s="501"/>
      <c r="CG3067" s="501"/>
      <c r="CH3067" s="501"/>
      <c r="CI3067" s="501"/>
      <c r="CJ3067" s="501"/>
      <c r="CK3067" s="501"/>
      <c r="CL3067" s="501"/>
      <c r="CM3067" s="501"/>
      <c r="CN3067" s="501"/>
      <c r="CO3067" s="501"/>
      <c r="CP3067" s="501"/>
      <c r="CQ3067" s="501"/>
      <c r="CR3067" s="501"/>
      <c r="CS3067" s="501"/>
      <c r="CT3067" s="501"/>
      <c r="CU3067" s="501"/>
      <c r="CV3067" s="501"/>
      <c r="CW3067" s="501"/>
      <c r="CX3067" s="501"/>
      <c r="CY3067" s="501"/>
      <c r="CZ3067" s="501"/>
      <c r="DA3067" s="501"/>
      <c r="DB3067" s="501"/>
      <c r="DC3067" s="501"/>
      <c r="DD3067" s="501"/>
      <c r="DE3067" s="501"/>
      <c r="DF3067" s="501"/>
      <c r="DG3067" s="501"/>
      <c r="DH3067" s="501"/>
      <c r="DI3067" s="501"/>
      <c r="DJ3067" s="501"/>
      <c r="DK3067" s="501"/>
      <c r="DL3067" s="501"/>
      <c r="DM3067" s="501"/>
      <c r="DN3067" s="501"/>
      <c r="DO3067" s="501"/>
      <c r="DP3067" s="501"/>
      <c r="DQ3067" s="501"/>
      <c r="DR3067" s="501"/>
      <c r="DS3067" s="501"/>
      <c r="DT3067" s="501"/>
      <c r="DU3067" s="501"/>
      <c r="DV3067" s="501"/>
      <c r="DW3067" s="501"/>
      <c r="DX3067" s="501"/>
      <c r="DY3067" s="501"/>
      <c r="DZ3067" s="501"/>
      <c r="EA3067" s="501"/>
      <c r="EB3067" s="501"/>
      <c r="EC3067" s="501"/>
      <c r="ED3067" s="501"/>
      <c r="EE3067" s="501"/>
      <c r="EF3067" s="501"/>
      <c r="EG3067" s="501"/>
      <c r="EH3067" s="501"/>
      <c r="EI3067" s="501"/>
      <c r="EJ3067" s="501"/>
      <c r="EK3067" s="501"/>
      <c r="EL3067" s="501"/>
      <c r="EM3067" s="501"/>
      <c r="EN3067" s="501"/>
      <c r="EO3067" s="501"/>
      <c r="EP3067" s="501"/>
      <c r="EQ3067" s="501"/>
      <c r="ER3067" s="501"/>
      <c r="ES3067" s="501"/>
      <c r="ET3067" s="501"/>
      <c r="EU3067" s="501"/>
      <c r="EV3067" s="501"/>
      <c r="EW3067" s="501"/>
      <c r="EX3067" s="501"/>
      <c r="EY3067" s="501"/>
      <c r="EZ3067" s="501"/>
      <c r="FA3067" s="501"/>
      <c r="FB3067" s="501"/>
      <c r="FC3067" s="501"/>
      <c r="FD3067" s="501"/>
      <c r="FE3067" s="501"/>
      <c r="FF3067" s="501"/>
      <c r="FG3067" s="501"/>
      <c r="FH3067" s="501"/>
      <c r="FI3067" s="501"/>
      <c r="FJ3067" s="501"/>
      <c r="FK3067" s="501"/>
      <c r="FL3067" s="501"/>
      <c r="FM3067" s="501"/>
      <c r="FN3067" s="501"/>
      <c r="FO3067" s="501"/>
      <c r="FP3067" s="501"/>
      <c r="FQ3067" s="501"/>
      <c r="FR3067" s="501"/>
      <c r="FS3067" s="501"/>
      <c r="FT3067" s="501"/>
      <c r="FU3067" s="501"/>
      <c r="FV3067" s="501"/>
      <c r="FW3067" s="501"/>
      <c r="FX3067" s="501"/>
      <c r="FY3067" s="501"/>
      <c r="FZ3067" s="501"/>
      <c r="GA3067" s="501"/>
      <c r="GB3067" s="501"/>
      <c r="GC3067" s="501"/>
      <c r="GD3067" s="501"/>
      <c r="GE3067" s="501"/>
      <c r="GF3067" s="501"/>
      <c r="GG3067" s="501"/>
      <c r="GH3067" s="501"/>
      <c r="GI3067" s="501"/>
      <c r="GJ3067" s="501"/>
      <c r="GK3067" s="501"/>
      <c r="GL3067" s="501"/>
      <c r="GM3067" s="501"/>
      <c r="GN3067" s="501"/>
      <c r="GO3067" s="501"/>
      <c r="GP3067" s="501"/>
      <c r="GQ3067" s="501"/>
      <c r="GR3067" s="501"/>
      <c r="GS3067" s="501"/>
      <c r="GT3067" s="501"/>
      <c r="GU3067" s="501"/>
      <c r="GV3067" s="501"/>
      <c r="GW3067" s="501"/>
      <c r="GX3067" s="501"/>
      <c r="GY3067" s="501"/>
      <c r="GZ3067" s="501"/>
      <c r="HA3067" s="501"/>
      <c r="HB3067" s="501"/>
      <c r="HC3067" s="501"/>
      <c r="HD3067" s="501"/>
      <c r="HE3067" s="501"/>
      <c r="HF3067" s="501"/>
      <c r="HG3067" s="501"/>
      <c r="HH3067" s="501"/>
      <c r="HI3067" s="501"/>
      <c r="HJ3067" s="501"/>
      <c r="HK3067" s="501"/>
      <c r="HL3067" s="501"/>
      <c r="HM3067" s="501"/>
      <c r="HN3067" s="501"/>
      <c r="HO3067" s="501"/>
      <c r="HP3067" s="501"/>
      <c r="HQ3067" s="501"/>
      <c r="HR3067" s="501"/>
      <c r="HS3067" s="501"/>
      <c r="HT3067" s="501"/>
      <c r="HU3067" s="501"/>
      <c r="HV3067" s="501"/>
      <c r="HW3067" s="501"/>
      <c r="HX3067" s="501"/>
      <c r="HY3067" s="501"/>
      <c r="HZ3067" s="501"/>
      <c r="IA3067" s="501"/>
      <c r="IB3067" s="501"/>
      <c r="IC3067" s="501"/>
      <c r="ID3067" s="501"/>
      <c r="IE3067" s="501"/>
      <c r="IF3067" s="501"/>
      <c r="IG3067" s="501"/>
      <c r="IH3067" s="501"/>
      <c r="II3067" s="501"/>
      <c r="IJ3067" s="501"/>
      <c r="IK3067" s="501"/>
      <c r="IL3067" s="501"/>
      <c r="IM3067" s="501"/>
      <c r="IN3067" s="501"/>
      <c r="IO3067" s="501"/>
      <c r="IP3067" s="501"/>
      <c r="IQ3067" s="501"/>
      <c r="IR3067" s="501"/>
      <c r="IS3067" s="501"/>
      <c r="IT3067" s="501"/>
      <c r="IU3067" s="501"/>
    </row>
    <row r="3068" spans="1:255" s="877" customFormat="1" ht="24" customHeight="1">
      <c r="A3068" s="501"/>
      <c r="B3068" s="501"/>
      <c r="C3068" s="501"/>
      <c r="D3068" s="501"/>
      <c r="E3068" s="501"/>
      <c r="F3068" s="1119"/>
      <c r="G3068" s="1149"/>
      <c r="H3068" s="1119"/>
      <c r="I3068" s="973"/>
      <c r="J3068" s="1116"/>
      <c r="K3068" s="1097"/>
      <c r="L3068" s="974"/>
      <c r="M3068" s="1102"/>
      <c r="N3068" s="501"/>
      <c r="O3068" s="501"/>
      <c r="P3068" s="902"/>
      <c r="Q3068" s="501"/>
      <c r="R3068" s="501"/>
      <c r="S3068" s="874"/>
      <c r="T3068" s="501"/>
      <c r="V3068" s="501"/>
      <c r="W3068" s="501"/>
      <c r="X3068" s="501"/>
      <c r="Y3068" s="501"/>
      <c r="Z3068" s="501"/>
      <c r="AA3068" s="501"/>
      <c r="AB3068" s="501"/>
      <c r="AC3068" s="501"/>
      <c r="AD3068" s="501"/>
      <c r="AE3068" s="501"/>
      <c r="AF3068" s="501"/>
      <c r="AG3068" s="501"/>
      <c r="AH3068" s="501"/>
      <c r="AI3068" s="501"/>
      <c r="AJ3068" s="501"/>
      <c r="AK3068" s="501"/>
      <c r="AL3068" s="501"/>
      <c r="AM3068" s="501"/>
      <c r="AN3068" s="501"/>
      <c r="AO3068" s="501"/>
      <c r="AP3068" s="501"/>
      <c r="AQ3068" s="501"/>
      <c r="AR3068" s="501"/>
      <c r="AS3068" s="501"/>
      <c r="AT3068" s="501"/>
      <c r="AU3068" s="501"/>
      <c r="AV3068" s="501"/>
      <c r="AW3068" s="501"/>
      <c r="AX3068" s="501"/>
      <c r="AY3068" s="501"/>
      <c r="AZ3068" s="501"/>
      <c r="BA3068" s="501"/>
      <c r="BB3068" s="501"/>
      <c r="BC3068" s="501"/>
      <c r="BD3068" s="501"/>
      <c r="BE3068" s="501"/>
      <c r="BF3068" s="501"/>
      <c r="BG3068" s="501"/>
      <c r="BH3068" s="501"/>
      <c r="BI3068" s="501"/>
      <c r="BJ3068" s="501"/>
      <c r="BK3068" s="501"/>
      <c r="BL3068" s="501"/>
      <c r="BM3068" s="501"/>
      <c r="BN3068" s="501"/>
      <c r="BO3068" s="501"/>
      <c r="BP3068" s="501"/>
      <c r="BQ3068" s="501"/>
      <c r="BR3068" s="501"/>
      <c r="BS3068" s="501"/>
      <c r="BT3068" s="501"/>
      <c r="BU3068" s="501"/>
      <c r="BV3068" s="501"/>
      <c r="BW3068" s="501"/>
      <c r="BX3068" s="501"/>
      <c r="BY3068" s="501"/>
      <c r="BZ3068" s="501"/>
      <c r="CA3068" s="501"/>
      <c r="CB3068" s="501"/>
      <c r="CC3068" s="501"/>
      <c r="CD3068" s="501"/>
      <c r="CE3068" s="501"/>
      <c r="CF3068" s="501"/>
      <c r="CG3068" s="501"/>
      <c r="CH3068" s="501"/>
      <c r="CI3068" s="501"/>
      <c r="CJ3068" s="501"/>
      <c r="CK3068" s="501"/>
      <c r="CL3068" s="501"/>
      <c r="CM3068" s="501"/>
      <c r="CN3068" s="501"/>
      <c r="CO3068" s="501"/>
      <c r="CP3068" s="501"/>
      <c r="CQ3068" s="501"/>
      <c r="CR3068" s="501"/>
      <c r="CS3068" s="501"/>
      <c r="CT3068" s="501"/>
      <c r="CU3068" s="501"/>
      <c r="CV3068" s="501"/>
      <c r="CW3068" s="501"/>
      <c r="CX3068" s="501"/>
      <c r="CY3068" s="501"/>
      <c r="CZ3068" s="501"/>
      <c r="DA3068" s="501"/>
      <c r="DB3068" s="501"/>
      <c r="DC3068" s="501"/>
      <c r="DD3068" s="501"/>
      <c r="DE3068" s="501"/>
      <c r="DF3068" s="501"/>
      <c r="DG3068" s="501"/>
      <c r="DH3068" s="501"/>
      <c r="DI3068" s="501"/>
      <c r="DJ3068" s="501"/>
      <c r="DK3068" s="501"/>
      <c r="DL3068" s="501"/>
      <c r="DM3068" s="501"/>
      <c r="DN3068" s="501"/>
      <c r="DO3068" s="501"/>
      <c r="DP3068" s="501"/>
      <c r="DQ3068" s="501"/>
      <c r="DR3068" s="501"/>
      <c r="DS3068" s="501"/>
      <c r="DT3068" s="501"/>
      <c r="DU3068" s="501"/>
      <c r="DV3068" s="501"/>
      <c r="DW3068" s="501"/>
      <c r="DX3068" s="501"/>
      <c r="DY3068" s="501"/>
      <c r="DZ3068" s="501"/>
      <c r="EA3068" s="501"/>
      <c r="EB3068" s="501"/>
      <c r="EC3068" s="501"/>
      <c r="ED3068" s="501"/>
      <c r="EE3068" s="501"/>
      <c r="EF3068" s="501"/>
      <c r="EG3068" s="501"/>
      <c r="EH3068" s="501"/>
      <c r="EI3068" s="501"/>
      <c r="EJ3068" s="501"/>
      <c r="EK3068" s="501"/>
      <c r="EL3068" s="501"/>
      <c r="EM3068" s="501"/>
      <c r="EN3068" s="501"/>
      <c r="EO3068" s="501"/>
      <c r="EP3068" s="501"/>
      <c r="EQ3068" s="501"/>
      <c r="ER3068" s="501"/>
      <c r="ES3068" s="501"/>
      <c r="ET3068" s="501"/>
      <c r="EU3068" s="501"/>
      <c r="EV3068" s="501"/>
      <c r="EW3068" s="501"/>
      <c r="EX3068" s="501"/>
      <c r="EY3068" s="501"/>
      <c r="EZ3068" s="501"/>
      <c r="FA3068" s="501"/>
      <c r="FB3068" s="501"/>
      <c r="FC3068" s="501"/>
      <c r="FD3068" s="501"/>
      <c r="FE3068" s="501"/>
      <c r="FF3068" s="501"/>
      <c r="FG3068" s="501"/>
      <c r="FH3068" s="501"/>
      <c r="FI3068" s="501"/>
      <c r="FJ3068" s="501"/>
      <c r="FK3068" s="501"/>
      <c r="FL3068" s="501"/>
      <c r="FM3068" s="501"/>
      <c r="FN3068" s="501"/>
      <c r="FO3068" s="501"/>
      <c r="FP3068" s="501"/>
      <c r="FQ3068" s="501"/>
      <c r="FR3068" s="501"/>
      <c r="FS3068" s="501"/>
      <c r="FT3068" s="501"/>
      <c r="FU3068" s="501"/>
      <c r="FV3068" s="501"/>
      <c r="FW3068" s="501"/>
      <c r="FX3068" s="501"/>
      <c r="FY3068" s="501"/>
      <c r="FZ3068" s="501"/>
      <c r="GA3068" s="501"/>
      <c r="GB3068" s="501"/>
      <c r="GC3068" s="501"/>
      <c r="GD3068" s="501"/>
      <c r="GE3068" s="501"/>
      <c r="GF3068" s="501"/>
      <c r="GG3068" s="501"/>
      <c r="GH3068" s="501"/>
      <c r="GI3068" s="501"/>
      <c r="GJ3068" s="501"/>
      <c r="GK3068" s="501"/>
      <c r="GL3068" s="501"/>
      <c r="GM3068" s="501"/>
      <c r="GN3068" s="501"/>
      <c r="GO3068" s="501"/>
      <c r="GP3068" s="501"/>
      <c r="GQ3068" s="501"/>
      <c r="GR3068" s="501"/>
      <c r="GS3068" s="501"/>
      <c r="GT3068" s="501"/>
      <c r="GU3068" s="501"/>
      <c r="GV3068" s="501"/>
      <c r="GW3068" s="501"/>
      <c r="GX3068" s="501"/>
      <c r="GY3068" s="501"/>
      <c r="GZ3068" s="501"/>
      <c r="HA3068" s="501"/>
      <c r="HB3068" s="501"/>
      <c r="HC3068" s="501"/>
      <c r="HD3068" s="501"/>
      <c r="HE3068" s="501"/>
      <c r="HF3068" s="501"/>
      <c r="HG3068" s="501"/>
      <c r="HH3068" s="501"/>
      <c r="HI3068" s="501"/>
      <c r="HJ3068" s="501"/>
      <c r="HK3068" s="501"/>
      <c r="HL3068" s="501"/>
      <c r="HM3068" s="501"/>
      <c r="HN3068" s="501"/>
      <c r="HO3068" s="501"/>
      <c r="HP3068" s="501"/>
      <c r="HQ3068" s="501"/>
      <c r="HR3068" s="501"/>
      <c r="HS3068" s="501"/>
      <c r="HT3068" s="501"/>
      <c r="HU3068" s="501"/>
      <c r="HV3068" s="501"/>
      <c r="HW3068" s="501"/>
      <c r="HX3068" s="501"/>
      <c r="HY3068" s="501"/>
      <c r="HZ3068" s="501"/>
      <c r="IA3068" s="501"/>
      <c r="IB3068" s="501"/>
      <c r="IC3068" s="501"/>
      <c r="ID3068" s="501"/>
      <c r="IE3068" s="501"/>
      <c r="IF3068" s="501"/>
      <c r="IG3068" s="501"/>
      <c r="IH3068" s="501"/>
      <c r="II3068" s="501"/>
      <c r="IJ3068" s="501"/>
      <c r="IK3068" s="501"/>
      <c r="IL3068" s="501"/>
      <c r="IM3068" s="501"/>
      <c r="IN3068" s="501"/>
      <c r="IO3068" s="501"/>
      <c r="IP3068" s="501"/>
      <c r="IQ3068" s="501"/>
      <c r="IR3068" s="501"/>
      <c r="IS3068" s="501"/>
      <c r="IT3068" s="501"/>
      <c r="IU3068" s="501"/>
    </row>
    <row r="3069" spans="1:255" s="877" customFormat="1" ht="24" customHeight="1">
      <c r="A3069" s="501"/>
      <c r="B3069" s="501"/>
      <c r="C3069" s="501"/>
      <c r="D3069" s="501"/>
      <c r="E3069" s="501"/>
      <c r="F3069" s="1144"/>
      <c r="G3069" s="1163"/>
      <c r="H3069" s="1144"/>
      <c r="I3069" s="973"/>
      <c r="J3069" s="1108"/>
      <c r="K3069" s="1097"/>
      <c r="L3069" s="974"/>
      <c r="M3069" s="1109"/>
      <c r="N3069" s="501"/>
      <c r="O3069" s="501"/>
      <c r="P3069" s="501"/>
      <c r="Q3069" s="501"/>
      <c r="R3069" s="501"/>
      <c r="S3069" s="501"/>
      <c r="T3069" s="501"/>
      <c r="V3069" s="501"/>
      <c r="W3069" s="501"/>
      <c r="X3069" s="501"/>
      <c r="Y3069" s="501"/>
      <c r="Z3069" s="501"/>
      <c r="AA3069" s="501"/>
      <c r="AB3069" s="501"/>
      <c r="AC3069" s="501"/>
      <c r="AD3069" s="501"/>
      <c r="AE3069" s="501"/>
      <c r="AF3069" s="501"/>
      <c r="AG3069" s="501"/>
      <c r="AH3069" s="501"/>
      <c r="AI3069" s="501"/>
      <c r="AJ3069" s="501"/>
      <c r="AK3069" s="501"/>
      <c r="AL3069" s="501"/>
      <c r="AM3069" s="501"/>
      <c r="AN3069" s="501"/>
      <c r="AO3069" s="501"/>
      <c r="AP3069" s="501"/>
      <c r="AQ3069" s="501"/>
      <c r="AR3069" s="501"/>
      <c r="AS3069" s="501"/>
      <c r="AT3069" s="501"/>
      <c r="AU3069" s="501"/>
      <c r="AV3069" s="501"/>
      <c r="AW3069" s="501"/>
      <c r="AX3069" s="501"/>
      <c r="AY3069" s="501"/>
      <c r="AZ3069" s="501"/>
      <c r="BA3069" s="501"/>
      <c r="BB3069" s="501"/>
      <c r="BC3069" s="501"/>
      <c r="BD3069" s="501"/>
      <c r="BE3069" s="501"/>
      <c r="BF3069" s="501"/>
      <c r="BG3069" s="501"/>
      <c r="BH3069" s="501"/>
      <c r="BI3069" s="501"/>
      <c r="BJ3069" s="501"/>
      <c r="BK3069" s="501"/>
      <c r="BL3069" s="501"/>
      <c r="BM3069" s="501"/>
      <c r="BN3069" s="501"/>
      <c r="BO3069" s="501"/>
      <c r="BP3069" s="501"/>
      <c r="BQ3069" s="501"/>
      <c r="BR3069" s="501"/>
      <c r="BS3069" s="501"/>
      <c r="BT3069" s="501"/>
      <c r="BU3069" s="501"/>
      <c r="BV3069" s="501"/>
      <c r="BW3069" s="501"/>
      <c r="BX3069" s="501"/>
      <c r="BY3069" s="501"/>
      <c r="BZ3069" s="501"/>
      <c r="CA3069" s="501"/>
      <c r="CB3069" s="501"/>
      <c r="CC3069" s="501"/>
      <c r="CD3069" s="501"/>
      <c r="CE3069" s="501"/>
      <c r="CF3069" s="501"/>
      <c r="CG3069" s="501"/>
      <c r="CH3069" s="501"/>
      <c r="CI3069" s="501"/>
      <c r="CJ3069" s="501"/>
      <c r="CK3069" s="501"/>
      <c r="CL3069" s="501"/>
      <c r="CM3069" s="501"/>
      <c r="CN3069" s="501"/>
      <c r="CO3069" s="501"/>
      <c r="CP3069" s="501"/>
      <c r="CQ3069" s="501"/>
      <c r="CR3069" s="501"/>
      <c r="CS3069" s="501"/>
      <c r="CT3069" s="501"/>
      <c r="CU3069" s="501"/>
      <c r="CV3069" s="501"/>
      <c r="CW3069" s="501"/>
      <c r="CX3069" s="501"/>
      <c r="CY3069" s="501"/>
      <c r="CZ3069" s="501"/>
      <c r="DA3069" s="501"/>
      <c r="DB3069" s="501"/>
      <c r="DC3069" s="501"/>
      <c r="DD3069" s="501"/>
      <c r="DE3069" s="501"/>
      <c r="DF3069" s="501"/>
      <c r="DG3069" s="501"/>
      <c r="DH3069" s="501"/>
      <c r="DI3069" s="501"/>
      <c r="DJ3069" s="501"/>
      <c r="DK3069" s="501"/>
      <c r="DL3069" s="501"/>
      <c r="DM3069" s="501"/>
      <c r="DN3069" s="501"/>
      <c r="DO3069" s="501"/>
      <c r="DP3069" s="501"/>
      <c r="DQ3069" s="501"/>
      <c r="DR3069" s="501"/>
      <c r="DS3069" s="501"/>
      <c r="DT3069" s="501"/>
      <c r="DU3069" s="501"/>
      <c r="DV3069" s="501"/>
      <c r="DW3069" s="501"/>
      <c r="DX3069" s="501"/>
      <c r="DY3069" s="501"/>
      <c r="DZ3069" s="501"/>
      <c r="EA3069" s="501"/>
      <c r="EB3069" s="501"/>
      <c r="EC3069" s="501"/>
      <c r="ED3069" s="501"/>
      <c r="EE3069" s="501"/>
      <c r="EF3069" s="501"/>
      <c r="EG3069" s="501"/>
      <c r="EH3069" s="501"/>
      <c r="EI3069" s="501"/>
      <c r="EJ3069" s="501"/>
      <c r="EK3069" s="501"/>
      <c r="EL3069" s="501"/>
      <c r="EM3069" s="501"/>
      <c r="EN3069" s="501"/>
      <c r="EO3069" s="501"/>
      <c r="EP3069" s="501"/>
      <c r="EQ3069" s="501"/>
      <c r="ER3069" s="501"/>
      <c r="ES3069" s="501"/>
      <c r="ET3069" s="501"/>
      <c r="EU3069" s="501"/>
      <c r="EV3069" s="501"/>
      <c r="EW3069" s="501"/>
      <c r="EX3069" s="501"/>
      <c r="EY3069" s="501"/>
      <c r="EZ3069" s="501"/>
      <c r="FA3069" s="501"/>
      <c r="FB3069" s="501"/>
      <c r="FC3069" s="501"/>
      <c r="FD3069" s="501"/>
      <c r="FE3069" s="501"/>
      <c r="FF3069" s="501"/>
      <c r="FG3069" s="501"/>
      <c r="FH3069" s="501"/>
      <c r="FI3069" s="501"/>
      <c r="FJ3069" s="501"/>
      <c r="FK3069" s="501"/>
      <c r="FL3069" s="501"/>
      <c r="FM3069" s="501"/>
      <c r="FN3069" s="501"/>
      <c r="FO3069" s="501"/>
      <c r="FP3069" s="501"/>
      <c r="FQ3069" s="501"/>
      <c r="FR3069" s="501"/>
      <c r="FS3069" s="501"/>
      <c r="FT3069" s="501"/>
      <c r="FU3069" s="501"/>
      <c r="FV3069" s="501"/>
      <c r="FW3069" s="501"/>
      <c r="FX3069" s="501"/>
      <c r="FY3069" s="501"/>
      <c r="FZ3069" s="501"/>
      <c r="GA3069" s="501"/>
      <c r="GB3069" s="501"/>
      <c r="GC3069" s="501"/>
      <c r="GD3069" s="501"/>
      <c r="GE3069" s="501"/>
      <c r="GF3069" s="501"/>
      <c r="GG3069" s="501"/>
      <c r="GH3069" s="501"/>
      <c r="GI3069" s="501"/>
      <c r="GJ3069" s="501"/>
      <c r="GK3069" s="501"/>
      <c r="GL3069" s="501"/>
      <c r="GM3069" s="501"/>
      <c r="GN3069" s="501"/>
      <c r="GO3069" s="501"/>
      <c r="GP3069" s="501"/>
      <c r="GQ3069" s="501"/>
      <c r="GR3069" s="501"/>
      <c r="GS3069" s="501"/>
      <c r="GT3069" s="501"/>
      <c r="GU3069" s="501"/>
      <c r="GV3069" s="501"/>
      <c r="GW3069" s="501"/>
      <c r="GX3069" s="501"/>
      <c r="GY3069" s="501"/>
      <c r="GZ3069" s="501"/>
      <c r="HA3069" s="501"/>
      <c r="HB3069" s="501"/>
      <c r="HC3069" s="501"/>
      <c r="HD3069" s="501"/>
      <c r="HE3069" s="501"/>
      <c r="HF3069" s="501"/>
      <c r="HG3069" s="501"/>
      <c r="HH3069" s="501"/>
      <c r="HI3069" s="501"/>
      <c r="HJ3069" s="501"/>
      <c r="HK3069" s="501"/>
      <c r="HL3069" s="501"/>
      <c r="HM3069" s="501"/>
      <c r="HN3069" s="501"/>
      <c r="HO3069" s="501"/>
      <c r="HP3069" s="501"/>
      <c r="HQ3069" s="501"/>
      <c r="HR3069" s="501"/>
      <c r="HS3069" s="501"/>
      <c r="HT3069" s="501"/>
      <c r="HU3069" s="501"/>
      <c r="HV3069" s="501"/>
      <c r="HW3069" s="501"/>
      <c r="HX3069" s="501"/>
      <c r="HY3069" s="501"/>
      <c r="HZ3069" s="501"/>
      <c r="IA3069" s="501"/>
      <c r="IB3069" s="501"/>
      <c r="IC3069" s="501"/>
      <c r="ID3069" s="501"/>
      <c r="IE3069" s="501"/>
      <c r="IF3069" s="501"/>
      <c r="IG3069" s="501"/>
      <c r="IH3069" s="501"/>
      <c r="II3069" s="501"/>
      <c r="IJ3069" s="501"/>
      <c r="IK3069" s="501"/>
      <c r="IL3069" s="501"/>
      <c r="IM3069" s="501"/>
      <c r="IN3069" s="501"/>
      <c r="IO3069" s="501"/>
      <c r="IP3069" s="501"/>
      <c r="IQ3069" s="501"/>
      <c r="IR3069" s="501"/>
      <c r="IS3069" s="501"/>
      <c r="IT3069" s="501"/>
      <c r="IU3069" s="501"/>
    </row>
    <row r="3070" spans="1:255" s="877" customFormat="1" ht="24" customHeight="1">
      <c r="A3070" s="501"/>
      <c r="B3070" s="501"/>
      <c r="C3070" s="501"/>
      <c r="D3070" s="501"/>
      <c r="E3070" s="501"/>
      <c r="F3070" s="968"/>
      <c r="G3070" s="1107"/>
      <c r="H3070" s="968"/>
      <c r="I3070" s="973"/>
      <c r="J3070" s="973"/>
      <c r="K3070" s="1097"/>
      <c r="L3070" s="974"/>
      <c r="M3070" s="1109"/>
      <c r="N3070" s="501"/>
      <c r="O3070" s="501"/>
      <c r="P3070" s="501"/>
      <c r="Q3070" s="501"/>
      <c r="R3070" s="501"/>
      <c r="S3070" s="501"/>
      <c r="T3070" s="501"/>
      <c r="V3070" s="501"/>
      <c r="W3070" s="501"/>
      <c r="X3070" s="501"/>
      <c r="Y3070" s="501"/>
      <c r="Z3070" s="501"/>
      <c r="AA3070" s="501"/>
      <c r="AB3070" s="501"/>
      <c r="AC3070" s="501"/>
      <c r="AD3070" s="501"/>
      <c r="AE3070" s="501"/>
      <c r="AF3070" s="501"/>
      <c r="AG3070" s="501"/>
      <c r="AH3070" s="501"/>
      <c r="AI3070" s="501"/>
      <c r="AJ3070" s="501"/>
      <c r="AK3070" s="501"/>
      <c r="AL3070" s="501"/>
      <c r="AM3070" s="501"/>
      <c r="AN3070" s="501"/>
      <c r="AO3070" s="501"/>
      <c r="AP3070" s="501"/>
      <c r="AQ3070" s="501"/>
      <c r="AR3070" s="501"/>
      <c r="AS3070" s="501"/>
      <c r="AT3070" s="501"/>
      <c r="AU3070" s="501"/>
      <c r="AV3070" s="501"/>
      <c r="AW3070" s="501"/>
      <c r="AX3070" s="501"/>
      <c r="AY3070" s="501"/>
      <c r="AZ3070" s="501"/>
      <c r="BA3070" s="501"/>
      <c r="BB3070" s="501"/>
      <c r="BC3070" s="501"/>
      <c r="BD3070" s="501"/>
      <c r="BE3070" s="501"/>
      <c r="BF3070" s="501"/>
      <c r="BG3070" s="501"/>
      <c r="BH3070" s="501"/>
      <c r="BI3070" s="501"/>
      <c r="BJ3070" s="501"/>
      <c r="BK3070" s="501"/>
      <c r="BL3070" s="501"/>
      <c r="BM3070" s="501"/>
      <c r="BN3070" s="501"/>
      <c r="BO3070" s="501"/>
      <c r="BP3070" s="501"/>
      <c r="BQ3070" s="501"/>
      <c r="BR3070" s="501"/>
      <c r="BS3070" s="501"/>
      <c r="BT3070" s="501"/>
      <c r="BU3070" s="501"/>
      <c r="BV3070" s="501"/>
      <c r="BW3070" s="501"/>
      <c r="BX3070" s="501"/>
      <c r="BY3070" s="501"/>
      <c r="BZ3070" s="501"/>
      <c r="CA3070" s="501"/>
      <c r="CB3070" s="501"/>
      <c r="CC3070" s="501"/>
      <c r="CD3070" s="501"/>
      <c r="CE3070" s="501"/>
      <c r="CF3070" s="501"/>
      <c r="CG3070" s="501"/>
      <c r="CH3070" s="501"/>
      <c r="CI3070" s="501"/>
      <c r="CJ3070" s="501"/>
      <c r="CK3070" s="501"/>
      <c r="CL3070" s="501"/>
      <c r="CM3070" s="501"/>
      <c r="CN3070" s="501"/>
      <c r="CO3070" s="501"/>
      <c r="CP3070" s="501"/>
      <c r="CQ3070" s="501"/>
      <c r="CR3070" s="501"/>
      <c r="CS3070" s="501"/>
      <c r="CT3070" s="501"/>
      <c r="CU3070" s="501"/>
      <c r="CV3070" s="501"/>
      <c r="CW3070" s="501"/>
      <c r="CX3070" s="501"/>
      <c r="CY3070" s="501"/>
      <c r="CZ3070" s="501"/>
      <c r="DA3070" s="501"/>
      <c r="DB3070" s="501"/>
      <c r="DC3070" s="501"/>
      <c r="DD3070" s="501"/>
      <c r="DE3070" s="501"/>
      <c r="DF3070" s="501"/>
      <c r="DG3070" s="501"/>
      <c r="DH3070" s="501"/>
      <c r="DI3070" s="501"/>
      <c r="DJ3070" s="501"/>
      <c r="DK3070" s="501"/>
      <c r="DL3070" s="501"/>
      <c r="DM3070" s="501"/>
      <c r="DN3070" s="501"/>
      <c r="DO3070" s="501"/>
      <c r="DP3070" s="501"/>
      <c r="DQ3070" s="501"/>
      <c r="DR3070" s="501"/>
      <c r="DS3070" s="501"/>
      <c r="DT3070" s="501"/>
      <c r="DU3070" s="501"/>
      <c r="DV3070" s="501"/>
      <c r="DW3070" s="501"/>
      <c r="DX3070" s="501"/>
      <c r="DY3070" s="501"/>
      <c r="DZ3070" s="501"/>
      <c r="EA3070" s="501"/>
      <c r="EB3070" s="501"/>
      <c r="EC3070" s="501"/>
      <c r="ED3070" s="501"/>
      <c r="EE3070" s="501"/>
      <c r="EF3070" s="501"/>
      <c r="EG3070" s="501"/>
      <c r="EH3070" s="501"/>
      <c r="EI3070" s="501"/>
      <c r="EJ3070" s="501"/>
      <c r="EK3070" s="501"/>
      <c r="EL3070" s="501"/>
      <c r="EM3070" s="501"/>
      <c r="EN3070" s="501"/>
      <c r="EO3070" s="501"/>
      <c r="EP3070" s="501"/>
      <c r="EQ3070" s="501"/>
      <c r="ER3070" s="501"/>
      <c r="ES3070" s="501"/>
      <c r="ET3070" s="501"/>
      <c r="EU3070" s="501"/>
      <c r="EV3070" s="501"/>
      <c r="EW3070" s="501"/>
      <c r="EX3070" s="501"/>
      <c r="EY3070" s="501"/>
      <c r="EZ3070" s="501"/>
      <c r="FA3070" s="501"/>
      <c r="FB3070" s="501"/>
      <c r="FC3070" s="501"/>
      <c r="FD3070" s="501"/>
      <c r="FE3070" s="501"/>
      <c r="FF3070" s="501"/>
      <c r="FG3070" s="501"/>
      <c r="FH3070" s="501"/>
      <c r="FI3070" s="501"/>
      <c r="FJ3070" s="501"/>
      <c r="FK3070" s="501"/>
      <c r="FL3070" s="501"/>
      <c r="FM3070" s="501"/>
      <c r="FN3070" s="501"/>
      <c r="FO3070" s="501"/>
      <c r="FP3070" s="501"/>
      <c r="FQ3070" s="501"/>
      <c r="FR3070" s="501"/>
      <c r="FS3070" s="501"/>
      <c r="FT3070" s="501"/>
      <c r="FU3070" s="501"/>
      <c r="FV3070" s="501"/>
      <c r="FW3070" s="501"/>
      <c r="FX3070" s="501"/>
      <c r="FY3070" s="501"/>
      <c r="FZ3070" s="501"/>
      <c r="GA3070" s="501"/>
      <c r="GB3070" s="501"/>
      <c r="GC3070" s="501"/>
      <c r="GD3070" s="501"/>
      <c r="GE3070" s="501"/>
      <c r="GF3070" s="501"/>
      <c r="GG3070" s="501"/>
      <c r="GH3070" s="501"/>
      <c r="GI3070" s="501"/>
      <c r="GJ3070" s="501"/>
      <c r="GK3070" s="501"/>
      <c r="GL3070" s="501"/>
      <c r="GM3070" s="501"/>
      <c r="GN3070" s="501"/>
      <c r="GO3070" s="501"/>
      <c r="GP3070" s="501"/>
      <c r="GQ3070" s="501"/>
      <c r="GR3070" s="501"/>
      <c r="GS3070" s="501"/>
      <c r="GT3070" s="501"/>
      <c r="GU3070" s="501"/>
      <c r="GV3070" s="501"/>
      <c r="GW3070" s="501"/>
      <c r="GX3070" s="501"/>
      <c r="GY3070" s="501"/>
      <c r="GZ3070" s="501"/>
      <c r="HA3070" s="501"/>
      <c r="HB3070" s="501"/>
      <c r="HC3070" s="501"/>
      <c r="HD3070" s="501"/>
      <c r="HE3070" s="501"/>
      <c r="HF3070" s="501"/>
      <c r="HG3070" s="501"/>
      <c r="HH3070" s="501"/>
      <c r="HI3070" s="501"/>
      <c r="HJ3070" s="501"/>
      <c r="HK3070" s="501"/>
      <c r="HL3070" s="501"/>
      <c r="HM3070" s="501"/>
      <c r="HN3070" s="501"/>
      <c r="HO3070" s="501"/>
      <c r="HP3070" s="501"/>
      <c r="HQ3070" s="501"/>
      <c r="HR3070" s="501"/>
      <c r="HS3070" s="501"/>
      <c r="HT3070" s="501"/>
      <c r="HU3070" s="501"/>
      <c r="HV3070" s="501"/>
      <c r="HW3070" s="501"/>
      <c r="HX3070" s="501"/>
      <c r="HY3070" s="501"/>
      <c r="HZ3070" s="501"/>
      <c r="IA3070" s="501"/>
      <c r="IB3070" s="501"/>
      <c r="IC3070" s="501"/>
      <c r="ID3070" s="501"/>
      <c r="IE3070" s="501"/>
      <c r="IF3070" s="501"/>
      <c r="IG3070" s="501"/>
      <c r="IH3070" s="501"/>
      <c r="II3070" s="501"/>
      <c r="IJ3070" s="501"/>
      <c r="IK3070" s="501"/>
      <c r="IL3070" s="501"/>
      <c r="IM3070" s="501"/>
      <c r="IN3070" s="501"/>
      <c r="IO3070" s="501"/>
      <c r="IP3070" s="501"/>
      <c r="IQ3070" s="501"/>
      <c r="IR3070" s="501"/>
      <c r="IS3070" s="501"/>
      <c r="IT3070" s="501"/>
      <c r="IU3070" s="501"/>
    </row>
    <row r="3071" spans="1:255" s="877" customFormat="1" ht="24" customHeight="1">
      <c r="A3071" s="501"/>
      <c r="B3071" s="501"/>
      <c r="C3071" s="501"/>
      <c r="D3071" s="501"/>
      <c r="E3071" s="501"/>
      <c r="F3071" s="968"/>
      <c r="G3071" s="1107"/>
      <c r="H3071" s="968"/>
      <c r="I3071" s="973"/>
      <c r="J3071" s="973"/>
      <c r="K3071" s="1097"/>
      <c r="L3071" s="974"/>
      <c r="M3071" s="1109"/>
      <c r="N3071" s="501"/>
      <c r="O3071" s="501"/>
      <c r="P3071" s="501"/>
      <c r="Q3071" s="501"/>
      <c r="R3071" s="501"/>
      <c r="S3071" s="501"/>
      <c r="T3071" s="501"/>
      <c r="V3071" s="501"/>
      <c r="W3071" s="501"/>
      <c r="X3071" s="501"/>
      <c r="Y3071" s="501"/>
      <c r="Z3071" s="501"/>
      <c r="AA3071" s="501"/>
      <c r="AB3071" s="501"/>
      <c r="AC3071" s="501"/>
      <c r="AD3071" s="501"/>
      <c r="AE3071" s="501"/>
      <c r="AF3071" s="501"/>
      <c r="AG3071" s="501"/>
      <c r="AH3071" s="501"/>
      <c r="AI3071" s="501"/>
      <c r="AJ3071" s="501"/>
      <c r="AK3071" s="501"/>
      <c r="AL3071" s="501"/>
      <c r="AM3071" s="501"/>
      <c r="AN3071" s="501"/>
      <c r="AO3071" s="501"/>
      <c r="AP3071" s="501"/>
      <c r="AQ3071" s="501"/>
      <c r="AR3071" s="501"/>
      <c r="AS3071" s="501"/>
      <c r="AT3071" s="501"/>
      <c r="AU3071" s="501"/>
      <c r="AV3071" s="501"/>
      <c r="AW3071" s="501"/>
      <c r="AX3071" s="501"/>
      <c r="AY3071" s="501"/>
      <c r="AZ3071" s="501"/>
      <c r="BA3071" s="501"/>
      <c r="BB3071" s="501"/>
      <c r="BC3071" s="501"/>
      <c r="BD3071" s="501"/>
      <c r="BE3071" s="501"/>
      <c r="BF3071" s="501"/>
      <c r="BG3071" s="501"/>
      <c r="BH3071" s="501"/>
      <c r="BI3071" s="501"/>
      <c r="BJ3071" s="501"/>
      <c r="BK3071" s="501"/>
      <c r="BL3071" s="501"/>
      <c r="BM3071" s="501"/>
      <c r="BN3071" s="501"/>
      <c r="BO3071" s="501"/>
      <c r="BP3071" s="501"/>
      <c r="BQ3071" s="501"/>
      <c r="BR3071" s="501"/>
      <c r="BS3071" s="501"/>
      <c r="BT3071" s="501"/>
      <c r="BU3071" s="501"/>
      <c r="BV3071" s="501"/>
      <c r="BW3071" s="501"/>
      <c r="BX3071" s="501"/>
      <c r="BY3071" s="501"/>
      <c r="BZ3071" s="501"/>
      <c r="CA3071" s="501"/>
      <c r="CB3071" s="501"/>
      <c r="CC3071" s="501"/>
      <c r="CD3071" s="501"/>
      <c r="CE3071" s="501"/>
      <c r="CF3071" s="501"/>
      <c r="CG3071" s="501"/>
      <c r="CH3071" s="501"/>
      <c r="CI3071" s="501"/>
      <c r="CJ3071" s="501"/>
      <c r="CK3071" s="501"/>
      <c r="CL3071" s="501"/>
      <c r="CM3071" s="501"/>
      <c r="CN3071" s="501"/>
      <c r="CO3071" s="501"/>
      <c r="CP3071" s="501"/>
      <c r="CQ3071" s="501"/>
      <c r="CR3071" s="501"/>
      <c r="CS3071" s="501"/>
      <c r="CT3071" s="501"/>
      <c r="CU3071" s="501"/>
      <c r="CV3071" s="501"/>
      <c r="CW3071" s="501"/>
      <c r="CX3071" s="501"/>
      <c r="CY3071" s="501"/>
      <c r="CZ3071" s="501"/>
      <c r="DA3071" s="501"/>
      <c r="DB3071" s="501"/>
      <c r="DC3071" s="501"/>
      <c r="DD3071" s="501"/>
      <c r="DE3071" s="501"/>
      <c r="DF3071" s="501"/>
      <c r="DG3071" s="501"/>
      <c r="DH3071" s="501"/>
      <c r="DI3071" s="501"/>
      <c r="DJ3071" s="501"/>
      <c r="DK3071" s="501"/>
      <c r="DL3071" s="501"/>
      <c r="DM3071" s="501"/>
      <c r="DN3071" s="501"/>
      <c r="DO3071" s="501"/>
      <c r="DP3071" s="501"/>
      <c r="DQ3071" s="501"/>
      <c r="DR3071" s="501"/>
      <c r="DS3071" s="501"/>
      <c r="DT3071" s="501"/>
      <c r="DU3071" s="501"/>
      <c r="DV3071" s="501"/>
      <c r="DW3071" s="501"/>
      <c r="DX3071" s="501"/>
      <c r="DY3071" s="501"/>
      <c r="DZ3071" s="501"/>
      <c r="EA3071" s="501"/>
      <c r="EB3071" s="501"/>
      <c r="EC3071" s="501"/>
      <c r="ED3071" s="501"/>
      <c r="EE3071" s="501"/>
      <c r="EF3071" s="501"/>
      <c r="EG3071" s="501"/>
      <c r="EH3071" s="501"/>
      <c r="EI3071" s="501"/>
      <c r="EJ3071" s="501"/>
      <c r="EK3071" s="501"/>
      <c r="EL3071" s="501"/>
      <c r="EM3071" s="501"/>
      <c r="EN3071" s="501"/>
      <c r="EO3071" s="501"/>
      <c r="EP3071" s="501"/>
      <c r="EQ3071" s="501"/>
      <c r="ER3071" s="501"/>
      <c r="ES3071" s="501"/>
      <c r="ET3071" s="501"/>
      <c r="EU3071" s="501"/>
      <c r="EV3071" s="501"/>
      <c r="EW3071" s="501"/>
      <c r="EX3071" s="501"/>
      <c r="EY3071" s="501"/>
      <c r="EZ3071" s="501"/>
      <c r="FA3071" s="501"/>
      <c r="FB3071" s="501"/>
      <c r="FC3071" s="501"/>
      <c r="FD3071" s="501"/>
      <c r="FE3071" s="501"/>
      <c r="FF3071" s="501"/>
      <c r="FG3071" s="501"/>
      <c r="FH3071" s="501"/>
      <c r="FI3071" s="501"/>
      <c r="FJ3071" s="501"/>
      <c r="FK3071" s="501"/>
      <c r="FL3071" s="501"/>
      <c r="FM3071" s="501"/>
      <c r="FN3071" s="501"/>
      <c r="FO3071" s="501"/>
      <c r="FP3071" s="501"/>
      <c r="FQ3071" s="501"/>
      <c r="FR3071" s="501"/>
      <c r="FS3071" s="501"/>
      <c r="FT3071" s="501"/>
      <c r="FU3071" s="501"/>
      <c r="FV3071" s="501"/>
      <c r="FW3071" s="501"/>
      <c r="FX3071" s="501"/>
      <c r="FY3071" s="501"/>
      <c r="FZ3071" s="501"/>
      <c r="GA3071" s="501"/>
      <c r="GB3071" s="501"/>
      <c r="GC3071" s="501"/>
      <c r="GD3071" s="501"/>
      <c r="GE3071" s="501"/>
      <c r="GF3071" s="501"/>
      <c r="GG3071" s="501"/>
      <c r="GH3071" s="501"/>
      <c r="GI3071" s="501"/>
      <c r="GJ3071" s="501"/>
      <c r="GK3071" s="501"/>
      <c r="GL3071" s="501"/>
      <c r="GM3071" s="501"/>
      <c r="GN3071" s="501"/>
      <c r="GO3071" s="501"/>
      <c r="GP3071" s="501"/>
      <c r="GQ3071" s="501"/>
      <c r="GR3071" s="501"/>
      <c r="GS3071" s="501"/>
      <c r="GT3071" s="501"/>
      <c r="GU3071" s="501"/>
      <c r="GV3071" s="501"/>
      <c r="GW3071" s="501"/>
      <c r="GX3071" s="501"/>
      <c r="GY3071" s="501"/>
      <c r="GZ3071" s="501"/>
      <c r="HA3071" s="501"/>
      <c r="HB3071" s="501"/>
      <c r="HC3071" s="501"/>
      <c r="HD3071" s="501"/>
      <c r="HE3071" s="501"/>
      <c r="HF3071" s="501"/>
      <c r="HG3071" s="501"/>
      <c r="HH3071" s="501"/>
      <c r="HI3071" s="501"/>
      <c r="HJ3071" s="501"/>
      <c r="HK3071" s="501"/>
      <c r="HL3071" s="501"/>
      <c r="HM3071" s="501"/>
      <c r="HN3071" s="501"/>
      <c r="HO3071" s="501"/>
      <c r="HP3071" s="501"/>
      <c r="HQ3071" s="501"/>
      <c r="HR3071" s="501"/>
      <c r="HS3071" s="501"/>
      <c r="HT3071" s="501"/>
      <c r="HU3071" s="501"/>
      <c r="HV3071" s="501"/>
      <c r="HW3071" s="501"/>
      <c r="HX3071" s="501"/>
      <c r="HY3071" s="501"/>
      <c r="HZ3071" s="501"/>
      <c r="IA3071" s="501"/>
      <c r="IB3071" s="501"/>
      <c r="IC3071" s="501"/>
      <c r="ID3071" s="501"/>
      <c r="IE3071" s="501"/>
      <c r="IF3071" s="501"/>
      <c r="IG3071" s="501"/>
      <c r="IH3071" s="501"/>
      <c r="II3071" s="501"/>
      <c r="IJ3071" s="501"/>
      <c r="IK3071" s="501"/>
      <c r="IL3071" s="501"/>
      <c r="IM3071" s="501"/>
      <c r="IN3071" s="501"/>
      <c r="IO3071" s="501"/>
      <c r="IP3071" s="501"/>
      <c r="IQ3071" s="501"/>
      <c r="IR3071" s="501"/>
      <c r="IS3071" s="501"/>
      <c r="IT3071" s="501"/>
      <c r="IU3071" s="501"/>
    </row>
    <row r="3072" spans="1:255" s="877" customFormat="1" ht="24" customHeight="1">
      <c r="A3072" s="501"/>
      <c r="B3072" s="501"/>
      <c r="C3072" s="501"/>
      <c r="D3072" s="501"/>
      <c r="E3072" s="501"/>
      <c r="F3072" s="968"/>
      <c r="G3072" s="1107"/>
      <c r="H3072" s="968"/>
      <c r="I3072" s="973"/>
      <c r="J3072" s="973"/>
      <c r="K3072" s="1097"/>
      <c r="L3072" s="974"/>
      <c r="M3072" s="1109"/>
      <c r="N3072" s="501"/>
      <c r="O3072" s="501"/>
      <c r="P3072" s="501"/>
      <c r="Q3072" s="501"/>
      <c r="R3072" s="501"/>
      <c r="S3072" s="501"/>
      <c r="T3072" s="501"/>
      <c r="V3072" s="501"/>
      <c r="W3072" s="501"/>
      <c r="X3072" s="501"/>
      <c r="Y3072" s="501"/>
      <c r="Z3072" s="501"/>
      <c r="AA3072" s="501"/>
      <c r="AB3072" s="501"/>
      <c r="AC3072" s="501"/>
      <c r="AD3072" s="501"/>
      <c r="AE3072" s="501"/>
      <c r="AF3072" s="501"/>
      <c r="AG3072" s="501"/>
      <c r="AH3072" s="501"/>
      <c r="AI3072" s="501"/>
      <c r="AJ3072" s="501"/>
      <c r="AK3072" s="501"/>
      <c r="AL3072" s="501"/>
      <c r="AM3072" s="501"/>
      <c r="AN3072" s="501"/>
      <c r="AO3072" s="501"/>
      <c r="AP3072" s="501"/>
      <c r="AQ3072" s="501"/>
      <c r="AR3072" s="501"/>
      <c r="AS3072" s="501"/>
      <c r="AT3072" s="501"/>
      <c r="AU3072" s="501"/>
      <c r="AV3072" s="501"/>
      <c r="AW3072" s="501"/>
      <c r="AX3072" s="501"/>
      <c r="AY3072" s="501"/>
      <c r="AZ3072" s="501"/>
      <c r="BA3072" s="501"/>
      <c r="BB3072" s="501"/>
      <c r="BC3072" s="501"/>
      <c r="BD3072" s="501"/>
      <c r="BE3072" s="501"/>
      <c r="BF3072" s="501"/>
      <c r="BG3072" s="501"/>
      <c r="BH3072" s="501"/>
      <c r="BI3072" s="501"/>
      <c r="BJ3072" s="501"/>
      <c r="BK3072" s="501"/>
      <c r="BL3072" s="501"/>
      <c r="BM3072" s="501"/>
      <c r="BN3072" s="501"/>
      <c r="BO3072" s="501"/>
      <c r="BP3072" s="501"/>
      <c r="BQ3072" s="501"/>
      <c r="BR3072" s="501"/>
      <c r="BS3072" s="501"/>
      <c r="BT3072" s="501"/>
      <c r="BU3072" s="501"/>
      <c r="BV3072" s="501"/>
      <c r="BW3072" s="501"/>
      <c r="BX3072" s="501"/>
      <c r="BY3072" s="501"/>
      <c r="BZ3072" s="501"/>
      <c r="CA3072" s="501"/>
      <c r="CB3072" s="501"/>
      <c r="CC3072" s="501"/>
      <c r="CD3072" s="501"/>
      <c r="CE3072" s="501"/>
      <c r="CF3072" s="501"/>
      <c r="CG3072" s="501"/>
      <c r="CH3072" s="501"/>
      <c r="CI3072" s="501"/>
      <c r="CJ3072" s="501"/>
      <c r="CK3072" s="501"/>
      <c r="CL3072" s="501"/>
      <c r="CM3072" s="501"/>
      <c r="CN3072" s="501"/>
      <c r="CO3072" s="501"/>
      <c r="CP3072" s="501"/>
      <c r="CQ3072" s="501"/>
      <c r="CR3072" s="501"/>
      <c r="CS3072" s="501"/>
      <c r="CT3072" s="501"/>
      <c r="CU3072" s="501"/>
      <c r="CV3072" s="501"/>
      <c r="CW3072" s="501"/>
      <c r="CX3072" s="501"/>
      <c r="CY3072" s="501"/>
      <c r="CZ3072" s="501"/>
      <c r="DA3072" s="501"/>
      <c r="DB3072" s="501"/>
      <c r="DC3072" s="501"/>
      <c r="DD3072" s="501"/>
      <c r="DE3072" s="501"/>
      <c r="DF3072" s="501"/>
      <c r="DG3072" s="501"/>
      <c r="DH3072" s="501"/>
      <c r="DI3072" s="501"/>
      <c r="DJ3072" s="501"/>
      <c r="DK3072" s="501"/>
      <c r="DL3072" s="501"/>
      <c r="DM3072" s="501"/>
      <c r="DN3072" s="501"/>
      <c r="DO3072" s="501"/>
      <c r="DP3072" s="501"/>
      <c r="DQ3072" s="501"/>
      <c r="DR3072" s="501"/>
      <c r="DS3072" s="501"/>
      <c r="DT3072" s="501"/>
      <c r="DU3072" s="501"/>
      <c r="DV3072" s="501"/>
      <c r="DW3072" s="501"/>
      <c r="DX3072" s="501"/>
      <c r="DY3072" s="501"/>
      <c r="DZ3072" s="501"/>
      <c r="EA3072" s="501"/>
      <c r="EB3072" s="501"/>
      <c r="EC3072" s="501"/>
      <c r="ED3072" s="501"/>
      <c r="EE3072" s="501"/>
      <c r="EF3072" s="501"/>
      <c r="EG3072" s="501"/>
      <c r="EH3072" s="501"/>
      <c r="EI3072" s="501"/>
      <c r="EJ3072" s="501"/>
      <c r="EK3072" s="501"/>
      <c r="EL3072" s="501"/>
      <c r="EM3072" s="501"/>
      <c r="EN3072" s="501"/>
      <c r="EO3072" s="501"/>
      <c r="EP3072" s="501"/>
      <c r="EQ3072" s="501"/>
      <c r="ER3072" s="501"/>
      <c r="ES3072" s="501"/>
      <c r="ET3072" s="501"/>
      <c r="EU3072" s="501"/>
      <c r="EV3072" s="501"/>
      <c r="EW3072" s="501"/>
      <c r="EX3072" s="501"/>
      <c r="EY3072" s="501"/>
      <c r="EZ3072" s="501"/>
      <c r="FA3072" s="501"/>
      <c r="FB3072" s="501"/>
      <c r="FC3072" s="501"/>
      <c r="FD3072" s="501"/>
      <c r="FE3072" s="501"/>
      <c r="FF3072" s="501"/>
      <c r="FG3072" s="501"/>
      <c r="FH3072" s="501"/>
      <c r="FI3072" s="501"/>
      <c r="FJ3072" s="501"/>
      <c r="FK3072" s="501"/>
      <c r="FL3072" s="501"/>
      <c r="FM3072" s="501"/>
      <c r="FN3072" s="501"/>
      <c r="FO3072" s="501"/>
      <c r="FP3072" s="501"/>
      <c r="FQ3072" s="501"/>
      <c r="FR3072" s="501"/>
      <c r="FS3072" s="501"/>
      <c r="FT3072" s="501"/>
      <c r="FU3072" s="501"/>
      <c r="FV3072" s="501"/>
      <c r="FW3072" s="501"/>
      <c r="FX3072" s="501"/>
      <c r="FY3072" s="501"/>
      <c r="FZ3072" s="501"/>
      <c r="GA3072" s="501"/>
      <c r="GB3072" s="501"/>
      <c r="GC3072" s="501"/>
      <c r="GD3072" s="501"/>
      <c r="GE3072" s="501"/>
      <c r="GF3072" s="501"/>
      <c r="GG3072" s="501"/>
      <c r="GH3072" s="501"/>
      <c r="GI3072" s="501"/>
      <c r="GJ3072" s="501"/>
      <c r="GK3072" s="501"/>
      <c r="GL3072" s="501"/>
      <c r="GM3072" s="501"/>
      <c r="GN3072" s="501"/>
      <c r="GO3072" s="501"/>
      <c r="GP3072" s="501"/>
      <c r="GQ3072" s="501"/>
      <c r="GR3072" s="501"/>
      <c r="GS3072" s="501"/>
      <c r="GT3072" s="501"/>
      <c r="GU3072" s="501"/>
      <c r="GV3072" s="501"/>
      <c r="GW3072" s="501"/>
      <c r="GX3072" s="501"/>
      <c r="GY3072" s="501"/>
      <c r="GZ3072" s="501"/>
      <c r="HA3072" s="501"/>
      <c r="HB3072" s="501"/>
      <c r="HC3072" s="501"/>
      <c r="HD3072" s="501"/>
      <c r="HE3072" s="501"/>
      <c r="HF3072" s="501"/>
      <c r="HG3072" s="501"/>
      <c r="HH3072" s="501"/>
      <c r="HI3072" s="501"/>
      <c r="HJ3072" s="501"/>
      <c r="HK3072" s="501"/>
      <c r="HL3072" s="501"/>
      <c r="HM3072" s="501"/>
      <c r="HN3072" s="501"/>
      <c r="HO3072" s="501"/>
      <c r="HP3072" s="501"/>
      <c r="HQ3072" s="501"/>
      <c r="HR3072" s="501"/>
      <c r="HS3072" s="501"/>
      <c r="HT3072" s="501"/>
      <c r="HU3072" s="501"/>
      <c r="HV3072" s="501"/>
      <c r="HW3072" s="501"/>
      <c r="HX3072" s="501"/>
      <c r="HY3072" s="501"/>
      <c r="HZ3072" s="501"/>
      <c r="IA3072" s="501"/>
      <c r="IB3072" s="501"/>
      <c r="IC3072" s="501"/>
      <c r="ID3072" s="501"/>
      <c r="IE3072" s="501"/>
      <c r="IF3072" s="501"/>
      <c r="IG3072" s="501"/>
      <c r="IH3072" s="501"/>
      <c r="II3072" s="501"/>
      <c r="IJ3072" s="501"/>
      <c r="IK3072" s="501"/>
      <c r="IL3072" s="501"/>
      <c r="IM3072" s="501"/>
      <c r="IN3072" s="501"/>
      <c r="IO3072" s="501"/>
      <c r="IP3072" s="501"/>
      <c r="IQ3072" s="501"/>
      <c r="IR3072" s="501"/>
      <c r="IS3072" s="501"/>
      <c r="IT3072" s="501"/>
      <c r="IU3072" s="501"/>
    </row>
    <row r="3073" spans="1:255" s="877" customFormat="1" ht="24" customHeight="1">
      <c r="A3073" s="501"/>
      <c r="B3073" s="501"/>
      <c r="C3073" s="501"/>
      <c r="D3073" s="501"/>
      <c r="E3073" s="501"/>
      <c r="F3073" s="968"/>
      <c r="G3073" s="1107"/>
      <c r="H3073" s="968"/>
      <c r="I3073" s="973"/>
      <c r="J3073" s="973"/>
      <c r="K3073" s="1097"/>
      <c r="L3073" s="974"/>
      <c r="M3073" s="1109"/>
      <c r="N3073" s="501"/>
      <c r="O3073" s="501"/>
      <c r="P3073" s="501"/>
      <c r="Q3073" s="501"/>
      <c r="R3073" s="501"/>
      <c r="S3073" s="501"/>
      <c r="T3073" s="501"/>
      <c r="V3073" s="501"/>
      <c r="W3073" s="501"/>
      <c r="X3073" s="501"/>
      <c r="Y3073" s="501"/>
      <c r="Z3073" s="501"/>
      <c r="AA3073" s="501"/>
      <c r="AB3073" s="501"/>
      <c r="AC3073" s="501"/>
      <c r="AD3073" s="501"/>
      <c r="AE3073" s="501"/>
      <c r="AF3073" s="501"/>
      <c r="AG3073" s="501"/>
      <c r="AH3073" s="501"/>
      <c r="AI3073" s="501"/>
      <c r="AJ3073" s="501"/>
      <c r="AK3073" s="501"/>
      <c r="AL3073" s="501"/>
      <c r="AM3073" s="501"/>
      <c r="AN3073" s="501"/>
      <c r="AO3073" s="501"/>
      <c r="AP3073" s="501"/>
      <c r="AQ3073" s="501"/>
      <c r="AR3073" s="501"/>
      <c r="AS3073" s="501"/>
      <c r="AT3073" s="501"/>
      <c r="AU3073" s="501"/>
      <c r="AV3073" s="501"/>
      <c r="AW3073" s="501"/>
      <c r="AX3073" s="501"/>
      <c r="AY3073" s="501"/>
      <c r="AZ3073" s="501"/>
      <c r="BA3073" s="501"/>
      <c r="BB3073" s="501"/>
      <c r="BC3073" s="501"/>
      <c r="BD3073" s="501"/>
      <c r="BE3073" s="501"/>
      <c r="BF3073" s="501"/>
      <c r="BG3073" s="501"/>
      <c r="BH3073" s="501"/>
      <c r="BI3073" s="501"/>
      <c r="BJ3073" s="501"/>
      <c r="BK3073" s="501"/>
      <c r="BL3073" s="501"/>
      <c r="BM3073" s="501"/>
      <c r="BN3073" s="501"/>
      <c r="BO3073" s="501"/>
      <c r="BP3073" s="501"/>
      <c r="BQ3073" s="501"/>
      <c r="BR3073" s="501"/>
      <c r="BS3073" s="501"/>
      <c r="BT3073" s="501"/>
      <c r="BU3073" s="501"/>
      <c r="BV3073" s="501"/>
      <c r="BW3073" s="501"/>
      <c r="BX3073" s="501"/>
      <c r="BY3073" s="501"/>
      <c r="BZ3073" s="501"/>
      <c r="CA3073" s="501"/>
      <c r="CB3073" s="501"/>
      <c r="CC3073" s="501"/>
      <c r="CD3073" s="501"/>
      <c r="CE3073" s="501"/>
      <c r="CF3073" s="501"/>
      <c r="CG3073" s="501"/>
      <c r="CH3073" s="501"/>
      <c r="CI3073" s="501"/>
      <c r="CJ3073" s="501"/>
      <c r="CK3073" s="501"/>
      <c r="CL3073" s="501"/>
      <c r="CM3073" s="501"/>
      <c r="CN3073" s="501"/>
      <c r="CO3073" s="501"/>
      <c r="CP3073" s="501"/>
      <c r="CQ3073" s="501"/>
      <c r="CR3073" s="501"/>
      <c r="CS3073" s="501"/>
      <c r="CT3073" s="501"/>
      <c r="CU3073" s="501"/>
      <c r="CV3073" s="501"/>
      <c r="CW3073" s="501"/>
      <c r="CX3073" s="501"/>
      <c r="CY3073" s="501"/>
      <c r="CZ3073" s="501"/>
      <c r="DA3073" s="501"/>
      <c r="DB3073" s="501"/>
      <c r="DC3073" s="501"/>
      <c r="DD3073" s="501"/>
      <c r="DE3073" s="501"/>
      <c r="DF3073" s="501"/>
      <c r="DG3073" s="501"/>
      <c r="DH3073" s="501"/>
      <c r="DI3073" s="501"/>
      <c r="DJ3073" s="501"/>
      <c r="DK3073" s="501"/>
      <c r="DL3073" s="501"/>
      <c r="DM3073" s="501"/>
      <c r="DN3073" s="501"/>
      <c r="DO3073" s="501"/>
      <c r="DP3073" s="501"/>
      <c r="DQ3073" s="501"/>
      <c r="DR3073" s="501"/>
      <c r="DS3073" s="501"/>
      <c r="DT3073" s="501"/>
      <c r="DU3073" s="501"/>
      <c r="DV3073" s="501"/>
      <c r="DW3073" s="501"/>
      <c r="DX3073" s="501"/>
      <c r="DY3073" s="501"/>
      <c r="DZ3073" s="501"/>
      <c r="EA3073" s="501"/>
      <c r="EB3073" s="501"/>
      <c r="EC3073" s="501"/>
      <c r="ED3073" s="501"/>
      <c r="EE3073" s="501"/>
      <c r="EF3073" s="501"/>
      <c r="EG3073" s="501"/>
      <c r="EH3073" s="501"/>
      <c r="EI3073" s="501"/>
      <c r="EJ3073" s="501"/>
      <c r="EK3073" s="501"/>
      <c r="EL3073" s="501"/>
      <c r="EM3073" s="501"/>
      <c r="EN3073" s="501"/>
      <c r="EO3073" s="501"/>
      <c r="EP3073" s="501"/>
      <c r="EQ3073" s="501"/>
      <c r="ER3073" s="501"/>
      <c r="ES3073" s="501"/>
      <c r="ET3073" s="501"/>
      <c r="EU3073" s="501"/>
      <c r="EV3073" s="501"/>
      <c r="EW3073" s="501"/>
      <c r="EX3073" s="501"/>
      <c r="EY3073" s="501"/>
      <c r="EZ3073" s="501"/>
      <c r="FA3073" s="501"/>
      <c r="FB3073" s="501"/>
      <c r="FC3073" s="501"/>
      <c r="FD3073" s="501"/>
      <c r="FE3073" s="501"/>
      <c r="FF3073" s="501"/>
      <c r="FG3073" s="501"/>
      <c r="FH3073" s="501"/>
      <c r="FI3073" s="501"/>
      <c r="FJ3073" s="501"/>
      <c r="FK3073" s="501"/>
      <c r="FL3073" s="501"/>
      <c r="FM3073" s="501"/>
      <c r="FN3073" s="501"/>
      <c r="FO3073" s="501"/>
      <c r="FP3073" s="501"/>
      <c r="FQ3073" s="501"/>
      <c r="FR3073" s="501"/>
      <c r="FS3073" s="501"/>
      <c r="FT3073" s="501"/>
      <c r="FU3073" s="501"/>
      <c r="FV3073" s="501"/>
      <c r="FW3073" s="501"/>
      <c r="FX3073" s="501"/>
      <c r="FY3073" s="501"/>
      <c r="FZ3073" s="501"/>
      <c r="GA3073" s="501"/>
      <c r="GB3073" s="501"/>
      <c r="GC3073" s="501"/>
      <c r="GD3073" s="501"/>
      <c r="GE3073" s="501"/>
      <c r="GF3073" s="501"/>
      <c r="GG3073" s="501"/>
      <c r="GH3073" s="501"/>
      <c r="GI3073" s="501"/>
      <c r="GJ3073" s="501"/>
      <c r="GK3073" s="501"/>
      <c r="GL3073" s="501"/>
      <c r="GM3073" s="501"/>
      <c r="GN3073" s="501"/>
      <c r="GO3073" s="501"/>
      <c r="GP3073" s="501"/>
      <c r="GQ3073" s="501"/>
      <c r="GR3073" s="501"/>
      <c r="GS3073" s="501"/>
      <c r="GT3073" s="501"/>
      <c r="GU3073" s="501"/>
      <c r="GV3073" s="501"/>
      <c r="GW3073" s="501"/>
      <c r="GX3073" s="501"/>
      <c r="GY3073" s="501"/>
      <c r="GZ3073" s="501"/>
      <c r="HA3073" s="501"/>
      <c r="HB3073" s="501"/>
      <c r="HC3073" s="501"/>
      <c r="HD3073" s="501"/>
      <c r="HE3073" s="501"/>
      <c r="HF3073" s="501"/>
      <c r="HG3073" s="501"/>
      <c r="HH3073" s="501"/>
      <c r="HI3073" s="501"/>
      <c r="HJ3073" s="501"/>
      <c r="HK3073" s="501"/>
      <c r="HL3073" s="501"/>
      <c r="HM3073" s="501"/>
      <c r="HN3073" s="501"/>
      <c r="HO3073" s="501"/>
      <c r="HP3073" s="501"/>
      <c r="HQ3073" s="501"/>
      <c r="HR3073" s="501"/>
      <c r="HS3073" s="501"/>
      <c r="HT3073" s="501"/>
      <c r="HU3073" s="501"/>
      <c r="HV3073" s="501"/>
      <c r="HW3073" s="501"/>
      <c r="HX3073" s="501"/>
      <c r="HY3073" s="501"/>
      <c r="HZ3073" s="501"/>
      <c r="IA3073" s="501"/>
      <c r="IB3073" s="501"/>
      <c r="IC3073" s="501"/>
      <c r="ID3073" s="501"/>
      <c r="IE3073" s="501"/>
      <c r="IF3073" s="501"/>
      <c r="IG3073" s="501"/>
      <c r="IH3073" s="501"/>
      <c r="II3073" s="501"/>
      <c r="IJ3073" s="501"/>
      <c r="IK3073" s="501"/>
      <c r="IL3073" s="501"/>
      <c r="IM3073" s="501"/>
      <c r="IN3073" s="501"/>
      <c r="IO3073" s="501"/>
      <c r="IP3073" s="501"/>
      <c r="IQ3073" s="501"/>
      <c r="IR3073" s="501"/>
      <c r="IS3073" s="501"/>
      <c r="IT3073" s="501"/>
      <c r="IU3073" s="501"/>
    </row>
    <row r="3074" spans="1:255" s="877" customFormat="1" ht="24" customHeight="1">
      <c r="A3074" s="501"/>
      <c r="B3074" s="501"/>
      <c r="C3074" s="501"/>
      <c r="D3074" s="501"/>
      <c r="E3074" s="501"/>
      <c r="F3074" s="968"/>
      <c r="G3074" s="1107"/>
      <c r="H3074" s="968"/>
      <c r="I3074" s="973"/>
      <c r="J3074" s="973"/>
      <c r="K3074" s="1097"/>
      <c r="L3074" s="974"/>
      <c r="M3074" s="1109"/>
      <c r="N3074" s="501"/>
      <c r="O3074" s="501"/>
      <c r="P3074" s="501"/>
      <c r="Q3074" s="501"/>
      <c r="R3074" s="501"/>
      <c r="S3074" s="501"/>
      <c r="T3074" s="501"/>
      <c r="V3074" s="501"/>
      <c r="W3074" s="501"/>
      <c r="X3074" s="501"/>
      <c r="Y3074" s="501"/>
      <c r="Z3074" s="501"/>
      <c r="AA3074" s="501"/>
      <c r="AB3074" s="501"/>
      <c r="AC3074" s="501"/>
      <c r="AD3074" s="501"/>
      <c r="AE3074" s="501"/>
      <c r="AF3074" s="501"/>
      <c r="AG3074" s="501"/>
      <c r="AH3074" s="501"/>
      <c r="AI3074" s="501"/>
      <c r="AJ3074" s="501"/>
      <c r="AK3074" s="501"/>
      <c r="AL3074" s="501"/>
      <c r="AM3074" s="501"/>
      <c r="AN3074" s="501"/>
      <c r="AO3074" s="501"/>
      <c r="AP3074" s="501"/>
      <c r="AQ3074" s="501"/>
      <c r="AR3074" s="501"/>
      <c r="AS3074" s="501"/>
      <c r="AT3074" s="501"/>
      <c r="AU3074" s="501"/>
      <c r="AV3074" s="501"/>
      <c r="AW3074" s="501"/>
      <c r="AX3074" s="501"/>
      <c r="AY3074" s="501"/>
      <c r="AZ3074" s="501"/>
      <c r="BA3074" s="501"/>
      <c r="BB3074" s="501"/>
      <c r="BC3074" s="501"/>
      <c r="BD3074" s="501"/>
      <c r="BE3074" s="501"/>
      <c r="BF3074" s="501"/>
      <c r="BG3074" s="501"/>
      <c r="BH3074" s="501"/>
      <c r="BI3074" s="501"/>
      <c r="BJ3074" s="501"/>
      <c r="BK3074" s="501"/>
      <c r="BL3074" s="501"/>
      <c r="BM3074" s="501"/>
      <c r="BN3074" s="501"/>
      <c r="BO3074" s="501"/>
      <c r="BP3074" s="501"/>
      <c r="BQ3074" s="501"/>
      <c r="BR3074" s="501"/>
      <c r="BS3074" s="501"/>
      <c r="BT3074" s="501"/>
      <c r="BU3074" s="501"/>
      <c r="BV3074" s="501"/>
      <c r="BW3074" s="501"/>
      <c r="BX3074" s="501"/>
      <c r="BY3074" s="501"/>
      <c r="BZ3074" s="501"/>
      <c r="CA3074" s="501"/>
      <c r="CB3074" s="501"/>
      <c r="CC3074" s="501"/>
      <c r="CD3074" s="501"/>
      <c r="CE3074" s="501"/>
      <c r="CF3074" s="501"/>
      <c r="CG3074" s="501"/>
      <c r="CH3074" s="501"/>
      <c r="CI3074" s="501"/>
      <c r="CJ3074" s="501"/>
      <c r="CK3074" s="501"/>
      <c r="CL3074" s="501"/>
      <c r="CM3074" s="501"/>
      <c r="CN3074" s="501"/>
      <c r="CO3074" s="501"/>
      <c r="CP3074" s="501"/>
      <c r="CQ3074" s="501"/>
      <c r="CR3074" s="501"/>
      <c r="CS3074" s="501"/>
      <c r="CT3074" s="501"/>
      <c r="CU3074" s="501"/>
      <c r="CV3074" s="501"/>
      <c r="CW3074" s="501"/>
      <c r="CX3074" s="501"/>
      <c r="CY3074" s="501"/>
      <c r="CZ3074" s="501"/>
      <c r="DA3074" s="501"/>
      <c r="DB3074" s="501"/>
      <c r="DC3074" s="501"/>
      <c r="DD3074" s="501"/>
      <c r="DE3074" s="501"/>
      <c r="DF3074" s="501"/>
      <c r="DG3074" s="501"/>
      <c r="DH3074" s="501"/>
      <c r="DI3074" s="501"/>
      <c r="DJ3074" s="501"/>
      <c r="DK3074" s="501"/>
      <c r="DL3074" s="501"/>
      <c r="DM3074" s="501"/>
      <c r="DN3074" s="501"/>
      <c r="DO3074" s="501"/>
      <c r="DP3074" s="501"/>
      <c r="DQ3074" s="501"/>
      <c r="DR3074" s="501"/>
      <c r="DS3074" s="501"/>
      <c r="DT3074" s="501"/>
      <c r="DU3074" s="501"/>
      <c r="DV3074" s="501"/>
      <c r="DW3074" s="501"/>
      <c r="DX3074" s="501"/>
      <c r="DY3074" s="501"/>
      <c r="DZ3074" s="501"/>
      <c r="EA3074" s="501"/>
      <c r="EB3074" s="501"/>
      <c r="EC3074" s="501"/>
      <c r="ED3074" s="501"/>
      <c r="EE3074" s="501"/>
      <c r="EF3074" s="501"/>
      <c r="EG3074" s="501"/>
      <c r="EH3074" s="501"/>
      <c r="EI3074" s="501"/>
      <c r="EJ3074" s="501"/>
      <c r="EK3074" s="501"/>
      <c r="EL3074" s="501"/>
      <c r="EM3074" s="501"/>
      <c r="EN3074" s="501"/>
      <c r="EO3074" s="501"/>
      <c r="EP3074" s="501"/>
      <c r="EQ3074" s="501"/>
      <c r="ER3074" s="501"/>
      <c r="ES3074" s="501"/>
      <c r="ET3074" s="501"/>
      <c r="EU3074" s="501"/>
      <c r="EV3074" s="501"/>
      <c r="EW3074" s="501"/>
      <c r="EX3074" s="501"/>
      <c r="EY3074" s="501"/>
      <c r="EZ3074" s="501"/>
      <c r="FA3074" s="501"/>
      <c r="FB3074" s="501"/>
      <c r="FC3074" s="501"/>
      <c r="FD3074" s="501"/>
      <c r="FE3074" s="501"/>
      <c r="FF3074" s="501"/>
      <c r="FG3074" s="501"/>
      <c r="FH3074" s="501"/>
      <c r="FI3074" s="501"/>
      <c r="FJ3074" s="501"/>
      <c r="FK3074" s="501"/>
      <c r="FL3074" s="501"/>
      <c r="FM3074" s="501"/>
      <c r="FN3074" s="501"/>
      <c r="FO3074" s="501"/>
      <c r="FP3074" s="501"/>
      <c r="FQ3074" s="501"/>
      <c r="FR3074" s="501"/>
      <c r="FS3074" s="501"/>
      <c r="FT3074" s="501"/>
      <c r="FU3074" s="501"/>
      <c r="FV3074" s="501"/>
      <c r="FW3074" s="501"/>
      <c r="FX3074" s="501"/>
      <c r="FY3074" s="501"/>
      <c r="FZ3074" s="501"/>
      <c r="GA3074" s="501"/>
      <c r="GB3074" s="501"/>
      <c r="GC3074" s="501"/>
      <c r="GD3074" s="501"/>
      <c r="GE3074" s="501"/>
      <c r="GF3074" s="501"/>
      <c r="GG3074" s="501"/>
      <c r="GH3074" s="501"/>
      <c r="GI3074" s="501"/>
      <c r="GJ3074" s="501"/>
      <c r="GK3074" s="501"/>
      <c r="GL3074" s="501"/>
      <c r="GM3074" s="501"/>
      <c r="GN3074" s="501"/>
      <c r="GO3074" s="501"/>
      <c r="GP3074" s="501"/>
      <c r="GQ3074" s="501"/>
      <c r="GR3074" s="501"/>
      <c r="GS3074" s="501"/>
      <c r="GT3074" s="501"/>
      <c r="GU3074" s="501"/>
      <c r="GV3074" s="501"/>
      <c r="GW3074" s="501"/>
      <c r="GX3074" s="501"/>
      <c r="GY3074" s="501"/>
      <c r="GZ3074" s="501"/>
      <c r="HA3074" s="501"/>
      <c r="HB3074" s="501"/>
      <c r="HC3074" s="501"/>
      <c r="HD3074" s="501"/>
      <c r="HE3074" s="501"/>
      <c r="HF3074" s="501"/>
      <c r="HG3074" s="501"/>
      <c r="HH3074" s="501"/>
      <c r="HI3074" s="501"/>
      <c r="HJ3074" s="501"/>
      <c r="HK3074" s="501"/>
      <c r="HL3074" s="501"/>
      <c r="HM3074" s="501"/>
      <c r="HN3074" s="501"/>
      <c r="HO3074" s="501"/>
      <c r="HP3074" s="501"/>
      <c r="HQ3074" s="501"/>
      <c r="HR3074" s="501"/>
      <c r="HS3074" s="501"/>
      <c r="HT3074" s="501"/>
      <c r="HU3074" s="501"/>
      <c r="HV3074" s="501"/>
      <c r="HW3074" s="501"/>
      <c r="HX3074" s="501"/>
      <c r="HY3074" s="501"/>
      <c r="HZ3074" s="501"/>
      <c r="IA3074" s="501"/>
      <c r="IB3074" s="501"/>
      <c r="IC3074" s="501"/>
      <c r="ID3074" s="501"/>
      <c r="IE3074" s="501"/>
      <c r="IF3074" s="501"/>
      <c r="IG3074" s="501"/>
      <c r="IH3074" s="501"/>
      <c r="II3074" s="501"/>
      <c r="IJ3074" s="501"/>
      <c r="IK3074" s="501"/>
      <c r="IL3074" s="501"/>
      <c r="IM3074" s="501"/>
      <c r="IN3074" s="501"/>
      <c r="IO3074" s="501"/>
      <c r="IP3074" s="501"/>
      <c r="IQ3074" s="501"/>
      <c r="IR3074" s="501"/>
      <c r="IS3074" s="501"/>
      <c r="IT3074" s="501"/>
      <c r="IU3074" s="501"/>
    </row>
    <row r="3075" spans="1:255" s="877" customFormat="1" ht="24" customHeight="1">
      <c r="A3075" s="501"/>
      <c r="B3075" s="501"/>
      <c r="C3075" s="501"/>
      <c r="D3075" s="501"/>
      <c r="E3075" s="501"/>
      <c r="F3075" s="968"/>
      <c r="G3075" s="1107"/>
      <c r="H3075" s="968"/>
      <c r="I3075" s="973"/>
      <c r="J3075" s="973"/>
      <c r="K3075" s="1097"/>
      <c r="L3075" s="974"/>
      <c r="M3075" s="1109"/>
      <c r="N3075" s="501"/>
      <c r="O3075" s="501"/>
      <c r="P3075" s="501"/>
      <c r="Q3075" s="501"/>
      <c r="R3075" s="501"/>
      <c r="S3075" s="501"/>
      <c r="T3075" s="501"/>
      <c r="V3075" s="501"/>
      <c r="W3075" s="501"/>
      <c r="X3075" s="501"/>
      <c r="Y3075" s="501"/>
      <c r="Z3075" s="501"/>
      <c r="AA3075" s="501"/>
      <c r="AB3075" s="501"/>
      <c r="AC3075" s="501"/>
      <c r="AD3075" s="501"/>
      <c r="AE3075" s="501"/>
      <c r="AF3075" s="501"/>
      <c r="AG3075" s="501"/>
      <c r="AH3075" s="501"/>
      <c r="AI3075" s="501"/>
      <c r="AJ3075" s="501"/>
      <c r="AK3075" s="501"/>
      <c r="AL3075" s="501"/>
      <c r="AM3075" s="501"/>
      <c r="AN3075" s="501"/>
      <c r="AO3075" s="501"/>
      <c r="AP3075" s="501"/>
      <c r="AQ3075" s="501"/>
      <c r="AR3075" s="501"/>
      <c r="AS3075" s="501"/>
      <c r="AT3075" s="501"/>
      <c r="AU3075" s="501"/>
      <c r="AV3075" s="501"/>
      <c r="AW3075" s="501"/>
      <c r="AX3075" s="501"/>
      <c r="AY3075" s="501"/>
      <c r="AZ3075" s="501"/>
      <c r="BA3075" s="501"/>
      <c r="BB3075" s="501"/>
      <c r="BC3075" s="501"/>
      <c r="BD3075" s="501"/>
      <c r="BE3075" s="501"/>
      <c r="BF3075" s="501"/>
      <c r="BG3075" s="501"/>
      <c r="BH3075" s="501"/>
      <c r="BI3075" s="501"/>
      <c r="BJ3075" s="501"/>
      <c r="BK3075" s="501"/>
      <c r="BL3075" s="501"/>
      <c r="BM3075" s="501"/>
      <c r="BN3075" s="501"/>
      <c r="BO3075" s="501"/>
      <c r="BP3075" s="501"/>
      <c r="BQ3075" s="501"/>
      <c r="BR3075" s="501"/>
      <c r="BS3075" s="501"/>
      <c r="BT3075" s="501"/>
      <c r="BU3075" s="501"/>
      <c r="BV3075" s="501"/>
      <c r="BW3075" s="501"/>
      <c r="BX3075" s="501"/>
      <c r="BY3075" s="501"/>
      <c r="BZ3075" s="501"/>
      <c r="CA3075" s="501"/>
      <c r="CB3075" s="501"/>
      <c r="CC3075" s="501"/>
      <c r="CD3075" s="501"/>
      <c r="CE3075" s="501"/>
      <c r="CF3075" s="501"/>
      <c r="CG3075" s="501"/>
      <c r="CH3075" s="501"/>
      <c r="CI3075" s="501"/>
      <c r="CJ3075" s="501"/>
      <c r="CK3075" s="501"/>
      <c r="CL3075" s="501"/>
      <c r="CM3075" s="501"/>
      <c r="CN3075" s="501"/>
      <c r="CO3075" s="501"/>
      <c r="CP3075" s="501"/>
      <c r="CQ3075" s="501"/>
      <c r="CR3075" s="501"/>
      <c r="CS3075" s="501"/>
      <c r="CT3075" s="501"/>
      <c r="CU3075" s="501"/>
      <c r="CV3075" s="501"/>
      <c r="CW3075" s="501"/>
      <c r="CX3075" s="501"/>
      <c r="CY3075" s="501"/>
      <c r="CZ3075" s="501"/>
      <c r="DA3075" s="501"/>
      <c r="DB3075" s="501"/>
      <c r="DC3075" s="501"/>
      <c r="DD3075" s="501"/>
      <c r="DE3075" s="501"/>
      <c r="DF3075" s="501"/>
      <c r="DG3075" s="501"/>
      <c r="DH3075" s="501"/>
      <c r="DI3075" s="501"/>
      <c r="DJ3075" s="501"/>
      <c r="DK3075" s="501"/>
      <c r="DL3075" s="501"/>
      <c r="DM3075" s="501"/>
      <c r="DN3075" s="501"/>
      <c r="DO3075" s="501"/>
      <c r="DP3075" s="501"/>
      <c r="DQ3075" s="501"/>
      <c r="DR3075" s="501"/>
      <c r="DS3075" s="501"/>
      <c r="DT3075" s="501"/>
      <c r="DU3075" s="501"/>
      <c r="DV3075" s="501"/>
      <c r="DW3075" s="501"/>
      <c r="DX3075" s="501"/>
      <c r="DY3075" s="501"/>
      <c r="DZ3075" s="501"/>
      <c r="EA3075" s="501"/>
      <c r="EB3075" s="501"/>
      <c r="EC3075" s="501"/>
      <c r="ED3075" s="501"/>
      <c r="EE3075" s="501"/>
      <c r="EF3075" s="501"/>
      <c r="EG3075" s="501"/>
      <c r="EH3075" s="501"/>
      <c r="EI3075" s="501"/>
      <c r="EJ3075" s="501"/>
      <c r="EK3075" s="501"/>
      <c r="EL3075" s="501"/>
      <c r="EM3075" s="501"/>
      <c r="EN3075" s="501"/>
      <c r="EO3075" s="501"/>
      <c r="EP3075" s="501"/>
      <c r="EQ3075" s="501"/>
      <c r="ER3075" s="501"/>
      <c r="ES3075" s="501"/>
      <c r="ET3075" s="501"/>
      <c r="EU3075" s="501"/>
      <c r="EV3075" s="501"/>
      <c r="EW3075" s="501"/>
      <c r="EX3075" s="501"/>
      <c r="EY3075" s="501"/>
      <c r="EZ3075" s="501"/>
      <c r="FA3075" s="501"/>
      <c r="FB3075" s="501"/>
      <c r="FC3075" s="501"/>
      <c r="FD3075" s="501"/>
      <c r="FE3075" s="501"/>
      <c r="FF3075" s="501"/>
      <c r="FG3075" s="501"/>
      <c r="FH3075" s="501"/>
      <c r="FI3075" s="501"/>
      <c r="FJ3075" s="501"/>
      <c r="FK3075" s="501"/>
      <c r="FL3075" s="501"/>
      <c r="FM3075" s="501"/>
      <c r="FN3075" s="501"/>
      <c r="FO3075" s="501"/>
      <c r="FP3075" s="501"/>
      <c r="FQ3075" s="501"/>
      <c r="FR3075" s="501"/>
      <c r="FS3075" s="501"/>
      <c r="FT3075" s="501"/>
      <c r="FU3075" s="501"/>
      <c r="FV3075" s="501"/>
      <c r="FW3075" s="501"/>
      <c r="FX3075" s="501"/>
      <c r="FY3075" s="501"/>
      <c r="FZ3075" s="501"/>
      <c r="GA3075" s="501"/>
      <c r="GB3075" s="501"/>
      <c r="GC3075" s="501"/>
      <c r="GD3075" s="501"/>
      <c r="GE3075" s="501"/>
      <c r="GF3075" s="501"/>
      <c r="GG3075" s="501"/>
      <c r="GH3075" s="501"/>
      <c r="GI3075" s="501"/>
      <c r="GJ3075" s="501"/>
      <c r="GK3075" s="501"/>
      <c r="GL3075" s="501"/>
      <c r="GM3075" s="501"/>
      <c r="GN3075" s="501"/>
      <c r="GO3075" s="501"/>
      <c r="GP3075" s="501"/>
      <c r="GQ3075" s="501"/>
      <c r="GR3075" s="501"/>
      <c r="GS3075" s="501"/>
      <c r="GT3075" s="501"/>
      <c r="GU3075" s="501"/>
      <c r="GV3075" s="501"/>
      <c r="GW3075" s="501"/>
      <c r="GX3075" s="501"/>
      <c r="GY3075" s="501"/>
      <c r="GZ3075" s="501"/>
      <c r="HA3075" s="501"/>
      <c r="HB3075" s="501"/>
      <c r="HC3075" s="501"/>
      <c r="HD3075" s="501"/>
      <c r="HE3075" s="501"/>
      <c r="HF3075" s="501"/>
      <c r="HG3075" s="501"/>
      <c r="HH3075" s="501"/>
      <c r="HI3075" s="501"/>
      <c r="HJ3075" s="501"/>
      <c r="HK3075" s="501"/>
      <c r="HL3075" s="501"/>
      <c r="HM3075" s="501"/>
      <c r="HN3075" s="501"/>
      <c r="HO3075" s="501"/>
      <c r="HP3075" s="501"/>
      <c r="HQ3075" s="501"/>
      <c r="HR3075" s="501"/>
      <c r="HS3075" s="501"/>
      <c r="HT3075" s="501"/>
      <c r="HU3075" s="501"/>
      <c r="HV3075" s="501"/>
      <c r="HW3075" s="501"/>
      <c r="HX3075" s="501"/>
      <c r="HY3075" s="501"/>
      <c r="HZ3075" s="501"/>
      <c r="IA3075" s="501"/>
      <c r="IB3075" s="501"/>
      <c r="IC3075" s="501"/>
      <c r="ID3075" s="501"/>
      <c r="IE3075" s="501"/>
      <c r="IF3075" s="501"/>
      <c r="IG3075" s="501"/>
      <c r="IH3075" s="501"/>
      <c r="II3075" s="501"/>
      <c r="IJ3075" s="501"/>
      <c r="IK3075" s="501"/>
      <c r="IL3075" s="501"/>
      <c r="IM3075" s="501"/>
      <c r="IN3075" s="501"/>
      <c r="IO3075" s="501"/>
      <c r="IP3075" s="501"/>
      <c r="IQ3075" s="501"/>
      <c r="IR3075" s="501"/>
      <c r="IS3075" s="501"/>
      <c r="IT3075" s="501"/>
      <c r="IU3075" s="501"/>
    </row>
    <row r="3076" spans="1:255" s="877" customFormat="1" ht="24" customHeight="1">
      <c r="A3076" s="501"/>
      <c r="B3076" s="501"/>
      <c r="C3076" s="501"/>
      <c r="D3076" s="501"/>
      <c r="E3076" s="501"/>
      <c r="F3076" s="1097"/>
      <c r="G3076" s="1098"/>
      <c r="H3076" s="1097"/>
      <c r="I3076" s="1099"/>
      <c r="J3076" s="1097"/>
      <c r="K3076" s="1097"/>
      <c r="L3076" s="1101"/>
      <c r="M3076" s="1109"/>
      <c r="N3076" s="501"/>
      <c r="O3076" s="501"/>
      <c r="P3076" s="501"/>
      <c r="Q3076" s="501"/>
      <c r="R3076" s="501"/>
      <c r="S3076" s="501"/>
      <c r="T3076" s="501"/>
      <c r="V3076" s="501"/>
      <c r="W3076" s="501"/>
      <c r="X3076" s="501"/>
      <c r="Y3076" s="501"/>
      <c r="Z3076" s="501"/>
      <c r="AA3076" s="501"/>
      <c r="AB3076" s="501"/>
      <c r="AC3076" s="501"/>
      <c r="AD3076" s="501"/>
      <c r="AE3076" s="501"/>
      <c r="AF3076" s="501"/>
      <c r="AG3076" s="501"/>
      <c r="AH3076" s="501"/>
      <c r="AI3076" s="501"/>
      <c r="AJ3076" s="501"/>
      <c r="AK3076" s="501"/>
      <c r="AL3076" s="501"/>
      <c r="AM3076" s="501"/>
      <c r="AN3076" s="501"/>
      <c r="AO3076" s="501"/>
      <c r="AP3076" s="501"/>
      <c r="AQ3076" s="501"/>
      <c r="AR3076" s="501"/>
      <c r="AS3076" s="501"/>
      <c r="AT3076" s="501"/>
      <c r="AU3076" s="501"/>
      <c r="AV3076" s="501"/>
      <c r="AW3076" s="501"/>
      <c r="AX3076" s="501"/>
      <c r="AY3076" s="501"/>
      <c r="AZ3076" s="501"/>
      <c r="BA3076" s="501"/>
      <c r="BB3076" s="501"/>
      <c r="BC3076" s="501"/>
      <c r="BD3076" s="501"/>
      <c r="BE3076" s="501"/>
      <c r="BF3076" s="501"/>
      <c r="BG3076" s="501"/>
      <c r="BH3076" s="501"/>
      <c r="BI3076" s="501"/>
      <c r="BJ3076" s="501"/>
      <c r="BK3076" s="501"/>
      <c r="BL3076" s="501"/>
      <c r="BM3076" s="501"/>
      <c r="BN3076" s="501"/>
      <c r="BO3076" s="501"/>
      <c r="BP3076" s="501"/>
      <c r="BQ3076" s="501"/>
      <c r="BR3076" s="501"/>
      <c r="BS3076" s="501"/>
      <c r="BT3076" s="501"/>
      <c r="BU3076" s="501"/>
      <c r="BV3076" s="501"/>
      <c r="BW3076" s="501"/>
      <c r="BX3076" s="501"/>
      <c r="BY3076" s="501"/>
      <c r="BZ3076" s="501"/>
      <c r="CA3076" s="501"/>
      <c r="CB3076" s="501"/>
      <c r="CC3076" s="501"/>
      <c r="CD3076" s="501"/>
      <c r="CE3076" s="501"/>
      <c r="CF3076" s="501"/>
      <c r="CG3076" s="501"/>
      <c r="CH3076" s="501"/>
      <c r="CI3076" s="501"/>
      <c r="CJ3076" s="501"/>
      <c r="CK3076" s="501"/>
      <c r="CL3076" s="501"/>
      <c r="CM3076" s="501"/>
      <c r="CN3076" s="501"/>
      <c r="CO3076" s="501"/>
      <c r="CP3076" s="501"/>
      <c r="CQ3076" s="501"/>
      <c r="CR3076" s="501"/>
      <c r="CS3076" s="501"/>
      <c r="CT3076" s="501"/>
      <c r="CU3076" s="501"/>
      <c r="CV3076" s="501"/>
      <c r="CW3076" s="501"/>
      <c r="CX3076" s="501"/>
      <c r="CY3076" s="501"/>
      <c r="CZ3076" s="501"/>
      <c r="DA3076" s="501"/>
      <c r="DB3076" s="501"/>
      <c r="DC3076" s="501"/>
      <c r="DD3076" s="501"/>
      <c r="DE3076" s="501"/>
      <c r="DF3076" s="501"/>
      <c r="DG3076" s="501"/>
      <c r="DH3076" s="501"/>
      <c r="DI3076" s="501"/>
      <c r="DJ3076" s="501"/>
      <c r="DK3076" s="501"/>
      <c r="DL3076" s="501"/>
      <c r="DM3076" s="501"/>
      <c r="DN3076" s="501"/>
      <c r="DO3076" s="501"/>
      <c r="DP3076" s="501"/>
      <c r="DQ3076" s="501"/>
      <c r="DR3076" s="501"/>
      <c r="DS3076" s="501"/>
      <c r="DT3076" s="501"/>
      <c r="DU3076" s="501"/>
      <c r="DV3076" s="501"/>
      <c r="DW3076" s="501"/>
      <c r="DX3076" s="501"/>
      <c r="DY3076" s="501"/>
      <c r="DZ3076" s="501"/>
      <c r="EA3076" s="501"/>
      <c r="EB3076" s="501"/>
      <c r="EC3076" s="501"/>
      <c r="ED3076" s="501"/>
      <c r="EE3076" s="501"/>
      <c r="EF3076" s="501"/>
      <c r="EG3076" s="501"/>
      <c r="EH3076" s="501"/>
      <c r="EI3076" s="501"/>
      <c r="EJ3076" s="501"/>
      <c r="EK3076" s="501"/>
      <c r="EL3076" s="501"/>
      <c r="EM3076" s="501"/>
      <c r="EN3076" s="501"/>
      <c r="EO3076" s="501"/>
      <c r="EP3076" s="501"/>
      <c r="EQ3076" s="501"/>
      <c r="ER3076" s="501"/>
      <c r="ES3076" s="501"/>
      <c r="ET3076" s="501"/>
      <c r="EU3076" s="501"/>
      <c r="EV3076" s="501"/>
      <c r="EW3076" s="501"/>
      <c r="EX3076" s="501"/>
      <c r="EY3076" s="501"/>
      <c r="EZ3076" s="501"/>
      <c r="FA3076" s="501"/>
      <c r="FB3076" s="501"/>
      <c r="FC3076" s="501"/>
      <c r="FD3076" s="501"/>
      <c r="FE3076" s="501"/>
      <c r="FF3076" s="501"/>
      <c r="FG3076" s="501"/>
      <c r="FH3076" s="501"/>
      <c r="FI3076" s="501"/>
      <c r="FJ3076" s="501"/>
      <c r="FK3076" s="501"/>
      <c r="FL3076" s="501"/>
      <c r="FM3076" s="501"/>
      <c r="FN3076" s="501"/>
      <c r="FO3076" s="501"/>
      <c r="FP3076" s="501"/>
      <c r="FQ3076" s="501"/>
      <c r="FR3076" s="501"/>
      <c r="FS3076" s="501"/>
      <c r="FT3076" s="501"/>
      <c r="FU3076" s="501"/>
      <c r="FV3076" s="501"/>
      <c r="FW3076" s="501"/>
      <c r="FX3076" s="501"/>
      <c r="FY3076" s="501"/>
      <c r="FZ3076" s="501"/>
      <c r="GA3076" s="501"/>
      <c r="GB3076" s="501"/>
      <c r="GC3076" s="501"/>
      <c r="GD3076" s="501"/>
      <c r="GE3076" s="501"/>
      <c r="GF3076" s="501"/>
      <c r="GG3076" s="501"/>
      <c r="GH3076" s="501"/>
      <c r="GI3076" s="501"/>
      <c r="GJ3076" s="501"/>
      <c r="GK3076" s="501"/>
      <c r="GL3076" s="501"/>
      <c r="GM3076" s="501"/>
      <c r="GN3076" s="501"/>
      <c r="GO3076" s="501"/>
      <c r="GP3076" s="501"/>
      <c r="GQ3076" s="501"/>
      <c r="GR3076" s="501"/>
      <c r="GS3076" s="501"/>
      <c r="GT3076" s="501"/>
      <c r="GU3076" s="501"/>
      <c r="GV3076" s="501"/>
      <c r="GW3076" s="501"/>
      <c r="GX3076" s="501"/>
      <c r="GY3076" s="501"/>
      <c r="GZ3076" s="501"/>
      <c r="HA3076" s="501"/>
      <c r="HB3076" s="501"/>
      <c r="HC3076" s="501"/>
      <c r="HD3076" s="501"/>
      <c r="HE3076" s="501"/>
      <c r="HF3076" s="501"/>
      <c r="HG3076" s="501"/>
      <c r="HH3076" s="501"/>
      <c r="HI3076" s="501"/>
      <c r="HJ3076" s="501"/>
      <c r="HK3076" s="501"/>
      <c r="HL3076" s="501"/>
      <c r="HM3076" s="501"/>
      <c r="HN3076" s="501"/>
      <c r="HO3076" s="501"/>
      <c r="HP3076" s="501"/>
      <c r="HQ3076" s="501"/>
      <c r="HR3076" s="501"/>
      <c r="HS3076" s="501"/>
      <c r="HT3076" s="501"/>
      <c r="HU3076" s="501"/>
      <c r="HV3076" s="501"/>
      <c r="HW3076" s="501"/>
      <c r="HX3076" s="501"/>
      <c r="HY3076" s="501"/>
      <c r="HZ3076" s="501"/>
      <c r="IA3076" s="501"/>
      <c r="IB3076" s="501"/>
      <c r="IC3076" s="501"/>
      <c r="ID3076" s="501"/>
      <c r="IE3076" s="501"/>
      <c r="IF3076" s="501"/>
      <c r="IG3076" s="501"/>
      <c r="IH3076" s="501"/>
      <c r="II3076" s="501"/>
      <c r="IJ3076" s="501"/>
      <c r="IK3076" s="501"/>
      <c r="IL3076" s="501"/>
      <c r="IM3076" s="501"/>
      <c r="IN3076" s="501"/>
      <c r="IO3076" s="501"/>
      <c r="IP3076" s="501"/>
      <c r="IQ3076" s="501"/>
      <c r="IR3076" s="501"/>
      <c r="IS3076" s="501"/>
      <c r="IT3076" s="501"/>
      <c r="IU3076" s="501"/>
    </row>
    <row r="3077" spans="1:255" s="877" customFormat="1" ht="24" customHeight="1">
      <c r="A3077" s="501"/>
      <c r="B3077" s="501"/>
      <c r="C3077" s="501"/>
      <c r="D3077" s="501"/>
      <c r="E3077" s="501"/>
      <c r="F3077" s="1097"/>
      <c r="G3077" s="1098"/>
      <c r="H3077" s="1097"/>
      <c r="I3077" s="1099"/>
      <c r="J3077" s="973"/>
      <c r="K3077" s="1097"/>
      <c r="L3077" s="1101"/>
      <c r="M3077" s="1109"/>
      <c r="N3077" s="501"/>
      <c r="O3077" s="501"/>
      <c r="P3077" s="501"/>
      <c r="Q3077" s="501"/>
      <c r="R3077" s="501"/>
      <c r="S3077" s="501"/>
      <c r="T3077" s="501"/>
      <c r="V3077" s="501"/>
      <c r="W3077" s="501"/>
      <c r="X3077" s="501"/>
      <c r="Y3077" s="501"/>
      <c r="Z3077" s="501"/>
      <c r="AA3077" s="501"/>
      <c r="AB3077" s="501"/>
      <c r="AC3077" s="501"/>
      <c r="AD3077" s="501"/>
      <c r="AE3077" s="501"/>
      <c r="AF3077" s="501"/>
      <c r="AG3077" s="501"/>
      <c r="AH3077" s="501"/>
      <c r="AI3077" s="501"/>
      <c r="AJ3077" s="501"/>
      <c r="AK3077" s="501"/>
      <c r="AL3077" s="501"/>
      <c r="AM3077" s="501"/>
      <c r="AN3077" s="501"/>
      <c r="AO3077" s="501"/>
      <c r="AP3077" s="501"/>
      <c r="AQ3077" s="501"/>
      <c r="AR3077" s="501"/>
      <c r="AS3077" s="501"/>
      <c r="AT3077" s="501"/>
      <c r="AU3077" s="501"/>
      <c r="AV3077" s="501"/>
      <c r="AW3077" s="501"/>
      <c r="AX3077" s="501"/>
      <c r="AY3077" s="501"/>
      <c r="AZ3077" s="501"/>
      <c r="BA3077" s="501"/>
      <c r="BB3077" s="501"/>
      <c r="BC3077" s="501"/>
      <c r="BD3077" s="501"/>
      <c r="BE3077" s="501"/>
      <c r="BF3077" s="501"/>
      <c r="BG3077" s="501"/>
      <c r="BH3077" s="501"/>
      <c r="BI3077" s="501"/>
      <c r="BJ3077" s="501"/>
      <c r="BK3077" s="501"/>
      <c r="BL3077" s="501"/>
      <c r="BM3077" s="501"/>
      <c r="BN3077" s="501"/>
      <c r="BO3077" s="501"/>
      <c r="BP3077" s="501"/>
      <c r="BQ3077" s="501"/>
      <c r="BR3077" s="501"/>
      <c r="BS3077" s="501"/>
      <c r="BT3077" s="501"/>
      <c r="BU3077" s="501"/>
      <c r="BV3077" s="501"/>
      <c r="BW3077" s="501"/>
      <c r="BX3077" s="501"/>
      <c r="BY3077" s="501"/>
      <c r="BZ3077" s="501"/>
      <c r="CA3077" s="501"/>
      <c r="CB3077" s="501"/>
      <c r="CC3077" s="501"/>
      <c r="CD3077" s="501"/>
      <c r="CE3077" s="501"/>
      <c r="CF3077" s="501"/>
      <c r="CG3077" s="501"/>
      <c r="CH3077" s="501"/>
      <c r="CI3077" s="501"/>
      <c r="CJ3077" s="501"/>
      <c r="CK3077" s="501"/>
      <c r="CL3077" s="501"/>
      <c r="CM3077" s="501"/>
      <c r="CN3077" s="501"/>
      <c r="CO3077" s="501"/>
      <c r="CP3077" s="501"/>
      <c r="CQ3077" s="501"/>
      <c r="CR3077" s="501"/>
      <c r="CS3077" s="501"/>
      <c r="CT3077" s="501"/>
      <c r="CU3077" s="501"/>
      <c r="CV3077" s="501"/>
      <c r="CW3077" s="501"/>
      <c r="CX3077" s="501"/>
      <c r="CY3077" s="501"/>
      <c r="CZ3077" s="501"/>
      <c r="DA3077" s="501"/>
      <c r="DB3077" s="501"/>
      <c r="DC3077" s="501"/>
      <c r="DD3077" s="501"/>
      <c r="DE3077" s="501"/>
      <c r="DF3077" s="501"/>
      <c r="DG3077" s="501"/>
      <c r="DH3077" s="501"/>
      <c r="DI3077" s="501"/>
      <c r="DJ3077" s="501"/>
      <c r="DK3077" s="501"/>
      <c r="DL3077" s="501"/>
      <c r="DM3077" s="501"/>
      <c r="DN3077" s="501"/>
      <c r="DO3077" s="501"/>
      <c r="DP3077" s="501"/>
      <c r="DQ3077" s="501"/>
      <c r="DR3077" s="501"/>
      <c r="DS3077" s="501"/>
      <c r="DT3077" s="501"/>
      <c r="DU3077" s="501"/>
      <c r="DV3077" s="501"/>
      <c r="DW3077" s="501"/>
      <c r="DX3077" s="501"/>
      <c r="DY3077" s="501"/>
      <c r="DZ3077" s="501"/>
      <c r="EA3077" s="501"/>
      <c r="EB3077" s="501"/>
      <c r="EC3077" s="501"/>
      <c r="ED3077" s="501"/>
      <c r="EE3077" s="501"/>
      <c r="EF3077" s="501"/>
      <c r="EG3077" s="501"/>
      <c r="EH3077" s="501"/>
      <c r="EI3077" s="501"/>
      <c r="EJ3077" s="501"/>
      <c r="EK3077" s="501"/>
      <c r="EL3077" s="501"/>
      <c r="EM3077" s="501"/>
      <c r="EN3077" s="501"/>
      <c r="EO3077" s="501"/>
      <c r="EP3077" s="501"/>
      <c r="EQ3077" s="501"/>
      <c r="ER3077" s="501"/>
      <c r="ES3077" s="501"/>
      <c r="ET3077" s="501"/>
      <c r="EU3077" s="501"/>
      <c r="EV3077" s="501"/>
      <c r="EW3077" s="501"/>
      <c r="EX3077" s="501"/>
      <c r="EY3077" s="501"/>
      <c r="EZ3077" s="501"/>
      <c r="FA3077" s="501"/>
      <c r="FB3077" s="501"/>
      <c r="FC3077" s="501"/>
      <c r="FD3077" s="501"/>
      <c r="FE3077" s="501"/>
      <c r="FF3077" s="501"/>
      <c r="FG3077" s="501"/>
      <c r="FH3077" s="501"/>
      <c r="FI3077" s="501"/>
      <c r="FJ3077" s="501"/>
      <c r="FK3077" s="501"/>
      <c r="FL3077" s="501"/>
      <c r="FM3077" s="501"/>
      <c r="FN3077" s="501"/>
      <c r="FO3077" s="501"/>
      <c r="FP3077" s="501"/>
      <c r="FQ3077" s="501"/>
      <c r="FR3077" s="501"/>
      <c r="FS3077" s="501"/>
      <c r="FT3077" s="501"/>
      <c r="FU3077" s="501"/>
      <c r="FV3077" s="501"/>
      <c r="FW3077" s="501"/>
      <c r="FX3077" s="501"/>
      <c r="FY3077" s="501"/>
      <c r="FZ3077" s="501"/>
      <c r="GA3077" s="501"/>
      <c r="GB3077" s="501"/>
      <c r="GC3077" s="501"/>
      <c r="GD3077" s="501"/>
      <c r="GE3077" s="501"/>
      <c r="GF3077" s="501"/>
      <c r="GG3077" s="501"/>
      <c r="GH3077" s="501"/>
      <c r="GI3077" s="501"/>
      <c r="GJ3077" s="501"/>
      <c r="GK3077" s="501"/>
      <c r="GL3077" s="501"/>
      <c r="GM3077" s="501"/>
      <c r="GN3077" s="501"/>
      <c r="GO3077" s="501"/>
      <c r="GP3077" s="501"/>
      <c r="GQ3077" s="501"/>
      <c r="GR3077" s="501"/>
      <c r="GS3077" s="501"/>
      <c r="GT3077" s="501"/>
      <c r="GU3077" s="501"/>
      <c r="GV3077" s="501"/>
      <c r="GW3077" s="501"/>
      <c r="GX3077" s="501"/>
      <c r="GY3077" s="501"/>
      <c r="GZ3077" s="501"/>
      <c r="HA3077" s="501"/>
      <c r="HB3077" s="501"/>
      <c r="HC3077" s="501"/>
      <c r="HD3077" s="501"/>
      <c r="HE3077" s="501"/>
      <c r="HF3077" s="501"/>
      <c r="HG3077" s="501"/>
      <c r="HH3077" s="501"/>
      <c r="HI3077" s="501"/>
      <c r="HJ3077" s="501"/>
      <c r="HK3077" s="501"/>
      <c r="HL3077" s="501"/>
      <c r="HM3077" s="501"/>
      <c r="HN3077" s="501"/>
      <c r="HO3077" s="501"/>
      <c r="HP3077" s="501"/>
      <c r="HQ3077" s="501"/>
      <c r="HR3077" s="501"/>
      <c r="HS3077" s="501"/>
      <c r="HT3077" s="501"/>
      <c r="HU3077" s="501"/>
      <c r="HV3077" s="501"/>
      <c r="HW3077" s="501"/>
      <c r="HX3077" s="501"/>
      <c r="HY3077" s="501"/>
      <c r="HZ3077" s="501"/>
      <c r="IA3077" s="501"/>
      <c r="IB3077" s="501"/>
      <c r="IC3077" s="501"/>
      <c r="ID3077" s="501"/>
      <c r="IE3077" s="501"/>
      <c r="IF3077" s="501"/>
      <c r="IG3077" s="501"/>
      <c r="IH3077" s="501"/>
      <c r="II3077" s="501"/>
      <c r="IJ3077" s="501"/>
      <c r="IK3077" s="501"/>
      <c r="IL3077" s="501"/>
      <c r="IM3077" s="501"/>
      <c r="IN3077" s="501"/>
      <c r="IO3077" s="501"/>
      <c r="IP3077" s="501"/>
      <c r="IQ3077" s="501"/>
      <c r="IR3077" s="501"/>
      <c r="IS3077" s="501"/>
      <c r="IT3077" s="501"/>
      <c r="IU3077" s="501"/>
    </row>
    <row r="3078" spans="1:255" s="877" customFormat="1" ht="24" customHeight="1">
      <c r="A3078" s="501"/>
      <c r="B3078" s="501"/>
      <c r="C3078" s="501"/>
      <c r="D3078" s="501"/>
      <c r="E3078" s="501"/>
      <c r="F3078" s="1097"/>
      <c r="G3078" s="1098"/>
      <c r="H3078" s="1097"/>
      <c r="I3078" s="1099"/>
      <c r="J3078" s="1097"/>
      <c r="K3078" s="1097"/>
      <c r="L3078" s="1101"/>
      <c r="M3078" s="1109"/>
      <c r="N3078" s="501"/>
      <c r="O3078" s="501"/>
      <c r="P3078" s="501"/>
      <c r="Q3078" s="501"/>
      <c r="R3078" s="501"/>
      <c r="S3078" s="501"/>
      <c r="T3078" s="501"/>
      <c r="V3078" s="501"/>
      <c r="W3078" s="501"/>
      <c r="X3078" s="501"/>
      <c r="Y3078" s="501"/>
      <c r="Z3078" s="501"/>
      <c r="AA3078" s="501"/>
      <c r="AB3078" s="501"/>
      <c r="AC3078" s="501"/>
      <c r="AD3078" s="501"/>
      <c r="AE3078" s="501"/>
      <c r="AF3078" s="501"/>
      <c r="AG3078" s="501"/>
      <c r="AH3078" s="501"/>
      <c r="AI3078" s="501"/>
      <c r="AJ3078" s="501"/>
      <c r="AK3078" s="501"/>
      <c r="AL3078" s="501"/>
      <c r="AM3078" s="501"/>
      <c r="AN3078" s="501"/>
      <c r="AO3078" s="501"/>
      <c r="AP3078" s="501"/>
      <c r="AQ3078" s="501"/>
      <c r="AR3078" s="501"/>
      <c r="AS3078" s="501"/>
      <c r="AT3078" s="501"/>
      <c r="AU3078" s="501"/>
      <c r="AV3078" s="501"/>
      <c r="AW3078" s="501"/>
      <c r="AX3078" s="501"/>
      <c r="AY3078" s="501"/>
      <c r="AZ3078" s="501"/>
      <c r="BA3078" s="501"/>
      <c r="BB3078" s="501"/>
      <c r="BC3078" s="501"/>
      <c r="BD3078" s="501"/>
      <c r="BE3078" s="501"/>
      <c r="BF3078" s="501"/>
      <c r="BG3078" s="501"/>
      <c r="BH3078" s="501"/>
      <c r="BI3078" s="501"/>
      <c r="BJ3078" s="501"/>
      <c r="BK3078" s="501"/>
      <c r="BL3078" s="501"/>
      <c r="BM3078" s="501"/>
      <c r="BN3078" s="501"/>
      <c r="BO3078" s="501"/>
      <c r="BP3078" s="501"/>
      <c r="BQ3078" s="501"/>
      <c r="BR3078" s="501"/>
      <c r="BS3078" s="501"/>
      <c r="BT3078" s="501"/>
      <c r="BU3078" s="501"/>
      <c r="BV3078" s="501"/>
      <c r="BW3078" s="501"/>
      <c r="BX3078" s="501"/>
      <c r="BY3078" s="501"/>
      <c r="BZ3078" s="501"/>
      <c r="CA3078" s="501"/>
      <c r="CB3078" s="501"/>
      <c r="CC3078" s="501"/>
      <c r="CD3078" s="501"/>
      <c r="CE3078" s="501"/>
      <c r="CF3078" s="501"/>
      <c r="CG3078" s="501"/>
      <c r="CH3078" s="501"/>
      <c r="CI3078" s="501"/>
      <c r="CJ3078" s="501"/>
      <c r="CK3078" s="501"/>
      <c r="CL3078" s="501"/>
      <c r="CM3078" s="501"/>
      <c r="CN3078" s="501"/>
      <c r="CO3078" s="501"/>
      <c r="CP3078" s="501"/>
      <c r="CQ3078" s="501"/>
      <c r="CR3078" s="501"/>
      <c r="CS3078" s="501"/>
      <c r="CT3078" s="501"/>
      <c r="CU3078" s="501"/>
      <c r="CV3078" s="501"/>
      <c r="CW3078" s="501"/>
      <c r="CX3078" s="501"/>
      <c r="CY3078" s="501"/>
      <c r="CZ3078" s="501"/>
      <c r="DA3078" s="501"/>
      <c r="DB3078" s="501"/>
      <c r="DC3078" s="501"/>
      <c r="DD3078" s="501"/>
      <c r="DE3078" s="501"/>
      <c r="DF3078" s="501"/>
      <c r="DG3078" s="501"/>
      <c r="DH3078" s="501"/>
      <c r="DI3078" s="501"/>
      <c r="DJ3078" s="501"/>
      <c r="DK3078" s="501"/>
      <c r="DL3078" s="501"/>
      <c r="DM3078" s="501"/>
      <c r="DN3078" s="501"/>
      <c r="DO3078" s="501"/>
      <c r="DP3078" s="501"/>
      <c r="DQ3078" s="501"/>
      <c r="DR3078" s="501"/>
      <c r="DS3078" s="501"/>
      <c r="DT3078" s="501"/>
      <c r="DU3078" s="501"/>
      <c r="DV3078" s="501"/>
      <c r="DW3078" s="501"/>
      <c r="DX3078" s="501"/>
      <c r="DY3078" s="501"/>
      <c r="DZ3078" s="501"/>
      <c r="EA3078" s="501"/>
      <c r="EB3078" s="501"/>
      <c r="EC3078" s="501"/>
      <c r="ED3078" s="501"/>
      <c r="EE3078" s="501"/>
      <c r="EF3078" s="501"/>
      <c r="EG3078" s="501"/>
      <c r="EH3078" s="501"/>
      <c r="EI3078" s="501"/>
      <c r="EJ3078" s="501"/>
      <c r="EK3078" s="501"/>
      <c r="EL3078" s="501"/>
      <c r="EM3078" s="501"/>
      <c r="EN3078" s="501"/>
      <c r="EO3078" s="501"/>
      <c r="EP3078" s="501"/>
      <c r="EQ3078" s="501"/>
      <c r="ER3078" s="501"/>
      <c r="ES3078" s="501"/>
      <c r="ET3078" s="501"/>
      <c r="EU3078" s="501"/>
      <c r="EV3078" s="501"/>
      <c r="EW3078" s="501"/>
      <c r="EX3078" s="501"/>
      <c r="EY3078" s="501"/>
      <c r="EZ3078" s="501"/>
      <c r="FA3078" s="501"/>
      <c r="FB3078" s="501"/>
      <c r="FC3078" s="501"/>
      <c r="FD3078" s="501"/>
      <c r="FE3078" s="501"/>
      <c r="FF3078" s="501"/>
      <c r="FG3078" s="501"/>
      <c r="FH3078" s="501"/>
      <c r="FI3078" s="501"/>
      <c r="FJ3078" s="501"/>
      <c r="FK3078" s="501"/>
      <c r="FL3078" s="501"/>
      <c r="FM3078" s="501"/>
      <c r="FN3078" s="501"/>
      <c r="FO3078" s="501"/>
      <c r="FP3078" s="501"/>
      <c r="FQ3078" s="501"/>
      <c r="FR3078" s="501"/>
      <c r="FS3078" s="501"/>
      <c r="FT3078" s="501"/>
      <c r="FU3078" s="501"/>
      <c r="FV3078" s="501"/>
      <c r="FW3078" s="501"/>
      <c r="FX3078" s="501"/>
      <c r="FY3078" s="501"/>
      <c r="FZ3078" s="501"/>
      <c r="GA3078" s="501"/>
      <c r="GB3078" s="501"/>
      <c r="GC3078" s="501"/>
      <c r="GD3078" s="501"/>
      <c r="GE3078" s="501"/>
      <c r="GF3078" s="501"/>
      <c r="GG3078" s="501"/>
      <c r="GH3078" s="501"/>
      <c r="GI3078" s="501"/>
      <c r="GJ3078" s="501"/>
      <c r="GK3078" s="501"/>
      <c r="GL3078" s="501"/>
      <c r="GM3078" s="501"/>
      <c r="GN3078" s="501"/>
      <c r="GO3078" s="501"/>
      <c r="GP3078" s="501"/>
      <c r="GQ3078" s="501"/>
      <c r="GR3078" s="501"/>
      <c r="GS3078" s="501"/>
      <c r="GT3078" s="501"/>
      <c r="GU3078" s="501"/>
      <c r="GV3078" s="501"/>
      <c r="GW3078" s="501"/>
      <c r="GX3078" s="501"/>
      <c r="GY3078" s="501"/>
      <c r="GZ3078" s="501"/>
      <c r="HA3078" s="501"/>
      <c r="HB3078" s="501"/>
      <c r="HC3078" s="501"/>
      <c r="HD3078" s="501"/>
      <c r="HE3078" s="501"/>
      <c r="HF3078" s="501"/>
      <c r="HG3078" s="501"/>
      <c r="HH3078" s="501"/>
      <c r="HI3078" s="501"/>
      <c r="HJ3078" s="501"/>
      <c r="HK3078" s="501"/>
      <c r="HL3078" s="501"/>
      <c r="HM3078" s="501"/>
      <c r="HN3078" s="501"/>
      <c r="HO3078" s="501"/>
      <c r="HP3078" s="501"/>
      <c r="HQ3078" s="501"/>
      <c r="HR3078" s="501"/>
      <c r="HS3078" s="501"/>
      <c r="HT3078" s="501"/>
      <c r="HU3078" s="501"/>
      <c r="HV3078" s="501"/>
      <c r="HW3078" s="501"/>
      <c r="HX3078" s="501"/>
      <c r="HY3078" s="501"/>
      <c r="HZ3078" s="501"/>
      <c r="IA3078" s="501"/>
      <c r="IB3078" s="501"/>
      <c r="IC3078" s="501"/>
      <c r="ID3078" s="501"/>
      <c r="IE3078" s="501"/>
      <c r="IF3078" s="501"/>
      <c r="IG3078" s="501"/>
      <c r="IH3078" s="501"/>
      <c r="II3078" s="501"/>
      <c r="IJ3078" s="501"/>
      <c r="IK3078" s="501"/>
      <c r="IL3078" s="501"/>
      <c r="IM3078" s="501"/>
      <c r="IN3078" s="501"/>
      <c r="IO3078" s="501"/>
      <c r="IP3078" s="501"/>
      <c r="IQ3078" s="501"/>
      <c r="IR3078" s="501"/>
      <c r="IS3078" s="501"/>
      <c r="IT3078" s="501"/>
      <c r="IU3078" s="501"/>
    </row>
    <row r="3079" spans="1:255" s="877" customFormat="1" ht="24" customHeight="1">
      <c r="A3079" s="501"/>
      <c r="B3079" s="501"/>
      <c r="C3079" s="501"/>
      <c r="D3079" s="501"/>
      <c r="E3079" s="501"/>
      <c r="F3079" s="1097"/>
      <c r="G3079" s="1098"/>
      <c r="H3079" s="1097"/>
      <c r="I3079" s="1099"/>
      <c r="J3079" s="973"/>
      <c r="K3079" s="1097"/>
      <c r="L3079" s="1101"/>
      <c r="M3079" s="1109"/>
      <c r="N3079" s="501"/>
      <c r="O3079" s="501"/>
      <c r="P3079" s="501"/>
      <c r="Q3079" s="501"/>
      <c r="R3079" s="501"/>
      <c r="S3079" s="501"/>
      <c r="T3079" s="501"/>
      <c r="V3079" s="501"/>
      <c r="W3079" s="501"/>
      <c r="X3079" s="501"/>
      <c r="Y3079" s="501"/>
      <c r="Z3079" s="501"/>
      <c r="AA3079" s="501"/>
      <c r="AB3079" s="501"/>
      <c r="AC3079" s="501"/>
      <c r="AD3079" s="501"/>
      <c r="AE3079" s="501"/>
      <c r="AF3079" s="501"/>
      <c r="AG3079" s="501"/>
      <c r="AH3079" s="501"/>
      <c r="AI3079" s="501"/>
      <c r="AJ3079" s="501"/>
      <c r="AK3079" s="501"/>
      <c r="AL3079" s="501"/>
      <c r="AM3079" s="501"/>
      <c r="AN3079" s="501"/>
      <c r="AO3079" s="501"/>
      <c r="AP3079" s="501"/>
      <c r="AQ3079" s="501"/>
      <c r="AR3079" s="501"/>
      <c r="AS3079" s="501"/>
      <c r="AT3079" s="501"/>
      <c r="AU3079" s="501"/>
      <c r="AV3079" s="501"/>
      <c r="AW3079" s="501"/>
      <c r="AX3079" s="501"/>
      <c r="AY3079" s="501"/>
      <c r="AZ3079" s="501"/>
      <c r="BA3079" s="501"/>
      <c r="BB3079" s="501"/>
      <c r="BC3079" s="501"/>
      <c r="BD3079" s="501"/>
      <c r="BE3079" s="501"/>
      <c r="BF3079" s="501"/>
      <c r="BG3079" s="501"/>
      <c r="BH3079" s="501"/>
      <c r="BI3079" s="501"/>
      <c r="BJ3079" s="501"/>
      <c r="BK3079" s="501"/>
      <c r="BL3079" s="501"/>
      <c r="BM3079" s="501"/>
      <c r="BN3079" s="501"/>
      <c r="BO3079" s="501"/>
      <c r="BP3079" s="501"/>
      <c r="BQ3079" s="501"/>
      <c r="BR3079" s="501"/>
      <c r="BS3079" s="501"/>
      <c r="BT3079" s="501"/>
      <c r="BU3079" s="501"/>
      <c r="BV3079" s="501"/>
      <c r="BW3079" s="501"/>
      <c r="BX3079" s="501"/>
      <c r="BY3079" s="501"/>
      <c r="BZ3079" s="501"/>
      <c r="CA3079" s="501"/>
      <c r="CB3079" s="501"/>
      <c r="CC3079" s="501"/>
      <c r="CD3079" s="501"/>
      <c r="CE3079" s="501"/>
      <c r="CF3079" s="501"/>
      <c r="CG3079" s="501"/>
      <c r="CH3079" s="501"/>
      <c r="CI3079" s="501"/>
      <c r="CJ3079" s="501"/>
      <c r="CK3079" s="501"/>
      <c r="CL3079" s="501"/>
      <c r="CM3079" s="501"/>
      <c r="CN3079" s="501"/>
      <c r="CO3079" s="501"/>
      <c r="CP3079" s="501"/>
      <c r="CQ3079" s="501"/>
      <c r="CR3079" s="501"/>
      <c r="CS3079" s="501"/>
      <c r="CT3079" s="501"/>
      <c r="CU3079" s="501"/>
      <c r="CV3079" s="501"/>
      <c r="CW3079" s="501"/>
      <c r="CX3079" s="501"/>
      <c r="CY3079" s="501"/>
      <c r="CZ3079" s="501"/>
      <c r="DA3079" s="501"/>
      <c r="DB3079" s="501"/>
      <c r="DC3079" s="501"/>
      <c r="DD3079" s="501"/>
      <c r="DE3079" s="501"/>
      <c r="DF3079" s="501"/>
      <c r="DG3079" s="501"/>
      <c r="DH3079" s="501"/>
      <c r="DI3079" s="501"/>
      <c r="DJ3079" s="501"/>
      <c r="DK3079" s="501"/>
      <c r="DL3079" s="501"/>
      <c r="DM3079" s="501"/>
      <c r="DN3079" s="501"/>
      <c r="DO3079" s="501"/>
      <c r="DP3079" s="501"/>
      <c r="DQ3079" s="501"/>
      <c r="DR3079" s="501"/>
      <c r="DS3079" s="501"/>
      <c r="DT3079" s="501"/>
      <c r="DU3079" s="501"/>
      <c r="DV3079" s="501"/>
      <c r="DW3079" s="501"/>
      <c r="DX3079" s="501"/>
      <c r="DY3079" s="501"/>
      <c r="DZ3079" s="501"/>
      <c r="EA3079" s="501"/>
      <c r="EB3079" s="501"/>
      <c r="EC3079" s="501"/>
      <c r="ED3079" s="501"/>
      <c r="EE3079" s="501"/>
      <c r="EF3079" s="501"/>
      <c r="EG3079" s="501"/>
      <c r="EH3079" s="501"/>
      <c r="EI3079" s="501"/>
      <c r="EJ3079" s="501"/>
      <c r="EK3079" s="501"/>
      <c r="EL3079" s="501"/>
      <c r="EM3079" s="501"/>
      <c r="EN3079" s="501"/>
      <c r="EO3079" s="501"/>
      <c r="EP3079" s="501"/>
      <c r="EQ3079" s="501"/>
      <c r="ER3079" s="501"/>
      <c r="ES3079" s="501"/>
      <c r="ET3079" s="501"/>
      <c r="EU3079" s="501"/>
      <c r="EV3079" s="501"/>
      <c r="EW3079" s="501"/>
      <c r="EX3079" s="501"/>
      <c r="EY3079" s="501"/>
      <c r="EZ3079" s="501"/>
      <c r="FA3079" s="501"/>
      <c r="FB3079" s="501"/>
      <c r="FC3079" s="501"/>
      <c r="FD3079" s="501"/>
      <c r="FE3079" s="501"/>
      <c r="FF3079" s="501"/>
      <c r="FG3079" s="501"/>
      <c r="FH3079" s="501"/>
      <c r="FI3079" s="501"/>
      <c r="FJ3079" s="501"/>
      <c r="FK3079" s="501"/>
      <c r="FL3079" s="501"/>
      <c r="FM3079" s="501"/>
      <c r="FN3079" s="501"/>
      <c r="FO3079" s="501"/>
      <c r="FP3079" s="501"/>
      <c r="FQ3079" s="501"/>
      <c r="FR3079" s="501"/>
      <c r="FS3079" s="501"/>
      <c r="FT3079" s="501"/>
      <c r="FU3079" s="501"/>
      <c r="FV3079" s="501"/>
      <c r="FW3079" s="501"/>
      <c r="FX3079" s="501"/>
      <c r="FY3079" s="501"/>
      <c r="FZ3079" s="501"/>
      <c r="GA3079" s="501"/>
      <c r="GB3079" s="501"/>
      <c r="GC3079" s="501"/>
      <c r="GD3079" s="501"/>
      <c r="GE3079" s="501"/>
      <c r="GF3079" s="501"/>
      <c r="GG3079" s="501"/>
      <c r="GH3079" s="501"/>
      <c r="GI3079" s="501"/>
      <c r="GJ3079" s="501"/>
      <c r="GK3079" s="501"/>
      <c r="GL3079" s="501"/>
      <c r="GM3079" s="501"/>
      <c r="GN3079" s="501"/>
      <c r="GO3079" s="501"/>
      <c r="GP3079" s="501"/>
      <c r="GQ3079" s="501"/>
      <c r="GR3079" s="501"/>
      <c r="GS3079" s="501"/>
      <c r="GT3079" s="501"/>
      <c r="GU3079" s="501"/>
      <c r="GV3079" s="501"/>
      <c r="GW3079" s="501"/>
      <c r="GX3079" s="501"/>
      <c r="GY3079" s="501"/>
      <c r="GZ3079" s="501"/>
      <c r="HA3079" s="501"/>
      <c r="HB3079" s="501"/>
      <c r="HC3079" s="501"/>
      <c r="HD3079" s="501"/>
      <c r="HE3079" s="501"/>
      <c r="HF3079" s="501"/>
      <c r="HG3079" s="501"/>
      <c r="HH3079" s="501"/>
      <c r="HI3079" s="501"/>
      <c r="HJ3079" s="501"/>
      <c r="HK3079" s="501"/>
      <c r="HL3079" s="501"/>
      <c r="HM3079" s="501"/>
      <c r="HN3079" s="501"/>
      <c r="HO3079" s="501"/>
      <c r="HP3079" s="501"/>
      <c r="HQ3079" s="501"/>
      <c r="HR3079" s="501"/>
      <c r="HS3079" s="501"/>
      <c r="HT3079" s="501"/>
      <c r="HU3079" s="501"/>
      <c r="HV3079" s="501"/>
      <c r="HW3079" s="501"/>
      <c r="HX3079" s="501"/>
      <c r="HY3079" s="501"/>
      <c r="HZ3079" s="501"/>
      <c r="IA3079" s="501"/>
      <c r="IB3079" s="501"/>
      <c r="IC3079" s="501"/>
      <c r="ID3079" s="501"/>
      <c r="IE3079" s="501"/>
      <c r="IF3079" s="501"/>
      <c r="IG3079" s="501"/>
      <c r="IH3079" s="501"/>
      <c r="II3079" s="501"/>
      <c r="IJ3079" s="501"/>
      <c r="IK3079" s="501"/>
      <c r="IL3079" s="501"/>
      <c r="IM3079" s="501"/>
      <c r="IN3079" s="501"/>
      <c r="IO3079" s="501"/>
      <c r="IP3079" s="501"/>
      <c r="IQ3079" s="501"/>
      <c r="IR3079" s="501"/>
      <c r="IS3079" s="501"/>
      <c r="IT3079" s="501"/>
      <c r="IU3079" s="501"/>
    </row>
    <row r="3081" spans="1:255" s="877" customFormat="1" ht="24" customHeight="1">
      <c r="A3081" s="501"/>
      <c r="B3081" s="501"/>
      <c r="C3081" s="501"/>
      <c r="D3081" s="501"/>
      <c r="E3081" s="501"/>
      <c r="F3081" s="1067"/>
      <c r="G3081" s="1068"/>
      <c r="H3081" s="1067"/>
      <c r="I3081" s="1069"/>
      <c r="J3081" s="1070"/>
      <c r="K3081" s="1071"/>
      <c r="L3081" s="1069"/>
      <c r="M3081" s="1072"/>
      <c r="N3081" s="501"/>
      <c r="O3081" s="501"/>
      <c r="P3081" s="501"/>
      <c r="Q3081" s="501"/>
      <c r="R3081" s="501"/>
      <c r="S3081" s="501"/>
      <c r="T3081" s="501"/>
      <c r="V3081" s="501"/>
      <c r="W3081" s="501"/>
      <c r="X3081" s="501"/>
      <c r="Y3081" s="501"/>
      <c r="Z3081" s="501"/>
      <c r="AA3081" s="501"/>
      <c r="AB3081" s="501"/>
      <c r="AC3081" s="501"/>
      <c r="AD3081" s="501"/>
      <c r="AE3081" s="501"/>
      <c r="AF3081" s="501"/>
      <c r="AG3081" s="501"/>
      <c r="AH3081" s="501"/>
      <c r="AI3081" s="501"/>
      <c r="AJ3081" s="501"/>
      <c r="AK3081" s="501"/>
      <c r="AL3081" s="501"/>
      <c r="AM3081" s="501"/>
      <c r="AN3081" s="501"/>
      <c r="AO3081" s="501"/>
      <c r="AP3081" s="501"/>
      <c r="AQ3081" s="501"/>
      <c r="AR3081" s="501"/>
      <c r="AS3081" s="501"/>
      <c r="AT3081" s="501"/>
      <c r="AU3081" s="501"/>
      <c r="AV3081" s="501"/>
      <c r="AW3081" s="501"/>
      <c r="AX3081" s="501"/>
      <c r="AY3081" s="501"/>
      <c r="AZ3081" s="501"/>
      <c r="BA3081" s="501"/>
      <c r="BB3081" s="501"/>
      <c r="BC3081" s="501"/>
      <c r="BD3081" s="501"/>
      <c r="BE3081" s="501"/>
      <c r="BF3081" s="501"/>
      <c r="BG3081" s="501"/>
      <c r="BH3081" s="501"/>
      <c r="BI3081" s="501"/>
      <c r="BJ3081" s="501"/>
      <c r="BK3081" s="501"/>
      <c r="BL3081" s="501"/>
      <c r="BM3081" s="501"/>
      <c r="BN3081" s="501"/>
      <c r="BO3081" s="501"/>
      <c r="BP3081" s="501"/>
      <c r="BQ3081" s="501"/>
      <c r="BR3081" s="501"/>
      <c r="BS3081" s="501"/>
      <c r="BT3081" s="501"/>
      <c r="BU3081" s="501"/>
      <c r="BV3081" s="501"/>
      <c r="BW3081" s="501"/>
      <c r="BX3081" s="501"/>
      <c r="BY3081" s="501"/>
      <c r="BZ3081" s="501"/>
      <c r="CA3081" s="501"/>
      <c r="CB3081" s="501"/>
      <c r="CC3081" s="501"/>
      <c r="CD3081" s="501"/>
      <c r="CE3081" s="501"/>
      <c r="CF3081" s="501"/>
      <c r="CG3081" s="501"/>
      <c r="CH3081" s="501"/>
      <c r="CI3081" s="501"/>
      <c r="CJ3081" s="501"/>
      <c r="CK3081" s="501"/>
      <c r="CL3081" s="501"/>
      <c r="CM3081" s="501"/>
      <c r="CN3081" s="501"/>
      <c r="CO3081" s="501"/>
      <c r="CP3081" s="501"/>
      <c r="CQ3081" s="501"/>
      <c r="CR3081" s="501"/>
      <c r="CS3081" s="501"/>
      <c r="CT3081" s="501"/>
      <c r="CU3081" s="501"/>
      <c r="CV3081" s="501"/>
      <c r="CW3081" s="501"/>
      <c r="CX3081" s="501"/>
      <c r="CY3081" s="501"/>
      <c r="CZ3081" s="501"/>
      <c r="DA3081" s="501"/>
      <c r="DB3081" s="501"/>
      <c r="DC3081" s="501"/>
      <c r="DD3081" s="501"/>
      <c r="DE3081" s="501"/>
      <c r="DF3081" s="501"/>
      <c r="DG3081" s="501"/>
      <c r="DH3081" s="501"/>
      <c r="DI3081" s="501"/>
      <c r="DJ3081" s="501"/>
      <c r="DK3081" s="501"/>
      <c r="DL3081" s="501"/>
      <c r="DM3081" s="501"/>
      <c r="DN3081" s="501"/>
      <c r="DO3081" s="501"/>
      <c r="DP3081" s="501"/>
      <c r="DQ3081" s="501"/>
      <c r="DR3081" s="501"/>
      <c r="DS3081" s="501"/>
      <c r="DT3081" s="501"/>
      <c r="DU3081" s="501"/>
      <c r="DV3081" s="501"/>
      <c r="DW3081" s="501"/>
      <c r="DX3081" s="501"/>
      <c r="DY3081" s="501"/>
      <c r="DZ3081" s="501"/>
      <c r="EA3081" s="501"/>
      <c r="EB3081" s="501"/>
      <c r="EC3081" s="501"/>
      <c r="ED3081" s="501"/>
      <c r="EE3081" s="501"/>
      <c r="EF3081" s="501"/>
      <c r="EG3081" s="501"/>
      <c r="EH3081" s="501"/>
      <c r="EI3081" s="501"/>
      <c r="EJ3081" s="501"/>
      <c r="EK3081" s="501"/>
      <c r="EL3081" s="501"/>
      <c r="EM3081" s="501"/>
      <c r="EN3081" s="501"/>
      <c r="EO3081" s="501"/>
      <c r="EP3081" s="501"/>
      <c r="EQ3081" s="501"/>
      <c r="ER3081" s="501"/>
      <c r="ES3081" s="501"/>
      <c r="ET3081" s="501"/>
      <c r="EU3081" s="501"/>
      <c r="EV3081" s="501"/>
      <c r="EW3081" s="501"/>
      <c r="EX3081" s="501"/>
      <c r="EY3081" s="501"/>
      <c r="EZ3081" s="501"/>
      <c r="FA3081" s="501"/>
      <c r="FB3081" s="501"/>
      <c r="FC3081" s="501"/>
      <c r="FD3081" s="501"/>
      <c r="FE3081" s="501"/>
      <c r="FF3081" s="501"/>
      <c r="FG3081" s="501"/>
      <c r="FH3081" s="501"/>
      <c r="FI3081" s="501"/>
      <c r="FJ3081" s="501"/>
      <c r="FK3081" s="501"/>
      <c r="FL3081" s="501"/>
      <c r="FM3081" s="501"/>
      <c r="FN3081" s="501"/>
      <c r="FO3081" s="501"/>
      <c r="FP3081" s="501"/>
      <c r="FQ3081" s="501"/>
      <c r="FR3081" s="501"/>
      <c r="FS3081" s="501"/>
      <c r="FT3081" s="501"/>
      <c r="FU3081" s="501"/>
      <c r="FV3081" s="501"/>
      <c r="FW3081" s="501"/>
      <c r="FX3081" s="501"/>
      <c r="FY3081" s="501"/>
      <c r="FZ3081" s="501"/>
      <c r="GA3081" s="501"/>
      <c r="GB3081" s="501"/>
      <c r="GC3081" s="501"/>
      <c r="GD3081" s="501"/>
      <c r="GE3081" s="501"/>
      <c r="GF3081" s="501"/>
      <c r="GG3081" s="501"/>
      <c r="GH3081" s="501"/>
      <c r="GI3081" s="501"/>
      <c r="GJ3081" s="501"/>
      <c r="GK3081" s="501"/>
      <c r="GL3081" s="501"/>
      <c r="GM3081" s="501"/>
      <c r="GN3081" s="501"/>
      <c r="GO3081" s="501"/>
      <c r="GP3081" s="501"/>
      <c r="GQ3081" s="501"/>
      <c r="GR3081" s="501"/>
      <c r="GS3081" s="501"/>
      <c r="GT3081" s="501"/>
      <c r="GU3081" s="501"/>
      <c r="GV3081" s="501"/>
      <c r="GW3081" s="501"/>
      <c r="GX3081" s="501"/>
      <c r="GY3081" s="501"/>
      <c r="GZ3081" s="501"/>
      <c r="HA3081" s="501"/>
      <c r="HB3081" s="501"/>
      <c r="HC3081" s="501"/>
      <c r="HD3081" s="501"/>
      <c r="HE3081" s="501"/>
      <c r="HF3081" s="501"/>
      <c r="HG3081" s="501"/>
      <c r="HH3081" s="501"/>
      <c r="HI3081" s="501"/>
      <c r="HJ3081" s="501"/>
      <c r="HK3081" s="501"/>
      <c r="HL3081" s="501"/>
      <c r="HM3081" s="501"/>
      <c r="HN3081" s="501"/>
      <c r="HO3081" s="501"/>
      <c r="HP3081" s="501"/>
      <c r="HQ3081" s="501"/>
      <c r="HR3081" s="501"/>
      <c r="HS3081" s="501"/>
      <c r="HT3081" s="501"/>
      <c r="HU3081" s="501"/>
      <c r="HV3081" s="501"/>
      <c r="HW3081" s="501"/>
      <c r="HX3081" s="501"/>
      <c r="HY3081" s="501"/>
      <c r="HZ3081" s="501"/>
      <c r="IA3081" s="501"/>
      <c r="IB3081" s="501"/>
      <c r="IC3081" s="501"/>
      <c r="ID3081" s="501"/>
      <c r="IE3081" s="501"/>
      <c r="IF3081" s="501"/>
      <c r="IG3081" s="501"/>
      <c r="IH3081" s="501"/>
      <c r="II3081" s="501"/>
      <c r="IJ3081" s="501"/>
      <c r="IK3081" s="501"/>
      <c r="IL3081" s="501"/>
      <c r="IM3081" s="501"/>
      <c r="IN3081" s="501"/>
      <c r="IO3081" s="501"/>
      <c r="IP3081" s="501"/>
      <c r="IQ3081" s="501"/>
      <c r="IR3081" s="501"/>
      <c r="IS3081" s="501"/>
      <c r="IT3081" s="501"/>
      <c r="IU3081" s="501"/>
    </row>
    <row r="3082" spans="1:255" ht="24" customHeight="1">
      <c r="F3082" s="1071"/>
      <c r="G3082" s="1073"/>
      <c r="H3082" s="1071"/>
      <c r="I3082" s="1069"/>
      <c r="J3082" s="1074"/>
      <c r="K3082" s="1074"/>
      <c r="L3082" s="1070"/>
      <c r="M3082" s="1072"/>
    </row>
    <row r="3083" spans="1:255" ht="24" customHeight="1">
      <c r="F3083" s="1071"/>
      <c r="G3083" s="1073"/>
      <c r="H3083" s="1071"/>
      <c r="I3083" s="1069"/>
      <c r="J3083" s="1071"/>
      <c r="K3083" s="1071"/>
      <c r="L3083" s="1069"/>
      <c r="M3083" s="1072"/>
    </row>
    <row r="3084" spans="1:255" ht="24" customHeight="1">
      <c r="F3084" s="1071"/>
      <c r="G3084" s="1073"/>
      <c r="H3084" s="1071"/>
      <c r="I3084" s="1069"/>
      <c r="J3084" s="1070"/>
      <c r="K3084" s="1071"/>
      <c r="L3084" s="1069"/>
      <c r="M3084" s="1072"/>
    </row>
    <row r="3085" spans="1:255" ht="24" customHeight="1">
      <c r="F3085" s="1071"/>
      <c r="G3085" s="1073"/>
      <c r="H3085" s="1071"/>
      <c r="I3085" s="1069"/>
      <c r="J3085" s="1070"/>
      <c r="K3085" s="1071"/>
      <c r="L3085" s="1069"/>
      <c r="M3085" s="1072"/>
    </row>
    <row r="3086" spans="1:255" ht="24" customHeight="1">
      <c r="F3086" s="1071"/>
      <c r="G3086" s="1073"/>
      <c r="H3086" s="1071"/>
      <c r="I3086" s="1069"/>
      <c r="J3086" s="1070"/>
      <c r="K3086" s="1071"/>
      <c r="L3086" s="1069"/>
      <c r="M3086" s="1072"/>
    </row>
    <row r="3087" spans="1:255" ht="24" customHeight="1">
      <c r="F3087" s="1071"/>
      <c r="G3087" s="1073"/>
      <c r="H3087" s="1071"/>
      <c r="I3087" s="1069"/>
      <c r="J3087" s="1070"/>
      <c r="K3087" s="1071"/>
      <c r="L3087" s="1069"/>
      <c r="M3087" s="1072"/>
    </row>
    <row r="3088" spans="1:255" ht="24" customHeight="1">
      <c r="F3088" s="1071"/>
      <c r="G3088" s="1073"/>
      <c r="H3088" s="1071"/>
      <c r="I3088" s="1069"/>
      <c r="J3088" s="1070"/>
      <c r="K3088" s="1071"/>
      <c r="L3088" s="1069"/>
      <c r="M3088" s="1072"/>
      <c r="U3088" s="880"/>
    </row>
    <row r="3089" spans="6:21" ht="24" customHeight="1">
      <c r="F3089" s="1071"/>
      <c r="G3089" s="1073"/>
      <c r="H3089" s="1071"/>
      <c r="I3089" s="1069"/>
      <c r="J3089" s="1070"/>
      <c r="K3089" s="1071"/>
      <c r="L3089" s="1069"/>
      <c r="M3089" s="1072"/>
      <c r="U3089" s="501"/>
    </row>
    <row r="3090" spans="6:21" ht="24" customHeight="1">
      <c r="F3090" s="1071"/>
      <c r="G3090" s="1073"/>
      <c r="H3090" s="1071"/>
      <c r="I3090" s="1069"/>
      <c r="J3090" s="1070"/>
      <c r="K3090" s="1071"/>
      <c r="L3090" s="1070"/>
      <c r="M3090" s="1075"/>
      <c r="U3090" s="501"/>
    </row>
    <row r="3091" spans="6:21" ht="24" customHeight="1">
      <c r="F3091" s="1071"/>
      <c r="G3091" s="1073"/>
      <c r="H3091" s="1071"/>
      <c r="I3091" s="1069"/>
      <c r="J3091" s="1070"/>
      <c r="K3091" s="1071"/>
      <c r="L3091" s="1076"/>
      <c r="M3091" s="1075"/>
      <c r="U3091" s="501"/>
    </row>
    <row r="3092" spans="6:21" ht="24" customHeight="1">
      <c r="F3092" s="1071"/>
      <c r="G3092" s="1073"/>
      <c r="H3092" s="1071"/>
      <c r="I3092" s="1069"/>
      <c r="J3092" s="1070"/>
      <c r="K3092" s="1071"/>
      <c r="L3092" s="1069"/>
      <c r="M3092" s="1075"/>
      <c r="U3092" s="501"/>
    </row>
    <row r="3093" spans="6:21" ht="24" customHeight="1">
      <c r="F3093" s="1071"/>
      <c r="G3093" s="1073"/>
      <c r="H3093" s="1071"/>
      <c r="I3093" s="1069"/>
      <c r="J3093" s="1071"/>
      <c r="K3093" s="1071"/>
      <c r="L3093" s="1069"/>
      <c r="M3093" s="1072"/>
      <c r="U3093" s="501"/>
    </row>
    <row r="3094" spans="6:21" ht="24" customHeight="1">
      <c r="F3094" s="1077"/>
      <c r="G3094" s="1078"/>
      <c r="H3094" s="1077"/>
      <c r="I3094" s="1070"/>
      <c r="J3094" s="1070"/>
      <c r="K3094" s="1079"/>
      <c r="L3094" s="1070"/>
      <c r="M3094" s="1080"/>
      <c r="U3094" s="501"/>
    </row>
    <row r="3095" spans="6:21" ht="24" customHeight="1">
      <c r="F3095" s="1077"/>
      <c r="G3095" s="1078"/>
      <c r="H3095" s="1077"/>
      <c r="I3095" s="1070"/>
      <c r="J3095" s="1070"/>
      <c r="K3095" s="1079"/>
      <c r="L3095" s="1070"/>
      <c r="M3095" s="1080"/>
      <c r="U3095" s="501"/>
    </row>
    <row r="3096" spans="6:21" ht="24" customHeight="1">
      <c r="F3096" s="1077"/>
      <c r="G3096" s="1078"/>
      <c r="H3096" s="1077"/>
      <c r="I3096" s="1070"/>
      <c r="J3096" s="1070"/>
      <c r="K3096" s="1079"/>
      <c r="L3096" s="1070"/>
      <c r="M3096" s="1080"/>
      <c r="U3096" s="501"/>
    </row>
    <row r="3097" spans="6:21" ht="24" customHeight="1">
      <c r="F3097" s="1077"/>
      <c r="G3097" s="1078"/>
      <c r="H3097" s="1077"/>
      <c r="I3097" s="1070"/>
      <c r="J3097" s="1070"/>
      <c r="K3097" s="1079"/>
      <c r="L3097" s="1070"/>
      <c r="M3097" s="1080"/>
      <c r="U3097" s="501"/>
    </row>
    <row r="3098" spans="6:21" ht="24" customHeight="1">
      <c r="F3098" s="1077"/>
      <c r="G3098" s="1078"/>
      <c r="H3098" s="1077"/>
      <c r="I3098" s="1070"/>
      <c r="J3098" s="1070"/>
      <c r="K3098" s="1079"/>
      <c r="L3098" s="1070"/>
      <c r="M3098" s="1080"/>
      <c r="U3098" s="501"/>
    </row>
    <row r="3099" spans="6:21" ht="24" customHeight="1">
      <c r="F3099" s="1079"/>
      <c r="G3099" s="1082"/>
      <c r="H3099" s="1079"/>
      <c r="I3099" s="1070"/>
      <c r="J3099" s="1070"/>
      <c r="K3099" s="1081"/>
      <c r="L3099" s="1070"/>
      <c r="M3099" s="1080"/>
      <c r="U3099" s="501"/>
    </row>
    <row r="3100" spans="6:21" ht="24" customHeight="1">
      <c r="F3100" s="1079"/>
      <c r="G3100" s="1082"/>
      <c r="H3100" s="1079"/>
      <c r="I3100" s="1070"/>
      <c r="J3100" s="1070"/>
      <c r="K3100" s="1079"/>
      <c r="L3100" s="1070"/>
      <c r="M3100" s="1080"/>
      <c r="U3100" s="501"/>
    </row>
    <row r="3101" spans="6:21" ht="24" customHeight="1">
      <c r="F3101" s="1079"/>
      <c r="G3101" s="1082"/>
      <c r="H3101" s="1079"/>
      <c r="I3101" s="1070"/>
      <c r="J3101" s="1070"/>
      <c r="K3101" s="1079"/>
      <c r="L3101" s="1070"/>
      <c r="M3101" s="1080"/>
      <c r="U3101" s="501"/>
    </row>
    <row r="3102" spans="6:21" ht="24" customHeight="1">
      <c r="F3102" s="1079"/>
      <c r="G3102" s="1082"/>
      <c r="H3102" s="1079"/>
      <c r="I3102" s="1070"/>
      <c r="J3102" s="1070"/>
      <c r="K3102" s="1079"/>
      <c r="L3102" s="1070"/>
      <c r="M3102" s="1080"/>
      <c r="U3102" s="501"/>
    </row>
    <row r="3103" spans="6:21" ht="24" customHeight="1">
      <c r="F3103" s="1079"/>
      <c r="G3103" s="1082"/>
      <c r="H3103" s="1079"/>
      <c r="I3103" s="1070"/>
      <c r="J3103" s="1070"/>
      <c r="K3103" s="1079"/>
      <c r="L3103" s="1070"/>
      <c r="M3103" s="1080"/>
      <c r="U3103" s="501"/>
    </row>
    <row r="3104" spans="6:21" ht="24" customHeight="1">
      <c r="F3104" s="1071"/>
      <c r="G3104" s="1073"/>
      <c r="H3104" s="1071"/>
      <c r="I3104" s="1069"/>
      <c r="J3104" s="1070"/>
      <c r="K3104" s="1080"/>
      <c r="L3104" s="1069"/>
      <c r="M3104" s="1080"/>
      <c r="U3104" s="501"/>
    </row>
    <row r="3105" spans="6:21" ht="24" customHeight="1">
      <c r="F3105" s="1071"/>
      <c r="G3105" s="1073"/>
      <c r="H3105" s="1071"/>
      <c r="I3105" s="1069"/>
      <c r="J3105" s="1085"/>
      <c r="K3105" s="1085"/>
      <c r="L3105" s="1086"/>
      <c r="M3105" s="1087"/>
      <c r="U3105" s="501"/>
    </row>
    <row r="3106" spans="6:21" ht="24" customHeight="1">
      <c r="F3106" s="1071"/>
      <c r="G3106" s="1073"/>
      <c r="H3106" s="1071"/>
      <c r="I3106" s="1069"/>
      <c r="J3106" s="1088"/>
      <c r="K3106" s="1085"/>
      <c r="L3106" s="1086"/>
      <c r="M3106" s="1087"/>
      <c r="U3106" s="880"/>
    </row>
    <row r="3107" spans="6:21" ht="24" customHeight="1">
      <c r="F3107" s="1071"/>
      <c r="G3107" s="1073"/>
      <c r="H3107" s="1071"/>
      <c r="I3107" s="1070"/>
      <c r="J3107" s="1085"/>
      <c r="K3107" s="1085"/>
      <c r="L3107" s="1086"/>
      <c r="M3107" s="1087"/>
      <c r="U3107" s="501"/>
    </row>
    <row r="3108" spans="6:21" ht="24" customHeight="1">
      <c r="F3108" s="1071"/>
      <c r="G3108" s="1073"/>
      <c r="H3108" s="1071"/>
      <c r="I3108" s="1069"/>
      <c r="J3108" s="1088"/>
      <c r="K3108" s="1085"/>
      <c r="L3108" s="1086"/>
      <c r="M3108" s="1087"/>
      <c r="U3108" s="919"/>
    </row>
    <row r="3109" spans="6:21" ht="24" customHeight="1">
      <c r="F3109" s="1071"/>
      <c r="G3109" s="1073"/>
      <c r="H3109" s="1071"/>
      <c r="I3109" s="1069"/>
      <c r="J3109" s="1085"/>
      <c r="K3109" s="1085"/>
      <c r="L3109" s="1086"/>
      <c r="M3109" s="1087"/>
      <c r="U3109" s="919"/>
    </row>
    <row r="3110" spans="6:21" ht="24" customHeight="1">
      <c r="U3110" s="922"/>
    </row>
    <row r="3111" spans="6:21" ht="24" customHeight="1">
      <c r="U3111" s="922"/>
    </row>
    <row r="3112" spans="6:21" ht="24" customHeight="1">
      <c r="J3112" s="885"/>
      <c r="P3112" s="902"/>
      <c r="Q3112" s="885"/>
      <c r="S3112" s="874"/>
      <c r="U3112" s="545"/>
    </row>
    <row r="3113" spans="6:21" ht="24" customHeight="1">
      <c r="K3113" s="933"/>
      <c r="P3113" s="902"/>
      <c r="S3113" s="874"/>
      <c r="U3113" s="545"/>
    </row>
    <row r="3114" spans="6:21" ht="24" customHeight="1">
      <c r="K3114" s="933"/>
      <c r="P3114" s="902"/>
      <c r="S3114" s="874"/>
      <c r="U3114" s="545"/>
    </row>
    <row r="3115" spans="6:21" ht="24" customHeight="1">
      <c r="F3115" s="877"/>
      <c r="G3115" s="1043"/>
      <c r="H3115" s="877"/>
      <c r="O3115" s="877"/>
      <c r="P3115" s="902"/>
      <c r="S3115" s="874"/>
      <c r="U3115" s="545"/>
    </row>
    <row r="3116" spans="6:21" ht="24" customHeight="1">
      <c r="F3116" s="877"/>
      <c r="G3116" s="1043"/>
      <c r="H3116" s="877"/>
      <c r="O3116" s="877"/>
      <c r="P3116" s="902"/>
      <c r="S3116" s="874"/>
      <c r="U3116" s="545"/>
    </row>
    <row r="3117" spans="6:21" ht="24" customHeight="1">
      <c r="J3117" s="899"/>
      <c r="K3117" s="885"/>
      <c r="L3117" s="895"/>
      <c r="M3117" s="899"/>
      <c r="P3117" s="902"/>
      <c r="Q3117" s="899"/>
      <c r="R3117" s="885"/>
      <c r="S3117" s="895"/>
      <c r="T3117" s="885"/>
      <c r="U3117" s="545"/>
    </row>
    <row r="3118" spans="6:21" ht="24" customHeight="1">
      <c r="U3118" s="545"/>
    </row>
    <row r="3119" spans="6:21" ht="24" customHeight="1">
      <c r="U3119" s="501"/>
    </row>
    <row r="3120" spans="6:21" ht="24" customHeight="1">
      <c r="F3120" s="880"/>
      <c r="G3120" s="918"/>
      <c r="H3120" s="880"/>
      <c r="I3120" s="876"/>
      <c r="J3120" s="876"/>
      <c r="U3120" s="501"/>
    </row>
    <row r="3121" spans="10:26" ht="24" customHeight="1">
      <c r="J3121" s="876"/>
      <c r="U3121" s="501"/>
    </row>
    <row r="3122" spans="10:26" ht="24" customHeight="1">
      <c r="J3122" s="876"/>
      <c r="U3122" s="501"/>
    </row>
    <row r="3123" spans="10:26" ht="24" customHeight="1">
      <c r="J3123" s="876"/>
      <c r="U3123" s="880"/>
    </row>
    <row r="3124" spans="10:26" ht="24" customHeight="1">
      <c r="J3124" s="876"/>
      <c r="U3124" s="501"/>
      <c r="V3124" s="901"/>
      <c r="W3124" s="876"/>
      <c r="Y3124" s="874"/>
    </row>
    <row r="3125" spans="10:26" ht="24" customHeight="1">
      <c r="J3125" s="876"/>
      <c r="U3125" s="919"/>
      <c r="W3125" s="876"/>
      <c r="Y3125" s="874"/>
    </row>
    <row r="3126" spans="10:26" ht="24" customHeight="1">
      <c r="J3126" s="881"/>
      <c r="U3126" s="919"/>
      <c r="V3126" s="902"/>
      <c r="W3126" s="876"/>
      <c r="Y3126" s="874"/>
    </row>
    <row r="3127" spans="10:26" ht="24" customHeight="1">
      <c r="J3127" s="876"/>
      <c r="O3127" s="880"/>
      <c r="P3127" s="901"/>
      <c r="Q3127" s="876"/>
      <c r="S3127" s="874"/>
      <c r="U3127" s="922"/>
      <c r="V3127" s="902"/>
      <c r="W3127" s="876"/>
      <c r="Y3127" s="874"/>
    </row>
    <row r="3128" spans="10:26" ht="24" customHeight="1">
      <c r="J3128" s="876"/>
      <c r="P3128" s="902"/>
      <c r="Q3128" s="876"/>
      <c r="S3128" s="874"/>
      <c r="U3128" s="922"/>
      <c r="V3128" s="902"/>
      <c r="W3128" s="876"/>
      <c r="Y3128" s="874"/>
    </row>
    <row r="3129" spans="10:26" ht="24" customHeight="1">
      <c r="L3129" s="876"/>
      <c r="P3129" s="902"/>
      <c r="Q3129" s="876"/>
      <c r="S3129" s="874"/>
      <c r="U3129" s="545"/>
      <c r="V3129" s="902"/>
      <c r="W3129" s="902"/>
      <c r="Y3129" s="874"/>
    </row>
    <row r="3130" spans="10:26" ht="24" customHeight="1">
      <c r="J3130" s="876"/>
      <c r="P3130" s="902"/>
      <c r="Q3130" s="876"/>
      <c r="S3130" s="874"/>
      <c r="U3130" s="545"/>
      <c r="V3130" s="902"/>
      <c r="W3130" s="883"/>
      <c r="Y3130" s="874"/>
    </row>
    <row r="3131" spans="10:26" ht="24" customHeight="1">
      <c r="J3131" s="876"/>
      <c r="K3131" s="876"/>
      <c r="M3131" s="946"/>
      <c r="P3131" s="902"/>
      <c r="Q3131" s="876"/>
      <c r="S3131" s="874"/>
      <c r="U3131" s="545"/>
      <c r="V3131" s="902"/>
      <c r="W3131" s="876"/>
      <c r="X3131" s="927"/>
      <c r="Y3131" s="874"/>
    </row>
    <row r="3132" spans="10:26" ht="24" customHeight="1">
      <c r="L3132" s="876"/>
      <c r="M3132" s="882"/>
      <c r="P3132" s="902"/>
      <c r="Q3132" s="876"/>
      <c r="S3132" s="874"/>
      <c r="U3132" s="545"/>
      <c r="V3132" s="902"/>
      <c r="W3132" s="876"/>
      <c r="X3132" s="960"/>
      <c r="Y3132" s="874"/>
    </row>
    <row r="3133" spans="10:26" ht="24" customHeight="1">
      <c r="J3133" s="876"/>
      <c r="L3133" s="945"/>
      <c r="M3133" s="946"/>
      <c r="P3133" s="902"/>
      <c r="Q3133" s="883"/>
      <c r="S3133" s="874"/>
      <c r="U3133" s="545"/>
      <c r="V3133" s="902"/>
      <c r="Y3133" s="876"/>
    </row>
    <row r="3134" spans="10:26" ht="24" customHeight="1">
      <c r="J3134" s="876"/>
      <c r="M3134" s="946"/>
      <c r="P3134" s="902"/>
      <c r="Q3134" s="876"/>
      <c r="R3134" s="927"/>
      <c r="S3134" s="874"/>
      <c r="U3134" s="545"/>
      <c r="V3134" s="902"/>
      <c r="W3134" s="876"/>
      <c r="X3134" s="960"/>
      <c r="Y3134" s="874"/>
    </row>
    <row r="3135" spans="10:26" ht="24" customHeight="1">
      <c r="M3135" s="882"/>
      <c r="P3135" s="902"/>
      <c r="Q3135" s="876"/>
      <c r="R3135" s="960"/>
      <c r="S3135" s="874"/>
      <c r="U3135" s="545"/>
      <c r="V3135" s="902"/>
      <c r="W3135" s="876"/>
      <c r="X3135" s="876"/>
      <c r="Y3135" s="874"/>
      <c r="Z3135" s="945"/>
    </row>
    <row r="3136" spans="10:26" ht="24" customHeight="1">
      <c r="M3136" s="946"/>
      <c r="P3136" s="902"/>
      <c r="S3136" s="876"/>
      <c r="U3136" s="501"/>
      <c r="V3136" s="902"/>
      <c r="Y3136" s="876"/>
      <c r="Z3136" s="876"/>
    </row>
    <row r="3137" spans="1:255" ht="24" customHeight="1">
      <c r="M3137" s="882"/>
      <c r="P3137" s="902"/>
      <c r="Q3137" s="876"/>
      <c r="R3137" s="960"/>
      <c r="S3137" s="874"/>
      <c r="U3137" s="501"/>
      <c r="V3137" s="902"/>
      <c r="W3137" s="876"/>
      <c r="Y3137" s="945"/>
      <c r="Z3137" s="945"/>
    </row>
    <row r="3138" spans="1:255" ht="24" customHeight="1">
      <c r="F3138" s="880"/>
      <c r="G3138" s="918"/>
      <c r="H3138" s="880"/>
      <c r="I3138" s="876"/>
      <c r="J3138" s="876"/>
      <c r="M3138" s="882"/>
      <c r="P3138" s="902"/>
      <c r="Q3138" s="876"/>
      <c r="R3138" s="876"/>
      <c r="S3138" s="874"/>
      <c r="T3138" s="945"/>
      <c r="U3138" s="501"/>
      <c r="V3138" s="902"/>
      <c r="W3138" s="876"/>
      <c r="Y3138" s="874"/>
      <c r="Z3138" s="945"/>
    </row>
    <row r="3139" spans="1:255" ht="24" customHeight="1">
      <c r="J3139" s="881"/>
      <c r="P3139" s="902"/>
      <c r="S3139" s="876"/>
      <c r="T3139" s="876"/>
      <c r="V3139" s="902"/>
      <c r="X3139" s="885"/>
      <c r="Y3139" s="874"/>
      <c r="Z3139" s="876"/>
    </row>
    <row r="3140" spans="1:255" ht="24" customHeight="1">
      <c r="F3140" s="919"/>
      <c r="G3140" s="938"/>
      <c r="H3140" s="919"/>
      <c r="I3140" s="876"/>
      <c r="J3140" s="876"/>
      <c r="K3140" s="545"/>
      <c r="L3140" s="876"/>
      <c r="M3140" s="882"/>
      <c r="P3140" s="902"/>
      <c r="Q3140" s="876"/>
      <c r="S3140" s="945"/>
      <c r="T3140" s="945"/>
      <c r="V3140" s="902"/>
      <c r="Y3140" s="874"/>
      <c r="Z3140" s="945"/>
    </row>
    <row r="3141" spans="1:255" ht="24" customHeight="1">
      <c r="F3141" s="922"/>
      <c r="G3141" s="923"/>
      <c r="H3141" s="922"/>
      <c r="I3141" s="876"/>
      <c r="J3141" s="876"/>
      <c r="K3141" s="545"/>
      <c r="L3141" s="876"/>
      <c r="M3141" s="882"/>
      <c r="P3141" s="902"/>
      <c r="Q3141" s="876"/>
      <c r="S3141" s="874"/>
      <c r="T3141" s="945"/>
      <c r="V3141" s="902"/>
      <c r="Y3141" s="874"/>
      <c r="Z3141" s="876"/>
    </row>
    <row r="3142" spans="1:255" ht="24" customHeight="1">
      <c r="F3142" s="922"/>
      <c r="G3142" s="923"/>
      <c r="H3142" s="922"/>
      <c r="I3142" s="876"/>
      <c r="J3142" s="876"/>
      <c r="K3142" s="545"/>
      <c r="L3142" s="876"/>
      <c r="M3142" s="882"/>
      <c r="P3142" s="902"/>
      <c r="R3142" s="885"/>
      <c r="S3142" s="874"/>
      <c r="T3142" s="876"/>
      <c r="V3142" s="901"/>
      <c r="W3142" s="876"/>
      <c r="Y3142" s="874"/>
      <c r="Z3142" s="876"/>
    </row>
    <row r="3143" spans="1:255" ht="24" customHeight="1">
      <c r="F3143" s="922"/>
      <c r="G3143" s="923"/>
      <c r="H3143" s="922"/>
      <c r="I3143" s="876"/>
      <c r="J3143" s="876"/>
      <c r="K3143" s="545"/>
      <c r="L3143" s="876"/>
      <c r="M3143" s="882"/>
      <c r="P3143" s="902"/>
      <c r="S3143" s="874"/>
      <c r="T3143" s="945"/>
      <c r="V3143" s="902"/>
      <c r="W3143" s="881"/>
      <c r="Y3143" s="874"/>
    </row>
    <row r="3144" spans="1:255" ht="24" customHeight="1">
      <c r="F3144" s="545"/>
      <c r="G3144" s="889"/>
      <c r="H3144" s="545"/>
      <c r="I3144" s="876"/>
      <c r="J3144" s="876"/>
      <c r="K3144" s="545"/>
      <c r="L3144" s="876"/>
      <c r="M3144" s="882"/>
      <c r="P3144" s="902"/>
      <c r="S3144" s="874"/>
      <c r="T3144" s="876"/>
      <c r="V3144" s="901"/>
      <c r="W3144" s="876"/>
      <c r="X3144" s="545"/>
      <c r="Y3144" s="876"/>
      <c r="Z3144" s="545"/>
    </row>
    <row r="3145" spans="1:255" ht="24" customHeight="1">
      <c r="F3145" s="545"/>
      <c r="G3145" s="889"/>
      <c r="H3145" s="545"/>
      <c r="I3145" s="876"/>
      <c r="J3145" s="876"/>
      <c r="K3145" s="545"/>
      <c r="L3145" s="876"/>
      <c r="M3145" s="882"/>
      <c r="O3145" s="880"/>
      <c r="P3145" s="901"/>
      <c r="Q3145" s="876"/>
      <c r="S3145" s="874"/>
      <c r="T3145" s="876"/>
      <c r="V3145" s="901"/>
      <c r="W3145" s="876"/>
      <c r="X3145" s="545"/>
      <c r="Y3145" s="876"/>
      <c r="Z3145" s="545"/>
    </row>
    <row r="3146" spans="1:255" s="877" customFormat="1" ht="24" customHeight="1">
      <c r="A3146" s="501"/>
      <c r="B3146" s="501"/>
      <c r="C3146" s="501"/>
      <c r="D3146" s="501"/>
      <c r="E3146" s="501"/>
      <c r="F3146" s="545"/>
      <c r="G3146" s="889"/>
      <c r="H3146" s="545"/>
      <c r="I3146" s="876"/>
      <c r="J3146" s="876"/>
      <c r="K3146" s="545"/>
      <c r="L3146" s="876"/>
      <c r="M3146" s="882"/>
      <c r="N3146" s="501"/>
      <c r="O3146" s="501"/>
      <c r="P3146" s="902"/>
      <c r="Q3146" s="881"/>
      <c r="R3146" s="501"/>
      <c r="S3146" s="874"/>
      <c r="T3146" s="501"/>
      <c r="V3146" s="901"/>
      <c r="W3146" s="876"/>
      <c r="X3146" s="545"/>
      <c r="Y3146" s="876"/>
      <c r="Z3146" s="545"/>
      <c r="AA3146" s="501"/>
      <c r="AB3146" s="501"/>
      <c r="AC3146" s="501"/>
      <c r="AD3146" s="501"/>
      <c r="AE3146" s="501"/>
      <c r="AF3146" s="501"/>
      <c r="AG3146" s="501"/>
      <c r="AH3146" s="501"/>
      <c r="AI3146" s="501"/>
      <c r="AJ3146" s="501"/>
      <c r="AK3146" s="501"/>
      <c r="AL3146" s="501"/>
      <c r="AM3146" s="501"/>
      <c r="AN3146" s="501"/>
      <c r="AO3146" s="501"/>
      <c r="AP3146" s="501"/>
      <c r="AQ3146" s="501"/>
      <c r="AR3146" s="501"/>
      <c r="AS3146" s="501"/>
      <c r="AT3146" s="501"/>
      <c r="AU3146" s="501"/>
      <c r="AV3146" s="501"/>
      <c r="AW3146" s="501"/>
      <c r="AX3146" s="501"/>
      <c r="AY3146" s="501"/>
      <c r="AZ3146" s="501"/>
      <c r="BA3146" s="501"/>
      <c r="BB3146" s="501"/>
      <c r="BC3146" s="501"/>
      <c r="BD3146" s="501"/>
      <c r="BE3146" s="501"/>
      <c r="BF3146" s="501"/>
      <c r="BG3146" s="501"/>
      <c r="BH3146" s="501"/>
      <c r="BI3146" s="501"/>
      <c r="BJ3146" s="501"/>
      <c r="BK3146" s="501"/>
      <c r="BL3146" s="501"/>
      <c r="BM3146" s="501"/>
      <c r="BN3146" s="501"/>
      <c r="BO3146" s="501"/>
      <c r="BP3146" s="501"/>
      <c r="BQ3146" s="501"/>
      <c r="BR3146" s="501"/>
      <c r="BS3146" s="501"/>
      <c r="BT3146" s="501"/>
      <c r="BU3146" s="501"/>
      <c r="BV3146" s="501"/>
      <c r="BW3146" s="501"/>
      <c r="BX3146" s="501"/>
      <c r="BY3146" s="501"/>
      <c r="BZ3146" s="501"/>
      <c r="CA3146" s="501"/>
      <c r="CB3146" s="501"/>
      <c r="CC3146" s="501"/>
      <c r="CD3146" s="501"/>
      <c r="CE3146" s="501"/>
      <c r="CF3146" s="501"/>
      <c r="CG3146" s="501"/>
      <c r="CH3146" s="501"/>
      <c r="CI3146" s="501"/>
      <c r="CJ3146" s="501"/>
      <c r="CK3146" s="501"/>
      <c r="CL3146" s="501"/>
      <c r="CM3146" s="501"/>
      <c r="CN3146" s="501"/>
      <c r="CO3146" s="501"/>
      <c r="CP3146" s="501"/>
      <c r="CQ3146" s="501"/>
      <c r="CR3146" s="501"/>
      <c r="CS3146" s="501"/>
      <c r="CT3146" s="501"/>
      <c r="CU3146" s="501"/>
      <c r="CV3146" s="501"/>
      <c r="CW3146" s="501"/>
      <c r="CX3146" s="501"/>
      <c r="CY3146" s="501"/>
      <c r="CZ3146" s="501"/>
      <c r="DA3146" s="501"/>
      <c r="DB3146" s="501"/>
      <c r="DC3146" s="501"/>
      <c r="DD3146" s="501"/>
      <c r="DE3146" s="501"/>
      <c r="DF3146" s="501"/>
      <c r="DG3146" s="501"/>
      <c r="DH3146" s="501"/>
      <c r="DI3146" s="501"/>
      <c r="DJ3146" s="501"/>
      <c r="DK3146" s="501"/>
      <c r="DL3146" s="501"/>
      <c r="DM3146" s="501"/>
      <c r="DN3146" s="501"/>
      <c r="DO3146" s="501"/>
      <c r="DP3146" s="501"/>
      <c r="DQ3146" s="501"/>
      <c r="DR3146" s="501"/>
      <c r="DS3146" s="501"/>
      <c r="DT3146" s="501"/>
      <c r="DU3146" s="501"/>
      <c r="DV3146" s="501"/>
      <c r="DW3146" s="501"/>
      <c r="DX3146" s="501"/>
      <c r="DY3146" s="501"/>
      <c r="DZ3146" s="501"/>
      <c r="EA3146" s="501"/>
      <c r="EB3146" s="501"/>
      <c r="EC3146" s="501"/>
      <c r="ED3146" s="501"/>
      <c r="EE3146" s="501"/>
      <c r="EF3146" s="501"/>
      <c r="EG3146" s="501"/>
      <c r="EH3146" s="501"/>
      <c r="EI3146" s="501"/>
      <c r="EJ3146" s="501"/>
      <c r="EK3146" s="501"/>
      <c r="EL3146" s="501"/>
      <c r="EM3146" s="501"/>
      <c r="EN3146" s="501"/>
      <c r="EO3146" s="501"/>
      <c r="EP3146" s="501"/>
      <c r="EQ3146" s="501"/>
      <c r="ER3146" s="501"/>
      <c r="ES3146" s="501"/>
      <c r="ET3146" s="501"/>
      <c r="EU3146" s="501"/>
      <c r="EV3146" s="501"/>
      <c r="EW3146" s="501"/>
      <c r="EX3146" s="501"/>
      <c r="EY3146" s="501"/>
      <c r="EZ3146" s="501"/>
      <c r="FA3146" s="501"/>
      <c r="FB3146" s="501"/>
      <c r="FC3146" s="501"/>
      <c r="FD3146" s="501"/>
      <c r="FE3146" s="501"/>
      <c r="FF3146" s="501"/>
      <c r="FG3146" s="501"/>
      <c r="FH3146" s="501"/>
      <c r="FI3146" s="501"/>
      <c r="FJ3146" s="501"/>
      <c r="FK3146" s="501"/>
      <c r="FL3146" s="501"/>
      <c r="FM3146" s="501"/>
      <c r="FN3146" s="501"/>
      <c r="FO3146" s="501"/>
      <c r="FP3146" s="501"/>
      <c r="FQ3146" s="501"/>
      <c r="FR3146" s="501"/>
      <c r="FS3146" s="501"/>
      <c r="FT3146" s="501"/>
      <c r="FU3146" s="501"/>
      <c r="FV3146" s="501"/>
      <c r="FW3146" s="501"/>
      <c r="FX3146" s="501"/>
      <c r="FY3146" s="501"/>
      <c r="FZ3146" s="501"/>
      <c r="GA3146" s="501"/>
      <c r="GB3146" s="501"/>
      <c r="GC3146" s="501"/>
      <c r="GD3146" s="501"/>
      <c r="GE3146" s="501"/>
      <c r="GF3146" s="501"/>
      <c r="GG3146" s="501"/>
      <c r="GH3146" s="501"/>
      <c r="GI3146" s="501"/>
      <c r="GJ3146" s="501"/>
      <c r="GK3146" s="501"/>
      <c r="GL3146" s="501"/>
      <c r="GM3146" s="501"/>
      <c r="GN3146" s="501"/>
      <c r="GO3146" s="501"/>
      <c r="GP3146" s="501"/>
      <c r="GQ3146" s="501"/>
      <c r="GR3146" s="501"/>
      <c r="GS3146" s="501"/>
      <c r="GT3146" s="501"/>
      <c r="GU3146" s="501"/>
      <c r="GV3146" s="501"/>
      <c r="GW3146" s="501"/>
      <c r="GX3146" s="501"/>
      <c r="GY3146" s="501"/>
      <c r="GZ3146" s="501"/>
      <c r="HA3146" s="501"/>
      <c r="HB3146" s="501"/>
      <c r="HC3146" s="501"/>
      <c r="HD3146" s="501"/>
      <c r="HE3146" s="501"/>
      <c r="HF3146" s="501"/>
      <c r="HG3146" s="501"/>
      <c r="HH3146" s="501"/>
      <c r="HI3146" s="501"/>
      <c r="HJ3146" s="501"/>
      <c r="HK3146" s="501"/>
      <c r="HL3146" s="501"/>
      <c r="HM3146" s="501"/>
      <c r="HN3146" s="501"/>
      <c r="HO3146" s="501"/>
      <c r="HP3146" s="501"/>
      <c r="HQ3146" s="501"/>
      <c r="HR3146" s="501"/>
      <c r="HS3146" s="501"/>
      <c r="HT3146" s="501"/>
      <c r="HU3146" s="501"/>
      <c r="HV3146" s="501"/>
      <c r="HW3146" s="501"/>
      <c r="HX3146" s="501"/>
      <c r="HY3146" s="501"/>
      <c r="HZ3146" s="501"/>
      <c r="IA3146" s="501"/>
      <c r="IB3146" s="501"/>
      <c r="IC3146" s="501"/>
      <c r="ID3146" s="501"/>
      <c r="IE3146" s="501"/>
      <c r="IF3146" s="501"/>
      <c r="IG3146" s="501"/>
      <c r="IH3146" s="501"/>
      <c r="II3146" s="501"/>
      <c r="IJ3146" s="501"/>
      <c r="IK3146" s="501"/>
      <c r="IL3146" s="501"/>
      <c r="IM3146" s="501"/>
      <c r="IN3146" s="501"/>
      <c r="IO3146" s="501"/>
      <c r="IP3146" s="501"/>
      <c r="IQ3146" s="501"/>
      <c r="IR3146" s="501"/>
      <c r="IS3146" s="501"/>
      <c r="IT3146" s="501"/>
      <c r="IU3146" s="501"/>
    </row>
    <row r="3147" spans="1:255" s="877" customFormat="1" ht="24" customHeight="1">
      <c r="A3147" s="501"/>
      <c r="B3147" s="501"/>
      <c r="C3147" s="501"/>
      <c r="D3147" s="501"/>
      <c r="E3147" s="501"/>
      <c r="F3147" s="545"/>
      <c r="G3147" s="889"/>
      <c r="H3147" s="545"/>
      <c r="I3147" s="876"/>
      <c r="J3147" s="876"/>
      <c r="K3147" s="545"/>
      <c r="L3147" s="876"/>
      <c r="M3147" s="882"/>
      <c r="N3147" s="501"/>
      <c r="O3147" s="919"/>
      <c r="P3147" s="901"/>
      <c r="Q3147" s="876"/>
      <c r="R3147" s="545"/>
      <c r="S3147" s="876"/>
      <c r="T3147" s="545"/>
      <c r="V3147" s="901"/>
      <c r="W3147" s="876"/>
      <c r="X3147" s="545"/>
      <c r="Y3147" s="876"/>
      <c r="Z3147" s="545"/>
      <c r="AA3147" s="501"/>
      <c r="AB3147" s="501"/>
      <c r="AC3147" s="501"/>
      <c r="AD3147" s="501"/>
      <c r="AE3147" s="501"/>
      <c r="AF3147" s="501"/>
      <c r="AG3147" s="501"/>
      <c r="AH3147" s="501"/>
      <c r="AI3147" s="501"/>
      <c r="AJ3147" s="501"/>
      <c r="AK3147" s="501"/>
      <c r="AL3147" s="501"/>
      <c r="AM3147" s="501"/>
      <c r="AN3147" s="501"/>
      <c r="AO3147" s="501"/>
      <c r="AP3147" s="501"/>
      <c r="AQ3147" s="501"/>
      <c r="AR3147" s="501"/>
      <c r="AS3147" s="501"/>
      <c r="AT3147" s="501"/>
      <c r="AU3147" s="501"/>
      <c r="AV3147" s="501"/>
      <c r="AW3147" s="501"/>
      <c r="AX3147" s="501"/>
      <c r="AY3147" s="501"/>
      <c r="AZ3147" s="501"/>
      <c r="BA3147" s="501"/>
      <c r="BB3147" s="501"/>
      <c r="BC3147" s="501"/>
      <c r="BD3147" s="501"/>
      <c r="BE3147" s="501"/>
      <c r="BF3147" s="501"/>
      <c r="BG3147" s="501"/>
      <c r="BH3147" s="501"/>
      <c r="BI3147" s="501"/>
      <c r="BJ3147" s="501"/>
      <c r="BK3147" s="501"/>
      <c r="BL3147" s="501"/>
      <c r="BM3147" s="501"/>
      <c r="BN3147" s="501"/>
      <c r="BO3147" s="501"/>
      <c r="BP3147" s="501"/>
      <c r="BQ3147" s="501"/>
      <c r="BR3147" s="501"/>
      <c r="BS3147" s="501"/>
      <c r="BT3147" s="501"/>
      <c r="BU3147" s="501"/>
      <c r="BV3147" s="501"/>
      <c r="BW3147" s="501"/>
      <c r="BX3147" s="501"/>
      <c r="BY3147" s="501"/>
      <c r="BZ3147" s="501"/>
      <c r="CA3147" s="501"/>
      <c r="CB3147" s="501"/>
      <c r="CC3147" s="501"/>
      <c r="CD3147" s="501"/>
      <c r="CE3147" s="501"/>
      <c r="CF3147" s="501"/>
      <c r="CG3147" s="501"/>
      <c r="CH3147" s="501"/>
      <c r="CI3147" s="501"/>
      <c r="CJ3147" s="501"/>
      <c r="CK3147" s="501"/>
      <c r="CL3147" s="501"/>
      <c r="CM3147" s="501"/>
      <c r="CN3147" s="501"/>
      <c r="CO3147" s="501"/>
      <c r="CP3147" s="501"/>
      <c r="CQ3147" s="501"/>
      <c r="CR3147" s="501"/>
      <c r="CS3147" s="501"/>
      <c r="CT3147" s="501"/>
      <c r="CU3147" s="501"/>
      <c r="CV3147" s="501"/>
      <c r="CW3147" s="501"/>
      <c r="CX3147" s="501"/>
      <c r="CY3147" s="501"/>
      <c r="CZ3147" s="501"/>
      <c r="DA3147" s="501"/>
      <c r="DB3147" s="501"/>
      <c r="DC3147" s="501"/>
      <c r="DD3147" s="501"/>
      <c r="DE3147" s="501"/>
      <c r="DF3147" s="501"/>
      <c r="DG3147" s="501"/>
      <c r="DH3147" s="501"/>
      <c r="DI3147" s="501"/>
      <c r="DJ3147" s="501"/>
      <c r="DK3147" s="501"/>
      <c r="DL3147" s="501"/>
      <c r="DM3147" s="501"/>
      <c r="DN3147" s="501"/>
      <c r="DO3147" s="501"/>
      <c r="DP3147" s="501"/>
      <c r="DQ3147" s="501"/>
      <c r="DR3147" s="501"/>
      <c r="DS3147" s="501"/>
      <c r="DT3147" s="501"/>
      <c r="DU3147" s="501"/>
      <c r="DV3147" s="501"/>
      <c r="DW3147" s="501"/>
      <c r="DX3147" s="501"/>
      <c r="DY3147" s="501"/>
      <c r="DZ3147" s="501"/>
      <c r="EA3147" s="501"/>
      <c r="EB3147" s="501"/>
      <c r="EC3147" s="501"/>
      <c r="ED3147" s="501"/>
      <c r="EE3147" s="501"/>
      <c r="EF3147" s="501"/>
      <c r="EG3147" s="501"/>
      <c r="EH3147" s="501"/>
      <c r="EI3147" s="501"/>
      <c r="EJ3147" s="501"/>
      <c r="EK3147" s="501"/>
      <c r="EL3147" s="501"/>
      <c r="EM3147" s="501"/>
      <c r="EN3147" s="501"/>
      <c r="EO3147" s="501"/>
      <c r="EP3147" s="501"/>
      <c r="EQ3147" s="501"/>
      <c r="ER3147" s="501"/>
      <c r="ES3147" s="501"/>
      <c r="ET3147" s="501"/>
      <c r="EU3147" s="501"/>
      <c r="EV3147" s="501"/>
      <c r="EW3147" s="501"/>
      <c r="EX3147" s="501"/>
      <c r="EY3147" s="501"/>
      <c r="EZ3147" s="501"/>
      <c r="FA3147" s="501"/>
      <c r="FB3147" s="501"/>
      <c r="FC3147" s="501"/>
      <c r="FD3147" s="501"/>
      <c r="FE3147" s="501"/>
      <c r="FF3147" s="501"/>
      <c r="FG3147" s="501"/>
      <c r="FH3147" s="501"/>
      <c r="FI3147" s="501"/>
      <c r="FJ3147" s="501"/>
      <c r="FK3147" s="501"/>
      <c r="FL3147" s="501"/>
      <c r="FM3147" s="501"/>
      <c r="FN3147" s="501"/>
      <c r="FO3147" s="501"/>
      <c r="FP3147" s="501"/>
      <c r="FQ3147" s="501"/>
      <c r="FR3147" s="501"/>
      <c r="FS3147" s="501"/>
      <c r="FT3147" s="501"/>
      <c r="FU3147" s="501"/>
      <c r="FV3147" s="501"/>
      <c r="FW3147" s="501"/>
      <c r="FX3147" s="501"/>
      <c r="FY3147" s="501"/>
      <c r="FZ3147" s="501"/>
      <c r="GA3147" s="501"/>
      <c r="GB3147" s="501"/>
      <c r="GC3147" s="501"/>
      <c r="GD3147" s="501"/>
      <c r="GE3147" s="501"/>
      <c r="GF3147" s="501"/>
      <c r="GG3147" s="501"/>
      <c r="GH3147" s="501"/>
      <c r="GI3147" s="501"/>
      <c r="GJ3147" s="501"/>
      <c r="GK3147" s="501"/>
      <c r="GL3147" s="501"/>
      <c r="GM3147" s="501"/>
      <c r="GN3147" s="501"/>
      <c r="GO3147" s="501"/>
      <c r="GP3147" s="501"/>
      <c r="GQ3147" s="501"/>
      <c r="GR3147" s="501"/>
      <c r="GS3147" s="501"/>
      <c r="GT3147" s="501"/>
      <c r="GU3147" s="501"/>
      <c r="GV3147" s="501"/>
      <c r="GW3147" s="501"/>
      <c r="GX3147" s="501"/>
      <c r="GY3147" s="501"/>
      <c r="GZ3147" s="501"/>
      <c r="HA3147" s="501"/>
      <c r="HB3147" s="501"/>
      <c r="HC3147" s="501"/>
      <c r="HD3147" s="501"/>
      <c r="HE3147" s="501"/>
      <c r="HF3147" s="501"/>
      <c r="HG3147" s="501"/>
      <c r="HH3147" s="501"/>
      <c r="HI3147" s="501"/>
      <c r="HJ3147" s="501"/>
      <c r="HK3147" s="501"/>
      <c r="HL3147" s="501"/>
      <c r="HM3147" s="501"/>
      <c r="HN3147" s="501"/>
      <c r="HO3147" s="501"/>
      <c r="HP3147" s="501"/>
      <c r="HQ3147" s="501"/>
      <c r="HR3147" s="501"/>
      <c r="HS3147" s="501"/>
      <c r="HT3147" s="501"/>
      <c r="HU3147" s="501"/>
      <c r="HV3147" s="501"/>
      <c r="HW3147" s="501"/>
      <c r="HX3147" s="501"/>
      <c r="HY3147" s="501"/>
      <c r="HZ3147" s="501"/>
      <c r="IA3147" s="501"/>
      <c r="IB3147" s="501"/>
      <c r="IC3147" s="501"/>
      <c r="ID3147" s="501"/>
      <c r="IE3147" s="501"/>
      <c r="IF3147" s="501"/>
      <c r="IG3147" s="501"/>
      <c r="IH3147" s="501"/>
      <c r="II3147" s="501"/>
      <c r="IJ3147" s="501"/>
      <c r="IK3147" s="501"/>
      <c r="IL3147" s="501"/>
      <c r="IM3147" s="501"/>
      <c r="IN3147" s="501"/>
      <c r="IO3147" s="501"/>
      <c r="IP3147" s="501"/>
      <c r="IQ3147" s="501"/>
      <c r="IR3147" s="501"/>
      <c r="IS3147" s="501"/>
      <c r="IT3147" s="501"/>
      <c r="IU3147" s="501"/>
    </row>
    <row r="3148" spans="1:255" s="877" customFormat="1" ht="24" customHeight="1">
      <c r="A3148" s="501"/>
      <c r="B3148" s="501"/>
      <c r="C3148" s="501"/>
      <c r="D3148" s="501"/>
      <c r="E3148" s="501"/>
      <c r="F3148" s="545"/>
      <c r="G3148" s="889"/>
      <c r="H3148" s="545"/>
      <c r="I3148" s="876"/>
      <c r="J3148" s="876"/>
      <c r="K3148" s="545"/>
      <c r="L3148" s="876"/>
      <c r="M3148" s="882"/>
      <c r="N3148" s="501"/>
      <c r="O3148" s="919"/>
      <c r="P3148" s="901"/>
      <c r="Q3148" s="876"/>
      <c r="R3148" s="545"/>
      <c r="S3148" s="876"/>
      <c r="T3148" s="545"/>
      <c r="V3148" s="901"/>
      <c r="W3148" s="876"/>
      <c r="X3148" s="545"/>
      <c r="Y3148" s="876"/>
      <c r="Z3148" s="545"/>
      <c r="AA3148" s="501"/>
      <c r="AB3148" s="501"/>
      <c r="AC3148" s="501"/>
      <c r="AD3148" s="501"/>
      <c r="AE3148" s="501"/>
      <c r="AF3148" s="501"/>
      <c r="AG3148" s="501"/>
      <c r="AH3148" s="501"/>
      <c r="AI3148" s="501"/>
      <c r="AJ3148" s="501"/>
      <c r="AK3148" s="501"/>
      <c r="AL3148" s="501"/>
      <c r="AM3148" s="501"/>
      <c r="AN3148" s="501"/>
      <c r="AO3148" s="501"/>
      <c r="AP3148" s="501"/>
      <c r="AQ3148" s="501"/>
      <c r="AR3148" s="501"/>
      <c r="AS3148" s="501"/>
      <c r="AT3148" s="501"/>
      <c r="AU3148" s="501"/>
      <c r="AV3148" s="501"/>
      <c r="AW3148" s="501"/>
      <c r="AX3148" s="501"/>
      <c r="AY3148" s="501"/>
      <c r="AZ3148" s="501"/>
      <c r="BA3148" s="501"/>
      <c r="BB3148" s="501"/>
      <c r="BC3148" s="501"/>
      <c r="BD3148" s="501"/>
      <c r="BE3148" s="501"/>
      <c r="BF3148" s="501"/>
      <c r="BG3148" s="501"/>
      <c r="BH3148" s="501"/>
      <c r="BI3148" s="501"/>
      <c r="BJ3148" s="501"/>
      <c r="BK3148" s="501"/>
      <c r="BL3148" s="501"/>
      <c r="BM3148" s="501"/>
      <c r="BN3148" s="501"/>
      <c r="BO3148" s="501"/>
      <c r="BP3148" s="501"/>
      <c r="BQ3148" s="501"/>
      <c r="BR3148" s="501"/>
      <c r="BS3148" s="501"/>
      <c r="BT3148" s="501"/>
      <c r="BU3148" s="501"/>
      <c r="BV3148" s="501"/>
      <c r="BW3148" s="501"/>
      <c r="BX3148" s="501"/>
      <c r="BY3148" s="501"/>
      <c r="BZ3148" s="501"/>
      <c r="CA3148" s="501"/>
      <c r="CB3148" s="501"/>
      <c r="CC3148" s="501"/>
      <c r="CD3148" s="501"/>
      <c r="CE3148" s="501"/>
      <c r="CF3148" s="501"/>
      <c r="CG3148" s="501"/>
      <c r="CH3148" s="501"/>
      <c r="CI3148" s="501"/>
      <c r="CJ3148" s="501"/>
      <c r="CK3148" s="501"/>
      <c r="CL3148" s="501"/>
      <c r="CM3148" s="501"/>
      <c r="CN3148" s="501"/>
      <c r="CO3148" s="501"/>
      <c r="CP3148" s="501"/>
      <c r="CQ3148" s="501"/>
      <c r="CR3148" s="501"/>
      <c r="CS3148" s="501"/>
      <c r="CT3148" s="501"/>
      <c r="CU3148" s="501"/>
      <c r="CV3148" s="501"/>
      <c r="CW3148" s="501"/>
      <c r="CX3148" s="501"/>
      <c r="CY3148" s="501"/>
      <c r="CZ3148" s="501"/>
      <c r="DA3148" s="501"/>
      <c r="DB3148" s="501"/>
      <c r="DC3148" s="501"/>
      <c r="DD3148" s="501"/>
      <c r="DE3148" s="501"/>
      <c r="DF3148" s="501"/>
      <c r="DG3148" s="501"/>
      <c r="DH3148" s="501"/>
      <c r="DI3148" s="501"/>
      <c r="DJ3148" s="501"/>
      <c r="DK3148" s="501"/>
      <c r="DL3148" s="501"/>
      <c r="DM3148" s="501"/>
      <c r="DN3148" s="501"/>
      <c r="DO3148" s="501"/>
      <c r="DP3148" s="501"/>
      <c r="DQ3148" s="501"/>
      <c r="DR3148" s="501"/>
      <c r="DS3148" s="501"/>
      <c r="DT3148" s="501"/>
      <c r="DU3148" s="501"/>
      <c r="DV3148" s="501"/>
      <c r="DW3148" s="501"/>
      <c r="DX3148" s="501"/>
      <c r="DY3148" s="501"/>
      <c r="DZ3148" s="501"/>
      <c r="EA3148" s="501"/>
      <c r="EB3148" s="501"/>
      <c r="EC3148" s="501"/>
      <c r="ED3148" s="501"/>
      <c r="EE3148" s="501"/>
      <c r="EF3148" s="501"/>
      <c r="EG3148" s="501"/>
      <c r="EH3148" s="501"/>
      <c r="EI3148" s="501"/>
      <c r="EJ3148" s="501"/>
      <c r="EK3148" s="501"/>
      <c r="EL3148" s="501"/>
      <c r="EM3148" s="501"/>
      <c r="EN3148" s="501"/>
      <c r="EO3148" s="501"/>
      <c r="EP3148" s="501"/>
      <c r="EQ3148" s="501"/>
      <c r="ER3148" s="501"/>
      <c r="ES3148" s="501"/>
      <c r="ET3148" s="501"/>
      <c r="EU3148" s="501"/>
      <c r="EV3148" s="501"/>
      <c r="EW3148" s="501"/>
      <c r="EX3148" s="501"/>
      <c r="EY3148" s="501"/>
      <c r="EZ3148" s="501"/>
      <c r="FA3148" s="501"/>
      <c r="FB3148" s="501"/>
      <c r="FC3148" s="501"/>
      <c r="FD3148" s="501"/>
      <c r="FE3148" s="501"/>
      <c r="FF3148" s="501"/>
      <c r="FG3148" s="501"/>
      <c r="FH3148" s="501"/>
      <c r="FI3148" s="501"/>
      <c r="FJ3148" s="501"/>
      <c r="FK3148" s="501"/>
      <c r="FL3148" s="501"/>
      <c r="FM3148" s="501"/>
      <c r="FN3148" s="501"/>
      <c r="FO3148" s="501"/>
      <c r="FP3148" s="501"/>
      <c r="FQ3148" s="501"/>
      <c r="FR3148" s="501"/>
      <c r="FS3148" s="501"/>
      <c r="FT3148" s="501"/>
      <c r="FU3148" s="501"/>
      <c r="FV3148" s="501"/>
      <c r="FW3148" s="501"/>
      <c r="FX3148" s="501"/>
      <c r="FY3148" s="501"/>
      <c r="FZ3148" s="501"/>
      <c r="GA3148" s="501"/>
      <c r="GB3148" s="501"/>
      <c r="GC3148" s="501"/>
      <c r="GD3148" s="501"/>
      <c r="GE3148" s="501"/>
      <c r="GF3148" s="501"/>
      <c r="GG3148" s="501"/>
      <c r="GH3148" s="501"/>
      <c r="GI3148" s="501"/>
      <c r="GJ3148" s="501"/>
      <c r="GK3148" s="501"/>
      <c r="GL3148" s="501"/>
      <c r="GM3148" s="501"/>
      <c r="GN3148" s="501"/>
      <c r="GO3148" s="501"/>
      <c r="GP3148" s="501"/>
      <c r="GQ3148" s="501"/>
      <c r="GR3148" s="501"/>
      <c r="GS3148" s="501"/>
      <c r="GT3148" s="501"/>
      <c r="GU3148" s="501"/>
      <c r="GV3148" s="501"/>
      <c r="GW3148" s="501"/>
      <c r="GX3148" s="501"/>
      <c r="GY3148" s="501"/>
      <c r="GZ3148" s="501"/>
      <c r="HA3148" s="501"/>
      <c r="HB3148" s="501"/>
      <c r="HC3148" s="501"/>
      <c r="HD3148" s="501"/>
      <c r="HE3148" s="501"/>
      <c r="HF3148" s="501"/>
      <c r="HG3148" s="501"/>
      <c r="HH3148" s="501"/>
      <c r="HI3148" s="501"/>
      <c r="HJ3148" s="501"/>
      <c r="HK3148" s="501"/>
      <c r="HL3148" s="501"/>
      <c r="HM3148" s="501"/>
      <c r="HN3148" s="501"/>
      <c r="HO3148" s="501"/>
      <c r="HP3148" s="501"/>
      <c r="HQ3148" s="501"/>
      <c r="HR3148" s="501"/>
      <c r="HS3148" s="501"/>
      <c r="HT3148" s="501"/>
      <c r="HU3148" s="501"/>
      <c r="HV3148" s="501"/>
      <c r="HW3148" s="501"/>
      <c r="HX3148" s="501"/>
      <c r="HY3148" s="501"/>
      <c r="HZ3148" s="501"/>
      <c r="IA3148" s="501"/>
      <c r="IB3148" s="501"/>
      <c r="IC3148" s="501"/>
      <c r="ID3148" s="501"/>
      <c r="IE3148" s="501"/>
      <c r="IF3148" s="501"/>
      <c r="IG3148" s="501"/>
      <c r="IH3148" s="501"/>
      <c r="II3148" s="501"/>
      <c r="IJ3148" s="501"/>
      <c r="IK3148" s="501"/>
      <c r="IL3148" s="501"/>
      <c r="IM3148" s="501"/>
      <c r="IN3148" s="501"/>
      <c r="IO3148" s="501"/>
      <c r="IP3148" s="501"/>
      <c r="IQ3148" s="501"/>
      <c r="IR3148" s="501"/>
      <c r="IS3148" s="501"/>
      <c r="IT3148" s="501"/>
      <c r="IU3148" s="501"/>
    </row>
    <row r="3149" spans="1:255" s="877" customFormat="1" ht="24" customHeight="1">
      <c r="A3149" s="501"/>
      <c r="B3149" s="501"/>
      <c r="C3149" s="501"/>
      <c r="D3149" s="501"/>
      <c r="E3149" s="501"/>
      <c r="F3149" s="545"/>
      <c r="G3149" s="889"/>
      <c r="H3149" s="545"/>
      <c r="I3149" s="876"/>
      <c r="J3149" s="876"/>
      <c r="K3149" s="545"/>
      <c r="L3149" s="876"/>
      <c r="M3149" s="882"/>
      <c r="N3149" s="501"/>
      <c r="O3149" s="922"/>
      <c r="P3149" s="901"/>
      <c r="Q3149" s="876"/>
      <c r="R3149" s="545"/>
      <c r="S3149" s="876"/>
      <c r="T3149" s="545"/>
      <c r="V3149" s="901"/>
      <c r="W3149" s="876"/>
      <c r="X3149" s="545"/>
      <c r="Y3149" s="876"/>
      <c r="Z3149" s="545"/>
      <c r="AA3149" s="501"/>
      <c r="AB3149" s="501"/>
      <c r="AC3149" s="501"/>
      <c r="AD3149" s="501"/>
      <c r="AE3149" s="501"/>
      <c r="AF3149" s="501"/>
      <c r="AG3149" s="501"/>
      <c r="AH3149" s="501"/>
      <c r="AI3149" s="501"/>
      <c r="AJ3149" s="501"/>
      <c r="AK3149" s="501"/>
      <c r="AL3149" s="501"/>
      <c r="AM3149" s="501"/>
      <c r="AN3149" s="501"/>
      <c r="AO3149" s="501"/>
      <c r="AP3149" s="501"/>
      <c r="AQ3149" s="501"/>
      <c r="AR3149" s="501"/>
      <c r="AS3149" s="501"/>
      <c r="AT3149" s="501"/>
      <c r="AU3149" s="501"/>
      <c r="AV3149" s="501"/>
      <c r="AW3149" s="501"/>
      <c r="AX3149" s="501"/>
      <c r="AY3149" s="501"/>
      <c r="AZ3149" s="501"/>
      <c r="BA3149" s="501"/>
      <c r="BB3149" s="501"/>
      <c r="BC3149" s="501"/>
      <c r="BD3149" s="501"/>
      <c r="BE3149" s="501"/>
      <c r="BF3149" s="501"/>
      <c r="BG3149" s="501"/>
      <c r="BH3149" s="501"/>
      <c r="BI3149" s="501"/>
      <c r="BJ3149" s="501"/>
      <c r="BK3149" s="501"/>
      <c r="BL3149" s="501"/>
      <c r="BM3149" s="501"/>
      <c r="BN3149" s="501"/>
      <c r="BO3149" s="501"/>
      <c r="BP3149" s="501"/>
      <c r="BQ3149" s="501"/>
      <c r="BR3149" s="501"/>
      <c r="BS3149" s="501"/>
      <c r="BT3149" s="501"/>
      <c r="BU3149" s="501"/>
      <c r="BV3149" s="501"/>
      <c r="BW3149" s="501"/>
      <c r="BX3149" s="501"/>
      <c r="BY3149" s="501"/>
      <c r="BZ3149" s="501"/>
      <c r="CA3149" s="501"/>
      <c r="CB3149" s="501"/>
      <c r="CC3149" s="501"/>
      <c r="CD3149" s="501"/>
      <c r="CE3149" s="501"/>
      <c r="CF3149" s="501"/>
      <c r="CG3149" s="501"/>
      <c r="CH3149" s="501"/>
      <c r="CI3149" s="501"/>
      <c r="CJ3149" s="501"/>
      <c r="CK3149" s="501"/>
      <c r="CL3149" s="501"/>
      <c r="CM3149" s="501"/>
      <c r="CN3149" s="501"/>
      <c r="CO3149" s="501"/>
      <c r="CP3149" s="501"/>
      <c r="CQ3149" s="501"/>
      <c r="CR3149" s="501"/>
      <c r="CS3149" s="501"/>
      <c r="CT3149" s="501"/>
      <c r="CU3149" s="501"/>
      <c r="CV3149" s="501"/>
      <c r="CW3149" s="501"/>
      <c r="CX3149" s="501"/>
      <c r="CY3149" s="501"/>
      <c r="CZ3149" s="501"/>
      <c r="DA3149" s="501"/>
      <c r="DB3149" s="501"/>
      <c r="DC3149" s="501"/>
      <c r="DD3149" s="501"/>
      <c r="DE3149" s="501"/>
      <c r="DF3149" s="501"/>
      <c r="DG3149" s="501"/>
      <c r="DH3149" s="501"/>
      <c r="DI3149" s="501"/>
      <c r="DJ3149" s="501"/>
      <c r="DK3149" s="501"/>
      <c r="DL3149" s="501"/>
      <c r="DM3149" s="501"/>
      <c r="DN3149" s="501"/>
      <c r="DO3149" s="501"/>
      <c r="DP3149" s="501"/>
      <c r="DQ3149" s="501"/>
      <c r="DR3149" s="501"/>
      <c r="DS3149" s="501"/>
      <c r="DT3149" s="501"/>
      <c r="DU3149" s="501"/>
      <c r="DV3149" s="501"/>
      <c r="DW3149" s="501"/>
      <c r="DX3149" s="501"/>
      <c r="DY3149" s="501"/>
      <c r="DZ3149" s="501"/>
      <c r="EA3149" s="501"/>
      <c r="EB3149" s="501"/>
      <c r="EC3149" s="501"/>
      <c r="ED3149" s="501"/>
      <c r="EE3149" s="501"/>
      <c r="EF3149" s="501"/>
      <c r="EG3149" s="501"/>
      <c r="EH3149" s="501"/>
      <c r="EI3149" s="501"/>
      <c r="EJ3149" s="501"/>
      <c r="EK3149" s="501"/>
      <c r="EL3149" s="501"/>
      <c r="EM3149" s="501"/>
      <c r="EN3149" s="501"/>
      <c r="EO3149" s="501"/>
      <c r="EP3149" s="501"/>
      <c r="EQ3149" s="501"/>
      <c r="ER3149" s="501"/>
      <c r="ES3149" s="501"/>
      <c r="ET3149" s="501"/>
      <c r="EU3149" s="501"/>
      <c r="EV3149" s="501"/>
      <c r="EW3149" s="501"/>
      <c r="EX3149" s="501"/>
      <c r="EY3149" s="501"/>
      <c r="EZ3149" s="501"/>
      <c r="FA3149" s="501"/>
      <c r="FB3149" s="501"/>
      <c r="FC3149" s="501"/>
      <c r="FD3149" s="501"/>
      <c r="FE3149" s="501"/>
      <c r="FF3149" s="501"/>
      <c r="FG3149" s="501"/>
      <c r="FH3149" s="501"/>
      <c r="FI3149" s="501"/>
      <c r="FJ3149" s="501"/>
      <c r="FK3149" s="501"/>
      <c r="FL3149" s="501"/>
      <c r="FM3149" s="501"/>
      <c r="FN3149" s="501"/>
      <c r="FO3149" s="501"/>
      <c r="FP3149" s="501"/>
      <c r="FQ3149" s="501"/>
      <c r="FR3149" s="501"/>
      <c r="FS3149" s="501"/>
      <c r="FT3149" s="501"/>
      <c r="FU3149" s="501"/>
      <c r="FV3149" s="501"/>
      <c r="FW3149" s="501"/>
      <c r="FX3149" s="501"/>
      <c r="FY3149" s="501"/>
      <c r="FZ3149" s="501"/>
      <c r="GA3149" s="501"/>
      <c r="GB3149" s="501"/>
      <c r="GC3149" s="501"/>
      <c r="GD3149" s="501"/>
      <c r="GE3149" s="501"/>
      <c r="GF3149" s="501"/>
      <c r="GG3149" s="501"/>
      <c r="GH3149" s="501"/>
      <c r="GI3149" s="501"/>
      <c r="GJ3149" s="501"/>
      <c r="GK3149" s="501"/>
      <c r="GL3149" s="501"/>
      <c r="GM3149" s="501"/>
      <c r="GN3149" s="501"/>
      <c r="GO3149" s="501"/>
      <c r="GP3149" s="501"/>
      <c r="GQ3149" s="501"/>
      <c r="GR3149" s="501"/>
      <c r="GS3149" s="501"/>
      <c r="GT3149" s="501"/>
      <c r="GU3149" s="501"/>
      <c r="GV3149" s="501"/>
      <c r="GW3149" s="501"/>
      <c r="GX3149" s="501"/>
      <c r="GY3149" s="501"/>
      <c r="GZ3149" s="501"/>
      <c r="HA3149" s="501"/>
      <c r="HB3149" s="501"/>
      <c r="HC3149" s="501"/>
      <c r="HD3149" s="501"/>
      <c r="HE3149" s="501"/>
      <c r="HF3149" s="501"/>
      <c r="HG3149" s="501"/>
      <c r="HH3149" s="501"/>
      <c r="HI3149" s="501"/>
      <c r="HJ3149" s="501"/>
      <c r="HK3149" s="501"/>
      <c r="HL3149" s="501"/>
      <c r="HM3149" s="501"/>
      <c r="HN3149" s="501"/>
      <c r="HO3149" s="501"/>
      <c r="HP3149" s="501"/>
      <c r="HQ3149" s="501"/>
      <c r="HR3149" s="501"/>
      <c r="HS3149" s="501"/>
      <c r="HT3149" s="501"/>
      <c r="HU3149" s="501"/>
      <c r="HV3149" s="501"/>
      <c r="HW3149" s="501"/>
      <c r="HX3149" s="501"/>
      <c r="HY3149" s="501"/>
      <c r="HZ3149" s="501"/>
      <c r="IA3149" s="501"/>
      <c r="IB3149" s="501"/>
      <c r="IC3149" s="501"/>
      <c r="ID3149" s="501"/>
      <c r="IE3149" s="501"/>
      <c r="IF3149" s="501"/>
      <c r="IG3149" s="501"/>
      <c r="IH3149" s="501"/>
      <c r="II3149" s="501"/>
      <c r="IJ3149" s="501"/>
      <c r="IK3149" s="501"/>
      <c r="IL3149" s="501"/>
      <c r="IM3149" s="501"/>
      <c r="IN3149" s="501"/>
      <c r="IO3149" s="501"/>
      <c r="IP3149" s="501"/>
      <c r="IQ3149" s="501"/>
      <c r="IR3149" s="501"/>
      <c r="IS3149" s="501"/>
      <c r="IT3149" s="501"/>
      <c r="IU3149" s="501"/>
    </row>
    <row r="3150" spans="1:255" s="877" customFormat="1" ht="24" customHeight="1">
      <c r="A3150" s="501"/>
      <c r="B3150" s="501"/>
      <c r="C3150" s="501"/>
      <c r="D3150" s="501"/>
      <c r="E3150" s="501"/>
      <c r="F3150" s="501"/>
      <c r="G3150" s="915"/>
      <c r="H3150" s="501"/>
      <c r="I3150" s="874"/>
      <c r="J3150" s="1097"/>
      <c r="K3150" s="501"/>
      <c r="L3150" s="874"/>
      <c r="M3150" s="882"/>
      <c r="N3150" s="501"/>
      <c r="O3150" s="922"/>
      <c r="P3150" s="901"/>
      <c r="Q3150" s="876"/>
      <c r="R3150" s="545"/>
      <c r="S3150" s="876"/>
      <c r="T3150" s="545"/>
      <c r="V3150" s="901"/>
      <c r="W3150" s="876"/>
      <c r="X3150" s="545"/>
      <c r="Y3150" s="876"/>
      <c r="Z3150" s="545"/>
      <c r="AA3150" s="501"/>
      <c r="AB3150" s="501"/>
      <c r="AC3150" s="501"/>
      <c r="AD3150" s="501"/>
      <c r="AE3150" s="501"/>
      <c r="AF3150" s="501"/>
      <c r="AG3150" s="501"/>
      <c r="AH3150" s="501"/>
      <c r="AI3150" s="501"/>
      <c r="AJ3150" s="501"/>
      <c r="AK3150" s="501"/>
      <c r="AL3150" s="501"/>
      <c r="AM3150" s="501"/>
      <c r="AN3150" s="501"/>
      <c r="AO3150" s="501"/>
      <c r="AP3150" s="501"/>
      <c r="AQ3150" s="501"/>
      <c r="AR3150" s="501"/>
      <c r="AS3150" s="501"/>
      <c r="AT3150" s="501"/>
      <c r="AU3150" s="501"/>
      <c r="AV3150" s="501"/>
      <c r="AW3150" s="501"/>
      <c r="AX3150" s="501"/>
      <c r="AY3150" s="501"/>
      <c r="AZ3150" s="501"/>
      <c r="BA3150" s="501"/>
      <c r="BB3150" s="501"/>
      <c r="BC3150" s="501"/>
      <c r="BD3150" s="501"/>
      <c r="BE3150" s="501"/>
      <c r="BF3150" s="501"/>
      <c r="BG3150" s="501"/>
      <c r="BH3150" s="501"/>
      <c r="BI3150" s="501"/>
      <c r="BJ3150" s="501"/>
      <c r="BK3150" s="501"/>
      <c r="BL3150" s="501"/>
      <c r="BM3150" s="501"/>
      <c r="BN3150" s="501"/>
      <c r="BO3150" s="501"/>
      <c r="BP3150" s="501"/>
      <c r="BQ3150" s="501"/>
      <c r="BR3150" s="501"/>
      <c r="BS3150" s="501"/>
      <c r="BT3150" s="501"/>
      <c r="BU3150" s="501"/>
      <c r="BV3150" s="501"/>
      <c r="BW3150" s="501"/>
      <c r="BX3150" s="501"/>
      <c r="BY3150" s="501"/>
      <c r="BZ3150" s="501"/>
      <c r="CA3150" s="501"/>
      <c r="CB3150" s="501"/>
      <c r="CC3150" s="501"/>
      <c r="CD3150" s="501"/>
      <c r="CE3150" s="501"/>
      <c r="CF3150" s="501"/>
      <c r="CG3150" s="501"/>
      <c r="CH3150" s="501"/>
      <c r="CI3150" s="501"/>
      <c r="CJ3150" s="501"/>
      <c r="CK3150" s="501"/>
      <c r="CL3150" s="501"/>
      <c r="CM3150" s="501"/>
      <c r="CN3150" s="501"/>
      <c r="CO3150" s="501"/>
      <c r="CP3150" s="501"/>
      <c r="CQ3150" s="501"/>
      <c r="CR3150" s="501"/>
      <c r="CS3150" s="501"/>
      <c r="CT3150" s="501"/>
      <c r="CU3150" s="501"/>
      <c r="CV3150" s="501"/>
      <c r="CW3150" s="501"/>
      <c r="CX3150" s="501"/>
      <c r="CY3150" s="501"/>
      <c r="CZ3150" s="501"/>
      <c r="DA3150" s="501"/>
      <c r="DB3150" s="501"/>
      <c r="DC3150" s="501"/>
      <c r="DD3150" s="501"/>
      <c r="DE3150" s="501"/>
      <c r="DF3150" s="501"/>
      <c r="DG3150" s="501"/>
      <c r="DH3150" s="501"/>
      <c r="DI3150" s="501"/>
      <c r="DJ3150" s="501"/>
      <c r="DK3150" s="501"/>
      <c r="DL3150" s="501"/>
      <c r="DM3150" s="501"/>
      <c r="DN3150" s="501"/>
      <c r="DO3150" s="501"/>
      <c r="DP3150" s="501"/>
      <c r="DQ3150" s="501"/>
      <c r="DR3150" s="501"/>
      <c r="DS3150" s="501"/>
      <c r="DT3150" s="501"/>
      <c r="DU3150" s="501"/>
      <c r="DV3150" s="501"/>
      <c r="DW3150" s="501"/>
      <c r="DX3150" s="501"/>
      <c r="DY3150" s="501"/>
      <c r="DZ3150" s="501"/>
      <c r="EA3150" s="501"/>
      <c r="EB3150" s="501"/>
      <c r="EC3150" s="501"/>
      <c r="ED3150" s="501"/>
      <c r="EE3150" s="501"/>
      <c r="EF3150" s="501"/>
      <c r="EG3150" s="501"/>
      <c r="EH3150" s="501"/>
      <c r="EI3150" s="501"/>
      <c r="EJ3150" s="501"/>
      <c r="EK3150" s="501"/>
      <c r="EL3150" s="501"/>
      <c r="EM3150" s="501"/>
      <c r="EN3150" s="501"/>
      <c r="EO3150" s="501"/>
      <c r="EP3150" s="501"/>
      <c r="EQ3150" s="501"/>
      <c r="ER3150" s="501"/>
      <c r="ES3150" s="501"/>
      <c r="ET3150" s="501"/>
      <c r="EU3150" s="501"/>
      <c r="EV3150" s="501"/>
      <c r="EW3150" s="501"/>
      <c r="EX3150" s="501"/>
      <c r="EY3150" s="501"/>
      <c r="EZ3150" s="501"/>
      <c r="FA3150" s="501"/>
      <c r="FB3150" s="501"/>
      <c r="FC3150" s="501"/>
      <c r="FD3150" s="501"/>
      <c r="FE3150" s="501"/>
      <c r="FF3150" s="501"/>
      <c r="FG3150" s="501"/>
      <c r="FH3150" s="501"/>
      <c r="FI3150" s="501"/>
      <c r="FJ3150" s="501"/>
      <c r="FK3150" s="501"/>
      <c r="FL3150" s="501"/>
      <c r="FM3150" s="501"/>
      <c r="FN3150" s="501"/>
      <c r="FO3150" s="501"/>
      <c r="FP3150" s="501"/>
      <c r="FQ3150" s="501"/>
      <c r="FR3150" s="501"/>
      <c r="FS3150" s="501"/>
      <c r="FT3150" s="501"/>
      <c r="FU3150" s="501"/>
      <c r="FV3150" s="501"/>
      <c r="FW3150" s="501"/>
      <c r="FX3150" s="501"/>
      <c r="FY3150" s="501"/>
      <c r="FZ3150" s="501"/>
      <c r="GA3150" s="501"/>
      <c r="GB3150" s="501"/>
      <c r="GC3150" s="501"/>
      <c r="GD3150" s="501"/>
      <c r="GE3150" s="501"/>
      <c r="GF3150" s="501"/>
      <c r="GG3150" s="501"/>
      <c r="GH3150" s="501"/>
      <c r="GI3150" s="501"/>
      <c r="GJ3150" s="501"/>
      <c r="GK3150" s="501"/>
      <c r="GL3150" s="501"/>
      <c r="GM3150" s="501"/>
      <c r="GN3150" s="501"/>
      <c r="GO3150" s="501"/>
      <c r="GP3150" s="501"/>
      <c r="GQ3150" s="501"/>
      <c r="GR3150" s="501"/>
      <c r="GS3150" s="501"/>
      <c r="GT3150" s="501"/>
      <c r="GU3150" s="501"/>
      <c r="GV3150" s="501"/>
      <c r="GW3150" s="501"/>
      <c r="GX3150" s="501"/>
      <c r="GY3150" s="501"/>
      <c r="GZ3150" s="501"/>
      <c r="HA3150" s="501"/>
      <c r="HB3150" s="501"/>
      <c r="HC3150" s="501"/>
      <c r="HD3150" s="501"/>
      <c r="HE3150" s="501"/>
      <c r="HF3150" s="501"/>
      <c r="HG3150" s="501"/>
      <c r="HH3150" s="501"/>
      <c r="HI3150" s="501"/>
      <c r="HJ3150" s="501"/>
      <c r="HK3150" s="501"/>
      <c r="HL3150" s="501"/>
      <c r="HM3150" s="501"/>
      <c r="HN3150" s="501"/>
      <c r="HO3150" s="501"/>
      <c r="HP3150" s="501"/>
      <c r="HQ3150" s="501"/>
      <c r="HR3150" s="501"/>
      <c r="HS3150" s="501"/>
      <c r="HT3150" s="501"/>
      <c r="HU3150" s="501"/>
      <c r="HV3150" s="501"/>
      <c r="HW3150" s="501"/>
      <c r="HX3150" s="501"/>
      <c r="HY3150" s="501"/>
      <c r="HZ3150" s="501"/>
      <c r="IA3150" s="501"/>
      <c r="IB3150" s="501"/>
      <c r="IC3150" s="501"/>
      <c r="ID3150" s="501"/>
      <c r="IE3150" s="501"/>
      <c r="IF3150" s="501"/>
      <c r="IG3150" s="501"/>
      <c r="IH3150" s="501"/>
      <c r="II3150" s="501"/>
      <c r="IJ3150" s="501"/>
      <c r="IK3150" s="501"/>
      <c r="IL3150" s="501"/>
      <c r="IM3150" s="501"/>
      <c r="IN3150" s="501"/>
      <c r="IO3150" s="501"/>
      <c r="IP3150" s="501"/>
      <c r="IQ3150" s="501"/>
      <c r="IR3150" s="501"/>
      <c r="IS3150" s="501"/>
      <c r="IT3150" s="501"/>
      <c r="IU3150" s="501"/>
    </row>
    <row r="3151" spans="1:255" s="877" customFormat="1" ht="24" customHeight="1">
      <c r="A3151" s="501"/>
      <c r="B3151" s="501"/>
      <c r="C3151" s="501"/>
      <c r="D3151" s="501"/>
      <c r="E3151" s="501"/>
      <c r="F3151" s="501"/>
      <c r="G3151" s="915"/>
      <c r="H3151" s="501"/>
      <c r="I3151" s="874"/>
      <c r="J3151" s="880"/>
      <c r="K3151" s="501"/>
      <c r="L3151" s="874"/>
      <c r="M3151" s="882"/>
      <c r="N3151" s="501"/>
      <c r="O3151" s="545"/>
      <c r="P3151" s="901"/>
      <c r="Q3151" s="876"/>
      <c r="R3151" s="545"/>
      <c r="S3151" s="876"/>
      <c r="T3151" s="545"/>
      <c r="V3151" s="901"/>
      <c r="W3151" s="876"/>
      <c r="X3151" s="545"/>
      <c r="Y3151" s="876"/>
      <c r="Z3151" s="545"/>
      <c r="AA3151" s="501"/>
      <c r="AB3151" s="501"/>
      <c r="AC3151" s="501"/>
      <c r="AD3151" s="501"/>
      <c r="AE3151" s="501"/>
      <c r="AF3151" s="501"/>
      <c r="AG3151" s="501"/>
      <c r="AH3151" s="501"/>
      <c r="AI3151" s="501"/>
      <c r="AJ3151" s="501"/>
      <c r="AK3151" s="501"/>
      <c r="AL3151" s="501"/>
      <c r="AM3151" s="501"/>
      <c r="AN3151" s="501"/>
      <c r="AO3151" s="501"/>
      <c r="AP3151" s="501"/>
      <c r="AQ3151" s="501"/>
      <c r="AR3151" s="501"/>
      <c r="AS3151" s="501"/>
      <c r="AT3151" s="501"/>
      <c r="AU3151" s="501"/>
      <c r="AV3151" s="501"/>
      <c r="AW3151" s="501"/>
      <c r="AX3151" s="501"/>
      <c r="AY3151" s="501"/>
      <c r="AZ3151" s="501"/>
      <c r="BA3151" s="501"/>
      <c r="BB3151" s="501"/>
      <c r="BC3151" s="501"/>
      <c r="BD3151" s="501"/>
      <c r="BE3151" s="501"/>
      <c r="BF3151" s="501"/>
      <c r="BG3151" s="501"/>
      <c r="BH3151" s="501"/>
      <c r="BI3151" s="501"/>
      <c r="BJ3151" s="501"/>
      <c r="BK3151" s="501"/>
      <c r="BL3151" s="501"/>
      <c r="BM3151" s="501"/>
      <c r="BN3151" s="501"/>
      <c r="BO3151" s="501"/>
      <c r="BP3151" s="501"/>
      <c r="BQ3151" s="501"/>
      <c r="BR3151" s="501"/>
      <c r="BS3151" s="501"/>
      <c r="BT3151" s="501"/>
      <c r="BU3151" s="501"/>
      <c r="BV3151" s="501"/>
      <c r="BW3151" s="501"/>
      <c r="BX3151" s="501"/>
      <c r="BY3151" s="501"/>
      <c r="BZ3151" s="501"/>
      <c r="CA3151" s="501"/>
      <c r="CB3151" s="501"/>
      <c r="CC3151" s="501"/>
      <c r="CD3151" s="501"/>
      <c r="CE3151" s="501"/>
      <c r="CF3151" s="501"/>
      <c r="CG3151" s="501"/>
      <c r="CH3151" s="501"/>
      <c r="CI3151" s="501"/>
      <c r="CJ3151" s="501"/>
      <c r="CK3151" s="501"/>
      <c r="CL3151" s="501"/>
      <c r="CM3151" s="501"/>
      <c r="CN3151" s="501"/>
      <c r="CO3151" s="501"/>
      <c r="CP3151" s="501"/>
      <c r="CQ3151" s="501"/>
      <c r="CR3151" s="501"/>
      <c r="CS3151" s="501"/>
      <c r="CT3151" s="501"/>
      <c r="CU3151" s="501"/>
      <c r="CV3151" s="501"/>
      <c r="CW3151" s="501"/>
      <c r="CX3151" s="501"/>
      <c r="CY3151" s="501"/>
      <c r="CZ3151" s="501"/>
      <c r="DA3151" s="501"/>
      <c r="DB3151" s="501"/>
      <c r="DC3151" s="501"/>
      <c r="DD3151" s="501"/>
      <c r="DE3151" s="501"/>
      <c r="DF3151" s="501"/>
      <c r="DG3151" s="501"/>
      <c r="DH3151" s="501"/>
      <c r="DI3151" s="501"/>
      <c r="DJ3151" s="501"/>
      <c r="DK3151" s="501"/>
      <c r="DL3151" s="501"/>
      <c r="DM3151" s="501"/>
      <c r="DN3151" s="501"/>
      <c r="DO3151" s="501"/>
      <c r="DP3151" s="501"/>
      <c r="DQ3151" s="501"/>
      <c r="DR3151" s="501"/>
      <c r="DS3151" s="501"/>
      <c r="DT3151" s="501"/>
      <c r="DU3151" s="501"/>
      <c r="DV3151" s="501"/>
      <c r="DW3151" s="501"/>
      <c r="DX3151" s="501"/>
      <c r="DY3151" s="501"/>
      <c r="DZ3151" s="501"/>
      <c r="EA3151" s="501"/>
      <c r="EB3151" s="501"/>
      <c r="EC3151" s="501"/>
      <c r="ED3151" s="501"/>
      <c r="EE3151" s="501"/>
      <c r="EF3151" s="501"/>
      <c r="EG3151" s="501"/>
      <c r="EH3151" s="501"/>
      <c r="EI3151" s="501"/>
      <c r="EJ3151" s="501"/>
      <c r="EK3151" s="501"/>
      <c r="EL3151" s="501"/>
      <c r="EM3151" s="501"/>
      <c r="EN3151" s="501"/>
      <c r="EO3151" s="501"/>
      <c r="EP3151" s="501"/>
      <c r="EQ3151" s="501"/>
      <c r="ER3151" s="501"/>
      <c r="ES3151" s="501"/>
      <c r="ET3151" s="501"/>
      <c r="EU3151" s="501"/>
      <c r="EV3151" s="501"/>
      <c r="EW3151" s="501"/>
      <c r="EX3151" s="501"/>
      <c r="EY3151" s="501"/>
      <c r="EZ3151" s="501"/>
      <c r="FA3151" s="501"/>
      <c r="FB3151" s="501"/>
      <c r="FC3151" s="501"/>
      <c r="FD3151" s="501"/>
      <c r="FE3151" s="501"/>
      <c r="FF3151" s="501"/>
      <c r="FG3151" s="501"/>
      <c r="FH3151" s="501"/>
      <c r="FI3151" s="501"/>
      <c r="FJ3151" s="501"/>
      <c r="FK3151" s="501"/>
      <c r="FL3151" s="501"/>
      <c r="FM3151" s="501"/>
      <c r="FN3151" s="501"/>
      <c r="FO3151" s="501"/>
      <c r="FP3151" s="501"/>
      <c r="FQ3151" s="501"/>
      <c r="FR3151" s="501"/>
      <c r="FS3151" s="501"/>
      <c r="FT3151" s="501"/>
      <c r="FU3151" s="501"/>
      <c r="FV3151" s="501"/>
      <c r="FW3151" s="501"/>
      <c r="FX3151" s="501"/>
      <c r="FY3151" s="501"/>
      <c r="FZ3151" s="501"/>
      <c r="GA3151" s="501"/>
      <c r="GB3151" s="501"/>
      <c r="GC3151" s="501"/>
      <c r="GD3151" s="501"/>
      <c r="GE3151" s="501"/>
      <c r="GF3151" s="501"/>
      <c r="GG3151" s="501"/>
      <c r="GH3151" s="501"/>
      <c r="GI3151" s="501"/>
      <c r="GJ3151" s="501"/>
      <c r="GK3151" s="501"/>
      <c r="GL3151" s="501"/>
      <c r="GM3151" s="501"/>
      <c r="GN3151" s="501"/>
      <c r="GO3151" s="501"/>
      <c r="GP3151" s="501"/>
      <c r="GQ3151" s="501"/>
      <c r="GR3151" s="501"/>
      <c r="GS3151" s="501"/>
      <c r="GT3151" s="501"/>
      <c r="GU3151" s="501"/>
      <c r="GV3151" s="501"/>
      <c r="GW3151" s="501"/>
      <c r="GX3151" s="501"/>
      <c r="GY3151" s="501"/>
      <c r="GZ3151" s="501"/>
      <c r="HA3151" s="501"/>
      <c r="HB3151" s="501"/>
      <c r="HC3151" s="501"/>
      <c r="HD3151" s="501"/>
      <c r="HE3151" s="501"/>
      <c r="HF3151" s="501"/>
      <c r="HG3151" s="501"/>
      <c r="HH3151" s="501"/>
      <c r="HI3151" s="501"/>
      <c r="HJ3151" s="501"/>
      <c r="HK3151" s="501"/>
      <c r="HL3151" s="501"/>
      <c r="HM3151" s="501"/>
      <c r="HN3151" s="501"/>
      <c r="HO3151" s="501"/>
      <c r="HP3151" s="501"/>
      <c r="HQ3151" s="501"/>
      <c r="HR3151" s="501"/>
      <c r="HS3151" s="501"/>
      <c r="HT3151" s="501"/>
      <c r="HU3151" s="501"/>
      <c r="HV3151" s="501"/>
      <c r="HW3151" s="501"/>
      <c r="HX3151" s="501"/>
      <c r="HY3151" s="501"/>
      <c r="HZ3151" s="501"/>
      <c r="IA3151" s="501"/>
      <c r="IB3151" s="501"/>
      <c r="IC3151" s="501"/>
      <c r="ID3151" s="501"/>
      <c r="IE3151" s="501"/>
      <c r="IF3151" s="501"/>
      <c r="IG3151" s="501"/>
      <c r="IH3151" s="501"/>
      <c r="II3151" s="501"/>
      <c r="IJ3151" s="501"/>
      <c r="IK3151" s="501"/>
      <c r="IL3151" s="501"/>
      <c r="IM3151" s="501"/>
      <c r="IN3151" s="501"/>
      <c r="IO3151" s="501"/>
      <c r="IP3151" s="501"/>
      <c r="IQ3151" s="501"/>
      <c r="IR3151" s="501"/>
      <c r="IS3151" s="501"/>
      <c r="IT3151" s="501"/>
      <c r="IU3151" s="501"/>
    </row>
    <row r="3152" spans="1:255" s="877" customFormat="1" ht="24" customHeight="1">
      <c r="A3152" s="501"/>
      <c r="B3152" s="501"/>
      <c r="C3152" s="501"/>
      <c r="D3152" s="501"/>
      <c r="E3152" s="501"/>
      <c r="F3152" s="501"/>
      <c r="G3152" s="915"/>
      <c r="H3152" s="501"/>
      <c r="I3152" s="876"/>
      <c r="J3152" s="501"/>
      <c r="K3152" s="501"/>
      <c r="L3152" s="874"/>
      <c r="M3152" s="882"/>
      <c r="N3152" s="501"/>
      <c r="O3152" s="545"/>
      <c r="P3152" s="901"/>
      <c r="Q3152" s="876"/>
      <c r="R3152" s="545"/>
      <c r="S3152" s="876"/>
      <c r="T3152" s="545"/>
      <c r="V3152" s="901"/>
      <c r="W3152" s="876"/>
      <c r="X3152" s="545"/>
      <c r="Y3152" s="876"/>
      <c r="Z3152" s="545"/>
      <c r="AA3152" s="501"/>
      <c r="AB3152" s="501"/>
      <c r="AC3152" s="501"/>
      <c r="AD3152" s="501"/>
      <c r="AE3152" s="501"/>
      <c r="AF3152" s="501"/>
      <c r="AG3152" s="501"/>
      <c r="AH3152" s="501"/>
      <c r="AI3152" s="501"/>
      <c r="AJ3152" s="501"/>
      <c r="AK3152" s="501"/>
      <c r="AL3152" s="501"/>
      <c r="AM3152" s="501"/>
      <c r="AN3152" s="501"/>
      <c r="AO3152" s="501"/>
      <c r="AP3152" s="501"/>
      <c r="AQ3152" s="501"/>
      <c r="AR3152" s="501"/>
      <c r="AS3152" s="501"/>
      <c r="AT3152" s="501"/>
      <c r="AU3152" s="501"/>
      <c r="AV3152" s="501"/>
      <c r="AW3152" s="501"/>
      <c r="AX3152" s="501"/>
      <c r="AY3152" s="501"/>
      <c r="AZ3152" s="501"/>
      <c r="BA3152" s="501"/>
      <c r="BB3152" s="501"/>
      <c r="BC3152" s="501"/>
      <c r="BD3152" s="501"/>
      <c r="BE3152" s="501"/>
      <c r="BF3152" s="501"/>
      <c r="BG3152" s="501"/>
      <c r="BH3152" s="501"/>
      <c r="BI3152" s="501"/>
      <c r="BJ3152" s="501"/>
      <c r="BK3152" s="501"/>
      <c r="BL3152" s="501"/>
      <c r="BM3152" s="501"/>
      <c r="BN3152" s="501"/>
      <c r="BO3152" s="501"/>
      <c r="BP3152" s="501"/>
      <c r="BQ3152" s="501"/>
      <c r="BR3152" s="501"/>
      <c r="BS3152" s="501"/>
      <c r="BT3152" s="501"/>
      <c r="BU3152" s="501"/>
      <c r="BV3152" s="501"/>
      <c r="BW3152" s="501"/>
      <c r="BX3152" s="501"/>
      <c r="BY3152" s="501"/>
      <c r="BZ3152" s="501"/>
      <c r="CA3152" s="501"/>
      <c r="CB3152" s="501"/>
      <c r="CC3152" s="501"/>
      <c r="CD3152" s="501"/>
      <c r="CE3152" s="501"/>
      <c r="CF3152" s="501"/>
      <c r="CG3152" s="501"/>
      <c r="CH3152" s="501"/>
      <c r="CI3152" s="501"/>
      <c r="CJ3152" s="501"/>
      <c r="CK3152" s="501"/>
      <c r="CL3152" s="501"/>
      <c r="CM3152" s="501"/>
      <c r="CN3152" s="501"/>
      <c r="CO3152" s="501"/>
      <c r="CP3152" s="501"/>
      <c r="CQ3152" s="501"/>
      <c r="CR3152" s="501"/>
      <c r="CS3152" s="501"/>
      <c r="CT3152" s="501"/>
      <c r="CU3152" s="501"/>
      <c r="CV3152" s="501"/>
      <c r="CW3152" s="501"/>
      <c r="CX3152" s="501"/>
      <c r="CY3152" s="501"/>
      <c r="CZ3152" s="501"/>
      <c r="DA3152" s="501"/>
      <c r="DB3152" s="501"/>
      <c r="DC3152" s="501"/>
      <c r="DD3152" s="501"/>
      <c r="DE3152" s="501"/>
      <c r="DF3152" s="501"/>
      <c r="DG3152" s="501"/>
      <c r="DH3152" s="501"/>
      <c r="DI3152" s="501"/>
      <c r="DJ3152" s="501"/>
      <c r="DK3152" s="501"/>
      <c r="DL3152" s="501"/>
      <c r="DM3152" s="501"/>
      <c r="DN3152" s="501"/>
      <c r="DO3152" s="501"/>
      <c r="DP3152" s="501"/>
      <c r="DQ3152" s="501"/>
      <c r="DR3152" s="501"/>
      <c r="DS3152" s="501"/>
      <c r="DT3152" s="501"/>
      <c r="DU3152" s="501"/>
      <c r="DV3152" s="501"/>
      <c r="DW3152" s="501"/>
      <c r="DX3152" s="501"/>
      <c r="DY3152" s="501"/>
      <c r="DZ3152" s="501"/>
      <c r="EA3152" s="501"/>
      <c r="EB3152" s="501"/>
      <c r="EC3152" s="501"/>
      <c r="ED3152" s="501"/>
      <c r="EE3152" s="501"/>
      <c r="EF3152" s="501"/>
      <c r="EG3152" s="501"/>
      <c r="EH3152" s="501"/>
      <c r="EI3152" s="501"/>
      <c r="EJ3152" s="501"/>
      <c r="EK3152" s="501"/>
      <c r="EL3152" s="501"/>
      <c r="EM3152" s="501"/>
      <c r="EN3152" s="501"/>
      <c r="EO3152" s="501"/>
      <c r="EP3152" s="501"/>
      <c r="EQ3152" s="501"/>
      <c r="ER3152" s="501"/>
      <c r="ES3152" s="501"/>
      <c r="ET3152" s="501"/>
      <c r="EU3152" s="501"/>
      <c r="EV3152" s="501"/>
      <c r="EW3152" s="501"/>
      <c r="EX3152" s="501"/>
      <c r="EY3152" s="501"/>
      <c r="EZ3152" s="501"/>
      <c r="FA3152" s="501"/>
      <c r="FB3152" s="501"/>
      <c r="FC3152" s="501"/>
      <c r="FD3152" s="501"/>
      <c r="FE3152" s="501"/>
      <c r="FF3152" s="501"/>
      <c r="FG3152" s="501"/>
      <c r="FH3152" s="501"/>
      <c r="FI3152" s="501"/>
      <c r="FJ3152" s="501"/>
      <c r="FK3152" s="501"/>
      <c r="FL3152" s="501"/>
      <c r="FM3152" s="501"/>
      <c r="FN3152" s="501"/>
      <c r="FO3152" s="501"/>
      <c r="FP3152" s="501"/>
      <c r="FQ3152" s="501"/>
      <c r="FR3152" s="501"/>
      <c r="FS3152" s="501"/>
      <c r="FT3152" s="501"/>
      <c r="FU3152" s="501"/>
      <c r="FV3152" s="501"/>
      <c r="FW3152" s="501"/>
      <c r="FX3152" s="501"/>
      <c r="FY3152" s="501"/>
      <c r="FZ3152" s="501"/>
      <c r="GA3152" s="501"/>
      <c r="GB3152" s="501"/>
      <c r="GC3152" s="501"/>
      <c r="GD3152" s="501"/>
      <c r="GE3152" s="501"/>
      <c r="GF3152" s="501"/>
      <c r="GG3152" s="501"/>
      <c r="GH3152" s="501"/>
      <c r="GI3152" s="501"/>
      <c r="GJ3152" s="501"/>
      <c r="GK3152" s="501"/>
      <c r="GL3152" s="501"/>
      <c r="GM3152" s="501"/>
      <c r="GN3152" s="501"/>
      <c r="GO3152" s="501"/>
      <c r="GP3152" s="501"/>
      <c r="GQ3152" s="501"/>
      <c r="GR3152" s="501"/>
      <c r="GS3152" s="501"/>
      <c r="GT3152" s="501"/>
      <c r="GU3152" s="501"/>
      <c r="GV3152" s="501"/>
      <c r="GW3152" s="501"/>
      <c r="GX3152" s="501"/>
      <c r="GY3152" s="501"/>
      <c r="GZ3152" s="501"/>
      <c r="HA3152" s="501"/>
      <c r="HB3152" s="501"/>
      <c r="HC3152" s="501"/>
      <c r="HD3152" s="501"/>
      <c r="HE3152" s="501"/>
      <c r="HF3152" s="501"/>
      <c r="HG3152" s="501"/>
      <c r="HH3152" s="501"/>
      <c r="HI3152" s="501"/>
      <c r="HJ3152" s="501"/>
      <c r="HK3152" s="501"/>
      <c r="HL3152" s="501"/>
      <c r="HM3152" s="501"/>
      <c r="HN3152" s="501"/>
      <c r="HO3152" s="501"/>
      <c r="HP3152" s="501"/>
      <c r="HQ3152" s="501"/>
      <c r="HR3152" s="501"/>
      <c r="HS3152" s="501"/>
      <c r="HT3152" s="501"/>
      <c r="HU3152" s="501"/>
      <c r="HV3152" s="501"/>
      <c r="HW3152" s="501"/>
      <c r="HX3152" s="501"/>
      <c r="HY3152" s="501"/>
      <c r="HZ3152" s="501"/>
      <c r="IA3152" s="501"/>
      <c r="IB3152" s="501"/>
      <c r="IC3152" s="501"/>
      <c r="ID3152" s="501"/>
      <c r="IE3152" s="501"/>
      <c r="IF3152" s="501"/>
      <c r="IG3152" s="501"/>
      <c r="IH3152" s="501"/>
      <c r="II3152" s="501"/>
      <c r="IJ3152" s="501"/>
      <c r="IK3152" s="501"/>
      <c r="IL3152" s="501"/>
      <c r="IM3152" s="501"/>
      <c r="IN3152" s="501"/>
      <c r="IO3152" s="501"/>
      <c r="IP3152" s="501"/>
      <c r="IQ3152" s="501"/>
      <c r="IR3152" s="501"/>
      <c r="IS3152" s="501"/>
      <c r="IT3152" s="501"/>
      <c r="IU3152" s="501"/>
    </row>
    <row r="3153" spans="1:255" s="877" customFormat="1" ht="24" customHeight="1">
      <c r="A3153" s="501"/>
      <c r="B3153" s="501"/>
      <c r="C3153" s="501"/>
      <c r="D3153" s="501"/>
      <c r="E3153" s="501"/>
      <c r="F3153" s="501"/>
      <c r="G3153" s="915"/>
      <c r="H3153" s="501"/>
      <c r="I3153" s="874"/>
      <c r="J3153" s="872"/>
      <c r="K3153" s="501"/>
      <c r="L3153" s="874"/>
      <c r="M3153" s="883"/>
      <c r="N3153" s="501"/>
      <c r="O3153" s="545"/>
      <c r="P3153" s="901"/>
      <c r="Q3153" s="876"/>
      <c r="R3153" s="545"/>
      <c r="S3153" s="876"/>
      <c r="T3153" s="545"/>
      <c r="V3153" s="901"/>
      <c r="W3153" s="876"/>
      <c r="X3153" s="545"/>
      <c r="Y3153" s="876"/>
      <c r="Z3153" s="881"/>
      <c r="AA3153" s="501"/>
      <c r="AB3153" s="501"/>
      <c r="AC3153" s="501"/>
      <c r="AD3153" s="501"/>
      <c r="AE3153" s="501"/>
      <c r="AF3153" s="501"/>
      <c r="AG3153" s="501"/>
      <c r="AH3153" s="501"/>
      <c r="AI3153" s="501"/>
      <c r="AJ3153" s="501"/>
      <c r="AK3153" s="501"/>
      <c r="AL3153" s="501"/>
      <c r="AM3153" s="501"/>
      <c r="AN3153" s="501"/>
      <c r="AO3153" s="501"/>
      <c r="AP3153" s="501"/>
      <c r="AQ3153" s="501"/>
      <c r="AR3153" s="501"/>
      <c r="AS3153" s="501"/>
      <c r="AT3153" s="501"/>
      <c r="AU3153" s="501"/>
      <c r="AV3153" s="501"/>
      <c r="AW3153" s="501"/>
      <c r="AX3153" s="501"/>
      <c r="AY3153" s="501"/>
      <c r="AZ3153" s="501"/>
      <c r="BA3153" s="501"/>
      <c r="BB3153" s="501"/>
      <c r="BC3153" s="501"/>
      <c r="BD3153" s="501"/>
      <c r="BE3153" s="501"/>
      <c r="BF3153" s="501"/>
      <c r="BG3153" s="501"/>
      <c r="BH3153" s="501"/>
      <c r="BI3153" s="501"/>
      <c r="BJ3153" s="501"/>
      <c r="BK3153" s="501"/>
      <c r="BL3153" s="501"/>
      <c r="BM3153" s="501"/>
      <c r="BN3153" s="501"/>
      <c r="BO3153" s="501"/>
      <c r="BP3153" s="501"/>
      <c r="BQ3153" s="501"/>
      <c r="BR3153" s="501"/>
      <c r="BS3153" s="501"/>
      <c r="BT3153" s="501"/>
      <c r="BU3153" s="501"/>
      <c r="BV3153" s="501"/>
      <c r="BW3153" s="501"/>
      <c r="BX3153" s="501"/>
      <c r="BY3153" s="501"/>
      <c r="BZ3153" s="501"/>
      <c r="CA3153" s="501"/>
      <c r="CB3153" s="501"/>
      <c r="CC3153" s="501"/>
      <c r="CD3153" s="501"/>
      <c r="CE3153" s="501"/>
      <c r="CF3153" s="501"/>
      <c r="CG3153" s="501"/>
      <c r="CH3153" s="501"/>
      <c r="CI3153" s="501"/>
      <c r="CJ3153" s="501"/>
      <c r="CK3153" s="501"/>
      <c r="CL3153" s="501"/>
      <c r="CM3153" s="501"/>
      <c r="CN3153" s="501"/>
      <c r="CO3153" s="501"/>
      <c r="CP3153" s="501"/>
      <c r="CQ3153" s="501"/>
      <c r="CR3153" s="501"/>
      <c r="CS3153" s="501"/>
      <c r="CT3153" s="501"/>
      <c r="CU3153" s="501"/>
      <c r="CV3153" s="501"/>
      <c r="CW3153" s="501"/>
      <c r="CX3153" s="501"/>
      <c r="CY3153" s="501"/>
      <c r="CZ3153" s="501"/>
      <c r="DA3153" s="501"/>
      <c r="DB3153" s="501"/>
      <c r="DC3153" s="501"/>
      <c r="DD3153" s="501"/>
      <c r="DE3153" s="501"/>
      <c r="DF3153" s="501"/>
      <c r="DG3153" s="501"/>
      <c r="DH3153" s="501"/>
      <c r="DI3153" s="501"/>
      <c r="DJ3153" s="501"/>
      <c r="DK3153" s="501"/>
      <c r="DL3153" s="501"/>
      <c r="DM3153" s="501"/>
      <c r="DN3153" s="501"/>
      <c r="DO3153" s="501"/>
      <c r="DP3153" s="501"/>
      <c r="DQ3153" s="501"/>
      <c r="DR3153" s="501"/>
      <c r="DS3153" s="501"/>
      <c r="DT3153" s="501"/>
      <c r="DU3153" s="501"/>
      <c r="DV3153" s="501"/>
      <c r="DW3153" s="501"/>
      <c r="DX3153" s="501"/>
      <c r="DY3153" s="501"/>
      <c r="DZ3153" s="501"/>
      <c r="EA3153" s="501"/>
      <c r="EB3153" s="501"/>
      <c r="EC3153" s="501"/>
      <c r="ED3153" s="501"/>
      <c r="EE3153" s="501"/>
      <c r="EF3153" s="501"/>
      <c r="EG3153" s="501"/>
      <c r="EH3153" s="501"/>
      <c r="EI3153" s="501"/>
      <c r="EJ3153" s="501"/>
      <c r="EK3153" s="501"/>
      <c r="EL3153" s="501"/>
      <c r="EM3153" s="501"/>
      <c r="EN3153" s="501"/>
      <c r="EO3153" s="501"/>
      <c r="EP3153" s="501"/>
      <c r="EQ3153" s="501"/>
      <c r="ER3153" s="501"/>
      <c r="ES3153" s="501"/>
      <c r="ET3153" s="501"/>
      <c r="EU3153" s="501"/>
      <c r="EV3153" s="501"/>
      <c r="EW3153" s="501"/>
      <c r="EX3153" s="501"/>
      <c r="EY3153" s="501"/>
      <c r="EZ3153" s="501"/>
      <c r="FA3153" s="501"/>
      <c r="FB3153" s="501"/>
      <c r="FC3153" s="501"/>
      <c r="FD3153" s="501"/>
      <c r="FE3153" s="501"/>
      <c r="FF3153" s="501"/>
      <c r="FG3153" s="501"/>
      <c r="FH3153" s="501"/>
      <c r="FI3153" s="501"/>
      <c r="FJ3153" s="501"/>
      <c r="FK3153" s="501"/>
      <c r="FL3153" s="501"/>
      <c r="FM3153" s="501"/>
      <c r="FN3153" s="501"/>
      <c r="FO3153" s="501"/>
      <c r="FP3153" s="501"/>
      <c r="FQ3153" s="501"/>
      <c r="FR3153" s="501"/>
      <c r="FS3153" s="501"/>
      <c r="FT3153" s="501"/>
      <c r="FU3153" s="501"/>
      <c r="FV3153" s="501"/>
      <c r="FW3153" s="501"/>
      <c r="FX3153" s="501"/>
      <c r="FY3153" s="501"/>
      <c r="FZ3153" s="501"/>
      <c r="GA3153" s="501"/>
      <c r="GB3153" s="501"/>
      <c r="GC3153" s="501"/>
      <c r="GD3153" s="501"/>
      <c r="GE3153" s="501"/>
      <c r="GF3153" s="501"/>
      <c r="GG3153" s="501"/>
      <c r="GH3153" s="501"/>
      <c r="GI3153" s="501"/>
      <c r="GJ3153" s="501"/>
      <c r="GK3153" s="501"/>
      <c r="GL3153" s="501"/>
      <c r="GM3153" s="501"/>
      <c r="GN3153" s="501"/>
      <c r="GO3153" s="501"/>
      <c r="GP3153" s="501"/>
      <c r="GQ3153" s="501"/>
      <c r="GR3153" s="501"/>
      <c r="GS3153" s="501"/>
      <c r="GT3153" s="501"/>
      <c r="GU3153" s="501"/>
      <c r="GV3153" s="501"/>
      <c r="GW3153" s="501"/>
      <c r="GX3153" s="501"/>
      <c r="GY3153" s="501"/>
      <c r="GZ3153" s="501"/>
      <c r="HA3153" s="501"/>
      <c r="HB3153" s="501"/>
      <c r="HC3153" s="501"/>
      <c r="HD3153" s="501"/>
      <c r="HE3153" s="501"/>
      <c r="HF3153" s="501"/>
      <c r="HG3153" s="501"/>
      <c r="HH3153" s="501"/>
      <c r="HI3153" s="501"/>
      <c r="HJ3153" s="501"/>
      <c r="HK3153" s="501"/>
      <c r="HL3153" s="501"/>
      <c r="HM3153" s="501"/>
      <c r="HN3153" s="501"/>
      <c r="HO3153" s="501"/>
      <c r="HP3153" s="501"/>
      <c r="HQ3153" s="501"/>
      <c r="HR3153" s="501"/>
      <c r="HS3153" s="501"/>
      <c r="HT3153" s="501"/>
      <c r="HU3153" s="501"/>
      <c r="HV3153" s="501"/>
      <c r="HW3153" s="501"/>
      <c r="HX3153" s="501"/>
      <c r="HY3153" s="501"/>
      <c r="HZ3153" s="501"/>
      <c r="IA3153" s="501"/>
      <c r="IB3153" s="501"/>
      <c r="IC3153" s="501"/>
      <c r="ID3153" s="501"/>
      <c r="IE3153" s="501"/>
      <c r="IF3153" s="501"/>
      <c r="IG3153" s="501"/>
      <c r="IH3153" s="501"/>
      <c r="II3153" s="501"/>
      <c r="IJ3153" s="501"/>
      <c r="IK3153" s="501"/>
      <c r="IL3153" s="501"/>
      <c r="IM3153" s="501"/>
      <c r="IN3153" s="501"/>
      <c r="IO3153" s="501"/>
      <c r="IP3153" s="501"/>
      <c r="IQ3153" s="501"/>
      <c r="IR3153" s="501"/>
      <c r="IS3153" s="501"/>
      <c r="IT3153" s="501"/>
      <c r="IU3153" s="501"/>
    </row>
    <row r="3154" spans="1:255" s="877" customFormat="1" ht="24" customHeight="1">
      <c r="A3154" s="501"/>
      <c r="B3154" s="501"/>
      <c r="C3154" s="501"/>
      <c r="D3154" s="501"/>
      <c r="E3154" s="501"/>
      <c r="F3154" s="501"/>
      <c r="G3154" s="915"/>
      <c r="H3154" s="501"/>
      <c r="I3154" s="874"/>
      <c r="J3154" s="501"/>
      <c r="K3154" s="501"/>
      <c r="L3154" s="874"/>
      <c r="M3154" s="882"/>
      <c r="N3154" s="501"/>
      <c r="O3154" s="545"/>
      <c r="P3154" s="901"/>
      <c r="Q3154" s="876"/>
      <c r="R3154" s="545"/>
      <c r="S3154" s="876"/>
      <c r="T3154" s="545"/>
      <c r="V3154" s="902"/>
      <c r="W3154" s="880"/>
      <c r="X3154" s="501"/>
      <c r="Y3154" s="874"/>
      <c r="Z3154" s="545"/>
      <c r="AA3154" s="501"/>
      <c r="AB3154" s="501"/>
      <c r="AC3154" s="501"/>
      <c r="AD3154" s="501"/>
      <c r="AE3154" s="501"/>
      <c r="AF3154" s="501"/>
      <c r="AG3154" s="501"/>
      <c r="AH3154" s="501"/>
      <c r="AI3154" s="501"/>
      <c r="AJ3154" s="501"/>
      <c r="AK3154" s="501"/>
      <c r="AL3154" s="501"/>
      <c r="AM3154" s="501"/>
      <c r="AN3154" s="501"/>
      <c r="AO3154" s="501"/>
      <c r="AP3154" s="501"/>
      <c r="AQ3154" s="501"/>
      <c r="AR3154" s="501"/>
      <c r="AS3154" s="501"/>
      <c r="AT3154" s="501"/>
      <c r="AU3154" s="501"/>
      <c r="AV3154" s="501"/>
      <c r="AW3154" s="501"/>
      <c r="AX3154" s="501"/>
      <c r="AY3154" s="501"/>
      <c r="AZ3154" s="501"/>
      <c r="BA3154" s="501"/>
      <c r="BB3154" s="501"/>
      <c r="BC3154" s="501"/>
      <c r="BD3154" s="501"/>
      <c r="BE3154" s="501"/>
      <c r="BF3154" s="501"/>
      <c r="BG3154" s="501"/>
      <c r="BH3154" s="501"/>
      <c r="BI3154" s="501"/>
      <c r="BJ3154" s="501"/>
      <c r="BK3154" s="501"/>
      <c r="BL3154" s="501"/>
      <c r="BM3154" s="501"/>
      <c r="BN3154" s="501"/>
      <c r="BO3154" s="501"/>
      <c r="BP3154" s="501"/>
      <c r="BQ3154" s="501"/>
      <c r="BR3154" s="501"/>
      <c r="BS3154" s="501"/>
      <c r="BT3154" s="501"/>
      <c r="BU3154" s="501"/>
      <c r="BV3154" s="501"/>
      <c r="BW3154" s="501"/>
      <c r="BX3154" s="501"/>
      <c r="BY3154" s="501"/>
      <c r="BZ3154" s="501"/>
      <c r="CA3154" s="501"/>
      <c r="CB3154" s="501"/>
      <c r="CC3154" s="501"/>
      <c r="CD3154" s="501"/>
      <c r="CE3154" s="501"/>
      <c r="CF3154" s="501"/>
      <c r="CG3154" s="501"/>
      <c r="CH3154" s="501"/>
      <c r="CI3154" s="501"/>
      <c r="CJ3154" s="501"/>
      <c r="CK3154" s="501"/>
      <c r="CL3154" s="501"/>
      <c r="CM3154" s="501"/>
      <c r="CN3154" s="501"/>
      <c r="CO3154" s="501"/>
      <c r="CP3154" s="501"/>
      <c r="CQ3154" s="501"/>
      <c r="CR3154" s="501"/>
      <c r="CS3154" s="501"/>
      <c r="CT3154" s="501"/>
      <c r="CU3154" s="501"/>
      <c r="CV3154" s="501"/>
      <c r="CW3154" s="501"/>
      <c r="CX3154" s="501"/>
      <c r="CY3154" s="501"/>
      <c r="CZ3154" s="501"/>
      <c r="DA3154" s="501"/>
      <c r="DB3154" s="501"/>
      <c r="DC3154" s="501"/>
      <c r="DD3154" s="501"/>
      <c r="DE3154" s="501"/>
      <c r="DF3154" s="501"/>
      <c r="DG3154" s="501"/>
      <c r="DH3154" s="501"/>
      <c r="DI3154" s="501"/>
      <c r="DJ3154" s="501"/>
      <c r="DK3154" s="501"/>
      <c r="DL3154" s="501"/>
      <c r="DM3154" s="501"/>
      <c r="DN3154" s="501"/>
      <c r="DO3154" s="501"/>
      <c r="DP3154" s="501"/>
      <c r="DQ3154" s="501"/>
      <c r="DR3154" s="501"/>
      <c r="DS3154" s="501"/>
      <c r="DT3154" s="501"/>
      <c r="DU3154" s="501"/>
      <c r="DV3154" s="501"/>
      <c r="DW3154" s="501"/>
      <c r="DX3154" s="501"/>
      <c r="DY3154" s="501"/>
      <c r="DZ3154" s="501"/>
      <c r="EA3154" s="501"/>
      <c r="EB3154" s="501"/>
      <c r="EC3154" s="501"/>
      <c r="ED3154" s="501"/>
      <c r="EE3154" s="501"/>
      <c r="EF3154" s="501"/>
      <c r="EG3154" s="501"/>
      <c r="EH3154" s="501"/>
      <c r="EI3154" s="501"/>
      <c r="EJ3154" s="501"/>
      <c r="EK3154" s="501"/>
      <c r="EL3154" s="501"/>
      <c r="EM3154" s="501"/>
      <c r="EN3154" s="501"/>
      <c r="EO3154" s="501"/>
      <c r="EP3154" s="501"/>
      <c r="EQ3154" s="501"/>
      <c r="ER3154" s="501"/>
      <c r="ES3154" s="501"/>
      <c r="ET3154" s="501"/>
      <c r="EU3154" s="501"/>
      <c r="EV3154" s="501"/>
      <c r="EW3154" s="501"/>
      <c r="EX3154" s="501"/>
      <c r="EY3154" s="501"/>
      <c r="EZ3154" s="501"/>
      <c r="FA3154" s="501"/>
      <c r="FB3154" s="501"/>
      <c r="FC3154" s="501"/>
      <c r="FD3154" s="501"/>
      <c r="FE3154" s="501"/>
      <c r="FF3154" s="501"/>
      <c r="FG3154" s="501"/>
      <c r="FH3154" s="501"/>
      <c r="FI3154" s="501"/>
      <c r="FJ3154" s="501"/>
      <c r="FK3154" s="501"/>
      <c r="FL3154" s="501"/>
      <c r="FM3154" s="501"/>
      <c r="FN3154" s="501"/>
      <c r="FO3154" s="501"/>
      <c r="FP3154" s="501"/>
      <c r="FQ3154" s="501"/>
      <c r="FR3154" s="501"/>
      <c r="FS3154" s="501"/>
      <c r="FT3154" s="501"/>
      <c r="FU3154" s="501"/>
      <c r="FV3154" s="501"/>
      <c r="FW3154" s="501"/>
      <c r="FX3154" s="501"/>
      <c r="FY3154" s="501"/>
      <c r="FZ3154" s="501"/>
      <c r="GA3154" s="501"/>
      <c r="GB3154" s="501"/>
      <c r="GC3154" s="501"/>
      <c r="GD3154" s="501"/>
      <c r="GE3154" s="501"/>
      <c r="GF3154" s="501"/>
      <c r="GG3154" s="501"/>
      <c r="GH3154" s="501"/>
      <c r="GI3154" s="501"/>
      <c r="GJ3154" s="501"/>
      <c r="GK3154" s="501"/>
      <c r="GL3154" s="501"/>
      <c r="GM3154" s="501"/>
      <c r="GN3154" s="501"/>
      <c r="GO3154" s="501"/>
      <c r="GP3154" s="501"/>
      <c r="GQ3154" s="501"/>
      <c r="GR3154" s="501"/>
      <c r="GS3154" s="501"/>
      <c r="GT3154" s="501"/>
      <c r="GU3154" s="501"/>
      <c r="GV3154" s="501"/>
      <c r="GW3154" s="501"/>
      <c r="GX3154" s="501"/>
      <c r="GY3154" s="501"/>
      <c r="GZ3154" s="501"/>
      <c r="HA3154" s="501"/>
      <c r="HB3154" s="501"/>
      <c r="HC3154" s="501"/>
      <c r="HD3154" s="501"/>
      <c r="HE3154" s="501"/>
      <c r="HF3154" s="501"/>
      <c r="HG3154" s="501"/>
      <c r="HH3154" s="501"/>
      <c r="HI3154" s="501"/>
      <c r="HJ3154" s="501"/>
      <c r="HK3154" s="501"/>
      <c r="HL3154" s="501"/>
      <c r="HM3154" s="501"/>
      <c r="HN3154" s="501"/>
      <c r="HO3154" s="501"/>
      <c r="HP3154" s="501"/>
      <c r="HQ3154" s="501"/>
      <c r="HR3154" s="501"/>
      <c r="HS3154" s="501"/>
      <c r="HT3154" s="501"/>
      <c r="HU3154" s="501"/>
      <c r="HV3154" s="501"/>
      <c r="HW3154" s="501"/>
      <c r="HX3154" s="501"/>
      <c r="HY3154" s="501"/>
      <c r="HZ3154" s="501"/>
      <c r="IA3154" s="501"/>
      <c r="IB3154" s="501"/>
      <c r="IC3154" s="501"/>
      <c r="ID3154" s="501"/>
      <c r="IE3154" s="501"/>
      <c r="IF3154" s="501"/>
      <c r="IG3154" s="501"/>
      <c r="IH3154" s="501"/>
      <c r="II3154" s="501"/>
      <c r="IJ3154" s="501"/>
      <c r="IK3154" s="501"/>
      <c r="IL3154" s="501"/>
      <c r="IM3154" s="501"/>
      <c r="IN3154" s="501"/>
      <c r="IO3154" s="501"/>
      <c r="IP3154" s="501"/>
      <c r="IQ3154" s="501"/>
      <c r="IR3154" s="501"/>
      <c r="IS3154" s="501"/>
      <c r="IT3154" s="501"/>
      <c r="IU3154" s="501"/>
    </row>
    <row r="3155" spans="1:255" s="877" customFormat="1" ht="24" customHeight="1">
      <c r="A3155" s="501"/>
      <c r="B3155" s="501"/>
      <c r="C3155" s="501"/>
      <c r="D3155" s="501"/>
      <c r="E3155" s="501"/>
      <c r="F3155" s="501"/>
      <c r="G3155" s="915"/>
      <c r="H3155" s="501"/>
      <c r="I3155" s="874"/>
      <c r="J3155" s="501"/>
      <c r="K3155" s="501"/>
      <c r="L3155" s="874"/>
      <c r="M3155" s="554"/>
      <c r="N3155" s="501"/>
      <c r="O3155" s="545"/>
      <c r="P3155" s="901"/>
      <c r="Q3155" s="876"/>
      <c r="R3155" s="545"/>
      <c r="S3155" s="876"/>
      <c r="T3155" s="545"/>
      <c r="V3155" s="902"/>
      <c r="W3155" s="501"/>
      <c r="X3155" s="501"/>
      <c r="Y3155" s="874"/>
      <c r="Z3155" s="881"/>
      <c r="AA3155" s="501"/>
      <c r="AB3155" s="501"/>
      <c r="AC3155" s="501"/>
      <c r="AD3155" s="501"/>
      <c r="AE3155" s="501"/>
      <c r="AF3155" s="501"/>
      <c r="AG3155" s="501"/>
      <c r="AH3155" s="501"/>
      <c r="AI3155" s="501"/>
      <c r="AJ3155" s="501"/>
      <c r="AK3155" s="501"/>
      <c r="AL3155" s="501"/>
      <c r="AM3155" s="501"/>
      <c r="AN3155" s="501"/>
      <c r="AO3155" s="501"/>
      <c r="AP3155" s="501"/>
      <c r="AQ3155" s="501"/>
      <c r="AR3155" s="501"/>
      <c r="AS3155" s="501"/>
      <c r="AT3155" s="501"/>
      <c r="AU3155" s="501"/>
      <c r="AV3155" s="501"/>
      <c r="AW3155" s="501"/>
      <c r="AX3155" s="501"/>
      <c r="AY3155" s="501"/>
      <c r="AZ3155" s="501"/>
      <c r="BA3155" s="501"/>
      <c r="BB3155" s="501"/>
      <c r="BC3155" s="501"/>
      <c r="BD3155" s="501"/>
      <c r="BE3155" s="501"/>
      <c r="BF3155" s="501"/>
      <c r="BG3155" s="501"/>
      <c r="BH3155" s="501"/>
      <c r="BI3155" s="501"/>
      <c r="BJ3155" s="501"/>
      <c r="BK3155" s="501"/>
      <c r="BL3155" s="501"/>
      <c r="BM3155" s="501"/>
      <c r="BN3155" s="501"/>
      <c r="BO3155" s="501"/>
      <c r="BP3155" s="501"/>
      <c r="BQ3155" s="501"/>
      <c r="BR3155" s="501"/>
      <c r="BS3155" s="501"/>
      <c r="BT3155" s="501"/>
      <c r="BU3155" s="501"/>
      <c r="BV3155" s="501"/>
      <c r="BW3155" s="501"/>
      <c r="BX3155" s="501"/>
      <c r="BY3155" s="501"/>
      <c r="BZ3155" s="501"/>
      <c r="CA3155" s="501"/>
      <c r="CB3155" s="501"/>
      <c r="CC3155" s="501"/>
      <c r="CD3155" s="501"/>
      <c r="CE3155" s="501"/>
      <c r="CF3155" s="501"/>
      <c r="CG3155" s="501"/>
      <c r="CH3155" s="501"/>
      <c r="CI3155" s="501"/>
      <c r="CJ3155" s="501"/>
      <c r="CK3155" s="501"/>
      <c r="CL3155" s="501"/>
      <c r="CM3155" s="501"/>
      <c r="CN3155" s="501"/>
      <c r="CO3155" s="501"/>
      <c r="CP3155" s="501"/>
      <c r="CQ3155" s="501"/>
      <c r="CR3155" s="501"/>
      <c r="CS3155" s="501"/>
      <c r="CT3155" s="501"/>
      <c r="CU3155" s="501"/>
      <c r="CV3155" s="501"/>
      <c r="CW3155" s="501"/>
      <c r="CX3155" s="501"/>
      <c r="CY3155" s="501"/>
      <c r="CZ3155" s="501"/>
      <c r="DA3155" s="501"/>
      <c r="DB3155" s="501"/>
      <c r="DC3155" s="501"/>
      <c r="DD3155" s="501"/>
      <c r="DE3155" s="501"/>
      <c r="DF3155" s="501"/>
      <c r="DG3155" s="501"/>
      <c r="DH3155" s="501"/>
      <c r="DI3155" s="501"/>
      <c r="DJ3155" s="501"/>
      <c r="DK3155" s="501"/>
      <c r="DL3155" s="501"/>
      <c r="DM3155" s="501"/>
      <c r="DN3155" s="501"/>
      <c r="DO3155" s="501"/>
      <c r="DP3155" s="501"/>
      <c r="DQ3155" s="501"/>
      <c r="DR3155" s="501"/>
      <c r="DS3155" s="501"/>
      <c r="DT3155" s="501"/>
      <c r="DU3155" s="501"/>
      <c r="DV3155" s="501"/>
      <c r="DW3155" s="501"/>
      <c r="DX3155" s="501"/>
      <c r="DY3155" s="501"/>
      <c r="DZ3155" s="501"/>
      <c r="EA3155" s="501"/>
      <c r="EB3155" s="501"/>
      <c r="EC3155" s="501"/>
      <c r="ED3155" s="501"/>
      <c r="EE3155" s="501"/>
      <c r="EF3155" s="501"/>
      <c r="EG3155" s="501"/>
      <c r="EH3155" s="501"/>
      <c r="EI3155" s="501"/>
      <c r="EJ3155" s="501"/>
      <c r="EK3155" s="501"/>
      <c r="EL3155" s="501"/>
      <c r="EM3155" s="501"/>
      <c r="EN3155" s="501"/>
      <c r="EO3155" s="501"/>
      <c r="EP3155" s="501"/>
      <c r="EQ3155" s="501"/>
      <c r="ER3155" s="501"/>
      <c r="ES3155" s="501"/>
      <c r="ET3155" s="501"/>
      <c r="EU3155" s="501"/>
      <c r="EV3155" s="501"/>
      <c r="EW3155" s="501"/>
      <c r="EX3155" s="501"/>
      <c r="EY3155" s="501"/>
      <c r="EZ3155" s="501"/>
      <c r="FA3155" s="501"/>
      <c r="FB3155" s="501"/>
      <c r="FC3155" s="501"/>
      <c r="FD3155" s="501"/>
      <c r="FE3155" s="501"/>
      <c r="FF3155" s="501"/>
      <c r="FG3155" s="501"/>
      <c r="FH3155" s="501"/>
      <c r="FI3155" s="501"/>
      <c r="FJ3155" s="501"/>
      <c r="FK3155" s="501"/>
      <c r="FL3155" s="501"/>
      <c r="FM3155" s="501"/>
      <c r="FN3155" s="501"/>
      <c r="FO3155" s="501"/>
      <c r="FP3155" s="501"/>
      <c r="FQ3155" s="501"/>
      <c r="FR3155" s="501"/>
      <c r="FS3155" s="501"/>
      <c r="FT3155" s="501"/>
      <c r="FU3155" s="501"/>
      <c r="FV3155" s="501"/>
      <c r="FW3155" s="501"/>
      <c r="FX3155" s="501"/>
      <c r="FY3155" s="501"/>
      <c r="FZ3155" s="501"/>
      <c r="GA3155" s="501"/>
      <c r="GB3155" s="501"/>
      <c r="GC3155" s="501"/>
      <c r="GD3155" s="501"/>
      <c r="GE3155" s="501"/>
      <c r="GF3155" s="501"/>
      <c r="GG3155" s="501"/>
      <c r="GH3155" s="501"/>
      <c r="GI3155" s="501"/>
      <c r="GJ3155" s="501"/>
      <c r="GK3155" s="501"/>
      <c r="GL3155" s="501"/>
      <c r="GM3155" s="501"/>
      <c r="GN3155" s="501"/>
      <c r="GO3155" s="501"/>
      <c r="GP3155" s="501"/>
      <c r="GQ3155" s="501"/>
      <c r="GR3155" s="501"/>
      <c r="GS3155" s="501"/>
      <c r="GT3155" s="501"/>
      <c r="GU3155" s="501"/>
      <c r="GV3155" s="501"/>
      <c r="GW3155" s="501"/>
      <c r="GX3155" s="501"/>
      <c r="GY3155" s="501"/>
      <c r="GZ3155" s="501"/>
      <c r="HA3155" s="501"/>
      <c r="HB3155" s="501"/>
      <c r="HC3155" s="501"/>
      <c r="HD3155" s="501"/>
      <c r="HE3155" s="501"/>
      <c r="HF3155" s="501"/>
      <c r="HG3155" s="501"/>
      <c r="HH3155" s="501"/>
      <c r="HI3155" s="501"/>
      <c r="HJ3155" s="501"/>
      <c r="HK3155" s="501"/>
      <c r="HL3155" s="501"/>
      <c r="HM3155" s="501"/>
      <c r="HN3155" s="501"/>
      <c r="HO3155" s="501"/>
      <c r="HP3155" s="501"/>
      <c r="HQ3155" s="501"/>
      <c r="HR3155" s="501"/>
      <c r="HS3155" s="501"/>
      <c r="HT3155" s="501"/>
      <c r="HU3155" s="501"/>
      <c r="HV3155" s="501"/>
      <c r="HW3155" s="501"/>
      <c r="HX3155" s="501"/>
      <c r="HY3155" s="501"/>
      <c r="HZ3155" s="501"/>
      <c r="IA3155" s="501"/>
      <c r="IB3155" s="501"/>
      <c r="IC3155" s="501"/>
      <c r="ID3155" s="501"/>
      <c r="IE3155" s="501"/>
      <c r="IF3155" s="501"/>
      <c r="IG3155" s="501"/>
      <c r="IH3155" s="501"/>
      <c r="II3155" s="501"/>
      <c r="IJ3155" s="501"/>
      <c r="IK3155" s="501"/>
      <c r="IL3155" s="501"/>
      <c r="IM3155" s="501"/>
      <c r="IN3155" s="501"/>
      <c r="IO3155" s="501"/>
      <c r="IP3155" s="501"/>
      <c r="IQ3155" s="501"/>
      <c r="IR3155" s="501"/>
      <c r="IS3155" s="501"/>
      <c r="IT3155" s="501"/>
      <c r="IU3155" s="501"/>
    </row>
    <row r="3156" spans="1:255" s="877" customFormat="1" ht="24" customHeight="1">
      <c r="A3156" s="501"/>
      <c r="B3156" s="501"/>
      <c r="C3156" s="501"/>
      <c r="D3156" s="501"/>
      <c r="E3156" s="501"/>
      <c r="F3156" s="501"/>
      <c r="G3156" s="915"/>
      <c r="H3156" s="501"/>
      <c r="I3156" s="874"/>
      <c r="J3156" s="501"/>
      <c r="K3156" s="501"/>
      <c r="L3156" s="874"/>
      <c r="M3156" s="554"/>
      <c r="N3156" s="501"/>
      <c r="O3156" s="545"/>
      <c r="P3156" s="901"/>
      <c r="Q3156" s="876"/>
      <c r="R3156" s="545"/>
      <c r="S3156" s="876"/>
      <c r="T3156" s="545"/>
      <c r="V3156" s="901"/>
      <c r="W3156" s="872"/>
      <c r="X3156" s="501"/>
      <c r="Y3156" s="874"/>
      <c r="Z3156" s="892"/>
      <c r="AA3156" s="501"/>
      <c r="AB3156" s="501"/>
      <c r="AC3156" s="501"/>
      <c r="AD3156" s="501"/>
      <c r="AE3156" s="501"/>
      <c r="AF3156" s="501"/>
      <c r="AG3156" s="501"/>
      <c r="AH3156" s="501"/>
      <c r="AI3156" s="501"/>
      <c r="AJ3156" s="501"/>
      <c r="AK3156" s="501"/>
      <c r="AL3156" s="501"/>
      <c r="AM3156" s="501"/>
      <c r="AN3156" s="501"/>
      <c r="AO3156" s="501"/>
      <c r="AP3156" s="501"/>
      <c r="AQ3156" s="501"/>
      <c r="AR3156" s="501"/>
      <c r="AS3156" s="501"/>
      <c r="AT3156" s="501"/>
      <c r="AU3156" s="501"/>
      <c r="AV3156" s="501"/>
      <c r="AW3156" s="501"/>
      <c r="AX3156" s="501"/>
      <c r="AY3156" s="501"/>
      <c r="AZ3156" s="501"/>
      <c r="BA3156" s="501"/>
      <c r="BB3156" s="501"/>
      <c r="BC3156" s="501"/>
      <c r="BD3156" s="501"/>
      <c r="BE3156" s="501"/>
      <c r="BF3156" s="501"/>
      <c r="BG3156" s="501"/>
      <c r="BH3156" s="501"/>
      <c r="BI3156" s="501"/>
      <c r="BJ3156" s="501"/>
      <c r="BK3156" s="501"/>
      <c r="BL3156" s="501"/>
      <c r="BM3156" s="501"/>
      <c r="BN3156" s="501"/>
      <c r="BO3156" s="501"/>
      <c r="BP3156" s="501"/>
      <c r="BQ3156" s="501"/>
      <c r="BR3156" s="501"/>
      <c r="BS3156" s="501"/>
      <c r="BT3156" s="501"/>
      <c r="BU3156" s="501"/>
      <c r="BV3156" s="501"/>
      <c r="BW3156" s="501"/>
      <c r="BX3156" s="501"/>
      <c r="BY3156" s="501"/>
      <c r="BZ3156" s="501"/>
      <c r="CA3156" s="501"/>
      <c r="CB3156" s="501"/>
      <c r="CC3156" s="501"/>
      <c r="CD3156" s="501"/>
      <c r="CE3156" s="501"/>
      <c r="CF3156" s="501"/>
      <c r="CG3156" s="501"/>
      <c r="CH3156" s="501"/>
      <c r="CI3156" s="501"/>
      <c r="CJ3156" s="501"/>
      <c r="CK3156" s="501"/>
      <c r="CL3156" s="501"/>
      <c r="CM3156" s="501"/>
      <c r="CN3156" s="501"/>
      <c r="CO3156" s="501"/>
      <c r="CP3156" s="501"/>
      <c r="CQ3156" s="501"/>
      <c r="CR3156" s="501"/>
      <c r="CS3156" s="501"/>
      <c r="CT3156" s="501"/>
      <c r="CU3156" s="501"/>
      <c r="CV3156" s="501"/>
      <c r="CW3156" s="501"/>
      <c r="CX3156" s="501"/>
      <c r="CY3156" s="501"/>
      <c r="CZ3156" s="501"/>
      <c r="DA3156" s="501"/>
      <c r="DB3156" s="501"/>
      <c r="DC3156" s="501"/>
      <c r="DD3156" s="501"/>
      <c r="DE3156" s="501"/>
      <c r="DF3156" s="501"/>
      <c r="DG3156" s="501"/>
      <c r="DH3156" s="501"/>
      <c r="DI3156" s="501"/>
      <c r="DJ3156" s="501"/>
      <c r="DK3156" s="501"/>
      <c r="DL3156" s="501"/>
      <c r="DM3156" s="501"/>
      <c r="DN3156" s="501"/>
      <c r="DO3156" s="501"/>
      <c r="DP3156" s="501"/>
      <c r="DQ3156" s="501"/>
      <c r="DR3156" s="501"/>
      <c r="DS3156" s="501"/>
      <c r="DT3156" s="501"/>
      <c r="DU3156" s="501"/>
      <c r="DV3156" s="501"/>
      <c r="DW3156" s="501"/>
      <c r="DX3156" s="501"/>
      <c r="DY3156" s="501"/>
      <c r="DZ3156" s="501"/>
      <c r="EA3156" s="501"/>
      <c r="EB3156" s="501"/>
      <c r="EC3156" s="501"/>
      <c r="ED3156" s="501"/>
      <c r="EE3156" s="501"/>
      <c r="EF3156" s="501"/>
      <c r="EG3156" s="501"/>
      <c r="EH3156" s="501"/>
      <c r="EI3156" s="501"/>
      <c r="EJ3156" s="501"/>
      <c r="EK3156" s="501"/>
      <c r="EL3156" s="501"/>
      <c r="EM3156" s="501"/>
      <c r="EN3156" s="501"/>
      <c r="EO3156" s="501"/>
      <c r="EP3156" s="501"/>
      <c r="EQ3156" s="501"/>
      <c r="ER3156" s="501"/>
      <c r="ES3156" s="501"/>
      <c r="ET3156" s="501"/>
      <c r="EU3156" s="501"/>
      <c r="EV3156" s="501"/>
      <c r="EW3156" s="501"/>
      <c r="EX3156" s="501"/>
      <c r="EY3156" s="501"/>
      <c r="EZ3156" s="501"/>
      <c r="FA3156" s="501"/>
      <c r="FB3156" s="501"/>
      <c r="FC3156" s="501"/>
      <c r="FD3156" s="501"/>
      <c r="FE3156" s="501"/>
      <c r="FF3156" s="501"/>
      <c r="FG3156" s="501"/>
      <c r="FH3156" s="501"/>
      <c r="FI3156" s="501"/>
      <c r="FJ3156" s="501"/>
      <c r="FK3156" s="501"/>
      <c r="FL3156" s="501"/>
      <c r="FM3156" s="501"/>
      <c r="FN3156" s="501"/>
      <c r="FO3156" s="501"/>
      <c r="FP3156" s="501"/>
      <c r="FQ3156" s="501"/>
      <c r="FR3156" s="501"/>
      <c r="FS3156" s="501"/>
      <c r="FT3156" s="501"/>
      <c r="FU3156" s="501"/>
      <c r="FV3156" s="501"/>
      <c r="FW3156" s="501"/>
      <c r="FX3156" s="501"/>
      <c r="FY3156" s="501"/>
      <c r="FZ3156" s="501"/>
      <c r="GA3156" s="501"/>
      <c r="GB3156" s="501"/>
      <c r="GC3156" s="501"/>
      <c r="GD3156" s="501"/>
      <c r="GE3156" s="501"/>
      <c r="GF3156" s="501"/>
      <c r="GG3156" s="501"/>
      <c r="GH3156" s="501"/>
      <c r="GI3156" s="501"/>
      <c r="GJ3156" s="501"/>
      <c r="GK3156" s="501"/>
      <c r="GL3156" s="501"/>
      <c r="GM3156" s="501"/>
      <c r="GN3156" s="501"/>
      <c r="GO3156" s="501"/>
      <c r="GP3156" s="501"/>
      <c r="GQ3156" s="501"/>
      <c r="GR3156" s="501"/>
      <c r="GS3156" s="501"/>
      <c r="GT3156" s="501"/>
      <c r="GU3156" s="501"/>
      <c r="GV3156" s="501"/>
      <c r="GW3156" s="501"/>
      <c r="GX3156" s="501"/>
      <c r="GY3156" s="501"/>
      <c r="GZ3156" s="501"/>
      <c r="HA3156" s="501"/>
      <c r="HB3156" s="501"/>
      <c r="HC3156" s="501"/>
      <c r="HD3156" s="501"/>
      <c r="HE3156" s="501"/>
      <c r="HF3156" s="501"/>
      <c r="HG3156" s="501"/>
      <c r="HH3156" s="501"/>
      <c r="HI3156" s="501"/>
      <c r="HJ3156" s="501"/>
      <c r="HK3156" s="501"/>
      <c r="HL3156" s="501"/>
      <c r="HM3156" s="501"/>
      <c r="HN3156" s="501"/>
      <c r="HO3156" s="501"/>
      <c r="HP3156" s="501"/>
      <c r="HQ3156" s="501"/>
      <c r="HR3156" s="501"/>
      <c r="HS3156" s="501"/>
      <c r="HT3156" s="501"/>
      <c r="HU3156" s="501"/>
      <c r="HV3156" s="501"/>
      <c r="HW3156" s="501"/>
      <c r="HX3156" s="501"/>
      <c r="HY3156" s="501"/>
      <c r="HZ3156" s="501"/>
      <c r="IA3156" s="501"/>
      <c r="IB3156" s="501"/>
      <c r="IC3156" s="501"/>
      <c r="ID3156" s="501"/>
      <c r="IE3156" s="501"/>
      <c r="IF3156" s="501"/>
      <c r="IG3156" s="501"/>
      <c r="IH3156" s="501"/>
      <c r="II3156" s="501"/>
      <c r="IJ3156" s="501"/>
      <c r="IK3156" s="501"/>
      <c r="IL3156" s="501"/>
      <c r="IM3156" s="501"/>
      <c r="IN3156" s="501"/>
      <c r="IO3156" s="501"/>
      <c r="IP3156" s="501"/>
      <c r="IQ3156" s="501"/>
      <c r="IR3156" s="501"/>
      <c r="IS3156" s="501"/>
      <c r="IT3156" s="501"/>
      <c r="IU3156" s="501"/>
    </row>
    <row r="3157" spans="1:255" s="877" customFormat="1" ht="24" customHeight="1">
      <c r="A3157" s="501"/>
      <c r="B3157" s="501"/>
      <c r="C3157" s="501"/>
      <c r="D3157" s="501"/>
      <c r="E3157" s="501"/>
      <c r="F3157" s="501"/>
      <c r="G3157" s="915"/>
      <c r="H3157" s="501"/>
      <c r="I3157" s="874"/>
      <c r="J3157" s="501"/>
      <c r="K3157" s="501"/>
      <c r="L3157" s="874"/>
      <c r="M3157" s="554"/>
      <c r="N3157" s="501"/>
      <c r="O3157" s="545"/>
      <c r="P3157" s="902"/>
      <c r="Q3157" s="1097"/>
      <c r="R3157" s="501"/>
      <c r="S3157" s="874"/>
      <c r="T3157" s="545"/>
      <c r="V3157" s="902"/>
      <c r="W3157" s="501"/>
      <c r="X3157" s="501"/>
      <c r="Y3157" s="874"/>
      <c r="Z3157" s="881"/>
      <c r="AA3157" s="501"/>
      <c r="AB3157" s="501"/>
      <c r="AC3157" s="501"/>
      <c r="AD3157" s="501"/>
      <c r="AE3157" s="501"/>
      <c r="AF3157" s="501"/>
      <c r="AG3157" s="501"/>
      <c r="AH3157" s="501"/>
      <c r="AI3157" s="501"/>
      <c r="AJ3157" s="501"/>
      <c r="AK3157" s="501"/>
      <c r="AL3157" s="501"/>
      <c r="AM3157" s="501"/>
      <c r="AN3157" s="501"/>
      <c r="AO3157" s="501"/>
      <c r="AP3157" s="501"/>
      <c r="AQ3157" s="501"/>
      <c r="AR3157" s="501"/>
      <c r="AS3157" s="501"/>
      <c r="AT3157" s="501"/>
      <c r="AU3157" s="501"/>
      <c r="AV3157" s="501"/>
      <c r="AW3157" s="501"/>
      <c r="AX3157" s="501"/>
      <c r="AY3157" s="501"/>
      <c r="AZ3157" s="501"/>
      <c r="BA3157" s="501"/>
      <c r="BB3157" s="501"/>
      <c r="BC3157" s="501"/>
      <c r="BD3157" s="501"/>
      <c r="BE3157" s="501"/>
      <c r="BF3157" s="501"/>
      <c r="BG3157" s="501"/>
      <c r="BH3157" s="501"/>
      <c r="BI3157" s="501"/>
      <c r="BJ3157" s="501"/>
      <c r="BK3157" s="501"/>
      <c r="BL3157" s="501"/>
      <c r="BM3157" s="501"/>
      <c r="BN3157" s="501"/>
      <c r="BO3157" s="501"/>
      <c r="BP3157" s="501"/>
      <c r="BQ3157" s="501"/>
      <c r="BR3157" s="501"/>
      <c r="BS3157" s="501"/>
      <c r="BT3157" s="501"/>
      <c r="BU3157" s="501"/>
      <c r="BV3157" s="501"/>
      <c r="BW3157" s="501"/>
      <c r="BX3157" s="501"/>
      <c r="BY3157" s="501"/>
      <c r="BZ3157" s="501"/>
      <c r="CA3157" s="501"/>
      <c r="CB3157" s="501"/>
      <c r="CC3157" s="501"/>
      <c r="CD3157" s="501"/>
      <c r="CE3157" s="501"/>
      <c r="CF3157" s="501"/>
      <c r="CG3157" s="501"/>
      <c r="CH3157" s="501"/>
      <c r="CI3157" s="501"/>
      <c r="CJ3157" s="501"/>
      <c r="CK3157" s="501"/>
      <c r="CL3157" s="501"/>
      <c r="CM3157" s="501"/>
      <c r="CN3157" s="501"/>
      <c r="CO3157" s="501"/>
      <c r="CP3157" s="501"/>
      <c r="CQ3157" s="501"/>
      <c r="CR3157" s="501"/>
      <c r="CS3157" s="501"/>
      <c r="CT3157" s="501"/>
      <c r="CU3157" s="501"/>
      <c r="CV3157" s="501"/>
      <c r="CW3157" s="501"/>
      <c r="CX3157" s="501"/>
      <c r="CY3157" s="501"/>
      <c r="CZ3157" s="501"/>
      <c r="DA3157" s="501"/>
      <c r="DB3157" s="501"/>
      <c r="DC3157" s="501"/>
      <c r="DD3157" s="501"/>
      <c r="DE3157" s="501"/>
      <c r="DF3157" s="501"/>
      <c r="DG3157" s="501"/>
      <c r="DH3157" s="501"/>
      <c r="DI3157" s="501"/>
      <c r="DJ3157" s="501"/>
      <c r="DK3157" s="501"/>
      <c r="DL3157" s="501"/>
      <c r="DM3157" s="501"/>
      <c r="DN3157" s="501"/>
      <c r="DO3157" s="501"/>
      <c r="DP3157" s="501"/>
      <c r="DQ3157" s="501"/>
      <c r="DR3157" s="501"/>
      <c r="DS3157" s="501"/>
      <c r="DT3157" s="501"/>
      <c r="DU3157" s="501"/>
      <c r="DV3157" s="501"/>
      <c r="DW3157" s="501"/>
      <c r="DX3157" s="501"/>
      <c r="DY3157" s="501"/>
      <c r="DZ3157" s="501"/>
      <c r="EA3157" s="501"/>
      <c r="EB3157" s="501"/>
      <c r="EC3157" s="501"/>
      <c r="ED3157" s="501"/>
      <c r="EE3157" s="501"/>
      <c r="EF3157" s="501"/>
      <c r="EG3157" s="501"/>
      <c r="EH3157" s="501"/>
      <c r="EI3157" s="501"/>
      <c r="EJ3157" s="501"/>
      <c r="EK3157" s="501"/>
      <c r="EL3157" s="501"/>
      <c r="EM3157" s="501"/>
      <c r="EN3157" s="501"/>
      <c r="EO3157" s="501"/>
      <c r="EP3157" s="501"/>
      <c r="EQ3157" s="501"/>
      <c r="ER3157" s="501"/>
      <c r="ES3157" s="501"/>
      <c r="ET3157" s="501"/>
      <c r="EU3157" s="501"/>
      <c r="EV3157" s="501"/>
      <c r="EW3157" s="501"/>
      <c r="EX3157" s="501"/>
      <c r="EY3157" s="501"/>
      <c r="EZ3157" s="501"/>
      <c r="FA3157" s="501"/>
      <c r="FB3157" s="501"/>
      <c r="FC3157" s="501"/>
      <c r="FD3157" s="501"/>
      <c r="FE3157" s="501"/>
      <c r="FF3157" s="501"/>
      <c r="FG3157" s="501"/>
      <c r="FH3157" s="501"/>
      <c r="FI3157" s="501"/>
      <c r="FJ3157" s="501"/>
      <c r="FK3157" s="501"/>
      <c r="FL3157" s="501"/>
      <c r="FM3157" s="501"/>
      <c r="FN3157" s="501"/>
      <c r="FO3157" s="501"/>
      <c r="FP3157" s="501"/>
      <c r="FQ3157" s="501"/>
      <c r="FR3157" s="501"/>
      <c r="FS3157" s="501"/>
      <c r="FT3157" s="501"/>
      <c r="FU3157" s="501"/>
      <c r="FV3157" s="501"/>
      <c r="FW3157" s="501"/>
      <c r="FX3157" s="501"/>
      <c r="FY3157" s="501"/>
      <c r="FZ3157" s="501"/>
      <c r="GA3157" s="501"/>
      <c r="GB3157" s="501"/>
      <c r="GC3157" s="501"/>
      <c r="GD3157" s="501"/>
      <c r="GE3157" s="501"/>
      <c r="GF3157" s="501"/>
      <c r="GG3157" s="501"/>
      <c r="GH3157" s="501"/>
      <c r="GI3157" s="501"/>
      <c r="GJ3157" s="501"/>
      <c r="GK3157" s="501"/>
      <c r="GL3157" s="501"/>
      <c r="GM3157" s="501"/>
      <c r="GN3157" s="501"/>
      <c r="GO3157" s="501"/>
      <c r="GP3157" s="501"/>
      <c r="GQ3157" s="501"/>
      <c r="GR3157" s="501"/>
      <c r="GS3157" s="501"/>
      <c r="GT3157" s="501"/>
      <c r="GU3157" s="501"/>
      <c r="GV3157" s="501"/>
      <c r="GW3157" s="501"/>
      <c r="GX3157" s="501"/>
      <c r="GY3157" s="501"/>
      <c r="GZ3157" s="501"/>
      <c r="HA3157" s="501"/>
      <c r="HB3157" s="501"/>
      <c r="HC3157" s="501"/>
      <c r="HD3157" s="501"/>
      <c r="HE3157" s="501"/>
      <c r="HF3157" s="501"/>
      <c r="HG3157" s="501"/>
      <c r="HH3157" s="501"/>
      <c r="HI3157" s="501"/>
      <c r="HJ3157" s="501"/>
      <c r="HK3157" s="501"/>
      <c r="HL3157" s="501"/>
      <c r="HM3157" s="501"/>
      <c r="HN3157" s="501"/>
      <c r="HO3157" s="501"/>
      <c r="HP3157" s="501"/>
      <c r="HQ3157" s="501"/>
      <c r="HR3157" s="501"/>
      <c r="HS3157" s="501"/>
      <c r="HT3157" s="501"/>
      <c r="HU3157" s="501"/>
      <c r="HV3157" s="501"/>
      <c r="HW3157" s="501"/>
      <c r="HX3157" s="501"/>
      <c r="HY3157" s="501"/>
      <c r="HZ3157" s="501"/>
      <c r="IA3157" s="501"/>
      <c r="IB3157" s="501"/>
      <c r="IC3157" s="501"/>
      <c r="ID3157" s="501"/>
      <c r="IE3157" s="501"/>
      <c r="IF3157" s="501"/>
      <c r="IG3157" s="501"/>
      <c r="IH3157" s="501"/>
      <c r="II3157" s="501"/>
      <c r="IJ3157" s="501"/>
      <c r="IK3157" s="501"/>
      <c r="IL3157" s="501"/>
      <c r="IM3157" s="501"/>
      <c r="IN3157" s="501"/>
      <c r="IO3157" s="501"/>
      <c r="IP3157" s="501"/>
      <c r="IQ3157" s="501"/>
      <c r="IR3157" s="501"/>
      <c r="IS3157" s="501"/>
      <c r="IT3157" s="501"/>
      <c r="IU3157" s="501"/>
    </row>
    <row r="3158" spans="1:255" s="877" customFormat="1" ht="24" customHeight="1">
      <c r="A3158" s="501"/>
      <c r="B3158" s="501"/>
      <c r="C3158" s="501"/>
      <c r="D3158" s="501"/>
      <c r="E3158" s="501"/>
      <c r="F3158" s="501"/>
      <c r="G3158" s="915"/>
      <c r="H3158" s="501"/>
      <c r="I3158" s="874"/>
      <c r="J3158" s="501"/>
      <c r="K3158" s="501"/>
      <c r="L3158" s="874"/>
      <c r="M3158" s="554"/>
      <c r="N3158" s="501"/>
      <c r="O3158" s="501"/>
      <c r="P3158" s="902"/>
      <c r="Q3158" s="880"/>
      <c r="R3158" s="501"/>
      <c r="S3158" s="874"/>
      <c r="T3158" s="545"/>
      <c r="V3158" s="902"/>
      <c r="W3158" s="501"/>
      <c r="X3158" s="501"/>
      <c r="Y3158" s="501"/>
      <c r="Z3158" s="501"/>
      <c r="AA3158" s="501"/>
      <c r="AB3158" s="501"/>
      <c r="AC3158" s="501"/>
      <c r="AD3158" s="501"/>
      <c r="AE3158" s="501"/>
      <c r="AF3158" s="501"/>
      <c r="AG3158" s="501"/>
      <c r="AH3158" s="501"/>
      <c r="AI3158" s="501"/>
      <c r="AJ3158" s="501"/>
      <c r="AK3158" s="501"/>
      <c r="AL3158" s="501"/>
      <c r="AM3158" s="501"/>
      <c r="AN3158" s="501"/>
      <c r="AO3158" s="501"/>
      <c r="AP3158" s="501"/>
      <c r="AQ3158" s="501"/>
      <c r="AR3158" s="501"/>
      <c r="AS3158" s="501"/>
      <c r="AT3158" s="501"/>
      <c r="AU3158" s="501"/>
      <c r="AV3158" s="501"/>
      <c r="AW3158" s="501"/>
      <c r="AX3158" s="501"/>
      <c r="AY3158" s="501"/>
      <c r="AZ3158" s="501"/>
      <c r="BA3158" s="501"/>
      <c r="BB3158" s="501"/>
      <c r="BC3158" s="501"/>
      <c r="BD3158" s="501"/>
      <c r="BE3158" s="501"/>
      <c r="BF3158" s="501"/>
      <c r="BG3158" s="501"/>
      <c r="BH3158" s="501"/>
      <c r="BI3158" s="501"/>
      <c r="BJ3158" s="501"/>
      <c r="BK3158" s="501"/>
      <c r="BL3158" s="501"/>
      <c r="BM3158" s="501"/>
      <c r="BN3158" s="501"/>
      <c r="BO3158" s="501"/>
      <c r="BP3158" s="501"/>
      <c r="BQ3158" s="501"/>
      <c r="BR3158" s="501"/>
      <c r="BS3158" s="501"/>
      <c r="BT3158" s="501"/>
      <c r="BU3158" s="501"/>
      <c r="BV3158" s="501"/>
      <c r="BW3158" s="501"/>
      <c r="BX3158" s="501"/>
      <c r="BY3158" s="501"/>
      <c r="BZ3158" s="501"/>
      <c r="CA3158" s="501"/>
      <c r="CB3158" s="501"/>
      <c r="CC3158" s="501"/>
      <c r="CD3158" s="501"/>
      <c r="CE3158" s="501"/>
      <c r="CF3158" s="501"/>
      <c r="CG3158" s="501"/>
      <c r="CH3158" s="501"/>
      <c r="CI3158" s="501"/>
      <c r="CJ3158" s="501"/>
      <c r="CK3158" s="501"/>
      <c r="CL3158" s="501"/>
      <c r="CM3158" s="501"/>
      <c r="CN3158" s="501"/>
      <c r="CO3158" s="501"/>
      <c r="CP3158" s="501"/>
      <c r="CQ3158" s="501"/>
      <c r="CR3158" s="501"/>
      <c r="CS3158" s="501"/>
      <c r="CT3158" s="501"/>
      <c r="CU3158" s="501"/>
      <c r="CV3158" s="501"/>
      <c r="CW3158" s="501"/>
      <c r="CX3158" s="501"/>
      <c r="CY3158" s="501"/>
      <c r="CZ3158" s="501"/>
      <c r="DA3158" s="501"/>
      <c r="DB3158" s="501"/>
      <c r="DC3158" s="501"/>
      <c r="DD3158" s="501"/>
      <c r="DE3158" s="501"/>
      <c r="DF3158" s="501"/>
      <c r="DG3158" s="501"/>
      <c r="DH3158" s="501"/>
      <c r="DI3158" s="501"/>
      <c r="DJ3158" s="501"/>
      <c r="DK3158" s="501"/>
      <c r="DL3158" s="501"/>
      <c r="DM3158" s="501"/>
      <c r="DN3158" s="501"/>
      <c r="DO3158" s="501"/>
      <c r="DP3158" s="501"/>
      <c r="DQ3158" s="501"/>
      <c r="DR3158" s="501"/>
      <c r="DS3158" s="501"/>
      <c r="DT3158" s="501"/>
      <c r="DU3158" s="501"/>
      <c r="DV3158" s="501"/>
      <c r="DW3158" s="501"/>
      <c r="DX3158" s="501"/>
      <c r="DY3158" s="501"/>
      <c r="DZ3158" s="501"/>
      <c r="EA3158" s="501"/>
      <c r="EB3158" s="501"/>
      <c r="EC3158" s="501"/>
      <c r="ED3158" s="501"/>
      <c r="EE3158" s="501"/>
      <c r="EF3158" s="501"/>
      <c r="EG3158" s="501"/>
      <c r="EH3158" s="501"/>
      <c r="EI3158" s="501"/>
      <c r="EJ3158" s="501"/>
      <c r="EK3158" s="501"/>
      <c r="EL3158" s="501"/>
      <c r="EM3158" s="501"/>
      <c r="EN3158" s="501"/>
      <c r="EO3158" s="501"/>
      <c r="EP3158" s="501"/>
      <c r="EQ3158" s="501"/>
      <c r="ER3158" s="501"/>
      <c r="ES3158" s="501"/>
      <c r="ET3158" s="501"/>
      <c r="EU3158" s="501"/>
      <c r="EV3158" s="501"/>
      <c r="EW3158" s="501"/>
      <c r="EX3158" s="501"/>
      <c r="EY3158" s="501"/>
      <c r="EZ3158" s="501"/>
      <c r="FA3158" s="501"/>
      <c r="FB3158" s="501"/>
      <c r="FC3158" s="501"/>
      <c r="FD3158" s="501"/>
      <c r="FE3158" s="501"/>
      <c r="FF3158" s="501"/>
      <c r="FG3158" s="501"/>
      <c r="FH3158" s="501"/>
      <c r="FI3158" s="501"/>
      <c r="FJ3158" s="501"/>
      <c r="FK3158" s="501"/>
      <c r="FL3158" s="501"/>
      <c r="FM3158" s="501"/>
      <c r="FN3158" s="501"/>
      <c r="FO3158" s="501"/>
      <c r="FP3158" s="501"/>
      <c r="FQ3158" s="501"/>
      <c r="FR3158" s="501"/>
      <c r="FS3158" s="501"/>
      <c r="FT3158" s="501"/>
      <c r="FU3158" s="501"/>
      <c r="FV3158" s="501"/>
      <c r="FW3158" s="501"/>
      <c r="FX3158" s="501"/>
      <c r="FY3158" s="501"/>
      <c r="FZ3158" s="501"/>
      <c r="GA3158" s="501"/>
      <c r="GB3158" s="501"/>
      <c r="GC3158" s="501"/>
      <c r="GD3158" s="501"/>
      <c r="GE3158" s="501"/>
      <c r="GF3158" s="501"/>
      <c r="GG3158" s="501"/>
      <c r="GH3158" s="501"/>
      <c r="GI3158" s="501"/>
      <c r="GJ3158" s="501"/>
      <c r="GK3158" s="501"/>
      <c r="GL3158" s="501"/>
      <c r="GM3158" s="501"/>
      <c r="GN3158" s="501"/>
      <c r="GO3158" s="501"/>
      <c r="GP3158" s="501"/>
      <c r="GQ3158" s="501"/>
      <c r="GR3158" s="501"/>
      <c r="GS3158" s="501"/>
      <c r="GT3158" s="501"/>
      <c r="GU3158" s="501"/>
      <c r="GV3158" s="501"/>
      <c r="GW3158" s="501"/>
      <c r="GX3158" s="501"/>
      <c r="GY3158" s="501"/>
      <c r="GZ3158" s="501"/>
      <c r="HA3158" s="501"/>
      <c r="HB3158" s="501"/>
      <c r="HC3158" s="501"/>
      <c r="HD3158" s="501"/>
      <c r="HE3158" s="501"/>
      <c r="HF3158" s="501"/>
      <c r="HG3158" s="501"/>
      <c r="HH3158" s="501"/>
      <c r="HI3158" s="501"/>
      <c r="HJ3158" s="501"/>
      <c r="HK3158" s="501"/>
      <c r="HL3158" s="501"/>
      <c r="HM3158" s="501"/>
      <c r="HN3158" s="501"/>
      <c r="HO3158" s="501"/>
      <c r="HP3158" s="501"/>
      <c r="HQ3158" s="501"/>
      <c r="HR3158" s="501"/>
      <c r="HS3158" s="501"/>
      <c r="HT3158" s="501"/>
      <c r="HU3158" s="501"/>
      <c r="HV3158" s="501"/>
      <c r="HW3158" s="501"/>
      <c r="HX3158" s="501"/>
      <c r="HY3158" s="501"/>
      <c r="HZ3158" s="501"/>
      <c r="IA3158" s="501"/>
      <c r="IB3158" s="501"/>
      <c r="IC3158" s="501"/>
      <c r="ID3158" s="501"/>
      <c r="IE3158" s="501"/>
      <c r="IF3158" s="501"/>
      <c r="IG3158" s="501"/>
      <c r="IH3158" s="501"/>
      <c r="II3158" s="501"/>
      <c r="IJ3158" s="501"/>
      <c r="IK3158" s="501"/>
      <c r="IL3158" s="501"/>
      <c r="IM3158" s="501"/>
      <c r="IN3158" s="501"/>
      <c r="IO3158" s="501"/>
      <c r="IP3158" s="501"/>
      <c r="IQ3158" s="501"/>
      <c r="IR3158" s="501"/>
      <c r="IS3158" s="501"/>
      <c r="IT3158" s="501"/>
      <c r="IU3158" s="501"/>
    </row>
    <row r="3159" spans="1:255" s="877" customFormat="1" ht="24" customHeight="1">
      <c r="A3159" s="501"/>
      <c r="B3159" s="501"/>
      <c r="C3159" s="501"/>
      <c r="D3159" s="501"/>
      <c r="E3159" s="501"/>
      <c r="F3159" s="501"/>
      <c r="G3159" s="915"/>
      <c r="H3159" s="501"/>
      <c r="I3159" s="874"/>
      <c r="J3159" s="501"/>
      <c r="K3159" s="501"/>
      <c r="L3159" s="874"/>
      <c r="M3159" s="554"/>
      <c r="N3159" s="501"/>
      <c r="O3159" s="501"/>
      <c r="P3159" s="901"/>
      <c r="Q3159" s="501"/>
      <c r="R3159" s="501"/>
      <c r="S3159" s="874"/>
      <c r="T3159" s="881"/>
      <c r="V3159" s="901"/>
      <c r="W3159" s="876"/>
      <c r="X3159" s="501"/>
      <c r="Y3159" s="874"/>
      <c r="Z3159" s="876"/>
      <c r="AA3159" s="501"/>
      <c r="AB3159" s="501"/>
      <c r="AC3159" s="501"/>
      <c r="AD3159" s="501"/>
      <c r="AE3159" s="501"/>
      <c r="AF3159" s="501"/>
      <c r="AG3159" s="501"/>
      <c r="AH3159" s="501"/>
      <c r="AI3159" s="501"/>
      <c r="AJ3159" s="501"/>
      <c r="AK3159" s="501"/>
      <c r="AL3159" s="501"/>
      <c r="AM3159" s="501"/>
      <c r="AN3159" s="501"/>
      <c r="AO3159" s="501"/>
      <c r="AP3159" s="501"/>
      <c r="AQ3159" s="501"/>
      <c r="AR3159" s="501"/>
      <c r="AS3159" s="501"/>
      <c r="AT3159" s="501"/>
      <c r="AU3159" s="501"/>
      <c r="AV3159" s="501"/>
      <c r="AW3159" s="501"/>
      <c r="AX3159" s="501"/>
      <c r="AY3159" s="501"/>
      <c r="AZ3159" s="501"/>
      <c r="BA3159" s="501"/>
      <c r="BB3159" s="501"/>
      <c r="BC3159" s="501"/>
      <c r="BD3159" s="501"/>
      <c r="BE3159" s="501"/>
      <c r="BF3159" s="501"/>
      <c r="BG3159" s="501"/>
      <c r="BH3159" s="501"/>
      <c r="BI3159" s="501"/>
      <c r="BJ3159" s="501"/>
      <c r="BK3159" s="501"/>
      <c r="BL3159" s="501"/>
      <c r="BM3159" s="501"/>
      <c r="BN3159" s="501"/>
      <c r="BO3159" s="501"/>
      <c r="BP3159" s="501"/>
      <c r="BQ3159" s="501"/>
      <c r="BR3159" s="501"/>
      <c r="BS3159" s="501"/>
      <c r="BT3159" s="501"/>
      <c r="BU3159" s="501"/>
      <c r="BV3159" s="501"/>
      <c r="BW3159" s="501"/>
      <c r="BX3159" s="501"/>
      <c r="BY3159" s="501"/>
      <c r="BZ3159" s="501"/>
      <c r="CA3159" s="501"/>
      <c r="CB3159" s="501"/>
      <c r="CC3159" s="501"/>
      <c r="CD3159" s="501"/>
      <c r="CE3159" s="501"/>
      <c r="CF3159" s="501"/>
      <c r="CG3159" s="501"/>
      <c r="CH3159" s="501"/>
      <c r="CI3159" s="501"/>
      <c r="CJ3159" s="501"/>
      <c r="CK3159" s="501"/>
      <c r="CL3159" s="501"/>
      <c r="CM3159" s="501"/>
      <c r="CN3159" s="501"/>
      <c r="CO3159" s="501"/>
      <c r="CP3159" s="501"/>
      <c r="CQ3159" s="501"/>
      <c r="CR3159" s="501"/>
      <c r="CS3159" s="501"/>
      <c r="CT3159" s="501"/>
      <c r="CU3159" s="501"/>
      <c r="CV3159" s="501"/>
      <c r="CW3159" s="501"/>
      <c r="CX3159" s="501"/>
      <c r="CY3159" s="501"/>
      <c r="CZ3159" s="501"/>
      <c r="DA3159" s="501"/>
      <c r="DB3159" s="501"/>
      <c r="DC3159" s="501"/>
      <c r="DD3159" s="501"/>
      <c r="DE3159" s="501"/>
      <c r="DF3159" s="501"/>
      <c r="DG3159" s="501"/>
      <c r="DH3159" s="501"/>
      <c r="DI3159" s="501"/>
      <c r="DJ3159" s="501"/>
      <c r="DK3159" s="501"/>
      <c r="DL3159" s="501"/>
      <c r="DM3159" s="501"/>
      <c r="DN3159" s="501"/>
      <c r="DO3159" s="501"/>
      <c r="DP3159" s="501"/>
      <c r="DQ3159" s="501"/>
      <c r="DR3159" s="501"/>
      <c r="DS3159" s="501"/>
      <c r="DT3159" s="501"/>
      <c r="DU3159" s="501"/>
      <c r="DV3159" s="501"/>
      <c r="DW3159" s="501"/>
      <c r="DX3159" s="501"/>
      <c r="DY3159" s="501"/>
      <c r="DZ3159" s="501"/>
      <c r="EA3159" s="501"/>
      <c r="EB3159" s="501"/>
      <c r="EC3159" s="501"/>
      <c r="ED3159" s="501"/>
      <c r="EE3159" s="501"/>
      <c r="EF3159" s="501"/>
      <c r="EG3159" s="501"/>
      <c r="EH3159" s="501"/>
      <c r="EI3159" s="501"/>
      <c r="EJ3159" s="501"/>
      <c r="EK3159" s="501"/>
      <c r="EL3159" s="501"/>
      <c r="EM3159" s="501"/>
      <c r="EN3159" s="501"/>
      <c r="EO3159" s="501"/>
      <c r="EP3159" s="501"/>
      <c r="EQ3159" s="501"/>
      <c r="ER3159" s="501"/>
      <c r="ES3159" s="501"/>
      <c r="ET3159" s="501"/>
      <c r="EU3159" s="501"/>
      <c r="EV3159" s="501"/>
      <c r="EW3159" s="501"/>
      <c r="EX3159" s="501"/>
      <c r="EY3159" s="501"/>
      <c r="EZ3159" s="501"/>
      <c r="FA3159" s="501"/>
      <c r="FB3159" s="501"/>
      <c r="FC3159" s="501"/>
      <c r="FD3159" s="501"/>
      <c r="FE3159" s="501"/>
      <c r="FF3159" s="501"/>
      <c r="FG3159" s="501"/>
      <c r="FH3159" s="501"/>
      <c r="FI3159" s="501"/>
      <c r="FJ3159" s="501"/>
      <c r="FK3159" s="501"/>
      <c r="FL3159" s="501"/>
      <c r="FM3159" s="501"/>
      <c r="FN3159" s="501"/>
      <c r="FO3159" s="501"/>
      <c r="FP3159" s="501"/>
      <c r="FQ3159" s="501"/>
      <c r="FR3159" s="501"/>
      <c r="FS3159" s="501"/>
      <c r="FT3159" s="501"/>
      <c r="FU3159" s="501"/>
      <c r="FV3159" s="501"/>
      <c r="FW3159" s="501"/>
      <c r="FX3159" s="501"/>
      <c r="FY3159" s="501"/>
      <c r="FZ3159" s="501"/>
      <c r="GA3159" s="501"/>
      <c r="GB3159" s="501"/>
      <c r="GC3159" s="501"/>
      <c r="GD3159" s="501"/>
      <c r="GE3159" s="501"/>
      <c r="GF3159" s="501"/>
      <c r="GG3159" s="501"/>
      <c r="GH3159" s="501"/>
      <c r="GI3159" s="501"/>
      <c r="GJ3159" s="501"/>
      <c r="GK3159" s="501"/>
      <c r="GL3159" s="501"/>
      <c r="GM3159" s="501"/>
      <c r="GN3159" s="501"/>
      <c r="GO3159" s="501"/>
      <c r="GP3159" s="501"/>
      <c r="GQ3159" s="501"/>
      <c r="GR3159" s="501"/>
      <c r="GS3159" s="501"/>
      <c r="GT3159" s="501"/>
      <c r="GU3159" s="501"/>
      <c r="GV3159" s="501"/>
      <c r="GW3159" s="501"/>
      <c r="GX3159" s="501"/>
      <c r="GY3159" s="501"/>
      <c r="GZ3159" s="501"/>
      <c r="HA3159" s="501"/>
      <c r="HB3159" s="501"/>
      <c r="HC3159" s="501"/>
      <c r="HD3159" s="501"/>
      <c r="HE3159" s="501"/>
      <c r="HF3159" s="501"/>
      <c r="HG3159" s="501"/>
      <c r="HH3159" s="501"/>
      <c r="HI3159" s="501"/>
      <c r="HJ3159" s="501"/>
      <c r="HK3159" s="501"/>
      <c r="HL3159" s="501"/>
      <c r="HM3159" s="501"/>
      <c r="HN3159" s="501"/>
      <c r="HO3159" s="501"/>
      <c r="HP3159" s="501"/>
      <c r="HQ3159" s="501"/>
      <c r="HR3159" s="501"/>
      <c r="HS3159" s="501"/>
      <c r="HT3159" s="501"/>
      <c r="HU3159" s="501"/>
      <c r="HV3159" s="501"/>
      <c r="HW3159" s="501"/>
      <c r="HX3159" s="501"/>
      <c r="HY3159" s="501"/>
      <c r="HZ3159" s="501"/>
      <c r="IA3159" s="501"/>
      <c r="IB3159" s="501"/>
      <c r="IC3159" s="501"/>
      <c r="ID3159" s="501"/>
      <c r="IE3159" s="501"/>
      <c r="IF3159" s="501"/>
      <c r="IG3159" s="501"/>
      <c r="IH3159" s="501"/>
      <c r="II3159" s="501"/>
      <c r="IJ3159" s="501"/>
      <c r="IK3159" s="501"/>
      <c r="IL3159" s="501"/>
      <c r="IM3159" s="501"/>
      <c r="IN3159" s="501"/>
      <c r="IO3159" s="501"/>
      <c r="IP3159" s="501"/>
      <c r="IQ3159" s="501"/>
      <c r="IR3159" s="501"/>
      <c r="IS3159" s="501"/>
      <c r="IT3159" s="501"/>
      <c r="IU3159" s="501"/>
    </row>
    <row r="3160" spans="1:255" s="877" customFormat="1" ht="24" customHeight="1">
      <c r="A3160" s="501"/>
      <c r="B3160" s="501"/>
      <c r="C3160" s="501"/>
      <c r="D3160" s="501"/>
      <c r="E3160" s="501"/>
      <c r="F3160" s="501"/>
      <c r="G3160" s="915"/>
      <c r="H3160" s="501"/>
      <c r="I3160" s="874"/>
      <c r="J3160" s="501"/>
      <c r="K3160" s="501"/>
      <c r="L3160" s="501"/>
      <c r="M3160" s="554"/>
      <c r="N3160" s="501"/>
      <c r="O3160" s="501"/>
      <c r="P3160" s="902"/>
      <c r="Q3160" s="872"/>
      <c r="R3160" s="501"/>
      <c r="S3160" s="874"/>
      <c r="T3160" s="892"/>
      <c r="V3160" s="902"/>
      <c r="W3160" s="881"/>
      <c r="X3160" s="501"/>
      <c r="Y3160" s="874"/>
      <c r="Z3160" s="501"/>
      <c r="AA3160" s="501"/>
      <c r="AB3160" s="501"/>
      <c r="AC3160" s="501"/>
      <c r="AD3160" s="501"/>
      <c r="AE3160" s="501"/>
      <c r="AF3160" s="501"/>
      <c r="AG3160" s="501"/>
      <c r="AH3160" s="501"/>
      <c r="AI3160" s="501"/>
      <c r="AJ3160" s="501"/>
      <c r="AK3160" s="501"/>
      <c r="AL3160" s="501"/>
      <c r="AM3160" s="501"/>
      <c r="AN3160" s="501"/>
      <c r="AO3160" s="501"/>
      <c r="AP3160" s="501"/>
      <c r="AQ3160" s="501"/>
      <c r="AR3160" s="501"/>
      <c r="AS3160" s="501"/>
      <c r="AT3160" s="501"/>
      <c r="AU3160" s="501"/>
      <c r="AV3160" s="501"/>
      <c r="AW3160" s="501"/>
      <c r="AX3160" s="501"/>
      <c r="AY3160" s="501"/>
      <c r="AZ3160" s="501"/>
      <c r="BA3160" s="501"/>
      <c r="BB3160" s="501"/>
      <c r="BC3160" s="501"/>
      <c r="BD3160" s="501"/>
      <c r="BE3160" s="501"/>
      <c r="BF3160" s="501"/>
      <c r="BG3160" s="501"/>
      <c r="BH3160" s="501"/>
      <c r="BI3160" s="501"/>
      <c r="BJ3160" s="501"/>
      <c r="BK3160" s="501"/>
      <c r="BL3160" s="501"/>
      <c r="BM3160" s="501"/>
      <c r="BN3160" s="501"/>
      <c r="BO3160" s="501"/>
      <c r="BP3160" s="501"/>
      <c r="BQ3160" s="501"/>
      <c r="BR3160" s="501"/>
      <c r="BS3160" s="501"/>
      <c r="BT3160" s="501"/>
      <c r="BU3160" s="501"/>
      <c r="BV3160" s="501"/>
      <c r="BW3160" s="501"/>
      <c r="BX3160" s="501"/>
      <c r="BY3160" s="501"/>
      <c r="BZ3160" s="501"/>
      <c r="CA3160" s="501"/>
      <c r="CB3160" s="501"/>
      <c r="CC3160" s="501"/>
      <c r="CD3160" s="501"/>
      <c r="CE3160" s="501"/>
      <c r="CF3160" s="501"/>
      <c r="CG3160" s="501"/>
      <c r="CH3160" s="501"/>
      <c r="CI3160" s="501"/>
      <c r="CJ3160" s="501"/>
      <c r="CK3160" s="501"/>
      <c r="CL3160" s="501"/>
      <c r="CM3160" s="501"/>
      <c r="CN3160" s="501"/>
      <c r="CO3160" s="501"/>
      <c r="CP3160" s="501"/>
      <c r="CQ3160" s="501"/>
      <c r="CR3160" s="501"/>
      <c r="CS3160" s="501"/>
      <c r="CT3160" s="501"/>
      <c r="CU3160" s="501"/>
      <c r="CV3160" s="501"/>
      <c r="CW3160" s="501"/>
      <c r="CX3160" s="501"/>
      <c r="CY3160" s="501"/>
      <c r="CZ3160" s="501"/>
      <c r="DA3160" s="501"/>
      <c r="DB3160" s="501"/>
      <c r="DC3160" s="501"/>
      <c r="DD3160" s="501"/>
      <c r="DE3160" s="501"/>
      <c r="DF3160" s="501"/>
      <c r="DG3160" s="501"/>
      <c r="DH3160" s="501"/>
      <c r="DI3160" s="501"/>
      <c r="DJ3160" s="501"/>
      <c r="DK3160" s="501"/>
      <c r="DL3160" s="501"/>
      <c r="DM3160" s="501"/>
      <c r="DN3160" s="501"/>
      <c r="DO3160" s="501"/>
      <c r="DP3160" s="501"/>
      <c r="DQ3160" s="501"/>
      <c r="DR3160" s="501"/>
      <c r="DS3160" s="501"/>
      <c r="DT3160" s="501"/>
      <c r="DU3160" s="501"/>
      <c r="DV3160" s="501"/>
      <c r="DW3160" s="501"/>
      <c r="DX3160" s="501"/>
      <c r="DY3160" s="501"/>
      <c r="DZ3160" s="501"/>
      <c r="EA3160" s="501"/>
      <c r="EB3160" s="501"/>
      <c r="EC3160" s="501"/>
      <c r="ED3160" s="501"/>
      <c r="EE3160" s="501"/>
      <c r="EF3160" s="501"/>
      <c r="EG3160" s="501"/>
      <c r="EH3160" s="501"/>
      <c r="EI3160" s="501"/>
      <c r="EJ3160" s="501"/>
      <c r="EK3160" s="501"/>
      <c r="EL3160" s="501"/>
      <c r="EM3160" s="501"/>
      <c r="EN3160" s="501"/>
      <c r="EO3160" s="501"/>
      <c r="EP3160" s="501"/>
      <c r="EQ3160" s="501"/>
      <c r="ER3160" s="501"/>
      <c r="ES3160" s="501"/>
      <c r="ET3160" s="501"/>
      <c r="EU3160" s="501"/>
      <c r="EV3160" s="501"/>
      <c r="EW3160" s="501"/>
      <c r="EX3160" s="501"/>
      <c r="EY3160" s="501"/>
      <c r="EZ3160" s="501"/>
      <c r="FA3160" s="501"/>
      <c r="FB3160" s="501"/>
      <c r="FC3160" s="501"/>
      <c r="FD3160" s="501"/>
      <c r="FE3160" s="501"/>
      <c r="FF3160" s="501"/>
      <c r="FG3160" s="501"/>
      <c r="FH3160" s="501"/>
      <c r="FI3160" s="501"/>
      <c r="FJ3160" s="501"/>
      <c r="FK3160" s="501"/>
      <c r="FL3160" s="501"/>
      <c r="FM3160" s="501"/>
      <c r="FN3160" s="501"/>
      <c r="FO3160" s="501"/>
      <c r="FP3160" s="501"/>
      <c r="FQ3160" s="501"/>
      <c r="FR3160" s="501"/>
      <c r="FS3160" s="501"/>
      <c r="FT3160" s="501"/>
      <c r="FU3160" s="501"/>
      <c r="FV3160" s="501"/>
      <c r="FW3160" s="501"/>
      <c r="FX3160" s="501"/>
      <c r="FY3160" s="501"/>
      <c r="FZ3160" s="501"/>
      <c r="GA3160" s="501"/>
      <c r="GB3160" s="501"/>
      <c r="GC3160" s="501"/>
      <c r="GD3160" s="501"/>
      <c r="GE3160" s="501"/>
      <c r="GF3160" s="501"/>
      <c r="GG3160" s="501"/>
      <c r="GH3160" s="501"/>
      <c r="GI3160" s="501"/>
      <c r="GJ3160" s="501"/>
      <c r="GK3160" s="501"/>
      <c r="GL3160" s="501"/>
      <c r="GM3160" s="501"/>
      <c r="GN3160" s="501"/>
      <c r="GO3160" s="501"/>
      <c r="GP3160" s="501"/>
      <c r="GQ3160" s="501"/>
      <c r="GR3160" s="501"/>
      <c r="GS3160" s="501"/>
      <c r="GT3160" s="501"/>
      <c r="GU3160" s="501"/>
      <c r="GV3160" s="501"/>
      <c r="GW3160" s="501"/>
      <c r="GX3160" s="501"/>
      <c r="GY3160" s="501"/>
      <c r="GZ3160" s="501"/>
      <c r="HA3160" s="501"/>
      <c r="HB3160" s="501"/>
      <c r="HC3160" s="501"/>
      <c r="HD3160" s="501"/>
      <c r="HE3160" s="501"/>
      <c r="HF3160" s="501"/>
      <c r="HG3160" s="501"/>
      <c r="HH3160" s="501"/>
      <c r="HI3160" s="501"/>
      <c r="HJ3160" s="501"/>
      <c r="HK3160" s="501"/>
      <c r="HL3160" s="501"/>
      <c r="HM3160" s="501"/>
      <c r="HN3160" s="501"/>
      <c r="HO3160" s="501"/>
      <c r="HP3160" s="501"/>
      <c r="HQ3160" s="501"/>
      <c r="HR3160" s="501"/>
      <c r="HS3160" s="501"/>
      <c r="HT3160" s="501"/>
      <c r="HU3160" s="501"/>
      <c r="HV3160" s="501"/>
      <c r="HW3160" s="501"/>
      <c r="HX3160" s="501"/>
      <c r="HY3160" s="501"/>
      <c r="HZ3160" s="501"/>
      <c r="IA3160" s="501"/>
      <c r="IB3160" s="501"/>
      <c r="IC3160" s="501"/>
      <c r="ID3160" s="501"/>
      <c r="IE3160" s="501"/>
      <c r="IF3160" s="501"/>
      <c r="IG3160" s="501"/>
      <c r="IH3160" s="501"/>
      <c r="II3160" s="501"/>
      <c r="IJ3160" s="501"/>
      <c r="IK3160" s="501"/>
      <c r="IL3160" s="501"/>
      <c r="IM3160" s="501"/>
      <c r="IN3160" s="501"/>
      <c r="IO3160" s="501"/>
      <c r="IP3160" s="501"/>
      <c r="IQ3160" s="501"/>
      <c r="IR3160" s="501"/>
      <c r="IS3160" s="501"/>
      <c r="IT3160" s="501"/>
      <c r="IU3160" s="501"/>
    </row>
    <row r="3161" spans="1:255" s="877" customFormat="1" ht="24" customHeight="1">
      <c r="A3161" s="501"/>
      <c r="B3161" s="501"/>
      <c r="C3161" s="501"/>
      <c r="D3161" s="501"/>
      <c r="E3161" s="501"/>
      <c r="F3161" s="501"/>
      <c r="G3161" s="915"/>
      <c r="H3161" s="501"/>
      <c r="I3161" s="874"/>
      <c r="J3161" s="501"/>
      <c r="K3161" s="501"/>
      <c r="L3161" s="501"/>
      <c r="M3161" s="554"/>
      <c r="N3161" s="501"/>
      <c r="O3161" s="501"/>
      <c r="P3161" s="902"/>
      <c r="Q3161" s="501"/>
      <c r="R3161" s="501"/>
      <c r="S3161" s="874"/>
      <c r="T3161" s="881"/>
      <c r="V3161" s="901"/>
      <c r="W3161" s="876"/>
      <c r="X3161" s="545"/>
      <c r="Y3161" s="876"/>
      <c r="Z3161" s="545"/>
      <c r="AA3161" s="501"/>
      <c r="AB3161" s="501"/>
      <c r="AC3161" s="501"/>
      <c r="AD3161" s="501"/>
      <c r="AE3161" s="501"/>
      <c r="AF3161" s="501"/>
      <c r="AG3161" s="501"/>
      <c r="AH3161" s="501"/>
      <c r="AI3161" s="501"/>
      <c r="AJ3161" s="501"/>
      <c r="AK3161" s="501"/>
      <c r="AL3161" s="501"/>
      <c r="AM3161" s="501"/>
      <c r="AN3161" s="501"/>
      <c r="AO3161" s="501"/>
      <c r="AP3161" s="501"/>
      <c r="AQ3161" s="501"/>
      <c r="AR3161" s="501"/>
      <c r="AS3161" s="501"/>
      <c r="AT3161" s="501"/>
      <c r="AU3161" s="501"/>
      <c r="AV3161" s="501"/>
      <c r="AW3161" s="501"/>
      <c r="AX3161" s="501"/>
      <c r="AY3161" s="501"/>
      <c r="AZ3161" s="501"/>
      <c r="BA3161" s="501"/>
      <c r="BB3161" s="501"/>
      <c r="BC3161" s="501"/>
      <c r="BD3161" s="501"/>
      <c r="BE3161" s="501"/>
      <c r="BF3161" s="501"/>
      <c r="BG3161" s="501"/>
      <c r="BH3161" s="501"/>
      <c r="BI3161" s="501"/>
      <c r="BJ3161" s="501"/>
      <c r="BK3161" s="501"/>
      <c r="BL3161" s="501"/>
      <c r="BM3161" s="501"/>
      <c r="BN3161" s="501"/>
      <c r="BO3161" s="501"/>
      <c r="BP3161" s="501"/>
      <c r="BQ3161" s="501"/>
      <c r="BR3161" s="501"/>
      <c r="BS3161" s="501"/>
      <c r="BT3161" s="501"/>
      <c r="BU3161" s="501"/>
      <c r="BV3161" s="501"/>
      <c r="BW3161" s="501"/>
      <c r="BX3161" s="501"/>
      <c r="BY3161" s="501"/>
      <c r="BZ3161" s="501"/>
      <c r="CA3161" s="501"/>
      <c r="CB3161" s="501"/>
      <c r="CC3161" s="501"/>
      <c r="CD3161" s="501"/>
      <c r="CE3161" s="501"/>
      <c r="CF3161" s="501"/>
      <c r="CG3161" s="501"/>
      <c r="CH3161" s="501"/>
      <c r="CI3161" s="501"/>
      <c r="CJ3161" s="501"/>
      <c r="CK3161" s="501"/>
      <c r="CL3161" s="501"/>
      <c r="CM3161" s="501"/>
      <c r="CN3161" s="501"/>
      <c r="CO3161" s="501"/>
      <c r="CP3161" s="501"/>
      <c r="CQ3161" s="501"/>
      <c r="CR3161" s="501"/>
      <c r="CS3161" s="501"/>
      <c r="CT3161" s="501"/>
      <c r="CU3161" s="501"/>
      <c r="CV3161" s="501"/>
      <c r="CW3161" s="501"/>
      <c r="CX3161" s="501"/>
      <c r="CY3161" s="501"/>
      <c r="CZ3161" s="501"/>
      <c r="DA3161" s="501"/>
      <c r="DB3161" s="501"/>
      <c r="DC3161" s="501"/>
      <c r="DD3161" s="501"/>
      <c r="DE3161" s="501"/>
      <c r="DF3161" s="501"/>
      <c r="DG3161" s="501"/>
      <c r="DH3161" s="501"/>
      <c r="DI3161" s="501"/>
      <c r="DJ3161" s="501"/>
      <c r="DK3161" s="501"/>
      <c r="DL3161" s="501"/>
      <c r="DM3161" s="501"/>
      <c r="DN3161" s="501"/>
      <c r="DO3161" s="501"/>
      <c r="DP3161" s="501"/>
      <c r="DQ3161" s="501"/>
      <c r="DR3161" s="501"/>
      <c r="DS3161" s="501"/>
      <c r="DT3161" s="501"/>
      <c r="DU3161" s="501"/>
      <c r="DV3161" s="501"/>
      <c r="DW3161" s="501"/>
      <c r="DX3161" s="501"/>
      <c r="DY3161" s="501"/>
      <c r="DZ3161" s="501"/>
      <c r="EA3161" s="501"/>
      <c r="EB3161" s="501"/>
      <c r="EC3161" s="501"/>
      <c r="ED3161" s="501"/>
      <c r="EE3161" s="501"/>
      <c r="EF3161" s="501"/>
      <c r="EG3161" s="501"/>
      <c r="EH3161" s="501"/>
      <c r="EI3161" s="501"/>
      <c r="EJ3161" s="501"/>
      <c r="EK3161" s="501"/>
      <c r="EL3161" s="501"/>
      <c r="EM3161" s="501"/>
      <c r="EN3161" s="501"/>
      <c r="EO3161" s="501"/>
      <c r="EP3161" s="501"/>
      <c r="EQ3161" s="501"/>
      <c r="ER3161" s="501"/>
      <c r="ES3161" s="501"/>
      <c r="ET3161" s="501"/>
      <c r="EU3161" s="501"/>
      <c r="EV3161" s="501"/>
      <c r="EW3161" s="501"/>
      <c r="EX3161" s="501"/>
      <c r="EY3161" s="501"/>
      <c r="EZ3161" s="501"/>
      <c r="FA3161" s="501"/>
      <c r="FB3161" s="501"/>
      <c r="FC3161" s="501"/>
      <c r="FD3161" s="501"/>
      <c r="FE3161" s="501"/>
      <c r="FF3161" s="501"/>
      <c r="FG3161" s="501"/>
      <c r="FH3161" s="501"/>
      <c r="FI3161" s="501"/>
      <c r="FJ3161" s="501"/>
      <c r="FK3161" s="501"/>
      <c r="FL3161" s="501"/>
      <c r="FM3161" s="501"/>
      <c r="FN3161" s="501"/>
      <c r="FO3161" s="501"/>
      <c r="FP3161" s="501"/>
      <c r="FQ3161" s="501"/>
      <c r="FR3161" s="501"/>
      <c r="FS3161" s="501"/>
      <c r="FT3161" s="501"/>
      <c r="FU3161" s="501"/>
      <c r="FV3161" s="501"/>
      <c r="FW3161" s="501"/>
      <c r="FX3161" s="501"/>
      <c r="FY3161" s="501"/>
      <c r="FZ3161" s="501"/>
      <c r="GA3161" s="501"/>
      <c r="GB3161" s="501"/>
      <c r="GC3161" s="501"/>
      <c r="GD3161" s="501"/>
      <c r="GE3161" s="501"/>
      <c r="GF3161" s="501"/>
      <c r="GG3161" s="501"/>
      <c r="GH3161" s="501"/>
      <c r="GI3161" s="501"/>
      <c r="GJ3161" s="501"/>
      <c r="GK3161" s="501"/>
      <c r="GL3161" s="501"/>
      <c r="GM3161" s="501"/>
      <c r="GN3161" s="501"/>
      <c r="GO3161" s="501"/>
      <c r="GP3161" s="501"/>
      <c r="GQ3161" s="501"/>
      <c r="GR3161" s="501"/>
      <c r="GS3161" s="501"/>
      <c r="GT3161" s="501"/>
      <c r="GU3161" s="501"/>
      <c r="GV3161" s="501"/>
      <c r="GW3161" s="501"/>
      <c r="GX3161" s="501"/>
      <c r="GY3161" s="501"/>
      <c r="GZ3161" s="501"/>
      <c r="HA3161" s="501"/>
      <c r="HB3161" s="501"/>
      <c r="HC3161" s="501"/>
      <c r="HD3161" s="501"/>
      <c r="HE3161" s="501"/>
      <c r="HF3161" s="501"/>
      <c r="HG3161" s="501"/>
      <c r="HH3161" s="501"/>
      <c r="HI3161" s="501"/>
      <c r="HJ3161" s="501"/>
      <c r="HK3161" s="501"/>
      <c r="HL3161" s="501"/>
      <c r="HM3161" s="501"/>
      <c r="HN3161" s="501"/>
      <c r="HO3161" s="501"/>
      <c r="HP3161" s="501"/>
      <c r="HQ3161" s="501"/>
      <c r="HR3161" s="501"/>
      <c r="HS3161" s="501"/>
      <c r="HT3161" s="501"/>
      <c r="HU3161" s="501"/>
      <c r="HV3161" s="501"/>
      <c r="HW3161" s="501"/>
      <c r="HX3161" s="501"/>
      <c r="HY3161" s="501"/>
      <c r="HZ3161" s="501"/>
      <c r="IA3161" s="501"/>
      <c r="IB3161" s="501"/>
      <c r="IC3161" s="501"/>
      <c r="ID3161" s="501"/>
      <c r="IE3161" s="501"/>
      <c r="IF3161" s="501"/>
      <c r="IG3161" s="501"/>
      <c r="IH3161" s="501"/>
      <c r="II3161" s="501"/>
      <c r="IJ3161" s="501"/>
      <c r="IK3161" s="501"/>
      <c r="IL3161" s="501"/>
      <c r="IM3161" s="501"/>
      <c r="IN3161" s="501"/>
      <c r="IO3161" s="501"/>
      <c r="IP3161" s="501"/>
      <c r="IQ3161" s="501"/>
      <c r="IR3161" s="501"/>
      <c r="IS3161" s="501"/>
      <c r="IT3161" s="501"/>
      <c r="IU3161" s="501"/>
    </row>
    <row r="3162" spans="1:255" s="877" customFormat="1" ht="24" customHeight="1">
      <c r="A3162" s="501"/>
      <c r="B3162" s="501"/>
      <c r="C3162" s="501"/>
      <c r="D3162" s="501"/>
      <c r="E3162" s="501"/>
      <c r="F3162" s="501"/>
      <c r="G3162" s="915"/>
      <c r="H3162" s="501"/>
      <c r="I3162" s="874"/>
      <c r="J3162" s="501"/>
      <c r="K3162" s="501"/>
      <c r="L3162" s="902"/>
      <c r="M3162" s="554"/>
      <c r="N3162" s="501"/>
      <c r="O3162" s="501"/>
      <c r="P3162" s="501"/>
      <c r="Q3162" s="501"/>
      <c r="R3162" s="501"/>
      <c r="S3162" s="501"/>
      <c r="T3162" s="501"/>
      <c r="V3162" s="901"/>
      <c r="W3162" s="876"/>
      <c r="X3162" s="545"/>
      <c r="Y3162" s="876"/>
      <c r="Z3162" s="545"/>
      <c r="AA3162" s="501"/>
      <c r="AB3162" s="501"/>
      <c r="AC3162" s="501"/>
      <c r="AD3162" s="501"/>
      <c r="AE3162" s="501"/>
      <c r="AF3162" s="501"/>
      <c r="AG3162" s="501"/>
      <c r="AH3162" s="501"/>
      <c r="AI3162" s="501"/>
      <c r="AJ3162" s="501"/>
      <c r="AK3162" s="501"/>
      <c r="AL3162" s="501"/>
      <c r="AM3162" s="501"/>
      <c r="AN3162" s="501"/>
      <c r="AO3162" s="501"/>
      <c r="AP3162" s="501"/>
      <c r="AQ3162" s="501"/>
      <c r="AR3162" s="501"/>
      <c r="AS3162" s="501"/>
      <c r="AT3162" s="501"/>
      <c r="AU3162" s="501"/>
      <c r="AV3162" s="501"/>
      <c r="AW3162" s="501"/>
      <c r="AX3162" s="501"/>
      <c r="AY3162" s="501"/>
      <c r="AZ3162" s="501"/>
      <c r="BA3162" s="501"/>
      <c r="BB3162" s="501"/>
      <c r="BC3162" s="501"/>
      <c r="BD3162" s="501"/>
      <c r="BE3162" s="501"/>
      <c r="BF3162" s="501"/>
      <c r="BG3162" s="501"/>
      <c r="BH3162" s="501"/>
      <c r="BI3162" s="501"/>
      <c r="BJ3162" s="501"/>
      <c r="BK3162" s="501"/>
      <c r="BL3162" s="501"/>
      <c r="BM3162" s="501"/>
      <c r="BN3162" s="501"/>
      <c r="BO3162" s="501"/>
      <c r="BP3162" s="501"/>
      <c r="BQ3162" s="501"/>
      <c r="BR3162" s="501"/>
      <c r="BS3162" s="501"/>
      <c r="BT3162" s="501"/>
      <c r="BU3162" s="501"/>
      <c r="BV3162" s="501"/>
      <c r="BW3162" s="501"/>
      <c r="BX3162" s="501"/>
      <c r="BY3162" s="501"/>
      <c r="BZ3162" s="501"/>
      <c r="CA3162" s="501"/>
      <c r="CB3162" s="501"/>
      <c r="CC3162" s="501"/>
      <c r="CD3162" s="501"/>
      <c r="CE3162" s="501"/>
      <c r="CF3162" s="501"/>
      <c r="CG3162" s="501"/>
      <c r="CH3162" s="501"/>
      <c r="CI3162" s="501"/>
      <c r="CJ3162" s="501"/>
      <c r="CK3162" s="501"/>
      <c r="CL3162" s="501"/>
      <c r="CM3162" s="501"/>
      <c r="CN3162" s="501"/>
      <c r="CO3162" s="501"/>
      <c r="CP3162" s="501"/>
      <c r="CQ3162" s="501"/>
      <c r="CR3162" s="501"/>
      <c r="CS3162" s="501"/>
      <c r="CT3162" s="501"/>
      <c r="CU3162" s="501"/>
      <c r="CV3162" s="501"/>
      <c r="CW3162" s="501"/>
      <c r="CX3162" s="501"/>
      <c r="CY3162" s="501"/>
      <c r="CZ3162" s="501"/>
      <c r="DA3162" s="501"/>
      <c r="DB3162" s="501"/>
      <c r="DC3162" s="501"/>
      <c r="DD3162" s="501"/>
      <c r="DE3162" s="501"/>
      <c r="DF3162" s="501"/>
      <c r="DG3162" s="501"/>
      <c r="DH3162" s="501"/>
      <c r="DI3162" s="501"/>
      <c r="DJ3162" s="501"/>
      <c r="DK3162" s="501"/>
      <c r="DL3162" s="501"/>
      <c r="DM3162" s="501"/>
      <c r="DN3162" s="501"/>
      <c r="DO3162" s="501"/>
      <c r="DP3162" s="501"/>
      <c r="DQ3162" s="501"/>
      <c r="DR3162" s="501"/>
      <c r="DS3162" s="501"/>
      <c r="DT3162" s="501"/>
      <c r="DU3162" s="501"/>
      <c r="DV3162" s="501"/>
      <c r="DW3162" s="501"/>
      <c r="DX3162" s="501"/>
      <c r="DY3162" s="501"/>
      <c r="DZ3162" s="501"/>
      <c r="EA3162" s="501"/>
      <c r="EB3162" s="501"/>
      <c r="EC3162" s="501"/>
      <c r="ED3162" s="501"/>
      <c r="EE3162" s="501"/>
      <c r="EF3162" s="501"/>
      <c r="EG3162" s="501"/>
      <c r="EH3162" s="501"/>
      <c r="EI3162" s="501"/>
      <c r="EJ3162" s="501"/>
      <c r="EK3162" s="501"/>
      <c r="EL3162" s="501"/>
      <c r="EM3162" s="501"/>
      <c r="EN3162" s="501"/>
      <c r="EO3162" s="501"/>
      <c r="EP3162" s="501"/>
      <c r="EQ3162" s="501"/>
      <c r="ER3162" s="501"/>
      <c r="ES3162" s="501"/>
      <c r="ET3162" s="501"/>
      <c r="EU3162" s="501"/>
      <c r="EV3162" s="501"/>
      <c r="EW3162" s="501"/>
      <c r="EX3162" s="501"/>
      <c r="EY3162" s="501"/>
      <c r="EZ3162" s="501"/>
      <c r="FA3162" s="501"/>
      <c r="FB3162" s="501"/>
      <c r="FC3162" s="501"/>
      <c r="FD3162" s="501"/>
      <c r="FE3162" s="501"/>
      <c r="FF3162" s="501"/>
      <c r="FG3162" s="501"/>
      <c r="FH3162" s="501"/>
      <c r="FI3162" s="501"/>
      <c r="FJ3162" s="501"/>
      <c r="FK3162" s="501"/>
      <c r="FL3162" s="501"/>
      <c r="FM3162" s="501"/>
      <c r="FN3162" s="501"/>
      <c r="FO3162" s="501"/>
      <c r="FP3162" s="501"/>
      <c r="FQ3162" s="501"/>
      <c r="FR3162" s="501"/>
      <c r="FS3162" s="501"/>
      <c r="FT3162" s="501"/>
      <c r="FU3162" s="501"/>
      <c r="FV3162" s="501"/>
      <c r="FW3162" s="501"/>
      <c r="FX3162" s="501"/>
      <c r="FY3162" s="501"/>
      <c r="FZ3162" s="501"/>
      <c r="GA3162" s="501"/>
      <c r="GB3162" s="501"/>
      <c r="GC3162" s="501"/>
      <c r="GD3162" s="501"/>
      <c r="GE3162" s="501"/>
      <c r="GF3162" s="501"/>
      <c r="GG3162" s="501"/>
      <c r="GH3162" s="501"/>
      <c r="GI3162" s="501"/>
      <c r="GJ3162" s="501"/>
      <c r="GK3162" s="501"/>
      <c r="GL3162" s="501"/>
      <c r="GM3162" s="501"/>
      <c r="GN3162" s="501"/>
      <c r="GO3162" s="501"/>
      <c r="GP3162" s="501"/>
      <c r="GQ3162" s="501"/>
      <c r="GR3162" s="501"/>
      <c r="GS3162" s="501"/>
      <c r="GT3162" s="501"/>
      <c r="GU3162" s="501"/>
      <c r="GV3162" s="501"/>
      <c r="GW3162" s="501"/>
      <c r="GX3162" s="501"/>
      <c r="GY3162" s="501"/>
      <c r="GZ3162" s="501"/>
      <c r="HA3162" s="501"/>
      <c r="HB3162" s="501"/>
      <c r="HC3162" s="501"/>
      <c r="HD3162" s="501"/>
      <c r="HE3162" s="501"/>
      <c r="HF3162" s="501"/>
      <c r="HG3162" s="501"/>
      <c r="HH3162" s="501"/>
      <c r="HI3162" s="501"/>
      <c r="HJ3162" s="501"/>
      <c r="HK3162" s="501"/>
      <c r="HL3162" s="501"/>
      <c r="HM3162" s="501"/>
      <c r="HN3162" s="501"/>
      <c r="HO3162" s="501"/>
      <c r="HP3162" s="501"/>
      <c r="HQ3162" s="501"/>
      <c r="HR3162" s="501"/>
      <c r="HS3162" s="501"/>
      <c r="HT3162" s="501"/>
      <c r="HU3162" s="501"/>
      <c r="HV3162" s="501"/>
      <c r="HW3162" s="501"/>
      <c r="HX3162" s="501"/>
      <c r="HY3162" s="501"/>
      <c r="HZ3162" s="501"/>
      <c r="IA3162" s="501"/>
      <c r="IB3162" s="501"/>
      <c r="IC3162" s="501"/>
      <c r="ID3162" s="501"/>
      <c r="IE3162" s="501"/>
      <c r="IF3162" s="501"/>
      <c r="IG3162" s="501"/>
      <c r="IH3162" s="501"/>
      <c r="II3162" s="501"/>
      <c r="IJ3162" s="501"/>
      <c r="IK3162" s="501"/>
      <c r="IL3162" s="501"/>
      <c r="IM3162" s="501"/>
      <c r="IN3162" s="501"/>
      <c r="IO3162" s="501"/>
      <c r="IP3162" s="501"/>
      <c r="IQ3162" s="501"/>
      <c r="IR3162" s="501"/>
      <c r="IS3162" s="501"/>
      <c r="IT3162" s="501"/>
      <c r="IU3162" s="501"/>
    </row>
    <row r="3163" spans="1:255" s="877" customFormat="1" ht="24" customHeight="1">
      <c r="A3163" s="501"/>
      <c r="B3163" s="501"/>
      <c r="C3163" s="501"/>
      <c r="D3163" s="501"/>
      <c r="E3163" s="501"/>
      <c r="F3163" s="501"/>
      <c r="G3163" s="915"/>
      <c r="H3163" s="501"/>
      <c r="I3163" s="874"/>
      <c r="J3163" s="501"/>
      <c r="K3163" s="501"/>
      <c r="L3163" s="902"/>
      <c r="M3163" s="554"/>
      <c r="N3163" s="501"/>
      <c r="O3163" s="501"/>
      <c r="P3163" s="501"/>
      <c r="Q3163" s="501"/>
      <c r="R3163" s="501"/>
      <c r="S3163" s="501"/>
      <c r="T3163" s="501"/>
      <c r="V3163" s="901"/>
      <c r="W3163" s="876"/>
      <c r="X3163" s="545"/>
      <c r="Y3163" s="876"/>
      <c r="Z3163" s="545"/>
      <c r="AA3163" s="501"/>
      <c r="AB3163" s="501"/>
      <c r="AC3163" s="501"/>
      <c r="AD3163" s="501"/>
      <c r="AE3163" s="501"/>
      <c r="AF3163" s="501"/>
      <c r="AG3163" s="501"/>
      <c r="AH3163" s="501"/>
      <c r="AI3163" s="501"/>
      <c r="AJ3163" s="501"/>
      <c r="AK3163" s="501"/>
      <c r="AL3163" s="501"/>
      <c r="AM3163" s="501"/>
      <c r="AN3163" s="501"/>
      <c r="AO3163" s="501"/>
      <c r="AP3163" s="501"/>
      <c r="AQ3163" s="501"/>
      <c r="AR3163" s="501"/>
      <c r="AS3163" s="501"/>
      <c r="AT3163" s="501"/>
      <c r="AU3163" s="501"/>
      <c r="AV3163" s="501"/>
      <c r="AW3163" s="501"/>
      <c r="AX3163" s="501"/>
      <c r="AY3163" s="501"/>
      <c r="AZ3163" s="501"/>
      <c r="BA3163" s="501"/>
      <c r="BB3163" s="501"/>
      <c r="BC3163" s="501"/>
      <c r="BD3163" s="501"/>
      <c r="BE3163" s="501"/>
      <c r="BF3163" s="501"/>
      <c r="BG3163" s="501"/>
      <c r="BH3163" s="501"/>
      <c r="BI3163" s="501"/>
      <c r="BJ3163" s="501"/>
      <c r="BK3163" s="501"/>
      <c r="BL3163" s="501"/>
      <c r="BM3163" s="501"/>
      <c r="BN3163" s="501"/>
      <c r="BO3163" s="501"/>
      <c r="BP3163" s="501"/>
      <c r="BQ3163" s="501"/>
      <c r="BR3163" s="501"/>
      <c r="BS3163" s="501"/>
      <c r="BT3163" s="501"/>
      <c r="BU3163" s="501"/>
      <c r="BV3163" s="501"/>
      <c r="BW3163" s="501"/>
      <c r="BX3163" s="501"/>
      <c r="BY3163" s="501"/>
      <c r="BZ3163" s="501"/>
      <c r="CA3163" s="501"/>
      <c r="CB3163" s="501"/>
      <c r="CC3163" s="501"/>
      <c r="CD3163" s="501"/>
      <c r="CE3163" s="501"/>
      <c r="CF3163" s="501"/>
      <c r="CG3163" s="501"/>
      <c r="CH3163" s="501"/>
      <c r="CI3163" s="501"/>
      <c r="CJ3163" s="501"/>
      <c r="CK3163" s="501"/>
      <c r="CL3163" s="501"/>
      <c r="CM3163" s="501"/>
      <c r="CN3163" s="501"/>
      <c r="CO3163" s="501"/>
      <c r="CP3163" s="501"/>
      <c r="CQ3163" s="501"/>
      <c r="CR3163" s="501"/>
      <c r="CS3163" s="501"/>
      <c r="CT3163" s="501"/>
      <c r="CU3163" s="501"/>
      <c r="CV3163" s="501"/>
      <c r="CW3163" s="501"/>
      <c r="CX3163" s="501"/>
      <c r="CY3163" s="501"/>
      <c r="CZ3163" s="501"/>
      <c r="DA3163" s="501"/>
      <c r="DB3163" s="501"/>
      <c r="DC3163" s="501"/>
      <c r="DD3163" s="501"/>
      <c r="DE3163" s="501"/>
      <c r="DF3163" s="501"/>
      <c r="DG3163" s="501"/>
      <c r="DH3163" s="501"/>
      <c r="DI3163" s="501"/>
      <c r="DJ3163" s="501"/>
      <c r="DK3163" s="501"/>
      <c r="DL3163" s="501"/>
      <c r="DM3163" s="501"/>
      <c r="DN3163" s="501"/>
      <c r="DO3163" s="501"/>
      <c r="DP3163" s="501"/>
      <c r="DQ3163" s="501"/>
      <c r="DR3163" s="501"/>
      <c r="DS3163" s="501"/>
      <c r="DT3163" s="501"/>
      <c r="DU3163" s="501"/>
      <c r="DV3163" s="501"/>
      <c r="DW3163" s="501"/>
      <c r="DX3163" s="501"/>
      <c r="DY3163" s="501"/>
      <c r="DZ3163" s="501"/>
      <c r="EA3163" s="501"/>
      <c r="EB3163" s="501"/>
      <c r="EC3163" s="501"/>
      <c r="ED3163" s="501"/>
      <c r="EE3163" s="501"/>
      <c r="EF3163" s="501"/>
      <c r="EG3163" s="501"/>
      <c r="EH3163" s="501"/>
      <c r="EI3163" s="501"/>
      <c r="EJ3163" s="501"/>
      <c r="EK3163" s="501"/>
      <c r="EL3163" s="501"/>
      <c r="EM3163" s="501"/>
      <c r="EN3163" s="501"/>
      <c r="EO3163" s="501"/>
      <c r="EP3163" s="501"/>
      <c r="EQ3163" s="501"/>
      <c r="ER3163" s="501"/>
      <c r="ES3163" s="501"/>
      <c r="ET3163" s="501"/>
      <c r="EU3163" s="501"/>
      <c r="EV3163" s="501"/>
      <c r="EW3163" s="501"/>
      <c r="EX3163" s="501"/>
      <c r="EY3163" s="501"/>
      <c r="EZ3163" s="501"/>
      <c r="FA3163" s="501"/>
      <c r="FB3163" s="501"/>
      <c r="FC3163" s="501"/>
      <c r="FD3163" s="501"/>
      <c r="FE3163" s="501"/>
      <c r="FF3163" s="501"/>
      <c r="FG3163" s="501"/>
      <c r="FH3163" s="501"/>
      <c r="FI3163" s="501"/>
      <c r="FJ3163" s="501"/>
      <c r="FK3163" s="501"/>
      <c r="FL3163" s="501"/>
      <c r="FM3163" s="501"/>
      <c r="FN3163" s="501"/>
      <c r="FO3163" s="501"/>
      <c r="FP3163" s="501"/>
      <c r="FQ3163" s="501"/>
      <c r="FR3163" s="501"/>
      <c r="FS3163" s="501"/>
      <c r="FT3163" s="501"/>
      <c r="FU3163" s="501"/>
      <c r="FV3163" s="501"/>
      <c r="FW3163" s="501"/>
      <c r="FX3163" s="501"/>
      <c r="FY3163" s="501"/>
      <c r="FZ3163" s="501"/>
      <c r="GA3163" s="501"/>
      <c r="GB3163" s="501"/>
      <c r="GC3163" s="501"/>
      <c r="GD3163" s="501"/>
      <c r="GE3163" s="501"/>
      <c r="GF3163" s="501"/>
      <c r="GG3163" s="501"/>
      <c r="GH3163" s="501"/>
      <c r="GI3163" s="501"/>
      <c r="GJ3163" s="501"/>
      <c r="GK3163" s="501"/>
      <c r="GL3163" s="501"/>
      <c r="GM3163" s="501"/>
      <c r="GN3163" s="501"/>
      <c r="GO3163" s="501"/>
      <c r="GP3163" s="501"/>
      <c r="GQ3163" s="501"/>
      <c r="GR3163" s="501"/>
      <c r="GS3163" s="501"/>
      <c r="GT3163" s="501"/>
      <c r="GU3163" s="501"/>
      <c r="GV3163" s="501"/>
      <c r="GW3163" s="501"/>
      <c r="GX3163" s="501"/>
      <c r="GY3163" s="501"/>
      <c r="GZ3163" s="501"/>
      <c r="HA3163" s="501"/>
      <c r="HB3163" s="501"/>
      <c r="HC3163" s="501"/>
      <c r="HD3163" s="501"/>
      <c r="HE3163" s="501"/>
      <c r="HF3163" s="501"/>
      <c r="HG3163" s="501"/>
      <c r="HH3163" s="501"/>
      <c r="HI3163" s="501"/>
      <c r="HJ3163" s="501"/>
      <c r="HK3163" s="501"/>
      <c r="HL3163" s="501"/>
      <c r="HM3163" s="501"/>
      <c r="HN3163" s="501"/>
      <c r="HO3163" s="501"/>
      <c r="HP3163" s="501"/>
      <c r="HQ3163" s="501"/>
      <c r="HR3163" s="501"/>
      <c r="HS3163" s="501"/>
      <c r="HT3163" s="501"/>
      <c r="HU3163" s="501"/>
      <c r="HV3163" s="501"/>
      <c r="HW3163" s="501"/>
      <c r="HX3163" s="501"/>
      <c r="HY3163" s="501"/>
      <c r="HZ3163" s="501"/>
      <c r="IA3163" s="501"/>
      <c r="IB3163" s="501"/>
      <c r="IC3163" s="501"/>
      <c r="ID3163" s="501"/>
      <c r="IE3163" s="501"/>
      <c r="IF3163" s="501"/>
      <c r="IG3163" s="501"/>
      <c r="IH3163" s="501"/>
      <c r="II3163" s="501"/>
      <c r="IJ3163" s="501"/>
      <c r="IK3163" s="501"/>
      <c r="IL3163" s="501"/>
      <c r="IM3163" s="501"/>
      <c r="IN3163" s="501"/>
      <c r="IO3163" s="501"/>
      <c r="IP3163" s="501"/>
      <c r="IQ3163" s="501"/>
      <c r="IR3163" s="501"/>
      <c r="IS3163" s="501"/>
      <c r="IT3163" s="501"/>
      <c r="IU3163" s="501"/>
    </row>
    <row r="3164" spans="1:255" s="877" customFormat="1" ht="24" customHeight="1">
      <c r="A3164" s="501"/>
      <c r="B3164" s="501"/>
      <c r="C3164" s="501"/>
      <c r="D3164" s="501"/>
      <c r="E3164" s="501"/>
      <c r="F3164" s="501"/>
      <c r="G3164" s="915"/>
      <c r="H3164" s="501"/>
      <c r="I3164" s="874"/>
      <c r="J3164" s="876"/>
      <c r="K3164" s="501"/>
      <c r="L3164" s="902"/>
      <c r="M3164" s="554"/>
      <c r="N3164" s="501"/>
      <c r="O3164" s="974"/>
      <c r="P3164" s="1152"/>
      <c r="Q3164" s="973"/>
      <c r="R3164" s="1097"/>
      <c r="S3164" s="1101"/>
      <c r="T3164" s="1097"/>
      <c r="V3164" s="901"/>
      <c r="W3164" s="876"/>
      <c r="X3164" s="545"/>
      <c r="Y3164" s="876"/>
      <c r="Z3164" s="545"/>
      <c r="AA3164" s="501"/>
      <c r="AB3164" s="501"/>
      <c r="AC3164" s="501"/>
      <c r="AD3164" s="501"/>
      <c r="AE3164" s="501"/>
      <c r="AF3164" s="501"/>
      <c r="AG3164" s="501"/>
      <c r="AH3164" s="501"/>
      <c r="AI3164" s="501"/>
      <c r="AJ3164" s="501"/>
      <c r="AK3164" s="501"/>
      <c r="AL3164" s="501"/>
      <c r="AM3164" s="501"/>
      <c r="AN3164" s="501"/>
      <c r="AO3164" s="501"/>
      <c r="AP3164" s="501"/>
      <c r="AQ3164" s="501"/>
      <c r="AR3164" s="501"/>
      <c r="AS3164" s="501"/>
      <c r="AT3164" s="501"/>
      <c r="AU3164" s="501"/>
      <c r="AV3164" s="501"/>
      <c r="AW3164" s="501"/>
      <c r="AX3164" s="501"/>
      <c r="AY3164" s="501"/>
      <c r="AZ3164" s="501"/>
      <c r="BA3164" s="501"/>
      <c r="BB3164" s="501"/>
      <c r="BC3164" s="501"/>
      <c r="BD3164" s="501"/>
      <c r="BE3164" s="501"/>
      <c r="BF3164" s="501"/>
      <c r="BG3164" s="501"/>
      <c r="BH3164" s="501"/>
      <c r="BI3164" s="501"/>
      <c r="BJ3164" s="501"/>
      <c r="BK3164" s="501"/>
      <c r="BL3164" s="501"/>
      <c r="BM3164" s="501"/>
      <c r="BN3164" s="501"/>
      <c r="BO3164" s="501"/>
      <c r="BP3164" s="501"/>
      <c r="BQ3164" s="501"/>
      <c r="BR3164" s="501"/>
      <c r="BS3164" s="501"/>
      <c r="BT3164" s="501"/>
      <c r="BU3164" s="501"/>
      <c r="BV3164" s="501"/>
      <c r="BW3164" s="501"/>
      <c r="BX3164" s="501"/>
      <c r="BY3164" s="501"/>
      <c r="BZ3164" s="501"/>
      <c r="CA3164" s="501"/>
      <c r="CB3164" s="501"/>
      <c r="CC3164" s="501"/>
      <c r="CD3164" s="501"/>
      <c r="CE3164" s="501"/>
      <c r="CF3164" s="501"/>
      <c r="CG3164" s="501"/>
      <c r="CH3164" s="501"/>
      <c r="CI3164" s="501"/>
      <c r="CJ3164" s="501"/>
      <c r="CK3164" s="501"/>
      <c r="CL3164" s="501"/>
      <c r="CM3164" s="501"/>
      <c r="CN3164" s="501"/>
      <c r="CO3164" s="501"/>
      <c r="CP3164" s="501"/>
      <c r="CQ3164" s="501"/>
      <c r="CR3164" s="501"/>
      <c r="CS3164" s="501"/>
      <c r="CT3164" s="501"/>
      <c r="CU3164" s="501"/>
      <c r="CV3164" s="501"/>
      <c r="CW3164" s="501"/>
      <c r="CX3164" s="501"/>
      <c r="CY3164" s="501"/>
      <c r="CZ3164" s="501"/>
      <c r="DA3164" s="501"/>
      <c r="DB3164" s="501"/>
      <c r="DC3164" s="501"/>
      <c r="DD3164" s="501"/>
      <c r="DE3164" s="501"/>
      <c r="DF3164" s="501"/>
      <c r="DG3164" s="501"/>
      <c r="DH3164" s="501"/>
      <c r="DI3164" s="501"/>
      <c r="DJ3164" s="501"/>
      <c r="DK3164" s="501"/>
      <c r="DL3164" s="501"/>
      <c r="DM3164" s="501"/>
      <c r="DN3164" s="501"/>
      <c r="DO3164" s="501"/>
      <c r="DP3164" s="501"/>
      <c r="DQ3164" s="501"/>
      <c r="DR3164" s="501"/>
      <c r="DS3164" s="501"/>
      <c r="DT3164" s="501"/>
      <c r="DU3164" s="501"/>
      <c r="DV3164" s="501"/>
      <c r="DW3164" s="501"/>
      <c r="DX3164" s="501"/>
      <c r="DY3164" s="501"/>
      <c r="DZ3164" s="501"/>
      <c r="EA3164" s="501"/>
      <c r="EB3164" s="501"/>
      <c r="EC3164" s="501"/>
      <c r="ED3164" s="501"/>
      <c r="EE3164" s="501"/>
      <c r="EF3164" s="501"/>
      <c r="EG3164" s="501"/>
      <c r="EH3164" s="501"/>
      <c r="EI3164" s="501"/>
      <c r="EJ3164" s="501"/>
      <c r="EK3164" s="501"/>
      <c r="EL3164" s="501"/>
      <c r="EM3164" s="501"/>
      <c r="EN3164" s="501"/>
      <c r="EO3164" s="501"/>
      <c r="EP3164" s="501"/>
      <c r="EQ3164" s="501"/>
      <c r="ER3164" s="501"/>
      <c r="ES3164" s="501"/>
      <c r="ET3164" s="501"/>
      <c r="EU3164" s="501"/>
      <c r="EV3164" s="501"/>
      <c r="EW3164" s="501"/>
      <c r="EX3164" s="501"/>
      <c r="EY3164" s="501"/>
      <c r="EZ3164" s="501"/>
      <c r="FA3164" s="501"/>
      <c r="FB3164" s="501"/>
      <c r="FC3164" s="501"/>
      <c r="FD3164" s="501"/>
      <c r="FE3164" s="501"/>
      <c r="FF3164" s="501"/>
      <c r="FG3164" s="501"/>
      <c r="FH3164" s="501"/>
      <c r="FI3164" s="501"/>
      <c r="FJ3164" s="501"/>
      <c r="FK3164" s="501"/>
      <c r="FL3164" s="501"/>
      <c r="FM3164" s="501"/>
      <c r="FN3164" s="501"/>
      <c r="FO3164" s="501"/>
      <c r="FP3164" s="501"/>
      <c r="FQ3164" s="501"/>
      <c r="FR3164" s="501"/>
      <c r="FS3164" s="501"/>
      <c r="FT3164" s="501"/>
      <c r="FU3164" s="501"/>
      <c r="FV3164" s="501"/>
      <c r="FW3164" s="501"/>
      <c r="FX3164" s="501"/>
      <c r="FY3164" s="501"/>
      <c r="FZ3164" s="501"/>
      <c r="GA3164" s="501"/>
      <c r="GB3164" s="501"/>
      <c r="GC3164" s="501"/>
      <c r="GD3164" s="501"/>
      <c r="GE3164" s="501"/>
      <c r="GF3164" s="501"/>
      <c r="GG3164" s="501"/>
      <c r="GH3164" s="501"/>
      <c r="GI3164" s="501"/>
      <c r="GJ3164" s="501"/>
      <c r="GK3164" s="501"/>
      <c r="GL3164" s="501"/>
      <c r="GM3164" s="501"/>
      <c r="GN3164" s="501"/>
      <c r="GO3164" s="501"/>
      <c r="GP3164" s="501"/>
      <c r="GQ3164" s="501"/>
      <c r="GR3164" s="501"/>
      <c r="GS3164" s="501"/>
      <c r="GT3164" s="501"/>
      <c r="GU3164" s="501"/>
      <c r="GV3164" s="501"/>
      <c r="GW3164" s="501"/>
      <c r="GX3164" s="501"/>
      <c r="GY3164" s="501"/>
      <c r="GZ3164" s="501"/>
      <c r="HA3164" s="501"/>
      <c r="HB3164" s="501"/>
      <c r="HC3164" s="501"/>
      <c r="HD3164" s="501"/>
      <c r="HE3164" s="501"/>
      <c r="HF3164" s="501"/>
      <c r="HG3164" s="501"/>
      <c r="HH3164" s="501"/>
      <c r="HI3164" s="501"/>
      <c r="HJ3164" s="501"/>
      <c r="HK3164" s="501"/>
      <c r="HL3164" s="501"/>
      <c r="HM3164" s="501"/>
      <c r="HN3164" s="501"/>
      <c r="HO3164" s="501"/>
      <c r="HP3164" s="501"/>
      <c r="HQ3164" s="501"/>
      <c r="HR3164" s="501"/>
      <c r="HS3164" s="501"/>
      <c r="HT3164" s="501"/>
      <c r="HU3164" s="501"/>
      <c r="HV3164" s="501"/>
      <c r="HW3164" s="501"/>
      <c r="HX3164" s="501"/>
      <c r="HY3164" s="501"/>
      <c r="HZ3164" s="501"/>
      <c r="IA3164" s="501"/>
      <c r="IB3164" s="501"/>
      <c r="IC3164" s="501"/>
      <c r="ID3164" s="501"/>
      <c r="IE3164" s="501"/>
      <c r="IF3164" s="501"/>
      <c r="IG3164" s="501"/>
      <c r="IH3164" s="501"/>
      <c r="II3164" s="501"/>
      <c r="IJ3164" s="501"/>
      <c r="IK3164" s="501"/>
      <c r="IL3164" s="501"/>
      <c r="IM3164" s="501"/>
      <c r="IN3164" s="501"/>
      <c r="IO3164" s="501"/>
      <c r="IP3164" s="501"/>
      <c r="IQ3164" s="501"/>
      <c r="IR3164" s="501"/>
      <c r="IS3164" s="501"/>
      <c r="IT3164" s="501"/>
      <c r="IU3164" s="501"/>
    </row>
    <row r="3165" spans="1:255" s="877" customFormat="1" ht="24" customHeight="1">
      <c r="A3165" s="501"/>
      <c r="B3165" s="501"/>
      <c r="C3165" s="501"/>
      <c r="D3165" s="501"/>
      <c r="E3165" s="501"/>
      <c r="F3165" s="501"/>
      <c r="G3165" s="915"/>
      <c r="H3165" s="501"/>
      <c r="I3165" s="874"/>
      <c r="J3165" s="876"/>
      <c r="K3165" s="501"/>
      <c r="L3165" s="902"/>
      <c r="M3165" s="554"/>
      <c r="N3165" s="501"/>
      <c r="O3165" s="1097"/>
      <c r="P3165" s="1151"/>
      <c r="Q3165" s="973"/>
      <c r="R3165" s="1097"/>
      <c r="S3165" s="1101"/>
      <c r="T3165" s="1097"/>
      <c r="V3165" s="901"/>
      <c r="W3165" s="876"/>
      <c r="X3165" s="545"/>
      <c r="Y3165" s="876"/>
      <c r="Z3165" s="545"/>
      <c r="AA3165" s="501"/>
      <c r="AB3165" s="501"/>
      <c r="AC3165" s="501"/>
      <c r="AD3165" s="501"/>
      <c r="AE3165" s="501"/>
      <c r="AF3165" s="501"/>
      <c r="AG3165" s="501"/>
      <c r="AH3165" s="501"/>
      <c r="AI3165" s="501"/>
      <c r="AJ3165" s="501"/>
      <c r="AK3165" s="501"/>
      <c r="AL3165" s="501"/>
      <c r="AM3165" s="501"/>
      <c r="AN3165" s="501"/>
      <c r="AO3165" s="501"/>
      <c r="AP3165" s="501"/>
      <c r="AQ3165" s="501"/>
      <c r="AR3165" s="501"/>
      <c r="AS3165" s="501"/>
      <c r="AT3165" s="501"/>
      <c r="AU3165" s="501"/>
      <c r="AV3165" s="501"/>
      <c r="AW3165" s="501"/>
      <c r="AX3165" s="501"/>
      <c r="AY3165" s="501"/>
      <c r="AZ3165" s="501"/>
      <c r="BA3165" s="501"/>
      <c r="BB3165" s="501"/>
      <c r="BC3165" s="501"/>
      <c r="BD3165" s="501"/>
      <c r="BE3165" s="501"/>
      <c r="BF3165" s="501"/>
      <c r="BG3165" s="501"/>
      <c r="BH3165" s="501"/>
      <c r="BI3165" s="501"/>
      <c r="BJ3165" s="501"/>
      <c r="BK3165" s="501"/>
      <c r="BL3165" s="501"/>
      <c r="BM3165" s="501"/>
      <c r="BN3165" s="501"/>
      <c r="BO3165" s="501"/>
      <c r="BP3165" s="501"/>
      <c r="BQ3165" s="501"/>
      <c r="BR3165" s="501"/>
      <c r="BS3165" s="501"/>
      <c r="BT3165" s="501"/>
      <c r="BU3165" s="501"/>
      <c r="BV3165" s="501"/>
      <c r="BW3165" s="501"/>
      <c r="BX3165" s="501"/>
      <c r="BY3165" s="501"/>
      <c r="BZ3165" s="501"/>
      <c r="CA3165" s="501"/>
      <c r="CB3165" s="501"/>
      <c r="CC3165" s="501"/>
      <c r="CD3165" s="501"/>
      <c r="CE3165" s="501"/>
      <c r="CF3165" s="501"/>
      <c r="CG3165" s="501"/>
      <c r="CH3165" s="501"/>
      <c r="CI3165" s="501"/>
      <c r="CJ3165" s="501"/>
      <c r="CK3165" s="501"/>
      <c r="CL3165" s="501"/>
      <c r="CM3165" s="501"/>
      <c r="CN3165" s="501"/>
      <c r="CO3165" s="501"/>
      <c r="CP3165" s="501"/>
      <c r="CQ3165" s="501"/>
      <c r="CR3165" s="501"/>
      <c r="CS3165" s="501"/>
      <c r="CT3165" s="501"/>
      <c r="CU3165" s="501"/>
      <c r="CV3165" s="501"/>
      <c r="CW3165" s="501"/>
      <c r="CX3165" s="501"/>
      <c r="CY3165" s="501"/>
      <c r="CZ3165" s="501"/>
      <c r="DA3165" s="501"/>
      <c r="DB3165" s="501"/>
      <c r="DC3165" s="501"/>
      <c r="DD3165" s="501"/>
      <c r="DE3165" s="501"/>
      <c r="DF3165" s="501"/>
      <c r="DG3165" s="501"/>
      <c r="DH3165" s="501"/>
      <c r="DI3165" s="501"/>
      <c r="DJ3165" s="501"/>
      <c r="DK3165" s="501"/>
      <c r="DL3165" s="501"/>
      <c r="DM3165" s="501"/>
      <c r="DN3165" s="501"/>
      <c r="DO3165" s="501"/>
      <c r="DP3165" s="501"/>
      <c r="DQ3165" s="501"/>
      <c r="DR3165" s="501"/>
      <c r="DS3165" s="501"/>
      <c r="DT3165" s="501"/>
      <c r="DU3165" s="501"/>
      <c r="DV3165" s="501"/>
      <c r="DW3165" s="501"/>
      <c r="DX3165" s="501"/>
      <c r="DY3165" s="501"/>
      <c r="DZ3165" s="501"/>
      <c r="EA3165" s="501"/>
      <c r="EB3165" s="501"/>
      <c r="EC3165" s="501"/>
      <c r="ED3165" s="501"/>
      <c r="EE3165" s="501"/>
      <c r="EF3165" s="501"/>
      <c r="EG3165" s="501"/>
      <c r="EH3165" s="501"/>
      <c r="EI3165" s="501"/>
      <c r="EJ3165" s="501"/>
      <c r="EK3165" s="501"/>
      <c r="EL3165" s="501"/>
      <c r="EM3165" s="501"/>
      <c r="EN3165" s="501"/>
      <c r="EO3165" s="501"/>
      <c r="EP3165" s="501"/>
      <c r="EQ3165" s="501"/>
      <c r="ER3165" s="501"/>
      <c r="ES3165" s="501"/>
      <c r="ET3165" s="501"/>
      <c r="EU3165" s="501"/>
      <c r="EV3165" s="501"/>
      <c r="EW3165" s="501"/>
      <c r="EX3165" s="501"/>
      <c r="EY3165" s="501"/>
      <c r="EZ3165" s="501"/>
      <c r="FA3165" s="501"/>
      <c r="FB3165" s="501"/>
      <c r="FC3165" s="501"/>
      <c r="FD3165" s="501"/>
      <c r="FE3165" s="501"/>
      <c r="FF3165" s="501"/>
      <c r="FG3165" s="501"/>
      <c r="FH3165" s="501"/>
      <c r="FI3165" s="501"/>
      <c r="FJ3165" s="501"/>
      <c r="FK3165" s="501"/>
      <c r="FL3165" s="501"/>
      <c r="FM3165" s="501"/>
      <c r="FN3165" s="501"/>
      <c r="FO3165" s="501"/>
      <c r="FP3165" s="501"/>
      <c r="FQ3165" s="501"/>
      <c r="FR3165" s="501"/>
      <c r="FS3165" s="501"/>
      <c r="FT3165" s="501"/>
      <c r="FU3165" s="501"/>
      <c r="FV3165" s="501"/>
      <c r="FW3165" s="501"/>
      <c r="FX3165" s="501"/>
      <c r="FY3165" s="501"/>
      <c r="FZ3165" s="501"/>
      <c r="GA3165" s="501"/>
      <c r="GB3165" s="501"/>
      <c r="GC3165" s="501"/>
      <c r="GD3165" s="501"/>
      <c r="GE3165" s="501"/>
      <c r="GF3165" s="501"/>
      <c r="GG3165" s="501"/>
      <c r="GH3165" s="501"/>
      <c r="GI3165" s="501"/>
      <c r="GJ3165" s="501"/>
      <c r="GK3165" s="501"/>
      <c r="GL3165" s="501"/>
      <c r="GM3165" s="501"/>
      <c r="GN3165" s="501"/>
      <c r="GO3165" s="501"/>
      <c r="GP3165" s="501"/>
      <c r="GQ3165" s="501"/>
      <c r="GR3165" s="501"/>
      <c r="GS3165" s="501"/>
      <c r="GT3165" s="501"/>
      <c r="GU3165" s="501"/>
      <c r="GV3165" s="501"/>
      <c r="GW3165" s="501"/>
      <c r="GX3165" s="501"/>
      <c r="GY3165" s="501"/>
      <c r="GZ3165" s="501"/>
      <c r="HA3165" s="501"/>
      <c r="HB3165" s="501"/>
      <c r="HC3165" s="501"/>
      <c r="HD3165" s="501"/>
      <c r="HE3165" s="501"/>
      <c r="HF3165" s="501"/>
      <c r="HG3165" s="501"/>
      <c r="HH3165" s="501"/>
      <c r="HI3165" s="501"/>
      <c r="HJ3165" s="501"/>
      <c r="HK3165" s="501"/>
      <c r="HL3165" s="501"/>
      <c r="HM3165" s="501"/>
      <c r="HN3165" s="501"/>
      <c r="HO3165" s="501"/>
      <c r="HP3165" s="501"/>
      <c r="HQ3165" s="501"/>
      <c r="HR3165" s="501"/>
      <c r="HS3165" s="501"/>
      <c r="HT3165" s="501"/>
      <c r="HU3165" s="501"/>
      <c r="HV3165" s="501"/>
      <c r="HW3165" s="501"/>
      <c r="HX3165" s="501"/>
      <c r="HY3165" s="501"/>
      <c r="HZ3165" s="501"/>
      <c r="IA3165" s="501"/>
      <c r="IB3165" s="501"/>
      <c r="IC3165" s="501"/>
      <c r="ID3165" s="501"/>
      <c r="IE3165" s="501"/>
      <c r="IF3165" s="501"/>
      <c r="IG3165" s="501"/>
      <c r="IH3165" s="501"/>
      <c r="II3165" s="501"/>
      <c r="IJ3165" s="501"/>
      <c r="IK3165" s="501"/>
      <c r="IL3165" s="501"/>
      <c r="IM3165" s="501"/>
      <c r="IN3165" s="501"/>
      <c r="IO3165" s="501"/>
      <c r="IP3165" s="501"/>
      <c r="IQ3165" s="501"/>
      <c r="IR3165" s="501"/>
      <c r="IS3165" s="501"/>
      <c r="IT3165" s="501"/>
      <c r="IU3165" s="501"/>
    </row>
    <row r="3166" spans="1:255" s="877" customFormat="1" ht="24" customHeight="1">
      <c r="A3166" s="501"/>
      <c r="B3166" s="501"/>
      <c r="C3166" s="501"/>
      <c r="D3166" s="501"/>
      <c r="E3166" s="501"/>
      <c r="F3166" s="501"/>
      <c r="G3166" s="915"/>
      <c r="H3166" s="501"/>
      <c r="I3166" s="874"/>
      <c r="J3166" s="876"/>
      <c r="K3166" s="501"/>
      <c r="L3166" s="902"/>
      <c r="M3166" s="554"/>
      <c r="N3166" s="501"/>
      <c r="O3166" s="1097"/>
      <c r="P3166" s="1151"/>
      <c r="Q3166" s="1184"/>
      <c r="R3166" s="1097"/>
      <c r="S3166" s="1101"/>
      <c r="T3166" s="1097"/>
      <c r="V3166" s="901"/>
      <c r="W3166" s="876"/>
      <c r="X3166" s="545"/>
      <c r="Y3166" s="876"/>
      <c r="Z3166" s="545"/>
      <c r="AA3166" s="501"/>
      <c r="AB3166" s="501"/>
      <c r="AC3166" s="501"/>
      <c r="AD3166" s="501"/>
      <c r="AE3166" s="501"/>
      <c r="AF3166" s="501"/>
      <c r="AG3166" s="501"/>
      <c r="AH3166" s="501"/>
      <c r="AI3166" s="501"/>
      <c r="AJ3166" s="501"/>
      <c r="AK3166" s="501"/>
      <c r="AL3166" s="501"/>
      <c r="AM3166" s="501"/>
      <c r="AN3166" s="501"/>
      <c r="AO3166" s="501"/>
      <c r="AP3166" s="501"/>
      <c r="AQ3166" s="501"/>
      <c r="AR3166" s="501"/>
      <c r="AS3166" s="501"/>
      <c r="AT3166" s="501"/>
      <c r="AU3166" s="501"/>
      <c r="AV3166" s="501"/>
      <c r="AW3166" s="501"/>
      <c r="AX3166" s="501"/>
      <c r="AY3166" s="501"/>
      <c r="AZ3166" s="501"/>
      <c r="BA3166" s="501"/>
      <c r="BB3166" s="501"/>
      <c r="BC3166" s="501"/>
      <c r="BD3166" s="501"/>
      <c r="BE3166" s="501"/>
      <c r="BF3166" s="501"/>
      <c r="BG3166" s="501"/>
      <c r="BH3166" s="501"/>
      <c r="BI3166" s="501"/>
      <c r="BJ3166" s="501"/>
      <c r="BK3166" s="501"/>
      <c r="BL3166" s="501"/>
      <c r="BM3166" s="501"/>
      <c r="BN3166" s="501"/>
      <c r="BO3166" s="501"/>
      <c r="BP3166" s="501"/>
      <c r="BQ3166" s="501"/>
      <c r="BR3166" s="501"/>
      <c r="BS3166" s="501"/>
      <c r="BT3166" s="501"/>
      <c r="BU3166" s="501"/>
      <c r="BV3166" s="501"/>
      <c r="BW3166" s="501"/>
      <c r="BX3166" s="501"/>
      <c r="BY3166" s="501"/>
      <c r="BZ3166" s="501"/>
      <c r="CA3166" s="501"/>
      <c r="CB3166" s="501"/>
      <c r="CC3166" s="501"/>
      <c r="CD3166" s="501"/>
      <c r="CE3166" s="501"/>
      <c r="CF3166" s="501"/>
      <c r="CG3166" s="501"/>
      <c r="CH3166" s="501"/>
      <c r="CI3166" s="501"/>
      <c r="CJ3166" s="501"/>
      <c r="CK3166" s="501"/>
      <c r="CL3166" s="501"/>
      <c r="CM3166" s="501"/>
      <c r="CN3166" s="501"/>
      <c r="CO3166" s="501"/>
      <c r="CP3166" s="501"/>
      <c r="CQ3166" s="501"/>
      <c r="CR3166" s="501"/>
      <c r="CS3166" s="501"/>
      <c r="CT3166" s="501"/>
      <c r="CU3166" s="501"/>
      <c r="CV3166" s="501"/>
      <c r="CW3166" s="501"/>
      <c r="CX3166" s="501"/>
      <c r="CY3166" s="501"/>
      <c r="CZ3166" s="501"/>
      <c r="DA3166" s="501"/>
      <c r="DB3166" s="501"/>
      <c r="DC3166" s="501"/>
      <c r="DD3166" s="501"/>
      <c r="DE3166" s="501"/>
      <c r="DF3166" s="501"/>
      <c r="DG3166" s="501"/>
      <c r="DH3166" s="501"/>
      <c r="DI3166" s="501"/>
      <c r="DJ3166" s="501"/>
      <c r="DK3166" s="501"/>
      <c r="DL3166" s="501"/>
      <c r="DM3166" s="501"/>
      <c r="DN3166" s="501"/>
      <c r="DO3166" s="501"/>
      <c r="DP3166" s="501"/>
      <c r="DQ3166" s="501"/>
      <c r="DR3166" s="501"/>
      <c r="DS3166" s="501"/>
      <c r="DT3166" s="501"/>
      <c r="DU3166" s="501"/>
      <c r="DV3166" s="501"/>
      <c r="DW3166" s="501"/>
      <c r="DX3166" s="501"/>
      <c r="DY3166" s="501"/>
      <c r="DZ3166" s="501"/>
      <c r="EA3166" s="501"/>
      <c r="EB3166" s="501"/>
      <c r="EC3166" s="501"/>
      <c r="ED3166" s="501"/>
      <c r="EE3166" s="501"/>
      <c r="EF3166" s="501"/>
      <c r="EG3166" s="501"/>
      <c r="EH3166" s="501"/>
      <c r="EI3166" s="501"/>
      <c r="EJ3166" s="501"/>
      <c r="EK3166" s="501"/>
      <c r="EL3166" s="501"/>
      <c r="EM3166" s="501"/>
      <c r="EN3166" s="501"/>
      <c r="EO3166" s="501"/>
      <c r="EP3166" s="501"/>
      <c r="EQ3166" s="501"/>
      <c r="ER3166" s="501"/>
      <c r="ES3166" s="501"/>
      <c r="ET3166" s="501"/>
      <c r="EU3166" s="501"/>
      <c r="EV3166" s="501"/>
      <c r="EW3166" s="501"/>
      <c r="EX3166" s="501"/>
      <c r="EY3166" s="501"/>
      <c r="EZ3166" s="501"/>
      <c r="FA3166" s="501"/>
      <c r="FB3166" s="501"/>
      <c r="FC3166" s="501"/>
      <c r="FD3166" s="501"/>
      <c r="FE3166" s="501"/>
      <c r="FF3166" s="501"/>
      <c r="FG3166" s="501"/>
      <c r="FH3166" s="501"/>
      <c r="FI3166" s="501"/>
      <c r="FJ3166" s="501"/>
      <c r="FK3166" s="501"/>
      <c r="FL3166" s="501"/>
      <c r="FM3166" s="501"/>
      <c r="FN3166" s="501"/>
      <c r="FO3166" s="501"/>
      <c r="FP3166" s="501"/>
      <c r="FQ3166" s="501"/>
      <c r="FR3166" s="501"/>
      <c r="FS3166" s="501"/>
      <c r="FT3166" s="501"/>
      <c r="FU3166" s="501"/>
      <c r="FV3166" s="501"/>
      <c r="FW3166" s="501"/>
      <c r="FX3166" s="501"/>
      <c r="FY3166" s="501"/>
      <c r="FZ3166" s="501"/>
      <c r="GA3166" s="501"/>
      <c r="GB3166" s="501"/>
      <c r="GC3166" s="501"/>
      <c r="GD3166" s="501"/>
      <c r="GE3166" s="501"/>
      <c r="GF3166" s="501"/>
      <c r="GG3166" s="501"/>
      <c r="GH3166" s="501"/>
      <c r="GI3166" s="501"/>
      <c r="GJ3166" s="501"/>
      <c r="GK3166" s="501"/>
      <c r="GL3166" s="501"/>
      <c r="GM3166" s="501"/>
      <c r="GN3166" s="501"/>
      <c r="GO3166" s="501"/>
      <c r="GP3166" s="501"/>
      <c r="GQ3166" s="501"/>
      <c r="GR3166" s="501"/>
      <c r="GS3166" s="501"/>
      <c r="GT3166" s="501"/>
      <c r="GU3166" s="501"/>
      <c r="GV3166" s="501"/>
      <c r="GW3166" s="501"/>
      <c r="GX3166" s="501"/>
      <c r="GY3166" s="501"/>
      <c r="GZ3166" s="501"/>
      <c r="HA3166" s="501"/>
      <c r="HB3166" s="501"/>
      <c r="HC3166" s="501"/>
      <c r="HD3166" s="501"/>
      <c r="HE3166" s="501"/>
      <c r="HF3166" s="501"/>
      <c r="HG3166" s="501"/>
      <c r="HH3166" s="501"/>
      <c r="HI3166" s="501"/>
      <c r="HJ3166" s="501"/>
      <c r="HK3166" s="501"/>
      <c r="HL3166" s="501"/>
      <c r="HM3166" s="501"/>
      <c r="HN3166" s="501"/>
      <c r="HO3166" s="501"/>
      <c r="HP3166" s="501"/>
      <c r="HQ3166" s="501"/>
      <c r="HR3166" s="501"/>
      <c r="HS3166" s="501"/>
      <c r="HT3166" s="501"/>
      <c r="HU3166" s="501"/>
      <c r="HV3166" s="501"/>
      <c r="HW3166" s="501"/>
      <c r="HX3166" s="501"/>
      <c r="HY3166" s="501"/>
      <c r="HZ3166" s="501"/>
      <c r="IA3166" s="501"/>
      <c r="IB3166" s="501"/>
      <c r="IC3166" s="501"/>
      <c r="ID3166" s="501"/>
      <c r="IE3166" s="501"/>
      <c r="IF3166" s="501"/>
      <c r="IG3166" s="501"/>
      <c r="IH3166" s="501"/>
      <c r="II3166" s="501"/>
      <c r="IJ3166" s="501"/>
      <c r="IK3166" s="501"/>
      <c r="IL3166" s="501"/>
      <c r="IM3166" s="501"/>
      <c r="IN3166" s="501"/>
      <c r="IO3166" s="501"/>
      <c r="IP3166" s="501"/>
      <c r="IQ3166" s="501"/>
      <c r="IR3166" s="501"/>
      <c r="IS3166" s="501"/>
      <c r="IT3166" s="501"/>
      <c r="IU3166" s="501"/>
    </row>
    <row r="3167" spans="1:255" s="877" customFormat="1" ht="24" customHeight="1">
      <c r="A3167" s="501"/>
      <c r="B3167" s="501"/>
      <c r="C3167" s="501"/>
      <c r="D3167" s="501"/>
      <c r="E3167" s="501"/>
      <c r="F3167" s="501"/>
      <c r="G3167" s="915"/>
      <c r="H3167" s="501"/>
      <c r="I3167" s="874"/>
      <c r="J3167" s="876"/>
      <c r="K3167" s="554"/>
      <c r="L3167" s="878"/>
      <c r="M3167" s="554"/>
      <c r="N3167" s="501"/>
      <c r="O3167" s="1097"/>
      <c r="P3167" s="1151"/>
      <c r="Q3167" s="1106"/>
      <c r="R3167" s="1097"/>
      <c r="S3167" s="1101"/>
      <c r="T3167" s="1097"/>
      <c r="V3167" s="901"/>
      <c r="W3167" s="876"/>
      <c r="X3167" s="545"/>
      <c r="Y3167" s="876"/>
      <c r="Z3167" s="545"/>
      <c r="AA3167" s="501"/>
      <c r="AB3167" s="501"/>
      <c r="AC3167" s="501"/>
      <c r="AD3167" s="501"/>
      <c r="AE3167" s="501"/>
      <c r="AF3167" s="501"/>
      <c r="AG3167" s="501"/>
      <c r="AH3167" s="501"/>
      <c r="AI3167" s="501"/>
      <c r="AJ3167" s="501"/>
      <c r="AK3167" s="501"/>
      <c r="AL3167" s="501"/>
      <c r="AM3167" s="501"/>
      <c r="AN3167" s="501"/>
      <c r="AO3167" s="501"/>
      <c r="AP3167" s="501"/>
      <c r="AQ3167" s="501"/>
      <c r="AR3167" s="501"/>
      <c r="AS3167" s="501"/>
      <c r="AT3167" s="501"/>
      <c r="AU3167" s="501"/>
      <c r="AV3167" s="501"/>
      <c r="AW3167" s="501"/>
      <c r="AX3167" s="501"/>
      <c r="AY3167" s="501"/>
      <c r="AZ3167" s="501"/>
      <c r="BA3167" s="501"/>
      <c r="BB3167" s="501"/>
      <c r="BC3167" s="501"/>
      <c r="BD3167" s="501"/>
      <c r="BE3167" s="501"/>
      <c r="BF3167" s="501"/>
      <c r="BG3167" s="501"/>
      <c r="BH3167" s="501"/>
      <c r="BI3167" s="501"/>
      <c r="BJ3167" s="501"/>
      <c r="BK3167" s="501"/>
      <c r="BL3167" s="501"/>
      <c r="BM3167" s="501"/>
      <c r="BN3167" s="501"/>
      <c r="BO3167" s="501"/>
      <c r="BP3167" s="501"/>
      <c r="BQ3167" s="501"/>
      <c r="BR3167" s="501"/>
      <c r="BS3167" s="501"/>
      <c r="BT3167" s="501"/>
      <c r="BU3167" s="501"/>
      <c r="BV3167" s="501"/>
      <c r="BW3167" s="501"/>
      <c r="BX3167" s="501"/>
      <c r="BY3167" s="501"/>
      <c r="BZ3167" s="501"/>
      <c r="CA3167" s="501"/>
      <c r="CB3167" s="501"/>
      <c r="CC3167" s="501"/>
      <c r="CD3167" s="501"/>
      <c r="CE3167" s="501"/>
      <c r="CF3167" s="501"/>
      <c r="CG3167" s="501"/>
      <c r="CH3167" s="501"/>
      <c r="CI3167" s="501"/>
      <c r="CJ3167" s="501"/>
      <c r="CK3167" s="501"/>
      <c r="CL3167" s="501"/>
      <c r="CM3167" s="501"/>
      <c r="CN3167" s="501"/>
      <c r="CO3167" s="501"/>
      <c r="CP3167" s="501"/>
      <c r="CQ3167" s="501"/>
      <c r="CR3167" s="501"/>
      <c r="CS3167" s="501"/>
      <c r="CT3167" s="501"/>
      <c r="CU3167" s="501"/>
      <c r="CV3167" s="501"/>
      <c r="CW3167" s="501"/>
      <c r="CX3167" s="501"/>
      <c r="CY3167" s="501"/>
      <c r="CZ3167" s="501"/>
      <c r="DA3167" s="501"/>
      <c r="DB3167" s="501"/>
      <c r="DC3167" s="501"/>
      <c r="DD3167" s="501"/>
      <c r="DE3167" s="501"/>
      <c r="DF3167" s="501"/>
      <c r="DG3167" s="501"/>
      <c r="DH3167" s="501"/>
      <c r="DI3167" s="501"/>
      <c r="DJ3167" s="501"/>
      <c r="DK3167" s="501"/>
      <c r="DL3167" s="501"/>
      <c r="DM3167" s="501"/>
      <c r="DN3167" s="501"/>
      <c r="DO3167" s="501"/>
      <c r="DP3167" s="501"/>
      <c r="DQ3167" s="501"/>
      <c r="DR3167" s="501"/>
      <c r="DS3167" s="501"/>
      <c r="DT3167" s="501"/>
      <c r="DU3167" s="501"/>
      <c r="DV3167" s="501"/>
      <c r="DW3167" s="501"/>
      <c r="DX3167" s="501"/>
      <c r="DY3167" s="501"/>
      <c r="DZ3167" s="501"/>
      <c r="EA3167" s="501"/>
      <c r="EB3167" s="501"/>
      <c r="EC3167" s="501"/>
      <c r="ED3167" s="501"/>
      <c r="EE3167" s="501"/>
      <c r="EF3167" s="501"/>
      <c r="EG3167" s="501"/>
      <c r="EH3167" s="501"/>
      <c r="EI3167" s="501"/>
      <c r="EJ3167" s="501"/>
      <c r="EK3167" s="501"/>
      <c r="EL3167" s="501"/>
      <c r="EM3167" s="501"/>
      <c r="EN3167" s="501"/>
      <c r="EO3167" s="501"/>
      <c r="EP3167" s="501"/>
      <c r="EQ3167" s="501"/>
      <c r="ER3167" s="501"/>
      <c r="ES3167" s="501"/>
      <c r="ET3167" s="501"/>
      <c r="EU3167" s="501"/>
      <c r="EV3167" s="501"/>
      <c r="EW3167" s="501"/>
      <c r="EX3167" s="501"/>
      <c r="EY3167" s="501"/>
      <c r="EZ3167" s="501"/>
      <c r="FA3167" s="501"/>
      <c r="FB3167" s="501"/>
      <c r="FC3167" s="501"/>
      <c r="FD3167" s="501"/>
      <c r="FE3167" s="501"/>
      <c r="FF3167" s="501"/>
      <c r="FG3167" s="501"/>
      <c r="FH3167" s="501"/>
      <c r="FI3167" s="501"/>
      <c r="FJ3167" s="501"/>
      <c r="FK3167" s="501"/>
      <c r="FL3167" s="501"/>
      <c r="FM3167" s="501"/>
      <c r="FN3167" s="501"/>
      <c r="FO3167" s="501"/>
      <c r="FP3167" s="501"/>
      <c r="FQ3167" s="501"/>
      <c r="FR3167" s="501"/>
      <c r="FS3167" s="501"/>
      <c r="FT3167" s="501"/>
      <c r="FU3167" s="501"/>
      <c r="FV3167" s="501"/>
      <c r="FW3167" s="501"/>
      <c r="FX3167" s="501"/>
      <c r="FY3167" s="501"/>
      <c r="FZ3167" s="501"/>
      <c r="GA3167" s="501"/>
      <c r="GB3167" s="501"/>
      <c r="GC3167" s="501"/>
      <c r="GD3167" s="501"/>
      <c r="GE3167" s="501"/>
      <c r="GF3167" s="501"/>
      <c r="GG3167" s="501"/>
      <c r="GH3167" s="501"/>
      <c r="GI3167" s="501"/>
      <c r="GJ3167" s="501"/>
      <c r="GK3167" s="501"/>
      <c r="GL3167" s="501"/>
      <c r="GM3167" s="501"/>
      <c r="GN3167" s="501"/>
      <c r="GO3167" s="501"/>
      <c r="GP3167" s="501"/>
      <c r="GQ3167" s="501"/>
      <c r="GR3167" s="501"/>
      <c r="GS3167" s="501"/>
      <c r="GT3167" s="501"/>
      <c r="GU3167" s="501"/>
      <c r="GV3167" s="501"/>
      <c r="GW3167" s="501"/>
      <c r="GX3167" s="501"/>
      <c r="GY3167" s="501"/>
      <c r="GZ3167" s="501"/>
      <c r="HA3167" s="501"/>
      <c r="HB3167" s="501"/>
      <c r="HC3167" s="501"/>
      <c r="HD3167" s="501"/>
      <c r="HE3167" s="501"/>
      <c r="HF3167" s="501"/>
      <c r="HG3167" s="501"/>
      <c r="HH3167" s="501"/>
      <c r="HI3167" s="501"/>
      <c r="HJ3167" s="501"/>
      <c r="HK3167" s="501"/>
      <c r="HL3167" s="501"/>
      <c r="HM3167" s="501"/>
      <c r="HN3167" s="501"/>
      <c r="HO3167" s="501"/>
      <c r="HP3167" s="501"/>
      <c r="HQ3167" s="501"/>
      <c r="HR3167" s="501"/>
      <c r="HS3167" s="501"/>
      <c r="HT3167" s="501"/>
      <c r="HU3167" s="501"/>
      <c r="HV3167" s="501"/>
      <c r="HW3167" s="501"/>
      <c r="HX3167" s="501"/>
      <c r="HY3167" s="501"/>
      <c r="HZ3167" s="501"/>
      <c r="IA3167" s="501"/>
      <c r="IB3167" s="501"/>
      <c r="IC3167" s="501"/>
      <c r="ID3167" s="501"/>
      <c r="IE3167" s="501"/>
      <c r="IF3167" s="501"/>
      <c r="IG3167" s="501"/>
      <c r="IH3167" s="501"/>
      <c r="II3167" s="501"/>
      <c r="IJ3167" s="501"/>
      <c r="IK3167" s="501"/>
      <c r="IL3167" s="501"/>
      <c r="IM3167" s="501"/>
      <c r="IN3167" s="501"/>
      <c r="IO3167" s="501"/>
      <c r="IP3167" s="501"/>
      <c r="IQ3167" s="501"/>
      <c r="IR3167" s="501"/>
      <c r="IS3167" s="501"/>
      <c r="IT3167" s="501"/>
      <c r="IU3167" s="501"/>
    </row>
    <row r="3168" spans="1:255" s="877" customFormat="1" ht="24" customHeight="1">
      <c r="A3168" s="501"/>
      <c r="B3168" s="501"/>
      <c r="C3168" s="501"/>
      <c r="D3168" s="501"/>
      <c r="E3168" s="501"/>
      <c r="F3168" s="501"/>
      <c r="G3168" s="915"/>
      <c r="H3168" s="501"/>
      <c r="I3168" s="874"/>
      <c r="J3168" s="501"/>
      <c r="K3168" s="501"/>
      <c r="L3168" s="878"/>
      <c r="M3168" s="554"/>
      <c r="N3168" s="501"/>
      <c r="O3168" s="1097"/>
      <c r="P3168" s="1151"/>
      <c r="Q3168" s="973"/>
      <c r="R3168" s="1102"/>
      <c r="S3168" s="1185"/>
      <c r="T3168" s="1097"/>
      <c r="V3168" s="901"/>
      <c r="W3168" s="876"/>
      <c r="X3168" s="545"/>
      <c r="Y3168" s="876"/>
      <c r="Z3168" s="545"/>
      <c r="AA3168" s="501"/>
      <c r="AB3168" s="501"/>
      <c r="AC3168" s="501"/>
      <c r="AD3168" s="501"/>
      <c r="AE3168" s="501"/>
      <c r="AF3168" s="501"/>
      <c r="AG3168" s="501"/>
      <c r="AH3168" s="501"/>
      <c r="AI3168" s="501"/>
      <c r="AJ3168" s="501"/>
      <c r="AK3168" s="501"/>
      <c r="AL3168" s="501"/>
      <c r="AM3168" s="501"/>
      <c r="AN3168" s="501"/>
      <c r="AO3168" s="501"/>
      <c r="AP3168" s="501"/>
      <c r="AQ3168" s="501"/>
      <c r="AR3168" s="501"/>
      <c r="AS3168" s="501"/>
      <c r="AT3168" s="501"/>
      <c r="AU3168" s="501"/>
      <c r="AV3168" s="501"/>
      <c r="AW3168" s="501"/>
      <c r="AX3168" s="501"/>
      <c r="AY3168" s="501"/>
      <c r="AZ3168" s="501"/>
      <c r="BA3168" s="501"/>
      <c r="BB3168" s="501"/>
      <c r="BC3168" s="501"/>
      <c r="BD3168" s="501"/>
      <c r="BE3168" s="501"/>
      <c r="BF3168" s="501"/>
      <c r="BG3168" s="501"/>
      <c r="BH3168" s="501"/>
      <c r="BI3168" s="501"/>
      <c r="BJ3168" s="501"/>
      <c r="BK3168" s="501"/>
      <c r="BL3168" s="501"/>
      <c r="BM3168" s="501"/>
      <c r="BN3168" s="501"/>
      <c r="BO3168" s="501"/>
      <c r="BP3168" s="501"/>
      <c r="BQ3168" s="501"/>
      <c r="BR3168" s="501"/>
      <c r="BS3168" s="501"/>
      <c r="BT3168" s="501"/>
      <c r="BU3168" s="501"/>
      <c r="BV3168" s="501"/>
      <c r="BW3168" s="501"/>
      <c r="BX3168" s="501"/>
      <c r="BY3168" s="501"/>
      <c r="BZ3168" s="501"/>
      <c r="CA3168" s="501"/>
      <c r="CB3168" s="501"/>
      <c r="CC3168" s="501"/>
      <c r="CD3168" s="501"/>
      <c r="CE3168" s="501"/>
      <c r="CF3168" s="501"/>
      <c r="CG3168" s="501"/>
      <c r="CH3168" s="501"/>
      <c r="CI3168" s="501"/>
      <c r="CJ3168" s="501"/>
      <c r="CK3168" s="501"/>
      <c r="CL3168" s="501"/>
      <c r="CM3168" s="501"/>
      <c r="CN3168" s="501"/>
      <c r="CO3168" s="501"/>
      <c r="CP3168" s="501"/>
      <c r="CQ3168" s="501"/>
      <c r="CR3168" s="501"/>
      <c r="CS3168" s="501"/>
      <c r="CT3168" s="501"/>
      <c r="CU3168" s="501"/>
      <c r="CV3168" s="501"/>
      <c r="CW3168" s="501"/>
      <c r="CX3168" s="501"/>
      <c r="CY3168" s="501"/>
      <c r="CZ3168" s="501"/>
      <c r="DA3168" s="501"/>
      <c r="DB3168" s="501"/>
      <c r="DC3168" s="501"/>
      <c r="DD3168" s="501"/>
      <c r="DE3168" s="501"/>
      <c r="DF3168" s="501"/>
      <c r="DG3168" s="501"/>
      <c r="DH3168" s="501"/>
      <c r="DI3168" s="501"/>
      <c r="DJ3168" s="501"/>
      <c r="DK3168" s="501"/>
      <c r="DL3168" s="501"/>
      <c r="DM3168" s="501"/>
      <c r="DN3168" s="501"/>
      <c r="DO3168" s="501"/>
      <c r="DP3168" s="501"/>
      <c r="DQ3168" s="501"/>
      <c r="DR3168" s="501"/>
      <c r="DS3168" s="501"/>
      <c r="DT3168" s="501"/>
      <c r="DU3168" s="501"/>
      <c r="DV3168" s="501"/>
      <c r="DW3168" s="501"/>
      <c r="DX3168" s="501"/>
      <c r="DY3168" s="501"/>
      <c r="DZ3168" s="501"/>
      <c r="EA3168" s="501"/>
      <c r="EB3168" s="501"/>
      <c r="EC3168" s="501"/>
      <c r="ED3168" s="501"/>
      <c r="EE3168" s="501"/>
      <c r="EF3168" s="501"/>
      <c r="EG3168" s="501"/>
      <c r="EH3168" s="501"/>
      <c r="EI3168" s="501"/>
      <c r="EJ3168" s="501"/>
      <c r="EK3168" s="501"/>
      <c r="EL3168" s="501"/>
      <c r="EM3168" s="501"/>
      <c r="EN3168" s="501"/>
      <c r="EO3168" s="501"/>
      <c r="EP3168" s="501"/>
      <c r="EQ3168" s="501"/>
      <c r="ER3168" s="501"/>
      <c r="ES3168" s="501"/>
      <c r="ET3168" s="501"/>
      <c r="EU3168" s="501"/>
      <c r="EV3168" s="501"/>
      <c r="EW3168" s="501"/>
      <c r="EX3168" s="501"/>
      <c r="EY3168" s="501"/>
      <c r="EZ3168" s="501"/>
      <c r="FA3168" s="501"/>
      <c r="FB3168" s="501"/>
      <c r="FC3168" s="501"/>
      <c r="FD3168" s="501"/>
      <c r="FE3168" s="501"/>
      <c r="FF3168" s="501"/>
      <c r="FG3168" s="501"/>
      <c r="FH3168" s="501"/>
      <c r="FI3168" s="501"/>
      <c r="FJ3168" s="501"/>
      <c r="FK3168" s="501"/>
      <c r="FL3168" s="501"/>
      <c r="FM3168" s="501"/>
      <c r="FN3168" s="501"/>
      <c r="FO3168" s="501"/>
      <c r="FP3168" s="501"/>
      <c r="FQ3168" s="501"/>
      <c r="FR3168" s="501"/>
      <c r="FS3168" s="501"/>
      <c r="FT3168" s="501"/>
      <c r="FU3168" s="501"/>
      <c r="FV3168" s="501"/>
      <c r="FW3168" s="501"/>
      <c r="FX3168" s="501"/>
      <c r="FY3168" s="501"/>
      <c r="FZ3168" s="501"/>
      <c r="GA3168" s="501"/>
      <c r="GB3168" s="501"/>
      <c r="GC3168" s="501"/>
      <c r="GD3168" s="501"/>
      <c r="GE3168" s="501"/>
      <c r="GF3168" s="501"/>
      <c r="GG3168" s="501"/>
      <c r="GH3168" s="501"/>
      <c r="GI3168" s="501"/>
      <c r="GJ3168" s="501"/>
      <c r="GK3168" s="501"/>
      <c r="GL3168" s="501"/>
      <c r="GM3168" s="501"/>
      <c r="GN3168" s="501"/>
      <c r="GO3168" s="501"/>
      <c r="GP3168" s="501"/>
      <c r="GQ3168" s="501"/>
      <c r="GR3168" s="501"/>
      <c r="GS3168" s="501"/>
      <c r="GT3168" s="501"/>
      <c r="GU3168" s="501"/>
      <c r="GV3168" s="501"/>
      <c r="GW3168" s="501"/>
      <c r="GX3168" s="501"/>
      <c r="GY3168" s="501"/>
      <c r="GZ3168" s="501"/>
      <c r="HA3168" s="501"/>
      <c r="HB3168" s="501"/>
      <c r="HC3168" s="501"/>
      <c r="HD3168" s="501"/>
      <c r="HE3168" s="501"/>
      <c r="HF3168" s="501"/>
      <c r="HG3168" s="501"/>
      <c r="HH3168" s="501"/>
      <c r="HI3168" s="501"/>
      <c r="HJ3168" s="501"/>
      <c r="HK3168" s="501"/>
      <c r="HL3168" s="501"/>
      <c r="HM3168" s="501"/>
      <c r="HN3168" s="501"/>
      <c r="HO3168" s="501"/>
      <c r="HP3168" s="501"/>
      <c r="HQ3168" s="501"/>
      <c r="HR3168" s="501"/>
      <c r="HS3168" s="501"/>
      <c r="HT3168" s="501"/>
      <c r="HU3168" s="501"/>
      <c r="HV3168" s="501"/>
      <c r="HW3168" s="501"/>
      <c r="HX3168" s="501"/>
      <c r="HY3168" s="501"/>
      <c r="HZ3168" s="501"/>
      <c r="IA3168" s="501"/>
      <c r="IB3168" s="501"/>
      <c r="IC3168" s="501"/>
      <c r="ID3168" s="501"/>
      <c r="IE3168" s="501"/>
      <c r="IF3168" s="501"/>
      <c r="IG3168" s="501"/>
      <c r="IH3168" s="501"/>
      <c r="II3168" s="501"/>
      <c r="IJ3168" s="501"/>
      <c r="IK3168" s="501"/>
      <c r="IL3168" s="501"/>
      <c r="IM3168" s="501"/>
      <c r="IN3168" s="501"/>
      <c r="IO3168" s="501"/>
      <c r="IP3168" s="501"/>
      <c r="IQ3168" s="501"/>
      <c r="IR3168" s="501"/>
      <c r="IS3168" s="501"/>
      <c r="IT3168" s="501"/>
      <c r="IU3168" s="501"/>
    </row>
    <row r="3169" spans="1:255" s="877" customFormat="1" ht="24" customHeight="1">
      <c r="A3169" s="501"/>
      <c r="B3169" s="501"/>
      <c r="C3169" s="501"/>
      <c r="D3169" s="501"/>
      <c r="E3169" s="501"/>
      <c r="F3169" s="501"/>
      <c r="G3169" s="915"/>
      <c r="H3169" s="501"/>
      <c r="I3169" s="874"/>
      <c r="J3169" s="501"/>
      <c r="K3169" s="501"/>
      <c r="L3169" s="878"/>
      <c r="M3169" s="554"/>
      <c r="N3169" s="501"/>
      <c r="O3169" s="1097"/>
      <c r="P3169" s="1151"/>
      <c r="Q3169" s="973"/>
      <c r="R3169" s="1102"/>
      <c r="S3169" s="1185"/>
      <c r="T3169" s="1097"/>
      <c r="V3169" s="901"/>
      <c r="W3169" s="876"/>
      <c r="X3169" s="545"/>
      <c r="Y3169" s="876"/>
      <c r="Z3169" s="545"/>
      <c r="AA3169" s="501"/>
      <c r="AB3169" s="501"/>
      <c r="AC3169" s="501"/>
      <c r="AD3169" s="501"/>
      <c r="AE3169" s="501"/>
      <c r="AF3169" s="501"/>
      <c r="AG3169" s="501"/>
      <c r="AH3169" s="501"/>
      <c r="AI3169" s="501"/>
      <c r="AJ3169" s="501"/>
      <c r="AK3169" s="501"/>
      <c r="AL3169" s="501"/>
      <c r="AM3169" s="501"/>
      <c r="AN3169" s="501"/>
      <c r="AO3169" s="501"/>
      <c r="AP3169" s="501"/>
      <c r="AQ3169" s="501"/>
      <c r="AR3169" s="501"/>
      <c r="AS3169" s="501"/>
      <c r="AT3169" s="501"/>
      <c r="AU3169" s="501"/>
      <c r="AV3169" s="501"/>
      <c r="AW3169" s="501"/>
      <c r="AX3169" s="501"/>
      <c r="AY3169" s="501"/>
      <c r="AZ3169" s="501"/>
      <c r="BA3169" s="501"/>
      <c r="BB3169" s="501"/>
      <c r="BC3169" s="501"/>
      <c r="BD3169" s="501"/>
      <c r="BE3169" s="501"/>
      <c r="BF3169" s="501"/>
      <c r="BG3169" s="501"/>
      <c r="BH3169" s="501"/>
      <c r="BI3169" s="501"/>
      <c r="BJ3169" s="501"/>
      <c r="BK3169" s="501"/>
      <c r="BL3169" s="501"/>
      <c r="BM3169" s="501"/>
      <c r="BN3169" s="501"/>
      <c r="BO3169" s="501"/>
      <c r="BP3169" s="501"/>
      <c r="BQ3169" s="501"/>
      <c r="BR3169" s="501"/>
      <c r="BS3169" s="501"/>
      <c r="BT3169" s="501"/>
      <c r="BU3169" s="501"/>
      <c r="BV3169" s="501"/>
      <c r="BW3169" s="501"/>
      <c r="BX3169" s="501"/>
      <c r="BY3169" s="501"/>
      <c r="BZ3169" s="501"/>
      <c r="CA3169" s="501"/>
      <c r="CB3169" s="501"/>
      <c r="CC3169" s="501"/>
      <c r="CD3169" s="501"/>
      <c r="CE3169" s="501"/>
      <c r="CF3169" s="501"/>
      <c r="CG3169" s="501"/>
      <c r="CH3169" s="501"/>
      <c r="CI3169" s="501"/>
      <c r="CJ3169" s="501"/>
      <c r="CK3169" s="501"/>
      <c r="CL3169" s="501"/>
      <c r="CM3169" s="501"/>
      <c r="CN3169" s="501"/>
      <c r="CO3169" s="501"/>
      <c r="CP3169" s="501"/>
      <c r="CQ3169" s="501"/>
      <c r="CR3169" s="501"/>
      <c r="CS3169" s="501"/>
      <c r="CT3169" s="501"/>
      <c r="CU3169" s="501"/>
      <c r="CV3169" s="501"/>
      <c r="CW3169" s="501"/>
      <c r="CX3169" s="501"/>
      <c r="CY3169" s="501"/>
      <c r="CZ3169" s="501"/>
      <c r="DA3169" s="501"/>
      <c r="DB3169" s="501"/>
      <c r="DC3169" s="501"/>
      <c r="DD3169" s="501"/>
      <c r="DE3169" s="501"/>
      <c r="DF3169" s="501"/>
      <c r="DG3169" s="501"/>
      <c r="DH3169" s="501"/>
      <c r="DI3169" s="501"/>
      <c r="DJ3169" s="501"/>
      <c r="DK3169" s="501"/>
      <c r="DL3169" s="501"/>
      <c r="DM3169" s="501"/>
      <c r="DN3169" s="501"/>
      <c r="DO3169" s="501"/>
      <c r="DP3169" s="501"/>
      <c r="DQ3169" s="501"/>
      <c r="DR3169" s="501"/>
      <c r="DS3169" s="501"/>
      <c r="DT3169" s="501"/>
      <c r="DU3169" s="501"/>
      <c r="DV3169" s="501"/>
      <c r="DW3169" s="501"/>
      <c r="DX3169" s="501"/>
      <c r="DY3169" s="501"/>
      <c r="DZ3169" s="501"/>
      <c r="EA3169" s="501"/>
      <c r="EB3169" s="501"/>
      <c r="EC3169" s="501"/>
      <c r="ED3169" s="501"/>
      <c r="EE3169" s="501"/>
      <c r="EF3169" s="501"/>
      <c r="EG3169" s="501"/>
      <c r="EH3169" s="501"/>
      <c r="EI3169" s="501"/>
      <c r="EJ3169" s="501"/>
      <c r="EK3169" s="501"/>
      <c r="EL3169" s="501"/>
      <c r="EM3169" s="501"/>
      <c r="EN3169" s="501"/>
      <c r="EO3169" s="501"/>
      <c r="EP3169" s="501"/>
      <c r="EQ3169" s="501"/>
      <c r="ER3169" s="501"/>
      <c r="ES3169" s="501"/>
      <c r="ET3169" s="501"/>
      <c r="EU3169" s="501"/>
      <c r="EV3169" s="501"/>
      <c r="EW3169" s="501"/>
      <c r="EX3169" s="501"/>
      <c r="EY3169" s="501"/>
      <c r="EZ3169" s="501"/>
      <c r="FA3169" s="501"/>
      <c r="FB3169" s="501"/>
      <c r="FC3169" s="501"/>
      <c r="FD3169" s="501"/>
      <c r="FE3169" s="501"/>
      <c r="FF3169" s="501"/>
      <c r="FG3169" s="501"/>
      <c r="FH3169" s="501"/>
      <c r="FI3169" s="501"/>
      <c r="FJ3169" s="501"/>
      <c r="FK3169" s="501"/>
      <c r="FL3169" s="501"/>
      <c r="FM3169" s="501"/>
      <c r="FN3169" s="501"/>
      <c r="FO3169" s="501"/>
      <c r="FP3169" s="501"/>
      <c r="FQ3169" s="501"/>
      <c r="FR3169" s="501"/>
      <c r="FS3169" s="501"/>
      <c r="FT3169" s="501"/>
      <c r="FU3169" s="501"/>
      <c r="FV3169" s="501"/>
      <c r="FW3169" s="501"/>
      <c r="FX3169" s="501"/>
      <c r="FY3169" s="501"/>
      <c r="FZ3169" s="501"/>
      <c r="GA3169" s="501"/>
      <c r="GB3169" s="501"/>
      <c r="GC3169" s="501"/>
      <c r="GD3169" s="501"/>
      <c r="GE3169" s="501"/>
      <c r="GF3169" s="501"/>
      <c r="GG3169" s="501"/>
      <c r="GH3169" s="501"/>
      <c r="GI3169" s="501"/>
      <c r="GJ3169" s="501"/>
      <c r="GK3169" s="501"/>
      <c r="GL3169" s="501"/>
      <c r="GM3169" s="501"/>
      <c r="GN3169" s="501"/>
      <c r="GO3169" s="501"/>
      <c r="GP3169" s="501"/>
      <c r="GQ3169" s="501"/>
      <c r="GR3169" s="501"/>
      <c r="GS3169" s="501"/>
      <c r="GT3169" s="501"/>
      <c r="GU3169" s="501"/>
      <c r="GV3169" s="501"/>
      <c r="GW3169" s="501"/>
      <c r="GX3169" s="501"/>
      <c r="GY3169" s="501"/>
      <c r="GZ3169" s="501"/>
      <c r="HA3169" s="501"/>
      <c r="HB3169" s="501"/>
      <c r="HC3169" s="501"/>
      <c r="HD3169" s="501"/>
      <c r="HE3169" s="501"/>
      <c r="HF3169" s="501"/>
      <c r="HG3169" s="501"/>
      <c r="HH3169" s="501"/>
      <c r="HI3169" s="501"/>
      <c r="HJ3169" s="501"/>
      <c r="HK3169" s="501"/>
      <c r="HL3169" s="501"/>
      <c r="HM3169" s="501"/>
      <c r="HN3169" s="501"/>
      <c r="HO3169" s="501"/>
      <c r="HP3169" s="501"/>
      <c r="HQ3169" s="501"/>
      <c r="HR3169" s="501"/>
      <c r="HS3169" s="501"/>
      <c r="HT3169" s="501"/>
      <c r="HU3169" s="501"/>
      <c r="HV3169" s="501"/>
      <c r="HW3169" s="501"/>
      <c r="HX3169" s="501"/>
      <c r="HY3169" s="501"/>
      <c r="HZ3169" s="501"/>
      <c r="IA3169" s="501"/>
      <c r="IB3169" s="501"/>
      <c r="IC3169" s="501"/>
      <c r="ID3169" s="501"/>
      <c r="IE3169" s="501"/>
      <c r="IF3169" s="501"/>
      <c r="IG3169" s="501"/>
      <c r="IH3169" s="501"/>
      <c r="II3169" s="501"/>
      <c r="IJ3169" s="501"/>
      <c r="IK3169" s="501"/>
      <c r="IL3169" s="501"/>
      <c r="IM3169" s="501"/>
      <c r="IN3169" s="501"/>
      <c r="IO3169" s="501"/>
      <c r="IP3169" s="501"/>
      <c r="IQ3169" s="501"/>
      <c r="IR3169" s="501"/>
      <c r="IS3169" s="501"/>
      <c r="IT3169" s="501"/>
      <c r="IU3169" s="501"/>
    </row>
    <row r="3170" spans="1:255" s="877" customFormat="1" ht="24" customHeight="1">
      <c r="A3170" s="501"/>
      <c r="B3170" s="501"/>
      <c r="C3170" s="501"/>
      <c r="D3170" s="501"/>
      <c r="E3170" s="501"/>
      <c r="F3170" s="501"/>
      <c r="G3170" s="915"/>
      <c r="H3170" s="501"/>
      <c r="I3170" s="874"/>
      <c r="J3170" s="501"/>
      <c r="K3170" s="501"/>
      <c r="L3170" s="501"/>
      <c r="M3170" s="554"/>
      <c r="N3170" s="501"/>
      <c r="O3170" s="1097"/>
      <c r="P3170" s="1151"/>
      <c r="Q3170" s="973"/>
      <c r="R3170" s="1102"/>
      <c r="S3170" s="1186"/>
      <c r="T3170" s="1097"/>
      <c r="V3170" s="901"/>
      <c r="W3170" s="876"/>
      <c r="X3170" s="545"/>
      <c r="Y3170" s="876"/>
      <c r="Z3170" s="881"/>
      <c r="AA3170" s="501"/>
      <c r="AB3170" s="501"/>
      <c r="AC3170" s="501"/>
      <c r="AD3170" s="501"/>
      <c r="AE3170" s="501"/>
      <c r="AF3170" s="501"/>
      <c r="AG3170" s="501"/>
      <c r="AH3170" s="501"/>
      <c r="AI3170" s="501"/>
      <c r="AJ3170" s="501"/>
      <c r="AK3170" s="501"/>
      <c r="AL3170" s="501"/>
      <c r="AM3170" s="501"/>
      <c r="AN3170" s="501"/>
      <c r="AO3170" s="501"/>
      <c r="AP3170" s="501"/>
      <c r="AQ3170" s="501"/>
      <c r="AR3170" s="501"/>
      <c r="AS3170" s="501"/>
      <c r="AT3170" s="501"/>
      <c r="AU3170" s="501"/>
      <c r="AV3170" s="501"/>
      <c r="AW3170" s="501"/>
      <c r="AX3170" s="501"/>
      <c r="AY3170" s="501"/>
      <c r="AZ3170" s="501"/>
      <c r="BA3170" s="501"/>
      <c r="BB3170" s="501"/>
      <c r="BC3170" s="501"/>
      <c r="BD3170" s="501"/>
      <c r="BE3170" s="501"/>
      <c r="BF3170" s="501"/>
      <c r="BG3170" s="501"/>
      <c r="BH3170" s="501"/>
      <c r="BI3170" s="501"/>
      <c r="BJ3170" s="501"/>
      <c r="BK3170" s="501"/>
      <c r="BL3170" s="501"/>
      <c r="BM3170" s="501"/>
      <c r="BN3170" s="501"/>
      <c r="BO3170" s="501"/>
      <c r="BP3170" s="501"/>
      <c r="BQ3170" s="501"/>
      <c r="BR3170" s="501"/>
      <c r="BS3170" s="501"/>
      <c r="BT3170" s="501"/>
      <c r="BU3170" s="501"/>
      <c r="BV3170" s="501"/>
      <c r="BW3170" s="501"/>
      <c r="BX3170" s="501"/>
      <c r="BY3170" s="501"/>
      <c r="BZ3170" s="501"/>
      <c r="CA3170" s="501"/>
      <c r="CB3170" s="501"/>
      <c r="CC3170" s="501"/>
      <c r="CD3170" s="501"/>
      <c r="CE3170" s="501"/>
      <c r="CF3170" s="501"/>
      <c r="CG3170" s="501"/>
      <c r="CH3170" s="501"/>
      <c r="CI3170" s="501"/>
      <c r="CJ3170" s="501"/>
      <c r="CK3170" s="501"/>
      <c r="CL3170" s="501"/>
      <c r="CM3170" s="501"/>
      <c r="CN3170" s="501"/>
      <c r="CO3170" s="501"/>
      <c r="CP3170" s="501"/>
      <c r="CQ3170" s="501"/>
      <c r="CR3170" s="501"/>
      <c r="CS3170" s="501"/>
      <c r="CT3170" s="501"/>
      <c r="CU3170" s="501"/>
      <c r="CV3170" s="501"/>
      <c r="CW3170" s="501"/>
      <c r="CX3170" s="501"/>
      <c r="CY3170" s="501"/>
      <c r="CZ3170" s="501"/>
      <c r="DA3170" s="501"/>
      <c r="DB3170" s="501"/>
      <c r="DC3170" s="501"/>
      <c r="DD3170" s="501"/>
      <c r="DE3170" s="501"/>
      <c r="DF3170" s="501"/>
      <c r="DG3170" s="501"/>
      <c r="DH3170" s="501"/>
      <c r="DI3170" s="501"/>
      <c r="DJ3170" s="501"/>
      <c r="DK3170" s="501"/>
      <c r="DL3170" s="501"/>
      <c r="DM3170" s="501"/>
      <c r="DN3170" s="501"/>
      <c r="DO3170" s="501"/>
      <c r="DP3170" s="501"/>
      <c r="DQ3170" s="501"/>
      <c r="DR3170" s="501"/>
      <c r="DS3170" s="501"/>
      <c r="DT3170" s="501"/>
      <c r="DU3170" s="501"/>
      <c r="DV3170" s="501"/>
      <c r="DW3170" s="501"/>
      <c r="DX3170" s="501"/>
      <c r="DY3170" s="501"/>
      <c r="DZ3170" s="501"/>
      <c r="EA3170" s="501"/>
      <c r="EB3170" s="501"/>
      <c r="EC3170" s="501"/>
      <c r="ED3170" s="501"/>
      <c r="EE3170" s="501"/>
      <c r="EF3170" s="501"/>
      <c r="EG3170" s="501"/>
      <c r="EH3170" s="501"/>
      <c r="EI3170" s="501"/>
      <c r="EJ3170" s="501"/>
      <c r="EK3170" s="501"/>
      <c r="EL3170" s="501"/>
      <c r="EM3170" s="501"/>
      <c r="EN3170" s="501"/>
      <c r="EO3170" s="501"/>
      <c r="EP3170" s="501"/>
      <c r="EQ3170" s="501"/>
      <c r="ER3170" s="501"/>
      <c r="ES3170" s="501"/>
      <c r="ET3170" s="501"/>
      <c r="EU3170" s="501"/>
      <c r="EV3170" s="501"/>
      <c r="EW3170" s="501"/>
      <c r="EX3170" s="501"/>
      <c r="EY3170" s="501"/>
      <c r="EZ3170" s="501"/>
      <c r="FA3170" s="501"/>
      <c r="FB3170" s="501"/>
      <c r="FC3170" s="501"/>
      <c r="FD3170" s="501"/>
      <c r="FE3170" s="501"/>
      <c r="FF3170" s="501"/>
      <c r="FG3170" s="501"/>
      <c r="FH3170" s="501"/>
      <c r="FI3170" s="501"/>
      <c r="FJ3170" s="501"/>
      <c r="FK3170" s="501"/>
      <c r="FL3170" s="501"/>
      <c r="FM3170" s="501"/>
      <c r="FN3170" s="501"/>
      <c r="FO3170" s="501"/>
      <c r="FP3170" s="501"/>
      <c r="FQ3170" s="501"/>
      <c r="FR3170" s="501"/>
      <c r="FS3170" s="501"/>
      <c r="FT3170" s="501"/>
      <c r="FU3170" s="501"/>
      <c r="FV3170" s="501"/>
      <c r="FW3170" s="501"/>
      <c r="FX3170" s="501"/>
      <c r="FY3170" s="501"/>
      <c r="FZ3170" s="501"/>
      <c r="GA3170" s="501"/>
      <c r="GB3170" s="501"/>
      <c r="GC3170" s="501"/>
      <c r="GD3170" s="501"/>
      <c r="GE3170" s="501"/>
      <c r="GF3170" s="501"/>
      <c r="GG3170" s="501"/>
      <c r="GH3170" s="501"/>
      <c r="GI3170" s="501"/>
      <c r="GJ3170" s="501"/>
      <c r="GK3170" s="501"/>
      <c r="GL3170" s="501"/>
      <c r="GM3170" s="501"/>
      <c r="GN3170" s="501"/>
      <c r="GO3170" s="501"/>
      <c r="GP3170" s="501"/>
      <c r="GQ3170" s="501"/>
      <c r="GR3170" s="501"/>
      <c r="GS3170" s="501"/>
      <c r="GT3170" s="501"/>
      <c r="GU3170" s="501"/>
      <c r="GV3170" s="501"/>
      <c r="GW3170" s="501"/>
      <c r="GX3170" s="501"/>
      <c r="GY3170" s="501"/>
      <c r="GZ3170" s="501"/>
      <c r="HA3170" s="501"/>
      <c r="HB3170" s="501"/>
      <c r="HC3170" s="501"/>
      <c r="HD3170" s="501"/>
      <c r="HE3170" s="501"/>
      <c r="HF3170" s="501"/>
      <c r="HG3170" s="501"/>
      <c r="HH3170" s="501"/>
      <c r="HI3170" s="501"/>
      <c r="HJ3170" s="501"/>
      <c r="HK3170" s="501"/>
      <c r="HL3170" s="501"/>
      <c r="HM3170" s="501"/>
      <c r="HN3170" s="501"/>
      <c r="HO3170" s="501"/>
      <c r="HP3170" s="501"/>
      <c r="HQ3170" s="501"/>
      <c r="HR3170" s="501"/>
      <c r="HS3170" s="501"/>
      <c r="HT3170" s="501"/>
      <c r="HU3170" s="501"/>
      <c r="HV3170" s="501"/>
      <c r="HW3170" s="501"/>
      <c r="HX3170" s="501"/>
      <c r="HY3170" s="501"/>
      <c r="HZ3170" s="501"/>
      <c r="IA3170" s="501"/>
      <c r="IB3170" s="501"/>
      <c r="IC3170" s="501"/>
      <c r="ID3170" s="501"/>
      <c r="IE3170" s="501"/>
      <c r="IF3170" s="501"/>
      <c r="IG3170" s="501"/>
      <c r="IH3170" s="501"/>
      <c r="II3170" s="501"/>
      <c r="IJ3170" s="501"/>
      <c r="IK3170" s="501"/>
      <c r="IL3170" s="501"/>
      <c r="IM3170" s="501"/>
      <c r="IN3170" s="501"/>
      <c r="IO3170" s="501"/>
      <c r="IP3170" s="501"/>
      <c r="IQ3170" s="501"/>
      <c r="IR3170" s="501"/>
      <c r="IS3170" s="501"/>
      <c r="IT3170" s="501"/>
      <c r="IU3170" s="501"/>
    </row>
    <row r="3171" spans="1:255" s="877" customFormat="1" ht="24" customHeight="1">
      <c r="A3171" s="501"/>
      <c r="B3171" s="501"/>
      <c r="C3171" s="501"/>
      <c r="D3171" s="501"/>
      <c r="E3171" s="501"/>
      <c r="F3171" s="501"/>
      <c r="G3171" s="915"/>
      <c r="H3171" s="501"/>
      <c r="I3171" s="874"/>
      <c r="J3171" s="501"/>
      <c r="K3171" s="501"/>
      <c r="L3171" s="501"/>
      <c r="M3171" s="554"/>
      <c r="N3171" s="501"/>
      <c r="O3171" s="1097"/>
      <c r="P3171" s="1151"/>
      <c r="Q3171" s="973"/>
      <c r="R3171" s="501"/>
      <c r="S3171" s="554"/>
      <c r="T3171" s="1097"/>
      <c r="V3171" s="902"/>
      <c r="W3171" s="880"/>
      <c r="X3171" s="501"/>
      <c r="Y3171" s="874"/>
      <c r="Z3171" s="545"/>
      <c r="AA3171" s="501"/>
      <c r="AB3171" s="501"/>
      <c r="AC3171" s="501"/>
      <c r="AD3171" s="501"/>
      <c r="AE3171" s="501"/>
      <c r="AF3171" s="501"/>
      <c r="AG3171" s="501"/>
      <c r="AH3171" s="501"/>
      <c r="AI3171" s="501"/>
      <c r="AJ3171" s="501"/>
      <c r="AK3171" s="501"/>
      <c r="AL3171" s="501"/>
      <c r="AM3171" s="501"/>
      <c r="AN3171" s="501"/>
      <c r="AO3171" s="501"/>
      <c r="AP3171" s="501"/>
      <c r="AQ3171" s="501"/>
      <c r="AR3171" s="501"/>
      <c r="AS3171" s="501"/>
      <c r="AT3171" s="501"/>
      <c r="AU3171" s="501"/>
      <c r="AV3171" s="501"/>
      <c r="AW3171" s="501"/>
      <c r="AX3171" s="501"/>
      <c r="AY3171" s="501"/>
      <c r="AZ3171" s="501"/>
      <c r="BA3171" s="501"/>
      <c r="BB3171" s="501"/>
      <c r="BC3171" s="501"/>
      <c r="BD3171" s="501"/>
      <c r="BE3171" s="501"/>
      <c r="BF3171" s="501"/>
      <c r="BG3171" s="501"/>
      <c r="BH3171" s="501"/>
      <c r="BI3171" s="501"/>
      <c r="BJ3171" s="501"/>
      <c r="BK3171" s="501"/>
      <c r="BL3171" s="501"/>
      <c r="BM3171" s="501"/>
      <c r="BN3171" s="501"/>
      <c r="BO3171" s="501"/>
      <c r="BP3171" s="501"/>
      <c r="BQ3171" s="501"/>
      <c r="BR3171" s="501"/>
      <c r="BS3171" s="501"/>
      <c r="BT3171" s="501"/>
      <c r="BU3171" s="501"/>
      <c r="BV3171" s="501"/>
      <c r="BW3171" s="501"/>
      <c r="BX3171" s="501"/>
      <c r="BY3171" s="501"/>
      <c r="BZ3171" s="501"/>
      <c r="CA3171" s="501"/>
      <c r="CB3171" s="501"/>
      <c r="CC3171" s="501"/>
      <c r="CD3171" s="501"/>
      <c r="CE3171" s="501"/>
      <c r="CF3171" s="501"/>
      <c r="CG3171" s="501"/>
      <c r="CH3171" s="501"/>
      <c r="CI3171" s="501"/>
      <c r="CJ3171" s="501"/>
      <c r="CK3171" s="501"/>
      <c r="CL3171" s="501"/>
      <c r="CM3171" s="501"/>
      <c r="CN3171" s="501"/>
      <c r="CO3171" s="501"/>
      <c r="CP3171" s="501"/>
      <c r="CQ3171" s="501"/>
      <c r="CR3171" s="501"/>
      <c r="CS3171" s="501"/>
      <c r="CT3171" s="501"/>
      <c r="CU3171" s="501"/>
      <c r="CV3171" s="501"/>
      <c r="CW3171" s="501"/>
      <c r="CX3171" s="501"/>
      <c r="CY3171" s="501"/>
      <c r="CZ3171" s="501"/>
      <c r="DA3171" s="501"/>
      <c r="DB3171" s="501"/>
      <c r="DC3171" s="501"/>
      <c r="DD3171" s="501"/>
      <c r="DE3171" s="501"/>
      <c r="DF3171" s="501"/>
      <c r="DG3171" s="501"/>
      <c r="DH3171" s="501"/>
      <c r="DI3171" s="501"/>
      <c r="DJ3171" s="501"/>
      <c r="DK3171" s="501"/>
      <c r="DL3171" s="501"/>
      <c r="DM3171" s="501"/>
      <c r="DN3171" s="501"/>
      <c r="DO3171" s="501"/>
      <c r="DP3171" s="501"/>
      <c r="DQ3171" s="501"/>
      <c r="DR3171" s="501"/>
      <c r="DS3171" s="501"/>
      <c r="DT3171" s="501"/>
      <c r="DU3171" s="501"/>
      <c r="DV3171" s="501"/>
      <c r="DW3171" s="501"/>
      <c r="DX3171" s="501"/>
      <c r="DY3171" s="501"/>
      <c r="DZ3171" s="501"/>
      <c r="EA3171" s="501"/>
      <c r="EB3171" s="501"/>
      <c r="EC3171" s="501"/>
      <c r="ED3171" s="501"/>
      <c r="EE3171" s="501"/>
      <c r="EF3171" s="501"/>
      <c r="EG3171" s="501"/>
      <c r="EH3171" s="501"/>
      <c r="EI3171" s="501"/>
      <c r="EJ3171" s="501"/>
      <c r="EK3171" s="501"/>
      <c r="EL3171" s="501"/>
      <c r="EM3171" s="501"/>
      <c r="EN3171" s="501"/>
      <c r="EO3171" s="501"/>
      <c r="EP3171" s="501"/>
      <c r="EQ3171" s="501"/>
      <c r="ER3171" s="501"/>
      <c r="ES3171" s="501"/>
      <c r="ET3171" s="501"/>
      <c r="EU3171" s="501"/>
      <c r="EV3171" s="501"/>
      <c r="EW3171" s="501"/>
      <c r="EX3171" s="501"/>
      <c r="EY3171" s="501"/>
      <c r="EZ3171" s="501"/>
      <c r="FA3171" s="501"/>
      <c r="FB3171" s="501"/>
      <c r="FC3171" s="501"/>
      <c r="FD3171" s="501"/>
      <c r="FE3171" s="501"/>
      <c r="FF3171" s="501"/>
      <c r="FG3171" s="501"/>
      <c r="FH3171" s="501"/>
      <c r="FI3171" s="501"/>
      <c r="FJ3171" s="501"/>
      <c r="FK3171" s="501"/>
      <c r="FL3171" s="501"/>
      <c r="FM3171" s="501"/>
      <c r="FN3171" s="501"/>
      <c r="FO3171" s="501"/>
      <c r="FP3171" s="501"/>
      <c r="FQ3171" s="501"/>
      <c r="FR3171" s="501"/>
      <c r="FS3171" s="501"/>
      <c r="FT3171" s="501"/>
      <c r="FU3171" s="501"/>
      <c r="FV3171" s="501"/>
      <c r="FW3171" s="501"/>
      <c r="FX3171" s="501"/>
      <c r="FY3171" s="501"/>
      <c r="FZ3171" s="501"/>
      <c r="GA3171" s="501"/>
      <c r="GB3171" s="501"/>
      <c r="GC3171" s="501"/>
      <c r="GD3171" s="501"/>
      <c r="GE3171" s="501"/>
      <c r="GF3171" s="501"/>
      <c r="GG3171" s="501"/>
      <c r="GH3171" s="501"/>
      <c r="GI3171" s="501"/>
      <c r="GJ3171" s="501"/>
      <c r="GK3171" s="501"/>
      <c r="GL3171" s="501"/>
      <c r="GM3171" s="501"/>
      <c r="GN3171" s="501"/>
      <c r="GO3171" s="501"/>
      <c r="GP3171" s="501"/>
      <c r="GQ3171" s="501"/>
      <c r="GR3171" s="501"/>
      <c r="GS3171" s="501"/>
      <c r="GT3171" s="501"/>
      <c r="GU3171" s="501"/>
      <c r="GV3171" s="501"/>
      <c r="GW3171" s="501"/>
      <c r="GX3171" s="501"/>
      <c r="GY3171" s="501"/>
      <c r="GZ3171" s="501"/>
      <c r="HA3171" s="501"/>
      <c r="HB3171" s="501"/>
      <c r="HC3171" s="501"/>
      <c r="HD3171" s="501"/>
      <c r="HE3171" s="501"/>
      <c r="HF3171" s="501"/>
      <c r="HG3171" s="501"/>
      <c r="HH3171" s="501"/>
      <c r="HI3171" s="501"/>
      <c r="HJ3171" s="501"/>
      <c r="HK3171" s="501"/>
      <c r="HL3171" s="501"/>
      <c r="HM3171" s="501"/>
      <c r="HN3171" s="501"/>
      <c r="HO3171" s="501"/>
      <c r="HP3171" s="501"/>
      <c r="HQ3171" s="501"/>
      <c r="HR3171" s="501"/>
      <c r="HS3171" s="501"/>
      <c r="HT3171" s="501"/>
      <c r="HU3171" s="501"/>
      <c r="HV3171" s="501"/>
      <c r="HW3171" s="501"/>
      <c r="HX3171" s="501"/>
      <c r="HY3171" s="501"/>
      <c r="HZ3171" s="501"/>
      <c r="IA3171" s="501"/>
      <c r="IB3171" s="501"/>
      <c r="IC3171" s="501"/>
      <c r="ID3171" s="501"/>
      <c r="IE3171" s="501"/>
      <c r="IF3171" s="501"/>
      <c r="IG3171" s="501"/>
      <c r="IH3171" s="501"/>
      <c r="II3171" s="501"/>
      <c r="IJ3171" s="501"/>
      <c r="IK3171" s="501"/>
      <c r="IL3171" s="501"/>
      <c r="IM3171" s="501"/>
      <c r="IN3171" s="501"/>
      <c r="IO3171" s="501"/>
      <c r="IP3171" s="501"/>
      <c r="IQ3171" s="501"/>
      <c r="IR3171" s="501"/>
      <c r="IS3171" s="501"/>
      <c r="IT3171" s="501"/>
      <c r="IU3171" s="501"/>
    </row>
    <row r="3172" spans="1:255" s="877" customFormat="1" ht="24" customHeight="1">
      <c r="A3172" s="501"/>
      <c r="B3172" s="501"/>
      <c r="C3172" s="501"/>
      <c r="D3172" s="501"/>
      <c r="E3172" s="501"/>
      <c r="F3172" s="501"/>
      <c r="G3172" s="915"/>
      <c r="H3172" s="501"/>
      <c r="I3172" s="874"/>
      <c r="J3172" s="501"/>
      <c r="K3172" s="501"/>
      <c r="L3172" s="501"/>
      <c r="M3172" s="554"/>
      <c r="N3172" s="501"/>
      <c r="O3172" s="1097"/>
      <c r="P3172" s="1151"/>
      <c r="Q3172" s="973"/>
      <c r="R3172" s="1102"/>
      <c r="S3172" s="1187"/>
      <c r="T3172" s="1097"/>
      <c r="V3172" s="902"/>
      <c r="W3172" s="501"/>
      <c r="X3172" s="501"/>
      <c r="Y3172" s="874"/>
      <c r="Z3172" s="881"/>
      <c r="AA3172" s="501"/>
      <c r="AB3172" s="501"/>
      <c r="AC3172" s="501"/>
      <c r="AD3172" s="501"/>
      <c r="AE3172" s="501"/>
      <c r="AF3172" s="501"/>
      <c r="AG3172" s="501"/>
      <c r="AH3172" s="501"/>
      <c r="AI3172" s="501"/>
      <c r="AJ3172" s="501"/>
      <c r="AK3172" s="501"/>
      <c r="AL3172" s="501"/>
      <c r="AM3172" s="501"/>
      <c r="AN3172" s="501"/>
      <c r="AO3172" s="501"/>
      <c r="AP3172" s="501"/>
      <c r="AQ3172" s="501"/>
      <c r="AR3172" s="501"/>
      <c r="AS3172" s="501"/>
      <c r="AT3172" s="501"/>
      <c r="AU3172" s="501"/>
      <c r="AV3172" s="501"/>
      <c r="AW3172" s="501"/>
      <c r="AX3172" s="501"/>
      <c r="AY3172" s="501"/>
      <c r="AZ3172" s="501"/>
      <c r="BA3172" s="501"/>
      <c r="BB3172" s="501"/>
      <c r="BC3172" s="501"/>
      <c r="BD3172" s="501"/>
      <c r="BE3172" s="501"/>
      <c r="BF3172" s="501"/>
      <c r="BG3172" s="501"/>
      <c r="BH3172" s="501"/>
      <c r="BI3172" s="501"/>
      <c r="BJ3172" s="501"/>
      <c r="BK3172" s="501"/>
      <c r="BL3172" s="501"/>
      <c r="BM3172" s="501"/>
      <c r="BN3172" s="501"/>
      <c r="BO3172" s="501"/>
      <c r="BP3172" s="501"/>
      <c r="BQ3172" s="501"/>
      <c r="BR3172" s="501"/>
      <c r="BS3172" s="501"/>
      <c r="BT3172" s="501"/>
      <c r="BU3172" s="501"/>
      <c r="BV3172" s="501"/>
      <c r="BW3172" s="501"/>
      <c r="BX3172" s="501"/>
      <c r="BY3172" s="501"/>
      <c r="BZ3172" s="501"/>
      <c r="CA3172" s="501"/>
      <c r="CB3172" s="501"/>
      <c r="CC3172" s="501"/>
      <c r="CD3172" s="501"/>
      <c r="CE3172" s="501"/>
      <c r="CF3172" s="501"/>
      <c r="CG3172" s="501"/>
      <c r="CH3172" s="501"/>
      <c r="CI3172" s="501"/>
      <c r="CJ3172" s="501"/>
      <c r="CK3172" s="501"/>
      <c r="CL3172" s="501"/>
      <c r="CM3172" s="501"/>
      <c r="CN3172" s="501"/>
      <c r="CO3172" s="501"/>
      <c r="CP3172" s="501"/>
      <c r="CQ3172" s="501"/>
      <c r="CR3172" s="501"/>
      <c r="CS3172" s="501"/>
      <c r="CT3172" s="501"/>
      <c r="CU3172" s="501"/>
      <c r="CV3172" s="501"/>
      <c r="CW3172" s="501"/>
      <c r="CX3172" s="501"/>
      <c r="CY3172" s="501"/>
      <c r="CZ3172" s="501"/>
      <c r="DA3172" s="501"/>
      <c r="DB3172" s="501"/>
      <c r="DC3172" s="501"/>
      <c r="DD3172" s="501"/>
      <c r="DE3172" s="501"/>
      <c r="DF3172" s="501"/>
      <c r="DG3172" s="501"/>
      <c r="DH3172" s="501"/>
      <c r="DI3172" s="501"/>
      <c r="DJ3172" s="501"/>
      <c r="DK3172" s="501"/>
      <c r="DL3172" s="501"/>
      <c r="DM3172" s="501"/>
      <c r="DN3172" s="501"/>
      <c r="DO3172" s="501"/>
      <c r="DP3172" s="501"/>
      <c r="DQ3172" s="501"/>
      <c r="DR3172" s="501"/>
      <c r="DS3172" s="501"/>
      <c r="DT3172" s="501"/>
      <c r="DU3172" s="501"/>
      <c r="DV3172" s="501"/>
      <c r="DW3172" s="501"/>
      <c r="DX3172" s="501"/>
      <c r="DY3172" s="501"/>
      <c r="DZ3172" s="501"/>
      <c r="EA3172" s="501"/>
      <c r="EB3172" s="501"/>
      <c r="EC3172" s="501"/>
      <c r="ED3172" s="501"/>
      <c r="EE3172" s="501"/>
      <c r="EF3172" s="501"/>
      <c r="EG3172" s="501"/>
      <c r="EH3172" s="501"/>
      <c r="EI3172" s="501"/>
      <c r="EJ3172" s="501"/>
      <c r="EK3172" s="501"/>
      <c r="EL3172" s="501"/>
      <c r="EM3172" s="501"/>
      <c r="EN3172" s="501"/>
      <c r="EO3172" s="501"/>
      <c r="EP3172" s="501"/>
      <c r="EQ3172" s="501"/>
      <c r="ER3172" s="501"/>
      <c r="ES3172" s="501"/>
      <c r="ET3172" s="501"/>
      <c r="EU3172" s="501"/>
      <c r="EV3172" s="501"/>
      <c r="EW3172" s="501"/>
      <c r="EX3172" s="501"/>
      <c r="EY3172" s="501"/>
      <c r="EZ3172" s="501"/>
      <c r="FA3172" s="501"/>
      <c r="FB3172" s="501"/>
      <c r="FC3172" s="501"/>
      <c r="FD3172" s="501"/>
      <c r="FE3172" s="501"/>
      <c r="FF3172" s="501"/>
      <c r="FG3172" s="501"/>
      <c r="FH3172" s="501"/>
      <c r="FI3172" s="501"/>
      <c r="FJ3172" s="501"/>
      <c r="FK3172" s="501"/>
      <c r="FL3172" s="501"/>
      <c r="FM3172" s="501"/>
      <c r="FN3172" s="501"/>
      <c r="FO3172" s="501"/>
      <c r="FP3172" s="501"/>
      <c r="FQ3172" s="501"/>
      <c r="FR3172" s="501"/>
      <c r="FS3172" s="501"/>
      <c r="FT3172" s="501"/>
      <c r="FU3172" s="501"/>
      <c r="FV3172" s="501"/>
      <c r="FW3172" s="501"/>
      <c r="FX3172" s="501"/>
      <c r="FY3172" s="501"/>
      <c r="FZ3172" s="501"/>
      <c r="GA3172" s="501"/>
      <c r="GB3172" s="501"/>
      <c r="GC3172" s="501"/>
      <c r="GD3172" s="501"/>
      <c r="GE3172" s="501"/>
      <c r="GF3172" s="501"/>
      <c r="GG3172" s="501"/>
      <c r="GH3172" s="501"/>
      <c r="GI3172" s="501"/>
      <c r="GJ3172" s="501"/>
      <c r="GK3172" s="501"/>
      <c r="GL3172" s="501"/>
      <c r="GM3172" s="501"/>
      <c r="GN3172" s="501"/>
      <c r="GO3172" s="501"/>
      <c r="GP3172" s="501"/>
      <c r="GQ3172" s="501"/>
      <c r="GR3172" s="501"/>
      <c r="GS3172" s="501"/>
      <c r="GT3172" s="501"/>
      <c r="GU3172" s="501"/>
      <c r="GV3172" s="501"/>
      <c r="GW3172" s="501"/>
      <c r="GX3172" s="501"/>
      <c r="GY3172" s="501"/>
      <c r="GZ3172" s="501"/>
      <c r="HA3172" s="501"/>
      <c r="HB3172" s="501"/>
      <c r="HC3172" s="501"/>
      <c r="HD3172" s="501"/>
      <c r="HE3172" s="501"/>
      <c r="HF3172" s="501"/>
      <c r="HG3172" s="501"/>
      <c r="HH3172" s="501"/>
      <c r="HI3172" s="501"/>
      <c r="HJ3172" s="501"/>
      <c r="HK3172" s="501"/>
      <c r="HL3172" s="501"/>
      <c r="HM3172" s="501"/>
      <c r="HN3172" s="501"/>
      <c r="HO3172" s="501"/>
      <c r="HP3172" s="501"/>
      <c r="HQ3172" s="501"/>
      <c r="HR3172" s="501"/>
      <c r="HS3172" s="501"/>
      <c r="HT3172" s="501"/>
      <c r="HU3172" s="501"/>
      <c r="HV3172" s="501"/>
      <c r="HW3172" s="501"/>
      <c r="HX3172" s="501"/>
      <c r="HY3172" s="501"/>
      <c r="HZ3172" s="501"/>
      <c r="IA3172" s="501"/>
      <c r="IB3172" s="501"/>
      <c r="IC3172" s="501"/>
      <c r="ID3172" s="501"/>
      <c r="IE3172" s="501"/>
      <c r="IF3172" s="501"/>
      <c r="IG3172" s="501"/>
      <c r="IH3172" s="501"/>
      <c r="II3172" s="501"/>
      <c r="IJ3172" s="501"/>
      <c r="IK3172" s="501"/>
      <c r="IL3172" s="501"/>
      <c r="IM3172" s="501"/>
      <c r="IN3172" s="501"/>
      <c r="IO3172" s="501"/>
      <c r="IP3172" s="501"/>
      <c r="IQ3172" s="501"/>
      <c r="IR3172" s="501"/>
      <c r="IS3172" s="501"/>
      <c r="IT3172" s="501"/>
      <c r="IU3172" s="501"/>
    </row>
    <row r="3173" spans="1:255" s="877" customFormat="1" ht="24" customHeight="1">
      <c r="A3173" s="501"/>
      <c r="B3173" s="501"/>
      <c r="C3173" s="501"/>
      <c r="D3173" s="501"/>
      <c r="E3173" s="501"/>
      <c r="F3173" s="501"/>
      <c r="G3173" s="915"/>
      <c r="H3173" s="501"/>
      <c r="I3173" s="874"/>
      <c r="J3173" s="501"/>
      <c r="K3173" s="501"/>
      <c r="L3173" s="501"/>
      <c r="M3173" s="554"/>
      <c r="N3173" s="501"/>
      <c r="O3173" s="1097"/>
      <c r="P3173" s="1151"/>
      <c r="Q3173" s="973"/>
      <c r="R3173" s="1102"/>
      <c r="S3173" s="1187"/>
      <c r="T3173" s="1157"/>
      <c r="V3173" s="901"/>
      <c r="W3173" s="872"/>
      <c r="X3173" s="501"/>
      <c r="Y3173" s="874"/>
      <c r="Z3173" s="892"/>
      <c r="AA3173" s="501"/>
      <c r="AB3173" s="501"/>
      <c r="AC3173" s="501"/>
      <c r="AD3173" s="501"/>
      <c r="AE3173" s="501"/>
      <c r="AF3173" s="501"/>
      <c r="AG3173" s="501"/>
      <c r="AH3173" s="501"/>
      <c r="AI3173" s="501"/>
      <c r="AJ3173" s="501"/>
      <c r="AK3173" s="501"/>
      <c r="AL3173" s="501"/>
      <c r="AM3173" s="501"/>
      <c r="AN3173" s="501"/>
      <c r="AO3173" s="501"/>
      <c r="AP3173" s="501"/>
      <c r="AQ3173" s="501"/>
      <c r="AR3173" s="501"/>
      <c r="AS3173" s="501"/>
      <c r="AT3173" s="501"/>
      <c r="AU3173" s="501"/>
      <c r="AV3173" s="501"/>
      <c r="AW3173" s="501"/>
      <c r="AX3173" s="501"/>
      <c r="AY3173" s="501"/>
      <c r="AZ3173" s="501"/>
      <c r="BA3173" s="501"/>
      <c r="BB3173" s="501"/>
      <c r="BC3173" s="501"/>
      <c r="BD3173" s="501"/>
      <c r="BE3173" s="501"/>
      <c r="BF3173" s="501"/>
      <c r="BG3173" s="501"/>
      <c r="BH3173" s="501"/>
      <c r="BI3173" s="501"/>
      <c r="BJ3173" s="501"/>
      <c r="BK3173" s="501"/>
      <c r="BL3173" s="501"/>
      <c r="BM3173" s="501"/>
      <c r="BN3173" s="501"/>
      <c r="BO3173" s="501"/>
      <c r="BP3173" s="501"/>
      <c r="BQ3173" s="501"/>
      <c r="BR3173" s="501"/>
      <c r="BS3173" s="501"/>
      <c r="BT3173" s="501"/>
      <c r="BU3173" s="501"/>
      <c r="BV3173" s="501"/>
      <c r="BW3173" s="501"/>
      <c r="BX3173" s="501"/>
      <c r="BY3173" s="501"/>
      <c r="BZ3173" s="501"/>
      <c r="CA3173" s="501"/>
      <c r="CB3173" s="501"/>
      <c r="CC3173" s="501"/>
      <c r="CD3173" s="501"/>
      <c r="CE3173" s="501"/>
      <c r="CF3173" s="501"/>
      <c r="CG3173" s="501"/>
      <c r="CH3173" s="501"/>
      <c r="CI3173" s="501"/>
      <c r="CJ3173" s="501"/>
      <c r="CK3173" s="501"/>
      <c r="CL3173" s="501"/>
      <c r="CM3173" s="501"/>
      <c r="CN3173" s="501"/>
      <c r="CO3173" s="501"/>
      <c r="CP3173" s="501"/>
      <c r="CQ3173" s="501"/>
      <c r="CR3173" s="501"/>
      <c r="CS3173" s="501"/>
      <c r="CT3173" s="501"/>
      <c r="CU3173" s="501"/>
      <c r="CV3173" s="501"/>
      <c r="CW3173" s="501"/>
      <c r="CX3173" s="501"/>
      <c r="CY3173" s="501"/>
      <c r="CZ3173" s="501"/>
      <c r="DA3173" s="501"/>
      <c r="DB3173" s="501"/>
      <c r="DC3173" s="501"/>
      <c r="DD3173" s="501"/>
      <c r="DE3173" s="501"/>
      <c r="DF3173" s="501"/>
      <c r="DG3173" s="501"/>
      <c r="DH3173" s="501"/>
      <c r="DI3173" s="501"/>
      <c r="DJ3173" s="501"/>
      <c r="DK3173" s="501"/>
      <c r="DL3173" s="501"/>
      <c r="DM3173" s="501"/>
      <c r="DN3173" s="501"/>
      <c r="DO3173" s="501"/>
      <c r="DP3173" s="501"/>
      <c r="DQ3173" s="501"/>
      <c r="DR3173" s="501"/>
      <c r="DS3173" s="501"/>
      <c r="DT3173" s="501"/>
      <c r="DU3173" s="501"/>
      <c r="DV3173" s="501"/>
      <c r="DW3173" s="501"/>
      <c r="DX3173" s="501"/>
      <c r="DY3173" s="501"/>
      <c r="DZ3173" s="501"/>
      <c r="EA3173" s="501"/>
      <c r="EB3173" s="501"/>
      <c r="EC3173" s="501"/>
      <c r="ED3173" s="501"/>
      <c r="EE3173" s="501"/>
      <c r="EF3173" s="501"/>
      <c r="EG3173" s="501"/>
      <c r="EH3173" s="501"/>
      <c r="EI3173" s="501"/>
      <c r="EJ3173" s="501"/>
      <c r="EK3173" s="501"/>
      <c r="EL3173" s="501"/>
      <c r="EM3173" s="501"/>
      <c r="EN3173" s="501"/>
      <c r="EO3173" s="501"/>
      <c r="EP3173" s="501"/>
      <c r="EQ3173" s="501"/>
      <c r="ER3173" s="501"/>
      <c r="ES3173" s="501"/>
      <c r="ET3173" s="501"/>
      <c r="EU3173" s="501"/>
      <c r="EV3173" s="501"/>
      <c r="EW3173" s="501"/>
      <c r="EX3173" s="501"/>
      <c r="EY3173" s="501"/>
      <c r="EZ3173" s="501"/>
      <c r="FA3173" s="501"/>
      <c r="FB3173" s="501"/>
      <c r="FC3173" s="501"/>
      <c r="FD3173" s="501"/>
      <c r="FE3173" s="501"/>
      <c r="FF3173" s="501"/>
      <c r="FG3173" s="501"/>
      <c r="FH3173" s="501"/>
      <c r="FI3173" s="501"/>
      <c r="FJ3173" s="501"/>
      <c r="FK3173" s="501"/>
      <c r="FL3173" s="501"/>
      <c r="FM3173" s="501"/>
      <c r="FN3173" s="501"/>
      <c r="FO3173" s="501"/>
      <c r="FP3173" s="501"/>
      <c r="FQ3173" s="501"/>
      <c r="FR3173" s="501"/>
      <c r="FS3173" s="501"/>
      <c r="FT3173" s="501"/>
      <c r="FU3173" s="501"/>
      <c r="FV3173" s="501"/>
      <c r="FW3173" s="501"/>
      <c r="FX3173" s="501"/>
      <c r="FY3173" s="501"/>
      <c r="FZ3173" s="501"/>
      <c r="GA3173" s="501"/>
      <c r="GB3173" s="501"/>
      <c r="GC3173" s="501"/>
      <c r="GD3173" s="501"/>
      <c r="GE3173" s="501"/>
      <c r="GF3173" s="501"/>
      <c r="GG3173" s="501"/>
      <c r="GH3173" s="501"/>
      <c r="GI3173" s="501"/>
      <c r="GJ3173" s="501"/>
      <c r="GK3173" s="501"/>
      <c r="GL3173" s="501"/>
      <c r="GM3173" s="501"/>
      <c r="GN3173" s="501"/>
      <c r="GO3173" s="501"/>
      <c r="GP3173" s="501"/>
      <c r="GQ3173" s="501"/>
      <c r="GR3173" s="501"/>
      <c r="GS3173" s="501"/>
      <c r="GT3173" s="501"/>
      <c r="GU3173" s="501"/>
      <c r="GV3173" s="501"/>
      <c r="GW3173" s="501"/>
      <c r="GX3173" s="501"/>
      <c r="GY3173" s="501"/>
      <c r="GZ3173" s="501"/>
      <c r="HA3173" s="501"/>
      <c r="HB3173" s="501"/>
      <c r="HC3173" s="501"/>
      <c r="HD3173" s="501"/>
      <c r="HE3173" s="501"/>
      <c r="HF3173" s="501"/>
      <c r="HG3173" s="501"/>
      <c r="HH3173" s="501"/>
      <c r="HI3173" s="501"/>
      <c r="HJ3173" s="501"/>
      <c r="HK3173" s="501"/>
      <c r="HL3173" s="501"/>
      <c r="HM3173" s="501"/>
      <c r="HN3173" s="501"/>
      <c r="HO3173" s="501"/>
      <c r="HP3173" s="501"/>
      <c r="HQ3173" s="501"/>
      <c r="HR3173" s="501"/>
      <c r="HS3173" s="501"/>
      <c r="HT3173" s="501"/>
      <c r="HU3173" s="501"/>
      <c r="HV3173" s="501"/>
      <c r="HW3173" s="501"/>
      <c r="HX3173" s="501"/>
      <c r="HY3173" s="501"/>
      <c r="HZ3173" s="501"/>
      <c r="IA3173" s="501"/>
      <c r="IB3173" s="501"/>
      <c r="IC3173" s="501"/>
      <c r="ID3173" s="501"/>
      <c r="IE3173" s="501"/>
      <c r="IF3173" s="501"/>
      <c r="IG3173" s="501"/>
      <c r="IH3173" s="501"/>
      <c r="II3173" s="501"/>
      <c r="IJ3173" s="501"/>
      <c r="IK3173" s="501"/>
      <c r="IL3173" s="501"/>
      <c r="IM3173" s="501"/>
      <c r="IN3173" s="501"/>
      <c r="IO3173" s="501"/>
      <c r="IP3173" s="501"/>
      <c r="IQ3173" s="501"/>
      <c r="IR3173" s="501"/>
      <c r="IS3173" s="501"/>
      <c r="IT3173" s="501"/>
      <c r="IU3173" s="501"/>
    </row>
    <row r="3174" spans="1:255" s="877" customFormat="1" ht="24" customHeight="1">
      <c r="A3174" s="501"/>
      <c r="B3174" s="501"/>
      <c r="C3174" s="501"/>
      <c r="D3174" s="501"/>
      <c r="E3174" s="501"/>
      <c r="F3174" s="501"/>
      <c r="G3174" s="915"/>
      <c r="H3174" s="501"/>
      <c r="I3174" s="874"/>
      <c r="J3174" s="501"/>
      <c r="K3174" s="501"/>
      <c r="L3174" s="501"/>
      <c r="M3174" s="554"/>
      <c r="N3174" s="501"/>
      <c r="O3174" s="1097"/>
      <c r="P3174" s="1151"/>
      <c r="Q3174" s="1097"/>
      <c r="R3174" s="1097"/>
      <c r="S3174" s="1106"/>
      <c r="T3174" s="501"/>
      <c r="V3174" s="902"/>
      <c r="W3174" s="501"/>
      <c r="X3174" s="501"/>
      <c r="Y3174" s="874"/>
      <c r="Z3174" s="881"/>
      <c r="AA3174" s="501"/>
      <c r="AB3174" s="501"/>
      <c r="AC3174" s="501"/>
      <c r="AD3174" s="501"/>
      <c r="AE3174" s="501"/>
      <c r="AF3174" s="501"/>
      <c r="AG3174" s="501"/>
      <c r="AH3174" s="501"/>
      <c r="AI3174" s="501"/>
      <c r="AJ3174" s="501"/>
      <c r="AK3174" s="501"/>
      <c r="AL3174" s="501"/>
      <c r="AM3174" s="501"/>
      <c r="AN3174" s="501"/>
      <c r="AO3174" s="501"/>
      <c r="AP3174" s="501"/>
      <c r="AQ3174" s="501"/>
      <c r="AR3174" s="501"/>
      <c r="AS3174" s="501"/>
      <c r="AT3174" s="501"/>
      <c r="AU3174" s="501"/>
      <c r="AV3174" s="501"/>
      <c r="AW3174" s="501"/>
      <c r="AX3174" s="501"/>
      <c r="AY3174" s="501"/>
      <c r="AZ3174" s="501"/>
      <c r="BA3174" s="501"/>
      <c r="BB3174" s="501"/>
      <c r="BC3174" s="501"/>
      <c r="BD3174" s="501"/>
      <c r="BE3174" s="501"/>
      <c r="BF3174" s="501"/>
      <c r="BG3174" s="501"/>
      <c r="BH3174" s="501"/>
      <c r="BI3174" s="501"/>
      <c r="BJ3174" s="501"/>
      <c r="BK3174" s="501"/>
      <c r="BL3174" s="501"/>
      <c r="BM3174" s="501"/>
      <c r="BN3174" s="501"/>
      <c r="BO3174" s="501"/>
      <c r="BP3174" s="501"/>
      <c r="BQ3174" s="501"/>
      <c r="BR3174" s="501"/>
      <c r="BS3174" s="501"/>
      <c r="BT3174" s="501"/>
      <c r="BU3174" s="501"/>
      <c r="BV3174" s="501"/>
      <c r="BW3174" s="501"/>
      <c r="BX3174" s="501"/>
      <c r="BY3174" s="501"/>
      <c r="BZ3174" s="501"/>
      <c r="CA3174" s="501"/>
      <c r="CB3174" s="501"/>
      <c r="CC3174" s="501"/>
      <c r="CD3174" s="501"/>
      <c r="CE3174" s="501"/>
      <c r="CF3174" s="501"/>
      <c r="CG3174" s="501"/>
      <c r="CH3174" s="501"/>
      <c r="CI3174" s="501"/>
      <c r="CJ3174" s="501"/>
      <c r="CK3174" s="501"/>
      <c r="CL3174" s="501"/>
      <c r="CM3174" s="501"/>
      <c r="CN3174" s="501"/>
      <c r="CO3174" s="501"/>
      <c r="CP3174" s="501"/>
      <c r="CQ3174" s="501"/>
      <c r="CR3174" s="501"/>
      <c r="CS3174" s="501"/>
      <c r="CT3174" s="501"/>
      <c r="CU3174" s="501"/>
      <c r="CV3174" s="501"/>
      <c r="CW3174" s="501"/>
      <c r="CX3174" s="501"/>
      <c r="CY3174" s="501"/>
      <c r="CZ3174" s="501"/>
      <c r="DA3174" s="501"/>
      <c r="DB3174" s="501"/>
      <c r="DC3174" s="501"/>
      <c r="DD3174" s="501"/>
      <c r="DE3174" s="501"/>
      <c r="DF3174" s="501"/>
      <c r="DG3174" s="501"/>
      <c r="DH3174" s="501"/>
      <c r="DI3174" s="501"/>
      <c r="DJ3174" s="501"/>
      <c r="DK3174" s="501"/>
      <c r="DL3174" s="501"/>
      <c r="DM3174" s="501"/>
      <c r="DN3174" s="501"/>
      <c r="DO3174" s="501"/>
      <c r="DP3174" s="501"/>
      <c r="DQ3174" s="501"/>
      <c r="DR3174" s="501"/>
      <c r="DS3174" s="501"/>
      <c r="DT3174" s="501"/>
      <c r="DU3174" s="501"/>
      <c r="DV3174" s="501"/>
      <c r="DW3174" s="501"/>
      <c r="DX3174" s="501"/>
      <c r="DY3174" s="501"/>
      <c r="DZ3174" s="501"/>
      <c r="EA3174" s="501"/>
      <c r="EB3174" s="501"/>
      <c r="EC3174" s="501"/>
      <c r="ED3174" s="501"/>
      <c r="EE3174" s="501"/>
      <c r="EF3174" s="501"/>
      <c r="EG3174" s="501"/>
      <c r="EH3174" s="501"/>
      <c r="EI3174" s="501"/>
      <c r="EJ3174" s="501"/>
      <c r="EK3174" s="501"/>
      <c r="EL3174" s="501"/>
      <c r="EM3174" s="501"/>
      <c r="EN3174" s="501"/>
      <c r="EO3174" s="501"/>
      <c r="EP3174" s="501"/>
      <c r="EQ3174" s="501"/>
      <c r="ER3174" s="501"/>
      <c r="ES3174" s="501"/>
      <c r="ET3174" s="501"/>
      <c r="EU3174" s="501"/>
      <c r="EV3174" s="501"/>
      <c r="EW3174" s="501"/>
      <c r="EX3174" s="501"/>
      <c r="EY3174" s="501"/>
      <c r="EZ3174" s="501"/>
      <c r="FA3174" s="501"/>
      <c r="FB3174" s="501"/>
      <c r="FC3174" s="501"/>
      <c r="FD3174" s="501"/>
      <c r="FE3174" s="501"/>
      <c r="FF3174" s="501"/>
      <c r="FG3174" s="501"/>
      <c r="FH3174" s="501"/>
      <c r="FI3174" s="501"/>
      <c r="FJ3174" s="501"/>
      <c r="FK3174" s="501"/>
      <c r="FL3174" s="501"/>
      <c r="FM3174" s="501"/>
      <c r="FN3174" s="501"/>
      <c r="FO3174" s="501"/>
      <c r="FP3174" s="501"/>
      <c r="FQ3174" s="501"/>
      <c r="FR3174" s="501"/>
      <c r="FS3174" s="501"/>
      <c r="FT3174" s="501"/>
      <c r="FU3174" s="501"/>
      <c r="FV3174" s="501"/>
      <c r="FW3174" s="501"/>
      <c r="FX3174" s="501"/>
      <c r="FY3174" s="501"/>
      <c r="FZ3174" s="501"/>
      <c r="GA3174" s="501"/>
      <c r="GB3174" s="501"/>
      <c r="GC3174" s="501"/>
      <c r="GD3174" s="501"/>
      <c r="GE3174" s="501"/>
      <c r="GF3174" s="501"/>
      <c r="GG3174" s="501"/>
      <c r="GH3174" s="501"/>
      <c r="GI3174" s="501"/>
      <c r="GJ3174" s="501"/>
      <c r="GK3174" s="501"/>
      <c r="GL3174" s="501"/>
      <c r="GM3174" s="501"/>
      <c r="GN3174" s="501"/>
      <c r="GO3174" s="501"/>
      <c r="GP3174" s="501"/>
      <c r="GQ3174" s="501"/>
      <c r="GR3174" s="501"/>
      <c r="GS3174" s="501"/>
      <c r="GT3174" s="501"/>
      <c r="GU3174" s="501"/>
      <c r="GV3174" s="501"/>
      <c r="GW3174" s="501"/>
      <c r="GX3174" s="501"/>
      <c r="GY3174" s="501"/>
      <c r="GZ3174" s="501"/>
      <c r="HA3174" s="501"/>
      <c r="HB3174" s="501"/>
      <c r="HC3174" s="501"/>
      <c r="HD3174" s="501"/>
      <c r="HE3174" s="501"/>
      <c r="HF3174" s="501"/>
      <c r="HG3174" s="501"/>
      <c r="HH3174" s="501"/>
      <c r="HI3174" s="501"/>
      <c r="HJ3174" s="501"/>
      <c r="HK3174" s="501"/>
      <c r="HL3174" s="501"/>
      <c r="HM3174" s="501"/>
      <c r="HN3174" s="501"/>
      <c r="HO3174" s="501"/>
      <c r="HP3174" s="501"/>
      <c r="HQ3174" s="501"/>
      <c r="HR3174" s="501"/>
      <c r="HS3174" s="501"/>
      <c r="HT3174" s="501"/>
      <c r="HU3174" s="501"/>
      <c r="HV3174" s="501"/>
      <c r="HW3174" s="501"/>
      <c r="HX3174" s="501"/>
      <c r="HY3174" s="501"/>
      <c r="HZ3174" s="501"/>
      <c r="IA3174" s="501"/>
      <c r="IB3174" s="501"/>
      <c r="IC3174" s="501"/>
      <c r="ID3174" s="501"/>
      <c r="IE3174" s="501"/>
      <c r="IF3174" s="501"/>
      <c r="IG3174" s="501"/>
      <c r="IH3174" s="501"/>
      <c r="II3174" s="501"/>
      <c r="IJ3174" s="501"/>
      <c r="IK3174" s="501"/>
      <c r="IL3174" s="501"/>
      <c r="IM3174" s="501"/>
      <c r="IN3174" s="501"/>
      <c r="IO3174" s="501"/>
      <c r="IP3174" s="501"/>
      <c r="IQ3174" s="501"/>
      <c r="IR3174" s="501"/>
      <c r="IS3174" s="501"/>
      <c r="IT3174" s="501"/>
      <c r="IU3174" s="501"/>
    </row>
    <row r="3175" spans="1:255" s="877" customFormat="1" ht="24" customHeight="1">
      <c r="A3175" s="501"/>
      <c r="B3175" s="501"/>
      <c r="C3175" s="501"/>
      <c r="D3175" s="501"/>
      <c r="E3175" s="501"/>
      <c r="F3175" s="501"/>
      <c r="G3175" s="915"/>
      <c r="H3175" s="501"/>
      <c r="I3175" s="874"/>
      <c r="J3175" s="501"/>
      <c r="K3175" s="501"/>
      <c r="L3175" s="902"/>
      <c r="M3175" s="554"/>
      <c r="N3175" s="501"/>
      <c r="O3175" s="1097"/>
      <c r="P3175" s="1151"/>
      <c r="Q3175" s="1097"/>
      <c r="R3175" s="1097"/>
      <c r="S3175" s="1188"/>
      <c r="T3175" s="501"/>
      <c r="V3175" s="501"/>
      <c r="W3175" s="501"/>
      <c r="X3175" s="501"/>
      <c r="Y3175" s="501"/>
      <c r="Z3175" s="501"/>
      <c r="AA3175" s="501"/>
      <c r="AB3175" s="501"/>
      <c r="AC3175" s="501"/>
      <c r="AD3175" s="501"/>
      <c r="AE3175" s="501"/>
      <c r="AF3175" s="501"/>
      <c r="AG3175" s="501"/>
      <c r="AH3175" s="501"/>
      <c r="AI3175" s="501"/>
      <c r="AJ3175" s="501"/>
      <c r="AK3175" s="501"/>
      <c r="AL3175" s="501"/>
      <c r="AM3175" s="501"/>
      <c r="AN3175" s="501"/>
      <c r="AO3175" s="501"/>
      <c r="AP3175" s="501"/>
      <c r="AQ3175" s="501"/>
      <c r="AR3175" s="501"/>
      <c r="AS3175" s="501"/>
      <c r="AT3175" s="501"/>
      <c r="AU3175" s="501"/>
      <c r="AV3175" s="501"/>
      <c r="AW3175" s="501"/>
      <c r="AX3175" s="501"/>
      <c r="AY3175" s="501"/>
      <c r="AZ3175" s="501"/>
      <c r="BA3175" s="501"/>
      <c r="BB3175" s="501"/>
      <c r="BC3175" s="501"/>
      <c r="BD3175" s="501"/>
      <c r="BE3175" s="501"/>
      <c r="BF3175" s="501"/>
      <c r="BG3175" s="501"/>
      <c r="BH3175" s="501"/>
      <c r="BI3175" s="501"/>
      <c r="BJ3175" s="501"/>
      <c r="BK3175" s="501"/>
      <c r="BL3175" s="501"/>
      <c r="BM3175" s="501"/>
      <c r="BN3175" s="501"/>
      <c r="BO3175" s="501"/>
      <c r="BP3175" s="501"/>
      <c r="BQ3175" s="501"/>
      <c r="BR3175" s="501"/>
      <c r="BS3175" s="501"/>
      <c r="BT3175" s="501"/>
      <c r="BU3175" s="501"/>
      <c r="BV3175" s="501"/>
      <c r="BW3175" s="501"/>
      <c r="BX3175" s="501"/>
      <c r="BY3175" s="501"/>
      <c r="BZ3175" s="501"/>
      <c r="CA3175" s="501"/>
      <c r="CB3175" s="501"/>
      <c r="CC3175" s="501"/>
      <c r="CD3175" s="501"/>
      <c r="CE3175" s="501"/>
      <c r="CF3175" s="501"/>
      <c r="CG3175" s="501"/>
      <c r="CH3175" s="501"/>
      <c r="CI3175" s="501"/>
      <c r="CJ3175" s="501"/>
      <c r="CK3175" s="501"/>
      <c r="CL3175" s="501"/>
      <c r="CM3175" s="501"/>
      <c r="CN3175" s="501"/>
      <c r="CO3175" s="501"/>
      <c r="CP3175" s="501"/>
      <c r="CQ3175" s="501"/>
      <c r="CR3175" s="501"/>
      <c r="CS3175" s="501"/>
      <c r="CT3175" s="501"/>
      <c r="CU3175" s="501"/>
      <c r="CV3175" s="501"/>
      <c r="CW3175" s="501"/>
      <c r="CX3175" s="501"/>
      <c r="CY3175" s="501"/>
      <c r="CZ3175" s="501"/>
      <c r="DA3175" s="501"/>
      <c r="DB3175" s="501"/>
      <c r="DC3175" s="501"/>
      <c r="DD3175" s="501"/>
      <c r="DE3175" s="501"/>
      <c r="DF3175" s="501"/>
      <c r="DG3175" s="501"/>
      <c r="DH3175" s="501"/>
      <c r="DI3175" s="501"/>
      <c r="DJ3175" s="501"/>
      <c r="DK3175" s="501"/>
      <c r="DL3175" s="501"/>
      <c r="DM3175" s="501"/>
      <c r="DN3175" s="501"/>
      <c r="DO3175" s="501"/>
      <c r="DP3175" s="501"/>
      <c r="DQ3175" s="501"/>
      <c r="DR3175" s="501"/>
      <c r="DS3175" s="501"/>
      <c r="DT3175" s="501"/>
      <c r="DU3175" s="501"/>
      <c r="DV3175" s="501"/>
      <c r="DW3175" s="501"/>
      <c r="DX3175" s="501"/>
      <c r="DY3175" s="501"/>
      <c r="DZ3175" s="501"/>
      <c r="EA3175" s="501"/>
      <c r="EB3175" s="501"/>
      <c r="EC3175" s="501"/>
      <c r="ED3175" s="501"/>
      <c r="EE3175" s="501"/>
      <c r="EF3175" s="501"/>
      <c r="EG3175" s="501"/>
      <c r="EH3175" s="501"/>
      <c r="EI3175" s="501"/>
      <c r="EJ3175" s="501"/>
      <c r="EK3175" s="501"/>
      <c r="EL3175" s="501"/>
      <c r="EM3175" s="501"/>
      <c r="EN3175" s="501"/>
      <c r="EO3175" s="501"/>
      <c r="EP3175" s="501"/>
      <c r="EQ3175" s="501"/>
      <c r="ER3175" s="501"/>
      <c r="ES3175" s="501"/>
      <c r="ET3175" s="501"/>
      <c r="EU3175" s="501"/>
      <c r="EV3175" s="501"/>
      <c r="EW3175" s="501"/>
      <c r="EX3175" s="501"/>
      <c r="EY3175" s="501"/>
      <c r="EZ3175" s="501"/>
      <c r="FA3175" s="501"/>
      <c r="FB3175" s="501"/>
      <c r="FC3175" s="501"/>
      <c r="FD3175" s="501"/>
      <c r="FE3175" s="501"/>
      <c r="FF3175" s="501"/>
      <c r="FG3175" s="501"/>
      <c r="FH3175" s="501"/>
      <c r="FI3175" s="501"/>
      <c r="FJ3175" s="501"/>
      <c r="FK3175" s="501"/>
      <c r="FL3175" s="501"/>
      <c r="FM3175" s="501"/>
      <c r="FN3175" s="501"/>
      <c r="FO3175" s="501"/>
      <c r="FP3175" s="501"/>
      <c r="FQ3175" s="501"/>
      <c r="FR3175" s="501"/>
      <c r="FS3175" s="501"/>
      <c r="FT3175" s="501"/>
      <c r="FU3175" s="501"/>
      <c r="FV3175" s="501"/>
      <c r="FW3175" s="501"/>
      <c r="FX3175" s="501"/>
      <c r="FY3175" s="501"/>
      <c r="FZ3175" s="501"/>
      <c r="GA3175" s="501"/>
      <c r="GB3175" s="501"/>
      <c r="GC3175" s="501"/>
      <c r="GD3175" s="501"/>
      <c r="GE3175" s="501"/>
      <c r="GF3175" s="501"/>
      <c r="GG3175" s="501"/>
      <c r="GH3175" s="501"/>
      <c r="GI3175" s="501"/>
      <c r="GJ3175" s="501"/>
      <c r="GK3175" s="501"/>
      <c r="GL3175" s="501"/>
      <c r="GM3175" s="501"/>
      <c r="GN3175" s="501"/>
      <c r="GO3175" s="501"/>
      <c r="GP3175" s="501"/>
      <c r="GQ3175" s="501"/>
      <c r="GR3175" s="501"/>
      <c r="GS3175" s="501"/>
      <c r="GT3175" s="501"/>
      <c r="GU3175" s="501"/>
      <c r="GV3175" s="501"/>
      <c r="GW3175" s="501"/>
      <c r="GX3175" s="501"/>
      <c r="GY3175" s="501"/>
      <c r="GZ3175" s="501"/>
      <c r="HA3175" s="501"/>
      <c r="HB3175" s="501"/>
      <c r="HC3175" s="501"/>
      <c r="HD3175" s="501"/>
      <c r="HE3175" s="501"/>
      <c r="HF3175" s="501"/>
      <c r="HG3175" s="501"/>
      <c r="HH3175" s="501"/>
      <c r="HI3175" s="501"/>
      <c r="HJ3175" s="501"/>
      <c r="HK3175" s="501"/>
      <c r="HL3175" s="501"/>
      <c r="HM3175" s="501"/>
      <c r="HN3175" s="501"/>
      <c r="HO3175" s="501"/>
      <c r="HP3175" s="501"/>
      <c r="HQ3175" s="501"/>
      <c r="HR3175" s="501"/>
      <c r="HS3175" s="501"/>
      <c r="HT3175" s="501"/>
      <c r="HU3175" s="501"/>
      <c r="HV3175" s="501"/>
      <c r="HW3175" s="501"/>
      <c r="HX3175" s="501"/>
      <c r="HY3175" s="501"/>
      <c r="HZ3175" s="501"/>
      <c r="IA3175" s="501"/>
      <c r="IB3175" s="501"/>
      <c r="IC3175" s="501"/>
      <c r="ID3175" s="501"/>
      <c r="IE3175" s="501"/>
      <c r="IF3175" s="501"/>
      <c r="IG3175" s="501"/>
      <c r="IH3175" s="501"/>
      <c r="II3175" s="501"/>
      <c r="IJ3175" s="501"/>
      <c r="IK3175" s="501"/>
      <c r="IL3175" s="501"/>
      <c r="IM3175" s="501"/>
      <c r="IN3175" s="501"/>
      <c r="IO3175" s="501"/>
      <c r="IP3175" s="501"/>
      <c r="IQ3175" s="501"/>
      <c r="IR3175" s="501"/>
      <c r="IS3175" s="501"/>
      <c r="IT3175" s="501"/>
      <c r="IU3175" s="501"/>
    </row>
    <row r="3176" spans="1:255" s="877" customFormat="1" ht="24" customHeight="1">
      <c r="A3176" s="501"/>
      <c r="B3176" s="501"/>
      <c r="C3176" s="501"/>
      <c r="D3176" s="501"/>
      <c r="E3176" s="501"/>
      <c r="F3176" s="501"/>
      <c r="G3176" s="915"/>
      <c r="H3176" s="501"/>
      <c r="I3176" s="874"/>
      <c r="J3176" s="501"/>
      <c r="K3176" s="501"/>
      <c r="L3176" s="902"/>
      <c r="M3176" s="554"/>
      <c r="N3176" s="501"/>
      <c r="O3176" s="1097"/>
      <c r="P3176" s="1151"/>
      <c r="Q3176" s="1097"/>
      <c r="R3176" s="1097"/>
      <c r="S3176" s="1106"/>
      <c r="T3176" s="501"/>
      <c r="V3176" s="501"/>
      <c r="W3176" s="501"/>
      <c r="X3176" s="501"/>
      <c r="Y3176" s="501"/>
      <c r="Z3176" s="501"/>
      <c r="AA3176" s="501"/>
      <c r="AB3176" s="501"/>
      <c r="AC3176" s="501"/>
      <c r="AD3176" s="501"/>
      <c r="AE3176" s="501"/>
      <c r="AF3176" s="501"/>
      <c r="AG3176" s="501"/>
      <c r="AH3176" s="501"/>
      <c r="AI3176" s="501"/>
      <c r="AJ3176" s="501"/>
      <c r="AK3176" s="501"/>
      <c r="AL3176" s="501"/>
      <c r="AM3176" s="501"/>
      <c r="AN3176" s="501"/>
      <c r="AO3176" s="501"/>
      <c r="AP3176" s="501"/>
      <c r="AQ3176" s="501"/>
      <c r="AR3176" s="501"/>
      <c r="AS3176" s="501"/>
      <c r="AT3176" s="501"/>
      <c r="AU3176" s="501"/>
      <c r="AV3176" s="501"/>
      <c r="AW3176" s="501"/>
      <c r="AX3176" s="501"/>
      <c r="AY3176" s="501"/>
      <c r="AZ3176" s="501"/>
      <c r="BA3176" s="501"/>
      <c r="BB3176" s="501"/>
      <c r="BC3176" s="501"/>
      <c r="BD3176" s="501"/>
      <c r="BE3176" s="501"/>
      <c r="BF3176" s="501"/>
      <c r="BG3176" s="501"/>
      <c r="BH3176" s="501"/>
      <c r="BI3176" s="501"/>
      <c r="BJ3176" s="501"/>
      <c r="BK3176" s="501"/>
      <c r="BL3176" s="501"/>
      <c r="BM3176" s="501"/>
      <c r="BN3176" s="501"/>
      <c r="BO3176" s="501"/>
      <c r="BP3176" s="501"/>
      <c r="BQ3176" s="501"/>
      <c r="BR3176" s="501"/>
      <c r="BS3176" s="501"/>
      <c r="BT3176" s="501"/>
      <c r="BU3176" s="501"/>
      <c r="BV3176" s="501"/>
      <c r="BW3176" s="501"/>
      <c r="BX3176" s="501"/>
      <c r="BY3176" s="501"/>
      <c r="BZ3176" s="501"/>
      <c r="CA3176" s="501"/>
      <c r="CB3176" s="501"/>
      <c r="CC3176" s="501"/>
      <c r="CD3176" s="501"/>
      <c r="CE3176" s="501"/>
      <c r="CF3176" s="501"/>
      <c r="CG3176" s="501"/>
      <c r="CH3176" s="501"/>
      <c r="CI3176" s="501"/>
      <c r="CJ3176" s="501"/>
      <c r="CK3176" s="501"/>
      <c r="CL3176" s="501"/>
      <c r="CM3176" s="501"/>
      <c r="CN3176" s="501"/>
      <c r="CO3176" s="501"/>
      <c r="CP3176" s="501"/>
      <c r="CQ3176" s="501"/>
      <c r="CR3176" s="501"/>
      <c r="CS3176" s="501"/>
      <c r="CT3176" s="501"/>
      <c r="CU3176" s="501"/>
      <c r="CV3176" s="501"/>
      <c r="CW3176" s="501"/>
      <c r="CX3176" s="501"/>
      <c r="CY3176" s="501"/>
      <c r="CZ3176" s="501"/>
      <c r="DA3176" s="501"/>
      <c r="DB3176" s="501"/>
      <c r="DC3176" s="501"/>
      <c r="DD3176" s="501"/>
      <c r="DE3176" s="501"/>
      <c r="DF3176" s="501"/>
      <c r="DG3176" s="501"/>
      <c r="DH3176" s="501"/>
      <c r="DI3176" s="501"/>
      <c r="DJ3176" s="501"/>
      <c r="DK3176" s="501"/>
      <c r="DL3176" s="501"/>
      <c r="DM3176" s="501"/>
      <c r="DN3176" s="501"/>
      <c r="DO3176" s="501"/>
      <c r="DP3176" s="501"/>
      <c r="DQ3176" s="501"/>
      <c r="DR3176" s="501"/>
      <c r="DS3176" s="501"/>
      <c r="DT3176" s="501"/>
      <c r="DU3176" s="501"/>
      <c r="DV3176" s="501"/>
      <c r="DW3176" s="501"/>
      <c r="DX3176" s="501"/>
      <c r="DY3176" s="501"/>
      <c r="DZ3176" s="501"/>
      <c r="EA3176" s="501"/>
      <c r="EB3176" s="501"/>
      <c r="EC3176" s="501"/>
      <c r="ED3176" s="501"/>
      <c r="EE3176" s="501"/>
      <c r="EF3176" s="501"/>
      <c r="EG3176" s="501"/>
      <c r="EH3176" s="501"/>
      <c r="EI3176" s="501"/>
      <c r="EJ3176" s="501"/>
      <c r="EK3176" s="501"/>
      <c r="EL3176" s="501"/>
      <c r="EM3176" s="501"/>
      <c r="EN3176" s="501"/>
      <c r="EO3176" s="501"/>
      <c r="EP3176" s="501"/>
      <c r="EQ3176" s="501"/>
      <c r="ER3176" s="501"/>
      <c r="ES3176" s="501"/>
      <c r="ET3176" s="501"/>
      <c r="EU3176" s="501"/>
      <c r="EV3176" s="501"/>
      <c r="EW3176" s="501"/>
      <c r="EX3176" s="501"/>
      <c r="EY3176" s="501"/>
      <c r="EZ3176" s="501"/>
      <c r="FA3176" s="501"/>
      <c r="FB3176" s="501"/>
      <c r="FC3176" s="501"/>
      <c r="FD3176" s="501"/>
      <c r="FE3176" s="501"/>
      <c r="FF3176" s="501"/>
      <c r="FG3176" s="501"/>
      <c r="FH3176" s="501"/>
      <c r="FI3176" s="501"/>
      <c r="FJ3176" s="501"/>
      <c r="FK3176" s="501"/>
      <c r="FL3176" s="501"/>
      <c r="FM3176" s="501"/>
      <c r="FN3176" s="501"/>
      <c r="FO3176" s="501"/>
      <c r="FP3176" s="501"/>
      <c r="FQ3176" s="501"/>
      <c r="FR3176" s="501"/>
      <c r="FS3176" s="501"/>
      <c r="FT3176" s="501"/>
      <c r="FU3176" s="501"/>
      <c r="FV3176" s="501"/>
      <c r="FW3176" s="501"/>
      <c r="FX3176" s="501"/>
      <c r="FY3176" s="501"/>
      <c r="FZ3176" s="501"/>
      <c r="GA3176" s="501"/>
      <c r="GB3176" s="501"/>
      <c r="GC3176" s="501"/>
      <c r="GD3176" s="501"/>
      <c r="GE3176" s="501"/>
      <c r="GF3176" s="501"/>
      <c r="GG3176" s="501"/>
      <c r="GH3176" s="501"/>
      <c r="GI3176" s="501"/>
      <c r="GJ3176" s="501"/>
      <c r="GK3176" s="501"/>
      <c r="GL3176" s="501"/>
      <c r="GM3176" s="501"/>
      <c r="GN3176" s="501"/>
      <c r="GO3176" s="501"/>
      <c r="GP3176" s="501"/>
      <c r="GQ3176" s="501"/>
      <c r="GR3176" s="501"/>
      <c r="GS3176" s="501"/>
      <c r="GT3176" s="501"/>
      <c r="GU3176" s="501"/>
      <c r="GV3176" s="501"/>
      <c r="GW3176" s="501"/>
      <c r="GX3176" s="501"/>
      <c r="GY3176" s="501"/>
      <c r="GZ3176" s="501"/>
      <c r="HA3176" s="501"/>
      <c r="HB3176" s="501"/>
      <c r="HC3176" s="501"/>
      <c r="HD3176" s="501"/>
      <c r="HE3176" s="501"/>
      <c r="HF3176" s="501"/>
      <c r="HG3176" s="501"/>
      <c r="HH3176" s="501"/>
      <c r="HI3176" s="501"/>
      <c r="HJ3176" s="501"/>
      <c r="HK3176" s="501"/>
      <c r="HL3176" s="501"/>
      <c r="HM3176" s="501"/>
      <c r="HN3176" s="501"/>
      <c r="HO3176" s="501"/>
      <c r="HP3176" s="501"/>
      <c r="HQ3176" s="501"/>
      <c r="HR3176" s="501"/>
      <c r="HS3176" s="501"/>
      <c r="HT3176" s="501"/>
      <c r="HU3176" s="501"/>
      <c r="HV3176" s="501"/>
      <c r="HW3176" s="501"/>
      <c r="HX3176" s="501"/>
      <c r="HY3176" s="501"/>
      <c r="HZ3176" s="501"/>
      <c r="IA3176" s="501"/>
      <c r="IB3176" s="501"/>
      <c r="IC3176" s="501"/>
      <c r="ID3176" s="501"/>
      <c r="IE3176" s="501"/>
      <c r="IF3176" s="501"/>
      <c r="IG3176" s="501"/>
      <c r="IH3176" s="501"/>
      <c r="II3176" s="501"/>
      <c r="IJ3176" s="501"/>
      <c r="IK3176" s="501"/>
      <c r="IL3176" s="501"/>
      <c r="IM3176" s="501"/>
      <c r="IN3176" s="501"/>
      <c r="IO3176" s="501"/>
      <c r="IP3176" s="501"/>
      <c r="IQ3176" s="501"/>
      <c r="IR3176" s="501"/>
      <c r="IS3176" s="501"/>
      <c r="IT3176" s="501"/>
      <c r="IU3176" s="501"/>
    </row>
    <row r="3177" spans="1:255" s="877" customFormat="1" ht="24" customHeight="1">
      <c r="A3177" s="501"/>
      <c r="B3177" s="501"/>
      <c r="C3177" s="501"/>
      <c r="D3177" s="501"/>
      <c r="E3177" s="501"/>
      <c r="F3177" s="501"/>
      <c r="G3177" s="915"/>
      <c r="H3177" s="501"/>
      <c r="I3177" s="874"/>
      <c r="J3177" s="876"/>
      <c r="K3177" s="501"/>
      <c r="L3177" s="902"/>
      <c r="M3177" s="554"/>
      <c r="N3177" s="501"/>
      <c r="O3177" s="1097"/>
      <c r="P3177" s="1151"/>
      <c r="Q3177" s="973"/>
      <c r="R3177" s="1097"/>
      <c r="S3177" s="1189"/>
      <c r="T3177" s="1157"/>
      <c r="V3177" s="501"/>
      <c r="W3177" s="501"/>
      <c r="X3177" s="501"/>
      <c r="Y3177" s="501"/>
      <c r="Z3177" s="501"/>
      <c r="AA3177" s="501"/>
      <c r="AB3177" s="501"/>
      <c r="AC3177" s="501"/>
      <c r="AD3177" s="501"/>
      <c r="AE3177" s="501"/>
      <c r="AF3177" s="501"/>
      <c r="AG3177" s="501"/>
      <c r="AH3177" s="501"/>
      <c r="AI3177" s="501"/>
      <c r="AJ3177" s="501"/>
      <c r="AK3177" s="501"/>
      <c r="AL3177" s="501"/>
      <c r="AM3177" s="501"/>
      <c r="AN3177" s="501"/>
      <c r="AO3177" s="501"/>
      <c r="AP3177" s="501"/>
      <c r="AQ3177" s="501"/>
      <c r="AR3177" s="501"/>
      <c r="AS3177" s="501"/>
      <c r="AT3177" s="501"/>
      <c r="AU3177" s="501"/>
      <c r="AV3177" s="501"/>
      <c r="AW3177" s="501"/>
      <c r="AX3177" s="501"/>
      <c r="AY3177" s="501"/>
      <c r="AZ3177" s="501"/>
      <c r="BA3177" s="501"/>
      <c r="BB3177" s="501"/>
      <c r="BC3177" s="501"/>
      <c r="BD3177" s="501"/>
      <c r="BE3177" s="501"/>
      <c r="BF3177" s="501"/>
      <c r="BG3177" s="501"/>
      <c r="BH3177" s="501"/>
      <c r="BI3177" s="501"/>
      <c r="BJ3177" s="501"/>
      <c r="BK3177" s="501"/>
      <c r="BL3177" s="501"/>
      <c r="BM3177" s="501"/>
      <c r="BN3177" s="501"/>
      <c r="BO3177" s="501"/>
      <c r="BP3177" s="501"/>
      <c r="BQ3177" s="501"/>
      <c r="BR3177" s="501"/>
      <c r="BS3177" s="501"/>
      <c r="BT3177" s="501"/>
      <c r="BU3177" s="501"/>
      <c r="BV3177" s="501"/>
      <c r="BW3177" s="501"/>
      <c r="BX3177" s="501"/>
      <c r="BY3177" s="501"/>
      <c r="BZ3177" s="501"/>
      <c r="CA3177" s="501"/>
      <c r="CB3177" s="501"/>
      <c r="CC3177" s="501"/>
      <c r="CD3177" s="501"/>
      <c r="CE3177" s="501"/>
      <c r="CF3177" s="501"/>
      <c r="CG3177" s="501"/>
      <c r="CH3177" s="501"/>
      <c r="CI3177" s="501"/>
      <c r="CJ3177" s="501"/>
      <c r="CK3177" s="501"/>
      <c r="CL3177" s="501"/>
      <c r="CM3177" s="501"/>
      <c r="CN3177" s="501"/>
      <c r="CO3177" s="501"/>
      <c r="CP3177" s="501"/>
      <c r="CQ3177" s="501"/>
      <c r="CR3177" s="501"/>
      <c r="CS3177" s="501"/>
      <c r="CT3177" s="501"/>
      <c r="CU3177" s="501"/>
      <c r="CV3177" s="501"/>
      <c r="CW3177" s="501"/>
      <c r="CX3177" s="501"/>
      <c r="CY3177" s="501"/>
      <c r="CZ3177" s="501"/>
      <c r="DA3177" s="501"/>
      <c r="DB3177" s="501"/>
      <c r="DC3177" s="501"/>
      <c r="DD3177" s="501"/>
      <c r="DE3177" s="501"/>
      <c r="DF3177" s="501"/>
      <c r="DG3177" s="501"/>
      <c r="DH3177" s="501"/>
      <c r="DI3177" s="501"/>
      <c r="DJ3177" s="501"/>
      <c r="DK3177" s="501"/>
      <c r="DL3177" s="501"/>
      <c r="DM3177" s="501"/>
      <c r="DN3177" s="501"/>
      <c r="DO3177" s="501"/>
      <c r="DP3177" s="501"/>
      <c r="DQ3177" s="501"/>
      <c r="DR3177" s="501"/>
      <c r="DS3177" s="501"/>
      <c r="DT3177" s="501"/>
      <c r="DU3177" s="501"/>
      <c r="DV3177" s="501"/>
      <c r="DW3177" s="501"/>
      <c r="DX3177" s="501"/>
      <c r="DY3177" s="501"/>
      <c r="DZ3177" s="501"/>
      <c r="EA3177" s="501"/>
      <c r="EB3177" s="501"/>
      <c r="EC3177" s="501"/>
      <c r="ED3177" s="501"/>
      <c r="EE3177" s="501"/>
      <c r="EF3177" s="501"/>
      <c r="EG3177" s="501"/>
      <c r="EH3177" s="501"/>
      <c r="EI3177" s="501"/>
      <c r="EJ3177" s="501"/>
      <c r="EK3177" s="501"/>
      <c r="EL3177" s="501"/>
      <c r="EM3177" s="501"/>
      <c r="EN3177" s="501"/>
      <c r="EO3177" s="501"/>
      <c r="EP3177" s="501"/>
      <c r="EQ3177" s="501"/>
      <c r="ER3177" s="501"/>
      <c r="ES3177" s="501"/>
      <c r="ET3177" s="501"/>
      <c r="EU3177" s="501"/>
      <c r="EV3177" s="501"/>
      <c r="EW3177" s="501"/>
      <c r="EX3177" s="501"/>
      <c r="EY3177" s="501"/>
      <c r="EZ3177" s="501"/>
      <c r="FA3177" s="501"/>
      <c r="FB3177" s="501"/>
      <c r="FC3177" s="501"/>
      <c r="FD3177" s="501"/>
      <c r="FE3177" s="501"/>
      <c r="FF3177" s="501"/>
      <c r="FG3177" s="501"/>
      <c r="FH3177" s="501"/>
      <c r="FI3177" s="501"/>
      <c r="FJ3177" s="501"/>
      <c r="FK3177" s="501"/>
      <c r="FL3177" s="501"/>
      <c r="FM3177" s="501"/>
      <c r="FN3177" s="501"/>
      <c r="FO3177" s="501"/>
      <c r="FP3177" s="501"/>
      <c r="FQ3177" s="501"/>
      <c r="FR3177" s="501"/>
      <c r="FS3177" s="501"/>
      <c r="FT3177" s="501"/>
      <c r="FU3177" s="501"/>
      <c r="FV3177" s="501"/>
      <c r="FW3177" s="501"/>
      <c r="FX3177" s="501"/>
      <c r="FY3177" s="501"/>
      <c r="FZ3177" s="501"/>
      <c r="GA3177" s="501"/>
      <c r="GB3177" s="501"/>
      <c r="GC3177" s="501"/>
      <c r="GD3177" s="501"/>
      <c r="GE3177" s="501"/>
      <c r="GF3177" s="501"/>
      <c r="GG3177" s="501"/>
      <c r="GH3177" s="501"/>
      <c r="GI3177" s="501"/>
      <c r="GJ3177" s="501"/>
      <c r="GK3177" s="501"/>
      <c r="GL3177" s="501"/>
      <c r="GM3177" s="501"/>
      <c r="GN3177" s="501"/>
      <c r="GO3177" s="501"/>
      <c r="GP3177" s="501"/>
      <c r="GQ3177" s="501"/>
      <c r="GR3177" s="501"/>
      <c r="GS3177" s="501"/>
      <c r="GT3177" s="501"/>
      <c r="GU3177" s="501"/>
      <c r="GV3177" s="501"/>
      <c r="GW3177" s="501"/>
      <c r="GX3177" s="501"/>
      <c r="GY3177" s="501"/>
      <c r="GZ3177" s="501"/>
      <c r="HA3177" s="501"/>
      <c r="HB3177" s="501"/>
      <c r="HC3177" s="501"/>
      <c r="HD3177" s="501"/>
      <c r="HE3177" s="501"/>
      <c r="HF3177" s="501"/>
      <c r="HG3177" s="501"/>
      <c r="HH3177" s="501"/>
      <c r="HI3177" s="501"/>
      <c r="HJ3177" s="501"/>
      <c r="HK3177" s="501"/>
      <c r="HL3177" s="501"/>
      <c r="HM3177" s="501"/>
      <c r="HN3177" s="501"/>
      <c r="HO3177" s="501"/>
      <c r="HP3177" s="501"/>
      <c r="HQ3177" s="501"/>
      <c r="HR3177" s="501"/>
      <c r="HS3177" s="501"/>
      <c r="HT3177" s="501"/>
      <c r="HU3177" s="501"/>
      <c r="HV3177" s="501"/>
      <c r="HW3177" s="501"/>
      <c r="HX3177" s="501"/>
      <c r="HY3177" s="501"/>
      <c r="HZ3177" s="501"/>
      <c r="IA3177" s="501"/>
      <c r="IB3177" s="501"/>
      <c r="IC3177" s="501"/>
      <c r="ID3177" s="501"/>
      <c r="IE3177" s="501"/>
      <c r="IF3177" s="501"/>
      <c r="IG3177" s="501"/>
      <c r="IH3177" s="501"/>
      <c r="II3177" s="501"/>
      <c r="IJ3177" s="501"/>
      <c r="IK3177" s="501"/>
      <c r="IL3177" s="501"/>
      <c r="IM3177" s="501"/>
      <c r="IN3177" s="501"/>
      <c r="IO3177" s="501"/>
      <c r="IP3177" s="501"/>
      <c r="IQ3177" s="501"/>
      <c r="IR3177" s="501"/>
      <c r="IS3177" s="501"/>
      <c r="IT3177" s="501"/>
      <c r="IU3177" s="501"/>
    </row>
    <row r="3178" spans="1:255" ht="24" customHeight="1">
      <c r="J3178" s="876"/>
      <c r="L3178" s="902"/>
      <c r="O3178" s="1097"/>
      <c r="P3178" s="1151"/>
      <c r="Q3178" s="973"/>
      <c r="R3178" s="1097"/>
      <c r="S3178" s="1190"/>
      <c r="T3178" s="1157"/>
    </row>
    <row r="3179" spans="1:255" ht="24" customHeight="1">
      <c r="J3179" s="876"/>
      <c r="L3179" s="902"/>
      <c r="O3179" s="1097"/>
      <c r="P3179" s="1151"/>
      <c r="Q3179" s="973"/>
      <c r="R3179" s="1097"/>
      <c r="S3179" s="1106"/>
      <c r="T3179" s="1157"/>
    </row>
    <row r="3180" spans="1:255" ht="24" customHeight="1">
      <c r="J3180" s="876"/>
      <c r="K3180" s="554"/>
      <c r="L3180" s="878"/>
      <c r="O3180" s="1097"/>
      <c r="P3180" s="1151"/>
      <c r="Q3180" s="973"/>
      <c r="R3180" s="1097"/>
      <c r="S3180" s="1191"/>
      <c r="T3180" s="1157"/>
    </row>
    <row r="3181" spans="1:255" ht="24" customHeight="1">
      <c r="L3181" s="878"/>
      <c r="O3181" s="1097"/>
      <c r="P3181" s="1151"/>
      <c r="Q3181" s="1097"/>
      <c r="R3181" s="1097"/>
      <c r="S3181" s="1106"/>
      <c r="T3181" s="1106"/>
    </row>
    <row r="3182" spans="1:255" ht="24" customHeight="1">
      <c r="L3182" s="878"/>
      <c r="O3182" s="1157"/>
      <c r="P3182" s="1152"/>
      <c r="Q3182" s="973"/>
      <c r="R3182" s="968"/>
      <c r="S3182" s="974"/>
      <c r="T3182" s="968"/>
    </row>
    <row r="3183" spans="1:255" ht="24" customHeight="1">
      <c r="L3183" s="501"/>
      <c r="O3183" s="1157"/>
      <c r="P3183" s="1152"/>
      <c r="Q3183" s="973"/>
      <c r="R3183" s="968"/>
      <c r="S3183" s="974"/>
      <c r="T3183" s="968"/>
    </row>
    <row r="3184" spans="1:255" ht="24" customHeight="1">
      <c r="L3184" s="501"/>
      <c r="O3184" s="1157"/>
      <c r="P3184" s="1152"/>
      <c r="Q3184" s="973"/>
      <c r="R3184" s="968"/>
      <c r="S3184" s="974"/>
      <c r="T3184" s="968"/>
    </row>
    <row r="3185" spans="1:255" ht="24" customHeight="1">
      <c r="L3185" s="501"/>
      <c r="O3185" s="1159"/>
      <c r="P3185" s="1151"/>
      <c r="Q3185" s="973"/>
      <c r="R3185" s="968"/>
      <c r="S3185" s="1101"/>
      <c r="T3185" s="968"/>
    </row>
    <row r="3186" spans="1:255" ht="24" customHeight="1">
      <c r="L3186" s="501"/>
      <c r="O3186" s="1159"/>
      <c r="P3186" s="1152"/>
      <c r="Q3186" s="973"/>
      <c r="R3186" s="968"/>
      <c r="S3186" s="974"/>
      <c r="T3186" s="968"/>
    </row>
    <row r="3187" spans="1:255" ht="24" customHeight="1">
      <c r="L3187" s="501"/>
      <c r="O3187" s="968"/>
      <c r="P3187" s="1152"/>
      <c r="Q3187" s="973"/>
      <c r="R3187" s="968"/>
      <c r="S3187" s="974"/>
      <c r="T3187" s="968"/>
    </row>
    <row r="3188" spans="1:255" ht="24" customHeight="1">
      <c r="L3188" s="501"/>
      <c r="O3188" s="968"/>
      <c r="P3188" s="1152"/>
      <c r="Q3188" s="973"/>
      <c r="R3188" s="968"/>
      <c r="S3188" s="974"/>
      <c r="T3188" s="968"/>
    </row>
    <row r="3189" spans="1:255" ht="24" customHeight="1">
      <c r="L3189" s="501"/>
      <c r="O3189" s="968"/>
      <c r="P3189" s="1152"/>
      <c r="Q3189" s="1192"/>
      <c r="R3189" s="968"/>
      <c r="S3189" s="974"/>
      <c r="T3189" s="968"/>
    </row>
    <row r="3190" spans="1:255" ht="24" customHeight="1">
      <c r="L3190" s="902"/>
      <c r="O3190" s="968"/>
      <c r="P3190" s="1152"/>
      <c r="Q3190" s="1192"/>
      <c r="R3190" s="968"/>
      <c r="S3190" s="974"/>
      <c r="T3190" s="968"/>
    </row>
    <row r="3191" spans="1:255" ht="24" customHeight="1">
      <c r="L3191" s="902"/>
      <c r="O3191" s="968"/>
      <c r="P3191" s="1152"/>
      <c r="Q3191" s="1192"/>
      <c r="R3191" s="968"/>
      <c r="S3191" s="974"/>
      <c r="T3191" s="968"/>
    </row>
    <row r="3192" spans="1:255" ht="24" customHeight="1">
      <c r="J3192" s="932"/>
      <c r="L3192" s="902"/>
      <c r="O3192" s="968"/>
      <c r="P3192" s="1152"/>
      <c r="Q3192" s="1192"/>
      <c r="R3192" s="968"/>
      <c r="S3192" s="974"/>
      <c r="T3192" s="968"/>
    </row>
    <row r="3193" spans="1:255" ht="24" customHeight="1">
      <c r="J3193" s="876"/>
      <c r="L3193" s="878"/>
      <c r="O3193" s="968"/>
      <c r="P3193" s="1152"/>
      <c r="Q3193" s="1097"/>
      <c r="R3193" s="1097"/>
      <c r="S3193" s="974"/>
      <c r="T3193" s="968"/>
    </row>
    <row r="3194" spans="1:255" s="877" customFormat="1" ht="24" customHeight="1">
      <c r="A3194" s="501"/>
      <c r="B3194" s="501"/>
      <c r="C3194" s="501"/>
      <c r="D3194" s="501"/>
      <c r="E3194" s="501"/>
      <c r="F3194" s="501"/>
      <c r="G3194" s="915"/>
      <c r="H3194" s="501"/>
      <c r="I3194" s="874"/>
      <c r="J3194" s="501"/>
      <c r="K3194" s="501"/>
      <c r="L3194" s="878"/>
      <c r="M3194" s="554"/>
      <c r="N3194" s="501"/>
      <c r="O3194" s="1097"/>
      <c r="P3194" s="1151"/>
      <c r="Q3194" s="1097"/>
      <c r="R3194" s="1097"/>
      <c r="S3194" s="1101"/>
      <c r="T3194" s="1106"/>
      <c r="V3194" s="501"/>
      <c r="W3194" s="501"/>
      <c r="X3194" s="501"/>
      <c r="Y3194" s="501"/>
      <c r="Z3194" s="501"/>
      <c r="AA3194" s="501"/>
      <c r="AB3194" s="501"/>
      <c r="AC3194" s="501"/>
      <c r="AD3194" s="501"/>
      <c r="AE3194" s="501"/>
      <c r="AF3194" s="501"/>
      <c r="AG3194" s="501"/>
      <c r="AH3194" s="501"/>
      <c r="AI3194" s="501"/>
      <c r="AJ3194" s="501"/>
      <c r="AK3194" s="501"/>
      <c r="AL3194" s="501"/>
      <c r="AM3194" s="501"/>
      <c r="AN3194" s="501"/>
      <c r="AO3194" s="501"/>
      <c r="AP3194" s="501"/>
      <c r="AQ3194" s="501"/>
      <c r="AR3194" s="501"/>
      <c r="AS3194" s="501"/>
      <c r="AT3194" s="501"/>
      <c r="AU3194" s="501"/>
      <c r="AV3194" s="501"/>
      <c r="AW3194" s="501"/>
      <c r="AX3194" s="501"/>
      <c r="AY3194" s="501"/>
      <c r="AZ3194" s="501"/>
      <c r="BA3194" s="501"/>
      <c r="BB3194" s="501"/>
      <c r="BC3194" s="501"/>
      <c r="BD3194" s="501"/>
      <c r="BE3194" s="501"/>
      <c r="BF3194" s="501"/>
      <c r="BG3194" s="501"/>
      <c r="BH3194" s="501"/>
      <c r="BI3194" s="501"/>
      <c r="BJ3194" s="501"/>
      <c r="BK3194" s="501"/>
      <c r="BL3194" s="501"/>
      <c r="BM3194" s="501"/>
      <c r="BN3194" s="501"/>
      <c r="BO3194" s="501"/>
      <c r="BP3194" s="501"/>
      <c r="BQ3194" s="501"/>
      <c r="BR3194" s="501"/>
      <c r="BS3194" s="501"/>
      <c r="BT3194" s="501"/>
      <c r="BU3194" s="501"/>
      <c r="BV3194" s="501"/>
      <c r="BW3194" s="501"/>
      <c r="BX3194" s="501"/>
      <c r="BY3194" s="501"/>
      <c r="BZ3194" s="501"/>
      <c r="CA3194" s="501"/>
      <c r="CB3194" s="501"/>
      <c r="CC3194" s="501"/>
      <c r="CD3194" s="501"/>
      <c r="CE3194" s="501"/>
      <c r="CF3194" s="501"/>
      <c r="CG3194" s="501"/>
      <c r="CH3194" s="501"/>
      <c r="CI3194" s="501"/>
      <c r="CJ3194" s="501"/>
      <c r="CK3194" s="501"/>
      <c r="CL3194" s="501"/>
      <c r="CM3194" s="501"/>
      <c r="CN3194" s="501"/>
      <c r="CO3194" s="501"/>
      <c r="CP3194" s="501"/>
      <c r="CQ3194" s="501"/>
      <c r="CR3194" s="501"/>
      <c r="CS3194" s="501"/>
      <c r="CT3194" s="501"/>
      <c r="CU3194" s="501"/>
      <c r="CV3194" s="501"/>
      <c r="CW3194" s="501"/>
      <c r="CX3194" s="501"/>
      <c r="CY3194" s="501"/>
      <c r="CZ3194" s="501"/>
      <c r="DA3194" s="501"/>
      <c r="DB3194" s="501"/>
      <c r="DC3194" s="501"/>
      <c r="DD3194" s="501"/>
      <c r="DE3194" s="501"/>
      <c r="DF3194" s="501"/>
      <c r="DG3194" s="501"/>
      <c r="DH3194" s="501"/>
      <c r="DI3194" s="501"/>
      <c r="DJ3194" s="501"/>
      <c r="DK3194" s="501"/>
      <c r="DL3194" s="501"/>
      <c r="DM3194" s="501"/>
      <c r="DN3194" s="501"/>
      <c r="DO3194" s="501"/>
      <c r="DP3194" s="501"/>
      <c r="DQ3194" s="501"/>
      <c r="DR3194" s="501"/>
      <c r="DS3194" s="501"/>
      <c r="DT3194" s="501"/>
      <c r="DU3194" s="501"/>
      <c r="DV3194" s="501"/>
      <c r="DW3194" s="501"/>
      <c r="DX3194" s="501"/>
      <c r="DY3194" s="501"/>
      <c r="DZ3194" s="501"/>
      <c r="EA3194" s="501"/>
      <c r="EB3194" s="501"/>
      <c r="EC3194" s="501"/>
      <c r="ED3194" s="501"/>
      <c r="EE3194" s="501"/>
      <c r="EF3194" s="501"/>
      <c r="EG3194" s="501"/>
      <c r="EH3194" s="501"/>
      <c r="EI3194" s="501"/>
      <c r="EJ3194" s="501"/>
      <c r="EK3194" s="501"/>
      <c r="EL3194" s="501"/>
      <c r="EM3194" s="501"/>
      <c r="EN3194" s="501"/>
      <c r="EO3194" s="501"/>
      <c r="EP3194" s="501"/>
      <c r="EQ3194" s="501"/>
      <c r="ER3194" s="501"/>
      <c r="ES3194" s="501"/>
      <c r="ET3194" s="501"/>
      <c r="EU3194" s="501"/>
      <c r="EV3194" s="501"/>
      <c r="EW3194" s="501"/>
      <c r="EX3194" s="501"/>
      <c r="EY3194" s="501"/>
      <c r="EZ3194" s="501"/>
      <c r="FA3194" s="501"/>
      <c r="FB3194" s="501"/>
      <c r="FC3194" s="501"/>
      <c r="FD3194" s="501"/>
      <c r="FE3194" s="501"/>
      <c r="FF3194" s="501"/>
      <c r="FG3194" s="501"/>
      <c r="FH3194" s="501"/>
      <c r="FI3194" s="501"/>
      <c r="FJ3194" s="501"/>
      <c r="FK3194" s="501"/>
      <c r="FL3194" s="501"/>
      <c r="FM3194" s="501"/>
      <c r="FN3194" s="501"/>
      <c r="FO3194" s="501"/>
      <c r="FP3194" s="501"/>
      <c r="FQ3194" s="501"/>
      <c r="FR3194" s="501"/>
      <c r="FS3194" s="501"/>
      <c r="FT3194" s="501"/>
      <c r="FU3194" s="501"/>
      <c r="FV3194" s="501"/>
      <c r="FW3194" s="501"/>
      <c r="FX3194" s="501"/>
      <c r="FY3194" s="501"/>
      <c r="FZ3194" s="501"/>
      <c r="GA3194" s="501"/>
      <c r="GB3194" s="501"/>
      <c r="GC3194" s="501"/>
      <c r="GD3194" s="501"/>
      <c r="GE3194" s="501"/>
      <c r="GF3194" s="501"/>
      <c r="GG3194" s="501"/>
      <c r="GH3194" s="501"/>
      <c r="GI3194" s="501"/>
      <c r="GJ3194" s="501"/>
      <c r="GK3194" s="501"/>
      <c r="GL3194" s="501"/>
      <c r="GM3194" s="501"/>
      <c r="GN3194" s="501"/>
      <c r="GO3194" s="501"/>
      <c r="GP3194" s="501"/>
      <c r="GQ3194" s="501"/>
      <c r="GR3194" s="501"/>
      <c r="GS3194" s="501"/>
      <c r="GT3194" s="501"/>
      <c r="GU3194" s="501"/>
      <c r="GV3194" s="501"/>
      <c r="GW3194" s="501"/>
      <c r="GX3194" s="501"/>
      <c r="GY3194" s="501"/>
      <c r="GZ3194" s="501"/>
      <c r="HA3194" s="501"/>
      <c r="HB3194" s="501"/>
      <c r="HC3194" s="501"/>
      <c r="HD3194" s="501"/>
      <c r="HE3194" s="501"/>
      <c r="HF3194" s="501"/>
      <c r="HG3194" s="501"/>
      <c r="HH3194" s="501"/>
      <c r="HI3194" s="501"/>
      <c r="HJ3194" s="501"/>
      <c r="HK3194" s="501"/>
      <c r="HL3194" s="501"/>
      <c r="HM3194" s="501"/>
      <c r="HN3194" s="501"/>
      <c r="HO3194" s="501"/>
      <c r="HP3194" s="501"/>
      <c r="HQ3194" s="501"/>
      <c r="HR3194" s="501"/>
      <c r="HS3194" s="501"/>
      <c r="HT3194" s="501"/>
      <c r="HU3194" s="501"/>
      <c r="HV3194" s="501"/>
      <c r="HW3194" s="501"/>
      <c r="HX3194" s="501"/>
      <c r="HY3194" s="501"/>
      <c r="HZ3194" s="501"/>
      <c r="IA3194" s="501"/>
      <c r="IB3194" s="501"/>
      <c r="IC3194" s="501"/>
      <c r="ID3194" s="501"/>
      <c r="IE3194" s="501"/>
      <c r="IF3194" s="501"/>
      <c r="IG3194" s="501"/>
      <c r="IH3194" s="501"/>
      <c r="II3194" s="501"/>
      <c r="IJ3194" s="501"/>
      <c r="IK3194" s="501"/>
      <c r="IL3194" s="501"/>
      <c r="IM3194" s="501"/>
      <c r="IN3194" s="501"/>
      <c r="IO3194" s="501"/>
      <c r="IP3194" s="501"/>
      <c r="IQ3194" s="501"/>
      <c r="IR3194" s="501"/>
      <c r="IS3194" s="501"/>
      <c r="IT3194" s="501"/>
      <c r="IU3194" s="501"/>
    </row>
    <row r="3195" spans="1:255" s="877" customFormat="1" ht="24" customHeight="1">
      <c r="A3195" s="501"/>
      <c r="B3195" s="501"/>
      <c r="C3195" s="501"/>
      <c r="D3195" s="501"/>
      <c r="E3195" s="501"/>
      <c r="F3195" s="501"/>
      <c r="G3195" s="915"/>
      <c r="H3195" s="501"/>
      <c r="I3195" s="874"/>
      <c r="J3195" s="501"/>
      <c r="K3195" s="501"/>
      <c r="L3195" s="878"/>
      <c r="M3195" s="554"/>
      <c r="N3195" s="501"/>
      <c r="O3195" s="1097"/>
      <c r="P3195" s="1151"/>
      <c r="Q3195" s="973"/>
      <c r="R3195" s="1097"/>
      <c r="S3195" s="1101"/>
      <c r="T3195" s="968"/>
      <c r="V3195" s="501"/>
      <c r="W3195" s="501"/>
      <c r="X3195" s="501"/>
      <c r="Y3195" s="501"/>
      <c r="Z3195" s="501"/>
      <c r="AA3195" s="501"/>
      <c r="AB3195" s="501"/>
      <c r="AC3195" s="501"/>
      <c r="AD3195" s="501"/>
      <c r="AE3195" s="501"/>
      <c r="AF3195" s="501"/>
      <c r="AG3195" s="501"/>
      <c r="AH3195" s="501"/>
      <c r="AI3195" s="501"/>
      <c r="AJ3195" s="501"/>
      <c r="AK3195" s="501"/>
      <c r="AL3195" s="501"/>
      <c r="AM3195" s="501"/>
      <c r="AN3195" s="501"/>
      <c r="AO3195" s="501"/>
      <c r="AP3195" s="501"/>
      <c r="AQ3195" s="501"/>
      <c r="AR3195" s="501"/>
      <c r="AS3195" s="501"/>
      <c r="AT3195" s="501"/>
      <c r="AU3195" s="501"/>
      <c r="AV3195" s="501"/>
      <c r="AW3195" s="501"/>
      <c r="AX3195" s="501"/>
      <c r="AY3195" s="501"/>
      <c r="AZ3195" s="501"/>
      <c r="BA3195" s="501"/>
      <c r="BB3195" s="501"/>
      <c r="BC3195" s="501"/>
      <c r="BD3195" s="501"/>
      <c r="BE3195" s="501"/>
      <c r="BF3195" s="501"/>
      <c r="BG3195" s="501"/>
      <c r="BH3195" s="501"/>
      <c r="BI3195" s="501"/>
      <c r="BJ3195" s="501"/>
      <c r="BK3195" s="501"/>
      <c r="BL3195" s="501"/>
      <c r="BM3195" s="501"/>
      <c r="BN3195" s="501"/>
      <c r="BO3195" s="501"/>
      <c r="BP3195" s="501"/>
      <c r="BQ3195" s="501"/>
      <c r="BR3195" s="501"/>
      <c r="BS3195" s="501"/>
      <c r="BT3195" s="501"/>
      <c r="BU3195" s="501"/>
      <c r="BV3195" s="501"/>
      <c r="BW3195" s="501"/>
      <c r="BX3195" s="501"/>
      <c r="BY3195" s="501"/>
      <c r="BZ3195" s="501"/>
      <c r="CA3195" s="501"/>
      <c r="CB3195" s="501"/>
      <c r="CC3195" s="501"/>
      <c r="CD3195" s="501"/>
      <c r="CE3195" s="501"/>
      <c r="CF3195" s="501"/>
      <c r="CG3195" s="501"/>
      <c r="CH3195" s="501"/>
      <c r="CI3195" s="501"/>
      <c r="CJ3195" s="501"/>
      <c r="CK3195" s="501"/>
      <c r="CL3195" s="501"/>
      <c r="CM3195" s="501"/>
      <c r="CN3195" s="501"/>
      <c r="CO3195" s="501"/>
      <c r="CP3195" s="501"/>
      <c r="CQ3195" s="501"/>
      <c r="CR3195" s="501"/>
      <c r="CS3195" s="501"/>
      <c r="CT3195" s="501"/>
      <c r="CU3195" s="501"/>
      <c r="CV3195" s="501"/>
      <c r="CW3195" s="501"/>
      <c r="CX3195" s="501"/>
      <c r="CY3195" s="501"/>
      <c r="CZ3195" s="501"/>
      <c r="DA3195" s="501"/>
      <c r="DB3195" s="501"/>
      <c r="DC3195" s="501"/>
      <c r="DD3195" s="501"/>
      <c r="DE3195" s="501"/>
      <c r="DF3195" s="501"/>
      <c r="DG3195" s="501"/>
      <c r="DH3195" s="501"/>
      <c r="DI3195" s="501"/>
      <c r="DJ3195" s="501"/>
      <c r="DK3195" s="501"/>
      <c r="DL3195" s="501"/>
      <c r="DM3195" s="501"/>
      <c r="DN3195" s="501"/>
      <c r="DO3195" s="501"/>
      <c r="DP3195" s="501"/>
      <c r="DQ3195" s="501"/>
      <c r="DR3195" s="501"/>
      <c r="DS3195" s="501"/>
      <c r="DT3195" s="501"/>
      <c r="DU3195" s="501"/>
      <c r="DV3195" s="501"/>
      <c r="DW3195" s="501"/>
      <c r="DX3195" s="501"/>
      <c r="DY3195" s="501"/>
      <c r="DZ3195" s="501"/>
      <c r="EA3195" s="501"/>
      <c r="EB3195" s="501"/>
      <c r="EC3195" s="501"/>
      <c r="ED3195" s="501"/>
      <c r="EE3195" s="501"/>
      <c r="EF3195" s="501"/>
      <c r="EG3195" s="501"/>
      <c r="EH3195" s="501"/>
      <c r="EI3195" s="501"/>
      <c r="EJ3195" s="501"/>
      <c r="EK3195" s="501"/>
      <c r="EL3195" s="501"/>
      <c r="EM3195" s="501"/>
      <c r="EN3195" s="501"/>
      <c r="EO3195" s="501"/>
      <c r="EP3195" s="501"/>
      <c r="EQ3195" s="501"/>
      <c r="ER3195" s="501"/>
      <c r="ES3195" s="501"/>
      <c r="ET3195" s="501"/>
      <c r="EU3195" s="501"/>
      <c r="EV3195" s="501"/>
      <c r="EW3195" s="501"/>
      <c r="EX3195" s="501"/>
      <c r="EY3195" s="501"/>
      <c r="EZ3195" s="501"/>
      <c r="FA3195" s="501"/>
      <c r="FB3195" s="501"/>
      <c r="FC3195" s="501"/>
      <c r="FD3195" s="501"/>
      <c r="FE3195" s="501"/>
      <c r="FF3195" s="501"/>
      <c r="FG3195" s="501"/>
      <c r="FH3195" s="501"/>
      <c r="FI3195" s="501"/>
      <c r="FJ3195" s="501"/>
      <c r="FK3195" s="501"/>
      <c r="FL3195" s="501"/>
      <c r="FM3195" s="501"/>
      <c r="FN3195" s="501"/>
      <c r="FO3195" s="501"/>
      <c r="FP3195" s="501"/>
      <c r="FQ3195" s="501"/>
      <c r="FR3195" s="501"/>
      <c r="FS3195" s="501"/>
      <c r="FT3195" s="501"/>
      <c r="FU3195" s="501"/>
      <c r="FV3195" s="501"/>
      <c r="FW3195" s="501"/>
      <c r="FX3195" s="501"/>
      <c r="FY3195" s="501"/>
      <c r="FZ3195" s="501"/>
      <c r="GA3195" s="501"/>
      <c r="GB3195" s="501"/>
      <c r="GC3195" s="501"/>
      <c r="GD3195" s="501"/>
      <c r="GE3195" s="501"/>
      <c r="GF3195" s="501"/>
      <c r="GG3195" s="501"/>
      <c r="GH3195" s="501"/>
      <c r="GI3195" s="501"/>
      <c r="GJ3195" s="501"/>
      <c r="GK3195" s="501"/>
      <c r="GL3195" s="501"/>
      <c r="GM3195" s="501"/>
      <c r="GN3195" s="501"/>
      <c r="GO3195" s="501"/>
      <c r="GP3195" s="501"/>
      <c r="GQ3195" s="501"/>
      <c r="GR3195" s="501"/>
      <c r="GS3195" s="501"/>
      <c r="GT3195" s="501"/>
      <c r="GU3195" s="501"/>
      <c r="GV3195" s="501"/>
      <c r="GW3195" s="501"/>
      <c r="GX3195" s="501"/>
      <c r="GY3195" s="501"/>
      <c r="GZ3195" s="501"/>
      <c r="HA3195" s="501"/>
      <c r="HB3195" s="501"/>
      <c r="HC3195" s="501"/>
      <c r="HD3195" s="501"/>
      <c r="HE3195" s="501"/>
      <c r="HF3195" s="501"/>
      <c r="HG3195" s="501"/>
      <c r="HH3195" s="501"/>
      <c r="HI3195" s="501"/>
      <c r="HJ3195" s="501"/>
      <c r="HK3195" s="501"/>
      <c r="HL3195" s="501"/>
      <c r="HM3195" s="501"/>
      <c r="HN3195" s="501"/>
      <c r="HO3195" s="501"/>
      <c r="HP3195" s="501"/>
      <c r="HQ3195" s="501"/>
      <c r="HR3195" s="501"/>
      <c r="HS3195" s="501"/>
      <c r="HT3195" s="501"/>
      <c r="HU3195" s="501"/>
      <c r="HV3195" s="501"/>
      <c r="HW3195" s="501"/>
      <c r="HX3195" s="501"/>
      <c r="HY3195" s="501"/>
      <c r="HZ3195" s="501"/>
      <c r="IA3195" s="501"/>
      <c r="IB3195" s="501"/>
      <c r="IC3195" s="501"/>
      <c r="ID3195" s="501"/>
      <c r="IE3195" s="501"/>
      <c r="IF3195" s="501"/>
      <c r="IG3195" s="501"/>
      <c r="IH3195" s="501"/>
      <c r="II3195" s="501"/>
      <c r="IJ3195" s="501"/>
      <c r="IK3195" s="501"/>
      <c r="IL3195" s="501"/>
      <c r="IM3195" s="501"/>
      <c r="IN3195" s="501"/>
      <c r="IO3195" s="501"/>
      <c r="IP3195" s="501"/>
      <c r="IQ3195" s="501"/>
      <c r="IR3195" s="501"/>
      <c r="IS3195" s="501"/>
      <c r="IT3195" s="501"/>
      <c r="IU3195" s="501"/>
    </row>
    <row r="3196" spans="1:255" s="877" customFormat="1" ht="24" customHeight="1">
      <c r="A3196" s="501"/>
      <c r="B3196" s="501"/>
      <c r="C3196" s="501"/>
      <c r="D3196" s="501"/>
      <c r="E3196" s="501"/>
      <c r="F3196" s="501"/>
      <c r="G3196" s="915"/>
      <c r="H3196" s="501"/>
      <c r="I3196" s="874"/>
      <c r="J3196" s="501"/>
      <c r="K3196" s="501"/>
      <c r="L3196" s="878"/>
      <c r="M3196" s="554"/>
      <c r="N3196" s="501"/>
      <c r="O3196" s="1097"/>
      <c r="P3196" s="1151"/>
      <c r="Q3196" s="1097"/>
      <c r="R3196" s="1097"/>
      <c r="S3196" s="1101"/>
      <c r="T3196" s="1106"/>
      <c r="V3196" s="501"/>
      <c r="W3196" s="501"/>
      <c r="X3196" s="501"/>
      <c r="Y3196" s="501"/>
      <c r="Z3196" s="501"/>
      <c r="AA3196" s="501"/>
      <c r="AB3196" s="501"/>
      <c r="AC3196" s="501"/>
      <c r="AD3196" s="501"/>
      <c r="AE3196" s="501"/>
      <c r="AF3196" s="501"/>
      <c r="AG3196" s="501"/>
      <c r="AH3196" s="501"/>
      <c r="AI3196" s="501"/>
      <c r="AJ3196" s="501"/>
      <c r="AK3196" s="501"/>
      <c r="AL3196" s="501"/>
      <c r="AM3196" s="501"/>
      <c r="AN3196" s="501"/>
      <c r="AO3196" s="501"/>
      <c r="AP3196" s="501"/>
      <c r="AQ3196" s="501"/>
      <c r="AR3196" s="501"/>
      <c r="AS3196" s="501"/>
      <c r="AT3196" s="501"/>
      <c r="AU3196" s="501"/>
      <c r="AV3196" s="501"/>
      <c r="AW3196" s="501"/>
      <c r="AX3196" s="501"/>
      <c r="AY3196" s="501"/>
      <c r="AZ3196" s="501"/>
      <c r="BA3196" s="501"/>
      <c r="BB3196" s="501"/>
      <c r="BC3196" s="501"/>
      <c r="BD3196" s="501"/>
      <c r="BE3196" s="501"/>
      <c r="BF3196" s="501"/>
      <c r="BG3196" s="501"/>
      <c r="BH3196" s="501"/>
      <c r="BI3196" s="501"/>
      <c r="BJ3196" s="501"/>
      <c r="BK3196" s="501"/>
      <c r="BL3196" s="501"/>
      <c r="BM3196" s="501"/>
      <c r="BN3196" s="501"/>
      <c r="BO3196" s="501"/>
      <c r="BP3196" s="501"/>
      <c r="BQ3196" s="501"/>
      <c r="BR3196" s="501"/>
      <c r="BS3196" s="501"/>
      <c r="BT3196" s="501"/>
      <c r="BU3196" s="501"/>
      <c r="BV3196" s="501"/>
      <c r="BW3196" s="501"/>
      <c r="BX3196" s="501"/>
      <c r="BY3196" s="501"/>
      <c r="BZ3196" s="501"/>
      <c r="CA3196" s="501"/>
      <c r="CB3196" s="501"/>
      <c r="CC3196" s="501"/>
      <c r="CD3196" s="501"/>
      <c r="CE3196" s="501"/>
      <c r="CF3196" s="501"/>
      <c r="CG3196" s="501"/>
      <c r="CH3196" s="501"/>
      <c r="CI3196" s="501"/>
      <c r="CJ3196" s="501"/>
      <c r="CK3196" s="501"/>
      <c r="CL3196" s="501"/>
      <c r="CM3196" s="501"/>
      <c r="CN3196" s="501"/>
      <c r="CO3196" s="501"/>
      <c r="CP3196" s="501"/>
      <c r="CQ3196" s="501"/>
      <c r="CR3196" s="501"/>
      <c r="CS3196" s="501"/>
      <c r="CT3196" s="501"/>
      <c r="CU3196" s="501"/>
      <c r="CV3196" s="501"/>
      <c r="CW3196" s="501"/>
      <c r="CX3196" s="501"/>
      <c r="CY3196" s="501"/>
      <c r="CZ3196" s="501"/>
      <c r="DA3196" s="501"/>
      <c r="DB3196" s="501"/>
      <c r="DC3196" s="501"/>
      <c r="DD3196" s="501"/>
      <c r="DE3196" s="501"/>
      <c r="DF3196" s="501"/>
      <c r="DG3196" s="501"/>
      <c r="DH3196" s="501"/>
      <c r="DI3196" s="501"/>
      <c r="DJ3196" s="501"/>
      <c r="DK3196" s="501"/>
      <c r="DL3196" s="501"/>
      <c r="DM3196" s="501"/>
      <c r="DN3196" s="501"/>
      <c r="DO3196" s="501"/>
      <c r="DP3196" s="501"/>
      <c r="DQ3196" s="501"/>
      <c r="DR3196" s="501"/>
      <c r="DS3196" s="501"/>
      <c r="DT3196" s="501"/>
      <c r="DU3196" s="501"/>
      <c r="DV3196" s="501"/>
      <c r="DW3196" s="501"/>
      <c r="DX3196" s="501"/>
      <c r="DY3196" s="501"/>
      <c r="DZ3196" s="501"/>
      <c r="EA3196" s="501"/>
      <c r="EB3196" s="501"/>
      <c r="EC3196" s="501"/>
      <c r="ED3196" s="501"/>
      <c r="EE3196" s="501"/>
      <c r="EF3196" s="501"/>
      <c r="EG3196" s="501"/>
      <c r="EH3196" s="501"/>
      <c r="EI3196" s="501"/>
      <c r="EJ3196" s="501"/>
      <c r="EK3196" s="501"/>
      <c r="EL3196" s="501"/>
      <c r="EM3196" s="501"/>
      <c r="EN3196" s="501"/>
      <c r="EO3196" s="501"/>
      <c r="EP3196" s="501"/>
      <c r="EQ3196" s="501"/>
      <c r="ER3196" s="501"/>
      <c r="ES3196" s="501"/>
      <c r="ET3196" s="501"/>
      <c r="EU3196" s="501"/>
      <c r="EV3196" s="501"/>
      <c r="EW3196" s="501"/>
      <c r="EX3196" s="501"/>
      <c r="EY3196" s="501"/>
      <c r="EZ3196" s="501"/>
      <c r="FA3196" s="501"/>
      <c r="FB3196" s="501"/>
      <c r="FC3196" s="501"/>
      <c r="FD3196" s="501"/>
      <c r="FE3196" s="501"/>
      <c r="FF3196" s="501"/>
      <c r="FG3196" s="501"/>
      <c r="FH3196" s="501"/>
      <c r="FI3196" s="501"/>
      <c r="FJ3196" s="501"/>
      <c r="FK3196" s="501"/>
      <c r="FL3196" s="501"/>
      <c r="FM3196" s="501"/>
      <c r="FN3196" s="501"/>
      <c r="FO3196" s="501"/>
      <c r="FP3196" s="501"/>
      <c r="FQ3196" s="501"/>
      <c r="FR3196" s="501"/>
      <c r="FS3196" s="501"/>
      <c r="FT3196" s="501"/>
      <c r="FU3196" s="501"/>
      <c r="FV3196" s="501"/>
      <c r="FW3196" s="501"/>
      <c r="FX3196" s="501"/>
      <c r="FY3196" s="501"/>
      <c r="FZ3196" s="501"/>
      <c r="GA3196" s="501"/>
      <c r="GB3196" s="501"/>
      <c r="GC3196" s="501"/>
      <c r="GD3196" s="501"/>
      <c r="GE3196" s="501"/>
      <c r="GF3196" s="501"/>
      <c r="GG3196" s="501"/>
      <c r="GH3196" s="501"/>
      <c r="GI3196" s="501"/>
      <c r="GJ3196" s="501"/>
      <c r="GK3196" s="501"/>
      <c r="GL3196" s="501"/>
      <c r="GM3196" s="501"/>
      <c r="GN3196" s="501"/>
      <c r="GO3196" s="501"/>
      <c r="GP3196" s="501"/>
      <c r="GQ3196" s="501"/>
      <c r="GR3196" s="501"/>
      <c r="GS3196" s="501"/>
      <c r="GT3196" s="501"/>
      <c r="GU3196" s="501"/>
      <c r="GV3196" s="501"/>
      <c r="GW3196" s="501"/>
      <c r="GX3196" s="501"/>
      <c r="GY3196" s="501"/>
      <c r="GZ3196" s="501"/>
      <c r="HA3196" s="501"/>
      <c r="HB3196" s="501"/>
      <c r="HC3196" s="501"/>
      <c r="HD3196" s="501"/>
      <c r="HE3196" s="501"/>
      <c r="HF3196" s="501"/>
      <c r="HG3196" s="501"/>
      <c r="HH3196" s="501"/>
      <c r="HI3196" s="501"/>
      <c r="HJ3196" s="501"/>
      <c r="HK3196" s="501"/>
      <c r="HL3196" s="501"/>
      <c r="HM3196" s="501"/>
      <c r="HN3196" s="501"/>
      <c r="HO3196" s="501"/>
      <c r="HP3196" s="501"/>
      <c r="HQ3196" s="501"/>
      <c r="HR3196" s="501"/>
      <c r="HS3196" s="501"/>
      <c r="HT3196" s="501"/>
      <c r="HU3196" s="501"/>
      <c r="HV3196" s="501"/>
      <c r="HW3196" s="501"/>
      <c r="HX3196" s="501"/>
      <c r="HY3196" s="501"/>
      <c r="HZ3196" s="501"/>
      <c r="IA3196" s="501"/>
      <c r="IB3196" s="501"/>
      <c r="IC3196" s="501"/>
      <c r="ID3196" s="501"/>
      <c r="IE3196" s="501"/>
      <c r="IF3196" s="501"/>
      <c r="IG3196" s="501"/>
      <c r="IH3196" s="501"/>
      <c r="II3196" s="501"/>
      <c r="IJ3196" s="501"/>
      <c r="IK3196" s="501"/>
      <c r="IL3196" s="501"/>
      <c r="IM3196" s="501"/>
      <c r="IN3196" s="501"/>
      <c r="IO3196" s="501"/>
      <c r="IP3196" s="501"/>
      <c r="IQ3196" s="501"/>
      <c r="IR3196" s="501"/>
      <c r="IS3196" s="501"/>
      <c r="IT3196" s="501"/>
      <c r="IU3196" s="501"/>
    </row>
    <row r="3197" spans="1:255" s="877" customFormat="1" ht="24" customHeight="1">
      <c r="A3197" s="501"/>
      <c r="B3197" s="501"/>
      <c r="C3197" s="501"/>
      <c r="D3197" s="501"/>
      <c r="E3197" s="501"/>
      <c r="F3197" s="501"/>
      <c r="G3197" s="915"/>
      <c r="H3197" s="501"/>
      <c r="I3197" s="874"/>
      <c r="J3197" s="501"/>
      <c r="K3197" s="501"/>
      <c r="L3197" s="878"/>
      <c r="M3197" s="554"/>
      <c r="N3197" s="501"/>
      <c r="O3197" s="1097"/>
      <c r="P3197" s="1151"/>
      <c r="Q3197" s="1112"/>
      <c r="R3197" s="1097"/>
      <c r="S3197" s="1103"/>
      <c r="T3197" s="1193"/>
      <c r="V3197" s="501"/>
      <c r="W3197" s="501"/>
      <c r="X3197" s="501"/>
      <c r="Y3197" s="501"/>
      <c r="Z3197" s="501"/>
      <c r="AA3197" s="501"/>
      <c r="AB3197" s="501"/>
      <c r="AC3197" s="501"/>
      <c r="AD3197" s="501"/>
      <c r="AE3197" s="501"/>
      <c r="AF3197" s="501"/>
      <c r="AG3197" s="501"/>
      <c r="AH3197" s="501"/>
      <c r="AI3197" s="501"/>
      <c r="AJ3197" s="501"/>
      <c r="AK3197" s="501"/>
      <c r="AL3197" s="501"/>
      <c r="AM3197" s="501"/>
      <c r="AN3197" s="501"/>
      <c r="AO3197" s="501"/>
      <c r="AP3197" s="501"/>
      <c r="AQ3197" s="501"/>
      <c r="AR3197" s="501"/>
      <c r="AS3197" s="501"/>
      <c r="AT3197" s="501"/>
      <c r="AU3197" s="501"/>
      <c r="AV3197" s="501"/>
      <c r="AW3197" s="501"/>
      <c r="AX3197" s="501"/>
      <c r="AY3197" s="501"/>
      <c r="AZ3197" s="501"/>
      <c r="BA3197" s="501"/>
      <c r="BB3197" s="501"/>
      <c r="BC3197" s="501"/>
      <c r="BD3197" s="501"/>
      <c r="BE3197" s="501"/>
      <c r="BF3197" s="501"/>
      <c r="BG3197" s="501"/>
      <c r="BH3197" s="501"/>
      <c r="BI3197" s="501"/>
      <c r="BJ3197" s="501"/>
      <c r="BK3197" s="501"/>
      <c r="BL3197" s="501"/>
      <c r="BM3197" s="501"/>
      <c r="BN3197" s="501"/>
      <c r="BO3197" s="501"/>
      <c r="BP3197" s="501"/>
      <c r="BQ3197" s="501"/>
      <c r="BR3197" s="501"/>
      <c r="BS3197" s="501"/>
      <c r="BT3197" s="501"/>
      <c r="BU3197" s="501"/>
      <c r="BV3197" s="501"/>
      <c r="BW3197" s="501"/>
      <c r="BX3197" s="501"/>
      <c r="BY3197" s="501"/>
      <c r="BZ3197" s="501"/>
      <c r="CA3197" s="501"/>
      <c r="CB3197" s="501"/>
      <c r="CC3197" s="501"/>
      <c r="CD3197" s="501"/>
      <c r="CE3197" s="501"/>
      <c r="CF3197" s="501"/>
      <c r="CG3197" s="501"/>
      <c r="CH3197" s="501"/>
      <c r="CI3197" s="501"/>
      <c r="CJ3197" s="501"/>
      <c r="CK3197" s="501"/>
      <c r="CL3197" s="501"/>
      <c r="CM3197" s="501"/>
      <c r="CN3197" s="501"/>
      <c r="CO3197" s="501"/>
      <c r="CP3197" s="501"/>
      <c r="CQ3197" s="501"/>
      <c r="CR3197" s="501"/>
      <c r="CS3197" s="501"/>
      <c r="CT3197" s="501"/>
      <c r="CU3197" s="501"/>
      <c r="CV3197" s="501"/>
      <c r="CW3197" s="501"/>
      <c r="CX3197" s="501"/>
      <c r="CY3197" s="501"/>
      <c r="CZ3197" s="501"/>
      <c r="DA3197" s="501"/>
      <c r="DB3197" s="501"/>
      <c r="DC3197" s="501"/>
      <c r="DD3197" s="501"/>
      <c r="DE3197" s="501"/>
      <c r="DF3197" s="501"/>
      <c r="DG3197" s="501"/>
      <c r="DH3197" s="501"/>
      <c r="DI3197" s="501"/>
      <c r="DJ3197" s="501"/>
      <c r="DK3197" s="501"/>
      <c r="DL3197" s="501"/>
      <c r="DM3197" s="501"/>
      <c r="DN3197" s="501"/>
      <c r="DO3197" s="501"/>
      <c r="DP3197" s="501"/>
      <c r="DQ3197" s="501"/>
      <c r="DR3197" s="501"/>
      <c r="DS3197" s="501"/>
      <c r="DT3197" s="501"/>
      <c r="DU3197" s="501"/>
      <c r="DV3197" s="501"/>
      <c r="DW3197" s="501"/>
      <c r="DX3197" s="501"/>
      <c r="DY3197" s="501"/>
      <c r="DZ3197" s="501"/>
      <c r="EA3197" s="501"/>
      <c r="EB3197" s="501"/>
      <c r="EC3197" s="501"/>
      <c r="ED3197" s="501"/>
      <c r="EE3197" s="501"/>
      <c r="EF3197" s="501"/>
      <c r="EG3197" s="501"/>
      <c r="EH3197" s="501"/>
      <c r="EI3197" s="501"/>
      <c r="EJ3197" s="501"/>
      <c r="EK3197" s="501"/>
      <c r="EL3197" s="501"/>
      <c r="EM3197" s="501"/>
      <c r="EN3197" s="501"/>
      <c r="EO3197" s="501"/>
      <c r="EP3197" s="501"/>
      <c r="EQ3197" s="501"/>
      <c r="ER3197" s="501"/>
      <c r="ES3197" s="501"/>
      <c r="ET3197" s="501"/>
      <c r="EU3197" s="501"/>
      <c r="EV3197" s="501"/>
      <c r="EW3197" s="501"/>
      <c r="EX3197" s="501"/>
      <c r="EY3197" s="501"/>
      <c r="EZ3197" s="501"/>
      <c r="FA3197" s="501"/>
      <c r="FB3197" s="501"/>
      <c r="FC3197" s="501"/>
      <c r="FD3197" s="501"/>
      <c r="FE3197" s="501"/>
      <c r="FF3197" s="501"/>
      <c r="FG3197" s="501"/>
      <c r="FH3197" s="501"/>
      <c r="FI3197" s="501"/>
      <c r="FJ3197" s="501"/>
      <c r="FK3197" s="501"/>
      <c r="FL3197" s="501"/>
      <c r="FM3197" s="501"/>
      <c r="FN3197" s="501"/>
      <c r="FO3197" s="501"/>
      <c r="FP3197" s="501"/>
      <c r="FQ3197" s="501"/>
      <c r="FR3197" s="501"/>
      <c r="FS3197" s="501"/>
      <c r="FT3197" s="501"/>
      <c r="FU3197" s="501"/>
      <c r="FV3197" s="501"/>
      <c r="FW3197" s="501"/>
      <c r="FX3197" s="501"/>
      <c r="FY3197" s="501"/>
      <c r="FZ3197" s="501"/>
      <c r="GA3197" s="501"/>
      <c r="GB3197" s="501"/>
      <c r="GC3197" s="501"/>
      <c r="GD3197" s="501"/>
      <c r="GE3197" s="501"/>
      <c r="GF3197" s="501"/>
      <c r="GG3197" s="501"/>
      <c r="GH3197" s="501"/>
      <c r="GI3197" s="501"/>
      <c r="GJ3197" s="501"/>
      <c r="GK3197" s="501"/>
      <c r="GL3197" s="501"/>
      <c r="GM3197" s="501"/>
      <c r="GN3197" s="501"/>
      <c r="GO3197" s="501"/>
      <c r="GP3197" s="501"/>
      <c r="GQ3197" s="501"/>
      <c r="GR3197" s="501"/>
      <c r="GS3197" s="501"/>
      <c r="GT3197" s="501"/>
      <c r="GU3197" s="501"/>
      <c r="GV3197" s="501"/>
      <c r="GW3197" s="501"/>
      <c r="GX3197" s="501"/>
      <c r="GY3197" s="501"/>
      <c r="GZ3197" s="501"/>
      <c r="HA3197" s="501"/>
      <c r="HB3197" s="501"/>
      <c r="HC3197" s="501"/>
      <c r="HD3197" s="501"/>
      <c r="HE3197" s="501"/>
      <c r="HF3197" s="501"/>
      <c r="HG3197" s="501"/>
      <c r="HH3197" s="501"/>
      <c r="HI3197" s="501"/>
      <c r="HJ3197" s="501"/>
      <c r="HK3197" s="501"/>
      <c r="HL3197" s="501"/>
      <c r="HM3197" s="501"/>
      <c r="HN3197" s="501"/>
      <c r="HO3197" s="501"/>
      <c r="HP3197" s="501"/>
      <c r="HQ3197" s="501"/>
      <c r="HR3197" s="501"/>
      <c r="HS3197" s="501"/>
      <c r="HT3197" s="501"/>
      <c r="HU3197" s="501"/>
      <c r="HV3197" s="501"/>
      <c r="HW3197" s="501"/>
      <c r="HX3197" s="501"/>
      <c r="HY3197" s="501"/>
      <c r="HZ3197" s="501"/>
      <c r="IA3197" s="501"/>
      <c r="IB3197" s="501"/>
      <c r="IC3197" s="501"/>
      <c r="ID3197" s="501"/>
      <c r="IE3197" s="501"/>
      <c r="IF3197" s="501"/>
      <c r="IG3197" s="501"/>
      <c r="IH3197" s="501"/>
      <c r="II3197" s="501"/>
      <c r="IJ3197" s="501"/>
      <c r="IK3197" s="501"/>
      <c r="IL3197" s="501"/>
      <c r="IM3197" s="501"/>
      <c r="IN3197" s="501"/>
      <c r="IO3197" s="501"/>
      <c r="IP3197" s="501"/>
      <c r="IQ3197" s="501"/>
      <c r="IR3197" s="501"/>
      <c r="IS3197" s="501"/>
      <c r="IT3197" s="501"/>
      <c r="IU3197" s="501"/>
    </row>
    <row r="3198" spans="1:255" s="877" customFormat="1" ht="24" customHeight="1">
      <c r="A3198" s="501"/>
      <c r="B3198" s="501"/>
      <c r="C3198" s="501"/>
      <c r="D3198" s="501"/>
      <c r="E3198" s="501"/>
      <c r="F3198" s="501"/>
      <c r="G3198" s="915"/>
      <c r="H3198" s="501"/>
      <c r="I3198" s="874"/>
      <c r="J3198" s="501"/>
      <c r="K3198" s="501"/>
      <c r="L3198" s="878"/>
      <c r="M3198" s="554"/>
      <c r="N3198" s="501"/>
      <c r="O3198" s="974"/>
      <c r="P3198" s="1152"/>
      <c r="Q3198" s="973"/>
      <c r="R3198" s="1097"/>
      <c r="S3198" s="1101"/>
      <c r="T3198" s="1097"/>
      <c r="V3198" s="501"/>
      <c r="W3198" s="501"/>
      <c r="X3198" s="501"/>
      <c r="Y3198" s="501"/>
      <c r="Z3198" s="501"/>
      <c r="AA3198" s="501"/>
      <c r="AB3198" s="501"/>
      <c r="AC3198" s="501"/>
      <c r="AD3198" s="501"/>
      <c r="AE3198" s="501"/>
      <c r="AF3198" s="501"/>
      <c r="AG3198" s="501"/>
      <c r="AH3198" s="501"/>
      <c r="AI3198" s="501"/>
      <c r="AJ3198" s="501"/>
      <c r="AK3198" s="501"/>
      <c r="AL3198" s="501"/>
      <c r="AM3198" s="501"/>
      <c r="AN3198" s="501"/>
      <c r="AO3198" s="501"/>
      <c r="AP3198" s="501"/>
      <c r="AQ3198" s="501"/>
      <c r="AR3198" s="501"/>
      <c r="AS3198" s="501"/>
      <c r="AT3198" s="501"/>
      <c r="AU3198" s="501"/>
      <c r="AV3198" s="501"/>
      <c r="AW3198" s="501"/>
      <c r="AX3198" s="501"/>
      <c r="AY3198" s="501"/>
      <c r="AZ3198" s="501"/>
      <c r="BA3198" s="501"/>
      <c r="BB3198" s="501"/>
      <c r="BC3198" s="501"/>
      <c r="BD3198" s="501"/>
      <c r="BE3198" s="501"/>
      <c r="BF3198" s="501"/>
      <c r="BG3198" s="501"/>
      <c r="BH3198" s="501"/>
      <c r="BI3198" s="501"/>
      <c r="BJ3198" s="501"/>
      <c r="BK3198" s="501"/>
      <c r="BL3198" s="501"/>
      <c r="BM3198" s="501"/>
      <c r="BN3198" s="501"/>
      <c r="BO3198" s="501"/>
      <c r="BP3198" s="501"/>
      <c r="BQ3198" s="501"/>
      <c r="BR3198" s="501"/>
      <c r="BS3198" s="501"/>
      <c r="BT3198" s="501"/>
      <c r="BU3198" s="501"/>
      <c r="BV3198" s="501"/>
      <c r="BW3198" s="501"/>
      <c r="BX3198" s="501"/>
      <c r="BY3198" s="501"/>
      <c r="BZ3198" s="501"/>
      <c r="CA3198" s="501"/>
      <c r="CB3198" s="501"/>
      <c r="CC3198" s="501"/>
      <c r="CD3198" s="501"/>
      <c r="CE3198" s="501"/>
      <c r="CF3198" s="501"/>
      <c r="CG3198" s="501"/>
      <c r="CH3198" s="501"/>
      <c r="CI3198" s="501"/>
      <c r="CJ3198" s="501"/>
      <c r="CK3198" s="501"/>
      <c r="CL3198" s="501"/>
      <c r="CM3198" s="501"/>
      <c r="CN3198" s="501"/>
      <c r="CO3198" s="501"/>
      <c r="CP3198" s="501"/>
      <c r="CQ3198" s="501"/>
      <c r="CR3198" s="501"/>
      <c r="CS3198" s="501"/>
      <c r="CT3198" s="501"/>
      <c r="CU3198" s="501"/>
      <c r="CV3198" s="501"/>
      <c r="CW3198" s="501"/>
      <c r="CX3198" s="501"/>
      <c r="CY3198" s="501"/>
      <c r="CZ3198" s="501"/>
      <c r="DA3198" s="501"/>
      <c r="DB3198" s="501"/>
      <c r="DC3198" s="501"/>
      <c r="DD3198" s="501"/>
      <c r="DE3198" s="501"/>
      <c r="DF3198" s="501"/>
      <c r="DG3198" s="501"/>
      <c r="DH3198" s="501"/>
      <c r="DI3198" s="501"/>
      <c r="DJ3198" s="501"/>
      <c r="DK3198" s="501"/>
      <c r="DL3198" s="501"/>
      <c r="DM3198" s="501"/>
      <c r="DN3198" s="501"/>
      <c r="DO3198" s="501"/>
      <c r="DP3198" s="501"/>
      <c r="DQ3198" s="501"/>
      <c r="DR3198" s="501"/>
      <c r="DS3198" s="501"/>
      <c r="DT3198" s="501"/>
      <c r="DU3198" s="501"/>
      <c r="DV3198" s="501"/>
      <c r="DW3198" s="501"/>
      <c r="DX3198" s="501"/>
      <c r="DY3198" s="501"/>
      <c r="DZ3198" s="501"/>
      <c r="EA3198" s="501"/>
      <c r="EB3198" s="501"/>
      <c r="EC3198" s="501"/>
      <c r="ED3198" s="501"/>
      <c r="EE3198" s="501"/>
      <c r="EF3198" s="501"/>
      <c r="EG3198" s="501"/>
      <c r="EH3198" s="501"/>
      <c r="EI3198" s="501"/>
      <c r="EJ3198" s="501"/>
      <c r="EK3198" s="501"/>
      <c r="EL3198" s="501"/>
      <c r="EM3198" s="501"/>
      <c r="EN3198" s="501"/>
      <c r="EO3198" s="501"/>
      <c r="EP3198" s="501"/>
      <c r="EQ3198" s="501"/>
      <c r="ER3198" s="501"/>
      <c r="ES3198" s="501"/>
      <c r="ET3198" s="501"/>
      <c r="EU3198" s="501"/>
      <c r="EV3198" s="501"/>
      <c r="EW3198" s="501"/>
      <c r="EX3198" s="501"/>
      <c r="EY3198" s="501"/>
      <c r="EZ3198" s="501"/>
      <c r="FA3198" s="501"/>
      <c r="FB3198" s="501"/>
      <c r="FC3198" s="501"/>
      <c r="FD3198" s="501"/>
      <c r="FE3198" s="501"/>
      <c r="FF3198" s="501"/>
      <c r="FG3198" s="501"/>
      <c r="FH3198" s="501"/>
      <c r="FI3198" s="501"/>
      <c r="FJ3198" s="501"/>
      <c r="FK3198" s="501"/>
      <c r="FL3198" s="501"/>
      <c r="FM3198" s="501"/>
      <c r="FN3198" s="501"/>
      <c r="FO3198" s="501"/>
      <c r="FP3198" s="501"/>
      <c r="FQ3198" s="501"/>
      <c r="FR3198" s="501"/>
      <c r="FS3198" s="501"/>
      <c r="FT3198" s="501"/>
      <c r="FU3198" s="501"/>
      <c r="FV3198" s="501"/>
      <c r="FW3198" s="501"/>
      <c r="FX3198" s="501"/>
      <c r="FY3198" s="501"/>
      <c r="FZ3198" s="501"/>
      <c r="GA3198" s="501"/>
      <c r="GB3198" s="501"/>
      <c r="GC3198" s="501"/>
      <c r="GD3198" s="501"/>
      <c r="GE3198" s="501"/>
      <c r="GF3198" s="501"/>
      <c r="GG3198" s="501"/>
      <c r="GH3198" s="501"/>
      <c r="GI3198" s="501"/>
      <c r="GJ3198" s="501"/>
      <c r="GK3198" s="501"/>
      <c r="GL3198" s="501"/>
      <c r="GM3198" s="501"/>
      <c r="GN3198" s="501"/>
      <c r="GO3198" s="501"/>
      <c r="GP3198" s="501"/>
      <c r="GQ3198" s="501"/>
      <c r="GR3198" s="501"/>
      <c r="GS3198" s="501"/>
      <c r="GT3198" s="501"/>
      <c r="GU3198" s="501"/>
      <c r="GV3198" s="501"/>
      <c r="GW3198" s="501"/>
      <c r="GX3198" s="501"/>
      <c r="GY3198" s="501"/>
      <c r="GZ3198" s="501"/>
      <c r="HA3198" s="501"/>
      <c r="HB3198" s="501"/>
      <c r="HC3198" s="501"/>
      <c r="HD3198" s="501"/>
      <c r="HE3198" s="501"/>
      <c r="HF3198" s="501"/>
      <c r="HG3198" s="501"/>
      <c r="HH3198" s="501"/>
      <c r="HI3198" s="501"/>
      <c r="HJ3198" s="501"/>
      <c r="HK3198" s="501"/>
      <c r="HL3198" s="501"/>
      <c r="HM3198" s="501"/>
      <c r="HN3198" s="501"/>
      <c r="HO3198" s="501"/>
      <c r="HP3198" s="501"/>
      <c r="HQ3198" s="501"/>
      <c r="HR3198" s="501"/>
      <c r="HS3198" s="501"/>
      <c r="HT3198" s="501"/>
      <c r="HU3198" s="501"/>
      <c r="HV3198" s="501"/>
      <c r="HW3198" s="501"/>
      <c r="HX3198" s="501"/>
      <c r="HY3198" s="501"/>
      <c r="HZ3198" s="501"/>
      <c r="IA3198" s="501"/>
      <c r="IB3198" s="501"/>
      <c r="IC3198" s="501"/>
      <c r="ID3198" s="501"/>
      <c r="IE3198" s="501"/>
      <c r="IF3198" s="501"/>
      <c r="IG3198" s="501"/>
      <c r="IH3198" s="501"/>
      <c r="II3198" s="501"/>
      <c r="IJ3198" s="501"/>
      <c r="IK3198" s="501"/>
      <c r="IL3198" s="501"/>
      <c r="IM3198" s="501"/>
      <c r="IN3198" s="501"/>
      <c r="IO3198" s="501"/>
      <c r="IP3198" s="501"/>
      <c r="IQ3198" s="501"/>
      <c r="IR3198" s="501"/>
      <c r="IS3198" s="501"/>
      <c r="IT3198" s="501"/>
      <c r="IU3198" s="501"/>
    </row>
    <row r="3199" spans="1:255" s="877" customFormat="1" ht="24" customHeight="1">
      <c r="A3199" s="501"/>
      <c r="B3199" s="501"/>
      <c r="C3199" s="501"/>
      <c r="D3199" s="501"/>
      <c r="E3199" s="501"/>
      <c r="F3199" s="501"/>
      <c r="G3199" s="915"/>
      <c r="H3199" s="501"/>
      <c r="I3199" s="874"/>
      <c r="J3199" s="501"/>
      <c r="K3199" s="501"/>
      <c r="L3199" s="878"/>
      <c r="M3199" s="554"/>
      <c r="N3199" s="501"/>
      <c r="O3199" s="1097"/>
      <c r="P3199" s="1151"/>
      <c r="Q3199" s="973"/>
      <c r="R3199" s="1097"/>
      <c r="S3199" s="1101"/>
      <c r="T3199" s="1097"/>
      <c r="V3199" s="501"/>
      <c r="W3199" s="501"/>
      <c r="X3199" s="501"/>
      <c r="Y3199" s="501"/>
      <c r="Z3199" s="501"/>
      <c r="AA3199" s="501"/>
      <c r="AB3199" s="501"/>
      <c r="AC3199" s="501"/>
      <c r="AD3199" s="501"/>
      <c r="AE3199" s="501"/>
      <c r="AF3199" s="501"/>
      <c r="AG3199" s="501"/>
      <c r="AH3199" s="501"/>
      <c r="AI3199" s="501"/>
      <c r="AJ3199" s="501"/>
      <c r="AK3199" s="501"/>
      <c r="AL3199" s="501"/>
      <c r="AM3199" s="501"/>
      <c r="AN3199" s="501"/>
      <c r="AO3199" s="501"/>
      <c r="AP3199" s="501"/>
      <c r="AQ3199" s="501"/>
      <c r="AR3199" s="501"/>
      <c r="AS3199" s="501"/>
      <c r="AT3199" s="501"/>
      <c r="AU3199" s="501"/>
      <c r="AV3199" s="501"/>
      <c r="AW3199" s="501"/>
      <c r="AX3199" s="501"/>
      <c r="AY3199" s="501"/>
      <c r="AZ3199" s="501"/>
      <c r="BA3199" s="501"/>
      <c r="BB3199" s="501"/>
      <c r="BC3199" s="501"/>
      <c r="BD3199" s="501"/>
      <c r="BE3199" s="501"/>
      <c r="BF3199" s="501"/>
      <c r="BG3199" s="501"/>
      <c r="BH3199" s="501"/>
      <c r="BI3199" s="501"/>
      <c r="BJ3199" s="501"/>
      <c r="BK3199" s="501"/>
      <c r="BL3199" s="501"/>
      <c r="BM3199" s="501"/>
      <c r="BN3199" s="501"/>
      <c r="BO3199" s="501"/>
      <c r="BP3199" s="501"/>
      <c r="BQ3199" s="501"/>
      <c r="BR3199" s="501"/>
      <c r="BS3199" s="501"/>
      <c r="BT3199" s="501"/>
      <c r="BU3199" s="501"/>
      <c r="BV3199" s="501"/>
      <c r="BW3199" s="501"/>
      <c r="BX3199" s="501"/>
      <c r="BY3199" s="501"/>
      <c r="BZ3199" s="501"/>
      <c r="CA3199" s="501"/>
      <c r="CB3199" s="501"/>
      <c r="CC3199" s="501"/>
      <c r="CD3199" s="501"/>
      <c r="CE3199" s="501"/>
      <c r="CF3199" s="501"/>
      <c r="CG3199" s="501"/>
      <c r="CH3199" s="501"/>
      <c r="CI3199" s="501"/>
      <c r="CJ3199" s="501"/>
      <c r="CK3199" s="501"/>
      <c r="CL3199" s="501"/>
      <c r="CM3199" s="501"/>
      <c r="CN3199" s="501"/>
      <c r="CO3199" s="501"/>
      <c r="CP3199" s="501"/>
      <c r="CQ3199" s="501"/>
      <c r="CR3199" s="501"/>
      <c r="CS3199" s="501"/>
      <c r="CT3199" s="501"/>
      <c r="CU3199" s="501"/>
      <c r="CV3199" s="501"/>
      <c r="CW3199" s="501"/>
      <c r="CX3199" s="501"/>
      <c r="CY3199" s="501"/>
      <c r="CZ3199" s="501"/>
      <c r="DA3199" s="501"/>
      <c r="DB3199" s="501"/>
      <c r="DC3199" s="501"/>
      <c r="DD3199" s="501"/>
      <c r="DE3199" s="501"/>
      <c r="DF3199" s="501"/>
      <c r="DG3199" s="501"/>
      <c r="DH3199" s="501"/>
      <c r="DI3199" s="501"/>
      <c r="DJ3199" s="501"/>
      <c r="DK3199" s="501"/>
      <c r="DL3199" s="501"/>
      <c r="DM3199" s="501"/>
      <c r="DN3199" s="501"/>
      <c r="DO3199" s="501"/>
      <c r="DP3199" s="501"/>
      <c r="DQ3199" s="501"/>
      <c r="DR3199" s="501"/>
      <c r="DS3199" s="501"/>
      <c r="DT3199" s="501"/>
      <c r="DU3199" s="501"/>
      <c r="DV3199" s="501"/>
      <c r="DW3199" s="501"/>
      <c r="DX3199" s="501"/>
      <c r="DY3199" s="501"/>
      <c r="DZ3199" s="501"/>
      <c r="EA3199" s="501"/>
      <c r="EB3199" s="501"/>
      <c r="EC3199" s="501"/>
      <c r="ED3199" s="501"/>
      <c r="EE3199" s="501"/>
      <c r="EF3199" s="501"/>
      <c r="EG3199" s="501"/>
      <c r="EH3199" s="501"/>
      <c r="EI3199" s="501"/>
      <c r="EJ3199" s="501"/>
      <c r="EK3199" s="501"/>
      <c r="EL3199" s="501"/>
      <c r="EM3199" s="501"/>
      <c r="EN3199" s="501"/>
      <c r="EO3199" s="501"/>
      <c r="EP3199" s="501"/>
      <c r="EQ3199" s="501"/>
      <c r="ER3199" s="501"/>
      <c r="ES3199" s="501"/>
      <c r="ET3199" s="501"/>
      <c r="EU3199" s="501"/>
      <c r="EV3199" s="501"/>
      <c r="EW3199" s="501"/>
      <c r="EX3199" s="501"/>
      <c r="EY3199" s="501"/>
      <c r="EZ3199" s="501"/>
      <c r="FA3199" s="501"/>
      <c r="FB3199" s="501"/>
      <c r="FC3199" s="501"/>
      <c r="FD3199" s="501"/>
      <c r="FE3199" s="501"/>
      <c r="FF3199" s="501"/>
      <c r="FG3199" s="501"/>
      <c r="FH3199" s="501"/>
      <c r="FI3199" s="501"/>
      <c r="FJ3199" s="501"/>
      <c r="FK3199" s="501"/>
      <c r="FL3199" s="501"/>
      <c r="FM3199" s="501"/>
      <c r="FN3199" s="501"/>
      <c r="FO3199" s="501"/>
      <c r="FP3199" s="501"/>
      <c r="FQ3199" s="501"/>
      <c r="FR3199" s="501"/>
      <c r="FS3199" s="501"/>
      <c r="FT3199" s="501"/>
      <c r="FU3199" s="501"/>
      <c r="FV3199" s="501"/>
      <c r="FW3199" s="501"/>
      <c r="FX3199" s="501"/>
      <c r="FY3199" s="501"/>
      <c r="FZ3199" s="501"/>
      <c r="GA3199" s="501"/>
      <c r="GB3199" s="501"/>
      <c r="GC3199" s="501"/>
      <c r="GD3199" s="501"/>
      <c r="GE3199" s="501"/>
      <c r="GF3199" s="501"/>
      <c r="GG3199" s="501"/>
      <c r="GH3199" s="501"/>
      <c r="GI3199" s="501"/>
      <c r="GJ3199" s="501"/>
      <c r="GK3199" s="501"/>
      <c r="GL3199" s="501"/>
      <c r="GM3199" s="501"/>
      <c r="GN3199" s="501"/>
      <c r="GO3199" s="501"/>
      <c r="GP3199" s="501"/>
      <c r="GQ3199" s="501"/>
      <c r="GR3199" s="501"/>
      <c r="GS3199" s="501"/>
      <c r="GT3199" s="501"/>
      <c r="GU3199" s="501"/>
      <c r="GV3199" s="501"/>
      <c r="GW3199" s="501"/>
      <c r="GX3199" s="501"/>
      <c r="GY3199" s="501"/>
      <c r="GZ3199" s="501"/>
      <c r="HA3199" s="501"/>
      <c r="HB3199" s="501"/>
      <c r="HC3199" s="501"/>
      <c r="HD3199" s="501"/>
      <c r="HE3199" s="501"/>
      <c r="HF3199" s="501"/>
      <c r="HG3199" s="501"/>
      <c r="HH3199" s="501"/>
      <c r="HI3199" s="501"/>
      <c r="HJ3199" s="501"/>
      <c r="HK3199" s="501"/>
      <c r="HL3199" s="501"/>
      <c r="HM3199" s="501"/>
      <c r="HN3199" s="501"/>
      <c r="HO3199" s="501"/>
      <c r="HP3199" s="501"/>
      <c r="HQ3199" s="501"/>
      <c r="HR3199" s="501"/>
      <c r="HS3199" s="501"/>
      <c r="HT3199" s="501"/>
      <c r="HU3199" s="501"/>
      <c r="HV3199" s="501"/>
      <c r="HW3199" s="501"/>
      <c r="HX3199" s="501"/>
      <c r="HY3199" s="501"/>
      <c r="HZ3199" s="501"/>
      <c r="IA3199" s="501"/>
      <c r="IB3199" s="501"/>
      <c r="IC3199" s="501"/>
      <c r="ID3199" s="501"/>
      <c r="IE3199" s="501"/>
      <c r="IF3199" s="501"/>
      <c r="IG3199" s="501"/>
      <c r="IH3199" s="501"/>
      <c r="II3199" s="501"/>
      <c r="IJ3199" s="501"/>
      <c r="IK3199" s="501"/>
      <c r="IL3199" s="501"/>
      <c r="IM3199" s="501"/>
      <c r="IN3199" s="501"/>
      <c r="IO3199" s="501"/>
      <c r="IP3199" s="501"/>
      <c r="IQ3199" s="501"/>
      <c r="IR3199" s="501"/>
      <c r="IS3199" s="501"/>
      <c r="IT3199" s="501"/>
      <c r="IU3199" s="501"/>
    </row>
    <row r="3200" spans="1:255" s="877" customFormat="1" ht="24" customHeight="1">
      <c r="A3200" s="501"/>
      <c r="B3200" s="501"/>
      <c r="C3200" s="501"/>
      <c r="D3200" s="501"/>
      <c r="E3200" s="501"/>
      <c r="F3200" s="501"/>
      <c r="G3200" s="915"/>
      <c r="H3200" s="501"/>
      <c r="I3200" s="874"/>
      <c r="J3200" s="501"/>
      <c r="K3200" s="501"/>
      <c r="L3200" s="878"/>
      <c r="M3200" s="554"/>
      <c r="N3200" s="501"/>
      <c r="O3200" s="1097"/>
      <c r="P3200" s="1151"/>
      <c r="Q3200" s="1184"/>
      <c r="R3200" s="1097"/>
      <c r="S3200" s="1101"/>
      <c r="T3200" s="1097"/>
      <c r="V3200" s="501"/>
      <c r="W3200" s="501"/>
      <c r="X3200" s="501"/>
      <c r="Y3200" s="501"/>
      <c r="Z3200" s="501"/>
      <c r="AA3200" s="501"/>
      <c r="AB3200" s="501"/>
      <c r="AC3200" s="501"/>
      <c r="AD3200" s="501"/>
      <c r="AE3200" s="501"/>
      <c r="AF3200" s="501"/>
      <c r="AG3200" s="501"/>
      <c r="AH3200" s="501"/>
      <c r="AI3200" s="501"/>
      <c r="AJ3200" s="501"/>
      <c r="AK3200" s="501"/>
      <c r="AL3200" s="501"/>
      <c r="AM3200" s="501"/>
      <c r="AN3200" s="501"/>
      <c r="AO3200" s="501"/>
      <c r="AP3200" s="501"/>
      <c r="AQ3200" s="501"/>
      <c r="AR3200" s="501"/>
      <c r="AS3200" s="501"/>
      <c r="AT3200" s="501"/>
      <c r="AU3200" s="501"/>
      <c r="AV3200" s="501"/>
      <c r="AW3200" s="501"/>
      <c r="AX3200" s="501"/>
      <c r="AY3200" s="501"/>
      <c r="AZ3200" s="501"/>
      <c r="BA3200" s="501"/>
      <c r="BB3200" s="501"/>
      <c r="BC3200" s="501"/>
      <c r="BD3200" s="501"/>
      <c r="BE3200" s="501"/>
      <c r="BF3200" s="501"/>
      <c r="BG3200" s="501"/>
      <c r="BH3200" s="501"/>
      <c r="BI3200" s="501"/>
      <c r="BJ3200" s="501"/>
      <c r="BK3200" s="501"/>
      <c r="BL3200" s="501"/>
      <c r="BM3200" s="501"/>
      <c r="BN3200" s="501"/>
      <c r="BO3200" s="501"/>
      <c r="BP3200" s="501"/>
      <c r="BQ3200" s="501"/>
      <c r="BR3200" s="501"/>
      <c r="BS3200" s="501"/>
      <c r="BT3200" s="501"/>
      <c r="BU3200" s="501"/>
      <c r="BV3200" s="501"/>
      <c r="BW3200" s="501"/>
      <c r="BX3200" s="501"/>
      <c r="BY3200" s="501"/>
      <c r="BZ3200" s="501"/>
      <c r="CA3200" s="501"/>
      <c r="CB3200" s="501"/>
      <c r="CC3200" s="501"/>
      <c r="CD3200" s="501"/>
      <c r="CE3200" s="501"/>
      <c r="CF3200" s="501"/>
      <c r="CG3200" s="501"/>
      <c r="CH3200" s="501"/>
      <c r="CI3200" s="501"/>
      <c r="CJ3200" s="501"/>
      <c r="CK3200" s="501"/>
      <c r="CL3200" s="501"/>
      <c r="CM3200" s="501"/>
      <c r="CN3200" s="501"/>
      <c r="CO3200" s="501"/>
      <c r="CP3200" s="501"/>
      <c r="CQ3200" s="501"/>
      <c r="CR3200" s="501"/>
      <c r="CS3200" s="501"/>
      <c r="CT3200" s="501"/>
      <c r="CU3200" s="501"/>
      <c r="CV3200" s="501"/>
      <c r="CW3200" s="501"/>
      <c r="CX3200" s="501"/>
      <c r="CY3200" s="501"/>
      <c r="CZ3200" s="501"/>
      <c r="DA3200" s="501"/>
      <c r="DB3200" s="501"/>
      <c r="DC3200" s="501"/>
      <c r="DD3200" s="501"/>
      <c r="DE3200" s="501"/>
      <c r="DF3200" s="501"/>
      <c r="DG3200" s="501"/>
      <c r="DH3200" s="501"/>
      <c r="DI3200" s="501"/>
      <c r="DJ3200" s="501"/>
      <c r="DK3200" s="501"/>
      <c r="DL3200" s="501"/>
      <c r="DM3200" s="501"/>
      <c r="DN3200" s="501"/>
      <c r="DO3200" s="501"/>
      <c r="DP3200" s="501"/>
      <c r="DQ3200" s="501"/>
      <c r="DR3200" s="501"/>
      <c r="DS3200" s="501"/>
      <c r="DT3200" s="501"/>
      <c r="DU3200" s="501"/>
      <c r="DV3200" s="501"/>
      <c r="DW3200" s="501"/>
      <c r="DX3200" s="501"/>
      <c r="DY3200" s="501"/>
      <c r="DZ3200" s="501"/>
      <c r="EA3200" s="501"/>
      <c r="EB3200" s="501"/>
      <c r="EC3200" s="501"/>
      <c r="ED3200" s="501"/>
      <c r="EE3200" s="501"/>
      <c r="EF3200" s="501"/>
      <c r="EG3200" s="501"/>
      <c r="EH3200" s="501"/>
      <c r="EI3200" s="501"/>
      <c r="EJ3200" s="501"/>
      <c r="EK3200" s="501"/>
      <c r="EL3200" s="501"/>
      <c r="EM3200" s="501"/>
      <c r="EN3200" s="501"/>
      <c r="EO3200" s="501"/>
      <c r="EP3200" s="501"/>
      <c r="EQ3200" s="501"/>
      <c r="ER3200" s="501"/>
      <c r="ES3200" s="501"/>
      <c r="ET3200" s="501"/>
      <c r="EU3200" s="501"/>
      <c r="EV3200" s="501"/>
      <c r="EW3200" s="501"/>
      <c r="EX3200" s="501"/>
      <c r="EY3200" s="501"/>
      <c r="EZ3200" s="501"/>
      <c r="FA3200" s="501"/>
      <c r="FB3200" s="501"/>
      <c r="FC3200" s="501"/>
      <c r="FD3200" s="501"/>
      <c r="FE3200" s="501"/>
      <c r="FF3200" s="501"/>
      <c r="FG3200" s="501"/>
      <c r="FH3200" s="501"/>
      <c r="FI3200" s="501"/>
      <c r="FJ3200" s="501"/>
      <c r="FK3200" s="501"/>
      <c r="FL3200" s="501"/>
      <c r="FM3200" s="501"/>
      <c r="FN3200" s="501"/>
      <c r="FO3200" s="501"/>
      <c r="FP3200" s="501"/>
      <c r="FQ3200" s="501"/>
      <c r="FR3200" s="501"/>
      <c r="FS3200" s="501"/>
      <c r="FT3200" s="501"/>
      <c r="FU3200" s="501"/>
      <c r="FV3200" s="501"/>
      <c r="FW3200" s="501"/>
      <c r="FX3200" s="501"/>
      <c r="FY3200" s="501"/>
      <c r="FZ3200" s="501"/>
      <c r="GA3200" s="501"/>
      <c r="GB3200" s="501"/>
      <c r="GC3200" s="501"/>
      <c r="GD3200" s="501"/>
      <c r="GE3200" s="501"/>
      <c r="GF3200" s="501"/>
      <c r="GG3200" s="501"/>
      <c r="GH3200" s="501"/>
      <c r="GI3200" s="501"/>
      <c r="GJ3200" s="501"/>
      <c r="GK3200" s="501"/>
      <c r="GL3200" s="501"/>
      <c r="GM3200" s="501"/>
      <c r="GN3200" s="501"/>
      <c r="GO3200" s="501"/>
      <c r="GP3200" s="501"/>
      <c r="GQ3200" s="501"/>
      <c r="GR3200" s="501"/>
      <c r="GS3200" s="501"/>
      <c r="GT3200" s="501"/>
      <c r="GU3200" s="501"/>
      <c r="GV3200" s="501"/>
      <c r="GW3200" s="501"/>
      <c r="GX3200" s="501"/>
      <c r="GY3200" s="501"/>
      <c r="GZ3200" s="501"/>
      <c r="HA3200" s="501"/>
      <c r="HB3200" s="501"/>
      <c r="HC3200" s="501"/>
      <c r="HD3200" s="501"/>
      <c r="HE3200" s="501"/>
      <c r="HF3200" s="501"/>
      <c r="HG3200" s="501"/>
      <c r="HH3200" s="501"/>
      <c r="HI3200" s="501"/>
      <c r="HJ3200" s="501"/>
      <c r="HK3200" s="501"/>
      <c r="HL3200" s="501"/>
      <c r="HM3200" s="501"/>
      <c r="HN3200" s="501"/>
      <c r="HO3200" s="501"/>
      <c r="HP3200" s="501"/>
      <c r="HQ3200" s="501"/>
      <c r="HR3200" s="501"/>
      <c r="HS3200" s="501"/>
      <c r="HT3200" s="501"/>
      <c r="HU3200" s="501"/>
      <c r="HV3200" s="501"/>
      <c r="HW3200" s="501"/>
      <c r="HX3200" s="501"/>
      <c r="HY3200" s="501"/>
      <c r="HZ3200" s="501"/>
      <c r="IA3200" s="501"/>
      <c r="IB3200" s="501"/>
      <c r="IC3200" s="501"/>
      <c r="ID3200" s="501"/>
      <c r="IE3200" s="501"/>
      <c r="IF3200" s="501"/>
      <c r="IG3200" s="501"/>
      <c r="IH3200" s="501"/>
      <c r="II3200" s="501"/>
      <c r="IJ3200" s="501"/>
      <c r="IK3200" s="501"/>
      <c r="IL3200" s="501"/>
      <c r="IM3200" s="501"/>
      <c r="IN3200" s="501"/>
      <c r="IO3200" s="501"/>
      <c r="IP3200" s="501"/>
      <c r="IQ3200" s="501"/>
      <c r="IR3200" s="501"/>
      <c r="IS3200" s="501"/>
      <c r="IT3200" s="501"/>
      <c r="IU3200" s="501"/>
    </row>
    <row r="3201" spans="1:255" s="877" customFormat="1" ht="24" customHeight="1">
      <c r="A3201" s="501"/>
      <c r="B3201" s="501"/>
      <c r="C3201" s="501"/>
      <c r="D3201" s="501"/>
      <c r="E3201" s="501"/>
      <c r="F3201" s="501"/>
      <c r="G3201" s="915"/>
      <c r="H3201" s="501"/>
      <c r="I3201" s="874"/>
      <c r="J3201" s="501"/>
      <c r="K3201" s="501"/>
      <c r="L3201" s="878"/>
      <c r="M3201" s="554"/>
      <c r="N3201" s="501"/>
      <c r="O3201" s="1097"/>
      <c r="P3201" s="1151"/>
      <c r="Q3201" s="1106"/>
      <c r="R3201" s="1097"/>
      <c r="S3201" s="1101"/>
      <c r="T3201" s="1097"/>
      <c r="V3201" s="501"/>
      <c r="W3201" s="501"/>
      <c r="X3201" s="501"/>
      <c r="Y3201" s="501"/>
      <c r="Z3201" s="501"/>
      <c r="AA3201" s="501"/>
      <c r="AB3201" s="501"/>
      <c r="AC3201" s="501"/>
      <c r="AD3201" s="501"/>
      <c r="AE3201" s="501"/>
      <c r="AF3201" s="501"/>
      <c r="AG3201" s="501"/>
      <c r="AH3201" s="501"/>
      <c r="AI3201" s="501"/>
      <c r="AJ3201" s="501"/>
      <c r="AK3201" s="501"/>
      <c r="AL3201" s="501"/>
      <c r="AM3201" s="501"/>
      <c r="AN3201" s="501"/>
      <c r="AO3201" s="501"/>
      <c r="AP3201" s="501"/>
      <c r="AQ3201" s="501"/>
      <c r="AR3201" s="501"/>
      <c r="AS3201" s="501"/>
      <c r="AT3201" s="501"/>
      <c r="AU3201" s="501"/>
      <c r="AV3201" s="501"/>
      <c r="AW3201" s="501"/>
      <c r="AX3201" s="501"/>
      <c r="AY3201" s="501"/>
      <c r="AZ3201" s="501"/>
      <c r="BA3201" s="501"/>
      <c r="BB3201" s="501"/>
      <c r="BC3201" s="501"/>
      <c r="BD3201" s="501"/>
      <c r="BE3201" s="501"/>
      <c r="BF3201" s="501"/>
      <c r="BG3201" s="501"/>
      <c r="BH3201" s="501"/>
      <c r="BI3201" s="501"/>
      <c r="BJ3201" s="501"/>
      <c r="BK3201" s="501"/>
      <c r="BL3201" s="501"/>
      <c r="BM3201" s="501"/>
      <c r="BN3201" s="501"/>
      <c r="BO3201" s="501"/>
      <c r="BP3201" s="501"/>
      <c r="BQ3201" s="501"/>
      <c r="BR3201" s="501"/>
      <c r="BS3201" s="501"/>
      <c r="BT3201" s="501"/>
      <c r="BU3201" s="501"/>
      <c r="BV3201" s="501"/>
      <c r="BW3201" s="501"/>
      <c r="BX3201" s="501"/>
      <c r="BY3201" s="501"/>
      <c r="BZ3201" s="501"/>
      <c r="CA3201" s="501"/>
      <c r="CB3201" s="501"/>
      <c r="CC3201" s="501"/>
      <c r="CD3201" s="501"/>
      <c r="CE3201" s="501"/>
      <c r="CF3201" s="501"/>
      <c r="CG3201" s="501"/>
      <c r="CH3201" s="501"/>
      <c r="CI3201" s="501"/>
      <c r="CJ3201" s="501"/>
      <c r="CK3201" s="501"/>
      <c r="CL3201" s="501"/>
      <c r="CM3201" s="501"/>
      <c r="CN3201" s="501"/>
      <c r="CO3201" s="501"/>
      <c r="CP3201" s="501"/>
      <c r="CQ3201" s="501"/>
      <c r="CR3201" s="501"/>
      <c r="CS3201" s="501"/>
      <c r="CT3201" s="501"/>
      <c r="CU3201" s="501"/>
      <c r="CV3201" s="501"/>
      <c r="CW3201" s="501"/>
      <c r="CX3201" s="501"/>
      <c r="CY3201" s="501"/>
      <c r="CZ3201" s="501"/>
      <c r="DA3201" s="501"/>
      <c r="DB3201" s="501"/>
      <c r="DC3201" s="501"/>
      <c r="DD3201" s="501"/>
      <c r="DE3201" s="501"/>
      <c r="DF3201" s="501"/>
      <c r="DG3201" s="501"/>
      <c r="DH3201" s="501"/>
      <c r="DI3201" s="501"/>
      <c r="DJ3201" s="501"/>
      <c r="DK3201" s="501"/>
      <c r="DL3201" s="501"/>
      <c r="DM3201" s="501"/>
      <c r="DN3201" s="501"/>
      <c r="DO3201" s="501"/>
      <c r="DP3201" s="501"/>
      <c r="DQ3201" s="501"/>
      <c r="DR3201" s="501"/>
      <c r="DS3201" s="501"/>
      <c r="DT3201" s="501"/>
      <c r="DU3201" s="501"/>
      <c r="DV3201" s="501"/>
      <c r="DW3201" s="501"/>
      <c r="DX3201" s="501"/>
      <c r="DY3201" s="501"/>
      <c r="DZ3201" s="501"/>
      <c r="EA3201" s="501"/>
      <c r="EB3201" s="501"/>
      <c r="EC3201" s="501"/>
      <c r="ED3201" s="501"/>
      <c r="EE3201" s="501"/>
      <c r="EF3201" s="501"/>
      <c r="EG3201" s="501"/>
      <c r="EH3201" s="501"/>
      <c r="EI3201" s="501"/>
      <c r="EJ3201" s="501"/>
      <c r="EK3201" s="501"/>
      <c r="EL3201" s="501"/>
      <c r="EM3201" s="501"/>
      <c r="EN3201" s="501"/>
      <c r="EO3201" s="501"/>
      <c r="EP3201" s="501"/>
      <c r="EQ3201" s="501"/>
      <c r="ER3201" s="501"/>
      <c r="ES3201" s="501"/>
      <c r="ET3201" s="501"/>
      <c r="EU3201" s="501"/>
      <c r="EV3201" s="501"/>
      <c r="EW3201" s="501"/>
      <c r="EX3201" s="501"/>
      <c r="EY3201" s="501"/>
      <c r="EZ3201" s="501"/>
      <c r="FA3201" s="501"/>
      <c r="FB3201" s="501"/>
      <c r="FC3201" s="501"/>
      <c r="FD3201" s="501"/>
      <c r="FE3201" s="501"/>
      <c r="FF3201" s="501"/>
      <c r="FG3201" s="501"/>
      <c r="FH3201" s="501"/>
      <c r="FI3201" s="501"/>
      <c r="FJ3201" s="501"/>
      <c r="FK3201" s="501"/>
      <c r="FL3201" s="501"/>
      <c r="FM3201" s="501"/>
      <c r="FN3201" s="501"/>
      <c r="FO3201" s="501"/>
      <c r="FP3201" s="501"/>
      <c r="FQ3201" s="501"/>
      <c r="FR3201" s="501"/>
      <c r="FS3201" s="501"/>
      <c r="FT3201" s="501"/>
      <c r="FU3201" s="501"/>
      <c r="FV3201" s="501"/>
      <c r="FW3201" s="501"/>
      <c r="FX3201" s="501"/>
      <c r="FY3201" s="501"/>
      <c r="FZ3201" s="501"/>
      <c r="GA3201" s="501"/>
      <c r="GB3201" s="501"/>
      <c r="GC3201" s="501"/>
      <c r="GD3201" s="501"/>
      <c r="GE3201" s="501"/>
      <c r="GF3201" s="501"/>
      <c r="GG3201" s="501"/>
      <c r="GH3201" s="501"/>
      <c r="GI3201" s="501"/>
      <c r="GJ3201" s="501"/>
      <c r="GK3201" s="501"/>
      <c r="GL3201" s="501"/>
      <c r="GM3201" s="501"/>
      <c r="GN3201" s="501"/>
      <c r="GO3201" s="501"/>
      <c r="GP3201" s="501"/>
      <c r="GQ3201" s="501"/>
      <c r="GR3201" s="501"/>
      <c r="GS3201" s="501"/>
      <c r="GT3201" s="501"/>
      <c r="GU3201" s="501"/>
      <c r="GV3201" s="501"/>
      <c r="GW3201" s="501"/>
      <c r="GX3201" s="501"/>
      <c r="GY3201" s="501"/>
      <c r="GZ3201" s="501"/>
      <c r="HA3201" s="501"/>
      <c r="HB3201" s="501"/>
      <c r="HC3201" s="501"/>
      <c r="HD3201" s="501"/>
      <c r="HE3201" s="501"/>
      <c r="HF3201" s="501"/>
      <c r="HG3201" s="501"/>
      <c r="HH3201" s="501"/>
      <c r="HI3201" s="501"/>
      <c r="HJ3201" s="501"/>
      <c r="HK3201" s="501"/>
      <c r="HL3201" s="501"/>
      <c r="HM3201" s="501"/>
      <c r="HN3201" s="501"/>
      <c r="HO3201" s="501"/>
      <c r="HP3201" s="501"/>
      <c r="HQ3201" s="501"/>
      <c r="HR3201" s="501"/>
      <c r="HS3201" s="501"/>
      <c r="HT3201" s="501"/>
      <c r="HU3201" s="501"/>
      <c r="HV3201" s="501"/>
      <c r="HW3201" s="501"/>
      <c r="HX3201" s="501"/>
      <c r="HY3201" s="501"/>
      <c r="HZ3201" s="501"/>
      <c r="IA3201" s="501"/>
      <c r="IB3201" s="501"/>
      <c r="IC3201" s="501"/>
      <c r="ID3201" s="501"/>
      <c r="IE3201" s="501"/>
      <c r="IF3201" s="501"/>
      <c r="IG3201" s="501"/>
      <c r="IH3201" s="501"/>
      <c r="II3201" s="501"/>
      <c r="IJ3201" s="501"/>
      <c r="IK3201" s="501"/>
      <c r="IL3201" s="501"/>
      <c r="IM3201" s="501"/>
      <c r="IN3201" s="501"/>
      <c r="IO3201" s="501"/>
      <c r="IP3201" s="501"/>
      <c r="IQ3201" s="501"/>
      <c r="IR3201" s="501"/>
      <c r="IS3201" s="501"/>
      <c r="IT3201" s="501"/>
      <c r="IU3201" s="501"/>
    </row>
    <row r="3202" spans="1:255" s="877" customFormat="1" ht="24" customHeight="1">
      <c r="A3202" s="501"/>
      <c r="B3202" s="501"/>
      <c r="C3202" s="501"/>
      <c r="D3202" s="501"/>
      <c r="E3202" s="501"/>
      <c r="F3202" s="501"/>
      <c r="G3202" s="915"/>
      <c r="H3202" s="501"/>
      <c r="I3202" s="874"/>
      <c r="J3202" s="501"/>
      <c r="K3202" s="501"/>
      <c r="L3202" s="878"/>
      <c r="M3202" s="554"/>
      <c r="N3202" s="501"/>
      <c r="O3202" s="1097"/>
      <c r="P3202" s="1151"/>
      <c r="Q3202" s="973"/>
      <c r="R3202" s="1102"/>
      <c r="S3202" s="1185"/>
      <c r="T3202" s="1099"/>
      <c r="V3202" s="501"/>
      <c r="W3202" s="501"/>
      <c r="X3202" s="501"/>
      <c r="Y3202" s="501"/>
      <c r="Z3202" s="501"/>
      <c r="AA3202" s="501"/>
      <c r="AB3202" s="501"/>
      <c r="AC3202" s="501"/>
      <c r="AD3202" s="501"/>
      <c r="AE3202" s="501"/>
      <c r="AF3202" s="501"/>
      <c r="AG3202" s="501"/>
      <c r="AH3202" s="501"/>
      <c r="AI3202" s="501"/>
      <c r="AJ3202" s="501"/>
      <c r="AK3202" s="501"/>
      <c r="AL3202" s="501"/>
      <c r="AM3202" s="501"/>
      <c r="AN3202" s="501"/>
      <c r="AO3202" s="501"/>
      <c r="AP3202" s="501"/>
      <c r="AQ3202" s="501"/>
      <c r="AR3202" s="501"/>
      <c r="AS3202" s="501"/>
      <c r="AT3202" s="501"/>
      <c r="AU3202" s="501"/>
      <c r="AV3202" s="501"/>
      <c r="AW3202" s="501"/>
      <c r="AX3202" s="501"/>
      <c r="AY3202" s="501"/>
      <c r="AZ3202" s="501"/>
      <c r="BA3202" s="501"/>
      <c r="BB3202" s="501"/>
      <c r="BC3202" s="501"/>
      <c r="BD3202" s="501"/>
      <c r="BE3202" s="501"/>
      <c r="BF3202" s="501"/>
      <c r="BG3202" s="501"/>
      <c r="BH3202" s="501"/>
      <c r="BI3202" s="501"/>
      <c r="BJ3202" s="501"/>
      <c r="BK3202" s="501"/>
      <c r="BL3202" s="501"/>
      <c r="BM3202" s="501"/>
      <c r="BN3202" s="501"/>
      <c r="BO3202" s="501"/>
      <c r="BP3202" s="501"/>
      <c r="BQ3202" s="501"/>
      <c r="BR3202" s="501"/>
      <c r="BS3202" s="501"/>
      <c r="BT3202" s="501"/>
      <c r="BU3202" s="501"/>
      <c r="BV3202" s="501"/>
      <c r="BW3202" s="501"/>
      <c r="BX3202" s="501"/>
      <c r="BY3202" s="501"/>
      <c r="BZ3202" s="501"/>
      <c r="CA3202" s="501"/>
      <c r="CB3202" s="501"/>
      <c r="CC3202" s="501"/>
      <c r="CD3202" s="501"/>
      <c r="CE3202" s="501"/>
      <c r="CF3202" s="501"/>
      <c r="CG3202" s="501"/>
      <c r="CH3202" s="501"/>
      <c r="CI3202" s="501"/>
      <c r="CJ3202" s="501"/>
      <c r="CK3202" s="501"/>
      <c r="CL3202" s="501"/>
      <c r="CM3202" s="501"/>
      <c r="CN3202" s="501"/>
      <c r="CO3202" s="501"/>
      <c r="CP3202" s="501"/>
      <c r="CQ3202" s="501"/>
      <c r="CR3202" s="501"/>
      <c r="CS3202" s="501"/>
      <c r="CT3202" s="501"/>
      <c r="CU3202" s="501"/>
      <c r="CV3202" s="501"/>
      <c r="CW3202" s="501"/>
      <c r="CX3202" s="501"/>
      <c r="CY3202" s="501"/>
      <c r="CZ3202" s="501"/>
      <c r="DA3202" s="501"/>
      <c r="DB3202" s="501"/>
      <c r="DC3202" s="501"/>
      <c r="DD3202" s="501"/>
      <c r="DE3202" s="501"/>
      <c r="DF3202" s="501"/>
      <c r="DG3202" s="501"/>
      <c r="DH3202" s="501"/>
      <c r="DI3202" s="501"/>
      <c r="DJ3202" s="501"/>
      <c r="DK3202" s="501"/>
      <c r="DL3202" s="501"/>
      <c r="DM3202" s="501"/>
      <c r="DN3202" s="501"/>
      <c r="DO3202" s="501"/>
      <c r="DP3202" s="501"/>
      <c r="DQ3202" s="501"/>
      <c r="DR3202" s="501"/>
      <c r="DS3202" s="501"/>
      <c r="DT3202" s="501"/>
      <c r="DU3202" s="501"/>
      <c r="DV3202" s="501"/>
      <c r="DW3202" s="501"/>
      <c r="DX3202" s="501"/>
      <c r="DY3202" s="501"/>
      <c r="DZ3202" s="501"/>
      <c r="EA3202" s="501"/>
      <c r="EB3202" s="501"/>
      <c r="EC3202" s="501"/>
      <c r="ED3202" s="501"/>
      <c r="EE3202" s="501"/>
      <c r="EF3202" s="501"/>
      <c r="EG3202" s="501"/>
      <c r="EH3202" s="501"/>
      <c r="EI3202" s="501"/>
      <c r="EJ3202" s="501"/>
      <c r="EK3202" s="501"/>
      <c r="EL3202" s="501"/>
      <c r="EM3202" s="501"/>
      <c r="EN3202" s="501"/>
      <c r="EO3202" s="501"/>
      <c r="EP3202" s="501"/>
      <c r="EQ3202" s="501"/>
      <c r="ER3202" s="501"/>
      <c r="ES3202" s="501"/>
      <c r="ET3202" s="501"/>
      <c r="EU3202" s="501"/>
      <c r="EV3202" s="501"/>
      <c r="EW3202" s="501"/>
      <c r="EX3202" s="501"/>
      <c r="EY3202" s="501"/>
      <c r="EZ3202" s="501"/>
      <c r="FA3202" s="501"/>
      <c r="FB3202" s="501"/>
      <c r="FC3202" s="501"/>
      <c r="FD3202" s="501"/>
      <c r="FE3202" s="501"/>
      <c r="FF3202" s="501"/>
      <c r="FG3202" s="501"/>
      <c r="FH3202" s="501"/>
      <c r="FI3202" s="501"/>
      <c r="FJ3202" s="501"/>
      <c r="FK3202" s="501"/>
      <c r="FL3202" s="501"/>
      <c r="FM3202" s="501"/>
      <c r="FN3202" s="501"/>
      <c r="FO3202" s="501"/>
      <c r="FP3202" s="501"/>
      <c r="FQ3202" s="501"/>
      <c r="FR3202" s="501"/>
      <c r="FS3202" s="501"/>
      <c r="FT3202" s="501"/>
      <c r="FU3202" s="501"/>
      <c r="FV3202" s="501"/>
      <c r="FW3202" s="501"/>
      <c r="FX3202" s="501"/>
      <c r="FY3202" s="501"/>
      <c r="FZ3202" s="501"/>
      <c r="GA3202" s="501"/>
      <c r="GB3202" s="501"/>
      <c r="GC3202" s="501"/>
      <c r="GD3202" s="501"/>
      <c r="GE3202" s="501"/>
      <c r="GF3202" s="501"/>
      <c r="GG3202" s="501"/>
      <c r="GH3202" s="501"/>
      <c r="GI3202" s="501"/>
      <c r="GJ3202" s="501"/>
      <c r="GK3202" s="501"/>
      <c r="GL3202" s="501"/>
      <c r="GM3202" s="501"/>
      <c r="GN3202" s="501"/>
      <c r="GO3202" s="501"/>
      <c r="GP3202" s="501"/>
      <c r="GQ3202" s="501"/>
      <c r="GR3202" s="501"/>
      <c r="GS3202" s="501"/>
      <c r="GT3202" s="501"/>
      <c r="GU3202" s="501"/>
      <c r="GV3202" s="501"/>
      <c r="GW3202" s="501"/>
      <c r="GX3202" s="501"/>
      <c r="GY3202" s="501"/>
      <c r="GZ3202" s="501"/>
      <c r="HA3202" s="501"/>
      <c r="HB3202" s="501"/>
      <c r="HC3202" s="501"/>
      <c r="HD3202" s="501"/>
      <c r="HE3202" s="501"/>
      <c r="HF3202" s="501"/>
      <c r="HG3202" s="501"/>
      <c r="HH3202" s="501"/>
      <c r="HI3202" s="501"/>
      <c r="HJ3202" s="501"/>
      <c r="HK3202" s="501"/>
      <c r="HL3202" s="501"/>
      <c r="HM3202" s="501"/>
      <c r="HN3202" s="501"/>
      <c r="HO3202" s="501"/>
      <c r="HP3202" s="501"/>
      <c r="HQ3202" s="501"/>
      <c r="HR3202" s="501"/>
      <c r="HS3202" s="501"/>
      <c r="HT3202" s="501"/>
      <c r="HU3202" s="501"/>
      <c r="HV3202" s="501"/>
      <c r="HW3202" s="501"/>
      <c r="HX3202" s="501"/>
      <c r="HY3202" s="501"/>
      <c r="HZ3202" s="501"/>
      <c r="IA3202" s="501"/>
      <c r="IB3202" s="501"/>
      <c r="IC3202" s="501"/>
      <c r="ID3202" s="501"/>
      <c r="IE3202" s="501"/>
      <c r="IF3202" s="501"/>
      <c r="IG3202" s="501"/>
      <c r="IH3202" s="501"/>
      <c r="II3202" s="501"/>
      <c r="IJ3202" s="501"/>
      <c r="IK3202" s="501"/>
      <c r="IL3202" s="501"/>
      <c r="IM3202" s="501"/>
      <c r="IN3202" s="501"/>
      <c r="IO3202" s="501"/>
      <c r="IP3202" s="501"/>
      <c r="IQ3202" s="501"/>
      <c r="IR3202" s="501"/>
      <c r="IS3202" s="501"/>
      <c r="IT3202" s="501"/>
      <c r="IU3202" s="501"/>
    </row>
    <row r="3203" spans="1:255" s="877" customFormat="1" ht="24" customHeight="1">
      <c r="A3203" s="501"/>
      <c r="B3203" s="501"/>
      <c r="C3203" s="501"/>
      <c r="D3203" s="501"/>
      <c r="E3203" s="501"/>
      <c r="F3203" s="501"/>
      <c r="G3203" s="915"/>
      <c r="H3203" s="501"/>
      <c r="I3203" s="874"/>
      <c r="J3203" s="501"/>
      <c r="K3203" s="501"/>
      <c r="L3203" s="878"/>
      <c r="M3203" s="554"/>
      <c r="N3203" s="501"/>
      <c r="O3203" s="1097"/>
      <c r="P3203" s="1151"/>
      <c r="Q3203" s="973"/>
      <c r="R3203" s="1102"/>
      <c r="S3203" s="1185"/>
      <c r="T3203" s="1099"/>
      <c r="V3203" s="501"/>
      <c r="W3203" s="501"/>
      <c r="X3203" s="501"/>
      <c r="Y3203" s="501"/>
      <c r="Z3203" s="501"/>
      <c r="AA3203" s="501"/>
      <c r="AB3203" s="501"/>
      <c r="AC3203" s="501"/>
      <c r="AD3203" s="501"/>
      <c r="AE3203" s="501"/>
      <c r="AF3203" s="501"/>
      <c r="AG3203" s="501"/>
      <c r="AH3203" s="501"/>
      <c r="AI3203" s="501"/>
      <c r="AJ3203" s="501"/>
      <c r="AK3203" s="501"/>
      <c r="AL3203" s="501"/>
      <c r="AM3203" s="501"/>
      <c r="AN3203" s="501"/>
      <c r="AO3203" s="501"/>
      <c r="AP3203" s="501"/>
      <c r="AQ3203" s="501"/>
      <c r="AR3203" s="501"/>
      <c r="AS3203" s="501"/>
      <c r="AT3203" s="501"/>
      <c r="AU3203" s="501"/>
      <c r="AV3203" s="501"/>
      <c r="AW3203" s="501"/>
      <c r="AX3203" s="501"/>
      <c r="AY3203" s="501"/>
      <c r="AZ3203" s="501"/>
      <c r="BA3203" s="501"/>
      <c r="BB3203" s="501"/>
      <c r="BC3203" s="501"/>
      <c r="BD3203" s="501"/>
      <c r="BE3203" s="501"/>
      <c r="BF3203" s="501"/>
      <c r="BG3203" s="501"/>
      <c r="BH3203" s="501"/>
      <c r="BI3203" s="501"/>
      <c r="BJ3203" s="501"/>
      <c r="BK3203" s="501"/>
      <c r="BL3203" s="501"/>
      <c r="BM3203" s="501"/>
      <c r="BN3203" s="501"/>
      <c r="BO3203" s="501"/>
      <c r="BP3203" s="501"/>
      <c r="BQ3203" s="501"/>
      <c r="BR3203" s="501"/>
      <c r="BS3203" s="501"/>
      <c r="BT3203" s="501"/>
      <c r="BU3203" s="501"/>
      <c r="BV3203" s="501"/>
      <c r="BW3203" s="501"/>
      <c r="BX3203" s="501"/>
      <c r="BY3203" s="501"/>
      <c r="BZ3203" s="501"/>
      <c r="CA3203" s="501"/>
      <c r="CB3203" s="501"/>
      <c r="CC3203" s="501"/>
      <c r="CD3203" s="501"/>
      <c r="CE3203" s="501"/>
      <c r="CF3203" s="501"/>
      <c r="CG3203" s="501"/>
      <c r="CH3203" s="501"/>
      <c r="CI3203" s="501"/>
      <c r="CJ3203" s="501"/>
      <c r="CK3203" s="501"/>
      <c r="CL3203" s="501"/>
      <c r="CM3203" s="501"/>
      <c r="CN3203" s="501"/>
      <c r="CO3203" s="501"/>
      <c r="CP3203" s="501"/>
      <c r="CQ3203" s="501"/>
      <c r="CR3203" s="501"/>
      <c r="CS3203" s="501"/>
      <c r="CT3203" s="501"/>
      <c r="CU3203" s="501"/>
      <c r="CV3203" s="501"/>
      <c r="CW3203" s="501"/>
      <c r="CX3203" s="501"/>
      <c r="CY3203" s="501"/>
      <c r="CZ3203" s="501"/>
      <c r="DA3203" s="501"/>
      <c r="DB3203" s="501"/>
      <c r="DC3203" s="501"/>
      <c r="DD3203" s="501"/>
      <c r="DE3203" s="501"/>
      <c r="DF3203" s="501"/>
      <c r="DG3203" s="501"/>
      <c r="DH3203" s="501"/>
      <c r="DI3203" s="501"/>
      <c r="DJ3203" s="501"/>
      <c r="DK3203" s="501"/>
      <c r="DL3203" s="501"/>
      <c r="DM3203" s="501"/>
      <c r="DN3203" s="501"/>
      <c r="DO3203" s="501"/>
      <c r="DP3203" s="501"/>
      <c r="DQ3203" s="501"/>
      <c r="DR3203" s="501"/>
      <c r="DS3203" s="501"/>
      <c r="DT3203" s="501"/>
      <c r="DU3203" s="501"/>
      <c r="DV3203" s="501"/>
      <c r="DW3203" s="501"/>
      <c r="DX3203" s="501"/>
      <c r="DY3203" s="501"/>
      <c r="DZ3203" s="501"/>
      <c r="EA3203" s="501"/>
      <c r="EB3203" s="501"/>
      <c r="EC3203" s="501"/>
      <c r="ED3203" s="501"/>
      <c r="EE3203" s="501"/>
      <c r="EF3203" s="501"/>
      <c r="EG3203" s="501"/>
      <c r="EH3203" s="501"/>
      <c r="EI3203" s="501"/>
      <c r="EJ3203" s="501"/>
      <c r="EK3203" s="501"/>
      <c r="EL3203" s="501"/>
      <c r="EM3203" s="501"/>
      <c r="EN3203" s="501"/>
      <c r="EO3203" s="501"/>
      <c r="EP3203" s="501"/>
      <c r="EQ3203" s="501"/>
      <c r="ER3203" s="501"/>
      <c r="ES3203" s="501"/>
      <c r="ET3203" s="501"/>
      <c r="EU3203" s="501"/>
      <c r="EV3203" s="501"/>
      <c r="EW3203" s="501"/>
      <c r="EX3203" s="501"/>
      <c r="EY3203" s="501"/>
      <c r="EZ3203" s="501"/>
      <c r="FA3203" s="501"/>
      <c r="FB3203" s="501"/>
      <c r="FC3203" s="501"/>
      <c r="FD3203" s="501"/>
      <c r="FE3203" s="501"/>
      <c r="FF3203" s="501"/>
      <c r="FG3203" s="501"/>
      <c r="FH3203" s="501"/>
      <c r="FI3203" s="501"/>
      <c r="FJ3203" s="501"/>
      <c r="FK3203" s="501"/>
      <c r="FL3203" s="501"/>
      <c r="FM3203" s="501"/>
      <c r="FN3203" s="501"/>
      <c r="FO3203" s="501"/>
      <c r="FP3203" s="501"/>
      <c r="FQ3203" s="501"/>
      <c r="FR3203" s="501"/>
      <c r="FS3203" s="501"/>
      <c r="FT3203" s="501"/>
      <c r="FU3203" s="501"/>
      <c r="FV3203" s="501"/>
      <c r="FW3203" s="501"/>
      <c r="FX3203" s="501"/>
      <c r="FY3203" s="501"/>
      <c r="FZ3203" s="501"/>
      <c r="GA3203" s="501"/>
      <c r="GB3203" s="501"/>
      <c r="GC3203" s="501"/>
      <c r="GD3203" s="501"/>
      <c r="GE3203" s="501"/>
      <c r="GF3203" s="501"/>
      <c r="GG3203" s="501"/>
      <c r="GH3203" s="501"/>
      <c r="GI3203" s="501"/>
      <c r="GJ3203" s="501"/>
      <c r="GK3203" s="501"/>
      <c r="GL3203" s="501"/>
      <c r="GM3203" s="501"/>
      <c r="GN3203" s="501"/>
      <c r="GO3203" s="501"/>
      <c r="GP3203" s="501"/>
      <c r="GQ3203" s="501"/>
      <c r="GR3203" s="501"/>
      <c r="GS3203" s="501"/>
      <c r="GT3203" s="501"/>
      <c r="GU3203" s="501"/>
      <c r="GV3203" s="501"/>
      <c r="GW3203" s="501"/>
      <c r="GX3203" s="501"/>
      <c r="GY3203" s="501"/>
      <c r="GZ3203" s="501"/>
      <c r="HA3203" s="501"/>
      <c r="HB3203" s="501"/>
      <c r="HC3203" s="501"/>
      <c r="HD3203" s="501"/>
      <c r="HE3203" s="501"/>
      <c r="HF3203" s="501"/>
      <c r="HG3203" s="501"/>
      <c r="HH3203" s="501"/>
      <c r="HI3203" s="501"/>
      <c r="HJ3203" s="501"/>
      <c r="HK3203" s="501"/>
      <c r="HL3203" s="501"/>
      <c r="HM3203" s="501"/>
      <c r="HN3203" s="501"/>
      <c r="HO3203" s="501"/>
      <c r="HP3203" s="501"/>
      <c r="HQ3203" s="501"/>
      <c r="HR3203" s="501"/>
      <c r="HS3203" s="501"/>
      <c r="HT3203" s="501"/>
      <c r="HU3203" s="501"/>
      <c r="HV3203" s="501"/>
      <c r="HW3203" s="501"/>
      <c r="HX3203" s="501"/>
      <c r="HY3203" s="501"/>
      <c r="HZ3203" s="501"/>
      <c r="IA3203" s="501"/>
      <c r="IB3203" s="501"/>
      <c r="IC3203" s="501"/>
      <c r="ID3203" s="501"/>
      <c r="IE3203" s="501"/>
      <c r="IF3203" s="501"/>
      <c r="IG3203" s="501"/>
      <c r="IH3203" s="501"/>
      <c r="II3203" s="501"/>
      <c r="IJ3203" s="501"/>
      <c r="IK3203" s="501"/>
      <c r="IL3203" s="501"/>
      <c r="IM3203" s="501"/>
      <c r="IN3203" s="501"/>
      <c r="IO3203" s="501"/>
      <c r="IP3203" s="501"/>
      <c r="IQ3203" s="501"/>
      <c r="IR3203" s="501"/>
      <c r="IS3203" s="501"/>
      <c r="IT3203" s="501"/>
      <c r="IU3203" s="501"/>
    </row>
    <row r="3204" spans="1:255" s="877" customFormat="1" ht="24" customHeight="1">
      <c r="A3204" s="501"/>
      <c r="B3204" s="501"/>
      <c r="C3204" s="501"/>
      <c r="D3204" s="501"/>
      <c r="E3204" s="501"/>
      <c r="F3204" s="501"/>
      <c r="G3204" s="915"/>
      <c r="H3204" s="501"/>
      <c r="I3204" s="874"/>
      <c r="J3204" s="501"/>
      <c r="K3204" s="501"/>
      <c r="L3204" s="902"/>
      <c r="M3204" s="554"/>
      <c r="N3204" s="501"/>
      <c r="O3204" s="1097"/>
      <c r="P3204" s="1151"/>
      <c r="Q3204" s="973"/>
      <c r="R3204" s="1102"/>
      <c r="S3204" s="1186"/>
      <c r="T3204" s="1099"/>
      <c r="V3204" s="501"/>
      <c r="W3204" s="501"/>
      <c r="X3204" s="501"/>
      <c r="Y3204" s="501"/>
      <c r="Z3204" s="501"/>
      <c r="AA3204" s="501"/>
      <c r="AB3204" s="501"/>
      <c r="AC3204" s="501"/>
      <c r="AD3204" s="501"/>
      <c r="AE3204" s="501"/>
      <c r="AF3204" s="501"/>
      <c r="AG3204" s="501"/>
      <c r="AH3204" s="501"/>
      <c r="AI3204" s="501"/>
      <c r="AJ3204" s="501"/>
      <c r="AK3204" s="501"/>
      <c r="AL3204" s="501"/>
      <c r="AM3204" s="501"/>
      <c r="AN3204" s="501"/>
      <c r="AO3204" s="501"/>
      <c r="AP3204" s="501"/>
      <c r="AQ3204" s="501"/>
      <c r="AR3204" s="501"/>
      <c r="AS3204" s="501"/>
      <c r="AT3204" s="501"/>
      <c r="AU3204" s="501"/>
      <c r="AV3204" s="501"/>
      <c r="AW3204" s="501"/>
      <c r="AX3204" s="501"/>
      <c r="AY3204" s="501"/>
      <c r="AZ3204" s="501"/>
      <c r="BA3204" s="501"/>
      <c r="BB3204" s="501"/>
      <c r="BC3204" s="501"/>
      <c r="BD3204" s="501"/>
      <c r="BE3204" s="501"/>
      <c r="BF3204" s="501"/>
      <c r="BG3204" s="501"/>
      <c r="BH3204" s="501"/>
      <c r="BI3204" s="501"/>
      <c r="BJ3204" s="501"/>
      <c r="BK3204" s="501"/>
      <c r="BL3204" s="501"/>
      <c r="BM3204" s="501"/>
      <c r="BN3204" s="501"/>
      <c r="BO3204" s="501"/>
      <c r="BP3204" s="501"/>
      <c r="BQ3204" s="501"/>
      <c r="BR3204" s="501"/>
      <c r="BS3204" s="501"/>
      <c r="BT3204" s="501"/>
      <c r="BU3204" s="501"/>
      <c r="BV3204" s="501"/>
      <c r="BW3204" s="501"/>
      <c r="BX3204" s="501"/>
      <c r="BY3204" s="501"/>
      <c r="BZ3204" s="501"/>
      <c r="CA3204" s="501"/>
      <c r="CB3204" s="501"/>
      <c r="CC3204" s="501"/>
      <c r="CD3204" s="501"/>
      <c r="CE3204" s="501"/>
      <c r="CF3204" s="501"/>
      <c r="CG3204" s="501"/>
      <c r="CH3204" s="501"/>
      <c r="CI3204" s="501"/>
      <c r="CJ3204" s="501"/>
      <c r="CK3204" s="501"/>
      <c r="CL3204" s="501"/>
      <c r="CM3204" s="501"/>
      <c r="CN3204" s="501"/>
      <c r="CO3204" s="501"/>
      <c r="CP3204" s="501"/>
      <c r="CQ3204" s="501"/>
      <c r="CR3204" s="501"/>
      <c r="CS3204" s="501"/>
      <c r="CT3204" s="501"/>
      <c r="CU3204" s="501"/>
      <c r="CV3204" s="501"/>
      <c r="CW3204" s="501"/>
      <c r="CX3204" s="501"/>
      <c r="CY3204" s="501"/>
      <c r="CZ3204" s="501"/>
      <c r="DA3204" s="501"/>
      <c r="DB3204" s="501"/>
      <c r="DC3204" s="501"/>
      <c r="DD3204" s="501"/>
      <c r="DE3204" s="501"/>
      <c r="DF3204" s="501"/>
      <c r="DG3204" s="501"/>
      <c r="DH3204" s="501"/>
      <c r="DI3204" s="501"/>
      <c r="DJ3204" s="501"/>
      <c r="DK3204" s="501"/>
      <c r="DL3204" s="501"/>
      <c r="DM3204" s="501"/>
      <c r="DN3204" s="501"/>
      <c r="DO3204" s="501"/>
      <c r="DP3204" s="501"/>
      <c r="DQ3204" s="501"/>
      <c r="DR3204" s="501"/>
      <c r="DS3204" s="501"/>
      <c r="DT3204" s="501"/>
      <c r="DU3204" s="501"/>
      <c r="DV3204" s="501"/>
      <c r="DW3204" s="501"/>
      <c r="DX3204" s="501"/>
      <c r="DY3204" s="501"/>
      <c r="DZ3204" s="501"/>
      <c r="EA3204" s="501"/>
      <c r="EB3204" s="501"/>
      <c r="EC3204" s="501"/>
      <c r="ED3204" s="501"/>
      <c r="EE3204" s="501"/>
      <c r="EF3204" s="501"/>
      <c r="EG3204" s="501"/>
      <c r="EH3204" s="501"/>
      <c r="EI3204" s="501"/>
      <c r="EJ3204" s="501"/>
      <c r="EK3204" s="501"/>
      <c r="EL3204" s="501"/>
      <c r="EM3204" s="501"/>
      <c r="EN3204" s="501"/>
      <c r="EO3204" s="501"/>
      <c r="EP3204" s="501"/>
      <c r="EQ3204" s="501"/>
      <c r="ER3204" s="501"/>
      <c r="ES3204" s="501"/>
      <c r="ET3204" s="501"/>
      <c r="EU3204" s="501"/>
      <c r="EV3204" s="501"/>
      <c r="EW3204" s="501"/>
      <c r="EX3204" s="501"/>
      <c r="EY3204" s="501"/>
      <c r="EZ3204" s="501"/>
      <c r="FA3204" s="501"/>
      <c r="FB3204" s="501"/>
      <c r="FC3204" s="501"/>
      <c r="FD3204" s="501"/>
      <c r="FE3204" s="501"/>
      <c r="FF3204" s="501"/>
      <c r="FG3204" s="501"/>
      <c r="FH3204" s="501"/>
      <c r="FI3204" s="501"/>
      <c r="FJ3204" s="501"/>
      <c r="FK3204" s="501"/>
      <c r="FL3204" s="501"/>
      <c r="FM3204" s="501"/>
      <c r="FN3204" s="501"/>
      <c r="FO3204" s="501"/>
      <c r="FP3204" s="501"/>
      <c r="FQ3204" s="501"/>
      <c r="FR3204" s="501"/>
      <c r="FS3204" s="501"/>
      <c r="FT3204" s="501"/>
      <c r="FU3204" s="501"/>
      <c r="FV3204" s="501"/>
      <c r="FW3204" s="501"/>
      <c r="FX3204" s="501"/>
      <c r="FY3204" s="501"/>
      <c r="FZ3204" s="501"/>
      <c r="GA3204" s="501"/>
      <c r="GB3204" s="501"/>
      <c r="GC3204" s="501"/>
      <c r="GD3204" s="501"/>
      <c r="GE3204" s="501"/>
      <c r="GF3204" s="501"/>
      <c r="GG3204" s="501"/>
      <c r="GH3204" s="501"/>
      <c r="GI3204" s="501"/>
      <c r="GJ3204" s="501"/>
      <c r="GK3204" s="501"/>
      <c r="GL3204" s="501"/>
      <c r="GM3204" s="501"/>
      <c r="GN3204" s="501"/>
      <c r="GO3204" s="501"/>
      <c r="GP3204" s="501"/>
      <c r="GQ3204" s="501"/>
      <c r="GR3204" s="501"/>
      <c r="GS3204" s="501"/>
      <c r="GT3204" s="501"/>
      <c r="GU3204" s="501"/>
      <c r="GV3204" s="501"/>
      <c r="GW3204" s="501"/>
      <c r="GX3204" s="501"/>
      <c r="GY3204" s="501"/>
      <c r="GZ3204" s="501"/>
      <c r="HA3204" s="501"/>
      <c r="HB3204" s="501"/>
      <c r="HC3204" s="501"/>
      <c r="HD3204" s="501"/>
      <c r="HE3204" s="501"/>
      <c r="HF3204" s="501"/>
      <c r="HG3204" s="501"/>
      <c r="HH3204" s="501"/>
      <c r="HI3204" s="501"/>
      <c r="HJ3204" s="501"/>
      <c r="HK3204" s="501"/>
      <c r="HL3204" s="501"/>
      <c r="HM3204" s="501"/>
      <c r="HN3204" s="501"/>
      <c r="HO3204" s="501"/>
      <c r="HP3204" s="501"/>
      <c r="HQ3204" s="501"/>
      <c r="HR3204" s="501"/>
      <c r="HS3204" s="501"/>
      <c r="HT3204" s="501"/>
      <c r="HU3204" s="501"/>
      <c r="HV3204" s="501"/>
      <c r="HW3204" s="501"/>
      <c r="HX3204" s="501"/>
      <c r="HY3204" s="501"/>
      <c r="HZ3204" s="501"/>
      <c r="IA3204" s="501"/>
      <c r="IB3204" s="501"/>
      <c r="IC3204" s="501"/>
      <c r="ID3204" s="501"/>
      <c r="IE3204" s="501"/>
      <c r="IF3204" s="501"/>
      <c r="IG3204" s="501"/>
      <c r="IH3204" s="501"/>
      <c r="II3204" s="501"/>
      <c r="IJ3204" s="501"/>
      <c r="IK3204" s="501"/>
      <c r="IL3204" s="501"/>
      <c r="IM3204" s="501"/>
      <c r="IN3204" s="501"/>
      <c r="IO3204" s="501"/>
      <c r="IP3204" s="501"/>
      <c r="IQ3204" s="501"/>
      <c r="IR3204" s="501"/>
      <c r="IS3204" s="501"/>
      <c r="IT3204" s="501"/>
      <c r="IU3204" s="501"/>
    </row>
    <row r="3205" spans="1:255" s="877" customFormat="1" ht="24" customHeight="1">
      <c r="A3205" s="501"/>
      <c r="B3205" s="501"/>
      <c r="C3205" s="501"/>
      <c r="D3205" s="501"/>
      <c r="E3205" s="501"/>
      <c r="F3205" s="501"/>
      <c r="G3205" s="915"/>
      <c r="H3205" s="501"/>
      <c r="I3205" s="874"/>
      <c r="J3205" s="501"/>
      <c r="K3205" s="501"/>
      <c r="L3205" s="902"/>
      <c r="M3205" s="554"/>
      <c r="N3205" s="501"/>
      <c r="O3205" s="1097"/>
      <c r="P3205" s="1151"/>
      <c r="Q3205" s="973"/>
      <c r="R3205" s="501"/>
      <c r="S3205" s="554"/>
      <c r="T3205" s="1099"/>
      <c r="V3205" s="501"/>
      <c r="W3205" s="501"/>
      <c r="X3205" s="501"/>
      <c r="Y3205" s="501"/>
      <c r="Z3205" s="501"/>
      <c r="AA3205" s="501"/>
      <c r="AB3205" s="501"/>
      <c r="AC3205" s="501"/>
      <c r="AD3205" s="501"/>
      <c r="AE3205" s="501"/>
      <c r="AF3205" s="501"/>
      <c r="AG3205" s="501"/>
      <c r="AH3205" s="501"/>
      <c r="AI3205" s="501"/>
      <c r="AJ3205" s="501"/>
      <c r="AK3205" s="501"/>
      <c r="AL3205" s="501"/>
      <c r="AM3205" s="501"/>
      <c r="AN3205" s="501"/>
      <c r="AO3205" s="501"/>
      <c r="AP3205" s="501"/>
      <c r="AQ3205" s="501"/>
      <c r="AR3205" s="501"/>
      <c r="AS3205" s="501"/>
      <c r="AT3205" s="501"/>
      <c r="AU3205" s="501"/>
      <c r="AV3205" s="501"/>
      <c r="AW3205" s="501"/>
      <c r="AX3205" s="501"/>
      <c r="AY3205" s="501"/>
      <c r="AZ3205" s="501"/>
      <c r="BA3205" s="501"/>
      <c r="BB3205" s="501"/>
      <c r="BC3205" s="501"/>
      <c r="BD3205" s="501"/>
      <c r="BE3205" s="501"/>
      <c r="BF3205" s="501"/>
      <c r="BG3205" s="501"/>
      <c r="BH3205" s="501"/>
      <c r="BI3205" s="501"/>
      <c r="BJ3205" s="501"/>
      <c r="BK3205" s="501"/>
      <c r="BL3205" s="501"/>
      <c r="BM3205" s="501"/>
      <c r="BN3205" s="501"/>
      <c r="BO3205" s="501"/>
      <c r="BP3205" s="501"/>
      <c r="BQ3205" s="501"/>
      <c r="BR3205" s="501"/>
      <c r="BS3205" s="501"/>
      <c r="BT3205" s="501"/>
      <c r="BU3205" s="501"/>
      <c r="BV3205" s="501"/>
      <c r="BW3205" s="501"/>
      <c r="BX3205" s="501"/>
      <c r="BY3205" s="501"/>
      <c r="BZ3205" s="501"/>
      <c r="CA3205" s="501"/>
      <c r="CB3205" s="501"/>
      <c r="CC3205" s="501"/>
      <c r="CD3205" s="501"/>
      <c r="CE3205" s="501"/>
      <c r="CF3205" s="501"/>
      <c r="CG3205" s="501"/>
      <c r="CH3205" s="501"/>
      <c r="CI3205" s="501"/>
      <c r="CJ3205" s="501"/>
      <c r="CK3205" s="501"/>
      <c r="CL3205" s="501"/>
      <c r="CM3205" s="501"/>
      <c r="CN3205" s="501"/>
      <c r="CO3205" s="501"/>
      <c r="CP3205" s="501"/>
      <c r="CQ3205" s="501"/>
      <c r="CR3205" s="501"/>
      <c r="CS3205" s="501"/>
      <c r="CT3205" s="501"/>
      <c r="CU3205" s="501"/>
      <c r="CV3205" s="501"/>
      <c r="CW3205" s="501"/>
      <c r="CX3205" s="501"/>
      <c r="CY3205" s="501"/>
      <c r="CZ3205" s="501"/>
      <c r="DA3205" s="501"/>
      <c r="DB3205" s="501"/>
      <c r="DC3205" s="501"/>
      <c r="DD3205" s="501"/>
      <c r="DE3205" s="501"/>
      <c r="DF3205" s="501"/>
      <c r="DG3205" s="501"/>
      <c r="DH3205" s="501"/>
      <c r="DI3205" s="501"/>
      <c r="DJ3205" s="501"/>
      <c r="DK3205" s="501"/>
      <c r="DL3205" s="501"/>
      <c r="DM3205" s="501"/>
      <c r="DN3205" s="501"/>
      <c r="DO3205" s="501"/>
      <c r="DP3205" s="501"/>
      <c r="DQ3205" s="501"/>
      <c r="DR3205" s="501"/>
      <c r="DS3205" s="501"/>
      <c r="DT3205" s="501"/>
      <c r="DU3205" s="501"/>
      <c r="DV3205" s="501"/>
      <c r="DW3205" s="501"/>
      <c r="DX3205" s="501"/>
      <c r="DY3205" s="501"/>
      <c r="DZ3205" s="501"/>
      <c r="EA3205" s="501"/>
      <c r="EB3205" s="501"/>
      <c r="EC3205" s="501"/>
      <c r="ED3205" s="501"/>
      <c r="EE3205" s="501"/>
      <c r="EF3205" s="501"/>
      <c r="EG3205" s="501"/>
      <c r="EH3205" s="501"/>
      <c r="EI3205" s="501"/>
      <c r="EJ3205" s="501"/>
      <c r="EK3205" s="501"/>
      <c r="EL3205" s="501"/>
      <c r="EM3205" s="501"/>
      <c r="EN3205" s="501"/>
      <c r="EO3205" s="501"/>
      <c r="EP3205" s="501"/>
      <c r="EQ3205" s="501"/>
      <c r="ER3205" s="501"/>
      <c r="ES3205" s="501"/>
      <c r="ET3205" s="501"/>
      <c r="EU3205" s="501"/>
      <c r="EV3205" s="501"/>
      <c r="EW3205" s="501"/>
      <c r="EX3205" s="501"/>
      <c r="EY3205" s="501"/>
      <c r="EZ3205" s="501"/>
      <c r="FA3205" s="501"/>
      <c r="FB3205" s="501"/>
      <c r="FC3205" s="501"/>
      <c r="FD3205" s="501"/>
      <c r="FE3205" s="501"/>
      <c r="FF3205" s="501"/>
      <c r="FG3205" s="501"/>
      <c r="FH3205" s="501"/>
      <c r="FI3205" s="501"/>
      <c r="FJ3205" s="501"/>
      <c r="FK3205" s="501"/>
      <c r="FL3205" s="501"/>
      <c r="FM3205" s="501"/>
      <c r="FN3205" s="501"/>
      <c r="FO3205" s="501"/>
      <c r="FP3205" s="501"/>
      <c r="FQ3205" s="501"/>
      <c r="FR3205" s="501"/>
      <c r="FS3205" s="501"/>
      <c r="FT3205" s="501"/>
      <c r="FU3205" s="501"/>
      <c r="FV3205" s="501"/>
      <c r="FW3205" s="501"/>
      <c r="FX3205" s="501"/>
      <c r="FY3205" s="501"/>
      <c r="FZ3205" s="501"/>
      <c r="GA3205" s="501"/>
      <c r="GB3205" s="501"/>
      <c r="GC3205" s="501"/>
      <c r="GD3205" s="501"/>
      <c r="GE3205" s="501"/>
      <c r="GF3205" s="501"/>
      <c r="GG3205" s="501"/>
      <c r="GH3205" s="501"/>
      <c r="GI3205" s="501"/>
      <c r="GJ3205" s="501"/>
      <c r="GK3205" s="501"/>
      <c r="GL3205" s="501"/>
      <c r="GM3205" s="501"/>
      <c r="GN3205" s="501"/>
      <c r="GO3205" s="501"/>
      <c r="GP3205" s="501"/>
      <c r="GQ3205" s="501"/>
      <c r="GR3205" s="501"/>
      <c r="GS3205" s="501"/>
      <c r="GT3205" s="501"/>
      <c r="GU3205" s="501"/>
      <c r="GV3205" s="501"/>
      <c r="GW3205" s="501"/>
      <c r="GX3205" s="501"/>
      <c r="GY3205" s="501"/>
      <c r="GZ3205" s="501"/>
      <c r="HA3205" s="501"/>
      <c r="HB3205" s="501"/>
      <c r="HC3205" s="501"/>
      <c r="HD3205" s="501"/>
      <c r="HE3205" s="501"/>
      <c r="HF3205" s="501"/>
      <c r="HG3205" s="501"/>
      <c r="HH3205" s="501"/>
      <c r="HI3205" s="501"/>
      <c r="HJ3205" s="501"/>
      <c r="HK3205" s="501"/>
      <c r="HL3205" s="501"/>
      <c r="HM3205" s="501"/>
      <c r="HN3205" s="501"/>
      <c r="HO3205" s="501"/>
      <c r="HP3205" s="501"/>
      <c r="HQ3205" s="501"/>
      <c r="HR3205" s="501"/>
      <c r="HS3205" s="501"/>
      <c r="HT3205" s="501"/>
      <c r="HU3205" s="501"/>
      <c r="HV3205" s="501"/>
      <c r="HW3205" s="501"/>
      <c r="HX3205" s="501"/>
      <c r="HY3205" s="501"/>
      <c r="HZ3205" s="501"/>
      <c r="IA3205" s="501"/>
      <c r="IB3205" s="501"/>
      <c r="IC3205" s="501"/>
      <c r="ID3205" s="501"/>
      <c r="IE3205" s="501"/>
      <c r="IF3205" s="501"/>
      <c r="IG3205" s="501"/>
      <c r="IH3205" s="501"/>
      <c r="II3205" s="501"/>
      <c r="IJ3205" s="501"/>
      <c r="IK3205" s="501"/>
      <c r="IL3205" s="501"/>
      <c r="IM3205" s="501"/>
      <c r="IN3205" s="501"/>
      <c r="IO3205" s="501"/>
      <c r="IP3205" s="501"/>
      <c r="IQ3205" s="501"/>
      <c r="IR3205" s="501"/>
      <c r="IS3205" s="501"/>
      <c r="IT3205" s="501"/>
      <c r="IU3205" s="501"/>
    </row>
    <row r="3206" spans="1:255" s="877" customFormat="1" ht="24" customHeight="1">
      <c r="A3206" s="501"/>
      <c r="B3206" s="501"/>
      <c r="C3206" s="501"/>
      <c r="D3206" s="501"/>
      <c r="E3206" s="501"/>
      <c r="F3206" s="501"/>
      <c r="G3206" s="915"/>
      <c r="H3206" s="501"/>
      <c r="I3206" s="874"/>
      <c r="J3206" s="933"/>
      <c r="K3206" s="501"/>
      <c r="L3206" s="902"/>
      <c r="M3206" s="554"/>
      <c r="N3206" s="501"/>
      <c r="O3206" s="1097"/>
      <c r="P3206" s="1151"/>
      <c r="Q3206" s="973"/>
      <c r="R3206" s="1102"/>
      <c r="S3206" s="1187"/>
      <c r="T3206" s="1099"/>
      <c r="V3206" s="501"/>
      <c r="W3206" s="501"/>
      <c r="X3206" s="501"/>
      <c r="Y3206" s="501"/>
      <c r="Z3206" s="501"/>
      <c r="AA3206" s="501"/>
      <c r="AB3206" s="501"/>
      <c r="AC3206" s="501"/>
      <c r="AD3206" s="501"/>
      <c r="AE3206" s="501"/>
      <c r="AF3206" s="501"/>
      <c r="AG3206" s="501"/>
      <c r="AH3206" s="501"/>
      <c r="AI3206" s="501"/>
      <c r="AJ3206" s="501"/>
      <c r="AK3206" s="501"/>
      <c r="AL3206" s="501"/>
      <c r="AM3206" s="501"/>
      <c r="AN3206" s="501"/>
      <c r="AO3206" s="501"/>
      <c r="AP3206" s="501"/>
      <c r="AQ3206" s="501"/>
      <c r="AR3206" s="501"/>
      <c r="AS3206" s="501"/>
      <c r="AT3206" s="501"/>
      <c r="AU3206" s="501"/>
      <c r="AV3206" s="501"/>
      <c r="AW3206" s="501"/>
      <c r="AX3206" s="501"/>
      <c r="AY3206" s="501"/>
      <c r="AZ3206" s="501"/>
      <c r="BA3206" s="501"/>
      <c r="BB3206" s="501"/>
      <c r="BC3206" s="501"/>
      <c r="BD3206" s="501"/>
      <c r="BE3206" s="501"/>
      <c r="BF3206" s="501"/>
      <c r="BG3206" s="501"/>
      <c r="BH3206" s="501"/>
      <c r="BI3206" s="501"/>
      <c r="BJ3206" s="501"/>
      <c r="BK3206" s="501"/>
      <c r="BL3206" s="501"/>
      <c r="BM3206" s="501"/>
      <c r="BN3206" s="501"/>
      <c r="BO3206" s="501"/>
      <c r="BP3206" s="501"/>
      <c r="BQ3206" s="501"/>
      <c r="BR3206" s="501"/>
      <c r="BS3206" s="501"/>
      <c r="BT3206" s="501"/>
      <c r="BU3206" s="501"/>
      <c r="BV3206" s="501"/>
      <c r="BW3206" s="501"/>
      <c r="BX3206" s="501"/>
      <c r="BY3206" s="501"/>
      <c r="BZ3206" s="501"/>
      <c r="CA3206" s="501"/>
      <c r="CB3206" s="501"/>
      <c r="CC3206" s="501"/>
      <c r="CD3206" s="501"/>
      <c r="CE3206" s="501"/>
      <c r="CF3206" s="501"/>
      <c r="CG3206" s="501"/>
      <c r="CH3206" s="501"/>
      <c r="CI3206" s="501"/>
      <c r="CJ3206" s="501"/>
      <c r="CK3206" s="501"/>
      <c r="CL3206" s="501"/>
      <c r="CM3206" s="501"/>
      <c r="CN3206" s="501"/>
      <c r="CO3206" s="501"/>
      <c r="CP3206" s="501"/>
      <c r="CQ3206" s="501"/>
      <c r="CR3206" s="501"/>
      <c r="CS3206" s="501"/>
      <c r="CT3206" s="501"/>
      <c r="CU3206" s="501"/>
      <c r="CV3206" s="501"/>
      <c r="CW3206" s="501"/>
      <c r="CX3206" s="501"/>
      <c r="CY3206" s="501"/>
      <c r="CZ3206" s="501"/>
      <c r="DA3206" s="501"/>
      <c r="DB3206" s="501"/>
      <c r="DC3206" s="501"/>
      <c r="DD3206" s="501"/>
      <c r="DE3206" s="501"/>
      <c r="DF3206" s="501"/>
      <c r="DG3206" s="501"/>
      <c r="DH3206" s="501"/>
      <c r="DI3206" s="501"/>
      <c r="DJ3206" s="501"/>
      <c r="DK3206" s="501"/>
      <c r="DL3206" s="501"/>
      <c r="DM3206" s="501"/>
      <c r="DN3206" s="501"/>
      <c r="DO3206" s="501"/>
      <c r="DP3206" s="501"/>
      <c r="DQ3206" s="501"/>
      <c r="DR3206" s="501"/>
      <c r="DS3206" s="501"/>
      <c r="DT3206" s="501"/>
      <c r="DU3206" s="501"/>
      <c r="DV3206" s="501"/>
      <c r="DW3206" s="501"/>
      <c r="DX3206" s="501"/>
      <c r="DY3206" s="501"/>
      <c r="DZ3206" s="501"/>
      <c r="EA3206" s="501"/>
      <c r="EB3206" s="501"/>
      <c r="EC3206" s="501"/>
      <c r="ED3206" s="501"/>
      <c r="EE3206" s="501"/>
      <c r="EF3206" s="501"/>
      <c r="EG3206" s="501"/>
      <c r="EH3206" s="501"/>
      <c r="EI3206" s="501"/>
      <c r="EJ3206" s="501"/>
      <c r="EK3206" s="501"/>
      <c r="EL3206" s="501"/>
      <c r="EM3206" s="501"/>
      <c r="EN3206" s="501"/>
      <c r="EO3206" s="501"/>
      <c r="EP3206" s="501"/>
      <c r="EQ3206" s="501"/>
      <c r="ER3206" s="501"/>
      <c r="ES3206" s="501"/>
      <c r="ET3206" s="501"/>
      <c r="EU3206" s="501"/>
      <c r="EV3206" s="501"/>
      <c r="EW3206" s="501"/>
      <c r="EX3206" s="501"/>
      <c r="EY3206" s="501"/>
      <c r="EZ3206" s="501"/>
      <c r="FA3206" s="501"/>
      <c r="FB3206" s="501"/>
      <c r="FC3206" s="501"/>
      <c r="FD3206" s="501"/>
      <c r="FE3206" s="501"/>
      <c r="FF3206" s="501"/>
      <c r="FG3206" s="501"/>
      <c r="FH3206" s="501"/>
      <c r="FI3206" s="501"/>
      <c r="FJ3206" s="501"/>
      <c r="FK3206" s="501"/>
      <c r="FL3206" s="501"/>
      <c r="FM3206" s="501"/>
      <c r="FN3206" s="501"/>
      <c r="FO3206" s="501"/>
      <c r="FP3206" s="501"/>
      <c r="FQ3206" s="501"/>
      <c r="FR3206" s="501"/>
      <c r="FS3206" s="501"/>
      <c r="FT3206" s="501"/>
      <c r="FU3206" s="501"/>
      <c r="FV3206" s="501"/>
      <c r="FW3206" s="501"/>
      <c r="FX3206" s="501"/>
      <c r="FY3206" s="501"/>
      <c r="FZ3206" s="501"/>
      <c r="GA3206" s="501"/>
      <c r="GB3206" s="501"/>
      <c r="GC3206" s="501"/>
      <c r="GD3206" s="501"/>
      <c r="GE3206" s="501"/>
      <c r="GF3206" s="501"/>
      <c r="GG3206" s="501"/>
      <c r="GH3206" s="501"/>
      <c r="GI3206" s="501"/>
      <c r="GJ3206" s="501"/>
      <c r="GK3206" s="501"/>
      <c r="GL3206" s="501"/>
      <c r="GM3206" s="501"/>
      <c r="GN3206" s="501"/>
      <c r="GO3206" s="501"/>
      <c r="GP3206" s="501"/>
      <c r="GQ3206" s="501"/>
      <c r="GR3206" s="501"/>
      <c r="GS3206" s="501"/>
      <c r="GT3206" s="501"/>
      <c r="GU3206" s="501"/>
      <c r="GV3206" s="501"/>
      <c r="GW3206" s="501"/>
      <c r="GX3206" s="501"/>
      <c r="GY3206" s="501"/>
      <c r="GZ3206" s="501"/>
      <c r="HA3206" s="501"/>
      <c r="HB3206" s="501"/>
      <c r="HC3206" s="501"/>
      <c r="HD3206" s="501"/>
      <c r="HE3206" s="501"/>
      <c r="HF3206" s="501"/>
      <c r="HG3206" s="501"/>
      <c r="HH3206" s="501"/>
      <c r="HI3206" s="501"/>
      <c r="HJ3206" s="501"/>
      <c r="HK3206" s="501"/>
      <c r="HL3206" s="501"/>
      <c r="HM3206" s="501"/>
      <c r="HN3206" s="501"/>
      <c r="HO3206" s="501"/>
      <c r="HP3206" s="501"/>
      <c r="HQ3206" s="501"/>
      <c r="HR3206" s="501"/>
      <c r="HS3206" s="501"/>
      <c r="HT3206" s="501"/>
      <c r="HU3206" s="501"/>
      <c r="HV3206" s="501"/>
      <c r="HW3206" s="501"/>
      <c r="HX3206" s="501"/>
      <c r="HY3206" s="501"/>
      <c r="HZ3206" s="501"/>
      <c r="IA3206" s="501"/>
      <c r="IB3206" s="501"/>
      <c r="IC3206" s="501"/>
      <c r="ID3206" s="501"/>
      <c r="IE3206" s="501"/>
      <c r="IF3206" s="501"/>
      <c r="IG3206" s="501"/>
      <c r="IH3206" s="501"/>
      <c r="II3206" s="501"/>
      <c r="IJ3206" s="501"/>
      <c r="IK3206" s="501"/>
      <c r="IL3206" s="501"/>
      <c r="IM3206" s="501"/>
      <c r="IN3206" s="501"/>
      <c r="IO3206" s="501"/>
      <c r="IP3206" s="501"/>
      <c r="IQ3206" s="501"/>
      <c r="IR3206" s="501"/>
      <c r="IS3206" s="501"/>
      <c r="IT3206" s="501"/>
      <c r="IU3206" s="501"/>
    </row>
    <row r="3207" spans="1:255" s="877" customFormat="1" ht="24" customHeight="1">
      <c r="A3207" s="501"/>
      <c r="B3207" s="501"/>
      <c r="C3207" s="501"/>
      <c r="D3207" s="501"/>
      <c r="E3207" s="501"/>
      <c r="F3207" s="501"/>
      <c r="G3207" s="915"/>
      <c r="H3207" s="501"/>
      <c r="I3207" s="874"/>
      <c r="J3207" s="501"/>
      <c r="K3207" s="501"/>
      <c r="L3207" s="878"/>
      <c r="M3207" s="554"/>
      <c r="N3207" s="501"/>
      <c r="O3207" s="1097"/>
      <c r="P3207" s="1151"/>
      <c r="Q3207" s="973"/>
      <c r="R3207" s="1102"/>
      <c r="S3207" s="1187"/>
      <c r="T3207" s="1164"/>
      <c r="V3207" s="501"/>
      <c r="W3207" s="501"/>
      <c r="X3207" s="501"/>
      <c r="Y3207" s="501"/>
      <c r="Z3207" s="501"/>
      <c r="AA3207" s="501"/>
      <c r="AB3207" s="501"/>
      <c r="AC3207" s="501"/>
      <c r="AD3207" s="501"/>
      <c r="AE3207" s="501"/>
      <c r="AF3207" s="501"/>
      <c r="AG3207" s="501"/>
      <c r="AH3207" s="501"/>
      <c r="AI3207" s="501"/>
      <c r="AJ3207" s="501"/>
      <c r="AK3207" s="501"/>
      <c r="AL3207" s="501"/>
      <c r="AM3207" s="501"/>
      <c r="AN3207" s="501"/>
      <c r="AO3207" s="501"/>
      <c r="AP3207" s="501"/>
      <c r="AQ3207" s="501"/>
      <c r="AR3207" s="501"/>
      <c r="AS3207" s="501"/>
      <c r="AT3207" s="501"/>
      <c r="AU3207" s="501"/>
      <c r="AV3207" s="501"/>
      <c r="AW3207" s="501"/>
      <c r="AX3207" s="501"/>
      <c r="AY3207" s="501"/>
      <c r="AZ3207" s="501"/>
      <c r="BA3207" s="501"/>
      <c r="BB3207" s="501"/>
      <c r="BC3207" s="501"/>
      <c r="BD3207" s="501"/>
      <c r="BE3207" s="501"/>
      <c r="BF3207" s="501"/>
      <c r="BG3207" s="501"/>
      <c r="BH3207" s="501"/>
      <c r="BI3207" s="501"/>
      <c r="BJ3207" s="501"/>
      <c r="BK3207" s="501"/>
      <c r="BL3207" s="501"/>
      <c r="BM3207" s="501"/>
      <c r="BN3207" s="501"/>
      <c r="BO3207" s="501"/>
      <c r="BP3207" s="501"/>
      <c r="BQ3207" s="501"/>
      <c r="BR3207" s="501"/>
      <c r="BS3207" s="501"/>
      <c r="BT3207" s="501"/>
      <c r="BU3207" s="501"/>
      <c r="BV3207" s="501"/>
      <c r="BW3207" s="501"/>
      <c r="BX3207" s="501"/>
      <c r="BY3207" s="501"/>
      <c r="BZ3207" s="501"/>
      <c r="CA3207" s="501"/>
      <c r="CB3207" s="501"/>
      <c r="CC3207" s="501"/>
      <c r="CD3207" s="501"/>
      <c r="CE3207" s="501"/>
      <c r="CF3207" s="501"/>
      <c r="CG3207" s="501"/>
      <c r="CH3207" s="501"/>
      <c r="CI3207" s="501"/>
      <c r="CJ3207" s="501"/>
      <c r="CK3207" s="501"/>
      <c r="CL3207" s="501"/>
      <c r="CM3207" s="501"/>
      <c r="CN3207" s="501"/>
      <c r="CO3207" s="501"/>
      <c r="CP3207" s="501"/>
      <c r="CQ3207" s="501"/>
      <c r="CR3207" s="501"/>
      <c r="CS3207" s="501"/>
      <c r="CT3207" s="501"/>
      <c r="CU3207" s="501"/>
      <c r="CV3207" s="501"/>
      <c r="CW3207" s="501"/>
      <c r="CX3207" s="501"/>
      <c r="CY3207" s="501"/>
      <c r="CZ3207" s="501"/>
      <c r="DA3207" s="501"/>
      <c r="DB3207" s="501"/>
      <c r="DC3207" s="501"/>
      <c r="DD3207" s="501"/>
      <c r="DE3207" s="501"/>
      <c r="DF3207" s="501"/>
      <c r="DG3207" s="501"/>
      <c r="DH3207" s="501"/>
      <c r="DI3207" s="501"/>
      <c r="DJ3207" s="501"/>
      <c r="DK3207" s="501"/>
      <c r="DL3207" s="501"/>
      <c r="DM3207" s="501"/>
      <c r="DN3207" s="501"/>
      <c r="DO3207" s="501"/>
      <c r="DP3207" s="501"/>
      <c r="DQ3207" s="501"/>
      <c r="DR3207" s="501"/>
      <c r="DS3207" s="501"/>
      <c r="DT3207" s="501"/>
      <c r="DU3207" s="501"/>
      <c r="DV3207" s="501"/>
      <c r="DW3207" s="501"/>
      <c r="DX3207" s="501"/>
      <c r="DY3207" s="501"/>
      <c r="DZ3207" s="501"/>
      <c r="EA3207" s="501"/>
      <c r="EB3207" s="501"/>
      <c r="EC3207" s="501"/>
      <c r="ED3207" s="501"/>
      <c r="EE3207" s="501"/>
      <c r="EF3207" s="501"/>
      <c r="EG3207" s="501"/>
      <c r="EH3207" s="501"/>
      <c r="EI3207" s="501"/>
      <c r="EJ3207" s="501"/>
      <c r="EK3207" s="501"/>
      <c r="EL3207" s="501"/>
      <c r="EM3207" s="501"/>
      <c r="EN3207" s="501"/>
      <c r="EO3207" s="501"/>
      <c r="EP3207" s="501"/>
      <c r="EQ3207" s="501"/>
      <c r="ER3207" s="501"/>
      <c r="ES3207" s="501"/>
      <c r="ET3207" s="501"/>
      <c r="EU3207" s="501"/>
      <c r="EV3207" s="501"/>
      <c r="EW3207" s="501"/>
      <c r="EX3207" s="501"/>
      <c r="EY3207" s="501"/>
      <c r="EZ3207" s="501"/>
      <c r="FA3207" s="501"/>
      <c r="FB3207" s="501"/>
      <c r="FC3207" s="501"/>
      <c r="FD3207" s="501"/>
      <c r="FE3207" s="501"/>
      <c r="FF3207" s="501"/>
      <c r="FG3207" s="501"/>
      <c r="FH3207" s="501"/>
      <c r="FI3207" s="501"/>
      <c r="FJ3207" s="501"/>
      <c r="FK3207" s="501"/>
      <c r="FL3207" s="501"/>
      <c r="FM3207" s="501"/>
      <c r="FN3207" s="501"/>
      <c r="FO3207" s="501"/>
      <c r="FP3207" s="501"/>
      <c r="FQ3207" s="501"/>
      <c r="FR3207" s="501"/>
      <c r="FS3207" s="501"/>
      <c r="FT3207" s="501"/>
      <c r="FU3207" s="501"/>
      <c r="FV3207" s="501"/>
      <c r="FW3207" s="501"/>
      <c r="FX3207" s="501"/>
      <c r="FY3207" s="501"/>
      <c r="FZ3207" s="501"/>
      <c r="GA3207" s="501"/>
      <c r="GB3207" s="501"/>
      <c r="GC3207" s="501"/>
      <c r="GD3207" s="501"/>
      <c r="GE3207" s="501"/>
      <c r="GF3207" s="501"/>
      <c r="GG3207" s="501"/>
      <c r="GH3207" s="501"/>
      <c r="GI3207" s="501"/>
      <c r="GJ3207" s="501"/>
      <c r="GK3207" s="501"/>
      <c r="GL3207" s="501"/>
      <c r="GM3207" s="501"/>
      <c r="GN3207" s="501"/>
      <c r="GO3207" s="501"/>
      <c r="GP3207" s="501"/>
      <c r="GQ3207" s="501"/>
      <c r="GR3207" s="501"/>
      <c r="GS3207" s="501"/>
      <c r="GT3207" s="501"/>
      <c r="GU3207" s="501"/>
      <c r="GV3207" s="501"/>
      <c r="GW3207" s="501"/>
      <c r="GX3207" s="501"/>
      <c r="GY3207" s="501"/>
      <c r="GZ3207" s="501"/>
      <c r="HA3207" s="501"/>
      <c r="HB3207" s="501"/>
      <c r="HC3207" s="501"/>
      <c r="HD3207" s="501"/>
      <c r="HE3207" s="501"/>
      <c r="HF3207" s="501"/>
      <c r="HG3207" s="501"/>
      <c r="HH3207" s="501"/>
      <c r="HI3207" s="501"/>
      <c r="HJ3207" s="501"/>
      <c r="HK3207" s="501"/>
      <c r="HL3207" s="501"/>
      <c r="HM3207" s="501"/>
      <c r="HN3207" s="501"/>
      <c r="HO3207" s="501"/>
      <c r="HP3207" s="501"/>
      <c r="HQ3207" s="501"/>
      <c r="HR3207" s="501"/>
      <c r="HS3207" s="501"/>
      <c r="HT3207" s="501"/>
      <c r="HU3207" s="501"/>
      <c r="HV3207" s="501"/>
      <c r="HW3207" s="501"/>
      <c r="HX3207" s="501"/>
      <c r="HY3207" s="501"/>
      <c r="HZ3207" s="501"/>
      <c r="IA3207" s="501"/>
      <c r="IB3207" s="501"/>
      <c r="IC3207" s="501"/>
      <c r="ID3207" s="501"/>
      <c r="IE3207" s="501"/>
      <c r="IF3207" s="501"/>
      <c r="IG3207" s="501"/>
      <c r="IH3207" s="501"/>
      <c r="II3207" s="501"/>
      <c r="IJ3207" s="501"/>
      <c r="IK3207" s="501"/>
      <c r="IL3207" s="501"/>
      <c r="IM3207" s="501"/>
      <c r="IN3207" s="501"/>
      <c r="IO3207" s="501"/>
      <c r="IP3207" s="501"/>
      <c r="IQ3207" s="501"/>
      <c r="IR3207" s="501"/>
      <c r="IS3207" s="501"/>
      <c r="IT3207" s="501"/>
      <c r="IU3207" s="501"/>
    </row>
    <row r="3208" spans="1:255" s="877" customFormat="1" ht="24" customHeight="1">
      <c r="A3208" s="501"/>
      <c r="B3208" s="501"/>
      <c r="C3208" s="501"/>
      <c r="D3208" s="501"/>
      <c r="E3208" s="501"/>
      <c r="F3208" s="501"/>
      <c r="G3208" s="915"/>
      <c r="H3208" s="501"/>
      <c r="I3208" s="874"/>
      <c r="J3208" s="501"/>
      <c r="K3208" s="501"/>
      <c r="L3208" s="878"/>
      <c r="M3208" s="554"/>
      <c r="N3208" s="501"/>
      <c r="O3208" s="1097"/>
      <c r="P3208" s="1151"/>
      <c r="Q3208" s="1097"/>
      <c r="R3208" s="1097"/>
      <c r="S3208" s="1194"/>
      <c r="T3208" s="874"/>
      <c r="V3208" s="501"/>
      <c r="W3208" s="501"/>
      <c r="X3208" s="501"/>
      <c r="Y3208" s="501"/>
      <c r="Z3208" s="501"/>
      <c r="AA3208" s="501"/>
      <c r="AB3208" s="501"/>
      <c r="AC3208" s="501"/>
      <c r="AD3208" s="501"/>
      <c r="AE3208" s="501"/>
      <c r="AF3208" s="501"/>
      <c r="AG3208" s="501"/>
      <c r="AH3208" s="501"/>
      <c r="AI3208" s="501"/>
      <c r="AJ3208" s="501"/>
      <c r="AK3208" s="501"/>
      <c r="AL3208" s="501"/>
      <c r="AM3208" s="501"/>
      <c r="AN3208" s="501"/>
      <c r="AO3208" s="501"/>
      <c r="AP3208" s="501"/>
      <c r="AQ3208" s="501"/>
      <c r="AR3208" s="501"/>
      <c r="AS3208" s="501"/>
      <c r="AT3208" s="501"/>
      <c r="AU3208" s="501"/>
      <c r="AV3208" s="501"/>
      <c r="AW3208" s="501"/>
      <c r="AX3208" s="501"/>
      <c r="AY3208" s="501"/>
      <c r="AZ3208" s="501"/>
      <c r="BA3208" s="501"/>
      <c r="BB3208" s="501"/>
      <c r="BC3208" s="501"/>
      <c r="BD3208" s="501"/>
      <c r="BE3208" s="501"/>
      <c r="BF3208" s="501"/>
      <c r="BG3208" s="501"/>
      <c r="BH3208" s="501"/>
      <c r="BI3208" s="501"/>
      <c r="BJ3208" s="501"/>
      <c r="BK3208" s="501"/>
      <c r="BL3208" s="501"/>
      <c r="BM3208" s="501"/>
      <c r="BN3208" s="501"/>
      <c r="BO3208" s="501"/>
      <c r="BP3208" s="501"/>
      <c r="BQ3208" s="501"/>
      <c r="BR3208" s="501"/>
      <c r="BS3208" s="501"/>
      <c r="BT3208" s="501"/>
      <c r="BU3208" s="501"/>
      <c r="BV3208" s="501"/>
      <c r="BW3208" s="501"/>
      <c r="BX3208" s="501"/>
      <c r="BY3208" s="501"/>
      <c r="BZ3208" s="501"/>
      <c r="CA3208" s="501"/>
      <c r="CB3208" s="501"/>
      <c r="CC3208" s="501"/>
      <c r="CD3208" s="501"/>
      <c r="CE3208" s="501"/>
      <c r="CF3208" s="501"/>
      <c r="CG3208" s="501"/>
      <c r="CH3208" s="501"/>
      <c r="CI3208" s="501"/>
      <c r="CJ3208" s="501"/>
      <c r="CK3208" s="501"/>
      <c r="CL3208" s="501"/>
      <c r="CM3208" s="501"/>
      <c r="CN3208" s="501"/>
      <c r="CO3208" s="501"/>
      <c r="CP3208" s="501"/>
      <c r="CQ3208" s="501"/>
      <c r="CR3208" s="501"/>
      <c r="CS3208" s="501"/>
      <c r="CT3208" s="501"/>
      <c r="CU3208" s="501"/>
      <c r="CV3208" s="501"/>
      <c r="CW3208" s="501"/>
      <c r="CX3208" s="501"/>
      <c r="CY3208" s="501"/>
      <c r="CZ3208" s="501"/>
      <c r="DA3208" s="501"/>
      <c r="DB3208" s="501"/>
      <c r="DC3208" s="501"/>
      <c r="DD3208" s="501"/>
      <c r="DE3208" s="501"/>
      <c r="DF3208" s="501"/>
      <c r="DG3208" s="501"/>
      <c r="DH3208" s="501"/>
      <c r="DI3208" s="501"/>
      <c r="DJ3208" s="501"/>
      <c r="DK3208" s="501"/>
      <c r="DL3208" s="501"/>
      <c r="DM3208" s="501"/>
      <c r="DN3208" s="501"/>
      <c r="DO3208" s="501"/>
      <c r="DP3208" s="501"/>
      <c r="DQ3208" s="501"/>
      <c r="DR3208" s="501"/>
      <c r="DS3208" s="501"/>
      <c r="DT3208" s="501"/>
      <c r="DU3208" s="501"/>
      <c r="DV3208" s="501"/>
      <c r="DW3208" s="501"/>
      <c r="DX3208" s="501"/>
      <c r="DY3208" s="501"/>
      <c r="DZ3208" s="501"/>
      <c r="EA3208" s="501"/>
      <c r="EB3208" s="501"/>
      <c r="EC3208" s="501"/>
      <c r="ED3208" s="501"/>
      <c r="EE3208" s="501"/>
      <c r="EF3208" s="501"/>
      <c r="EG3208" s="501"/>
      <c r="EH3208" s="501"/>
      <c r="EI3208" s="501"/>
      <c r="EJ3208" s="501"/>
      <c r="EK3208" s="501"/>
      <c r="EL3208" s="501"/>
      <c r="EM3208" s="501"/>
      <c r="EN3208" s="501"/>
      <c r="EO3208" s="501"/>
      <c r="EP3208" s="501"/>
      <c r="EQ3208" s="501"/>
      <c r="ER3208" s="501"/>
      <c r="ES3208" s="501"/>
      <c r="ET3208" s="501"/>
      <c r="EU3208" s="501"/>
      <c r="EV3208" s="501"/>
      <c r="EW3208" s="501"/>
      <c r="EX3208" s="501"/>
      <c r="EY3208" s="501"/>
      <c r="EZ3208" s="501"/>
      <c r="FA3208" s="501"/>
      <c r="FB3208" s="501"/>
      <c r="FC3208" s="501"/>
      <c r="FD3208" s="501"/>
      <c r="FE3208" s="501"/>
      <c r="FF3208" s="501"/>
      <c r="FG3208" s="501"/>
      <c r="FH3208" s="501"/>
      <c r="FI3208" s="501"/>
      <c r="FJ3208" s="501"/>
      <c r="FK3208" s="501"/>
      <c r="FL3208" s="501"/>
      <c r="FM3208" s="501"/>
      <c r="FN3208" s="501"/>
      <c r="FO3208" s="501"/>
      <c r="FP3208" s="501"/>
      <c r="FQ3208" s="501"/>
      <c r="FR3208" s="501"/>
      <c r="FS3208" s="501"/>
      <c r="FT3208" s="501"/>
      <c r="FU3208" s="501"/>
      <c r="FV3208" s="501"/>
      <c r="FW3208" s="501"/>
      <c r="FX3208" s="501"/>
      <c r="FY3208" s="501"/>
      <c r="FZ3208" s="501"/>
      <c r="GA3208" s="501"/>
      <c r="GB3208" s="501"/>
      <c r="GC3208" s="501"/>
      <c r="GD3208" s="501"/>
      <c r="GE3208" s="501"/>
      <c r="GF3208" s="501"/>
      <c r="GG3208" s="501"/>
      <c r="GH3208" s="501"/>
      <c r="GI3208" s="501"/>
      <c r="GJ3208" s="501"/>
      <c r="GK3208" s="501"/>
      <c r="GL3208" s="501"/>
      <c r="GM3208" s="501"/>
      <c r="GN3208" s="501"/>
      <c r="GO3208" s="501"/>
      <c r="GP3208" s="501"/>
      <c r="GQ3208" s="501"/>
      <c r="GR3208" s="501"/>
      <c r="GS3208" s="501"/>
      <c r="GT3208" s="501"/>
      <c r="GU3208" s="501"/>
      <c r="GV3208" s="501"/>
      <c r="GW3208" s="501"/>
      <c r="GX3208" s="501"/>
      <c r="GY3208" s="501"/>
      <c r="GZ3208" s="501"/>
      <c r="HA3208" s="501"/>
      <c r="HB3208" s="501"/>
      <c r="HC3208" s="501"/>
      <c r="HD3208" s="501"/>
      <c r="HE3208" s="501"/>
      <c r="HF3208" s="501"/>
      <c r="HG3208" s="501"/>
      <c r="HH3208" s="501"/>
      <c r="HI3208" s="501"/>
      <c r="HJ3208" s="501"/>
      <c r="HK3208" s="501"/>
      <c r="HL3208" s="501"/>
      <c r="HM3208" s="501"/>
      <c r="HN3208" s="501"/>
      <c r="HO3208" s="501"/>
      <c r="HP3208" s="501"/>
      <c r="HQ3208" s="501"/>
      <c r="HR3208" s="501"/>
      <c r="HS3208" s="501"/>
      <c r="HT3208" s="501"/>
      <c r="HU3208" s="501"/>
      <c r="HV3208" s="501"/>
      <c r="HW3208" s="501"/>
      <c r="HX3208" s="501"/>
      <c r="HY3208" s="501"/>
      <c r="HZ3208" s="501"/>
      <c r="IA3208" s="501"/>
      <c r="IB3208" s="501"/>
      <c r="IC3208" s="501"/>
      <c r="ID3208" s="501"/>
      <c r="IE3208" s="501"/>
      <c r="IF3208" s="501"/>
      <c r="IG3208" s="501"/>
      <c r="IH3208" s="501"/>
      <c r="II3208" s="501"/>
      <c r="IJ3208" s="501"/>
      <c r="IK3208" s="501"/>
      <c r="IL3208" s="501"/>
      <c r="IM3208" s="501"/>
      <c r="IN3208" s="501"/>
      <c r="IO3208" s="501"/>
      <c r="IP3208" s="501"/>
      <c r="IQ3208" s="501"/>
      <c r="IR3208" s="501"/>
      <c r="IS3208" s="501"/>
      <c r="IT3208" s="501"/>
      <c r="IU3208" s="501"/>
    </row>
    <row r="3209" spans="1:255" s="877" customFormat="1" ht="24" customHeight="1">
      <c r="A3209" s="501"/>
      <c r="B3209" s="501"/>
      <c r="C3209" s="501"/>
      <c r="D3209" s="501"/>
      <c r="E3209" s="501"/>
      <c r="F3209" s="501"/>
      <c r="G3209" s="915"/>
      <c r="H3209" s="501"/>
      <c r="I3209" s="874"/>
      <c r="J3209" s="501"/>
      <c r="K3209" s="501"/>
      <c r="L3209" s="878"/>
      <c r="M3209" s="554"/>
      <c r="N3209" s="501"/>
      <c r="O3209" s="1097"/>
      <c r="P3209" s="1151"/>
      <c r="Q3209" s="1097"/>
      <c r="R3209" s="1097"/>
      <c r="S3209" s="1188"/>
      <c r="T3209" s="874"/>
      <c r="V3209" s="501"/>
      <c r="W3209" s="501"/>
      <c r="X3209" s="501"/>
      <c r="Y3209" s="501"/>
      <c r="Z3209" s="501"/>
      <c r="AA3209" s="501"/>
      <c r="AB3209" s="501"/>
      <c r="AC3209" s="501"/>
      <c r="AD3209" s="501"/>
      <c r="AE3209" s="501"/>
      <c r="AF3209" s="501"/>
      <c r="AG3209" s="501"/>
      <c r="AH3209" s="501"/>
      <c r="AI3209" s="501"/>
      <c r="AJ3209" s="501"/>
      <c r="AK3209" s="501"/>
      <c r="AL3209" s="501"/>
      <c r="AM3209" s="501"/>
      <c r="AN3209" s="501"/>
      <c r="AO3209" s="501"/>
      <c r="AP3209" s="501"/>
      <c r="AQ3209" s="501"/>
      <c r="AR3209" s="501"/>
      <c r="AS3209" s="501"/>
      <c r="AT3209" s="501"/>
      <c r="AU3209" s="501"/>
      <c r="AV3209" s="501"/>
      <c r="AW3209" s="501"/>
      <c r="AX3209" s="501"/>
      <c r="AY3209" s="501"/>
      <c r="AZ3209" s="501"/>
      <c r="BA3209" s="501"/>
      <c r="BB3209" s="501"/>
      <c r="BC3209" s="501"/>
      <c r="BD3209" s="501"/>
      <c r="BE3209" s="501"/>
      <c r="BF3209" s="501"/>
      <c r="BG3209" s="501"/>
      <c r="BH3209" s="501"/>
      <c r="BI3209" s="501"/>
      <c r="BJ3209" s="501"/>
      <c r="BK3209" s="501"/>
      <c r="BL3209" s="501"/>
      <c r="BM3209" s="501"/>
      <c r="BN3209" s="501"/>
      <c r="BO3209" s="501"/>
      <c r="BP3209" s="501"/>
      <c r="BQ3209" s="501"/>
      <c r="BR3209" s="501"/>
      <c r="BS3209" s="501"/>
      <c r="BT3209" s="501"/>
      <c r="BU3209" s="501"/>
      <c r="BV3209" s="501"/>
      <c r="BW3209" s="501"/>
      <c r="BX3209" s="501"/>
      <c r="BY3209" s="501"/>
      <c r="BZ3209" s="501"/>
      <c r="CA3209" s="501"/>
      <c r="CB3209" s="501"/>
      <c r="CC3209" s="501"/>
      <c r="CD3209" s="501"/>
      <c r="CE3209" s="501"/>
      <c r="CF3209" s="501"/>
      <c r="CG3209" s="501"/>
      <c r="CH3209" s="501"/>
      <c r="CI3209" s="501"/>
      <c r="CJ3209" s="501"/>
      <c r="CK3209" s="501"/>
      <c r="CL3209" s="501"/>
      <c r="CM3209" s="501"/>
      <c r="CN3209" s="501"/>
      <c r="CO3209" s="501"/>
      <c r="CP3209" s="501"/>
      <c r="CQ3209" s="501"/>
      <c r="CR3209" s="501"/>
      <c r="CS3209" s="501"/>
      <c r="CT3209" s="501"/>
      <c r="CU3209" s="501"/>
      <c r="CV3209" s="501"/>
      <c r="CW3209" s="501"/>
      <c r="CX3209" s="501"/>
      <c r="CY3209" s="501"/>
      <c r="CZ3209" s="501"/>
      <c r="DA3209" s="501"/>
      <c r="DB3209" s="501"/>
      <c r="DC3209" s="501"/>
      <c r="DD3209" s="501"/>
      <c r="DE3209" s="501"/>
      <c r="DF3209" s="501"/>
      <c r="DG3209" s="501"/>
      <c r="DH3209" s="501"/>
      <c r="DI3209" s="501"/>
      <c r="DJ3209" s="501"/>
      <c r="DK3209" s="501"/>
      <c r="DL3209" s="501"/>
      <c r="DM3209" s="501"/>
      <c r="DN3209" s="501"/>
      <c r="DO3209" s="501"/>
      <c r="DP3209" s="501"/>
      <c r="DQ3209" s="501"/>
      <c r="DR3209" s="501"/>
      <c r="DS3209" s="501"/>
      <c r="DT3209" s="501"/>
      <c r="DU3209" s="501"/>
      <c r="DV3209" s="501"/>
      <c r="DW3209" s="501"/>
      <c r="DX3209" s="501"/>
      <c r="DY3209" s="501"/>
      <c r="DZ3209" s="501"/>
      <c r="EA3209" s="501"/>
      <c r="EB3209" s="501"/>
      <c r="EC3209" s="501"/>
      <c r="ED3209" s="501"/>
      <c r="EE3209" s="501"/>
      <c r="EF3209" s="501"/>
      <c r="EG3209" s="501"/>
      <c r="EH3209" s="501"/>
      <c r="EI3209" s="501"/>
      <c r="EJ3209" s="501"/>
      <c r="EK3209" s="501"/>
      <c r="EL3209" s="501"/>
      <c r="EM3209" s="501"/>
      <c r="EN3209" s="501"/>
      <c r="EO3209" s="501"/>
      <c r="EP3209" s="501"/>
      <c r="EQ3209" s="501"/>
      <c r="ER3209" s="501"/>
      <c r="ES3209" s="501"/>
      <c r="ET3209" s="501"/>
      <c r="EU3209" s="501"/>
      <c r="EV3209" s="501"/>
      <c r="EW3209" s="501"/>
      <c r="EX3209" s="501"/>
      <c r="EY3209" s="501"/>
      <c r="EZ3209" s="501"/>
      <c r="FA3209" s="501"/>
      <c r="FB3209" s="501"/>
      <c r="FC3209" s="501"/>
      <c r="FD3209" s="501"/>
      <c r="FE3209" s="501"/>
      <c r="FF3209" s="501"/>
      <c r="FG3209" s="501"/>
      <c r="FH3209" s="501"/>
      <c r="FI3209" s="501"/>
      <c r="FJ3209" s="501"/>
      <c r="FK3209" s="501"/>
      <c r="FL3209" s="501"/>
      <c r="FM3209" s="501"/>
      <c r="FN3209" s="501"/>
      <c r="FO3209" s="501"/>
      <c r="FP3209" s="501"/>
      <c r="FQ3209" s="501"/>
      <c r="FR3209" s="501"/>
      <c r="FS3209" s="501"/>
      <c r="FT3209" s="501"/>
      <c r="FU3209" s="501"/>
      <c r="FV3209" s="501"/>
      <c r="FW3209" s="501"/>
      <c r="FX3209" s="501"/>
      <c r="FY3209" s="501"/>
      <c r="FZ3209" s="501"/>
      <c r="GA3209" s="501"/>
      <c r="GB3209" s="501"/>
      <c r="GC3209" s="501"/>
      <c r="GD3209" s="501"/>
      <c r="GE3209" s="501"/>
      <c r="GF3209" s="501"/>
      <c r="GG3209" s="501"/>
      <c r="GH3209" s="501"/>
      <c r="GI3209" s="501"/>
      <c r="GJ3209" s="501"/>
      <c r="GK3209" s="501"/>
      <c r="GL3209" s="501"/>
      <c r="GM3209" s="501"/>
      <c r="GN3209" s="501"/>
      <c r="GO3209" s="501"/>
      <c r="GP3209" s="501"/>
      <c r="GQ3209" s="501"/>
      <c r="GR3209" s="501"/>
      <c r="GS3209" s="501"/>
      <c r="GT3209" s="501"/>
      <c r="GU3209" s="501"/>
      <c r="GV3209" s="501"/>
      <c r="GW3209" s="501"/>
      <c r="GX3209" s="501"/>
      <c r="GY3209" s="501"/>
      <c r="GZ3209" s="501"/>
      <c r="HA3209" s="501"/>
      <c r="HB3209" s="501"/>
      <c r="HC3209" s="501"/>
      <c r="HD3209" s="501"/>
      <c r="HE3209" s="501"/>
      <c r="HF3209" s="501"/>
      <c r="HG3209" s="501"/>
      <c r="HH3209" s="501"/>
      <c r="HI3209" s="501"/>
      <c r="HJ3209" s="501"/>
      <c r="HK3209" s="501"/>
      <c r="HL3209" s="501"/>
      <c r="HM3209" s="501"/>
      <c r="HN3209" s="501"/>
      <c r="HO3209" s="501"/>
      <c r="HP3209" s="501"/>
      <c r="HQ3209" s="501"/>
      <c r="HR3209" s="501"/>
      <c r="HS3209" s="501"/>
      <c r="HT3209" s="501"/>
      <c r="HU3209" s="501"/>
      <c r="HV3209" s="501"/>
      <c r="HW3209" s="501"/>
      <c r="HX3209" s="501"/>
      <c r="HY3209" s="501"/>
      <c r="HZ3209" s="501"/>
      <c r="IA3209" s="501"/>
      <c r="IB3209" s="501"/>
      <c r="IC3209" s="501"/>
      <c r="ID3209" s="501"/>
      <c r="IE3209" s="501"/>
      <c r="IF3209" s="501"/>
      <c r="IG3209" s="501"/>
      <c r="IH3209" s="501"/>
      <c r="II3209" s="501"/>
      <c r="IJ3209" s="501"/>
      <c r="IK3209" s="501"/>
      <c r="IL3209" s="501"/>
      <c r="IM3209" s="501"/>
      <c r="IN3209" s="501"/>
      <c r="IO3209" s="501"/>
      <c r="IP3209" s="501"/>
      <c r="IQ3209" s="501"/>
      <c r="IR3209" s="501"/>
      <c r="IS3209" s="501"/>
      <c r="IT3209" s="501"/>
      <c r="IU3209" s="501"/>
    </row>
    <row r="3210" spans="1:255" s="877" customFormat="1" ht="24" customHeight="1">
      <c r="A3210" s="501"/>
      <c r="B3210" s="501"/>
      <c r="C3210" s="501"/>
      <c r="D3210" s="501"/>
      <c r="E3210" s="501"/>
      <c r="F3210" s="501"/>
      <c r="G3210" s="915"/>
      <c r="H3210" s="501"/>
      <c r="I3210" s="874"/>
      <c r="J3210" s="501"/>
      <c r="K3210" s="501"/>
      <c r="L3210" s="878"/>
      <c r="M3210" s="554"/>
      <c r="N3210" s="501"/>
      <c r="O3210" s="1097"/>
      <c r="P3210" s="1151"/>
      <c r="Q3210" s="1097"/>
      <c r="R3210" s="1097"/>
      <c r="S3210" s="1194"/>
      <c r="T3210" s="874"/>
      <c r="V3210" s="501"/>
      <c r="W3210" s="501"/>
      <c r="X3210" s="501"/>
      <c r="Y3210" s="501"/>
      <c r="Z3210" s="501"/>
      <c r="AA3210" s="501"/>
      <c r="AB3210" s="501"/>
      <c r="AC3210" s="501"/>
      <c r="AD3210" s="501"/>
      <c r="AE3210" s="501"/>
      <c r="AF3210" s="501"/>
      <c r="AG3210" s="501"/>
      <c r="AH3210" s="501"/>
      <c r="AI3210" s="501"/>
      <c r="AJ3210" s="501"/>
      <c r="AK3210" s="501"/>
      <c r="AL3210" s="501"/>
      <c r="AM3210" s="501"/>
      <c r="AN3210" s="501"/>
      <c r="AO3210" s="501"/>
      <c r="AP3210" s="501"/>
      <c r="AQ3210" s="501"/>
      <c r="AR3210" s="501"/>
      <c r="AS3210" s="501"/>
      <c r="AT3210" s="501"/>
      <c r="AU3210" s="501"/>
      <c r="AV3210" s="501"/>
      <c r="AW3210" s="501"/>
      <c r="AX3210" s="501"/>
      <c r="AY3210" s="501"/>
      <c r="AZ3210" s="501"/>
      <c r="BA3210" s="501"/>
      <c r="BB3210" s="501"/>
      <c r="BC3210" s="501"/>
      <c r="BD3210" s="501"/>
      <c r="BE3210" s="501"/>
      <c r="BF3210" s="501"/>
      <c r="BG3210" s="501"/>
      <c r="BH3210" s="501"/>
      <c r="BI3210" s="501"/>
      <c r="BJ3210" s="501"/>
      <c r="BK3210" s="501"/>
      <c r="BL3210" s="501"/>
      <c r="BM3210" s="501"/>
      <c r="BN3210" s="501"/>
      <c r="BO3210" s="501"/>
      <c r="BP3210" s="501"/>
      <c r="BQ3210" s="501"/>
      <c r="BR3210" s="501"/>
      <c r="BS3210" s="501"/>
      <c r="BT3210" s="501"/>
      <c r="BU3210" s="501"/>
      <c r="BV3210" s="501"/>
      <c r="BW3210" s="501"/>
      <c r="BX3210" s="501"/>
      <c r="BY3210" s="501"/>
      <c r="BZ3210" s="501"/>
      <c r="CA3210" s="501"/>
      <c r="CB3210" s="501"/>
      <c r="CC3210" s="501"/>
      <c r="CD3210" s="501"/>
      <c r="CE3210" s="501"/>
      <c r="CF3210" s="501"/>
      <c r="CG3210" s="501"/>
      <c r="CH3210" s="501"/>
      <c r="CI3210" s="501"/>
      <c r="CJ3210" s="501"/>
      <c r="CK3210" s="501"/>
      <c r="CL3210" s="501"/>
      <c r="CM3210" s="501"/>
      <c r="CN3210" s="501"/>
      <c r="CO3210" s="501"/>
      <c r="CP3210" s="501"/>
      <c r="CQ3210" s="501"/>
      <c r="CR3210" s="501"/>
      <c r="CS3210" s="501"/>
      <c r="CT3210" s="501"/>
      <c r="CU3210" s="501"/>
      <c r="CV3210" s="501"/>
      <c r="CW3210" s="501"/>
      <c r="CX3210" s="501"/>
      <c r="CY3210" s="501"/>
      <c r="CZ3210" s="501"/>
      <c r="DA3210" s="501"/>
      <c r="DB3210" s="501"/>
      <c r="DC3210" s="501"/>
      <c r="DD3210" s="501"/>
      <c r="DE3210" s="501"/>
      <c r="DF3210" s="501"/>
      <c r="DG3210" s="501"/>
      <c r="DH3210" s="501"/>
      <c r="DI3210" s="501"/>
      <c r="DJ3210" s="501"/>
      <c r="DK3210" s="501"/>
      <c r="DL3210" s="501"/>
      <c r="DM3210" s="501"/>
      <c r="DN3210" s="501"/>
      <c r="DO3210" s="501"/>
      <c r="DP3210" s="501"/>
      <c r="DQ3210" s="501"/>
      <c r="DR3210" s="501"/>
      <c r="DS3210" s="501"/>
      <c r="DT3210" s="501"/>
      <c r="DU3210" s="501"/>
      <c r="DV3210" s="501"/>
      <c r="DW3210" s="501"/>
      <c r="DX3210" s="501"/>
      <c r="DY3210" s="501"/>
      <c r="DZ3210" s="501"/>
      <c r="EA3210" s="501"/>
      <c r="EB3210" s="501"/>
      <c r="EC3210" s="501"/>
      <c r="ED3210" s="501"/>
      <c r="EE3210" s="501"/>
      <c r="EF3210" s="501"/>
      <c r="EG3210" s="501"/>
      <c r="EH3210" s="501"/>
      <c r="EI3210" s="501"/>
      <c r="EJ3210" s="501"/>
      <c r="EK3210" s="501"/>
      <c r="EL3210" s="501"/>
      <c r="EM3210" s="501"/>
      <c r="EN3210" s="501"/>
      <c r="EO3210" s="501"/>
      <c r="EP3210" s="501"/>
      <c r="EQ3210" s="501"/>
      <c r="ER3210" s="501"/>
      <c r="ES3210" s="501"/>
      <c r="ET3210" s="501"/>
      <c r="EU3210" s="501"/>
      <c r="EV3210" s="501"/>
      <c r="EW3210" s="501"/>
      <c r="EX3210" s="501"/>
      <c r="EY3210" s="501"/>
      <c r="EZ3210" s="501"/>
      <c r="FA3210" s="501"/>
      <c r="FB3210" s="501"/>
      <c r="FC3210" s="501"/>
      <c r="FD3210" s="501"/>
      <c r="FE3210" s="501"/>
      <c r="FF3210" s="501"/>
      <c r="FG3210" s="501"/>
      <c r="FH3210" s="501"/>
      <c r="FI3210" s="501"/>
      <c r="FJ3210" s="501"/>
      <c r="FK3210" s="501"/>
      <c r="FL3210" s="501"/>
      <c r="FM3210" s="501"/>
      <c r="FN3210" s="501"/>
      <c r="FO3210" s="501"/>
      <c r="FP3210" s="501"/>
      <c r="FQ3210" s="501"/>
      <c r="FR3210" s="501"/>
      <c r="FS3210" s="501"/>
      <c r="FT3210" s="501"/>
      <c r="FU3210" s="501"/>
      <c r="FV3210" s="501"/>
      <c r="FW3210" s="501"/>
      <c r="FX3210" s="501"/>
      <c r="FY3210" s="501"/>
      <c r="FZ3210" s="501"/>
      <c r="GA3210" s="501"/>
      <c r="GB3210" s="501"/>
      <c r="GC3210" s="501"/>
      <c r="GD3210" s="501"/>
      <c r="GE3210" s="501"/>
      <c r="GF3210" s="501"/>
      <c r="GG3210" s="501"/>
      <c r="GH3210" s="501"/>
      <c r="GI3210" s="501"/>
      <c r="GJ3210" s="501"/>
      <c r="GK3210" s="501"/>
      <c r="GL3210" s="501"/>
      <c r="GM3210" s="501"/>
      <c r="GN3210" s="501"/>
      <c r="GO3210" s="501"/>
      <c r="GP3210" s="501"/>
      <c r="GQ3210" s="501"/>
      <c r="GR3210" s="501"/>
      <c r="GS3210" s="501"/>
      <c r="GT3210" s="501"/>
      <c r="GU3210" s="501"/>
      <c r="GV3210" s="501"/>
      <c r="GW3210" s="501"/>
      <c r="GX3210" s="501"/>
      <c r="GY3210" s="501"/>
      <c r="GZ3210" s="501"/>
      <c r="HA3210" s="501"/>
      <c r="HB3210" s="501"/>
      <c r="HC3210" s="501"/>
      <c r="HD3210" s="501"/>
      <c r="HE3210" s="501"/>
      <c r="HF3210" s="501"/>
      <c r="HG3210" s="501"/>
      <c r="HH3210" s="501"/>
      <c r="HI3210" s="501"/>
      <c r="HJ3210" s="501"/>
      <c r="HK3210" s="501"/>
      <c r="HL3210" s="501"/>
      <c r="HM3210" s="501"/>
      <c r="HN3210" s="501"/>
      <c r="HO3210" s="501"/>
      <c r="HP3210" s="501"/>
      <c r="HQ3210" s="501"/>
      <c r="HR3210" s="501"/>
      <c r="HS3210" s="501"/>
      <c r="HT3210" s="501"/>
      <c r="HU3210" s="501"/>
      <c r="HV3210" s="501"/>
      <c r="HW3210" s="501"/>
      <c r="HX3210" s="501"/>
      <c r="HY3210" s="501"/>
      <c r="HZ3210" s="501"/>
      <c r="IA3210" s="501"/>
      <c r="IB3210" s="501"/>
      <c r="IC3210" s="501"/>
      <c r="ID3210" s="501"/>
      <c r="IE3210" s="501"/>
      <c r="IF3210" s="501"/>
      <c r="IG3210" s="501"/>
      <c r="IH3210" s="501"/>
      <c r="II3210" s="501"/>
      <c r="IJ3210" s="501"/>
      <c r="IK3210" s="501"/>
      <c r="IL3210" s="501"/>
      <c r="IM3210" s="501"/>
      <c r="IN3210" s="501"/>
      <c r="IO3210" s="501"/>
      <c r="IP3210" s="501"/>
      <c r="IQ3210" s="501"/>
      <c r="IR3210" s="501"/>
      <c r="IS3210" s="501"/>
      <c r="IT3210" s="501"/>
      <c r="IU3210" s="501"/>
    </row>
    <row r="3211" spans="1:255" s="877" customFormat="1" ht="24" customHeight="1">
      <c r="A3211" s="501"/>
      <c r="B3211" s="501"/>
      <c r="C3211" s="501"/>
      <c r="D3211" s="501"/>
      <c r="E3211" s="501"/>
      <c r="F3211" s="501"/>
      <c r="G3211" s="915"/>
      <c r="H3211" s="501"/>
      <c r="I3211" s="874"/>
      <c r="J3211" s="501"/>
      <c r="K3211" s="501"/>
      <c r="L3211" s="878"/>
      <c r="M3211" s="554"/>
      <c r="N3211" s="501"/>
      <c r="O3211" s="1097"/>
      <c r="P3211" s="1151"/>
      <c r="Q3211" s="973"/>
      <c r="R3211" s="1097"/>
      <c r="S3211" s="1063"/>
      <c r="T3211" s="1164"/>
      <c r="V3211" s="501"/>
      <c r="W3211" s="501"/>
      <c r="X3211" s="501"/>
      <c r="Y3211" s="501"/>
      <c r="Z3211" s="501"/>
      <c r="AA3211" s="501"/>
      <c r="AB3211" s="501"/>
      <c r="AC3211" s="501"/>
      <c r="AD3211" s="501"/>
      <c r="AE3211" s="501"/>
      <c r="AF3211" s="501"/>
      <c r="AG3211" s="501"/>
      <c r="AH3211" s="501"/>
      <c r="AI3211" s="501"/>
      <c r="AJ3211" s="501"/>
      <c r="AK3211" s="501"/>
      <c r="AL3211" s="501"/>
      <c r="AM3211" s="501"/>
      <c r="AN3211" s="501"/>
      <c r="AO3211" s="501"/>
      <c r="AP3211" s="501"/>
      <c r="AQ3211" s="501"/>
      <c r="AR3211" s="501"/>
      <c r="AS3211" s="501"/>
      <c r="AT3211" s="501"/>
      <c r="AU3211" s="501"/>
      <c r="AV3211" s="501"/>
      <c r="AW3211" s="501"/>
      <c r="AX3211" s="501"/>
      <c r="AY3211" s="501"/>
      <c r="AZ3211" s="501"/>
      <c r="BA3211" s="501"/>
      <c r="BB3211" s="501"/>
      <c r="BC3211" s="501"/>
      <c r="BD3211" s="501"/>
      <c r="BE3211" s="501"/>
      <c r="BF3211" s="501"/>
      <c r="BG3211" s="501"/>
      <c r="BH3211" s="501"/>
      <c r="BI3211" s="501"/>
      <c r="BJ3211" s="501"/>
      <c r="BK3211" s="501"/>
      <c r="BL3211" s="501"/>
      <c r="BM3211" s="501"/>
      <c r="BN3211" s="501"/>
      <c r="BO3211" s="501"/>
      <c r="BP3211" s="501"/>
      <c r="BQ3211" s="501"/>
      <c r="BR3211" s="501"/>
      <c r="BS3211" s="501"/>
      <c r="BT3211" s="501"/>
      <c r="BU3211" s="501"/>
      <c r="BV3211" s="501"/>
      <c r="BW3211" s="501"/>
      <c r="BX3211" s="501"/>
      <c r="BY3211" s="501"/>
      <c r="BZ3211" s="501"/>
      <c r="CA3211" s="501"/>
      <c r="CB3211" s="501"/>
      <c r="CC3211" s="501"/>
      <c r="CD3211" s="501"/>
      <c r="CE3211" s="501"/>
      <c r="CF3211" s="501"/>
      <c r="CG3211" s="501"/>
      <c r="CH3211" s="501"/>
      <c r="CI3211" s="501"/>
      <c r="CJ3211" s="501"/>
      <c r="CK3211" s="501"/>
      <c r="CL3211" s="501"/>
      <c r="CM3211" s="501"/>
      <c r="CN3211" s="501"/>
      <c r="CO3211" s="501"/>
      <c r="CP3211" s="501"/>
      <c r="CQ3211" s="501"/>
      <c r="CR3211" s="501"/>
      <c r="CS3211" s="501"/>
      <c r="CT3211" s="501"/>
      <c r="CU3211" s="501"/>
      <c r="CV3211" s="501"/>
      <c r="CW3211" s="501"/>
      <c r="CX3211" s="501"/>
      <c r="CY3211" s="501"/>
      <c r="CZ3211" s="501"/>
      <c r="DA3211" s="501"/>
      <c r="DB3211" s="501"/>
      <c r="DC3211" s="501"/>
      <c r="DD3211" s="501"/>
      <c r="DE3211" s="501"/>
      <c r="DF3211" s="501"/>
      <c r="DG3211" s="501"/>
      <c r="DH3211" s="501"/>
      <c r="DI3211" s="501"/>
      <c r="DJ3211" s="501"/>
      <c r="DK3211" s="501"/>
      <c r="DL3211" s="501"/>
      <c r="DM3211" s="501"/>
      <c r="DN3211" s="501"/>
      <c r="DO3211" s="501"/>
      <c r="DP3211" s="501"/>
      <c r="DQ3211" s="501"/>
      <c r="DR3211" s="501"/>
      <c r="DS3211" s="501"/>
      <c r="DT3211" s="501"/>
      <c r="DU3211" s="501"/>
      <c r="DV3211" s="501"/>
      <c r="DW3211" s="501"/>
      <c r="DX3211" s="501"/>
      <c r="DY3211" s="501"/>
      <c r="DZ3211" s="501"/>
      <c r="EA3211" s="501"/>
      <c r="EB3211" s="501"/>
      <c r="EC3211" s="501"/>
      <c r="ED3211" s="501"/>
      <c r="EE3211" s="501"/>
      <c r="EF3211" s="501"/>
      <c r="EG3211" s="501"/>
      <c r="EH3211" s="501"/>
      <c r="EI3211" s="501"/>
      <c r="EJ3211" s="501"/>
      <c r="EK3211" s="501"/>
      <c r="EL3211" s="501"/>
      <c r="EM3211" s="501"/>
      <c r="EN3211" s="501"/>
      <c r="EO3211" s="501"/>
      <c r="EP3211" s="501"/>
      <c r="EQ3211" s="501"/>
      <c r="ER3211" s="501"/>
      <c r="ES3211" s="501"/>
      <c r="ET3211" s="501"/>
      <c r="EU3211" s="501"/>
      <c r="EV3211" s="501"/>
      <c r="EW3211" s="501"/>
      <c r="EX3211" s="501"/>
      <c r="EY3211" s="501"/>
      <c r="EZ3211" s="501"/>
      <c r="FA3211" s="501"/>
      <c r="FB3211" s="501"/>
      <c r="FC3211" s="501"/>
      <c r="FD3211" s="501"/>
      <c r="FE3211" s="501"/>
      <c r="FF3211" s="501"/>
      <c r="FG3211" s="501"/>
      <c r="FH3211" s="501"/>
      <c r="FI3211" s="501"/>
      <c r="FJ3211" s="501"/>
      <c r="FK3211" s="501"/>
      <c r="FL3211" s="501"/>
      <c r="FM3211" s="501"/>
      <c r="FN3211" s="501"/>
      <c r="FO3211" s="501"/>
      <c r="FP3211" s="501"/>
      <c r="FQ3211" s="501"/>
      <c r="FR3211" s="501"/>
      <c r="FS3211" s="501"/>
      <c r="FT3211" s="501"/>
      <c r="FU3211" s="501"/>
      <c r="FV3211" s="501"/>
      <c r="FW3211" s="501"/>
      <c r="FX3211" s="501"/>
      <c r="FY3211" s="501"/>
      <c r="FZ3211" s="501"/>
      <c r="GA3211" s="501"/>
      <c r="GB3211" s="501"/>
      <c r="GC3211" s="501"/>
      <c r="GD3211" s="501"/>
      <c r="GE3211" s="501"/>
      <c r="GF3211" s="501"/>
      <c r="GG3211" s="501"/>
      <c r="GH3211" s="501"/>
      <c r="GI3211" s="501"/>
      <c r="GJ3211" s="501"/>
      <c r="GK3211" s="501"/>
      <c r="GL3211" s="501"/>
      <c r="GM3211" s="501"/>
      <c r="GN3211" s="501"/>
      <c r="GO3211" s="501"/>
      <c r="GP3211" s="501"/>
      <c r="GQ3211" s="501"/>
      <c r="GR3211" s="501"/>
      <c r="GS3211" s="501"/>
      <c r="GT3211" s="501"/>
      <c r="GU3211" s="501"/>
      <c r="GV3211" s="501"/>
      <c r="GW3211" s="501"/>
      <c r="GX3211" s="501"/>
      <c r="GY3211" s="501"/>
      <c r="GZ3211" s="501"/>
      <c r="HA3211" s="501"/>
      <c r="HB3211" s="501"/>
      <c r="HC3211" s="501"/>
      <c r="HD3211" s="501"/>
      <c r="HE3211" s="501"/>
      <c r="HF3211" s="501"/>
      <c r="HG3211" s="501"/>
      <c r="HH3211" s="501"/>
      <c r="HI3211" s="501"/>
      <c r="HJ3211" s="501"/>
      <c r="HK3211" s="501"/>
      <c r="HL3211" s="501"/>
      <c r="HM3211" s="501"/>
      <c r="HN3211" s="501"/>
      <c r="HO3211" s="501"/>
      <c r="HP3211" s="501"/>
      <c r="HQ3211" s="501"/>
      <c r="HR3211" s="501"/>
      <c r="HS3211" s="501"/>
      <c r="HT3211" s="501"/>
      <c r="HU3211" s="501"/>
      <c r="HV3211" s="501"/>
      <c r="HW3211" s="501"/>
      <c r="HX3211" s="501"/>
      <c r="HY3211" s="501"/>
      <c r="HZ3211" s="501"/>
      <c r="IA3211" s="501"/>
      <c r="IB3211" s="501"/>
      <c r="IC3211" s="501"/>
      <c r="ID3211" s="501"/>
      <c r="IE3211" s="501"/>
      <c r="IF3211" s="501"/>
      <c r="IG3211" s="501"/>
      <c r="IH3211" s="501"/>
      <c r="II3211" s="501"/>
      <c r="IJ3211" s="501"/>
      <c r="IK3211" s="501"/>
      <c r="IL3211" s="501"/>
      <c r="IM3211" s="501"/>
      <c r="IN3211" s="501"/>
      <c r="IO3211" s="501"/>
      <c r="IP3211" s="501"/>
      <c r="IQ3211" s="501"/>
      <c r="IR3211" s="501"/>
      <c r="IS3211" s="501"/>
      <c r="IT3211" s="501"/>
      <c r="IU3211" s="501"/>
    </row>
    <row r="3212" spans="1:255" s="877" customFormat="1" ht="24" customHeight="1">
      <c r="A3212" s="501"/>
      <c r="B3212" s="501"/>
      <c r="C3212" s="501"/>
      <c r="D3212" s="501"/>
      <c r="E3212" s="501"/>
      <c r="F3212" s="501"/>
      <c r="G3212" s="915"/>
      <c r="H3212" s="501"/>
      <c r="I3212" s="874"/>
      <c r="J3212" s="501"/>
      <c r="K3212" s="501"/>
      <c r="L3212" s="878"/>
      <c r="M3212" s="554"/>
      <c r="N3212" s="501"/>
      <c r="O3212" s="1097"/>
      <c r="P3212" s="1151"/>
      <c r="Q3212" s="973"/>
      <c r="R3212" s="1097"/>
      <c r="S3212" s="1191"/>
      <c r="T3212" s="1164"/>
      <c r="V3212" s="501"/>
      <c r="W3212" s="501"/>
      <c r="X3212" s="501"/>
      <c r="Y3212" s="501"/>
      <c r="Z3212" s="501"/>
      <c r="AA3212" s="501"/>
      <c r="AB3212" s="501"/>
      <c r="AC3212" s="501"/>
      <c r="AD3212" s="501"/>
      <c r="AE3212" s="501"/>
      <c r="AF3212" s="501"/>
      <c r="AG3212" s="501"/>
      <c r="AH3212" s="501"/>
      <c r="AI3212" s="501"/>
      <c r="AJ3212" s="501"/>
      <c r="AK3212" s="501"/>
      <c r="AL3212" s="501"/>
      <c r="AM3212" s="501"/>
      <c r="AN3212" s="501"/>
      <c r="AO3212" s="501"/>
      <c r="AP3212" s="501"/>
      <c r="AQ3212" s="501"/>
      <c r="AR3212" s="501"/>
      <c r="AS3212" s="501"/>
      <c r="AT3212" s="501"/>
      <c r="AU3212" s="501"/>
      <c r="AV3212" s="501"/>
      <c r="AW3212" s="501"/>
      <c r="AX3212" s="501"/>
      <c r="AY3212" s="501"/>
      <c r="AZ3212" s="501"/>
      <c r="BA3212" s="501"/>
      <c r="BB3212" s="501"/>
      <c r="BC3212" s="501"/>
      <c r="BD3212" s="501"/>
      <c r="BE3212" s="501"/>
      <c r="BF3212" s="501"/>
      <c r="BG3212" s="501"/>
      <c r="BH3212" s="501"/>
      <c r="BI3212" s="501"/>
      <c r="BJ3212" s="501"/>
      <c r="BK3212" s="501"/>
      <c r="BL3212" s="501"/>
      <c r="BM3212" s="501"/>
      <c r="BN3212" s="501"/>
      <c r="BO3212" s="501"/>
      <c r="BP3212" s="501"/>
      <c r="BQ3212" s="501"/>
      <c r="BR3212" s="501"/>
      <c r="BS3212" s="501"/>
      <c r="BT3212" s="501"/>
      <c r="BU3212" s="501"/>
      <c r="BV3212" s="501"/>
      <c r="BW3212" s="501"/>
      <c r="BX3212" s="501"/>
      <c r="BY3212" s="501"/>
      <c r="BZ3212" s="501"/>
      <c r="CA3212" s="501"/>
      <c r="CB3212" s="501"/>
      <c r="CC3212" s="501"/>
      <c r="CD3212" s="501"/>
      <c r="CE3212" s="501"/>
      <c r="CF3212" s="501"/>
      <c r="CG3212" s="501"/>
      <c r="CH3212" s="501"/>
      <c r="CI3212" s="501"/>
      <c r="CJ3212" s="501"/>
      <c r="CK3212" s="501"/>
      <c r="CL3212" s="501"/>
      <c r="CM3212" s="501"/>
      <c r="CN3212" s="501"/>
      <c r="CO3212" s="501"/>
      <c r="CP3212" s="501"/>
      <c r="CQ3212" s="501"/>
      <c r="CR3212" s="501"/>
      <c r="CS3212" s="501"/>
      <c r="CT3212" s="501"/>
      <c r="CU3212" s="501"/>
      <c r="CV3212" s="501"/>
      <c r="CW3212" s="501"/>
      <c r="CX3212" s="501"/>
      <c r="CY3212" s="501"/>
      <c r="CZ3212" s="501"/>
      <c r="DA3212" s="501"/>
      <c r="DB3212" s="501"/>
      <c r="DC3212" s="501"/>
      <c r="DD3212" s="501"/>
      <c r="DE3212" s="501"/>
      <c r="DF3212" s="501"/>
      <c r="DG3212" s="501"/>
      <c r="DH3212" s="501"/>
      <c r="DI3212" s="501"/>
      <c r="DJ3212" s="501"/>
      <c r="DK3212" s="501"/>
      <c r="DL3212" s="501"/>
      <c r="DM3212" s="501"/>
      <c r="DN3212" s="501"/>
      <c r="DO3212" s="501"/>
      <c r="DP3212" s="501"/>
      <c r="DQ3212" s="501"/>
      <c r="DR3212" s="501"/>
      <c r="DS3212" s="501"/>
      <c r="DT3212" s="501"/>
      <c r="DU3212" s="501"/>
      <c r="DV3212" s="501"/>
      <c r="DW3212" s="501"/>
      <c r="DX3212" s="501"/>
      <c r="DY3212" s="501"/>
      <c r="DZ3212" s="501"/>
      <c r="EA3212" s="501"/>
      <c r="EB3212" s="501"/>
      <c r="EC3212" s="501"/>
      <c r="ED3212" s="501"/>
      <c r="EE3212" s="501"/>
      <c r="EF3212" s="501"/>
      <c r="EG3212" s="501"/>
      <c r="EH3212" s="501"/>
      <c r="EI3212" s="501"/>
      <c r="EJ3212" s="501"/>
      <c r="EK3212" s="501"/>
      <c r="EL3212" s="501"/>
      <c r="EM3212" s="501"/>
      <c r="EN3212" s="501"/>
      <c r="EO3212" s="501"/>
      <c r="EP3212" s="501"/>
      <c r="EQ3212" s="501"/>
      <c r="ER3212" s="501"/>
      <c r="ES3212" s="501"/>
      <c r="ET3212" s="501"/>
      <c r="EU3212" s="501"/>
      <c r="EV3212" s="501"/>
      <c r="EW3212" s="501"/>
      <c r="EX3212" s="501"/>
      <c r="EY3212" s="501"/>
      <c r="EZ3212" s="501"/>
      <c r="FA3212" s="501"/>
      <c r="FB3212" s="501"/>
      <c r="FC3212" s="501"/>
      <c r="FD3212" s="501"/>
      <c r="FE3212" s="501"/>
      <c r="FF3212" s="501"/>
      <c r="FG3212" s="501"/>
      <c r="FH3212" s="501"/>
      <c r="FI3212" s="501"/>
      <c r="FJ3212" s="501"/>
      <c r="FK3212" s="501"/>
      <c r="FL3212" s="501"/>
      <c r="FM3212" s="501"/>
      <c r="FN3212" s="501"/>
      <c r="FO3212" s="501"/>
      <c r="FP3212" s="501"/>
      <c r="FQ3212" s="501"/>
      <c r="FR3212" s="501"/>
      <c r="FS3212" s="501"/>
      <c r="FT3212" s="501"/>
      <c r="FU3212" s="501"/>
      <c r="FV3212" s="501"/>
      <c r="FW3212" s="501"/>
      <c r="FX3212" s="501"/>
      <c r="FY3212" s="501"/>
      <c r="FZ3212" s="501"/>
      <c r="GA3212" s="501"/>
      <c r="GB3212" s="501"/>
      <c r="GC3212" s="501"/>
      <c r="GD3212" s="501"/>
      <c r="GE3212" s="501"/>
      <c r="GF3212" s="501"/>
      <c r="GG3212" s="501"/>
      <c r="GH3212" s="501"/>
      <c r="GI3212" s="501"/>
      <c r="GJ3212" s="501"/>
      <c r="GK3212" s="501"/>
      <c r="GL3212" s="501"/>
      <c r="GM3212" s="501"/>
      <c r="GN3212" s="501"/>
      <c r="GO3212" s="501"/>
      <c r="GP3212" s="501"/>
      <c r="GQ3212" s="501"/>
      <c r="GR3212" s="501"/>
      <c r="GS3212" s="501"/>
      <c r="GT3212" s="501"/>
      <c r="GU3212" s="501"/>
      <c r="GV3212" s="501"/>
      <c r="GW3212" s="501"/>
      <c r="GX3212" s="501"/>
      <c r="GY3212" s="501"/>
      <c r="GZ3212" s="501"/>
      <c r="HA3212" s="501"/>
      <c r="HB3212" s="501"/>
      <c r="HC3212" s="501"/>
      <c r="HD3212" s="501"/>
      <c r="HE3212" s="501"/>
      <c r="HF3212" s="501"/>
      <c r="HG3212" s="501"/>
      <c r="HH3212" s="501"/>
      <c r="HI3212" s="501"/>
      <c r="HJ3212" s="501"/>
      <c r="HK3212" s="501"/>
      <c r="HL3212" s="501"/>
      <c r="HM3212" s="501"/>
      <c r="HN3212" s="501"/>
      <c r="HO3212" s="501"/>
      <c r="HP3212" s="501"/>
      <c r="HQ3212" s="501"/>
      <c r="HR3212" s="501"/>
      <c r="HS3212" s="501"/>
      <c r="HT3212" s="501"/>
      <c r="HU3212" s="501"/>
      <c r="HV3212" s="501"/>
      <c r="HW3212" s="501"/>
      <c r="HX3212" s="501"/>
      <c r="HY3212" s="501"/>
      <c r="HZ3212" s="501"/>
      <c r="IA3212" s="501"/>
      <c r="IB3212" s="501"/>
      <c r="IC3212" s="501"/>
      <c r="ID3212" s="501"/>
      <c r="IE3212" s="501"/>
      <c r="IF3212" s="501"/>
      <c r="IG3212" s="501"/>
      <c r="IH3212" s="501"/>
      <c r="II3212" s="501"/>
      <c r="IJ3212" s="501"/>
      <c r="IK3212" s="501"/>
      <c r="IL3212" s="501"/>
      <c r="IM3212" s="501"/>
      <c r="IN3212" s="501"/>
      <c r="IO3212" s="501"/>
      <c r="IP3212" s="501"/>
      <c r="IQ3212" s="501"/>
      <c r="IR3212" s="501"/>
      <c r="IS3212" s="501"/>
      <c r="IT3212" s="501"/>
      <c r="IU3212" s="501"/>
    </row>
    <row r="3213" spans="1:255" s="877" customFormat="1" ht="24" customHeight="1">
      <c r="A3213" s="501"/>
      <c r="B3213" s="501"/>
      <c r="C3213" s="501"/>
      <c r="D3213" s="501"/>
      <c r="E3213" s="501"/>
      <c r="F3213" s="501"/>
      <c r="G3213" s="915"/>
      <c r="H3213" s="501"/>
      <c r="I3213" s="874"/>
      <c r="J3213" s="501"/>
      <c r="K3213" s="501"/>
      <c r="L3213" s="878"/>
      <c r="M3213" s="554"/>
      <c r="N3213" s="501"/>
      <c r="O3213" s="1097"/>
      <c r="P3213" s="1151"/>
      <c r="Q3213" s="973"/>
      <c r="R3213" s="1097"/>
      <c r="S3213" s="1191"/>
      <c r="T3213" s="1164"/>
      <c r="V3213" s="501"/>
      <c r="W3213" s="501"/>
      <c r="X3213" s="501"/>
      <c r="Y3213" s="501"/>
      <c r="Z3213" s="501"/>
      <c r="AA3213" s="501"/>
      <c r="AB3213" s="501"/>
      <c r="AC3213" s="501"/>
      <c r="AD3213" s="501"/>
      <c r="AE3213" s="501"/>
      <c r="AF3213" s="501"/>
      <c r="AG3213" s="501"/>
      <c r="AH3213" s="501"/>
      <c r="AI3213" s="501"/>
      <c r="AJ3213" s="501"/>
      <c r="AK3213" s="501"/>
      <c r="AL3213" s="501"/>
      <c r="AM3213" s="501"/>
      <c r="AN3213" s="501"/>
      <c r="AO3213" s="501"/>
      <c r="AP3213" s="501"/>
      <c r="AQ3213" s="501"/>
      <c r="AR3213" s="501"/>
      <c r="AS3213" s="501"/>
      <c r="AT3213" s="501"/>
      <c r="AU3213" s="501"/>
      <c r="AV3213" s="501"/>
      <c r="AW3213" s="501"/>
      <c r="AX3213" s="501"/>
      <c r="AY3213" s="501"/>
      <c r="AZ3213" s="501"/>
      <c r="BA3213" s="501"/>
      <c r="BB3213" s="501"/>
      <c r="BC3213" s="501"/>
      <c r="BD3213" s="501"/>
      <c r="BE3213" s="501"/>
      <c r="BF3213" s="501"/>
      <c r="BG3213" s="501"/>
      <c r="BH3213" s="501"/>
      <c r="BI3213" s="501"/>
      <c r="BJ3213" s="501"/>
      <c r="BK3213" s="501"/>
      <c r="BL3213" s="501"/>
      <c r="BM3213" s="501"/>
      <c r="BN3213" s="501"/>
      <c r="BO3213" s="501"/>
      <c r="BP3213" s="501"/>
      <c r="BQ3213" s="501"/>
      <c r="BR3213" s="501"/>
      <c r="BS3213" s="501"/>
      <c r="BT3213" s="501"/>
      <c r="BU3213" s="501"/>
      <c r="BV3213" s="501"/>
      <c r="BW3213" s="501"/>
      <c r="BX3213" s="501"/>
      <c r="BY3213" s="501"/>
      <c r="BZ3213" s="501"/>
      <c r="CA3213" s="501"/>
      <c r="CB3213" s="501"/>
      <c r="CC3213" s="501"/>
      <c r="CD3213" s="501"/>
      <c r="CE3213" s="501"/>
      <c r="CF3213" s="501"/>
      <c r="CG3213" s="501"/>
      <c r="CH3213" s="501"/>
      <c r="CI3213" s="501"/>
      <c r="CJ3213" s="501"/>
      <c r="CK3213" s="501"/>
      <c r="CL3213" s="501"/>
      <c r="CM3213" s="501"/>
      <c r="CN3213" s="501"/>
      <c r="CO3213" s="501"/>
      <c r="CP3213" s="501"/>
      <c r="CQ3213" s="501"/>
      <c r="CR3213" s="501"/>
      <c r="CS3213" s="501"/>
      <c r="CT3213" s="501"/>
      <c r="CU3213" s="501"/>
      <c r="CV3213" s="501"/>
      <c r="CW3213" s="501"/>
      <c r="CX3213" s="501"/>
      <c r="CY3213" s="501"/>
      <c r="CZ3213" s="501"/>
      <c r="DA3213" s="501"/>
      <c r="DB3213" s="501"/>
      <c r="DC3213" s="501"/>
      <c r="DD3213" s="501"/>
      <c r="DE3213" s="501"/>
      <c r="DF3213" s="501"/>
      <c r="DG3213" s="501"/>
      <c r="DH3213" s="501"/>
      <c r="DI3213" s="501"/>
      <c r="DJ3213" s="501"/>
      <c r="DK3213" s="501"/>
      <c r="DL3213" s="501"/>
      <c r="DM3213" s="501"/>
      <c r="DN3213" s="501"/>
      <c r="DO3213" s="501"/>
      <c r="DP3213" s="501"/>
      <c r="DQ3213" s="501"/>
      <c r="DR3213" s="501"/>
      <c r="DS3213" s="501"/>
      <c r="DT3213" s="501"/>
      <c r="DU3213" s="501"/>
      <c r="DV3213" s="501"/>
      <c r="DW3213" s="501"/>
      <c r="DX3213" s="501"/>
      <c r="DY3213" s="501"/>
      <c r="DZ3213" s="501"/>
      <c r="EA3213" s="501"/>
      <c r="EB3213" s="501"/>
      <c r="EC3213" s="501"/>
      <c r="ED3213" s="501"/>
      <c r="EE3213" s="501"/>
      <c r="EF3213" s="501"/>
      <c r="EG3213" s="501"/>
      <c r="EH3213" s="501"/>
      <c r="EI3213" s="501"/>
      <c r="EJ3213" s="501"/>
      <c r="EK3213" s="501"/>
      <c r="EL3213" s="501"/>
      <c r="EM3213" s="501"/>
      <c r="EN3213" s="501"/>
      <c r="EO3213" s="501"/>
      <c r="EP3213" s="501"/>
      <c r="EQ3213" s="501"/>
      <c r="ER3213" s="501"/>
      <c r="ES3213" s="501"/>
      <c r="ET3213" s="501"/>
      <c r="EU3213" s="501"/>
      <c r="EV3213" s="501"/>
      <c r="EW3213" s="501"/>
      <c r="EX3213" s="501"/>
      <c r="EY3213" s="501"/>
      <c r="EZ3213" s="501"/>
      <c r="FA3213" s="501"/>
      <c r="FB3213" s="501"/>
      <c r="FC3213" s="501"/>
      <c r="FD3213" s="501"/>
      <c r="FE3213" s="501"/>
      <c r="FF3213" s="501"/>
      <c r="FG3213" s="501"/>
      <c r="FH3213" s="501"/>
      <c r="FI3213" s="501"/>
      <c r="FJ3213" s="501"/>
      <c r="FK3213" s="501"/>
      <c r="FL3213" s="501"/>
      <c r="FM3213" s="501"/>
      <c r="FN3213" s="501"/>
      <c r="FO3213" s="501"/>
      <c r="FP3213" s="501"/>
      <c r="FQ3213" s="501"/>
      <c r="FR3213" s="501"/>
      <c r="FS3213" s="501"/>
      <c r="FT3213" s="501"/>
      <c r="FU3213" s="501"/>
      <c r="FV3213" s="501"/>
      <c r="FW3213" s="501"/>
      <c r="FX3213" s="501"/>
      <c r="FY3213" s="501"/>
      <c r="FZ3213" s="501"/>
      <c r="GA3213" s="501"/>
      <c r="GB3213" s="501"/>
      <c r="GC3213" s="501"/>
      <c r="GD3213" s="501"/>
      <c r="GE3213" s="501"/>
      <c r="GF3213" s="501"/>
      <c r="GG3213" s="501"/>
      <c r="GH3213" s="501"/>
      <c r="GI3213" s="501"/>
      <c r="GJ3213" s="501"/>
      <c r="GK3213" s="501"/>
      <c r="GL3213" s="501"/>
      <c r="GM3213" s="501"/>
      <c r="GN3213" s="501"/>
      <c r="GO3213" s="501"/>
      <c r="GP3213" s="501"/>
      <c r="GQ3213" s="501"/>
      <c r="GR3213" s="501"/>
      <c r="GS3213" s="501"/>
      <c r="GT3213" s="501"/>
      <c r="GU3213" s="501"/>
      <c r="GV3213" s="501"/>
      <c r="GW3213" s="501"/>
      <c r="GX3213" s="501"/>
      <c r="GY3213" s="501"/>
      <c r="GZ3213" s="501"/>
      <c r="HA3213" s="501"/>
      <c r="HB3213" s="501"/>
      <c r="HC3213" s="501"/>
      <c r="HD3213" s="501"/>
      <c r="HE3213" s="501"/>
      <c r="HF3213" s="501"/>
      <c r="HG3213" s="501"/>
      <c r="HH3213" s="501"/>
      <c r="HI3213" s="501"/>
      <c r="HJ3213" s="501"/>
      <c r="HK3213" s="501"/>
      <c r="HL3213" s="501"/>
      <c r="HM3213" s="501"/>
      <c r="HN3213" s="501"/>
      <c r="HO3213" s="501"/>
      <c r="HP3213" s="501"/>
      <c r="HQ3213" s="501"/>
      <c r="HR3213" s="501"/>
      <c r="HS3213" s="501"/>
      <c r="HT3213" s="501"/>
      <c r="HU3213" s="501"/>
      <c r="HV3213" s="501"/>
      <c r="HW3213" s="501"/>
      <c r="HX3213" s="501"/>
      <c r="HY3213" s="501"/>
      <c r="HZ3213" s="501"/>
      <c r="IA3213" s="501"/>
      <c r="IB3213" s="501"/>
      <c r="IC3213" s="501"/>
      <c r="ID3213" s="501"/>
      <c r="IE3213" s="501"/>
      <c r="IF3213" s="501"/>
      <c r="IG3213" s="501"/>
      <c r="IH3213" s="501"/>
      <c r="II3213" s="501"/>
      <c r="IJ3213" s="501"/>
      <c r="IK3213" s="501"/>
      <c r="IL3213" s="501"/>
      <c r="IM3213" s="501"/>
      <c r="IN3213" s="501"/>
      <c r="IO3213" s="501"/>
      <c r="IP3213" s="501"/>
      <c r="IQ3213" s="501"/>
      <c r="IR3213" s="501"/>
      <c r="IS3213" s="501"/>
      <c r="IT3213" s="501"/>
      <c r="IU3213" s="501"/>
    </row>
    <row r="3214" spans="1:255" s="877" customFormat="1" ht="24" customHeight="1">
      <c r="A3214" s="501"/>
      <c r="B3214" s="501"/>
      <c r="C3214" s="501"/>
      <c r="D3214" s="501"/>
      <c r="E3214" s="501"/>
      <c r="F3214" s="501"/>
      <c r="G3214" s="915"/>
      <c r="H3214" s="501"/>
      <c r="I3214" s="874"/>
      <c r="J3214" s="501"/>
      <c r="K3214" s="501"/>
      <c r="L3214" s="878"/>
      <c r="M3214" s="554"/>
      <c r="N3214" s="501"/>
      <c r="O3214" s="1097"/>
      <c r="P3214" s="1151"/>
      <c r="Q3214" s="1097"/>
      <c r="R3214" s="1097"/>
      <c r="S3214" s="1106"/>
      <c r="T3214" s="1106"/>
      <c r="V3214" s="501"/>
      <c r="W3214" s="501"/>
      <c r="X3214" s="501"/>
      <c r="Y3214" s="501"/>
      <c r="Z3214" s="501"/>
      <c r="AA3214" s="501"/>
      <c r="AB3214" s="501"/>
      <c r="AC3214" s="501"/>
      <c r="AD3214" s="501"/>
      <c r="AE3214" s="501"/>
      <c r="AF3214" s="501"/>
      <c r="AG3214" s="501"/>
      <c r="AH3214" s="501"/>
      <c r="AI3214" s="501"/>
      <c r="AJ3214" s="501"/>
      <c r="AK3214" s="501"/>
      <c r="AL3214" s="501"/>
      <c r="AM3214" s="501"/>
      <c r="AN3214" s="501"/>
      <c r="AO3214" s="501"/>
      <c r="AP3214" s="501"/>
      <c r="AQ3214" s="501"/>
      <c r="AR3214" s="501"/>
      <c r="AS3214" s="501"/>
      <c r="AT3214" s="501"/>
      <c r="AU3214" s="501"/>
      <c r="AV3214" s="501"/>
      <c r="AW3214" s="501"/>
      <c r="AX3214" s="501"/>
      <c r="AY3214" s="501"/>
      <c r="AZ3214" s="501"/>
      <c r="BA3214" s="501"/>
      <c r="BB3214" s="501"/>
      <c r="BC3214" s="501"/>
      <c r="BD3214" s="501"/>
      <c r="BE3214" s="501"/>
      <c r="BF3214" s="501"/>
      <c r="BG3214" s="501"/>
      <c r="BH3214" s="501"/>
      <c r="BI3214" s="501"/>
      <c r="BJ3214" s="501"/>
      <c r="BK3214" s="501"/>
      <c r="BL3214" s="501"/>
      <c r="BM3214" s="501"/>
      <c r="BN3214" s="501"/>
      <c r="BO3214" s="501"/>
      <c r="BP3214" s="501"/>
      <c r="BQ3214" s="501"/>
      <c r="BR3214" s="501"/>
      <c r="BS3214" s="501"/>
      <c r="BT3214" s="501"/>
      <c r="BU3214" s="501"/>
      <c r="BV3214" s="501"/>
      <c r="BW3214" s="501"/>
      <c r="BX3214" s="501"/>
      <c r="BY3214" s="501"/>
      <c r="BZ3214" s="501"/>
      <c r="CA3214" s="501"/>
      <c r="CB3214" s="501"/>
      <c r="CC3214" s="501"/>
      <c r="CD3214" s="501"/>
      <c r="CE3214" s="501"/>
      <c r="CF3214" s="501"/>
      <c r="CG3214" s="501"/>
      <c r="CH3214" s="501"/>
      <c r="CI3214" s="501"/>
      <c r="CJ3214" s="501"/>
      <c r="CK3214" s="501"/>
      <c r="CL3214" s="501"/>
      <c r="CM3214" s="501"/>
      <c r="CN3214" s="501"/>
      <c r="CO3214" s="501"/>
      <c r="CP3214" s="501"/>
      <c r="CQ3214" s="501"/>
      <c r="CR3214" s="501"/>
      <c r="CS3214" s="501"/>
      <c r="CT3214" s="501"/>
      <c r="CU3214" s="501"/>
      <c r="CV3214" s="501"/>
      <c r="CW3214" s="501"/>
      <c r="CX3214" s="501"/>
      <c r="CY3214" s="501"/>
      <c r="CZ3214" s="501"/>
      <c r="DA3214" s="501"/>
      <c r="DB3214" s="501"/>
      <c r="DC3214" s="501"/>
      <c r="DD3214" s="501"/>
      <c r="DE3214" s="501"/>
      <c r="DF3214" s="501"/>
      <c r="DG3214" s="501"/>
      <c r="DH3214" s="501"/>
      <c r="DI3214" s="501"/>
      <c r="DJ3214" s="501"/>
      <c r="DK3214" s="501"/>
      <c r="DL3214" s="501"/>
      <c r="DM3214" s="501"/>
      <c r="DN3214" s="501"/>
      <c r="DO3214" s="501"/>
      <c r="DP3214" s="501"/>
      <c r="DQ3214" s="501"/>
      <c r="DR3214" s="501"/>
      <c r="DS3214" s="501"/>
      <c r="DT3214" s="501"/>
      <c r="DU3214" s="501"/>
      <c r="DV3214" s="501"/>
      <c r="DW3214" s="501"/>
      <c r="DX3214" s="501"/>
      <c r="DY3214" s="501"/>
      <c r="DZ3214" s="501"/>
      <c r="EA3214" s="501"/>
      <c r="EB3214" s="501"/>
      <c r="EC3214" s="501"/>
      <c r="ED3214" s="501"/>
      <c r="EE3214" s="501"/>
      <c r="EF3214" s="501"/>
      <c r="EG3214" s="501"/>
      <c r="EH3214" s="501"/>
      <c r="EI3214" s="501"/>
      <c r="EJ3214" s="501"/>
      <c r="EK3214" s="501"/>
      <c r="EL3214" s="501"/>
      <c r="EM3214" s="501"/>
      <c r="EN3214" s="501"/>
      <c r="EO3214" s="501"/>
      <c r="EP3214" s="501"/>
      <c r="EQ3214" s="501"/>
      <c r="ER3214" s="501"/>
      <c r="ES3214" s="501"/>
      <c r="ET3214" s="501"/>
      <c r="EU3214" s="501"/>
      <c r="EV3214" s="501"/>
      <c r="EW3214" s="501"/>
      <c r="EX3214" s="501"/>
      <c r="EY3214" s="501"/>
      <c r="EZ3214" s="501"/>
      <c r="FA3214" s="501"/>
      <c r="FB3214" s="501"/>
      <c r="FC3214" s="501"/>
      <c r="FD3214" s="501"/>
      <c r="FE3214" s="501"/>
      <c r="FF3214" s="501"/>
      <c r="FG3214" s="501"/>
      <c r="FH3214" s="501"/>
      <c r="FI3214" s="501"/>
      <c r="FJ3214" s="501"/>
      <c r="FK3214" s="501"/>
      <c r="FL3214" s="501"/>
      <c r="FM3214" s="501"/>
      <c r="FN3214" s="501"/>
      <c r="FO3214" s="501"/>
      <c r="FP3214" s="501"/>
      <c r="FQ3214" s="501"/>
      <c r="FR3214" s="501"/>
      <c r="FS3214" s="501"/>
      <c r="FT3214" s="501"/>
      <c r="FU3214" s="501"/>
      <c r="FV3214" s="501"/>
      <c r="FW3214" s="501"/>
      <c r="FX3214" s="501"/>
      <c r="FY3214" s="501"/>
      <c r="FZ3214" s="501"/>
      <c r="GA3214" s="501"/>
      <c r="GB3214" s="501"/>
      <c r="GC3214" s="501"/>
      <c r="GD3214" s="501"/>
      <c r="GE3214" s="501"/>
      <c r="GF3214" s="501"/>
      <c r="GG3214" s="501"/>
      <c r="GH3214" s="501"/>
      <c r="GI3214" s="501"/>
      <c r="GJ3214" s="501"/>
      <c r="GK3214" s="501"/>
      <c r="GL3214" s="501"/>
      <c r="GM3214" s="501"/>
      <c r="GN3214" s="501"/>
      <c r="GO3214" s="501"/>
      <c r="GP3214" s="501"/>
      <c r="GQ3214" s="501"/>
      <c r="GR3214" s="501"/>
      <c r="GS3214" s="501"/>
      <c r="GT3214" s="501"/>
      <c r="GU3214" s="501"/>
      <c r="GV3214" s="501"/>
      <c r="GW3214" s="501"/>
      <c r="GX3214" s="501"/>
      <c r="GY3214" s="501"/>
      <c r="GZ3214" s="501"/>
      <c r="HA3214" s="501"/>
      <c r="HB3214" s="501"/>
      <c r="HC3214" s="501"/>
      <c r="HD3214" s="501"/>
      <c r="HE3214" s="501"/>
      <c r="HF3214" s="501"/>
      <c r="HG3214" s="501"/>
      <c r="HH3214" s="501"/>
      <c r="HI3214" s="501"/>
      <c r="HJ3214" s="501"/>
      <c r="HK3214" s="501"/>
      <c r="HL3214" s="501"/>
      <c r="HM3214" s="501"/>
      <c r="HN3214" s="501"/>
      <c r="HO3214" s="501"/>
      <c r="HP3214" s="501"/>
      <c r="HQ3214" s="501"/>
      <c r="HR3214" s="501"/>
      <c r="HS3214" s="501"/>
      <c r="HT3214" s="501"/>
      <c r="HU3214" s="501"/>
      <c r="HV3214" s="501"/>
      <c r="HW3214" s="501"/>
      <c r="HX3214" s="501"/>
      <c r="HY3214" s="501"/>
      <c r="HZ3214" s="501"/>
      <c r="IA3214" s="501"/>
      <c r="IB3214" s="501"/>
      <c r="IC3214" s="501"/>
      <c r="ID3214" s="501"/>
      <c r="IE3214" s="501"/>
      <c r="IF3214" s="501"/>
      <c r="IG3214" s="501"/>
      <c r="IH3214" s="501"/>
      <c r="II3214" s="501"/>
      <c r="IJ3214" s="501"/>
      <c r="IK3214" s="501"/>
      <c r="IL3214" s="501"/>
      <c r="IM3214" s="501"/>
      <c r="IN3214" s="501"/>
      <c r="IO3214" s="501"/>
      <c r="IP3214" s="501"/>
      <c r="IQ3214" s="501"/>
      <c r="IR3214" s="501"/>
      <c r="IS3214" s="501"/>
      <c r="IT3214" s="501"/>
      <c r="IU3214" s="501"/>
    </row>
    <row r="3215" spans="1:255" s="877" customFormat="1" ht="24" customHeight="1">
      <c r="A3215" s="501"/>
      <c r="B3215" s="501"/>
      <c r="C3215" s="501"/>
      <c r="D3215" s="501"/>
      <c r="E3215" s="501"/>
      <c r="F3215" s="501"/>
      <c r="G3215" s="915"/>
      <c r="H3215" s="501"/>
      <c r="I3215" s="874"/>
      <c r="J3215" s="501"/>
      <c r="K3215" s="501"/>
      <c r="L3215" s="878"/>
      <c r="M3215" s="554"/>
      <c r="N3215" s="501"/>
      <c r="O3215" s="1157"/>
      <c r="P3215" s="1152"/>
      <c r="Q3215" s="973"/>
      <c r="R3215" s="968"/>
      <c r="S3215" s="974"/>
      <c r="T3215" s="968"/>
      <c r="V3215" s="501"/>
      <c r="W3215" s="501"/>
      <c r="X3215" s="501"/>
      <c r="Y3215" s="501"/>
      <c r="Z3215" s="501"/>
      <c r="AA3215" s="501"/>
      <c r="AB3215" s="501"/>
      <c r="AC3215" s="501"/>
      <c r="AD3215" s="501"/>
      <c r="AE3215" s="501"/>
      <c r="AF3215" s="501"/>
      <c r="AG3215" s="501"/>
      <c r="AH3215" s="501"/>
      <c r="AI3215" s="501"/>
      <c r="AJ3215" s="501"/>
      <c r="AK3215" s="501"/>
      <c r="AL3215" s="501"/>
      <c r="AM3215" s="501"/>
      <c r="AN3215" s="501"/>
      <c r="AO3215" s="501"/>
      <c r="AP3215" s="501"/>
      <c r="AQ3215" s="501"/>
      <c r="AR3215" s="501"/>
      <c r="AS3215" s="501"/>
      <c r="AT3215" s="501"/>
      <c r="AU3215" s="501"/>
      <c r="AV3215" s="501"/>
      <c r="AW3215" s="501"/>
      <c r="AX3215" s="501"/>
      <c r="AY3215" s="501"/>
      <c r="AZ3215" s="501"/>
      <c r="BA3215" s="501"/>
      <c r="BB3215" s="501"/>
      <c r="BC3215" s="501"/>
      <c r="BD3215" s="501"/>
      <c r="BE3215" s="501"/>
      <c r="BF3215" s="501"/>
      <c r="BG3215" s="501"/>
      <c r="BH3215" s="501"/>
      <c r="BI3215" s="501"/>
      <c r="BJ3215" s="501"/>
      <c r="BK3215" s="501"/>
      <c r="BL3215" s="501"/>
      <c r="BM3215" s="501"/>
      <c r="BN3215" s="501"/>
      <c r="BO3215" s="501"/>
      <c r="BP3215" s="501"/>
      <c r="BQ3215" s="501"/>
      <c r="BR3215" s="501"/>
      <c r="BS3215" s="501"/>
      <c r="BT3215" s="501"/>
      <c r="BU3215" s="501"/>
      <c r="BV3215" s="501"/>
      <c r="BW3215" s="501"/>
      <c r="BX3215" s="501"/>
      <c r="BY3215" s="501"/>
      <c r="BZ3215" s="501"/>
      <c r="CA3215" s="501"/>
      <c r="CB3215" s="501"/>
      <c r="CC3215" s="501"/>
      <c r="CD3215" s="501"/>
      <c r="CE3215" s="501"/>
      <c r="CF3215" s="501"/>
      <c r="CG3215" s="501"/>
      <c r="CH3215" s="501"/>
      <c r="CI3215" s="501"/>
      <c r="CJ3215" s="501"/>
      <c r="CK3215" s="501"/>
      <c r="CL3215" s="501"/>
      <c r="CM3215" s="501"/>
      <c r="CN3215" s="501"/>
      <c r="CO3215" s="501"/>
      <c r="CP3215" s="501"/>
      <c r="CQ3215" s="501"/>
      <c r="CR3215" s="501"/>
      <c r="CS3215" s="501"/>
      <c r="CT3215" s="501"/>
      <c r="CU3215" s="501"/>
      <c r="CV3215" s="501"/>
      <c r="CW3215" s="501"/>
      <c r="CX3215" s="501"/>
      <c r="CY3215" s="501"/>
      <c r="CZ3215" s="501"/>
      <c r="DA3215" s="501"/>
      <c r="DB3215" s="501"/>
      <c r="DC3215" s="501"/>
      <c r="DD3215" s="501"/>
      <c r="DE3215" s="501"/>
      <c r="DF3215" s="501"/>
      <c r="DG3215" s="501"/>
      <c r="DH3215" s="501"/>
      <c r="DI3215" s="501"/>
      <c r="DJ3215" s="501"/>
      <c r="DK3215" s="501"/>
      <c r="DL3215" s="501"/>
      <c r="DM3215" s="501"/>
      <c r="DN3215" s="501"/>
      <c r="DO3215" s="501"/>
      <c r="DP3215" s="501"/>
      <c r="DQ3215" s="501"/>
      <c r="DR3215" s="501"/>
      <c r="DS3215" s="501"/>
      <c r="DT3215" s="501"/>
      <c r="DU3215" s="501"/>
      <c r="DV3215" s="501"/>
      <c r="DW3215" s="501"/>
      <c r="DX3215" s="501"/>
      <c r="DY3215" s="501"/>
      <c r="DZ3215" s="501"/>
      <c r="EA3215" s="501"/>
      <c r="EB3215" s="501"/>
      <c r="EC3215" s="501"/>
      <c r="ED3215" s="501"/>
      <c r="EE3215" s="501"/>
      <c r="EF3215" s="501"/>
      <c r="EG3215" s="501"/>
      <c r="EH3215" s="501"/>
      <c r="EI3215" s="501"/>
      <c r="EJ3215" s="501"/>
      <c r="EK3215" s="501"/>
      <c r="EL3215" s="501"/>
      <c r="EM3215" s="501"/>
      <c r="EN3215" s="501"/>
      <c r="EO3215" s="501"/>
      <c r="EP3215" s="501"/>
      <c r="EQ3215" s="501"/>
      <c r="ER3215" s="501"/>
      <c r="ES3215" s="501"/>
      <c r="ET3215" s="501"/>
      <c r="EU3215" s="501"/>
      <c r="EV3215" s="501"/>
      <c r="EW3215" s="501"/>
      <c r="EX3215" s="501"/>
      <c r="EY3215" s="501"/>
      <c r="EZ3215" s="501"/>
      <c r="FA3215" s="501"/>
      <c r="FB3215" s="501"/>
      <c r="FC3215" s="501"/>
      <c r="FD3215" s="501"/>
      <c r="FE3215" s="501"/>
      <c r="FF3215" s="501"/>
      <c r="FG3215" s="501"/>
      <c r="FH3215" s="501"/>
      <c r="FI3215" s="501"/>
      <c r="FJ3215" s="501"/>
      <c r="FK3215" s="501"/>
      <c r="FL3215" s="501"/>
      <c r="FM3215" s="501"/>
      <c r="FN3215" s="501"/>
      <c r="FO3215" s="501"/>
      <c r="FP3215" s="501"/>
      <c r="FQ3215" s="501"/>
      <c r="FR3215" s="501"/>
      <c r="FS3215" s="501"/>
      <c r="FT3215" s="501"/>
      <c r="FU3215" s="501"/>
      <c r="FV3215" s="501"/>
      <c r="FW3215" s="501"/>
      <c r="FX3215" s="501"/>
      <c r="FY3215" s="501"/>
      <c r="FZ3215" s="501"/>
      <c r="GA3215" s="501"/>
      <c r="GB3215" s="501"/>
      <c r="GC3215" s="501"/>
      <c r="GD3215" s="501"/>
      <c r="GE3215" s="501"/>
      <c r="GF3215" s="501"/>
      <c r="GG3215" s="501"/>
      <c r="GH3215" s="501"/>
      <c r="GI3215" s="501"/>
      <c r="GJ3215" s="501"/>
      <c r="GK3215" s="501"/>
      <c r="GL3215" s="501"/>
      <c r="GM3215" s="501"/>
      <c r="GN3215" s="501"/>
      <c r="GO3215" s="501"/>
      <c r="GP3215" s="501"/>
      <c r="GQ3215" s="501"/>
      <c r="GR3215" s="501"/>
      <c r="GS3215" s="501"/>
      <c r="GT3215" s="501"/>
      <c r="GU3215" s="501"/>
      <c r="GV3215" s="501"/>
      <c r="GW3215" s="501"/>
      <c r="GX3215" s="501"/>
      <c r="GY3215" s="501"/>
      <c r="GZ3215" s="501"/>
      <c r="HA3215" s="501"/>
      <c r="HB3215" s="501"/>
      <c r="HC3215" s="501"/>
      <c r="HD3215" s="501"/>
      <c r="HE3215" s="501"/>
      <c r="HF3215" s="501"/>
      <c r="HG3215" s="501"/>
      <c r="HH3215" s="501"/>
      <c r="HI3215" s="501"/>
      <c r="HJ3215" s="501"/>
      <c r="HK3215" s="501"/>
      <c r="HL3215" s="501"/>
      <c r="HM3215" s="501"/>
      <c r="HN3215" s="501"/>
      <c r="HO3215" s="501"/>
      <c r="HP3215" s="501"/>
      <c r="HQ3215" s="501"/>
      <c r="HR3215" s="501"/>
      <c r="HS3215" s="501"/>
      <c r="HT3215" s="501"/>
      <c r="HU3215" s="501"/>
      <c r="HV3215" s="501"/>
      <c r="HW3215" s="501"/>
      <c r="HX3215" s="501"/>
      <c r="HY3215" s="501"/>
      <c r="HZ3215" s="501"/>
      <c r="IA3215" s="501"/>
      <c r="IB3215" s="501"/>
      <c r="IC3215" s="501"/>
      <c r="ID3215" s="501"/>
      <c r="IE3215" s="501"/>
      <c r="IF3215" s="501"/>
      <c r="IG3215" s="501"/>
      <c r="IH3215" s="501"/>
      <c r="II3215" s="501"/>
      <c r="IJ3215" s="501"/>
      <c r="IK3215" s="501"/>
      <c r="IL3215" s="501"/>
      <c r="IM3215" s="501"/>
      <c r="IN3215" s="501"/>
      <c r="IO3215" s="501"/>
      <c r="IP3215" s="501"/>
      <c r="IQ3215" s="501"/>
      <c r="IR3215" s="501"/>
      <c r="IS3215" s="501"/>
      <c r="IT3215" s="501"/>
      <c r="IU3215" s="501"/>
    </row>
    <row r="3216" spans="1:255" s="877" customFormat="1" ht="24" customHeight="1">
      <c r="A3216" s="501"/>
      <c r="B3216" s="501"/>
      <c r="C3216" s="501"/>
      <c r="D3216" s="501"/>
      <c r="E3216" s="501"/>
      <c r="F3216" s="501"/>
      <c r="G3216" s="915"/>
      <c r="H3216" s="501"/>
      <c r="I3216" s="874"/>
      <c r="J3216" s="501"/>
      <c r="K3216" s="501"/>
      <c r="L3216" s="878"/>
      <c r="M3216" s="554"/>
      <c r="N3216" s="501"/>
      <c r="O3216" s="1157"/>
      <c r="P3216" s="1152"/>
      <c r="Q3216" s="973"/>
      <c r="R3216" s="968"/>
      <c r="S3216" s="974"/>
      <c r="T3216" s="968"/>
      <c r="V3216" s="501"/>
      <c r="W3216" s="501"/>
      <c r="X3216" s="501"/>
      <c r="Y3216" s="501"/>
      <c r="Z3216" s="501"/>
      <c r="AA3216" s="501"/>
      <c r="AB3216" s="501"/>
      <c r="AC3216" s="501"/>
      <c r="AD3216" s="501"/>
      <c r="AE3216" s="501"/>
      <c r="AF3216" s="501"/>
      <c r="AG3216" s="501"/>
      <c r="AH3216" s="501"/>
      <c r="AI3216" s="501"/>
      <c r="AJ3216" s="501"/>
      <c r="AK3216" s="501"/>
      <c r="AL3216" s="501"/>
      <c r="AM3216" s="501"/>
      <c r="AN3216" s="501"/>
      <c r="AO3216" s="501"/>
      <c r="AP3216" s="501"/>
      <c r="AQ3216" s="501"/>
      <c r="AR3216" s="501"/>
      <c r="AS3216" s="501"/>
      <c r="AT3216" s="501"/>
      <c r="AU3216" s="501"/>
      <c r="AV3216" s="501"/>
      <c r="AW3216" s="501"/>
      <c r="AX3216" s="501"/>
      <c r="AY3216" s="501"/>
      <c r="AZ3216" s="501"/>
      <c r="BA3216" s="501"/>
      <c r="BB3216" s="501"/>
      <c r="BC3216" s="501"/>
      <c r="BD3216" s="501"/>
      <c r="BE3216" s="501"/>
      <c r="BF3216" s="501"/>
      <c r="BG3216" s="501"/>
      <c r="BH3216" s="501"/>
      <c r="BI3216" s="501"/>
      <c r="BJ3216" s="501"/>
      <c r="BK3216" s="501"/>
      <c r="BL3216" s="501"/>
      <c r="BM3216" s="501"/>
      <c r="BN3216" s="501"/>
      <c r="BO3216" s="501"/>
      <c r="BP3216" s="501"/>
      <c r="BQ3216" s="501"/>
      <c r="BR3216" s="501"/>
      <c r="BS3216" s="501"/>
      <c r="BT3216" s="501"/>
      <c r="BU3216" s="501"/>
      <c r="BV3216" s="501"/>
      <c r="BW3216" s="501"/>
      <c r="BX3216" s="501"/>
      <c r="BY3216" s="501"/>
      <c r="BZ3216" s="501"/>
      <c r="CA3216" s="501"/>
      <c r="CB3216" s="501"/>
      <c r="CC3216" s="501"/>
      <c r="CD3216" s="501"/>
      <c r="CE3216" s="501"/>
      <c r="CF3216" s="501"/>
      <c r="CG3216" s="501"/>
      <c r="CH3216" s="501"/>
      <c r="CI3216" s="501"/>
      <c r="CJ3216" s="501"/>
      <c r="CK3216" s="501"/>
      <c r="CL3216" s="501"/>
      <c r="CM3216" s="501"/>
      <c r="CN3216" s="501"/>
      <c r="CO3216" s="501"/>
      <c r="CP3216" s="501"/>
      <c r="CQ3216" s="501"/>
      <c r="CR3216" s="501"/>
      <c r="CS3216" s="501"/>
      <c r="CT3216" s="501"/>
      <c r="CU3216" s="501"/>
      <c r="CV3216" s="501"/>
      <c r="CW3216" s="501"/>
      <c r="CX3216" s="501"/>
      <c r="CY3216" s="501"/>
      <c r="CZ3216" s="501"/>
      <c r="DA3216" s="501"/>
      <c r="DB3216" s="501"/>
      <c r="DC3216" s="501"/>
      <c r="DD3216" s="501"/>
      <c r="DE3216" s="501"/>
      <c r="DF3216" s="501"/>
      <c r="DG3216" s="501"/>
      <c r="DH3216" s="501"/>
      <c r="DI3216" s="501"/>
      <c r="DJ3216" s="501"/>
      <c r="DK3216" s="501"/>
      <c r="DL3216" s="501"/>
      <c r="DM3216" s="501"/>
      <c r="DN3216" s="501"/>
      <c r="DO3216" s="501"/>
      <c r="DP3216" s="501"/>
      <c r="DQ3216" s="501"/>
      <c r="DR3216" s="501"/>
      <c r="DS3216" s="501"/>
      <c r="DT3216" s="501"/>
      <c r="DU3216" s="501"/>
      <c r="DV3216" s="501"/>
      <c r="DW3216" s="501"/>
      <c r="DX3216" s="501"/>
      <c r="DY3216" s="501"/>
      <c r="DZ3216" s="501"/>
      <c r="EA3216" s="501"/>
      <c r="EB3216" s="501"/>
      <c r="EC3216" s="501"/>
      <c r="ED3216" s="501"/>
      <c r="EE3216" s="501"/>
      <c r="EF3216" s="501"/>
      <c r="EG3216" s="501"/>
      <c r="EH3216" s="501"/>
      <c r="EI3216" s="501"/>
      <c r="EJ3216" s="501"/>
      <c r="EK3216" s="501"/>
      <c r="EL3216" s="501"/>
      <c r="EM3216" s="501"/>
      <c r="EN3216" s="501"/>
      <c r="EO3216" s="501"/>
      <c r="EP3216" s="501"/>
      <c r="EQ3216" s="501"/>
      <c r="ER3216" s="501"/>
      <c r="ES3216" s="501"/>
      <c r="ET3216" s="501"/>
      <c r="EU3216" s="501"/>
      <c r="EV3216" s="501"/>
      <c r="EW3216" s="501"/>
      <c r="EX3216" s="501"/>
      <c r="EY3216" s="501"/>
      <c r="EZ3216" s="501"/>
      <c r="FA3216" s="501"/>
      <c r="FB3216" s="501"/>
      <c r="FC3216" s="501"/>
      <c r="FD3216" s="501"/>
      <c r="FE3216" s="501"/>
      <c r="FF3216" s="501"/>
      <c r="FG3216" s="501"/>
      <c r="FH3216" s="501"/>
      <c r="FI3216" s="501"/>
      <c r="FJ3216" s="501"/>
      <c r="FK3216" s="501"/>
      <c r="FL3216" s="501"/>
      <c r="FM3216" s="501"/>
      <c r="FN3216" s="501"/>
      <c r="FO3216" s="501"/>
      <c r="FP3216" s="501"/>
      <c r="FQ3216" s="501"/>
      <c r="FR3216" s="501"/>
      <c r="FS3216" s="501"/>
      <c r="FT3216" s="501"/>
      <c r="FU3216" s="501"/>
      <c r="FV3216" s="501"/>
      <c r="FW3216" s="501"/>
      <c r="FX3216" s="501"/>
      <c r="FY3216" s="501"/>
      <c r="FZ3216" s="501"/>
      <c r="GA3216" s="501"/>
      <c r="GB3216" s="501"/>
      <c r="GC3216" s="501"/>
      <c r="GD3216" s="501"/>
      <c r="GE3216" s="501"/>
      <c r="GF3216" s="501"/>
      <c r="GG3216" s="501"/>
      <c r="GH3216" s="501"/>
      <c r="GI3216" s="501"/>
      <c r="GJ3216" s="501"/>
      <c r="GK3216" s="501"/>
      <c r="GL3216" s="501"/>
      <c r="GM3216" s="501"/>
      <c r="GN3216" s="501"/>
      <c r="GO3216" s="501"/>
      <c r="GP3216" s="501"/>
      <c r="GQ3216" s="501"/>
      <c r="GR3216" s="501"/>
      <c r="GS3216" s="501"/>
      <c r="GT3216" s="501"/>
      <c r="GU3216" s="501"/>
      <c r="GV3216" s="501"/>
      <c r="GW3216" s="501"/>
      <c r="GX3216" s="501"/>
      <c r="GY3216" s="501"/>
      <c r="GZ3216" s="501"/>
      <c r="HA3216" s="501"/>
      <c r="HB3216" s="501"/>
      <c r="HC3216" s="501"/>
      <c r="HD3216" s="501"/>
      <c r="HE3216" s="501"/>
      <c r="HF3216" s="501"/>
      <c r="HG3216" s="501"/>
      <c r="HH3216" s="501"/>
      <c r="HI3216" s="501"/>
      <c r="HJ3216" s="501"/>
      <c r="HK3216" s="501"/>
      <c r="HL3216" s="501"/>
      <c r="HM3216" s="501"/>
      <c r="HN3216" s="501"/>
      <c r="HO3216" s="501"/>
      <c r="HP3216" s="501"/>
      <c r="HQ3216" s="501"/>
      <c r="HR3216" s="501"/>
      <c r="HS3216" s="501"/>
      <c r="HT3216" s="501"/>
      <c r="HU3216" s="501"/>
      <c r="HV3216" s="501"/>
      <c r="HW3216" s="501"/>
      <c r="HX3216" s="501"/>
      <c r="HY3216" s="501"/>
      <c r="HZ3216" s="501"/>
      <c r="IA3216" s="501"/>
      <c r="IB3216" s="501"/>
      <c r="IC3216" s="501"/>
      <c r="ID3216" s="501"/>
      <c r="IE3216" s="501"/>
      <c r="IF3216" s="501"/>
      <c r="IG3216" s="501"/>
      <c r="IH3216" s="501"/>
      <c r="II3216" s="501"/>
      <c r="IJ3216" s="501"/>
      <c r="IK3216" s="501"/>
      <c r="IL3216" s="501"/>
      <c r="IM3216" s="501"/>
      <c r="IN3216" s="501"/>
      <c r="IO3216" s="501"/>
      <c r="IP3216" s="501"/>
      <c r="IQ3216" s="501"/>
      <c r="IR3216" s="501"/>
      <c r="IS3216" s="501"/>
      <c r="IT3216" s="501"/>
      <c r="IU3216" s="501"/>
    </row>
    <row r="3217" spans="1:255" s="877" customFormat="1" ht="24" customHeight="1">
      <c r="A3217" s="501"/>
      <c r="B3217" s="501"/>
      <c r="C3217" s="501"/>
      <c r="D3217" s="501"/>
      <c r="E3217" s="501"/>
      <c r="F3217" s="501"/>
      <c r="G3217" s="915"/>
      <c r="H3217" s="501"/>
      <c r="I3217" s="874"/>
      <c r="J3217" s="501"/>
      <c r="K3217" s="501"/>
      <c r="L3217" s="878"/>
      <c r="M3217" s="554"/>
      <c r="N3217" s="501"/>
      <c r="O3217" s="1157"/>
      <c r="P3217" s="1152"/>
      <c r="Q3217" s="1192"/>
      <c r="R3217" s="968"/>
      <c r="S3217" s="974"/>
      <c r="T3217" s="968"/>
      <c r="V3217" s="501"/>
      <c r="W3217" s="501"/>
      <c r="X3217" s="501"/>
      <c r="Y3217" s="501"/>
      <c r="Z3217" s="501"/>
      <c r="AA3217" s="501"/>
      <c r="AB3217" s="501"/>
      <c r="AC3217" s="501"/>
      <c r="AD3217" s="501"/>
      <c r="AE3217" s="501"/>
      <c r="AF3217" s="501"/>
      <c r="AG3217" s="501"/>
      <c r="AH3217" s="501"/>
      <c r="AI3217" s="501"/>
      <c r="AJ3217" s="501"/>
      <c r="AK3217" s="501"/>
      <c r="AL3217" s="501"/>
      <c r="AM3217" s="501"/>
      <c r="AN3217" s="501"/>
      <c r="AO3217" s="501"/>
      <c r="AP3217" s="501"/>
      <c r="AQ3217" s="501"/>
      <c r="AR3217" s="501"/>
      <c r="AS3217" s="501"/>
      <c r="AT3217" s="501"/>
      <c r="AU3217" s="501"/>
      <c r="AV3217" s="501"/>
      <c r="AW3217" s="501"/>
      <c r="AX3217" s="501"/>
      <c r="AY3217" s="501"/>
      <c r="AZ3217" s="501"/>
      <c r="BA3217" s="501"/>
      <c r="BB3217" s="501"/>
      <c r="BC3217" s="501"/>
      <c r="BD3217" s="501"/>
      <c r="BE3217" s="501"/>
      <c r="BF3217" s="501"/>
      <c r="BG3217" s="501"/>
      <c r="BH3217" s="501"/>
      <c r="BI3217" s="501"/>
      <c r="BJ3217" s="501"/>
      <c r="BK3217" s="501"/>
      <c r="BL3217" s="501"/>
      <c r="BM3217" s="501"/>
      <c r="BN3217" s="501"/>
      <c r="BO3217" s="501"/>
      <c r="BP3217" s="501"/>
      <c r="BQ3217" s="501"/>
      <c r="BR3217" s="501"/>
      <c r="BS3217" s="501"/>
      <c r="BT3217" s="501"/>
      <c r="BU3217" s="501"/>
      <c r="BV3217" s="501"/>
      <c r="BW3217" s="501"/>
      <c r="BX3217" s="501"/>
      <c r="BY3217" s="501"/>
      <c r="BZ3217" s="501"/>
      <c r="CA3217" s="501"/>
      <c r="CB3217" s="501"/>
      <c r="CC3217" s="501"/>
      <c r="CD3217" s="501"/>
      <c r="CE3217" s="501"/>
      <c r="CF3217" s="501"/>
      <c r="CG3217" s="501"/>
      <c r="CH3217" s="501"/>
      <c r="CI3217" s="501"/>
      <c r="CJ3217" s="501"/>
      <c r="CK3217" s="501"/>
      <c r="CL3217" s="501"/>
      <c r="CM3217" s="501"/>
      <c r="CN3217" s="501"/>
      <c r="CO3217" s="501"/>
      <c r="CP3217" s="501"/>
      <c r="CQ3217" s="501"/>
      <c r="CR3217" s="501"/>
      <c r="CS3217" s="501"/>
      <c r="CT3217" s="501"/>
      <c r="CU3217" s="501"/>
      <c r="CV3217" s="501"/>
      <c r="CW3217" s="501"/>
      <c r="CX3217" s="501"/>
      <c r="CY3217" s="501"/>
      <c r="CZ3217" s="501"/>
      <c r="DA3217" s="501"/>
      <c r="DB3217" s="501"/>
      <c r="DC3217" s="501"/>
      <c r="DD3217" s="501"/>
      <c r="DE3217" s="501"/>
      <c r="DF3217" s="501"/>
      <c r="DG3217" s="501"/>
      <c r="DH3217" s="501"/>
      <c r="DI3217" s="501"/>
      <c r="DJ3217" s="501"/>
      <c r="DK3217" s="501"/>
      <c r="DL3217" s="501"/>
      <c r="DM3217" s="501"/>
      <c r="DN3217" s="501"/>
      <c r="DO3217" s="501"/>
      <c r="DP3217" s="501"/>
      <c r="DQ3217" s="501"/>
      <c r="DR3217" s="501"/>
      <c r="DS3217" s="501"/>
      <c r="DT3217" s="501"/>
      <c r="DU3217" s="501"/>
      <c r="DV3217" s="501"/>
      <c r="DW3217" s="501"/>
      <c r="DX3217" s="501"/>
      <c r="DY3217" s="501"/>
      <c r="DZ3217" s="501"/>
      <c r="EA3217" s="501"/>
      <c r="EB3217" s="501"/>
      <c r="EC3217" s="501"/>
      <c r="ED3217" s="501"/>
      <c r="EE3217" s="501"/>
      <c r="EF3217" s="501"/>
      <c r="EG3217" s="501"/>
      <c r="EH3217" s="501"/>
      <c r="EI3217" s="501"/>
      <c r="EJ3217" s="501"/>
      <c r="EK3217" s="501"/>
      <c r="EL3217" s="501"/>
      <c r="EM3217" s="501"/>
      <c r="EN3217" s="501"/>
      <c r="EO3217" s="501"/>
      <c r="EP3217" s="501"/>
      <c r="EQ3217" s="501"/>
      <c r="ER3217" s="501"/>
      <c r="ES3217" s="501"/>
      <c r="ET3217" s="501"/>
      <c r="EU3217" s="501"/>
      <c r="EV3217" s="501"/>
      <c r="EW3217" s="501"/>
      <c r="EX3217" s="501"/>
      <c r="EY3217" s="501"/>
      <c r="EZ3217" s="501"/>
      <c r="FA3217" s="501"/>
      <c r="FB3217" s="501"/>
      <c r="FC3217" s="501"/>
      <c r="FD3217" s="501"/>
      <c r="FE3217" s="501"/>
      <c r="FF3217" s="501"/>
      <c r="FG3217" s="501"/>
      <c r="FH3217" s="501"/>
      <c r="FI3217" s="501"/>
      <c r="FJ3217" s="501"/>
      <c r="FK3217" s="501"/>
      <c r="FL3217" s="501"/>
      <c r="FM3217" s="501"/>
      <c r="FN3217" s="501"/>
      <c r="FO3217" s="501"/>
      <c r="FP3217" s="501"/>
      <c r="FQ3217" s="501"/>
      <c r="FR3217" s="501"/>
      <c r="FS3217" s="501"/>
      <c r="FT3217" s="501"/>
      <c r="FU3217" s="501"/>
      <c r="FV3217" s="501"/>
      <c r="FW3217" s="501"/>
      <c r="FX3217" s="501"/>
      <c r="FY3217" s="501"/>
      <c r="FZ3217" s="501"/>
      <c r="GA3217" s="501"/>
      <c r="GB3217" s="501"/>
      <c r="GC3217" s="501"/>
      <c r="GD3217" s="501"/>
      <c r="GE3217" s="501"/>
      <c r="GF3217" s="501"/>
      <c r="GG3217" s="501"/>
      <c r="GH3217" s="501"/>
      <c r="GI3217" s="501"/>
      <c r="GJ3217" s="501"/>
      <c r="GK3217" s="501"/>
      <c r="GL3217" s="501"/>
      <c r="GM3217" s="501"/>
      <c r="GN3217" s="501"/>
      <c r="GO3217" s="501"/>
      <c r="GP3217" s="501"/>
      <c r="GQ3217" s="501"/>
      <c r="GR3217" s="501"/>
      <c r="GS3217" s="501"/>
      <c r="GT3217" s="501"/>
      <c r="GU3217" s="501"/>
      <c r="GV3217" s="501"/>
      <c r="GW3217" s="501"/>
      <c r="GX3217" s="501"/>
      <c r="GY3217" s="501"/>
      <c r="GZ3217" s="501"/>
      <c r="HA3217" s="501"/>
      <c r="HB3217" s="501"/>
      <c r="HC3217" s="501"/>
      <c r="HD3217" s="501"/>
      <c r="HE3217" s="501"/>
      <c r="HF3217" s="501"/>
      <c r="HG3217" s="501"/>
      <c r="HH3217" s="501"/>
      <c r="HI3217" s="501"/>
      <c r="HJ3217" s="501"/>
      <c r="HK3217" s="501"/>
      <c r="HL3217" s="501"/>
      <c r="HM3217" s="501"/>
      <c r="HN3217" s="501"/>
      <c r="HO3217" s="501"/>
      <c r="HP3217" s="501"/>
      <c r="HQ3217" s="501"/>
      <c r="HR3217" s="501"/>
      <c r="HS3217" s="501"/>
      <c r="HT3217" s="501"/>
      <c r="HU3217" s="501"/>
      <c r="HV3217" s="501"/>
      <c r="HW3217" s="501"/>
      <c r="HX3217" s="501"/>
      <c r="HY3217" s="501"/>
      <c r="HZ3217" s="501"/>
      <c r="IA3217" s="501"/>
      <c r="IB3217" s="501"/>
      <c r="IC3217" s="501"/>
      <c r="ID3217" s="501"/>
      <c r="IE3217" s="501"/>
      <c r="IF3217" s="501"/>
      <c r="IG3217" s="501"/>
      <c r="IH3217" s="501"/>
      <c r="II3217" s="501"/>
      <c r="IJ3217" s="501"/>
      <c r="IK3217" s="501"/>
      <c r="IL3217" s="501"/>
      <c r="IM3217" s="501"/>
      <c r="IN3217" s="501"/>
      <c r="IO3217" s="501"/>
      <c r="IP3217" s="501"/>
      <c r="IQ3217" s="501"/>
      <c r="IR3217" s="501"/>
      <c r="IS3217" s="501"/>
      <c r="IT3217" s="501"/>
      <c r="IU3217" s="501"/>
    </row>
    <row r="3218" spans="1:255" s="877" customFormat="1" ht="24" customHeight="1">
      <c r="A3218" s="501"/>
      <c r="B3218" s="501"/>
      <c r="C3218" s="501"/>
      <c r="D3218" s="501"/>
      <c r="E3218" s="501"/>
      <c r="F3218" s="501"/>
      <c r="G3218" s="915"/>
      <c r="H3218" s="501"/>
      <c r="I3218" s="874"/>
      <c r="J3218" s="501"/>
      <c r="K3218" s="501"/>
      <c r="L3218" s="878"/>
      <c r="M3218" s="554"/>
      <c r="N3218" s="501"/>
      <c r="O3218" s="1159"/>
      <c r="P3218" s="1151"/>
      <c r="Q3218" s="973"/>
      <c r="R3218" s="968"/>
      <c r="S3218" s="1101"/>
      <c r="T3218" s="968"/>
      <c r="V3218" s="501"/>
      <c r="W3218" s="501"/>
      <c r="X3218" s="501"/>
      <c r="Y3218" s="501"/>
      <c r="Z3218" s="501"/>
      <c r="AA3218" s="501"/>
      <c r="AB3218" s="501"/>
      <c r="AC3218" s="501"/>
      <c r="AD3218" s="501"/>
      <c r="AE3218" s="501"/>
      <c r="AF3218" s="501"/>
      <c r="AG3218" s="501"/>
      <c r="AH3218" s="501"/>
      <c r="AI3218" s="501"/>
      <c r="AJ3218" s="501"/>
      <c r="AK3218" s="501"/>
      <c r="AL3218" s="501"/>
      <c r="AM3218" s="501"/>
      <c r="AN3218" s="501"/>
      <c r="AO3218" s="501"/>
      <c r="AP3218" s="501"/>
      <c r="AQ3218" s="501"/>
      <c r="AR3218" s="501"/>
      <c r="AS3218" s="501"/>
      <c r="AT3218" s="501"/>
      <c r="AU3218" s="501"/>
      <c r="AV3218" s="501"/>
      <c r="AW3218" s="501"/>
      <c r="AX3218" s="501"/>
      <c r="AY3218" s="501"/>
      <c r="AZ3218" s="501"/>
      <c r="BA3218" s="501"/>
      <c r="BB3218" s="501"/>
      <c r="BC3218" s="501"/>
      <c r="BD3218" s="501"/>
      <c r="BE3218" s="501"/>
      <c r="BF3218" s="501"/>
      <c r="BG3218" s="501"/>
      <c r="BH3218" s="501"/>
      <c r="BI3218" s="501"/>
      <c r="BJ3218" s="501"/>
      <c r="BK3218" s="501"/>
      <c r="BL3218" s="501"/>
      <c r="BM3218" s="501"/>
      <c r="BN3218" s="501"/>
      <c r="BO3218" s="501"/>
      <c r="BP3218" s="501"/>
      <c r="BQ3218" s="501"/>
      <c r="BR3218" s="501"/>
      <c r="BS3218" s="501"/>
      <c r="BT3218" s="501"/>
      <c r="BU3218" s="501"/>
      <c r="BV3218" s="501"/>
      <c r="BW3218" s="501"/>
      <c r="BX3218" s="501"/>
      <c r="BY3218" s="501"/>
      <c r="BZ3218" s="501"/>
      <c r="CA3218" s="501"/>
      <c r="CB3218" s="501"/>
      <c r="CC3218" s="501"/>
      <c r="CD3218" s="501"/>
      <c r="CE3218" s="501"/>
      <c r="CF3218" s="501"/>
      <c r="CG3218" s="501"/>
      <c r="CH3218" s="501"/>
      <c r="CI3218" s="501"/>
      <c r="CJ3218" s="501"/>
      <c r="CK3218" s="501"/>
      <c r="CL3218" s="501"/>
      <c r="CM3218" s="501"/>
      <c r="CN3218" s="501"/>
      <c r="CO3218" s="501"/>
      <c r="CP3218" s="501"/>
      <c r="CQ3218" s="501"/>
      <c r="CR3218" s="501"/>
      <c r="CS3218" s="501"/>
      <c r="CT3218" s="501"/>
      <c r="CU3218" s="501"/>
      <c r="CV3218" s="501"/>
      <c r="CW3218" s="501"/>
      <c r="CX3218" s="501"/>
      <c r="CY3218" s="501"/>
      <c r="CZ3218" s="501"/>
      <c r="DA3218" s="501"/>
      <c r="DB3218" s="501"/>
      <c r="DC3218" s="501"/>
      <c r="DD3218" s="501"/>
      <c r="DE3218" s="501"/>
      <c r="DF3218" s="501"/>
      <c r="DG3218" s="501"/>
      <c r="DH3218" s="501"/>
      <c r="DI3218" s="501"/>
      <c r="DJ3218" s="501"/>
      <c r="DK3218" s="501"/>
      <c r="DL3218" s="501"/>
      <c r="DM3218" s="501"/>
      <c r="DN3218" s="501"/>
      <c r="DO3218" s="501"/>
      <c r="DP3218" s="501"/>
      <c r="DQ3218" s="501"/>
      <c r="DR3218" s="501"/>
      <c r="DS3218" s="501"/>
      <c r="DT3218" s="501"/>
      <c r="DU3218" s="501"/>
      <c r="DV3218" s="501"/>
      <c r="DW3218" s="501"/>
      <c r="DX3218" s="501"/>
      <c r="DY3218" s="501"/>
      <c r="DZ3218" s="501"/>
      <c r="EA3218" s="501"/>
      <c r="EB3218" s="501"/>
      <c r="EC3218" s="501"/>
      <c r="ED3218" s="501"/>
      <c r="EE3218" s="501"/>
      <c r="EF3218" s="501"/>
      <c r="EG3218" s="501"/>
      <c r="EH3218" s="501"/>
      <c r="EI3218" s="501"/>
      <c r="EJ3218" s="501"/>
      <c r="EK3218" s="501"/>
      <c r="EL3218" s="501"/>
      <c r="EM3218" s="501"/>
      <c r="EN3218" s="501"/>
      <c r="EO3218" s="501"/>
      <c r="EP3218" s="501"/>
      <c r="EQ3218" s="501"/>
      <c r="ER3218" s="501"/>
      <c r="ES3218" s="501"/>
      <c r="ET3218" s="501"/>
      <c r="EU3218" s="501"/>
      <c r="EV3218" s="501"/>
      <c r="EW3218" s="501"/>
      <c r="EX3218" s="501"/>
      <c r="EY3218" s="501"/>
      <c r="EZ3218" s="501"/>
      <c r="FA3218" s="501"/>
      <c r="FB3218" s="501"/>
      <c r="FC3218" s="501"/>
      <c r="FD3218" s="501"/>
      <c r="FE3218" s="501"/>
      <c r="FF3218" s="501"/>
      <c r="FG3218" s="501"/>
      <c r="FH3218" s="501"/>
      <c r="FI3218" s="501"/>
      <c r="FJ3218" s="501"/>
      <c r="FK3218" s="501"/>
      <c r="FL3218" s="501"/>
      <c r="FM3218" s="501"/>
      <c r="FN3218" s="501"/>
      <c r="FO3218" s="501"/>
      <c r="FP3218" s="501"/>
      <c r="FQ3218" s="501"/>
      <c r="FR3218" s="501"/>
      <c r="FS3218" s="501"/>
      <c r="FT3218" s="501"/>
      <c r="FU3218" s="501"/>
      <c r="FV3218" s="501"/>
      <c r="FW3218" s="501"/>
      <c r="FX3218" s="501"/>
      <c r="FY3218" s="501"/>
      <c r="FZ3218" s="501"/>
      <c r="GA3218" s="501"/>
      <c r="GB3218" s="501"/>
      <c r="GC3218" s="501"/>
      <c r="GD3218" s="501"/>
      <c r="GE3218" s="501"/>
      <c r="GF3218" s="501"/>
      <c r="GG3218" s="501"/>
      <c r="GH3218" s="501"/>
      <c r="GI3218" s="501"/>
      <c r="GJ3218" s="501"/>
      <c r="GK3218" s="501"/>
      <c r="GL3218" s="501"/>
      <c r="GM3218" s="501"/>
      <c r="GN3218" s="501"/>
      <c r="GO3218" s="501"/>
      <c r="GP3218" s="501"/>
      <c r="GQ3218" s="501"/>
      <c r="GR3218" s="501"/>
      <c r="GS3218" s="501"/>
      <c r="GT3218" s="501"/>
      <c r="GU3218" s="501"/>
      <c r="GV3218" s="501"/>
      <c r="GW3218" s="501"/>
      <c r="GX3218" s="501"/>
      <c r="GY3218" s="501"/>
      <c r="GZ3218" s="501"/>
      <c r="HA3218" s="501"/>
      <c r="HB3218" s="501"/>
      <c r="HC3218" s="501"/>
      <c r="HD3218" s="501"/>
      <c r="HE3218" s="501"/>
      <c r="HF3218" s="501"/>
      <c r="HG3218" s="501"/>
      <c r="HH3218" s="501"/>
      <c r="HI3218" s="501"/>
      <c r="HJ3218" s="501"/>
      <c r="HK3218" s="501"/>
      <c r="HL3218" s="501"/>
      <c r="HM3218" s="501"/>
      <c r="HN3218" s="501"/>
      <c r="HO3218" s="501"/>
      <c r="HP3218" s="501"/>
      <c r="HQ3218" s="501"/>
      <c r="HR3218" s="501"/>
      <c r="HS3218" s="501"/>
      <c r="HT3218" s="501"/>
      <c r="HU3218" s="501"/>
      <c r="HV3218" s="501"/>
      <c r="HW3218" s="501"/>
      <c r="HX3218" s="501"/>
      <c r="HY3218" s="501"/>
      <c r="HZ3218" s="501"/>
      <c r="IA3218" s="501"/>
      <c r="IB3218" s="501"/>
      <c r="IC3218" s="501"/>
      <c r="ID3218" s="501"/>
      <c r="IE3218" s="501"/>
      <c r="IF3218" s="501"/>
      <c r="IG3218" s="501"/>
      <c r="IH3218" s="501"/>
      <c r="II3218" s="501"/>
      <c r="IJ3218" s="501"/>
      <c r="IK3218" s="501"/>
      <c r="IL3218" s="501"/>
      <c r="IM3218" s="501"/>
      <c r="IN3218" s="501"/>
      <c r="IO3218" s="501"/>
      <c r="IP3218" s="501"/>
      <c r="IQ3218" s="501"/>
      <c r="IR3218" s="501"/>
      <c r="IS3218" s="501"/>
      <c r="IT3218" s="501"/>
      <c r="IU3218" s="501"/>
    </row>
    <row r="3219" spans="1:255" s="877" customFormat="1" ht="24" customHeight="1">
      <c r="A3219" s="501"/>
      <c r="B3219" s="501"/>
      <c r="C3219" s="501"/>
      <c r="D3219" s="501"/>
      <c r="E3219" s="501"/>
      <c r="F3219" s="501"/>
      <c r="G3219" s="915"/>
      <c r="H3219" s="501"/>
      <c r="I3219" s="874"/>
      <c r="J3219" s="501"/>
      <c r="K3219" s="501"/>
      <c r="L3219" s="902"/>
      <c r="M3219" s="554"/>
      <c r="N3219" s="501"/>
      <c r="O3219" s="1159"/>
      <c r="P3219" s="1152"/>
      <c r="Q3219" s="1192"/>
      <c r="R3219" s="968"/>
      <c r="S3219" s="1101"/>
      <c r="T3219" s="968"/>
      <c r="V3219" s="501"/>
      <c r="W3219" s="501"/>
      <c r="X3219" s="501"/>
      <c r="Y3219" s="501"/>
      <c r="Z3219" s="501"/>
      <c r="AA3219" s="501"/>
      <c r="AB3219" s="501"/>
      <c r="AC3219" s="501"/>
      <c r="AD3219" s="501"/>
      <c r="AE3219" s="501"/>
      <c r="AF3219" s="501"/>
      <c r="AG3219" s="501"/>
      <c r="AH3219" s="501"/>
      <c r="AI3219" s="501"/>
      <c r="AJ3219" s="501"/>
      <c r="AK3219" s="501"/>
      <c r="AL3219" s="501"/>
      <c r="AM3219" s="501"/>
      <c r="AN3219" s="501"/>
      <c r="AO3219" s="501"/>
      <c r="AP3219" s="501"/>
      <c r="AQ3219" s="501"/>
      <c r="AR3219" s="501"/>
      <c r="AS3219" s="501"/>
      <c r="AT3219" s="501"/>
      <c r="AU3219" s="501"/>
      <c r="AV3219" s="501"/>
      <c r="AW3219" s="501"/>
      <c r="AX3219" s="501"/>
      <c r="AY3219" s="501"/>
      <c r="AZ3219" s="501"/>
      <c r="BA3219" s="501"/>
      <c r="BB3219" s="501"/>
      <c r="BC3219" s="501"/>
      <c r="BD3219" s="501"/>
      <c r="BE3219" s="501"/>
      <c r="BF3219" s="501"/>
      <c r="BG3219" s="501"/>
      <c r="BH3219" s="501"/>
      <c r="BI3219" s="501"/>
      <c r="BJ3219" s="501"/>
      <c r="BK3219" s="501"/>
      <c r="BL3219" s="501"/>
      <c r="BM3219" s="501"/>
      <c r="BN3219" s="501"/>
      <c r="BO3219" s="501"/>
      <c r="BP3219" s="501"/>
      <c r="BQ3219" s="501"/>
      <c r="BR3219" s="501"/>
      <c r="BS3219" s="501"/>
      <c r="BT3219" s="501"/>
      <c r="BU3219" s="501"/>
      <c r="BV3219" s="501"/>
      <c r="BW3219" s="501"/>
      <c r="BX3219" s="501"/>
      <c r="BY3219" s="501"/>
      <c r="BZ3219" s="501"/>
      <c r="CA3219" s="501"/>
      <c r="CB3219" s="501"/>
      <c r="CC3219" s="501"/>
      <c r="CD3219" s="501"/>
      <c r="CE3219" s="501"/>
      <c r="CF3219" s="501"/>
      <c r="CG3219" s="501"/>
      <c r="CH3219" s="501"/>
      <c r="CI3219" s="501"/>
      <c r="CJ3219" s="501"/>
      <c r="CK3219" s="501"/>
      <c r="CL3219" s="501"/>
      <c r="CM3219" s="501"/>
      <c r="CN3219" s="501"/>
      <c r="CO3219" s="501"/>
      <c r="CP3219" s="501"/>
      <c r="CQ3219" s="501"/>
      <c r="CR3219" s="501"/>
      <c r="CS3219" s="501"/>
      <c r="CT3219" s="501"/>
      <c r="CU3219" s="501"/>
      <c r="CV3219" s="501"/>
      <c r="CW3219" s="501"/>
      <c r="CX3219" s="501"/>
      <c r="CY3219" s="501"/>
      <c r="CZ3219" s="501"/>
      <c r="DA3219" s="501"/>
      <c r="DB3219" s="501"/>
      <c r="DC3219" s="501"/>
      <c r="DD3219" s="501"/>
      <c r="DE3219" s="501"/>
      <c r="DF3219" s="501"/>
      <c r="DG3219" s="501"/>
      <c r="DH3219" s="501"/>
      <c r="DI3219" s="501"/>
      <c r="DJ3219" s="501"/>
      <c r="DK3219" s="501"/>
      <c r="DL3219" s="501"/>
      <c r="DM3219" s="501"/>
      <c r="DN3219" s="501"/>
      <c r="DO3219" s="501"/>
      <c r="DP3219" s="501"/>
      <c r="DQ3219" s="501"/>
      <c r="DR3219" s="501"/>
      <c r="DS3219" s="501"/>
      <c r="DT3219" s="501"/>
      <c r="DU3219" s="501"/>
      <c r="DV3219" s="501"/>
      <c r="DW3219" s="501"/>
      <c r="DX3219" s="501"/>
      <c r="DY3219" s="501"/>
      <c r="DZ3219" s="501"/>
      <c r="EA3219" s="501"/>
      <c r="EB3219" s="501"/>
      <c r="EC3219" s="501"/>
      <c r="ED3219" s="501"/>
      <c r="EE3219" s="501"/>
      <c r="EF3219" s="501"/>
      <c r="EG3219" s="501"/>
      <c r="EH3219" s="501"/>
      <c r="EI3219" s="501"/>
      <c r="EJ3219" s="501"/>
      <c r="EK3219" s="501"/>
      <c r="EL3219" s="501"/>
      <c r="EM3219" s="501"/>
      <c r="EN3219" s="501"/>
      <c r="EO3219" s="501"/>
      <c r="EP3219" s="501"/>
      <c r="EQ3219" s="501"/>
      <c r="ER3219" s="501"/>
      <c r="ES3219" s="501"/>
      <c r="ET3219" s="501"/>
      <c r="EU3219" s="501"/>
      <c r="EV3219" s="501"/>
      <c r="EW3219" s="501"/>
      <c r="EX3219" s="501"/>
      <c r="EY3219" s="501"/>
      <c r="EZ3219" s="501"/>
      <c r="FA3219" s="501"/>
      <c r="FB3219" s="501"/>
      <c r="FC3219" s="501"/>
      <c r="FD3219" s="501"/>
      <c r="FE3219" s="501"/>
      <c r="FF3219" s="501"/>
      <c r="FG3219" s="501"/>
      <c r="FH3219" s="501"/>
      <c r="FI3219" s="501"/>
      <c r="FJ3219" s="501"/>
      <c r="FK3219" s="501"/>
      <c r="FL3219" s="501"/>
      <c r="FM3219" s="501"/>
      <c r="FN3219" s="501"/>
      <c r="FO3219" s="501"/>
      <c r="FP3219" s="501"/>
      <c r="FQ3219" s="501"/>
      <c r="FR3219" s="501"/>
      <c r="FS3219" s="501"/>
      <c r="FT3219" s="501"/>
      <c r="FU3219" s="501"/>
      <c r="FV3219" s="501"/>
      <c r="FW3219" s="501"/>
      <c r="FX3219" s="501"/>
      <c r="FY3219" s="501"/>
      <c r="FZ3219" s="501"/>
      <c r="GA3219" s="501"/>
      <c r="GB3219" s="501"/>
      <c r="GC3219" s="501"/>
      <c r="GD3219" s="501"/>
      <c r="GE3219" s="501"/>
      <c r="GF3219" s="501"/>
      <c r="GG3219" s="501"/>
      <c r="GH3219" s="501"/>
      <c r="GI3219" s="501"/>
      <c r="GJ3219" s="501"/>
      <c r="GK3219" s="501"/>
      <c r="GL3219" s="501"/>
      <c r="GM3219" s="501"/>
      <c r="GN3219" s="501"/>
      <c r="GO3219" s="501"/>
      <c r="GP3219" s="501"/>
      <c r="GQ3219" s="501"/>
      <c r="GR3219" s="501"/>
      <c r="GS3219" s="501"/>
      <c r="GT3219" s="501"/>
      <c r="GU3219" s="501"/>
      <c r="GV3219" s="501"/>
      <c r="GW3219" s="501"/>
      <c r="GX3219" s="501"/>
      <c r="GY3219" s="501"/>
      <c r="GZ3219" s="501"/>
      <c r="HA3219" s="501"/>
      <c r="HB3219" s="501"/>
      <c r="HC3219" s="501"/>
      <c r="HD3219" s="501"/>
      <c r="HE3219" s="501"/>
      <c r="HF3219" s="501"/>
      <c r="HG3219" s="501"/>
      <c r="HH3219" s="501"/>
      <c r="HI3219" s="501"/>
      <c r="HJ3219" s="501"/>
      <c r="HK3219" s="501"/>
      <c r="HL3219" s="501"/>
      <c r="HM3219" s="501"/>
      <c r="HN3219" s="501"/>
      <c r="HO3219" s="501"/>
      <c r="HP3219" s="501"/>
      <c r="HQ3219" s="501"/>
      <c r="HR3219" s="501"/>
      <c r="HS3219" s="501"/>
      <c r="HT3219" s="501"/>
      <c r="HU3219" s="501"/>
      <c r="HV3219" s="501"/>
      <c r="HW3219" s="501"/>
      <c r="HX3219" s="501"/>
      <c r="HY3219" s="501"/>
      <c r="HZ3219" s="501"/>
      <c r="IA3219" s="501"/>
      <c r="IB3219" s="501"/>
      <c r="IC3219" s="501"/>
      <c r="ID3219" s="501"/>
      <c r="IE3219" s="501"/>
      <c r="IF3219" s="501"/>
      <c r="IG3219" s="501"/>
      <c r="IH3219" s="501"/>
      <c r="II3219" s="501"/>
      <c r="IJ3219" s="501"/>
      <c r="IK3219" s="501"/>
      <c r="IL3219" s="501"/>
      <c r="IM3219" s="501"/>
      <c r="IN3219" s="501"/>
      <c r="IO3219" s="501"/>
      <c r="IP3219" s="501"/>
      <c r="IQ3219" s="501"/>
      <c r="IR3219" s="501"/>
      <c r="IS3219" s="501"/>
      <c r="IT3219" s="501"/>
      <c r="IU3219" s="501"/>
    </row>
    <row r="3220" spans="1:255" s="877" customFormat="1" ht="24" customHeight="1">
      <c r="A3220" s="501"/>
      <c r="B3220" s="501"/>
      <c r="C3220" s="501"/>
      <c r="D3220" s="501"/>
      <c r="E3220" s="501"/>
      <c r="F3220" s="501"/>
      <c r="G3220" s="915"/>
      <c r="H3220" s="501"/>
      <c r="I3220" s="874"/>
      <c r="J3220" s="501"/>
      <c r="K3220" s="501"/>
      <c r="L3220" s="902"/>
      <c r="M3220" s="554"/>
      <c r="N3220" s="501"/>
      <c r="O3220" s="1159"/>
      <c r="P3220" s="1152"/>
      <c r="Q3220" s="1192"/>
      <c r="R3220" s="968"/>
      <c r="S3220" s="1101"/>
      <c r="T3220" s="968"/>
      <c r="V3220" s="501"/>
      <c r="W3220" s="501"/>
      <c r="X3220" s="501"/>
      <c r="Y3220" s="501"/>
      <c r="Z3220" s="501"/>
      <c r="AA3220" s="501"/>
      <c r="AB3220" s="501"/>
      <c r="AC3220" s="501"/>
      <c r="AD3220" s="501"/>
      <c r="AE3220" s="501"/>
      <c r="AF3220" s="501"/>
      <c r="AG3220" s="501"/>
      <c r="AH3220" s="501"/>
      <c r="AI3220" s="501"/>
      <c r="AJ3220" s="501"/>
      <c r="AK3220" s="501"/>
      <c r="AL3220" s="501"/>
      <c r="AM3220" s="501"/>
      <c r="AN3220" s="501"/>
      <c r="AO3220" s="501"/>
      <c r="AP3220" s="501"/>
      <c r="AQ3220" s="501"/>
      <c r="AR3220" s="501"/>
      <c r="AS3220" s="501"/>
      <c r="AT3220" s="501"/>
      <c r="AU3220" s="501"/>
      <c r="AV3220" s="501"/>
      <c r="AW3220" s="501"/>
      <c r="AX3220" s="501"/>
      <c r="AY3220" s="501"/>
      <c r="AZ3220" s="501"/>
      <c r="BA3220" s="501"/>
      <c r="BB3220" s="501"/>
      <c r="BC3220" s="501"/>
      <c r="BD3220" s="501"/>
      <c r="BE3220" s="501"/>
      <c r="BF3220" s="501"/>
      <c r="BG3220" s="501"/>
      <c r="BH3220" s="501"/>
      <c r="BI3220" s="501"/>
      <c r="BJ3220" s="501"/>
      <c r="BK3220" s="501"/>
      <c r="BL3220" s="501"/>
      <c r="BM3220" s="501"/>
      <c r="BN3220" s="501"/>
      <c r="BO3220" s="501"/>
      <c r="BP3220" s="501"/>
      <c r="BQ3220" s="501"/>
      <c r="BR3220" s="501"/>
      <c r="BS3220" s="501"/>
      <c r="BT3220" s="501"/>
      <c r="BU3220" s="501"/>
      <c r="BV3220" s="501"/>
      <c r="BW3220" s="501"/>
      <c r="BX3220" s="501"/>
      <c r="BY3220" s="501"/>
      <c r="BZ3220" s="501"/>
      <c r="CA3220" s="501"/>
      <c r="CB3220" s="501"/>
      <c r="CC3220" s="501"/>
      <c r="CD3220" s="501"/>
      <c r="CE3220" s="501"/>
      <c r="CF3220" s="501"/>
      <c r="CG3220" s="501"/>
      <c r="CH3220" s="501"/>
      <c r="CI3220" s="501"/>
      <c r="CJ3220" s="501"/>
      <c r="CK3220" s="501"/>
      <c r="CL3220" s="501"/>
      <c r="CM3220" s="501"/>
      <c r="CN3220" s="501"/>
      <c r="CO3220" s="501"/>
      <c r="CP3220" s="501"/>
      <c r="CQ3220" s="501"/>
      <c r="CR3220" s="501"/>
      <c r="CS3220" s="501"/>
      <c r="CT3220" s="501"/>
      <c r="CU3220" s="501"/>
      <c r="CV3220" s="501"/>
      <c r="CW3220" s="501"/>
      <c r="CX3220" s="501"/>
      <c r="CY3220" s="501"/>
      <c r="CZ3220" s="501"/>
      <c r="DA3220" s="501"/>
      <c r="DB3220" s="501"/>
      <c r="DC3220" s="501"/>
      <c r="DD3220" s="501"/>
      <c r="DE3220" s="501"/>
      <c r="DF3220" s="501"/>
      <c r="DG3220" s="501"/>
      <c r="DH3220" s="501"/>
      <c r="DI3220" s="501"/>
      <c r="DJ3220" s="501"/>
      <c r="DK3220" s="501"/>
      <c r="DL3220" s="501"/>
      <c r="DM3220" s="501"/>
      <c r="DN3220" s="501"/>
      <c r="DO3220" s="501"/>
      <c r="DP3220" s="501"/>
      <c r="DQ3220" s="501"/>
      <c r="DR3220" s="501"/>
      <c r="DS3220" s="501"/>
      <c r="DT3220" s="501"/>
      <c r="DU3220" s="501"/>
      <c r="DV3220" s="501"/>
      <c r="DW3220" s="501"/>
      <c r="DX3220" s="501"/>
      <c r="DY3220" s="501"/>
      <c r="DZ3220" s="501"/>
      <c r="EA3220" s="501"/>
      <c r="EB3220" s="501"/>
      <c r="EC3220" s="501"/>
      <c r="ED3220" s="501"/>
      <c r="EE3220" s="501"/>
      <c r="EF3220" s="501"/>
      <c r="EG3220" s="501"/>
      <c r="EH3220" s="501"/>
      <c r="EI3220" s="501"/>
      <c r="EJ3220" s="501"/>
      <c r="EK3220" s="501"/>
      <c r="EL3220" s="501"/>
      <c r="EM3220" s="501"/>
      <c r="EN3220" s="501"/>
      <c r="EO3220" s="501"/>
      <c r="EP3220" s="501"/>
      <c r="EQ3220" s="501"/>
      <c r="ER3220" s="501"/>
      <c r="ES3220" s="501"/>
      <c r="ET3220" s="501"/>
      <c r="EU3220" s="501"/>
      <c r="EV3220" s="501"/>
      <c r="EW3220" s="501"/>
      <c r="EX3220" s="501"/>
      <c r="EY3220" s="501"/>
      <c r="EZ3220" s="501"/>
      <c r="FA3220" s="501"/>
      <c r="FB3220" s="501"/>
      <c r="FC3220" s="501"/>
      <c r="FD3220" s="501"/>
      <c r="FE3220" s="501"/>
      <c r="FF3220" s="501"/>
      <c r="FG3220" s="501"/>
      <c r="FH3220" s="501"/>
      <c r="FI3220" s="501"/>
      <c r="FJ3220" s="501"/>
      <c r="FK3220" s="501"/>
      <c r="FL3220" s="501"/>
      <c r="FM3220" s="501"/>
      <c r="FN3220" s="501"/>
      <c r="FO3220" s="501"/>
      <c r="FP3220" s="501"/>
      <c r="FQ3220" s="501"/>
      <c r="FR3220" s="501"/>
      <c r="FS3220" s="501"/>
      <c r="FT3220" s="501"/>
      <c r="FU3220" s="501"/>
      <c r="FV3220" s="501"/>
      <c r="FW3220" s="501"/>
      <c r="FX3220" s="501"/>
      <c r="FY3220" s="501"/>
      <c r="FZ3220" s="501"/>
      <c r="GA3220" s="501"/>
      <c r="GB3220" s="501"/>
      <c r="GC3220" s="501"/>
      <c r="GD3220" s="501"/>
      <c r="GE3220" s="501"/>
      <c r="GF3220" s="501"/>
      <c r="GG3220" s="501"/>
      <c r="GH3220" s="501"/>
      <c r="GI3220" s="501"/>
      <c r="GJ3220" s="501"/>
      <c r="GK3220" s="501"/>
      <c r="GL3220" s="501"/>
      <c r="GM3220" s="501"/>
      <c r="GN3220" s="501"/>
      <c r="GO3220" s="501"/>
      <c r="GP3220" s="501"/>
      <c r="GQ3220" s="501"/>
      <c r="GR3220" s="501"/>
      <c r="GS3220" s="501"/>
      <c r="GT3220" s="501"/>
      <c r="GU3220" s="501"/>
      <c r="GV3220" s="501"/>
      <c r="GW3220" s="501"/>
      <c r="GX3220" s="501"/>
      <c r="GY3220" s="501"/>
      <c r="GZ3220" s="501"/>
      <c r="HA3220" s="501"/>
      <c r="HB3220" s="501"/>
      <c r="HC3220" s="501"/>
      <c r="HD3220" s="501"/>
      <c r="HE3220" s="501"/>
      <c r="HF3220" s="501"/>
      <c r="HG3220" s="501"/>
      <c r="HH3220" s="501"/>
      <c r="HI3220" s="501"/>
      <c r="HJ3220" s="501"/>
      <c r="HK3220" s="501"/>
      <c r="HL3220" s="501"/>
      <c r="HM3220" s="501"/>
      <c r="HN3220" s="501"/>
      <c r="HO3220" s="501"/>
      <c r="HP3220" s="501"/>
      <c r="HQ3220" s="501"/>
      <c r="HR3220" s="501"/>
      <c r="HS3220" s="501"/>
      <c r="HT3220" s="501"/>
      <c r="HU3220" s="501"/>
      <c r="HV3220" s="501"/>
      <c r="HW3220" s="501"/>
      <c r="HX3220" s="501"/>
      <c r="HY3220" s="501"/>
      <c r="HZ3220" s="501"/>
      <c r="IA3220" s="501"/>
      <c r="IB3220" s="501"/>
      <c r="IC3220" s="501"/>
      <c r="ID3220" s="501"/>
      <c r="IE3220" s="501"/>
      <c r="IF3220" s="501"/>
      <c r="IG3220" s="501"/>
      <c r="IH3220" s="501"/>
      <c r="II3220" s="501"/>
      <c r="IJ3220" s="501"/>
      <c r="IK3220" s="501"/>
      <c r="IL3220" s="501"/>
      <c r="IM3220" s="501"/>
      <c r="IN3220" s="501"/>
      <c r="IO3220" s="501"/>
      <c r="IP3220" s="501"/>
      <c r="IQ3220" s="501"/>
      <c r="IR3220" s="501"/>
      <c r="IS3220" s="501"/>
      <c r="IT3220" s="501"/>
      <c r="IU3220" s="501"/>
    </row>
    <row r="3221" spans="1:255" s="877" customFormat="1" ht="24" customHeight="1">
      <c r="A3221" s="501"/>
      <c r="B3221" s="501"/>
      <c r="C3221" s="501"/>
      <c r="D3221" s="501"/>
      <c r="E3221" s="501"/>
      <c r="F3221" s="501"/>
      <c r="G3221" s="915"/>
      <c r="H3221" s="501"/>
      <c r="I3221" s="874"/>
      <c r="J3221" s="501"/>
      <c r="K3221" s="501"/>
      <c r="L3221" s="902"/>
      <c r="M3221" s="554"/>
      <c r="N3221" s="501"/>
      <c r="O3221" s="1159"/>
      <c r="P3221" s="1152"/>
      <c r="Q3221" s="1192"/>
      <c r="R3221" s="968"/>
      <c r="S3221" s="974"/>
      <c r="T3221" s="968"/>
      <c r="V3221" s="501"/>
      <c r="W3221" s="501"/>
      <c r="X3221" s="501"/>
      <c r="Y3221" s="501"/>
      <c r="Z3221" s="501"/>
      <c r="AA3221" s="501"/>
      <c r="AB3221" s="501"/>
      <c r="AC3221" s="501"/>
      <c r="AD3221" s="501"/>
      <c r="AE3221" s="501"/>
      <c r="AF3221" s="501"/>
      <c r="AG3221" s="501"/>
      <c r="AH3221" s="501"/>
      <c r="AI3221" s="501"/>
      <c r="AJ3221" s="501"/>
      <c r="AK3221" s="501"/>
      <c r="AL3221" s="501"/>
      <c r="AM3221" s="501"/>
      <c r="AN3221" s="501"/>
      <c r="AO3221" s="501"/>
      <c r="AP3221" s="501"/>
      <c r="AQ3221" s="501"/>
      <c r="AR3221" s="501"/>
      <c r="AS3221" s="501"/>
      <c r="AT3221" s="501"/>
      <c r="AU3221" s="501"/>
      <c r="AV3221" s="501"/>
      <c r="AW3221" s="501"/>
      <c r="AX3221" s="501"/>
      <c r="AY3221" s="501"/>
      <c r="AZ3221" s="501"/>
      <c r="BA3221" s="501"/>
      <c r="BB3221" s="501"/>
      <c r="BC3221" s="501"/>
      <c r="BD3221" s="501"/>
      <c r="BE3221" s="501"/>
      <c r="BF3221" s="501"/>
      <c r="BG3221" s="501"/>
      <c r="BH3221" s="501"/>
      <c r="BI3221" s="501"/>
      <c r="BJ3221" s="501"/>
      <c r="BK3221" s="501"/>
      <c r="BL3221" s="501"/>
      <c r="BM3221" s="501"/>
      <c r="BN3221" s="501"/>
      <c r="BO3221" s="501"/>
      <c r="BP3221" s="501"/>
      <c r="BQ3221" s="501"/>
      <c r="BR3221" s="501"/>
      <c r="BS3221" s="501"/>
      <c r="BT3221" s="501"/>
      <c r="BU3221" s="501"/>
      <c r="BV3221" s="501"/>
      <c r="BW3221" s="501"/>
      <c r="BX3221" s="501"/>
      <c r="BY3221" s="501"/>
      <c r="BZ3221" s="501"/>
      <c r="CA3221" s="501"/>
      <c r="CB3221" s="501"/>
      <c r="CC3221" s="501"/>
      <c r="CD3221" s="501"/>
      <c r="CE3221" s="501"/>
      <c r="CF3221" s="501"/>
      <c r="CG3221" s="501"/>
      <c r="CH3221" s="501"/>
      <c r="CI3221" s="501"/>
      <c r="CJ3221" s="501"/>
      <c r="CK3221" s="501"/>
      <c r="CL3221" s="501"/>
      <c r="CM3221" s="501"/>
      <c r="CN3221" s="501"/>
      <c r="CO3221" s="501"/>
      <c r="CP3221" s="501"/>
      <c r="CQ3221" s="501"/>
      <c r="CR3221" s="501"/>
      <c r="CS3221" s="501"/>
      <c r="CT3221" s="501"/>
      <c r="CU3221" s="501"/>
      <c r="CV3221" s="501"/>
      <c r="CW3221" s="501"/>
      <c r="CX3221" s="501"/>
      <c r="CY3221" s="501"/>
      <c r="CZ3221" s="501"/>
      <c r="DA3221" s="501"/>
      <c r="DB3221" s="501"/>
      <c r="DC3221" s="501"/>
      <c r="DD3221" s="501"/>
      <c r="DE3221" s="501"/>
      <c r="DF3221" s="501"/>
      <c r="DG3221" s="501"/>
      <c r="DH3221" s="501"/>
      <c r="DI3221" s="501"/>
      <c r="DJ3221" s="501"/>
      <c r="DK3221" s="501"/>
      <c r="DL3221" s="501"/>
      <c r="DM3221" s="501"/>
      <c r="DN3221" s="501"/>
      <c r="DO3221" s="501"/>
      <c r="DP3221" s="501"/>
      <c r="DQ3221" s="501"/>
      <c r="DR3221" s="501"/>
      <c r="DS3221" s="501"/>
      <c r="DT3221" s="501"/>
      <c r="DU3221" s="501"/>
      <c r="DV3221" s="501"/>
      <c r="DW3221" s="501"/>
      <c r="DX3221" s="501"/>
      <c r="DY3221" s="501"/>
      <c r="DZ3221" s="501"/>
      <c r="EA3221" s="501"/>
      <c r="EB3221" s="501"/>
      <c r="EC3221" s="501"/>
      <c r="ED3221" s="501"/>
      <c r="EE3221" s="501"/>
      <c r="EF3221" s="501"/>
      <c r="EG3221" s="501"/>
      <c r="EH3221" s="501"/>
      <c r="EI3221" s="501"/>
      <c r="EJ3221" s="501"/>
      <c r="EK3221" s="501"/>
      <c r="EL3221" s="501"/>
      <c r="EM3221" s="501"/>
      <c r="EN3221" s="501"/>
      <c r="EO3221" s="501"/>
      <c r="EP3221" s="501"/>
      <c r="EQ3221" s="501"/>
      <c r="ER3221" s="501"/>
      <c r="ES3221" s="501"/>
      <c r="ET3221" s="501"/>
      <c r="EU3221" s="501"/>
      <c r="EV3221" s="501"/>
      <c r="EW3221" s="501"/>
      <c r="EX3221" s="501"/>
      <c r="EY3221" s="501"/>
      <c r="EZ3221" s="501"/>
      <c r="FA3221" s="501"/>
      <c r="FB3221" s="501"/>
      <c r="FC3221" s="501"/>
      <c r="FD3221" s="501"/>
      <c r="FE3221" s="501"/>
      <c r="FF3221" s="501"/>
      <c r="FG3221" s="501"/>
      <c r="FH3221" s="501"/>
      <c r="FI3221" s="501"/>
      <c r="FJ3221" s="501"/>
      <c r="FK3221" s="501"/>
      <c r="FL3221" s="501"/>
      <c r="FM3221" s="501"/>
      <c r="FN3221" s="501"/>
      <c r="FO3221" s="501"/>
      <c r="FP3221" s="501"/>
      <c r="FQ3221" s="501"/>
      <c r="FR3221" s="501"/>
      <c r="FS3221" s="501"/>
      <c r="FT3221" s="501"/>
      <c r="FU3221" s="501"/>
      <c r="FV3221" s="501"/>
      <c r="FW3221" s="501"/>
      <c r="FX3221" s="501"/>
      <c r="FY3221" s="501"/>
      <c r="FZ3221" s="501"/>
      <c r="GA3221" s="501"/>
      <c r="GB3221" s="501"/>
      <c r="GC3221" s="501"/>
      <c r="GD3221" s="501"/>
      <c r="GE3221" s="501"/>
      <c r="GF3221" s="501"/>
      <c r="GG3221" s="501"/>
      <c r="GH3221" s="501"/>
      <c r="GI3221" s="501"/>
      <c r="GJ3221" s="501"/>
      <c r="GK3221" s="501"/>
      <c r="GL3221" s="501"/>
      <c r="GM3221" s="501"/>
      <c r="GN3221" s="501"/>
      <c r="GO3221" s="501"/>
      <c r="GP3221" s="501"/>
      <c r="GQ3221" s="501"/>
      <c r="GR3221" s="501"/>
      <c r="GS3221" s="501"/>
      <c r="GT3221" s="501"/>
      <c r="GU3221" s="501"/>
      <c r="GV3221" s="501"/>
      <c r="GW3221" s="501"/>
      <c r="GX3221" s="501"/>
      <c r="GY3221" s="501"/>
      <c r="GZ3221" s="501"/>
      <c r="HA3221" s="501"/>
      <c r="HB3221" s="501"/>
      <c r="HC3221" s="501"/>
      <c r="HD3221" s="501"/>
      <c r="HE3221" s="501"/>
      <c r="HF3221" s="501"/>
      <c r="HG3221" s="501"/>
      <c r="HH3221" s="501"/>
      <c r="HI3221" s="501"/>
      <c r="HJ3221" s="501"/>
      <c r="HK3221" s="501"/>
      <c r="HL3221" s="501"/>
      <c r="HM3221" s="501"/>
      <c r="HN3221" s="501"/>
      <c r="HO3221" s="501"/>
      <c r="HP3221" s="501"/>
      <c r="HQ3221" s="501"/>
      <c r="HR3221" s="501"/>
      <c r="HS3221" s="501"/>
      <c r="HT3221" s="501"/>
      <c r="HU3221" s="501"/>
      <c r="HV3221" s="501"/>
      <c r="HW3221" s="501"/>
      <c r="HX3221" s="501"/>
      <c r="HY3221" s="501"/>
      <c r="HZ3221" s="501"/>
      <c r="IA3221" s="501"/>
      <c r="IB3221" s="501"/>
      <c r="IC3221" s="501"/>
      <c r="ID3221" s="501"/>
      <c r="IE3221" s="501"/>
      <c r="IF3221" s="501"/>
      <c r="IG3221" s="501"/>
      <c r="IH3221" s="501"/>
      <c r="II3221" s="501"/>
      <c r="IJ3221" s="501"/>
      <c r="IK3221" s="501"/>
      <c r="IL3221" s="501"/>
      <c r="IM3221" s="501"/>
      <c r="IN3221" s="501"/>
      <c r="IO3221" s="501"/>
      <c r="IP3221" s="501"/>
      <c r="IQ3221" s="501"/>
      <c r="IR3221" s="501"/>
      <c r="IS3221" s="501"/>
      <c r="IT3221" s="501"/>
      <c r="IU3221" s="501"/>
    </row>
    <row r="3222" spans="1:255" s="877" customFormat="1" ht="24" customHeight="1">
      <c r="A3222" s="501"/>
      <c r="B3222" s="501"/>
      <c r="C3222" s="501"/>
      <c r="D3222" s="501"/>
      <c r="E3222" s="501"/>
      <c r="F3222" s="501"/>
      <c r="G3222" s="915"/>
      <c r="H3222" s="501"/>
      <c r="I3222" s="874"/>
      <c r="J3222" s="501"/>
      <c r="K3222" s="501"/>
      <c r="L3222" s="878"/>
      <c r="M3222" s="554"/>
      <c r="N3222" s="501"/>
      <c r="O3222" s="968"/>
      <c r="P3222" s="1152"/>
      <c r="Q3222" s="973"/>
      <c r="R3222" s="968"/>
      <c r="S3222" s="974"/>
      <c r="T3222" s="968"/>
      <c r="V3222" s="501"/>
      <c r="W3222" s="501"/>
      <c r="X3222" s="501"/>
      <c r="Y3222" s="501"/>
      <c r="Z3222" s="501"/>
      <c r="AA3222" s="501"/>
      <c r="AB3222" s="501"/>
      <c r="AC3222" s="501"/>
      <c r="AD3222" s="501"/>
      <c r="AE3222" s="501"/>
      <c r="AF3222" s="501"/>
      <c r="AG3222" s="501"/>
      <c r="AH3222" s="501"/>
      <c r="AI3222" s="501"/>
      <c r="AJ3222" s="501"/>
      <c r="AK3222" s="501"/>
      <c r="AL3222" s="501"/>
      <c r="AM3222" s="501"/>
      <c r="AN3222" s="501"/>
      <c r="AO3222" s="501"/>
      <c r="AP3222" s="501"/>
      <c r="AQ3222" s="501"/>
      <c r="AR3222" s="501"/>
      <c r="AS3222" s="501"/>
      <c r="AT3222" s="501"/>
      <c r="AU3222" s="501"/>
      <c r="AV3222" s="501"/>
      <c r="AW3222" s="501"/>
      <c r="AX3222" s="501"/>
      <c r="AY3222" s="501"/>
      <c r="AZ3222" s="501"/>
      <c r="BA3222" s="501"/>
      <c r="BB3222" s="501"/>
      <c r="BC3222" s="501"/>
      <c r="BD3222" s="501"/>
      <c r="BE3222" s="501"/>
      <c r="BF3222" s="501"/>
      <c r="BG3222" s="501"/>
      <c r="BH3222" s="501"/>
      <c r="BI3222" s="501"/>
      <c r="BJ3222" s="501"/>
      <c r="BK3222" s="501"/>
      <c r="BL3222" s="501"/>
      <c r="BM3222" s="501"/>
      <c r="BN3222" s="501"/>
      <c r="BO3222" s="501"/>
      <c r="BP3222" s="501"/>
      <c r="BQ3222" s="501"/>
      <c r="BR3222" s="501"/>
      <c r="BS3222" s="501"/>
      <c r="BT3222" s="501"/>
      <c r="BU3222" s="501"/>
      <c r="BV3222" s="501"/>
      <c r="BW3222" s="501"/>
      <c r="BX3222" s="501"/>
      <c r="BY3222" s="501"/>
      <c r="BZ3222" s="501"/>
      <c r="CA3222" s="501"/>
      <c r="CB3222" s="501"/>
      <c r="CC3222" s="501"/>
      <c r="CD3222" s="501"/>
      <c r="CE3222" s="501"/>
      <c r="CF3222" s="501"/>
      <c r="CG3222" s="501"/>
      <c r="CH3222" s="501"/>
      <c r="CI3222" s="501"/>
      <c r="CJ3222" s="501"/>
      <c r="CK3222" s="501"/>
      <c r="CL3222" s="501"/>
      <c r="CM3222" s="501"/>
      <c r="CN3222" s="501"/>
      <c r="CO3222" s="501"/>
      <c r="CP3222" s="501"/>
      <c r="CQ3222" s="501"/>
      <c r="CR3222" s="501"/>
      <c r="CS3222" s="501"/>
      <c r="CT3222" s="501"/>
      <c r="CU3222" s="501"/>
      <c r="CV3222" s="501"/>
      <c r="CW3222" s="501"/>
      <c r="CX3222" s="501"/>
      <c r="CY3222" s="501"/>
      <c r="CZ3222" s="501"/>
      <c r="DA3222" s="501"/>
      <c r="DB3222" s="501"/>
      <c r="DC3222" s="501"/>
      <c r="DD3222" s="501"/>
      <c r="DE3222" s="501"/>
      <c r="DF3222" s="501"/>
      <c r="DG3222" s="501"/>
      <c r="DH3222" s="501"/>
      <c r="DI3222" s="501"/>
      <c r="DJ3222" s="501"/>
      <c r="DK3222" s="501"/>
      <c r="DL3222" s="501"/>
      <c r="DM3222" s="501"/>
      <c r="DN3222" s="501"/>
      <c r="DO3222" s="501"/>
      <c r="DP3222" s="501"/>
      <c r="DQ3222" s="501"/>
      <c r="DR3222" s="501"/>
      <c r="DS3222" s="501"/>
      <c r="DT3222" s="501"/>
      <c r="DU3222" s="501"/>
      <c r="DV3222" s="501"/>
      <c r="DW3222" s="501"/>
      <c r="DX3222" s="501"/>
      <c r="DY3222" s="501"/>
      <c r="DZ3222" s="501"/>
      <c r="EA3222" s="501"/>
      <c r="EB3222" s="501"/>
      <c r="EC3222" s="501"/>
      <c r="ED3222" s="501"/>
      <c r="EE3222" s="501"/>
      <c r="EF3222" s="501"/>
      <c r="EG3222" s="501"/>
      <c r="EH3222" s="501"/>
      <c r="EI3222" s="501"/>
      <c r="EJ3222" s="501"/>
      <c r="EK3222" s="501"/>
      <c r="EL3222" s="501"/>
      <c r="EM3222" s="501"/>
      <c r="EN3222" s="501"/>
      <c r="EO3222" s="501"/>
      <c r="EP3222" s="501"/>
      <c r="EQ3222" s="501"/>
      <c r="ER3222" s="501"/>
      <c r="ES3222" s="501"/>
      <c r="ET3222" s="501"/>
      <c r="EU3222" s="501"/>
      <c r="EV3222" s="501"/>
      <c r="EW3222" s="501"/>
      <c r="EX3222" s="501"/>
      <c r="EY3222" s="501"/>
      <c r="EZ3222" s="501"/>
      <c r="FA3222" s="501"/>
      <c r="FB3222" s="501"/>
      <c r="FC3222" s="501"/>
      <c r="FD3222" s="501"/>
      <c r="FE3222" s="501"/>
      <c r="FF3222" s="501"/>
      <c r="FG3222" s="501"/>
      <c r="FH3222" s="501"/>
      <c r="FI3222" s="501"/>
      <c r="FJ3222" s="501"/>
      <c r="FK3222" s="501"/>
      <c r="FL3222" s="501"/>
      <c r="FM3222" s="501"/>
      <c r="FN3222" s="501"/>
      <c r="FO3222" s="501"/>
      <c r="FP3222" s="501"/>
      <c r="FQ3222" s="501"/>
      <c r="FR3222" s="501"/>
      <c r="FS3222" s="501"/>
      <c r="FT3222" s="501"/>
      <c r="FU3222" s="501"/>
      <c r="FV3222" s="501"/>
      <c r="FW3222" s="501"/>
      <c r="FX3222" s="501"/>
      <c r="FY3222" s="501"/>
      <c r="FZ3222" s="501"/>
      <c r="GA3222" s="501"/>
      <c r="GB3222" s="501"/>
      <c r="GC3222" s="501"/>
      <c r="GD3222" s="501"/>
      <c r="GE3222" s="501"/>
      <c r="GF3222" s="501"/>
      <c r="GG3222" s="501"/>
      <c r="GH3222" s="501"/>
      <c r="GI3222" s="501"/>
      <c r="GJ3222" s="501"/>
      <c r="GK3222" s="501"/>
      <c r="GL3222" s="501"/>
      <c r="GM3222" s="501"/>
      <c r="GN3222" s="501"/>
      <c r="GO3222" s="501"/>
      <c r="GP3222" s="501"/>
      <c r="GQ3222" s="501"/>
      <c r="GR3222" s="501"/>
      <c r="GS3222" s="501"/>
      <c r="GT3222" s="501"/>
      <c r="GU3222" s="501"/>
      <c r="GV3222" s="501"/>
      <c r="GW3222" s="501"/>
      <c r="GX3222" s="501"/>
      <c r="GY3222" s="501"/>
      <c r="GZ3222" s="501"/>
      <c r="HA3222" s="501"/>
      <c r="HB3222" s="501"/>
      <c r="HC3222" s="501"/>
      <c r="HD3222" s="501"/>
      <c r="HE3222" s="501"/>
      <c r="HF3222" s="501"/>
      <c r="HG3222" s="501"/>
      <c r="HH3222" s="501"/>
      <c r="HI3222" s="501"/>
      <c r="HJ3222" s="501"/>
      <c r="HK3222" s="501"/>
      <c r="HL3222" s="501"/>
      <c r="HM3222" s="501"/>
      <c r="HN3222" s="501"/>
      <c r="HO3222" s="501"/>
      <c r="HP3222" s="501"/>
      <c r="HQ3222" s="501"/>
      <c r="HR3222" s="501"/>
      <c r="HS3222" s="501"/>
      <c r="HT3222" s="501"/>
      <c r="HU3222" s="501"/>
      <c r="HV3222" s="501"/>
      <c r="HW3222" s="501"/>
      <c r="HX3222" s="501"/>
      <c r="HY3222" s="501"/>
      <c r="HZ3222" s="501"/>
      <c r="IA3222" s="501"/>
      <c r="IB3222" s="501"/>
      <c r="IC3222" s="501"/>
      <c r="ID3222" s="501"/>
      <c r="IE3222" s="501"/>
      <c r="IF3222" s="501"/>
      <c r="IG3222" s="501"/>
      <c r="IH3222" s="501"/>
      <c r="II3222" s="501"/>
      <c r="IJ3222" s="501"/>
      <c r="IK3222" s="501"/>
      <c r="IL3222" s="501"/>
      <c r="IM3222" s="501"/>
      <c r="IN3222" s="501"/>
      <c r="IO3222" s="501"/>
      <c r="IP3222" s="501"/>
      <c r="IQ3222" s="501"/>
      <c r="IR3222" s="501"/>
      <c r="IS3222" s="501"/>
      <c r="IT3222" s="501"/>
      <c r="IU3222" s="501"/>
    </row>
    <row r="3223" spans="1:255" s="877" customFormat="1" ht="24" customHeight="1">
      <c r="A3223" s="501"/>
      <c r="B3223" s="501"/>
      <c r="C3223" s="501"/>
      <c r="D3223" s="501"/>
      <c r="E3223" s="501"/>
      <c r="F3223" s="501"/>
      <c r="G3223" s="915"/>
      <c r="H3223" s="501"/>
      <c r="I3223" s="874"/>
      <c r="J3223" s="501"/>
      <c r="K3223" s="501"/>
      <c r="L3223" s="878"/>
      <c r="M3223" s="554"/>
      <c r="N3223" s="501"/>
      <c r="O3223" s="968"/>
      <c r="P3223" s="1152"/>
      <c r="Q3223" s="973"/>
      <c r="R3223" s="968"/>
      <c r="S3223" s="974"/>
      <c r="T3223" s="968"/>
      <c r="V3223" s="501"/>
      <c r="W3223" s="501"/>
      <c r="X3223" s="501"/>
      <c r="Y3223" s="501"/>
      <c r="Z3223" s="501"/>
      <c r="AA3223" s="501"/>
      <c r="AB3223" s="501"/>
      <c r="AC3223" s="501"/>
      <c r="AD3223" s="501"/>
      <c r="AE3223" s="501"/>
      <c r="AF3223" s="501"/>
      <c r="AG3223" s="501"/>
      <c r="AH3223" s="501"/>
      <c r="AI3223" s="501"/>
      <c r="AJ3223" s="501"/>
      <c r="AK3223" s="501"/>
      <c r="AL3223" s="501"/>
      <c r="AM3223" s="501"/>
      <c r="AN3223" s="501"/>
      <c r="AO3223" s="501"/>
      <c r="AP3223" s="501"/>
      <c r="AQ3223" s="501"/>
      <c r="AR3223" s="501"/>
      <c r="AS3223" s="501"/>
      <c r="AT3223" s="501"/>
      <c r="AU3223" s="501"/>
      <c r="AV3223" s="501"/>
      <c r="AW3223" s="501"/>
      <c r="AX3223" s="501"/>
      <c r="AY3223" s="501"/>
      <c r="AZ3223" s="501"/>
      <c r="BA3223" s="501"/>
      <c r="BB3223" s="501"/>
      <c r="BC3223" s="501"/>
      <c r="BD3223" s="501"/>
      <c r="BE3223" s="501"/>
      <c r="BF3223" s="501"/>
      <c r="BG3223" s="501"/>
      <c r="BH3223" s="501"/>
      <c r="BI3223" s="501"/>
      <c r="BJ3223" s="501"/>
      <c r="BK3223" s="501"/>
      <c r="BL3223" s="501"/>
      <c r="BM3223" s="501"/>
      <c r="BN3223" s="501"/>
      <c r="BO3223" s="501"/>
      <c r="BP3223" s="501"/>
      <c r="BQ3223" s="501"/>
      <c r="BR3223" s="501"/>
      <c r="BS3223" s="501"/>
      <c r="BT3223" s="501"/>
      <c r="BU3223" s="501"/>
      <c r="BV3223" s="501"/>
      <c r="BW3223" s="501"/>
      <c r="BX3223" s="501"/>
      <c r="BY3223" s="501"/>
      <c r="BZ3223" s="501"/>
      <c r="CA3223" s="501"/>
      <c r="CB3223" s="501"/>
      <c r="CC3223" s="501"/>
      <c r="CD3223" s="501"/>
      <c r="CE3223" s="501"/>
      <c r="CF3223" s="501"/>
      <c r="CG3223" s="501"/>
      <c r="CH3223" s="501"/>
      <c r="CI3223" s="501"/>
      <c r="CJ3223" s="501"/>
      <c r="CK3223" s="501"/>
      <c r="CL3223" s="501"/>
      <c r="CM3223" s="501"/>
      <c r="CN3223" s="501"/>
      <c r="CO3223" s="501"/>
      <c r="CP3223" s="501"/>
      <c r="CQ3223" s="501"/>
      <c r="CR3223" s="501"/>
      <c r="CS3223" s="501"/>
      <c r="CT3223" s="501"/>
      <c r="CU3223" s="501"/>
      <c r="CV3223" s="501"/>
      <c r="CW3223" s="501"/>
      <c r="CX3223" s="501"/>
      <c r="CY3223" s="501"/>
      <c r="CZ3223" s="501"/>
      <c r="DA3223" s="501"/>
      <c r="DB3223" s="501"/>
      <c r="DC3223" s="501"/>
      <c r="DD3223" s="501"/>
      <c r="DE3223" s="501"/>
      <c r="DF3223" s="501"/>
      <c r="DG3223" s="501"/>
      <c r="DH3223" s="501"/>
      <c r="DI3223" s="501"/>
      <c r="DJ3223" s="501"/>
      <c r="DK3223" s="501"/>
      <c r="DL3223" s="501"/>
      <c r="DM3223" s="501"/>
      <c r="DN3223" s="501"/>
      <c r="DO3223" s="501"/>
      <c r="DP3223" s="501"/>
      <c r="DQ3223" s="501"/>
      <c r="DR3223" s="501"/>
      <c r="DS3223" s="501"/>
      <c r="DT3223" s="501"/>
      <c r="DU3223" s="501"/>
      <c r="DV3223" s="501"/>
      <c r="DW3223" s="501"/>
      <c r="DX3223" s="501"/>
      <c r="DY3223" s="501"/>
      <c r="DZ3223" s="501"/>
      <c r="EA3223" s="501"/>
      <c r="EB3223" s="501"/>
      <c r="EC3223" s="501"/>
      <c r="ED3223" s="501"/>
      <c r="EE3223" s="501"/>
      <c r="EF3223" s="501"/>
      <c r="EG3223" s="501"/>
      <c r="EH3223" s="501"/>
      <c r="EI3223" s="501"/>
      <c r="EJ3223" s="501"/>
      <c r="EK3223" s="501"/>
      <c r="EL3223" s="501"/>
      <c r="EM3223" s="501"/>
      <c r="EN3223" s="501"/>
      <c r="EO3223" s="501"/>
      <c r="EP3223" s="501"/>
      <c r="EQ3223" s="501"/>
      <c r="ER3223" s="501"/>
      <c r="ES3223" s="501"/>
      <c r="ET3223" s="501"/>
      <c r="EU3223" s="501"/>
      <c r="EV3223" s="501"/>
      <c r="EW3223" s="501"/>
      <c r="EX3223" s="501"/>
      <c r="EY3223" s="501"/>
      <c r="EZ3223" s="501"/>
      <c r="FA3223" s="501"/>
      <c r="FB3223" s="501"/>
      <c r="FC3223" s="501"/>
      <c r="FD3223" s="501"/>
      <c r="FE3223" s="501"/>
      <c r="FF3223" s="501"/>
      <c r="FG3223" s="501"/>
      <c r="FH3223" s="501"/>
      <c r="FI3223" s="501"/>
      <c r="FJ3223" s="501"/>
      <c r="FK3223" s="501"/>
      <c r="FL3223" s="501"/>
      <c r="FM3223" s="501"/>
      <c r="FN3223" s="501"/>
      <c r="FO3223" s="501"/>
      <c r="FP3223" s="501"/>
      <c r="FQ3223" s="501"/>
      <c r="FR3223" s="501"/>
      <c r="FS3223" s="501"/>
      <c r="FT3223" s="501"/>
      <c r="FU3223" s="501"/>
      <c r="FV3223" s="501"/>
      <c r="FW3223" s="501"/>
      <c r="FX3223" s="501"/>
      <c r="FY3223" s="501"/>
      <c r="FZ3223" s="501"/>
      <c r="GA3223" s="501"/>
      <c r="GB3223" s="501"/>
      <c r="GC3223" s="501"/>
      <c r="GD3223" s="501"/>
      <c r="GE3223" s="501"/>
      <c r="GF3223" s="501"/>
      <c r="GG3223" s="501"/>
      <c r="GH3223" s="501"/>
      <c r="GI3223" s="501"/>
      <c r="GJ3223" s="501"/>
      <c r="GK3223" s="501"/>
      <c r="GL3223" s="501"/>
      <c r="GM3223" s="501"/>
      <c r="GN3223" s="501"/>
      <c r="GO3223" s="501"/>
      <c r="GP3223" s="501"/>
      <c r="GQ3223" s="501"/>
      <c r="GR3223" s="501"/>
      <c r="GS3223" s="501"/>
      <c r="GT3223" s="501"/>
      <c r="GU3223" s="501"/>
      <c r="GV3223" s="501"/>
      <c r="GW3223" s="501"/>
      <c r="GX3223" s="501"/>
      <c r="GY3223" s="501"/>
      <c r="GZ3223" s="501"/>
      <c r="HA3223" s="501"/>
      <c r="HB3223" s="501"/>
      <c r="HC3223" s="501"/>
      <c r="HD3223" s="501"/>
      <c r="HE3223" s="501"/>
      <c r="HF3223" s="501"/>
      <c r="HG3223" s="501"/>
      <c r="HH3223" s="501"/>
      <c r="HI3223" s="501"/>
      <c r="HJ3223" s="501"/>
      <c r="HK3223" s="501"/>
      <c r="HL3223" s="501"/>
      <c r="HM3223" s="501"/>
      <c r="HN3223" s="501"/>
      <c r="HO3223" s="501"/>
      <c r="HP3223" s="501"/>
      <c r="HQ3223" s="501"/>
      <c r="HR3223" s="501"/>
      <c r="HS3223" s="501"/>
      <c r="HT3223" s="501"/>
      <c r="HU3223" s="501"/>
      <c r="HV3223" s="501"/>
      <c r="HW3223" s="501"/>
      <c r="HX3223" s="501"/>
      <c r="HY3223" s="501"/>
      <c r="HZ3223" s="501"/>
      <c r="IA3223" s="501"/>
      <c r="IB3223" s="501"/>
      <c r="IC3223" s="501"/>
      <c r="ID3223" s="501"/>
      <c r="IE3223" s="501"/>
      <c r="IF3223" s="501"/>
      <c r="IG3223" s="501"/>
      <c r="IH3223" s="501"/>
      <c r="II3223" s="501"/>
      <c r="IJ3223" s="501"/>
      <c r="IK3223" s="501"/>
      <c r="IL3223" s="501"/>
      <c r="IM3223" s="501"/>
      <c r="IN3223" s="501"/>
      <c r="IO3223" s="501"/>
      <c r="IP3223" s="501"/>
      <c r="IQ3223" s="501"/>
      <c r="IR3223" s="501"/>
      <c r="IS3223" s="501"/>
      <c r="IT3223" s="501"/>
      <c r="IU3223" s="501"/>
    </row>
    <row r="3224" spans="1:255" s="877" customFormat="1" ht="24" customHeight="1">
      <c r="A3224" s="501"/>
      <c r="B3224" s="501"/>
      <c r="C3224" s="501"/>
      <c r="D3224" s="501"/>
      <c r="E3224" s="501"/>
      <c r="F3224" s="501"/>
      <c r="G3224" s="915"/>
      <c r="H3224" s="501"/>
      <c r="I3224" s="874"/>
      <c r="J3224" s="501"/>
      <c r="K3224" s="501"/>
      <c r="L3224" s="878"/>
      <c r="M3224" s="554"/>
      <c r="N3224" s="501"/>
      <c r="O3224" s="968"/>
      <c r="P3224" s="1152"/>
      <c r="Q3224" s="973"/>
      <c r="R3224" s="968"/>
      <c r="S3224" s="974"/>
      <c r="T3224" s="968"/>
      <c r="V3224" s="501"/>
      <c r="W3224" s="501"/>
      <c r="X3224" s="501"/>
      <c r="Y3224" s="501"/>
      <c r="Z3224" s="501"/>
      <c r="AA3224" s="501"/>
      <c r="AB3224" s="501"/>
      <c r="AC3224" s="501"/>
      <c r="AD3224" s="501"/>
      <c r="AE3224" s="501"/>
      <c r="AF3224" s="501"/>
      <c r="AG3224" s="501"/>
      <c r="AH3224" s="501"/>
      <c r="AI3224" s="501"/>
      <c r="AJ3224" s="501"/>
      <c r="AK3224" s="501"/>
      <c r="AL3224" s="501"/>
      <c r="AM3224" s="501"/>
      <c r="AN3224" s="501"/>
      <c r="AO3224" s="501"/>
      <c r="AP3224" s="501"/>
      <c r="AQ3224" s="501"/>
      <c r="AR3224" s="501"/>
      <c r="AS3224" s="501"/>
      <c r="AT3224" s="501"/>
      <c r="AU3224" s="501"/>
      <c r="AV3224" s="501"/>
      <c r="AW3224" s="501"/>
      <c r="AX3224" s="501"/>
      <c r="AY3224" s="501"/>
      <c r="AZ3224" s="501"/>
      <c r="BA3224" s="501"/>
      <c r="BB3224" s="501"/>
      <c r="BC3224" s="501"/>
      <c r="BD3224" s="501"/>
      <c r="BE3224" s="501"/>
      <c r="BF3224" s="501"/>
      <c r="BG3224" s="501"/>
      <c r="BH3224" s="501"/>
      <c r="BI3224" s="501"/>
      <c r="BJ3224" s="501"/>
      <c r="BK3224" s="501"/>
      <c r="BL3224" s="501"/>
      <c r="BM3224" s="501"/>
      <c r="BN3224" s="501"/>
      <c r="BO3224" s="501"/>
      <c r="BP3224" s="501"/>
      <c r="BQ3224" s="501"/>
      <c r="BR3224" s="501"/>
      <c r="BS3224" s="501"/>
      <c r="BT3224" s="501"/>
      <c r="BU3224" s="501"/>
      <c r="BV3224" s="501"/>
      <c r="BW3224" s="501"/>
      <c r="BX3224" s="501"/>
      <c r="BY3224" s="501"/>
      <c r="BZ3224" s="501"/>
      <c r="CA3224" s="501"/>
      <c r="CB3224" s="501"/>
      <c r="CC3224" s="501"/>
      <c r="CD3224" s="501"/>
      <c r="CE3224" s="501"/>
      <c r="CF3224" s="501"/>
      <c r="CG3224" s="501"/>
      <c r="CH3224" s="501"/>
      <c r="CI3224" s="501"/>
      <c r="CJ3224" s="501"/>
      <c r="CK3224" s="501"/>
      <c r="CL3224" s="501"/>
      <c r="CM3224" s="501"/>
      <c r="CN3224" s="501"/>
      <c r="CO3224" s="501"/>
      <c r="CP3224" s="501"/>
      <c r="CQ3224" s="501"/>
      <c r="CR3224" s="501"/>
      <c r="CS3224" s="501"/>
      <c r="CT3224" s="501"/>
      <c r="CU3224" s="501"/>
      <c r="CV3224" s="501"/>
      <c r="CW3224" s="501"/>
      <c r="CX3224" s="501"/>
      <c r="CY3224" s="501"/>
      <c r="CZ3224" s="501"/>
      <c r="DA3224" s="501"/>
      <c r="DB3224" s="501"/>
      <c r="DC3224" s="501"/>
      <c r="DD3224" s="501"/>
      <c r="DE3224" s="501"/>
      <c r="DF3224" s="501"/>
      <c r="DG3224" s="501"/>
      <c r="DH3224" s="501"/>
      <c r="DI3224" s="501"/>
      <c r="DJ3224" s="501"/>
      <c r="DK3224" s="501"/>
      <c r="DL3224" s="501"/>
      <c r="DM3224" s="501"/>
      <c r="DN3224" s="501"/>
      <c r="DO3224" s="501"/>
      <c r="DP3224" s="501"/>
      <c r="DQ3224" s="501"/>
      <c r="DR3224" s="501"/>
      <c r="DS3224" s="501"/>
      <c r="DT3224" s="501"/>
      <c r="DU3224" s="501"/>
      <c r="DV3224" s="501"/>
      <c r="DW3224" s="501"/>
      <c r="DX3224" s="501"/>
      <c r="DY3224" s="501"/>
      <c r="DZ3224" s="501"/>
      <c r="EA3224" s="501"/>
      <c r="EB3224" s="501"/>
      <c r="EC3224" s="501"/>
      <c r="ED3224" s="501"/>
      <c r="EE3224" s="501"/>
      <c r="EF3224" s="501"/>
      <c r="EG3224" s="501"/>
      <c r="EH3224" s="501"/>
      <c r="EI3224" s="501"/>
      <c r="EJ3224" s="501"/>
      <c r="EK3224" s="501"/>
      <c r="EL3224" s="501"/>
      <c r="EM3224" s="501"/>
      <c r="EN3224" s="501"/>
      <c r="EO3224" s="501"/>
      <c r="EP3224" s="501"/>
      <c r="EQ3224" s="501"/>
      <c r="ER3224" s="501"/>
      <c r="ES3224" s="501"/>
      <c r="ET3224" s="501"/>
      <c r="EU3224" s="501"/>
      <c r="EV3224" s="501"/>
      <c r="EW3224" s="501"/>
      <c r="EX3224" s="501"/>
      <c r="EY3224" s="501"/>
      <c r="EZ3224" s="501"/>
      <c r="FA3224" s="501"/>
      <c r="FB3224" s="501"/>
      <c r="FC3224" s="501"/>
      <c r="FD3224" s="501"/>
      <c r="FE3224" s="501"/>
      <c r="FF3224" s="501"/>
      <c r="FG3224" s="501"/>
      <c r="FH3224" s="501"/>
      <c r="FI3224" s="501"/>
      <c r="FJ3224" s="501"/>
      <c r="FK3224" s="501"/>
      <c r="FL3224" s="501"/>
      <c r="FM3224" s="501"/>
      <c r="FN3224" s="501"/>
      <c r="FO3224" s="501"/>
      <c r="FP3224" s="501"/>
      <c r="FQ3224" s="501"/>
      <c r="FR3224" s="501"/>
      <c r="FS3224" s="501"/>
      <c r="FT3224" s="501"/>
      <c r="FU3224" s="501"/>
      <c r="FV3224" s="501"/>
      <c r="FW3224" s="501"/>
      <c r="FX3224" s="501"/>
      <c r="FY3224" s="501"/>
      <c r="FZ3224" s="501"/>
      <c r="GA3224" s="501"/>
      <c r="GB3224" s="501"/>
      <c r="GC3224" s="501"/>
      <c r="GD3224" s="501"/>
      <c r="GE3224" s="501"/>
      <c r="GF3224" s="501"/>
      <c r="GG3224" s="501"/>
      <c r="GH3224" s="501"/>
      <c r="GI3224" s="501"/>
      <c r="GJ3224" s="501"/>
      <c r="GK3224" s="501"/>
      <c r="GL3224" s="501"/>
      <c r="GM3224" s="501"/>
      <c r="GN3224" s="501"/>
      <c r="GO3224" s="501"/>
      <c r="GP3224" s="501"/>
      <c r="GQ3224" s="501"/>
      <c r="GR3224" s="501"/>
      <c r="GS3224" s="501"/>
      <c r="GT3224" s="501"/>
      <c r="GU3224" s="501"/>
      <c r="GV3224" s="501"/>
      <c r="GW3224" s="501"/>
      <c r="GX3224" s="501"/>
      <c r="GY3224" s="501"/>
      <c r="GZ3224" s="501"/>
      <c r="HA3224" s="501"/>
      <c r="HB3224" s="501"/>
      <c r="HC3224" s="501"/>
      <c r="HD3224" s="501"/>
      <c r="HE3224" s="501"/>
      <c r="HF3224" s="501"/>
      <c r="HG3224" s="501"/>
      <c r="HH3224" s="501"/>
      <c r="HI3224" s="501"/>
      <c r="HJ3224" s="501"/>
      <c r="HK3224" s="501"/>
      <c r="HL3224" s="501"/>
      <c r="HM3224" s="501"/>
      <c r="HN3224" s="501"/>
      <c r="HO3224" s="501"/>
      <c r="HP3224" s="501"/>
      <c r="HQ3224" s="501"/>
      <c r="HR3224" s="501"/>
      <c r="HS3224" s="501"/>
      <c r="HT3224" s="501"/>
      <c r="HU3224" s="501"/>
      <c r="HV3224" s="501"/>
      <c r="HW3224" s="501"/>
      <c r="HX3224" s="501"/>
      <c r="HY3224" s="501"/>
      <c r="HZ3224" s="501"/>
      <c r="IA3224" s="501"/>
      <c r="IB3224" s="501"/>
      <c r="IC3224" s="501"/>
      <c r="ID3224" s="501"/>
      <c r="IE3224" s="501"/>
      <c r="IF3224" s="501"/>
      <c r="IG3224" s="501"/>
      <c r="IH3224" s="501"/>
      <c r="II3224" s="501"/>
      <c r="IJ3224" s="501"/>
      <c r="IK3224" s="501"/>
      <c r="IL3224" s="501"/>
      <c r="IM3224" s="501"/>
      <c r="IN3224" s="501"/>
      <c r="IO3224" s="501"/>
      <c r="IP3224" s="501"/>
      <c r="IQ3224" s="501"/>
      <c r="IR3224" s="501"/>
      <c r="IS3224" s="501"/>
      <c r="IT3224" s="501"/>
      <c r="IU3224" s="501"/>
    </row>
    <row r="3225" spans="1:255" s="877" customFormat="1" ht="24" customHeight="1">
      <c r="A3225" s="501"/>
      <c r="B3225" s="501"/>
      <c r="C3225" s="501"/>
      <c r="D3225" s="501"/>
      <c r="E3225" s="501"/>
      <c r="F3225" s="501"/>
      <c r="G3225" s="915"/>
      <c r="H3225" s="501"/>
      <c r="I3225" s="874"/>
      <c r="J3225" s="501"/>
      <c r="K3225" s="501"/>
      <c r="L3225" s="878"/>
      <c r="M3225" s="554"/>
      <c r="N3225" s="501"/>
      <c r="O3225" s="968"/>
      <c r="P3225" s="1152"/>
      <c r="Q3225" s="973"/>
      <c r="R3225" s="968"/>
      <c r="S3225" s="974"/>
      <c r="T3225" s="968"/>
      <c r="V3225" s="501"/>
      <c r="W3225" s="501"/>
      <c r="X3225" s="501"/>
      <c r="Y3225" s="501"/>
      <c r="Z3225" s="501"/>
      <c r="AA3225" s="501"/>
      <c r="AB3225" s="501"/>
      <c r="AC3225" s="501"/>
      <c r="AD3225" s="501"/>
      <c r="AE3225" s="501"/>
      <c r="AF3225" s="501"/>
      <c r="AG3225" s="501"/>
      <c r="AH3225" s="501"/>
      <c r="AI3225" s="501"/>
      <c r="AJ3225" s="501"/>
      <c r="AK3225" s="501"/>
      <c r="AL3225" s="501"/>
      <c r="AM3225" s="501"/>
      <c r="AN3225" s="501"/>
      <c r="AO3225" s="501"/>
      <c r="AP3225" s="501"/>
      <c r="AQ3225" s="501"/>
      <c r="AR3225" s="501"/>
      <c r="AS3225" s="501"/>
      <c r="AT3225" s="501"/>
      <c r="AU3225" s="501"/>
      <c r="AV3225" s="501"/>
      <c r="AW3225" s="501"/>
      <c r="AX3225" s="501"/>
      <c r="AY3225" s="501"/>
      <c r="AZ3225" s="501"/>
      <c r="BA3225" s="501"/>
      <c r="BB3225" s="501"/>
      <c r="BC3225" s="501"/>
      <c r="BD3225" s="501"/>
      <c r="BE3225" s="501"/>
      <c r="BF3225" s="501"/>
      <c r="BG3225" s="501"/>
      <c r="BH3225" s="501"/>
      <c r="BI3225" s="501"/>
      <c r="BJ3225" s="501"/>
      <c r="BK3225" s="501"/>
      <c r="BL3225" s="501"/>
      <c r="BM3225" s="501"/>
      <c r="BN3225" s="501"/>
      <c r="BO3225" s="501"/>
      <c r="BP3225" s="501"/>
      <c r="BQ3225" s="501"/>
      <c r="BR3225" s="501"/>
      <c r="BS3225" s="501"/>
      <c r="BT3225" s="501"/>
      <c r="BU3225" s="501"/>
      <c r="BV3225" s="501"/>
      <c r="BW3225" s="501"/>
      <c r="BX3225" s="501"/>
      <c r="BY3225" s="501"/>
      <c r="BZ3225" s="501"/>
      <c r="CA3225" s="501"/>
      <c r="CB3225" s="501"/>
      <c r="CC3225" s="501"/>
      <c r="CD3225" s="501"/>
      <c r="CE3225" s="501"/>
      <c r="CF3225" s="501"/>
      <c r="CG3225" s="501"/>
      <c r="CH3225" s="501"/>
      <c r="CI3225" s="501"/>
      <c r="CJ3225" s="501"/>
      <c r="CK3225" s="501"/>
      <c r="CL3225" s="501"/>
      <c r="CM3225" s="501"/>
      <c r="CN3225" s="501"/>
      <c r="CO3225" s="501"/>
      <c r="CP3225" s="501"/>
      <c r="CQ3225" s="501"/>
      <c r="CR3225" s="501"/>
      <c r="CS3225" s="501"/>
      <c r="CT3225" s="501"/>
      <c r="CU3225" s="501"/>
      <c r="CV3225" s="501"/>
      <c r="CW3225" s="501"/>
      <c r="CX3225" s="501"/>
      <c r="CY3225" s="501"/>
      <c r="CZ3225" s="501"/>
      <c r="DA3225" s="501"/>
      <c r="DB3225" s="501"/>
      <c r="DC3225" s="501"/>
      <c r="DD3225" s="501"/>
      <c r="DE3225" s="501"/>
      <c r="DF3225" s="501"/>
      <c r="DG3225" s="501"/>
      <c r="DH3225" s="501"/>
      <c r="DI3225" s="501"/>
      <c r="DJ3225" s="501"/>
      <c r="DK3225" s="501"/>
      <c r="DL3225" s="501"/>
      <c r="DM3225" s="501"/>
      <c r="DN3225" s="501"/>
      <c r="DO3225" s="501"/>
      <c r="DP3225" s="501"/>
      <c r="DQ3225" s="501"/>
      <c r="DR3225" s="501"/>
      <c r="DS3225" s="501"/>
      <c r="DT3225" s="501"/>
      <c r="DU3225" s="501"/>
      <c r="DV3225" s="501"/>
      <c r="DW3225" s="501"/>
      <c r="DX3225" s="501"/>
      <c r="DY3225" s="501"/>
      <c r="DZ3225" s="501"/>
      <c r="EA3225" s="501"/>
      <c r="EB3225" s="501"/>
      <c r="EC3225" s="501"/>
      <c r="ED3225" s="501"/>
      <c r="EE3225" s="501"/>
      <c r="EF3225" s="501"/>
      <c r="EG3225" s="501"/>
      <c r="EH3225" s="501"/>
      <c r="EI3225" s="501"/>
      <c r="EJ3225" s="501"/>
      <c r="EK3225" s="501"/>
      <c r="EL3225" s="501"/>
      <c r="EM3225" s="501"/>
      <c r="EN3225" s="501"/>
      <c r="EO3225" s="501"/>
      <c r="EP3225" s="501"/>
      <c r="EQ3225" s="501"/>
      <c r="ER3225" s="501"/>
      <c r="ES3225" s="501"/>
      <c r="ET3225" s="501"/>
      <c r="EU3225" s="501"/>
      <c r="EV3225" s="501"/>
      <c r="EW3225" s="501"/>
      <c r="EX3225" s="501"/>
      <c r="EY3225" s="501"/>
      <c r="EZ3225" s="501"/>
      <c r="FA3225" s="501"/>
      <c r="FB3225" s="501"/>
      <c r="FC3225" s="501"/>
      <c r="FD3225" s="501"/>
      <c r="FE3225" s="501"/>
      <c r="FF3225" s="501"/>
      <c r="FG3225" s="501"/>
      <c r="FH3225" s="501"/>
      <c r="FI3225" s="501"/>
      <c r="FJ3225" s="501"/>
      <c r="FK3225" s="501"/>
      <c r="FL3225" s="501"/>
      <c r="FM3225" s="501"/>
      <c r="FN3225" s="501"/>
      <c r="FO3225" s="501"/>
      <c r="FP3225" s="501"/>
      <c r="FQ3225" s="501"/>
      <c r="FR3225" s="501"/>
      <c r="FS3225" s="501"/>
      <c r="FT3225" s="501"/>
      <c r="FU3225" s="501"/>
      <c r="FV3225" s="501"/>
      <c r="FW3225" s="501"/>
      <c r="FX3225" s="501"/>
      <c r="FY3225" s="501"/>
      <c r="FZ3225" s="501"/>
      <c r="GA3225" s="501"/>
      <c r="GB3225" s="501"/>
      <c r="GC3225" s="501"/>
      <c r="GD3225" s="501"/>
      <c r="GE3225" s="501"/>
      <c r="GF3225" s="501"/>
      <c r="GG3225" s="501"/>
      <c r="GH3225" s="501"/>
      <c r="GI3225" s="501"/>
      <c r="GJ3225" s="501"/>
      <c r="GK3225" s="501"/>
      <c r="GL3225" s="501"/>
      <c r="GM3225" s="501"/>
      <c r="GN3225" s="501"/>
      <c r="GO3225" s="501"/>
      <c r="GP3225" s="501"/>
      <c r="GQ3225" s="501"/>
      <c r="GR3225" s="501"/>
      <c r="GS3225" s="501"/>
      <c r="GT3225" s="501"/>
      <c r="GU3225" s="501"/>
      <c r="GV3225" s="501"/>
      <c r="GW3225" s="501"/>
      <c r="GX3225" s="501"/>
      <c r="GY3225" s="501"/>
      <c r="GZ3225" s="501"/>
      <c r="HA3225" s="501"/>
      <c r="HB3225" s="501"/>
      <c r="HC3225" s="501"/>
      <c r="HD3225" s="501"/>
      <c r="HE3225" s="501"/>
      <c r="HF3225" s="501"/>
      <c r="HG3225" s="501"/>
      <c r="HH3225" s="501"/>
      <c r="HI3225" s="501"/>
      <c r="HJ3225" s="501"/>
      <c r="HK3225" s="501"/>
      <c r="HL3225" s="501"/>
      <c r="HM3225" s="501"/>
      <c r="HN3225" s="501"/>
      <c r="HO3225" s="501"/>
      <c r="HP3225" s="501"/>
      <c r="HQ3225" s="501"/>
      <c r="HR3225" s="501"/>
      <c r="HS3225" s="501"/>
      <c r="HT3225" s="501"/>
      <c r="HU3225" s="501"/>
      <c r="HV3225" s="501"/>
      <c r="HW3225" s="501"/>
      <c r="HX3225" s="501"/>
      <c r="HY3225" s="501"/>
      <c r="HZ3225" s="501"/>
      <c r="IA3225" s="501"/>
      <c r="IB3225" s="501"/>
      <c r="IC3225" s="501"/>
      <c r="ID3225" s="501"/>
      <c r="IE3225" s="501"/>
      <c r="IF3225" s="501"/>
      <c r="IG3225" s="501"/>
      <c r="IH3225" s="501"/>
      <c r="II3225" s="501"/>
      <c r="IJ3225" s="501"/>
      <c r="IK3225" s="501"/>
      <c r="IL3225" s="501"/>
      <c r="IM3225" s="501"/>
      <c r="IN3225" s="501"/>
      <c r="IO3225" s="501"/>
      <c r="IP3225" s="501"/>
      <c r="IQ3225" s="501"/>
      <c r="IR3225" s="501"/>
      <c r="IS3225" s="501"/>
      <c r="IT3225" s="501"/>
      <c r="IU3225" s="501"/>
    </row>
    <row r="3226" spans="1:255" ht="24" customHeight="1">
      <c r="L3226" s="878"/>
      <c r="O3226" s="968"/>
      <c r="P3226" s="1152"/>
      <c r="Q3226" s="973"/>
      <c r="R3226" s="968"/>
      <c r="S3226" s="974"/>
      <c r="T3226" s="968"/>
    </row>
    <row r="3227" spans="1:255" ht="24" customHeight="1">
      <c r="L3227" s="878"/>
      <c r="O3227" s="968"/>
      <c r="P3227" s="1152"/>
      <c r="Q3227" s="973"/>
      <c r="R3227" s="968"/>
      <c r="S3227" s="974"/>
      <c r="T3227" s="968"/>
    </row>
    <row r="3228" spans="1:255" ht="24" customHeight="1">
      <c r="L3228" s="878"/>
      <c r="O3228" s="968"/>
      <c r="P3228" s="1152"/>
      <c r="Q3228" s="1097"/>
      <c r="R3228" s="1097"/>
      <c r="S3228" s="974"/>
      <c r="T3228" s="968"/>
    </row>
    <row r="3229" spans="1:255" ht="24" customHeight="1">
      <c r="L3229" s="878"/>
      <c r="O3229" s="1097"/>
      <c r="P3229" s="1151"/>
      <c r="Q3229" s="1097"/>
      <c r="R3229" s="1097"/>
      <c r="S3229" s="1101"/>
      <c r="T3229" s="1106"/>
    </row>
    <row r="3230" spans="1:255" ht="24" customHeight="1">
      <c r="L3230" s="878"/>
      <c r="O3230" s="1097"/>
      <c r="P3230" s="1151"/>
      <c r="Q3230" s="973"/>
      <c r="R3230" s="1097"/>
      <c r="S3230" s="1101"/>
      <c r="T3230" s="968"/>
    </row>
    <row r="3231" spans="1:255" ht="24" customHeight="1">
      <c r="L3231" s="878"/>
      <c r="O3231" s="1097"/>
      <c r="P3231" s="1151"/>
      <c r="Q3231" s="1097"/>
      <c r="R3231" s="1097"/>
      <c r="S3231" s="1101"/>
      <c r="T3231" s="1106"/>
    </row>
    <row r="3232" spans="1:255" ht="24" customHeight="1">
      <c r="L3232" s="878"/>
      <c r="O3232" s="1097"/>
      <c r="P3232" s="1151"/>
      <c r="Q3232" s="1112"/>
      <c r="R3232" s="1097"/>
      <c r="S3232" s="1103"/>
      <c r="T3232" s="1193"/>
    </row>
    <row r="3233" spans="6:21" ht="24" customHeight="1">
      <c r="L3233" s="878"/>
      <c r="O3233" s="974"/>
      <c r="P3233" s="1152"/>
      <c r="Q3233" s="973"/>
      <c r="R3233" s="1097"/>
      <c r="S3233" s="1101"/>
      <c r="T3233" s="1097"/>
    </row>
    <row r="3234" spans="6:21" ht="24" customHeight="1">
      <c r="L3234" s="878"/>
      <c r="O3234" s="1097"/>
      <c r="P3234" s="1151"/>
      <c r="Q3234" s="973"/>
      <c r="R3234" s="1097"/>
      <c r="S3234" s="1101"/>
      <c r="T3234" s="1097"/>
    </row>
    <row r="3235" spans="6:21" ht="24" customHeight="1">
      <c r="L3235" s="902"/>
      <c r="O3235" s="1097"/>
      <c r="P3235" s="1151"/>
      <c r="Q3235" s="1184"/>
      <c r="R3235" s="1097"/>
      <c r="S3235" s="1101"/>
      <c r="T3235" s="1097"/>
    </row>
    <row r="3236" spans="6:21" ht="24" customHeight="1">
      <c r="L3236" s="902"/>
      <c r="O3236" s="1097"/>
      <c r="P3236" s="1151"/>
      <c r="Q3236" s="1106"/>
      <c r="R3236" s="1097"/>
      <c r="S3236" s="1101"/>
      <c r="T3236" s="1097"/>
    </row>
    <row r="3237" spans="6:21" ht="30" customHeight="1">
      <c r="J3237" s="876"/>
      <c r="L3237" s="902"/>
      <c r="O3237" s="1097"/>
      <c r="P3237" s="1151"/>
      <c r="Q3237" s="973"/>
      <c r="R3237" s="1102"/>
      <c r="S3237" s="1185"/>
      <c r="T3237" s="1097"/>
    </row>
    <row r="3238" spans="6:21" ht="30" customHeight="1">
      <c r="J3238" s="876"/>
      <c r="L3238" s="878"/>
      <c r="O3238" s="1097"/>
      <c r="P3238" s="1151"/>
      <c r="Q3238" s="973"/>
      <c r="R3238" s="1102"/>
      <c r="S3238" s="1185"/>
      <c r="T3238" s="1097"/>
    </row>
    <row r="3239" spans="6:21" ht="30" customHeight="1">
      <c r="L3239" s="878"/>
      <c r="O3239" s="1097"/>
      <c r="P3239" s="1151"/>
      <c r="Q3239" s="973"/>
      <c r="R3239" s="1102"/>
      <c r="S3239" s="1186"/>
      <c r="T3239" s="1097"/>
    </row>
    <row r="3240" spans="6:21" ht="30" customHeight="1">
      <c r="L3240" s="878"/>
      <c r="O3240" s="1097"/>
      <c r="P3240" s="1151"/>
      <c r="Q3240" s="973"/>
      <c r="S3240" s="554"/>
      <c r="T3240" s="1097"/>
    </row>
    <row r="3241" spans="6:21" ht="30" customHeight="1">
      <c r="L3241" s="878"/>
      <c r="O3241" s="1097"/>
      <c r="P3241" s="1151"/>
      <c r="Q3241" s="973"/>
      <c r="R3241" s="1102"/>
      <c r="S3241" s="1195"/>
      <c r="T3241" s="1097"/>
      <c r="U3241" s="1196"/>
    </row>
    <row r="3242" spans="6:21" ht="30" customHeight="1">
      <c r="L3242" s="501"/>
      <c r="O3242" s="1097"/>
      <c r="P3242" s="1151"/>
      <c r="Q3242" s="973"/>
      <c r="R3242" s="1102"/>
      <c r="S3242" s="1195"/>
      <c r="T3242" s="1157"/>
      <c r="U3242" s="1196"/>
    </row>
    <row r="3243" spans="6:21" ht="30" customHeight="1">
      <c r="J3243" s="876"/>
      <c r="L3243" s="501"/>
      <c r="O3243" s="1097"/>
      <c r="P3243" s="1151"/>
      <c r="Q3243" s="1097"/>
      <c r="R3243" s="1097"/>
      <c r="S3243" s="1106"/>
      <c r="U3243" s="1196"/>
    </row>
    <row r="3244" spans="6:21" ht="30" customHeight="1">
      <c r="J3244" s="876"/>
      <c r="L3244" s="501"/>
      <c r="O3244" s="1097"/>
      <c r="P3244" s="1151"/>
      <c r="Q3244" s="1097"/>
      <c r="R3244" s="1097"/>
      <c r="S3244" s="1188"/>
      <c r="U3244" s="1196"/>
    </row>
    <row r="3245" spans="6:21" ht="30" customHeight="1">
      <c r="L3245" s="501"/>
      <c r="O3245" s="1097"/>
      <c r="P3245" s="1151"/>
      <c r="Q3245" s="1097"/>
      <c r="R3245" s="1097"/>
      <c r="S3245" s="1106"/>
      <c r="U3245" s="1196"/>
    </row>
    <row r="3246" spans="6:21" ht="30" customHeight="1">
      <c r="F3246" s="545"/>
      <c r="G3246" s="889"/>
      <c r="H3246" s="545"/>
      <c r="I3246" s="876"/>
      <c r="J3246" s="876"/>
      <c r="K3246" s="545"/>
      <c r="L3246" s="880"/>
      <c r="M3246" s="882"/>
      <c r="O3246" s="1097"/>
      <c r="P3246" s="1151"/>
      <c r="Q3246" s="973"/>
      <c r="R3246" s="1097"/>
      <c r="S3246" s="1189"/>
      <c r="T3246" s="1157"/>
      <c r="U3246" s="1196"/>
    </row>
    <row r="3247" spans="6:21" ht="30" customHeight="1">
      <c r="F3247" s="545"/>
      <c r="G3247" s="889"/>
      <c r="H3247" s="545"/>
      <c r="I3247" s="876"/>
      <c r="J3247" s="876"/>
      <c r="K3247" s="545"/>
      <c r="L3247" s="880"/>
      <c r="M3247" s="882"/>
      <c r="O3247" s="1097"/>
      <c r="P3247" s="1151"/>
      <c r="Q3247" s="973"/>
      <c r="R3247" s="1097"/>
      <c r="S3247" s="1190"/>
      <c r="T3247" s="1157"/>
      <c r="U3247" s="1196"/>
    </row>
    <row r="3248" spans="6:21" ht="30" customHeight="1">
      <c r="F3248" s="545"/>
      <c r="G3248" s="889"/>
      <c r="H3248" s="545"/>
      <c r="I3248" s="876"/>
      <c r="J3248" s="876"/>
      <c r="K3248" s="545"/>
      <c r="L3248" s="880"/>
      <c r="M3248" s="882"/>
      <c r="O3248" s="1097"/>
      <c r="P3248" s="1151"/>
      <c r="Q3248" s="973"/>
      <c r="R3248" s="1097"/>
      <c r="S3248" s="1106"/>
      <c r="T3248" s="1157"/>
      <c r="U3248" s="1196"/>
    </row>
    <row r="3249" spans="1:255" ht="30" customHeight="1">
      <c r="F3249" s="545"/>
      <c r="G3249" s="889"/>
      <c r="H3249" s="545"/>
      <c r="I3249" s="876"/>
      <c r="J3249" s="876"/>
      <c r="K3249" s="545"/>
      <c r="L3249" s="880"/>
      <c r="M3249" s="882"/>
      <c r="O3249" s="1097"/>
      <c r="P3249" s="1151"/>
      <c r="Q3249" s="973"/>
      <c r="R3249" s="1097"/>
      <c r="S3249" s="1191"/>
      <c r="T3249" s="1157"/>
      <c r="U3249" s="1196"/>
    </row>
    <row r="3250" spans="1:255" ht="30" customHeight="1">
      <c r="F3250" s="545"/>
      <c r="G3250" s="889"/>
      <c r="H3250" s="545"/>
      <c r="I3250" s="876"/>
      <c r="J3250" s="932"/>
      <c r="K3250" s="882"/>
      <c r="L3250" s="880"/>
      <c r="M3250" s="882"/>
      <c r="O3250" s="1097"/>
      <c r="P3250" s="1151"/>
      <c r="Q3250" s="1097"/>
      <c r="R3250" s="1097"/>
      <c r="S3250" s="1106"/>
      <c r="T3250" s="1106"/>
      <c r="U3250" s="1196"/>
    </row>
    <row r="3251" spans="1:255" ht="30" customHeight="1">
      <c r="L3251" s="878"/>
      <c r="M3251" s="882"/>
      <c r="O3251" s="1157"/>
      <c r="P3251" s="1152"/>
      <c r="Q3251" s="973"/>
      <c r="R3251" s="968"/>
      <c r="S3251" s="974"/>
      <c r="T3251" s="968"/>
      <c r="U3251" s="1196"/>
    </row>
    <row r="3252" spans="1:255" ht="30" customHeight="1">
      <c r="J3252" s="876"/>
      <c r="L3252" s="878"/>
      <c r="M3252" s="882"/>
      <c r="O3252" s="1157"/>
      <c r="P3252" s="1152"/>
      <c r="Q3252" s="973"/>
      <c r="R3252" s="968"/>
      <c r="S3252" s="974"/>
      <c r="T3252" s="968"/>
      <c r="U3252" s="1196"/>
    </row>
    <row r="3253" spans="1:255" ht="30" customHeight="1">
      <c r="L3253" s="878"/>
      <c r="M3253" s="882"/>
      <c r="O3253" s="1157"/>
      <c r="P3253" s="1152"/>
      <c r="Q3253" s="1192"/>
      <c r="R3253" s="968"/>
      <c r="S3253" s="974"/>
      <c r="T3253" s="968"/>
      <c r="U3253" s="1196"/>
    </row>
    <row r="3254" spans="1:255" ht="30" customHeight="1">
      <c r="J3254" s="876"/>
      <c r="L3254" s="878"/>
      <c r="M3254" s="882"/>
      <c r="O3254" s="1159"/>
      <c r="P3254" s="1151"/>
      <c r="Q3254" s="973"/>
      <c r="R3254" s="968"/>
      <c r="S3254" s="1101"/>
      <c r="T3254" s="968"/>
      <c r="U3254" s="1196"/>
    </row>
    <row r="3255" spans="1:255" ht="24" customHeight="1">
      <c r="L3255" s="878"/>
      <c r="M3255" s="882"/>
      <c r="O3255" s="1159"/>
      <c r="P3255" s="1152"/>
      <c r="Q3255" s="973"/>
      <c r="R3255" s="968"/>
      <c r="S3255" s="974"/>
      <c r="T3255" s="968"/>
      <c r="U3255" s="1196"/>
    </row>
    <row r="3256" spans="1:255" ht="24" customHeight="1">
      <c r="L3256" s="501"/>
      <c r="O3256" s="968"/>
      <c r="P3256" s="1152"/>
      <c r="Q3256" s="973"/>
      <c r="R3256" s="968"/>
      <c r="S3256" s="974"/>
      <c r="T3256" s="968"/>
      <c r="U3256" s="1196"/>
    </row>
    <row r="3257" spans="1:255" ht="24" customHeight="1">
      <c r="L3257" s="501"/>
      <c r="O3257" s="968"/>
      <c r="P3257" s="1152"/>
      <c r="Q3257" s="973"/>
      <c r="R3257" s="968"/>
      <c r="S3257" s="974"/>
      <c r="T3257" s="968"/>
    </row>
    <row r="3258" spans="1:255" s="877" customFormat="1" ht="24" customHeight="1">
      <c r="A3258" s="501"/>
      <c r="B3258" s="501"/>
      <c r="C3258" s="501"/>
      <c r="D3258" s="501"/>
      <c r="E3258" s="501"/>
      <c r="F3258" s="880"/>
      <c r="G3258" s="918"/>
      <c r="H3258" s="880"/>
      <c r="I3258" s="876"/>
      <c r="J3258" s="880"/>
      <c r="K3258" s="501"/>
      <c r="L3258" s="878"/>
      <c r="M3258" s="554"/>
      <c r="N3258" s="501"/>
      <c r="O3258" s="968"/>
      <c r="P3258" s="1152"/>
      <c r="Q3258" s="973"/>
      <c r="R3258" s="968"/>
      <c r="S3258" s="974"/>
      <c r="T3258" s="968"/>
      <c r="V3258" s="501"/>
      <c r="W3258" s="501"/>
      <c r="X3258" s="501"/>
      <c r="Y3258" s="501"/>
      <c r="Z3258" s="501"/>
      <c r="AA3258" s="501"/>
      <c r="AB3258" s="501"/>
      <c r="AC3258" s="501"/>
      <c r="AD3258" s="501"/>
      <c r="AE3258" s="501"/>
      <c r="AF3258" s="501"/>
      <c r="AG3258" s="501"/>
      <c r="AH3258" s="501"/>
      <c r="AI3258" s="501"/>
      <c r="AJ3258" s="501"/>
      <c r="AK3258" s="501"/>
      <c r="AL3258" s="501"/>
      <c r="AM3258" s="501"/>
      <c r="AN3258" s="501"/>
      <c r="AO3258" s="501"/>
      <c r="AP3258" s="501"/>
      <c r="AQ3258" s="501"/>
      <c r="AR3258" s="501"/>
      <c r="AS3258" s="501"/>
      <c r="AT3258" s="501"/>
      <c r="AU3258" s="501"/>
      <c r="AV3258" s="501"/>
      <c r="AW3258" s="501"/>
      <c r="AX3258" s="501"/>
      <c r="AY3258" s="501"/>
      <c r="AZ3258" s="501"/>
      <c r="BA3258" s="501"/>
      <c r="BB3258" s="501"/>
      <c r="BC3258" s="501"/>
      <c r="BD3258" s="501"/>
      <c r="BE3258" s="501"/>
      <c r="BF3258" s="501"/>
      <c r="BG3258" s="501"/>
      <c r="BH3258" s="501"/>
      <c r="BI3258" s="501"/>
      <c r="BJ3258" s="501"/>
      <c r="BK3258" s="501"/>
      <c r="BL3258" s="501"/>
      <c r="BM3258" s="501"/>
      <c r="BN3258" s="501"/>
      <c r="BO3258" s="501"/>
      <c r="BP3258" s="501"/>
      <c r="BQ3258" s="501"/>
      <c r="BR3258" s="501"/>
      <c r="BS3258" s="501"/>
      <c r="BT3258" s="501"/>
      <c r="BU3258" s="501"/>
      <c r="BV3258" s="501"/>
      <c r="BW3258" s="501"/>
      <c r="BX3258" s="501"/>
      <c r="BY3258" s="501"/>
      <c r="BZ3258" s="501"/>
      <c r="CA3258" s="501"/>
      <c r="CB3258" s="501"/>
      <c r="CC3258" s="501"/>
      <c r="CD3258" s="501"/>
      <c r="CE3258" s="501"/>
      <c r="CF3258" s="501"/>
      <c r="CG3258" s="501"/>
      <c r="CH3258" s="501"/>
      <c r="CI3258" s="501"/>
      <c r="CJ3258" s="501"/>
      <c r="CK3258" s="501"/>
      <c r="CL3258" s="501"/>
      <c r="CM3258" s="501"/>
      <c r="CN3258" s="501"/>
      <c r="CO3258" s="501"/>
      <c r="CP3258" s="501"/>
      <c r="CQ3258" s="501"/>
      <c r="CR3258" s="501"/>
      <c r="CS3258" s="501"/>
      <c r="CT3258" s="501"/>
      <c r="CU3258" s="501"/>
      <c r="CV3258" s="501"/>
      <c r="CW3258" s="501"/>
      <c r="CX3258" s="501"/>
      <c r="CY3258" s="501"/>
      <c r="CZ3258" s="501"/>
      <c r="DA3258" s="501"/>
      <c r="DB3258" s="501"/>
      <c r="DC3258" s="501"/>
      <c r="DD3258" s="501"/>
      <c r="DE3258" s="501"/>
      <c r="DF3258" s="501"/>
      <c r="DG3258" s="501"/>
      <c r="DH3258" s="501"/>
      <c r="DI3258" s="501"/>
      <c r="DJ3258" s="501"/>
      <c r="DK3258" s="501"/>
      <c r="DL3258" s="501"/>
      <c r="DM3258" s="501"/>
      <c r="DN3258" s="501"/>
      <c r="DO3258" s="501"/>
      <c r="DP3258" s="501"/>
      <c r="DQ3258" s="501"/>
      <c r="DR3258" s="501"/>
      <c r="DS3258" s="501"/>
      <c r="DT3258" s="501"/>
      <c r="DU3258" s="501"/>
      <c r="DV3258" s="501"/>
      <c r="DW3258" s="501"/>
      <c r="DX3258" s="501"/>
      <c r="DY3258" s="501"/>
      <c r="DZ3258" s="501"/>
      <c r="EA3258" s="501"/>
      <c r="EB3258" s="501"/>
      <c r="EC3258" s="501"/>
      <c r="ED3258" s="501"/>
      <c r="EE3258" s="501"/>
      <c r="EF3258" s="501"/>
      <c r="EG3258" s="501"/>
      <c r="EH3258" s="501"/>
      <c r="EI3258" s="501"/>
      <c r="EJ3258" s="501"/>
      <c r="EK3258" s="501"/>
      <c r="EL3258" s="501"/>
      <c r="EM3258" s="501"/>
      <c r="EN3258" s="501"/>
      <c r="EO3258" s="501"/>
      <c r="EP3258" s="501"/>
      <c r="EQ3258" s="501"/>
      <c r="ER3258" s="501"/>
      <c r="ES3258" s="501"/>
      <c r="ET3258" s="501"/>
      <c r="EU3258" s="501"/>
      <c r="EV3258" s="501"/>
      <c r="EW3258" s="501"/>
      <c r="EX3258" s="501"/>
      <c r="EY3258" s="501"/>
      <c r="EZ3258" s="501"/>
      <c r="FA3258" s="501"/>
      <c r="FB3258" s="501"/>
      <c r="FC3258" s="501"/>
      <c r="FD3258" s="501"/>
      <c r="FE3258" s="501"/>
      <c r="FF3258" s="501"/>
      <c r="FG3258" s="501"/>
      <c r="FH3258" s="501"/>
      <c r="FI3258" s="501"/>
      <c r="FJ3258" s="501"/>
      <c r="FK3258" s="501"/>
      <c r="FL3258" s="501"/>
      <c r="FM3258" s="501"/>
      <c r="FN3258" s="501"/>
      <c r="FO3258" s="501"/>
      <c r="FP3258" s="501"/>
      <c r="FQ3258" s="501"/>
      <c r="FR3258" s="501"/>
      <c r="FS3258" s="501"/>
      <c r="FT3258" s="501"/>
      <c r="FU3258" s="501"/>
      <c r="FV3258" s="501"/>
      <c r="FW3258" s="501"/>
      <c r="FX3258" s="501"/>
      <c r="FY3258" s="501"/>
      <c r="FZ3258" s="501"/>
      <c r="GA3258" s="501"/>
      <c r="GB3258" s="501"/>
      <c r="GC3258" s="501"/>
      <c r="GD3258" s="501"/>
      <c r="GE3258" s="501"/>
      <c r="GF3258" s="501"/>
      <c r="GG3258" s="501"/>
      <c r="GH3258" s="501"/>
      <c r="GI3258" s="501"/>
      <c r="GJ3258" s="501"/>
      <c r="GK3258" s="501"/>
      <c r="GL3258" s="501"/>
      <c r="GM3258" s="501"/>
      <c r="GN3258" s="501"/>
      <c r="GO3258" s="501"/>
      <c r="GP3258" s="501"/>
      <c r="GQ3258" s="501"/>
      <c r="GR3258" s="501"/>
      <c r="GS3258" s="501"/>
      <c r="GT3258" s="501"/>
      <c r="GU3258" s="501"/>
      <c r="GV3258" s="501"/>
      <c r="GW3258" s="501"/>
      <c r="GX3258" s="501"/>
      <c r="GY3258" s="501"/>
      <c r="GZ3258" s="501"/>
      <c r="HA3258" s="501"/>
      <c r="HB3258" s="501"/>
      <c r="HC3258" s="501"/>
      <c r="HD3258" s="501"/>
      <c r="HE3258" s="501"/>
      <c r="HF3258" s="501"/>
      <c r="HG3258" s="501"/>
      <c r="HH3258" s="501"/>
      <c r="HI3258" s="501"/>
      <c r="HJ3258" s="501"/>
      <c r="HK3258" s="501"/>
      <c r="HL3258" s="501"/>
      <c r="HM3258" s="501"/>
      <c r="HN3258" s="501"/>
      <c r="HO3258" s="501"/>
      <c r="HP3258" s="501"/>
      <c r="HQ3258" s="501"/>
      <c r="HR3258" s="501"/>
      <c r="HS3258" s="501"/>
      <c r="HT3258" s="501"/>
      <c r="HU3258" s="501"/>
      <c r="HV3258" s="501"/>
      <c r="HW3258" s="501"/>
      <c r="HX3258" s="501"/>
      <c r="HY3258" s="501"/>
      <c r="HZ3258" s="501"/>
      <c r="IA3258" s="501"/>
      <c r="IB3258" s="501"/>
      <c r="IC3258" s="501"/>
      <c r="ID3258" s="501"/>
      <c r="IE3258" s="501"/>
      <c r="IF3258" s="501"/>
      <c r="IG3258" s="501"/>
      <c r="IH3258" s="501"/>
      <c r="II3258" s="501"/>
      <c r="IJ3258" s="501"/>
      <c r="IK3258" s="501"/>
      <c r="IL3258" s="501"/>
      <c r="IM3258" s="501"/>
      <c r="IN3258" s="501"/>
      <c r="IO3258" s="501"/>
      <c r="IP3258" s="501"/>
      <c r="IQ3258" s="501"/>
      <c r="IR3258" s="501"/>
      <c r="IS3258" s="501"/>
      <c r="IT3258" s="501"/>
      <c r="IU3258" s="501"/>
    </row>
    <row r="3259" spans="1:255" s="877" customFormat="1" ht="24" customHeight="1">
      <c r="A3259" s="501"/>
      <c r="B3259" s="501"/>
      <c r="C3259" s="501"/>
      <c r="D3259" s="501"/>
      <c r="E3259" s="501"/>
      <c r="F3259" s="501"/>
      <c r="G3259" s="915"/>
      <c r="H3259" s="501"/>
      <c r="I3259" s="874"/>
      <c r="J3259" s="880"/>
      <c r="K3259" s="501"/>
      <c r="L3259" s="878"/>
      <c r="M3259" s="554"/>
      <c r="N3259" s="501"/>
      <c r="O3259" s="968"/>
      <c r="P3259" s="1152"/>
      <c r="Q3259" s="973"/>
      <c r="R3259" s="968"/>
      <c r="S3259" s="974"/>
      <c r="T3259" s="968"/>
      <c r="V3259" s="501"/>
      <c r="W3259" s="501"/>
      <c r="X3259" s="501"/>
      <c r="Y3259" s="501"/>
      <c r="Z3259" s="501"/>
      <c r="AA3259" s="501"/>
      <c r="AB3259" s="501"/>
      <c r="AC3259" s="501"/>
      <c r="AD3259" s="501"/>
      <c r="AE3259" s="501"/>
      <c r="AF3259" s="501"/>
      <c r="AG3259" s="501"/>
      <c r="AH3259" s="501"/>
      <c r="AI3259" s="501"/>
      <c r="AJ3259" s="501"/>
      <c r="AK3259" s="501"/>
      <c r="AL3259" s="501"/>
      <c r="AM3259" s="501"/>
      <c r="AN3259" s="501"/>
      <c r="AO3259" s="501"/>
      <c r="AP3259" s="501"/>
      <c r="AQ3259" s="501"/>
      <c r="AR3259" s="501"/>
      <c r="AS3259" s="501"/>
      <c r="AT3259" s="501"/>
      <c r="AU3259" s="501"/>
      <c r="AV3259" s="501"/>
      <c r="AW3259" s="501"/>
      <c r="AX3259" s="501"/>
      <c r="AY3259" s="501"/>
      <c r="AZ3259" s="501"/>
      <c r="BA3259" s="501"/>
      <c r="BB3259" s="501"/>
      <c r="BC3259" s="501"/>
      <c r="BD3259" s="501"/>
      <c r="BE3259" s="501"/>
      <c r="BF3259" s="501"/>
      <c r="BG3259" s="501"/>
      <c r="BH3259" s="501"/>
      <c r="BI3259" s="501"/>
      <c r="BJ3259" s="501"/>
      <c r="BK3259" s="501"/>
      <c r="BL3259" s="501"/>
      <c r="BM3259" s="501"/>
      <c r="BN3259" s="501"/>
      <c r="BO3259" s="501"/>
      <c r="BP3259" s="501"/>
      <c r="BQ3259" s="501"/>
      <c r="BR3259" s="501"/>
      <c r="BS3259" s="501"/>
      <c r="BT3259" s="501"/>
      <c r="BU3259" s="501"/>
      <c r="BV3259" s="501"/>
      <c r="BW3259" s="501"/>
      <c r="BX3259" s="501"/>
      <c r="BY3259" s="501"/>
      <c r="BZ3259" s="501"/>
      <c r="CA3259" s="501"/>
      <c r="CB3259" s="501"/>
      <c r="CC3259" s="501"/>
      <c r="CD3259" s="501"/>
      <c r="CE3259" s="501"/>
      <c r="CF3259" s="501"/>
      <c r="CG3259" s="501"/>
      <c r="CH3259" s="501"/>
      <c r="CI3259" s="501"/>
      <c r="CJ3259" s="501"/>
      <c r="CK3259" s="501"/>
      <c r="CL3259" s="501"/>
      <c r="CM3259" s="501"/>
      <c r="CN3259" s="501"/>
      <c r="CO3259" s="501"/>
      <c r="CP3259" s="501"/>
      <c r="CQ3259" s="501"/>
      <c r="CR3259" s="501"/>
      <c r="CS3259" s="501"/>
      <c r="CT3259" s="501"/>
      <c r="CU3259" s="501"/>
      <c r="CV3259" s="501"/>
      <c r="CW3259" s="501"/>
      <c r="CX3259" s="501"/>
      <c r="CY3259" s="501"/>
      <c r="CZ3259" s="501"/>
      <c r="DA3259" s="501"/>
      <c r="DB3259" s="501"/>
      <c r="DC3259" s="501"/>
      <c r="DD3259" s="501"/>
      <c r="DE3259" s="501"/>
      <c r="DF3259" s="501"/>
      <c r="DG3259" s="501"/>
      <c r="DH3259" s="501"/>
      <c r="DI3259" s="501"/>
      <c r="DJ3259" s="501"/>
      <c r="DK3259" s="501"/>
      <c r="DL3259" s="501"/>
      <c r="DM3259" s="501"/>
      <c r="DN3259" s="501"/>
      <c r="DO3259" s="501"/>
      <c r="DP3259" s="501"/>
      <c r="DQ3259" s="501"/>
      <c r="DR3259" s="501"/>
      <c r="DS3259" s="501"/>
      <c r="DT3259" s="501"/>
      <c r="DU3259" s="501"/>
      <c r="DV3259" s="501"/>
      <c r="DW3259" s="501"/>
      <c r="DX3259" s="501"/>
      <c r="DY3259" s="501"/>
      <c r="DZ3259" s="501"/>
      <c r="EA3259" s="501"/>
      <c r="EB3259" s="501"/>
      <c r="EC3259" s="501"/>
      <c r="ED3259" s="501"/>
      <c r="EE3259" s="501"/>
      <c r="EF3259" s="501"/>
      <c r="EG3259" s="501"/>
      <c r="EH3259" s="501"/>
      <c r="EI3259" s="501"/>
      <c r="EJ3259" s="501"/>
      <c r="EK3259" s="501"/>
      <c r="EL3259" s="501"/>
      <c r="EM3259" s="501"/>
      <c r="EN3259" s="501"/>
      <c r="EO3259" s="501"/>
      <c r="EP3259" s="501"/>
      <c r="EQ3259" s="501"/>
      <c r="ER3259" s="501"/>
      <c r="ES3259" s="501"/>
      <c r="ET3259" s="501"/>
      <c r="EU3259" s="501"/>
      <c r="EV3259" s="501"/>
      <c r="EW3259" s="501"/>
      <c r="EX3259" s="501"/>
      <c r="EY3259" s="501"/>
      <c r="EZ3259" s="501"/>
      <c r="FA3259" s="501"/>
      <c r="FB3259" s="501"/>
      <c r="FC3259" s="501"/>
      <c r="FD3259" s="501"/>
      <c r="FE3259" s="501"/>
      <c r="FF3259" s="501"/>
      <c r="FG3259" s="501"/>
      <c r="FH3259" s="501"/>
      <c r="FI3259" s="501"/>
      <c r="FJ3259" s="501"/>
      <c r="FK3259" s="501"/>
      <c r="FL3259" s="501"/>
      <c r="FM3259" s="501"/>
      <c r="FN3259" s="501"/>
      <c r="FO3259" s="501"/>
      <c r="FP3259" s="501"/>
      <c r="FQ3259" s="501"/>
      <c r="FR3259" s="501"/>
      <c r="FS3259" s="501"/>
      <c r="FT3259" s="501"/>
      <c r="FU3259" s="501"/>
      <c r="FV3259" s="501"/>
      <c r="FW3259" s="501"/>
      <c r="FX3259" s="501"/>
      <c r="FY3259" s="501"/>
      <c r="FZ3259" s="501"/>
      <c r="GA3259" s="501"/>
      <c r="GB3259" s="501"/>
      <c r="GC3259" s="501"/>
      <c r="GD3259" s="501"/>
      <c r="GE3259" s="501"/>
      <c r="GF3259" s="501"/>
      <c r="GG3259" s="501"/>
      <c r="GH3259" s="501"/>
      <c r="GI3259" s="501"/>
      <c r="GJ3259" s="501"/>
      <c r="GK3259" s="501"/>
      <c r="GL3259" s="501"/>
      <c r="GM3259" s="501"/>
      <c r="GN3259" s="501"/>
      <c r="GO3259" s="501"/>
      <c r="GP3259" s="501"/>
      <c r="GQ3259" s="501"/>
      <c r="GR3259" s="501"/>
      <c r="GS3259" s="501"/>
      <c r="GT3259" s="501"/>
      <c r="GU3259" s="501"/>
      <c r="GV3259" s="501"/>
      <c r="GW3259" s="501"/>
      <c r="GX3259" s="501"/>
      <c r="GY3259" s="501"/>
      <c r="GZ3259" s="501"/>
      <c r="HA3259" s="501"/>
      <c r="HB3259" s="501"/>
      <c r="HC3259" s="501"/>
      <c r="HD3259" s="501"/>
      <c r="HE3259" s="501"/>
      <c r="HF3259" s="501"/>
      <c r="HG3259" s="501"/>
      <c r="HH3259" s="501"/>
      <c r="HI3259" s="501"/>
      <c r="HJ3259" s="501"/>
      <c r="HK3259" s="501"/>
      <c r="HL3259" s="501"/>
      <c r="HM3259" s="501"/>
      <c r="HN3259" s="501"/>
      <c r="HO3259" s="501"/>
      <c r="HP3259" s="501"/>
      <c r="HQ3259" s="501"/>
      <c r="HR3259" s="501"/>
      <c r="HS3259" s="501"/>
      <c r="HT3259" s="501"/>
      <c r="HU3259" s="501"/>
      <c r="HV3259" s="501"/>
      <c r="HW3259" s="501"/>
      <c r="HX3259" s="501"/>
      <c r="HY3259" s="501"/>
      <c r="HZ3259" s="501"/>
      <c r="IA3259" s="501"/>
      <c r="IB3259" s="501"/>
      <c r="IC3259" s="501"/>
      <c r="ID3259" s="501"/>
      <c r="IE3259" s="501"/>
      <c r="IF3259" s="501"/>
      <c r="IG3259" s="501"/>
      <c r="IH3259" s="501"/>
      <c r="II3259" s="501"/>
      <c r="IJ3259" s="501"/>
      <c r="IK3259" s="501"/>
      <c r="IL3259" s="501"/>
      <c r="IM3259" s="501"/>
      <c r="IN3259" s="501"/>
      <c r="IO3259" s="501"/>
      <c r="IP3259" s="501"/>
      <c r="IQ3259" s="501"/>
      <c r="IR3259" s="501"/>
      <c r="IS3259" s="501"/>
      <c r="IT3259" s="501"/>
      <c r="IU3259" s="501"/>
    </row>
    <row r="3260" spans="1:255" s="877" customFormat="1" ht="24" customHeight="1">
      <c r="A3260" s="501"/>
      <c r="B3260" s="501"/>
      <c r="C3260" s="501"/>
      <c r="D3260" s="501"/>
      <c r="E3260" s="501"/>
      <c r="F3260" s="545"/>
      <c r="G3260" s="889"/>
      <c r="H3260" s="545"/>
      <c r="I3260" s="876"/>
      <c r="J3260" s="876"/>
      <c r="K3260" s="545"/>
      <c r="L3260" s="880"/>
      <c r="M3260" s="882"/>
      <c r="N3260" s="501"/>
      <c r="O3260" s="968"/>
      <c r="P3260" s="1152"/>
      <c r="Q3260" s="973"/>
      <c r="R3260" s="968"/>
      <c r="S3260" s="974"/>
      <c r="T3260" s="968"/>
      <c r="V3260" s="501"/>
      <c r="W3260" s="501"/>
      <c r="X3260" s="501"/>
      <c r="Y3260" s="501"/>
      <c r="Z3260" s="501"/>
      <c r="AA3260" s="501"/>
      <c r="AB3260" s="501"/>
      <c r="AC3260" s="501"/>
      <c r="AD3260" s="501"/>
      <c r="AE3260" s="501"/>
      <c r="AF3260" s="501"/>
      <c r="AG3260" s="501"/>
      <c r="AH3260" s="501"/>
      <c r="AI3260" s="501"/>
      <c r="AJ3260" s="501"/>
      <c r="AK3260" s="501"/>
      <c r="AL3260" s="501"/>
      <c r="AM3260" s="501"/>
      <c r="AN3260" s="501"/>
      <c r="AO3260" s="501"/>
      <c r="AP3260" s="501"/>
      <c r="AQ3260" s="501"/>
      <c r="AR3260" s="501"/>
      <c r="AS3260" s="501"/>
      <c r="AT3260" s="501"/>
      <c r="AU3260" s="501"/>
      <c r="AV3260" s="501"/>
      <c r="AW3260" s="501"/>
      <c r="AX3260" s="501"/>
      <c r="AY3260" s="501"/>
      <c r="AZ3260" s="501"/>
      <c r="BA3260" s="501"/>
      <c r="BB3260" s="501"/>
      <c r="BC3260" s="501"/>
      <c r="BD3260" s="501"/>
      <c r="BE3260" s="501"/>
      <c r="BF3260" s="501"/>
      <c r="BG3260" s="501"/>
      <c r="BH3260" s="501"/>
      <c r="BI3260" s="501"/>
      <c r="BJ3260" s="501"/>
      <c r="BK3260" s="501"/>
      <c r="BL3260" s="501"/>
      <c r="BM3260" s="501"/>
      <c r="BN3260" s="501"/>
      <c r="BO3260" s="501"/>
      <c r="BP3260" s="501"/>
      <c r="BQ3260" s="501"/>
      <c r="BR3260" s="501"/>
      <c r="BS3260" s="501"/>
      <c r="BT3260" s="501"/>
      <c r="BU3260" s="501"/>
      <c r="BV3260" s="501"/>
      <c r="BW3260" s="501"/>
      <c r="BX3260" s="501"/>
      <c r="BY3260" s="501"/>
      <c r="BZ3260" s="501"/>
      <c r="CA3260" s="501"/>
      <c r="CB3260" s="501"/>
      <c r="CC3260" s="501"/>
      <c r="CD3260" s="501"/>
      <c r="CE3260" s="501"/>
      <c r="CF3260" s="501"/>
      <c r="CG3260" s="501"/>
      <c r="CH3260" s="501"/>
      <c r="CI3260" s="501"/>
      <c r="CJ3260" s="501"/>
      <c r="CK3260" s="501"/>
      <c r="CL3260" s="501"/>
      <c r="CM3260" s="501"/>
      <c r="CN3260" s="501"/>
      <c r="CO3260" s="501"/>
      <c r="CP3260" s="501"/>
      <c r="CQ3260" s="501"/>
      <c r="CR3260" s="501"/>
      <c r="CS3260" s="501"/>
      <c r="CT3260" s="501"/>
      <c r="CU3260" s="501"/>
      <c r="CV3260" s="501"/>
      <c r="CW3260" s="501"/>
      <c r="CX3260" s="501"/>
      <c r="CY3260" s="501"/>
      <c r="CZ3260" s="501"/>
      <c r="DA3260" s="501"/>
      <c r="DB3260" s="501"/>
      <c r="DC3260" s="501"/>
      <c r="DD3260" s="501"/>
      <c r="DE3260" s="501"/>
      <c r="DF3260" s="501"/>
      <c r="DG3260" s="501"/>
      <c r="DH3260" s="501"/>
      <c r="DI3260" s="501"/>
      <c r="DJ3260" s="501"/>
      <c r="DK3260" s="501"/>
      <c r="DL3260" s="501"/>
      <c r="DM3260" s="501"/>
      <c r="DN3260" s="501"/>
      <c r="DO3260" s="501"/>
      <c r="DP3260" s="501"/>
      <c r="DQ3260" s="501"/>
      <c r="DR3260" s="501"/>
      <c r="DS3260" s="501"/>
      <c r="DT3260" s="501"/>
      <c r="DU3260" s="501"/>
      <c r="DV3260" s="501"/>
      <c r="DW3260" s="501"/>
      <c r="DX3260" s="501"/>
      <c r="DY3260" s="501"/>
      <c r="DZ3260" s="501"/>
      <c r="EA3260" s="501"/>
      <c r="EB3260" s="501"/>
      <c r="EC3260" s="501"/>
      <c r="ED3260" s="501"/>
      <c r="EE3260" s="501"/>
      <c r="EF3260" s="501"/>
      <c r="EG3260" s="501"/>
      <c r="EH3260" s="501"/>
      <c r="EI3260" s="501"/>
      <c r="EJ3260" s="501"/>
      <c r="EK3260" s="501"/>
      <c r="EL3260" s="501"/>
      <c r="EM3260" s="501"/>
      <c r="EN3260" s="501"/>
      <c r="EO3260" s="501"/>
      <c r="EP3260" s="501"/>
      <c r="EQ3260" s="501"/>
      <c r="ER3260" s="501"/>
      <c r="ES3260" s="501"/>
      <c r="ET3260" s="501"/>
      <c r="EU3260" s="501"/>
      <c r="EV3260" s="501"/>
      <c r="EW3260" s="501"/>
      <c r="EX3260" s="501"/>
      <c r="EY3260" s="501"/>
      <c r="EZ3260" s="501"/>
      <c r="FA3260" s="501"/>
      <c r="FB3260" s="501"/>
      <c r="FC3260" s="501"/>
      <c r="FD3260" s="501"/>
      <c r="FE3260" s="501"/>
      <c r="FF3260" s="501"/>
      <c r="FG3260" s="501"/>
      <c r="FH3260" s="501"/>
      <c r="FI3260" s="501"/>
      <c r="FJ3260" s="501"/>
      <c r="FK3260" s="501"/>
      <c r="FL3260" s="501"/>
      <c r="FM3260" s="501"/>
      <c r="FN3260" s="501"/>
      <c r="FO3260" s="501"/>
      <c r="FP3260" s="501"/>
      <c r="FQ3260" s="501"/>
      <c r="FR3260" s="501"/>
      <c r="FS3260" s="501"/>
      <c r="FT3260" s="501"/>
      <c r="FU3260" s="501"/>
      <c r="FV3260" s="501"/>
      <c r="FW3260" s="501"/>
      <c r="FX3260" s="501"/>
      <c r="FY3260" s="501"/>
      <c r="FZ3260" s="501"/>
      <c r="GA3260" s="501"/>
      <c r="GB3260" s="501"/>
      <c r="GC3260" s="501"/>
      <c r="GD3260" s="501"/>
      <c r="GE3260" s="501"/>
      <c r="GF3260" s="501"/>
      <c r="GG3260" s="501"/>
      <c r="GH3260" s="501"/>
      <c r="GI3260" s="501"/>
      <c r="GJ3260" s="501"/>
      <c r="GK3260" s="501"/>
      <c r="GL3260" s="501"/>
      <c r="GM3260" s="501"/>
      <c r="GN3260" s="501"/>
      <c r="GO3260" s="501"/>
      <c r="GP3260" s="501"/>
      <c r="GQ3260" s="501"/>
      <c r="GR3260" s="501"/>
      <c r="GS3260" s="501"/>
      <c r="GT3260" s="501"/>
      <c r="GU3260" s="501"/>
      <c r="GV3260" s="501"/>
      <c r="GW3260" s="501"/>
      <c r="GX3260" s="501"/>
      <c r="GY3260" s="501"/>
      <c r="GZ3260" s="501"/>
      <c r="HA3260" s="501"/>
      <c r="HB3260" s="501"/>
      <c r="HC3260" s="501"/>
      <c r="HD3260" s="501"/>
      <c r="HE3260" s="501"/>
      <c r="HF3260" s="501"/>
      <c r="HG3260" s="501"/>
      <c r="HH3260" s="501"/>
      <c r="HI3260" s="501"/>
      <c r="HJ3260" s="501"/>
      <c r="HK3260" s="501"/>
      <c r="HL3260" s="501"/>
      <c r="HM3260" s="501"/>
      <c r="HN3260" s="501"/>
      <c r="HO3260" s="501"/>
      <c r="HP3260" s="501"/>
      <c r="HQ3260" s="501"/>
      <c r="HR3260" s="501"/>
      <c r="HS3260" s="501"/>
      <c r="HT3260" s="501"/>
      <c r="HU3260" s="501"/>
      <c r="HV3260" s="501"/>
      <c r="HW3260" s="501"/>
      <c r="HX3260" s="501"/>
      <c r="HY3260" s="501"/>
      <c r="HZ3260" s="501"/>
      <c r="IA3260" s="501"/>
      <c r="IB3260" s="501"/>
      <c r="IC3260" s="501"/>
      <c r="ID3260" s="501"/>
      <c r="IE3260" s="501"/>
      <c r="IF3260" s="501"/>
      <c r="IG3260" s="501"/>
      <c r="IH3260" s="501"/>
      <c r="II3260" s="501"/>
      <c r="IJ3260" s="501"/>
      <c r="IK3260" s="501"/>
      <c r="IL3260" s="501"/>
      <c r="IM3260" s="501"/>
      <c r="IN3260" s="501"/>
      <c r="IO3260" s="501"/>
      <c r="IP3260" s="501"/>
      <c r="IQ3260" s="501"/>
      <c r="IR3260" s="501"/>
      <c r="IS3260" s="501"/>
      <c r="IT3260" s="501"/>
      <c r="IU3260" s="501"/>
    </row>
    <row r="3261" spans="1:255" s="877" customFormat="1" ht="24" customHeight="1">
      <c r="A3261" s="501"/>
      <c r="B3261" s="501"/>
      <c r="C3261" s="501"/>
      <c r="D3261" s="501"/>
      <c r="E3261" s="501"/>
      <c r="F3261" s="545"/>
      <c r="G3261" s="889"/>
      <c r="H3261" s="545"/>
      <c r="I3261" s="876"/>
      <c r="J3261" s="876"/>
      <c r="K3261" s="545"/>
      <c r="L3261" s="880"/>
      <c r="M3261" s="882"/>
      <c r="N3261" s="501"/>
      <c r="O3261" s="968"/>
      <c r="P3261" s="1152"/>
      <c r="Q3261" s="973"/>
      <c r="R3261" s="968"/>
      <c r="S3261" s="974"/>
      <c r="T3261" s="968"/>
      <c r="V3261" s="501"/>
      <c r="W3261" s="501"/>
      <c r="X3261" s="501"/>
      <c r="Y3261" s="501"/>
      <c r="Z3261" s="501"/>
      <c r="AA3261" s="501"/>
      <c r="AB3261" s="501"/>
      <c r="AC3261" s="501"/>
      <c r="AD3261" s="501"/>
      <c r="AE3261" s="501"/>
      <c r="AF3261" s="501"/>
      <c r="AG3261" s="501"/>
      <c r="AH3261" s="501"/>
      <c r="AI3261" s="501"/>
      <c r="AJ3261" s="501"/>
      <c r="AK3261" s="501"/>
      <c r="AL3261" s="501"/>
      <c r="AM3261" s="501"/>
      <c r="AN3261" s="501"/>
      <c r="AO3261" s="501"/>
      <c r="AP3261" s="501"/>
      <c r="AQ3261" s="501"/>
      <c r="AR3261" s="501"/>
      <c r="AS3261" s="501"/>
      <c r="AT3261" s="501"/>
      <c r="AU3261" s="501"/>
      <c r="AV3261" s="501"/>
      <c r="AW3261" s="501"/>
      <c r="AX3261" s="501"/>
      <c r="AY3261" s="501"/>
      <c r="AZ3261" s="501"/>
      <c r="BA3261" s="501"/>
      <c r="BB3261" s="501"/>
      <c r="BC3261" s="501"/>
      <c r="BD3261" s="501"/>
      <c r="BE3261" s="501"/>
      <c r="BF3261" s="501"/>
      <c r="BG3261" s="501"/>
      <c r="BH3261" s="501"/>
      <c r="BI3261" s="501"/>
      <c r="BJ3261" s="501"/>
      <c r="BK3261" s="501"/>
      <c r="BL3261" s="501"/>
      <c r="BM3261" s="501"/>
      <c r="BN3261" s="501"/>
      <c r="BO3261" s="501"/>
      <c r="BP3261" s="501"/>
      <c r="BQ3261" s="501"/>
      <c r="BR3261" s="501"/>
      <c r="BS3261" s="501"/>
      <c r="BT3261" s="501"/>
      <c r="BU3261" s="501"/>
      <c r="BV3261" s="501"/>
      <c r="BW3261" s="501"/>
      <c r="BX3261" s="501"/>
      <c r="BY3261" s="501"/>
      <c r="BZ3261" s="501"/>
      <c r="CA3261" s="501"/>
      <c r="CB3261" s="501"/>
      <c r="CC3261" s="501"/>
      <c r="CD3261" s="501"/>
      <c r="CE3261" s="501"/>
      <c r="CF3261" s="501"/>
      <c r="CG3261" s="501"/>
      <c r="CH3261" s="501"/>
      <c r="CI3261" s="501"/>
      <c r="CJ3261" s="501"/>
      <c r="CK3261" s="501"/>
      <c r="CL3261" s="501"/>
      <c r="CM3261" s="501"/>
      <c r="CN3261" s="501"/>
      <c r="CO3261" s="501"/>
      <c r="CP3261" s="501"/>
      <c r="CQ3261" s="501"/>
      <c r="CR3261" s="501"/>
      <c r="CS3261" s="501"/>
      <c r="CT3261" s="501"/>
      <c r="CU3261" s="501"/>
      <c r="CV3261" s="501"/>
      <c r="CW3261" s="501"/>
      <c r="CX3261" s="501"/>
      <c r="CY3261" s="501"/>
      <c r="CZ3261" s="501"/>
      <c r="DA3261" s="501"/>
      <c r="DB3261" s="501"/>
      <c r="DC3261" s="501"/>
      <c r="DD3261" s="501"/>
      <c r="DE3261" s="501"/>
      <c r="DF3261" s="501"/>
      <c r="DG3261" s="501"/>
      <c r="DH3261" s="501"/>
      <c r="DI3261" s="501"/>
      <c r="DJ3261" s="501"/>
      <c r="DK3261" s="501"/>
      <c r="DL3261" s="501"/>
      <c r="DM3261" s="501"/>
      <c r="DN3261" s="501"/>
      <c r="DO3261" s="501"/>
      <c r="DP3261" s="501"/>
      <c r="DQ3261" s="501"/>
      <c r="DR3261" s="501"/>
      <c r="DS3261" s="501"/>
      <c r="DT3261" s="501"/>
      <c r="DU3261" s="501"/>
      <c r="DV3261" s="501"/>
      <c r="DW3261" s="501"/>
      <c r="DX3261" s="501"/>
      <c r="DY3261" s="501"/>
      <c r="DZ3261" s="501"/>
      <c r="EA3261" s="501"/>
      <c r="EB3261" s="501"/>
      <c r="EC3261" s="501"/>
      <c r="ED3261" s="501"/>
      <c r="EE3261" s="501"/>
      <c r="EF3261" s="501"/>
      <c r="EG3261" s="501"/>
      <c r="EH3261" s="501"/>
      <c r="EI3261" s="501"/>
      <c r="EJ3261" s="501"/>
      <c r="EK3261" s="501"/>
      <c r="EL3261" s="501"/>
      <c r="EM3261" s="501"/>
      <c r="EN3261" s="501"/>
      <c r="EO3261" s="501"/>
      <c r="EP3261" s="501"/>
      <c r="EQ3261" s="501"/>
      <c r="ER3261" s="501"/>
      <c r="ES3261" s="501"/>
      <c r="ET3261" s="501"/>
      <c r="EU3261" s="501"/>
      <c r="EV3261" s="501"/>
      <c r="EW3261" s="501"/>
      <c r="EX3261" s="501"/>
      <c r="EY3261" s="501"/>
      <c r="EZ3261" s="501"/>
      <c r="FA3261" s="501"/>
      <c r="FB3261" s="501"/>
      <c r="FC3261" s="501"/>
      <c r="FD3261" s="501"/>
      <c r="FE3261" s="501"/>
      <c r="FF3261" s="501"/>
      <c r="FG3261" s="501"/>
      <c r="FH3261" s="501"/>
      <c r="FI3261" s="501"/>
      <c r="FJ3261" s="501"/>
      <c r="FK3261" s="501"/>
      <c r="FL3261" s="501"/>
      <c r="FM3261" s="501"/>
      <c r="FN3261" s="501"/>
      <c r="FO3261" s="501"/>
      <c r="FP3261" s="501"/>
      <c r="FQ3261" s="501"/>
      <c r="FR3261" s="501"/>
      <c r="FS3261" s="501"/>
      <c r="FT3261" s="501"/>
      <c r="FU3261" s="501"/>
      <c r="FV3261" s="501"/>
      <c r="FW3261" s="501"/>
      <c r="FX3261" s="501"/>
      <c r="FY3261" s="501"/>
      <c r="FZ3261" s="501"/>
      <c r="GA3261" s="501"/>
      <c r="GB3261" s="501"/>
      <c r="GC3261" s="501"/>
      <c r="GD3261" s="501"/>
      <c r="GE3261" s="501"/>
      <c r="GF3261" s="501"/>
      <c r="GG3261" s="501"/>
      <c r="GH3261" s="501"/>
      <c r="GI3261" s="501"/>
      <c r="GJ3261" s="501"/>
      <c r="GK3261" s="501"/>
      <c r="GL3261" s="501"/>
      <c r="GM3261" s="501"/>
      <c r="GN3261" s="501"/>
      <c r="GO3261" s="501"/>
      <c r="GP3261" s="501"/>
      <c r="GQ3261" s="501"/>
      <c r="GR3261" s="501"/>
      <c r="GS3261" s="501"/>
      <c r="GT3261" s="501"/>
      <c r="GU3261" s="501"/>
      <c r="GV3261" s="501"/>
      <c r="GW3261" s="501"/>
      <c r="GX3261" s="501"/>
      <c r="GY3261" s="501"/>
      <c r="GZ3261" s="501"/>
      <c r="HA3261" s="501"/>
      <c r="HB3261" s="501"/>
      <c r="HC3261" s="501"/>
      <c r="HD3261" s="501"/>
      <c r="HE3261" s="501"/>
      <c r="HF3261" s="501"/>
      <c r="HG3261" s="501"/>
      <c r="HH3261" s="501"/>
      <c r="HI3261" s="501"/>
      <c r="HJ3261" s="501"/>
      <c r="HK3261" s="501"/>
      <c r="HL3261" s="501"/>
      <c r="HM3261" s="501"/>
      <c r="HN3261" s="501"/>
      <c r="HO3261" s="501"/>
      <c r="HP3261" s="501"/>
      <c r="HQ3261" s="501"/>
      <c r="HR3261" s="501"/>
      <c r="HS3261" s="501"/>
      <c r="HT3261" s="501"/>
      <c r="HU3261" s="501"/>
      <c r="HV3261" s="501"/>
      <c r="HW3261" s="501"/>
      <c r="HX3261" s="501"/>
      <c r="HY3261" s="501"/>
      <c r="HZ3261" s="501"/>
      <c r="IA3261" s="501"/>
      <c r="IB3261" s="501"/>
      <c r="IC3261" s="501"/>
      <c r="ID3261" s="501"/>
      <c r="IE3261" s="501"/>
      <c r="IF3261" s="501"/>
      <c r="IG3261" s="501"/>
      <c r="IH3261" s="501"/>
      <c r="II3261" s="501"/>
      <c r="IJ3261" s="501"/>
      <c r="IK3261" s="501"/>
      <c r="IL3261" s="501"/>
      <c r="IM3261" s="501"/>
      <c r="IN3261" s="501"/>
      <c r="IO3261" s="501"/>
      <c r="IP3261" s="501"/>
      <c r="IQ3261" s="501"/>
      <c r="IR3261" s="501"/>
      <c r="IS3261" s="501"/>
      <c r="IT3261" s="501"/>
      <c r="IU3261" s="501"/>
    </row>
    <row r="3262" spans="1:255" s="877" customFormat="1" ht="24" customHeight="1">
      <c r="A3262" s="501"/>
      <c r="B3262" s="501"/>
      <c r="C3262" s="501"/>
      <c r="D3262" s="501"/>
      <c r="E3262" s="501"/>
      <c r="F3262" s="545"/>
      <c r="G3262" s="889"/>
      <c r="H3262" s="545"/>
      <c r="I3262" s="876"/>
      <c r="J3262" s="876"/>
      <c r="K3262" s="545"/>
      <c r="L3262" s="880"/>
      <c r="M3262" s="882"/>
      <c r="N3262" s="501"/>
      <c r="O3262" s="1097"/>
      <c r="P3262" s="1152"/>
      <c r="Q3262" s="1097"/>
      <c r="R3262" s="1097"/>
      <c r="S3262" s="1101"/>
      <c r="T3262" s="968"/>
      <c r="V3262" s="501"/>
      <c r="W3262" s="501"/>
      <c r="X3262" s="501"/>
      <c r="Y3262" s="501"/>
      <c r="Z3262" s="501"/>
      <c r="AA3262" s="501"/>
      <c r="AB3262" s="501"/>
      <c r="AC3262" s="501"/>
      <c r="AD3262" s="501"/>
      <c r="AE3262" s="501"/>
      <c r="AF3262" s="501"/>
      <c r="AG3262" s="501"/>
      <c r="AH3262" s="501"/>
      <c r="AI3262" s="501"/>
      <c r="AJ3262" s="501"/>
      <c r="AK3262" s="501"/>
      <c r="AL3262" s="501"/>
      <c r="AM3262" s="501"/>
      <c r="AN3262" s="501"/>
      <c r="AO3262" s="501"/>
      <c r="AP3262" s="501"/>
      <c r="AQ3262" s="501"/>
      <c r="AR3262" s="501"/>
      <c r="AS3262" s="501"/>
      <c r="AT3262" s="501"/>
      <c r="AU3262" s="501"/>
      <c r="AV3262" s="501"/>
      <c r="AW3262" s="501"/>
      <c r="AX3262" s="501"/>
      <c r="AY3262" s="501"/>
      <c r="AZ3262" s="501"/>
      <c r="BA3262" s="501"/>
      <c r="BB3262" s="501"/>
      <c r="BC3262" s="501"/>
      <c r="BD3262" s="501"/>
      <c r="BE3262" s="501"/>
      <c r="BF3262" s="501"/>
      <c r="BG3262" s="501"/>
      <c r="BH3262" s="501"/>
      <c r="BI3262" s="501"/>
      <c r="BJ3262" s="501"/>
      <c r="BK3262" s="501"/>
      <c r="BL3262" s="501"/>
      <c r="BM3262" s="501"/>
      <c r="BN3262" s="501"/>
      <c r="BO3262" s="501"/>
      <c r="BP3262" s="501"/>
      <c r="BQ3262" s="501"/>
      <c r="BR3262" s="501"/>
      <c r="BS3262" s="501"/>
      <c r="BT3262" s="501"/>
      <c r="BU3262" s="501"/>
      <c r="BV3262" s="501"/>
      <c r="BW3262" s="501"/>
      <c r="BX3262" s="501"/>
      <c r="BY3262" s="501"/>
      <c r="BZ3262" s="501"/>
      <c r="CA3262" s="501"/>
      <c r="CB3262" s="501"/>
      <c r="CC3262" s="501"/>
      <c r="CD3262" s="501"/>
      <c r="CE3262" s="501"/>
      <c r="CF3262" s="501"/>
      <c r="CG3262" s="501"/>
      <c r="CH3262" s="501"/>
      <c r="CI3262" s="501"/>
      <c r="CJ3262" s="501"/>
      <c r="CK3262" s="501"/>
      <c r="CL3262" s="501"/>
      <c r="CM3262" s="501"/>
      <c r="CN3262" s="501"/>
      <c r="CO3262" s="501"/>
      <c r="CP3262" s="501"/>
      <c r="CQ3262" s="501"/>
      <c r="CR3262" s="501"/>
      <c r="CS3262" s="501"/>
      <c r="CT3262" s="501"/>
      <c r="CU3262" s="501"/>
      <c r="CV3262" s="501"/>
      <c r="CW3262" s="501"/>
      <c r="CX3262" s="501"/>
      <c r="CY3262" s="501"/>
      <c r="CZ3262" s="501"/>
      <c r="DA3262" s="501"/>
      <c r="DB3262" s="501"/>
      <c r="DC3262" s="501"/>
      <c r="DD3262" s="501"/>
      <c r="DE3262" s="501"/>
      <c r="DF3262" s="501"/>
      <c r="DG3262" s="501"/>
      <c r="DH3262" s="501"/>
      <c r="DI3262" s="501"/>
      <c r="DJ3262" s="501"/>
      <c r="DK3262" s="501"/>
      <c r="DL3262" s="501"/>
      <c r="DM3262" s="501"/>
      <c r="DN3262" s="501"/>
      <c r="DO3262" s="501"/>
      <c r="DP3262" s="501"/>
      <c r="DQ3262" s="501"/>
      <c r="DR3262" s="501"/>
      <c r="DS3262" s="501"/>
      <c r="DT3262" s="501"/>
      <c r="DU3262" s="501"/>
      <c r="DV3262" s="501"/>
      <c r="DW3262" s="501"/>
      <c r="DX3262" s="501"/>
      <c r="DY3262" s="501"/>
      <c r="DZ3262" s="501"/>
      <c r="EA3262" s="501"/>
      <c r="EB3262" s="501"/>
      <c r="EC3262" s="501"/>
      <c r="ED3262" s="501"/>
      <c r="EE3262" s="501"/>
      <c r="EF3262" s="501"/>
      <c r="EG3262" s="501"/>
      <c r="EH3262" s="501"/>
      <c r="EI3262" s="501"/>
      <c r="EJ3262" s="501"/>
      <c r="EK3262" s="501"/>
      <c r="EL3262" s="501"/>
      <c r="EM3262" s="501"/>
      <c r="EN3262" s="501"/>
      <c r="EO3262" s="501"/>
      <c r="EP3262" s="501"/>
      <c r="EQ3262" s="501"/>
      <c r="ER3262" s="501"/>
      <c r="ES3262" s="501"/>
      <c r="ET3262" s="501"/>
      <c r="EU3262" s="501"/>
      <c r="EV3262" s="501"/>
      <c r="EW3262" s="501"/>
      <c r="EX3262" s="501"/>
      <c r="EY3262" s="501"/>
      <c r="EZ3262" s="501"/>
      <c r="FA3262" s="501"/>
      <c r="FB3262" s="501"/>
      <c r="FC3262" s="501"/>
      <c r="FD3262" s="501"/>
      <c r="FE3262" s="501"/>
      <c r="FF3262" s="501"/>
      <c r="FG3262" s="501"/>
      <c r="FH3262" s="501"/>
      <c r="FI3262" s="501"/>
      <c r="FJ3262" s="501"/>
      <c r="FK3262" s="501"/>
      <c r="FL3262" s="501"/>
      <c r="FM3262" s="501"/>
      <c r="FN3262" s="501"/>
      <c r="FO3262" s="501"/>
      <c r="FP3262" s="501"/>
      <c r="FQ3262" s="501"/>
      <c r="FR3262" s="501"/>
      <c r="FS3262" s="501"/>
      <c r="FT3262" s="501"/>
      <c r="FU3262" s="501"/>
      <c r="FV3262" s="501"/>
      <c r="FW3262" s="501"/>
      <c r="FX3262" s="501"/>
      <c r="FY3262" s="501"/>
      <c r="FZ3262" s="501"/>
      <c r="GA3262" s="501"/>
      <c r="GB3262" s="501"/>
      <c r="GC3262" s="501"/>
      <c r="GD3262" s="501"/>
      <c r="GE3262" s="501"/>
      <c r="GF3262" s="501"/>
      <c r="GG3262" s="501"/>
      <c r="GH3262" s="501"/>
      <c r="GI3262" s="501"/>
      <c r="GJ3262" s="501"/>
      <c r="GK3262" s="501"/>
      <c r="GL3262" s="501"/>
      <c r="GM3262" s="501"/>
      <c r="GN3262" s="501"/>
      <c r="GO3262" s="501"/>
      <c r="GP3262" s="501"/>
      <c r="GQ3262" s="501"/>
      <c r="GR3262" s="501"/>
      <c r="GS3262" s="501"/>
      <c r="GT3262" s="501"/>
      <c r="GU3262" s="501"/>
      <c r="GV3262" s="501"/>
      <c r="GW3262" s="501"/>
      <c r="GX3262" s="501"/>
      <c r="GY3262" s="501"/>
      <c r="GZ3262" s="501"/>
      <c r="HA3262" s="501"/>
      <c r="HB3262" s="501"/>
      <c r="HC3262" s="501"/>
      <c r="HD3262" s="501"/>
      <c r="HE3262" s="501"/>
      <c r="HF3262" s="501"/>
      <c r="HG3262" s="501"/>
      <c r="HH3262" s="501"/>
      <c r="HI3262" s="501"/>
      <c r="HJ3262" s="501"/>
      <c r="HK3262" s="501"/>
      <c r="HL3262" s="501"/>
      <c r="HM3262" s="501"/>
      <c r="HN3262" s="501"/>
      <c r="HO3262" s="501"/>
      <c r="HP3262" s="501"/>
      <c r="HQ3262" s="501"/>
      <c r="HR3262" s="501"/>
      <c r="HS3262" s="501"/>
      <c r="HT3262" s="501"/>
      <c r="HU3262" s="501"/>
      <c r="HV3262" s="501"/>
      <c r="HW3262" s="501"/>
      <c r="HX3262" s="501"/>
      <c r="HY3262" s="501"/>
      <c r="HZ3262" s="501"/>
      <c r="IA3262" s="501"/>
      <c r="IB3262" s="501"/>
      <c r="IC3262" s="501"/>
      <c r="ID3262" s="501"/>
      <c r="IE3262" s="501"/>
      <c r="IF3262" s="501"/>
      <c r="IG3262" s="501"/>
      <c r="IH3262" s="501"/>
      <c r="II3262" s="501"/>
      <c r="IJ3262" s="501"/>
      <c r="IK3262" s="501"/>
      <c r="IL3262" s="501"/>
      <c r="IM3262" s="501"/>
      <c r="IN3262" s="501"/>
      <c r="IO3262" s="501"/>
      <c r="IP3262" s="501"/>
      <c r="IQ3262" s="501"/>
      <c r="IR3262" s="501"/>
      <c r="IS3262" s="501"/>
      <c r="IT3262" s="501"/>
      <c r="IU3262" s="501"/>
    </row>
    <row r="3263" spans="1:255" s="877" customFormat="1" ht="24" customHeight="1">
      <c r="A3263" s="501"/>
      <c r="B3263" s="501"/>
      <c r="C3263" s="501"/>
      <c r="D3263" s="501"/>
      <c r="E3263" s="501"/>
      <c r="F3263" s="545"/>
      <c r="G3263" s="889"/>
      <c r="H3263" s="545"/>
      <c r="I3263" s="876"/>
      <c r="J3263" s="876"/>
      <c r="K3263" s="545"/>
      <c r="L3263" s="880"/>
      <c r="M3263" s="882"/>
      <c r="N3263" s="501"/>
      <c r="O3263" s="1097"/>
      <c r="P3263" s="1151"/>
      <c r="Q3263" s="1097"/>
      <c r="R3263" s="1097"/>
      <c r="S3263" s="1101"/>
      <c r="T3263" s="1106"/>
      <c r="V3263" s="501"/>
      <c r="W3263" s="501"/>
      <c r="X3263" s="501"/>
      <c r="Y3263" s="501"/>
      <c r="Z3263" s="501"/>
      <c r="AA3263" s="501"/>
      <c r="AB3263" s="501"/>
      <c r="AC3263" s="501"/>
      <c r="AD3263" s="501"/>
      <c r="AE3263" s="501"/>
      <c r="AF3263" s="501"/>
      <c r="AG3263" s="501"/>
      <c r="AH3263" s="501"/>
      <c r="AI3263" s="501"/>
      <c r="AJ3263" s="501"/>
      <c r="AK3263" s="501"/>
      <c r="AL3263" s="501"/>
      <c r="AM3263" s="501"/>
      <c r="AN3263" s="501"/>
      <c r="AO3263" s="501"/>
      <c r="AP3263" s="501"/>
      <c r="AQ3263" s="501"/>
      <c r="AR3263" s="501"/>
      <c r="AS3263" s="501"/>
      <c r="AT3263" s="501"/>
      <c r="AU3263" s="501"/>
      <c r="AV3263" s="501"/>
      <c r="AW3263" s="501"/>
      <c r="AX3263" s="501"/>
      <c r="AY3263" s="501"/>
      <c r="AZ3263" s="501"/>
      <c r="BA3263" s="501"/>
      <c r="BB3263" s="501"/>
      <c r="BC3263" s="501"/>
      <c r="BD3263" s="501"/>
      <c r="BE3263" s="501"/>
      <c r="BF3263" s="501"/>
      <c r="BG3263" s="501"/>
      <c r="BH3263" s="501"/>
      <c r="BI3263" s="501"/>
      <c r="BJ3263" s="501"/>
      <c r="BK3263" s="501"/>
      <c r="BL3263" s="501"/>
      <c r="BM3263" s="501"/>
      <c r="BN3263" s="501"/>
      <c r="BO3263" s="501"/>
      <c r="BP3263" s="501"/>
      <c r="BQ3263" s="501"/>
      <c r="BR3263" s="501"/>
      <c r="BS3263" s="501"/>
      <c r="BT3263" s="501"/>
      <c r="BU3263" s="501"/>
      <c r="BV3263" s="501"/>
      <c r="BW3263" s="501"/>
      <c r="BX3263" s="501"/>
      <c r="BY3263" s="501"/>
      <c r="BZ3263" s="501"/>
      <c r="CA3263" s="501"/>
      <c r="CB3263" s="501"/>
      <c r="CC3263" s="501"/>
      <c r="CD3263" s="501"/>
      <c r="CE3263" s="501"/>
      <c r="CF3263" s="501"/>
      <c r="CG3263" s="501"/>
      <c r="CH3263" s="501"/>
      <c r="CI3263" s="501"/>
      <c r="CJ3263" s="501"/>
      <c r="CK3263" s="501"/>
      <c r="CL3263" s="501"/>
      <c r="CM3263" s="501"/>
      <c r="CN3263" s="501"/>
      <c r="CO3263" s="501"/>
      <c r="CP3263" s="501"/>
      <c r="CQ3263" s="501"/>
      <c r="CR3263" s="501"/>
      <c r="CS3263" s="501"/>
      <c r="CT3263" s="501"/>
      <c r="CU3263" s="501"/>
      <c r="CV3263" s="501"/>
      <c r="CW3263" s="501"/>
      <c r="CX3263" s="501"/>
      <c r="CY3263" s="501"/>
      <c r="CZ3263" s="501"/>
      <c r="DA3263" s="501"/>
      <c r="DB3263" s="501"/>
      <c r="DC3263" s="501"/>
      <c r="DD3263" s="501"/>
      <c r="DE3263" s="501"/>
      <c r="DF3263" s="501"/>
      <c r="DG3263" s="501"/>
      <c r="DH3263" s="501"/>
      <c r="DI3263" s="501"/>
      <c r="DJ3263" s="501"/>
      <c r="DK3263" s="501"/>
      <c r="DL3263" s="501"/>
      <c r="DM3263" s="501"/>
      <c r="DN3263" s="501"/>
      <c r="DO3263" s="501"/>
      <c r="DP3263" s="501"/>
      <c r="DQ3263" s="501"/>
      <c r="DR3263" s="501"/>
      <c r="DS3263" s="501"/>
      <c r="DT3263" s="501"/>
      <c r="DU3263" s="501"/>
      <c r="DV3263" s="501"/>
      <c r="DW3263" s="501"/>
      <c r="DX3263" s="501"/>
      <c r="DY3263" s="501"/>
      <c r="DZ3263" s="501"/>
      <c r="EA3263" s="501"/>
      <c r="EB3263" s="501"/>
      <c r="EC3263" s="501"/>
      <c r="ED3263" s="501"/>
      <c r="EE3263" s="501"/>
      <c r="EF3263" s="501"/>
      <c r="EG3263" s="501"/>
      <c r="EH3263" s="501"/>
      <c r="EI3263" s="501"/>
      <c r="EJ3263" s="501"/>
      <c r="EK3263" s="501"/>
      <c r="EL3263" s="501"/>
      <c r="EM3263" s="501"/>
      <c r="EN3263" s="501"/>
      <c r="EO3263" s="501"/>
      <c r="EP3263" s="501"/>
      <c r="EQ3263" s="501"/>
      <c r="ER3263" s="501"/>
      <c r="ES3263" s="501"/>
      <c r="ET3263" s="501"/>
      <c r="EU3263" s="501"/>
      <c r="EV3263" s="501"/>
      <c r="EW3263" s="501"/>
      <c r="EX3263" s="501"/>
      <c r="EY3263" s="501"/>
      <c r="EZ3263" s="501"/>
      <c r="FA3263" s="501"/>
      <c r="FB3263" s="501"/>
      <c r="FC3263" s="501"/>
      <c r="FD3263" s="501"/>
      <c r="FE3263" s="501"/>
      <c r="FF3263" s="501"/>
      <c r="FG3263" s="501"/>
      <c r="FH3263" s="501"/>
      <c r="FI3263" s="501"/>
      <c r="FJ3263" s="501"/>
      <c r="FK3263" s="501"/>
      <c r="FL3263" s="501"/>
      <c r="FM3263" s="501"/>
      <c r="FN3263" s="501"/>
      <c r="FO3263" s="501"/>
      <c r="FP3263" s="501"/>
      <c r="FQ3263" s="501"/>
      <c r="FR3263" s="501"/>
      <c r="FS3263" s="501"/>
      <c r="FT3263" s="501"/>
      <c r="FU3263" s="501"/>
      <c r="FV3263" s="501"/>
      <c r="FW3263" s="501"/>
      <c r="FX3263" s="501"/>
      <c r="FY3263" s="501"/>
      <c r="FZ3263" s="501"/>
      <c r="GA3263" s="501"/>
      <c r="GB3263" s="501"/>
      <c r="GC3263" s="501"/>
      <c r="GD3263" s="501"/>
      <c r="GE3263" s="501"/>
      <c r="GF3263" s="501"/>
      <c r="GG3263" s="501"/>
      <c r="GH3263" s="501"/>
      <c r="GI3263" s="501"/>
      <c r="GJ3263" s="501"/>
      <c r="GK3263" s="501"/>
      <c r="GL3263" s="501"/>
      <c r="GM3263" s="501"/>
      <c r="GN3263" s="501"/>
      <c r="GO3263" s="501"/>
      <c r="GP3263" s="501"/>
      <c r="GQ3263" s="501"/>
      <c r="GR3263" s="501"/>
      <c r="GS3263" s="501"/>
      <c r="GT3263" s="501"/>
      <c r="GU3263" s="501"/>
      <c r="GV3263" s="501"/>
      <c r="GW3263" s="501"/>
      <c r="GX3263" s="501"/>
      <c r="GY3263" s="501"/>
      <c r="GZ3263" s="501"/>
      <c r="HA3263" s="501"/>
      <c r="HB3263" s="501"/>
      <c r="HC3263" s="501"/>
      <c r="HD3263" s="501"/>
      <c r="HE3263" s="501"/>
      <c r="HF3263" s="501"/>
      <c r="HG3263" s="501"/>
      <c r="HH3263" s="501"/>
      <c r="HI3263" s="501"/>
      <c r="HJ3263" s="501"/>
      <c r="HK3263" s="501"/>
      <c r="HL3263" s="501"/>
      <c r="HM3263" s="501"/>
      <c r="HN3263" s="501"/>
      <c r="HO3263" s="501"/>
      <c r="HP3263" s="501"/>
      <c r="HQ3263" s="501"/>
      <c r="HR3263" s="501"/>
      <c r="HS3263" s="501"/>
      <c r="HT3263" s="501"/>
      <c r="HU3263" s="501"/>
      <c r="HV3263" s="501"/>
      <c r="HW3263" s="501"/>
      <c r="HX3263" s="501"/>
      <c r="HY3263" s="501"/>
      <c r="HZ3263" s="501"/>
      <c r="IA3263" s="501"/>
      <c r="IB3263" s="501"/>
      <c r="IC3263" s="501"/>
      <c r="ID3263" s="501"/>
      <c r="IE3263" s="501"/>
      <c r="IF3263" s="501"/>
      <c r="IG3263" s="501"/>
      <c r="IH3263" s="501"/>
      <c r="II3263" s="501"/>
      <c r="IJ3263" s="501"/>
      <c r="IK3263" s="501"/>
      <c r="IL3263" s="501"/>
      <c r="IM3263" s="501"/>
      <c r="IN3263" s="501"/>
      <c r="IO3263" s="501"/>
      <c r="IP3263" s="501"/>
      <c r="IQ3263" s="501"/>
      <c r="IR3263" s="501"/>
      <c r="IS3263" s="501"/>
      <c r="IT3263" s="501"/>
      <c r="IU3263" s="501"/>
    </row>
    <row r="3264" spans="1:255" s="877" customFormat="1" ht="24" customHeight="1">
      <c r="A3264" s="501"/>
      <c r="B3264" s="501"/>
      <c r="C3264" s="501"/>
      <c r="D3264" s="501"/>
      <c r="E3264" s="501"/>
      <c r="F3264" s="501"/>
      <c r="G3264" s="915"/>
      <c r="H3264" s="501"/>
      <c r="I3264" s="876"/>
      <c r="J3264" s="876"/>
      <c r="K3264" s="501"/>
      <c r="L3264" s="880"/>
      <c r="M3264" s="882"/>
      <c r="N3264" s="501"/>
      <c r="O3264" s="1097"/>
      <c r="P3264" s="1151"/>
      <c r="Q3264" s="973"/>
      <c r="R3264" s="1097"/>
      <c r="S3264" s="1101"/>
      <c r="T3264" s="968"/>
      <c r="V3264" s="501"/>
      <c r="W3264" s="501"/>
      <c r="X3264" s="501"/>
      <c r="Y3264" s="501"/>
      <c r="Z3264" s="501"/>
      <c r="AA3264" s="501"/>
      <c r="AB3264" s="501"/>
      <c r="AC3264" s="501"/>
      <c r="AD3264" s="501"/>
      <c r="AE3264" s="501"/>
      <c r="AF3264" s="501"/>
      <c r="AG3264" s="501"/>
      <c r="AH3264" s="501"/>
      <c r="AI3264" s="501"/>
      <c r="AJ3264" s="501"/>
      <c r="AK3264" s="501"/>
      <c r="AL3264" s="501"/>
      <c r="AM3264" s="501"/>
      <c r="AN3264" s="501"/>
      <c r="AO3264" s="501"/>
      <c r="AP3264" s="501"/>
      <c r="AQ3264" s="501"/>
      <c r="AR3264" s="501"/>
      <c r="AS3264" s="501"/>
      <c r="AT3264" s="501"/>
      <c r="AU3264" s="501"/>
      <c r="AV3264" s="501"/>
      <c r="AW3264" s="501"/>
      <c r="AX3264" s="501"/>
      <c r="AY3264" s="501"/>
      <c r="AZ3264" s="501"/>
      <c r="BA3264" s="501"/>
      <c r="BB3264" s="501"/>
      <c r="BC3264" s="501"/>
      <c r="BD3264" s="501"/>
      <c r="BE3264" s="501"/>
      <c r="BF3264" s="501"/>
      <c r="BG3264" s="501"/>
      <c r="BH3264" s="501"/>
      <c r="BI3264" s="501"/>
      <c r="BJ3264" s="501"/>
      <c r="BK3264" s="501"/>
      <c r="BL3264" s="501"/>
      <c r="BM3264" s="501"/>
      <c r="BN3264" s="501"/>
      <c r="BO3264" s="501"/>
      <c r="BP3264" s="501"/>
      <c r="BQ3264" s="501"/>
      <c r="BR3264" s="501"/>
      <c r="BS3264" s="501"/>
      <c r="BT3264" s="501"/>
      <c r="BU3264" s="501"/>
      <c r="BV3264" s="501"/>
      <c r="BW3264" s="501"/>
      <c r="BX3264" s="501"/>
      <c r="BY3264" s="501"/>
      <c r="BZ3264" s="501"/>
      <c r="CA3264" s="501"/>
      <c r="CB3264" s="501"/>
      <c r="CC3264" s="501"/>
      <c r="CD3264" s="501"/>
      <c r="CE3264" s="501"/>
      <c r="CF3264" s="501"/>
      <c r="CG3264" s="501"/>
      <c r="CH3264" s="501"/>
      <c r="CI3264" s="501"/>
      <c r="CJ3264" s="501"/>
      <c r="CK3264" s="501"/>
      <c r="CL3264" s="501"/>
      <c r="CM3264" s="501"/>
      <c r="CN3264" s="501"/>
      <c r="CO3264" s="501"/>
      <c r="CP3264" s="501"/>
      <c r="CQ3264" s="501"/>
      <c r="CR3264" s="501"/>
      <c r="CS3264" s="501"/>
      <c r="CT3264" s="501"/>
      <c r="CU3264" s="501"/>
      <c r="CV3264" s="501"/>
      <c r="CW3264" s="501"/>
      <c r="CX3264" s="501"/>
      <c r="CY3264" s="501"/>
      <c r="CZ3264" s="501"/>
      <c r="DA3264" s="501"/>
      <c r="DB3264" s="501"/>
      <c r="DC3264" s="501"/>
      <c r="DD3264" s="501"/>
      <c r="DE3264" s="501"/>
      <c r="DF3264" s="501"/>
      <c r="DG3264" s="501"/>
      <c r="DH3264" s="501"/>
      <c r="DI3264" s="501"/>
      <c r="DJ3264" s="501"/>
      <c r="DK3264" s="501"/>
      <c r="DL3264" s="501"/>
      <c r="DM3264" s="501"/>
      <c r="DN3264" s="501"/>
      <c r="DO3264" s="501"/>
      <c r="DP3264" s="501"/>
      <c r="DQ3264" s="501"/>
      <c r="DR3264" s="501"/>
      <c r="DS3264" s="501"/>
      <c r="DT3264" s="501"/>
      <c r="DU3264" s="501"/>
      <c r="DV3264" s="501"/>
      <c r="DW3264" s="501"/>
      <c r="DX3264" s="501"/>
      <c r="DY3264" s="501"/>
      <c r="DZ3264" s="501"/>
      <c r="EA3264" s="501"/>
      <c r="EB3264" s="501"/>
      <c r="EC3264" s="501"/>
      <c r="ED3264" s="501"/>
      <c r="EE3264" s="501"/>
      <c r="EF3264" s="501"/>
      <c r="EG3264" s="501"/>
      <c r="EH3264" s="501"/>
      <c r="EI3264" s="501"/>
      <c r="EJ3264" s="501"/>
      <c r="EK3264" s="501"/>
      <c r="EL3264" s="501"/>
      <c r="EM3264" s="501"/>
      <c r="EN3264" s="501"/>
      <c r="EO3264" s="501"/>
      <c r="EP3264" s="501"/>
      <c r="EQ3264" s="501"/>
      <c r="ER3264" s="501"/>
      <c r="ES3264" s="501"/>
      <c r="ET3264" s="501"/>
      <c r="EU3264" s="501"/>
      <c r="EV3264" s="501"/>
      <c r="EW3264" s="501"/>
      <c r="EX3264" s="501"/>
      <c r="EY3264" s="501"/>
      <c r="EZ3264" s="501"/>
      <c r="FA3264" s="501"/>
      <c r="FB3264" s="501"/>
      <c r="FC3264" s="501"/>
      <c r="FD3264" s="501"/>
      <c r="FE3264" s="501"/>
      <c r="FF3264" s="501"/>
      <c r="FG3264" s="501"/>
      <c r="FH3264" s="501"/>
      <c r="FI3264" s="501"/>
      <c r="FJ3264" s="501"/>
      <c r="FK3264" s="501"/>
      <c r="FL3264" s="501"/>
      <c r="FM3264" s="501"/>
      <c r="FN3264" s="501"/>
      <c r="FO3264" s="501"/>
      <c r="FP3264" s="501"/>
      <c r="FQ3264" s="501"/>
      <c r="FR3264" s="501"/>
      <c r="FS3264" s="501"/>
      <c r="FT3264" s="501"/>
      <c r="FU3264" s="501"/>
      <c r="FV3264" s="501"/>
      <c r="FW3264" s="501"/>
      <c r="FX3264" s="501"/>
      <c r="FY3264" s="501"/>
      <c r="FZ3264" s="501"/>
      <c r="GA3264" s="501"/>
      <c r="GB3264" s="501"/>
      <c r="GC3264" s="501"/>
      <c r="GD3264" s="501"/>
      <c r="GE3264" s="501"/>
      <c r="GF3264" s="501"/>
      <c r="GG3264" s="501"/>
      <c r="GH3264" s="501"/>
      <c r="GI3264" s="501"/>
      <c r="GJ3264" s="501"/>
      <c r="GK3264" s="501"/>
      <c r="GL3264" s="501"/>
      <c r="GM3264" s="501"/>
      <c r="GN3264" s="501"/>
      <c r="GO3264" s="501"/>
      <c r="GP3264" s="501"/>
      <c r="GQ3264" s="501"/>
      <c r="GR3264" s="501"/>
      <c r="GS3264" s="501"/>
      <c r="GT3264" s="501"/>
      <c r="GU3264" s="501"/>
      <c r="GV3264" s="501"/>
      <c r="GW3264" s="501"/>
      <c r="GX3264" s="501"/>
      <c r="GY3264" s="501"/>
      <c r="GZ3264" s="501"/>
      <c r="HA3264" s="501"/>
      <c r="HB3264" s="501"/>
      <c r="HC3264" s="501"/>
      <c r="HD3264" s="501"/>
      <c r="HE3264" s="501"/>
      <c r="HF3264" s="501"/>
      <c r="HG3264" s="501"/>
      <c r="HH3264" s="501"/>
      <c r="HI3264" s="501"/>
      <c r="HJ3264" s="501"/>
      <c r="HK3264" s="501"/>
      <c r="HL3264" s="501"/>
      <c r="HM3264" s="501"/>
      <c r="HN3264" s="501"/>
      <c r="HO3264" s="501"/>
      <c r="HP3264" s="501"/>
      <c r="HQ3264" s="501"/>
      <c r="HR3264" s="501"/>
      <c r="HS3264" s="501"/>
      <c r="HT3264" s="501"/>
      <c r="HU3264" s="501"/>
      <c r="HV3264" s="501"/>
      <c r="HW3264" s="501"/>
      <c r="HX3264" s="501"/>
      <c r="HY3264" s="501"/>
      <c r="HZ3264" s="501"/>
      <c r="IA3264" s="501"/>
      <c r="IB3264" s="501"/>
      <c r="IC3264" s="501"/>
      <c r="ID3264" s="501"/>
      <c r="IE3264" s="501"/>
      <c r="IF3264" s="501"/>
      <c r="IG3264" s="501"/>
      <c r="IH3264" s="501"/>
      <c r="II3264" s="501"/>
      <c r="IJ3264" s="501"/>
      <c r="IK3264" s="501"/>
      <c r="IL3264" s="501"/>
      <c r="IM3264" s="501"/>
      <c r="IN3264" s="501"/>
      <c r="IO3264" s="501"/>
      <c r="IP3264" s="501"/>
      <c r="IQ3264" s="501"/>
      <c r="IR3264" s="501"/>
      <c r="IS3264" s="501"/>
      <c r="IT3264" s="501"/>
      <c r="IU3264" s="501"/>
    </row>
    <row r="3265" spans="1:255" s="877" customFormat="1" ht="24" customHeight="1">
      <c r="A3265" s="501"/>
      <c r="B3265" s="501"/>
      <c r="C3265" s="501"/>
      <c r="D3265" s="501"/>
      <c r="E3265" s="501"/>
      <c r="F3265" s="501"/>
      <c r="G3265" s="915"/>
      <c r="H3265" s="501"/>
      <c r="I3265" s="874"/>
      <c r="J3265" s="876"/>
      <c r="K3265" s="501"/>
      <c r="L3265" s="878"/>
      <c r="M3265" s="882"/>
      <c r="N3265" s="501"/>
      <c r="O3265" s="1097"/>
      <c r="P3265" s="1151"/>
      <c r="Q3265" s="1097"/>
      <c r="R3265" s="1097"/>
      <c r="S3265" s="1101"/>
      <c r="T3265" s="1106"/>
      <c r="V3265" s="501"/>
      <c r="W3265" s="501"/>
      <c r="X3265" s="501"/>
      <c r="Y3265" s="501"/>
      <c r="Z3265" s="501"/>
      <c r="AA3265" s="501"/>
      <c r="AB3265" s="501"/>
      <c r="AC3265" s="501"/>
      <c r="AD3265" s="501"/>
      <c r="AE3265" s="501"/>
      <c r="AF3265" s="501"/>
      <c r="AG3265" s="501"/>
      <c r="AH3265" s="501"/>
      <c r="AI3265" s="501"/>
      <c r="AJ3265" s="501"/>
      <c r="AK3265" s="501"/>
      <c r="AL3265" s="501"/>
      <c r="AM3265" s="501"/>
      <c r="AN3265" s="501"/>
      <c r="AO3265" s="501"/>
      <c r="AP3265" s="501"/>
      <c r="AQ3265" s="501"/>
      <c r="AR3265" s="501"/>
      <c r="AS3265" s="501"/>
      <c r="AT3265" s="501"/>
      <c r="AU3265" s="501"/>
      <c r="AV3265" s="501"/>
      <c r="AW3265" s="501"/>
      <c r="AX3265" s="501"/>
      <c r="AY3265" s="501"/>
      <c r="AZ3265" s="501"/>
      <c r="BA3265" s="501"/>
      <c r="BB3265" s="501"/>
      <c r="BC3265" s="501"/>
      <c r="BD3265" s="501"/>
      <c r="BE3265" s="501"/>
      <c r="BF3265" s="501"/>
      <c r="BG3265" s="501"/>
      <c r="BH3265" s="501"/>
      <c r="BI3265" s="501"/>
      <c r="BJ3265" s="501"/>
      <c r="BK3265" s="501"/>
      <c r="BL3265" s="501"/>
      <c r="BM3265" s="501"/>
      <c r="BN3265" s="501"/>
      <c r="BO3265" s="501"/>
      <c r="BP3265" s="501"/>
      <c r="BQ3265" s="501"/>
      <c r="BR3265" s="501"/>
      <c r="BS3265" s="501"/>
      <c r="BT3265" s="501"/>
      <c r="BU3265" s="501"/>
      <c r="BV3265" s="501"/>
      <c r="BW3265" s="501"/>
      <c r="BX3265" s="501"/>
      <c r="BY3265" s="501"/>
      <c r="BZ3265" s="501"/>
      <c r="CA3265" s="501"/>
      <c r="CB3265" s="501"/>
      <c r="CC3265" s="501"/>
      <c r="CD3265" s="501"/>
      <c r="CE3265" s="501"/>
      <c r="CF3265" s="501"/>
      <c r="CG3265" s="501"/>
      <c r="CH3265" s="501"/>
      <c r="CI3265" s="501"/>
      <c r="CJ3265" s="501"/>
      <c r="CK3265" s="501"/>
      <c r="CL3265" s="501"/>
      <c r="CM3265" s="501"/>
      <c r="CN3265" s="501"/>
      <c r="CO3265" s="501"/>
      <c r="CP3265" s="501"/>
      <c r="CQ3265" s="501"/>
      <c r="CR3265" s="501"/>
      <c r="CS3265" s="501"/>
      <c r="CT3265" s="501"/>
      <c r="CU3265" s="501"/>
      <c r="CV3265" s="501"/>
      <c r="CW3265" s="501"/>
      <c r="CX3265" s="501"/>
      <c r="CY3265" s="501"/>
      <c r="CZ3265" s="501"/>
      <c r="DA3265" s="501"/>
      <c r="DB3265" s="501"/>
      <c r="DC3265" s="501"/>
      <c r="DD3265" s="501"/>
      <c r="DE3265" s="501"/>
      <c r="DF3265" s="501"/>
      <c r="DG3265" s="501"/>
      <c r="DH3265" s="501"/>
      <c r="DI3265" s="501"/>
      <c r="DJ3265" s="501"/>
      <c r="DK3265" s="501"/>
      <c r="DL3265" s="501"/>
      <c r="DM3265" s="501"/>
      <c r="DN3265" s="501"/>
      <c r="DO3265" s="501"/>
      <c r="DP3265" s="501"/>
      <c r="DQ3265" s="501"/>
      <c r="DR3265" s="501"/>
      <c r="DS3265" s="501"/>
      <c r="DT3265" s="501"/>
      <c r="DU3265" s="501"/>
      <c r="DV3265" s="501"/>
      <c r="DW3265" s="501"/>
      <c r="DX3265" s="501"/>
      <c r="DY3265" s="501"/>
      <c r="DZ3265" s="501"/>
      <c r="EA3265" s="501"/>
      <c r="EB3265" s="501"/>
      <c r="EC3265" s="501"/>
      <c r="ED3265" s="501"/>
      <c r="EE3265" s="501"/>
      <c r="EF3265" s="501"/>
      <c r="EG3265" s="501"/>
      <c r="EH3265" s="501"/>
      <c r="EI3265" s="501"/>
      <c r="EJ3265" s="501"/>
      <c r="EK3265" s="501"/>
      <c r="EL3265" s="501"/>
      <c r="EM3265" s="501"/>
      <c r="EN3265" s="501"/>
      <c r="EO3265" s="501"/>
      <c r="EP3265" s="501"/>
      <c r="EQ3265" s="501"/>
      <c r="ER3265" s="501"/>
      <c r="ES3265" s="501"/>
      <c r="ET3265" s="501"/>
      <c r="EU3265" s="501"/>
      <c r="EV3265" s="501"/>
      <c r="EW3265" s="501"/>
      <c r="EX3265" s="501"/>
      <c r="EY3265" s="501"/>
      <c r="EZ3265" s="501"/>
      <c r="FA3265" s="501"/>
      <c r="FB3265" s="501"/>
      <c r="FC3265" s="501"/>
      <c r="FD3265" s="501"/>
      <c r="FE3265" s="501"/>
      <c r="FF3265" s="501"/>
      <c r="FG3265" s="501"/>
      <c r="FH3265" s="501"/>
      <c r="FI3265" s="501"/>
      <c r="FJ3265" s="501"/>
      <c r="FK3265" s="501"/>
      <c r="FL3265" s="501"/>
      <c r="FM3265" s="501"/>
      <c r="FN3265" s="501"/>
      <c r="FO3265" s="501"/>
      <c r="FP3265" s="501"/>
      <c r="FQ3265" s="501"/>
      <c r="FR3265" s="501"/>
      <c r="FS3265" s="501"/>
      <c r="FT3265" s="501"/>
      <c r="FU3265" s="501"/>
      <c r="FV3265" s="501"/>
      <c r="FW3265" s="501"/>
      <c r="FX3265" s="501"/>
      <c r="FY3265" s="501"/>
      <c r="FZ3265" s="501"/>
      <c r="GA3265" s="501"/>
      <c r="GB3265" s="501"/>
      <c r="GC3265" s="501"/>
      <c r="GD3265" s="501"/>
      <c r="GE3265" s="501"/>
      <c r="GF3265" s="501"/>
      <c r="GG3265" s="501"/>
      <c r="GH3265" s="501"/>
      <c r="GI3265" s="501"/>
      <c r="GJ3265" s="501"/>
      <c r="GK3265" s="501"/>
      <c r="GL3265" s="501"/>
      <c r="GM3265" s="501"/>
      <c r="GN3265" s="501"/>
      <c r="GO3265" s="501"/>
      <c r="GP3265" s="501"/>
      <c r="GQ3265" s="501"/>
      <c r="GR3265" s="501"/>
      <c r="GS3265" s="501"/>
      <c r="GT3265" s="501"/>
      <c r="GU3265" s="501"/>
      <c r="GV3265" s="501"/>
      <c r="GW3265" s="501"/>
      <c r="GX3265" s="501"/>
      <c r="GY3265" s="501"/>
      <c r="GZ3265" s="501"/>
      <c r="HA3265" s="501"/>
      <c r="HB3265" s="501"/>
      <c r="HC3265" s="501"/>
      <c r="HD3265" s="501"/>
      <c r="HE3265" s="501"/>
      <c r="HF3265" s="501"/>
      <c r="HG3265" s="501"/>
      <c r="HH3265" s="501"/>
      <c r="HI3265" s="501"/>
      <c r="HJ3265" s="501"/>
      <c r="HK3265" s="501"/>
      <c r="HL3265" s="501"/>
      <c r="HM3265" s="501"/>
      <c r="HN3265" s="501"/>
      <c r="HO3265" s="501"/>
      <c r="HP3265" s="501"/>
      <c r="HQ3265" s="501"/>
      <c r="HR3265" s="501"/>
      <c r="HS3265" s="501"/>
      <c r="HT3265" s="501"/>
      <c r="HU3265" s="501"/>
      <c r="HV3265" s="501"/>
      <c r="HW3265" s="501"/>
      <c r="HX3265" s="501"/>
      <c r="HY3265" s="501"/>
      <c r="HZ3265" s="501"/>
      <c r="IA3265" s="501"/>
      <c r="IB3265" s="501"/>
      <c r="IC3265" s="501"/>
      <c r="ID3265" s="501"/>
      <c r="IE3265" s="501"/>
      <c r="IF3265" s="501"/>
      <c r="IG3265" s="501"/>
      <c r="IH3265" s="501"/>
      <c r="II3265" s="501"/>
      <c r="IJ3265" s="501"/>
      <c r="IK3265" s="501"/>
      <c r="IL3265" s="501"/>
      <c r="IM3265" s="501"/>
      <c r="IN3265" s="501"/>
      <c r="IO3265" s="501"/>
      <c r="IP3265" s="501"/>
      <c r="IQ3265" s="501"/>
      <c r="IR3265" s="501"/>
      <c r="IS3265" s="501"/>
      <c r="IT3265" s="501"/>
      <c r="IU3265" s="501"/>
    </row>
    <row r="3266" spans="1:255" s="877" customFormat="1" ht="24" customHeight="1">
      <c r="A3266" s="501"/>
      <c r="B3266" s="501"/>
      <c r="C3266" s="501"/>
      <c r="D3266" s="501"/>
      <c r="E3266" s="501"/>
      <c r="F3266" s="501"/>
      <c r="G3266" s="915"/>
      <c r="H3266" s="501"/>
      <c r="I3266" s="874"/>
      <c r="J3266" s="501"/>
      <c r="K3266" s="501"/>
      <c r="L3266" s="878"/>
      <c r="M3266" s="882"/>
      <c r="N3266" s="501"/>
      <c r="O3266" s="1097"/>
      <c r="P3266" s="1151"/>
      <c r="Q3266" s="1112"/>
      <c r="R3266" s="1097"/>
      <c r="S3266" s="1103"/>
      <c r="T3266" s="1193"/>
      <c r="V3266" s="501"/>
      <c r="W3266" s="501"/>
      <c r="X3266" s="501"/>
      <c r="Y3266" s="501"/>
      <c r="Z3266" s="501"/>
      <c r="AA3266" s="501"/>
      <c r="AB3266" s="501"/>
      <c r="AC3266" s="501"/>
      <c r="AD3266" s="501"/>
      <c r="AE3266" s="501"/>
      <c r="AF3266" s="501"/>
      <c r="AG3266" s="501"/>
      <c r="AH3266" s="501"/>
      <c r="AI3266" s="501"/>
      <c r="AJ3266" s="501"/>
      <c r="AK3266" s="501"/>
      <c r="AL3266" s="501"/>
      <c r="AM3266" s="501"/>
      <c r="AN3266" s="501"/>
      <c r="AO3266" s="501"/>
      <c r="AP3266" s="501"/>
      <c r="AQ3266" s="501"/>
      <c r="AR3266" s="501"/>
      <c r="AS3266" s="501"/>
      <c r="AT3266" s="501"/>
      <c r="AU3266" s="501"/>
      <c r="AV3266" s="501"/>
      <c r="AW3266" s="501"/>
      <c r="AX3266" s="501"/>
      <c r="AY3266" s="501"/>
      <c r="AZ3266" s="501"/>
      <c r="BA3266" s="501"/>
      <c r="BB3266" s="501"/>
      <c r="BC3266" s="501"/>
      <c r="BD3266" s="501"/>
      <c r="BE3266" s="501"/>
      <c r="BF3266" s="501"/>
      <c r="BG3266" s="501"/>
      <c r="BH3266" s="501"/>
      <c r="BI3266" s="501"/>
      <c r="BJ3266" s="501"/>
      <c r="BK3266" s="501"/>
      <c r="BL3266" s="501"/>
      <c r="BM3266" s="501"/>
      <c r="BN3266" s="501"/>
      <c r="BO3266" s="501"/>
      <c r="BP3266" s="501"/>
      <c r="BQ3266" s="501"/>
      <c r="BR3266" s="501"/>
      <c r="BS3266" s="501"/>
      <c r="BT3266" s="501"/>
      <c r="BU3266" s="501"/>
      <c r="BV3266" s="501"/>
      <c r="BW3266" s="501"/>
      <c r="BX3266" s="501"/>
      <c r="BY3266" s="501"/>
      <c r="BZ3266" s="501"/>
      <c r="CA3266" s="501"/>
      <c r="CB3266" s="501"/>
      <c r="CC3266" s="501"/>
      <c r="CD3266" s="501"/>
      <c r="CE3266" s="501"/>
      <c r="CF3266" s="501"/>
      <c r="CG3266" s="501"/>
      <c r="CH3266" s="501"/>
      <c r="CI3266" s="501"/>
      <c r="CJ3266" s="501"/>
      <c r="CK3266" s="501"/>
      <c r="CL3266" s="501"/>
      <c r="CM3266" s="501"/>
      <c r="CN3266" s="501"/>
      <c r="CO3266" s="501"/>
      <c r="CP3266" s="501"/>
      <c r="CQ3266" s="501"/>
      <c r="CR3266" s="501"/>
      <c r="CS3266" s="501"/>
      <c r="CT3266" s="501"/>
      <c r="CU3266" s="501"/>
      <c r="CV3266" s="501"/>
      <c r="CW3266" s="501"/>
      <c r="CX3266" s="501"/>
      <c r="CY3266" s="501"/>
      <c r="CZ3266" s="501"/>
      <c r="DA3266" s="501"/>
      <c r="DB3266" s="501"/>
      <c r="DC3266" s="501"/>
      <c r="DD3266" s="501"/>
      <c r="DE3266" s="501"/>
      <c r="DF3266" s="501"/>
      <c r="DG3266" s="501"/>
      <c r="DH3266" s="501"/>
      <c r="DI3266" s="501"/>
      <c r="DJ3266" s="501"/>
      <c r="DK3266" s="501"/>
      <c r="DL3266" s="501"/>
      <c r="DM3266" s="501"/>
      <c r="DN3266" s="501"/>
      <c r="DO3266" s="501"/>
      <c r="DP3266" s="501"/>
      <c r="DQ3266" s="501"/>
      <c r="DR3266" s="501"/>
      <c r="DS3266" s="501"/>
      <c r="DT3266" s="501"/>
      <c r="DU3266" s="501"/>
      <c r="DV3266" s="501"/>
      <c r="DW3266" s="501"/>
      <c r="DX3266" s="501"/>
      <c r="DY3266" s="501"/>
      <c r="DZ3266" s="501"/>
      <c r="EA3266" s="501"/>
      <c r="EB3266" s="501"/>
      <c r="EC3266" s="501"/>
      <c r="ED3266" s="501"/>
      <c r="EE3266" s="501"/>
      <c r="EF3266" s="501"/>
      <c r="EG3266" s="501"/>
      <c r="EH3266" s="501"/>
      <c r="EI3266" s="501"/>
      <c r="EJ3266" s="501"/>
      <c r="EK3266" s="501"/>
      <c r="EL3266" s="501"/>
      <c r="EM3266" s="501"/>
      <c r="EN3266" s="501"/>
      <c r="EO3266" s="501"/>
      <c r="EP3266" s="501"/>
      <c r="EQ3266" s="501"/>
      <c r="ER3266" s="501"/>
      <c r="ES3266" s="501"/>
      <c r="ET3266" s="501"/>
      <c r="EU3266" s="501"/>
      <c r="EV3266" s="501"/>
      <c r="EW3266" s="501"/>
      <c r="EX3266" s="501"/>
      <c r="EY3266" s="501"/>
      <c r="EZ3266" s="501"/>
      <c r="FA3266" s="501"/>
      <c r="FB3266" s="501"/>
      <c r="FC3266" s="501"/>
      <c r="FD3266" s="501"/>
      <c r="FE3266" s="501"/>
      <c r="FF3266" s="501"/>
      <c r="FG3266" s="501"/>
      <c r="FH3266" s="501"/>
      <c r="FI3266" s="501"/>
      <c r="FJ3266" s="501"/>
      <c r="FK3266" s="501"/>
      <c r="FL3266" s="501"/>
      <c r="FM3266" s="501"/>
      <c r="FN3266" s="501"/>
      <c r="FO3266" s="501"/>
      <c r="FP3266" s="501"/>
      <c r="FQ3266" s="501"/>
      <c r="FR3266" s="501"/>
      <c r="FS3266" s="501"/>
      <c r="FT3266" s="501"/>
      <c r="FU3266" s="501"/>
      <c r="FV3266" s="501"/>
      <c r="FW3266" s="501"/>
      <c r="FX3266" s="501"/>
      <c r="FY3266" s="501"/>
      <c r="FZ3266" s="501"/>
      <c r="GA3266" s="501"/>
      <c r="GB3266" s="501"/>
      <c r="GC3266" s="501"/>
      <c r="GD3266" s="501"/>
      <c r="GE3266" s="501"/>
      <c r="GF3266" s="501"/>
      <c r="GG3266" s="501"/>
      <c r="GH3266" s="501"/>
      <c r="GI3266" s="501"/>
      <c r="GJ3266" s="501"/>
      <c r="GK3266" s="501"/>
      <c r="GL3266" s="501"/>
      <c r="GM3266" s="501"/>
      <c r="GN3266" s="501"/>
      <c r="GO3266" s="501"/>
      <c r="GP3266" s="501"/>
      <c r="GQ3266" s="501"/>
      <c r="GR3266" s="501"/>
      <c r="GS3266" s="501"/>
      <c r="GT3266" s="501"/>
      <c r="GU3266" s="501"/>
      <c r="GV3266" s="501"/>
      <c r="GW3266" s="501"/>
      <c r="GX3266" s="501"/>
      <c r="GY3266" s="501"/>
      <c r="GZ3266" s="501"/>
      <c r="HA3266" s="501"/>
      <c r="HB3266" s="501"/>
      <c r="HC3266" s="501"/>
      <c r="HD3266" s="501"/>
      <c r="HE3266" s="501"/>
      <c r="HF3266" s="501"/>
      <c r="HG3266" s="501"/>
      <c r="HH3266" s="501"/>
      <c r="HI3266" s="501"/>
      <c r="HJ3266" s="501"/>
      <c r="HK3266" s="501"/>
      <c r="HL3266" s="501"/>
      <c r="HM3266" s="501"/>
      <c r="HN3266" s="501"/>
      <c r="HO3266" s="501"/>
      <c r="HP3266" s="501"/>
      <c r="HQ3266" s="501"/>
      <c r="HR3266" s="501"/>
      <c r="HS3266" s="501"/>
      <c r="HT3266" s="501"/>
      <c r="HU3266" s="501"/>
      <c r="HV3266" s="501"/>
      <c r="HW3266" s="501"/>
      <c r="HX3266" s="501"/>
      <c r="HY3266" s="501"/>
      <c r="HZ3266" s="501"/>
      <c r="IA3266" s="501"/>
      <c r="IB3266" s="501"/>
      <c r="IC3266" s="501"/>
      <c r="ID3266" s="501"/>
      <c r="IE3266" s="501"/>
      <c r="IF3266" s="501"/>
      <c r="IG3266" s="501"/>
      <c r="IH3266" s="501"/>
      <c r="II3266" s="501"/>
      <c r="IJ3266" s="501"/>
      <c r="IK3266" s="501"/>
      <c r="IL3266" s="501"/>
      <c r="IM3266" s="501"/>
      <c r="IN3266" s="501"/>
      <c r="IO3266" s="501"/>
      <c r="IP3266" s="501"/>
      <c r="IQ3266" s="501"/>
      <c r="IR3266" s="501"/>
      <c r="IS3266" s="501"/>
      <c r="IT3266" s="501"/>
      <c r="IU3266" s="501"/>
    </row>
    <row r="3267" spans="1:255" s="877" customFormat="1" ht="24" customHeight="1">
      <c r="A3267" s="501"/>
      <c r="B3267" s="501"/>
      <c r="C3267" s="501"/>
      <c r="D3267" s="501"/>
      <c r="E3267" s="501"/>
      <c r="F3267" s="501"/>
      <c r="G3267" s="915"/>
      <c r="H3267" s="501"/>
      <c r="I3267" s="874"/>
      <c r="J3267" s="880"/>
      <c r="K3267" s="501"/>
      <c r="L3267" s="878"/>
      <c r="M3267" s="882"/>
      <c r="N3267" s="501"/>
      <c r="O3267" s="974"/>
      <c r="P3267" s="1152"/>
      <c r="Q3267" s="973"/>
      <c r="R3267" s="1097"/>
      <c r="S3267" s="1101"/>
      <c r="T3267" s="1097"/>
      <c r="V3267" s="501"/>
      <c r="W3267" s="501"/>
      <c r="X3267" s="501"/>
      <c r="Y3267" s="501"/>
      <c r="Z3267" s="501"/>
      <c r="AA3267" s="501"/>
      <c r="AB3267" s="501"/>
      <c r="AC3267" s="501"/>
      <c r="AD3267" s="501"/>
      <c r="AE3267" s="501"/>
      <c r="AF3267" s="501"/>
      <c r="AG3267" s="501"/>
      <c r="AH3267" s="501"/>
      <c r="AI3267" s="501"/>
      <c r="AJ3267" s="501"/>
      <c r="AK3267" s="501"/>
      <c r="AL3267" s="501"/>
      <c r="AM3267" s="501"/>
      <c r="AN3267" s="501"/>
      <c r="AO3267" s="501"/>
      <c r="AP3267" s="501"/>
      <c r="AQ3267" s="501"/>
      <c r="AR3267" s="501"/>
      <c r="AS3267" s="501"/>
      <c r="AT3267" s="501"/>
      <c r="AU3267" s="501"/>
      <c r="AV3267" s="501"/>
      <c r="AW3267" s="501"/>
      <c r="AX3267" s="501"/>
      <c r="AY3267" s="501"/>
      <c r="AZ3267" s="501"/>
      <c r="BA3267" s="501"/>
      <c r="BB3267" s="501"/>
      <c r="BC3267" s="501"/>
      <c r="BD3267" s="501"/>
      <c r="BE3267" s="501"/>
      <c r="BF3267" s="501"/>
      <c r="BG3267" s="501"/>
      <c r="BH3267" s="501"/>
      <c r="BI3267" s="501"/>
      <c r="BJ3267" s="501"/>
      <c r="BK3267" s="501"/>
      <c r="BL3267" s="501"/>
      <c r="BM3267" s="501"/>
      <c r="BN3267" s="501"/>
      <c r="BO3267" s="501"/>
      <c r="BP3267" s="501"/>
      <c r="BQ3267" s="501"/>
      <c r="BR3267" s="501"/>
      <c r="BS3267" s="501"/>
      <c r="BT3267" s="501"/>
      <c r="BU3267" s="501"/>
      <c r="BV3267" s="501"/>
      <c r="BW3267" s="501"/>
      <c r="BX3267" s="501"/>
      <c r="BY3267" s="501"/>
      <c r="BZ3267" s="501"/>
      <c r="CA3267" s="501"/>
      <c r="CB3267" s="501"/>
      <c r="CC3267" s="501"/>
      <c r="CD3267" s="501"/>
      <c r="CE3267" s="501"/>
      <c r="CF3267" s="501"/>
      <c r="CG3267" s="501"/>
      <c r="CH3267" s="501"/>
      <c r="CI3267" s="501"/>
      <c r="CJ3267" s="501"/>
      <c r="CK3267" s="501"/>
      <c r="CL3267" s="501"/>
      <c r="CM3267" s="501"/>
      <c r="CN3267" s="501"/>
      <c r="CO3267" s="501"/>
      <c r="CP3267" s="501"/>
      <c r="CQ3267" s="501"/>
      <c r="CR3267" s="501"/>
      <c r="CS3267" s="501"/>
      <c r="CT3267" s="501"/>
      <c r="CU3267" s="501"/>
      <c r="CV3267" s="501"/>
      <c r="CW3267" s="501"/>
      <c r="CX3267" s="501"/>
      <c r="CY3267" s="501"/>
      <c r="CZ3267" s="501"/>
      <c r="DA3267" s="501"/>
      <c r="DB3267" s="501"/>
      <c r="DC3267" s="501"/>
      <c r="DD3267" s="501"/>
      <c r="DE3267" s="501"/>
      <c r="DF3267" s="501"/>
      <c r="DG3267" s="501"/>
      <c r="DH3267" s="501"/>
      <c r="DI3267" s="501"/>
      <c r="DJ3267" s="501"/>
      <c r="DK3267" s="501"/>
      <c r="DL3267" s="501"/>
      <c r="DM3267" s="501"/>
      <c r="DN3267" s="501"/>
      <c r="DO3267" s="501"/>
      <c r="DP3267" s="501"/>
      <c r="DQ3267" s="501"/>
      <c r="DR3267" s="501"/>
      <c r="DS3267" s="501"/>
      <c r="DT3267" s="501"/>
      <c r="DU3267" s="501"/>
      <c r="DV3267" s="501"/>
      <c r="DW3267" s="501"/>
      <c r="DX3267" s="501"/>
      <c r="DY3267" s="501"/>
      <c r="DZ3267" s="501"/>
      <c r="EA3267" s="501"/>
      <c r="EB3267" s="501"/>
      <c r="EC3267" s="501"/>
      <c r="ED3267" s="501"/>
      <c r="EE3267" s="501"/>
      <c r="EF3267" s="501"/>
      <c r="EG3267" s="501"/>
      <c r="EH3267" s="501"/>
      <c r="EI3267" s="501"/>
      <c r="EJ3267" s="501"/>
      <c r="EK3267" s="501"/>
      <c r="EL3267" s="501"/>
      <c r="EM3267" s="501"/>
      <c r="EN3267" s="501"/>
      <c r="EO3267" s="501"/>
      <c r="EP3267" s="501"/>
      <c r="EQ3267" s="501"/>
      <c r="ER3267" s="501"/>
      <c r="ES3267" s="501"/>
      <c r="ET3267" s="501"/>
      <c r="EU3267" s="501"/>
      <c r="EV3267" s="501"/>
      <c r="EW3267" s="501"/>
      <c r="EX3267" s="501"/>
      <c r="EY3267" s="501"/>
      <c r="EZ3267" s="501"/>
      <c r="FA3267" s="501"/>
      <c r="FB3267" s="501"/>
      <c r="FC3267" s="501"/>
      <c r="FD3267" s="501"/>
      <c r="FE3267" s="501"/>
      <c r="FF3267" s="501"/>
      <c r="FG3267" s="501"/>
      <c r="FH3267" s="501"/>
      <c r="FI3267" s="501"/>
      <c r="FJ3267" s="501"/>
      <c r="FK3267" s="501"/>
      <c r="FL3267" s="501"/>
      <c r="FM3267" s="501"/>
      <c r="FN3267" s="501"/>
      <c r="FO3267" s="501"/>
      <c r="FP3267" s="501"/>
      <c r="FQ3267" s="501"/>
      <c r="FR3267" s="501"/>
      <c r="FS3267" s="501"/>
      <c r="FT3267" s="501"/>
      <c r="FU3267" s="501"/>
      <c r="FV3267" s="501"/>
      <c r="FW3267" s="501"/>
      <c r="FX3267" s="501"/>
      <c r="FY3267" s="501"/>
      <c r="FZ3267" s="501"/>
      <c r="GA3267" s="501"/>
      <c r="GB3267" s="501"/>
      <c r="GC3267" s="501"/>
      <c r="GD3267" s="501"/>
      <c r="GE3267" s="501"/>
      <c r="GF3267" s="501"/>
      <c r="GG3267" s="501"/>
      <c r="GH3267" s="501"/>
      <c r="GI3267" s="501"/>
      <c r="GJ3267" s="501"/>
      <c r="GK3267" s="501"/>
      <c r="GL3267" s="501"/>
      <c r="GM3267" s="501"/>
      <c r="GN3267" s="501"/>
      <c r="GO3267" s="501"/>
      <c r="GP3267" s="501"/>
      <c r="GQ3267" s="501"/>
      <c r="GR3267" s="501"/>
      <c r="GS3267" s="501"/>
      <c r="GT3267" s="501"/>
      <c r="GU3267" s="501"/>
      <c r="GV3267" s="501"/>
      <c r="GW3267" s="501"/>
      <c r="GX3267" s="501"/>
      <c r="GY3267" s="501"/>
      <c r="GZ3267" s="501"/>
      <c r="HA3267" s="501"/>
      <c r="HB3267" s="501"/>
      <c r="HC3267" s="501"/>
      <c r="HD3267" s="501"/>
      <c r="HE3267" s="501"/>
      <c r="HF3267" s="501"/>
      <c r="HG3267" s="501"/>
      <c r="HH3267" s="501"/>
      <c r="HI3267" s="501"/>
      <c r="HJ3267" s="501"/>
      <c r="HK3267" s="501"/>
      <c r="HL3267" s="501"/>
      <c r="HM3267" s="501"/>
      <c r="HN3267" s="501"/>
      <c r="HO3267" s="501"/>
      <c r="HP3267" s="501"/>
      <c r="HQ3267" s="501"/>
      <c r="HR3267" s="501"/>
      <c r="HS3267" s="501"/>
      <c r="HT3267" s="501"/>
      <c r="HU3267" s="501"/>
      <c r="HV3267" s="501"/>
      <c r="HW3267" s="501"/>
      <c r="HX3267" s="501"/>
      <c r="HY3267" s="501"/>
      <c r="HZ3267" s="501"/>
      <c r="IA3267" s="501"/>
      <c r="IB3267" s="501"/>
      <c r="IC3267" s="501"/>
      <c r="ID3267" s="501"/>
      <c r="IE3267" s="501"/>
      <c r="IF3267" s="501"/>
      <c r="IG3267" s="501"/>
      <c r="IH3267" s="501"/>
      <c r="II3267" s="501"/>
      <c r="IJ3267" s="501"/>
      <c r="IK3267" s="501"/>
      <c r="IL3267" s="501"/>
      <c r="IM3267" s="501"/>
      <c r="IN3267" s="501"/>
      <c r="IO3267" s="501"/>
      <c r="IP3267" s="501"/>
      <c r="IQ3267" s="501"/>
      <c r="IR3267" s="501"/>
      <c r="IS3267" s="501"/>
      <c r="IT3267" s="501"/>
      <c r="IU3267" s="501"/>
    </row>
    <row r="3268" spans="1:255" s="877" customFormat="1" ht="24" customHeight="1">
      <c r="A3268" s="501"/>
      <c r="B3268" s="501"/>
      <c r="C3268" s="501"/>
      <c r="D3268" s="501"/>
      <c r="E3268" s="501"/>
      <c r="F3268" s="501"/>
      <c r="G3268" s="915"/>
      <c r="H3268" s="501"/>
      <c r="I3268" s="874"/>
      <c r="J3268" s="501"/>
      <c r="K3268" s="501"/>
      <c r="L3268" s="878"/>
      <c r="M3268" s="882"/>
      <c r="N3268" s="501"/>
      <c r="O3268" s="1097"/>
      <c r="P3268" s="1151"/>
      <c r="Q3268" s="973"/>
      <c r="R3268" s="1097"/>
      <c r="S3268" s="1101"/>
      <c r="T3268" s="1097"/>
      <c r="V3268" s="501"/>
      <c r="W3268" s="501"/>
      <c r="X3268" s="501"/>
      <c r="Y3268" s="501"/>
      <c r="Z3268" s="501"/>
      <c r="AA3268" s="501"/>
      <c r="AB3268" s="501"/>
      <c r="AC3268" s="501"/>
      <c r="AD3268" s="501"/>
      <c r="AE3268" s="501"/>
      <c r="AF3268" s="501"/>
      <c r="AG3268" s="501"/>
      <c r="AH3268" s="501"/>
      <c r="AI3268" s="501"/>
      <c r="AJ3268" s="501"/>
      <c r="AK3268" s="501"/>
      <c r="AL3268" s="501"/>
      <c r="AM3268" s="501"/>
      <c r="AN3268" s="501"/>
      <c r="AO3268" s="501"/>
      <c r="AP3268" s="501"/>
      <c r="AQ3268" s="501"/>
      <c r="AR3268" s="501"/>
      <c r="AS3268" s="501"/>
      <c r="AT3268" s="501"/>
      <c r="AU3268" s="501"/>
      <c r="AV3268" s="501"/>
      <c r="AW3268" s="501"/>
      <c r="AX3268" s="501"/>
      <c r="AY3268" s="501"/>
      <c r="AZ3268" s="501"/>
      <c r="BA3268" s="501"/>
      <c r="BB3268" s="501"/>
      <c r="BC3268" s="501"/>
      <c r="BD3268" s="501"/>
      <c r="BE3268" s="501"/>
      <c r="BF3268" s="501"/>
      <c r="BG3268" s="501"/>
      <c r="BH3268" s="501"/>
      <c r="BI3268" s="501"/>
      <c r="BJ3268" s="501"/>
      <c r="BK3268" s="501"/>
      <c r="BL3268" s="501"/>
      <c r="BM3268" s="501"/>
      <c r="BN3268" s="501"/>
      <c r="BO3268" s="501"/>
      <c r="BP3268" s="501"/>
      <c r="BQ3268" s="501"/>
      <c r="BR3268" s="501"/>
      <c r="BS3268" s="501"/>
      <c r="BT3268" s="501"/>
      <c r="BU3268" s="501"/>
      <c r="BV3268" s="501"/>
      <c r="BW3268" s="501"/>
      <c r="BX3268" s="501"/>
      <c r="BY3268" s="501"/>
      <c r="BZ3268" s="501"/>
      <c r="CA3268" s="501"/>
      <c r="CB3268" s="501"/>
      <c r="CC3268" s="501"/>
      <c r="CD3268" s="501"/>
      <c r="CE3268" s="501"/>
      <c r="CF3268" s="501"/>
      <c r="CG3268" s="501"/>
      <c r="CH3268" s="501"/>
      <c r="CI3268" s="501"/>
      <c r="CJ3268" s="501"/>
      <c r="CK3268" s="501"/>
      <c r="CL3268" s="501"/>
      <c r="CM3268" s="501"/>
      <c r="CN3268" s="501"/>
      <c r="CO3268" s="501"/>
      <c r="CP3268" s="501"/>
      <c r="CQ3268" s="501"/>
      <c r="CR3268" s="501"/>
      <c r="CS3268" s="501"/>
      <c r="CT3268" s="501"/>
      <c r="CU3268" s="501"/>
      <c r="CV3268" s="501"/>
      <c r="CW3268" s="501"/>
      <c r="CX3268" s="501"/>
      <c r="CY3268" s="501"/>
      <c r="CZ3268" s="501"/>
      <c r="DA3268" s="501"/>
      <c r="DB3268" s="501"/>
      <c r="DC3268" s="501"/>
      <c r="DD3268" s="501"/>
      <c r="DE3268" s="501"/>
      <c r="DF3268" s="501"/>
      <c r="DG3268" s="501"/>
      <c r="DH3268" s="501"/>
      <c r="DI3268" s="501"/>
      <c r="DJ3268" s="501"/>
      <c r="DK3268" s="501"/>
      <c r="DL3268" s="501"/>
      <c r="DM3268" s="501"/>
      <c r="DN3268" s="501"/>
      <c r="DO3268" s="501"/>
      <c r="DP3268" s="501"/>
      <c r="DQ3268" s="501"/>
      <c r="DR3268" s="501"/>
      <c r="DS3268" s="501"/>
      <c r="DT3268" s="501"/>
      <c r="DU3268" s="501"/>
      <c r="DV3268" s="501"/>
      <c r="DW3268" s="501"/>
      <c r="DX3268" s="501"/>
      <c r="DY3268" s="501"/>
      <c r="DZ3268" s="501"/>
      <c r="EA3268" s="501"/>
      <c r="EB3268" s="501"/>
      <c r="EC3268" s="501"/>
      <c r="ED3268" s="501"/>
      <c r="EE3268" s="501"/>
      <c r="EF3268" s="501"/>
      <c r="EG3268" s="501"/>
      <c r="EH3268" s="501"/>
      <c r="EI3268" s="501"/>
      <c r="EJ3268" s="501"/>
      <c r="EK3268" s="501"/>
      <c r="EL3268" s="501"/>
      <c r="EM3268" s="501"/>
      <c r="EN3268" s="501"/>
      <c r="EO3268" s="501"/>
      <c r="EP3268" s="501"/>
      <c r="EQ3268" s="501"/>
      <c r="ER3268" s="501"/>
      <c r="ES3268" s="501"/>
      <c r="ET3268" s="501"/>
      <c r="EU3268" s="501"/>
      <c r="EV3268" s="501"/>
      <c r="EW3268" s="501"/>
      <c r="EX3268" s="501"/>
      <c r="EY3268" s="501"/>
      <c r="EZ3268" s="501"/>
      <c r="FA3268" s="501"/>
      <c r="FB3268" s="501"/>
      <c r="FC3268" s="501"/>
      <c r="FD3268" s="501"/>
      <c r="FE3268" s="501"/>
      <c r="FF3268" s="501"/>
      <c r="FG3268" s="501"/>
      <c r="FH3268" s="501"/>
      <c r="FI3268" s="501"/>
      <c r="FJ3268" s="501"/>
      <c r="FK3268" s="501"/>
      <c r="FL3268" s="501"/>
      <c r="FM3268" s="501"/>
      <c r="FN3268" s="501"/>
      <c r="FO3268" s="501"/>
      <c r="FP3268" s="501"/>
      <c r="FQ3268" s="501"/>
      <c r="FR3268" s="501"/>
      <c r="FS3268" s="501"/>
      <c r="FT3268" s="501"/>
      <c r="FU3268" s="501"/>
      <c r="FV3268" s="501"/>
      <c r="FW3268" s="501"/>
      <c r="FX3268" s="501"/>
      <c r="FY3268" s="501"/>
      <c r="FZ3268" s="501"/>
      <c r="GA3268" s="501"/>
      <c r="GB3268" s="501"/>
      <c r="GC3268" s="501"/>
      <c r="GD3268" s="501"/>
      <c r="GE3268" s="501"/>
      <c r="GF3268" s="501"/>
      <c r="GG3268" s="501"/>
      <c r="GH3268" s="501"/>
      <c r="GI3268" s="501"/>
      <c r="GJ3268" s="501"/>
      <c r="GK3268" s="501"/>
      <c r="GL3268" s="501"/>
      <c r="GM3268" s="501"/>
      <c r="GN3268" s="501"/>
      <c r="GO3268" s="501"/>
      <c r="GP3268" s="501"/>
      <c r="GQ3268" s="501"/>
      <c r="GR3268" s="501"/>
      <c r="GS3268" s="501"/>
      <c r="GT3268" s="501"/>
      <c r="GU3268" s="501"/>
      <c r="GV3268" s="501"/>
      <c r="GW3268" s="501"/>
      <c r="GX3268" s="501"/>
      <c r="GY3268" s="501"/>
      <c r="GZ3268" s="501"/>
      <c r="HA3268" s="501"/>
      <c r="HB3268" s="501"/>
      <c r="HC3268" s="501"/>
      <c r="HD3268" s="501"/>
      <c r="HE3268" s="501"/>
      <c r="HF3268" s="501"/>
      <c r="HG3268" s="501"/>
      <c r="HH3268" s="501"/>
      <c r="HI3268" s="501"/>
      <c r="HJ3268" s="501"/>
      <c r="HK3268" s="501"/>
      <c r="HL3268" s="501"/>
      <c r="HM3268" s="501"/>
      <c r="HN3268" s="501"/>
      <c r="HO3268" s="501"/>
      <c r="HP3268" s="501"/>
      <c r="HQ3268" s="501"/>
      <c r="HR3268" s="501"/>
      <c r="HS3268" s="501"/>
      <c r="HT3268" s="501"/>
      <c r="HU3268" s="501"/>
      <c r="HV3268" s="501"/>
      <c r="HW3268" s="501"/>
      <c r="HX3268" s="501"/>
      <c r="HY3268" s="501"/>
      <c r="HZ3268" s="501"/>
      <c r="IA3268" s="501"/>
      <c r="IB3268" s="501"/>
      <c r="IC3268" s="501"/>
      <c r="ID3268" s="501"/>
      <c r="IE3268" s="501"/>
      <c r="IF3268" s="501"/>
      <c r="IG3268" s="501"/>
      <c r="IH3268" s="501"/>
      <c r="II3268" s="501"/>
      <c r="IJ3268" s="501"/>
      <c r="IK3268" s="501"/>
      <c r="IL3268" s="501"/>
      <c r="IM3268" s="501"/>
      <c r="IN3268" s="501"/>
      <c r="IO3268" s="501"/>
      <c r="IP3268" s="501"/>
      <c r="IQ3268" s="501"/>
      <c r="IR3268" s="501"/>
      <c r="IS3268" s="501"/>
      <c r="IT3268" s="501"/>
      <c r="IU3268" s="501"/>
    </row>
    <row r="3269" spans="1:255" s="877" customFormat="1" ht="24" customHeight="1">
      <c r="A3269" s="501"/>
      <c r="B3269" s="501"/>
      <c r="C3269" s="501"/>
      <c r="D3269" s="501"/>
      <c r="E3269" s="501"/>
      <c r="F3269" s="876"/>
      <c r="G3269" s="916"/>
      <c r="H3269" s="876"/>
      <c r="I3269" s="876"/>
      <c r="J3269" s="880"/>
      <c r="K3269" s="876"/>
      <c r="L3269" s="880"/>
      <c r="M3269" s="882"/>
      <c r="N3269" s="501"/>
      <c r="O3269" s="1097"/>
      <c r="P3269" s="1151"/>
      <c r="Q3269" s="1184"/>
      <c r="R3269" s="1097"/>
      <c r="S3269" s="1101"/>
      <c r="T3269" s="1097"/>
      <c r="V3269" s="501"/>
      <c r="W3269" s="501"/>
      <c r="X3269" s="501"/>
      <c r="Y3269" s="501"/>
      <c r="Z3269" s="501"/>
      <c r="AA3269" s="501"/>
      <c r="AB3269" s="501"/>
      <c r="AC3269" s="501"/>
      <c r="AD3269" s="501"/>
      <c r="AE3269" s="501"/>
      <c r="AF3269" s="501"/>
      <c r="AG3269" s="501"/>
      <c r="AH3269" s="501"/>
      <c r="AI3269" s="501"/>
      <c r="AJ3269" s="501"/>
      <c r="AK3269" s="501"/>
      <c r="AL3269" s="501"/>
      <c r="AM3269" s="501"/>
      <c r="AN3269" s="501"/>
      <c r="AO3269" s="501"/>
      <c r="AP3269" s="501"/>
      <c r="AQ3269" s="501"/>
      <c r="AR3269" s="501"/>
      <c r="AS3269" s="501"/>
      <c r="AT3269" s="501"/>
      <c r="AU3269" s="501"/>
      <c r="AV3269" s="501"/>
      <c r="AW3269" s="501"/>
      <c r="AX3269" s="501"/>
      <c r="AY3269" s="501"/>
      <c r="AZ3269" s="501"/>
      <c r="BA3269" s="501"/>
      <c r="BB3269" s="501"/>
      <c r="BC3269" s="501"/>
      <c r="BD3269" s="501"/>
      <c r="BE3269" s="501"/>
      <c r="BF3269" s="501"/>
      <c r="BG3269" s="501"/>
      <c r="BH3269" s="501"/>
      <c r="BI3269" s="501"/>
      <c r="BJ3269" s="501"/>
      <c r="BK3269" s="501"/>
      <c r="BL3269" s="501"/>
      <c r="BM3269" s="501"/>
      <c r="BN3269" s="501"/>
      <c r="BO3269" s="501"/>
      <c r="BP3269" s="501"/>
      <c r="BQ3269" s="501"/>
      <c r="BR3269" s="501"/>
      <c r="BS3269" s="501"/>
      <c r="BT3269" s="501"/>
      <c r="BU3269" s="501"/>
      <c r="BV3269" s="501"/>
      <c r="BW3269" s="501"/>
      <c r="BX3269" s="501"/>
      <c r="BY3269" s="501"/>
      <c r="BZ3269" s="501"/>
      <c r="CA3269" s="501"/>
      <c r="CB3269" s="501"/>
      <c r="CC3269" s="501"/>
      <c r="CD3269" s="501"/>
      <c r="CE3269" s="501"/>
      <c r="CF3269" s="501"/>
      <c r="CG3269" s="501"/>
      <c r="CH3269" s="501"/>
      <c r="CI3269" s="501"/>
      <c r="CJ3269" s="501"/>
      <c r="CK3269" s="501"/>
      <c r="CL3269" s="501"/>
      <c r="CM3269" s="501"/>
      <c r="CN3269" s="501"/>
      <c r="CO3269" s="501"/>
      <c r="CP3269" s="501"/>
      <c r="CQ3269" s="501"/>
      <c r="CR3269" s="501"/>
      <c r="CS3269" s="501"/>
      <c r="CT3269" s="501"/>
      <c r="CU3269" s="501"/>
      <c r="CV3269" s="501"/>
      <c r="CW3269" s="501"/>
      <c r="CX3269" s="501"/>
      <c r="CY3269" s="501"/>
      <c r="CZ3269" s="501"/>
      <c r="DA3269" s="501"/>
      <c r="DB3269" s="501"/>
      <c r="DC3269" s="501"/>
      <c r="DD3269" s="501"/>
      <c r="DE3269" s="501"/>
      <c r="DF3269" s="501"/>
      <c r="DG3269" s="501"/>
      <c r="DH3269" s="501"/>
      <c r="DI3269" s="501"/>
      <c r="DJ3269" s="501"/>
      <c r="DK3269" s="501"/>
      <c r="DL3269" s="501"/>
      <c r="DM3269" s="501"/>
      <c r="DN3269" s="501"/>
      <c r="DO3269" s="501"/>
      <c r="DP3269" s="501"/>
      <c r="DQ3269" s="501"/>
      <c r="DR3269" s="501"/>
      <c r="DS3269" s="501"/>
      <c r="DT3269" s="501"/>
      <c r="DU3269" s="501"/>
      <c r="DV3269" s="501"/>
      <c r="DW3269" s="501"/>
      <c r="DX3269" s="501"/>
      <c r="DY3269" s="501"/>
      <c r="DZ3269" s="501"/>
      <c r="EA3269" s="501"/>
      <c r="EB3269" s="501"/>
      <c r="EC3269" s="501"/>
      <c r="ED3269" s="501"/>
      <c r="EE3269" s="501"/>
      <c r="EF3269" s="501"/>
      <c r="EG3269" s="501"/>
      <c r="EH3269" s="501"/>
      <c r="EI3269" s="501"/>
      <c r="EJ3269" s="501"/>
      <c r="EK3269" s="501"/>
      <c r="EL3269" s="501"/>
      <c r="EM3269" s="501"/>
      <c r="EN3269" s="501"/>
      <c r="EO3269" s="501"/>
      <c r="EP3269" s="501"/>
      <c r="EQ3269" s="501"/>
      <c r="ER3269" s="501"/>
      <c r="ES3269" s="501"/>
      <c r="ET3269" s="501"/>
      <c r="EU3269" s="501"/>
      <c r="EV3269" s="501"/>
      <c r="EW3269" s="501"/>
      <c r="EX3269" s="501"/>
      <c r="EY3269" s="501"/>
      <c r="EZ3269" s="501"/>
      <c r="FA3269" s="501"/>
      <c r="FB3269" s="501"/>
      <c r="FC3269" s="501"/>
      <c r="FD3269" s="501"/>
      <c r="FE3269" s="501"/>
      <c r="FF3269" s="501"/>
      <c r="FG3269" s="501"/>
      <c r="FH3269" s="501"/>
      <c r="FI3269" s="501"/>
      <c r="FJ3269" s="501"/>
      <c r="FK3269" s="501"/>
      <c r="FL3269" s="501"/>
      <c r="FM3269" s="501"/>
      <c r="FN3269" s="501"/>
      <c r="FO3269" s="501"/>
      <c r="FP3269" s="501"/>
      <c r="FQ3269" s="501"/>
      <c r="FR3269" s="501"/>
      <c r="FS3269" s="501"/>
      <c r="FT3269" s="501"/>
      <c r="FU3269" s="501"/>
      <c r="FV3269" s="501"/>
      <c r="FW3269" s="501"/>
      <c r="FX3269" s="501"/>
      <c r="FY3269" s="501"/>
      <c r="FZ3269" s="501"/>
      <c r="GA3269" s="501"/>
      <c r="GB3269" s="501"/>
      <c r="GC3269" s="501"/>
      <c r="GD3269" s="501"/>
      <c r="GE3269" s="501"/>
      <c r="GF3269" s="501"/>
      <c r="GG3269" s="501"/>
      <c r="GH3269" s="501"/>
      <c r="GI3269" s="501"/>
      <c r="GJ3269" s="501"/>
      <c r="GK3269" s="501"/>
      <c r="GL3269" s="501"/>
      <c r="GM3269" s="501"/>
      <c r="GN3269" s="501"/>
      <c r="GO3269" s="501"/>
      <c r="GP3269" s="501"/>
      <c r="GQ3269" s="501"/>
      <c r="GR3269" s="501"/>
      <c r="GS3269" s="501"/>
      <c r="GT3269" s="501"/>
      <c r="GU3269" s="501"/>
      <c r="GV3269" s="501"/>
      <c r="GW3269" s="501"/>
      <c r="GX3269" s="501"/>
      <c r="GY3269" s="501"/>
      <c r="GZ3269" s="501"/>
      <c r="HA3269" s="501"/>
      <c r="HB3269" s="501"/>
      <c r="HC3269" s="501"/>
      <c r="HD3269" s="501"/>
      <c r="HE3269" s="501"/>
      <c r="HF3269" s="501"/>
      <c r="HG3269" s="501"/>
      <c r="HH3269" s="501"/>
      <c r="HI3269" s="501"/>
      <c r="HJ3269" s="501"/>
      <c r="HK3269" s="501"/>
      <c r="HL3269" s="501"/>
      <c r="HM3269" s="501"/>
      <c r="HN3269" s="501"/>
      <c r="HO3269" s="501"/>
      <c r="HP3269" s="501"/>
      <c r="HQ3269" s="501"/>
      <c r="HR3269" s="501"/>
      <c r="HS3269" s="501"/>
      <c r="HT3269" s="501"/>
      <c r="HU3269" s="501"/>
      <c r="HV3269" s="501"/>
      <c r="HW3269" s="501"/>
      <c r="HX3269" s="501"/>
      <c r="HY3269" s="501"/>
      <c r="HZ3269" s="501"/>
      <c r="IA3269" s="501"/>
      <c r="IB3269" s="501"/>
      <c r="IC3269" s="501"/>
      <c r="ID3269" s="501"/>
      <c r="IE3269" s="501"/>
      <c r="IF3269" s="501"/>
      <c r="IG3269" s="501"/>
      <c r="IH3269" s="501"/>
      <c r="II3269" s="501"/>
      <c r="IJ3269" s="501"/>
      <c r="IK3269" s="501"/>
      <c r="IL3269" s="501"/>
      <c r="IM3269" s="501"/>
      <c r="IN3269" s="501"/>
      <c r="IO3269" s="501"/>
      <c r="IP3269" s="501"/>
      <c r="IQ3269" s="501"/>
      <c r="IR3269" s="501"/>
      <c r="IS3269" s="501"/>
      <c r="IT3269" s="501"/>
      <c r="IU3269" s="501"/>
    </row>
    <row r="3270" spans="1:255" s="877" customFormat="1" ht="24" customHeight="1">
      <c r="A3270" s="501"/>
      <c r="B3270" s="501"/>
      <c r="C3270" s="501"/>
      <c r="D3270" s="501"/>
      <c r="E3270" s="501"/>
      <c r="F3270" s="501"/>
      <c r="G3270" s="915"/>
      <c r="H3270" s="501"/>
      <c r="I3270" s="874"/>
      <c r="J3270" s="501"/>
      <c r="K3270" s="501"/>
      <c r="L3270" s="878"/>
      <c r="M3270" s="882"/>
      <c r="N3270" s="501"/>
      <c r="O3270" s="1097"/>
      <c r="P3270" s="1151"/>
      <c r="Q3270" s="1106"/>
      <c r="R3270" s="1097"/>
      <c r="S3270" s="1101"/>
      <c r="T3270" s="1097"/>
      <c r="V3270" s="501"/>
      <c r="W3270" s="501"/>
      <c r="X3270" s="501"/>
      <c r="Y3270" s="501"/>
      <c r="Z3270" s="501"/>
      <c r="AA3270" s="501"/>
      <c r="AB3270" s="501"/>
      <c r="AC3270" s="501"/>
      <c r="AD3270" s="501"/>
      <c r="AE3270" s="501"/>
      <c r="AF3270" s="501"/>
      <c r="AG3270" s="501"/>
      <c r="AH3270" s="501"/>
      <c r="AI3270" s="501"/>
      <c r="AJ3270" s="501"/>
      <c r="AK3270" s="501"/>
      <c r="AL3270" s="501"/>
      <c r="AM3270" s="501"/>
      <c r="AN3270" s="501"/>
      <c r="AO3270" s="501"/>
      <c r="AP3270" s="501"/>
      <c r="AQ3270" s="501"/>
      <c r="AR3270" s="501"/>
      <c r="AS3270" s="501"/>
      <c r="AT3270" s="501"/>
      <c r="AU3270" s="501"/>
      <c r="AV3270" s="501"/>
      <c r="AW3270" s="501"/>
      <c r="AX3270" s="501"/>
      <c r="AY3270" s="501"/>
      <c r="AZ3270" s="501"/>
      <c r="BA3270" s="501"/>
      <c r="BB3270" s="501"/>
      <c r="BC3270" s="501"/>
      <c r="BD3270" s="501"/>
      <c r="BE3270" s="501"/>
      <c r="BF3270" s="501"/>
      <c r="BG3270" s="501"/>
      <c r="BH3270" s="501"/>
      <c r="BI3270" s="501"/>
      <c r="BJ3270" s="501"/>
      <c r="BK3270" s="501"/>
      <c r="BL3270" s="501"/>
      <c r="BM3270" s="501"/>
      <c r="BN3270" s="501"/>
      <c r="BO3270" s="501"/>
      <c r="BP3270" s="501"/>
      <c r="BQ3270" s="501"/>
      <c r="BR3270" s="501"/>
      <c r="BS3270" s="501"/>
      <c r="BT3270" s="501"/>
      <c r="BU3270" s="501"/>
      <c r="BV3270" s="501"/>
      <c r="BW3270" s="501"/>
      <c r="BX3270" s="501"/>
      <c r="BY3270" s="501"/>
      <c r="BZ3270" s="501"/>
      <c r="CA3270" s="501"/>
      <c r="CB3270" s="501"/>
      <c r="CC3270" s="501"/>
      <c r="CD3270" s="501"/>
      <c r="CE3270" s="501"/>
      <c r="CF3270" s="501"/>
      <c r="CG3270" s="501"/>
      <c r="CH3270" s="501"/>
      <c r="CI3270" s="501"/>
      <c r="CJ3270" s="501"/>
      <c r="CK3270" s="501"/>
      <c r="CL3270" s="501"/>
      <c r="CM3270" s="501"/>
      <c r="CN3270" s="501"/>
      <c r="CO3270" s="501"/>
      <c r="CP3270" s="501"/>
      <c r="CQ3270" s="501"/>
      <c r="CR3270" s="501"/>
      <c r="CS3270" s="501"/>
      <c r="CT3270" s="501"/>
      <c r="CU3270" s="501"/>
      <c r="CV3270" s="501"/>
      <c r="CW3270" s="501"/>
      <c r="CX3270" s="501"/>
      <c r="CY3270" s="501"/>
      <c r="CZ3270" s="501"/>
      <c r="DA3270" s="501"/>
      <c r="DB3270" s="501"/>
      <c r="DC3270" s="501"/>
      <c r="DD3270" s="501"/>
      <c r="DE3270" s="501"/>
      <c r="DF3270" s="501"/>
      <c r="DG3270" s="501"/>
      <c r="DH3270" s="501"/>
      <c r="DI3270" s="501"/>
      <c r="DJ3270" s="501"/>
      <c r="DK3270" s="501"/>
      <c r="DL3270" s="501"/>
      <c r="DM3270" s="501"/>
      <c r="DN3270" s="501"/>
      <c r="DO3270" s="501"/>
      <c r="DP3270" s="501"/>
      <c r="DQ3270" s="501"/>
      <c r="DR3270" s="501"/>
      <c r="DS3270" s="501"/>
      <c r="DT3270" s="501"/>
      <c r="DU3270" s="501"/>
      <c r="DV3270" s="501"/>
      <c r="DW3270" s="501"/>
      <c r="DX3270" s="501"/>
      <c r="DY3270" s="501"/>
      <c r="DZ3270" s="501"/>
      <c r="EA3270" s="501"/>
      <c r="EB3270" s="501"/>
      <c r="EC3270" s="501"/>
      <c r="ED3270" s="501"/>
      <c r="EE3270" s="501"/>
      <c r="EF3270" s="501"/>
      <c r="EG3270" s="501"/>
      <c r="EH3270" s="501"/>
      <c r="EI3270" s="501"/>
      <c r="EJ3270" s="501"/>
      <c r="EK3270" s="501"/>
      <c r="EL3270" s="501"/>
      <c r="EM3270" s="501"/>
      <c r="EN3270" s="501"/>
      <c r="EO3270" s="501"/>
      <c r="EP3270" s="501"/>
      <c r="EQ3270" s="501"/>
      <c r="ER3270" s="501"/>
      <c r="ES3270" s="501"/>
      <c r="ET3270" s="501"/>
      <c r="EU3270" s="501"/>
      <c r="EV3270" s="501"/>
      <c r="EW3270" s="501"/>
      <c r="EX3270" s="501"/>
      <c r="EY3270" s="501"/>
      <c r="EZ3270" s="501"/>
      <c r="FA3270" s="501"/>
      <c r="FB3270" s="501"/>
      <c r="FC3270" s="501"/>
      <c r="FD3270" s="501"/>
      <c r="FE3270" s="501"/>
      <c r="FF3270" s="501"/>
      <c r="FG3270" s="501"/>
      <c r="FH3270" s="501"/>
      <c r="FI3270" s="501"/>
      <c r="FJ3270" s="501"/>
      <c r="FK3270" s="501"/>
      <c r="FL3270" s="501"/>
      <c r="FM3270" s="501"/>
      <c r="FN3270" s="501"/>
      <c r="FO3270" s="501"/>
      <c r="FP3270" s="501"/>
      <c r="FQ3270" s="501"/>
      <c r="FR3270" s="501"/>
      <c r="FS3270" s="501"/>
      <c r="FT3270" s="501"/>
      <c r="FU3270" s="501"/>
      <c r="FV3270" s="501"/>
      <c r="FW3270" s="501"/>
      <c r="FX3270" s="501"/>
      <c r="FY3270" s="501"/>
      <c r="FZ3270" s="501"/>
      <c r="GA3270" s="501"/>
      <c r="GB3270" s="501"/>
      <c r="GC3270" s="501"/>
      <c r="GD3270" s="501"/>
      <c r="GE3270" s="501"/>
      <c r="GF3270" s="501"/>
      <c r="GG3270" s="501"/>
      <c r="GH3270" s="501"/>
      <c r="GI3270" s="501"/>
      <c r="GJ3270" s="501"/>
      <c r="GK3270" s="501"/>
      <c r="GL3270" s="501"/>
      <c r="GM3270" s="501"/>
      <c r="GN3270" s="501"/>
      <c r="GO3270" s="501"/>
      <c r="GP3270" s="501"/>
      <c r="GQ3270" s="501"/>
      <c r="GR3270" s="501"/>
      <c r="GS3270" s="501"/>
      <c r="GT3270" s="501"/>
      <c r="GU3270" s="501"/>
      <c r="GV3270" s="501"/>
      <c r="GW3270" s="501"/>
      <c r="GX3270" s="501"/>
      <c r="GY3270" s="501"/>
      <c r="GZ3270" s="501"/>
      <c r="HA3270" s="501"/>
      <c r="HB3270" s="501"/>
      <c r="HC3270" s="501"/>
      <c r="HD3270" s="501"/>
      <c r="HE3270" s="501"/>
      <c r="HF3270" s="501"/>
      <c r="HG3270" s="501"/>
      <c r="HH3270" s="501"/>
      <c r="HI3270" s="501"/>
      <c r="HJ3270" s="501"/>
      <c r="HK3270" s="501"/>
      <c r="HL3270" s="501"/>
      <c r="HM3270" s="501"/>
      <c r="HN3270" s="501"/>
      <c r="HO3270" s="501"/>
      <c r="HP3270" s="501"/>
      <c r="HQ3270" s="501"/>
      <c r="HR3270" s="501"/>
      <c r="HS3270" s="501"/>
      <c r="HT3270" s="501"/>
      <c r="HU3270" s="501"/>
      <c r="HV3270" s="501"/>
      <c r="HW3270" s="501"/>
      <c r="HX3270" s="501"/>
      <c r="HY3270" s="501"/>
      <c r="HZ3270" s="501"/>
      <c r="IA3270" s="501"/>
      <c r="IB3270" s="501"/>
      <c r="IC3270" s="501"/>
      <c r="ID3270" s="501"/>
      <c r="IE3270" s="501"/>
      <c r="IF3270" s="501"/>
      <c r="IG3270" s="501"/>
      <c r="IH3270" s="501"/>
      <c r="II3270" s="501"/>
      <c r="IJ3270" s="501"/>
      <c r="IK3270" s="501"/>
      <c r="IL3270" s="501"/>
      <c r="IM3270" s="501"/>
      <c r="IN3270" s="501"/>
      <c r="IO3270" s="501"/>
      <c r="IP3270" s="501"/>
      <c r="IQ3270" s="501"/>
      <c r="IR3270" s="501"/>
      <c r="IS3270" s="501"/>
      <c r="IT3270" s="501"/>
      <c r="IU3270" s="501"/>
    </row>
    <row r="3271" spans="1:255" s="877" customFormat="1" ht="24" customHeight="1">
      <c r="A3271" s="501"/>
      <c r="B3271" s="501"/>
      <c r="C3271" s="501"/>
      <c r="D3271" s="501"/>
      <c r="E3271" s="501"/>
      <c r="F3271" s="501"/>
      <c r="G3271" s="915"/>
      <c r="H3271" s="501"/>
      <c r="I3271" s="895"/>
      <c r="J3271" s="501"/>
      <c r="K3271" s="501"/>
      <c r="L3271" s="501"/>
      <c r="M3271" s="554"/>
      <c r="N3271" s="501"/>
      <c r="O3271" s="1097"/>
      <c r="P3271" s="1151"/>
      <c r="Q3271" s="973"/>
      <c r="R3271" s="1102"/>
      <c r="S3271" s="1185"/>
      <c r="T3271" s="1097"/>
      <c r="V3271" s="501"/>
      <c r="W3271" s="501"/>
      <c r="X3271" s="501"/>
      <c r="Y3271" s="501"/>
      <c r="Z3271" s="501"/>
      <c r="AA3271" s="501"/>
      <c r="AB3271" s="501"/>
      <c r="AC3271" s="501"/>
      <c r="AD3271" s="501"/>
      <c r="AE3271" s="501"/>
      <c r="AF3271" s="501"/>
      <c r="AG3271" s="501"/>
      <c r="AH3271" s="501"/>
      <c r="AI3271" s="501"/>
      <c r="AJ3271" s="501"/>
      <c r="AK3271" s="501"/>
      <c r="AL3271" s="501"/>
      <c r="AM3271" s="501"/>
      <c r="AN3271" s="501"/>
      <c r="AO3271" s="501"/>
      <c r="AP3271" s="501"/>
      <c r="AQ3271" s="501"/>
      <c r="AR3271" s="501"/>
      <c r="AS3271" s="501"/>
      <c r="AT3271" s="501"/>
      <c r="AU3271" s="501"/>
      <c r="AV3271" s="501"/>
      <c r="AW3271" s="501"/>
      <c r="AX3271" s="501"/>
      <c r="AY3271" s="501"/>
      <c r="AZ3271" s="501"/>
      <c r="BA3271" s="501"/>
      <c r="BB3271" s="501"/>
      <c r="BC3271" s="501"/>
      <c r="BD3271" s="501"/>
      <c r="BE3271" s="501"/>
      <c r="BF3271" s="501"/>
      <c r="BG3271" s="501"/>
      <c r="BH3271" s="501"/>
      <c r="BI3271" s="501"/>
      <c r="BJ3271" s="501"/>
      <c r="BK3271" s="501"/>
      <c r="BL3271" s="501"/>
      <c r="BM3271" s="501"/>
      <c r="BN3271" s="501"/>
      <c r="BO3271" s="501"/>
      <c r="BP3271" s="501"/>
      <c r="BQ3271" s="501"/>
      <c r="BR3271" s="501"/>
      <c r="BS3271" s="501"/>
      <c r="BT3271" s="501"/>
      <c r="BU3271" s="501"/>
      <c r="BV3271" s="501"/>
      <c r="BW3271" s="501"/>
      <c r="BX3271" s="501"/>
      <c r="BY3271" s="501"/>
      <c r="BZ3271" s="501"/>
      <c r="CA3271" s="501"/>
      <c r="CB3271" s="501"/>
      <c r="CC3271" s="501"/>
      <c r="CD3271" s="501"/>
      <c r="CE3271" s="501"/>
      <c r="CF3271" s="501"/>
      <c r="CG3271" s="501"/>
      <c r="CH3271" s="501"/>
      <c r="CI3271" s="501"/>
      <c r="CJ3271" s="501"/>
      <c r="CK3271" s="501"/>
      <c r="CL3271" s="501"/>
      <c r="CM3271" s="501"/>
      <c r="CN3271" s="501"/>
      <c r="CO3271" s="501"/>
      <c r="CP3271" s="501"/>
      <c r="CQ3271" s="501"/>
      <c r="CR3271" s="501"/>
      <c r="CS3271" s="501"/>
      <c r="CT3271" s="501"/>
      <c r="CU3271" s="501"/>
      <c r="CV3271" s="501"/>
      <c r="CW3271" s="501"/>
      <c r="CX3271" s="501"/>
      <c r="CY3271" s="501"/>
      <c r="CZ3271" s="501"/>
      <c r="DA3271" s="501"/>
      <c r="DB3271" s="501"/>
      <c r="DC3271" s="501"/>
      <c r="DD3271" s="501"/>
      <c r="DE3271" s="501"/>
      <c r="DF3271" s="501"/>
      <c r="DG3271" s="501"/>
      <c r="DH3271" s="501"/>
      <c r="DI3271" s="501"/>
      <c r="DJ3271" s="501"/>
      <c r="DK3271" s="501"/>
      <c r="DL3271" s="501"/>
      <c r="DM3271" s="501"/>
      <c r="DN3271" s="501"/>
      <c r="DO3271" s="501"/>
      <c r="DP3271" s="501"/>
      <c r="DQ3271" s="501"/>
      <c r="DR3271" s="501"/>
      <c r="DS3271" s="501"/>
      <c r="DT3271" s="501"/>
      <c r="DU3271" s="501"/>
      <c r="DV3271" s="501"/>
      <c r="DW3271" s="501"/>
      <c r="DX3271" s="501"/>
      <c r="DY3271" s="501"/>
      <c r="DZ3271" s="501"/>
      <c r="EA3271" s="501"/>
      <c r="EB3271" s="501"/>
      <c r="EC3271" s="501"/>
      <c r="ED3271" s="501"/>
      <c r="EE3271" s="501"/>
      <c r="EF3271" s="501"/>
      <c r="EG3271" s="501"/>
      <c r="EH3271" s="501"/>
      <c r="EI3271" s="501"/>
      <c r="EJ3271" s="501"/>
      <c r="EK3271" s="501"/>
      <c r="EL3271" s="501"/>
      <c r="EM3271" s="501"/>
      <c r="EN3271" s="501"/>
      <c r="EO3271" s="501"/>
      <c r="EP3271" s="501"/>
      <c r="EQ3271" s="501"/>
      <c r="ER3271" s="501"/>
      <c r="ES3271" s="501"/>
      <c r="ET3271" s="501"/>
      <c r="EU3271" s="501"/>
      <c r="EV3271" s="501"/>
      <c r="EW3271" s="501"/>
      <c r="EX3271" s="501"/>
      <c r="EY3271" s="501"/>
      <c r="EZ3271" s="501"/>
      <c r="FA3271" s="501"/>
      <c r="FB3271" s="501"/>
      <c r="FC3271" s="501"/>
      <c r="FD3271" s="501"/>
      <c r="FE3271" s="501"/>
      <c r="FF3271" s="501"/>
      <c r="FG3271" s="501"/>
      <c r="FH3271" s="501"/>
      <c r="FI3271" s="501"/>
      <c r="FJ3271" s="501"/>
      <c r="FK3271" s="501"/>
      <c r="FL3271" s="501"/>
      <c r="FM3271" s="501"/>
      <c r="FN3271" s="501"/>
      <c r="FO3271" s="501"/>
      <c r="FP3271" s="501"/>
      <c r="FQ3271" s="501"/>
      <c r="FR3271" s="501"/>
      <c r="FS3271" s="501"/>
      <c r="FT3271" s="501"/>
      <c r="FU3271" s="501"/>
      <c r="FV3271" s="501"/>
      <c r="FW3271" s="501"/>
      <c r="FX3271" s="501"/>
      <c r="FY3271" s="501"/>
      <c r="FZ3271" s="501"/>
      <c r="GA3271" s="501"/>
      <c r="GB3271" s="501"/>
      <c r="GC3271" s="501"/>
      <c r="GD3271" s="501"/>
      <c r="GE3271" s="501"/>
      <c r="GF3271" s="501"/>
      <c r="GG3271" s="501"/>
      <c r="GH3271" s="501"/>
      <c r="GI3271" s="501"/>
      <c r="GJ3271" s="501"/>
      <c r="GK3271" s="501"/>
      <c r="GL3271" s="501"/>
      <c r="GM3271" s="501"/>
      <c r="GN3271" s="501"/>
      <c r="GO3271" s="501"/>
      <c r="GP3271" s="501"/>
      <c r="GQ3271" s="501"/>
      <c r="GR3271" s="501"/>
      <c r="GS3271" s="501"/>
      <c r="GT3271" s="501"/>
      <c r="GU3271" s="501"/>
      <c r="GV3271" s="501"/>
      <c r="GW3271" s="501"/>
      <c r="GX3271" s="501"/>
      <c r="GY3271" s="501"/>
      <c r="GZ3271" s="501"/>
      <c r="HA3271" s="501"/>
      <c r="HB3271" s="501"/>
      <c r="HC3271" s="501"/>
      <c r="HD3271" s="501"/>
      <c r="HE3271" s="501"/>
      <c r="HF3271" s="501"/>
      <c r="HG3271" s="501"/>
      <c r="HH3271" s="501"/>
      <c r="HI3271" s="501"/>
      <c r="HJ3271" s="501"/>
      <c r="HK3271" s="501"/>
      <c r="HL3271" s="501"/>
      <c r="HM3271" s="501"/>
      <c r="HN3271" s="501"/>
      <c r="HO3271" s="501"/>
      <c r="HP3271" s="501"/>
      <c r="HQ3271" s="501"/>
      <c r="HR3271" s="501"/>
      <c r="HS3271" s="501"/>
      <c r="HT3271" s="501"/>
      <c r="HU3271" s="501"/>
      <c r="HV3271" s="501"/>
      <c r="HW3271" s="501"/>
      <c r="HX3271" s="501"/>
      <c r="HY3271" s="501"/>
      <c r="HZ3271" s="501"/>
      <c r="IA3271" s="501"/>
      <c r="IB3271" s="501"/>
      <c r="IC3271" s="501"/>
      <c r="ID3271" s="501"/>
      <c r="IE3271" s="501"/>
      <c r="IF3271" s="501"/>
      <c r="IG3271" s="501"/>
      <c r="IH3271" s="501"/>
      <c r="II3271" s="501"/>
      <c r="IJ3271" s="501"/>
      <c r="IK3271" s="501"/>
      <c r="IL3271" s="501"/>
      <c r="IM3271" s="501"/>
      <c r="IN3271" s="501"/>
      <c r="IO3271" s="501"/>
      <c r="IP3271" s="501"/>
      <c r="IQ3271" s="501"/>
      <c r="IR3271" s="501"/>
      <c r="IS3271" s="501"/>
      <c r="IT3271" s="501"/>
      <c r="IU3271" s="501"/>
    </row>
    <row r="3272" spans="1:255" s="877" customFormat="1" ht="24" customHeight="1">
      <c r="A3272" s="501"/>
      <c r="B3272" s="501"/>
      <c r="C3272" s="501"/>
      <c r="D3272" s="501"/>
      <c r="E3272" s="501"/>
      <c r="F3272" s="501"/>
      <c r="G3272" s="915"/>
      <c r="H3272" s="501"/>
      <c r="I3272" s="895"/>
      <c r="J3272" s="501"/>
      <c r="K3272" s="501"/>
      <c r="L3272" s="501"/>
      <c r="M3272" s="554"/>
      <c r="N3272" s="501"/>
      <c r="O3272" s="1097"/>
      <c r="P3272" s="1151"/>
      <c r="Q3272" s="973"/>
      <c r="R3272" s="1102"/>
      <c r="S3272" s="1185"/>
      <c r="T3272" s="1097"/>
      <c r="V3272" s="501"/>
      <c r="W3272" s="501"/>
      <c r="X3272" s="501"/>
      <c r="Y3272" s="501"/>
      <c r="Z3272" s="501"/>
      <c r="AA3272" s="501"/>
      <c r="AB3272" s="501"/>
      <c r="AC3272" s="501"/>
      <c r="AD3272" s="501"/>
      <c r="AE3272" s="501"/>
      <c r="AF3272" s="501"/>
      <c r="AG3272" s="501"/>
      <c r="AH3272" s="501"/>
      <c r="AI3272" s="501"/>
      <c r="AJ3272" s="501"/>
      <c r="AK3272" s="501"/>
      <c r="AL3272" s="501"/>
      <c r="AM3272" s="501"/>
      <c r="AN3272" s="501"/>
      <c r="AO3272" s="501"/>
      <c r="AP3272" s="501"/>
      <c r="AQ3272" s="501"/>
      <c r="AR3272" s="501"/>
      <c r="AS3272" s="501"/>
      <c r="AT3272" s="501"/>
      <c r="AU3272" s="501"/>
      <c r="AV3272" s="501"/>
      <c r="AW3272" s="501"/>
      <c r="AX3272" s="501"/>
      <c r="AY3272" s="501"/>
      <c r="AZ3272" s="501"/>
      <c r="BA3272" s="501"/>
      <c r="BB3272" s="501"/>
      <c r="BC3272" s="501"/>
      <c r="BD3272" s="501"/>
      <c r="BE3272" s="501"/>
      <c r="BF3272" s="501"/>
      <c r="BG3272" s="501"/>
      <c r="BH3272" s="501"/>
      <c r="BI3272" s="501"/>
      <c r="BJ3272" s="501"/>
      <c r="BK3272" s="501"/>
      <c r="BL3272" s="501"/>
      <c r="BM3272" s="501"/>
      <c r="BN3272" s="501"/>
      <c r="BO3272" s="501"/>
      <c r="BP3272" s="501"/>
      <c r="BQ3272" s="501"/>
      <c r="BR3272" s="501"/>
      <c r="BS3272" s="501"/>
      <c r="BT3272" s="501"/>
      <c r="BU3272" s="501"/>
      <c r="BV3272" s="501"/>
      <c r="BW3272" s="501"/>
      <c r="BX3272" s="501"/>
      <c r="BY3272" s="501"/>
      <c r="BZ3272" s="501"/>
      <c r="CA3272" s="501"/>
      <c r="CB3272" s="501"/>
      <c r="CC3272" s="501"/>
      <c r="CD3272" s="501"/>
      <c r="CE3272" s="501"/>
      <c r="CF3272" s="501"/>
      <c r="CG3272" s="501"/>
      <c r="CH3272" s="501"/>
      <c r="CI3272" s="501"/>
      <c r="CJ3272" s="501"/>
      <c r="CK3272" s="501"/>
      <c r="CL3272" s="501"/>
      <c r="CM3272" s="501"/>
      <c r="CN3272" s="501"/>
      <c r="CO3272" s="501"/>
      <c r="CP3272" s="501"/>
      <c r="CQ3272" s="501"/>
      <c r="CR3272" s="501"/>
      <c r="CS3272" s="501"/>
      <c r="CT3272" s="501"/>
      <c r="CU3272" s="501"/>
      <c r="CV3272" s="501"/>
      <c r="CW3272" s="501"/>
      <c r="CX3272" s="501"/>
      <c r="CY3272" s="501"/>
      <c r="CZ3272" s="501"/>
      <c r="DA3272" s="501"/>
      <c r="DB3272" s="501"/>
      <c r="DC3272" s="501"/>
      <c r="DD3272" s="501"/>
      <c r="DE3272" s="501"/>
      <c r="DF3272" s="501"/>
      <c r="DG3272" s="501"/>
      <c r="DH3272" s="501"/>
      <c r="DI3272" s="501"/>
      <c r="DJ3272" s="501"/>
      <c r="DK3272" s="501"/>
      <c r="DL3272" s="501"/>
      <c r="DM3272" s="501"/>
      <c r="DN3272" s="501"/>
      <c r="DO3272" s="501"/>
      <c r="DP3272" s="501"/>
      <c r="DQ3272" s="501"/>
      <c r="DR3272" s="501"/>
      <c r="DS3272" s="501"/>
      <c r="DT3272" s="501"/>
      <c r="DU3272" s="501"/>
      <c r="DV3272" s="501"/>
      <c r="DW3272" s="501"/>
      <c r="DX3272" s="501"/>
      <c r="DY3272" s="501"/>
      <c r="DZ3272" s="501"/>
      <c r="EA3272" s="501"/>
      <c r="EB3272" s="501"/>
      <c r="EC3272" s="501"/>
      <c r="ED3272" s="501"/>
      <c r="EE3272" s="501"/>
      <c r="EF3272" s="501"/>
      <c r="EG3272" s="501"/>
      <c r="EH3272" s="501"/>
      <c r="EI3272" s="501"/>
      <c r="EJ3272" s="501"/>
      <c r="EK3272" s="501"/>
      <c r="EL3272" s="501"/>
      <c r="EM3272" s="501"/>
      <c r="EN3272" s="501"/>
      <c r="EO3272" s="501"/>
      <c r="EP3272" s="501"/>
      <c r="EQ3272" s="501"/>
      <c r="ER3272" s="501"/>
      <c r="ES3272" s="501"/>
      <c r="ET3272" s="501"/>
      <c r="EU3272" s="501"/>
      <c r="EV3272" s="501"/>
      <c r="EW3272" s="501"/>
      <c r="EX3272" s="501"/>
      <c r="EY3272" s="501"/>
      <c r="EZ3272" s="501"/>
      <c r="FA3272" s="501"/>
      <c r="FB3272" s="501"/>
      <c r="FC3272" s="501"/>
      <c r="FD3272" s="501"/>
      <c r="FE3272" s="501"/>
      <c r="FF3272" s="501"/>
      <c r="FG3272" s="501"/>
      <c r="FH3272" s="501"/>
      <c r="FI3272" s="501"/>
      <c r="FJ3272" s="501"/>
      <c r="FK3272" s="501"/>
      <c r="FL3272" s="501"/>
      <c r="FM3272" s="501"/>
      <c r="FN3272" s="501"/>
      <c r="FO3272" s="501"/>
      <c r="FP3272" s="501"/>
      <c r="FQ3272" s="501"/>
      <c r="FR3272" s="501"/>
      <c r="FS3272" s="501"/>
      <c r="FT3272" s="501"/>
      <c r="FU3272" s="501"/>
      <c r="FV3272" s="501"/>
      <c r="FW3272" s="501"/>
      <c r="FX3272" s="501"/>
      <c r="FY3272" s="501"/>
      <c r="FZ3272" s="501"/>
      <c r="GA3272" s="501"/>
      <c r="GB3272" s="501"/>
      <c r="GC3272" s="501"/>
      <c r="GD3272" s="501"/>
      <c r="GE3272" s="501"/>
      <c r="GF3272" s="501"/>
      <c r="GG3272" s="501"/>
      <c r="GH3272" s="501"/>
      <c r="GI3272" s="501"/>
      <c r="GJ3272" s="501"/>
      <c r="GK3272" s="501"/>
      <c r="GL3272" s="501"/>
      <c r="GM3272" s="501"/>
      <c r="GN3272" s="501"/>
      <c r="GO3272" s="501"/>
      <c r="GP3272" s="501"/>
      <c r="GQ3272" s="501"/>
      <c r="GR3272" s="501"/>
      <c r="GS3272" s="501"/>
      <c r="GT3272" s="501"/>
      <c r="GU3272" s="501"/>
      <c r="GV3272" s="501"/>
      <c r="GW3272" s="501"/>
      <c r="GX3272" s="501"/>
      <c r="GY3272" s="501"/>
      <c r="GZ3272" s="501"/>
      <c r="HA3272" s="501"/>
      <c r="HB3272" s="501"/>
      <c r="HC3272" s="501"/>
      <c r="HD3272" s="501"/>
      <c r="HE3272" s="501"/>
      <c r="HF3272" s="501"/>
      <c r="HG3272" s="501"/>
      <c r="HH3272" s="501"/>
      <c r="HI3272" s="501"/>
      <c r="HJ3272" s="501"/>
      <c r="HK3272" s="501"/>
      <c r="HL3272" s="501"/>
      <c r="HM3272" s="501"/>
      <c r="HN3272" s="501"/>
      <c r="HO3272" s="501"/>
      <c r="HP3272" s="501"/>
      <c r="HQ3272" s="501"/>
      <c r="HR3272" s="501"/>
      <c r="HS3272" s="501"/>
      <c r="HT3272" s="501"/>
      <c r="HU3272" s="501"/>
      <c r="HV3272" s="501"/>
      <c r="HW3272" s="501"/>
      <c r="HX3272" s="501"/>
      <c r="HY3272" s="501"/>
      <c r="HZ3272" s="501"/>
      <c r="IA3272" s="501"/>
      <c r="IB3272" s="501"/>
      <c r="IC3272" s="501"/>
      <c r="ID3272" s="501"/>
      <c r="IE3272" s="501"/>
      <c r="IF3272" s="501"/>
      <c r="IG3272" s="501"/>
      <c r="IH3272" s="501"/>
      <c r="II3272" s="501"/>
      <c r="IJ3272" s="501"/>
      <c r="IK3272" s="501"/>
      <c r="IL3272" s="501"/>
      <c r="IM3272" s="501"/>
      <c r="IN3272" s="501"/>
      <c r="IO3272" s="501"/>
      <c r="IP3272" s="501"/>
      <c r="IQ3272" s="501"/>
      <c r="IR3272" s="501"/>
      <c r="IS3272" s="501"/>
      <c r="IT3272" s="501"/>
      <c r="IU3272" s="501"/>
    </row>
    <row r="3273" spans="1:255" s="877" customFormat="1" ht="24" customHeight="1">
      <c r="A3273" s="501"/>
      <c r="B3273" s="501"/>
      <c r="C3273" s="501"/>
      <c r="D3273" s="501"/>
      <c r="E3273" s="501"/>
      <c r="F3273" s="501"/>
      <c r="G3273" s="915"/>
      <c r="H3273" s="501"/>
      <c r="I3273" s="874"/>
      <c r="J3273" s="501"/>
      <c r="K3273" s="501"/>
      <c r="L3273" s="501"/>
      <c r="M3273" s="554"/>
      <c r="N3273" s="501"/>
      <c r="O3273" s="1097"/>
      <c r="P3273" s="1151"/>
      <c r="Q3273" s="973"/>
      <c r="R3273" s="1102"/>
      <c r="S3273" s="1186"/>
      <c r="T3273" s="1097"/>
      <c r="V3273" s="501"/>
      <c r="W3273" s="501"/>
      <c r="X3273" s="501"/>
      <c r="Y3273" s="501"/>
      <c r="Z3273" s="501"/>
      <c r="AA3273" s="501"/>
      <c r="AB3273" s="501"/>
      <c r="AC3273" s="501"/>
      <c r="AD3273" s="501"/>
      <c r="AE3273" s="501"/>
      <c r="AF3273" s="501"/>
      <c r="AG3273" s="501"/>
      <c r="AH3273" s="501"/>
      <c r="AI3273" s="501"/>
      <c r="AJ3273" s="501"/>
      <c r="AK3273" s="501"/>
      <c r="AL3273" s="501"/>
      <c r="AM3273" s="501"/>
      <c r="AN3273" s="501"/>
      <c r="AO3273" s="501"/>
      <c r="AP3273" s="501"/>
      <c r="AQ3273" s="501"/>
      <c r="AR3273" s="501"/>
      <c r="AS3273" s="501"/>
      <c r="AT3273" s="501"/>
      <c r="AU3273" s="501"/>
      <c r="AV3273" s="501"/>
      <c r="AW3273" s="501"/>
      <c r="AX3273" s="501"/>
      <c r="AY3273" s="501"/>
      <c r="AZ3273" s="501"/>
      <c r="BA3273" s="501"/>
      <c r="BB3273" s="501"/>
      <c r="BC3273" s="501"/>
      <c r="BD3273" s="501"/>
      <c r="BE3273" s="501"/>
      <c r="BF3273" s="501"/>
      <c r="BG3273" s="501"/>
      <c r="BH3273" s="501"/>
      <c r="BI3273" s="501"/>
      <c r="BJ3273" s="501"/>
      <c r="BK3273" s="501"/>
      <c r="BL3273" s="501"/>
      <c r="BM3273" s="501"/>
      <c r="BN3273" s="501"/>
      <c r="BO3273" s="501"/>
      <c r="BP3273" s="501"/>
      <c r="BQ3273" s="501"/>
      <c r="BR3273" s="501"/>
      <c r="BS3273" s="501"/>
      <c r="BT3273" s="501"/>
      <c r="BU3273" s="501"/>
      <c r="BV3273" s="501"/>
      <c r="BW3273" s="501"/>
      <c r="BX3273" s="501"/>
      <c r="BY3273" s="501"/>
      <c r="BZ3273" s="501"/>
      <c r="CA3273" s="501"/>
      <c r="CB3273" s="501"/>
      <c r="CC3273" s="501"/>
      <c r="CD3273" s="501"/>
      <c r="CE3273" s="501"/>
      <c r="CF3273" s="501"/>
      <c r="CG3273" s="501"/>
      <c r="CH3273" s="501"/>
      <c r="CI3273" s="501"/>
      <c r="CJ3273" s="501"/>
      <c r="CK3273" s="501"/>
      <c r="CL3273" s="501"/>
      <c r="CM3273" s="501"/>
      <c r="CN3273" s="501"/>
      <c r="CO3273" s="501"/>
      <c r="CP3273" s="501"/>
      <c r="CQ3273" s="501"/>
      <c r="CR3273" s="501"/>
      <c r="CS3273" s="501"/>
      <c r="CT3273" s="501"/>
      <c r="CU3273" s="501"/>
      <c r="CV3273" s="501"/>
      <c r="CW3273" s="501"/>
      <c r="CX3273" s="501"/>
      <c r="CY3273" s="501"/>
      <c r="CZ3273" s="501"/>
      <c r="DA3273" s="501"/>
      <c r="DB3273" s="501"/>
      <c r="DC3273" s="501"/>
      <c r="DD3273" s="501"/>
      <c r="DE3273" s="501"/>
      <c r="DF3273" s="501"/>
      <c r="DG3273" s="501"/>
      <c r="DH3273" s="501"/>
      <c r="DI3273" s="501"/>
      <c r="DJ3273" s="501"/>
      <c r="DK3273" s="501"/>
      <c r="DL3273" s="501"/>
      <c r="DM3273" s="501"/>
      <c r="DN3273" s="501"/>
      <c r="DO3273" s="501"/>
      <c r="DP3273" s="501"/>
      <c r="DQ3273" s="501"/>
      <c r="DR3273" s="501"/>
      <c r="DS3273" s="501"/>
      <c r="DT3273" s="501"/>
      <c r="DU3273" s="501"/>
      <c r="DV3273" s="501"/>
      <c r="DW3273" s="501"/>
      <c r="DX3273" s="501"/>
      <c r="DY3273" s="501"/>
      <c r="DZ3273" s="501"/>
      <c r="EA3273" s="501"/>
      <c r="EB3273" s="501"/>
      <c r="EC3273" s="501"/>
      <c r="ED3273" s="501"/>
      <c r="EE3273" s="501"/>
      <c r="EF3273" s="501"/>
      <c r="EG3273" s="501"/>
      <c r="EH3273" s="501"/>
      <c r="EI3273" s="501"/>
      <c r="EJ3273" s="501"/>
      <c r="EK3273" s="501"/>
      <c r="EL3273" s="501"/>
      <c r="EM3273" s="501"/>
      <c r="EN3273" s="501"/>
      <c r="EO3273" s="501"/>
      <c r="EP3273" s="501"/>
      <c r="EQ3273" s="501"/>
      <c r="ER3273" s="501"/>
      <c r="ES3273" s="501"/>
      <c r="ET3273" s="501"/>
      <c r="EU3273" s="501"/>
      <c r="EV3273" s="501"/>
      <c r="EW3273" s="501"/>
      <c r="EX3273" s="501"/>
      <c r="EY3273" s="501"/>
      <c r="EZ3273" s="501"/>
      <c r="FA3273" s="501"/>
      <c r="FB3273" s="501"/>
      <c r="FC3273" s="501"/>
      <c r="FD3273" s="501"/>
      <c r="FE3273" s="501"/>
      <c r="FF3273" s="501"/>
      <c r="FG3273" s="501"/>
      <c r="FH3273" s="501"/>
      <c r="FI3273" s="501"/>
      <c r="FJ3273" s="501"/>
      <c r="FK3273" s="501"/>
      <c r="FL3273" s="501"/>
      <c r="FM3273" s="501"/>
      <c r="FN3273" s="501"/>
      <c r="FO3273" s="501"/>
      <c r="FP3273" s="501"/>
      <c r="FQ3273" s="501"/>
      <c r="FR3273" s="501"/>
      <c r="FS3273" s="501"/>
      <c r="FT3273" s="501"/>
      <c r="FU3273" s="501"/>
      <c r="FV3273" s="501"/>
      <c r="FW3273" s="501"/>
      <c r="FX3273" s="501"/>
      <c r="FY3273" s="501"/>
      <c r="FZ3273" s="501"/>
      <c r="GA3273" s="501"/>
      <c r="GB3273" s="501"/>
      <c r="GC3273" s="501"/>
      <c r="GD3273" s="501"/>
      <c r="GE3273" s="501"/>
      <c r="GF3273" s="501"/>
      <c r="GG3273" s="501"/>
      <c r="GH3273" s="501"/>
      <c r="GI3273" s="501"/>
      <c r="GJ3273" s="501"/>
      <c r="GK3273" s="501"/>
      <c r="GL3273" s="501"/>
      <c r="GM3273" s="501"/>
      <c r="GN3273" s="501"/>
      <c r="GO3273" s="501"/>
      <c r="GP3273" s="501"/>
      <c r="GQ3273" s="501"/>
      <c r="GR3273" s="501"/>
      <c r="GS3273" s="501"/>
      <c r="GT3273" s="501"/>
      <c r="GU3273" s="501"/>
      <c r="GV3273" s="501"/>
      <c r="GW3273" s="501"/>
      <c r="GX3273" s="501"/>
      <c r="GY3273" s="501"/>
      <c r="GZ3273" s="501"/>
      <c r="HA3273" s="501"/>
      <c r="HB3273" s="501"/>
      <c r="HC3273" s="501"/>
      <c r="HD3273" s="501"/>
      <c r="HE3273" s="501"/>
      <c r="HF3273" s="501"/>
      <c r="HG3273" s="501"/>
      <c r="HH3273" s="501"/>
      <c r="HI3273" s="501"/>
      <c r="HJ3273" s="501"/>
      <c r="HK3273" s="501"/>
      <c r="HL3273" s="501"/>
      <c r="HM3273" s="501"/>
      <c r="HN3273" s="501"/>
      <c r="HO3273" s="501"/>
      <c r="HP3273" s="501"/>
      <c r="HQ3273" s="501"/>
      <c r="HR3273" s="501"/>
      <c r="HS3273" s="501"/>
      <c r="HT3273" s="501"/>
      <c r="HU3273" s="501"/>
      <c r="HV3273" s="501"/>
      <c r="HW3273" s="501"/>
      <c r="HX3273" s="501"/>
      <c r="HY3273" s="501"/>
      <c r="HZ3273" s="501"/>
      <c r="IA3273" s="501"/>
      <c r="IB3273" s="501"/>
      <c r="IC3273" s="501"/>
      <c r="ID3273" s="501"/>
      <c r="IE3273" s="501"/>
      <c r="IF3273" s="501"/>
      <c r="IG3273" s="501"/>
      <c r="IH3273" s="501"/>
      <c r="II3273" s="501"/>
      <c r="IJ3273" s="501"/>
      <c r="IK3273" s="501"/>
      <c r="IL3273" s="501"/>
      <c r="IM3273" s="501"/>
      <c r="IN3273" s="501"/>
      <c r="IO3273" s="501"/>
      <c r="IP3273" s="501"/>
      <c r="IQ3273" s="501"/>
      <c r="IR3273" s="501"/>
      <c r="IS3273" s="501"/>
      <c r="IT3273" s="501"/>
      <c r="IU3273" s="501"/>
    </row>
    <row r="3274" spans="1:255" s="877" customFormat="1" ht="24" customHeight="1">
      <c r="A3274" s="501"/>
      <c r="B3274" s="501"/>
      <c r="C3274" s="501"/>
      <c r="D3274" s="501"/>
      <c r="E3274" s="501"/>
      <c r="F3274" s="1146"/>
      <c r="G3274" s="1197"/>
      <c r="H3274" s="1146"/>
      <c r="I3274" s="895"/>
      <c r="J3274" s="885"/>
      <c r="K3274" s="885"/>
      <c r="L3274" s="895"/>
      <c r="M3274" s="899"/>
      <c r="N3274" s="501"/>
      <c r="O3274" s="1097"/>
      <c r="P3274" s="1151"/>
      <c r="Q3274" s="973"/>
      <c r="R3274" s="501"/>
      <c r="S3274" s="554"/>
      <c r="T3274" s="1097"/>
      <c r="V3274" s="501"/>
      <c r="W3274" s="501"/>
      <c r="X3274" s="501"/>
      <c r="Y3274" s="501"/>
      <c r="Z3274" s="501"/>
      <c r="AA3274" s="501"/>
      <c r="AB3274" s="501"/>
      <c r="AC3274" s="501"/>
      <c r="AD3274" s="501"/>
      <c r="AE3274" s="501"/>
      <c r="AF3274" s="501"/>
      <c r="AG3274" s="501"/>
      <c r="AH3274" s="501"/>
      <c r="AI3274" s="501"/>
      <c r="AJ3274" s="501"/>
      <c r="AK3274" s="501"/>
      <c r="AL3274" s="501"/>
      <c r="AM3274" s="501"/>
      <c r="AN3274" s="501"/>
      <c r="AO3274" s="501"/>
      <c r="AP3274" s="501"/>
      <c r="AQ3274" s="501"/>
      <c r="AR3274" s="501"/>
      <c r="AS3274" s="501"/>
      <c r="AT3274" s="501"/>
      <c r="AU3274" s="501"/>
      <c r="AV3274" s="501"/>
      <c r="AW3274" s="501"/>
      <c r="AX3274" s="501"/>
      <c r="AY3274" s="501"/>
      <c r="AZ3274" s="501"/>
      <c r="BA3274" s="501"/>
      <c r="BB3274" s="501"/>
      <c r="BC3274" s="501"/>
      <c r="BD3274" s="501"/>
      <c r="BE3274" s="501"/>
      <c r="BF3274" s="501"/>
      <c r="BG3274" s="501"/>
      <c r="BH3274" s="501"/>
      <c r="BI3274" s="501"/>
      <c r="BJ3274" s="501"/>
      <c r="BK3274" s="501"/>
      <c r="BL3274" s="501"/>
      <c r="BM3274" s="501"/>
      <c r="BN3274" s="501"/>
      <c r="BO3274" s="501"/>
      <c r="BP3274" s="501"/>
      <c r="BQ3274" s="501"/>
      <c r="BR3274" s="501"/>
      <c r="BS3274" s="501"/>
      <c r="BT3274" s="501"/>
      <c r="BU3274" s="501"/>
      <c r="BV3274" s="501"/>
      <c r="BW3274" s="501"/>
      <c r="BX3274" s="501"/>
      <c r="BY3274" s="501"/>
      <c r="BZ3274" s="501"/>
      <c r="CA3274" s="501"/>
      <c r="CB3274" s="501"/>
      <c r="CC3274" s="501"/>
      <c r="CD3274" s="501"/>
      <c r="CE3274" s="501"/>
      <c r="CF3274" s="501"/>
      <c r="CG3274" s="501"/>
      <c r="CH3274" s="501"/>
      <c r="CI3274" s="501"/>
      <c r="CJ3274" s="501"/>
      <c r="CK3274" s="501"/>
      <c r="CL3274" s="501"/>
      <c r="CM3274" s="501"/>
      <c r="CN3274" s="501"/>
      <c r="CO3274" s="501"/>
      <c r="CP3274" s="501"/>
      <c r="CQ3274" s="501"/>
      <c r="CR3274" s="501"/>
      <c r="CS3274" s="501"/>
      <c r="CT3274" s="501"/>
      <c r="CU3274" s="501"/>
      <c r="CV3274" s="501"/>
      <c r="CW3274" s="501"/>
      <c r="CX3274" s="501"/>
      <c r="CY3274" s="501"/>
      <c r="CZ3274" s="501"/>
      <c r="DA3274" s="501"/>
      <c r="DB3274" s="501"/>
      <c r="DC3274" s="501"/>
      <c r="DD3274" s="501"/>
      <c r="DE3274" s="501"/>
      <c r="DF3274" s="501"/>
      <c r="DG3274" s="501"/>
      <c r="DH3274" s="501"/>
      <c r="DI3274" s="501"/>
      <c r="DJ3274" s="501"/>
      <c r="DK3274" s="501"/>
      <c r="DL3274" s="501"/>
      <c r="DM3274" s="501"/>
      <c r="DN3274" s="501"/>
      <c r="DO3274" s="501"/>
      <c r="DP3274" s="501"/>
      <c r="DQ3274" s="501"/>
      <c r="DR3274" s="501"/>
      <c r="DS3274" s="501"/>
      <c r="DT3274" s="501"/>
      <c r="DU3274" s="501"/>
      <c r="DV3274" s="501"/>
      <c r="DW3274" s="501"/>
      <c r="DX3274" s="501"/>
      <c r="DY3274" s="501"/>
      <c r="DZ3274" s="501"/>
      <c r="EA3274" s="501"/>
      <c r="EB3274" s="501"/>
      <c r="EC3274" s="501"/>
      <c r="ED3274" s="501"/>
      <c r="EE3274" s="501"/>
      <c r="EF3274" s="501"/>
      <c r="EG3274" s="501"/>
      <c r="EH3274" s="501"/>
      <c r="EI3274" s="501"/>
      <c r="EJ3274" s="501"/>
      <c r="EK3274" s="501"/>
      <c r="EL3274" s="501"/>
      <c r="EM3274" s="501"/>
      <c r="EN3274" s="501"/>
      <c r="EO3274" s="501"/>
      <c r="EP3274" s="501"/>
      <c r="EQ3274" s="501"/>
      <c r="ER3274" s="501"/>
      <c r="ES3274" s="501"/>
      <c r="ET3274" s="501"/>
      <c r="EU3274" s="501"/>
      <c r="EV3274" s="501"/>
      <c r="EW3274" s="501"/>
      <c r="EX3274" s="501"/>
      <c r="EY3274" s="501"/>
      <c r="EZ3274" s="501"/>
      <c r="FA3274" s="501"/>
      <c r="FB3274" s="501"/>
      <c r="FC3274" s="501"/>
      <c r="FD3274" s="501"/>
      <c r="FE3274" s="501"/>
      <c r="FF3274" s="501"/>
      <c r="FG3274" s="501"/>
      <c r="FH3274" s="501"/>
      <c r="FI3274" s="501"/>
      <c r="FJ3274" s="501"/>
      <c r="FK3274" s="501"/>
      <c r="FL3274" s="501"/>
      <c r="FM3274" s="501"/>
      <c r="FN3274" s="501"/>
      <c r="FO3274" s="501"/>
      <c r="FP3274" s="501"/>
      <c r="FQ3274" s="501"/>
      <c r="FR3274" s="501"/>
      <c r="FS3274" s="501"/>
      <c r="FT3274" s="501"/>
      <c r="FU3274" s="501"/>
      <c r="FV3274" s="501"/>
      <c r="FW3274" s="501"/>
      <c r="FX3274" s="501"/>
      <c r="FY3274" s="501"/>
      <c r="FZ3274" s="501"/>
      <c r="GA3274" s="501"/>
      <c r="GB3274" s="501"/>
      <c r="GC3274" s="501"/>
      <c r="GD3274" s="501"/>
      <c r="GE3274" s="501"/>
      <c r="GF3274" s="501"/>
      <c r="GG3274" s="501"/>
      <c r="GH3274" s="501"/>
      <c r="GI3274" s="501"/>
      <c r="GJ3274" s="501"/>
      <c r="GK3274" s="501"/>
      <c r="GL3274" s="501"/>
      <c r="GM3274" s="501"/>
      <c r="GN3274" s="501"/>
      <c r="GO3274" s="501"/>
      <c r="GP3274" s="501"/>
      <c r="GQ3274" s="501"/>
      <c r="GR3274" s="501"/>
      <c r="GS3274" s="501"/>
      <c r="GT3274" s="501"/>
      <c r="GU3274" s="501"/>
      <c r="GV3274" s="501"/>
      <c r="GW3274" s="501"/>
      <c r="GX3274" s="501"/>
      <c r="GY3274" s="501"/>
      <c r="GZ3274" s="501"/>
      <c r="HA3274" s="501"/>
      <c r="HB3274" s="501"/>
      <c r="HC3274" s="501"/>
      <c r="HD3274" s="501"/>
      <c r="HE3274" s="501"/>
      <c r="HF3274" s="501"/>
      <c r="HG3274" s="501"/>
      <c r="HH3274" s="501"/>
      <c r="HI3274" s="501"/>
      <c r="HJ3274" s="501"/>
      <c r="HK3274" s="501"/>
      <c r="HL3274" s="501"/>
      <c r="HM3274" s="501"/>
      <c r="HN3274" s="501"/>
      <c r="HO3274" s="501"/>
      <c r="HP3274" s="501"/>
      <c r="HQ3274" s="501"/>
      <c r="HR3274" s="501"/>
      <c r="HS3274" s="501"/>
      <c r="HT3274" s="501"/>
      <c r="HU3274" s="501"/>
      <c r="HV3274" s="501"/>
      <c r="HW3274" s="501"/>
      <c r="HX3274" s="501"/>
      <c r="HY3274" s="501"/>
      <c r="HZ3274" s="501"/>
      <c r="IA3274" s="501"/>
      <c r="IB3274" s="501"/>
      <c r="IC3274" s="501"/>
      <c r="ID3274" s="501"/>
      <c r="IE3274" s="501"/>
      <c r="IF3274" s="501"/>
      <c r="IG3274" s="501"/>
      <c r="IH3274" s="501"/>
      <c r="II3274" s="501"/>
      <c r="IJ3274" s="501"/>
      <c r="IK3274" s="501"/>
      <c r="IL3274" s="501"/>
      <c r="IM3274" s="501"/>
      <c r="IN3274" s="501"/>
      <c r="IO3274" s="501"/>
      <c r="IP3274" s="501"/>
      <c r="IQ3274" s="501"/>
      <c r="IR3274" s="501"/>
      <c r="IS3274" s="501"/>
      <c r="IT3274" s="501"/>
      <c r="IU3274" s="501"/>
    </row>
    <row r="3275" spans="1:255" s="877" customFormat="1" ht="24" customHeight="1">
      <c r="A3275" s="501"/>
      <c r="B3275" s="501"/>
      <c r="C3275" s="501"/>
      <c r="D3275" s="501"/>
      <c r="E3275" s="501"/>
      <c r="F3275" s="1146"/>
      <c r="G3275" s="1197"/>
      <c r="H3275" s="1146"/>
      <c r="I3275" s="895"/>
      <c r="J3275" s="885"/>
      <c r="K3275" s="1198"/>
      <c r="L3275" s="895"/>
      <c r="M3275" s="899"/>
      <c r="N3275" s="501"/>
      <c r="O3275" s="1097"/>
      <c r="P3275" s="1151"/>
      <c r="Q3275" s="973"/>
      <c r="R3275" s="1102"/>
      <c r="S3275" s="1195"/>
      <c r="T3275" s="1097"/>
      <c r="V3275" s="885"/>
      <c r="W3275" s="501"/>
      <c r="X3275" s="501"/>
      <c r="Y3275" s="501"/>
      <c r="Z3275" s="501"/>
      <c r="AA3275" s="501"/>
      <c r="AB3275" s="501"/>
      <c r="AC3275" s="501"/>
      <c r="AD3275" s="501"/>
      <c r="AE3275" s="501"/>
      <c r="AF3275" s="501"/>
      <c r="AG3275" s="501"/>
      <c r="AH3275" s="501"/>
      <c r="AI3275" s="501"/>
      <c r="AJ3275" s="501"/>
      <c r="AK3275" s="501"/>
      <c r="AL3275" s="501"/>
      <c r="AM3275" s="501"/>
      <c r="AN3275" s="501"/>
      <c r="AO3275" s="501"/>
      <c r="AP3275" s="501"/>
      <c r="AQ3275" s="501"/>
      <c r="AR3275" s="501"/>
      <c r="AS3275" s="501"/>
      <c r="AT3275" s="501"/>
      <c r="AU3275" s="501"/>
      <c r="AV3275" s="501"/>
      <c r="AW3275" s="501"/>
      <c r="AX3275" s="501"/>
      <c r="AY3275" s="501"/>
      <c r="AZ3275" s="501"/>
      <c r="BA3275" s="501"/>
      <c r="BB3275" s="501"/>
      <c r="BC3275" s="501"/>
      <c r="BD3275" s="501"/>
      <c r="BE3275" s="501"/>
      <c r="BF3275" s="501"/>
      <c r="BG3275" s="501"/>
      <c r="BH3275" s="501"/>
      <c r="BI3275" s="501"/>
      <c r="BJ3275" s="501"/>
      <c r="BK3275" s="501"/>
      <c r="BL3275" s="501"/>
      <c r="BM3275" s="501"/>
      <c r="BN3275" s="501"/>
      <c r="BO3275" s="501"/>
      <c r="BP3275" s="501"/>
      <c r="BQ3275" s="501"/>
      <c r="BR3275" s="501"/>
      <c r="BS3275" s="501"/>
      <c r="BT3275" s="501"/>
      <c r="BU3275" s="501"/>
      <c r="BV3275" s="501"/>
      <c r="BW3275" s="501"/>
      <c r="BX3275" s="501"/>
      <c r="BY3275" s="501"/>
      <c r="BZ3275" s="501"/>
      <c r="CA3275" s="501"/>
      <c r="CB3275" s="501"/>
      <c r="CC3275" s="501"/>
      <c r="CD3275" s="501"/>
      <c r="CE3275" s="501"/>
      <c r="CF3275" s="501"/>
      <c r="CG3275" s="501"/>
      <c r="CH3275" s="501"/>
      <c r="CI3275" s="501"/>
      <c r="CJ3275" s="501"/>
      <c r="CK3275" s="501"/>
      <c r="CL3275" s="501"/>
      <c r="CM3275" s="501"/>
      <c r="CN3275" s="501"/>
      <c r="CO3275" s="501"/>
      <c r="CP3275" s="501"/>
      <c r="CQ3275" s="501"/>
      <c r="CR3275" s="501"/>
      <c r="CS3275" s="501"/>
      <c r="CT3275" s="501"/>
      <c r="CU3275" s="501"/>
      <c r="CV3275" s="501"/>
      <c r="CW3275" s="501"/>
      <c r="CX3275" s="501"/>
      <c r="CY3275" s="501"/>
      <c r="CZ3275" s="501"/>
      <c r="DA3275" s="501"/>
      <c r="DB3275" s="501"/>
      <c r="DC3275" s="501"/>
      <c r="DD3275" s="501"/>
      <c r="DE3275" s="501"/>
      <c r="DF3275" s="501"/>
      <c r="DG3275" s="501"/>
      <c r="DH3275" s="501"/>
      <c r="DI3275" s="501"/>
      <c r="DJ3275" s="501"/>
      <c r="DK3275" s="501"/>
      <c r="DL3275" s="501"/>
      <c r="DM3275" s="501"/>
      <c r="DN3275" s="501"/>
      <c r="DO3275" s="501"/>
      <c r="DP3275" s="501"/>
      <c r="DQ3275" s="501"/>
      <c r="DR3275" s="501"/>
      <c r="DS3275" s="501"/>
      <c r="DT3275" s="501"/>
      <c r="DU3275" s="501"/>
      <c r="DV3275" s="501"/>
      <c r="DW3275" s="501"/>
      <c r="DX3275" s="501"/>
      <c r="DY3275" s="501"/>
      <c r="DZ3275" s="501"/>
      <c r="EA3275" s="501"/>
      <c r="EB3275" s="501"/>
      <c r="EC3275" s="501"/>
      <c r="ED3275" s="501"/>
      <c r="EE3275" s="501"/>
      <c r="EF3275" s="501"/>
      <c r="EG3275" s="501"/>
      <c r="EH3275" s="501"/>
      <c r="EI3275" s="501"/>
      <c r="EJ3275" s="501"/>
      <c r="EK3275" s="501"/>
      <c r="EL3275" s="501"/>
      <c r="EM3275" s="501"/>
      <c r="EN3275" s="501"/>
      <c r="EO3275" s="501"/>
      <c r="EP3275" s="501"/>
      <c r="EQ3275" s="501"/>
      <c r="ER3275" s="501"/>
      <c r="ES3275" s="501"/>
      <c r="ET3275" s="501"/>
      <c r="EU3275" s="501"/>
      <c r="EV3275" s="501"/>
      <c r="EW3275" s="501"/>
      <c r="EX3275" s="501"/>
      <c r="EY3275" s="501"/>
      <c r="EZ3275" s="501"/>
      <c r="FA3275" s="501"/>
      <c r="FB3275" s="501"/>
      <c r="FC3275" s="501"/>
      <c r="FD3275" s="501"/>
      <c r="FE3275" s="501"/>
      <c r="FF3275" s="501"/>
      <c r="FG3275" s="501"/>
      <c r="FH3275" s="501"/>
      <c r="FI3275" s="501"/>
      <c r="FJ3275" s="501"/>
      <c r="FK3275" s="501"/>
      <c r="FL3275" s="501"/>
      <c r="FM3275" s="501"/>
      <c r="FN3275" s="501"/>
      <c r="FO3275" s="501"/>
      <c r="FP3275" s="501"/>
      <c r="FQ3275" s="501"/>
      <c r="FR3275" s="501"/>
      <c r="FS3275" s="501"/>
      <c r="FT3275" s="501"/>
      <c r="FU3275" s="501"/>
      <c r="FV3275" s="501"/>
      <c r="FW3275" s="501"/>
      <c r="FX3275" s="501"/>
      <c r="FY3275" s="501"/>
      <c r="FZ3275" s="501"/>
      <c r="GA3275" s="501"/>
      <c r="GB3275" s="501"/>
      <c r="GC3275" s="501"/>
      <c r="GD3275" s="501"/>
      <c r="GE3275" s="501"/>
      <c r="GF3275" s="501"/>
      <c r="GG3275" s="501"/>
      <c r="GH3275" s="501"/>
      <c r="GI3275" s="501"/>
      <c r="GJ3275" s="501"/>
      <c r="GK3275" s="501"/>
      <c r="GL3275" s="501"/>
      <c r="GM3275" s="501"/>
      <c r="GN3275" s="501"/>
      <c r="GO3275" s="501"/>
      <c r="GP3275" s="501"/>
      <c r="GQ3275" s="501"/>
      <c r="GR3275" s="501"/>
      <c r="GS3275" s="501"/>
      <c r="GT3275" s="501"/>
      <c r="GU3275" s="501"/>
      <c r="GV3275" s="501"/>
      <c r="GW3275" s="501"/>
      <c r="GX3275" s="501"/>
      <c r="GY3275" s="501"/>
      <c r="GZ3275" s="501"/>
      <c r="HA3275" s="501"/>
      <c r="HB3275" s="501"/>
      <c r="HC3275" s="501"/>
      <c r="HD3275" s="501"/>
      <c r="HE3275" s="501"/>
      <c r="HF3275" s="501"/>
      <c r="HG3275" s="501"/>
      <c r="HH3275" s="501"/>
      <c r="HI3275" s="501"/>
      <c r="HJ3275" s="501"/>
      <c r="HK3275" s="501"/>
      <c r="HL3275" s="501"/>
      <c r="HM3275" s="501"/>
      <c r="HN3275" s="501"/>
      <c r="HO3275" s="501"/>
      <c r="HP3275" s="501"/>
      <c r="HQ3275" s="501"/>
      <c r="HR3275" s="501"/>
      <c r="HS3275" s="501"/>
      <c r="HT3275" s="501"/>
      <c r="HU3275" s="501"/>
      <c r="HV3275" s="501"/>
      <c r="HW3275" s="501"/>
      <c r="HX3275" s="501"/>
      <c r="HY3275" s="501"/>
      <c r="HZ3275" s="501"/>
      <c r="IA3275" s="501"/>
      <c r="IB3275" s="501"/>
      <c r="IC3275" s="501"/>
      <c r="ID3275" s="501"/>
      <c r="IE3275" s="501"/>
      <c r="IF3275" s="501"/>
      <c r="IG3275" s="501"/>
      <c r="IH3275" s="501"/>
      <c r="II3275" s="501"/>
      <c r="IJ3275" s="501"/>
      <c r="IK3275" s="501"/>
      <c r="IL3275" s="501"/>
      <c r="IM3275" s="501"/>
      <c r="IN3275" s="501"/>
      <c r="IO3275" s="501"/>
      <c r="IP3275" s="501"/>
      <c r="IQ3275" s="501"/>
      <c r="IR3275" s="501"/>
      <c r="IS3275" s="501"/>
      <c r="IT3275" s="501"/>
      <c r="IU3275" s="501"/>
    </row>
    <row r="3276" spans="1:255" s="877" customFormat="1" ht="24" customHeight="1">
      <c r="A3276" s="501"/>
      <c r="B3276" s="501"/>
      <c r="C3276" s="501"/>
      <c r="D3276" s="501"/>
      <c r="E3276" s="501"/>
      <c r="F3276" s="1148"/>
      <c r="G3276" s="1199"/>
      <c r="H3276" s="1148"/>
      <c r="I3276" s="895"/>
      <c r="J3276" s="1200"/>
      <c r="K3276" s="885"/>
      <c r="L3276" s="895"/>
      <c r="M3276" s="899"/>
      <c r="N3276" s="501"/>
      <c r="O3276" s="1097"/>
      <c r="P3276" s="1151"/>
      <c r="Q3276" s="973"/>
      <c r="R3276" s="1102"/>
      <c r="S3276" s="1195"/>
      <c r="T3276" s="1157"/>
      <c r="V3276" s="885"/>
      <c r="W3276" s="501"/>
      <c r="X3276" s="501"/>
      <c r="Y3276" s="501"/>
      <c r="Z3276" s="501"/>
      <c r="AA3276" s="501"/>
      <c r="AB3276" s="501"/>
      <c r="AC3276" s="501"/>
      <c r="AD3276" s="501"/>
      <c r="AE3276" s="501"/>
      <c r="AF3276" s="501"/>
      <c r="AG3276" s="501"/>
      <c r="AH3276" s="501"/>
      <c r="AI3276" s="501"/>
      <c r="AJ3276" s="501"/>
      <c r="AK3276" s="501"/>
      <c r="AL3276" s="501"/>
      <c r="AM3276" s="501"/>
      <c r="AN3276" s="501"/>
      <c r="AO3276" s="501"/>
      <c r="AP3276" s="501"/>
      <c r="AQ3276" s="501"/>
      <c r="AR3276" s="501"/>
      <c r="AS3276" s="501"/>
      <c r="AT3276" s="501"/>
      <c r="AU3276" s="501"/>
      <c r="AV3276" s="501"/>
      <c r="AW3276" s="501"/>
      <c r="AX3276" s="501"/>
      <c r="AY3276" s="501"/>
      <c r="AZ3276" s="501"/>
      <c r="BA3276" s="501"/>
      <c r="BB3276" s="501"/>
      <c r="BC3276" s="501"/>
      <c r="BD3276" s="501"/>
      <c r="BE3276" s="501"/>
      <c r="BF3276" s="501"/>
      <c r="BG3276" s="501"/>
      <c r="BH3276" s="501"/>
      <c r="BI3276" s="501"/>
      <c r="BJ3276" s="501"/>
      <c r="BK3276" s="501"/>
      <c r="BL3276" s="501"/>
      <c r="BM3276" s="501"/>
      <c r="BN3276" s="501"/>
      <c r="BO3276" s="501"/>
      <c r="BP3276" s="501"/>
      <c r="BQ3276" s="501"/>
      <c r="BR3276" s="501"/>
      <c r="BS3276" s="501"/>
      <c r="BT3276" s="501"/>
      <c r="BU3276" s="501"/>
      <c r="BV3276" s="501"/>
      <c r="BW3276" s="501"/>
      <c r="BX3276" s="501"/>
      <c r="BY3276" s="501"/>
      <c r="BZ3276" s="501"/>
      <c r="CA3276" s="501"/>
      <c r="CB3276" s="501"/>
      <c r="CC3276" s="501"/>
      <c r="CD3276" s="501"/>
      <c r="CE3276" s="501"/>
      <c r="CF3276" s="501"/>
      <c r="CG3276" s="501"/>
      <c r="CH3276" s="501"/>
      <c r="CI3276" s="501"/>
      <c r="CJ3276" s="501"/>
      <c r="CK3276" s="501"/>
      <c r="CL3276" s="501"/>
      <c r="CM3276" s="501"/>
      <c r="CN3276" s="501"/>
      <c r="CO3276" s="501"/>
      <c r="CP3276" s="501"/>
      <c r="CQ3276" s="501"/>
      <c r="CR3276" s="501"/>
      <c r="CS3276" s="501"/>
      <c r="CT3276" s="501"/>
      <c r="CU3276" s="501"/>
      <c r="CV3276" s="501"/>
      <c r="CW3276" s="501"/>
      <c r="CX3276" s="501"/>
      <c r="CY3276" s="501"/>
      <c r="CZ3276" s="501"/>
      <c r="DA3276" s="501"/>
      <c r="DB3276" s="501"/>
      <c r="DC3276" s="501"/>
      <c r="DD3276" s="501"/>
      <c r="DE3276" s="501"/>
      <c r="DF3276" s="501"/>
      <c r="DG3276" s="501"/>
      <c r="DH3276" s="501"/>
      <c r="DI3276" s="501"/>
      <c r="DJ3276" s="501"/>
      <c r="DK3276" s="501"/>
      <c r="DL3276" s="501"/>
      <c r="DM3276" s="501"/>
      <c r="DN3276" s="501"/>
      <c r="DO3276" s="501"/>
      <c r="DP3276" s="501"/>
      <c r="DQ3276" s="501"/>
      <c r="DR3276" s="501"/>
      <c r="DS3276" s="501"/>
      <c r="DT3276" s="501"/>
      <c r="DU3276" s="501"/>
      <c r="DV3276" s="501"/>
      <c r="DW3276" s="501"/>
      <c r="DX3276" s="501"/>
      <c r="DY3276" s="501"/>
      <c r="DZ3276" s="501"/>
      <c r="EA3276" s="501"/>
      <c r="EB3276" s="501"/>
      <c r="EC3276" s="501"/>
      <c r="ED3276" s="501"/>
      <c r="EE3276" s="501"/>
      <c r="EF3276" s="501"/>
      <c r="EG3276" s="501"/>
      <c r="EH3276" s="501"/>
      <c r="EI3276" s="501"/>
      <c r="EJ3276" s="501"/>
      <c r="EK3276" s="501"/>
      <c r="EL3276" s="501"/>
      <c r="EM3276" s="501"/>
      <c r="EN3276" s="501"/>
      <c r="EO3276" s="501"/>
      <c r="EP3276" s="501"/>
      <c r="EQ3276" s="501"/>
      <c r="ER3276" s="501"/>
      <c r="ES3276" s="501"/>
      <c r="ET3276" s="501"/>
      <c r="EU3276" s="501"/>
      <c r="EV3276" s="501"/>
      <c r="EW3276" s="501"/>
      <c r="EX3276" s="501"/>
      <c r="EY3276" s="501"/>
      <c r="EZ3276" s="501"/>
      <c r="FA3276" s="501"/>
      <c r="FB3276" s="501"/>
      <c r="FC3276" s="501"/>
      <c r="FD3276" s="501"/>
      <c r="FE3276" s="501"/>
      <c r="FF3276" s="501"/>
      <c r="FG3276" s="501"/>
      <c r="FH3276" s="501"/>
      <c r="FI3276" s="501"/>
      <c r="FJ3276" s="501"/>
      <c r="FK3276" s="501"/>
      <c r="FL3276" s="501"/>
      <c r="FM3276" s="501"/>
      <c r="FN3276" s="501"/>
      <c r="FO3276" s="501"/>
      <c r="FP3276" s="501"/>
      <c r="FQ3276" s="501"/>
      <c r="FR3276" s="501"/>
      <c r="FS3276" s="501"/>
      <c r="FT3276" s="501"/>
      <c r="FU3276" s="501"/>
      <c r="FV3276" s="501"/>
      <c r="FW3276" s="501"/>
      <c r="FX3276" s="501"/>
      <c r="FY3276" s="501"/>
      <c r="FZ3276" s="501"/>
      <c r="GA3276" s="501"/>
      <c r="GB3276" s="501"/>
      <c r="GC3276" s="501"/>
      <c r="GD3276" s="501"/>
      <c r="GE3276" s="501"/>
      <c r="GF3276" s="501"/>
      <c r="GG3276" s="501"/>
      <c r="GH3276" s="501"/>
      <c r="GI3276" s="501"/>
      <c r="GJ3276" s="501"/>
      <c r="GK3276" s="501"/>
      <c r="GL3276" s="501"/>
      <c r="GM3276" s="501"/>
      <c r="GN3276" s="501"/>
      <c r="GO3276" s="501"/>
      <c r="GP3276" s="501"/>
      <c r="GQ3276" s="501"/>
      <c r="GR3276" s="501"/>
      <c r="GS3276" s="501"/>
      <c r="GT3276" s="501"/>
      <c r="GU3276" s="501"/>
      <c r="GV3276" s="501"/>
      <c r="GW3276" s="501"/>
      <c r="GX3276" s="501"/>
      <c r="GY3276" s="501"/>
      <c r="GZ3276" s="501"/>
      <c r="HA3276" s="501"/>
      <c r="HB3276" s="501"/>
      <c r="HC3276" s="501"/>
      <c r="HD3276" s="501"/>
      <c r="HE3276" s="501"/>
      <c r="HF3276" s="501"/>
      <c r="HG3276" s="501"/>
      <c r="HH3276" s="501"/>
      <c r="HI3276" s="501"/>
      <c r="HJ3276" s="501"/>
      <c r="HK3276" s="501"/>
      <c r="HL3276" s="501"/>
      <c r="HM3276" s="501"/>
      <c r="HN3276" s="501"/>
      <c r="HO3276" s="501"/>
      <c r="HP3276" s="501"/>
      <c r="HQ3276" s="501"/>
      <c r="HR3276" s="501"/>
      <c r="HS3276" s="501"/>
      <c r="HT3276" s="501"/>
      <c r="HU3276" s="501"/>
      <c r="HV3276" s="501"/>
      <c r="HW3276" s="501"/>
      <c r="HX3276" s="501"/>
      <c r="HY3276" s="501"/>
      <c r="HZ3276" s="501"/>
      <c r="IA3276" s="501"/>
      <c r="IB3276" s="501"/>
      <c r="IC3276" s="501"/>
      <c r="ID3276" s="501"/>
      <c r="IE3276" s="501"/>
      <c r="IF3276" s="501"/>
      <c r="IG3276" s="501"/>
      <c r="IH3276" s="501"/>
      <c r="II3276" s="501"/>
      <c r="IJ3276" s="501"/>
      <c r="IK3276" s="501"/>
      <c r="IL3276" s="501"/>
      <c r="IM3276" s="501"/>
      <c r="IN3276" s="501"/>
      <c r="IO3276" s="501"/>
      <c r="IP3276" s="501"/>
      <c r="IQ3276" s="501"/>
      <c r="IR3276" s="501"/>
      <c r="IS3276" s="501"/>
      <c r="IT3276" s="501"/>
      <c r="IU3276" s="501"/>
    </row>
    <row r="3277" spans="1:255" s="877" customFormat="1" ht="24" customHeight="1">
      <c r="A3277" s="501"/>
      <c r="B3277" s="501"/>
      <c r="C3277" s="501"/>
      <c r="D3277" s="501"/>
      <c r="E3277" s="501"/>
      <c r="F3277" s="1148"/>
      <c r="G3277" s="1199"/>
      <c r="H3277" s="1148"/>
      <c r="I3277" s="895"/>
      <c r="J3277" s="1200"/>
      <c r="K3277" s="885"/>
      <c r="L3277" s="895"/>
      <c r="M3277" s="899"/>
      <c r="N3277" s="501"/>
      <c r="O3277" s="1097"/>
      <c r="P3277" s="1151"/>
      <c r="Q3277" s="1097"/>
      <c r="R3277" s="1097"/>
      <c r="S3277" s="1106"/>
      <c r="T3277" s="501"/>
      <c r="V3277" s="961"/>
      <c r="W3277" s="885"/>
      <c r="X3277" s="885"/>
      <c r="Y3277" s="895"/>
      <c r="Z3277" s="885"/>
      <c r="AA3277" s="501"/>
      <c r="AB3277" s="501"/>
      <c r="AC3277" s="501"/>
      <c r="AD3277" s="501"/>
      <c r="AE3277" s="501"/>
      <c r="AF3277" s="501"/>
      <c r="AG3277" s="501"/>
      <c r="AH3277" s="501"/>
      <c r="AI3277" s="501"/>
      <c r="AJ3277" s="501"/>
      <c r="AK3277" s="501"/>
      <c r="AL3277" s="501"/>
      <c r="AM3277" s="501"/>
      <c r="AN3277" s="501"/>
      <c r="AO3277" s="501"/>
      <c r="AP3277" s="501"/>
      <c r="AQ3277" s="501"/>
      <c r="AR3277" s="501"/>
      <c r="AS3277" s="501"/>
      <c r="AT3277" s="501"/>
      <c r="AU3277" s="501"/>
      <c r="AV3277" s="501"/>
      <c r="AW3277" s="501"/>
      <c r="AX3277" s="501"/>
      <c r="AY3277" s="501"/>
      <c r="AZ3277" s="501"/>
      <c r="BA3277" s="501"/>
      <c r="BB3277" s="501"/>
      <c r="BC3277" s="501"/>
      <c r="BD3277" s="501"/>
      <c r="BE3277" s="501"/>
      <c r="BF3277" s="501"/>
      <c r="BG3277" s="501"/>
      <c r="BH3277" s="501"/>
      <c r="BI3277" s="501"/>
      <c r="BJ3277" s="501"/>
      <c r="BK3277" s="501"/>
      <c r="BL3277" s="501"/>
      <c r="BM3277" s="501"/>
      <c r="BN3277" s="501"/>
      <c r="BO3277" s="501"/>
      <c r="BP3277" s="501"/>
      <c r="BQ3277" s="501"/>
      <c r="BR3277" s="501"/>
      <c r="BS3277" s="501"/>
      <c r="BT3277" s="501"/>
      <c r="BU3277" s="501"/>
      <c r="BV3277" s="501"/>
      <c r="BW3277" s="501"/>
      <c r="BX3277" s="501"/>
      <c r="BY3277" s="501"/>
      <c r="BZ3277" s="501"/>
      <c r="CA3277" s="501"/>
      <c r="CB3277" s="501"/>
      <c r="CC3277" s="501"/>
      <c r="CD3277" s="501"/>
      <c r="CE3277" s="501"/>
      <c r="CF3277" s="501"/>
      <c r="CG3277" s="501"/>
      <c r="CH3277" s="501"/>
      <c r="CI3277" s="501"/>
      <c r="CJ3277" s="501"/>
      <c r="CK3277" s="501"/>
      <c r="CL3277" s="501"/>
      <c r="CM3277" s="501"/>
      <c r="CN3277" s="501"/>
      <c r="CO3277" s="501"/>
      <c r="CP3277" s="501"/>
      <c r="CQ3277" s="501"/>
      <c r="CR3277" s="501"/>
      <c r="CS3277" s="501"/>
      <c r="CT3277" s="501"/>
      <c r="CU3277" s="501"/>
      <c r="CV3277" s="501"/>
      <c r="CW3277" s="501"/>
      <c r="CX3277" s="501"/>
      <c r="CY3277" s="501"/>
      <c r="CZ3277" s="501"/>
      <c r="DA3277" s="501"/>
      <c r="DB3277" s="501"/>
      <c r="DC3277" s="501"/>
      <c r="DD3277" s="501"/>
      <c r="DE3277" s="501"/>
      <c r="DF3277" s="501"/>
      <c r="DG3277" s="501"/>
      <c r="DH3277" s="501"/>
      <c r="DI3277" s="501"/>
      <c r="DJ3277" s="501"/>
      <c r="DK3277" s="501"/>
      <c r="DL3277" s="501"/>
      <c r="DM3277" s="501"/>
      <c r="DN3277" s="501"/>
      <c r="DO3277" s="501"/>
      <c r="DP3277" s="501"/>
      <c r="DQ3277" s="501"/>
      <c r="DR3277" s="501"/>
      <c r="DS3277" s="501"/>
      <c r="DT3277" s="501"/>
      <c r="DU3277" s="501"/>
      <c r="DV3277" s="501"/>
      <c r="DW3277" s="501"/>
      <c r="DX3277" s="501"/>
      <c r="DY3277" s="501"/>
      <c r="DZ3277" s="501"/>
      <c r="EA3277" s="501"/>
      <c r="EB3277" s="501"/>
      <c r="EC3277" s="501"/>
      <c r="ED3277" s="501"/>
      <c r="EE3277" s="501"/>
      <c r="EF3277" s="501"/>
      <c r="EG3277" s="501"/>
      <c r="EH3277" s="501"/>
      <c r="EI3277" s="501"/>
      <c r="EJ3277" s="501"/>
      <c r="EK3277" s="501"/>
      <c r="EL3277" s="501"/>
      <c r="EM3277" s="501"/>
      <c r="EN3277" s="501"/>
      <c r="EO3277" s="501"/>
      <c r="EP3277" s="501"/>
      <c r="EQ3277" s="501"/>
      <c r="ER3277" s="501"/>
      <c r="ES3277" s="501"/>
      <c r="ET3277" s="501"/>
      <c r="EU3277" s="501"/>
      <c r="EV3277" s="501"/>
      <c r="EW3277" s="501"/>
      <c r="EX3277" s="501"/>
      <c r="EY3277" s="501"/>
      <c r="EZ3277" s="501"/>
      <c r="FA3277" s="501"/>
      <c r="FB3277" s="501"/>
      <c r="FC3277" s="501"/>
      <c r="FD3277" s="501"/>
      <c r="FE3277" s="501"/>
      <c r="FF3277" s="501"/>
      <c r="FG3277" s="501"/>
      <c r="FH3277" s="501"/>
      <c r="FI3277" s="501"/>
      <c r="FJ3277" s="501"/>
      <c r="FK3277" s="501"/>
      <c r="FL3277" s="501"/>
      <c r="FM3277" s="501"/>
      <c r="FN3277" s="501"/>
      <c r="FO3277" s="501"/>
      <c r="FP3277" s="501"/>
      <c r="FQ3277" s="501"/>
      <c r="FR3277" s="501"/>
      <c r="FS3277" s="501"/>
      <c r="FT3277" s="501"/>
      <c r="FU3277" s="501"/>
      <c r="FV3277" s="501"/>
      <c r="FW3277" s="501"/>
      <c r="FX3277" s="501"/>
      <c r="FY3277" s="501"/>
      <c r="FZ3277" s="501"/>
      <c r="GA3277" s="501"/>
      <c r="GB3277" s="501"/>
      <c r="GC3277" s="501"/>
      <c r="GD3277" s="501"/>
      <c r="GE3277" s="501"/>
      <c r="GF3277" s="501"/>
      <c r="GG3277" s="501"/>
      <c r="GH3277" s="501"/>
      <c r="GI3277" s="501"/>
      <c r="GJ3277" s="501"/>
      <c r="GK3277" s="501"/>
      <c r="GL3277" s="501"/>
      <c r="GM3277" s="501"/>
      <c r="GN3277" s="501"/>
      <c r="GO3277" s="501"/>
      <c r="GP3277" s="501"/>
      <c r="GQ3277" s="501"/>
      <c r="GR3277" s="501"/>
      <c r="GS3277" s="501"/>
      <c r="GT3277" s="501"/>
      <c r="GU3277" s="501"/>
      <c r="GV3277" s="501"/>
      <c r="GW3277" s="501"/>
      <c r="GX3277" s="501"/>
      <c r="GY3277" s="501"/>
      <c r="GZ3277" s="501"/>
      <c r="HA3277" s="501"/>
      <c r="HB3277" s="501"/>
      <c r="HC3277" s="501"/>
      <c r="HD3277" s="501"/>
      <c r="HE3277" s="501"/>
      <c r="HF3277" s="501"/>
      <c r="HG3277" s="501"/>
      <c r="HH3277" s="501"/>
      <c r="HI3277" s="501"/>
      <c r="HJ3277" s="501"/>
      <c r="HK3277" s="501"/>
      <c r="HL3277" s="501"/>
      <c r="HM3277" s="501"/>
      <c r="HN3277" s="501"/>
      <c r="HO3277" s="501"/>
      <c r="HP3277" s="501"/>
      <c r="HQ3277" s="501"/>
      <c r="HR3277" s="501"/>
      <c r="HS3277" s="501"/>
      <c r="HT3277" s="501"/>
      <c r="HU3277" s="501"/>
      <c r="HV3277" s="501"/>
      <c r="HW3277" s="501"/>
      <c r="HX3277" s="501"/>
      <c r="HY3277" s="501"/>
      <c r="HZ3277" s="501"/>
      <c r="IA3277" s="501"/>
      <c r="IB3277" s="501"/>
      <c r="IC3277" s="501"/>
      <c r="ID3277" s="501"/>
      <c r="IE3277" s="501"/>
      <c r="IF3277" s="501"/>
      <c r="IG3277" s="501"/>
      <c r="IH3277" s="501"/>
      <c r="II3277" s="501"/>
      <c r="IJ3277" s="501"/>
      <c r="IK3277" s="501"/>
      <c r="IL3277" s="501"/>
      <c r="IM3277" s="501"/>
      <c r="IN3277" s="501"/>
      <c r="IO3277" s="501"/>
      <c r="IP3277" s="501"/>
      <c r="IQ3277" s="501"/>
      <c r="IR3277" s="501"/>
      <c r="IS3277" s="501"/>
      <c r="IT3277" s="501"/>
      <c r="IU3277" s="501"/>
    </row>
    <row r="3278" spans="1:255" s="877" customFormat="1" ht="24" customHeight="1">
      <c r="A3278" s="501"/>
      <c r="B3278" s="501"/>
      <c r="C3278" s="501"/>
      <c r="D3278" s="501"/>
      <c r="E3278" s="501"/>
      <c r="F3278" s="885"/>
      <c r="G3278" s="1057"/>
      <c r="H3278" s="885"/>
      <c r="I3278" s="895"/>
      <c r="J3278" s="885"/>
      <c r="K3278" s="1198"/>
      <c r="L3278" s="895"/>
      <c r="M3278" s="899"/>
      <c r="N3278" s="501"/>
      <c r="O3278" s="1097"/>
      <c r="P3278" s="1151"/>
      <c r="Q3278" s="1097"/>
      <c r="R3278" s="1097"/>
      <c r="S3278" s="1188"/>
      <c r="T3278" s="501"/>
      <c r="V3278" s="961"/>
      <c r="W3278" s="885"/>
      <c r="X3278" s="885"/>
      <c r="Y3278" s="895"/>
      <c r="Z3278" s="885"/>
      <c r="AA3278" s="501"/>
      <c r="AB3278" s="501"/>
      <c r="AC3278" s="501"/>
      <c r="AD3278" s="501"/>
      <c r="AE3278" s="501"/>
      <c r="AF3278" s="501"/>
      <c r="AG3278" s="501"/>
      <c r="AH3278" s="501"/>
      <c r="AI3278" s="501"/>
      <c r="AJ3278" s="501"/>
      <c r="AK3278" s="501"/>
      <c r="AL3278" s="501"/>
      <c r="AM3278" s="501"/>
      <c r="AN3278" s="501"/>
      <c r="AO3278" s="501"/>
      <c r="AP3278" s="501"/>
      <c r="AQ3278" s="501"/>
      <c r="AR3278" s="501"/>
      <c r="AS3278" s="501"/>
      <c r="AT3278" s="501"/>
      <c r="AU3278" s="501"/>
      <c r="AV3278" s="501"/>
      <c r="AW3278" s="501"/>
      <c r="AX3278" s="501"/>
      <c r="AY3278" s="501"/>
      <c r="AZ3278" s="501"/>
      <c r="BA3278" s="501"/>
      <c r="BB3278" s="501"/>
      <c r="BC3278" s="501"/>
      <c r="BD3278" s="501"/>
      <c r="BE3278" s="501"/>
      <c r="BF3278" s="501"/>
      <c r="BG3278" s="501"/>
      <c r="BH3278" s="501"/>
      <c r="BI3278" s="501"/>
      <c r="BJ3278" s="501"/>
      <c r="BK3278" s="501"/>
      <c r="BL3278" s="501"/>
      <c r="BM3278" s="501"/>
      <c r="BN3278" s="501"/>
      <c r="BO3278" s="501"/>
      <c r="BP3278" s="501"/>
      <c r="BQ3278" s="501"/>
      <c r="BR3278" s="501"/>
      <c r="BS3278" s="501"/>
      <c r="BT3278" s="501"/>
      <c r="BU3278" s="501"/>
      <c r="BV3278" s="501"/>
      <c r="BW3278" s="501"/>
      <c r="BX3278" s="501"/>
      <c r="BY3278" s="501"/>
      <c r="BZ3278" s="501"/>
      <c r="CA3278" s="501"/>
      <c r="CB3278" s="501"/>
      <c r="CC3278" s="501"/>
      <c r="CD3278" s="501"/>
      <c r="CE3278" s="501"/>
      <c r="CF3278" s="501"/>
      <c r="CG3278" s="501"/>
      <c r="CH3278" s="501"/>
      <c r="CI3278" s="501"/>
      <c r="CJ3278" s="501"/>
      <c r="CK3278" s="501"/>
      <c r="CL3278" s="501"/>
      <c r="CM3278" s="501"/>
      <c r="CN3278" s="501"/>
      <c r="CO3278" s="501"/>
      <c r="CP3278" s="501"/>
      <c r="CQ3278" s="501"/>
      <c r="CR3278" s="501"/>
      <c r="CS3278" s="501"/>
      <c r="CT3278" s="501"/>
      <c r="CU3278" s="501"/>
      <c r="CV3278" s="501"/>
      <c r="CW3278" s="501"/>
      <c r="CX3278" s="501"/>
      <c r="CY3278" s="501"/>
      <c r="CZ3278" s="501"/>
      <c r="DA3278" s="501"/>
      <c r="DB3278" s="501"/>
      <c r="DC3278" s="501"/>
      <c r="DD3278" s="501"/>
      <c r="DE3278" s="501"/>
      <c r="DF3278" s="501"/>
      <c r="DG3278" s="501"/>
      <c r="DH3278" s="501"/>
      <c r="DI3278" s="501"/>
      <c r="DJ3278" s="501"/>
      <c r="DK3278" s="501"/>
      <c r="DL3278" s="501"/>
      <c r="DM3278" s="501"/>
      <c r="DN3278" s="501"/>
      <c r="DO3278" s="501"/>
      <c r="DP3278" s="501"/>
      <c r="DQ3278" s="501"/>
      <c r="DR3278" s="501"/>
      <c r="DS3278" s="501"/>
      <c r="DT3278" s="501"/>
      <c r="DU3278" s="501"/>
      <c r="DV3278" s="501"/>
      <c r="DW3278" s="501"/>
      <c r="DX3278" s="501"/>
      <c r="DY3278" s="501"/>
      <c r="DZ3278" s="501"/>
      <c r="EA3278" s="501"/>
      <c r="EB3278" s="501"/>
      <c r="EC3278" s="501"/>
      <c r="ED3278" s="501"/>
      <c r="EE3278" s="501"/>
      <c r="EF3278" s="501"/>
      <c r="EG3278" s="501"/>
      <c r="EH3278" s="501"/>
      <c r="EI3278" s="501"/>
      <c r="EJ3278" s="501"/>
      <c r="EK3278" s="501"/>
      <c r="EL3278" s="501"/>
      <c r="EM3278" s="501"/>
      <c r="EN3278" s="501"/>
      <c r="EO3278" s="501"/>
      <c r="EP3278" s="501"/>
      <c r="EQ3278" s="501"/>
      <c r="ER3278" s="501"/>
      <c r="ES3278" s="501"/>
      <c r="ET3278" s="501"/>
      <c r="EU3278" s="501"/>
      <c r="EV3278" s="501"/>
      <c r="EW3278" s="501"/>
      <c r="EX3278" s="501"/>
      <c r="EY3278" s="501"/>
      <c r="EZ3278" s="501"/>
      <c r="FA3278" s="501"/>
      <c r="FB3278" s="501"/>
      <c r="FC3278" s="501"/>
      <c r="FD3278" s="501"/>
      <c r="FE3278" s="501"/>
      <c r="FF3278" s="501"/>
      <c r="FG3278" s="501"/>
      <c r="FH3278" s="501"/>
      <c r="FI3278" s="501"/>
      <c r="FJ3278" s="501"/>
      <c r="FK3278" s="501"/>
      <c r="FL3278" s="501"/>
      <c r="FM3278" s="501"/>
      <c r="FN3278" s="501"/>
      <c r="FO3278" s="501"/>
      <c r="FP3278" s="501"/>
      <c r="FQ3278" s="501"/>
      <c r="FR3278" s="501"/>
      <c r="FS3278" s="501"/>
      <c r="FT3278" s="501"/>
      <c r="FU3278" s="501"/>
      <c r="FV3278" s="501"/>
      <c r="FW3278" s="501"/>
      <c r="FX3278" s="501"/>
      <c r="FY3278" s="501"/>
      <c r="FZ3278" s="501"/>
      <c r="GA3278" s="501"/>
      <c r="GB3278" s="501"/>
      <c r="GC3278" s="501"/>
      <c r="GD3278" s="501"/>
      <c r="GE3278" s="501"/>
      <c r="GF3278" s="501"/>
      <c r="GG3278" s="501"/>
      <c r="GH3278" s="501"/>
      <c r="GI3278" s="501"/>
      <c r="GJ3278" s="501"/>
      <c r="GK3278" s="501"/>
      <c r="GL3278" s="501"/>
      <c r="GM3278" s="501"/>
      <c r="GN3278" s="501"/>
      <c r="GO3278" s="501"/>
      <c r="GP3278" s="501"/>
      <c r="GQ3278" s="501"/>
      <c r="GR3278" s="501"/>
      <c r="GS3278" s="501"/>
      <c r="GT3278" s="501"/>
      <c r="GU3278" s="501"/>
      <c r="GV3278" s="501"/>
      <c r="GW3278" s="501"/>
      <c r="GX3278" s="501"/>
      <c r="GY3278" s="501"/>
      <c r="GZ3278" s="501"/>
      <c r="HA3278" s="501"/>
      <c r="HB3278" s="501"/>
      <c r="HC3278" s="501"/>
      <c r="HD3278" s="501"/>
      <c r="HE3278" s="501"/>
      <c r="HF3278" s="501"/>
      <c r="HG3278" s="501"/>
      <c r="HH3278" s="501"/>
      <c r="HI3278" s="501"/>
      <c r="HJ3278" s="501"/>
      <c r="HK3278" s="501"/>
      <c r="HL3278" s="501"/>
      <c r="HM3278" s="501"/>
      <c r="HN3278" s="501"/>
      <c r="HO3278" s="501"/>
      <c r="HP3278" s="501"/>
      <c r="HQ3278" s="501"/>
      <c r="HR3278" s="501"/>
      <c r="HS3278" s="501"/>
      <c r="HT3278" s="501"/>
      <c r="HU3278" s="501"/>
      <c r="HV3278" s="501"/>
      <c r="HW3278" s="501"/>
      <c r="HX3278" s="501"/>
      <c r="HY3278" s="501"/>
      <c r="HZ3278" s="501"/>
      <c r="IA3278" s="501"/>
      <c r="IB3278" s="501"/>
      <c r="IC3278" s="501"/>
      <c r="ID3278" s="501"/>
      <c r="IE3278" s="501"/>
      <c r="IF3278" s="501"/>
      <c r="IG3278" s="501"/>
      <c r="IH3278" s="501"/>
      <c r="II3278" s="501"/>
      <c r="IJ3278" s="501"/>
      <c r="IK3278" s="501"/>
      <c r="IL3278" s="501"/>
      <c r="IM3278" s="501"/>
      <c r="IN3278" s="501"/>
      <c r="IO3278" s="501"/>
      <c r="IP3278" s="501"/>
      <c r="IQ3278" s="501"/>
      <c r="IR3278" s="501"/>
      <c r="IS3278" s="501"/>
      <c r="IT3278" s="501"/>
      <c r="IU3278" s="501"/>
    </row>
    <row r="3279" spans="1:255" s="877" customFormat="1" ht="24" customHeight="1">
      <c r="A3279" s="501"/>
      <c r="B3279" s="501"/>
      <c r="C3279" s="501"/>
      <c r="D3279" s="501"/>
      <c r="E3279" s="501"/>
      <c r="F3279" s="885"/>
      <c r="G3279" s="1057"/>
      <c r="H3279" s="885"/>
      <c r="I3279" s="895"/>
      <c r="J3279" s="885"/>
      <c r="K3279" s="885"/>
      <c r="L3279" s="895"/>
      <c r="M3279" s="899"/>
      <c r="N3279" s="501"/>
      <c r="O3279" s="1097"/>
      <c r="P3279" s="1151"/>
      <c r="Q3279" s="1097"/>
      <c r="R3279" s="1097"/>
      <c r="S3279" s="1106"/>
      <c r="T3279" s="501"/>
      <c r="V3279" s="961"/>
      <c r="W3279" s="885"/>
      <c r="X3279" s="885"/>
      <c r="Y3279" s="895"/>
      <c r="Z3279" s="885"/>
      <c r="AA3279" s="501"/>
      <c r="AB3279" s="501"/>
      <c r="AC3279" s="501"/>
      <c r="AD3279" s="501"/>
      <c r="AE3279" s="501"/>
      <c r="AF3279" s="501"/>
      <c r="AG3279" s="501"/>
      <c r="AH3279" s="501"/>
      <c r="AI3279" s="501"/>
      <c r="AJ3279" s="501"/>
      <c r="AK3279" s="501"/>
      <c r="AL3279" s="501"/>
      <c r="AM3279" s="501"/>
      <c r="AN3279" s="501"/>
      <c r="AO3279" s="501"/>
      <c r="AP3279" s="501"/>
      <c r="AQ3279" s="501"/>
      <c r="AR3279" s="501"/>
      <c r="AS3279" s="501"/>
      <c r="AT3279" s="501"/>
      <c r="AU3279" s="501"/>
      <c r="AV3279" s="501"/>
      <c r="AW3279" s="501"/>
      <c r="AX3279" s="501"/>
      <c r="AY3279" s="501"/>
      <c r="AZ3279" s="501"/>
      <c r="BA3279" s="501"/>
      <c r="BB3279" s="501"/>
      <c r="BC3279" s="501"/>
      <c r="BD3279" s="501"/>
      <c r="BE3279" s="501"/>
      <c r="BF3279" s="501"/>
      <c r="BG3279" s="501"/>
      <c r="BH3279" s="501"/>
      <c r="BI3279" s="501"/>
      <c r="BJ3279" s="501"/>
      <c r="BK3279" s="501"/>
      <c r="BL3279" s="501"/>
      <c r="BM3279" s="501"/>
      <c r="BN3279" s="501"/>
      <c r="BO3279" s="501"/>
      <c r="BP3279" s="501"/>
      <c r="BQ3279" s="501"/>
      <c r="BR3279" s="501"/>
      <c r="BS3279" s="501"/>
      <c r="BT3279" s="501"/>
      <c r="BU3279" s="501"/>
      <c r="BV3279" s="501"/>
      <c r="BW3279" s="501"/>
      <c r="BX3279" s="501"/>
      <c r="BY3279" s="501"/>
      <c r="BZ3279" s="501"/>
      <c r="CA3279" s="501"/>
      <c r="CB3279" s="501"/>
      <c r="CC3279" s="501"/>
      <c r="CD3279" s="501"/>
      <c r="CE3279" s="501"/>
      <c r="CF3279" s="501"/>
      <c r="CG3279" s="501"/>
      <c r="CH3279" s="501"/>
      <c r="CI3279" s="501"/>
      <c r="CJ3279" s="501"/>
      <c r="CK3279" s="501"/>
      <c r="CL3279" s="501"/>
      <c r="CM3279" s="501"/>
      <c r="CN3279" s="501"/>
      <c r="CO3279" s="501"/>
      <c r="CP3279" s="501"/>
      <c r="CQ3279" s="501"/>
      <c r="CR3279" s="501"/>
      <c r="CS3279" s="501"/>
      <c r="CT3279" s="501"/>
      <c r="CU3279" s="501"/>
      <c r="CV3279" s="501"/>
      <c r="CW3279" s="501"/>
      <c r="CX3279" s="501"/>
      <c r="CY3279" s="501"/>
      <c r="CZ3279" s="501"/>
      <c r="DA3279" s="501"/>
      <c r="DB3279" s="501"/>
      <c r="DC3279" s="501"/>
      <c r="DD3279" s="501"/>
      <c r="DE3279" s="501"/>
      <c r="DF3279" s="501"/>
      <c r="DG3279" s="501"/>
      <c r="DH3279" s="501"/>
      <c r="DI3279" s="501"/>
      <c r="DJ3279" s="501"/>
      <c r="DK3279" s="501"/>
      <c r="DL3279" s="501"/>
      <c r="DM3279" s="501"/>
      <c r="DN3279" s="501"/>
      <c r="DO3279" s="501"/>
      <c r="DP3279" s="501"/>
      <c r="DQ3279" s="501"/>
      <c r="DR3279" s="501"/>
      <c r="DS3279" s="501"/>
      <c r="DT3279" s="501"/>
      <c r="DU3279" s="501"/>
      <c r="DV3279" s="501"/>
      <c r="DW3279" s="501"/>
      <c r="DX3279" s="501"/>
      <c r="DY3279" s="501"/>
      <c r="DZ3279" s="501"/>
      <c r="EA3279" s="501"/>
      <c r="EB3279" s="501"/>
      <c r="EC3279" s="501"/>
      <c r="ED3279" s="501"/>
      <c r="EE3279" s="501"/>
      <c r="EF3279" s="501"/>
      <c r="EG3279" s="501"/>
      <c r="EH3279" s="501"/>
      <c r="EI3279" s="501"/>
      <c r="EJ3279" s="501"/>
      <c r="EK3279" s="501"/>
      <c r="EL3279" s="501"/>
      <c r="EM3279" s="501"/>
      <c r="EN3279" s="501"/>
      <c r="EO3279" s="501"/>
      <c r="EP3279" s="501"/>
      <c r="EQ3279" s="501"/>
      <c r="ER3279" s="501"/>
      <c r="ES3279" s="501"/>
      <c r="ET3279" s="501"/>
      <c r="EU3279" s="501"/>
      <c r="EV3279" s="501"/>
      <c r="EW3279" s="501"/>
      <c r="EX3279" s="501"/>
      <c r="EY3279" s="501"/>
      <c r="EZ3279" s="501"/>
      <c r="FA3279" s="501"/>
      <c r="FB3279" s="501"/>
      <c r="FC3279" s="501"/>
      <c r="FD3279" s="501"/>
      <c r="FE3279" s="501"/>
      <c r="FF3279" s="501"/>
      <c r="FG3279" s="501"/>
      <c r="FH3279" s="501"/>
      <c r="FI3279" s="501"/>
      <c r="FJ3279" s="501"/>
      <c r="FK3279" s="501"/>
      <c r="FL3279" s="501"/>
      <c r="FM3279" s="501"/>
      <c r="FN3279" s="501"/>
      <c r="FO3279" s="501"/>
      <c r="FP3279" s="501"/>
      <c r="FQ3279" s="501"/>
      <c r="FR3279" s="501"/>
      <c r="FS3279" s="501"/>
      <c r="FT3279" s="501"/>
      <c r="FU3279" s="501"/>
      <c r="FV3279" s="501"/>
      <c r="FW3279" s="501"/>
      <c r="FX3279" s="501"/>
      <c r="FY3279" s="501"/>
      <c r="FZ3279" s="501"/>
      <c r="GA3279" s="501"/>
      <c r="GB3279" s="501"/>
      <c r="GC3279" s="501"/>
      <c r="GD3279" s="501"/>
      <c r="GE3279" s="501"/>
      <c r="GF3279" s="501"/>
      <c r="GG3279" s="501"/>
      <c r="GH3279" s="501"/>
      <c r="GI3279" s="501"/>
      <c r="GJ3279" s="501"/>
      <c r="GK3279" s="501"/>
      <c r="GL3279" s="501"/>
      <c r="GM3279" s="501"/>
      <c r="GN3279" s="501"/>
      <c r="GO3279" s="501"/>
      <c r="GP3279" s="501"/>
      <c r="GQ3279" s="501"/>
      <c r="GR3279" s="501"/>
      <c r="GS3279" s="501"/>
      <c r="GT3279" s="501"/>
      <c r="GU3279" s="501"/>
      <c r="GV3279" s="501"/>
      <c r="GW3279" s="501"/>
      <c r="GX3279" s="501"/>
      <c r="GY3279" s="501"/>
      <c r="GZ3279" s="501"/>
      <c r="HA3279" s="501"/>
      <c r="HB3279" s="501"/>
      <c r="HC3279" s="501"/>
      <c r="HD3279" s="501"/>
      <c r="HE3279" s="501"/>
      <c r="HF3279" s="501"/>
      <c r="HG3279" s="501"/>
      <c r="HH3279" s="501"/>
      <c r="HI3279" s="501"/>
      <c r="HJ3279" s="501"/>
      <c r="HK3279" s="501"/>
      <c r="HL3279" s="501"/>
      <c r="HM3279" s="501"/>
      <c r="HN3279" s="501"/>
      <c r="HO3279" s="501"/>
      <c r="HP3279" s="501"/>
      <c r="HQ3279" s="501"/>
      <c r="HR3279" s="501"/>
      <c r="HS3279" s="501"/>
      <c r="HT3279" s="501"/>
      <c r="HU3279" s="501"/>
      <c r="HV3279" s="501"/>
      <c r="HW3279" s="501"/>
      <c r="HX3279" s="501"/>
      <c r="HY3279" s="501"/>
      <c r="HZ3279" s="501"/>
      <c r="IA3279" s="501"/>
      <c r="IB3279" s="501"/>
      <c r="IC3279" s="501"/>
      <c r="ID3279" s="501"/>
      <c r="IE3279" s="501"/>
      <c r="IF3279" s="501"/>
      <c r="IG3279" s="501"/>
      <c r="IH3279" s="501"/>
      <c r="II3279" s="501"/>
      <c r="IJ3279" s="501"/>
      <c r="IK3279" s="501"/>
      <c r="IL3279" s="501"/>
      <c r="IM3279" s="501"/>
      <c r="IN3279" s="501"/>
      <c r="IO3279" s="501"/>
      <c r="IP3279" s="501"/>
      <c r="IQ3279" s="501"/>
      <c r="IR3279" s="501"/>
      <c r="IS3279" s="501"/>
      <c r="IT3279" s="501"/>
      <c r="IU3279" s="501"/>
    </row>
    <row r="3280" spans="1:255" s="877" customFormat="1" ht="24" customHeight="1">
      <c r="A3280" s="501"/>
      <c r="B3280" s="501"/>
      <c r="C3280" s="501"/>
      <c r="D3280" s="501"/>
      <c r="E3280" s="501"/>
      <c r="F3280" s="885"/>
      <c r="G3280" s="1057"/>
      <c r="H3280" s="885"/>
      <c r="I3280" s="895"/>
      <c r="J3280" s="885"/>
      <c r="K3280" s="885"/>
      <c r="L3280" s="895"/>
      <c r="M3280" s="899"/>
      <c r="N3280" s="501"/>
      <c r="O3280" s="1097"/>
      <c r="P3280" s="1151"/>
      <c r="Q3280" s="973"/>
      <c r="R3280" s="1097"/>
      <c r="S3280" s="1189"/>
      <c r="T3280" s="1157"/>
      <c r="V3280" s="961"/>
      <c r="W3280" s="1200"/>
      <c r="X3280" s="885"/>
      <c r="Y3280" s="895"/>
      <c r="Z3280" s="885"/>
      <c r="AA3280" s="501"/>
      <c r="AB3280" s="501"/>
      <c r="AC3280" s="501"/>
      <c r="AD3280" s="501"/>
      <c r="AE3280" s="501"/>
      <c r="AF3280" s="501"/>
      <c r="AG3280" s="501"/>
      <c r="AH3280" s="501"/>
      <c r="AI3280" s="501"/>
      <c r="AJ3280" s="501"/>
      <c r="AK3280" s="501"/>
      <c r="AL3280" s="501"/>
      <c r="AM3280" s="501"/>
      <c r="AN3280" s="501"/>
      <c r="AO3280" s="501"/>
      <c r="AP3280" s="501"/>
      <c r="AQ3280" s="501"/>
      <c r="AR3280" s="501"/>
      <c r="AS3280" s="501"/>
      <c r="AT3280" s="501"/>
      <c r="AU3280" s="501"/>
      <c r="AV3280" s="501"/>
      <c r="AW3280" s="501"/>
      <c r="AX3280" s="501"/>
      <c r="AY3280" s="501"/>
      <c r="AZ3280" s="501"/>
      <c r="BA3280" s="501"/>
      <c r="BB3280" s="501"/>
      <c r="BC3280" s="501"/>
      <c r="BD3280" s="501"/>
      <c r="BE3280" s="501"/>
      <c r="BF3280" s="501"/>
      <c r="BG3280" s="501"/>
      <c r="BH3280" s="501"/>
      <c r="BI3280" s="501"/>
      <c r="BJ3280" s="501"/>
      <c r="BK3280" s="501"/>
      <c r="BL3280" s="501"/>
      <c r="BM3280" s="501"/>
      <c r="BN3280" s="501"/>
      <c r="BO3280" s="501"/>
      <c r="BP3280" s="501"/>
      <c r="BQ3280" s="501"/>
      <c r="BR3280" s="501"/>
      <c r="BS3280" s="501"/>
      <c r="BT3280" s="501"/>
      <c r="BU3280" s="501"/>
      <c r="BV3280" s="501"/>
      <c r="BW3280" s="501"/>
      <c r="BX3280" s="501"/>
      <c r="BY3280" s="501"/>
      <c r="BZ3280" s="501"/>
      <c r="CA3280" s="501"/>
      <c r="CB3280" s="501"/>
      <c r="CC3280" s="501"/>
      <c r="CD3280" s="501"/>
      <c r="CE3280" s="501"/>
      <c r="CF3280" s="501"/>
      <c r="CG3280" s="501"/>
      <c r="CH3280" s="501"/>
      <c r="CI3280" s="501"/>
      <c r="CJ3280" s="501"/>
      <c r="CK3280" s="501"/>
      <c r="CL3280" s="501"/>
      <c r="CM3280" s="501"/>
      <c r="CN3280" s="501"/>
      <c r="CO3280" s="501"/>
      <c r="CP3280" s="501"/>
      <c r="CQ3280" s="501"/>
      <c r="CR3280" s="501"/>
      <c r="CS3280" s="501"/>
      <c r="CT3280" s="501"/>
      <c r="CU3280" s="501"/>
      <c r="CV3280" s="501"/>
      <c r="CW3280" s="501"/>
      <c r="CX3280" s="501"/>
      <c r="CY3280" s="501"/>
      <c r="CZ3280" s="501"/>
      <c r="DA3280" s="501"/>
      <c r="DB3280" s="501"/>
      <c r="DC3280" s="501"/>
      <c r="DD3280" s="501"/>
      <c r="DE3280" s="501"/>
      <c r="DF3280" s="501"/>
      <c r="DG3280" s="501"/>
      <c r="DH3280" s="501"/>
      <c r="DI3280" s="501"/>
      <c r="DJ3280" s="501"/>
      <c r="DK3280" s="501"/>
      <c r="DL3280" s="501"/>
      <c r="DM3280" s="501"/>
      <c r="DN3280" s="501"/>
      <c r="DO3280" s="501"/>
      <c r="DP3280" s="501"/>
      <c r="DQ3280" s="501"/>
      <c r="DR3280" s="501"/>
      <c r="DS3280" s="501"/>
      <c r="DT3280" s="501"/>
      <c r="DU3280" s="501"/>
      <c r="DV3280" s="501"/>
      <c r="DW3280" s="501"/>
      <c r="DX3280" s="501"/>
      <c r="DY3280" s="501"/>
      <c r="DZ3280" s="501"/>
      <c r="EA3280" s="501"/>
      <c r="EB3280" s="501"/>
      <c r="EC3280" s="501"/>
      <c r="ED3280" s="501"/>
      <c r="EE3280" s="501"/>
      <c r="EF3280" s="501"/>
      <c r="EG3280" s="501"/>
      <c r="EH3280" s="501"/>
      <c r="EI3280" s="501"/>
      <c r="EJ3280" s="501"/>
      <c r="EK3280" s="501"/>
      <c r="EL3280" s="501"/>
      <c r="EM3280" s="501"/>
      <c r="EN3280" s="501"/>
      <c r="EO3280" s="501"/>
      <c r="EP3280" s="501"/>
      <c r="EQ3280" s="501"/>
      <c r="ER3280" s="501"/>
      <c r="ES3280" s="501"/>
      <c r="ET3280" s="501"/>
      <c r="EU3280" s="501"/>
      <c r="EV3280" s="501"/>
      <c r="EW3280" s="501"/>
      <c r="EX3280" s="501"/>
      <c r="EY3280" s="501"/>
      <c r="EZ3280" s="501"/>
      <c r="FA3280" s="501"/>
      <c r="FB3280" s="501"/>
      <c r="FC3280" s="501"/>
      <c r="FD3280" s="501"/>
      <c r="FE3280" s="501"/>
      <c r="FF3280" s="501"/>
      <c r="FG3280" s="501"/>
      <c r="FH3280" s="501"/>
      <c r="FI3280" s="501"/>
      <c r="FJ3280" s="501"/>
      <c r="FK3280" s="501"/>
      <c r="FL3280" s="501"/>
      <c r="FM3280" s="501"/>
      <c r="FN3280" s="501"/>
      <c r="FO3280" s="501"/>
      <c r="FP3280" s="501"/>
      <c r="FQ3280" s="501"/>
      <c r="FR3280" s="501"/>
      <c r="FS3280" s="501"/>
      <c r="FT3280" s="501"/>
      <c r="FU3280" s="501"/>
      <c r="FV3280" s="501"/>
      <c r="FW3280" s="501"/>
      <c r="FX3280" s="501"/>
      <c r="FY3280" s="501"/>
      <c r="FZ3280" s="501"/>
      <c r="GA3280" s="501"/>
      <c r="GB3280" s="501"/>
      <c r="GC3280" s="501"/>
      <c r="GD3280" s="501"/>
      <c r="GE3280" s="501"/>
      <c r="GF3280" s="501"/>
      <c r="GG3280" s="501"/>
      <c r="GH3280" s="501"/>
      <c r="GI3280" s="501"/>
      <c r="GJ3280" s="501"/>
      <c r="GK3280" s="501"/>
      <c r="GL3280" s="501"/>
      <c r="GM3280" s="501"/>
      <c r="GN3280" s="501"/>
      <c r="GO3280" s="501"/>
      <c r="GP3280" s="501"/>
      <c r="GQ3280" s="501"/>
      <c r="GR3280" s="501"/>
      <c r="GS3280" s="501"/>
      <c r="GT3280" s="501"/>
      <c r="GU3280" s="501"/>
      <c r="GV3280" s="501"/>
      <c r="GW3280" s="501"/>
      <c r="GX3280" s="501"/>
      <c r="GY3280" s="501"/>
      <c r="GZ3280" s="501"/>
      <c r="HA3280" s="501"/>
      <c r="HB3280" s="501"/>
      <c r="HC3280" s="501"/>
      <c r="HD3280" s="501"/>
      <c r="HE3280" s="501"/>
      <c r="HF3280" s="501"/>
      <c r="HG3280" s="501"/>
      <c r="HH3280" s="501"/>
      <c r="HI3280" s="501"/>
      <c r="HJ3280" s="501"/>
      <c r="HK3280" s="501"/>
      <c r="HL3280" s="501"/>
      <c r="HM3280" s="501"/>
      <c r="HN3280" s="501"/>
      <c r="HO3280" s="501"/>
      <c r="HP3280" s="501"/>
      <c r="HQ3280" s="501"/>
      <c r="HR3280" s="501"/>
      <c r="HS3280" s="501"/>
      <c r="HT3280" s="501"/>
      <c r="HU3280" s="501"/>
      <c r="HV3280" s="501"/>
      <c r="HW3280" s="501"/>
      <c r="HX3280" s="501"/>
      <c r="HY3280" s="501"/>
      <c r="HZ3280" s="501"/>
      <c r="IA3280" s="501"/>
      <c r="IB3280" s="501"/>
      <c r="IC3280" s="501"/>
      <c r="ID3280" s="501"/>
      <c r="IE3280" s="501"/>
      <c r="IF3280" s="501"/>
      <c r="IG3280" s="501"/>
      <c r="IH3280" s="501"/>
      <c r="II3280" s="501"/>
      <c r="IJ3280" s="501"/>
      <c r="IK3280" s="501"/>
      <c r="IL3280" s="501"/>
      <c r="IM3280" s="501"/>
      <c r="IN3280" s="501"/>
      <c r="IO3280" s="501"/>
      <c r="IP3280" s="501"/>
      <c r="IQ3280" s="501"/>
      <c r="IR3280" s="501"/>
      <c r="IS3280" s="501"/>
      <c r="IT3280" s="501"/>
      <c r="IU3280" s="501"/>
    </row>
    <row r="3281" spans="1:255" s="877" customFormat="1" ht="24" customHeight="1">
      <c r="A3281" s="501"/>
      <c r="B3281" s="501"/>
      <c r="C3281" s="501"/>
      <c r="D3281" s="501"/>
      <c r="E3281" s="501"/>
      <c r="F3281" s="885"/>
      <c r="G3281" s="1057"/>
      <c r="H3281" s="885"/>
      <c r="I3281" s="895"/>
      <c r="J3281" s="885"/>
      <c r="K3281" s="885"/>
      <c r="L3281" s="895"/>
      <c r="M3281" s="899"/>
      <c r="N3281" s="501"/>
      <c r="O3281" s="1097"/>
      <c r="P3281" s="1151"/>
      <c r="Q3281" s="973"/>
      <c r="R3281" s="1097"/>
      <c r="S3281" s="1190"/>
      <c r="T3281" s="1157"/>
      <c r="V3281" s="961"/>
      <c r="W3281" s="1200"/>
      <c r="X3281" s="885"/>
      <c r="Y3281" s="895"/>
      <c r="Z3281" s="885"/>
      <c r="AA3281" s="501"/>
      <c r="AB3281" s="501"/>
      <c r="AC3281" s="501"/>
      <c r="AD3281" s="501"/>
      <c r="AE3281" s="501"/>
      <c r="AF3281" s="501"/>
      <c r="AG3281" s="501"/>
      <c r="AH3281" s="501"/>
      <c r="AI3281" s="501"/>
      <c r="AJ3281" s="501"/>
      <c r="AK3281" s="501"/>
      <c r="AL3281" s="501"/>
      <c r="AM3281" s="501"/>
      <c r="AN3281" s="501"/>
      <c r="AO3281" s="501"/>
      <c r="AP3281" s="501"/>
      <c r="AQ3281" s="501"/>
      <c r="AR3281" s="501"/>
      <c r="AS3281" s="501"/>
      <c r="AT3281" s="501"/>
      <c r="AU3281" s="501"/>
      <c r="AV3281" s="501"/>
      <c r="AW3281" s="501"/>
      <c r="AX3281" s="501"/>
      <c r="AY3281" s="501"/>
      <c r="AZ3281" s="501"/>
      <c r="BA3281" s="501"/>
      <c r="BB3281" s="501"/>
      <c r="BC3281" s="501"/>
      <c r="BD3281" s="501"/>
      <c r="BE3281" s="501"/>
      <c r="BF3281" s="501"/>
      <c r="BG3281" s="501"/>
      <c r="BH3281" s="501"/>
      <c r="BI3281" s="501"/>
      <c r="BJ3281" s="501"/>
      <c r="BK3281" s="501"/>
      <c r="BL3281" s="501"/>
      <c r="BM3281" s="501"/>
      <c r="BN3281" s="501"/>
      <c r="BO3281" s="501"/>
      <c r="BP3281" s="501"/>
      <c r="BQ3281" s="501"/>
      <c r="BR3281" s="501"/>
      <c r="BS3281" s="501"/>
      <c r="BT3281" s="501"/>
      <c r="BU3281" s="501"/>
      <c r="BV3281" s="501"/>
      <c r="BW3281" s="501"/>
      <c r="BX3281" s="501"/>
      <c r="BY3281" s="501"/>
      <c r="BZ3281" s="501"/>
      <c r="CA3281" s="501"/>
      <c r="CB3281" s="501"/>
      <c r="CC3281" s="501"/>
      <c r="CD3281" s="501"/>
      <c r="CE3281" s="501"/>
      <c r="CF3281" s="501"/>
      <c r="CG3281" s="501"/>
      <c r="CH3281" s="501"/>
      <c r="CI3281" s="501"/>
      <c r="CJ3281" s="501"/>
      <c r="CK3281" s="501"/>
      <c r="CL3281" s="501"/>
      <c r="CM3281" s="501"/>
      <c r="CN3281" s="501"/>
      <c r="CO3281" s="501"/>
      <c r="CP3281" s="501"/>
      <c r="CQ3281" s="501"/>
      <c r="CR3281" s="501"/>
      <c r="CS3281" s="501"/>
      <c r="CT3281" s="501"/>
      <c r="CU3281" s="501"/>
      <c r="CV3281" s="501"/>
      <c r="CW3281" s="501"/>
      <c r="CX3281" s="501"/>
      <c r="CY3281" s="501"/>
      <c r="CZ3281" s="501"/>
      <c r="DA3281" s="501"/>
      <c r="DB3281" s="501"/>
      <c r="DC3281" s="501"/>
      <c r="DD3281" s="501"/>
      <c r="DE3281" s="501"/>
      <c r="DF3281" s="501"/>
      <c r="DG3281" s="501"/>
      <c r="DH3281" s="501"/>
      <c r="DI3281" s="501"/>
      <c r="DJ3281" s="501"/>
      <c r="DK3281" s="501"/>
      <c r="DL3281" s="501"/>
      <c r="DM3281" s="501"/>
      <c r="DN3281" s="501"/>
      <c r="DO3281" s="501"/>
      <c r="DP3281" s="501"/>
      <c r="DQ3281" s="501"/>
      <c r="DR3281" s="501"/>
      <c r="DS3281" s="501"/>
      <c r="DT3281" s="501"/>
      <c r="DU3281" s="501"/>
      <c r="DV3281" s="501"/>
      <c r="DW3281" s="501"/>
      <c r="DX3281" s="501"/>
      <c r="DY3281" s="501"/>
      <c r="DZ3281" s="501"/>
      <c r="EA3281" s="501"/>
      <c r="EB3281" s="501"/>
      <c r="EC3281" s="501"/>
      <c r="ED3281" s="501"/>
      <c r="EE3281" s="501"/>
      <c r="EF3281" s="501"/>
      <c r="EG3281" s="501"/>
      <c r="EH3281" s="501"/>
      <c r="EI3281" s="501"/>
      <c r="EJ3281" s="501"/>
      <c r="EK3281" s="501"/>
      <c r="EL3281" s="501"/>
      <c r="EM3281" s="501"/>
      <c r="EN3281" s="501"/>
      <c r="EO3281" s="501"/>
      <c r="EP3281" s="501"/>
      <c r="EQ3281" s="501"/>
      <c r="ER3281" s="501"/>
      <c r="ES3281" s="501"/>
      <c r="ET3281" s="501"/>
      <c r="EU3281" s="501"/>
      <c r="EV3281" s="501"/>
      <c r="EW3281" s="501"/>
      <c r="EX3281" s="501"/>
      <c r="EY3281" s="501"/>
      <c r="EZ3281" s="501"/>
      <c r="FA3281" s="501"/>
      <c r="FB3281" s="501"/>
      <c r="FC3281" s="501"/>
      <c r="FD3281" s="501"/>
      <c r="FE3281" s="501"/>
      <c r="FF3281" s="501"/>
      <c r="FG3281" s="501"/>
      <c r="FH3281" s="501"/>
      <c r="FI3281" s="501"/>
      <c r="FJ3281" s="501"/>
      <c r="FK3281" s="501"/>
      <c r="FL3281" s="501"/>
      <c r="FM3281" s="501"/>
      <c r="FN3281" s="501"/>
      <c r="FO3281" s="501"/>
      <c r="FP3281" s="501"/>
      <c r="FQ3281" s="501"/>
      <c r="FR3281" s="501"/>
      <c r="FS3281" s="501"/>
      <c r="FT3281" s="501"/>
      <c r="FU3281" s="501"/>
      <c r="FV3281" s="501"/>
      <c r="FW3281" s="501"/>
      <c r="FX3281" s="501"/>
      <c r="FY3281" s="501"/>
      <c r="FZ3281" s="501"/>
      <c r="GA3281" s="501"/>
      <c r="GB3281" s="501"/>
      <c r="GC3281" s="501"/>
      <c r="GD3281" s="501"/>
      <c r="GE3281" s="501"/>
      <c r="GF3281" s="501"/>
      <c r="GG3281" s="501"/>
      <c r="GH3281" s="501"/>
      <c r="GI3281" s="501"/>
      <c r="GJ3281" s="501"/>
      <c r="GK3281" s="501"/>
      <c r="GL3281" s="501"/>
      <c r="GM3281" s="501"/>
      <c r="GN3281" s="501"/>
      <c r="GO3281" s="501"/>
      <c r="GP3281" s="501"/>
      <c r="GQ3281" s="501"/>
      <c r="GR3281" s="501"/>
      <c r="GS3281" s="501"/>
      <c r="GT3281" s="501"/>
      <c r="GU3281" s="501"/>
      <c r="GV3281" s="501"/>
      <c r="GW3281" s="501"/>
      <c r="GX3281" s="501"/>
      <c r="GY3281" s="501"/>
      <c r="GZ3281" s="501"/>
      <c r="HA3281" s="501"/>
      <c r="HB3281" s="501"/>
      <c r="HC3281" s="501"/>
      <c r="HD3281" s="501"/>
      <c r="HE3281" s="501"/>
      <c r="HF3281" s="501"/>
      <c r="HG3281" s="501"/>
      <c r="HH3281" s="501"/>
      <c r="HI3281" s="501"/>
      <c r="HJ3281" s="501"/>
      <c r="HK3281" s="501"/>
      <c r="HL3281" s="501"/>
      <c r="HM3281" s="501"/>
      <c r="HN3281" s="501"/>
      <c r="HO3281" s="501"/>
      <c r="HP3281" s="501"/>
      <c r="HQ3281" s="501"/>
      <c r="HR3281" s="501"/>
      <c r="HS3281" s="501"/>
      <c r="HT3281" s="501"/>
      <c r="HU3281" s="501"/>
      <c r="HV3281" s="501"/>
      <c r="HW3281" s="501"/>
      <c r="HX3281" s="501"/>
      <c r="HY3281" s="501"/>
      <c r="HZ3281" s="501"/>
      <c r="IA3281" s="501"/>
      <c r="IB3281" s="501"/>
      <c r="IC3281" s="501"/>
      <c r="ID3281" s="501"/>
      <c r="IE3281" s="501"/>
      <c r="IF3281" s="501"/>
      <c r="IG3281" s="501"/>
      <c r="IH3281" s="501"/>
      <c r="II3281" s="501"/>
      <c r="IJ3281" s="501"/>
      <c r="IK3281" s="501"/>
      <c r="IL3281" s="501"/>
      <c r="IM3281" s="501"/>
      <c r="IN3281" s="501"/>
      <c r="IO3281" s="501"/>
      <c r="IP3281" s="501"/>
      <c r="IQ3281" s="501"/>
      <c r="IR3281" s="501"/>
      <c r="IS3281" s="501"/>
      <c r="IT3281" s="501"/>
      <c r="IU3281" s="501"/>
    </row>
    <row r="3282" spans="1:255" s="877" customFormat="1" ht="24" customHeight="1">
      <c r="A3282" s="501"/>
      <c r="B3282" s="501"/>
      <c r="C3282" s="501"/>
      <c r="D3282" s="501"/>
      <c r="E3282" s="501"/>
      <c r="F3282" s="885"/>
      <c r="G3282" s="1057"/>
      <c r="H3282" s="885"/>
      <c r="I3282" s="895"/>
      <c r="J3282" s="885"/>
      <c r="K3282" s="885"/>
      <c r="L3282" s="895"/>
      <c r="M3282" s="899"/>
      <c r="N3282" s="501"/>
      <c r="O3282" s="1097"/>
      <c r="P3282" s="1151"/>
      <c r="Q3282" s="973"/>
      <c r="R3282" s="1097"/>
      <c r="S3282" s="1106"/>
      <c r="T3282" s="1157"/>
      <c r="V3282" s="961"/>
      <c r="W3282" s="885"/>
      <c r="X3282" s="885"/>
      <c r="Y3282" s="895"/>
      <c r="Z3282" s="885"/>
      <c r="AA3282" s="501"/>
      <c r="AB3282" s="501"/>
      <c r="AC3282" s="501"/>
      <c r="AD3282" s="501"/>
      <c r="AE3282" s="501"/>
      <c r="AF3282" s="501"/>
      <c r="AG3282" s="501"/>
      <c r="AH3282" s="501"/>
      <c r="AI3282" s="501"/>
      <c r="AJ3282" s="501"/>
      <c r="AK3282" s="501"/>
      <c r="AL3282" s="501"/>
      <c r="AM3282" s="501"/>
      <c r="AN3282" s="501"/>
      <c r="AO3282" s="501"/>
      <c r="AP3282" s="501"/>
      <c r="AQ3282" s="501"/>
      <c r="AR3282" s="501"/>
      <c r="AS3282" s="501"/>
      <c r="AT3282" s="501"/>
      <c r="AU3282" s="501"/>
      <c r="AV3282" s="501"/>
      <c r="AW3282" s="501"/>
      <c r="AX3282" s="501"/>
      <c r="AY3282" s="501"/>
      <c r="AZ3282" s="501"/>
      <c r="BA3282" s="501"/>
      <c r="BB3282" s="501"/>
      <c r="BC3282" s="501"/>
      <c r="BD3282" s="501"/>
      <c r="BE3282" s="501"/>
      <c r="BF3282" s="501"/>
      <c r="BG3282" s="501"/>
      <c r="BH3282" s="501"/>
      <c r="BI3282" s="501"/>
      <c r="BJ3282" s="501"/>
      <c r="BK3282" s="501"/>
      <c r="BL3282" s="501"/>
      <c r="BM3282" s="501"/>
      <c r="BN3282" s="501"/>
      <c r="BO3282" s="501"/>
      <c r="BP3282" s="501"/>
      <c r="BQ3282" s="501"/>
      <c r="BR3282" s="501"/>
      <c r="BS3282" s="501"/>
      <c r="BT3282" s="501"/>
      <c r="BU3282" s="501"/>
      <c r="BV3282" s="501"/>
      <c r="BW3282" s="501"/>
      <c r="BX3282" s="501"/>
      <c r="BY3282" s="501"/>
      <c r="BZ3282" s="501"/>
      <c r="CA3282" s="501"/>
      <c r="CB3282" s="501"/>
      <c r="CC3282" s="501"/>
      <c r="CD3282" s="501"/>
      <c r="CE3282" s="501"/>
      <c r="CF3282" s="501"/>
      <c r="CG3282" s="501"/>
      <c r="CH3282" s="501"/>
      <c r="CI3282" s="501"/>
      <c r="CJ3282" s="501"/>
      <c r="CK3282" s="501"/>
      <c r="CL3282" s="501"/>
      <c r="CM3282" s="501"/>
      <c r="CN3282" s="501"/>
      <c r="CO3282" s="501"/>
      <c r="CP3282" s="501"/>
      <c r="CQ3282" s="501"/>
      <c r="CR3282" s="501"/>
      <c r="CS3282" s="501"/>
      <c r="CT3282" s="501"/>
      <c r="CU3282" s="501"/>
      <c r="CV3282" s="501"/>
      <c r="CW3282" s="501"/>
      <c r="CX3282" s="501"/>
      <c r="CY3282" s="501"/>
      <c r="CZ3282" s="501"/>
      <c r="DA3282" s="501"/>
      <c r="DB3282" s="501"/>
      <c r="DC3282" s="501"/>
      <c r="DD3282" s="501"/>
      <c r="DE3282" s="501"/>
      <c r="DF3282" s="501"/>
      <c r="DG3282" s="501"/>
      <c r="DH3282" s="501"/>
      <c r="DI3282" s="501"/>
      <c r="DJ3282" s="501"/>
      <c r="DK3282" s="501"/>
      <c r="DL3282" s="501"/>
      <c r="DM3282" s="501"/>
      <c r="DN3282" s="501"/>
      <c r="DO3282" s="501"/>
      <c r="DP3282" s="501"/>
      <c r="DQ3282" s="501"/>
      <c r="DR3282" s="501"/>
      <c r="DS3282" s="501"/>
      <c r="DT3282" s="501"/>
      <c r="DU3282" s="501"/>
      <c r="DV3282" s="501"/>
      <c r="DW3282" s="501"/>
      <c r="DX3282" s="501"/>
      <c r="DY3282" s="501"/>
      <c r="DZ3282" s="501"/>
      <c r="EA3282" s="501"/>
      <c r="EB3282" s="501"/>
      <c r="EC3282" s="501"/>
      <c r="ED3282" s="501"/>
      <c r="EE3282" s="501"/>
      <c r="EF3282" s="501"/>
      <c r="EG3282" s="501"/>
      <c r="EH3282" s="501"/>
      <c r="EI3282" s="501"/>
      <c r="EJ3282" s="501"/>
      <c r="EK3282" s="501"/>
      <c r="EL3282" s="501"/>
      <c r="EM3282" s="501"/>
      <c r="EN3282" s="501"/>
      <c r="EO3282" s="501"/>
      <c r="EP3282" s="501"/>
      <c r="EQ3282" s="501"/>
      <c r="ER3282" s="501"/>
      <c r="ES3282" s="501"/>
      <c r="ET3282" s="501"/>
      <c r="EU3282" s="501"/>
      <c r="EV3282" s="501"/>
      <c r="EW3282" s="501"/>
      <c r="EX3282" s="501"/>
      <c r="EY3282" s="501"/>
      <c r="EZ3282" s="501"/>
      <c r="FA3282" s="501"/>
      <c r="FB3282" s="501"/>
      <c r="FC3282" s="501"/>
      <c r="FD3282" s="501"/>
      <c r="FE3282" s="501"/>
      <c r="FF3282" s="501"/>
      <c r="FG3282" s="501"/>
      <c r="FH3282" s="501"/>
      <c r="FI3282" s="501"/>
      <c r="FJ3282" s="501"/>
      <c r="FK3282" s="501"/>
      <c r="FL3282" s="501"/>
      <c r="FM3282" s="501"/>
      <c r="FN3282" s="501"/>
      <c r="FO3282" s="501"/>
      <c r="FP3282" s="501"/>
      <c r="FQ3282" s="501"/>
      <c r="FR3282" s="501"/>
      <c r="FS3282" s="501"/>
      <c r="FT3282" s="501"/>
      <c r="FU3282" s="501"/>
      <c r="FV3282" s="501"/>
      <c r="FW3282" s="501"/>
      <c r="FX3282" s="501"/>
      <c r="FY3282" s="501"/>
      <c r="FZ3282" s="501"/>
      <c r="GA3282" s="501"/>
      <c r="GB3282" s="501"/>
      <c r="GC3282" s="501"/>
      <c r="GD3282" s="501"/>
      <c r="GE3282" s="501"/>
      <c r="GF3282" s="501"/>
      <c r="GG3282" s="501"/>
      <c r="GH3282" s="501"/>
      <c r="GI3282" s="501"/>
      <c r="GJ3282" s="501"/>
      <c r="GK3282" s="501"/>
      <c r="GL3282" s="501"/>
      <c r="GM3282" s="501"/>
      <c r="GN3282" s="501"/>
      <c r="GO3282" s="501"/>
      <c r="GP3282" s="501"/>
      <c r="GQ3282" s="501"/>
      <c r="GR3282" s="501"/>
      <c r="GS3282" s="501"/>
      <c r="GT3282" s="501"/>
      <c r="GU3282" s="501"/>
      <c r="GV3282" s="501"/>
      <c r="GW3282" s="501"/>
      <c r="GX3282" s="501"/>
      <c r="GY3282" s="501"/>
      <c r="GZ3282" s="501"/>
      <c r="HA3282" s="501"/>
      <c r="HB3282" s="501"/>
      <c r="HC3282" s="501"/>
      <c r="HD3282" s="501"/>
      <c r="HE3282" s="501"/>
      <c r="HF3282" s="501"/>
      <c r="HG3282" s="501"/>
      <c r="HH3282" s="501"/>
      <c r="HI3282" s="501"/>
      <c r="HJ3282" s="501"/>
      <c r="HK3282" s="501"/>
      <c r="HL3282" s="501"/>
      <c r="HM3282" s="501"/>
      <c r="HN3282" s="501"/>
      <c r="HO3282" s="501"/>
      <c r="HP3282" s="501"/>
      <c r="HQ3282" s="501"/>
      <c r="HR3282" s="501"/>
      <c r="HS3282" s="501"/>
      <c r="HT3282" s="501"/>
      <c r="HU3282" s="501"/>
      <c r="HV3282" s="501"/>
      <c r="HW3282" s="501"/>
      <c r="HX3282" s="501"/>
      <c r="HY3282" s="501"/>
      <c r="HZ3282" s="501"/>
      <c r="IA3282" s="501"/>
      <c r="IB3282" s="501"/>
      <c r="IC3282" s="501"/>
      <c r="ID3282" s="501"/>
      <c r="IE3282" s="501"/>
      <c r="IF3282" s="501"/>
      <c r="IG3282" s="501"/>
      <c r="IH3282" s="501"/>
      <c r="II3282" s="501"/>
      <c r="IJ3282" s="501"/>
      <c r="IK3282" s="501"/>
      <c r="IL3282" s="501"/>
      <c r="IM3282" s="501"/>
      <c r="IN3282" s="501"/>
      <c r="IO3282" s="501"/>
      <c r="IP3282" s="501"/>
      <c r="IQ3282" s="501"/>
      <c r="IR3282" s="501"/>
      <c r="IS3282" s="501"/>
      <c r="IT3282" s="501"/>
      <c r="IU3282" s="501"/>
    </row>
    <row r="3283" spans="1:255" s="877" customFormat="1" ht="24" customHeight="1">
      <c r="A3283" s="501"/>
      <c r="B3283" s="501"/>
      <c r="C3283" s="501"/>
      <c r="D3283" s="501"/>
      <c r="E3283" s="501"/>
      <c r="F3283" s="885"/>
      <c r="G3283" s="1057"/>
      <c r="H3283" s="885"/>
      <c r="I3283" s="895"/>
      <c r="J3283" s="885"/>
      <c r="K3283" s="885"/>
      <c r="L3283" s="895"/>
      <c r="M3283" s="899"/>
      <c r="N3283" s="501"/>
      <c r="O3283" s="1097"/>
      <c r="P3283" s="1151"/>
      <c r="Q3283" s="973"/>
      <c r="R3283" s="1097"/>
      <c r="S3283" s="1190"/>
      <c r="T3283" s="1104"/>
      <c r="V3283" s="961"/>
      <c r="W3283" s="885"/>
      <c r="X3283" s="885"/>
      <c r="Y3283" s="895"/>
      <c r="Z3283" s="885"/>
      <c r="AA3283" s="501"/>
      <c r="AB3283" s="501"/>
      <c r="AC3283" s="501"/>
      <c r="AD3283" s="501"/>
      <c r="AE3283" s="501"/>
      <c r="AF3283" s="501"/>
      <c r="AG3283" s="501"/>
      <c r="AH3283" s="501"/>
      <c r="AI3283" s="501"/>
      <c r="AJ3283" s="501"/>
      <c r="AK3283" s="501"/>
      <c r="AL3283" s="501"/>
      <c r="AM3283" s="501"/>
      <c r="AN3283" s="501"/>
      <c r="AO3283" s="501"/>
      <c r="AP3283" s="501"/>
      <c r="AQ3283" s="501"/>
      <c r="AR3283" s="501"/>
      <c r="AS3283" s="501"/>
      <c r="AT3283" s="501"/>
      <c r="AU3283" s="501"/>
      <c r="AV3283" s="501"/>
      <c r="AW3283" s="501"/>
      <c r="AX3283" s="501"/>
      <c r="AY3283" s="501"/>
      <c r="AZ3283" s="501"/>
      <c r="BA3283" s="501"/>
      <c r="BB3283" s="501"/>
      <c r="BC3283" s="501"/>
      <c r="BD3283" s="501"/>
      <c r="BE3283" s="501"/>
      <c r="BF3283" s="501"/>
      <c r="BG3283" s="501"/>
      <c r="BH3283" s="501"/>
      <c r="BI3283" s="501"/>
      <c r="BJ3283" s="501"/>
      <c r="BK3283" s="501"/>
      <c r="BL3283" s="501"/>
      <c r="BM3283" s="501"/>
      <c r="BN3283" s="501"/>
      <c r="BO3283" s="501"/>
      <c r="BP3283" s="501"/>
      <c r="BQ3283" s="501"/>
      <c r="BR3283" s="501"/>
      <c r="BS3283" s="501"/>
      <c r="BT3283" s="501"/>
      <c r="BU3283" s="501"/>
      <c r="BV3283" s="501"/>
      <c r="BW3283" s="501"/>
      <c r="BX3283" s="501"/>
      <c r="BY3283" s="501"/>
      <c r="BZ3283" s="501"/>
      <c r="CA3283" s="501"/>
      <c r="CB3283" s="501"/>
      <c r="CC3283" s="501"/>
      <c r="CD3283" s="501"/>
      <c r="CE3283" s="501"/>
      <c r="CF3283" s="501"/>
      <c r="CG3283" s="501"/>
      <c r="CH3283" s="501"/>
      <c r="CI3283" s="501"/>
      <c r="CJ3283" s="501"/>
      <c r="CK3283" s="501"/>
      <c r="CL3283" s="501"/>
      <c r="CM3283" s="501"/>
      <c r="CN3283" s="501"/>
      <c r="CO3283" s="501"/>
      <c r="CP3283" s="501"/>
      <c r="CQ3283" s="501"/>
      <c r="CR3283" s="501"/>
      <c r="CS3283" s="501"/>
      <c r="CT3283" s="501"/>
      <c r="CU3283" s="501"/>
      <c r="CV3283" s="501"/>
      <c r="CW3283" s="501"/>
      <c r="CX3283" s="501"/>
      <c r="CY3283" s="501"/>
      <c r="CZ3283" s="501"/>
      <c r="DA3283" s="501"/>
      <c r="DB3283" s="501"/>
      <c r="DC3283" s="501"/>
      <c r="DD3283" s="501"/>
      <c r="DE3283" s="501"/>
      <c r="DF3283" s="501"/>
      <c r="DG3283" s="501"/>
      <c r="DH3283" s="501"/>
      <c r="DI3283" s="501"/>
      <c r="DJ3283" s="501"/>
      <c r="DK3283" s="501"/>
      <c r="DL3283" s="501"/>
      <c r="DM3283" s="501"/>
      <c r="DN3283" s="501"/>
      <c r="DO3283" s="501"/>
      <c r="DP3283" s="501"/>
      <c r="DQ3283" s="501"/>
      <c r="DR3283" s="501"/>
      <c r="DS3283" s="501"/>
      <c r="DT3283" s="501"/>
      <c r="DU3283" s="501"/>
      <c r="DV3283" s="501"/>
      <c r="DW3283" s="501"/>
      <c r="DX3283" s="501"/>
      <c r="DY3283" s="501"/>
      <c r="DZ3283" s="501"/>
      <c r="EA3283" s="501"/>
      <c r="EB3283" s="501"/>
      <c r="EC3283" s="501"/>
      <c r="ED3283" s="501"/>
      <c r="EE3283" s="501"/>
      <c r="EF3283" s="501"/>
      <c r="EG3283" s="501"/>
      <c r="EH3283" s="501"/>
      <c r="EI3283" s="501"/>
      <c r="EJ3283" s="501"/>
      <c r="EK3283" s="501"/>
      <c r="EL3283" s="501"/>
      <c r="EM3283" s="501"/>
      <c r="EN3283" s="501"/>
      <c r="EO3283" s="501"/>
      <c r="EP3283" s="501"/>
      <c r="EQ3283" s="501"/>
      <c r="ER3283" s="501"/>
      <c r="ES3283" s="501"/>
      <c r="ET3283" s="501"/>
      <c r="EU3283" s="501"/>
      <c r="EV3283" s="501"/>
      <c r="EW3283" s="501"/>
      <c r="EX3283" s="501"/>
      <c r="EY3283" s="501"/>
      <c r="EZ3283" s="501"/>
      <c r="FA3283" s="501"/>
      <c r="FB3283" s="501"/>
      <c r="FC3283" s="501"/>
      <c r="FD3283" s="501"/>
      <c r="FE3283" s="501"/>
      <c r="FF3283" s="501"/>
      <c r="FG3283" s="501"/>
      <c r="FH3283" s="501"/>
      <c r="FI3283" s="501"/>
      <c r="FJ3283" s="501"/>
      <c r="FK3283" s="501"/>
      <c r="FL3283" s="501"/>
      <c r="FM3283" s="501"/>
      <c r="FN3283" s="501"/>
      <c r="FO3283" s="501"/>
      <c r="FP3283" s="501"/>
      <c r="FQ3283" s="501"/>
      <c r="FR3283" s="501"/>
      <c r="FS3283" s="501"/>
      <c r="FT3283" s="501"/>
      <c r="FU3283" s="501"/>
      <c r="FV3283" s="501"/>
      <c r="FW3283" s="501"/>
      <c r="FX3283" s="501"/>
      <c r="FY3283" s="501"/>
      <c r="FZ3283" s="501"/>
      <c r="GA3283" s="501"/>
      <c r="GB3283" s="501"/>
      <c r="GC3283" s="501"/>
      <c r="GD3283" s="501"/>
      <c r="GE3283" s="501"/>
      <c r="GF3283" s="501"/>
      <c r="GG3283" s="501"/>
      <c r="GH3283" s="501"/>
      <c r="GI3283" s="501"/>
      <c r="GJ3283" s="501"/>
      <c r="GK3283" s="501"/>
      <c r="GL3283" s="501"/>
      <c r="GM3283" s="501"/>
      <c r="GN3283" s="501"/>
      <c r="GO3283" s="501"/>
      <c r="GP3283" s="501"/>
      <c r="GQ3283" s="501"/>
      <c r="GR3283" s="501"/>
      <c r="GS3283" s="501"/>
      <c r="GT3283" s="501"/>
      <c r="GU3283" s="501"/>
      <c r="GV3283" s="501"/>
      <c r="GW3283" s="501"/>
      <c r="GX3283" s="501"/>
      <c r="GY3283" s="501"/>
      <c r="GZ3283" s="501"/>
      <c r="HA3283" s="501"/>
      <c r="HB3283" s="501"/>
      <c r="HC3283" s="501"/>
      <c r="HD3283" s="501"/>
      <c r="HE3283" s="501"/>
      <c r="HF3283" s="501"/>
      <c r="HG3283" s="501"/>
      <c r="HH3283" s="501"/>
      <c r="HI3283" s="501"/>
      <c r="HJ3283" s="501"/>
      <c r="HK3283" s="501"/>
      <c r="HL3283" s="501"/>
      <c r="HM3283" s="501"/>
      <c r="HN3283" s="501"/>
      <c r="HO3283" s="501"/>
      <c r="HP3283" s="501"/>
      <c r="HQ3283" s="501"/>
      <c r="HR3283" s="501"/>
      <c r="HS3283" s="501"/>
      <c r="HT3283" s="501"/>
      <c r="HU3283" s="501"/>
      <c r="HV3283" s="501"/>
      <c r="HW3283" s="501"/>
      <c r="HX3283" s="501"/>
      <c r="HY3283" s="501"/>
      <c r="HZ3283" s="501"/>
      <c r="IA3283" s="501"/>
      <c r="IB3283" s="501"/>
      <c r="IC3283" s="501"/>
      <c r="ID3283" s="501"/>
      <c r="IE3283" s="501"/>
      <c r="IF3283" s="501"/>
      <c r="IG3283" s="501"/>
      <c r="IH3283" s="501"/>
      <c r="II3283" s="501"/>
      <c r="IJ3283" s="501"/>
      <c r="IK3283" s="501"/>
      <c r="IL3283" s="501"/>
      <c r="IM3283" s="501"/>
      <c r="IN3283" s="501"/>
      <c r="IO3283" s="501"/>
      <c r="IP3283" s="501"/>
      <c r="IQ3283" s="501"/>
      <c r="IR3283" s="501"/>
      <c r="IS3283" s="501"/>
      <c r="IT3283" s="501"/>
      <c r="IU3283" s="501"/>
    </row>
    <row r="3284" spans="1:255" s="877" customFormat="1" ht="24" customHeight="1">
      <c r="A3284" s="501"/>
      <c r="B3284" s="501"/>
      <c r="C3284" s="501"/>
      <c r="D3284" s="501"/>
      <c r="E3284" s="501"/>
      <c r="F3284" s="885"/>
      <c r="G3284" s="1057"/>
      <c r="H3284" s="885"/>
      <c r="I3284" s="895"/>
      <c r="J3284" s="885"/>
      <c r="K3284" s="885"/>
      <c r="L3284" s="895"/>
      <c r="M3284" s="1201"/>
      <c r="N3284" s="501"/>
      <c r="O3284" s="1097"/>
      <c r="P3284" s="1151"/>
      <c r="Q3284" s="1097"/>
      <c r="R3284" s="1097"/>
      <c r="S3284" s="1106"/>
      <c r="T3284" s="1106"/>
      <c r="V3284" s="961"/>
      <c r="W3284" s="885"/>
      <c r="X3284" s="885"/>
      <c r="Y3284" s="895"/>
      <c r="Z3284" s="885"/>
      <c r="AA3284" s="501"/>
      <c r="AB3284" s="501"/>
      <c r="AC3284" s="501"/>
      <c r="AD3284" s="501"/>
      <c r="AE3284" s="501"/>
      <c r="AF3284" s="501"/>
      <c r="AG3284" s="501"/>
      <c r="AH3284" s="501"/>
      <c r="AI3284" s="501"/>
      <c r="AJ3284" s="501"/>
      <c r="AK3284" s="501"/>
      <c r="AL3284" s="501"/>
      <c r="AM3284" s="501"/>
      <c r="AN3284" s="501"/>
      <c r="AO3284" s="501"/>
      <c r="AP3284" s="501"/>
      <c r="AQ3284" s="501"/>
      <c r="AR3284" s="501"/>
      <c r="AS3284" s="501"/>
      <c r="AT3284" s="501"/>
      <c r="AU3284" s="501"/>
      <c r="AV3284" s="501"/>
      <c r="AW3284" s="501"/>
      <c r="AX3284" s="501"/>
      <c r="AY3284" s="501"/>
      <c r="AZ3284" s="501"/>
      <c r="BA3284" s="501"/>
      <c r="BB3284" s="501"/>
      <c r="BC3284" s="501"/>
      <c r="BD3284" s="501"/>
      <c r="BE3284" s="501"/>
      <c r="BF3284" s="501"/>
      <c r="BG3284" s="501"/>
      <c r="BH3284" s="501"/>
      <c r="BI3284" s="501"/>
      <c r="BJ3284" s="501"/>
      <c r="BK3284" s="501"/>
      <c r="BL3284" s="501"/>
      <c r="BM3284" s="501"/>
      <c r="BN3284" s="501"/>
      <c r="BO3284" s="501"/>
      <c r="BP3284" s="501"/>
      <c r="BQ3284" s="501"/>
      <c r="BR3284" s="501"/>
      <c r="BS3284" s="501"/>
      <c r="BT3284" s="501"/>
      <c r="BU3284" s="501"/>
      <c r="BV3284" s="501"/>
      <c r="BW3284" s="501"/>
      <c r="BX3284" s="501"/>
      <c r="BY3284" s="501"/>
      <c r="BZ3284" s="501"/>
      <c r="CA3284" s="501"/>
      <c r="CB3284" s="501"/>
      <c r="CC3284" s="501"/>
      <c r="CD3284" s="501"/>
      <c r="CE3284" s="501"/>
      <c r="CF3284" s="501"/>
      <c r="CG3284" s="501"/>
      <c r="CH3284" s="501"/>
      <c r="CI3284" s="501"/>
      <c r="CJ3284" s="501"/>
      <c r="CK3284" s="501"/>
      <c r="CL3284" s="501"/>
      <c r="CM3284" s="501"/>
      <c r="CN3284" s="501"/>
      <c r="CO3284" s="501"/>
      <c r="CP3284" s="501"/>
      <c r="CQ3284" s="501"/>
      <c r="CR3284" s="501"/>
      <c r="CS3284" s="501"/>
      <c r="CT3284" s="501"/>
      <c r="CU3284" s="501"/>
      <c r="CV3284" s="501"/>
      <c r="CW3284" s="501"/>
      <c r="CX3284" s="501"/>
      <c r="CY3284" s="501"/>
      <c r="CZ3284" s="501"/>
      <c r="DA3284" s="501"/>
      <c r="DB3284" s="501"/>
      <c r="DC3284" s="501"/>
      <c r="DD3284" s="501"/>
      <c r="DE3284" s="501"/>
      <c r="DF3284" s="501"/>
      <c r="DG3284" s="501"/>
      <c r="DH3284" s="501"/>
      <c r="DI3284" s="501"/>
      <c r="DJ3284" s="501"/>
      <c r="DK3284" s="501"/>
      <c r="DL3284" s="501"/>
      <c r="DM3284" s="501"/>
      <c r="DN3284" s="501"/>
      <c r="DO3284" s="501"/>
      <c r="DP3284" s="501"/>
      <c r="DQ3284" s="501"/>
      <c r="DR3284" s="501"/>
      <c r="DS3284" s="501"/>
      <c r="DT3284" s="501"/>
      <c r="DU3284" s="501"/>
      <c r="DV3284" s="501"/>
      <c r="DW3284" s="501"/>
      <c r="DX3284" s="501"/>
      <c r="DY3284" s="501"/>
      <c r="DZ3284" s="501"/>
      <c r="EA3284" s="501"/>
      <c r="EB3284" s="501"/>
      <c r="EC3284" s="501"/>
      <c r="ED3284" s="501"/>
      <c r="EE3284" s="501"/>
      <c r="EF3284" s="501"/>
      <c r="EG3284" s="501"/>
      <c r="EH3284" s="501"/>
      <c r="EI3284" s="501"/>
      <c r="EJ3284" s="501"/>
      <c r="EK3284" s="501"/>
      <c r="EL3284" s="501"/>
      <c r="EM3284" s="501"/>
      <c r="EN3284" s="501"/>
      <c r="EO3284" s="501"/>
      <c r="EP3284" s="501"/>
      <c r="EQ3284" s="501"/>
      <c r="ER3284" s="501"/>
      <c r="ES3284" s="501"/>
      <c r="ET3284" s="501"/>
      <c r="EU3284" s="501"/>
      <c r="EV3284" s="501"/>
      <c r="EW3284" s="501"/>
      <c r="EX3284" s="501"/>
      <c r="EY3284" s="501"/>
      <c r="EZ3284" s="501"/>
      <c r="FA3284" s="501"/>
      <c r="FB3284" s="501"/>
      <c r="FC3284" s="501"/>
      <c r="FD3284" s="501"/>
      <c r="FE3284" s="501"/>
      <c r="FF3284" s="501"/>
      <c r="FG3284" s="501"/>
      <c r="FH3284" s="501"/>
      <c r="FI3284" s="501"/>
      <c r="FJ3284" s="501"/>
      <c r="FK3284" s="501"/>
      <c r="FL3284" s="501"/>
      <c r="FM3284" s="501"/>
      <c r="FN3284" s="501"/>
      <c r="FO3284" s="501"/>
      <c r="FP3284" s="501"/>
      <c r="FQ3284" s="501"/>
      <c r="FR3284" s="501"/>
      <c r="FS3284" s="501"/>
      <c r="FT3284" s="501"/>
      <c r="FU3284" s="501"/>
      <c r="FV3284" s="501"/>
      <c r="FW3284" s="501"/>
      <c r="FX3284" s="501"/>
      <c r="FY3284" s="501"/>
      <c r="FZ3284" s="501"/>
      <c r="GA3284" s="501"/>
      <c r="GB3284" s="501"/>
      <c r="GC3284" s="501"/>
      <c r="GD3284" s="501"/>
      <c r="GE3284" s="501"/>
      <c r="GF3284" s="501"/>
      <c r="GG3284" s="501"/>
      <c r="GH3284" s="501"/>
      <c r="GI3284" s="501"/>
      <c r="GJ3284" s="501"/>
      <c r="GK3284" s="501"/>
      <c r="GL3284" s="501"/>
      <c r="GM3284" s="501"/>
      <c r="GN3284" s="501"/>
      <c r="GO3284" s="501"/>
      <c r="GP3284" s="501"/>
      <c r="GQ3284" s="501"/>
      <c r="GR3284" s="501"/>
      <c r="GS3284" s="501"/>
      <c r="GT3284" s="501"/>
      <c r="GU3284" s="501"/>
      <c r="GV3284" s="501"/>
      <c r="GW3284" s="501"/>
      <c r="GX3284" s="501"/>
      <c r="GY3284" s="501"/>
      <c r="GZ3284" s="501"/>
      <c r="HA3284" s="501"/>
      <c r="HB3284" s="501"/>
      <c r="HC3284" s="501"/>
      <c r="HD3284" s="501"/>
      <c r="HE3284" s="501"/>
      <c r="HF3284" s="501"/>
      <c r="HG3284" s="501"/>
      <c r="HH3284" s="501"/>
      <c r="HI3284" s="501"/>
      <c r="HJ3284" s="501"/>
      <c r="HK3284" s="501"/>
      <c r="HL3284" s="501"/>
      <c r="HM3284" s="501"/>
      <c r="HN3284" s="501"/>
      <c r="HO3284" s="501"/>
      <c r="HP3284" s="501"/>
      <c r="HQ3284" s="501"/>
      <c r="HR3284" s="501"/>
      <c r="HS3284" s="501"/>
      <c r="HT3284" s="501"/>
      <c r="HU3284" s="501"/>
      <c r="HV3284" s="501"/>
      <c r="HW3284" s="501"/>
      <c r="HX3284" s="501"/>
      <c r="HY3284" s="501"/>
      <c r="HZ3284" s="501"/>
      <c r="IA3284" s="501"/>
      <c r="IB3284" s="501"/>
      <c r="IC3284" s="501"/>
      <c r="ID3284" s="501"/>
      <c r="IE3284" s="501"/>
      <c r="IF3284" s="501"/>
      <c r="IG3284" s="501"/>
      <c r="IH3284" s="501"/>
      <c r="II3284" s="501"/>
      <c r="IJ3284" s="501"/>
      <c r="IK3284" s="501"/>
      <c r="IL3284" s="501"/>
      <c r="IM3284" s="501"/>
      <c r="IN3284" s="501"/>
      <c r="IO3284" s="501"/>
      <c r="IP3284" s="501"/>
      <c r="IQ3284" s="501"/>
      <c r="IR3284" s="501"/>
      <c r="IS3284" s="501"/>
      <c r="IT3284" s="501"/>
      <c r="IU3284" s="501"/>
    </row>
    <row r="3285" spans="1:255" s="877" customFormat="1" ht="24" customHeight="1">
      <c r="A3285" s="501"/>
      <c r="B3285" s="501"/>
      <c r="C3285" s="501"/>
      <c r="D3285" s="501"/>
      <c r="E3285" s="501"/>
      <c r="F3285" s="885"/>
      <c r="G3285" s="1057"/>
      <c r="H3285" s="885"/>
      <c r="I3285" s="895"/>
      <c r="J3285" s="885"/>
      <c r="K3285" s="885"/>
      <c r="L3285" s="895"/>
      <c r="M3285" s="899"/>
      <c r="N3285" s="501"/>
      <c r="O3285" s="1157"/>
      <c r="P3285" s="1152"/>
      <c r="Q3285" s="973"/>
      <c r="R3285" s="968"/>
      <c r="S3285" s="974"/>
      <c r="T3285" s="968"/>
      <c r="V3285" s="961"/>
      <c r="W3285" s="885"/>
      <c r="X3285" s="885"/>
      <c r="Y3285" s="895"/>
      <c r="Z3285" s="885"/>
      <c r="AA3285" s="501"/>
      <c r="AB3285" s="501"/>
      <c r="AC3285" s="501"/>
      <c r="AD3285" s="501"/>
      <c r="AE3285" s="501"/>
      <c r="AF3285" s="501"/>
      <c r="AG3285" s="501"/>
      <c r="AH3285" s="501"/>
      <c r="AI3285" s="501"/>
      <c r="AJ3285" s="501"/>
      <c r="AK3285" s="501"/>
      <c r="AL3285" s="501"/>
      <c r="AM3285" s="501"/>
      <c r="AN3285" s="501"/>
      <c r="AO3285" s="501"/>
      <c r="AP3285" s="501"/>
      <c r="AQ3285" s="501"/>
      <c r="AR3285" s="501"/>
      <c r="AS3285" s="501"/>
      <c r="AT3285" s="501"/>
      <c r="AU3285" s="501"/>
      <c r="AV3285" s="501"/>
      <c r="AW3285" s="501"/>
      <c r="AX3285" s="501"/>
      <c r="AY3285" s="501"/>
      <c r="AZ3285" s="501"/>
      <c r="BA3285" s="501"/>
      <c r="BB3285" s="501"/>
      <c r="BC3285" s="501"/>
      <c r="BD3285" s="501"/>
      <c r="BE3285" s="501"/>
      <c r="BF3285" s="501"/>
      <c r="BG3285" s="501"/>
      <c r="BH3285" s="501"/>
      <c r="BI3285" s="501"/>
      <c r="BJ3285" s="501"/>
      <c r="BK3285" s="501"/>
      <c r="BL3285" s="501"/>
      <c r="BM3285" s="501"/>
      <c r="BN3285" s="501"/>
      <c r="BO3285" s="501"/>
      <c r="BP3285" s="501"/>
      <c r="BQ3285" s="501"/>
      <c r="BR3285" s="501"/>
      <c r="BS3285" s="501"/>
      <c r="BT3285" s="501"/>
      <c r="BU3285" s="501"/>
      <c r="BV3285" s="501"/>
      <c r="BW3285" s="501"/>
      <c r="BX3285" s="501"/>
      <c r="BY3285" s="501"/>
      <c r="BZ3285" s="501"/>
      <c r="CA3285" s="501"/>
      <c r="CB3285" s="501"/>
      <c r="CC3285" s="501"/>
      <c r="CD3285" s="501"/>
      <c r="CE3285" s="501"/>
      <c r="CF3285" s="501"/>
      <c r="CG3285" s="501"/>
      <c r="CH3285" s="501"/>
      <c r="CI3285" s="501"/>
      <c r="CJ3285" s="501"/>
      <c r="CK3285" s="501"/>
      <c r="CL3285" s="501"/>
      <c r="CM3285" s="501"/>
      <c r="CN3285" s="501"/>
      <c r="CO3285" s="501"/>
      <c r="CP3285" s="501"/>
      <c r="CQ3285" s="501"/>
      <c r="CR3285" s="501"/>
      <c r="CS3285" s="501"/>
      <c r="CT3285" s="501"/>
      <c r="CU3285" s="501"/>
      <c r="CV3285" s="501"/>
      <c r="CW3285" s="501"/>
      <c r="CX3285" s="501"/>
      <c r="CY3285" s="501"/>
      <c r="CZ3285" s="501"/>
      <c r="DA3285" s="501"/>
      <c r="DB3285" s="501"/>
      <c r="DC3285" s="501"/>
      <c r="DD3285" s="501"/>
      <c r="DE3285" s="501"/>
      <c r="DF3285" s="501"/>
      <c r="DG3285" s="501"/>
      <c r="DH3285" s="501"/>
      <c r="DI3285" s="501"/>
      <c r="DJ3285" s="501"/>
      <c r="DK3285" s="501"/>
      <c r="DL3285" s="501"/>
      <c r="DM3285" s="501"/>
      <c r="DN3285" s="501"/>
      <c r="DO3285" s="501"/>
      <c r="DP3285" s="501"/>
      <c r="DQ3285" s="501"/>
      <c r="DR3285" s="501"/>
      <c r="DS3285" s="501"/>
      <c r="DT3285" s="501"/>
      <c r="DU3285" s="501"/>
      <c r="DV3285" s="501"/>
      <c r="DW3285" s="501"/>
      <c r="DX3285" s="501"/>
      <c r="DY3285" s="501"/>
      <c r="DZ3285" s="501"/>
      <c r="EA3285" s="501"/>
      <c r="EB3285" s="501"/>
      <c r="EC3285" s="501"/>
      <c r="ED3285" s="501"/>
      <c r="EE3285" s="501"/>
      <c r="EF3285" s="501"/>
      <c r="EG3285" s="501"/>
      <c r="EH3285" s="501"/>
      <c r="EI3285" s="501"/>
      <c r="EJ3285" s="501"/>
      <c r="EK3285" s="501"/>
      <c r="EL3285" s="501"/>
      <c r="EM3285" s="501"/>
      <c r="EN3285" s="501"/>
      <c r="EO3285" s="501"/>
      <c r="EP3285" s="501"/>
      <c r="EQ3285" s="501"/>
      <c r="ER3285" s="501"/>
      <c r="ES3285" s="501"/>
      <c r="ET3285" s="501"/>
      <c r="EU3285" s="501"/>
      <c r="EV3285" s="501"/>
      <c r="EW3285" s="501"/>
      <c r="EX3285" s="501"/>
      <c r="EY3285" s="501"/>
      <c r="EZ3285" s="501"/>
      <c r="FA3285" s="501"/>
      <c r="FB3285" s="501"/>
      <c r="FC3285" s="501"/>
      <c r="FD3285" s="501"/>
      <c r="FE3285" s="501"/>
      <c r="FF3285" s="501"/>
      <c r="FG3285" s="501"/>
      <c r="FH3285" s="501"/>
      <c r="FI3285" s="501"/>
      <c r="FJ3285" s="501"/>
      <c r="FK3285" s="501"/>
      <c r="FL3285" s="501"/>
      <c r="FM3285" s="501"/>
      <c r="FN3285" s="501"/>
      <c r="FO3285" s="501"/>
      <c r="FP3285" s="501"/>
      <c r="FQ3285" s="501"/>
      <c r="FR3285" s="501"/>
      <c r="FS3285" s="501"/>
      <c r="FT3285" s="501"/>
      <c r="FU3285" s="501"/>
      <c r="FV3285" s="501"/>
      <c r="FW3285" s="501"/>
      <c r="FX3285" s="501"/>
      <c r="FY3285" s="501"/>
      <c r="FZ3285" s="501"/>
      <c r="GA3285" s="501"/>
      <c r="GB3285" s="501"/>
      <c r="GC3285" s="501"/>
      <c r="GD3285" s="501"/>
      <c r="GE3285" s="501"/>
      <c r="GF3285" s="501"/>
      <c r="GG3285" s="501"/>
      <c r="GH3285" s="501"/>
      <c r="GI3285" s="501"/>
      <c r="GJ3285" s="501"/>
      <c r="GK3285" s="501"/>
      <c r="GL3285" s="501"/>
      <c r="GM3285" s="501"/>
      <c r="GN3285" s="501"/>
      <c r="GO3285" s="501"/>
      <c r="GP3285" s="501"/>
      <c r="GQ3285" s="501"/>
      <c r="GR3285" s="501"/>
      <c r="GS3285" s="501"/>
      <c r="GT3285" s="501"/>
      <c r="GU3285" s="501"/>
      <c r="GV3285" s="501"/>
      <c r="GW3285" s="501"/>
      <c r="GX3285" s="501"/>
      <c r="GY3285" s="501"/>
      <c r="GZ3285" s="501"/>
      <c r="HA3285" s="501"/>
      <c r="HB3285" s="501"/>
      <c r="HC3285" s="501"/>
      <c r="HD3285" s="501"/>
      <c r="HE3285" s="501"/>
      <c r="HF3285" s="501"/>
      <c r="HG3285" s="501"/>
      <c r="HH3285" s="501"/>
      <c r="HI3285" s="501"/>
      <c r="HJ3285" s="501"/>
      <c r="HK3285" s="501"/>
      <c r="HL3285" s="501"/>
      <c r="HM3285" s="501"/>
      <c r="HN3285" s="501"/>
      <c r="HO3285" s="501"/>
      <c r="HP3285" s="501"/>
      <c r="HQ3285" s="501"/>
      <c r="HR3285" s="501"/>
      <c r="HS3285" s="501"/>
      <c r="HT3285" s="501"/>
      <c r="HU3285" s="501"/>
      <c r="HV3285" s="501"/>
      <c r="HW3285" s="501"/>
      <c r="HX3285" s="501"/>
      <c r="HY3285" s="501"/>
      <c r="HZ3285" s="501"/>
      <c r="IA3285" s="501"/>
      <c r="IB3285" s="501"/>
      <c r="IC3285" s="501"/>
      <c r="ID3285" s="501"/>
      <c r="IE3285" s="501"/>
      <c r="IF3285" s="501"/>
      <c r="IG3285" s="501"/>
      <c r="IH3285" s="501"/>
      <c r="II3285" s="501"/>
      <c r="IJ3285" s="501"/>
      <c r="IK3285" s="501"/>
      <c r="IL3285" s="501"/>
      <c r="IM3285" s="501"/>
      <c r="IN3285" s="501"/>
      <c r="IO3285" s="501"/>
      <c r="IP3285" s="501"/>
      <c r="IQ3285" s="501"/>
      <c r="IR3285" s="501"/>
      <c r="IS3285" s="501"/>
      <c r="IT3285" s="501"/>
      <c r="IU3285" s="501"/>
    </row>
    <row r="3286" spans="1:255" s="877" customFormat="1" ht="24" customHeight="1">
      <c r="A3286" s="501"/>
      <c r="B3286" s="501"/>
      <c r="C3286" s="501"/>
      <c r="D3286" s="501"/>
      <c r="E3286" s="501"/>
      <c r="F3286" s="885"/>
      <c r="G3286" s="1057"/>
      <c r="H3286" s="885"/>
      <c r="I3286" s="895"/>
      <c r="J3286" s="885"/>
      <c r="K3286" s="885"/>
      <c r="L3286" s="895"/>
      <c r="M3286" s="1201"/>
      <c r="N3286" s="501"/>
      <c r="O3286" s="1157"/>
      <c r="P3286" s="1152"/>
      <c r="Q3286" s="973"/>
      <c r="R3286" s="968"/>
      <c r="S3286" s="974"/>
      <c r="T3286" s="968"/>
      <c r="V3286" s="961"/>
      <c r="W3286" s="885"/>
      <c r="X3286" s="885"/>
      <c r="Y3286" s="895"/>
      <c r="Z3286" s="885"/>
      <c r="AA3286" s="501"/>
      <c r="AB3286" s="501"/>
      <c r="AC3286" s="501"/>
      <c r="AD3286" s="501"/>
      <c r="AE3286" s="501"/>
      <c r="AF3286" s="501"/>
      <c r="AG3286" s="501"/>
      <c r="AH3286" s="501"/>
      <c r="AI3286" s="501"/>
      <c r="AJ3286" s="501"/>
      <c r="AK3286" s="501"/>
      <c r="AL3286" s="501"/>
      <c r="AM3286" s="501"/>
      <c r="AN3286" s="501"/>
      <c r="AO3286" s="501"/>
      <c r="AP3286" s="501"/>
      <c r="AQ3286" s="501"/>
      <c r="AR3286" s="501"/>
      <c r="AS3286" s="501"/>
      <c r="AT3286" s="501"/>
      <c r="AU3286" s="501"/>
      <c r="AV3286" s="501"/>
      <c r="AW3286" s="501"/>
      <c r="AX3286" s="501"/>
      <c r="AY3286" s="501"/>
      <c r="AZ3286" s="501"/>
      <c r="BA3286" s="501"/>
      <c r="BB3286" s="501"/>
      <c r="BC3286" s="501"/>
      <c r="BD3286" s="501"/>
      <c r="BE3286" s="501"/>
      <c r="BF3286" s="501"/>
      <c r="BG3286" s="501"/>
      <c r="BH3286" s="501"/>
      <c r="BI3286" s="501"/>
      <c r="BJ3286" s="501"/>
      <c r="BK3286" s="501"/>
      <c r="BL3286" s="501"/>
      <c r="BM3286" s="501"/>
      <c r="BN3286" s="501"/>
      <c r="BO3286" s="501"/>
      <c r="BP3286" s="501"/>
      <c r="BQ3286" s="501"/>
      <c r="BR3286" s="501"/>
      <c r="BS3286" s="501"/>
      <c r="BT3286" s="501"/>
      <c r="BU3286" s="501"/>
      <c r="BV3286" s="501"/>
      <c r="BW3286" s="501"/>
      <c r="BX3286" s="501"/>
      <c r="BY3286" s="501"/>
      <c r="BZ3286" s="501"/>
      <c r="CA3286" s="501"/>
      <c r="CB3286" s="501"/>
      <c r="CC3286" s="501"/>
      <c r="CD3286" s="501"/>
      <c r="CE3286" s="501"/>
      <c r="CF3286" s="501"/>
      <c r="CG3286" s="501"/>
      <c r="CH3286" s="501"/>
      <c r="CI3286" s="501"/>
      <c r="CJ3286" s="501"/>
      <c r="CK3286" s="501"/>
      <c r="CL3286" s="501"/>
      <c r="CM3286" s="501"/>
      <c r="CN3286" s="501"/>
      <c r="CO3286" s="501"/>
      <c r="CP3286" s="501"/>
      <c r="CQ3286" s="501"/>
      <c r="CR3286" s="501"/>
      <c r="CS3286" s="501"/>
      <c r="CT3286" s="501"/>
      <c r="CU3286" s="501"/>
      <c r="CV3286" s="501"/>
      <c r="CW3286" s="501"/>
      <c r="CX3286" s="501"/>
      <c r="CY3286" s="501"/>
      <c r="CZ3286" s="501"/>
      <c r="DA3286" s="501"/>
      <c r="DB3286" s="501"/>
      <c r="DC3286" s="501"/>
      <c r="DD3286" s="501"/>
      <c r="DE3286" s="501"/>
      <c r="DF3286" s="501"/>
      <c r="DG3286" s="501"/>
      <c r="DH3286" s="501"/>
      <c r="DI3286" s="501"/>
      <c r="DJ3286" s="501"/>
      <c r="DK3286" s="501"/>
      <c r="DL3286" s="501"/>
      <c r="DM3286" s="501"/>
      <c r="DN3286" s="501"/>
      <c r="DO3286" s="501"/>
      <c r="DP3286" s="501"/>
      <c r="DQ3286" s="501"/>
      <c r="DR3286" s="501"/>
      <c r="DS3286" s="501"/>
      <c r="DT3286" s="501"/>
      <c r="DU3286" s="501"/>
      <c r="DV3286" s="501"/>
      <c r="DW3286" s="501"/>
      <c r="DX3286" s="501"/>
      <c r="DY3286" s="501"/>
      <c r="DZ3286" s="501"/>
      <c r="EA3286" s="501"/>
      <c r="EB3286" s="501"/>
      <c r="EC3286" s="501"/>
      <c r="ED3286" s="501"/>
      <c r="EE3286" s="501"/>
      <c r="EF3286" s="501"/>
      <c r="EG3286" s="501"/>
      <c r="EH3286" s="501"/>
      <c r="EI3286" s="501"/>
      <c r="EJ3286" s="501"/>
      <c r="EK3286" s="501"/>
      <c r="EL3286" s="501"/>
      <c r="EM3286" s="501"/>
      <c r="EN3286" s="501"/>
      <c r="EO3286" s="501"/>
      <c r="EP3286" s="501"/>
      <c r="EQ3286" s="501"/>
      <c r="ER3286" s="501"/>
      <c r="ES3286" s="501"/>
      <c r="ET3286" s="501"/>
      <c r="EU3286" s="501"/>
      <c r="EV3286" s="501"/>
      <c r="EW3286" s="501"/>
      <c r="EX3286" s="501"/>
      <c r="EY3286" s="501"/>
      <c r="EZ3286" s="501"/>
      <c r="FA3286" s="501"/>
      <c r="FB3286" s="501"/>
      <c r="FC3286" s="501"/>
      <c r="FD3286" s="501"/>
      <c r="FE3286" s="501"/>
      <c r="FF3286" s="501"/>
      <c r="FG3286" s="501"/>
      <c r="FH3286" s="501"/>
      <c r="FI3286" s="501"/>
      <c r="FJ3286" s="501"/>
      <c r="FK3286" s="501"/>
      <c r="FL3286" s="501"/>
      <c r="FM3286" s="501"/>
      <c r="FN3286" s="501"/>
      <c r="FO3286" s="501"/>
      <c r="FP3286" s="501"/>
      <c r="FQ3286" s="501"/>
      <c r="FR3286" s="501"/>
      <c r="FS3286" s="501"/>
      <c r="FT3286" s="501"/>
      <c r="FU3286" s="501"/>
      <c r="FV3286" s="501"/>
      <c r="FW3286" s="501"/>
      <c r="FX3286" s="501"/>
      <c r="FY3286" s="501"/>
      <c r="FZ3286" s="501"/>
      <c r="GA3286" s="501"/>
      <c r="GB3286" s="501"/>
      <c r="GC3286" s="501"/>
      <c r="GD3286" s="501"/>
      <c r="GE3286" s="501"/>
      <c r="GF3286" s="501"/>
      <c r="GG3286" s="501"/>
      <c r="GH3286" s="501"/>
      <c r="GI3286" s="501"/>
      <c r="GJ3286" s="501"/>
      <c r="GK3286" s="501"/>
      <c r="GL3286" s="501"/>
      <c r="GM3286" s="501"/>
      <c r="GN3286" s="501"/>
      <c r="GO3286" s="501"/>
      <c r="GP3286" s="501"/>
      <c r="GQ3286" s="501"/>
      <c r="GR3286" s="501"/>
      <c r="GS3286" s="501"/>
      <c r="GT3286" s="501"/>
      <c r="GU3286" s="501"/>
      <c r="GV3286" s="501"/>
      <c r="GW3286" s="501"/>
      <c r="GX3286" s="501"/>
      <c r="GY3286" s="501"/>
      <c r="GZ3286" s="501"/>
      <c r="HA3286" s="501"/>
      <c r="HB3286" s="501"/>
      <c r="HC3286" s="501"/>
      <c r="HD3286" s="501"/>
      <c r="HE3286" s="501"/>
      <c r="HF3286" s="501"/>
      <c r="HG3286" s="501"/>
      <c r="HH3286" s="501"/>
      <c r="HI3286" s="501"/>
      <c r="HJ3286" s="501"/>
      <c r="HK3286" s="501"/>
      <c r="HL3286" s="501"/>
      <c r="HM3286" s="501"/>
      <c r="HN3286" s="501"/>
      <c r="HO3286" s="501"/>
      <c r="HP3286" s="501"/>
      <c r="HQ3286" s="501"/>
      <c r="HR3286" s="501"/>
      <c r="HS3286" s="501"/>
      <c r="HT3286" s="501"/>
      <c r="HU3286" s="501"/>
      <c r="HV3286" s="501"/>
      <c r="HW3286" s="501"/>
      <c r="HX3286" s="501"/>
      <c r="HY3286" s="501"/>
      <c r="HZ3286" s="501"/>
      <c r="IA3286" s="501"/>
      <c r="IB3286" s="501"/>
      <c r="IC3286" s="501"/>
      <c r="ID3286" s="501"/>
      <c r="IE3286" s="501"/>
      <c r="IF3286" s="501"/>
      <c r="IG3286" s="501"/>
      <c r="IH3286" s="501"/>
      <c r="II3286" s="501"/>
      <c r="IJ3286" s="501"/>
      <c r="IK3286" s="501"/>
      <c r="IL3286" s="501"/>
      <c r="IM3286" s="501"/>
      <c r="IN3286" s="501"/>
      <c r="IO3286" s="501"/>
      <c r="IP3286" s="501"/>
      <c r="IQ3286" s="501"/>
      <c r="IR3286" s="501"/>
      <c r="IS3286" s="501"/>
      <c r="IT3286" s="501"/>
      <c r="IU3286" s="501"/>
    </row>
    <row r="3287" spans="1:255" s="877" customFormat="1" ht="24" customHeight="1">
      <c r="A3287" s="501"/>
      <c r="B3287" s="501"/>
      <c r="C3287" s="501"/>
      <c r="D3287" s="501"/>
      <c r="E3287" s="501"/>
      <c r="F3287" s="885"/>
      <c r="G3287" s="1057"/>
      <c r="H3287" s="885"/>
      <c r="I3287" s="895"/>
      <c r="J3287" s="885"/>
      <c r="K3287" s="885"/>
      <c r="L3287" s="895"/>
      <c r="M3287" s="899"/>
      <c r="N3287" s="501"/>
      <c r="O3287" s="968"/>
      <c r="P3287" s="1152"/>
      <c r="Q3287" s="876"/>
      <c r="R3287" s="968"/>
      <c r="S3287" s="974"/>
      <c r="T3287" s="968"/>
      <c r="V3287" s="961"/>
      <c r="W3287" s="885"/>
      <c r="X3287" s="885"/>
      <c r="Y3287" s="895"/>
      <c r="Z3287" s="885"/>
      <c r="AA3287" s="501"/>
      <c r="AB3287" s="501"/>
      <c r="AC3287" s="501"/>
      <c r="AD3287" s="501"/>
      <c r="AE3287" s="501"/>
      <c r="AF3287" s="501"/>
      <c r="AG3287" s="501"/>
      <c r="AH3287" s="501"/>
      <c r="AI3287" s="501"/>
      <c r="AJ3287" s="501"/>
      <c r="AK3287" s="501"/>
      <c r="AL3287" s="501"/>
      <c r="AM3287" s="501"/>
      <c r="AN3287" s="501"/>
      <c r="AO3287" s="501"/>
      <c r="AP3287" s="501"/>
      <c r="AQ3287" s="501"/>
      <c r="AR3287" s="501"/>
      <c r="AS3287" s="501"/>
      <c r="AT3287" s="501"/>
      <c r="AU3287" s="501"/>
      <c r="AV3287" s="501"/>
      <c r="AW3287" s="501"/>
      <c r="AX3287" s="501"/>
      <c r="AY3287" s="501"/>
      <c r="AZ3287" s="501"/>
      <c r="BA3287" s="501"/>
      <c r="BB3287" s="501"/>
      <c r="BC3287" s="501"/>
      <c r="BD3287" s="501"/>
      <c r="BE3287" s="501"/>
      <c r="BF3287" s="501"/>
      <c r="BG3287" s="501"/>
      <c r="BH3287" s="501"/>
      <c r="BI3287" s="501"/>
      <c r="BJ3287" s="501"/>
      <c r="BK3287" s="501"/>
      <c r="BL3287" s="501"/>
      <c r="BM3287" s="501"/>
      <c r="BN3287" s="501"/>
      <c r="BO3287" s="501"/>
      <c r="BP3287" s="501"/>
      <c r="BQ3287" s="501"/>
      <c r="BR3287" s="501"/>
      <c r="BS3287" s="501"/>
      <c r="BT3287" s="501"/>
      <c r="BU3287" s="501"/>
      <c r="BV3287" s="501"/>
      <c r="BW3287" s="501"/>
      <c r="BX3287" s="501"/>
      <c r="BY3287" s="501"/>
      <c r="BZ3287" s="501"/>
      <c r="CA3287" s="501"/>
      <c r="CB3287" s="501"/>
      <c r="CC3287" s="501"/>
      <c r="CD3287" s="501"/>
      <c r="CE3287" s="501"/>
      <c r="CF3287" s="501"/>
      <c r="CG3287" s="501"/>
      <c r="CH3287" s="501"/>
      <c r="CI3287" s="501"/>
      <c r="CJ3287" s="501"/>
      <c r="CK3287" s="501"/>
      <c r="CL3287" s="501"/>
      <c r="CM3287" s="501"/>
      <c r="CN3287" s="501"/>
      <c r="CO3287" s="501"/>
      <c r="CP3287" s="501"/>
      <c r="CQ3287" s="501"/>
      <c r="CR3287" s="501"/>
      <c r="CS3287" s="501"/>
      <c r="CT3287" s="501"/>
      <c r="CU3287" s="501"/>
      <c r="CV3287" s="501"/>
      <c r="CW3287" s="501"/>
      <c r="CX3287" s="501"/>
      <c r="CY3287" s="501"/>
      <c r="CZ3287" s="501"/>
      <c r="DA3287" s="501"/>
      <c r="DB3287" s="501"/>
      <c r="DC3287" s="501"/>
      <c r="DD3287" s="501"/>
      <c r="DE3287" s="501"/>
      <c r="DF3287" s="501"/>
      <c r="DG3287" s="501"/>
      <c r="DH3287" s="501"/>
      <c r="DI3287" s="501"/>
      <c r="DJ3287" s="501"/>
      <c r="DK3287" s="501"/>
      <c r="DL3287" s="501"/>
      <c r="DM3287" s="501"/>
      <c r="DN3287" s="501"/>
      <c r="DO3287" s="501"/>
      <c r="DP3287" s="501"/>
      <c r="DQ3287" s="501"/>
      <c r="DR3287" s="501"/>
      <c r="DS3287" s="501"/>
      <c r="DT3287" s="501"/>
      <c r="DU3287" s="501"/>
      <c r="DV3287" s="501"/>
      <c r="DW3287" s="501"/>
      <c r="DX3287" s="501"/>
      <c r="DY3287" s="501"/>
      <c r="DZ3287" s="501"/>
      <c r="EA3287" s="501"/>
      <c r="EB3287" s="501"/>
      <c r="EC3287" s="501"/>
      <c r="ED3287" s="501"/>
      <c r="EE3287" s="501"/>
      <c r="EF3287" s="501"/>
      <c r="EG3287" s="501"/>
      <c r="EH3287" s="501"/>
      <c r="EI3287" s="501"/>
      <c r="EJ3287" s="501"/>
      <c r="EK3287" s="501"/>
      <c r="EL3287" s="501"/>
      <c r="EM3287" s="501"/>
      <c r="EN3287" s="501"/>
      <c r="EO3287" s="501"/>
      <c r="EP3287" s="501"/>
      <c r="EQ3287" s="501"/>
      <c r="ER3287" s="501"/>
      <c r="ES3287" s="501"/>
      <c r="ET3287" s="501"/>
      <c r="EU3287" s="501"/>
      <c r="EV3287" s="501"/>
      <c r="EW3287" s="501"/>
      <c r="EX3287" s="501"/>
      <c r="EY3287" s="501"/>
      <c r="EZ3287" s="501"/>
      <c r="FA3287" s="501"/>
      <c r="FB3287" s="501"/>
      <c r="FC3287" s="501"/>
      <c r="FD3287" s="501"/>
      <c r="FE3287" s="501"/>
      <c r="FF3287" s="501"/>
      <c r="FG3287" s="501"/>
      <c r="FH3287" s="501"/>
      <c r="FI3287" s="501"/>
      <c r="FJ3287" s="501"/>
      <c r="FK3287" s="501"/>
      <c r="FL3287" s="501"/>
      <c r="FM3287" s="501"/>
      <c r="FN3287" s="501"/>
      <c r="FO3287" s="501"/>
      <c r="FP3287" s="501"/>
      <c r="FQ3287" s="501"/>
      <c r="FR3287" s="501"/>
      <c r="FS3287" s="501"/>
      <c r="FT3287" s="501"/>
      <c r="FU3287" s="501"/>
      <c r="FV3287" s="501"/>
      <c r="FW3287" s="501"/>
      <c r="FX3287" s="501"/>
      <c r="FY3287" s="501"/>
      <c r="FZ3287" s="501"/>
      <c r="GA3287" s="501"/>
      <c r="GB3287" s="501"/>
      <c r="GC3287" s="501"/>
      <c r="GD3287" s="501"/>
      <c r="GE3287" s="501"/>
      <c r="GF3287" s="501"/>
      <c r="GG3287" s="501"/>
      <c r="GH3287" s="501"/>
      <c r="GI3287" s="501"/>
      <c r="GJ3287" s="501"/>
      <c r="GK3287" s="501"/>
      <c r="GL3287" s="501"/>
      <c r="GM3287" s="501"/>
      <c r="GN3287" s="501"/>
      <c r="GO3287" s="501"/>
      <c r="GP3287" s="501"/>
      <c r="GQ3287" s="501"/>
      <c r="GR3287" s="501"/>
      <c r="GS3287" s="501"/>
      <c r="GT3287" s="501"/>
      <c r="GU3287" s="501"/>
      <c r="GV3287" s="501"/>
      <c r="GW3287" s="501"/>
      <c r="GX3287" s="501"/>
      <c r="GY3287" s="501"/>
      <c r="GZ3287" s="501"/>
      <c r="HA3287" s="501"/>
      <c r="HB3287" s="501"/>
      <c r="HC3287" s="501"/>
      <c r="HD3287" s="501"/>
      <c r="HE3287" s="501"/>
      <c r="HF3287" s="501"/>
      <c r="HG3287" s="501"/>
      <c r="HH3287" s="501"/>
      <c r="HI3287" s="501"/>
      <c r="HJ3287" s="501"/>
      <c r="HK3287" s="501"/>
      <c r="HL3287" s="501"/>
      <c r="HM3287" s="501"/>
      <c r="HN3287" s="501"/>
      <c r="HO3287" s="501"/>
      <c r="HP3287" s="501"/>
      <c r="HQ3287" s="501"/>
      <c r="HR3287" s="501"/>
      <c r="HS3287" s="501"/>
      <c r="HT3287" s="501"/>
      <c r="HU3287" s="501"/>
      <c r="HV3287" s="501"/>
      <c r="HW3287" s="501"/>
      <c r="HX3287" s="501"/>
      <c r="HY3287" s="501"/>
      <c r="HZ3287" s="501"/>
      <c r="IA3287" s="501"/>
      <c r="IB3287" s="501"/>
      <c r="IC3287" s="501"/>
      <c r="ID3287" s="501"/>
      <c r="IE3287" s="501"/>
      <c r="IF3287" s="501"/>
      <c r="IG3287" s="501"/>
      <c r="IH3287" s="501"/>
      <c r="II3287" s="501"/>
      <c r="IJ3287" s="501"/>
      <c r="IK3287" s="501"/>
      <c r="IL3287" s="501"/>
      <c r="IM3287" s="501"/>
      <c r="IN3287" s="501"/>
      <c r="IO3287" s="501"/>
      <c r="IP3287" s="501"/>
      <c r="IQ3287" s="501"/>
      <c r="IR3287" s="501"/>
      <c r="IS3287" s="501"/>
      <c r="IT3287" s="501"/>
      <c r="IU3287" s="501"/>
    </row>
    <row r="3288" spans="1:255" s="877" customFormat="1" ht="24" customHeight="1">
      <c r="A3288" s="501"/>
      <c r="B3288" s="501"/>
      <c r="C3288" s="501"/>
      <c r="D3288" s="501"/>
      <c r="E3288" s="501"/>
      <c r="F3288" s="885"/>
      <c r="G3288" s="1057"/>
      <c r="H3288" s="885"/>
      <c r="I3288" s="895"/>
      <c r="J3288" s="885"/>
      <c r="K3288" s="885"/>
      <c r="L3288" s="895"/>
      <c r="M3288" s="1201"/>
      <c r="N3288" s="501"/>
      <c r="O3288" s="1159"/>
      <c r="P3288" s="1152"/>
      <c r="Q3288" s="973"/>
      <c r="R3288" s="968"/>
      <c r="S3288" s="974"/>
      <c r="T3288" s="968"/>
      <c r="V3288" s="961"/>
      <c r="W3288" s="885"/>
      <c r="X3288" s="885"/>
      <c r="Y3288" s="895"/>
      <c r="Z3288" s="1150"/>
      <c r="AA3288" s="501"/>
      <c r="AB3288" s="501"/>
      <c r="AC3288" s="501"/>
      <c r="AD3288" s="501"/>
      <c r="AE3288" s="501"/>
      <c r="AF3288" s="501"/>
      <c r="AG3288" s="501"/>
      <c r="AH3288" s="501"/>
      <c r="AI3288" s="501"/>
      <c r="AJ3288" s="501"/>
      <c r="AK3288" s="501"/>
      <c r="AL3288" s="501"/>
      <c r="AM3288" s="501"/>
      <c r="AN3288" s="501"/>
      <c r="AO3288" s="501"/>
      <c r="AP3288" s="501"/>
      <c r="AQ3288" s="501"/>
      <c r="AR3288" s="501"/>
      <c r="AS3288" s="501"/>
      <c r="AT3288" s="501"/>
      <c r="AU3288" s="501"/>
      <c r="AV3288" s="501"/>
      <c r="AW3288" s="501"/>
      <c r="AX3288" s="501"/>
      <c r="AY3288" s="501"/>
      <c r="AZ3288" s="501"/>
      <c r="BA3288" s="501"/>
      <c r="BB3288" s="501"/>
      <c r="BC3288" s="501"/>
      <c r="BD3288" s="501"/>
      <c r="BE3288" s="501"/>
      <c r="BF3288" s="501"/>
      <c r="BG3288" s="501"/>
      <c r="BH3288" s="501"/>
      <c r="BI3288" s="501"/>
      <c r="BJ3288" s="501"/>
      <c r="BK3288" s="501"/>
      <c r="BL3288" s="501"/>
      <c r="BM3288" s="501"/>
      <c r="BN3288" s="501"/>
      <c r="BO3288" s="501"/>
      <c r="BP3288" s="501"/>
      <c r="BQ3288" s="501"/>
      <c r="BR3288" s="501"/>
      <c r="BS3288" s="501"/>
      <c r="BT3288" s="501"/>
      <c r="BU3288" s="501"/>
      <c r="BV3288" s="501"/>
      <c r="BW3288" s="501"/>
      <c r="BX3288" s="501"/>
      <c r="BY3288" s="501"/>
      <c r="BZ3288" s="501"/>
      <c r="CA3288" s="501"/>
      <c r="CB3288" s="501"/>
      <c r="CC3288" s="501"/>
      <c r="CD3288" s="501"/>
      <c r="CE3288" s="501"/>
      <c r="CF3288" s="501"/>
      <c r="CG3288" s="501"/>
      <c r="CH3288" s="501"/>
      <c r="CI3288" s="501"/>
      <c r="CJ3288" s="501"/>
      <c r="CK3288" s="501"/>
      <c r="CL3288" s="501"/>
      <c r="CM3288" s="501"/>
      <c r="CN3288" s="501"/>
      <c r="CO3288" s="501"/>
      <c r="CP3288" s="501"/>
      <c r="CQ3288" s="501"/>
      <c r="CR3288" s="501"/>
      <c r="CS3288" s="501"/>
      <c r="CT3288" s="501"/>
      <c r="CU3288" s="501"/>
      <c r="CV3288" s="501"/>
      <c r="CW3288" s="501"/>
      <c r="CX3288" s="501"/>
      <c r="CY3288" s="501"/>
      <c r="CZ3288" s="501"/>
      <c r="DA3288" s="501"/>
      <c r="DB3288" s="501"/>
      <c r="DC3288" s="501"/>
      <c r="DD3288" s="501"/>
      <c r="DE3288" s="501"/>
      <c r="DF3288" s="501"/>
      <c r="DG3288" s="501"/>
      <c r="DH3288" s="501"/>
      <c r="DI3288" s="501"/>
      <c r="DJ3288" s="501"/>
      <c r="DK3288" s="501"/>
      <c r="DL3288" s="501"/>
      <c r="DM3288" s="501"/>
      <c r="DN3288" s="501"/>
      <c r="DO3288" s="501"/>
      <c r="DP3288" s="501"/>
      <c r="DQ3288" s="501"/>
      <c r="DR3288" s="501"/>
      <c r="DS3288" s="501"/>
      <c r="DT3288" s="501"/>
      <c r="DU3288" s="501"/>
      <c r="DV3288" s="501"/>
      <c r="DW3288" s="501"/>
      <c r="DX3288" s="501"/>
      <c r="DY3288" s="501"/>
      <c r="DZ3288" s="501"/>
      <c r="EA3288" s="501"/>
      <c r="EB3288" s="501"/>
      <c r="EC3288" s="501"/>
      <c r="ED3288" s="501"/>
      <c r="EE3288" s="501"/>
      <c r="EF3288" s="501"/>
      <c r="EG3288" s="501"/>
      <c r="EH3288" s="501"/>
      <c r="EI3288" s="501"/>
      <c r="EJ3288" s="501"/>
      <c r="EK3288" s="501"/>
      <c r="EL3288" s="501"/>
      <c r="EM3288" s="501"/>
      <c r="EN3288" s="501"/>
      <c r="EO3288" s="501"/>
      <c r="EP3288" s="501"/>
      <c r="EQ3288" s="501"/>
      <c r="ER3288" s="501"/>
      <c r="ES3288" s="501"/>
      <c r="ET3288" s="501"/>
      <c r="EU3288" s="501"/>
      <c r="EV3288" s="501"/>
      <c r="EW3288" s="501"/>
      <c r="EX3288" s="501"/>
      <c r="EY3288" s="501"/>
      <c r="EZ3288" s="501"/>
      <c r="FA3288" s="501"/>
      <c r="FB3288" s="501"/>
      <c r="FC3288" s="501"/>
      <c r="FD3288" s="501"/>
      <c r="FE3288" s="501"/>
      <c r="FF3288" s="501"/>
      <c r="FG3288" s="501"/>
      <c r="FH3288" s="501"/>
      <c r="FI3288" s="501"/>
      <c r="FJ3288" s="501"/>
      <c r="FK3288" s="501"/>
      <c r="FL3288" s="501"/>
      <c r="FM3288" s="501"/>
      <c r="FN3288" s="501"/>
      <c r="FO3288" s="501"/>
      <c r="FP3288" s="501"/>
      <c r="FQ3288" s="501"/>
      <c r="FR3288" s="501"/>
      <c r="FS3288" s="501"/>
      <c r="FT3288" s="501"/>
      <c r="FU3288" s="501"/>
      <c r="FV3288" s="501"/>
      <c r="FW3288" s="501"/>
      <c r="FX3288" s="501"/>
      <c r="FY3288" s="501"/>
      <c r="FZ3288" s="501"/>
      <c r="GA3288" s="501"/>
      <c r="GB3288" s="501"/>
      <c r="GC3288" s="501"/>
      <c r="GD3288" s="501"/>
      <c r="GE3288" s="501"/>
      <c r="GF3288" s="501"/>
      <c r="GG3288" s="501"/>
      <c r="GH3288" s="501"/>
      <c r="GI3288" s="501"/>
      <c r="GJ3288" s="501"/>
      <c r="GK3288" s="501"/>
      <c r="GL3288" s="501"/>
      <c r="GM3288" s="501"/>
      <c r="GN3288" s="501"/>
      <c r="GO3288" s="501"/>
      <c r="GP3288" s="501"/>
      <c r="GQ3288" s="501"/>
      <c r="GR3288" s="501"/>
      <c r="GS3288" s="501"/>
      <c r="GT3288" s="501"/>
      <c r="GU3288" s="501"/>
      <c r="GV3288" s="501"/>
      <c r="GW3288" s="501"/>
      <c r="GX3288" s="501"/>
      <c r="GY3288" s="501"/>
      <c r="GZ3288" s="501"/>
      <c r="HA3288" s="501"/>
      <c r="HB3288" s="501"/>
      <c r="HC3288" s="501"/>
      <c r="HD3288" s="501"/>
      <c r="HE3288" s="501"/>
      <c r="HF3288" s="501"/>
      <c r="HG3288" s="501"/>
      <c r="HH3288" s="501"/>
      <c r="HI3288" s="501"/>
      <c r="HJ3288" s="501"/>
      <c r="HK3288" s="501"/>
      <c r="HL3288" s="501"/>
      <c r="HM3288" s="501"/>
      <c r="HN3288" s="501"/>
      <c r="HO3288" s="501"/>
      <c r="HP3288" s="501"/>
      <c r="HQ3288" s="501"/>
      <c r="HR3288" s="501"/>
      <c r="HS3288" s="501"/>
      <c r="HT3288" s="501"/>
      <c r="HU3288" s="501"/>
      <c r="HV3288" s="501"/>
      <c r="HW3288" s="501"/>
      <c r="HX3288" s="501"/>
      <c r="HY3288" s="501"/>
      <c r="HZ3288" s="501"/>
      <c r="IA3288" s="501"/>
      <c r="IB3288" s="501"/>
      <c r="IC3288" s="501"/>
      <c r="ID3288" s="501"/>
      <c r="IE3288" s="501"/>
      <c r="IF3288" s="501"/>
      <c r="IG3288" s="501"/>
      <c r="IH3288" s="501"/>
      <c r="II3288" s="501"/>
      <c r="IJ3288" s="501"/>
      <c r="IK3288" s="501"/>
      <c r="IL3288" s="501"/>
      <c r="IM3288" s="501"/>
      <c r="IN3288" s="501"/>
      <c r="IO3288" s="501"/>
      <c r="IP3288" s="501"/>
      <c r="IQ3288" s="501"/>
      <c r="IR3288" s="501"/>
      <c r="IS3288" s="501"/>
      <c r="IT3288" s="501"/>
      <c r="IU3288" s="501"/>
    </row>
    <row r="3289" spans="1:255" s="877" customFormat="1" ht="24" customHeight="1">
      <c r="A3289" s="501"/>
      <c r="B3289" s="501"/>
      <c r="C3289" s="501"/>
      <c r="D3289" s="501"/>
      <c r="E3289" s="501"/>
      <c r="F3289" s="501"/>
      <c r="G3289" s="915"/>
      <c r="H3289" s="501"/>
      <c r="I3289" s="874"/>
      <c r="J3289" s="501"/>
      <c r="K3289" s="501"/>
      <c r="L3289" s="501"/>
      <c r="M3289" s="554"/>
      <c r="N3289" s="501"/>
      <c r="O3289" s="968"/>
      <c r="P3289" s="1152"/>
      <c r="Q3289" s="973"/>
      <c r="R3289" s="968"/>
      <c r="S3289" s="974"/>
      <c r="T3289" s="968"/>
      <c r="V3289" s="961"/>
      <c r="W3289" s="885"/>
      <c r="X3289" s="885"/>
      <c r="Y3289" s="895"/>
      <c r="Z3289" s="885"/>
      <c r="AA3289" s="501"/>
      <c r="AB3289" s="501"/>
      <c r="AC3289" s="501"/>
      <c r="AD3289" s="501"/>
      <c r="AE3289" s="501"/>
      <c r="AF3289" s="501"/>
      <c r="AG3289" s="501"/>
      <c r="AH3289" s="501"/>
      <c r="AI3289" s="501"/>
      <c r="AJ3289" s="501"/>
      <c r="AK3289" s="501"/>
      <c r="AL3289" s="501"/>
      <c r="AM3289" s="501"/>
      <c r="AN3289" s="501"/>
      <c r="AO3289" s="501"/>
      <c r="AP3289" s="501"/>
      <c r="AQ3289" s="501"/>
      <c r="AR3289" s="501"/>
      <c r="AS3289" s="501"/>
      <c r="AT3289" s="501"/>
      <c r="AU3289" s="501"/>
      <c r="AV3289" s="501"/>
      <c r="AW3289" s="501"/>
      <c r="AX3289" s="501"/>
      <c r="AY3289" s="501"/>
      <c r="AZ3289" s="501"/>
      <c r="BA3289" s="501"/>
      <c r="BB3289" s="501"/>
      <c r="BC3289" s="501"/>
      <c r="BD3289" s="501"/>
      <c r="BE3289" s="501"/>
      <c r="BF3289" s="501"/>
      <c r="BG3289" s="501"/>
      <c r="BH3289" s="501"/>
      <c r="BI3289" s="501"/>
      <c r="BJ3289" s="501"/>
      <c r="BK3289" s="501"/>
      <c r="BL3289" s="501"/>
      <c r="BM3289" s="501"/>
      <c r="BN3289" s="501"/>
      <c r="BO3289" s="501"/>
      <c r="BP3289" s="501"/>
      <c r="BQ3289" s="501"/>
      <c r="BR3289" s="501"/>
      <c r="BS3289" s="501"/>
      <c r="BT3289" s="501"/>
      <c r="BU3289" s="501"/>
      <c r="BV3289" s="501"/>
      <c r="BW3289" s="501"/>
      <c r="BX3289" s="501"/>
      <c r="BY3289" s="501"/>
      <c r="BZ3289" s="501"/>
      <c r="CA3289" s="501"/>
      <c r="CB3289" s="501"/>
      <c r="CC3289" s="501"/>
      <c r="CD3289" s="501"/>
      <c r="CE3289" s="501"/>
      <c r="CF3289" s="501"/>
      <c r="CG3289" s="501"/>
      <c r="CH3289" s="501"/>
      <c r="CI3289" s="501"/>
      <c r="CJ3289" s="501"/>
      <c r="CK3289" s="501"/>
      <c r="CL3289" s="501"/>
      <c r="CM3289" s="501"/>
      <c r="CN3289" s="501"/>
      <c r="CO3289" s="501"/>
      <c r="CP3289" s="501"/>
      <c r="CQ3289" s="501"/>
      <c r="CR3289" s="501"/>
      <c r="CS3289" s="501"/>
      <c r="CT3289" s="501"/>
      <c r="CU3289" s="501"/>
      <c r="CV3289" s="501"/>
      <c r="CW3289" s="501"/>
      <c r="CX3289" s="501"/>
      <c r="CY3289" s="501"/>
      <c r="CZ3289" s="501"/>
      <c r="DA3289" s="501"/>
      <c r="DB3289" s="501"/>
      <c r="DC3289" s="501"/>
      <c r="DD3289" s="501"/>
      <c r="DE3289" s="501"/>
      <c r="DF3289" s="501"/>
      <c r="DG3289" s="501"/>
      <c r="DH3289" s="501"/>
      <c r="DI3289" s="501"/>
      <c r="DJ3289" s="501"/>
      <c r="DK3289" s="501"/>
      <c r="DL3289" s="501"/>
      <c r="DM3289" s="501"/>
      <c r="DN3289" s="501"/>
      <c r="DO3289" s="501"/>
      <c r="DP3289" s="501"/>
      <c r="DQ3289" s="501"/>
      <c r="DR3289" s="501"/>
      <c r="DS3289" s="501"/>
      <c r="DT3289" s="501"/>
      <c r="DU3289" s="501"/>
      <c r="DV3289" s="501"/>
      <c r="DW3289" s="501"/>
      <c r="DX3289" s="501"/>
      <c r="DY3289" s="501"/>
      <c r="DZ3289" s="501"/>
      <c r="EA3289" s="501"/>
      <c r="EB3289" s="501"/>
      <c r="EC3289" s="501"/>
      <c r="ED3289" s="501"/>
      <c r="EE3289" s="501"/>
      <c r="EF3289" s="501"/>
      <c r="EG3289" s="501"/>
      <c r="EH3289" s="501"/>
      <c r="EI3289" s="501"/>
      <c r="EJ3289" s="501"/>
      <c r="EK3289" s="501"/>
      <c r="EL3289" s="501"/>
      <c r="EM3289" s="501"/>
      <c r="EN3289" s="501"/>
      <c r="EO3289" s="501"/>
      <c r="EP3289" s="501"/>
      <c r="EQ3289" s="501"/>
      <c r="ER3289" s="501"/>
      <c r="ES3289" s="501"/>
      <c r="ET3289" s="501"/>
      <c r="EU3289" s="501"/>
      <c r="EV3289" s="501"/>
      <c r="EW3289" s="501"/>
      <c r="EX3289" s="501"/>
      <c r="EY3289" s="501"/>
      <c r="EZ3289" s="501"/>
      <c r="FA3289" s="501"/>
      <c r="FB3289" s="501"/>
      <c r="FC3289" s="501"/>
      <c r="FD3289" s="501"/>
      <c r="FE3289" s="501"/>
      <c r="FF3289" s="501"/>
      <c r="FG3289" s="501"/>
      <c r="FH3289" s="501"/>
      <c r="FI3289" s="501"/>
      <c r="FJ3289" s="501"/>
      <c r="FK3289" s="501"/>
      <c r="FL3289" s="501"/>
      <c r="FM3289" s="501"/>
      <c r="FN3289" s="501"/>
      <c r="FO3289" s="501"/>
      <c r="FP3289" s="501"/>
      <c r="FQ3289" s="501"/>
      <c r="FR3289" s="501"/>
      <c r="FS3289" s="501"/>
      <c r="FT3289" s="501"/>
      <c r="FU3289" s="501"/>
      <c r="FV3289" s="501"/>
      <c r="FW3289" s="501"/>
      <c r="FX3289" s="501"/>
      <c r="FY3289" s="501"/>
      <c r="FZ3289" s="501"/>
      <c r="GA3289" s="501"/>
      <c r="GB3289" s="501"/>
      <c r="GC3289" s="501"/>
      <c r="GD3289" s="501"/>
      <c r="GE3289" s="501"/>
      <c r="GF3289" s="501"/>
      <c r="GG3289" s="501"/>
      <c r="GH3289" s="501"/>
      <c r="GI3289" s="501"/>
      <c r="GJ3289" s="501"/>
      <c r="GK3289" s="501"/>
      <c r="GL3289" s="501"/>
      <c r="GM3289" s="501"/>
      <c r="GN3289" s="501"/>
      <c r="GO3289" s="501"/>
      <c r="GP3289" s="501"/>
      <c r="GQ3289" s="501"/>
      <c r="GR3289" s="501"/>
      <c r="GS3289" s="501"/>
      <c r="GT3289" s="501"/>
      <c r="GU3289" s="501"/>
      <c r="GV3289" s="501"/>
      <c r="GW3289" s="501"/>
      <c r="GX3289" s="501"/>
      <c r="GY3289" s="501"/>
      <c r="GZ3289" s="501"/>
      <c r="HA3289" s="501"/>
      <c r="HB3289" s="501"/>
      <c r="HC3289" s="501"/>
      <c r="HD3289" s="501"/>
      <c r="HE3289" s="501"/>
      <c r="HF3289" s="501"/>
      <c r="HG3289" s="501"/>
      <c r="HH3289" s="501"/>
      <c r="HI3289" s="501"/>
      <c r="HJ3289" s="501"/>
      <c r="HK3289" s="501"/>
      <c r="HL3289" s="501"/>
      <c r="HM3289" s="501"/>
      <c r="HN3289" s="501"/>
      <c r="HO3289" s="501"/>
      <c r="HP3289" s="501"/>
      <c r="HQ3289" s="501"/>
      <c r="HR3289" s="501"/>
      <c r="HS3289" s="501"/>
      <c r="HT3289" s="501"/>
      <c r="HU3289" s="501"/>
      <c r="HV3289" s="501"/>
      <c r="HW3289" s="501"/>
      <c r="HX3289" s="501"/>
      <c r="HY3289" s="501"/>
      <c r="HZ3289" s="501"/>
      <c r="IA3289" s="501"/>
      <c r="IB3289" s="501"/>
      <c r="IC3289" s="501"/>
      <c r="ID3289" s="501"/>
      <c r="IE3289" s="501"/>
      <c r="IF3289" s="501"/>
      <c r="IG3289" s="501"/>
      <c r="IH3289" s="501"/>
      <c r="II3289" s="501"/>
      <c r="IJ3289" s="501"/>
      <c r="IK3289" s="501"/>
      <c r="IL3289" s="501"/>
      <c r="IM3289" s="501"/>
      <c r="IN3289" s="501"/>
      <c r="IO3289" s="501"/>
      <c r="IP3289" s="501"/>
      <c r="IQ3289" s="501"/>
      <c r="IR3289" s="501"/>
      <c r="IS3289" s="501"/>
      <c r="IT3289" s="501"/>
      <c r="IU3289" s="501"/>
    </row>
    <row r="3290" spans="1:255" s="877" customFormat="1" ht="24" customHeight="1">
      <c r="A3290" s="501"/>
      <c r="B3290" s="501"/>
      <c r="C3290" s="501"/>
      <c r="D3290" s="501"/>
      <c r="E3290" s="501"/>
      <c r="F3290" s="501"/>
      <c r="G3290" s="915"/>
      <c r="H3290" s="501"/>
      <c r="I3290" s="874"/>
      <c r="J3290" s="501"/>
      <c r="K3290" s="501"/>
      <c r="L3290" s="501"/>
      <c r="M3290" s="554"/>
      <c r="N3290" s="501"/>
      <c r="O3290" s="968"/>
      <c r="P3290" s="1152"/>
      <c r="Q3290" s="973"/>
      <c r="R3290" s="968"/>
      <c r="S3290" s="974"/>
      <c r="T3290" s="968"/>
      <c r="V3290" s="961"/>
      <c r="W3290" s="885"/>
      <c r="X3290" s="885"/>
      <c r="Y3290" s="895"/>
      <c r="Z3290" s="1150"/>
      <c r="AA3290" s="501"/>
      <c r="AB3290" s="501"/>
      <c r="AC3290" s="501"/>
      <c r="AD3290" s="501"/>
      <c r="AE3290" s="501"/>
      <c r="AF3290" s="501"/>
      <c r="AG3290" s="501"/>
      <c r="AH3290" s="501"/>
      <c r="AI3290" s="501"/>
      <c r="AJ3290" s="501"/>
      <c r="AK3290" s="501"/>
      <c r="AL3290" s="501"/>
      <c r="AM3290" s="501"/>
      <c r="AN3290" s="501"/>
      <c r="AO3290" s="501"/>
      <c r="AP3290" s="501"/>
      <c r="AQ3290" s="501"/>
      <c r="AR3290" s="501"/>
      <c r="AS3290" s="501"/>
      <c r="AT3290" s="501"/>
      <c r="AU3290" s="501"/>
      <c r="AV3290" s="501"/>
      <c r="AW3290" s="501"/>
      <c r="AX3290" s="501"/>
      <c r="AY3290" s="501"/>
      <c r="AZ3290" s="501"/>
      <c r="BA3290" s="501"/>
      <c r="BB3290" s="501"/>
      <c r="BC3290" s="501"/>
      <c r="BD3290" s="501"/>
      <c r="BE3290" s="501"/>
      <c r="BF3290" s="501"/>
      <c r="BG3290" s="501"/>
      <c r="BH3290" s="501"/>
      <c r="BI3290" s="501"/>
      <c r="BJ3290" s="501"/>
      <c r="BK3290" s="501"/>
      <c r="BL3290" s="501"/>
      <c r="BM3290" s="501"/>
      <c r="BN3290" s="501"/>
      <c r="BO3290" s="501"/>
      <c r="BP3290" s="501"/>
      <c r="BQ3290" s="501"/>
      <c r="BR3290" s="501"/>
      <c r="BS3290" s="501"/>
      <c r="BT3290" s="501"/>
      <c r="BU3290" s="501"/>
      <c r="BV3290" s="501"/>
      <c r="BW3290" s="501"/>
      <c r="BX3290" s="501"/>
      <c r="BY3290" s="501"/>
      <c r="BZ3290" s="501"/>
      <c r="CA3290" s="501"/>
      <c r="CB3290" s="501"/>
      <c r="CC3290" s="501"/>
      <c r="CD3290" s="501"/>
      <c r="CE3290" s="501"/>
      <c r="CF3290" s="501"/>
      <c r="CG3290" s="501"/>
      <c r="CH3290" s="501"/>
      <c r="CI3290" s="501"/>
      <c r="CJ3290" s="501"/>
      <c r="CK3290" s="501"/>
      <c r="CL3290" s="501"/>
      <c r="CM3290" s="501"/>
      <c r="CN3290" s="501"/>
      <c r="CO3290" s="501"/>
      <c r="CP3290" s="501"/>
      <c r="CQ3290" s="501"/>
      <c r="CR3290" s="501"/>
      <c r="CS3290" s="501"/>
      <c r="CT3290" s="501"/>
      <c r="CU3290" s="501"/>
      <c r="CV3290" s="501"/>
      <c r="CW3290" s="501"/>
      <c r="CX3290" s="501"/>
      <c r="CY3290" s="501"/>
      <c r="CZ3290" s="501"/>
      <c r="DA3290" s="501"/>
      <c r="DB3290" s="501"/>
      <c r="DC3290" s="501"/>
      <c r="DD3290" s="501"/>
      <c r="DE3290" s="501"/>
      <c r="DF3290" s="501"/>
      <c r="DG3290" s="501"/>
      <c r="DH3290" s="501"/>
      <c r="DI3290" s="501"/>
      <c r="DJ3290" s="501"/>
      <c r="DK3290" s="501"/>
      <c r="DL3290" s="501"/>
      <c r="DM3290" s="501"/>
      <c r="DN3290" s="501"/>
      <c r="DO3290" s="501"/>
      <c r="DP3290" s="501"/>
      <c r="DQ3290" s="501"/>
      <c r="DR3290" s="501"/>
      <c r="DS3290" s="501"/>
      <c r="DT3290" s="501"/>
      <c r="DU3290" s="501"/>
      <c r="DV3290" s="501"/>
      <c r="DW3290" s="501"/>
      <c r="DX3290" s="501"/>
      <c r="DY3290" s="501"/>
      <c r="DZ3290" s="501"/>
      <c r="EA3290" s="501"/>
      <c r="EB3290" s="501"/>
      <c r="EC3290" s="501"/>
      <c r="ED3290" s="501"/>
      <c r="EE3290" s="501"/>
      <c r="EF3290" s="501"/>
      <c r="EG3290" s="501"/>
      <c r="EH3290" s="501"/>
      <c r="EI3290" s="501"/>
      <c r="EJ3290" s="501"/>
      <c r="EK3290" s="501"/>
      <c r="EL3290" s="501"/>
      <c r="EM3290" s="501"/>
      <c r="EN3290" s="501"/>
      <c r="EO3290" s="501"/>
      <c r="EP3290" s="501"/>
      <c r="EQ3290" s="501"/>
      <c r="ER3290" s="501"/>
      <c r="ES3290" s="501"/>
      <c r="ET3290" s="501"/>
      <c r="EU3290" s="501"/>
      <c r="EV3290" s="501"/>
      <c r="EW3290" s="501"/>
      <c r="EX3290" s="501"/>
      <c r="EY3290" s="501"/>
      <c r="EZ3290" s="501"/>
      <c r="FA3290" s="501"/>
      <c r="FB3290" s="501"/>
      <c r="FC3290" s="501"/>
      <c r="FD3290" s="501"/>
      <c r="FE3290" s="501"/>
      <c r="FF3290" s="501"/>
      <c r="FG3290" s="501"/>
      <c r="FH3290" s="501"/>
      <c r="FI3290" s="501"/>
      <c r="FJ3290" s="501"/>
      <c r="FK3290" s="501"/>
      <c r="FL3290" s="501"/>
      <c r="FM3290" s="501"/>
      <c r="FN3290" s="501"/>
      <c r="FO3290" s="501"/>
      <c r="FP3290" s="501"/>
      <c r="FQ3290" s="501"/>
      <c r="FR3290" s="501"/>
      <c r="FS3290" s="501"/>
      <c r="FT3290" s="501"/>
      <c r="FU3290" s="501"/>
      <c r="FV3290" s="501"/>
      <c r="FW3290" s="501"/>
      <c r="FX3290" s="501"/>
      <c r="FY3290" s="501"/>
      <c r="FZ3290" s="501"/>
      <c r="GA3290" s="501"/>
      <c r="GB3290" s="501"/>
      <c r="GC3290" s="501"/>
      <c r="GD3290" s="501"/>
      <c r="GE3290" s="501"/>
      <c r="GF3290" s="501"/>
      <c r="GG3290" s="501"/>
      <c r="GH3290" s="501"/>
      <c r="GI3290" s="501"/>
      <c r="GJ3290" s="501"/>
      <c r="GK3290" s="501"/>
      <c r="GL3290" s="501"/>
      <c r="GM3290" s="501"/>
      <c r="GN3290" s="501"/>
      <c r="GO3290" s="501"/>
      <c r="GP3290" s="501"/>
      <c r="GQ3290" s="501"/>
      <c r="GR3290" s="501"/>
      <c r="GS3290" s="501"/>
      <c r="GT3290" s="501"/>
      <c r="GU3290" s="501"/>
      <c r="GV3290" s="501"/>
      <c r="GW3290" s="501"/>
      <c r="GX3290" s="501"/>
      <c r="GY3290" s="501"/>
      <c r="GZ3290" s="501"/>
      <c r="HA3290" s="501"/>
      <c r="HB3290" s="501"/>
      <c r="HC3290" s="501"/>
      <c r="HD3290" s="501"/>
      <c r="HE3290" s="501"/>
      <c r="HF3290" s="501"/>
      <c r="HG3290" s="501"/>
      <c r="HH3290" s="501"/>
      <c r="HI3290" s="501"/>
      <c r="HJ3290" s="501"/>
      <c r="HK3290" s="501"/>
      <c r="HL3290" s="501"/>
      <c r="HM3290" s="501"/>
      <c r="HN3290" s="501"/>
      <c r="HO3290" s="501"/>
      <c r="HP3290" s="501"/>
      <c r="HQ3290" s="501"/>
      <c r="HR3290" s="501"/>
      <c r="HS3290" s="501"/>
      <c r="HT3290" s="501"/>
      <c r="HU3290" s="501"/>
      <c r="HV3290" s="501"/>
      <c r="HW3290" s="501"/>
      <c r="HX3290" s="501"/>
      <c r="HY3290" s="501"/>
      <c r="HZ3290" s="501"/>
      <c r="IA3290" s="501"/>
      <c r="IB3290" s="501"/>
      <c r="IC3290" s="501"/>
      <c r="ID3290" s="501"/>
      <c r="IE3290" s="501"/>
      <c r="IF3290" s="501"/>
      <c r="IG3290" s="501"/>
      <c r="IH3290" s="501"/>
      <c r="II3290" s="501"/>
      <c r="IJ3290" s="501"/>
      <c r="IK3290" s="501"/>
      <c r="IL3290" s="501"/>
      <c r="IM3290" s="501"/>
      <c r="IN3290" s="501"/>
      <c r="IO3290" s="501"/>
      <c r="IP3290" s="501"/>
      <c r="IQ3290" s="501"/>
      <c r="IR3290" s="501"/>
      <c r="IS3290" s="501"/>
      <c r="IT3290" s="501"/>
      <c r="IU3290" s="501"/>
    </row>
    <row r="3291" spans="1:255" s="877" customFormat="1" ht="24" customHeight="1">
      <c r="A3291" s="501"/>
      <c r="B3291" s="501"/>
      <c r="C3291" s="501"/>
      <c r="D3291" s="501"/>
      <c r="E3291" s="501"/>
      <c r="F3291" s="501"/>
      <c r="G3291" s="915"/>
      <c r="H3291" s="501"/>
      <c r="I3291" s="876"/>
      <c r="J3291" s="880"/>
      <c r="K3291" s="501"/>
      <c r="L3291" s="874"/>
      <c r="M3291" s="554"/>
      <c r="N3291" s="501"/>
      <c r="O3291" s="968"/>
      <c r="P3291" s="1152"/>
      <c r="Q3291" s="973"/>
      <c r="R3291" s="968"/>
      <c r="S3291" s="974"/>
      <c r="T3291" s="968"/>
      <c r="V3291" s="961"/>
      <c r="W3291" s="885"/>
      <c r="X3291" s="885"/>
      <c r="Y3291" s="895"/>
      <c r="Z3291" s="885"/>
      <c r="AA3291" s="501"/>
      <c r="AB3291" s="501"/>
      <c r="AC3291" s="501"/>
      <c r="AD3291" s="501"/>
      <c r="AE3291" s="501"/>
      <c r="AF3291" s="501"/>
      <c r="AG3291" s="501"/>
      <c r="AH3291" s="501"/>
      <c r="AI3291" s="501"/>
      <c r="AJ3291" s="501"/>
      <c r="AK3291" s="501"/>
      <c r="AL3291" s="501"/>
      <c r="AM3291" s="501"/>
      <c r="AN3291" s="501"/>
      <c r="AO3291" s="501"/>
      <c r="AP3291" s="501"/>
      <c r="AQ3291" s="501"/>
      <c r="AR3291" s="501"/>
      <c r="AS3291" s="501"/>
      <c r="AT3291" s="501"/>
      <c r="AU3291" s="501"/>
      <c r="AV3291" s="501"/>
      <c r="AW3291" s="501"/>
      <c r="AX3291" s="501"/>
      <c r="AY3291" s="501"/>
      <c r="AZ3291" s="501"/>
      <c r="BA3291" s="501"/>
      <c r="BB3291" s="501"/>
      <c r="BC3291" s="501"/>
      <c r="BD3291" s="501"/>
      <c r="BE3291" s="501"/>
      <c r="BF3291" s="501"/>
      <c r="BG3291" s="501"/>
      <c r="BH3291" s="501"/>
      <c r="BI3291" s="501"/>
      <c r="BJ3291" s="501"/>
      <c r="BK3291" s="501"/>
      <c r="BL3291" s="501"/>
      <c r="BM3291" s="501"/>
      <c r="BN3291" s="501"/>
      <c r="BO3291" s="501"/>
      <c r="BP3291" s="501"/>
      <c r="BQ3291" s="501"/>
      <c r="BR3291" s="501"/>
      <c r="BS3291" s="501"/>
      <c r="BT3291" s="501"/>
      <c r="BU3291" s="501"/>
      <c r="BV3291" s="501"/>
      <c r="BW3291" s="501"/>
      <c r="BX3291" s="501"/>
      <c r="BY3291" s="501"/>
      <c r="BZ3291" s="501"/>
      <c r="CA3291" s="501"/>
      <c r="CB3291" s="501"/>
      <c r="CC3291" s="501"/>
      <c r="CD3291" s="501"/>
      <c r="CE3291" s="501"/>
      <c r="CF3291" s="501"/>
      <c r="CG3291" s="501"/>
      <c r="CH3291" s="501"/>
      <c r="CI3291" s="501"/>
      <c r="CJ3291" s="501"/>
      <c r="CK3291" s="501"/>
      <c r="CL3291" s="501"/>
      <c r="CM3291" s="501"/>
      <c r="CN3291" s="501"/>
      <c r="CO3291" s="501"/>
      <c r="CP3291" s="501"/>
      <c r="CQ3291" s="501"/>
      <c r="CR3291" s="501"/>
      <c r="CS3291" s="501"/>
      <c r="CT3291" s="501"/>
      <c r="CU3291" s="501"/>
      <c r="CV3291" s="501"/>
      <c r="CW3291" s="501"/>
      <c r="CX3291" s="501"/>
      <c r="CY3291" s="501"/>
      <c r="CZ3291" s="501"/>
      <c r="DA3291" s="501"/>
      <c r="DB3291" s="501"/>
      <c r="DC3291" s="501"/>
      <c r="DD3291" s="501"/>
      <c r="DE3291" s="501"/>
      <c r="DF3291" s="501"/>
      <c r="DG3291" s="501"/>
      <c r="DH3291" s="501"/>
      <c r="DI3291" s="501"/>
      <c r="DJ3291" s="501"/>
      <c r="DK3291" s="501"/>
      <c r="DL3291" s="501"/>
      <c r="DM3291" s="501"/>
      <c r="DN3291" s="501"/>
      <c r="DO3291" s="501"/>
      <c r="DP3291" s="501"/>
      <c r="DQ3291" s="501"/>
      <c r="DR3291" s="501"/>
      <c r="DS3291" s="501"/>
      <c r="DT3291" s="501"/>
      <c r="DU3291" s="501"/>
      <c r="DV3291" s="501"/>
      <c r="DW3291" s="501"/>
      <c r="DX3291" s="501"/>
      <c r="DY3291" s="501"/>
      <c r="DZ3291" s="501"/>
      <c r="EA3291" s="501"/>
      <c r="EB3291" s="501"/>
      <c r="EC3291" s="501"/>
      <c r="ED3291" s="501"/>
      <c r="EE3291" s="501"/>
      <c r="EF3291" s="501"/>
      <c r="EG3291" s="501"/>
      <c r="EH3291" s="501"/>
      <c r="EI3291" s="501"/>
      <c r="EJ3291" s="501"/>
      <c r="EK3291" s="501"/>
      <c r="EL3291" s="501"/>
      <c r="EM3291" s="501"/>
      <c r="EN3291" s="501"/>
      <c r="EO3291" s="501"/>
      <c r="EP3291" s="501"/>
      <c r="EQ3291" s="501"/>
      <c r="ER3291" s="501"/>
      <c r="ES3291" s="501"/>
      <c r="ET3291" s="501"/>
      <c r="EU3291" s="501"/>
      <c r="EV3291" s="501"/>
      <c r="EW3291" s="501"/>
      <c r="EX3291" s="501"/>
      <c r="EY3291" s="501"/>
      <c r="EZ3291" s="501"/>
      <c r="FA3291" s="501"/>
      <c r="FB3291" s="501"/>
      <c r="FC3291" s="501"/>
      <c r="FD3291" s="501"/>
      <c r="FE3291" s="501"/>
      <c r="FF3291" s="501"/>
      <c r="FG3291" s="501"/>
      <c r="FH3291" s="501"/>
      <c r="FI3291" s="501"/>
      <c r="FJ3291" s="501"/>
      <c r="FK3291" s="501"/>
      <c r="FL3291" s="501"/>
      <c r="FM3291" s="501"/>
      <c r="FN3291" s="501"/>
      <c r="FO3291" s="501"/>
      <c r="FP3291" s="501"/>
      <c r="FQ3291" s="501"/>
      <c r="FR3291" s="501"/>
      <c r="FS3291" s="501"/>
      <c r="FT3291" s="501"/>
      <c r="FU3291" s="501"/>
      <c r="FV3291" s="501"/>
      <c r="FW3291" s="501"/>
      <c r="FX3291" s="501"/>
      <c r="FY3291" s="501"/>
      <c r="FZ3291" s="501"/>
      <c r="GA3291" s="501"/>
      <c r="GB3291" s="501"/>
      <c r="GC3291" s="501"/>
      <c r="GD3291" s="501"/>
      <c r="GE3291" s="501"/>
      <c r="GF3291" s="501"/>
      <c r="GG3291" s="501"/>
      <c r="GH3291" s="501"/>
      <c r="GI3291" s="501"/>
      <c r="GJ3291" s="501"/>
      <c r="GK3291" s="501"/>
      <c r="GL3291" s="501"/>
      <c r="GM3291" s="501"/>
      <c r="GN3291" s="501"/>
      <c r="GO3291" s="501"/>
      <c r="GP3291" s="501"/>
      <c r="GQ3291" s="501"/>
      <c r="GR3291" s="501"/>
      <c r="GS3291" s="501"/>
      <c r="GT3291" s="501"/>
      <c r="GU3291" s="501"/>
      <c r="GV3291" s="501"/>
      <c r="GW3291" s="501"/>
      <c r="GX3291" s="501"/>
      <c r="GY3291" s="501"/>
      <c r="GZ3291" s="501"/>
      <c r="HA3291" s="501"/>
      <c r="HB3291" s="501"/>
      <c r="HC3291" s="501"/>
      <c r="HD3291" s="501"/>
      <c r="HE3291" s="501"/>
      <c r="HF3291" s="501"/>
      <c r="HG3291" s="501"/>
      <c r="HH3291" s="501"/>
      <c r="HI3291" s="501"/>
      <c r="HJ3291" s="501"/>
      <c r="HK3291" s="501"/>
      <c r="HL3291" s="501"/>
      <c r="HM3291" s="501"/>
      <c r="HN3291" s="501"/>
      <c r="HO3291" s="501"/>
      <c r="HP3291" s="501"/>
      <c r="HQ3291" s="501"/>
      <c r="HR3291" s="501"/>
      <c r="HS3291" s="501"/>
      <c r="HT3291" s="501"/>
      <c r="HU3291" s="501"/>
      <c r="HV3291" s="501"/>
      <c r="HW3291" s="501"/>
      <c r="HX3291" s="501"/>
      <c r="HY3291" s="501"/>
      <c r="HZ3291" s="501"/>
      <c r="IA3291" s="501"/>
      <c r="IB3291" s="501"/>
      <c r="IC3291" s="501"/>
      <c r="ID3291" s="501"/>
      <c r="IE3291" s="501"/>
      <c r="IF3291" s="501"/>
      <c r="IG3291" s="501"/>
      <c r="IH3291" s="501"/>
      <c r="II3291" s="501"/>
      <c r="IJ3291" s="501"/>
      <c r="IK3291" s="501"/>
      <c r="IL3291" s="501"/>
      <c r="IM3291" s="501"/>
      <c r="IN3291" s="501"/>
      <c r="IO3291" s="501"/>
      <c r="IP3291" s="501"/>
      <c r="IQ3291" s="501"/>
      <c r="IR3291" s="501"/>
      <c r="IS3291" s="501"/>
      <c r="IT3291" s="501"/>
      <c r="IU3291" s="501"/>
    </row>
    <row r="3292" spans="1:255" s="877" customFormat="1" ht="24" customHeight="1">
      <c r="A3292" s="501"/>
      <c r="B3292" s="501"/>
      <c r="C3292" s="501"/>
      <c r="D3292" s="501"/>
      <c r="E3292" s="501"/>
      <c r="F3292" s="501"/>
      <c r="G3292" s="915"/>
      <c r="H3292" s="501"/>
      <c r="I3292" s="874"/>
      <c r="J3292" s="880"/>
      <c r="K3292" s="501"/>
      <c r="L3292" s="874"/>
      <c r="M3292" s="554"/>
      <c r="N3292" s="501"/>
      <c r="O3292" s="968"/>
      <c r="P3292" s="1152"/>
      <c r="Q3292" s="973"/>
      <c r="R3292" s="968"/>
      <c r="S3292" s="974"/>
      <c r="T3292" s="968"/>
      <c r="V3292" s="961"/>
      <c r="W3292" s="885"/>
      <c r="X3292" s="885"/>
      <c r="Y3292" s="895"/>
      <c r="Z3292" s="1150"/>
      <c r="AA3292" s="501"/>
      <c r="AB3292" s="501"/>
      <c r="AC3292" s="501"/>
      <c r="AD3292" s="501"/>
      <c r="AE3292" s="501"/>
      <c r="AF3292" s="501"/>
      <c r="AG3292" s="501"/>
      <c r="AH3292" s="501"/>
      <c r="AI3292" s="501"/>
      <c r="AJ3292" s="501"/>
      <c r="AK3292" s="501"/>
      <c r="AL3292" s="501"/>
      <c r="AM3292" s="501"/>
      <c r="AN3292" s="501"/>
      <c r="AO3292" s="501"/>
      <c r="AP3292" s="501"/>
      <c r="AQ3292" s="501"/>
      <c r="AR3292" s="501"/>
      <c r="AS3292" s="501"/>
      <c r="AT3292" s="501"/>
      <c r="AU3292" s="501"/>
      <c r="AV3292" s="501"/>
      <c r="AW3292" s="501"/>
      <c r="AX3292" s="501"/>
      <c r="AY3292" s="501"/>
      <c r="AZ3292" s="501"/>
      <c r="BA3292" s="501"/>
      <c r="BB3292" s="501"/>
      <c r="BC3292" s="501"/>
      <c r="BD3292" s="501"/>
      <c r="BE3292" s="501"/>
      <c r="BF3292" s="501"/>
      <c r="BG3292" s="501"/>
      <c r="BH3292" s="501"/>
      <c r="BI3292" s="501"/>
      <c r="BJ3292" s="501"/>
      <c r="BK3292" s="501"/>
      <c r="BL3292" s="501"/>
      <c r="BM3292" s="501"/>
      <c r="BN3292" s="501"/>
      <c r="BO3292" s="501"/>
      <c r="BP3292" s="501"/>
      <c r="BQ3292" s="501"/>
      <c r="BR3292" s="501"/>
      <c r="BS3292" s="501"/>
      <c r="BT3292" s="501"/>
      <c r="BU3292" s="501"/>
      <c r="BV3292" s="501"/>
      <c r="BW3292" s="501"/>
      <c r="BX3292" s="501"/>
      <c r="BY3292" s="501"/>
      <c r="BZ3292" s="501"/>
      <c r="CA3292" s="501"/>
      <c r="CB3292" s="501"/>
      <c r="CC3292" s="501"/>
      <c r="CD3292" s="501"/>
      <c r="CE3292" s="501"/>
      <c r="CF3292" s="501"/>
      <c r="CG3292" s="501"/>
      <c r="CH3292" s="501"/>
      <c r="CI3292" s="501"/>
      <c r="CJ3292" s="501"/>
      <c r="CK3292" s="501"/>
      <c r="CL3292" s="501"/>
      <c r="CM3292" s="501"/>
      <c r="CN3292" s="501"/>
      <c r="CO3292" s="501"/>
      <c r="CP3292" s="501"/>
      <c r="CQ3292" s="501"/>
      <c r="CR3292" s="501"/>
      <c r="CS3292" s="501"/>
      <c r="CT3292" s="501"/>
      <c r="CU3292" s="501"/>
      <c r="CV3292" s="501"/>
      <c r="CW3292" s="501"/>
      <c r="CX3292" s="501"/>
      <c r="CY3292" s="501"/>
      <c r="CZ3292" s="501"/>
      <c r="DA3292" s="501"/>
      <c r="DB3292" s="501"/>
      <c r="DC3292" s="501"/>
      <c r="DD3292" s="501"/>
      <c r="DE3292" s="501"/>
      <c r="DF3292" s="501"/>
      <c r="DG3292" s="501"/>
      <c r="DH3292" s="501"/>
      <c r="DI3292" s="501"/>
      <c r="DJ3292" s="501"/>
      <c r="DK3292" s="501"/>
      <c r="DL3292" s="501"/>
      <c r="DM3292" s="501"/>
      <c r="DN3292" s="501"/>
      <c r="DO3292" s="501"/>
      <c r="DP3292" s="501"/>
      <c r="DQ3292" s="501"/>
      <c r="DR3292" s="501"/>
      <c r="DS3292" s="501"/>
      <c r="DT3292" s="501"/>
      <c r="DU3292" s="501"/>
      <c r="DV3292" s="501"/>
      <c r="DW3292" s="501"/>
      <c r="DX3292" s="501"/>
      <c r="DY3292" s="501"/>
      <c r="DZ3292" s="501"/>
      <c r="EA3292" s="501"/>
      <c r="EB3292" s="501"/>
      <c r="EC3292" s="501"/>
      <c r="ED3292" s="501"/>
      <c r="EE3292" s="501"/>
      <c r="EF3292" s="501"/>
      <c r="EG3292" s="501"/>
      <c r="EH3292" s="501"/>
      <c r="EI3292" s="501"/>
      <c r="EJ3292" s="501"/>
      <c r="EK3292" s="501"/>
      <c r="EL3292" s="501"/>
      <c r="EM3292" s="501"/>
      <c r="EN3292" s="501"/>
      <c r="EO3292" s="501"/>
      <c r="EP3292" s="501"/>
      <c r="EQ3292" s="501"/>
      <c r="ER3292" s="501"/>
      <c r="ES3292" s="501"/>
      <c r="ET3292" s="501"/>
      <c r="EU3292" s="501"/>
      <c r="EV3292" s="501"/>
      <c r="EW3292" s="501"/>
      <c r="EX3292" s="501"/>
      <c r="EY3292" s="501"/>
      <c r="EZ3292" s="501"/>
      <c r="FA3292" s="501"/>
      <c r="FB3292" s="501"/>
      <c r="FC3292" s="501"/>
      <c r="FD3292" s="501"/>
      <c r="FE3292" s="501"/>
      <c r="FF3292" s="501"/>
      <c r="FG3292" s="501"/>
      <c r="FH3292" s="501"/>
      <c r="FI3292" s="501"/>
      <c r="FJ3292" s="501"/>
      <c r="FK3292" s="501"/>
      <c r="FL3292" s="501"/>
      <c r="FM3292" s="501"/>
      <c r="FN3292" s="501"/>
      <c r="FO3292" s="501"/>
      <c r="FP3292" s="501"/>
      <c r="FQ3292" s="501"/>
      <c r="FR3292" s="501"/>
      <c r="FS3292" s="501"/>
      <c r="FT3292" s="501"/>
      <c r="FU3292" s="501"/>
      <c r="FV3292" s="501"/>
      <c r="FW3292" s="501"/>
      <c r="FX3292" s="501"/>
      <c r="FY3292" s="501"/>
      <c r="FZ3292" s="501"/>
      <c r="GA3292" s="501"/>
      <c r="GB3292" s="501"/>
      <c r="GC3292" s="501"/>
      <c r="GD3292" s="501"/>
      <c r="GE3292" s="501"/>
      <c r="GF3292" s="501"/>
      <c r="GG3292" s="501"/>
      <c r="GH3292" s="501"/>
      <c r="GI3292" s="501"/>
      <c r="GJ3292" s="501"/>
      <c r="GK3292" s="501"/>
      <c r="GL3292" s="501"/>
      <c r="GM3292" s="501"/>
      <c r="GN3292" s="501"/>
      <c r="GO3292" s="501"/>
      <c r="GP3292" s="501"/>
      <c r="GQ3292" s="501"/>
      <c r="GR3292" s="501"/>
      <c r="GS3292" s="501"/>
      <c r="GT3292" s="501"/>
      <c r="GU3292" s="501"/>
      <c r="GV3292" s="501"/>
      <c r="GW3292" s="501"/>
      <c r="GX3292" s="501"/>
      <c r="GY3292" s="501"/>
      <c r="GZ3292" s="501"/>
      <c r="HA3292" s="501"/>
      <c r="HB3292" s="501"/>
      <c r="HC3292" s="501"/>
      <c r="HD3292" s="501"/>
      <c r="HE3292" s="501"/>
      <c r="HF3292" s="501"/>
      <c r="HG3292" s="501"/>
      <c r="HH3292" s="501"/>
      <c r="HI3292" s="501"/>
      <c r="HJ3292" s="501"/>
      <c r="HK3292" s="501"/>
      <c r="HL3292" s="501"/>
      <c r="HM3292" s="501"/>
      <c r="HN3292" s="501"/>
      <c r="HO3292" s="501"/>
      <c r="HP3292" s="501"/>
      <c r="HQ3292" s="501"/>
      <c r="HR3292" s="501"/>
      <c r="HS3292" s="501"/>
      <c r="HT3292" s="501"/>
      <c r="HU3292" s="501"/>
      <c r="HV3292" s="501"/>
      <c r="HW3292" s="501"/>
      <c r="HX3292" s="501"/>
      <c r="HY3292" s="501"/>
      <c r="HZ3292" s="501"/>
      <c r="IA3292" s="501"/>
      <c r="IB3292" s="501"/>
      <c r="IC3292" s="501"/>
      <c r="ID3292" s="501"/>
      <c r="IE3292" s="501"/>
      <c r="IF3292" s="501"/>
      <c r="IG3292" s="501"/>
      <c r="IH3292" s="501"/>
      <c r="II3292" s="501"/>
      <c r="IJ3292" s="501"/>
      <c r="IK3292" s="501"/>
      <c r="IL3292" s="501"/>
      <c r="IM3292" s="501"/>
      <c r="IN3292" s="501"/>
      <c r="IO3292" s="501"/>
      <c r="IP3292" s="501"/>
      <c r="IQ3292" s="501"/>
      <c r="IR3292" s="501"/>
      <c r="IS3292" s="501"/>
      <c r="IT3292" s="501"/>
      <c r="IU3292" s="501"/>
    </row>
    <row r="3293" spans="1:255" s="877" customFormat="1" ht="24" customHeight="1">
      <c r="A3293" s="501"/>
      <c r="B3293" s="501"/>
      <c r="C3293" s="501"/>
      <c r="D3293" s="501"/>
      <c r="E3293" s="501"/>
      <c r="F3293" s="919"/>
      <c r="G3293" s="938"/>
      <c r="H3293" s="919"/>
      <c r="I3293" s="876"/>
      <c r="J3293" s="876"/>
      <c r="K3293" s="545"/>
      <c r="L3293" s="876"/>
      <c r="M3293" s="882"/>
      <c r="N3293" s="501"/>
      <c r="O3293" s="968"/>
      <c r="P3293" s="1152"/>
      <c r="Q3293" s="973"/>
      <c r="R3293" s="968"/>
      <c r="S3293" s="974"/>
      <c r="T3293" s="968"/>
      <c r="V3293" s="501"/>
      <c r="W3293" s="501"/>
      <c r="X3293" s="501"/>
      <c r="Y3293" s="501"/>
      <c r="Z3293" s="501"/>
      <c r="AA3293" s="501"/>
      <c r="AB3293" s="501"/>
      <c r="AC3293" s="501"/>
      <c r="AD3293" s="501"/>
      <c r="AE3293" s="501"/>
      <c r="AF3293" s="501"/>
      <c r="AG3293" s="501"/>
      <c r="AH3293" s="501"/>
      <c r="AI3293" s="501"/>
      <c r="AJ3293" s="501"/>
      <c r="AK3293" s="501"/>
      <c r="AL3293" s="501"/>
      <c r="AM3293" s="501"/>
      <c r="AN3293" s="501"/>
      <c r="AO3293" s="501"/>
      <c r="AP3293" s="501"/>
      <c r="AQ3293" s="501"/>
      <c r="AR3293" s="501"/>
      <c r="AS3293" s="501"/>
      <c r="AT3293" s="501"/>
      <c r="AU3293" s="501"/>
      <c r="AV3293" s="501"/>
      <c r="AW3293" s="501"/>
      <c r="AX3293" s="501"/>
      <c r="AY3293" s="501"/>
      <c r="AZ3293" s="501"/>
      <c r="BA3293" s="501"/>
      <c r="BB3293" s="501"/>
      <c r="BC3293" s="501"/>
      <c r="BD3293" s="501"/>
      <c r="BE3293" s="501"/>
      <c r="BF3293" s="501"/>
      <c r="BG3293" s="501"/>
      <c r="BH3293" s="501"/>
      <c r="BI3293" s="501"/>
      <c r="BJ3293" s="501"/>
      <c r="BK3293" s="501"/>
      <c r="BL3293" s="501"/>
      <c r="BM3293" s="501"/>
      <c r="BN3293" s="501"/>
      <c r="BO3293" s="501"/>
      <c r="BP3293" s="501"/>
      <c r="BQ3293" s="501"/>
      <c r="BR3293" s="501"/>
      <c r="BS3293" s="501"/>
      <c r="BT3293" s="501"/>
      <c r="BU3293" s="501"/>
      <c r="BV3293" s="501"/>
      <c r="BW3293" s="501"/>
      <c r="BX3293" s="501"/>
      <c r="BY3293" s="501"/>
      <c r="BZ3293" s="501"/>
      <c r="CA3293" s="501"/>
      <c r="CB3293" s="501"/>
      <c r="CC3293" s="501"/>
      <c r="CD3293" s="501"/>
      <c r="CE3293" s="501"/>
      <c r="CF3293" s="501"/>
      <c r="CG3293" s="501"/>
      <c r="CH3293" s="501"/>
      <c r="CI3293" s="501"/>
      <c r="CJ3293" s="501"/>
      <c r="CK3293" s="501"/>
      <c r="CL3293" s="501"/>
      <c r="CM3293" s="501"/>
      <c r="CN3293" s="501"/>
      <c r="CO3293" s="501"/>
      <c r="CP3293" s="501"/>
      <c r="CQ3293" s="501"/>
      <c r="CR3293" s="501"/>
      <c r="CS3293" s="501"/>
      <c r="CT3293" s="501"/>
      <c r="CU3293" s="501"/>
      <c r="CV3293" s="501"/>
      <c r="CW3293" s="501"/>
      <c r="CX3293" s="501"/>
      <c r="CY3293" s="501"/>
      <c r="CZ3293" s="501"/>
      <c r="DA3293" s="501"/>
      <c r="DB3293" s="501"/>
      <c r="DC3293" s="501"/>
      <c r="DD3293" s="501"/>
      <c r="DE3293" s="501"/>
      <c r="DF3293" s="501"/>
      <c r="DG3293" s="501"/>
      <c r="DH3293" s="501"/>
      <c r="DI3293" s="501"/>
      <c r="DJ3293" s="501"/>
      <c r="DK3293" s="501"/>
      <c r="DL3293" s="501"/>
      <c r="DM3293" s="501"/>
      <c r="DN3293" s="501"/>
      <c r="DO3293" s="501"/>
      <c r="DP3293" s="501"/>
      <c r="DQ3293" s="501"/>
      <c r="DR3293" s="501"/>
      <c r="DS3293" s="501"/>
      <c r="DT3293" s="501"/>
      <c r="DU3293" s="501"/>
      <c r="DV3293" s="501"/>
      <c r="DW3293" s="501"/>
      <c r="DX3293" s="501"/>
      <c r="DY3293" s="501"/>
      <c r="DZ3293" s="501"/>
      <c r="EA3293" s="501"/>
      <c r="EB3293" s="501"/>
      <c r="EC3293" s="501"/>
      <c r="ED3293" s="501"/>
      <c r="EE3293" s="501"/>
      <c r="EF3293" s="501"/>
      <c r="EG3293" s="501"/>
      <c r="EH3293" s="501"/>
      <c r="EI3293" s="501"/>
      <c r="EJ3293" s="501"/>
      <c r="EK3293" s="501"/>
      <c r="EL3293" s="501"/>
      <c r="EM3293" s="501"/>
      <c r="EN3293" s="501"/>
      <c r="EO3293" s="501"/>
      <c r="EP3293" s="501"/>
      <c r="EQ3293" s="501"/>
      <c r="ER3293" s="501"/>
      <c r="ES3293" s="501"/>
      <c r="ET3293" s="501"/>
      <c r="EU3293" s="501"/>
      <c r="EV3293" s="501"/>
      <c r="EW3293" s="501"/>
      <c r="EX3293" s="501"/>
      <c r="EY3293" s="501"/>
      <c r="EZ3293" s="501"/>
      <c r="FA3293" s="501"/>
      <c r="FB3293" s="501"/>
      <c r="FC3293" s="501"/>
      <c r="FD3293" s="501"/>
      <c r="FE3293" s="501"/>
      <c r="FF3293" s="501"/>
      <c r="FG3293" s="501"/>
      <c r="FH3293" s="501"/>
      <c r="FI3293" s="501"/>
      <c r="FJ3293" s="501"/>
      <c r="FK3293" s="501"/>
      <c r="FL3293" s="501"/>
      <c r="FM3293" s="501"/>
      <c r="FN3293" s="501"/>
      <c r="FO3293" s="501"/>
      <c r="FP3293" s="501"/>
      <c r="FQ3293" s="501"/>
      <c r="FR3293" s="501"/>
      <c r="FS3293" s="501"/>
      <c r="FT3293" s="501"/>
      <c r="FU3293" s="501"/>
      <c r="FV3293" s="501"/>
      <c r="FW3293" s="501"/>
      <c r="FX3293" s="501"/>
      <c r="FY3293" s="501"/>
      <c r="FZ3293" s="501"/>
      <c r="GA3293" s="501"/>
      <c r="GB3293" s="501"/>
      <c r="GC3293" s="501"/>
      <c r="GD3293" s="501"/>
      <c r="GE3293" s="501"/>
      <c r="GF3293" s="501"/>
      <c r="GG3293" s="501"/>
      <c r="GH3293" s="501"/>
      <c r="GI3293" s="501"/>
      <c r="GJ3293" s="501"/>
      <c r="GK3293" s="501"/>
      <c r="GL3293" s="501"/>
      <c r="GM3293" s="501"/>
      <c r="GN3293" s="501"/>
      <c r="GO3293" s="501"/>
      <c r="GP3293" s="501"/>
      <c r="GQ3293" s="501"/>
      <c r="GR3293" s="501"/>
      <c r="GS3293" s="501"/>
      <c r="GT3293" s="501"/>
      <c r="GU3293" s="501"/>
      <c r="GV3293" s="501"/>
      <c r="GW3293" s="501"/>
      <c r="GX3293" s="501"/>
      <c r="GY3293" s="501"/>
      <c r="GZ3293" s="501"/>
      <c r="HA3293" s="501"/>
      <c r="HB3293" s="501"/>
      <c r="HC3293" s="501"/>
      <c r="HD3293" s="501"/>
      <c r="HE3293" s="501"/>
      <c r="HF3293" s="501"/>
      <c r="HG3293" s="501"/>
      <c r="HH3293" s="501"/>
      <c r="HI3293" s="501"/>
      <c r="HJ3293" s="501"/>
      <c r="HK3293" s="501"/>
      <c r="HL3293" s="501"/>
      <c r="HM3293" s="501"/>
      <c r="HN3293" s="501"/>
      <c r="HO3293" s="501"/>
      <c r="HP3293" s="501"/>
      <c r="HQ3293" s="501"/>
      <c r="HR3293" s="501"/>
      <c r="HS3293" s="501"/>
      <c r="HT3293" s="501"/>
      <c r="HU3293" s="501"/>
      <c r="HV3293" s="501"/>
      <c r="HW3293" s="501"/>
      <c r="HX3293" s="501"/>
      <c r="HY3293" s="501"/>
      <c r="HZ3293" s="501"/>
      <c r="IA3293" s="501"/>
      <c r="IB3293" s="501"/>
      <c r="IC3293" s="501"/>
      <c r="ID3293" s="501"/>
      <c r="IE3293" s="501"/>
      <c r="IF3293" s="501"/>
      <c r="IG3293" s="501"/>
      <c r="IH3293" s="501"/>
      <c r="II3293" s="501"/>
      <c r="IJ3293" s="501"/>
      <c r="IK3293" s="501"/>
      <c r="IL3293" s="501"/>
      <c r="IM3293" s="501"/>
      <c r="IN3293" s="501"/>
      <c r="IO3293" s="501"/>
      <c r="IP3293" s="501"/>
      <c r="IQ3293" s="501"/>
      <c r="IR3293" s="501"/>
      <c r="IS3293" s="501"/>
      <c r="IT3293" s="501"/>
      <c r="IU3293" s="501"/>
    </row>
    <row r="3294" spans="1:255" s="877" customFormat="1" ht="24" customHeight="1">
      <c r="A3294" s="501"/>
      <c r="B3294" s="501"/>
      <c r="C3294" s="501"/>
      <c r="D3294" s="501"/>
      <c r="E3294" s="501"/>
      <c r="F3294" s="937"/>
      <c r="G3294" s="1202"/>
      <c r="H3294" s="937"/>
      <c r="I3294" s="876"/>
      <c r="J3294" s="876"/>
      <c r="K3294" s="545"/>
      <c r="L3294" s="876"/>
      <c r="M3294" s="882"/>
      <c r="N3294" s="501"/>
      <c r="O3294" s="968"/>
      <c r="P3294" s="1152"/>
      <c r="Q3294" s="973"/>
      <c r="R3294" s="968"/>
      <c r="S3294" s="974"/>
      <c r="T3294" s="968"/>
      <c r="V3294" s="501"/>
      <c r="W3294" s="501"/>
      <c r="X3294" s="501"/>
      <c r="Y3294" s="501"/>
      <c r="Z3294" s="501"/>
      <c r="AA3294" s="501"/>
      <c r="AB3294" s="501"/>
      <c r="AC3294" s="501"/>
      <c r="AD3294" s="501"/>
      <c r="AE3294" s="501"/>
      <c r="AF3294" s="501"/>
      <c r="AG3294" s="501"/>
      <c r="AH3294" s="501"/>
      <c r="AI3294" s="501"/>
      <c r="AJ3294" s="501"/>
      <c r="AK3294" s="501"/>
      <c r="AL3294" s="501"/>
      <c r="AM3294" s="501"/>
      <c r="AN3294" s="501"/>
      <c r="AO3294" s="501"/>
      <c r="AP3294" s="501"/>
      <c r="AQ3294" s="501"/>
      <c r="AR3294" s="501"/>
      <c r="AS3294" s="501"/>
      <c r="AT3294" s="501"/>
      <c r="AU3294" s="501"/>
      <c r="AV3294" s="501"/>
      <c r="AW3294" s="501"/>
      <c r="AX3294" s="501"/>
      <c r="AY3294" s="501"/>
      <c r="AZ3294" s="501"/>
      <c r="BA3294" s="501"/>
      <c r="BB3294" s="501"/>
      <c r="BC3294" s="501"/>
      <c r="BD3294" s="501"/>
      <c r="BE3294" s="501"/>
      <c r="BF3294" s="501"/>
      <c r="BG3294" s="501"/>
      <c r="BH3294" s="501"/>
      <c r="BI3294" s="501"/>
      <c r="BJ3294" s="501"/>
      <c r="BK3294" s="501"/>
      <c r="BL3294" s="501"/>
      <c r="BM3294" s="501"/>
      <c r="BN3294" s="501"/>
      <c r="BO3294" s="501"/>
      <c r="BP3294" s="501"/>
      <c r="BQ3294" s="501"/>
      <c r="BR3294" s="501"/>
      <c r="BS3294" s="501"/>
      <c r="BT3294" s="501"/>
      <c r="BU3294" s="501"/>
      <c r="BV3294" s="501"/>
      <c r="BW3294" s="501"/>
      <c r="BX3294" s="501"/>
      <c r="BY3294" s="501"/>
      <c r="BZ3294" s="501"/>
      <c r="CA3294" s="501"/>
      <c r="CB3294" s="501"/>
      <c r="CC3294" s="501"/>
      <c r="CD3294" s="501"/>
      <c r="CE3294" s="501"/>
      <c r="CF3294" s="501"/>
      <c r="CG3294" s="501"/>
      <c r="CH3294" s="501"/>
      <c r="CI3294" s="501"/>
      <c r="CJ3294" s="501"/>
      <c r="CK3294" s="501"/>
      <c r="CL3294" s="501"/>
      <c r="CM3294" s="501"/>
      <c r="CN3294" s="501"/>
      <c r="CO3294" s="501"/>
      <c r="CP3294" s="501"/>
      <c r="CQ3294" s="501"/>
      <c r="CR3294" s="501"/>
      <c r="CS3294" s="501"/>
      <c r="CT3294" s="501"/>
      <c r="CU3294" s="501"/>
      <c r="CV3294" s="501"/>
      <c r="CW3294" s="501"/>
      <c r="CX3294" s="501"/>
      <c r="CY3294" s="501"/>
      <c r="CZ3294" s="501"/>
      <c r="DA3294" s="501"/>
      <c r="DB3294" s="501"/>
      <c r="DC3294" s="501"/>
      <c r="DD3294" s="501"/>
      <c r="DE3294" s="501"/>
      <c r="DF3294" s="501"/>
      <c r="DG3294" s="501"/>
      <c r="DH3294" s="501"/>
      <c r="DI3294" s="501"/>
      <c r="DJ3294" s="501"/>
      <c r="DK3294" s="501"/>
      <c r="DL3294" s="501"/>
      <c r="DM3294" s="501"/>
      <c r="DN3294" s="501"/>
      <c r="DO3294" s="501"/>
      <c r="DP3294" s="501"/>
      <c r="DQ3294" s="501"/>
      <c r="DR3294" s="501"/>
      <c r="DS3294" s="501"/>
      <c r="DT3294" s="501"/>
      <c r="DU3294" s="501"/>
      <c r="DV3294" s="501"/>
      <c r="DW3294" s="501"/>
      <c r="DX3294" s="501"/>
      <c r="DY3294" s="501"/>
      <c r="DZ3294" s="501"/>
      <c r="EA3294" s="501"/>
      <c r="EB3294" s="501"/>
      <c r="EC3294" s="501"/>
      <c r="ED3294" s="501"/>
      <c r="EE3294" s="501"/>
      <c r="EF3294" s="501"/>
      <c r="EG3294" s="501"/>
      <c r="EH3294" s="501"/>
      <c r="EI3294" s="501"/>
      <c r="EJ3294" s="501"/>
      <c r="EK3294" s="501"/>
      <c r="EL3294" s="501"/>
      <c r="EM3294" s="501"/>
      <c r="EN3294" s="501"/>
      <c r="EO3294" s="501"/>
      <c r="EP3294" s="501"/>
      <c r="EQ3294" s="501"/>
      <c r="ER3294" s="501"/>
      <c r="ES3294" s="501"/>
      <c r="ET3294" s="501"/>
      <c r="EU3294" s="501"/>
      <c r="EV3294" s="501"/>
      <c r="EW3294" s="501"/>
      <c r="EX3294" s="501"/>
      <c r="EY3294" s="501"/>
      <c r="EZ3294" s="501"/>
      <c r="FA3294" s="501"/>
      <c r="FB3294" s="501"/>
      <c r="FC3294" s="501"/>
      <c r="FD3294" s="501"/>
      <c r="FE3294" s="501"/>
      <c r="FF3294" s="501"/>
      <c r="FG3294" s="501"/>
      <c r="FH3294" s="501"/>
      <c r="FI3294" s="501"/>
      <c r="FJ3294" s="501"/>
      <c r="FK3294" s="501"/>
      <c r="FL3294" s="501"/>
      <c r="FM3294" s="501"/>
      <c r="FN3294" s="501"/>
      <c r="FO3294" s="501"/>
      <c r="FP3294" s="501"/>
      <c r="FQ3294" s="501"/>
      <c r="FR3294" s="501"/>
      <c r="FS3294" s="501"/>
      <c r="FT3294" s="501"/>
      <c r="FU3294" s="501"/>
      <c r="FV3294" s="501"/>
      <c r="FW3294" s="501"/>
      <c r="FX3294" s="501"/>
      <c r="FY3294" s="501"/>
      <c r="FZ3294" s="501"/>
      <c r="GA3294" s="501"/>
      <c r="GB3294" s="501"/>
      <c r="GC3294" s="501"/>
      <c r="GD3294" s="501"/>
      <c r="GE3294" s="501"/>
      <c r="GF3294" s="501"/>
      <c r="GG3294" s="501"/>
      <c r="GH3294" s="501"/>
      <c r="GI3294" s="501"/>
      <c r="GJ3294" s="501"/>
      <c r="GK3294" s="501"/>
      <c r="GL3294" s="501"/>
      <c r="GM3294" s="501"/>
      <c r="GN3294" s="501"/>
      <c r="GO3294" s="501"/>
      <c r="GP3294" s="501"/>
      <c r="GQ3294" s="501"/>
      <c r="GR3294" s="501"/>
      <c r="GS3294" s="501"/>
      <c r="GT3294" s="501"/>
      <c r="GU3294" s="501"/>
      <c r="GV3294" s="501"/>
      <c r="GW3294" s="501"/>
      <c r="GX3294" s="501"/>
      <c r="GY3294" s="501"/>
      <c r="GZ3294" s="501"/>
      <c r="HA3294" s="501"/>
      <c r="HB3294" s="501"/>
      <c r="HC3294" s="501"/>
      <c r="HD3294" s="501"/>
      <c r="HE3294" s="501"/>
      <c r="HF3294" s="501"/>
      <c r="HG3294" s="501"/>
      <c r="HH3294" s="501"/>
      <c r="HI3294" s="501"/>
      <c r="HJ3294" s="501"/>
      <c r="HK3294" s="501"/>
      <c r="HL3294" s="501"/>
      <c r="HM3294" s="501"/>
      <c r="HN3294" s="501"/>
      <c r="HO3294" s="501"/>
      <c r="HP3294" s="501"/>
      <c r="HQ3294" s="501"/>
      <c r="HR3294" s="501"/>
      <c r="HS3294" s="501"/>
      <c r="HT3294" s="501"/>
      <c r="HU3294" s="501"/>
      <c r="HV3294" s="501"/>
      <c r="HW3294" s="501"/>
      <c r="HX3294" s="501"/>
      <c r="HY3294" s="501"/>
      <c r="HZ3294" s="501"/>
      <c r="IA3294" s="501"/>
      <c r="IB3294" s="501"/>
      <c r="IC3294" s="501"/>
      <c r="ID3294" s="501"/>
      <c r="IE3294" s="501"/>
      <c r="IF3294" s="501"/>
      <c r="IG3294" s="501"/>
      <c r="IH3294" s="501"/>
      <c r="II3294" s="501"/>
      <c r="IJ3294" s="501"/>
      <c r="IK3294" s="501"/>
      <c r="IL3294" s="501"/>
      <c r="IM3294" s="501"/>
      <c r="IN3294" s="501"/>
      <c r="IO3294" s="501"/>
      <c r="IP3294" s="501"/>
      <c r="IQ3294" s="501"/>
      <c r="IR3294" s="501"/>
      <c r="IS3294" s="501"/>
      <c r="IT3294" s="501"/>
      <c r="IU3294" s="501"/>
    </row>
    <row r="3295" spans="1:255" s="877" customFormat="1" ht="24" customHeight="1">
      <c r="A3295" s="501"/>
      <c r="B3295" s="501"/>
      <c r="C3295" s="501"/>
      <c r="D3295" s="501"/>
      <c r="E3295" s="501"/>
      <c r="F3295" s="545"/>
      <c r="G3295" s="889"/>
      <c r="H3295" s="545"/>
      <c r="I3295" s="876"/>
      <c r="J3295" s="876"/>
      <c r="K3295" s="545"/>
      <c r="L3295" s="876"/>
      <c r="M3295" s="882"/>
      <c r="N3295" s="501"/>
      <c r="O3295" s="1097"/>
      <c r="P3295" s="1151"/>
      <c r="Q3295" s="1097"/>
      <c r="R3295" s="1097"/>
      <c r="S3295" s="1101"/>
      <c r="T3295" s="1109"/>
      <c r="V3295" s="501"/>
      <c r="W3295" s="501"/>
      <c r="X3295" s="501"/>
      <c r="Y3295" s="501"/>
      <c r="Z3295" s="501"/>
      <c r="AA3295" s="501"/>
      <c r="AB3295" s="501"/>
      <c r="AC3295" s="501"/>
      <c r="AD3295" s="501"/>
      <c r="AE3295" s="501"/>
      <c r="AF3295" s="501"/>
      <c r="AG3295" s="501"/>
      <c r="AH3295" s="501"/>
      <c r="AI3295" s="501"/>
      <c r="AJ3295" s="501"/>
      <c r="AK3295" s="501"/>
      <c r="AL3295" s="501"/>
      <c r="AM3295" s="501"/>
      <c r="AN3295" s="501"/>
      <c r="AO3295" s="501"/>
      <c r="AP3295" s="501"/>
      <c r="AQ3295" s="501"/>
      <c r="AR3295" s="501"/>
      <c r="AS3295" s="501"/>
      <c r="AT3295" s="501"/>
      <c r="AU3295" s="501"/>
      <c r="AV3295" s="501"/>
      <c r="AW3295" s="501"/>
      <c r="AX3295" s="501"/>
      <c r="AY3295" s="501"/>
      <c r="AZ3295" s="501"/>
      <c r="BA3295" s="501"/>
      <c r="BB3295" s="501"/>
      <c r="BC3295" s="501"/>
      <c r="BD3295" s="501"/>
      <c r="BE3295" s="501"/>
      <c r="BF3295" s="501"/>
      <c r="BG3295" s="501"/>
      <c r="BH3295" s="501"/>
      <c r="BI3295" s="501"/>
      <c r="BJ3295" s="501"/>
      <c r="BK3295" s="501"/>
      <c r="BL3295" s="501"/>
      <c r="BM3295" s="501"/>
      <c r="BN3295" s="501"/>
      <c r="BO3295" s="501"/>
      <c r="BP3295" s="501"/>
      <c r="BQ3295" s="501"/>
      <c r="BR3295" s="501"/>
      <c r="BS3295" s="501"/>
      <c r="BT3295" s="501"/>
      <c r="BU3295" s="501"/>
      <c r="BV3295" s="501"/>
      <c r="BW3295" s="501"/>
      <c r="BX3295" s="501"/>
      <c r="BY3295" s="501"/>
      <c r="BZ3295" s="501"/>
      <c r="CA3295" s="501"/>
      <c r="CB3295" s="501"/>
      <c r="CC3295" s="501"/>
      <c r="CD3295" s="501"/>
      <c r="CE3295" s="501"/>
      <c r="CF3295" s="501"/>
      <c r="CG3295" s="501"/>
      <c r="CH3295" s="501"/>
      <c r="CI3295" s="501"/>
      <c r="CJ3295" s="501"/>
      <c r="CK3295" s="501"/>
      <c r="CL3295" s="501"/>
      <c r="CM3295" s="501"/>
      <c r="CN3295" s="501"/>
      <c r="CO3295" s="501"/>
      <c r="CP3295" s="501"/>
      <c r="CQ3295" s="501"/>
      <c r="CR3295" s="501"/>
      <c r="CS3295" s="501"/>
      <c r="CT3295" s="501"/>
      <c r="CU3295" s="501"/>
      <c r="CV3295" s="501"/>
      <c r="CW3295" s="501"/>
      <c r="CX3295" s="501"/>
      <c r="CY3295" s="501"/>
      <c r="CZ3295" s="501"/>
      <c r="DA3295" s="501"/>
      <c r="DB3295" s="501"/>
      <c r="DC3295" s="501"/>
      <c r="DD3295" s="501"/>
      <c r="DE3295" s="501"/>
      <c r="DF3295" s="501"/>
      <c r="DG3295" s="501"/>
      <c r="DH3295" s="501"/>
      <c r="DI3295" s="501"/>
      <c r="DJ3295" s="501"/>
      <c r="DK3295" s="501"/>
      <c r="DL3295" s="501"/>
      <c r="DM3295" s="501"/>
      <c r="DN3295" s="501"/>
      <c r="DO3295" s="501"/>
      <c r="DP3295" s="501"/>
      <c r="DQ3295" s="501"/>
      <c r="DR3295" s="501"/>
      <c r="DS3295" s="501"/>
      <c r="DT3295" s="501"/>
      <c r="DU3295" s="501"/>
      <c r="DV3295" s="501"/>
      <c r="DW3295" s="501"/>
      <c r="DX3295" s="501"/>
      <c r="DY3295" s="501"/>
      <c r="DZ3295" s="501"/>
      <c r="EA3295" s="501"/>
      <c r="EB3295" s="501"/>
      <c r="EC3295" s="501"/>
      <c r="ED3295" s="501"/>
      <c r="EE3295" s="501"/>
      <c r="EF3295" s="501"/>
      <c r="EG3295" s="501"/>
      <c r="EH3295" s="501"/>
      <c r="EI3295" s="501"/>
      <c r="EJ3295" s="501"/>
      <c r="EK3295" s="501"/>
      <c r="EL3295" s="501"/>
      <c r="EM3295" s="501"/>
      <c r="EN3295" s="501"/>
      <c r="EO3295" s="501"/>
      <c r="EP3295" s="501"/>
      <c r="EQ3295" s="501"/>
      <c r="ER3295" s="501"/>
      <c r="ES3295" s="501"/>
      <c r="ET3295" s="501"/>
      <c r="EU3295" s="501"/>
      <c r="EV3295" s="501"/>
      <c r="EW3295" s="501"/>
      <c r="EX3295" s="501"/>
      <c r="EY3295" s="501"/>
      <c r="EZ3295" s="501"/>
      <c r="FA3295" s="501"/>
      <c r="FB3295" s="501"/>
      <c r="FC3295" s="501"/>
      <c r="FD3295" s="501"/>
      <c r="FE3295" s="501"/>
      <c r="FF3295" s="501"/>
      <c r="FG3295" s="501"/>
      <c r="FH3295" s="501"/>
      <c r="FI3295" s="501"/>
      <c r="FJ3295" s="501"/>
      <c r="FK3295" s="501"/>
      <c r="FL3295" s="501"/>
      <c r="FM3295" s="501"/>
      <c r="FN3295" s="501"/>
      <c r="FO3295" s="501"/>
      <c r="FP3295" s="501"/>
      <c r="FQ3295" s="501"/>
      <c r="FR3295" s="501"/>
      <c r="FS3295" s="501"/>
      <c r="FT3295" s="501"/>
      <c r="FU3295" s="501"/>
      <c r="FV3295" s="501"/>
      <c r="FW3295" s="501"/>
      <c r="FX3295" s="501"/>
      <c r="FY3295" s="501"/>
      <c r="FZ3295" s="501"/>
      <c r="GA3295" s="501"/>
      <c r="GB3295" s="501"/>
      <c r="GC3295" s="501"/>
      <c r="GD3295" s="501"/>
      <c r="GE3295" s="501"/>
      <c r="GF3295" s="501"/>
      <c r="GG3295" s="501"/>
      <c r="GH3295" s="501"/>
      <c r="GI3295" s="501"/>
      <c r="GJ3295" s="501"/>
      <c r="GK3295" s="501"/>
      <c r="GL3295" s="501"/>
      <c r="GM3295" s="501"/>
      <c r="GN3295" s="501"/>
      <c r="GO3295" s="501"/>
      <c r="GP3295" s="501"/>
      <c r="GQ3295" s="501"/>
      <c r="GR3295" s="501"/>
      <c r="GS3295" s="501"/>
      <c r="GT3295" s="501"/>
      <c r="GU3295" s="501"/>
      <c r="GV3295" s="501"/>
      <c r="GW3295" s="501"/>
      <c r="GX3295" s="501"/>
      <c r="GY3295" s="501"/>
      <c r="GZ3295" s="501"/>
      <c r="HA3295" s="501"/>
      <c r="HB3295" s="501"/>
      <c r="HC3295" s="501"/>
      <c r="HD3295" s="501"/>
      <c r="HE3295" s="501"/>
      <c r="HF3295" s="501"/>
      <c r="HG3295" s="501"/>
      <c r="HH3295" s="501"/>
      <c r="HI3295" s="501"/>
      <c r="HJ3295" s="501"/>
      <c r="HK3295" s="501"/>
      <c r="HL3295" s="501"/>
      <c r="HM3295" s="501"/>
      <c r="HN3295" s="501"/>
      <c r="HO3295" s="501"/>
      <c r="HP3295" s="501"/>
      <c r="HQ3295" s="501"/>
      <c r="HR3295" s="501"/>
      <c r="HS3295" s="501"/>
      <c r="HT3295" s="501"/>
      <c r="HU3295" s="501"/>
      <c r="HV3295" s="501"/>
      <c r="HW3295" s="501"/>
      <c r="HX3295" s="501"/>
      <c r="HY3295" s="501"/>
      <c r="HZ3295" s="501"/>
      <c r="IA3295" s="501"/>
      <c r="IB3295" s="501"/>
      <c r="IC3295" s="501"/>
      <c r="ID3295" s="501"/>
      <c r="IE3295" s="501"/>
      <c r="IF3295" s="501"/>
      <c r="IG3295" s="501"/>
      <c r="IH3295" s="501"/>
      <c r="II3295" s="501"/>
      <c r="IJ3295" s="501"/>
      <c r="IK3295" s="501"/>
      <c r="IL3295" s="501"/>
      <c r="IM3295" s="501"/>
      <c r="IN3295" s="501"/>
      <c r="IO3295" s="501"/>
      <c r="IP3295" s="501"/>
      <c r="IQ3295" s="501"/>
      <c r="IR3295" s="501"/>
      <c r="IS3295" s="501"/>
      <c r="IT3295" s="501"/>
      <c r="IU3295" s="501"/>
    </row>
    <row r="3296" spans="1:255" s="877" customFormat="1" ht="24" customHeight="1">
      <c r="A3296" s="501"/>
      <c r="B3296" s="501"/>
      <c r="C3296" s="501"/>
      <c r="D3296" s="501"/>
      <c r="E3296" s="501"/>
      <c r="F3296" s="545"/>
      <c r="G3296" s="889"/>
      <c r="H3296" s="545"/>
      <c r="I3296" s="876"/>
      <c r="J3296" s="876"/>
      <c r="K3296" s="545"/>
      <c r="L3296" s="876"/>
      <c r="M3296" s="882"/>
      <c r="N3296" s="501"/>
      <c r="O3296" s="1097"/>
      <c r="P3296" s="1151"/>
      <c r="Q3296" s="1097"/>
      <c r="R3296" s="1097"/>
      <c r="S3296" s="1101"/>
      <c r="T3296" s="1106"/>
      <c r="V3296" s="501"/>
      <c r="W3296" s="501"/>
      <c r="X3296" s="501"/>
      <c r="Y3296" s="501"/>
      <c r="Z3296" s="501"/>
      <c r="AA3296" s="501"/>
      <c r="AB3296" s="501"/>
      <c r="AC3296" s="501"/>
      <c r="AD3296" s="501"/>
      <c r="AE3296" s="501"/>
      <c r="AF3296" s="501"/>
      <c r="AG3296" s="501"/>
      <c r="AH3296" s="501"/>
      <c r="AI3296" s="501"/>
      <c r="AJ3296" s="501"/>
      <c r="AK3296" s="501"/>
      <c r="AL3296" s="501"/>
      <c r="AM3296" s="501"/>
      <c r="AN3296" s="501"/>
      <c r="AO3296" s="501"/>
      <c r="AP3296" s="501"/>
      <c r="AQ3296" s="501"/>
      <c r="AR3296" s="501"/>
      <c r="AS3296" s="501"/>
      <c r="AT3296" s="501"/>
      <c r="AU3296" s="501"/>
      <c r="AV3296" s="501"/>
      <c r="AW3296" s="501"/>
      <c r="AX3296" s="501"/>
      <c r="AY3296" s="501"/>
      <c r="AZ3296" s="501"/>
      <c r="BA3296" s="501"/>
      <c r="BB3296" s="501"/>
      <c r="BC3296" s="501"/>
      <c r="BD3296" s="501"/>
      <c r="BE3296" s="501"/>
      <c r="BF3296" s="501"/>
      <c r="BG3296" s="501"/>
      <c r="BH3296" s="501"/>
      <c r="BI3296" s="501"/>
      <c r="BJ3296" s="501"/>
      <c r="BK3296" s="501"/>
      <c r="BL3296" s="501"/>
      <c r="BM3296" s="501"/>
      <c r="BN3296" s="501"/>
      <c r="BO3296" s="501"/>
      <c r="BP3296" s="501"/>
      <c r="BQ3296" s="501"/>
      <c r="BR3296" s="501"/>
      <c r="BS3296" s="501"/>
      <c r="BT3296" s="501"/>
      <c r="BU3296" s="501"/>
      <c r="BV3296" s="501"/>
      <c r="BW3296" s="501"/>
      <c r="BX3296" s="501"/>
      <c r="BY3296" s="501"/>
      <c r="BZ3296" s="501"/>
      <c r="CA3296" s="501"/>
      <c r="CB3296" s="501"/>
      <c r="CC3296" s="501"/>
      <c r="CD3296" s="501"/>
      <c r="CE3296" s="501"/>
      <c r="CF3296" s="501"/>
      <c r="CG3296" s="501"/>
      <c r="CH3296" s="501"/>
      <c r="CI3296" s="501"/>
      <c r="CJ3296" s="501"/>
      <c r="CK3296" s="501"/>
      <c r="CL3296" s="501"/>
      <c r="CM3296" s="501"/>
      <c r="CN3296" s="501"/>
      <c r="CO3296" s="501"/>
      <c r="CP3296" s="501"/>
      <c r="CQ3296" s="501"/>
      <c r="CR3296" s="501"/>
      <c r="CS3296" s="501"/>
      <c r="CT3296" s="501"/>
      <c r="CU3296" s="501"/>
      <c r="CV3296" s="501"/>
      <c r="CW3296" s="501"/>
      <c r="CX3296" s="501"/>
      <c r="CY3296" s="501"/>
      <c r="CZ3296" s="501"/>
      <c r="DA3296" s="501"/>
      <c r="DB3296" s="501"/>
      <c r="DC3296" s="501"/>
      <c r="DD3296" s="501"/>
      <c r="DE3296" s="501"/>
      <c r="DF3296" s="501"/>
      <c r="DG3296" s="501"/>
      <c r="DH3296" s="501"/>
      <c r="DI3296" s="501"/>
      <c r="DJ3296" s="501"/>
      <c r="DK3296" s="501"/>
      <c r="DL3296" s="501"/>
      <c r="DM3296" s="501"/>
      <c r="DN3296" s="501"/>
      <c r="DO3296" s="501"/>
      <c r="DP3296" s="501"/>
      <c r="DQ3296" s="501"/>
      <c r="DR3296" s="501"/>
      <c r="DS3296" s="501"/>
      <c r="DT3296" s="501"/>
      <c r="DU3296" s="501"/>
      <c r="DV3296" s="501"/>
      <c r="DW3296" s="501"/>
      <c r="DX3296" s="501"/>
      <c r="DY3296" s="501"/>
      <c r="DZ3296" s="501"/>
      <c r="EA3296" s="501"/>
      <c r="EB3296" s="501"/>
      <c r="EC3296" s="501"/>
      <c r="ED3296" s="501"/>
      <c r="EE3296" s="501"/>
      <c r="EF3296" s="501"/>
      <c r="EG3296" s="501"/>
      <c r="EH3296" s="501"/>
      <c r="EI3296" s="501"/>
      <c r="EJ3296" s="501"/>
      <c r="EK3296" s="501"/>
      <c r="EL3296" s="501"/>
      <c r="EM3296" s="501"/>
      <c r="EN3296" s="501"/>
      <c r="EO3296" s="501"/>
      <c r="EP3296" s="501"/>
      <c r="EQ3296" s="501"/>
      <c r="ER3296" s="501"/>
      <c r="ES3296" s="501"/>
      <c r="ET3296" s="501"/>
      <c r="EU3296" s="501"/>
      <c r="EV3296" s="501"/>
      <c r="EW3296" s="501"/>
      <c r="EX3296" s="501"/>
      <c r="EY3296" s="501"/>
      <c r="EZ3296" s="501"/>
      <c r="FA3296" s="501"/>
      <c r="FB3296" s="501"/>
      <c r="FC3296" s="501"/>
      <c r="FD3296" s="501"/>
      <c r="FE3296" s="501"/>
      <c r="FF3296" s="501"/>
      <c r="FG3296" s="501"/>
      <c r="FH3296" s="501"/>
      <c r="FI3296" s="501"/>
      <c r="FJ3296" s="501"/>
      <c r="FK3296" s="501"/>
      <c r="FL3296" s="501"/>
      <c r="FM3296" s="501"/>
      <c r="FN3296" s="501"/>
      <c r="FO3296" s="501"/>
      <c r="FP3296" s="501"/>
      <c r="FQ3296" s="501"/>
      <c r="FR3296" s="501"/>
      <c r="FS3296" s="501"/>
      <c r="FT3296" s="501"/>
      <c r="FU3296" s="501"/>
      <c r="FV3296" s="501"/>
      <c r="FW3296" s="501"/>
      <c r="FX3296" s="501"/>
      <c r="FY3296" s="501"/>
      <c r="FZ3296" s="501"/>
      <c r="GA3296" s="501"/>
      <c r="GB3296" s="501"/>
      <c r="GC3296" s="501"/>
      <c r="GD3296" s="501"/>
      <c r="GE3296" s="501"/>
      <c r="GF3296" s="501"/>
      <c r="GG3296" s="501"/>
      <c r="GH3296" s="501"/>
      <c r="GI3296" s="501"/>
      <c r="GJ3296" s="501"/>
      <c r="GK3296" s="501"/>
      <c r="GL3296" s="501"/>
      <c r="GM3296" s="501"/>
      <c r="GN3296" s="501"/>
      <c r="GO3296" s="501"/>
      <c r="GP3296" s="501"/>
      <c r="GQ3296" s="501"/>
      <c r="GR3296" s="501"/>
      <c r="GS3296" s="501"/>
      <c r="GT3296" s="501"/>
      <c r="GU3296" s="501"/>
      <c r="GV3296" s="501"/>
      <c r="GW3296" s="501"/>
      <c r="GX3296" s="501"/>
      <c r="GY3296" s="501"/>
      <c r="GZ3296" s="501"/>
      <c r="HA3296" s="501"/>
      <c r="HB3296" s="501"/>
      <c r="HC3296" s="501"/>
      <c r="HD3296" s="501"/>
      <c r="HE3296" s="501"/>
      <c r="HF3296" s="501"/>
      <c r="HG3296" s="501"/>
      <c r="HH3296" s="501"/>
      <c r="HI3296" s="501"/>
      <c r="HJ3296" s="501"/>
      <c r="HK3296" s="501"/>
      <c r="HL3296" s="501"/>
      <c r="HM3296" s="501"/>
      <c r="HN3296" s="501"/>
      <c r="HO3296" s="501"/>
      <c r="HP3296" s="501"/>
      <c r="HQ3296" s="501"/>
      <c r="HR3296" s="501"/>
      <c r="HS3296" s="501"/>
      <c r="HT3296" s="501"/>
      <c r="HU3296" s="501"/>
      <c r="HV3296" s="501"/>
      <c r="HW3296" s="501"/>
      <c r="HX3296" s="501"/>
      <c r="HY3296" s="501"/>
      <c r="HZ3296" s="501"/>
      <c r="IA3296" s="501"/>
      <c r="IB3296" s="501"/>
      <c r="IC3296" s="501"/>
      <c r="ID3296" s="501"/>
      <c r="IE3296" s="501"/>
      <c r="IF3296" s="501"/>
      <c r="IG3296" s="501"/>
      <c r="IH3296" s="501"/>
      <c r="II3296" s="501"/>
      <c r="IJ3296" s="501"/>
      <c r="IK3296" s="501"/>
      <c r="IL3296" s="501"/>
      <c r="IM3296" s="501"/>
      <c r="IN3296" s="501"/>
      <c r="IO3296" s="501"/>
      <c r="IP3296" s="501"/>
      <c r="IQ3296" s="501"/>
      <c r="IR3296" s="501"/>
      <c r="IS3296" s="501"/>
      <c r="IT3296" s="501"/>
      <c r="IU3296" s="501"/>
    </row>
    <row r="3297" spans="1:255" s="877" customFormat="1" ht="24" customHeight="1">
      <c r="A3297" s="501"/>
      <c r="B3297" s="501"/>
      <c r="C3297" s="501"/>
      <c r="D3297" s="501"/>
      <c r="E3297" s="501"/>
      <c r="F3297" s="545"/>
      <c r="G3297" s="889"/>
      <c r="H3297" s="545"/>
      <c r="I3297" s="876"/>
      <c r="J3297" s="876"/>
      <c r="K3297" s="545"/>
      <c r="L3297" s="876"/>
      <c r="M3297" s="882"/>
      <c r="N3297" s="501"/>
      <c r="O3297" s="1097"/>
      <c r="P3297" s="1151"/>
      <c r="Q3297" s="973"/>
      <c r="R3297" s="1097"/>
      <c r="S3297" s="1101"/>
      <c r="T3297" s="968"/>
      <c r="V3297" s="501"/>
      <c r="W3297" s="501"/>
      <c r="X3297" s="501"/>
      <c r="Y3297" s="501"/>
      <c r="Z3297" s="501"/>
      <c r="AA3297" s="501"/>
      <c r="AB3297" s="501"/>
      <c r="AC3297" s="501"/>
      <c r="AD3297" s="501"/>
      <c r="AE3297" s="501"/>
      <c r="AF3297" s="501"/>
      <c r="AG3297" s="501"/>
      <c r="AH3297" s="501"/>
      <c r="AI3297" s="501"/>
      <c r="AJ3297" s="501"/>
      <c r="AK3297" s="501"/>
      <c r="AL3297" s="501"/>
      <c r="AM3297" s="501"/>
      <c r="AN3297" s="501"/>
      <c r="AO3297" s="501"/>
      <c r="AP3297" s="501"/>
      <c r="AQ3297" s="501"/>
      <c r="AR3297" s="501"/>
      <c r="AS3297" s="501"/>
      <c r="AT3297" s="501"/>
      <c r="AU3297" s="501"/>
      <c r="AV3297" s="501"/>
      <c r="AW3297" s="501"/>
      <c r="AX3297" s="501"/>
      <c r="AY3297" s="501"/>
      <c r="AZ3297" s="501"/>
      <c r="BA3297" s="501"/>
      <c r="BB3297" s="501"/>
      <c r="BC3297" s="501"/>
      <c r="BD3297" s="501"/>
      <c r="BE3297" s="501"/>
      <c r="BF3297" s="501"/>
      <c r="BG3297" s="501"/>
      <c r="BH3297" s="501"/>
      <c r="BI3297" s="501"/>
      <c r="BJ3297" s="501"/>
      <c r="BK3297" s="501"/>
      <c r="BL3297" s="501"/>
      <c r="BM3297" s="501"/>
      <c r="BN3297" s="501"/>
      <c r="BO3297" s="501"/>
      <c r="BP3297" s="501"/>
      <c r="BQ3297" s="501"/>
      <c r="BR3297" s="501"/>
      <c r="BS3297" s="501"/>
      <c r="BT3297" s="501"/>
      <c r="BU3297" s="501"/>
      <c r="BV3297" s="501"/>
      <c r="BW3297" s="501"/>
      <c r="BX3297" s="501"/>
      <c r="BY3297" s="501"/>
      <c r="BZ3297" s="501"/>
      <c r="CA3297" s="501"/>
      <c r="CB3297" s="501"/>
      <c r="CC3297" s="501"/>
      <c r="CD3297" s="501"/>
      <c r="CE3297" s="501"/>
      <c r="CF3297" s="501"/>
      <c r="CG3297" s="501"/>
      <c r="CH3297" s="501"/>
      <c r="CI3297" s="501"/>
      <c r="CJ3297" s="501"/>
      <c r="CK3297" s="501"/>
      <c r="CL3297" s="501"/>
      <c r="CM3297" s="501"/>
      <c r="CN3297" s="501"/>
      <c r="CO3297" s="501"/>
      <c r="CP3297" s="501"/>
      <c r="CQ3297" s="501"/>
      <c r="CR3297" s="501"/>
      <c r="CS3297" s="501"/>
      <c r="CT3297" s="501"/>
      <c r="CU3297" s="501"/>
      <c r="CV3297" s="501"/>
      <c r="CW3297" s="501"/>
      <c r="CX3297" s="501"/>
      <c r="CY3297" s="501"/>
      <c r="CZ3297" s="501"/>
      <c r="DA3297" s="501"/>
      <c r="DB3297" s="501"/>
      <c r="DC3297" s="501"/>
      <c r="DD3297" s="501"/>
      <c r="DE3297" s="501"/>
      <c r="DF3297" s="501"/>
      <c r="DG3297" s="501"/>
      <c r="DH3297" s="501"/>
      <c r="DI3297" s="501"/>
      <c r="DJ3297" s="501"/>
      <c r="DK3297" s="501"/>
      <c r="DL3297" s="501"/>
      <c r="DM3297" s="501"/>
      <c r="DN3297" s="501"/>
      <c r="DO3297" s="501"/>
      <c r="DP3297" s="501"/>
      <c r="DQ3297" s="501"/>
      <c r="DR3297" s="501"/>
      <c r="DS3297" s="501"/>
      <c r="DT3297" s="501"/>
      <c r="DU3297" s="501"/>
      <c r="DV3297" s="501"/>
      <c r="DW3297" s="501"/>
      <c r="DX3297" s="501"/>
      <c r="DY3297" s="501"/>
      <c r="DZ3297" s="501"/>
      <c r="EA3297" s="501"/>
      <c r="EB3297" s="501"/>
      <c r="EC3297" s="501"/>
      <c r="ED3297" s="501"/>
      <c r="EE3297" s="501"/>
      <c r="EF3297" s="501"/>
      <c r="EG3297" s="501"/>
      <c r="EH3297" s="501"/>
      <c r="EI3297" s="501"/>
      <c r="EJ3297" s="501"/>
      <c r="EK3297" s="501"/>
      <c r="EL3297" s="501"/>
      <c r="EM3297" s="501"/>
      <c r="EN3297" s="501"/>
      <c r="EO3297" s="501"/>
      <c r="EP3297" s="501"/>
      <c r="EQ3297" s="501"/>
      <c r="ER3297" s="501"/>
      <c r="ES3297" s="501"/>
      <c r="ET3297" s="501"/>
      <c r="EU3297" s="501"/>
      <c r="EV3297" s="501"/>
      <c r="EW3297" s="501"/>
      <c r="EX3297" s="501"/>
      <c r="EY3297" s="501"/>
      <c r="EZ3297" s="501"/>
      <c r="FA3297" s="501"/>
      <c r="FB3297" s="501"/>
      <c r="FC3297" s="501"/>
      <c r="FD3297" s="501"/>
      <c r="FE3297" s="501"/>
      <c r="FF3297" s="501"/>
      <c r="FG3297" s="501"/>
      <c r="FH3297" s="501"/>
      <c r="FI3297" s="501"/>
      <c r="FJ3297" s="501"/>
      <c r="FK3297" s="501"/>
      <c r="FL3297" s="501"/>
      <c r="FM3297" s="501"/>
      <c r="FN3297" s="501"/>
      <c r="FO3297" s="501"/>
      <c r="FP3297" s="501"/>
      <c r="FQ3297" s="501"/>
      <c r="FR3297" s="501"/>
      <c r="FS3297" s="501"/>
      <c r="FT3297" s="501"/>
      <c r="FU3297" s="501"/>
      <c r="FV3297" s="501"/>
      <c r="FW3297" s="501"/>
      <c r="FX3297" s="501"/>
      <c r="FY3297" s="501"/>
      <c r="FZ3297" s="501"/>
      <c r="GA3297" s="501"/>
      <c r="GB3297" s="501"/>
      <c r="GC3297" s="501"/>
      <c r="GD3297" s="501"/>
      <c r="GE3297" s="501"/>
      <c r="GF3297" s="501"/>
      <c r="GG3297" s="501"/>
      <c r="GH3297" s="501"/>
      <c r="GI3297" s="501"/>
      <c r="GJ3297" s="501"/>
      <c r="GK3297" s="501"/>
      <c r="GL3297" s="501"/>
      <c r="GM3297" s="501"/>
      <c r="GN3297" s="501"/>
      <c r="GO3297" s="501"/>
      <c r="GP3297" s="501"/>
      <c r="GQ3297" s="501"/>
      <c r="GR3297" s="501"/>
      <c r="GS3297" s="501"/>
      <c r="GT3297" s="501"/>
      <c r="GU3297" s="501"/>
      <c r="GV3297" s="501"/>
      <c r="GW3297" s="501"/>
      <c r="GX3297" s="501"/>
      <c r="GY3297" s="501"/>
      <c r="GZ3297" s="501"/>
      <c r="HA3297" s="501"/>
      <c r="HB3297" s="501"/>
      <c r="HC3297" s="501"/>
      <c r="HD3297" s="501"/>
      <c r="HE3297" s="501"/>
      <c r="HF3297" s="501"/>
      <c r="HG3297" s="501"/>
      <c r="HH3297" s="501"/>
      <c r="HI3297" s="501"/>
      <c r="HJ3297" s="501"/>
      <c r="HK3297" s="501"/>
      <c r="HL3297" s="501"/>
      <c r="HM3297" s="501"/>
      <c r="HN3297" s="501"/>
      <c r="HO3297" s="501"/>
      <c r="HP3297" s="501"/>
      <c r="HQ3297" s="501"/>
      <c r="HR3297" s="501"/>
      <c r="HS3297" s="501"/>
      <c r="HT3297" s="501"/>
      <c r="HU3297" s="501"/>
      <c r="HV3297" s="501"/>
      <c r="HW3297" s="501"/>
      <c r="HX3297" s="501"/>
      <c r="HY3297" s="501"/>
      <c r="HZ3297" s="501"/>
      <c r="IA3297" s="501"/>
      <c r="IB3297" s="501"/>
      <c r="IC3297" s="501"/>
      <c r="ID3297" s="501"/>
      <c r="IE3297" s="501"/>
      <c r="IF3297" s="501"/>
      <c r="IG3297" s="501"/>
      <c r="IH3297" s="501"/>
      <c r="II3297" s="501"/>
      <c r="IJ3297" s="501"/>
      <c r="IK3297" s="501"/>
      <c r="IL3297" s="501"/>
      <c r="IM3297" s="501"/>
      <c r="IN3297" s="501"/>
      <c r="IO3297" s="501"/>
      <c r="IP3297" s="501"/>
      <c r="IQ3297" s="501"/>
      <c r="IR3297" s="501"/>
      <c r="IS3297" s="501"/>
      <c r="IT3297" s="501"/>
      <c r="IU3297" s="501"/>
    </row>
    <row r="3298" spans="1:255" s="877" customFormat="1" ht="24" customHeight="1">
      <c r="A3298" s="501"/>
      <c r="B3298" s="501"/>
      <c r="C3298" s="501"/>
      <c r="D3298" s="501"/>
      <c r="E3298" s="501"/>
      <c r="F3298" s="545"/>
      <c r="G3298" s="889"/>
      <c r="H3298" s="545"/>
      <c r="I3298" s="876"/>
      <c r="J3298" s="876"/>
      <c r="K3298" s="545"/>
      <c r="L3298" s="876"/>
      <c r="M3298" s="882"/>
      <c r="N3298" s="501"/>
      <c r="O3298" s="1097"/>
      <c r="P3298" s="1151"/>
      <c r="Q3298" s="1097"/>
      <c r="R3298" s="1097"/>
      <c r="S3298" s="1101"/>
      <c r="T3298" s="1106"/>
      <c r="V3298" s="501"/>
      <c r="W3298" s="501"/>
      <c r="X3298" s="501"/>
      <c r="Y3298" s="501"/>
      <c r="Z3298" s="501"/>
      <c r="AA3298" s="501"/>
      <c r="AB3298" s="501"/>
      <c r="AC3298" s="501"/>
      <c r="AD3298" s="501"/>
      <c r="AE3298" s="501"/>
      <c r="AF3298" s="501"/>
      <c r="AG3298" s="501"/>
      <c r="AH3298" s="501"/>
      <c r="AI3298" s="501"/>
      <c r="AJ3298" s="501"/>
      <c r="AK3298" s="501"/>
      <c r="AL3298" s="501"/>
      <c r="AM3298" s="501"/>
      <c r="AN3298" s="501"/>
      <c r="AO3298" s="501"/>
      <c r="AP3298" s="501"/>
      <c r="AQ3298" s="501"/>
      <c r="AR3298" s="501"/>
      <c r="AS3298" s="501"/>
      <c r="AT3298" s="501"/>
      <c r="AU3298" s="501"/>
      <c r="AV3298" s="501"/>
      <c r="AW3298" s="501"/>
      <c r="AX3298" s="501"/>
      <c r="AY3298" s="501"/>
      <c r="AZ3298" s="501"/>
      <c r="BA3298" s="501"/>
      <c r="BB3298" s="501"/>
      <c r="BC3298" s="501"/>
      <c r="BD3298" s="501"/>
      <c r="BE3298" s="501"/>
      <c r="BF3298" s="501"/>
      <c r="BG3298" s="501"/>
      <c r="BH3298" s="501"/>
      <c r="BI3298" s="501"/>
      <c r="BJ3298" s="501"/>
      <c r="BK3298" s="501"/>
      <c r="BL3298" s="501"/>
      <c r="BM3298" s="501"/>
      <c r="BN3298" s="501"/>
      <c r="BO3298" s="501"/>
      <c r="BP3298" s="501"/>
      <c r="BQ3298" s="501"/>
      <c r="BR3298" s="501"/>
      <c r="BS3298" s="501"/>
      <c r="BT3298" s="501"/>
      <c r="BU3298" s="501"/>
      <c r="BV3298" s="501"/>
      <c r="BW3298" s="501"/>
      <c r="BX3298" s="501"/>
      <c r="BY3298" s="501"/>
      <c r="BZ3298" s="501"/>
      <c r="CA3298" s="501"/>
      <c r="CB3298" s="501"/>
      <c r="CC3298" s="501"/>
      <c r="CD3298" s="501"/>
      <c r="CE3298" s="501"/>
      <c r="CF3298" s="501"/>
      <c r="CG3298" s="501"/>
      <c r="CH3298" s="501"/>
      <c r="CI3298" s="501"/>
      <c r="CJ3298" s="501"/>
      <c r="CK3298" s="501"/>
      <c r="CL3298" s="501"/>
      <c r="CM3298" s="501"/>
      <c r="CN3298" s="501"/>
      <c r="CO3298" s="501"/>
      <c r="CP3298" s="501"/>
      <c r="CQ3298" s="501"/>
      <c r="CR3298" s="501"/>
      <c r="CS3298" s="501"/>
      <c r="CT3298" s="501"/>
      <c r="CU3298" s="501"/>
      <c r="CV3298" s="501"/>
      <c r="CW3298" s="501"/>
      <c r="CX3298" s="501"/>
      <c r="CY3298" s="501"/>
      <c r="CZ3298" s="501"/>
      <c r="DA3298" s="501"/>
      <c r="DB3298" s="501"/>
      <c r="DC3298" s="501"/>
      <c r="DD3298" s="501"/>
      <c r="DE3298" s="501"/>
      <c r="DF3298" s="501"/>
      <c r="DG3298" s="501"/>
      <c r="DH3298" s="501"/>
      <c r="DI3298" s="501"/>
      <c r="DJ3298" s="501"/>
      <c r="DK3298" s="501"/>
      <c r="DL3298" s="501"/>
      <c r="DM3298" s="501"/>
      <c r="DN3298" s="501"/>
      <c r="DO3298" s="501"/>
      <c r="DP3298" s="501"/>
      <c r="DQ3298" s="501"/>
      <c r="DR3298" s="501"/>
      <c r="DS3298" s="501"/>
      <c r="DT3298" s="501"/>
      <c r="DU3298" s="501"/>
      <c r="DV3298" s="501"/>
      <c r="DW3298" s="501"/>
      <c r="DX3298" s="501"/>
      <c r="DY3298" s="501"/>
      <c r="DZ3298" s="501"/>
      <c r="EA3298" s="501"/>
      <c r="EB3298" s="501"/>
      <c r="EC3298" s="501"/>
      <c r="ED3298" s="501"/>
      <c r="EE3298" s="501"/>
      <c r="EF3298" s="501"/>
      <c r="EG3298" s="501"/>
      <c r="EH3298" s="501"/>
      <c r="EI3298" s="501"/>
      <c r="EJ3298" s="501"/>
      <c r="EK3298" s="501"/>
      <c r="EL3298" s="501"/>
      <c r="EM3298" s="501"/>
      <c r="EN3298" s="501"/>
      <c r="EO3298" s="501"/>
      <c r="EP3298" s="501"/>
      <c r="EQ3298" s="501"/>
      <c r="ER3298" s="501"/>
      <c r="ES3298" s="501"/>
      <c r="ET3298" s="501"/>
      <c r="EU3298" s="501"/>
      <c r="EV3298" s="501"/>
      <c r="EW3298" s="501"/>
      <c r="EX3298" s="501"/>
      <c r="EY3298" s="501"/>
      <c r="EZ3298" s="501"/>
      <c r="FA3298" s="501"/>
      <c r="FB3298" s="501"/>
      <c r="FC3298" s="501"/>
      <c r="FD3298" s="501"/>
      <c r="FE3298" s="501"/>
      <c r="FF3298" s="501"/>
      <c r="FG3298" s="501"/>
      <c r="FH3298" s="501"/>
      <c r="FI3298" s="501"/>
      <c r="FJ3298" s="501"/>
      <c r="FK3298" s="501"/>
      <c r="FL3298" s="501"/>
      <c r="FM3298" s="501"/>
      <c r="FN3298" s="501"/>
      <c r="FO3298" s="501"/>
      <c r="FP3298" s="501"/>
      <c r="FQ3298" s="501"/>
      <c r="FR3298" s="501"/>
      <c r="FS3298" s="501"/>
      <c r="FT3298" s="501"/>
      <c r="FU3298" s="501"/>
      <c r="FV3298" s="501"/>
      <c r="FW3298" s="501"/>
      <c r="FX3298" s="501"/>
      <c r="FY3298" s="501"/>
      <c r="FZ3298" s="501"/>
      <c r="GA3298" s="501"/>
      <c r="GB3298" s="501"/>
      <c r="GC3298" s="501"/>
      <c r="GD3298" s="501"/>
      <c r="GE3298" s="501"/>
      <c r="GF3298" s="501"/>
      <c r="GG3298" s="501"/>
      <c r="GH3298" s="501"/>
      <c r="GI3298" s="501"/>
      <c r="GJ3298" s="501"/>
      <c r="GK3298" s="501"/>
      <c r="GL3298" s="501"/>
      <c r="GM3298" s="501"/>
      <c r="GN3298" s="501"/>
      <c r="GO3298" s="501"/>
      <c r="GP3298" s="501"/>
      <c r="GQ3298" s="501"/>
      <c r="GR3298" s="501"/>
      <c r="GS3298" s="501"/>
      <c r="GT3298" s="501"/>
      <c r="GU3298" s="501"/>
      <c r="GV3298" s="501"/>
      <c r="GW3298" s="501"/>
      <c r="GX3298" s="501"/>
      <c r="GY3298" s="501"/>
      <c r="GZ3298" s="501"/>
      <c r="HA3298" s="501"/>
      <c r="HB3298" s="501"/>
      <c r="HC3298" s="501"/>
      <c r="HD3298" s="501"/>
      <c r="HE3298" s="501"/>
      <c r="HF3298" s="501"/>
      <c r="HG3298" s="501"/>
      <c r="HH3298" s="501"/>
      <c r="HI3298" s="501"/>
      <c r="HJ3298" s="501"/>
      <c r="HK3298" s="501"/>
      <c r="HL3298" s="501"/>
      <c r="HM3298" s="501"/>
      <c r="HN3298" s="501"/>
      <c r="HO3298" s="501"/>
      <c r="HP3298" s="501"/>
      <c r="HQ3298" s="501"/>
      <c r="HR3298" s="501"/>
      <c r="HS3298" s="501"/>
      <c r="HT3298" s="501"/>
      <c r="HU3298" s="501"/>
      <c r="HV3298" s="501"/>
      <c r="HW3298" s="501"/>
      <c r="HX3298" s="501"/>
      <c r="HY3298" s="501"/>
      <c r="HZ3298" s="501"/>
      <c r="IA3298" s="501"/>
      <c r="IB3298" s="501"/>
      <c r="IC3298" s="501"/>
      <c r="ID3298" s="501"/>
      <c r="IE3298" s="501"/>
      <c r="IF3298" s="501"/>
      <c r="IG3298" s="501"/>
      <c r="IH3298" s="501"/>
      <c r="II3298" s="501"/>
      <c r="IJ3298" s="501"/>
      <c r="IK3298" s="501"/>
      <c r="IL3298" s="501"/>
      <c r="IM3298" s="501"/>
      <c r="IN3298" s="501"/>
      <c r="IO3298" s="501"/>
      <c r="IP3298" s="501"/>
      <c r="IQ3298" s="501"/>
      <c r="IR3298" s="501"/>
      <c r="IS3298" s="501"/>
      <c r="IT3298" s="501"/>
      <c r="IU3298" s="501"/>
    </row>
    <row r="3299" spans="1:255" s="877" customFormat="1" ht="24" customHeight="1">
      <c r="A3299" s="501"/>
      <c r="B3299" s="501"/>
      <c r="C3299" s="501"/>
      <c r="D3299" s="501"/>
      <c r="E3299" s="501"/>
      <c r="F3299" s="545"/>
      <c r="G3299" s="889"/>
      <c r="H3299" s="545"/>
      <c r="I3299" s="876"/>
      <c r="J3299" s="876"/>
      <c r="K3299" s="545"/>
      <c r="L3299" s="876"/>
      <c r="M3299" s="882"/>
      <c r="N3299" s="501"/>
      <c r="O3299" s="1097"/>
      <c r="P3299" s="1151"/>
      <c r="Q3299" s="1112"/>
      <c r="R3299" s="1097"/>
      <c r="S3299" s="1103"/>
      <c r="T3299" s="1193"/>
      <c r="V3299" s="501"/>
      <c r="W3299" s="501"/>
      <c r="X3299" s="501"/>
      <c r="Y3299" s="501"/>
      <c r="Z3299" s="501"/>
      <c r="AA3299" s="501"/>
      <c r="AB3299" s="501"/>
      <c r="AC3299" s="501"/>
      <c r="AD3299" s="501"/>
      <c r="AE3299" s="501"/>
      <c r="AF3299" s="501"/>
      <c r="AG3299" s="501"/>
      <c r="AH3299" s="501"/>
      <c r="AI3299" s="501"/>
      <c r="AJ3299" s="501"/>
      <c r="AK3299" s="501"/>
      <c r="AL3299" s="501"/>
      <c r="AM3299" s="501"/>
      <c r="AN3299" s="501"/>
      <c r="AO3299" s="501"/>
      <c r="AP3299" s="501"/>
      <c r="AQ3299" s="501"/>
      <c r="AR3299" s="501"/>
      <c r="AS3299" s="501"/>
      <c r="AT3299" s="501"/>
      <c r="AU3299" s="501"/>
      <c r="AV3299" s="501"/>
      <c r="AW3299" s="501"/>
      <c r="AX3299" s="501"/>
      <c r="AY3299" s="501"/>
      <c r="AZ3299" s="501"/>
      <c r="BA3299" s="501"/>
      <c r="BB3299" s="501"/>
      <c r="BC3299" s="501"/>
      <c r="BD3299" s="501"/>
      <c r="BE3299" s="501"/>
      <c r="BF3299" s="501"/>
      <c r="BG3299" s="501"/>
      <c r="BH3299" s="501"/>
      <c r="BI3299" s="501"/>
      <c r="BJ3299" s="501"/>
      <c r="BK3299" s="501"/>
      <c r="BL3299" s="501"/>
      <c r="BM3299" s="501"/>
      <c r="BN3299" s="501"/>
      <c r="BO3299" s="501"/>
      <c r="BP3299" s="501"/>
      <c r="BQ3299" s="501"/>
      <c r="BR3299" s="501"/>
      <c r="BS3299" s="501"/>
      <c r="BT3299" s="501"/>
      <c r="BU3299" s="501"/>
      <c r="BV3299" s="501"/>
      <c r="BW3299" s="501"/>
      <c r="BX3299" s="501"/>
      <c r="BY3299" s="501"/>
      <c r="BZ3299" s="501"/>
      <c r="CA3299" s="501"/>
      <c r="CB3299" s="501"/>
      <c r="CC3299" s="501"/>
      <c r="CD3299" s="501"/>
      <c r="CE3299" s="501"/>
      <c r="CF3299" s="501"/>
      <c r="CG3299" s="501"/>
      <c r="CH3299" s="501"/>
      <c r="CI3299" s="501"/>
      <c r="CJ3299" s="501"/>
      <c r="CK3299" s="501"/>
      <c r="CL3299" s="501"/>
      <c r="CM3299" s="501"/>
      <c r="CN3299" s="501"/>
      <c r="CO3299" s="501"/>
      <c r="CP3299" s="501"/>
      <c r="CQ3299" s="501"/>
      <c r="CR3299" s="501"/>
      <c r="CS3299" s="501"/>
      <c r="CT3299" s="501"/>
      <c r="CU3299" s="501"/>
      <c r="CV3299" s="501"/>
      <c r="CW3299" s="501"/>
      <c r="CX3299" s="501"/>
      <c r="CY3299" s="501"/>
      <c r="CZ3299" s="501"/>
      <c r="DA3299" s="501"/>
      <c r="DB3299" s="501"/>
      <c r="DC3299" s="501"/>
      <c r="DD3299" s="501"/>
      <c r="DE3299" s="501"/>
      <c r="DF3299" s="501"/>
      <c r="DG3299" s="501"/>
      <c r="DH3299" s="501"/>
      <c r="DI3299" s="501"/>
      <c r="DJ3299" s="501"/>
      <c r="DK3299" s="501"/>
      <c r="DL3299" s="501"/>
      <c r="DM3299" s="501"/>
      <c r="DN3299" s="501"/>
      <c r="DO3299" s="501"/>
      <c r="DP3299" s="501"/>
      <c r="DQ3299" s="501"/>
      <c r="DR3299" s="501"/>
      <c r="DS3299" s="501"/>
      <c r="DT3299" s="501"/>
      <c r="DU3299" s="501"/>
      <c r="DV3299" s="501"/>
      <c r="DW3299" s="501"/>
      <c r="DX3299" s="501"/>
      <c r="DY3299" s="501"/>
      <c r="DZ3299" s="501"/>
      <c r="EA3299" s="501"/>
      <c r="EB3299" s="501"/>
      <c r="EC3299" s="501"/>
      <c r="ED3299" s="501"/>
      <c r="EE3299" s="501"/>
      <c r="EF3299" s="501"/>
      <c r="EG3299" s="501"/>
      <c r="EH3299" s="501"/>
      <c r="EI3299" s="501"/>
      <c r="EJ3299" s="501"/>
      <c r="EK3299" s="501"/>
      <c r="EL3299" s="501"/>
      <c r="EM3299" s="501"/>
      <c r="EN3299" s="501"/>
      <c r="EO3299" s="501"/>
      <c r="EP3299" s="501"/>
      <c r="EQ3299" s="501"/>
      <c r="ER3299" s="501"/>
      <c r="ES3299" s="501"/>
      <c r="ET3299" s="501"/>
      <c r="EU3299" s="501"/>
      <c r="EV3299" s="501"/>
      <c r="EW3299" s="501"/>
      <c r="EX3299" s="501"/>
      <c r="EY3299" s="501"/>
      <c r="EZ3299" s="501"/>
      <c r="FA3299" s="501"/>
      <c r="FB3299" s="501"/>
      <c r="FC3299" s="501"/>
      <c r="FD3299" s="501"/>
      <c r="FE3299" s="501"/>
      <c r="FF3299" s="501"/>
      <c r="FG3299" s="501"/>
      <c r="FH3299" s="501"/>
      <c r="FI3299" s="501"/>
      <c r="FJ3299" s="501"/>
      <c r="FK3299" s="501"/>
      <c r="FL3299" s="501"/>
      <c r="FM3299" s="501"/>
      <c r="FN3299" s="501"/>
      <c r="FO3299" s="501"/>
      <c r="FP3299" s="501"/>
      <c r="FQ3299" s="501"/>
      <c r="FR3299" s="501"/>
      <c r="FS3299" s="501"/>
      <c r="FT3299" s="501"/>
      <c r="FU3299" s="501"/>
      <c r="FV3299" s="501"/>
      <c r="FW3299" s="501"/>
      <c r="FX3299" s="501"/>
      <c r="FY3299" s="501"/>
      <c r="FZ3299" s="501"/>
      <c r="GA3299" s="501"/>
      <c r="GB3299" s="501"/>
      <c r="GC3299" s="501"/>
      <c r="GD3299" s="501"/>
      <c r="GE3299" s="501"/>
      <c r="GF3299" s="501"/>
      <c r="GG3299" s="501"/>
      <c r="GH3299" s="501"/>
      <c r="GI3299" s="501"/>
      <c r="GJ3299" s="501"/>
      <c r="GK3299" s="501"/>
      <c r="GL3299" s="501"/>
      <c r="GM3299" s="501"/>
      <c r="GN3299" s="501"/>
      <c r="GO3299" s="501"/>
      <c r="GP3299" s="501"/>
      <c r="GQ3299" s="501"/>
      <c r="GR3299" s="501"/>
      <c r="GS3299" s="501"/>
      <c r="GT3299" s="501"/>
      <c r="GU3299" s="501"/>
      <c r="GV3299" s="501"/>
      <c r="GW3299" s="501"/>
      <c r="GX3299" s="501"/>
      <c r="GY3299" s="501"/>
      <c r="GZ3299" s="501"/>
      <c r="HA3299" s="501"/>
      <c r="HB3299" s="501"/>
      <c r="HC3299" s="501"/>
      <c r="HD3299" s="501"/>
      <c r="HE3299" s="501"/>
      <c r="HF3299" s="501"/>
      <c r="HG3299" s="501"/>
      <c r="HH3299" s="501"/>
      <c r="HI3299" s="501"/>
      <c r="HJ3299" s="501"/>
      <c r="HK3299" s="501"/>
      <c r="HL3299" s="501"/>
      <c r="HM3299" s="501"/>
      <c r="HN3299" s="501"/>
      <c r="HO3299" s="501"/>
      <c r="HP3299" s="501"/>
      <c r="HQ3299" s="501"/>
      <c r="HR3299" s="501"/>
      <c r="HS3299" s="501"/>
      <c r="HT3299" s="501"/>
      <c r="HU3299" s="501"/>
      <c r="HV3299" s="501"/>
      <c r="HW3299" s="501"/>
      <c r="HX3299" s="501"/>
      <c r="HY3299" s="501"/>
      <c r="HZ3299" s="501"/>
      <c r="IA3299" s="501"/>
      <c r="IB3299" s="501"/>
      <c r="IC3299" s="501"/>
      <c r="ID3299" s="501"/>
      <c r="IE3299" s="501"/>
      <c r="IF3299" s="501"/>
      <c r="IG3299" s="501"/>
      <c r="IH3299" s="501"/>
      <c r="II3299" s="501"/>
      <c r="IJ3299" s="501"/>
      <c r="IK3299" s="501"/>
      <c r="IL3299" s="501"/>
      <c r="IM3299" s="501"/>
      <c r="IN3299" s="501"/>
      <c r="IO3299" s="501"/>
      <c r="IP3299" s="501"/>
      <c r="IQ3299" s="501"/>
      <c r="IR3299" s="501"/>
      <c r="IS3299" s="501"/>
      <c r="IT3299" s="501"/>
      <c r="IU3299" s="501"/>
    </row>
    <row r="3300" spans="1:255" s="877" customFormat="1" ht="24" customHeight="1">
      <c r="A3300" s="501"/>
      <c r="B3300" s="501"/>
      <c r="C3300" s="501"/>
      <c r="D3300" s="501"/>
      <c r="E3300" s="501"/>
      <c r="F3300" s="545"/>
      <c r="G3300" s="889"/>
      <c r="H3300" s="545"/>
      <c r="I3300" s="876"/>
      <c r="J3300" s="876"/>
      <c r="K3300" s="545"/>
      <c r="L3300" s="876"/>
      <c r="M3300" s="882"/>
      <c r="N3300" s="501"/>
      <c r="O3300" s="974"/>
      <c r="P3300" s="1152"/>
      <c r="Q3300" s="973"/>
      <c r="R3300" s="1097"/>
      <c r="S3300" s="1101"/>
      <c r="T3300" s="1097"/>
      <c r="V3300" s="501"/>
      <c r="W3300" s="501"/>
      <c r="X3300" s="501"/>
      <c r="Y3300" s="501"/>
      <c r="Z3300" s="501"/>
      <c r="AA3300" s="501"/>
      <c r="AB3300" s="501"/>
      <c r="AC3300" s="501"/>
      <c r="AD3300" s="501"/>
      <c r="AE3300" s="501"/>
      <c r="AF3300" s="501"/>
      <c r="AG3300" s="501"/>
      <c r="AH3300" s="501"/>
      <c r="AI3300" s="501"/>
      <c r="AJ3300" s="501"/>
      <c r="AK3300" s="501"/>
      <c r="AL3300" s="501"/>
      <c r="AM3300" s="501"/>
      <c r="AN3300" s="501"/>
      <c r="AO3300" s="501"/>
      <c r="AP3300" s="501"/>
      <c r="AQ3300" s="501"/>
      <c r="AR3300" s="501"/>
      <c r="AS3300" s="501"/>
      <c r="AT3300" s="501"/>
      <c r="AU3300" s="501"/>
      <c r="AV3300" s="501"/>
      <c r="AW3300" s="501"/>
      <c r="AX3300" s="501"/>
      <c r="AY3300" s="501"/>
      <c r="AZ3300" s="501"/>
      <c r="BA3300" s="501"/>
      <c r="BB3300" s="501"/>
      <c r="BC3300" s="501"/>
      <c r="BD3300" s="501"/>
      <c r="BE3300" s="501"/>
      <c r="BF3300" s="501"/>
      <c r="BG3300" s="501"/>
      <c r="BH3300" s="501"/>
      <c r="BI3300" s="501"/>
      <c r="BJ3300" s="501"/>
      <c r="BK3300" s="501"/>
      <c r="BL3300" s="501"/>
      <c r="BM3300" s="501"/>
      <c r="BN3300" s="501"/>
      <c r="BO3300" s="501"/>
      <c r="BP3300" s="501"/>
      <c r="BQ3300" s="501"/>
      <c r="BR3300" s="501"/>
      <c r="BS3300" s="501"/>
      <c r="BT3300" s="501"/>
      <c r="BU3300" s="501"/>
      <c r="BV3300" s="501"/>
      <c r="BW3300" s="501"/>
      <c r="BX3300" s="501"/>
      <c r="BY3300" s="501"/>
      <c r="BZ3300" s="501"/>
      <c r="CA3300" s="501"/>
      <c r="CB3300" s="501"/>
      <c r="CC3300" s="501"/>
      <c r="CD3300" s="501"/>
      <c r="CE3300" s="501"/>
      <c r="CF3300" s="501"/>
      <c r="CG3300" s="501"/>
      <c r="CH3300" s="501"/>
      <c r="CI3300" s="501"/>
      <c r="CJ3300" s="501"/>
      <c r="CK3300" s="501"/>
      <c r="CL3300" s="501"/>
      <c r="CM3300" s="501"/>
      <c r="CN3300" s="501"/>
      <c r="CO3300" s="501"/>
      <c r="CP3300" s="501"/>
      <c r="CQ3300" s="501"/>
      <c r="CR3300" s="501"/>
      <c r="CS3300" s="501"/>
      <c r="CT3300" s="501"/>
      <c r="CU3300" s="501"/>
      <c r="CV3300" s="501"/>
      <c r="CW3300" s="501"/>
      <c r="CX3300" s="501"/>
      <c r="CY3300" s="501"/>
      <c r="CZ3300" s="501"/>
      <c r="DA3300" s="501"/>
      <c r="DB3300" s="501"/>
      <c r="DC3300" s="501"/>
      <c r="DD3300" s="501"/>
      <c r="DE3300" s="501"/>
      <c r="DF3300" s="501"/>
      <c r="DG3300" s="501"/>
      <c r="DH3300" s="501"/>
      <c r="DI3300" s="501"/>
      <c r="DJ3300" s="501"/>
      <c r="DK3300" s="501"/>
      <c r="DL3300" s="501"/>
      <c r="DM3300" s="501"/>
      <c r="DN3300" s="501"/>
      <c r="DO3300" s="501"/>
      <c r="DP3300" s="501"/>
      <c r="DQ3300" s="501"/>
      <c r="DR3300" s="501"/>
      <c r="DS3300" s="501"/>
      <c r="DT3300" s="501"/>
      <c r="DU3300" s="501"/>
      <c r="DV3300" s="501"/>
      <c r="DW3300" s="501"/>
      <c r="DX3300" s="501"/>
      <c r="DY3300" s="501"/>
      <c r="DZ3300" s="501"/>
      <c r="EA3300" s="501"/>
      <c r="EB3300" s="501"/>
      <c r="EC3300" s="501"/>
      <c r="ED3300" s="501"/>
      <c r="EE3300" s="501"/>
      <c r="EF3300" s="501"/>
      <c r="EG3300" s="501"/>
      <c r="EH3300" s="501"/>
      <c r="EI3300" s="501"/>
      <c r="EJ3300" s="501"/>
      <c r="EK3300" s="501"/>
      <c r="EL3300" s="501"/>
      <c r="EM3300" s="501"/>
      <c r="EN3300" s="501"/>
      <c r="EO3300" s="501"/>
      <c r="EP3300" s="501"/>
      <c r="EQ3300" s="501"/>
      <c r="ER3300" s="501"/>
      <c r="ES3300" s="501"/>
      <c r="ET3300" s="501"/>
      <c r="EU3300" s="501"/>
      <c r="EV3300" s="501"/>
      <c r="EW3300" s="501"/>
      <c r="EX3300" s="501"/>
      <c r="EY3300" s="501"/>
      <c r="EZ3300" s="501"/>
      <c r="FA3300" s="501"/>
      <c r="FB3300" s="501"/>
      <c r="FC3300" s="501"/>
      <c r="FD3300" s="501"/>
      <c r="FE3300" s="501"/>
      <c r="FF3300" s="501"/>
      <c r="FG3300" s="501"/>
      <c r="FH3300" s="501"/>
      <c r="FI3300" s="501"/>
      <c r="FJ3300" s="501"/>
      <c r="FK3300" s="501"/>
      <c r="FL3300" s="501"/>
      <c r="FM3300" s="501"/>
      <c r="FN3300" s="501"/>
      <c r="FO3300" s="501"/>
      <c r="FP3300" s="501"/>
      <c r="FQ3300" s="501"/>
      <c r="FR3300" s="501"/>
      <c r="FS3300" s="501"/>
      <c r="FT3300" s="501"/>
      <c r="FU3300" s="501"/>
      <c r="FV3300" s="501"/>
      <c r="FW3300" s="501"/>
      <c r="FX3300" s="501"/>
      <c r="FY3300" s="501"/>
      <c r="FZ3300" s="501"/>
      <c r="GA3300" s="501"/>
      <c r="GB3300" s="501"/>
      <c r="GC3300" s="501"/>
      <c r="GD3300" s="501"/>
      <c r="GE3300" s="501"/>
      <c r="GF3300" s="501"/>
      <c r="GG3300" s="501"/>
      <c r="GH3300" s="501"/>
      <c r="GI3300" s="501"/>
      <c r="GJ3300" s="501"/>
      <c r="GK3300" s="501"/>
      <c r="GL3300" s="501"/>
      <c r="GM3300" s="501"/>
      <c r="GN3300" s="501"/>
      <c r="GO3300" s="501"/>
      <c r="GP3300" s="501"/>
      <c r="GQ3300" s="501"/>
      <c r="GR3300" s="501"/>
      <c r="GS3300" s="501"/>
      <c r="GT3300" s="501"/>
      <c r="GU3300" s="501"/>
      <c r="GV3300" s="501"/>
      <c r="GW3300" s="501"/>
      <c r="GX3300" s="501"/>
      <c r="GY3300" s="501"/>
      <c r="GZ3300" s="501"/>
      <c r="HA3300" s="501"/>
      <c r="HB3300" s="501"/>
      <c r="HC3300" s="501"/>
      <c r="HD3300" s="501"/>
      <c r="HE3300" s="501"/>
      <c r="HF3300" s="501"/>
      <c r="HG3300" s="501"/>
      <c r="HH3300" s="501"/>
      <c r="HI3300" s="501"/>
      <c r="HJ3300" s="501"/>
      <c r="HK3300" s="501"/>
      <c r="HL3300" s="501"/>
      <c r="HM3300" s="501"/>
      <c r="HN3300" s="501"/>
      <c r="HO3300" s="501"/>
      <c r="HP3300" s="501"/>
      <c r="HQ3300" s="501"/>
      <c r="HR3300" s="501"/>
      <c r="HS3300" s="501"/>
      <c r="HT3300" s="501"/>
      <c r="HU3300" s="501"/>
      <c r="HV3300" s="501"/>
      <c r="HW3300" s="501"/>
      <c r="HX3300" s="501"/>
      <c r="HY3300" s="501"/>
      <c r="HZ3300" s="501"/>
      <c r="IA3300" s="501"/>
      <c r="IB3300" s="501"/>
      <c r="IC3300" s="501"/>
      <c r="ID3300" s="501"/>
      <c r="IE3300" s="501"/>
      <c r="IF3300" s="501"/>
      <c r="IG3300" s="501"/>
      <c r="IH3300" s="501"/>
      <c r="II3300" s="501"/>
      <c r="IJ3300" s="501"/>
      <c r="IK3300" s="501"/>
      <c r="IL3300" s="501"/>
      <c r="IM3300" s="501"/>
      <c r="IN3300" s="501"/>
      <c r="IO3300" s="501"/>
      <c r="IP3300" s="501"/>
      <c r="IQ3300" s="501"/>
      <c r="IR3300" s="501"/>
      <c r="IS3300" s="501"/>
      <c r="IT3300" s="501"/>
      <c r="IU3300" s="501"/>
    </row>
    <row r="3301" spans="1:255" s="877" customFormat="1" ht="24" customHeight="1">
      <c r="A3301" s="501"/>
      <c r="B3301" s="501"/>
      <c r="C3301" s="501"/>
      <c r="D3301" s="501"/>
      <c r="E3301" s="501"/>
      <c r="F3301" s="545"/>
      <c r="G3301" s="889"/>
      <c r="H3301" s="545"/>
      <c r="I3301" s="876"/>
      <c r="J3301" s="876"/>
      <c r="K3301" s="545"/>
      <c r="L3301" s="876"/>
      <c r="M3301" s="882"/>
      <c r="N3301" s="501"/>
      <c r="O3301" s="1097"/>
      <c r="P3301" s="1151"/>
      <c r="Q3301" s="973"/>
      <c r="R3301" s="1097"/>
      <c r="S3301" s="1101"/>
      <c r="T3301" s="1097"/>
      <c r="V3301" s="501"/>
      <c r="W3301" s="501"/>
      <c r="X3301" s="501"/>
      <c r="Y3301" s="501"/>
      <c r="Z3301" s="501"/>
      <c r="AA3301" s="501"/>
      <c r="AB3301" s="501"/>
      <c r="AC3301" s="501"/>
      <c r="AD3301" s="501"/>
      <c r="AE3301" s="501"/>
      <c r="AF3301" s="501"/>
      <c r="AG3301" s="501"/>
      <c r="AH3301" s="501"/>
      <c r="AI3301" s="501"/>
      <c r="AJ3301" s="501"/>
      <c r="AK3301" s="501"/>
      <c r="AL3301" s="501"/>
      <c r="AM3301" s="501"/>
      <c r="AN3301" s="501"/>
      <c r="AO3301" s="501"/>
      <c r="AP3301" s="501"/>
      <c r="AQ3301" s="501"/>
      <c r="AR3301" s="501"/>
      <c r="AS3301" s="501"/>
      <c r="AT3301" s="501"/>
      <c r="AU3301" s="501"/>
      <c r="AV3301" s="501"/>
      <c r="AW3301" s="501"/>
      <c r="AX3301" s="501"/>
      <c r="AY3301" s="501"/>
      <c r="AZ3301" s="501"/>
      <c r="BA3301" s="501"/>
      <c r="BB3301" s="501"/>
      <c r="BC3301" s="501"/>
      <c r="BD3301" s="501"/>
      <c r="BE3301" s="501"/>
      <c r="BF3301" s="501"/>
      <c r="BG3301" s="501"/>
      <c r="BH3301" s="501"/>
      <c r="BI3301" s="501"/>
      <c r="BJ3301" s="501"/>
      <c r="BK3301" s="501"/>
      <c r="BL3301" s="501"/>
      <c r="BM3301" s="501"/>
      <c r="BN3301" s="501"/>
      <c r="BO3301" s="501"/>
      <c r="BP3301" s="501"/>
      <c r="BQ3301" s="501"/>
      <c r="BR3301" s="501"/>
      <c r="BS3301" s="501"/>
      <c r="BT3301" s="501"/>
      <c r="BU3301" s="501"/>
      <c r="BV3301" s="501"/>
      <c r="BW3301" s="501"/>
      <c r="BX3301" s="501"/>
      <c r="BY3301" s="501"/>
      <c r="BZ3301" s="501"/>
      <c r="CA3301" s="501"/>
      <c r="CB3301" s="501"/>
      <c r="CC3301" s="501"/>
      <c r="CD3301" s="501"/>
      <c r="CE3301" s="501"/>
      <c r="CF3301" s="501"/>
      <c r="CG3301" s="501"/>
      <c r="CH3301" s="501"/>
      <c r="CI3301" s="501"/>
      <c r="CJ3301" s="501"/>
      <c r="CK3301" s="501"/>
      <c r="CL3301" s="501"/>
      <c r="CM3301" s="501"/>
      <c r="CN3301" s="501"/>
      <c r="CO3301" s="501"/>
      <c r="CP3301" s="501"/>
      <c r="CQ3301" s="501"/>
      <c r="CR3301" s="501"/>
      <c r="CS3301" s="501"/>
      <c r="CT3301" s="501"/>
      <c r="CU3301" s="501"/>
      <c r="CV3301" s="501"/>
      <c r="CW3301" s="501"/>
      <c r="CX3301" s="501"/>
      <c r="CY3301" s="501"/>
      <c r="CZ3301" s="501"/>
      <c r="DA3301" s="501"/>
      <c r="DB3301" s="501"/>
      <c r="DC3301" s="501"/>
      <c r="DD3301" s="501"/>
      <c r="DE3301" s="501"/>
      <c r="DF3301" s="501"/>
      <c r="DG3301" s="501"/>
      <c r="DH3301" s="501"/>
      <c r="DI3301" s="501"/>
      <c r="DJ3301" s="501"/>
      <c r="DK3301" s="501"/>
      <c r="DL3301" s="501"/>
      <c r="DM3301" s="501"/>
      <c r="DN3301" s="501"/>
      <c r="DO3301" s="501"/>
      <c r="DP3301" s="501"/>
      <c r="DQ3301" s="501"/>
      <c r="DR3301" s="501"/>
      <c r="DS3301" s="501"/>
      <c r="DT3301" s="501"/>
      <c r="DU3301" s="501"/>
      <c r="DV3301" s="501"/>
      <c r="DW3301" s="501"/>
      <c r="DX3301" s="501"/>
      <c r="DY3301" s="501"/>
      <c r="DZ3301" s="501"/>
      <c r="EA3301" s="501"/>
      <c r="EB3301" s="501"/>
      <c r="EC3301" s="501"/>
      <c r="ED3301" s="501"/>
      <c r="EE3301" s="501"/>
      <c r="EF3301" s="501"/>
      <c r="EG3301" s="501"/>
      <c r="EH3301" s="501"/>
      <c r="EI3301" s="501"/>
      <c r="EJ3301" s="501"/>
      <c r="EK3301" s="501"/>
      <c r="EL3301" s="501"/>
      <c r="EM3301" s="501"/>
      <c r="EN3301" s="501"/>
      <c r="EO3301" s="501"/>
      <c r="EP3301" s="501"/>
      <c r="EQ3301" s="501"/>
      <c r="ER3301" s="501"/>
      <c r="ES3301" s="501"/>
      <c r="ET3301" s="501"/>
      <c r="EU3301" s="501"/>
      <c r="EV3301" s="501"/>
      <c r="EW3301" s="501"/>
      <c r="EX3301" s="501"/>
      <c r="EY3301" s="501"/>
      <c r="EZ3301" s="501"/>
      <c r="FA3301" s="501"/>
      <c r="FB3301" s="501"/>
      <c r="FC3301" s="501"/>
      <c r="FD3301" s="501"/>
      <c r="FE3301" s="501"/>
      <c r="FF3301" s="501"/>
      <c r="FG3301" s="501"/>
      <c r="FH3301" s="501"/>
      <c r="FI3301" s="501"/>
      <c r="FJ3301" s="501"/>
      <c r="FK3301" s="501"/>
      <c r="FL3301" s="501"/>
      <c r="FM3301" s="501"/>
      <c r="FN3301" s="501"/>
      <c r="FO3301" s="501"/>
      <c r="FP3301" s="501"/>
      <c r="FQ3301" s="501"/>
      <c r="FR3301" s="501"/>
      <c r="FS3301" s="501"/>
      <c r="FT3301" s="501"/>
      <c r="FU3301" s="501"/>
      <c r="FV3301" s="501"/>
      <c r="FW3301" s="501"/>
      <c r="FX3301" s="501"/>
      <c r="FY3301" s="501"/>
      <c r="FZ3301" s="501"/>
      <c r="GA3301" s="501"/>
      <c r="GB3301" s="501"/>
      <c r="GC3301" s="501"/>
      <c r="GD3301" s="501"/>
      <c r="GE3301" s="501"/>
      <c r="GF3301" s="501"/>
      <c r="GG3301" s="501"/>
      <c r="GH3301" s="501"/>
      <c r="GI3301" s="501"/>
      <c r="GJ3301" s="501"/>
      <c r="GK3301" s="501"/>
      <c r="GL3301" s="501"/>
      <c r="GM3301" s="501"/>
      <c r="GN3301" s="501"/>
      <c r="GO3301" s="501"/>
      <c r="GP3301" s="501"/>
      <c r="GQ3301" s="501"/>
      <c r="GR3301" s="501"/>
      <c r="GS3301" s="501"/>
      <c r="GT3301" s="501"/>
      <c r="GU3301" s="501"/>
      <c r="GV3301" s="501"/>
      <c r="GW3301" s="501"/>
      <c r="GX3301" s="501"/>
      <c r="GY3301" s="501"/>
      <c r="GZ3301" s="501"/>
      <c r="HA3301" s="501"/>
      <c r="HB3301" s="501"/>
      <c r="HC3301" s="501"/>
      <c r="HD3301" s="501"/>
      <c r="HE3301" s="501"/>
      <c r="HF3301" s="501"/>
      <c r="HG3301" s="501"/>
      <c r="HH3301" s="501"/>
      <c r="HI3301" s="501"/>
      <c r="HJ3301" s="501"/>
      <c r="HK3301" s="501"/>
      <c r="HL3301" s="501"/>
      <c r="HM3301" s="501"/>
      <c r="HN3301" s="501"/>
      <c r="HO3301" s="501"/>
      <c r="HP3301" s="501"/>
      <c r="HQ3301" s="501"/>
      <c r="HR3301" s="501"/>
      <c r="HS3301" s="501"/>
      <c r="HT3301" s="501"/>
      <c r="HU3301" s="501"/>
      <c r="HV3301" s="501"/>
      <c r="HW3301" s="501"/>
      <c r="HX3301" s="501"/>
      <c r="HY3301" s="501"/>
      <c r="HZ3301" s="501"/>
      <c r="IA3301" s="501"/>
      <c r="IB3301" s="501"/>
      <c r="IC3301" s="501"/>
      <c r="ID3301" s="501"/>
      <c r="IE3301" s="501"/>
      <c r="IF3301" s="501"/>
      <c r="IG3301" s="501"/>
      <c r="IH3301" s="501"/>
      <c r="II3301" s="501"/>
      <c r="IJ3301" s="501"/>
      <c r="IK3301" s="501"/>
      <c r="IL3301" s="501"/>
      <c r="IM3301" s="501"/>
      <c r="IN3301" s="501"/>
      <c r="IO3301" s="501"/>
      <c r="IP3301" s="501"/>
      <c r="IQ3301" s="501"/>
      <c r="IR3301" s="501"/>
      <c r="IS3301" s="501"/>
      <c r="IT3301" s="501"/>
      <c r="IU3301" s="501"/>
    </row>
    <row r="3302" spans="1:255" s="877" customFormat="1" ht="24" customHeight="1">
      <c r="A3302" s="501"/>
      <c r="B3302" s="501"/>
      <c r="C3302" s="501"/>
      <c r="D3302" s="501"/>
      <c r="E3302" s="501"/>
      <c r="F3302" s="545"/>
      <c r="G3302" s="889"/>
      <c r="H3302" s="545"/>
      <c r="I3302" s="876"/>
      <c r="J3302" s="876"/>
      <c r="K3302" s="545"/>
      <c r="L3302" s="876"/>
      <c r="M3302" s="882"/>
      <c r="N3302" s="501"/>
      <c r="O3302" s="1097"/>
      <c r="P3302" s="1151"/>
      <c r="Q3302" s="1184"/>
      <c r="R3302" s="1097"/>
      <c r="S3302" s="1101"/>
      <c r="T3302" s="1097"/>
      <c r="V3302" s="501"/>
      <c r="W3302" s="501"/>
      <c r="X3302" s="501"/>
      <c r="Y3302" s="501"/>
      <c r="Z3302" s="501"/>
      <c r="AA3302" s="501"/>
      <c r="AB3302" s="501"/>
      <c r="AC3302" s="501"/>
      <c r="AD3302" s="501"/>
      <c r="AE3302" s="501"/>
      <c r="AF3302" s="501"/>
      <c r="AG3302" s="501"/>
      <c r="AH3302" s="501"/>
      <c r="AI3302" s="501"/>
      <c r="AJ3302" s="501"/>
      <c r="AK3302" s="501"/>
      <c r="AL3302" s="501"/>
      <c r="AM3302" s="501"/>
      <c r="AN3302" s="501"/>
      <c r="AO3302" s="501"/>
      <c r="AP3302" s="501"/>
      <c r="AQ3302" s="501"/>
      <c r="AR3302" s="501"/>
      <c r="AS3302" s="501"/>
      <c r="AT3302" s="501"/>
      <c r="AU3302" s="501"/>
      <c r="AV3302" s="501"/>
      <c r="AW3302" s="501"/>
      <c r="AX3302" s="501"/>
      <c r="AY3302" s="501"/>
      <c r="AZ3302" s="501"/>
      <c r="BA3302" s="501"/>
      <c r="BB3302" s="501"/>
      <c r="BC3302" s="501"/>
      <c r="BD3302" s="501"/>
      <c r="BE3302" s="501"/>
      <c r="BF3302" s="501"/>
      <c r="BG3302" s="501"/>
      <c r="BH3302" s="501"/>
      <c r="BI3302" s="501"/>
      <c r="BJ3302" s="501"/>
      <c r="BK3302" s="501"/>
      <c r="BL3302" s="501"/>
      <c r="BM3302" s="501"/>
      <c r="BN3302" s="501"/>
      <c r="BO3302" s="501"/>
      <c r="BP3302" s="501"/>
      <c r="BQ3302" s="501"/>
      <c r="BR3302" s="501"/>
      <c r="BS3302" s="501"/>
      <c r="BT3302" s="501"/>
      <c r="BU3302" s="501"/>
      <c r="BV3302" s="501"/>
      <c r="BW3302" s="501"/>
      <c r="BX3302" s="501"/>
      <c r="BY3302" s="501"/>
      <c r="BZ3302" s="501"/>
      <c r="CA3302" s="501"/>
      <c r="CB3302" s="501"/>
      <c r="CC3302" s="501"/>
      <c r="CD3302" s="501"/>
      <c r="CE3302" s="501"/>
      <c r="CF3302" s="501"/>
      <c r="CG3302" s="501"/>
      <c r="CH3302" s="501"/>
      <c r="CI3302" s="501"/>
      <c r="CJ3302" s="501"/>
      <c r="CK3302" s="501"/>
      <c r="CL3302" s="501"/>
      <c r="CM3302" s="501"/>
      <c r="CN3302" s="501"/>
      <c r="CO3302" s="501"/>
      <c r="CP3302" s="501"/>
      <c r="CQ3302" s="501"/>
      <c r="CR3302" s="501"/>
      <c r="CS3302" s="501"/>
      <c r="CT3302" s="501"/>
      <c r="CU3302" s="501"/>
      <c r="CV3302" s="501"/>
      <c r="CW3302" s="501"/>
      <c r="CX3302" s="501"/>
      <c r="CY3302" s="501"/>
      <c r="CZ3302" s="501"/>
      <c r="DA3302" s="501"/>
      <c r="DB3302" s="501"/>
      <c r="DC3302" s="501"/>
      <c r="DD3302" s="501"/>
      <c r="DE3302" s="501"/>
      <c r="DF3302" s="501"/>
      <c r="DG3302" s="501"/>
      <c r="DH3302" s="501"/>
      <c r="DI3302" s="501"/>
      <c r="DJ3302" s="501"/>
      <c r="DK3302" s="501"/>
      <c r="DL3302" s="501"/>
      <c r="DM3302" s="501"/>
      <c r="DN3302" s="501"/>
      <c r="DO3302" s="501"/>
      <c r="DP3302" s="501"/>
      <c r="DQ3302" s="501"/>
      <c r="DR3302" s="501"/>
      <c r="DS3302" s="501"/>
      <c r="DT3302" s="501"/>
      <c r="DU3302" s="501"/>
      <c r="DV3302" s="501"/>
      <c r="DW3302" s="501"/>
      <c r="DX3302" s="501"/>
      <c r="DY3302" s="501"/>
      <c r="DZ3302" s="501"/>
      <c r="EA3302" s="501"/>
      <c r="EB3302" s="501"/>
      <c r="EC3302" s="501"/>
      <c r="ED3302" s="501"/>
      <c r="EE3302" s="501"/>
      <c r="EF3302" s="501"/>
      <c r="EG3302" s="501"/>
      <c r="EH3302" s="501"/>
      <c r="EI3302" s="501"/>
      <c r="EJ3302" s="501"/>
      <c r="EK3302" s="501"/>
      <c r="EL3302" s="501"/>
      <c r="EM3302" s="501"/>
      <c r="EN3302" s="501"/>
      <c r="EO3302" s="501"/>
      <c r="EP3302" s="501"/>
      <c r="EQ3302" s="501"/>
      <c r="ER3302" s="501"/>
      <c r="ES3302" s="501"/>
      <c r="ET3302" s="501"/>
      <c r="EU3302" s="501"/>
      <c r="EV3302" s="501"/>
      <c r="EW3302" s="501"/>
      <c r="EX3302" s="501"/>
      <c r="EY3302" s="501"/>
      <c r="EZ3302" s="501"/>
      <c r="FA3302" s="501"/>
      <c r="FB3302" s="501"/>
      <c r="FC3302" s="501"/>
      <c r="FD3302" s="501"/>
      <c r="FE3302" s="501"/>
      <c r="FF3302" s="501"/>
      <c r="FG3302" s="501"/>
      <c r="FH3302" s="501"/>
      <c r="FI3302" s="501"/>
      <c r="FJ3302" s="501"/>
      <c r="FK3302" s="501"/>
      <c r="FL3302" s="501"/>
      <c r="FM3302" s="501"/>
      <c r="FN3302" s="501"/>
      <c r="FO3302" s="501"/>
      <c r="FP3302" s="501"/>
      <c r="FQ3302" s="501"/>
      <c r="FR3302" s="501"/>
      <c r="FS3302" s="501"/>
      <c r="FT3302" s="501"/>
      <c r="FU3302" s="501"/>
      <c r="FV3302" s="501"/>
      <c r="FW3302" s="501"/>
      <c r="FX3302" s="501"/>
      <c r="FY3302" s="501"/>
      <c r="FZ3302" s="501"/>
      <c r="GA3302" s="501"/>
      <c r="GB3302" s="501"/>
      <c r="GC3302" s="501"/>
      <c r="GD3302" s="501"/>
      <c r="GE3302" s="501"/>
      <c r="GF3302" s="501"/>
      <c r="GG3302" s="501"/>
      <c r="GH3302" s="501"/>
      <c r="GI3302" s="501"/>
      <c r="GJ3302" s="501"/>
      <c r="GK3302" s="501"/>
      <c r="GL3302" s="501"/>
      <c r="GM3302" s="501"/>
      <c r="GN3302" s="501"/>
      <c r="GO3302" s="501"/>
      <c r="GP3302" s="501"/>
      <c r="GQ3302" s="501"/>
      <c r="GR3302" s="501"/>
      <c r="GS3302" s="501"/>
      <c r="GT3302" s="501"/>
      <c r="GU3302" s="501"/>
      <c r="GV3302" s="501"/>
      <c r="GW3302" s="501"/>
      <c r="GX3302" s="501"/>
      <c r="GY3302" s="501"/>
      <c r="GZ3302" s="501"/>
      <c r="HA3302" s="501"/>
      <c r="HB3302" s="501"/>
      <c r="HC3302" s="501"/>
      <c r="HD3302" s="501"/>
      <c r="HE3302" s="501"/>
      <c r="HF3302" s="501"/>
      <c r="HG3302" s="501"/>
      <c r="HH3302" s="501"/>
      <c r="HI3302" s="501"/>
      <c r="HJ3302" s="501"/>
      <c r="HK3302" s="501"/>
      <c r="HL3302" s="501"/>
      <c r="HM3302" s="501"/>
      <c r="HN3302" s="501"/>
      <c r="HO3302" s="501"/>
      <c r="HP3302" s="501"/>
      <c r="HQ3302" s="501"/>
      <c r="HR3302" s="501"/>
      <c r="HS3302" s="501"/>
      <c r="HT3302" s="501"/>
      <c r="HU3302" s="501"/>
      <c r="HV3302" s="501"/>
      <c r="HW3302" s="501"/>
      <c r="HX3302" s="501"/>
      <c r="HY3302" s="501"/>
      <c r="HZ3302" s="501"/>
      <c r="IA3302" s="501"/>
      <c r="IB3302" s="501"/>
      <c r="IC3302" s="501"/>
      <c r="ID3302" s="501"/>
      <c r="IE3302" s="501"/>
      <c r="IF3302" s="501"/>
      <c r="IG3302" s="501"/>
      <c r="IH3302" s="501"/>
      <c r="II3302" s="501"/>
      <c r="IJ3302" s="501"/>
      <c r="IK3302" s="501"/>
      <c r="IL3302" s="501"/>
      <c r="IM3302" s="501"/>
      <c r="IN3302" s="501"/>
      <c r="IO3302" s="501"/>
      <c r="IP3302" s="501"/>
      <c r="IQ3302" s="501"/>
      <c r="IR3302" s="501"/>
      <c r="IS3302" s="501"/>
      <c r="IT3302" s="501"/>
      <c r="IU3302" s="501"/>
    </row>
    <row r="3303" spans="1:255" s="877" customFormat="1" ht="24" customHeight="1">
      <c r="A3303" s="501"/>
      <c r="B3303" s="501"/>
      <c r="C3303" s="501"/>
      <c r="D3303" s="501"/>
      <c r="E3303" s="501"/>
      <c r="F3303" s="501"/>
      <c r="G3303" s="915"/>
      <c r="H3303" s="501"/>
      <c r="I3303" s="876"/>
      <c r="J3303" s="876"/>
      <c r="K3303" s="545"/>
      <c r="L3303" s="876"/>
      <c r="M3303" s="882"/>
      <c r="N3303" s="501"/>
      <c r="O3303" s="1097"/>
      <c r="P3303" s="1151"/>
      <c r="Q3303" s="1106"/>
      <c r="R3303" s="1097"/>
      <c r="S3303" s="1101"/>
      <c r="T3303" s="1097"/>
      <c r="V3303" s="501"/>
      <c r="W3303" s="501"/>
      <c r="X3303" s="501"/>
      <c r="Y3303" s="501"/>
      <c r="Z3303" s="501"/>
      <c r="AA3303" s="501"/>
      <c r="AB3303" s="501"/>
      <c r="AC3303" s="501"/>
      <c r="AD3303" s="501"/>
      <c r="AE3303" s="501"/>
      <c r="AF3303" s="501"/>
      <c r="AG3303" s="501"/>
      <c r="AH3303" s="501"/>
      <c r="AI3303" s="501"/>
      <c r="AJ3303" s="501"/>
      <c r="AK3303" s="501"/>
      <c r="AL3303" s="501"/>
      <c r="AM3303" s="501"/>
      <c r="AN3303" s="501"/>
      <c r="AO3303" s="501"/>
      <c r="AP3303" s="501"/>
      <c r="AQ3303" s="501"/>
      <c r="AR3303" s="501"/>
      <c r="AS3303" s="501"/>
      <c r="AT3303" s="501"/>
      <c r="AU3303" s="501"/>
      <c r="AV3303" s="501"/>
      <c r="AW3303" s="501"/>
      <c r="AX3303" s="501"/>
      <c r="AY3303" s="501"/>
      <c r="AZ3303" s="501"/>
      <c r="BA3303" s="501"/>
      <c r="BB3303" s="501"/>
      <c r="BC3303" s="501"/>
      <c r="BD3303" s="501"/>
      <c r="BE3303" s="501"/>
      <c r="BF3303" s="501"/>
      <c r="BG3303" s="501"/>
      <c r="BH3303" s="501"/>
      <c r="BI3303" s="501"/>
      <c r="BJ3303" s="501"/>
      <c r="BK3303" s="501"/>
      <c r="BL3303" s="501"/>
      <c r="BM3303" s="501"/>
      <c r="BN3303" s="501"/>
      <c r="BO3303" s="501"/>
      <c r="BP3303" s="501"/>
      <c r="BQ3303" s="501"/>
      <c r="BR3303" s="501"/>
      <c r="BS3303" s="501"/>
      <c r="BT3303" s="501"/>
      <c r="BU3303" s="501"/>
      <c r="BV3303" s="501"/>
      <c r="BW3303" s="501"/>
      <c r="BX3303" s="501"/>
      <c r="BY3303" s="501"/>
      <c r="BZ3303" s="501"/>
      <c r="CA3303" s="501"/>
      <c r="CB3303" s="501"/>
      <c r="CC3303" s="501"/>
      <c r="CD3303" s="501"/>
      <c r="CE3303" s="501"/>
      <c r="CF3303" s="501"/>
      <c r="CG3303" s="501"/>
      <c r="CH3303" s="501"/>
      <c r="CI3303" s="501"/>
      <c r="CJ3303" s="501"/>
      <c r="CK3303" s="501"/>
      <c r="CL3303" s="501"/>
      <c r="CM3303" s="501"/>
      <c r="CN3303" s="501"/>
      <c r="CO3303" s="501"/>
      <c r="CP3303" s="501"/>
      <c r="CQ3303" s="501"/>
      <c r="CR3303" s="501"/>
      <c r="CS3303" s="501"/>
      <c r="CT3303" s="501"/>
      <c r="CU3303" s="501"/>
      <c r="CV3303" s="501"/>
      <c r="CW3303" s="501"/>
      <c r="CX3303" s="501"/>
      <c r="CY3303" s="501"/>
      <c r="CZ3303" s="501"/>
      <c r="DA3303" s="501"/>
      <c r="DB3303" s="501"/>
      <c r="DC3303" s="501"/>
      <c r="DD3303" s="501"/>
      <c r="DE3303" s="501"/>
      <c r="DF3303" s="501"/>
      <c r="DG3303" s="501"/>
      <c r="DH3303" s="501"/>
      <c r="DI3303" s="501"/>
      <c r="DJ3303" s="501"/>
      <c r="DK3303" s="501"/>
      <c r="DL3303" s="501"/>
      <c r="DM3303" s="501"/>
      <c r="DN3303" s="501"/>
      <c r="DO3303" s="501"/>
      <c r="DP3303" s="501"/>
      <c r="DQ3303" s="501"/>
      <c r="DR3303" s="501"/>
      <c r="DS3303" s="501"/>
      <c r="DT3303" s="501"/>
      <c r="DU3303" s="501"/>
      <c r="DV3303" s="501"/>
      <c r="DW3303" s="501"/>
      <c r="DX3303" s="501"/>
      <c r="DY3303" s="501"/>
      <c r="DZ3303" s="501"/>
      <c r="EA3303" s="501"/>
      <c r="EB3303" s="501"/>
      <c r="EC3303" s="501"/>
      <c r="ED3303" s="501"/>
      <c r="EE3303" s="501"/>
      <c r="EF3303" s="501"/>
      <c r="EG3303" s="501"/>
      <c r="EH3303" s="501"/>
      <c r="EI3303" s="501"/>
      <c r="EJ3303" s="501"/>
      <c r="EK3303" s="501"/>
      <c r="EL3303" s="501"/>
      <c r="EM3303" s="501"/>
      <c r="EN3303" s="501"/>
      <c r="EO3303" s="501"/>
      <c r="EP3303" s="501"/>
      <c r="EQ3303" s="501"/>
      <c r="ER3303" s="501"/>
      <c r="ES3303" s="501"/>
      <c r="ET3303" s="501"/>
      <c r="EU3303" s="501"/>
      <c r="EV3303" s="501"/>
      <c r="EW3303" s="501"/>
      <c r="EX3303" s="501"/>
      <c r="EY3303" s="501"/>
      <c r="EZ3303" s="501"/>
      <c r="FA3303" s="501"/>
      <c r="FB3303" s="501"/>
      <c r="FC3303" s="501"/>
      <c r="FD3303" s="501"/>
      <c r="FE3303" s="501"/>
      <c r="FF3303" s="501"/>
      <c r="FG3303" s="501"/>
      <c r="FH3303" s="501"/>
      <c r="FI3303" s="501"/>
      <c r="FJ3303" s="501"/>
      <c r="FK3303" s="501"/>
      <c r="FL3303" s="501"/>
      <c r="FM3303" s="501"/>
      <c r="FN3303" s="501"/>
      <c r="FO3303" s="501"/>
      <c r="FP3303" s="501"/>
      <c r="FQ3303" s="501"/>
      <c r="FR3303" s="501"/>
      <c r="FS3303" s="501"/>
      <c r="FT3303" s="501"/>
      <c r="FU3303" s="501"/>
      <c r="FV3303" s="501"/>
      <c r="FW3303" s="501"/>
      <c r="FX3303" s="501"/>
      <c r="FY3303" s="501"/>
      <c r="FZ3303" s="501"/>
      <c r="GA3303" s="501"/>
      <c r="GB3303" s="501"/>
      <c r="GC3303" s="501"/>
      <c r="GD3303" s="501"/>
      <c r="GE3303" s="501"/>
      <c r="GF3303" s="501"/>
      <c r="GG3303" s="501"/>
      <c r="GH3303" s="501"/>
      <c r="GI3303" s="501"/>
      <c r="GJ3303" s="501"/>
      <c r="GK3303" s="501"/>
      <c r="GL3303" s="501"/>
      <c r="GM3303" s="501"/>
      <c r="GN3303" s="501"/>
      <c r="GO3303" s="501"/>
      <c r="GP3303" s="501"/>
      <c r="GQ3303" s="501"/>
      <c r="GR3303" s="501"/>
      <c r="GS3303" s="501"/>
      <c r="GT3303" s="501"/>
      <c r="GU3303" s="501"/>
      <c r="GV3303" s="501"/>
      <c r="GW3303" s="501"/>
      <c r="GX3303" s="501"/>
      <c r="GY3303" s="501"/>
      <c r="GZ3303" s="501"/>
      <c r="HA3303" s="501"/>
      <c r="HB3303" s="501"/>
      <c r="HC3303" s="501"/>
      <c r="HD3303" s="501"/>
      <c r="HE3303" s="501"/>
      <c r="HF3303" s="501"/>
      <c r="HG3303" s="501"/>
      <c r="HH3303" s="501"/>
      <c r="HI3303" s="501"/>
      <c r="HJ3303" s="501"/>
      <c r="HK3303" s="501"/>
      <c r="HL3303" s="501"/>
      <c r="HM3303" s="501"/>
      <c r="HN3303" s="501"/>
      <c r="HO3303" s="501"/>
      <c r="HP3303" s="501"/>
      <c r="HQ3303" s="501"/>
      <c r="HR3303" s="501"/>
      <c r="HS3303" s="501"/>
      <c r="HT3303" s="501"/>
      <c r="HU3303" s="501"/>
      <c r="HV3303" s="501"/>
      <c r="HW3303" s="501"/>
      <c r="HX3303" s="501"/>
      <c r="HY3303" s="501"/>
      <c r="HZ3303" s="501"/>
      <c r="IA3303" s="501"/>
      <c r="IB3303" s="501"/>
      <c r="IC3303" s="501"/>
      <c r="ID3303" s="501"/>
      <c r="IE3303" s="501"/>
      <c r="IF3303" s="501"/>
      <c r="IG3303" s="501"/>
      <c r="IH3303" s="501"/>
      <c r="II3303" s="501"/>
      <c r="IJ3303" s="501"/>
      <c r="IK3303" s="501"/>
      <c r="IL3303" s="501"/>
      <c r="IM3303" s="501"/>
      <c r="IN3303" s="501"/>
      <c r="IO3303" s="501"/>
      <c r="IP3303" s="501"/>
      <c r="IQ3303" s="501"/>
      <c r="IR3303" s="501"/>
      <c r="IS3303" s="501"/>
      <c r="IT3303" s="501"/>
      <c r="IU3303" s="501"/>
    </row>
    <row r="3304" spans="1:255" s="877" customFormat="1" ht="24" customHeight="1">
      <c r="A3304" s="501"/>
      <c r="B3304" s="501"/>
      <c r="C3304" s="501"/>
      <c r="D3304" s="501"/>
      <c r="E3304" s="501"/>
      <c r="F3304" s="501"/>
      <c r="G3304" s="915"/>
      <c r="H3304" s="501"/>
      <c r="I3304" s="874"/>
      <c r="J3304" s="501"/>
      <c r="K3304" s="545"/>
      <c r="L3304" s="874"/>
      <c r="M3304" s="882"/>
      <c r="N3304" s="501"/>
      <c r="O3304" s="1097"/>
      <c r="P3304" s="1151"/>
      <c r="Q3304" s="973"/>
      <c r="R3304" s="1102"/>
      <c r="S3304" s="1185"/>
      <c r="T3304" s="1099"/>
      <c r="V3304" s="501"/>
      <c r="W3304" s="501"/>
      <c r="X3304" s="501"/>
      <c r="Y3304" s="501"/>
      <c r="Z3304" s="501"/>
      <c r="AA3304" s="501"/>
      <c r="AB3304" s="501"/>
      <c r="AC3304" s="501"/>
      <c r="AD3304" s="501"/>
      <c r="AE3304" s="501"/>
      <c r="AF3304" s="501"/>
      <c r="AG3304" s="501"/>
      <c r="AH3304" s="501"/>
      <c r="AI3304" s="501"/>
      <c r="AJ3304" s="501"/>
      <c r="AK3304" s="501"/>
      <c r="AL3304" s="501"/>
      <c r="AM3304" s="501"/>
      <c r="AN3304" s="501"/>
      <c r="AO3304" s="501"/>
      <c r="AP3304" s="501"/>
      <c r="AQ3304" s="501"/>
      <c r="AR3304" s="501"/>
      <c r="AS3304" s="501"/>
      <c r="AT3304" s="501"/>
      <c r="AU3304" s="501"/>
      <c r="AV3304" s="501"/>
      <c r="AW3304" s="501"/>
      <c r="AX3304" s="501"/>
      <c r="AY3304" s="501"/>
      <c r="AZ3304" s="501"/>
      <c r="BA3304" s="501"/>
      <c r="BB3304" s="501"/>
      <c r="BC3304" s="501"/>
      <c r="BD3304" s="501"/>
      <c r="BE3304" s="501"/>
      <c r="BF3304" s="501"/>
      <c r="BG3304" s="501"/>
      <c r="BH3304" s="501"/>
      <c r="BI3304" s="501"/>
      <c r="BJ3304" s="501"/>
      <c r="BK3304" s="501"/>
      <c r="BL3304" s="501"/>
      <c r="BM3304" s="501"/>
      <c r="BN3304" s="501"/>
      <c r="BO3304" s="501"/>
      <c r="BP3304" s="501"/>
      <c r="BQ3304" s="501"/>
      <c r="BR3304" s="501"/>
      <c r="BS3304" s="501"/>
      <c r="BT3304" s="501"/>
      <c r="BU3304" s="501"/>
      <c r="BV3304" s="501"/>
      <c r="BW3304" s="501"/>
      <c r="BX3304" s="501"/>
      <c r="BY3304" s="501"/>
      <c r="BZ3304" s="501"/>
      <c r="CA3304" s="501"/>
      <c r="CB3304" s="501"/>
      <c r="CC3304" s="501"/>
      <c r="CD3304" s="501"/>
      <c r="CE3304" s="501"/>
      <c r="CF3304" s="501"/>
      <c r="CG3304" s="501"/>
      <c r="CH3304" s="501"/>
      <c r="CI3304" s="501"/>
      <c r="CJ3304" s="501"/>
      <c r="CK3304" s="501"/>
      <c r="CL3304" s="501"/>
      <c r="CM3304" s="501"/>
      <c r="CN3304" s="501"/>
      <c r="CO3304" s="501"/>
      <c r="CP3304" s="501"/>
      <c r="CQ3304" s="501"/>
      <c r="CR3304" s="501"/>
      <c r="CS3304" s="501"/>
      <c r="CT3304" s="501"/>
      <c r="CU3304" s="501"/>
      <c r="CV3304" s="501"/>
      <c r="CW3304" s="501"/>
      <c r="CX3304" s="501"/>
      <c r="CY3304" s="501"/>
      <c r="CZ3304" s="501"/>
      <c r="DA3304" s="501"/>
      <c r="DB3304" s="501"/>
      <c r="DC3304" s="501"/>
      <c r="DD3304" s="501"/>
      <c r="DE3304" s="501"/>
      <c r="DF3304" s="501"/>
      <c r="DG3304" s="501"/>
      <c r="DH3304" s="501"/>
      <c r="DI3304" s="501"/>
      <c r="DJ3304" s="501"/>
      <c r="DK3304" s="501"/>
      <c r="DL3304" s="501"/>
      <c r="DM3304" s="501"/>
      <c r="DN3304" s="501"/>
      <c r="DO3304" s="501"/>
      <c r="DP3304" s="501"/>
      <c r="DQ3304" s="501"/>
      <c r="DR3304" s="501"/>
      <c r="DS3304" s="501"/>
      <c r="DT3304" s="501"/>
      <c r="DU3304" s="501"/>
      <c r="DV3304" s="501"/>
      <c r="DW3304" s="501"/>
      <c r="DX3304" s="501"/>
      <c r="DY3304" s="501"/>
      <c r="DZ3304" s="501"/>
      <c r="EA3304" s="501"/>
      <c r="EB3304" s="501"/>
      <c r="EC3304" s="501"/>
      <c r="ED3304" s="501"/>
      <c r="EE3304" s="501"/>
      <c r="EF3304" s="501"/>
      <c r="EG3304" s="501"/>
      <c r="EH3304" s="501"/>
      <c r="EI3304" s="501"/>
      <c r="EJ3304" s="501"/>
      <c r="EK3304" s="501"/>
      <c r="EL3304" s="501"/>
      <c r="EM3304" s="501"/>
      <c r="EN3304" s="501"/>
      <c r="EO3304" s="501"/>
      <c r="EP3304" s="501"/>
      <c r="EQ3304" s="501"/>
      <c r="ER3304" s="501"/>
      <c r="ES3304" s="501"/>
      <c r="ET3304" s="501"/>
      <c r="EU3304" s="501"/>
      <c r="EV3304" s="501"/>
      <c r="EW3304" s="501"/>
      <c r="EX3304" s="501"/>
      <c r="EY3304" s="501"/>
      <c r="EZ3304" s="501"/>
      <c r="FA3304" s="501"/>
      <c r="FB3304" s="501"/>
      <c r="FC3304" s="501"/>
      <c r="FD3304" s="501"/>
      <c r="FE3304" s="501"/>
      <c r="FF3304" s="501"/>
      <c r="FG3304" s="501"/>
      <c r="FH3304" s="501"/>
      <c r="FI3304" s="501"/>
      <c r="FJ3304" s="501"/>
      <c r="FK3304" s="501"/>
      <c r="FL3304" s="501"/>
      <c r="FM3304" s="501"/>
      <c r="FN3304" s="501"/>
      <c r="FO3304" s="501"/>
      <c r="FP3304" s="501"/>
      <c r="FQ3304" s="501"/>
      <c r="FR3304" s="501"/>
      <c r="FS3304" s="501"/>
      <c r="FT3304" s="501"/>
      <c r="FU3304" s="501"/>
      <c r="FV3304" s="501"/>
      <c r="FW3304" s="501"/>
      <c r="FX3304" s="501"/>
      <c r="FY3304" s="501"/>
      <c r="FZ3304" s="501"/>
      <c r="GA3304" s="501"/>
      <c r="GB3304" s="501"/>
      <c r="GC3304" s="501"/>
      <c r="GD3304" s="501"/>
      <c r="GE3304" s="501"/>
      <c r="GF3304" s="501"/>
      <c r="GG3304" s="501"/>
      <c r="GH3304" s="501"/>
      <c r="GI3304" s="501"/>
      <c r="GJ3304" s="501"/>
      <c r="GK3304" s="501"/>
      <c r="GL3304" s="501"/>
      <c r="GM3304" s="501"/>
      <c r="GN3304" s="501"/>
      <c r="GO3304" s="501"/>
      <c r="GP3304" s="501"/>
      <c r="GQ3304" s="501"/>
      <c r="GR3304" s="501"/>
      <c r="GS3304" s="501"/>
      <c r="GT3304" s="501"/>
      <c r="GU3304" s="501"/>
      <c r="GV3304" s="501"/>
      <c r="GW3304" s="501"/>
      <c r="GX3304" s="501"/>
      <c r="GY3304" s="501"/>
      <c r="GZ3304" s="501"/>
      <c r="HA3304" s="501"/>
      <c r="HB3304" s="501"/>
      <c r="HC3304" s="501"/>
      <c r="HD3304" s="501"/>
      <c r="HE3304" s="501"/>
      <c r="HF3304" s="501"/>
      <c r="HG3304" s="501"/>
      <c r="HH3304" s="501"/>
      <c r="HI3304" s="501"/>
      <c r="HJ3304" s="501"/>
      <c r="HK3304" s="501"/>
      <c r="HL3304" s="501"/>
      <c r="HM3304" s="501"/>
      <c r="HN3304" s="501"/>
      <c r="HO3304" s="501"/>
      <c r="HP3304" s="501"/>
      <c r="HQ3304" s="501"/>
      <c r="HR3304" s="501"/>
      <c r="HS3304" s="501"/>
      <c r="HT3304" s="501"/>
      <c r="HU3304" s="501"/>
      <c r="HV3304" s="501"/>
      <c r="HW3304" s="501"/>
      <c r="HX3304" s="501"/>
      <c r="HY3304" s="501"/>
      <c r="HZ3304" s="501"/>
      <c r="IA3304" s="501"/>
      <c r="IB3304" s="501"/>
      <c r="IC3304" s="501"/>
      <c r="ID3304" s="501"/>
      <c r="IE3304" s="501"/>
      <c r="IF3304" s="501"/>
      <c r="IG3304" s="501"/>
      <c r="IH3304" s="501"/>
      <c r="II3304" s="501"/>
      <c r="IJ3304" s="501"/>
      <c r="IK3304" s="501"/>
      <c r="IL3304" s="501"/>
      <c r="IM3304" s="501"/>
      <c r="IN3304" s="501"/>
      <c r="IO3304" s="501"/>
      <c r="IP3304" s="501"/>
      <c r="IQ3304" s="501"/>
      <c r="IR3304" s="501"/>
      <c r="IS3304" s="501"/>
      <c r="IT3304" s="501"/>
      <c r="IU3304" s="501"/>
    </row>
    <row r="3305" spans="1:255" s="877" customFormat="1" ht="24" customHeight="1">
      <c r="A3305" s="501"/>
      <c r="B3305" s="501"/>
      <c r="C3305" s="501"/>
      <c r="D3305" s="501"/>
      <c r="E3305" s="501"/>
      <c r="F3305" s="501"/>
      <c r="G3305" s="915"/>
      <c r="H3305" s="501"/>
      <c r="I3305" s="874"/>
      <c r="J3305" s="872"/>
      <c r="K3305" s="501"/>
      <c r="L3305" s="874"/>
      <c r="M3305" s="883"/>
      <c r="N3305" s="501"/>
      <c r="O3305" s="1097"/>
      <c r="P3305" s="1151"/>
      <c r="Q3305" s="973"/>
      <c r="R3305" s="1102"/>
      <c r="S3305" s="1185"/>
      <c r="T3305" s="1099"/>
      <c r="V3305" s="501"/>
      <c r="W3305" s="501"/>
      <c r="X3305" s="501"/>
      <c r="Y3305" s="501"/>
      <c r="Z3305" s="501"/>
      <c r="AA3305" s="501"/>
      <c r="AB3305" s="501"/>
      <c r="AC3305" s="501"/>
      <c r="AD3305" s="501"/>
      <c r="AE3305" s="501"/>
      <c r="AF3305" s="501"/>
      <c r="AG3305" s="501"/>
      <c r="AH3305" s="501"/>
      <c r="AI3305" s="501"/>
      <c r="AJ3305" s="501"/>
      <c r="AK3305" s="501"/>
      <c r="AL3305" s="501"/>
      <c r="AM3305" s="501"/>
      <c r="AN3305" s="501"/>
      <c r="AO3305" s="501"/>
      <c r="AP3305" s="501"/>
      <c r="AQ3305" s="501"/>
      <c r="AR3305" s="501"/>
      <c r="AS3305" s="501"/>
      <c r="AT3305" s="501"/>
      <c r="AU3305" s="501"/>
      <c r="AV3305" s="501"/>
      <c r="AW3305" s="501"/>
      <c r="AX3305" s="501"/>
      <c r="AY3305" s="501"/>
      <c r="AZ3305" s="501"/>
      <c r="BA3305" s="501"/>
      <c r="BB3305" s="501"/>
      <c r="BC3305" s="501"/>
      <c r="BD3305" s="501"/>
      <c r="BE3305" s="501"/>
      <c r="BF3305" s="501"/>
      <c r="BG3305" s="501"/>
      <c r="BH3305" s="501"/>
      <c r="BI3305" s="501"/>
      <c r="BJ3305" s="501"/>
      <c r="BK3305" s="501"/>
      <c r="BL3305" s="501"/>
      <c r="BM3305" s="501"/>
      <c r="BN3305" s="501"/>
      <c r="BO3305" s="501"/>
      <c r="BP3305" s="501"/>
      <c r="BQ3305" s="501"/>
      <c r="BR3305" s="501"/>
      <c r="BS3305" s="501"/>
      <c r="BT3305" s="501"/>
      <c r="BU3305" s="501"/>
      <c r="BV3305" s="501"/>
      <c r="BW3305" s="501"/>
      <c r="BX3305" s="501"/>
      <c r="BY3305" s="501"/>
      <c r="BZ3305" s="501"/>
      <c r="CA3305" s="501"/>
      <c r="CB3305" s="501"/>
      <c r="CC3305" s="501"/>
      <c r="CD3305" s="501"/>
      <c r="CE3305" s="501"/>
      <c r="CF3305" s="501"/>
      <c r="CG3305" s="501"/>
      <c r="CH3305" s="501"/>
      <c r="CI3305" s="501"/>
      <c r="CJ3305" s="501"/>
      <c r="CK3305" s="501"/>
      <c r="CL3305" s="501"/>
      <c r="CM3305" s="501"/>
      <c r="CN3305" s="501"/>
      <c r="CO3305" s="501"/>
      <c r="CP3305" s="501"/>
      <c r="CQ3305" s="501"/>
      <c r="CR3305" s="501"/>
      <c r="CS3305" s="501"/>
      <c r="CT3305" s="501"/>
      <c r="CU3305" s="501"/>
      <c r="CV3305" s="501"/>
      <c r="CW3305" s="501"/>
      <c r="CX3305" s="501"/>
      <c r="CY3305" s="501"/>
      <c r="CZ3305" s="501"/>
      <c r="DA3305" s="501"/>
      <c r="DB3305" s="501"/>
      <c r="DC3305" s="501"/>
      <c r="DD3305" s="501"/>
      <c r="DE3305" s="501"/>
      <c r="DF3305" s="501"/>
      <c r="DG3305" s="501"/>
      <c r="DH3305" s="501"/>
      <c r="DI3305" s="501"/>
      <c r="DJ3305" s="501"/>
      <c r="DK3305" s="501"/>
      <c r="DL3305" s="501"/>
      <c r="DM3305" s="501"/>
      <c r="DN3305" s="501"/>
      <c r="DO3305" s="501"/>
      <c r="DP3305" s="501"/>
      <c r="DQ3305" s="501"/>
      <c r="DR3305" s="501"/>
      <c r="DS3305" s="501"/>
      <c r="DT3305" s="501"/>
      <c r="DU3305" s="501"/>
      <c r="DV3305" s="501"/>
      <c r="DW3305" s="501"/>
      <c r="DX3305" s="501"/>
      <c r="DY3305" s="501"/>
      <c r="DZ3305" s="501"/>
      <c r="EA3305" s="501"/>
      <c r="EB3305" s="501"/>
      <c r="EC3305" s="501"/>
      <c r="ED3305" s="501"/>
      <c r="EE3305" s="501"/>
      <c r="EF3305" s="501"/>
      <c r="EG3305" s="501"/>
      <c r="EH3305" s="501"/>
      <c r="EI3305" s="501"/>
      <c r="EJ3305" s="501"/>
      <c r="EK3305" s="501"/>
      <c r="EL3305" s="501"/>
      <c r="EM3305" s="501"/>
      <c r="EN3305" s="501"/>
      <c r="EO3305" s="501"/>
      <c r="EP3305" s="501"/>
      <c r="EQ3305" s="501"/>
      <c r="ER3305" s="501"/>
      <c r="ES3305" s="501"/>
      <c r="ET3305" s="501"/>
      <c r="EU3305" s="501"/>
      <c r="EV3305" s="501"/>
      <c r="EW3305" s="501"/>
      <c r="EX3305" s="501"/>
      <c r="EY3305" s="501"/>
      <c r="EZ3305" s="501"/>
      <c r="FA3305" s="501"/>
      <c r="FB3305" s="501"/>
      <c r="FC3305" s="501"/>
      <c r="FD3305" s="501"/>
      <c r="FE3305" s="501"/>
      <c r="FF3305" s="501"/>
      <c r="FG3305" s="501"/>
      <c r="FH3305" s="501"/>
      <c r="FI3305" s="501"/>
      <c r="FJ3305" s="501"/>
      <c r="FK3305" s="501"/>
      <c r="FL3305" s="501"/>
      <c r="FM3305" s="501"/>
      <c r="FN3305" s="501"/>
      <c r="FO3305" s="501"/>
      <c r="FP3305" s="501"/>
      <c r="FQ3305" s="501"/>
      <c r="FR3305" s="501"/>
      <c r="FS3305" s="501"/>
      <c r="FT3305" s="501"/>
      <c r="FU3305" s="501"/>
      <c r="FV3305" s="501"/>
      <c r="FW3305" s="501"/>
      <c r="FX3305" s="501"/>
      <c r="FY3305" s="501"/>
      <c r="FZ3305" s="501"/>
      <c r="GA3305" s="501"/>
      <c r="GB3305" s="501"/>
      <c r="GC3305" s="501"/>
      <c r="GD3305" s="501"/>
      <c r="GE3305" s="501"/>
      <c r="GF3305" s="501"/>
      <c r="GG3305" s="501"/>
      <c r="GH3305" s="501"/>
      <c r="GI3305" s="501"/>
      <c r="GJ3305" s="501"/>
      <c r="GK3305" s="501"/>
      <c r="GL3305" s="501"/>
      <c r="GM3305" s="501"/>
      <c r="GN3305" s="501"/>
      <c r="GO3305" s="501"/>
      <c r="GP3305" s="501"/>
      <c r="GQ3305" s="501"/>
      <c r="GR3305" s="501"/>
      <c r="GS3305" s="501"/>
      <c r="GT3305" s="501"/>
      <c r="GU3305" s="501"/>
      <c r="GV3305" s="501"/>
      <c r="GW3305" s="501"/>
      <c r="GX3305" s="501"/>
      <c r="GY3305" s="501"/>
      <c r="GZ3305" s="501"/>
      <c r="HA3305" s="501"/>
      <c r="HB3305" s="501"/>
      <c r="HC3305" s="501"/>
      <c r="HD3305" s="501"/>
      <c r="HE3305" s="501"/>
      <c r="HF3305" s="501"/>
      <c r="HG3305" s="501"/>
      <c r="HH3305" s="501"/>
      <c r="HI3305" s="501"/>
      <c r="HJ3305" s="501"/>
      <c r="HK3305" s="501"/>
      <c r="HL3305" s="501"/>
      <c r="HM3305" s="501"/>
      <c r="HN3305" s="501"/>
      <c r="HO3305" s="501"/>
      <c r="HP3305" s="501"/>
      <c r="HQ3305" s="501"/>
      <c r="HR3305" s="501"/>
      <c r="HS3305" s="501"/>
      <c r="HT3305" s="501"/>
      <c r="HU3305" s="501"/>
      <c r="HV3305" s="501"/>
      <c r="HW3305" s="501"/>
      <c r="HX3305" s="501"/>
      <c r="HY3305" s="501"/>
      <c r="HZ3305" s="501"/>
      <c r="IA3305" s="501"/>
      <c r="IB3305" s="501"/>
      <c r="IC3305" s="501"/>
      <c r="ID3305" s="501"/>
      <c r="IE3305" s="501"/>
      <c r="IF3305" s="501"/>
      <c r="IG3305" s="501"/>
      <c r="IH3305" s="501"/>
      <c r="II3305" s="501"/>
      <c r="IJ3305" s="501"/>
      <c r="IK3305" s="501"/>
      <c r="IL3305" s="501"/>
      <c r="IM3305" s="501"/>
      <c r="IN3305" s="501"/>
      <c r="IO3305" s="501"/>
      <c r="IP3305" s="501"/>
      <c r="IQ3305" s="501"/>
      <c r="IR3305" s="501"/>
      <c r="IS3305" s="501"/>
      <c r="IT3305" s="501"/>
      <c r="IU3305" s="501"/>
    </row>
    <row r="3306" spans="1:255" s="877" customFormat="1" ht="24" customHeight="1">
      <c r="A3306" s="501"/>
      <c r="B3306" s="501"/>
      <c r="C3306" s="501"/>
      <c r="D3306" s="501"/>
      <c r="E3306" s="501"/>
      <c r="F3306" s="501"/>
      <c r="G3306" s="915"/>
      <c r="H3306" s="501"/>
      <c r="I3306" s="874"/>
      <c r="J3306" s="501"/>
      <c r="K3306" s="501"/>
      <c r="L3306" s="874"/>
      <c r="M3306" s="882"/>
      <c r="N3306" s="501"/>
      <c r="O3306" s="1097"/>
      <c r="P3306" s="1151"/>
      <c r="Q3306" s="973"/>
      <c r="R3306" s="1102"/>
      <c r="S3306" s="1186"/>
      <c r="T3306" s="1099"/>
      <c r="V3306" s="501"/>
      <c r="W3306" s="501"/>
      <c r="X3306" s="501"/>
      <c r="Y3306" s="501"/>
      <c r="Z3306" s="501"/>
      <c r="AA3306" s="501"/>
      <c r="AB3306" s="501"/>
      <c r="AC3306" s="501"/>
      <c r="AD3306" s="501"/>
      <c r="AE3306" s="501"/>
      <c r="AF3306" s="501"/>
      <c r="AG3306" s="501"/>
      <c r="AH3306" s="501"/>
      <c r="AI3306" s="501"/>
      <c r="AJ3306" s="501"/>
      <c r="AK3306" s="501"/>
      <c r="AL3306" s="501"/>
      <c r="AM3306" s="501"/>
      <c r="AN3306" s="501"/>
      <c r="AO3306" s="501"/>
      <c r="AP3306" s="501"/>
      <c r="AQ3306" s="501"/>
      <c r="AR3306" s="501"/>
      <c r="AS3306" s="501"/>
      <c r="AT3306" s="501"/>
      <c r="AU3306" s="501"/>
      <c r="AV3306" s="501"/>
      <c r="AW3306" s="501"/>
      <c r="AX3306" s="501"/>
      <c r="AY3306" s="501"/>
      <c r="AZ3306" s="501"/>
      <c r="BA3306" s="501"/>
      <c r="BB3306" s="501"/>
      <c r="BC3306" s="501"/>
      <c r="BD3306" s="501"/>
      <c r="BE3306" s="501"/>
      <c r="BF3306" s="501"/>
      <c r="BG3306" s="501"/>
      <c r="BH3306" s="501"/>
      <c r="BI3306" s="501"/>
      <c r="BJ3306" s="501"/>
      <c r="BK3306" s="501"/>
      <c r="BL3306" s="501"/>
      <c r="BM3306" s="501"/>
      <c r="BN3306" s="501"/>
      <c r="BO3306" s="501"/>
      <c r="BP3306" s="501"/>
      <c r="BQ3306" s="501"/>
      <c r="BR3306" s="501"/>
      <c r="BS3306" s="501"/>
      <c r="BT3306" s="501"/>
      <c r="BU3306" s="501"/>
      <c r="BV3306" s="501"/>
      <c r="BW3306" s="501"/>
      <c r="BX3306" s="501"/>
      <c r="BY3306" s="501"/>
      <c r="BZ3306" s="501"/>
      <c r="CA3306" s="501"/>
      <c r="CB3306" s="501"/>
      <c r="CC3306" s="501"/>
      <c r="CD3306" s="501"/>
      <c r="CE3306" s="501"/>
      <c r="CF3306" s="501"/>
      <c r="CG3306" s="501"/>
      <c r="CH3306" s="501"/>
      <c r="CI3306" s="501"/>
      <c r="CJ3306" s="501"/>
      <c r="CK3306" s="501"/>
      <c r="CL3306" s="501"/>
      <c r="CM3306" s="501"/>
      <c r="CN3306" s="501"/>
      <c r="CO3306" s="501"/>
      <c r="CP3306" s="501"/>
      <c r="CQ3306" s="501"/>
      <c r="CR3306" s="501"/>
      <c r="CS3306" s="501"/>
      <c r="CT3306" s="501"/>
      <c r="CU3306" s="501"/>
      <c r="CV3306" s="501"/>
      <c r="CW3306" s="501"/>
      <c r="CX3306" s="501"/>
      <c r="CY3306" s="501"/>
      <c r="CZ3306" s="501"/>
      <c r="DA3306" s="501"/>
      <c r="DB3306" s="501"/>
      <c r="DC3306" s="501"/>
      <c r="DD3306" s="501"/>
      <c r="DE3306" s="501"/>
      <c r="DF3306" s="501"/>
      <c r="DG3306" s="501"/>
      <c r="DH3306" s="501"/>
      <c r="DI3306" s="501"/>
      <c r="DJ3306" s="501"/>
      <c r="DK3306" s="501"/>
      <c r="DL3306" s="501"/>
      <c r="DM3306" s="501"/>
      <c r="DN3306" s="501"/>
      <c r="DO3306" s="501"/>
      <c r="DP3306" s="501"/>
      <c r="DQ3306" s="501"/>
      <c r="DR3306" s="501"/>
      <c r="DS3306" s="501"/>
      <c r="DT3306" s="501"/>
      <c r="DU3306" s="501"/>
      <c r="DV3306" s="501"/>
      <c r="DW3306" s="501"/>
      <c r="DX3306" s="501"/>
      <c r="DY3306" s="501"/>
      <c r="DZ3306" s="501"/>
      <c r="EA3306" s="501"/>
      <c r="EB3306" s="501"/>
      <c r="EC3306" s="501"/>
      <c r="ED3306" s="501"/>
      <c r="EE3306" s="501"/>
      <c r="EF3306" s="501"/>
      <c r="EG3306" s="501"/>
      <c r="EH3306" s="501"/>
      <c r="EI3306" s="501"/>
      <c r="EJ3306" s="501"/>
      <c r="EK3306" s="501"/>
      <c r="EL3306" s="501"/>
      <c r="EM3306" s="501"/>
      <c r="EN3306" s="501"/>
      <c r="EO3306" s="501"/>
      <c r="EP3306" s="501"/>
      <c r="EQ3306" s="501"/>
      <c r="ER3306" s="501"/>
      <c r="ES3306" s="501"/>
      <c r="ET3306" s="501"/>
      <c r="EU3306" s="501"/>
      <c r="EV3306" s="501"/>
      <c r="EW3306" s="501"/>
      <c r="EX3306" s="501"/>
      <c r="EY3306" s="501"/>
      <c r="EZ3306" s="501"/>
      <c r="FA3306" s="501"/>
      <c r="FB3306" s="501"/>
      <c r="FC3306" s="501"/>
      <c r="FD3306" s="501"/>
      <c r="FE3306" s="501"/>
      <c r="FF3306" s="501"/>
      <c r="FG3306" s="501"/>
      <c r="FH3306" s="501"/>
      <c r="FI3306" s="501"/>
      <c r="FJ3306" s="501"/>
      <c r="FK3306" s="501"/>
      <c r="FL3306" s="501"/>
      <c r="FM3306" s="501"/>
      <c r="FN3306" s="501"/>
      <c r="FO3306" s="501"/>
      <c r="FP3306" s="501"/>
      <c r="FQ3306" s="501"/>
      <c r="FR3306" s="501"/>
      <c r="FS3306" s="501"/>
      <c r="FT3306" s="501"/>
      <c r="FU3306" s="501"/>
      <c r="FV3306" s="501"/>
      <c r="FW3306" s="501"/>
      <c r="FX3306" s="501"/>
      <c r="FY3306" s="501"/>
      <c r="FZ3306" s="501"/>
      <c r="GA3306" s="501"/>
      <c r="GB3306" s="501"/>
      <c r="GC3306" s="501"/>
      <c r="GD3306" s="501"/>
      <c r="GE3306" s="501"/>
      <c r="GF3306" s="501"/>
      <c r="GG3306" s="501"/>
      <c r="GH3306" s="501"/>
      <c r="GI3306" s="501"/>
      <c r="GJ3306" s="501"/>
      <c r="GK3306" s="501"/>
      <c r="GL3306" s="501"/>
      <c r="GM3306" s="501"/>
      <c r="GN3306" s="501"/>
      <c r="GO3306" s="501"/>
      <c r="GP3306" s="501"/>
      <c r="GQ3306" s="501"/>
      <c r="GR3306" s="501"/>
      <c r="GS3306" s="501"/>
      <c r="GT3306" s="501"/>
      <c r="GU3306" s="501"/>
      <c r="GV3306" s="501"/>
      <c r="GW3306" s="501"/>
      <c r="GX3306" s="501"/>
      <c r="GY3306" s="501"/>
      <c r="GZ3306" s="501"/>
      <c r="HA3306" s="501"/>
      <c r="HB3306" s="501"/>
      <c r="HC3306" s="501"/>
      <c r="HD3306" s="501"/>
      <c r="HE3306" s="501"/>
      <c r="HF3306" s="501"/>
      <c r="HG3306" s="501"/>
      <c r="HH3306" s="501"/>
      <c r="HI3306" s="501"/>
      <c r="HJ3306" s="501"/>
      <c r="HK3306" s="501"/>
      <c r="HL3306" s="501"/>
      <c r="HM3306" s="501"/>
      <c r="HN3306" s="501"/>
      <c r="HO3306" s="501"/>
      <c r="HP3306" s="501"/>
      <c r="HQ3306" s="501"/>
      <c r="HR3306" s="501"/>
      <c r="HS3306" s="501"/>
      <c r="HT3306" s="501"/>
      <c r="HU3306" s="501"/>
      <c r="HV3306" s="501"/>
      <c r="HW3306" s="501"/>
      <c r="HX3306" s="501"/>
      <c r="HY3306" s="501"/>
      <c r="HZ3306" s="501"/>
      <c r="IA3306" s="501"/>
      <c r="IB3306" s="501"/>
      <c r="IC3306" s="501"/>
      <c r="ID3306" s="501"/>
      <c r="IE3306" s="501"/>
      <c r="IF3306" s="501"/>
      <c r="IG3306" s="501"/>
      <c r="IH3306" s="501"/>
      <c r="II3306" s="501"/>
      <c r="IJ3306" s="501"/>
      <c r="IK3306" s="501"/>
      <c r="IL3306" s="501"/>
      <c r="IM3306" s="501"/>
      <c r="IN3306" s="501"/>
      <c r="IO3306" s="501"/>
      <c r="IP3306" s="501"/>
      <c r="IQ3306" s="501"/>
      <c r="IR3306" s="501"/>
      <c r="IS3306" s="501"/>
      <c r="IT3306" s="501"/>
      <c r="IU3306" s="501"/>
    </row>
    <row r="3307" spans="1:255" s="877" customFormat="1" ht="24" customHeight="1">
      <c r="A3307" s="501"/>
      <c r="B3307" s="501"/>
      <c r="C3307" s="501"/>
      <c r="D3307" s="501"/>
      <c r="E3307" s="501"/>
      <c r="F3307" s="501"/>
      <c r="G3307" s="915"/>
      <c r="H3307" s="501"/>
      <c r="I3307" s="874"/>
      <c r="J3307" s="501"/>
      <c r="K3307" s="501"/>
      <c r="L3307" s="501"/>
      <c r="M3307" s="554"/>
      <c r="N3307" s="501"/>
      <c r="O3307" s="1097"/>
      <c r="P3307" s="1151"/>
      <c r="Q3307" s="973"/>
      <c r="R3307" s="501"/>
      <c r="S3307" s="554"/>
      <c r="T3307" s="1099"/>
      <c r="V3307" s="501"/>
      <c r="W3307" s="501"/>
      <c r="X3307" s="501"/>
      <c r="Y3307" s="501"/>
      <c r="Z3307" s="501"/>
      <c r="AA3307" s="501"/>
      <c r="AB3307" s="501"/>
      <c r="AC3307" s="501"/>
      <c r="AD3307" s="501"/>
      <c r="AE3307" s="501"/>
      <c r="AF3307" s="501"/>
      <c r="AG3307" s="501"/>
      <c r="AH3307" s="501"/>
      <c r="AI3307" s="501"/>
      <c r="AJ3307" s="501"/>
      <c r="AK3307" s="501"/>
      <c r="AL3307" s="501"/>
      <c r="AM3307" s="501"/>
      <c r="AN3307" s="501"/>
      <c r="AO3307" s="501"/>
      <c r="AP3307" s="501"/>
      <c r="AQ3307" s="501"/>
      <c r="AR3307" s="501"/>
      <c r="AS3307" s="501"/>
      <c r="AT3307" s="501"/>
      <c r="AU3307" s="501"/>
      <c r="AV3307" s="501"/>
      <c r="AW3307" s="501"/>
      <c r="AX3307" s="501"/>
      <c r="AY3307" s="501"/>
      <c r="AZ3307" s="501"/>
      <c r="BA3307" s="501"/>
      <c r="BB3307" s="501"/>
      <c r="BC3307" s="501"/>
      <c r="BD3307" s="501"/>
      <c r="BE3307" s="501"/>
      <c r="BF3307" s="501"/>
      <c r="BG3307" s="501"/>
      <c r="BH3307" s="501"/>
      <c r="BI3307" s="501"/>
      <c r="BJ3307" s="501"/>
      <c r="BK3307" s="501"/>
      <c r="BL3307" s="501"/>
      <c r="BM3307" s="501"/>
      <c r="BN3307" s="501"/>
      <c r="BO3307" s="501"/>
      <c r="BP3307" s="501"/>
      <c r="BQ3307" s="501"/>
      <c r="BR3307" s="501"/>
      <c r="BS3307" s="501"/>
      <c r="BT3307" s="501"/>
      <c r="BU3307" s="501"/>
      <c r="BV3307" s="501"/>
      <c r="BW3307" s="501"/>
      <c r="BX3307" s="501"/>
      <c r="BY3307" s="501"/>
      <c r="BZ3307" s="501"/>
      <c r="CA3307" s="501"/>
      <c r="CB3307" s="501"/>
      <c r="CC3307" s="501"/>
      <c r="CD3307" s="501"/>
      <c r="CE3307" s="501"/>
      <c r="CF3307" s="501"/>
      <c r="CG3307" s="501"/>
      <c r="CH3307" s="501"/>
      <c r="CI3307" s="501"/>
      <c r="CJ3307" s="501"/>
      <c r="CK3307" s="501"/>
      <c r="CL3307" s="501"/>
      <c r="CM3307" s="501"/>
      <c r="CN3307" s="501"/>
      <c r="CO3307" s="501"/>
      <c r="CP3307" s="501"/>
      <c r="CQ3307" s="501"/>
      <c r="CR3307" s="501"/>
      <c r="CS3307" s="501"/>
      <c r="CT3307" s="501"/>
      <c r="CU3307" s="501"/>
      <c r="CV3307" s="501"/>
      <c r="CW3307" s="501"/>
      <c r="CX3307" s="501"/>
      <c r="CY3307" s="501"/>
      <c r="CZ3307" s="501"/>
      <c r="DA3307" s="501"/>
      <c r="DB3307" s="501"/>
      <c r="DC3307" s="501"/>
      <c r="DD3307" s="501"/>
      <c r="DE3307" s="501"/>
      <c r="DF3307" s="501"/>
      <c r="DG3307" s="501"/>
      <c r="DH3307" s="501"/>
      <c r="DI3307" s="501"/>
      <c r="DJ3307" s="501"/>
      <c r="DK3307" s="501"/>
      <c r="DL3307" s="501"/>
      <c r="DM3307" s="501"/>
      <c r="DN3307" s="501"/>
      <c r="DO3307" s="501"/>
      <c r="DP3307" s="501"/>
      <c r="DQ3307" s="501"/>
      <c r="DR3307" s="501"/>
      <c r="DS3307" s="501"/>
      <c r="DT3307" s="501"/>
      <c r="DU3307" s="501"/>
      <c r="DV3307" s="501"/>
      <c r="DW3307" s="501"/>
      <c r="DX3307" s="501"/>
      <c r="DY3307" s="501"/>
      <c r="DZ3307" s="501"/>
      <c r="EA3307" s="501"/>
      <c r="EB3307" s="501"/>
      <c r="EC3307" s="501"/>
      <c r="ED3307" s="501"/>
      <c r="EE3307" s="501"/>
      <c r="EF3307" s="501"/>
      <c r="EG3307" s="501"/>
      <c r="EH3307" s="501"/>
      <c r="EI3307" s="501"/>
      <c r="EJ3307" s="501"/>
      <c r="EK3307" s="501"/>
      <c r="EL3307" s="501"/>
      <c r="EM3307" s="501"/>
      <c r="EN3307" s="501"/>
      <c r="EO3307" s="501"/>
      <c r="EP3307" s="501"/>
      <c r="EQ3307" s="501"/>
      <c r="ER3307" s="501"/>
      <c r="ES3307" s="501"/>
      <c r="ET3307" s="501"/>
      <c r="EU3307" s="501"/>
      <c r="EV3307" s="501"/>
      <c r="EW3307" s="501"/>
      <c r="EX3307" s="501"/>
      <c r="EY3307" s="501"/>
      <c r="EZ3307" s="501"/>
      <c r="FA3307" s="501"/>
      <c r="FB3307" s="501"/>
      <c r="FC3307" s="501"/>
      <c r="FD3307" s="501"/>
      <c r="FE3307" s="501"/>
      <c r="FF3307" s="501"/>
      <c r="FG3307" s="501"/>
      <c r="FH3307" s="501"/>
      <c r="FI3307" s="501"/>
      <c r="FJ3307" s="501"/>
      <c r="FK3307" s="501"/>
      <c r="FL3307" s="501"/>
      <c r="FM3307" s="501"/>
      <c r="FN3307" s="501"/>
      <c r="FO3307" s="501"/>
      <c r="FP3307" s="501"/>
      <c r="FQ3307" s="501"/>
      <c r="FR3307" s="501"/>
      <c r="FS3307" s="501"/>
      <c r="FT3307" s="501"/>
      <c r="FU3307" s="501"/>
      <c r="FV3307" s="501"/>
      <c r="FW3307" s="501"/>
      <c r="FX3307" s="501"/>
      <c r="FY3307" s="501"/>
      <c r="FZ3307" s="501"/>
      <c r="GA3307" s="501"/>
      <c r="GB3307" s="501"/>
      <c r="GC3307" s="501"/>
      <c r="GD3307" s="501"/>
      <c r="GE3307" s="501"/>
      <c r="GF3307" s="501"/>
      <c r="GG3307" s="501"/>
      <c r="GH3307" s="501"/>
      <c r="GI3307" s="501"/>
      <c r="GJ3307" s="501"/>
      <c r="GK3307" s="501"/>
      <c r="GL3307" s="501"/>
      <c r="GM3307" s="501"/>
      <c r="GN3307" s="501"/>
      <c r="GO3307" s="501"/>
      <c r="GP3307" s="501"/>
      <c r="GQ3307" s="501"/>
      <c r="GR3307" s="501"/>
      <c r="GS3307" s="501"/>
      <c r="GT3307" s="501"/>
      <c r="GU3307" s="501"/>
      <c r="GV3307" s="501"/>
      <c r="GW3307" s="501"/>
      <c r="GX3307" s="501"/>
      <c r="GY3307" s="501"/>
      <c r="GZ3307" s="501"/>
      <c r="HA3307" s="501"/>
      <c r="HB3307" s="501"/>
      <c r="HC3307" s="501"/>
      <c r="HD3307" s="501"/>
      <c r="HE3307" s="501"/>
      <c r="HF3307" s="501"/>
      <c r="HG3307" s="501"/>
      <c r="HH3307" s="501"/>
      <c r="HI3307" s="501"/>
      <c r="HJ3307" s="501"/>
      <c r="HK3307" s="501"/>
      <c r="HL3307" s="501"/>
      <c r="HM3307" s="501"/>
      <c r="HN3307" s="501"/>
      <c r="HO3307" s="501"/>
      <c r="HP3307" s="501"/>
      <c r="HQ3307" s="501"/>
      <c r="HR3307" s="501"/>
      <c r="HS3307" s="501"/>
      <c r="HT3307" s="501"/>
      <c r="HU3307" s="501"/>
      <c r="HV3307" s="501"/>
      <c r="HW3307" s="501"/>
      <c r="HX3307" s="501"/>
      <c r="HY3307" s="501"/>
      <c r="HZ3307" s="501"/>
      <c r="IA3307" s="501"/>
      <c r="IB3307" s="501"/>
      <c r="IC3307" s="501"/>
      <c r="ID3307" s="501"/>
      <c r="IE3307" s="501"/>
      <c r="IF3307" s="501"/>
      <c r="IG3307" s="501"/>
      <c r="IH3307" s="501"/>
      <c r="II3307" s="501"/>
      <c r="IJ3307" s="501"/>
      <c r="IK3307" s="501"/>
      <c r="IL3307" s="501"/>
      <c r="IM3307" s="501"/>
      <c r="IN3307" s="501"/>
      <c r="IO3307" s="501"/>
      <c r="IP3307" s="501"/>
      <c r="IQ3307" s="501"/>
      <c r="IR3307" s="501"/>
      <c r="IS3307" s="501"/>
      <c r="IT3307" s="501"/>
      <c r="IU3307" s="501"/>
    </row>
    <row r="3308" spans="1:255" s="877" customFormat="1" ht="24" customHeight="1">
      <c r="A3308" s="501"/>
      <c r="B3308" s="501"/>
      <c r="C3308" s="501"/>
      <c r="D3308" s="501"/>
      <c r="E3308" s="501"/>
      <c r="F3308" s="501"/>
      <c r="G3308" s="915"/>
      <c r="H3308" s="501"/>
      <c r="I3308" s="874"/>
      <c r="J3308" s="501"/>
      <c r="K3308" s="501"/>
      <c r="L3308" s="501"/>
      <c r="M3308" s="554"/>
      <c r="N3308" s="501"/>
      <c r="O3308" s="1097"/>
      <c r="P3308" s="1151"/>
      <c r="Q3308" s="973"/>
      <c r="R3308" s="1102"/>
      <c r="S3308" s="1187"/>
      <c r="T3308" s="1099"/>
      <c r="V3308" s="501"/>
      <c r="W3308" s="501"/>
      <c r="X3308" s="501"/>
      <c r="Y3308" s="501"/>
      <c r="Z3308" s="501"/>
      <c r="AA3308" s="501"/>
      <c r="AB3308" s="501"/>
      <c r="AC3308" s="501"/>
      <c r="AD3308" s="501"/>
      <c r="AE3308" s="501"/>
      <c r="AF3308" s="501"/>
      <c r="AG3308" s="501"/>
      <c r="AH3308" s="501"/>
      <c r="AI3308" s="501"/>
      <c r="AJ3308" s="501"/>
      <c r="AK3308" s="501"/>
      <c r="AL3308" s="501"/>
      <c r="AM3308" s="501"/>
      <c r="AN3308" s="501"/>
      <c r="AO3308" s="501"/>
      <c r="AP3308" s="501"/>
      <c r="AQ3308" s="501"/>
      <c r="AR3308" s="501"/>
      <c r="AS3308" s="501"/>
      <c r="AT3308" s="501"/>
      <c r="AU3308" s="501"/>
      <c r="AV3308" s="501"/>
      <c r="AW3308" s="501"/>
      <c r="AX3308" s="501"/>
      <c r="AY3308" s="501"/>
      <c r="AZ3308" s="501"/>
      <c r="BA3308" s="501"/>
      <c r="BB3308" s="501"/>
      <c r="BC3308" s="501"/>
      <c r="BD3308" s="501"/>
      <c r="BE3308" s="501"/>
      <c r="BF3308" s="501"/>
      <c r="BG3308" s="501"/>
      <c r="BH3308" s="501"/>
      <c r="BI3308" s="501"/>
      <c r="BJ3308" s="501"/>
      <c r="BK3308" s="501"/>
      <c r="BL3308" s="501"/>
      <c r="BM3308" s="501"/>
      <c r="BN3308" s="501"/>
      <c r="BO3308" s="501"/>
      <c r="BP3308" s="501"/>
      <c r="BQ3308" s="501"/>
      <c r="BR3308" s="501"/>
      <c r="BS3308" s="501"/>
      <c r="BT3308" s="501"/>
      <c r="BU3308" s="501"/>
      <c r="BV3308" s="501"/>
      <c r="BW3308" s="501"/>
      <c r="BX3308" s="501"/>
      <c r="BY3308" s="501"/>
      <c r="BZ3308" s="501"/>
      <c r="CA3308" s="501"/>
      <c r="CB3308" s="501"/>
      <c r="CC3308" s="501"/>
      <c r="CD3308" s="501"/>
      <c r="CE3308" s="501"/>
      <c r="CF3308" s="501"/>
      <c r="CG3308" s="501"/>
      <c r="CH3308" s="501"/>
      <c r="CI3308" s="501"/>
      <c r="CJ3308" s="501"/>
      <c r="CK3308" s="501"/>
      <c r="CL3308" s="501"/>
      <c r="CM3308" s="501"/>
      <c r="CN3308" s="501"/>
      <c r="CO3308" s="501"/>
      <c r="CP3308" s="501"/>
      <c r="CQ3308" s="501"/>
      <c r="CR3308" s="501"/>
      <c r="CS3308" s="501"/>
      <c r="CT3308" s="501"/>
      <c r="CU3308" s="501"/>
      <c r="CV3308" s="501"/>
      <c r="CW3308" s="501"/>
      <c r="CX3308" s="501"/>
      <c r="CY3308" s="501"/>
      <c r="CZ3308" s="501"/>
      <c r="DA3308" s="501"/>
      <c r="DB3308" s="501"/>
      <c r="DC3308" s="501"/>
      <c r="DD3308" s="501"/>
      <c r="DE3308" s="501"/>
      <c r="DF3308" s="501"/>
      <c r="DG3308" s="501"/>
      <c r="DH3308" s="501"/>
      <c r="DI3308" s="501"/>
      <c r="DJ3308" s="501"/>
      <c r="DK3308" s="501"/>
      <c r="DL3308" s="501"/>
      <c r="DM3308" s="501"/>
      <c r="DN3308" s="501"/>
      <c r="DO3308" s="501"/>
      <c r="DP3308" s="501"/>
      <c r="DQ3308" s="501"/>
      <c r="DR3308" s="501"/>
      <c r="DS3308" s="501"/>
      <c r="DT3308" s="501"/>
      <c r="DU3308" s="501"/>
      <c r="DV3308" s="501"/>
      <c r="DW3308" s="501"/>
      <c r="DX3308" s="501"/>
      <c r="DY3308" s="501"/>
      <c r="DZ3308" s="501"/>
      <c r="EA3308" s="501"/>
      <c r="EB3308" s="501"/>
      <c r="EC3308" s="501"/>
      <c r="ED3308" s="501"/>
      <c r="EE3308" s="501"/>
      <c r="EF3308" s="501"/>
      <c r="EG3308" s="501"/>
      <c r="EH3308" s="501"/>
      <c r="EI3308" s="501"/>
      <c r="EJ3308" s="501"/>
      <c r="EK3308" s="501"/>
      <c r="EL3308" s="501"/>
      <c r="EM3308" s="501"/>
      <c r="EN3308" s="501"/>
      <c r="EO3308" s="501"/>
      <c r="EP3308" s="501"/>
      <c r="EQ3308" s="501"/>
      <c r="ER3308" s="501"/>
      <c r="ES3308" s="501"/>
      <c r="ET3308" s="501"/>
      <c r="EU3308" s="501"/>
      <c r="EV3308" s="501"/>
      <c r="EW3308" s="501"/>
      <c r="EX3308" s="501"/>
      <c r="EY3308" s="501"/>
      <c r="EZ3308" s="501"/>
      <c r="FA3308" s="501"/>
      <c r="FB3308" s="501"/>
      <c r="FC3308" s="501"/>
      <c r="FD3308" s="501"/>
      <c r="FE3308" s="501"/>
      <c r="FF3308" s="501"/>
      <c r="FG3308" s="501"/>
      <c r="FH3308" s="501"/>
      <c r="FI3308" s="501"/>
      <c r="FJ3308" s="501"/>
      <c r="FK3308" s="501"/>
      <c r="FL3308" s="501"/>
      <c r="FM3308" s="501"/>
      <c r="FN3308" s="501"/>
      <c r="FO3308" s="501"/>
      <c r="FP3308" s="501"/>
      <c r="FQ3308" s="501"/>
      <c r="FR3308" s="501"/>
      <c r="FS3308" s="501"/>
      <c r="FT3308" s="501"/>
      <c r="FU3308" s="501"/>
      <c r="FV3308" s="501"/>
      <c r="FW3308" s="501"/>
      <c r="FX3308" s="501"/>
      <c r="FY3308" s="501"/>
      <c r="FZ3308" s="501"/>
      <c r="GA3308" s="501"/>
      <c r="GB3308" s="501"/>
      <c r="GC3308" s="501"/>
      <c r="GD3308" s="501"/>
      <c r="GE3308" s="501"/>
      <c r="GF3308" s="501"/>
      <c r="GG3308" s="501"/>
      <c r="GH3308" s="501"/>
      <c r="GI3308" s="501"/>
      <c r="GJ3308" s="501"/>
      <c r="GK3308" s="501"/>
      <c r="GL3308" s="501"/>
      <c r="GM3308" s="501"/>
      <c r="GN3308" s="501"/>
      <c r="GO3308" s="501"/>
      <c r="GP3308" s="501"/>
      <c r="GQ3308" s="501"/>
      <c r="GR3308" s="501"/>
      <c r="GS3308" s="501"/>
      <c r="GT3308" s="501"/>
      <c r="GU3308" s="501"/>
      <c r="GV3308" s="501"/>
      <c r="GW3308" s="501"/>
      <c r="GX3308" s="501"/>
      <c r="GY3308" s="501"/>
      <c r="GZ3308" s="501"/>
      <c r="HA3308" s="501"/>
      <c r="HB3308" s="501"/>
      <c r="HC3308" s="501"/>
      <c r="HD3308" s="501"/>
      <c r="HE3308" s="501"/>
      <c r="HF3308" s="501"/>
      <c r="HG3308" s="501"/>
      <c r="HH3308" s="501"/>
      <c r="HI3308" s="501"/>
      <c r="HJ3308" s="501"/>
      <c r="HK3308" s="501"/>
      <c r="HL3308" s="501"/>
      <c r="HM3308" s="501"/>
      <c r="HN3308" s="501"/>
      <c r="HO3308" s="501"/>
      <c r="HP3308" s="501"/>
      <c r="HQ3308" s="501"/>
      <c r="HR3308" s="501"/>
      <c r="HS3308" s="501"/>
      <c r="HT3308" s="501"/>
      <c r="HU3308" s="501"/>
      <c r="HV3308" s="501"/>
      <c r="HW3308" s="501"/>
      <c r="HX3308" s="501"/>
      <c r="HY3308" s="501"/>
      <c r="HZ3308" s="501"/>
      <c r="IA3308" s="501"/>
      <c r="IB3308" s="501"/>
      <c r="IC3308" s="501"/>
      <c r="ID3308" s="501"/>
      <c r="IE3308" s="501"/>
      <c r="IF3308" s="501"/>
      <c r="IG3308" s="501"/>
      <c r="IH3308" s="501"/>
      <c r="II3308" s="501"/>
      <c r="IJ3308" s="501"/>
      <c r="IK3308" s="501"/>
      <c r="IL3308" s="501"/>
      <c r="IM3308" s="501"/>
      <c r="IN3308" s="501"/>
      <c r="IO3308" s="501"/>
      <c r="IP3308" s="501"/>
      <c r="IQ3308" s="501"/>
      <c r="IR3308" s="501"/>
      <c r="IS3308" s="501"/>
      <c r="IT3308" s="501"/>
      <c r="IU3308" s="501"/>
    </row>
    <row r="3309" spans="1:255" s="877" customFormat="1" ht="24" customHeight="1">
      <c r="A3309" s="501"/>
      <c r="B3309" s="501"/>
      <c r="C3309" s="501"/>
      <c r="D3309" s="501"/>
      <c r="E3309" s="501"/>
      <c r="F3309" s="501"/>
      <c r="G3309" s="915"/>
      <c r="H3309" s="501"/>
      <c r="I3309" s="895"/>
      <c r="J3309" s="501"/>
      <c r="K3309" s="501"/>
      <c r="L3309" s="501"/>
      <c r="M3309" s="554"/>
      <c r="N3309" s="501"/>
      <c r="O3309" s="1097"/>
      <c r="P3309" s="1151"/>
      <c r="Q3309" s="973"/>
      <c r="R3309" s="1102"/>
      <c r="S3309" s="1195"/>
      <c r="T3309" s="1164"/>
      <c r="V3309" s="501"/>
      <c r="W3309" s="501"/>
      <c r="X3309" s="501"/>
      <c r="Y3309" s="501"/>
      <c r="Z3309" s="501"/>
      <c r="AA3309" s="501"/>
      <c r="AB3309" s="501"/>
      <c r="AC3309" s="501"/>
      <c r="AD3309" s="501"/>
      <c r="AE3309" s="501"/>
      <c r="AF3309" s="501"/>
      <c r="AG3309" s="501"/>
      <c r="AH3309" s="501"/>
      <c r="AI3309" s="501"/>
      <c r="AJ3309" s="501"/>
      <c r="AK3309" s="501"/>
      <c r="AL3309" s="501"/>
      <c r="AM3309" s="501"/>
      <c r="AN3309" s="501"/>
      <c r="AO3309" s="501"/>
      <c r="AP3309" s="501"/>
      <c r="AQ3309" s="501"/>
      <c r="AR3309" s="501"/>
      <c r="AS3309" s="501"/>
      <c r="AT3309" s="501"/>
      <c r="AU3309" s="501"/>
      <c r="AV3309" s="501"/>
      <c r="AW3309" s="501"/>
      <c r="AX3309" s="501"/>
      <c r="AY3309" s="501"/>
      <c r="AZ3309" s="501"/>
      <c r="BA3309" s="501"/>
      <c r="BB3309" s="501"/>
      <c r="BC3309" s="501"/>
      <c r="BD3309" s="501"/>
      <c r="BE3309" s="501"/>
      <c r="BF3309" s="501"/>
      <c r="BG3309" s="501"/>
      <c r="BH3309" s="501"/>
      <c r="BI3309" s="501"/>
      <c r="BJ3309" s="501"/>
      <c r="BK3309" s="501"/>
      <c r="BL3309" s="501"/>
      <c r="BM3309" s="501"/>
      <c r="BN3309" s="501"/>
      <c r="BO3309" s="501"/>
      <c r="BP3309" s="501"/>
      <c r="BQ3309" s="501"/>
      <c r="BR3309" s="501"/>
      <c r="BS3309" s="501"/>
      <c r="BT3309" s="501"/>
      <c r="BU3309" s="501"/>
      <c r="BV3309" s="501"/>
      <c r="BW3309" s="501"/>
      <c r="BX3309" s="501"/>
      <c r="BY3309" s="501"/>
      <c r="BZ3309" s="501"/>
      <c r="CA3309" s="501"/>
      <c r="CB3309" s="501"/>
      <c r="CC3309" s="501"/>
      <c r="CD3309" s="501"/>
      <c r="CE3309" s="501"/>
      <c r="CF3309" s="501"/>
      <c r="CG3309" s="501"/>
      <c r="CH3309" s="501"/>
      <c r="CI3309" s="501"/>
      <c r="CJ3309" s="501"/>
      <c r="CK3309" s="501"/>
      <c r="CL3309" s="501"/>
      <c r="CM3309" s="501"/>
      <c r="CN3309" s="501"/>
      <c r="CO3309" s="501"/>
      <c r="CP3309" s="501"/>
      <c r="CQ3309" s="501"/>
      <c r="CR3309" s="501"/>
      <c r="CS3309" s="501"/>
      <c r="CT3309" s="501"/>
      <c r="CU3309" s="501"/>
      <c r="CV3309" s="501"/>
      <c r="CW3309" s="501"/>
      <c r="CX3309" s="501"/>
      <c r="CY3309" s="501"/>
      <c r="CZ3309" s="501"/>
      <c r="DA3309" s="501"/>
      <c r="DB3309" s="501"/>
      <c r="DC3309" s="501"/>
      <c r="DD3309" s="501"/>
      <c r="DE3309" s="501"/>
      <c r="DF3309" s="501"/>
      <c r="DG3309" s="501"/>
      <c r="DH3309" s="501"/>
      <c r="DI3309" s="501"/>
      <c r="DJ3309" s="501"/>
      <c r="DK3309" s="501"/>
      <c r="DL3309" s="501"/>
      <c r="DM3309" s="501"/>
      <c r="DN3309" s="501"/>
      <c r="DO3309" s="501"/>
      <c r="DP3309" s="501"/>
      <c r="DQ3309" s="501"/>
      <c r="DR3309" s="501"/>
      <c r="DS3309" s="501"/>
      <c r="DT3309" s="501"/>
      <c r="DU3309" s="501"/>
      <c r="DV3309" s="501"/>
      <c r="DW3309" s="501"/>
      <c r="DX3309" s="501"/>
      <c r="DY3309" s="501"/>
      <c r="DZ3309" s="501"/>
      <c r="EA3309" s="501"/>
      <c r="EB3309" s="501"/>
      <c r="EC3309" s="501"/>
      <c r="ED3309" s="501"/>
      <c r="EE3309" s="501"/>
      <c r="EF3309" s="501"/>
      <c r="EG3309" s="501"/>
      <c r="EH3309" s="501"/>
      <c r="EI3309" s="501"/>
      <c r="EJ3309" s="501"/>
      <c r="EK3309" s="501"/>
      <c r="EL3309" s="501"/>
      <c r="EM3309" s="501"/>
      <c r="EN3309" s="501"/>
      <c r="EO3309" s="501"/>
      <c r="EP3309" s="501"/>
      <c r="EQ3309" s="501"/>
      <c r="ER3309" s="501"/>
      <c r="ES3309" s="501"/>
      <c r="ET3309" s="501"/>
      <c r="EU3309" s="501"/>
      <c r="EV3309" s="501"/>
      <c r="EW3309" s="501"/>
      <c r="EX3309" s="501"/>
      <c r="EY3309" s="501"/>
      <c r="EZ3309" s="501"/>
      <c r="FA3309" s="501"/>
      <c r="FB3309" s="501"/>
      <c r="FC3309" s="501"/>
      <c r="FD3309" s="501"/>
      <c r="FE3309" s="501"/>
      <c r="FF3309" s="501"/>
      <c r="FG3309" s="501"/>
      <c r="FH3309" s="501"/>
      <c r="FI3309" s="501"/>
      <c r="FJ3309" s="501"/>
      <c r="FK3309" s="501"/>
      <c r="FL3309" s="501"/>
      <c r="FM3309" s="501"/>
      <c r="FN3309" s="501"/>
      <c r="FO3309" s="501"/>
      <c r="FP3309" s="501"/>
      <c r="FQ3309" s="501"/>
      <c r="FR3309" s="501"/>
      <c r="FS3309" s="501"/>
      <c r="FT3309" s="501"/>
      <c r="FU3309" s="501"/>
      <c r="FV3309" s="501"/>
      <c r="FW3309" s="501"/>
      <c r="FX3309" s="501"/>
      <c r="FY3309" s="501"/>
      <c r="FZ3309" s="501"/>
      <c r="GA3309" s="501"/>
      <c r="GB3309" s="501"/>
      <c r="GC3309" s="501"/>
      <c r="GD3309" s="501"/>
      <c r="GE3309" s="501"/>
      <c r="GF3309" s="501"/>
      <c r="GG3309" s="501"/>
      <c r="GH3309" s="501"/>
      <c r="GI3309" s="501"/>
      <c r="GJ3309" s="501"/>
      <c r="GK3309" s="501"/>
      <c r="GL3309" s="501"/>
      <c r="GM3309" s="501"/>
      <c r="GN3309" s="501"/>
      <c r="GO3309" s="501"/>
      <c r="GP3309" s="501"/>
      <c r="GQ3309" s="501"/>
      <c r="GR3309" s="501"/>
      <c r="GS3309" s="501"/>
      <c r="GT3309" s="501"/>
      <c r="GU3309" s="501"/>
      <c r="GV3309" s="501"/>
      <c r="GW3309" s="501"/>
      <c r="GX3309" s="501"/>
      <c r="GY3309" s="501"/>
      <c r="GZ3309" s="501"/>
      <c r="HA3309" s="501"/>
      <c r="HB3309" s="501"/>
      <c r="HC3309" s="501"/>
      <c r="HD3309" s="501"/>
      <c r="HE3309" s="501"/>
      <c r="HF3309" s="501"/>
      <c r="HG3309" s="501"/>
      <c r="HH3309" s="501"/>
      <c r="HI3309" s="501"/>
      <c r="HJ3309" s="501"/>
      <c r="HK3309" s="501"/>
      <c r="HL3309" s="501"/>
      <c r="HM3309" s="501"/>
      <c r="HN3309" s="501"/>
      <c r="HO3309" s="501"/>
      <c r="HP3309" s="501"/>
      <c r="HQ3309" s="501"/>
      <c r="HR3309" s="501"/>
      <c r="HS3309" s="501"/>
      <c r="HT3309" s="501"/>
      <c r="HU3309" s="501"/>
      <c r="HV3309" s="501"/>
      <c r="HW3309" s="501"/>
      <c r="HX3309" s="501"/>
      <c r="HY3309" s="501"/>
      <c r="HZ3309" s="501"/>
      <c r="IA3309" s="501"/>
      <c r="IB3309" s="501"/>
      <c r="IC3309" s="501"/>
      <c r="ID3309" s="501"/>
      <c r="IE3309" s="501"/>
      <c r="IF3309" s="501"/>
      <c r="IG3309" s="501"/>
      <c r="IH3309" s="501"/>
      <c r="II3309" s="501"/>
      <c r="IJ3309" s="501"/>
      <c r="IK3309" s="501"/>
      <c r="IL3309" s="501"/>
      <c r="IM3309" s="501"/>
      <c r="IN3309" s="501"/>
      <c r="IO3309" s="501"/>
      <c r="IP3309" s="501"/>
      <c r="IQ3309" s="501"/>
      <c r="IR3309" s="501"/>
      <c r="IS3309" s="501"/>
      <c r="IT3309" s="501"/>
      <c r="IU3309" s="501"/>
    </row>
    <row r="3310" spans="1:255" s="877" customFormat="1" ht="24" customHeight="1">
      <c r="A3310" s="501"/>
      <c r="B3310" s="501"/>
      <c r="C3310" s="501"/>
      <c r="D3310" s="501"/>
      <c r="E3310" s="501"/>
      <c r="F3310" s="501"/>
      <c r="G3310" s="915"/>
      <c r="H3310" s="501"/>
      <c r="I3310" s="895"/>
      <c r="J3310" s="501"/>
      <c r="K3310" s="501"/>
      <c r="L3310" s="501"/>
      <c r="M3310" s="554"/>
      <c r="N3310" s="501"/>
      <c r="O3310" s="1097"/>
      <c r="P3310" s="1151"/>
      <c r="Q3310" s="1097"/>
      <c r="R3310" s="1097"/>
      <c r="S3310" s="1194"/>
      <c r="T3310" s="874"/>
      <c r="V3310" s="501"/>
      <c r="W3310" s="501"/>
      <c r="X3310" s="501"/>
      <c r="Y3310" s="501"/>
      <c r="Z3310" s="501"/>
      <c r="AA3310" s="501"/>
      <c r="AB3310" s="501"/>
      <c r="AC3310" s="501"/>
      <c r="AD3310" s="501"/>
      <c r="AE3310" s="501"/>
      <c r="AF3310" s="501"/>
      <c r="AG3310" s="501"/>
      <c r="AH3310" s="501"/>
      <c r="AI3310" s="501"/>
      <c r="AJ3310" s="501"/>
      <c r="AK3310" s="501"/>
      <c r="AL3310" s="501"/>
      <c r="AM3310" s="501"/>
      <c r="AN3310" s="501"/>
      <c r="AO3310" s="501"/>
      <c r="AP3310" s="501"/>
      <c r="AQ3310" s="501"/>
      <c r="AR3310" s="501"/>
      <c r="AS3310" s="501"/>
      <c r="AT3310" s="501"/>
      <c r="AU3310" s="501"/>
      <c r="AV3310" s="501"/>
      <c r="AW3310" s="501"/>
      <c r="AX3310" s="501"/>
      <c r="AY3310" s="501"/>
      <c r="AZ3310" s="501"/>
      <c r="BA3310" s="501"/>
      <c r="BB3310" s="501"/>
      <c r="BC3310" s="501"/>
      <c r="BD3310" s="501"/>
      <c r="BE3310" s="501"/>
      <c r="BF3310" s="501"/>
      <c r="BG3310" s="501"/>
      <c r="BH3310" s="501"/>
      <c r="BI3310" s="501"/>
      <c r="BJ3310" s="501"/>
      <c r="BK3310" s="501"/>
      <c r="BL3310" s="501"/>
      <c r="BM3310" s="501"/>
      <c r="BN3310" s="501"/>
      <c r="BO3310" s="501"/>
      <c r="BP3310" s="501"/>
      <c r="BQ3310" s="501"/>
      <c r="BR3310" s="501"/>
      <c r="BS3310" s="501"/>
      <c r="BT3310" s="501"/>
      <c r="BU3310" s="501"/>
      <c r="BV3310" s="501"/>
      <c r="BW3310" s="501"/>
      <c r="BX3310" s="501"/>
      <c r="BY3310" s="501"/>
      <c r="BZ3310" s="501"/>
      <c r="CA3310" s="501"/>
      <c r="CB3310" s="501"/>
      <c r="CC3310" s="501"/>
      <c r="CD3310" s="501"/>
      <c r="CE3310" s="501"/>
      <c r="CF3310" s="501"/>
      <c r="CG3310" s="501"/>
      <c r="CH3310" s="501"/>
      <c r="CI3310" s="501"/>
      <c r="CJ3310" s="501"/>
      <c r="CK3310" s="501"/>
      <c r="CL3310" s="501"/>
      <c r="CM3310" s="501"/>
      <c r="CN3310" s="501"/>
      <c r="CO3310" s="501"/>
      <c r="CP3310" s="501"/>
      <c r="CQ3310" s="501"/>
      <c r="CR3310" s="501"/>
      <c r="CS3310" s="501"/>
      <c r="CT3310" s="501"/>
      <c r="CU3310" s="501"/>
      <c r="CV3310" s="501"/>
      <c r="CW3310" s="501"/>
      <c r="CX3310" s="501"/>
      <c r="CY3310" s="501"/>
      <c r="CZ3310" s="501"/>
      <c r="DA3310" s="501"/>
      <c r="DB3310" s="501"/>
      <c r="DC3310" s="501"/>
      <c r="DD3310" s="501"/>
      <c r="DE3310" s="501"/>
      <c r="DF3310" s="501"/>
      <c r="DG3310" s="501"/>
      <c r="DH3310" s="501"/>
      <c r="DI3310" s="501"/>
      <c r="DJ3310" s="501"/>
      <c r="DK3310" s="501"/>
      <c r="DL3310" s="501"/>
      <c r="DM3310" s="501"/>
      <c r="DN3310" s="501"/>
      <c r="DO3310" s="501"/>
      <c r="DP3310" s="501"/>
      <c r="DQ3310" s="501"/>
      <c r="DR3310" s="501"/>
      <c r="DS3310" s="501"/>
      <c r="DT3310" s="501"/>
      <c r="DU3310" s="501"/>
      <c r="DV3310" s="501"/>
      <c r="DW3310" s="501"/>
      <c r="DX3310" s="501"/>
      <c r="DY3310" s="501"/>
      <c r="DZ3310" s="501"/>
      <c r="EA3310" s="501"/>
      <c r="EB3310" s="501"/>
      <c r="EC3310" s="501"/>
      <c r="ED3310" s="501"/>
      <c r="EE3310" s="501"/>
      <c r="EF3310" s="501"/>
      <c r="EG3310" s="501"/>
      <c r="EH3310" s="501"/>
      <c r="EI3310" s="501"/>
      <c r="EJ3310" s="501"/>
      <c r="EK3310" s="501"/>
      <c r="EL3310" s="501"/>
      <c r="EM3310" s="501"/>
      <c r="EN3310" s="501"/>
      <c r="EO3310" s="501"/>
      <c r="EP3310" s="501"/>
      <c r="EQ3310" s="501"/>
      <c r="ER3310" s="501"/>
      <c r="ES3310" s="501"/>
      <c r="ET3310" s="501"/>
      <c r="EU3310" s="501"/>
      <c r="EV3310" s="501"/>
      <c r="EW3310" s="501"/>
      <c r="EX3310" s="501"/>
      <c r="EY3310" s="501"/>
      <c r="EZ3310" s="501"/>
      <c r="FA3310" s="501"/>
      <c r="FB3310" s="501"/>
      <c r="FC3310" s="501"/>
      <c r="FD3310" s="501"/>
      <c r="FE3310" s="501"/>
      <c r="FF3310" s="501"/>
      <c r="FG3310" s="501"/>
      <c r="FH3310" s="501"/>
      <c r="FI3310" s="501"/>
      <c r="FJ3310" s="501"/>
      <c r="FK3310" s="501"/>
      <c r="FL3310" s="501"/>
      <c r="FM3310" s="501"/>
      <c r="FN3310" s="501"/>
      <c r="FO3310" s="501"/>
      <c r="FP3310" s="501"/>
      <c r="FQ3310" s="501"/>
      <c r="FR3310" s="501"/>
      <c r="FS3310" s="501"/>
      <c r="FT3310" s="501"/>
      <c r="FU3310" s="501"/>
      <c r="FV3310" s="501"/>
      <c r="FW3310" s="501"/>
      <c r="FX3310" s="501"/>
      <c r="FY3310" s="501"/>
      <c r="FZ3310" s="501"/>
      <c r="GA3310" s="501"/>
      <c r="GB3310" s="501"/>
      <c r="GC3310" s="501"/>
      <c r="GD3310" s="501"/>
      <c r="GE3310" s="501"/>
      <c r="GF3310" s="501"/>
      <c r="GG3310" s="501"/>
      <c r="GH3310" s="501"/>
      <c r="GI3310" s="501"/>
      <c r="GJ3310" s="501"/>
      <c r="GK3310" s="501"/>
      <c r="GL3310" s="501"/>
      <c r="GM3310" s="501"/>
      <c r="GN3310" s="501"/>
      <c r="GO3310" s="501"/>
      <c r="GP3310" s="501"/>
      <c r="GQ3310" s="501"/>
      <c r="GR3310" s="501"/>
      <c r="GS3310" s="501"/>
      <c r="GT3310" s="501"/>
      <c r="GU3310" s="501"/>
      <c r="GV3310" s="501"/>
      <c r="GW3310" s="501"/>
      <c r="GX3310" s="501"/>
      <c r="GY3310" s="501"/>
      <c r="GZ3310" s="501"/>
      <c r="HA3310" s="501"/>
      <c r="HB3310" s="501"/>
      <c r="HC3310" s="501"/>
      <c r="HD3310" s="501"/>
      <c r="HE3310" s="501"/>
      <c r="HF3310" s="501"/>
      <c r="HG3310" s="501"/>
      <c r="HH3310" s="501"/>
      <c r="HI3310" s="501"/>
      <c r="HJ3310" s="501"/>
      <c r="HK3310" s="501"/>
      <c r="HL3310" s="501"/>
      <c r="HM3310" s="501"/>
      <c r="HN3310" s="501"/>
      <c r="HO3310" s="501"/>
      <c r="HP3310" s="501"/>
      <c r="HQ3310" s="501"/>
      <c r="HR3310" s="501"/>
      <c r="HS3310" s="501"/>
      <c r="HT3310" s="501"/>
      <c r="HU3310" s="501"/>
      <c r="HV3310" s="501"/>
      <c r="HW3310" s="501"/>
      <c r="HX3310" s="501"/>
      <c r="HY3310" s="501"/>
      <c r="HZ3310" s="501"/>
      <c r="IA3310" s="501"/>
      <c r="IB3310" s="501"/>
      <c r="IC3310" s="501"/>
      <c r="ID3310" s="501"/>
      <c r="IE3310" s="501"/>
      <c r="IF3310" s="501"/>
      <c r="IG3310" s="501"/>
      <c r="IH3310" s="501"/>
      <c r="II3310" s="501"/>
      <c r="IJ3310" s="501"/>
      <c r="IK3310" s="501"/>
      <c r="IL3310" s="501"/>
      <c r="IM3310" s="501"/>
      <c r="IN3310" s="501"/>
      <c r="IO3310" s="501"/>
      <c r="IP3310" s="501"/>
      <c r="IQ3310" s="501"/>
      <c r="IR3310" s="501"/>
      <c r="IS3310" s="501"/>
      <c r="IT3310" s="501"/>
      <c r="IU3310" s="501"/>
    </row>
    <row r="3311" spans="1:255" s="877" customFormat="1" ht="24" customHeight="1">
      <c r="A3311" s="501"/>
      <c r="B3311" s="501"/>
      <c r="C3311" s="501"/>
      <c r="D3311" s="501"/>
      <c r="E3311" s="501"/>
      <c r="F3311" s="501"/>
      <c r="G3311" s="915"/>
      <c r="H3311" s="501"/>
      <c r="I3311" s="874"/>
      <c r="J3311" s="501"/>
      <c r="K3311" s="501"/>
      <c r="L3311" s="501"/>
      <c r="M3311" s="554"/>
      <c r="N3311" s="501"/>
      <c r="O3311" s="1097"/>
      <c r="P3311" s="1151"/>
      <c r="Q3311" s="1097"/>
      <c r="R3311" s="1097"/>
      <c r="S3311" s="1188"/>
      <c r="T3311" s="874"/>
      <c r="V3311" s="501"/>
      <c r="W3311" s="501"/>
      <c r="X3311" s="501"/>
      <c r="Y3311" s="501"/>
      <c r="Z3311" s="501"/>
      <c r="AA3311" s="501"/>
      <c r="AB3311" s="501"/>
      <c r="AC3311" s="501"/>
      <c r="AD3311" s="501"/>
      <c r="AE3311" s="501"/>
      <c r="AF3311" s="501"/>
      <c r="AG3311" s="501"/>
      <c r="AH3311" s="501"/>
      <c r="AI3311" s="501"/>
      <c r="AJ3311" s="501"/>
      <c r="AK3311" s="501"/>
      <c r="AL3311" s="501"/>
      <c r="AM3311" s="501"/>
      <c r="AN3311" s="501"/>
      <c r="AO3311" s="501"/>
      <c r="AP3311" s="501"/>
      <c r="AQ3311" s="501"/>
      <c r="AR3311" s="501"/>
      <c r="AS3311" s="501"/>
      <c r="AT3311" s="501"/>
      <c r="AU3311" s="501"/>
      <c r="AV3311" s="501"/>
      <c r="AW3311" s="501"/>
      <c r="AX3311" s="501"/>
      <c r="AY3311" s="501"/>
      <c r="AZ3311" s="501"/>
      <c r="BA3311" s="501"/>
      <c r="BB3311" s="501"/>
      <c r="BC3311" s="501"/>
      <c r="BD3311" s="501"/>
      <c r="BE3311" s="501"/>
      <c r="BF3311" s="501"/>
      <c r="BG3311" s="501"/>
      <c r="BH3311" s="501"/>
      <c r="BI3311" s="501"/>
      <c r="BJ3311" s="501"/>
      <c r="BK3311" s="501"/>
      <c r="BL3311" s="501"/>
      <c r="BM3311" s="501"/>
      <c r="BN3311" s="501"/>
      <c r="BO3311" s="501"/>
      <c r="BP3311" s="501"/>
      <c r="BQ3311" s="501"/>
      <c r="BR3311" s="501"/>
      <c r="BS3311" s="501"/>
      <c r="BT3311" s="501"/>
      <c r="BU3311" s="501"/>
      <c r="BV3311" s="501"/>
      <c r="BW3311" s="501"/>
      <c r="BX3311" s="501"/>
      <c r="BY3311" s="501"/>
      <c r="BZ3311" s="501"/>
      <c r="CA3311" s="501"/>
      <c r="CB3311" s="501"/>
      <c r="CC3311" s="501"/>
      <c r="CD3311" s="501"/>
      <c r="CE3311" s="501"/>
      <c r="CF3311" s="501"/>
      <c r="CG3311" s="501"/>
      <c r="CH3311" s="501"/>
      <c r="CI3311" s="501"/>
      <c r="CJ3311" s="501"/>
      <c r="CK3311" s="501"/>
      <c r="CL3311" s="501"/>
      <c r="CM3311" s="501"/>
      <c r="CN3311" s="501"/>
      <c r="CO3311" s="501"/>
      <c r="CP3311" s="501"/>
      <c r="CQ3311" s="501"/>
      <c r="CR3311" s="501"/>
      <c r="CS3311" s="501"/>
      <c r="CT3311" s="501"/>
      <c r="CU3311" s="501"/>
      <c r="CV3311" s="501"/>
      <c r="CW3311" s="501"/>
      <c r="CX3311" s="501"/>
      <c r="CY3311" s="501"/>
      <c r="CZ3311" s="501"/>
      <c r="DA3311" s="501"/>
      <c r="DB3311" s="501"/>
      <c r="DC3311" s="501"/>
      <c r="DD3311" s="501"/>
      <c r="DE3311" s="501"/>
      <c r="DF3311" s="501"/>
      <c r="DG3311" s="501"/>
      <c r="DH3311" s="501"/>
      <c r="DI3311" s="501"/>
      <c r="DJ3311" s="501"/>
      <c r="DK3311" s="501"/>
      <c r="DL3311" s="501"/>
      <c r="DM3311" s="501"/>
      <c r="DN3311" s="501"/>
      <c r="DO3311" s="501"/>
      <c r="DP3311" s="501"/>
      <c r="DQ3311" s="501"/>
      <c r="DR3311" s="501"/>
      <c r="DS3311" s="501"/>
      <c r="DT3311" s="501"/>
      <c r="DU3311" s="501"/>
      <c r="DV3311" s="501"/>
      <c r="DW3311" s="501"/>
      <c r="DX3311" s="501"/>
      <c r="DY3311" s="501"/>
      <c r="DZ3311" s="501"/>
      <c r="EA3311" s="501"/>
      <c r="EB3311" s="501"/>
      <c r="EC3311" s="501"/>
      <c r="ED3311" s="501"/>
      <c r="EE3311" s="501"/>
      <c r="EF3311" s="501"/>
      <c r="EG3311" s="501"/>
      <c r="EH3311" s="501"/>
      <c r="EI3311" s="501"/>
      <c r="EJ3311" s="501"/>
      <c r="EK3311" s="501"/>
      <c r="EL3311" s="501"/>
      <c r="EM3311" s="501"/>
      <c r="EN3311" s="501"/>
      <c r="EO3311" s="501"/>
      <c r="EP3311" s="501"/>
      <c r="EQ3311" s="501"/>
      <c r="ER3311" s="501"/>
      <c r="ES3311" s="501"/>
      <c r="ET3311" s="501"/>
      <c r="EU3311" s="501"/>
      <c r="EV3311" s="501"/>
      <c r="EW3311" s="501"/>
      <c r="EX3311" s="501"/>
      <c r="EY3311" s="501"/>
      <c r="EZ3311" s="501"/>
      <c r="FA3311" s="501"/>
      <c r="FB3311" s="501"/>
      <c r="FC3311" s="501"/>
      <c r="FD3311" s="501"/>
      <c r="FE3311" s="501"/>
      <c r="FF3311" s="501"/>
      <c r="FG3311" s="501"/>
      <c r="FH3311" s="501"/>
      <c r="FI3311" s="501"/>
      <c r="FJ3311" s="501"/>
      <c r="FK3311" s="501"/>
      <c r="FL3311" s="501"/>
      <c r="FM3311" s="501"/>
      <c r="FN3311" s="501"/>
      <c r="FO3311" s="501"/>
      <c r="FP3311" s="501"/>
      <c r="FQ3311" s="501"/>
      <c r="FR3311" s="501"/>
      <c r="FS3311" s="501"/>
      <c r="FT3311" s="501"/>
      <c r="FU3311" s="501"/>
      <c r="FV3311" s="501"/>
      <c r="FW3311" s="501"/>
      <c r="FX3311" s="501"/>
      <c r="FY3311" s="501"/>
      <c r="FZ3311" s="501"/>
      <c r="GA3311" s="501"/>
      <c r="GB3311" s="501"/>
      <c r="GC3311" s="501"/>
      <c r="GD3311" s="501"/>
      <c r="GE3311" s="501"/>
      <c r="GF3311" s="501"/>
      <c r="GG3311" s="501"/>
      <c r="GH3311" s="501"/>
      <c r="GI3311" s="501"/>
      <c r="GJ3311" s="501"/>
      <c r="GK3311" s="501"/>
      <c r="GL3311" s="501"/>
      <c r="GM3311" s="501"/>
      <c r="GN3311" s="501"/>
      <c r="GO3311" s="501"/>
      <c r="GP3311" s="501"/>
      <c r="GQ3311" s="501"/>
      <c r="GR3311" s="501"/>
      <c r="GS3311" s="501"/>
      <c r="GT3311" s="501"/>
      <c r="GU3311" s="501"/>
      <c r="GV3311" s="501"/>
      <c r="GW3311" s="501"/>
      <c r="GX3311" s="501"/>
      <c r="GY3311" s="501"/>
      <c r="GZ3311" s="501"/>
      <c r="HA3311" s="501"/>
      <c r="HB3311" s="501"/>
      <c r="HC3311" s="501"/>
      <c r="HD3311" s="501"/>
      <c r="HE3311" s="501"/>
      <c r="HF3311" s="501"/>
      <c r="HG3311" s="501"/>
      <c r="HH3311" s="501"/>
      <c r="HI3311" s="501"/>
      <c r="HJ3311" s="501"/>
      <c r="HK3311" s="501"/>
      <c r="HL3311" s="501"/>
      <c r="HM3311" s="501"/>
      <c r="HN3311" s="501"/>
      <c r="HO3311" s="501"/>
      <c r="HP3311" s="501"/>
      <c r="HQ3311" s="501"/>
      <c r="HR3311" s="501"/>
      <c r="HS3311" s="501"/>
      <c r="HT3311" s="501"/>
      <c r="HU3311" s="501"/>
      <c r="HV3311" s="501"/>
      <c r="HW3311" s="501"/>
      <c r="HX3311" s="501"/>
      <c r="HY3311" s="501"/>
      <c r="HZ3311" s="501"/>
      <c r="IA3311" s="501"/>
      <c r="IB3311" s="501"/>
      <c r="IC3311" s="501"/>
      <c r="ID3311" s="501"/>
      <c r="IE3311" s="501"/>
      <c r="IF3311" s="501"/>
      <c r="IG3311" s="501"/>
      <c r="IH3311" s="501"/>
      <c r="II3311" s="501"/>
      <c r="IJ3311" s="501"/>
      <c r="IK3311" s="501"/>
      <c r="IL3311" s="501"/>
      <c r="IM3311" s="501"/>
      <c r="IN3311" s="501"/>
      <c r="IO3311" s="501"/>
      <c r="IP3311" s="501"/>
      <c r="IQ3311" s="501"/>
      <c r="IR3311" s="501"/>
      <c r="IS3311" s="501"/>
      <c r="IT3311" s="501"/>
      <c r="IU3311" s="501"/>
    </row>
    <row r="3312" spans="1:255" s="877" customFormat="1" ht="24" customHeight="1">
      <c r="A3312" s="501"/>
      <c r="B3312" s="501"/>
      <c r="C3312" s="501"/>
      <c r="D3312" s="501"/>
      <c r="E3312" s="501"/>
      <c r="F3312" s="1148"/>
      <c r="G3312" s="1199"/>
      <c r="H3312" s="1148"/>
      <c r="I3312" s="895"/>
      <c r="J3312" s="885"/>
      <c r="K3312" s="885"/>
      <c r="L3312" s="895"/>
      <c r="M3312" s="899"/>
      <c r="N3312" s="501"/>
      <c r="O3312" s="1097"/>
      <c r="P3312" s="1151"/>
      <c r="Q3312" s="1097"/>
      <c r="R3312" s="1097"/>
      <c r="S3312" s="1194"/>
      <c r="T3312" s="874"/>
      <c r="V3312" s="501"/>
      <c r="W3312" s="501"/>
      <c r="X3312" s="501"/>
      <c r="Y3312" s="501"/>
      <c r="Z3312" s="501"/>
      <c r="AA3312" s="501"/>
      <c r="AB3312" s="501"/>
      <c r="AC3312" s="501"/>
      <c r="AD3312" s="501"/>
      <c r="AE3312" s="501"/>
      <c r="AF3312" s="501"/>
      <c r="AG3312" s="501"/>
      <c r="AH3312" s="501"/>
      <c r="AI3312" s="501"/>
      <c r="AJ3312" s="501"/>
      <c r="AK3312" s="501"/>
      <c r="AL3312" s="501"/>
      <c r="AM3312" s="501"/>
      <c r="AN3312" s="501"/>
      <c r="AO3312" s="501"/>
      <c r="AP3312" s="501"/>
      <c r="AQ3312" s="501"/>
      <c r="AR3312" s="501"/>
      <c r="AS3312" s="501"/>
      <c r="AT3312" s="501"/>
      <c r="AU3312" s="501"/>
      <c r="AV3312" s="501"/>
      <c r="AW3312" s="501"/>
      <c r="AX3312" s="501"/>
      <c r="AY3312" s="501"/>
      <c r="AZ3312" s="501"/>
      <c r="BA3312" s="501"/>
      <c r="BB3312" s="501"/>
      <c r="BC3312" s="501"/>
      <c r="BD3312" s="501"/>
      <c r="BE3312" s="501"/>
      <c r="BF3312" s="501"/>
      <c r="BG3312" s="501"/>
      <c r="BH3312" s="501"/>
      <c r="BI3312" s="501"/>
      <c r="BJ3312" s="501"/>
      <c r="BK3312" s="501"/>
      <c r="BL3312" s="501"/>
      <c r="BM3312" s="501"/>
      <c r="BN3312" s="501"/>
      <c r="BO3312" s="501"/>
      <c r="BP3312" s="501"/>
      <c r="BQ3312" s="501"/>
      <c r="BR3312" s="501"/>
      <c r="BS3312" s="501"/>
      <c r="BT3312" s="501"/>
      <c r="BU3312" s="501"/>
      <c r="BV3312" s="501"/>
      <c r="BW3312" s="501"/>
      <c r="BX3312" s="501"/>
      <c r="BY3312" s="501"/>
      <c r="BZ3312" s="501"/>
      <c r="CA3312" s="501"/>
      <c r="CB3312" s="501"/>
      <c r="CC3312" s="501"/>
      <c r="CD3312" s="501"/>
      <c r="CE3312" s="501"/>
      <c r="CF3312" s="501"/>
      <c r="CG3312" s="501"/>
      <c r="CH3312" s="501"/>
      <c r="CI3312" s="501"/>
      <c r="CJ3312" s="501"/>
      <c r="CK3312" s="501"/>
      <c r="CL3312" s="501"/>
      <c r="CM3312" s="501"/>
      <c r="CN3312" s="501"/>
      <c r="CO3312" s="501"/>
      <c r="CP3312" s="501"/>
      <c r="CQ3312" s="501"/>
      <c r="CR3312" s="501"/>
      <c r="CS3312" s="501"/>
      <c r="CT3312" s="501"/>
      <c r="CU3312" s="501"/>
      <c r="CV3312" s="501"/>
      <c r="CW3312" s="501"/>
      <c r="CX3312" s="501"/>
      <c r="CY3312" s="501"/>
      <c r="CZ3312" s="501"/>
      <c r="DA3312" s="501"/>
      <c r="DB3312" s="501"/>
      <c r="DC3312" s="501"/>
      <c r="DD3312" s="501"/>
      <c r="DE3312" s="501"/>
      <c r="DF3312" s="501"/>
      <c r="DG3312" s="501"/>
      <c r="DH3312" s="501"/>
      <c r="DI3312" s="501"/>
      <c r="DJ3312" s="501"/>
      <c r="DK3312" s="501"/>
      <c r="DL3312" s="501"/>
      <c r="DM3312" s="501"/>
      <c r="DN3312" s="501"/>
      <c r="DO3312" s="501"/>
      <c r="DP3312" s="501"/>
      <c r="DQ3312" s="501"/>
      <c r="DR3312" s="501"/>
      <c r="DS3312" s="501"/>
      <c r="DT3312" s="501"/>
      <c r="DU3312" s="501"/>
      <c r="DV3312" s="501"/>
      <c r="DW3312" s="501"/>
      <c r="DX3312" s="501"/>
      <c r="DY3312" s="501"/>
      <c r="DZ3312" s="501"/>
      <c r="EA3312" s="501"/>
      <c r="EB3312" s="501"/>
      <c r="EC3312" s="501"/>
      <c r="ED3312" s="501"/>
      <c r="EE3312" s="501"/>
      <c r="EF3312" s="501"/>
      <c r="EG3312" s="501"/>
      <c r="EH3312" s="501"/>
      <c r="EI3312" s="501"/>
      <c r="EJ3312" s="501"/>
      <c r="EK3312" s="501"/>
      <c r="EL3312" s="501"/>
      <c r="EM3312" s="501"/>
      <c r="EN3312" s="501"/>
      <c r="EO3312" s="501"/>
      <c r="EP3312" s="501"/>
      <c r="EQ3312" s="501"/>
      <c r="ER3312" s="501"/>
      <c r="ES3312" s="501"/>
      <c r="ET3312" s="501"/>
      <c r="EU3312" s="501"/>
      <c r="EV3312" s="501"/>
      <c r="EW3312" s="501"/>
      <c r="EX3312" s="501"/>
      <c r="EY3312" s="501"/>
      <c r="EZ3312" s="501"/>
      <c r="FA3312" s="501"/>
      <c r="FB3312" s="501"/>
      <c r="FC3312" s="501"/>
      <c r="FD3312" s="501"/>
      <c r="FE3312" s="501"/>
      <c r="FF3312" s="501"/>
      <c r="FG3312" s="501"/>
      <c r="FH3312" s="501"/>
      <c r="FI3312" s="501"/>
      <c r="FJ3312" s="501"/>
      <c r="FK3312" s="501"/>
      <c r="FL3312" s="501"/>
      <c r="FM3312" s="501"/>
      <c r="FN3312" s="501"/>
      <c r="FO3312" s="501"/>
      <c r="FP3312" s="501"/>
      <c r="FQ3312" s="501"/>
      <c r="FR3312" s="501"/>
      <c r="FS3312" s="501"/>
      <c r="FT3312" s="501"/>
      <c r="FU3312" s="501"/>
      <c r="FV3312" s="501"/>
      <c r="FW3312" s="501"/>
      <c r="FX3312" s="501"/>
      <c r="FY3312" s="501"/>
      <c r="FZ3312" s="501"/>
      <c r="GA3312" s="501"/>
      <c r="GB3312" s="501"/>
      <c r="GC3312" s="501"/>
      <c r="GD3312" s="501"/>
      <c r="GE3312" s="501"/>
      <c r="GF3312" s="501"/>
      <c r="GG3312" s="501"/>
      <c r="GH3312" s="501"/>
      <c r="GI3312" s="501"/>
      <c r="GJ3312" s="501"/>
      <c r="GK3312" s="501"/>
      <c r="GL3312" s="501"/>
      <c r="GM3312" s="501"/>
      <c r="GN3312" s="501"/>
      <c r="GO3312" s="501"/>
      <c r="GP3312" s="501"/>
      <c r="GQ3312" s="501"/>
      <c r="GR3312" s="501"/>
      <c r="GS3312" s="501"/>
      <c r="GT3312" s="501"/>
      <c r="GU3312" s="501"/>
      <c r="GV3312" s="501"/>
      <c r="GW3312" s="501"/>
      <c r="GX3312" s="501"/>
      <c r="GY3312" s="501"/>
      <c r="GZ3312" s="501"/>
      <c r="HA3312" s="501"/>
      <c r="HB3312" s="501"/>
      <c r="HC3312" s="501"/>
      <c r="HD3312" s="501"/>
      <c r="HE3312" s="501"/>
      <c r="HF3312" s="501"/>
      <c r="HG3312" s="501"/>
      <c r="HH3312" s="501"/>
      <c r="HI3312" s="501"/>
      <c r="HJ3312" s="501"/>
      <c r="HK3312" s="501"/>
      <c r="HL3312" s="501"/>
      <c r="HM3312" s="501"/>
      <c r="HN3312" s="501"/>
      <c r="HO3312" s="501"/>
      <c r="HP3312" s="501"/>
      <c r="HQ3312" s="501"/>
      <c r="HR3312" s="501"/>
      <c r="HS3312" s="501"/>
      <c r="HT3312" s="501"/>
      <c r="HU3312" s="501"/>
      <c r="HV3312" s="501"/>
      <c r="HW3312" s="501"/>
      <c r="HX3312" s="501"/>
      <c r="HY3312" s="501"/>
      <c r="HZ3312" s="501"/>
      <c r="IA3312" s="501"/>
      <c r="IB3312" s="501"/>
      <c r="IC3312" s="501"/>
      <c r="ID3312" s="501"/>
      <c r="IE3312" s="501"/>
      <c r="IF3312" s="501"/>
      <c r="IG3312" s="501"/>
      <c r="IH3312" s="501"/>
      <c r="II3312" s="501"/>
      <c r="IJ3312" s="501"/>
      <c r="IK3312" s="501"/>
      <c r="IL3312" s="501"/>
      <c r="IM3312" s="501"/>
      <c r="IN3312" s="501"/>
      <c r="IO3312" s="501"/>
      <c r="IP3312" s="501"/>
      <c r="IQ3312" s="501"/>
      <c r="IR3312" s="501"/>
      <c r="IS3312" s="501"/>
      <c r="IT3312" s="501"/>
      <c r="IU3312" s="501"/>
    </row>
    <row r="3313" spans="1:255" s="877" customFormat="1" ht="24" customHeight="1">
      <c r="A3313" s="501"/>
      <c r="B3313" s="501"/>
      <c r="C3313" s="501"/>
      <c r="D3313" s="501"/>
      <c r="E3313" s="501"/>
      <c r="F3313" s="1148"/>
      <c r="G3313" s="1199"/>
      <c r="H3313" s="1148"/>
      <c r="I3313" s="895"/>
      <c r="J3313" s="885"/>
      <c r="K3313" s="885"/>
      <c r="L3313" s="895"/>
      <c r="M3313" s="899"/>
      <c r="N3313" s="501"/>
      <c r="O3313" s="1097"/>
      <c r="P3313" s="1151"/>
      <c r="Q3313" s="973"/>
      <c r="R3313" s="1097"/>
      <c r="S3313" s="1063"/>
      <c r="T3313" s="1164"/>
      <c r="V3313" s="501"/>
      <c r="W3313" s="501"/>
      <c r="X3313" s="501"/>
      <c r="Y3313" s="501"/>
      <c r="Z3313" s="501"/>
      <c r="AA3313" s="501"/>
      <c r="AB3313" s="501"/>
      <c r="AC3313" s="501"/>
      <c r="AD3313" s="501"/>
      <c r="AE3313" s="501"/>
      <c r="AF3313" s="501"/>
      <c r="AG3313" s="501"/>
      <c r="AH3313" s="501"/>
      <c r="AI3313" s="501"/>
      <c r="AJ3313" s="501"/>
      <c r="AK3313" s="501"/>
      <c r="AL3313" s="501"/>
      <c r="AM3313" s="501"/>
      <c r="AN3313" s="501"/>
      <c r="AO3313" s="501"/>
      <c r="AP3313" s="501"/>
      <c r="AQ3313" s="501"/>
      <c r="AR3313" s="501"/>
      <c r="AS3313" s="501"/>
      <c r="AT3313" s="501"/>
      <c r="AU3313" s="501"/>
      <c r="AV3313" s="501"/>
      <c r="AW3313" s="501"/>
      <c r="AX3313" s="501"/>
      <c r="AY3313" s="501"/>
      <c r="AZ3313" s="501"/>
      <c r="BA3313" s="501"/>
      <c r="BB3313" s="501"/>
      <c r="BC3313" s="501"/>
      <c r="BD3313" s="501"/>
      <c r="BE3313" s="501"/>
      <c r="BF3313" s="501"/>
      <c r="BG3313" s="501"/>
      <c r="BH3313" s="501"/>
      <c r="BI3313" s="501"/>
      <c r="BJ3313" s="501"/>
      <c r="BK3313" s="501"/>
      <c r="BL3313" s="501"/>
      <c r="BM3313" s="501"/>
      <c r="BN3313" s="501"/>
      <c r="BO3313" s="501"/>
      <c r="BP3313" s="501"/>
      <c r="BQ3313" s="501"/>
      <c r="BR3313" s="501"/>
      <c r="BS3313" s="501"/>
      <c r="BT3313" s="501"/>
      <c r="BU3313" s="501"/>
      <c r="BV3313" s="501"/>
      <c r="BW3313" s="501"/>
      <c r="BX3313" s="501"/>
      <c r="BY3313" s="501"/>
      <c r="BZ3313" s="501"/>
      <c r="CA3313" s="501"/>
      <c r="CB3313" s="501"/>
      <c r="CC3313" s="501"/>
      <c r="CD3313" s="501"/>
      <c r="CE3313" s="501"/>
      <c r="CF3313" s="501"/>
      <c r="CG3313" s="501"/>
      <c r="CH3313" s="501"/>
      <c r="CI3313" s="501"/>
      <c r="CJ3313" s="501"/>
      <c r="CK3313" s="501"/>
      <c r="CL3313" s="501"/>
      <c r="CM3313" s="501"/>
      <c r="CN3313" s="501"/>
      <c r="CO3313" s="501"/>
      <c r="CP3313" s="501"/>
      <c r="CQ3313" s="501"/>
      <c r="CR3313" s="501"/>
      <c r="CS3313" s="501"/>
      <c r="CT3313" s="501"/>
      <c r="CU3313" s="501"/>
      <c r="CV3313" s="501"/>
      <c r="CW3313" s="501"/>
      <c r="CX3313" s="501"/>
      <c r="CY3313" s="501"/>
      <c r="CZ3313" s="501"/>
      <c r="DA3313" s="501"/>
      <c r="DB3313" s="501"/>
      <c r="DC3313" s="501"/>
      <c r="DD3313" s="501"/>
      <c r="DE3313" s="501"/>
      <c r="DF3313" s="501"/>
      <c r="DG3313" s="501"/>
      <c r="DH3313" s="501"/>
      <c r="DI3313" s="501"/>
      <c r="DJ3313" s="501"/>
      <c r="DK3313" s="501"/>
      <c r="DL3313" s="501"/>
      <c r="DM3313" s="501"/>
      <c r="DN3313" s="501"/>
      <c r="DO3313" s="501"/>
      <c r="DP3313" s="501"/>
      <c r="DQ3313" s="501"/>
      <c r="DR3313" s="501"/>
      <c r="DS3313" s="501"/>
      <c r="DT3313" s="501"/>
      <c r="DU3313" s="501"/>
      <c r="DV3313" s="501"/>
      <c r="DW3313" s="501"/>
      <c r="DX3313" s="501"/>
      <c r="DY3313" s="501"/>
      <c r="DZ3313" s="501"/>
      <c r="EA3313" s="501"/>
      <c r="EB3313" s="501"/>
      <c r="EC3313" s="501"/>
      <c r="ED3313" s="501"/>
      <c r="EE3313" s="501"/>
      <c r="EF3313" s="501"/>
      <c r="EG3313" s="501"/>
      <c r="EH3313" s="501"/>
      <c r="EI3313" s="501"/>
      <c r="EJ3313" s="501"/>
      <c r="EK3313" s="501"/>
      <c r="EL3313" s="501"/>
      <c r="EM3313" s="501"/>
      <c r="EN3313" s="501"/>
      <c r="EO3313" s="501"/>
      <c r="EP3313" s="501"/>
      <c r="EQ3313" s="501"/>
      <c r="ER3313" s="501"/>
      <c r="ES3313" s="501"/>
      <c r="ET3313" s="501"/>
      <c r="EU3313" s="501"/>
      <c r="EV3313" s="501"/>
      <c r="EW3313" s="501"/>
      <c r="EX3313" s="501"/>
      <c r="EY3313" s="501"/>
      <c r="EZ3313" s="501"/>
      <c r="FA3313" s="501"/>
      <c r="FB3313" s="501"/>
      <c r="FC3313" s="501"/>
      <c r="FD3313" s="501"/>
      <c r="FE3313" s="501"/>
      <c r="FF3313" s="501"/>
      <c r="FG3313" s="501"/>
      <c r="FH3313" s="501"/>
      <c r="FI3313" s="501"/>
      <c r="FJ3313" s="501"/>
      <c r="FK3313" s="501"/>
      <c r="FL3313" s="501"/>
      <c r="FM3313" s="501"/>
      <c r="FN3313" s="501"/>
      <c r="FO3313" s="501"/>
      <c r="FP3313" s="501"/>
      <c r="FQ3313" s="501"/>
      <c r="FR3313" s="501"/>
      <c r="FS3313" s="501"/>
      <c r="FT3313" s="501"/>
      <c r="FU3313" s="501"/>
      <c r="FV3313" s="501"/>
      <c r="FW3313" s="501"/>
      <c r="FX3313" s="501"/>
      <c r="FY3313" s="501"/>
      <c r="FZ3313" s="501"/>
      <c r="GA3313" s="501"/>
      <c r="GB3313" s="501"/>
      <c r="GC3313" s="501"/>
      <c r="GD3313" s="501"/>
      <c r="GE3313" s="501"/>
      <c r="GF3313" s="501"/>
      <c r="GG3313" s="501"/>
      <c r="GH3313" s="501"/>
      <c r="GI3313" s="501"/>
      <c r="GJ3313" s="501"/>
      <c r="GK3313" s="501"/>
      <c r="GL3313" s="501"/>
      <c r="GM3313" s="501"/>
      <c r="GN3313" s="501"/>
      <c r="GO3313" s="501"/>
      <c r="GP3313" s="501"/>
      <c r="GQ3313" s="501"/>
      <c r="GR3313" s="501"/>
      <c r="GS3313" s="501"/>
      <c r="GT3313" s="501"/>
      <c r="GU3313" s="501"/>
      <c r="GV3313" s="501"/>
      <c r="GW3313" s="501"/>
      <c r="GX3313" s="501"/>
      <c r="GY3313" s="501"/>
      <c r="GZ3313" s="501"/>
      <c r="HA3313" s="501"/>
      <c r="HB3313" s="501"/>
      <c r="HC3313" s="501"/>
      <c r="HD3313" s="501"/>
      <c r="HE3313" s="501"/>
      <c r="HF3313" s="501"/>
      <c r="HG3313" s="501"/>
      <c r="HH3313" s="501"/>
      <c r="HI3313" s="501"/>
      <c r="HJ3313" s="501"/>
      <c r="HK3313" s="501"/>
      <c r="HL3313" s="501"/>
      <c r="HM3313" s="501"/>
      <c r="HN3313" s="501"/>
      <c r="HO3313" s="501"/>
      <c r="HP3313" s="501"/>
      <c r="HQ3313" s="501"/>
      <c r="HR3313" s="501"/>
      <c r="HS3313" s="501"/>
      <c r="HT3313" s="501"/>
      <c r="HU3313" s="501"/>
      <c r="HV3313" s="501"/>
      <c r="HW3313" s="501"/>
      <c r="HX3313" s="501"/>
      <c r="HY3313" s="501"/>
      <c r="HZ3313" s="501"/>
      <c r="IA3313" s="501"/>
      <c r="IB3313" s="501"/>
      <c r="IC3313" s="501"/>
      <c r="ID3313" s="501"/>
      <c r="IE3313" s="501"/>
      <c r="IF3313" s="501"/>
      <c r="IG3313" s="501"/>
      <c r="IH3313" s="501"/>
      <c r="II3313" s="501"/>
      <c r="IJ3313" s="501"/>
      <c r="IK3313" s="501"/>
      <c r="IL3313" s="501"/>
      <c r="IM3313" s="501"/>
      <c r="IN3313" s="501"/>
      <c r="IO3313" s="501"/>
      <c r="IP3313" s="501"/>
      <c r="IQ3313" s="501"/>
      <c r="IR3313" s="501"/>
      <c r="IS3313" s="501"/>
      <c r="IT3313" s="501"/>
      <c r="IU3313" s="501"/>
    </row>
    <row r="3314" spans="1:255" s="877" customFormat="1" ht="24" customHeight="1">
      <c r="A3314" s="501"/>
      <c r="B3314" s="501"/>
      <c r="C3314" s="501"/>
      <c r="D3314" s="501"/>
      <c r="E3314" s="501"/>
      <c r="F3314" s="1148"/>
      <c r="G3314" s="1199"/>
      <c r="H3314" s="1148"/>
      <c r="I3314" s="895"/>
      <c r="J3314" s="1198"/>
      <c r="K3314" s="885"/>
      <c r="L3314" s="895"/>
      <c r="M3314" s="899"/>
      <c r="N3314" s="501"/>
      <c r="O3314" s="1097"/>
      <c r="P3314" s="1151"/>
      <c r="Q3314" s="973"/>
      <c r="R3314" s="1097"/>
      <c r="S3314" s="1191"/>
      <c r="T3314" s="1164"/>
      <c r="V3314" s="501"/>
      <c r="W3314" s="501"/>
      <c r="X3314" s="501"/>
      <c r="Y3314" s="501"/>
      <c r="Z3314" s="501"/>
      <c r="AA3314" s="501"/>
      <c r="AB3314" s="501"/>
      <c r="AC3314" s="501"/>
      <c r="AD3314" s="501"/>
      <c r="AE3314" s="501"/>
      <c r="AF3314" s="501"/>
      <c r="AG3314" s="501"/>
      <c r="AH3314" s="501"/>
      <c r="AI3314" s="501"/>
      <c r="AJ3314" s="501"/>
      <c r="AK3314" s="501"/>
      <c r="AL3314" s="501"/>
      <c r="AM3314" s="501"/>
      <c r="AN3314" s="501"/>
      <c r="AO3314" s="501"/>
      <c r="AP3314" s="501"/>
      <c r="AQ3314" s="501"/>
      <c r="AR3314" s="501"/>
      <c r="AS3314" s="501"/>
      <c r="AT3314" s="501"/>
      <c r="AU3314" s="501"/>
      <c r="AV3314" s="501"/>
      <c r="AW3314" s="501"/>
      <c r="AX3314" s="501"/>
      <c r="AY3314" s="501"/>
      <c r="AZ3314" s="501"/>
      <c r="BA3314" s="501"/>
      <c r="BB3314" s="501"/>
      <c r="BC3314" s="501"/>
      <c r="BD3314" s="501"/>
      <c r="BE3314" s="501"/>
      <c r="BF3314" s="501"/>
      <c r="BG3314" s="501"/>
      <c r="BH3314" s="501"/>
      <c r="BI3314" s="501"/>
      <c r="BJ3314" s="501"/>
      <c r="BK3314" s="501"/>
      <c r="BL3314" s="501"/>
      <c r="BM3314" s="501"/>
      <c r="BN3314" s="501"/>
      <c r="BO3314" s="501"/>
      <c r="BP3314" s="501"/>
      <c r="BQ3314" s="501"/>
      <c r="BR3314" s="501"/>
      <c r="BS3314" s="501"/>
      <c r="BT3314" s="501"/>
      <c r="BU3314" s="501"/>
      <c r="BV3314" s="501"/>
      <c r="BW3314" s="501"/>
      <c r="BX3314" s="501"/>
      <c r="BY3314" s="501"/>
      <c r="BZ3314" s="501"/>
      <c r="CA3314" s="501"/>
      <c r="CB3314" s="501"/>
      <c r="CC3314" s="501"/>
      <c r="CD3314" s="501"/>
      <c r="CE3314" s="501"/>
      <c r="CF3314" s="501"/>
      <c r="CG3314" s="501"/>
      <c r="CH3314" s="501"/>
      <c r="CI3314" s="501"/>
      <c r="CJ3314" s="501"/>
      <c r="CK3314" s="501"/>
      <c r="CL3314" s="501"/>
      <c r="CM3314" s="501"/>
      <c r="CN3314" s="501"/>
      <c r="CO3314" s="501"/>
      <c r="CP3314" s="501"/>
      <c r="CQ3314" s="501"/>
      <c r="CR3314" s="501"/>
      <c r="CS3314" s="501"/>
      <c r="CT3314" s="501"/>
      <c r="CU3314" s="501"/>
      <c r="CV3314" s="501"/>
      <c r="CW3314" s="501"/>
      <c r="CX3314" s="501"/>
      <c r="CY3314" s="501"/>
      <c r="CZ3314" s="501"/>
      <c r="DA3314" s="501"/>
      <c r="DB3314" s="501"/>
      <c r="DC3314" s="501"/>
      <c r="DD3314" s="501"/>
      <c r="DE3314" s="501"/>
      <c r="DF3314" s="501"/>
      <c r="DG3314" s="501"/>
      <c r="DH3314" s="501"/>
      <c r="DI3314" s="501"/>
      <c r="DJ3314" s="501"/>
      <c r="DK3314" s="501"/>
      <c r="DL3314" s="501"/>
      <c r="DM3314" s="501"/>
      <c r="DN3314" s="501"/>
      <c r="DO3314" s="501"/>
      <c r="DP3314" s="501"/>
      <c r="DQ3314" s="501"/>
      <c r="DR3314" s="501"/>
      <c r="DS3314" s="501"/>
      <c r="DT3314" s="501"/>
      <c r="DU3314" s="501"/>
      <c r="DV3314" s="501"/>
      <c r="DW3314" s="501"/>
      <c r="DX3314" s="501"/>
      <c r="DY3314" s="501"/>
      <c r="DZ3314" s="501"/>
      <c r="EA3314" s="501"/>
      <c r="EB3314" s="501"/>
      <c r="EC3314" s="501"/>
      <c r="ED3314" s="501"/>
      <c r="EE3314" s="501"/>
      <c r="EF3314" s="501"/>
      <c r="EG3314" s="501"/>
      <c r="EH3314" s="501"/>
      <c r="EI3314" s="501"/>
      <c r="EJ3314" s="501"/>
      <c r="EK3314" s="501"/>
      <c r="EL3314" s="501"/>
      <c r="EM3314" s="501"/>
      <c r="EN3314" s="501"/>
      <c r="EO3314" s="501"/>
      <c r="EP3314" s="501"/>
      <c r="EQ3314" s="501"/>
      <c r="ER3314" s="501"/>
      <c r="ES3314" s="501"/>
      <c r="ET3314" s="501"/>
      <c r="EU3314" s="501"/>
      <c r="EV3314" s="501"/>
      <c r="EW3314" s="501"/>
      <c r="EX3314" s="501"/>
      <c r="EY3314" s="501"/>
      <c r="EZ3314" s="501"/>
      <c r="FA3314" s="501"/>
      <c r="FB3314" s="501"/>
      <c r="FC3314" s="501"/>
      <c r="FD3314" s="501"/>
      <c r="FE3314" s="501"/>
      <c r="FF3314" s="501"/>
      <c r="FG3314" s="501"/>
      <c r="FH3314" s="501"/>
      <c r="FI3314" s="501"/>
      <c r="FJ3314" s="501"/>
      <c r="FK3314" s="501"/>
      <c r="FL3314" s="501"/>
      <c r="FM3314" s="501"/>
      <c r="FN3314" s="501"/>
      <c r="FO3314" s="501"/>
      <c r="FP3314" s="501"/>
      <c r="FQ3314" s="501"/>
      <c r="FR3314" s="501"/>
      <c r="FS3314" s="501"/>
      <c r="FT3314" s="501"/>
      <c r="FU3314" s="501"/>
      <c r="FV3314" s="501"/>
      <c r="FW3314" s="501"/>
      <c r="FX3314" s="501"/>
      <c r="FY3314" s="501"/>
      <c r="FZ3314" s="501"/>
      <c r="GA3314" s="501"/>
      <c r="GB3314" s="501"/>
      <c r="GC3314" s="501"/>
      <c r="GD3314" s="501"/>
      <c r="GE3314" s="501"/>
      <c r="GF3314" s="501"/>
      <c r="GG3314" s="501"/>
      <c r="GH3314" s="501"/>
      <c r="GI3314" s="501"/>
      <c r="GJ3314" s="501"/>
      <c r="GK3314" s="501"/>
      <c r="GL3314" s="501"/>
      <c r="GM3314" s="501"/>
      <c r="GN3314" s="501"/>
      <c r="GO3314" s="501"/>
      <c r="GP3314" s="501"/>
      <c r="GQ3314" s="501"/>
      <c r="GR3314" s="501"/>
      <c r="GS3314" s="501"/>
      <c r="GT3314" s="501"/>
      <c r="GU3314" s="501"/>
      <c r="GV3314" s="501"/>
      <c r="GW3314" s="501"/>
      <c r="GX3314" s="501"/>
      <c r="GY3314" s="501"/>
      <c r="GZ3314" s="501"/>
      <c r="HA3314" s="501"/>
      <c r="HB3314" s="501"/>
      <c r="HC3314" s="501"/>
      <c r="HD3314" s="501"/>
      <c r="HE3314" s="501"/>
      <c r="HF3314" s="501"/>
      <c r="HG3314" s="501"/>
      <c r="HH3314" s="501"/>
      <c r="HI3314" s="501"/>
      <c r="HJ3314" s="501"/>
      <c r="HK3314" s="501"/>
      <c r="HL3314" s="501"/>
      <c r="HM3314" s="501"/>
      <c r="HN3314" s="501"/>
      <c r="HO3314" s="501"/>
      <c r="HP3314" s="501"/>
      <c r="HQ3314" s="501"/>
      <c r="HR3314" s="501"/>
      <c r="HS3314" s="501"/>
      <c r="HT3314" s="501"/>
      <c r="HU3314" s="501"/>
      <c r="HV3314" s="501"/>
      <c r="HW3314" s="501"/>
      <c r="HX3314" s="501"/>
      <c r="HY3314" s="501"/>
      <c r="HZ3314" s="501"/>
      <c r="IA3314" s="501"/>
      <c r="IB3314" s="501"/>
      <c r="IC3314" s="501"/>
      <c r="ID3314" s="501"/>
      <c r="IE3314" s="501"/>
      <c r="IF3314" s="501"/>
      <c r="IG3314" s="501"/>
      <c r="IH3314" s="501"/>
      <c r="II3314" s="501"/>
      <c r="IJ3314" s="501"/>
      <c r="IK3314" s="501"/>
      <c r="IL3314" s="501"/>
      <c r="IM3314" s="501"/>
      <c r="IN3314" s="501"/>
      <c r="IO3314" s="501"/>
      <c r="IP3314" s="501"/>
      <c r="IQ3314" s="501"/>
      <c r="IR3314" s="501"/>
      <c r="IS3314" s="501"/>
      <c r="IT3314" s="501"/>
      <c r="IU3314" s="501"/>
    </row>
    <row r="3315" spans="1:255" s="877" customFormat="1" ht="24" customHeight="1">
      <c r="A3315" s="501"/>
      <c r="B3315" s="501"/>
      <c r="C3315" s="501"/>
      <c r="D3315" s="501"/>
      <c r="E3315" s="501"/>
      <c r="F3315" s="1148"/>
      <c r="G3315" s="1199"/>
      <c r="H3315" s="1148"/>
      <c r="I3315" s="895"/>
      <c r="J3315" s="885"/>
      <c r="K3315" s="885"/>
      <c r="L3315" s="895"/>
      <c r="M3315" s="899"/>
      <c r="N3315" s="501"/>
      <c r="O3315" s="1097"/>
      <c r="P3315" s="1151"/>
      <c r="Q3315" s="973"/>
      <c r="R3315" s="1097"/>
      <c r="S3315" s="1191"/>
      <c r="T3315" s="1164"/>
      <c r="V3315" s="501"/>
      <c r="W3315" s="501"/>
      <c r="X3315" s="501"/>
      <c r="Y3315" s="501"/>
      <c r="Z3315" s="501"/>
      <c r="AA3315" s="501"/>
      <c r="AB3315" s="501"/>
      <c r="AC3315" s="501"/>
      <c r="AD3315" s="501"/>
      <c r="AE3315" s="501"/>
      <c r="AF3315" s="501"/>
      <c r="AG3315" s="501"/>
      <c r="AH3315" s="501"/>
      <c r="AI3315" s="501"/>
      <c r="AJ3315" s="501"/>
      <c r="AK3315" s="501"/>
      <c r="AL3315" s="501"/>
      <c r="AM3315" s="501"/>
      <c r="AN3315" s="501"/>
      <c r="AO3315" s="501"/>
      <c r="AP3315" s="501"/>
      <c r="AQ3315" s="501"/>
      <c r="AR3315" s="501"/>
      <c r="AS3315" s="501"/>
      <c r="AT3315" s="501"/>
      <c r="AU3315" s="501"/>
      <c r="AV3315" s="501"/>
      <c r="AW3315" s="501"/>
      <c r="AX3315" s="501"/>
      <c r="AY3315" s="501"/>
      <c r="AZ3315" s="501"/>
      <c r="BA3315" s="501"/>
      <c r="BB3315" s="501"/>
      <c r="BC3315" s="501"/>
      <c r="BD3315" s="501"/>
      <c r="BE3315" s="501"/>
      <c r="BF3315" s="501"/>
      <c r="BG3315" s="501"/>
      <c r="BH3315" s="501"/>
      <c r="BI3315" s="501"/>
      <c r="BJ3315" s="501"/>
      <c r="BK3315" s="501"/>
      <c r="BL3315" s="501"/>
      <c r="BM3315" s="501"/>
      <c r="BN3315" s="501"/>
      <c r="BO3315" s="501"/>
      <c r="BP3315" s="501"/>
      <c r="BQ3315" s="501"/>
      <c r="BR3315" s="501"/>
      <c r="BS3315" s="501"/>
      <c r="BT3315" s="501"/>
      <c r="BU3315" s="501"/>
      <c r="BV3315" s="501"/>
      <c r="BW3315" s="501"/>
      <c r="BX3315" s="501"/>
      <c r="BY3315" s="501"/>
      <c r="BZ3315" s="501"/>
      <c r="CA3315" s="501"/>
      <c r="CB3315" s="501"/>
      <c r="CC3315" s="501"/>
      <c r="CD3315" s="501"/>
      <c r="CE3315" s="501"/>
      <c r="CF3315" s="501"/>
      <c r="CG3315" s="501"/>
      <c r="CH3315" s="501"/>
      <c r="CI3315" s="501"/>
      <c r="CJ3315" s="501"/>
      <c r="CK3315" s="501"/>
      <c r="CL3315" s="501"/>
      <c r="CM3315" s="501"/>
      <c r="CN3315" s="501"/>
      <c r="CO3315" s="501"/>
      <c r="CP3315" s="501"/>
      <c r="CQ3315" s="501"/>
      <c r="CR3315" s="501"/>
      <c r="CS3315" s="501"/>
      <c r="CT3315" s="501"/>
      <c r="CU3315" s="501"/>
      <c r="CV3315" s="501"/>
      <c r="CW3315" s="501"/>
      <c r="CX3315" s="501"/>
      <c r="CY3315" s="501"/>
      <c r="CZ3315" s="501"/>
      <c r="DA3315" s="501"/>
      <c r="DB3315" s="501"/>
      <c r="DC3315" s="501"/>
      <c r="DD3315" s="501"/>
      <c r="DE3315" s="501"/>
      <c r="DF3315" s="501"/>
      <c r="DG3315" s="501"/>
      <c r="DH3315" s="501"/>
      <c r="DI3315" s="501"/>
      <c r="DJ3315" s="501"/>
      <c r="DK3315" s="501"/>
      <c r="DL3315" s="501"/>
      <c r="DM3315" s="501"/>
      <c r="DN3315" s="501"/>
      <c r="DO3315" s="501"/>
      <c r="DP3315" s="501"/>
      <c r="DQ3315" s="501"/>
      <c r="DR3315" s="501"/>
      <c r="DS3315" s="501"/>
      <c r="DT3315" s="501"/>
      <c r="DU3315" s="501"/>
      <c r="DV3315" s="501"/>
      <c r="DW3315" s="501"/>
      <c r="DX3315" s="501"/>
      <c r="DY3315" s="501"/>
      <c r="DZ3315" s="501"/>
      <c r="EA3315" s="501"/>
      <c r="EB3315" s="501"/>
      <c r="EC3315" s="501"/>
      <c r="ED3315" s="501"/>
      <c r="EE3315" s="501"/>
      <c r="EF3315" s="501"/>
      <c r="EG3315" s="501"/>
      <c r="EH3315" s="501"/>
      <c r="EI3315" s="501"/>
      <c r="EJ3315" s="501"/>
      <c r="EK3315" s="501"/>
      <c r="EL3315" s="501"/>
      <c r="EM3315" s="501"/>
      <c r="EN3315" s="501"/>
      <c r="EO3315" s="501"/>
      <c r="EP3315" s="501"/>
      <c r="EQ3315" s="501"/>
      <c r="ER3315" s="501"/>
      <c r="ES3315" s="501"/>
      <c r="ET3315" s="501"/>
      <c r="EU3315" s="501"/>
      <c r="EV3315" s="501"/>
      <c r="EW3315" s="501"/>
      <c r="EX3315" s="501"/>
      <c r="EY3315" s="501"/>
      <c r="EZ3315" s="501"/>
      <c r="FA3315" s="501"/>
      <c r="FB3315" s="501"/>
      <c r="FC3315" s="501"/>
      <c r="FD3315" s="501"/>
      <c r="FE3315" s="501"/>
      <c r="FF3315" s="501"/>
      <c r="FG3315" s="501"/>
      <c r="FH3315" s="501"/>
      <c r="FI3315" s="501"/>
      <c r="FJ3315" s="501"/>
      <c r="FK3315" s="501"/>
      <c r="FL3315" s="501"/>
      <c r="FM3315" s="501"/>
      <c r="FN3315" s="501"/>
      <c r="FO3315" s="501"/>
      <c r="FP3315" s="501"/>
      <c r="FQ3315" s="501"/>
      <c r="FR3315" s="501"/>
      <c r="FS3315" s="501"/>
      <c r="FT3315" s="501"/>
      <c r="FU3315" s="501"/>
      <c r="FV3315" s="501"/>
      <c r="FW3315" s="501"/>
      <c r="FX3315" s="501"/>
      <c r="FY3315" s="501"/>
      <c r="FZ3315" s="501"/>
      <c r="GA3315" s="501"/>
      <c r="GB3315" s="501"/>
      <c r="GC3315" s="501"/>
      <c r="GD3315" s="501"/>
      <c r="GE3315" s="501"/>
      <c r="GF3315" s="501"/>
      <c r="GG3315" s="501"/>
      <c r="GH3315" s="501"/>
      <c r="GI3315" s="501"/>
      <c r="GJ3315" s="501"/>
      <c r="GK3315" s="501"/>
      <c r="GL3315" s="501"/>
      <c r="GM3315" s="501"/>
      <c r="GN3315" s="501"/>
      <c r="GO3315" s="501"/>
      <c r="GP3315" s="501"/>
      <c r="GQ3315" s="501"/>
      <c r="GR3315" s="501"/>
      <c r="GS3315" s="501"/>
      <c r="GT3315" s="501"/>
      <c r="GU3315" s="501"/>
      <c r="GV3315" s="501"/>
      <c r="GW3315" s="501"/>
      <c r="GX3315" s="501"/>
      <c r="GY3315" s="501"/>
      <c r="GZ3315" s="501"/>
      <c r="HA3315" s="501"/>
      <c r="HB3315" s="501"/>
      <c r="HC3315" s="501"/>
      <c r="HD3315" s="501"/>
      <c r="HE3315" s="501"/>
      <c r="HF3315" s="501"/>
      <c r="HG3315" s="501"/>
      <c r="HH3315" s="501"/>
      <c r="HI3315" s="501"/>
      <c r="HJ3315" s="501"/>
      <c r="HK3315" s="501"/>
      <c r="HL3315" s="501"/>
      <c r="HM3315" s="501"/>
      <c r="HN3315" s="501"/>
      <c r="HO3315" s="501"/>
      <c r="HP3315" s="501"/>
      <c r="HQ3315" s="501"/>
      <c r="HR3315" s="501"/>
      <c r="HS3315" s="501"/>
      <c r="HT3315" s="501"/>
      <c r="HU3315" s="501"/>
      <c r="HV3315" s="501"/>
      <c r="HW3315" s="501"/>
      <c r="HX3315" s="501"/>
      <c r="HY3315" s="501"/>
      <c r="HZ3315" s="501"/>
      <c r="IA3315" s="501"/>
      <c r="IB3315" s="501"/>
      <c r="IC3315" s="501"/>
      <c r="ID3315" s="501"/>
      <c r="IE3315" s="501"/>
      <c r="IF3315" s="501"/>
      <c r="IG3315" s="501"/>
      <c r="IH3315" s="501"/>
      <c r="II3315" s="501"/>
      <c r="IJ3315" s="501"/>
      <c r="IK3315" s="501"/>
      <c r="IL3315" s="501"/>
      <c r="IM3315" s="501"/>
      <c r="IN3315" s="501"/>
      <c r="IO3315" s="501"/>
      <c r="IP3315" s="501"/>
      <c r="IQ3315" s="501"/>
      <c r="IR3315" s="501"/>
      <c r="IS3315" s="501"/>
      <c r="IT3315" s="501"/>
      <c r="IU3315" s="501"/>
    </row>
    <row r="3316" spans="1:255" s="877" customFormat="1" ht="24" customHeight="1">
      <c r="A3316" s="501"/>
      <c r="B3316" s="501"/>
      <c r="C3316" s="501"/>
      <c r="D3316" s="501"/>
      <c r="E3316" s="501"/>
      <c r="F3316" s="885"/>
      <c r="G3316" s="1057"/>
      <c r="H3316" s="885"/>
      <c r="I3316" s="895"/>
      <c r="J3316" s="885"/>
      <c r="K3316" s="885"/>
      <c r="L3316" s="895"/>
      <c r="M3316" s="899"/>
      <c r="N3316" s="501"/>
      <c r="O3316" s="1097"/>
      <c r="P3316" s="1151"/>
      <c r="Q3316" s="1097"/>
      <c r="R3316" s="1097"/>
      <c r="S3316" s="1106"/>
      <c r="T3316" s="1106"/>
      <c r="V3316" s="501"/>
      <c r="W3316" s="501"/>
      <c r="X3316" s="501"/>
      <c r="Y3316" s="501"/>
      <c r="Z3316" s="501"/>
      <c r="AA3316" s="501"/>
      <c r="AB3316" s="501"/>
      <c r="AC3316" s="501"/>
      <c r="AD3316" s="501"/>
      <c r="AE3316" s="501"/>
      <c r="AF3316" s="501"/>
      <c r="AG3316" s="501"/>
      <c r="AH3316" s="501"/>
      <c r="AI3316" s="501"/>
      <c r="AJ3316" s="501"/>
      <c r="AK3316" s="501"/>
      <c r="AL3316" s="501"/>
      <c r="AM3316" s="501"/>
      <c r="AN3316" s="501"/>
      <c r="AO3316" s="501"/>
      <c r="AP3316" s="501"/>
      <c r="AQ3316" s="501"/>
      <c r="AR3316" s="501"/>
      <c r="AS3316" s="501"/>
      <c r="AT3316" s="501"/>
      <c r="AU3316" s="501"/>
      <c r="AV3316" s="501"/>
      <c r="AW3316" s="501"/>
      <c r="AX3316" s="501"/>
      <c r="AY3316" s="501"/>
      <c r="AZ3316" s="501"/>
      <c r="BA3316" s="501"/>
      <c r="BB3316" s="501"/>
      <c r="BC3316" s="501"/>
      <c r="BD3316" s="501"/>
      <c r="BE3316" s="501"/>
      <c r="BF3316" s="501"/>
      <c r="BG3316" s="501"/>
      <c r="BH3316" s="501"/>
      <c r="BI3316" s="501"/>
      <c r="BJ3316" s="501"/>
      <c r="BK3316" s="501"/>
      <c r="BL3316" s="501"/>
      <c r="BM3316" s="501"/>
      <c r="BN3316" s="501"/>
      <c r="BO3316" s="501"/>
      <c r="BP3316" s="501"/>
      <c r="BQ3316" s="501"/>
      <c r="BR3316" s="501"/>
      <c r="BS3316" s="501"/>
      <c r="BT3316" s="501"/>
      <c r="BU3316" s="501"/>
      <c r="BV3316" s="501"/>
      <c r="BW3316" s="501"/>
      <c r="BX3316" s="501"/>
      <c r="BY3316" s="501"/>
      <c r="BZ3316" s="501"/>
      <c r="CA3316" s="501"/>
      <c r="CB3316" s="501"/>
      <c r="CC3316" s="501"/>
      <c r="CD3316" s="501"/>
      <c r="CE3316" s="501"/>
      <c r="CF3316" s="501"/>
      <c r="CG3316" s="501"/>
      <c r="CH3316" s="501"/>
      <c r="CI3316" s="501"/>
      <c r="CJ3316" s="501"/>
      <c r="CK3316" s="501"/>
      <c r="CL3316" s="501"/>
      <c r="CM3316" s="501"/>
      <c r="CN3316" s="501"/>
      <c r="CO3316" s="501"/>
      <c r="CP3316" s="501"/>
      <c r="CQ3316" s="501"/>
      <c r="CR3316" s="501"/>
      <c r="CS3316" s="501"/>
      <c r="CT3316" s="501"/>
      <c r="CU3316" s="501"/>
      <c r="CV3316" s="501"/>
      <c r="CW3316" s="501"/>
      <c r="CX3316" s="501"/>
      <c r="CY3316" s="501"/>
      <c r="CZ3316" s="501"/>
      <c r="DA3316" s="501"/>
      <c r="DB3316" s="501"/>
      <c r="DC3316" s="501"/>
      <c r="DD3316" s="501"/>
      <c r="DE3316" s="501"/>
      <c r="DF3316" s="501"/>
      <c r="DG3316" s="501"/>
      <c r="DH3316" s="501"/>
      <c r="DI3316" s="501"/>
      <c r="DJ3316" s="501"/>
      <c r="DK3316" s="501"/>
      <c r="DL3316" s="501"/>
      <c r="DM3316" s="501"/>
      <c r="DN3316" s="501"/>
      <c r="DO3316" s="501"/>
      <c r="DP3316" s="501"/>
      <c r="DQ3316" s="501"/>
      <c r="DR3316" s="501"/>
      <c r="DS3316" s="501"/>
      <c r="DT3316" s="501"/>
      <c r="DU3316" s="501"/>
      <c r="DV3316" s="501"/>
      <c r="DW3316" s="501"/>
      <c r="DX3316" s="501"/>
      <c r="DY3316" s="501"/>
      <c r="DZ3316" s="501"/>
      <c r="EA3316" s="501"/>
      <c r="EB3316" s="501"/>
      <c r="EC3316" s="501"/>
      <c r="ED3316" s="501"/>
      <c r="EE3316" s="501"/>
      <c r="EF3316" s="501"/>
      <c r="EG3316" s="501"/>
      <c r="EH3316" s="501"/>
      <c r="EI3316" s="501"/>
      <c r="EJ3316" s="501"/>
      <c r="EK3316" s="501"/>
      <c r="EL3316" s="501"/>
      <c r="EM3316" s="501"/>
      <c r="EN3316" s="501"/>
      <c r="EO3316" s="501"/>
      <c r="EP3316" s="501"/>
      <c r="EQ3316" s="501"/>
      <c r="ER3316" s="501"/>
      <c r="ES3316" s="501"/>
      <c r="ET3316" s="501"/>
      <c r="EU3316" s="501"/>
      <c r="EV3316" s="501"/>
      <c r="EW3316" s="501"/>
      <c r="EX3316" s="501"/>
      <c r="EY3316" s="501"/>
      <c r="EZ3316" s="501"/>
      <c r="FA3316" s="501"/>
      <c r="FB3316" s="501"/>
      <c r="FC3316" s="501"/>
      <c r="FD3316" s="501"/>
      <c r="FE3316" s="501"/>
      <c r="FF3316" s="501"/>
      <c r="FG3316" s="501"/>
      <c r="FH3316" s="501"/>
      <c r="FI3316" s="501"/>
      <c r="FJ3316" s="501"/>
      <c r="FK3316" s="501"/>
      <c r="FL3316" s="501"/>
      <c r="FM3316" s="501"/>
      <c r="FN3316" s="501"/>
      <c r="FO3316" s="501"/>
      <c r="FP3316" s="501"/>
      <c r="FQ3316" s="501"/>
      <c r="FR3316" s="501"/>
      <c r="FS3316" s="501"/>
      <c r="FT3316" s="501"/>
      <c r="FU3316" s="501"/>
      <c r="FV3316" s="501"/>
      <c r="FW3316" s="501"/>
      <c r="FX3316" s="501"/>
      <c r="FY3316" s="501"/>
      <c r="FZ3316" s="501"/>
      <c r="GA3316" s="501"/>
      <c r="GB3316" s="501"/>
      <c r="GC3316" s="501"/>
      <c r="GD3316" s="501"/>
      <c r="GE3316" s="501"/>
      <c r="GF3316" s="501"/>
      <c r="GG3316" s="501"/>
      <c r="GH3316" s="501"/>
      <c r="GI3316" s="501"/>
      <c r="GJ3316" s="501"/>
      <c r="GK3316" s="501"/>
      <c r="GL3316" s="501"/>
      <c r="GM3316" s="501"/>
      <c r="GN3316" s="501"/>
      <c r="GO3316" s="501"/>
      <c r="GP3316" s="501"/>
      <c r="GQ3316" s="501"/>
      <c r="GR3316" s="501"/>
      <c r="GS3316" s="501"/>
      <c r="GT3316" s="501"/>
      <c r="GU3316" s="501"/>
      <c r="GV3316" s="501"/>
      <c r="GW3316" s="501"/>
      <c r="GX3316" s="501"/>
      <c r="GY3316" s="501"/>
      <c r="GZ3316" s="501"/>
      <c r="HA3316" s="501"/>
      <c r="HB3316" s="501"/>
      <c r="HC3316" s="501"/>
      <c r="HD3316" s="501"/>
      <c r="HE3316" s="501"/>
      <c r="HF3316" s="501"/>
      <c r="HG3316" s="501"/>
      <c r="HH3316" s="501"/>
      <c r="HI3316" s="501"/>
      <c r="HJ3316" s="501"/>
      <c r="HK3316" s="501"/>
      <c r="HL3316" s="501"/>
      <c r="HM3316" s="501"/>
      <c r="HN3316" s="501"/>
      <c r="HO3316" s="501"/>
      <c r="HP3316" s="501"/>
      <c r="HQ3316" s="501"/>
      <c r="HR3316" s="501"/>
      <c r="HS3316" s="501"/>
      <c r="HT3316" s="501"/>
      <c r="HU3316" s="501"/>
      <c r="HV3316" s="501"/>
      <c r="HW3316" s="501"/>
      <c r="HX3316" s="501"/>
      <c r="HY3316" s="501"/>
      <c r="HZ3316" s="501"/>
      <c r="IA3316" s="501"/>
      <c r="IB3316" s="501"/>
      <c r="IC3316" s="501"/>
      <c r="ID3316" s="501"/>
      <c r="IE3316" s="501"/>
      <c r="IF3316" s="501"/>
      <c r="IG3316" s="501"/>
      <c r="IH3316" s="501"/>
      <c r="II3316" s="501"/>
      <c r="IJ3316" s="501"/>
      <c r="IK3316" s="501"/>
      <c r="IL3316" s="501"/>
      <c r="IM3316" s="501"/>
      <c r="IN3316" s="501"/>
      <c r="IO3316" s="501"/>
      <c r="IP3316" s="501"/>
      <c r="IQ3316" s="501"/>
      <c r="IR3316" s="501"/>
      <c r="IS3316" s="501"/>
      <c r="IT3316" s="501"/>
      <c r="IU3316" s="501"/>
    </row>
    <row r="3317" spans="1:255" s="877" customFormat="1" ht="24" customHeight="1">
      <c r="A3317" s="501"/>
      <c r="B3317" s="501"/>
      <c r="C3317" s="501"/>
      <c r="D3317" s="501"/>
      <c r="E3317" s="501"/>
      <c r="F3317" s="885"/>
      <c r="G3317" s="1057"/>
      <c r="H3317" s="885"/>
      <c r="I3317" s="895"/>
      <c r="J3317" s="885"/>
      <c r="K3317" s="885"/>
      <c r="L3317" s="895"/>
      <c r="M3317" s="899"/>
      <c r="N3317" s="501"/>
      <c r="O3317" s="1157"/>
      <c r="P3317" s="1152"/>
      <c r="Q3317" s="973"/>
      <c r="R3317" s="968"/>
      <c r="S3317" s="974"/>
      <c r="T3317" s="968"/>
      <c r="V3317" s="501"/>
      <c r="W3317" s="501"/>
      <c r="X3317" s="501"/>
      <c r="Y3317" s="501"/>
      <c r="Z3317" s="501"/>
      <c r="AA3317" s="501"/>
      <c r="AB3317" s="501"/>
      <c r="AC3317" s="501"/>
      <c r="AD3317" s="501"/>
      <c r="AE3317" s="501"/>
      <c r="AF3317" s="501"/>
      <c r="AG3317" s="501"/>
      <c r="AH3317" s="501"/>
      <c r="AI3317" s="501"/>
      <c r="AJ3317" s="501"/>
      <c r="AK3317" s="501"/>
      <c r="AL3317" s="501"/>
      <c r="AM3317" s="501"/>
      <c r="AN3317" s="501"/>
      <c r="AO3317" s="501"/>
      <c r="AP3317" s="501"/>
      <c r="AQ3317" s="501"/>
      <c r="AR3317" s="501"/>
      <c r="AS3317" s="501"/>
      <c r="AT3317" s="501"/>
      <c r="AU3317" s="501"/>
      <c r="AV3317" s="501"/>
      <c r="AW3317" s="501"/>
      <c r="AX3317" s="501"/>
      <c r="AY3317" s="501"/>
      <c r="AZ3317" s="501"/>
      <c r="BA3317" s="501"/>
      <c r="BB3317" s="501"/>
      <c r="BC3317" s="501"/>
      <c r="BD3317" s="501"/>
      <c r="BE3317" s="501"/>
      <c r="BF3317" s="501"/>
      <c r="BG3317" s="501"/>
      <c r="BH3317" s="501"/>
      <c r="BI3317" s="501"/>
      <c r="BJ3317" s="501"/>
      <c r="BK3317" s="501"/>
      <c r="BL3317" s="501"/>
      <c r="BM3317" s="501"/>
      <c r="BN3317" s="501"/>
      <c r="BO3317" s="501"/>
      <c r="BP3317" s="501"/>
      <c r="BQ3317" s="501"/>
      <c r="BR3317" s="501"/>
      <c r="BS3317" s="501"/>
      <c r="BT3317" s="501"/>
      <c r="BU3317" s="501"/>
      <c r="BV3317" s="501"/>
      <c r="BW3317" s="501"/>
      <c r="BX3317" s="501"/>
      <c r="BY3317" s="501"/>
      <c r="BZ3317" s="501"/>
      <c r="CA3317" s="501"/>
      <c r="CB3317" s="501"/>
      <c r="CC3317" s="501"/>
      <c r="CD3317" s="501"/>
      <c r="CE3317" s="501"/>
      <c r="CF3317" s="501"/>
      <c r="CG3317" s="501"/>
      <c r="CH3317" s="501"/>
      <c r="CI3317" s="501"/>
      <c r="CJ3317" s="501"/>
      <c r="CK3317" s="501"/>
      <c r="CL3317" s="501"/>
      <c r="CM3317" s="501"/>
      <c r="CN3317" s="501"/>
      <c r="CO3317" s="501"/>
      <c r="CP3317" s="501"/>
      <c r="CQ3317" s="501"/>
      <c r="CR3317" s="501"/>
      <c r="CS3317" s="501"/>
      <c r="CT3317" s="501"/>
      <c r="CU3317" s="501"/>
      <c r="CV3317" s="501"/>
      <c r="CW3317" s="501"/>
      <c r="CX3317" s="501"/>
      <c r="CY3317" s="501"/>
      <c r="CZ3317" s="501"/>
      <c r="DA3317" s="501"/>
      <c r="DB3317" s="501"/>
      <c r="DC3317" s="501"/>
      <c r="DD3317" s="501"/>
      <c r="DE3317" s="501"/>
      <c r="DF3317" s="501"/>
      <c r="DG3317" s="501"/>
      <c r="DH3317" s="501"/>
      <c r="DI3317" s="501"/>
      <c r="DJ3317" s="501"/>
      <c r="DK3317" s="501"/>
      <c r="DL3317" s="501"/>
      <c r="DM3317" s="501"/>
      <c r="DN3317" s="501"/>
      <c r="DO3317" s="501"/>
      <c r="DP3317" s="501"/>
      <c r="DQ3317" s="501"/>
      <c r="DR3317" s="501"/>
      <c r="DS3317" s="501"/>
      <c r="DT3317" s="501"/>
      <c r="DU3317" s="501"/>
      <c r="DV3317" s="501"/>
      <c r="DW3317" s="501"/>
      <c r="DX3317" s="501"/>
      <c r="DY3317" s="501"/>
      <c r="DZ3317" s="501"/>
      <c r="EA3317" s="501"/>
      <c r="EB3317" s="501"/>
      <c r="EC3317" s="501"/>
      <c r="ED3317" s="501"/>
      <c r="EE3317" s="501"/>
      <c r="EF3317" s="501"/>
      <c r="EG3317" s="501"/>
      <c r="EH3317" s="501"/>
      <c r="EI3317" s="501"/>
      <c r="EJ3317" s="501"/>
      <c r="EK3317" s="501"/>
      <c r="EL3317" s="501"/>
      <c r="EM3317" s="501"/>
      <c r="EN3317" s="501"/>
      <c r="EO3317" s="501"/>
      <c r="EP3317" s="501"/>
      <c r="EQ3317" s="501"/>
      <c r="ER3317" s="501"/>
      <c r="ES3317" s="501"/>
      <c r="ET3317" s="501"/>
      <c r="EU3317" s="501"/>
      <c r="EV3317" s="501"/>
      <c r="EW3317" s="501"/>
      <c r="EX3317" s="501"/>
      <c r="EY3317" s="501"/>
      <c r="EZ3317" s="501"/>
      <c r="FA3317" s="501"/>
      <c r="FB3317" s="501"/>
      <c r="FC3317" s="501"/>
      <c r="FD3317" s="501"/>
      <c r="FE3317" s="501"/>
      <c r="FF3317" s="501"/>
      <c r="FG3317" s="501"/>
      <c r="FH3317" s="501"/>
      <c r="FI3317" s="501"/>
      <c r="FJ3317" s="501"/>
      <c r="FK3317" s="501"/>
      <c r="FL3317" s="501"/>
      <c r="FM3317" s="501"/>
      <c r="FN3317" s="501"/>
      <c r="FO3317" s="501"/>
      <c r="FP3317" s="501"/>
      <c r="FQ3317" s="501"/>
      <c r="FR3317" s="501"/>
      <c r="FS3317" s="501"/>
      <c r="FT3317" s="501"/>
      <c r="FU3317" s="501"/>
      <c r="FV3317" s="501"/>
      <c r="FW3317" s="501"/>
      <c r="FX3317" s="501"/>
      <c r="FY3317" s="501"/>
      <c r="FZ3317" s="501"/>
      <c r="GA3317" s="501"/>
      <c r="GB3317" s="501"/>
      <c r="GC3317" s="501"/>
      <c r="GD3317" s="501"/>
      <c r="GE3317" s="501"/>
      <c r="GF3317" s="501"/>
      <c r="GG3317" s="501"/>
      <c r="GH3317" s="501"/>
      <c r="GI3317" s="501"/>
      <c r="GJ3317" s="501"/>
      <c r="GK3317" s="501"/>
      <c r="GL3317" s="501"/>
      <c r="GM3317" s="501"/>
      <c r="GN3317" s="501"/>
      <c r="GO3317" s="501"/>
      <c r="GP3317" s="501"/>
      <c r="GQ3317" s="501"/>
      <c r="GR3317" s="501"/>
      <c r="GS3317" s="501"/>
      <c r="GT3317" s="501"/>
      <c r="GU3317" s="501"/>
      <c r="GV3317" s="501"/>
      <c r="GW3317" s="501"/>
      <c r="GX3317" s="501"/>
      <c r="GY3317" s="501"/>
      <c r="GZ3317" s="501"/>
      <c r="HA3317" s="501"/>
      <c r="HB3317" s="501"/>
      <c r="HC3317" s="501"/>
      <c r="HD3317" s="501"/>
      <c r="HE3317" s="501"/>
      <c r="HF3317" s="501"/>
      <c r="HG3317" s="501"/>
      <c r="HH3317" s="501"/>
      <c r="HI3317" s="501"/>
      <c r="HJ3317" s="501"/>
      <c r="HK3317" s="501"/>
      <c r="HL3317" s="501"/>
      <c r="HM3317" s="501"/>
      <c r="HN3317" s="501"/>
      <c r="HO3317" s="501"/>
      <c r="HP3317" s="501"/>
      <c r="HQ3317" s="501"/>
      <c r="HR3317" s="501"/>
      <c r="HS3317" s="501"/>
      <c r="HT3317" s="501"/>
      <c r="HU3317" s="501"/>
      <c r="HV3317" s="501"/>
      <c r="HW3317" s="501"/>
      <c r="HX3317" s="501"/>
      <c r="HY3317" s="501"/>
      <c r="HZ3317" s="501"/>
      <c r="IA3317" s="501"/>
      <c r="IB3317" s="501"/>
      <c r="IC3317" s="501"/>
      <c r="ID3317" s="501"/>
      <c r="IE3317" s="501"/>
      <c r="IF3317" s="501"/>
      <c r="IG3317" s="501"/>
      <c r="IH3317" s="501"/>
      <c r="II3317" s="501"/>
      <c r="IJ3317" s="501"/>
      <c r="IK3317" s="501"/>
      <c r="IL3317" s="501"/>
      <c r="IM3317" s="501"/>
      <c r="IN3317" s="501"/>
      <c r="IO3317" s="501"/>
      <c r="IP3317" s="501"/>
      <c r="IQ3317" s="501"/>
      <c r="IR3317" s="501"/>
      <c r="IS3317" s="501"/>
      <c r="IT3317" s="501"/>
      <c r="IU3317" s="501"/>
    </row>
    <row r="3318" spans="1:255" s="877" customFormat="1" ht="24" customHeight="1">
      <c r="A3318" s="501"/>
      <c r="B3318" s="501"/>
      <c r="C3318" s="501"/>
      <c r="D3318" s="501"/>
      <c r="E3318" s="501"/>
      <c r="F3318" s="885"/>
      <c r="G3318" s="1057"/>
      <c r="H3318" s="885"/>
      <c r="I3318" s="895"/>
      <c r="J3318" s="885"/>
      <c r="K3318" s="885"/>
      <c r="L3318" s="895"/>
      <c r="M3318" s="899"/>
      <c r="N3318" s="501"/>
      <c r="O3318" s="1157"/>
      <c r="P3318" s="1152"/>
      <c r="Q3318" s="973"/>
      <c r="R3318" s="968"/>
      <c r="S3318" s="974"/>
      <c r="T3318" s="968"/>
      <c r="V3318" s="501"/>
      <c r="W3318" s="501"/>
      <c r="X3318" s="501"/>
      <c r="Y3318" s="501"/>
      <c r="Z3318" s="501"/>
      <c r="AA3318" s="501"/>
      <c r="AB3318" s="501"/>
      <c r="AC3318" s="501"/>
      <c r="AD3318" s="501"/>
      <c r="AE3318" s="501"/>
      <c r="AF3318" s="501"/>
      <c r="AG3318" s="501"/>
      <c r="AH3318" s="501"/>
      <c r="AI3318" s="501"/>
      <c r="AJ3318" s="501"/>
      <c r="AK3318" s="501"/>
      <c r="AL3318" s="501"/>
      <c r="AM3318" s="501"/>
      <c r="AN3318" s="501"/>
      <c r="AO3318" s="501"/>
      <c r="AP3318" s="501"/>
      <c r="AQ3318" s="501"/>
      <c r="AR3318" s="501"/>
      <c r="AS3318" s="501"/>
      <c r="AT3318" s="501"/>
      <c r="AU3318" s="501"/>
      <c r="AV3318" s="501"/>
      <c r="AW3318" s="501"/>
      <c r="AX3318" s="501"/>
      <c r="AY3318" s="501"/>
      <c r="AZ3318" s="501"/>
      <c r="BA3318" s="501"/>
      <c r="BB3318" s="501"/>
      <c r="BC3318" s="501"/>
      <c r="BD3318" s="501"/>
      <c r="BE3318" s="501"/>
      <c r="BF3318" s="501"/>
      <c r="BG3318" s="501"/>
      <c r="BH3318" s="501"/>
      <c r="BI3318" s="501"/>
      <c r="BJ3318" s="501"/>
      <c r="BK3318" s="501"/>
      <c r="BL3318" s="501"/>
      <c r="BM3318" s="501"/>
      <c r="BN3318" s="501"/>
      <c r="BO3318" s="501"/>
      <c r="BP3318" s="501"/>
      <c r="BQ3318" s="501"/>
      <c r="BR3318" s="501"/>
      <c r="BS3318" s="501"/>
      <c r="BT3318" s="501"/>
      <c r="BU3318" s="501"/>
      <c r="BV3318" s="501"/>
      <c r="BW3318" s="501"/>
      <c r="BX3318" s="501"/>
      <c r="BY3318" s="501"/>
      <c r="BZ3318" s="501"/>
      <c r="CA3318" s="501"/>
      <c r="CB3318" s="501"/>
      <c r="CC3318" s="501"/>
      <c r="CD3318" s="501"/>
      <c r="CE3318" s="501"/>
      <c r="CF3318" s="501"/>
      <c r="CG3318" s="501"/>
      <c r="CH3318" s="501"/>
      <c r="CI3318" s="501"/>
      <c r="CJ3318" s="501"/>
      <c r="CK3318" s="501"/>
      <c r="CL3318" s="501"/>
      <c r="CM3318" s="501"/>
      <c r="CN3318" s="501"/>
      <c r="CO3318" s="501"/>
      <c r="CP3318" s="501"/>
      <c r="CQ3318" s="501"/>
      <c r="CR3318" s="501"/>
      <c r="CS3318" s="501"/>
      <c r="CT3318" s="501"/>
      <c r="CU3318" s="501"/>
      <c r="CV3318" s="501"/>
      <c r="CW3318" s="501"/>
      <c r="CX3318" s="501"/>
      <c r="CY3318" s="501"/>
      <c r="CZ3318" s="501"/>
      <c r="DA3318" s="501"/>
      <c r="DB3318" s="501"/>
      <c r="DC3318" s="501"/>
      <c r="DD3318" s="501"/>
      <c r="DE3318" s="501"/>
      <c r="DF3318" s="501"/>
      <c r="DG3318" s="501"/>
      <c r="DH3318" s="501"/>
      <c r="DI3318" s="501"/>
      <c r="DJ3318" s="501"/>
      <c r="DK3318" s="501"/>
      <c r="DL3318" s="501"/>
      <c r="DM3318" s="501"/>
      <c r="DN3318" s="501"/>
      <c r="DO3318" s="501"/>
      <c r="DP3318" s="501"/>
      <c r="DQ3318" s="501"/>
      <c r="DR3318" s="501"/>
      <c r="DS3318" s="501"/>
      <c r="DT3318" s="501"/>
      <c r="DU3318" s="501"/>
      <c r="DV3318" s="501"/>
      <c r="DW3318" s="501"/>
      <c r="DX3318" s="501"/>
      <c r="DY3318" s="501"/>
      <c r="DZ3318" s="501"/>
      <c r="EA3318" s="501"/>
      <c r="EB3318" s="501"/>
      <c r="EC3318" s="501"/>
      <c r="ED3318" s="501"/>
      <c r="EE3318" s="501"/>
      <c r="EF3318" s="501"/>
      <c r="EG3318" s="501"/>
      <c r="EH3318" s="501"/>
      <c r="EI3318" s="501"/>
      <c r="EJ3318" s="501"/>
      <c r="EK3318" s="501"/>
      <c r="EL3318" s="501"/>
      <c r="EM3318" s="501"/>
      <c r="EN3318" s="501"/>
      <c r="EO3318" s="501"/>
      <c r="EP3318" s="501"/>
      <c r="EQ3318" s="501"/>
      <c r="ER3318" s="501"/>
      <c r="ES3318" s="501"/>
      <c r="ET3318" s="501"/>
      <c r="EU3318" s="501"/>
      <c r="EV3318" s="501"/>
      <c r="EW3318" s="501"/>
      <c r="EX3318" s="501"/>
      <c r="EY3318" s="501"/>
      <c r="EZ3318" s="501"/>
      <c r="FA3318" s="501"/>
      <c r="FB3318" s="501"/>
      <c r="FC3318" s="501"/>
      <c r="FD3318" s="501"/>
      <c r="FE3318" s="501"/>
      <c r="FF3318" s="501"/>
      <c r="FG3318" s="501"/>
      <c r="FH3318" s="501"/>
      <c r="FI3318" s="501"/>
      <c r="FJ3318" s="501"/>
      <c r="FK3318" s="501"/>
      <c r="FL3318" s="501"/>
      <c r="FM3318" s="501"/>
      <c r="FN3318" s="501"/>
      <c r="FO3318" s="501"/>
      <c r="FP3318" s="501"/>
      <c r="FQ3318" s="501"/>
      <c r="FR3318" s="501"/>
      <c r="FS3318" s="501"/>
      <c r="FT3318" s="501"/>
      <c r="FU3318" s="501"/>
      <c r="FV3318" s="501"/>
      <c r="FW3318" s="501"/>
      <c r="FX3318" s="501"/>
      <c r="FY3318" s="501"/>
      <c r="FZ3318" s="501"/>
      <c r="GA3318" s="501"/>
      <c r="GB3318" s="501"/>
      <c r="GC3318" s="501"/>
      <c r="GD3318" s="501"/>
      <c r="GE3318" s="501"/>
      <c r="GF3318" s="501"/>
      <c r="GG3318" s="501"/>
      <c r="GH3318" s="501"/>
      <c r="GI3318" s="501"/>
      <c r="GJ3318" s="501"/>
      <c r="GK3318" s="501"/>
      <c r="GL3318" s="501"/>
      <c r="GM3318" s="501"/>
      <c r="GN3318" s="501"/>
      <c r="GO3318" s="501"/>
      <c r="GP3318" s="501"/>
      <c r="GQ3318" s="501"/>
      <c r="GR3318" s="501"/>
      <c r="GS3318" s="501"/>
      <c r="GT3318" s="501"/>
      <c r="GU3318" s="501"/>
      <c r="GV3318" s="501"/>
      <c r="GW3318" s="501"/>
      <c r="GX3318" s="501"/>
      <c r="GY3318" s="501"/>
      <c r="GZ3318" s="501"/>
      <c r="HA3318" s="501"/>
      <c r="HB3318" s="501"/>
      <c r="HC3318" s="501"/>
      <c r="HD3318" s="501"/>
      <c r="HE3318" s="501"/>
      <c r="HF3318" s="501"/>
      <c r="HG3318" s="501"/>
      <c r="HH3318" s="501"/>
      <c r="HI3318" s="501"/>
      <c r="HJ3318" s="501"/>
      <c r="HK3318" s="501"/>
      <c r="HL3318" s="501"/>
      <c r="HM3318" s="501"/>
      <c r="HN3318" s="501"/>
      <c r="HO3318" s="501"/>
      <c r="HP3318" s="501"/>
      <c r="HQ3318" s="501"/>
      <c r="HR3318" s="501"/>
      <c r="HS3318" s="501"/>
      <c r="HT3318" s="501"/>
      <c r="HU3318" s="501"/>
      <c r="HV3318" s="501"/>
      <c r="HW3318" s="501"/>
      <c r="HX3318" s="501"/>
      <c r="HY3318" s="501"/>
      <c r="HZ3318" s="501"/>
      <c r="IA3318" s="501"/>
      <c r="IB3318" s="501"/>
      <c r="IC3318" s="501"/>
      <c r="ID3318" s="501"/>
      <c r="IE3318" s="501"/>
      <c r="IF3318" s="501"/>
      <c r="IG3318" s="501"/>
      <c r="IH3318" s="501"/>
      <c r="II3318" s="501"/>
      <c r="IJ3318" s="501"/>
      <c r="IK3318" s="501"/>
      <c r="IL3318" s="501"/>
      <c r="IM3318" s="501"/>
      <c r="IN3318" s="501"/>
      <c r="IO3318" s="501"/>
      <c r="IP3318" s="501"/>
      <c r="IQ3318" s="501"/>
      <c r="IR3318" s="501"/>
      <c r="IS3318" s="501"/>
      <c r="IT3318" s="501"/>
      <c r="IU3318" s="501"/>
    </row>
    <row r="3319" spans="1:255" s="877" customFormat="1" ht="24" customHeight="1">
      <c r="A3319" s="501"/>
      <c r="B3319" s="501"/>
      <c r="C3319" s="501"/>
      <c r="D3319" s="501"/>
      <c r="E3319" s="501"/>
      <c r="F3319" s="885"/>
      <c r="G3319" s="1057"/>
      <c r="H3319" s="885"/>
      <c r="I3319" s="895"/>
      <c r="J3319" s="885"/>
      <c r="K3319" s="885"/>
      <c r="L3319" s="895"/>
      <c r="M3319" s="899"/>
      <c r="N3319" s="501"/>
      <c r="O3319" s="1157"/>
      <c r="P3319" s="1152"/>
      <c r="Q3319" s="876"/>
      <c r="R3319" s="968"/>
      <c r="S3319" s="974"/>
      <c r="T3319" s="968"/>
      <c r="V3319" s="501"/>
      <c r="W3319" s="501"/>
      <c r="X3319" s="501"/>
      <c r="Y3319" s="501"/>
      <c r="Z3319" s="501"/>
      <c r="AA3319" s="501"/>
      <c r="AB3319" s="501"/>
      <c r="AC3319" s="501"/>
      <c r="AD3319" s="501"/>
      <c r="AE3319" s="501"/>
      <c r="AF3319" s="501"/>
      <c r="AG3319" s="501"/>
      <c r="AH3319" s="501"/>
      <c r="AI3319" s="501"/>
      <c r="AJ3319" s="501"/>
      <c r="AK3319" s="501"/>
      <c r="AL3319" s="501"/>
      <c r="AM3319" s="501"/>
      <c r="AN3319" s="501"/>
      <c r="AO3319" s="501"/>
      <c r="AP3319" s="501"/>
      <c r="AQ3319" s="501"/>
      <c r="AR3319" s="501"/>
      <c r="AS3319" s="501"/>
      <c r="AT3319" s="501"/>
      <c r="AU3319" s="501"/>
      <c r="AV3319" s="501"/>
      <c r="AW3319" s="501"/>
      <c r="AX3319" s="501"/>
      <c r="AY3319" s="501"/>
      <c r="AZ3319" s="501"/>
      <c r="BA3319" s="501"/>
      <c r="BB3319" s="501"/>
      <c r="BC3319" s="501"/>
      <c r="BD3319" s="501"/>
      <c r="BE3319" s="501"/>
      <c r="BF3319" s="501"/>
      <c r="BG3319" s="501"/>
      <c r="BH3319" s="501"/>
      <c r="BI3319" s="501"/>
      <c r="BJ3319" s="501"/>
      <c r="BK3319" s="501"/>
      <c r="BL3319" s="501"/>
      <c r="BM3319" s="501"/>
      <c r="BN3319" s="501"/>
      <c r="BO3319" s="501"/>
      <c r="BP3319" s="501"/>
      <c r="BQ3319" s="501"/>
      <c r="BR3319" s="501"/>
      <c r="BS3319" s="501"/>
      <c r="BT3319" s="501"/>
      <c r="BU3319" s="501"/>
      <c r="BV3319" s="501"/>
      <c r="BW3319" s="501"/>
      <c r="BX3319" s="501"/>
      <c r="BY3319" s="501"/>
      <c r="BZ3319" s="501"/>
      <c r="CA3319" s="501"/>
      <c r="CB3319" s="501"/>
      <c r="CC3319" s="501"/>
      <c r="CD3319" s="501"/>
      <c r="CE3319" s="501"/>
      <c r="CF3319" s="501"/>
      <c r="CG3319" s="501"/>
      <c r="CH3319" s="501"/>
      <c r="CI3319" s="501"/>
      <c r="CJ3319" s="501"/>
      <c r="CK3319" s="501"/>
      <c r="CL3319" s="501"/>
      <c r="CM3319" s="501"/>
      <c r="CN3319" s="501"/>
      <c r="CO3319" s="501"/>
      <c r="CP3319" s="501"/>
      <c r="CQ3319" s="501"/>
      <c r="CR3319" s="501"/>
      <c r="CS3319" s="501"/>
      <c r="CT3319" s="501"/>
      <c r="CU3319" s="501"/>
      <c r="CV3319" s="501"/>
      <c r="CW3319" s="501"/>
      <c r="CX3319" s="501"/>
      <c r="CY3319" s="501"/>
      <c r="CZ3319" s="501"/>
      <c r="DA3319" s="501"/>
      <c r="DB3319" s="501"/>
      <c r="DC3319" s="501"/>
      <c r="DD3319" s="501"/>
      <c r="DE3319" s="501"/>
      <c r="DF3319" s="501"/>
      <c r="DG3319" s="501"/>
      <c r="DH3319" s="501"/>
      <c r="DI3319" s="501"/>
      <c r="DJ3319" s="501"/>
      <c r="DK3319" s="501"/>
      <c r="DL3319" s="501"/>
      <c r="DM3319" s="501"/>
      <c r="DN3319" s="501"/>
      <c r="DO3319" s="501"/>
      <c r="DP3319" s="501"/>
      <c r="DQ3319" s="501"/>
      <c r="DR3319" s="501"/>
      <c r="DS3319" s="501"/>
      <c r="DT3319" s="501"/>
      <c r="DU3319" s="501"/>
      <c r="DV3319" s="501"/>
      <c r="DW3319" s="501"/>
      <c r="DX3319" s="501"/>
      <c r="DY3319" s="501"/>
      <c r="DZ3319" s="501"/>
      <c r="EA3319" s="501"/>
      <c r="EB3319" s="501"/>
      <c r="EC3319" s="501"/>
      <c r="ED3319" s="501"/>
      <c r="EE3319" s="501"/>
      <c r="EF3319" s="501"/>
      <c r="EG3319" s="501"/>
      <c r="EH3319" s="501"/>
      <c r="EI3319" s="501"/>
      <c r="EJ3319" s="501"/>
      <c r="EK3319" s="501"/>
      <c r="EL3319" s="501"/>
      <c r="EM3319" s="501"/>
      <c r="EN3319" s="501"/>
      <c r="EO3319" s="501"/>
      <c r="EP3319" s="501"/>
      <c r="EQ3319" s="501"/>
      <c r="ER3319" s="501"/>
      <c r="ES3319" s="501"/>
      <c r="ET3319" s="501"/>
      <c r="EU3319" s="501"/>
      <c r="EV3319" s="501"/>
      <c r="EW3319" s="501"/>
      <c r="EX3319" s="501"/>
      <c r="EY3319" s="501"/>
      <c r="EZ3319" s="501"/>
      <c r="FA3319" s="501"/>
      <c r="FB3319" s="501"/>
      <c r="FC3319" s="501"/>
      <c r="FD3319" s="501"/>
      <c r="FE3319" s="501"/>
      <c r="FF3319" s="501"/>
      <c r="FG3319" s="501"/>
      <c r="FH3319" s="501"/>
      <c r="FI3319" s="501"/>
      <c r="FJ3319" s="501"/>
      <c r="FK3319" s="501"/>
      <c r="FL3319" s="501"/>
      <c r="FM3319" s="501"/>
      <c r="FN3319" s="501"/>
      <c r="FO3319" s="501"/>
      <c r="FP3319" s="501"/>
      <c r="FQ3319" s="501"/>
      <c r="FR3319" s="501"/>
      <c r="FS3319" s="501"/>
      <c r="FT3319" s="501"/>
      <c r="FU3319" s="501"/>
      <c r="FV3319" s="501"/>
      <c r="FW3319" s="501"/>
      <c r="FX3319" s="501"/>
      <c r="FY3319" s="501"/>
      <c r="FZ3319" s="501"/>
      <c r="GA3319" s="501"/>
      <c r="GB3319" s="501"/>
      <c r="GC3319" s="501"/>
      <c r="GD3319" s="501"/>
      <c r="GE3319" s="501"/>
      <c r="GF3319" s="501"/>
      <c r="GG3319" s="501"/>
      <c r="GH3319" s="501"/>
      <c r="GI3319" s="501"/>
      <c r="GJ3319" s="501"/>
      <c r="GK3319" s="501"/>
      <c r="GL3319" s="501"/>
      <c r="GM3319" s="501"/>
      <c r="GN3319" s="501"/>
      <c r="GO3319" s="501"/>
      <c r="GP3319" s="501"/>
      <c r="GQ3319" s="501"/>
      <c r="GR3319" s="501"/>
      <c r="GS3319" s="501"/>
      <c r="GT3319" s="501"/>
      <c r="GU3319" s="501"/>
      <c r="GV3319" s="501"/>
      <c r="GW3319" s="501"/>
      <c r="GX3319" s="501"/>
      <c r="GY3319" s="501"/>
      <c r="GZ3319" s="501"/>
      <c r="HA3319" s="501"/>
      <c r="HB3319" s="501"/>
      <c r="HC3319" s="501"/>
      <c r="HD3319" s="501"/>
      <c r="HE3319" s="501"/>
      <c r="HF3319" s="501"/>
      <c r="HG3319" s="501"/>
      <c r="HH3319" s="501"/>
      <c r="HI3319" s="501"/>
      <c r="HJ3319" s="501"/>
      <c r="HK3319" s="501"/>
      <c r="HL3319" s="501"/>
      <c r="HM3319" s="501"/>
      <c r="HN3319" s="501"/>
      <c r="HO3319" s="501"/>
      <c r="HP3319" s="501"/>
      <c r="HQ3319" s="501"/>
      <c r="HR3319" s="501"/>
      <c r="HS3319" s="501"/>
      <c r="HT3319" s="501"/>
      <c r="HU3319" s="501"/>
      <c r="HV3319" s="501"/>
      <c r="HW3319" s="501"/>
      <c r="HX3319" s="501"/>
      <c r="HY3319" s="501"/>
      <c r="HZ3319" s="501"/>
      <c r="IA3319" s="501"/>
      <c r="IB3319" s="501"/>
      <c r="IC3319" s="501"/>
      <c r="ID3319" s="501"/>
      <c r="IE3319" s="501"/>
      <c r="IF3319" s="501"/>
      <c r="IG3319" s="501"/>
      <c r="IH3319" s="501"/>
      <c r="II3319" s="501"/>
      <c r="IJ3319" s="501"/>
      <c r="IK3319" s="501"/>
      <c r="IL3319" s="501"/>
      <c r="IM3319" s="501"/>
      <c r="IN3319" s="501"/>
      <c r="IO3319" s="501"/>
      <c r="IP3319" s="501"/>
      <c r="IQ3319" s="501"/>
      <c r="IR3319" s="501"/>
      <c r="IS3319" s="501"/>
      <c r="IT3319" s="501"/>
      <c r="IU3319" s="501"/>
    </row>
    <row r="3320" spans="1:255" s="877" customFormat="1" ht="24" customHeight="1">
      <c r="A3320" s="501"/>
      <c r="B3320" s="501"/>
      <c r="C3320" s="501"/>
      <c r="D3320" s="501"/>
      <c r="E3320" s="501"/>
      <c r="F3320" s="885"/>
      <c r="G3320" s="1057"/>
      <c r="H3320" s="885"/>
      <c r="I3320" s="895"/>
      <c r="J3320" s="885"/>
      <c r="K3320" s="885"/>
      <c r="L3320" s="895"/>
      <c r="M3320" s="899"/>
      <c r="N3320" s="501"/>
      <c r="O3320" s="1159"/>
      <c r="P3320" s="1152"/>
      <c r="Q3320" s="973"/>
      <c r="R3320" s="968"/>
      <c r="S3320" s="1101"/>
      <c r="T3320" s="968"/>
      <c r="V3320" s="501"/>
      <c r="W3320" s="501"/>
      <c r="X3320" s="501"/>
      <c r="Y3320" s="501"/>
      <c r="Z3320" s="501"/>
      <c r="AA3320" s="501"/>
      <c r="AB3320" s="501"/>
      <c r="AC3320" s="501"/>
      <c r="AD3320" s="501"/>
      <c r="AE3320" s="501"/>
      <c r="AF3320" s="501"/>
      <c r="AG3320" s="501"/>
      <c r="AH3320" s="501"/>
      <c r="AI3320" s="501"/>
      <c r="AJ3320" s="501"/>
      <c r="AK3320" s="501"/>
      <c r="AL3320" s="501"/>
      <c r="AM3320" s="501"/>
      <c r="AN3320" s="501"/>
      <c r="AO3320" s="501"/>
      <c r="AP3320" s="501"/>
      <c r="AQ3320" s="501"/>
      <c r="AR3320" s="501"/>
      <c r="AS3320" s="501"/>
      <c r="AT3320" s="501"/>
      <c r="AU3320" s="501"/>
      <c r="AV3320" s="501"/>
      <c r="AW3320" s="501"/>
      <c r="AX3320" s="501"/>
      <c r="AY3320" s="501"/>
      <c r="AZ3320" s="501"/>
      <c r="BA3320" s="501"/>
      <c r="BB3320" s="501"/>
      <c r="BC3320" s="501"/>
      <c r="BD3320" s="501"/>
      <c r="BE3320" s="501"/>
      <c r="BF3320" s="501"/>
      <c r="BG3320" s="501"/>
      <c r="BH3320" s="501"/>
      <c r="BI3320" s="501"/>
      <c r="BJ3320" s="501"/>
      <c r="BK3320" s="501"/>
      <c r="BL3320" s="501"/>
      <c r="BM3320" s="501"/>
      <c r="BN3320" s="501"/>
      <c r="BO3320" s="501"/>
      <c r="BP3320" s="501"/>
      <c r="BQ3320" s="501"/>
      <c r="BR3320" s="501"/>
      <c r="BS3320" s="501"/>
      <c r="BT3320" s="501"/>
      <c r="BU3320" s="501"/>
      <c r="BV3320" s="501"/>
      <c r="BW3320" s="501"/>
      <c r="BX3320" s="501"/>
      <c r="BY3320" s="501"/>
      <c r="BZ3320" s="501"/>
      <c r="CA3320" s="501"/>
      <c r="CB3320" s="501"/>
      <c r="CC3320" s="501"/>
      <c r="CD3320" s="501"/>
      <c r="CE3320" s="501"/>
      <c r="CF3320" s="501"/>
      <c r="CG3320" s="501"/>
      <c r="CH3320" s="501"/>
      <c r="CI3320" s="501"/>
      <c r="CJ3320" s="501"/>
      <c r="CK3320" s="501"/>
      <c r="CL3320" s="501"/>
      <c r="CM3320" s="501"/>
      <c r="CN3320" s="501"/>
      <c r="CO3320" s="501"/>
      <c r="CP3320" s="501"/>
      <c r="CQ3320" s="501"/>
      <c r="CR3320" s="501"/>
      <c r="CS3320" s="501"/>
      <c r="CT3320" s="501"/>
      <c r="CU3320" s="501"/>
      <c r="CV3320" s="501"/>
      <c r="CW3320" s="501"/>
      <c r="CX3320" s="501"/>
      <c r="CY3320" s="501"/>
      <c r="CZ3320" s="501"/>
      <c r="DA3320" s="501"/>
      <c r="DB3320" s="501"/>
      <c r="DC3320" s="501"/>
      <c r="DD3320" s="501"/>
      <c r="DE3320" s="501"/>
      <c r="DF3320" s="501"/>
      <c r="DG3320" s="501"/>
      <c r="DH3320" s="501"/>
      <c r="DI3320" s="501"/>
      <c r="DJ3320" s="501"/>
      <c r="DK3320" s="501"/>
      <c r="DL3320" s="501"/>
      <c r="DM3320" s="501"/>
      <c r="DN3320" s="501"/>
      <c r="DO3320" s="501"/>
      <c r="DP3320" s="501"/>
      <c r="DQ3320" s="501"/>
      <c r="DR3320" s="501"/>
      <c r="DS3320" s="501"/>
      <c r="DT3320" s="501"/>
      <c r="DU3320" s="501"/>
      <c r="DV3320" s="501"/>
      <c r="DW3320" s="501"/>
      <c r="DX3320" s="501"/>
      <c r="DY3320" s="501"/>
      <c r="DZ3320" s="501"/>
      <c r="EA3320" s="501"/>
      <c r="EB3320" s="501"/>
      <c r="EC3320" s="501"/>
      <c r="ED3320" s="501"/>
      <c r="EE3320" s="501"/>
      <c r="EF3320" s="501"/>
      <c r="EG3320" s="501"/>
      <c r="EH3320" s="501"/>
      <c r="EI3320" s="501"/>
      <c r="EJ3320" s="501"/>
      <c r="EK3320" s="501"/>
      <c r="EL3320" s="501"/>
      <c r="EM3320" s="501"/>
      <c r="EN3320" s="501"/>
      <c r="EO3320" s="501"/>
      <c r="EP3320" s="501"/>
      <c r="EQ3320" s="501"/>
      <c r="ER3320" s="501"/>
      <c r="ES3320" s="501"/>
      <c r="ET3320" s="501"/>
      <c r="EU3320" s="501"/>
      <c r="EV3320" s="501"/>
      <c r="EW3320" s="501"/>
      <c r="EX3320" s="501"/>
      <c r="EY3320" s="501"/>
      <c r="EZ3320" s="501"/>
      <c r="FA3320" s="501"/>
      <c r="FB3320" s="501"/>
      <c r="FC3320" s="501"/>
      <c r="FD3320" s="501"/>
      <c r="FE3320" s="501"/>
      <c r="FF3320" s="501"/>
      <c r="FG3320" s="501"/>
      <c r="FH3320" s="501"/>
      <c r="FI3320" s="501"/>
      <c r="FJ3320" s="501"/>
      <c r="FK3320" s="501"/>
      <c r="FL3320" s="501"/>
      <c r="FM3320" s="501"/>
      <c r="FN3320" s="501"/>
      <c r="FO3320" s="501"/>
      <c r="FP3320" s="501"/>
      <c r="FQ3320" s="501"/>
      <c r="FR3320" s="501"/>
      <c r="FS3320" s="501"/>
      <c r="FT3320" s="501"/>
      <c r="FU3320" s="501"/>
      <c r="FV3320" s="501"/>
      <c r="FW3320" s="501"/>
      <c r="FX3320" s="501"/>
      <c r="FY3320" s="501"/>
      <c r="FZ3320" s="501"/>
      <c r="GA3320" s="501"/>
      <c r="GB3320" s="501"/>
      <c r="GC3320" s="501"/>
      <c r="GD3320" s="501"/>
      <c r="GE3320" s="501"/>
      <c r="GF3320" s="501"/>
      <c r="GG3320" s="501"/>
      <c r="GH3320" s="501"/>
      <c r="GI3320" s="501"/>
      <c r="GJ3320" s="501"/>
      <c r="GK3320" s="501"/>
      <c r="GL3320" s="501"/>
      <c r="GM3320" s="501"/>
      <c r="GN3320" s="501"/>
      <c r="GO3320" s="501"/>
      <c r="GP3320" s="501"/>
      <c r="GQ3320" s="501"/>
      <c r="GR3320" s="501"/>
      <c r="GS3320" s="501"/>
      <c r="GT3320" s="501"/>
      <c r="GU3320" s="501"/>
      <c r="GV3320" s="501"/>
      <c r="GW3320" s="501"/>
      <c r="GX3320" s="501"/>
      <c r="GY3320" s="501"/>
      <c r="GZ3320" s="501"/>
      <c r="HA3320" s="501"/>
      <c r="HB3320" s="501"/>
      <c r="HC3320" s="501"/>
      <c r="HD3320" s="501"/>
      <c r="HE3320" s="501"/>
      <c r="HF3320" s="501"/>
      <c r="HG3320" s="501"/>
      <c r="HH3320" s="501"/>
      <c r="HI3320" s="501"/>
      <c r="HJ3320" s="501"/>
      <c r="HK3320" s="501"/>
      <c r="HL3320" s="501"/>
      <c r="HM3320" s="501"/>
      <c r="HN3320" s="501"/>
      <c r="HO3320" s="501"/>
      <c r="HP3320" s="501"/>
      <c r="HQ3320" s="501"/>
      <c r="HR3320" s="501"/>
      <c r="HS3320" s="501"/>
      <c r="HT3320" s="501"/>
      <c r="HU3320" s="501"/>
      <c r="HV3320" s="501"/>
      <c r="HW3320" s="501"/>
      <c r="HX3320" s="501"/>
      <c r="HY3320" s="501"/>
      <c r="HZ3320" s="501"/>
      <c r="IA3320" s="501"/>
      <c r="IB3320" s="501"/>
      <c r="IC3320" s="501"/>
      <c r="ID3320" s="501"/>
      <c r="IE3320" s="501"/>
      <c r="IF3320" s="501"/>
      <c r="IG3320" s="501"/>
      <c r="IH3320" s="501"/>
      <c r="II3320" s="501"/>
      <c r="IJ3320" s="501"/>
      <c r="IK3320" s="501"/>
      <c r="IL3320" s="501"/>
      <c r="IM3320" s="501"/>
      <c r="IN3320" s="501"/>
      <c r="IO3320" s="501"/>
      <c r="IP3320" s="501"/>
      <c r="IQ3320" s="501"/>
      <c r="IR3320" s="501"/>
      <c r="IS3320" s="501"/>
      <c r="IT3320" s="501"/>
      <c r="IU3320" s="501"/>
    </row>
    <row r="3321" spans="1:255" s="877" customFormat="1" ht="24" customHeight="1">
      <c r="A3321" s="501"/>
      <c r="B3321" s="501"/>
      <c r="C3321" s="501"/>
      <c r="D3321" s="501"/>
      <c r="E3321" s="501"/>
      <c r="F3321" s="885"/>
      <c r="G3321" s="1057"/>
      <c r="H3321" s="885"/>
      <c r="I3321" s="895"/>
      <c r="J3321" s="885"/>
      <c r="K3321" s="885"/>
      <c r="L3321" s="895"/>
      <c r="M3321" s="899"/>
      <c r="N3321" s="501"/>
      <c r="O3321" s="1159"/>
      <c r="P3321" s="1152"/>
      <c r="Q3321" s="973"/>
      <c r="R3321" s="968"/>
      <c r="S3321" s="1101"/>
      <c r="T3321" s="968"/>
      <c r="V3321" s="501"/>
      <c r="W3321" s="501"/>
      <c r="X3321" s="501"/>
      <c r="Y3321" s="501"/>
      <c r="Z3321" s="501"/>
      <c r="AA3321" s="501"/>
      <c r="AB3321" s="501"/>
      <c r="AC3321" s="501"/>
      <c r="AD3321" s="501"/>
      <c r="AE3321" s="501"/>
      <c r="AF3321" s="501"/>
      <c r="AG3321" s="501"/>
      <c r="AH3321" s="501"/>
      <c r="AI3321" s="501"/>
      <c r="AJ3321" s="501"/>
      <c r="AK3321" s="501"/>
      <c r="AL3321" s="501"/>
      <c r="AM3321" s="501"/>
      <c r="AN3321" s="501"/>
      <c r="AO3321" s="501"/>
      <c r="AP3321" s="501"/>
      <c r="AQ3321" s="501"/>
      <c r="AR3321" s="501"/>
      <c r="AS3321" s="501"/>
      <c r="AT3321" s="501"/>
      <c r="AU3321" s="501"/>
      <c r="AV3321" s="501"/>
      <c r="AW3321" s="501"/>
      <c r="AX3321" s="501"/>
      <c r="AY3321" s="501"/>
      <c r="AZ3321" s="501"/>
      <c r="BA3321" s="501"/>
      <c r="BB3321" s="501"/>
      <c r="BC3321" s="501"/>
      <c r="BD3321" s="501"/>
      <c r="BE3321" s="501"/>
      <c r="BF3321" s="501"/>
      <c r="BG3321" s="501"/>
      <c r="BH3321" s="501"/>
      <c r="BI3321" s="501"/>
      <c r="BJ3321" s="501"/>
      <c r="BK3321" s="501"/>
      <c r="BL3321" s="501"/>
      <c r="BM3321" s="501"/>
      <c r="BN3321" s="501"/>
      <c r="BO3321" s="501"/>
      <c r="BP3321" s="501"/>
      <c r="BQ3321" s="501"/>
      <c r="BR3321" s="501"/>
      <c r="BS3321" s="501"/>
      <c r="BT3321" s="501"/>
      <c r="BU3321" s="501"/>
      <c r="BV3321" s="501"/>
      <c r="BW3321" s="501"/>
      <c r="BX3321" s="501"/>
      <c r="BY3321" s="501"/>
      <c r="BZ3321" s="501"/>
      <c r="CA3321" s="501"/>
      <c r="CB3321" s="501"/>
      <c r="CC3321" s="501"/>
      <c r="CD3321" s="501"/>
      <c r="CE3321" s="501"/>
      <c r="CF3321" s="501"/>
      <c r="CG3321" s="501"/>
      <c r="CH3321" s="501"/>
      <c r="CI3321" s="501"/>
      <c r="CJ3321" s="501"/>
      <c r="CK3321" s="501"/>
      <c r="CL3321" s="501"/>
      <c r="CM3321" s="501"/>
      <c r="CN3321" s="501"/>
      <c r="CO3321" s="501"/>
      <c r="CP3321" s="501"/>
      <c r="CQ3321" s="501"/>
      <c r="CR3321" s="501"/>
      <c r="CS3321" s="501"/>
      <c r="CT3321" s="501"/>
      <c r="CU3321" s="501"/>
      <c r="CV3321" s="501"/>
      <c r="CW3321" s="501"/>
      <c r="CX3321" s="501"/>
      <c r="CY3321" s="501"/>
      <c r="CZ3321" s="501"/>
      <c r="DA3321" s="501"/>
      <c r="DB3321" s="501"/>
      <c r="DC3321" s="501"/>
      <c r="DD3321" s="501"/>
      <c r="DE3321" s="501"/>
      <c r="DF3321" s="501"/>
      <c r="DG3321" s="501"/>
      <c r="DH3321" s="501"/>
      <c r="DI3321" s="501"/>
      <c r="DJ3321" s="501"/>
      <c r="DK3321" s="501"/>
      <c r="DL3321" s="501"/>
      <c r="DM3321" s="501"/>
      <c r="DN3321" s="501"/>
      <c r="DO3321" s="501"/>
      <c r="DP3321" s="501"/>
      <c r="DQ3321" s="501"/>
      <c r="DR3321" s="501"/>
      <c r="DS3321" s="501"/>
      <c r="DT3321" s="501"/>
      <c r="DU3321" s="501"/>
      <c r="DV3321" s="501"/>
      <c r="DW3321" s="501"/>
      <c r="DX3321" s="501"/>
      <c r="DY3321" s="501"/>
      <c r="DZ3321" s="501"/>
      <c r="EA3321" s="501"/>
      <c r="EB3321" s="501"/>
      <c r="EC3321" s="501"/>
      <c r="ED3321" s="501"/>
      <c r="EE3321" s="501"/>
      <c r="EF3321" s="501"/>
      <c r="EG3321" s="501"/>
      <c r="EH3321" s="501"/>
      <c r="EI3321" s="501"/>
      <c r="EJ3321" s="501"/>
      <c r="EK3321" s="501"/>
      <c r="EL3321" s="501"/>
      <c r="EM3321" s="501"/>
      <c r="EN3321" s="501"/>
      <c r="EO3321" s="501"/>
      <c r="EP3321" s="501"/>
      <c r="EQ3321" s="501"/>
      <c r="ER3321" s="501"/>
      <c r="ES3321" s="501"/>
      <c r="ET3321" s="501"/>
      <c r="EU3321" s="501"/>
      <c r="EV3321" s="501"/>
      <c r="EW3321" s="501"/>
      <c r="EX3321" s="501"/>
      <c r="EY3321" s="501"/>
      <c r="EZ3321" s="501"/>
      <c r="FA3321" s="501"/>
      <c r="FB3321" s="501"/>
      <c r="FC3321" s="501"/>
      <c r="FD3321" s="501"/>
      <c r="FE3321" s="501"/>
      <c r="FF3321" s="501"/>
      <c r="FG3321" s="501"/>
      <c r="FH3321" s="501"/>
      <c r="FI3321" s="501"/>
      <c r="FJ3321" s="501"/>
      <c r="FK3321" s="501"/>
      <c r="FL3321" s="501"/>
      <c r="FM3321" s="501"/>
      <c r="FN3321" s="501"/>
      <c r="FO3321" s="501"/>
      <c r="FP3321" s="501"/>
      <c r="FQ3321" s="501"/>
      <c r="FR3321" s="501"/>
      <c r="FS3321" s="501"/>
      <c r="FT3321" s="501"/>
      <c r="FU3321" s="501"/>
      <c r="FV3321" s="501"/>
      <c r="FW3321" s="501"/>
      <c r="FX3321" s="501"/>
      <c r="FY3321" s="501"/>
      <c r="FZ3321" s="501"/>
      <c r="GA3321" s="501"/>
      <c r="GB3321" s="501"/>
      <c r="GC3321" s="501"/>
      <c r="GD3321" s="501"/>
      <c r="GE3321" s="501"/>
      <c r="GF3321" s="501"/>
      <c r="GG3321" s="501"/>
      <c r="GH3321" s="501"/>
      <c r="GI3321" s="501"/>
      <c r="GJ3321" s="501"/>
      <c r="GK3321" s="501"/>
      <c r="GL3321" s="501"/>
      <c r="GM3321" s="501"/>
      <c r="GN3321" s="501"/>
      <c r="GO3321" s="501"/>
      <c r="GP3321" s="501"/>
      <c r="GQ3321" s="501"/>
      <c r="GR3321" s="501"/>
      <c r="GS3321" s="501"/>
      <c r="GT3321" s="501"/>
      <c r="GU3321" s="501"/>
      <c r="GV3321" s="501"/>
      <c r="GW3321" s="501"/>
      <c r="GX3321" s="501"/>
      <c r="GY3321" s="501"/>
      <c r="GZ3321" s="501"/>
      <c r="HA3321" s="501"/>
      <c r="HB3321" s="501"/>
      <c r="HC3321" s="501"/>
      <c r="HD3321" s="501"/>
      <c r="HE3321" s="501"/>
      <c r="HF3321" s="501"/>
      <c r="HG3321" s="501"/>
      <c r="HH3321" s="501"/>
      <c r="HI3321" s="501"/>
      <c r="HJ3321" s="501"/>
      <c r="HK3321" s="501"/>
      <c r="HL3321" s="501"/>
      <c r="HM3321" s="501"/>
      <c r="HN3321" s="501"/>
      <c r="HO3321" s="501"/>
      <c r="HP3321" s="501"/>
      <c r="HQ3321" s="501"/>
      <c r="HR3321" s="501"/>
      <c r="HS3321" s="501"/>
      <c r="HT3321" s="501"/>
      <c r="HU3321" s="501"/>
      <c r="HV3321" s="501"/>
      <c r="HW3321" s="501"/>
      <c r="HX3321" s="501"/>
      <c r="HY3321" s="501"/>
      <c r="HZ3321" s="501"/>
      <c r="IA3321" s="501"/>
      <c r="IB3321" s="501"/>
      <c r="IC3321" s="501"/>
      <c r="ID3321" s="501"/>
      <c r="IE3321" s="501"/>
      <c r="IF3321" s="501"/>
      <c r="IG3321" s="501"/>
      <c r="IH3321" s="501"/>
      <c r="II3321" s="501"/>
      <c r="IJ3321" s="501"/>
      <c r="IK3321" s="501"/>
      <c r="IL3321" s="501"/>
      <c r="IM3321" s="501"/>
      <c r="IN3321" s="501"/>
      <c r="IO3321" s="501"/>
      <c r="IP3321" s="501"/>
      <c r="IQ3321" s="501"/>
      <c r="IR3321" s="501"/>
      <c r="IS3321" s="501"/>
      <c r="IT3321" s="501"/>
      <c r="IU3321" s="501"/>
    </row>
    <row r="3322" spans="1:255" s="877" customFormat="1" ht="24" customHeight="1">
      <c r="A3322" s="501"/>
      <c r="B3322" s="501"/>
      <c r="C3322" s="501"/>
      <c r="D3322" s="501"/>
      <c r="E3322" s="501"/>
      <c r="F3322" s="885"/>
      <c r="G3322" s="1057"/>
      <c r="H3322" s="885"/>
      <c r="I3322" s="895"/>
      <c r="J3322" s="1198"/>
      <c r="K3322" s="885"/>
      <c r="L3322" s="895"/>
      <c r="M3322" s="899"/>
      <c r="N3322" s="501"/>
      <c r="O3322" s="1159"/>
      <c r="P3322" s="1152"/>
      <c r="Q3322" s="973"/>
      <c r="R3322" s="968"/>
      <c r="S3322" s="974"/>
      <c r="T3322" s="968"/>
      <c r="V3322" s="501"/>
      <c r="W3322" s="501"/>
      <c r="X3322" s="501"/>
      <c r="Y3322" s="501"/>
      <c r="Z3322" s="501"/>
      <c r="AA3322" s="501"/>
      <c r="AB3322" s="501"/>
      <c r="AC3322" s="501"/>
      <c r="AD3322" s="501"/>
      <c r="AE3322" s="501"/>
      <c r="AF3322" s="501"/>
      <c r="AG3322" s="501"/>
      <c r="AH3322" s="501"/>
      <c r="AI3322" s="501"/>
      <c r="AJ3322" s="501"/>
      <c r="AK3322" s="501"/>
      <c r="AL3322" s="501"/>
      <c r="AM3322" s="501"/>
      <c r="AN3322" s="501"/>
      <c r="AO3322" s="501"/>
      <c r="AP3322" s="501"/>
      <c r="AQ3322" s="501"/>
      <c r="AR3322" s="501"/>
      <c r="AS3322" s="501"/>
      <c r="AT3322" s="501"/>
      <c r="AU3322" s="501"/>
      <c r="AV3322" s="501"/>
      <c r="AW3322" s="501"/>
      <c r="AX3322" s="501"/>
      <c r="AY3322" s="501"/>
      <c r="AZ3322" s="501"/>
      <c r="BA3322" s="501"/>
      <c r="BB3322" s="501"/>
      <c r="BC3322" s="501"/>
      <c r="BD3322" s="501"/>
      <c r="BE3322" s="501"/>
      <c r="BF3322" s="501"/>
      <c r="BG3322" s="501"/>
      <c r="BH3322" s="501"/>
      <c r="BI3322" s="501"/>
      <c r="BJ3322" s="501"/>
      <c r="BK3322" s="501"/>
      <c r="BL3322" s="501"/>
      <c r="BM3322" s="501"/>
      <c r="BN3322" s="501"/>
      <c r="BO3322" s="501"/>
      <c r="BP3322" s="501"/>
      <c r="BQ3322" s="501"/>
      <c r="BR3322" s="501"/>
      <c r="BS3322" s="501"/>
      <c r="BT3322" s="501"/>
      <c r="BU3322" s="501"/>
      <c r="BV3322" s="501"/>
      <c r="BW3322" s="501"/>
      <c r="BX3322" s="501"/>
      <c r="BY3322" s="501"/>
      <c r="BZ3322" s="501"/>
      <c r="CA3322" s="501"/>
      <c r="CB3322" s="501"/>
      <c r="CC3322" s="501"/>
      <c r="CD3322" s="501"/>
      <c r="CE3322" s="501"/>
      <c r="CF3322" s="501"/>
      <c r="CG3322" s="501"/>
      <c r="CH3322" s="501"/>
      <c r="CI3322" s="501"/>
      <c r="CJ3322" s="501"/>
      <c r="CK3322" s="501"/>
      <c r="CL3322" s="501"/>
      <c r="CM3322" s="501"/>
      <c r="CN3322" s="501"/>
      <c r="CO3322" s="501"/>
      <c r="CP3322" s="501"/>
      <c r="CQ3322" s="501"/>
      <c r="CR3322" s="501"/>
      <c r="CS3322" s="501"/>
      <c r="CT3322" s="501"/>
      <c r="CU3322" s="501"/>
      <c r="CV3322" s="501"/>
      <c r="CW3322" s="501"/>
      <c r="CX3322" s="501"/>
      <c r="CY3322" s="501"/>
      <c r="CZ3322" s="501"/>
      <c r="DA3322" s="501"/>
      <c r="DB3322" s="501"/>
      <c r="DC3322" s="501"/>
      <c r="DD3322" s="501"/>
      <c r="DE3322" s="501"/>
      <c r="DF3322" s="501"/>
      <c r="DG3322" s="501"/>
      <c r="DH3322" s="501"/>
      <c r="DI3322" s="501"/>
      <c r="DJ3322" s="501"/>
      <c r="DK3322" s="501"/>
      <c r="DL3322" s="501"/>
      <c r="DM3322" s="501"/>
      <c r="DN3322" s="501"/>
      <c r="DO3322" s="501"/>
      <c r="DP3322" s="501"/>
      <c r="DQ3322" s="501"/>
      <c r="DR3322" s="501"/>
      <c r="DS3322" s="501"/>
      <c r="DT3322" s="501"/>
      <c r="DU3322" s="501"/>
      <c r="DV3322" s="501"/>
      <c r="DW3322" s="501"/>
      <c r="DX3322" s="501"/>
      <c r="DY3322" s="501"/>
      <c r="DZ3322" s="501"/>
      <c r="EA3322" s="501"/>
      <c r="EB3322" s="501"/>
      <c r="EC3322" s="501"/>
      <c r="ED3322" s="501"/>
      <c r="EE3322" s="501"/>
      <c r="EF3322" s="501"/>
      <c r="EG3322" s="501"/>
      <c r="EH3322" s="501"/>
      <c r="EI3322" s="501"/>
      <c r="EJ3322" s="501"/>
      <c r="EK3322" s="501"/>
      <c r="EL3322" s="501"/>
      <c r="EM3322" s="501"/>
      <c r="EN3322" s="501"/>
      <c r="EO3322" s="501"/>
      <c r="EP3322" s="501"/>
      <c r="EQ3322" s="501"/>
      <c r="ER3322" s="501"/>
      <c r="ES3322" s="501"/>
      <c r="ET3322" s="501"/>
      <c r="EU3322" s="501"/>
      <c r="EV3322" s="501"/>
      <c r="EW3322" s="501"/>
      <c r="EX3322" s="501"/>
      <c r="EY3322" s="501"/>
      <c r="EZ3322" s="501"/>
      <c r="FA3322" s="501"/>
      <c r="FB3322" s="501"/>
      <c r="FC3322" s="501"/>
      <c r="FD3322" s="501"/>
      <c r="FE3322" s="501"/>
      <c r="FF3322" s="501"/>
      <c r="FG3322" s="501"/>
      <c r="FH3322" s="501"/>
      <c r="FI3322" s="501"/>
      <c r="FJ3322" s="501"/>
      <c r="FK3322" s="501"/>
      <c r="FL3322" s="501"/>
      <c r="FM3322" s="501"/>
      <c r="FN3322" s="501"/>
      <c r="FO3322" s="501"/>
      <c r="FP3322" s="501"/>
      <c r="FQ3322" s="501"/>
      <c r="FR3322" s="501"/>
      <c r="FS3322" s="501"/>
      <c r="FT3322" s="501"/>
      <c r="FU3322" s="501"/>
      <c r="FV3322" s="501"/>
      <c r="FW3322" s="501"/>
      <c r="FX3322" s="501"/>
      <c r="FY3322" s="501"/>
      <c r="FZ3322" s="501"/>
      <c r="GA3322" s="501"/>
      <c r="GB3322" s="501"/>
      <c r="GC3322" s="501"/>
      <c r="GD3322" s="501"/>
      <c r="GE3322" s="501"/>
      <c r="GF3322" s="501"/>
      <c r="GG3322" s="501"/>
      <c r="GH3322" s="501"/>
      <c r="GI3322" s="501"/>
      <c r="GJ3322" s="501"/>
      <c r="GK3322" s="501"/>
      <c r="GL3322" s="501"/>
      <c r="GM3322" s="501"/>
      <c r="GN3322" s="501"/>
      <c r="GO3322" s="501"/>
      <c r="GP3322" s="501"/>
      <c r="GQ3322" s="501"/>
      <c r="GR3322" s="501"/>
      <c r="GS3322" s="501"/>
      <c r="GT3322" s="501"/>
      <c r="GU3322" s="501"/>
      <c r="GV3322" s="501"/>
      <c r="GW3322" s="501"/>
      <c r="GX3322" s="501"/>
      <c r="GY3322" s="501"/>
      <c r="GZ3322" s="501"/>
      <c r="HA3322" s="501"/>
      <c r="HB3322" s="501"/>
      <c r="HC3322" s="501"/>
      <c r="HD3322" s="501"/>
      <c r="HE3322" s="501"/>
      <c r="HF3322" s="501"/>
      <c r="HG3322" s="501"/>
      <c r="HH3322" s="501"/>
      <c r="HI3322" s="501"/>
      <c r="HJ3322" s="501"/>
      <c r="HK3322" s="501"/>
      <c r="HL3322" s="501"/>
      <c r="HM3322" s="501"/>
      <c r="HN3322" s="501"/>
      <c r="HO3322" s="501"/>
      <c r="HP3322" s="501"/>
      <c r="HQ3322" s="501"/>
      <c r="HR3322" s="501"/>
      <c r="HS3322" s="501"/>
      <c r="HT3322" s="501"/>
      <c r="HU3322" s="501"/>
      <c r="HV3322" s="501"/>
      <c r="HW3322" s="501"/>
      <c r="HX3322" s="501"/>
      <c r="HY3322" s="501"/>
      <c r="HZ3322" s="501"/>
      <c r="IA3322" s="501"/>
      <c r="IB3322" s="501"/>
      <c r="IC3322" s="501"/>
      <c r="ID3322" s="501"/>
      <c r="IE3322" s="501"/>
      <c r="IF3322" s="501"/>
      <c r="IG3322" s="501"/>
      <c r="IH3322" s="501"/>
      <c r="II3322" s="501"/>
      <c r="IJ3322" s="501"/>
      <c r="IK3322" s="501"/>
      <c r="IL3322" s="501"/>
      <c r="IM3322" s="501"/>
      <c r="IN3322" s="501"/>
      <c r="IO3322" s="501"/>
      <c r="IP3322" s="501"/>
      <c r="IQ3322" s="501"/>
      <c r="IR3322" s="501"/>
      <c r="IS3322" s="501"/>
      <c r="IT3322" s="501"/>
      <c r="IU3322" s="501"/>
    </row>
    <row r="3323" spans="1:255" s="877" customFormat="1" ht="24" customHeight="1">
      <c r="A3323" s="501"/>
      <c r="B3323" s="501"/>
      <c r="C3323" s="501"/>
      <c r="D3323" s="501"/>
      <c r="E3323" s="501"/>
      <c r="F3323" s="885"/>
      <c r="G3323" s="1057"/>
      <c r="H3323" s="885"/>
      <c r="I3323" s="895"/>
      <c r="J3323" s="885"/>
      <c r="K3323" s="885"/>
      <c r="L3323" s="895"/>
      <c r="M3323" s="899"/>
      <c r="N3323" s="501"/>
      <c r="O3323" s="968"/>
      <c r="P3323" s="1152"/>
      <c r="Q3323" s="973"/>
      <c r="R3323" s="968"/>
      <c r="S3323" s="974"/>
      <c r="T3323" s="968"/>
      <c r="V3323" s="501"/>
      <c r="W3323" s="501"/>
      <c r="X3323" s="501"/>
      <c r="Y3323" s="501"/>
      <c r="Z3323" s="501"/>
      <c r="AA3323" s="501"/>
      <c r="AB3323" s="501"/>
      <c r="AC3323" s="501"/>
      <c r="AD3323" s="501"/>
      <c r="AE3323" s="501"/>
      <c r="AF3323" s="501"/>
      <c r="AG3323" s="501"/>
      <c r="AH3323" s="501"/>
      <c r="AI3323" s="501"/>
      <c r="AJ3323" s="501"/>
      <c r="AK3323" s="501"/>
      <c r="AL3323" s="501"/>
      <c r="AM3323" s="501"/>
      <c r="AN3323" s="501"/>
      <c r="AO3323" s="501"/>
      <c r="AP3323" s="501"/>
      <c r="AQ3323" s="501"/>
      <c r="AR3323" s="501"/>
      <c r="AS3323" s="501"/>
      <c r="AT3323" s="501"/>
      <c r="AU3323" s="501"/>
      <c r="AV3323" s="501"/>
      <c r="AW3323" s="501"/>
      <c r="AX3323" s="501"/>
      <c r="AY3323" s="501"/>
      <c r="AZ3323" s="501"/>
      <c r="BA3323" s="501"/>
      <c r="BB3323" s="501"/>
      <c r="BC3323" s="501"/>
      <c r="BD3323" s="501"/>
      <c r="BE3323" s="501"/>
      <c r="BF3323" s="501"/>
      <c r="BG3323" s="501"/>
      <c r="BH3323" s="501"/>
      <c r="BI3323" s="501"/>
      <c r="BJ3323" s="501"/>
      <c r="BK3323" s="501"/>
      <c r="BL3323" s="501"/>
      <c r="BM3323" s="501"/>
      <c r="BN3323" s="501"/>
      <c r="BO3323" s="501"/>
      <c r="BP3323" s="501"/>
      <c r="BQ3323" s="501"/>
      <c r="BR3323" s="501"/>
      <c r="BS3323" s="501"/>
      <c r="BT3323" s="501"/>
      <c r="BU3323" s="501"/>
      <c r="BV3323" s="501"/>
      <c r="BW3323" s="501"/>
      <c r="BX3323" s="501"/>
      <c r="BY3323" s="501"/>
      <c r="BZ3323" s="501"/>
      <c r="CA3323" s="501"/>
      <c r="CB3323" s="501"/>
      <c r="CC3323" s="501"/>
      <c r="CD3323" s="501"/>
      <c r="CE3323" s="501"/>
      <c r="CF3323" s="501"/>
      <c r="CG3323" s="501"/>
      <c r="CH3323" s="501"/>
      <c r="CI3323" s="501"/>
      <c r="CJ3323" s="501"/>
      <c r="CK3323" s="501"/>
      <c r="CL3323" s="501"/>
      <c r="CM3323" s="501"/>
      <c r="CN3323" s="501"/>
      <c r="CO3323" s="501"/>
      <c r="CP3323" s="501"/>
      <c r="CQ3323" s="501"/>
      <c r="CR3323" s="501"/>
      <c r="CS3323" s="501"/>
      <c r="CT3323" s="501"/>
      <c r="CU3323" s="501"/>
      <c r="CV3323" s="501"/>
      <c r="CW3323" s="501"/>
      <c r="CX3323" s="501"/>
      <c r="CY3323" s="501"/>
      <c r="CZ3323" s="501"/>
      <c r="DA3323" s="501"/>
      <c r="DB3323" s="501"/>
      <c r="DC3323" s="501"/>
      <c r="DD3323" s="501"/>
      <c r="DE3323" s="501"/>
      <c r="DF3323" s="501"/>
      <c r="DG3323" s="501"/>
      <c r="DH3323" s="501"/>
      <c r="DI3323" s="501"/>
      <c r="DJ3323" s="501"/>
      <c r="DK3323" s="501"/>
      <c r="DL3323" s="501"/>
      <c r="DM3323" s="501"/>
      <c r="DN3323" s="501"/>
      <c r="DO3323" s="501"/>
      <c r="DP3323" s="501"/>
      <c r="DQ3323" s="501"/>
      <c r="DR3323" s="501"/>
      <c r="DS3323" s="501"/>
      <c r="DT3323" s="501"/>
      <c r="DU3323" s="501"/>
      <c r="DV3323" s="501"/>
      <c r="DW3323" s="501"/>
      <c r="DX3323" s="501"/>
      <c r="DY3323" s="501"/>
      <c r="DZ3323" s="501"/>
      <c r="EA3323" s="501"/>
      <c r="EB3323" s="501"/>
      <c r="EC3323" s="501"/>
      <c r="ED3323" s="501"/>
      <c r="EE3323" s="501"/>
      <c r="EF3323" s="501"/>
      <c r="EG3323" s="501"/>
      <c r="EH3323" s="501"/>
      <c r="EI3323" s="501"/>
      <c r="EJ3323" s="501"/>
      <c r="EK3323" s="501"/>
      <c r="EL3323" s="501"/>
      <c r="EM3323" s="501"/>
      <c r="EN3323" s="501"/>
      <c r="EO3323" s="501"/>
      <c r="EP3323" s="501"/>
      <c r="EQ3323" s="501"/>
      <c r="ER3323" s="501"/>
      <c r="ES3323" s="501"/>
      <c r="ET3323" s="501"/>
      <c r="EU3323" s="501"/>
      <c r="EV3323" s="501"/>
      <c r="EW3323" s="501"/>
      <c r="EX3323" s="501"/>
      <c r="EY3323" s="501"/>
      <c r="EZ3323" s="501"/>
      <c r="FA3323" s="501"/>
      <c r="FB3323" s="501"/>
      <c r="FC3323" s="501"/>
      <c r="FD3323" s="501"/>
      <c r="FE3323" s="501"/>
      <c r="FF3323" s="501"/>
      <c r="FG3323" s="501"/>
      <c r="FH3323" s="501"/>
      <c r="FI3323" s="501"/>
      <c r="FJ3323" s="501"/>
      <c r="FK3323" s="501"/>
      <c r="FL3323" s="501"/>
      <c r="FM3323" s="501"/>
      <c r="FN3323" s="501"/>
      <c r="FO3323" s="501"/>
      <c r="FP3323" s="501"/>
      <c r="FQ3323" s="501"/>
      <c r="FR3323" s="501"/>
      <c r="FS3323" s="501"/>
      <c r="FT3323" s="501"/>
      <c r="FU3323" s="501"/>
      <c r="FV3323" s="501"/>
      <c r="FW3323" s="501"/>
      <c r="FX3323" s="501"/>
      <c r="FY3323" s="501"/>
      <c r="FZ3323" s="501"/>
      <c r="GA3323" s="501"/>
      <c r="GB3323" s="501"/>
      <c r="GC3323" s="501"/>
      <c r="GD3323" s="501"/>
      <c r="GE3323" s="501"/>
      <c r="GF3323" s="501"/>
      <c r="GG3323" s="501"/>
      <c r="GH3323" s="501"/>
      <c r="GI3323" s="501"/>
      <c r="GJ3323" s="501"/>
      <c r="GK3323" s="501"/>
      <c r="GL3323" s="501"/>
      <c r="GM3323" s="501"/>
      <c r="GN3323" s="501"/>
      <c r="GO3323" s="501"/>
      <c r="GP3323" s="501"/>
      <c r="GQ3323" s="501"/>
      <c r="GR3323" s="501"/>
      <c r="GS3323" s="501"/>
      <c r="GT3323" s="501"/>
      <c r="GU3323" s="501"/>
      <c r="GV3323" s="501"/>
      <c r="GW3323" s="501"/>
      <c r="GX3323" s="501"/>
      <c r="GY3323" s="501"/>
      <c r="GZ3323" s="501"/>
      <c r="HA3323" s="501"/>
      <c r="HB3323" s="501"/>
      <c r="HC3323" s="501"/>
      <c r="HD3323" s="501"/>
      <c r="HE3323" s="501"/>
      <c r="HF3323" s="501"/>
      <c r="HG3323" s="501"/>
      <c r="HH3323" s="501"/>
      <c r="HI3323" s="501"/>
      <c r="HJ3323" s="501"/>
      <c r="HK3323" s="501"/>
      <c r="HL3323" s="501"/>
      <c r="HM3323" s="501"/>
      <c r="HN3323" s="501"/>
      <c r="HO3323" s="501"/>
      <c r="HP3323" s="501"/>
      <c r="HQ3323" s="501"/>
      <c r="HR3323" s="501"/>
      <c r="HS3323" s="501"/>
      <c r="HT3323" s="501"/>
      <c r="HU3323" s="501"/>
      <c r="HV3323" s="501"/>
      <c r="HW3323" s="501"/>
      <c r="HX3323" s="501"/>
      <c r="HY3323" s="501"/>
      <c r="HZ3323" s="501"/>
      <c r="IA3323" s="501"/>
      <c r="IB3323" s="501"/>
      <c r="IC3323" s="501"/>
      <c r="ID3323" s="501"/>
      <c r="IE3323" s="501"/>
      <c r="IF3323" s="501"/>
      <c r="IG3323" s="501"/>
      <c r="IH3323" s="501"/>
      <c r="II3323" s="501"/>
      <c r="IJ3323" s="501"/>
      <c r="IK3323" s="501"/>
      <c r="IL3323" s="501"/>
      <c r="IM3323" s="501"/>
      <c r="IN3323" s="501"/>
      <c r="IO3323" s="501"/>
      <c r="IP3323" s="501"/>
      <c r="IQ3323" s="501"/>
      <c r="IR3323" s="501"/>
      <c r="IS3323" s="501"/>
      <c r="IT3323" s="501"/>
      <c r="IU3323" s="501"/>
    </row>
    <row r="3324" spans="1:255" s="877" customFormat="1" ht="24" customHeight="1">
      <c r="A3324" s="501"/>
      <c r="B3324" s="501"/>
      <c r="C3324" s="501"/>
      <c r="D3324" s="501"/>
      <c r="E3324" s="501"/>
      <c r="F3324" s="885"/>
      <c r="G3324" s="1057"/>
      <c r="H3324" s="885"/>
      <c r="I3324" s="895"/>
      <c r="J3324" s="885"/>
      <c r="K3324" s="885"/>
      <c r="L3324" s="895"/>
      <c r="M3324" s="1201"/>
      <c r="N3324" s="501"/>
      <c r="O3324" s="968"/>
      <c r="P3324" s="1152"/>
      <c r="Q3324" s="973"/>
      <c r="R3324" s="968"/>
      <c r="S3324" s="974"/>
      <c r="T3324" s="968"/>
      <c r="V3324" s="501"/>
      <c r="W3324" s="501"/>
      <c r="X3324" s="501"/>
      <c r="Y3324" s="501"/>
      <c r="Z3324" s="501"/>
      <c r="AA3324" s="501"/>
      <c r="AB3324" s="501"/>
      <c r="AC3324" s="501"/>
      <c r="AD3324" s="501"/>
      <c r="AE3324" s="501"/>
      <c r="AF3324" s="501"/>
      <c r="AG3324" s="501"/>
      <c r="AH3324" s="501"/>
      <c r="AI3324" s="501"/>
      <c r="AJ3324" s="501"/>
      <c r="AK3324" s="501"/>
      <c r="AL3324" s="501"/>
      <c r="AM3324" s="501"/>
      <c r="AN3324" s="501"/>
      <c r="AO3324" s="501"/>
      <c r="AP3324" s="501"/>
      <c r="AQ3324" s="501"/>
      <c r="AR3324" s="501"/>
      <c r="AS3324" s="501"/>
      <c r="AT3324" s="501"/>
      <c r="AU3324" s="501"/>
      <c r="AV3324" s="501"/>
      <c r="AW3324" s="501"/>
      <c r="AX3324" s="501"/>
      <c r="AY3324" s="501"/>
      <c r="AZ3324" s="501"/>
      <c r="BA3324" s="501"/>
      <c r="BB3324" s="501"/>
      <c r="BC3324" s="501"/>
      <c r="BD3324" s="501"/>
      <c r="BE3324" s="501"/>
      <c r="BF3324" s="501"/>
      <c r="BG3324" s="501"/>
      <c r="BH3324" s="501"/>
      <c r="BI3324" s="501"/>
      <c r="BJ3324" s="501"/>
      <c r="BK3324" s="501"/>
      <c r="BL3324" s="501"/>
      <c r="BM3324" s="501"/>
      <c r="BN3324" s="501"/>
      <c r="BO3324" s="501"/>
      <c r="BP3324" s="501"/>
      <c r="BQ3324" s="501"/>
      <c r="BR3324" s="501"/>
      <c r="BS3324" s="501"/>
      <c r="BT3324" s="501"/>
      <c r="BU3324" s="501"/>
      <c r="BV3324" s="501"/>
      <c r="BW3324" s="501"/>
      <c r="BX3324" s="501"/>
      <c r="BY3324" s="501"/>
      <c r="BZ3324" s="501"/>
      <c r="CA3324" s="501"/>
      <c r="CB3324" s="501"/>
      <c r="CC3324" s="501"/>
      <c r="CD3324" s="501"/>
      <c r="CE3324" s="501"/>
      <c r="CF3324" s="501"/>
      <c r="CG3324" s="501"/>
      <c r="CH3324" s="501"/>
      <c r="CI3324" s="501"/>
      <c r="CJ3324" s="501"/>
      <c r="CK3324" s="501"/>
      <c r="CL3324" s="501"/>
      <c r="CM3324" s="501"/>
      <c r="CN3324" s="501"/>
      <c r="CO3324" s="501"/>
      <c r="CP3324" s="501"/>
      <c r="CQ3324" s="501"/>
      <c r="CR3324" s="501"/>
      <c r="CS3324" s="501"/>
      <c r="CT3324" s="501"/>
      <c r="CU3324" s="501"/>
      <c r="CV3324" s="501"/>
      <c r="CW3324" s="501"/>
      <c r="CX3324" s="501"/>
      <c r="CY3324" s="501"/>
      <c r="CZ3324" s="501"/>
      <c r="DA3324" s="501"/>
      <c r="DB3324" s="501"/>
      <c r="DC3324" s="501"/>
      <c r="DD3324" s="501"/>
      <c r="DE3324" s="501"/>
      <c r="DF3324" s="501"/>
      <c r="DG3324" s="501"/>
      <c r="DH3324" s="501"/>
      <c r="DI3324" s="501"/>
      <c r="DJ3324" s="501"/>
      <c r="DK3324" s="501"/>
      <c r="DL3324" s="501"/>
      <c r="DM3324" s="501"/>
      <c r="DN3324" s="501"/>
      <c r="DO3324" s="501"/>
      <c r="DP3324" s="501"/>
      <c r="DQ3324" s="501"/>
      <c r="DR3324" s="501"/>
      <c r="DS3324" s="501"/>
      <c r="DT3324" s="501"/>
      <c r="DU3324" s="501"/>
      <c r="DV3324" s="501"/>
      <c r="DW3324" s="501"/>
      <c r="DX3324" s="501"/>
      <c r="DY3324" s="501"/>
      <c r="DZ3324" s="501"/>
      <c r="EA3324" s="501"/>
      <c r="EB3324" s="501"/>
      <c r="EC3324" s="501"/>
      <c r="ED3324" s="501"/>
      <c r="EE3324" s="501"/>
      <c r="EF3324" s="501"/>
      <c r="EG3324" s="501"/>
      <c r="EH3324" s="501"/>
      <c r="EI3324" s="501"/>
      <c r="EJ3324" s="501"/>
      <c r="EK3324" s="501"/>
      <c r="EL3324" s="501"/>
      <c r="EM3324" s="501"/>
      <c r="EN3324" s="501"/>
      <c r="EO3324" s="501"/>
      <c r="EP3324" s="501"/>
      <c r="EQ3324" s="501"/>
      <c r="ER3324" s="501"/>
      <c r="ES3324" s="501"/>
      <c r="ET3324" s="501"/>
      <c r="EU3324" s="501"/>
      <c r="EV3324" s="501"/>
      <c r="EW3324" s="501"/>
      <c r="EX3324" s="501"/>
      <c r="EY3324" s="501"/>
      <c r="EZ3324" s="501"/>
      <c r="FA3324" s="501"/>
      <c r="FB3324" s="501"/>
      <c r="FC3324" s="501"/>
      <c r="FD3324" s="501"/>
      <c r="FE3324" s="501"/>
      <c r="FF3324" s="501"/>
      <c r="FG3324" s="501"/>
      <c r="FH3324" s="501"/>
      <c r="FI3324" s="501"/>
      <c r="FJ3324" s="501"/>
      <c r="FK3324" s="501"/>
      <c r="FL3324" s="501"/>
      <c r="FM3324" s="501"/>
      <c r="FN3324" s="501"/>
      <c r="FO3324" s="501"/>
      <c r="FP3324" s="501"/>
      <c r="FQ3324" s="501"/>
      <c r="FR3324" s="501"/>
      <c r="FS3324" s="501"/>
      <c r="FT3324" s="501"/>
      <c r="FU3324" s="501"/>
      <c r="FV3324" s="501"/>
      <c r="FW3324" s="501"/>
      <c r="FX3324" s="501"/>
      <c r="FY3324" s="501"/>
      <c r="FZ3324" s="501"/>
      <c r="GA3324" s="501"/>
      <c r="GB3324" s="501"/>
      <c r="GC3324" s="501"/>
      <c r="GD3324" s="501"/>
      <c r="GE3324" s="501"/>
      <c r="GF3324" s="501"/>
      <c r="GG3324" s="501"/>
      <c r="GH3324" s="501"/>
      <c r="GI3324" s="501"/>
      <c r="GJ3324" s="501"/>
      <c r="GK3324" s="501"/>
      <c r="GL3324" s="501"/>
      <c r="GM3324" s="501"/>
      <c r="GN3324" s="501"/>
      <c r="GO3324" s="501"/>
      <c r="GP3324" s="501"/>
      <c r="GQ3324" s="501"/>
      <c r="GR3324" s="501"/>
      <c r="GS3324" s="501"/>
      <c r="GT3324" s="501"/>
      <c r="GU3324" s="501"/>
      <c r="GV3324" s="501"/>
      <c r="GW3324" s="501"/>
      <c r="GX3324" s="501"/>
      <c r="GY3324" s="501"/>
      <c r="GZ3324" s="501"/>
      <c r="HA3324" s="501"/>
      <c r="HB3324" s="501"/>
      <c r="HC3324" s="501"/>
      <c r="HD3324" s="501"/>
      <c r="HE3324" s="501"/>
      <c r="HF3324" s="501"/>
      <c r="HG3324" s="501"/>
      <c r="HH3324" s="501"/>
      <c r="HI3324" s="501"/>
      <c r="HJ3324" s="501"/>
      <c r="HK3324" s="501"/>
      <c r="HL3324" s="501"/>
      <c r="HM3324" s="501"/>
      <c r="HN3324" s="501"/>
      <c r="HO3324" s="501"/>
      <c r="HP3324" s="501"/>
      <c r="HQ3324" s="501"/>
      <c r="HR3324" s="501"/>
      <c r="HS3324" s="501"/>
      <c r="HT3324" s="501"/>
      <c r="HU3324" s="501"/>
      <c r="HV3324" s="501"/>
      <c r="HW3324" s="501"/>
      <c r="HX3324" s="501"/>
      <c r="HY3324" s="501"/>
      <c r="HZ3324" s="501"/>
      <c r="IA3324" s="501"/>
      <c r="IB3324" s="501"/>
      <c r="IC3324" s="501"/>
      <c r="ID3324" s="501"/>
      <c r="IE3324" s="501"/>
      <c r="IF3324" s="501"/>
      <c r="IG3324" s="501"/>
      <c r="IH3324" s="501"/>
      <c r="II3324" s="501"/>
      <c r="IJ3324" s="501"/>
      <c r="IK3324" s="501"/>
      <c r="IL3324" s="501"/>
      <c r="IM3324" s="501"/>
      <c r="IN3324" s="501"/>
      <c r="IO3324" s="501"/>
      <c r="IP3324" s="501"/>
      <c r="IQ3324" s="501"/>
      <c r="IR3324" s="501"/>
      <c r="IS3324" s="501"/>
      <c r="IT3324" s="501"/>
      <c r="IU3324" s="501"/>
    </row>
    <row r="3325" spans="1:255" s="877" customFormat="1" ht="24" customHeight="1">
      <c r="A3325" s="501"/>
      <c r="B3325" s="501"/>
      <c r="C3325" s="501"/>
      <c r="D3325" s="501"/>
      <c r="E3325" s="501"/>
      <c r="F3325" s="885"/>
      <c r="G3325" s="1057"/>
      <c r="H3325" s="885"/>
      <c r="I3325" s="895"/>
      <c r="J3325" s="885"/>
      <c r="K3325" s="885"/>
      <c r="L3325" s="895"/>
      <c r="M3325" s="899"/>
      <c r="N3325" s="501"/>
      <c r="O3325" s="968"/>
      <c r="P3325" s="1152"/>
      <c r="Q3325" s="973"/>
      <c r="R3325" s="968"/>
      <c r="S3325" s="974"/>
      <c r="T3325" s="968"/>
      <c r="V3325" s="501"/>
      <c r="W3325" s="501"/>
      <c r="X3325" s="501"/>
      <c r="Y3325" s="501"/>
      <c r="Z3325" s="501"/>
      <c r="AA3325" s="501"/>
      <c r="AB3325" s="501"/>
      <c r="AC3325" s="501"/>
      <c r="AD3325" s="501"/>
      <c r="AE3325" s="501"/>
      <c r="AF3325" s="501"/>
      <c r="AG3325" s="501"/>
      <c r="AH3325" s="501"/>
      <c r="AI3325" s="501"/>
      <c r="AJ3325" s="501"/>
      <c r="AK3325" s="501"/>
      <c r="AL3325" s="501"/>
      <c r="AM3325" s="501"/>
      <c r="AN3325" s="501"/>
      <c r="AO3325" s="501"/>
      <c r="AP3325" s="501"/>
      <c r="AQ3325" s="501"/>
      <c r="AR3325" s="501"/>
      <c r="AS3325" s="501"/>
      <c r="AT3325" s="501"/>
      <c r="AU3325" s="501"/>
      <c r="AV3325" s="501"/>
      <c r="AW3325" s="501"/>
      <c r="AX3325" s="501"/>
      <c r="AY3325" s="501"/>
      <c r="AZ3325" s="501"/>
      <c r="BA3325" s="501"/>
      <c r="BB3325" s="501"/>
      <c r="BC3325" s="501"/>
      <c r="BD3325" s="501"/>
      <c r="BE3325" s="501"/>
      <c r="BF3325" s="501"/>
      <c r="BG3325" s="501"/>
      <c r="BH3325" s="501"/>
      <c r="BI3325" s="501"/>
      <c r="BJ3325" s="501"/>
      <c r="BK3325" s="501"/>
      <c r="BL3325" s="501"/>
      <c r="BM3325" s="501"/>
      <c r="BN3325" s="501"/>
      <c r="BO3325" s="501"/>
      <c r="BP3325" s="501"/>
      <c r="BQ3325" s="501"/>
      <c r="BR3325" s="501"/>
      <c r="BS3325" s="501"/>
      <c r="BT3325" s="501"/>
      <c r="BU3325" s="501"/>
      <c r="BV3325" s="501"/>
      <c r="BW3325" s="501"/>
      <c r="BX3325" s="501"/>
      <c r="BY3325" s="501"/>
      <c r="BZ3325" s="501"/>
      <c r="CA3325" s="501"/>
      <c r="CB3325" s="501"/>
      <c r="CC3325" s="501"/>
      <c r="CD3325" s="501"/>
      <c r="CE3325" s="501"/>
      <c r="CF3325" s="501"/>
      <c r="CG3325" s="501"/>
      <c r="CH3325" s="501"/>
      <c r="CI3325" s="501"/>
      <c r="CJ3325" s="501"/>
      <c r="CK3325" s="501"/>
      <c r="CL3325" s="501"/>
      <c r="CM3325" s="501"/>
      <c r="CN3325" s="501"/>
      <c r="CO3325" s="501"/>
      <c r="CP3325" s="501"/>
      <c r="CQ3325" s="501"/>
      <c r="CR3325" s="501"/>
      <c r="CS3325" s="501"/>
      <c r="CT3325" s="501"/>
      <c r="CU3325" s="501"/>
      <c r="CV3325" s="501"/>
      <c r="CW3325" s="501"/>
      <c r="CX3325" s="501"/>
      <c r="CY3325" s="501"/>
      <c r="CZ3325" s="501"/>
      <c r="DA3325" s="501"/>
      <c r="DB3325" s="501"/>
      <c r="DC3325" s="501"/>
      <c r="DD3325" s="501"/>
      <c r="DE3325" s="501"/>
      <c r="DF3325" s="501"/>
      <c r="DG3325" s="501"/>
      <c r="DH3325" s="501"/>
      <c r="DI3325" s="501"/>
      <c r="DJ3325" s="501"/>
      <c r="DK3325" s="501"/>
      <c r="DL3325" s="501"/>
      <c r="DM3325" s="501"/>
      <c r="DN3325" s="501"/>
      <c r="DO3325" s="501"/>
      <c r="DP3325" s="501"/>
      <c r="DQ3325" s="501"/>
      <c r="DR3325" s="501"/>
      <c r="DS3325" s="501"/>
      <c r="DT3325" s="501"/>
      <c r="DU3325" s="501"/>
      <c r="DV3325" s="501"/>
      <c r="DW3325" s="501"/>
      <c r="DX3325" s="501"/>
      <c r="DY3325" s="501"/>
      <c r="DZ3325" s="501"/>
      <c r="EA3325" s="501"/>
      <c r="EB3325" s="501"/>
      <c r="EC3325" s="501"/>
      <c r="ED3325" s="501"/>
      <c r="EE3325" s="501"/>
      <c r="EF3325" s="501"/>
      <c r="EG3325" s="501"/>
      <c r="EH3325" s="501"/>
      <c r="EI3325" s="501"/>
      <c r="EJ3325" s="501"/>
      <c r="EK3325" s="501"/>
      <c r="EL3325" s="501"/>
      <c r="EM3325" s="501"/>
      <c r="EN3325" s="501"/>
      <c r="EO3325" s="501"/>
      <c r="EP3325" s="501"/>
      <c r="EQ3325" s="501"/>
      <c r="ER3325" s="501"/>
      <c r="ES3325" s="501"/>
      <c r="ET3325" s="501"/>
      <c r="EU3325" s="501"/>
      <c r="EV3325" s="501"/>
      <c r="EW3325" s="501"/>
      <c r="EX3325" s="501"/>
      <c r="EY3325" s="501"/>
      <c r="EZ3325" s="501"/>
      <c r="FA3325" s="501"/>
      <c r="FB3325" s="501"/>
      <c r="FC3325" s="501"/>
      <c r="FD3325" s="501"/>
      <c r="FE3325" s="501"/>
      <c r="FF3325" s="501"/>
      <c r="FG3325" s="501"/>
      <c r="FH3325" s="501"/>
      <c r="FI3325" s="501"/>
      <c r="FJ3325" s="501"/>
      <c r="FK3325" s="501"/>
      <c r="FL3325" s="501"/>
      <c r="FM3325" s="501"/>
      <c r="FN3325" s="501"/>
      <c r="FO3325" s="501"/>
      <c r="FP3325" s="501"/>
      <c r="FQ3325" s="501"/>
      <c r="FR3325" s="501"/>
      <c r="FS3325" s="501"/>
      <c r="FT3325" s="501"/>
      <c r="FU3325" s="501"/>
      <c r="FV3325" s="501"/>
      <c r="FW3325" s="501"/>
      <c r="FX3325" s="501"/>
      <c r="FY3325" s="501"/>
      <c r="FZ3325" s="501"/>
      <c r="GA3325" s="501"/>
      <c r="GB3325" s="501"/>
      <c r="GC3325" s="501"/>
      <c r="GD3325" s="501"/>
      <c r="GE3325" s="501"/>
      <c r="GF3325" s="501"/>
      <c r="GG3325" s="501"/>
      <c r="GH3325" s="501"/>
      <c r="GI3325" s="501"/>
      <c r="GJ3325" s="501"/>
      <c r="GK3325" s="501"/>
      <c r="GL3325" s="501"/>
      <c r="GM3325" s="501"/>
      <c r="GN3325" s="501"/>
      <c r="GO3325" s="501"/>
      <c r="GP3325" s="501"/>
      <c r="GQ3325" s="501"/>
      <c r="GR3325" s="501"/>
      <c r="GS3325" s="501"/>
      <c r="GT3325" s="501"/>
      <c r="GU3325" s="501"/>
      <c r="GV3325" s="501"/>
      <c r="GW3325" s="501"/>
      <c r="GX3325" s="501"/>
      <c r="GY3325" s="501"/>
      <c r="GZ3325" s="501"/>
      <c r="HA3325" s="501"/>
      <c r="HB3325" s="501"/>
      <c r="HC3325" s="501"/>
      <c r="HD3325" s="501"/>
      <c r="HE3325" s="501"/>
      <c r="HF3325" s="501"/>
      <c r="HG3325" s="501"/>
      <c r="HH3325" s="501"/>
      <c r="HI3325" s="501"/>
      <c r="HJ3325" s="501"/>
      <c r="HK3325" s="501"/>
      <c r="HL3325" s="501"/>
      <c r="HM3325" s="501"/>
      <c r="HN3325" s="501"/>
      <c r="HO3325" s="501"/>
      <c r="HP3325" s="501"/>
      <c r="HQ3325" s="501"/>
      <c r="HR3325" s="501"/>
      <c r="HS3325" s="501"/>
      <c r="HT3325" s="501"/>
      <c r="HU3325" s="501"/>
      <c r="HV3325" s="501"/>
      <c r="HW3325" s="501"/>
      <c r="HX3325" s="501"/>
      <c r="HY3325" s="501"/>
      <c r="HZ3325" s="501"/>
      <c r="IA3325" s="501"/>
      <c r="IB3325" s="501"/>
      <c r="IC3325" s="501"/>
      <c r="ID3325" s="501"/>
      <c r="IE3325" s="501"/>
      <c r="IF3325" s="501"/>
      <c r="IG3325" s="501"/>
      <c r="IH3325" s="501"/>
      <c r="II3325" s="501"/>
      <c r="IJ3325" s="501"/>
      <c r="IK3325" s="501"/>
      <c r="IL3325" s="501"/>
      <c r="IM3325" s="501"/>
      <c r="IN3325" s="501"/>
      <c r="IO3325" s="501"/>
      <c r="IP3325" s="501"/>
      <c r="IQ3325" s="501"/>
      <c r="IR3325" s="501"/>
      <c r="IS3325" s="501"/>
      <c r="IT3325" s="501"/>
      <c r="IU3325" s="501"/>
    </row>
    <row r="3326" spans="1:255" s="877" customFormat="1" ht="24" customHeight="1">
      <c r="A3326" s="501"/>
      <c r="B3326" s="501"/>
      <c r="C3326" s="501"/>
      <c r="D3326" s="501"/>
      <c r="E3326" s="501"/>
      <c r="F3326" s="885"/>
      <c r="G3326" s="1057"/>
      <c r="H3326" s="885"/>
      <c r="I3326" s="895"/>
      <c r="J3326" s="885"/>
      <c r="K3326" s="885"/>
      <c r="L3326" s="895"/>
      <c r="M3326" s="1201"/>
      <c r="N3326" s="501"/>
      <c r="O3326" s="968"/>
      <c r="P3326" s="1152"/>
      <c r="Q3326" s="973"/>
      <c r="R3326" s="968"/>
      <c r="S3326" s="974"/>
      <c r="T3326" s="968"/>
      <c r="V3326" s="501"/>
      <c r="W3326" s="501"/>
      <c r="X3326" s="501"/>
      <c r="Y3326" s="501"/>
      <c r="Z3326" s="501"/>
      <c r="AA3326" s="501"/>
      <c r="AB3326" s="501"/>
      <c r="AC3326" s="501"/>
      <c r="AD3326" s="501"/>
      <c r="AE3326" s="501"/>
      <c r="AF3326" s="501"/>
      <c r="AG3326" s="501"/>
      <c r="AH3326" s="501"/>
      <c r="AI3326" s="501"/>
      <c r="AJ3326" s="501"/>
      <c r="AK3326" s="501"/>
      <c r="AL3326" s="501"/>
      <c r="AM3326" s="501"/>
      <c r="AN3326" s="501"/>
      <c r="AO3326" s="501"/>
      <c r="AP3326" s="501"/>
      <c r="AQ3326" s="501"/>
      <c r="AR3326" s="501"/>
      <c r="AS3326" s="501"/>
      <c r="AT3326" s="501"/>
      <c r="AU3326" s="501"/>
      <c r="AV3326" s="501"/>
      <c r="AW3326" s="501"/>
      <c r="AX3326" s="501"/>
      <c r="AY3326" s="501"/>
      <c r="AZ3326" s="501"/>
      <c r="BA3326" s="501"/>
      <c r="BB3326" s="501"/>
      <c r="BC3326" s="501"/>
      <c r="BD3326" s="501"/>
      <c r="BE3326" s="501"/>
      <c r="BF3326" s="501"/>
      <c r="BG3326" s="501"/>
      <c r="BH3326" s="501"/>
      <c r="BI3326" s="501"/>
      <c r="BJ3326" s="501"/>
      <c r="BK3326" s="501"/>
      <c r="BL3326" s="501"/>
      <c r="BM3326" s="501"/>
      <c r="BN3326" s="501"/>
      <c r="BO3326" s="501"/>
      <c r="BP3326" s="501"/>
      <c r="BQ3326" s="501"/>
      <c r="BR3326" s="501"/>
      <c r="BS3326" s="501"/>
      <c r="BT3326" s="501"/>
      <c r="BU3326" s="501"/>
      <c r="BV3326" s="501"/>
      <c r="BW3326" s="501"/>
      <c r="BX3326" s="501"/>
      <c r="BY3326" s="501"/>
      <c r="BZ3326" s="501"/>
      <c r="CA3326" s="501"/>
      <c r="CB3326" s="501"/>
      <c r="CC3326" s="501"/>
      <c r="CD3326" s="501"/>
      <c r="CE3326" s="501"/>
      <c r="CF3326" s="501"/>
      <c r="CG3326" s="501"/>
      <c r="CH3326" s="501"/>
      <c r="CI3326" s="501"/>
      <c r="CJ3326" s="501"/>
      <c r="CK3326" s="501"/>
      <c r="CL3326" s="501"/>
      <c r="CM3326" s="501"/>
      <c r="CN3326" s="501"/>
      <c r="CO3326" s="501"/>
      <c r="CP3326" s="501"/>
      <c r="CQ3326" s="501"/>
      <c r="CR3326" s="501"/>
      <c r="CS3326" s="501"/>
      <c r="CT3326" s="501"/>
      <c r="CU3326" s="501"/>
      <c r="CV3326" s="501"/>
      <c r="CW3326" s="501"/>
      <c r="CX3326" s="501"/>
      <c r="CY3326" s="501"/>
      <c r="CZ3326" s="501"/>
      <c r="DA3326" s="501"/>
      <c r="DB3326" s="501"/>
      <c r="DC3326" s="501"/>
      <c r="DD3326" s="501"/>
      <c r="DE3326" s="501"/>
      <c r="DF3326" s="501"/>
      <c r="DG3326" s="501"/>
      <c r="DH3326" s="501"/>
      <c r="DI3326" s="501"/>
      <c r="DJ3326" s="501"/>
      <c r="DK3326" s="501"/>
      <c r="DL3326" s="501"/>
      <c r="DM3326" s="501"/>
      <c r="DN3326" s="501"/>
      <c r="DO3326" s="501"/>
      <c r="DP3326" s="501"/>
      <c r="DQ3326" s="501"/>
      <c r="DR3326" s="501"/>
      <c r="DS3326" s="501"/>
      <c r="DT3326" s="501"/>
      <c r="DU3326" s="501"/>
      <c r="DV3326" s="501"/>
      <c r="DW3326" s="501"/>
      <c r="DX3326" s="501"/>
      <c r="DY3326" s="501"/>
      <c r="DZ3326" s="501"/>
      <c r="EA3326" s="501"/>
      <c r="EB3326" s="501"/>
      <c r="EC3326" s="501"/>
      <c r="ED3326" s="501"/>
      <c r="EE3326" s="501"/>
      <c r="EF3326" s="501"/>
      <c r="EG3326" s="501"/>
      <c r="EH3326" s="501"/>
      <c r="EI3326" s="501"/>
      <c r="EJ3326" s="501"/>
      <c r="EK3326" s="501"/>
      <c r="EL3326" s="501"/>
      <c r="EM3326" s="501"/>
      <c r="EN3326" s="501"/>
      <c r="EO3326" s="501"/>
      <c r="EP3326" s="501"/>
      <c r="EQ3326" s="501"/>
      <c r="ER3326" s="501"/>
      <c r="ES3326" s="501"/>
      <c r="ET3326" s="501"/>
      <c r="EU3326" s="501"/>
      <c r="EV3326" s="501"/>
      <c r="EW3326" s="501"/>
      <c r="EX3326" s="501"/>
      <c r="EY3326" s="501"/>
      <c r="EZ3326" s="501"/>
      <c r="FA3326" s="501"/>
      <c r="FB3326" s="501"/>
      <c r="FC3326" s="501"/>
      <c r="FD3326" s="501"/>
      <c r="FE3326" s="501"/>
      <c r="FF3326" s="501"/>
      <c r="FG3326" s="501"/>
      <c r="FH3326" s="501"/>
      <c r="FI3326" s="501"/>
      <c r="FJ3326" s="501"/>
      <c r="FK3326" s="501"/>
      <c r="FL3326" s="501"/>
      <c r="FM3326" s="501"/>
      <c r="FN3326" s="501"/>
      <c r="FO3326" s="501"/>
      <c r="FP3326" s="501"/>
      <c r="FQ3326" s="501"/>
      <c r="FR3326" s="501"/>
      <c r="FS3326" s="501"/>
      <c r="FT3326" s="501"/>
      <c r="FU3326" s="501"/>
      <c r="FV3326" s="501"/>
      <c r="FW3326" s="501"/>
      <c r="FX3326" s="501"/>
      <c r="FY3326" s="501"/>
      <c r="FZ3326" s="501"/>
      <c r="GA3326" s="501"/>
      <c r="GB3326" s="501"/>
      <c r="GC3326" s="501"/>
      <c r="GD3326" s="501"/>
      <c r="GE3326" s="501"/>
      <c r="GF3326" s="501"/>
      <c r="GG3326" s="501"/>
      <c r="GH3326" s="501"/>
      <c r="GI3326" s="501"/>
      <c r="GJ3326" s="501"/>
      <c r="GK3326" s="501"/>
      <c r="GL3326" s="501"/>
      <c r="GM3326" s="501"/>
      <c r="GN3326" s="501"/>
      <c r="GO3326" s="501"/>
      <c r="GP3326" s="501"/>
      <c r="GQ3326" s="501"/>
      <c r="GR3326" s="501"/>
      <c r="GS3326" s="501"/>
      <c r="GT3326" s="501"/>
      <c r="GU3326" s="501"/>
      <c r="GV3326" s="501"/>
      <c r="GW3326" s="501"/>
      <c r="GX3326" s="501"/>
      <c r="GY3326" s="501"/>
      <c r="GZ3326" s="501"/>
      <c r="HA3326" s="501"/>
      <c r="HB3326" s="501"/>
      <c r="HC3326" s="501"/>
      <c r="HD3326" s="501"/>
      <c r="HE3326" s="501"/>
      <c r="HF3326" s="501"/>
      <c r="HG3326" s="501"/>
      <c r="HH3326" s="501"/>
      <c r="HI3326" s="501"/>
      <c r="HJ3326" s="501"/>
      <c r="HK3326" s="501"/>
      <c r="HL3326" s="501"/>
      <c r="HM3326" s="501"/>
      <c r="HN3326" s="501"/>
      <c r="HO3326" s="501"/>
      <c r="HP3326" s="501"/>
      <c r="HQ3326" s="501"/>
      <c r="HR3326" s="501"/>
      <c r="HS3326" s="501"/>
      <c r="HT3326" s="501"/>
      <c r="HU3326" s="501"/>
      <c r="HV3326" s="501"/>
      <c r="HW3326" s="501"/>
      <c r="HX3326" s="501"/>
      <c r="HY3326" s="501"/>
      <c r="HZ3326" s="501"/>
      <c r="IA3326" s="501"/>
      <c r="IB3326" s="501"/>
      <c r="IC3326" s="501"/>
      <c r="ID3326" s="501"/>
      <c r="IE3326" s="501"/>
      <c r="IF3326" s="501"/>
      <c r="IG3326" s="501"/>
      <c r="IH3326" s="501"/>
      <c r="II3326" s="501"/>
      <c r="IJ3326" s="501"/>
      <c r="IK3326" s="501"/>
      <c r="IL3326" s="501"/>
      <c r="IM3326" s="501"/>
      <c r="IN3326" s="501"/>
      <c r="IO3326" s="501"/>
      <c r="IP3326" s="501"/>
      <c r="IQ3326" s="501"/>
      <c r="IR3326" s="501"/>
      <c r="IS3326" s="501"/>
      <c r="IT3326" s="501"/>
      <c r="IU3326" s="501"/>
    </row>
    <row r="3327" spans="1:255" s="877" customFormat="1" ht="24" customHeight="1">
      <c r="A3327" s="501"/>
      <c r="B3327" s="501"/>
      <c r="C3327" s="501"/>
      <c r="D3327" s="501"/>
      <c r="E3327" s="501"/>
      <c r="F3327" s="501"/>
      <c r="G3327" s="915"/>
      <c r="H3327" s="501"/>
      <c r="I3327" s="874"/>
      <c r="J3327" s="501"/>
      <c r="K3327" s="501"/>
      <c r="L3327" s="501"/>
      <c r="M3327" s="554"/>
      <c r="N3327" s="501"/>
      <c r="O3327" s="968"/>
      <c r="P3327" s="1152"/>
      <c r="Q3327" s="973"/>
      <c r="R3327" s="968"/>
      <c r="S3327" s="974"/>
      <c r="T3327" s="968"/>
      <c r="V3327" s="501"/>
      <c r="W3327" s="501"/>
      <c r="X3327" s="501"/>
      <c r="Y3327" s="501"/>
      <c r="Z3327" s="501"/>
      <c r="AA3327" s="501"/>
      <c r="AB3327" s="501"/>
      <c r="AC3327" s="501"/>
      <c r="AD3327" s="501"/>
      <c r="AE3327" s="501"/>
      <c r="AF3327" s="501"/>
      <c r="AG3327" s="501"/>
      <c r="AH3327" s="501"/>
      <c r="AI3327" s="501"/>
      <c r="AJ3327" s="501"/>
      <c r="AK3327" s="501"/>
      <c r="AL3327" s="501"/>
      <c r="AM3327" s="501"/>
      <c r="AN3327" s="501"/>
      <c r="AO3327" s="501"/>
      <c r="AP3327" s="501"/>
      <c r="AQ3327" s="501"/>
      <c r="AR3327" s="501"/>
      <c r="AS3327" s="501"/>
      <c r="AT3327" s="501"/>
      <c r="AU3327" s="501"/>
      <c r="AV3327" s="501"/>
      <c r="AW3327" s="501"/>
      <c r="AX3327" s="501"/>
      <c r="AY3327" s="501"/>
      <c r="AZ3327" s="501"/>
      <c r="BA3327" s="501"/>
      <c r="BB3327" s="501"/>
      <c r="BC3327" s="501"/>
      <c r="BD3327" s="501"/>
      <c r="BE3327" s="501"/>
      <c r="BF3327" s="501"/>
      <c r="BG3327" s="501"/>
      <c r="BH3327" s="501"/>
      <c r="BI3327" s="501"/>
      <c r="BJ3327" s="501"/>
      <c r="BK3327" s="501"/>
      <c r="BL3327" s="501"/>
      <c r="BM3327" s="501"/>
      <c r="BN3327" s="501"/>
      <c r="BO3327" s="501"/>
      <c r="BP3327" s="501"/>
      <c r="BQ3327" s="501"/>
      <c r="BR3327" s="501"/>
      <c r="BS3327" s="501"/>
      <c r="BT3327" s="501"/>
      <c r="BU3327" s="501"/>
      <c r="BV3327" s="501"/>
      <c r="BW3327" s="501"/>
      <c r="BX3327" s="501"/>
      <c r="BY3327" s="501"/>
      <c r="BZ3327" s="501"/>
      <c r="CA3327" s="501"/>
      <c r="CB3327" s="501"/>
      <c r="CC3327" s="501"/>
      <c r="CD3327" s="501"/>
      <c r="CE3327" s="501"/>
      <c r="CF3327" s="501"/>
      <c r="CG3327" s="501"/>
      <c r="CH3327" s="501"/>
      <c r="CI3327" s="501"/>
      <c r="CJ3327" s="501"/>
      <c r="CK3327" s="501"/>
      <c r="CL3327" s="501"/>
      <c r="CM3327" s="501"/>
      <c r="CN3327" s="501"/>
      <c r="CO3327" s="501"/>
      <c r="CP3327" s="501"/>
      <c r="CQ3327" s="501"/>
      <c r="CR3327" s="501"/>
      <c r="CS3327" s="501"/>
      <c r="CT3327" s="501"/>
      <c r="CU3327" s="501"/>
      <c r="CV3327" s="501"/>
      <c r="CW3327" s="501"/>
      <c r="CX3327" s="501"/>
      <c r="CY3327" s="501"/>
      <c r="CZ3327" s="501"/>
      <c r="DA3327" s="501"/>
      <c r="DB3327" s="501"/>
      <c r="DC3327" s="501"/>
      <c r="DD3327" s="501"/>
      <c r="DE3327" s="501"/>
      <c r="DF3327" s="501"/>
      <c r="DG3327" s="501"/>
      <c r="DH3327" s="501"/>
      <c r="DI3327" s="501"/>
      <c r="DJ3327" s="501"/>
      <c r="DK3327" s="501"/>
      <c r="DL3327" s="501"/>
      <c r="DM3327" s="501"/>
      <c r="DN3327" s="501"/>
      <c r="DO3327" s="501"/>
      <c r="DP3327" s="501"/>
      <c r="DQ3327" s="501"/>
      <c r="DR3327" s="501"/>
      <c r="DS3327" s="501"/>
      <c r="DT3327" s="501"/>
      <c r="DU3327" s="501"/>
      <c r="DV3327" s="501"/>
      <c r="DW3327" s="501"/>
      <c r="DX3327" s="501"/>
      <c r="DY3327" s="501"/>
      <c r="DZ3327" s="501"/>
      <c r="EA3327" s="501"/>
      <c r="EB3327" s="501"/>
      <c r="EC3327" s="501"/>
      <c r="ED3327" s="501"/>
      <c r="EE3327" s="501"/>
      <c r="EF3327" s="501"/>
      <c r="EG3327" s="501"/>
      <c r="EH3327" s="501"/>
      <c r="EI3327" s="501"/>
      <c r="EJ3327" s="501"/>
      <c r="EK3327" s="501"/>
      <c r="EL3327" s="501"/>
      <c r="EM3327" s="501"/>
      <c r="EN3327" s="501"/>
      <c r="EO3327" s="501"/>
      <c r="EP3327" s="501"/>
      <c r="EQ3327" s="501"/>
      <c r="ER3327" s="501"/>
      <c r="ES3327" s="501"/>
      <c r="ET3327" s="501"/>
      <c r="EU3327" s="501"/>
      <c r="EV3327" s="501"/>
      <c r="EW3327" s="501"/>
      <c r="EX3327" s="501"/>
      <c r="EY3327" s="501"/>
      <c r="EZ3327" s="501"/>
      <c r="FA3327" s="501"/>
      <c r="FB3327" s="501"/>
      <c r="FC3327" s="501"/>
      <c r="FD3327" s="501"/>
      <c r="FE3327" s="501"/>
      <c r="FF3327" s="501"/>
      <c r="FG3327" s="501"/>
      <c r="FH3327" s="501"/>
      <c r="FI3327" s="501"/>
      <c r="FJ3327" s="501"/>
      <c r="FK3327" s="501"/>
      <c r="FL3327" s="501"/>
      <c r="FM3327" s="501"/>
      <c r="FN3327" s="501"/>
      <c r="FO3327" s="501"/>
      <c r="FP3327" s="501"/>
      <c r="FQ3327" s="501"/>
      <c r="FR3327" s="501"/>
      <c r="FS3327" s="501"/>
      <c r="FT3327" s="501"/>
      <c r="FU3327" s="501"/>
      <c r="FV3327" s="501"/>
      <c r="FW3327" s="501"/>
      <c r="FX3327" s="501"/>
      <c r="FY3327" s="501"/>
      <c r="FZ3327" s="501"/>
      <c r="GA3327" s="501"/>
      <c r="GB3327" s="501"/>
      <c r="GC3327" s="501"/>
      <c r="GD3327" s="501"/>
      <c r="GE3327" s="501"/>
      <c r="GF3327" s="501"/>
      <c r="GG3327" s="501"/>
      <c r="GH3327" s="501"/>
      <c r="GI3327" s="501"/>
      <c r="GJ3327" s="501"/>
      <c r="GK3327" s="501"/>
      <c r="GL3327" s="501"/>
      <c r="GM3327" s="501"/>
      <c r="GN3327" s="501"/>
      <c r="GO3327" s="501"/>
      <c r="GP3327" s="501"/>
      <c r="GQ3327" s="501"/>
      <c r="GR3327" s="501"/>
      <c r="GS3327" s="501"/>
      <c r="GT3327" s="501"/>
      <c r="GU3327" s="501"/>
      <c r="GV3327" s="501"/>
      <c r="GW3327" s="501"/>
      <c r="GX3327" s="501"/>
      <c r="GY3327" s="501"/>
      <c r="GZ3327" s="501"/>
      <c r="HA3327" s="501"/>
      <c r="HB3327" s="501"/>
      <c r="HC3327" s="501"/>
      <c r="HD3327" s="501"/>
      <c r="HE3327" s="501"/>
      <c r="HF3327" s="501"/>
      <c r="HG3327" s="501"/>
      <c r="HH3327" s="501"/>
      <c r="HI3327" s="501"/>
      <c r="HJ3327" s="501"/>
      <c r="HK3327" s="501"/>
      <c r="HL3327" s="501"/>
      <c r="HM3327" s="501"/>
      <c r="HN3327" s="501"/>
      <c r="HO3327" s="501"/>
      <c r="HP3327" s="501"/>
      <c r="HQ3327" s="501"/>
      <c r="HR3327" s="501"/>
      <c r="HS3327" s="501"/>
      <c r="HT3327" s="501"/>
      <c r="HU3327" s="501"/>
      <c r="HV3327" s="501"/>
      <c r="HW3327" s="501"/>
      <c r="HX3327" s="501"/>
      <c r="HY3327" s="501"/>
      <c r="HZ3327" s="501"/>
      <c r="IA3327" s="501"/>
      <c r="IB3327" s="501"/>
      <c r="IC3327" s="501"/>
      <c r="ID3327" s="501"/>
      <c r="IE3327" s="501"/>
      <c r="IF3327" s="501"/>
      <c r="IG3327" s="501"/>
      <c r="IH3327" s="501"/>
      <c r="II3327" s="501"/>
      <c r="IJ3327" s="501"/>
      <c r="IK3327" s="501"/>
      <c r="IL3327" s="501"/>
      <c r="IM3327" s="501"/>
      <c r="IN3327" s="501"/>
      <c r="IO3327" s="501"/>
      <c r="IP3327" s="501"/>
      <c r="IQ3327" s="501"/>
      <c r="IR3327" s="501"/>
      <c r="IS3327" s="501"/>
      <c r="IT3327" s="501"/>
      <c r="IU3327" s="501"/>
    </row>
    <row r="3328" spans="1:255" s="877" customFormat="1" ht="24" customHeight="1">
      <c r="A3328" s="501"/>
      <c r="B3328" s="501"/>
      <c r="C3328" s="501"/>
      <c r="D3328" s="501"/>
      <c r="E3328" s="501"/>
      <c r="F3328" s="501"/>
      <c r="G3328" s="915"/>
      <c r="H3328" s="501"/>
      <c r="I3328" s="874"/>
      <c r="J3328" s="501"/>
      <c r="K3328" s="501"/>
      <c r="L3328" s="501"/>
      <c r="M3328" s="554"/>
      <c r="N3328" s="501"/>
      <c r="O3328" s="968"/>
      <c r="P3328" s="1152"/>
      <c r="Q3328" s="973"/>
      <c r="R3328" s="968"/>
      <c r="S3328" s="974"/>
      <c r="T3328" s="968"/>
      <c r="V3328" s="501"/>
      <c r="W3328" s="501"/>
      <c r="X3328" s="501"/>
      <c r="Y3328" s="501"/>
      <c r="Z3328" s="501"/>
      <c r="AA3328" s="501"/>
      <c r="AB3328" s="501"/>
      <c r="AC3328" s="501"/>
      <c r="AD3328" s="501"/>
      <c r="AE3328" s="501"/>
      <c r="AF3328" s="501"/>
      <c r="AG3328" s="501"/>
      <c r="AH3328" s="501"/>
      <c r="AI3328" s="501"/>
      <c r="AJ3328" s="501"/>
      <c r="AK3328" s="501"/>
      <c r="AL3328" s="501"/>
      <c r="AM3328" s="501"/>
      <c r="AN3328" s="501"/>
      <c r="AO3328" s="501"/>
      <c r="AP3328" s="501"/>
      <c r="AQ3328" s="501"/>
      <c r="AR3328" s="501"/>
      <c r="AS3328" s="501"/>
      <c r="AT3328" s="501"/>
      <c r="AU3328" s="501"/>
      <c r="AV3328" s="501"/>
      <c r="AW3328" s="501"/>
      <c r="AX3328" s="501"/>
      <c r="AY3328" s="501"/>
      <c r="AZ3328" s="501"/>
      <c r="BA3328" s="501"/>
      <c r="BB3328" s="501"/>
      <c r="BC3328" s="501"/>
      <c r="BD3328" s="501"/>
      <c r="BE3328" s="501"/>
      <c r="BF3328" s="501"/>
      <c r="BG3328" s="501"/>
      <c r="BH3328" s="501"/>
      <c r="BI3328" s="501"/>
      <c r="BJ3328" s="501"/>
      <c r="BK3328" s="501"/>
      <c r="BL3328" s="501"/>
      <c r="BM3328" s="501"/>
      <c r="BN3328" s="501"/>
      <c r="BO3328" s="501"/>
      <c r="BP3328" s="501"/>
      <c r="BQ3328" s="501"/>
      <c r="BR3328" s="501"/>
      <c r="BS3328" s="501"/>
      <c r="BT3328" s="501"/>
      <c r="BU3328" s="501"/>
      <c r="BV3328" s="501"/>
      <c r="BW3328" s="501"/>
      <c r="BX3328" s="501"/>
      <c r="BY3328" s="501"/>
      <c r="BZ3328" s="501"/>
      <c r="CA3328" s="501"/>
      <c r="CB3328" s="501"/>
      <c r="CC3328" s="501"/>
      <c r="CD3328" s="501"/>
      <c r="CE3328" s="501"/>
      <c r="CF3328" s="501"/>
      <c r="CG3328" s="501"/>
      <c r="CH3328" s="501"/>
      <c r="CI3328" s="501"/>
      <c r="CJ3328" s="501"/>
      <c r="CK3328" s="501"/>
      <c r="CL3328" s="501"/>
      <c r="CM3328" s="501"/>
      <c r="CN3328" s="501"/>
      <c r="CO3328" s="501"/>
      <c r="CP3328" s="501"/>
      <c r="CQ3328" s="501"/>
      <c r="CR3328" s="501"/>
      <c r="CS3328" s="501"/>
      <c r="CT3328" s="501"/>
      <c r="CU3328" s="501"/>
      <c r="CV3328" s="501"/>
      <c r="CW3328" s="501"/>
      <c r="CX3328" s="501"/>
      <c r="CY3328" s="501"/>
      <c r="CZ3328" s="501"/>
      <c r="DA3328" s="501"/>
      <c r="DB3328" s="501"/>
      <c r="DC3328" s="501"/>
      <c r="DD3328" s="501"/>
      <c r="DE3328" s="501"/>
      <c r="DF3328" s="501"/>
      <c r="DG3328" s="501"/>
      <c r="DH3328" s="501"/>
      <c r="DI3328" s="501"/>
      <c r="DJ3328" s="501"/>
      <c r="DK3328" s="501"/>
      <c r="DL3328" s="501"/>
      <c r="DM3328" s="501"/>
      <c r="DN3328" s="501"/>
      <c r="DO3328" s="501"/>
      <c r="DP3328" s="501"/>
      <c r="DQ3328" s="501"/>
      <c r="DR3328" s="501"/>
      <c r="DS3328" s="501"/>
      <c r="DT3328" s="501"/>
      <c r="DU3328" s="501"/>
      <c r="DV3328" s="501"/>
      <c r="DW3328" s="501"/>
      <c r="DX3328" s="501"/>
      <c r="DY3328" s="501"/>
      <c r="DZ3328" s="501"/>
      <c r="EA3328" s="501"/>
      <c r="EB3328" s="501"/>
      <c r="EC3328" s="501"/>
      <c r="ED3328" s="501"/>
      <c r="EE3328" s="501"/>
      <c r="EF3328" s="501"/>
      <c r="EG3328" s="501"/>
      <c r="EH3328" s="501"/>
      <c r="EI3328" s="501"/>
      <c r="EJ3328" s="501"/>
      <c r="EK3328" s="501"/>
      <c r="EL3328" s="501"/>
      <c r="EM3328" s="501"/>
      <c r="EN3328" s="501"/>
      <c r="EO3328" s="501"/>
      <c r="EP3328" s="501"/>
      <c r="EQ3328" s="501"/>
      <c r="ER3328" s="501"/>
      <c r="ES3328" s="501"/>
      <c r="ET3328" s="501"/>
      <c r="EU3328" s="501"/>
      <c r="EV3328" s="501"/>
      <c r="EW3328" s="501"/>
      <c r="EX3328" s="501"/>
      <c r="EY3328" s="501"/>
      <c r="EZ3328" s="501"/>
      <c r="FA3328" s="501"/>
      <c r="FB3328" s="501"/>
      <c r="FC3328" s="501"/>
      <c r="FD3328" s="501"/>
      <c r="FE3328" s="501"/>
      <c r="FF3328" s="501"/>
      <c r="FG3328" s="501"/>
      <c r="FH3328" s="501"/>
      <c r="FI3328" s="501"/>
      <c r="FJ3328" s="501"/>
      <c r="FK3328" s="501"/>
      <c r="FL3328" s="501"/>
      <c r="FM3328" s="501"/>
      <c r="FN3328" s="501"/>
      <c r="FO3328" s="501"/>
      <c r="FP3328" s="501"/>
      <c r="FQ3328" s="501"/>
      <c r="FR3328" s="501"/>
      <c r="FS3328" s="501"/>
      <c r="FT3328" s="501"/>
      <c r="FU3328" s="501"/>
      <c r="FV3328" s="501"/>
      <c r="FW3328" s="501"/>
      <c r="FX3328" s="501"/>
      <c r="FY3328" s="501"/>
      <c r="FZ3328" s="501"/>
      <c r="GA3328" s="501"/>
      <c r="GB3328" s="501"/>
      <c r="GC3328" s="501"/>
      <c r="GD3328" s="501"/>
      <c r="GE3328" s="501"/>
      <c r="GF3328" s="501"/>
      <c r="GG3328" s="501"/>
      <c r="GH3328" s="501"/>
      <c r="GI3328" s="501"/>
      <c r="GJ3328" s="501"/>
      <c r="GK3328" s="501"/>
      <c r="GL3328" s="501"/>
      <c r="GM3328" s="501"/>
      <c r="GN3328" s="501"/>
      <c r="GO3328" s="501"/>
      <c r="GP3328" s="501"/>
      <c r="GQ3328" s="501"/>
      <c r="GR3328" s="501"/>
      <c r="GS3328" s="501"/>
      <c r="GT3328" s="501"/>
      <c r="GU3328" s="501"/>
      <c r="GV3328" s="501"/>
      <c r="GW3328" s="501"/>
      <c r="GX3328" s="501"/>
      <c r="GY3328" s="501"/>
      <c r="GZ3328" s="501"/>
      <c r="HA3328" s="501"/>
      <c r="HB3328" s="501"/>
      <c r="HC3328" s="501"/>
      <c r="HD3328" s="501"/>
      <c r="HE3328" s="501"/>
      <c r="HF3328" s="501"/>
      <c r="HG3328" s="501"/>
      <c r="HH3328" s="501"/>
      <c r="HI3328" s="501"/>
      <c r="HJ3328" s="501"/>
      <c r="HK3328" s="501"/>
      <c r="HL3328" s="501"/>
      <c r="HM3328" s="501"/>
      <c r="HN3328" s="501"/>
      <c r="HO3328" s="501"/>
      <c r="HP3328" s="501"/>
      <c r="HQ3328" s="501"/>
      <c r="HR3328" s="501"/>
      <c r="HS3328" s="501"/>
      <c r="HT3328" s="501"/>
      <c r="HU3328" s="501"/>
      <c r="HV3328" s="501"/>
      <c r="HW3328" s="501"/>
      <c r="HX3328" s="501"/>
      <c r="HY3328" s="501"/>
      <c r="HZ3328" s="501"/>
      <c r="IA3328" s="501"/>
      <c r="IB3328" s="501"/>
      <c r="IC3328" s="501"/>
      <c r="ID3328" s="501"/>
      <c r="IE3328" s="501"/>
      <c r="IF3328" s="501"/>
      <c r="IG3328" s="501"/>
      <c r="IH3328" s="501"/>
      <c r="II3328" s="501"/>
      <c r="IJ3328" s="501"/>
      <c r="IK3328" s="501"/>
      <c r="IL3328" s="501"/>
      <c r="IM3328" s="501"/>
      <c r="IN3328" s="501"/>
      <c r="IO3328" s="501"/>
      <c r="IP3328" s="501"/>
      <c r="IQ3328" s="501"/>
      <c r="IR3328" s="501"/>
      <c r="IS3328" s="501"/>
      <c r="IT3328" s="501"/>
      <c r="IU3328" s="501"/>
    </row>
    <row r="3329" spans="1:255" s="877" customFormat="1" ht="24" customHeight="1">
      <c r="A3329" s="501"/>
      <c r="B3329" s="501"/>
      <c r="C3329" s="501"/>
      <c r="D3329" s="501"/>
      <c r="E3329" s="501"/>
      <c r="F3329" s="501"/>
      <c r="G3329" s="915"/>
      <c r="H3329" s="501"/>
      <c r="I3329" s="874"/>
      <c r="J3329" s="501"/>
      <c r="K3329" s="501"/>
      <c r="L3329" s="501"/>
      <c r="M3329" s="554"/>
      <c r="N3329" s="501"/>
      <c r="O3329" s="1097"/>
      <c r="P3329" s="1152"/>
      <c r="Q3329" s="1097"/>
      <c r="R3329" s="1097"/>
      <c r="S3329" s="974"/>
      <c r="T3329" s="968"/>
      <c r="V3329" s="501"/>
      <c r="W3329" s="501"/>
      <c r="X3329" s="501"/>
      <c r="Y3329" s="501"/>
      <c r="Z3329" s="501"/>
      <c r="AA3329" s="501"/>
      <c r="AB3329" s="501"/>
      <c r="AC3329" s="501"/>
      <c r="AD3329" s="501"/>
      <c r="AE3329" s="501"/>
      <c r="AF3329" s="501"/>
      <c r="AG3329" s="501"/>
      <c r="AH3329" s="501"/>
      <c r="AI3329" s="501"/>
      <c r="AJ3329" s="501"/>
      <c r="AK3329" s="501"/>
      <c r="AL3329" s="501"/>
      <c r="AM3329" s="501"/>
      <c r="AN3329" s="501"/>
      <c r="AO3329" s="501"/>
      <c r="AP3329" s="501"/>
      <c r="AQ3329" s="501"/>
      <c r="AR3329" s="501"/>
      <c r="AS3329" s="501"/>
      <c r="AT3329" s="501"/>
      <c r="AU3329" s="501"/>
      <c r="AV3329" s="501"/>
      <c r="AW3329" s="501"/>
      <c r="AX3329" s="501"/>
      <c r="AY3329" s="501"/>
      <c r="AZ3329" s="501"/>
      <c r="BA3329" s="501"/>
      <c r="BB3329" s="501"/>
      <c r="BC3329" s="501"/>
      <c r="BD3329" s="501"/>
      <c r="BE3329" s="501"/>
      <c r="BF3329" s="501"/>
      <c r="BG3329" s="501"/>
      <c r="BH3329" s="501"/>
      <c r="BI3329" s="501"/>
      <c r="BJ3329" s="501"/>
      <c r="BK3329" s="501"/>
      <c r="BL3329" s="501"/>
      <c r="BM3329" s="501"/>
      <c r="BN3329" s="501"/>
      <c r="BO3329" s="501"/>
      <c r="BP3329" s="501"/>
      <c r="BQ3329" s="501"/>
      <c r="BR3329" s="501"/>
      <c r="BS3329" s="501"/>
      <c r="BT3329" s="501"/>
      <c r="BU3329" s="501"/>
      <c r="BV3329" s="501"/>
      <c r="BW3329" s="501"/>
      <c r="BX3329" s="501"/>
      <c r="BY3329" s="501"/>
      <c r="BZ3329" s="501"/>
      <c r="CA3329" s="501"/>
      <c r="CB3329" s="501"/>
      <c r="CC3329" s="501"/>
      <c r="CD3329" s="501"/>
      <c r="CE3329" s="501"/>
      <c r="CF3329" s="501"/>
      <c r="CG3329" s="501"/>
      <c r="CH3329" s="501"/>
      <c r="CI3329" s="501"/>
      <c r="CJ3329" s="501"/>
      <c r="CK3329" s="501"/>
      <c r="CL3329" s="501"/>
      <c r="CM3329" s="501"/>
      <c r="CN3329" s="501"/>
      <c r="CO3329" s="501"/>
      <c r="CP3329" s="501"/>
      <c r="CQ3329" s="501"/>
      <c r="CR3329" s="501"/>
      <c r="CS3329" s="501"/>
      <c r="CT3329" s="501"/>
      <c r="CU3329" s="501"/>
      <c r="CV3329" s="501"/>
      <c r="CW3329" s="501"/>
      <c r="CX3329" s="501"/>
      <c r="CY3329" s="501"/>
      <c r="CZ3329" s="501"/>
      <c r="DA3329" s="501"/>
      <c r="DB3329" s="501"/>
      <c r="DC3329" s="501"/>
      <c r="DD3329" s="501"/>
      <c r="DE3329" s="501"/>
      <c r="DF3329" s="501"/>
      <c r="DG3329" s="501"/>
      <c r="DH3329" s="501"/>
      <c r="DI3329" s="501"/>
      <c r="DJ3329" s="501"/>
      <c r="DK3329" s="501"/>
      <c r="DL3329" s="501"/>
      <c r="DM3329" s="501"/>
      <c r="DN3329" s="501"/>
      <c r="DO3329" s="501"/>
      <c r="DP3329" s="501"/>
      <c r="DQ3329" s="501"/>
      <c r="DR3329" s="501"/>
      <c r="DS3329" s="501"/>
      <c r="DT3329" s="501"/>
      <c r="DU3329" s="501"/>
      <c r="DV3329" s="501"/>
      <c r="DW3329" s="501"/>
      <c r="DX3329" s="501"/>
      <c r="DY3329" s="501"/>
      <c r="DZ3329" s="501"/>
      <c r="EA3329" s="501"/>
      <c r="EB3329" s="501"/>
      <c r="EC3329" s="501"/>
      <c r="ED3329" s="501"/>
      <c r="EE3329" s="501"/>
      <c r="EF3329" s="501"/>
      <c r="EG3329" s="501"/>
      <c r="EH3329" s="501"/>
      <c r="EI3329" s="501"/>
      <c r="EJ3329" s="501"/>
      <c r="EK3329" s="501"/>
      <c r="EL3329" s="501"/>
      <c r="EM3329" s="501"/>
      <c r="EN3329" s="501"/>
      <c r="EO3329" s="501"/>
      <c r="EP3329" s="501"/>
      <c r="EQ3329" s="501"/>
      <c r="ER3329" s="501"/>
      <c r="ES3329" s="501"/>
      <c r="ET3329" s="501"/>
      <c r="EU3329" s="501"/>
      <c r="EV3329" s="501"/>
      <c r="EW3329" s="501"/>
      <c r="EX3329" s="501"/>
      <c r="EY3329" s="501"/>
      <c r="EZ3329" s="501"/>
      <c r="FA3329" s="501"/>
      <c r="FB3329" s="501"/>
      <c r="FC3329" s="501"/>
      <c r="FD3329" s="501"/>
      <c r="FE3329" s="501"/>
      <c r="FF3329" s="501"/>
      <c r="FG3329" s="501"/>
      <c r="FH3329" s="501"/>
      <c r="FI3329" s="501"/>
      <c r="FJ3329" s="501"/>
      <c r="FK3329" s="501"/>
      <c r="FL3329" s="501"/>
      <c r="FM3329" s="501"/>
      <c r="FN3329" s="501"/>
      <c r="FO3329" s="501"/>
      <c r="FP3329" s="501"/>
      <c r="FQ3329" s="501"/>
      <c r="FR3329" s="501"/>
      <c r="FS3329" s="501"/>
      <c r="FT3329" s="501"/>
      <c r="FU3329" s="501"/>
      <c r="FV3329" s="501"/>
      <c r="FW3329" s="501"/>
      <c r="FX3329" s="501"/>
      <c r="FY3329" s="501"/>
      <c r="FZ3329" s="501"/>
      <c r="GA3329" s="501"/>
      <c r="GB3329" s="501"/>
      <c r="GC3329" s="501"/>
      <c r="GD3329" s="501"/>
      <c r="GE3329" s="501"/>
      <c r="GF3329" s="501"/>
      <c r="GG3329" s="501"/>
      <c r="GH3329" s="501"/>
      <c r="GI3329" s="501"/>
      <c r="GJ3329" s="501"/>
      <c r="GK3329" s="501"/>
      <c r="GL3329" s="501"/>
      <c r="GM3329" s="501"/>
      <c r="GN3329" s="501"/>
      <c r="GO3329" s="501"/>
      <c r="GP3329" s="501"/>
      <c r="GQ3329" s="501"/>
      <c r="GR3329" s="501"/>
      <c r="GS3329" s="501"/>
      <c r="GT3329" s="501"/>
      <c r="GU3329" s="501"/>
      <c r="GV3329" s="501"/>
      <c r="GW3329" s="501"/>
      <c r="GX3329" s="501"/>
      <c r="GY3329" s="501"/>
      <c r="GZ3329" s="501"/>
      <c r="HA3329" s="501"/>
      <c r="HB3329" s="501"/>
      <c r="HC3329" s="501"/>
      <c r="HD3329" s="501"/>
      <c r="HE3329" s="501"/>
      <c r="HF3329" s="501"/>
      <c r="HG3329" s="501"/>
      <c r="HH3329" s="501"/>
      <c r="HI3329" s="501"/>
      <c r="HJ3329" s="501"/>
      <c r="HK3329" s="501"/>
      <c r="HL3329" s="501"/>
      <c r="HM3329" s="501"/>
      <c r="HN3329" s="501"/>
      <c r="HO3329" s="501"/>
      <c r="HP3329" s="501"/>
      <c r="HQ3329" s="501"/>
      <c r="HR3329" s="501"/>
      <c r="HS3329" s="501"/>
      <c r="HT3329" s="501"/>
      <c r="HU3329" s="501"/>
      <c r="HV3329" s="501"/>
      <c r="HW3329" s="501"/>
      <c r="HX3329" s="501"/>
      <c r="HY3329" s="501"/>
      <c r="HZ3329" s="501"/>
      <c r="IA3329" s="501"/>
      <c r="IB3329" s="501"/>
      <c r="IC3329" s="501"/>
      <c r="ID3329" s="501"/>
      <c r="IE3329" s="501"/>
      <c r="IF3329" s="501"/>
      <c r="IG3329" s="501"/>
      <c r="IH3329" s="501"/>
      <c r="II3329" s="501"/>
      <c r="IJ3329" s="501"/>
      <c r="IK3329" s="501"/>
      <c r="IL3329" s="501"/>
      <c r="IM3329" s="501"/>
      <c r="IN3329" s="501"/>
      <c r="IO3329" s="501"/>
      <c r="IP3329" s="501"/>
      <c r="IQ3329" s="501"/>
      <c r="IR3329" s="501"/>
      <c r="IS3329" s="501"/>
      <c r="IT3329" s="501"/>
      <c r="IU3329" s="501"/>
    </row>
    <row r="3330" spans="1:255" s="877" customFormat="1" ht="24" customHeight="1">
      <c r="A3330" s="501"/>
      <c r="B3330" s="501"/>
      <c r="C3330" s="501"/>
      <c r="D3330" s="501"/>
      <c r="E3330" s="501"/>
      <c r="F3330" s="880"/>
      <c r="G3330" s="918"/>
      <c r="H3330" s="880"/>
      <c r="I3330" s="876"/>
      <c r="J3330" s="876"/>
      <c r="K3330" s="501"/>
      <c r="L3330" s="878"/>
      <c r="M3330" s="554"/>
      <c r="N3330" s="501"/>
      <c r="O3330" s="1097"/>
      <c r="P3330" s="1151"/>
      <c r="Q3330" s="1097"/>
      <c r="R3330" s="1097"/>
      <c r="S3330" s="1101"/>
      <c r="T3330" s="1106"/>
      <c r="V3330" s="501"/>
      <c r="W3330" s="501"/>
      <c r="X3330" s="501"/>
      <c r="Y3330" s="501"/>
      <c r="Z3330" s="501"/>
      <c r="AA3330" s="501"/>
      <c r="AB3330" s="501"/>
      <c r="AC3330" s="501"/>
      <c r="AD3330" s="501"/>
      <c r="AE3330" s="501"/>
      <c r="AF3330" s="501"/>
      <c r="AG3330" s="501"/>
      <c r="AH3330" s="501"/>
      <c r="AI3330" s="501"/>
      <c r="AJ3330" s="501"/>
      <c r="AK3330" s="501"/>
      <c r="AL3330" s="501"/>
      <c r="AM3330" s="501"/>
      <c r="AN3330" s="501"/>
      <c r="AO3330" s="501"/>
      <c r="AP3330" s="501"/>
      <c r="AQ3330" s="501"/>
      <c r="AR3330" s="501"/>
      <c r="AS3330" s="501"/>
      <c r="AT3330" s="501"/>
      <c r="AU3330" s="501"/>
      <c r="AV3330" s="501"/>
      <c r="AW3330" s="501"/>
      <c r="AX3330" s="501"/>
      <c r="AY3330" s="501"/>
      <c r="AZ3330" s="501"/>
      <c r="BA3330" s="501"/>
      <c r="BB3330" s="501"/>
      <c r="BC3330" s="501"/>
      <c r="BD3330" s="501"/>
      <c r="BE3330" s="501"/>
      <c r="BF3330" s="501"/>
      <c r="BG3330" s="501"/>
      <c r="BH3330" s="501"/>
      <c r="BI3330" s="501"/>
      <c r="BJ3330" s="501"/>
      <c r="BK3330" s="501"/>
      <c r="BL3330" s="501"/>
      <c r="BM3330" s="501"/>
      <c r="BN3330" s="501"/>
      <c r="BO3330" s="501"/>
      <c r="BP3330" s="501"/>
      <c r="BQ3330" s="501"/>
      <c r="BR3330" s="501"/>
      <c r="BS3330" s="501"/>
      <c r="BT3330" s="501"/>
      <c r="BU3330" s="501"/>
      <c r="BV3330" s="501"/>
      <c r="BW3330" s="501"/>
      <c r="BX3330" s="501"/>
      <c r="BY3330" s="501"/>
      <c r="BZ3330" s="501"/>
      <c r="CA3330" s="501"/>
      <c r="CB3330" s="501"/>
      <c r="CC3330" s="501"/>
      <c r="CD3330" s="501"/>
      <c r="CE3330" s="501"/>
      <c r="CF3330" s="501"/>
      <c r="CG3330" s="501"/>
      <c r="CH3330" s="501"/>
      <c r="CI3330" s="501"/>
      <c r="CJ3330" s="501"/>
      <c r="CK3330" s="501"/>
      <c r="CL3330" s="501"/>
      <c r="CM3330" s="501"/>
      <c r="CN3330" s="501"/>
      <c r="CO3330" s="501"/>
      <c r="CP3330" s="501"/>
      <c r="CQ3330" s="501"/>
      <c r="CR3330" s="501"/>
      <c r="CS3330" s="501"/>
      <c r="CT3330" s="501"/>
      <c r="CU3330" s="501"/>
      <c r="CV3330" s="501"/>
      <c r="CW3330" s="501"/>
      <c r="CX3330" s="501"/>
      <c r="CY3330" s="501"/>
      <c r="CZ3330" s="501"/>
      <c r="DA3330" s="501"/>
      <c r="DB3330" s="501"/>
      <c r="DC3330" s="501"/>
      <c r="DD3330" s="501"/>
      <c r="DE3330" s="501"/>
      <c r="DF3330" s="501"/>
      <c r="DG3330" s="501"/>
      <c r="DH3330" s="501"/>
      <c r="DI3330" s="501"/>
      <c r="DJ3330" s="501"/>
      <c r="DK3330" s="501"/>
      <c r="DL3330" s="501"/>
      <c r="DM3330" s="501"/>
      <c r="DN3330" s="501"/>
      <c r="DO3330" s="501"/>
      <c r="DP3330" s="501"/>
      <c r="DQ3330" s="501"/>
      <c r="DR3330" s="501"/>
      <c r="DS3330" s="501"/>
      <c r="DT3330" s="501"/>
      <c r="DU3330" s="501"/>
      <c r="DV3330" s="501"/>
      <c r="DW3330" s="501"/>
      <c r="DX3330" s="501"/>
      <c r="DY3330" s="501"/>
      <c r="DZ3330" s="501"/>
      <c r="EA3330" s="501"/>
      <c r="EB3330" s="501"/>
      <c r="EC3330" s="501"/>
      <c r="ED3330" s="501"/>
      <c r="EE3330" s="501"/>
      <c r="EF3330" s="501"/>
      <c r="EG3330" s="501"/>
      <c r="EH3330" s="501"/>
      <c r="EI3330" s="501"/>
      <c r="EJ3330" s="501"/>
      <c r="EK3330" s="501"/>
      <c r="EL3330" s="501"/>
      <c r="EM3330" s="501"/>
      <c r="EN3330" s="501"/>
      <c r="EO3330" s="501"/>
      <c r="EP3330" s="501"/>
      <c r="EQ3330" s="501"/>
      <c r="ER3330" s="501"/>
      <c r="ES3330" s="501"/>
      <c r="ET3330" s="501"/>
      <c r="EU3330" s="501"/>
      <c r="EV3330" s="501"/>
      <c r="EW3330" s="501"/>
      <c r="EX3330" s="501"/>
      <c r="EY3330" s="501"/>
      <c r="EZ3330" s="501"/>
      <c r="FA3330" s="501"/>
      <c r="FB3330" s="501"/>
      <c r="FC3330" s="501"/>
      <c r="FD3330" s="501"/>
      <c r="FE3330" s="501"/>
      <c r="FF3330" s="501"/>
      <c r="FG3330" s="501"/>
      <c r="FH3330" s="501"/>
      <c r="FI3330" s="501"/>
      <c r="FJ3330" s="501"/>
      <c r="FK3330" s="501"/>
      <c r="FL3330" s="501"/>
      <c r="FM3330" s="501"/>
      <c r="FN3330" s="501"/>
      <c r="FO3330" s="501"/>
      <c r="FP3330" s="501"/>
      <c r="FQ3330" s="501"/>
      <c r="FR3330" s="501"/>
      <c r="FS3330" s="501"/>
      <c r="FT3330" s="501"/>
      <c r="FU3330" s="501"/>
      <c r="FV3330" s="501"/>
      <c r="FW3330" s="501"/>
      <c r="FX3330" s="501"/>
      <c r="FY3330" s="501"/>
      <c r="FZ3330" s="501"/>
      <c r="GA3330" s="501"/>
      <c r="GB3330" s="501"/>
      <c r="GC3330" s="501"/>
      <c r="GD3330" s="501"/>
      <c r="GE3330" s="501"/>
      <c r="GF3330" s="501"/>
      <c r="GG3330" s="501"/>
      <c r="GH3330" s="501"/>
      <c r="GI3330" s="501"/>
      <c r="GJ3330" s="501"/>
      <c r="GK3330" s="501"/>
      <c r="GL3330" s="501"/>
      <c r="GM3330" s="501"/>
      <c r="GN3330" s="501"/>
      <c r="GO3330" s="501"/>
      <c r="GP3330" s="501"/>
      <c r="GQ3330" s="501"/>
      <c r="GR3330" s="501"/>
      <c r="GS3330" s="501"/>
      <c r="GT3330" s="501"/>
      <c r="GU3330" s="501"/>
      <c r="GV3330" s="501"/>
      <c r="GW3330" s="501"/>
      <c r="GX3330" s="501"/>
      <c r="GY3330" s="501"/>
      <c r="GZ3330" s="501"/>
      <c r="HA3330" s="501"/>
      <c r="HB3330" s="501"/>
      <c r="HC3330" s="501"/>
      <c r="HD3330" s="501"/>
      <c r="HE3330" s="501"/>
      <c r="HF3330" s="501"/>
      <c r="HG3330" s="501"/>
      <c r="HH3330" s="501"/>
      <c r="HI3330" s="501"/>
      <c r="HJ3330" s="501"/>
      <c r="HK3330" s="501"/>
      <c r="HL3330" s="501"/>
      <c r="HM3330" s="501"/>
      <c r="HN3330" s="501"/>
      <c r="HO3330" s="501"/>
      <c r="HP3330" s="501"/>
      <c r="HQ3330" s="501"/>
      <c r="HR3330" s="501"/>
      <c r="HS3330" s="501"/>
      <c r="HT3330" s="501"/>
      <c r="HU3330" s="501"/>
      <c r="HV3330" s="501"/>
      <c r="HW3330" s="501"/>
      <c r="HX3330" s="501"/>
      <c r="HY3330" s="501"/>
      <c r="HZ3330" s="501"/>
      <c r="IA3330" s="501"/>
      <c r="IB3330" s="501"/>
      <c r="IC3330" s="501"/>
      <c r="ID3330" s="501"/>
      <c r="IE3330" s="501"/>
      <c r="IF3330" s="501"/>
      <c r="IG3330" s="501"/>
      <c r="IH3330" s="501"/>
      <c r="II3330" s="501"/>
      <c r="IJ3330" s="501"/>
      <c r="IK3330" s="501"/>
      <c r="IL3330" s="501"/>
      <c r="IM3330" s="501"/>
      <c r="IN3330" s="501"/>
      <c r="IO3330" s="501"/>
      <c r="IP3330" s="501"/>
      <c r="IQ3330" s="501"/>
      <c r="IR3330" s="501"/>
      <c r="IS3330" s="501"/>
      <c r="IT3330" s="501"/>
      <c r="IU3330" s="501"/>
    </row>
    <row r="3331" spans="1:255" s="877" customFormat="1" ht="24" customHeight="1">
      <c r="A3331" s="501"/>
      <c r="B3331" s="501"/>
      <c r="C3331" s="501"/>
      <c r="D3331" s="501"/>
      <c r="E3331" s="501"/>
      <c r="F3331" s="501"/>
      <c r="G3331" s="915"/>
      <c r="H3331" s="501"/>
      <c r="I3331" s="874"/>
      <c r="J3331" s="876"/>
      <c r="K3331" s="501"/>
      <c r="L3331" s="878"/>
      <c r="M3331" s="554"/>
      <c r="N3331" s="501"/>
      <c r="O3331" s="1097"/>
      <c r="P3331" s="1151"/>
      <c r="Q3331" s="973"/>
      <c r="R3331" s="1097"/>
      <c r="S3331" s="1101"/>
      <c r="T3331" s="968"/>
      <c r="V3331" s="501"/>
      <c r="W3331" s="501"/>
      <c r="X3331" s="501"/>
      <c r="Y3331" s="501"/>
      <c r="Z3331" s="501"/>
      <c r="AA3331" s="501"/>
      <c r="AB3331" s="501"/>
      <c r="AC3331" s="501"/>
      <c r="AD3331" s="501"/>
      <c r="AE3331" s="501"/>
      <c r="AF3331" s="501"/>
      <c r="AG3331" s="501"/>
      <c r="AH3331" s="501"/>
      <c r="AI3331" s="501"/>
      <c r="AJ3331" s="501"/>
      <c r="AK3331" s="501"/>
      <c r="AL3331" s="501"/>
      <c r="AM3331" s="501"/>
      <c r="AN3331" s="501"/>
      <c r="AO3331" s="501"/>
      <c r="AP3331" s="501"/>
      <c r="AQ3331" s="501"/>
      <c r="AR3331" s="501"/>
      <c r="AS3331" s="501"/>
      <c r="AT3331" s="501"/>
      <c r="AU3331" s="501"/>
      <c r="AV3331" s="501"/>
      <c r="AW3331" s="501"/>
      <c r="AX3331" s="501"/>
      <c r="AY3331" s="501"/>
      <c r="AZ3331" s="501"/>
      <c r="BA3331" s="501"/>
      <c r="BB3331" s="501"/>
      <c r="BC3331" s="501"/>
      <c r="BD3331" s="501"/>
      <c r="BE3331" s="501"/>
      <c r="BF3331" s="501"/>
      <c r="BG3331" s="501"/>
      <c r="BH3331" s="501"/>
      <c r="BI3331" s="501"/>
      <c r="BJ3331" s="501"/>
      <c r="BK3331" s="501"/>
      <c r="BL3331" s="501"/>
      <c r="BM3331" s="501"/>
      <c r="BN3331" s="501"/>
      <c r="BO3331" s="501"/>
      <c r="BP3331" s="501"/>
      <c r="BQ3331" s="501"/>
      <c r="BR3331" s="501"/>
      <c r="BS3331" s="501"/>
      <c r="BT3331" s="501"/>
      <c r="BU3331" s="501"/>
      <c r="BV3331" s="501"/>
      <c r="BW3331" s="501"/>
      <c r="BX3331" s="501"/>
      <c r="BY3331" s="501"/>
      <c r="BZ3331" s="501"/>
      <c r="CA3331" s="501"/>
      <c r="CB3331" s="501"/>
      <c r="CC3331" s="501"/>
      <c r="CD3331" s="501"/>
      <c r="CE3331" s="501"/>
      <c r="CF3331" s="501"/>
      <c r="CG3331" s="501"/>
      <c r="CH3331" s="501"/>
      <c r="CI3331" s="501"/>
      <c r="CJ3331" s="501"/>
      <c r="CK3331" s="501"/>
      <c r="CL3331" s="501"/>
      <c r="CM3331" s="501"/>
      <c r="CN3331" s="501"/>
      <c r="CO3331" s="501"/>
      <c r="CP3331" s="501"/>
      <c r="CQ3331" s="501"/>
      <c r="CR3331" s="501"/>
      <c r="CS3331" s="501"/>
      <c r="CT3331" s="501"/>
      <c r="CU3331" s="501"/>
      <c r="CV3331" s="501"/>
      <c r="CW3331" s="501"/>
      <c r="CX3331" s="501"/>
      <c r="CY3331" s="501"/>
      <c r="CZ3331" s="501"/>
      <c r="DA3331" s="501"/>
      <c r="DB3331" s="501"/>
      <c r="DC3331" s="501"/>
      <c r="DD3331" s="501"/>
      <c r="DE3331" s="501"/>
      <c r="DF3331" s="501"/>
      <c r="DG3331" s="501"/>
      <c r="DH3331" s="501"/>
      <c r="DI3331" s="501"/>
      <c r="DJ3331" s="501"/>
      <c r="DK3331" s="501"/>
      <c r="DL3331" s="501"/>
      <c r="DM3331" s="501"/>
      <c r="DN3331" s="501"/>
      <c r="DO3331" s="501"/>
      <c r="DP3331" s="501"/>
      <c r="DQ3331" s="501"/>
      <c r="DR3331" s="501"/>
      <c r="DS3331" s="501"/>
      <c r="DT3331" s="501"/>
      <c r="DU3331" s="501"/>
      <c r="DV3331" s="501"/>
      <c r="DW3331" s="501"/>
      <c r="DX3331" s="501"/>
      <c r="DY3331" s="501"/>
      <c r="DZ3331" s="501"/>
      <c r="EA3331" s="501"/>
      <c r="EB3331" s="501"/>
      <c r="EC3331" s="501"/>
      <c r="ED3331" s="501"/>
      <c r="EE3331" s="501"/>
      <c r="EF3331" s="501"/>
      <c r="EG3331" s="501"/>
      <c r="EH3331" s="501"/>
      <c r="EI3331" s="501"/>
      <c r="EJ3331" s="501"/>
      <c r="EK3331" s="501"/>
      <c r="EL3331" s="501"/>
      <c r="EM3331" s="501"/>
      <c r="EN3331" s="501"/>
      <c r="EO3331" s="501"/>
      <c r="EP3331" s="501"/>
      <c r="EQ3331" s="501"/>
      <c r="ER3331" s="501"/>
      <c r="ES3331" s="501"/>
      <c r="ET3331" s="501"/>
      <c r="EU3331" s="501"/>
      <c r="EV3331" s="501"/>
      <c r="EW3331" s="501"/>
      <c r="EX3331" s="501"/>
      <c r="EY3331" s="501"/>
      <c r="EZ3331" s="501"/>
      <c r="FA3331" s="501"/>
      <c r="FB3331" s="501"/>
      <c r="FC3331" s="501"/>
      <c r="FD3331" s="501"/>
      <c r="FE3331" s="501"/>
      <c r="FF3331" s="501"/>
      <c r="FG3331" s="501"/>
      <c r="FH3331" s="501"/>
      <c r="FI3331" s="501"/>
      <c r="FJ3331" s="501"/>
      <c r="FK3331" s="501"/>
      <c r="FL3331" s="501"/>
      <c r="FM3331" s="501"/>
      <c r="FN3331" s="501"/>
      <c r="FO3331" s="501"/>
      <c r="FP3331" s="501"/>
      <c r="FQ3331" s="501"/>
      <c r="FR3331" s="501"/>
      <c r="FS3331" s="501"/>
      <c r="FT3331" s="501"/>
      <c r="FU3331" s="501"/>
      <c r="FV3331" s="501"/>
      <c r="FW3331" s="501"/>
      <c r="FX3331" s="501"/>
      <c r="FY3331" s="501"/>
      <c r="FZ3331" s="501"/>
      <c r="GA3331" s="501"/>
      <c r="GB3331" s="501"/>
      <c r="GC3331" s="501"/>
      <c r="GD3331" s="501"/>
      <c r="GE3331" s="501"/>
      <c r="GF3331" s="501"/>
      <c r="GG3331" s="501"/>
      <c r="GH3331" s="501"/>
      <c r="GI3331" s="501"/>
      <c r="GJ3331" s="501"/>
      <c r="GK3331" s="501"/>
      <c r="GL3331" s="501"/>
      <c r="GM3331" s="501"/>
      <c r="GN3331" s="501"/>
      <c r="GO3331" s="501"/>
      <c r="GP3331" s="501"/>
      <c r="GQ3331" s="501"/>
      <c r="GR3331" s="501"/>
      <c r="GS3331" s="501"/>
      <c r="GT3331" s="501"/>
      <c r="GU3331" s="501"/>
      <c r="GV3331" s="501"/>
      <c r="GW3331" s="501"/>
      <c r="GX3331" s="501"/>
      <c r="GY3331" s="501"/>
      <c r="GZ3331" s="501"/>
      <c r="HA3331" s="501"/>
      <c r="HB3331" s="501"/>
      <c r="HC3331" s="501"/>
      <c r="HD3331" s="501"/>
      <c r="HE3331" s="501"/>
      <c r="HF3331" s="501"/>
      <c r="HG3331" s="501"/>
      <c r="HH3331" s="501"/>
      <c r="HI3331" s="501"/>
      <c r="HJ3331" s="501"/>
      <c r="HK3331" s="501"/>
      <c r="HL3331" s="501"/>
      <c r="HM3331" s="501"/>
      <c r="HN3331" s="501"/>
      <c r="HO3331" s="501"/>
      <c r="HP3331" s="501"/>
      <c r="HQ3331" s="501"/>
      <c r="HR3331" s="501"/>
      <c r="HS3331" s="501"/>
      <c r="HT3331" s="501"/>
      <c r="HU3331" s="501"/>
      <c r="HV3331" s="501"/>
      <c r="HW3331" s="501"/>
      <c r="HX3331" s="501"/>
      <c r="HY3331" s="501"/>
      <c r="HZ3331" s="501"/>
      <c r="IA3331" s="501"/>
      <c r="IB3331" s="501"/>
      <c r="IC3331" s="501"/>
      <c r="ID3331" s="501"/>
      <c r="IE3331" s="501"/>
      <c r="IF3331" s="501"/>
      <c r="IG3331" s="501"/>
      <c r="IH3331" s="501"/>
      <c r="II3331" s="501"/>
      <c r="IJ3331" s="501"/>
      <c r="IK3331" s="501"/>
      <c r="IL3331" s="501"/>
      <c r="IM3331" s="501"/>
      <c r="IN3331" s="501"/>
      <c r="IO3331" s="501"/>
      <c r="IP3331" s="501"/>
      <c r="IQ3331" s="501"/>
      <c r="IR3331" s="501"/>
      <c r="IS3331" s="501"/>
      <c r="IT3331" s="501"/>
      <c r="IU3331" s="501"/>
    </row>
    <row r="3332" spans="1:255" s="877" customFormat="1" ht="24" customHeight="1">
      <c r="A3332" s="501"/>
      <c r="B3332" s="501"/>
      <c r="C3332" s="501"/>
      <c r="D3332" s="501"/>
      <c r="E3332" s="501"/>
      <c r="F3332" s="501"/>
      <c r="G3332" s="915"/>
      <c r="H3332" s="501"/>
      <c r="I3332" s="874"/>
      <c r="J3332" s="875"/>
      <c r="K3332" s="501"/>
      <c r="L3332" s="878"/>
      <c r="M3332" s="554"/>
      <c r="N3332" s="501"/>
      <c r="O3332" s="1097"/>
      <c r="P3332" s="1151"/>
      <c r="Q3332" s="1097"/>
      <c r="R3332" s="1097"/>
      <c r="S3332" s="1101"/>
      <c r="T3332" s="1106"/>
      <c r="V3332" s="501"/>
      <c r="W3332" s="501"/>
      <c r="X3332" s="501"/>
      <c r="Y3332" s="501"/>
      <c r="Z3332" s="501"/>
      <c r="AA3332" s="501"/>
      <c r="AB3332" s="501"/>
      <c r="AC3332" s="501"/>
      <c r="AD3332" s="501"/>
      <c r="AE3332" s="501"/>
      <c r="AF3332" s="501"/>
      <c r="AG3332" s="501"/>
      <c r="AH3332" s="501"/>
      <c r="AI3332" s="501"/>
      <c r="AJ3332" s="501"/>
      <c r="AK3332" s="501"/>
      <c r="AL3332" s="501"/>
      <c r="AM3332" s="501"/>
      <c r="AN3332" s="501"/>
      <c r="AO3332" s="501"/>
      <c r="AP3332" s="501"/>
      <c r="AQ3332" s="501"/>
      <c r="AR3332" s="501"/>
      <c r="AS3332" s="501"/>
      <c r="AT3332" s="501"/>
      <c r="AU3332" s="501"/>
      <c r="AV3332" s="501"/>
      <c r="AW3332" s="501"/>
      <c r="AX3332" s="501"/>
      <c r="AY3332" s="501"/>
      <c r="AZ3332" s="501"/>
      <c r="BA3332" s="501"/>
      <c r="BB3332" s="501"/>
      <c r="BC3332" s="501"/>
      <c r="BD3332" s="501"/>
      <c r="BE3332" s="501"/>
      <c r="BF3332" s="501"/>
      <c r="BG3332" s="501"/>
      <c r="BH3332" s="501"/>
      <c r="BI3332" s="501"/>
      <c r="BJ3332" s="501"/>
      <c r="BK3332" s="501"/>
      <c r="BL3332" s="501"/>
      <c r="BM3332" s="501"/>
      <c r="BN3332" s="501"/>
      <c r="BO3332" s="501"/>
      <c r="BP3332" s="501"/>
      <c r="BQ3332" s="501"/>
      <c r="BR3332" s="501"/>
      <c r="BS3332" s="501"/>
      <c r="BT3332" s="501"/>
      <c r="BU3332" s="501"/>
      <c r="BV3332" s="501"/>
      <c r="BW3332" s="501"/>
      <c r="BX3332" s="501"/>
      <c r="BY3332" s="501"/>
      <c r="BZ3332" s="501"/>
      <c r="CA3332" s="501"/>
      <c r="CB3332" s="501"/>
      <c r="CC3332" s="501"/>
      <c r="CD3332" s="501"/>
      <c r="CE3332" s="501"/>
      <c r="CF3332" s="501"/>
      <c r="CG3332" s="501"/>
      <c r="CH3332" s="501"/>
      <c r="CI3332" s="501"/>
      <c r="CJ3332" s="501"/>
      <c r="CK3332" s="501"/>
      <c r="CL3332" s="501"/>
      <c r="CM3332" s="501"/>
      <c r="CN3332" s="501"/>
      <c r="CO3332" s="501"/>
      <c r="CP3332" s="501"/>
      <c r="CQ3332" s="501"/>
      <c r="CR3332" s="501"/>
      <c r="CS3332" s="501"/>
      <c r="CT3332" s="501"/>
      <c r="CU3332" s="501"/>
      <c r="CV3332" s="501"/>
      <c r="CW3332" s="501"/>
      <c r="CX3332" s="501"/>
      <c r="CY3332" s="501"/>
      <c r="CZ3332" s="501"/>
      <c r="DA3332" s="501"/>
      <c r="DB3332" s="501"/>
      <c r="DC3332" s="501"/>
      <c r="DD3332" s="501"/>
      <c r="DE3332" s="501"/>
      <c r="DF3332" s="501"/>
      <c r="DG3332" s="501"/>
      <c r="DH3332" s="501"/>
      <c r="DI3332" s="501"/>
      <c r="DJ3332" s="501"/>
      <c r="DK3332" s="501"/>
      <c r="DL3332" s="501"/>
      <c r="DM3332" s="501"/>
      <c r="DN3332" s="501"/>
      <c r="DO3332" s="501"/>
      <c r="DP3332" s="501"/>
      <c r="DQ3332" s="501"/>
      <c r="DR3332" s="501"/>
      <c r="DS3332" s="501"/>
      <c r="DT3332" s="501"/>
      <c r="DU3332" s="501"/>
      <c r="DV3332" s="501"/>
      <c r="DW3332" s="501"/>
      <c r="DX3332" s="501"/>
      <c r="DY3332" s="501"/>
      <c r="DZ3332" s="501"/>
      <c r="EA3332" s="501"/>
      <c r="EB3332" s="501"/>
      <c r="EC3332" s="501"/>
      <c r="ED3332" s="501"/>
      <c r="EE3332" s="501"/>
      <c r="EF3332" s="501"/>
      <c r="EG3332" s="501"/>
      <c r="EH3332" s="501"/>
      <c r="EI3332" s="501"/>
      <c r="EJ3332" s="501"/>
      <c r="EK3332" s="501"/>
      <c r="EL3332" s="501"/>
      <c r="EM3332" s="501"/>
      <c r="EN3332" s="501"/>
      <c r="EO3332" s="501"/>
      <c r="EP3332" s="501"/>
      <c r="EQ3332" s="501"/>
      <c r="ER3332" s="501"/>
      <c r="ES3332" s="501"/>
      <c r="ET3332" s="501"/>
      <c r="EU3332" s="501"/>
      <c r="EV3332" s="501"/>
      <c r="EW3332" s="501"/>
      <c r="EX3332" s="501"/>
      <c r="EY3332" s="501"/>
      <c r="EZ3332" s="501"/>
      <c r="FA3332" s="501"/>
      <c r="FB3332" s="501"/>
      <c r="FC3332" s="501"/>
      <c r="FD3332" s="501"/>
      <c r="FE3332" s="501"/>
      <c r="FF3332" s="501"/>
      <c r="FG3332" s="501"/>
      <c r="FH3332" s="501"/>
      <c r="FI3332" s="501"/>
      <c r="FJ3332" s="501"/>
      <c r="FK3332" s="501"/>
      <c r="FL3332" s="501"/>
      <c r="FM3332" s="501"/>
      <c r="FN3332" s="501"/>
      <c r="FO3332" s="501"/>
      <c r="FP3332" s="501"/>
      <c r="FQ3332" s="501"/>
      <c r="FR3332" s="501"/>
      <c r="FS3332" s="501"/>
      <c r="FT3332" s="501"/>
      <c r="FU3332" s="501"/>
      <c r="FV3332" s="501"/>
      <c r="FW3332" s="501"/>
      <c r="FX3332" s="501"/>
      <c r="FY3332" s="501"/>
      <c r="FZ3332" s="501"/>
      <c r="GA3332" s="501"/>
      <c r="GB3332" s="501"/>
      <c r="GC3332" s="501"/>
      <c r="GD3332" s="501"/>
      <c r="GE3332" s="501"/>
      <c r="GF3332" s="501"/>
      <c r="GG3332" s="501"/>
      <c r="GH3332" s="501"/>
      <c r="GI3332" s="501"/>
      <c r="GJ3332" s="501"/>
      <c r="GK3332" s="501"/>
      <c r="GL3332" s="501"/>
      <c r="GM3332" s="501"/>
      <c r="GN3332" s="501"/>
      <c r="GO3332" s="501"/>
      <c r="GP3332" s="501"/>
      <c r="GQ3332" s="501"/>
      <c r="GR3332" s="501"/>
      <c r="GS3332" s="501"/>
      <c r="GT3332" s="501"/>
      <c r="GU3332" s="501"/>
      <c r="GV3332" s="501"/>
      <c r="GW3332" s="501"/>
      <c r="GX3332" s="501"/>
      <c r="GY3332" s="501"/>
      <c r="GZ3332" s="501"/>
      <c r="HA3332" s="501"/>
      <c r="HB3332" s="501"/>
      <c r="HC3332" s="501"/>
      <c r="HD3332" s="501"/>
      <c r="HE3332" s="501"/>
      <c r="HF3332" s="501"/>
      <c r="HG3332" s="501"/>
      <c r="HH3332" s="501"/>
      <c r="HI3332" s="501"/>
      <c r="HJ3332" s="501"/>
      <c r="HK3332" s="501"/>
      <c r="HL3332" s="501"/>
      <c r="HM3332" s="501"/>
      <c r="HN3332" s="501"/>
      <c r="HO3332" s="501"/>
      <c r="HP3332" s="501"/>
      <c r="HQ3332" s="501"/>
      <c r="HR3332" s="501"/>
      <c r="HS3332" s="501"/>
      <c r="HT3332" s="501"/>
      <c r="HU3332" s="501"/>
      <c r="HV3332" s="501"/>
      <c r="HW3332" s="501"/>
      <c r="HX3332" s="501"/>
      <c r="HY3332" s="501"/>
      <c r="HZ3332" s="501"/>
      <c r="IA3332" s="501"/>
      <c r="IB3332" s="501"/>
      <c r="IC3332" s="501"/>
      <c r="ID3332" s="501"/>
      <c r="IE3332" s="501"/>
      <c r="IF3332" s="501"/>
      <c r="IG3332" s="501"/>
      <c r="IH3332" s="501"/>
      <c r="II3332" s="501"/>
      <c r="IJ3332" s="501"/>
      <c r="IK3332" s="501"/>
      <c r="IL3332" s="501"/>
      <c r="IM3332" s="501"/>
      <c r="IN3332" s="501"/>
      <c r="IO3332" s="501"/>
      <c r="IP3332" s="501"/>
      <c r="IQ3332" s="501"/>
      <c r="IR3332" s="501"/>
      <c r="IS3332" s="501"/>
      <c r="IT3332" s="501"/>
      <c r="IU3332" s="501"/>
    </row>
    <row r="3333" spans="1:255" s="877" customFormat="1" ht="24" customHeight="1">
      <c r="A3333" s="501"/>
      <c r="B3333" s="501"/>
      <c r="C3333" s="501"/>
      <c r="D3333" s="501"/>
      <c r="E3333" s="501"/>
      <c r="F3333" s="501"/>
      <c r="G3333" s="915"/>
      <c r="H3333" s="501"/>
      <c r="I3333" s="874"/>
      <c r="J3333" s="881"/>
      <c r="K3333" s="501"/>
      <c r="L3333" s="878"/>
      <c r="M3333" s="554"/>
      <c r="N3333" s="501"/>
      <c r="O3333" s="1097"/>
      <c r="P3333" s="1151"/>
      <c r="Q3333" s="1112"/>
      <c r="R3333" s="1097"/>
      <c r="S3333" s="1103"/>
      <c r="T3333" s="1193"/>
      <c r="V3333" s="501"/>
      <c r="W3333" s="501"/>
      <c r="X3333" s="501"/>
      <c r="Y3333" s="501"/>
      <c r="Z3333" s="501"/>
      <c r="AA3333" s="501"/>
      <c r="AB3333" s="501"/>
      <c r="AC3333" s="501"/>
      <c r="AD3333" s="501"/>
      <c r="AE3333" s="501"/>
      <c r="AF3333" s="501"/>
      <c r="AG3333" s="501"/>
      <c r="AH3333" s="501"/>
      <c r="AI3333" s="501"/>
      <c r="AJ3333" s="501"/>
      <c r="AK3333" s="501"/>
      <c r="AL3333" s="501"/>
      <c r="AM3333" s="501"/>
      <c r="AN3333" s="501"/>
      <c r="AO3333" s="501"/>
      <c r="AP3333" s="501"/>
      <c r="AQ3333" s="501"/>
      <c r="AR3333" s="501"/>
      <c r="AS3333" s="501"/>
      <c r="AT3333" s="501"/>
      <c r="AU3333" s="501"/>
      <c r="AV3333" s="501"/>
      <c r="AW3333" s="501"/>
      <c r="AX3333" s="501"/>
      <c r="AY3333" s="501"/>
      <c r="AZ3333" s="501"/>
      <c r="BA3333" s="501"/>
      <c r="BB3333" s="501"/>
      <c r="BC3333" s="501"/>
      <c r="BD3333" s="501"/>
      <c r="BE3333" s="501"/>
      <c r="BF3333" s="501"/>
      <c r="BG3333" s="501"/>
      <c r="BH3333" s="501"/>
      <c r="BI3333" s="501"/>
      <c r="BJ3333" s="501"/>
      <c r="BK3333" s="501"/>
      <c r="BL3333" s="501"/>
      <c r="BM3333" s="501"/>
      <c r="BN3333" s="501"/>
      <c r="BO3333" s="501"/>
      <c r="BP3333" s="501"/>
      <c r="BQ3333" s="501"/>
      <c r="BR3333" s="501"/>
      <c r="BS3333" s="501"/>
      <c r="BT3333" s="501"/>
      <c r="BU3333" s="501"/>
      <c r="BV3333" s="501"/>
      <c r="BW3333" s="501"/>
      <c r="BX3333" s="501"/>
      <c r="BY3333" s="501"/>
      <c r="BZ3333" s="501"/>
      <c r="CA3333" s="501"/>
      <c r="CB3333" s="501"/>
      <c r="CC3333" s="501"/>
      <c r="CD3333" s="501"/>
      <c r="CE3333" s="501"/>
      <c r="CF3333" s="501"/>
      <c r="CG3333" s="501"/>
      <c r="CH3333" s="501"/>
      <c r="CI3333" s="501"/>
      <c r="CJ3333" s="501"/>
      <c r="CK3333" s="501"/>
      <c r="CL3333" s="501"/>
      <c r="CM3333" s="501"/>
      <c r="CN3333" s="501"/>
      <c r="CO3333" s="501"/>
      <c r="CP3333" s="501"/>
      <c r="CQ3333" s="501"/>
      <c r="CR3333" s="501"/>
      <c r="CS3333" s="501"/>
      <c r="CT3333" s="501"/>
      <c r="CU3333" s="501"/>
      <c r="CV3333" s="501"/>
      <c r="CW3333" s="501"/>
      <c r="CX3333" s="501"/>
      <c r="CY3333" s="501"/>
      <c r="CZ3333" s="501"/>
      <c r="DA3333" s="501"/>
      <c r="DB3333" s="501"/>
      <c r="DC3333" s="501"/>
      <c r="DD3333" s="501"/>
      <c r="DE3333" s="501"/>
      <c r="DF3333" s="501"/>
      <c r="DG3333" s="501"/>
      <c r="DH3333" s="501"/>
      <c r="DI3333" s="501"/>
      <c r="DJ3333" s="501"/>
      <c r="DK3333" s="501"/>
      <c r="DL3333" s="501"/>
      <c r="DM3333" s="501"/>
      <c r="DN3333" s="501"/>
      <c r="DO3333" s="501"/>
      <c r="DP3333" s="501"/>
      <c r="DQ3333" s="501"/>
      <c r="DR3333" s="501"/>
      <c r="DS3333" s="501"/>
      <c r="DT3333" s="501"/>
      <c r="DU3333" s="501"/>
      <c r="DV3333" s="501"/>
      <c r="DW3333" s="501"/>
      <c r="DX3333" s="501"/>
      <c r="DY3333" s="501"/>
      <c r="DZ3333" s="501"/>
      <c r="EA3333" s="501"/>
      <c r="EB3333" s="501"/>
      <c r="EC3333" s="501"/>
      <c r="ED3333" s="501"/>
      <c r="EE3333" s="501"/>
      <c r="EF3333" s="501"/>
      <c r="EG3333" s="501"/>
      <c r="EH3333" s="501"/>
      <c r="EI3333" s="501"/>
      <c r="EJ3333" s="501"/>
      <c r="EK3333" s="501"/>
      <c r="EL3333" s="501"/>
      <c r="EM3333" s="501"/>
      <c r="EN3333" s="501"/>
      <c r="EO3333" s="501"/>
      <c r="EP3333" s="501"/>
      <c r="EQ3333" s="501"/>
      <c r="ER3333" s="501"/>
      <c r="ES3333" s="501"/>
      <c r="ET3333" s="501"/>
      <c r="EU3333" s="501"/>
      <c r="EV3333" s="501"/>
      <c r="EW3333" s="501"/>
      <c r="EX3333" s="501"/>
      <c r="EY3333" s="501"/>
      <c r="EZ3333" s="501"/>
      <c r="FA3333" s="501"/>
      <c r="FB3333" s="501"/>
      <c r="FC3333" s="501"/>
      <c r="FD3333" s="501"/>
      <c r="FE3333" s="501"/>
      <c r="FF3333" s="501"/>
      <c r="FG3333" s="501"/>
      <c r="FH3333" s="501"/>
      <c r="FI3333" s="501"/>
      <c r="FJ3333" s="501"/>
      <c r="FK3333" s="501"/>
      <c r="FL3333" s="501"/>
      <c r="FM3333" s="501"/>
      <c r="FN3333" s="501"/>
      <c r="FO3333" s="501"/>
      <c r="FP3333" s="501"/>
      <c r="FQ3333" s="501"/>
      <c r="FR3333" s="501"/>
      <c r="FS3333" s="501"/>
      <c r="FT3333" s="501"/>
      <c r="FU3333" s="501"/>
      <c r="FV3333" s="501"/>
      <c r="FW3333" s="501"/>
      <c r="FX3333" s="501"/>
      <c r="FY3333" s="501"/>
      <c r="FZ3333" s="501"/>
      <c r="GA3333" s="501"/>
      <c r="GB3333" s="501"/>
      <c r="GC3333" s="501"/>
      <c r="GD3333" s="501"/>
      <c r="GE3333" s="501"/>
      <c r="GF3333" s="501"/>
      <c r="GG3333" s="501"/>
      <c r="GH3333" s="501"/>
      <c r="GI3333" s="501"/>
      <c r="GJ3333" s="501"/>
      <c r="GK3333" s="501"/>
      <c r="GL3333" s="501"/>
      <c r="GM3333" s="501"/>
      <c r="GN3333" s="501"/>
      <c r="GO3333" s="501"/>
      <c r="GP3333" s="501"/>
      <c r="GQ3333" s="501"/>
      <c r="GR3333" s="501"/>
      <c r="GS3333" s="501"/>
      <c r="GT3333" s="501"/>
      <c r="GU3333" s="501"/>
      <c r="GV3333" s="501"/>
      <c r="GW3333" s="501"/>
      <c r="GX3333" s="501"/>
      <c r="GY3333" s="501"/>
      <c r="GZ3333" s="501"/>
      <c r="HA3333" s="501"/>
      <c r="HB3333" s="501"/>
      <c r="HC3333" s="501"/>
      <c r="HD3333" s="501"/>
      <c r="HE3333" s="501"/>
      <c r="HF3333" s="501"/>
      <c r="HG3333" s="501"/>
      <c r="HH3333" s="501"/>
      <c r="HI3333" s="501"/>
      <c r="HJ3333" s="501"/>
      <c r="HK3333" s="501"/>
      <c r="HL3333" s="501"/>
      <c r="HM3333" s="501"/>
      <c r="HN3333" s="501"/>
      <c r="HO3333" s="501"/>
      <c r="HP3333" s="501"/>
      <c r="HQ3333" s="501"/>
      <c r="HR3333" s="501"/>
      <c r="HS3333" s="501"/>
      <c r="HT3333" s="501"/>
      <c r="HU3333" s="501"/>
      <c r="HV3333" s="501"/>
      <c r="HW3333" s="501"/>
      <c r="HX3333" s="501"/>
      <c r="HY3333" s="501"/>
      <c r="HZ3333" s="501"/>
      <c r="IA3333" s="501"/>
      <c r="IB3333" s="501"/>
      <c r="IC3333" s="501"/>
      <c r="ID3333" s="501"/>
      <c r="IE3333" s="501"/>
      <c r="IF3333" s="501"/>
      <c r="IG3333" s="501"/>
      <c r="IH3333" s="501"/>
      <c r="II3333" s="501"/>
      <c r="IJ3333" s="501"/>
      <c r="IK3333" s="501"/>
      <c r="IL3333" s="501"/>
      <c r="IM3333" s="501"/>
      <c r="IN3333" s="501"/>
      <c r="IO3333" s="501"/>
      <c r="IP3333" s="501"/>
      <c r="IQ3333" s="501"/>
      <c r="IR3333" s="501"/>
      <c r="IS3333" s="501"/>
      <c r="IT3333" s="501"/>
      <c r="IU3333" s="501"/>
    </row>
    <row r="3334" spans="1:255" s="877" customFormat="1" ht="24" customHeight="1">
      <c r="A3334" s="501"/>
      <c r="B3334" s="501"/>
      <c r="C3334" s="501"/>
      <c r="D3334" s="501"/>
      <c r="E3334" s="501"/>
      <c r="F3334" s="545"/>
      <c r="G3334" s="889"/>
      <c r="H3334" s="545"/>
      <c r="I3334" s="876"/>
      <c r="J3334" s="932"/>
      <c r="K3334" s="545"/>
      <c r="L3334" s="876"/>
      <c r="M3334" s="882"/>
      <c r="N3334" s="501"/>
      <c r="O3334" s="501"/>
      <c r="P3334" s="501"/>
      <c r="Q3334" s="501"/>
      <c r="R3334" s="501"/>
      <c r="S3334" s="501"/>
      <c r="T3334" s="501"/>
      <c r="V3334" s="501"/>
      <c r="W3334" s="501"/>
      <c r="X3334" s="501"/>
      <c r="Y3334" s="501"/>
      <c r="Z3334" s="501"/>
      <c r="AA3334" s="501"/>
      <c r="AB3334" s="501"/>
      <c r="AC3334" s="501"/>
      <c r="AD3334" s="501"/>
      <c r="AE3334" s="501"/>
      <c r="AF3334" s="501"/>
      <c r="AG3334" s="501"/>
      <c r="AH3334" s="501"/>
      <c r="AI3334" s="501"/>
      <c r="AJ3334" s="501"/>
      <c r="AK3334" s="501"/>
      <c r="AL3334" s="501"/>
      <c r="AM3334" s="501"/>
      <c r="AN3334" s="501"/>
      <c r="AO3334" s="501"/>
      <c r="AP3334" s="501"/>
      <c r="AQ3334" s="501"/>
      <c r="AR3334" s="501"/>
      <c r="AS3334" s="501"/>
      <c r="AT3334" s="501"/>
      <c r="AU3334" s="501"/>
      <c r="AV3334" s="501"/>
      <c r="AW3334" s="501"/>
      <c r="AX3334" s="501"/>
      <c r="AY3334" s="501"/>
      <c r="AZ3334" s="501"/>
      <c r="BA3334" s="501"/>
      <c r="BB3334" s="501"/>
      <c r="BC3334" s="501"/>
      <c r="BD3334" s="501"/>
      <c r="BE3334" s="501"/>
      <c r="BF3334" s="501"/>
      <c r="BG3334" s="501"/>
      <c r="BH3334" s="501"/>
      <c r="BI3334" s="501"/>
      <c r="BJ3334" s="501"/>
      <c r="BK3334" s="501"/>
      <c r="BL3334" s="501"/>
      <c r="BM3334" s="501"/>
      <c r="BN3334" s="501"/>
      <c r="BO3334" s="501"/>
      <c r="BP3334" s="501"/>
      <c r="BQ3334" s="501"/>
      <c r="BR3334" s="501"/>
      <c r="BS3334" s="501"/>
      <c r="BT3334" s="501"/>
      <c r="BU3334" s="501"/>
      <c r="BV3334" s="501"/>
      <c r="BW3334" s="501"/>
      <c r="BX3334" s="501"/>
      <c r="BY3334" s="501"/>
      <c r="BZ3334" s="501"/>
      <c r="CA3334" s="501"/>
      <c r="CB3334" s="501"/>
      <c r="CC3334" s="501"/>
      <c r="CD3334" s="501"/>
      <c r="CE3334" s="501"/>
      <c r="CF3334" s="501"/>
      <c r="CG3334" s="501"/>
      <c r="CH3334" s="501"/>
      <c r="CI3334" s="501"/>
      <c r="CJ3334" s="501"/>
      <c r="CK3334" s="501"/>
      <c r="CL3334" s="501"/>
      <c r="CM3334" s="501"/>
      <c r="CN3334" s="501"/>
      <c r="CO3334" s="501"/>
      <c r="CP3334" s="501"/>
      <c r="CQ3334" s="501"/>
      <c r="CR3334" s="501"/>
      <c r="CS3334" s="501"/>
      <c r="CT3334" s="501"/>
      <c r="CU3334" s="501"/>
      <c r="CV3334" s="501"/>
      <c r="CW3334" s="501"/>
      <c r="CX3334" s="501"/>
      <c r="CY3334" s="501"/>
      <c r="CZ3334" s="501"/>
      <c r="DA3334" s="501"/>
      <c r="DB3334" s="501"/>
      <c r="DC3334" s="501"/>
      <c r="DD3334" s="501"/>
      <c r="DE3334" s="501"/>
      <c r="DF3334" s="501"/>
      <c r="DG3334" s="501"/>
      <c r="DH3334" s="501"/>
      <c r="DI3334" s="501"/>
      <c r="DJ3334" s="501"/>
      <c r="DK3334" s="501"/>
      <c r="DL3334" s="501"/>
      <c r="DM3334" s="501"/>
      <c r="DN3334" s="501"/>
      <c r="DO3334" s="501"/>
      <c r="DP3334" s="501"/>
      <c r="DQ3334" s="501"/>
      <c r="DR3334" s="501"/>
      <c r="DS3334" s="501"/>
      <c r="DT3334" s="501"/>
      <c r="DU3334" s="501"/>
      <c r="DV3334" s="501"/>
      <c r="DW3334" s="501"/>
      <c r="DX3334" s="501"/>
      <c r="DY3334" s="501"/>
      <c r="DZ3334" s="501"/>
      <c r="EA3334" s="501"/>
      <c r="EB3334" s="501"/>
      <c r="EC3334" s="501"/>
      <c r="ED3334" s="501"/>
      <c r="EE3334" s="501"/>
      <c r="EF3334" s="501"/>
      <c r="EG3334" s="501"/>
      <c r="EH3334" s="501"/>
      <c r="EI3334" s="501"/>
      <c r="EJ3334" s="501"/>
      <c r="EK3334" s="501"/>
      <c r="EL3334" s="501"/>
      <c r="EM3334" s="501"/>
      <c r="EN3334" s="501"/>
      <c r="EO3334" s="501"/>
      <c r="EP3334" s="501"/>
      <c r="EQ3334" s="501"/>
      <c r="ER3334" s="501"/>
      <c r="ES3334" s="501"/>
      <c r="ET3334" s="501"/>
      <c r="EU3334" s="501"/>
      <c r="EV3334" s="501"/>
      <c r="EW3334" s="501"/>
      <c r="EX3334" s="501"/>
      <c r="EY3334" s="501"/>
      <c r="EZ3334" s="501"/>
      <c r="FA3334" s="501"/>
      <c r="FB3334" s="501"/>
      <c r="FC3334" s="501"/>
      <c r="FD3334" s="501"/>
      <c r="FE3334" s="501"/>
      <c r="FF3334" s="501"/>
      <c r="FG3334" s="501"/>
      <c r="FH3334" s="501"/>
      <c r="FI3334" s="501"/>
      <c r="FJ3334" s="501"/>
      <c r="FK3334" s="501"/>
      <c r="FL3334" s="501"/>
      <c r="FM3334" s="501"/>
      <c r="FN3334" s="501"/>
      <c r="FO3334" s="501"/>
      <c r="FP3334" s="501"/>
      <c r="FQ3334" s="501"/>
      <c r="FR3334" s="501"/>
      <c r="FS3334" s="501"/>
      <c r="FT3334" s="501"/>
      <c r="FU3334" s="501"/>
      <c r="FV3334" s="501"/>
      <c r="FW3334" s="501"/>
      <c r="FX3334" s="501"/>
      <c r="FY3334" s="501"/>
      <c r="FZ3334" s="501"/>
      <c r="GA3334" s="501"/>
      <c r="GB3334" s="501"/>
      <c r="GC3334" s="501"/>
      <c r="GD3334" s="501"/>
      <c r="GE3334" s="501"/>
      <c r="GF3334" s="501"/>
      <c r="GG3334" s="501"/>
      <c r="GH3334" s="501"/>
      <c r="GI3334" s="501"/>
      <c r="GJ3334" s="501"/>
      <c r="GK3334" s="501"/>
      <c r="GL3334" s="501"/>
      <c r="GM3334" s="501"/>
      <c r="GN3334" s="501"/>
      <c r="GO3334" s="501"/>
      <c r="GP3334" s="501"/>
      <c r="GQ3334" s="501"/>
      <c r="GR3334" s="501"/>
      <c r="GS3334" s="501"/>
      <c r="GT3334" s="501"/>
      <c r="GU3334" s="501"/>
      <c r="GV3334" s="501"/>
      <c r="GW3334" s="501"/>
      <c r="GX3334" s="501"/>
      <c r="GY3334" s="501"/>
      <c r="GZ3334" s="501"/>
      <c r="HA3334" s="501"/>
      <c r="HB3334" s="501"/>
      <c r="HC3334" s="501"/>
      <c r="HD3334" s="501"/>
      <c r="HE3334" s="501"/>
      <c r="HF3334" s="501"/>
      <c r="HG3334" s="501"/>
      <c r="HH3334" s="501"/>
      <c r="HI3334" s="501"/>
      <c r="HJ3334" s="501"/>
      <c r="HK3334" s="501"/>
      <c r="HL3334" s="501"/>
      <c r="HM3334" s="501"/>
      <c r="HN3334" s="501"/>
      <c r="HO3334" s="501"/>
      <c r="HP3334" s="501"/>
      <c r="HQ3334" s="501"/>
      <c r="HR3334" s="501"/>
      <c r="HS3334" s="501"/>
      <c r="HT3334" s="501"/>
      <c r="HU3334" s="501"/>
      <c r="HV3334" s="501"/>
      <c r="HW3334" s="501"/>
      <c r="HX3334" s="501"/>
      <c r="HY3334" s="501"/>
      <c r="HZ3334" s="501"/>
      <c r="IA3334" s="501"/>
      <c r="IB3334" s="501"/>
      <c r="IC3334" s="501"/>
      <c r="ID3334" s="501"/>
      <c r="IE3334" s="501"/>
      <c r="IF3334" s="501"/>
      <c r="IG3334" s="501"/>
      <c r="IH3334" s="501"/>
      <c r="II3334" s="501"/>
      <c r="IJ3334" s="501"/>
      <c r="IK3334" s="501"/>
      <c r="IL3334" s="501"/>
      <c r="IM3334" s="501"/>
      <c r="IN3334" s="501"/>
      <c r="IO3334" s="501"/>
      <c r="IP3334" s="501"/>
      <c r="IQ3334" s="501"/>
      <c r="IR3334" s="501"/>
      <c r="IS3334" s="501"/>
      <c r="IT3334" s="501"/>
      <c r="IU3334" s="501"/>
    </row>
    <row r="3335" spans="1:255" s="877" customFormat="1" ht="24" customHeight="1">
      <c r="A3335" s="501"/>
      <c r="B3335" s="501"/>
      <c r="C3335" s="501"/>
      <c r="D3335" s="501"/>
      <c r="E3335" s="501"/>
      <c r="F3335" s="545"/>
      <c r="G3335" s="889"/>
      <c r="H3335" s="545"/>
      <c r="I3335" s="876"/>
      <c r="J3335" s="876"/>
      <c r="K3335" s="545"/>
      <c r="L3335" s="901"/>
      <c r="M3335" s="882"/>
      <c r="N3335" s="501"/>
      <c r="O3335" s="501"/>
      <c r="P3335" s="501"/>
      <c r="Q3335" s="501"/>
      <c r="R3335" s="501"/>
      <c r="S3335" s="501"/>
      <c r="T3335" s="501"/>
      <c r="V3335" s="501"/>
      <c r="W3335" s="501"/>
      <c r="X3335" s="501"/>
      <c r="Y3335" s="501"/>
      <c r="Z3335" s="501"/>
      <c r="AA3335" s="501"/>
      <c r="AB3335" s="501"/>
      <c r="AC3335" s="501"/>
      <c r="AD3335" s="501"/>
      <c r="AE3335" s="501"/>
      <c r="AF3335" s="501"/>
      <c r="AG3335" s="501"/>
      <c r="AH3335" s="501"/>
      <c r="AI3335" s="501"/>
      <c r="AJ3335" s="501"/>
      <c r="AK3335" s="501"/>
      <c r="AL3335" s="501"/>
      <c r="AM3335" s="501"/>
      <c r="AN3335" s="501"/>
      <c r="AO3335" s="501"/>
      <c r="AP3335" s="501"/>
      <c r="AQ3335" s="501"/>
      <c r="AR3335" s="501"/>
      <c r="AS3335" s="501"/>
      <c r="AT3335" s="501"/>
      <c r="AU3335" s="501"/>
      <c r="AV3335" s="501"/>
      <c r="AW3335" s="501"/>
      <c r="AX3335" s="501"/>
      <c r="AY3335" s="501"/>
      <c r="AZ3335" s="501"/>
      <c r="BA3335" s="501"/>
      <c r="BB3335" s="501"/>
      <c r="BC3335" s="501"/>
      <c r="BD3335" s="501"/>
      <c r="BE3335" s="501"/>
      <c r="BF3335" s="501"/>
      <c r="BG3335" s="501"/>
      <c r="BH3335" s="501"/>
      <c r="BI3335" s="501"/>
      <c r="BJ3335" s="501"/>
      <c r="BK3335" s="501"/>
      <c r="BL3335" s="501"/>
      <c r="BM3335" s="501"/>
      <c r="BN3335" s="501"/>
      <c r="BO3335" s="501"/>
      <c r="BP3335" s="501"/>
      <c r="BQ3335" s="501"/>
      <c r="BR3335" s="501"/>
      <c r="BS3335" s="501"/>
      <c r="BT3335" s="501"/>
      <c r="BU3335" s="501"/>
      <c r="BV3335" s="501"/>
      <c r="BW3335" s="501"/>
      <c r="BX3335" s="501"/>
      <c r="BY3335" s="501"/>
      <c r="BZ3335" s="501"/>
      <c r="CA3335" s="501"/>
      <c r="CB3335" s="501"/>
      <c r="CC3335" s="501"/>
      <c r="CD3335" s="501"/>
      <c r="CE3335" s="501"/>
      <c r="CF3335" s="501"/>
      <c r="CG3335" s="501"/>
      <c r="CH3335" s="501"/>
      <c r="CI3335" s="501"/>
      <c r="CJ3335" s="501"/>
      <c r="CK3335" s="501"/>
      <c r="CL3335" s="501"/>
      <c r="CM3335" s="501"/>
      <c r="CN3335" s="501"/>
      <c r="CO3335" s="501"/>
      <c r="CP3335" s="501"/>
      <c r="CQ3335" s="501"/>
      <c r="CR3335" s="501"/>
      <c r="CS3335" s="501"/>
      <c r="CT3335" s="501"/>
      <c r="CU3335" s="501"/>
      <c r="CV3335" s="501"/>
      <c r="CW3335" s="501"/>
      <c r="CX3335" s="501"/>
      <c r="CY3335" s="501"/>
      <c r="CZ3335" s="501"/>
      <c r="DA3335" s="501"/>
      <c r="DB3335" s="501"/>
      <c r="DC3335" s="501"/>
      <c r="DD3335" s="501"/>
      <c r="DE3335" s="501"/>
      <c r="DF3335" s="501"/>
      <c r="DG3335" s="501"/>
      <c r="DH3335" s="501"/>
      <c r="DI3335" s="501"/>
      <c r="DJ3335" s="501"/>
      <c r="DK3335" s="501"/>
      <c r="DL3335" s="501"/>
      <c r="DM3335" s="501"/>
      <c r="DN3335" s="501"/>
      <c r="DO3335" s="501"/>
      <c r="DP3335" s="501"/>
      <c r="DQ3335" s="501"/>
      <c r="DR3335" s="501"/>
      <c r="DS3335" s="501"/>
      <c r="DT3335" s="501"/>
      <c r="DU3335" s="501"/>
      <c r="DV3335" s="501"/>
      <c r="DW3335" s="501"/>
      <c r="DX3335" s="501"/>
      <c r="DY3335" s="501"/>
      <c r="DZ3335" s="501"/>
      <c r="EA3335" s="501"/>
      <c r="EB3335" s="501"/>
      <c r="EC3335" s="501"/>
      <c r="ED3335" s="501"/>
      <c r="EE3335" s="501"/>
      <c r="EF3335" s="501"/>
      <c r="EG3335" s="501"/>
      <c r="EH3335" s="501"/>
      <c r="EI3335" s="501"/>
      <c r="EJ3335" s="501"/>
      <c r="EK3335" s="501"/>
      <c r="EL3335" s="501"/>
      <c r="EM3335" s="501"/>
      <c r="EN3335" s="501"/>
      <c r="EO3335" s="501"/>
      <c r="EP3335" s="501"/>
      <c r="EQ3335" s="501"/>
      <c r="ER3335" s="501"/>
      <c r="ES3335" s="501"/>
      <c r="ET3335" s="501"/>
      <c r="EU3335" s="501"/>
      <c r="EV3335" s="501"/>
      <c r="EW3335" s="501"/>
      <c r="EX3335" s="501"/>
      <c r="EY3335" s="501"/>
      <c r="EZ3335" s="501"/>
      <c r="FA3335" s="501"/>
      <c r="FB3335" s="501"/>
      <c r="FC3335" s="501"/>
      <c r="FD3335" s="501"/>
      <c r="FE3335" s="501"/>
      <c r="FF3335" s="501"/>
      <c r="FG3335" s="501"/>
      <c r="FH3335" s="501"/>
      <c r="FI3335" s="501"/>
      <c r="FJ3335" s="501"/>
      <c r="FK3335" s="501"/>
      <c r="FL3335" s="501"/>
      <c r="FM3335" s="501"/>
      <c r="FN3335" s="501"/>
      <c r="FO3335" s="501"/>
      <c r="FP3335" s="501"/>
      <c r="FQ3335" s="501"/>
      <c r="FR3335" s="501"/>
      <c r="FS3335" s="501"/>
      <c r="FT3335" s="501"/>
      <c r="FU3335" s="501"/>
      <c r="FV3335" s="501"/>
      <c r="FW3335" s="501"/>
      <c r="FX3335" s="501"/>
      <c r="FY3335" s="501"/>
      <c r="FZ3335" s="501"/>
      <c r="GA3335" s="501"/>
      <c r="GB3335" s="501"/>
      <c r="GC3335" s="501"/>
      <c r="GD3335" s="501"/>
      <c r="GE3335" s="501"/>
      <c r="GF3335" s="501"/>
      <c r="GG3335" s="501"/>
      <c r="GH3335" s="501"/>
      <c r="GI3335" s="501"/>
      <c r="GJ3335" s="501"/>
      <c r="GK3335" s="501"/>
      <c r="GL3335" s="501"/>
      <c r="GM3335" s="501"/>
      <c r="GN3335" s="501"/>
      <c r="GO3335" s="501"/>
      <c r="GP3335" s="501"/>
      <c r="GQ3335" s="501"/>
      <c r="GR3335" s="501"/>
      <c r="GS3335" s="501"/>
      <c r="GT3335" s="501"/>
      <c r="GU3335" s="501"/>
      <c r="GV3335" s="501"/>
      <c r="GW3335" s="501"/>
      <c r="GX3335" s="501"/>
      <c r="GY3335" s="501"/>
      <c r="GZ3335" s="501"/>
      <c r="HA3335" s="501"/>
      <c r="HB3335" s="501"/>
      <c r="HC3335" s="501"/>
      <c r="HD3335" s="501"/>
      <c r="HE3335" s="501"/>
      <c r="HF3335" s="501"/>
      <c r="HG3335" s="501"/>
      <c r="HH3335" s="501"/>
      <c r="HI3335" s="501"/>
      <c r="HJ3335" s="501"/>
      <c r="HK3335" s="501"/>
      <c r="HL3335" s="501"/>
      <c r="HM3335" s="501"/>
      <c r="HN3335" s="501"/>
      <c r="HO3335" s="501"/>
      <c r="HP3335" s="501"/>
      <c r="HQ3335" s="501"/>
      <c r="HR3335" s="501"/>
      <c r="HS3335" s="501"/>
      <c r="HT3335" s="501"/>
      <c r="HU3335" s="501"/>
      <c r="HV3335" s="501"/>
      <c r="HW3335" s="501"/>
      <c r="HX3335" s="501"/>
      <c r="HY3335" s="501"/>
      <c r="HZ3335" s="501"/>
      <c r="IA3335" s="501"/>
      <c r="IB3335" s="501"/>
      <c r="IC3335" s="501"/>
      <c r="ID3335" s="501"/>
      <c r="IE3335" s="501"/>
      <c r="IF3335" s="501"/>
      <c r="IG3335" s="501"/>
      <c r="IH3335" s="501"/>
      <c r="II3335" s="501"/>
      <c r="IJ3335" s="501"/>
      <c r="IK3335" s="501"/>
      <c r="IL3335" s="501"/>
      <c r="IM3335" s="501"/>
      <c r="IN3335" s="501"/>
      <c r="IO3335" s="501"/>
      <c r="IP3335" s="501"/>
      <c r="IQ3335" s="501"/>
      <c r="IR3335" s="501"/>
      <c r="IS3335" s="501"/>
      <c r="IT3335" s="501"/>
      <c r="IU3335" s="501"/>
    </row>
    <row r="3336" spans="1:255" s="877" customFormat="1" ht="24" customHeight="1">
      <c r="A3336" s="501"/>
      <c r="B3336" s="501"/>
      <c r="C3336" s="501"/>
      <c r="D3336" s="501"/>
      <c r="E3336" s="501"/>
      <c r="F3336" s="545"/>
      <c r="G3336" s="889"/>
      <c r="H3336" s="545"/>
      <c r="I3336" s="876"/>
      <c r="J3336" s="876"/>
      <c r="K3336" s="545"/>
      <c r="L3336" s="901"/>
      <c r="M3336" s="882"/>
      <c r="N3336" s="501"/>
      <c r="O3336" s="974"/>
      <c r="P3336" s="1152"/>
      <c r="Q3336" s="973"/>
      <c r="R3336" s="1097"/>
      <c r="S3336" s="1101"/>
      <c r="T3336" s="1097"/>
      <c r="V3336" s="501"/>
      <c r="W3336" s="501"/>
      <c r="X3336" s="501"/>
      <c r="Y3336" s="501"/>
      <c r="Z3336" s="501"/>
      <c r="AA3336" s="501"/>
      <c r="AB3336" s="501"/>
      <c r="AC3336" s="501"/>
      <c r="AD3336" s="501"/>
      <c r="AE3336" s="501"/>
      <c r="AF3336" s="501"/>
      <c r="AG3336" s="501"/>
      <c r="AH3336" s="501"/>
      <c r="AI3336" s="501"/>
      <c r="AJ3336" s="501"/>
      <c r="AK3336" s="501"/>
      <c r="AL3336" s="501"/>
      <c r="AM3336" s="501"/>
      <c r="AN3336" s="501"/>
      <c r="AO3336" s="501"/>
      <c r="AP3336" s="501"/>
      <c r="AQ3336" s="501"/>
      <c r="AR3336" s="501"/>
      <c r="AS3336" s="501"/>
      <c r="AT3336" s="501"/>
      <c r="AU3336" s="501"/>
      <c r="AV3336" s="501"/>
      <c r="AW3336" s="501"/>
      <c r="AX3336" s="501"/>
      <c r="AY3336" s="501"/>
      <c r="AZ3336" s="501"/>
      <c r="BA3336" s="501"/>
      <c r="BB3336" s="501"/>
      <c r="BC3336" s="501"/>
      <c r="BD3336" s="501"/>
      <c r="BE3336" s="501"/>
      <c r="BF3336" s="501"/>
      <c r="BG3336" s="501"/>
      <c r="BH3336" s="501"/>
      <c r="BI3336" s="501"/>
      <c r="BJ3336" s="501"/>
      <c r="BK3336" s="501"/>
      <c r="BL3336" s="501"/>
      <c r="BM3336" s="501"/>
      <c r="BN3336" s="501"/>
      <c r="BO3336" s="501"/>
      <c r="BP3336" s="501"/>
      <c r="BQ3336" s="501"/>
      <c r="BR3336" s="501"/>
      <c r="BS3336" s="501"/>
      <c r="BT3336" s="501"/>
      <c r="BU3336" s="501"/>
      <c r="BV3336" s="501"/>
      <c r="BW3336" s="501"/>
      <c r="BX3336" s="501"/>
      <c r="BY3336" s="501"/>
      <c r="BZ3336" s="501"/>
      <c r="CA3336" s="501"/>
      <c r="CB3336" s="501"/>
      <c r="CC3336" s="501"/>
      <c r="CD3336" s="501"/>
      <c r="CE3336" s="501"/>
      <c r="CF3336" s="501"/>
      <c r="CG3336" s="501"/>
      <c r="CH3336" s="501"/>
      <c r="CI3336" s="501"/>
      <c r="CJ3336" s="501"/>
      <c r="CK3336" s="501"/>
      <c r="CL3336" s="501"/>
      <c r="CM3336" s="501"/>
      <c r="CN3336" s="501"/>
      <c r="CO3336" s="501"/>
      <c r="CP3336" s="501"/>
      <c r="CQ3336" s="501"/>
      <c r="CR3336" s="501"/>
      <c r="CS3336" s="501"/>
      <c r="CT3336" s="501"/>
      <c r="CU3336" s="501"/>
      <c r="CV3336" s="501"/>
      <c r="CW3336" s="501"/>
      <c r="CX3336" s="501"/>
      <c r="CY3336" s="501"/>
      <c r="CZ3336" s="501"/>
      <c r="DA3336" s="501"/>
      <c r="DB3336" s="501"/>
      <c r="DC3336" s="501"/>
      <c r="DD3336" s="501"/>
      <c r="DE3336" s="501"/>
      <c r="DF3336" s="501"/>
      <c r="DG3336" s="501"/>
      <c r="DH3336" s="501"/>
      <c r="DI3336" s="501"/>
      <c r="DJ3336" s="501"/>
      <c r="DK3336" s="501"/>
      <c r="DL3336" s="501"/>
      <c r="DM3336" s="501"/>
      <c r="DN3336" s="501"/>
      <c r="DO3336" s="501"/>
      <c r="DP3336" s="501"/>
      <c r="DQ3336" s="501"/>
      <c r="DR3336" s="501"/>
      <c r="DS3336" s="501"/>
      <c r="DT3336" s="501"/>
      <c r="DU3336" s="501"/>
      <c r="DV3336" s="501"/>
      <c r="DW3336" s="501"/>
      <c r="DX3336" s="501"/>
      <c r="DY3336" s="501"/>
      <c r="DZ3336" s="501"/>
      <c r="EA3336" s="501"/>
      <c r="EB3336" s="501"/>
      <c r="EC3336" s="501"/>
      <c r="ED3336" s="501"/>
      <c r="EE3336" s="501"/>
      <c r="EF3336" s="501"/>
      <c r="EG3336" s="501"/>
      <c r="EH3336" s="501"/>
      <c r="EI3336" s="501"/>
      <c r="EJ3336" s="501"/>
      <c r="EK3336" s="501"/>
      <c r="EL3336" s="501"/>
      <c r="EM3336" s="501"/>
      <c r="EN3336" s="501"/>
      <c r="EO3336" s="501"/>
      <c r="EP3336" s="501"/>
      <c r="EQ3336" s="501"/>
      <c r="ER3336" s="501"/>
      <c r="ES3336" s="501"/>
      <c r="ET3336" s="501"/>
      <c r="EU3336" s="501"/>
      <c r="EV3336" s="501"/>
      <c r="EW3336" s="501"/>
      <c r="EX3336" s="501"/>
      <c r="EY3336" s="501"/>
      <c r="EZ3336" s="501"/>
      <c r="FA3336" s="501"/>
      <c r="FB3336" s="501"/>
      <c r="FC3336" s="501"/>
      <c r="FD3336" s="501"/>
      <c r="FE3336" s="501"/>
      <c r="FF3336" s="501"/>
      <c r="FG3336" s="501"/>
      <c r="FH3336" s="501"/>
      <c r="FI3336" s="501"/>
      <c r="FJ3336" s="501"/>
      <c r="FK3336" s="501"/>
      <c r="FL3336" s="501"/>
      <c r="FM3336" s="501"/>
      <c r="FN3336" s="501"/>
      <c r="FO3336" s="501"/>
      <c r="FP3336" s="501"/>
      <c r="FQ3336" s="501"/>
      <c r="FR3336" s="501"/>
      <c r="FS3336" s="501"/>
      <c r="FT3336" s="501"/>
      <c r="FU3336" s="501"/>
      <c r="FV3336" s="501"/>
      <c r="FW3336" s="501"/>
      <c r="FX3336" s="501"/>
      <c r="FY3336" s="501"/>
      <c r="FZ3336" s="501"/>
      <c r="GA3336" s="501"/>
      <c r="GB3336" s="501"/>
      <c r="GC3336" s="501"/>
      <c r="GD3336" s="501"/>
      <c r="GE3336" s="501"/>
      <c r="GF3336" s="501"/>
      <c r="GG3336" s="501"/>
      <c r="GH3336" s="501"/>
      <c r="GI3336" s="501"/>
      <c r="GJ3336" s="501"/>
      <c r="GK3336" s="501"/>
      <c r="GL3336" s="501"/>
      <c r="GM3336" s="501"/>
      <c r="GN3336" s="501"/>
      <c r="GO3336" s="501"/>
      <c r="GP3336" s="501"/>
      <c r="GQ3336" s="501"/>
      <c r="GR3336" s="501"/>
      <c r="GS3336" s="501"/>
      <c r="GT3336" s="501"/>
      <c r="GU3336" s="501"/>
      <c r="GV3336" s="501"/>
      <c r="GW3336" s="501"/>
      <c r="GX3336" s="501"/>
      <c r="GY3336" s="501"/>
      <c r="GZ3336" s="501"/>
      <c r="HA3336" s="501"/>
      <c r="HB3336" s="501"/>
      <c r="HC3336" s="501"/>
      <c r="HD3336" s="501"/>
      <c r="HE3336" s="501"/>
      <c r="HF3336" s="501"/>
      <c r="HG3336" s="501"/>
      <c r="HH3336" s="501"/>
      <c r="HI3336" s="501"/>
      <c r="HJ3336" s="501"/>
      <c r="HK3336" s="501"/>
      <c r="HL3336" s="501"/>
      <c r="HM3336" s="501"/>
      <c r="HN3336" s="501"/>
      <c r="HO3336" s="501"/>
      <c r="HP3336" s="501"/>
      <c r="HQ3336" s="501"/>
      <c r="HR3336" s="501"/>
      <c r="HS3336" s="501"/>
      <c r="HT3336" s="501"/>
      <c r="HU3336" s="501"/>
      <c r="HV3336" s="501"/>
      <c r="HW3336" s="501"/>
      <c r="HX3336" s="501"/>
      <c r="HY3336" s="501"/>
      <c r="HZ3336" s="501"/>
      <c r="IA3336" s="501"/>
      <c r="IB3336" s="501"/>
      <c r="IC3336" s="501"/>
      <c r="ID3336" s="501"/>
      <c r="IE3336" s="501"/>
      <c r="IF3336" s="501"/>
      <c r="IG3336" s="501"/>
      <c r="IH3336" s="501"/>
      <c r="II3336" s="501"/>
      <c r="IJ3336" s="501"/>
      <c r="IK3336" s="501"/>
      <c r="IL3336" s="501"/>
      <c r="IM3336" s="501"/>
      <c r="IN3336" s="501"/>
      <c r="IO3336" s="501"/>
      <c r="IP3336" s="501"/>
      <c r="IQ3336" s="501"/>
      <c r="IR3336" s="501"/>
      <c r="IS3336" s="501"/>
      <c r="IT3336" s="501"/>
      <c r="IU3336" s="501"/>
    </row>
    <row r="3337" spans="1:255" s="877" customFormat="1" ht="24" customHeight="1">
      <c r="A3337" s="501"/>
      <c r="B3337" s="501"/>
      <c r="C3337" s="501"/>
      <c r="D3337" s="501"/>
      <c r="E3337" s="501"/>
      <c r="F3337" s="545"/>
      <c r="G3337" s="889"/>
      <c r="H3337" s="545"/>
      <c r="I3337" s="876"/>
      <c r="J3337" s="876"/>
      <c r="K3337" s="545"/>
      <c r="L3337" s="901"/>
      <c r="M3337" s="882"/>
      <c r="N3337" s="501"/>
      <c r="O3337" s="1097"/>
      <c r="P3337" s="1151"/>
      <c r="Q3337" s="973"/>
      <c r="R3337" s="1097"/>
      <c r="S3337" s="1101"/>
      <c r="T3337" s="1097"/>
      <c r="V3337" s="501"/>
      <c r="W3337" s="501"/>
      <c r="X3337" s="501"/>
      <c r="Y3337" s="501"/>
      <c r="Z3337" s="501"/>
      <c r="AA3337" s="501"/>
      <c r="AB3337" s="501"/>
      <c r="AC3337" s="501"/>
      <c r="AD3337" s="501"/>
      <c r="AE3337" s="501"/>
      <c r="AF3337" s="501"/>
      <c r="AG3337" s="501"/>
      <c r="AH3337" s="501"/>
      <c r="AI3337" s="501"/>
      <c r="AJ3337" s="501"/>
      <c r="AK3337" s="501"/>
      <c r="AL3337" s="501"/>
      <c r="AM3337" s="501"/>
      <c r="AN3337" s="501"/>
      <c r="AO3337" s="501"/>
      <c r="AP3337" s="501"/>
      <c r="AQ3337" s="501"/>
      <c r="AR3337" s="501"/>
      <c r="AS3337" s="501"/>
      <c r="AT3337" s="501"/>
      <c r="AU3337" s="501"/>
      <c r="AV3337" s="501"/>
      <c r="AW3337" s="501"/>
      <c r="AX3337" s="501"/>
      <c r="AY3337" s="501"/>
      <c r="AZ3337" s="501"/>
      <c r="BA3337" s="501"/>
      <c r="BB3337" s="501"/>
      <c r="BC3337" s="501"/>
      <c r="BD3337" s="501"/>
      <c r="BE3337" s="501"/>
      <c r="BF3337" s="501"/>
      <c r="BG3337" s="501"/>
      <c r="BH3337" s="501"/>
      <c r="BI3337" s="501"/>
      <c r="BJ3337" s="501"/>
      <c r="BK3337" s="501"/>
      <c r="BL3337" s="501"/>
      <c r="BM3337" s="501"/>
      <c r="BN3337" s="501"/>
      <c r="BO3337" s="501"/>
      <c r="BP3337" s="501"/>
      <c r="BQ3337" s="501"/>
      <c r="BR3337" s="501"/>
      <c r="BS3337" s="501"/>
      <c r="BT3337" s="501"/>
      <c r="BU3337" s="501"/>
      <c r="BV3337" s="501"/>
      <c r="BW3337" s="501"/>
      <c r="BX3337" s="501"/>
      <c r="BY3337" s="501"/>
      <c r="BZ3337" s="501"/>
      <c r="CA3337" s="501"/>
      <c r="CB3337" s="501"/>
      <c r="CC3337" s="501"/>
      <c r="CD3337" s="501"/>
      <c r="CE3337" s="501"/>
      <c r="CF3337" s="501"/>
      <c r="CG3337" s="501"/>
      <c r="CH3337" s="501"/>
      <c r="CI3337" s="501"/>
      <c r="CJ3337" s="501"/>
      <c r="CK3337" s="501"/>
      <c r="CL3337" s="501"/>
      <c r="CM3337" s="501"/>
      <c r="CN3337" s="501"/>
      <c r="CO3337" s="501"/>
      <c r="CP3337" s="501"/>
      <c r="CQ3337" s="501"/>
      <c r="CR3337" s="501"/>
      <c r="CS3337" s="501"/>
      <c r="CT3337" s="501"/>
      <c r="CU3337" s="501"/>
      <c r="CV3337" s="501"/>
      <c r="CW3337" s="501"/>
      <c r="CX3337" s="501"/>
      <c r="CY3337" s="501"/>
      <c r="CZ3337" s="501"/>
      <c r="DA3337" s="501"/>
      <c r="DB3337" s="501"/>
      <c r="DC3337" s="501"/>
      <c r="DD3337" s="501"/>
      <c r="DE3337" s="501"/>
      <c r="DF3337" s="501"/>
      <c r="DG3337" s="501"/>
      <c r="DH3337" s="501"/>
      <c r="DI3337" s="501"/>
      <c r="DJ3337" s="501"/>
      <c r="DK3337" s="501"/>
      <c r="DL3337" s="501"/>
      <c r="DM3337" s="501"/>
      <c r="DN3337" s="501"/>
      <c r="DO3337" s="501"/>
      <c r="DP3337" s="501"/>
      <c r="DQ3337" s="501"/>
      <c r="DR3337" s="501"/>
      <c r="DS3337" s="501"/>
      <c r="DT3337" s="501"/>
      <c r="DU3337" s="501"/>
      <c r="DV3337" s="501"/>
      <c r="DW3337" s="501"/>
      <c r="DX3337" s="501"/>
      <c r="DY3337" s="501"/>
      <c r="DZ3337" s="501"/>
      <c r="EA3337" s="501"/>
      <c r="EB3337" s="501"/>
      <c r="EC3337" s="501"/>
      <c r="ED3337" s="501"/>
      <c r="EE3337" s="501"/>
      <c r="EF3337" s="501"/>
      <c r="EG3337" s="501"/>
      <c r="EH3337" s="501"/>
      <c r="EI3337" s="501"/>
      <c r="EJ3337" s="501"/>
      <c r="EK3337" s="501"/>
      <c r="EL3337" s="501"/>
      <c r="EM3337" s="501"/>
      <c r="EN3337" s="501"/>
      <c r="EO3337" s="501"/>
      <c r="EP3337" s="501"/>
      <c r="EQ3337" s="501"/>
      <c r="ER3337" s="501"/>
      <c r="ES3337" s="501"/>
      <c r="ET3337" s="501"/>
      <c r="EU3337" s="501"/>
      <c r="EV3337" s="501"/>
      <c r="EW3337" s="501"/>
      <c r="EX3337" s="501"/>
      <c r="EY3337" s="501"/>
      <c r="EZ3337" s="501"/>
      <c r="FA3337" s="501"/>
      <c r="FB3337" s="501"/>
      <c r="FC3337" s="501"/>
      <c r="FD3337" s="501"/>
      <c r="FE3337" s="501"/>
      <c r="FF3337" s="501"/>
      <c r="FG3337" s="501"/>
      <c r="FH3337" s="501"/>
      <c r="FI3337" s="501"/>
      <c r="FJ3337" s="501"/>
      <c r="FK3337" s="501"/>
      <c r="FL3337" s="501"/>
      <c r="FM3337" s="501"/>
      <c r="FN3337" s="501"/>
      <c r="FO3337" s="501"/>
      <c r="FP3337" s="501"/>
      <c r="FQ3337" s="501"/>
      <c r="FR3337" s="501"/>
      <c r="FS3337" s="501"/>
      <c r="FT3337" s="501"/>
      <c r="FU3337" s="501"/>
      <c r="FV3337" s="501"/>
      <c r="FW3337" s="501"/>
      <c r="FX3337" s="501"/>
      <c r="FY3337" s="501"/>
      <c r="FZ3337" s="501"/>
      <c r="GA3337" s="501"/>
      <c r="GB3337" s="501"/>
      <c r="GC3337" s="501"/>
      <c r="GD3337" s="501"/>
      <c r="GE3337" s="501"/>
      <c r="GF3337" s="501"/>
      <c r="GG3337" s="501"/>
      <c r="GH3337" s="501"/>
      <c r="GI3337" s="501"/>
      <c r="GJ3337" s="501"/>
      <c r="GK3337" s="501"/>
      <c r="GL3337" s="501"/>
      <c r="GM3337" s="501"/>
      <c r="GN3337" s="501"/>
      <c r="GO3337" s="501"/>
      <c r="GP3337" s="501"/>
      <c r="GQ3337" s="501"/>
      <c r="GR3337" s="501"/>
      <c r="GS3337" s="501"/>
      <c r="GT3337" s="501"/>
      <c r="GU3337" s="501"/>
      <c r="GV3337" s="501"/>
      <c r="GW3337" s="501"/>
      <c r="GX3337" s="501"/>
      <c r="GY3337" s="501"/>
      <c r="GZ3337" s="501"/>
      <c r="HA3337" s="501"/>
      <c r="HB3337" s="501"/>
      <c r="HC3337" s="501"/>
      <c r="HD3337" s="501"/>
      <c r="HE3337" s="501"/>
      <c r="HF3337" s="501"/>
      <c r="HG3337" s="501"/>
      <c r="HH3337" s="501"/>
      <c r="HI3337" s="501"/>
      <c r="HJ3337" s="501"/>
      <c r="HK3337" s="501"/>
      <c r="HL3337" s="501"/>
      <c r="HM3337" s="501"/>
      <c r="HN3337" s="501"/>
      <c r="HO3337" s="501"/>
      <c r="HP3337" s="501"/>
      <c r="HQ3337" s="501"/>
      <c r="HR3337" s="501"/>
      <c r="HS3337" s="501"/>
      <c r="HT3337" s="501"/>
      <c r="HU3337" s="501"/>
      <c r="HV3337" s="501"/>
      <c r="HW3337" s="501"/>
      <c r="HX3337" s="501"/>
      <c r="HY3337" s="501"/>
      <c r="HZ3337" s="501"/>
      <c r="IA3337" s="501"/>
      <c r="IB3337" s="501"/>
      <c r="IC3337" s="501"/>
      <c r="ID3337" s="501"/>
      <c r="IE3337" s="501"/>
      <c r="IF3337" s="501"/>
      <c r="IG3337" s="501"/>
      <c r="IH3337" s="501"/>
      <c r="II3337" s="501"/>
      <c r="IJ3337" s="501"/>
      <c r="IK3337" s="501"/>
      <c r="IL3337" s="501"/>
      <c r="IM3337" s="501"/>
      <c r="IN3337" s="501"/>
      <c r="IO3337" s="501"/>
      <c r="IP3337" s="501"/>
      <c r="IQ3337" s="501"/>
      <c r="IR3337" s="501"/>
      <c r="IS3337" s="501"/>
      <c r="IT3337" s="501"/>
      <c r="IU3337" s="501"/>
    </row>
    <row r="3338" spans="1:255" s="877" customFormat="1" ht="24" customHeight="1">
      <c r="A3338" s="501"/>
      <c r="B3338" s="501"/>
      <c r="C3338" s="501"/>
      <c r="D3338" s="501"/>
      <c r="E3338" s="501"/>
      <c r="F3338" s="501"/>
      <c r="G3338" s="915"/>
      <c r="H3338" s="501"/>
      <c r="I3338" s="876"/>
      <c r="J3338" s="876"/>
      <c r="K3338" s="876"/>
      <c r="L3338" s="880"/>
      <c r="M3338" s="882"/>
      <c r="N3338" s="501"/>
      <c r="O3338" s="1097"/>
      <c r="P3338" s="1151"/>
      <c r="Q3338" s="1184"/>
      <c r="R3338" s="1097"/>
      <c r="S3338" s="1101"/>
      <c r="T3338" s="1097"/>
      <c r="V3338" s="501"/>
      <c r="W3338" s="501"/>
      <c r="X3338" s="501"/>
      <c r="Y3338" s="501"/>
      <c r="Z3338" s="501"/>
      <c r="AA3338" s="501"/>
      <c r="AB3338" s="501"/>
      <c r="AC3338" s="501"/>
      <c r="AD3338" s="501"/>
      <c r="AE3338" s="501"/>
      <c r="AF3338" s="501"/>
      <c r="AG3338" s="501"/>
      <c r="AH3338" s="501"/>
      <c r="AI3338" s="501"/>
      <c r="AJ3338" s="501"/>
      <c r="AK3338" s="501"/>
      <c r="AL3338" s="501"/>
      <c r="AM3338" s="501"/>
      <c r="AN3338" s="501"/>
      <c r="AO3338" s="501"/>
      <c r="AP3338" s="501"/>
      <c r="AQ3338" s="501"/>
      <c r="AR3338" s="501"/>
      <c r="AS3338" s="501"/>
      <c r="AT3338" s="501"/>
      <c r="AU3338" s="501"/>
      <c r="AV3338" s="501"/>
      <c r="AW3338" s="501"/>
      <c r="AX3338" s="501"/>
      <c r="AY3338" s="501"/>
      <c r="AZ3338" s="501"/>
      <c r="BA3338" s="501"/>
      <c r="BB3338" s="501"/>
      <c r="BC3338" s="501"/>
      <c r="BD3338" s="501"/>
      <c r="BE3338" s="501"/>
      <c r="BF3338" s="501"/>
      <c r="BG3338" s="501"/>
      <c r="BH3338" s="501"/>
      <c r="BI3338" s="501"/>
      <c r="BJ3338" s="501"/>
      <c r="BK3338" s="501"/>
      <c r="BL3338" s="501"/>
      <c r="BM3338" s="501"/>
      <c r="BN3338" s="501"/>
      <c r="BO3338" s="501"/>
      <c r="BP3338" s="501"/>
      <c r="BQ3338" s="501"/>
      <c r="BR3338" s="501"/>
      <c r="BS3338" s="501"/>
      <c r="BT3338" s="501"/>
      <c r="BU3338" s="501"/>
      <c r="BV3338" s="501"/>
      <c r="BW3338" s="501"/>
      <c r="BX3338" s="501"/>
      <c r="BY3338" s="501"/>
      <c r="BZ3338" s="501"/>
      <c r="CA3338" s="501"/>
      <c r="CB3338" s="501"/>
      <c r="CC3338" s="501"/>
      <c r="CD3338" s="501"/>
      <c r="CE3338" s="501"/>
      <c r="CF3338" s="501"/>
      <c r="CG3338" s="501"/>
      <c r="CH3338" s="501"/>
      <c r="CI3338" s="501"/>
      <c r="CJ3338" s="501"/>
      <c r="CK3338" s="501"/>
      <c r="CL3338" s="501"/>
      <c r="CM3338" s="501"/>
      <c r="CN3338" s="501"/>
      <c r="CO3338" s="501"/>
      <c r="CP3338" s="501"/>
      <c r="CQ3338" s="501"/>
      <c r="CR3338" s="501"/>
      <c r="CS3338" s="501"/>
      <c r="CT3338" s="501"/>
      <c r="CU3338" s="501"/>
      <c r="CV3338" s="501"/>
      <c r="CW3338" s="501"/>
      <c r="CX3338" s="501"/>
      <c r="CY3338" s="501"/>
      <c r="CZ3338" s="501"/>
      <c r="DA3338" s="501"/>
      <c r="DB3338" s="501"/>
      <c r="DC3338" s="501"/>
      <c r="DD3338" s="501"/>
      <c r="DE3338" s="501"/>
      <c r="DF3338" s="501"/>
      <c r="DG3338" s="501"/>
      <c r="DH3338" s="501"/>
      <c r="DI3338" s="501"/>
      <c r="DJ3338" s="501"/>
      <c r="DK3338" s="501"/>
      <c r="DL3338" s="501"/>
      <c r="DM3338" s="501"/>
      <c r="DN3338" s="501"/>
      <c r="DO3338" s="501"/>
      <c r="DP3338" s="501"/>
      <c r="DQ3338" s="501"/>
      <c r="DR3338" s="501"/>
      <c r="DS3338" s="501"/>
      <c r="DT3338" s="501"/>
      <c r="DU3338" s="501"/>
      <c r="DV3338" s="501"/>
      <c r="DW3338" s="501"/>
      <c r="DX3338" s="501"/>
      <c r="DY3338" s="501"/>
      <c r="DZ3338" s="501"/>
      <c r="EA3338" s="501"/>
      <c r="EB3338" s="501"/>
      <c r="EC3338" s="501"/>
      <c r="ED3338" s="501"/>
      <c r="EE3338" s="501"/>
      <c r="EF3338" s="501"/>
      <c r="EG3338" s="501"/>
      <c r="EH3338" s="501"/>
      <c r="EI3338" s="501"/>
      <c r="EJ3338" s="501"/>
      <c r="EK3338" s="501"/>
      <c r="EL3338" s="501"/>
      <c r="EM3338" s="501"/>
      <c r="EN3338" s="501"/>
      <c r="EO3338" s="501"/>
      <c r="EP3338" s="501"/>
      <c r="EQ3338" s="501"/>
      <c r="ER3338" s="501"/>
      <c r="ES3338" s="501"/>
      <c r="ET3338" s="501"/>
      <c r="EU3338" s="501"/>
      <c r="EV3338" s="501"/>
      <c r="EW3338" s="501"/>
      <c r="EX3338" s="501"/>
      <c r="EY3338" s="501"/>
      <c r="EZ3338" s="501"/>
      <c r="FA3338" s="501"/>
      <c r="FB3338" s="501"/>
      <c r="FC3338" s="501"/>
      <c r="FD3338" s="501"/>
      <c r="FE3338" s="501"/>
      <c r="FF3338" s="501"/>
      <c r="FG3338" s="501"/>
      <c r="FH3338" s="501"/>
      <c r="FI3338" s="501"/>
      <c r="FJ3338" s="501"/>
      <c r="FK3338" s="501"/>
      <c r="FL3338" s="501"/>
      <c r="FM3338" s="501"/>
      <c r="FN3338" s="501"/>
      <c r="FO3338" s="501"/>
      <c r="FP3338" s="501"/>
      <c r="FQ3338" s="501"/>
      <c r="FR3338" s="501"/>
      <c r="FS3338" s="501"/>
      <c r="FT3338" s="501"/>
      <c r="FU3338" s="501"/>
      <c r="FV3338" s="501"/>
      <c r="FW3338" s="501"/>
      <c r="FX3338" s="501"/>
      <c r="FY3338" s="501"/>
      <c r="FZ3338" s="501"/>
      <c r="GA3338" s="501"/>
      <c r="GB3338" s="501"/>
      <c r="GC3338" s="501"/>
      <c r="GD3338" s="501"/>
      <c r="GE3338" s="501"/>
      <c r="GF3338" s="501"/>
      <c r="GG3338" s="501"/>
      <c r="GH3338" s="501"/>
      <c r="GI3338" s="501"/>
      <c r="GJ3338" s="501"/>
      <c r="GK3338" s="501"/>
      <c r="GL3338" s="501"/>
      <c r="GM3338" s="501"/>
      <c r="GN3338" s="501"/>
      <c r="GO3338" s="501"/>
      <c r="GP3338" s="501"/>
      <c r="GQ3338" s="501"/>
      <c r="GR3338" s="501"/>
      <c r="GS3338" s="501"/>
      <c r="GT3338" s="501"/>
      <c r="GU3338" s="501"/>
      <c r="GV3338" s="501"/>
      <c r="GW3338" s="501"/>
      <c r="GX3338" s="501"/>
      <c r="GY3338" s="501"/>
      <c r="GZ3338" s="501"/>
      <c r="HA3338" s="501"/>
      <c r="HB3338" s="501"/>
      <c r="HC3338" s="501"/>
      <c r="HD3338" s="501"/>
      <c r="HE3338" s="501"/>
      <c r="HF3338" s="501"/>
      <c r="HG3338" s="501"/>
      <c r="HH3338" s="501"/>
      <c r="HI3338" s="501"/>
      <c r="HJ3338" s="501"/>
      <c r="HK3338" s="501"/>
      <c r="HL3338" s="501"/>
      <c r="HM3338" s="501"/>
      <c r="HN3338" s="501"/>
      <c r="HO3338" s="501"/>
      <c r="HP3338" s="501"/>
      <c r="HQ3338" s="501"/>
      <c r="HR3338" s="501"/>
      <c r="HS3338" s="501"/>
      <c r="HT3338" s="501"/>
      <c r="HU3338" s="501"/>
      <c r="HV3338" s="501"/>
      <c r="HW3338" s="501"/>
      <c r="HX3338" s="501"/>
      <c r="HY3338" s="501"/>
      <c r="HZ3338" s="501"/>
      <c r="IA3338" s="501"/>
      <c r="IB3338" s="501"/>
      <c r="IC3338" s="501"/>
      <c r="ID3338" s="501"/>
      <c r="IE3338" s="501"/>
      <c r="IF3338" s="501"/>
      <c r="IG3338" s="501"/>
      <c r="IH3338" s="501"/>
      <c r="II3338" s="501"/>
      <c r="IJ3338" s="501"/>
      <c r="IK3338" s="501"/>
      <c r="IL3338" s="501"/>
      <c r="IM3338" s="501"/>
      <c r="IN3338" s="501"/>
      <c r="IO3338" s="501"/>
      <c r="IP3338" s="501"/>
      <c r="IQ3338" s="501"/>
      <c r="IR3338" s="501"/>
      <c r="IS3338" s="501"/>
      <c r="IT3338" s="501"/>
      <c r="IU3338" s="501"/>
    </row>
    <row r="3339" spans="1:255" s="877" customFormat="1" ht="24" customHeight="1">
      <c r="A3339" s="501"/>
      <c r="B3339" s="501"/>
      <c r="C3339" s="501"/>
      <c r="D3339" s="501"/>
      <c r="E3339" s="501"/>
      <c r="F3339" s="501"/>
      <c r="G3339" s="915"/>
      <c r="H3339" s="501"/>
      <c r="I3339" s="874"/>
      <c r="J3339" s="501"/>
      <c r="K3339" s="501"/>
      <c r="L3339" s="878"/>
      <c r="M3339" s="882"/>
      <c r="N3339" s="501"/>
      <c r="O3339" s="1097"/>
      <c r="P3339" s="1151"/>
      <c r="Q3339" s="1106"/>
      <c r="R3339" s="1097"/>
      <c r="S3339" s="1101"/>
      <c r="T3339" s="1097"/>
      <c r="V3339" s="501"/>
      <c r="W3339" s="501"/>
      <c r="X3339" s="501"/>
      <c r="Y3339" s="501"/>
      <c r="Z3339" s="501"/>
      <c r="AA3339" s="501"/>
      <c r="AB3339" s="501"/>
      <c r="AC3339" s="501"/>
      <c r="AD3339" s="501"/>
      <c r="AE3339" s="501"/>
      <c r="AF3339" s="501"/>
      <c r="AG3339" s="501"/>
      <c r="AH3339" s="501"/>
      <c r="AI3339" s="501"/>
      <c r="AJ3339" s="501"/>
      <c r="AK3339" s="501"/>
      <c r="AL3339" s="501"/>
      <c r="AM3339" s="501"/>
      <c r="AN3339" s="501"/>
      <c r="AO3339" s="501"/>
      <c r="AP3339" s="501"/>
      <c r="AQ3339" s="501"/>
      <c r="AR3339" s="501"/>
      <c r="AS3339" s="501"/>
      <c r="AT3339" s="501"/>
      <c r="AU3339" s="501"/>
      <c r="AV3339" s="501"/>
      <c r="AW3339" s="501"/>
      <c r="AX3339" s="501"/>
      <c r="AY3339" s="501"/>
      <c r="AZ3339" s="501"/>
      <c r="BA3339" s="501"/>
      <c r="BB3339" s="501"/>
      <c r="BC3339" s="501"/>
      <c r="BD3339" s="501"/>
      <c r="BE3339" s="501"/>
      <c r="BF3339" s="501"/>
      <c r="BG3339" s="501"/>
      <c r="BH3339" s="501"/>
      <c r="BI3339" s="501"/>
      <c r="BJ3339" s="501"/>
      <c r="BK3339" s="501"/>
      <c r="BL3339" s="501"/>
      <c r="BM3339" s="501"/>
      <c r="BN3339" s="501"/>
      <c r="BO3339" s="501"/>
      <c r="BP3339" s="501"/>
      <c r="BQ3339" s="501"/>
      <c r="BR3339" s="501"/>
      <c r="BS3339" s="501"/>
      <c r="BT3339" s="501"/>
      <c r="BU3339" s="501"/>
      <c r="BV3339" s="501"/>
      <c r="BW3339" s="501"/>
      <c r="BX3339" s="501"/>
      <c r="BY3339" s="501"/>
      <c r="BZ3339" s="501"/>
      <c r="CA3339" s="501"/>
      <c r="CB3339" s="501"/>
      <c r="CC3339" s="501"/>
      <c r="CD3339" s="501"/>
      <c r="CE3339" s="501"/>
      <c r="CF3339" s="501"/>
      <c r="CG3339" s="501"/>
      <c r="CH3339" s="501"/>
      <c r="CI3339" s="501"/>
      <c r="CJ3339" s="501"/>
      <c r="CK3339" s="501"/>
      <c r="CL3339" s="501"/>
      <c r="CM3339" s="501"/>
      <c r="CN3339" s="501"/>
      <c r="CO3339" s="501"/>
      <c r="CP3339" s="501"/>
      <c r="CQ3339" s="501"/>
      <c r="CR3339" s="501"/>
      <c r="CS3339" s="501"/>
      <c r="CT3339" s="501"/>
      <c r="CU3339" s="501"/>
      <c r="CV3339" s="501"/>
      <c r="CW3339" s="501"/>
      <c r="CX3339" s="501"/>
      <c r="CY3339" s="501"/>
      <c r="CZ3339" s="501"/>
      <c r="DA3339" s="501"/>
      <c r="DB3339" s="501"/>
      <c r="DC3339" s="501"/>
      <c r="DD3339" s="501"/>
      <c r="DE3339" s="501"/>
      <c r="DF3339" s="501"/>
      <c r="DG3339" s="501"/>
      <c r="DH3339" s="501"/>
      <c r="DI3339" s="501"/>
      <c r="DJ3339" s="501"/>
      <c r="DK3339" s="501"/>
      <c r="DL3339" s="501"/>
      <c r="DM3339" s="501"/>
      <c r="DN3339" s="501"/>
      <c r="DO3339" s="501"/>
      <c r="DP3339" s="501"/>
      <c r="DQ3339" s="501"/>
      <c r="DR3339" s="501"/>
      <c r="DS3339" s="501"/>
      <c r="DT3339" s="501"/>
      <c r="DU3339" s="501"/>
      <c r="DV3339" s="501"/>
      <c r="DW3339" s="501"/>
      <c r="DX3339" s="501"/>
      <c r="DY3339" s="501"/>
      <c r="DZ3339" s="501"/>
      <c r="EA3339" s="501"/>
      <c r="EB3339" s="501"/>
      <c r="EC3339" s="501"/>
      <c r="ED3339" s="501"/>
      <c r="EE3339" s="501"/>
      <c r="EF3339" s="501"/>
      <c r="EG3339" s="501"/>
      <c r="EH3339" s="501"/>
      <c r="EI3339" s="501"/>
      <c r="EJ3339" s="501"/>
      <c r="EK3339" s="501"/>
      <c r="EL3339" s="501"/>
      <c r="EM3339" s="501"/>
      <c r="EN3339" s="501"/>
      <c r="EO3339" s="501"/>
      <c r="EP3339" s="501"/>
      <c r="EQ3339" s="501"/>
      <c r="ER3339" s="501"/>
      <c r="ES3339" s="501"/>
      <c r="ET3339" s="501"/>
      <c r="EU3339" s="501"/>
      <c r="EV3339" s="501"/>
      <c r="EW3339" s="501"/>
      <c r="EX3339" s="501"/>
      <c r="EY3339" s="501"/>
      <c r="EZ3339" s="501"/>
      <c r="FA3339" s="501"/>
      <c r="FB3339" s="501"/>
      <c r="FC3339" s="501"/>
      <c r="FD3339" s="501"/>
      <c r="FE3339" s="501"/>
      <c r="FF3339" s="501"/>
      <c r="FG3339" s="501"/>
      <c r="FH3339" s="501"/>
      <c r="FI3339" s="501"/>
      <c r="FJ3339" s="501"/>
      <c r="FK3339" s="501"/>
      <c r="FL3339" s="501"/>
      <c r="FM3339" s="501"/>
      <c r="FN3339" s="501"/>
      <c r="FO3339" s="501"/>
      <c r="FP3339" s="501"/>
      <c r="FQ3339" s="501"/>
      <c r="FR3339" s="501"/>
      <c r="FS3339" s="501"/>
      <c r="FT3339" s="501"/>
      <c r="FU3339" s="501"/>
      <c r="FV3339" s="501"/>
      <c r="FW3339" s="501"/>
      <c r="FX3339" s="501"/>
      <c r="FY3339" s="501"/>
      <c r="FZ3339" s="501"/>
      <c r="GA3339" s="501"/>
      <c r="GB3339" s="501"/>
      <c r="GC3339" s="501"/>
      <c r="GD3339" s="501"/>
      <c r="GE3339" s="501"/>
      <c r="GF3339" s="501"/>
      <c r="GG3339" s="501"/>
      <c r="GH3339" s="501"/>
      <c r="GI3339" s="501"/>
      <c r="GJ3339" s="501"/>
      <c r="GK3339" s="501"/>
      <c r="GL3339" s="501"/>
      <c r="GM3339" s="501"/>
      <c r="GN3339" s="501"/>
      <c r="GO3339" s="501"/>
      <c r="GP3339" s="501"/>
      <c r="GQ3339" s="501"/>
      <c r="GR3339" s="501"/>
      <c r="GS3339" s="501"/>
      <c r="GT3339" s="501"/>
      <c r="GU3339" s="501"/>
      <c r="GV3339" s="501"/>
      <c r="GW3339" s="501"/>
      <c r="GX3339" s="501"/>
      <c r="GY3339" s="501"/>
      <c r="GZ3339" s="501"/>
      <c r="HA3339" s="501"/>
      <c r="HB3339" s="501"/>
      <c r="HC3339" s="501"/>
      <c r="HD3339" s="501"/>
      <c r="HE3339" s="501"/>
      <c r="HF3339" s="501"/>
      <c r="HG3339" s="501"/>
      <c r="HH3339" s="501"/>
      <c r="HI3339" s="501"/>
      <c r="HJ3339" s="501"/>
      <c r="HK3339" s="501"/>
      <c r="HL3339" s="501"/>
      <c r="HM3339" s="501"/>
      <c r="HN3339" s="501"/>
      <c r="HO3339" s="501"/>
      <c r="HP3339" s="501"/>
      <c r="HQ3339" s="501"/>
      <c r="HR3339" s="501"/>
      <c r="HS3339" s="501"/>
      <c r="HT3339" s="501"/>
      <c r="HU3339" s="501"/>
      <c r="HV3339" s="501"/>
      <c r="HW3339" s="501"/>
      <c r="HX3339" s="501"/>
      <c r="HY3339" s="501"/>
      <c r="HZ3339" s="501"/>
      <c r="IA3339" s="501"/>
      <c r="IB3339" s="501"/>
      <c r="IC3339" s="501"/>
      <c r="ID3339" s="501"/>
      <c r="IE3339" s="501"/>
      <c r="IF3339" s="501"/>
      <c r="IG3339" s="501"/>
      <c r="IH3339" s="501"/>
      <c r="II3339" s="501"/>
      <c r="IJ3339" s="501"/>
      <c r="IK3339" s="501"/>
      <c r="IL3339" s="501"/>
      <c r="IM3339" s="501"/>
      <c r="IN3339" s="501"/>
      <c r="IO3339" s="501"/>
      <c r="IP3339" s="501"/>
      <c r="IQ3339" s="501"/>
      <c r="IR3339" s="501"/>
      <c r="IS3339" s="501"/>
      <c r="IT3339" s="501"/>
      <c r="IU3339" s="501"/>
    </row>
    <row r="3340" spans="1:255" s="877" customFormat="1" ht="24" customHeight="1">
      <c r="A3340" s="501"/>
      <c r="B3340" s="501"/>
      <c r="C3340" s="501"/>
      <c r="D3340" s="501"/>
      <c r="E3340" s="501"/>
      <c r="F3340" s="501"/>
      <c r="G3340" s="915"/>
      <c r="H3340" s="501"/>
      <c r="I3340" s="874"/>
      <c r="J3340" s="876"/>
      <c r="K3340" s="501"/>
      <c r="L3340" s="878"/>
      <c r="M3340" s="882"/>
      <c r="N3340" s="501"/>
      <c r="O3340" s="1097"/>
      <c r="P3340" s="1151"/>
      <c r="Q3340" s="973"/>
      <c r="R3340" s="1102"/>
      <c r="S3340" s="1185"/>
      <c r="T3340" s="1097"/>
      <c r="V3340" s="501"/>
      <c r="W3340" s="501"/>
      <c r="X3340" s="501"/>
      <c r="Y3340" s="501"/>
      <c r="Z3340" s="501"/>
      <c r="AA3340" s="501"/>
      <c r="AB3340" s="501"/>
      <c r="AC3340" s="501"/>
      <c r="AD3340" s="501"/>
      <c r="AE3340" s="501"/>
      <c r="AF3340" s="501"/>
      <c r="AG3340" s="501"/>
      <c r="AH3340" s="501"/>
      <c r="AI3340" s="501"/>
      <c r="AJ3340" s="501"/>
      <c r="AK3340" s="501"/>
      <c r="AL3340" s="501"/>
      <c r="AM3340" s="501"/>
      <c r="AN3340" s="501"/>
      <c r="AO3340" s="501"/>
      <c r="AP3340" s="501"/>
      <c r="AQ3340" s="501"/>
      <c r="AR3340" s="501"/>
      <c r="AS3340" s="501"/>
      <c r="AT3340" s="501"/>
      <c r="AU3340" s="501"/>
      <c r="AV3340" s="501"/>
      <c r="AW3340" s="501"/>
      <c r="AX3340" s="501"/>
      <c r="AY3340" s="501"/>
      <c r="AZ3340" s="501"/>
      <c r="BA3340" s="501"/>
      <c r="BB3340" s="501"/>
      <c r="BC3340" s="501"/>
      <c r="BD3340" s="501"/>
      <c r="BE3340" s="501"/>
      <c r="BF3340" s="501"/>
      <c r="BG3340" s="501"/>
      <c r="BH3340" s="501"/>
      <c r="BI3340" s="501"/>
      <c r="BJ3340" s="501"/>
      <c r="BK3340" s="501"/>
      <c r="BL3340" s="501"/>
      <c r="BM3340" s="501"/>
      <c r="BN3340" s="501"/>
      <c r="BO3340" s="501"/>
      <c r="BP3340" s="501"/>
      <c r="BQ3340" s="501"/>
      <c r="BR3340" s="501"/>
      <c r="BS3340" s="501"/>
      <c r="BT3340" s="501"/>
      <c r="BU3340" s="501"/>
      <c r="BV3340" s="501"/>
      <c r="BW3340" s="501"/>
      <c r="BX3340" s="501"/>
      <c r="BY3340" s="501"/>
      <c r="BZ3340" s="501"/>
      <c r="CA3340" s="501"/>
      <c r="CB3340" s="501"/>
      <c r="CC3340" s="501"/>
      <c r="CD3340" s="501"/>
      <c r="CE3340" s="501"/>
      <c r="CF3340" s="501"/>
      <c r="CG3340" s="501"/>
      <c r="CH3340" s="501"/>
      <c r="CI3340" s="501"/>
      <c r="CJ3340" s="501"/>
      <c r="CK3340" s="501"/>
      <c r="CL3340" s="501"/>
      <c r="CM3340" s="501"/>
      <c r="CN3340" s="501"/>
      <c r="CO3340" s="501"/>
      <c r="CP3340" s="501"/>
      <c r="CQ3340" s="501"/>
      <c r="CR3340" s="501"/>
      <c r="CS3340" s="501"/>
      <c r="CT3340" s="501"/>
      <c r="CU3340" s="501"/>
      <c r="CV3340" s="501"/>
      <c r="CW3340" s="501"/>
      <c r="CX3340" s="501"/>
      <c r="CY3340" s="501"/>
      <c r="CZ3340" s="501"/>
      <c r="DA3340" s="501"/>
      <c r="DB3340" s="501"/>
      <c r="DC3340" s="501"/>
      <c r="DD3340" s="501"/>
      <c r="DE3340" s="501"/>
      <c r="DF3340" s="501"/>
      <c r="DG3340" s="501"/>
      <c r="DH3340" s="501"/>
      <c r="DI3340" s="501"/>
      <c r="DJ3340" s="501"/>
      <c r="DK3340" s="501"/>
      <c r="DL3340" s="501"/>
      <c r="DM3340" s="501"/>
      <c r="DN3340" s="501"/>
      <c r="DO3340" s="501"/>
      <c r="DP3340" s="501"/>
      <c r="DQ3340" s="501"/>
      <c r="DR3340" s="501"/>
      <c r="DS3340" s="501"/>
      <c r="DT3340" s="501"/>
      <c r="DU3340" s="501"/>
      <c r="DV3340" s="501"/>
      <c r="DW3340" s="501"/>
      <c r="DX3340" s="501"/>
      <c r="DY3340" s="501"/>
      <c r="DZ3340" s="501"/>
      <c r="EA3340" s="501"/>
      <c r="EB3340" s="501"/>
      <c r="EC3340" s="501"/>
      <c r="ED3340" s="501"/>
      <c r="EE3340" s="501"/>
      <c r="EF3340" s="501"/>
      <c r="EG3340" s="501"/>
      <c r="EH3340" s="501"/>
      <c r="EI3340" s="501"/>
      <c r="EJ3340" s="501"/>
      <c r="EK3340" s="501"/>
      <c r="EL3340" s="501"/>
      <c r="EM3340" s="501"/>
      <c r="EN3340" s="501"/>
      <c r="EO3340" s="501"/>
      <c r="EP3340" s="501"/>
      <c r="EQ3340" s="501"/>
      <c r="ER3340" s="501"/>
      <c r="ES3340" s="501"/>
      <c r="ET3340" s="501"/>
      <c r="EU3340" s="501"/>
      <c r="EV3340" s="501"/>
      <c r="EW3340" s="501"/>
      <c r="EX3340" s="501"/>
      <c r="EY3340" s="501"/>
      <c r="EZ3340" s="501"/>
      <c r="FA3340" s="501"/>
      <c r="FB3340" s="501"/>
      <c r="FC3340" s="501"/>
      <c r="FD3340" s="501"/>
      <c r="FE3340" s="501"/>
      <c r="FF3340" s="501"/>
      <c r="FG3340" s="501"/>
      <c r="FH3340" s="501"/>
      <c r="FI3340" s="501"/>
      <c r="FJ3340" s="501"/>
      <c r="FK3340" s="501"/>
      <c r="FL3340" s="501"/>
      <c r="FM3340" s="501"/>
      <c r="FN3340" s="501"/>
      <c r="FO3340" s="501"/>
      <c r="FP3340" s="501"/>
      <c r="FQ3340" s="501"/>
      <c r="FR3340" s="501"/>
      <c r="FS3340" s="501"/>
      <c r="FT3340" s="501"/>
      <c r="FU3340" s="501"/>
      <c r="FV3340" s="501"/>
      <c r="FW3340" s="501"/>
      <c r="FX3340" s="501"/>
      <c r="FY3340" s="501"/>
      <c r="FZ3340" s="501"/>
      <c r="GA3340" s="501"/>
      <c r="GB3340" s="501"/>
      <c r="GC3340" s="501"/>
      <c r="GD3340" s="501"/>
      <c r="GE3340" s="501"/>
      <c r="GF3340" s="501"/>
      <c r="GG3340" s="501"/>
      <c r="GH3340" s="501"/>
      <c r="GI3340" s="501"/>
      <c r="GJ3340" s="501"/>
      <c r="GK3340" s="501"/>
      <c r="GL3340" s="501"/>
      <c r="GM3340" s="501"/>
      <c r="GN3340" s="501"/>
      <c r="GO3340" s="501"/>
      <c r="GP3340" s="501"/>
      <c r="GQ3340" s="501"/>
      <c r="GR3340" s="501"/>
      <c r="GS3340" s="501"/>
      <c r="GT3340" s="501"/>
      <c r="GU3340" s="501"/>
      <c r="GV3340" s="501"/>
      <c r="GW3340" s="501"/>
      <c r="GX3340" s="501"/>
      <c r="GY3340" s="501"/>
      <c r="GZ3340" s="501"/>
      <c r="HA3340" s="501"/>
      <c r="HB3340" s="501"/>
      <c r="HC3340" s="501"/>
      <c r="HD3340" s="501"/>
      <c r="HE3340" s="501"/>
      <c r="HF3340" s="501"/>
      <c r="HG3340" s="501"/>
      <c r="HH3340" s="501"/>
      <c r="HI3340" s="501"/>
      <c r="HJ3340" s="501"/>
      <c r="HK3340" s="501"/>
      <c r="HL3340" s="501"/>
      <c r="HM3340" s="501"/>
      <c r="HN3340" s="501"/>
      <c r="HO3340" s="501"/>
      <c r="HP3340" s="501"/>
      <c r="HQ3340" s="501"/>
      <c r="HR3340" s="501"/>
      <c r="HS3340" s="501"/>
      <c r="HT3340" s="501"/>
      <c r="HU3340" s="501"/>
      <c r="HV3340" s="501"/>
      <c r="HW3340" s="501"/>
      <c r="HX3340" s="501"/>
      <c r="HY3340" s="501"/>
      <c r="HZ3340" s="501"/>
      <c r="IA3340" s="501"/>
      <c r="IB3340" s="501"/>
      <c r="IC3340" s="501"/>
      <c r="ID3340" s="501"/>
      <c r="IE3340" s="501"/>
      <c r="IF3340" s="501"/>
      <c r="IG3340" s="501"/>
      <c r="IH3340" s="501"/>
      <c r="II3340" s="501"/>
      <c r="IJ3340" s="501"/>
      <c r="IK3340" s="501"/>
      <c r="IL3340" s="501"/>
      <c r="IM3340" s="501"/>
      <c r="IN3340" s="501"/>
      <c r="IO3340" s="501"/>
      <c r="IP3340" s="501"/>
      <c r="IQ3340" s="501"/>
      <c r="IR3340" s="501"/>
      <c r="IS3340" s="501"/>
      <c r="IT3340" s="501"/>
      <c r="IU3340" s="501"/>
    </row>
    <row r="3341" spans="1:255" s="877" customFormat="1" ht="24" customHeight="1">
      <c r="A3341" s="501"/>
      <c r="B3341" s="501"/>
      <c r="C3341" s="501"/>
      <c r="D3341" s="501"/>
      <c r="E3341" s="501"/>
      <c r="F3341" s="501"/>
      <c r="G3341" s="915"/>
      <c r="H3341" s="501"/>
      <c r="I3341" s="874"/>
      <c r="J3341" s="501"/>
      <c r="K3341" s="501"/>
      <c r="L3341" s="878"/>
      <c r="M3341" s="882"/>
      <c r="N3341" s="501"/>
      <c r="O3341" s="1097"/>
      <c r="P3341" s="1151"/>
      <c r="Q3341" s="973"/>
      <c r="R3341" s="1102"/>
      <c r="S3341" s="1185"/>
      <c r="T3341" s="1097"/>
      <c r="V3341" s="501"/>
      <c r="W3341" s="501"/>
      <c r="X3341" s="501"/>
      <c r="Y3341" s="501"/>
      <c r="Z3341" s="501"/>
      <c r="AA3341" s="501"/>
      <c r="AB3341" s="501"/>
      <c r="AC3341" s="501"/>
      <c r="AD3341" s="501"/>
      <c r="AE3341" s="501"/>
      <c r="AF3341" s="501"/>
      <c r="AG3341" s="501"/>
      <c r="AH3341" s="501"/>
      <c r="AI3341" s="501"/>
      <c r="AJ3341" s="501"/>
      <c r="AK3341" s="501"/>
      <c r="AL3341" s="501"/>
      <c r="AM3341" s="501"/>
      <c r="AN3341" s="501"/>
      <c r="AO3341" s="501"/>
      <c r="AP3341" s="501"/>
      <c r="AQ3341" s="501"/>
      <c r="AR3341" s="501"/>
      <c r="AS3341" s="501"/>
      <c r="AT3341" s="501"/>
      <c r="AU3341" s="501"/>
      <c r="AV3341" s="501"/>
      <c r="AW3341" s="501"/>
      <c r="AX3341" s="501"/>
      <c r="AY3341" s="501"/>
      <c r="AZ3341" s="501"/>
      <c r="BA3341" s="501"/>
      <c r="BB3341" s="501"/>
      <c r="BC3341" s="501"/>
      <c r="BD3341" s="501"/>
      <c r="BE3341" s="501"/>
      <c r="BF3341" s="501"/>
      <c r="BG3341" s="501"/>
      <c r="BH3341" s="501"/>
      <c r="BI3341" s="501"/>
      <c r="BJ3341" s="501"/>
      <c r="BK3341" s="501"/>
      <c r="BL3341" s="501"/>
      <c r="BM3341" s="501"/>
      <c r="BN3341" s="501"/>
      <c r="BO3341" s="501"/>
      <c r="BP3341" s="501"/>
      <c r="BQ3341" s="501"/>
      <c r="BR3341" s="501"/>
      <c r="BS3341" s="501"/>
      <c r="BT3341" s="501"/>
      <c r="BU3341" s="501"/>
      <c r="BV3341" s="501"/>
      <c r="BW3341" s="501"/>
      <c r="BX3341" s="501"/>
      <c r="BY3341" s="501"/>
      <c r="BZ3341" s="501"/>
      <c r="CA3341" s="501"/>
      <c r="CB3341" s="501"/>
      <c r="CC3341" s="501"/>
      <c r="CD3341" s="501"/>
      <c r="CE3341" s="501"/>
      <c r="CF3341" s="501"/>
      <c r="CG3341" s="501"/>
      <c r="CH3341" s="501"/>
      <c r="CI3341" s="501"/>
      <c r="CJ3341" s="501"/>
      <c r="CK3341" s="501"/>
      <c r="CL3341" s="501"/>
      <c r="CM3341" s="501"/>
      <c r="CN3341" s="501"/>
      <c r="CO3341" s="501"/>
      <c r="CP3341" s="501"/>
      <c r="CQ3341" s="501"/>
      <c r="CR3341" s="501"/>
      <c r="CS3341" s="501"/>
      <c r="CT3341" s="501"/>
      <c r="CU3341" s="501"/>
      <c r="CV3341" s="501"/>
      <c r="CW3341" s="501"/>
      <c r="CX3341" s="501"/>
      <c r="CY3341" s="501"/>
      <c r="CZ3341" s="501"/>
      <c r="DA3341" s="501"/>
      <c r="DB3341" s="501"/>
      <c r="DC3341" s="501"/>
      <c r="DD3341" s="501"/>
      <c r="DE3341" s="501"/>
      <c r="DF3341" s="501"/>
      <c r="DG3341" s="501"/>
      <c r="DH3341" s="501"/>
      <c r="DI3341" s="501"/>
      <c r="DJ3341" s="501"/>
      <c r="DK3341" s="501"/>
      <c r="DL3341" s="501"/>
      <c r="DM3341" s="501"/>
      <c r="DN3341" s="501"/>
      <c r="DO3341" s="501"/>
      <c r="DP3341" s="501"/>
      <c r="DQ3341" s="501"/>
      <c r="DR3341" s="501"/>
      <c r="DS3341" s="501"/>
      <c r="DT3341" s="501"/>
      <c r="DU3341" s="501"/>
      <c r="DV3341" s="501"/>
      <c r="DW3341" s="501"/>
      <c r="DX3341" s="501"/>
      <c r="DY3341" s="501"/>
      <c r="DZ3341" s="501"/>
      <c r="EA3341" s="501"/>
      <c r="EB3341" s="501"/>
      <c r="EC3341" s="501"/>
      <c r="ED3341" s="501"/>
      <c r="EE3341" s="501"/>
      <c r="EF3341" s="501"/>
      <c r="EG3341" s="501"/>
      <c r="EH3341" s="501"/>
      <c r="EI3341" s="501"/>
      <c r="EJ3341" s="501"/>
      <c r="EK3341" s="501"/>
      <c r="EL3341" s="501"/>
      <c r="EM3341" s="501"/>
      <c r="EN3341" s="501"/>
      <c r="EO3341" s="501"/>
      <c r="EP3341" s="501"/>
      <c r="EQ3341" s="501"/>
      <c r="ER3341" s="501"/>
      <c r="ES3341" s="501"/>
      <c r="ET3341" s="501"/>
      <c r="EU3341" s="501"/>
      <c r="EV3341" s="501"/>
      <c r="EW3341" s="501"/>
      <c r="EX3341" s="501"/>
      <c r="EY3341" s="501"/>
      <c r="EZ3341" s="501"/>
      <c r="FA3341" s="501"/>
      <c r="FB3341" s="501"/>
      <c r="FC3341" s="501"/>
      <c r="FD3341" s="501"/>
      <c r="FE3341" s="501"/>
      <c r="FF3341" s="501"/>
      <c r="FG3341" s="501"/>
      <c r="FH3341" s="501"/>
      <c r="FI3341" s="501"/>
      <c r="FJ3341" s="501"/>
      <c r="FK3341" s="501"/>
      <c r="FL3341" s="501"/>
      <c r="FM3341" s="501"/>
      <c r="FN3341" s="501"/>
      <c r="FO3341" s="501"/>
      <c r="FP3341" s="501"/>
      <c r="FQ3341" s="501"/>
      <c r="FR3341" s="501"/>
      <c r="FS3341" s="501"/>
      <c r="FT3341" s="501"/>
      <c r="FU3341" s="501"/>
      <c r="FV3341" s="501"/>
      <c r="FW3341" s="501"/>
      <c r="FX3341" s="501"/>
      <c r="FY3341" s="501"/>
      <c r="FZ3341" s="501"/>
      <c r="GA3341" s="501"/>
      <c r="GB3341" s="501"/>
      <c r="GC3341" s="501"/>
      <c r="GD3341" s="501"/>
      <c r="GE3341" s="501"/>
      <c r="GF3341" s="501"/>
      <c r="GG3341" s="501"/>
      <c r="GH3341" s="501"/>
      <c r="GI3341" s="501"/>
      <c r="GJ3341" s="501"/>
      <c r="GK3341" s="501"/>
      <c r="GL3341" s="501"/>
      <c r="GM3341" s="501"/>
      <c r="GN3341" s="501"/>
      <c r="GO3341" s="501"/>
      <c r="GP3341" s="501"/>
      <c r="GQ3341" s="501"/>
      <c r="GR3341" s="501"/>
      <c r="GS3341" s="501"/>
      <c r="GT3341" s="501"/>
      <c r="GU3341" s="501"/>
      <c r="GV3341" s="501"/>
      <c r="GW3341" s="501"/>
      <c r="GX3341" s="501"/>
      <c r="GY3341" s="501"/>
      <c r="GZ3341" s="501"/>
      <c r="HA3341" s="501"/>
      <c r="HB3341" s="501"/>
      <c r="HC3341" s="501"/>
      <c r="HD3341" s="501"/>
      <c r="HE3341" s="501"/>
      <c r="HF3341" s="501"/>
      <c r="HG3341" s="501"/>
      <c r="HH3341" s="501"/>
      <c r="HI3341" s="501"/>
      <c r="HJ3341" s="501"/>
      <c r="HK3341" s="501"/>
      <c r="HL3341" s="501"/>
      <c r="HM3341" s="501"/>
      <c r="HN3341" s="501"/>
      <c r="HO3341" s="501"/>
      <c r="HP3341" s="501"/>
      <c r="HQ3341" s="501"/>
      <c r="HR3341" s="501"/>
      <c r="HS3341" s="501"/>
      <c r="HT3341" s="501"/>
      <c r="HU3341" s="501"/>
      <c r="HV3341" s="501"/>
      <c r="HW3341" s="501"/>
      <c r="HX3341" s="501"/>
      <c r="HY3341" s="501"/>
      <c r="HZ3341" s="501"/>
      <c r="IA3341" s="501"/>
      <c r="IB3341" s="501"/>
      <c r="IC3341" s="501"/>
      <c r="ID3341" s="501"/>
      <c r="IE3341" s="501"/>
      <c r="IF3341" s="501"/>
      <c r="IG3341" s="501"/>
      <c r="IH3341" s="501"/>
      <c r="II3341" s="501"/>
      <c r="IJ3341" s="501"/>
      <c r="IK3341" s="501"/>
      <c r="IL3341" s="501"/>
      <c r="IM3341" s="501"/>
      <c r="IN3341" s="501"/>
      <c r="IO3341" s="501"/>
      <c r="IP3341" s="501"/>
      <c r="IQ3341" s="501"/>
      <c r="IR3341" s="501"/>
      <c r="IS3341" s="501"/>
      <c r="IT3341" s="501"/>
      <c r="IU3341" s="501"/>
    </row>
    <row r="3342" spans="1:255" s="877" customFormat="1" ht="24" customHeight="1">
      <c r="A3342" s="501"/>
      <c r="B3342" s="501"/>
      <c r="C3342" s="501"/>
      <c r="D3342" s="501"/>
      <c r="E3342" s="501"/>
      <c r="F3342" s="501"/>
      <c r="G3342" s="915"/>
      <c r="H3342" s="501"/>
      <c r="I3342" s="874"/>
      <c r="J3342" s="875"/>
      <c r="K3342" s="501"/>
      <c r="L3342" s="878"/>
      <c r="M3342" s="883"/>
      <c r="N3342" s="501"/>
      <c r="O3342" s="1097"/>
      <c r="P3342" s="1151"/>
      <c r="Q3342" s="973"/>
      <c r="R3342" s="1102"/>
      <c r="S3342" s="1186"/>
      <c r="T3342" s="1097"/>
      <c r="V3342" s="501"/>
      <c r="W3342" s="501"/>
      <c r="X3342" s="501"/>
      <c r="Y3342" s="501"/>
      <c r="Z3342" s="501"/>
      <c r="AA3342" s="501"/>
      <c r="AB3342" s="501"/>
      <c r="AC3342" s="501"/>
      <c r="AD3342" s="501"/>
      <c r="AE3342" s="501"/>
      <c r="AF3342" s="501"/>
      <c r="AG3342" s="501"/>
      <c r="AH3342" s="501"/>
      <c r="AI3342" s="501"/>
      <c r="AJ3342" s="501"/>
      <c r="AK3342" s="501"/>
      <c r="AL3342" s="501"/>
      <c r="AM3342" s="501"/>
      <c r="AN3342" s="501"/>
      <c r="AO3342" s="501"/>
      <c r="AP3342" s="501"/>
      <c r="AQ3342" s="501"/>
      <c r="AR3342" s="501"/>
      <c r="AS3342" s="501"/>
      <c r="AT3342" s="501"/>
      <c r="AU3342" s="501"/>
      <c r="AV3342" s="501"/>
      <c r="AW3342" s="501"/>
      <c r="AX3342" s="501"/>
      <c r="AY3342" s="501"/>
      <c r="AZ3342" s="501"/>
      <c r="BA3342" s="501"/>
      <c r="BB3342" s="501"/>
      <c r="BC3342" s="501"/>
      <c r="BD3342" s="501"/>
      <c r="BE3342" s="501"/>
      <c r="BF3342" s="501"/>
      <c r="BG3342" s="501"/>
      <c r="BH3342" s="501"/>
      <c r="BI3342" s="501"/>
      <c r="BJ3342" s="501"/>
      <c r="BK3342" s="501"/>
      <c r="BL3342" s="501"/>
      <c r="BM3342" s="501"/>
      <c r="BN3342" s="501"/>
      <c r="BO3342" s="501"/>
      <c r="BP3342" s="501"/>
      <c r="BQ3342" s="501"/>
      <c r="BR3342" s="501"/>
      <c r="BS3342" s="501"/>
      <c r="BT3342" s="501"/>
      <c r="BU3342" s="501"/>
      <c r="BV3342" s="501"/>
      <c r="BW3342" s="501"/>
      <c r="BX3342" s="501"/>
      <c r="BY3342" s="501"/>
      <c r="BZ3342" s="501"/>
      <c r="CA3342" s="501"/>
      <c r="CB3342" s="501"/>
      <c r="CC3342" s="501"/>
      <c r="CD3342" s="501"/>
      <c r="CE3342" s="501"/>
      <c r="CF3342" s="501"/>
      <c r="CG3342" s="501"/>
      <c r="CH3342" s="501"/>
      <c r="CI3342" s="501"/>
      <c r="CJ3342" s="501"/>
      <c r="CK3342" s="501"/>
      <c r="CL3342" s="501"/>
      <c r="CM3342" s="501"/>
      <c r="CN3342" s="501"/>
      <c r="CO3342" s="501"/>
      <c r="CP3342" s="501"/>
      <c r="CQ3342" s="501"/>
      <c r="CR3342" s="501"/>
      <c r="CS3342" s="501"/>
      <c r="CT3342" s="501"/>
      <c r="CU3342" s="501"/>
      <c r="CV3342" s="501"/>
      <c r="CW3342" s="501"/>
      <c r="CX3342" s="501"/>
      <c r="CY3342" s="501"/>
      <c r="CZ3342" s="501"/>
      <c r="DA3342" s="501"/>
      <c r="DB3342" s="501"/>
      <c r="DC3342" s="501"/>
      <c r="DD3342" s="501"/>
      <c r="DE3342" s="501"/>
      <c r="DF3342" s="501"/>
      <c r="DG3342" s="501"/>
      <c r="DH3342" s="501"/>
      <c r="DI3342" s="501"/>
      <c r="DJ3342" s="501"/>
      <c r="DK3342" s="501"/>
      <c r="DL3342" s="501"/>
      <c r="DM3342" s="501"/>
      <c r="DN3342" s="501"/>
      <c r="DO3342" s="501"/>
      <c r="DP3342" s="501"/>
      <c r="DQ3342" s="501"/>
      <c r="DR3342" s="501"/>
      <c r="DS3342" s="501"/>
      <c r="DT3342" s="501"/>
      <c r="DU3342" s="501"/>
      <c r="DV3342" s="501"/>
      <c r="DW3342" s="501"/>
      <c r="DX3342" s="501"/>
      <c r="DY3342" s="501"/>
      <c r="DZ3342" s="501"/>
      <c r="EA3342" s="501"/>
      <c r="EB3342" s="501"/>
      <c r="EC3342" s="501"/>
      <c r="ED3342" s="501"/>
      <c r="EE3342" s="501"/>
      <c r="EF3342" s="501"/>
      <c r="EG3342" s="501"/>
      <c r="EH3342" s="501"/>
      <c r="EI3342" s="501"/>
      <c r="EJ3342" s="501"/>
      <c r="EK3342" s="501"/>
      <c r="EL3342" s="501"/>
      <c r="EM3342" s="501"/>
      <c r="EN3342" s="501"/>
      <c r="EO3342" s="501"/>
      <c r="EP3342" s="501"/>
      <c r="EQ3342" s="501"/>
      <c r="ER3342" s="501"/>
      <c r="ES3342" s="501"/>
      <c r="ET3342" s="501"/>
      <c r="EU3342" s="501"/>
      <c r="EV3342" s="501"/>
      <c r="EW3342" s="501"/>
      <c r="EX3342" s="501"/>
      <c r="EY3342" s="501"/>
      <c r="EZ3342" s="501"/>
      <c r="FA3342" s="501"/>
      <c r="FB3342" s="501"/>
      <c r="FC3342" s="501"/>
      <c r="FD3342" s="501"/>
      <c r="FE3342" s="501"/>
      <c r="FF3342" s="501"/>
      <c r="FG3342" s="501"/>
      <c r="FH3342" s="501"/>
      <c r="FI3342" s="501"/>
      <c r="FJ3342" s="501"/>
      <c r="FK3342" s="501"/>
      <c r="FL3342" s="501"/>
      <c r="FM3342" s="501"/>
      <c r="FN3342" s="501"/>
      <c r="FO3342" s="501"/>
      <c r="FP3342" s="501"/>
      <c r="FQ3342" s="501"/>
      <c r="FR3342" s="501"/>
      <c r="FS3342" s="501"/>
      <c r="FT3342" s="501"/>
      <c r="FU3342" s="501"/>
      <c r="FV3342" s="501"/>
      <c r="FW3342" s="501"/>
      <c r="FX3342" s="501"/>
      <c r="FY3342" s="501"/>
      <c r="FZ3342" s="501"/>
      <c r="GA3342" s="501"/>
      <c r="GB3342" s="501"/>
      <c r="GC3342" s="501"/>
      <c r="GD3342" s="501"/>
      <c r="GE3342" s="501"/>
      <c r="GF3342" s="501"/>
      <c r="GG3342" s="501"/>
      <c r="GH3342" s="501"/>
      <c r="GI3342" s="501"/>
      <c r="GJ3342" s="501"/>
      <c r="GK3342" s="501"/>
      <c r="GL3342" s="501"/>
      <c r="GM3342" s="501"/>
      <c r="GN3342" s="501"/>
      <c r="GO3342" s="501"/>
      <c r="GP3342" s="501"/>
      <c r="GQ3342" s="501"/>
      <c r="GR3342" s="501"/>
      <c r="GS3342" s="501"/>
      <c r="GT3342" s="501"/>
      <c r="GU3342" s="501"/>
      <c r="GV3342" s="501"/>
      <c r="GW3342" s="501"/>
      <c r="GX3342" s="501"/>
      <c r="GY3342" s="501"/>
      <c r="GZ3342" s="501"/>
      <c r="HA3342" s="501"/>
      <c r="HB3342" s="501"/>
      <c r="HC3342" s="501"/>
      <c r="HD3342" s="501"/>
      <c r="HE3342" s="501"/>
      <c r="HF3342" s="501"/>
      <c r="HG3342" s="501"/>
      <c r="HH3342" s="501"/>
      <c r="HI3342" s="501"/>
      <c r="HJ3342" s="501"/>
      <c r="HK3342" s="501"/>
      <c r="HL3342" s="501"/>
      <c r="HM3342" s="501"/>
      <c r="HN3342" s="501"/>
      <c r="HO3342" s="501"/>
      <c r="HP3342" s="501"/>
      <c r="HQ3342" s="501"/>
      <c r="HR3342" s="501"/>
      <c r="HS3342" s="501"/>
      <c r="HT3342" s="501"/>
      <c r="HU3342" s="501"/>
      <c r="HV3342" s="501"/>
      <c r="HW3342" s="501"/>
      <c r="HX3342" s="501"/>
      <c r="HY3342" s="501"/>
      <c r="HZ3342" s="501"/>
      <c r="IA3342" s="501"/>
      <c r="IB3342" s="501"/>
      <c r="IC3342" s="501"/>
      <c r="ID3342" s="501"/>
      <c r="IE3342" s="501"/>
      <c r="IF3342" s="501"/>
      <c r="IG3342" s="501"/>
      <c r="IH3342" s="501"/>
      <c r="II3342" s="501"/>
      <c r="IJ3342" s="501"/>
      <c r="IK3342" s="501"/>
      <c r="IL3342" s="501"/>
      <c r="IM3342" s="501"/>
      <c r="IN3342" s="501"/>
      <c r="IO3342" s="501"/>
      <c r="IP3342" s="501"/>
      <c r="IQ3342" s="501"/>
      <c r="IR3342" s="501"/>
      <c r="IS3342" s="501"/>
      <c r="IT3342" s="501"/>
      <c r="IU3342" s="501"/>
    </row>
    <row r="3343" spans="1:255" s="877" customFormat="1" ht="24" customHeight="1">
      <c r="A3343" s="501"/>
      <c r="B3343" s="501"/>
      <c r="C3343" s="501"/>
      <c r="D3343" s="501"/>
      <c r="E3343" s="501"/>
      <c r="F3343" s="876"/>
      <c r="G3343" s="916"/>
      <c r="H3343" s="876"/>
      <c r="I3343" s="874"/>
      <c r="J3343" s="501"/>
      <c r="K3343" s="501"/>
      <c r="L3343" s="878"/>
      <c r="M3343" s="554"/>
      <c r="N3343" s="501"/>
      <c r="O3343" s="1097"/>
      <c r="P3343" s="1151"/>
      <c r="Q3343" s="973"/>
      <c r="R3343" s="501"/>
      <c r="S3343" s="554"/>
      <c r="T3343" s="1097"/>
      <c r="V3343" s="501"/>
      <c r="W3343" s="501"/>
      <c r="X3343" s="501"/>
      <c r="Y3343" s="501"/>
      <c r="Z3343" s="501"/>
      <c r="AA3343" s="501"/>
      <c r="AB3343" s="501"/>
      <c r="AC3343" s="501"/>
      <c r="AD3343" s="501"/>
      <c r="AE3343" s="501"/>
      <c r="AF3343" s="501"/>
      <c r="AG3343" s="501"/>
      <c r="AH3343" s="501"/>
      <c r="AI3343" s="501"/>
      <c r="AJ3343" s="501"/>
      <c r="AK3343" s="501"/>
      <c r="AL3343" s="501"/>
      <c r="AM3343" s="501"/>
      <c r="AN3343" s="501"/>
      <c r="AO3343" s="501"/>
      <c r="AP3343" s="501"/>
      <c r="AQ3343" s="501"/>
      <c r="AR3343" s="501"/>
      <c r="AS3343" s="501"/>
      <c r="AT3343" s="501"/>
      <c r="AU3343" s="501"/>
      <c r="AV3343" s="501"/>
      <c r="AW3343" s="501"/>
      <c r="AX3343" s="501"/>
      <c r="AY3343" s="501"/>
      <c r="AZ3343" s="501"/>
      <c r="BA3343" s="501"/>
      <c r="BB3343" s="501"/>
      <c r="BC3343" s="501"/>
      <c r="BD3343" s="501"/>
      <c r="BE3343" s="501"/>
      <c r="BF3343" s="501"/>
      <c r="BG3343" s="501"/>
      <c r="BH3343" s="501"/>
      <c r="BI3343" s="501"/>
      <c r="BJ3343" s="501"/>
      <c r="BK3343" s="501"/>
      <c r="BL3343" s="501"/>
      <c r="BM3343" s="501"/>
      <c r="BN3343" s="501"/>
      <c r="BO3343" s="501"/>
      <c r="BP3343" s="501"/>
      <c r="BQ3343" s="501"/>
      <c r="BR3343" s="501"/>
      <c r="BS3343" s="501"/>
      <c r="BT3343" s="501"/>
      <c r="BU3343" s="501"/>
      <c r="BV3343" s="501"/>
      <c r="BW3343" s="501"/>
      <c r="BX3343" s="501"/>
      <c r="BY3343" s="501"/>
      <c r="BZ3343" s="501"/>
      <c r="CA3343" s="501"/>
      <c r="CB3343" s="501"/>
      <c r="CC3343" s="501"/>
      <c r="CD3343" s="501"/>
      <c r="CE3343" s="501"/>
      <c r="CF3343" s="501"/>
      <c r="CG3343" s="501"/>
      <c r="CH3343" s="501"/>
      <c r="CI3343" s="501"/>
      <c r="CJ3343" s="501"/>
      <c r="CK3343" s="501"/>
      <c r="CL3343" s="501"/>
      <c r="CM3343" s="501"/>
      <c r="CN3343" s="501"/>
      <c r="CO3343" s="501"/>
      <c r="CP3343" s="501"/>
      <c r="CQ3343" s="501"/>
      <c r="CR3343" s="501"/>
      <c r="CS3343" s="501"/>
      <c r="CT3343" s="501"/>
      <c r="CU3343" s="501"/>
      <c r="CV3343" s="501"/>
      <c r="CW3343" s="501"/>
      <c r="CX3343" s="501"/>
      <c r="CY3343" s="501"/>
      <c r="CZ3343" s="501"/>
      <c r="DA3343" s="501"/>
      <c r="DB3343" s="501"/>
      <c r="DC3343" s="501"/>
      <c r="DD3343" s="501"/>
      <c r="DE3343" s="501"/>
      <c r="DF3343" s="501"/>
      <c r="DG3343" s="501"/>
      <c r="DH3343" s="501"/>
      <c r="DI3343" s="501"/>
      <c r="DJ3343" s="501"/>
      <c r="DK3343" s="501"/>
      <c r="DL3343" s="501"/>
      <c r="DM3343" s="501"/>
      <c r="DN3343" s="501"/>
      <c r="DO3343" s="501"/>
      <c r="DP3343" s="501"/>
      <c r="DQ3343" s="501"/>
      <c r="DR3343" s="501"/>
      <c r="DS3343" s="501"/>
      <c r="DT3343" s="501"/>
      <c r="DU3343" s="501"/>
      <c r="DV3343" s="501"/>
      <c r="DW3343" s="501"/>
      <c r="DX3343" s="501"/>
      <c r="DY3343" s="501"/>
      <c r="DZ3343" s="501"/>
      <c r="EA3343" s="501"/>
      <c r="EB3343" s="501"/>
      <c r="EC3343" s="501"/>
      <c r="ED3343" s="501"/>
      <c r="EE3343" s="501"/>
      <c r="EF3343" s="501"/>
      <c r="EG3343" s="501"/>
      <c r="EH3343" s="501"/>
      <c r="EI3343" s="501"/>
      <c r="EJ3343" s="501"/>
      <c r="EK3343" s="501"/>
      <c r="EL3343" s="501"/>
      <c r="EM3343" s="501"/>
      <c r="EN3343" s="501"/>
      <c r="EO3343" s="501"/>
      <c r="EP3343" s="501"/>
      <c r="EQ3343" s="501"/>
      <c r="ER3343" s="501"/>
      <c r="ES3343" s="501"/>
      <c r="ET3343" s="501"/>
      <c r="EU3343" s="501"/>
      <c r="EV3343" s="501"/>
      <c r="EW3343" s="501"/>
      <c r="EX3343" s="501"/>
      <c r="EY3343" s="501"/>
      <c r="EZ3343" s="501"/>
      <c r="FA3343" s="501"/>
      <c r="FB3343" s="501"/>
      <c r="FC3343" s="501"/>
      <c r="FD3343" s="501"/>
      <c r="FE3343" s="501"/>
      <c r="FF3343" s="501"/>
      <c r="FG3343" s="501"/>
      <c r="FH3343" s="501"/>
      <c r="FI3343" s="501"/>
      <c r="FJ3343" s="501"/>
      <c r="FK3343" s="501"/>
      <c r="FL3343" s="501"/>
      <c r="FM3343" s="501"/>
      <c r="FN3343" s="501"/>
      <c r="FO3343" s="501"/>
      <c r="FP3343" s="501"/>
      <c r="FQ3343" s="501"/>
      <c r="FR3343" s="501"/>
      <c r="FS3343" s="501"/>
      <c r="FT3343" s="501"/>
      <c r="FU3343" s="501"/>
      <c r="FV3343" s="501"/>
      <c r="FW3343" s="501"/>
      <c r="FX3343" s="501"/>
      <c r="FY3343" s="501"/>
      <c r="FZ3343" s="501"/>
      <c r="GA3343" s="501"/>
      <c r="GB3343" s="501"/>
      <c r="GC3343" s="501"/>
      <c r="GD3343" s="501"/>
      <c r="GE3343" s="501"/>
      <c r="GF3343" s="501"/>
      <c r="GG3343" s="501"/>
      <c r="GH3343" s="501"/>
      <c r="GI3343" s="501"/>
      <c r="GJ3343" s="501"/>
      <c r="GK3343" s="501"/>
      <c r="GL3343" s="501"/>
      <c r="GM3343" s="501"/>
      <c r="GN3343" s="501"/>
      <c r="GO3343" s="501"/>
      <c r="GP3343" s="501"/>
      <c r="GQ3343" s="501"/>
      <c r="GR3343" s="501"/>
      <c r="GS3343" s="501"/>
      <c r="GT3343" s="501"/>
      <c r="GU3343" s="501"/>
      <c r="GV3343" s="501"/>
      <c r="GW3343" s="501"/>
      <c r="GX3343" s="501"/>
      <c r="GY3343" s="501"/>
      <c r="GZ3343" s="501"/>
      <c r="HA3343" s="501"/>
      <c r="HB3343" s="501"/>
      <c r="HC3343" s="501"/>
      <c r="HD3343" s="501"/>
      <c r="HE3343" s="501"/>
      <c r="HF3343" s="501"/>
      <c r="HG3343" s="501"/>
      <c r="HH3343" s="501"/>
      <c r="HI3343" s="501"/>
      <c r="HJ3343" s="501"/>
      <c r="HK3343" s="501"/>
      <c r="HL3343" s="501"/>
      <c r="HM3343" s="501"/>
      <c r="HN3343" s="501"/>
      <c r="HO3343" s="501"/>
      <c r="HP3343" s="501"/>
      <c r="HQ3343" s="501"/>
      <c r="HR3343" s="501"/>
      <c r="HS3343" s="501"/>
      <c r="HT3343" s="501"/>
      <c r="HU3343" s="501"/>
      <c r="HV3343" s="501"/>
      <c r="HW3343" s="501"/>
      <c r="HX3343" s="501"/>
      <c r="HY3343" s="501"/>
      <c r="HZ3343" s="501"/>
      <c r="IA3343" s="501"/>
      <c r="IB3343" s="501"/>
      <c r="IC3343" s="501"/>
      <c r="ID3343" s="501"/>
      <c r="IE3343" s="501"/>
      <c r="IF3343" s="501"/>
      <c r="IG3343" s="501"/>
      <c r="IH3343" s="501"/>
      <c r="II3343" s="501"/>
      <c r="IJ3343" s="501"/>
      <c r="IK3343" s="501"/>
      <c r="IL3343" s="501"/>
      <c r="IM3343" s="501"/>
      <c r="IN3343" s="501"/>
      <c r="IO3343" s="501"/>
      <c r="IP3343" s="501"/>
      <c r="IQ3343" s="501"/>
      <c r="IR3343" s="501"/>
      <c r="IS3343" s="501"/>
      <c r="IT3343" s="501"/>
      <c r="IU3343" s="501"/>
    </row>
    <row r="3344" spans="1:255" s="877" customFormat="1" ht="24" customHeight="1">
      <c r="A3344" s="501"/>
      <c r="B3344" s="501"/>
      <c r="C3344" s="501"/>
      <c r="D3344" s="501"/>
      <c r="E3344" s="501"/>
      <c r="F3344" s="501"/>
      <c r="G3344" s="915"/>
      <c r="H3344" s="501"/>
      <c r="I3344" s="874"/>
      <c r="J3344" s="501"/>
      <c r="K3344" s="501"/>
      <c r="L3344" s="501"/>
      <c r="M3344" s="554"/>
      <c r="N3344" s="501"/>
      <c r="O3344" s="1097"/>
      <c r="P3344" s="1151"/>
      <c r="Q3344" s="973"/>
      <c r="R3344" s="1102"/>
      <c r="S3344" s="1187"/>
      <c r="T3344" s="1097"/>
      <c r="V3344" s="501"/>
      <c r="W3344" s="501"/>
      <c r="X3344" s="501"/>
      <c r="Y3344" s="501"/>
      <c r="Z3344" s="501"/>
      <c r="AA3344" s="501"/>
      <c r="AB3344" s="501"/>
      <c r="AC3344" s="501"/>
      <c r="AD3344" s="501"/>
      <c r="AE3344" s="501"/>
      <c r="AF3344" s="501"/>
      <c r="AG3344" s="501"/>
      <c r="AH3344" s="501"/>
      <c r="AI3344" s="501"/>
      <c r="AJ3344" s="501"/>
      <c r="AK3344" s="501"/>
      <c r="AL3344" s="501"/>
      <c r="AM3344" s="501"/>
      <c r="AN3344" s="501"/>
      <c r="AO3344" s="501"/>
      <c r="AP3344" s="501"/>
      <c r="AQ3344" s="501"/>
      <c r="AR3344" s="501"/>
      <c r="AS3344" s="501"/>
      <c r="AT3344" s="501"/>
      <c r="AU3344" s="501"/>
      <c r="AV3344" s="501"/>
      <c r="AW3344" s="501"/>
      <c r="AX3344" s="501"/>
      <c r="AY3344" s="501"/>
      <c r="AZ3344" s="501"/>
      <c r="BA3344" s="501"/>
      <c r="BB3344" s="501"/>
      <c r="BC3344" s="501"/>
      <c r="BD3344" s="501"/>
      <c r="BE3344" s="501"/>
      <c r="BF3344" s="501"/>
      <c r="BG3344" s="501"/>
      <c r="BH3344" s="501"/>
      <c r="BI3344" s="501"/>
      <c r="BJ3344" s="501"/>
      <c r="BK3344" s="501"/>
      <c r="BL3344" s="501"/>
      <c r="BM3344" s="501"/>
      <c r="BN3344" s="501"/>
      <c r="BO3344" s="501"/>
      <c r="BP3344" s="501"/>
      <c r="BQ3344" s="501"/>
      <c r="BR3344" s="501"/>
      <c r="BS3344" s="501"/>
      <c r="BT3344" s="501"/>
      <c r="BU3344" s="501"/>
      <c r="BV3344" s="501"/>
      <c r="BW3344" s="501"/>
      <c r="BX3344" s="501"/>
      <c r="BY3344" s="501"/>
      <c r="BZ3344" s="501"/>
      <c r="CA3344" s="501"/>
      <c r="CB3344" s="501"/>
      <c r="CC3344" s="501"/>
      <c r="CD3344" s="501"/>
      <c r="CE3344" s="501"/>
      <c r="CF3344" s="501"/>
      <c r="CG3344" s="501"/>
      <c r="CH3344" s="501"/>
      <c r="CI3344" s="501"/>
      <c r="CJ3344" s="501"/>
      <c r="CK3344" s="501"/>
      <c r="CL3344" s="501"/>
      <c r="CM3344" s="501"/>
      <c r="CN3344" s="501"/>
      <c r="CO3344" s="501"/>
      <c r="CP3344" s="501"/>
      <c r="CQ3344" s="501"/>
      <c r="CR3344" s="501"/>
      <c r="CS3344" s="501"/>
      <c r="CT3344" s="501"/>
      <c r="CU3344" s="501"/>
      <c r="CV3344" s="501"/>
      <c r="CW3344" s="501"/>
      <c r="CX3344" s="501"/>
      <c r="CY3344" s="501"/>
      <c r="CZ3344" s="501"/>
      <c r="DA3344" s="501"/>
      <c r="DB3344" s="501"/>
      <c r="DC3344" s="501"/>
      <c r="DD3344" s="501"/>
      <c r="DE3344" s="501"/>
      <c r="DF3344" s="501"/>
      <c r="DG3344" s="501"/>
      <c r="DH3344" s="501"/>
      <c r="DI3344" s="501"/>
      <c r="DJ3344" s="501"/>
      <c r="DK3344" s="501"/>
      <c r="DL3344" s="501"/>
      <c r="DM3344" s="501"/>
      <c r="DN3344" s="501"/>
      <c r="DO3344" s="501"/>
      <c r="DP3344" s="501"/>
      <c r="DQ3344" s="501"/>
      <c r="DR3344" s="501"/>
      <c r="DS3344" s="501"/>
      <c r="DT3344" s="501"/>
      <c r="DU3344" s="501"/>
      <c r="DV3344" s="501"/>
      <c r="DW3344" s="501"/>
      <c r="DX3344" s="501"/>
      <c r="DY3344" s="501"/>
      <c r="DZ3344" s="501"/>
      <c r="EA3344" s="501"/>
      <c r="EB3344" s="501"/>
      <c r="EC3344" s="501"/>
      <c r="ED3344" s="501"/>
      <c r="EE3344" s="501"/>
      <c r="EF3344" s="501"/>
      <c r="EG3344" s="501"/>
      <c r="EH3344" s="501"/>
      <c r="EI3344" s="501"/>
      <c r="EJ3344" s="501"/>
      <c r="EK3344" s="501"/>
      <c r="EL3344" s="501"/>
      <c r="EM3344" s="501"/>
      <c r="EN3344" s="501"/>
      <c r="EO3344" s="501"/>
      <c r="EP3344" s="501"/>
      <c r="EQ3344" s="501"/>
      <c r="ER3344" s="501"/>
      <c r="ES3344" s="501"/>
      <c r="ET3344" s="501"/>
      <c r="EU3344" s="501"/>
      <c r="EV3344" s="501"/>
      <c r="EW3344" s="501"/>
      <c r="EX3344" s="501"/>
      <c r="EY3344" s="501"/>
      <c r="EZ3344" s="501"/>
      <c r="FA3344" s="501"/>
      <c r="FB3344" s="501"/>
      <c r="FC3344" s="501"/>
      <c r="FD3344" s="501"/>
      <c r="FE3344" s="501"/>
      <c r="FF3344" s="501"/>
      <c r="FG3344" s="501"/>
      <c r="FH3344" s="501"/>
      <c r="FI3344" s="501"/>
      <c r="FJ3344" s="501"/>
      <c r="FK3344" s="501"/>
      <c r="FL3344" s="501"/>
      <c r="FM3344" s="501"/>
      <c r="FN3344" s="501"/>
      <c r="FO3344" s="501"/>
      <c r="FP3344" s="501"/>
      <c r="FQ3344" s="501"/>
      <c r="FR3344" s="501"/>
      <c r="FS3344" s="501"/>
      <c r="FT3344" s="501"/>
      <c r="FU3344" s="501"/>
      <c r="FV3344" s="501"/>
      <c r="FW3344" s="501"/>
      <c r="FX3344" s="501"/>
      <c r="FY3344" s="501"/>
      <c r="FZ3344" s="501"/>
      <c r="GA3344" s="501"/>
      <c r="GB3344" s="501"/>
      <c r="GC3344" s="501"/>
      <c r="GD3344" s="501"/>
      <c r="GE3344" s="501"/>
      <c r="GF3344" s="501"/>
      <c r="GG3344" s="501"/>
      <c r="GH3344" s="501"/>
      <c r="GI3344" s="501"/>
      <c r="GJ3344" s="501"/>
      <c r="GK3344" s="501"/>
      <c r="GL3344" s="501"/>
      <c r="GM3344" s="501"/>
      <c r="GN3344" s="501"/>
      <c r="GO3344" s="501"/>
      <c r="GP3344" s="501"/>
      <c r="GQ3344" s="501"/>
      <c r="GR3344" s="501"/>
      <c r="GS3344" s="501"/>
      <c r="GT3344" s="501"/>
      <c r="GU3344" s="501"/>
      <c r="GV3344" s="501"/>
      <c r="GW3344" s="501"/>
      <c r="GX3344" s="501"/>
      <c r="GY3344" s="501"/>
      <c r="GZ3344" s="501"/>
      <c r="HA3344" s="501"/>
      <c r="HB3344" s="501"/>
      <c r="HC3344" s="501"/>
      <c r="HD3344" s="501"/>
      <c r="HE3344" s="501"/>
      <c r="HF3344" s="501"/>
      <c r="HG3344" s="501"/>
      <c r="HH3344" s="501"/>
      <c r="HI3344" s="501"/>
      <c r="HJ3344" s="501"/>
      <c r="HK3344" s="501"/>
      <c r="HL3344" s="501"/>
      <c r="HM3344" s="501"/>
      <c r="HN3344" s="501"/>
      <c r="HO3344" s="501"/>
      <c r="HP3344" s="501"/>
      <c r="HQ3344" s="501"/>
      <c r="HR3344" s="501"/>
      <c r="HS3344" s="501"/>
      <c r="HT3344" s="501"/>
      <c r="HU3344" s="501"/>
      <c r="HV3344" s="501"/>
      <c r="HW3344" s="501"/>
      <c r="HX3344" s="501"/>
      <c r="HY3344" s="501"/>
      <c r="HZ3344" s="501"/>
      <c r="IA3344" s="501"/>
      <c r="IB3344" s="501"/>
      <c r="IC3344" s="501"/>
      <c r="ID3344" s="501"/>
      <c r="IE3344" s="501"/>
      <c r="IF3344" s="501"/>
      <c r="IG3344" s="501"/>
      <c r="IH3344" s="501"/>
      <c r="II3344" s="501"/>
      <c r="IJ3344" s="501"/>
      <c r="IK3344" s="501"/>
      <c r="IL3344" s="501"/>
      <c r="IM3344" s="501"/>
      <c r="IN3344" s="501"/>
      <c r="IO3344" s="501"/>
      <c r="IP3344" s="501"/>
      <c r="IQ3344" s="501"/>
      <c r="IR3344" s="501"/>
      <c r="IS3344" s="501"/>
      <c r="IT3344" s="501"/>
      <c r="IU3344" s="501"/>
    </row>
    <row r="3345" spans="1:255" s="877" customFormat="1" ht="24" customHeight="1">
      <c r="A3345" s="501"/>
      <c r="B3345" s="501"/>
      <c r="C3345" s="501"/>
      <c r="D3345" s="501"/>
      <c r="E3345" s="501"/>
      <c r="F3345" s="501"/>
      <c r="G3345" s="915"/>
      <c r="H3345" s="501"/>
      <c r="I3345" s="874"/>
      <c r="J3345" s="501"/>
      <c r="K3345" s="501"/>
      <c r="L3345" s="874"/>
      <c r="M3345" s="554"/>
      <c r="N3345" s="501"/>
      <c r="O3345" s="1097"/>
      <c r="P3345" s="1151"/>
      <c r="Q3345" s="973"/>
      <c r="R3345" s="1102"/>
      <c r="S3345" s="1195"/>
      <c r="T3345" s="1157"/>
      <c r="V3345" s="501"/>
      <c r="W3345" s="501"/>
      <c r="X3345" s="501"/>
      <c r="Y3345" s="501"/>
      <c r="Z3345" s="501"/>
      <c r="AA3345" s="501"/>
      <c r="AB3345" s="501"/>
      <c r="AC3345" s="501"/>
      <c r="AD3345" s="501"/>
      <c r="AE3345" s="501"/>
      <c r="AF3345" s="501"/>
      <c r="AG3345" s="501"/>
      <c r="AH3345" s="501"/>
      <c r="AI3345" s="501"/>
      <c r="AJ3345" s="501"/>
      <c r="AK3345" s="501"/>
      <c r="AL3345" s="501"/>
      <c r="AM3345" s="501"/>
      <c r="AN3345" s="501"/>
      <c r="AO3345" s="501"/>
      <c r="AP3345" s="501"/>
      <c r="AQ3345" s="501"/>
      <c r="AR3345" s="501"/>
      <c r="AS3345" s="501"/>
      <c r="AT3345" s="501"/>
      <c r="AU3345" s="501"/>
      <c r="AV3345" s="501"/>
      <c r="AW3345" s="501"/>
      <c r="AX3345" s="501"/>
      <c r="AY3345" s="501"/>
      <c r="AZ3345" s="501"/>
      <c r="BA3345" s="501"/>
      <c r="BB3345" s="501"/>
      <c r="BC3345" s="501"/>
      <c r="BD3345" s="501"/>
      <c r="BE3345" s="501"/>
      <c r="BF3345" s="501"/>
      <c r="BG3345" s="501"/>
      <c r="BH3345" s="501"/>
      <c r="BI3345" s="501"/>
      <c r="BJ3345" s="501"/>
      <c r="BK3345" s="501"/>
      <c r="BL3345" s="501"/>
      <c r="BM3345" s="501"/>
      <c r="BN3345" s="501"/>
      <c r="BO3345" s="501"/>
      <c r="BP3345" s="501"/>
      <c r="BQ3345" s="501"/>
      <c r="BR3345" s="501"/>
      <c r="BS3345" s="501"/>
      <c r="BT3345" s="501"/>
      <c r="BU3345" s="501"/>
      <c r="BV3345" s="501"/>
      <c r="BW3345" s="501"/>
      <c r="BX3345" s="501"/>
      <c r="BY3345" s="501"/>
      <c r="BZ3345" s="501"/>
      <c r="CA3345" s="501"/>
      <c r="CB3345" s="501"/>
      <c r="CC3345" s="501"/>
      <c r="CD3345" s="501"/>
      <c r="CE3345" s="501"/>
      <c r="CF3345" s="501"/>
      <c r="CG3345" s="501"/>
      <c r="CH3345" s="501"/>
      <c r="CI3345" s="501"/>
      <c r="CJ3345" s="501"/>
      <c r="CK3345" s="501"/>
      <c r="CL3345" s="501"/>
      <c r="CM3345" s="501"/>
      <c r="CN3345" s="501"/>
      <c r="CO3345" s="501"/>
      <c r="CP3345" s="501"/>
      <c r="CQ3345" s="501"/>
      <c r="CR3345" s="501"/>
      <c r="CS3345" s="501"/>
      <c r="CT3345" s="501"/>
      <c r="CU3345" s="501"/>
      <c r="CV3345" s="501"/>
      <c r="CW3345" s="501"/>
      <c r="CX3345" s="501"/>
      <c r="CY3345" s="501"/>
      <c r="CZ3345" s="501"/>
      <c r="DA3345" s="501"/>
      <c r="DB3345" s="501"/>
      <c r="DC3345" s="501"/>
      <c r="DD3345" s="501"/>
      <c r="DE3345" s="501"/>
      <c r="DF3345" s="501"/>
      <c r="DG3345" s="501"/>
      <c r="DH3345" s="501"/>
      <c r="DI3345" s="501"/>
      <c r="DJ3345" s="501"/>
      <c r="DK3345" s="501"/>
      <c r="DL3345" s="501"/>
      <c r="DM3345" s="501"/>
      <c r="DN3345" s="501"/>
      <c r="DO3345" s="501"/>
      <c r="DP3345" s="501"/>
      <c r="DQ3345" s="501"/>
      <c r="DR3345" s="501"/>
      <c r="DS3345" s="501"/>
      <c r="DT3345" s="501"/>
      <c r="DU3345" s="501"/>
      <c r="DV3345" s="501"/>
      <c r="DW3345" s="501"/>
      <c r="DX3345" s="501"/>
      <c r="DY3345" s="501"/>
      <c r="DZ3345" s="501"/>
      <c r="EA3345" s="501"/>
      <c r="EB3345" s="501"/>
      <c r="EC3345" s="501"/>
      <c r="ED3345" s="501"/>
      <c r="EE3345" s="501"/>
      <c r="EF3345" s="501"/>
      <c r="EG3345" s="501"/>
      <c r="EH3345" s="501"/>
      <c r="EI3345" s="501"/>
      <c r="EJ3345" s="501"/>
      <c r="EK3345" s="501"/>
      <c r="EL3345" s="501"/>
      <c r="EM3345" s="501"/>
      <c r="EN3345" s="501"/>
      <c r="EO3345" s="501"/>
      <c r="EP3345" s="501"/>
      <c r="EQ3345" s="501"/>
      <c r="ER3345" s="501"/>
      <c r="ES3345" s="501"/>
      <c r="ET3345" s="501"/>
      <c r="EU3345" s="501"/>
      <c r="EV3345" s="501"/>
      <c r="EW3345" s="501"/>
      <c r="EX3345" s="501"/>
      <c r="EY3345" s="501"/>
      <c r="EZ3345" s="501"/>
      <c r="FA3345" s="501"/>
      <c r="FB3345" s="501"/>
      <c r="FC3345" s="501"/>
      <c r="FD3345" s="501"/>
      <c r="FE3345" s="501"/>
      <c r="FF3345" s="501"/>
      <c r="FG3345" s="501"/>
      <c r="FH3345" s="501"/>
      <c r="FI3345" s="501"/>
      <c r="FJ3345" s="501"/>
      <c r="FK3345" s="501"/>
      <c r="FL3345" s="501"/>
      <c r="FM3345" s="501"/>
      <c r="FN3345" s="501"/>
      <c r="FO3345" s="501"/>
      <c r="FP3345" s="501"/>
      <c r="FQ3345" s="501"/>
      <c r="FR3345" s="501"/>
      <c r="FS3345" s="501"/>
      <c r="FT3345" s="501"/>
      <c r="FU3345" s="501"/>
      <c r="FV3345" s="501"/>
      <c r="FW3345" s="501"/>
      <c r="FX3345" s="501"/>
      <c r="FY3345" s="501"/>
      <c r="FZ3345" s="501"/>
      <c r="GA3345" s="501"/>
      <c r="GB3345" s="501"/>
      <c r="GC3345" s="501"/>
      <c r="GD3345" s="501"/>
      <c r="GE3345" s="501"/>
      <c r="GF3345" s="501"/>
      <c r="GG3345" s="501"/>
      <c r="GH3345" s="501"/>
      <c r="GI3345" s="501"/>
      <c r="GJ3345" s="501"/>
      <c r="GK3345" s="501"/>
      <c r="GL3345" s="501"/>
      <c r="GM3345" s="501"/>
      <c r="GN3345" s="501"/>
      <c r="GO3345" s="501"/>
      <c r="GP3345" s="501"/>
      <c r="GQ3345" s="501"/>
      <c r="GR3345" s="501"/>
      <c r="GS3345" s="501"/>
      <c r="GT3345" s="501"/>
      <c r="GU3345" s="501"/>
      <c r="GV3345" s="501"/>
      <c r="GW3345" s="501"/>
      <c r="GX3345" s="501"/>
      <c r="GY3345" s="501"/>
      <c r="GZ3345" s="501"/>
      <c r="HA3345" s="501"/>
      <c r="HB3345" s="501"/>
      <c r="HC3345" s="501"/>
      <c r="HD3345" s="501"/>
      <c r="HE3345" s="501"/>
      <c r="HF3345" s="501"/>
      <c r="HG3345" s="501"/>
      <c r="HH3345" s="501"/>
      <c r="HI3345" s="501"/>
      <c r="HJ3345" s="501"/>
      <c r="HK3345" s="501"/>
      <c r="HL3345" s="501"/>
      <c r="HM3345" s="501"/>
      <c r="HN3345" s="501"/>
      <c r="HO3345" s="501"/>
      <c r="HP3345" s="501"/>
      <c r="HQ3345" s="501"/>
      <c r="HR3345" s="501"/>
      <c r="HS3345" s="501"/>
      <c r="HT3345" s="501"/>
      <c r="HU3345" s="501"/>
      <c r="HV3345" s="501"/>
      <c r="HW3345" s="501"/>
      <c r="HX3345" s="501"/>
      <c r="HY3345" s="501"/>
      <c r="HZ3345" s="501"/>
      <c r="IA3345" s="501"/>
      <c r="IB3345" s="501"/>
      <c r="IC3345" s="501"/>
      <c r="ID3345" s="501"/>
      <c r="IE3345" s="501"/>
      <c r="IF3345" s="501"/>
      <c r="IG3345" s="501"/>
      <c r="IH3345" s="501"/>
      <c r="II3345" s="501"/>
      <c r="IJ3345" s="501"/>
      <c r="IK3345" s="501"/>
      <c r="IL3345" s="501"/>
      <c r="IM3345" s="501"/>
      <c r="IN3345" s="501"/>
      <c r="IO3345" s="501"/>
      <c r="IP3345" s="501"/>
      <c r="IQ3345" s="501"/>
      <c r="IR3345" s="501"/>
      <c r="IS3345" s="501"/>
      <c r="IT3345" s="501"/>
      <c r="IU3345" s="501"/>
    </row>
    <row r="3346" spans="1:255" s="877" customFormat="1" ht="24" customHeight="1">
      <c r="A3346" s="501"/>
      <c r="B3346" s="501"/>
      <c r="C3346" s="501"/>
      <c r="D3346" s="501"/>
      <c r="E3346" s="501"/>
      <c r="F3346" s="501"/>
      <c r="G3346" s="915"/>
      <c r="H3346" s="501"/>
      <c r="I3346" s="874"/>
      <c r="J3346" s="501"/>
      <c r="K3346" s="501"/>
      <c r="L3346" s="874"/>
      <c r="M3346" s="554"/>
      <c r="N3346" s="501"/>
      <c r="O3346" s="1097"/>
      <c r="P3346" s="1151"/>
      <c r="Q3346" s="1097"/>
      <c r="R3346" s="1097"/>
      <c r="S3346" s="1106"/>
      <c r="T3346" s="501"/>
      <c r="V3346" s="501"/>
      <c r="W3346" s="501"/>
      <c r="X3346" s="501"/>
      <c r="Y3346" s="501"/>
      <c r="Z3346" s="501"/>
      <c r="AA3346" s="501"/>
      <c r="AB3346" s="501"/>
      <c r="AC3346" s="501"/>
      <c r="AD3346" s="501"/>
      <c r="AE3346" s="501"/>
      <c r="AF3346" s="501"/>
      <c r="AG3346" s="501"/>
      <c r="AH3346" s="501"/>
      <c r="AI3346" s="501"/>
      <c r="AJ3346" s="501"/>
      <c r="AK3346" s="501"/>
      <c r="AL3346" s="501"/>
      <c r="AM3346" s="501"/>
      <c r="AN3346" s="501"/>
      <c r="AO3346" s="501"/>
      <c r="AP3346" s="501"/>
      <c r="AQ3346" s="501"/>
      <c r="AR3346" s="501"/>
      <c r="AS3346" s="501"/>
      <c r="AT3346" s="501"/>
      <c r="AU3346" s="501"/>
      <c r="AV3346" s="501"/>
      <c r="AW3346" s="501"/>
      <c r="AX3346" s="501"/>
      <c r="AY3346" s="501"/>
      <c r="AZ3346" s="501"/>
      <c r="BA3346" s="501"/>
      <c r="BB3346" s="501"/>
      <c r="BC3346" s="501"/>
      <c r="BD3346" s="501"/>
      <c r="BE3346" s="501"/>
      <c r="BF3346" s="501"/>
      <c r="BG3346" s="501"/>
      <c r="BH3346" s="501"/>
      <c r="BI3346" s="501"/>
      <c r="BJ3346" s="501"/>
      <c r="BK3346" s="501"/>
      <c r="BL3346" s="501"/>
      <c r="BM3346" s="501"/>
      <c r="BN3346" s="501"/>
      <c r="BO3346" s="501"/>
      <c r="BP3346" s="501"/>
      <c r="BQ3346" s="501"/>
      <c r="BR3346" s="501"/>
      <c r="BS3346" s="501"/>
      <c r="BT3346" s="501"/>
      <c r="BU3346" s="501"/>
      <c r="BV3346" s="501"/>
      <c r="BW3346" s="501"/>
      <c r="BX3346" s="501"/>
      <c r="BY3346" s="501"/>
      <c r="BZ3346" s="501"/>
      <c r="CA3346" s="501"/>
      <c r="CB3346" s="501"/>
      <c r="CC3346" s="501"/>
      <c r="CD3346" s="501"/>
      <c r="CE3346" s="501"/>
      <c r="CF3346" s="501"/>
      <c r="CG3346" s="501"/>
      <c r="CH3346" s="501"/>
      <c r="CI3346" s="501"/>
      <c r="CJ3346" s="501"/>
      <c r="CK3346" s="501"/>
      <c r="CL3346" s="501"/>
      <c r="CM3346" s="501"/>
      <c r="CN3346" s="501"/>
      <c r="CO3346" s="501"/>
      <c r="CP3346" s="501"/>
      <c r="CQ3346" s="501"/>
      <c r="CR3346" s="501"/>
      <c r="CS3346" s="501"/>
      <c r="CT3346" s="501"/>
      <c r="CU3346" s="501"/>
      <c r="CV3346" s="501"/>
      <c r="CW3346" s="501"/>
      <c r="CX3346" s="501"/>
      <c r="CY3346" s="501"/>
      <c r="CZ3346" s="501"/>
      <c r="DA3346" s="501"/>
      <c r="DB3346" s="501"/>
      <c r="DC3346" s="501"/>
      <c r="DD3346" s="501"/>
      <c r="DE3346" s="501"/>
      <c r="DF3346" s="501"/>
      <c r="DG3346" s="501"/>
      <c r="DH3346" s="501"/>
      <c r="DI3346" s="501"/>
      <c r="DJ3346" s="501"/>
      <c r="DK3346" s="501"/>
      <c r="DL3346" s="501"/>
      <c r="DM3346" s="501"/>
      <c r="DN3346" s="501"/>
      <c r="DO3346" s="501"/>
      <c r="DP3346" s="501"/>
      <c r="DQ3346" s="501"/>
      <c r="DR3346" s="501"/>
      <c r="DS3346" s="501"/>
      <c r="DT3346" s="501"/>
      <c r="DU3346" s="501"/>
      <c r="DV3346" s="501"/>
      <c r="DW3346" s="501"/>
      <c r="DX3346" s="501"/>
      <c r="DY3346" s="501"/>
      <c r="DZ3346" s="501"/>
      <c r="EA3346" s="501"/>
      <c r="EB3346" s="501"/>
      <c r="EC3346" s="501"/>
      <c r="ED3346" s="501"/>
      <c r="EE3346" s="501"/>
      <c r="EF3346" s="501"/>
      <c r="EG3346" s="501"/>
      <c r="EH3346" s="501"/>
      <c r="EI3346" s="501"/>
      <c r="EJ3346" s="501"/>
      <c r="EK3346" s="501"/>
      <c r="EL3346" s="501"/>
      <c r="EM3346" s="501"/>
      <c r="EN3346" s="501"/>
      <c r="EO3346" s="501"/>
      <c r="EP3346" s="501"/>
      <c r="EQ3346" s="501"/>
      <c r="ER3346" s="501"/>
      <c r="ES3346" s="501"/>
      <c r="ET3346" s="501"/>
      <c r="EU3346" s="501"/>
      <c r="EV3346" s="501"/>
      <c r="EW3346" s="501"/>
      <c r="EX3346" s="501"/>
      <c r="EY3346" s="501"/>
      <c r="EZ3346" s="501"/>
      <c r="FA3346" s="501"/>
      <c r="FB3346" s="501"/>
      <c r="FC3346" s="501"/>
      <c r="FD3346" s="501"/>
      <c r="FE3346" s="501"/>
      <c r="FF3346" s="501"/>
      <c r="FG3346" s="501"/>
      <c r="FH3346" s="501"/>
      <c r="FI3346" s="501"/>
      <c r="FJ3346" s="501"/>
      <c r="FK3346" s="501"/>
      <c r="FL3346" s="501"/>
      <c r="FM3346" s="501"/>
      <c r="FN3346" s="501"/>
      <c r="FO3346" s="501"/>
      <c r="FP3346" s="501"/>
      <c r="FQ3346" s="501"/>
      <c r="FR3346" s="501"/>
      <c r="FS3346" s="501"/>
      <c r="FT3346" s="501"/>
      <c r="FU3346" s="501"/>
      <c r="FV3346" s="501"/>
      <c r="FW3346" s="501"/>
      <c r="FX3346" s="501"/>
      <c r="FY3346" s="501"/>
      <c r="FZ3346" s="501"/>
      <c r="GA3346" s="501"/>
      <c r="GB3346" s="501"/>
      <c r="GC3346" s="501"/>
      <c r="GD3346" s="501"/>
      <c r="GE3346" s="501"/>
      <c r="GF3346" s="501"/>
      <c r="GG3346" s="501"/>
      <c r="GH3346" s="501"/>
      <c r="GI3346" s="501"/>
      <c r="GJ3346" s="501"/>
      <c r="GK3346" s="501"/>
      <c r="GL3346" s="501"/>
      <c r="GM3346" s="501"/>
      <c r="GN3346" s="501"/>
      <c r="GO3346" s="501"/>
      <c r="GP3346" s="501"/>
      <c r="GQ3346" s="501"/>
      <c r="GR3346" s="501"/>
      <c r="GS3346" s="501"/>
      <c r="GT3346" s="501"/>
      <c r="GU3346" s="501"/>
      <c r="GV3346" s="501"/>
      <c r="GW3346" s="501"/>
      <c r="GX3346" s="501"/>
      <c r="GY3346" s="501"/>
      <c r="GZ3346" s="501"/>
      <c r="HA3346" s="501"/>
      <c r="HB3346" s="501"/>
      <c r="HC3346" s="501"/>
      <c r="HD3346" s="501"/>
      <c r="HE3346" s="501"/>
      <c r="HF3346" s="501"/>
      <c r="HG3346" s="501"/>
      <c r="HH3346" s="501"/>
      <c r="HI3346" s="501"/>
      <c r="HJ3346" s="501"/>
      <c r="HK3346" s="501"/>
      <c r="HL3346" s="501"/>
      <c r="HM3346" s="501"/>
      <c r="HN3346" s="501"/>
      <c r="HO3346" s="501"/>
      <c r="HP3346" s="501"/>
      <c r="HQ3346" s="501"/>
      <c r="HR3346" s="501"/>
      <c r="HS3346" s="501"/>
      <c r="HT3346" s="501"/>
      <c r="HU3346" s="501"/>
      <c r="HV3346" s="501"/>
      <c r="HW3346" s="501"/>
      <c r="HX3346" s="501"/>
      <c r="HY3346" s="501"/>
      <c r="HZ3346" s="501"/>
      <c r="IA3346" s="501"/>
      <c r="IB3346" s="501"/>
      <c r="IC3346" s="501"/>
      <c r="ID3346" s="501"/>
      <c r="IE3346" s="501"/>
      <c r="IF3346" s="501"/>
      <c r="IG3346" s="501"/>
      <c r="IH3346" s="501"/>
      <c r="II3346" s="501"/>
      <c r="IJ3346" s="501"/>
      <c r="IK3346" s="501"/>
      <c r="IL3346" s="501"/>
      <c r="IM3346" s="501"/>
      <c r="IN3346" s="501"/>
      <c r="IO3346" s="501"/>
      <c r="IP3346" s="501"/>
      <c r="IQ3346" s="501"/>
      <c r="IR3346" s="501"/>
      <c r="IS3346" s="501"/>
      <c r="IT3346" s="501"/>
      <c r="IU3346" s="501"/>
    </row>
    <row r="3347" spans="1:255" s="877" customFormat="1" ht="24" customHeight="1">
      <c r="A3347" s="501"/>
      <c r="B3347" s="501"/>
      <c r="C3347" s="501"/>
      <c r="D3347" s="501"/>
      <c r="E3347" s="501"/>
      <c r="F3347" s="501"/>
      <c r="G3347" s="915"/>
      <c r="H3347" s="501"/>
      <c r="I3347" s="874"/>
      <c r="J3347" s="501"/>
      <c r="K3347" s="501"/>
      <c r="L3347" s="874"/>
      <c r="M3347" s="554"/>
      <c r="N3347" s="501"/>
      <c r="O3347" s="1097"/>
      <c r="P3347" s="1151"/>
      <c r="Q3347" s="1097"/>
      <c r="R3347" s="1097"/>
      <c r="S3347" s="1188"/>
      <c r="T3347" s="501"/>
      <c r="V3347" s="501"/>
      <c r="W3347" s="501"/>
      <c r="X3347" s="501"/>
      <c r="Y3347" s="501"/>
      <c r="Z3347" s="501"/>
      <c r="AA3347" s="501"/>
      <c r="AB3347" s="501"/>
      <c r="AC3347" s="501"/>
      <c r="AD3347" s="501"/>
      <c r="AE3347" s="501"/>
      <c r="AF3347" s="501"/>
      <c r="AG3347" s="501"/>
      <c r="AH3347" s="501"/>
      <c r="AI3347" s="501"/>
      <c r="AJ3347" s="501"/>
      <c r="AK3347" s="501"/>
      <c r="AL3347" s="501"/>
      <c r="AM3347" s="501"/>
      <c r="AN3347" s="501"/>
      <c r="AO3347" s="501"/>
      <c r="AP3347" s="501"/>
      <c r="AQ3347" s="501"/>
      <c r="AR3347" s="501"/>
      <c r="AS3347" s="501"/>
      <c r="AT3347" s="501"/>
      <c r="AU3347" s="501"/>
      <c r="AV3347" s="501"/>
      <c r="AW3347" s="501"/>
      <c r="AX3347" s="501"/>
      <c r="AY3347" s="501"/>
      <c r="AZ3347" s="501"/>
      <c r="BA3347" s="501"/>
      <c r="BB3347" s="501"/>
      <c r="BC3347" s="501"/>
      <c r="BD3347" s="501"/>
      <c r="BE3347" s="501"/>
      <c r="BF3347" s="501"/>
      <c r="BG3347" s="501"/>
      <c r="BH3347" s="501"/>
      <c r="BI3347" s="501"/>
      <c r="BJ3347" s="501"/>
      <c r="BK3347" s="501"/>
      <c r="BL3347" s="501"/>
      <c r="BM3347" s="501"/>
      <c r="BN3347" s="501"/>
      <c r="BO3347" s="501"/>
      <c r="BP3347" s="501"/>
      <c r="BQ3347" s="501"/>
      <c r="BR3347" s="501"/>
      <c r="BS3347" s="501"/>
      <c r="BT3347" s="501"/>
      <c r="BU3347" s="501"/>
      <c r="BV3347" s="501"/>
      <c r="BW3347" s="501"/>
      <c r="BX3347" s="501"/>
      <c r="BY3347" s="501"/>
      <c r="BZ3347" s="501"/>
      <c r="CA3347" s="501"/>
      <c r="CB3347" s="501"/>
      <c r="CC3347" s="501"/>
      <c r="CD3347" s="501"/>
      <c r="CE3347" s="501"/>
      <c r="CF3347" s="501"/>
      <c r="CG3347" s="501"/>
      <c r="CH3347" s="501"/>
      <c r="CI3347" s="501"/>
      <c r="CJ3347" s="501"/>
      <c r="CK3347" s="501"/>
      <c r="CL3347" s="501"/>
      <c r="CM3347" s="501"/>
      <c r="CN3347" s="501"/>
      <c r="CO3347" s="501"/>
      <c r="CP3347" s="501"/>
      <c r="CQ3347" s="501"/>
      <c r="CR3347" s="501"/>
      <c r="CS3347" s="501"/>
      <c r="CT3347" s="501"/>
      <c r="CU3347" s="501"/>
      <c r="CV3347" s="501"/>
      <c r="CW3347" s="501"/>
      <c r="CX3347" s="501"/>
      <c r="CY3347" s="501"/>
      <c r="CZ3347" s="501"/>
      <c r="DA3347" s="501"/>
      <c r="DB3347" s="501"/>
      <c r="DC3347" s="501"/>
      <c r="DD3347" s="501"/>
      <c r="DE3347" s="501"/>
      <c r="DF3347" s="501"/>
      <c r="DG3347" s="501"/>
      <c r="DH3347" s="501"/>
      <c r="DI3347" s="501"/>
      <c r="DJ3347" s="501"/>
      <c r="DK3347" s="501"/>
      <c r="DL3347" s="501"/>
      <c r="DM3347" s="501"/>
      <c r="DN3347" s="501"/>
      <c r="DO3347" s="501"/>
      <c r="DP3347" s="501"/>
      <c r="DQ3347" s="501"/>
      <c r="DR3347" s="501"/>
      <c r="DS3347" s="501"/>
      <c r="DT3347" s="501"/>
      <c r="DU3347" s="501"/>
      <c r="DV3347" s="501"/>
      <c r="DW3347" s="501"/>
      <c r="DX3347" s="501"/>
      <c r="DY3347" s="501"/>
      <c r="DZ3347" s="501"/>
      <c r="EA3347" s="501"/>
      <c r="EB3347" s="501"/>
      <c r="EC3347" s="501"/>
      <c r="ED3347" s="501"/>
      <c r="EE3347" s="501"/>
      <c r="EF3347" s="501"/>
      <c r="EG3347" s="501"/>
      <c r="EH3347" s="501"/>
      <c r="EI3347" s="501"/>
      <c r="EJ3347" s="501"/>
      <c r="EK3347" s="501"/>
      <c r="EL3347" s="501"/>
      <c r="EM3347" s="501"/>
      <c r="EN3347" s="501"/>
      <c r="EO3347" s="501"/>
      <c r="EP3347" s="501"/>
      <c r="EQ3347" s="501"/>
      <c r="ER3347" s="501"/>
      <c r="ES3347" s="501"/>
      <c r="ET3347" s="501"/>
      <c r="EU3347" s="501"/>
      <c r="EV3347" s="501"/>
      <c r="EW3347" s="501"/>
      <c r="EX3347" s="501"/>
      <c r="EY3347" s="501"/>
      <c r="EZ3347" s="501"/>
      <c r="FA3347" s="501"/>
      <c r="FB3347" s="501"/>
      <c r="FC3347" s="501"/>
      <c r="FD3347" s="501"/>
      <c r="FE3347" s="501"/>
      <c r="FF3347" s="501"/>
      <c r="FG3347" s="501"/>
      <c r="FH3347" s="501"/>
      <c r="FI3347" s="501"/>
      <c r="FJ3347" s="501"/>
      <c r="FK3347" s="501"/>
      <c r="FL3347" s="501"/>
      <c r="FM3347" s="501"/>
      <c r="FN3347" s="501"/>
      <c r="FO3347" s="501"/>
      <c r="FP3347" s="501"/>
      <c r="FQ3347" s="501"/>
      <c r="FR3347" s="501"/>
      <c r="FS3347" s="501"/>
      <c r="FT3347" s="501"/>
      <c r="FU3347" s="501"/>
      <c r="FV3347" s="501"/>
      <c r="FW3347" s="501"/>
      <c r="FX3347" s="501"/>
      <c r="FY3347" s="501"/>
      <c r="FZ3347" s="501"/>
      <c r="GA3347" s="501"/>
      <c r="GB3347" s="501"/>
      <c r="GC3347" s="501"/>
      <c r="GD3347" s="501"/>
      <c r="GE3347" s="501"/>
      <c r="GF3347" s="501"/>
      <c r="GG3347" s="501"/>
      <c r="GH3347" s="501"/>
      <c r="GI3347" s="501"/>
      <c r="GJ3347" s="501"/>
      <c r="GK3347" s="501"/>
      <c r="GL3347" s="501"/>
      <c r="GM3347" s="501"/>
      <c r="GN3347" s="501"/>
      <c r="GO3347" s="501"/>
      <c r="GP3347" s="501"/>
      <c r="GQ3347" s="501"/>
      <c r="GR3347" s="501"/>
      <c r="GS3347" s="501"/>
      <c r="GT3347" s="501"/>
      <c r="GU3347" s="501"/>
      <c r="GV3347" s="501"/>
      <c r="GW3347" s="501"/>
      <c r="GX3347" s="501"/>
      <c r="GY3347" s="501"/>
      <c r="GZ3347" s="501"/>
      <c r="HA3347" s="501"/>
      <c r="HB3347" s="501"/>
      <c r="HC3347" s="501"/>
      <c r="HD3347" s="501"/>
      <c r="HE3347" s="501"/>
      <c r="HF3347" s="501"/>
      <c r="HG3347" s="501"/>
      <c r="HH3347" s="501"/>
      <c r="HI3347" s="501"/>
      <c r="HJ3347" s="501"/>
      <c r="HK3347" s="501"/>
      <c r="HL3347" s="501"/>
      <c r="HM3347" s="501"/>
      <c r="HN3347" s="501"/>
      <c r="HO3347" s="501"/>
      <c r="HP3347" s="501"/>
      <c r="HQ3347" s="501"/>
      <c r="HR3347" s="501"/>
      <c r="HS3347" s="501"/>
      <c r="HT3347" s="501"/>
      <c r="HU3347" s="501"/>
      <c r="HV3347" s="501"/>
      <c r="HW3347" s="501"/>
      <c r="HX3347" s="501"/>
      <c r="HY3347" s="501"/>
      <c r="HZ3347" s="501"/>
      <c r="IA3347" s="501"/>
      <c r="IB3347" s="501"/>
      <c r="IC3347" s="501"/>
      <c r="ID3347" s="501"/>
      <c r="IE3347" s="501"/>
      <c r="IF3347" s="501"/>
      <c r="IG3347" s="501"/>
      <c r="IH3347" s="501"/>
      <c r="II3347" s="501"/>
      <c r="IJ3347" s="501"/>
      <c r="IK3347" s="501"/>
      <c r="IL3347" s="501"/>
      <c r="IM3347" s="501"/>
      <c r="IN3347" s="501"/>
      <c r="IO3347" s="501"/>
      <c r="IP3347" s="501"/>
      <c r="IQ3347" s="501"/>
      <c r="IR3347" s="501"/>
      <c r="IS3347" s="501"/>
      <c r="IT3347" s="501"/>
      <c r="IU3347" s="501"/>
    </row>
    <row r="3348" spans="1:255" s="877" customFormat="1" ht="24" customHeight="1">
      <c r="A3348" s="501"/>
      <c r="B3348" s="501"/>
      <c r="C3348" s="501"/>
      <c r="D3348" s="501"/>
      <c r="E3348" s="501"/>
      <c r="F3348" s="501"/>
      <c r="G3348" s="915"/>
      <c r="H3348" s="501"/>
      <c r="I3348" s="874"/>
      <c r="J3348" s="501"/>
      <c r="K3348" s="501"/>
      <c r="L3348" s="874"/>
      <c r="M3348" s="554"/>
      <c r="N3348" s="501"/>
      <c r="O3348" s="1097"/>
      <c r="P3348" s="1151"/>
      <c r="Q3348" s="1097"/>
      <c r="R3348" s="1097"/>
      <c r="S3348" s="1106"/>
      <c r="T3348" s="501"/>
      <c r="V3348" s="501"/>
      <c r="W3348" s="501"/>
      <c r="X3348" s="501"/>
      <c r="Y3348" s="501"/>
      <c r="Z3348" s="501"/>
      <c r="AA3348" s="501"/>
      <c r="AB3348" s="501"/>
      <c r="AC3348" s="501"/>
      <c r="AD3348" s="501"/>
      <c r="AE3348" s="501"/>
      <c r="AF3348" s="501"/>
      <c r="AG3348" s="501"/>
      <c r="AH3348" s="501"/>
      <c r="AI3348" s="501"/>
      <c r="AJ3348" s="501"/>
      <c r="AK3348" s="501"/>
      <c r="AL3348" s="501"/>
      <c r="AM3348" s="501"/>
      <c r="AN3348" s="501"/>
      <c r="AO3348" s="501"/>
      <c r="AP3348" s="501"/>
      <c r="AQ3348" s="501"/>
      <c r="AR3348" s="501"/>
      <c r="AS3348" s="501"/>
      <c r="AT3348" s="501"/>
      <c r="AU3348" s="501"/>
      <c r="AV3348" s="501"/>
      <c r="AW3348" s="501"/>
      <c r="AX3348" s="501"/>
      <c r="AY3348" s="501"/>
      <c r="AZ3348" s="501"/>
      <c r="BA3348" s="501"/>
      <c r="BB3348" s="501"/>
      <c r="BC3348" s="501"/>
      <c r="BD3348" s="501"/>
      <c r="BE3348" s="501"/>
      <c r="BF3348" s="501"/>
      <c r="BG3348" s="501"/>
      <c r="BH3348" s="501"/>
      <c r="BI3348" s="501"/>
      <c r="BJ3348" s="501"/>
      <c r="BK3348" s="501"/>
      <c r="BL3348" s="501"/>
      <c r="BM3348" s="501"/>
      <c r="BN3348" s="501"/>
      <c r="BO3348" s="501"/>
      <c r="BP3348" s="501"/>
      <c r="BQ3348" s="501"/>
      <c r="BR3348" s="501"/>
      <c r="BS3348" s="501"/>
      <c r="BT3348" s="501"/>
      <c r="BU3348" s="501"/>
      <c r="BV3348" s="501"/>
      <c r="BW3348" s="501"/>
      <c r="BX3348" s="501"/>
      <c r="BY3348" s="501"/>
      <c r="BZ3348" s="501"/>
      <c r="CA3348" s="501"/>
      <c r="CB3348" s="501"/>
      <c r="CC3348" s="501"/>
      <c r="CD3348" s="501"/>
      <c r="CE3348" s="501"/>
      <c r="CF3348" s="501"/>
      <c r="CG3348" s="501"/>
      <c r="CH3348" s="501"/>
      <c r="CI3348" s="501"/>
      <c r="CJ3348" s="501"/>
      <c r="CK3348" s="501"/>
      <c r="CL3348" s="501"/>
      <c r="CM3348" s="501"/>
      <c r="CN3348" s="501"/>
      <c r="CO3348" s="501"/>
      <c r="CP3348" s="501"/>
      <c r="CQ3348" s="501"/>
      <c r="CR3348" s="501"/>
      <c r="CS3348" s="501"/>
      <c r="CT3348" s="501"/>
      <c r="CU3348" s="501"/>
      <c r="CV3348" s="501"/>
      <c r="CW3348" s="501"/>
      <c r="CX3348" s="501"/>
      <c r="CY3348" s="501"/>
      <c r="CZ3348" s="501"/>
      <c r="DA3348" s="501"/>
      <c r="DB3348" s="501"/>
      <c r="DC3348" s="501"/>
      <c r="DD3348" s="501"/>
      <c r="DE3348" s="501"/>
      <c r="DF3348" s="501"/>
      <c r="DG3348" s="501"/>
      <c r="DH3348" s="501"/>
      <c r="DI3348" s="501"/>
      <c r="DJ3348" s="501"/>
      <c r="DK3348" s="501"/>
      <c r="DL3348" s="501"/>
      <c r="DM3348" s="501"/>
      <c r="DN3348" s="501"/>
      <c r="DO3348" s="501"/>
      <c r="DP3348" s="501"/>
      <c r="DQ3348" s="501"/>
      <c r="DR3348" s="501"/>
      <c r="DS3348" s="501"/>
      <c r="DT3348" s="501"/>
      <c r="DU3348" s="501"/>
      <c r="DV3348" s="501"/>
      <c r="DW3348" s="501"/>
      <c r="DX3348" s="501"/>
      <c r="DY3348" s="501"/>
      <c r="DZ3348" s="501"/>
      <c r="EA3348" s="501"/>
      <c r="EB3348" s="501"/>
      <c r="EC3348" s="501"/>
      <c r="ED3348" s="501"/>
      <c r="EE3348" s="501"/>
      <c r="EF3348" s="501"/>
      <c r="EG3348" s="501"/>
      <c r="EH3348" s="501"/>
      <c r="EI3348" s="501"/>
      <c r="EJ3348" s="501"/>
      <c r="EK3348" s="501"/>
      <c r="EL3348" s="501"/>
      <c r="EM3348" s="501"/>
      <c r="EN3348" s="501"/>
      <c r="EO3348" s="501"/>
      <c r="EP3348" s="501"/>
      <c r="EQ3348" s="501"/>
      <c r="ER3348" s="501"/>
      <c r="ES3348" s="501"/>
      <c r="ET3348" s="501"/>
      <c r="EU3348" s="501"/>
      <c r="EV3348" s="501"/>
      <c r="EW3348" s="501"/>
      <c r="EX3348" s="501"/>
      <c r="EY3348" s="501"/>
      <c r="EZ3348" s="501"/>
      <c r="FA3348" s="501"/>
      <c r="FB3348" s="501"/>
      <c r="FC3348" s="501"/>
      <c r="FD3348" s="501"/>
      <c r="FE3348" s="501"/>
      <c r="FF3348" s="501"/>
      <c r="FG3348" s="501"/>
      <c r="FH3348" s="501"/>
      <c r="FI3348" s="501"/>
      <c r="FJ3348" s="501"/>
      <c r="FK3348" s="501"/>
      <c r="FL3348" s="501"/>
      <c r="FM3348" s="501"/>
      <c r="FN3348" s="501"/>
      <c r="FO3348" s="501"/>
      <c r="FP3348" s="501"/>
      <c r="FQ3348" s="501"/>
      <c r="FR3348" s="501"/>
      <c r="FS3348" s="501"/>
      <c r="FT3348" s="501"/>
      <c r="FU3348" s="501"/>
      <c r="FV3348" s="501"/>
      <c r="FW3348" s="501"/>
      <c r="FX3348" s="501"/>
      <c r="FY3348" s="501"/>
      <c r="FZ3348" s="501"/>
      <c r="GA3348" s="501"/>
      <c r="GB3348" s="501"/>
      <c r="GC3348" s="501"/>
      <c r="GD3348" s="501"/>
      <c r="GE3348" s="501"/>
      <c r="GF3348" s="501"/>
      <c r="GG3348" s="501"/>
      <c r="GH3348" s="501"/>
      <c r="GI3348" s="501"/>
      <c r="GJ3348" s="501"/>
      <c r="GK3348" s="501"/>
      <c r="GL3348" s="501"/>
      <c r="GM3348" s="501"/>
      <c r="GN3348" s="501"/>
      <c r="GO3348" s="501"/>
      <c r="GP3348" s="501"/>
      <c r="GQ3348" s="501"/>
      <c r="GR3348" s="501"/>
      <c r="GS3348" s="501"/>
      <c r="GT3348" s="501"/>
      <c r="GU3348" s="501"/>
      <c r="GV3348" s="501"/>
      <c r="GW3348" s="501"/>
      <c r="GX3348" s="501"/>
      <c r="GY3348" s="501"/>
      <c r="GZ3348" s="501"/>
      <c r="HA3348" s="501"/>
      <c r="HB3348" s="501"/>
      <c r="HC3348" s="501"/>
      <c r="HD3348" s="501"/>
      <c r="HE3348" s="501"/>
      <c r="HF3348" s="501"/>
      <c r="HG3348" s="501"/>
      <c r="HH3348" s="501"/>
      <c r="HI3348" s="501"/>
      <c r="HJ3348" s="501"/>
      <c r="HK3348" s="501"/>
      <c r="HL3348" s="501"/>
      <c r="HM3348" s="501"/>
      <c r="HN3348" s="501"/>
      <c r="HO3348" s="501"/>
      <c r="HP3348" s="501"/>
      <c r="HQ3348" s="501"/>
      <c r="HR3348" s="501"/>
      <c r="HS3348" s="501"/>
      <c r="HT3348" s="501"/>
      <c r="HU3348" s="501"/>
      <c r="HV3348" s="501"/>
      <c r="HW3348" s="501"/>
      <c r="HX3348" s="501"/>
      <c r="HY3348" s="501"/>
      <c r="HZ3348" s="501"/>
      <c r="IA3348" s="501"/>
      <c r="IB3348" s="501"/>
      <c r="IC3348" s="501"/>
      <c r="ID3348" s="501"/>
      <c r="IE3348" s="501"/>
      <c r="IF3348" s="501"/>
      <c r="IG3348" s="501"/>
      <c r="IH3348" s="501"/>
      <c r="II3348" s="501"/>
      <c r="IJ3348" s="501"/>
      <c r="IK3348" s="501"/>
      <c r="IL3348" s="501"/>
      <c r="IM3348" s="501"/>
      <c r="IN3348" s="501"/>
      <c r="IO3348" s="501"/>
      <c r="IP3348" s="501"/>
      <c r="IQ3348" s="501"/>
      <c r="IR3348" s="501"/>
      <c r="IS3348" s="501"/>
      <c r="IT3348" s="501"/>
      <c r="IU3348" s="501"/>
    </row>
    <row r="3349" spans="1:255" s="877" customFormat="1" ht="24" customHeight="1">
      <c r="A3349" s="501"/>
      <c r="B3349" s="501"/>
      <c r="C3349" s="501"/>
      <c r="D3349" s="501"/>
      <c r="E3349" s="501"/>
      <c r="F3349" s="501"/>
      <c r="G3349" s="915"/>
      <c r="H3349" s="501"/>
      <c r="I3349" s="874"/>
      <c r="J3349" s="501"/>
      <c r="K3349" s="501"/>
      <c r="L3349" s="874"/>
      <c r="M3349" s="554"/>
      <c r="N3349" s="501"/>
      <c r="O3349" s="1097"/>
      <c r="P3349" s="1151"/>
      <c r="Q3349" s="973"/>
      <c r="R3349" s="1097"/>
      <c r="S3349" s="1189"/>
      <c r="T3349" s="1157"/>
      <c r="V3349" s="501"/>
      <c r="W3349" s="501"/>
      <c r="X3349" s="501"/>
      <c r="Y3349" s="501"/>
      <c r="Z3349" s="501"/>
      <c r="AA3349" s="501"/>
      <c r="AB3349" s="501"/>
      <c r="AC3349" s="501"/>
      <c r="AD3349" s="501"/>
      <c r="AE3349" s="501"/>
      <c r="AF3349" s="501"/>
      <c r="AG3349" s="501"/>
      <c r="AH3349" s="501"/>
      <c r="AI3349" s="501"/>
      <c r="AJ3349" s="501"/>
      <c r="AK3349" s="501"/>
      <c r="AL3349" s="501"/>
      <c r="AM3349" s="501"/>
      <c r="AN3349" s="501"/>
      <c r="AO3349" s="501"/>
      <c r="AP3349" s="501"/>
      <c r="AQ3349" s="501"/>
      <c r="AR3349" s="501"/>
      <c r="AS3349" s="501"/>
      <c r="AT3349" s="501"/>
      <c r="AU3349" s="501"/>
      <c r="AV3349" s="501"/>
      <c r="AW3349" s="501"/>
      <c r="AX3349" s="501"/>
      <c r="AY3349" s="501"/>
      <c r="AZ3349" s="501"/>
      <c r="BA3349" s="501"/>
      <c r="BB3349" s="501"/>
      <c r="BC3349" s="501"/>
      <c r="BD3349" s="501"/>
      <c r="BE3349" s="501"/>
      <c r="BF3349" s="501"/>
      <c r="BG3349" s="501"/>
      <c r="BH3349" s="501"/>
      <c r="BI3349" s="501"/>
      <c r="BJ3349" s="501"/>
      <c r="BK3349" s="501"/>
      <c r="BL3349" s="501"/>
      <c r="BM3349" s="501"/>
      <c r="BN3349" s="501"/>
      <c r="BO3349" s="501"/>
      <c r="BP3349" s="501"/>
      <c r="BQ3349" s="501"/>
      <c r="BR3349" s="501"/>
      <c r="BS3349" s="501"/>
      <c r="BT3349" s="501"/>
      <c r="BU3349" s="501"/>
      <c r="BV3349" s="501"/>
      <c r="BW3349" s="501"/>
      <c r="BX3349" s="501"/>
      <c r="BY3349" s="501"/>
      <c r="BZ3349" s="501"/>
      <c r="CA3349" s="501"/>
      <c r="CB3349" s="501"/>
      <c r="CC3349" s="501"/>
      <c r="CD3349" s="501"/>
      <c r="CE3349" s="501"/>
      <c r="CF3349" s="501"/>
      <c r="CG3349" s="501"/>
      <c r="CH3349" s="501"/>
      <c r="CI3349" s="501"/>
      <c r="CJ3349" s="501"/>
      <c r="CK3349" s="501"/>
      <c r="CL3349" s="501"/>
      <c r="CM3349" s="501"/>
      <c r="CN3349" s="501"/>
      <c r="CO3349" s="501"/>
      <c r="CP3349" s="501"/>
      <c r="CQ3349" s="501"/>
      <c r="CR3349" s="501"/>
      <c r="CS3349" s="501"/>
      <c r="CT3349" s="501"/>
      <c r="CU3349" s="501"/>
      <c r="CV3349" s="501"/>
      <c r="CW3349" s="501"/>
      <c r="CX3349" s="501"/>
      <c r="CY3349" s="501"/>
      <c r="CZ3349" s="501"/>
      <c r="DA3349" s="501"/>
      <c r="DB3349" s="501"/>
      <c r="DC3349" s="501"/>
      <c r="DD3349" s="501"/>
      <c r="DE3349" s="501"/>
      <c r="DF3349" s="501"/>
      <c r="DG3349" s="501"/>
      <c r="DH3349" s="501"/>
      <c r="DI3349" s="501"/>
      <c r="DJ3349" s="501"/>
      <c r="DK3349" s="501"/>
      <c r="DL3349" s="501"/>
      <c r="DM3349" s="501"/>
      <c r="DN3349" s="501"/>
      <c r="DO3349" s="501"/>
      <c r="DP3349" s="501"/>
      <c r="DQ3349" s="501"/>
      <c r="DR3349" s="501"/>
      <c r="DS3349" s="501"/>
      <c r="DT3349" s="501"/>
      <c r="DU3349" s="501"/>
      <c r="DV3349" s="501"/>
      <c r="DW3349" s="501"/>
      <c r="DX3349" s="501"/>
      <c r="DY3349" s="501"/>
      <c r="DZ3349" s="501"/>
      <c r="EA3349" s="501"/>
      <c r="EB3349" s="501"/>
      <c r="EC3349" s="501"/>
      <c r="ED3349" s="501"/>
      <c r="EE3349" s="501"/>
      <c r="EF3349" s="501"/>
      <c r="EG3349" s="501"/>
      <c r="EH3349" s="501"/>
      <c r="EI3349" s="501"/>
      <c r="EJ3349" s="501"/>
      <c r="EK3349" s="501"/>
      <c r="EL3349" s="501"/>
      <c r="EM3349" s="501"/>
      <c r="EN3349" s="501"/>
      <c r="EO3349" s="501"/>
      <c r="EP3349" s="501"/>
      <c r="EQ3349" s="501"/>
      <c r="ER3349" s="501"/>
      <c r="ES3349" s="501"/>
      <c r="ET3349" s="501"/>
      <c r="EU3349" s="501"/>
      <c r="EV3349" s="501"/>
      <c r="EW3349" s="501"/>
      <c r="EX3349" s="501"/>
      <c r="EY3349" s="501"/>
      <c r="EZ3349" s="501"/>
      <c r="FA3349" s="501"/>
      <c r="FB3349" s="501"/>
      <c r="FC3349" s="501"/>
      <c r="FD3349" s="501"/>
      <c r="FE3349" s="501"/>
      <c r="FF3349" s="501"/>
      <c r="FG3349" s="501"/>
      <c r="FH3349" s="501"/>
      <c r="FI3349" s="501"/>
      <c r="FJ3349" s="501"/>
      <c r="FK3349" s="501"/>
      <c r="FL3349" s="501"/>
      <c r="FM3349" s="501"/>
      <c r="FN3349" s="501"/>
      <c r="FO3349" s="501"/>
      <c r="FP3349" s="501"/>
      <c r="FQ3349" s="501"/>
      <c r="FR3349" s="501"/>
      <c r="FS3349" s="501"/>
      <c r="FT3349" s="501"/>
      <c r="FU3349" s="501"/>
      <c r="FV3349" s="501"/>
      <c r="FW3349" s="501"/>
      <c r="FX3349" s="501"/>
      <c r="FY3349" s="501"/>
      <c r="FZ3349" s="501"/>
      <c r="GA3349" s="501"/>
      <c r="GB3349" s="501"/>
      <c r="GC3349" s="501"/>
      <c r="GD3349" s="501"/>
      <c r="GE3349" s="501"/>
      <c r="GF3349" s="501"/>
      <c r="GG3349" s="501"/>
      <c r="GH3349" s="501"/>
      <c r="GI3349" s="501"/>
      <c r="GJ3349" s="501"/>
      <c r="GK3349" s="501"/>
      <c r="GL3349" s="501"/>
      <c r="GM3349" s="501"/>
      <c r="GN3349" s="501"/>
      <c r="GO3349" s="501"/>
      <c r="GP3349" s="501"/>
      <c r="GQ3349" s="501"/>
      <c r="GR3349" s="501"/>
      <c r="GS3349" s="501"/>
      <c r="GT3349" s="501"/>
      <c r="GU3349" s="501"/>
      <c r="GV3349" s="501"/>
      <c r="GW3349" s="501"/>
      <c r="GX3349" s="501"/>
      <c r="GY3349" s="501"/>
      <c r="GZ3349" s="501"/>
      <c r="HA3349" s="501"/>
      <c r="HB3349" s="501"/>
      <c r="HC3349" s="501"/>
      <c r="HD3349" s="501"/>
      <c r="HE3349" s="501"/>
      <c r="HF3349" s="501"/>
      <c r="HG3349" s="501"/>
      <c r="HH3349" s="501"/>
      <c r="HI3349" s="501"/>
      <c r="HJ3349" s="501"/>
      <c r="HK3349" s="501"/>
      <c r="HL3349" s="501"/>
      <c r="HM3349" s="501"/>
      <c r="HN3349" s="501"/>
      <c r="HO3349" s="501"/>
      <c r="HP3349" s="501"/>
      <c r="HQ3349" s="501"/>
      <c r="HR3349" s="501"/>
      <c r="HS3349" s="501"/>
      <c r="HT3349" s="501"/>
      <c r="HU3349" s="501"/>
      <c r="HV3349" s="501"/>
      <c r="HW3349" s="501"/>
      <c r="HX3349" s="501"/>
      <c r="HY3349" s="501"/>
      <c r="HZ3349" s="501"/>
      <c r="IA3349" s="501"/>
      <c r="IB3349" s="501"/>
      <c r="IC3349" s="501"/>
      <c r="ID3349" s="501"/>
      <c r="IE3349" s="501"/>
      <c r="IF3349" s="501"/>
      <c r="IG3349" s="501"/>
      <c r="IH3349" s="501"/>
      <c r="II3349" s="501"/>
      <c r="IJ3349" s="501"/>
      <c r="IK3349" s="501"/>
      <c r="IL3349" s="501"/>
      <c r="IM3349" s="501"/>
      <c r="IN3349" s="501"/>
      <c r="IO3349" s="501"/>
      <c r="IP3349" s="501"/>
      <c r="IQ3349" s="501"/>
      <c r="IR3349" s="501"/>
      <c r="IS3349" s="501"/>
      <c r="IT3349" s="501"/>
      <c r="IU3349" s="501"/>
    </row>
    <row r="3350" spans="1:255" s="877" customFormat="1" ht="24" customHeight="1">
      <c r="A3350" s="501"/>
      <c r="B3350" s="501"/>
      <c r="C3350" s="501"/>
      <c r="D3350" s="501"/>
      <c r="E3350" s="501"/>
      <c r="F3350" s="501"/>
      <c r="G3350" s="915"/>
      <c r="H3350" s="501"/>
      <c r="I3350" s="874"/>
      <c r="J3350" s="501"/>
      <c r="K3350" s="501"/>
      <c r="L3350" s="874"/>
      <c r="M3350" s="554"/>
      <c r="N3350" s="501"/>
      <c r="O3350" s="1097"/>
      <c r="P3350" s="1151"/>
      <c r="Q3350" s="973"/>
      <c r="R3350" s="1097"/>
      <c r="S3350" s="1190"/>
      <c r="T3350" s="1157"/>
      <c r="V3350" s="501"/>
      <c r="W3350" s="501"/>
      <c r="X3350" s="501"/>
      <c r="Y3350" s="501"/>
      <c r="Z3350" s="501"/>
      <c r="AA3350" s="501"/>
      <c r="AB3350" s="501"/>
      <c r="AC3350" s="501"/>
      <c r="AD3350" s="501"/>
      <c r="AE3350" s="501"/>
      <c r="AF3350" s="501"/>
      <c r="AG3350" s="501"/>
      <c r="AH3350" s="501"/>
      <c r="AI3350" s="501"/>
      <c r="AJ3350" s="501"/>
      <c r="AK3350" s="501"/>
      <c r="AL3350" s="501"/>
      <c r="AM3350" s="501"/>
      <c r="AN3350" s="501"/>
      <c r="AO3350" s="501"/>
      <c r="AP3350" s="501"/>
      <c r="AQ3350" s="501"/>
      <c r="AR3350" s="501"/>
      <c r="AS3350" s="501"/>
      <c r="AT3350" s="501"/>
      <c r="AU3350" s="501"/>
      <c r="AV3350" s="501"/>
      <c r="AW3350" s="501"/>
      <c r="AX3350" s="501"/>
      <c r="AY3350" s="501"/>
      <c r="AZ3350" s="501"/>
      <c r="BA3350" s="501"/>
      <c r="BB3350" s="501"/>
      <c r="BC3350" s="501"/>
      <c r="BD3350" s="501"/>
      <c r="BE3350" s="501"/>
      <c r="BF3350" s="501"/>
      <c r="BG3350" s="501"/>
      <c r="BH3350" s="501"/>
      <c r="BI3350" s="501"/>
      <c r="BJ3350" s="501"/>
      <c r="BK3350" s="501"/>
      <c r="BL3350" s="501"/>
      <c r="BM3350" s="501"/>
      <c r="BN3350" s="501"/>
      <c r="BO3350" s="501"/>
      <c r="BP3350" s="501"/>
      <c r="BQ3350" s="501"/>
      <c r="BR3350" s="501"/>
      <c r="BS3350" s="501"/>
      <c r="BT3350" s="501"/>
      <c r="BU3350" s="501"/>
      <c r="BV3350" s="501"/>
      <c r="BW3350" s="501"/>
      <c r="BX3350" s="501"/>
      <c r="BY3350" s="501"/>
      <c r="BZ3350" s="501"/>
      <c r="CA3350" s="501"/>
      <c r="CB3350" s="501"/>
      <c r="CC3350" s="501"/>
      <c r="CD3350" s="501"/>
      <c r="CE3350" s="501"/>
      <c r="CF3350" s="501"/>
      <c r="CG3350" s="501"/>
      <c r="CH3350" s="501"/>
      <c r="CI3350" s="501"/>
      <c r="CJ3350" s="501"/>
      <c r="CK3350" s="501"/>
      <c r="CL3350" s="501"/>
      <c r="CM3350" s="501"/>
      <c r="CN3350" s="501"/>
      <c r="CO3350" s="501"/>
      <c r="CP3350" s="501"/>
      <c r="CQ3350" s="501"/>
      <c r="CR3350" s="501"/>
      <c r="CS3350" s="501"/>
      <c r="CT3350" s="501"/>
      <c r="CU3350" s="501"/>
      <c r="CV3350" s="501"/>
      <c r="CW3350" s="501"/>
      <c r="CX3350" s="501"/>
      <c r="CY3350" s="501"/>
      <c r="CZ3350" s="501"/>
      <c r="DA3350" s="501"/>
      <c r="DB3350" s="501"/>
      <c r="DC3350" s="501"/>
      <c r="DD3350" s="501"/>
      <c r="DE3350" s="501"/>
      <c r="DF3350" s="501"/>
      <c r="DG3350" s="501"/>
      <c r="DH3350" s="501"/>
      <c r="DI3350" s="501"/>
      <c r="DJ3350" s="501"/>
      <c r="DK3350" s="501"/>
      <c r="DL3350" s="501"/>
      <c r="DM3350" s="501"/>
      <c r="DN3350" s="501"/>
      <c r="DO3350" s="501"/>
      <c r="DP3350" s="501"/>
      <c r="DQ3350" s="501"/>
      <c r="DR3350" s="501"/>
      <c r="DS3350" s="501"/>
      <c r="DT3350" s="501"/>
      <c r="DU3350" s="501"/>
      <c r="DV3350" s="501"/>
      <c r="DW3350" s="501"/>
      <c r="DX3350" s="501"/>
      <c r="DY3350" s="501"/>
      <c r="DZ3350" s="501"/>
      <c r="EA3350" s="501"/>
      <c r="EB3350" s="501"/>
      <c r="EC3350" s="501"/>
      <c r="ED3350" s="501"/>
      <c r="EE3350" s="501"/>
      <c r="EF3350" s="501"/>
      <c r="EG3350" s="501"/>
      <c r="EH3350" s="501"/>
      <c r="EI3350" s="501"/>
      <c r="EJ3350" s="501"/>
      <c r="EK3350" s="501"/>
      <c r="EL3350" s="501"/>
      <c r="EM3350" s="501"/>
      <c r="EN3350" s="501"/>
      <c r="EO3350" s="501"/>
      <c r="EP3350" s="501"/>
      <c r="EQ3350" s="501"/>
      <c r="ER3350" s="501"/>
      <c r="ES3350" s="501"/>
      <c r="ET3350" s="501"/>
      <c r="EU3350" s="501"/>
      <c r="EV3350" s="501"/>
      <c r="EW3350" s="501"/>
      <c r="EX3350" s="501"/>
      <c r="EY3350" s="501"/>
      <c r="EZ3350" s="501"/>
      <c r="FA3350" s="501"/>
      <c r="FB3350" s="501"/>
      <c r="FC3350" s="501"/>
      <c r="FD3350" s="501"/>
      <c r="FE3350" s="501"/>
      <c r="FF3350" s="501"/>
      <c r="FG3350" s="501"/>
      <c r="FH3350" s="501"/>
      <c r="FI3350" s="501"/>
      <c r="FJ3350" s="501"/>
      <c r="FK3350" s="501"/>
      <c r="FL3350" s="501"/>
      <c r="FM3350" s="501"/>
      <c r="FN3350" s="501"/>
      <c r="FO3350" s="501"/>
      <c r="FP3350" s="501"/>
      <c r="FQ3350" s="501"/>
      <c r="FR3350" s="501"/>
      <c r="FS3350" s="501"/>
      <c r="FT3350" s="501"/>
      <c r="FU3350" s="501"/>
      <c r="FV3350" s="501"/>
      <c r="FW3350" s="501"/>
      <c r="FX3350" s="501"/>
      <c r="FY3350" s="501"/>
      <c r="FZ3350" s="501"/>
      <c r="GA3350" s="501"/>
      <c r="GB3350" s="501"/>
      <c r="GC3350" s="501"/>
      <c r="GD3350" s="501"/>
      <c r="GE3350" s="501"/>
      <c r="GF3350" s="501"/>
      <c r="GG3350" s="501"/>
      <c r="GH3350" s="501"/>
      <c r="GI3350" s="501"/>
      <c r="GJ3350" s="501"/>
      <c r="GK3350" s="501"/>
      <c r="GL3350" s="501"/>
      <c r="GM3350" s="501"/>
      <c r="GN3350" s="501"/>
      <c r="GO3350" s="501"/>
      <c r="GP3350" s="501"/>
      <c r="GQ3350" s="501"/>
      <c r="GR3350" s="501"/>
      <c r="GS3350" s="501"/>
      <c r="GT3350" s="501"/>
      <c r="GU3350" s="501"/>
      <c r="GV3350" s="501"/>
      <c r="GW3350" s="501"/>
      <c r="GX3350" s="501"/>
      <c r="GY3350" s="501"/>
      <c r="GZ3350" s="501"/>
      <c r="HA3350" s="501"/>
      <c r="HB3350" s="501"/>
      <c r="HC3350" s="501"/>
      <c r="HD3350" s="501"/>
      <c r="HE3350" s="501"/>
      <c r="HF3350" s="501"/>
      <c r="HG3350" s="501"/>
      <c r="HH3350" s="501"/>
      <c r="HI3350" s="501"/>
      <c r="HJ3350" s="501"/>
      <c r="HK3350" s="501"/>
      <c r="HL3350" s="501"/>
      <c r="HM3350" s="501"/>
      <c r="HN3350" s="501"/>
      <c r="HO3350" s="501"/>
      <c r="HP3350" s="501"/>
      <c r="HQ3350" s="501"/>
      <c r="HR3350" s="501"/>
      <c r="HS3350" s="501"/>
      <c r="HT3350" s="501"/>
      <c r="HU3350" s="501"/>
      <c r="HV3350" s="501"/>
      <c r="HW3350" s="501"/>
      <c r="HX3350" s="501"/>
      <c r="HY3350" s="501"/>
      <c r="HZ3350" s="501"/>
      <c r="IA3350" s="501"/>
      <c r="IB3350" s="501"/>
      <c r="IC3350" s="501"/>
      <c r="ID3350" s="501"/>
      <c r="IE3350" s="501"/>
      <c r="IF3350" s="501"/>
      <c r="IG3350" s="501"/>
      <c r="IH3350" s="501"/>
      <c r="II3350" s="501"/>
      <c r="IJ3350" s="501"/>
      <c r="IK3350" s="501"/>
      <c r="IL3350" s="501"/>
      <c r="IM3350" s="501"/>
      <c r="IN3350" s="501"/>
      <c r="IO3350" s="501"/>
      <c r="IP3350" s="501"/>
      <c r="IQ3350" s="501"/>
      <c r="IR3350" s="501"/>
      <c r="IS3350" s="501"/>
      <c r="IT3350" s="501"/>
      <c r="IU3350" s="501"/>
    </row>
    <row r="3351" spans="1:255" s="877" customFormat="1" ht="24" customHeight="1">
      <c r="A3351" s="501"/>
      <c r="B3351" s="501"/>
      <c r="C3351" s="501"/>
      <c r="D3351" s="501"/>
      <c r="E3351" s="501"/>
      <c r="F3351" s="501"/>
      <c r="G3351" s="915"/>
      <c r="H3351" s="501"/>
      <c r="I3351" s="874"/>
      <c r="J3351" s="501"/>
      <c r="K3351" s="501"/>
      <c r="L3351" s="874"/>
      <c r="M3351" s="554"/>
      <c r="N3351" s="501"/>
      <c r="O3351" s="1097"/>
      <c r="P3351" s="1151"/>
      <c r="Q3351" s="973"/>
      <c r="R3351" s="1097"/>
      <c r="S3351" s="1106"/>
      <c r="T3351" s="1157"/>
      <c r="V3351" s="501"/>
      <c r="W3351" s="501"/>
      <c r="X3351" s="501"/>
      <c r="Y3351" s="501"/>
      <c r="Z3351" s="501"/>
      <c r="AA3351" s="501"/>
      <c r="AB3351" s="501"/>
      <c r="AC3351" s="501"/>
      <c r="AD3351" s="501"/>
      <c r="AE3351" s="501"/>
      <c r="AF3351" s="501"/>
      <c r="AG3351" s="501"/>
      <c r="AH3351" s="501"/>
      <c r="AI3351" s="501"/>
      <c r="AJ3351" s="501"/>
      <c r="AK3351" s="501"/>
      <c r="AL3351" s="501"/>
      <c r="AM3351" s="501"/>
      <c r="AN3351" s="501"/>
      <c r="AO3351" s="501"/>
      <c r="AP3351" s="501"/>
      <c r="AQ3351" s="501"/>
      <c r="AR3351" s="501"/>
      <c r="AS3351" s="501"/>
      <c r="AT3351" s="501"/>
      <c r="AU3351" s="501"/>
      <c r="AV3351" s="501"/>
      <c r="AW3351" s="501"/>
      <c r="AX3351" s="501"/>
      <c r="AY3351" s="501"/>
      <c r="AZ3351" s="501"/>
      <c r="BA3351" s="501"/>
      <c r="BB3351" s="501"/>
      <c r="BC3351" s="501"/>
      <c r="BD3351" s="501"/>
      <c r="BE3351" s="501"/>
      <c r="BF3351" s="501"/>
      <c r="BG3351" s="501"/>
      <c r="BH3351" s="501"/>
      <c r="BI3351" s="501"/>
      <c r="BJ3351" s="501"/>
      <c r="BK3351" s="501"/>
      <c r="BL3351" s="501"/>
      <c r="BM3351" s="501"/>
      <c r="BN3351" s="501"/>
      <c r="BO3351" s="501"/>
      <c r="BP3351" s="501"/>
      <c r="BQ3351" s="501"/>
      <c r="BR3351" s="501"/>
      <c r="BS3351" s="501"/>
      <c r="BT3351" s="501"/>
      <c r="BU3351" s="501"/>
      <c r="BV3351" s="501"/>
      <c r="BW3351" s="501"/>
      <c r="BX3351" s="501"/>
      <c r="BY3351" s="501"/>
      <c r="BZ3351" s="501"/>
      <c r="CA3351" s="501"/>
      <c r="CB3351" s="501"/>
      <c r="CC3351" s="501"/>
      <c r="CD3351" s="501"/>
      <c r="CE3351" s="501"/>
      <c r="CF3351" s="501"/>
      <c r="CG3351" s="501"/>
      <c r="CH3351" s="501"/>
      <c r="CI3351" s="501"/>
      <c r="CJ3351" s="501"/>
      <c r="CK3351" s="501"/>
      <c r="CL3351" s="501"/>
      <c r="CM3351" s="501"/>
      <c r="CN3351" s="501"/>
      <c r="CO3351" s="501"/>
      <c r="CP3351" s="501"/>
      <c r="CQ3351" s="501"/>
      <c r="CR3351" s="501"/>
      <c r="CS3351" s="501"/>
      <c r="CT3351" s="501"/>
      <c r="CU3351" s="501"/>
      <c r="CV3351" s="501"/>
      <c r="CW3351" s="501"/>
      <c r="CX3351" s="501"/>
      <c r="CY3351" s="501"/>
      <c r="CZ3351" s="501"/>
      <c r="DA3351" s="501"/>
      <c r="DB3351" s="501"/>
      <c r="DC3351" s="501"/>
      <c r="DD3351" s="501"/>
      <c r="DE3351" s="501"/>
      <c r="DF3351" s="501"/>
      <c r="DG3351" s="501"/>
      <c r="DH3351" s="501"/>
      <c r="DI3351" s="501"/>
      <c r="DJ3351" s="501"/>
      <c r="DK3351" s="501"/>
      <c r="DL3351" s="501"/>
      <c r="DM3351" s="501"/>
      <c r="DN3351" s="501"/>
      <c r="DO3351" s="501"/>
      <c r="DP3351" s="501"/>
      <c r="DQ3351" s="501"/>
      <c r="DR3351" s="501"/>
      <c r="DS3351" s="501"/>
      <c r="DT3351" s="501"/>
      <c r="DU3351" s="501"/>
      <c r="DV3351" s="501"/>
      <c r="DW3351" s="501"/>
      <c r="DX3351" s="501"/>
      <c r="DY3351" s="501"/>
      <c r="DZ3351" s="501"/>
      <c r="EA3351" s="501"/>
      <c r="EB3351" s="501"/>
      <c r="EC3351" s="501"/>
      <c r="ED3351" s="501"/>
      <c r="EE3351" s="501"/>
      <c r="EF3351" s="501"/>
      <c r="EG3351" s="501"/>
      <c r="EH3351" s="501"/>
      <c r="EI3351" s="501"/>
      <c r="EJ3351" s="501"/>
      <c r="EK3351" s="501"/>
      <c r="EL3351" s="501"/>
      <c r="EM3351" s="501"/>
      <c r="EN3351" s="501"/>
      <c r="EO3351" s="501"/>
      <c r="EP3351" s="501"/>
      <c r="EQ3351" s="501"/>
      <c r="ER3351" s="501"/>
      <c r="ES3351" s="501"/>
      <c r="ET3351" s="501"/>
      <c r="EU3351" s="501"/>
      <c r="EV3351" s="501"/>
      <c r="EW3351" s="501"/>
      <c r="EX3351" s="501"/>
      <c r="EY3351" s="501"/>
      <c r="EZ3351" s="501"/>
      <c r="FA3351" s="501"/>
      <c r="FB3351" s="501"/>
      <c r="FC3351" s="501"/>
      <c r="FD3351" s="501"/>
      <c r="FE3351" s="501"/>
      <c r="FF3351" s="501"/>
      <c r="FG3351" s="501"/>
      <c r="FH3351" s="501"/>
      <c r="FI3351" s="501"/>
      <c r="FJ3351" s="501"/>
      <c r="FK3351" s="501"/>
      <c r="FL3351" s="501"/>
      <c r="FM3351" s="501"/>
      <c r="FN3351" s="501"/>
      <c r="FO3351" s="501"/>
      <c r="FP3351" s="501"/>
      <c r="FQ3351" s="501"/>
      <c r="FR3351" s="501"/>
      <c r="FS3351" s="501"/>
      <c r="FT3351" s="501"/>
      <c r="FU3351" s="501"/>
      <c r="FV3351" s="501"/>
      <c r="FW3351" s="501"/>
      <c r="FX3351" s="501"/>
      <c r="FY3351" s="501"/>
      <c r="FZ3351" s="501"/>
      <c r="GA3351" s="501"/>
      <c r="GB3351" s="501"/>
      <c r="GC3351" s="501"/>
      <c r="GD3351" s="501"/>
      <c r="GE3351" s="501"/>
      <c r="GF3351" s="501"/>
      <c r="GG3351" s="501"/>
      <c r="GH3351" s="501"/>
      <c r="GI3351" s="501"/>
      <c r="GJ3351" s="501"/>
      <c r="GK3351" s="501"/>
      <c r="GL3351" s="501"/>
      <c r="GM3351" s="501"/>
      <c r="GN3351" s="501"/>
      <c r="GO3351" s="501"/>
      <c r="GP3351" s="501"/>
      <c r="GQ3351" s="501"/>
      <c r="GR3351" s="501"/>
      <c r="GS3351" s="501"/>
      <c r="GT3351" s="501"/>
      <c r="GU3351" s="501"/>
      <c r="GV3351" s="501"/>
      <c r="GW3351" s="501"/>
      <c r="GX3351" s="501"/>
      <c r="GY3351" s="501"/>
      <c r="GZ3351" s="501"/>
      <c r="HA3351" s="501"/>
      <c r="HB3351" s="501"/>
      <c r="HC3351" s="501"/>
      <c r="HD3351" s="501"/>
      <c r="HE3351" s="501"/>
      <c r="HF3351" s="501"/>
      <c r="HG3351" s="501"/>
      <c r="HH3351" s="501"/>
      <c r="HI3351" s="501"/>
      <c r="HJ3351" s="501"/>
      <c r="HK3351" s="501"/>
      <c r="HL3351" s="501"/>
      <c r="HM3351" s="501"/>
      <c r="HN3351" s="501"/>
      <c r="HO3351" s="501"/>
      <c r="HP3351" s="501"/>
      <c r="HQ3351" s="501"/>
      <c r="HR3351" s="501"/>
      <c r="HS3351" s="501"/>
      <c r="HT3351" s="501"/>
      <c r="HU3351" s="501"/>
      <c r="HV3351" s="501"/>
      <c r="HW3351" s="501"/>
      <c r="HX3351" s="501"/>
      <c r="HY3351" s="501"/>
      <c r="HZ3351" s="501"/>
      <c r="IA3351" s="501"/>
      <c r="IB3351" s="501"/>
      <c r="IC3351" s="501"/>
      <c r="ID3351" s="501"/>
      <c r="IE3351" s="501"/>
      <c r="IF3351" s="501"/>
      <c r="IG3351" s="501"/>
      <c r="IH3351" s="501"/>
      <c r="II3351" s="501"/>
      <c r="IJ3351" s="501"/>
      <c r="IK3351" s="501"/>
      <c r="IL3351" s="501"/>
      <c r="IM3351" s="501"/>
      <c r="IN3351" s="501"/>
      <c r="IO3351" s="501"/>
      <c r="IP3351" s="501"/>
      <c r="IQ3351" s="501"/>
      <c r="IR3351" s="501"/>
      <c r="IS3351" s="501"/>
      <c r="IT3351" s="501"/>
      <c r="IU3351" s="501"/>
    </row>
    <row r="3352" spans="1:255" s="877" customFormat="1" ht="24" customHeight="1">
      <c r="A3352" s="501"/>
      <c r="B3352" s="501"/>
      <c r="C3352" s="501"/>
      <c r="D3352" s="501"/>
      <c r="E3352" s="501"/>
      <c r="F3352" s="501"/>
      <c r="G3352" s="915"/>
      <c r="H3352" s="501"/>
      <c r="I3352" s="874"/>
      <c r="J3352" s="501"/>
      <c r="K3352" s="501"/>
      <c r="L3352" s="874"/>
      <c r="M3352" s="554"/>
      <c r="N3352" s="501"/>
      <c r="O3352" s="1097"/>
      <c r="P3352" s="1151"/>
      <c r="Q3352" s="973"/>
      <c r="R3352" s="1097"/>
      <c r="S3352" s="1191"/>
      <c r="T3352" s="1104"/>
      <c r="V3352" s="501"/>
      <c r="W3352" s="501"/>
      <c r="X3352" s="501"/>
      <c r="Y3352" s="501"/>
      <c r="Z3352" s="501"/>
      <c r="AA3352" s="501"/>
      <c r="AB3352" s="501"/>
      <c r="AC3352" s="501"/>
      <c r="AD3352" s="501"/>
      <c r="AE3352" s="501"/>
      <c r="AF3352" s="501"/>
      <c r="AG3352" s="501"/>
      <c r="AH3352" s="501"/>
      <c r="AI3352" s="501"/>
      <c r="AJ3352" s="501"/>
      <c r="AK3352" s="501"/>
      <c r="AL3352" s="501"/>
      <c r="AM3352" s="501"/>
      <c r="AN3352" s="501"/>
      <c r="AO3352" s="501"/>
      <c r="AP3352" s="501"/>
      <c r="AQ3352" s="501"/>
      <c r="AR3352" s="501"/>
      <c r="AS3352" s="501"/>
      <c r="AT3352" s="501"/>
      <c r="AU3352" s="501"/>
      <c r="AV3352" s="501"/>
      <c r="AW3352" s="501"/>
      <c r="AX3352" s="501"/>
      <c r="AY3352" s="501"/>
      <c r="AZ3352" s="501"/>
      <c r="BA3352" s="501"/>
      <c r="BB3352" s="501"/>
      <c r="BC3352" s="501"/>
      <c r="BD3352" s="501"/>
      <c r="BE3352" s="501"/>
      <c r="BF3352" s="501"/>
      <c r="BG3352" s="501"/>
      <c r="BH3352" s="501"/>
      <c r="BI3352" s="501"/>
      <c r="BJ3352" s="501"/>
      <c r="BK3352" s="501"/>
      <c r="BL3352" s="501"/>
      <c r="BM3352" s="501"/>
      <c r="BN3352" s="501"/>
      <c r="BO3352" s="501"/>
      <c r="BP3352" s="501"/>
      <c r="BQ3352" s="501"/>
      <c r="BR3352" s="501"/>
      <c r="BS3352" s="501"/>
      <c r="BT3352" s="501"/>
      <c r="BU3352" s="501"/>
      <c r="BV3352" s="501"/>
      <c r="BW3352" s="501"/>
      <c r="BX3352" s="501"/>
      <c r="BY3352" s="501"/>
      <c r="BZ3352" s="501"/>
      <c r="CA3352" s="501"/>
      <c r="CB3352" s="501"/>
      <c r="CC3352" s="501"/>
      <c r="CD3352" s="501"/>
      <c r="CE3352" s="501"/>
      <c r="CF3352" s="501"/>
      <c r="CG3352" s="501"/>
      <c r="CH3352" s="501"/>
      <c r="CI3352" s="501"/>
      <c r="CJ3352" s="501"/>
      <c r="CK3352" s="501"/>
      <c r="CL3352" s="501"/>
      <c r="CM3352" s="501"/>
      <c r="CN3352" s="501"/>
      <c r="CO3352" s="501"/>
      <c r="CP3352" s="501"/>
      <c r="CQ3352" s="501"/>
      <c r="CR3352" s="501"/>
      <c r="CS3352" s="501"/>
      <c r="CT3352" s="501"/>
      <c r="CU3352" s="501"/>
      <c r="CV3352" s="501"/>
      <c r="CW3352" s="501"/>
      <c r="CX3352" s="501"/>
      <c r="CY3352" s="501"/>
      <c r="CZ3352" s="501"/>
      <c r="DA3352" s="501"/>
      <c r="DB3352" s="501"/>
      <c r="DC3352" s="501"/>
      <c r="DD3352" s="501"/>
      <c r="DE3352" s="501"/>
      <c r="DF3352" s="501"/>
      <c r="DG3352" s="501"/>
      <c r="DH3352" s="501"/>
      <c r="DI3352" s="501"/>
      <c r="DJ3352" s="501"/>
      <c r="DK3352" s="501"/>
      <c r="DL3352" s="501"/>
      <c r="DM3352" s="501"/>
      <c r="DN3352" s="501"/>
      <c r="DO3352" s="501"/>
      <c r="DP3352" s="501"/>
      <c r="DQ3352" s="501"/>
      <c r="DR3352" s="501"/>
      <c r="DS3352" s="501"/>
      <c r="DT3352" s="501"/>
      <c r="DU3352" s="501"/>
      <c r="DV3352" s="501"/>
      <c r="DW3352" s="501"/>
      <c r="DX3352" s="501"/>
      <c r="DY3352" s="501"/>
      <c r="DZ3352" s="501"/>
      <c r="EA3352" s="501"/>
      <c r="EB3352" s="501"/>
      <c r="EC3352" s="501"/>
      <c r="ED3352" s="501"/>
      <c r="EE3352" s="501"/>
      <c r="EF3352" s="501"/>
      <c r="EG3352" s="501"/>
      <c r="EH3352" s="501"/>
      <c r="EI3352" s="501"/>
      <c r="EJ3352" s="501"/>
      <c r="EK3352" s="501"/>
      <c r="EL3352" s="501"/>
      <c r="EM3352" s="501"/>
      <c r="EN3352" s="501"/>
      <c r="EO3352" s="501"/>
      <c r="EP3352" s="501"/>
      <c r="EQ3352" s="501"/>
      <c r="ER3352" s="501"/>
      <c r="ES3352" s="501"/>
      <c r="ET3352" s="501"/>
      <c r="EU3352" s="501"/>
      <c r="EV3352" s="501"/>
      <c r="EW3352" s="501"/>
      <c r="EX3352" s="501"/>
      <c r="EY3352" s="501"/>
      <c r="EZ3352" s="501"/>
      <c r="FA3352" s="501"/>
      <c r="FB3352" s="501"/>
      <c r="FC3352" s="501"/>
      <c r="FD3352" s="501"/>
      <c r="FE3352" s="501"/>
      <c r="FF3352" s="501"/>
      <c r="FG3352" s="501"/>
      <c r="FH3352" s="501"/>
      <c r="FI3352" s="501"/>
      <c r="FJ3352" s="501"/>
      <c r="FK3352" s="501"/>
      <c r="FL3352" s="501"/>
      <c r="FM3352" s="501"/>
      <c r="FN3352" s="501"/>
      <c r="FO3352" s="501"/>
      <c r="FP3352" s="501"/>
      <c r="FQ3352" s="501"/>
      <c r="FR3352" s="501"/>
      <c r="FS3352" s="501"/>
      <c r="FT3352" s="501"/>
      <c r="FU3352" s="501"/>
      <c r="FV3352" s="501"/>
      <c r="FW3352" s="501"/>
      <c r="FX3352" s="501"/>
      <c r="FY3352" s="501"/>
      <c r="FZ3352" s="501"/>
      <c r="GA3352" s="501"/>
      <c r="GB3352" s="501"/>
      <c r="GC3352" s="501"/>
      <c r="GD3352" s="501"/>
      <c r="GE3352" s="501"/>
      <c r="GF3352" s="501"/>
      <c r="GG3352" s="501"/>
      <c r="GH3352" s="501"/>
      <c r="GI3352" s="501"/>
      <c r="GJ3352" s="501"/>
      <c r="GK3352" s="501"/>
      <c r="GL3352" s="501"/>
      <c r="GM3352" s="501"/>
      <c r="GN3352" s="501"/>
      <c r="GO3352" s="501"/>
      <c r="GP3352" s="501"/>
      <c r="GQ3352" s="501"/>
      <c r="GR3352" s="501"/>
      <c r="GS3352" s="501"/>
      <c r="GT3352" s="501"/>
      <c r="GU3352" s="501"/>
      <c r="GV3352" s="501"/>
      <c r="GW3352" s="501"/>
      <c r="GX3352" s="501"/>
      <c r="GY3352" s="501"/>
      <c r="GZ3352" s="501"/>
      <c r="HA3352" s="501"/>
      <c r="HB3352" s="501"/>
      <c r="HC3352" s="501"/>
      <c r="HD3352" s="501"/>
      <c r="HE3352" s="501"/>
      <c r="HF3352" s="501"/>
      <c r="HG3352" s="501"/>
      <c r="HH3352" s="501"/>
      <c r="HI3352" s="501"/>
      <c r="HJ3352" s="501"/>
      <c r="HK3352" s="501"/>
      <c r="HL3352" s="501"/>
      <c r="HM3352" s="501"/>
      <c r="HN3352" s="501"/>
      <c r="HO3352" s="501"/>
      <c r="HP3352" s="501"/>
      <c r="HQ3352" s="501"/>
      <c r="HR3352" s="501"/>
      <c r="HS3352" s="501"/>
      <c r="HT3352" s="501"/>
      <c r="HU3352" s="501"/>
      <c r="HV3352" s="501"/>
      <c r="HW3352" s="501"/>
      <c r="HX3352" s="501"/>
      <c r="HY3352" s="501"/>
      <c r="HZ3352" s="501"/>
      <c r="IA3352" s="501"/>
      <c r="IB3352" s="501"/>
      <c r="IC3352" s="501"/>
      <c r="ID3352" s="501"/>
      <c r="IE3352" s="501"/>
      <c r="IF3352" s="501"/>
      <c r="IG3352" s="501"/>
      <c r="IH3352" s="501"/>
      <c r="II3352" s="501"/>
      <c r="IJ3352" s="501"/>
      <c r="IK3352" s="501"/>
      <c r="IL3352" s="501"/>
      <c r="IM3352" s="501"/>
      <c r="IN3352" s="501"/>
      <c r="IO3352" s="501"/>
      <c r="IP3352" s="501"/>
      <c r="IQ3352" s="501"/>
      <c r="IR3352" s="501"/>
      <c r="IS3352" s="501"/>
      <c r="IT3352" s="501"/>
      <c r="IU3352" s="501"/>
    </row>
    <row r="3353" spans="1:255" s="877" customFormat="1" ht="24" customHeight="1">
      <c r="A3353" s="501"/>
      <c r="B3353" s="501"/>
      <c r="C3353" s="501"/>
      <c r="D3353" s="501"/>
      <c r="E3353" s="501"/>
      <c r="F3353" s="501"/>
      <c r="G3353" s="915"/>
      <c r="H3353" s="501"/>
      <c r="I3353" s="874"/>
      <c r="J3353" s="501"/>
      <c r="K3353" s="501"/>
      <c r="L3353" s="874"/>
      <c r="M3353" s="554"/>
      <c r="N3353" s="501"/>
      <c r="O3353" s="1097"/>
      <c r="P3353" s="1151"/>
      <c r="Q3353" s="1097"/>
      <c r="R3353" s="1097"/>
      <c r="S3353" s="1106"/>
      <c r="T3353" s="1106"/>
      <c r="V3353" s="501"/>
      <c r="W3353" s="501"/>
      <c r="X3353" s="501"/>
      <c r="Y3353" s="501"/>
      <c r="Z3353" s="501"/>
      <c r="AA3353" s="501"/>
      <c r="AB3353" s="501"/>
      <c r="AC3353" s="501"/>
      <c r="AD3353" s="501"/>
      <c r="AE3353" s="501"/>
      <c r="AF3353" s="501"/>
      <c r="AG3353" s="501"/>
      <c r="AH3353" s="501"/>
      <c r="AI3353" s="501"/>
      <c r="AJ3353" s="501"/>
      <c r="AK3353" s="501"/>
      <c r="AL3353" s="501"/>
      <c r="AM3353" s="501"/>
      <c r="AN3353" s="501"/>
      <c r="AO3353" s="501"/>
      <c r="AP3353" s="501"/>
      <c r="AQ3353" s="501"/>
      <c r="AR3353" s="501"/>
      <c r="AS3353" s="501"/>
      <c r="AT3353" s="501"/>
      <c r="AU3353" s="501"/>
      <c r="AV3353" s="501"/>
      <c r="AW3353" s="501"/>
      <c r="AX3353" s="501"/>
      <c r="AY3353" s="501"/>
      <c r="AZ3353" s="501"/>
      <c r="BA3353" s="501"/>
      <c r="BB3353" s="501"/>
      <c r="BC3353" s="501"/>
      <c r="BD3353" s="501"/>
      <c r="BE3353" s="501"/>
      <c r="BF3353" s="501"/>
      <c r="BG3353" s="501"/>
      <c r="BH3353" s="501"/>
      <c r="BI3353" s="501"/>
      <c r="BJ3353" s="501"/>
      <c r="BK3353" s="501"/>
      <c r="BL3353" s="501"/>
      <c r="BM3353" s="501"/>
      <c r="BN3353" s="501"/>
      <c r="BO3353" s="501"/>
      <c r="BP3353" s="501"/>
      <c r="BQ3353" s="501"/>
      <c r="BR3353" s="501"/>
      <c r="BS3353" s="501"/>
      <c r="BT3353" s="501"/>
      <c r="BU3353" s="501"/>
      <c r="BV3353" s="501"/>
      <c r="BW3353" s="501"/>
      <c r="BX3353" s="501"/>
      <c r="BY3353" s="501"/>
      <c r="BZ3353" s="501"/>
      <c r="CA3353" s="501"/>
      <c r="CB3353" s="501"/>
      <c r="CC3353" s="501"/>
      <c r="CD3353" s="501"/>
      <c r="CE3353" s="501"/>
      <c r="CF3353" s="501"/>
      <c r="CG3353" s="501"/>
      <c r="CH3353" s="501"/>
      <c r="CI3353" s="501"/>
      <c r="CJ3353" s="501"/>
      <c r="CK3353" s="501"/>
      <c r="CL3353" s="501"/>
      <c r="CM3353" s="501"/>
      <c r="CN3353" s="501"/>
      <c r="CO3353" s="501"/>
      <c r="CP3353" s="501"/>
      <c r="CQ3353" s="501"/>
      <c r="CR3353" s="501"/>
      <c r="CS3353" s="501"/>
      <c r="CT3353" s="501"/>
      <c r="CU3353" s="501"/>
      <c r="CV3353" s="501"/>
      <c r="CW3353" s="501"/>
      <c r="CX3353" s="501"/>
      <c r="CY3353" s="501"/>
      <c r="CZ3353" s="501"/>
      <c r="DA3353" s="501"/>
      <c r="DB3353" s="501"/>
      <c r="DC3353" s="501"/>
      <c r="DD3353" s="501"/>
      <c r="DE3353" s="501"/>
      <c r="DF3353" s="501"/>
      <c r="DG3353" s="501"/>
      <c r="DH3353" s="501"/>
      <c r="DI3353" s="501"/>
      <c r="DJ3353" s="501"/>
      <c r="DK3353" s="501"/>
      <c r="DL3353" s="501"/>
      <c r="DM3353" s="501"/>
      <c r="DN3353" s="501"/>
      <c r="DO3353" s="501"/>
      <c r="DP3353" s="501"/>
      <c r="DQ3353" s="501"/>
      <c r="DR3353" s="501"/>
      <c r="DS3353" s="501"/>
      <c r="DT3353" s="501"/>
      <c r="DU3353" s="501"/>
      <c r="DV3353" s="501"/>
      <c r="DW3353" s="501"/>
      <c r="DX3353" s="501"/>
      <c r="DY3353" s="501"/>
      <c r="DZ3353" s="501"/>
      <c r="EA3353" s="501"/>
      <c r="EB3353" s="501"/>
      <c r="EC3353" s="501"/>
      <c r="ED3353" s="501"/>
      <c r="EE3353" s="501"/>
      <c r="EF3353" s="501"/>
      <c r="EG3353" s="501"/>
      <c r="EH3353" s="501"/>
      <c r="EI3353" s="501"/>
      <c r="EJ3353" s="501"/>
      <c r="EK3353" s="501"/>
      <c r="EL3353" s="501"/>
      <c r="EM3353" s="501"/>
      <c r="EN3353" s="501"/>
      <c r="EO3353" s="501"/>
      <c r="EP3353" s="501"/>
      <c r="EQ3353" s="501"/>
      <c r="ER3353" s="501"/>
      <c r="ES3353" s="501"/>
      <c r="ET3353" s="501"/>
      <c r="EU3353" s="501"/>
      <c r="EV3353" s="501"/>
      <c r="EW3353" s="501"/>
      <c r="EX3353" s="501"/>
      <c r="EY3353" s="501"/>
      <c r="EZ3353" s="501"/>
      <c r="FA3353" s="501"/>
      <c r="FB3353" s="501"/>
      <c r="FC3353" s="501"/>
      <c r="FD3353" s="501"/>
      <c r="FE3353" s="501"/>
      <c r="FF3353" s="501"/>
      <c r="FG3353" s="501"/>
      <c r="FH3353" s="501"/>
      <c r="FI3353" s="501"/>
      <c r="FJ3353" s="501"/>
      <c r="FK3353" s="501"/>
      <c r="FL3353" s="501"/>
      <c r="FM3353" s="501"/>
      <c r="FN3353" s="501"/>
      <c r="FO3353" s="501"/>
      <c r="FP3353" s="501"/>
      <c r="FQ3353" s="501"/>
      <c r="FR3353" s="501"/>
      <c r="FS3353" s="501"/>
      <c r="FT3353" s="501"/>
      <c r="FU3353" s="501"/>
      <c r="FV3353" s="501"/>
      <c r="FW3353" s="501"/>
      <c r="FX3353" s="501"/>
      <c r="FY3353" s="501"/>
      <c r="FZ3353" s="501"/>
      <c r="GA3353" s="501"/>
      <c r="GB3353" s="501"/>
      <c r="GC3353" s="501"/>
      <c r="GD3353" s="501"/>
      <c r="GE3353" s="501"/>
      <c r="GF3353" s="501"/>
      <c r="GG3353" s="501"/>
      <c r="GH3353" s="501"/>
      <c r="GI3353" s="501"/>
      <c r="GJ3353" s="501"/>
      <c r="GK3353" s="501"/>
      <c r="GL3353" s="501"/>
      <c r="GM3353" s="501"/>
      <c r="GN3353" s="501"/>
      <c r="GO3353" s="501"/>
      <c r="GP3353" s="501"/>
      <c r="GQ3353" s="501"/>
      <c r="GR3353" s="501"/>
      <c r="GS3353" s="501"/>
      <c r="GT3353" s="501"/>
      <c r="GU3353" s="501"/>
      <c r="GV3353" s="501"/>
      <c r="GW3353" s="501"/>
      <c r="GX3353" s="501"/>
      <c r="GY3353" s="501"/>
      <c r="GZ3353" s="501"/>
      <c r="HA3353" s="501"/>
      <c r="HB3353" s="501"/>
      <c r="HC3353" s="501"/>
      <c r="HD3353" s="501"/>
      <c r="HE3353" s="501"/>
      <c r="HF3353" s="501"/>
      <c r="HG3353" s="501"/>
      <c r="HH3353" s="501"/>
      <c r="HI3353" s="501"/>
      <c r="HJ3353" s="501"/>
      <c r="HK3353" s="501"/>
      <c r="HL3353" s="501"/>
      <c r="HM3353" s="501"/>
      <c r="HN3353" s="501"/>
      <c r="HO3353" s="501"/>
      <c r="HP3353" s="501"/>
      <c r="HQ3353" s="501"/>
      <c r="HR3353" s="501"/>
      <c r="HS3353" s="501"/>
      <c r="HT3353" s="501"/>
      <c r="HU3353" s="501"/>
      <c r="HV3353" s="501"/>
      <c r="HW3353" s="501"/>
      <c r="HX3353" s="501"/>
      <c r="HY3353" s="501"/>
      <c r="HZ3353" s="501"/>
      <c r="IA3353" s="501"/>
      <c r="IB3353" s="501"/>
      <c r="IC3353" s="501"/>
      <c r="ID3353" s="501"/>
      <c r="IE3353" s="501"/>
      <c r="IF3353" s="501"/>
      <c r="IG3353" s="501"/>
      <c r="IH3353" s="501"/>
      <c r="II3353" s="501"/>
      <c r="IJ3353" s="501"/>
      <c r="IK3353" s="501"/>
      <c r="IL3353" s="501"/>
      <c r="IM3353" s="501"/>
      <c r="IN3353" s="501"/>
      <c r="IO3353" s="501"/>
      <c r="IP3353" s="501"/>
      <c r="IQ3353" s="501"/>
      <c r="IR3353" s="501"/>
      <c r="IS3353" s="501"/>
      <c r="IT3353" s="501"/>
      <c r="IU3353" s="501"/>
    </row>
    <row r="3354" spans="1:255" s="877" customFormat="1" ht="24" customHeight="1">
      <c r="A3354" s="501"/>
      <c r="B3354" s="501"/>
      <c r="C3354" s="501"/>
      <c r="D3354" s="501"/>
      <c r="E3354" s="501"/>
      <c r="F3354" s="501"/>
      <c r="G3354" s="915"/>
      <c r="H3354" s="501"/>
      <c r="I3354" s="874"/>
      <c r="J3354" s="501"/>
      <c r="K3354" s="501"/>
      <c r="L3354" s="874"/>
      <c r="M3354" s="554"/>
      <c r="N3354" s="501"/>
      <c r="O3354" s="1157"/>
      <c r="P3354" s="1152"/>
      <c r="Q3354" s="973"/>
      <c r="R3354" s="968"/>
      <c r="S3354" s="974"/>
      <c r="T3354" s="968"/>
      <c r="V3354" s="501"/>
      <c r="W3354" s="501"/>
      <c r="X3354" s="501"/>
      <c r="Y3354" s="501"/>
      <c r="Z3354" s="501"/>
      <c r="AA3354" s="501"/>
      <c r="AB3354" s="501"/>
      <c r="AC3354" s="501"/>
      <c r="AD3354" s="501"/>
      <c r="AE3354" s="501"/>
      <c r="AF3354" s="501"/>
      <c r="AG3354" s="501"/>
      <c r="AH3354" s="501"/>
      <c r="AI3354" s="501"/>
      <c r="AJ3354" s="501"/>
      <c r="AK3354" s="501"/>
      <c r="AL3354" s="501"/>
      <c r="AM3354" s="501"/>
      <c r="AN3354" s="501"/>
      <c r="AO3354" s="501"/>
      <c r="AP3354" s="501"/>
      <c r="AQ3354" s="501"/>
      <c r="AR3354" s="501"/>
      <c r="AS3354" s="501"/>
      <c r="AT3354" s="501"/>
      <c r="AU3354" s="501"/>
      <c r="AV3354" s="501"/>
      <c r="AW3354" s="501"/>
      <c r="AX3354" s="501"/>
      <c r="AY3354" s="501"/>
      <c r="AZ3354" s="501"/>
      <c r="BA3354" s="501"/>
      <c r="BB3354" s="501"/>
      <c r="BC3354" s="501"/>
      <c r="BD3354" s="501"/>
      <c r="BE3354" s="501"/>
      <c r="BF3354" s="501"/>
      <c r="BG3354" s="501"/>
      <c r="BH3354" s="501"/>
      <c r="BI3354" s="501"/>
      <c r="BJ3354" s="501"/>
      <c r="BK3354" s="501"/>
      <c r="BL3354" s="501"/>
      <c r="BM3354" s="501"/>
      <c r="BN3354" s="501"/>
      <c r="BO3354" s="501"/>
      <c r="BP3354" s="501"/>
      <c r="BQ3354" s="501"/>
      <c r="BR3354" s="501"/>
      <c r="BS3354" s="501"/>
      <c r="BT3354" s="501"/>
      <c r="BU3354" s="501"/>
      <c r="BV3354" s="501"/>
      <c r="BW3354" s="501"/>
      <c r="BX3354" s="501"/>
      <c r="BY3354" s="501"/>
      <c r="BZ3354" s="501"/>
      <c r="CA3354" s="501"/>
      <c r="CB3354" s="501"/>
      <c r="CC3354" s="501"/>
      <c r="CD3354" s="501"/>
      <c r="CE3354" s="501"/>
      <c r="CF3354" s="501"/>
      <c r="CG3354" s="501"/>
      <c r="CH3354" s="501"/>
      <c r="CI3354" s="501"/>
      <c r="CJ3354" s="501"/>
      <c r="CK3354" s="501"/>
      <c r="CL3354" s="501"/>
      <c r="CM3354" s="501"/>
      <c r="CN3354" s="501"/>
      <c r="CO3354" s="501"/>
      <c r="CP3354" s="501"/>
      <c r="CQ3354" s="501"/>
      <c r="CR3354" s="501"/>
      <c r="CS3354" s="501"/>
      <c r="CT3354" s="501"/>
      <c r="CU3354" s="501"/>
      <c r="CV3354" s="501"/>
      <c r="CW3354" s="501"/>
      <c r="CX3354" s="501"/>
      <c r="CY3354" s="501"/>
      <c r="CZ3354" s="501"/>
      <c r="DA3354" s="501"/>
      <c r="DB3354" s="501"/>
      <c r="DC3354" s="501"/>
      <c r="DD3354" s="501"/>
      <c r="DE3354" s="501"/>
      <c r="DF3354" s="501"/>
      <c r="DG3354" s="501"/>
      <c r="DH3354" s="501"/>
      <c r="DI3354" s="501"/>
      <c r="DJ3354" s="501"/>
      <c r="DK3354" s="501"/>
      <c r="DL3354" s="501"/>
      <c r="DM3354" s="501"/>
      <c r="DN3354" s="501"/>
      <c r="DO3354" s="501"/>
      <c r="DP3354" s="501"/>
      <c r="DQ3354" s="501"/>
      <c r="DR3354" s="501"/>
      <c r="DS3354" s="501"/>
      <c r="DT3354" s="501"/>
      <c r="DU3354" s="501"/>
      <c r="DV3354" s="501"/>
      <c r="DW3354" s="501"/>
      <c r="DX3354" s="501"/>
      <c r="DY3354" s="501"/>
      <c r="DZ3354" s="501"/>
      <c r="EA3354" s="501"/>
      <c r="EB3354" s="501"/>
      <c r="EC3354" s="501"/>
      <c r="ED3354" s="501"/>
      <c r="EE3354" s="501"/>
      <c r="EF3354" s="501"/>
      <c r="EG3354" s="501"/>
      <c r="EH3354" s="501"/>
      <c r="EI3354" s="501"/>
      <c r="EJ3354" s="501"/>
      <c r="EK3354" s="501"/>
      <c r="EL3354" s="501"/>
      <c r="EM3354" s="501"/>
      <c r="EN3354" s="501"/>
      <c r="EO3354" s="501"/>
      <c r="EP3354" s="501"/>
      <c r="EQ3354" s="501"/>
      <c r="ER3354" s="501"/>
      <c r="ES3354" s="501"/>
      <c r="ET3354" s="501"/>
      <c r="EU3354" s="501"/>
      <c r="EV3354" s="501"/>
      <c r="EW3354" s="501"/>
      <c r="EX3354" s="501"/>
      <c r="EY3354" s="501"/>
      <c r="EZ3354" s="501"/>
      <c r="FA3354" s="501"/>
      <c r="FB3354" s="501"/>
      <c r="FC3354" s="501"/>
      <c r="FD3354" s="501"/>
      <c r="FE3354" s="501"/>
      <c r="FF3354" s="501"/>
      <c r="FG3354" s="501"/>
      <c r="FH3354" s="501"/>
      <c r="FI3354" s="501"/>
      <c r="FJ3354" s="501"/>
      <c r="FK3354" s="501"/>
      <c r="FL3354" s="501"/>
      <c r="FM3354" s="501"/>
      <c r="FN3354" s="501"/>
      <c r="FO3354" s="501"/>
      <c r="FP3354" s="501"/>
      <c r="FQ3354" s="501"/>
      <c r="FR3354" s="501"/>
      <c r="FS3354" s="501"/>
      <c r="FT3354" s="501"/>
      <c r="FU3354" s="501"/>
      <c r="FV3354" s="501"/>
      <c r="FW3354" s="501"/>
      <c r="FX3354" s="501"/>
      <c r="FY3354" s="501"/>
      <c r="FZ3354" s="501"/>
      <c r="GA3354" s="501"/>
      <c r="GB3354" s="501"/>
      <c r="GC3354" s="501"/>
      <c r="GD3354" s="501"/>
      <c r="GE3354" s="501"/>
      <c r="GF3354" s="501"/>
      <c r="GG3354" s="501"/>
      <c r="GH3354" s="501"/>
      <c r="GI3354" s="501"/>
      <c r="GJ3354" s="501"/>
      <c r="GK3354" s="501"/>
      <c r="GL3354" s="501"/>
      <c r="GM3354" s="501"/>
      <c r="GN3354" s="501"/>
      <c r="GO3354" s="501"/>
      <c r="GP3354" s="501"/>
      <c r="GQ3354" s="501"/>
      <c r="GR3354" s="501"/>
      <c r="GS3354" s="501"/>
      <c r="GT3354" s="501"/>
      <c r="GU3354" s="501"/>
      <c r="GV3354" s="501"/>
      <c r="GW3354" s="501"/>
      <c r="GX3354" s="501"/>
      <c r="GY3354" s="501"/>
      <c r="GZ3354" s="501"/>
      <c r="HA3354" s="501"/>
      <c r="HB3354" s="501"/>
      <c r="HC3354" s="501"/>
      <c r="HD3354" s="501"/>
      <c r="HE3354" s="501"/>
      <c r="HF3354" s="501"/>
      <c r="HG3354" s="501"/>
      <c r="HH3354" s="501"/>
      <c r="HI3354" s="501"/>
      <c r="HJ3354" s="501"/>
      <c r="HK3354" s="501"/>
      <c r="HL3354" s="501"/>
      <c r="HM3354" s="501"/>
      <c r="HN3354" s="501"/>
      <c r="HO3354" s="501"/>
      <c r="HP3354" s="501"/>
      <c r="HQ3354" s="501"/>
      <c r="HR3354" s="501"/>
      <c r="HS3354" s="501"/>
      <c r="HT3354" s="501"/>
      <c r="HU3354" s="501"/>
      <c r="HV3354" s="501"/>
      <c r="HW3354" s="501"/>
      <c r="HX3354" s="501"/>
      <c r="HY3354" s="501"/>
      <c r="HZ3354" s="501"/>
      <c r="IA3354" s="501"/>
      <c r="IB3354" s="501"/>
      <c r="IC3354" s="501"/>
      <c r="ID3354" s="501"/>
      <c r="IE3354" s="501"/>
      <c r="IF3354" s="501"/>
      <c r="IG3354" s="501"/>
      <c r="IH3354" s="501"/>
      <c r="II3354" s="501"/>
      <c r="IJ3354" s="501"/>
      <c r="IK3354" s="501"/>
      <c r="IL3354" s="501"/>
      <c r="IM3354" s="501"/>
      <c r="IN3354" s="501"/>
      <c r="IO3354" s="501"/>
      <c r="IP3354" s="501"/>
      <c r="IQ3354" s="501"/>
      <c r="IR3354" s="501"/>
      <c r="IS3354" s="501"/>
      <c r="IT3354" s="501"/>
      <c r="IU3354" s="501"/>
    </row>
    <row r="3355" spans="1:255" s="877" customFormat="1" ht="24" customHeight="1">
      <c r="A3355" s="501"/>
      <c r="B3355" s="501"/>
      <c r="C3355" s="501"/>
      <c r="D3355" s="501"/>
      <c r="E3355" s="501"/>
      <c r="F3355" s="501"/>
      <c r="G3355" s="915"/>
      <c r="H3355" s="501"/>
      <c r="I3355" s="874"/>
      <c r="J3355" s="501"/>
      <c r="K3355" s="501"/>
      <c r="L3355" s="874"/>
      <c r="M3355" s="554"/>
      <c r="N3355" s="501"/>
      <c r="O3355" s="1157"/>
      <c r="P3355" s="1152"/>
      <c r="Q3355" s="973"/>
      <c r="R3355" s="968"/>
      <c r="S3355" s="974"/>
      <c r="T3355" s="968"/>
      <c r="V3355" s="501"/>
      <c r="W3355" s="501"/>
      <c r="X3355" s="501"/>
      <c r="Y3355" s="501"/>
      <c r="Z3355" s="501"/>
      <c r="AA3355" s="501"/>
      <c r="AB3355" s="501"/>
      <c r="AC3355" s="501"/>
      <c r="AD3355" s="501"/>
      <c r="AE3355" s="501"/>
      <c r="AF3355" s="501"/>
      <c r="AG3355" s="501"/>
      <c r="AH3355" s="501"/>
      <c r="AI3355" s="501"/>
      <c r="AJ3355" s="501"/>
      <c r="AK3355" s="501"/>
      <c r="AL3355" s="501"/>
      <c r="AM3355" s="501"/>
      <c r="AN3355" s="501"/>
      <c r="AO3355" s="501"/>
      <c r="AP3355" s="501"/>
      <c r="AQ3355" s="501"/>
      <c r="AR3355" s="501"/>
      <c r="AS3355" s="501"/>
      <c r="AT3355" s="501"/>
      <c r="AU3355" s="501"/>
      <c r="AV3355" s="501"/>
      <c r="AW3355" s="501"/>
      <c r="AX3355" s="501"/>
      <c r="AY3355" s="501"/>
      <c r="AZ3355" s="501"/>
      <c r="BA3355" s="501"/>
      <c r="BB3355" s="501"/>
      <c r="BC3355" s="501"/>
      <c r="BD3355" s="501"/>
      <c r="BE3355" s="501"/>
      <c r="BF3355" s="501"/>
      <c r="BG3355" s="501"/>
      <c r="BH3355" s="501"/>
      <c r="BI3355" s="501"/>
      <c r="BJ3355" s="501"/>
      <c r="BK3355" s="501"/>
      <c r="BL3355" s="501"/>
      <c r="BM3355" s="501"/>
      <c r="BN3355" s="501"/>
      <c r="BO3355" s="501"/>
      <c r="BP3355" s="501"/>
      <c r="BQ3355" s="501"/>
      <c r="BR3355" s="501"/>
      <c r="BS3355" s="501"/>
      <c r="BT3355" s="501"/>
      <c r="BU3355" s="501"/>
      <c r="BV3355" s="501"/>
      <c r="BW3355" s="501"/>
      <c r="BX3355" s="501"/>
      <c r="BY3355" s="501"/>
      <c r="BZ3355" s="501"/>
      <c r="CA3355" s="501"/>
      <c r="CB3355" s="501"/>
      <c r="CC3355" s="501"/>
      <c r="CD3355" s="501"/>
      <c r="CE3355" s="501"/>
      <c r="CF3355" s="501"/>
      <c r="CG3355" s="501"/>
      <c r="CH3355" s="501"/>
      <c r="CI3355" s="501"/>
      <c r="CJ3355" s="501"/>
      <c r="CK3355" s="501"/>
      <c r="CL3355" s="501"/>
      <c r="CM3355" s="501"/>
      <c r="CN3355" s="501"/>
      <c r="CO3355" s="501"/>
      <c r="CP3355" s="501"/>
      <c r="CQ3355" s="501"/>
      <c r="CR3355" s="501"/>
      <c r="CS3355" s="501"/>
      <c r="CT3355" s="501"/>
      <c r="CU3355" s="501"/>
      <c r="CV3355" s="501"/>
      <c r="CW3355" s="501"/>
      <c r="CX3355" s="501"/>
      <c r="CY3355" s="501"/>
      <c r="CZ3355" s="501"/>
      <c r="DA3355" s="501"/>
      <c r="DB3355" s="501"/>
      <c r="DC3355" s="501"/>
      <c r="DD3355" s="501"/>
      <c r="DE3355" s="501"/>
      <c r="DF3355" s="501"/>
      <c r="DG3355" s="501"/>
      <c r="DH3355" s="501"/>
      <c r="DI3355" s="501"/>
      <c r="DJ3355" s="501"/>
      <c r="DK3355" s="501"/>
      <c r="DL3355" s="501"/>
      <c r="DM3355" s="501"/>
      <c r="DN3355" s="501"/>
      <c r="DO3355" s="501"/>
      <c r="DP3355" s="501"/>
      <c r="DQ3355" s="501"/>
      <c r="DR3355" s="501"/>
      <c r="DS3355" s="501"/>
      <c r="DT3355" s="501"/>
      <c r="DU3355" s="501"/>
      <c r="DV3355" s="501"/>
      <c r="DW3355" s="501"/>
      <c r="DX3355" s="501"/>
      <c r="DY3355" s="501"/>
      <c r="DZ3355" s="501"/>
      <c r="EA3355" s="501"/>
      <c r="EB3355" s="501"/>
      <c r="EC3355" s="501"/>
      <c r="ED3355" s="501"/>
      <c r="EE3355" s="501"/>
      <c r="EF3355" s="501"/>
      <c r="EG3355" s="501"/>
      <c r="EH3355" s="501"/>
      <c r="EI3355" s="501"/>
      <c r="EJ3355" s="501"/>
      <c r="EK3355" s="501"/>
      <c r="EL3355" s="501"/>
      <c r="EM3355" s="501"/>
      <c r="EN3355" s="501"/>
      <c r="EO3355" s="501"/>
      <c r="EP3355" s="501"/>
      <c r="EQ3355" s="501"/>
      <c r="ER3355" s="501"/>
      <c r="ES3355" s="501"/>
      <c r="ET3355" s="501"/>
      <c r="EU3355" s="501"/>
      <c r="EV3355" s="501"/>
      <c r="EW3355" s="501"/>
      <c r="EX3355" s="501"/>
      <c r="EY3355" s="501"/>
      <c r="EZ3355" s="501"/>
      <c r="FA3355" s="501"/>
      <c r="FB3355" s="501"/>
      <c r="FC3355" s="501"/>
      <c r="FD3355" s="501"/>
      <c r="FE3355" s="501"/>
      <c r="FF3355" s="501"/>
      <c r="FG3355" s="501"/>
      <c r="FH3355" s="501"/>
      <c r="FI3355" s="501"/>
      <c r="FJ3355" s="501"/>
      <c r="FK3355" s="501"/>
      <c r="FL3355" s="501"/>
      <c r="FM3355" s="501"/>
      <c r="FN3355" s="501"/>
      <c r="FO3355" s="501"/>
      <c r="FP3355" s="501"/>
      <c r="FQ3355" s="501"/>
      <c r="FR3355" s="501"/>
      <c r="FS3355" s="501"/>
      <c r="FT3355" s="501"/>
      <c r="FU3355" s="501"/>
      <c r="FV3355" s="501"/>
      <c r="FW3355" s="501"/>
      <c r="FX3355" s="501"/>
      <c r="FY3355" s="501"/>
      <c r="FZ3355" s="501"/>
      <c r="GA3355" s="501"/>
      <c r="GB3355" s="501"/>
      <c r="GC3355" s="501"/>
      <c r="GD3355" s="501"/>
      <c r="GE3355" s="501"/>
      <c r="GF3355" s="501"/>
      <c r="GG3355" s="501"/>
      <c r="GH3355" s="501"/>
      <c r="GI3355" s="501"/>
      <c r="GJ3355" s="501"/>
      <c r="GK3355" s="501"/>
      <c r="GL3355" s="501"/>
      <c r="GM3355" s="501"/>
      <c r="GN3355" s="501"/>
      <c r="GO3355" s="501"/>
      <c r="GP3355" s="501"/>
      <c r="GQ3355" s="501"/>
      <c r="GR3355" s="501"/>
      <c r="GS3355" s="501"/>
      <c r="GT3355" s="501"/>
      <c r="GU3355" s="501"/>
      <c r="GV3355" s="501"/>
      <c r="GW3355" s="501"/>
      <c r="GX3355" s="501"/>
      <c r="GY3355" s="501"/>
      <c r="GZ3355" s="501"/>
      <c r="HA3355" s="501"/>
      <c r="HB3355" s="501"/>
      <c r="HC3355" s="501"/>
      <c r="HD3355" s="501"/>
      <c r="HE3355" s="501"/>
      <c r="HF3355" s="501"/>
      <c r="HG3355" s="501"/>
      <c r="HH3355" s="501"/>
      <c r="HI3355" s="501"/>
      <c r="HJ3355" s="501"/>
      <c r="HK3355" s="501"/>
      <c r="HL3355" s="501"/>
      <c r="HM3355" s="501"/>
      <c r="HN3355" s="501"/>
      <c r="HO3355" s="501"/>
      <c r="HP3355" s="501"/>
      <c r="HQ3355" s="501"/>
      <c r="HR3355" s="501"/>
      <c r="HS3355" s="501"/>
      <c r="HT3355" s="501"/>
      <c r="HU3355" s="501"/>
      <c r="HV3355" s="501"/>
      <c r="HW3355" s="501"/>
      <c r="HX3355" s="501"/>
      <c r="HY3355" s="501"/>
      <c r="HZ3355" s="501"/>
      <c r="IA3355" s="501"/>
      <c r="IB3355" s="501"/>
      <c r="IC3355" s="501"/>
      <c r="ID3355" s="501"/>
      <c r="IE3355" s="501"/>
      <c r="IF3355" s="501"/>
      <c r="IG3355" s="501"/>
      <c r="IH3355" s="501"/>
      <c r="II3355" s="501"/>
      <c r="IJ3355" s="501"/>
      <c r="IK3355" s="501"/>
      <c r="IL3355" s="501"/>
      <c r="IM3355" s="501"/>
      <c r="IN3355" s="501"/>
      <c r="IO3355" s="501"/>
      <c r="IP3355" s="501"/>
      <c r="IQ3355" s="501"/>
      <c r="IR3355" s="501"/>
      <c r="IS3355" s="501"/>
      <c r="IT3355" s="501"/>
      <c r="IU3355" s="501"/>
    </row>
    <row r="3356" spans="1:255" s="877" customFormat="1" ht="24" customHeight="1">
      <c r="A3356" s="501"/>
      <c r="B3356" s="501"/>
      <c r="C3356" s="501"/>
      <c r="D3356" s="501"/>
      <c r="E3356" s="501"/>
      <c r="F3356" s="501"/>
      <c r="G3356" s="915"/>
      <c r="H3356" s="501"/>
      <c r="I3356" s="874"/>
      <c r="J3356" s="501"/>
      <c r="K3356" s="501"/>
      <c r="L3356" s="874"/>
      <c r="M3356" s="554"/>
      <c r="N3356" s="501"/>
      <c r="O3356" s="1157"/>
      <c r="P3356" s="1152"/>
      <c r="Q3356" s="876"/>
      <c r="R3356" s="968"/>
      <c r="S3356" s="974"/>
      <c r="T3356" s="968"/>
      <c r="V3356" s="501"/>
      <c r="W3356" s="501"/>
      <c r="X3356" s="501"/>
      <c r="Y3356" s="501"/>
      <c r="Z3356" s="501"/>
      <c r="AA3356" s="501"/>
      <c r="AB3356" s="501"/>
      <c r="AC3356" s="501"/>
      <c r="AD3356" s="501"/>
      <c r="AE3356" s="501"/>
      <c r="AF3356" s="501"/>
      <c r="AG3356" s="501"/>
      <c r="AH3356" s="501"/>
      <c r="AI3356" s="501"/>
      <c r="AJ3356" s="501"/>
      <c r="AK3356" s="501"/>
      <c r="AL3356" s="501"/>
      <c r="AM3356" s="501"/>
      <c r="AN3356" s="501"/>
      <c r="AO3356" s="501"/>
      <c r="AP3356" s="501"/>
      <c r="AQ3356" s="501"/>
      <c r="AR3356" s="501"/>
      <c r="AS3356" s="501"/>
      <c r="AT3356" s="501"/>
      <c r="AU3356" s="501"/>
      <c r="AV3356" s="501"/>
      <c r="AW3356" s="501"/>
      <c r="AX3356" s="501"/>
      <c r="AY3356" s="501"/>
      <c r="AZ3356" s="501"/>
      <c r="BA3356" s="501"/>
      <c r="BB3356" s="501"/>
      <c r="BC3356" s="501"/>
      <c r="BD3356" s="501"/>
      <c r="BE3356" s="501"/>
      <c r="BF3356" s="501"/>
      <c r="BG3356" s="501"/>
      <c r="BH3356" s="501"/>
      <c r="BI3356" s="501"/>
      <c r="BJ3356" s="501"/>
      <c r="BK3356" s="501"/>
      <c r="BL3356" s="501"/>
      <c r="BM3356" s="501"/>
      <c r="BN3356" s="501"/>
      <c r="BO3356" s="501"/>
      <c r="BP3356" s="501"/>
      <c r="BQ3356" s="501"/>
      <c r="BR3356" s="501"/>
      <c r="BS3356" s="501"/>
      <c r="BT3356" s="501"/>
      <c r="BU3356" s="501"/>
      <c r="BV3356" s="501"/>
      <c r="BW3356" s="501"/>
      <c r="BX3356" s="501"/>
      <c r="BY3356" s="501"/>
      <c r="BZ3356" s="501"/>
      <c r="CA3356" s="501"/>
      <c r="CB3356" s="501"/>
      <c r="CC3356" s="501"/>
      <c r="CD3356" s="501"/>
      <c r="CE3356" s="501"/>
      <c r="CF3356" s="501"/>
      <c r="CG3356" s="501"/>
      <c r="CH3356" s="501"/>
      <c r="CI3356" s="501"/>
      <c r="CJ3356" s="501"/>
      <c r="CK3356" s="501"/>
      <c r="CL3356" s="501"/>
      <c r="CM3356" s="501"/>
      <c r="CN3356" s="501"/>
      <c r="CO3356" s="501"/>
      <c r="CP3356" s="501"/>
      <c r="CQ3356" s="501"/>
      <c r="CR3356" s="501"/>
      <c r="CS3356" s="501"/>
      <c r="CT3356" s="501"/>
      <c r="CU3356" s="501"/>
      <c r="CV3356" s="501"/>
      <c r="CW3356" s="501"/>
      <c r="CX3356" s="501"/>
      <c r="CY3356" s="501"/>
      <c r="CZ3356" s="501"/>
      <c r="DA3356" s="501"/>
      <c r="DB3356" s="501"/>
      <c r="DC3356" s="501"/>
      <c r="DD3356" s="501"/>
      <c r="DE3356" s="501"/>
      <c r="DF3356" s="501"/>
      <c r="DG3356" s="501"/>
      <c r="DH3356" s="501"/>
      <c r="DI3356" s="501"/>
      <c r="DJ3356" s="501"/>
      <c r="DK3356" s="501"/>
      <c r="DL3356" s="501"/>
      <c r="DM3356" s="501"/>
      <c r="DN3356" s="501"/>
      <c r="DO3356" s="501"/>
      <c r="DP3356" s="501"/>
      <c r="DQ3356" s="501"/>
      <c r="DR3356" s="501"/>
      <c r="DS3356" s="501"/>
      <c r="DT3356" s="501"/>
      <c r="DU3356" s="501"/>
      <c r="DV3356" s="501"/>
      <c r="DW3356" s="501"/>
      <c r="DX3356" s="501"/>
      <c r="DY3356" s="501"/>
      <c r="DZ3356" s="501"/>
      <c r="EA3356" s="501"/>
      <c r="EB3356" s="501"/>
      <c r="EC3356" s="501"/>
      <c r="ED3356" s="501"/>
      <c r="EE3356" s="501"/>
      <c r="EF3356" s="501"/>
      <c r="EG3356" s="501"/>
      <c r="EH3356" s="501"/>
      <c r="EI3356" s="501"/>
      <c r="EJ3356" s="501"/>
      <c r="EK3356" s="501"/>
      <c r="EL3356" s="501"/>
      <c r="EM3356" s="501"/>
      <c r="EN3356" s="501"/>
      <c r="EO3356" s="501"/>
      <c r="EP3356" s="501"/>
      <c r="EQ3356" s="501"/>
      <c r="ER3356" s="501"/>
      <c r="ES3356" s="501"/>
      <c r="ET3356" s="501"/>
      <c r="EU3356" s="501"/>
      <c r="EV3356" s="501"/>
      <c r="EW3356" s="501"/>
      <c r="EX3356" s="501"/>
      <c r="EY3356" s="501"/>
      <c r="EZ3356" s="501"/>
      <c r="FA3356" s="501"/>
      <c r="FB3356" s="501"/>
      <c r="FC3356" s="501"/>
      <c r="FD3356" s="501"/>
      <c r="FE3356" s="501"/>
      <c r="FF3356" s="501"/>
      <c r="FG3356" s="501"/>
      <c r="FH3356" s="501"/>
      <c r="FI3356" s="501"/>
      <c r="FJ3356" s="501"/>
      <c r="FK3356" s="501"/>
      <c r="FL3356" s="501"/>
      <c r="FM3356" s="501"/>
      <c r="FN3356" s="501"/>
      <c r="FO3356" s="501"/>
      <c r="FP3356" s="501"/>
      <c r="FQ3356" s="501"/>
      <c r="FR3356" s="501"/>
      <c r="FS3356" s="501"/>
      <c r="FT3356" s="501"/>
      <c r="FU3356" s="501"/>
      <c r="FV3356" s="501"/>
      <c r="FW3356" s="501"/>
      <c r="FX3356" s="501"/>
      <c r="FY3356" s="501"/>
      <c r="FZ3356" s="501"/>
      <c r="GA3356" s="501"/>
      <c r="GB3356" s="501"/>
      <c r="GC3356" s="501"/>
      <c r="GD3356" s="501"/>
      <c r="GE3356" s="501"/>
      <c r="GF3356" s="501"/>
      <c r="GG3356" s="501"/>
      <c r="GH3356" s="501"/>
      <c r="GI3356" s="501"/>
      <c r="GJ3356" s="501"/>
      <c r="GK3356" s="501"/>
      <c r="GL3356" s="501"/>
      <c r="GM3356" s="501"/>
      <c r="GN3356" s="501"/>
      <c r="GO3356" s="501"/>
      <c r="GP3356" s="501"/>
      <c r="GQ3356" s="501"/>
      <c r="GR3356" s="501"/>
      <c r="GS3356" s="501"/>
      <c r="GT3356" s="501"/>
      <c r="GU3356" s="501"/>
      <c r="GV3356" s="501"/>
      <c r="GW3356" s="501"/>
      <c r="GX3356" s="501"/>
      <c r="GY3356" s="501"/>
      <c r="GZ3356" s="501"/>
      <c r="HA3356" s="501"/>
      <c r="HB3356" s="501"/>
      <c r="HC3356" s="501"/>
      <c r="HD3356" s="501"/>
      <c r="HE3356" s="501"/>
      <c r="HF3356" s="501"/>
      <c r="HG3356" s="501"/>
      <c r="HH3356" s="501"/>
      <c r="HI3356" s="501"/>
      <c r="HJ3356" s="501"/>
      <c r="HK3356" s="501"/>
      <c r="HL3356" s="501"/>
      <c r="HM3356" s="501"/>
      <c r="HN3356" s="501"/>
      <c r="HO3356" s="501"/>
      <c r="HP3356" s="501"/>
      <c r="HQ3356" s="501"/>
      <c r="HR3356" s="501"/>
      <c r="HS3356" s="501"/>
      <c r="HT3356" s="501"/>
      <c r="HU3356" s="501"/>
      <c r="HV3356" s="501"/>
      <c r="HW3356" s="501"/>
      <c r="HX3356" s="501"/>
      <c r="HY3356" s="501"/>
      <c r="HZ3356" s="501"/>
      <c r="IA3356" s="501"/>
      <c r="IB3356" s="501"/>
      <c r="IC3356" s="501"/>
      <c r="ID3356" s="501"/>
      <c r="IE3356" s="501"/>
      <c r="IF3356" s="501"/>
      <c r="IG3356" s="501"/>
      <c r="IH3356" s="501"/>
      <c r="II3356" s="501"/>
      <c r="IJ3356" s="501"/>
      <c r="IK3356" s="501"/>
      <c r="IL3356" s="501"/>
      <c r="IM3356" s="501"/>
      <c r="IN3356" s="501"/>
      <c r="IO3356" s="501"/>
      <c r="IP3356" s="501"/>
      <c r="IQ3356" s="501"/>
      <c r="IR3356" s="501"/>
      <c r="IS3356" s="501"/>
      <c r="IT3356" s="501"/>
      <c r="IU3356" s="501"/>
    </row>
    <row r="3357" spans="1:255" s="877" customFormat="1" ht="24" customHeight="1">
      <c r="A3357" s="501"/>
      <c r="B3357" s="501"/>
      <c r="C3357" s="501"/>
      <c r="D3357" s="501"/>
      <c r="E3357" s="501"/>
      <c r="F3357" s="501"/>
      <c r="G3357" s="915"/>
      <c r="H3357" s="501"/>
      <c r="I3357" s="874"/>
      <c r="J3357" s="501"/>
      <c r="K3357" s="501"/>
      <c r="L3357" s="874"/>
      <c r="M3357" s="554"/>
      <c r="N3357" s="501"/>
      <c r="O3357" s="1159"/>
      <c r="P3357" s="1152"/>
      <c r="Q3357" s="973"/>
      <c r="R3357" s="968"/>
      <c r="S3357" s="974"/>
      <c r="T3357" s="968"/>
      <c r="V3357" s="501"/>
      <c r="W3357" s="501"/>
      <c r="X3357" s="501"/>
      <c r="Y3357" s="501"/>
      <c r="Z3357" s="501"/>
      <c r="AA3357" s="501"/>
      <c r="AB3357" s="501"/>
      <c r="AC3357" s="501"/>
      <c r="AD3357" s="501"/>
      <c r="AE3357" s="501"/>
      <c r="AF3357" s="501"/>
      <c r="AG3357" s="501"/>
      <c r="AH3357" s="501"/>
      <c r="AI3357" s="501"/>
      <c r="AJ3357" s="501"/>
      <c r="AK3357" s="501"/>
      <c r="AL3357" s="501"/>
      <c r="AM3357" s="501"/>
      <c r="AN3357" s="501"/>
      <c r="AO3357" s="501"/>
      <c r="AP3357" s="501"/>
      <c r="AQ3357" s="501"/>
      <c r="AR3357" s="501"/>
      <c r="AS3357" s="501"/>
      <c r="AT3357" s="501"/>
      <c r="AU3357" s="501"/>
      <c r="AV3357" s="501"/>
      <c r="AW3357" s="501"/>
      <c r="AX3357" s="501"/>
      <c r="AY3357" s="501"/>
      <c r="AZ3357" s="501"/>
      <c r="BA3357" s="501"/>
      <c r="BB3357" s="501"/>
      <c r="BC3357" s="501"/>
      <c r="BD3357" s="501"/>
      <c r="BE3357" s="501"/>
      <c r="BF3357" s="501"/>
      <c r="BG3357" s="501"/>
      <c r="BH3357" s="501"/>
      <c r="BI3357" s="501"/>
      <c r="BJ3357" s="501"/>
      <c r="BK3357" s="501"/>
      <c r="BL3357" s="501"/>
      <c r="BM3357" s="501"/>
      <c r="BN3357" s="501"/>
      <c r="BO3357" s="501"/>
      <c r="BP3357" s="501"/>
      <c r="BQ3357" s="501"/>
      <c r="BR3357" s="501"/>
      <c r="BS3357" s="501"/>
      <c r="BT3357" s="501"/>
      <c r="BU3357" s="501"/>
      <c r="BV3357" s="501"/>
      <c r="BW3357" s="501"/>
      <c r="BX3357" s="501"/>
      <c r="BY3357" s="501"/>
      <c r="BZ3357" s="501"/>
      <c r="CA3357" s="501"/>
      <c r="CB3357" s="501"/>
      <c r="CC3357" s="501"/>
      <c r="CD3357" s="501"/>
      <c r="CE3357" s="501"/>
      <c r="CF3357" s="501"/>
      <c r="CG3357" s="501"/>
      <c r="CH3357" s="501"/>
      <c r="CI3357" s="501"/>
      <c r="CJ3357" s="501"/>
      <c r="CK3357" s="501"/>
      <c r="CL3357" s="501"/>
      <c r="CM3357" s="501"/>
      <c r="CN3357" s="501"/>
      <c r="CO3357" s="501"/>
      <c r="CP3357" s="501"/>
      <c r="CQ3357" s="501"/>
      <c r="CR3357" s="501"/>
      <c r="CS3357" s="501"/>
      <c r="CT3357" s="501"/>
      <c r="CU3357" s="501"/>
      <c r="CV3357" s="501"/>
      <c r="CW3357" s="501"/>
      <c r="CX3357" s="501"/>
      <c r="CY3357" s="501"/>
      <c r="CZ3357" s="501"/>
      <c r="DA3357" s="501"/>
      <c r="DB3357" s="501"/>
      <c r="DC3357" s="501"/>
      <c r="DD3357" s="501"/>
      <c r="DE3357" s="501"/>
      <c r="DF3357" s="501"/>
      <c r="DG3357" s="501"/>
      <c r="DH3357" s="501"/>
      <c r="DI3357" s="501"/>
      <c r="DJ3357" s="501"/>
      <c r="DK3357" s="501"/>
      <c r="DL3357" s="501"/>
      <c r="DM3357" s="501"/>
      <c r="DN3357" s="501"/>
      <c r="DO3357" s="501"/>
      <c r="DP3357" s="501"/>
      <c r="DQ3357" s="501"/>
      <c r="DR3357" s="501"/>
      <c r="DS3357" s="501"/>
      <c r="DT3357" s="501"/>
      <c r="DU3357" s="501"/>
      <c r="DV3357" s="501"/>
      <c r="DW3357" s="501"/>
      <c r="DX3357" s="501"/>
      <c r="DY3357" s="501"/>
      <c r="DZ3357" s="501"/>
      <c r="EA3357" s="501"/>
      <c r="EB3357" s="501"/>
      <c r="EC3357" s="501"/>
      <c r="ED3357" s="501"/>
      <c r="EE3357" s="501"/>
      <c r="EF3357" s="501"/>
      <c r="EG3357" s="501"/>
      <c r="EH3357" s="501"/>
      <c r="EI3357" s="501"/>
      <c r="EJ3357" s="501"/>
      <c r="EK3357" s="501"/>
      <c r="EL3357" s="501"/>
      <c r="EM3357" s="501"/>
      <c r="EN3357" s="501"/>
      <c r="EO3357" s="501"/>
      <c r="EP3357" s="501"/>
      <c r="EQ3357" s="501"/>
      <c r="ER3357" s="501"/>
      <c r="ES3357" s="501"/>
      <c r="ET3357" s="501"/>
      <c r="EU3357" s="501"/>
      <c r="EV3357" s="501"/>
      <c r="EW3357" s="501"/>
      <c r="EX3357" s="501"/>
      <c r="EY3357" s="501"/>
      <c r="EZ3357" s="501"/>
      <c r="FA3357" s="501"/>
      <c r="FB3357" s="501"/>
      <c r="FC3357" s="501"/>
      <c r="FD3357" s="501"/>
      <c r="FE3357" s="501"/>
      <c r="FF3357" s="501"/>
      <c r="FG3357" s="501"/>
      <c r="FH3357" s="501"/>
      <c r="FI3357" s="501"/>
      <c r="FJ3357" s="501"/>
      <c r="FK3357" s="501"/>
      <c r="FL3357" s="501"/>
      <c r="FM3357" s="501"/>
      <c r="FN3357" s="501"/>
      <c r="FO3357" s="501"/>
      <c r="FP3357" s="501"/>
      <c r="FQ3357" s="501"/>
      <c r="FR3357" s="501"/>
      <c r="FS3357" s="501"/>
      <c r="FT3357" s="501"/>
      <c r="FU3357" s="501"/>
      <c r="FV3357" s="501"/>
      <c r="FW3357" s="501"/>
      <c r="FX3357" s="501"/>
      <c r="FY3357" s="501"/>
      <c r="FZ3357" s="501"/>
      <c r="GA3357" s="501"/>
      <c r="GB3357" s="501"/>
      <c r="GC3357" s="501"/>
      <c r="GD3357" s="501"/>
      <c r="GE3357" s="501"/>
      <c r="GF3357" s="501"/>
      <c r="GG3357" s="501"/>
      <c r="GH3357" s="501"/>
      <c r="GI3357" s="501"/>
      <c r="GJ3357" s="501"/>
      <c r="GK3357" s="501"/>
      <c r="GL3357" s="501"/>
      <c r="GM3357" s="501"/>
      <c r="GN3357" s="501"/>
      <c r="GO3357" s="501"/>
      <c r="GP3357" s="501"/>
      <c r="GQ3357" s="501"/>
      <c r="GR3357" s="501"/>
      <c r="GS3357" s="501"/>
      <c r="GT3357" s="501"/>
      <c r="GU3357" s="501"/>
      <c r="GV3357" s="501"/>
      <c r="GW3357" s="501"/>
      <c r="GX3357" s="501"/>
      <c r="GY3357" s="501"/>
      <c r="GZ3357" s="501"/>
      <c r="HA3357" s="501"/>
      <c r="HB3357" s="501"/>
      <c r="HC3357" s="501"/>
      <c r="HD3357" s="501"/>
      <c r="HE3357" s="501"/>
      <c r="HF3357" s="501"/>
      <c r="HG3357" s="501"/>
      <c r="HH3357" s="501"/>
      <c r="HI3357" s="501"/>
      <c r="HJ3357" s="501"/>
      <c r="HK3357" s="501"/>
      <c r="HL3357" s="501"/>
      <c r="HM3357" s="501"/>
      <c r="HN3357" s="501"/>
      <c r="HO3357" s="501"/>
      <c r="HP3357" s="501"/>
      <c r="HQ3357" s="501"/>
      <c r="HR3357" s="501"/>
      <c r="HS3357" s="501"/>
      <c r="HT3357" s="501"/>
      <c r="HU3357" s="501"/>
      <c r="HV3357" s="501"/>
      <c r="HW3357" s="501"/>
      <c r="HX3357" s="501"/>
      <c r="HY3357" s="501"/>
      <c r="HZ3357" s="501"/>
      <c r="IA3357" s="501"/>
      <c r="IB3357" s="501"/>
      <c r="IC3357" s="501"/>
      <c r="ID3357" s="501"/>
      <c r="IE3357" s="501"/>
      <c r="IF3357" s="501"/>
      <c r="IG3357" s="501"/>
      <c r="IH3357" s="501"/>
      <c r="II3357" s="501"/>
      <c r="IJ3357" s="501"/>
      <c r="IK3357" s="501"/>
      <c r="IL3357" s="501"/>
      <c r="IM3357" s="501"/>
      <c r="IN3357" s="501"/>
      <c r="IO3357" s="501"/>
      <c r="IP3357" s="501"/>
      <c r="IQ3357" s="501"/>
      <c r="IR3357" s="501"/>
      <c r="IS3357" s="501"/>
      <c r="IT3357" s="501"/>
      <c r="IU3357" s="501"/>
    </row>
    <row r="3358" spans="1:255" s="877" customFormat="1" ht="24" customHeight="1">
      <c r="A3358" s="501"/>
      <c r="B3358" s="501"/>
      <c r="C3358" s="501"/>
      <c r="D3358" s="501"/>
      <c r="E3358" s="501"/>
      <c r="F3358" s="501"/>
      <c r="G3358" s="915"/>
      <c r="H3358" s="501"/>
      <c r="I3358" s="874"/>
      <c r="J3358" s="501"/>
      <c r="K3358" s="501"/>
      <c r="L3358" s="874"/>
      <c r="M3358" s="554"/>
      <c r="N3358" s="501"/>
      <c r="O3358" s="968"/>
      <c r="P3358" s="1152"/>
      <c r="Q3358" s="973"/>
      <c r="R3358" s="968"/>
      <c r="S3358" s="974"/>
      <c r="T3358" s="968"/>
      <c r="V3358" s="501"/>
      <c r="W3358" s="501"/>
      <c r="X3358" s="501"/>
      <c r="Y3358" s="501"/>
      <c r="Z3358" s="501"/>
      <c r="AA3358" s="501"/>
      <c r="AB3358" s="501"/>
      <c r="AC3358" s="501"/>
      <c r="AD3358" s="501"/>
      <c r="AE3358" s="501"/>
      <c r="AF3358" s="501"/>
      <c r="AG3358" s="501"/>
      <c r="AH3358" s="501"/>
      <c r="AI3358" s="501"/>
      <c r="AJ3358" s="501"/>
      <c r="AK3358" s="501"/>
      <c r="AL3358" s="501"/>
      <c r="AM3358" s="501"/>
      <c r="AN3358" s="501"/>
      <c r="AO3358" s="501"/>
      <c r="AP3358" s="501"/>
      <c r="AQ3358" s="501"/>
      <c r="AR3358" s="501"/>
      <c r="AS3358" s="501"/>
      <c r="AT3358" s="501"/>
      <c r="AU3358" s="501"/>
      <c r="AV3358" s="501"/>
      <c r="AW3358" s="501"/>
      <c r="AX3358" s="501"/>
      <c r="AY3358" s="501"/>
      <c r="AZ3358" s="501"/>
      <c r="BA3358" s="501"/>
      <c r="BB3358" s="501"/>
      <c r="BC3358" s="501"/>
      <c r="BD3358" s="501"/>
      <c r="BE3358" s="501"/>
      <c r="BF3358" s="501"/>
      <c r="BG3358" s="501"/>
      <c r="BH3358" s="501"/>
      <c r="BI3358" s="501"/>
      <c r="BJ3358" s="501"/>
      <c r="BK3358" s="501"/>
      <c r="BL3358" s="501"/>
      <c r="BM3358" s="501"/>
      <c r="BN3358" s="501"/>
      <c r="BO3358" s="501"/>
      <c r="BP3358" s="501"/>
      <c r="BQ3358" s="501"/>
      <c r="BR3358" s="501"/>
      <c r="BS3358" s="501"/>
      <c r="BT3358" s="501"/>
      <c r="BU3358" s="501"/>
      <c r="BV3358" s="501"/>
      <c r="BW3358" s="501"/>
      <c r="BX3358" s="501"/>
      <c r="BY3358" s="501"/>
      <c r="BZ3358" s="501"/>
      <c r="CA3358" s="501"/>
      <c r="CB3358" s="501"/>
      <c r="CC3358" s="501"/>
      <c r="CD3358" s="501"/>
      <c r="CE3358" s="501"/>
      <c r="CF3358" s="501"/>
      <c r="CG3358" s="501"/>
      <c r="CH3358" s="501"/>
      <c r="CI3358" s="501"/>
      <c r="CJ3358" s="501"/>
      <c r="CK3358" s="501"/>
      <c r="CL3358" s="501"/>
      <c r="CM3358" s="501"/>
      <c r="CN3358" s="501"/>
      <c r="CO3358" s="501"/>
      <c r="CP3358" s="501"/>
      <c r="CQ3358" s="501"/>
      <c r="CR3358" s="501"/>
      <c r="CS3358" s="501"/>
      <c r="CT3358" s="501"/>
      <c r="CU3358" s="501"/>
      <c r="CV3358" s="501"/>
      <c r="CW3358" s="501"/>
      <c r="CX3358" s="501"/>
      <c r="CY3358" s="501"/>
      <c r="CZ3358" s="501"/>
      <c r="DA3358" s="501"/>
      <c r="DB3358" s="501"/>
      <c r="DC3358" s="501"/>
      <c r="DD3358" s="501"/>
      <c r="DE3358" s="501"/>
      <c r="DF3358" s="501"/>
      <c r="DG3358" s="501"/>
      <c r="DH3358" s="501"/>
      <c r="DI3358" s="501"/>
      <c r="DJ3358" s="501"/>
      <c r="DK3358" s="501"/>
      <c r="DL3358" s="501"/>
      <c r="DM3358" s="501"/>
      <c r="DN3358" s="501"/>
      <c r="DO3358" s="501"/>
      <c r="DP3358" s="501"/>
      <c r="DQ3358" s="501"/>
      <c r="DR3358" s="501"/>
      <c r="DS3358" s="501"/>
      <c r="DT3358" s="501"/>
      <c r="DU3358" s="501"/>
      <c r="DV3358" s="501"/>
      <c r="DW3358" s="501"/>
      <c r="DX3358" s="501"/>
      <c r="DY3358" s="501"/>
      <c r="DZ3358" s="501"/>
      <c r="EA3358" s="501"/>
      <c r="EB3358" s="501"/>
      <c r="EC3358" s="501"/>
      <c r="ED3358" s="501"/>
      <c r="EE3358" s="501"/>
      <c r="EF3358" s="501"/>
      <c r="EG3358" s="501"/>
      <c r="EH3358" s="501"/>
      <c r="EI3358" s="501"/>
      <c r="EJ3358" s="501"/>
      <c r="EK3358" s="501"/>
      <c r="EL3358" s="501"/>
      <c r="EM3358" s="501"/>
      <c r="EN3358" s="501"/>
      <c r="EO3358" s="501"/>
      <c r="EP3358" s="501"/>
      <c r="EQ3358" s="501"/>
      <c r="ER3358" s="501"/>
      <c r="ES3358" s="501"/>
      <c r="ET3358" s="501"/>
      <c r="EU3358" s="501"/>
      <c r="EV3358" s="501"/>
      <c r="EW3358" s="501"/>
      <c r="EX3358" s="501"/>
      <c r="EY3358" s="501"/>
      <c r="EZ3358" s="501"/>
      <c r="FA3358" s="501"/>
      <c r="FB3358" s="501"/>
      <c r="FC3358" s="501"/>
      <c r="FD3358" s="501"/>
      <c r="FE3358" s="501"/>
      <c r="FF3358" s="501"/>
      <c r="FG3358" s="501"/>
      <c r="FH3358" s="501"/>
      <c r="FI3358" s="501"/>
      <c r="FJ3358" s="501"/>
      <c r="FK3358" s="501"/>
      <c r="FL3358" s="501"/>
      <c r="FM3358" s="501"/>
      <c r="FN3358" s="501"/>
      <c r="FO3358" s="501"/>
      <c r="FP3358" s="501"/>
      <c r="FQ3358" s="501"/>
      <c r="FR3358" s="501"/>
      <c r="FS3358" s="501"/>
      <c r="FT3358" s="501"/>
      <c r="FU3358" s="501"/>
      <c r="FV3358" s="501"/>
      <c r="FW3358" s="501"/>
      <c r="FX3358" s="501"/>
      <c r="FY3358" s="501"/>
      <c r="FZ3358" s="501"/>
      <c r="GA3358" s="501"/>
      <c r="GB3358" s="501"/>
      <c r="GC3358" s="501"/>
      <c r="GD3358" s="501"/>
      <c r="GE3358" s="501"/>
      <c r="GF3358" s="501"/>
      <c r="GG3358" s="501"/>
      <c r="GH3358" s="501"/>
      <c r="GI3358" s="501"/>
      <c r="GJ3358" s="501"/>
      <c r="GK3358" s="501"/>
      <c r="GL3358" s="501"/>
      <c r="GM3358" s="501"/>
      <c r="GN3358" s="501"/>
      <c r="GO3358" s="501"/>
      <c r="GP3358" s="501"/>
      <c r="GQ3358" s="501"/>
      <c r="GR3358" s="501"/>
      <c r="GS3358" s="501"/>
      <c r="GT3358" s="501"/>
      <c r="GU3358" s="501"/>
      <c r="GV3358" s="501"/>
      <c r="GW3358" s="501"/>
      <c r="GX3358" s="501"/>
      <c r="GY3358" s="501"/>
      <c r="GZ3358" s="501"/>
      <c r="HA3358" s="501"/>
      <c r="HB3358" s="501"/>
      <c r="HC3358" s="501"/>
      <c r="HD3358" s="501"/>
      <c r="HE3358" s="501"/>
      <c r="HF3358" s="501"/>
      <c r="HG3358" s="501"/>
      <c r="HH3358" s="501"/>
      <c r="HI3358" s="501"/>
      <c r="HJ3358" s="501"/>
      <c r="HK3358" s="501"/>
      <c r="HL3358" s="501"/>
      <c r="HM3358" s="501"/>
      <c r="HN3358" s="501"/>
      <c r="HO3358" s="501"/>
      <c r="HP3358" s="501"/>
      <c r="HQ3358" s="501"/>
      <c r="HR3358" s="501"/>
      <c r="HS3358" s="501"/>
      <c r="HT3358" s="501"/>
      <c r="HU3358" s="501"/>
      <c r="HV3358" s="501"/>
      <c r="HW3358" s="501"/>
      <c r="HX3358" s="501"/>
      <c r="HY3358" s="501"/>
      <c r="HZ3358" s="501"/>
      <c r="IA3358" s="501"/>
      <c r="IB3358" s="501"/>
      <c r="IC3358" s="501"/>
      <c r="ID3358" s="501"/>
      <c r="IE3358" s="501"/>
      <c r="IF3358" s="501"/>
      <c r="IG3358" s="501"/>
      <c r="IH3358" s="501"/>
      <c r="II3358" s="501"/>
      <c r="IJ3358" s="501"/>
      <c r="IK3358" s="501"/>
      <c r="IL3358" s="501"/>
      <c r="IM3358" s="501"/>
      <c r="IN3358" s="501"/>
      <c r="IO3358" s="501"/>
      <c r="IP3358" s="501"/>
      <c r="IQ3358" s="501"/>
      <c r="IR3358" s="501"/>
      <c r="IS3358" s="501"/>
      <c r="IT3358" s="501"/>
      <c r="IU3358" s="501"/>
    </row>
    <row r="3359" spans="1:255" s="877" customFormat="1" ht="24" customHeight="1">
      <c r="A3359" s="501"/>
      <c r="B3359" s="501"/>
      <c r="C3359" s="501"/>
      <c r="D3359" s="501"/>
      <c r="E3359" s="501"/>
      <c r="F3359" s="501"/>
      <c r="G3359" s="915"/>
      <c r="H3359" s="501"/>
      <c r="I3359" s="874"/>
      <c r="J3359" s="501"/>
      <c r="K3359" s="501"/>
      <c r="L3359" s="874"/>
      <c r="M3359" s="554"/>
      <c r="N3359" s="501"/>
      <c r="O3359" s="968"/>
      <c r="P3359" s="1152"/>
      <c r="Q3359" s="973"/>
      <c r="R3359" s="968"/>
      <c r="S3359" s="974"/>
      <c r="T3359" s="968"/>
      <c r="V3359" s="501"/>
      <c r="W3359" s="501"/>
      <c r="X3359" s="501"/>
      <c r="Y3359" s="501"/>
      <c r="Z3359" s="501"/>
      <c r="AA3359" s="501"/>
      <c r="AB3359" s="501"/>
      <c r="AC3359" s="501"/>
      <c r="AD3359" s="501"/>
      <c r="AE3359" s="501"/>
      <c r="AF3359" s="501"/>
      <c r="AG3359" s="501"/>
      <c r="AH3359" s="501"/>
      <c r="AI3359" s="501"/>
      <c r="AJ3359" s="501"/>
      <c r="AK3359" s="501"/>
      <c r="AL3359" s="501"/>
      <c r="AM3359" s="501"/>
      <c r="AN3359" s="501"/>
      <c r="AO3359" s="501"/>
      <c r="AP3359" s="501"/>
      <c r="AQ3359" s="501"/>
      <c r="AR3359" s="501"/>
      <c r="AS3359" s="501"/>
      <c r="AT3359" s="501"/>
      <c r="AU3359" s="501"/>
      <c r="AV3359" s="501"/>
      <c r="AW3359" s="501"/>
      <c r="AX3359" s="501"/>
      <c r="AY3359" s="501"/>
      <c r="AZ3359" s="501"/>
      <c r="BA3359" s="501"/>
      <c r="BB3359" s="501"/>
      <c r="BC3359" s="501"/>
      <c r="BD3359" s="501"/>
      <c r="BE3359" s="501"/>
      <c r="BF3359" s="501"/>
      <c r="BG3359" s="501"/>
      <c r="BH3359" s="501"/>
      <c r="BI3359" s="501"/>
      <c r="BJ3359" s="501"/>
      <c r="BK3359" s="501"/>
      <c r="BL3359" s="501"/>
      <c r="BM3359" s="501"/>
      <c r="BN3359" s="501"/>
      <c r="BO3359" s="501"/>
      <c r="BP3359" s="501"/>
      <c r="BQ3359" s="501"/>
      <c r="BR3359" s="501"/>
      <c r="BS3359" s="501"/>
      <c r="BT3359" s="501"/>
      <c r="BU3359" s="501"/>
      <c r="BV3359" s="501"/>
      <c r="BW3359" s="501"/>
      <c r="BX3359" s="501"/>
      <c r="BY3359" s="501"/>
      <c r="BZ3359" s="501"/>
      <c r="CA3359" s="501"/>
      <c r="CB3359" s="501"/>
      <c r="CC3359" s="501"/>
      <c r="CD3359" s="501"/>
      <c r="CE3359" s="501"/>
      <c r="CF3359" s="501"/>
      <c r="CG3359" s="501"/>
      <c r="CH3359" s="501"/>
      <c r="CI3359" s="501"/>
      <c r="CJ3359" s="501"/>
      <c r="CK3359" s="501"/>
      <c r="CL3359" s="501"/>
      <c r="CM3359" s="501"/>
      <c r="CN3359" s="501"/>
      <c r="CO3359" s="501"/>
      <c r="CP3359" s="501"/>
      <c r="CQ3359" s="501"/>
      <c r="CR3359" s="501"/>
      <c r="CS3359" s="501"/>
      <c r="CT3359" s="501"/>
      <c r="CU3359" s="501"/>
      <c r="CV3359" s="501"/>
      <c r="CW3359" s="501"/>
      <c r="CX3359" s="501"/>
      <c r="CY3359" s="501"/>
      <c r="CZ3359" s="501"/>
      <c r="DA3359" s="501"/>
      <c r="DB3359" s="501"/>
      <c r="DC3359" s="501"/>
      <c r="DD3359" s="501"/>
      <c r="DE3359" s="501"/>
      <c r="DF3359" s="501"/>
      <c r="DG3359" s="501"/>
      <c r="DH3359" s="501"/>
      <c r="DI3359" s="501"/>
      <c r="DJ3359" s="501"/>
      <c r="DK3359" s="501"/>
      <c r="DL3359" s="501"/>
      <c r="DM3359" s="501"/>
      <c r="DN3359" s="501"/>
      <c r="DO3359" s="501"/>
      <c r="DP3359" s="501"/>
      <c r="DQ3359" s="501"/>
      <c r="DR3359" s="501"/>
      <c r="DS3359" s="501"/>
      <c r="DT3359" s="501"/>
      <c r="DU3359" s="501"/>
      <c r="DV3359" s="501"/>
      <c r="DW3359" s="501"/>
      <c r="DX3359" s="501"/>
      <c r="DY3359" s="501"/>
      <c r="DZ3359" s="501"/>
      <c r="EA3359" s="501"/>
      <c r="EB3359" s="501"/>
      <c r="EC3359" s="501"/>
      <c r="ED3359" s="501"/>
      <c r="EE3359" s="501"/>
      <c r="EF3359" s="501"/>
      <c r="EG3359" s="501"/>
      <c r="EH3359" s="501"/>
      <c r="EI3359" s="501"/>
      <c r="EJ3359" s="501"/>
      <c r="EK3359" s="501"/>
      <c r="EL3359" s="501"/>
      <c r="EM3359" s="501"/>
      <c r="EN3359" s="501"/>
      <c r="EO3359" s="501"/>
      <c r="EP3359" s="501"/>
      <c r="EQ3359" s="501"/>
      <c r="ER3359" s="501"/>
      <c r="ES3359" s="501"/>
      <c r="ET3359" s="501"/>
      <c r="EU3359" s="501"/>
      <c r="EV3359" s="501"/>
      <c r="EW3359" s="501"/>
      <c r="EX3359" s="501"/>
      <c r="EY3359" s="501"/>
      <c r="EZ3359" s="501"/>
      <c r="FA3359" s="501"/>
      <c r="FB3359" s="501"/>
      <c r="FC3359" s="501"/>
      <c r="FD3359" s="501"/>
      <c r="FE3359" s="501"/>
      <c r="FF3359" s="501"/>
      <c r="FG3359" s="501"/>
      <c r="FH3359" s="501"/>
      <c r="FI3359" s="501"/>
      <c r="FJ3359" s="501"/>
      <c r="FK3359" s="501"/>
      <c r="FL3359" s="501"/>
      <c r="FM3359" s="501"/>
      <c r="FN3359" s="501"/>
      <c r="FO3359" s="501"/>
      <c r="FP3359" s="501"/>
      <c r="FQ3359" s="501"/>
      <c r="FR3359" s="501"/>
      <c r="FS3359" s="501"/>
      <c r="FT3359" s="501"/>
      <c r="FU3359" s="501"/>
      <c r="FV3359" s="501"/>
      <c r="FW3359" s="501"/>
      <c r="FX3359" s="501"/>
      <c r="FY3359" s="501"/>
      <c r="FZ3359" s="501"/>
      <c r="GA3359" s="501"/>
      <c r="GB3359" s="501"/>
      <c r="GC3359" s="501"/>
      <c r="GD3359" s="501"/>
      <c r="GE3359" s="501"/>
      <c r="GF3359" s="501"/>
      <c r="GG3359" s="501"/>
      <c r="GH3359" s="501"/>
      <c r="GI3359" s="501"/>
      <c r="GJ3359" s="501"/>
      <c r="GK3359" s="501"/>
      <c r="GL3359" s="501"/>
      <c r="GM3359" s="501"/>
      <c r="GN3359" s="501"/>
      <c r="GO3359" s="501"/>
      <c r="GP3359" s="501"/>
      <c r="GQ3359" s="501"/>
      <c r="GR3359" s="501"/>
      <c r="GS3359" s="501"/>
      <c r="GT3359" s="501"/>
      <c r="GU3359" s="501"/>
      <c r="GV3359" s="501"/>
      <c r="GW3359" s="501"/>
      <c r="GX3359" s="501"/>
      <c r="GY3359" s="501"/>
      <c r="GZ3359" s="501"/>
      <c r="HA3359" s="501"/>
      <c r="HB3359" s="501"/>
      <c r="HC3359" s="501"/>
      <c r="HD3359" s="501"/>
      <c r="HE3359" s="501"/>
      <c r="HF3359" s="501"/>
      <c r="HG3359" s="501"/>
      <c r="HH3359" s="501"/>
      <c r="HI3359" s="501"/>
      <c r="HJ3359" s="501"/>
      <c r="HK3359" s="501"/>
      <c r="HL3359" s="501"/>
      <c r="HM3359" s="501"/>
      <c r="HN3359" s="501"/>
      <c r="HO3359" s="501"/>
      <c r="HP3359" s="501"/>
      <c r="HQ3359" s="501"/>
      <c r="HR3359" s="501"/>
      <c r="HS3359" s="501"/>
      <c r="HT3359" s="501"/>
      <c r="HU3359" s="501"/>
      <c r="HV3359" s="501"/>
      <c r="HW3359" s="501"/>
      <c r="HX3359" s="501"/>
      <c r="HY3359" s="501"/>
      <c r="HZ3359" s="501"/>
      <c r="IA3359" s="501"/>
      <c r="IB3359" s="501"/>
      <c r="IC3359" s="501"/>
      <c r="ID3359" s="501"/>
      <c r="IE3359" s="501"/>
      <c r="IF3359" s="501"/>
      <c r="IG3359" s="501"/>
      <c r="IH3359" s="501"/>
      <c r="II3359" s="501"/>
      <c r="IJ3359" s="501"/>
      <c r="IK3359" s="501"/>
      <c r="IL3359" s="501"/>
      <c r="IM3359" s="501"/>
      <c r="IN3359" s="501"/>
      <c r="IO3359" s="501"/>
      <c r="IP3359" s="501"/>
      <c r="IQ3359" s="501"/>
      <c r="IR3359" s="501"/>
      <c r="IS3359" s="501"/>
      <c r="IT3359" s="501"/>
      <c r="IU3359" s="501"/>
    </row>
    <row r="3360" spans="1:255" s="877" customFormat="1" ht="24" customHeight="1">
      <c r="A3360" s="501"/>
      <c r="B3360" s="501"/>
      <c r="C3360" s="501"/>
      <c r="D3360" s="501"/>
      <c r="E3360" s="501"/>
      <c r="F3360" s="501"/>
      <c r="G3360" s="915"/>
      <c r="H3360" s="501"/>
      <c r="I3360" s="874"/>
      <c r="J3360" s="501"/>
      <c r="K3360" s="501"/>
      <c r="L3360" s="874"/>
      <c r="M3360" s="554"/>
      <c r="N3360" s="501"/>
      <c r="O3360" s="968"/>
      <c r="P3360" s="1152"/>
      <c r="Q3360" s="973"/>
      <c r="R3360" s="968"/>
      <c r="S3360" s="974"/>
      <c r="T3360" s="968"/>
      <c r="V3360" s="501"/>
      <c r="W3360" s="501"/>
      <c r="X3360" s="501"/>
      <c r="Y3360" s="501"/>
      <c r="Z3360" s="501"/>
      <c r="AA3360" s="501"/>
      <c r="AB3360" s="501"/>
      <c r="AC3360" s="501"/>
      <c r="AD3360" s="501"/>
      <c r="AE3360" s="501"/>
      <c r="AF3360" s="501"/>
      <c r="AG3360" s="501"/>
      <c r="AH3360" s="501"/>
      <c r="AI3360" s="501"/>
      <c r="AJ3360" s="501"/>
      <c r="AK3360" s="501"/>
      <c r="AL3360" s="501"/>
      <c r="AM3360" s="501"/>
      <c r="AN3360" s="501"/>
      <c r="AO3360" s="501"/>
      <c r="AP3360" s="501"/>
      <c r="AQ3360" s="501"/>
      <c r="AR3360" s="501"/>
      <c r="AS3360" s="501"/>
      <c r="AT3360" s="501"/>
      <c r="AU3360" s="501"/>
      <c r="AV3360" s="501"/>
      <c r="AW3360" s="501"/>
      <c r="AX3360" s="501"/>
      <c r="AY3360" s="501"/>
      <c r="AZ3360" s="501"/>
      <c r="BA3360" s="501"/>
      <c r="BB3360" s="501"/>
      <c r="BC3360" s="501"/>
      <c r="BD3360" s="501"/>
      <c r="BE3360" s="501"/>
      <c r="BF3360" s="501"/>
      <c r="BG3360" s="501"/>
      <c r="BH3360" s="501"/>
      <c r="BI3360" s="501"/>
      <c r="BJ3360" s="501"/>
      <c r="BK3360" s="501"/>
      <c r="BL3360" s="501"/>
      <c r="BM3360" s="501"/>
      <c r="BN3360" s="501"/>
      <c r="BO3360" s="501"/>
      <c r="BP3360" s="501"/>
      <c r="BQ3360" s="501"/>
      <c r="BR3360" s="501"/>
      <c r="BS3360" s="501"/>
      <c r="BT3360" s="501"/>
      <c r="BU3360" s="501"/>
      <c r="BV3360" s="501"/>
      <c r="BW3360" s="501"/>
      <c r="BX3360" s="501"/>
      <c r="BY3360" s="501"/>
      <c r="BZ3360" s="501"/>
      <c r="CA3360" s="501"/>
      <c r="CB3360" s="501"/>
      <c r="CC3360" s="501"/>
      <c r="CD3360" s="501"/>
      <c r="CE3360" s="501"/>
      <c r="CF3360" s="501"/>
      <c r="CG3360" s="501"/>
      <c r="CH3360" s="501"/>
      <c r="CI3360" s="501"/>
      <c r="CJ3360" s="501"/>
      <c r="CK3360" s="501"/>
      <c r="CL3360" s="501"/>
      <c r="CM3360" s="501"/>
      <c r="CN3360" s="501"/>
      <c r="CO3360" s="501"/>
      <c r="CP3360" s="501"/>
      <c r="CQ3360" s="501"/>
      <c r="CR3360" s="501"/>
      <c r="CS3360" s="501"/>
      <c r="CT3360" s="501"/>
      <c r="CU3360" s="501"/>
      <c r="CV3360" s="501"/>
      <c r="CW3360" s="501"/>
      <c r="CX3360" s="501"/>
      <c r="CY3360" s="501"/>
      <c r="CZ3360" s="501"/>
      <c r="DA3360" s="501"/>
      <c r="DB3360" s="501"/>
      <c r="DC3360" s="501"/>
      <c r="DD3360" s="501"/>
      <c r="DE3360" s="501"/>
      <c r="DF3360" s="501"/>
      <c r="DG3360" s="501"/>
      <c r="DH3360" s="501"/>
      <c r="DI3360" s="501"/>
      <c r="DJ3360" s="501"/>
      <c r="DK3360" s="501"/>
      <c r="DL3360" s="501"/>
      <c r="DM3360" s="501"/>
      <c r="DN3360" s="501"/>
      <c r="DO3360" s="501"/>
      <c r="DP3360" s="501"/>
      <c r="DQ3360" s="501"/>
      <c r="DR3360" s="501"/>
      <c r="DS3360" s="501"/>
      <c r="DT3360" s="501"/>
      <c r="DU3360" s="501"/>
      <c r="DV3360" s="501"/>
      <c r="DW3360" s="501"/>
      <c r="DX3360" s="501"/>
      <c r="DY3360" s="501"/>
      <c r="DZ3360" s="501"/>
      <c r="EA3360" s="501"/>
      <c r="EB3360" s="501"/>
      <c r="EC3360" s="501"/>
      <c r="ED3360" s="501"/>
      <c r="EE3360" s="501"/>
      <c r="EF3360" s="501"/>
      <c r="EG3360" s="501"/>
      <c r="EH3360" s="501"/>
      <c r="EI3360" s="501"/>
      <c r="EJ3360" s="501"/>
      <c r="EK3360" s="501"/>
      <c r="EL3360" s="501"/>
      <c r="EM3360" s="501"/>
      <c r="EN3360" s="501"/>
      <c r="EO3360" s="501"/>
      <c r="EP3360" s="501"/>
      <c r="EQ3360" s="501"/>
      <c r="ER3360" s="501"/>
      <c r="ES3360" s="501"/>
      <c r="ET3360" s="501"/>
      <c r="EU3360" s="501"/>
      <c r="EV3360" s="501"/>
      <c r="EW3360" s="501"/>
      <c r="EX3360" s="501"/>
      <c r="EY3360" s="501"/>
      <c r="EZ3360" s="501"/>
      <c r="FA3360" s="501"/>
      <c r="FB3360" s="501"/>
      <c r="FC3360" s="501"/>
      <c r="FD3360" s="501"/>
      <c r="FE3360" s="501"/>
      <c r="FF3360" s="501"/>
      <c r="FG3360" s="501"/>
      <c r="FH3360" s="501"/>
      <c r="FI3360" s="501"/>
      <c r="FJ3360" s="501"/>
      <c r="FK3360" s="501"/>
      <c r="FL3360" s="501"/>
      <c r="FM3360" s="501"/>
      <c r="FN3360" s="501"/>
      <c r="FO3360" s="501"/>
      <c r="FP3360" s="501"/>
      <c r="FQ3360" s="501"/>
      <c r="FR3360" s="501"/>
      <c r="FS3360" s="501"/>
      <c r="FT3360" s="501"/>
      <c r="FU3360" s="501"/>
      <c r="FV3360" s="501"/>
      <c r="FW3360" s="501"/>
      <c r="FX3360" s="501"/>
      <c r="FY3360" s="501"/>
      <c r="FZ3360" s="501"/>
      <c r="GA3360" s="501"/>
      <c r="GB3360" s="501"/>
      <c r="GC3360" s="501"/>
      <c r="GD3360" s="501"/>
      <c r="GE3360" s="501"/>
      <c r="GF3360" s="501"/>
      <c r="GG3360" s="501"/>
      <c r="GH3360" s="501"/>
      <c r="GI3360" s="501"/>
      <c r="GJ3360" s="501"/>
      <c r="GK3360" s="501"/>
      <c r="GL3360" s="501"/>
      <c r="GM3360" s="501"/>
      <c r="GN3360" s="501"/>
      <c r="GO3360" s="501"/>
      <c r="GP3360" s="501"/>
      <c r="GQ3360" s="501"/>
      <c r="GR3360" s="501"/>
      <c r="GS3360" s="501"/>
      <c r="GT3360" s="501"/>
      <c r="GU3360" s="501"/>
      <c r="GV3360" s="501"/>
      <c r="GW3360" s="501"/>
      <c r="GX3360" s="501"/>
      <c r="GY3360" s="501"/>
      <c r="GZ3360" s="501"/>
      <c r="HA3360" s="501"/>
      <c r="HB3360" s="501"/>
      <c r="HC3360" s="501"/>
      <c r="HD3360" s="501"/>
      <c r="HE3360" s="501"/>
      <c r="HF3360" s="501"/>
      <c r="HG3360" s="501"/>
      <c r="HH3360" s="501"/>
      <c r="HI3360" s="501"/>
      <c r="HJ3360" s="501"/>
      <c r="HK3360" s="501"/>
      <c r="HL3360" s="501"/>
      <c r="HM3360" s="501"/>
      <c r="HN3360" s="501"/>
      <c r="HO3360" s="501"/>
      <c r="HP3360" s="501"/>
      <c r="HQ3360" s="501"/>
      <c r="HR3360" s="501"/>
      <c r="HS3360" s="501"/>
      <c r="HT3360" s="501"/>
      <c r="HU3360" s="501"/>
      <c r="HV3360" s="501"/>
      <c r="HW3360" s="501"/>
      <c r="HX3360" s="501"/>
      <c r="HY3360" s="501"/>
      <c r="HZ3360" s="501"/>
      <c r="IA3360" s="501"/>
      <c r="IB3360" s="501"/>
      <c r="IC3360" s="501"/>
      <c r="ID3360" s="501"/>
      <c r="IE3360" s="501"/>
      <c r="IF3360" s="501"/>
      <c r="IG3360" s="501"/>
      <c r="IH3360" s="501"/>
      <c r="II3360" s="501"/>
      <c r="IJ3360" s="501"/>
      <c r="IK3360" s="501"/>
      <c r="IL3360" s="501"/>
      <c r="IM3360" s="501"/>
      <c r="IN3360" s="501"/>
      <c r="IO3360" s="501"/>
      <c r="IP3360" s="501"/>
      <c r="IQ3360" s="501"/>
      <c r="IR3360" s="501"/>
      <c r="IS3360" s="501"/>
      <c r="IT3360" s="501"/>
      <c r="IU3360" s="501"/>
    </row>
    <row r="3361" spans="1:255" s="877" customFormat="1" ht="24" customHeight="1">
      <c r="A3361" s="501"/>
      <c r="B3361" s="501"/>
      <c r="C3361" s="501"/>
      <c r="D3361" s="501"/>
      <c r="E3361" s="501"/>
      <c r="F3361" s="501"/>
      <c r="G3361" s="915"/>
      <c r="H3361" s="501"/>
      <c r="I3361" s="874"/>
      <c r="J3361" s="501"/>
      <c r="K3361" s="501"/>
      <c r="L3361" s="874"/>
      <c r="M3361" s="554"/>
      <c r="N3361" s="501"/>
      <c r="O3361" s="968"/>
      <c r="P3361" s="1152"/>
      <c r="Q3361" s="973"/>
      <c r="R3361" s="968"/>
      <c r="S3361" s="974"/>
      <c r="T3361" s="968"/>
      <c r="V3361" s="501"/>
      <c r="W3361" s="501"/>
      <c r="X3361" s="501"/>
      <c r="Y3361" s="501"/>
      <c r="Z3361" s="501"/>
      <c r="AA3361" s="501"/>
      <c r="AB3361" s="501"/>
      <c r="AC3361" s="501"/>
      <c r="AD3361" s="501"/>
      <c r="AE3361" s="501"/>
      <c r="AF3361" s="501"/>
      <c r="AG3361" s="501"/>
      <c r="AH3361" s="501"/>
      <c r="AI3361" s="501"/>
      <c r="AJ3361" s="501"/>
      <c r="AK3361" s="501"/>
      <c r="AL3361" s="501"/>
      <c r="AM3361" s="501"/>
      <c r="AN3361" s="501"/>
      <c r="AO3361" s="501"/>
      <c r="AP3361" s="501"/>
      <c r="AQ3361" s="501"/>
      <c r="AR3361" s="501"/>
      <c r="AS3361" s="501"/>
      <c r="AT3361" s="501"/>
      <c r="AU3361" s="501"/>
      <c r="AV3361" s="501"/>
      <c r="AW3361" s="501"/>
      <c r="AX3361" s="501"/>
      <c r="AY3361" s="501"/>
      <c r="AZ3361" s="501"/>
      <c r="BA3361" s="501"/>
      <c r="BB3361" s="501"/>
      <c r="BC3361" s="501"/>
      <c r="BD3361" s="501"/>
      <c r="BE3361" s="501"/>
      <c r="BF3361" s="501"/>
      <c r="BG3361" s="501"/>
      <c r="BH3361" s="501"/>
      <c r="BI3361" s="501"/>
      <c r="BJ3361" s="501"/>
      <c r="BK3361" s="501"/>
      <c r="BL3361" s="501"/>
      <c r="BM3361" s="501"/>
      <c r="BN3361" s="501"/>
      <c r="BO3361" s="501"/>
      <c r="BP3361" s="501"/>
      <c r="BQ3361" s="501"/>
      <c r="BR3361" s="501"/>
      <c r="BS3361" s="501"/>
      <c r="BT3361" s="501"/>
      <c r="BU3361" s="501"/>
      <c r="BV3361" s="501"/>
      <c r="BW3361" s="501"/>
      <c r="BX3361" s="501"/>
      <c r="BY3361" s="501"/>
      <c r="BZ3361" s="501"/>
      <c r="CA3361" s="501"/>
      <c r="CB3361" s="501"/>
      <c r="CC3361" s="501"/>
      <c r="CD3361" s="501"/>
      <c r="CE3361" s="501"/>
      <c r="CF3361" s="501"/>
      <c r="CG3361" s="501"/>
      <c r="CH3361" s="501"/>
      <c r="CI3361" s="501"/>
      <c r="CJ3361" s="501"/>
      <c r="CK3361" s="501"/>
      <c r="CL3361" s="501"/>
      <c r="CM3361" s="501"/>
      <c r="CN3361" s="501"/>
      <c r="CO3361" s="501"/>
      <c r="CP3361" s="501"/>
      <c r="CQ3361" s="501"/>
      <c r="CR3361" s="501"/>
      <c r="CS3361" s="501"/>
      <c r="CT3361" s="501"/>
      <c r="CU3361" s="501"/>
      <c r="CV3361" s="501"/>
      <c r="CW3361" s="501"/>
      <c r="CX3361" s="501"/>
      <c r="CY3361" s="501"/>
      <c r="CZ3361" s="501"/>
      <c r="DA3361" s="501"/>
      <c r="DB3361" s="501"/>
      <c r="DC3361" s="501"/>
      <c r="DD3361" s="501"/>
      <c r="DE3361" s="501"/>
      <c r="DF3361" s="501"/>
      <c r="DG3361" s="501"/>
      <c r="DH3361" s="501"/>
      <c r="DI3361" s="501"/>
      <c r="DJ3361" s="501"/>
      <c r="DK3361" s="501"/>
      <c r="DL3361" s="501"/>
      <c r="DM3361" s="501"/>
      <c r="DN3361" s="501"/>
      <c r="DO3361" s="501"/>
      <c r="DP3361" s="501"/>
      <c r="DQ3361" s="501"/>
      <c r="DR3361" s="501"/>
      <c r="DS3361" s="501"/>
      <c r="DT3361" s="501"/>
      <c r="DU3361" s="501"/>
      <c r="DV3361" s="501"/>
      <c r="DW3361" s="501"/>
      <c r="DX3361" s="501"/>
      <c r="DY3361" s="501"/>
      <c r="DZ3361" s="501"/>
      <c r="EA3361" s="501"/>
      <c r="EB3361" s="501"/>
      <c r="EC3361" s="501"/>
      <c r="ED3361" s="501"/>
      <c r="EE3361" s="501"/>
      <c r="EF3361" s="501"/>
      <c r="EG3361" s="501"/>
      <c r="EH3361" s="501"/>
      <c r="EI3361" s="501"/>
      <c r="EJ3361" s="501"/>
      <c r="EK3361" s="501"/>
      <c r="EL3361" s="501"/>
      <c r="EM3361" s="501"/>
      <c r="EN3361" s="501"/>
      <c r="EO3361" s="501"/>
      <c r="EP3361" s="501"/>
      <c r="EQ3361" s="501"/>
      <c r="ER3361" s="501"/>
      <c r="ES3361" s="501"/>
      <c r="ET3361" s="501"/>
      <c r="EU3361" s="501"/>
      <c r="EV3361" s="501"/>
      <c r="EW3361" s="501"/>
      <c r="EX3361" s="501"/>
      <c r="EY3361" s="501"/>
      <c r="EZ3361" s="501"/>
      <c r="FA3361" s="501"/>
      <c r="FB3361" s="501"/>
      <c r="FC3361" s="501"/>
      <c r="FD3361" s="501"/>
      <c r="FE3361" s="501"/>
      <c r="FF3361" s="501"/>
      <c r="FG3361" s="501"/>
      <c r="FH3361" s="501"/>
      <c r="FI3361" s="501"/>
      <c r="FJ3361" s="501"/>
      <c r="FK3361" s="501"/>
      <c r="FL3361" s="501"/>
      <c r="FM3361" s="501"/>
      <c r="FN3361" s="501"/>
      <c r="FO3361" s="501"/>
      <c r="FP3361" s="501"/>
      <c r="FQ3361" s="501"/>
      <c r="FR3361" s="501"/>
      <c r="FS3361" s="501"/>
      <c r="FT3361" s="501"/>
      <c r="FU3361" s="501"/>
      <c r="FV3361" s="501"/>
      <c r="FW3361" s="501"/>
      <c r="FX3361" s="501"/>
      <c r="FY3361" s="501"/>
      <c r="FZ3361" s="501"/>
      <c r="GA3361" s="501"/>
      <c r="GB3361" s="501"/>
      <c r="GC3361" s="501"/>
      <c r="GD3361" s="501"/>
      <c r="GE3361" s="501"/>
      <c r="GF3361" s="501"/>
      <c r="GG3361" s="501"/>
      <c r="GH3361" s="501"/>
      <c r="GI3361" s="501"/>
      <c r="GJ3361" s="501"/>
      <c r="GK3361" s="501"/>
      <c r="GL3361" s="501"/>
      <c r="GM3361" s="501"/>
      <c r="GN3361" s="501"/>
      <c r="GO3361" s="501"/>
      <c r="GP3361" s="501"/>
      <c r="GQ3361" s="501"/>
      <c r="GR3361" s="501"/>
      <c r="GS3361" s="501"/>
      <c r="GT3361" s="501"/>
      <c r="GU3361" s="501"/>
      <c r="GV3361" s="501"/>
      <c r="GW3361" s="501"/>
      <c r="GX3361" s="501"/>
      <c r="GY3361" s="501"/>
      <c r="GZ3361" s="501"/>
      <c r="HA3361" s="501"/>
      <c r="HB3361" s="501"/>
      <c r="HC3361" s="501"/>
      <c r="HD3361" s="501"/>
      <c r="HE3361" s="501"/>
      <c r="HF3361" s="501"/>
      <c r="HG3361" s="501"/>
      <c r="HH3361" s="501"/>
      <c r="HI3361" s="501"/>
      <c r="HJ3361" s="501"/>
      <c r="HK3361" s="501"/>
      <c r="HL3361" s="501"/>
      <c r="HM3361" s="501"/>
      <c r="HN3361" s="501"/>
      <c r="HO3361" s="501"/>
      <c r="HP3361" s="501"/>
      <c r="HQ3361" s="501"/>
      <c r="HR3361" s="501"/>
      <c r="HS3361" s="501"/>
      <c r="HT3361" s="501"/>
      <c r="HU3361" s="501"/>
      <c r="HV3361" s="501"/>
      <c r="HW3361" s="501"/>
      <c r="HX3361" s="501"/>
      <c r="HY3361" s="501"/>
      <c r="HZ3361" s="501"/>
      <c r="IA3361" s="501"/>
      <c r="IB3361" s="501"/>
      <c r="IC3361" s="501"/>
      <c r="ID3361" s="501"/>
      <c r="IE3361" s="501"/>
      <c r="IF3361" s="501"/>
      <c r="IG3361" s="501"/>
      <c r="IH3361" s="501"/>
      <c r="II3361" s="501"/>
      <c r="IJ3361" s="501"/>
      <c r="IK3361" s="501"/>
      <c r="IL3361" s="501"/>
      <c r="IM3361" s="501"/>
      <c r="IN3361" s="501"/>
      <c r="IO3361" s="501"/>
      <c r="IP3361" s="501"/>
      <c r="IQ3361" s="501"/>
      <c r="IR3361" s="501"/>
      <c r="IS3361" s="501"/>
      <c r="IT3361" s="501"/>
      <c r="IU3361" s="501"/>
    </row>
    <row r="3362" spans="1:255" s="877" customFormat="1" ht="24" customHeight="1">
      <c r="A3362" s="501"/>
      <c r="B3362" s="501"/>
      <c r="C3362" s="501"/>
      <c r="D3362" s="501"/>
      <c r="E3362" s="501"/>
      <c r="F3362" s="501"/>
      <c r="G3362" s="915"/>
      <c r="H3362" s="501"/>
      <c r="I3362" s="874"/>
      <c r="J3362" s="501"/>
      <c r="K3362" s="501"/>
      <c r="L3362" s="874"/>
      <c r="M3362" s="554"/>
      <c r="N3362" s="501"/>
      <c r="O3362" s="968"/>
      <c r="P3362" s="1152"/>
      <c r="Q3362" s="973"/>
      <c r="R3362" s="968"/>
      <c r="S3362" s="974"/>
      <c r="T3362" s="968"/>
      <c r="V3362" s="501"/>
      <c r="W3362" s="501"/>
      <c r="X3362" s="501"/>
      <c r="Y3362" s="501"/>
      <c r="Z3362" s="501"/>
      <c r="AA3362" s="501"/>
      <c r="AB3362" s="501"/>
      <c r="AC3362" s="501"/>
      <c r="AD3362" s="501"/>
      <c r="AE3362" s="501"/>
      <c r="AF3362" s="501"/>
      <c r="AG3362" s="501"/>
      <c r="AH3362" s="501"/>
      <c r="AI3362" s="501"/>
      <c r="AJ3362" s="501"/>
      <c r="AK3362" s="501"/>
      <c r="AL3362" s="501"/>
      <c r="AM3362" s="501"/>
      <c r="AN3362" s="501"/>
      <c r="AO3362" s="501"/>
      <c r="AP3362" s="501"/>
      <c r="AQ3362" s="501"/>
      <c r="AR3362" s="501"/>
      <c r="AS3362" s="501"/>
      <c r="AT3362" s="501"/>
      <c r="AU3362" s="501"/>
      <c r="AV3362" s="501"/>
      <c r="AW3362" s="501"/>
      <c r="AX3362" s="501"/>
      <c r="AY3362" s="501"/>
      <c r="AZ3362" s="501"/>
      <c r="BA3362" s="501"/>
      <c r="BB3362" s="501"/>
      <c r="BC3362" s="501"/>
      <c r="BD3362" s="501"/>
      <c r="BE3362" s="501"/>
      <c r="BF3362" s="501"/>
      <c r="BG3362" s="501"/>
      <c r="BH3362" s="501"/>
      <c r="BI3362" s="501"/>
      <c r="BJ3362" s="501"/>
      <c r="BK3362" s="501"/>
      <c r="BL3362" s="501"/>
      <c r="BM3362" s="501"/>
      <c r="BN3362" s="501"/>
      <c r="BO3362" s="501"/>
      <c r="BP3362" s="501"/>
      <c r="BQ3362" s="501"/>
      <c r="BR3362" s="501"/>
      <c r="BS3362" s="501"/>
      <c r="BT3362" s="501"/>
      <c r="BU3362" s="501"/>
      <c r="BV3362" s="501"/>
      <c r="BW3362" s="501"/>
      <c r="BX3362" s="501"/>
      <c r="BY3362" s="501"/>
      <c r="BZ3362" s="501"/>
      <c r="CA3362" s="501"/>
      <c r="CB3362" s="501"/>
      <c r="CC3362" s="501"/>
      <c r="CD3362" s="501"/>
      <c r="CE3362" s="501"/>
      <c r="CF3362" s="501"/>
      <c r="CG3362" s="501"/>
      <c r="CH3362" s="501"/>
      <c r="CI3362" s="501"/>
      <c r="CJ3362" s="501"/>
      <c r="CK3362" s="501"/>
      <c r="CL3362" s="501"/>
      <c r="CM3362" s="501"/>
      <c r="CN3362" s="501"/>
      <c r="CO3362" s="501"/>
      <c r="CP3362" s="501"/>
      <c r="CQ3362" s="501"/>
      <c r="CR3362" s="501"/>
      <c r="CS3362" s="501"/>
      <c r="CT3362" s="501"/>
      <c r="CU3362" s="501"/>
      <c r="CV3362" s="501"/>
      <c r="CW3362" s="501"/>
      <c r="CX3362" s="501"/>
      <c r="CY3362" s="501"/>
      <c r="CZ3362" s="501"/>
      <c r="DA3362" s="501"/>
      <c r="DB3362" s="501"/>
      <c r="DC3362" s="501"/>
      <c r="DD3362" s="501"/>
      <c r="DE3362" s="501"/>
      <c r="DF3362" s="501"/>
      <c r="DG3362" s="501"/>
      <c r="DH3362" s="501"/>
      <c r="DI3362" s="501"/>
      <c r="DJ3362" s="501"/>
      <c r="DK3362" s="501"/>
      <c r="DL3362" s="501"/>
      <c r="DM3362" s="501"/>
      <c r="DN3362" s="501"/>
      <c r="DO3362" s="501"/>
      <c r="DP3362" s="501"/>
      <c r="DQ3362" s="501"/>
      <c r="DR3362" s="501"/>
      <c r="DS3362" s="501"/>
      <c r="DT3362" s="501"/>
      <c r="DU3362" s="501"/>
      <c r="DV3362" s="501"/>
      <c r="DW3362" s="501"/>
      <c r="DX3362" s="501"/>
      <c r="DY3362" s="501"/>
      <c r="DZ3362" s="501"/>
      <c r="EA3362" s="501"/>
      <c r="EB3362" s="501"/>
      <c r="EC3362" s="501"/>
      <c r="ED3362" s="501"/>
      <c r="EE3362" s="501"/>
      <c r="EF3362" s="501"/>
      <c r="EG3362" s="501"/>
      <c r="EH3362" s="501"/>
      <c r="EI3362" s="501"/>
      <c r="EJ3362" s="501"/>
      <c r="EK3362" s="501"/>
      <c r="EL3362" s="501"/>
      <c r="EM3362" s="501"/>
      <c r="EN3362" s="501"/>
      <c r="EO3362" s="501"/>
      <c r="EP3362" s="501"/>
      <c r="EQ3362" s="501"/>
      <c r="ER3362" s="501"/>
      <c r="ES3362" s="501"/>
      <c r="ET3362" s="501"/>
      <c r="EU3362" s="501"/>
      <c r="EV3362" s="501"/>
      <c r="EW3362" s="501"/>
      <c r="EX3362" s="501"/>
      <c r="EY3362" s="501"/>
      <c r="EZ3362" s="501"/>
      <c r="FA3362" s="501"/>
      <c r="FB3362" s="501"/>
      <c r="FC3362" s="501"/>
      <c r="FD3362" s="501"/>
      <c r="FE3362" s="501"/>
      <c r="FF3362" s="501"/>
      <c r="FG3362" s="501"/>
      <c r="FH3362" s="501"/>
      <c r="FI3362" s="501"/>
      <c r="FJ3362" s="501"/>
      <c r="FK3362" s="501"/>
      <c r="FL3362" s="501"/>
      <c r="FM3362" s="501"/>
      <c r="FN3362" s="501"/>
      <c r="FO3362" s="501"/>
      <c r="FP3362" s="501"/>
      <c r="FQ3362" s="501"/>
      <c r="FR3362" s="501"/>
      <c r="FS3362" s="501"/>
      <c r="FT3362" s="501"/>
      <c r="FU3362" s="501"/>
      <c r="FV3362" s="501"/>
      <c r="FW3362" s="501"/>
      <c r="FX3362" s="501"/>
      <c r="FY3362" s="501"/>
      <c r="FZ3362" s="501"/>
      <c r="GA3362" s="501"/>
      <c r="GB3362" s="501"/>
      <c r="GC3362" s="501"/>
      <c r="GD3362" s="501"/>
      <c r="GE3362" s="501"/>
      <c r="GF3362" s="501"/>
      <c r="GG3362" s="501"/>
      <c r="GH3362" s="501"/>
      <c r="GI3362" s="501"/>
      <c r="GJ3362" s="501"/>
      <c r="GK3362" s="501"/>
      <c r="GL3362" s="501"/>
      <c r="GM3362" s="501"/>
      <c r="GN3362" s="501"/>
      <c r="GO3362" s="501"/>
      <c r="GP3362" s="501"/>
      <c r="GQ3362" s="501"/>
      <c r="GR3362" s="501"/>
      <c r="GS3362" s="501"/>
      <c r="GT3362" s="501"/>
      <c r="GU3362" s="501"/>
      <c r="GV3362" s="501"/>
      <c r="GW3362" s="501"/>
      <c r="GX3362" s="501"/>
      <c r="GY3362" s="501"/>
      <c r="GZ3362" s="501"/>
      <c r="HA3362" s="501"/>
      <c r="HB3362" s="501"/>
      <c r="HC3362" s="501"/>
      <c r="HD3362" s="501"/>
      <c r="HE3362" s="501"/>
      <c r="HF3362" s="501"/>
      <c r="HG3362" s="501"/>
      <c r="HH3362" s="501"/>
      <c r="HI3362" s="501"/>
      <c r="HJ3362" s="501"/>
      <c r="HK3362" s="501"/>
      <c r="HL3362" s="501"/>
      <c r="HM3362" s="501"/>
      <c r="HN3362" s="501"/>
      <c r="HO3362" s="501"/>
      <c r="HP3362" s="501"/>
      <c r="HQ3362" s="501"/>
      <c r="HR3362" s="501"/>
      <c r="HS3362" s="501"/>
      <c r="HT3362" s="501"/>
      <c r="HU3362" s="501"/>
      <c r="HV3362" s="501"/>
      <c r="HW3362" s="501"/>
      <c r="HX3362" s="501"/>
      <c r="HY3362" s="501"/>
      <c r="HZ3362" s="501"/>
      <c r="IA3362" s="501"/>
      <c r="IB3362" s="501"/>
      <c r="IC3362" s="501"/>
      <c r="ID3362" s="501"/>
      <c r="IE3362" s="501"/>
      <c r="IF3362" s="501"/>
      <c r="IG3362" s="501"/>
      <c r="IH3362" s="501"/>
      <c r="II3362" s="501"/>
      <c r="IJ3362" s="501"/>
      <c r="IK3362" s="501"/>
      <c r="IL3362" s="501"/>
      <c r="IM3362" s="501"/>
      <c r="IN3362" s="501"/>
      <c r="IO3362" s="501"/>
      <c r="IP3362" s="501"/>
      <c r="IQ3362" s="501"/>
      <c r="IR3362" s="501"/>
      <c r="IS3362" s="501"/>
      <c r="IT3362" s="501"/>
      <c r="IU3362" s="501"/>
    </row>
    <row r="3363" spans="1:255" s="877" customFormat="1" ht="24" customHeight="1">
      <c r="A3363" s="501"/>
      <c r="B3363" s="501"/>
      <c r="C3363" s="501"/>
      <c r="D3363" s="501"/>
      <c r="E3363" s="501"/>
      <c r="F3363" s="974"/>
      <c r="G3363" s="1105"/>
      <c r="H3363" s="974"/>
      <c r="I3363" s="973"/>
      <c r="J3363" s="973"/>
      <c r="K3363" s="1097"/>
      <c r="L3363" s="1101"/>
      <c r="M3363" s="1102"/>
      <c r="N3363" s="501"/>
      <c r="O3363" s="968"/>
      <c r="P3363" s="1152"/>
      <c r="Q3363" s="973"/>
      <c r="R3363" s="968"/>
      <c r="S3363" s="974"/>
      <c r="T3363" s="968"/>
      <c r="V3363" s="501"/>
      <c r="W3363" s="501"/>
      <c r="X3363" s="501"/>
      <c r="Y3363" s="501"/>
      <c r="Z3363" s="501"/>
      <c r="AA3363" s="501"/>
      <c r="AB3363" s="501"/>
      <c r="AC3363" s="501"/>
      <c r="AD3363" s="501"/>
      <c r="AE3363" s="501"/>
      <c r="AF3363" s="501"/>
      <c r="AG3363" s="501"/>
      <c r="AH3363" s="501"/>
      <c r="AI3363" s="501"/>
      <c r="AJ3363" s="501"/>
      <c r="AK3363" s="501"/>
      <c r="AL3363" s="501"/>
      <c r="AM3363" s="501"/>
      <c r="AN3363" s="501"/>
      <c r="AO3363" s="501"/>
      <c r="AP3363" s="501"/>
      <c r="AQ3363" s="501"/>
      <c r="AR3363" s="501"/>
      <c r="AS3363" s="501"/>
      <c r="AT3363" s="501"/>
      <c r="AU3363" s="501"/>
      <c r="AV3363" s="501"/>
      <c r="AW3363" s="501"/>
      <c r="AX3363" s="501"/>
      <c r="AY3363" s="501"/>
      <c r="AZ3363" s="501"/>
      <c r="BA3363" s="501"/>
      <c r="BB3363" s="501"/>
      <c r="BC3363" s="501"/>
      <c r="BD3363" s="501"/>
      <c r="BE3363" s="501"/>
      <c r="BF3363" s="501"/>
      <c r="BG3363" s="501"/>
      <c r="BH3363" s="501"/>
      <c r="BI3363" s="501"/>
      <c r="BJ3363" s="501"/>
      <c r="BK3363" s="501"/>
      <c r="BL3363" s="501"/>
      <c r="BM3363" s="501"/>
      <c r="BN3363" s="501"/>
      <c r="BO3363" s="501"/>
      <c r="BP3363" s="501"/>
      <c r="BQ3363" s="501"/>
      <c r="BR3363" s="501"/>
      <c r="BS3363" s="501"/>
      <c r="BT3363" s="501"/>
      <c r="BU3363" s="501"/>
      <c r="BV3363" s="501"/>
      <c r="BW3363" s="501"/>
      <c r="BX3363" s="501"/>
      <c r="BY3363" s="501"/>
      <c r="BZ3363" s="501"/>
      <c r="CA3363" s="501"/>
      <c r="CB3363" s="501"/>
      <c r="CC3363" s="501"/>
      <c r="CD3363" s="501"/>
      <c r="CE3363" s="501"/>
      <c r="CF3363" s="501"/>
      <c r="CG3363" s="501"/>
      <c r="CH3363" s="501"/>
      <c r="CI3363" s="501"/>
      <c r="CJ3363" s="501"/>
      <c r="CK3363" s="501"/>
      <c r="CL3363" s="501"/>
      <c r="CM3363" s="501"/>
      <c r="CN3363" s="501"/>
      <c r="CO3363" s="501"/>
      <c r="CP3363" s="501"/>
      <c r="CQ3363" s="501"/>
      <c r="CR3363" s="501"/>
      <c r="CS3363" s="501"/>
      <c r="CT3363" s="501"/>
      <c r="CU3363" s="501"/>
      <c r="CV3363" s="501"/>
      <c r="CW3363" s="501"/>
      <c r="CX3363" s="501"/>
      <c r="CY3363" s="501"/>
      <c r="CZ3363" s="501"/>
      <c r="DA3363" s="501"/>
      <c r="DB3363" s="501"/>
      <c r="DC3363" s="501"/>
      <c r="DD3363" s="501"/>
      <c r="DE3363" s="501"/>
      <c r="DF3363" s="501"/>
      <c r="DG3363" s="501"/>
      <c r="DH3363" s="501"/>
      <c r="DI3363" s="501"/>
      <c r="DJ3363" s="501"/>
      <c r="DK3363" s="501"/>
      <c r="DL3363" s="501"/>
      <c r="DM3363" s="501"/>
      <c r="DN3363" s="501"/>
      <c r="DO3363" s="501"/>
      <c r="DP3363" s="501"/>
      <c r="DQ3363" s="501"/>
      <c r="DR3363" s="501"/>
      <c r="DS3363" s="501"/>
      <c r="DT3363" s="501"/>
      <c r="DU3363" s="501"/>
      <c r="DV3363" s="501"/>
      <c r="DW3363" s="501"/>
      <c r="DX3363" s="501"/>
      <c r="DY3363" s="501"/>
      <c r="DZ3363" s="501"/>
      <c r="EA3363" s="501"/>
      <c r="EB3363" s="501"/>
      <c r="EC3363" s="501"/>
      <c r="ED3363" s="501"/>
      <c r="EE3363" s="501"/>
      <c r="EF3363" s="501"/>
      <c r="EG3363" s="501"/>
      <c r="EH3363" s="501"/>
      <c r="EI3363" s="501"/>
      <c r="EJ3363" s="501"/>
      <c r="EK3363" s="501"/>
      <c r="EL3363" s="501"/>
      <c r="EM3363" s="501"/>
      <c r="EN3363" s="501"/>
      <c r="EO3363" s="501"/>
      <c r="EP3363" s="501"/>
      <c r="EQ3363" s="501"/>
      <c r="ER3363" s="501"/>
      <c r="ES3363" s="501"/>
      <c r="ET3363" s="501"/>
      <c r="EU3363" s="501"/>
      <c r="EV3363" s="501"/>
      <c r="EW3363" s="501"/>
      <c r="EX3363" s="501"/>
      <c r="EY3363" s="501"/>
      <c r="EZ3363" s="501"/>
      <c r="FA3363" s="501"/>
      <c r="FB3363" s="501"/>
      <c r="FC3363" s="501"/>
      <c r="FD3363" s="501"/>
      <c r="FE3363" s="501"/>
      <c r="FF3363" s="501"/>
      <c r="FG3363" s="501"/>
      <c r="FH3363" s="501"/>
      <c r="FI3363" s="501"/>
      <c r="FJ3363" s="501"/>
      <c r="FK3363" s="501"/>
      <c r="FL3363" s="501"/>
      <c r="FM3363" s="501"/>
      <c r="FN3363" s="501"/>
      <c r="FO3363" s="501"/>
      <c r="FP3363" s="501"/>
      <c r="FQ3363" s="501"/>
      <c r="FR3363" s="501"/>
      <c r="FS3363" s="501"/>
      <c r="FT3363" s="501"/>
      <c r="FU3363" s="501"/>
      <c r="FV3363" s="501"/>
      <c r="FW3363" s="501"/>
      <c r="FX3363" s="501"/>
      <c r="FY3363" s="501"/>
      <c r="FZ3363" s="501"/>
      <c r="GA3363" s="501"/>
      <c r="GB3363" s="501"/>
      <c r="GC3363" s="501"/>
      <c r="GD3363" s="501"/>
      <c r="GE3363" s="501"/>
      <c r="GF3363" s="501"/>
      <c r="GG3363" s="501"/>
      <c r="GH3363" s="501"/>
      <c r="GI3363" s="501"/>
      <c r="GJ3363" s="501"/>
      <c r="GK3363" s="501"/>
      <c r="GL3363" s="501"/>
      <c r="GM3363" s="501"/>
      <c r="GN3363" s="501"/>
      <c r="GO3363" s="501"/>
      <c r="GP3363" s="501"/>
      <c r="GQ3363" s="501"/>
      <c r="GR3363" s="501"/>
      <c r="GS3363" s="501"/>
      <c r="GT3363" s="501"/>
      <c r="GU3363" s="501"/>
      <c r="GV3363" s="501"/>
      <c r="GW3363" s="501"/>
      <c r="GX3363" s="501"/>
      <c r="GY3363" s="501"/>
      <c r="GZ3363" s="501"/>
      <c r="HA3363" s="501"/>
      <c r="HB3363" s="501"/>
      <c r="HC3363" s="501"/>
      <c r="HD3363" s="501"/>
      <c r="HE3363" s="501"/>
      <c r="HF3363" s="501"/>
      <c r="HG3363" s="501"/>
      <c r="HH3363" s="501"/>
      <c r="HI3363" s="501"/>
      <c r="HJ3363" s="501"/>
      <c r="HK3363" s="501"/>
      <c r="HL3363" s="501"/>
      <c r="HM3363" s="501"/>
      <c r="HN3363" s="501"/>
      <c r="HO3363" s="501"/>
      <c r="HP3363" s="501"/>
      <c r="HQ3363" s="501"/>
      <c r="HR3363" s="501"/>
      <c r="HS3363" s="501"/>
      <c r="HT3363" s="501"/>
      <c r="HU3363" s="501"/>
      <c r="HV3363" s="501"/>
      <c r="HW3363" s="501"/>
      <c r="HX3363" s="501"/>
      <c r="HY3363" s="501"/>
      <c r="HZ3363" s="501"/>
      <c r="IA3363" s="501"/>
      <c r="IB3363" s="501"/>
      <c r="IC3363" s="501"/>
      <c r="ID3363" s="501"/>
      <c r="IE3363" s="501"/>
      <c r="IF3363" s="501"/>
      <c r="IG3363" s="501"/>
      <c r="IH3363" s="501"/>
      <c r="II3363" s="501"/>
      <c r="IJ3363" s="501"/>
      <c r="IK3363" s="501"/>
      <c r="IL3363" s="501"/>
      <c r="IM3363" s="501"/>
      <c r="IN3363" s="501"/>
      <c r="IO3363" s="501"/>
      <c r="IP3363" s="501"/>
      <c r="IQ3363" s="501"/>
      <c r="IR3363" s="501"/>
      <c r="IS3363" s="501"/>
      <c r="IT3363" s="501"/>
      <c r="IU3363" s="501"/>
    </row>
    <row r="3364" spans="1:255" s="877" customFormat="1" ht="24" customHeight="1">
      <c r="A3364" s="501"/>
      <c r="B3364" s="501"/>
      <c r="C3364" s="501"/>
      <c r="D3364" s="501"/>
      <c r="E3364" s="501"/>
      <c r="F3364" s="1097"/>
      <c r="G3364" s="1098"/>
      <c r="H3364" s="1097"/>
      <c r="I3364" s="1099"/>
      <c r="J3364" s="973"/>
      <c r="K3364" s="1097"/>
      <c r="L3364" s="1101"/>
      <c r="M3364" s="1102"/>
      <c r="N3364" s="501"/>
      <c r="O3364" s="968"/>
      <c r="P3364" s="1152"/>
      <c r="Q3364" s="1097"/>
      <c r="R3364" s="1097"/>
      <c r="S3364" s="974"/>
      <c r="T3364" s="968"/>
      <c r="V3364" s="501"/>
      <c r="W3364" s="501"/>
      <c r="X3364" s="501"/>
      <c r="Y3364" s="501"/>
      <c r="Z3364" s="501"/>
      <c r="AA3364" s="501"/>
      <c r="AB3364" s="501"/>
      <c r="AC3364" s="501"/>
      <c r="AD3364" s="501"/>
      <c r="AE3364" s="501"/>
      <c r="AF3364" s="501"/>
      <c r="AG3364" s="501"/>
      <c r="AH3364" s="501"/>
      <c r="AI3364" s="501"/>
      <c r="AJ3364" s="501"/>
      <c r="AK3364" s="501"/>
      <c r="AL3364" s="501"/>
      <c r="AM3364" s="501"/>
      <c r="AN3364" s="501"/>
      <c r="AO3364" s="501"/>
      <c r="AP3364" s="501"/>
      <c r="AQ3364" s="501"/>
      <c r="AR3364" s="501"/>
      <c r="AS3364" s="501"/>
      <c r="AT3364" s="501"/>
      <c r="AU3364" s="501"/>
      <c r="AV3364" s="501"/>
      <c r="AW3364" s="501"/>
      <c r="AX3364" s="501"/>
      <c r="AY3364" s="501"/>
      <c r="AZ3364" s="501"/>
      <c r="BA3364" s="501"/>
      <c r="BB3364" s="501"/>
      <c r="BC3364" s="501"/>
      <c r="BD3364" s="501"/>
      <c r="BE3364" s="501"/>
      <c r="BF3364" s="501"/>
      <c r="BG3364" s="501"/>
      <c r="BH3364" s="501"/>
      <c r="BI3364" s="501"/>
      <c r="BJ3364" s="501"/>
      <c r="BK3364" s="501"/>
      <c r="BL3364" s="501"/>
      <c r="BM3364" s="501"/>
      <c r="BN3364" s="501"/>
      <c r="BO3364" s="501"/>
      <c r="BP3364" s="501"/>
      <c r="BQ3364" s="501"/>
      <c r="BR3364" s="501"/>
      <c r="BS3364" s="501"/>
      <c r="BT3364" s="501"/>
      <c r="BU3364" s="501"/>
      <c r="BV3364" s="501"/>
      <c r="BW3364" s="501"/>
      <c r="BX3364" s="501"/>
      <c r="BY3364" s="501"/>
      <c r="BZ3364" s="501"/>
      <c r="CA3364" s="501"/>
      <c r="CB3364" s="501"/>
      <c r="CC3364" s="501"/>
      <c r="CD3364" s="501"/>
      <c r="CE3364" s="501"/>
      <c r="CF3364" s="501"/>
      <c r="CG3364" s="501"/>
      <c r="CH3364" s="501"/>
      <c r="CI3364" s="501"/>
      <c r="CJ3364" s="501"/>
      <c r="CK3364" s="501"/>
      <c r="CL3364" s="501"/>
      <c r="CM3364" s="501"/>
      <c r="CN3364" s="501"/>
      <c r="CO3364" s="501"/>
      <c r="CP3364" s="501"/>
      <c r="CQ3364" s="501"/>
      <c r="CR3364" s="501"/>
      <c r="CS3364" s="501"/>
      <c r="CT3364" s="501"/>
      <c r="CU3364" s="501"/>
      <c r="CV3364" s="501"/>
      <c r="CW3364" s="501"/>
      <c r="CX3364" s="501"/>
      <c r="CY3364" s="501"/>
      <c r="CZ3364" s="501"/>
      <c r="DA3364" s="501"/>
      <c r="DB3364" s="501"/>
      <c r="DC3364" s="501"/>
      <c r="DD3364" s="501"/>
      <c r="DE3364" s="501"/>
      <c r="DF3364" s="501"/>
      <c r="DG3364" s="501"/>
      <c r="DH3364" s="501"/>
      <c r="DI3364" s="501"/>
      <c r="DJ3364" s="501"/>
      <c r="DK3364" s="501"/>
      <c r="DL3364" s="501"/>
      <c r="DM3364" s="501"/>
      <c r="DN3364" s="501"/>
      <c r="DO3364" s="501"/>
      <c r="DP3364" s="501"/>
      <c r="DQ3364" s="501"/>
      <c r="DR3364" s="501"/>
      <c r="DS3364" s="501"/>
      <c r="DT3364" s="501"/>
      <c r="DU3364" s="501"/>
      <c r="DV3364" s="501"/>
      <c r="DW3364" s="501"/>
      <c r="DX3364" s="501"/>
      <c r="DY3364" s="501"/>
      <c r="DZ3364" s="501"/>
      <c r="EA3364" s="501"/>
      <c r="EB3364" s="501"/>
      <c r="EC3364" s="501"/>
      <c r="ED3364" s="501"/>
      <c r="EE3364" s="501"/>
      <c r="EF3364" s="501"/>
      <c r="EG3364" s="501"/>
      <c r="EH3364" s="501"/>
      <c r="EI3364" s="501"/>
      <c r="EJ3364" s="501"/>
      <c r="EK3364" s="501"/>
      <c r="EL3364" s="501"/>
      <c r="EM3364" s="501"/>
      <c r="EN3364" s="501"/>
      <c r="EO3364" s="501"/>
      <c r="EP3364" s="501"/>
      <c r="EQ3364" s="501"/>
      <c r="ER3364" s="501"/>
      <c r="ES3364" s="501"/>
      <c r="ET3364" s="501"/>
      <c r="EU3364" s="501"/>
      <c r="EV3364" s="501"/>
      <c r="EW3364" s="501"/>
      <c r="EX3364" s="501"/>
      <c r="EY3364" s="501"/>
      <c r="EZ3364" s="501"/>
      <c r="FA3364" s="501"/>
      <c r="FB3364" s="501"/>
      <c r="FC3364" s="501"/>
      <c r="FD3364" s="501"/>
      <c r="FE3364" s="501"/>
      <c r="FF3364" s="501"/>
      <c r="FG3364" s="501"/>
      <c r="FH3364" s="501"/>
      <c r="FI3364" s="501"/>
      <c r="FJ3364" s="501"/>
      <c r="FK3364" s="501"/>
      <c r="FL3364" s="501"/>
      <c r="FM3364" s="501"/>
      <c r="FN3364" s="501"/>
      <c r="FO3364" s="501"/>
      <c r="FP3364" s="501"/>
      <c r="FQ3364" s="501"/>
      <c r="FR3364" s="501"/>
      <c r="FS3364" s="501"/>
      <c r="FT3364" s="501"/>
      <c r="FU3364" s="501"/>
      <c r="FV3364" s="501"/>
      <c r="FW3364" s="501"/>
      <c r="FX3364" s="501"/>
      <c r="FY3364" s="501"/>
      <c r="FZ3364" s="501"/>
      <c r="GA3364" s="501"/>
      <c r="GB3364" s="501"/>
      <c r="GC3364" s="501"/>
      <c r="GD3364" s="501"/>
      <c r="GE3364" s="501"/>
      <c r="GF3364" s="501"/>
      <c r="GG3364" s="501"/>
      <c r="GH3364" s="501"/>
      <c r="GI3364" s="501"/>
      <c r="GJ3364" s="501"/>
      <c r="GK3364" s="501"/>
      <c r="GL3364" s="501"/>
      <c r="GM3364" s="501"/>
      <c r="GN3364" s="501"/>
      <c r="GO3364" s="501"/>
      <c r="GP3364" s="501"/>
      <c r="GQ3364" s="501"/>
      <c r="GR3364" s="501"/>
      <c r="GS3364" s="501"/>
      <c r="GT3364" s="501"/>
      <c r="GU3364" s="501"/>
      <c r="GV3364" s="501"/>
      <c r="GW3364" s="501"/>
      <c r="GX3364" s="501"/>
      <c r="GY3364" s="501"/>
      <c r="GZ3364" s="501"/>
      <c r="HA3364" s="501"/>
      <c r="HB3364" s="501"/>
      <c r="HC3364" s="501"/>
      <c r="HD3364" s="501"/>
      <c r="HE3364" s="501"/>
      <c r="HF3364" s="501"/>
      <c r="HG3364" s="501"/>
      <c r="HH3364" s="501"/>
      <c r="HI3364" s="501"/>
      <c r="HJ3364" s="501"/>
      <c r="HK3364" s="501"/>
      <c r="HL3364" s="501"/>
      <c r="HM3364" s="501"/>
      <c r="HN3364" s="501"/>
      <c r="HO3364" s="501"/>
      <c r="HP3364" s="501"/>
      <c r="HQ3364" s="501"/>
      <c r="HR3364" s="501"/>
      <c r="HS3364" s="501"/>
      <c r="HT3364" s="501"/>
      <c r="HU3364" s="501"/>
      <c r="HV3364" s="501"/>
      <c r="HW3364" s="501"/>
      <c r="HX3364" s="501"/>
      <c r="HY3364" s="501"/>
      <c r="HZ3364" s="501"/>
      <c r="IA3364" s="501"/>
      <c r="IB3364" s="501"/>
      <c r="IC3364" s="501"/>
      <c r="ID3364" s="501"/>
      <c r="IE3364" s="501"/>
      <c r="IF3364" s="501"/>
      <c r="IG3364" s="501"/>
      <c r="IH3364" s="501"/>
      <c r="II3364" s="501"/>
      <c r="IJ3364" s="501"/>
      <c r="IK3364" s="501"/>
      <c r="IL3364" s="501"/>
      <c r="IM3364" s="501"/>
      <c r="IN3364" s="501"/>
      <c r="IO3364" s="501"/>
      <c r="IP3364" s="501"/>
      <c r="IQ3364" s="501"/>
      <c r="IR3364" s="501"/>
      <c r="IS3364" s="501"/>
      <c r="IT3364" s="501"/>
      <c r="IU3364" s="501"/>
    </row>
    <row r="3365" spans="1:255" s="877" customFormat="1" ht="24" customHeight="1">
      <c r="A3365" s="501"/>
      <c r="B3365" s="501"/>
      <c r="C3365" s="501"/>
      <c r="D3365" s="501"/>
      <c r="E3365" s="501"/>
      <c r="F3365" s="1097"/>
      <c r="G3365" s="1098"/>
      <c r="H3365" s="1097"/>
      <c r="I3365" s="1099"/>
      <c r="J3365" s="1184"/>
      <c r="K3365" s="1097"/>
      <c r="L3365" s="1101"/>
      <c r="M3365" s="1102"/>
      <c r="N3365" s="501"/>
      <c r="O3365" s="1097"/>
      <c r="P3365" s="1151"/>
      <c r="Q3365" s="1097"/>
      <c r="R3365" s="1097"/>
      <c r="S3365" s="1101"/>
      <c r="T3365" s="1106"/>
      <c r="V3365" s="501"/>
      <c r="W3365" s="501"/>
      <c r="X3365" s="501"/>
      <c r="Y3365" s="501"/>
      <c r="Z3365" s="501"/>
      <c r="AA3365" s="501"/>
      <c r="AB3365" s="501"/>
      <c r="AC3365" s="501"/>
      <c r="AD3365" s="501"/>
      <c r="AE3365" s="501"/>
      <c r="AF3365" s="501"/>
      <c r="AG3365" s="501"/>
      <c r="AH3365" s="501"/>
      <c r="AI3365" s="501"/>
      <c r="AJ3365" s="501"/>
      <c r="AK3365" s="501"/>
      <c r="AL3365" s="501"/>
      <c r="AM3365" s="501"/>
      <c r="AN3365" s="501"/>
      <c r="AO3365" s="501"/>
      <c r="AP3365" s="501"/>
      <c r="AQ3365" s="501"/>
      <c r="AR3365" s="501"/>
      <c r="AS3365" s="501"/>
      <c r="AT3365" s="501"/>
      <c r="AU3365" s="501"/>
      <c r="AV3365" s="501"/>
      <c r="AW3365" s="501"/>
      <c r="AX3365" s="501"/>
      <c r="AY3365" s="501"/>
      <c r="AZ3365" s="501"/>
      <c r="BA3365" s="501"/>
      <c r="BB3365" s="501"/>
      <c r="BC3365" s="501"/>
      <c r="BD3365" s="501"/>
      <c r="BE3365" s="501"/>
      <c r="BF3365" s="501"/>
      <c r="BG3365" s="501"/>
      <c r="BH3365" s="501"/>
      <c r="BI3365" s="501"/>
      <c r="BJ3365" s="501"/>
      <c r="BK3365" s="501"/>
      <c r="BL3365" s="501"/>
      <c r="BM3365" s="501"/>
      <c r="BN3365" s="501"/>
      <c r="BO3365" s="501"/>
      <c r="BP3365" s="501"/>
      <c r="BQ3365" s="501"/>
      <c r="BR3365" s="501"/>
      <c r="BS3365" s="501"/>
      <c r="BT3365" s="501"/>
      <c r="BU3365" s="501"/>
      <c r="BV3365" s="501"/>
      <c r="BW3365" s="501"/>
      <c r="BX3365" s="501"/>
      <c r="BY3365" s="501"/>
      <c r="BZ3365" s="501"/>
      <c r="CA3365" s="501"/>
      <c r="CB3365" s="501"/>
      <c r="CC3365" s="501"/>
      <c r="CD3365" s="501"/>
      <c r="CE3365" s="501"/>
      <c r="CF3365" s="501"/>
      <c r="CG3365" s="501"/>
      <c r="CH3365" s="501"/>
      <c r="CI3365" s="501"/>
      <c r="CJ3365" s="501"/>
      <c r="CK3365" s="501"/>
      <c r="CL3365" s="501"/>
      <c r="CM3365" s="501"/>
      <c r="CN3365" s="501"/>
      <c r="CO3365" s="501"/>
      <c r="CP3365" s="501"/>
      <c r="CQ3365" s="501"/>
      <c r="CR3365" s="501"/>
      <c r="CS3365" s="501"/>
      <c r="CT3365" s="501"/>
      <c r="CU3365" s="501"/>
      <c r="CV3365" s="501"/>
      <c r="CW3365" s="501"/>
      <c r="CX3365" s="501"/>
      <c r="CY3365" s="501"/>
      <c r="CZ3365" s="501"/>
      <c r="DA3365" s="501"/>
      <c r="DB3365" s="501"/>
      <c r="DC3365" s="501"/>
      <c r="DD3365" s="501"/>
      <c r="DE3365" s="501"/>
      <c r="DF3365" s="501"/>
      <c r="DG3365" s="501"/>
      <c r="DH3365" s="501"/>
      <c r="DI3365" s="501"/>
      <c r="DJ3365" s="501"/>
      <c r="DK3365" s="501"/>
      <c r="DL3365" s="501"/>
      <c r="DM3365" s="501"/>
      <c r="DN3365" s="501"/>
      <c r="DO3365" s="501"/>
      <c r="DP3365" s="501"/>
      <c r="DQ3365" s="501"/>
      <c r="DR3365" s="501"/>
      <c r="DS3365" s="501"/>
      <c r="DT3365" s="501"/>
      <c r="DU3365" s="501"/>
      <c r="DV3365" s="501"/>
      <c r="DW3365" s="501"/>
      <c r="DX3365" s="501"/>
      <c r="DY3365" s="501"/>
      <c r="DZ3365" s="501"/>
      <c r="EA3365" s="501"/>
      <c r="EB3365" s="501"/>
      <c r="EC3365" s="501"/>
      <c r="ED3365" s="501"/>
      <c r="EE3365" s="501"/>
      <c r="EF3365" s="501"/>
      <c r="EG3365" s="501"/>
      <c r="EH3365" s="501"/>
      <c r="EI3365" s="501"/>
      <c r="EJ3365" s="501"/>
      <c r="EK3365" s="501"/>
      <c r="EL3365" s="501"/>
      <c r="EM3365" s="501"/>
      <c r="EN3365" s="501"/>
      <c r="EO3365" s="501"/>
      <c r="EP3365" s="501"/>
      <c r="EQ3365" s="501"/>
      <c r="ER3365" s="501"/>
      <c r="ES3365" s="501"/>
      <c r="ET3365" s="501"/>
      <c r="EU3365" s="501"/>
      <c r="EV3365" s="501"/>
      <c r="EW3365" s="501"/>
      <c r="EX3365" s="501"/>
      <c r="EY3365" s="501"/>
      <c r="EZ3365" s="501"/>
      <c r="FA3365" s="501"/>
      <c r="FB3365" s="501"/>
      <c r="FC3365" s="501"/>
      <c r="FD3365" s="501"/>
      <c r="FE3365" s="501"/>
      <c r="FF3365" s="501"/>
      <c r="FG3365" s="501"/>
      <c r="FH3365" s="501"/>
      <c r="FI3365" s="501"/>
      <c r="FJ3365" s="501"/>
      <c r="FK3365" s="501"/>
      <c r="FL3365" s="501"/>
      <c r="FM3365" s="501"/>
      <c r="FN3365" s="501"/>
      <c r="FO3365" s="501"/>
      <c r="FP3365" s="501"/>
      <c r="FQ3365" s="501"/>
      <c r="FR3365" s="501"/>
      <c r="FS3365" s="501"/>
      <c r="FT3365" s="501"/>
      <c r="FU3365" s="501"/>
      <c r="FV3365" s="501"/>
      <c r="FW3365" s="501"/>
      <c r="FX3365" s="501"/>
      <c r="FY3365" s="501"/>
      <c r="FZ3365" s="501"/>
      <c r="GA3365" s="501"/>
      <c r="GB3365" s="501"/>
      <c r="GC3365" s="501"/>
      <c r="GD3365" s="501"/>
      <c r="GE3365" s="501"/>
      <c r="GF3365" s="501"/>
      <c r="GG3365" s="501"/>
      <c r="GH3365" s="501"/>
      <c r="GI3365" s="501"/>
      <c r="GJ3365" s="501"/>
      <c r="GK3365" s="501"/>
      <c r="GL3365" s="501"/>
      <c r="GM3365" s="501"/>
      <c r="GN3365" s="501"/>
      <c r="GO3365" s="501"/>
      <c r="GP3365" s="501"/>
      <c r="GQ3365" s="501"/>
      <c r="GR3365" s="501"/>
      <c r="GS3365" s="501"/>
      <c r="GT3365" s="501"/>
      <c r="GU3365" s="501"/>
      <c r="GV3365" s="501"/>
      <c r="GW3365" s="501"/>
      <c r="GX3365" s="501"/>
      <c r="GY3365" s="501"/>
      <c r="GZ3365" s="501"/>
      <c r="HA3365" s="501"/>
      <c r="HB3365" s="501"/>
      <c r="HC3365" s="501"/>
      <c r="HD3365" s="501"/>
      <c r="HE3365" s="501"/>
      <c r="HF3365" s="501"/>
      <c r="HG3365" s="501"/>
      <c r="HH3365" s="501"/>
      <c r="HI3365" s="501"/>
      <c r="HJ3365" s="501"/>
      <c r="HK3365" s="501"/>
      <c r="HL3365" s="501"/>
      <c r="HM3365" s="501"/>
      <c r="HN3365" s="501"/>
      <c r="HO3365" s="501"/>
      <c r="HP3365" s="501"/>
      <c r="HQ3365" s="501"/>
      <c r="HR3365" s="501"/>
      <c r="HS3365" s="501"/>
      <c r="HT3365" s="501"/>
      <c r="HU3365" s="501"/>
      <c r="HV3365" s="501"/>
      <c r="HW3365" s="501"/>
      <c r="HX3365" s="501"/>
      <c r="HY3365" s="501"/>
      <c r="HZ3365" s="501"/>
      <c r="IA3365" s="501"/>
      <c r="IB3365" s="501"/>
      <c r="IC3365" s="501"/>
      <c r="ID3365" s="501"/>
      <c r="IE3365" s="501"/>
      <c r="IF3365" s="501"/>
      <c r="IG3365" s="501"/>
      <c r="IH3365" s="501"/>
      <c r="II3365" s="501"/>
      <c r="IJ3365" s="501"/>
      <c r="IK3365" s="501"/>
      <c r="IL3365" s="501"/>
      <c r="IM3365" s="501"/>
      <c r="IN3365" s="501"/>
      <c r="IO3365" s="501"/>
      <c r="IP3365" s="501"/>
      <c r="IQ3365" s="501"/>
      <c r="IR3365" s="501"/>
      <c r="IS3365" s="501"/>
      <c r="IT3365" s="501"/>
      <c r="IU3365" s="501"/>
    </row>
    <row r="3366" spans="1:255" s="877" customFormat="1" ht="24" customHeight="1">
      <c r="A3366" s="501"/>
      <c r="B3366" s="501"/>
      <c r="C3366" s="501"/>
      <c r="D3366" s="501"/>
      <c r="E3366" s="501"/>
      <c r="F3366" s="1097"/>
      <c r="G3366" s="1098"/>
      <c r="H3366" s="1097"/>
      <c r="I3366" s="1099"/>
      <c r="J3366" s="1106"/>
      <c r="K3366" s="1097"/>
      <c r="L3366" s="1101"/>
      <c r="M3366" s="1102"/>
      <c r="N3366" s="501"/>
      <c r="O3366" s="1097"/>
      <c r="P3366" s="1151"/>
      <c r="Q3366" s="973"/>
      <c r="R3366" s="1097"/>
      <c r="S3366" s="1101"/>
      <c r="T3366" s="968"/>
      <c r="V3366" s="501"/>
      <c r="W3366" s="501"/>
      <c r="X3366" s="501"/>
      <c r="Y3366" s="501"/>
      <c r="Z3366" s="501"/>
      <c r="AA3366" s="501"/>
      <c r="AB3366" s="501"/>
      <c r="AC3366" s="501"/>
      <c r="AD3366" s="501"/>
      <c r="AE3366" s="501"/>
      <c r="AF3366" s="501"/>
      <c r="AG3366" s="501"/>
      <c r="AH3366" s="501"/>
      <c r="AI3366" s="501"/>
      <c r="AJ3366" s="501"/>
      <c r="AK3366" s="501"/>
      <c r="AL3366" s="501"/>
      <c r="AM3366" s="501"/>
      <c r="AN3366" s="501"/>
      <c r="AO3366" s="501"/>
      <c r="AP3366" s="501"/>
      <c r="AQ3366" s="501"/>
      <c r="AR3366" s="501"/>
      <c r="AS3366" s="501"/>
      <c r="AT3366" s="501"/>
      <c r="AU3366" s="501"/>
      <c r="AV3366" s="501"/>
      <c r="AW3366" s="501"/>
      <c r="AX3366" s="501"/>
      <c r="AY3366" s="501"/>
      <c r="AZ3366" s="501"/>
      <c r="BA3366" s="501"/>
      <c r="BB3366" s="501"/>
      <c r="BC3366" s="501"/>
      <c r="BD3366" s="501"/>
      <c r="BE3366" s="501"/>
      <c r="BF3366" s="501"/>
      <c r="BG3366" s="501"/>
      <c r="BH3366" s="501"/>
      <c r="BI3366" s="501"/>
      <c r="BJ3366" s="501"/>
      <c r="BK3366" s="501"/>
      <c r="BL3366" s="501"/>
      <c r="BM3366" s="501"/>
      <c r="BN3366" s="501"/>
      <c r="BO3366" s="501"/>
      <c r="BP3366" s="501"/>
      <c r="BQ3366" s="501"/>
      <c r="BR3366" s="501"/>
      <c r="BS3366" s="501"/>
      <c r="BT3366" s="501"/>
      <c r="BU3366" s="501"/>
      <c r="BV3366" s="501"/>
      <c r="BW3366" s="501"/>
      <c r="BX3366" s="501"/>
      <c r="BY3366" s="501"/>
      <c r="BZ3366" s="501"/>
      <c r="CA3366" s="501"/>
      <c r="CB3366" s="501"/>
      <c r="CC3366" s="501"/>
      <c r="CD3366" s="501"/>
      <c r="CE3366" s="501"/>
      <c r="CF3366" s="501"/>
      <c r="CG3366" s="501"/>
      <c r="CH3366" s="501"/>
      <c r="CI3366" s="501"/>
      <c r="CJ3366" s="501"/>
      <c r="CK3366" s="501"/>
      <c r="CL3366" s="501"/>
      <c r="CM3366" s="501"/>
      <c r="CN3366" s="501"/>
      <c r="CO3366" s="501"/>
      <c r="CP3366" s="501"/>
      <c r="CQ3366" s="501"/>
      <c r="CR3366" s="501"/>
      <c r="CS3366" s="501"/>
      <c r="CT3366" s="501"/>
      <c r="CU3366" s="501"/>
      <c r="CV3366" s="501"/>
      <c r="CW3366" s="501"/>
      <c r="CX3366" s="501"/>
      <c r="CY3366" s="501"/>
      <c r="CZ3366" s="501"/>
      <c r="DA3366" s="501"/>
      <c r="DB3366" s="501"/>
      <c r="DC3366" s="501"/>
      <c r="DD3366" s="501"/>
      <c r="DE3366" s="501"/>
      <c r="DF3366" s="501"/>
      <c r="DG3366" s="501"/>
      <c r="DH3366" s="501"/>
      <c r="DI3366" s="501"/>
      <c r="DJ3366" s="501"/>
      <c r="DK3366" s="501"/>
      <c r="DL3366" s="501"/>
      <c r="DM3366" s="501"/>
      <c r="DN3366" s="501"/>
      <c r="DO3366" s="501"/>
      <c r="DP3366" s="501"/>
      <c r="DQ3366" s="501"/>
      <c r="DR3366" s="501"/>
      <c r="DS3366" s="501"/>
      <c r="DT3366" s="501"/>
      <c r="DU3366" s="501"/>
      <c r="DV3366" s="501"/>
      <c r="DW3366" s="501"/>
      <c r="DX3366" s="501"/>
      <c r="DY3366" s="501"/>
      <c r="DZ3366" s="501"/>
      <c r="EA3366" s="501"/>
      <c r="EB3366" s="501"/>
      <c r="EC3366" s="501"/>
      <c r="ED3366" s="501"/>
      <c r="EE3366" s="501"/>
      <c r="EF3366" s="501"/>
      <c r="EG3366" s="501"/>
      <c r="EH3366" s="501"/>
      <c r="EI3366" s="501"/>
      <c r="EJ3366" s="501"/>
      <c r="EK3366" s="501"/>
      <c r="EL3366" s="501"/>
      <c r="EM3366" s="501"/>
      <c r="EN3366" s="501"/>
      <c r="EO3366" s="501"/>
      <c r="EP3366" s="501"/>
      <c r="EQ3366" s="501"/>
      <c r="ER3366" s="501"/>
      <c r="ES3366" s="501"/>
      <c r="ET3366" s="501"/>
      <c r="EU3366" s="501"/>
      <c r="EV3366" s="501"/>
      <c r="EW3366" s="501"/>
      <c r="EX3366" s="501"/>
      <c r="EY3366" s="501"/>
      <c r="EZ3366" s="501"/>
      <c r="FA3366" s="501"/>
      <c r="FB3366" s="501"/>
      <c r="FC3366" s="501"/>
      <c r="FD3366" s="501"/>
      <c r="FE3366" s="501"/>
      <c r="FF3366" s="501"/>
      <c r="FG3366" s="501"/>
      <c r="FH3366" s="501"/>
      <c r="FI3366" s="501"/>
      <c r="FJ3366" s="501"/>
      <c r="FK3366" s="501"/>
      <c r="FL3366" s="501"/>
      <c r="FM3366" s="501"/>
      <c r="FN3366" s="501"/>
      <c r="FO3366" s="501"/>
      <c r="FP3366" s="501"/>
      <c r="FQ3366" s="501"/>
      <c r="FR3366" s="501"/>
      <c r="FS3366" s="501"/>
      <c r="FT3366" s="501"/>
      <c r="FU3366" s="501"/>
      <c r="FV3366" s="501"/>
      <c r="FW3366" s="501"/>
      <c r="FX3366" s="501"/>
      <c r="FY3366" s="501"/>
      <c r="FZ3366" s="501"/>
      <c r="GA3366" s="501"/>
      <c r="GB3366" s="501"/>
      <c r="GC3366" s="501"/>
      <c r="GD3366" s="501"/>
      <c r="GE3366" s="501"/>
      <c r="GF3366" s="501"/>
      <c r="GG3366" s="501"/>
      <c r="GH3366" s="501"/>
      <c r="GI3366" s="501"/>
      <c r="GJ3366" s="501"/>
      <c r="GK3366" s="501"/>
      <c r="GL3366" s="501"/>
      <c r="GM3366" s="501"/>
      <c r="GN3366" s="501"/>
      <c r="GO3366" s="501"/>
      <c r="GP3366" s="501"/>
      <c r="GQ3366" s="501"/>
      <c r="GR3366" s="501"/>
      <c r="GS3366" s="501"/>
      <c r="GT3366" s="501"/>
      <c r="GU3366" s="501"/>
      <c r="GV3366" s="501"/>
      <c r="GW3366" s="501"/>
      <c r="GX3366" s="501"/>
      <c r="GY3366" s="501"/>
      <c r="GZ3366" s="501"/>
      <c r="HA3366" s="501"/>
      <c r="HB3366" s="501"/>
      <c r="HC3366" s="501"/>
      <c r="HD3366" s="501"/>
      <c r="HE3366" s="501"/>
      <c r="HF3366" s="501"/>
      <c r="HG3366" s="501"/>
      <c r="HH3366" s="501"/>
      <c r="HI3366" s="501"/>
      <c r="HJ3366" s="501"/>
      <c r="HK3366" s="501"/>
      <c r="HL3366" s="501"/>
      <c r="HM3366" s="501"/>
      <c r="HN3366" s="501"/>
      <c r="HO3366" s="501"/>
      <c r="HP3366" s="501"/>
      <c r="HQ3366" s="501"/>
      <c r="HR3366" s="501"/>
      <c r="HS3366" s="501"/>
      <c r="HT3366" s="501"/>
      <c r="HU3366" s="501"/>
      <c r="HV3366" s="501"/>
      <c r="HW3366" s="501"/>
      <c r="HX3366" s="501"/>
      <c r="HY3366" s="501"/>
      <c r="HZ3366" s="501"/>
      <c r="IA3366" s="501"/>
      <c r="IB3366" s="501"/>
      <c r="IC3366" s="501"/>
      <c r="ID3366" s="501"/>
      <c r="IE3366" s="501"/>
      <c r="IF3366" s="501"/>
      <c r="IG3366" s="501"/>
      <c r="IH3366" s="501"/>
      <c r="II3366" s="501"/>
      <c r="IJ3366" s="501"/>
      <c r="IK3366" s="501"/>
      <c r="IL3366" s="501"/>
      <c r="IM3366" s="501"/>
      <c r="IN3366" s="501"/>
      <c r="IO3366" s="501"/>
      <c r="IP3366" s="501"/>
      <c r="IQ3366" s="501"/>
      <c r="IR3366" s="501"/>
      <c r="IS3366" s="501"/>
      <c r="IT3366" s="501"/>
      <c r="IU3366" s="501"/>
    </row>
    <row r="3367" spans="1:255" s="877" customFormat="1" ht="24" customHeight="1">
      <c r="A3367" s="501"/>
      <c r="B3367" s="501"/>
      <c r="C3367" s="501"/>
      <c r="D3367" s="501"/>
      <c r="E3367" s="501"/>
      <c r="F3367" s="1097"/>
      <c r="G3367" s="1098"/>
      <c r="H3367" s="1097"/>
      <c r="I3367" s="1099"/>
      <c r="J3367" s="973"/>
      <c r="K3367" s="1102"/>
      <c r="L3367" s="1185"/>
      <c r="M3367" s="1102"/>
      <c r="N3367" s="501"/>
      <c r="O3367" s="1097"/>
      <c r="P3367" s="1151"/>
      <c r="Q3367" s="1097"/>
      <c r="R3367" s="1097"/>
      <c r="S3367" s="1101"/>
      <c r="T3367" s="1106"/>
      <c r="V3367" s="501"/>
      <c r="W3367" s="501"/>
      <c r="X3367" s="501"/>
      <c r="Y3367" s="501"/>
      <c r="Z3367" s="501"/>
      <c r="AA3367" s="501"/>
      <c r="AB3367" s="501"/>
      <c r="AC3367" s="501"/>
      <c r="AD3367" s="501"/>
      <c r="AE3367" s="501"/>
      <c r="AF3367" s="501"/>
      <c r="AG3367" s="501"/>
      <c r="AH3367" s="501"/>
      <c r="AI3367" s="501"/>
      <c r="AJ3367" s="501"/>
      <c r="AK3367" s="501"/>
      <c r="AL3367" s="501"/>
      <c r="AM3367" s="501"/>
      <c r="AN3367" s="501"/>
      <c r="AO3367" s="501"/>
      <c r="AP3367" s="501"/>
      <c r="AQ3367" s="501"/>
      <c r="AR3367" s="501"/>
      <c r="AS3367" s="501"/>
      <c r="AT3367" s="501"/>
      <c r="AU3367" s="501"/>
      <c r="AV3367" s="501"/>
      <c r="AW3367" s="501"/>
      <c r="AX3367" s="501"/>
      <c r="AY3367" s="501"/>
      <c r="AZ3367" s="501"/>
      <c r="BA3367" s="501"/>
      <c r="BB3367" s="501"/>
      <c r="BC3367" s="501"/>
      <c r="BD3367" s="501"/>
      <c r="BE3367" s="501"/>
      <c r="BF3367" s="501"/>
      <c r="BG3367" s="501"/>
      <c r="BH3367" s="501"/>
      <c r="BI3367" s="501"/>
      <c r="BJ3367" s="501"/>
      <c r="BK3367" s="501"/>
      <c r="BL3367" s="501"/>
      <c r="BM3367" s="501"/>
      <c r="BN3367" s="501"/>
      <c r="BO3367" s="501"/>
      <c r="BP3367" s="501"/>
      <c r="BQ3367" s="501"/>
      <c r="BR3367" s="501"/>
      <c r="BS3367" s="501"/>
      <c r="BT3367" s="501"/>
      <c r="BU3367" s="501"/>
      <c r="BV3367" s="501"/>
      <c r="BW3367" s="501"/>
      <c r="BX3367" s="501"/>
      <c r="BY3367" s="501"/>
      <c r="BZ3367" s="501"/>
      <c r="CA3367" s="501"/>
      <c r="CB3367" s="501"/>
      <c r="CC3367" s="501"/>
      <c r="CD3367" s="501"/>
      <c r="CE3367" s="501"/>
      <c r="CF3367" s="501"/>
      <c r="CG3367" s="501"/>
      <c r="CH3367" s="501"/>
      <c r="CI3367" s="501"/>
      <c r="CJ3367" s="501"/>
      <c r="CK3367" s="501"/>
      <c r="CL3367" s="501"/>
      <c r="CM3367" s="501"/>
      <c r="CN3367" s="501"/>
      <c r="CO3367" s="501"/>
      <c r="CP3367" s="501"/>
      <c r="CQ3367" s="501"/>
      <c r="CR3367" s="501"/>
      <c r="CS3367" s="501"/>
      <c r="CT3367" s="501"/>
      <c r="CU3367" s="501"/>
      <c r="CV3367" s="501"/>
      <c r="CW3367" s="501"/>
      <c r="CX3367" s="501"/>
      <c r="CY3367" s="501"/>
      <c r="CZ3367" s="501"/>
      <c r="DA3367" s="501"/>
      <c r="DB3367" s="501"/>
      <c r="DC3367" s="501"/>
      <c r="DD3367" s="501"/>
      <c r="DE3367" s="501"/>
      <c r="DF3367" s="501"/>
      <c r="DG3367" s="501"/>
      <c r="DH3367" s="501"/>
      <c r="DI3367" s="501"/>
      <c r="DJ3367" s="501"/>
      <c r="DK3367" s="501"/>
      <c r="DL3367" s="501"/>
      <c r="DM3367" s="501"/>
      <c r="DN3367" s="501"/>
      <c r="DO3367" s="501"/>
      <c r="DP3367" s="501"/>
      <c r="DQ3367" s="501"/>
      <c r="DR3367" s="501"/>
      <c r="DS3367" s="501"/>
      <c r="DT3367" s="501"/>
      <c r="DU3367" s="501"/>
      <c r="DV3367" s="501"/>
      <c r="DW3367" s="501"/>
      <c r="DX3367" s="501"/>
      <c r="DY3367" s="501"/>
      <c r="DZ3367" s="501"/>
      <c r="EA3367" s="501"/>
      <c r="EB3367" s="501"/>
      <c r="EC3367" s="501"/>
      <c r="ED3367" s="501"/>
      <c r="EE3367" s="501"/>
      <c r="EF3367" s="501"/>
      <c r="EG3367" s="501"/>
      <c r="EH3367" s="501"/>
      <c r="EI3367" s="501"/>
      <c r="EJ3367" s="501"/>
      <c r="EK3367" s="501"/>
      <c r="EL3367" s="501"/>
      <c r="EM3367" s="501"/>
      <c r="EN3367" s="501"/>
      <c r="EO3367" s="501"/>
      <c r="EP3367" s="501"/>
      <c r="EQ3367" s="501"/>
      <c r="ER3367" s="501"/>
      <c r="ES3367" s="501"/>
      <c r="ET3367" s="501"/>
      <c r="EU3367" s="501"/>
      <c r="EV3367" s="501"/>
      <c r="EW3367" s="501"/>
      <c r="EX3367" s="501"/>
      <c r="EY3367" s="501"/>
      <c r="EZ3367" s="501"/>
      <c r="FA3367" s="501"/>
      <c r="FB3367" s="501"/>
      <c r="FC3367" s="501"/>
      <c r="FD3367" s="501"/>
      <c r="FE3367" s="501"/>
      <c r="FF3367" s="501"/>
      <c r="FG3367" s="501"/>
      <c r="FH3367" s="501"/>
      <c r="FI3367" s="501"/>
      <c r="FJ3367" s="501"/>
      <c r="FK3367" s="501"/>
      <c r="FL3367" s="501"/>
      <c r="FM3367" s="501"/>
      <c r="FN3367" s="501"/>
      <c r="FO3367" s="501"/>
      <c r="FP3367" s="501"/>
      <c r="FQ3367" s="501"/>
      <c r="FR3367" s="501"/>
      <c r="FS3367" s="501"/>
      <c r="FT3367" s="501"/>
      <c r="FU3367" s="501"/>
      <c r="FV3367" s="501"/>
      <c r="FW3367" s="501"/>
      <c r="FX3367" s="501"/>
      <c r="FY3367" s="501"/>
      <c r="FZ3367" s="501"/>
      <c r="GA3367" s="501"/>
      <c r="GB3367" s="501"/>
      <c r="GC3367" s="501"/>
      <c r="GD3367" s="501"/>
      <c r="GE3367" s="501"/>
      <c r="GF3367" s="501"/>
      <c r="GG3367" s="501"/>
      <c r="GH3367" s="501"/>
      <c r="GI3367" s="501"/>
      <c r="GJ3367" s="501"/>
      <c r="GK3367" s="501"/>
      <c r="GL3367" s="501"/>
      <c r="GM3367" s="501"/>
      <c r="GN3367" s="501"/>
      <c r="GO3367" s="501"/>
      <c r="GP3367" s="501"/>
      <c r="GQ3367" s="501"/>
      <c r="GR3367" s="501"/>
      <c r="GS3367" s="501"/>
      <c r="GT3367" s="501"/>
      <c r="GU3367" s="501"/>
      <c r="GV3367" s="501"/>
      <c r="GW3367" s="501"/>
      <c r="GX3367" s="501"/>
      <c r="GY3367" s="501"/>
      <c r="GZ3367" s="501"/>
      <c r="HA3367" s="501"/>
      <c r="HB3367" s="501"/>
      <c r="HC3367" s="501"/>
      <c r="HD3367" s="501"/>
      <c r="HE3367" s="501"/>
      <c r="HF3367" s="501"/>
      <c r="HG3367" s="501"/>
      <c r="HH3367" s="501"/>
      <c r="HI3367" s="501"/>
      <c r="HJ3367" s="501"/>
      <c r="HK3367" s="501"/>
      <c r="HL3367" s="501"/>
      <c r="HM3367" s="501"/>
      <c r="HN3367" s="501"/>
      <c r="HO3367" s="501"/>
      <c r="HP3367" s="501"/>
      <c r="HQ3367" s="501"/>
      <c r="HR3367" s="501"/>
      <c r="HS3367" s="501"/>
      <c r="HT3367" s="501"/>
      <c r="HU3367" s="501"/>
      <c r="HV3367" s="501"/>
      <c r="HW3367" s="501"/>
      <c r="HX3367" s="501"/>
      <c r="HY3367" s="501"/>
      <c r="HZ3367" s="501"/>
      <c r="IA3367" s="501"/>
      <c r="IB3367" s="501"/>
      <c r="IC3367" s="501"/>
      <c r="ID3367" s="501"/>
      <c r="IE3367" s="501"/>
      <c r="IF3367" s="501"/>
      <c r="IG3367" s="501"/>
      <c r="IH3367" s="501"/>
      <c r="II3367" s="501"/>
      <c r="IJ3367" s="501"/>
      <c r="IK3367" s="501"/>
      <c r="IL3367" s="501"/>
      <c r="IM3367" s="501"/>
      <c r="IN3367" s="501"/>
      <c r="IO3367" s="501"/>
      <c r="IP3367" s="501"/>
      <c r="IQ3367" s="501"/>
      <c r="IR3367" s="501"/>
      <c r="IS3367" s="501"/>
      <c r="IT3367" s="501"/>
      <c r="IU3367" s="501"/>
    </row>
    <row r="3368" spans="1:255" s="877" customFormat="1" ht="24" customHeight="1">
      <c r="A3368" s="501"/>
      <c r="B3368" s="501"/>
      <c r="C3368" s="501"/>
      <c r="D3368" s="501"/>
      <c r="E3368" s="501"/>
      <c r="F3368" s="1097"/>
      <c r="G3368" s="1098"/>
      <c r="H3368" s="1097"/>
      <c r="I3368" s="1099"/>
      <c r="J3368" s="973"/>
      <c r="K3368" s="1102"/>
      <c r="L3368" s="1185"/>
      <c r="M3368" s="1102"/>
      <c r="N3368" s="501"/>
      <c r="O3368" s="1097"/>
      <c r="P3368" s="1151"/>
      <c r="Q3368" s="1112"/>
      <c r="R3368" s="1097"/>
      <c r="S3368" s="1103"/>
      <c r="T3368" s="1193"/>
      <c r="V3368" s="501"/>
      <c r="W3368" s="501"/>
      <c r="X3368" s="501"/>
      <c r="Y3368" s="501"/>
      <c r="Z3368" s="501"/>
      <c r="AA3368" s="501"/>
      <c r="AB3368" s="501"/>
      <c r="AC3368" s="501"/>
      <c r="AD3368" s="501"/>
      <c r="AE3368" s="501"/>
      <c r="AF3368" s="501"/>
      <c r="AG3368" s="501"/>
      <c r="AH3368" s="501"/>
      <c r="AI3368" s="501"/>
      <c r="AJ3368" s="501"/>
      <c r="AK3368" s="501"/>
      <c r="AL3368" s="501"/>
      <c r="AM3368" s="501"/>
      <c r="AN3368" s="501"/>
      <c r="AO3368" s="501"/>
      <c r="AP3368" s="501"/>
      <c r="AQ3368" s="501"/>
      <c r="AR3368" s="501"/>
      <c r="AS3368" s="501"/>
      <c r="AT3368" s="501"/>
      <c r="AU3368" s="501"/>
      <c r="AV3368" s="501"/>
      <c r="AW3368" s="501"/>
      <c r="AX3368" s="501"/>
      <c r="AY3368" s="501"/>
      <c r="AZ3368" s="501"/>
      <c r="BA3368" s="501"/>
      <c r="BB3368" s="501"/>
      <c r="BC3368" s="501"/>
      <c r="BD3368" s="501"/>
      <c r="BE3368" s="501"/>
      <c r="BF3368" s="501"/>
      <c r="BG3368" s="501"/>
      <c r="BH3368" s="501"/>
      <c r="BI3368" s="501"/>
      <c r="BJ3368" s="501"/>
      <c r="BK3368" s="501"/>
      <c r="BL3368" s="501"/>
      <c r="BM3368" s="501"/>
      <c r="BN3368" s="501"/>
      <c r="BO3368" s="501"/>
      <c r="BP3368" s="501"/>
      <c r="BQ3368" s="501"/>
      <c r="BR3368" s="501"/>
      <c r="BS3368" s="501"/>
      <c r="BT3368" s="501"/>
      <c r="BU3368" s="501"/>
      <c r="BV3368" s="501"/>
      <c r="BW3368" s="501"/>
      <c r="BX3368" s="501"/>
      <c r="BY3368" s="501"/>
      <c r="BZ3368" s="501"/>
      <c r="CA3368" s="501"/>
      <c r="CB3368" s="501"/>
      <c r="CC3368" s="501"/>
      <c r="CD3368" s="501"/>
      <c r="CE3368" s="501"/>
      <c r="CF3368" s="501"/>
      <c r="CG3368" s="501"/>
      <c r="CH3368" s="501"/>
      <c r="CI3368" s="501"/>
      <c r="CJ3368" s="501"/>
      <c r="CK3368" s="501"/>
      <c r="CL3368" s="501"/>
      <c r="CM3368" s="501"/>
      <c r="CN3368" s="501"/>
      <c r="CO3368" s="501"/>
      <c r="CP3368" s="501"/>
      <c r="CQ3368" s="501"/>
      <c r="CR3368" s="501"/>
      <c r="CS3368" s="501"/>
      <c r="CT3368" s="501"/>
      <c r="CU3368" s="501"/>
      <c r="CV3368" s="501"/>
      <c r="CW3368" s="501"/>
      <c r="CX3368" s="501"/>
      <c r="CY3368" s="501"/>
      <c r="CZ3368" s="501"/>
      <c r="DA3368" s="501"/>
      <c r="DB3368" s="501"/>
      <c r="DC3368" s="501"/>
      <c r="DD3368" s="501"/>
      <c r="DE3368" s="501"/>
      <c r="DF3368" s="501"/>
      <c r="DG3368" s="501"/>
      <c r="DH3368" s="501"/>
      <c r="DI3368" s="501"/>
      <c r="DJ3368" s="501"/>
      <c r="DK3368" s="501"/>
      <c r="DL3368" s="501"/>
      <c r="DM3368" s="501"/>
      <c r="DN3368" s="501"/>
      <c r="DO3368" s="501"/>
      <c r="DP3368" s="501"/>
      <c r="DQ3368" s="501"/>
      <c r="DR3368" s="501"/>
      <c r="DS3368" s="501"/>
      <c r="DT3368" s="501"/>
      <c r="DU3368" s="501"/>
      <c r="DV3368" s="501"/>
      <c r="DW3368" s="501"/>
      <c r="DX3368" s="501"/>
      <c r="DY3368" s="501"/>
      <c r="DZ3368" s="501"/>
      <c r="EA3368" s="501"/>
      <c r="EB3368" s="501"/>
      <c r="EC3368" s="501"/>
      <c r="ED3368" s="501"/>
      <c r="EE3368" s="501"/>
      <c r="EF3368" s="501"/>
      <c r="EG3368" s="501"/>
      <c r="EH3368" s="501"/>
      <c r="EI3368" s="501"/>
      <c r="EJ3368" s="501"/>
      <c r="EK3368" s="501"/>
      <c r="EL3368" s="501"/>
      <c r="EM3368" s="501"/>
      <c r="EN3368" s="501"/>
      <c r="EO3368" s="501"/>
      <c r="EP3368" s="501"/>
      <c r="EQ3368" s="501"/>
      <c r="ER3368" s="501"/>
      <c r="ES3368" s="501"/>
      <c r="ET3368" s="501"/>
      <c r="EU3368" s="501"/>
      <c r="EV3368" s="501"/>
      <c r="EW3368" s="501"/>
      <c r="EX3368" s="501"/>
      <c r="EY3368" s="501"/>
      <c r="EZ3368" s="501"/>
      <c r="FA3368" s="501"/>
      <c r="FB3368" s="501"/>
      <c r="FC3368" s="501"/>
      <c r="FD3368" s="501"/>
      <c r="FE3368" s="501"/>
      <c r="FF3368" s="501"/>
      <c r="FG3368" s="501"/>
      <c r="FH3368" s="501"/>
      <c r="FI3368" s="501"/>
      <c r="FJ3368" s="501"/>
      <c r="FK3368" s="501"/>
      <c r="FL3368" s="501"/>
      <c r="FM3368" s="501"/>
      <c r="FN3368" s="501"/>
      <c r="FO3368" s="501"/>
      <c r="FP3368" s="501"/>
      <c r="FQ3368" s="501"/>
      <c r="FR3368" s="501"/>
      <c r="FS3368" s="501"/>
      <c r="FT3368" s="501"/>
      <c r="FU3368" s="501"/>
      <c r="FV3368" s="501"/>
      <c r="FW3368" s="501"/>
      <c r="FX3368" s="501"/>
      <c r="FY3368" s="501"/>
      <c r="FZ3368" s="501"/>
      <c r="GA3368" s="501"/>
      <c r="GB3368" s="501"/>
      <c r="GC3368" s="501"/>
      <c r="GD3368" s="501"/>
      <c r="GE3368" s="501"/>
      <c r="GF3368" s="501"/>
      <c r="GG3368" s="501"/>
      <c r="GH3368" s="501"/>
      <c r="GI3368" s="501"/>
      <c r="GJ3368" s="501"/>
      <c r="GK3368" s="501"/>
      <c r="GL3368" s="501"/>
      <c r="GM3368" s="501"/>
      <c r="GN3368" s="501"/>
      <c r="GO3368" s="501"/>
      <c r="GP3368" s="501"/>
      <c r="GQ3368" s="501"/>
      <c r="GR3368" s="501"/>
      <c r="GS3368" s="501"/>
      <c r="GT3368" s="501"/>
      <c r="GU3368" s="501"/>
      <c r="GV3368" s="501"/>
      <c r="GW3368" s="501"/>
      <c r="GX3368" s="501"/>
      <c r="GY3368" s="501"/>
      <c r="GZ3368" s="501"/>
      <c r="HA3368" s="501"/>
      <c r="HB3368" s="501"/>
      <c r="HC3368" s="501"/>
      <c r="HD3368" s="501"/>
      <c r="HE3368" s="501"/>
      <c r="HF3368" s="501"/>
      <c r="HG3368" s="501"/>
      <c r="HH3368" s="501"/>
      <c r="HI3368" s="501"/>
      <c r="HJ3368" s="501"/>
      <c r="HK3368" s="501"/>
      <c r="HL3368" s="501"/>
      <c r="HM3368" s="501"/>
      <c r="HN3368" s="501"/>
      <c r="HO3368" s="501"/>
      <c r="HP3368" s="501"/>
      <c r="HQ3368" s="501"/>
      <c r="HR3368" s="501"/>
      <c r="HS3368" s="501"/>
      <c r="HT3368" s="501"/>
      <c r="HU3368" s="501"/>
      <c r="HV3368" s="501"/>
      <c r="HW3368" s="501"/>
      <c r="HX3368" s="501"/>
      <c r="HY3368" s="501"/>
      <c r="HZ3368" s="501"/>
      <c r="IA3368" s="501"/>
      <c r="IB3368" s="501"/>
      <c r="IC3368" s="501"/>
      <c r="ID3368" s="501"/>
      <c r="IE3368" s="501"/>
      <c r="IF3368" s="501"/>
      <c r="IG3368" s="501"/>
      <c r="IH3368" s="501"/>
      <c r="II3368" s="501"/>
      <c r="IJ3368" s="501"/>
      <c r="IK3368" s="501"/>
      <c r="IL3368" s="501"/>
      <c r="IM3368" s="501"/>
      <c r="IN3368" s="501"/>
      <c r="IO3368" s="501"/>
      <c r="IP3368" s="501"/>
      <c r="IQ3368" s="501"/>
      <c r="IR3368" s="501"/>
      <c r="IS3368" s="501"/>
      <c r="IT3368" s="501"/>
      <c r="IU3368" s="501"/>
    </row>
    <row r="3369" spans="1:255" s="877" customFormat="1" ht="24" customHeight="1">
      <c r="A3369" s="501"/>
      <c r="B3369" s="501"/>
      <c r="C3369" s="501"/>
      <c r="D3369" s="501"/>
      <c r="E3369" s="501"/>
      <c r="F3369" s="1097"/>
      <c r="G3369" s="1098"/>
      <c r="H3369" s="1097"/>
      <c r="I3369" s="1099"/>
      <c r="J3369" s="973"/>
      <c r="K3369" s="1102"/>
      <c r="L3369" s="1186"/>
      <c r="M3369" s="1102"/>
      <c r="N3369" s="501"/>
      <c r="O3369" s="501"/>
      <c r="P3369" s="902"/>
      <c r="Q3369" s="501"/>
      <c r="R3369" s="501"/>
      <c r="S3369" s="874"/>
      <c r="T3369" s="881"/>
      <c r="V3369" s="501"/>
      <c r="W3369" s="501"/>
      <c r="X3369" s="501"/>
      <c r="Y3369" s="501"/>
      <c r="Z3369" s="501"/>
      <c r="AA3369" s="501"/>
      <c r="AB3369" s="501"/>
      <c r="AC3369" s="501"/>
      <c r="AD3369" s="501"/>
      <c r="AE3369" s="501"/>
      <c r="AF3369" s="501"/>
      <c r="AG3369" s="501"/>
      <c r="AH3369" s="501"/>
      <c r="AI3369" s="501"/>
      <c r="AJ3369" s="501"/>
      <c r="AK3369" s="501"/>
      <c r="AL3369" s="501"/>
      <c r="AM3369" s="501"/>
      <c r="AN3369" s="501"/>
      <c r="AO3369" s="501"/>
      <c r="AP3369" s="501"/>
      <c r="AQ3369" s="501"/>
      <c r="AR3369" s="501"/>
      <c r="AS3369" s="501"/>
      <c r="AT3369" s="501"/>
      <c r="AU3369" s="501"/>
      <c r="AV3369" s="501"/>
      <c r="AW3369" s="501"/>
      <c r="AX3369" s="501"/>
      <c r="AY3369" s="501"/>
      <c r="AZ3369" s="501"/>
      <c r="BA3369" s="501"/>
      <c r="BB3369" s="501"/>
      <c r="BC3369" s="501"/>
      <c r="BD3369" s="501"/>
      <c r="BE3369" s="501"/>
      <c r="BF3369" s="501"/>
      <c r="BG3369" s="501"/>
      <c r="BH3369" s="501"/>
      <c r="BI3369" s="501"/>
      <c r="BJ3369" s="501"/>
      <c r="BK3369" s="501"/>
      <c r="BL3369" s="501"/>
      <c r="BM3369" s="501"/>
      <c r="BN3369" s="501"/>
      <c r="BO3369" s="501"/>
      <c r="BP3369" s="501"/>
      <c r="BQ3369" s="501"/>
      <c r="BR3369" s="501"/>
      <c r="BS3369" s="501"/>
      <c r="BT3369" s="501"/>
      <c r="BU3369" s="501"/>
      <c r="BV3369" s="501"/>
      <c r="BW3369" s="501"/>
      <c r="BX3369" s="501"/>
      <c r="BY3369" s="501"/>
      <c r="BZ3369" s="501"/>
      <c r="CA3369" s="501"/>
      <c r="CB3369" s="501"/>
      <c r="CC3369" s="501"/>
      <c r="CD3369" s="501"/>
      <c r="CE3369" s="501"/>
      <c r="CF3369" s="501"/>
      <c r="CG3369" s="501"/>
      <c r="CH3369" s="501"/>
      <c r="CI3369" s="501"/>
      <c r="CJ3369" s="501"/>
      <c r="CK3369" s="501"/>
      <c r="CL3369" s="501"/>
      <c r="CM3369" s="501"/>
      <c r="CN3369" s="501"/>
      <c r="CO3369" s="501"/>
      <c r="CP3369" s="501"/>
      <c r="CQ3369" s="501"/>
      <c r="CR3369" s="501"/>
      <c r="CS3369" s="501"/>
      <c r="CT3369" s="501"/>
      <c r="CU3369" s="501"/>
      <c r="CV3369" s="501"/>
      <c r="CW3369" s="501"/>
      <c r="CX3369" s="501"/>
      <c r="CY3369" s="501"/>
      <c r="CZ3369" s="501"/>
      <c r="DA3369" s="501"/>
      <c r="DB3369" s="501"/>
      <c r="DC3369" s="501"/>
      <c r="DD3369" s="501"/>
      <c r="DE3369" s="501"/>
      <c r="DF3369" s="501"/>
      <c r="DG3369" s="501"/>
      <c r="DH3369" s="501"/>
      <c r="DI3369" s="501"/>
      <c r="DJ3369" s="501"/>
      <c r="DK3369" s="501"/>
      <c r="DL3369" s="501"/>
      <c r="DM3369" s="501"/>
      <c r="DN3369" s="501"/>
      <c r="DO3369" s="501"/>
      <c r="DP3369" s="501"/>
      <c r="DQ3369" s="501"/>
      <c r="DR3369" s="501"/>
      <c r="DS3369" s="501"/>
      <c r="DT3369" s="501"/>
      <c r="DU3369" s="501"/>
      <c r="DV3369" s="501"/>
      <c r="DW3369" s="501"/>
      <c r="DX3369" s="501"/>
      <c r="DY3369" s="501"/>
      <c r="DZ3369" s="501"/>
      <c r="EA3369" s="501"/>
      <c r="EB3369" s="501"/>
      <c r="EC3369" s="501"/>
      <c r="ED3369" s="501"/>
      <c r="EE3369" s="501"/>
      <c r="EF3369" s="501"/>
      <c r="EG3369" s="501"/>
      <c r="EH3369" s="501"/>
      <c r="EI3369" s="501"/>
      <c r="EJ3369" s="501"/>
      <c r="EK3369" s="501"/>
      <c r="EL3369" s="501"/>
      <c r="EM3369" s="501"/>
      <c r="EN3369" s="501"/>
      <c r="EO3369" s="501"/>
      <c r="EP3369" s="501"/>
      <c r="EQ3369" s="501"/>
      <c r="ER3369" s="501"/>
      <c r="ES3369" s="501"/>
      <c r="ET3369" s="501"/>
      <c r="EU3369" s="501"/>
      <c r="EV3369" s="501"/>
      <c r="EW3369" s="501"/>
      <c r="EX3369" s="501"/>
      <c r="EY3369" s="501"/>
      <c r="EZ3369" s="501"/>
      <c r="FA3369" s="501"/>
      <c r="FB3369" s="501"/>
      <c r="FC3369" s="501"/>
      <c r="FD3369" s="501"/>
      <c r="FE3369" s="501"/>
      <c r="FF3369" s="501"/>
      <c r="FG3369" s="501"/>
      <c r="FH3369" s="501"/>
      <c r="FI3369" s="501"/>
      <c r="FJ3369" s="501"/>
      <c r="FK3369" s="501"/>
      <c r="FL3369" s="501"/>
      <c r="FM3369" s="501"/>
      <c r="FN3369" s="501"/>
      <c r="FO3369" s="501"/>
      <c r="FP3369" s="501"/>
      <c r="FQ3369" s="501"/>
      <c r="FR3369" s="501"/>
      <c r="FS3369" s="501"/>
      <c r="FT3369" s="501"/>
      <c r="FU3369" s="501"/>
      <c r="FV3369" s="501"/>
      <c r="FW3369" s="501"/>
      <c r="FX3369" s="501"/>
      <c r="FY3369" s="501"/>
      <c r="FZ3369" s="501"/>
      <c r="GA3369" s="501"/>
      <c r="GB3369" s="501"/>
      <c r="GC3369" s="501"/>
      <c r="GD3369" s="501"/>
      <c r="GE3369" s="501"/>
      <c r="GF3369" s="501"/>
      <c r="GG3369" s="501"/>
      <c r="GH3369" s="501"/>
      <c r="GI3369" s="501"/>
      <c r="GJ3369" s="501"/>
      <c r="GK3369" s="501"/>
      <c r="GL3369" s="501"/>
      <c r="GM3369" s="501"/>
      <c r="GN3369" s="501"/>
      <c r="GO3369" s="501"/>
      <c r="GP3369" s="501"/>
      <c r="GQ3369" s="501"/>
      <c r="GR3369" s="501"/>
      <c r="GS3369" s="501"/>
      <c r="GT3369" s="501"/>
      <c r="GU3369" s="501"/>
      <c r="GV3369" s="501"/>
      <c r="GW3369" s="501"/>
      <c r="GX3369" s="501"/>
      <c r="GY3369" s="501"/>
      <c r="GZ3369" s="501"/>
      <c r="HA3369" s="501"/>
      <c r="HB3369" s="501"/>
      <c r="HC3369" s="501"/>
      <c r="HD3369" s="501"/>
      <c r="HE3369" s="501"/>
      <c r="HF3369" s="501"/>
      <c r="HG3369" s="501"/>
      <c r="HH3369" s="501"/>
      <c r="HI3369" s="501"/>
      <c r="HJ3369" s="501"/>
      <c r="HK3369" s="501"/>
      <c r="HL3369" s="501"/>
      <c r="HM3369" s="501"/>
      <c r="HN3369" s="501"/>
      <c r="HO3369" s="501"/>
      <c r="HP3369" s="501"/>
      <c r="HQ3369" s="501"/>
      <c r="HR3369" s="501"/>
      <c r="HS3369" s="501"/>
      <c r="HT3369" s="501"/>
      <c r="HU3369" s="501"/>
      <c r="HV3369" s="501"/>
      <c r="HW3369" s="501"/>
      <c r="HX3369" s="501"/>
      <c r="HY3369" s="501"/>
      <c r="HZ3369" s="501"/>
      <c r="IA3369" s="501"/>
      <c r="IB3369" s="501"/>
      <c r="IC3369" s="501"/>
      <c r="ID3369" s="501"/>
      <c r="IE3369" s="501"/>
      <c r="IF3369" s="501"/>
      <c r="IG3369" s="501"/>
      <c r="IH3369" s="501"/>
      <c r="II3369" s="501"/>
      <c r="IJ3369" s="501"/>
      <c r="IK3369" s="501"/>
      <c r="IL3369" s="501"/>
      <c r="IM3369" s="501"/>
      <c r="IN3369" s="501"/>
      <c r="IO3369" s="501"/>
      <c r="IP3369" s="501"/>
      <c r="IQ3369" s="501"/>
      <c r="IR3369" s="501"/>
      <c r="IS3369" s="501"/>
      <c r="IT3369" s="501"/>
      <c r="IU3369" s="501"/>
    </row>
    <row r="3370" spans="1:255" s="877" customFormat="1" ht="24" customHeight="1">
      <c r="A3370" s="501"/>
      <c r="B3370" s="501"/>
      <c r="C3370" s="501"/>
      <c r="D3370" s="501"/>
      <c r="E3370" s="501"/>
      <c r="F3370" s="1097"/>
      <c r="G3370" s="1098"/>
      <c r="H3370" s="1097"/>
      <c r="I3370" s="1099"/>
      <c r="J3370" s="973"/>
      <c r="K3370" s="501"/>
      <c r="L3370" s="554"/>
      <c r="M3370" s="1102"/>
      <c r="N3370" s="501"/>
      <c r="O3370" s="974"/>
      <c r="P3370" s="1152"/>
      <c r="Q3370" s="973"/>
      <c r="R3370" s="1097"/>
      <c r="S3370" s="1101"/>
      <c r="T3370" s="1097"/>
      <c r="V3370" s="501"/>
      <c r="W3370" s="501"/>
      <c r="X3370" s="501"/>
      <c r="Y3370" s="501"/>
      <c r="Z3370" s="501"/>
      <c r="AA3370" s="501"/>
      <c r="AB3370" s="501"/>
      <c r="AC3370" s="501"/>
      <c r="AD3370" s="501"/>
      <c r="AE3370" s="501"/>
      <c r="AF3370" s="501"/>
      <c r="AG3370" s="501"/>
      <c r="AH3370" s="501"/>
      <c r="AI3370" s="501"/>
      <c r="AJ3370" s="501"/>
      <c r="AK3370" s="501"/>
      <c r="AL3370" s="501"/>
      <c r="AM3370" s="501"/>
      <c r="AN3370" s="501"/>
      <c r="AO3370" s="501"/>
      <c r="AP3370" s="501"/>
      <c r="AQ3370" s="501"/>
      <c r="AR3370" s="501"/>
      <c r="AS3370" s="501"/>
      <c r="AT3370" s="501"/>
      <c r="AU3370" s="501"/>
      <c r="AV3370" s="501"/>
      <c r="AW3370" s="501"/>
      <c r="AX3370" s="501"/>
      <c r="AY3370" s="501"/>
      <c r="AZ3370" s="501"/>
      <c r="BA3370" s="501"/>
      <c r="BB3370" s="501"/>
      <c r="BC3370" s="501"/>
      <c r="BD3370" s="501"/>
      <c r="BE3370" s="501"/>
      <c r="BF3370" s="501"/>
      <c r="BG3370" s="501"/>
      <c r="BH3370" s="501"/>
      <c r="BI3370" s="501"/>
      <c r="BJ3370" s="501"/>
      <c r="BK3370" s="501"/>
      <c r="BL3370" s="501"/>
      <c r="BM3370" s="501"/>
      <c r="BN3370" s="501"/>
      <c r="BO3370" s="501"/>
      <c r="BP3370" s="501"/>
      <c r="BQ3370" s="501"/>
      <c r="BR3370" s="501"/>
      <c r="BS3370" s="501"/>
      <c r="BT3370" s="501"/>
      <c r="BU3370" s="501"/>
      <c r="BV3370" s="501"/>
      <c r="BW3370" s="501"/>
      <c r="BX3370" s="501"/>
      <c r="BY3370" s="501"/>
      <c r="BZ3370" s="501"/>
      <c r="CA3370" s="501"/>
      <c r="CB3370" s="501"/>
      <c r="CC3370" s="501"/>
      <c r="CD3370" s="501"/>
      <c r="CE3370" s="501"/>
      <c r="CF3370" s="501"/>
      <c r="CG3370" s="501"/>
      <c r="CH3370" s="501"/>
      <c r="CI3370" s="501"/>
      <c r="CJ3370" s="501"/>
      <c r="CK3370" s="501"/>
      <c r="CL3370" s="501"/>
      <c r="CM3370" s="501"/>
      <c r="CN3370" s="501"/>
      <c r="CO3370" s="501"/>
      <c r="CP3370" s="501"/>
      <c r="CQ3370" s="501"/>
      <c r="CR3370" s="501"/>
      <c r="CS3370" s="501"/>
      <c r="CT3370" s="501"/>
      <c r="CU3370" s="501"/>
      <c r="CV3370" s="501"/>
      <c r="CW3370" s="501"/>
      <c r="CX3370" s="501"/>
      <c r="CY3370" s="501"/>
      <c r="CZ3370" s="501"/>
      <c r="DA3370" s="501"/>
      <c r="DB3370" s="501"/>
      <c r="DC3370" s="501"/>
      <c r="DD3370" s="501"/>
      <c r="DE3370" s="501"/>
      <c r="DF3370" s="501"/>
      <c r="DG3370" s="501"/>
      <c r="DH3370" s="501"/>
      <c r="DI3370" s="501"/>
      <c r="DJ3370" s="501"/>
      <c r="DK3370" s="501"/>
      <c r="DL3370" s="501"/>
      <c r="DM3370" s="501"/>
      <c r="DN3370" s="501"/>
      <c r="DO3370" s="501"/>
      <c r="DP3370" s="501"/>
      <c r="DQ3370" s="501"/>
      <c r="DR3370" s="501"/>
      <c r="DS3370" s="501"/>
      <c r="DT3370" s="501"/>
      <c r="DU3370" s="501"/>
      <c r="DV3370" s="501"/>
      <c r="DW3370" s="501"/>
      <c r="DX3370" s="501"/>
      <c r="DY3370" s="501"/>
      <c r="DZ3370" s="501"/>
      <c r="EA3370" s="501"/>
      <c r="EB3370" s="501"/>
      <c r="EC3370" s="501"/>
      <c r="ED3370" s="501"/>
      <c r="EE3370" s="501"/>
      <c r="EF3370" s="501"/>
      <c r="EG3370" s="501"/>
      <c r="EH3370" s="501"/>
      <c r="EI3370" s="501"/>
      <c r="EJ3370" s="501"/>
      <c r="EK3370" s="501"/>
      <c r="EL3370" s="501"/>
      <c r="EM3370" s="501"/>
      <c r="EN3370" s="501"/>
      <c r="EO3370" s="501"/>
      <c r="EP3370" s="501"/>
      <c r="EQ3370" s="501"/>
      <c r="ER3370" s="501"/>
      <c r="ES3370" s="501"/>
      <c r="ET3370" s="501"/>
      <c r="EU3370" s="501"/>
      <c r="EV3370" s="501"/>
      <c r="EW3370" s="501"/>
      <c r="EX3370" s="501"/>
      <c r="EY3370" s="501"/>
      <c r="EZ3370" s="501"/>
      <c r="FA3370" s="501"/>
      <c r="FB3370" s="501"/>
      <c r="FC3370" s="501"/>
      <c r="FD3370" s="501"/>
      <c r="FE3370" s="501"/>
      <c r="FF3370" s="501"/>
      <c r="FG3370" s="501"/>
      <c r="FH3370" s="501"/>
      <c r="FI3370" s="501"/>
      <c r="FJ3370" s="501"/>
      <c r="FK3370" s="501"/>
      <c r="FL3370" s="501"/>
      <c r="FM3370" s="501"/>
      <c r="FN3370" s="501"/>
      <c r="FO3370" s="501"/>
      <c r="FP3370" s="501"/>
      <c r="FQ3370" s="501"/>
      <c r="FR3370" s="501"/>
      <c r="FS3370" s="501"/>
      <c r="FT3370" s="501"/>
      <c r="FU3370" s="501"/>
      <c r="FV3370" s="501"/>
      <c r="FW3370" s="501"/>
      <c r="FX3370" s="501"/>
      <c r="FY3370" s="501"/>
      <c r="FZ3370" s="501"/>
      <c r="GA3370" s="501"/>
      <c r="GB3370" s="501"/>
      <c r="GC3370" s="501"/>
      <c r="GD3370" s="501"/>
      <c r="GE3370" s="501"/>
      <c r="GF3370" s="501"/>
      <c r="GG3370" s="501"/>
      <c r="GH3370" s="501"/>
      <c r="GI3370" s="501"/>
      <c r="GJ3370" s="501"/>
      <c r="GK3370" s="501"/>
      <c r="GL3370" s="501"/>
      <c r="GM3370" s="501"/>
      <c r="GN3370" s="501"/>
      <c r="GO3370" s="501"/>
      <c r="GP3370" s="501"/>
      <c r="GQ3370" s="501"/>
      <c r="GR3370" s="501"/>
      <c r="GS3370" s="501"/>
      <c r="GT3370" s="501"/>
      <c r="GU3370" s="501"/>
      <c r="GV3370" s="501"/>
      <c r="GW3370" s="501"/>
      <c r="GX3370" s="501"/>
      <c r="GY3370" s="501"/>
      <c r="GZ3370" s="501"/>
      <c r="HA3370" s="501"/>
      <c r="HB3370" s="501"/>
      <c r="HC3370" s="501"/>
      <c r="HD3370" s="501"/>
      <c r="HE3370" s="501"/>
      <c r="HF3370" s="501"/>
      <c r="HG3370" s="501"/>
      <c r="HH3370" s="501"/>
      <c r="HI3370" s="501"/>
      <c r="HJ3370" s="501"/>
      <c r="HK3370" s="501"/>
      <c r="HL3370" s="501"/>
      <c r="HM3370" s="501"/>
      <c r="HN3370" s="501"/>
      <c r="HO3370" s="501"/>
      <c r="HP3370" s="501"/>
      <c r="HQ3370" s="501"/>
      <c r="HR3370" s="501"/>
      <c r="HS3370" s="501"/>
      <c r="HT3370" s="501"/>
      <c r="HU3370" s="501"/>
      <c r="HV3370" s="501"/>
      <c r="HW3370" s="501"/>
      <c r="HX3370" s="501"/>
      <c r="HY3370" s="501"/>
      <c r="HZ3370" s="501"/>
      <c r="IA3370" s="501"/>
      <c r="IB3370" s="501"/>
      <c r="IC3370" s="501"/>
      <c r="ID3370" s="501"/>
      <c r="IE3370" s="501"/>
      <c r="IF3370" s="501"/>
      <c r="IG3370" s="501"/>
      <c r="IH3370" s="501"/>
      <c r="II3370" s="501"/>
      <c r="IJ3370" s="501"/>
      <c r="IK3370" s="501"/>
      <c r="IL3370" s="501"/>
      <c r="IM3370" s="501"/>
      <c r="IN3370" s="501"/>
      <c r="IO3370" s="501"/>
      <c r="IP3370" s="501"/>
      <c r="IQ3370" s="501"/>
      <c r="IR3370" s="501"/>
      <c r="IS3370" s="501"/>
      <c r="IT3370" s="501"/>
      <c r="IU3370" s="501"/>
    </row>
    <row r="3371" spans="1:255" s="877" customFormat="1" ht="24" customHeight="1">
      <c r="A3371" s="501"/>
      <c r="B3371" s="501"/>
      <c r="C3371" s="501"/>
      <c r="D3371" s="501"/>
      <c r="E3371" s="501"/>
      <c r="F3371" s="1097"/>
      <c r="G3371" s="1098"/>
      <c r="H3371" s="1097"/>
      <c r="I3371" s="1099"/>
      <c r="J3371" s="973"/>
      <c r="K3371" s="1102"/>
      <c r="L3371" s="1187"/>
      <c r="M3371" s="1102"/>
      <c r="N3371" s="501"/>
      <c r="O3371" s="1097"/>
      <c r="P3371" s="1151"/>
      <c r="Q3371" s="973"/>
      <c r="R3371" s="1097"/>
      <c r="S3371" s="1101"/>
      <c r="T3371" s="1097"/>
      <c r="V3371" s="501"/>
      <c r="W3371" s="501"/>
      <c r="X3371" s="501"/>
      <c r="Y3371" s="501"/>
      <c r="Z3371" s="501"/>
      <c r="AA3371" s="501"/>
      <c r="AB3371" s="501"/>
      <c r="AC3371" s="501"/>
      <c r="AD3371" s="501"/>
      <c r="AE3371" s="501"/>
      <c r="AF3371" s="501"/>
      <c r="AG3371" s="501"/>
      <c r="AH3371" s="501"/>
      <c r="AI3371" s="501"/>
      <c r="AJ3371" s="501"/>
      <c r="AK3371" s="501"/>
      <c r="AL3371" s="501"/>
      <c r="AM3371" s="501"/>
      <c r="AN3371" s="501"/>
      <c r="AO3371" s="501"/>
      <c r="AP3371" s="501"/>
      <c r="AQ3371" s="501"/>
      <c r="AR3371" s="501"/>
      <c r="AS3371" s="501"/>
      <c r="AT3371" s="501"/>
      <c r="AU3371" s="501"/>
      <c r="AV3371" s="501"/>
      <c r="AW3371" s="501"/>
      <c r="AX3371" s="501"/>
      <c r="AY3371" s="501"/>
      <c r="AZ3371" s="501"/>
      <c r="BA3371" s="501"/>
      <c r="BB3371" s="501"/>
      <c r="BC3371" s="501"/>
      <c r="BD3371" s="501"/>
      <c r="BE3371" s="501"/>
      <c r="BF3371" s="501"/>
      <c r="BG3371" s="501"/>
      <c r="BH3371" s="501"/>
      <c r="BI3371" s="501"/>
      <c r="BJ3371" s="501"/>
      <c r="BK3371" s="501"/>
      <c r="BL3371" s="501"/>
      <c r="BM3371" s="501"/>
      <c r="BN3371" s="501"/>
      <c r="BO3371" s="501"/>
      <c r="BP3371" s="501"/>
      <c r="BQ3371" s="501"/>
      <c r="BR3371" s="501"/>
      <c r="BS3371" s="501"/>
      <c r="BT3371" s="501"/>
      <c r="BU3371" s="501"/>
      <c r="BV3371" s="501"/>
      <c r="BW3371" s="501"/>
      <c r="BX3371" s="501"/>
      <c r="BY3371" s="501"/>
      <c r="BZ3371" s="501"/>
      <c r="CA3371" s="501"/>
      <c r="CB3371" s="501"/>
      <c r="CC3371" s="501"/>
      <c r="CD3371" s="501"/>
      <c r="CE3371" s="501"/>
      <c r="CF3371" s="501"/>
      <c r="CG3371" s="501"/>
      <c r="CH3371" s="501"/>
      <c r="CI3371" s="501"/>
      <c r="CJ3371" s="501"/>
      <c r="CK3371" s="501"/>
      <c r="CL3371" s="501"/>
      <c r="CM3371" s="501"/>
      <c r="CN3371" s="501"/>
      <c r="CO3371" s="501"/>
      <c r="CP3371" s="501"/>
      <c r="CQ3371" s="501"/>
      <c r="CR3371" s="501"/>
      <c r="CS3371" s="501"/>
      <c r="CT3371" s="501"/>
      <c r="CU3371" s="501"/>
      <c r="CV3371" s="501"/>
      <c r="CW3371" s="501"/>
      <c r="CX3371" s="501"/>
      <c r="CY3371" s="501"/>
      <c r="CZ3371" s="501"/>
      <c r="DA3371" s="501"/>
      <c r="DB3371" s="501"/>
      <c r="DC3371" s="501"/>
      <c r="DD3371" s="501"/>
      <c r="DE3371" s="501"/>
      <c r="DF3371" s="501"/>
      <c r="DG3371" s="501"/>
      <c r="DH3371" s="501"/>
      <c r="DI3371" s="501"/>
      <c r="DJ3371" s="501"/>
      <c r="DK3371" s="501"/>
      <c r="DL3371" s="501"/>
      <c r="DM3371" s="501"/>
      <c r="DN3371" s="501"/>
      <c r="DO3371" s="501"/>
      <c r="DP3371" s="501"/>
      <c r="DQ3371" s="501"/>
      <c r="DR3371" s="501"/>
      <c r="DS3371" s="501"/>
      <c r="DT3371" s="501"/>
      <c r="DU3371" s="501"/>
      <c r="DV3371" s="501"/>
      <c r="DW3371" s="501"/>
      <c r="DX3371" s="501"/>
      <c r="DY3371" s="501"/>
      <c r="DZ3371" s="501"/>
      <c r="EA3371" s="501"/>
      <c r="EB3371" s="501"/>
      <c r="EC3371" s="501"/>
      <c r="ED3371" s="501"/>
      <c r="EE3371" s="501"/>
      <c r="EF3371" s="501"/>
      <c r="EG3371" s="501"/>
      <c r="EH3371" s="501"/>
      <c r="EI3371" s="501"/>
      <c r="EJ3371" s="501"/>
      <c r="EK3371" s="501"/>
      <c r="EL3371" s="501"/>
      <c r="EM3371" s="501"/>
      <c r="EN3371" s="501"/>
      <c r="EO3371" s="501"/>
      <c r="EP3371" s="501"/>
      <c r="EQ3371" s="501"/>
      <c r="ER3371" s="501"/>
      <c r="ES3371" s="501"/>
      <c r="ET3371" s="501"/>
      <c r="EU3371" s="501"/>
      <c r="EV3371" s="501"/>
      <c r="EW3371" s="501"/>
      <c r="EX3371" s="501"/>
      <c r="EY3371" s="501"/>
      <c r="EZ3371" s="501"/>
      <c r="FA3371" s="501"/>
      <c r="FB3371" s="501"/>
      <c r="FC3371" s="501"/>
      <c r="FD3371" s="501"/>
      <c r="FE3371" s="501"/>
      <c r="FF3371" s="501"/>
      <c r="FG3371" s="501"/>
      <c r="FH3371" s="501"/>
      <c r="FI3371" s="501"/>
      <c r="FJ3371" s="501"/>
      <c r="FK3371" s="501"/>
      <c r="FL3371" s="501"/>
      <c r="FM3371" s="501"/>
      <c r="FN3371" s="501"/>
      <c r="FO3371" s="501"/>
      <c r="FP3371" s="501"/>
      <c r="FQ3371" s="501"/>
      <c r="FR3371" s="501"/>
      <c r="FS3371" s="501"/>
      <c r="FT3371" s="501"/>
      <c r="FU3371" s="501"/>
      <c r="FV3371" s="501"/>
      <c r="FW3371" s="501"/>
      <c r="FX3371" s="501"/>
      <c r="FY3371" s="501"/>
      <c r="FZ3371" s="501"/>
      <c r="GA3371" s="501"/>
      <c r="GB3371" s="501"/>
      <c r="GC3371" s="501"/>
      <c r="GD3371" s="501"/>
      <c r="GE3371" s="501"/>
      <c r="GF3371" s="501"/>
      <c r="GG3371" s="501"/>
      <c r="GH3371" s="501"/>
      <c r="GI3371" s="501"/>
      <c r="GJ3371" s="501"/>
      <c r="GK3371" s="501"/>
      <c r="GL3371" s="501"/>
      <c r="GM3371" s="501"/>
      <c r="GN3371" s="501"/>
      <c r="GO3371" s="501"/>
      <c r="GP3371" s="501"/>
      <c r="GQ3371" s="501"/>
      <c r="GR3371" s="501"/>
      <c r="GS3371" s="501"/>
      <c r="GT3371" s="501"/>
      <c r="GU3371" s="501"/>
      <c r="GV3371" s="501"/>
      <c r="GW3371" s="501"/>
      <c r="GX3371" s="501"/>
      <c r="GY3371" s="501"/>
      <c r="GZ3371" s="501"/>
      <c r="HA3371" s="501"/>
      <c r="HB3371" s="501"/>
      <c r="HC3371" s="501"/>
      <c r="HD3371" s="501"/>
      <c r="HE3371" s="501"/>
      <c r="HF3371" s="501"/>
      <c r="HG3371" s="501"/>
      <c r="HH3371" s="501"/>
      <c r="HI3371" s="501"/>
      <c r="HJ3371" s="501"/>
      <c r="HK3371" s="501"/>
      <c r="HL3371" s="501"/>
      <c r="HM3371" s="501"/>
      <c r="HN3371" s="501"/>
      <c r="HO3371" s="501"/>
      <c r="HP3371" s="501"/>
      <c r="HQ3371" s="501"/>
      <c r="HR3371" s="501"/>
      <c r="HS3371" s="501"/>
      <c r="HT3371" s="501"/>
      <c r="HU3371" s="501"/>
      <c r="HV3371" s="501"/>
      <c r="HW3371" s="501"/>
      <c r="HX3371" s="501"/>
      <c r="HY3371" s="501"/>
      <c r="HZ3371" s="501"/>
      <c r="IA3371" s="501"/>
      <c r="IB3371" s="501"/>
      <c r="IC3371" s="501"/>
      <c r="ID3371" s="501"/>
      <c r="IE3371" s="501"/>
      <c r="IF3371" s="501"/>
      <c r="IG3371" s="501"/>
      <c r="IH3371" s="501"/>
      <c r="II3371" s="501"/>
      <c r="IJ3371" s="501"/>
      <c r="IK3371" s="501"/>
      <c r="IL3371" s="501"/>
      <c r="IM3371" s="501"/>
      <c r="IN3371" s="501"/>
      <c r="IO3371" s="501"/>
      <c r="IP3371" s="501"/>
      <c r="IQ3371" s="501"/>
      <c r="IR3371" s="501"/>
      <c r="IS3371" s="501"/>
      <c r="IT3371" s="501"/>
      <c r="IU3371" s="501"/>
    </row>
    <row r="3372" spans="1:255" s="877" customFormat="1" ht="24" customHeight="1">
      <c r="A3372" s="501"/>
      <c r="B3372" s="501"/>
      <c r="C3372" s="501"/>
      <c r="D3372" s="501"/>
      <c r="E3372" s="501"/>
      <c r="F3372" s="1097"/>
      <c r="G3372" s="1098"/>
      <c r="H3372" s="1097"/>
      <c r="I3372" s="1099"/>
      <c r="J3372" s="973"/>
      <c r="K3372" s="1102"/>
      <c r="L3372" s="1195"/>
      <c r="M3372" s="1153"/>
      <c r="N3372" s="501"/>
      <c r="O3372" s="1097"/>
      <c r="P3372" s="1151"/>
      <c r="Q3372" s="1184"/>
      <c r="R3372" s="1097"/>
      <c r="S3372" s="1101"/>
      <c r="T3372" s="1097"/>
      <c r="V3372" s="501"/>
      <c r="W3372" s="501"/>
      <c r="X3372" s="501"/>
      <c r="Y3372" s="501"/>
      <c r="Z3372" s="501"/>
      <c r="AA3372" s="501"/>
      <c r="AB3372" s="501"/>
      <c r="AC3372" s="501"/>
      <c r="AD3372" s="501"/>
      <c r="AE3372" s="501"/>
      <c r="AF3372" s="501"/>
      <c r="AG3372" s="501"/>
      <c r="AH3372" s="501"/>
      <c r="AI3372" s="501"/>
      <c r="AJ3372" s="501"/>
      <c r="AK3372" s="501"/>
      <c r="AL3372" s="501"/>
      <c r="AM3372" s="501"/>
      <c r="AN3372" s="501"/>
      <c r="AO3372" s="501"/>
      <c r="AP3372" s="501"/>
      <c r="AQ3372" s="501"/>
      <c r="AR3372" s="501"/>
      <c r="AS3372" s="501"/>
      <c r="AT3372" s="501"/>
      <c r="AU3372" s="501"/>
      <c r="AV3372" s="501"/>
      <c r="AW3372" s="501"/>
      <c r="AX3372" s="501"/>
      <c r="AY3372" s="501"/>
      <c r="AZ3372" s="501"/>
      <c r="BA3372" s="501"/>
      <c r="BB3372" s="501"/>
      <c r="BC3372" s="501"/>
      <c r="BD3372" s="501"/>
      <c r="BE3372" s="501"/>
      <c r="BF3372" s="501"/>
      <c r="BG3372" s="501"/>
      <c r="BH3372" s="501"/>
      <c r="BI3372" s="501"/>
      <c r="BJ3372" s="501"/>
      <c r="BK3372" s="501"/>
      <c r="BL3372" s="501"/>
      <c r="BM3372" s="501"/>
      <c r="BN3372" s="501"/>
      <c r="BO3372" s="501"/>
      <c r="BP3372" s="501"/>
      <c r="BQ3372" s="501"/>
      <c r="BR3372" s="501"/>
      <c r="BS3372" s="501"/>
      <c r="BT3372" s="501"/>
      <c r="BU3372" s="501"/>
      <c r="BV3372" s="501"/>
      <c r="BW3372" s="501"/>
      <c r="BX3372" s="501"/>
      <c r="BY3372" s="501"/>
      <c r="BZ3372" s="501"/>
      <c r="CA3372" s="501"/>
      <c r="CB3372" s="501"/>
      <c r="CC3372" s="501"/>
      <c r="CD3372" s="501"/>
      <c r="CE3372" s="501"/>
      <c r="CF3372" s="501"/>
      <c r="CG3372" s="501"/>
      <c r="CH3372" s="501"/>
      <c r="CI3372" s="501"/>
      <c r="CJ3372" s="501"/>
      <c r="CK3372" s="501"/>
      <c r="CL3372" s="501"/>
      <c r="CM3372" s="501"/>
      <c r="CN3372" s="501"/>
      <c r="CO3372" s="501"/>
      <c r="CP3372" s="501"/>
      <c r="CQ3372" s="501"/>
      <c r="CR3372" s="501"/>
      <c r="CS3372" s="501"/>
      <c r="CT3372" s="501"/>
      <c r="CU3372" s="501"/>
      <c r="CV3372" s="501"/>
      <c r="CW3372" s="501"/>
      <c r="CX3372" s="501"/>
      <c r="CY3372" s="501"/>
      <c r="CZ3372" s="501"/>
      <c r="DA3372" s="501"/>
      <c r="DB3372" s="501"/>
      <c r="DC3372" s="501"/>
      <c r="DD3372" s="501"/>
      <c r="DE3372" s="501"/>
      <c r="DF3372" s="501"/>
      <c r="DG3372" s="501"/>
      <c r="DH3372" s="501"/>
      <c r="DI3372" s="501"/>
      <c r="DJ3372" s="501"/>
      <c r="DK3372" s="501"/>
      <c r="DL3372" s="501"/>
      <c r="DM3372" s="501"/>
      <c r="DN3372" s="501"/>
      <c r="DO3372" s="501"/>
      <c r="DP3372" s="501"/>
      <c r="DQ3372" s="501"/>
      <c r="DR3372" s="501"/>
      <c r="DS3372" s="501"/>
      <c r="DT3372" s="501"/>
      <c r="DU3372" s="501"/>
      <c r="DV3372" s="501"/>
      <c r="DW3372" s="501"/>
      <c r="DX3372" s="501"/>
      <c r="DY3372" s="501"/>
      <c r="DZ3372" s="501"/>
      <c r="EA3372" s="501"/>
      <c r="EB3372" s="501"/>
      <c r="EC3372" s="501"/>
      <c r="ED3372" s="501"/>
      <c r="EE3372" s="501"/>
      <c r="EF3372" s="501"/>
      <c r="EG3372" s="501"/>
      <c r="EH3372" s="501"/>
      <c r="EI3372" s="501"/>
      <c r="EJ3372" s="501"/>
      <c r="EK3372" s="501"/>
      <c r="EL3372" s="501"/>
      <c r="EM3372" s="501"/>
      <c r="EN3372" s="501"/>
      <c r="EO3372" s="501"/>
      <c r="EP3372" s="501"/>
      <c r="EQ3372" s="501"/>
      <c r="ER3372" s="501"/>
      <c r="ES3372" s="501"/>
      <c r="ET3372" s="501"/>
      <c r="EU3372" s="501"/>
      <c r="EV3372" s="501"/>
      <c r="EW3372" s="501"/>
      <c r="EX3372" s="501"/>
      <c r="EY3372" s="501"/>
      <c r="EZ3372" s="501"/>
      <c r="FA3372" s="501"/>
      <c r="FB3372" s="501"/>
      <c r="FC3372" s="501"/>
      <c r="FD3372" s="501"/>
      <c r="FE3372" s="501"/>
      <c r="FF3372" s="501"/>
      <c r="FG3372" s="501"/>
      <c r="FH3372" s="501"/>
      <c r="FI3372" s="501"/>
      <c r="FJ3372" s="501"/>
      <c r="FK3372" s="501"/>
      <c r="FL3372" s="501"/>
      <c r="FM3372" s="501"/>
      <c r="FN3372" s="501"/>
      <c r="FO3372" s="501"/>
      <c r="FP3372" s="501"/>
      <c r="FQ3372" s="501"/>
      <c r="FR3372" s="501"/>
      <c r="FS3372" s="501"/>
      <c r="FT3372" s="501"/>
      <c r="FU3372" s="501"/>
      <c r="FV3372" s="501"/>
      <c r="FW3372" s="501"/>
      <c r="FX3372" s="501"/>
      <c r="FY3372" s="501"/>
      <c r="FZ3372" s="501"/>
      <c r="GA3372" s="501"/>
      <c r="GB3372" s="501"/>
      <c r="GC3372" s="501"/>
      <c r="GD3372" s="501"/>
      <c r="GE3372" s="501"/>
      <c r="GF3372" s="501"/>
      <c r="GG3372" s="501"/>
      <c r="GH3372" s="501"/>
      <c r="GI3372" s="501"/>
      <c r="GJ3372" s="501"/>
      <c r="GK3372" s="501"/>
      <c r="GL3372" s="501"/>
      <c r="GM3372" s="501"/>
      <c r="GN3372" s="501"/>
      <c r="GO3372" s="501"/>
      <c r="GP3372" s="501"/>
      <c r="GQ3372" s="501"/>
      <c r="GR3372" s="501"/>
      <c r="GS3372" s="501"/>
      <c r="GT3372" s="501"/>
      <c r="GU3372" s="501"/>
      <c r="GV3372" s="501"/>
      <c r="GW3372" s="501"/>
      <c r="GX3372" s="501"/>
      <c r="GY3372" s="501"/>
      <c r="GZ3372" s="501"/>
      <c r="HA3372" s="501"/>
      <c r="HB3372" s="501"/>
      <c r="HC3372" s="501"/>
      <c r="HD3372" s="501"/>
      <c r="HE3372" s="501"/>
      <c r="HF3372" s="501"/>
      <c r="HG3372" s="501"/>
      <c r="HH3372" s="501"/>
      <c r="HI3372" s="501"/>
      <c r="HJ3372" s="501"/>
      <c r="HK3372" s="501"/>
      <c r="HL3372" s="501"/>
      <c r="HM3372" s="501"/>
      <c r="HN3372" s="501"/>
      <c r="HO3372" s="501"/>
      <c r="HP3372" s="501"/>
      <c r="HQ3372" s="501"/>
      <c r="HR3372" s="501"/>
      <c r="HS3372" s="501"/>
      <c r="HT3372" s="501"/>
      <c r="HU3372" s="501"/>
      <c r="HV3372" s="501"/>
      <c r="HW3372" s="501"/>
      <c r="HX3372" s="501"/>
      <c r="HY3372" s="501"/>
      <c r="HZ3372" s="501"/>
      <c r="IA3372" s="501"/>
      <c r="IB3372" s="501"/>
      <c r="IC3372" s="501"/>
      <c r="ID3372" s="501"/>
      <c r="IE3372" s="501"/>
      <c r="IF3372" s="501"/>
      <c r="IG3372" s="501"/>
      <c r="IH3372" s="501"/>
      <c r="II3372" s="501"/>
      <c r="IJ3372" s="501"/>
      <c r="IK3372" s="501"/>
      <c r="IL3372" s="501"/>
      <c r="IM3372" s="501"/>
      <c r="IN3372" s="501"/>
      <c r="IO3372" s="501"/>
      <c r="IP3372" s="501"/>
      <c r="IQ3372" s="501"/>
      <c r="IR3372" s="501"/>
      <c r="IS3372" s="501"/>
      <c r="IT3372" s="501"/>
      <c r="IU3372" s="501"/>
    </row>
    <row r="3373" spans="1:255" s="877" customFormat="1" ht="24" customHeight="1">
      <c r="A3373" s="501"/>
      <c r="B3373" s="501"/>
      <c r="C3373" s="501"/>
      <c r="D3373" s="501"/>
      <c r="E3373" s="501"/>
      <c r="F3373" s="1097"/>
      <c r="G3373" s="1098"/>
      <c r="H3373" s="1097"/>
      <c r="I3373" s="1099"/>
      <c r="J3373" s="1097"/>
      <c r="K3373" s="1097"/>
      <c r="L3373" s="1106"/>
      <c r="M3373" s="554"/>
      <c r="N3373" s="501"/>
      <c r="O3373" s="1097"/>
      <c r="P3373" s="1151"/>
      <c r="Q3373" s="1106"/>
      <c r="R3373" s="1097"/>
      <c r="S3373" s="1101"/>
      <c r="T3373" s="1097"/>
      <c r="V3373" s="501"/>
      <c r="W3373" s="501"/>
      <c r="X3373" s="501"/>
      <c r="Y3373" s="501"/>
      <c r="Z3373" s="501"/>
      <c r="AA3373" s="501"/>
      <c r="AB3373" s="501"/>
      <c r="AC3373" s="501"/>
      <c r="AD3373" s="501"/>
      <c r="AE3373" s="501"/>
      <c r="AF3373" s="501"/>
      <c r="AG3373" s="501"/>
      <c r="AH3373" s="501"/>
      <c r="AI3373" s="501"/>
      <c r="AJ3373" s="501"/>
      <c r="AK3373" s="501"/>
      <c r="AL3373" s="501"/>
      <c r="AM3373" s="501"/>
      <c r="AN3373" s="501"/>
      <c r="AO3373" s="501"/>
      <c r="AP3373" s="501"/>
      <c r="AQ3373" s="501"/>
      <c r="AR3373" s="501"/>
      <c r="AS3373" s="501"/>
      <c r="AT3373" s="501"/>
      <c r="AU3373" s="501"/>
      <c r="AV3373" s="501"/>
      <c r="AW3373" s="501"/>
      <c r="AX3373" s="501"/>
      <c r="AY3373" s="501"/>
      <c r="AZ3373" s="501"/>
      <c r="BA3373" s="501"/>
      <c r="BB3373" s="501"/>
      <c r="BC3373" s="501"/>
      <c r="BD3373" s="501"/>
      <c r="BE3373" s="501"/>
      <c r="BF3373" s="501"/>
      <c r="BG3373" s="501"/>
      <c r="BH3373" s="501"/>
      <c r="BI3373" s="501"/>
      <c r="BJ3373" s="501"/>
      <c r="BK3373" s="501"/>
      <c r="BL3373" s="501"/>
      <c r="BM3373" s="501"/>
      <c r="BN3373" s="501"/>
      <c r="BO3373" s="501"/>
      <c r="BP3373" s="501"/>
      <c r="BQ3373" s="501"/>
      <c r="BR3373" s="501"/>
      <c r="BS3373" s="501"/>
      <c r="BT3373" s="501"/>
      <c r="BU3373" s="501"/>
      <c r="BV3373" s="501"/>
      <c r="BW3373" s="501"/>
      <c r="BX3373" s="501"/>
      <c r="BY3373" s="501"/>
      <c r="BZ3373" s="501"/>
      <c r="CA3373" s="501"/>
      <c r="CB3373" s="501"/>
      <c r="CC3373" s="501"/>
      <c r="CD3373" s="501"/>
      <c r="CE3373" s="501"/>
      <c r="CF3373" s="501"/>
      <c r="CG3373" s="501"/>
      <c r="CH3373" s="501"/>
      <c r="CI3373" s="501"/>
      <c r="CJ3373" s="501"/>
      <c r="CK3373" s="501"/>
      <c r="CL3373" s="501"/>
      <c r="CM3373" s="501"/>
      <c r="CN3373" s="501"/>
      <c r="CO3373" s="501"/>
      <c r="CP3373" s="501"/>
      <c r="CQ3373" s="501"/>
      <c r="CR3373" s="501"/>
      <c r="CS3373" s="501"/>
      <c r="CT3373" s="501"/>
      <c r="CU3373" s="501"/>
      <c r="CV3373" s="501"/>
      <c r="CW3373" s="501"/>
      <c r="CX3373" s="501"/>
      <c r="CY3373" s="501"/>
      <c r="CZ3373" s="501"/>
      <c r="DA3373" s="501"/>
      <c r="DB3373" s="501"/>
      <c r="DC3373" s="501"/>
      <c r="DD3373" s="501"/>
      <c r="DE3373" s="501"/>
      <c r="DF3373" s="501"/>
      <c r="DG3373" s="501"/>
      <c r="DH3373" s="501"/>
      <c r="DI3373" s="501"/>
      <c r="DJ3373" s="501"/>
      <c r="DK3373" s="501"/>
      <c r="DL3373" s="501"/>
      <c r="DM3373" s="501"/>
      <c r="DN3373" s="501"/>
      <c r="DO3373" s="501"/>
      <c r="DP3373" s="501"/>
      <c r="DQ3373" s="501"/>
      <c r="DR3373" s="501"/>
      <c r="DS3373" s="501"/>
      <c r="DT3373" s="501"/>
      <c r="DU3373" s="501"/>
      <c r="DV3373" s="501"/>
      <c r="DW3373" s="501"/>
      <c r="DX3373" s="501"/>
      <c r="DY3373" s="501"/>
      <c r="DZ3373" s="501"/>
      <c r="EA3373" s="501"/>
      <c r="EB3373" s="501"/>
      <c r="EC3373" s="501"/>
      <c r="ED3373" s="501"/>
      <c r="EE3373" s="501"/>
      <c r="EF3373" s="501"/>
      <c r="EG3373" s="501"/>
      <c r="EH3373" s="501"/>
      <c r="EI3373" s="501"/>
      <c r="EJ3373" s="501"/>
      <c r="EK3373" s="501"/>
      <c r="EL3373" s="501"/>
      <c r="EM3373" s="501"/>
      <c r="EN3373" s="501"/>
      <c r="EO3373" s="501"/>
      <c r="EP3373" s="501"/>
      <c r="EQ3373" s="501"/>
      <c r="ER3373" s="501"/>
      <c r="ES3373" s="501"/>
      <c r="ET3373" s="501"/>
      <c r="EU3373" s="501"/>
      <c r="EV3373" s="501"/>
      <c r="EW3373" s="501"/>
      <c r="EX3373" s="501"/>
      <c r="EY3373" s="501"/>
      <c r="EZ3373" s="501"/>
      <c r="FA3373" s="501"/>
      <c r="FB3373" s="501"/>
      <c r="FC3373" s="501"/>
      <c r="FD3373" s="501"/>
      <c r="FE3373" s="501"/>
      <c r="FF3373" s="501"/>
      <c r="FG3373" s="501"/>
      <c r="FH3373" s="501"/>
      <c r="FI3373" s="501"/>
      <c r="FJ3373" s="501"/>
      <c r="FK3373" s="501"/>
      <c r="FL3373" s="501"/>
      <c r="FM3373" s="501"/>
      <c r="FN3373" s="501"/>
      <c r="FO3373" s="501"/>
      <c r="FP3373" s="501"/>
      <c r="FQ3373" s="501"/>
      <c r="FR3373" s="501"/>
      <c r="FS3373" s="501"/>
      <c r="FT3373" s="501"/>
      <c r="FU3373" s="501"/>
      <c r="FV3373" s="501"/>
      <c r="FW3373" s="501"/>
      <c r="FX3373" s="501"/>
      <c r="FY3373" s="501"/>
      <c r="FZ3373" s="501"/>
      <c r="GA3373" s="501"/>
      <c r="GB3373" s="501"/>
      <c r="GC3373" s="501"/>
      <c r="GD3373" s="501"/>
      <c r="GE3373" s="501"/>
      <c r="GF3373" s="501"/>
      <c r="GG3373" s="501"/>
      <c r="GH3373" s="501"/>
      <c r="GI3373" s="501"/>
      <c r="GJ3373" s="501"/>
      <c r="GK3373" s="501"/>
      <c r="GL3373" s="501"/>
      <c r="GM3373" s="501"/>
      <c r="GN3373" s="501"/>
      <c r="GO3373" s="501"/>
      <c r="GP3373" s="501"/>
      <c r="GQ3373" s="501"/>
      <c r="GR3373" s="501"/>
      <c r="GS3373" s="501"/>
      <c r="GT3373" s="501"/>
      <c r="GU3373" s="501"/>
      <c r="GV3373" s="501"/>
      <c r="GW3373" s="501"/>
      <c r="GX3373" s="501"/>
      <c r="GY3373" s="501"/>
      <c r="GZ3373" s="501"/>
      <c r="HA3373" s="501"/>
      <c r="HB3373" s="501"/>
      <c r="HC3373" s="501"/>
      <c r="HD3373" s="501"/>
      <c r="HE3373" s="501"/>
      <c r="HF3373" s="501"/>
      <c r="HG3373" s="501"/>
      <c r="HH3373" s="501"/>
      <c r="HI3373" s="501"/>
      <c r="HJ3373" s="501"/>
      <c r="HK3373" s="501"/>
      <c r="HL3373" s="501"/>
      <c r="HM3373" s="501"/>
      <c r="HN3373" s="501"/>
      <c r="HO3373" s="501"/>
      <c r="HP3373" s="501"/>
      <c r="HQ3373" s="501"/>
      <c r="HR3373" s="501"/>
      <c r="HS3373" s="501"/>
      <c r="HT3373" s="501"/>
      <c r="HU3373" s="501"/>
      <c r="HV3373" s="501"/>
      <c r="HW3373" s="501"/>
      <c r="HX3373" s="501"/>
      <c r="HY3373" s="501"/>
      <c r="HZ3373" s="501"/>
      <c r="IA3373" s="501"/>
      <c r="IB3373" s="501"/>
      <c r="IC3373" s="501"/>
      <c r="ID3373" s="501"/>
      <c r="IE3373" s="501"/>
      <c r="IF3373" s="501"/>
      <c r="IG3373" s="501"/>
      <c r="IH3373" s="501"/>
      <c r="II3373" s="501"/>
      <c r="IJ3373" s="501"/>
      <c r="IK3373" s="501"/>
      <c r="IL3373" s="501"/>
      <c r="IM3373" s="501"/>
      <c r="IN3373" s="501"/>
      <c r="IO3373" s="501"/>
      <c r="IP3373" s="501"/>
      <c r="IQ3373" s="501"/>
      <c r="IR3373" s="501"/>
      <c r="IS3373" s="501"/>
      <c r="IT3373" s="501"/>
      <c r="IU3373" s="501"/>
    </row>
    <row r="3374" spans="1:255" s="877" customFormat="1" ht="24" customHeight="1">
      <c r="A3374" s="501"/>
      <c r="B3374" s="501"/>
      <c r="C3374" s="501"/>
      <c r="D3374" s="501"/>
      <c r="E3374" s="501"/>
      <c r="F3374" s="1097"/>
      <c r="G3374" s="1098"/>
      <c r="H3374" s="1097"/>
      <c r="I3374" s="1099"/>
      <c r="J3374" s="1097"/>
      <c r="K3374" s="1097"/>
      <c r="L3374" s="1188"/>
      <c r="M3374" s="554"/>
      <c r="N3374" s="501"/>
      <c r="O3374" s="1097"/>
      <c r="P3374" s="1151"/>
      <c r="Q3374" s="973"/>
      <c r="R3374" s="1102"/>
      <c r="S3374" s="1185"/>
      <c r="T3374" s="1097"/>
      <c r="V3374" s="501"/>
      <c r="W3374" s="501"/>
      <c r="X3374" s="501"/>
      <c r="Y3374" s="501"/>
      <c r="Z3374" s="501"/>
      <c r="AA3374" s="501"/>
      <c r="AB3374" s="501"/>
      <c r="AC3374" s="501"/>
      <c r="AD3374" s="501"/>
      <c r="AE3374" s="501"/>
      <c r="AF3374" s="501"/>
      <c r="AG3374" s="501"/>
      <c r="AH3374" s="501"/>
      <c r="AI3374" s="501"/>
      <c r="AJ3374" s="501"/>
      <c r="AK3374" s="501"/>
      <c r="AL3374" s="501"/>
      <c r="AM3374" s="501"/>
      <c r="AN3374" s="501"/>
      <c r="AO3374" s="501"/>
      <c r="AP3374" s="501"/>
      <c r="AQ3374" s="501"/>
      <c r="AR3374" s="501"/>
      <c r="AS3374" s="501"/>
      <c r="AT3374" s="501"/>
      <c r="AU3374" s="501"/>
      <c r="AV3374" s="501"/>
      <c r="AW3374" s="501"/>
      <c r="AX3374" s="501"/>
      <c r="AY3374" s="501"/>
      <c r="AZ3374" s="501"/>
      <c r="BA3374" s="501"/>
      <c r="BB3374" s="501"/>
      <c r="BC3374" s="501"/>
      <c r="BD3374" s="501"/>
      <c r="BE3374" s="501"/>
      <c r="BF3374" s="501"/>
      <c r="BG3374" s="501"/>
      <c r="BH3374" s="501"/>
      <c r="BI3374" s="501"/>
      <c r="BJ3374" s="501"/>
      <c r="BK3374" s="501"/>
      <c r="BL3374" s="501"/>
      <c r="BM3374" s="501"/>
      <c r="BN3374" s="501"/>
      <c r="BO3374" s="501"/>
      <c r="BP3374" s="501"/>
      <c r="BQ3374" s="501"/>
      <c r="BR3374" s="501"/>
      <c r="BS3374" s="501"/>
      <c r="BT3374" s="501"/>
      <c r="BU3374" s="501"/>
      <c r="BV3374" s="501"/>
      <c r="BW3374" s="501"/>
      <c r="BX3374" s="501"/>
      <c r="BY3374" s="501"/>
      <c r="BZ3374" s="501"/>
      <c r="CA3374" s="501"/>
      <c r="CB3374" s="501"/>
      <c r="CC3374" s="501"/>
      <c r="CD3374" s="501"/>
      <c r="CE3374" s="501"/>
      <c r="CF3374" s="501"/>
      <c r="CG3374" s="501"/>
      <c r="CH3374" s="501"/>
      <c r="CI3374" s="501"/>
      <c r="CJ3374" s="501"/>
      <c r="CK3374" s="501"/>
      <c r="CL3374" s="501"/>
      <c r="CM3374" s="501"/>
      <c r="CN3374" s="501"/>
      <c r="CO3374" s="501"/>
      <c r="CP3374" s="501"/>
      <c r="CQ3374" s="501"/>
      <c r="CR3374" s="501"/>
      <c r="CS3374" s="501"/>
      <c r="CT3374" s="501"/>
      <c r="CU3374" s="501"/>
      <c r="CV3374" s="501"/>
      <c r="CW3374" s="501"/>
      <c r="CX3374" s="501"/>
      <c r="CY3374" s="501"/>
      <c r="CZ3374" s="501"/>
      <c r="DA3374" s="501"/>
      <c r="DB3374" s="501"/>
      <c r="DC3374" s="501"/>
      <c r="DD3374" s="501"/>
      <c r="DE3374" s="501"/>
      <c r="DF3374" s="501"/>
      <c r="DG3374" s="501"/>
      <c r="DH3374" s="501"/>
      <c r="DI3374" s="501"/>
      <c r="DJ3374" s="501"/>
      <c r="DK3374" s="501"/>
      <c r="DL3374" s="501"/>
      <c r="DM3374" s="501"/>
      <c r="DN3374" s="501"/>
      <c r="DO3374" s="501"/>
      <c r="DP3374" s="501"/>
      <c r="DQ3374" s="501"/>
      <c r="DR3374" s="501"/>
      <c r="DS3374" s="501"/>
      <c r="DT3374" s="501"/>
      <c r="DU3374" s="501"/>
      <c r="DV3374" s="501"/>
      <c r="DW3374" s="501"/>
      <c r="DX3374" s="501"/>
      <c r="DY3374" s="501"/>
      <c r="DZ3374" s="501"/>
      <c r="EA3374" s="501"/>
      <c r="EB3374" s="501"/>
      <c r="EC3374" s="501"/>
      <c r="ED3374" s="501"/>
      <c r="EE3374" s="501"/>
      <c r="EF3374" s="501"/>
      <c r="EG3374" s="501"/>
      <c r="EH3374" s="501"/>
      <c r="EI3374" s="501"/>
      <c r="EJ3374" s="501"/>
      <c r="EK3374" s="501"/>
      <c r="EL3374" s="501"/>
      <c r="EM3374" s="501"/>
      <c r="EN3374" s="501"/>
      <c r="EO3374" s="501"/>
      <c r="EP3374" s="501"/>
      <c r="EQ3374" s="501"/>
      <c r="ER3374" s="501"/>
      <c r="ES3374" s="501"/>
      <c r="ET3374" s="501"/>
      <c r="EU3374" s="501"/>
      <c r="EV3374" s="501"/>
      <c r="EW3374" s="501"/>
      <c r="EX3374" s="501"/>
      <c r="EY3374" s="501"/>
      <c r="EZ3374" s="501"/>
      <c r="FA3374" s="501"/>
      <c r="FB3374" s="501"/>
      <c r="FC3374" s="501"/>
      <c r="FD3374" s="501"/>
      <c r="FE3374" s="501"/>
      <c r="FF3374" s="501"/>
      <c r="FG3374" s="501"/>
      <c r="FH3374" s="501"/>
      <c r="FI3374" s="501"/>
      <c r="FJ3374" s="501"/>
      <c r="FK3374" s="501"/>
      <c r="FL3374" s="501"/>
      <c r="FM3374" s="501"/>
      <c r="FN3374" s="501"/>
      <c r="FO3374" s="501"/>
      <c r="FP3374" s="501"/>
      <c r="FQ3374" s="501"/>
      <c r="FR3374" s="501"/>
      <c r="FS3374" s="501"/>
      <c r="FT3374" s="501"/>
      <c r="FU3374" s="501"/>
      <c r="FV3374" s="501"/>
      <c r="FW3374" s="501"/>
      <c r="FX3374" s="501"/>
      <c r="FY3374" s="501"/>
      <c r="FZ3374" s="501"/>
      <c r="GA3374" s="501"/>
      <c r="GB3374" s="501"/>
      <c r="GC3374" s="501"/>
      <c r="GD3374" s="501"/>
      <c r="GE3374" s="501"/>
      <c r="GF3374" s="501"/>
      <c r="GG3374" s="501"/>
      <c r="GH3374" s="501"/>
      <c r="GI3374" s="501"/>
      <c r="GJ3374" s="501"/>
      <c r="GK3374" s="501"/>
      <c r="GL3374" s="501"/>
      <c r="GM3374" s="501"/>
      <c r="GN3374" s="501"/>
      <c r="GO3374" s="501"/>
      <c r="GP3374" s="501"/>
      <c r="GQ3374" s="501"/>
      <c r="GR3374" s="501"/>
      <c r="GS3374" s="501"/>
      <c r="GT3374" s="501"/>
      <c r="GU3374" s="501"/>
      <c r="GV3374" s="501"/>
      <c r="GW3374" s="501"/>
      <c r="GX3374" s="501"/>
      <c r="GY3374" s="501"/>
      <c r="GZ3374" s="501"/>
      <c r="HA3374" s="501"/>
      <c r="HB3374" s="501"/>
      <c r="HC3374" s="501"/>
      <c r="HD3374" s="501"/>
      <c r="HE3374" s="501"/>
      <c r="HF3374" s="501"/>
      <c r="HG3374" s="501"/>
      <c r="HH3374" s="501"/>
      <c r="HI3374" s="501"/>
      <c r="HJ3374" s="501"/>
      <c r="HK3374" s="501"/>
      <c r="HL3374" s="501"/>
      <c r="HM3374" s="501"/>
      <c r="HN3374" s="501"/>
      <c r="HO3374" s="501"/>
      <c r="HP3374" s="501"/>
      <c r="HQ3374" s="501"/>
      <c r="HR3374" s="501"/>
      <c r="HS3374" s="501"/>
      <c r="HT3374" s="501"/>
      <c r="HU3374" s="501"/>
      <c r="HV3374" s="501"/>
      <c r="HW3374" s="501"/>
      <c r="HX3374" s="501"/>
      <c r="HY3374" s="501"/>
      <c r="HZ3374" s="501"/>
      <c r="IA3374" s="501"/>
      <c r="IB3374" s="501"/>
      <c r="IC3374" s="501"/>
      <c r="ID3374" s="501"/>
      <c r="IE3374" s="501"/>
      <c r="IF3374" s="501"/>
      <c r="IG3374" s="501"/>
      <c r="IH3374" s="501"/>
      <c r="II3374" s="501"/>
      <c r="IJ3374" s="501"/>
      <c r="IK3374" s="501"/>
      <c r="IL3374" s="501"/>
      <c r="IM3374" s="501"/>
      <c r="IN3374" s="501"/>
      <c r="IO3374" s="501"/>
      <c r="IP3374" s="501"/>
      <c r="IQ3374" s="501"/>
      <c r="IR3374" s="501"/>
      <c r="IS3374" s="501"/>
      <c r="IT3374" s="501"/>
      <c r="IU3374" s="501"/>
    </row>
    <row r="3375" spans="1:255" s="877" customFormat="1" ht="24" customHeight="1">
      <c r="A3375" s="501"/>
      <c r="B3375" s="501"/>
      <c r="C3375" s="501"/>
      <c r="D3375" s="501"/>
      <c r="E3375" s="501"/>
      <c r="F3375" s="1097"/>
      <c r="G3375" s="1098"/>
      <c r="H3375" s="1097"/>
      <c r="I3375" s="1099"/>
      <c r="J3375" s="1097"/>
      <c r="K3375" s="1097"/>
      <c r="L3375" s="1106"/>
      <c r="M3375" s="554"/>
      <c r="N3375" s="501"/>
      <c r="O3375" s="1097"/>
      <c r="P3375" s="1151"/>
      <c r="Q3375" s="973"/>
      <c r="R3375" s="1102"/>
      <c r="S3375" s="1185"/>
      <c r="T3375" s="1097"/>
      <c r="V3375" s="501"/>
      <c r="W3375" s="501"/>
      <c r="X3375" s="501"/>
      <c r="Y3375" s="501"/>
      <c r="Z3375" s="501"/>
      <c r="AA3375" s="501"/>
      <c r="AB3375" s="501"/>
      <c r="AC3375" s="501"/>
      <c r="AD3375" s="501"/>
      <c r="AE3375" s="501"/>
      <c r="AF3375" s="501"/>
      <c r="AG3375" s="501"/>
      <c r="AH3375" s="501"/>
      <c r="AI3375" s="501"/>
      <c r="AJ3375" s="501"/>
      <c r="AK3375" s="501"/>
      <c r="AL3375" s="501"/>
      <c r="AM3375" s="501"/>
      <c r="AN3375" s="501"/>
      <c r="AO3375" s="501"/>
      <c r="AP3375" s="501"/>
      <c r="AQ3375" s="501"/>
      <c r="AR3375" s="501"/>
      <c r="AS3375" s="501"/>
      <c r="AT3375" s="501"/>
      <c r="AU3375" s="501"/>
      <c r="AV3375" s="501"/>
      <c r="AW3375" s="501"/>
      <c r="AX3375" s="501"/>
      <c r="AY3375" s="501"/>
      <c r="AZ3375" s="501"/>
      <c r="BA3375" s="501"/>
      <c r="BB3375" s="501"/>
      <c r="BC3375" s="501"/>
      <c r="BD3375" s="501"/>
      <c r="BE3375" s="501"/>
      <c r="BF3375" s="501"/>
      <c r="BG3375" s="501"/>
      <c r="BH3375" s="501"/>
      <c r="BI3375" s="501"/>
      <c r="BJ3375" s="501"/>
      <c r="BK3375" s="501"/>
      <c r="BL3375" s="501"/>
      <c r="BM3375" s="501"/>
      <c r="BN3375" s="501"/>
      <c r="BO3375" s="501"/>
      <c r="BP3375" s="501"/>
      <c r="BQ3375" s="501"/>
      <c r="BR3375" s="501"/>
      <c r="BS3375" s="501"/>
      <c r="BT3375" s="501"/>
      <c r="BU3375" s="501"/>
      <c r="BV3375" s="501"/>
      <c r="BW3375" s="501"/>
      <c r="BX3375" s="501"/>
      <c r="BY3375" s="501"/>
      <c r="BZ3375" s="501"/>
      <c r="CA3375" s="501"/>
      <c r="CB3375" s="501"/>
      <c r="CC3375" s="501"/>
      <c r="CD3375" s="501"/>
      <c r="CE3375" s="501"/>
      <c r="CF3375" s="501"/>
      <c r="CG3375" s="501"/>
      <c r="CH3375" s="501"/>
      <c r="CI3375" s="501"/>
      <c r="CJ3375" s="501"/>
      <c r="CK3375" s="501"/>
      <c r="CL3375" s="501"/>
      <c r="CM3375" s="501"/>
      <c r="CN3375" s="501"/>
      <c r="CO3375" s="501"/>
      <c r="CP3375" s="501"/>
      <c r="CQ3375" s="501"/>
      <c r="CR3375" s="501"/>
      <c r="CS3375" s="501"/>
      <c r="CT3375" s="501"/>
      <c r="CU3375" s="501"/>
      <c r="CV3375" s="501"/>
      <c r="CW3375" s="501"/>
      <c r="CX3375" s="501"/>
      <c r="CY3375" s="501"/>
      <c r="CZ3375" s="501"/>
      <c r="DA3375" s="501"/>
      <c r="DB3375" s="501"/>
      <c r="DC3375" s="501"/>
      <c r="DD3375" s="501"/>
      <c r="DE3375" s="501"/>
      <c r="DF3375" s="501"/>
      <c r="DG3375" s="501"/>
      <c r="DH3375" s="501"/>
      <c r="DI3375" s="501"/>
      <c r="DJ3375" s="501"/>
      <c r="DK3375" s="501"/>
      <c r="DL3375" s="501"/>
      <c r="DM3375" s="501"/>
      <c r="DN3375" s="501"/>
      <c r="DO3375" s="501"/>
      <c r="DP3375" s="501"/>
      <c r="DQ3375" s="501"/>
      <c r="DR3375" s="501"/>
      <c r="DS3375" s="501"/>
      <c r="DT3375" s="501"/>
      <c r="DU3375" s="501"/>
      <c r="DV3375" s="501"/>
      <c r="DW3375" s="501"/>
      <c r="DX3375" s="501"/>
      <c r="DY3375" s="501"/>
      <c r="DZ3375" s="501"/>
      <c r="EA3375" s="501"/>
      <c r="EB3375" s="501"/>
      <c r="EC3375" s="501"/>
      <c r="ED3375" s="501"/>
      <c r="EE3375" s="501"/>
      <c r="EF3375" s="501"/>
      <c r="EG3375" s="501"/>
      <c r="EH3375" s="501"/>
      <c r="EI3375" s="501"/>
      <c r="EJ3375" s="501"/>
      <c r="EK3375" s="501"/>
      <c r="EL3375" s="501"/>
      <c r="EM3375" s="501"/>
      <c r="EN3375" s="501"/>
      <c r="EO3375" s="501"/>
      <c r="EP3375" s="501"/>
      <c r="EQ3375" s="501"/>
      <c r="ER3375" s="501"/>
      <c r="ES3375" s="501"/>
      <c r="ET3375" s="501"/>
      <c r="EU3375" s="501"/>
      <c r="EV3375" s="501"/>
      <c r="EW3375" s="501"/>
      <c r="EX3375" s="501"/>
      <c r="EY3375" s="501"/>
      <c r="EZ3375" s="501"/>
      <c r="FA3375" s="501"/>
      <c r="FB3375" s="501"/>
      <c r="FC3375" s="501"/>
      <c r="FD3375" s="501"/>
      <c r="FE3375" s="501"/>
      <c r="FF3375" s="501"/>
      <c r="FG3375" s="501"/>
      <c r="FH3375" s="501"/>
      <c r="FI3375" s="501"/>
      <c r="FJ3375" s="501"/>
      <c r="FK3375" s="501"/>
      <c r="FL3375" s="501"/>
      <c r="FM3375" s="501"/>
      <c r="FN3375" s="501"/>
      <c r="FO3375" s="501"/>
      <c r="FP3375" s="501"/>
      <c r="FQ3375" s="501"/>
      <c r="FR3375" s="501"/>
      <c r="FS3375" s="501"/>
      <c r="FT3375" s="501"/>
      <c r="FU3375" s="501"/>
      <c r="FV3375" s="501"/>
      <c r="FW3375" s="501"/>
      <c r="FX3375" s="501"/>
      <c r="FY3375" s="501"/>
      <c r="FZ3375" s="501"/>
      <c r="GA3375" s="501"/>
      <c r="GB3375" s="501"/>
      <c r="GC3375" s="501"/>
      <c r="GD3375" s="501"/>
      <c r="GE3375" s="501"/>
      <c r="GF3375" s="501"/>
      <c r="GG3375" s="501"/>
      <c r="GH3375" s="501"/>
      <c r="GI3375" s="501"/>
      <c r="GJ3375" s="501"/>
      <c r="GK3375" s="501"/>
      <c r="GL3375" s="501"/>
      <c r="GM3375" s="501"/>
      <c r="GN3375" s="501"/>
      <c r="GO3375" s="501"/>
      <c r="GP3375" s="501"/>
      <c r="GQ3375" s="501"/>
      <c r="GR3375" s="501"/>
      <c r="GS3375" s="501"/>
      <c r="GT3375" s="501"/>
      <c r="GU3375" s="501"/>
      <c r="GV3375" s="501"/>
      <c r="GW3375" s="501"/>
      <c r="GX3375" s="501"/>
      <c r="GY3375" s="501"/>
      <c r="GZ3375" s="501"/>
      <c r="HA3375" s="501"/>
      <c r="HB3375" s="501"/>
      <c r="HC3375" s="501"/>
      <c r="HD3375" s="501"/>
      <c r="HE3375" s="501"/>
      <c r="HF3375" s="501"/>
      <c r="HG3375" s="501"/>
      <c r="HH3375" s="501"/>
      <c r="HI3375" s="501"/>
      <c r="HJ3375" s="501"/>
      <c r="HK3375" s="501"/>
      <c r="HL3375" s="501"/>
      <c r="HM3375" s="501"/>
      <c r="HN3375" s="501"/>
      <c r="HO3375" s="501"/>
      <c r="HP3375" s="501"/>
      <c r="HQ3375" s="501"/>
      <c r="HR3375" s="501"/>
      <c r="HS3375" s="501"/>
      <c r="HT3375" s="501"/>
      <c r="HU3375" s="501"/>
      <c r="HV3375" s="501"/>
      <c r="HW3375" s="501"/>
      <c r="HX3375" s="501"/>
      <c r="HY3375" s="501"/>
      <c r="HZ3375" s="501"/>
      <c r="IA3375" s="501"/>
      <c r="IB3375" s="501"/>
      <c r="IC3375" s="501"/>
      <c r="ID3375" s="501"/>
      <c r="IE3375" s="501"/>
      <c r="IF3375" s="501"/>
      <c r="IG3375" s="501"/>
      <c r="IH3375" s="501"/>
      <c r="II3375" s="501"/>
      <c r="IJ3375" s="501"/>
      <c r="IK3375" s="501"/>
      <c r="IL3375" s="501"/>
      <c r="IM3375" s="501"/>
      <c r="IN3375" s="501"/>
      <c r="IO3375" s="501"/>
      <c r="IP3375" s="501"/>
      <c r="IQ3375" s="501"/>
      <c r="IR3375" s="501"/>
      <c r="IS3375" s="501"/>
      <c r="IT3375" s="501"/>
      <c r="IU3375" s="501"/>
    </row>
    <row r="3376" spans="1:255" s="877" customFormat="1" ht="24" customHeight="1">
      <c r="A3376" s="501"/>
      <c r="B3376" s="501"/>
      <c r="C3376" s="501"/>
      <c r="D3376" s="501"/>
      <c r="E3376" s="501"/>
      <c r="F3376" s="1097"/>
      <c r="G3376" s="1098"/>
      <c r="H3376" s="1097"/>
      <c r="I3376" s="1099"/>
      <c r="J3376" s="973"/>
      <c r="K3376" s="1097"/>
      <c r="L3376" s="1189"/>
      <c r="M3376" s="1153"/>
      <c r="N3376" s="501"/>
      <c r="O3376" s="1097"/>
      <c r="P3376" s="1151"/>
      <c r="Q3376" s="973"/>
      <c r="R3376" s="1102"/>
      <c r="S3376" s="1186"/>
      <c r="T3376" s="1097"/>
      <c r="V3376" s="501"/>
      <c r="W3376" s="501"/>
      <c r="X3376" s="501"/>
      <c r="Y3376" s="501"/>
      <c r="Z3376" s="501"/>
      <c r="AA3376" s="501"/>
      <c r="AB3376" s="501"/>
      <c r="AC3376" s="501"/>
      <c r="AD3376" s="501"/>
      <c r="AE3376" s="501"/>
      <c r="AF3376" s="501"/>
      <c r="AG3376" s="501"/>
      <c r="AH3376" s="501"/>
      <c r="AI3376" s="501"/>
      <c r="AJ3376" s="501"/>
      <c r="AK3376" s="501"/>
      <c r="AL3376" s="501"/>
      <c r="AM3376" s="501"/>
      <c r="AN3376" s="501"/>
      <c r="AO3376" s="501"/>
      <c r="AP3376" s="501"/>
      <c r="AQ3376" s="501"/>
      <c r="AR3376" s="501"/>
      <c r="AS3376" s="501"/>
      <c r="AT3376" s="501"/>
      <c r="AU3376" s="501"/>
      <c r="AV3376" s="501"/>
      <c r="AW3376" s="501"/>
      <c r="AX3376" s="501"/>
      <c r="AY3376" s="501"/>
      <c r="AZ3376" s="501"/>
      <c r="BA3376" s="501"/>
      <c r="BB3376" s="501"/>
      <c r="BC3376" s="501"/>
      <c r="BD3376" s="501"/>
      <c r="BE3376" s="501"/>
      <c r="BF3376" s="501"/>
      <c r="BG3376" s="501"/>
      <c r="BH3376" s="501"/>
      <c r="BI3376" s="501"/>
      <c r="BJ3376" s="501"/>
      <c r="BK3376" s="501"/>
      <c r="BL3376" s="501"/>
      <c r="BM3376" s="501"/>
      <c r="BN3376" s="501"/>
      <c r="BO3376" s="501"/>
      <c r="BP3376" s="501"/>
      <c r="BQ3376" s="501"/>
      <c r="BR3376" s="501"/>
      <c r="BS3376" s="501"/>
      <c r="BT3376" s="501"/>
      <c r="BU3376" s="501"/>
      <c r="BV3376" s="501"/>
      <c r="BW3376" s="501"/>
      <c r="BX3376" s="501"/>
      <c r="BY3376" s="501"/>
      <c r="BZ3376" s="501"/>
      <c r="CA3376" s="501"/>
      <c r="CB3376" s="501"/>
      <c r="CC3376" s="501"/>
      <c r="CD3376" s="501"/>
      <c r="CE3376" s="501"/>
      <c r="CF3376" s="501"/>
      <c r="CG3376" s="501"/>
      <c r="CH3376" s="501"/>
      <c r="CI3376" s="501"/>
      <c r="CJ3376" s="501"/>
      <c r="CK3376" s="501"/>
      <c r="CL3376" s="501"/>
      <c r="CM3376" s="501"/>
      <c r="CN3376" s="501"/>
      <c r="CO3376" s="501"/>
      <c r="CP3376" s="501"/>
      <c r="CQ3376" s="501"/>
      <c r="CR3376" s="501"/>
      <c r="CS3376" s="501"/>
      <c r="CT3376" s="501"/>
      <c r="CU3376" s="501"/>
      <c r="CV3376" s="501"/>
      <c r="CW3376" s="501"/>
      <c r="CX3376" s="501"/>
      <c r="CY3376" s="501"/>
      <c r="CZ3376" s="501"/>
      <c r="DA3376" s="501"/>
      <c r="DB3376" s="501"/>
      <c r="DC3376" s="501"/>
      <c r="DD3376" s="501"/>
      <c r="DE3376" s="501"/>
      <c r="DF3376" s="501"/>
      <c r="DG3376" s="501"/>
      <c r="DH3376" s="501"/>
      <c r="DI3376" s="501"/>
      <c r="DJ3376" s="501"/>
      <c r="DK3376" s="501"/>
      <c r="DL3376" s="501"/>
      <c r="DM3376" s="501"/>
      <c r="DN3376" s="501"/>
      <c r="DO3376" s="501"/>
      <c r="DP3376" s="501"/>
      <c r="DQ3376" s="501"/>
      <c r="DR3376" s="501"/>
      <c r="DS3376" s="501"/>
      <c r="DT3376" s="501"/>
      <c r="DU3376" s="501"/>
      <c r="DV3376" s="501"/>
      <c r="DW3376" s="501"/>
      <c r="DX3376" s="501"/>
      <c r="DY3376" s="501"/>
      <c r="DZ3376" s="501"/>
      <c r="EA3376" s="501"/>
      <c r="EB3376" s="501"/>
      <c r="EC3376" s="501"/>
      <c r="ED3376" s="501"/>
      <c r="EE3376" s="501"/>
      <c r="EF3376" s="501"/>
      <c r="EG3376" s="501"/>
      <c r="EH3376" s="501"/>
      <c r="EI3376" s="501"/>
      <c r="EJ3376" s="501"/>
      <c r="EK3376" s="501"/>
      <c r="EL3376" s="501"/>
      <c r="EM3376" s="501"/>
      <c r="EN3376" s="501"/>
      <c r="EO3376" s="501"/>
      <c r="EP3376" s="501"/>
      <c r="EQ3376" s="501"/>
      <c r="ER3376" s="501"/>
      <c r="ES3376" s="501"/>
      <c r="ET3376" s="501"/>
      <c r="EU3376" s="501"/>
      <c r="EV3376" s="501"/>
      <c r="EW3376" s="501"/>
      <c r="EX3376" s="501"/>
      <c r="EY3376" s="501"/>
      <c r="EZ3376" s="501"/>
      <c r="FA3376" s="501"/>
      <c r="FB3376" s="501"/>
      <c r="FC3376" s="501"/>
      <c r="FD3376" s="501"/>
      <c r="FE3376" s="501"/>
      <c r="FF3376" s="501"/>
      <c r="FG3376" s="501"/>
      <c r="FH3376" s="501"/>
      <c r="FI3376" s="501"/>
      <c r="FJ3376" s="501"/>
      <c r="FK3376" s="501"/>
      <c r="FL3376" s="501"/>
      <c r="FM3376" s="501"/>
      <c r="FN3376" s="501"/>
      <c r="FO3376" s="501"/>
      <c r="FP3376" s="501"/>
      <c r="FQ3376" s="501"/>
      <c r="FR3376" s="501"/>
      <c r="FS3376" s="501"/>
      <c r="FT3376" s="501"/>
      <c r="FU3376" s="501"/>
      <c r="FV3376" s="501"/>
      <c r="FW3376" s="501"/>
      <c r="FX3376" s="501"/>
      <c r="FY3376" s="501"/>
      <c r="FZ3376" s="501"/>
      <c r="GA3376" s="501"/>
      <c r="GB3376" s="501"/>
      <c r="GC3376" s="501"/>
      <c r="GD3376" s="501"/>
      <c r="GE3376" s="501"/>
      <c r="GF3376" s="501"/>
      <c r="GG3376" s="501"/>
      <c r="GH3376" s="501"/>
      <c r="GI3376" s="501"/>
      <c r="GJ3376" s="501"/>
      <c r="GK3376" s="501"/>
      <c r="GL3376" s="501"/>
      <c r="GM3376" s="501"/>
      <c r="GN3376" s="501"/>
      <c r="GO3376" s="501"/>
      <c r="GP3376" s="501"/>
      <c r="GQ3376" s="501"/>
      <c r="GR3376" s="501"/>
      <c r="GS3376" s="501"/>
      <c r="GT3376" s="501"/>
      <c r="GU3376" s="501"/>
      <c r="GV3376" s="501"/>
      <c r="GW3376" s="501"/>
      <c r="GX3376" s="501"/>
      <c r="GY3376" s="501"/>
      <c r="GZ3376" s="501"/>
      <c r="HA3376" s="501"/>
      <c r="HB3376" s="501"/>
      <c r="HC3376" s="501"/>
      <c r="HD3376" s="501"/>
      <c r="HE3376" s="501"/>
      <c r="HF3376" s="501"/>
      <c r="HG3376" s="501"/>
      <c r="HH3376" s="501"/>
      <c r="HI3376" s="501"/>
      <c r="HJ3376" s="501"/>
      <c r="HK3376" s="501"/>
      <c r="HL3376" s="501"/>
      <c r="HM3376" s="501"/>
      <c r="HN3376" s="501"/>
      <c r="HO3376" s="501"/>
      <c r="HP3376" s="501"/>
      <c r="HQ3376" s="501"/>
      <c r="HR3376" s="501"/>
      <c r="HS3376" s="501"/>
      <c r="HT3376" s="501"/>
      <c r="HU3376" s="501"/>
      <c r="HV3376" s="501"/>
      <c r="HW3376" s="501"/>
      <c r="HX3376" s="501"/>
      <c r="HY3376" s="501"/>
      <c r="HZ3376" s="501"/>
      <c r="IA3376" s="501"/>
      <c r="IB3376" s="501"/>
      <c r="IC3376" s="501"/>
      <c r="ID3376" s="501"/>
      <c r="IE3376" s="501"/>
      <c r="IF3376" s="501"/>
      <c r="IG3376" s="501"/>
      <c r="IH3376" s="501"/>
      <c r="II3376" s="501"/>
      <c r="IJ3376" s="501"/>
      <c r="IK3376" s="501"/>
      <c r="IL3376" s="501"/>
      <c r="IM3376" s="501"/>
      <c r="IN3376" s="501"/>
      <c r="IO3376" s="501"/>
      <c r="IP3376" s="501"/>
      <c r="IQ3376" s="501"/>
      <c r="IR3376" s="501"/>
      <c r="IS3376" s="501"/>
      <c r="IT3376" s="501"/>
      <c r="IU3376" s="501"/>
    </row>
    <row r="3377" spans="1:255" s="877" customFormat="1" ht="24" customHeight="1">
      <c r="A3377" s="501"/>
      <c r="B3377" s="501"/>
      <c r="C3377" s="501"/>
      <c r="D3377" s="501"/>
      <c r="E3377" s="501"/>
      <c r="F3377" s="1097"/>
      <c r="G3377" s="1098"/>
      <c r="H3377" s="1097"/>
      <c r="I3377" s="1099"/>
      <c r="J3377" s="973"/>
      <c r="K3377" s="1097"/>
      <c r="L3377" s="1190"/>
      <c r="M3377" s="1153"/>
      <c r="N3377" s="501"/>
      <c r="O3377" s="1097"/>
      <c r="P3377" s="1151"/>
      <c r="Q3377" s="973"/>
      <c r="R3377" s="501"/>
      <c r="S3377" s="554"/>
      <c r="T3377" s="1097"/>
      <c r="V3377" s="501"/>
      <c r="W3377" s="501"/>
      <c r="X3377" s="501"/>
      <c r="Y3377" s="501"/>
      <c r="Z3377" s="501"/>
      <c r="AA3377" s="501"/>
      <c r="AB3377" s="501"/>
      <c r="AC3377" s="501"/>
      <c r="AD3377" s="501"/>
      <c r="AE3377" s="501"/>
      <c r="AF3377" s="501"/>
      <c r="AG3377" s="501"/>
      <c r="AH3377" s="501"/>
      <c r="AI3377" s="501"/>
      <c r="AJ3377" s="501"/>
      <c r="AK3377" s="501"/>
      <c r="AL3377" s="501"/>
      <c r="AM3377" s="501"/>
      <c r="AN3377" s="501"/>
      <c r="AO3377" s="501"/>
      <c r="AP3377" s="501"/>
      <c r="AQ3377" s="501"/>
      <c r="AR3377" s="501"/>
      <c r="AS3377" s="501"/>
      <c r="AT3377" s="501"/>
      <c r="AU3377" s="501"/>
      <c r="AV3377" s="501"/>
      <c r="AW3377" s="501"/>
      <c r="AX3377" s="501"/>
      <c r="AY3377" s="501"/>
      <c r="AZ3377" s="501"/>
      <c r="BA3377" s="501"/>
      <c r="BB3377" s="501"/>
      <c r="BC3377" s="501"/>
      <c r="BD3377" s="501"/>
      <c r="BE3377" s="501"/>
      <c r="BF3377" s="501"/>
      <c r="BG3377" s="501"/>
      <c r="BH3377" s="501"/>
      <c r="BI3377" s="501"/>
      <c r="BJ3377" s="501"/>
      <c r="BK3377" s="501"/>
      <c r="BL3377" s="501"/>
      <c r="BM3377" s="501"/>
      <c r="BN3377" s="501"/>
      <c r="BO3377" s="501"/>
      <c r="BP3377" s="501"/>
      <c r="BQ3377" s="501"/>
      <c r="BR3377" s="501"/>
      <c r="BS3377" s="501"/>
      <c r="BT3377" s="501"/>
      <c r="BU3377" s="501"/>
      <c r="BV3377" s="501"/>
      <c r="BW3377" s="501"/>
      <c r="BX3377" s="501"/>
      <c r="BY3377" s="501"/>
      <c r="BZ3377" s="501"/>
      <c r="CA3377" s="501"/>
      <c r="CB3377" s="501"/>
      <c r="CC3377" s="501"/>
      <c r="CD3377" s="501"/>
      <c r="CE3377" s="501"/>
      <c r="CF3377" s="501"/>
      <c r="CG3377" s="501"/>
      <c r="CH3377" s="501"/>
      <c r="CI3377" s="501"/>
      <c r="CJ3377" s="501"/>
      <c r="CK3377" s="501"/>
      <c r="CL3377" s="501"/>
      <c r="CM3377" s="501"/>
      <c r="CN3377" s="501"/>
      <c r="CO3377" s="501"/>
      <c r="CP3377" s="501"/>
      <c r="CQ3377" s="501"/>
      <c r="CR3377" s="501"/>
      <c r="CS3377" s="501"/>
      <c r="CT3377" s="501"/>
      <c r="CU3377" s="501"/>
      <c r="CV3377" s="501"/>
      <c r="CW3377" s="501"/>
      <c r="CX3377" s="501"/>
      <c r="CY3377" s="501"/>
      <c r="CZ3377" s="501"/>
      <c r="DA3377" s="501"/>
      <c r="DB3377" s="501"/>
      <c r="DC3377" s="501"/>
      <c r="DD3377" s="501"/>
      <c r="DE3377" s="501"/>
      <c r="DF3377" s="501"/>
      <c r="DG3377" s="501"/>
      <c r="DH3377" s="501"/>
      <c r="DI3377" s="501"/>
      <c r="DJ3377" s="501"/>
      <c r="DK3377" s="501"/>
      <c r="DL3377" s="501"/>
      <c r="DM3377" s="501"/>
      <c r="DN3377" s="501"/>
      <c r="DO3377" s="501"/>
      <c r="DP3377" s="501"/>
      <c r="DQ3377" s="501"/>
      <c r="DR3377" s="501"/>
      <c r="DS3377" s="501"/>
      <c r="DT3377" s="501"/>
      <c r="DU3377" s="501"/>
      <c r="DV3377" s="501"/>
      <c r="DW3377" s="501"/>
      <c r="DX3377" s="501"/>
      <c r="DY3377" s="501"/>
      <c r="DZ3377" s="501"/>
      <c r="EA3377" s="501"/>
      <c r="EB3377" s="501"/>
      <c r="EC3377" s="501"/>
      <c r="ED3377" s="501"/>
      <c r="EE3377" s="501"/>
      <c r="EF3377" s="501"/>
      <c r="EG3377" s="501"/>
      <c r="EH3377" s="501"/>
      <c r="EI3377" s="501"/>
      <c r="EJ3377" s="501"/>
      <c r="EK3377" s="501"/>
      <c r="EL3377" s="501"/>
      <c r="EM3377" s="501"/>
      <c r="EN3377" s="501"/>
      <c r="EO3377" s="501"/>
      <c r="EP3377" s="501"/>
      <c r="EQ3377" s="501"/>
      <c r="ER3377" s="501"/>
      <c r="ES3377" s="501"/>
      <c r="ET3377" s="501"/>
      <c r="EU3377" s="501"/>
      <c r="EV3377" s="501"/>
      <c r="EW3377" s="501"/>
      <c r="EX3377" s="501"/>
      <c r="EY3377" s="501"/>
      <c r="EZ3377" s="501"/>
      <c r="FA3377" s="501"/>
      <c r="FB3377" s="501"/>
      <c r="FC3377" s="501"/>
      <c r="FD3377" s="501"/>
      <c r="FE3377" s="501"/>
      <c r="FF3377" s="501"/>
      <c r="FG3377" s="501"/>
      <c r="FH3377" s="501"/>
      <c r="FI3377" s="501"/>
      <c r="FJ3377" s="501"/>
      <c r="FK3377" s="501"/>
      <c r="FL3377" s="501"/>
      <c r="FM3377" s="501"/>
      <c r="FN3377" s="501"/>
      <c r="FO3377" s="501"/>
      <c r="FP3377" s="501"/>
      <c r="FQ3377" s="501"/>
      <c r="FR3377" s="501"/>
      <c r="FS3377" s="501"/>
      <c r="FT3377" s="501"/>
      <c r="FU3377" s="501"/>
      <c r="FV3377" s="501"/>
      <c r="FW3377" s="501"/>
      <c r="FX3377" s="501"/>
      <c r="FY3377" s="501"/>
      <c r="FZ3377" s="501"/>
      <c r="GA3377" s="501"/>
      <c r="GB3377" s="501"/>
      <c r="GC3377" s="501"/>
      <c r="GD3377" s="501"/>
      <c r="GE3377" s="501"/>
      <c r="GF3377" s="501"/>
      <c r="GG3377" s="501"/>
      <c r="GH3377" s="501"/>
      <c r="GI3377" s="501"/>
      <c r="GJ3377" s="501"/>
      <c r="GK3377" s="501"/>
      <c r="GL3377" s="501"/>
      <c r="GM3377" s="501"/>
      <c r="GN3377" s="501"/>
      <c r="GO3377" s="501"/>
      <c r="GP3377" s="501"/>
      <c r="GQ3377" s="501"/>
      <c r="GR3377" s="501"/>
      <c r="GS3377" s="501"/>
      <c r="GT3377" s="501"/>
      <c r="GU3377" s="501"/>
      <c r="GV3377" s="501"/>
      <c r="GW3377" s="501"/>
      <c r="GX3377" s="501"/>
      <c r="GY3377" s="501"/>
      <c r="GZ3377" s="501"/>
      <c r="HA3377" s="501"/>
      <c r="HB3377" s="501"/>
      <c r="HC3377" s="501"/>
      <c r="HD3377" s="501"/>
      <c r="HE3377" s="501"/>
      <c r="HF3377" s="501"/>
      <c r="HG3377" s="501"/>
      <c r="HH3377" s="501"/>
      <c r="HI3377" s="501"/>
      <c r="HJ3377" s="501"/>
      <c r="HK3377" s="501"/>
      <c r="HL3377" s="501"/>
      <c r="HM3377" s="501"/>
      <c r="HN3377" s="501"/>
      <c r="HO3377" s="501"/>
      <c r="HP3377" s="501"/>
      <c r="HQ3377" s="501"/>
      <c r="HR3377" s="501"/>
      <c r="HS3377" s="501"/>
      <c r="HT3377" s="501"/>
      <c r="HU3377" s="501"/>
      <c r="HV3377" s="501"/>
      <c r="HW3377" s="501"/>
      <c r="HX3377" s="501"/>
      <c r="HY3377" s="501"/>
      <c r="HZ3377" s="501"/>
      <c r="IA3377" s="501"/>
      <c r="IB3377" s="501"/>
      <c r="IC3377" s="501"/>
      <c r="ID3377" s="501"/>
      <c r="IE3377" s="501"/>
      <c r="IF3377" s="501"/>
      <c r="IG3377" s="501"/>
      <c r="IH3377" s="501"/>
      <c r="II3377" s="501"/>
      <c r="IJ3377" s="501"/>
      <c r="IK3377" s="501"/>
      <c r="IL3377" s="501"/>
      <c r="IM3377" s="501"/>
      <c r="IN3377" s="501"/>
      <c r="IO3377" s="501"/>
      <c r="IP3377" s="501"/>
      <c r="IQ3377" s="501"/>
      <c r="IR3377" s="501"/>
      <c r="IS3377" s="501"/>
      <c r="IT3377" s="501"/>
      <c r="IU3377" s="501"/>
    </row>
    <row r="3378" spans="1:255" s="877" customFormat="1" ht="24" customHeight="1">
      <c r="A3378" s="501"/>
      <c r="B3378" s="501"/>
      <c r="C3378" s="501"/>
      <c r="D3378" s="501"/>
      <c r="E3378" s="501"/>
      <c r="F3378" s="1097"/>
      <c r="G3378" s="1098"/>
      <c r="H3378" s="1097"/>
      <c r="I3378" s="1099"/>
      <c r="J3378" s="973"/>
      <c r="K3378" s="1097"/>
      <c r="L3378" s="1106"/>
      <c r="M3378" s="1153"/>
      <c r="N3378" s="501"/>
      <c r="O3378" s="1097"/>
      <c r="P3378" s="1151"/>
      <c r="Q3378" s="973"/>
      <c r="R3378" s="1102"/>
      <c r="S3378" s="1187"/>
      <c r="T3378" s="1097"/>
      <c r="V3378" s="501"/>
      <c r="W3378" s="501"/>
      <c r="X3378" s="501"/>
      <c r="Y3378" s="501"/>
      <c r="Z3378" s="501"/>
      <c r="AA3378" s="501"/>
      <c r="AB3378" s="501"/>
      <c r="AC3378" s="501"/>
      <c r="AD3378" s="501"/>
      <c r="AE3378" s="501"/>
      <c r="AF3378" s="501"/>
      <c r="AG3378" s="501"/>
      <c r="AH3378" s="501"/>
      <c r="AI3378" s="501"/>
      <c r="AJ3378" s="501"/>
      <c r="AK3378" s="501"/>
      <c r="AL3378" s="501"/>
      <c r="AM3378" s="501"/>
      <c r="AN3378" s="501"/>
      <c r="AO3378" s="501"/>
      <c r="AP3378" s="501"/>
      <c r="AQ3378" s="501"/>
      <c r="AR3378" s="501"/>
      <c r="AS3378" s="501"/>
      <c r="AT3378" s="501"/>
      <c r="AU3378" s="501"/>
      <c r="AV3378" s="501"/>
      <c r="AW3378" s="501"/>
      <c r="AX3378" s="501"/>
      <c r="AY3378" s="501"/>
      <c r="AZ3378" s="501"/>
      <c r="BA3378" s="501"/>
      <c r="BB3378" s="501"/>
      <c r="BC3378" s="501"/>
      <c r="BD3378" s="501"/>
      <c r="BE3378" s="501"/>
      <c r="BF3378" s="501"/>
      <c r="BG3378" s="501"/>
      <c r="BH3378" s="501"/>
      <c r="BI3378" s="501"/>
      <c r="BJ3378" s="501"/>
      <c r="BK3378" s="501"/>
      <c r="BL3378" s="501"/>
      <c r="BM3378" s="501"/>
      <c r="BN3378" s="501"/>
      <c r="BO3378" s="501"/>
      <c r="BP3378" s="501"/>
      <c r="BQ3378" s="501"/>
      <c r="BR3378" s="501"/>
      <c r="BS3378" s="501"/>
      <c r="BT3378" s="501"/>
      <c r="BU3378" s="501"/>
      <c r="BV3378" s="501"/>
      <c r="BW3378" s="501"/>
      <c r="BX3378" s="501"/>
      <c r="BY3378" s="501"/>
      <c r="BZ3378" s="501"/>
      <c r="CA3378" s="501"/>
      <c r="CB3378" s="501"/>
      <c r="CC3378" s="501"/>
      <c r="CD3378" s="501"/>
      <c r="CE3378" s="501"/>
      <c r="CF3378" s="501"/>
      <c r="CG3378" s="501"/>
      <c r="CH3378" s="501"/>
      <c r="CI3378" s="501"/>
      <c r="CJ3378" s="501"/>
      <c r="CK3378" s="501"/>
      <c r="CL3378" s="501"/>
      <c r="CM3378" s="501"/>
      <c r="CN3378" s="501"/>
      <c r="CO3378" s="501"/>
      <c r="CP3378" s="501"/>
      <c r="CQ3378" s="501"/>
      <c r="CR3378" s="501"/>
      <c r="CS3378" s="501"/>
      <c r="CT3378" s="501"/>
      <c r="CU3378" s="501"/>
      <c r="CV3378" s="501"/>
      <c r="CW3378" s="501"/>
      <c r="CX3378" s="501"/>
      <c r="CY3378" s="501"/>
      <c r="CZ3378" s="501"/>
      <c r="DA3378" s="501"/>
      <c r="DB3378" s="501"/>
      <c r="DC3378" s="501"/>
      <c r="DD3378" s="501"/>
      <c r="DE3378" s="501"/>
      <c r="DF3378" s="501"/>
      <c r="DG3378" s="501"/>
      <c r="DH3378" s="501"/>
      <c r="DI3378" s="501"/>
      <c r="DJ3378" s="501"/>
      <c r="DK3378" s="501"/>
      <c r="DL3378" s="501"/>
      <c r="DM3378" s="501"/>
      <c r="DN3378" s="501"/>
      <c r="DO3378" s="501"/>
      <c r="DP3378" s="501"/>
      <c r="DQ3378" s="501"/>
      <c r="DR3378" s="501"/>
      <c r="DS3378" s="501"/>
      <c r="DT3378" s="501"/>
      <c r="DU3378" s="501"/>
      <c r="DV3378" s="501"/>
      <c r="DW3378" s="501"/>
      <c r="DX3378" s="501"/>
      <c r="DY3378" s="501"/>
      <c r="DZ3378" s="501"/>
      <c r="EA3378" s="501"/>
      <c r="EB3378" s="501"/>
      <c r="EC3378" s="501"/>
      <c r="ED3378" s="501"/>
      <c r="EE3378" s="501"/>
      <c r="EF3378" s="501"/>
      <c r="EG3378" s="501"/>
      <c r="EH3378" s="501"/>
      <c r="EI3378" s="501"/>
      <c r="EJ3378" s="501"/>
      <c r="EK3378" s="501"/>
      <c r="EL3378" s="501"/>
      <c r="EM3378" s="501"/>
      <c r="EN3378" s="501"/>
      <c r="EO3378" s="501"/>
      <c r="EP3378" s="501"/>
      <c r="EQ3378" s="501"/>
      <c r="ER3378" s="501"/>
      <c r="ES3378" s="501"/>
      <c r="ET3378" s="501"/>
      <c r="EU3378" s="501"/>
      <c r="EV3378" s="501"/>
      <c r="EW3378" s="501"/>
      <c r="EX3378" s="501"/>
      <c r="EY3378" s="501"/>
      <c r="EZ3378" s="501"/>
      <c r="FA3378" s="501"/>
      <c r="FB3378" s="501"/>
      <c r="FC3378" s="501"/>
      <c r="FD3378" s="501"/>
      <c r="FE3378" s="501"/>
      <c r="FF3378" s="501"/>
      <c r="FG3378" s="501"/>
      <c r="FH3378" s="501"/>
      <c r="FI3378" s="501"/>
      <c r="FJ3378" s="501"/>
      <c r="FK3378" s="501"/>
      <c r="FL3378" s="501"/>
      <c r="FM3378" s="501"/>
      <c r="FN3378" s="501"/>
      <c r="FO3378" s="501"/>
      <c r="FP3378" s="501"/>
      <c r="FQ3378" s="501"/>
      <c r="FR3378" s="501"/>
      <c r="FS3378" s="501"/>
      <c r="FT3378" s="501"/>
      <c r="FU3378" s="501"/>
      <c r="FV3378" s="501"/>
      <c r="FW3378" s="501"/>
      <c r="FX3378" s="501"/>
      <c r="FY3378" s="501"/>
      <c r="FZ3378" s="501"/>
      <c r="GA3378" s="501"/>
      <c r="GB3378" s="501"/>
      <c r="GC3378" s="501"/>
      <c r="GD3378" s="501"/>
      <c r="GE3378" s="501"/>
      <c r="GF3378" s="501"/>
      <c r="GG3378" s="501"/>
      <c r="GH3378" s="501"/>
      <c r="GI3378" s="501"/>
      <c r="GJ3378" s="501"/>
      <c r="GK3378" s="501"/>
      <c r="GL3378" s="501"/>
      <c r="GM3378" s="501"/>
      <c r="GN3378" s="501"/>
      <c r="GO3378" s="501"/>
      <c r="GP3378" s="501"/>
      <c r="GQ3378" s="501"/>
      <c r="GR3378" s="501"/>
      <c r="GS3378" s="501"/>
      <c r="GT3378" s="501"/>
      <c r="GU3378" s="501"/>
      <c r="GV3378" s="501"/>
      <c r="GW3378" s="501"/>
      <c r="GX3378" s="501"/>
      <c r="GY3378" s="501"/>
      <c r="GZ3378" s="501"/>
      <c r="HA3378" s="501"/>
      <c r="HB3378" s="501"/>
      <c r="HC3378" s="501"/>
      <c r="HD3378" s="501"/>
      <c r="HE3378" s="501"/>
      <c r="HF3378" s="501"/>
      <c r="HG3378" s="501"/>
      <c r="HH3378" s="501"/>
      <c r="HI3378" s="501"/>
      <c r="HJ3378" s="501"/>
      <c r="HK3378" s="501"/>
      <c r="HL3378" s="501"/>
      <c r="HM3378" s="501"/>
      <c r="HN3378" s="501"/>
      <c r="HO3378" s="501"/>
      <c r="HP3378" s="501"/>
      <c r="HQ3378" s="501"/>
      <c r="HR3378" s="501"/>
      <c r="HS3378" s="501"/>
      <c r="HT3378" s="501"/>
      <c r="HU3378" s="501"/>
      <c r="HV3378" s="501"/>
      <c r="HW3378" s="501"/>
      <c r="HX3378" s="501"/>
      <c r="HY3378" s="501"/>
      <c r="HZ3378" s="501"/>
      <c r="IA3378" s="501"/>
      <c r="IB3378" s="501"/>
      <c r="IC3378" s="501"/>
      <c r="ID3378" s="501"/>
      <c r="IE3378" s="501"/>
      <c r="IF3378" s="501"/>
      <c r="IG3378" s="501"/>
      <c r="IH3378" s="501"/>
      <c r="II3378" s="501"/>
      <c r="IJ3378" s="501"/>
      <c r="IK3378" s="501"/>
      <c r="IL3378" s="501"/>
      <c r="IM3378" s="501"/>
      <c r="IN3378" s="501"/>
      <c r="IO3378" s="501"/>
      <c r="IP3378" s="501"/>
      <c r="IQ3378" s="501"/>
      <c r="IR3378" s="501"/>
      <c r="IS3378" s="501"/>
      <c r="IT3378" s="501"/>
      <c r="IU3378" s="501"/>
    </row>
    <row r="3379" spans="1:255" s="877" customFormat="1" ht="24" customHeight="1">
      <c r="A3379" s="501"/>
      <c r="B3379" s="501"/>
      <c r="C3379" s="501"/>
      <c r="D3379" s="501"/>
      <c r="E3379" s="501"/>
      <c r="F3379" s="1097"/>
      <c r="G3379" s="1098"/>
      <c r="H3379" s="1097"/>
      <c r="I3379" s="1099"/>
      <c r="J3379" s="973"/>
      <c r="K3379" s="1097"/>
      <c r="L3379" s="1191"/>
      <c r="M3379" s="1103"/>
      <c r="N3379" s="501"/>
      <c r="O3379" s="1097"/>
      <c r="P3379" s="1151"/>
      <c r="Q3379" s="973"/>
      <c r="R3379" s="1102"/>
      <c r="S3379" s="1195"/>
      <c r="T3379" s="1157"/>
      <c r="V3379" s="501"/>
      <c r="W3379" s="501"/>
      <c r="X3379" s="501"/>
      <c r="Y3379" s="501"/>
      <c r="Z3379" s="501"/>
      <c r="AA3379" s="501"/>
      <c r="AB3379" s="501"/>
      <c r="AC3379" s="501"/>
      <c r="AD3379" s="501"/>
      <c r="AE3379" s="501"/>
      <c r="AF3379" s="501"/>
      <c r="AG3379" s="501"/>
      <c r="AH3379" s="501"/>
      <c r="AI3379" s="501"/>
      <c r="AJ3379" s="501"/>
      <c r="AK3379" s="501"/>
      <c r="AL3379" s="501"/>
      <c r="AM3379" s="501"/>
      <c r="AN3379" s="501"/>
      <c r="AO3379" s="501"/>
      <c r="AP3379" s="501"/>
      <c r="AQ3379" s="501"/>
      <c r="AR3379" s="501"/>
      <c r="AS3379" s="501"/>
      <c r="AT3379" s="501"/>
      <c r="AU3379" s="501"/>
      <c r="AV3379" s="501"/>
      <c r="AW3379" s="501"/>
      <c r="AX3379" s="501"/>
      <c r="AY3379" s="501"/>
      <c r="AZ3379" s="501"/>
      <c r="BA3379" s="501"/>
      <c r="BB3379" s="501"/>
      <c r="BC3379" s="501"/>
      <c r="BD3379" s="501"/>
      <c r="BE3379" s="501"/>
      <c r="BF3379" s="501"/>
      <c r="BG3379" s="501"/>
      <c r="BH3379" s="501"/>
      <c r="BI3379" s="501"/>
      <c r="BJ3379" s="501"/>
      <c r="BK3379" s="501"/>
      <c r="BL3379" s="501"/>
      <c r="BM3379" s="501"/>
      <c r="BN3379" s="501"/>
      <c r="BO3379" s="501"/>
      <c r="BP3379" s="501"/>
      <c r="BQ3379" s="501"/>
      <c r="BR3379" s="501"/>
      <c r="BS3379" s="501"/>
      <c r="BT3379" s="501"/>
      <c r="BU3379" s="501"/>
      <c r="BV3379" s="501"/>
      <c r="BW3379" s="501"/>
      <c r="BX3379" s="501"/>
      <c r="BY3379" s="501"/>
      <c r="BZ3379" s="501"/>
      <c r="CA3379" s="501"/>
      <c r="CB3379" s="501"/>
      <c r="CC3379" s="501"/>
      <c r="CD3379" s="501"/>
      <c r="CE3379" s="501"/>
      <c r="CF3379" s="501"/>
      <c r="CG3379" s="501"/>
      <c r="CH3379" s="501"/>
      <c r="CI3379" s="501"/>
      <c r="CJ3379" s="501"/>
      <c r="CK3379" s="501"/>
      <c r="CL3379" s="501"/>
      <c r="CM3379" s="501"/>
      <c r="CN3379" s="501"/>
      <c r="CO3379" s="501"/>
      <c r="CP3379" s="501"/>
      <c r="CQ3379" s="501"/>
      <c r="CR3379" s="501"/>
      <c r="CS3379" s="501"/>
      <c r="CT3379" s="501"/>
      <c r="CU3379" s="501"/>
      <c r="CV3379" s="501"/>
      <c r="CW3379" s="501"/>
      <c r="CX3379" s="501"/>
      <c r="CY3379" s="501"/>
      <c r="CZ3379" s="501"/>
      <c r="DA3379" s="501"/>
      <c r="DB3379" s="501"/>
      <c r="DC3379" s="501"/>
      <c r="DD3379" s="501"/>
      <c r="DE3379" s="501"/>
      <c r="DF3379" s="501"/>
      <c r="DG3379" s="501"/>
      <c r="DH3379" s="501"/>
      <c r="DI3379" s="501"/>
      <c r="DJ3379" s="501"/>
      <c r="DK3379" s="501"/>
      <c r="DL3379" s="501"/>
      <c r="DM3379" s="501"/>
      <c r="DN3379" s="501"/>
      <c r="DO3379" s="501"/>
      <c r="DP3379" s="501"/>
      <c r="DQ3379" s="501"/>
      <c r="DR3379" s="501"/>
      <c r="DS3379" s="501"/>
      <c r="DT3379" s="501"/>
      <c r="DU3379" s="501"/>
      <c r="DV3379" s="501"/>
      <c r="DW3379" s="501"/>
      <c r="DX3379" s="501"/>
      <c r="DY3379" s="501"/>
      <c r="DZ3379" s="501"/>
      <c r="EA3379" s="501"/>
      <c r="EB3379" s="501"/>
      <c r="EC3379" s="501"/>
      <c r="ED3379" s="501"/>
      <c r="EE3379" s="501"/>
      <c r="EF3379" s="501"/>
      <c r="EG3379" s="501"/>
      <c r="EH3379" s="501"/>
      <c r="EI3379" s="501"/>
      <c r="EJ3379" s="501"/>
      <c r="EK3379" s="501"/>
      <c r="EL3379" s="501"/>
      <c r="EM3379" s="501"/>
      <c r="EN3379" s="501"/>
      <c r="EO3379" s="501"/>
      <c r="EP3379" s="501"/>
      <c r="EQ3379" s="501"/>
      <c r="ER3379" s="501"/>
      <c r="ES3379" s="501"/>
      <c r="ET3379" s="501"/>
      <c r="EU3379" s="501"/>
      <c r="EV3379" s="501"/>
      <c r="EW3379" s="501"/>
      <c r="EX3379" s="501"/>
      <c r="EY3379" s="501"/>
      <c r="EZ3379" s="501"/>
      <c r="FA3379" s="501"/>
      <c r="FB3379" s="501"/>
      <c r="FC3379" s="501"/>
      <c r="FD3379" s="501"/>
      <c r="FE3379" s="501"/>
      <c r="FF3379" s="501"/>
      <c r="FG3379" s="501"/>
      <c r="FH3379" s="501"/>
      <c r="FI3379" s="501"/>
      <c r="FJ3379" s="501"/>
      <c r="FK3379" s="501"/>
      <c r="FL3379" s="501"/>
      <c r="FM3379" s="501"/>
      <c r="FN3379" s="501"/>
      <c r="FO3379" s="501"/>
      <c r="FP3379" s="501"/>
      <c r="FQ3379" s="501"/>
      <c r="FR3379" s="501"/>
      <c r="FS3379" s="501"/>
      <c r="FT3379" s="501"/>
      <c r="FU3379" s="501"/>
      <c r="FV3379" s="501"/>
      <c r="FW3379" s="501"/>
      <c r="FX3379" s="501"/>
      <c r="FY3379" s="501"/>
      <c r="FZ3379" s="501"/>
      <c r="GA3379" s="501"/>
      <c r="GB3379" s="501"/>
      <c r="GC3379" s="501"/>
      <c r="GD3379" s="501"/>
      <c r="GE3379" s="501"/>
      <c r="GF3379" s="501"/>
      <c r="GG3379" s="501"/>
      <c r="GH3379" s="501"/>
      <c r="GI3379" s="501"/>
      <c r="GJ3379" s="501"/>
      <c r="GK3379" s="501"/>
      <c r="GL3379" s="501"/>
      <c r="GM3379" s="501"/>
      <c r="GN3379" s="501"/>
      <c r="GO3379" s="501"/>
      <c r="GP3379" s="501"/>
      <c r="GQ3379" s="501"/>
      <c r="GR3379" s="501"/>
      <c r="GS3379" s="501"/>
      <c r="GT3379" s="501"/>
      <c r="GU3379" s="501"/>
      <c r="GV3379" s="501"/>
      <c r="GW3379" s="501"/>
      <c r="GX3379" s="501"/>
      <c r="GY3379" s="501"/>
      <c r="GZ3379" s="501"/>
      <c r="HA3379" s="501"/>
      <c r="HB3379" s="501"/>
      <c r="HC3379" s="501"/>
      <c r="HD3379" s="501"/>
      <c r="HE3379" s="501"/>
      <c r="HF3379" s="501"/>
      <c r="HG3379" s="501"/>
      <c r="HH3379" s="501"/>
      <c r="HI3379" s="501"/>
      <c r="HJ3379" s="501"/>
      <c r="HK3379" s="501"/>
      <c r="HL3379" s="501"/>
      <c r="HM3379" s="501"/>
      <c r="HN3379" s="501"/>
      <c r="HO3379" s="501"/>
      <c r="HP3379" s="501"/>
      <c r="HQ3379" s="501"/>
      <c r="HR3379" s="501"/>
      <c r="HS3379" s="501"/>
      <c r="HT3379" s="501"/>
      <c r="HU3379" s="501"/>
      <c r="HV3379" s="501"/>
      <c r="HW3379" s="501"/>
      <c r="HX3379" s="501"/>
      <c r="HY3379" s="501"/>
      <c r="HZ3379" s="501"/>
      <c r="IA3379" s="501"/>
      <c r="IB3379" s="501"/>
      <c r="IC3379" s="501"/>
      <c r="ID3379" s="501"/>
      <c r="IE3379" s="501"/>
      <c r="IF3379" s="501"/>
      <c r="IG3379" s="501"/>
      <c r="IH3379" s="501"/>
      <c r="II3379" s="501"/>
      <c r="IJ3379" s="501"/>
      <c r="IK3379" s="501"/>
      <c r="IL3379" s="501"/>
      <c r="IM3379" s="501"/>
      <c r="IN3379" s="501"/>
      <c r="IO3379" s="501"/>
      <c r="IP3379" s="501"/>
      <c r="IQ3379" s="501"/>
      <c r="IR3379" s="501"/>
      <c r="IS3379" s="501"/>
      <c r="IT3379" s="501"/>
      <c r="IU3379" s="501"/>
    </row>
    <row r="3380" spans="1:255" s="877" customFormat="1" ht="24" customHeight="1">
      <c r="A3380" s="501"/>
      <c r="B3380" s="501"/>
      <c r="C3380" s="501"/>
      <c r="D3380" s="501"/>
      <c r="E3380" s="501"/>
      <c r="F3380" s="1097"/>
      <c r="G3380" s="1098"/>
      <c r="H3380" s="1097"/>
      <c r="I3380" s="1099"/>
      <c r="J3380" s="1097"/>
      <c r="K3380" s="1097"/>
      <c r="L3380" s="1106"/>
      <c r="M3380" s="1109"/>
      <c r="N3380" s="501"/>
      <c r="O3380" s="1097"/>
      <c r="P3380" s="1151"/>
      <c r="Q3380" s="1097"/>
      <c r="R3380" s="1097"/>
      <c r="S3380" s="1106"/>
      <c r="T3380" s="501"/>
      <c r="V3380" s="501"/>
      <c r="W3380" s="501"/>
      <c r="X3380" s="501"/>
      <c r="Y3380" s="501"/>
      <c r="Z3380" s="501"/>
      <c r="AA3380" s="501"/>
      <c r="AB3380" s="501"/>
      <c r="AC3380" s="501"/>
      <c r="AD3380" s="501"/>
      <c r="AE3380" s="501"/>
      <c r="AF3380" s="501"/>
      <c r="AG3380" s="501"/>
      <c r="AH3380" s="501"/>
      <c r="AI3380" s="501"/>
      <c r="AJ3380" s="501"/>
      <c r="AK3380" s="501"/>
      <c r="AL3380" s="501"/>
      <c r="AM3380" s="501"/>
      <c r="AN3380" s="501"/>
      <c r="AO3380" s="501"/>
      <c r="AP3380" s="501"/>
      <c r="AQ3380" s="501"/>
      <c r="AR3380" s="501"/>
      <c r="AS3380" s="501"/>
      <c r="AT3380" s="501"/>
      <c r="AU3380" s="501"/>
      <c r="AV3380" s="501"/>
      <c r="AW3380" s="501"/>
      <c r="AX3380" s="501"/>
      <c r="AY3380" s="501"/>
      <c r="AZ3380" s="501"/>
      <c r="BA3380" s="501"/>
      <c r="BB3380" s="501"/>
      <c r="BC3380" s="501"/>
      <c r="BD3380" s="501"/>
      <c r="BE3380" s="501"/>
      <c r="BF3380" s="501"/>
      <c r="BG3380" s="501"/>
      <c r="BH3380" s="501"/>
      <c r="BI3380" s="501"/>
      <c r="BJ3380" s="501"/>
      <c r="BK3380" s="501"/>
      <c r="BL3380" s="501"/>
      <c r="BM3380" s="501"/>
      <c r="BN3380" s="501"/>
      <c r="BO3380" s="501"/>
      <c r="BP3380" s="501"/>
      <c r="BQ3380" s="501"/>
      <c r="BR3380" s="501"/>
      <c r="BS3380" s="501"/>
      <c r="BT3380" s="501"/>
      <c r="BU3380" s="501"/>
      <c r="BV3380" s="501"/>
      <c r="BW3380" s="501"/>
      <c r="BX3380" s="501"/>
      <c r="BY3380" s="501"/>
      <c r="BZ3380" s="501"/>
      <c r="CA3380" s="501"/>
      <c r="CB3380" s="501"/>
      <c r="CC3380" s="501"/>
      <c r="CD3380" s="501"/>
      <c r="CE3380" s="501"/>
      <c r="CF3380" s="501"/>
      <c r="CG3380" s="501"/>
      <c r="CH3380" s="501"/>
      <c r="CI3380" s="501"/>
      <c r="CJ3380" s="501"/>
      <c r="CK3380" s="501"/>
      <c r="CL3380" s="501"/>
      <c r="CM3380" s="501"/>
      <c r="CN3380" s="501"/>
      <c r="CO3380" s="501"/>
      <c r="CP3380" s="501"/>
      <c r="CQ3380" s="501"/>
      <c r="CR3380" s="501"/>
      <c r="CS3380" s="501"/>
      <c r="CT3380" s="501"/>
      <c r="CU3380" s="501"/>
      <c r="CV3380" s="501"/>
      <c r="CW3380" s="501"/>
      <c r="CX3380" s="501"/>
      <c r="CY3380" s="501"/>
      <c r="CZ3380" s="501"/>
      <c r="DA3380" s="501"/>
      <c r="DB3380" s="501"/>
      <c r="DC3380" s="501"/>
      <c r="DD3380" s="501"/>
      <c r="DE3380" s="501"/>
      <c r="DF3380" s="501"/>
      <c r="DG3380" s="501"/>
      <c r="DH3380" s="501"/>
      <c r="DI3380" s="501"/>
      <c r="DJ3380" s="501"/>
      <c r="DK3380" s="501"/>
      <c r="DL3380" s="501"/>
      <c r="DM3380" s="501"/>
      <c r="DN3380" s="501"/>
      <c r="DO3380" s="501"/>
      <c r="DP3380" s="501"/>
      <c r="DQ3380" s="501"/>
      <c r="DR3380" s="501"/>
      <c r="DS3380" s="501"/>
      <c r="DT3380" s="501"/>
      <c r="DU3380" s="501"/>
      <c r="DV3380" s="501"/>
      <c r="DW3380" s="501"/>
      <c r="DX3380" s="501"/>
      <c r="DY3380" s="501"/>
      <c r="DZ3380" s="501"/>
      <c r="EA3380" s="501"/>
      <c r="EB3380" s="501"/>
      <c r="EC3380" s="501"/>
      <c r="ED3380" s="501"/>
      <c r="EE3380" s="501"/>
      <c r="EF3380" s="501"/>
      <c r="EG3380" s="501"/>
      <c r="EH3380" s="501"/>
      <c r="EI3380" s="501"/>
      <c r="EJ3380" s="501"/>
      <c r="EK3380" s="501"/>
      <c r="EL3380" s="501"/>
      <c r="EM3380" s="501"/>
      <c r="EN3380" s="501"/>
      <c r="EO3380" s="501"/>
      <c r="EP3380" s="501"/>
      <c r="EQ3380" s="501"/>
      <c r="ER3380" s="501"/>
      <c r="ES3380" s="501"/>
      <c r="ET3380" s="501"/>
      <c r="EU3380" s="501"/>
      <c r="EV3380" s="501"/>
      <c r="EW3380" s="501"/>
      <c r="EX3380" s="501"/>
      <c r="EY3380" s="501"/>
      <c r="EZ3380" s="501"/>
      <c r="FA3380" s="501"/>
      <c r="FB3380" s="501"/>
      <c r="FC3380" s="501"/>
      <c r="FD3380" s="501"/>
      <c r="FE3380" s="501"/>
      <c r="FF3380" s="501"/>
      <c r="FG3380" s="501"/>
      <c r="FH3380" s="501"/>
      <c r="FI3380" s="501"/>
      <c r="FJ3380" s="501"/>
      <c r="FK3380" s="501"/>
      <c r="FL3380" s="501"/>
      <c r="FM3380" s="501"/>
      <c r="FN3380" s="501"/>
      <c r="FO3380" s="501"/>
      <c r="FP3380" s="501"/>
      <c r="FQ3380" s="501"/>
      <c r="FR3380" s="501"/>
      <c r="FS3380" s="501"/>
      <c r="FT3380" s="501"/>
      <c r="FU3380" s="501"/>
      <c r="FV3380" s="501"/>
      <c r="FW3380" s="501"/>
      <c r="FX3380" s="501"/>
      <c r="FY3380" s="501"/>
      <c r="FZ3380" s="501"/>
      <c r="GA3380" s="501"/>
      <c r="GB3380" s="501"/>
      <c r="GC3380" s="501"/>
      <c r="GD3380" s="501"/>
      <c r="GE3380" s="501"/>
      <c r="GF3380" s="501"/>
      <c r="GG3380" s="501"/>
      <c r="GH3380" s="501"/>
      <c r="GI3380" s="501"/>
      <c r="GJ3380" s="501"/>
      <c r="GK3380" s="501"/>
      <c r="GL3380" s="501"/>
      <c r="GM3380" s="501"/>
      <c r="GN3380" s="501"/>
      <c r="GO3380" s="501"/>
      <c r="GP3380" s="501"/>
      <c r="GQ3380" s="501"/>
      <c r="GR3380" s="501"/>
      <c r="GS3380" s="501"/>
      <c r="GT3380" s="501"/>
      <c r="GU3380" s="501"/>
      <c r="GV3380" s="501"/>
      <c r="GW3380" s="501"/>
      <c r="GX3380" s="501"/>
      <c r="GY3380" s="501"/>
      <c r="GZ3380" s="501"/>
      <c r="HA3380" s="501"/>
      <c r="HB3380" s="501"/>
      <c r="HC3380" s="501"/>
      <c r="HD3380" s="501"/>
      <c r="HE3380" s="501"/>
      <c r="HF3380" s="501"/>
      <c r="HG3380" s="501"/>
      <c r="HH3380" s="501"/>
      <c r="HI3380" s="501"/>
      <c r="HJ3380" s="501"/>
      <c r="HK3380" s="501"/>
      <c r="HL3380" s="501"/>
      <c r="HM3380" s="501"/>
      <c r="HN3380" s="501"/>
      <c r="HO3380" s="501"/>
      <c r="HP3380" s="501"/>
      <c r="HQ3380" s="501"/>
      <c r="HR3380" s="501"/>
      <c r="HS3380" s="501"/>
      <c r="HT3380" s="501"/>
      <c r="HU3380" s="501"/>
      <c r="HV3380" s="501"/>
      <c r="HW3380" s="501"/>
      <c r="HX3380" s="501"/>
      <c r="HY3380" s="501"/>
      <c r="HZ3380" s="501"/>
      <c r="IA3380" s="501"/>
      <c r="IB3380" s="501"/>
      <c r="IC3380" s="501"/>
      <c r="ID3380" s="501"/>
      <c r="IE3380" s="501"/>
      <c r="IF3380" s="501"/>
      <c r="IG3380" s="501"/>
      <c r="IH3380" s="501"/>
      <c r="II3380" s="501"/>
      <c r="IJ3380" s="501"/>
      <c r="IK3380" s="501"/>
      <c r="IL3380" s="501"/>
      <c r="IM3380" s="501"/>
      <c r="IN3380" s="501"/>
      <c r="IO3380" s="501"/>
      <c r="IP3380" s="501"/>
      <c r="IQ3380" s="501"/>
      <c r="IR3380" s="501"/>
      <c r="IS3380" s="501"/>
      <c r="IT3380" s="501"/>
      <c r="IU3380" s="501"/>
    </row>
    <row r="3381" spans="1:255" s="877" customFormat="1" ht="24" customHeight="1">
      <c r="A3381" s="501"/>
      <c r="B3381" s="501"/>
      <c r="C3381" s="501"/>
      <c r="D3381" s="501"/>
      <c r="E3381" s="501"/>
      <c r="F3381" s="1157"/>
      <c r="G3381" s="1158"/>
      <c r="H3381" s="1157"/>
      <c r="I3381" s="973"/>
      <c r="J3381" s="973"/>
      <c r="K3381" s="968"/>
      <c r="L3381" s="974"/>
      <c r="M3381" s="1109"/>
      <c r="N3381" s="501"/>
      <c r="O3381" s="1097"/>
      <c r="P3381" s="1151"/>
      <c r="Q3381" s="1097"/>
      <c r="R3381" s="1097"/>
      <c r="S3381" s="1188"/>
      <c r="T3381" s="501"/>
      <c r="V3381" s="501"/>
      <c r="W3381" s="501"/>
      <c r="X3381" s="501"/>
      <c r="Y3381" s="501"/>
      <c r="Z3381" s="501"/>
      <c r="AA3381" s="501"/>
      <c r="AB3381" s="501"/>
      <c r="AC3381" s="501"/>
      <c r="AD3381" s="501"/>
      <c r="AE3381" s="501"/>
      <c r="AF3381" s="501"/>
      <c r="AG3381" s="501"/>
      <c r="AH3381" s="501"/>
      <c r="AI3381" s="501"/>
      <c r="AJ3381" s="501"/>
      <c r="AK3381" s="501"/>
      <c r="AL3381" s="501"/>
      <c r="AM3381" s="501"/>
      <c r="AN3381" s="501"/>
      <c r="AO3381" s="501"/>
      <c r="AP3381" s="501"/>
      <c r="AQ3381" s="501"/>
      <c r="AR3381" s="501"/>
      <c r="AS3381" s="501"/>
      <c r="AT3381" s="501"/>
      <c r="AU3381" s="501"/>
      <c r="AV3381" s="501"/>
      <c r="AW3381" s="501"/>
      <c r="AX3381" s="501"/>
      <c r="AY3381" s="501"/>
      <c r="AZ3381" s="501"/>
      <c r="BA3381" s="501"/>
      <c r="BB3381" s="501"/>
      <c r="BC3381" s="501"/>
      <c r="BD3381" s="501"/>
      <c r="BE3381" s="501"/>
      <c r="BF3381" s="501"/>
      <c r="BG3381" s="501"/>
      <c r="BH3381" s="501"/>
      <c r="BI3381" s="501"/>
      <c r="BJ3381" s="501"/>
      <c r="BK3381" s="501"/>
      <c r="BL3381" s="501"/>
      <c r="BM3381" s="501"/>
      <c r="BN3381" s="501"/>
      <c r="BO3381" s="501"/>
      <c r="BP3381" s="501"/>
      <c r="BQ3381" s="501"/>
      <c r="BR3381" s="501"/>
      <c r="BS3381" s="501"/>
      <c r="BT3381" s="501"/>
      <c r="BU3381" s="501"/>
      <c r="BV3381" s="501"/>
      <c r="BW3381" s="501"/>
      <c r="BX3381" s="501"/>
      <c r="BY3381" s="501"/>
      <c r="BZ3381" s="501"/>
      <c r="CA3381" s="501"/>
      <c r="CB3381" s="501"/>
      <c r="CC3381" s="501"/>
      <c r="CD3381" s="501"/>
      <c r="CE3381" s="501"/>
      <c r="CF3381" s="501"/>
      <c r="CG3381" s="501"/>
      <c r="CH3381" s="501"/>
      <c r="CI3381" s="501"/>
      <c r="CJ3381" s="501"/>
      <c r="CK3381" s="501"/>
      <c r="CL3381" s="501"/>
      <c r="CM3381" s="501"/>
      <c r="CN3381" s="501"/>
      <c r="CO3381" s="501"/>
      <c r="CP3381" s="501"/>
      <c r="CQ3381" s="501"/>
      <c r="CR3381" s="501"/>
      <c r="CS3381" s="501"/>
      <c r="CT3381" s="501"/>
      <c r="CU3381" s="501"/>
      <c r="CV3381" s="501"/>
      <c r="CW3381" s="501"/>
      <c r="CX3381" s="501"/>
      <c r="CY3381" s="501"/>
      <c r="CZ3381" s="501"/>
      <c r="DA3381" s="501"/>
      <c r="DB3381" s="501"/>
      <c r="DC3381" s="501"/>
      <c r="DD3381" s="501"/>
      <c r="DE3381" s="501"/>
      <c r="DF3381" s="501"/>
      <c r="DG3381" s="501"/>
      <c r="DH3381" s="501"/>
      <c r="DI3381" s="501"/>
      <c r="DJ3381" s="501"/>
      <c r="DK3381" s="501"/>
      <c r="DL3381" s="501"/>
      <c r="DM3381" s="501"/>
      <c r="DN3381" s="501"/>
      <c r="DO3381" s="501"/>
      <c r="DP3381" s="501"/>
      <c r="DQ3381" s="501"/>
      <c r="DR3381" s="501"/>
      <c r="DS3381" s="501"/>
      <c r="DT3381" s="501"/>
      <c r="DU3381" s="501"/>
      <c r="DV3381" s="501"/>
      <c r="DW3381" s="501"/>
      <c r="DX3381" s="501"/>
      <c r="DY3381" s="501"/>
      <c r="DZ3381" s="501"/>
      <c r="EA3381" s="501"/>
      <c r="EB3381" s="501"/>
      <c r="EC3381" s="501"/>
      <c r="ED3381" s="501"/>
      <c r="EE3381" s="501"/>
      <c r="EF3381" s="501"/>
      <c r="EG3381" s="501"/>
      <c r="EH3381" s="501"/>
      <c r="EI3381" s="501"/>
      <c r="EJ3381" s="501"/>
      <c r="EK3381" s="501"/>
      <c r="EL3381" s="501"/>
      <c r="EM3381" s="501"/>
      <c r="EN3381" s="501"/>
      <c r="EO3381" s="501"/>
      <c r="EP3381" s="501"/>
      <c r="EQ3381" s="501"/>
      <c r="ER3381" s="501"/>
      <c r="ES3381" s="501"/>
      <c r="ET3381" s="501"/>
      <c r="EU3381" s="501"/>
      <c r="EV3381" s="501"/>
      <c r="EW3381" s="501"/>
      <c r="EX3381" s="501"/>
      <c r="EY3381" s="501"/>
      <c r="EZ3381" s="501"/>
      <c r="FA3381" s="501"/>
      <c r="FB3381" s="501"/>
      <c r="FC3381" s="501"/>
      <c r="FD3381" s="501"/>
      <c r="FE3381" s="501"/>
      <c r="FF3381" s="501"/>
      <c r="FG3381" s="501"/>
      <c r="FH3381" s="501"/>
      <c r="FI3381" s="501"/>
      <c r="FJ3381" s="501"/>
      <c r="FK3381" s="501"/>
      <c r="FL3381" s="501"/>
      <c r="FM3381" s="501"/>
      <c r="FN3381" s="501"/>
      <c r="FO3381" s="501"/>
      <c r="FP3381" s="501"/>
      <c r="FQ3381" s="501"/>
      <c r="FR3381" s="501"/>
      <c r="FS3381" s="501"/>
      <c r="FT3381" s="501"/>
      <c r="FU3381" s="501"/>
      <c r="FV3381" s="501"/>
      <c r="FW3381" s="501"/>
      <c r="FX3381" s="501"/>
      <c r="FY3381" s="501"/>
      <c r="FZ3381" s="501"/>
      <c r="GA3381" s="501"/>
      <c r="GB3381" s="501"/>
      <c r="GC3381" s="501"/>
      <c r="GD3381" s="501"/>
      <c r="GE3381" s="501"/>
      <c r="GF3381" s="501"/>
      <c r="GG3381" s="501"/>
      <c r="GH3381" s="501"/>
      <c r="GI3381" s="501"/>
      <c r="GJ3381" s="501"/>
      <c r="GK3381" s="501"/>
      <c r="GL3381" s="501"/>
      <c r="GM3381" s="501"/>
      <c r="GN3381" s="501"/>
      <c r="GO3381" s="501"/>
      <c r="GP3381" s="501"/>
      <c r="GQ3381" s="501"/>
      <c r="GR3381" s="501"/>
      <c r="GS3381" s="501"/>
      <c r="GT3381" s="501"/>
      <c r="GU3381" s="501"/>
      <c r="GV3381" s="501"/>
      <c r="GW3381" s="501"/>
      <c r="GX3381" s="501"/>
      <c r="GY3381" s="501"/>
      <c r="GZ3381" s="501"/>
      <c r="HA3381" s="501"/>
      <c r="HB3381" s="501"/>
      <c r="HC3381" s="501"/>
      <c r="HD3381" s="501"/>
      <c r="HE3381" s="501"/>
      <c r="HF3381" s="501"/>
      <c r="HG3381" s="501"/>
      <c r="HH3381" s="501"/>
      <c r="HI3381" s="501"/>
      <c r="HJ3381" s="501"/>
      <c r="HK3381" s="501"/>
      <c r="HL3381" s="501"/>
      <c r="HM3381" s="501"/>
      <c r="HN3381" s="501"/>
      <c r="HO3381" s="501"/>
      <c r="HP3381" s="501"/>
      <c r="HQ3381" s="501"/>
      <c r="HR3381" s="501"/>
      <c r="HS3381" s="501"/>
      <c r="HT3381" s="501"/>
      <c r="HU3381" s="501"/>
      <c r="HV3381" s="501"/>
      <c r="HW3381" s="501"/>
      <c r="HX3381" s="501"/>
      <c r="HY3381" s="501"/>
      <c r="HZ3381" s="501"/>
      <c r="IA3381" s="501"/>
      <c r="IB3381" s="501"/>
      <c r="IC3381" s="501"/>
      <c r="ID3381" s="501"/>
      <c r="IE3381" s="501"/>
      <c r="IF3381" s="501"/>
      <c r="IG3381" s="501"/>
      <c r="IH3381" s="501"/>
      <c r="II3381" s="501"/>
      <c r="IJ3381" s="501"/>
      <c r="IK3381" s="501"/>
      <c r="IL3381" s="501"/>
      <c r="IM3381" s="501"/>
      <c r="IN3381" s="501"/>
      <c r="IO3381" s="501"/>
      <c r="IP3381" s="501"/>
      <c r="IQ3381" s="501"/>
      <c r="IR3381" s="501"/>
      <c r="IS3381" s="501"/>
      <c r="IT3381" s="501"/>
      <c r="IU3381" s="501"/>
    </row>
    <row r="3382" spans="1:255" s="877" customFormat="1" ht="24" customHeight="1">
      <c r="A3382" s="501"/>
      <c r="B3382" s="501"/>
      <c r="C3382" s="501"/>
      <c r="D3382" s="501"/>
      <c r="E3382" s="501"/>
      <c r="F3382" s="1157"/>
      <c r="G3382" s="1158"/>
      <c r="H3382" s="1157"/>
      <c r="I3382" s="973"/>
      <c r="J3382" s="973"/>
      <c r="K3382" s="968"/>
      <c r="L3382" s="974"/>
      <c r="M3382" s="1109"/>
      <c r="N3382" s="501"/>
      <c r="O3382" s="1097"/>
      <c r="P3382" s="1151"/>
      <c r="Q3382" s="1097"/>
      <c r="R3382" s="1097"/>
      <c r="S3382" s="1106"/>
      <c r="T3382" s="501"/>
      <c r="V3382" s="501"/>
      <c r="W3382" s="501"/>
      <c r="X3382" s="501"/>
      <c r="Y3382" s="501"/>
      <c r="Z3382" s="501"/>
      <c r="AA3382" s="501"/>
      <c r="AB3382" s="501"/>
      <c r="AC3382" s="501"/>
      <c r="AD3382" s="501"/>
      <c r="AE3382" s="501"/>
      <c r="AF3382" s="501"/>
      <c r="AG3382" s="501"/>
      <c r="AH3382" s="501"/>
      <c r="AI3382" s="501"/>
      <c r="AJ3382" s="501"/>
      <c r="AK3382" s="501"/>
      <c r="AL3382" s="501"/>
      <c r="AM3382" s="501"/>
      <c r="AN3382" s="501"/>
      <c r="AO3382" s="501"/>
      <c r="AP3382" s="501"/>
      <c r="AQ3382" s="501"/>
      <c r="AR3382" s="501"/>
      <c r="AS3382" s="501"/>
      <c r="AT3382" s="501"/>
      <c r="AU3382" s="501"/>
      <c r="AV3382" s="501"/>
      <c r="AW3382" s="501"/>
      <c r="AX3382" s="501"/>
      <c r="AY3382" s="501"/>
      <c r="AZ3382" s="501"/>
      <c r="BA3382" s="501"/>
      <c r="BB3382" s="501"/>
      <c r="BC3382" s="501"/>
      <c r="BD3382" s="501"/>
      <c r="BE3382" s="501"/>
      <c r="BF3382" s="501"/>
      <c r="BG3382" s="501"/>
      <c r="BH3382" s="501"/>
      <c r="BI3382" s="501"/>
      <c r="BJ3382" s="501"/>
      <c r="BK3382" s="501"/>
      <c r="BL3382" s="501"/>
      <c r="BM3382" s="501"/>
      <c r="BN3382" s="501"/>
      <c r="BO3382" s="501"/>
      <c r="BP3382" s="501"/>
      <c r="BQ3382" s="501"/>
      <c r="BR3382" s="501"/>
      <c r="BS3382" s="501"/>
      <c r="BT3382" s="501"/>
      <c r="BU3382" s="501"/>
      <c r="BV3382" s="501"/>
      <c r="BW3382" s="501"/>
      <c r="BX3382" s="501"/>
      <c r="BY3382" s="501"/>
      <c r="BZ3382" s="501"/>
      <c r="CA3382" s="501"/>
      <c r="CB3382" s="501"/>
      <c r="CC3382" s="501"/>
      <c r="CD3382" s="501"/>
      <c r="CE3382" s="501"/>
      <c r="CF3382" s="501"/>
      <c r="CG3382" s="501"/>
      <c r="CH3382" s="501"/>
      <c r="CI3382" s="501"/>
      <c r="CJ3382" s="501"/>
      <c r="CK3382" s="501"/>
      <c r="CL3382" s="501"/>
      <c r="CM3382" s="501"/>
      <c r="CN3382" s="501"/>
      <c r="CO3382" s="501"/>
      <c r="CP3382" s="501"/>
      <c r="CQ3382" s="501"/>
      <c r="CR3382" s="501"/>
      <c r="CS3382" s="501"/>
      <c r="CT3382" s="501"/>
      <c r="CU3382" s="501"/>
      <c r="CV3382" s="501"/>
      <c r="CW3382" s="501"/>
      <c r="CX3382" s="501"/>
      <c r="CY3382" s="501"/>
      <c r="CZ3382" s="501"/>
      <c r="DA3382" s="501"/>
      <c r="DB3382" s="501"/>
      <c r="DC3382" s="501"/>
      <c r="DD3382" s="501"/>
      <c r="DE3382" s="501"/>
      <c r="DF3382" s="501"/>
      <c r="DG3382" s="501"/>
      <c r="DH3382" s="501"/>
      <c r="DI3382" s="501"/>
      <c r="DJ3382" s="501"/>
      <c r="DK3382" s="501"/>
      <c r="DL3382" s="501"/>
      <c r="DM3382" s="501"/>
      <c r="DN3382" s="501"/>
      <c r="DO3382" s="501"/>
      <c r="DP3382" s="501"/>
      <c r="DQ3382" s="501"/>
      <c r="DR3382" s="501"/>
      <c r="DS3382" s="501"/>
      <c r="DT3382" s="501"/>
      <c r="DU3382" s="501"/>
      <c r="DV3382" s="501"/>
      <c r="DW3382" s="501"/>
      <c r="DX3382" s="501"/>
      <c r="DY3382" s="501"/>
      <c r="DZ3382" s="501"/>
      <c r="EA3382" s="501"/>
      <c r="EB3382" s="501"/>
      <c r="EC3382" s="501"/>
      <c r="ED3382" s="501"/>
      <c r="EE3382" s="501"/>
      <c r="EF3382" s="501"/>
      <c r="EG3382" s="501"/>
      <c r="EH3382" s="501"/>
      <c r="EI3382" s="501"/>
      <c r="EJ3382" s="501"/>
      <c r="EK3382" s="501"/>
      <c r="EL3382" s="501"/>
      <c r="EM3382" s="501"/>
      <c r="EN3382" s="501"/>
      <c r="EO3382" s="501"/>
      <c r="EP3382" s="501"/>
      <c r="EQ3382" s="501"/>
      <c r="ER3382" s="501"/>
      <c r="ES3382" s="501"/>
      <c r="ET3382" s="501"/>
      <c r="EU3382" s="501"/>
      <c r="EV3382" s="501"/>
      <c r="EW3382" s="501"/>
      <c r="EX3382" s="501"/>
      <c r="EY3382" s="501"/>
      <c r="EZ3382" s="501"/>
      <c r="FA3382" s="501"/>
      <c r="FB3382" s="501"/>
      <c r="FC3382" s="501"/>
      <c r="FD3382" s="501"/>
      <c r="FE3382" s="501"/>
      <c r="FF3382" s="501"/>
      <c r="FG3382" s="501"/>
      <c r="FH3382" s="501"/>
      <c r="FI3382" s="501"/>
      <c r="FJ3382" s="501"/>
      <c r="FK3382" s="501"/>
      <c r="FL3382" s="501"/>
      <c r="FM3382" s="501"/>
      <c r="FN3382" s="501"/>
      <c r="FO3382" s="501"/>
      <c r="FP3382" s="501"/>
      <c r="FQ3382" s="501"/>
      <c r="FR3382" s="501"/>
      <c r="FS3382" s="501"/>
      <c r="FT3382" s="501"/>
      <c r="FU3382" s="501"/>
      <c r="FV3382" s="501"/>
      <c r="FW3382" s="501"/>
      <c r="FX3382" s="501"/>
      <c r="FY3382" s="501"/>
      <c r="FZ3382" s="501"/>
      <c r="GA3382" s="501"/>
      <c r="GB3382" s="501"/>
      <c r="GC3382" s="501"/>
      <c r="GD3382" s="501"/>
      <c r="GE3382" s="501"/>
      <c r="GF3382" s="501"/>
      <c r="GG3382" s="501"/>
      <c r="GH3382" s="501"/>
      <c r="GI3382" s="501"/>
      <c r="GJ3382" s="501"/>
      <c r="GK3382" s="501"/>
      <c r="GL3382" s="501"/>
      <c r="GM3382" s="501"/>
      <c r="GN3382" s="501"/>
      <c r="GO3382" s="501"/>
      <c r="GP3382" s="501"/>
      <c r="GQ3382" s="501"/>
      <c r="GR3382" s="501"/>
      <c r="GS3382" s="501"/>
      <c r="GT3382" s="501"/>
      <c r="GU3382" s="501"/>
      <c r="GV3382" s="501"/>
      <c r="GW3382" s="501"/>
      <c r="GX3382" s="501"/>
      <c r="GY3382" s="501"/>
      <c r="GZ3382" s="501"/>
      <c r="HA3382" s="501"/>
      <c r="HB3382" s="501"/>
      <c r="HC3382" s="501"/>
      <c r="HD3382" s="501"/>
      <c r="HE3382" s="501"/>
      <c r="HF3382" s="501"/>
      <c r="HG3382" s="501"/>
      <c r="HH3382" s="501"/>
      <c r="HI3382" s="501"/>
      <c r="HJ3382" s="501"/>
      <c r="HK3382" s="501"/>
      <c r="HL3382" s="501"/>
      <c r="HM3382" s="501"/>
      <c r="HN3382" s="501"/>
      <c r="HO3382" s="501"/>
      <c r="HP3382" s="501"/>
      <c r="HQ3382" s="501"/>
      <c r="HR3382" s="501"/>
      <c r="HS3382" s="501"/>
      <c r="HT3382" s="501"/>
      <c r="HU3382" s="501"/>
      <c r="HV3382" s="501"/>
      <c r="HW3382" s="501"/>
      <c r="HX3382" s="501"/>
      <c r="HY3382" s="501"/>
      <c r="HZ3382" s="501"/>
      <c r="IA3382" s="501"/>
      <c r="IB3382" s="501"/>
      <c r="IC3382" s="501"/>
      <c r="ID3382" s="501"/>
      <c r="IE3382" s="501"/>
      <c r="IF3382" s="501"/>
      <c r="IG3382" s="501"/>
      <c r="IH3382" s="501"/>
      <c r="II3382" s="501"/>
      <c r="IJ3382" s="501"/>
      <c r="IK3382" s="501"/>
      <c r="IL3382" s="501"/>
      <c r="IM3382" s="501"/>
      <c r="IN3382" s="501"/>
      <c r="IO3382" s="501"/>
      <c r="IP3382" s="501"/>
      <c r="IQ3382" s="501"/>
      <c r="IR3382" s="501"/>
      <c r="IS3382" s="501"/>
      <c r="IT3382" s="501"/>
      <c r="IU3382" s="501"/>
    </row>
    <row r="3383" spans="1:255" s="877" customFormat="1" ht="24" customHeight="1">
      <c r="A3383" s="501"/>
      <c r="B3383" s="501"/>
      <c r="C3383" s="501"/>
      <c r="D3383" s="501"/>
      <c r="E3383" s="501"/>
      <c r="F3383" s="1157"/>
      <c r="G3383" s="1158"/>
      <c r="H3383" s="1157"/>
      <c r="I3383" s="973"/>
      <c r="J3383" s="876"/>
      <c r="K3383" s="968"/>
      <c r="L3383" s="974"/>
      <c r="M3383" s="1109"/>
      <c r="N3383" s="501"/>
      <c r="O3383" s="1097"/>
      <c r="P3383" s="1151"/>
      <c r="Q3383" s="973"/>
      <c r="R3383" s="1097"/>
      <c r="S3383" s="1189"/>
      <c r="T3383" s="1157"/>
      <c r="V3383" s="501"/>
      <c r="W3383" s="501"/>
      <c r="X3383" s="501"/>
      <c r="Y3383" s="501"/>
      <c r="Z3383" s="501"/>
      <c r="AA3383" s="501"/>
      <c r="AB3383" s="501"/>
      <c r="AC3383" s="501"/>
      <c r="AD3383" s="501"/>
      <c r="AE3383" s="501"/>
      <c r="AF3383" s="501"/>
      <c r="AG3383" s="501"/>
      <c r="AH3383" s="501"/>
      <c r="AI3383" s="501"/>
      <c r="AJ3383" s="501"/>
      <c r="AK3383" s="501"/>
      <c r="AL3383" s="501"/>
      <c r="AM3383" s="501"/>
      <c r="AN3383" s="501"/>
      <c r="AO3383" s="501"/>
      <c r="AP3383" s="501"/>
      <c r="AQ3383" s="501"/>
      <c r="AR3383" s="501"/>
      <c r="AS3383" s="501"/>
      <c r="AT3383" s="501"/>
      <c r="AU3383" s="501"/>
      <c r="AV3383" s="501"/>
      <c r="AW3383" s="501"/>
      <c r="AX3383" s="501"/>
      <c r="AY3383" s="501"/>
      <c r="AZ3383" s="501"/>
      <c r="BA3383" s="501"/>
      <c r="BB3383" s="501"/>
      <c r="BC3383" s="501"/>
      <c r="BD3383" s="501"/>
      <c r="BE3383" s="501"/>
      <c r="BF3383" s="501"/>
      <c r="BG3383" s="501"/>
      <c r="BH3383" s="501"/>
      <c r="BI3383" s="501"/>
      <c r="BJ3383" s="501"/>
      <c r="BK3383" s="501"/>
      <c r="BL3383" s="501"/>
      <c r="BM3383" s="501"/>
      <c r="BN3383" s="501"/>
      <c r="BO3383" s="501"/>
      <c r="BP3383" s="501"/>
      <c r="BQ3383" s="501"/>
      <c r="BR3383" s="501"/>
      <c r="BS3383" s="501"/>
      <c r="BT3383" s="501"/>
      <c r="BU3383" s="501"/>
      <c r="BV3383" s="501"/>
      <c r="BW3383" s="501"/>
      <c r="BX3383" s="501"/>
      <c r="BY3383" s="501"/>
      <c r="BZ3383" s="501"/>
      <c r="CA3383" s="501"/>
      <c r="CB3383" s="501"/>
      <c r="CC3383" s="501"/>
      <c r="CD3383" s="501"/>
      <c r="CE3383" s="501"/>
      <c r="CF3383" s="501"/>
      <c r="CG3383" s="501"/>
      <c r="CH3383" s="501"/>
      <c r="CI3383" s="501"/>
      <c r="CJ3383" s="501"/>
      <c r="CK3383" s="501"/>
      <c r="CL3383" s="501"/>
      <c r="CM3383" s="501"/>
      <c r="CN3383" s="501"/>
      <c r="CO3383" s="501"/>
      <c r="CP3383" s="501"/>
      <c r="CQ3383" s="501"/>
      <c r="CR3383" s="501"/>
      <c r="CS3383" s="501"/>
      <c r="CT3383" s="501"/>
      <c r="CU3383" s="501"/>
      <c r="CV3383" s="501"/>
      <c r="CW3383" s="501"/>
      <c r="CX3383" s="501"/>
      <c r="CY3383" s="501"/>
      <c r="CZ3383" s="501"/>
      <c r="DA3383" s="501"/>
      <c r="DB3383" s="501"/>
      <c r="DC3383" s="501"/>
      <c r="DD3383" s="501"/>
      <c r="DE3383" s="501"/>
      <c r="DF3383" s="501"/>
      <c r="DG3383" s="501"/>
      <c r="DH3383" s="501"/>
      <c r="DI3383" s="501"/>
      <c r="DJ3383" s="501"/>
      <c r="DK3383" s="501"/>
      <c r="DL3383" s="501"/>
      <c r="DM3383" s="501"/>
      <c r="DN3383" s="501"/>
      <c r="DO3383" s="501"/>
      <c r="DP3383" s="501"/>
      <c r="DQ3383" s="501"/>
      <c r="DR3383" s="501"/>
      <c r="DS3383" s="501"/>
      <c r="DT3383" s="501"/>
      <c r="DU3383" s="501"/>
      <c r="DV3383" s="501"/>
      <c r="DW3383" s="501"/>
      <c r="DX3383" s="501"/>
      <c r="DY3383" s="501"/>
      <c r="DZ3383" s="501"/>
      <c r="EA3383" s="501"/>
      <c r="EB3383" s="501"/>
      <c r="EC3383" s="501"/>
      <c r="ED3383" s="501"/>
      <c r="EE3383" s="501"/>
      <c r="EF3383" s="501"/>
      <c r="EG3383" s="501"/>
      <c r="EH3383" s="501"/>
      <c r="EI3383" s="501"/>
      <c r="EJ3383" s="501"/>
      <c r="EK3383" s="501"/>
      <c r="EL3383" s="501"/>
      <c r="EM3383" s="501"/>
      <c r="EN3383" s="501"/>
      <c r="EO3383" s="501"/>
      <c r="EP3383" s="501"/>
      <c r="EQ3383" s="501"/>
      <c r="ER3383" s="501"/>
      <c r="ES3383" s="501"/>
      <c r="ET3383" s="501"/>
      <c r="EU3383" s="501"/>
      <c r="EV3383" s="501"/>
      <c r="EW3383" s="501"/>
      <c r="EX3383" s="501"/>
      <c r="EY3383" s="501"/>
      <c r="EZ3383" s="501"/>
      <c r="FA3383" s="501"/>
      <c r="FB3383" s="501"/>
      <c r="FC3383" s="501"/>
      <c r="FD3383" s="501"/>
      <c r="FE3383" s="501"/>
      <c r="FF3383" s="501"/>
      <c r="FG3383" s="501"/>
      <c r="FH3383" s="501"/>
      <c r="FI3383" s="501"/>
      <c r="FJ3383" s="501"/>
      <c r="FK3383" s="501"/>
      <c r="FL3383" s="501"/>
      <c r="FM3383" s="501"/>
      <c r="FN3383" s="501"/>
      <c r="FO3383" s="501"/>
      <c r="FP3383" s="501"/>
      <c r="FQ3383" s="501"/>
      <c r="FR3383" s="501"/>
      <c r="FS3383" s="501"/>
      <c r="FT3383" s="501"/>
      <c r="FU3383" s="501"/>
      <c r="FV3383" s="501"/>
      <c r="FW3383" s="501"/>
      <c r="FX3383" s="501"/>
      <c r="FY3383" s="501"/>
      <c r="FZ3383" s="501"/>
      <c r="GA3383" s="501"/>
      <c r="GB3383" s="501"/>
      <c r="GC3383" s="501"/>
      <c r="GD3383" s="501"/>
      <c r="GE3383" s="501"/>
      <c r="GF3383" s="501"/>
      <c r="GG3383" s="501"/>
      <c r="GH3383" s="501"/>
      <c r="GI3383" s="501"/>
      <c r="GJ3383" s="501"/>
      <c r="GK3383" s="501"/>
      <c r="GL3383" s="501"/>
      <c r="GM3383" s="501"/>
      <c r="GN3383" s="501"/>
      <c r="GO3383" s="501"/>
      <c r="GP3383" s="501"/>
      <c r="GQ3383" s="501"/>
      <c r="GR3383" s="501"/>
      <c r="GS3383" s="501"/>
      <c r="GT3383" s="501"/>
      <c r="GU3383" s="501"/>
      <c r="GV3383" s="501"/>
      <c r="GW3383" s="501"/>
      <c r="GX3383" s="501"/>
      <c r="GY3383" s="501"/>
      <c r="GZ3383" s="501"/>
      <c r="HA3383" s="501"/>
      <c r="HB3383" s="501"/>
      <c r="HC3383" s="501"/>
      <c r="HD3383" s="501"/>
      <c r="HE3383" s="501"/>
      <c r="HF3383" s="501"/>
      <c r="HG3383" s="501"/>
      <c r="HH3383" s="501"/>
      <c r="HI3383" s="501"/>
      <c r="HJ3383" s="501"/>
      <c r="HK3383" s="501"/>
      <c r="HL3383" s="501"/>
      <c r="HM3383" s="501"/>
      <c r="HN3383" s="501"/>
      <c r="HO3383" s="501"/>
      <c r="HP3383" s="501"/>
      <c r="HQ3383" s="501"/>
      <c r="HR3383" s="501"/>
      <c r="HS3383" s="501"/>
      <c r="HT3383" s="501"/>
      <c r="HU3383" s="501"/>
      <c r="HV3383" s="501"/>
      <c r="HW3383" s="501"/>
      <c r="HX3383" s="501"/>
      <c r="HY3383" s="501"/>
      <c r="HZ3383" s="501"/>
      <c r="IA3383" s="501"/>
      <c r="IB3383" s="501"/>
      <c r="IC3383" s="501"/>
      <c r="ID3383" s="501"/>
      <c r="IE3383" s="501"/>
      <c r="IF3383" s="501"/>
      <c r="IG3383" s="501"/>
      <c r="IH3383" s="501"/>
      <c r="II3383" s="501"/>
      <c r="IJ3383" s="501"/>
      <c r="IK3383" s="501"/>
      <c r="IL3383" s="501"/>
      <c r="IM3383" s="501"/>
      <c r="IN3383" s="501"/>
      <c r="IO3383" s="501"/>
      <c r="IP3383" s="501"/>
      <c r="IQ3383" s="501"/>
      <c r="IR3383" s="501"/>
      <c r="IS3383" s="501"/>
      <c r="IT3383" s="501"/>
      <c r="IU3383" s="501"/>
    </row>
    <row r="3384" spans="1:255" s="877" customFormat="1" ht="24" customHeight="1">
      <c r="A3384" s="501"/>
      <c r="B3384" s="501"/>
      <c r="C3384" s="501"/>
      <c r="D3384" s="501"/>
      <c r="E3384" s="501"/>
      <c r="F3384" s="1159"/>
      <c r="G3384" s="1160"/>
      <c r="H3384" s="1159"/>
      <c r="I3384" s="973"/>
      <c r="J3384" s="973"/>
      <c r="K3384" s="1161"/>
      <c r="L3384" s="974"/>
      <c r="M3384" s="1109"/>
      <c r="N3384" s="501"/>
      <c r="O3384" s="1097"/>
      <c r="P3384" s="1151"/>
      <c r="Q3384" s="973"/>
      <c r="R3384" s="1097"/>
      <c r="S3384" s="1190"/>
      <c r="T3384" s="1157"/>
      <c r="V3384" s="501"/>
      <c r="W3384" s="501"/>
      <c r="X3384" s="501"/>
      <c r="Y3384" s="501"/>
      <c r="Z3384" s="501"/>
      <c r="AA3384" s="501"/>
      <c r="AB3384" s="501"/>
      <c r="AC3384" s="501"/>
      <c r="AD3384" s="501"/>
      <c r="AE3384" s="501"/>
      <c r="AF3384" s="501"/>
      <c r="AG3384" s="501"/>
      <c r="AH3384" s="501"/>
      <c r="AI3384" s="501"/>
      <c r="AJ3384" s="501"/>
      <c r="AK3384" s="501"/>
      <c r="AL3384" s="501"/>
      <c r="AM3384" s="501"/>
      <c r="AN3384" s="501"/>
      <c r="AO3384" s="501"/>
      <c r="AP3384" s="501"/>
      <c r="AQ3384" s="501"/>
      <c r="AR3384" s="501"/>
      <c r="AS3384" s="501"/>
      <c r="AT3384" s="501"/>
      <c r="AU3384" s="501"/>
      <c r="AV3384" s="501"/>
      <c r="AW3384" s="501"/>
      <c r="AX3384" s="501"/>
      <c r="AY3384" s="501"/>
      <c r="AZ3384" s="501"/>
      <c r="BA3384" s="501"/>
      <c r="BB3384" s="501"/>
      <c r="BC3384" s="501"/>
      <c r="BD3384" s="501"/>
      <c r="BE3384" s="501"/>
      <c r="BF3384" s="501"/>
      <c r="BG3384" s="501"/>
      <c r="BH3384" s="501"/>
      <c r="BI3384" s="501"/>
      <c r="BJ3384" s="501"/>
      <c r="BK3384" s="501"/>
      <c r="BL3384" s="501"/>
      <c r="BM3384" s="501"/>
      <c r="BN3384" s="501"/>
      <c r="BO3384" s="501"/>
      <c r="BP3384" s="501"/>
      <c r="BQ3384" s="501"/>
      <c r="BR3384" s="501"/>
      <c r="BS3384" s="501"/>
      <c r="BT3384" s="501"/>
      <c r="BU3384" s="501"/>
      <c r="BV3384" s="501"/>
      <c r="BW3384" s="501"/>
      <c r="BX3384" s="501"/>
      <c r="BY3384" s="501"/>
      <c r="BZ3384" s="501"/>
      <c r="CA3384" s="501"/>
      <c r="CB3384" s="501"/>
      <c r="CC3384" s="501"/>
      <c r="CD3384" s="501"/>
      <c r="CE3384" s="501"/>
      <c r="CF3384" s="501"/>
      <c r="CG3384" s="501"/>
      <c r="CH3384" s="501"/>
      <c r="CI3384" s="501"/>
      <c r="CJ3384" s="501"/>
      <c r="CK3384" s="501"/>
      <c r="CL3384" s="501"/>
      <c r="CM3384" s="501"/>
      <c r="CN3384" s="501"/>
      <c r="CO3384" s="501"/>
      <c r="CP3384" s="501"/>
      <c r="CQ3384" s="501"/>
      <c r="CR3384" s="501"/>
      <c r="CS3384" s="501"/>
      <c r="CT3384" s="501"/>
      <c r="CU3384" s="501"/>
      <c r="CV3384" s="501"/>
      <c r="CW3384" s="501"/>
      <c r="CX3384" s="501"/>
      <c r="CY3384" s="501"/>
      <c r="CZ3384" s="501"/>
      <c r="DA3384" s="501"/>
      <c r="DB3384" s="501"/>
      <c r="DC3384" s="501"/>
      <c r="DD3384" s="501"/>
      <c r="DE3384" s="501"/>
      <c r="DF3384" s="501"/>
      <c r="DG3384" s="501"/>
      <c r="DH3384" s="501"/>
      <c r="DI3384" s="501"/>
      <c r="DJ3384" s="501"/>
      <c r="DK3384" s="501"/>
      <c r="DL3384" s="501"/>
      <c r="DM3384" s="501"/>
      <c r="DN3384" s="501"/>
      <c r="DO3384" s="501"/>
      <c r="DP3384" s="501"/>
      <c r="DQ3384" s="501"/>
      <c r="DR3384" s="501"/>
      <c r="DS3384" s="501"/>
      <c r="DT3384" s="501"/>
      <c r="DU3384" s="501"/>
      <c r="DV3384" s="501"/>
      <c r="DW3384" s="501"/>
      <c r="DX3384" s="501"/>
      <c r="DY3384" s="501"/>
      <c r="DZ3384" s="501"/>
      <c r="EA3384" s="501"/>
      <c r="EB3384" s="501"/>
      <c r="EC3384" s="501"/>
      <c r="ED3384" s="501"/>
      <c r="EE3384" s="501"/>
      <c r="EF3384" s="501"/>
      <c r="EG3384" s="501"/>
      <c r="EH3384" s="501"/>
      <c r="EI3384" s="501"/>
      <c r="EJ3384" s="501"/>
      <c r="EK3384" s="501"/>
      <c r="EL3384" s="501"/>
      <c r="EM3384" s="501"/>
      <c r="EN3384" s="501"/>
      <c r="EO3384" s="501"/>
      <c r="EP3384" s="501"/>
      <c r="EQ3384" s="501"/>
      <c r="ER3384" s="501"/>
      <c r="ES3384" s="501"/>
      <c r="ET3384" s="501"/>
      <c r="EU3384" s="501"/>
      <c r="EV3384" s="501"/>
      <c r="EW3384" s="501"/>
      <c r="EX3384" s="501"/>
      <c r="EY3384" s="501"/>
      <c r="EZ3384" s="501"/>
      <c r="FA3384" s="501"/>
      <c r="FB3384" s="501"/>
      <c r="FC3384" s="501"/>
      <c r="FD3384" s="501"/>
      <c r="FE3384" s="501"/>
      <c r="FF3384" s="501"/>
      <c r="FG3384" s="501"/>
      <c r="FH3384" s="501"/>
      <c r="FI3384" s="501"/>
      <c r="FJ3384" s="501"/>
      <c r="FK3384" s="501"/>
      <c r="FL3384" s="501"/>
      <c r="FM3384" s="501"/>
      <c r="FN3384" s="501"/>
      <c r="FO3384" s="501"/>
      <c r="FP3384" s="501"/>
      <c r="FQ3384" s="501"/>
      <c r="FR3384" s="501"/>
      <c r="FS3384" s="501"/>
      <c r="FT3384" s="501"/>
      <c r="FU3384" s="501"/>
      <c r="FV3384" s="501"/>
      <c r="FW3384" s="501"/>
      <c r="FX3384" s="501"/>
      <c r="FY3384" s="501"/>
      <c r="FZ3384" s="501"/>
      <c r="GA3384" s="501"/>
      <c r="GB3384" s="501"/>
      <c r="GC3384" s="501"/>
      <c r="GD3384" s="501"/>
      <c r="GE3384" s="501"/>
      <c r="GF3384" s="501"/>
      <c r="GG3384" s="501"/>
      <c r="GH3384" s="501"/>
      <c r="GI3384" s="501"/>
      <c r="GJ3384" s="501"/>
      <c r="GK3384" s="501"/>
      <c r="GL3384" s="501"/>
      <c r="GM3384" s="501"/>
      <c r="GN3384" s="501"/>
      <c r="GO3384" s="501"/>
      <c r="GP3384" s="501"/>
      <c r="GQ3384" s="501"/>
      <c r="GR3384" s="501"/>
      <c r="GS3384" s="501"/>
      <c r="GT3384" s="501"/>
      <c r="GU3384" s="501"/>
      <c r="GV3384" s="501"/>
      <c r="GW3384" s="501"/>
      <c r="GX3384" s="501"/>
      <c r="GY3384" s="501"/>
      <c r="GZ3384" s="501"/>
      <c r="HA3384" s="501"/>
      <c r="HB3384" s="501"/>
      <c r="HC3384" s="501"/>
      <c r="HD3384" s="501"/>
      <c r="HE3384" s="501"/>
      <c r="HF3384" s="501"/>
      <c r="HG3384" s="501"/>
      <c r="HH3384" s="501"/>
      <c r="HI3384" s="501"/>
      <c r="HJ3384" s="501"/>
      <c r="HK3384" s="501"/>
      <c r="HL3384" s="501"/>
      <c r="HM3384" s="501"/>
      <c r="HN3384" s="501"/>
      <c r="HO3384" s="501"/>
      <c r="HP3384" s="501"/>
      <c r="HQ3384" s="501"/>
      <c r="HR3384" s="501"/>
      <c r="HS3384" s="501"/>
      <c r="HT3384" s="501"/>
      <c r="HU3384" s="501"/>
      <c r="HV3384" s="501"/>
      <c r="HW3384" s="501"/>
      <c r="HX3384" s="501"/>
      <c r="HY3384" s="501"/>
      <c r="HZ3384" s="501"/>
      <c r="IA3384" s="501"/>
      <c r="IB3384" s="501"/>
      <c r="IC3384" s="501"/>
      <c r="ID3384" s="501"/>
      <c r="IE3384" s="501"/>
      <c r="IF3384" s="501"/>
      <c r="IG3384" s="501"/>
      <c r="IH3384" s="501"/>
      <c r="II3384" s="501"/>
      <c r="IJ3384" s="501"/>
      <c r="IK3384" s="501"/>
      <c r="IL3384" s="501"/>
      <c r="IM3384" s="501"/>
      <c r="IN3384" s="501"/>
      <c r="IO3384" s="501"/>
      <c r="IP3384" s="501"/>
      <c r="IQ3384" s="501"/>
      <c r="IR3384" s="501"/>
      <c r="IS3384" s="501"/>
      <c r="IT3384" s="501"/>
      <c r="IU3384" s="501"/>
    </row>
    <row r="3385" spans="1:255" s="877" customFormat="1" ht="24" customHeight="1">
      <c r="A3385" s="501"/>
      <c r="B3385" s="501"/>
      <c r="C3385" s="501"/>
      <c r="D3385" s="501"/>
      <c r="E3385" s="501"/>
      <c r="F3385" s="968"/>
      <c r="G3385" s="1107"/>
      <c r="H3385" s="968"/>
      <c r="I3385" s="973"/>
      <c r="J3385" s="1108"/>
      <c r="K3385" s="968"/>
      <c r="L3385" s="974"/>
      <c r="M3385" s="1109"/>
      <c r="N3385" s="501"/>
      <c r="O3385" s="1097"/>
      <c r="P3385" s="1151"/>
      <c r="Q3385" s="973"/>
      <c r="R3385" s="1097"/>
      <c r="S3385" s="1106"/>
      <c r="T3385" s="1157"/>
      <c r="V3385" s="501"/>
      <c r="W3385" s="501"/>
      <c r="X3385" s="501"/>
      <c r="Y3385" s="501"/>
      <c r="Z3385" s="501"/>
      <c r="AA3385" s="501"/>
      <c r="AB3385" s="501"/>
      <c r="AC3385" s="501"/>
      <c r="AD3385" s="501"/>
      <c r="AE3385" s="501"/>
      <c r="AF3385" s="501"/>
      <c r="AG3385" s="501"/>
      <c r="AH3385" s="501"/>
      <c r="AI3385" s="501"/>
      <c r="AJ3385" s="501"/>
      <c r="AK3385" s="501"/>
      <c r="AL3385" s="501"/>
      <c r="AM3385" s="501"/>
      <c r="AN3385" s="501"/>
      <c r="AO3385" s="501"/>
      <c r="AP3385" s="501"/>
      <c r="AQ3385" s="501"/>
      <c r="AR3385" s="501"/>
      <c r="AS3385" s="501"/>
      <c r="AT3385" s="501"/>
      <c r="AU3385" s="501"/>
      <c r="AV3385" s="501"/>
      <c r="AW3385" s="501"/>
      <c r="AX3385" s="501"/>
      <c r="AY3385" s="501"/>
      <c r="AZ3385" s="501"/>
      <c r="BA3385" s="501"/>
      <c r="BB3385" s="501"/>
      <c r="BC3385" s="501"/>
      <c r="BD3385" s="501"/>
      <c r="BE3385" s="501"/>
      <c r="BF3385" s="501"/>
      <c r="BG3385" s="501"/>
      <c r="BH3385" s="501"/>
      <c r="BI3385" s="501"/>
      <c r="BJ3385" s="501"/>
      <c r="BK3385" s="501"/>
      <c r="BL3385" s="501"/>
      <c r="BM3385" s="501"/>
      <c r="BN3385" s="501"/>
      <c r="BO3385" s="501"/>
      <c r="BP3385" s="501"/>
      <c r="BQ3385" s="501"/>
      <c r="BR3385" s="501"/>
      <c r="BS3385" s="501"/>
      <c r="BT3385" s="501"/>
      <c r="BU3385" s="501"/>
      <c r="BV3385" s="501"/>
      <c r="BW3385" s="501"/>
      <c r="BX3385" s="501"/>
      <c r="BY3385" s="501"/>
      <c r="BZ3385" s="501"/>
      <c r="CA3385" s="501"/>
      <c r="CB3385" s="501"/>
      <c r="CC3385" s="501"/>
      <c r="CD3385" s="501"/>
      <c r="CE3385" s="501"/>
      <c r="CF3385" s="501"/>
      <c r="CG3385" s="501"/>
      <c r="CH3385" s="501"/>
      <c r="CI3385" s="501"/>
      <c r="CJ3385" s="501"/>
      <c r="CK3385" s="501"/>
      <c r="CL3385" s="501"/>
      <c r="CM3385" s="501"/>
      <c r="CN3385" s="501"/>
      <c r="CO3385" s="501"/>
      <c r="CP3385" s="501"/>
      <c r="CQ3385" s="501"/>
      <c r="CR3385" s="501"/>
      <c r="CS3385" s="501"/>
      <c r="CT3385" s="501"/>
      <c r="CU3385" s="501"/>
      <c r="CV3385" s="501"/>
      <c r="CW3385" s="501"/>
      <c r="CX3385" s="501"/>
      <c r="CY3385" s="501"/>
      <c r="CZ3385" s="501"/>
      <c r="DA3385" s="501"/>
      <c r="DB3385" s="501"/>
      <c r="DC3385" s="501"/>
      <c r="DD3385" s="501"/>
      <c r="DE3385" s="501"/>
      <c r="DF3385" s="501"/>
      <c r="DG3385" s="501"/>
      <c r="DH3385" s="501"/>
      <c r="DI3385" s="501"/>
      <c r="DJ3385" s="501"/>
      <c r="DK3385" s="501"/>
      <c r="DL3385" s="501"/>
      <c r="DM3385" s="501"/>
      <c r="DN3385" s="501"/>
      <c r="DO3385" s="501"/>
      <c r="DP3385" s="501"/>
      <c r="DQ3385" s="501"/>
      <c r="DR3385" s="501"/>
      <c r="DS3385" s="501"/>
      <c r="DT3385" s="501"/>
      <c r="DU3385" s="501"/>
      <c r="DV3385" s="501"/>
      <c r="DW3385" s="501"/>
      <c r="DX3385" s="501"/>
      <c r="DY3385" s="501"/>
      <c r="DZ3385" s="501"/>
      <c r="EA3385" s="501"/>
      <c r="EB3385" s="501"/>
      <c r="EC3385" s="501"/>
      <c r="ED3385" s="501"/>
      <c r="EE3385" s="501"/>
      <c r="EF3385" s="501"/>
      <c r="EG3385" s="501"/>
      <c r="EH3385" s="501"/>
      <c r="EI3385" s="501"/>
      <c r="EJ3385" s="501"/>
      <c r="EK3385" s="501"/>
      <c r="EL3385" s="501"/>
      <c r="EM3385" s="501"/>
      <c r="EN3385" s="501"/>
      <c r="EO3385" s="501"/>
      <c r="EP3385" s="501"/>
      <c r="EQ3385" s="501"/>
      <c r="ER3385" s="501"/>
      <c r="ES3385" s="501"/>
      <c r="ET3385" s="501"/>
      <c r="EU3385" s="501"/>
      <c r="EV3385" s="501"/>
      <c r="EW3385" s="501"/>
      <c r="EX3385" s="501"/>
      <c r="EY3385" s="501"/>
      <c r="EZ3385" s="501"/>
      <c r="FA3385" s="501"/>
      <c r="FB3385" s="501"/>
      <c r="FC3385" s="501"/>
      <c r="FD3385" s="501"/>
      <c r="FE3385" s="501"/>
      <c r="FF3385" s="501"/>
      <c r="FG3385" s="501"/>
      <c r="FH3385" s="501"/>
      <c r="FI3385" s="501"/>
      <c r="FJ3385" s="501"/>
      <c r="FK3385" s="501"/>
      <c r="FL3385" s="501"/>
      <c r="FM3385" s="501"/>
      <c r="FN3385" s="501"/>
      <c r="FO3385" s="501"/>
      <c r="FP3385" s="501"/>
      <c r="FQ3385" s="501"/>
      <c r="FR3385" s="501"/>
      <c r="FS3385" s="501"/>
      <c r="FT3385" s="501"/>
      <c r="FU3385" s="501"/>
      <c r="FV3385" s="501"/>
      <c r="FW3385" s="501"/>
      <c r="FX3385" s="501"/>
      <c r="FY3385" s="501"/>
      <c r="FZ3385" s="501"/>
      <c r="GA3385" s="501"/>
      <c r="GB3385" s="501"/>
      <c r="GC3385" s="501"/>
      <c r="GD3385" s="501"/>
      <c r="GE3385" s="501"/>
      <c r="GF3385" s="501"/>
      <c r="GG3385" s="501"/>
      <c r="GH3385" s="501"/>
      <c r="GI3385" s="501"/>
      <c r="GJ3385" s="501"/>
      <c r="GK3385" s="501"/>
      <c r="GL3385" s="501"/>
      <c r="GM3385" s="501"/>
      <c r="GN3385" s="501"/>
      <c r="GO3385" s="501"/>
      <c r="GP3385" s="501"/>
      <c r="GQ3385" s="501"/>
      <c r="GR3385" s="501"/>
      <c r="GS3385" s="501"/>
      <c r="GT3385" s="501"/>
      <c r="GU3385" s="501"/>
      <c r="GV3385" s="501"/>
      <c r="GW3385" s="501"/>
      <c r="GX3385" s="501"/>
      <c r="GY3385" s="501"/>
      <c r="GZ3385" s="501"/>
      <c r="HA3385" s="501"/>
      <c r="HB3385" s="501"/>
      <c r="HC3385" s="501"/>
      <c r="HD3385" s="501"/>
      <c r="HE3385" s="501"/>
      <c r="HF3385" s="501"/>
      <c r="HG3385" s="501"/>
      <c r="HH3385" s="501"/>
      <c r="HI3385" s="501"/>
      <c r="HJ3385" s="501"/>
      <c r="HK3385" s="501"/>
      <c r="HL3385" s="501"/>
      <c r="HM3385" s="501"/>
      <c r="HN3385" s="501"/>
      <c r="HO3385" s="501"/>
      <c r="HP3385" s="501"/>
      <c r="HQ3385" s="501"/>
      <c r="HR3385" s="501"/>
      <c r="HS3385" s="501"/>
      <c r="HT3385" s="501"/>
      <c r="HU3385" s="501"/>
      <c r="HV3385" s="501"/>
      <c r="HW3385" s="501"/>
      <c r="HX3385" s="501"/>
      <c r="HY3385" s="501"/>
      <c r="HZ3385" s="501"/>
      <c r="IA3385" s="501"/>
      <c r="IB3385" s="501"/>
      <c r="IC3385" s="501"/>
      <c r="ID3385" s="501"/>
      <c r="IE3385" s="501"/>
      <c r="IF3385" s="501"/>
      <c r="IG3385" s="501"/>
      <c r="IH3385" s="501"/>
      <c r="II3385" s="501"/>
      <c r="IJ3385" s="501"/>
      <c r="IK3385" s="501"/>
      <c r="IL3385" s="501"/>
      <c r="IM3385" s="501"/>
      <c r="IN3385" s="501"/>
      <c r="IO3385" s="501"/>
      <c r="IP3385" s="501"/>
      <c r="IQ3385" s="501"/>
      <c r="IR3385" s="501"/>
      <c r="IS3385" s="501"/>
      <c r="IT3385" s="501"/>
      <c r="IU3385" s="501"/>
    </row>
    <row r="3386" spans="1:255" s="877" customFormat="1" ht="24" customHeight="1">
      <c r="A3386" s="501"/>
      <c r="B3386" s="501"/>
      <c r="C3386" s="501"/>
      <c r="D3386" s="501"/>
      <c r="E3386" s="501"/>
      <c r="F3386" s="968"/>
      <c r="G3386" s="1107"/>
      <c r="H3386" s="968"/>
      <c r="I3386" s="973"/>
      <c r="J3386" s="1108"/>
      <c r="K3386" s="968"/>
      <c r="L3386" s="974"/>
      <c r="M3386" s="1109"/>
      <c r="N3386" s="501"/>
      <c r="O3386" s="1097"/>
      <c r="P3386" s="1151"/>
      <c r="Q3386" s="973"/>
      <c r="R3386" s="1097"/>
      <c r="S3386" s="1191"/>
      <c r="T3386" s="1104"/>
      <c r="V3386" s="501"/>
      <c r="W3386" s="501"/>
      <c r="X3386" s="501"/>
      <c r="Y3386" s="501"/>
      <c r="Z3386" s="501"/>
      <c r="AA3386" s="501"/>
      <c r="AB3386" s="501"/>
      <c r="AC3386" s="501"/>
      <c r="AD3386" s="501"/>
      <c r="AE3386" s="501"/>
      <c r="AF3386" s="501"/>
      <c r="AG3386" s="501"/>
      <c r="AH3386" s="501"/>
      <c r="AI3386" s="501"/>
      <c r="AJ3386" s="501"/>
      <c r="AK3386" s="501"/>
      <c r="AL3386" s="501"/>
      <c r="AM3386" s="501"/>
      <c r="AN3386" s="501"/>
      <c r="AO3386" s="501"/>
      <c r="AP3386" s="501"/>
      <c r="AQ3386" s="501"/>
      <c r="AR3386" s="501"/>
      <c r="AS3386" s="501"/>
      <c r="AT3386" s="501"/>
      <c r="AU3386" s="501"/>
      <c r="AV3386" s="501"/>
      <c r="AW3386" s="501"/>
      <c r="AX3386" s="501"/>
      <c r="AY3386" s="501"/>
      <c r="AZ3386" s="501"/>
      <c r="BA3386" s="501"/>
      <c r="BB3386" s="501"/>
      <c r="BC3386" s="501"/>
      <c r="BD3386" s="501"/>
      <c r="BE3386" s="501"/>
      <c r="BF3386" s="501"/>
      <c r="BG3386" s="501"/>
      <c r="BH3386" s="501"/>
      <c r="BI3386" s="501"/>
      <c r="BJ3386" s="501"/>
      <c r="BK3386" s="501"/>
      <c r="BL3386" s="501"/>
      <c r="BM3386" s="501"/>
      <c r="BN3386" s="501"/>
      <c r="BO3386" s="501"/>
      <c r="BP3386" s="501"/>
      <c r="BQ3386" s="501"/>
      <c r="BR3386" s="501"/>
      <c r="BS3386" s="501"/>
      <c r="BT3386" s="501"/>
      <c r="BU3386" s="501"/>
      <c r="BV3386" s="501"/>
      <c r="BW3386" s="501"/>
      <c r="BX3386" s="501"/>
      <c r="BY3386" s="501"/>
      <c r="BZ3386" s="501"/>
      <c r="CA3386" s="501"/>
      <c r="CB3386" s="501"/>
      <c r="CC3386" s="501"/>
      <c r="CD3386" s="501"/>
      <c r="CE3386" s="501"/>
      <c r="CF3386" s="501"/>
      <c r="CG3386" s="501"/>
      <c r="CH3386" s="501"/>
      <c r="CI3386" s="501"/>
      <c r="CJ3386" s="501"/>
      <c r="CK3386" s="501"/>
      <c r="CL3386" s="501"/>
      <c r="CM3386" s="501"/>
      <c r="CN3386" s="501"/>
      <c r="CO3386" s="501"/>
      <c r="CP3386" s="501"/>
      <c r="CQ3386" s="501"/>
      <c r="CR3386" s="501"/>
      <c r="CS3386" s="501"/>
      <c r="CT3386" s="501"/>
      <c r="CU3386" s="501"/>
      <c r="CV3386" s="501"/>
      <c r="CW3386" s="501"/>
      <c r="CX3386" s="501"/>
      <c r="CY3386" s="501"/>
      <c r="CZ3386" s="501"/>
      <c r="DA3386" s="501"/>
      <c r="DB3386" s="501"/>
      <c r="DC3386" s="501"/>
      <c r="DD3386" s="501"/>
      <c r="DE3386" s="501"/>
      <c r="DF3386" s="501"/>
      <c r="DG3386" s="501"/>
      <c r="DH3386" s="501"/>
      <c r="DI3386" s="501"/>
      <c r="DJ3386" s="501"/>
      <c r="DK3386" s="501"/>
      <c r="DL3386" s="501"/>
      <c r="DM3386" s="501"/>
      <c r="DN3386" s="501"/>
      <c r="DO3386" s="501"/>
      <c r="DP3386" s="501"/>
      <c r="DQ3386" s="501"/>
      <c r="DR3386" s="501"/>
      <c r="DS3386" s="501"/>
      <c r="DT3386" s="501"/>
      <c r="DU3386" s="501"/>
      <c r="DV3386" s="501"/>
      <c r="DW3386" s="501"/>
      <c r="DX3386" s="501"/>
      <c r="DY3386" s="501"/>
      <c r="DZ3386" s="501"/>
      <c r="EA3386" s="501"/>
      <c r="EB3386" s="501"/>
      <c r="EC3386" s="501"/>
      <c r="ED3386" s="501"/>
      <c r="EE3386" s="501"/>
      <c r="EF3386" s="501"/>
      <c r="EG3386" s="501"/>
      <c r="EH3386" s="501"/>
      <c r="EI3386" s="501"/>
      <c r="EJ3386" s="501"/>
      <c r="EK3386" s="501"/>
      <c r="EL3386" s="501"/>
      <c r="EM3386" s="501"/>
      <c r="EN3386" s="501"/>
      <c r="EO3386" s="501"/>
      <c r="EP3386" s="501"/>
      <c r="EQ3386" s="501"/>
      <c r="ER3386" s="501"/>
      <c r="ES3386" s="501"/>
      <c r="ET3386" s="501"/>
      <c r="EU3386" s="501"/>
      <c r="EV3386" s="501"/>
      <c r="EW3386" s="501"/>
      <c r="EX3386" s="501"/>
      <c r="EY3386" s="501"/>
      <c r="EZ3386" s="501"/>
      <c r="FA3386" s="501"/>
      <c r="FB3386" s="501"/>
      <c r="FC3386" s="501"/>
      <c r="FD3386" s="501"/>
      <c r="FE3386" s="501"/>
      <c r="FF3386" s="501"/>
      <c r="FG3386" s="501"/>
      <c r="FH3386" s="501"/>
      <c r="FI3386" s="501"/>
      <c r="FJ3386" s="501"/>
      <c r="FK3386" s="501"/>
      <c r="FL3386" s="501"/>
      <c r="FM3386" s="501"/>
      <c r="FN3386" s="501"/>
      <c r="FO3386" s="501"/>
      <c r="FP3386" s="501"/>
      <c r="FQ3386" s="501"/>
      <c r="FR3386" s="501"/>
      <c r="FS3386" s="501"/>
      <c r="FT3386" s="501"/>
      <c r="FU3386" s="501"/>
      <c r="FV3386" s="501"/>
      <c r="FW3386" s="501"/>
      <c r="FX3386" s="501"/>
      <c r="FY3386" s="501"/>
      <c r="FZ3386" s="501"/>
      <c r="GA3386" s="501"/>
      <c r="GB3386" s="501"/>
      <c r="GC3386" s="501"/>
      <c r="GD3386" s="501"/>
      <c r="GE3386" s="501"/>
      <c r="GF3386" s="501"/>
      <c r="GG3386" s="501"/>
      <c r="GH3386" s="501"/>
      <c r="GI3386" s="501"/>
      <c r="GJ3386" s="501"/>
      <c r="GK3386" s="501"/>
      <c r="GL3386" s="501"/>
      <c r="GM3386" s="501"/>
      <c r="GN3386" s="501"/>
      <c r="GO3386" s="501"/>
      <c r="GP3386" s="501"/>
      <c r="GQ3386" s="501"/>
      <c r="GR3386" s="501"/>
      <c r="GS3386" s="501"/>
      <c r="GT3386" s="501"/>
      <c r="GU3386" s="501"/>
      <c r="GV3386" s="501"/>
      <c r="GW3386" s="501"/>
      <c r="GX3386" s="501"/>
      <c r="GY3386" s="501"/>
      <c r="GZ3386" s="501"/>
      <c r="HA3386" s="501"/>
      <c r="HB3386" s="501"/>
      <c r="HC3386" s="501"/>
      <c r="HD3386" s="501"/>
      <c r="HE3386" s="501"/>
      <c r="HF3386" s="501"/>
      <c r="HG3386" s="501"/>
      <c r="HH3386" s="501"/>
      <c r="HI3386" s="501"/>
      <c r="HJ3386" s="501"/>
      <c r="HK3386" s="501"/>
      <c r="HL3386" s="501"/>
      <c r="HM3386" s="501"/>
      <c r="HN3386" s="501"/>
      <c r="HO3386" s="501"/>
      <c r="HP3386" s="501"/>
      <c r="HQ3386" s="501"/>
      <c r="HR3386" s="501"/>
      <c r="HS3386" s="501"/>
      <c r="HT3386" s="501"/>
      <c r="HU3386" s="501"/>
      <c r="HV3386" s="501"/>
      <c r="HW3386" s="501"/>
      <c r="HX3386" s="501"/>
      <c r="HY3386" s="501"/>
      <c r="HZ3386" s="501"/>
      <c r="IA3386" s="501"/>
      <c r="IB3386" s="501"/>
      <c r="IC3386" s="501"/>
      <c r="ID3386" s="501"/>
      <c r="IE3386" s="501"/>
      <c r="IF3386" s="501"/>
      <c r="IG3386" s="501"/>
      <c r="IH3386" s="501"/>
      <c r="II3386" s="501"/>
      <c r="IJ3386" s="501"/>
      <c r="IK3386" s="501"/>
      <c r="IL3386" s="501"/>
      <c r="IM3386" s="501"/>
      <c r="IN3386" s="501"/>
      <c r="IO3386" s="501"/>
      <c r="IP3386" s="501"/>
      <c r="IQ3386" s="501"/>
      <c r="IR3386" s="501"/>
      <c r="IS3386" s="501"/>
      <c r="IT3386" s="501"/>
      <c r="IU3386" s="501"/>
    </row>
    <row r="3387" spans="1:255" s="877" customFormat="1" ht="24" customHeight="1">
      <c r="A3387" s="501"/>
      <c r="B3387" s="501"/>
      <c r="C3387" s="501"/>
      <c r="D3387" s="501"/>
      <c r="E3387" s="501"/>
      <c r="F3387" s="968"/>
      <c r="G3387" s="1107"/>
      <c r="H3387" s="968"/>
      <c r="I3387" s="973"/>
      <c r="J3387" s="1108"/>
      <c r="K3387" s="968"/>
      <c r="L3387" s="974"/>
      <c r="M3387" s="1109"/>
      <c r="N3387" s="501"/>
      <c r="O3387" s="1097"/>
      <c r="P3387" s="1151"/>
      <c r="Q3387" s="1097"/>
      <c r="R3387" s="1097"/>
      <c r="S3387" s="1106"/>
      <c r="T3387" s="1106"/>
      <c r="V3387" s="501"/>
      <c r="W3387" s="501"/>
      <c r="X3387" s="501"/>
      <c r="Y3387" s="501"/>
      <c r="Z3387" s="501"/>
      <c r="AA3387" s="501"/>
      <c r="AB3387" s="501"/>
      <c r="AC3387" s="501"/>
      <c r="AD3387" s="501"/>
      <c r="AE3387" s="501"/>
      <c r="AF3387" s="501"/>
      <c r="AG3387" s="501"/>
      <c r="AH3387" s="501"/>
      <c r="AI3387" s="501"/>
      <c r="AJ3387" s="501"/>
      <c r="AK3387" s="501"/>
      <c r="AL3387" s="501"/>
      <c r="AM3387" s="501"/>
      <c r="AN3387" s="501"/>
      <c r="AO3387" s="501"/>
      <c r="AP3387" s="501"/>
      <c r="AQ3387" s="501"/>
      <c r="AR3387" s="501"/>
      <c r="AS3387" s="501"/>
      <c r="AT3387" s="501"/>
      <c r="AU3387" s="501"/>
      <c r="AV3387" s="501"/>
      <c r="AW3387" s="501"/>
      <c r="AX3387" s="501"/>
      <c r="AY3387" s="501"/>
      <c r="AZ3387" s="501"/>
      <c r="BA3387" s="501"/>
      <c r="BB3387" s="501"/>
      <c r="BC3387" s="501"/>
      <c r="BD3387" s="501"/>
      <c r="BE3387" s="501"/>
      <c r="BF3387" s="501"/>
      <c r="BG3387" s="501"/>
      <c r="BH3387" s="501"/>
      <c r="BI3387" s="501"/>
      <c r="BJ3387" s="501"/>
      <c r="BK3387" s="501"/>
      <c r="BL3387" s="501"/>
      <c r="BM3387" s="501"/>
      <c r="BN3387" s="501"/>
      <c r="BO3387" s="501"/>
      <c r="BP3387" s="501"/>
      <c r="BQ3387" s="501"/>
      <c r="BR3387" s="501"/>
      <c r="BS3387" s="501"/>
      <c r="BT3387" s="501"/>
      <c r="BU3387" s="501"/>
      <c r="BV3387" s="501"/>
      <c r="BW3387" s="501"/>
      <c r="BX3387" s="501"/>
      <c r="BY3387" s="501"/>
      <c r="BZ3387" s="501"/>
      <c r="CA3387" s="501"/>
      <c r="CB3387" s="501"/>
      <c r="CC3387" s="501"/>
      <c r="CD3387" s="501"/>
      <c r="CE3387" s="501"/>
      <c r="CF3387" s="501"/>
      <c r="CG3387" s="501"/>
      <c r="CH3387" s="501"/>
      <c r="CI3387" s="501"/>
      <c r="CJ3387" s="501"/>
      <c r="CK3387" s="501"/>
      <c r="CL3387" s="501"/>
      <c r="CM3387" s="501"/>
      <c r="CN3387" s="501"/>
      <c r="CO3387" s="501"/>
      <c r="CP3387" s="501"/>
      <c r="CQ3387" s="501"/>
      <c r="CR3387" s="501"/>
      <c r="CS3387" s="501"/>
      <c r="CT3387" s="501"/>
      <c r="CU3387" s="501"/>
      <c r="CV3387" s="501"/>
      <c r="CW3387" s="501"/>
      <c r="CX3387" s="501"/>
      <c r="CY3387" s="501"/>
      <c r="CZ3387" s="501"/>
      <c r="DA3387" s="501"/>
      <c r="DB3387" s="501"/>
      <c r="DC3387" s="501"/>
      <c r="DD3387" s="501"/>
      <c r="DE3387" s="501"/>
      <c r="DF3387" s="501"/>
      <c r="DG3387" s="501"/>
      <c r="DH3387" s="501"/>
      <c r="DI3387" s="501"/>
      <c r="DJ3387" s="501"/>
      <c r="DK3387" s="501"/>
      <c r="DL3387" s="501"/>
      <c r="DM3387" s="501"/>
      <c r="DN3387" s="501"/>
      <c r="DO3387" s="501"/>
      <c r="DP3387" s="501"/>
      <c r="DQ3387" s="501"/>
      <c r="DR3387" s="501"/>
      <c r="DS3387" s="501"/>
      <c r="DT3387" s="501"/>
      <c r="DU3387" s="501"/>
      <c r="DV3387" s="501"/>
      <c r="DW3387" s="501"/>
      <c r="DX3387" s="501"/>
      <c r="DY3387" s="501"/>
      <c r="DZ3387" s="501"/>
      <c r="EA3387" s="501"/>
      <c r="EB3387" s="501"/>
      <c r="EC3387" s="501"/>
      <c r="ED3387" s="501"/>
      <c r="EE3387" s="501"/>
      <c r="EF3387" s="501"/>
      <c r="EG3387" s="501"/>
      <c r="EH3387" s="501"/>
      <c r="EI3387" s="501"/>
      <c r="EJ3387" s="501"/>
      <c r="EK3387" s="501"/>
      <c r="EL3387" s="501"/>
      <c r="EM3387" s="501"/>
      <c r="EN3387" s="501"/>
      <c r="EO3387" s="501"/>
      <c r="EP3387" s="501"/>
      <c r="EQ3387" s="501"/>
      <c r="ER3387" s="501"/>
      <c r="ES3387" s="501"/>
      <c r="ET3387" s="501"/>
      <c r="EU3387" s="501"/>
      <c r="EV3387" s="501"/>
      <c r="EW3387" s="501"/>
      <c r="EX3387" s="501"/>
      <c r="EY3387" s="501"/>
      <c r="EZ3387" s="501"/>
      <c r="FA3387" s="501"/>
      <c r="FB3387" s="501"/>
      <c r="FC3387" s="501"/>
      <c r="FD3387" s="501"/>
      <c r="FE3387" s="501"/>
      <c r="FF3387" s="501"/>
      <c r="FG3387" s="501"/>
      <c r="FH3387" s="501"/>
      <c r="FI3387" s="501"/>
      <c r="FJ3387" s="501"/>
      <c r="FK3387" s="501"/>
      <c r="FL3387" s="501"/>
      <c r="FM3387" s="501"/>
      <c r="FN3387" s="501"/>
      <c r="FO3387" s="501"/>
      <c r="FP3387" s="501"/>
      <c r="FQ3387" s="501"/>
      <c r="FR3387" s="501"/>
      <c r="FS3387" s="501"/>
      <c r="FT3387" s="501"/>
      <c r="FU3387" s="501"/>
      <c r="FV3387" s="501"/>
      <c r="FW3387" s="501"/>
      <c r="FX3387" s="501"/>
      <c r="FY3387" s="501"/>
      <c r="FZ3387" s="501"/>
      <c r="GA3387" s="501"/>
      <c r="GB3387" s="501"/>
      <c r="GC3387" s="501"/>
      <c r="GD3387" s="501"/>
      <c r="GE3387" s="501"/>
      <c r="GF3387" s="501"/>
      <c r="GG3387" s="501"/>
      <c r="GH3387" s="501"/>
      <c r="GI3387" s="501"/>
      <c r="GJ3387" s="501"/>
      <c r="GK3387" s="501"/>
      <c r="GL3387" s="501"/>
      <c r="GM3387" s="501"/>
      <c r="GN3387" s="501"/>
      <c r="GO3387" s="501"/>
      <c r="GP3387" s="501"/>
      <c r="GQ3387" s="501"/>
      <c r="GR3387" s="501"/>
      <c r="GS3387" s="501"/>
      <c r="GT3387" s="501"/>
      <c r="GU3387" s="501"/>
      <c r="GV3387" s="501"/>
      <c r="GW3387" s="501"/>
      <c r="GX3387" s="501"/>
      <c r="GY3387" s="501"/>
      <c r="GZ3387" s="501"/>
      <c r="HA3387" s="501"/>
      <c r="HB3387" s="501"/>
      <c r="HC3387" s="501"/>
      <c r="HD3387" s="501"/>
      <c r="HE3387" s="501"/>
      <c r="HF3387" s="501"/>
      <c r="HG3387" s="501"/>
      <c r="HH3387" s="501"/>
      <c r="HI3387" s="501"/>
      <c r="HJ3387" s="501"/>
      <c r="HK3387" s="501"/>
      <c r="HL3387" s="501"/>
      <c r="HM3387" s="501"/>
      <c r="HN3387" s="501"/>
      <c r="HO3387" s="501"/>
      <c r="HP3387" s="501"/>
      <c r="HQ3387" s="501"/>
      <c r="HR3387" s="501"/>
      <c r="HS3387" s="501"/>
      <c r="HT3387" s="501"/>
      <c r="HU3387" s="501"/>
      <c r="HV3387" s="501"/>
      <c r="HW3387" s="501"/>
      <c r="HX3387" s="501"/>
      <c r="HY3387" s="501"/>
      <c r="HZ3387" s="501"/>
      <c r="IA3387" s="501"/>
      <c r="IB3387" s="501"/>
      <c r="IC3387" s="501"/>
      <c r="ID3387" s="501"/>
      <c r="IE3387" s="501"/>
      <c r="IF3387" s="501"/>
      <c r="IG3387" s="501"/>
      <c r="IH3387" s="501"/>
      <c r="II3387" s="501"/>
      <c r="IJ3387" s="501"/>
      <c r="IK3387" s="501"/>
      <c r="IL3387" s="501"/>
      <c r="IM3387" s="501"/>
      <c r="IN3387" s="501"/>
      <c r="IO3387" s="501"/>
      <c r="IP3387" s="501"/>
      <c r="IQ3387" s="501"/>
      <c r="IR3387" s="501"/>
      <c r="IS3387" s="501"/>
      <c r="IT3387" s="501"/>
      <c r="IU3387" s="501"/>
    </row>
    <row r="3388" spans="1:255" s="877" customFormat="1" ht="24" customHeight="1">
      <c r="A3388" s="501"/>
      <c r="B3388" s="501"/>
      <c r="C3388" s="501"/>
      <c r="D3388" s="501"/>
      <c r="E3388" s="501"/>
      <c r="F3388" s="968"/>
      <c r="G3388" s="1107"/>
      <c r="H3388" s="968"/>
      <c r="I3388" s="973"/>
      <c r="J3388" s="1108"/>
      <c r="K3388" s="968"/>
      <c r="L3388" s="974"/>
      <c r="M3388" s="1109"/>
      <c r="N3388" s="501"/>
      <c r="O3388" s="1157"/>
      <c r="P3388" s="1152"/>
      <c r="Q3388" s="973"/>
      <c r="R3388" s="968"/>
      <c r="S3388" s="974"/>
      <c r="T3388" s="968"/>
      <c r="V3388" s="501"/>
      <c r="W3388" s="501"/>
      <c r="X3388" s="501"/>
      <c r="Y3388" s="501"/>
      <c r="Z3388" s="501"/>
      <c r="AA3388" s="501"/>
      <c r="AB3388" s="501"/>
      <c r="AC3388" s="501"/>
      <c r="AD3388" s="501"/>
      <c r="AE3388" s="501"/>
      <c r="AF3388" s="501"/>
      <c r="AG3388" s="501"/>
      <c r="AH3388" s="501"/>
      <c r="AI3388" s="501"/>
      <c r="AJ3388" s="501"/>
      <c r="AK3388" s="501"/>
      <c r="AL3388" s="501"/>
      <c r="AM3388" s="501"/>
      <c r="AN3388" s="501"/>
      <c r="AO3388" s="501"/>
      <c r="AP3388" s="501"/>
      <c r="AQ3388" s="501"/>
      <c r="AR3388" s="501"/>
      <c r="AS3388" s="501"/>
      <c r="AT3388" s="501"/>
      <c r="AU3388" s="501"/>
      <c r="AV3388" s="501"/>
      <c r="AW3388" s="501"/>
      <c r="AX3388" s="501"/>
      <c r="AY3388" s="501"/>
      <c r="AZ3388" s="501"/>
      <c r="BA3388" s="501"/>
      <c r="BB3388" s="501"/>
      <c r="BC3388" s="501"/>
      <c r="BD3388" s="501"/>
      <c r="BE3388" s="501"/>
      <c r="BF3388" s="501"/>
      <c r="BG3388" s="501"/>
      <c r="BH3388" s="501"/>
      <c r="BI3388" s="501"/>
      <c r="BJ3388" s="501"/>
      <c r="BK3388" s="501"/>
      <c r="BL3388" s="501"/>
      <c r="BM3388" s="501"/>
      <c r="BN3388" s="501"/>
      <c r="BO3388" s="501"/>
      <c r="BP3388" s="501"/>
      <c r="BQ3388" s="501"/>
      <c r="BR3388" s="501"/>
      <c r="BS3388" s="501"/>
      <c r="BT3388" s="501"/>
      <c r="BU3388" s="501"/>
      <c r="BV3388" s="501"/>
      <c r="BW3388" s="501"/>
      <c r="BX3388" s="501"/>
      <c r="BY3388" s="501"/>
      <c r="BZ3388" s="501"/>
      <c r="CA3388" s="501"/>
      <c r="CB3388" s="501"/>
      <c r="CC3388" s="501"/>
      <c r="CD3388" s="501"/>
      <c r="CE3388" s="501"/>
      <c r="CF3388" s="501"/>
      <c r="CG3388" s="501"/>
      <c r="CH3388" s="501"/>
      <c r="CI3388" s="501"/>
      <c r="CJ3388" s="501"/>
      <c r="CK3388" s="501"/>
      <c r="CL3388" s="501"/>
      <c r="CM3388" s="501"/>
      <c r="CN3388" s="501"/>
      <c r="CO3388" s="501"/>
      <c r="CP3388" s="501"/>
      <c r="CQ3388" s="501"/>
      <c r="CR3388" s="501"/>
      <c r="CS3388" s="501"/>
      <c r="CT3388" s="501"/>
      <c r="CU3388" s="501"/>
      <c r="CV3388" s="501"/>
      <c r="CW3388" s="501"/>
      <c r="CX3388" s="501"/>
      <c r="CY3388" s="501"/>
      <c r="CZ3388" s="501"/>
      <c r="DA3388" s="501"/>
      <c r="DB3388" s="501"/>
      <c r="DC3388" s="501"/>
      <c r="DD3388" s="501"/>
      <c r="DE3388" s="501"/>
      <c r="DF3388" s="501"/>
      <c r="DG3388" s="501"/>
      <c r="DH3388" s="501"/>
      <c r="DI3388" s="501"/>
      <c r="DJ3388" s="501"/>
      <c r="DK3388" s="501"/>
      <c r="DL3388" s="501"/>
      <c r="DM3388" s="501"/>
      <c r="DN3388" s="501"/>
      <c r="DO3388" s="501"/>
      <c r="DP3388" s="501"/>
      <c r="DQ3388" s="501"/>
      <c r="DR3388" s="501"/>
      <c r="DS3388" s="501"/>
      <c r="DT3388" s="501"/>
      <c r="DU3388" s="501"/>
      <c r="DV3388" s="501"/>
      <c r="DW3388" s="501"/>
      <c r="DX3388" s="501"/>
      <c r="DY3388" s="501"/>
      <c r="DZ3388" s="501"/>
      <c r="EA3388" s="501"/>
      <c r="EB3388" s="501"/>
      <c r="EC3388" s="501"/>
      <c r="ED3388" s="501"/>
      <c r="EE3388" s="501"/>
      <c r="EF3388" s="501"/>
      <c r="EG3388" s="501"/>
      <c r="EH3388" s="501"/>
      <c r="EI3388" s="501"/>
      <c r="EJ3388" s="501"/>
      <c r="EK3388" s="501"/>
      <c r="EL3388" s="501"/>
      <c r="EM3388" s="501"/>
      <c r="EN3388" s="501"/>
      <c r="EO3388" s="501"/>
      <c r="EP3388" s="501"/>
      <c r="EQ3388" s="501"/>
      <c r="ER3388" s="501"/>
      <c r="ES3388" s="501"/>
      <c r="ET3388" s="501"/>
      <c r="EU3388" s="501"/>
      <c r="EV3388" s="501"/>
      <c r="EW3388" s="501"/>
      <c r="EX3388" s="501"/>
      <c r="EY3388" s="501"/>
      <c r="EZ3388" s="501"/>
      <c r="FA3388" s="501"/>
      <c r="FB3388" s="501"/>
      <c r="FC3388" s="501"/>
      <c r="FD3388" s="501"/>
      <c r="FE3388" s="501"/>
      <c r="FF3388" s="501"/>
      <c r="FG3388" s="501"/>
      <c r="FH3388" s="501"/>
      <c r="FI3388" s="501"/>
      <c r="FJ3388" s="501"/>
      <c r="FK3388" s="501"/>
      <c r="FL3388" s="501"/>
      <c r="FM3388" s="501"/>
      <c r="FN3388" s="501"/>
      <c r="FO3388" s="501"/>
      <c r="FP3388" s="501"/>
      <c r="FQ3388" s="501"/>
      <c r="FR3388" s="501"/>
      <c r="FS3388" s="501"/>
      <c r="FT3388" s="501"/>
      <c r="FU3388" s="501"/>
      <c r="FV3388" s="501"/>
      <c r="FW3388" s="501"/>
      <c r="FX3388" s="501"/>
      <c r="FY3388" s="501"/>
      <c r="FZ3388" s="501"/>
      <c r="GA3388" s="501"/>
      <c r="GB3388" s="501"/>
      <c r="GC3388" s="501"/>
      <c r="GD3388" s="501"/>
      <c r="GE3388" s="501"/>
      <c r="GF3388" s="501"/>
      <c r="GG3388" s="501"/>
      <c r="GH3388" s="501"/>
      <c r="GI3388" s="501"/>
      <c r="GJ3388" s="501"/>
      <c r="GK3388" s="501"/>
      <c r="GL3388" s="501"/>
      <c r="GM3388" s="501"/>
      <c r="GN3388" s="501"/>
      <c r="GO3388" s="501"/>
      <c r="GP3388" s="501"/>
      <c r="GQ3388" s="501"/>
      <c r="GR3388" s="501"/>
      <c r="GS3388" s="501"/>
      <c r="GT3388" s="501"/>
      <c r="GU3388" s="501"/>
      <c r="GV3388" s="501"/>
      <c r="GW3388" s="501"/>
      <c r="GX3388" s="501"/>
      <c r="GY3388" s="501"/>
      <c r="GZ3388" s="501"/>
      <c r="HA3388" s="501"/>
      <c r="HB3388" s="501"/>
      <c r="HC3388" s="501"/>
      <c r="HD3388" s="501"/>
      <c r="HE3388" s="501"/>
      <c r="HF3388" s="501"/>
      <c r="HG3388" s="501"/>
      <c r="HH3388" s="501"/>
      <c r="HI3388" s="501"/>
      <c r="HJ3388" s="501"/>
      <c r="HK3388" s="501"/>
      <c r="HL3388" s="501"/>
      <c r="HM3388" s="501"/>
      <c r="HN3388" s="501"/>
      <c r="HO3388" s="501"/>
      <c r="HP3388" s="501"/>
      <c r="HQ3388" s="501"/>
      <c r="HR3388" s="501"/>
      <c r="HS3388" s="501"/>
      <c r="HT3388" s="501"/>
      <c r="HU3388" s="501"/>
      <c r="HV3388" s="501"/>
      <c r="HW3388" s="501"/>
      <c r="HX3388" s="501"/>
      <c r="HY3388" s="501"/>
      <c r="HZ3388" s="501"/>
      <c r="IA3388" s="501"/>
      <c r="IB3388" s="501"/>
      <c r="IC3388" s="501"/>
      <c r="ID3388" s="501"/>
      <c r="IE3388" s="501"/>
      <c r="IF3388" s="501"/>
      <c r="IG3388" s="501"/>
      <c r="IH3388" s="501"/>
      <c r="II3388" s="501"/>
      <c r="IJ3388" s="501"/>
      <c r="IK3388" s="501"/>
      <c r="IL3388" s="501"/>
      <c r="IM3388" s="501"/>
      <c r="IN3388" s="501"/>
      <c r="IO3388" s="501"/>
      <c r="IP3388" s="501"/>
      <c r="IQ3388" s="501"/>
      <c r="IR3388" s="501"/>
      <c r="IS3388" s="501"/>
      <c r="IT3388" s="501"/>
      <c r="IU3388" s="501"/>
    </row>
    <row r="3389" spans="1:255" s="877" customFormat="1" ht="24" customHeight="1">
      <c r="A3389" s="501"/>
      <c r="B3389" s="501"/>
      <c r="C3389" s="501"/>
      <c r="D3389" s="501"/>
      <c r="E3389" s="501"/>
      <c r="F3389" s="968"/>
      <c r="G3389" s="1107"/>
      <c r="H3389" s="968"/>
      <c r="I3389" s="973"/>
      <c r="J3389" s="1108"/>
      <c r="K3389" s="968"/>
      <c r="L3389" s="974"/>
      <c r="M3389" s="1109"/>
      <c r="N3389" s="501"/>
      <c r="O3389" s="1157"/>
      <c r="P3389" s="1152"/>
      <c r="Q3389" s="973"/>
      <c r="R3389" s="968"/>
      <c r="S3389" s="974"/>
      <c r="T3389" s="968"/>
      <c r="V3389" s="501"/>
      <c r="W3389" s="501"/>
      <c r="X3389" s="501"/>
      <c r="Y3389" s="501"/>
      <c r="Z3389" s="501"/>
      <c r="AA3389" s="501"/>
      <c r="AB3389" s="501"/>
      <c r="AC3389" s="501"/>
      <c r="AD3389" s="501"/>
      <c r="AE3389" s="501"/>
      <c r="AF3389" s="501"/>
      <c r="AG3389" s="501"/>
      <c r="AH3389" s="501"/>
      <c r="AI3389" s="501"/>
      <c r="AJ3389" s="501"/>
      <c r="AK3389" s="501"/>
      <c r="AL3389" s="501"/>
      <c r="AM3389" s="501"/>
      <c r="AN3389" s="501"/>
      <c r="AO3389" s="501"/>
      <c r="AP3389" s="501"/>
      <c r="AQ3389" s="501"/>
      <c r="AR3389" s="501"/>
      <c r="AS3389" s="501"/>
      <c r="AT3389" s="501"/>
      <c r="AU3389" s="501"/>
      <c r="AV3389" s="501"/>
      <c r="AW3389" s="501"/>
      <c r="AX3389" s="501"/>
      <c r="AY3389" s="501"/>
      <c r="AZ3389" s="501"/>
      <c r="BA3389" s="501"/>
      <c r="BB3389" s="501"/>
      <c r="BC3389" s="501"/>
      <c r="BD3389" s="501"/>
      <c r="BE3389" s="501"/>
      <c r="BF3389" s="501"/>
      <c r="BG3389" s="501"/>
      <c r="BH3389" s="501"/>
      <c r="BI3389" s="501"/>
      <c r="BJ3389" s="501"/>
      <c r="BK3389" s="501"/>
      <c r="BL3389" s="501"/>
      <c r="BM3389" s="501"/>
      <c r="BN3389" s="501"/>
      <c r="BO3389" s="501"/>
      <c r="BP3389" s="501"/>
      <c r="BQ3389" s="501"/>
      <c r="BR3389" s="501"/>
      <c r="BS3389" s="501"/>
      <c r="BT3389" s="501"/>
      <c r="BU3389" s="501"/>
      <c r="BV3389" s="501"/>
      <c r="BW3389" s="501"/>
      <c r="BX3389" s="501"/>
      <c r="BY3389" s="501"/>
      <c r="BZ3389" s="501"/>
      <c r="CA3389" s="501"/>
      <c r="CB3389" s="501"/>
      <c r="CC3389" s="501"/>
      <c r="CD3389" s="501"/>
      <c r="CE3389" s="501"/>
      <c r="CF3389" s="501"/>
      <c r="CG3389" s="501"/>
      <c r="CH3389" s="501"/>
      <c r="CI3389" s="501"/>
      <c r="CJ3389" s="501"/>
      <c r="CK3389" s="501"/>
      <c r="CL3389" s="501"/>
      <c r="CM3389" s="501"/>
      <c r="CN3389" s="501"/>
      <c r="CO3389" s="501"/>
      <c r="CP3389" s="501"/>
      <c r="CQ3389" s="501"/>
      <c r="CR3389" s="501"/>
      <c r="CS3389" s="501"/>
      <c r="CT3389" s="501"/>
      <c r="CU3389" s="501"/>
      <c r="CV3389" s="501"/>
      <c r="CW3389" s="501"/>
      <c r="CX3389" s="501"/>
      <c r="CY3389" s="501"/>
      <c r="CZ3389" s="501"/>
      <c r="DA3389" s="501"/>
      <c r="DB3389" s="501"/>
      <c r="DC3389" s="501"/>
      <c r="DD3389" s="501"/>
      <c r="DE3389" s="501"/>
      <c r="DF3389" s="501"/>
      <c r="DG3389" s="501"/>
      <c r="DH3389" s="501"/>
      <c r="DI3389" s="501"/>
      <c r="DJ3389" s="501"/>
      <c r="DK3389" s="501"/>
      <c r="DL3389" s="501"/>
      <c r="DM3389" s="501"/>
      <c r="DN3389" s="501"/>
      <c r="DO3389" s="501"/>
      <c r="DP3389" s="501"/>
      <c r="DQ3389" s="501"/>
      <c r="DR3389" s="501"/>
      <c r="DS3389" s="501"/>
      <c r="DT3389" s="501"/>
      <c r="DU3389" s="501"/>
      <c r="DV3389" s="501"/>
      <c r="DW3389" s="501"/>
      <c r="DX3389" s="501"/>
      <c r="DY3389" s="501"/>
      <c r="DZ3389" s="501"/>
      <c r="EA3389" s="501"/>
      <c r="EB3389" s="501"/>
      <c r="EC3389" s="501"/>
      <c r="ED3389" s="501"/>
      <c r="EE3389" s="501"/>
      <c r="EF3389" s="501"/>
      <c r="EG3389" s="501"/>
      <c r="EH3389" s="501"/>
      <c r="EI3389" s="501"/>
      <c r="EJ3389" s="501"/>
      <c r="EK3389" s="501"/>
      <c r="EL3389" s="501"/>
      <c r="EM3389" s="501"/>
      <c r="EN3389" s="501"/>
      <c r="EO3389" s="501"/>
      <c r="EP3389" s="501"/>
      <c r="EQ3389" s="501"/>
      <c r="ER3389" s="501"/>
      <c r="ES3389" s="501"/>
      <c r="ET3389" s="501"/>
      <c r="EU3389" s="501"/>
      <c r="EV3389" s="501"/>
      <c r="EW3389" s="501"/>
      <c r="EX3389" s="501"/>
      <c r="EY3389" s="501"/>
      <c r="EZ3389" s="501"/>
      <c r="FA3389" s="501"/>
      <c r="FB3389" s="501"/>
      <c r="FC3389" s="501"/>
      <c r="FD3389" s="501"/>
      <c r="FE3389" s="501"/>
      <c r="FF3389" s="501"/>
      <c r="FG3389" s="501"/>
      <c r="FH3389" s="501"/>
      <c r="FI3389" s="501"/>
      <c r="FJ3389" s="501"/>
      <c r="FK3389" s="501"/>
      <c r="FL3389" s="501"/>
      <c r="FM3389" s="501"/>
      <c r="FN3389" s="501"/>
      <c r="FO3389" s="501"/>
      <c r="FP3389" s="501"/>
      <c r="FQ3389" s="501"/>
      <c r="FR3389" s="501"/>
      <c r="FS3389" s="501"/>
      <c r="FT3389" s="501"/>
      <c r="FU3389" s="501"/>
      <c r="FV3389" s="501"/>
      <c r="FW3389" s="501"/>
      <c r="FX3389" s="501"/>
      <c r="FY3389" s="501"/>
      <c r="FZ3389" s="501"/>
      <c r="GA3389" s="501"/>
      <c r="GB3389" s="501"/>
      <c r="GC3389" s="501"/>
      <c r="GD3389" s="501"/>
      <c r="GE3389" s="501"/>
      <c r="GF3389" s="501"/>
      <c r="GG3389" s="501"/>
      <c r="GH3389" s="501"/>
      <c r="GI3389" s="501"/>
      <c r="GJ3389" s="501"/>
      <c r="GK3389" s="501"/>
      <c r="GL3389" s="501"/>
      <c r="GM3389" s="501"/>
      <c r="GN3389" s="501"/>
      <c r="GO3389" s="501"/>
      <c r="GP3389" s="501"/>
      <c r="GQ3389" s="501"/>
      <c r="GR3389" s="501"/>
      <c r="GS3389" s="501"/>
      <c r="GT3389" s="501"/>
      <c r="GU3389" s="501"/>
      <c r="GV3389" s="501"/>
      <c r="GW3389" s="501"/>
      <c r="GX3389" s="501"/>
      <c r="GY3389" s="501"/>
      <c r="GZ3389" s="501"/>
      <c r="HA3389" s="501"/>
      <c r="HB3389" s="501"/>
      <c r="HC3389" s="501"/>
      <c r="HD3389" s="501"/>
      <c r="HE3389" s="501"/>
      <c r="HF3389" s="501"/>
      <c r="HG3389" s="501"/>
      <c r="HH3389" s="501"/>
      <c r="HI3389" s="501"/>
      <c r="HJ3389" s="501"/>
      <c r="HK3389" s="501"/>
      <c r="HL3389" s="501"/>
      <c r="HM3389" s="501"/>
      <c r="HN3389" s="501"/>
      <c r="HO3389" s="501"/>
      <c r="HP3389" s="501"/>
      <c r="HQ3389" s="501"/>
      <c r="HR3389" s="501"/>
      <c r="HS3389" s="501"/>
      <c r="HT3389" s="501"/>
      <c r="HU3389" s="501"/>
      <c r="HV3389" s="501"/>
      <c r="HW3389" s="501"/>
      <c r="HX3389" s="501"/>
      <c r="HY3389" s="501"/>
      <c r="HZ3389" s="501"/>
      <c r="IA3389" s="501"/>
      <c r="IB3389" s="501"/>
      <c r="IC3389" s="501"/>
      <c r="ID3389" s="501"/>
      <c r="IE3389" s="501"/>
      <c r="IF3389" s="501"/>
      <c r="IG3389" s="501"/>
      <c r="IH3389" s="501"/>
      <c r="II3389" s="501"/>
      <c r="IJ3389" s="501"/>
      <c r="IK3389" s="501"/>
      <c r="IL3389" s="501"/>
      <c r="IM3389" s="501"/>
      <c r="IN3389" s="501"/>
      <c r="IO3389" s="501"/>
      <c r="IP3389" s="501"/>
      <c r="IQ3389" s="501"/>
      <c r="IR3389" s="501"/>
      <c r="IS3389" s="501"/>
      <c r="IT3389" s="501"/>
      <c r="IU3389" s="501"/>
    </row>
    <row r="3390" spans="1:255" s="877" customFormat="1" ht="24" customHeight="1">
      <c r="A3390" s="501"/>
      <c r="B3390" s="501"/>
      <c r="C3390" s="501"/>
      <c r="D3390" s="501"/>
      <c r="E3390" s="501"/>
      <c r="F3390" s="968"/>
      <c r="G3390" s="1107"/>
      <c r="H3390" s="968"/>
      <c r="I3390" s="973"/>
      <c r="J3390" s="1108"/>
      <c r="K3390" s="968"/>
      <c r="L3390" s="974"/>
      <c r="M3390" s="1109"/>
      <c r="N3390" s="501"/>
      <c r="O3390" s="1157"/>
      <c r="P3390" s="1152"/>
      <c r="Q3390" s="876"/>
      <c r="R3390" s="968"/>
      <c r="S3390" s="974"/>
      <c r="T3390" s="968"/>
      <c r="V3390" s="501"/>
      <c r="W3390" s="501"/>
      <c r="X3390" s="501"/>
      <c r="Y3390" s="501"/>
      <c r="Z3390" s="501"/>
      <c r="AA3390" s="501"/>
      <c r="AB3390" s="501"/>
      <c r="AC3390" s="501"/>
      <c r="AD3390" s="501"/>
      <c r="AE3390" s="501"/>
      <c r="AF3390" s="501"/>
      <c r="AG3390" s="501"/>
      <c r="AH3390" s="501"/>
      <c r="AI3390" s="501"/>
      <c r="AJ3390" s="501"/>
      <c r="AK3390" s="501"/>
      <c r="AL3390" s="501"/>
      <c r="AM3390" s="501"/>
      <c r="AN3390" s="501"/>
      <c r="AO3390" s="501"/>
      <c r="AP3390" s="501"/>
      <c r="AQ3390" s="501"/>
      <c r="AR3390" s="501"/>
      <c r="AS3390" s="501"/>
      <c r="AT3390" s="501"/>
      <c r="AU3390" s="501"/>
      <c r="AV3390" s="501"/>
      <c r="AW3390" s="501"/>
      <c r="AX3390" s="501"/>
      <c r="AY3390" s="501"/>
      <c r="AZ3390" s="501"/>
      <c r="BA3390" s="501"/>
      <c r="BB3390" s="501"/>
      <c r="BC3390" s="501"/>
      <c r="BD3390" s="501"/>
      <c r="BE3390" s="501"/>
      <c r="BF3390" s="501"/>
      <c r="BG3390" s="501"/>
      <c r="BH3390" s="501"/>
      <c r="BI3390" s="501"/>
      <c r="BJ3390" s="501"/>
      <c r="BK3390" s="501"/>
      <c r="BL3390" s="501"/>
      <c r="BM3390" s="501"/>
      <c r="BN3390" s="501"/>
      <c r="BO3390" s="501"/>
      <c r="BP3390" s="501"/>
      <c r="BQ3390" s="501"/>
      <c r="BR3390" s="501"/>
      <c r="BS3390" s="501"/>
      <c r="BT3390" s="501"/>
      <c r="BU3390" s="501"/>
      <c r="BV3390" s="501"/>
      <c r="BW3390" s="501"/>
      <c r="BX3390" s="501"/>
      <c r="BY3390" s="501"/>
      <c r="BZ3390" s="501"/>
      <c r="CA3390" s="501"/>
      <c r="CB3390" s="501"/>
      <c r="CC3390" s="501"/>
      <c r="CD3390" s="501"/>
      <c r="CE3390" s="501"/>
      <c r="CF3390" s="501"/>
      <c r="CG3390" s="501"/>
      <c r="CH3390" s="501"/>
      <c r="CI3390" s="501"/>
      <c r="CJ3390" s="501"/>
      <c r="CK3390" s="501"/>
      <c r="CL3390" s="501"/>
      <c r="CM3390" s="501"/>
      <c r="CN3390" s="501"/>
      <c r="CO3390" s="501"/>
      <c r="CP3390" s="501"/>
      <c r="CQ3390" s="501"/>
      <c r="CR3390" s="501"/>
      <c r="CS3390" s="501"/>
      <c r="CT3390" s="501"/>
      <c r="CU3390" s="501"/>
      <c r="CV3390" s="501"/>
      <c r="CW3390" s="501"/>
      <c r="CX3390" s="501"/>
      <c r="CY3390" s="501"/>
      <c r="CZ3390" s="501"/>
      <c r="DA3390" s="501"/>
      <c r="DB3390" s="501"/>
      <c r="DC3390" s="501"/>
      <c r="DD3390" s="501"/>
      <c r="DE3390" s="501"/>
      <c r="DF3390" s="501"/>
      <c r="DG3390" s="501"/>
      <c r="DH3390" s="501"/>
      <c r="DI3390" s="501"/>
      <c r="DJ3390" s="501"/>
      <c r="DK3390" s="501"/>
      <c r="DL3390" s="501"/>
      <c r="DM3390" s="501"/>
      <c r="DN3390" s="501"/>
      <c r="DO3390" s="501"/>
      <c r="DP3390" s="501"/>
      <c r="DQ3390" s="501"/>
      <c r="DR3390" s="501"/>
      <c r="DS3390" s="501"/>
      <c r="DT3390" s="501"/>
      <c r="DU3390" s="501"/>
      <c r="DV3390" s="501"/>
      <c r="DW3390" s="501"/>
      <c r="DX3390" s="501"/>
      <c r="DY3390" s="501"/>
      <c r="DZ3390" s="501"/>
      <c r="EA3390" s="501"/>
      <c r="EB3390" s="501"/>
      <c r="EC3390" s="501"/>
      <c r="ED3390" s="501"/>
      <c r="EE3390" s="501"/>
      <c r="EF3390" s="501"/>
      <c r="EG3390" s="501"/>
      <c r="EH3390" s="501"/>
      <c r="EI3390" s="501"/>
      <c r="EJ3390" s="501"/>
      <c r="EK3390" s="501"/>
      <c r="EL3390" s="501"/>
      <c r="EM3390" s="501"/>
      <c r="EN3390" s="501"/>
      <c r="EO3390" s="501"/>
      <c r="EP3390" s="501"/>
      <c r="EQ3390" s="501"/>
      <c r="ER3390" s="501"/>
      <c r="ES3390" s="501"/>
      <c r="ET3390" s="501"/>
      <c r="EU3390" s="501"/>
      <c r="EV3390" s="501"/>
      <c r="EW3390" s="501"/>
      <c r="EX3390" s="501"/>
      <c r="EY3390" s="501"/>
      <c r="EZ3390" s="501"/>
      <c r="FA3390" s="501"/>
      <c r="FB3390" s="501"/>
      <c r="FC3390" s="501"/>
      <c r="FD3390" s="501"/>
      <c r="FE3390" s="501"/>
      <c r="FF3390" s="501"/>
      <c r="FG3390" s="501"/>
      <c r="FH3390" s="501"/>
      <c r="FI3390" s="501"/>
      <c r="FJ3390" s="501"/>
      <c r="FK3390" s="501"/>
      <c r="FL3390" s="501"/>
      <c r="FM3390" s="501"/>
      <c r="FN3390" s="501"/>
      <c r="FO3390" s="501"/>
      <c r="FP3390" s="501"/>
      <c r="FQ3390" s="501"/>
      <c r="FR3390" s="501"/>
      <c r="FS3390" s="501"/>
      <c r="FT3390" s="501"/>
      <c r="FU3390" s="501"/>
      <c r="FV3390" s="501"/>
      <c r="FW3390" s="501"/>
      <c r="FX3390" s="501"/>
      <c r="FY3390" s="501"/>
      <c r="FZ3390" s="501"/>
      <c r="GA3390" s="501"/>
      <c r="GB3390" s="501"/>
      <c r="GC3390" s="501"/>
      <c r="GD3390" s="501"/>
      <c r="GE3390" s="501"/>
      <c r="GF3390" s="501"/>
      <c r="GG3390" s="501"/>
      <c r="GH3390" s="501"/>
      <c r="GI3390" s="501"/>
      <c r="GJ3390" s="501"/>
      <c r="GK3390" s="501"/>
      <c r="GL3390" s="501"/>
      <c r="GM3390" s="501"/>
      <c r="GN3390" s="501"/>
      <c r="GO3390" s="501"/>
      <c r="GP3390" s="501"/>
      <c r="GQ3390" s="501"/>
      <c r="GR3390" s="501"/>
      <c r="GS3390" s="501"/>
      <c r="GT3390" s="501"/>
      <c r="GU3390" s="501"/>
      <c r="GV3390" s="501"/>
      <c r="GW3390" s="501"/>
      <c r="GX3390" s="501"/>
      <c r="GY3390" s="501"/>
      <c r="GZ3390" s="501"/>
      <c r="HA3390" s="501"/>
      <c r="HB3390" s="501"/>
      <c r="HC3390" s="501"/>
      <c r="HD3390" s="501"/>
      <c r="HE3390" s="501"/>
      <c r="HF3390" s="501"/>
      <c r="HG3390" s="501"/>
      <c r="HH3390" s="501"/>
      <c r="HI3390" s="501"/>
      <c r="HJ3390" s="501"/>
      <c r="HK3390" s="501"/>
      <c r="HL3390" s="501"/>
      <c r="HM3390" s="501"/>
      <c r="HN3390" s="501"/>
      <c r="HO3390" s="501"/>
      <c r="HP3390" s="501"/>
      <c r="HQ3390" s="501"/>
      <c r="HR3390" s="501"/>
      <c r="HS3390" s="501"/>
      <c r="HT3390" s="501"/>
      <c r="HU3390" s="501"/>
      <c r="HV3390" s="501"/>
      <c r="HW3390" s="501"/>
      <c r="HX3390" s="501"/>
      <c r="HY3390" s="501"/>
      <c r="HZ3390" s="501"/>
      <c r="IA3390" s="501"/>
      <c r="IB3390" s="501"/>
      <c r="IC3390" s="501"/>
      <c r="ID3390" s="501"/>
      <c r="IE3390" s="501"/>
      <c r="IF3390" s="501"/>
      <c r="IG3390" s="501"/>
      <c r="IH3390" s="501"/>
      <c r="II3390" s="501"/>
      <c r="IJ3390" s="501"/>
      <c r="IK3390" s="501"/>
      <c r="IL3390" s="501"/>
      <c r="IM3390" s="501"/>
      <c r="IN3390" s="501"/>
      <c r="IO3390" s="501"/>
      <c r="IP3390" s="501"/>
      <c r="IQ3390" s="501"/>
      <c r="IR3390" s="501"/>
      <c r="IS3390" s="501"/>
      <c r="IT3390" s="501"/>
      <c r="IU3390" s="501"/>
    </row>
    <row r="3391" spans="1:255" s="877" customFormat="1" ht="24" customHeight="1">
      <c r="A3391" s="501"/>
      <c r="B3391" s="501"/>
      <c r="C3391" s="501"/>
      <c r="D3391" s="501"/>
      <c r="E3391" s="501"/>
      <c r="F3391" s="1097"/>
      <c r="G3391" s="1098"/>
      <c r="H3391" s="1097"/>
      <c r="I3391" s="1099"/>
      <c r="J3391" s="1097"/>
      <c r="K3391" s="1097"/>
      <c r="L3391" s="1101"/>
      <c r="M3391" s="1203"/>
      <c r="N3391" s="501"/>
      <c r="O3391" s="1159"/>
      <c r="P3391" s="1152"/>
      <c r="Q3391" s="973"/>
      <c r="R3391" s="968"/>
      <c r="S3391" s="974"/>
      <c r="T3391" s="968"/>
      <c r="V3391" s="501"/>
      <c r="W3391" s="501"/>
      <c r="X3391" s="501"/>
      <c r="Y3391" s="501"/>
      <c r="Z3391" s="501"/>
      <c r="AA3391" s="501"/>
      <c r="AB3391" s="501"/>
      <c r="AC3391" s="501"/>
      <c r="AD3391" s="501"/>
      <c r="AE3391" s="501"/>
      <c r="AF3391" s="501"/>
      <c r="AG3391" s="501"/>
      <c r="AH3391" s="501"/>
      <c r="AI3391" s="501"/>
      <c r="AJ3391" s="501"/>
      <c r="AK3391" s="501"/>
      <c r="AL3391" s="501"/>
      <c r="AM3391" s="501"/>
      <c r="AN3391" s="501"/>
      <c r="AO3391" s="501"/>
      <c r="AP3391" s="501"/>
      <c r="AQ3391" s="501"/>
      <c r="AR3391" s="501"/>
      <c r="AS3391" s="501"/>
      <c r="AT3391" s="501"/>
      <c r="AU3391" s="501"/>
      <c r="AV3391" s="501"/>
      <c r="AW3391" s="501"/>
      <c r="AX3391" s="501"/>
      <c r="AY3391" s="501"/>
      <c r="AZ3391" s="501"/>
      <c r="BA3391" s="501"/>
      <c r="BB3391" s="501"/>
      <c r="BC3391" s="501"/>
      <c r="BD3391" s="501"/>
      <c r="BE3391" s="501"/>
      <c r="BF3391" s="501"/>
      <c r="BG3391" s="501"/>
      <c r="BH3391" s="501"/>
      <c r="BI3391" s="501"/>
      <c r="BJ3391" s="501"/>
      <c r="BK3391" s="501"/>
      <c r="BL3391" s="501"/>
      <c r="BM3391" s="501"/>
      <c r="BN3391" s="501"/>
      <c r="BO3391" s="501"/>
      <c r="BP3391" s="501"/>
      <c r="BQ3391" s="501"/>
      <c r="BR3391" s="501"/>
      <c r="BS3391" s="501"/>
      <c r="BT3391" s="501"/>
      <c r="BU3391" s="501"/>
      <c r="BV3391" s="501"/>
      <c r="BW3391" s="501"/>
      <c r="BX3391" s="501"/>
      <c r="BY3391" s="501"/>
      <c r="BZ3391" s="501"/>
      <c r="CA3391" s="501"/>
      <c r="CB3391" s="501"/>
      <c r="CC3391" s="501"/>
      <c r="CD3391" s="501"/>
      <c r="CE3391" s="501"/>
      <c r="CF3391" s="501"/>
      <c r="CG3391" s="501"/>
      <c r="CH3391" s="501"/>
      <c r="CI3391" s="501"/>
      <c r="CJ3391" s="501"/>
      <c r="CK3391" s="501"/>
      <c r="CL3391" s="501"/>
      <c r="CM3391" s="501"/>
      <c r="CN3391" s="501"/>
      <c r="CO3391" s="501"/>
      <c r="CP3391" s="501"/>
      <c r="CQ3391" s="501"/>
      <c r="CR3391" s="501"/>
      <c r="CS3391" s="501"/>
      <c r="CT3391" s="501"/>
      <c r="CU3391" s="501"/>
      <c r="CV3391" s="501"/>
      <c r="CW3391" s="501"/>
      <c r="CX3391" s="501"/>
      <c r="CY3391" s="501"/>
      <c r="CZ3391" s="501"/>
      <c r="DA3391" s="501"/>
      <c r="DB3391" s="501"/>
      <c r="DC3391" s="501"/>
      <c r="DD3391" s="501"/>
      <c r="DE3391" s="501"/>
      <c r="DF3391" s="501"/>
      <c r="DG3391" s="501"/>
      <c r="DH3391" s="501"/>
      <c r="DI3391" s="501"/>
      <c r="DJ3391" s="501"/>
      <c r="DK3391" s="501"/>
      <c r="DL3391" s="501"/>
      <c r="DM3391" s="501"/>
      <c r="DN3391" s="501"/>
      <c r="DO3391" s="501"/>
      <c r="DP3391" s="501"/>
      <c r="DQ3391" s="501"/>
      <c r="DR3391" s="501"/>
      <c r="DS3391" s="501"/>
      <c r="DT3391" s="501"/>
      <c r="DU3391" s="501"/>
      <c r="DV3391" s="501"/>
      <c r="DW3391" s="501"/>
      <c r="DX3391" s="501"/>
      <c r="DY3391" s="501"/>
      <c r="DZ3391" s="501"/>
      <c r="EA3391" s="501"/>
      <c r="EB3391" s="501"/>
      <c r="EC3391" s="501"/>
      <c r="ED3391" s="501"/>
      <c r="EE3391" s="501"/>
      <c r="EF3391" s="501"/>
      <c r="EG3391" s="501"/>
      <c r="EH3391" s="501"/>
      <c r="EI3391" s="501"/>
      <c r="EJ3391" s="501"/>
      <c r="EK3391" s="501"/>
      <c r="EL3391" s="501"/>
      <c r="EM3391" s="501"/>
      <c r="EN3391" s="501"/>
      <c r="EO3391" s="501"/>
      <c r="EP3391" s="501"/>
      <c r="EQ3391" s="501"/>
      <c r="ER3391" s="501"/>
      <c r="ES3391" s="501"/>
      <c r="ET3391" s="501"/>
      <c r="EU3391" s="501"/>
      <c r="EV3391" s="501"/>
      <c r="EW3391" s="501"/>
      <c r="EX3391" s="501"/>
      <c r="EY3391" s="501"/>
      <c r="EZ3391" s="501"/>
      <c r="FA3391" s="501"/>
      <c r="FB3391" s="501"/>
      <c r="FC3391" s="501"/>
      <c r="FD3391" s="501"/>
      <c r="FE3391" s="501"/>
      <c r="FF3391" s="501"/>
      <c r="FG3391" s="501"/>
      <c r="FH3391" s="501"/>
      <c r="FI3391" s="501"/>
      <c r="FJ3391" s="501"/>
      <c r="FK3391" s="501"/>
      <c r="FL3391" s="501"/>
      <c r="FM3391" s="501"/>
      <c r="FN3391" s="501"/>
      <c r="FO3391" s="501"/>
      <c r="FP3391" s="501"/>
      <c r="FQ3391" s="501"/>
      <c r="FR3391" s="501"/>
      <c r="FS3391" s="501"/>
      <c r="FT3391" s="501"/>
      <c r="FU3391" s="501"/>
      <c r="FV3391" s="501"/>
      <c r="FW3391" s="501"/>
      <c r="FX3391" s="501"/>
      <c r="FY3391" s="501"/>
      <c r="FZ3391" s="501"/>
      <c r="GA3391" s="501"/>
      <c r="GB3391" s="501"/>
      <c r="GC3391" s="501"/>
      <c r="GD3391" s="501"/>
      <c r="GE3391" s="501"/>
      <c r="GF3391" s="501"/>
      <c r="GG3391" s="501"/>
      <c r="GH3391" s="501"/>
      <c r="GI3391" s="501"/>
      <c r="GJ3391" s="501"/>
      <c r="GK3391" s="501"/>
      <c r="GL3391" s="501"/>
      <c r="GM3391" s="501"/>
      <c r="GN3391" s="501"/>
      <c r="GO3391" s="501"/>
      <c r="GP3391" s="501"/>
      <c r="GQ3391" s="501"/>
      <c r="GR3391" s="501"/>
      <c r="GS3391" s="501"/>
      <c r="GT3391" s="501"/>
      <c r="GU3391" s="501"/>
      <c r="GV3391" s="501"/>
      <c r="GW3391" s="501"/>
      <c r="GX3391" s="501"/>
      <c r="GY3391" s="501"/>
      <c r="GZ3391" s="501"/>
      <c r="HA3391" s="501"/>
      <c r="HB3391" s="501"/>
      <c r="HC3391" s="501"/>
      <c r="HD3391" s="501"/>
      <c r="HE3391" s="501"/>
      <c r="HF3391" s="501"/>
      <c r="HG3391" s="501"/>
      <c r="HH3391" s="501"/>
      <c r="HI3391" s="501"/>
      <c r="HJ3391" s="501"/>
      <c r="HK3391" s="501"/>
      <c r="HL3391" s="501"/>
      <c r="HM3391" s="501"/>
      <c r="HN3391" s="501"/>
      <c r="HO3391" s="501"/>
      <c r="HP3391" s="501"/>
      <c r="HQ3391" s="501"/>
      <c r="HR3391" s="501"/>
      <c r="HS3391" s="501"/>
      <c r="HT3391" s="501"/>
      <c r="HU3391" s="501"/>
      <c r="HV3391" s="501"/>
      <c r="HW3391" s="501"/>
      <c r="HX3391" s="501"/>
      <c r="HY3391" s="501"/>
      <c r="HZ3391" s="501"/>
      <c r="IA3391" s="501"/>
      <c r="IB3391" s="501"/>
      <c r="IC3391" s="501"/>
      <c r="ID3391" s="501"/>
      <c r="IE3391" s="501"/>
      <c r="IF3391" s="501"/>
      <c r="IG3391" s="501"/>
      <c r="IH3391" s="501"/>
      <c r="II3391" s="501"/>
      <c r="IJ3391" s="501"/>
      <c r="IK3391" s="501"/>
      <c r="IL3391" s="501"/>
      <c r="IM3391" s="501"/>
      <c r="IN3391" s="501"/>
      <c r="IO3391" s="501"/>
      <c r="IP3391" s="501"/>
      <c r="IQ3391" s="501"/>
      <c r="IR3391" s="501"/>
      <c r="IS3391" s="501"/>
      <c r="IT3391" s="501"/>
      <c r="IU3391" s="501"/>
    </row>
    <row r="3392" spans="1:255" s="877" customFormat="1" ht="24" customHeight="1">
      <c r="A3392" s="501"/>
      <c r="B3392" s="501"/>
      <c r="C3392" s="501"/>
      <c r="D3392" s="501"/>
      <c r="E3392" s="501"/>
      <c r="F3392" s="1097"/>
      <c r="G3392" s="1098"/>
      <c r="H3392" s="1097"/>
      <c r="I3392" s="1099"/>
      <c r="J3392" s="1097"/>
      <c r="K3392" s="1097"/>
      <c r="L3392" s="1101"/>
      <c r="M3392" s="1109"/>
      <c r="N3392" s="501"/>
      <c r="O3392" s="968"/>
      <c r="P3392" s="1152"/>
      <c r="Q3392" s="973"/>
      <c r="R3392" s="968"/>
      <c r="S3392" s="974"/>
      <c r="T3392" s="968"/>
      <c r="V3392" s="501"/>
      <c r="W3392" s="501"/>
      <c r="X3392" s="501"/>
      <c r="Y3392" s="501"/>
      <c r="Z3392" s="501"/>
      <c r="AA3392" s="501"/>
      <c r="AB3392" s="501"/>
      <c r="AC3392" s="501"/>
      <c r="AD3392" s="501"/>
      <c r="AE3392" s="501"/>
      <c r="AF3392" s="501"/>
      <c r="AG3392" s="501"/>
      <c r="AH3392" s="501"/>
      <c r="AI3392" s="501"/>
      <c r="AJ3392" s="501"/>
      <c r="AK3392" s="501"/>
      <c r="AL3392" s="501"/>
      <c r="AM3392" s="501"/>
      <c r="AN3392" s="501"/>
      <c r="AO3392" s="501"/>
      <c r="AP3392" s="501"/>
      <c r="AQ3392" s="501"/>
      <c r="AR3392" s="501"/>
      <c r="AS3392" s="501"/>
      <c r="AT3392" s="501"/>
      <c r="AU3392" s="501"/>
      <c r="AV3392" s="501"/>
      <c r="AW3392" s="501"/>
      <c r="AX3392" s="501"/>
      <c r="AY3392" s="501"/>
      <c r="AZ3392" s="501"/>
      <c r="BA3392" s="501"/>
      <c r="BB3392" s="501"/>
      <c r="BC3392" s="501"/>
      <c r="BD3392" s="501"/>
      <c r="BE3392" s="501"/>
      <c r="BF3392" s="501"/>
      <c r="BG3392" s="501"/>
      <c r="BH3392" s="501"/>
      <c r="BI3392" s="501"/>
      <c r="BJ3392" s="501"/>
      <c r="BK3392" s="501"/>
      <c r="BL3392" s="501"/>
      <c r="BM3392" s="501"/>
      <c r="BN3392" s="501"/>
      <c r="BO3392" s="501"/>
      <c r="BP3392" s="501"/>
      <c r="BQ3392" s="501"/>
      <c r="BR3392" s="501"/>
      <c r="BS3392" s="501"/>
      <c r="BT3392" s="501"/>
      <c r="BU3392" s="501"/>
      <c r="BV3392" s="501"/>
      <c r="BW3392" s="501"/>
      <c r="BX3392" s="501"/>
      <c r="BY3392" s="501"/>
      <c r="BZ3392" s="501"/>
      <c r="CA3392" s="501"/>
      <c r="CB3392" s="501"/>
      <c r="CC3392" s="501"/>
      <c r="CD3392" s="501"/>
      <c r="CE3392" s="501"/>
      <c r="CF3392" s="501"/>
      <c r="CG3392" s="501"/>
      <c r="CH3392" s="501"/>
      <c r="CI3392" s="501"/>
      <c r="CJ3392" s="501"/>
      <c r="CK3392" s="501"/>
      <c r="CL3392" s="501"/>
      <c r="CM3392" s="501"/>
      <c r="CN3392" s="501"/>
      <c r="CO3392" s="501"/>
      <c r="CP3392" s="501"/>
      <c r="CQ3392" s="501"/>
      <c r="CR3392" s="501"/>
      <c r="CS3392" s="501"/>
      <c r="CT3392" s="501"/>
      <c r="CU3392" s="501"/>
      <c r="CV3392" s="501"/>
      <c r="CW3392" s="501"/>
      <c r="CX3392" s="501"/>
      <c r="CY3392" s="501"/>
      <c r="CZ3392" s="501"/>
      <c r="DA3392" s="501"/>
      <c r="DB3392" s="501"/>
      <c r="DC3392" s="501"/>
      <c r="DD3392" s="501"/>
      <c r="DE3392" s="501"/>
      <c r="DF3392" s="501"/>
      <c r="DG3392" s="501"/>
      <c r="DH3392" s="501"/>
      <c r="DI3392" s="501"/>
      <c r="DJ3392" s="501"/>
      <c r="DK3392" s="501"/>
      <c r="DL3392" s="501"/>
      <c r="DM3392" s="501"/>
      <c r="DN3392" s="501"/>
      <c r="DO3392" s="501"/>
      <c r="DP3392" s="501"/>
      <c r="DQ3392" s="501"/>
      <c r="DR3392" s="501"/>
      <c r="DS3392" s="501"/>
      <c r="DT3392" s="501"/>
      <c r="DU3392" s="501"/>
      <c r="DV3392" s="501"/>
      <c r="DW3392" s="501"/>
      <c r="DX3392" s="501"/>
      <c r="DY3392" s="501"/>
      <c r="DZ3392" s="501"/>
      <c r="EA3392" s="501"/>
      <c r="EB3392" s="501"/>
      <c r="EC3392" s="501"/>
      <c r="ED3392" s="501"/>
      <c r="EE3392" s="501"/>
      <c r="EF3392" s="501"/>
      <c r="EG3392" s="501"/>
      <c r="EH3392" s="501"/>
      <c r="EI3392" s="501"/>
      <c r="EJ3392" s="501"/>
      <c r="EK3392" s="501"/>
      <c r="EL3392" s="501"/>
      <c r="EM3392" s="501"/>
      <c r="EN3392" s="501"/>
      <c r="EO3392" s="501"/>
      <c r="EP3392" s="501"/>
      <c r="EQ3392" s="501"/>
      <c r="ER3392" s="501"/>
      <c r="ES3392" s="501"/>
      <c r="ET3392" s="501"/>
      <c r="EU3392" s="501"/>
      <c r="EV3392" s="501"/>
      <c r="EW3392" s="501"/>
      <c r="EX3392" s="501"/>
      <c r="EY3392" s="501"/>
      <c r="EZ3392" s="501"/>
      <c r="FA3392" s="501"/>
      <c r="FB3392" s="501"/>
      <c r="FC3392" s="501"/>
      <c r="FD3392" s="501"/>
      <c r="FE3392" s="501"/>
      <c r="FF3392" s="501"/>
      <c r="FG3392" s="501"/>
      <c r="FH3392" s="501"/>
      <c r="FI3392" s="501"/>
      <c r="FJ3392" s="501"/>
      <c r="FK3392" s="501"/>
      <c r="FL3392" s="501"/>
      <c r="FM3392" s="501"/>
      <c r="FN3392" s="501"/>
      <c r="FO3392" s="501"/>
      <c r="FP3392" s="501"/>
      <c r="FQ3392" s="501"/>
      <c r="FR3392" s="501"/>
      <c r="FS3392" s="501"/>
      <c r="FT3392" s="501"/>
      <c r="FU3392" s="501"/>
      <c r="FV3392" s="501"/>
      <c r="FW3392" s="501"/>
      <c r="FX3392" s="501"/>
      <c r="FY3392" s="501"/>
      <c r="FZ3392" s="501"/>
      <c r="GA3392" s="501"/>
      <c r="GB3392" s="501"/>
      <c r="GC3392" s="501"/>
      <c r="GD3392" s="501"/>
      <c r="GE3392" s="501"/>
      <c r="GF3392" s="501"/>
      <c r="GG3392" s="501"/>
      <c r="GH3392" s="501"/>
      <c r="GI3392" s="501"/>
      <c r="GJ3392" s="501"/>
      <c r="GK3392" s="501"/>
      <c r="GL3392" s="501"/>
      <c r="GM3392" s="501"/>
      <c r="GN3392" s="501"/>
      <c r="GO3392" s="501"/>
      <c r="GP3392" s="501"/>
      <c r="GQ3392" s="501"/>
      <c r="GR3392" s="501"/>
      <c r="GS3392" s="501"/>
      <c r="GT3392" s="501"/>
      <c r="GU3392" s="501"/>
      <c r="GV3392" s="501"/>
      <c r="GW3392" s="501"/>
      <c r="GX3392" s="501"/>
      <c r="GY3392" s="501"/>
      <c r="GZ3392" s="501"/>
      <c r="HA3392" s="501"/>
      <c r="HB3392" s="501"/>
      <c r="HC3392" s="501"/>
      <c r="HD3392" s="501"/>
      <c r="HE3392" s="501"/>
      <c r="HF3392" s="501"/>
      <c r="HG3392" s="501"/>
      <c r="HH3392" s="501"/>
      <c r="HI3392" s="501"/>
      <c r="HJ3392" s="501"/>
      <c r="HK3392" s="501"/>
      <c r="HL3392" s="501"/>
      <c r="HM3392" s="501"/>
      <c r="HN3392" s="501"/>
      <c r="HO3392" s="501"/>
      <c r="HP3392" s="501"/>
      <c r="HQ3392" s="501"/>
      <c r="HR3392" s="501"/>
      <c r="HS3392" s="501"/>
      <c r="HT3392" s="501"/>
      <c r="HU3392" s="501"/>
      <c r="HV3392" s="501"/>
      <c r="HW3392" s="501"/>
      <c r="HX3392" s="501"/>
      <c r="HY3392" s="501"/>
      <c r="HZ3392" s="501"/>
      <c r="IA3392" s="501"/>
      <c r="IB3392" s="501"/>
      <c r="IC3392" s="501"/>
      <c r="ID3392" s="501"/>
      <c r="IE3392" s="501"/>
      <c r="IF3392" s="501"/>
      <c r="IG3392" s="501"/>
      <c r="IH3392" s="501"/>
      <c r="II3392" s="501"/>
      <c r="IJ3392" s="501"/>
      <c r="IK3392" s="501"/>
      <c r="IL3392" s="501"/>
      <c r="IM3392" s="501"/>
      <c r="IN3392" s="501"/>
      <c r="IO3392" s="501"/>
      <c r="IP3392" s="501"/>
      <c r="IQ3392" s="501"/>
      <c r="IR3392" s="501"/>
      <c r="IS3392" s="501"/>
      <c r="IT3392" s="501"/>
      <c r="IU3392" s="501"/>
    </row>
    <row r="3393" spans="1:255" s="877" customFormat="1" ht="24" customHeight="1">
      <c r="A3393" s="501"/>
      <c r="B3393" s="501"/>
      <c r="C3393" s="501"/>
      <c r="D3393" s="501"/>
      <c r="E3393" s="501"/>
      <c r="F3393" s="1097"/>
      <c r="G3393" s="1098"/>
      <c r="H3393" s="1097"/>
      <c r="I3393" s="1099"/>
      <c r="J3393" s="973"/>
      <c r="K3393" s="1097"/>
      <c r="L3393" s="1101"/>
      <c r="M3393" s="1109"/>
      <c r="N3393" s="501"/>
      <c r="O3393" s="968"/>
      <c r="P3393" s="1152"/>
      <c r="Q3393" s="973"/>
      <c r="R3393" s="968"/>
      <c r="S3393" s="974"/>
      <c r="T3393" s="968"/>
      <c r="V3393" s="501"/>
      <c r="W3393" s="501"/>
      <c r="X3393" s="501"/>
      <c r="Y3393" s="501"/>
      <c r="Z3393" s="501"/>
      <c r="AA3393" s="501"/>
      <c r="AB3393" s="501"/>
      <c r="AC3393" s="501"/>
      <c r="AD3393" s="501"/>
      <c r="AE3393" s="501"/>
      <c r="AF3393" s="501"/>
      <c r="AG3393" s="501"/>
      <c r="AH3393" s="501"/>
      <c r="AI3393" s="501"/>
      <c r="AJ3393" s="501"/>
      <c r="AK3393" s="501"/>
      <c r="AL3393" s="501"/>
      <c r="AM3393" s="501"/>
      <c r="AN3393" s="501"/>
      <c r="AO3393" s="501"/>
      <c r="AP3393" s="501"/>
      <c r="AQ3393" s="501"/>
      <c r="AR3393" s="501"/>
      <c r="AS3393" s="501"/>
      <c r="AT3393" s="501"/>
      <c r="AU3393" s="501"/>
      <c r="AV3393" s="501"/>
      <c r="AW3393" s="501"/>
      <c r="AX3393" s="501"/>
      <c r="AY3393" s="501"/>
      <c r="AZ3393" s="501"/>
      <c r="BA3393" s="501"/>
      <c r="BB3393" s="501"/>
      <c r="BC3393" s="501"/>
      <c r="BD3393" s="501"/>
      <c r="BE3393" s="501"/>
      <c r="BF3393" s="501"/>
      <c r="BG3393" s="501"/>
      <c r="BH3393" s="501"/>
      <c r="BI3393" s="501"/>
      <c r="BJ3393" s="501"/>
      <c r="BK3393" s="501"/>
      <c r="BL3393" s="501"/>
      <c r="BM3393" s="501"/>
      <c r="BN3393" s="501"/>
      <c r="BO3393" s="501"/>
      <c r="BP3393" s="501"/>
      <c r="BQ3393" s="501"/>
      <c r="BR3393" s="501"/>
      <c r="BS3393" s="501"/>
      <c r="BT3393" s="501"/>
      <c r="BU3393" s="501"/>
      <c r="BV3393" s="501"/>
      <c r="BW3393" s="501"/>
      <c r="BX3393" s="501"/>
      <c r="BY3393" s="501"/>
      <c r="BZ3393" s="501"/>
      <c r="CA3393" s="501"/>
      <c r="CB3393" s="501"/>
      <c r="CC3393" s="501"/>
      <c r="CD3393" s="501"/>
      <c r="CE3393" s="501"/>
      <c r="CF3393" s="501"/>
      <c r="CG3393" s="501"/>
      <c r="CH3393" s="501"/>
      <c r="CI3393" s="501"/>
      <c r="CJ3393" s="501"/>
      <c r="CK3393" s="501"/>
      <c r="CL3393" s="501"/>
      <c r="CM3393" s="501"/>
      <c r="CN3393" s="501"/>
      <c r="CO3393" s="501"/>
      <c r="CP3393" s="501"/>
      <c r="CQ3393" s="501"/>
      <c r="CR3393" s="501"/>
      <c r="CS3393" s="501"/>
      <c r="CT3393" s="501"/>
      <c r="CU3393" s="501"/>
      <c r="CV3393" s="501"/>
      <c r="CW3393" s="501"/>
      <c r="CX3393" s="501"/>
      <c r="CY3393" s="501"/>
      <c r="CZ3393" s="501"/>
      <c r="DA3393" s="501"/>
      <c r="DB3393" s="501"/>
      <c r="DC3393" s="501"/>
      <c r="DD3393" s="501"/>
      <c r="DE3393" s="501"/>
      <c r="DF3393" s="501"/>
      <c r="DG3393" s="501"/>
      <c r="DH3393" s="501"/>
      <c r="DI3393" s="501"/>
      <c r="DJ3393" s="501"/>
      <c r="DK3393" s="501"/>
      <c r="DL3393" s="501"/>
      <c r="DM3393" s="501"/>
      <c r="DN3393" s="501"/>
      <c r="DO3393" s="501"/>
      <c r="DP3393" s="501"/>
      <c r="DQ3393" s="501"/>
      <c r="DR3393" s="501"/>
      <c r="DS3393" s="501"/>
      <c r="DT3393" s="501"/>
      <c r="DU3393" s="501"/>
      <c r="DV3393" s="501"/>
      <c r="DW3393" s="501"/>
      <c r="DX3393" s="501"/>
      <c r="DY3393" s="501"/>
      <c r="DZ3393" s="501"/>
      <c r="EA3393" s="501"/>
      <c r="EB3393" s="501"/>
      <c r="EC3393" s="501"/>
      <c r="ED3393" s="501"/>
      <c r="EE3393" s="501"/>
      <c r="EF3393" s="501"/>
      <c r="EG3393" s="501"/>
      <c r="EH3393" s="501"/>
      <c r="EI3393" s="501"/>
      <c r="EJ3393" s="501"/>
      <c r="EK3393" s="501"/>
      <c r="EL3393" s="501"/>
      <c r="EM3393" s="501"/>
      <c r="EN3393" s="501"/>
      <c r="EO3393" s="501"/>
      <c r="EP3393" s="501"/>
      <c r="EQ3393" s="501"/>
      <c r="ER3393" s="501"/>
      <c r="ES3393" s="501"/>
      <c r="ET3393" s="501"/>
      <c r="EU3393" s="501"/>
      <c r="EV3393" s="501"/>
      <c r="EW3393" s="501"/>
      <c r="EX3393" s="501"/>
      <c r="EY3393" s="501"/>
      <c r="EZ3393" s="501"/>
      <c r="FA3393" s="501"/>
      <c r="FB3393" s="501"/>
      <c r="FC3393" s="501"/>
      <c r="FD3393" s="501"/>
      <c r="FE3393" s="501"/>
      <c r="FF3393" s="501"/>
      <c r="FG3393" s="501"/>
      <c r="FH3393" s="501"/>
      <c r="FI3393" s="501"/>
      <c r="FJ3393" s="501"/>
      <c r="FK3393" s="501"/>
      <c r="FL3393" s="501"/>
      <c r="FM3393" s="501"/>
      <c r="FN3393" s="501"/>
      <c r="FO3393" s="501"/>
      <c r="FP3393" s="501"/>
      <c r="FQ3393" s="501"/>
      <c r="FR3393" s="501"/>
      <c r="FS3393" s="501"/>
      <c r="FT3393" s="501"/>
      <c r="FU3393" s="501"/>
      <c r="FV3393" s="501"/>
      <c r="FW3393" s="501"/>
      <c r="FX3393" s="501"/>
      <c r="FY3393" s="501"/>
      <c r="FZ3393" s="501"/>
      <c r="GA3393" s="501"/>
      <c r="GB3393" s="501"/>
      <c r="GC3393" s="501"/>
      <c r="GD3393" s="501"/>
      <c r="GE3393" s="501"/>
      <c r="GF3393" s="501"/>
      <c r="GG3393" s="501"/>
      <c r="GH3393" s="501"/>
      <c r="GI3393" s="501"/>
      <c r="GJ3393" s="501"/>
      <c r="GK3393" s="501"/>
      <c r="GL3393" s="501"/>
      <c r="GM3393" s="501"/>
      <c r="GN3393" s="501"/>
      <c r="GO3393" s="501"/>
      <c r="GP3393" s="501"/>
      <c r="GQ3393" s="501"/>
      <c r="GR3393" s="501"/>
      <c r="GS3393" s="501"/>
      <c r="GT3393" s="501"/>
      <c r="GU3393" s="501"/>
      <c r="GV3393" s="501"/>
      <c r="GW3393" s="501"/>
      <c r="GX3393" s="501"/>
      <c r="GY3393" s="501"/>
      <c r="GZ3393" s="501"/>
      <c r="HA3393" s="501"/>
      <c r="HB3393" s="501"/>
      <c r="HC3393" s="501"/>
      <c r="HD3393" s="501"/>
      <c r="HE3393" s="501"/>
      <c r="HF3393" s="501"/>
      <c r="HG3393" s="501"/>
      <c r="HH3393" s="501"/>
      <c r="HI3393" s="501"/>
      <c r="HJ3393" s="501"/>
      <c r="HK3393" s="501"/>
      <c r="HL3393" s="501"/>
      <c r="HM3393" s="501"/>
      <c r="HN3393" s="501"/>
      <c r="HO3393" s="501"/>
      <c r="HP3393" s="501"/>
      <c r="HQ3393" s="501"/>
      <c r="HR3393" s="501"/>
      <c r="HS3393" s="501"/>
      <c r="HT3393" s="501"/>
      <c r="HU3393" s="501"/>
      <c r="HV3393" s="501"/>
      <c r="HW3393" s="501"/>
      <c r="HX3393" s="501"/>
      <c r="HY3393" s="501"/>
      <c r="HZ3393" s="501"/>
      <c r="IA3393" s="501"/>
      <c r="IB3393" s="501"/>
      <c r="IC3393" s="501"/>
      <c r="ID3393" s="501"/>
      <c r="IE3393" s="501"/>
      <c r="IF3393" s="501"/>
      <c r="IG3393" s="501"/>
      <c r="IH3393" s="501"/>
      <c r="II3393" s="501"/>
      <c r="IJ3393" s="501"/>
      <c r="IK3393" s="501"/>
      <c r="IL3393" s="501"/>
      <c r="IM3393" s="501"/>
      <c r="IN3393" s="501"/>
      <c r="IO3393" s="501"/>
      <c r="IP3393" s="501"/>
      <c r="IQ3393" s="501"/>
      <c r="IR3393" s="501"/>
      <c r="IS3393" s="501"/>
      <c r="IT3393" s="501"/>
      <c r="IU3393" s="501"/>
    </row>
    <row r="3394" spans="1:255" s="877" customFormat="1" ht="24" customHeight="1">
      <c r="A3394" s="501"/>
      <c r="B3394" s="501"/>
      <c r="C3394" s="501"/>
      <c r="D3394" s="501"/>
      <c r="E3394" s="501"/>
      <c r="F3394" s="1097"/>
      <c r="G3394" s="1098"/>
      <c r="H3394" s="1097"/>
      <c r="I3394" s="1099"/>
      <c r="J3394" s="1097"/>
      <c r="K3394" s="1097"/>
      <c r="L3394" s="1101"/>
      <c r="M3394" s="1109"/>
      <c r="N3394" s="501"/>
      <c r="O3394" s="968"/>
      <c r="P3394" s="1152"/>
      <c r="Q3394" s="973"/>
      <c r="R3394" s="968"/>
      <c r="S3394" s="974"/>
      <c r="T3394" s="968"/>
      <c r="V3394" s="501"/>
      <c r="W3394" s="501"/>
      <c r="X3394" s="501"/>
      <c r="Y3394" s="501"/>
      <c r="Z3394" s="501"/>
      <c r="AA3394" s="501"/>
      <c r="AB3394" s="501"/>
      <c r="AC3394" s="501"/>
      <c r="AD3394" s="501"/>
      <c r="AE3394" s="501"/>
      <c r="AF3394" s="501"/>
      <c r="AG3394" s="501"/>
      <c r="AH3394" s="501"/>
      <c r="AI3394" s="501"/>
      <c r="AJ3394" s="501"/>
      <c r="AK3394" s="501"/>
      <c r="AL3394" s="501"/>
      <c r="AM3394" s="501"/>
      <c r="AN3394" s="501"/>
      <c r="AO3394" s="501"/>
      <c r="AP3394" s="501"/>
      <c r="AQ3394" s="501"/>
      <c r="AR3394" s="501"/>
      <c r="AS3394" s="501"/>
      <c r="AT3394" s="501"/>
      <c r="AU3394" s="501"/>
      <c r="AV3394" s="501"/>
      <c r="AW3394" s="501"/>
      <c r="AX3394" s="501"/>
      <c r="AY3394" s="501"/>
      <c r="AZ3394" s="501"/>
      <c r="BA3394" s="501"/>
      <c r="BB3394" s="501"/>
      <c r="BC3394" s="501"/>
      <c r="BD3394" s="501"/>
      <c r="BE3394" s="501"/>
      <c r="BF3394" s="501"/>
      <c r="BG3394" s="501"/>
      <c r="BH3394" s="501"/>
      <c r="BI3394" s="501"/>
      <c r="BJ3394" s="501"/>
      <c r="BK3394" s="501"/>
      <c r="BL3394" s="501"/>
      <c r="BM3394" s="501"/>
      <c r="BN3394" s="501"/>
      <c r="BO3394" s="501"/>
      <c r="BP3394" s="501"/>
      <c r="BQ3394" s="501"/>
      <c r="BR3394" s="501"/>
      <c r="BS3394" s="501"/>
      <c r="BT3394" s="501"/>
      <c r="BU3394" s="501"/>
      <c r="BV3394" s="501"/>
      <c r="BW3394" s="501"/>
      <c r="BX3394" s="501"/>
      <c r="BY3394" s="501"/>
      <c r="BZ3394" s="501"/>
      <c r="CA3394" s="501"/>
      <c r="CB3394" s="501"/>
      <c r="CC3394" s="501"/>
      <c r="CD3394" s="501"/>
      <c r="CE3394" s="501"/>
      <c r="CF3394" s="501"/>
      <c r="CG3394" s="501"/>
      <c r="CH3394" s="501"/>
      <c r="CI3394" s="501"/>
      <c r="CJ3394" s="501"/>
      <c r="CK3394" s="501"/>
      <c r="CL3394" s="501"/>
      <c r="CM3394" s="501"/>
      <c r="CN3394" s="501"/>
      <c r="CO3394" s="501"/>
      <c r="CP3394" s="501"/>
      <c r="CQ3394" s="501"/>
      <c r="CR3394" s="501"/>
      <c r="CS3394" s="501"/>
      <c r="CT3394" s="501"/>
      <c r="CU3394" s="501"/>
      <c r="CV3394" s="501"/>
      <c r="CW3394" s="501"/>
      <c r="CX3394" s="501"/>
      <c r="CY3394" s="501"/>
      <c r="CZ3394" s="501"/>
      <c r="DA3394" s="501"/>
      <c r="DB3394" s="501"/>
      <c r="DC3394" s="501"/>
      <c r="DD3394" s="501"/>
      <c r="DE3394" s="501"/>
      <c r="DF3394" s="501"/>
      <c r="DG3394" s="501"/>
      <c r="DH3394" s="501"/>
      <c r="DI3394" s="501"/>
      <c r="DJ3394" s="501"/>
      <c r="DK3394" s="501"/>
      <c r="DL3394" s="501"/>
      <c r="DM3394" s="501"/>
      <c r="DN3394" s="501"/>
      <c r="DO3394" s="501"/>
      <c r="DP3394" s="501"/>
      <c r="DQ3394" s="501"/>
      <c r="DR3394" s="501"/>
      <c r="DS3394" s="501"/>
      <c r="DT3394" s="501"/>
      <c r="DU3394" s="501"/>
      <c r="DV3394" s="501"/>
      <c r="DW3394" s="501"/>
      <c r="DX3394" s="501"/>
      <c r="DY3394" s="501"/>
      <c r="DZ3394" s="501"/>
      <c r="EA3394" s="501"/>
      <c r="EB3394" s="501"/>
      <c r="EC3394" s="501"/>
      <c r="ED3394" s="501"/>
      <c r="EE3394" s="501"/>
      <c r="EF3394" s="501"/>
      <c r="EG3394" s="501"/>
      <c r="EH3394" s="501"/>
      <c r="EI3394" s="501"/>
      <c r="EJ3394" s="501"/>
      <c r="EK3394" s="501"/>
      <c r="EL3394" s="501"/>
      <c r="EM3394" s="501"/>
      <c r="EN3394" s="501"/>
      <c r="EO3394" s="501"/>
      <c r="EP3394" s="501"/>
      <c r="EQ3394" s="501"/>
      <c r="ER3394" s="501"/>
      <c r="ES3394" s="501"/>
      <c r="ET3394" s="501"/>
      <c r="EU3394" s="501"/>
      <c r="EV3394" s="501"/>
      <c r="EW3394" s="501"/>
      <c r="EX3394" s="501"/>
      <c r="EY3394" s="501"/>
      <c r="EZ3394" s="501"/>
      <c r="FA3394" s="501"/>
      <c r="FB3394" s="501"/>
      <c r="FC3394" s="501"/>
      <c r="FD3394" s="501"/>
      <c r="FE3394" s="501"/>
      <c r="FF3394" s="501"/>
      <c r="FG3394" s="501"/>
      <c r="FH3394" s="501"/>
      <c r="FI3394" s="501"/>
      <c r="FJ3394" s="501"/>
      <c r="FK3394" s="501"/>
      <c r="FL3394" s="501"/>
      <c r="FM3394" s="501"/>
      <c r="FN3394" s="501"/>
      <c r="FO3394" s="501"/>
      <c r="FP3394" s="501"/>
      <c r="FQ3394" s="501"/>
      <c r="FR3394" s="501"/>
      <c r="FS3394" s="501"/>
      <c r="FT3394" s="501"/>
      <c r="FU3394" s="501"/>
      <c r="FV3394" s="501"/>
      <c r="FW3394" s="501"/>
      <c r="FX3394" s="501"/>
      <c r="FY3394" s="501"/>
      <c r="FZ3394" s="501"/>
      <c r="GA3394" s="501"/>
      <c r="GB3394" s="501"/>
      <c r="GC3394" s="501"/>
      <c r="GD3394" s="501"/>
      <c r="GE3394" s="501"/>
      <c r="GF3394" s="501"/>
      <c r="GG3394" s="501"/>
      <c r="GH3394" s="501"/>
      <c r="GI3394" s="501"/>
      <c r="GJ3394" s="501"/>
      <c r="GK3394" s="501"/>
      <c r="GL3394" s="501"/>
      <c r="GM3394" s="501"/>
      <c r="GN3394" s="501"/>
      <c r="GO3394" s="501"/>
      <c r="GP3394" s="501"/>
      <c r="GQ3394" s="501"/>
      <c r="GR3394" s="501"/>
      <c r="GS3394" s="501"/>
      <c r="GT3394" s="501"/>
      <c r="GU3394" s="501"/>
      <c r="GV3394" s="501"/>
      <c r="GW3394" s="501"/>
      <c r="GX3394" s="501"/>
      <c r="GY3394" s="501"/>
      <c r="GZ3394" s="501"/>
      <c r="HA3394" s="501"/>
      <c r="HB3394" s="501"/>
      <c r="HC3394" s="501"/>
      <c r="HD3394" s="501"/>
      <c r="HE3394" s="501"/>
      <c r="HF3394" s="501"/>
      <c r="HG3394" s="501"/>
      <c r="HH3394" s="501"/>
      <c r="HI3394" s="501"/>
      <c r="HJ3394" s="501"/>
      <c r="HK3394" s="501"/>
      <c r="HL3394" s="501"/>
      <c r="HM3394" s="501"/>
      <c r="HN3394" s="501"/>
      <c r="HO3394" s="501"/>
      <c r="HP3394" s="501"/>
      <c r="HQ3394" s="501"/>
      <c r="HR3394" s="501"/>
      <c r="HS3394" s="501"/>
      <c r="HT3394" s="501"/>
      <c r="HU3394" s="501"/>
      <c r="HV3394" s="501"/>
      <c r="HW3394" s="501"/>
      <c r="HX3394" s="501"/>
      <c r="HY3394" s="501"/>
      <c r="HZ3394" s="501"/>
      <c r="IA3394" s="501"/>
      <c r="IB3394" s="501"/>
      <c r="IC3394" s="501"/>
      <c r="ID3394" s="501"/>
      <c r="IE3394" s="501"/>
      <c r="IF3394" s="501"/>
      <c r="IG3394" s="501"/>
      <c r="IH3394" s="501"/>
      <c r="II3394" s="501"/>
      <c r="IJ3394" s="501"/>
      <c r="IK3394" s="501"/>
      <c r="IL3394" s="501"/>
      <c r="IM3394" s="501"/>
      <c r="IN3394" s="501"/>
      <c r="IO3394" s="501"/>
      <c r="IP3394" s="501"/>
      <c r="IQ3394" s="501"/>
      <c r="IR3394" s="501"/>
      <c r="IS3394" s="501"/>
      <c r="IT3394" s="501"/>
      <c r="IU3394" s="501"/>
    </row>
    <row r="3395" spans="1:255" s="877" customFormat="1" ht="24" customHeight="1">
      <c r="A3395" s="501"/>
      <c r="B3395" s="501"/>
      <c r="C3395" s="501"/>
      <c r="D3395" s="501"/>
      <c r="E3395" s="501"/>
      <c r="F3395" s="1097"/>
      <c r="G3395" s="1098"/>
      <c r="H3395" s="1097"/>
      <c r="I3395" s="1099"/>
      <c r="J3395" s="1112"/>
      <c r="K3395" s="1097"/>
      <c r="L3395" s="1103"/>
      <c r="M3395" s="1111"/>
      <c r="N3395" s="501"/>
      <c r="O3395" s="968"/>
      <c r="P3395" s="1152"/>
      <c r="Q3395" s="973"/>
      <c r="R3395" s="968"/>
      <c r="S3395" s="974"/>
      <c r="T3395" s="968"/>
      <c r="V3395" s="501"/>
      <c r="W3395" s="501"/>
      <c r="X3395" s="501"/>
      <c r="Y3395" s="501"/>
      <c r="Z3395" s="501"/>
      <c r="AA3395" s="501"/>
      <c r="AB3395" s="501"/>
      <c r="AC3395" s="501"/>
      <c r="AD3395" s="501"/>
      <c r="AE3395" s="501"/>
      <c r="AF3395" s="501"/>
      <c r="AG3395" s="501"/>
      <c r="AH3395" s="501"/>
      <c r="AI3395" s="501"/>
      <c r="AJ3395" s="501"/>
      <c r="AK3395" s="501"/>
      <c r="AL3395" s="501"/>
      <c r="AM3395" s="501"/>
      <c r="AN3395" s="501"/>
      <c r="AO3395" s="501"/>
      <c r="AP3395" s="501"/>
      <c r="AQ3395" s="501"/>
      <c r="AR3395" s="501"/>
      <c r="AS3395" s="501"/>
      <c r="AT3395" s="501"/>
      <c r="AU3395" s="501"/>
      <c r="AV3395" s="501"/>
      <c r="AW3395" s="501"/>
      <c r="AX3395" s="501"/>
      <c r="AY3395" s="501"/>
      <c r="AZ3395" s="501"/>
      <c r="BA3395" s="501"/>
      <c r="BB3395" s="501"/>
      <c r="BC3395" s="501"/>
      <c r="BD3395" s="501"/>
      <c r="BE3395" s="501"/>
      <c r="BF3395" s="501"/>
      <c r="BG3395" s="501"/>
      <c r="BH3395" s="501"/>
      <c r="BI3395" s="501"/>
      <c r="BJ3395" s="501"/>
      <c r="BK3395" s="501"/>
      <c r="BL3395" s="501"/>
      <c r="BM3395" s="501"/>
      <c r="BN3395" s="501"/>
      <c r="BO3395" s="501"/>
      <c r="BP3395" s="501"/>
      <c r="BQ3395" s="501"/>
      <c r="BR3395" s="501"/>
      <c r="BS3395" s="501"/>
      <c r="BT3395" s="501"/>
      <c r="BU3395" s="501"/>
      <c r="BV3395" s="501"/>
      <c r="BW3395" s="501"/>
      <c r="BX3395" s="501"/>
      <c r="BY3395" s="501"/>
      <c r="BZ3395" s="501"/>
      <c r="CA3395" s="501"/>
      <c r="CB3395" s="501"/>
      <c r="CC3395" s="501"/>
      <c r="CD3395" s="501"/>
      <c r="CE3395" s="501"/>
      <c r="CF3395" s="501"/>
      <c r="CG3395" s="501"/>
      <c r="CH3395" s="501"/>
      <c r="CI3395" s="501"/>
      <c r="CJ3395" s="501"/>
      <c r="CK3395" s="501"/>
      <c r="CL3395" s="501"/>
      <c r="CM3395" s="501"/>
      <c r="CN3395" s="501"/>
      <c r="CO3395" s="501"/>
      <c r="CP3395" s="501"/>
      <c r="CQ3395" s="501"/>
      <c r="CR3395" s="501"/>
      <c r="CS3395" s="501"/>
      <c r="CT3395" s="501"/>
      <c r="CU3395" s="501"/>
      <c r="CV3395" s="501"/>
      <c r="CW3395" s="501"/>
      <c r="CX3395" s="501"/>
      <c r="CY3395" s="501"/>
      <c r="CZ3395" s="501"/>
      <c r="DA3395" s="501"/>
      <c r="DB3395" s="501"/>
      <c r="DC3395" s="501"/>
      <c r="DD3395" s="501"/>
      <c r="DE3395" s="501"/>
      <c r="DF3395" s="501"/>
      <c r="DG3395" s="501"/>
      <c r="DH3395" s="501"/>
      <c r="DI3395" s="501"/>
      <c r="DJ3395" s="501"/>
      <c r="DK3395" s="501"/>
      <c r="DL3395" s="501"/>
      <c r="DM3395" s="501"/>
      <c r="DN3395" s="501"/>
      <c r="DO3395" s="501"/>
      <c r="DP3395" s="501"/>
      <c r="DQ3395" s="501"/>
      <c r="DR3395" s="501"/>
      <c r="DS3395" s="501"/>
      <c r="DT3395" s="501"/>
      <c r="DU3395" s="501"/>
      <c r="DV3395" s="501"/>
      <c r="DW3395" s="501"/>
      <c r="DX3395" s="501"/>
      <c r="DY3395" s="501"/>
      <c r="DZ3395" s="501"/>
      <c r="EA3395" s="501"/>
      <c r="EB3395" s="501"/>
      <c r="EC3395" s="501"/>
      <c r="ED3395" s="501"/>
      <c r="EE3395" s="501"/>
      <c r="EF3395" s="501"/>
      <c r="EG3395" s="501"/>
      <c r="EH3395" s="501"/>
      <c r="EI3395" s="501"/>
      <c r="EJ3395" s="501"/>
      <c r="EK3395" s="501"/>
      <c r="EL3395" s="501"/>
      <c r="EM3395" s="501"/>
      <c r="EN3395" s="501"/>
      <c r="EO3395" s="501"/>
      <c r="EP3395" s="501"/>
      <c r="EQ3395" s="501"/>
      <c r="ER3395" s="501"/>
      <c r="ES3395" s="501"/>
      <c r="ET3395" s="501"/>
      <c r="EU3395" s="501"/>
      <c r="EV3395" s="501"/>
      <c r="EW3395" s="501"/>
      <c r="EX3395" s="501"/>
      <c r="EY3395" s="501"/>
      <c r="EZ3395" s="501"/>
      <c r="FA3395" s="501"/>
      <c r="FB3395" s="501"/>
      <c r="FC3395" s="501"/>
      <c r="FD3395" s="501"/>
      <c r="FE3395" s="501"/>
      <c r="FF3395" s="501"/>
      <c r="FG3395" s="501"/>
      <c r="FH3395" s="501"/>
      <c r="FI3395" s="501"/>
      <c r="FJ3395" s="501"/>
      <c r="FK3395" s="501"/>
      <c r="FL3395" s="501"/>
      <c r="FM3395" s="501"/>
      <c r="FN3395" s="501"/>
      <c r="FO3395" s="501"/>
      <c r="FP3395" s="501"/>
      <c r="FQ3395" s="501"/>
      <c r="FR3395" s="501"/>
      <c r="FS3395" s="501"/>
      <c r="FT3395" s="501"/>
      <c r="FU3395" s="501"/>
      <c r="FV3395" s="501"/>
      <c r="FW3395" s="501"/>
      <c r="FX3395" s="501"/>
      <c r="FY3395" s="501"/>
      <c r="FZ3395" s="501"/>
      <c r="GA3395" s="501"/>
      <c r="GB3395" s="501"/>
      <c r="GC3395" s="501"/>
      <c r="GD3395" s="501"/>
      <c r="GE3395" s="501"/>
      <c r="GF3395" s="501"/>
      <c r="GG3395" s="501"/>
      <c r="GH3395" s="501"/>
      <c r="GI3395" s="501"/>
      <c r="GJ3395" s="501"/>
      <c r="GK3395" s="501"/>
      <c r="GL3395" s="501"/>
      <c r="GM3395" s="501"/>
      <c r="GN3395" s="501"/>
      <c r="GO3395" s="501"/>
      <c r="GP3395" s="501"/>
      <c r="GQ3395" s="501"/>
      <c r="GR3395" s="501"/>
      <c r="GS3395" s="501"/>
      <c r="GT3395" s="501"/>
      <c r="GU3395" s="501"/>
      <c r="GV3395" s="501"/>
      <c r="GW3395" s="501"/>
      <c r="GX3395" s="501"/>
      <c r="GY3395" s="501"/>
      <c r="GZ3395" s="501"/>
      <c r="HA3395" s="501"/>
      <c r="HB3395" s="501"/>
      <c r="HC3395" s="501"/>
      <c r="HD3395" s="501"/>
      <c r="HE3395" s="501"/>
      <c r="HF3395" s="501"/>
      <c r="HG3395" s="501"/>
      <c r="HH3395" s="501"/>
      <c r="HI3395" s="501"/>
      <c r="HJ3395" s="501"/>
      <c r="HK3395" s="501"/>
      <c r="HL3395" s="501"/>
      <c r="HM3395" s="501"/>
      <c r="HN3395" s="501"/>
      <c r="HO3395" s="501"/>
      <c r="HP3395" s="501"/>
      <c r="HQ3395" s="501"/>
      <c r="HR3395" s="501"/>
      <c r="HS3395" s="501"/>
      <c r="HT3395" s="501"/>
      <c r="HU3395" s="501"/>
      <c r="HV3395" s="501"/>
      <c r="HW3395" s="501"/>
      <c r="HX3395" s="501"/>
      <c r="HY3395" s="501"/>
      <c r="HZ3395" s="501"/>
      <c r="IA3395" s="501"/>
      <c r="IB3395" s="501"/>
      <c r="IC3395" s="501"/>
      <c r="ID3395" s="501"/>
      <c r="IE3395" s="501"/>
      <c r="IF3395" s="501"/>
      <c r="IG3395" s="501"/>
      <c r="IH3395" s="501"/>
      <c r="II3395" s="501"/>
      <c r="IJ3395" s="501"/>
      <c r="IK3395" s="501"/>
      <c r="IL3395" s="501"/>
      <c r="IM3395" s="501"/>
      <c r="IN3395" s="501"/>
      <c r="IO3395" s="501"/>
      <c r="IP3395" s="501"/>
      <c r="IQ3395" s="501"/>
      <c r="IR3395" s="501"/>
      <c r="IS3395" s="501"/>
      <c r="IT3395" s="501"/>
      <c r="IU3395" s="501"/>
    </row>
    <row r="3396" spans="1:255" s="877" customFormat="1" ht="24" customHeight="1">
      <c r="A3396" s="501"/>
      <c r="B3396" s="501"/>
      <c r="C3396" s="501"/>
      <c r="D3396" s="501"/>
      <c r="E3396" s="501"/>
      <c r="F3396" s="501"/>
      <c r="G3396" s="915"/>
      <c r="H3396" s="501"/>
      <c r="I3396" s="874"/>
      <c r="J3396" s="501"/>
      <c r="K3396" s="501"/>
      <c r="L3396" s="874"/>
      <c r="M3396" s="882"/>
      <c r="N3396" s="501"/>
      <c r="O3396" s="968"/>
      <c r="P3396" s="1152"/>
      <c r="Q3396" s="973"/>
      <c r="R3396" s="968"/>
      <c r="S3396" s="974"/>
      <c r="T3396" s="968"/>
      <c r="V3396" s="501"/>
      <c r="W3396" s="501"/>
      <c r="X3396" s="501"/>
      <c r="Y3396" s="501"/>
      <c r="Z3396" s="501"/>
      <c r="AA3396" s="501"/>
      <c r="AB3396" s="501"/>
      <c r="AC3396" s="501"/>
      <c r="AD3396" s="501"/>
      <c r="AE3396" s="501"/>
      <c r="AF3396" s="501"/>
      <c r="AG3396" s="501"/>
      <c r="AH3396" s="501"/>
      <c r="AI3396" s="501"/>
      <c r="AJ3396" s="501"/>
      <c r="AK3396" s="501"/>
      <c r="AL3396" s="501"/>
      <c r="AM3396" s="501"/>
      <c r="AN3396" s="501"/>
      <c r="AO3396" s="501"/>
      <c r="AP3396" s="501"/>
      <c r="AQ3396" s="501"/>
      <c r="AR3396" s="501"/>
      <c r="AS3396" s="501"/>
      <c r="AT3396" s="501"/>
      <c r="AU3396" s="501"/>
      <c r="AV3396" s="501"/>
      <c r="AW3396" s="501"/>
      <c r="AX3396" s="501"/>
      <c r="AY3396" s="501"/>
      <c r="AZ3396" s="501"/>
      <c r="BA3396" s="501"/>
      <c r="BB3396" s="501"/>
      <c r="BC3396" s="501"/>
      <c r="BD3396" s="501"/>
      <c r="BE3396" s="501"/>
      <c r="BF3396" s="501"/>
      <c r="BG3396" s="501"/>
      <c r="BH3396" s="501"/>
      <c r="BI3396" s="501"/>
      <c r="BJ3396" s="501"/>
      <c r="BK3396" s="501"/>
      <c r="BL3396" s="501"/>
      <c r="BM3396" s="501"/>
      <c r="BN3396" s="501"/>
      <c r="BO3396" s="501"/>
      <c r="BP3396" s="501"/>
      <c r="BQ3396" s="501"/>
      <c r="BR3396" s="501"/>
      <c r="BS3396" s="501"/>
      <c r="BT3396" s="501"/>
      <c r="BU3396" s="501"/>
      <c r="BV3396" s="501"/>
      <c r="BW3396" s="501"/>
      <c r="BX3396" s="501"/>
      <c r="BY3396" s="501"/>
      <c r="BZ3396" s="501"/>
      <c r="CA3396" s="501"/>
      <c r="CB3396" s="501"/>
      <c r="CC3396" s="501"/>
      <c r="CD3396" s="501"/>
      <c r="CE3396" s="501"/>
      <c r="CF3396" s="501"/>
      <c r="CG3396" s="501"/>
      <c r="CH3396" s="501"/>
      <c r="CI3396" s="501"/>
      <c r="CJ3396" s="501"/>
      <c r="CK3396" s="501"/>
      <c r="CL3396" s="501"/>
      <c r="CM3396" s="501"/>
      <c r="CN3396" s="501"/>
      <c r="CO3396" s="501"/>
      <c r="CP3396" s="501"/>
      <c r="CQ3396" s="501"/>
      <c r="CR3396" s="501"/>
      <c r="CS3396" s="501"/>
      <c r="CT3396" s="501"/>
      <c r="CU3396" s="501"/>
      <c r="CV3396" s="501"/>
      <c r="CW3396" s="501"/>
      <c r="CX3396" s="501"/>
      <c r="CY3396" s="501"/>
      <c r="CZ3396" s="501"/>
      <c r="DA3396" s="501"/>
      <c r="DB3396" s="501"/>
      <c r="DC3396" s="501"/>
      <c r="DD3396" s="501"/>
      <c r="DE3396" s="501"/>
      <c r="DF3396" s="501"/>
      <c r="DG3396" s="501"/>
      <c r="DH3396" s="501"/>
      <c r="DI3396" s="501"/>
      <c r="DJ3396" s="501"/>
      <c r="DK3396" s="501"/>
      <c r="DL3396" s="501"/>
      <c r="DM3396" s="501"/>
      <c r="DN3396" s="501"/>
      <c r="DO3396" s="501"/>
      <c r="DP3396" s="501"/>
      <c r="DQ3396" s="501"/>
      <c r="DR3396" s="501"/>
      <c r="DS3396" s="501"/>
      <c r="DT3396" s="501"/>
      <c r="DU3396" s="501"/>
      <c r="DV3396" s="501"/>
      <c r="DW3396" s="501"/>
      <c r="DX3396" s="501"/>
      <c r="DY3396" s="501"/>
      <c r="DZ3396" s="501"/>
      <c r="EA3396" s="501"/>
      <c r="EB3396" s="501"/>
      <c r="EC3396" s="501"/>
      <c r="ED3396" s="501"/>
      <c r="EE3396" s="501"/>
      <c r="EF3396" s="501"/>
      <c r="EG3396" s="501"/>
      <c r="EH3396" s="501"/>
      <c r="EI3396" s="501"/>
      <c r="EJ3396" s="501"/>
      <c r="EK3396" s="501"/>
      <c r="EL3396" s="501"/>
      <c r="EM3396" s="501"/>
      <c r="EN3396" s="501"/>
      <c r="EO3396" s="501"/>
      <c r="EP3396" s="501"/>
      <c r="EQ3396" s="501"/>
      <c r="ER3396" s="501"/>
      <c r="ES3396" s="501"/>
      <c r="ET3396" s="501"/>
      <c r="EU3396" s="501"/>
      <c r="EV3396" s="501"/>
      <c r="EW3396" s="501"/>
      <c r="EX3396" s="501"/>
      <c r="EY3396" s="501"/>
      <c r="EZ3396" s="501"/>
      <c r="FA3396" s="501"/>
      <c r="FB3396" s="501"/>
      <c r="FC3396" s="501"/>
      <c r="FD3396" s="501"/>
      <c r="FE3396" s="501"/>
      <c r="FF3396" s="501"/>
      <c r="FG3396" s="501"/>
      <c r="FH3396" s="501"/>
      <c r="FI3396" s="501"/>
      <c r="FJ3396" s="501"/>
      <c r="FK3396" s="501"/>
      <c r="FL3396" s="501"/>
      <c r="FM3396" s="501"/>
      <c r="FN3396" s="501"/>
      <c r="FO3396" s="501"/>
      <c r="FP3396" s="501"/>
      <c r="FQ3396" s="501"/>
      <c r="FR3396" s="501"/>
      <c r="FS3396" s="501"/>
      <c r="FT3396" s="501"/>
      <c r="FU3396" s="501"/>
      <c r="FV3396" s="501"/>
      <c r="FW3396" s="501"/>
      <c r="FX3396" s="501"/>
      <c r="FY3396" s="501"/>
      <c r="FZ3396" s="501"/>
      <c r="GA3396" s="501"/>
      <c r="GB3396" s="501"/>
      <c r="GC3396" s="501"/>
      <c r="GD3396" s="501"/>
      <c r="GE3396" s="501"/>
      <c r="GF3396" s="501"/>
      <c r="GG3396" s="501"/>
      <c r="GH3396" s="501"/>
      <c r="GI3396" s="501"/>
      <c r="GJ3396" s="501"/>
      <c r="GK3396" s="501"/>
      <c r="GL3396" s="501"/>
      <c r="GM3396" s="501"/>
      <c r="GN3396" s="501"/>
      <c r="GO3396" s="501"/>
      <c r="GP3396" s="501"/>
      <c r="GQ3396" s="501"/>
      <c r="GR3396" s="501"/>
      <c r="GS3396" s="501"/>
      <c r="GT3396" s="501"/>
      <c r="GU3396" s="501"/>
      <c r="GV3396" s="501"/>
      <c r="GW3396" s="501"/>
      <c r="GX3396" s="501"/>
      <c r="GY3396" s="501"/>
      <c r="GZ3396" s="501"/>
      <c r="HA3396" s="501"/>
      <c r="HB3396" s="501"/>
      <c r="HC3396" s="501"/>
      <c r="HD3396" s="501"/>
      <c r="HE3396" s="501"/>
      <c r="HF3396" s="501"/>
      <c r="HG3396" s="501"/>
      <c r="HH3396" s="501"/>
      <c r="HI3396" s="501"/>
      <c r="HJ3396" s="501"/>
      <c r="HK3396" s="501"/>
      <c r="HL3396" s="501"/>
      <c r="HM3396" s="501"/>
      <c r="HN3396" s="501"/>
      <c r="HO3396" s="501"/>
      <c r="HP3396" s="501"/>
      <c r="HQ3396" s="501"/>
      <c r="HR3396" s="501"/>
      <c r="HS3396" s="501"/>
      <c r="HT3396" s="501"/>
      <c r="HU3396" s="501"/>
      <c r="HV3396" s="501"/>
      <c r="HW3396" s="501"/>
      <c r="HX3396" s="501"/>
      <c r="HY3396" s="501"/>
      <c r="HZ3396" s="501"/>
      <c r="IA3396" s="501"/>
      <c r="IB3396" s="501"/>
      <c r="IC3396" s="501"/>
      <c r="ID3396" s="501"/>
      <c r="IE3396" s="501"/>
      <c r="IF3396" s="501"/>
      <c r="IG3396" s="501"/>
      <c r="IH3396" s="501"/>
      <c r="II3396" s="501"/>
      <c r="IJ3396" s="501"/>
      <c r="IK3396" s="501"/>
      <c r="IL3396" s="501"/>
      <c r="IM3396" s="501"/>
      <c r="IN3396" s="501"/>
      <c r="IO3396" s="501"/>
      <c r="IP3396" s="501"/>
      <c r="IQ3396" s="501"/>
      <c r="IR3396" s="501"/>
      <c r="IS3396" s="501"/>
      <c r="IT3396" s="501"/>
      <c r="IU3396" s="501"/>
    </row>
    <row r="3397" spans="1:255" s="877" customFormat="1" ht="24" customHeight="1">
      <c r="A3397" s="501"/>
      <c r="B3397" s="501"/>
      <c r="C3397" s="501"/>
      <c r="D3397" s="501"/>
      <c r="E3397" s="501"/>
      <c r="F3397" s="501"/>
      <c r="G3397" s="915"/>
      <c r="H3397" s="501"/>
      <c r="I3397" s="874"/>
      <c r="J3397" s="501"/>
      <c r="K3397" s="501"/>
      <c r="L3397" s="874"/>
      <c r="M3397" s="554"/>
      <c r="N3397" s="501"/>
      <c r="O3397" s="968"/>
      <c r="P3397" s="1152"/>
      <c r="Q3397" s="973"/>
      <c r="R3397" s="968"/>
      <c r="S3397" s="974"/>
      <c r="T3397" s="968"/>
      <c r="V3397" s="501"/>
      <c r="W3397" s="501"/>
      <c r="X3397" s="501"/>
      <c r="Y3397" s="501"/>
      <c r="Z3397" s="501"/>
      <c r="AA3397" s="501"/>
      <c r="AB3397" s="501"/>
      <c r="AC3397" s="501"/>
      <c r="AD3397" s="501"/>
      <c r="AE3397" s="501"/>
      <c r="AF3397" s="501"/>
      <c r="AG3397" s="501"/>
      <c r="AH3397" s="501"/>
      <c r="AI3397" s="501"/>
      <c r="AJ3397" s="501"/>
      <c r="AK3397" s="501"/>
      <c r="AL3397" s="501"/>
      <c r="AM3397" s="501"/>
      <c r="AN3397" s="501"/>
      <c r="AO3397" s="501"/>
      <c r="AP3397" s="501"/>
      <c r="AQ3397" s="501"/>
      <c r="AR3397" s="501"/>
      <c r="AS3397" s="501"/>
      <c r="AT3397" s="501"/>
      <c r="AU3397" s="501"/>
      <c r="AV3397" s="501"/>
      <c r="AW3397" s="501"/>
      <c r="AX3397" s="501"/>
      <c r="AY3397" s="501"/>
      <c r="AZ3397" s="501"/>
      <c r="BA3397" s="501"/>
      <c r="BB3397" s="501"/>
      <c r="BC3397" s="501"/>
      <c r="BD3397" s="501"/>
      <c r="BE3397" s="501"/>
      <c r="BF3397" s="501"/>
      <c r="BG3397" s="501"/>
      <c r="BH3397" s="501"/>
      <c r="BI3397" s="501"/>
      <c r="BJ3397" s="501"/>
      <c r="BK3397" s="501"/>
      <c r="BL3397" s="501"/>
      <c r="BM3397" s="501"/>
      <c r="BN3397" s="501"/>
      <c r="BO3397" s="501"/>
      <c r="BP3397" s="501"/>
      <c r="BQ3397" s="501"/>
      <c r="BR3397" s="501"/>
      <c r="BS3397" s="501"/>
      <c r="BT3397" s="501"/>
      <c r="BU3397" s="501"/>
      <c r="BV3397" s="501"/>
      <c r="BW3397" s="501"/>
      <c r="BX3397" s="501"/>
      <c r="BY3397" s="501"/>
      <c r="BZ3397" s="501"/>
      <c r="CA3397" s="501"/>
      <c r="CB3397" s="501"/>
      <c r="CC3397" s="501"/>
      <c r="CD3397" s="501"/>
      <c r="CE3397" s="501"/>
      <c r="CF3397" s="501"/>
      <c r="CG3397" s="501"/>
      <c r="CH3397" s="501"/>
      <c r="CI3397" s="501"/>
      <c r="CJ3397" s="501"/>
      <c r="CK3397" s="501"/>
      <c r="CL3397" s="501"/>
      <c r="CM3397" s="501"/>
      <c r="CN3397" s="501"/>
      <c r="CO3397" s="501"/>
      <c r="CP3397" s="501"/>
      <c r="CQ3397" s="501"/>
      <c r="CR3397" s="501"/>
      <c r="CS3397" s="501"/>
      <c r="CT3397" s="501"/>
      <c r="CU3397" s="501"/>
      <c r="CV3397" s="501"/>
      <c r="CW3397" s="501"/>
      <c r="CX3397" s="501"/>
      <c r="CY3397" s="501"/>
      <c r="CZ3397" s="501"/>
      <c r="DA3397" s="501"/>
      <c r="DB3397" s="501"/>
      <c r="DC3397" s="501"/>
      <c r="DD3397" s="501"/>
      <c r="DE3397" s="501"/>
      <c r="DF3397" s="501"/>
      <c r="DG3397" s="501"/>
      <c r="DH3397" s="501"/>
      <c r="DI3397" s="501"/>
      <c r="DJ3397" s="501"/>
      <c r="DK3397" s="501"/>
      <c r="DL3397" s="501"/>
      <c r="DM3397" s="501"/>
      <c r="DN3397" s="501"/>
      <c r="DO3397" s="501"/>
      <c r="DP3397" s="501"/>
      <c r="DQ3397" s="501"/>
      <c r="DR3397" s="501"/>
      <c r="DS3397" s="501"/>
      <c r="DT3397" s="501"/>
      <c r="DU3397" s="501"/>
      <c r="DV3397" s="501"/>
      <c r="DW3397" s="501"/>
      <c r="DX3397" s="501"/>
      <c r="DY3397" s="501"/>
      <c r="DZ3397" s="501"/>
      <c r="EA3397" s="501"/>
      <c r="EB3397" s="501"/>
      <c r="EC3397" s="501"/>
      <c r="ED3397" s="501"/>
      <c r="EE3397" s="501"/>
      <c r="EF3397" s="501"/>
      <c r="EG3397" s="501"/>
      <c r="EH3397" s="501"/>
      <c r="EI3397" s="501"/>
      <c r="EJ3397" s="501"/>
      <c r="EK3397" s="501"/>
      <c r="EL3397" s="501"/>
      <c r="EM3397" s="501"/>
      <c r="EN3397" s="501"/>
      <c r="EO3397" s="501"/>
      <c r="EP3397" s="501"/>
      <c r="EQ3397" s="501"/>
      <c r="ER3397" s="501"/>
      <c r="ES3397" s="501"/>
      <c r="ET3397" s="501"/>
      <c r="EU3397" s="501"/>
      <c r="EV3397" s="501"/>
      <c r="EW3397" s="501"/>
      <c r="EX3397" s="501"/>
      <c r="EY3397" s="501"/>
      <c r="EZ3397" s="501"/>
      <c r="FA3397" s="501"/>
      <c r="FB3397" s="501"/>
      <c r="FC3397" s="501"/>
      <c r="FD3397" s="501"/>
      <c r="FE3397" s="501"/>
      <c r="FF3397" s="501"/>
      <c r="FG3397" s="501"/>
      <c r="FH3397" s="501"/>
      <c r="FI3397" s="501"/>
      <c r="FJ3397" s="501"/>
      <c r="FK3397" s="501"/>
      <c r="FL3397" s="501"/>
      <c r="FM3397" s="501"/>
      <c r="FN3397" s="501"/>
      <c r="FO3397" s="501"/>
      <c r="FP3397" s="501"/>
      <c r="FQ3397" s="501"/>
      <c r="FR3397" s="501"/>
      <c r="FS3397" s="501"/>
      <c r="FT3397" s="501"/>
      <c r="FU3397" s="501"/>
      <c r="FV3397" s="501"/>
      <c r="FW3397" s="501"/>
      <c r="FX3397" s="501"/>
      <c r="FY3397" s="501"/>
      <c r="FZ3397" s="501"/>
      <c r="GA3397" s="501"/>
      <c r="GB3397" s="501"/>
      <c r="GC3397" s="501"/>
      <c r="GD3397" s="501"/>
      <c r="GE3397" s="501"/>
      <c r="GF3397" s="501"/>
      <c r="GG3397" s="501"/>
      <c r="GH3397" s="501"/>
      <c r="GI3397" s="501"/>
      <c r="GJ3397" s="501"/>
      <c r="GK3397" s="501"/>
      <c r="GL3397" s="501"/>
      <c r="GM3397" s="501"/>
      <c r="GN3397" s="501"/>
      <c r="GO3397" s="501"/>
      <c r="GP3397" s="501"/>
      <c r="GQ3397" s="501"/>
      <c r="GR3397" s="501"/>
      <c r="GS3397" s="501"/>
      <c r="GT3397" s="501"/>
      <c r="GU3397" s="501"/>
      <c r="GV3397" s="501"/>
      <c r="GW3397" s="501"/>
      <c r="GX3397" s="501"/>
      <c r="GY3397" s="501"/>
      <c r="GZ3397" s="501"/>
      <c r="HA3397" s="501"/>
      <c r="HB3397" s="501"/>
      <c r="HC3397" s="501"/>
      <c r="HD3397" s="501"/>
      <c r="HE3397" s="501"/>
      <c r="HF3397" s="501"/>
      <c r="HG3397" s="501"/>
      <c r="HH3397" s="501"/>
      <c r="HI3397" s="501"/>
      <c r="HJ3397" s="501"/>
      <c r="HK3397" s="501"/>
      <c r="HL3397" s="501"/>
      <c r="HM3397" s="501"/>
      <c r="HN3397" s="501"/>
      <c r="HO3397" s="501"/>
      <c r="HP3397" s="501"/>
      <c r="HQ3397" s="501"/>
      <c r="HR3397" s="501"/>
      <c r="HS3397" s="501"/>
      <c r="HT3397" s="501"/>
      <c r="HU3397" s="501"/>
      <c r="HV3397" s="501"/>
      <c r="HW3397" s="501"/>
      <c r="HX3397" s="501"/>
      <c r="HY3397" s="501"/>
      <c r="HZ3397" s="501"/>
      <c r="IA3397" s="501"/>
      <c r="IB3397" s="501"/>
      <c r="IC3397" s="501"/>
      <c r="ID3397" s="501"/>
      <c r="IE3397" s="501"/>
      <c r="IF3397" s="501"/>
      <c r="IG3397" s="501"/>
      <c r="IH3397" s="501"/>
      <c r="II3397" s="501"/>
      <c r="IJ3397" s="501"/>
      <c r="IK3397" s="501"/>
      <c r="IL3397" s="501"/>
      <c r="IM3397" s="501"/>
      <c r="IN3397" s="501"/>
      <c r="IO3397" s="501"/>
      <c r="IP3397" s="501"/>
      <c r="IQ3397" s="501"/>
      <c r="IR3397" s="501"/>
      <c r="IS3397" s="501"/>
      <c r="IT3397" s="501"/>
      <c r="IU3397" s="501"/>
    </row>
    <row r="3398" spans="1:255" s="877" customFormat="1" ht="24" customHeight="1">
      <c r="A3398" s="501"/>
      <c r="B3398" s="501"/>
      <c r="C3398" s="501"/>
      <c r="D3398" s="501"/>
      <c r="E3398" s="501"/>
      <c r="F3398" s="501"/>
      <c r="G3398" s="915"/>
      <c r="H3398" s="501"/>
      <c r="I3398" s="874"/>
      <c r="J3398" s="501"/>
      <c r="K3398" s="501"/>
      <c r="L3398" s="874"/>
      <c r="M3398" s="554"/>
      <c r="N3398" s="501"/>
      <c r="O3398" s="968"/>
      <c r="P3398" s="1152"/>
      <c r="Q3398" s="1097"/>
      <c r="R3398" s="1097"/>
      <c r="S3398" s="1101"/>
      <c r="T3398" s="968"/>
      <c r="V3398" s="501"/>
      <c r="W3398" s="501"/>
      <c r="X3398" s="501"/>
      <c r="Y3398" s="501"/>
      <c r="Z3398" s="501"/>
      <c r="AA3398" s="501"/>
      <c r="AB3398" s="501"/>
      <c r="AC3398" s="501"/>
      <c r="AD3398" s="501"/>
      <c r="AE3398" s="501"/>
      <c r="AF3398" s="501"/>
      <c r="AG3398" s="501"/>
      <c r="AH3398" s="501"/>
      <c r="AI3398" s="501"/>
      <c r="AJ3398" s="501"/>
      <c r="AK3398" s="501"/>
      <c r="AL3398" s="501"/>
      <c r="AM3398" s="501"/>
      <c r="AN3398" s="501"/>
      <c r="AO3398" s="501"/>
      <c r="AP3398" s="501"/>
      <c r="AQ3398" s="501"/>
      <c r="AR3398" s="501"/>
      <c r="AS3398" s="501"/>
      <c r="AT3398" s="501"/>
      <c r="AU3398" s="501"/>
      <c r="AV3398" s="501"/>
      <c r="AW3398" s="501"/>
      <c r="AX3398" s="501"/>
      <c r="AY3398" s="501"/>
      <c r="AZ3398" s="501"/>
      <c r="BA3398" s="501"/>
      <c r="BB3398" s="501"/>
      <c r="BC3398" s="501"/>
      <c r="BD3398" s="501"/>
      <c r="BE3398" s="501"/>
      <c r="BF3398" s="501"/>
      <c r="BG3398" s="501"/>
      <c r="BH3398" s="501"/>
      <c r="BI3398" s="501"/>
      <c r="BJ3398" s="501"/>
      <c r="BK3398" s="501"/>
      <c r="BL3398" s="501"/>
      <c r="BM3398" s="501"/>
      <c r="BN3398" s="501"/>
      <c r="BO3398" s="501"/>
      <c r="BP3398" s="501"/>
      <c r="BQ3398" s="501"/>
      <c r="BR3398" s="501"/>
      <c r="BS3398" s="501"/>
      <c r="BT3398" s="501"/>
      <c r="BU3398" s="501"/>
      <c r="BV3398" s="501"/>
      <c r="BW3398" s="501"/>
      <c r="BX3398" s="501"/>
      <c r="BY3398" s="501"/>
      <c r="BZ3398" s="501"/>
      <c r="CA3398" s="501"/>
      <c r="CB3398" s="501"/>
      <c r="CC3398" s="501"/>
      <c r="CD3398" s="501"/>
      <c r="CE3398" s="501"/>
      <c r="CF3398" s="501"/>
      <c r="CG3398" s="501"/>
      <c r="CH3398" s="501"/>
      <c r="CI3398" s="501"/>
      <c r="CJ3398" s="501"/>
      <c r="CK3398" s="501"/>
      <c r="CL3398" s="501"/>
      <c r="CM3398" s="501"/>
      <c r="CN3398" s="501"/>
      <c r="CO3398" s="501"/>
      <c r="CP3398" s="501"/>
      <c r="CQ3398" s="501"/>
      <c r="CR3398" s="501"/>
      <c r="CS3398" s="501"/>
      <c r="CT3398" s="501"/>
      <c r="CU3398" s="501"/>
      <c r="CV3398" s="501"/>
      <c r="CW3398" s="501"/>
      <c r="CX3398" s="501"/>
      <c r="CY3398" s="501"/>
      <c r="CZ3398" s="501"/>
      <c r="DA3398" s="501"/>
      <c r="DB3398" s="501"/>
      <c r="DC3398" s="501"/>
      <c r="DD3398" s="501"/>
      <c r="DE3398" s="501"/>
      <c r="DF3398" s="501"/>
      <c r="DG3398" s="501"/>
      <c r="DH3398" s="501"/>
      <c r="DI3398" s="501"/>
      <c r="DJ3398" s="501"/>
      <c r="DK3398" s="501"/>
      <c r="DL3398" s="501"/>
      <c r="DM3398" s="501"/>
      <c r="DN3398" s="501"/>
      <c r="DO3398" s="501"/>
      <c r="DP3398" s="501"/>
      <c r="DQ3398" s="501"/>
      <c r="DR3398" s="501"/>
      <c r="DS3398" s="501"/>
      <c r="DT3398" s="501"/>
      <c r="DU3398" s="501"/>
      <c r="DV3398" s="501"/>
      <c r="DW3398" s="501"/>
      <c r="DX3398" s="501"/>
      <c r="DY3398" s="501"/>
      <c r="DZ3398" s="501"/>
      <c r="EA3398" s="501"/>
      <c r="EB3398" s="501"/>
      <c r="EC3398" s="501"/>
      <c r="ED3398" s="501"/>
      <c r="EE3398" s="501"/>
      <c r="EF3398" s="501"/>
      <c r="EG3398" s="501"/>
      <c r="EH3398" s="501"/>
      <c r="EI3398" s="501"/>
      <c r="EJ3398" s="501"/>
      <c r="EK3398" s="501"/>
      <c r="EL3398" s="501"/>
      <c r="EM3398" s="501"/>
      <c r="EN3398" s="501"/>
      <c r="EO3398" s="501"/>
      <c r="EP3398" s="501"/>
      <c r="EQ3398" s="501"/>
      <c r="ER3398" s="501"/>
      <c r="ES3398" s="501"/>
      <c r="ET3398" s="501"/>
      <c r="EU3398" s="501"/>
      <c r="EV3398" s="501"/>
      <c r="EW3398" s="501"/>
      <c r="EX3398" s="501"/>
      <c r="EY3398" s="501"/>
      <c r="EZ3398" s="501"/>
      <c r="FA3398" s="501"/>
      <c r="FB3398" s="501"/>
      <c r="FC3398" s="501"/>
      <c r="FD3398" s="501"/>
      <c r="FE3398" s="501"/>
      <c r="FF3398" s="501"/>
      <c r="FG3398" s="501"/>
      <c r="FH3398" s="501"/>
      <c r="FI3398" s="501"/>
      <c r="FJ3398" s="501"/>
      <c r="FK3398" s="501"/>
      <c r="FL3398" s="501"/>
      <c r="FM3398" s="501"/>
      <c r="FN3398" s="501"/>
      <c r="FO3398" s="501"/>
      <c r="FP3398" s="501"/>
      <c r="FQ3398" s="501"/>
      <c r="FR3398" s="501"/>
      <c r="FS3398" s="501"/>
      <c r="FT3398" s="501"/>
      <c r="FU3398" s="501"/>
      <c r="FV3398" s="501"/>
      <c r="FW3398" s="501"/>
      <c r="FX3398" s="501"/>
      <c r="FY3398" s="501"/>
      <c r="FZ3398" s="501"/>
      <c r="GA3398" s="501"/>
      <c r="GB3398" s="501"/>
      <c r="GC3398" s="501"/>
      <c r="GD3398" s="501"/>
      <c r="GE3398" s="501"/>
      <c r="GF3398" s="501"/>
      <c r="GG3398" s="501"/>
      <c r="GH3398" s="501"/>
      <c r="GI3398" s="501"/>
      <c r="GJ3398" s="501"/>
      <c r="GK3398" s="501"/>
      <c r="GL3398" s="501"/>
      <c r="GM3398" s="501"/>
      <c r="GN3398" s="501"/>
      <c r="GO3398" s="501"/>
      <c r="GP3398" s="501"/>
      <c r="GQ3398" s="501"/>
      <c r="GR3398" s="501"/>
      <c r="GS3398" s="501"/>
      <c r="GT3398" s="501"/>
      <c r="GU3398" s="501"/>
      <c r="GV3398" s="501"/>
      <c r="GW3398" s="501"/>
      <c r="GX3398" s="501"/>
      <c r="GY3398" s="501"/>
      <c r="GZ3398" s="501"/>
      <c r="HA3398" s="501"/>
      <c r="HB3398" s="501"/>
      <c r="HC3398" s="501"/>
      <c r="HD3398" s="501"/>
      <c r="HE3398" s="501"/>
      <c r="HF3398" s="501"/>
      <c r="HG3398" s="501"/>
      <c r="HH3398" s="501"/>
      <c r="HI3398" s="501"/>
      <c r="HJ3398" s="501"/>
      <c r="HK3398" s="501"/>
      <c r="HL3398" s="501"/>
      <c r="HM3398" s="501"/>
      <c r="HN3398" s="501"/>
      <c r="HO3398" s="501"/>
      <c r="HP3398" s="501"/>
      <c r="HQ3398" s="501"/>
      <c r="HR3398" s="501"/>
      <c r="HS3398" s="501"/>
      <c r="HT3398" s="501"/>
      <c r="HU3398" s="501"/>
      <c r="HV3398" s="501"/>
      <c r="HW3398" s="501"/>
      <c r="HX3398" s="501"/>
      <c r="HY3398" s="501"/>
      <c r="HZ3398" s="501"/>
      <c r="IA3398" s="501"/>
      <c r="IB3398" s="501"/>
      <c r="IC3398" s="501"/>
      <c r="ID3398" s="501"/>
      <c r="IE3398" s="501"/>
      <c r="IF3398" s="501"/>
      <c r="IG3398" s="501"/>
      <c r="IH3398" s="501"/>
      <c r="II3398" s="501"/>
      <c r="IJ3398" s="501"/>
      <c r="IK3398" s="501"/>
      <c r="IL3398" s="501"/>
      <c r="IM3398" s="501"/>
      <c r="IN3398" s="501"/>
      <c r="IO3398" s="501"/>
      <c r="IP3398" s="501"/>
      <c r="IQ3398" s="501"/>
      <c r="IR3398" s="501"/>
      <c r="IS3398" s="501"/>
      <c r="IT3398" s="501"/>
      <c r="IU3398" s="501"/>
    </row>
    <row r="3399" spans="1:255" s="877" customFormat="1" ht="24" customHeight="1">
      <c r="A3399" s="501"/>
      <c r="B3399" s="501"/>
      <c r="C3399" s="501"/>
      <c r="D3399" s="501"/>
      <c r="E3399" s="501"/>
      <c r="F3399" s="501"/>
      <c r="G3399" s="915"/>
      <c r="H3399" s="501"/>
      <c r="I3399" s="874"/>
      <c r="J3399" s="501"/>
      <c r="K3399" s="501"/>
      <c r="L3399" s="874"/>
      <c r="M3399" s="554"/>
      <c r="N3399" s="501"/>
      <c r="O3399" s="1097"/>
      <c r="P3399" s="1151"/>
      <c r="Q3399" s="1097"/>
      <c r="R3399" s="1097"/>
      <c r="S3399" s="1101"/>
      <c r="T3399" s="1106"/>
      <c r="V3399" s="501"/>
      <c r="W3399" s="501"/>
      <c r="X3399" s="501"/>
      <c r="Y3399" s="501"/>
      <c r="Z3399" s="501"/>
      <c r="AA3399" s="501"/>
      <c r="AB3399" s="501"/>
      <c r="AC3399" s="501"/>
      <c r="AD3399" s="501"/>
      <c r="AE3399" s="501"/>
      <c r="AF3399" s="501"/>
      <c r="AG3399" s="501"/>
      <c r="AH3399" s="501"/>
      <c r="AI3399" s="501"/>
      <c r="AJ3399" s="501"/>
      <c r="AK3399" s="501"/>
      <c r="AL3399" s="501"/>
      <c r="AM3399" s="501"/>
      <c r="AN3399" s="501"/>
      <c r="AO3399" s="501"/>
      <c r="AP3399" s="501"/>
      <c r="AQ3399" s="501"/>
      <c r="AR3399" s="501"/>
      <c r="AS3399" s="501"/>
      <c r="AT3399" s="501"/>
      <c r="AU3399" s="501"/>
      <c r="AV3399" s="501"/>
      <c r="AW3399" s="501"/>
      <c r="AX3399" s="501"/>
      <c r="AY3399" s="501"/>
      <c r="AZ3399" s="501"/>
      <c r="BA3399" s="501"/>
      <c r="BB3399" s="501"/>
      <c r="BC3399" s="501"/>
      <c r="BD3399" s="501"/>
      <c r="BE3399" s="501"/>
      <c r="BF3399" s="501"/>
      <c r="BG3399" s="501"/>
      <c r="BH3399" s="501"/>
      <c r="BI3399" s="501"/>
      <c r="BJ3399" s="501"/>
      <c r="BK3399" s="501"/>
      <c r="BL3399" s="501"/>
      <c r="BM3399" s="501"/>
      <c r="BN3399" s="501"/>
      <c r="BO3399" s="501"/>
      <c r="BP3399" s="501"/>
      <c r="BQ3399" s="501"/>
      <c r="BR3399" s="501"/>
      <c r="BS3399" s="501"/>
      <c r="BT3399" s="501"/>
      <c r="BU3399" s="501"/>
      <c r="BV3399" s="501"/>
      <c r="BW3399" s="501"/>
      <c r="BX3399" s="501"/>
      <c r="BY3399" s="501"/>
      <c r="BZ3399" s="501"/>
      <c r="CA3399" s="501"/>
      <c r="CB3399" s="501"/>
      <c r="CC3399" s="501"/>
      <c r="CD3399" s="501"/>
      <c r="CE3399" s="501"/>
      <c r="CF3399" s="501"/>
      <c r="CG3399" s="501"/>
      <c r="CH3399" s="501"/>
      <c r="CI3399" s="501"/>
      <c r="CJ3399" s="501"/>
      <c r="CK3399" s="501"/>
      <c r="CL3399" s="501"/>
      <c r="CM3399" s="501"/>
      <c r="CN3399" s="501"/>
      <c r="CO3399" s="501"/>
      <c r="CP3399" s="501"/>
      <c r="CQ3399" s="501"/>
      <c r="CR3399" s="501"/>
      <c r="CS3399" s="501"/>
      <c r="CT3399" s="501"/>
      <c r="CU3399" s="501"/>
      <c r="CV3399" s="501"/>
      <c r="CW3399" s="501"/>
      <c r="CX3399" s="501"/>
      <c r="CY3399" s="501"/>
      <c r="CZ3399" s="501"/>
      <c r="DA3399" s="501"/>
      <c r="DB3399" s="501"/>
      <c r="DC3399" s="501"/>
      <c r="DD3399" s="501"/>
      <c r="DE3399" s="501"/>
      <c r="DF3399" s="501"/>
      <c r="DG3399" s="501"/>
      <c r="DH3399" s="501"/>
      <c r="DI3399" s="501"/>
      <c r="DJ3399" s="501"/>
      <c r="DK3399" s="501"/>
      <c r="DL3399" s="501"/>
      <c r="DM3399" s="501"/>
      <c r="DN3399" s="501"/>
      <c r="DO3399" s="501"/>
      <c r="DP3399" s="501"/>
      <c r="DQ3399" s="501"/>
      <c r="DR3399" s="501"/>
      <c r="DS3399" s="501"/>
      <c r="DT3399" s="501"/>
      <c r="DU3399" s="501"/>
      <c r="DV3399" s="501"/>
      <c r="DW3399" s="501"/>
      <c r="DX3399" s="501"/>
      <c r="DY3399" s="501"/>
      <c r="DZ3399" s="501"/>
      <c r="EA3399" s="501"/>
      <c r="EB3399" s="501"/>
      <c r="EC3399" s="501"/>
      <c r="ED3399" s="501"/>
      <c r="EE3399" s="501"/>
      <c r="EF3399" s="501"/>
      <c r="EG3399" s="501"/>
      <c r="EH3399" s="501"/>
      <c r="EI3399" s="501"/>
      <c r="EJ3399" s="501"/>
      <c r="EK3399" s="501"/>
      <c r="EL3399" s="501"/>
      <c r="EM3399" s="501"/>
      <c r="EN3399" s="501"/>
      <c r="EO3399" s="501"/>
      <c r="EP3399" s="501"/>
      <c r="EQ3399" s="501"/>
      <c r="ER3399" s="501"/>
      <c r="ES3399" s="501"/>
      <c r="ET3399" s="501"/>
      <c r="EU3399" s="501"/>
      <c r="EV3399" s="501"/>
      <c r="EW3399" s="501"/>
      <c r="EX3399" s="501"/>
      <c r="EY3399" s="501"/>
      <c r="EZ3399" s="501"/>
      <c r="FA3399" s="501"/>
      <c r="FB3399" s="501"/>
      <c r="FC3399" s="501"/>
      <c r="FD3399" s="501"/>
      <c r="FE3399" s="501"/>
      <c r="FF3399" s="501"/>
      <c r="FG3399" s="501"/>
      <c r="FH3399" s="501"/>
      <c r="FI3399" s="501"/>
      <c r="FJ3399" s="501"/>
      <c r="FK3399" s="501"/>
      <c r="FL3399" s="501"/>
      <c r="FM3399" s="501"/>
      <c r="FN3399" s="501"/>
      <c r="FO3399" s="501"/>
      <c r="FP3399" s="501"/>
      <c r="FQ3399" s="501"/>
      <c r="FR3399" s="501"/>
      <c r="FS3399" s="501"/>
      <c r="FT3399" s="501"/>
      <c r="FU3399" s="501"/>
      <c r="FV3399" s="501"/>
      <c r="FW3399" s="501"/>
      <c r="FX3399" s="501"/>
      <c r="FY3399" s="501"/>
      <c r="FZ3399" s="501"/>
      <c r="GA3399" s="501"/>
      <c r="GB3399" s="501"/>
      <c r="GC3399" s="501"/>
      <c r="GD3399" s="501"/>
      <c r="GE3399" s="501"/>
      <c r="GF3399" s="501"/>
      <c r="GG3399" s="501"/>
      <c r="GH3399" s="501"/>
      <c r="GI3399" s="501"/>
      <c r="GJ3399" s="501"/>
      <c r="GK3399" s="501"/>
      <c r="GL3399" s="501"/>
      <c r="GM3399" s="501"/>
      <c r="GN3399" s="501"/>
      <c r="GO3399" s="501"/>
      <c r="GP3399" s="501"/>
      <c r="GQ3399" s="501"/>
      <c r="GR3399" s="501"/>
      <c r="GS3399" s="501"/>
      <c r="GT3399" s="501"/>
      <c r="GU3399" s="501"/>
      <c r="GV3399" s="501"/>
      <c r="GW3399" s="501"/>
      <c r="GX3399" s="501"/>
      <c r="GY3399" s="501"/>
      <c r="GZ3399" s="501"/>
      <c r="HA3399" s="501"/>
      <c r="HB3399" s="501"/>
      <c r="HC3399" s="501"/>
      <c r="HD3399" s="501"/>
      <c r="HE3399" s="501"/>
      <c r="HF3399" s="501"/>
      <c r="HG3399" s="501"/>
      <c r="HH3399" s="501"/>
      <c r="HI3399" s="501"/>
      <c r="HJ3399" s="501"/>
      <c r="HK3399" s="501"/>
      <c r="HL3399" s="501"/>
      <c r="HM3399" s="501"/>
      <c r="HN3399" s="501"/>
      <c r="HO3399" s="501"/>
      <c r="HP3399" s="501"/>
      <c r="HQ3399" s="501"/>
      <c r="HR3399" s="501"/>
      <c r="HS3399" s="501"/>
      <c r="HT3399" s="501"/>
      <c r="HU3399" s="501"/>
      <c r="HV3399" s="501"/>
      <c r="HW3399" s="501"/>
      <c r="HX3399" s="501"/>
      <c r="HY3399" s="501"/>
      <c r="HZ3399" s="501"/>
      <c r="IA3399" s="501"/>
      <c r="IB3399" s="501"/>
      <c r="IC3399" s="501"/>
      <c r="ID3399" s="501"/>
      <c r="IE3399" s="501"/>
      <c r="IF3399" s="501"/>
      <c r="IG3399" s="501"/>
      <c r="IH3399" s="501"/>
      <c r="II3399" s="501"/>
      <c r="IJ3399" s="501"/>
      <c r="IK3399" s="501"/>
      <c r="IL3399" s="501"/>
      <c r="IM3399" s="501"/>
      <c r="IN3399" s="501"/>
      <c r="IO3399" s="501"/>
      <c r="IP3399" s="501"/>
      <c r="IQ3399" s="501"/>
      <c r="IR3399" s="501"/>
      <c r="IS3399" s="501"/>
      <c r="IT3399" s="501"/>
      <c r="IU3399" s="501"/>
    </row>
    <row r="3400" spans="1:255" s="877" customFormat="1" ht="24" customHeight="1">
      <c r="A3400" s="501"/>
      <c r="B3400" s="501"/>
      <c r="C3400" s="501"/>
      <c r="D3400" s="501"/>
      <c r="E3400" s="501"/>
      <c r="F3400" s="501"/>
      <c r="G3400" s="915"/>
      <c r="H3400" s="501"/>
      <c r="I3400" s="874"/>
      <c r="J3400" s="501"/>
      <c r="K3400" s="501"/>
      <c r="L3400" s="874"/>
      <c r="M3400" s="554"/>
      <c r="N3400" s="501"/>
      <c r="O3400" s="1097"/>
      <c r="P3400" s="1151"/>
      <c r="Q3400" s="973"/>
      <c r="R3400" s="1097"/>
      <c r="S3400" s="1101"/>
      <c r="T3400" s="968"/>
      <c r="V3400" s="501"/>
      <c r="W3400" s="501"/>
      <c r="X3400" s="501"/>
      <c r="Y3400" s="501"/>
      <c r="Z3400" s="501"/>
      <c r="AA3400" s="501"/>
      <c r="AB3400" s="501"/>
      <c r="AC3400" s="501"/>
      <c r="AD3400" s="501"/>
      <c r="AE3400" s="501"/>
      <c r="AF3400" s="501"/>
      <c r="AG3400" s="501"/>
      <c r="AH3400" s="501"/>
      <c r="AI3400" s="501"/>
      <c r="AJ3400" s="501"/>
      <c r="AK3400" s="501"/>
      <c r="AL3400" s="501"/>
      <c r="AM3400" s="501"/>
      <c r="AN3400" s="501"/>
      <c r="AO3400" s="501"/>
      <c r="AP3400" s="501"/>
      <c r="AQ3400" s="501"/>
      <c r="AR3400" s="501"/>
      <c r="AS3400" s="501"/>
      <c r="AT3400" s="501"/>
      <c r="AU3400" s="501"/>
      <c r="AV3400" s="501"/>
      <c r="AW3400" s="501"/>
      <c r="AX3400" s="501"/>
      <c r="AY3400" s="501"/>
      <c r="AZ3400" s="501"/>
      <c r="BA3400" s="501"/>
      <c r="BB3400" s="501"/>
      <c r="BC3400" s="501"/>
      <c r="BD3400" s="501"/>
      <c r="BE3400" s="501"/>
      <c r="BF3400" s="501"/>
      <c r="BG3400" s="501"/>
      <c r="BH3400" s="501"/>
      <c r="BI3400" s="501"/>
      <c r="BJ3400" s="501"/>
      <c r="BK3400" s="501"/>
      <c r="BL3400" s="501"/>
      <c r="BM3400" s="501"/>
      <c r="BN3400" s="501"/>
      <c r="BO3400" s="501"/>
      <c r="BP3400" s="501"/>
      <c r="BQ3400" s="501"/>
      <c r="BR3400" s="501"/>
      <c r="BS3400" s="501"/>
      <c r="BT3400" s="501"/>
      <c r="BU3400" s="501"/>
      <c r="BV3400" s="501"/>
      <c r="BW3400" s="501"/>
      <c r="BX3400" s="501"/>
      <c r="BY3400" s="501"/>
      <c r="BZ3400" s="501"/>
      <c r="CA3400" s="501"/>
      <c r="CB3400" s="501"/>
      <c r="CC3400" s="501"/>
      <c r="CD3400" s="501"/>
      <c r="CE3400" s="501"/>
      <c r="CF3400" s="501"/>
      <c r="CG3400" s="501"/>
      <c r="CH3400" s="501"/>
      <c r="CI3400" s="501"/>
      <c r="CJ3400" s="501"/>
      <c r="CK3400" s="501"/>
      <c r="CL3400" s="501"/>
      <c r="CM3400" s="501"/>
      <c r="CN3400" s="501"/>
      <c r="CO3400" s="501"/>
      <c r="CP3400" s="501"/>
      <c r="CQ3400" s="501"/>
      <c r="CR3400" s="501"/>
      <c r="CS3400" s="501"/>
      <c r="CT3400" s="501"/>
      <c r="CU3400" s="501"/>
      <c r="CV3400" s="501"/>
      <c r="CW3400" s="501"/>
      <c r="CX3400" s="501"/>
      <c r="CY3400" s="501"/>
      <c r="CZ3400" s="501"/>
      <c r="DA3400" s="501"/>
      <c r="DB3400" s="501"/>
      <c r="DC3400" s="501"/>
      <c r="DD3400" s="501"/>
      <c r="DE3400" s="501"/>
      <c r="DF3400" s="501"/>
      <c r="DG3400" s="501"/>
      <c r="DH3400" s="501"/>
      <c r="DI3400" s="501"/>
      <c r="DJ3400" s="501"/>
      <c r="DK3400" s="501"/>
      <c r="DL3400" s="501"/>
      <c r="DM3400" s="501"/>
      <c r="DN3400" s="501"/>
      <c r="DO3400" s="501"/>
      <c r="DP3400" s="501"/>
      <c r="DQ3400" s="501"/>
      <c r="DR3400" s="501"/>
      <c r="DS3400" s="501"/>
      <c r="DT3400" s="501"/>
      <c r="DU3400" s="501"/>
      <c r="DV3400" s="501"/>
      <c r="DW3400" s="501"/>
      <c r="DX3400" s="501"/>
      <c r="DY3400" s="501"/>
      <c r="DZ3400" s="501"/>
      <c r="EA3400" s="501"/>
      <c r="EB3400" s="501"/>
      <c r="EC3400" s="501"/>
      <c r="ED3400" s="501"/>
      <c r="EE3400" s="501"/>
      <c r="EF3400" s="501"/>
      <c r="EG3400" s="501"/>
      <c r="EH3400" s="501"/>
      <c r="EI3400" s="501"/>
      <c r="EJ3400" s="501"/>
      <c r="EK3400" s="501"/>
      <c r="EL3400" s="501"/>
      <c r="EM3400" s="501"/>
      <c r="EN3400" s="501"/>
      <c r="EO3400" s="501"/>
      <c r="EP3400" s="501"/>
      <c r="EQ3400" s="501"/>
      <c r="ER3400" s="501"/>
      <c r="ES3400" s="501"/>
      <c r="ET3400" s="501"/>
      <c r="EU3400" s="501"/>
      <c r="EV3400" s="501"/>
      <c r="EW3400" s="501"/>
      <c r="EX3400" s="501"/>
      <c r="EY3400" s="501"/>
      <c r="EZ3400" s="501"/>
      <c r="FA3400" s="501"/>
      <c r="FB3400" s="501"/>
      <c r="FC3400" s="501"/>
      <c r="FD3400" s="501"/>
      <c r="FE3400" s="501"/>
      <c r="FF3400" s="501"/>
      <c r="FG3400" s="501"/>
      <c r="FH3400" s="501"/>
      <c r="FI3400" s="501"/>
      <c r="FJ3400" s="501"/>
      <c r="FK3400" s="501"/>
      <c r="FL3400" s="501"/>
      <c r="FM3400" s="501"/>
      <c r="FN3400" s="501"/>
      <c r="FO3400" s="501"/>
      <c r="FP3400" s="501"/>
      <c r="FQ3400" s="501"/>
      <c r="FR3400" s="501"/>
      <c r="FS3400" s="501"/>
      <c r="FT3400" s="501"/>
      <c r="FU3400" s="501"/>
      <c r="FV3400" s="501"/>
      <c r="FW3400" s="501"/>
      <c r="FX3400" s="501"/>
      <c r="FY3400" s="501"/>
      <c r="FZ3400" s="501"/>
      <c r="GA3400" s="501"/>
      <c r="GB3400" s="501"/>
      <c r="GC3400" s="501"/>
      <c r="GD3400" s="501"/>
      <c r="GE3400" s="501"/>
      <c r="GF3400" s="501"/>
      <c r="GG3400" s="501"/>
      <c r="GH3400" s="501"/>
      <c r="GI3400" s="501"/>
      <c r="GJ3400" s="501"/>
      <c r="GK3400" s="501"/>
      <c r="GL3400" s="501"/>
      <c r="GM3400" s="501"/>
      <c r="GN3400" s="501"/>
      <c r="GO3400" s="501"/>
      <c r="GP3400" s="501"/>
      <c r="GQ3400" s="501"/>
      <c r="GR3400" s="501"/>
      <c r="GS3400" s="501"/>
      <c r="GT3400" s="501"/>
      <c r="GU3400" s="501"/>
      <c r="GV3400" s="501"/>
      <c r="GW3400" s="501"/>
      <c r="GX3400" s="501"/>
      <c r="GY3400" s="501"/>
      <c r="GZ3400" s="501"/>
      <c r="HA3400" s="501"/>
      <c r="HB3400" s="501"/>
      <c r="HC3400" s="501"/>
      <c r="HD3400" s="501"/>
      <c r="HE3400" s="501"/>
      <c r="HF3400" s="501"/>
      <c r="HG3400" s="501"/>
      <c r="HH3400" s="501"/>
      <c r="HI3400" s="501"/>
      <c r="HJ3400" s="501"/>
      <c r="HK3400" s="501"/>
      <c r="HL3400" s="501"/>
      <c r="HM3400" s="501"/>
      <c r="HN3400" s="501"/>
      <c r="HO3400" s="501"/>
      <c r="HP3400" s="501"/>
      <c r="HQ3400" s="501"/>
      <c r="HR3400" s="501"/>
      <c r="HS3400" s="501"/>
      <c r="HT3400" s="501"/>
      <c r="HU3400" s="501"/>
      <c r="HV3400" s="501"/>
      <c r="HW3400" s="501"/>
      <c r="HX3400" s="501"/>
      <c r="HY3400" s="501"/>
      <c r="HZ3400" s="501"/>
      <c r="IA3400" s="501"/>
      <c r="IB3400" s="501"/>
      <c r="IC3400" s="501"/>
      <c r="ID3400" s="501"/>
      <c r="IE3400" s="501"/>
      <c r="IF3400" s="501"/>
      <c r="IG3400" s="501"/>
      <c r="IH3400" s="501"/>
      <c r="II3400" s="501"/>
      <c r="IJ3400" s="501"/>
      <c r="IK3400" s="501"/>
      <c r="IL3400" s="501"/>
      <c r="IM3400" s="501"/>
      <c r="IN3400" s="501"/>
      <c r="IO3400" s="501"/>
      <c r="IP3400" s="501"/>
      <c r="IQ3400" s="501"/>
      <c r="IR3400" s="501"/>
      <c r="IS3400" s="501"/>
      <c r="IT3400" s="501"/>
      <c r="IU3400" s="501"/>
    </row>
    <row r="3401" spans="1:255" s="877" customFormat="1" ht="24" customHeight="1">
      <c r="A3401" s="501"/>
      <c r="B3401" s="501"/>
      <c r="C3401" s="501"/>
      <c r="D3401" s="501"/>
      <c r="E3401" s="501"/>
      <c r="F3401" s="501"/>
      <c r="G3401" s="915"/>
      <c r="H3401" s="501"/>
      <c r="I3401" s="874"/>
      <c r="J3401" s="501"/>
      <c r="K3401" s="501"/>
      <c r="L3401" s="874"/>
      <c r="M3401" s="554"/>
      <c r="N3401" s="501"/>
      <c r="O3401" s="1097"/>
      <c r="P3401" s="1151"/>
      <c r="Q3401" s="1097"/>
      <c r="R3401" s="1097"/>
      <c r="S3401" s="1101"/>
      <c r="T3401" s="1106"/>
      <c r="V3401" s="501"/>
      <c r="W3401" s="501"/>
      <c r="X3401" s="501"/>
      <c r="Y3401" s="501"/>
      <c r="Z3401" s="501"/>
      <c r="AA3401" s="501"/>
      <c r="AB3401" s="501"/>
      <c r="AC3401" s="501"/>
      <c r="AD3401" s="501"/>
      <c r="AE3401" s="501"/>
      <c r="AF3401" s="501"/>
      <c r="AG3401" s="501"/>
      <c r="AH3401" s="501"/>
      <c r="AI3401" s="501"/>
      <c r="AJ3401" s="501"/>
      <c r="AK3401" s="501"/>
      <c r="AL3401" s="501"/>
      <c r="AM3401" s="501"/>
      <c r="AN3401" s="501"/>
      <c r="AO3401" s="501"/>
      <c r="AP3401" s="501"/>
      <c r="AQ3401" s="501"/>
      <c r="AR3401" s="501"/>
      <c r="AS3401" s="501"/>
      <c r="AT3401" s="501"/>
      <c r="AU3401" s="501"/>
      <c r="AV3401" s="501"/>
      <c r="AW3401" s="501"/>
      <c r="AX3401" s="501"/>
      <c r="AY3401" s="501"/>
      <c r="AZ3401" s="501"/>
      <c r="BA3401" s="501"/>
      <c r="BB3401" s="501"/>
      <c r="BC3401" s="501"/>
      <c r="BD3401" s="501"/>
      <c r="BE3401" s="501"/>
      <c r="BF3401" s="501"/>
      <c r="BG3401" s="501"/>
      <c r="BH3401" s="501"/>
      <c r="BI3401" s="501"/>
      <c r="BJ3401" s="501"/>
      <c r="BK3401" s="501"/>
      <c r="BL3401" s="501"/>
      <c r="BM3401" s="501"/>
      <c r="BN3401" s="501"/>
      <c r="BO3401" s="501"/>
      <c r="BP3401" s="501"/>
      <c r="BQ3401" s="501"/>
      <c r="BR3401" s="501"/>
      <c r="BS3401" s="501"/>
      <c r="BT3401" s="501"/>
      <c r="BU3401" s="501"/>
      <c r="BV3401" s="501"/>
      <c r="BW3401" s="501"/>
      <c r="BX3401" s="501"/>
      <c r="BY3401" s="501"/>
      <c r="BZ3401" s="501"/>
      <c r="CA3401" s="501"/>
      <c r="CB3401" s="501"/>
      <c r="CC3401" s="501"/>
      <c r="CD3401" s="501"/>
      <c r="CE3401" s="501"/>
      <c r="CF3401" s="501"/>
      <c r="CG3401" s="501"/>
      <c r="CH3401" s="501"/>
      <c r="CI3401" s="501"/>
      <c r="CJ3401" s="501"/>
      <c r="CK3401" s="501"/>
      <c r="CL3401" s="501"/>
      <c r="CM3401" s="501"/>
      <c r="CN3401" s="501"/>
      <c r="CO3401" s="501"/>
      <c r="CP3401" s="501"/>
      <c r="CQ3401" s="501"/>
      <c r="CR3401" s="501"/>
      <c r="CS3401" s="501"/>
      <c r="CT3401" s="501"/>
      <c r="CU3401" s="501"/>
      <c r="CV3401" s="501"/>
      <c r="CW3401" s="501"/>
      <c r="CX3401" s="501"/>
      <c r="CY3401" s="501"/>
      <c r="CZ3401" s="501"/>
      <c r="DA3401" s="501"/>
      <c r="DB3401" s="501"/>
      <c r="DC3401" s="501"/>
      <c r="DD3401" s="501"/>
      <c r="DE3401" s="501"/>
      <c r="DF3401" s="501"/>
      <c r="DG3401" s="501"/>
      <c r="DH3401" s="501"/>
      <c r="DI3401" s="501"/>
      <c r="DJ3401" s="501"/>
      <c r="DK3401" s="501"/>
      <c r="DL3401" s="501"/>
      <c r="DM3401" s="501"/>
      <c r="DN3401" s="501"/>
      <c r="DO3401" s="501"/>
      <c r="DP3401" s="501"/>
      <c r="DQ3401" s="501"/>
      <c r="DR3401" s="501"/>
      <c r="DS3401" s="501"/>
      <c r="DT3401" s="501"/>
      <c r="DU3401" s="501"/>
      <c r="DV3401" s="501"/>
      <c r="DW3401" s="501"/>
      <c r="DX3401" s="501"/>
      <c r="DY3401" s="501"/>
      <c r="DZ3401" s="501"/>
      <c r="EA3401" s="501"/>
      <c r="EB3401" s="501"/>
      <c r="EC3401" s="501"/>
      <c r="ED3401" s="501"/>
      <c r="EE3401" s="501"/>
      <c r="EF3401" s="501"/>
      <c r="EG3401" s="501"/>
      <c r="EH3401" s="501"/>
      <c r="EI3401" s="501"/>
      <c r="EJ3401" s="501"/>
      <c r="EK3401" s="501"/>
      <c r="EL3401" s="501"/>
      <c r="EM3401" s="501"/>
      <c r="EN3401" s="501"/>
      <c r="EO3401" s="501"/>
      <c r="EP3401" s="501"/>
      <c r="EQ3401" s="501"/>
      <c r="ER3401" s="501"/>
      <c r="ES3401" s="501"/>
      <c r="ET3401" s="501"/>
      <c r="EU3401" s="501"/>
      <c r="EV3401" s="501"/>
      <c r="EW3401" s="501"/>
      <c r="EX3401" s="501"/>
      <c r="EY3401" s="501"/>
      <c r="EZ3401" s="501"/>
      <c r="FA3401" s="501"/>
      <c r="FB3401" s="501"/>
      <c r="FC3401" s="501"/>
      <c r="FD3401" s="501"/>
      <c r="FE3401" s="501"/>
      <c r="FF3401" s="501"/>
      <c r="FG3401" s="501"/>
      <c r="FH3401" s="501"/>
      <c r="FI3401" s="501"/>
      <c r="FJ3401" s="501"/>
      <c r="FK3401" s="501"/>
      <c r="FL3401" s="501"/>
      <c r="FM3401" s="501"/>
      <c r="FN3401" s="501"/>
      <c r="FO3401" s="501"/>
      <c r="FP3401" s="501"/>
      <c r="FQ3401" s="501"/>
      <c r="FR3401" s="501"/>
      <c r="FS3401" s="501"/>
      <c r="FT3401" s="501"/>
      <c r="FU3401" s="501"/>
      <c r="FV3401" s="501"/>
      <c r="FW3401" s="501"/>
      <c r="FX3401" s="501"/>
      <c r="FY3401" s="501"/>
      <c r="FZ3401" s="501"/>
      <c r="GA3401" s="501"/>
      <c r="GB3401" s="501"/>
      <c r="GC3401" s="501"/>
      <c r="GD3401" s="501"/>
      <c r="GE3401" s="501"/>
      <c r="GF3401" s="501"/>
      <c r="GG3401" s="501"/>
      <c r="GH3401" s="501"/>
      <c r="GI3401" s="501"/>
      <c r="GJ3401" s="501"/>
      <c r="GK3401" s="501"/>
      <c r="GL3401" s="501"/>
      <c r="GM3401" s="501"/>
      <c r="GN3401" s="501"/>
      <c r="GO3401" s="501"/>
      <c r="GP3401" s="501"/>
      <c r="GQ3401" s="501"/>
      <c r="GR3401" s="501"/>
      <c r="GS3401" s="501"/>
      <c r="GT3401" s="501"/>
      <c r="GU3401" s="501"/>
      <c r="GV3401" s="501"/>
      <c r="GW3401" s="501"/>
      <c r="GX3401" s="501"/>
      <c r="GY3401" s="501"/>
      <c r="GZ3401" s="501"/>
      <c r="HA3401" s="501"/>
      <c r="HB3401" s="501"/>
      <c r="HC3401" s="501"/>
      <c r="HD3401" s="501"/>
      <c r="HE3401" s="501"/>
      <c r="HF3401" s="501"/>
      <c r="HG3401" s="501"/>
      <c r="HH3401" s="501"/>
      <c r="HI3401" s="501"/>
      <c r="HJ3401" s="501"/>
      <c r="HK3401" s="501"/>
      <c r="HL3401" s="501"/>
      <c r="HM3401" s="501"/>
      <c r="HN3401" s="501"/>
      <c r="HO3401" s="501"/>
      <c r="HP3401" s="501"/>
      <c r="HQ3401" s="501"/>
      <c r="HR3401" s="501"/>
      <c r="HS3401" s="501"/>
      <c r="HT3401" s="501"/>
      <c r="HU3401" s="501"/>
      <c r="HV3401" s="501"/>
      <c r="HW3401" s="501"/>
      <c r="HX3401" s="501"/>
      <c r="HY3401" s="501"/>
      <c r="HZ3401" s="501"/>
      <c r="IA3401" s="501"/>
      <c r="IB3401" s="501"/>
      <c r="IC3401" s="501"/>
      <c r="ID3401" s="501"/>
      <c r="IE3401" s="501"/>
      <c r="IF3401" s="501"/>
      <c r="IG3401" s="501"/>
      <c r="IH3401" s="501"/>
      <c r="II3401" s="501"/>
      <c r="IJ3401" s="501"/>
      <c r="IK3401" s="501"/>
      <c r="IL3401" s="501"/>
      <c r="IM3401" s="501"/>
      <c r="IN3401" s="501"/>
      <c r="IO3401" s="501"/>
      <c r="IP3401" s="501"/>
      <c r="IQ3401" s="501"/>
      <c r="IR3401" s="501"/>
      <c r="IS3401" s="501"/>
      <c r="IT3401" s="501"/>
      <c r="IU3401" s="501"/>
    </row>
    <row r="3402" spans="1:255" s="877" customFormat="1" ht="24" customHeight="1">
      <c r="A3402" s="501"/>
      <c r="B3402" s="501"/>
      <c r="C3402" s="501"/>
      <c r="D3402" s="501"/>
      <c r="E3402" s="501"/>
      <c r="F3402" s="501"/>
      <c r="G3402" s="915"/>
      <c r="H3402" s="501"/>
      <c r="I3402" s="874"/>
      <c r="J3402" s="501"/>
      <c r="K3402" s="501"/>
      <c r="L3402" s="874"/>
      <c r="M3402" s="554"/>
      <c r="N3402" s="501"/>
      <c r="O3402" s="1097"/>
      <c r="P3402" s="1151"/>
      <c r="Q3402" s="1112"/>
      <c r="R3402" s="1097"/>
      <c r="S3402" s="1103"/>
      <c r="T3402" s="1193"/>
      <c r="V3402" s="501"/>
      <c r="W3402" s="501"/>
      <c r="X3402" s="501"/>
      <c r="Y3402" s="501"/>
      <c r="Z3402" s="501"/>
      <c r="AA3402" s="501"/>
      <c r="AB3402" s="501"/>
      <c r="AC3402" s="501"/>
      <c r="AD3402" s="501"/>
      <c r="AE3402" s="501"/>
      <c r="AF3402" s="501"/>
      <c r="AG3402" s="501"/>
      <c r="AH3402" s="501"/>
      <c r="AI3402" s="501"/>
      <c r="AJ3402" s="501"/>
      <c r="AK3402" s="501"/>
      <c r="AL3402" s="501"/>
      <c r="AM3402" s="501"/>
      <c r="AN3402" s="501"/>
      <c r="AO3402" s="501"/>
      <c r="AP3402" s="501"/>
      <c r="AQ3402" s="501"/>
      <c r="AR3402" s="501"/>
      <c r="AS3402" s="501"/>
      <c r="AT3402" s="501"/>
      <c r="AU3402" s="501"/>
      <c r="AV3402" s="501"/>
      <c r="AW3402" s="501"/>
      <c r="AX3402" s="501"/>
      <c r="AY3402" s="501"/>
      <c r="AZ3402" s="501"/>
      <c r="BA3402" s="501"/>
      <c r="BB3402" s="501"/>
      <c r="BC3402" s="501"/>
      <c r="BD3402" s="501"/>
      <c r="BE3402" s="501"/>
      <c r="BF3402" s="501"/>
      <c r="BG3402" s="501"/>
      <c r="BH3402" s="501"/>
      <c r="BI3402" s="501"/>
      <c r="BJ3402" s="501"/>
      <c r="BK3402" s="501"/>
      <c r="BL3402" s="501"/>
      <c r="BM3402" s="501"/>
      <c r="BN3402" s="501"/>
      <c r="BO3402" s="501"/>
      <c r="BP3402" s="501"/>
      <c r="BQ3402" s="501"/>
      <c r="BR3402" s="501"/>
      <c r="BS3402" s="501"/>
      <c r="BT3402" s="501"/>
      <c r="BU3402" s="501"/>
      <c r="BV3402" s="501"/>
      <c r="BW3402" s="501"/>
      <c r="BX3402" s="501"/>
      <c r="BY3402" s="501"/>
      <c r="BZ3402" s="501"/>
      <c r="CA3402" s="501"/>
      <c r="CB3402" s="501"/>
      <c r="CC3402" s="501"/>
      <c r="CD3402" s="501"/>
      <c r="CE3402" s="501"/>
      <c r="CF3402" s="501"/>
      <c r="CG3402" s="501"/>
      <c r="CH3402" s="501"/>
      <c r="CI3402" s="501"/>
      <c r="CJ3402" s="501"/>
      <c r="CK3402" s="501"/>
      <c r="CL3402" s="501"/>
      <c r="CM3402" s="501"/>
      <c r="CN3402" s="501"/>
      <c r="CO3402" s="501"/>
      <c r="CP3402" s="501"/>
      <c r="CQ3402" s="501"/>
      <c r="CR3402" s="501"/>
      <c r="CS3402" s="501"/>
      <c r="CT3402" s="501"/>
      <c r="CU3402" s="501"/>
      <c r="CV3402" s="501"/>
      <c r="CW3402" s="501"/>
      <c r="CX3402" s="501"/>
      <c r="CY3402" s="501"/>
      <c r="CZ3402" s="501"/>
      <c r="DA3402" s="501"/>
      <c r="DB3402" s="501"/>
      <c r="DC3402" s="501"/>
      <c r="DD3402" s="501"/>
      <c r="DE3402" s="501"/>
      <c r="DF3402" s="501"/>
      <c r="DG3402" s="501"/>
      <c r="DH3402" s="501"/>
      <c r="DI3402" s="501"/>
      <c r="DJ3402" s="501"/>
      <c r="DK3402" s="501"/>
      <c r="DL3402" s="501"/>
      <c r="DM3402" s="501"/>
      <c r="DN3402" s="501"/>
      <c r="DO3402" s="501"/>
      <c r="DP3402" s="501"/>
      <c r="DQ3402" s="501"/>
      <c r="DR3402" s="501"/>
      <c r="DS3402" s="501"/>
      <c r="DT3402" s="501"/>
      <c r="DU3402" s="501"/>
      <c r="DV3402" s="501"/>
      <c r="DW3402" s="501"/>
      <c r="DX3402" s="501"/>
      <c r="DY3402" s="501"/>
      <c r="DZ3402" s="501"/>
      <c r="EA3402" s="501"/>
      <c r="EB3402" s="501"/>
      <c r="EC3402" s="501"/>
      <c r="ED3402" s="501"/>
      <c r="EE3402" s="501"/>
      <c r="EF3402" s="501"/>
      <c r="EG3402" s="501"/>
      <c r="EH3402" s="501"/>
      <c r="EI3402" s="501"/>
      <c r="EJ3402" s="501"/>
      <c r="EK3402" s="501"/>
      <c r="EL3402" s="501"/>
      <c r="EM3402" s="501"/>
      <c r="EN3402" s="501"/>
      <c r="EO3402" s="501"/>
      <c r="EP3402" s="501"/>
      <c r="EQ3402" s="501"/>
      <c r="ER3402" s="501"/>
      <c r="ES3402" s="501"/>
      <c r="ET3402" s="501"/>
      <c r="EU3402" s="501"/>
      <c r="EV3402" s="501"/>
      <c r="EW3402" s="501"/>
      <c r="EX3402" s="501"/>
      <c r="EY3402" s="501"/>
      <c r="EZ3402" s="501"/>
      <c r="FA3402" s="501"/>
      <c r="FB3402" s="501"/>
      <c r="FC3402" s="501"/>
      <c r="FD3402" s="501"/>
      <c r="FE3402" s="501"/>
      <c r="FF3402" s="501"/>
      <c r="FG3402" s="501"/>
      <c r="FH3402" s="501"/>
      <c r="FI3402" s="501"/>
      <c r="FJ3402" s="501"/>
      <c r="FK3402" s="501"/>
      <c r="FL3402" s="501"/>
      <c r="FM3402" s="501"/>
      <c r="FN3402" s="501"/>
      <c r="FO3402" s="501"/>
      <c r="FP3402" s="501"/>
      <c r="FQ3402" s="501"/>
      <c r="FR3402" s="501"/>
      <c r="FS3402" s="501"/>
      <c r="FT3402" s="501"/>
      <c r="FU3402" s="501"/>
      <c r="FV3402" s="501"/>
      <c r="FW3402" s="501"/>
      <c r="FX3402" s="501"/>
      <c r="FY3402" s="501"/>
      <c r="FZ3402" s="501"/>
      <c r="GA3402" s="501"/>
      <c r="GB3402" s="501"/>
      <c r="GC3402" s="501"/>
      <c r="GD3402" s="501"/>
      <c r="GE3402" s="501"/>
      <c r="GF3402" s="501"/>
      <c r="GG3402" s="501"/>
      <c r="GH3402" s="501"/>
      <c r="GI3402" s="501"/>
      <c r="GJ3402" s="501"/>
      <c r="GK3402" s="501"/>
      <c r="GL3402" s="501"/>
      <c r="GM3402" s="501"/>
      <c r="GN3402" s="501"/>
      <c r="GO3402" s="501"/>
      <c r="GP3402" s="501"/>
      <c r="GQ3402" s="501"/>
      <c r="GR3402" s="501"/>
      <c r="GS3402" s="501"/>
      <c r="GT3402" s="501"/>
      <c r="GU3402" s="501"/>
      <c r="GV3402" s="501"/>
      <c r="GW3402" s="501"/>
      <c r="GX3402" s="501"/>
      <c r="GY3402" s="501"/>
      <c r="GZ3402" s="501"/>
      <c r="HA3402" s="501"/>
      <c r="HB3402" s="501"/>
      <c r="HC3402" s="501"/>
      <c r="HD3402" s="501"/>
      <c r="HE3402" s="501"/>
      <c r="HF3402" s="501"/>
      <c r="HG3402" s="501"/>
      <c r="HH3402" s="501"/>
      <c r="HI3402" s="501"/>
      <c r="HJ3402" s="501"/>
      <c r="HK3402" s="501"/>
      <c r="HL3402" s="501"/>
      <c r="HM3402" s="501"/>
      <c r="HN3402" s="501"/>
      <c r="HO3402" s="501"/>
      <c r="HP3402" s="501"/>
      <c r="HQ3402" s="501"/>
      <c r="HR3402" s="501"/>
      <c r="HS3402" s="501"/>
      <c r="HT3402" s="501"/>
      <c r="HU3402" s="501"/>
      <c r="HV3402" s="501"/>
      <c r="HW3402" s="501"/>
      <c r="HX3402" s="501"/>
      <c r="HY3402" s="501"/>
      <c r="HZ3402" s="501"/>
      <c r="IA3402" s="501"/>
      <c r="IB3402" s="501"/>
      <c r="IC3402" s="501"/>
      <c r="ID3402" s="501"/>
      <c r="IE3402" s="501"/>
      <c r="IF3402" s="501"/>
      <c r="IG3402" s="501"/>
      <c r="IH3402" s="501"/>
      <c r="II3402" s="501"/>
      <c r="IJ3402" s="501"/>
      <c r="IK3402" s="501"/>
      <c r="IL3402" s="501"/>
      <c r="IM3402" s="501"/>
      <c r="IN3402" s="501"/>
      <c r="IO3402" s="501"/>
      <c r="IP3402" s="501"/>
      <c r="IQ3402" s="501"/>
      <c r="IR3402" s="501"/>
      <c r="IS3402" s="501"/>
      <c r="IT3402" s="501"/>
      <c r="IU3402" s="501"/>
    </row>
    <row r="3403" spans="1:255" s="877" customFormat="1" ht="24" customHeight="1">
      <c r="A3403" s="501"/>
      <c r="B3403" s="501"/>
      <c r="C3403" s="501"/>
      <c r="D3403" s="501"/>
      <c r="E3403" s="501"/>
      <c r="F3403" s="501"/>
      <c r="G3403" s="915"/>
      <c r="H3403" s="501"/>
      <c r="I3403" s="874"/>
      <c r="J3403" s="501"/>
      <c r="K3403" s="501"/>
      <c r="L3403" s="874"/>
      <c r="M3403" s="554"/>
      <c r="N3403" s="501"/>
      <c r="O3403" s="501"/>
      <c r="P3403" s="902"/>
      <c r="Q3403" s="501"/>
      <c r="R3403" s="501"/>
      <c r="S3403" s="874"/>
      <c r="T3403" s="881"/>
      <c r="V3403" s="501"/>
      <c r="W3403" s="501"/>
      <c r="X3403" s="501"/>
      <c r="Y3403" s="501"/>
      <c r="Z3403" s="501"/>
      <c r="AA3403" s="501"/>
      <c r="AB3403" s="501"/>
      <c r="AC3403" s="501"/>
      <c r="AD3403" s="501"/>
      <c r="AE3403" s="501"/>
      <c r="AF3403" s="501"/>
      <c r="AG3403" s="501"/>
      <c r="AH3403" s="501"/>
      <c r="AI3403" s="501"/>
      <c r="AJ3403" s="501"/>
      <c r="AK3403" s="501"/>
      <c r="AL3403" s="501"/>
      <c r="AM3403" s="501"/>
      <c r="AN3403" s="501"/>
      <c r="AO3403" s="501"/>
      <c r="AP3403" s="501"/>
      <c r="AQ3403" s="501"/>
      <c r="AR3403" s="501"/>
      <c r="AS3403" s="501"/>
      <c r="AT3403" s="501"/>
      <c r="AU3403" s="501"/>
      <c r="AV3403" s="501"/>
      <c r="AW3403" s="501"/>
      <c r="AX3403" s="501"/>
      <c r="AY3403" s="501"/>
      <c r="AZ3403" s="501"/>
      <c r="BA3403" s="501"/>
      <c r="BB3403" s="501"/>
      <c r="BC3403" s="501"/>
      <c r="BD3403" s="501"/>
      <c r="BE3403" s="501"/>
      <c r="BF3403" s="501"/>
      <c r="BG3403" s="501"/>
      <c r="BH3403" s="501"/>
      <c r="BI3403" s="501"/>
      <c r="BJ3403" s="501"/>
      <c r="BK3403" s="501"/>
      <c r="BL3403" s="501"/>
      <c r="BM3403" s="501"/>
      <c r="BN3403" s="501"/>
      <c r="BO3403" s="501"/>
      <c r="BP3403" s="501"/>
      <c r="BQ3403" s="501"/>
      <c r="BR3403" s="501"/>
      <c r="BS3403" s="501"/>
      <c r="BT3403" s="501"/>
      <c r="BU3403" s="501"/>
      <c r="BV3403" s="501"/>
      <c r="BW3403" s="501"/>
      <c r="BX3403" s="501"/>
      <c r="BY3403" s="501"/>
      <c r="BZ3403" s="501"/>
      <c r="CA3403" s="501"/>
      <c r="CB3403" s="501"/>
      <c r="CC3403" s="501"/>
      <c r="CD3403" s="501"/>
      <c r="CE3403" s="501"/>
      <c r="CF3403" s="501"/>
      <c r="CG3403" s="501"/>
      <c r="CH3403" s="501"/>
      <c r="CI3403" s="501"/>
      <c r="CJ3403" s="501"/>
      <c r="CK3403" s="501"/>
      <c r="CL3403" s="501"/>
      <c r="CM3403" s="501"/>
      <c r="CN3403" s="501"/>
      <c r="CO3403" s="501"/>
      <c r="CP3403" s="501"/>
      <c r="CQ3403" s="501"/>
      <c r="CR3403" s="501"/>
      <c r="CS3403" s="501"/>
      <c r="CT3403" s="501"/>
      <c r="CU3403" s="501"/>
      <c r="CV3403" s="501"/>
      <c r="CW3403" s="501"/>
      <c r="CX3403" s="501"/>
      <c r="CY3403" s="501"/>
      <c r="CZ3403" s="501"/>
      <c r="DA3403" s="501"/>
      <c r="DB3403" s="501"/>
      <c r="DC3403" s="501"/>
      <c r="DD3403" s="501"/>
      <c r="DE3403" s="501"/>
      <c r="DF3403" s="501"/>
      <c r="DG3403" s="501"/>
      <c r="DH3403" s="501"/>
      <c r="DI3403" s="501"/>
      <c r="DJ3403" s="501"/>
      <c r="DK3403" s="501"/>
      <c r="DL3403" s="501"/>
      <c r="DM3403" s="501"/>
      <c r="DN3403" s="501"/>
      <c r="DO3403" s="501"/>
      <c r="DP3403" s="501"/>
      <c r="DQ3403" s="501"/>
      <c r="DR3403" s="501"/>
      <c r="DS3403" s="501"/>
      <c r="DT3403" s="501"/>
      <c r="DU3403" s="501"/>
      <c r="DV3403" s="501"/>
      <c r="DW3403" s="501"/>
      <c r="DX3403" s="501"/>
      <c r="DY3403" s="501"/>
      <c r="DZ3403" s="501"/>
      <c r="EA3403" s="501"/>
      <c r="EB3403" s="501"/>
      <c r="EC3403" s="501"/>
      <c r="ED3403" s="501"/>
      <c r="EE3403" s="501"/>
      <c r="EF3403" s="501"/>
      <c r="EG3403" s="501"/>
      <c r="EH3403" s="501"/>
      <c r="EI3403" s="501"/>
      <c r="EJ3403" s="501"/>
      <c r="EK3403" s="501"/>
      <c r="EL3403" s="501"/>
      <c r="EM3403" s="501"/>
      <c r="EN3403" s="501"/>
      <c r="EO3403" s="501"/>
      <c r="EP3403" s="501"/>
      <c r="EQ3403" s="501"/>
      <c r="ER3403" s="501"/>
      <c r="ES3403" s="501"/>
      <c r="ET3403" s="501"/>
      <c r="EU3403" s="501"/>
      <c r="EV3403" s="501"/>
      <c r="EW3403" s="501"/>
      <c r="EX3403" s="501"/>
      <c r="EY3403" s="501"/>
      <c r="EZ3403" s="501"/>
      <c r="FA3403" s="501"/>
      <c r="FB3403" s="501"/>
      <c r="FC3403" s="501"/>
      <c r="FD3403" s="501"/>
      <c r="FE3403" s="501"/>
      <c r="FF3403" s="501"/>
      <c r="FG3403" s="501"/>
      <c r="FH3403" s="501"/>
      <c r="FI3403" s="501"/>
      <c r="FJ3403" s="501"/>
      <c r="FK3403" s="501"/>
      <c r="FL3403" s="501"/>
      <c r="FM3403" s="501"/>
      <c r="FN3403" s="501"/>
      <c r="FO3403" s="501"/>
      <c r="FP3403" s="501"/>
      <c r="FQ3403" s="501"/>
      <c r="FR3403" s="501"/>
      <c r="FS3403" s="501"/>
      <c r="FT3403" s="501"/>
      <c r="FU3403" s="501"/>
      <c r="FV3403" s="501"/>
      <c r="FW3403" s="501"/>
      <c r="FX3403" s="501"/>
      <c r="FY3403" s="501"/>
      <c r="FZ3403" s="501"/>
      <c r="GA3403" s="501"/>
      <c r="GB3403" s="501"/>
      <c r="GC3403" s="501"/>
      <c r="GD3403" s="501"/>
      <c r="GE3403" s="501"/>
      <c r="GF3403" s="501"/>
      <c r="GG3403" s="501"/>
      <c r="GH3403" s="501"/>
      <c r="GI3403" s="501"/>
      <c r="GJ3403" s="501"/>
      <c r="GK3403" s="501"/>
      <c r="GL3403" s="501"/>
      <c r="GM3403" s="501"/>
      <c r="GN3403" s="501"/>
      <c r="GO3403" s="501"/>
      <c r="GP3403" s="501"/>
      <c r="GQ3403" s="501"/>
      <c r="GR3403" s="501"/>
      <c r="GS3403" s="501"/>
      <c r="GT3403" s="501"/>
      <c r="GU3403" s="501"/>
      <c r="GV3403" s="501"/>
      <c r="GW3403" s="501"/>
      <c r="GX3403" s="501"/>
      <c r="GY3403" s="501"/>
      <c r="GZ3403" s="501"/>
      <c r="HA3403" s="501"/>
      <c r="HB3403" s="501"/>
      <c r="HC3403" s="501"/>
      <c r="HD3403" s="501"/>
      <c r="HE3403" s="501"/>
      <c r="HF3403" s="501"/>
      <c r="HG3403" s="501"/>
      <c r="HH3403" s="501"/>
      <c r="HI3403" s="501"/>
      <c r="HJ3403" s="501"/>
      <c r="HK3403" s="501"/>
      <c r="HL3403" s="501"/>
      <c r="HM3403" s="501"/>
      <c r="HN3403" s="501"/>
      <c r="HO3403" s="501"/>
      <c r="HP3403" s="501"/>
      <c r="HQ3403" s="501"/>
      <c r="HR3403" s="501"/>
      <c r="HS3403" s="501"/>
      <c r="HT3403" s="501"/>
      <c r="HU3403" s="501"/>
      <c r="HV3403" s="501"/>
      <c r="HW3403" s="501"/>
      <c r="HX3403" s="501"/>
      <c r="HY3403" s="501"/>
      <c r="HZ3403" s="501"/>
      <c r="IA3403" s="501"/>
      <c r="IB3403" s="501"/>
      <c r="IC3403" s="501"/>
      <c r="ID3403" s="501"/>
      <c r="IE3403" s="501"/>
      <c r="IF3403" s="501"/>
      <c r="IG3403" s="501"/>
      <c r="IH3403" s="501"/>
      <c r="II3403" s="501"/>
      <c r="IJ3403" s="501"/>
      <c r="IK3403" s="501"/>
      <c r="IL3403" s="501"/>
      <c r="IM3403" s="501"/>
      <c r="IN3403" s="501"/>
      <c r="IO3403" s="501"/>
      <c r="IP3403" s="501"/>
      <c r="IQ3403" s="501"/>
      <c r="IR3403" s="501"/>
      <c r="IS3403" s="501"/>
      <c r="IT3403" s="501"/>
      <c r="IU3403" s="501"/>
    </row>
    <row r="3405" spans="1:255" s="877" customFormat="1" ht="24" customHeight="1">
      <c r="A3405" s="501"/>
      <c r="B3405" s="501"/>
      <c r="C3405" s="501"/>
      <c r="D3405" s="501"/>
      <c r="E3405" s="501"/>
      <c r="F3405" s="501"/>
      <c r="G3405" s="915"/>
      <c r="H3405" s="501"/>
      <c r="I3405" s="874"/>
      <c r="J3405" s="501"/>
      <c r="K3405" s="501"/>
      <c r="L3405" s="874"/>
      <c r="M3405" s="554"/>
      <c r="N3405" s="501"/>
      <c r="O3405" s="501"/>
      <c r="P3405" s="902"/>
      <c r="Q3405" s="885"/>
      <c r="R3405" s="501"/>
      <c r="S3405" s="874"/>
      <c r="T3405" s="501"/>
      <c r="V3405" s="501"/>
      <c r="W3405" s="501"/>
      <c r="X3405" s="501"/>
      <c r="Y3405" s="501"/>
      <c r="Z3405" s="501"/>
      <c r="AA3405" s="501"/>
      <c r="AB3405" s="501"/>
      <c r="AC3405" s="501"/>
      <c r="AD3405" s="501"/>
      <c r="AE3405" s="501"/>
      <c r="AF3405" s="501"/>
      <c r="AG3405" s="501"/>
      <c r="AH3405" s="501"/>
      <c r="AI3405" s="501"/>
      <c r="AJ3405" s="501"/>
      <c r="AK3405" s="501"/>
      <c r="AL3405" s="501"/>
      <c r="AM3405" s="501"/>
      <c r="AN3405" s="501"/>
      <c r="AO3405" s="501"/>
      <c r="AP3405" s="501"/>
      <c r="AQ3405" s="501"/>
      <c r="AR3405" s="501"/>
      <c r="AS3405" s="501"/>
      <c r="AT3405" s="501"/>
      <c r="AU3405" s="501"/>
      <c r="AV3405" s="501"/>
      <c r="AW3405" s="501"/>
      <c r="AX3405" s="501"/>
      <c r="AY3405" s="501"/>
      <c r="AZ3405" s="501"/>
      <c r="BA3405" s="501"/>
      <c r="BB3405" s="501"/>
      <c r="BC3405" s="501"/>
      <c r="BD3405" s="501"/>
      <c r="BE3405" s="501"/>
      <c r="BF3405" s="501"/>
      <c r="BG3405" s="501"/>
      <c r="BH3405" s="501"/>
      <c r="BI3405" s="501"/>
      <c r="BJ3405" s="501"/>
      <c r="BK3405" s="501"/>
      <c r="BL3405" s="501"/>
      <c r="BM3405" s="501"/>
      <c r="BN3405" s="501"/>
      <c r="BO3405" s="501"/>
      <c r="BP3405" s="501"/>
      <c r="BQ3405" s="501"/>
      <c r="BR3405" s="501"/>
      <c r="BS3405" s="501"/>
      <c r="BT3405" s="501"/>
      <c r="BU3405" s="501"/>
      <c r="BV3405" s="501"/>
      <c r="BW3405" s="501"/>
      <c r="BX3405" s="501"/>
      <c r="BY3405" s="501"/>
      <c r="BZ3405" s="501"/>
      <c r="CA3405" s="501"/>
      <c r="CB3405" s="501"/>
      <c r="CC3405" s="501"/>
      <c r="CD3405" s="501"/>
      <c r="CE3405" s="501"/>
      <c r="CF3405" s="501"/>
      <c r="CG3405" s="501"/>
      <c r="CH3405" s="501"/>
      <c r="CI3405" s="501"/>
      <c r="CJ3405" s="501"/>
      <c r="CK3405" s="501"/>
      <c r="CL3405" s="501"/>
      <c r="CM3405" s="501"/>
      <c r="CN3405" s="501"/>
      <c r="CO3405" s="501"/>
      <c r="CP3405" s="501"/>
      <c r="CQ3405" s="501"/>
      <c r="CR3405" s="501"/>
      <c r="CS3405" s="501"/>
      <c r="CT3405" s="501"/>
      <c r="CU3405" s="501"/>
      <c r="CV3405" s="501"/>
      <c r="CW3405" s="501"/>
      <c r="CX3405" s="501"/>
      <c r="CY3405" s="501"/>
      <c r="CZ3405" s="501"/>
      <c r="DA3405" s="501"/>
      <c r="DB3405" s="501"/>
      <c r="DC3405" s="501"/>
      <c r="DD3405" s="501"/>
      <c r="DE3405" s="501"/>
      <c r="DF3405" s="501"/>
      <c r="DG3405" s="501"/>
      <c r="DH3405" s="501"/>
      <c r="DI3405" s="501"/>
      <c r="DJ3405" s="501"/>
      <c r="DK3405" s="501"/>
      <c r="DL3405" s="501"/>
      <c r="DM3405" s="501"/>
      <c r="DN3405" s="501"/>
      <c r="DO3405" s="501"/>
      <c r="DP3405" s="501"/>
      <c r="DQ3405" s="501"/>
      <c r="DR3405" s="501"/>
      <c r="DS3405" s="501"/>
      <c r="DT3405" s="501"/>
      <c r="DU3405" s="501"/>
      <c r="DV3405" s="501"/>
      <c r="DW3405" s="501"/>
      <c r="DX3405" s="501"/>
      <c r="DY3405" s="501"/>
      <c r="DZ3405" s="501"/>
      <c r="EA3405" s="501"/>
      <c r="EB3405" s="501"/>
      <c r="EC3405" s="501"/>
      <c r="ED3405" s="501"/>
      <c r="EE3405" s="501"/>
      <c r="EF3405" s="501"/>
      <c r="EG3405" s="501"/>
      <c r="EH3405" s="501"/>
      <c r="EI3405" s="501"/>
      <c r="EJ3405" s="501"/>
      <c r="EK3405" s="501"/>
      <c r="EL3405" s="501"/>
      <c r="EM3405" s="501"/>
      <c r="EN3405" s="501"/>
      <c r="EO3405" s="501"/>
      <c r="EP3405" s="501"/>
      <c r="EQ3405" s="501"/>
      <c r="ER3405" s="501"/>
      <c r="ES3405" s="501"/>
      <c r="ET3405" s="501"/>
      <c r="EU3405" s="501"/>
      <c r="EV3405" s="501"/>
      <c r="EW3405" s="501"/>
      <c r="EX3405" s="501"/>
      <c r="EY3405" s="501"/>
      <c r="EZ3405" s="501"/>
      <c r="FA3405" s="501"/>
      <c r="FB3405" s="501"/>
      <c r="FC3405" s="501"/>
      <c r="FD3405" s="501"/>
      <c r="FE3405" s="501"/>
      <c r="FF3405" s="501"/>
      <c r="FG3405" s="501"/>
      <c r="FH3405" s="501"/>
      <c r="FI3405" s="501"/>
      <c r="FJ3405" s="501"/>
      <c r="FK3405" s="501"/>
      <c r="FL3405" s="501"/>
      <c r="FM3405" s="501"/>
      <c r="FN3405" s="501"/>
      <c r="FO3405" s="501"/>
      <c r="FP3405" s="501"/>
      <c r="FQ3405" s="501"/>
      <c r="FR3405" s="501"/>
      <c r="FS3405" s="501"/>
      <c r="FT3405" s="501"/>
      <c r="FU3405" s="501"/>
      <c r="FV3405" s="501"/>
      <c r="FW3405" s="501"/>
      <c r="FX3405" s="501"/>
      <c r="FY3405" s="501"/>
      <c r="FZ3405" s="501"/>
      <c r="GA3405" s="501"/>
      <c r="GB3405" s="501"/>
      <c r="GC3405" s="501"/>
      <c r="GD3405" s="501"/>
      <c r="GE3405" s="501"/>
      <c r="GF3405" s="501"/>
      <c r="GG3405" s="501"/>
      <c r="GH3405" s="501"/>
      <c r="GI3405" s="501"/>
      <c r="GJ3405" s="501"/>
      <c r="GK3405" s="501"/>
      <c r="GL3405" s="501"/>
      <c r="GM3405" s="501"/>
      <c r="GN3405" s="501"/>
      <c r="GO3405" s="501"/>
      <c r="GP3405" s="501"/>
      <c r="GQ3405" s="501"/>
      <c r="GR3405" s="501"/>
      <c r="GS3405" s="501"/>
      <c r="GT3405" s="501"/>
      <c r="GU3405" s="501"/>
      <c r="GV3405" s="501"/>
      <c r="GW3405" s="501"/>
      <c r="GX3405" s="501"/>
      <c r="GY3405" s="501"/>
      <c r="GZ3405" s="501"/>
      <c r="HA3405" s="501"/>
      <c r="HB3405" s="501"/>
      <c r="HC3405" s="501"/>
      <c r="HD3405" s="501"/>
      <c r="HE3405" s="501"/>
      <c r="HF3405" s="501"/>
      <c r="HG3405" s="501"/>
      <c r="HH3405" s="501"/>
      <c r="HI3405" s="501"/>
      <c r="HJ3405" s="501"/>
      <c r="HK3405" s="501"/>
      <c r="HL3405" s="501"/>
      <c r="HM3405" s="501"/>
      <c r="HN3405" s="501"/>
      <c r="HO3405" s="501"/>
      <c r="HP3405" s="501"/>
      <c r="HQ3405" s="501"/>
      <c r="HR3405" s="501"/>
      <c r="HS3405" s="501"/>
      <c r="HT3405" s="501"/>
      <c r="HU3405" s="501"/>
      <c r="HV3405" s="501"/>
      <c r="HW3405" s="501"/>
      <c r="HX3405" s="501"/>
      <c r="HY3405" s="501"/>
      <c r="HZ3405" s="501"/>
      <c r="IA3405" s="501"/>
      <c r="IB3405" s="501"/>
      <c r="IC3405" s="501"/>
      <c r="ID3405" s="501"/>
      <c r="IE3405" s="501"/>
      <c r="IF3405" s="501"/>
      <c r="IG3405" s="501"/>
      <c r="IH3405" s="501"/>
      <c r="II3405" s="501"/>
      <c r="IJ3405" s="501"/>
      <c r="IK3405" s="501"/>
      <c r="IL3405" s="501"/>
      <c r="IM3405" s="501"/>
      <c r="IN3405" s="501"/>
      <c r="IO3405" s="501"/>
      <c r="IP3405" s="501"/>
      <c r="IQ3405" s="501"/>
      <c r="IR3405" s="501"/>
      <c r="IS3405" s="501"/>
      <c r="IT3405" s="501"/>
      <c r="IU3405" s="501"/>
    </row>
    <row r="3412" spans="1:255" s="877" customFormat="1" ht="24" customHeight="1">
      <c r="A3412" s="501"/>
      <c r="B3412" s="501"/>
      <c r="C3412" s="501"/>
      <c r="D3412" s="501"/>
      <c r="E3412" s="501"/>
      <c r="F3412" s="501"/>
      <c r="G3412" s="915"/>
      <c r="H3412" s="501"/>
      <c r="I3412" s="874"/>
      <c r="J3412" s="501"/>
      <c r="K3412" s="501"/>
      <c r="L3412" s="874"/>
      <c r="M3412" s="554"/>
      <c r="N3412" s="501"/>
      <c r="O3412" s="974"/>
      <c r="P3412" s="1152"/>
      <c r="Q3412" s="973"/>
      <c r="R3412" s="1097"/>
      <c r="S3412" s="1101"/>
      <c r="T3412" s="1097"/>
      <c r="V3412" s="501"/>
      <c r="W3412" s="501"/>
      <c r="X3412" s="501"/>
      <c r="Y3412" s="501"/>
      <c r="Z3412" s="501"/>
      <c r="AA3412" s="501"/>
      <c r="AB3412" s="501"/>
      <c r="AC3412" s="501"/>
      <c r="AD3412" s="501"/>
      <c r="AE3412" s="501"/>
      <c r="AF3412" s="501"/>
      <c r="AG3412" s="501"/>
      <c r="AH3412" s="501"/>
      <c r="AI3412" s="501"/>
      <c r="AJ3412" s="501"/>
      <c r="AK3412" s="501"/>
      <c r="AL3412" s="501"/>
      <c r="AM3412" s="501"/>
      <c r="AN3412" s="501"/>
      <c r="AO3412" s="501"/>
      <c r="AP3412" s="501"/>
      <c r="AQ3412" s="501"/>
      <c r="AR3412" s="501"/>
      <c r="AS3412" s="501"/>
      <c r="AT3412" s="501"/>
      <c r="AU3412" s="501"/>
      <c r="AV3412" s="501"/>
      <c r="AW3412" s="501"/>
      <c r="AX3412" s="501"/>
      <c r="AY3412" s="501"/>
      <c r="AZ3412" s="501"/>
      <c r="BA3412" s="501"/>
      <c r="BB3412" s="501"/>
      <c r="BC3412" s="501"/>
      <c r="BD3412" s="501"/>
      <c r="BE3412" s="501"/>
      <c r="BF3412" s="501"/>
      <c r="BG3412" s="501"/>
      <c r="BH3412" s="501"/>
      <c r="BI3412" s="501"/>
      <c r="BJ3412" s="501"/>
      <c r="BK3412" s="501"/>
      <c r="BL3412" s="501"/>
      <c r="BM3412" s="501"/>
      <c r="BN3412" s="501"/>
      <c r="BO3412" s="501"/>
      <c r="BP3412" s="501"/>
      <c r="BQ3412" s="501"/>
      <c r="BR3412" s="501"/>
      <c r="BS3412" s="501"/>
      <c r="BT3412" s="501"/>
      <c r="BU3412" s="501"/>
      <c r="BV3412" s="501"/>
      <c r="BW3412" s="501"/>
      <c r="BX3412" s="501"/>
      <c r="BY3412" s="501"/>
      <c r="BZ3412" s="501"/>
      <c r="CA3412" s="501"/>
      <c r="CB3412" s="501"/>
      <c r="CC3412" s="501"/>
      <c r="CD3412" s="501"/>
      <c r="CE3412" s="501"/>
      <c r="CF3412" s="501"/>
      <c r="CG3412" s="501"/>
      <c r="CH3412" s="501"/>
      <c r="CI3412" s="501"/>
      <c r="CJ3412" s="501"/>
      <c r="CK3412" s="501"/>
      <c r="CL3412" s="501"/>
      <c r="CM3412" s="501"/>
      <c r="CN3412" s="501"/>
      <c r="CO3412" s="501"/>
      <c r="CP3412" s="501"/>
      <c r="CQ3412" s="501"/>
      <c r="CR3412" s="501"/>
      <c r="CS3412" s="501"/>
      <c r="CT3412" s="501"/>
      <c r="CU3412" s="501"/>
      <c r="CV3412" s="501"/>
      <c r="CW3412" s="501"/>
      <c r="CX3412" s="501"/>
      <c r="CY3412" s="501"/>
      <c r="CZ3412" s="501"/>
      <c r="DA3412" s="501"/>
      <c r="DB3412" s="501"/>
      <c r="DC3412" s="501"/>
      <c r="DD3412" s="501"/>
      <c r="DE3412" s="501"/>
      <c r="DF3412" s="501"/>
      <c r="DG3412" s="501"/>
      <c r="DH3412" s="501"/>
      <c r="DI3412" s="501"/>
      <c r="DJ3412" s="501"/>
      <c r="DK3412" s="501"/>
      <c r="DL3412" s="501"/>
      <c r="DM3412" s="501"/>
      <c r="DN3412" s="501"/>
      <c r="DO3412" s="501"/>
      <c r="DP3412" s="501"/>
      <c r="DQ3412" s="501"/>
      <c r="DR3412" s="501"/>
      <c r="DS3412" s="501"/>
      <c r="DT3412" s="501"/>
      <c r="DU3412" s="501"/>
      <c r="DV3412" s="501"/>
      <c r="DW3412" s="501"/>
      <c r="DX3412" s="501"/>
      <c r="DY3412" s="501"/>
      <c r="DZ3412" s="501"/>
      <c r="EA3412" s="501"/>
      <c r="EB3412" s="501"/>
      <c r="EC3412" s="501"/>
      <c r="ED3412" s="501"/>
      <c r="EE3412" s="501"/>
      <c r="EF3412" s="501"/>
      <c r="EG3412" s="501"/>
      <c r="EH3412" s="501"/>
      <c r="EI3412" s="501"/>
      <c r="EJ3412" s="501"/>
      <c r="EK3412" s="501"/>
      <c r="EL3412" s="501"/>
      <c r="EM3412" s="501"/>
      <c r="EN3412" s="501"/>
      <c r="EO3412" s="501"/>
      <c r="EP3412" s="501"/>
      <c r="EQ3412" s="501"/>
      <c r="ER3412" s="501"/>
      <c r="ES3412" s="501"/>
      <c r="ET3412" s="501"/>
      <c r="EU3412" s="501"/>
      <c r="EV3412" s="501"/>
      <c r="EW3412" s="501"/>
      <c r="EX3412" s="501"/>
      <c r="EY3412" s="501"/>
      <c r="EZ3412" s="501"/>
      <c r="FA3412" s="501"/>
      <c r="FB3412" s="501"/>
      <c r="FC3412" s="501"/>
      <c r="FD3412" s="501"/>
      <c r="FE3412" s="501"/>
      <c r="FF3412" s="501"/>
      <c r="FG3412" s="501"/>
      <c r="FH3412" s="501"/>
      <c r="FI3412" s="501"/>
      <c r="FJ3412" s="501"/>
      <c r="FK3412" s="501"/>
      <c r="FL3412" s="501"/>
      <c r="FM3412" s="501"/>
      <c r="FN3412" s="501"/>
      <c r="FO3412" s="501"/>
      <c r="FP3412" s="501"/>
      <c r="FQ3412" s="501"/>
      <c r="FR3412" s="501"/>
      <c r="FS3412" s="501"/>
      <c r="FT3412" s="501"/>
      <c r="FU3412" s="501"/>
      <c r="FV3412" s="501"/>
      <c r="FW3412" s="501"/>
      <c r="FX3412" s="501"/>
      <c r="FY3412" s="501"/>
      <c r="FZ3412" s="501"/>
      <c r="GA3412" s="501"/>
      <c r="GB3412" s="501"/>
      <c r="GC3412" s="501"/>
      <c r="GD3412" s="501"/>
      <c r="GE3412" s="501"/>
      <c r="GF3412" s="501"/>
      <c r="GG3412" s="501"/>
      <c r="GH3412" s="501"/>
      <c r="GI3412" s="501"/>
      <c r="GJ3412" s="501"/>
      <c r="GK3412" s="501"/>
      <c r="GL3412" s="501"/>
      <c r="GM3412" s="501"/>
      <c r="GN3412" s="501"/>
      <c r="GO3412" s="501"/>
      <c r="GP3412" s="501"/>
      <c r="GQ3412" s="501"/>
      <c r="GR3412" s="501"/>
      <c r="GS3412" s="501"/>
      <c r="GT3412" s="501"/>
      <c r="GU3412" s="501"/>
      <c r="GV3412" s="501"/>
      <c r="GW3412" s="501"/>
      <c r="GX3412" s="501"/>
      <c r="GY3412" s="501"/>
      <c r="GZ3412" s="501"/>
      <c r="HA3412" s="501"/>
      <c r="HB3412" s="501"/>
      <c r="HC3412" s="501"/>
      <c r="HD3412" s="501"/>
      <c r="HE3412" s="501"/>
      <c r="HF3412" s="501"/>
      <c r="HG3412" s="501"/>
      <c r="HH3412" s="501"/>
      <c r="HI3412" s="501"/>
      <c r="HJ3412" s="501"/>
      <c r="HK3412" s="501"/>
      <c r="HL3412" s="501"/>
      <c r="HM3412" s="501"/>
      <c r="HN3412" s="501"/>
      <c r="HO3412" s="501"/>
      <c r="HP3412" s="501"/>
      <c r="HQ3412" s="501"/>
      <c r="HR3412" s="501"/>
      <c r="HS3412" s="501"/>
      <c r="HT3412" s="501"/>
      <c r="HU3412" s="501"/>
      <c r="HV3412" s="501"/>
      <c r="HW3412" s="501"/>
      <c r="HX3412" s="501"/>
      <c r="HY3412" s="501"/>
      <c r="HZ3412" s="501"/>
      <c r="IA3412" s="501"/>
      <c r="IB3412" s="501"/>
      <c r="IC3412" s="501"/>
      <c r="ID3412" s="501"/>
      <c r="IE3412" s="501"/>
      <c r="IF3412" s="501"/>
      <c r="IG3412" s="501"/>
      <c r="IH3412" s="501"/>
      <c r="II3412" s="501"/>
      <c r="IJ3412" s="501"/>
      <c r="IK3412" s="501"/>
      <c r="IL3412" s="501"/>
      <c r="IM3412" s="501"/>
      <c r="IN3412" s="501"/>
      <c r="IO3412" s="501"/>
      <c r="IP3412" s="501"/>
      <c r="IQ3412" s="501"/>
      <c r="IR3412" s="501"/>
      <c r="IS3412" s="501"/>
      <c r="IT3412" s="501"/>
      <c r="IU3412" s="501"/>
    </row>
    <row r="3413" spans="1:255" s="877" customFormat="1" ht="24" customHeight="1">
      <c r="A3413" s="501"/>
      <c r="B3413" s="501"/>
      <c r="C3413" s="501"/>
      <c r="D3413" s="501"/>
      <c r="E3413" s="501"/>
      <c r="F3413" s="501"/>
      <c r="G3413" s="915"/>
      <c r="H3413" s="501"/>
      <c r="I3413" s="874"/>
      <c r="J3413" s="501"/>
      <c r="K3413" s="501"/>
      <c r="L3413" s="874"/>
      <c r="M3413" s="554"/>
      <c r="N3413" s="501"/>
      <c r="O3413" s="1097"/>
      <c r="P3413" s="1151"/>
      <c r="Q3413" s="973"/>
      <c r="R3413" s="1097"/>
      <c r="S3413" s="1101"/>
      <c r="T3413" s="1097"/>
      <c r="V3413" s="501"/>
      <c r="W3413" s="501"/>
      <c r="X3413" s="501"/>
      <c r="Y3413" s="501"/>
      <c r="Z3413" s="501"/>
      <c r="AA3413" s="501"/>
      <c r="AB3413" s="501"/>
      <c r="AC3413" s="501"/>
      <c r="AD3413" s="501"/>
      <c r="AE3413" s="501"/>
      <c r="AF3413" s="501"/>
      <c r="AG3413" s="501"/>
      <c r="AH3413" s="501"/>
      <c r="AI3413" s="501"/>
      <c r="AJ3413" s="501"/>
      <c r="AK3413" s="501"/>
      <c r="AL3413" s="501"/>
      <c r="AM3413" s="501"/>
      <c r="AN3413" s="501"/>
      <c r="AO3413" s="501"/>
      <c r="AP3413" s="501"/>
      <c r="AQ3413" s="501"/>
      <c r="AR3413" s="501"/>
      <c r="AS3413" s="501"/>
      <c r="AT3413" s="501"/>
      <c r="AU3413" s="501"/>
      <c r="AV3413" s="501"/>
      <c r="AW3413" s="501"/>
      <c r="AX3413" s="501"/>
      <c r="AY3413" s="501"/>
      <c r="AZ3413" s="501"/>
      <c r="BA3413" s="501"/>
      <c r="BB3413" s="501"/>
      <c r="BC3413" s="501"/>
      <c r="BD3413" s="501"/>
      <c r="BE3413" s="501"/>
      <c r="BF3413" s="501"/>
      <c r="BG3413" s="501"/>
      <c r="BH3413" s="501"/>
      <c r="BI3413" s="501"/>
      <c r="BJ3413" s="501"/>
      <c r="BK3413" s="501"/>
      <c r="BL3413" s="501"/>
      <c r="BM3413" s="501"/>
      <c r="BN3413" s="501"/>
      <c r="BO3413" s="501"/>
      <c r="BP3413" s="501"/>
      <c r="BQ3413" s="501"/>
      <c r="BR3413" s="501"/>
      <c r="BS3413" s="501"/>
      <c r="BT3413" s="501"/>
      <c r="BU3413" s="501"/>
      <c r="BV3413" s="501"/>
      <c r="BW3413" s="501"/>
      <c r="BX3413" s="501"/>
      <c r="BY3413" s="501"/>
      <c r="BZ3413" s="501"/>
      <c r="CA3413" s="501"/>
      <c r="CB3413" s="501"/>
      <c r="CC3413" s="501"/>
      <c r="CD3413" s="501"/>
      <c r="CE3413" s="501"/>
      <c r="CF3413" s="501"/>
      <c r="CG3413" s="501"/>
      <c r="CH3413" s="501"/>
      <c r="CI3413" s="501"/>
      <c r="CJ3413" s="501"/>
      <c r="CK3413" s="501"/>
      <c r="CL3413" s="501"/>
      <c r="CM3413" s="501"/>
      <c r="CN3413" s="501"/>
      <c r="CO3413" s="501"/>
      <c r="CP3413" s="501"/>
      <c r="CQ3413" s="501"/>
      <c r="CR3413" s="501"/>
      <c r="CS3413" s="501"/>
      <c r="CT3413" s="501"/>
      <c r="CU3413" s="501"/>
      <c r="CV3413" s="501"/>
      <c r="CW3413" s="501"/>
      <c r="CX3413" s="501"/>
      <c r="CY3413" s="501"/>
      <c r="CZ3413" s="501"/>
      <c r="DA3413" s="501"/>
      <c r="DB3413" s="501"/>
      <c r="DC3413" s="501"/>
      <c r="DD3413" s="501"/>
      <c r="DE3413" s="501"/>
      <c r="DF3413" s="501"/>
      <c r="DG3413" s="501"/>
      <c r="DH3413" s="501"/>
      <c r="DI3413" s="501"/>
      <c r="DJ3413" s="501"/>
      <c r="DK3413" s="501"/>
      <c r="DL3413" s="501"/>
      <c r="DM3413" s="501"/>
      <c r="DN3413" s="501"/>
      <c r="DO3413" s="501"/>
      <c r="DP3413" s="501"/>
      <c r="DQ3413" s="501"/>
      <c r="DR3413" s="501"/>
      <c r="DS3413" s="501"/>
      <c r="DT3413" s="501"/>
      <c r="DU3413" s="501"/>
      <c r="DV3413" s="501"/>
      <c r="DW3413" s="501"/>
      <c r="DX3413" s="501"/>
      <c r="DY3413" s="501"/>
      <c r="DZ3413" s="501"/>
      <c r="EA3413" s="501"/>
      <c r="EB3413" s="501"/>
      <c r="EC3413" s="501"/>
      <c r="ED3413" s="501"/>
      <c r="EE3413" s="501"/>
      <c r="EF3413" s="501"/>
      <c r="EG3413" s="501"/>
      <c r="EH3413" s="501"/>
      <c r="EI3413" s="501"/>
      <c r="EJ3413" s="501"/>
      <c r="EK3413" s="501"/>
      <c r="EL3413" s="501"/>
      <c r="EM3413" s="501"/>
      <c r="EN3413" s="501"/>
      <c r="EO3413" s="501"/>
      <c r="EP3413" s="501"/>
      <c r="EQ3413" s="501"/>
      <c r="ER3413" s="501"/>
      <c r="ES3413" s="501"/>
      <c r="ET3413" s="501"/>
      <c r="EU3413" s="501"/>
      <c r="EV3413" s="501"/>
      <c r="EW3413" s="501"/>
      <c r="EX3413" s="501"/>
      <c r="EY3413" s="501"/>
      <c r="EZ3413" s="501"/>
      <c r="FA3413" s="501"/>
      <c r="FB3413" s="501"/>
      <c r="FC3413" s="501"/>
      <c r="FD3413" s="501"/>
      <c r="FE3413" s="501"/>
      <c r="FF3413" s="501"/>
      <c r="FG3413" s="501"/>
      <c r="FH3413" s="501"/>
      <c r="FI3413" s="501"/>
      <c r="FJ3413" s="501"/>
      <c r="FK3413" s="501"/>
      <c r="FL3413" s="501"/>
      <c r="FM3413" s="501"/>
      <c r="FN3413" s="501"/>
      <c r="FO3413" s="501"/>
      <c r="FP3413" s="501"/>
      <c r="FQ3413" s="501"/>
      <c r="FR3413" s="501"/>
      <c r="FS3413" s="501"/>
      <c r="FT3413" s="501"/>
      <c r="FU3413" s="501"/>
      <c r="FV3413" s="501"/>
      <c r="FW3413" s="501"/>
      <c r="FX3413" s="501"/>
      <c r="FY3413" s="501"/>
      <c r="FZ3413" s="501"/>
      <c r="GA3413" s="501"/>
      <c r="GB3413" s="501"/>
      <c r="GC3413" s="501"/>
      <c r="GD3413" s="501"/>
      <c r="GE3413" s="501"/>
      <c r="GF3413" s="501"/>
      <c r="GG3413" s="501"/>
      <c r="GH3413" s="501"/>
      <c r="GI3413" s="501"/>
      <c r="GJ3413" s="501"/>
      <c r="GK3413" s="501"/>
      <c r="GL3413" s="501"/>
      <c r="GM3413" s="501"/>
      <c r="GN3413" s="501"/>
      <c r="GO3413" s="501"/>
      <c r="GP3413" s="501"/>
      <c r="GQ3413" s="501"/>
      <c r="GR3413" s="501"/>
      <c r="GS3413" s="501"/>
      <c r="GT3413" s="501"/>
      <c r="GU3413" s="501"/>
      <c r="GV3413" s="501"/>
      <c r="GW3413" s="501"/>
      <c r="GX3413" s="501"/>
      <c r="GY3413" s="501"/>
      <c r="GZ3413" s="501"/>
      <c r="HA3413" s="501"/>
      <c r="HB3413" s="501"/>
      <c r="HC3413" s="501"/>
      <c r="HD3413" s="501"/>
      <c r="HE3413" s="501"/>
      <c r="HF3413" s="501"/>
      <c r="HG3413" s="501"/>
      <c r="HH3413" s="501"/>
      <c r="HI3413" s="501"/>
      <c r="HJ3413" s="501"/>
      <c r="HK3413" s="501"/>
      <c r="HL3413" s="501"/>
      <c r="HM3413" s="501"/>
      <c r="HN3413" s="501"/>
      <c r="HO3413" s="501"/>
      <c r="HP3413" s="501"/>
      <c r="HQ3413" s="501"/>
      <c r="HR3413" s="501"/>
      <c r="HS3413" s="501"/>
      <c r="HT3413" s="501"/>
      <c r="HU3413" s="501"/>
      <c r="HV3413" s="501"/>
      <c r="HW3413" s="501"/>
      <c r="HX3413" s="501"/>
      <c r="HY3413" s="501"/>
      <c r="HZ3413" s="501"/>
      <c r="IA3413" s="501"/>
      <c r="IB3413" s="501"/>
      <c r="IC3413" s="501"/>
      <c r="ID3413" s="501"/>
      <c r="IE3413" s="501"/>
      <c r="IF3413" s="501"/>
      <c r="IG3413" s="501"/>
      <c r="IH3413" s="501"/>
      <c r="II3413" s="501"/>
      <c r="IJ3413" s="501"/>
      <c r="IK3413" s="501"/>
      <c r="IL3413" s="501"/>
      <c r="IM3413" s="501"/>
      <c r="IN3413" s="501"/>
      <c r="IO3413" s="501"/>
      <c r="IP3413" s="501"/>
      <c r="IQ3413" s="501"/>
      <c r="IR3413" s="501"/>
      <c r="IS3413" s="501"/>
      <c r="IT3413" s="501"/>
      <c r="IU3413" s="501"/>
    </row>
    <row r="3414" spans="1:255" s="877" customFormat="1" ht="24" customHeight="1">
      <c r="A3414" s="501"/>
      <c r="B3414" s="501"/>
      <c r="C3414" s="501"/>
      <c r="D3414" s="501"/>
      <c r="E3414" s="501"/>
      <c r="F3414" s="501"/>
      <c r="G3414" s="915"/>
      <c r="H3414" s="501"/>
      <c r="I3414" s="874"/>
      <c r="J3414" s="501"/>
      <c r="K3414" s="501"/>
      <c r="L3414" s="874"/>
      <c r="M3414" s="554"/>
      <c r="N3414" s="501"/>
      <c r="O3414" s="1097"/>
      <c r="P3414" s="1151"/>
      <c r="Q3414" s="1184"/>
      <c r="R3414" s="1097"/>
      <c r="S3414" s="1101"/>
      <c r="T3414" s="1097"/>
      <c r="V3414" s="501"/>
      <c r="W3414" s="501"/>
      <c r="X3414" s="501"/>
      <c r="Y3414" s="501"/>
      <c r="Z3414" s="501"/>
      <c r="AA3414" s="501"/>
      <c r="AB3414" s="501"/>
      <c r="AC3414" s="501"/>
      <c r="AD3414" s="501"/>
      <c r="AE3414" s="501"/>
      <c r="AF3414" s="501"/>
      <c r="AG3414" s="501"/>
      <c r="AH3414" s="501"/>
      <c r="AI3414" s="501"/>
      <c r="AJ3414" s="501"/>
      <c r="AK3414" s="501"/>
      <c r="AL3414" s="501"/>
      <c r="AM3414" s="501"/>
      <c r="AN3414" s="501"/>
      <c r="AO3414" s="501"/>
      <c r="AP3414" s="501"/>
      <c r="AQ3414" s="501"/>
      <c r="AR3414" s="501"/>
      <c r="AS3414" s="501"/>
      <c r="AT3414" s="501"/>
      <c r="AU3414" s="501"/>
      <c r="AV3414" s="501"/>
      <c r="AW3414" s="501"/>
      <c r="AX3414" s="501"/>
      <c r="AY3414" s="501"/>
      <c r="AZ3414" s="501"/>
      <c r="BA3414" s="501"/>
      <c r="BB3414" s="501"/>
      <c r="BC3414" s="501"/>
      <c r="BD3414" s="501"/>
      <c r="BE3414" s="501"/>
      <c r="BF3414" s="501"/>
      <c r="BG3414" s="501"/>
      <c r="BH3414" s="501"/>
      <c r="BI3414" s="501"/>
      <c r="BJ3414" s="501"/>
      <c r="BK3414" s="501"/>
      <c r="BL3414" s="501"/>
      <c r="BM3414" s="501"/>
      <c r="BN3414" s="501"/>
      <c r="BO3414" s="501"/>
      <c r="BP3414" s="501"/>
      <c r="BQ3414" s="501"/>
      <c r="BR3414" s="501"/>
      <c r="BS3414" s="501"/>
      <c r="BT3414" s="501"/>
      <c r="BU3414" s="501"/>
      <c r="BV3414" s="501"/>
      <c r="BW3414" s="501"/>
      <c r="BX3414" s="501"/>
      <c r="BY3414" s="501"/>
      <c r="BZ3414" s="501"/>
      <c r="CA3414" s="501"/>
      <c r="CB3414" s="501"/>
      <c r="CC3414" s="501"/>
      <c r="CD3414" s="501"/>
      <c r="CE3414" s="501"/>
      <c r="CF3414" s="501"/>
      <c r="CG3414" s="501"/>
      <c r="CH3414" s="501"/>
      <c r="CI3414" s="501"/>
      <c r="CJ3414" s="501"/>
      <c r="CK3414" s="501"/>
      <c r="CL3414" s="501"/>
      <c r="CM3414" s="501"/>
      <c r="CN3414" s="501"/>
      <c r="CO3414" s="501"/>
      <c r="CP3414" s="501"/>
      <c r="CQ3414" s="501"/>
      <c r="CR3414" s="501"/>
      <c r="CS3414" s="501"/>
      <c r="CT3414" s="501"/>
      <c r="CU3414" s="501"/>
      <c r="CV3414" s="501"/>
      <c r="CW3414" s="501"/>
      <c r="CX3414" s="501"/>
      <c r="CY3414" s="501"/>
      <c r="CZ3414" s="501"/>
      <c r="DA3414" s="501"/>
      <c r="DB3414" s="501"/>
      <c r="DC3414" s="501"/>
      <c r="DD3414" s="501"/>
      <c r="DE3414" s="501"/>
      <c r="DF3414" s="501"/>
      <c r="DG3414" s="501"/>
      <c r="DH3414" s="501"/>
      <c r="DI3414" s="501"/>
      <c r="DJ3414" s="501"/>
      <c r="DK3414" s="501"/>
      <c r="DL3414" s="501"/>
      <c r="DM3414" s="501"/>
      <c r="DN3414" s="501"/>
      <c r="DO3414" s="501"/>
      <c r="DP3414" s="501"/>
      <c r="DQ3414" s="501"/>
      <c r="DR3414" s="501"/>
      <c r="DS3414" s="501"/>
      <c r="DT3414" s="501"/>
      <c r="DU3414" s="501"/>
      <c r="DV3414" s="501"/>
      <c r="DW3414" s="501"/>
      <c r="DX3414" s="501"/>
      <c r="DY3414" s="501"/>
      <c r="DZ3414" s="501"/>
      <c r="EA3414" s="501"/>
      <c r="EB3414" s="501"/>
      <c r="EC3414" s="501"/>
      <c r="ED3414" s="501"/>
      <c r="EE3414" s="501"/>
      <c r="EF3414" s="501"/>
      <c r="EG3414" s="501"/>
      <c r="EH3414" s="501"/>
      <c r="EI3414" s="501"/>
      <c r="EJ3414" s="501"/>
      <c r="EK3414" s="501"/>
      <c r="EL3414" s="501"/>
      <c r="EM3414" s="501"/>
      <c r="EN3414" s="501"/>
      <c r="EO3414" s="501"/>
      <c r="EP3414" s="501"/>
      <c r="EQ3414" s="501"/>
      <c r="ER3414" s="501"/>
      <c r="ES3414" s="501"/>
      <c r="ET3414" s="501"/>
      <c r="EU3414" s="501"/>
      <c r="EV3414" s="501"/>
      <c r="EW3414" s="501"/>
      <c r="EX3414" s="501"/>
      <c r="EY3414" s="501"/>
      <c r="EZ3414" s="501"/>
      <c r="FA3414" s="501"/>
      <c r="FB3414" s="501"/>
      <c r="FC3414" s="501"/>
      <c r="FD3414" s="501"/>
      <c r="FE3414" s="501"/>
      <c r="FF3414" s="501"/>
      <c r="FG3414" s="501"/>
      <c r="FH3414" s="501"/>
      <c r="FI3414" s="501"/>
      <c r="FJ3414" s="501"/>
      <c r="FK3414" s="501"/>
      <c r="FL3414" s="501"/>
      <c r="FM3414" s="501"/>
      <c r="FN3414" s="501"/>
      <c r="FO3414" s="501"/>
      <c r="FP3414" s="501"/>
      <c r="FQ3414" s="501"/>
      <c r="FR3414" s="501"/>
      <c r="FS3414" s="501"/>
      <c r="FT3414" s="501"/>
      <c r="FU3414" s="501"/>
      <c r="FV3414" s="501"/>
      <c r="FW3414" s="501"/>
      <c r="FX3414" s="501"/>
      <c r="FY3414" s="501"/>
      <c r="FZ3414" s="501"/>
      <c r="GA3414" s="501"/>
      <c r="GB3414" s="501"/>
      <c r="GC3414" s="501"/>
      <c r="GD3414" s="501"/>
      <c r="GE3414" s="501"/>
      <c r="GF3414" s="501"/>
      <c r="GG3414" s="501"/>
      <c r="GH3414" s="501"/>
      <c r="GI3414" s="501"/>
      <c r="GJ3414" s="501"/>
      <c r="GK3414" s="501"/>
      <c r="GL3414" s="501"/>
      <c r="GM3414" s="501"/>
      <c r="GN3414" s="501"/>
      <c r="GO3414" s="501"/>
      <c r="GP3414" s="501"/>
      <c r="GQ3414" s="501"/>
      <c r="GR3414" s="501"/>
      <c r="GS3414" s="501"/>
      <c r="GT3414" s="501"/>
      <c r="GU3414" s="501"/>
      <c r="GV3414" s="501"/>
      <c r="GW3414" s="501"/>
      <c r="GX3414" s="501"/>
      <c r="GY3414" s="501"/>
      <c r="GZ3414" s="501"/>
      <c r="HA3414" s="501"/>
      <c r="HB3414" s="501"/>
      <c r="HC3414" s="501"/>
      <c r="HD3414" s="501"/>
      <c r="HE3414" s="501"/>
      <c r="HF3414" s="501"/>
      <c r="HG3414" s="501"/>
      <c r="HH3414" s="501"/>
      <c r="HI3414" s="501"/>
      <c r="HJ3414" s="501"/>
      <c r="HK3414" s="501"/>
      <c r="HL3414" s="501"/>
      <c r="HM3414" s="501"/>
      <c r="HN3414" s="501"/>
      <c r="HO3414" s="501"/>
      <c r="HP3414" s="501"/>
      <c r="HQ3414" s="501"/>
      <c r="HR3414" s="501"/>
      <c r="HS3414" s="501"/>
      <c r="HT3414" s="501"/>
      <c r="HU3414" s="501"/>
      <c r="HV3414" s="501"/>
      <c r="HW3414" s="501"/>
      <c r="HX3414" s="501"/>
      <c r="HY3414" s="501"/>
      <c r="HZ3414" s="501"/>
      <c r="IA3414" s="501"/>
      <c r="IB3414" s="501"/>
      <c r="IC3414" s="501"/>
      <c r="ID3414" s="501"/>
      <c r="IE3414" s="501"/>
      <c r="IF3414" s="501"/>
      <c r="IG3414" s="501"/>
      <c r="IH3414" s="501"/>
      <c r="II3414" s="501"/>
      <c r="IJ3414" s="501"/>
      <c r="IK3414" s="501"/>
      <c r="IL3414" s="501"/>
      <c r="IM3414" s="501"/>
      <c r="IN3414" s="501"/>
      <c r="IO3414" s="501"/>
      <c r="IP3414" s="501"/>
      <c r="IQ3414" s="501"/>
      <c r="IR3414" s="501"/>
      <c r="IS3414" s="501"/>
      <c r="IT3414" s="501"/>
      <c r="IU3414" s="501"/>
    </row>
    <row r="3415" spans="1:255" s="877" customFormat="1" ht="24" customHeight="1">
      <c r="A3415" s="501"/>
      <c r="B3415" s="501"/>
      <c r="C3415" s="501"/>
      <c r="D3415" s="501"/>
      <c r="E3415" s="501"/>
      <c r="F3415" s="501"/>
      <c r="G3415" s="915"/>
      <c r="H3415" s="501"/>
      <c r="I3415" s="874"/>
      <c r="J3415" s="501"/>
      <c r="K3415" s="501"/>
      <c r="L3415" s="874"/>
      <c r="M3415" s="554"/>
      <c r="N3415" s="501"/>
      <c r="O3415" s="1097"/>
      <c r="P3415" s="1151"/>
      <c r="Q3415" s="1106"/>
      <c r="R3415" s="1097"/>
      <c r="S3415" s="1101"/>
      <c r="T3415" s="1097"/>
      <c r="V3415" s="501"/>
      <c r="W3415" s="501"/>
      <c r="X3415" s="501"/>
      <c r="Y3415" s="501"/>
      <c r="Z3415" s="501"/>
      <c r="AA3415" s="501"/>
      <c r="AB3415" s="501"/>
      <c r="AC3415" s="501"/>
      <c r="AD3415" s="501"/>
      <c r="AE3415" s="501"/>
      <c r="AF3415" s="501"/>
      <c r="AG3415" s="501"/>
      <c r="AH3415" s="501"/>
      <c r="AI3415" s="501"/>
      <c r="AJ3415" s="501"/>
      <c r="AK3415" s="501"/>
      <c r="AL3415" s="501"/>
      <c r="AM3415" s="501"/>
      <c r="AN3415" s="501"/>
      <c r="AO3415" s="501"/>
      <c r="AP3415" s="501"/>
      <c r="AQ3415" s="501"/>
      <c r="AR3415" s="501"/>
      <c r="AS3415" s="501"/>
      <c r="AT3415" s="501"/>
      <c r="AU3415" s="501"/>
      <c r="AV3415" s="501"/>
      <c r="AW3415" s="501"/>
      <c r="AX3415" s="501"/>
      <c r="AY3415" s="501"/>
      <c r="AZ3415" s="501"/>
      <c r="BA3415" s="501"/>
      <c r="BB3415" s="501"/>
      <c r="BC3415" s="501"/>
      <c r="BD3415" s="501"/>
      <c r="BE3415" s="501"/>
      <c r="BF3415" s="501"/>
      <c r="BG3415" s="501"/>
      <c r="BH3415" s="501"/>
      <c r="BI3415" s="501"/>
      <c r="BJ3415" s="501"/>
      <c r="BK3415" s="501"/>
      <c r="BL3415" s="501"/>
      <c r="BM3415" s="501"/>
      <c r="BN3415" s="501"/>
      <c r="BO3415" s="501"/>
      <c r="BP3415" s="501"/>
      <c r="BQ3415" s="501"/>
      <c r="BR3415" s="501"/>
      <c r="BS3415" s="501"/>
      <c r="BT3415" s="501"/>
      <c r="BU3415" s="501"/>
      <c r="BV3415" s="501"/>
      <c r="BW3415" s="501"/>
      <c r="BX3415" s="501"/>
      <c r="BY3415" s="501"/>
      <c r="BZ3415" s="501"/>
      <c r="CA3415" s="501"/>
      <c r="CB3415" s="501"/>
      <c r="CC3415" s="501"/>
      <c r="CD3415" s="501"/>
      <c r="CE3415" s="501"/>
      <c r="CF3415" s="501"/>
      <c r="CG3415" s="501"/>
      <c r="CH3415" s="501"/>
      <c r="CI3415" s="501"/>
      <c r="CJ3415" s="501"/>
      <c r="CK3415" s="501"/>
      <c r="CL3415" s="501"/>
      <c r="CM3415" s="501"/>
      <c r="CN3415" s="501"/>
      <c r="CO3415" s="501"/>
      <c r="CP3415" s="501"/>
      <c r="CQ3415" s="501"/>
      <c r="CR3415" s="501"/>
      <c r="CS3415" s="501"/>
      <c r="CT3415" s="501"/>
      <c r="CU3415" s="501"/>
      <c r="CV3415" s="501"/>
      <c r="CW3415" s="501"/>
      <c r="CX3415" s="501"/>
      <c r="CY3415" s="501"/>
      <c r="CZ3415" s="501"/>
      <c r="DA3415" s="501"/>
      <c r="DB3415" s="501"/>
      <c r="DC3415" s="501"/>
      <c r="DD3415" s="501"/>
      <c r="DE3415" s="501"/>
      <c r="DF3415" s="501"/>
      <c r="DG3415" s="501"/>
      <c r="DH3415" s="501"/>
      <c r="DI3415" s="501"/>
      <c r="DJ3415" s="501"/>
      <c r="DK3415" s="501"/>
      <c r="DL3415" s="501"/>
      <c r="DM3415" s="501"/>
      <c r="DN3415" s="501"/>
      <c r="DO3415" s="501"/>
      <c r="DP3415" s="501"/>
      <c r="DQ3415" s="501"/>
      <c r="DR3415" s="501"/>
      <c r="DS3415" s="501"/>
      <c r="DT3415" s="501"/>
      <c r="DU3415" s="501"/>
      <c r="DV3415" s="501"/>
      <c r="DW3415" s="501"/>
      <c r="DX3415" s="501"/>
      <c r="DY3415" s="501"/>
      <c r="DZ3415" s="501"/>
      <c r="EA3415" s="501"/>
      <c r="EB3415" s="501"/>
      <c r="EC3415" s="501"/>
      <c r="ED3415" s="501"/>
      <c r="EE3415" s="501"/>
      <c r="EF3415" s="501"/>
      <c r="EG3415" s="501"/>
      <c r="EH3415" s="501"/>
      <c r="EI3415" s="501"/>
      <c r="EJ3415" s="501"/>
      <c r="EK3415" s="501"/>
      <c r="EL3415" s="501"/>
      <c r="EM3415" s="501"/>
      <c r="EN3415" s="501"/>
      <c r="EO3415" s="501"/>
      <c r="EP3415" s="501"/>
      <c r="EQ3415" s="501"/>
      <c r="ER3415" s="501"/>
      <c r="ES3415" s="501"/>
      <c r="ET3415" s="501"/>
      <c r="EU3415" s="501"/>
      <c r="EV3415" s="501"/>
      <c r="EW3415" s="501"/>
      <c r="EX3415" s="501"/>
      <c r="EY3415" s="501"/>
      <c r="EZ3415" s="501"/>
      <c r="FA3415" s="501"/>
      <c r="FB3415" s="501"/>
      <c r="FC3415" s="501"/>
      <c r="FD3415" s="501"/>
      <c r="FE3415" s="501"/>
      <c r="FF3415" s="501"/>
      <c r="FG3415" s="501"/>
      <c r="FH3415" s="501"/>
      <c r="FI3415" s="501"/>
      <c r="FJ3415" s="501"/>
      <c r="FK3415" s="501"/>
      <c r="FL3415" s="501"/>
      <c r="FM3415" s="501"/>
      <c r="FN3415" s="501"/>
      <c r="FO3415" s="501"/>
      <c r="FP3415" s="501"/>
      <c r="FQ3415" s="501"/>
      <c r="FR3415" s="501"/>
      <c r="FS3415" s="501"/>
      <c r="FT3415" s="501"/>
      <c r="FU3415" s="501"/>
      <c r="FV3415" s="501"/>
      <c r="FW3415" s="501"/>
      <c r="FX3415" s="501"/>
      <c r="FY3415" s="501"/>
      <c r="FZ3415" s="501"/>
      <c r="GA3415" s="501"/>
      <c r="GB3415" s="501"/>
      <c r="GC3415" s="501"/>
      <c r="GD3415" s="501"/>
      <c r="GE3415" s="501"/>
      <c r="GF3415" s="501"/>
      <c r="GG3415" s="501"/>
      <c r="GH3415" s="501"/>
      <c r="GI3415" s="501"/>
      <c r="GJ3415" s="501"/>
      <c r="GK3415" s="501"/>
      <c r="GL3415" s="501"/>
      <c r="GM3415" s="501"/>
      <c r="GN3415" s="501"/>
      <c r="GO3415" s="501"/>
      <c r="GP3415" s="501"/>
      <c r="GQ3415" s="501"/>
      <c r="GR3415" s="501"/>
      <c r="GS3415" s="501"/>
      <c r="GT3415" s="501"/>
      <c r="GU3415" s="501"/>
      <c r="GV3415" s="501"/>
      <c r="GW3415" s="501"/>
      <c r="GX3415" s="501"/>
      <c r="GY3415" s="501"/>
      <c r="GZ3415" s="501"/>
      <c r="HA3415" s="501"/>
      <c r="HB3415" s="501"/>
      <c r="HC3415" s="501"/>
      <c r="HD3415" s="501"/>
      <c r="HE3415" s="501"/>
      <c r="HF3415" s="501"/>
      <c r="HG3415" s="501"/>
      <c r="HH3415" s="501"/>
      <c r="HI3415" s="501"/>
      <c r="HJ3415" s="501"/>
      <c r="HK3415" s="501"/>
      <c r="HL3415" s="501"/>
      <c r="HM3415" s="501"/>
      <c r="HN3415" s="501"/>
      <c r="HO3415" s="501"/>
      <c r="HP3415" s="501"/>
      <c r="HQ3415" s="501"/>
      <c r="HR3415" s="501"/>
      <c r="HS3415" s="501"/>
      <c r="HT3415" s="501"/>
      <c r="HU3415" s="501"/>
      <c r="HV3415" s="501"/>
      <c r="HW3415" s="501"/>
      <c r="HX3415" s="501"/>
      <c r="HY3415" s="501"/>
      <c r="HZ3415" s="501"/>
      <c r="IA3415" s="501"/>
      <c r="IB3415" s="501"/>
      <c r="IC3415" s="501"/>
      <c r="ID3415" s="501"/>
      <c r="IE3415" s="501"/>
      <c r="IF3415" s="501"/>
      <c r="IG3415" s="501"/>
      <c r="IH3415" s="501"/>
      <c r="II3415" s="501"/>
      <c r="IJ3415" s="501"/>
      <c r="IK3415" s="501"/>
      <c r="IL3415" s="501"/>
      <c r="IM3415" s="501"/>
      <c r="IN3415" s="501"/>
      <c r="IO3415" s="501"/>
      <c r="IP3415" s="501"/>
      <c r="IQ3415" s="501"/>
      <c r="IR3415" s="501"/>
      <c r="IS3415" s="501"/>
      <c r="IT3415" s="501"/>
      <c r="IU3415" s="501"/>
    </row>
    <row r="3416" spans="1:255" s="877" customFormat="1" ht="24" customHeight="1">
      <c r="A3416" s="501"/>
      <c r="B3416" s="501"/>
      <c r="C3416" s="501"/>
      <c r="D3416" s="501"/>
      <c r="E3416" s="501"/>
      <c r="F3416" s="501"/>
      <c r="G3416" s="915"/>
      <c r="H3416" s="501"/>
      <c r="I3416" s="874"/>
      <c r="J3416" s="501"/>
      <c r="K3416" s="501"/>
      <c r="L3416" s="874"/>
      <c r="M3416" s="554"/>
      <c r="N3416" s="501"/>
      <c r="O3416" s="1097"/>
      <c r="P3416" s="1151"/>
      <c r="Q3416" s="973"/>
      <c r="R3416" s="1102"/>
      <c r="S3416" s="1185"/>
      <c r="T3416" s="1097"/>
      <c r="V3416" s="501"/>
      <c r="W3416" s="501"/>
      <c r="X3416" s="501"/>
      <c r="Y3416" s="501"/>
      <c r="Z3416" s="501"/>
      <c r="AA3416" s="501"/>
      <c r="AB3416" s="501"/>
      <c r="AC3416" s="501"/>
      <c r="AD3416" s="501"/>
      <c r="AE3416" s="501"/>
      <c r="AF3416" s="501"/>
      <c r="AG3416" s="501"/>
      <c r="AH3416" s="501"/>
      <c r="AI3416" s="501"/>
      <c r="AJ3416" s="501"/>
      <c r="AK3416" s="501"/>
      <c r="AL3416" s="501"/>
      <c r="AM3416" s="501"/>
      <c r="AN3416" s="501"/>
      <c r="AO3416" s="501"/>
      <c r="AP3416" s="501"/>
      <c r="AQ3416" s="501"/>
      <c r="AR3416" s="501"/>
      <c r="AS3416" s="501"/>
      <c r="AT3416" s="501"/>
      <c r="AU3416" s="501"/>
      <c r="AV3416" s="501"/>
      <c r="AW3416" s="501"/>
      <c r="AX3416" s="501"/>
      <c r="AY3416" s="501"/>
      <c r="AZ3416" s="501"/>
      <c r="BA3416" s="501"/>
      <c r="BB3416" s="501"/>
      <c r="BC3416" s="501"/>
      <c r="BD3416" s="501"/>
      <c r="BE3416" s="501"/>
      <c r="BF3416" s="501"/>
      <c r="BG3416" s="501"/>
      <c r="BH3416" s="501"/>
      <c r="BI3416" s="501"/>
      <c r="BJ3416" s="501"/>
      <c r="BK3416" s="501"/>
      <c r="BL3416" s="501"/>
      <c r="BM3416" s="501"/>
      <c r="BN3416" s="501"/>
      <c r="BO3416" s="501"/>
      <c r="BP3416" s="501"/>
      <c r="BQ3416" s="501"/>
      <c r="BR3416" s="501"/>
      <c r="BS3416" s="501"/>
      <c r="BT3416" s="501"/>
      <c r="BU3416" s="501"/>
      <c r="BV3416" s="501"/>
      <c r="BW3416" s="501"/>
      <c r="BX3416" s="501"/>
      <c r="BY3416" s="501"/>
      <c r="BZ3416" s="501"/>
      <c r="CA3416" s="501"/>
      <c r="CB3416" s="501"/>
      <c r="CC3416" s="501"/>
      <c r="CD3416" s="501"/>
      <c r="CE3416" s="501"/>
      <c r="CF3416" s="501"/>
      <c r="CG3416" s="501"/>
      <c r="CH3416" s="501"/>
      <c r="CI3416" s="501"/>
      <c r="CJ3416" s="501"/>
      <c r="CK3416" s="501"/>
      <c r="CL3416" s="501"/>
      <c r="CM3416" s="501"/>
      <c r="CN3416" s="501"/>
      <c r="CO3416" s="501"/>
      <c r="CP3416" s="501"/>
      <c r="CQ3416" s="501"/>
      <c r="CR3416" s="501"/>
      <c r="CS3416" s="501"/>
      <c r="CT3416" s="501"/>
      <c r="CU3416" s="501"/>
      <c r="CV3416" s="501"/>
      <c r="CW3416" s="501"/>
      <c r="CX3416" s="501"/>
      <c r="CY3416" s="501"/>
      <c r="CZ3416" s="501"/>
      <c r="DA3416" s="501"/>
      <c r="DB3416" s="501"/>
      <c r="DC3416" s="501"/>
      <c r="DD3416" s="501"/>
      <c r="DE3416" s="501"/>
      <c r="DF3416" s="501"/>
      <c r="DG3416" s="501"/>
      <c r="DH3416" s="501"/>
      <c r="DI3416" s="501"/>
      <c r="DJ3416" s="501"/>
      <c r="DK3416" s="501"/>
      <c r="DL3416" s="501"/>
      <c r="DM3416" s="501"/>
      <c r="DN3416" s="501"/>
      <c r="DO3416" s="501"/>
      <c r="DP3416" s="501"/>
      <c r="DQ3416" s="501"/>
      <c r="DR3416" s="501"/>
      <c r="DS3416" s="501"/>
      <c r="DT3416" s="501"/>
      <c r="DU3416" s="501"/>
      <c r="DV3416" s="501"/>
      <c r="DW3416" s="501"/>
      <c r="DX3416" s="501"/>
      <c r="DY3416" s="501"/>
      <c r="DZ3416" s="501"/>
      <c r="EA3416" s="501"/>
      <c r="EB3416" s="501"/>
      <c r="EC3416" s="501"/>
      <c r="ED3416" s="501"/>
      <c r="EE3416" s="501"/>
      <c r="EF3416" s="501"/>
      <c r="EG3416" s="501"/>
      <c r="EH3416" s="501"/>
      <c r="EI3416" s="501"/>
      <c r="EJ3416" s="501"/>
      <c r="EK3416" s="501"/>
      <c r="EL3416" s="501"/>
      <c r="EM3416" s="501"/>
      <c r="EN3416" s="501"/>
      <c r="EO3416" s="501"/>
      <c r="EP3416" s="501"/>
      <c r="EQ3416" s="501"/>
      <c r="ER3416" s="501"/>
      <c r="ES3416" s="501"/>
      <c r="ET3416" s="501"/>
      <c r="EU3416" s="501"/>
      <c r="EV3416" s="501"/>
      <c r="EW3416" s="501"/>
      <c r="EX3416" s="501"/>
      <c r="EY3416" s="501"/>
      <c r="EZ3416" s="501"/>
      <c r="FA3416" s="501"/>
      <c r="FB3416" s="501"/>
      <c r="FC3416" s="501"/>
      <c r="FD3416" s="501"/>
      <c r="FE3416" s="501"/>
      <c r="FF3416" s="501"/>
      <c r="FG3416" s="501"/>
      <c r="FH3416" s="501"/>
      <c r="FI3416" s="501"/>
      <c r="FJ3416" s="501"/>
      <c r="FK3416" s="501"/>
      <c r="FL3416" s="501"/>
      <c r="FM3416" s="501"/>
      <c r="FN3416" s="501"/>
      <c r="FO3416" s="501"/>
      <c r="FP3416" s="501"/>
      <c r="FQ3416" s="501"/>
      <c r="FR3416" s="501"/>
      <c r="FS3416" s="501"/>
      <c r="FT3416" s="501"/>
      <c r="FU3416" s="501"/>
      <c r="FV3416" s="501"/>
      <c r="FW3416" s="501"/>
      <c r="FX3416" s="501"/>
      <c r="FY3416" s="501"/>
      <c r="FZ3416" s="501"/>
      <c r="GA3416" s="501"/>
      <c r="GB3416" s="501"/>
      <c r="GC3416" s="501"/>
      <c r="GD3416" s="501"/>
      <c r="GE3416" s="501"/>
      <c r="GF3416" s="501"/>
      <c r="GG3416" s="501"/>
      <c r="GH3416" s="501"/>
      <c r="GI3416" s="501"/>
      <c r="GJ3416" s="501"/>
      <c r="GK3416" s="501"/>
      <c r="GL3416" s="501"/>
      <c r="GM3416" s="501"/>
      <c r="GN3416" s="501"/>
      <c r="GO3416" s="501"/>
      <c r="GP3416" s="501"/>
      <c r="GQ3416" s="501"/>
      <c r="GR3416" s="501"/>
      <c r="GS3416" s="501"/>
      <c r="GT3416" s="501"/>
      <c r="GU3416" s="501"/>
      <c r="GV3416" s="501"/>
      <c r="GW3416" s="501"/>
      <c r="GX3416" s="501"/>
      <c r="GY3416" s="501"/>
      <c r="GZ3416" s="501"/>
      <c r="HA3416" s="501"/>
      <c r="HB3416" s="501"/>
      <c r="HC3416" s="501"/>
      <c r="HD3416" s="501"/>
      <c r="HE3416" s="501"/>
      <c r="HF3416" s="501"/>
      <c r="HG3416" s="501"/>
      <c r="HH3416" s="501"/>
      <c r="HI3416" s="501"/>
      <c r="HJ3416" s="501"/>
      <c r="HK3416" s="501"/>
      <c r="HL3416" s="501"/>
      <c r="HM3416" s="501"/>
      <c r="HN3416" s="501"/>
      <c r="HO3416" s="501"/>
      <c r="HP3416" s="501"/>
      <c r="HQ3416" s="501"/>
      <c r="HR3416" s="501"/>
      <c r="HS3416" s="501"/>
      <c r="HT3416" s="501"/>
      <c r="HU3416" s="501"/>
      <c r="HV3416" s="501"/>
      <c r="HW3416" s="501"/>
      <c r="HX3416" s="501"/>
      <c r="HY3416" s="501"/>
      <c r="HZ3416" s="501"/>
      <c r="IA3416" s="501"/>
      <c r="IB3416" s="501"/>
      <c r="IC3416" s="501"/>
      <c r="ID3416" s="501"/>
      <c r="IE3416" s="501"/>
      <c r="IF3416" s="501"/>
      <c r="IG3416" s="501"/>
      <c r="IH3416" s="501"/>
      <c r="II3416" s="501"/>
      <c r="IJ3416" s="501"/>
      <c r="IK3416" s="501"/>
      <c r="IL3416" s="501"/>
      <c r="IM3416" s="501"/>
      <c r="IN3416" s="501"/>
      <c r="IO3416" s="501"/>
      <c r="IP3416" s="501"/>
      <c r="IQ3416" s="501"/>
      <c r="IR3416" s="501"/>
      <c r="IS3416" s="501"/>
      <c r="IT3416" s="501"/>
      <c r="IU3416" s="501"/>
    </row>
    <row r="3417" spans="1:255" s="877" customFormat="1" ht="24" customHeight="1">
      <c r="A3417" s="501"/>
      <c r="B3417" s="501"/>
      <c r="C3417" s="501"/>
      <c r="D3417" s="501"/>
      <c r="E3417" s="501"/>
      <c r="F3417" s="501"/>
      <c r="G3417" s="915"/>
      <c r="H3417" s="501"/>
      <c r="I3417" s="874"/>
      <c r="J3417" s="501"/>
      <c r="K3417" s="501"/>
      <c r="L3417" s="874"/>
      <c r="M3417" s="554"/>
      <c r="N3417" s="501"/>
      <c r="O3417" s="1097"/>
      <c r="P3417" s="1151"/>
      <c r="Q3417" s="973"/>
      <c r="R3417" s="1102"/>
      <c r="S3417" s="1185"/>
      <c r="T3417" s="1097"/>
      <c r="V3417" s="501"/>
      <c r="W3417" s="501"/>
      <c r="X3417" s="501"/>
      <c r="Y3417" s="501"/>
      <c r="Z3417" s="501"/>
      <c r="AA3417" s="501"/>
      <c r="AB3417" s="501"/>
      <c r="AC3417" s="501"/>
      <c r="AD3417" s="501"/>
      <c r="AE3417" s="501"/>
      <c r="AF3417" s="501"/>
      <c r="AG3417" s="501"/>
      <c r="AH3417" s="501"/>
      <c r="AI3417" s="501"/>
      <c r="AJ3417" s="501"/>
      <c r="AK3417" s="501"/>
      <c r="AL3417" s="501"/>
      <c r="AM3417" s="501"/>
      <c r="AN3417" s="501"/>
      <c r="AO3417" s="501"/>
      <c r="AP3417" s="501"/>
      <c r="AQ3417" s="501"/>
      <c r="AR3417" s="501"/>
      <c r="AS3417" s="501"/>
      <c r="AT3417" s="501"/>
      <c r="AU3417" s="501"/>
      <c r="AV3417" s="501"/>
      <c r="AW3417" s="501"/>
      <c r="AX3417" s="501"/>
      <c r="AY3417" s="501"/>
      <c r="AZ3417" s="501"/>
      <c r="BA3417" s="501"/>
      <c r="BB3417" s="501"/>
      <c r="BC3417" s="501"/>
      <c r="BD3417" s="501"/>
      <c r="BE3417" s="501"/>
      <c r="BF3417" s="501"/>
      <c r="BG3417" s="501"/>
      <c r="BH3417" s="501"/>
      <c r="BI3417" s="501"/>
      <c r="BJ3417" s="501"/>
      <c r="BK3417" s="501"/>
      <c r="BL3417" s="501"/>
      <c r="BM3417" s="501"/>
      <c r="BN3417" s="501"/>
      <c r="BO3417" s="501"/>
      <c r="BP3417" s="501"/>
      <c r="BQ3417" s="501"/>
      <c r="BR3417" s="501"/>
      <c r="BS3417" s="501"/>
      <c r="BT3417" s="501"/>
      <c r="BU3417" s="501"/>
      <c r="BV3417" s="501"/>
      <c r="BW3417" s="501"/>
      <c r="BX3417" s="501"/>
      <c r="BY3417" s="501"/>
      <c r="BZ3417" s="501"/>
      <c r="CA3417" s="501"/>
      <c r="CB3417" s="501"/>
      <c r="CC3417" s="501"/>
      <c r="CD3417" s="501"/>
      <c r="CE3417" s="501"/>
      <c r="CF3417" s="501"/>
      <c r="CG3417" s="501"/>
      <c r="CH3417" s="501"/>
      <c r="CI3417" s="501"/>
      <c r="CJ3417" s="501"/>
      <c r="CK3417" s="501"/>
      <c r="CL3417" s="501"/>
      <c r="CM3417" s="501"/>
      <c r="CN3417" s="501"/>
      <c r="CO3417" s="501"/>
      <c r="CP3417" s="501"/>
      <c r="CQ3417" s="501"/>
      <c r="CR3417" s="501"/>
      <c r="CS3417" s="501"/>
      <c r="CT3417" s="501"/>
      <c r="CU3417" s="501"/>
      <c r="CV3417" s="501"/>
      <c r="CW3417" s="501"/>
      <c r="CX3417" s="501"/>
      <c r="CY3417" s="501"/>
      <c r="CZ3417" s="501"/>
      <c r="DA3417" s="501"/>
      <c r="DB3417" s="501"/>
      <c r="DC3417" s="501"/>
      <c r="DD3417" s="501"/>
      <c r="DE3417" s="501"/>
      <c r="DF3417" s="501"/>
      <c r="DG3417" s="501"/>
      <c r="DH3417" s="501"/>
      <c r="DI3417" s="501"/>
      <c r="DJ3417" s="501"/>
      <c r="DK3417" s="501"/>
      <c r="DL3417" s="501"/>
      <c r="DM3417" s="501"/>
      <c r="DN3417" s="501"/>
      <c r="DO3417" s="501"/>
      <c r="DP3417" s="501"/>
      <c r="DQ3417" s="501"/>
      <c r="DR3417" s="501"/>
      <c r="DS3417" s="501"/>
      <c r="DT3417" s="501"/>
      <c r="DU3417" s="501"/>
      <c r="DV3417" s="501"/>
      <c r="DW3417" s="501"/>
      <c r="DX3417" s="501"/>
      <c r="DY3417" s="501"/>
      <c r="DZ3417" s="501"/>
      <c r="EA3417" s="501"/>
      <c r="EB3417" s="501"/>
      <c r="EC3417" s="501"/>
      <c r="ED3417" s="501"/>
      <c r="EE3417" s="501"/>
      <c r="EF3417" s="501"/>
      <c r="EG3417" s="501"/>
      <c r="EH3417" s="501"/>
      <c r="EI3417" s="501"/>
      <c r="EJ3417" s="501"/>
      <c r="EK3417" s="501"/>
      <c r="EL3417" s="501"/>
      <c r="EM3417" s="501"/>
      <c r="EN3417" s="501"/>
      <c r="EO3417" s="501"/>
      <c r="EP3417" s="501"/>
      <c r="EQ3417" s="501"/>
      <c r="ER3417" s="501"/>
      <c r="ES3417" s="501"/>
      <c r="ET3417" s="501"/>
      <c r="EU3417" s="501"/>
      <c r="EV3417" s="501"/>
      <c r="EW3417" s="501"/>
      <c r="EX3417" s="501"/>
      <c r="EY3417" s="501"/>
      <c r="EZ3417" s="501"/>
      <c r="FA3417" s="501"/>
      <c r="FB3417" s="501"/>
      <c r="FC3417" s="501"/>
      <c r="FD3417" s="501"/>
      <c r="FE3417" s="501"/>
      <c r="FF3417" s="501"/>
      <c r="FG3417" s="501"/>
      <c r="FH3417" s="501"/>
      <c r="FI3417" s="501"/>
      <c r="FJ3417" s="501"/>
      <c r="FK3417" s="501"/>
      <c r="FL3417" s="501"/>
      <c r="FM3417" s="501"/>
      <c r="FN3417" s="501"/>
      <c r="FO3417" s="501"/>
      <c r="FP3417" s="501"/>
      <c r="FQ3417" s="501"/>
      <c r="FR3417" s="501"/>
      <c r="FS3417" s="501"/>
      <c r="FT3417" s="501"/>
      <c r="FU3417" s="501"/>
      <c r="FV3417" s="501"/>
      <c r="FW3417" s="501"/>
      <c r="FX3417" s="501"/>
      <c r="FY3417" s="501"/>
      <c r="FZ3417" s="501"/>
      <c r="GA3417" s="501"/>
      <c r="GB3417" s="501"/>
      <c r="GC3417" s="501"/>
      <c r="GD3417" s="501"/>
      <c r="GE3417" s="501"/>
      <c r="GF3417" s="501"/>
      <c r="GG3417" s="501"/>
      <c r="GH3417" s="501"/>
      <c r="GI3417" s="501"/>
      <c r="GJ3417" s="501"/>
      <c r="GK3417" s="501"/>
      <c r="GL3417" s="501"/>
      <c r="GM3417" s="501"/>
      <c r="GN3417" s="501"/>
      <c r="GO3417" s="501"/>
      <c r="GP3417" s="501"/>
      <c r="GQ3417" s="501"/>
      <c r="GR3417" s="501"/>
      <c r="GS3417" s="501"/>
      <c r="GT3417" s="501"/>
      <c r="GU3417" s="501"/>
      <c r="GV3417" s="501"/>
      <c r="GW3417" s="501"/>
      <c r="GX3417" s="501"/>
      <c r="GY3417" s="501"/>
      <c r="GZ3417" s="501"/>
      <c r="HA3417" s="501"/>
      <c r="HB3417" s="501"/>
      <c r="HC3417" s="501"/>
      <c r="HD3417" s="501"/>
      <c r="HE3417" s="501"/>
      <c r="HF3417" s="501"/>
      <c r="HG3417" s="501"/>
      <c r="HH3417" s="501"/>
      <c r="HI3417" s="501"/>
      <c r="HJ3417" s="501"/>
      <c r="HK3417" s="501"/>
      <c r="HL3417" s="501"/>
      <c r="HM3417" s="501"/>
      <c r="HN3417" s="501"/>
      <c r="HO3417" s="501"/>
      <c r="HP3417" s="501"/>
      <c r="HQ3417" s="501"/>
      <c r="HR3417" s="501"/>
      <c r="HS3417" s="501"/>
      <c r="HT3417" s="501"/>
      <c r="HU3417" s="501"/>
      <c r="HV3417" s="501"/>
      <c r="HW3417" s="501"/>
      <c r="HX3417" s="501"/>
      <c r="HY3417" s="501"/>
      <c r="HZ3417" s="501"/>
      <c r="IA3417" s="501"/>
      <c r="IB3417" s="501"/>
      <c r="IC3417" s="501"/>
      <c r="ID3417" s="501"/>
      <c r="IE3417" s="501"/>
      <c r="IF3417" s="501"/>
      <c r="IG3417" s="501"/>
      <c r="IH3417" s="501"/>
      <c r="II3417" s="501"/>
      <c r="IJ3417" s="501"/>
      <c r="IK3417" s="501"/>
      <c r="IL3417" s="501"/>
      <c r="IM3417" s="501"/>
      <c r="IN3417" s="501"/>
      <c r="IO3417" s="501"/>
      <c r="IP3417" s="501"/>
      <c r="IQ3417" s="501"/>
      <c r="IR3417" s="501"/>
      <c r="IS3417" s="501"/>
      <c r="IT3417" s="501"/>
      <c r="IU3417" s="501"/>
    </row>
    <row r="3418" spans="1:255" s="877" customFormat="1" ht="24" customHeight="1">
      <c r="A3418" s="501"/>
      <c r="B3418" s="501"/>
      <c r="C3418" s="501"/>
      <c r="D3418" s="501"/>
      <c r="E3418" s="501"/>
      <c r="F3418" s="501"/>
      <c r="G3418" s="915"/>
      <c r="H3418" s="501"/>
      <c r="I3418" s="874"/>
      <c r="J3418" s="501"/>
      <c r="K3418" s="501"/>
      <c r="L3418" s="874"/>
      <c r="M3418" s="554"/>
      <c r="N3418" s="501"/>
      <c r="O3418" s="1097"/>
      <c r="P3418" s="1151"/>
      <c r="Q3418" s="973"/>
      <c r="R3418" s="1102"/>
      <c r="S3418" s="1186"/>
      <c r="T3418" s="1097"/>
      <c r="V3418" s="501"/>
      <c r="W3418" s="501"/>
      <c r="X3418" s="501"/>
      <c r="Y3418" s="501"/>
      <c r="Z3418" s="501"/>
      <c r="AA3418" s="501"/>
      <c r="AB3418" s="501"/>
      <c r="AC3418" s="501"/>
      <c r="AD3418" s="501"/>
      <c r="AE3418" s="501"/>
      <c r="AF3418" s="501"/>
      <c r="AG3418" s="501"/>
      <c r="AH3418" s="501"/>
      <c r="AI3418" s="501"/>
      <c r="AJ3418" s="501"/>
      <c r="AK3418" s="501"/>
      <c r="AL3418" s="501"/>
      <c r="AM3418" s="501"/>
      <c r="AN3418" s="501"/>
      <c r="AO3418" s="501"/>
      <c r="AP3418" s="501"/>
      <c r="AQ3418" s="501"/>
      <c r="AR3418" s="501"/>
      <c r="AS3418" s="501"/>
      <c r="AT3418" s="501"/>
      <c r="AU3418" s="501"/>
      <c r="AV3418" s="501"/>
      <c r="AW3418" s="501"/>
      <c r="AX3418" s="501"/>
      <c r="AY3418" s="501"/>
      <c r="AZ3418" s="501"/>
      <c r="BA3418" s="501"/>
      <c r="BB3418" s="501"/>
      <c r="BC3418" s="501"/>
      <c r="BD3418" s="501"/>
      <c r="BE3418" s="501"/>
      <c r="BF3418" s="501"/>
      <c r="BG3418" s="501"/>
      <c r="BH3418" s="501"/>
      <c r="BI3418" s="501"/>
      <c r="BJ3418" s="501"/>
      <c r="BK3418" s="501"/>
      <c r="BL3418" s="501"/>
      <c r="BM3418" s="501"/>
      <c r="BN3418" s="501"/>
      <c r="BO3418" s="501"/>
      <c r="BP3418" s="501"/>
      <c r="BQ3418" s="501"/>
      <c r="BR3418" s="501"/>
      <c r="BS3418" s="501"/>
      <c r="BT3418" s="501"/>
      <c r="BU3418" s="501"/>
      <c r="BV3418" s="501"/>
      <c r="BW3418" s="501"/>
      <c r="BX3418" s="501"/>
      <c r="BY3418" s="501"/>
      <c r="BZ3418" s="501"/>
      <c r="CA3418" s="501"/>
      <c r="CB3418" s="501"/>
      <c r="CC3418" s="501"/>
      <c r="CD3418" s="501"/>
      <c r="CE3418" s="501"/>
      <c r="CF3418" s="501"/>
      <c r="CG3418" s="501"/>
      <c r="CH3418" s="501"/>
      <c r="CI3418" s="501"/>
      <c r="CJ3418" s="501"/>
      <c r="CK3418" s="501"/>
      <c r="CL3418" s="501"/>
      <c r="CM3418" s="501"/>
      <c r="CN3418" s="501"/>
      <c r="CO3418" s="501"/>
      <c r="CP3418" s="501"/>
      <c r="CQ3418" s="501"/>
      <c r="CR3418" s="501"/>
      <c r="CS3418" s="501"/>
      <c r="CT3418" s="501"/>
      <c r="CU3418" s="501"/>
      <c r="CV3418" s="501"/>
      <c r="CW3418" s="501"/>
      <c r="CX3418" s="501"/>
      <c r="CY3418" s="501"/>
      <c r="CZ3418" s="501"/>
      <c r="DA3418" s="501"/>
      <c r="DB3418" s="501"/>
      <c r="DC3418" s="501"/>
      <c r="DD3418" s="501"/>
      <c r="DE3418" s="501"/>
      <c r="DF3418" s="501"/>
      <c r="DG3418" s="501"/>
      <c r="DH3418" s="501"/>
      <c r="DI3418" s="501"/>
      <c r="DJ3418" s="501"/>
      <c r="DK3418" s="501"/>
      <c r="DL3418" s="501"/>
      <c r="DM3418" s="501"/>
      <c r="DN3418" s="501"/>
      <c r="DO3418" s="501"/>
      <c r="DP3418" s="501"/>
      <c r="DQ3418" s="501"/>
      <c r="DR3418" s="501"/>
      <c r="DS3418" s="501"/>
      <c r="DT3418" s="501"/>
      <c r="DU3418" s="501"/>
      <c r="DV3418" s="501"/>
      <c r="DW3418" s="501"/>
      <c r="DX3418" s="501"/>
      <c r="DY3418" s="501"/>
      <c r="DZ3418" s="501"/>
      <c r="EA3418" s="501"/>
      <c r="EB3418" s="501"/>
      <c r="EC3418" s="501"/>
      <c r="ED3418" s="501"/>
      <c r="EE3418" s="501"/>
      <c r="EF3418" s="501"/>
      <c r="EG3418" s="501"/>
      <c r="EH3418" s="501"/>
      <c r="EI3418" s="501"/>
      <c r="EJ3418" s="501"/>
      <c r="EK3418" s="501"/>
      <c r="EL3418" s="501"/>
      <c r="EM3418" s="501"/>
      <c r="EN3418" s="501"/>
      <c r="EO3418" s="501"/>
      <c r="EP3418" s="501"/>
      <c r="EQ3418" s="501"/>
      <c r="ER3418" s="501"/>
      <c r="ES3418" s="501"/>
      <c r="ET3418" s="501"/>
      <c r="EU3418" s="501"/>
      <c r="EV3418" s="501"/>
      <c r="EW3418" s="501"/>
      <c r="EX3418" s="501"/>
      <c r="EY3418" s="501"/>
      <c r="EZ3418" s="501"/>
      <c r="FA3418" s="501"/>
      <c r="FB3418" s="501"/>
      <c r="FC3418" s="501"/>
      <c r="FD3418" s="501"/>
      <c r="FE3418" s="501"/>
      <c r="FF3418" s="501"/>
      <c r="FG3418" s="501"/>
      <c r="FH3418" s="501"/>
      <c r="FI3418" s="501"/>
      <c r="FJ3418" s="501"/>
      <c r="FK3418" s="501"/>
      <c r="FL3418" s="501"/>
      <c r="FM3418" s="501"/>
      <c r="FN3418" s="501"/>
      <c r="FO3418" s="501"/>
      <c r="FP3418" s="501"/>
      <c r="FQ3418" s="501"/>
      <c r="FR3418" s="501"/>
      <c r="FS3418" s="501"/>
      <c r="FT3418" s="501"/>
      <c r="FU3418" s="501"/>
      <c r="FV3418" s="501"/>
      <c r="FW3418" s="501"/>
      <c r="FX3418" s="501"/>
      <c r="FY3418" s="501"/>
      <c r="FZ3418" s="501"/>
      <c r="GA3418" s="501"/>
      <c r="GB3418" s="501"/>
      <c r="GC3418" s="501"/>
      <c r="GD3418" s="501"/>
      <c r="GE3418" s="501"/>
      <c r="GF3418" s="501"/>
      <c r="GG3418" s="501"/>
      <c r="GH3418" s="501"/>
      <c r="GI3418" s="501"/>
      <c r="GJ3418" s="501"/>
      <c r="GK3418" s="501"/>
      <c r="GL3418" s="501"/>
      <c r="GM3418" s="501"/>
      <c r="GN3418" s="501"/>
      <c r="GO3418" s="501"/>
      <c r="GP3418" s="501"/>
      <c r="GQ3418" s="501"/>
      <c r="GR3418" s="501"/>
      <c r="GS3418" s="501"/>
      <c r="GT3418" s="501"/>
      <c r="GU3418" s="501"/>
      <c r="GV3418" s="501"/>
      <c r="GW3418" s="501"/>
      <c r="GX3418" s="501"/>
      <c r="GY3418" s="501"/>
      <c r="GZ3418" s="501"/>
      <c r="HA3418" s="501"/>
      <c r="HB3418" s="501"/>
      <c r="HC3418" s="501"/>
      <c r="HD3418" s="501"/>
      <c r="HE3418" s="501"/>
      <c r="HF3418" s="501"/>
      <c r="HG3418" s="501"/>
      <c r="HH3418" s="501"/>
      <c r="HI3418" s="501"/>
      <c r="HJ3418" s="501"/>
      <c r="HK3418" s="501"/>
      <c r="HL3418" s="501"/>
      <c r="HM3418" s="501"/>
      <c r="HN3418" s="501"/>
      <c r="HO3418" s="501"/>
      <c r="HP3418" s="501"/>
      <c r="HQ3418" s="501"/>
      <c r="HR3418" s="501"/>
      <c r="HS3418" s="501"/>
      <c r="HT3418" s="501"/>
      <c r="HU3418" s="501"/>
      <c r="HV3418" s="501"/>
      <c r="HW3418" s="501"/>
      <c r="HX3418" s="501"/>
      <c r="HY3418" s="501"/>
      <c r="HZ3418" s="501"/>
      <c r="IA3418" s="501"/>
      <c r="IB3418" s="501"/>
      <c r="IC3418" s="501"/>
      <c r="ID3418" s="501"/>
      <c r="IE3418" s="501"/>
      <c r="IF3418" s="501"/>
      <c r="IG3418" s="501"/>
      <c r="IH3418" s="501"/>
      <c r="II3418" s="501"/>
      <c r="IJ3418" s="501"/>
      <c r="IK3418" s="501"/>
      <c r="IL3418" s="501"/>
      <c r="IM3418" s="501"/>
      <c r="IN3418" s="501"/>
      <c r="IO3418" s="501"/>
      <c r="IP3418" s="501"/>
      <c r="IQ3418" s="501"/>
      <c r="IR3418" s="501"/>
      <c r="IS3418" s="501"/>
      <c r="IT3418" s="501"/>
      <c r="IU3418" s="501"/>
    </row>
    <row r="3419" spans="1:255" s="877" customFormat="1" ht="24" customHeight="1">
      <c r="A3419" s="501"/>
      <c r="B3419" s="501"/>
      <c r="C3419" s="501"/>
      <c r="D3419" s="501"/>
      <c r="E3419" s="501"/>
      <c r="F3419" s="501"/>
      <c r="G3419" s="915"/>
      <c r="H3419" s="501"/>
      <c r="I3419" s="874"/>
      <c r="J3419" s="501"/>
      <c r="K3419" s="501"/>
      <c r="L3419" s="874"/>
      <c r="M3419" s="554"/>
      <c r="N3419" s="501"/>
      <c r="O3419" s="1097"/>
      <c r="P3419" s="1151"/>
      <c r="Q3419" s="973"/>
      <c r="R3419" s="501"/>
      <c r="S3419" s="554"/>
      <c r="T3419" s="1097"/>
      <c r="V3419" s="501"/>
      <c r="W3419" s="501"/>
      <c r="X3419" s="501"/>
      <c r="Y3419" s="501"/>
      <c r="Z3419" s="501"/>
      <c r="AA3419" s="501"/>
      <c r="AB3419" s="501"/>
      <c r="AC3419" s="501"/>
      <c r="AD3419" s="501"/>
      <c r="AE3419" s="501"/>
      <c r="AF3419" s="501"/>
      <c r="AG3419" s="501"/>
      <c r="AH3419" s="501"/>
      <c r="AI3419" s="501"/>
      <c r="AJ3419" s="501"/>
      <c r="AK3419" s="501"/>
      <c r="AL3419" s="501"/>
      <c r="AM3419" s="501"/>
      <c r="AN3419" s="501"/>
      <c r="AO3419" s="501"/>
      <c r="AP3419" s="501"/>
      <c r="AQ3419" s="501"/>
      <c r="AR3419" s="501"/>
      <c r="AS3419" s="501"/>
      <c r="AT3419" s="501"/>
      <c r="AU3419" s="501"/>
      <c r="AV3419" s="501"/>
      <c r="AW3419" s="501"/>
      <c r="AX3419" s="501"/>
      <c r="AY3419" s="501"/>
      <c r="AZ3419" s="501"/>
      <c r="BA3419" s="501"/>
      <c r="BB3419" s="501"/>
      <c r="BC3419" s="501"/>
      <c r="BD3419" s="501"/>
      <c r="BE3419" s="501"/>
      <c r="BF3419" s="501"/>
      <c r="BG3419" s="501"/>
      <c r="BH3419" s="501"/>
      <c r="BI3419" s="501"/>
      <c r="BJ3419" s="501"/>
      <c r="BK3419" s="501"/>
      <c r="BL3419" s="501"/>
      <c r="BM3419" s="501"/>
      <c r="BN3419" s="501"/>
      <c r="BO3419" s="501"/>
      <c r="BP3419" s="501"/>
      <c r="BQ3419" s="501"/>
      <c r="BR3419" s="501"/>
      <c r="BS3419" s="501"/>
      <c r="BT3419" s="501"/>
      <c r="BU3419" s="501"/>
      <c r="BV3419" s="501"/>
      <c r="BW3419" s="501"/>
      <c r="BX3419" s="501"/>
      <c r="BY3419" s="501"/>
      <c r="BZ3419" s="501"/>
      <c r="CA3419" s="501"/>
      <c r="CB3419" s="501"/>
      <c r="CC3419" s="501"/>
      <c r="CD3419" s="501"/>
      <c r="CE3419" s="501"/>
      <c r="CF3419" s="501"/>
      <c r="CG3419" s="501"/>
      <c r="CH3419" s="501"/>
      <c r="CI3419" s="501"/>
      <c r="CJ3419" s="501"/>
      <c r="CK3419" s="501"/>
      <c r="CL3419" s="501"/>
      <c r="CM3419" s="501"/>
      <c r="CN3419" s="501"/>
      <c r="CO3419" s="501"/>
      <c r="CP3419" s="501"/>
      <c r="CQ3419" s="501"/>
      <c r="CR3419" s="501"/>
      <c r="CS3419" s="501"/>
      <c r="CT3419" s="501"/>
      <c r="CU3419" s="501"/>
      <c r="CV3419" s="501"/>
      <c r="CW3419" s="501"/>
      <c r="CX3419" s="501"/>
      <c r="CY3419" s="501"/>
      <c r="CZ3419" s="501"/>
      <c r="DA3419" s="501"/>
      <c r="DB3419" s="501"/>
      <c r="DC3419" s="501"/>
      <c r="DD3419" s="501"/>
      <c r="DE3419" s="501"/>
      <c r="DF3419" s="501"/>
      <c r="DG3419" s="501"/>
      <c r="DH3419" s="501"/>
      <c r="DI3419" s="501"/>
      <c r="DJ3419" s="501"/>
      <c r="DK3419" s="501"/>
      <c r="DL3419" s="501"/>
      <c r="DM3419" s="501"/>
      <c r="DN3419" s="501"/>
      <c r="DO3419" s="501"/>
      <c r="DP3419" s="501"/>
      <c r="DQ3419" s="501"/>
      <c r="DR3419" s="501"/>
      <c r="DS3419" s="501"/>
      <c r="DT3419" s="501"/>
      <c r="DU3419" s="501"/>
      <c r="DV3419" s="501"/>
      <c r="DW3419" s="501"/>
      <c r="DX3419" s="501"/>
      <c r="DY3419" s="501"/>
      <c r="DZ3419" s="501"/>
      <c r="EA3419" s="501"/>
      <c r="EB3419" s="501"/>
      <c r="EC3419" s="501"/>
      <c r="ED3419" s="501"/>
      <c r="EE3419" s="501"/>
      <c r="EF3419" s="501"/>
      <c r="EG3419" s="501"/>
      <c r="EH3419" s="501"/>
      <c r="EI3419" s="501"/>
      <c r="EJ3419" s="501"/>
      <c r="EK3419" s="501"/>
      <c r="EL3419" s="501"/>
      <c r="EM3419" s="501"/>
      <c r="EN3419" s="501"/>
      <c r="EO3419" s="501"/>
      <c r="EP3419" s="501"/>
      <c r="EQ3419" s="501"/>
      <c r="ER3419" s="501"/>
      <c r="ES3419" s="501"/>
      <c r="ET3419" s="501"/>
      <c r="EU3419" s="501"/>
      <c r="EV3419" s="501"/>
      <c r="EW3419" s="501"/>
      <c r="EX3419" s="501"/>
      <c r="EY3419" s="501"/>
      <c r="EZ3419" s="501"/>
      <c r="FA3419" s="501"/>
      <c r="FB3419" s="501"/>
      <c r="FC3419" s="501"/>
      <c r="FD3419" s="501"/>
      <c r="FE3419" s="501"/>
      <c r="FF3419" s="501"/>
      <c r="FG3419" s="501"/>
      <c r="FH3419" s="501"/>
      <c r="FI3419" s="501"/>
      <c r="FJ3419" s="501"/>
      <c r="FK3419" s="501"/>
      <c r="FL3419" s="501"/>
      <c r="FM3419" s="501"/>
      <c r="FN3419" s="501"/>
      <c r="FO3419" s="501"/>
      <c r="FP3419" s="501"/>
      <c r="FQ3419" s="501"/>
      <c r="FR3419" s="501"/>
      <c r="FS3419" s="501"/>
      <c r="FT3419" s="501"/>
      <c r="FU3419" s="501"/>
      <c r="FV3419" s="501"/>
      <c r="FW3419" s="501"/>
      <c r="FX3419" s="501"/>
      <c r="FY3419" s="501"/>
      <c r="FZ3419" s="501"/>
      <c r="GA3419" s="501"/>
      <c r="GB3419" s="501"/>
      <c r="GC3419" s="501"/>
      <c r="GD3419" s="501"/>
      <c r="GE3419" s="501"/>
      <c r="GF3419" s="501"/>
      <c r="GG3419" s="501"/>
      <c r="GH3419" s="501"/>
      <c r="GI3419" s="501"/>
      <c r="GJ3419" s="501"/>
      <c r="GK3419" s="501"/>
      <c r="GL3419" s="501"/>
      <c r="GM3419" s="501"/>
      <c r="GN3419" s="501"/>
      <c r="GO3419" s="501"/>
      <c r="GP3419" s="501"/>
      <c r="GQ3419" s="501"/>
      <c r="GR3419" s="501"/>
      <c r="GS3419" s="501"/>
      <c r="GT3419" s="501"/>
      <c r="GU3419" s="501"/>
      <c r="GV3419" s="501"/>
      <c r="GW3419" s="501"/>
      <c r="GX3419" s="501"/>
      <c r="GY3419" s="501"/>
      <c r="GZ3419" s="501"/>
      <c r="HA3419" s="501"/>
      <c r="HB3419" s="501"/>
      <c r="HC3419" s="501"/>
      <c r="HD3419" s="501"/>
      <c r="HE3419" s="501"/>
      <c r="HF3419" s="501"/>
      <c r="HG3419" s="501"/>
      <c r="HH3419" s="501"/>
      <c r="HI3419" s="501"/>
      <c r="HJ3419" s="501"/>
      <c r="HK3419" s="501"/>
      <c r="HL3419" s="501"/>
      <c r="HM3419" s="501"/>
      <c r="HN3419" s="501"/>
      <c r="HO3419" s="501"/>
      <c r="HP3419" s="501"/>
      <c r="HQ3419" s="501"/>
      <c r="HR3419" s="501"/>
      <c r="HS3419" s="501"/>
      <c r="HT3419" s="501"/>
      <c r="HU3419" s="501"/>
      <c r="HV3419" s="501"/>
      <c r="HW3419" s="501"/>
      <c r="HX3419" s="501"/>
      <c r="HY3419" s="501"/>
      <c r="HZ3419" s="501"/>
      <c r="IA3419" s="501"/>
      <c r="IB3419" s="501"/>
      <c r="IC3419" s="501"/>
      <c r="ID3419" s="501"/>
      <c r="IE3419" s="501"/>
      <c r="IF3419" s="501"/>
      <c r="IG3419" s="501"/>
      <c r="IH3419" s="501"/>
      <c r="II3419" s="501"/>
      <c r="IJ3419" s="501"/>
      <c r="IK3419" s="501"/>
      <c r="IL3419" s="501"/>
      <c r="IM3419" s="501"/>
      <c r="IN3419" s="501"/>
      <c r="IO3419" s="501"/>
      <c r="IP3419" s="501"/>
      <c r="IQ3419" s="501"/>
      <c r="IR3419" s="501"/>
      <c r="IS3419" s="501"/>
      <c r="IT3419" s="501"/>
      <c r="IU3419" s="501"/>
    </row>
    <row r="3420" spans="1:255" s="877" customFormat="1" ht="24" customHeight="1">
      <c r="A3420" s="501"/>
      <c r="B3420" s="501"/>
      <c r="C3420" s="501"/>
      <c r="D3420" s="501"/>
      <c r="E3420" s="501"/>
      <c r="F3420" s="501"/>
      <c r="G3420" s="915"/>
      <c r="H3420" s="501"/>
      <c r="I3420" s="874"/>
      <c r="J3420" s="501"/>
      <c r="K3420" s="501"/>
      <c r="L3420" s="874"/>
      <c r="M3420" s="554"/>
      <c r="N3420" s="501"/>
      <c r="O3420" s="1097"/>
      <c r="P3420" s="1151"/>
      <c r="Q3420" s="973"/>
      <c r="R3420" s="1102"/>
      <c r="S3420" s="1187"/>
      <c r="T3420" s="1097"/>
      <c r="V3420" s="501"/>
      <c r="W3420" s="501"/>
      <c r="X3420" s="501"/>
      <c r="Y3420" s="501"/>
      <c r="Z3420" s="501"/>
      <c r="AA3420" s="501"/>
      <c r="AB3420" s="501"/>
      <c r="AC3420" s="501"/>
      <c r="AD3420" s="501"/>
      <c r="AE3420" s="501"/>
      <c r="AF3420" s="501"/>
      <c r="AG3420" s="501"/>
      <c r="AH3420" s="501"/>
      <c r="AI3420" s="501"/>
      <c r="AJ3420" s="501"/>
      <c r="AK3420" s="501"/>
      <c r="AL3420" s="501"/>
      <c r="AM3420" s="501"/>
      <c r="AN3420" s="501"/>
      <c r="AO3420" s="501"/>
      <c r="AP3420" s="501"/>
      <c r="AQ3420" s="501"/>
      <c r="AR3420" s="501"/>
      <c r="AS3420" s="501"/>
      <c r="AT3420" s="501"/>
      <c r="AU3420" s="501"/>
      <c r="AV3420" s="501"/>
      <c r="AW3420" s="501"/>
      <c r="AX3420" s="501"/>
      <c r="AY3420" s="501"/>
      <c r="AZ3420" s="501"/>
      <c r="BA3420" s="501"/>
      <c r="BB3420" s="501"/>
      <c r="BC3420" s="501"/>
      <c r="BD3420" s="501"/>
      <c r="BE3420" s="501"/>
      <c r="BF3420" s="501"/>
      <c r="BG3420" s="501"/>
      <c r="BH3420" s="501"/>
      <c r="BI3420" s="501"/>
      <c r="BJ3420" s="501"/>
      <c r="BK3420" s="501"/>
      <c r="BL3420" s="501"/>
      <c r="BM3420" s="501"/>
      <c r="BN3420" s="501"/>
      <c r="BO3420" s="501"/>
      <c r="BP3420" s="501"/>
      <c r="BQ3420" s="501"/>
      <c r="BR3420" s="501"/>
      <c r="BS3420" s="501"/>
      <c r="BT3420" s="501"/>
      <c r="BU3420" s="501"/>
      <c r="BV3420" s="501"/>
      <c r="BW3420" s="501"/>
      <c r="BX3420" s="501"/>
      <c r="BY3420" s="501"/>
      <c r="BZ3420" s="501"/>
      <c r="CA3420" s="501"/>
      <c r="CB3420" s="501"/>
      <c r="CC3420" s="501"/>
      <c r="CD3420" s="501"/>
      <c r="CE3420" s="501"/>
      <c r="CF3420" s="501"/>
      <c r="CG3420" s="501"/>
      <c r="CH3420" s="501"/>
      <c r="CI3420" s="501"/>
      <c r="CJ3420" s="501"/>
      <c r="CK3420" s="501"/>
      <c r="CL3420" s="501"/>
      <c r="CM3420" s="501"/>
      <c r="CN3420" s="501"/>
      <c r="CO3420" s="501"/>
      <c r="CP3420" s="501"/>
      <c r="CQ3420" s="501"/>
      <c r="CR3420" s="501"/>
      <c r="CS3420" s="501"/>
      <c r="CT3420" s="501"/>
      <c r="CU3420" s="501"/>
      <c r="CV3420" s="501"/>
      <c r="CW3420" s="501"/>
      <c r="CX3420" s="501"/>
      <c r="CY3420" s="501"/>
      <c r="CZ3420" s="501"/>
      <c r="DA3420" s="501"/>
      <c r="DB3420" s="501"/>
      <c r="DC3420" s="501"/>
      <c r="DD3420" s="501"/>
      <c r="DE3420" s="501"/>
      <c r="DF3420" s="501"/>
      <c r="DG3420" s="501"/>
      <c r="DH3420" s="501"/>
      <c r="DI3420" s="501"/>
      <c r="DJ3420" s="501"/>
      <c r="DK3420" s="501"/>
      <c r="DL3420" s="501"/>
      <c r="DM3420" s="501"/>
      <c r="DN3420" s="501"/>
      <c r="DO3420" s="501"/>
      <c r="DP3420" s="501"/>
      <c r="DQ3420" s="501"/>
      <c r="DR3420" s="501"/>
      <c r="DS3420" s="501"/>
      <c r="DT3420" s="501"/>
      <c r="DU3420" s="501"/>
      <c r="DV3420" s="501"/>
      <c r="DW3420" s="501"/>
      <c r="DX3420" s="501"/>
      <c r="DY3420" s="501"/>
      <c r="DZ3420" s="501"/>
      <c r="EA3420" s="501"/>
      <c r="EB3420" s="501"/>
      <c r="EC3420" s="501"/>
      <c r="ED3420" s="501"/>
      <c r="EE3420" s="501"/>
      <c r="EF3420" s="501"/>
      <c r="EG3420" s="501"/>
      <c r="EH3420" s="501"/>
      <c r="EI3420" s="501"/>
      <c r="EJ3420" s="501"/>
      <c r="EK3420" s="501"/>
      <c r="EL3420" s="501"/>
      <c r="EM3420" s="501"/>
      <c r="EN3420" s="501"/>
      <c r="EO3420" s="501"/>
      <c r="EP3420" s="501"/>
      <c r="EQ3420" s="501"/>
      <c r="ER3420" s="501"/>
      <c r="ES3420" s="501"/>
      <c r="ET3420" s="501"/>
      <c r="EU3420" s="501"/>
      <c r="EV3420" s="501"/>
      <c r="EW3420" s="501"/>
      <c r="EX3420" s="501"/>
      <c r="EY3420" s="501"/>
      <c r="EZ3420" s="501"/>
      <c r="FA3420" s="501"/>
      <c r="FB3420" s="501"/>
      <c r="FC3420" s="501"/>
      <c r="FD3420" s="501"/>
      <c r="FE3420" s="501"/>
      <c r="FF3420" s="501"/>
      <c r="FG3420" s="501"/>
      <c r="FH3420" s="501"/>
      <c r="FI3420" s="501"/>
      <c r="FJ3420" s="501"/>
      <c r="FK3420" s="501"/>
      <c r="FL3420" s="501"/>
      <c r="FM3420" s="501"/>
      <c r="FN3420" s="501"/>
      <c r="FO3420" s="501"/>
      <c r="FP3420" s="501"/>
      <c r="FQ3420" s="501"/>
      <c r="FR3420" s="501"/>
      <c r="FS3420" s="501"/>
      <c r="FT3420" s="501"/>
      <c r="FU3420" s="501"/>
      <c r="FV3420" s="501"/>
      <c r="FW3420" s="501"/>
      <c r="FX3420" s="501"/>
      <c r="FY3420" s="501"/>
      <c r="FZ3420" s="501"/>
      <c r="GA3420" s="501"/>
      <c r="GB3420" s="501"/>
      <c r="GC3420" s="501"/>
      <c r="GD3420" s="501"/>
      <c r="GE3420" s="501"/>
      <c r="GF3420" s="501"/>
      <c r="GG3420" s="501"/>
      <c r="GH3420" s="501"/>
      <c r="GI3420" s="501"/>
      <c r="GJ3420" s="501"/>
      <c r="GK3420" s="501"/>
      <c r="GL3420" s="501"/>
      <c r="GM3420" s="501"/>
      <c r="GN3420" s="501"/>
      <c r="GO3420" s="501"/>
      <c r="GP3420" s="501"/>
      <c r="GQ3420" s="501"/>
      <c r="GR3420" s="501"/>
      <c r="GS3420" s="501"/>
      <c r="GT3420" s="501"/>
      <c r="GU3420" s="501"/>
      <c r="GV3420" s="501"/>
      <c r="GW3420" s="501"/>
      <c r="GX3420" s="501"/>
      <c r="GY3420" s="501"/>
      <c r="GZ3420" s="501"/>
      <c r="HA3420" s="501"/>
      <c r="HB3420" s="501"/>
      <c r="HC3420" s="501"/>
      <c r="HD3420" s="501"/>
      <c r="HE3420" s="501"/>
      <c r="HF3420" s="501"/>
      <c r="HG3420" s="501"/>
      <c r="HH3420" s="501"/>
      <c r="HI3420" s="501"/>
      <c r="HJ3420" s="501"/>
      <c r="HK3420" s="501"/>
      <c r="HL3420" s="501"/>
      <c r="HM3420" s="501"/>
      <c r="HN3420" s="501"/>
      <c r="HO3420" s="501"/>
      <c r="HP3420" s="501"/>
      <c r="HQ3420" s="501"/>
      <c r="HR3420" s="501"/>
      <c r="HS3420" s="501"/>
      <c r="HT3420" s="501"/>
      <c r="HU3420" s="501"/>
      <c r="HV3420" s="501"/>
      <c r="HW3420" s="501"/>
      <c r="HX3420" s="501"/>
      <c r="HY3420" s="501"/>
      <c r="HZ3420" s="501"/>
      <c r="IA3420" s="501"/>
      <c r="IB3420" s="501"/>
      <c r="IC3420" s="501"/>
      <c r="ID3420" s="501"/>
      <c r="IE3420" s="501"/>
      <c r="IF3420" s="501"/>
      <c r="IG3420" s="501"/>
      <c r="IH3420" s="501"/>
      <c r="II3420" s="501"/>
      <c r="IJ3420" s="501"/>
      <c r="IK3420" s="501"/>
      <c r="IL3420" s="501"/>
      <c r="IM3420" s="501"/>
      <c r="IN3420" s="501"/>
      <c r="IO3420" s="501"/>
      <c r="IP3420" s="501"/>
      <c r="IQ3420" s="501"/>
      <c r="IR3420" s="501"/>
      <c r="IS3420" s="501"/>
      <c r="IT3420" s="501"/>
      <c r="IU3420" s="501"/>
    </row>
    <row r="3421" spans="1:255" s="877" customFormat="1" ht="24" customHeight="1">
      <c r="A3421" s="501"/>
      <c r="B3421" s="501"/>
      <c r="C3421" s="501"/>
      <c r="D3421" s="501"/>
      <c r="E3421" s="501"/>
      <c r="F3421" s="501"/>
      <c r="G3421" s="915"/>
      <c r="H3421" s="501"/>
      <c r="I3421" s="874"/>
      <c r="J3421" s="501"/>
      <c r="K3421" s="501"/>
      <c r="L3421" s="874"/>
      <c r="M3421" s="554"/>
      <c r="N3421" s="501"/>
      <c r="O3421" s="1097"/>
      <c r="P3421" s="1151"/>
      <c r="Q3421" s="973"/>
      <c r="R3421" s="1102"/>
      <c r="S3421" s="1195"/>
      <c r="T3421" s="1157"/>
      <c r="V3421" s="501"/>
      <c r="W3421" s="501"/>
      <c r="X3421" s="501"/>
      <c r="Y3421" s="501"/>
      <c r="Z3421" s="501"/>
      <c r="AA3421" s="501"/>
      <c r="AB3421" s="501"/>
      <c r="AC3421" s="501"/>
      <c r="AD3421" s="501"/>
      <c r="AE3421" s="501"/>
      <c r="AF3421" s="501"/>
      <c r="AG3421" s="501"/>
      <c r="AH3421" s="501"/>
      <c r="AI3421" s="501"/>
      <c r="AJ3421" s="501"/>
      <c r="AK3421" s="501"/>
      <c r="AL3421" s="501"/>
      <c r="AM3421" s="501"/>
      <c r="AN3421" s="501"/>
      <c r="AO3421" s="501"/>
      <c r="AP3421" s="501"/>
      <c r="AQ3421" s="501"/>
      <c r="AR3421" s="501"/>
      <c r="AS3421" s="501"/>
      <c r="AT3421" s="501"/>
      <c r="AU3421" s="501"/>
      <c r="AV3421" s="501"/>
      <c r="AW3421" s="501"/>
      <c r="AX3421" s="501"/>
      <c r="AY3421" s="501"/>
      <c r="AZ3421" s="501"/>
      <c r="BA3421" s="501"/>
      <c r="BB3421" s="501"/>
      <c r="BC3421" s="501"/>
      <c r="BD3421" s="501"/>
      <c r="BE3421" s="501"/>
      <c r="BF3421" s="501"/>
      <c r="BG3421" s="501"/>
      <c r="BH3421" s="501"/>
      <c r="BI3421" s="501"/>
      <c r="BJ3421" s="501"/>
      <c r="BK3421" s="501"/>
      <c r="BL3421" s="501"/>
      <c r="BM3421" s="501"/>
      <c r="BN3421" s="501"/>
      <c r="BO3421" s="501"/>
      <c r="BP3421" s="501"/>
      <c r="BQ3421" s="501"/>
      <c r="BR3421" s="501"/>
      <c r="BS3421" s="501"/>
      <c r="BT3421" s="501"/>
      <c r="BU3421" s="501"/>
      <c r="BV3421" s="501"/>
      <c r="BW3421" s="501"/>
      <c r="BX3421" s="501"/>
      <c r="BY3421" s="501"/>
      <c r="BZ3421" s="501"/>
      <c r="CA3421" s="501"/>
      <c r="CB3421" s="501"/>
      <c r="CC3421" s="501"/>
      <c r="CD3421" s="501"/>
      <c r="CE3421" s="501"/>
      <c r="CF3421" s="501"/>
      <c r="CG3421" s="501"/>
      <c r="CH3421" s="501"/>
      <c r="CI3421" s="501"/>
      <c r="CJ3421" s="501"/>
      <c r="CK3421" s="501"/>
      <c r="CL3421" s="501"/>
      <c r="CM3421" s="501"/>
      <c r="CN3421" s="501"/>
      <c r="CO3421" s="501"/>
      <c r="CP3421" s="501"/>
      <c r="CQ3421" s="501"/>
      <c r="CR3421" s="501"/>
      <c r="CS3421" s="501"/>
      <c r="CT3421" s="501"/>
      <c r="CU3421" s="501"/>
      <c r="CV3421" s="501"/>
      <c r="CW3421" s="501"/>
      <c r="CX3421" s="501"/>
      <c r="CY3421" s="501"/>
      <c r="CZ3421" s="501"/>
      <c r="DA3421" s="501"/>
      <c r="DB3421" s="501"/>
      <c r="DC3421" s="501"/>
      <c r="DD3421" s="501"/>
      <c r="DE3421" s="501"/>
      <c r="DF3421" s="501"/>
      <c r="DG3421" s="501"/>
      <c r="DH3421" s="501"/>
      <c r="DI3421" s="501"/>
      <c r="DJ3421" s="501"/>
      <c r="DK3421" s="501"/>
      <c r="DL3421" s="501"/>
      <c r="DM3421" s="501"/>
      <c r="DN3421" s="501"/>
      <c r="DO3421" s="501"/>
      <c r="DP3421" s="501"/>
      <c r="DQ3421" s="501"/>
      <c r="DR3421" s="501"/>
      <c r="DS3421" s="501"/>
      <c r="DT3421" s="501"/>
      <c r="DU3421" s="501"/>
      <c r="DV3421" s="501"/>
      <c r="DW3421" s="501"/>
      <c r="DX3421" s="501"/>
      <c r="DY3421" s="501"/>
      <c r="DZ3421" s="501"/>
      <c r="EA3421" s="501"/>
      <c r="EB3421" s="501"/>
      <c r="EC3421" s="501"/>
      <c r="ED3421" s="501"/>
      <c r="EE3421" s="501"/>
      <c r="EF3421" s="501"/>
      <c r="EG3421" s="501"/>
      <c r="EH3421" s="501"/>
      <c r="EI3421" s="501"/>
      <c r="EJ3421" s="501"/>
      <c r="EK3421" s="501"/>
      <c r="EL3421" s="501"/>
      <c r="EM3421" s="501"/>
      <c r="EN3421" s="501"/>
      <c r="EO3421" s="501"/>
      <c r="EP3421" s="501"/>
      <c r="EQ3421" s="501"/>
      <c r="ER3421" s="501"/>
      <c r="ES3421" s="501"/>
      <c r="ET3421" s="501"/>
      <c r="EU3421" s="501"/>
      <c r="EV3421" s="501"/>
      <c r="EW3421" s="501"/>
      <c r="EX3421" s="501"/>
      <c r="EY3421" s="501"/>
      <c r="EZ3421" s="501"/>
      <c r="FA3421" s="501"/>
      <c r="FB3421" s="501"/>
      <c r="FC3421" s="501"/>
      <c r="FD3421" s="501"/>
      <c r="FE3421" s="501"/>
      <c r="FF3421" s="501"/>
      <c r="FG3421" s="501"/>
      <c r="FH3421" s="501"/>
      <c r="FI3421" s="501"/>
      <c r="FJ3421" s="501"/>
      <c r="FK3421" s="501"/>
      <c r="FL3421" s="501"/>
      <c r="FM3421" s="501"/>
      <c r="FN3421" s="501"/>
      <c r="FO3421" s="501"/>
      <c r="FP3421" s="501"/>
      <c r="FQ3421" s="501"/>
      <c r="FR3421" s="501"/>
      <c r="FS3421" s="501"/>
      <c r="FT3421" s="501"/>
      <c r="FU3421" s="501"/>
      <c r="FV3421" s="501"/>
      <c r="FW3421" s="501"/>
      <c r="FX3421" s="501"/>
      <c r="FY3421" s="501"/>
      <c r="FZ3421" s="501"/>
      <c r="GA3421" s="501"/>
      <c r="GB3421" s="501"/>
      <c r="GC3421" s="501"/>
      <c r="GD3421" s="501"/>
      <c r="GE3421" s="501"/>
      <c r="GF3421" s="501"/>
      <c r="GG3421" s="501"/>
      <c r="GH3421" s="501"/>
      <c r="GI3421" s="501"/>
      <c r="GJ3421" s="501"/>
      <c r="GK3421" s="501"/>
      <c r="GL3421" s="501"/>
      <c r="GM3421" s="501"/>
      <c r="GN3421" s="501"/>
      <c r="GO3421" s="501"/>
      <c r="GP3421" s="501"/>
      <c r="GQ3421" s="501"/>
      <c r="GR3421" s="501"/>
      <c r="GS3421" s="501"/>
      <c r="GT3421" s="501"/>
      <c r="GU3421" s="501"/>
      <c r="GV3421" s="501"/>
      <c r="GW3421" s="501"/>
      <c r="GX3421" s="501"/>
      <c r="GY3421" s="501"/>
      <c r="GZ3421" s="501"/>
      <c r="HA3421" s="501"/>
      <c r="HB3421" s="501"/>
      <c r="HC3421" s="501"/>
      <c r="HD3421" s="501"/>
      <c r="HE3421" s="501"/>
      <c r="HF3421" s="501"/>
      <c r="HG3421" s="501"/>
      <c r="HH3421" s="501"/>
      <c r="HI3421" s="501"/>
      <c r="HJ3421" s="501"/>
      <c r="HK3421" s="501"/>
      <c r="HL3421" s="501"/>
      <c r="HM3421" s="501"/>
      <c r="HN3421" s="501"/>
      <c r="HO3421" s="501"/>
      <c r="HP3421" s="501"/>
      <c r="HQ3421" s="501"/>
      <c r="HR3421" s="501"/>
      <c r="HS3421" s="501"/>
      <c r="HT3421" s="501"/>
      <c r="HU3421" s="501"/>
      <c r="HV3421" s="501"/>
      <c r="HW3421" s="501"/>
      <c r="HX3421" s="501"/>
      <c r="HY3421" s="501"/>
      <c r="HZ3421" s="501"/>
      <c r="IA3421" s="501"/>
      <c r="IB3421" s="501"/>
      <c r="IC3421" s="501"/>
      <c r="ID3421" s="501"/>
      <c r="IE3421" s="501"/>
      <c r="IF3421" s="501"/>
      <c r="IG3421" s="501"/>
      <c r="IH3421" s="501"/>
      <c r="II3421" s="501"/>
      <c r="IJ3421" s="501"/>
      <c r="IK3421" s="501"/>
      <c r="IL3421" s="501"/>
      <c r="IM3421" s="501"/>
      <c r="IN3421" s="501"/>
      <c r="IO3421" s="501"/>
      <c r="IP3421" s="501"/>
      <c r="IQ3421" s="501"/>
      <c r="IR3421" s="501"/>
      <c r="IS3421" s="501"/>
      <c r="IT3421" s="501"/>
      <c r="IU3421" s="501"/>
    </row>
    <row r="3422" spans="1:255" s="877" customFormat="1" ht="24" customHeight="1">
      <c r="A3422" s="501"/>
      <c r="B3422" s="501"/>
      <c r="C3422" s="501"/>
      <c r="D3422" s="501"/>
      <c r="E3422" s="501"/>
      <c r="F3422" s="501"/>
      <c r="G3422" s="915"/>
      <c r="H3422" s="501"/>
      <c r="I3422" s="874"/>
      <c r="J3422" s="501"/>
      <c r="K3422" s="501"/>
      <c r="L3422" s="874"/>
      <c r="M3422" s="554"/>
      <c r="N3422" s="501"/>
      <c r="O3422" s="1097"/>
      <c r="P3422" s="1151"/>
      <c r="Q3422" s="1097"/>
      <c r="R3422" s="1097"/>
      <c r="S3422" s="1106"/>
      <c r="T3422" s="501"/>
      <c r="V3422" s="501"/>
      <c r="W3422" s="501"/>
      <c r="X3422" s="501"/>
      <c r="Y3422" s="501"/>
      <c r="Z3422" s="501"/>
      <c r="AA3422" s="501"/>
      <c r="AB3422" s="501"/>
      <c r="AC3422" s="501"/>
      <c r="AD3422" s="501"/>
      <c r="AE3422" s="501"/>
      <c r="AF3422" s="501"/>
      <c r="AG3422" s="501"/>
      <c r="AH3422" s="501"/>
      <c r="AI3422" s="501"/>
      <c r="AJ3422" s="501"/>
      <c r="AK3422" s="501"/>
      <c r="AL3422" s="501"/>
      <c r="AM3422" s="501"/>
      <c r="AN3422" s="501"/>
      <c r="AO3422" s="501"/>
      <c r="AP3422" s="501"/>
      <c r="AQ3422" s="501"/>
      <c r="AR3422" s="501"/>
      <c r="AS3422" s="501"/>
      <c r="AT3422" s="501"/>
      <c r="AU3422" s="501"/>
      <c r="AV3422" s="501"/>
      <c r="AW3422" s="501"/>
      <c r="AX3422" s="501"/>
      <c r="AY3422" s="501"/>
      <c r="AZ3422" s="501"/>
      <c r="BA3422" s="501"/>
      <c r="BB3422" s="501"/>
      <c r="BC3422" s="501"/>
      <c r="BD3422" s="501"/>
      <c r="BE3422" s="501"/>
      <c r="BF3422" s="501"/>
      <c r="BG3422" s="501"/>
      <c r="BH3422" s="501"/>
      <c r="BI3422" s="501"/>
      <c r="BJ3422" s="501"/>
      <c r="BK3422" s="501"/>
      <c r="BL3422" s="501"/>
      <c r="BM3422" s="501"/>
      <c r="BN3422" s="501"/>
      <c r="BO3422" s="501"/>
      <c r="BP3422" s="501"/>
      <c r="BQ3422" s="501"/>
      <c r="BR3422" s="501"/>
      <c r="BS3422" s="501"/>
      <c r="BT3422" s="501"/>
      <c r="BU3422" s="501"/>
      <c r="BV3422" s="501"/>
      <c r="BW3422" s="501"/>
      <c r="BX3422" s="501"/>
      <c r="BY3422" s="501"/>
      <c r="BZ3422" s="501"/>
      <c r="CA3422" s="501"/>
      <c r="CB3422" s="501"/>
      <c r="CC3422" s="501"/>
      <c r="CD3422" s="501"/>
      <c r="CE3422" s="501"/>
      <c r="CF3422" s="501"/>
      <c r="CG3422" s="501"/>
      <c r="CH3422" s="501"/>
      <c r="CI3422" s="501"/>
      <c r="CJ3422" s="501"/>
      <c r="CK3422" s="501"/>
      <c r="CL3422" s="501"/>
      <c r="CM3422" s="501"/>
      <c r="CN3422" s="501"/>
      <c r="CO3422" s="501"/>
      <c r="CP3422" s="501"/>
      <c r="CQ3422" s="501"/>
      <c r="CR3422" s="501"/>
      <c r="CS3422" s="501"/>
      <c r="CT3422" s="501"/>
      <c r="CU3422" s="501"/>
      <c r="CV3422" s="501"/>
      <c r="CW3422" s="501"/>
      <c r="CX3422" s="501"/>
      <c r="CY3422" s="501"/>
      <c r="CZ3422" s="501"/>
      <c r="DA3422" s="501"/>
      <c r="DB3422" s="501"/>
      <c r="DC3422" s="501"/>
      <c r="DD3422" s="501"/>
      <c r="DE3422" s="501"/>
      <c r="DF3422" s="501"/>
      <c r="DG3422" s="501"/>
      <c r="DH3422" s="501"/>
      <c r="DI3422" s="501"/>
      <c r="DJ3422" s="501"/>
      <c r="DK3422" s="501"/>
      <c r="DL3422" s="501"/>
      <c r="DM3422" s="501"/>
      <c r="DN3422" s="501"/>
      <c r="DO3422" s="501"/>
      <c r="DP3422" s="501"/>
      <c r="DQ3422" s="501"/>
      <c r="DR3422" s="501"/>
      <c r="DS3422" s="501"/>
      <c r="DT3422" s="501"/>
      <c r="DU3422" s="501"/>
      <c r="DV3422" s="501"/>
      <c r="DW3422" s="501"/>
      <c r="DX3422" s="501"/>
      <c r="DY3422" s="501"/>
      <c r="DZ3422" s="501"/>
      <c r="EA3422" s="501"/>
      <c r="EB3422" s="501"/>
      <c r="EC3422" s="501"/>
      <c r="ED3422" s="501"/>
      <c r="EE3422" s="501"/>
      <c r="EF3422" s="501"/>
      <c r="EG3422" s="501"/>
      <c r="EH3422" s="501"/>
      <c r="EI3422" s="501"/>
      <c r="EJ3422" s="501"/>
      <c r="EK3422" s="501"/>
      <c r="EL3422" s="501"/>
      <c r="EM3422" s="501"/>
      <c r="EN3422" s="501"/>
      <c r="EO3422" s="501"/>
      <c r="EP3422" s="501"/>
      <c r="EQ3422" s="501"/>
      <c r="ER3422" s="501"/>
      <c r="ES3422" s="501"/>
      <c r="ET3422" s="501"/>
      <c r="EU3422" s="501"/>
      <c r="EV3422" s="501"/>
      <c r="EW3422" s="501"/>
      <c r="EX3422" s="501"/>
      <c r="EY3422" s="501"/>
      <c r="EZ3422" s="501"/>
      <c r="FA3422" s="501"/>
      <c r="FB3422" s="501"/>
      <c r="FC3422" s="501"/>
      <c r="FD3422" s="501"/>
      <c r="FE3422" s="501"/>
      <c r="FF3422" s="501"/>
      <c r="FG3422" s="501"/>
      <c r="FH3422" s="501"/>
      <c r="FI3422" s="501"/>
      <c r="FJ3422" s="501"/>
      <c r="FK3422" s="501"/>
      <c r="FL3422" s="501"/>
      <c r="FM3422" s="501"/>
      <c r="FN3422" s="501"/>
      <c r="FO3422" s="501"/>
      <c r="FP3422" s="501"/>
      <c r="FQ3422" s="501"/>
      <c r="FR3422" s="501"/>
      <c r="FS3422" s="501"/>
      <c r="FT3422" s="501"/>
      <c r="FU3422" s="501"/>
      <c r="FV3422" s="501"/>
      <c r="FW3422" s="501"/>
      <c r="FX3422" s="501"/>
      <c r="FY3422" s="501"/>
      <c r="FZ3422" s="501"/>
      <c r="GA3422" s="501"/>
      <c r="GB3422" s="501"/>
      <c r="GC3422" s="501"/>
      <c r="GD3422" s="501"/>
      <c r="GE3422" s="501"/>
      <c r="GF3422" s="501"/>
      <c r="GG3422" s="501"/>
      <c r="GH3422" s="501"/>
      <c r="GI3422" s="501"/>
      <c r="GJ3422" s="501"/>
      <c r="GK3422" s="501"/>
      <c r="GL3422" s="501"/>
      <c r="GM3422" s="501"/>
      <c r="GN3422" s="501"/>
      <c r="GO3422" s="501"/>
      <c r="GP3422" s="501"/>
      <c r="GQ3422" s="501"/>
      <c r="GR3422" s="501"/>
      <c r="GS3422" s="501"/>
      <c r="GT3422" s="501"/>
      <c r="GU3422" s="501"/>
      <c r="GV3422" s="501"/>
      <c r="GW3422" s="501"/>
      <c r="GX3422" s="501"/>
      <c r="GY3422" s="501"/>
      <c r="GZ3422" s="501"/>
      <c r="HA3422" s="501"/>
      <c r="HB3422" s="501"/>
      <c r="HC3422" s="501"/>
      <c r="HD3422" s="501"/>
      <c r="HE3422" s="501"/>
      <c r="HF3422" s="501"/>
      <c r="HG3422" s="501"/>
      <c r="HH3422" s="501"/>
      <c r="HI3422" s="501"/>
      <c r="HJ3422" s="501"/>
      <c r="HK3422" s="501"/>
      <c r="HL3422" s="501"/>
      <c r="HM3422" s="501"/>
      <c r="HN3422" s="501"/>
      <c r="HO3422" s="501"/>
      <c r="HP3422" s="501"/>
      <c r="HQ3422" s="501"/>
      <c r="HR3422" s="501"/>
      <c r="HS3422" s="501"/>
      <c r="HT3422" s="501"/>
      <c r="HU3422" s="501"/>
      <c r="HV3422" s="501"/>
      <c r="HW3422" s="501"/>
      <c r="HX3422" s="501"/>
      <c r="HY3422" s="501"/>
      <c r="HZ3422" s="501"/>
      <c r="IA3422" s="501"/>
      <c r="IB3422" s="501"/>
      <c r="IC3422" s="501"/>
      <c r="ID3422" s="501"/>
      <c r="IE3422" s="501"/>
      <c r="IF3422" s="501"/>
      <c r="IG3422" s="501"/>
      <c r="IH3422" s="501"/>
      <c r="II3422" s="501"/>
      <c r="IJ3422" s="501"/>
      <c r="IK3422" s="501"/>
      <c r="IL3422" s="501"/>
      <c r="IM3422" s="501"/>
      <c r="IN3422" s="501"/>
      <c r="IO3422" s="501"/>
      <c r="IP3422" s="501"/>
      <c r="IQ3422" s="501"/>
      <c r="IR3422" s="501"/>
      <c r="IS3422" s="501"/>
      <c r="IT3422" s="501"/>
      <c r="IU3422" s="501"/>
    </row>
    <row r="3423" spans="1:255" s="877" customFormat="1" ht="24" customHeight="1">
      <c r="A3423" s="501"/>
      <c r="B3423" s="501"/>
      <c r="C3423" s="501"/>
      <c r="D3423" s="501"/>
      <c r="E3423" s="501"/>
      <c r="F3423" s="501"/>
      <c r="G3423" s="915"/>
      <c r="H3423" s="501"/>
      <c r="I3423" s="874"/>
      <c r="J3423" s="501"/>
      <c r="K3423" s="501"/>
      <c r="L3423" s="874"/>
      <c r="M3423" s="554"/>
      <c r="N3423" s="501"/>
      <c r="O3423" s="1097"/>
      <c r="P3423" s="1151"/>
      <c r="Q3423" s="1097"/>
      <c r="R3423" s="1097"/>
      <c r="S3423" s="1188"/>
      <c r="T3423" s="501"/>
      <c r="V3423" s="501"/>
      <c r="W3423" s="501"/>
      <c r="X3423" s="501"/>
      <c r="Y3423" s="501"/>
      <c r="Z3423" s="501"/>
      <c r="AA3423" s="501"/>
      <c r="AB3423" s="501"/>
      <c r="AC3423" s="501"/>
      <c r="AD3423" s="501"/>
      <c r="AE3423" s="501"/>
      <c r="AF3423" s="501"/>
      <c r="AG3423" s="501"/>
      <c r="AH3423" s="501"/>
      <c r="AI3423" s="501"/>
      <c r="AJ3423" s="501"/>
      <c r="AK3423" s="501"/>
      <c r="AL3423" s="501"/>
      <c r="AM3423" s="501"/>
      <c r="AN3423" s="501"/>
      <c r="AO3423" s="501"/>
      <c r="AP3423" s="501"/>
      <c r="AQ3423" s="501"/>
      <c r="AR3423" s="501"/>
      <c r="AS3423" s="501"/>
      <c r="AT3423" s="501"/>
      <c r="AU3423" s="501"/>
      <c r="AV3423" s="501"/>
      <c r="AW3423" s="501"/>
      <c r="AX3423" s="501"/>
      <c r="AY3423" s="501"/>
      <c r="AZ3423" s="501"/>
      <c r="BA3423" s="501"/>
      <c r="BB3423" s="501"/>
      <c r="BC3423" s="501"/>
      <c r="BD3423" s="501"/>
      <c r="BE3423" s="501"/>
      <c r="BF3423" s="501"/>
      <c r="BG3423" s="501"/>
      <c r="BH3423" s="501"/>
      <c r="BI3423" s="501"/>
      <c r="BJ3423" s="501"/>
      <c r="BK3423" s="501"/>
      <c r="BL3423" s="501"/>
      <c r="BM3423" s="501"/>
      <c r="BN3423" s="501"/>
      <c r="BO3423" s="501"/>
      <c r="BP3423" s="501"/>
      <c r="BQ3423" s="501"/>
      <c r="BR3423" s="501"/>
      <c r="BS3423" s="501"/>
      <c r="BT3423" s="501"/>
      <c r="BU3423" s="501"/>
      <c r="BV3423" s="501"/>
      <c r="BW3423" s="501"/>
      <c r="BX3423" s="501"/>
      <c r="BY3423" s="501"/>
      <c r="BZ3423" s="501"/>
      <c r="CA3423" s="501"/>
      <c r="CB3423" s="501"/>
      <c r="CC3423" s="501"/>
      <c r="CD3423" s="501"/>
      <c r="CE3423" s="501"/>
      <c r="CF3423" s="501"/>
      <c r="CG3423" s="501"/>
      <c r="CH3423" s="501"/>
      <c r="CI3423" s="501"/>
      <c r="CJ3423" s="501"/>
      <c r="CK3423" s="501"/>
      <c r="CL3423" s="501"/>
      <c r="CM3423" s="501"/>
      <c r="CN3423" s="501"/>
      <c r="CO3423" s="501"/>
      <c r="CP3423" s="501"/>
      <c r="CQ3423" s="501"/>
      <c r="CR3423" s="501"/>
      <c r="CS3423" s="501"/>
      <c r="CT3423" s="501"/>
      <c r="CU3423" s="501"/>
      <c r="CV3423" s="501"/>
      <c r="CW3423" s="501"/>
      <c r="CX3423" s="501"/>
      <c r="CY3423" s="501"/>
      <c r="CZ3423" s="501"/>
      <c r="DA3423" s="501"/>
      <c r="DB3423" s="501"/>
      <c r="DC3423" s="501"/>
      <c r="DD3423" s="501"/>
      <c r="DE3423" s="501"/>
      <c r="DF3423" s="501"/>
      <c r="DG3423" s="501"/>
      <c r="DH3423" s="501"/>
      <c r="DI3423" s="501"/>
      <c r="DJ3423" s="501"/>
      <c r="DK3423" s="501"/>
      <c r="DL3423" s="501"/>
      <c r="DM3423" s="501"/>
      <c r="DN3423" s="501"/>
      <c r="DO3423" s="501"/>
      <c r="DP3423" s="501"/>
      <c r="DQ3423" s="501"/>
      <c r="DR3423" s="501"/>
      <c r="DS3423" s="501"/>
      <c r="DT3423" s="501"/>
      <c r="DU3423" s="501"/>
      <c r="DV3423" s="501"/>
      <c r="DW3423" s="501"/>
      <c r="DX3423" s="501"/>
      <c r="DY3423" s="501"/>
      <c r="DZ3423" s="501"/>
      <c r="EA3423" s="501"/>
      <c r="EB3423" s="501"/>
      <c r="EC3423" s="501"/>
      <c r="ED3423" s="501"/>
      <c r="EE3423" s="501"/>
      <c r="EF3423" s="501"/>
      <c r="EG3423" s="501"/>
      <c r="EH3423" s="501"/>
      <c r="EI3423" s="501"/>
      <c r="EJ3423" s="501"/>
      <c r="EK3423" s="501"/>
      <c r="EL3423" s="501"/>
      <c r="EM3423" s="501"/>
      <c r="EN3423" s="501"/>
      <c r="EO3423" s="501"/>
      <c r="EP3423" s="501"/>
      <c r="EQ3423" s="501"/>
      <c r="ER3423" s="501"/>
      <c r="ES3423" s="501"/>
      <c r="ET3423" s="501"/>
      <c r="EU3423" s="501"/>
      <c r="EV3423" s="501"/>
      <c r="EW3423" s="501"/>
      <c r="EX3423" s="501"/>
      <c r="EY3423" s="501"/>
      <c r="EZ3423" s="501"/>
      <c r="FA3423" s="501"/>
      <c r="FB3423" s="501"/>
      <c r="FC3423" s="501"/>
      <c r="FD3423" s="501"/>
      <c r="FE3423" s="501"/>
      <c r="FF3423" s="501"/>
      <c r="FG3423" s="501"/>
      <c r="FH3423" s="501"/>
      <c r="FI3423" s="501"/>
      <c r="FJ3423" s="501"/>
      <c r="FK3423" s="501"/>
      <c r="FL3423" s="501"/>
      <c r="FM3423" s="501"/>
      <c r="FN3423" s="501"/>
      <c r="FO3423" s="501"/>
      <c r="FP3423" s="501"/>
      <c r="FQ3423" s="501"/>
      <c r="FR3423" s="501"/>
      <c r="FS3423" s="501"/>
      <c r="FT3423" s="501"/>
      <c r="FU3423" s="501"/>
      <c r="FV3423" s="501"/>
      <c r="FW3423" s="501"/>
      <c r="FX3423" s="501"/>
      <c r="FY3423" s="501"/>
      <c r="FZ3423" s="501"/>
      <c r="GA3423" s="501"/>
      <c r="GB3423" s="501"/>
      <c r="GC3423" s="501"/>
      <c r="GD3423" s="501"/>
      <c r="GE3423" s="501"/>
      <c r="GF3423" s="501"/>
      <c r="GG3423" s="501"/>
      <c r="GH3423" s="501"/>
      <c r="GI3423" s="501"/>
      <c r="GJ3423" s="501"/>
      <c r="GK3423" s="501"/>
      <c r="GL3423" s="501"/>
      <c r="GM3423" s="501"/>
      <c r="GN3423" s="501"/>
      <c r="GO3423" s="501"/>
      <c r="GP3423" s="501"/>
      <c r="GQ3423" s="501"/>
      <c r="GR3423" s="501"/>
      <c r="GS3423" s="501"/>
      <c r="GT3423" s="501"/>
      <c r="GU3423" s="501"/>
      <c r="GV3423" s="501"/>
      <c r="GW3423" s="501"/>
      <c r="GX3423" s="501"/>
      <c r="GY3423" s="501"/>
      <c r="GZ3423" s="501"/>
      <c r="HA3423" s="501"/>
      <c r="HB3423" s="501"/>
      <c r="HC3423" s="501"/>
      <c r="HD3423" s="501"/>
      <c r="HE3423" s="501"/>
      <c r="HF3423" s="501"/>
      <c r="HG3423" s="501"/>
      <c r="HH3423" s="501"/>
      <c r="HI3423" s="501"/>
      <c r="HJ3423" s="501"/>
      <c r="HK3423" s="501"/>
      <c r="HL3423" s="501"/>
      <c r="HM3423" s="501"/>
      <c r="HN3423" s="501"/>
      <c r="HO3423" s="501"/>
      <c r="HP3423" s="501"/>
      <c r="HQ3423" s="501"/>
      <c r="HR3423" s="501"/>
      <c r="HS3423" s="501"/>
      <c r="HT3423" s="501"/>
      <c r="HU3423" s="501"/>
      <c r="HV3423" s="501"/>
      <c r="HW3423" s="501"/>
      <c r="HX3423" s="501"/>
      <c r="HY3423" s="501"/>
      <c r="HZ3423" s="501"/>
      <c r="IA3423" s="501"/>
      <c r="IB3423" s="501"/>
      <c r="IC3423" s="501"/>
      <c r="ID3423" s="501"/>
      <c r="IE3423" s="501"/>
      <c r="IF3423" s="501"/>
      <c r="IG3423" s="501"/>
      <c r="IH3423" s="501"/>
      <c r="II3423" s="501"/>
      <c r="IJ3423" s="501"/>
      <c r="IK3423" s="501"/>
      <c r="IL3423" s="501"/>
      <c r="IM3423" s="501"/>
      <c r="IN3423" s="501"/>
      <c r="IO3423" s="501"/>
      <c r="IP3423" s="501"/>
      <c r="IQ3423" s="501"/>
      <c r="IR3423" s="501"/>
      <c r="IS3423" s="501"/>
      <c r="IT3423" s="501"/>
      <c r="IU3423" s="501"/>
    </row>
    <row r="3424" spans="1:255" s="877" customFormat="1" ht="24" customHeight="1">
      <c r="A3424" s="501"/>
      <c r="B3424" s="501"/>
      <c r="C3424" s="501"/>
      <c r="D3424" s="501"/>
      <c r="E3424" s="501"/>
      <c r="F3424" s="501"/>
      <c r="G3424" s="915"/>
      <c r="H3424" s="501"/>
      <c r="I3424" s="874"/>
      <c r="J3424" s="501"/>
      <c r="K3424" s="501"/>
      <c r="L3424" s="874"/>
      <c r="M3424" s="554"/>
      <c r="N3424" s="501"/>
      <c r="O3424" s="1097"/>
      <c r="P3424" s="1151"/>
      <c r="Q3424" s="1097"/>
      <c r="R3424" s="1097"/>
      <c r="S3424" s="1106"/>
      <c r="T3424" s="501"/>
      <c r="V3424" s="501"/>
      <c r="W3424" s="501"/>
      <c r="X3424" s="501"/>
      <c r="Y3424" s="501"/>
      <c r="Z3424" s="501"/>
      <c r="AA3424" s="501"/>
      <c r="AB3424" s="501"/>
      <c r="AC3424" s="501"/>
      <c r="AD3424" s="501"/>
      <c r="AE3424" s="501"/>
      <c r="AF3424" s="501"/>
      <c r="AG3424" s="501"/>
      <c r="AH3424" s="501"/>
      <c r="AI3424" s="501"/>
      <c r="AJ3424" s="501"/>
      <c r="AK3424" s="501"/>
      <c r="AL3424" s="501"/>
      <c r="AM3424" s="501"/>
      <c r="AN3424" s="501"/>
      <c r="AO3424" s="501"/>
      <c r="AP3424" s="501"/>
      <c r="AQ3424" s="501"/>
      <c r="AR3424" s="501"/>
      <c r="AS3424" s="501"/>
      <c r="AT3424" s="501"/>
      <c r="AU3424" s="501"/>
      <c r="AV3424" s="501"/>
      <c r="AW3424" s="501"/>
      <c r="AX3424" s="501"/>
      <c r="AY3424" s="501"/>
      <c r="AZ3424" s="501"/>
      <c r="BA3424" s="501"/>
      <c r="BB3424" s="501"/>
      <c r="BC3424" s="501"/>
      <c r="BD3424" s="501"/>
      <c r="BE3424" s="501"/>
      <c r="BF3424" s="501"/>
      <c r="BG3424" s="501"/>
      <c r="BH3424" s="501"/>
      <c r="BI3424" s="501"/>
      <c r="BJ3424" s="501"/>
      <c r="BK3424" s="501"/>
      <c r="BL3424" s="501"/>
      <c r="BM3424" s="501"/>
      <c r="BN3424" s="501"/>
      <c r="BO3424" s="501"/>
      <c r="BP3424" s="501"/>
      <c r="BQ3424" s="501"/>
      <c r="BR3424" s="501"/>
      <c r="BS3424" s="501"/>
      <c r="BT3424" s="501"/>
      <c r="BU3424" s="501"/>
      <c r="BV3424" s="501"/>
      <c r="BW3424" s="501"/>
      <c r="BX3424" s="501"/>
      <c r="BY3424" s="501"/>
      <c r="BZ3424" s="501"/>
      <c r="CA3424" s="501"/>
      <c r="CB3424" s="501"/>
      <c r="CC3424" s="501"/>
      <c r="CD3424" s="501"/>
      <c r="CE3424" s="501"/>
      <c r="CF3424" s="501"/>
      <c r="CG3424" s="501"/>
      <c r="CH3424" s="501"/>
      <c r="CI3424" s="501"/>
      <c r="CJ3424" s="501"/>
      <c r="CK3424" s="501"/>
      <c r="CL3424" s="501"/>
      <c r="CM3424" s="501"/>
      <c r="CN3424" s="501"/>
      <c r="CO3424" s="501"/>
      <c r="CP3424" s="501"/>
      <c r="CQ3424" s="501"/>
      <c r="CR3424" s="501"/>
      <c r="CS3424" s="501"/>
      <c r="CT3424" s="501"/>
      <c r="CU3424" s="501"/>
      <c r="CV3424" s="501"/>
      <c r="CW3424" s="501"/>
      <c r="CX3424" s="501"/>
      <c r="CY3424" s="501"/>
      <c r="CZ3424" s="501"/>
      <c r="DA3424" s="501"/>
      <c r="DB3424" s="501"/>
      <c r="DC3424" s="501"/>
      <c r="DD3424" s="501"/>
      <c r="DE3424" s="501"/>
      <c r="DF3424" s="501"/>
      <c r="DG3424" s="501"/>
      <c r="DH3424" s="501"/>
      <c r="DI3424" s="501"/>
      <c r="DJ3424" s="501"/>
      <c r="DK3424" s="501"/>
      <c r="DL3424" s="501"/>
      <c r="DM3424" s="501"/>
      <c r="DN3424" s="501"/>
      <c r="DO3424" s="501"/>
      <c r="DP3424" s="501"/>
      <c r="DQ3424" s="501"/>
      <c r="DR3424" s="501"/>
      <c r="DS3424" s="501"/>
      <c r="DT3424" s="501"/>
      <c r="DU3424" s="501"/>
      <c r="DV3424" s="501"/>
      <c r="DW3424" s="501"/>
      <c r="DX3424" s="501"/>
      <c r="DY3424" s="501"/>
      <c r="DZ3424" s="501"/>
      <c r="EA3424" s="501"/>
      <c r="EB3424" s="501"/>
      <c r="EC3424" s="501"/>
      <c r="ED3424" s="501"/>
      <c r="EE3424" s="501"/>
      <c r="EF3424" s="501"/>
      <c r="EG3424" s="501"/>
      <c r="EH3424" s="501"/>
      <c r="EI3424" s="501"/>
      <c r="EJ3424" s="501"/>
      <c r="EK3424" s="501"/>
      <c r="EL3424" s="501"/>
      <c r="EM3424" s="501"/>
      <c r="EN3424" s="501"/>
      <c r="EO3424" s="501"/>
      <c r="EP3424" s="501"/>
      <c r="EQ3424" s="501"/>
      <c r="ER3424" s="501"/>
      <c r="ES3424" s="501"/>
      <c r="ET3424" s="501"/>
      <c r="EU3424" s="501"/>
      <c r="EV3424" s="501"/>
      <c r="EW3424" s="501"/>
      <c r="EX3424" s="501"/>
      <c r="EY3424" s="501"/>
      <c r="EZ3424" s="501"/>
      <c r="FA3424" s="501"/>
      <c r="FB3424" s="501"/>
      <c r="FC3424" s="501"/>
      <c r="FD3424" s="501"/>
      <c r="FE3424" s="501"/>
      <c r="FF3424" s="501"/>
      <c r="FG3424" s="501"/>
      <c r="FH3424" s="501"/>
      <c r="FI3424" s="501"/>
      <c r="FJ3424" s="501"/>
      <c r="FK3424" s="501"/>
      <c r="FL3424" s="501"/>
      <c r="FM3424" s="501"/>
      <c r="FN3424" s="501"/>
      <c r="FO3424" s="501"/>
      <c r="FP3424" s="501"/>
      <c r="FQ3424" s="501"/>
      <c r="FR3424" s="501"/>
      <c r="FS3424" s="501"/>
      <c r="FT3424" s="501"/>
      <c r="FU3424" s="501"/>
      <c r="FV3424" s="501"/>
      <c r="FW3424" s="501"/>
      <c r="FX3424" s="501"/>
      <c r="FY3424" s="501"/>
      <c r="FZ3424" s="501"/>
      <c r="GA3424" s="501"/>
      <c r="GB3424" s="501"/>
      <c r="GC3424" s="501"/>
      <c r="GD3424" s="501"/>
      <c r="GE3424" s="501"/>
      <c r="GF3424" s="501"/>
      <c r="GG3424" s="501"/>
      <c r="GH3424" s="501"/>
      <c r="GI3424" s="501"/>
      <c r="GJ3424" s="501"/>
      <c r="GK3424" s="501"/>
      <c r="GL3424" s="501"/>
      <c r="GM3424" s="501"/>
      <c r="GN3424" s="501"/>
      <c r="GO3424" s="501"/>
      <c r="GP3424" s="501"/>
      <c r="GQ3424" s="501"/>
      <c r="GR3424" s="501"/>
      <c r="GS3424" s="501"/>
      <c r="GT3424" s="501"/>
      <c r="GU3424" s="501"/>
      <c r="GV3424" s="501"/>
      <c r="GW3424" s="501"/>
      <c r="GX3424" s="501"/>
      <c r="GY3424" s="501"/>
      <c r="GZ3424" s="501"/>
      <c r="HA3424" s="501"/>
      <c r="HB3424" s="501"/>
      <c r="HC3424" s="501"/>
      <c r="HD3424" s="501"/>
      <c r="HE3424" s="501"/>
      <c r="HF3424" s="501"/>
      <c r="HG3424" s="501"/>
      <c r="HH3424" s="501"/>
      <c r="HI3424" s="501"/>
      <c r="HJ3424" s="501"/>
      <c r="HK3424" s="501"/>
      <c r="HL3424" s="501"/>
      <c r="HM3424" s="501"/>
      <c r="HN3424" s="501"/>
      <c r="HO3424" s="501"/>
      <c r="HP3424" s="501"/>
      <c r="HQ3424" s="501"/>
      <c r="HR3424" s="501"/>
      <c r="HS3424" s="501"/>
      <c r="HT3424" s="501"/>
      <c r="HU3424" s="501"/>
      <c r="HV3424" s="501"/>
      <c r="HW3424" s="501"/>
      <c r="HX3424" s="501"/>
      <c r="HY3424" s="501"/>
      <c r="HZ3424" s="501"/>
      <c r="IA3424" s="501"/>
      <c r="IB3424" s="501"/>
      <c r="IC3424" s="501"/>
      <c r="ID3424" s="501"/>
      <c r="IE3424" s="501"/>
      <c r="IF3424" s="501"/>
      <c r="IG3424" s="501"/>
      <c r="IH3424" s="501"/>
      <c r="II3424" s="501"/>
      <c r="IJ3424" s="501"/>
      <c r="IK3424" s="501"/>
      <c r="IL3424" s="501"/>
      <c r="IM3424" s="501"/>
      <c r="IN3424" s="501"/>
      <c r="IO3424" s="501"/>
      <c r="IP3424" s="501"/>
      <c r="IQ3424" s="501"/>
      <c r="IR3424" s="501"/>
      <c r="IS3424" s="501"/>
      <c r="IT3424" s="501"/>
      <c r="IU3424" s="501"/>
    </row>
    <row r="3425" spans="1:255" s="877" customFormat="1" ht="24" customHeight="1">
      <c r="A3425" s="501"/>
      <c r="B3425" s="501"/>
      <c r="C3425" s="501"/>
      <c r="D3425" s="501"/>
      <c r="E3425" s="501"/>
      <c r="F3425" s="501"/>
      <c r="G3425" s="915"/>
      <c r="H3425" s="501"/>
      <c r="I3425" s="874"/>
      <c r="J3425" s="501"/>
      <c r="K3425" s="501"/>
      <c r="L3425" s="874"/>
      <c r="M3425" s="554"/>
      <c r="N3425" s="501"/>
      <c r="O3425" s="1097"/>
      <c r="P3425" s="1151"/>
      <c r="Q3425" s="973"/>
      <c r="R3425" s="1097"/>
      <c r="S3425" s="1063"/>
      <c r="T3425" s="1164"/>
      <c r="V3425" s="501"/>
      <c r="W3425" s="501"/>
      <c r="X3425" s="501"/>
      <c r="Y3425" s="501"/>
      <c r="Z3425" s="501"/>
      <c r="AA3425" s="501"/>
      <c r="AB3425" s="501"/>
      <c r="AC3425" s="501"/>
      <c r="AD3425" s="501"/>
      <c r="AE3425" s="501"/>
      <c r="AF3425" s="501"/>
      <c r="AG3425" s="501"/>
      <c r="AH3425" s="501"/>
      <c r="AI3425" s="501"/>
      <c r="AJ3425" s="501"/>
      <c r="AK3425" s="501"/>
      <c r="AL3425" s="501"/>
      <c r="AM3425" s="501"/>
      <c r="AN3425" s="501"/>
      <c r="AO3425" s="501"/>
      <c r="AP3425" s="501"/>
      <c r="AQ3425" s="501"/>
      <c r="AR3425" s="501"/>
      <c r="AS3425" s="501"/>
      <c r="AT3425" s="501"/>
      <c r="AU3425" s="501"/>
      <c r="AV3425" s="501"/>
      <c r="AW3425" s="501"/>
      <c r="AX3425" s="501"/>
      <c r="AY3425" s="501"/>
      <c r="AZ3425" s="501"/>
      <c r="BA3425" s="501"/>
      <c r="BB3425" s="501"/>
      <c r="BC3425" s="501"/>
      <c r="BD3425" s="501"/>
      <c r="BE3425" s="501"/>
      <c r="BF3425" s="501"/>
      <c r="BG3425" s="501"/>
      <c r="BH3425" s="501"/>
      <c r="BI3425" s="501"/>
      <c r="BJ3425" s="501"/>
      <c r="BK3425" s="501"/>
      <c r="BL3425" s="501"/>
      <c r="BM3425" s="501"/>
      <c r="BN3425" s="501"/>
      <c r="BO3425" s="501"/>
      <c r="BP3425" s="501"/>
      <c r="BQ3425" s="501"/>
      <c r="BR3425" s="501"/>
      <c r="BS3425" s="501"/>
      <c r="BT3425" s="501"/>
      <c r="BU3425" s="501"/>
      <c r="BV3425" s="501"/>
      <c r="BW3425" s="501"/>
      <c r="BX3425" s="501"/>
      <c r="BY3425" s="501"/>
      <c r="BZ3425" s="501"/>
      <c r="CA3425" s="501"/>
      <c r="CB3425" s="501"/>
      <c r="CC3425" s="501"/>
      <c r="CD3425" s="501"/>
      <c r="CE3425" s="501"/>
      <c r="CF3425" s="501"/>
      <c r="CG3425" s="501"/>
      <c r="CH3425" s="501"/>
      <c r="CI3425" s="501"/>
      <c r="CJ3425" s="501"/>
      <c r="CK3425" s="501"/>
      <c r="CL3425" s="501"/>
      <c r="CM3425" s="501"/>
      <c r="CN3425" s="501"/>
      <c r="CO3425" s="501"/>
      <c r="CP3425" s="501"/>
      <c r="CQ3425" s="501"/>
      <c r="CR3425" s="501"/>
      <c r="CS3425" s="501"/>
      <c r="CT3425" s="501"/>
      <c r="CU3425" s="501"/>
      <c r="CV3425" s="501"/>
      <c r="CW3425" s="501"/>
      <c r="CX3425" s="501"/>
      <c r="CY3425" s="501"/>
      <c r="CZ3425" s="501"/>
      <c r="DA3425" s="501"/>
      <c r="DB3425" s="501"/>
      <c r="DC3425" s="501"/>
      <c r="DD3425" s="501"/>
      <c r="DE3425" s="501"/>
      <c r="DF3425" s="501"/>
      <c r="DG3425" s="501"/>
      <c r="DH3425" s="501"/>
      <c r="DI3425" s="501"/>
      <c r="DJ3425" s="501"/>
      <c r="DK3425" s="501"/>
      <c r="DL3425" s="501"/>
      <c r="DM3425" s="501"/>
      <c r="DN3425" s="501"/>
      <c r="DO3425" s="501"/>
      <c r="DP3425" s="501"/>
      <c r="DQ3425" s="501"/>
      <c r="DR3425" s="501"/>
      <c r="DS3425" s="501"/>
      <c r="DT3425" s="501"/>
      <c r="DU3425" s="501"/>
      <c r="DV3425" s="501"/>
      <c r="DW3425" s="501"/>
      <c r="DX3425" s="501"/>
      <c r="DY3425" s="501"/>
      <c r="DZ3425" s="501"/>
      <c r="EA3425" s="501"/>
      <c r="EB3425" s="501"/>
      <c r="EC3425" s="501"/>
      <c r="ED3425" s="501"/>
      <c r="EE3425" s="501"/>
      <c r="EF3425" s="501"/>
      <c r="EG3425" s="501"/>
      <c r="EH3425" s="501"/>
      <c r="EI3425" s="501"/>
      <c r="EJ3425" s="501"/>
      <c r="EK3425" s="501"/>
      <c r="EL3425" s="501"/>
      <c r="EM3425" s="501"/>
      <c r="EN3425" s="501"/>
      <c r="EO3425" s="501"/>
      <c r="EP3425" s="501"/>
      <c r="EQ3425" s="501"/>
      <c r="ER3425" s="501"/>
      <c r="ES3425" s="501"/>
      <c r="ET3425" s="501"/>
      <c r="EU3425" s="501"/>
      <c r="EV3425" s="501"/>
      <c r="EW3425" s="501"/>
      <c r="EX3425" s="501"/>
      <c r="EY3425" s="501"/>
      <c r="EZ3425" s="501"/>
      <c r="FA3425" s="501"/>
      <c r="FB3425" s="501"/>
      <c r="FC3425" s="501"/>
      <c r="FD3425" s="501"/>
      <c r="FE3425" s="501"/>
      <c r="FF3425" s="501"/>
      <c r="FG3425" s="501"/>
      <c r="FH3425" s="501"/>
      <c r="FI3425" s="501"/>
      <c r="FJ3425" s="501"/>
      <c r="FK3425" s="501"/>
      <c r="FL3425" s="501"/>
      <c r="FM3425" s="501"/>
      <c r="FN3425" s="501"/>
      <c r="FO3425" s="501"/>
      <c r="FP3425" s="501"/>
      <c r="FQ3425" s="501"/>
      <c r="FR3425" s="501"/>
      <c r="FS3425" s="501"/>
      <c r="FT3425" s="501"/>
      <c r="FU3425" s="501"/>
      <c r="FV3425" s="501"/>
      <c r="FW3425" s="501"/>
      <c r="FX3425" s="501"/>
      <c r="FY3425" s="501"/>
      <c r="FZ3425" s="501"/>
      <c r="GA3425" s="501"/>
      <c r="GB3425" s="501"/>
      <c r="GC3425" s="501"/>
      <c r="GD3425" s="501"/>
      <c r="GE3425" s="501"/>
      <c r="GF3425" s="501"/>
      <c r="GG3425" s="501"/>
      <c r="GH3425" s="501"/>
      <c r="GI3425" s="501"/>
      <c r="GJ3425" s="501"/>
      <c r="GK3425" s="501"/>
      <c r="GL3425" s="501"/>
      <c r="GM3425" s="501"/>
      <c r="GN3425" s="501"/>
      <c r="GO3425" s="501"/>
      <c r="GP3425" s="501"/>
      <c r="GQ3425" s="501"/>
      <c r="GR3425" s="501"/>
      <c r="GS3425" s="501"/>
      <c r="GT3425" s="501"/>
      <c r="GU3425" s="501"/>
      <c r="GV3425" s="501"/>
      <c r="GW3425" s="501"/>
      <c r="GX3425" s="501"/>
      <c r="GY3425" s="501"/>
      <c r="GZ3425" s="501"/>
      <c r="HA3425" s="501"/>
      <c r="HB3425" s="501"/>
      <c r="HC3425" s="501"/>
      <c r="HD3425" s="501"/>
      <c r="HE3425" s="501"/>
      <c r="HF3425" s="501"/>
      <c r="HG3425" s="501"/>
      <c r="HH3425" s="501"/>
      <c r="HI3425" s="501"/>
      <c r="HJ3425" s="501"/>
      <c r="HK3425" s="501"/>
      <c r="HL3425" s="501"/>
      <c r="HM3425" s="501"/>
      <c r="HN3425" s="501"/>
      <c r="HO3425" s="501"/>
      <c r="HP3425" s="501"/>
      <c r="HQ3425" s="501"/>
      <c r="HR3425" s="501"/>
      <c r="HS3425" s="501"/>
      <c r="HT3425" s="501"/>
      <c r="HU3425" s="501"/>
      <c r="HV3425" s="501"/>
      <c r="HW3425" s="501"/>
      <c r="HX3425" s="501"/>
      <c r="HY3425" s="501"/>
      <c r="HZ3425" s="501"/>
      <c r="IA3425" s="501"/>
      <c r="IB3425" s="501"/>
      <c r="IC3425" s="501"/>
      <c r="ID3425" s="501"/>
      <c r="IE3425" s="501"/>
      <c r="IF3425" s="501"/>
      <c r="IG3425" s="501"/>
      <c r="IH3425" s="501"/>
      <c r="II3425" s="501"/>
      <c r="IJ3425" s="501"/>
      <c r="IK3425" s="501"/>
      <c r="IL3425" s="501"/>
      <c r="IM3425" s="501"/>
      <c r="IN3425" s="501"/>
      <c r="IO3425" s="501"/>
      <c r="IP3425" s="501"/>
      <c r="IQ3425" s="501"/>
      <c r="IR3425" s="501"/>
      <c r="IS3425" s="501"/>
      <c r="IT3425" s="501"/>
      <c r="IU3425" s="501"/>
    </row>
    <row r="3426" spans="1:255" s="877" customFormat="1" ht="24" customHeight="1">
      <c r="A3426" s="501"/>
      <c r="B3426" s="501"/>
      <c r="C3426" s="501"/>
      <c r="D3426" s="501"/>
      <c r="E3426" s="501"/>
      <c r="F3426" s="501"/>
      <c r="G3426" s="915"/>
      <c r="H3426" s="501"/>
      <c r="I3426" s="874"/>
      <c r="J3426" s="501"/>
      <c r="K3426" s="501"/>
      <c r="L3426" s="874"/>
      <c r="M3426" s="554"/>
      <c r="N3426" s="501"/>
      <c r="O3426" s="1097"/>
      <c r="P3426" s="1151"/>
      <c r="Q3426" s="973"/>
      <c r="R3426" s="1097"/>
      <c r="S3426" s="1191"/>
      <c r="T3426" s="1164"/>
      <c r="V3426" s="501"/>
      <c r="W3426" s="501"/>
      <c r="X3426" s="501"/>
      <c r="Y3426" s="501"/>
      <c r="Z3426" s="501"/>
      <c r="AA3426" s="501"/>
      <c r="AB3426" s="501"/>
      <c r="AC3426" s="501"/>
      <c r="AD3426" s="501"/>
      <c r="AE3426" s="501"/>
      <c r="AF3426" s="501"/>
      <c r="AG3426" s="501"/>
      <c r="AH3426" s="501"/>
      <c r="AI3426" s="501"/>
      <c r="AJ3426" s="501"/>
      <c r="AK3426" s="501"/>
      <c r="AL3426" s="501"/>
      <c r="AM3426" s="501"/>
      <c r="AN3426" s="501"/>
      <c r="AO3426" s="501"/>
      <c r="AP3426" s="501"/>
      <c r="AQ3426" s="501"/>
      <c r="AR3426" s="501"/>
      <c r="AS3426" s="501"/>
      <c r="AT3426" s="501"/>
      <c r="AU3426" s="501"/>
      <c r="AV3426" s="501"/>
      <c r="AW3426" s="501"/>
      <c r="AX3426" s="501"/>
      <c r="AY3426" s="501"/>
      <c r="AZ3426" s="501"/>
      <c r="BA3426" s="501"/>
      <c r="BB3426" s="501"/>
      <c r="BC3426" s="501"/>
      <c r="BD3426" s="501"/>
      <c r="BE3426" s="501"/>
      <c r="BF3426" s="501"/>
      <c r="BG3426" s="501"/>
      <c r="BH3426" s="501"/>
      <c r="BI3426" s="501"/>
      <c r="BJ3426" s="501"/>
      <c r="BK3426" s="501"/>
      <c r="BL3426" s="501"/>
      <c r="BM3426" s="501"/>
      <c r="BN3426" s="501"/>
      <c r="BO3426" s="501"/>
      <c r="BP3426" s="501"/>
      <c r="BQ3426" s="501"/>
      <c r="BR3426" s="501"/>
      <c r="BS3426" s="501"/>
      <c r="BT3426" s="501"/>
      <c r="BU3426" s="501"/>
      <c r="BV3426" s="501"/>
      <c r="BW3426" s="501"/>
      <c r="BX3426" s="501"/>
      <c r="BY3426" s="501"/>
      <c r="BZ3426" s="501"/>
      <c r="CA3426" s="501"/>
      <c r="CB3426" s="501"/>
      <c r="CC3426" s="501"/>
      <c r="CD3426" s="501"/>
      <c r="CE3426" s="501"/>
      <c r="CF3426" s="501"/>
      <c r="CG3426" s="501"/>
      <c r="CH3426" s="501"/>
      <c r="CI3426" s="501"/>
      <c r="CJ3426" s="501"/>
      <c r="CK3426" s="501"/>
      <c r="CL3426" s="501"/>
      <c r="CM3426" s="501"/>
      <c r="CN3426" s="501"/>
      <c r="CO3426" s="501"/>
      <c r="CP3426" s="501"/>
      <c r="CQ3426" s="501"/>
      <c r="CR3426" s="501"/>
      <c r="CS3426" s="501"/>
      <c r="CT3426" s="501"/>
      <c r="CU3426" s="501"/>
      <c r="CV3426" s="501"/>
      <c r="CW3426" s="501"/>
      <c r="CX3426" s="501"/>
      <c r="CY3426" s="501"/>
      <c r="CZ3426" s="501"/>
      <c r="DA3426" s="501"/>
      <c r="DB3426" s="501"/>
      <c r="DC3426" s="501"/>
      <c r="DD3426" s="501"/>
      <c r="DE3426" s="501"/>
      <c r="DF3426" s="501"/>
      <c r="DG3426" s="501"/>
      <c r="DH3426" s="501"/>
      <c r="DI3426" s="501"/>
      <c r="DJ3426" s="501"/>
      <c r="DK3426" s="501"/>
      <c r="DL3426" s="501"/>
      <c r="DM3426" s="501"/>
      <c r="DN3426" s="501"/>
      <c r="DO3426" s="501"/>
      <c r="DP3426" s="501"/>
      <c r="DQ3426" s="501"/>
      <c r="DR3426" s="501"/>
      <c r="DS3426" s="501"/>
      <c r="DT3426" s="501"/>
      <c r="DU3426" s="501"/>
      <c r="DV3426" s="501"/>
      <c r="DW3426" s="501"/>
      <c r="DX3426" s="501"/>
      <c r="DY3426" s="501"/>
      <c r="DZ3426" s="501"/>
      <c r="EA3426" s="501"/>
      <c r="EB3426" s="501"/>
      <c r="EC3426" s="501"/>
      <c r="ED3426" s="501"/>
      <c r="EE3426" s="501"/>
      <c r="EF3426" s="501"/>
      <c r="EG3426" s="501"/>
      <c r="EH3426" s="501"/>
      <c r="EI3426" s="501"/>
      <c r="EJ3426" s="501"/>
      <c r="EK3426" s="501"/>
      <c r="EL3426" s="501"/>
      <c r="EM3426" s="501"/>
      <c r="EN3426" s="501"/>
      <c r="EO3426" s="501"/>
      <c r="EP3426" s="501"/>
      <c r="EQ3426" s="501"/>
      <c r="ER3426" s="501"/>
      <c r="ES3426" s="501"/>
      <c r="ET3426" s="501"/>
      <c r="EU3426" s="501"/>
      <c r="EV3426" s="501"/>
      <c r="EW3426" s="501"/>
      <c r="EX3426" s="501"/>
      <c r="EY3426" s="501"/>
      <c r="EZ3426" s="501"/>
      <c r="FA3426" s="501"/>
      <c r="FB3426" s="501"/>
      <c r="FC3426" s="501"/>
      <c r="FD3426" s="501"/>
      <c r="FE3426" s="501"/>
      <c r="FF3426" s="501"/>
      <c r="FG3426" s="501"/>
      <c r="FH3426" s="501"/>
      <c r="FI3426" s="501"/>
      <c r="FJ3426" s="501"/>
      <c r="FK3426" s="501"/>
      <c r="FL3426" s="501"/>
      <c r="FM3426" s="501"/>
      <c r="FN3426" s="501"/>
      <c r="FO3426" s="501"/>
      <c r="FP3426" s="501"/>
      <c r="FQ3426" s="501"/>
      <c r="FR3426" s="501"/>
      <c r="FS3426" s="501"/>
      <c r="FT3426" s="501"/>
      <c r="FU3426" s="501"/>
      <c r="FV3426" s="501"/>
      <c r="FW3426" s="501"/>
      <c r="FX3426" s="501"/>
      <c r="FY3426" s="501"/>
      <c r="FZ3426" s="501"/>
      <c r="GA3426" s="501"/>
      <c r="GB3426" s="501"/>
      <c r="GC3426" s="501"/>
      <c r="GD3426" s="501"/>
      <c r="GE3426" s="501"/>
      <c r="GF3426" s="501"/>
      <c r="GG3426" s="501"/>
      <c r="GH3426" s="501"/>
      <c r="GI3426" s="501"/>
      <c r="GJ3426" s="501"/>
      <c r="GK3426" s="501"/>
      <c r="GL3426" s="501"/>
      <c r="GM3426" s="501"/>
      <c r="GN3426" s="501"/>
      <c r="GO3426" s="501"/>
      <c r="GP3426" s="501"/>
      <c r="GQ3426" s="501"/>
      <c r="GR3426" s="501"/>
      <c r="GS3426" s="501"/>
      <c r="GT3426" s="501"/>
      <c r="GU3426" s="501"/>
      <c r="GV3426" s="501"/>
      <c r="GW3426" s="501"/>
      <c r="GX3426" s="501"/>
      <c r="GY3426" s="501"/>
      <c r="GZ3426" s="501"/>
      <c r="HA3426" s="501"/>
      <c r="HB3426" s="501"/>
      <c r="HC3426" s="501"/>
      <c r="HD3426" s="501"/>
      <c r="HE3426" s="501"/>
      <c r="HF3426" s="501"/>
      <c r="HG3426" s="501"/>
      <c r="HH3426" s="501"/>
      <c r="HI3426" s="501"/>
      <c r="HJ3426" s="501"/>
      <c r="HK3426" s="501"/>
      <c r="HL3426" s="501"/>
      <c r="HM3426" s="501"/>
      <c r="HN3426" s="501"/>
      <c r="HO3426" s="501"/>
      <c r="HP3426" s="501"/>
      <c r="HQ3426" s="501"/>
      <c r="HR3426" s="501"/>
      <c r="HS3426" s="501"/>
      <c r="HT3426" s="501"/>
      <c r="HU3426" s="501"/>
      <c r="HV3426" s="501"/>
      <c r="HW3426" s="501"/>
      <c r="HX3426" s="501"/>
      <c r="HY3426" s="501"/>
      <c r="HZ3426" s="501"/>
      <c r="IA3426" s="501"/>
      <c r="IB3426" s="501"/>
      <c r="IC3426" s="501"/>
      <c r="ID3426" s="501"/>
      <c r="IE3426" s="501"/>
      <c r="IF3426" s="501"/>
      <c r="IG3426" s="501"/>
      <c r="IH3426" s="501"/>
      <c r="II3426" s="501"/>
      <c r="IJ3426" s="501"/>
      <c r="IK3426" s="501"/>
      <c r="IL3426" s="501"/>
      <c r="IM3426" s="501"/>
      <c r="IN3426" s="501"/>
      <c r="IO3426" s="501"/>
      <c r="IP3426" s="501"/>
      <c r="IQ3426" s="501"/>
      <c r="IR3426" s="501"/>
      <c r="IS3426" s="501"/>
      <c r="IT3426" s="501"/>
      <c r="IU3426" s="501"/>
    </row>
    <row r="3427" spans="1:255" s="877" customFormat="1" ht="24" customHeight="1">
      <c r="A3427" s="501"/>
      <c r="B3427" s="501"/>
      <c r="C3427" s="501"/>
      <c r="D3427" s="501"/>
      <c r="E3427" s="501"/>
      <c r="F3427" s="501"/>
      <c r="G3427" s="915"/>
      <c r="H3427" s="501"/>
      <c r="I3427" s="874"/>
      <c r="J3427" s="501"/>
      <c r="K3427" s="501"/>
      <c r="L3427" s="874"/>
      <c r="M3427" s="554"/>
      <c r="N3427" s="501"/>
      <c r="O3427" s="1097"/>
      <c r="P3427" s="1151"/>
      <c r="Q3427" s="973"/>
      <c r="R3427" s="1097"/>
      <c r="S3427" s="1191"/>
      <c r="T3427" s="1164"/>
      <c r="V3427" s="501"/>
      <c r="W3427" s="501"/>
      <c r="X3427" s="501"/>
      <c r="Y3427" s="501"/>
      <c r="Z3427" s="501"/>
      <c r="AA3427" s="501"/>
      <c r="AB3427" s="501"/>
      <c r="AC3427" s="501"/>
      <c r="AD3427" s="501"/>
      <c r="AE3427" s="501"/>
      <c r="AF3427" s="501"/>
      <c r="AG3427" s="501"/>
      <c r="AH3427" s="501"/>
      <c r="AI3427" s="501"/>
      <c r="AJ3427" s="501"/>
      <c r="AK3427" s="501"/>
      <c r="AL3427" s="501"/>
      <c r="AM3427" s="501"/>
      <c r="AN3427" s="501"/>
      <c r="AO3427" s="501"/>
      <c r="AP3427" s="501"/>
      <c r="AQ3427" s="501"/>
      <c r="AR3427" s="501"/>
      <c r="AS3427" s="501"/>
      <c r="AT3427" s="501"/>
      <c r="AU3427" s="501"/>
      <c r="AV3427" s="501"/>
      <c r="AW3427" s="501"/>
      <c r="AX3427" s="501"/>
      <c r="AY3427" s="501"/>
      <c r="AZ3427" s="501"/>
      <c r="BA3427" s="501"/>
      <c r="BB3427" s="501"/>
      <c r="BC3427" s="501"/>
      <c r="BD3427" s="501"/>
      <c r="BE3427" s="501"/>
      <c r="BF3427" s="501"/>
      <c r="BG3427" s="501"/>
      <c r="BH3427" s="501"/>
      <c r="BI3427" s="501"/>
      <c r="BJ3427" s="501"/>
      <c r="BK3427" s="501"/>
      <c r="BL3427" s="501"/>
      <c r="BM3427" s="501"/>
      <c r="BN3427" s="501"/>
      <c r="BO3427" s="501"/>
      <c r="BP3427" s="501"/>
      <c r="BQ3427" s="501"/>
      <c r="BR3427" s="501"/>
      <c r="BS3427" s="501"/>
      <c r="BT3427" s="501"/>
      <c r="BU3427" s="501"/>
      <c r="BV3427" s="501"/>
      <c r="BW3427" s="501"/>
      <c r="BX3427" s="501"/>
      <c r="BY3427" s="501"/>
      <c r="BZ3427" s="501"/>
      <c r="CA3427" s="501"/>
      <c r="CB3427" s="501"/>
      <c r="CC3427" s="501"/>
      <c r="CD3427" s="501"/>
      <c r="CE3427" s="501"/>
      <c r="CF3427" s="501"/>
      <c r="CG3427" s="501"/>
      <c r="CH3427" s="501"/>
      <c r="CI3427" s="501"/>
      <c r="CJ3427" s="501"/>
      <c r="CK3427" s="501"/>
      <c r="CL3427" s="501"/>
      <c r="CM3427" s="501"/>
      <c r="CN3427" s="501"/>
      <c r="CO3427" s="501"/>
      <c r="CP3427" s="501"/>
      <c r="CQ3427" s="501"/>
      <c r="CR3427" s="501"/>
      <c r="CS3427" s="501"/>
      <c r="CT3427" s="501"/>
      <c r="CU3427" s="501"/>
      <c r="CV3427" s="501"/>
      <c r="CW3427" s="501"/>
      <c r="CX3427" s="501"/>
      <c r="CY3427" s="501"/>
      <c r="CZ3427" s="501"/>
      <c r="DA3427" s="501"/>
      <c r="DB3427" s="501"/>
      <c r="DC3427" s="501"/>
      <c r="DD3427" s="501"/>
      <c r="DE3427" s="501"/>
      <c r="DF3427" s="501"/>
      <c r="DG3427" s="501"/>
      <c r="DH3427" s="501"/>
      <c r="DI3427" s="501"/>
      <c r="DJ3427" s="501"/>
      <c r="DK3427" s="501"/>
      <c r="DL3427" s="501"/>
      <c r="DM3427" s="501"/>
      <c r="DN3427" s="501"/>
      <c r="DO3427" s="501"/>
      <c r="DP3427" s="501"/>
      <c r="DQ3427" s="501"/>
      <c r="DR3427" s="501"/>
      <c r="DS3427" s="501"/>
      <c r="DT3427" s="501"/>
      <c r="DU3427" s="501"/>
      <c r="DV3427" s="501"/>
      <c r="DW3427" s="501"/>
      <c r="DX3427" s="501"/>
      <c r="DY3427" s="501"/>
      <c r="DZ3427" s="501"/>
      <c r="EA3427" s="501"/>
      <c r="EB3427" s="501"/>
      <c r="EC3427" s="501"/>
      <c r="ED3427" s="501"/>
      <c r="EE3427" s="501"/>
      <c r="EF3427" s="501"/>
      <c r="EG3427" s="501"/>
      <c r="EH3427" s="501"/>
      <c r="EI3427" s="501"/>
      <c r="EJ3427" s="501"/>
      <c r="EK3427" s="501"/>
      <c r="EL3427" s="501"/>
      <c r="EM3427" s="501"/>
      <c r="EN3427" s="501"/>
      <c r="EO3427" s="501"/>
      <c r="EP3427" s="501"/>
      <c r="EQ3427" s="501"/>
      <c r="ER3427" s="501"/>
      <c r="ES3427" s="501"/>
      <c r="ET3427" s="501"/>
      <c r="EU3427" s="501"/>
      <c r="EV3427" s="501"/>
      <c r="EW3427" s="501"/>
      <c r="EX3427" s="501"/>
      <c r="EY3427" s="501"/>
      <c r="EZ3427" s="501"/>
      <c r="FA3427" s="501"/>
      <c r="FB3427" s="501"/>
      <c r="FC3427" s="501"/>
      <c r="FD3427" s="501"/>
      <c r="FE3427" s="501"/>
      <c r="FF3427" s="501"/>
      <c r="FG3427" s="501"/>
      <c r="FH3427" s="501"/>
      <c r="FI3427" s="501"/>
      <c r="FJ3427" s="501"/>
      <c r="FK3427" s="501"/>
      <c r="FL3427" s="501"/>
      <c r="FM3427" s="501"/>
      <c r="FN3427" s="501"/>
      <c r="FO3427" s="501"/>
      <c r="FP3427" s="501"/>
      <c r="FQ3427" s="501"/>
      <c r="FR3427" s="501"/>
      <c r="FS3427" s="501"/>
      <c r="FT3427" s="501"/>
      <c r="FU3427" s="501"/>
      <c r="FV3427" s="501"/>
      <c r="FW3427" s="501"/>
      <c r="FX3427" s="501"/>
      <c r="FY3427" s="501"/>
      <c r="FZ3427" s="501"/>
      <c r="GA3427" s="501"/>
      <c r="GB3427" s="501"/>
      <c r="GC3427" s="501"/>
      <c r="GD3427" s="501"/>
      <c r="GE3427" s="501"/>
      <c r="GF3427" s="501"/>
      <c r="GG3427" s="501"/>
      <c r="GH3427" s="501"/>
      <c r="GI3427" s="501"/>
      <c r="GJ3427" s="501"/>
      <c r="GK3427" s="501"/>
      <c r="GL3427" s="501"/>
      <c r="GM3427" s="501"/>
      <c r="GN3427" s="501"/>
      <c r="GO3427" s="501"/>
      <c r="GP3427" s="501"/>
      <c r="GQ3427" s="501"/>
      <c r="GR3427" s="501"/>
      <c r="GS3427" s="501"/>
      <c r="GT3427" s="501"/>
      <c r="GU3427" s="501"/>
      <c r="GV3427" s="501"/>
      <c r="GW3427" s="501"/>
      <c r="GX3427" s="501"/>
      <c r="GY3427" s="501"/>
      <c r="GZ3427" s="501"/>
      <c r="HA3427" s="501"/>
      <c r="HB3427" s="501"/>
      <c r="HC3427" s="501"/>
      <c r="HD3427" s="501"/>
      <c r="HE3427" s="501"/>
      <c r="HF3427" s="501"/>
      <c r="HG3427" s="501"/>
      <c r="HH3427" s="501"/>
      <c r="HI3427" s="501"/>
      <c r="HJ3427" s="501"/>
      <c r="HK3427" s="501"/>
      <c r="HL3427" s="501"/>
      <c r="HM3427" s="501"/>
      <c r="HN3427" s="501"/>
      <c r="HO3427" s="501"/>
      <c r="HP3427" s="501"/>
      <c r="HQ3427" s="501"/>
      <c r="HR3427" s="501"/>
      <c r="HS3427" s="501"/>
      <c r="HT3427" s="501"/>
      <c r="HU3427" s="501"/>
      <c r="HV3427" s="501"/>
      <c r="HW3427" s="501"/>
      <c r="HX3427" s="501"/>
      <c r="HY3427" s="501"/>
      <c r="HZ3427" s="501"/>
      <c r="IA3427" s="501"/>
      <c r="IB3427" s="501"/>
      <c r="IC3427" s="501"/>
      <c r="ID3427" s="501"/>
      <c r="IE3427" s="501"/>
      <c r="IF3427" s="501"/>
      <c r="IG3427" s="501"/>
      <c r="IH3427" s="501"/>
      <c r="II3427" s="501"/>
      <c r="IJ3427" s="501"/>
      <c r="IK3427" s="501"/>
      <c r="IL3427" s="501"/>
      <c r="IM3427" s="501"/>
      <c r="IN3427" s="501"/>
      <c r="IO3427" s="501"/>
      <c r="IP3427" s="501"/>
      <c r="IQ3427" s="501"/>
      <c r="IR3427" s="501"/>
      <c r="IS3427" s="501"/>
      <c r="IT3427" s="501"/>
      <c r="IU3427" s="501"/>
    </row>
    <row r="3428" spans="1:255" s="877" customFormat="1" ht="24" customHeight="1">
      <c r="A3428" s="501"/>
      <c r="B3428" s="501"/>
      <c r="C3428" s="501"/>
      <c r="D3428" s="501"/>
      <c r="E3428" s="501"/>
      <c r="F3428" s="501"/>
      <c r="G3428" s="915"/>
      <c r="H3428" s="501"/>
      <c r="I3428" s="874"/>
      <c r="J3428" s="501"/>
      <c r="K3428" s="501"/>
      <c r="L3428" s="874"/>
      <c r="M3428" s="554"/>
      <c r="N3428" s="501"/>
      <c r="O3428" s="1097"/>
      <c r="P3428" s="1151"/>
      <c r="Q3428" s="1097"/>
      <c r="R3428" s="1097"/>
      <c r="S3428" s="1106"/>
      <c r="T3428" s="1106"/>
      <c r="V3428" s="501"/>
      <c r="W3428" s="501"/>
      <c r="X3428" s="501"/>
      <c r="Y3428" s="501"/>
      <c r="Z3428" s="501"/>
      <c r="AA3428" s="501"/>
      <c r="AB3428" s="501"/>
      <c r="AC3428" s="501"/>
      <c r="AD3428" s="501"/>
      <c r="AE3428" s="501"/>
      <c r="AF3428" s="501"/>
      <c r="AG3428" s="501"/>
      <c r="AH3428" s="501"/>
      <c r="AI3428" s="501"/>
      <c r="AJ3428" s="501"/>
      <c r="AK3428" s="501"/>
      <c r="AL3428" s="501"/>
      <c r="AM3428" s="501"/>
      <c r="AN3428" s="501"/>
      <c r="AO3428" s="501"/>
      <c r="AP3428" s="501"/>
      <c r="AQ3428" s="501"/>
      <c r="AR3428" s="501"/>
      <c r="AS3428" s="501"/>
      <c r="AT3428" s="501"/>
      <c r="AU3428" s="501"/>
      <c r="AV3428" s="501"/>
      <c r="AW3428" s="501"/>
      <c r="AX3428" s="501"/>
      <c r="AY3428" s="501"/>
      <c r="AZ3428" s="501"/>
      <c r="BA3428" s="501"/>
      <c r="BB3428" s="501"/>
      <c r="BC3428" s="501"/>
      <c r="BD3428" s="501"/>
      <c r="BE3428" s="501"/>
      <c r="BF3428" s="501"/>
      <c r="BG3428" s="501"/>
      <c r="BH3428" s="501"/>
      <c r="BI3428" s="501"/>
      <c r="BJ3428" s="501"/>
      <c r="BK3428" s="501"/>
      <c r="BL3428" s="501"/>
      <c r="BM3428" s="501"/>
      <c r="BN3428" s="501"/>
      <c r="BO3428" s="501"/>
      <c r="BP3428" s="501"/>
      <c r="BQ3428" s="501"/>
      <c r="BR3428" s="501"/>
      <c r="BS3428" s="501"/>
      <c r="BT3428" s="501"/>
      <c r="BU3428" s="501"/>
      <c r="BV3428" s="501"/>
      <c r="BW3428" s="501"/>
      <c r="BX3428" s="501"/>
      <c r="BY3428" s="501"/>
      <c r="BZ3428" s="501"/>
      <c r="CA3428" s="501"/>
      <c r="CB3428" s="501"/>
      <c r="CC3428" s="501"/>
      <c r="CD3428" s="501"/>
      <c r="CE3428" s="501"/>
      <c r="CF3428" s="501"/>
      <c r="CG3428" s="501"/>
      <c r="CH3428" s="501"/>
      <c r="CI3428" s="501"/>
      <c r="CJ3428" s="501"/>
      <c r="CK3428" s="501"/>
      <c r="CL3428" s="501"/>
      <c r="CM3428" s="501"/>
      <c r="CN3428" s="501"/>
      <c r="CO3428" s="501"/>
      <c r="CP3428" s="501"/>
      <c r="CQ3428" s="501"/>
      <c r="CR3428" s="501"/>
      <c r="CS3428" s="501"/>
      <c r="CT3428" s="501"/>
      <c r="CU3428" s="501"/>
      <c r="CV3428" s="501"/>
      <c r="CW3428" s="501"/>
      <c r="CX3428" s="501"/>
      <c r="CY3428" s="501"/>
      <c r="CZ3428" s="501"/>
      <c r="DA3428" s="501"/>
      <c r="DB3428" s="501"/>
      <c r="DC3428" s="501"/>
      <c r="DD3428" s="501"/>
      <c r="DE3428" s="501"/>
      <c r="DF3428" s="501"/>
      <c r="DG3428" s="501"/>
      <c r="DH3428" s="501"/>
      <c r="DI3428" s="501"/>
      <c r="DJ3428" s="501"/>
      <c r="DK3428" s="501"/>
      <c r="DL3428" s="501"/>
      <c r="DM3428" s="501"/>
      <c r="DN3428" s="501"/>
      <c r="DO3428" s="501"/>
      <c r="DP3428" s="501"/>
      <c r="DQ3428" s="501"/>
      <c r="DR3428" s="501"/>
      <c r="DS3428" s="501"/>
      <c r="DT3428" s="501"/>
      <c r="DU3428" s="501"/>
      <c r="DV3428" s="501"/>
      <c r="DW3428" s="501"/>
      <c r="DX3428" s="501"/>
      <c r="DY3428" s="501"/>
      <c r="DZ3428" s="501"/>
      <c r="EA3428" s="501"/>
      <c r="EB3428" s="501"/>
      <c r="EC3428" s="501"/>
      <c r="ED3428" s="501"/>
      <c r="EE3428" s="501"/>
      <c r="EF3428" s="501"/>
      <c r="EG3428" s="501"/>
      <c r="EH3428" s="501"/>
      <c r="EI3428" s="501"/>
      <c r="EJ3428" s="501"/>
      <c r="EK3428" s="501"/>
      <c r="EL3428" s="501"/>
      <c r="EM3428" s="501"/>
      <c r="EN3428" s="501"/>
      <c r="EO3428" s="501"/>
      <c r="EP3428" s="501"/>
      <c r="EQ3428" s="501"/>
      <c r="ER3428" s="501"/>
      <c r="ES3428" s="501"/>
      <c r="ET3428" s="501"/>
      <c r="EU3428" s="501"/>
      <c r="EV3428" s="501"/>
      <c r="EW3428" s="501"/>
      <c r="EX3428" s="501"/>
      <c r="EY3428" s="501"/>
      <c r="EZ3428" s="501"/>
      <c r="FA3428" s="501"/>
      <c r="FB3428" s="501"/>
      <c r="FC3428" s="501"/>
      <c r="FD3428" s="501"/>
      <c r="FE3428" s="501"/>
      <c r="FF3428" s="501"/>
      <c r="FG3428" s="501"/>
      <c r="FH3428" s="501"/>
      <c r="FI3428" s="501"/>
      <c r="FJ3428" s="501"/>
      <c r="FK3428" s="501"/>
      <c r="FL3428" s="501"/>
      <c r="FM3428" s="501"/>
      <c r="FN3428" s="501"/>
      <c r="FO3428" s="501"/>
      <c r="FP3428" s="501"/>
      <c r="FQ3428" s="501"/>
      <c r="FR3428" s="501"/>
      <c r="FS3428" s="501"/>
      <c r="FT3428" s="501"/>
      <c r="FU3428" s="501"/>
      <c r="FV3428" s="501"/>
      <c r="FW3428" s="501"/>
      <c r="FX3428" s="501"/>
      <c r="FY3428" s="501"/>
      <c r="FZ3428" s="501"/>
      <c r="GA3428" s="501"/>
      <c r="GB3428" s="501"/>
      <c r="GC3428" s="501"/>
      <c r="GD3428" s="501"/>
      <c r="GE3428" s="501"/>
      <c r="GF3428" s="501"/>
      <c r="GG3428" s="501"/>
      <c r="GH3428" s="501"/>
      <c r="GI3428" s="501"/>
      <c r="GJ3428" s="501"/>
      <c r="GK3428" s="501"/>
      <c r="GL3428" s="501"/>
      <c r="GM3428" s="501"/>
      <c r="GN3428" s="501"/>
      <c r="GO3428" s="501"/>
      <c r="GP3428" s="501"/>
      <c r="GQ3428" s="501"/>
      <c r="GR3428" s="501"/>
      <c r="GS3428" s="501"/>
      <c r="GT3428" s="501"/>
      <c r="GU3428" s="501"/>
      <c r="GV3428" s="501"/>
      <c r="GW3428" s="501"/>
      <c r="GX3428" s="501"/>
      <c r="GY3428" s="501"/>
      <c r="GZ3428" s="501"/>
      <c r="HA3428" s="501"/>
      <c r="HB3428" s="501"/>
      <c r="HC3428" s="501"/>
      <c r="HD3428" s="501"/>
      <c r="HE3428" s="501"/>
      <c r="HF3428" s="501"/>
      <c r="HG3428" s="501"/>
      <c r="HH3428" s="501"/>
      <c r="HI3428" s="501"/>
      <c r="HJ3428" s="501"/>
      <c r="HK3428" s="501"/>
      <c r="HL3428" s="501"/>
      <c r="HM3428" s="501"/>
      <c r="HN3428" s="501"/>
      <c r="HO3428" s="501"/>
      <c r="HP3428" s="501"/>
      <c r="HQ3428" s="501"/>
      <c r="HR3428" s="501"/>
      <c r="HS3428" s="501"/>
      <c r="HT3428" s="501"/>
      <c r="HU3428" s="501"/>
      <c r="HV3428" s="501"/>
      <c r="HW3428" s="501"/>
      <c r="HX3428" s="501"/>
      <c r="HY3428" s="501"/>
      <c r="HZ3428" s="501"/>
      <c r="IA3428" s="501"/>
      <c r="IB3428" s="501"/>
      <c r="IC3428" s="501"/>
      <c r="ID3428" s="501"/>
      <c r="IE3428" s="501"/>
      <c r="IF3428" s="501"/>
      <c r="IG3428" s="501"/>
      <c r="IH3428" s="501"/>
      <c r="II3428" s="501"/>
      <c r="IJ3428" s="501"/>
      <c r="IK3428" s="501"/>
      <c r="IL3428" s="501"/>
      <c r="IM3428" s="501"/>
      <c r="IN3428" s="501"/>
      <c r="IO3428" s="501"/>
      <c r="IP3428" s="501"/>
      <c r="IQ3428" s="501"/>
      <c r="IR3428" s="501"/>
      <c r="IS3428" s="501"/>
      <c r="IT3428" s="501"/>
      <c r="IU3428" s="501"/>
    </row>
    <row r="3429" spans="1:255" s="877" customFormat="1" ht="24" customHeight="1">
      <c r="A3429" s="501"/>
      <c r="B3429" s="501"/>
      <c r="C3429" s="501"/>
      <c r="D3429" s="501"/>
      <c r="E3429" s="501"/>
      <c r="F3429" s="501"/>
      <c r="G3429" s="915"/>
      <c r="H3429" s="501"/>
      <c r="I3429" s="874"/>
      <c r="J3429" s="501"/>
      <c r="K3429" s="501"/>
      <c r="L3429" s="874"/>
      <c r="M3429" s="554"/>
      <c r="N3429" s="501"/>
      <c r="O3429" s="1157"/>
      <c r="P3429" s="1152"/>
      <c r="Q3429" s="973"/>
      <c r="R3429" s="968"/>
      <c r="S3429" s="974"/>
      <c r="T3429" s="968"/>
      <c r="V3429" s="501"/>
      <c r="W3429" s="501"/>
      <c r="X3429" s="501"/>
      <c r="Y3429" s="501"/>
      <c r="Z3429" s="501"/>
      <c r="AA3429" s="501"/>
      <c r="AB3429" s="501"/>
      <c r="AC3429" s="501"/>
      <c r="AD3429" s="501"/>
      <c r="AE3429" s="501"/>
      <c r="AF3429" s="501"/>
      <c r="AG3429" s="501"/>
      <c r="AH3429" s="501"/>
      <c r="AI3429" s="501"/>
      <c r="AJ3429" s="501"/>
      <c r="AK3429" s="501"/>
      <c r="AL3429" s="501"/>
      <c r="AM3429" s="501"/>
      <c r="AN3429" s="501"/>
      <c r="AO3429" s="501"/>
      <c r="AP3429" s="501"/>
      <c r="AQ3429" s="501"/>
      <c r="AR3429" s="501"/>
      <c r="AS3429" s="501"/>
      <c r="AT3429" s="501"/>
      <c r="AU3429" s="501"/>
      <c r="AV3429" s="501"/>
      <c r="AW3429" s="501"/>
      <c r="AX3429" s="501"/>
      <c r="AY3429" s="501"/>
      <c r="AZ3429" s="501"/>
      <c r="BA3429" s="501"/>
      <c r="BB3429" s="501"/>
      <c r="BC3429" s="501"/>
      <c r="BD3429" s="501"/>
      <c r="BE3429" s="501"/>
      <c r="BF3429" s="501"/>
      <c r="BG3429" s="501"/>
      <c r="BH3429" s="501"/>
      <c r="BI3429" s="501"/>
      <c r="BJ3429" s="501"/>
      <c r="BK3429" s="501"/>
      <c r="BL3429" s="501"/>
      <c r="BM3429" s="501"/>
      <c r="BN3429" s="501"/>
      <c r="BO3429" s="501"/>
      <c r="BP3429" s="501"/>
      <c r="BQ3429" s="501"/>
      <c r="BR3429" s="501"/>
      <c r="BS3429" s="501"/>
      <c r="BT3429" s="501"/>
      <c r="BU3429" s="501"/>
      <c r="BV3429" s="501"/>
      <c r="BW3429" s="501"/>
      <c r="BX3429" s="501"/>
      <c r="BY3429" s="501"/>
      <c r="BZ3429" s="501"/>
      <c r="CA3429" s="501"/>
      <c r="CB3429" s="501"/>
      <c r="CC3429" s="501"/>
      <c r="CD3429" s="501"/>
      <c r="CE3429" s="501"/>
      <c r="CF3429" s="501"/>
      <c r="CG3429" s="501"/>
      <c r="CH3429" s="501"/>
      <c r="CI3429" s="501"/>
      <c r="CJ3429" s="501"/>
      <c r="CK3429" s="501"/>
      <c r="CL3429" s="501"/>
      <c r="CM3429" s="501"/>
      <c r="CN3429" s="501"/>
      <c r="CO3429" s="501"/>
      <c r="CP3429" s="501"/>
      <c r="CQ3429" s="501"/>
      <c r="CR3429" s="501"/>
      <c r="CS3429" s="501"/>
      <c r="CT3429" s="501"/>
      <c r="CU3429" s="501"/>
      <c r="CV3429" s="501"/>
      <c r="CW3429" s="501"/>
      <c r="CX3429" s="501"/>
      <c r="CY3429" s="501"/>
      <c r="CZ3429" s="501"/>
      <c r="DA3429" s="501"/>
      <c r="DB3429" s="501"/>
      <c r="DC3429" s="501"/>
      <c r="DD3429" s="501"/>
      <c r="DE3429" s="501"/>
      <c r="DF3429" s="501"/>
      <c r="DG3429" s="501"/>
      <c r="DH3429" s="501"/>
      <c r="DI3429" s="501"/>
      <c r="DJ3429" s="501"/>
      <c r="DK3429" s="501"/>
      <c r="DL3429" s="501"/>
      <c r="DM3429" s="501"/>
      <c r="DN3429" s="501"/>
      <c r="DO3429" s="501"/>
      <c r="DP3429" s="501"/>
      <c r="DQ3429" s="501"/>
      <c r="DR3429" s="501"/>
      <c r="DS3429" s="501"/>
      <c r="DT3429" s="501"/>
      <c r="DU3429" s="501"/>
      <c r="DV3429" s="501"/>
      <c r="DW3429" s="501"/>
      <c r="DX3429" s="501"/>
      <c r="DY3429" s="501"/>
      <c r="DZ3429" s="501"/>
      <c r="EA3429" s="501"/>
      <c r="EB3429" s="501"/>
      <c r="EC3429" s="501"/>
      <c r="ED3429" s="501"/>
      <c r="EE3429" s="501"/>
      <c r="EF3429" s="501"/>
      <c r="EG3429" s="501"/>
      <c r="EH3429" s="501"/>
      <c r="EI3429" s="501"/>
      <c r="EJ3429" s="501"/>
      <c r="EK3429" s="501"/>
      <c r="EL3429" s="501"/>
      <c r="EM3429" s="501"/>
      <c r="EN3429" s="501"/>
      <c r="EO3429" s="501"/>
      <c r="EP3429" s="501"/>
      <c r="EQ3429" s="501"/>
      <c r="ER3429" s="501"/>
      <c r="ES3429" s="501"/>
      <c r="ET3429" s="501"/>
      <c r="EU3429" s="501"/>
      <c r="EV3429" s="501"/>
      <c r="EW3429" s="501"/>
      <c r="EX3429" s="501"/>
      <c r="EY3429" s="501"/>
      <c r="EZ3429" s="501"/>
      <c r="FA3429" s="501"/>
      <c r="FB3429" s="501"/>
      <c r="FC3429" s="501"/>
      <c r="FD3429" s="501"/>
      <c r="FE3429" s="501"/>
      <c r="FF3429" s="501"/>
      <c r="FG3429" s="501"/>
      <c r="FH3429" s="501"/>
      <c r="FI3429" s="501"/>
      <c r="FJ3429" s="501"/>
      <c r="FK3429" s="501"/>
      <c r="FL3429" s="501"/>
      <c r="FM3429" s="501"/>
      <c r="FN3429" s="501"/>
      <c r="FO3429" s="501"/>
      <c r="FP3429" s="501"/>
      <c r="FQ3429" s="501"/>
      <c r="FR3429" s="501"/>
      <c r="FS3429" s="501"/>
      <c r="FT3429" s="501"/>
      <c r="FU3429" s="501"/>
      <c r="FV3429" s="501"/>
      <c r="FW3429" s="501"/>
      <c r="FX3429" s="501"/>
      <c r="FY3429" s="501"/>
      <c r="FZ3429" s="501"/>
      <c r="GA3429" s="501"/>
      <c r="GB3429" s="501"/>
      <c r="GC3429" s="501"/>
      <c r="GD3429" s="501"/>
      <c r="GE3429" s="501"/>
      <c r="GF3429" s="501"/>
      <c r="GG3429" s="501"/>
      <c r="GH3429" s="501"/>
      <c r="GI3429" s="501"/>
      <c r="GJ3429" s="501"/>
      <c r="GK3429" s="501"/>
      <c r="GL3429" s="501"/>
      <c r="GM3429" s="501"/>
      <c r="GN3429" s="501"/>
      <c r="GO3429" s="501"/>
      <c r="GP3429" s="501"/>
      <c r="GQ3429" s="501"/>
      <c r="GR3429" s="501"/>
      <c r="GS3429" s="501"/>
      <c r="GT3429" s="501"/>
      <c r="GU3429" s="501"/>
      <c r="GV3429" s="501"/>
      <c r="GW3429" s="501"/>
      <c r="GX3429" s="501"/>
      <c r="GY3429" s="501"/>
      <c r="GZ3429" s="501"/>
      <c r="HA3429" s="501"/>
      <c r="HB3429" s="501"/>
      <c r="HC3429" s="501"/>
      <c r="HD3429" s="501"/>
      <c r="HE3429" s="501"/>
      <c r="HF3429" s="501"/>
      <c r="HG3429" s="501"/>
      <c r="HH3429" s="501"/>
      <c r="HI3429" s="501"/>
      <c r="HJ3429" s="501"/>
      <c r="HK3429" s="501"/>
      <c r="HL3429" s="501"/>
      <c r="HM3429" s="501"/>
      <c r="HN3429" s="501"/>
      <c r="HO3429" s="501"/>
      <c r="HP3429" s="501"/>
      <c r="HQ3429" s="501"/>
      <c r="HR3429" s="501"/>
      <c r="HS3429" s="501"/>
      <c r="HT3429" s="501"/>
      <c r="HU3429" s="501"/>
      <c r="HV3429" s="501"/>
      <c r="HW3429" s="501"/>
      <c r="HX3429" s="501"/>
      <c r="HY3429" s="501"/>
      <c r="HZ3429" s="501"/>
      <c r="IA3429" s="501"/>
      <c r="IB3429" s="501"/>
      <c r="IC3429" s="501"/>
      <c r="ID3429" s="501"/>
      <c r="IE3429" s="501"/>
      <c r="IF3429" s="501"/>
      <c r="IG3429" s="501"/>
      <c r="IH3429" s="501"/>
      <c r="II3429" s="501"/>
      <c r="IJ3429" s="501"/>
      <c r="IK3429" s="501"/>
      <c r="IL3429" s="501"/>
      <c r="IM3429" s="501"/>
      <c r="IN3429" s="501"/>
      <c r="IO3429" s="501"/>
      <c r="IP3429" s="501"/>
      <c r="IQ3429" s="501"/>
      <c r="IR3429" s="501"/>
      <c r="IS3429" s="501"/>
      <c r="IT3429" s="501"/>
      <c r="IU3429" s="501"/>
    </row>
    <row r="3430" spans="1:255" s="877" customFormat="1" ht="24" customHeight="1">
      <c r="A3430" s="501"/>
      <c r="B3430" s="501"/>
      <c r="C3430" s="501"/>
      <c r="D3430" s="501"/>
      <c r="E3430" s="501"/>
      <c r="F3430" s="501"/>
      <c r="G3430" s="915"/>
      <c r="H3430" s="501"/>
      <c r="I3430" s="874"/>
      <c r="J3430" s="501"/>
      <c r="K3430" s="501"/>
      <c r="L3430" s="874"/>
      <c r="M3430" s="554"/>
      <c r="N3430" s="501"/>
      <c r="O3430" s="1157"/>
      <c r="P3430" s="1152"/>
      <c r="Q3430" s="973"/>
      <c r="R3430" s="968"/>
      <c r="S3430" s="974"/>
      <c r="T3430" s="968"/>
      <c r="V3430" s="501"/>
      <c r="W3430" s="501"/>
      <c r="X3430" s="501"/>
      <c r="Y3430" s="501"/>
      <c r="Z3430" s="501"/>
      <c r="AA3430" s="501"/>
      <c r="AB3430" s="501"/>
      <c r="AC3430" s="501"/>
      <c r="AD3430" s="501"/>
      <c r="AE3430" s="501"/>
      <c r="AF3430" s="501"/>
      <c r="AG3430" s="501"/>
      <c r="AH3430" s="501"/>
      <c r="AI3430" s="501"/>
      <c r="AJ3430" s="501"/>
      <c r="AK3430" s="501"/>
      <c r="AL3430" s="501"/>
      <c r="AM3430" s="501"/>
      <c r="AN3430" s="501"/>
      <c r="AO3430" s="501"/>
      <c r="AP3430" s="501"/>
      <c r="AQ3430" s="501"/>
      <c r="AR3430" s="501"/>
      <c r="AS3430" s="501"/>
      <c r="AT3430" s="501"/>
      <c r="AU3430" s="501"/>
      <c r="AV3430" s="501"/>
      <c r="AW3430" s="501"/>
      <c r="AX3430" s="501"/>
      <c r="AY3430" s="501"/>
      <c r="AZ3430" s="501"/>
      <c r="BA3430" s="501"/>
      <c r="BB3430" s="501"/>
      <c r="BC3430" s="501"/>
      <c r="BD3430" s="501"/>
      <c r="BE3430" s="501"/>
      <c r="BF3430" s="501"/>
      <c r="BG3430" s="501"/>
      <c r="BH3430" s="501"/>
      <c r="BI3430" s="501"/>
      <c r="BJ3430" s="501"/>
      <c r="BK3430" s="501"/>
      <c r="BL3430" s="501"/>
      <c r="BM3430" s="501"/>
      <c r="BN3430" s="501"/>
      <c r="BO3430" s="501"/>
      <c r="BP3430" s="501"/>
      <c r="BQ3430" s="501"/>
      <c r="BR3430" s="501"/>
      <c r="BS3430" s="501"/>
      <c r="BT3430" s="501"/>
      <c r="BU3430" s="501"/>
      <c r="BV3430" s="501"/>
      <c r="BW3430" s="501"/>
      <c r="BX3430" s="501"/>
      <c r="BY3430" s="501"/>
      <c r="BZ3430" s="501"/>
      <c r="CA3430" s="501"/>
      <c r="CB3430" s="501"/>
      <c r="CC3430" s="501"/>
      <c r="CD3430" s="501"/>
      <c r="CE3430" s="501"/>
      <c r="CF3430" s="501"/>
      <c r="CG3430" s="501"/>
      <c r="CH3430" s="501"/>
      <c r="CI3430" s="501"/>
      <c r="CJ3430" s="501"/>
      <c r="CK3430" s="501"/>
      <c r="CL3430" s="501"/>
      <c r="CM3430" s="501"/>
      <c r="CN3430" s="501"/>
      <c r="CO3430" s="501"/>
      <c r="CP3430" s="501"/>
      <c r="CQ3430" s="501"/>
      <c r="CR3430" s="501"/>
      <c r="CS3430" s="501"/>
      <c r="CT3430" s="501"/>
      <c r="CU3430" s="501"/>
      <c r="CV3430" s="501"/>
      <c r="CW3430" s="501"/>
      <c r="CX3430" s="501"/>
      <c r="CY3430" s="501"/>
      <c r="CZ3430" s="501"/>
      <c r="DA3430" s="501"/>
      <c r="DB3430" s="501"/>
      <c r="DC3430" s="501"/>
      <c r="DD3430" s="501"/>
      <c r="DE3430" s="501"/>
      <c r="DF3430" s="501"/>
      <c r="DG3430" s="501"/>
      <c r="DH3430" s="501"/>
      <c r="DI3430" s="501"/>
      <c r="DJ3430" s="501"/>
      <c r="DK3430" s="501"/>
      <c r="DL3430" s="501"/>
      <c r="DM3430" s="501"/>
      <c r="DN3430" s="501"/>
      <c r="DO3430" s="501"/>
      <c r="DP3430" s="501"/>
      <c r="DQ3430" s="501"/>
      <c r="DR3430" s="501"/>
      <c r="DS3430" s="501"/>
      <c r="DT3430" s="501"/>
      <c r="DU3430" s="501"/>
      <c r="DV3430" s="501"/>
      <c r="DW3430" s="501"/>
      <c r="DX3430" s="501"/>
      <c r="DY3430" s="501"/>
      <c r="DZ3430" s="501"/>
      <c r="EA3430" s="501"/>
      <c r="EB3430" s="501"/>
      <c r="EC3430" s="501"/>
      <c r="ED3430" s="501"/>
      <c r="EE3430" s="501"/>
      <c r="EF3430" s="501"/>
      <c r="EG3430" s="501"/>
      <c r="EH3430" s="501"/>
      <c r="EI3430" s="501"/>
      <c r="EJ3430" s="501"/>
      <c r="EK3430" s="501"/>
      <c r="EL3430" s="501"/>
      <c r="EM3430" s="501"/>
      <c r="EN3430" s="501"/>
      <c r="EO3430" s="501"/>
      <c r="EP3430" s="501"/>
      <c r="EQ3430" s="501"/>
      <c r="ER3430" s="501"/>
      <c r="ES3430" s="501"/>
      <c r="ET3430" s="501"/>
      <c r="EU3430" s="501"/>
      <c r="EV3430" s="501"/>
      <c r="EW3430" s="501"/>
      <c r="EX3430" s="501"/>
      <c r="EY3430" s="501"/>
      <c r="EZ3430" s="501"/>
      <c r="FA3430" s="501"/>
      <c r="FB3430" s="501"/>
      <c r="FC3430" s="501"/>
      <c r="FD3430" s="501"/>
      <c r="FE3430" s="501"/>
      <c r="FF3430" s="501"/>
      <c r="FG3430" s="501"/>
      <c r="FH3430" s="501"/>
      <c r="FI3430" s="501"/>
      <c r="FJ3430" s="501"/>
      <c r="FK3430" s="501"/>
      <c r="FL3430" s="501"/>
      <c r="FM3430" s="501"/>
      <c r="FN3430" s="501"/>
      <c r="FO3430" s="501"/>
      <c r="FP3430" s="501"/>
      <c r="FQ3430" s="501"/>
      <c r="FR3430" s="501"/>
      <c r="FS3430" s="501"/>
      <c r="FT3430" s="501"/>
      <c r="FU3430" s="501"/>
      <c r="FV3430" s="501"/>
      <c r="FW3430" s="501"/>
      <c r="FX3430" s="501"/>
      <c r="FY3430" s="501"/>
      <c r="FZ3430" s="501"/>
      <c r="GA3430" s="501"/>
      <c r="GB3430" s="501"/>
      <c r="GC3430" s="501"/>
      <c r="GD3430" s="501"/>
      <c r="GE3430" s="501"/>
      <c r="GF3430" s="501"/>
      <c r="GG3430" s="501"/>
      <c r="GH3430" s="501"/>
      <c r="GI3430" s="501"/>
      <c r="GJ3430" s="501"/>
      <c r="GK3430" s="501"/>
      <c r="GL3430" s="501"/>
      <c r="GM3430" s="501"/>
      <c r="GN3430" s="501"/>
      <c r="GO3430" s="501"/>
      <c r="GP3430" s="501"/>
      <c r="GQ3430" s="501"/>
      <c r="GR3430" s="501"/>
      <c r="GS3430" s="501"/>
      <c r="GT3430" s="501"/>
      <c r="GU3430" s="501"/>
      <c r="GV3430" s="501"/>
      <c r="GW3430" s="501"/>
      <c r="GX3430" s="501"/>
      <c r="GY3430" s="501"/>
      <c r="GZ3430" s="501"/>
      <c r="HA3430" s="501"/>
      <c r="HB3430" s="501"/>
      <c r="HC3430" s="501"/>
      <c r="HD3430" s="501"/>
      <c r="HE3430" s="501"/>
      <c r="HF3430" s="501"/>
      <c r="HG3430" s="501"/>
      <c r="HH3430" s="501"/>
      <c r="HI3430" s="501"/>
      <c r="HJ3430" s="501"/>
      <c r="HK3430" s="501"/>
      <c r="HL3430" s="501"/>
      <c r="HM3430" s="501"/>
      <c r="HN3430" s="501"/>
      <c r="HO3430" s="501"/>
      <c r="HP3430" s="501"/>
      <c r="HQ3430" s="501"/>
      <c r="HR3430" s="501"/>
      <c r="HS3430" s="501"/>
      <c r="HT3430" s="501"/>
      <c r="HU3430" s="501"/>
      <c r="HV3430" s="501"/>
      <c r="HW3430" s="501"/>
      <c r="HX3430" s="501"/>
      <c r="HY3430" s="501"/>
      <c r="HZ3430" s="501"/>
      <c r="IA3430" s="501"/>
      <c r="IB3430" s="501"/>
      <c r="IC3430" s="501"/>
      <c r="ID3430" s="501"/>
      <c r="IE3430" s="501"/>
      <c r="IF3430" s="501"/>
      <c r="IG3430" s="501"/>
      <c r="IH3430" s="501"/>
      <c r="II3430" s="501"/>
      <c r="IJ3430" s="501"/>
      <c r="IK3430" s="501"/>
      <c r="IL3430" s="501"/>
      <c r="IM3430" s="501"/>
      <c r="IN3430" s="501"/>
      <c r="IO3430" s="501"/>
      <c r="IP3430" s="501"/>
      <c r="IQ3430" s="501"/>
      <c r="IR3430" s="501"/>
      <c r="IS3430" s="501"/>
      <c r="IT3430" s="501"/>
      <c r="IU3430" s="501"/>
    </row>
    <row r="3431" spans="1:255" s="877" customFormat="1" ht="24" customHeight="1">
      <c r="A3431" s="501"/>
      <c r="B3431" s="501"/>
      <c r="C3431" s="501"/>
      <c r="D3431" s="501"/>
      <c r="E3431" s="501"/>
      <c r="F3431" s="501"/>
      <c r="G3431" s="915"/>
      <c r="H3431" s="501"/>
      <c r="I3431" s="874"/>
      <c r="J3431" s="501"/>
      <c r="K3431" s="501"/>
      <c r="L3431" s="874"/>
      <c r="M3431" s="554"/>
      <c r="N3431" s="501"/>
      <c r="O3431" s="1157"/>
      <c r="P3431" s="1152"/>
      <c r="Q3431" s="973"/>
      <c r="R3431" s="968"/>
      <c r="S3431" s="974"/>
      <c r="T3431" s="968"/>
      <c r="V3431" s="501"/>
      <c r="W3431" s="501"/>
      <c r="X3431" s="501"/>
      <c r="Y3431" s="501"/>
      <c r="Z3431" s="501"/>
      <c r="AA3431" s="501"/>
      <c r="AB3431" s="501"/>
      <c r="AC3431" s="501"/>
      <c r="AD3431" s="501"/>
      <c r="AE3431" s="501"/>
      <c r="AF3431" s="501"/>
      <c r="AG3431" s="501"/>
      <c r="AH3431" s="501"/>
      <c r="AI3431" s="501"/>
      <c r="AJ3431" s="501"/>
      <c r="AK3431" s="501"/>
      <c r="AL3431" s="501"/>
      <c r="AM3431" s="501"/>
      <c r="AN3431" s="501"/>
      <c r="AO3431" s="501"/>
      <c r="AP3431" s="501"/>
      <c r="AQ3431" s="501"/>
      <c r="AR3431" s="501"/>
      <c r="AS3431" s="501"/>
      <c r="AT3431" s="501"/>
      <c r="AU3431" s="501"/>
      <c r="AV3431" s="501"/>
      <c r="AW3431" s="501"/>
      <c r="AX3431" s="501"/>
      <c r="AY3431" s="501"/>
      <c r="AZ3431" s="501"/>
      <c r="BA3431" s="501"/>
      <c r="BB3431" s="501"/>
      <c r="BC3431" s="501"/>
      <c r="BD3431" s="501"/>
      <c r="BE3431" s="501"/>
      <c r="BF3431" s="501"/>
      <c r="BG3431" s="501"/>
      <c r="BH3431" s="501"/>
      <c r="BI3431" s="501"/>
      <c r="BJ3431" s="501"/>
      <c r="BK3431" s="501"/>
      <c r="BL3431" s="501"/>
      <c r="BM3431" s="501"/>
      <c r="BN3431" s="501"/>
      <c r="BO3431" s="501"/>
      <c r="BP3431" s="501"/>
      <c r="BQ3431" s="501"/>
      <c r="BR3431" s="501"/>
      <c r="BS3431" s="501"/>
      <c r="BT3431" s="501"/>
      <c r="BU3431" s="501"/>
      <c r="BV3431" s="501"/>
      <c r="BW3431" s="501"/>
      <c r="BX3431" s="501"/>
      <c r="BY3431" s="501"/>
      <c r="BZ3431" s="501"/>
      <c r="CA3431" s="501"/>
      <c r="CB3431" s="501"/>
      <c r="CC3431" s="501"/>
      <c r="CD3431" s="501"/>
      <c r="CE3431" s="501"/>
      <c r="CF3431" s="501"/>
      <c r="CG3431" s="501"/>
      <c r="CH3431" s="501"/>
      <c r="CI3431" s="501"/>
      <c r="CJ3431" s="501"/>
      <c r="CK3431" s="501"/>
      <c r="CL3431" s="501"/>
      <c r="CM3431" s="501"/>
      <c r="CN3431" s="501"/>
      <c r="CO3431" s="501"/>
      <c r="CP3431" s="501"/>
      <c r="CQ3431" s="501"/>
      <c r="CR3431" s="501"/>
      <c r="CS3431" s="501"/>
      <c r="CT3431" s="501"/>
      <c r="CU3431" s="501"/>
      <c r="CV3431" s="501"/>
      <c r="CW3431" s="501"/>
      <c r="CX3431" s="501"/>
      <c r="CY3431" s="501"/>
      <c r="CZ3431" s="501"/>
      <c r="DA3431" s="501"/>
      <c r="DB3431" s="501"/>
      <c r="DC3431" s="501"/>
      <c r="DD3431" s="501"/>
      <c r="DE3431" s="501"/>
      <c r="DF3431" s="501"/>
      <c r="DG3431" s="501"/>
      <c r="DH3431" s="501"/>
      <c r="DI3431" s="501"/>
      <c r="DJ3431" s="501"/>
      <c r="DK3431" s="501"/>
      <c r="DL3431" s="501"/>
      <c r="DM3431" s="501"/>
      <c r="DN3431" s="501"/>
      <c r="DO3431" s="501"/>
      <c r="DP3431" s="501"/>
      <c r="DQ3431" s="501"/>
      <c r="DR3431" s="501"/>
      <c r="DS3431" s="501"/>
      <c r="DT3431" s="501"/>
      <c r="DU3431" s="501"/>
      <c r="DV3431" s="501"/>
      <c r="DW3431" s="501"/>
      <c r="DX3431" s="501"/>
      <c r="DY3431" s="501"/>
      <c r="DZ3431" s="501"/>
      <c r="EA3431" s="501"/>
      <c r="EB3431" s="501"/>
      <c r="EC3431" s="501"/>
      <c r="ED3431" s="501"/>
      <c r="EE3431" s="501"/>
      <c r="EF3431" s="501"/>
      <c r="EG3431" s="501"/>
      <c r="EH3431" s="501"/>
      <c r="EI3431" s="501"/>
      <c r="EJ3431" s="501"/>
      <c r="EK3431" s="501"/>
      <c r="EL3431" s="501"/>
      <c r="EM3431" s="501"/>
      <c r="EN3431" s="501"/>
      <c r="EO3431" s="501"/>
      <c r="EP3431" s="501"/>
      <c r="EQ3431" s="501"/>
      <c r="ER3431" s="501"/>
      <c r="ES3431" s="501"/>
      <c r="ET3431" s="501"/>
      <c r="EU3431" s="501"/>
      <c r="EV3431" s="501"/>
      <c r="EW3431" s="501"/>
      <c r="EX3431" s="501"/>
      <c r="EY3431" s="501"/>
      <c r="EZ3431" s="501"/>
      <c r="FA3431" s="501"/>
      <c r="FB3431" s="501"/>
      <c r="FC3431" s="501"/>
      <c r="FD3431" s="501"/>
      <c r="FE3431" s="501"/>
      <c r="FF3431" s="501"/>
      <c r="FG3431" s="501"/>
      <c r="FH3431" s="501"/>
      <c r="FI3431" s="501"/>
      <c r="FJ3431" s="501"/>
      <c r="FK3431" s="501"/>
      <c r="FL3431" s="501"/>
      <c r="FM3431" s="501"/>
      <c r="FN3431" s="501"/>
      <c r="FO3431" s="501"/>
      <c r="FP3431" s="501"/>
      <c r="FQ3431" s="501"/>
      <c r="FR3431" s="501"/>
      <c r="FS3431" s="501"/>
      <c r="FT3431" s="501"/>
      <c r="FU3431" s="501"/>
      <c r="FV3431" s="501"/>
      <c r="FW3431" s="501"/>
      <c r="FX3431" s="501"/>
      <c r="FY3431" s="501"/>
      <c r="FZ3431" s="501"/>
      <c r="GA3431" s="501"/>
      <c r="GB3431" s="501"/>
      <c r="GC3431" s="501"/>
      <c r="GD3431" s="501"/>
      <c r="GE3431" s="501"/>
      <c r="GF3431" s="501"/>
      <c r="GG3431" s="501"/>
      <c r="GH3431" s="501"/>
      <c r="GI3431" s="501"/>
      <c r="GJ3431" s="501"/>
      <c r="GK3431" s="501"/>
      <c r="GL3431" s="501"/>
      <c r="GM3431" s="501"/>
      <c r="GN3431" s="501"/>
      <c r="GO3431" s="501"/>
      <c r="GP3431" s="501"/>
      <c r="GQ3431" s="501"/>
      <c r="GR3431" s="501"/>
      <c r="GS3431" s="501"/>
      <c r="GT3431" s="501"/>
      <c r="GU3431" s="501"/>
      <c r="GV3431" s="501"/>
      <c r="GW3431" s="501"/>
      <c r="GX3431" s="501"/>
      <c r="GY3431" s="501"/>
      <c r="GZ3431" s="501"/>
      <c r="HA3431" s="501"/>
      <c r="HB3431" s="501"/>
      <c r="HC3431" s="501"/>
      <c r="HD3431" s="501"/>
      <c r="HE3431" s="501"/>
      <c r="HF3431" s="501"/>
      <c r="HG3431" s="501"/>
      <c r="HH3431" s="501"/>
      <c r="HI3431" s="501"/>
      <c r="HJ3431" s="501"/>
      <c r="HK3431" s="501"/>
      <c r="HL3431" s="501"/>
      <c r="HM3431" s="501"/>
      <c r="HN3431" s="501"/>
      <c r="HO3431" s="501"/>
      <c r="HP3431" s="501"/>
      <c r="HQ3431" s="501"/>
      <c r="HR3431" s="501"/>
      <c r="HS3431" s="501"/>
      <c r="HT3431" s="501"/>
      <c r="HU3431" s="501"/>
      <c r="HV3431" s="501"/>
      <c r="HW3431" s="501"/>
      <c r="HX3431" s="501"/>
      <c r="HY3431" s="501"/>
      <c r="HZ3431" s="501"/>
      <c r="IA3431" s="501"/>
      <c r="IB3431" s="501"/>
      <c r="IC3431" s="501"/>
      <c r="ID3431" s="501"/>
      <c r="IE3431" s="501"/>
      <c r="IF3431" s="501"/>
      <c r="IG3431" s="501"/>
      <c r="IH3431" s="501"/>
      <c r="II3431" s="501"/>
      <c r="IJ3431" s="501"/>
      <c r="IK3431" s="501"/>
      <c r="IL3431" s="501"/>
      <c r="IM3431" s="501"/>
      <c r="IN3431" s="501"/>
      <c r="IO3431" s="501"/>
      <c r="IP3431" s="501"/>
      <c r="IQ3431" s="501"/>
      <c r="IR3431" s="501"/>
      <c r="IS3431" s="501"/>
      <c r="IT3431" s="501"/>
      <c r="IU3431" s="501"/>
    </row>
    <row r="3432" spans="1:255" s="877" customFormat="1" ht="24" customHeight="1">
      <c r="A3432" s="501"/>
      <c r="B3432" s="501"/>
      <c r="C3432" s="501"/>
      <c r="D3432" s="501"/>
      <c r="E3432" s="501"/>
      <c r="F3432" s="501"/>
      <c r="G3432" s="915"/>
      <c r="H3432" s="501"/>
      <c r="I3432" s="874"/>
      <c r="J3432" s="501"/>
      <c r="K3432" s="501"/>
      <c r="L3432" s="874"/>
      <c r="M3432" s="554"/>
      <c r="N3432" s="501"/>
      <c r="O3432" s="1159"/>
      <c r="P3432" s="1151"/>
      <c r="Q3432" s="973"/>
      <c r="R3432" s="968"/>
      <c r="S3432" s="1101"/>
      <c r="T3432" s="968"/>
      <c r="V3432" s="501"/>
      <c r="W3432" s="501"/>
      <c r="X3432" s="501"/>
      <c r="Y3432" s="501"/>
      <c r="Z3432" s="501"/>
      <c r="AA3432" s="501"/>
      <c r="AB3432" s="501"/>
      <c r="AC3432" s="501"/>
      <c r="AD3432" s="501"/>
      <c r="AE3432" s="501"/>
      <c r="AF3432" s="501"/>
      <c r="AG3432" s="501"/>
      <c r="AH3432" s="501"/>
      <c r="AI3432" s="501"/>
      <c r="AJ3432" s="501"/>
      <c r="AK3432" s="501"/>
      <c r="AL3432" s="501"/>
      <c r="AM3432" s="501"/>
      <c r="AN3432" s="501"/>
      <c r="AO3432" s="501"/>
      <c r="AP3432" s="501"/>
      <c r="AQ3432" s="501"/>
      <c r="AR3432" s="501"/>
      <c r="AS3432" s="501"/>
      <c r="AT3432" s="501"/>
      <c r="AU3432" s="501"/>
      <c r="AV3432" s="501"/>
      <c r="AW3432" s="501"/>
      <c r="AX3432" s="501"/>
      <c r="AY3432" s="501"/>
      <c r="AZ3432" s="501"/>
      <c r="BA3432" s="501"/>
      <c r="BB3432" s="501"/>
      <c r="BC3432" s="501"/>
      <c r="BD3432" s="501"/>
      <c r="BE3432" s="501"/>
      <c r="BF3432" s="501"/>
      <c r="BG3432" s="501"/>
      <c r="BH3432" s="501"/>
      <c r="BI3432" s="501"/>
      <c r="BJ3432" s="501"/>
      <c r="BK3432" s="501"/>
      <c r="BL3432" s="501"/>
      <c r="BM3432" s="501"/>
      <c r="BN3432" s="501"/>
      <c r="BO3432" s="501"/>
      <c r="BP3432" s="501"/>
      <c r="BQ3432" s="501"/>
      <c r="BR3432" s="501"/>
      <c r="BS3432" s="501"/>
      <c r="BT3432" s="501"/>
      <c r="BU3432" s="501"/>
      <c r="BV3432" s="501"/>
      <c r="BW3432" s="501"/>
      <c r="BX3432" s="501"/>
      <c r="BY3432" s="501"/>
      <c r="BZ3432" s="501"/>
      <c r="CA3432" s="501"/>
      <c r="CB3432" s="501"/>
      <c r="CC3432" s="501"/>
      <c r="CD3432" s="501"/>
      <c r="CE3432" s="501"/>
      <c r="CF3432" s="501"/>
      <c r="CG3432" s="501"/>
      <c r="CH3432" s="501"/>
      <c r="CI3432" s="501"/>
      <c r="CJ3432" s="501"/>
      <c r="CK3432" s="501"/>
      <c r="CL3432" s="501"/>
      <c r="CM3432" s="501"/>
      <c r="CN3432" s="501"/>
      <c r="CO3432" s="501"/>
      <c r="CP3432" s="501"/>
      <c r="CQ3432" s="501"/>
      <c r="CR3432" s="501"/>
      <c r="CS3432" s="501"/>
      <c r="CT3432" s="501"/>
      <c r="CU3432" s="501"/>
      <c r="CV3432" s="501"/>
      <c r="CW3432" s="501"/>
      <c r="CX3432" s="501"/>
      <c r="CY3432" s="501"/>
      <c r="CZ3432" s="501"/>
      <c r="DA3432" s="501"/>
      <c r="DB3432" s="501"/>
      <c r="DC3432" s="501"/>
      <c r="DD3432" s="501"/>
      <c r="DE3432" s="501"/>
      <c r="DF3432" s="501"/>
      <c r="DG3432" s="501"/>
      <c r="DH3432" s="501"/>
      <c r="DI3432" s="501"/>
      <c r="DJ3432" s="501"/>
      <c r="DK3432" s="501"/>
      <c r="DL3432" s="501"/>
      <c r="DM3432" s="501"/>
      <c r="DN3432" s="501"/>
      <c r="DO3432" s="501"/>
      <c r="DP3432" s="501"/>
      <c r="DQ3432" s="501"/>
      <c r="DR3432" s="501"/>
      <c r="DS3432" s="501"/>
      <c r="DT3432" s="501"/>
      <c r="DU3432" s="501"/>
      <c r="DV3432" s="501"/>
      <c r="DW3432" s="501"/>
      <c r="DX3432" s="501"/>
      <c r="DY3432" s="501"/>
      <c r="DZ3432" s="501"/>
      <c r="EA3432" s="501"/>
      <c r="EB3432" s="501"/>
      <c r="EC3432" s="501"/>
      <c r="ED3432" s="501"/>
      <c r="EE3432" s="501"/>
      <c r="EF3432" s="501"/>
      <c r="EG3432" s="501"/>
      <c r="EH3432" s="501"/>
      <c r="EI3432" s="501"/>
      <c r="EJ3432" s="501"/>
      <c r="EK3432" s="501"/>
      <c r="EL3432" s="501"/>
      <c r="EM3432" s="501"/>
      <c r="EN3432" s="501"/>
      <c r="EO3432" s="501"/>
      <c r="EP3432" s="501"/>
      <c r="EQ3432" s="501"/>
      <c r="ER3432" s="501"/>
      <c r="ES3432" s="501"/>
      <c r="ET3432" s="501"/>
      <c r="EU3432" s="501"/>
      <c r="EV3432" s="501"/>
      <c r="EW3432" s="501"/>
      <c r="EX3432" s="501"/>
      <c r="EY3432" s="501"/>
      <c r="EZ3432" s="501"/>
      <c r="FA3432" s="501"/>
      <c r="FB3432" s="501"/>
      <c r="FC3432" s="501"/>
      <c r="FD3432" s="501"/>
      <c r="FE3432" s="501"/>
      <c r="FF3432" s="501"/>
      <c r="FG3432" s="501"/>
      <c r="FH3432" s="501"/>
      <c r="FI3432" s="501"/>
      <c r="FJ3432" s="501"/>
      <c r="FK3432" s="501"/>
      <c r="FL3432" s="501"/>
      <c r="FM3432" s="501"/>
      <c r="FN3432" s="501"/>
      <c r="FO3432" s="501"/>
      <c r="FP3432" s="501"/>
      <c r="FQ3432" s="501"/>
      <c r="FR3432" s="501"/>
      <c r="FS3432" s="501"/>
      <c r="FT3432" s="501"/>
      <c r="FU3432" s="501"/>
      <c r="FV3432" s="501"/>
      <c r="FW3432" s="501"/>
      <c r="FX3432" s="501"/>
      <c r="FY3432" s="501"/>
      <c r="FZ3432" s="501"/>
      <c r="GA3432" s="501"/>
      <c r="GB3432" s="501"/>
      <c r="GC3432" s="501"/>
      <c r="GD3432" s="501"/>
      <c r="GE3432" s="501"/>
      <c r="GF3432" s="501"/>
      <c r="GG3432" s="501"/>
      <c r="GH3432" s="501"/>
      <c r="GI3432" s="501"/>
      <c r="GJ3432" s="501"/>
      <c r="GK3432" s="501"/>
      <c r="GL3432" s="501"/>
      <c r="GM3432" s="501"/>
      <c r="GN3432" s="501"/>
      <c r="GO3432" s="501"/>
      <c r="GP3432" s="501"/>
      <c r="GQ3432" s="501"/>
      <c r="GR3432" s="501"/>
      <c r="GS3432" s="501"/>
      <c r="GT3432" s="501"/>
      <c r="GU3432" s="501"/>
      <c r="GV3432" s="501"/>
      <c r="GW3432" s="501"/>
      <c r="GX3432" s="501"/>
      <c r="GY3432" s="501"/>
      <c r="GZ3432" s="501"/>
      <c r="HA3432" s="501"/>
      <c r="HB3432" s="501"/>
      <c r="HC3432" s="501"/>
      <c r="HD3432" s="501"/>
      <c r="HE3432" s="501"/>
      <c r="HF3432" s="501"/>
      <c r="HG3432" s="501"/>
      <c r="HH3432" s="501"/>
      <c r="HI3432" s="501"/>
      <c r="HJ3432" s="501"/>
      <c r="HK3432" s="501"/>
      <c r="HL3432" s="501"/>
      <c r="HM3432" s="501"/>
      <c r="HN3432" s="501"/>
      <c r="HO3432" s="501"/>
      <c r="HP3432" s="501"/>
      <c r="HQ3432" s="501"/>
      <c r="HR3432" s="501"/>
      <c r="HS3432" s="501"/>
      <c r="HT3432" s="501"/>
      <c r="HU3432" s="501"/>
      <c r="HV3432" s="501"/>
      <c r="HW3432" s="501"/>
      <c r="HX3432" s="501"/>
      <c r="HY3432" s="501"/>
      <c r="HZ3432" s="501"/>
      <c r="IA3432" s="501"/>
      <c r="IB3432" s="501"/>
      <c r="IC3432" s="501"/>
      <c r="ID3432" s="501"/>
      <c r="IE3432" s="501"/>
      <c r="IF3432" s="501"/>
      <c r="IG3432" s="501"/>
      <c r="IH3432" s="501"/>
      <c r="II3432" s="501"/>
      <c r="IJ3432" s="501"/>
      <c r="IK3432" s="501"/>
      <c r="IL3432" s="501"/>
      <c r="IM3432" s="501"/>
      <c r="IN3432" s="501"/>
      <c r="IO3432" s="501"/>
      <c r="IP3432" s="501"/>
      <c r="IQ3432" s="501"/>
      <c r="IR3432" s="501"/>
      <c r="IS3432" s="501"/>
      <c r="IT3432" s="501"/>
      <c r="IU3432" s="501"/>
    </row>
    <row r="3433" spans="1:255" s="877" customFormat="1" ht="24" customHeight="1">
      <c r="A3433" s="501"/>
      <c r="B3433" s="501"/>
      <c r="C3433" s="501"/>
      <c r="D3433" s="501"/>
      <c r="E3433" s="501"/>
      <c r="F3433" s="501"/>
      <c r="G3433" s="915"/>
      <c r="H3433" s="501"/>
      <c r="I3433" s="874"/>
      <c r="J3433" s="501"/>
      <c r="K3433" s="501"/>
      <c r="L3433" s="874"/>
      <c r="M3433" s="554"/>
      <c r="N3433" s="501"/>
      <c r="O3433" s="1159"/>
      <c r="P3433" s="1152"/>
      <c r="Q3433" s="973"/>
      <c r="R3433" s="968"/>
      <c r="S3433" s="1101"/>
      <c r="T3433" s="968"/>
      <c r="V3433" s="501"/>
      <c r="W3433" s="501"/>
      <c r="X3433" s="501"/>
      <c r="Y3433" s="501"/>
      <c r="Z3433" s="501"/>
      <c r="AA3433" s="501"/>
      <c r="AB3433" s="501"/>
      <c r="AC3433" s="501"/>
      <c r="AD3433" s="501"/>
      <c r="AE3433" s="501"/>
      <c r="AF3433" s="501"/>
      <c r="AG3433" s="501"/>
      <c r="AH3433" s="501"/>
      <c r="AI3433" s="501"/>
      <c r="AJ3433" s="501"/>
      <c r="AK3433" s="501"/>
      <c r="AL3433" s="501"/>
      <c r="AM3433" s="501"/>
      <c r="AN3433" s="501"/>
      <c r="AO3433" s="501"/>
      <c r="AP3433" s="501"/>
      <c r="AQ3433" s="501"/>
      <c r="AR3433" s="501"/>
      <c r="AS3433" s="501"/>
      <c r="AT3433" s="501"/>
      <c r="AU3433" s="501"/>
      <c r="AV3433" s="501"/>
      <c r="AW3433" s="501"/>
      <c r="AX3433" s="501"/>
      <c r="AY3433" s="501"/>
      <c r="AZ3433" s="501"/>
      <c r="BA3433" s="501"/>
      <c r="BB3433" s="501"/>
      <c r="BC3433" s="501"/>
      <c r="BD3433" s="501"/>
      <c r="BE3433" s="501"/>
      <c r="BF3433" s="501"/>
      <c r="BG3433" s="501"/>
      <c r="BH3433" s="501"/>
      <c r="BI3433" s="501"/>
      <c r="BJ3433" s="501"/>
      <c r="BK3433" s="501"/>
      <c r="BL3433" s="501"/>
      <c r="BM3433" s="501"/>
      <c r="BN3433" s="501"/>
      <c r="BO3433" s="501"/>
      <c r="BP3433" s="501"/>
      <c r="BQ3433" s="501"/>
      <c r="BR3433" s="501"/>
      <c r="BS3433" s="501"/>
      <c r="BT3433" s="501"/>
      <c r="BU3433" s="501"/>
      <c r="BV3433" s="501"/>
      <c r="BW3433" s="501"/>
      <c r="BX3433" s="501"/>
      <c r="BY3433" s="501"/>
      <c r="BZ3433" s="501"/>
      <c r="CA3433" s="501"/>
      <c r="CB3433" s="501"/>
      <c r="CC3433" s="501"/>
      <c r="CD3433" s="501"/>
      <c r="CE3433" s="501"/>
      <c r="CF3433" s="501"/>
      <c r="CG3433" s="501"/>
      <c r="CH3433" s="501"/>
      <c r="CI3433" s="501"/>
      <c r="CJ3433" s="501"/>
      <c r="CK3433" s="501"/>
      <c r="CL3433" s="501"/>
      <c r="CM3433" s="501"/>
      <c r="CN3433" s="501"/>
      <c r="CO3433" s="501"/>
      <c r="CP3433" s="501"/>
      <c r="CQ3433" s="501"/>
      <c r="CR3433" s="501"/>
      <c r="CS3433" s="501"/>
      <c r="CT3433" s="501"/>
      <c r="CU3433" s="501"/>
      <c r="CV3433" s="501"/>
      <c r="CW3433" s="501"/>
      <c r="CX3433" s="501"/>
      <c r="CY3433" s="501"/>
      <c r="CZ3433" s="501"/>
      <c r="DA3433" s="501"/>
      <c r="DB3433" s="501"/>
      <c r="DC3433" s="501"/>
      <c r="DD3433" s="501"/>
      <c r="DE3433" s="501"/>
      <c r="DF3433" s="501"/>
      <c r="DG3433" s="501"/>
      <c r="DH3433" s="501"/>
      <c r="DI3433" s="501"/>
      <c r="DJ3433" s="501"/>
      <c r="DK3433" s="501"/>
      <c r="DL3433" s="501"/>
      <c r="DM3433" s="501"/>
      <c r="DN3433" s="501"/>
      <c r="DO3433" s="501"/>
      <c r="DP3433" s="501"/>
      <c r="DQ3433" s="501"/>
      <c r="DR3433" s="501"/>
      <c r="DS3433" s="501"/>
      <c r="DT3433" s="501"/>
      <c r="DU3433" s="501"/>
      <c r="DV3433" s="501"/>
      <c r="DW3433" s="501"/>
      <c r="DX3433" s="501"/>
      <c r="DY3433" s="501"/>
      <c r="DZ3433" s="501"/>
      <c r="EA3433" s="501"/>
      <c r="EB3433" s="501"/>
      <c r="EC3433" s="501"/>
      <c r="ED3433" s="501"/>
      <c r="EE3433" s="501"/>
      <c r="EF3433" s="501"/>
      <c r="EG3433" s="501"/>
      <c r="EH3433" s="501"/>
      <c r="EI3433" s="501"/>
      <c r="EJ3433" s="501"/>
      <c r="EK3433" s="501"/>
      <c r="EL3433" s="501"/>
      <c r="EM3433" s="501"/>
      <c r="EN3433" s="501"/>
      <c r="EO3433" s="501"/>
      <c r="EP3433" s="501"/>
      <c r="EQ3433" s="501"/>
      <c r="ER3433" s="501"/>
      <c r="ES3433" s="501"/>
      <c r="ET3433" s="501"/>
      <c r="EU3433" s="501"/>
      <c r="EV3433" s="501"/>
      <c r="EW3433" s="501"/>
      <c r="EX3433" s="501"/>
      <c r="EY3433" s="501"/>
      <c r="EZ3433" s="501"/>
      <c r="FA3433" s="501"/>
      <c r="FB3433" s="501"/>
      <c r="FC3433" s="501"/>
      <c r="FD3433" s="501"/>
      <c r="FE3433" s="501"/>
      <c r="FF3433" s="501"/>
      <c r="FG3433" s="501"/>
      <c r="FH3433" s="501"/>
      <c r="FI3433" s="501"/>
      <c r="FJ3433" s="501"/>
      <c r="FK3433" s="501"/>
      <c r="FL3433" s="501"/>
      <c r="FM3433" s="501"/>
      <c r="FN3433" s="501"/>
      <c r="FO3433" s="501"/>
      <c r="FP3433" s="501"/>
      <c r="FQ3433" s="501"/>
      <c r="FR3433" s="501"/>
      <c r="FS3433" s="501"/>
      <c r="FT3433" s="501"/>
      <c r="FU3433" s="501"/>
      <c r="FV3433" s="501"/>
      <c r="FW3433" s="501"/>
      <c r="FX3433" s="501"/>
      <c r="FY3433" s="501"/>
      <c r="FZ3433" s="501"/>
      <c r="GA3433" s="501"/>
      <c r="GB3433" s="501"/>
      <c r="GC3433" s="501"/>
      <c r="GD3433" s="501"/>
      <c r="GE3433" s="501"/>
      <c r="GF3433" s="501"/>
      <c r="GG3433" s="501"/>
      <c r="GH3433" s="501"/>
      <c r="GI3433" s="501"/>
      <c r="GJ3433" s="501"/>
      <c r="GK3433" s="501"/>
      <c r="GL3433" s="501"/>
      <c r="GM3433" s="501"/>
      <c r="GN3433" s="501"/>
      <c r="GO3433" s="501"/>
      <c r="GP3433" s="501"/>
      <c r="GQ3433" s="501"/>
      <c r="GR3433" s="501"/>
      <c r="GS3433" s="501"/>
      <c r="GT3433" s="501"/>
      <c r="GU3433" s="501"/>
      <c r="GV3433" s="501"/>
      <c r="GW3433" s="501"/>
      <c r="GX3433" s="501"/>
      <c r="GY3433" s="501"/>
      <c r="GZ3433" s="501"/>
      <c r="HA3433" s="501"/>
      <c r="HB3433" s="501"/>
      <c r="HC3433" s="501"/>
      <c r="HD3433" s="501"/>
      <c r="HE3433" s="501"/>
      <c r="HF3433" s="501"/>
      <c r="HG3433" s="501"/>
      <c r="HH3433" s="501"/>
      <c r="HI3433" s="501"/>
      <c r="HJ3433" s="501"/>
      <c r="HK3433" s="501"/>
      <c r="HL3433" s="501"/>
      <c r="HM3433" s="501"/>
      <c r="HN3433" s="501"/>
      <c r="HO3433" s="501"/>
      <c r="HP3433" s="501"/>
      <c r="HQ3433" s="501"/>
      <c r="HR3433" s="501"/>
      <c r="HS3433" s="501"/>
      <c r="HT3433" s="501"/>
      <c r="HU3433" s="501"/>
      <c r="HV3433" s="501"/>
      <c r="HW3433" s="501"/>
      <c r="HX3433" s="501"/>
      <c r="HY3433" s="501"/>
      <c r="HZ3433" s="501"/>
      <c r="IA3433" s="501"/>
      <c r="IB3433" s="501"/>
      <c r="IC3433" s="501"/>
      <c r="ID3433" s="501"/>
      <c r="IE3433" s="501"/>
      <c r="IF3433" s="501"/>
      <c r="IG3433" s="501"/>
      <c r="IH3433" s="501"/>
      <c r="II3433" s="501"/>
      <c r="IJ3433" s="501"/>
      <c r="IK3433" s="501"/>
      <c r="IL3433" s="501"/>
      <c r="IM3433" s="501"/>
      <c r="IN3433" s="501"/>
      <c r="IO3433" s="501"/>
      <c r="IP3433" s="501"/>
      <c r="IQ3433" s="501"/>
      <c r="IR3433" s="501"/>
      <c r="IS3433" s="501"/>
      <c r="IT3433" s="501"/>
      <c r="IU3433" s="501"/>
    </row>
    <row r="3434" spans="1:255" s="877" customFormat="1" ht="24" customHeight="1">
      <c r="A3434" s="501"/>
      <c r="B3434" s="501"/>
      <c r="C3434" s="501"/>
      <c r="D3434" s="501"/>
      <c r="E3434" s="501"/>
      <c r="F3434" s="501"/>
      <c r="G3434" s="915"/>
      <c r="H3434" s="501"/>
      <c r="I3434" s="874"/>
      <c r="J3434" s="501"/>
      <c r="K3434" s="501"/>
      <c r="L3434" s="874"/>
      <c r="M3434" s="554"/>
      <c r="N3434" s="501"/>
      <c r="O3434" s="1159"/>
      <c r="P3434" s="1152"/>
      <c r="Q3434" s="973"/>
      <c r="R3434" s="968"/>
      <c r="S3434" s="1101"/>
      <c r="T3434" s="968"/>
      <c r="V3434" s="501"/>
      <c r="W3434" s="501"/>
      <c r="X3434" s="501"/>
      <c r="Y3434" s="501"/>
      <c r="Z3434" s="501"/>
      <c r="AA3434" s="501"/>
      <c r="AB3434" s="501"/>
      <c r="AC3434" s="501"/>
      <c r="AD3434" s="501"/>
      <c r="AE3434" s="501"/>
      <c r="AF3434" s="501"/>
      <c r="AG3434" s="501"/>
      <c r="AH3434" s="501"/>
      <c r="AI3434" s="501"/>
      <c r="AJ3434" s="501"/>
      <c r="AK3434" s="501"/>
      <c r="AL3434" s="501"/>
      <c r="AM3434" s="501"/>
      <c r="AN3434" s="501"/>
      <c r="AO3434" s="501"/>
      <c r="AP3434" s="501"/>
      <c r="AQ3434" s="501"/>
      <c r="AR3434" s="501"/>
      <c r="AS3434" s="501"/>
      <c r="AT3434" s="501"/>
      <c r="AU3434" s="501"/>
      <c r="AV3434" s="501"/>
      <c r="AW3434" s="501"/>
      <c r="AX3434" s="501"/>
      <c r="AY3434" s="501"/>
      <c r="AZ3434" s="501"/>
      <c r="BA3434" s="501"/>
      <c r="BB3434" s="501"/>
      <c r="BC3434" s="501"/>
      <c r="BD3434" s="501"/>
      <c r="BE3434" s="501"/>
      <c r="BF3434" s="501"/>
      <c r="BG3434" s="501"/>
      <c r="BH3434" s="501"/>
      <c r="BI3434" s="501"/>
      <c r="BJ3434" s="501"/>
      <c r="BK3434" s="501"/>
      <c r="BL3434" s="501"/>
      <c r="BM3434" s="501"/>
      <c r="BN3434" s="501"/>
      <c r="BO3434" s="501"/>
      <c r="BP3434" s="501"/>
      <c r="BQ3434" s="501"/>
      <c r="BR3434" s="501"/>
      <c r="BS3434" s="501"/>
      <c r="BT3434" s="501"/>
      <c r="BU3434" s="501"/>
      <c r="BV3434" s="501"/>
      <c r="BW3434" s="501"/>
      <c r="BX3434" s="501"/>
      <c r="BY3434" s="501"/>
      <c r="BZ3434" s="501"/>
      <c r="CA3434" s="501"/>
      <c r="CB3434" s="501"/>
      <c r="CC3434" s="501"/>
      <c r="CD3434" s="501"/>
      <c r="CE3434" s="501"/>
      <c r="CF3434" s="501"/>
      <c r="CG3434" s="501"/>
      <c r="CH3434" s="501"/>
      <c r="CI3434" s="501"/>
      <c r="CJ3434" s="501"/>
      <c r="CK3434" s="501"/>
      <c r="CL3434" s="501"/>
      <c r="CM3434" s="501"/>
      <c r="CN3434" s="501"/>
      <c r="CO3434" s="501"/>
      <c r="CP3434" s="501"/>
      <c r="CQ3434" s="501"/>
      <c r="CR3434" s="501"/>
      <c r="CS3434" s="501"/>
      <c r="CT3434" s="501"/>
      <c r="CU3434" s="501"/>
      <c r="CV3434" s="501"/>
      <c r="CW3434" s="501"/>
      <c r="CX3434" s="501"/>
      <c r="CY3434" s="501"/>
      <c r="CZ3434" s="501"/>
      <c r="DA3434" s="501"/>
      <c r="DB3434" s="501"/>
      <c r="DC3434" s="501"/>
      <c r="DD3434" s="501"/>
      <c r="DE3434" s="501"/>
      <c r="DF3434" s="501"/>
      <c r="DG3434" s="501"/>
      <c r="DH3434" s="501"/>
      <c r="DI3434" s="501"/>
      <c r="DJ3434" s="501"/>
      <c r="DK3434" s="501"/>
      <c r="DL3434" s="501"/>
      <c r="DM3434" s="501"/>
      <c r="DN3434" s="501"/>
      <c r="DO3434" s="501"/>
      <c r="DP3434" s="501"/>
      <c r="DQ3434" s="501"/>
      <c r="DR3434" s="501"/>
      <c r="DS3434" s="501"/>
      <c r="DT3434" s="501"/>
      <c r="DU3434" s="501"/>
      <c r="DV3434" s="501"/>
      <c r="DW3434" s="501"/>
      <c r="DX3434" s="501"/>
      <c r="DY3434" s="501"/>
      <c r="DZ3434" s="501"/>
      <c r="EA3434" s="501"/>
      <c r="EB3434" s="501"/>
      <c r="EC3434" s="501"/>
      <c r="ED3434" s="501"/>
      <c r="EE3434" s="501"/>
      <c r="EF3434" s="501"/>
      <c r="EG3434" s="501"/>
      <c r="EH3434" s="501"/>
      <c r="EI3434" s="501"/>
      <c r="EJ3434" s="501"/>
      <c r="EK3434" s="501"/>
      <c r="EL3434" s="501"/>
      <c r="EM3434" s="501"/>
      <c r="EN3434" s="501"/>
      <c r="EO3434" s="501"/>
      <c r="EP3434" s="501"/>
      <c r="EQ3434" s="501"/>
      <c r="ER3434" s="501"/>
      <c r="ES3434" s="501"/>
      <c r="ET3434" s="501"/>
      <c r="EU3434" s="501"/>
      <c r="EV3434" s="501"/>
      <c r="EW3434" s="501"/>
      <c r="EX3434" s="501"/>
      <c r="EY3434" s="501"/>
      <c r="EZ3434" s="501"/>
      <c r="FA3434" s="501"/>
      <c r="FB3434" s="501"/>
      <c r="FC3434" s="501"/>
      <c r="FD3434" s="501"/>
      <c r="FE3434" s="501"/>
      <c r="FF3434" s="501"/>
      <c r="FG3434" s="501"/>
      <c r="FH3434" s="501"/>
      <c r="FI3434" s="501"/>
      <c r="FJ3434" s="501"/>
      <c r="FK3434" s="501"/>
      <c r="FL3434" s="501"/>
      <c r="FM3434" s="501"/>
      <c r="FN3434" s="501"/>
      <c r="FO3434" s="501"/>
      <c r="FP3434" s="501"/>
      <c r="FQ3434" s="501"/>
      <c r="FR3434" s="501"/>
      <c r="FS3434" s="501"/>
      <c r="FT3434" s="501"/>
      <c r="FU3434" s="501"/>
      <c r="FV3434" s="501"/>
      <c r="FW3434" s="501"/>
      <c r="FX3434" s="501"/>
      <c r="FY3434" s="501"/>
      <c r="FZ3434" s="501"/>
      <c r="GA3434" s="501"/>
      <c r="GB3434" s="501"/>
      <c r="GC3434" s="501"/>
      <c r="GD3434" s="501"/>
      <c r="GE3434" s="501"/>
      <c r="GF3434" s="501"/>
      <c r="GG3434" s="501"/>
      <c r="GH3434" s="501"/>
      <c r="GI3434" s="501"/>
      <c r="GJ3434" s="501"/>
      <c r="GK3434" s="501"/>
      <c r="GL3434" s="501"/>
      <c r="GM3434" s="501"/>
      <c r="GN3434" s="501"/>
      <c r="GO3434" s="501"/>
      <c r="GP3434" s="501"/>
      <c r="GQ3434" s="501"/>
      <c r="GR3434" s="501"/>
      <c r="GS3434" s="501"/>
      <c r="GT3434" s="501"/>
      <c r="GU3434" s="501"/>
      <c r="GV3434" s="501"/>
      <c r="GW3434" s="501"/>
      <c r="GX3434" s="501"/>
      <c r="GY3434" s="501"/>
      <c r="GZ3434" s="501"/>
      <c r="HA3434" s="501"/>
      <c r="HB3434" s="501"/>
      <c r="HC3434" s="501"/>
      <c r="HD3434" s="501"/>
      <c r="HE3434" s="501"/>
      <c r="HF3434" s="501"/>
      <c r="HG3434" s="501"/>
      <c r="HH3434" s="501"/>
      <c r="HI3434" s="501"/>
      <c r="HJ3434" s="501"/>
      <c r="HK3434" s="501"/>
      <c r="HL3434" s="501"/>
      <c r="HM3434" s="501"/>
      <c r="HN3434" s="501"/>
      <c r="HO3434" s="501"/>
      <c r="HP3434" s="501"/>
      <c r="HQ3434" s="501"/>
      <c r="HR3434" s="501"/>
      <c r="HS3434" s="501"/>
      <c r="HT3434" s="501"/>
      <c r="HU3434" s="501"/>
      <c r="HV3434" s="501"/>
      <c r="HW3434" s="501"/>
      <c r="HX3434" s="501"/>
      <c r="HY3434" s="501"/>
      <c r="HZ3434" s="501"/>
      <c r="IA3434" s="501"/>
      <c r="IB3434" s="501"/>
      <c r="IC3434" s="501"/>
      <c r="ID3434" s="501"/>
      <c r="IE3434" s="501"/>
      <c r="IF3434" s="501"/>
      <c r="IG3434" s="501"/>
      <c r="IH3434" s="501"/>
      <c r="II3434" s="501"/>
      <c r="IJ3434" s="501"/>
      <c r="IK3434" s="501"/>
      <c r="IL3434" s="501"/>
      <c r="IM3434" s="501"/>
      <c r="IN3434" s="501"/>
      <c r="IO3434" s="501"/>
      <c r="IP3434" s="501"/>
      <c r="IQ3434" s="501"/>
      <c r="IR3434" s="501"/>
      <c r="IS3434" s="501"/>
      <c r="IT3434" s="501"/>
      <c r="IU3434" s="501"/>
    </row>
    <row r="3435" spans="1:255" s="877" customFormat="1" ht="24" customHeight="1">
      <c r="A3435" s="501"/>
      <c r="B3435" s="501"/>
      <c r="C3435" s="501"/>
      <c r="D3435" s="501"/>
      <c r="E3435" s="501"/>
      <c r="F3435" s="501"/>
      <c r="G3435" s="915"/>
      <c r="H3435" s="501"/>
      <c r="I3435" s="874"/>
      <c r="J3435" s="501"/>
      <c r="K3435" s="501"/>
      <c r="L3435" s="874"/>
      <c r="M3435" s="554"/>
      <c r="N3435" s="501"/>
      <c r="O3435" s="1159"/>
      <c r="P3435" s="1152"/>
      <c r="Q3435" s="973"/>
      <c r="R3435" s="968"/>
      <c r="S3435" s="974"/>
      <c r="T3435" s="968"/>
      <c r="V3435" s="501"/>
      <c r="W3435" s="501"/>
      <c r="X3435" s="501"/>
      <c r="Y3435" s="501"/>
      <c r="Z3435" s="501"/>
      <c r="AA3435" s="501"/>
      <c r="AB3435" s="501"/>
      <c r="AC3435" s="501"/>
      <c r="AD3435" s="501"/>
      <c r="AE3435" s="501"/>
      <c r="AF3435" s="501"/>
      <c r="AG3435" s="501"/>
      <c r="AH3435" s="501"/>
      <c r="AI3435" s="501"/>
      <c r="AJ3435" s="501"/>
      <c r="AK3435" s="501"/>
      <c r="AL3435" s="501"/>
      <c r="AM3435" s="501"/>
      <c r="AN3435" s="501"/>
      <c r="AO3435" s="501"/>
      <c r="AP3435" s="501"/>
      <c r="AQ3435" s="501"/>
      <c r="AR3435" s="501"/>
      <c r="AS3435" s="501"/>
      <c r="AT3435" s="501"/>
      <c r="AU3435" s="501"/>
      <c r="AV3435" s="501"/>
      <c r="AW3435" s="501"/>
      <c r="AX3435" s="501"/>
      <c r="AY3435" s="501"/>
      <c r="AZ3435" s="501"/>
      <c r="BA3435" s="501"/>
      <c r="BB3435" s="501"/>
      <c r="BC3435" s="501"/>
      <c r="BD3435" s="501"/>
      <c r="BE3435" s="501"/>
      <c r="BF3435" s="501"/>
      <c r="BG3435" s="501"/>
      <c r="BH3435" s="501"/>
      <c r="BI3435" s="501"/>
      <c r="BJ3435" s="501"/>
      <c r="BK3435" s="501"/>
      <c r="BL3435" s="501"/>
      <c r="BM3435" s="501"/>
      <c r="BN3435" s="501"/>
      <c r="BO3435" s="501"/>
      <c r="BP3435" s="501"/>
      <c r="BQ3435" s="501"/>
      <c r="BR3435" s="501"/>
      <c r="BS3435" s="501"/>
      <c r="BT3435" s="501"/>
      <c r="BU3435" s="501"/>
      <c r="BV3435" s="501"/>
      <c r="BW3435" s="501"/>
      <c r="BX3435" s="501"/>
      <c r="BY3435" s="501"/>
      <c r="BZ3435" s="501"/>
      <c r="CA3435" s="501"/>
      <c r="CB3435" s="501"/>
      <c r="CC3435" s="501"/>
      <c r="CD3435" s="501"/>
      <c r="CE3435" s="501"/>
      <c r="CF3435" s="501"/>
      <c r="CG3435" s="501"/>
      <c r="CH3435" s="501"/>
      <c r="CI3435" s="501"/>
      <c r="CJ3435" s="501"/>
      <c r="CK3435" s="501"/>
      <c r="CL3435" s="501"/>
      <c r="CM3435" s="501"/>
      <c r="CN3435" s="501"/>
      <c r="CO3435" s="501"/>
      <c r="CP3435" s="501"/>
      <c r="CQ3435" s="501"/>
      <c r="CR3435" s="501"/>
      <c r="CS3435" s="501"/>
      <c r="CT3435" s="501"/>
      <c r="CU3435" s="501"/>
      <c r="CV3435" s="501"/>
      <c r="CW3435" s="501"/>
      <c r="CX3435" s="501"/>
      <c r="CY3435" s="501"/>
      <c r="CZ3435" s="501"/>
      <c r="DA3435" s="501"/>
      <c r="DB3435" s="501"/>
      <c r="DC3435" s="501"/>
      <c r="DD3435" s="501"/>
      <c r="DE3435" s="501"/>
      <c r="DF3435" s="501"/>
      <c r="DG3435" s="501"/>
      <c r="DH3435" s="501"/>
      <c r="DI3435" s="501"/>
      <c r="DJ3435" s="501"/>
      <c r="DK3435" s="501"/>
      <c r="DL3435" s="501"/>
      <c r="DM3435" s="501"/>
      <c r="DN3435" s="501"/>
      <c r="DO3435" s="501"/>
      <c r="DP3435" s="501"/>
      <c r="DQ3435" s="501"/>
      <c r="DR3435" s="501"/>
      <c r="DS3435" s="501"/>
      <c r="DT3435" s="501"/>
      <c r="DU3435" s="501"/>
      <c r="DV3435" s="501"/>
      <c r="DW3435" s="501"/>
      <c r="DX3435" s="501"/>
      <c r="DY3435" s="501"/>
      <c r="DZ3435" s="501"/>
      <c r="EA3435" s="501"/>
      <c r="EB3435" s="501"/>
      <c r="EC3435" s="501"/>
      <c r="ED3435" s="501"/>
      <c r="EE3435" s="501"/>
      <c r="EF3435" s="501"/>
      <c r="EG3435" s="501"/>
      <c r="EH3435" s="501"/>
      <c r="EI3435" s="501"/>
      <c r="EJ3435" s="501"/>
      <c r="EK3435" s="501"/>
      <c r="EL3435" s="501"/>
      <c r="EM3435" s="501"/>
      <c r="EN3435" s="501"/>
      <c r="EO3435" s="501"/>
      <c r="EP3435" s="501"/>
      <c r="EQ3435" s="501"/>
      <c r="ER3435" s="501"/>
      <c r="ES3435" s="501"/>
      <c r="ET3435" s="501"/>
      <c r="EU3435" s="501"/>
      <c r="EV3435" s="501"/>
      <c r="EW3435" s="501"/>
      <c r="EX3435" s="501"/>
      <c r="EY3435" s="501"/>
      <c r="EZ3435" s="501"/>
      <c r="FA3435" s="501"/>
      <c r="FB3435" s="501"/>
      <c r="FC3435" s="501"/>
      <c r="FD3435" s="501"/>
      <c r="FE3435" s="501"/>
      <c r="FF3435" s="501"/>
      <c r="FG3435" s="501"/>
      <c r="FH3435" s="501"/>
      <c r="FI3435" s="501"/>
      <c r="FJ3435" s="501"/>
      <c r="FK3435" s="501"/>
      <c r="FL3435" s="501"/>
      <c r="FM3435" s="501"/>
      <c r="FN3435" s="501"/>
      <c r="FO3435" s="501"/>
      <c r="FP3435" s="501"/>
      <c r="FQ3435" s="501"/>
      <c r="FR3435" s="501"/>
      <c r="FS3435" s="501"/>
      <c r="FT3435" s="501"/>
      <c r="FU3435" s="501"/>
      <c r="FV3435" s="501"/>
      <c r="FW3435" s="501"/>
      <c r="FX3435" s="501"/>
      <c r="FY3435" s="501"/>
      <c r="FZ3435" s="501"/>
      <c r="GA3435" s="501"/>
      <c r="GB3435" s="501"/>
      <c r="GC3435" s="501"/>
      <c r="GD3435" s="501"/>
      <c r="GE3435" s="501"/>
      <c r="GF3435" s="501"/>
      <c r="GG3435" s="501"/>
      <c r="GH3435" s="501"/>
      <c r="GI3435" s="501"/>
      <c r="GJ3435" s="501"/>
      <c r="GK3435" s="501"/>
      <c r="GL3435" s="501"/>
      <c r="GM3435" s="501"/>
      <c r="GN3435" s="501"/>
      <c r="GO3435" s="501"/>
      <c r="GP3435" s="501"/>
      <c r="GQ3435" s="501"/>
      <c r="GR3435" s="501"/>
      <c r="GS3435" s="501"/>
      <c r="GT3435" s="501"/>
      <c r="GU3435" s="501"/>
      <c r="GV3435" s="501"/>
      <c r="GW3435" s="501"/>
      <c r="GX3435" s="501"/>
      <c r="GY3435" s="501"/>
      <c r="GZ3435" s="501"/>
      <c r="HA3435" s="501"/>
      <c r="HB3435" s="501"/>
      <c r="HC3435" s="501"/>
      <c r="HD3435" s="501"/>
      <c r="HE3435" s="501"/>
      <c r="HF3435" s="501"/>
      <c r="HG3435" s="501"/>
      <c r="HH3435" s="501"/>
      <c r="HI3435" s="501"/>
      <c r="HJ3435" s="501"/>
      <c r="HK3435" s="501"/>
      <c r="HL3435" s="501"/>
      <c r="HM3435" s="501"/>
      <c r="HN3435" s="501"/>
      <c r="HO3435" s="501"/>
      <c r="HP3435" s="501"/>
      <c r="HQ3435" s="501"/>
      <c r="HR3435" s="501"/>
      <c r="HS3435" s="501"/>
      <c r="HT3435" s="501"/>
      <c r="HU3435" s="501"/>
      <c r="HV3435" s="501"/>
      <c r="HW3435" s="501"/>
      <c r="HX3435" s="501"/>
      <c r="HY3435" s="501"/>
      <c r="HZ3435" s="501"/>
      <c r="IA3435" s="501"/>
      <c r="IB3435" s="501"/>
      <c r="IC3435" s="501"/>
      <c r="ID3435" s="501"/>
      <c r="IE3435" s="501"/>
      <c r="IF3435" s="501"/>
      <c r="IG3435" s="501"/>
      <c r="IH3435" s="501"/>
      <c r="II3435" s="501"/>
      <c r="IJ3435" s="501"/>
      <c r="IK3435" s="501"/>
      <c r="IL3435" s="501"/>
      <c r="IM3435" s="501"/>
      <c r="IN3435" s="501"/>
      <c r="IO3435" s="501"/>
      <c r="IP3435" s="501"/>
      <c r="IQ3435" s="501"/>
      <c r="IR3435" s="501"/>
      <c r="IS3435" s="501"/>
      <c r="IT3435" s="501"/>
      <c r="IU3435" s="501"/>
    </row>
    <row r="3436" spans="1:255" s="877" customFormat="1" ht="55.5" customHeight="1">
      <c r="A3436" s="501"/>
      <c r="B3436" s="501"/>
      <c r="C3436" s="501"/>
      <c r="D3436" s="501"/>
      <c r="E3436" s="501"/>
      <c r="F3436" s="501"/>
      <c r="G3436" s="915"/>
      <c r="H3436" s="501"/>
      <c r="I3436" s="874"/>
      <c r="J3436" s="501"/>
      <c r="K3436" s="501"/>
      <c r="L3436" s="874"/>
      <c r="M3436" s="554"/>
      <c r="N3436" s="501"/>
      <c r="O3436" s="968"/>
      <c r="P3436" s="1152"/>
      <c r="Q3436" s="973"/>
      <c r="R3436" s="968"/>
      <c r="S3436" s="974"/>
      <c r="T3436" s="968"/>
      <c r="V3436" s="501"/>
      <c r="W3436" s="501"/>
      <c r="X3436" s="501"/>
      <c r="Y3436" s="501"/>
      <c r="Z3436" s="501"/>
      <c r="AA3436" s="501"/>
      <c r="AB3436" s="501"/>
      <c r="AC3436" s="501"/>
      <c r="AD3436" s="501"/>
      <c r="AE3436" s="501"/>
      <c r="AF3436" s="501"/>
      <c r="AG3436" s="501"/>
      <c r="AH3436" s="501"/>
      <c r="AI3436" s="501"/>
      <c r="AJ3436" s="501"/>
      <c r="AK3436" s="501"/>
      <c r="AL3436" s="501"/>
      <c r="AM3436" s="501"/>
      <c r="AN3436" s="501"/>
      <c r="AO3436" s="501"/>
      <c r="AP3436" s="501"/>
      <c r="AQ3436" s="501"/>
      <c r="AR3436" s="501"/>
      <c r="AS3436" s="501"/>
      <c r="AT3436" s="501"/>
      <c r="AU3436" s="501"/>
      <c r="AV3436" s="501"/>
      <c r="AW3436" s="501"/>
      <c r="AX3436" s="501"/>
      <c r="AY3436" s="501"/>
      <c r="AZ3436" s="501"/>
      <c r="BA3436" s="501"/>
      <c r="BB3436" s="501"/>
      <c r="BC3436" s="501"/>
      <c r="BD3436" s="501"/>
      <c r="BE3436" s="501"/>
      <c r="BF3436" s="501"/>
      <c r="BG3436" s="501"/>
      <c r="BH3436" s="501"/>
      <c r="BI3436" s="501"/>
      <c r="BJ3436" s="501"/>
      <c r="BK3436" s="501"/>
      <c r="BL3436" s="501"/>
      <c r="BM3436" s="501"/>
      <c r="BN3436" s="501"/>
      <c r="BO3436" s="501"/>
      <c r="BP3436" s="501"/>
      <c r="BQ3436" s="501"/>
      <c r="BR3436" s="501"/>
      <c r="BS3436" s="501"/>
      <c r="BT3436" s="501"/>
      <c r="BU3436" s="501"/>
      <c r="BV3436" s="501"/>
      <c r="BW3436" s="501"/>
      <c r="BX3436" s="501"/>
      <c r="BY3436" s="501"/>
      <c r="BZ3436" s="501"/>
      <c r="CA3436" s="501"/>
      <c r="CB3436" s="501"/>
      <c r="CC3436" s="501"/>
      <c r="CD3436" s="501"/>
      <c r="CE3436" s="501"/>
      <c r="CF3436" s="501"/>
      <c r="CG3436" s="501"/>
      <c r="CH3436" s="501"/>
      <c r="CI3436" s="501"/>
      <c r="CJ3436" s="501"/>
      <c r="CK3436" s="501"/>
      <c r="CL3436" s="501"/>
      <c r="CM3436" s="501"/>
      <c r="CN3436" s="501"/>
      <c r="CO3436" s="501"/>
      <c r="CP3436" s="501"/>
      <c r="CQ3436" s="501"/>
      <c r="CR3436" s="501"/>
      <c r="CS3436" s="501"/>
      <c r="CT3436" s="501"/>
      <c r="CU3436" s="501"/>
      <c r="CV3436" s="501"/>
      <c r="CW3436" s="501"/>
      <c r="CX3436" s="501"/>
      <c r="CY3436" s="501"/>
      <c r="CZ3436" s="501"/>
      <c r="DA3436" s="501"/>
      <c r="DB3436" s="501"/>
      <c r="DC3436" s="501"/>
      <c r="DD3436" s="501"/>
      <c r="DE3436" s="501"/>
      <c r="DF3436" s="501"/>
      <c r="DG3436" s="501"/>
      <c r="DH3436" s="501"/>
      <c r="DI3436" s="501"/>
      <c r="DJ3436" s="501"/>
      <c r="DK3436" s="501"/>
      <c r="DL3436" s="501"/>
      <c r="DM3436" s="501"/>
      <c r="DN3436" s="501"/>
      <c r="DO3436" s="501"/>
      <c r="DP3436" s="501"/>
      <c r="DQ3436" s="501"/>
      <c r="DR3436" s="501"/>
      <c r="DS3436" s="501"/>
      <c r="DT3436" s="501"/>
      <c r="DU3436" s="501"/>
      <c r="DV3436" s="501"/>
      <c r="DW3436" s="501"/>
      <c r="DX3436" s="501"/>
      <c r="DY3436" s="501"/>
      <c r="DZ3436" s="501"/>
      <c r="EA3436" s="501"/>
      <c r="EB3436" s="501"/>
      <c r="EC3436" s="501"/>
      <c r="ED3436" s="501"/>
      <c r="EE3436" s="501"/>
      <c r="EF3436" s="501"/>
      <c r="EG3436" s="501"/>
      <c r="EH3436" s="501"/>
      <c r="EI3436" s="501"/>
      <c r="EJ3436" s="501"/>
      <c r="EK3436" s="501"/>
      <c r="EL3436" s="501"/>
      <c r="EM3436" s="501"/>
      <c r="EN3436" s="501"/>
      <c r="EO3436" s="501"/>
      <c r="EP3436" s="501"/>
      <c r="EQ3436" s="501"/>
      <c r="ER3436" s="501"/>
      <c r="ES3436" s="501"/>
      <c r="ET3436" s="501"/>
      <c r="EU3436" s="501"/>
      <c r="EV3436" s="501"/>
      <c r="EW3436" s="501"/>
      <c r="EX3436" s="501"/>
      <c r="EY3436" s="501"/>
      <c r="EZ3436" s="501"/>
      <c r="FA3436" s="501"/>
      <c r="FB3436" s="501"/>
      <c r="FC3436" s="501"/>
      <c r="FD3436" s="501"/>
      <c r="FE3436" s="501"/>
      <c r="FF3436" s="501"/>
      <c r="FG3436" s="501"/>
      <c r="FH3436" s="501"/>
      <c r="FI3436" s="501"/>
      <c r="FJ3436" s="501"/>
      <c r="FK3436" s="501"/>
      <c r="FL3436" s="501"/>
      <c r="FM3436" s="501"/>
      <c r="FN3436" s="501"/>
      <c r="FO3436" s="501"/>
      <c r="FP3436" s="501"/>
      <c r="FQ3436" s="501"/>
      <c r="FR3436" s="501"/>
      <c r="FS3436" s="501"/>
      <c r="FT3436" s="501"/>
      <c r="FU3436" s="501"/>
      <c r="FV3436" s="501"/>
      <c r="FW3436" s="501"/>
      <c r="FX3436" s="501"/>
      <c r="FY3436" s="501"/>
      <c r="FZ3436" s="501"/>
      <c r="GA3436" s="501"/>
      <c r="GB3436" s="501"/>
      <c r="GC3436" s="501"/>
      <c r="GD3436" s="501"/>
      <c r="GE3436" s="501"/>
      <c r="GF3436" s="501"/>
      <c r="GG3436" s="501"/>
      <c r="GH3436" s="501"/>
      <c r="GI3436" s="501"/>
      <c r="GJ3436" s="501"/>
      <c r="GK3436" s="501"/>
      <c r="GL3436" s="501"/>
      <c r="GM3436" s="501"/>
      <c r="GN3436" s="501"/>
      <c r="GO3436" s="501"/>
      <c r="GP3436" s="501"/>
      <c r="GQ3436" s="501"/>
      <c r="GR3436" s="501"/>
      <c r="GS3436" s="501"/>
      <c r="GT3436" s="501"/>
      <c r="GU3436" s="501"/>
      <c r="GV3436" s="501"/>
      <c r="GW3436" s="501"/>
      <c r="GX3436" s="501"/>
      <c r="GY3436" s="501"/>
      <c r="GZ3436" s="501"/>
      <c r="HA3436" s="501"/>
      <c r="HB3436" s="501"/>
      <c r="HC3436" s="501"/>
      <c r="HD3436" s="501"/>
      <c r="HE3436" s="501"/>
      <c r="HF3436" s="501"/>
      <c r="HG3436" s="501"/>
      <c r="HH3436" s="501"/>
      <c r="HI3436" s="501"/>
      <c r="HJ3436" s="501"/>
      <c r="HK3436" s="501"/>
      <c r="HL3436" s="501"/>
      <c r="HM3436" s="501"/>
      <c r="HN3436" s="501"/>
      <c r="HO3436" s="501"/>
      <c r="HP3436" s="501"/>
      <c r="HQ3436" s="501"/>
      <c r="HR3436" s="501"/>
      <c r="HS3436" s="501"/>
      <c r="HT3436" s="501"/>
      <c r="HU3436" s="501"/>
      <c r="HV3436" s="501"/>
      <c r="HW3436" s="501"/>
      <c r="HX3436" s="501"/>
      <c r="HY3436" s="501"/>
      <c r="HZ3436" s="501"/>
      <c r="IA3436" s="501"/>
      <c r="IB3436" s="501"/>
      <c r="IC3436" s="501"/>
      <c r="ID3436" s="501"/>
      <c r="IE3436" s="501"/>
      <c r="IF3436" s="501"/>
      <c r="IG3436" s="501"/>
      <c r="IH3436" s="501"/>
      <c r="II3436" s="501"/>
      <c r="IJ3436" s="501"/>
      <c r="IK3436" s="501"/>
      <c r="IL3436" s="501"/>
      <c r="IM3436" s="501"/>
      <c r="IN3436" s="501"/>
      <c r="IO3436" s="501"/>
      <c r="IP3436" s="501"/>
      <c r="IQ3436" s="501"/>
      <c r="IR3436" s="501"/>
      <c r="IS3436" s="501"/>
      <c r="IT3436" s="501"/>
      <c r="IU3436" s="501"/>
    </row>
    <row r="3437" spans="1:255" s="877" customFormat="1" ht="24" customHeight="1">
      <c r="A3437" s="501"/>
      <c r="B3437" s="501"/>
      <c r="C3437" s="501"/>
      <c r="D3437" s="501"/>
      <c r="E3437" s="501"/>
      <c r="F3437" s="501"/>
      <c r="G3437" s="915"/>
      <c r="H3437" s="501"/>
      <c r="I3437" s="874"/>
      <c r="J3437" s="501"/>
      <c r="K3437" s="501"/>
      <c r="L3437" s="874"/>
      <c r="M3437" s="554"/>
      <c r="N3437" s="501"/>
      <c r="O3437" s="968"/>
      <c r="P3437" s="1152"/>
      <c r="Q3437" s="973"/>
      <c r="R3437" s="968"/>
      <c r="S3437" s="974"/>
      <c r="T3437" s="968"/>
      <c r="V3437" s="501"/>
      <c r="W3437" s="501"/>
      <c r="X3437" s="501"/>
      <c r="Y3437" s="501"/>
      <c r="Z3437" s="501"/>
      <c r="AA3437" s="501"/>
      <c r="AB3437" s="501"/>
      <c r="AC3437" s="501"/>
      <c r="AD3437" s="501"/>
      <c r="AE3437" s="501"/>
      <c r="AF3437" s="501"/>
      <c r="AG3437" s="501"/>
      <c r="AH3437" s="501"/>
      <c r="AI3437" s="501"/>
      <c r="AJ3437" s="501"/>
      <c r="AK3437" s="501"/>
      <c r="AL3437" s="501"/>
      <c r="AM3437" s="501"/>
      <c r="AN3437" s="501"/>
      <c r="AO3437" s="501"/>
      <c r="AP3437" s="501"/>
      <c r="AQ3437" s="501"/>
      <c r="AR3437" s="501"/>
      <c r="AS3437" s="501"/>
      <c r="AT3437" s="501"/>
      <c r="AU3437" s="501"/>
      <c r="AV3437" s="501"/>
      <c r="AW3437" s="501"/>
      <c r="AX3437" s="501"/>
      <c r="AY3437" s="501"/>
      <c r="AZ3437" s="501"/>
      <c r="BA3437" s="501"/>
      <c r="BB3437" s="501"/>
      <c r="BC3437" s="501"/>
      <c r="BD3437" s="501"/>
      <c r="BE3437" s="501"/>
      <c r="BF3437" s="501"/>
      <c r="BG3437" s="501"/>
      <c r="BH3437" s="501"/>
      <c r="BI3437" s="501"/>
      <c r="BJ3437" s="501"/>
      <c r="BK3437" s="501"/>
      <c r="BL3437" s="501"/>
      <c r="BM3437" s="501"/>
      <c r="BN3437" s="501"/>
      <c r="BO3437" s="501"/>
      <c r="BP3437" s="501"/>
      <c r="BQ3437" s="501"/>
      <c r="BR3437" s="501"/>
      <c r="BS3437" s="501"/>
      <c r="BT3437" s="501"/>
      <c r="BU3437" s="501"/>
      <c r="BV3437" s="501"/>
      <c r="BW3437" s="501"/>
      <c r="BX3437" s="501"/>
      <c r="BY3437" s="501"/>
      <c r="BZ3437" s="501"/>
      <c r="CA3437" s="501"/>
      <c r="CB3437" s="501"/>
      <c r="CC3437" s="501"/>
      <c r="CD3437" s="501"/>
      <c r="CE3437" s="501"/>
      <c r="CF3437" s="501"/>
      <c r="CG3437" s="501"/>
      <c r="CH3437" s="501"/>
      <c r="CI3437" s="501"/>
      <c r="CJ3437" s="501"/>
      <c r="CK3437" s="501"/>
      <c r="CL3437" s="501"/>
      <c r="CM3437" s="501"/>
      <c r="CN3437" s="501"/>
      <c r="CO3437" s="501"/>
      <c r="CP3437" s="501"/>
      <c r="CQ3437" s="501"/>
      <c r="CR3437" s="501"/>
      <c r="CS3437" s="501"/>
      <c r="CT3437" s="501"/>
      <c r="CU3437" s="501"/>
      <c r="CV3437" s="501"/>
      <c r="CW3437" s="501"/>
      <c r="CX3437" s="501"/>
      <c r="CY3437" s="501"/>
      <c r="CZ3437" s="501"/>
      <c r="DA3437" s="501"/>
      <c r="DB3437" s="501"/>
      <c r="DC3437" s="501"/>
      <c r="DD3437" s="501"/>
      <c r="DE3437" s="501"/>
      <c r="DF3437" s="501"/>
      <c r="DG3437" s="501"/>
      <c r="DH3437" s="501"/>
      <c r="DI3437" s="501"/>
      <c r="DJ3437" s="501"/>
      <c r="DK3437" s="501"/>
      <c r="DL3437" s="501"/>
      <c r="DM3437" s="501"/>
      <c r="DN3437" s="501"/>
      <c r="DO3437" s="501"/>
      <c r="DP3437" s="501"/>
      <c r="DQ3437" s="501"/>
      <c r="DR3437" s="501"/>
      <c r="DS3437" s="501"/>
      <c r="DT3437" s="501"/>
      <c r="DU3437" s="501"/>
      <c r="DV3437" s="501"/>
      <c r="DW3437" s="501"/>
      <c r="DX3437" s="501"/>
      <c r="DY3437" s="501"/>
      <c r="DZ3437" s="501"/>
      <c r="EA3437" s="501"/>
      <c r="EB3437" s="501"/>
      <c r="EC3437" s="501"/>
      <c r="ED3437" s="501"/>
      <c r="EE3437" s="501"/>
      <c r="EF3437" s="501"/>
      <c r="EG3437" s="501"/>
      <c r="EH3437" s="501"/>
      <c r="EI3437" s="501"/>
      <c r="EJ3437" s="501"/>
      <c r="EK3437" s="501"/>
      <c r="EL3437" s="501"/>
      <c r="EM3437" s="501"/>
      <c r="EN3437" s="501"/>
      <c r="EO3437" s="501"/>
      <c r="EP3437" s="501"/>
      <c r="EQ3437" s="501"/>
      <c r="ER3437" s="501"/>
      <c r="ES3437" s="501"/>
      <c r="ET3437" s="501"/>
      <c r="EU3437" s="501"/>
      <c r="EV3437" s="501"/>
      <c r="EW3437" s="501"/>
      <c r="EX3437" s="501"/>
      <c r="EY3437" s="501"/>
      <c r="EZ3437" s="501"/>
      <c r="FA3437" s="501"/>
      <c r="FB3437" s="501"/>
      <c r="FC3437" s="501"/>
      <c r="FD3437" s="501"/>
      <c r="FE3437" s="501"/>
      <c r="FF3437" s="501"/>
      <c r="FG3437" s="501"/>
      <c r="FH3437" s="501"/>
      <c r="FI3437" s="501"/>
      <c r="FJ3437" s="501"/>
      <c r="FK3437" s="501"/>
      <c r="FL3437" s="501"/>
      <c r="FM3437" s="501"/>
      <c r="FN3437" s="501"/>
      <c r="FO3437" s="501"/>
      <c r="FP3437" s="501"/>
      <c r="FQ3437" s="501"/>
      <c r="FR3437" s="501"/>
      <c r="FS3437" s="501"/>
      <c r="FT3437" s="501"/>
      <c r="FU3437" s="501"/>
      <c r="FV3437" s="501"/>
      <c r="FW3437" s="501"/>
      <c r="FX3437" s="501"/>
      <c r="FY3437" s="501"/>
      <c r="FZ3437" s="501"/>
      <c r="GA3437" s="501"/>
      <c r="GB3437" s="501"/>
      <c r="GC3437" s="501"/>
      <c r="GD3437" s="501"/>
      <c r="GE3437" s="501"/>
      <c r="GF3437" s="501"/>
      <c r="GG3437" s="501"/>
      <c r="GH3437" s="501"/>
      <c r="GI3437" s="501"/>
      <c r="GJ3437" s="501"/>
      <c r="GK3437" s="501"/>
      <c r="GL3437" s="501"/>
      <c r="GM3437" s="501"/>
      <c r="GN3437" s="501"/>
      <c r="GO3437" s="501"/>
      <c r="GP3437" s="501"/>
      <c r="GQ3437" s="501"/>
      <c r="GR3437" s="501"/>
      <c r="GS3437" s="501"/>
      <c r="GT3437" s="501"/>
      <c r="GU3437" s="501"/>
      <c r="GV3437" s="501"/>
      <c r="GW3437" s="501"/>
      <c r="GX3437" s="501"/>
      <c r="GY3437" s="501"/>
      <c r="GZ3437" s="501"/>
      <c r="HA3437" s="501"/>
      <c r="HB3437" s="501"/>
      <c r="HC3437" s="501"/>
      <c r="HD3437" s="501"/>
      <c r="HE3437" s="501"/>
      <c r="HF3437" s="501"/>
      <c r="HG3437" s="501"/>
      <c r="HH3437" s="501"/>
      <c r="HI3437" s="501"/>
      <c r="HJ3437" s="501"/>
      <c r="HK3437" s="501"/>
      <c r="HL3437" s="501"/>
      <c r="HM3437" s="501"/>
      <c r="HN3437" s="501"/>
      <c r="HO3437" s="501"/>
      <c r="HP3437" s="501"/>
      <c r="HQ3437" s="501"/>
      <c r="HR3437" s="501"/>
      <c r="HS3437" s="501"/>
      <c r="HT3437" s="501"/>
      <c r="HU3437" s="501"/>
      <c r="HV3437" s="501"/>
      <c r="HW3437" s="501"/>
      <c r="HX3437" s="501"/>
      <c r="HY3437" s="501"/>
      <c r="HZ3437" s="501"/>
      <c r="IA3437" s="501"/>
      <c r="IB3437" s="501"/>
      <c r="IC3437" s="501"/>
      <c r="ID3437" s="501"/>
      <c r="IE3437" s="501"/>
      <c r="IF3437" s="501"/>
      <c r="IG3437" s="501"/>
      <c r="IH3437" s="501"/>
      <c r="II3437" s="501"/>
      <c r="IJ3437" s="501"/>
      <c r="IK3437" s="501"/>
      <c r="IL3437" s="501"/>
      <c r="IM3437" s="501"/>
      <c r="IN3437" s="501"/>
      <c r="IO3437" s="501"/>
      <c r="IP3437" s="501"/>
      <c r="IQ3437" s="501"/>
      <c r="IR3437" s="501"/>
      <c r="IS3437" s="501"/>
      <c r="IT3437" s="501"/>
      <c r="IU3437" s="501"/>
    </row>
    <row r="3438" spans="1:255" s="877" customFormat="1" ht="24" customHeight="1">
      <c r="A3438" s="501"/>
      <c r="B3438" s="501"/>
      <c r="C3438" s="501"/>
      <c r="D3438" s="501"/>
      <c r="E3438" s="501"/>
      <c r="F3438" s="501"/>
      <c r="G3438" s="915"/>
      <c r="H3438" s="501"/>
      <c r="I3438" s="874"/>
      <c r="J3438" s="501"/>
      <c r="K3438" s="501"/>
      <c r="L3438" s="874"/>
      <c r="M3438" s="554"/>
      <c r="N3438" s="501"/>
      <c r="O3438" s="968"/>
      <c r="P3438" s="1152"/>
      <c r="Q3438" s="973"/>
      <c r="R3438" s="968"/>
      <c r="S3438" s="974"/>
      <c r="T3438" s="968"/>
      <c r="V3438" s="501"/>
      <c r="W3438" s="501"/>
      <c r="X3438" s="501"/>
      <c r="Y3438" s="501"/>
      <c r="Z3438" s="501"/>
      <c r="AA3438" s="501"/>
      <c r="AB3438" s="501"/>
      <c r="AC3438" s="501"/>
      <c r="AD3438" s="501"/>
      <c r="AE3438" s="501"/>
      <c r="AF3438" s="501"/>
      <c r="AG3438" s="501"/>
      <c r="AH3438" s="501"/>
      <c r="AI3438" s="501"/>
      <c r="AJ3438" s="501"/>
      <c r="AK3438" s="501"/>
      <c r="AL3438" s="501"/>
      <c r="AM3438" s="501"/>
      <c r="AN3438" s="501"/>
      <c r="AO3438" s="501"/>
      <c r="AP3438" s="501"/>
      <c r="AQ3438" s="501"/>
      <c r="AR3438" s="501"/>
      <c r="AS3438" s="501"/>
      <c r="AT3438" s="501"/>
      <c r="AU3438" s="501"/>
      <c r="AV3438" s="501"/>
      <c r="AW3438" s="501"/>
      <c r="AX3438" s="501"/>
      <c r="AY3438" s="501"/>
      <c r="AZ3438" s="501"/>
      <c r="BA3438" s="501"/>
      <c r="BB3438" s="501"/>
      <c r="BC3438" s="501"/>
      <c r="BD3438" s="501"/>
      <c r="BE3438" s="501"/>
      <c r="BF3438" s="501"/>
      <c r="BG3438" s="501"/>
      <c r="BH3438" s="501"/>
      <c r="BI3438" s="501"/>
      <c r="BJ3438" s="501"/>
      <c r="BK3438" s="501"/>
      <c r="BL3438" s="501"/>
      <c r="BM3438" s="501"/>
      <c r="BN3438" s="501"/>
      <c r="BO3438" s="501"/>
      <c r="BP3438" s="501"/>
      <c r="BQ3438" s="501"/>
      <c r="BR3438" s="501"/>
      <c r="BS3438" s="501"/>
      <c r="BT3438" s="501"/>
      <c r="BU3438" s="501"/>
      <c r="BV3438" s="501"/>
      <c r="BW3438" s="501"/>
      <c r="BX3438" s="501"/>
      <c r="BY3438" s="501"/>
      <c r="BZ3438" s="501"/>
      <c r="CA3438" s="501"/>
      <c r="CB3438" s="501"/>
      <c r="CC3438" s="501"/>
      <c r="CD3438" s="501"/>
      <c r="CE3438" s="501"/>
      <c r="CF3438" s="501"/>
      <c r="CG3438" s="501"/>
      <c r="CH3438" s="501"/>
      <c r="CI3438" s="501"/>
      <c r="CJ3438" s="501"/>
      <c r="CK3438" s="501"/>
      <c r="CL3438" s="501"/>
      <c r="CM3438" s="501"/>
      <c r="CN3438" s="501"/>
      <c r="CO3438" s="501"/>
      <c r="CP3438" s="501"/>
      <c r="CQ3438" s="501"/>
      <c r="CR3438" s="501"/>
      <c r="CS3438" s="501"/>
      <c r="CT3438" s="501"/>
      <c r="CU3438" s="501"/>
      <c r="CV3438" s="501"/>
      <c r="CW3438" s="501"/>
      <c r="CX3438" s="501"/>
      <c r="CY3438" s="501"/>
      <c r="CZ3438" s="501"/>
      <c r="DA3438" s="501"/>
      <c r="DB3438" s="501"/>
      <c r="DC3438" s="501"/>
      <c r="DD3438" s="501"/>
      <c r="DE3438" s="501"/>
      <c r="DF3438" s="501"/>
      <c r="DG3438" s="501"/>
      <c r="DH3438" s="501"/>
      <c r="DI3438" s="501"/>
      <c r="DJ3438" s="501"/>
      <c r="DK3438" s="501"/>
      <c r="DL3438" s="501"/>
      <c r="DM3438" s="501"/>
      <c r="DN3438" s="501"/>
      <c r="DO3438" s="501"/>
      <c r="DP3438" s="501"/>
      <c r="DQ3438" s="501"/>
      <c r="DR3438" s="501"/>
      <c r="DS3438" s="501"/>
      <c r="DT3438" s="501"/>
      <c r="DU3438" s="501"/>
      <c r="DV3438" s="501"/>
      <c r="DW3438" s="501"/>
      <c r="DX3438" s="501"/>
      <c r="DY3438" s="501"/>
      <c r="DZ3438" s="501"/>
      <c r="EA3438" s="501"/>
      <c r="EB3438" s="501"/>
      <c r="EC3438" s="501"/>
      <c r="ED3438" s="501"/>
      <c r="EE3438" s="501"/>
      <c r="EF3438" s="501"/>
      <c r="EG3438" s="501"/>
      <c r="EH3438" s="501"/>
      <c r="EI3438" s="501"/>
      <c r="EJ3438" s="501"/>
      <c r="EK3438" s="501"/>
      <c r="EL3438" s="501"/>
      <c r="EM3438" s="501"/>
      <c r="EN3438" s="501"/>
      <c r="EO3438" s="501"/>
      <c r="EP3438" s="501"/>
      <c r="EQ3438" s="501"/>
      <c r="ER3438" s="501"/>
      <c r="ES3438" s="501"/>
      <c r="ET3438" s="501"/>
      <c r="EU3438" s="501"/>
      <c r="EV3438" s="501"/>
      <c r="EW3438" s="501"/>
      <c r="EX3438" s="501"/>
      <c r="EY3438" s="501"/>
      <c r="EZ3438" s="501"/>
      <c r="FA3438" s="501"/>
      <c r="FB3438" s="501"/>
      <c r="FC3438" s="501"/>
      <c r="FD3438" s="501"/>
      <c r="FE3438" s="501"/>
      <c r="FF3438" s="501"/>
      <c r="FG3438" s="501"/>
      <c r="FH3438" s="501"/>
      <c r="FI3438" s="501"/>
      <c r="FJ3438" s="501"/>
      <c r="FK3438" s="501"/>
      <c r="FL3438" s="501"/>
      <c r="FM3438" s="501"/>
      <c r="FN3438" s="501"/>
      <c r="FO3438" s="501"/>
      <c r="FP3438" s="501"/>
      <c r="FQ3438" s="501"/>
      <c r="FR3438" s="501"/>
      <c r="FS3438" s="501"/>
      <c r="FT3438" s="501"/>
      <c r="FU3438" s="501"/>
      <c r="FV3438" s="501"/>
      <c r="FW3438" s="501"/>
      <c r="FX3438" s="501"/>
      <c r="FY3438" s="501"/>
      <c r="FZ3438" s="501"/>
      <c r="GA3438" s="501"/>
      <c r="GB3438" s="501"/>
      <c r="GC3438" s="501"/>
      <c r="GD3438" s="501"/>
      <c r="GE3438" s="501"/>
      <c r="GF3438" s="501"/>
      <c r="GG3438" s="501"/>
      <c r="GH3438" s="501"/>
      <c r="GI3438" s="501"/>
      <c r="GJ3438" s="501"/>
      <c r="GK3438" s="501"/>
      <c r="GL3438" s="501"/>
      <c r="GM3438" s="501"/>
      <c r="GN3438" s="501"/>
      <c r="GO3438" s="501"/>
      <c r="GP3438" s="501"/>
      <c r="GQ3438" s="501"/>
      <c r="GR3438" s="501"/>
      <c r="GS3438" s="501"/>
      <c r="GT3438" s="501"/>
      <c r="GU3438" s="501"/>
      <c r="GV3438" s="501"/>
      <c r="GW3438" s="501"/>
      <c r="GX3438" s="501"/>
      <c r="GY3438" s="501"/>
      <c r="GZ3438" s="501"/>
      <c r="HA3438" s="501"/>
      <c r="HB3438" s="501"/>
      <c r="HC3438" s="501"/>
      <c r="HD3438" s="501"/>
      <c r="HE3438" s="501"/>
      <c r="HF3438" s="501"/>
      <c r="HG3438" s="501"/>
      <c r="HH3438" s="501"/>
      <c r="HI3438" s="501"/>
      <c r="HJ3438" s="501"/>
      <c r="HK3438" s="501"/>
      <c r="HL3438" s="501"/>
      <c r="HM3438" s="501"/>
      <c r="HN3438" s="501"/>
      <c r="HO3438" s="501"/>
      <c r="HP3438" s="501"/>
      <c r="HQ3438" s="501"/>
      <c r="HR3438" s="501"/>
      <c r="HS3438" s="501"/>
      <c r="HT3438" s="501"/>
      <c r="HU3438" s="501"/>
      <c r="HV3438" s="501"/>
      <c r="HW3438" s="501"/>
      <c r="HX3438" s="501"/>
      <c r="HY3438" s="501"/>
      <c r="HZ3438" s="501"/>
      <c r="IA3438" s="501"/>
      <c r="IB3438" s="501"/>
      <c r="IC3438" s="501"/>
      <c r="ID3438" s="501"/>
      <c r="IE3438" s="501"/>
      <c r="IF3438" s="501"/>
      <c r="IG3438" s="501"/>
      <c r="IH3438" s="501"/>
      <c r="II3438" s="501"/>
      <c r="IJ3438" s="501"/>
      <c r="IK3438" s="501"/>
      <c r="IL3438" s="501"/>
      <c r="IM3438" s="501"/>
      <c r="IN3438" s="501"/>
      <c r="IO3438" s="501"/>
      <c r="IP3438" s="501"/>
      <c r="IQ3438" s="501"/>
      <c r="IR3438" s="501"/>
      <c r="IS3438" s="501"/>
      <c r="IT3438" s="501"/>
      <c r="IU3438" s="501"/>
    </row>
    <row r="3439" spans="1:255" s="877" customFormat="1" ht="24" customHeight="1">
      <c r="A3439" s="501"/>
      <c r="B3439" s="501"/>
      <c r="C3439" s="501"/>
      <c r="D3439" s="501"/>
      <c r="E3439" s="501"/>
      <c r="F3439" s="501"/>
      <c r="G3439" s="915"/>
      <c r="H3439" s="501"/>
      <c r="I3439" s="874"/>
      <c r="J3439" s="501"/>
      <c r="K3439" s="501"/>
      <c r="L3439" s="874"/>
      <c r="M3439" s="554"/>
      <c r="N3439" s="501"/>
      <c r="O3439" s="968"/>
      <c r="P3439" s="1152"/>
      <c r="Q3439" s="973"/>
      <c r="R3439" s="968"/>
      <c r="S3439" s="974"/>
      <c r="T3439" s="968"/>
      <c r="V3439" s="501"/>
      <c r="W3439" s="501"/>
      <c r="X3439" s="501"/>
      <c r="Y3439" s="501"/>
      <c r="Z3439" s="501"/>
      <c r="AA3439" s="501"/>
      <c r="AB3439" s="501"/>
      <c r="AC3439" s="501"/>
      <c r="AD3439" s="501"/>
      <c r="AE3439" s="501"/>
      <c r="AF3439" s="501"/>
      <c r="AG3439" s="501"/>
      <c r="AH3439" s="501"/>
      <c r="AI3439" s="501"/>
      <c r="AJ3439" s="501"/>
      <c r="AK3439" s="501"/>
      <c r="AL3439" s="501"/>
      <c r="AM3439" s="501"/>
      <c r="AN3439" s="501"/>
      <c r="AO3439" s="501"/>
      <c r="AP3439" s="501"/>
      <c r="AQ3439" s="501"/>
      <c r="AR3439" s="501"/>
      <c r="AS3439" s="501"/>
      <c r="AT3439" s="501"/>
      <c r="AU3439" s="501"/>
      <c r="AV3439" s="501"/>
      <c r="AW3439" s="501"/>
      <c r="AX3439" s="501"/>
      <c r="AY3439" s="501"/>
      <c r="AZ3439" s="501"/>
      <c r="BA3439" s="501"/>
      <c r="BB3439" s="501"/>
      <c r="BC3439" s="501"/>
      <c r="BD3439" s="501"/>
      <c r="BE3439" s="501"/>
      <c r="BF3439" s="501"/>
      <c r="BG3439" s="501"/>
      <c r="BH3439" s="501"/>
      <c r="BI3439" s="501"/>
      <c r="BJ3439" s="501"/>
      <c r="BK3439" s="501"/>
      <c r="BL3439" s="501"/>
      <c r="BM3439" s="501"/>
      <c r="BN3439" s="501"/>
      <c r="BO3439" s="501"/>
      <c r="BP3439" s="501"/>
      <c r="BQ3439" s="501"/>
      <c r="BR3439" s="501"/>
      <c r="BS3439" s="501"/>
      <c r="BT3439" s="501"/>
      <c r="BU3439" s="501"/>
      <c r="BV3439" s="501"/>
      <c r="BW3439" s="501"/>
      <c r="BX3439" s="501"/>
      <c r="BY3439" s="501"/>
      <c r="BZ3439" s="501"/>
      <c r="CA3439" s="501"/>
      <c r="CB3439" s="501"/>
      <c r="CC3439" s="501"/>
      <c r="CD3439" s="501"/>
      <c r="CE3439" s="501"/>
      <c r="CF3439" s="501"/>
      <c r="CG3439" s="501"/>
      <c r="CH3439" s="501"/>
      <c r="CI3439" s="501"/>
      <c r="CJ3439" s="501"/>
      <c r="CK3439" s="501"/>
      <c r="CL3439" s="501"/>
      <c r="CM3439" s="501"/>
      <c r="CN3439" s="501"/>
      <c r="CO3439" s="501"/>
      <c r="CP3439" s="501"/>
      <c r="CQ3439" s="501"/>
      <c r="CR3439" s="501"/>
      <c r="CS3439" s="501"/>
      <c r="CT3439" s="501"/>
      <c r="CU3439" s="501"/>
      <c r="CV3439" s="501"/>
      <c r="CW3439" s="501"/>
      <c r="CX3439" s="501"/>
      <c r="CY3439" s="501"/>
      <c r="CZ3439" s="501"/>
      <c r="DA3439" s="501"/>
      <c r="DB3439" s="501"/>
      <c r="DC3439" s="501"/>
      <c r="DD3439" s="501"/>
      <c r="DE3439" s="501"/>
      <c r="DF3439" s="501"/>
      <c r="DG3439" s="501"/>
      <c r="DH3439" s="501"/>
      <c r="DI3439" s="501"/>
      <c r="DJ3439" s="501"/>
      <c r="DK3439" s="501"/>
      <c r="DL3439" s="501"/>
      <c r="DM3439" s="501"/>
      <c r="DN3439" s="501"/>
      <c r="DO3439" s="501"/>
      <c r="DP3439" s="501"/>
      <c r="DQ3439" s="501"/>
      <c r="DR3439" s="501"/>
      <c r="DS3439" s="501"/>
      <c r="DT3439" s="501"/>
      <c r="DU3439" s="501"/>
      <c r="DV3439" s="501"/>
      <c r="DW3439" s="501"/>
      <c r="DX3439" s="501"/>
      <c r="DY3439" s="501"/>
      <c r="DZ3439" s="501"/>
      <c r="EA3439" s="501"/>
      <c r="EB3439" s="501"/>
      <c r="EC3439" s="501"/>
      <c r="ED3439" s="501"/>
      <c r="EE3439" s="501"/>
      <c r="EF3439" s="501"/>
      <c r="EG3439" s="501"/>
      <c r="EH3439" s="501"/>
      <c r="EI3439" s="501"/>
      <c r="EJ3439" s="501"/>
      <c r="EK3439" s="501"/>
      <c r="EL3439" s="501"/>
      <c r="EM3439" s="501"/>
      <c r="EN3439" s="501"/>
      <c r="EO3439" s="501"/>
      <c r="EP3439" s="501"/>
      <c r="EQ3439" s="501"/>
      <c r="ER3439" s="501"/>
      <c r="ES3439" s="501"/>
      <c r="ET3439" s="501"/>
      <c r="EU3439" s="501"/>
      <c r="EV3439" s="501"/>
      <c r="EW3439" s="501"/>
      <c r="EX3439" s="501"/>
      <c r="EY3439" s="501"/>
      <c r="EZ3439" s="501"/>
      <c r="FA3439" s="501"/>
      <c r="FB3439" s="501"/>
      <c r="FC3439" s="501"/>
      <c r="FD3439" s="501"/>
      <c r="FE3439" s="501"/>
      <c r="FF3439" s="501"/>
      <c r="FG3439" s="501"/>
      <c r="FH3439" s="501"/>
      <c r="FI3439" s="501"/>
      <c r="FJ3439" s="501"/>
      <c r="FK3439" s="501"/>
      <c r="FL3439" s="501"/>
      <c r="FM3439" s="501"/>
      <c r="FN3439" s="501"/>
      <c r="FO3439" s="501"/>
      <c r="FP3439" s="501"/>
      <c r="FQ3439" s="501"/>
      <c r="FR3439" s="501"/>
      <c r="FS3439" s="501"/>
      <c r="FT3439" s="501"/>
      <c r="FU3439" s="501"/>
      <c r="FV3439" s="501"/>
      <c r="FW3439" s="501"/>
      <c r="FX3439" s="501"/>
      <c r="FY3439" s="501"/>
      <c r="FZ3439" s="501"/>
      <c r="GA3439" s="501"/>
      <c r="GB3439" s="501"/>
      <c r="GC3439" s="501"/>
      <c r="GD3439" s="501"/>
      <c r="GE3439" s="501"/>
      <c r="GF3439" s="501"/>
      <c r="GG3439" s="501"/>
      <c r="GH3439" s="501"/>
      <c r="GI3439" s="501"/>
      <c r="GJ3439" s="501"/>
      <c r="GK3439" s="501"/>
      <c r="GL3439" s="501"/>
      <c r="GM3439" s="501"/>
      <c r="GN3439" s="501"/>
      <c r="GO3439" s="501"/>
      <c r="GP3439" s="501"/>
      <c r="GQ3439" s="501"/>
      <c r="GR3439" s="501"/>
      <c r="GS3439" s="501"/>
      <c r="GT3439" s="501"/>
      <c r="GU3439" s="501"/>
      <c r="GV3439" s="501"/>
      <c r="GW3439" s="501"/>
      <c r="GX3439" s="501"/>
      <c r="GY3439" s="501"/>
      <c r="GZ3439" s="501"/>
      <c r="HA3439" s="501"/>
      <c r="HB3439" s="501"/>
      <c r="HC3439" s="501"/>
      <c r="HD3439" s="501"/>
      <c r="HE3439" s="501"/>
      <c r="HF3439" s="501"/>
      <c r="HG3439" s="501"/>
      <c r="HH3439" s="501"/>
      <c r="HI3439" s="501"/>
      <c r="HJ3439" s="501"/>
      <c r="HK3439" s="501"/>
      <c r="HL3439" s="501"/>
      <c r="HM3439" s="501"/>
      <c r="HN3439" s="501"/>
      <c r="HO3439" s="501"/>
      <c r="HP3439" s="501"/>
      <c r="HQ3439" s="501"/>
      <c r="HR3439" s="501"/>
      <c r="HS3439" s="501"/>
      <c r="HT3439" s="501"/>
      <c r="HU3439" s="501"/>
      <c r="HV3439" s="501"/>
      <c r="HW3439" s="501"/>
      <c r="HX3439" s="501"/>
      <c r="HY3439" s="501"/>
      <c r="HZ3439" s="501"/>
      <c r="IA3439" s="501"/>
      <c r="IB3439" s="501"/>
      <c r="IC3439" s="501"/>
      <c r="ID3439" s="501"/>
      <c r="IE3439" s="501"/>
      <c r="IF3439" s="501"/>
      <c r="IG3439" s="501"/>
      <c r="IH3439" s="501"/>
      <c r="II3439" s="501"/>
      <c r="IJ3439" s="501"/>
      <c r="IK3439" s="501"/>
      <c r="IL3439" s="501"/>
      <c r="IM3439" s="501"/>
      <c r="IN3439" s="501"/>
      <c r="IO3439" s="501"/>
      <c r="IP3439" s="501"/>
      <c r="IQ3439" s="501"/>
      <c r="IR3439" s="501"/>
      <c r="IS3439" s="501"/>
      <c r="IT3439" s="501"/>
      <c r="IU3439" s="501"/>
    </row>
    <row r="3440" spans="1:255" s="877" customFormat="1" ht="24" customHeight="1">
      <c r="A3440" s="501"/>
      <c r="B3440" s="501"/>
      <c r="C3440" s="501"/>
      <c r="D3440" s="501"/>
      <c r="E3440" s="501"/>
      <c r="F3440" s="501"/>
      <c r="G3440" s="915"/>
      <c r="H3440" s="501"/>
      <c r="I3440" s="874"/>
      <c r="J3440" s="501"/>
      <c r="K3440" s="501"/>
      <c r="L3440" s="874"/>
      <c r="M3440" s="554"/>
      <c r="N3440" s="501"/>
      <c r="O3440" s="968"/>
      <c r="P3440" s="1152"/>
      <c r="Q3440" s="973"/>
      <c r="R3440" s="968"/>
      <c r="S3440" s="974"/>
      <c r="T3440" s="968"/>
      <c r="V3440" s="501"/>
      <c r="W3440" s="501"/>
      <c r="X3440" s="501"/>
      <c r="Y3440" s="501"/>
      <c r="Z3440" s="501"/>
      <c r="AA3440" s="501"/>
      <c r="AB3440" s="501"/>
      <c r="AC3440" s="501"/>
      <c r="AD3440" s="501"/>
      <c r="AE3440" s="501"/>
      <c r="AF3440" s="501"/>
      <c r="AG3440" s="501"/>
      <c r="AH3440" s="501"/>
      <c r="AI3440" s="501"/>
      <c r="AJ3440" s="501"/>
      <c r="AK3440" s="501"/>
      <c r="AL3440" s="501"/>
      <c r="AM3440" s="501"/>
      <c r="AN3440" s="501"/>
      <c r="AO3440" s="501"/>
      <c r="AP3440" s="501"/>
      <c r="AQ3440" s="501"/>
      <c r="AR3440" s="501"/>
      <c r="AS3440" s="501"/>
      <c r="AT3440" s="501"/>
      <c r="AU3440" s="501"/>
      <c r="AV3440" s="501"/>
      <c r="AW3440" s="501"/>
      <c r="AX3440" s="501"/>
      <c r="AY3440" s="501"/>
      <c r="AZ3440" s="501"/>
      <c r="BA3440" s="501"/>
      <c r="BB3440" s="501"/>
      <c r="BC3440" s="501"/>
      <c r="BD3440" s="501"/>
      <c r="BE3440" s="501"/>
      <c r="BF3440" s="501"/>
      <c r="BG3440" s="501"/>
      <c r="BH3440" s="501"/>
      <c r="BI3440" s="501"/>
      <c r="BJ3440" s="501"/>
      <c r="BK3440" s="501"/>
      <c r="BL3440" s="501"/>
      <c r="BM3440" s="501"/>
      <c r="BN3440" s="501"/>
      <c r="BO3440" s="501"/>
      <c r="BP3440" s="501"/>
      <c r="BQ3440" s="501"/>
      <c r="BR3440" s="501"/>
      <c r="BS3440" s="501"/>
      <c r="BT3440" s="501"/>
      <c r="BU3440" s="501"/>
      <c r="BV3440" s="501"/>
      <c r="BW3440" s="501"/>
      <c r="BX3440" s="501"/>
      <c r="BY3440" s="501"/>
      <c r="BZ3440" s="501"/>
      <c r="CA3440" s="501"/>
      <c r="CB3440" s="501"/>
      <c r="CC3440" s="501"/>
      <c r="CD3440" s="501"/>
      <c r="CE3440" s="501"/>
      <c r="CF3440" s="501"/>
      <c r="CG3440" s="501"/>
      <c r="CH3440" s="501"/>
      <c r="CI3440" s="501"/>
      <c r="CJ3440" s="501"/>
      <c r="CK3440" s="501"/>
      <c r="CL3440" s="501"/>
      <c r="CM3440" s="501"/>
      <c r="CN3440" s="501"/>
      <c r="CO3440" s="501"/>
      <c r="CP3440" s="501"/>
      <c r="CQ3440" s="501"/>
      <c r="CR3440" s="501"/>
      <c r="CS3440" s="501"/>
      <c r="CT3440" s="501"/>
      <c r="CU3440" s="501"/>
      <c r="CV3440" s="501"/>
      <c r="CW3440" s="501"/>
      <c r="CX3440" s="501"/>
      <c r="CY3440" s="501"/>
      <c r="CZ3440" s="501"/>
      <c r="DA3440" s="501"/>
      <c r="DB3440" s="501"/>
      <c r="DC3440" s="501"/>
      <c r="DD3440" s="501"/>
      <c r="DE3440" s="501"/>
      <c r="DF3440" s="501"/>
      <c r="DG3440" s="501"/>
      <c r="DH3440" s="501"/>
      <c r="DI3440" s="501"/>
      <c r="DJ3440" s="501"/>
      <c r="DK3440" s="501"/>
      <c r="DL3440" s="501"/>
      <c r="DM3440" s="501"/>
      <c r="DN3440" s="501"/>
      <c r="DO3440" s="501"/>
      <c r="DP3440" s="501"/>
      <c r="DQ3440" s="501"/>
      <c r="DR3440" s="501"/>
      <c r="DS3440" s="501"/>
      <c r="DT3440" s="501"/>
      <c r="DU3440" s="501"/>
      <c r="DV3440" s="501"/>
      <c r="DW3440" s="501"/>
      <c r="DX3440" s="501"/>
      <c r="DY3440" s="501"/>
      <c r="DZ3440" s="501"/>
      <c r="EA3440" s="501"/>
      <c r="EB3440" s="501"/>
      <c r="EC3440" s="501"/>
      <c r="ED3440" s="501"/>
      <c r="EE3440" s="501"/>
      <c r="EF3440" s="501"/>
      <c r="EG3440" s="501"/>
      <c r="EH3440" s="501"/>
      <c r="EI3440" s="501"/>
      <c r="EJ3440" s="501"/>
      <c r="EK3440" s="501"/>
      <c r="EL3440" s="501"/>
      <c r="EM3440" s="501"/>
      <c r="EN3440" s="501"/>
      <c r="EO3440" s="501"/>
      <c r="EP3440" s="501"/>
      <c r="EQ3440" s="501"/>
      <c r="ER3440" s="501"/>
      <c r="ES3440" s="501"/>
      <c r="ET3440" s="501"/>
      <c r="EU3440" s="501"/>
      <c r="EV3440" s="501"/>
      <c r="EW3440" s="501"/>
      <c r="EX3440" s="501"/>
      <c r="EY3440" s="501"/>
      <c r="EZ3440" s="501"/>
      <c r="FA3440" s="501"/>
      <c r="FB3440" s="501"/>
      <c r="FC3440" s="501"/>
      <c r="FD3440" s="501"/>
      <c r="FE3440" s="501"/>
      <c r="FF3440" s="501"/>
      <c r="FG3440" s="501"/>
      <c r="FH3440" s="501"/>
      <c r="FI3440" s="501"/>
      <c r="FJ3440" s="501"/>
      <c r="FK3440" s="501"/>
      <c r="FL3440" s="501"/>
      <c r="FM3440" s="501"/>
      <c r="FN3440" s="501"/>
      <c r="FO3440" s="501"/>
      <c r="FP3440" s="501"/>
      <c r="FQ3440" s="501"/>
      <c r="FR3440" s="501"/>
      <c r="FS3440" s="501"/>
      <c r="FT3440" s="501"/>
      <c r="FU3440" s="501"/>
      <c r="FV3440" s="501"/>
      <c r="FW3440" s="501"/>
      <c r="FX3440" s="501"/>
      <c r="FY3440" s="501"/>
      <c r="FZ3440" s="501"/>
      <c r="GA3440" s="501"/>
      <c r="GB3440" s="501"/>
      <c r="GC3440" s="501"/>
      <c r="GD3440" s="501"/>
      <c r="GE3440" s="501"/>
      <c r="GF3440" s="501"/>
      <c r="GG3440" s="501"/>
      <c r="GH3440" s="501"/>
      <c r="GI3440" s="501"/>
      <c r="GJ3440" s="501"/>
      <c r="GK3440" s="501"/>
      <c r="GL3440" s="501"/>
      <c r="GM3440" s="501"/>
      <c r="GN3440" s="501"/>
      <c r="GO3440" s="501"/>
      <c r="GP3440" s="501"/>
      <c r="GQ3440" s="501"/>
      <c r="GR3440" s="501"/>
      <c r="GS3440" s="501"/>
      <c r="GT3440" s="501"/>
      <c r="GU3440" s="501"/>
      <c r="GV3440" s="501"/>
      <c r="GW3440" s="501"/>
      <c r="GX3440" s="501"/>
      <c r="GY3440" s="501"/>
      <c r="GZ3440" s="501"/>
      <c r="HA3440" s="501"/>
      <c r="HB3440" s="501"/>
      <c r="HC3440" s="501"/>
      <c r="HD3440" s="501"/>
      <c r="HE3440" s="501"/>
      <c r="HF3440" s="501"/>
      <c r="HG3440" s="501"/>
      <c r="HH3440" s="501"/>
      <c r="HI3440" s="501"/>
      <c r="HJ3440" s="501"/>
      <c r="HK3440" s="501"/>
      <c r="HL3440" s="501"/>
      <c r="HM3440" s="501"/>
      <c r="HN3440" s="501"/>
      <c r="HO3440" s="501"/>
      <c r="HP3440" s="501"/>
      <c r="HQ3440" s="501"/>
      <c r="HR3440" s="501"/>
      <c r="HS3440" s="501"/>
      <c r="HT3440" s="501"/>
      <c r="HU3440" s="501"/>
      <c r="HV3440" s="501"/>
      <c r="HW3440" s="501"/>
      <c r="HX3440" s="501"/>
      <c r="HY3440" s="501"/>
      <c r="HZ3440" s="501"/>
      <c r="IA3440" s="501"/>
      <c r="IB3440" s="501"/>
      <c r="IC3440" s="501"/>
      <c r="ID3440" s="501"/>
      <c r="IE3440" s="501"/>
      <c r="IF3440" s="501"/>
      <c r="IG3440" s="501"/>
      <c r="IH3440" s="501"/>
      <c r="II3440" s="501"/>
      <c r="IJ3440" s="501"/>
      <c r="IK3440" s="501"/>
      <c r="IL3440" s="501"/>
      <c r="IM3440" s="501"/>
      <c r="IN3440" s="501"/>
      <c r="IO3440" s="501"/>
      <c r="IP3440" s="501"/>
      <c r="IQ3440" s="501"/>
      <c r="IR3440" s="501"/>
      <c r="IS3440" s="501"/>
      <c r="IT3440" s="501"/>
      <c r="IU3440" s="501"/>
    </row>
    <row r="3441" spans="1:255" s="877" customFormat="1" ht="24" customHeight="1">
      <c r="A3441" s="501"/>
      <c r="B3441" s="501"/>
      <c r="C3441" s="501"/>
      <c r="D3441" s="501"/>
      <c r="E3441" s="501"/>
      <c r="F3441" s="501"/>
      <c r="G3441" s="915"/>
      <c r="H3441" s="501"/>
      <c r="I3441" s="874"/>
      <c r="J3441" s="501"/>
      <c r="K3441" s="501"/>
      <c r="L3441" s="874"/>
      <c r="M3441" s="554"/>
      <c r="N3441" s="501"/>
      <c r="O3441" s="968"/>
      <c r="P3441" s="1152"/>
      <c r="Q3441" s="973"/>
      <c r="R3441" s="968"/>
      <c r="S3441" s="974"/>
      <c r="T3441" s="968"/>
      <c r="V3441" s="501"/>
      <c r="W3441" s="501"/>
      <c r="X3441" s="501"/>
      <c r="Y3441" s="501"/>
      <c r="Z3441" s="501"/>
      <c r="AA3441" s="501"/>
      <c r="AB3441" s="501"/>
      <c r="AC3441" s="501"/>
      <c r="AD3441" s="501"/>
      <c r="AE3441" s="501"/>
      <c r="AF3441" s="501"/>
      <c r="AG3441" s="501"/>
      <c r="AH3441" s="501"/>
      <c r="AI3441" s="501"/>
      <c r="AJ3441" s="501"/>
      <c r="AK3441" s="501"/>
      <c r="AL3441" s="501"/>
      <c r="AM3441" s="501"/>
      <c r="AN3441" s="501"/>
      <c r="AO3441" s="501"/>
      <c r="AP3441" s="501"/>
      <c r="AQ3441" s="501"/>
      <c r="AR3441" s="501"/>
      <c r="AS3441" s="501"/>
      <c r="AT3441" s="501"/>
      <c r="AU3441" s="501"/>
      <c r="AV3441" s="501"/>
      <c r="AW3441" s="501"/>
      <c r="AX3441" s="501"/>
      <c r="AY3441" s="501"/>
      <c r="AZ3441" s="501"/>
      <c r="BA3441" s="501"/>
      <c r="BB3441" s="501"/>
      <c r="BC3441" s="501"/>
      <c r="BD3441" s="501"/>
      <c r="BE3441" s="501"/>
      <c r="BF3441" s="501"/>
      <c r="BG3441" s="501"/>
      <c r="BH3441" s="501"/>
      <c r="BI3441" s="501"/>
      <c r="BJ3441" s="501"/>
      <c r="BK3441" s="501"/>
      <c r="BL3441" s="501"/>
      <c r="BM3441" s="501"/>
      <c r="BN3441" s="501"/>
      <c r="BO3441" s="501"/>
      <c r="BP3441" s="501"/>
      <c r="BQ3441" s="501"/>
      <c r="BR3441" s="501"/>
      <c r="BS3441" s="501"/>
      <c r="BT3441" s="501"/>
      <c r="BU3441" s="501"/>
      <c r="BV3441" s="501"/>
      <c r="BW3441" s="501"/>
      <c r="BX3441" s="501"/>
      <c r="BY3441" s="501"/>
      <c r="BZ3441" s="501"/>
      <c r="CA3441" s="501"/>
      <c r="CB3441" s="501"/>
      <c r="CC3441" s="501"/>
      <c r="CD3441" s="501"/>
      <c r="CE3441" s="501"/>
      <c r="CF3441" s="501"/>
      <c r="CG3441" s="501"/>
      <c r="CH3441" s="501"/>
      <c r="CI3441" s="501"/>
      <c r="CJ3441" s="501"/>
      <c r="CK3441" s="501"/>
      <c r="CL3441" s="501"/>
      <c r="CM3441" s="501"/>
      <c r="CN3441" s="501"/>
      <c r="CO3441" s="501"/>
      <c r="CP3441" s="501"/>
      <c r="CQ3441" s="501"/>
      <c r="CR3441" s="501"/>
      <c r="CS3441" s="501"/>
      <c r="CT3441" s="501"/>
      <c r="CU3441" s="501"/>
      <c r="CV3441" s="501"/>
      <c r="CW3441" s="501"/>
      <c r="CX3441" s="501"/>
      <c r="CY3441" s="501"/>
      <c r="CZ3441" s="501"/>
      <c r="DA3441" s="501"/>
      <c r="DB3441" s="501"/>
      <c r="DC3441" s="501"/>
      <c r="DD3441" s="501"/>
      <c r="DE3441" s="501"/>
      <c r="DF3441" s="501"/>
      <c r="DG3441" s="501"/>
      <c r="DH3441" s="501"/>
      <c r="DI3441" s="501"/>
      <c r="DJ3441" s="501"/>
      <c r="DK3441" s="501"/>
      <c r="DL3441" s="501"/>
      <c r="DM3441" s="501"/>
      <c r="DN3441" s="501"/>
      <c r="DO3441" s="501"/>
      <c r="DP3441" s="501"/>
      <c r="DQ3441" s="501"/>
      <c r="DR3441" s="501"/>
      <c r="DS3441" s="501"/>
      <c r="DT3441" s="501"/>
      <c r="DU3441" s="501"/>
      <c r="DV3441" s="501"/>
      <c r="DW3441" s="501"/>
      <c r="DX3441" s="501"/>
      <c r="DY3441" s="501"/>
      <c r="DZ3441" s="501"/>
      <c r="EA3441" s="501"/>
      <c r="EB3441" s="501"/>
      <c r="EC3441" s="501"/>
      <c r="ED3441" s="501"/>
      <c r="EE3441" s="501"/>
      <c r="EF3441" s="501"/>
      <c r="EG3441" s="501"/>
      <c r="EH3441" s="501"/>
      <c r="EI3441" s="501"/>
      <c r="EJ3441" s="501"/>
      <c r="EK3441" s="501"/>
      <c r="EL3441" s="501"/>
      <c r="EM3441" s="501"/>
      <c r="EN3441" s="501"/>
      <c r="EO3441" s="501"/>
      <c r="EP3441" s="501"/>
      <c r="EQ3441" s="501"/>
      <c r="ER3441" s="501"/>
      <c r="ES3441" s="501"/>
      <c r="ET3441" s="501"/>
      <c r="EU3441" s="501"/>
      <c r="EV3441" s="501"/>
      <c r="EW3441" s="501"/>
      <c r="EX3441" s="501"/>
      <c r="EY3441" s="501"/>
      <c r="EZ3441" s="501"/>
      <c r="FA3441" s="501"/>
      <c r="FB3441" s="501"/>
      <c r="FC3441" s="501"/>
      <c r="FD3441" s="501"/>
      <c r="FE3441" s="501"/>
      <c r="FF3441" s="501"/>
      <c r="FG3441" s="501"/>
      <c r="FH3441" s="501"/>
      <c r="FI3441" s="501"/>
      <c r="FJ3441" s="501"/>
      <c r="FK3441" s="501"/>
      <c r="FL3441" s="501"/>
      <c r="FM3441" s="501"/>
      <c r="FN3441" s="501"/>
      <c r="FO3441" s="501"/>
      <c r="FP3441" s="501"/>
      <c r="FQ3441" s="501"/>
      <c r="FR3441" s="501"/>
      <c r="FS3441" s="501"/>
      <c r="FT3441" s="501"/>
      <c r="FU3441" s="501"/>
      <c r="FV3441" s="501"/>
      <c r="FW3441" s="501"/>
      <c r="FX3441" s="501"/>
      <c r="FY3441" s="501"/>
      <c r="FZ3441" s="501"/>
      <c r="GA3441" s="501"/>
      <c r="GB3441" s="501"/>
      <c r="GC3441" s="501"/>
      <c r="GD3441" s="501"/>
      <c r="GE3441" s="501"/>
      <c r="GF3441" s="501"/>
      <c r="GG3441" s="501"/>
      <c r="GH3441" s="501"/>
      <c r="GI3441" s="501"/>
      <c r="GJ3441" s="501"/>
      <c r="GK3441" s="501"/>
      <c r="GL3441" s="501"/>
      <c r="GM3441" s="501"/>
      <c r="GN3441" s="501"/>
      <c r="GO3441" s="501"/>
      <c r="GP3441" s="501"/>
      <c r="GQ3441" s="501"/>
      <c r="GR3441" s="501"/>
      <c r="GS3441" s="501"/>
      <c r="GT3441" s="501"/>
      <c r="GU3441" s="501"/>
      <c r="GV3441" s="501"/>
      <c r="GW3441" s="501"/>
      <c r="GX3441" s="501"/>
      <c r="GY3441" s="501"/>
      <c r="GZ3441" s="501"/>
      <c r="HA3441" s="501"/>
      <c r="HB3441" s="501"/>
      <c r="HC3441" s="501"/>
      <c r="HD3441" s="501"/>
      <c r="HE3441" s="501"/>
      <c r="HF3441" s="501"/>
      <c r="HG3441" s="501"/>
      <c r="HH3441" s="501"/>
      <c r="HI3441" s="501"/>
      <c r="HJ3441" s="501"/>
      <c r="HK3441" s="501"/>
      <c r="HL3441" s="501"/>
      <c r="HM3441" s="501"/>
      <c r="HN3441" s="501"/>
      <c r="HO3441" s="501"/>
      <c r="HP3441" s="501"/>
      <c r="HQ3441" s="501"/>
      <c r="HR3441" s="501"/>
      <c r="HS3441" s="501"/>
      <c r="HT3441" s="501"/>
      <c r="HU3441" s="501"/>
      <c r="HV3441" s="501"/>
      <c r="HW3441" s="501"/>
      <c r="HX3441" s="501"/>
      <c r="HY3441" s="501"/>
      <c r="HZ3441" s="501"/>
      <c r="IA3441" s="501"/>
      <c r="IB3441" s="501"/>
      <c r="IC3441" s="501"/>
      <c r="ID3441" s="501"/>
      <c r="IE3441" s="501"/>
      <c r="IF3441" s="501"/>
      <c r="IG3441" s="501"/>
      <c r="IH3441" s="501"/>
      <c r="II3441" s="501"/>
      <c r="IJ3441" s="501"/>
      <c r="IK3441" s="501"/>
      <c r="IL3441" s="501"/>
      <c r="IM3441" s="501"/>
      <c r="IN3441" s="501"/>
      <c r="IO3441" s="501"/>
      <c r="IP3441" s="501"/>
      <c r="IQ3441" s="501"/>
      <c r="IR3441" s="501"/>
      <c r="IS3441" s="501"/>
      <c r="IT3441" s="501"/>
      <c r="IU3441" s="501"/>
    </row>
    <row r="3442" spans="1:255" s="877" customFormat="1" ht="24" customHeight="1">
      <c r="A3442" s="501"/>
      <c r="B3442" s="501"/>
      <c r="C3442" s="501"/>
      <c r="D3442" s="501"/>
      <c r="E3442" s="501"/>
      <c r="F3442" s="501"/>
      <c r="G3442" s="915"/>
      <c r="H3442" s="501"/>
      <c r="I3442" s="874"/>
      <c r="J3442" s="501"/>
      <c r="K3442" s="501"/>
      <c r="L3442" s="874"/>
      <c r="M3442" s="554"/>
      <c r="N3442" s="501"/>
      <c r="O3442" s="1097"/>
      <c r="P3442" s="1152"/>
      <c r="Q3442" s="1097"/>
      <c r="R3442" s="1097"/>
      <c r="S3442" s="974"/>
      <c r="T3442" s="968"/>
      <c r="V3442" s="501"/>
      <c r="W3442" s="501"/>
      <c r="X3442" s="501"/>
      <c r="Y3442" s="501"/>
      <c r="Z3442" s="501"/>
      <c r="AA3442" s="501"/>
      <c r="AB3442" s="501"/>
      <c r="AC3442" s="501"/>
      <c r="AD3442" s="501"/>
      <c r="AE3442" s="501"/>
      <c r="AF3442" s="501"/>
      <c r="AG3442" s="501"/>
      <c r="AH3442" s="501"/>
      <c r="AI3442" s="501"/>
      <c r="AJ3442" s="501"/>
      <c r="AK3442" s="501"/>
      <c r="AL3442" s="501"/>
      <c r="AM3442" s="501"/>
      <c r="AN3442" s="501"/>
      <c r="AO3442" s="501"/>
      <c r="AP3442" s="501"/>
      <c r="AQ3442" s="501"/>
      <c r="AR3442" s="501"/>
      <c r="AS3442" s="501"/>
      <c r="AT3442" s="501"/>
      <c r="AU3442" s="501"/>
      <c r="AV3442" s="501"/>
      <c r="AW3442" s="501"/>
      <c r="AX3442" s="501"/>
      <c r="AY3442" s="501"/>
      <c r="AZ3442" s="501"/>
      <c r="BA3442" s="501"/>
      <c r="BB3442" s="501"/>
      <c r="BC3442" s="501"/>
      <c r="BD3442" s="501"/>
      <c r="BE3442" s="501"/>
      <c r="BF3442" s="501"/>
      <c r="BG3442" s="501"/>
      <c r="BH3442" s="501"/>
      <c r="BI3442" s="501"/>
      <c r="BJ3442" s="501"/>
      <c r="BK3442" s="501"/>
      <c r="BL3442" s="501"/>
      <c r="BM3442" s="501"/>
      <c r="BN3442" s="501"/>
      <c r="BO3442" s="501"/>
      <c r="BP3442" s="501"/>
      <c r="BQ3442" s="501"/>
      <c r="BR3442" s="501"/>
      <c r="BS3442" s="501"/>
      <c r="BT3442" s="501"/>
      <c r="BU3442" s="501"/>
      <c r="BV3442" s="501"/>
      <c r="BW3442" s="501"/>
      <c r="BX3442" s="501"/>
      <c r="BY3442" s="501"/>
      <c r="BZ3442" s="501"/>
      <c r="CA3442" s="501"/>
      <c r="CB3442" s="501"/>
      <c r="CC3442" s="501"/>
      <c r="CD3442" s="501"/>
      <c r="CE3442" s="501"/>
      <c r="CF3442" s="501"/>
      <c r="CG3442" s="501"/>
      <c r="CH3442" s="501"/>
      <c r="CI3442" s="501"/>
      <c r="CJ3442" s="501"/>
      <c r="CK3442" s="501"/>
      <c r="CL3442" s="501"/>
      <c r="CM3442" s="501"/>
      <c r="CN3442" s="501"/>
      <c r="CO3442" s="501"/>
      <c r="CP3442" s="501"/>
      <c r="CQ3442" s="501"/>
      <c r="CR3442" s="501"/>
      <c r="CS3442" s="501"/>
      <c r="CT3442" s="501"/>
      <c r="CU3442" s="501"/>
      <c r="CV3442" s="501"/>
      <c r="CW3442" s="501"/>
      <c r="CX3442" s="501"/>
      <c r="CY3442" s="501"/>
      <c r="CZ3442" s="501"/>
      <c r="DA3442" s="501"/>
      <c r="DB3442" s="501"/>
      <c r="DC3442" s="501"/>
      <c r="DD3442" s="501"/>
      <c r="DE3442" s="501"/>
      <c r="DF3442" s="501"/>
      <c r="DG3442" s="501"/>
      <c r="DH3442" s="501"/>
      <c r="DI3442" s="501"/>
      <c r="DJ3442" s="501"/>
      <c r="DK3442" s="501"/>
      <c r="DL3442" s="501"/>
      <c r="DM3442" s="501"/>
      <c r="DN3442" s="501"/>
      <c r="DO3442" s="501"/>
      <c r="DP3442" s="501"/>
      <c r="DQ3442" s="501"/>
      <c r="DR3442" s="501"/>
      <c r="DS3442" s="501"/>
      <c r="DT3442" s="501"/>
      <c r="DU3442" s="501"/>
      <c r="DV3442" s="501"/>
      <c r="DW3442" s="501"/>
      <c r="DX3442" s="501"/>
      <c r="DY3442" s="501"/>
      <c r="DZ3442" s="501"/>
      <c r="EA3442" s="501"/>
      <c r="EB3442" s="501"/>
      <c r="EC3442" s="501"/>
      <c r="ED3442" s="501"/>
      <c r="EE3442" s="501"/>
      <c r="EF3442" s="501"/>
      <c r="EG3442" s="501"/>
      <c r="EH3442" s="501"/>
      <c r="EI3442" s="501"/>
      <c r="EJ3442" s="501"/>
      <c r="EK3442" s="501"/>
      <c r="EL3442" s="501"/>
      <c r="EM3442" s="501"/>
      <c r="EN3442" s="501"/>
      <c r="EO3442" s="501"/>
      <c r="EP3442" s="501"/>
      <c r="EQ3442" s="501"/>
      <c r="ER3442" s="501"/>
      <c r="ES3442" s="501"/>
      <c r="ET3442" s="501"/>
      <c r="EU3442" s="501"/>
      <c r="EV3442" s="501"/>
      <c r="EW3442" s="501"/>
      <c r="EX3442" s="501"/>
      <c r="EY3442" s="501"/>
      <c r="EZ3442" s="501"/>
      <c r="FA3442" s="501"/>
      <c r="FB3442" s="501"/>
      <c r="FC3442" s="501"/>
      <c r="FD3442" s="501"/>
      <c r="FE3442" s="501"/>
      <c r="FF3442" s="501"/>
      <c r="FG3442" s="501"/>
      <c r="FH3442" s="501"/>
      <c r="FI3442" s="501"/>
      <c r="FJ3442" s="501"/>
      <c r="FK3442" s="501"/>
      <c r="FL3442" s="501"/>
      <c r="FM3442" s="501"/>
      <c r="FN3442" s="501"/>
      <c r="FO3442" s="501"/>
      <c r="FP3442" s="501"/>
      <c r="FQ3442" s="501"/>
      <c r="FR3442" s="501"/>
      <c r="FS3442" s="501"/>
      <c r="FT3442" s="501"/>
      <c r="FU3442" s="501"/>
      <c r="FV3442" s="501"/>
      <c r="FW3442" s="501"/>
      <c r="FX3442" s="501"/>
      <c r="FY3442" s="501"/>
      <c r="FZ3442" s="501"/>
      <c r="GA3442" s="501"/>
      <c r="GB3442" s="501"/>
      <c r="GC3442" s="501"/>
      <c r="GD3442" s="501"/>
      <c r="GE3442" s="501"/>
      <c r="GF3442" s="501"/>
      <c r="GG3442" s="501"/>
      <c r="GH3442" s="501"/>
      <c r="GI3442" s="501"/>
      <c r="GJ3442" s="501"/>
      <c r="GK3442" s="501"/>
      <c r="GL3442" s="501"/>
      <c r="GM3442" s="501"/>
      <c r="GN3442" s="501"/>
      <c r="GO3442" s="501"/>
      <c r="GP3442" s="501"/>
      <c r="GQ3442" s="501"/>
      <c r="GR3442" s="501"/>
      <c r="GS3442" s="501"/>
      <c r="GT3442" s="501"/>
      <c r="GU3442" s="501"/>
      <c r="GV3442" s="501"/>
      <c r="GW3442" s="501"/>
      <c r="GX3442" s="501"/>
      <c r="GY3442" s="501"/>
      <c r="GZ3442" s="501"/>
      <c r="HA3442" s="501"/>
      <c r="HB3442" s="501"/>
      <c r="HC3442" s="501"/>
      <c r="HD3442" s="501"/>
      <c r="HE3442" s="501"/>
      <c r="HF3442" s="501"/>
      <c r="HG3442" s="501"/>
      <c r="HH3442" s="501"/>
      <c r="HI3442" s="501"/>
      <c r="HJ3442" s="501"/>
      <c r="HK3442" s="501"/>
      <c r="HL3442" s="501"/>
      <c r="HM3442" s="501"/>
      <c r="HN3442" s="501"/>
      <c r="HO3442" s="501"/>
      <c r="HP3442" s="501"/>
      <c r="HQ3442" s="501"/>
      <c r="HR3442" s="501"/>
      <c r="HS3442" s="501"/>
      <c r="HT3442" s="501"/>
      <c r="HU3442" s="501"/>
      <c r="HV3442" s="501"/>
      <c r="HW3442" s="501"/>
      <c r="HX3442" s="501"/>
      <c r="HY3442" s="501"/>
      <c r="HZ3442" s="501"/>
      <c r="IA3442" s="501"/>
      <c r="IB3442" s="501"/>
      <c r="IC3442" s="501"/>
      <c r="ID3442" s="501"/>
      <c r="IE3442" s="501"/>
      <c r="IF3442" s="501"/>
      <c r="IG3442" s="501"/>
      <c r="IH3442" s="501"/>
      <c r="II3442" s="501"/>
      <c r="IJ3442" s="501"/>
      <c r="IK3442" s="501"/>
      <c r="IL3442" s="501"/>
      <c r="IM3442" s="501"/>
      <c r="IN3442" s="501"/>
      <c r="IO3442" s="501"/>
      <c r="IP3442" s="501"/>
      <c r="IQ3442" s="501"/>
      <c r="IR3442" s="501"/>
      <c r="IS3442" s="501"/>
      <c r="IT3442" s="501"/>
      <c r="IU3442" s="501"/>
    </row>
    <row r="3443" spans="1:255" s="877" customFormat="1" ht="24" customHeight="1">
      <c r="A3443" s="501"/>
      <c r="B3443" s="501"/>
      <c r="C3443" s="501"/>
      <c r="D3443" s="501"/>
      <c r="E3443" s="501"/>
      <c r="F3443" s="501"/>
      <c r="G3443" s="915"/>
      <c r="H3443" s="501"/>
      <c r="I3443" s="874"/>
      <c r="J3443" s="501"/>
      <c r="K3443" s="501"/>
      <c r="L3443" s="874"/>
      <c r="M3443" s="554"/>
      <c r="N3443" s="501"/>
      <c r="O3443" s="1097"/>
      <c r="P3443" s="1151"/>
      <c r="Q3443" s="1097"/>
      <c r="R3443" s="1097"/>
      <c r="S3443" s="1101"/>
      <c r="T3443" s="1106"/>
      <c r="V3443" s="501"/>
      <c r="W3443" s="501"/>
      <c r="X3443" s="501"/>
      <c r="Y3443" s="501"/>
      <c r="Z3443" s="501"/>
      <c r="AA3443" s="501"/>
      <c r="AB3443" s="501"/>
      <c r="AC3443" s="501"/>
      <c r="AD3443" s="501"/>
      <c r="AE3443" s="501"/>
      <c r="AF3443" s="501"/>
      <c r="AG3443" s="501"/>
      <c r="AH3443" s="501"/>
      <c r="AI3443" s="501"/>
      <c r="AJ3443" s="501"/>
      <c r="AK3443" s="501"/>
      <c r="AL3443" s="501"/>
      <c r="AM3443" s="501"/>
      <c r="AN3443" s="501"/>
      <c r="AO3443" s="501"/>
      <c r="AP3443" s="501"/>
      <c r="AQ3443" s="501"/>
      <c r="AR3443" s="501"/>
      <c r="AS3443" s="501"/>
      <c r="AT3443" s="501"/>
      <c r="AU3443" s="501"/>
      <c r="AV3443" s="501"/>
      <c r="AW3443" s="501"/>
      <c r="AX3443" s="501"/>
      <c r="AY3443" s="501"/>
      <c r="AZ3443" s="501"/>
      <c r="BA3443" s="501"/>
      <c r="BB3443" s="501"/>
      <c r="BC3443" s="501"/>
      <c r="BD3443" s="501"/>
      <c r="BE3443" s="501"/>
      <c r="BF3443" s="501"/>
      <c r="BG3443" s="501"/>
      <c r="BH3443" s="501"/>
      <c r="BI3443" s="501"/>
      <c r="BJ3443" s="501"/>
      <c r="BK3443" s="501"/>
      <c r="BL3443" s="501"/>
      <c r="BM3443" s="501"/>
      <c r="BN3443" s="501"/>
      <c r="BO3443" s="501"/>
      <c r="BP3443" s="501"/>
      <c r="BQ3443" s="501"/>
      <c r="BR3443" s="501"/>
      <c r="BS3443" s="501"/>
      <c r="BT3443" s="501"/>
      <c r="BU3443" s="501"/>
      <c r="BV3443" s="501"/>
      <c r="BW3443" s="501"/>
      <c r="BX3443" s="501"/>
      <c r="BY3443" s="501"/>
      <c r="BZ3443" s="501"/>
      <c r="CA3443" s="501"/>
      <c r="CB3443" s="501"/>
      <c r="CC3443" s="501"/>
      <c r="CD3443" s="501"/>
      <c r="CE3443" s="501"/>
      <c r="CF3443" s="501"/>
      <c r="CG3443" s="501"/>
      <c r="CH3443" s="501"/>
      <c r="CI3443" s="501"/>
      <c r="CJ3443" s="501"/>
      <c r="CK3443" s="501"/>
      <c r="CL3443" s="501"/>
      <c r="CM3443" s="501"/>
      <c r="CN3443" s="501"/>
      <c r="CO3443" s="501"/>
      <c r="CP3443" s="501"/>
      <c r="CQ3443" s="501"/>
      <c r="CR3443" s="501"/>
      <c r="CS3443" s="501"/>
      <c r="CT3443" s="501"/>
      <c r="CU3443" s="501"/>
      <c r="CV3443" s="501"/>
      <c r="CW3443" s="501"/>
      <c r="CX3443" s="501"/>
      <c r="CY3443" s="501"/>
      <c r="CZ3443" s="501"/>
      <c r="DA3443" s="501"/>
      <c r="DB3443" s="501"/>
      <c r="DC3443" s="501"/>
      <c r="DD3443" s="501"/>
      <c r="DE3443" s="501"/>
      <c r="DF3443" s="501"/>
      <c r="DG3443" s="501"/>
      <c r="DH3443" s="501"/>
      <c r="DI3443" s="501"/>
      <c r="DJ3443" s="501"/>
      <c r="DK3443" s="501"/>
      <c r="DL3443" s="501"/>
      <c r="DM3443" s="501"/>
      <c r="DN3443" s="501"/>
      <c r="DO3443" s="501"/>
      <c r="DP3443" s="501"/>
      <c r="DQ3443" s="501"/>
      <c r="DR3443" s="501"/>
      <c r="DS3443" s="501"/>
      <c r="DT3443" s="501"/>
      <c r="DU3443" s="501"/>
      <c r="DV3443" s="501"/>
      <c r="DW3443" s="501"/>
      <c r="DX3443" s="501"/>
      <c r="DY3443" s="501"/>
      <c r="DZ3443" s="501"/>
      <c r="EA3443" s="501"/>
      <c r="EB3443" s="501"/>
      <c r="EC3443" s="501"/>
      <c r="ED3443" s="501"/>
      <c r="EE3443" s="501"/>
      <c r="EF3443" s="501"/>
      <c r="EG3443" s="501"/>
      <c r="EH3443" s="501"/>
      <c r="EI3443" s="501"/>
      <c r="EJ3443" s="501"/>
      <c r="EK3443" s="501"/>
      <c r="EL3443" s="501"/>
      <c r="EM3443" s="501"/>
      <c r="EN3443" s="501"/>
      <c r="EO3443" s="501"/>
      <c r="EP3443" s="501"/>
      <c r="EQ3443" s="501"/>
      <c r="ER3443" s="501"/>
      <c r="ES3443" s="501"/>
      <c r="ET3443" s="501"/>
      <c r="EU3443" s="501"/>
      <c r="EV3443" s="501"/>
      <c r="EW3443" s="501"/>
      <c r="EX3443" s="501"/>
      <c r="EY3443" s="501"/>
      <c r="EZ3443" s="501"/>
      <c r="FA3443" s="501"/>
      <c r="FB3443" s="501"/>
      <c r="FC3443" s="501"/>
      <c r="FD3443" s="501"/>
      <c r="FE3443" s="501"/>
      <c r="FF3443" s="501"/>
      <c r="FG3443" s="501"/>
      <c r="FH3443" s="501"/>
      <c r="FI3443" s="501"/>
      <c r="FJ3443" s="501"/>
      <c r="FK3443" s="501"/>
      <c r="FL3443" s="501"/>
      <c r="FM3443" s="501"/>
      <c r="FN3443" s="501"/>
      <c r="FO3443" s="501"/>
      <c r="FP3443" s="501"/>
      <c r="FQ3443" s="501"/>
      <c r="FR3443" s="501"/>
      <c r="FS3443" s="501"/>
      <c r="FT3443" s="501"/>
      <c r="FU3443" s="501"/>
      <c r="FV3443" s="501"/>
      <c r="FW3443" s="501"/>
      <c r="FX3443" s="501"/>
      <c r="FY3443" s="501"/>
      <c r="FZ3443" s="501"/>
      <c r="GA3443" s="501"/>
      <c r="GB3443" s="501"/>
      <c r="GC3443" s="501"/>
      <c r="GD3443" s="501"/>
      <c r="GE3443" s="501"/>
      <c r="GF3443" s="501"/>
      <c r="GG3443" s="501"/>
      <c r="GH3443" s="501"/>
      <c r="GI3443" s="501"/>
      <c r="GJ3443" s="501"/>
      <c r="GK3443" s="501"/>
      <c r="GL3443" s="501"/>
      <c r="GM3443" s="501"/>
      <c r="GN3443" s="501"/>
      <c r="GO3443" s="501"/>
      <c r="GP3443" s="501"/>
      <c r="GQ3443" s="501"/>
      <c r="GR3443" s="501"/>
      <c r="GS3443" s="501"/>
      <c r="GT3443" s="501"/>
      <c r="GU3443" s="501"/>
      <c r="GV3443" s="501"/>
      <c r="GW3443" s="501"/>
      <c r="GX3443" s="501"/>
      <c r="GY3443" s="501"/>
      <c r="GZ3443" s="501"/>
      <c r="HA3443" s="501"/>
      <c r="HB3443" s="501"/>
      <c r="HC3443" s="501"/>
      <c r="HD3443" s="501"/>
      <c r="HE3443" s="501"/>
      <c r="HF3443" s="501"/>
      <c r="HG3443" s="501"/>
      <c r="HH3443" s="501"/>
      <c r="HI3443" s="501"/>
      <c r="HJ3443" s="501"/>
      <c r="HK3443" s="501"/>
      <c r="HL3443" s="501"/>
      <c r="HM3443" s="501"/>
      <c r="HN3443" s="501"/>
      <c r="HO3443" s="501"/>
      <c r="HP3443" s="501"/>
      <c r="HQ3443" s="501"/>
      <c r="HR3443" s="501"/>
      <c r="HS3443" s="501"/>
      <c r="HT3443" s="501"/>
      <c r="HU3443" s="501"/>
      <c r="HV3443" s="501"/>
      <c r="HW3443" s="501"/>
      <c r="HX3443" s="501"/>
      <c r="HY3443" s="501"/>
      <c r="HZ3443" s="501"/>
      <c r="IA3443" s="501"/>
      <c r="IB3443" s="501"/>
      <c r="IC3443" s="501"/>
      <c r="ID3443" s="501"/>
      <c r="IE3443" s="501"/>
      <c r="IF3443" s="501"/>
      <c r="IG3443" s="501"/>
      <c r="IH3443" s="501"/>
      <c r="II3443" s="501"/>
      <c r="IJ3443" s="501"/>
      <c r="IK3443" s="501"/>
      <c r="IL3443" s="501"/>
      <c r="IM3443" s="501"/>
      <c r="IN3443" s="501"/>
      <c r="IO3443" s="501"/>
      <c r="IP3443" s="501"/>
      <c r="IQ3443" s="501"/>
      <c r="IR3443" s="501"/>
      <c r="IS3443" s="501"/>
      <c r="IT3443" s="501"/>
      <c r="IU3443" s="501"/>
    </row>
    <row r="3444" spans="1:255" s="877" customFormat="1" ht="24" customHeight="1">
      <c r="A3444" s="501"/>
      <c r="B3444" s="501"/>
      <c r="C3444" s="501"/>
      <c r="D3444" s="501"/>
      <c r="E3444" s="501"/>
      <c r="F3444" s="920"/>
      <c r="G3444" s="921"/>
      <c r="H3444" s="920"/>
      <c r="I3444" s="876"/>
      <c r="J3444" s="876"/>
      <c r="K3444" s="501"/>
      <c r="L3444" s="878"/>
      <c r="M3444" s="554"/>
      <c r="N3444" s="501"/>
      <c r="O3444" s="1097"/>
      <c r="P3444" s="1151"/>
      <c r="Q3444" s="973"/>
      <c r="R3444" s="1097"/>
      <c r="S3444" s="1101"/>
      <c r="T3444" s="968"/>
      <c r="V3444" s="501"/>
      <c r="W3444" s="501"/>
      <c r="X3444" s="501"/>
      <c r="Y3444" s="501"/>
      <c r="Z3444" s="501"/>
      <c r="AA3444" s="501"/>
      <c r="AB3444" s="501"/>
      <c r="AC3444" s="501"/>
      <c r="AD3444" s="501"/>
      <c r="AE3444" s="501"/>
      <c r="AF3444" s="501"/>
      <c r="AG3444" s="501"/>
      <c r="AH3444" s="501"/>
      <c r="AI3444" s="501"/>
      <c r="AJ3444" s="501"/>
      <c r="AK3444" s="501"/>
      <c r="AL3444" s="501"/>
      <c r="AM3444" s="501"/>
      <c r="AN3444" s="501"/>
      <c r="AO3444" s="501"/>
      <c r="AP3444" s="501"/>
      <c r="AQ3444" s="501"/>
      <c r="AR3444" s="501"/>
      <c r="AS3444" s="501"/>
      <c r="AT3444" s="501"/>
      <c r="AU3444" s="501"/>
      <c r="AV3444" s="501"/>
      <c r="AW3444" s="501"/>
      <c r="AX3444" s="501"/>
      <c r="AY3444" s="501"/>
      <c r="AZ3444" s="501"/>
      <c r="BA3444" s="501"/>
      <c r="BB3444" s="501"/>
      <c r="BC3444" s="501"/>
      <c r="BD3444" s="501"/>
      <c r="BE3444" s="501"/>
      <c r="BF3444" s="501"/>
      <c r="BG3444" s="501"/>
      <c r="BH3444" s="501"/>
      <c r="BI3444" s="501"/>
      <c r="BJ3444" s="501"/>
      <c r="BK3444" s="501"/>
      <c r="BL3444" s="501"/>
      <c r="BM3444" s="501"/>
      <c r="BN3444" s="501"/>
      <c r="BO3444" s="501"/>
      <c r="BP3444" s="501"/>
      <c r="BQ3444" s="501"/>
      <c r="BR3444" s="501"/>
      <c r="BS3444" s="501"/>
      <c r="BT3444" s="501"/>
      <c r="BU3444" s="501"/>
      <c r="BV3444" s="501"/>
      <c r="BW3444" s="501"/>
      <c r="BX3444" s="501"/>
      <c r="BY3444" s="501"/>
      <c r="BZ3444" s="501"/>
      <c r="CA3444" s="501"/>
      <c r="CB3444" s="501"/>
      <c r="CC3444" s="501"/>
      <c r="CD3444" s="501"/>
      <c r="CE3444" s="501"/>
      <c r="CF3444" s="501"/>
      <c r="CG3444" s="501"/>
      <c r="CH3444" s="501"/>
      <c r="CI3444" s="501"/>
      <c r="CJ3444" s="501"/>
      <c r="CK3444" s="501"/>
      <c r="CL3444" s="501"/>
      <c r="CM3444" s="501"/>
      <c r="CN3444" s="501"/>
      <c r="CO3444" s="501"/>
      <c r="CP3444" s="501"/>
      <c r="CQ3444" s="501"/>
      <c r="CR3444" s="501"/>
      <c r="CS3444" s="501"/>
      <c r="CT3444" s="501"/>
      <c r="CU3444" s="501"/>
      <c r="CV3444" s="501"/>
      <c r="CW3444" s="501"/>
      <c r="CX3444" s="501"/>
      <c r="CY3444" s="501"/>
      <c r="CZ3444" s="501"/>
      <c r="DA3444" s="501"/>
      <c r="DB3444" s="501"/>
      <c r="DC3444" s="501"/>
      <c r="DD3444" s="501"/>
      <c r="DE3444" s="501"/>
      <c r="DF3444" s="501"/>
      <c r="DG3444" s="501"/>
      <c r="DH3444" s="501"/>
      <c r="DI3444" s="501"/>
      <c r="DJ3444" s="501"/>
      <c r="DK3444" s="501"/>
      <c r="DL3444" s="501"/>
      <c r="DM3444" s="501"/>
      <c r="DN3444" s="501"/>
      <c r="DO3444" s="501"/>
      <c r="DP3444" s="501"/>
      <c r="DQ3444" s="501"/>
      <c r="DR3444" s="501"/>
      <c r="DS3444" s="501"/>
      <c r="DT3444" s="501"/>
      <c r="DU3444" s="501"/>
      <c r="DV3444" s="501"/>
      <c r="DW3444" s="501"/>
      <c r="DX3444" s="501"/>
      <c r="DY3444" s="501"/>
      <c r="DZ3444" s="501"/>
      <c r="EA3444" s="501"/>
      <c r="EB3444" s="501"/>
      <c r="EC3444" s="501"/>
      <c r="ED3444" s="501"/>
      <c r="EE3444" s="501"/>
      <c r="EF3444" s="501"/>
      <c r="EG3444" s="501"/>
      <c r="EH3444" s="501"/>
      <c r="EI3444" s="501"/>
      <c r="EJ3444" s="501"/>
      <c r="EK3444" s="501"/>
      <c r="EL3444" s="501"/>
      <c r="EM3444" s="501"/>
      <c r="EN3444" s="501"/>
      <c r="EO3444" s="501"/>
      <c r="EP3444" s="501"/>
      <c r="EQ3444" s="501"/>
      <c r="ER3444" s="501"/>
      <c r="ES3444" s="501"/>
      <c r="ET3444" s="501"/>
      <c r="EU3444" s="501"/>
      <c r="EV3444" s="501"/>
      <c r="EW3444" s="501"/>
      <c r="EX3444" s="501"/>
      <c r="EY3444" s="501"/>
      <c r="EZ3444" s="501"/>
      <c r="FA3444" s="501"/>
      <c r="FB3444" s="501"/>
      <c r="FC3444" s="501"/>
      <c r="FD3444" s="501"/>
      <c r="FE3444" s="501"/>
      <c r="FF3444" s="501"/>
      <c r="FG3444" s="501"/>
      <c r="FH3444" s="501"/>
      <c r="FI3444" s="501"/>
      <c r="FJ3444" s="501"/>
      <c r="FK3444" s="501"/>
      <c r="FL3444" s="501"/>
      <c r="FM3444" s="501"/>
      <c r="FN3444" s="501"/>
      <c r="FO3444" s="501"/>
      <c r="FP3444" s="501"/>
      <c r="FQ3444" s="501"/>
      <c r="FR3444" s="501"/>
      <c r="FS3444" s="501"/>
      <c r="FT3444" s="501"/>
      <c r="FU3444" s="501"/>
      <c r="FV3444" s="501"/>
      <c r="FW3444" s="501"/>
      <c r="FX3444" s="501"/>
      <c r="FY3444" s="501"/>
      <c r="FZ3444" s="501"/>
      <c r="GA3444" s="501"/>
      <c r="GB3444" s="501"/>
      <c r="GC3444" s="501"/>
      <c r="GD3444" s="501"/>
      <c r="GE3444" s="501"/>
      <c r="GF3444" s="501"/>
      <c r="GG3444" s="501"/>
      <c r="GH3444" s="501"/>
      <c r="GI3444" s="501"/>
      <c r="GJ3444" s="501"/>
      <c r="GK3444" s="501"/>
      <c r="GL3444" s="501"/>
      <c r="GM3444" s="501"/>
      <c r="GN3444" s="501"/>
      <c r="GO3444" s="501"/>
      <c r="GP3444" s="501"/>
      <c r="GQ3444" s="501"/>
      <c r="GR3444" s="501"/>
      <c r="GS3444" s="501"/>
      <c r="GT3444" s="501"/>
      <c r="GU3444" s="501"/>
      <c r="GV3444" s="501"/>
      <c r="GW3444" s="501"/>
      <c r="GX3444" s="501"/>
      <c r="GY3444" s="501"/>
      <c r="GZ3444" s="501"/>
      <c r="HA3444" s="501"/>
      <c r="HB3444" s="501"/>
      <c r="HC3444" s="501"/>
      <c r="HD3444" s="501"/>
      <c r="HE3444" s="501"/>
      <c r="HF3444" s="501"/>
      <c r="HG3444" s="501"/>
      <c r="HH3444" s="501"/>
      <c r="HI3444" s="501"/>
      <c r="HJ3444" s="501"/>
      <c r="HK3444" s="501"/>
      <c r="HL3444" s="501"/>
      <c r="HM3444" s="501"/>
      <c r="HN3444" s="501"/>
      <c r="HO3444" s="501"/>
      <c r="HP3444" s="501"/>
      <c r="HQ3444" s="501"/>
      <c r="HR3444" s="501"/>
      <c r="HS3444" s="501"/>
      <c r="HT3444" s="501"/>
      <c r="HU3444" s="501"/>
      <c r="HV3444" s="501"/>
      <c r="HW3444" s="501"/>
      <c r="HX3444" s="501"/>
      <c r="HY3444" s="501"/>
      <c r="HZ3444" s="501"/>
      <c r="IA3444" s="501"/>
      <c r="IB3444" s="501"/>
      <c r="IC3444" s="501"/>
      <c r="ID3444" s="501"/>
      <c r="IE3444" s="501"/>
      <c r="IF3444" s="501"/>
      <c r="IG3444" s="501"/>
      <c r="IH3444" s="501"/>
      <c r="II3444" s="501"/>
      <c r="IJ3444" s="501"/>
      <c r="IK3444" s="501"/>
      <c r="IL3444" s="501"/>
      <c r="IM3444" s="501"/>
      <c r="IN3444" s="501"/>
      <c r="IO3444" s="501"/>
      <c r="IP3444" s="501"/>
      <c r="IQ3444" s="501"/>
      <c r="IR3444" s="501"/>
      <c r="IS3444" s="501"/>
      <c r="IT3444" s="501"/>
      <c r="IU3444" s="501"/>
    </row>
    <row r="3445" spans="1:255" s="877" customFormat="1" ht="24" customHeight="1">
      <c r="A3445" s="501"/>
      <c r="B3445" s="501"/>
      <c r="C3445" s="501"/>
      <c r="D3445" s="501"/>
      <c r="E3445" s="501"/>
      <c r="F3445" s="501"/>
      <c r="G3445" s="915"/>
      <c r="H3445" s="501"/>
      <c r="I3445" s="874"/>
      <c r="J3445" s="876"/>
      <c r="K3445" s="501"/>
      <c r="L3445" s="878"/>
      <c r="M3445" s="554"/>
      <c r="N3445" s="501"/>
      <c r="O3445" s="1097"/>
      <c r="P3445" s="1151"/>
      <c r="Q3445" s="1097"/>
      <c r="R3445" s="1097"/>
      <c r="S3445" s="1101"/>
      <c r="T3445" s="1106"/>
      <c r="V3445" s="501"/>
      <c r="W3445" s="501"/>
      <c r="X3445" s="501"/>
      <c r="Y3445" s="501"/>
      <c r="Z3445" s="501"/>
      <c r="AA3445" s="501"/>
      <c r="AB3445" s="501"/>
      <c r="AC3445" s="501"/>
      <c r="AD3445" s="501"/>
      <c r="AE3445" s="501"/>
      <c r="AF3445" s="501"/>
      <c r="AG3445" s="501"/>
      <c r="AH3445" s="501"/>
      <c r="AI3445" s="501"/>
      <c r="AJ3445" s="501"/>
      <c r="AK3445" s="501"/>
      <c r="AL3445" s="501"/>
      <c r="AM3445" s="501"/>
      <c r="AN3445" s="501"/>
      <c r="AO3445" s="501"/>
      <c r="AP3445" s="501"/>
      <c r="AQ3445" s="501"/>
      <c r="AR3445" s="501"/>
      <c r="AS3445" s="501"/>
      <c r="AT3445" s="501"/>
      <c r="AU3445" s="501"/>
      <c r="AV3445" s="501"/>
      <c r="AW3445" s="501"/>
      <c r="AX3445" s="501"/>
      <c r="AY3445" s="501"/>
      <c r="AZ3445" s="501"/>
      <c r="BA3445" s="501"/>
      <c r="BB3445" s="501"/>
      <c r="BC3445" s="501"/>
      <c r="BD3445" s="501"/>
      <c r="BE3445" s="501"/>
      <c r="BF3445" s="501"/>
      <c r="BG3445" s="501"/>
      <c r="BH3445" s="501"/>
      <c r="BI3445" s="501"/>
      <c r="BJ3445" s="501"/>
      <c r="BK3445" s="501"/>
      <c r="BL3445" s="501"/>
      <c r="BM3445" s="501"/>
      <c r="BN3445" s="501"/>
      <c r="BO3445" s="501"/>
      <c r="BP3445" s="501"/>
      <c r="BQ3445" s="501"/>
      <c r="BR3445" s="501"/>
      <c r="BS3445" s="501"/>
      <c r="BT3445" s="501"/>
      <c r="BU3445" s="501"/>
      <c r="BV3445" s="501"/>
      <c r="BW3445" s="501"/>
      <c r="BX3445" s="501"/>
      <c r="BY3445" s="501"/>
      <c r="BZ3445" s="501"/>
      <c r="CA3445" s="501"/>
      <c r="CB3445" s="501"/>
      <c r="CC3445" s="501"/>
      <c r="CD3445" s="501"/>
      <c r="CE3445" s="501"/>
      <c r="CF3445" s="501"/>
      <c r="CG3445" s="501"/>
      <c r="CH3445" s="501"/>
      <c r="CI3445" s="501"/>
      <c r="CJ3445" s="501"/>
      <c r="CK3445" s="501"/>
      <c r="CL3445" s="501"/>
      <c r="CM3445" s="501"/>
      <c r="CN3445" s="501"/>
      <c r="CO3445" s="501"/>
      <c r="CP3445" s="501"/>
      <c r="CQ3445" s="501"/>
      <c r="CR3445" s="501"/>
      <c r="CS3445" s="501"/>
      <c r="CT3445" s="501"/>
      <c r="CU3445" s="501"/>
      <c r="CV3445" s="501"/>
      <c r="CW3445" s="501"/>
      <c r="CX3445" s="501"/>
      <c r="CY3445" s="501"/>
      <c r="CZ3445" s="501"/>
      <c r="DA3445" s="501"/>
      <c r="DB3445" s="501"/>
      <c r="DC3445" s="501"/>
      <c r="DD3445" s="501"/>
      <c r="DE3445" s="501"/>
      <c r="DF3445" s="501"/>
      <c r="DG3445" s="501"/>
      <c r="DH3445" s="501"/>
      <c r="DI3445" s="501"/>
      <c r="DJ3445" s="501"/>
      <c r="DK3445" s="501"/>
      <c r="DL3445" s="501"/>
      <c r="DM3445" s="501"/>
      <c r="DN3445" s="501"/>
      <c r="DO3445" s="501"/>
      <c r="DP3445" s="501"/>
      <c r="DQ3445" s="501"/>
      <c r="DR3445" s="501"/>
      <c r="DS3445" s="501"/>
      <c r="DT3445" s="501"/>
      <c r="DU3445" s="501"/>
      <c r="DV3445" s="501"/>
      <c r="DW3445" s="501"/>
      <c r="DX3445" s="501"/>
      <c r="DY3445" s="501"/>
      <c r="DZ3445" s="501"/>
      <c r="EA3445" s="501"/>
      <c r="EB3445" s="501"/>
      <c r="EC3445" s="501"/>
      <c r="ED3445" s="501"/>
      <c r="EE3445" s="501"/>
      <c r="EF3445" s="501"/>
      <c r="EG3445" s="501"/>
      <c r="EH3445" s="501"/>
      <c r="EI3445" s="501"/>
      <c r="EJ3445" s="501"/>
      <c r="EK3445" s="501"/>
      <c r="EL3445" s="501"/>
      <c r="EM3445" s="501"/>
      <c r="EN3445" s="501"/>
      <c r="EO3445" s="501"/>
      <c r="EP3445" s="501"/>
      <c r="EQ3445" s="501"/>
      <c r="ER3445" s="501"/>
      <c r="ES3445" s="501"/>
      <c r="ET3445" s="501"/>
      <c r="EU3445" s="501"/>
      <c r="EV3445" s="501"/>
      <c r="EW3445" s="501"/>
      <c r="EX3445" s="501"/>
      <c r="EY3445" s="501"/>
      <c r="EZ3445" s="501"/>
      <c r="FA3445" s="501"/>
      <c r="FB3445" s="501"/>
      <c r="FC3445" s="501"/>
      <c r="FD3445" s="501"/>
      <c r="FE3445" s="501"/>
      <c r="FF3445" s="501"/>
      <c r="FG3445" s="501"/>
      <c r="FH3445" s="501"/>
      <c r="FI3445" s="501"/>
      <c r="FJ3445" s="501"/>
      <c r="FK3445" s="501"/>
      <c r="FL3445" s="501"/>
      <c r="FM3445" s="501"/>
      <c r="FN3445" s="501"/>
      <c r="FO3445" s="501"/>
      <c r="FP3445" s="501"/>
      <c r="FQ3445" s="501"/>
      <c r="FR3445" s="501"/>
      <c r="FS3445" s="501"/>
      <c r="FT3445" s="501"/>
      <c r="FU3445" s="501"/>
      <c r="FV3445" s="501"/>
      <c r="FW3445" s="501"/>
      <c r="FX3445" s="501"/>
      <c r="FY3445" s="501"/>
      <c r="FZ3445" s="501"/>
      <c r="GA3445" s="501"/>
      <c r="GB3445" s="501"/>
      <c r="GC3445" s="501"/>
      <c r="GD3445" s="501"/>
      <c r="GE3445" s="501"/>
      <c r="GF3445" s="501"/>
      <c r="GG3445" s="501"/>
      <c r="GH3445" s="501"/>
      <c r="GI3445" s="501"/>
      <c r="GJ3445" s="501"/>
      <c r="GK3445" s="501"/>
      <c r="GL3445" s="501"/>
      <c r="GM3445" s="501"/>
      <c r="GN3445" s="501"/>
      <c r="GO3445" s="501"/>
      <c r="GP3445" s="501"/>
      <c r="GQ3445" s="501"/>
      <c r="GR3445" s="501"/>
      <c r="GS3445" s="501"/>
      <c r="GT3445" s="501"/>
      <c r="GU3445" s="501"/>
      <c r="GV3445" s="501"/>
      <c r="GW3445" s="501"/>
      <c r="GX3445" s="501"/>
      <c r="GY3445" s="501"/>
      <c r="GZ3445" s="501"/>
      <c r="HA3445" s="501"/>
      <c r="HB3445" s="501"/>
      <c r="HC3445" s="501"/>
      <c r="HD3445" s="501"/>
      <c r="HE3445" s="501"/>
      <c r="HF3445" s="501"/>
      <c r="HG3445" s="501"/>
      <c r="HH3445" s="501"/>
      <c r="HI3445" s="501"/>
      <c r="HJ3445" s="501"/>
      <c r="HK3445" s="501"/>
      <c r="HL3445" s="501"/>
      <c r="HM3445" s="501"/>
      <c r="HN3445" s="501"/>
      <c r="HO3445" s="501"/>
      <c r="HP3445" s="501"/>
      <c r="HQ3445" s="501"/>
      <c r="HR3445" s="501"/>
      <c r="HS3445" s="501"/>
      <c r="HT3445" s="501"/>
      <c r="HU3445" s="501"/>
      <c r="HV3445" s="501"/>
      <c r="HW3445" s="501"/>
      <c r="HX3445" s="501"/>
      <c r="HY3445" s="501"/>
      <c r="HZ3445" s="501"/>
      <c r="IA3445" s="501"/>
      <c r="IB3445" s="501"/>
      <c r="IC3445" s="501"/>
      <c r="ID3445" s="501"/>
      <c r="IE3445" s="501"/>
      <c r="IF3445" s="501"/>
      <c r="IG3445" s="501"/>
      <c r="IH3445" s="501"/>
      <c r="II3445" s="501"/>
      <c r="IJ3445" s="501"/>
      <c r="IK3445" s="501"/>
      <c r="IL3445" s="501"/>
      <c r="IM3445" s="501"/>
      <c r="IN3445" s="501"/>
      <c r="IO3445" s="501"/>
      <c r="IP3445" s="501"/>
      <c r="IQ3445" s="501"/>
      <c r="IR3445" s="501"/>
      <c r="IS3445" s="501"/>
      <c r="IT3445" s="501"/>
      <c r="IU3445" s="501"/>
    </row>
    <row r="3446" spans="1:255" s="877" customFormat="1" ht="24" customHeight="1">
      <c r="A3446" s="501"/>
      <c r="B3446" s="501"/>
      <c r="C3446" s="501"/>
      <c r="D3446" s="501"/>
      <c r="E3446" s="501"/>
      <c r="F3446" s="501"/>
      <c r="G3446" s="915"/>
      <c r="H3446" s="501"/>
      <c r="I3446" s="874"/>
      <c r="J3446" s="876"/>
      <c r="K3446" s="501"/>
      <c r="L3446" s="878"/>
      <c r="M3446" s="554"/>
      <c r="N3446" s="501"/>
      <c r="O3446" s="1097"/>
      <c r="P3446" s="1151"/>
      <c r="Q3446" s="1112"/>
      <c r="R3446" s="1097"/>
      <c r="S3446" s="1103"/>
      <c r="T3446" s="1193"/>
      <c r="V3446" s="501"/>
      <c r="W3446" s="501"/>
      <c r="X3446" s="501"/>
      <c r="Y3446" s="501"/>
      <c r="Z3446" s="501"/>
      <c r="AA3446" s="501"/>
      <c r="AB3446" s="501"/>
      <c r="AC3446" s="501"/>
      <c r="AD3446" s="501"/>
      <c r="AE3446" s="501"/>
      <c r="AF3446" s="501"/>
      <c r="AG3446" s="501"/>
      <c r="AH3446" s="501"/>
      <c r="AI3446" s="501"/>
      <c r="AJ3446" s="501"/>
      <c r="AK3446" s="501"/>
      <c r="AL3446" s="501"/>
      <c r="AM3446" s="501"/>
      <c r="AN3446" s="501"/>
      <c r="AO3446" s="501"/>
      <c r="AP3446" s="501"/>
      <c r="AQ3446" s="501"/>
      <c r="AR3446" s="501"/>
      <c r="AS3446" s="501"/>
      <c r="AT3446" s="501"/>
      <c r="AU3446" s="501"/>
      <c r="AV3446" s="501"/>
      <c r="AW3446" s="501"/>
      <c r="AX3446" s="501"/>
      <c r="AY3446" s="501"/>
      <c r="AZ3446" s="501"/>
      <c r="BA3446" s="501"/>
      <c r="BB3446" s="501"/>
      <c r="BC3446" s="501"/>
      <c r="BD3446" s="501"/>
      <c r="BE3446" s="501"/>
      <c r="BF3446" s="501"/>
      <c r="BG3446" s="501"/>
      <c r="BH3446" s="501"/>
      <c r="BI3446" s="501"/>
      <c r="BJ3446" s="501"/>
      <c r="BK3446" s="501"/>
      <c r="BL3446" s="501"/>
      <c r="BM3446" s="501"/>
      <c r="BN3446" s="501"/>
      <c r="BO3446" s="501"/>
      <c r="BP3446" s="501"/>
      <c r="BQ3446" s="501"/>
      <c r="BR3446" s="501"/>
      <c r="BS3446" s="501"/>
      <c r="BT3446" s="501"/>
      <c r="BU3446" s="501"/>
      <c r="BV3446" s="501"/>
      <c r="BW3446" s="501"/>
      <c r="BX3446" s="501"/>
      <c r="BY3446" s="501"/>
      <c r="BZ3446" s="501"/>
      <c r="CA3446" s="501"/>
      <c r="CB3446" s="501"/>
      <c r="CC3446" s="501"/>
      <c r="CD3446" s="501"/>
      <c r="CE3446" s="501"/>
      <c r="CF3446" s="501"/>
      <c r="CG3446" s="501"/>
      <c r="CH3446" s="501"/>
      <c r="CI3446" s="501"/>
      <c r="CJ3446" s="501"/>
      <c r="CK3446" s="501"/>
      <c r="CL3446" s="501"/>
      <c r="CM3446" s="501"/>
      <c r="CN3446" s="501"/>
      <c r="CO3446" s="501"/>
      <c r="CP3446" s="501"/>
      <c r="CQ3446" s="501"/>
      <c r="CR3446" s="501"/>
      <c r="CS3446" s="501"/>
      <c r="CT3446" s="501"/>
      <c r="CU3446" s="501"/>
      <c r="CV3446" s="501"/>
      <c r="CW3446" s="501"/>
      <c r="CX3446" s="501"/>
      <c r="CY3446" s="501"/>
      <c r="CZ3446" s="501"/>
      <c r="DA3446" s="501"/>
      <c r="DB3446" s="501"/>
      <c r="DC3446" s="501"/>
      <c r="DD3446" s="501"/>
      <c r="DE3446" s="501"/>
      <c r="DF3446" s="501"/>
      <c r="DG3446" s="501"/>
      <c r="DH3446" s="501"/>
      <c r="DI3446" s="501"/>
      <c r="DJ3446" s="501"/>
      <c r="DK3446" s="501"/>
      <c r="DL3446" s="501"/>
      <c r="DM3446" s="501"/>
      <c r="DN3446" s="501"/>
      <c r="DO3446" s="501"/>
      <c r="DP3446" s="501"/>
      <c r="DQ3446" s="501"/>
      <c r="DR3446" s="501"/>
      <c r="DS3446" s="501"/>
      <c r="DT3446" s="501"/>
      <c r="DU3446" s="501"/>
      <c r="DV3446" s="501"/>
      <c r="DW3446" s="501"/>
      <c r="DX3446" s="501"/>
      <c r="DY3446" s="501"/>
      <c r="DZ3446" s="501"/>
      <c r="EA3446" s="501"/>
      <c r="EB3446" s="501"/>
      <c r="EC3446" s="501"/>
      <c r="ED3446" s="501"/>
      <c r="EE3446" s="501"/>
      <c r="EF3446" s="501"/>
      <c r="EG3446" s="501"/>
      <c r="EH3446" s="501"/>
      <c r="EI3446" s="501"/>
      <c r="EJ3446" s="501"/>
      <c r="EK3446" s="501"/>
      <c r="EL3446" s="501"/>
      <c r="EM3446" s="501"/>
      <c r="EN3446" s="501"/>
      <c r="EO3446" s="501"/>
      <c r="EP3446" s="501"/>
      <c r="EQ3446" s="501"/>
      <c r="ER3446" s="501"/>
      <c r="ES3446" s="501"/>
      <c r="ET3446" s="501"/>
      <c r="EU3446" s="501"/>
      <c r="EV3446" s="501"/>
      <c r="EW3446" s="501"/>
      <c r="EX3446" s="501"/>
      <c r="EY3446" s="501"/>
      <c r="EZ3446" s="501"/>
      <c r="FA3446" s="501"/>
      <c r="FB3446" s="501"/>
      <c r="FC3446" s="501"/>
      <c r="FD3446" s="501"/>
      <c r="FE3446" s="501"/>
      <c r="FF3446" s="501"/>
      <c r="FG3446" s="501"/>
      <c r="FH3446" s="501"/>
      <c r="FI3446" s="501"/>
      <c r="FJ3446" s="501"/>
      <c r="FK3446" s="501"/>
      <c r="FL3446" s="501"/>
      <c r="FM3446" s="501"/>
      <c r="FN3446" s="501"/>
      <c r="FO3446" s="501"/>
      <c r="FP3446" s="501"/>
      <c r="FQ3446" s="501"/>
      <c r="FR3446" s="501"/>
      <c r="FS3446" s="501"/>
      <c r="FT3446" s="501"/>
      <c r="FU3446" s="501"/>
      <c r="FV3446" s="501"/>
      <c r="FW3446" s="501"/>
      <c r="FX3446" s="501"/>
      <c r="FY3446" s="501"/>
      <c r="FZ3446" s="501"/>
      <c r="GA3446" s="501"/>
      <c r="GB3446" s="501"/>
      <c r="GC3446" s="501"/>
      <c r="GD3446" s="501"/>
      <c r="GE3446" s="501"/>
      <c r="GF3446" s="501"/>
      <c r="GG3446" s="501"/>
      <c r="GH3446" s="501"/>
      <c r="GI3446" s="501"/>
      <c r="GJ3446" s="501"/>
      <c r="GK3446" s="501"/>
      <c r="GL3446" s="501"/>
      <c r="GM3446" s="501"/>
      <c r="GN3446" s="501"/>
      <c r="GO3446" s="501"/>
      <c r="GP3446" s="501"/>
      <c r="GQ3446" s="501"/>
      <c r="GR3446" s="501"/>
      <c r="GS3446" s="501"/>
      <c r="GT3446" s="501"/>
      <c r="GU3446" s="501"/>
      <c r="GV3446" s="501"/>
      <c r="GW3446" s="501"/>
      <c r="GX3446" s="501"/>
      <c r="GY3446" s="501"/>
      <c r="GZ3446" s="501"/>
      <c r="HA3446" s="501"/>
      <c r="HB3446" s="501"/>
      <c r="HC3446" s="501"/>
      <c r="HD3446" s="501"/>
      <c r="HE3446" s="501"/>
      <c r="HF3446" s="501"/>
      <c r="HG3446" s="501"/>
      <c r="HH3446" s="501"/>
      <c r="HI3446" s="501"/>
      <c r="HJ3446" s="501"/>
      <c r="HK3446" s="501"/>
      <c r="HL3446" s="501"/>
      <c r="HM3446" s="501"/>
      <c r="HN3446" s="501"/>
      <c r="HO3446" s="501"/>
      <c r="HP3446" s="501"/>
      <c r="HQ3446" s="501"/>
      <c r="HR3446" s="501"/>
      <c r="HS3446" s="501"/>
      <c r="HT3446" s="501"/>
      <c r="HU3446" s="501"/>
      <c r="HV3446" s="501"/>
      <c r="HW3446" s="501"/>
      <c r="HX3446" s="501"/>
      <c r="HY3446" s="501"/>
      <c r="HZ3446" s="501"/>
      <c r="IA3446" s="501"/>
      <c r="IB3446" s="501"/>
      <c r="IC3446" s="501"/>
      <c r="ID3446" s="501"/>
      <c r="IE3446" s="501"/>
      <c r="IF3446" s="501"/>
      <c r="IG3446" s="501"/>
      <c r="IH3446" s="501"/>
      <c r="II3446" s="501"/>
      <c r="IJ3446" s="501"/>
      <c r="IK3446" s="501"/>
      <c r="IL3446" s="501"/>
      <c r="IM3446" s="501"/>
      <c r="IN3446" s="501"/>
      <c r="IO3446" s="501"/>
      <c r="IP3446" s="501"/>
      <c r="IQ3446" s="501"/>
      <c r="IR3446" s="501"/>
      <c r="IS3446" s="501"/>
      <c r="IT3446" s="501"/>
      <c r="IU3446" s="501"/>
    </row>
    <row r="3447" spans="1:255" s="877" customFormat="1" ht="24" customHeight="1">
      <c r="A3447" s="501"/>
      <c r="B3447" s="501"/>
      <c r="C3447" s="501"/>
      <c r="D3447" s="501"/>
      <c r="E3447" s="501"/>
      <c r="F3447" s="501"/>
      <c r="G3447" s="915"/>
      <c r="H3447" s="501"/>
      <c r="I3447" s="874"/>
      <c r="J3447" s="881"/>
      <c r="K3447" s="881"/>
      <c r="L3447" s="878"/>
      <c r="M3447" s="882"/>
      <c r="N3447" s="501"/>
      <c r="O3447" s="501"/>
      <c r="P3447" s="501"/>
      <c r="Q3447" s="501"/>
      <c r="R3447" s="501"/>
      <c r="S3447" s="501"/>
      <c r="T3447" s="501"/>
      <c r="V3447" s="501"/>
      <c r="W3447" s="501"/>
      <c r="X3447" s="501"/>
      <c r="Y3447" s="501"/>
      <c r="Z3447" s="501"/>
      <c r="AA3447" s="501"/>
      <c r="AB3447" s="501"/>
      <c r="AC3447" s="501"/>
      <c r="AD3447" s="501"/>
      <c r="AE3447" s="501"/>
      <c r="AF3447" s="501"/>
      <c r="AG3447" s="501"/>
      <c r="AH3447" s="501"/>
      <c r="AI3447" s="501"/>
      <c r="AJ3447" s="501"/>
      <c r="AK3447" s="501"/>
      <c r="AL3447" s="501"/>
      <c r="AM3447" s="501"/>
      <c r="AN3447" s="501"/>
      <c r="AO3447" s="501"/>
      <c r="AP3447" s="501"/>
      <c r="AQ3447" s="501"/>
      <c r="AR3447" s="501"/>
      <c r="AS3447" s="501"/>
      <c r="AT3447" s="501"/>
      <c r="AU3447" s="501"/>
      <c r="AV3447" s="501"/>
      <c r="AW3447" s="501"/>
      <c r="AX3447" s="501"/>
      <c r="AY3447" s="501"/>
      <c r="AZ3447" s="501"/>
      <c r="BA3447" s="501"/>
      <c r="BB3447" s="501"/>
      <c r="BC3447" s="501"/>
      <c r="BD3447" s="501"/>
      <c r="BE3447" s="501"/>
      <c r="BF3447" s="501"/>
      <c r="BG3447" s="501"/>
      <c r="BH3447" s="501"/>
      <c r="BI3447" s="501"/>
      <c r="BJ3447" s="501"/>
      <c r="BK3447" s="501"/>
      <c r="BL3447" s="501"/>
      <c r="BM3447" s="501"/>
      <c r="BN3447" s="501"/>
      <c r="BO3447" s="501"/>
      <c r="BP3447" s="501"/>
      <c r="BQ3447" s="501"/>
      <c r="BR3447" s="501"/>
      <c r="BS3447" s="501"/>
      <c r="BT3447" s="501"/>
      <c r="BU3447" s="501"/>
      <c r="BV3447" s="501"/>
      <c r="BW3447" s="501"/>
      <c r="BX3447" s="501"/>
      <c r="BY3447" s="501"/>
      <c r="BZ3447" s="501"/>
      <c r="CA3447" s="501"/>
      <c r="CB3447" s="501"/>
      <c r="CC3447" s="501"/>
      <c r="CD3447" s="501"/>
      <c r="CE3447" s="501"/>
      <c r="CF3447" s="501"/>
      <c r="CG3447" s="501"/>
      <c r="CH3447" s="501"/>
      <c r="CI3447" s="501"/>
      <c r="CJ3447" s="501"/>
      <c r="CK3447" s="501"/>
      <c r="CL3447" s="501"/>
      <c r="CM3447" s="501"/>
      <c r="CN3447" s="501"/>
      <c r="CO3447" s="501"/>
      <c r="CP3447" s="501"/>
      <c r="CQ3447" s="501"/>
      <c r="CR3447" s="501"/>
      <c r="CS3447" s="501"/>
      <c r="CT3447" s="501"/>
      <c r="CU3447" s="501"/>
      <c r="CV3447" s="501"/>
      <c r="CW3447" s="501"/>
      <c r="CX3447" s="501"/>
      <c r="CY3447" s="501"/>
      <c r="CZ3447" s="501"/>
      <c r="DA3447" s="501"/>
      <c r="DB3447" s="501"/>
      <c r="DC3447" s="501"/>
      <c r="DD3447" s="501"/>
      <c r="DE3447" s="501"/>
      <c r="DF3447" s="501"/>
      <c r="DG3447" s="501"/>
      <c r="DH3447" s="501"/>
      <c r="DI3447" s="501"/>
      <c r="DJ3447" s="501"/>
      <c r="DK3447" s="501"/>
      <c r="DL3447" s="501"/>
      <c r="DM3447" s="501"/>
      <c r="DN3447" s="501"/>
      <c r="DO3447" s="501"/>
      <c r="DP3447" s="501"/>
      <c r="DQ3447" s="501"/>
      <c r="DR3447" s="501"/>
      <c r="DS3447" s="501"/>
      <c r="DT3447" s="501"/>
      <c r="DU3447" s="501"/>
      <c r="DV3447" s="501"/>
      <c r="DW3447" s="501"/>
      <c r="DX3447" s="501"/>
      <c r="DY3447" s="501"/>
      <c r="DZ3447" s="501"/>
      <c r="EA3447" s="501"/>
      <c r="EB3447" s="501"/>
      <c r="EC3447" s="501"/>
      <c r="ED3447" s="501"/>
      <c r="EE3447" s="501"/>
      <c r="EF3447" s="501"/>
      <c r="EG3447" s="501"/>
      <c r="EH3447" s="501"/>
      <c r="EI3447" s="501"/>
      <c r="EJ3447" s="501"/>
      <c r="EK3447" s="501"/>
      <c r="EL3447" s="501"/>
      <c r="EM3447" s="501"/>
      <c r="EN3447" s="501"/>
      <c r="EO3447" s="501"/>
      <c r="EP3447" s="501"/>
      <c r="EQ3447" s="501"/>
      <c r="ER3447" s="501"/>
      <c r="ES3447" s="501"/>
      <c r="ET3447" s="501"/>
      <c r="EU3447" s="501"/>
      <c r="EV3447" s="501"/>
      <c r="EW3447" s="501"/>
      <c r="EX3447" s="501"/>
      <c r="EY3447" s="501"/>
      <c r="EZ3447" s="501"/>
      <c r="FA3447" s="501"/>
      <c r="FB3447" s="501"/>
      <c r="FC3447" s="501"/>
      <c r="FD3447" s="501"/>
      <c r="FE3447" s="501"/>
      <c r="FF3447" s="501"/>
      <c r="FG3447" s="501"/>
      <c r="FH3447" s="501"/>
      <c r="FI3447" s="501"/>
      <c r="FJ3447" s="501"/>
      <c r="FK3447" s="501"/>
      <c r="FL3447" s="501"/>
      <c r="FM3447" s="501"/>
      <c r="FN3447" s="501"/>
      <c r="FO3447" s="501"/>
      <c r="FP3447" s="501"/>
      <c r="FQ3447" s="501"/>
      <c r="FR3447" s="501"/>
      <c r="FS3447" s="501"/>
      <c r="FT3447" s="501"/>
      <c r="FU3447" s="501"/>
      <c r="FV3447" s="501"/>
      <c r="FW3447" s="501"/>
      <c r="FX3447" s="501"/>
      <c r="FY3447" s="501"/>
      <c r="FZ3447" s="501"/>
      <c r="GA3447" s="501"/>
      <c r="GB3447" s="501"/>
      <c r="GC3447" s="501"/>
      <c r="GD3447" s="501"/>
      <c r="GE3447" s="501"/>
      <c r="GF3447" s="501"/>
      <c r="GG3447" s="501"/>
      <c r="GH3447" s="501"/>
      <c r="GI3447" s="501"/>
      <c r="GJ3447" s="501"/>
      <c r="GK3447" s="501"/>
      <c r="GL3447" s="501"/>
      <c r="GM3447" s="501"/>
      <c r="GN3447" s="501"/>
      <c r="GO3447" s="501"/>
      <c r="GP3447" s="501"/>
      <c r="GQ3447" s="501"/>
      <c r="GR3447" s="501"/>
      <c r="GS3447" s="501"/>
      <c r="GT3447" s="501"/>
      <c r="GU3447" s="501"/>
      <c r="GV3447" s="501"/>
      <c r="GW3447" s="501"/>
      <c r="GX3447" s="501"/>
      <c r="GY3447" s="501"/>
      <c r="GZ3447" s="501"/>
      <c r="HA3447" s="501"/>
      <c r="HB3447" s="501"/>
      <c r="HC3447" s="501"/>
      <c r="HD3447" s="501"/>
      <c r="HE3447" s="501"/>
      <c r="HF3447" s="501"/>
      <c r="HG3447" s="501"/>
      <c r="HH3447" s="501"/>
      <c r="HI3447" s="501"/>
      <c r="HJ3447" s="501"/>
      <c r="HK3447" s="501"/>
      <c r="HL3447" s="501"/>
      <c r="HM3447" s="501"/>
      <c r="HN3447" s="501"/>
      <c r="HO3447" s="501"/>
      <c r="HP3447" s="501"/>
      <c r="HQ3447" s="501"/>
      <c r="HR3447" s="501"/>
      <c r="HS3447" s="501"/>
      <c r="HT3447" s="501"/>
      <c r="HU3447" s="501"/>
      <c r="HV3447" s="501"/>
      <c r="HW3447" s="501"/>
      <c r="HX3447" s="501"/>
      <c r="HY3447" s="501"/>
      <c r="HZ3447" s="501"/>
      <c r="IA3447" s="501"/>
      <c r="IB3447" s="501"/>
      <c r="IC3447" s="501"/>
      <c r="ID3447" s="501"/>
      <c r="IE3447" s="501"/>
      <c r="IF3447" s="501"/>
      <c r="IG3447" s="501"/>
      <c r="IH3447" s="501"/>
      <c r="II3447" s="501"/>
      <c r="IJ3447" s="501"/>
      <c r="IK3447" s="501"/>
      <c r="IL3447" s="501"/>
      <c r="IM3447" s="501"/>
      <c r="IN3447" s="501"/>
      <c r="IO3447" s="501"/>
      <c r="IP3447" s="501"/>
      <c r="IQ3447" s="501"/>
      <c r="IR3447" s="501"/>
      <c r="IS3447" s="501"/>
      <c r="IT3447" s="501"/>
      <c r="IU3447" s="501"/>
    </row>
    <row r="3448" spans="1:255" s="877" customFormat="1" ht="24" customHeight="1">
      <c r="A3448" s="501"/>
      <c r="B3448" s="501"/>
      <c r="C3448" s="501"/>
      <c r="D3448" s="501"/>
      <c r="E3448" s="501"/>
      <c r="F3448" s="545"/>
      <c r="G3448" s="889"/>
      <c r="H3448" s="545"/>
      <c r="I3448" s="876"/>
      <c r="J3448" s="875"/>
      <c r="K3448" s="883"/>
      <c r="L3448" s="880"/>
      <c r="M3448" s="882"/>
      <c r="N3448" s="501"/>
      <c r="O3448" s="501"/>
      <c r="P3448" s="501"/>
      <c r="Q3448" s="501"/>
      <c r="R3448" s="501"/>
      <c r="S3448" s="501"/>
      <c r="T3448" s="501"/>
      <c r="V3448" s="501"/>
      <c r="W3448" s="501"/>
      <c r="X3448" s="501"/>
      <c r="Y3448" s="501"/>
      <c r="Z3448" s="501"/>
      <c r="AA3448" s="501"/>
      <c r="AB3448" s="501"/>
      <c r="AC3448" s="501"/>
      <c r="AD3448" s="501"/>
      <c r="AE3448" s="501"/>
      <c r="AF3448" s="501"/>
      <c r="AG3448" s="501"/>
      <c r="AH3448" s="501"/>
      <c r="AI3448" s="501"/>
      <c r="AJ3448" s="501"/>
      <c r="AK3448" s="501"/>
      <c r="AL3448" s="501"/>
      <c r="AM3448" s="501"/>
      <c r="AN3448" s="501"/>
      <c r="AO3448" s="501"/>
      <c r="AP3448" s="501"/>
      <c r="AQ3448" s="501"/>
      <c r="AR3448" s="501"/>
      <c r="AS3448" s="501"/>
      <c r="AT3448" s="501"/>
      <c r="AU3448" s="501"/>
      <c r="AV3448" s="501"/>
      <c r="AW3448" s="501"/>
      <c r="AX3448" s="501"/>
      <c r="AY3448" s="501"/>
      <c r="AZ3448" s="501"/>
      <c r="BA3448" s="501"/>
      <c r="BB3448" s="501"/>
      <c r="BC3448" s="501"/>
      <c r="BD3448" s="501"/>
      <c r="BE3448" s="501"/>
      <c r="BF3448" s="501"/>
      <c r="BG3448" s="501"/>
      <c r="BH3448" s="501"/>
      <c r="BI3448" s="501"/>
      <c r="BJ3448" s="501"/>
      <c r="BK3448" s="501"/>
      <c r="BL3448" s="501"/>
      <c r="BM3448" s="501"/>
      <c r="BN3448" s="501"/>
      <c r="BO3448" s="501"/>
      <c r="BP3448" s="501"/>
      <c r="BQ3448" s="501"/>
      <c r="BR3448" s="501"/>
      <c r="BS3448" s="501"/>
      <c r="BT3448" s="501"/>
      <c r="BU3448" s="501"/>
      <c r="BV3448" s="501"/>
      <c r="BW3448" s="501"/>
      <c r="BX3448" s="501"/>
      <c r="BY3448" s="501"/>
      <c r="BZ3448" s="501"/>
      <c r="CA3448" s="501"/>
      <c r="CB3448" s="501"/>
      <c r="CC3448" s="501"/>
      <c r="CD3448" s="501"/>
      <c r="CE3448" s="501"/>
      <c r="CF3448" s="501"/>
      <c r="CG3448" s="501"/>
      <c r="CH3448" s="501"/>
      <c r="CI3448" s="501"/>
      <c r="CJ3448" s="501"/>
      <c r="CK3448" s="501"/>
      <c r="CL3448" s="501"/>
      <c r="CM3448" s="501"/>
      <c r="CN3448" s="501"/>
      <c r="CO3448" s="501"/>
      <c r="CP3448" s="501"/>
      <c r="CQ3448" s="501"/>
      <c r="CR3448" s="501"/>
      <c r="CS3448" s="501"/>
      <c r="CT3448" s="501"/>
      <c r="CU3448" s="501"/>
      <c r="CV3448" s="501"/>
      <c r="CW3448" s="501"/>
      <c r="CX3448" s="501"/>
      <c r="CY3448" s="501"/>
      <c r="CZ3448" s="501"/>
      <c r="DA3448" s="501"/>
      <c r="DB3448" s="501"/>
      <c r="DC3448" s="501"/>
      <c r="DD3448" s="501"/>
      <c r="DE3448" s="501"/>
      <c r="DF3448" s="501"/>
      <c r="DG3448" s="501"/>
      <c r="DH3448" s="501"/>
      <c r="DI3448" s="501"/>
      <c r="DJ3448" s="501"/>
      <c r="DK3448" s="501"/>
      <c r="DL3448" s="501"/>
      <c r="DM3448" s="501"/>
      <c r="DN3448" s="501"/>
      <c r="DO3448" s="501"/>
      <c r="DP3448" s="501"/>
      <c r="DQ3448" s="501"/>
      <c r="DR3448" s="501"/>
      <c r="DS3448" s="501"/>
      <c r="DT3448" s="501"/>
      <c r="DU3448" s="501"/>
      <c r="DV3448" s="501"/>
      <c r="DW3448" s="501"/>
      <c r="DX3448" s="501"/>
      <c r="DY3448" s="501"/>
      <c r="DZ3448" s="501"/>
      <c r="EA3448" s="501"/>
      <c r="EB3448" s="501"/>
      <c r="EC3448" s="501"/>
      <c r="ED3448" s="501"/>
      <c r="EE3448" s="501"/>
      <c r="EF3448" s="501"/>
      <c r="EG3448" s="501"/>
      <c r="EH3448" s="501"/>
      <c r="EI3448" s="501"/>
      <c r="EJ3448" s="501"/>
      <c r="EK3448" s="501"/>
      <c r="EL3448" s="501"/>
      <c r="EM3448" s="501"/>
      <c r="EN3448" s="501"/>
      <c r="EO3448" s="501"/>
      <c r="EP3448" s="501"/>
      <c r="EQ3448" s="501"/>
      <c r="ER3448" s="501"/>
      <c r="ES3448" s="501"/>
      <c r="ET3448" s="501"/>
      <c r="EU3448" s="501"/>
      <c r="EV3448" s="501"/>
      <c r="EW3448" s="501"/>
      <c r="EX3448" s="501"/>
      <c r="EY3448" s="501"/>
      <c r="EZ3448" s="501"/>
      <c r="FA3448" s="501"/>
      <c r="FB3448" s="501"/>
      <c r="FC3448" s="501"/>
      <c r="FD3448" s="501"/>
      <c r="FE3448" s="501"/>
      <c r="FF3448" s="501"/>
      <c r="FG3448" s="501"/>
      <c r="FH3448" s="501"/>
      <c r="FI3448" s="501"/>
      <c r="FJ3448" s="501"/>
      <c r="FK3448" s="501"/>
      <c r="FL3448" s="501"/>
      <c r="FM3448" s="501"/>
      <c r="FN3448" s="501"/>
      <c r="FO3448" s="501"/>
      <c r="FP3448" s="501"/>
      <c r="FQ3448" s="501"/>
      <c r="FR3448" s="501"/>
      <c r="FS3448" s="501"/>
      <c r="FT3448" s="501"/>
      <c r="FU3448" s="501"/>
      <c r="FV3448" s="501"/>
      <c r="FW3448" s="501"/>
      <c r="FX3448" s="501"/>
      <c r="FY3448" s="501"/>
      <c r="FZ3448" s="501"/>
      <c r="GA3448" s="501"/>
      <c r="GB3448" s="501"/>
      <c r="GC3448" s="501"/>
      <c r="GD3448" s="501"/>
      <c r="GE3448" s="501"/>
      <c r="GF3448" s="501"/>
      <c r="GG3448" s="501"/>
      <c r="GH3448" s="501"/>
      <c r="GI3448" s="501"/>
      <c r="GJ3448" s="501"/>
      <c r="GK3448" s="501"/>
      <c r="GL3448" s="501"/>
      <c r="GM3448" s="501"/>
      <c r="GN3448" s="501"/>
      <c r="GO3448" s="501"/>
      <c r="GP3448" s="501"/>
      <c r="GQ3448" s="501"/>
      <c r="GR3448" s="501"/>
      <c r="GS3448" s="501"/>
      <c r="GT3448" s="501"/>
      <c r="GU3448" s="501"/>
      <c r="GV3448" s="501"/>
      <c r="GW3448" s="501"/>
      <c r="GX3448" s="501"/>
      <c r="GY3448" s="501"/>
      <c r="GZ3448" s="501"/>
      <c r="HA3448" s="501"/>
      <c r="HB3448" s="501"/>
      <c r="HC3448" s="501"/>
      <c r="HD3448" s="501"/>
      <c r="HE3448" s="501"/>
      <c r="HF3448" s="501"/>
      <c r="HG3448" s="501"/>
      <c r="HH3448" s="501"/>
      <c r="HI3448" s="501"/>
      <c r="HJ3448" s="501"/>
      <c r="HK3448" s="501"/>
      <c r="HL3448" s="501"/>
      <c r="HM3448" s="501"/>
      <c r="HN3448" s="501"/>
      <c r="HO3448" s="501"/>
      <c r="HP3448" s="501"/>
      <c r="HQ3448" s="501"/>
      <c r="HR3448" s="501"/>
      <c r="HS3448" s="501"/>
      <c r="HT3448" s="501"/>
      <c r="HU3448" s="501"/>
      <c r="HV3448" s="501"/>
      <c r="HW3448" s="501"/>
      <c r="HX3448" s="501"/>
      <c r="HY3448" s="501"/>
      <c r="HZ3448" s="501"/>
      <c r="IA3448" s="501"/>
      <c r="IB3448" s="501"/>
      <c r="IC3448" s="501"/>
      <c r="ID3448" s="501"/>
      <c r="IE3448" s="501"/>
      <c r="IF3448" s="501"/>
      <c r="IG3448" s="501"/>
      <c r="IH3448" s="501"/>
      <c r="II3448" s="501"/>
      <c r="IJ3448" s="501"/>
      <c r="IK3448" s="501"/>
      <c r="IL3448" s="501"/>
      <c r="IM3448" s="501"/>
      <c r="IN3448" s="501"/>
      <c r="IO3448" s="501"/>
      <c r="IP3448" s="501"/>
      <c r="IQ3448" s="501"/>
      <c r="IR3448" s="501"/>
      <c r="IS3448" s="501"/>
      <c r="IT3448" s="501"/>
      <c r="IU3448" s="501"/>
    </row>
    <row r="3449" spans="1:255" s="877" customFormat="1" ht="24" customHeight="1">
      <c r="A3449" s="501"/>
      <c r="B3449" s="501"/>
      <c r="C3449" s="501"/>
      <c r="D3449" s="501"/>
      <c r="E3449" s="501"/>
      <c r="F3449" s="545"/>
      <c r="G3449" s="889"/>
      <c r="H3449" s="545"/>
      <c r="I3449" s="876"/>
      <c r="J3449" s="876"/>
      <c r="K3449" s="545"/>
      <c r="L3449" s="880"/>
      <c r="M3449" s="882"/>
      <c r="N3449" s="501"/>
      <c r="O3449" s="501"/>
      <c r="P3449" s="501"/>
      <c r="Q3449" s="501"/>
      <c r="R3449" s="501"/>
      <c r="S3449" s="501"/>
      <c r="T3449" s="501"/>
      <c r="V3449" s="501"/>
      <c r="W3449" s="501"/>
      <c r="X3449" s="501"/>
      <c r="Y3449" s="501"/>
      <c r="Z3449" s="501"/>
      <c r="AA3449" s="501"/>
      <c r="AB3449" s="501"/>
      <c r="AC3449" s="501"/>
      <c r="AD3449" s="501"/>
      <c r="AE3449" s="501"/>
      <c r="AF3449" s="501"/>
      <c r="AG3449" s="501"/>
      <c r="AH3449" s="501"/>
      <c r="AI3449" s="501"/>
      <c r="AJ3449" s="501"/>
      <c r="AK3449" s="501"/>
      <c r="AL3449" s="501"/>
      <c r="AM3449" s="501"/>
      <c r="AN3449" s="501"/>
      <c r="AO3449" s="501"/>
      <c r="AP3449" s="501"/>
      <c r="AQ3449" s="501"/>
      <c r="AR3449" s="501"/>
      <c r="AS3449" s="501"/>
      <c r="AT3449" s="501"/>
      <c r="AU3449" s="501"/>
      <c r="AV3449" s="501"/>
      <c r="AW3449" s="501"/>
      <c r="AX3449" s="501"/>
      <c r="AY3449" s="501"/>
      <c r="AZ3449" s="501"/>
      <c r="BA3449" s="501"/>
      <c r="BB3449" s="501"/>
      <c r="BC3449" s="501"/>
      <c r="BD3449" s="501"/>
      <c r="BE3449" s="501"/>
      <c r="BF3449" s="501"/>
      <c r="BG3449" s="501"/>
      <c r="BH3449" s="501"/>
      <c r="BI3449" s="501"/>
      <c r="BJ3449" s="501"/>
      <c r="BK3449" s="501"/>
      <c r="BL3449" s="501"/>
      <c r="BM3449" s="501"/>
      <c r="BN3449" s="501"/>
      <c r="BO3449" s="501"/>
      <c r="BP3449" s="501"/>
      <c r="BQ3449" s="501"/>
      <c r="BR3449" s="501"/>
      <c r="BS3449" s="501"/>
      <c r="BT3449" s="501"/>
      <c r="BU3449" s="501"/>
      <c r="BV3449" s="501"/>
      <c r="BW3449" s="501"/>
      <c r="BX3449" s="501"/>
      <c r="BY3449" s="501"/>
      <c r="BZ3449" s="501"/>
      <c r="CA3449" s="501"/>
      <c r="CB3449" s="501"/>
      <c r="CC3449" s="501"/>
      <c r="CD3449" s="501"/>
      <c r="CE3449" s="501"/>
      <c r="CF3449" s="501"/>
      <c r="CG3449" s="501"/>
      <c r="CH3449" s="501"/>
      <c r="CI3449" s="501"/>
      <c r="CJ3449" s="501"/>
      <c r="CK3449" s="501"/>
      <c r="CL3449" s="501"/>
      <c r="CM3449" s="501"/>
      <c r="CN3449" s="501"/>
      <c r="CO3449" s="501"/>
      <c r="CP3449" s="501"/>
      <c r="CQ3449" s="501"/>
      <c r="CR3449" s="501"/>
      <c r="CS3449" s="501"/>
      <c r="CT3449" s="501"/>
      <c r="CU3449" s="501"/>
      <c r="CV3449" s="501"/>
      <c r="CW3449" s="501"/>
      <c r="CX3449" s="501"/>
      <c r="CY3449" s="501"/>
      <c r="CZ3449" s="501"/>
      <c r="DA3449" s="501"/>
      <c r="DB3449" s="501"/>
      <c r="DC3449" s="501"/>
      <c r="DD3449" s="501"/>
      <c r="DE3449" s="501"/>
      <c r="DF3449" s="501"/>
      <c r="DG3449" s="501"/>
      <c r="DH3449" s="501"/>
      <c r="DI3449" s="501"/>
      <c r="DJ3449" s="501"/>
      <c r="DK3449" s="501"/>
      <c r="DL3449" s="501"/>
      <c r="DM3449" s="501"/>
      <c r="DN3449" s="501"/>
      <c r="DO3449" s="501"/>
      <c r="DP3449" s="501"/>
      <c r="DQ3449" s="501"/>
      <c r="DR3449" s="501"/>
      <c r="DS3449" s="501"/>
      <c r="DT3449" s="501"/>
      <c r="DU3449" s="501"/>
      <c r="DV3449" s="501"/>
      <c r="DW3449" s="501"/>
      <c r="DX3449" s="501"/>
      <c r="DY3449" s="501"/>
      <c r="DZ3449" s="501"/>
      <c r="EA3449" s="501"/>
      <c r="EB3449" s="501"/>
      <c r="EC3449" s="501"/>
      <c r="ED3449" s="501"/>
      <c r="EE3449" s="501"/>
      <c r="EF3449" s="501"/>
      <c r="EG3449" s="501"/>
      <c r="EH3449" s="501"/>
      <c r="EI3449" s="501"/>
      <c r="EJ3449" s="501"/>
      <c r="EK3449" s="501"/>
      <c r="EL3449" s="501"/>
      <c r="EM3449" s="501"/>
      <c r="EN3449" s="501"/>
      <c r="EO3449" s="501"/>
      <c r="EP3449" s="501"/>
      <c r="EQ3449" s="501"/>
      <c r="ER3449" s="501"/>
      <c r="ES3449" s="501"/>
      <c r="ET3449" s="501"/>
      <c r="EU3449" s="501"/>
      <c r="EV3449" s="501"/>
      <c r="EW3449" s="501"/>
      <c r="EX3449" s="501"/>
      <c r="EY3449" s="501"/>
      <c r="EZ3449" s="501"/>
      <c r="FA3449" s="501"/>
      <c r="FB3449" s="501"/>
      <c r="FC3449" s="501"/>
      <c r="FD3449" s="501"/>
      <c r="FE3449" s="501"/>
      <c r="FF3449" s="501"/>
      <c r="FG3449" s="501"/>
      <c r="FH3449" s="501"/>
      <c r="FI3449" s="501"/>
      <c r="FJ3449" s="501"/>
      <c r="FK3449" s="501"/>
      <c r="FL3449" s="501"/>
      <c r="FM3449" s="501"/>
      <c r="FN3449" s="501"/>
      <c r="FO3449" s="501"/>
      <c r="FP3449" s="501"/>
      <c r="FQ3449" s="501"/>
      <c r="FR3449" s="501"/>
      <c r="FS3449" s="501"/>
      <c r="FT3449" s="501"/>
      <c r="FU3449" s="501"/>
      <c r="FV3449" s="501"/>
      <c r="FW3449" s="501"/>
      <c r="FX3449" s="501"/>
      <c r="FY3449" s="501"/>
      <c r="FZ3449" s="501"/>
      <c r="GA3449" s="501"/>
      <c r="GB3449" s="501"/>
      <c r="GC3449" s="501"/>
      <c r="GD3449" s="501"/>
      <c r="GE3449" s="501"/>
      <c r="GF3449" s="501"/>
      <c r="GG3449" s="501"/>
      <c r="GH3449" s="501"/>
      <c r="GI3449" s="501"/>
      <c r="GJ3449" s="501"/>
      <c r="GK3449" s="501"/>
      <c r="GL3449" s="501"/>
      <c r="GM3449" s="501"/>
      <c r="GN3449" s="501"/>
      <c r="GO3449" s="501"/>
      <c r="GP3449" s="501"/>
      <c r="GQ3449" s="501"/>
      <c r="GR3449" s="501"/>
      <c r="GS3449" s="501"/>
      <c r="GT3449" s="501"/>
      <c r="GU3449" s="501"/>
      <c r="GV3449" s="501"/>
      <c r="GW3449" s="501"/>
      <c r="GX3449" s="501"/>
      <c r="GY3449" s="501"/>
      <c r="GZ3449" s="501"/>
      <c r="HA3449" s="501"/>
      <c r="HB3449" s="501"/>
      <c r="HC3449" s="501"/>
      <c r="HD3449" s="501"/>
      <c r="HE3449" s="501"/>
      <c r="HF3449" s="501"/>
      <c r="HG3449" s="501"/>
      <c r="HH3449" s="501"/>
      <c r="HI3449" s="501"/>
      <c r="HJ3449" s="501"/>
      <c r="HK3449" s="501"/>
      <c r="HL3449" s="501"/>
      <c r="HM3449" s="501"/>
      <c r="HN3449" s="501"/>
      <c r="HO3449" s="501"/>
      <c r="HP3449" s="501"/>
      <c r="HQ3449" s="501"/>
      <c r="HR3449" s="501"/>
      <c r="HS3449" s="501"/>
      <c r="HT3449" s="501"/>
      <c r="HU3449" s="501"/>
      <c r="HV3449" s="501"/>
      <c r="HW3449" s="501"/>
      <c r="HX3449" s="501"/>
      <c r="HY3449" s="501"/>
      <c r="HZ3449" s="501"/>
      <c r="IA3449" s="501"/>
      <c r="IB3449" s="501"/>
      <c r="IC3449" s="501"/>
      <c r="ID3449" s="501"/>
      <c r="IE3449" s="501"/>
      <c r="IF3449" s="501"/>
      <c r="IG3449" s="501"/>
      <c r="IH3449" s="501"/>
      <c r="II3449" s="501"/>
      <c r="IJ3449" s="501"/>
      <c r="IK3449" s="501"/>
      <c r="IL3449" s="501"/>
      <c r="IM3449" s="501"/>
      <c r="IN3449" s="501"/>
      <c r="IO3449" s="501"/>
      <c r="IP3449" s="501"/>
      <c r="IQ3449" s="501"/>
      <c r="IR3449" s="501"/>
      <c r="IS3449" s="501"/>
      <c r="IT3449" s="501"/>
      <c r="IU3449" s="501"/>
    </row>
    <row r="3450" spans="1:255" s="877" customFormat="1" ht="24" customHeight="1">
      <c r="A3450" s="501"/>
      <c r="B3450" s="501"/>
      <c r="C3450" s="501"/>
      <c r="D3450" s="501"/>
      <c r="E3450" s="501"/>
      <c r="F3450" s="501"/>
      <c r="G3450" s="915"/>
      <c r="H3450" s="501"/>
      <c r="I3450" s="874"/>
      <c r="J3450" s="876"/>
      <c r="K3450" s="545"/>
      <c r="L3450" s="878"/>
      <c r="M3450" s="882"/>
      <c r="N3450" s="501"/>
      <c r="O3450" s="920"/>
      <c r="P3450" s="901"/>
      <c r="Q3450" s="876"/>
      <c r="R3450" s="501"/>
      <c r="S3450" s="878"/>
      <c r="T3450" s="501"/>
      <c r="V3450" s="501"/>
      <c r="W3450" s="501"/>
      <c r="X3450" s="501"/>
      <c r="Y3450" s="501"/>
      <c r="Z3450" s="501"/>
      <c r="AA3450" s="501"/>
      <c r="AB3450" s="501"/>
      <c r="AC3450" s="501"/>
      <c r="AD3450" s="501"/>
      <c r="AE3450" s="501"/>
      <c r="AF3450" s="501"/>
      <c r="AG3450" s="501"/>
      <c r="AH3450" s="501"/>
      <c r="AI3450" s="501"/>
      <c r="AJ3450" s="501"/>
      <c r="AK3450" s="501"/>
      <c r="AL3450" s="501"/>
      <c r="AM3450" s="501"/>
      <c r="AN3450" s="501"/>
      <c r="AO3450" s="501"/>
      <c r="AP3450" s="501"/>
      <c r="AQ3450" s="501"/>
      <c r="AR3450" s="501"/>
      <c r="AS3450" s="501"/>
      <c r="AT3450" s="501"/>
      <c r="AU3450" s="501"/>
      <c r="AV3450" s="501"/>
      <c r="AW3450" s="501"/>
      <c r="AX3450" s="501"/>
      <c r="AY3450" s="501"/>
      <c r="AZ3450" s="501"/>
      <c r="BA3450" s="501"/>
      <c r="BB3450" s="501"/>
      <c r="BC3450" s="501"/>
      <c r="BD3450" s="501"/>
      <c r="BE3450" s="501"/>
      <c r="BF3450" s="501"/>
      <c r="BG3450" s="501"/>
      <c r="BH3450" s="501"/>
      <c r="BI3450" s="501"/>
      <c r="BJ3450" s="501"/>
      <c r="BK3450" s="501"/>
      <c r="BL3450" s="501"/>
      <c r="BM3450" s="501"/>
      <c r="BN3450" s="501"/>
      <c r="BO3450" s="501"/>
      <c r="BP3450" s="501"/>
      <c r="BQ3450" s="501"/>
      <c r="BR3450" s="501"/>
      <c r="BS3450" s="501"/>
      <c r="BT3450" s="501"/>
      <c r="BU3450" s="501"/>
      <c r="BV3450" s="501"/>
      <c r="BW3450" s="501"/>
      <c r="BX3450" s="501"/>
      <c r="BY3450" s="501"/>
      <c r="BZ3450" s="501"/>
      <c r="CA3450" s="501"/>
      <c r="CB3450" s="501"/>
      <c r="CC3450" s="501"/>
      <c r="CD3450" s="501"/>
      <c r="CE3450" s="501"/>
      <c r="CF3450" s="501"/>
      <c r="CG3450" s="501"/>
      <c r="CH3450" s="501"/>
      <c r="CI3450" s="501"/>
      <c r="CJ3450" s="501"/>
      <c r="CK3450" s="501"/>
      <c r="CL3450" s="501"/>
      <c r="CM3450" s="501"/>
      <c r="CN3450" s="501"/>
      <c r="CO3450" s="501"/>
      <c r="CP3450" s="501"/>
      <c r="CQ3450" s="501"/>
      <c r="CR3450" s="501"/>
      <c r="CS3450" s="501"/>
      <c r="CT3450" s="501"/>
      <c r="CU3450" s="501"/>
      <c r="CV3450" s="501"/>
      <c r="CW3450" s="501"/>
      <c r="CX3450" s="501"/>
      <c r="CY3450" s="501"/>
      <c r="CZ3450" s="501"/>
      <c r="DA3450" s="501"/>
      <c r="DB3450" s="501"/>
      <c r="DC3450" s="501"/>
      <c r="DD3450" s="501"/>
      <c r="DE3450" s="501"/>
      <c r="DF3450" s="501"/>
      <c r="DG3450" s="501"/>
      <c r="DH3450" s="501"/>
      <c r="DI3450" s="501"/>
      <c r="DJ3450" s="501"/>
      <c r="DK3450" s="501"/>
      <c r="DL3450" s="501"/>
      <c r="DM3450" s="501"/>
      <c r="DN3450" s="501"/>
      <c r="DO3450" s="501"/>
      <c r="DP3450" s="501"/>
      <c r="DQ3450" s="501"/>
      <c r="DR3450" s="501"/>
      <c r="DS3450" s="501"/>
      <c r="DT3450" s="501"/>
      <c r="DU3450" s="501"/>
      <c r="DV3450" s="501"/>
      <c r="DW3450" s="501"/>
      <c r="DX3450" s="501"/>
      <c r="DY3450" s="501"/>
      <c r="DZ3450" s="501"/>
      <c r="EA3450" s="501"/>
      <c r="EB3450" s="501"/>
      <c r="EC3450" s="501"/>
      <c r="ED3450" s="501"/>
      <c r="EE3450" s="501"/>
      <c r="EF3450" s="501"/>
      <c r="EG3450" s="501"/>
      <c r="EH3450" s="501"/>
      <c r="EI3450" s="501"/>
      <c r="EJ3450" s="501"/>
      <c r="EK3450" s="501"/>
      <c r="EL3450" s="501"/>
      <c r="EM3450" s="501"/>
      <c r="EN3450" s="501"/>
      <c r="EO3450" s="501"/>
      <c r="EP3450" s="501"/>
      <c r="EQ3450" s="501"/>
      <c r="ER3450" s="501"/>
      <c r="ES3450" s="501"/>
      <c r="ET3450" s="501"/>
      <c r="EU3450" s="501"/>
      <c r="EV3450" s="501"/>
      <c r="EW3450" s="501"/>
      <c r="EX3450" s="501"/>
      <c r="EY3450" s="501"/>
      <c r="EZ3450" s="501"/>
      <c r="FA3450" s="501"/>
      <c r="FB3450" s="501"/>
      <c r="FC3450" s="501"/>
      <c r="FD3450" s="501"/>
      <c r="FE3450" s="501"/>
      <c r="FF3450" s="501"/>
      <c r="FG3450" s="501"/>
      <c r="FH3450" s="501"/>
      <c r="FI3450" s="501"/>
      <c r="FJ3450" s="501"/>
      <c r="FK3450" s="501"/>
      <c r="FL3450" s="501"/>
      <c r="FM3450" s="501"/>
      <c r="FN3450" s="501"/>
      <c r="FO3450" s="501"/>
      <c r="FP3450" s="501"/>
      <c r="FQ3450" s="501"/>
      <c r="FR3450" s="501"/>
      <c r="FS3450" s="501"/>
      <c r="FT3450" s="501"/>
      <c r="FU3450" s="501"/>
      <c r="FV3450" s="501"/>
      <c r="FW3450" s="501"/>
      <c r="FX3450" s="501"/>
      <c r="FY3450" s="501"/>
      <c r="FZ3450" s="501"/>
      <c r="GA3450" s="501"/>
      <c r="GB3450" s="501"/>
      <c r="GC3450" s="501"/>
      <c r="GD3450" s="501"/>
      <c r="GE3450" s="501"/>
      <c r="GF3450" s="501"/>
      <c r="GG3450" s="501"/>
      <c r="GH3450" s="501"/>
      <c r="GI3450" s="501"/>
      <c r="GJ3450" s="501"/>
      <c r="GK3450" s="501"/>
      <c r="GL3450" s="501"/>
      <c r="GM3450" s="501"/>
      <c r="GN3450" s="501"/>
      <c r="GO3450" s="501"/>
      <c r="GP3450" s="501"/>
      <c r="GQ3450" s="501"/>
      <c r="GR3450" s="501"/>
      <c r="GS3450" s="501"/>
      <c r="GT3450" s="501"/>
      <c r="GU3450" s="501"/>
      <c r="GV3450" s="501"/>
      <c r="GW3450" s="501"/>
      <c r="GX3450" s="501"/>
      <c r="GY3450" s="501"/>
      <c r="GZ3450" s="501"/>
      <c r="HA3450" s="501"/>
      <c r="HB3450" s="501"/>
      <c r="HC3450" s="501"/>
      <c r="HD3450" s="501"/>
      <c r="HE3450" s="501"/>
      <c r="HF3450" s="501"/>
      <c r="HG3450" s="501"/>
      <c r="HH3450" s="501"/>
      <c r="HI3450" s="501"/>
      <c r="HJ3450" s="501"/>
      <c r="HK3450" s="501"/>
      <c r="HL3450" s="501"/>
      <c r="HM3450" s="501"/>
      <c r="HN3450" s="501"/>
      <c r="HO3450" s="501"/>
      <c r="HP3450" s="501"/>
      <c r="HQ3450" s="501"/>
      <c r="HR3450" s="501"/>
      <c r="HS3450" s="501"/>
      <c r="HT3450" s="501"/>
      <c r="HU3450" s="501"/>
      <c r="HV3450" s="501"/>
      <c r="HW3450" s="501"/>
      <c r="HX3450" s="501"/>
      <c r="HY3450" s="501"/>
      <c r="HZ3450" s="501"/>
      <c r="IA3450" s="501"/>
      <c r="IB3450" s="501"/>
      <c r="IC3450" s="501"/>
      <c r="ID3450" s="501"/>
      <c r="IE3450" s="501"/>
      <c r="IF3450" s="501"/>
      <c r="IG3450" s="501"/>
      <c r="IH3450" s="501"/>
      <c r="II3450" s="501"/>
      <c r="IJ3450" s="501"/>
      <c r="IK3450" s="501"/>
      <c r="IL3450" s="501"/>
      <c r="IM3450" s="501"/>
      <c r="IN3450" s="501"/>
      <c r="IO3450" s="501"/>
      <c r="IP3450" s="501"/>
      <c r="IQ3450" s="501"/>
      <c r="IR3450" s="501"/>
      <c r="IS3450" s="501"/>
      <c r="IT3450" s="501"/>
      <c r="IU3450" s="501"/>
    </row>
    <row r="3451" spans="1:255" s="877" customFormat="1" ht="24" customHeight="1">
      <c r="A3451" s="501"/>
      <c r="B3451" s="501"/>
      <c r="C3451" s="501"/>
      <c r="D3451" s="501"/>
      <c r="E3451" s="501"/>
      <c r="F3451" s="545"/>
      <c r="G3451" s="889"/>
      <c r="H3451" s="545"/>
      <c r="I3451" s="876"/>
      <c r="J3451" s="876"/>
      <c r="K3451" s="545"/>
      <c r="L3451" s="880"/>
      <c r="M3451" s="882"/>
      <c r="N3451" s="501"/>
      <c r="O3451" s="501"/>
      <c r="P3451" s="902"/>
      <c r="Q3451" s="876"/>
      <c r="R3451" s="501"/>
      <c r="S3451" s="878"/>
      <c r="T3451" s="501"/>
      <c r="V3451" s="501"/>
      <c r="W3451" s="501"/>
      <c r="X3451" s="501"/>
      <c r="Y3451" s="501"/>
      <c r="Z3451" s="501"/>
      <c r="AA3451" s="501"/>
      <c r="AB3451" s="501"/>
      <c r="AC3451" s="501"/>
      <c r="AD3451" s="501"/>
      <c r="AE3451" s="501"/>
      <c r="AF3451" s="501"/>
      <c r="AG3451" s="501"/>
      <c r="AH3451" s="501"/>
      <c r="AI3451" s="501"/>
      <c r="AJ3451" s="501"/>
      <c r="AK3451" s="501"/>
      <c r="AL3451" s="501"/>
      <c r="AM3451" s="501"/>
      <c r="AN3451" s="501"/>
      <c r="AO3451" s="501"/>
      <c r="AP3451" s="501"/>
      <c r="AQ3451" s="501"/>
      <c r="AR3451" s="501"/>
      <c r="AS3451" s="501"/>
      <c r="AT3451" s="501"/>
      <c r="AU3451" s="501"/>
      <c r="AV3451" s="501"/>
      <c r="AW3451" s="501"/>
      <c r="AX3451" s="501"/>
      <c r="AY3451" s="501"/>
      <c r="AZ3451" s="501"/>
      <c r="BA3451" s="501"/>
      <c r="BB3451" s="501"/>
      <c r="BC3451" s="501"/>
      <c r="BD3451" s="501"/>
      <c r="BE3451" s="501"/>
      <c r="BF3451" s="501"/>
      <c r="BG3451" s="501"/>
      <c r="BH3451" s="501"/>
      <c r="BI3451" s="501"/>
      <c r="BJ3451" s="501"/>
      <c r="BK3451" s="501"/>
      <c r="BL3451" s="501"/>
      <c r="BM3451" s="501"/>
      <c r="BN3451" s="501"/>
      <c r="BO3451" s="501"/>
      <c r="BP3451" s="501"/>
      <c r="BQ3451" s="501"/>
      <c r="BR3451" s="501"/>
      <c r="BS3451" s="501"/>
      <c r="BT3451" s="501"/>
      <c r="BU3451" s="501"/>
      <c r="BV3451" s="501"/>
      <c r="BW3451" s="501"/>
      <c r="BX3451" s="501"/>
      <c r="BY3451" s="501"/>
      <c r="BZ3451" s="501"/>
      <c r="CA3451" s="501"/>
      <c r="CB3451" s="501"/>
      <c r="CC3451" s="501"/>
      <c r="CD3451" s="501"/>
      <c r="CE3451" s="501"/>
      <c r="CF3451" s="501"/>
      <c r="CG3451" s="501"/>
      <c r="CH3451" s="501"/>
      <c r="CI3451" s="501"/>
      <c r="CJ3451" s="501"/>
      <c r="CK3451" s="501"/>
      <c r="CL3451" s="501"/>
      <c r="CM3451" s="501"/>
      <c r="CN3451" s="501"/>
      <c r="CO3451" s="501"/>
      <c r="CP3451" s="501"/>
      <c r="CQ3451" s="501"/>
      <c r="CR3451" s="501"/>
      <c r="CS3451" s="501"/>
      <c r="CT3451" s="501"/>
      <c r="CU3451" s="501"/>
      <c r="CV3451" s="501"/>
      <c r="CW3451" s="501"/>
      <c r="CX3451" s="501"/>
      <c r="CY3451" s="501"/>
      <c r="CZ3451" s="501"/>
      <c r="DA3451" s="501"/>
      <c r="DB3451" s="501"/>
      <c r="DC3451" s="501"/>
      <c r="DD3451" s="501"/>
      <c r="DE3451" s="501"/>
      <c r="DF3451" s="501"/>
      <c r="DG3451" s="501"/>
      <c r="DH3451" s="501"/>
      <c r="DI3451" s="501"/>
      <c r="DJ3451" s="501"/>
      <c r="DK3451" s="501"/>
      <c r="DL3451" s="501"/>
      <c r="DM3451" s="501"/>
      <c r="DN3451" s="501"/>
      <c r="DO3451" s="501"/>
      <c r="DP3451" s="501"/>
      <c r="DQ3451" s="501"/>
      <c r="DR3451" s="501"/>
      <c r="DS3451" s="501"/>
      <c r="DT3451" s="501"/>
      <c r="DU3451" s="501"/>
      <c r="DV3451" s="501"/>
      <c r="DW3451" s="501"/>
      <c r="DX3451" s="501"/>
      <c r="DY3451" s="501"/>
      <c r="DZ3451" s="501"/>
      <c r="EA3451" s="501"/>
      <c r="EB3451" s="501"/>
      <c r="EC3451" s="501"/>
      <c r="ED3451" s="501"/>
      <c r="EE3451" s="501"/>
      <c r="EF3451" s="501"/>
      <c r="EG3451" s="501"/>
      <c r="EH3451" s="501"/>
      <c r="EI3451" s="501"/>
      <c r="EJ3451" s="501"/>
      <c r="EK3451" s="501"/>
      <c r="EL3451" s="501"/>
      <c r="EM3451" s="501"/>
      <c r="EN3451" s="501"/>
      <c r="EO3451" s="501"/>
      <c r="EP3451" s="501"/>
      <c r="EQ3451" s="501"/>
      <c r="ER3451" s="501"/>
      <c r="ES3451" s="501"/>
      <c r="ET3451" s="501"/>
      <c r="EU3451" s="501"/>
      <c r="EV3451" s="501"/>
      <c r="EW3451" s="501"/>
      <c r="EX3451" s="501"/>
      <c r="EY3451" s="501"/>
      <c r="EZ3451" s="501"/>
      <c r="FA3451" s="501"/>
      <c r="FB3451" s="501"/>
      <c r="FC3451" s="501"/>
      <c r="FD3451" s="501"/>
      <c r="FE3451" s="501"/>
      <c r="FF3451" s="501"/>
      <c r="FG3451" s="501"/>
      <c r="FH3451" s="501"/>
      <c r="FI3451" s="501"/>
      <c r="FJ3451" s="501"/>
      <c r="FK3451" s="501"/>
      <c r="FL3451" s="501"/>
      <c r="FM3451" s="501"/>
      <c r="FN3451" s="501"/>
      <c r="FO3451" s="501"/>
      <c r="FP3451" s="501"/>
      <c r="FQ3451" s="501"/>
      <c r="FR3451" s="501"/>
      <c r="FS3451" s="501"/>
      <c r="FT3451" s="501"/>
      <c r="FU3451" s="501"/>
      <c r="FV3451" s="501"/>
      <c r="FW3451" s="501"/>
      <c r="FX3451" s="501"/>
      <c r="FY3451" s="501"/>
      <c r="FZ3451" s="501"/>
      <c r="GA3451" s="501"/>
      <c r="GB3451" s="501"/>
      <c r="GC3451" s="501"/>
      <c r="GD3451" s="501"/>
      <c r="GE3451" s="501"/>
      <c r="GF3451" s="501"/>
      <c r="GG3451" s="501"/>
      <c r="GH3451" s="501"/>
      <c r="GI3451" s="501"/>
      <c r="GJ3451" s="501"/>
      <c r="GK3451" s="501"/>
      <c r="GL3451" s="501"/>
      <c r="GM3451" s="501"/>
      <c r="GN3451" s="501"/>
      <c r="GO3451" s="501"/>
      <c r="GP3451" s="501"/>
      <c r="GQ3451" s="501"/>
      <c r="GR3451" s="501"/>
      <c r="GS3451" s="501"/>
      <c r="GT3451" s="501"/>
      <c r="GU3451" s="501"/>
      <c r="GV3451" s="501"/>
      <c r="GW3451" s="501"/>
      <c r="GX3451" s="501"/>
      <c r="GY3451" s="501"/>
      <c r="GZ3451" s="501"/>
      <c r="HA3451" s="501"/>
      <c r="HB3451" s="501"/>
      <c r="HC3451" s="501"/>
      <c r="HD3451" s="501"/>
      <c r="HE3451" s="501"/>
      <c r="HF3451" s="501"/>
      <c r="HG3451" s="501"/>
      <c r="HH3451" s="501"/>
      <c r="HI3451" s="501"/>
      <c r="HJ3451" s="501"/>
      <c r="HK3451" s="501"/>
      <c r="HL3451" s="501"/>
      <c r="HM3451" s="501"/>
      <c r="HN3451" s="501"/>
      <c r="HO3451" s="501"/>
      <c r="HP3451" s="501"/>
      <c r="HQ3451" s="501"/>
      <c r="HR3451" s="501"/>
      <c r="HS3451" s="501"/>
      <c r="HT3451" s="501"/>
      <c r="HU3451" s="501"/>
      <c r="HV3451" s="501"/>
      <c r="HW3451" s="501"/>
      <c r="HX3451" s="501"/>
      <c r="HY3451" s="501"/>
      <c r="HZ3451" s="501"/>
      <c r="IA3451" s="501"/>
      <c r="IB3451" s="501"/>
      <c r="IC3451" s="501"/>
      <c r="ID3451" s="501"/>
      <c r="IE3451" s="501"/>
      <c r="IF3451" s="501"/>
      <c r="IG3451" s="501"/>
      <c r="IH3451" s="501"/>
      <c r="II3451" s="501"/>
      <c r="IJ3451" s="501"/>
      <c r="IK3451" s="501"/>
      <c r="IL3451" s="501"/>
      <c r="IM3451" s="501"/>
      <c r="IN3451" s="501"/>
      <c r="IO3451" s="501"/>
      <c r="IP3451" s="501"/>
      <c r="IQ3451" s="501"/>
      <c r="IR3451" s="501"/>
      <c r="IS3451" s="501"/>
      <c r="IT3451" s="501"/>
      <c r="IU3451" s="501"/>
    </row>
    <row r="3452" spans="1:255" s="877" customFormat="1" ht="24" customHeight="1">
      <c r="A3452" s="501"/>
      <c r="B3452" s="501"/>
      <c r="C3452" s="501"/>
      <c r="D3452" s="501"/>
      <c r="E3452" s="501"/>
      <c r="F3452" s="545"/>
      <c r="G3452" s="889"/>
      <c r="H3452" s="545"/>
      <c r="I3452" s="876"/>
      <c r="J3452" s="876"/>
      <c r="K3452" s="545"/>
      <c r="L3452" s="880"/>
      <c r="M3452" s="882"/>
      <c r="N3452" s="501"/>
      <c r="O3452" s="501"/>
      <c r="P3452" s="902"/>
      <c r="Q3452" s="876"/>
      <c r="R3452" s="501"/>
      <c r="S3452" s="878"/>
      <c r="T3452" s="501"/>
      <c r="V3452" s="501"/>
      <c r="W3452" s="501"/>
      <c r="X3452" s="501"/>
      <c r="Y3452" s="501"/>
      <c r="Z3452" s="501"/>
      <c r="AA3452" s="501"/>
      <c r="AB3452" s="501"/>
      <c r="AC3452" s="501"/>
      <c r="AD3452" s="501"/>
      <c r="AE3452" s="501"/>
      <c r="AF3452" s="501"/>
      <c r="AG3452" s="501"/>
      <c r="AH3452" s="501"/>
      <c r="AI3452" s="501"/>
      <c r="AJ3452" s="501"/>
      <c r="AK3452" s="501"/>
      <c r="AL3452" s="501"/>
      <c r="AM3452" s="501"/>
      <c r="AN3452" s="501"/>
      <c r="AO3452" s="501"/>
      <c r="AP3452" s="501"/>
      <c r="AQ3452" s="501"/>
      <c r="AR3452" s="501"/>
      <c r="AS3452" s="501"/>
      <c r="AT3452" s="501"/>
      <c r="AU3452" s="501"/>
      <c r="AV3452" s="501"/>
      <c r="AW3452" s="501"/>
      <c r="AX3452" s="501"/>
      <c r="AY3452" s="501"/>
      <c r="AZ3452" s="501"/>
      <c r="BA3452" s="501"/>
      <c r="BB3452" s="501"/>
      <c r="BC3452" s="501"/>
      <c r="BD3452" s="501"/>
      <c r="BE3452" s="501"/>
      <c r="BF3452" s="501"/>
      <c r="BG3452" s="501"/>
      <c r="BH3452" s="501"/>
      <c r="BI3452" s="501"/>
      <c r="BJ3452" s="501"/>
      <c r="BK3452" s="501"/>
      <c r="BL3452" s="501"/>
      <c r="BM3452" s="501"/>
      <c r="BN3452" s="501"/>
      <c r="BO3452" s="501"/>
      <c r="BP3452" s="501"/>
      <c r="BQ3452" s="501"/>
      <c r="BR3452" s="501"/>
      <c r="BS3452" s="501"/>
      <c r="BT3452" s="501"/>
      <c r="BU3452" s="501"/>
      <c r="BV3452" s="501"/>
      <c r="BW3452" s="501"/>
      <c r="BX3452" s="501"/>
      <c r="BY3452" s="501"/>
      <c r="BZ3452" s="501"/>
      <c r="CA3452" s="501"/>
      <c r="CB3452" s="501"/>
      <c r="CC3452" s="501"/>
      <c r="CD3452" s="501"/>
      <c r="CE3452" s="501"/>
      <c r="CF3452" s="501"/>
      <c r="CG3452" s="501"/>
      <c r="CH3452" s="501"/>
      <c r="CI3452" s="501"/>
      <c r="CJ3452" s="501"/>
      <c r="CK3452" s="501"/>
      <c r="CL3452" s="501"/>
      <c r="CM3452" s="501"/>
      <c r="CN3452" s="501"/>
      <c r="CO3452" s="501"/>
      <c r="CP3452" s="501"/>
      <c r="CQ3452" s="501"/>
      <c r="CR3452" s="501"/>
      <c r="CS3452" s="501"/>
      <c r="CT3452" s="501"/>
      <c r="CU3452" s="501"/>
      <c r="CV3452" s="501"/>
      <c r="CW3452" s="501"/>
      <c r="CX3452" s="501"/>
      <c r="CY3452" s="501"/>
      <c r="CZ3452" s="501"/>
      <c r="DA3452" s="501"/>
      <c r="DB3452" s="501"/>
      <c r="DC3452" s="501"/>
      <c r="DD3452" s="501"/>
      <c r="DE3452" s="501"/>
      <c r="DF3452" s="501"/>
      <c r="DG3452" s="501"/>
      <c r="DH3452" s="501"/>
      <c r="DI3452" s="501"/>
      <c r="DJ3452" s="501"/>
      <c r="DK3452" s="501"/>
      <c r="DL3452" s="501"/>
      <c r="DM3452" s="501"/>
      <c r="DN3452" s="501"/>
      <c r="DO3452" s="501"/>
      <c r="DP3452" s="501"/>
      <c r="DQ3452" s="501"/>
      <c r="DR3452" s="501"/>
      <c r="DS3452" s="501"/>
      <c r="DT3452" s="501"/>
      <c r="DU3452" s="501"/>
      <c r="DV3452" s="501"/>
      <c r="DW3452" s="501"/>
      <c r="DX3452" s="501"/>
      <c r="DY3452" s="501"/>
      <c r="DZ3452" s="501"/>
      <c r="EA3452" s="501"/>
      <c r="EB3452" s="501"/>
      <c r="EC3452" s="501"/>
      <c r="ED3452" s="501"/>
      <c r="EE3452" s="501"/>
      <c r="EF3452" s="501"/>
      <c r="EG3452" s="501"/>
      <c r="EH3452" s="501"/>
      <c r="EI3452" s="501"/>
      <c r="EJ3452" s="501"/>
      <c r="EK3452" s="501"/>
      <c r="EL3452" s="501"/>
      <c r="EM3452" s="501"/>
      <c r="EN3452" s="501"/>
      <c r="EO3452" s="501"/>
      <c r="EP3452" s="501"/>
      <c r="EQ3452" s="501"/>
      <c r="ER3452" s="501"/>
      <c r="ES3452" s="501"/>
      <c r="ET3452" s="501"/>
      <c r="EU3452" s="501"/>
      <c r="EV3452" s="501"/>
      <c r="EW3452" s="501"/>
      <c r="EX3452" s="501"/>
      <c r="EY3452" s="501"/>
      <c r="EZ3452" s="501"/>
      <c r="FA3452" s="501"/>
      <c r="FB3452" s="501"/>
      <c r="FC3452" s="501"/>
      <c r="FD3452" s="501"/>
      <c r="FE3452" s="501"/>
      <c r="FF3452" s="501"/>
      <c r="FG3452" s="501"/>
      <c r="FH3452" s="501"/>
      <c r="FI3452" s="501"/>
      <c r="FJ3452" s="501"/>
      <c r="FK3452" s="501"/>
      <c r="FL3452" s="501"/>
      <c r="FM3452" s="501"/>
      <c r="FN3452" s="501"/>
      <c r="FO3452" s="501"/>
      <c r="FP3452" s="501"/>
      <c r="FQ3452" s="501"/>
      <c r="FR3452" s="501"/>
      <c r="FS3452" s="501"/>
      <c r="FT3452" s="501"/>
      <c r="FU3452" s="501"/>
      <c r="FV3452" s="501"/>
      <c r="FW3452" s="501"/>
      <c r="FX3452" s="501"/>
      <c r="FY3452" s="501"/>
      <c r="FZ3452" s="501"/>
      <c r="GA3452" s="501"/>
      <c r="GB3452" s="501"/>
      <c r="GC3452" s="501"/>
      <c r="GD3452" s="501"/>
      <c r="GE3452" s="501"/>
      <c r="GF3452" s="501"/>
      <c r="GG3452" s="501"/>
      <c r="GH3452" s="501"/>
      <c r="GI3452" s="501"/>
      <c r="GJ3452" s="501"/>
      <c r="GK3452" s="501"/>
      <c r="GL3452" s="501"/>
      <c r="GM3452" s="501"/>
      <c r="GN3452" s="501"/>
      <c r="GO3452" s="501"/>
      <c r="GP3452" s="501"/>
      <c r="GQ3452" s="501"/>
      <c r="GR3452" s="501"/>
      <c r="GS3452" s="501"/>
      <c r="GT3452" s="501"/>
      <c r="GU3452" s="501"/>
      <c r="GV3452" s="501"/>
      <c r="GW3452" s="501"/>
      <c r="GX3452" s="501"/>
      <c r="GY3452" s="501"/>
      <c r="GZ3452" s="501"/>
      <c r="HA3452" s="501"/>
      <c r="HB3452" s="501"/>
      <c r="HC3452" s="501"/>
      <c r="HD3452" s="501"/>
      <c r="HE3452" s="501"/>
      <c r="HF3452" s="501"/>
      <c r="HG3452" s="501"/>
      <c r="HH3452" s="501"/>
      <c r="HI3452" s="501"/>
      <c r="HJ3452" s="501"/>
      <c r="HK3452" s="501"/>
      <c r="HL3452" s="501"/>
      <c r="HM3452" s="501"/>
      <c r="HN3452" s="501"/>
      <c r="HO3452" s="501"/>
      <c r="HP3452" s="501"/>
      <c r="HQ3452" s="501"/>
      <c r="HR3452" s="501"/>
      <c r="HS3452" s="501"/>
      <c r="HT3452" s="501"/>
      <c r="HU3452" s="501"/>
      <c r="HV3452" s="501"/>
      <c r="HW3452" s="501"/>
      <c r="HX3452" s="501"/>
      <c r="HY3452" s="501"/>
      <c r="HZ3452" s="501"/>
      <c r="IA3452" s="501"/>
      <c r="IB3452" s="501"/>
      <c r="IC3452" s="501"/>
      <c r="ID3452" s="501"/>
      <c r="IE3452" s="501"/>
      <c r="IF3452" s="501"/>
      <c r="IG3452" s="501"/>
      <c r="IH3452" s="501"/>
      <c r="II3452" s="501"/>
      <c r="IJ3452" s="501"/>
      <c r="IK3452" s="501"/>
      <c r="IL3452" s="501"/>
      <c r="IM3452" s="501"/>
      <c r="IN3452" s="501"/>
      <c r="IO3452" s="501"/>
      <c r="IP3452" s="501"/>
      <c r="IQ3452" s="501"/>
      <c r="IR3452" s="501"/>
      <c r="IS3452" s="501"/>
      <c r="IT3452" s="501"/>
      <c r="IU3452" s="501"/>
    </row>
    <row r="3453" spans="1:255" s="877" customFormat="1" ht="24" customHeight="1">
      <c r="A3453" s="501"/>
      <c r="B3453" s="501"/>
      <c r="C3453" s="501"/>
      <c r="D3453" s="501"/>
      <c r="E3453" s="501"/>
      <c r="F3453" s="545"/>
      <c r="G3453" s="889"/>
      <c r="H3453" s="545"/>
      <c r="I3453" s="876"/>
      <c r="J3453" s="876"/>
      <c r="K3453" s="545"/>
      <c r="L3453" s="880"/>
      <c r="M3453" s="882"/>
      <c r="N3453" s="501"/>
      <c r="O3453" s="501"/>
      <c r="P3453" s="902"/>
      <c r="Q3453" s="881"/>
      <c r="R3453" s="881"/>
      <c r="S3453" s="878"/>
      <c r="T3453" s="545"/>
      <c r="V3453" s="501"/>
      <c r="W3453" s="501"/>
      <c r="X3453" s="501"/>
      <c r="Y3453" s="501"/>
      <c r="Z3453" s="501"/>
      <c r="AA3453" s="501"/>
      <c r="AB3453" s="501"/>
      <c r="AC3453" s="501"/>
      <c r="AD3453" s="501"/>
      <c r="AE3453" s="501"/>
      <c r="AF3453" s="501"/>
      <c r="AG3453" s="501"/>
      <c r="AH3453" s="501"/>
      <c r="AI3453" s="501"/>
      <c r="AJ3453" s="501"/>
      <c r="AK3453" s="501"/>
      <c r="AL3453" s="501"/>
      <c r="AM3453" s="501"/>
      <c r="AN3453" s="501"/>
      <c r="AO3453" s="501"/>
      <c r="AP3453" s="501"/>
      <c r="AQ3453" s="501"/>
      <c r="AR3453" s="501"/>
      <c r="AS3453" s="501"/>
      <c r="AT3453" s="501"/>
      <c r="AU3453" s="501"/>
      <c r="AV3453" s="501"/>
      <c r="AW3453" s="501"/>
      <c r="AX3453" s="501"/>
      <c r="AY3453" s="501"/>
      <c r="AZ3453" s="501"/>
      <c r="BA3453" s="501"/>
      <c r="BB3453" s="501"/>
      <c r="BC3453" s="501"/>
      <c r="BD3453" s="501"/>
      <c r="BE3453" s="501"/>
      <c r="BF3453" s="501"/>
      <c r="BG3453" s="501"/>
      <c r="BH3453" s="501"/>
      <c r="BI3453" s="501"/>
      <c r="BJ3453" s="501"/>
      <c r="BK3453" s="501"/>
      <c r="BL3453" s="501"/>
      <c r="BM3453" s="501"/>
      <c r="BN3453" s="501"/>
      <c r="BO3453" s="501"/>
      <c r="BP3453" s="501"/>
      <c r="BQ3453" s="501"/>
      <c r="BR3453" s="501"/>
      <c r="BS3453" s="501"/>
      <c r="BT3453" s="501"/>
      <c r="BU3453" s="501"/>
      <c r="BV3453" s="501"/>
      <c r="BW3453" s="501"/>
      <c r="BX3453" s="501"/>
      <c r="BY3453" s="501"/>
      <c r="BZ3453" s="501"/>
      <c r="CA3453" s="501"/>
      <c r="CB3453" s="501"/>
      <c r="CC3453" s="501"/>
      <c r="CD3453" s="501"/>
      <c r="CE3453" s="501"/>
      <c r="CF3453" s="501"/>
      <c r="CG3453" s="501"/>
      <c r="CH3453" s="501"/>
      <c r="CI3453" s="501"/>
      <c r="CJ3453" s="501"/>
      <c r="CK3453" s="501"/>
      <c r="CL3453" s="501"/>
      <c r="CM3453" s="501"/>
      <c r="CN3453" s="501"/>
      <c r="CO3453" s="501"/>
      <c r="CP3453" s="501"/>
      <c r="CQ3453" s="501"/>
      <c r="CR3453" s="501"/>
      <c r="CS3453" s="501"/>
      <c r="CT3453" s="501"/>
      <c r="CU3453" s="501"/>
      <c r="CV3453" s="501"/>
      <c r="CW3453" s="501"/>
      <c r="CX3453" s="501"/>
      <c r="CY3453" s="501"/>
      <c r="CZ3453" s="501"/>
      <c r="DA3453" s="501"/>
      <c r="DB3453" s="501"/>
      <c r="DC3453" s="501"/>
      <c r="DD3453" s="501"/>
      <c r="DE3453" s="501"/>
      <c r="DF3453" s="501"/>
      <c r="DG3453" s="501"/>
      <c r="DH3453" s="501"/>
      <c r="DI3453" s="501"/>
      <c r="DJ3453" s="501"/>
      <c r="DK3453" s="501"/>
      <c r="DL3453" s="501"/>
      <c r="DM3453" s="501"/>
      <c r="DN3453" s="501"/>
      <c r="DO3453" s="501"/>
      <c r="DP3453" s="501"/>
      <c r="DQ3453" s="501"/>
      <c r="DR3453" s="501"/>
      <c r="DS3453" s="501"/>
      <c r="DT3453" s="501"/>
      <c r="DU3453" s="501"/>
      <c r="DV3453" s="501"/>
      <c r="DW3453" s="501"/>
      <c r="DX3453" s="501"/>
      <c r="DY3453" s="501"/>
      <c r="DZ3453" s="501"/>
      <c r="EA3453" s="501"/>
      <c r="EB3453" s="501"/>
      <c r="EC3453" s="501"/>
      <c r="ED3453" s="501"/>
      <c r="EE3453" s="501"/>
      <c r="EF3453" s="501"/>
      <c r="EG3453" s="501"/>
      <c r="EH3453" s="501"/>
      <c r="EI3453" s="501"/>
      <c r="EJ3453" s="501"/>
      <c r="EK3453" s="501"/>
      <c r="EL3453" s="501"/>
      <c r="EM3453" s="501"/>
      <c r="EN3453" s="501"/>
      <c r="EO3453" s="501"/>
      <c r="EP3453" s="501"/>
      <c r="EQ3453" s="501"/>
      <c r="ER3453" s="501"/>
      <c r="ES3453" s="501"/>
      <c r="ET3453" s="501"/>
      <c r="EU3453" s="501"/>
      <c r="EV3453" s="501"/>
      <c r="EW3453" s="501"/>
      <c r="EX3453" s="501"/>
      <c r="EY3453" s="501"/>
      <c r="EZ3453" s="501"/>
      <c r="FA3453" s="501"/>
      <c r="FB3453" s="501"/>
      <c r="FC3453" s="501"/>
      <c r="FD3453" s="501"/>
      <c r="FE3453" s="501"/>
      <c r="FF3453" s="501"/>
      <c r="FG3453" s="501"/>
      <c r="FH3453" s="501"/>
      <c r="FI3453" s="501"/>
      <c r="FJ3453" s="501"/>
      <c r="FK3453" s="501"/>
      <c r="FL3453" s="501"/>
      <c r="FM3453" s="501"/>
      <c r="FN3453" s="501"/>
      <c r="FO3453" s="501"/>
      <c r="FP3453" s="501"/>
      <c r="FQ3453" s="501"/>
      <c r="FR3453" s="501"/>
      <c r="FS3453" s="501"/>
      <c r="FT3453" s="501"/>
      <c r="FU3453" s="501"/>
      <c r="FV3453" s="501"/>
      <c r="FW3453" s="501"/>
      <c r="FX3453" s="501"/>
      <c r="FY3453" s="501"/>
      <c r="FZ3453" s="501"/>
      <c r="GA3453" s="501"/>
      <c r="GB3453" s="501"/>
      <c r="GC3453" s="501"/>
      <c r="GD3453" s="501"/>
      <c r="GE3453" s="501"/>
      <c r="GF3453" s="501"/>
      <c r="GG3453" s="501"/>
      <c r="GH3453" s="501"/>
      <c r="GI3453" s="501"/>
      <c r="GJ3453" s="501"/>
      <c r="GK3453" s="501"/>
      <c r="GL3453" s="501"/>
      <c r="GM3453" s="501"/>
      <c r="GN3453" s="501"/>
      <c r="GO3453" s="501"/>
      <c r="GP3453" s="501"/>
      <c r="GQ3453" s="501"/>
      <c r="GR3453" s="501"/>
      <c r="GS3453" s="501"/>
      <c r="GT3453" s="501"/>
      <c r="GU3453" s="501"/>
      <c r="GV3453" s="501"/>
      <c r="GW3453" s="501"/>
      <c r="GX3453" s="501"/>
      <c r="GY3453" s="501"/>
      <c r="GZ3453" s="501"/>
      <c r="HA3453" s="501"/>
      <c r="HB3453" s="501"/>
      <c r="HC3453" s="501"/>
      <c r="HD3453" s="501"/>
      <c r="HE3453" s="501"/>
      <c r="HF3453" s="501"/>
      <c r="HG3453" s="501"/>
      <c r="HH3453" s="501"/>
      <c r="HI3453" s="501"/>
      <c r="HJ3453" s="501"/>
      <c r="HK3453" s="501"/>
      <c r="HL3453" s="501"/>
      <c r="HM3453" s="501"/>
      <c r="HN3453" s="501"/>
      <c r="HO3453" s="501"/>
      <c r="HP3453" s="501"/>
      <c r="HQ3453" s="501"/>
      <c r="HR3453" s="501"/>
      <c r="HS3453" s="501"/>
      <c r="HT3453" s="501"/>
      <c r="HU3453" s="501"/>
      <c r="HV3453" s="501"/>
      <c r="HW3453" s="501"/>
      <c r="HX3453" s="501"/>
      <c r="HY3453" s="501"/>
      <c r="HZ3453" s="501"/>
      <c r="IA3453" s="501"/>
      <c r="IB3453" s="501"/>
      <c r="IC3453" s="501"/>
      <c r="ID3453" s="501"/>
      <c r="IE3453" s="501"/>
      <c r="IF3453" s="501"/>
      <c r="IG3453" s="501"/>
      <c r="IH3453" s="501"/>
      <c r="II3453" s="501"/>
      <c r="IJ3453" s="501"/>
      <c r="IK3453" s="501"/>
      <c r="IL3453" s="501"/>
      <c r="IM3453" s="501"/>
      <c r="IN3453" s="501"/>
      <c r="IO3453" s="501"/>
      <c r="IP3453" s="501"/>
      <c r="IQ3453" s="501"/>
      <c r="IR3453" s="501"/>
      <c r="IS3453" s="501"/>
      <c r="IT3453" s="501"/>
      <c r="IU3453" s="501"/>
    </row>
    <row r="3454" spans="1:255" s="877" customFormat="1" ht="24" customHeight="1">
      <c r="A3454" s="501"/>
      <c r="B3454" s="501"/>
      <c r="C3454" s="501"/>
      <c r="D3454" s="501"/>
      <c r="E3454" s="501"/>
      <c r="F3454" s="545"/>
      <c r="G3454" s="889"/>
      <c r="H3454" s="545"/>
      <c r="I3454" s="876"/>
      <c r="J3454" s="876"/>
      <c r="K3454" s="545"/>
      <c r="L3454" s="880"/>
      <c r="M3454" s="882"/>
      <c r="N3454" s="501"/>
      <c r="O3454" s="545"/>
      <c r="P3454" s="901"/>
      <c r="Q3454" s="875"/>
      <c r="R3454" s="1204"/>
      <c r="S3454" s="880"/>
      <c r="T3454" s="545"/>
      <c r="V3454" s="501"/>
      <c r="W3454" s="501"/>
      <c r="X3454" s="501"/>
      <c r="Y3454" s="501"/>
      <c r="Z3454" s="501"/>
      <c r="AA3454" s="501"/>
      <c r="AB3454" s="501"/>
      <c r="AC3454" s="501"/>
      <c r="AD3454" s="501"/>
      <c r="AE3454" s="501"/>
      <c r="AF3454" s="501"/>
      <c r="AG3454" s="501"/>
      <c r="AH3454" s="501"/>
      <c r="AI3454" s="501"/>
      <c r="AJ3454" s="501"/>
      <c r="AK3454" s="501"/>
      <c r="AL3454" s="501"/>
      <c r="AM3454" s="501"/>
      <c r="AN3454" s="501"/>
      <c r="AO3454" s="501"/>
      <c r="AP3454" s="501"/>
      <c r="AQ3454" s="501"/>
      <c r="AR3454" s="501"/>
      <c r="AS3454" s="501"/>
      <c r="AT3454" s="501"/>
      <c r="AU3454" s="501"/>
      <c r="AV3454" s="501"/>
      <c r="AW3454" s="501"/>
      <c r="AX3454" s="501"/>
      <c r="AY3454" s="501"/>
      <c r="AZ3454" s="501"/>
      <c r="BA3454" s="501"/>
      <c r="BB3454" s="501"/>
      <c r="BC3454" s="501"/>
      <c r="BD3454" s="501"/>
      <c r="BE3454" s="501"/>
      <c r="BF3454" s="501"/>
      <c r="BG3454" s="501"/>
      <c r="BH3454" s="501"/>
      <c r="BI3454" s="501"/>
      <c r="BJ3454" s="501"/>
      <c r="BK3454" s="501"/>
      <c r="BL3454" s="501"/>
      <c r="BM3454" s="501"/>
      <c r="BN3454" s="501"/>
      <c r="BO3454" s="501"/>
      <c r="BP3454" s="501"/>
      <c r="BQ3454" s="501"/>
      <c r="BR3454" s="501"/>
      <c r="BS3454" s="501"/>
      <c r="BT3454" s="501"/>
      <c r="BU3454" s="501"/>
      <c r="BV3454" s="501"/>
      <c r="BW3454" s="501"/>
      <c r="BX3454" s="501"/>
      <c r="BY3454" s="501"/>
      <c r="BZ3454" s="501"/>
      <c r="CA3454" s="501"/>
      <c r="CB3454" s="501"/>
      <c r="CC3454" s="501"/>
      <c r="CD3454" s="501"/>
      <c r="CE3454" s="501"/>
      <c r="CF3454" s="501"/>
      <c r="CG3454" s="501"/>
      <c r="CH3454" s="501"/>
      <c r="CI3454" s="501"/>
      <c r="CJ3454" s="501"/>
      <c r="CK3454" s="501"/>
      <c r="CL3454" s="501"/>
      <c r="CM3454" s="501"/>
      <c r="CN3454" s="501"/>
      <c r="CO3454" s="501"/>
      <c r="CP3454" s="501"/>
      <c r="CQ3454" s="501"/>
      <c r="CR3454" s="501"/>
      <c r="CS3454" s="501"/>
      <c r="CT3454" s="501"/>
      <c r="CU3454" s="501"/>
      <c r="CV3454" s="501"/>
      <c r="CW3454" s="501"/>
      <c r="CX3454" s="501"/>
      <c r="CY3454" s="501"/>
      <c r="CZ3454" s="501"/>
      <c r="DA3454" s="501"/>
      <c r="DB3454" s="501"/>
      <c r="DC3454" s="501"/>
      <c r="DD3454" s="501"/>
      <c r="DE3454" s="501"/>
      <c r="DF3454" s="501"/>
      <c r="DG3454" s="501"/>
      <c r="DH3454" s="501"/>
      <c r="DI3454" s="501"/>
      <c r="DJ3454" s="501"/>
      <c r="DK3454" s="501"/>
      <c r="DL3454" s="501"/>
      <c r="DM3454" s="501"/>
      <c r="DN3454" s="501"/>
      <c r="DO3454" s="501"/>
      <c r="DP3454" s="501"/>
      <c r="DQ3454" s="501"/>
      <c r="DR3454" s="501"/>
      <c r="DS3454" s="501"/>
      <c r="DT3454" s="501"/>
      <c r="DU3454" s="501"/>
      <c r="DV3454" s="501"/>
      <c r="DW3454" s="501"/>
      <c r="DX3454" s="501"/>
      <c r="DY3454" s="501"/>
      <c r="DZ3454" s="501"/>
      <c r="EA3454" s="501"/>
      <c r="EB3454" s="501"/>
      <c r="EC3454" s="501"/>
      <c r="ED3454" s="501"/>
      <c r="EE3454" s="501"/>
      <c r="EF3454" s="501"/>
      <c r="EG3454" s="501"/>
      <c r="EH3454" s="501"/>
      <c r="EI3454" s="501"/>
      <c r="EJ3454" s="501"/>
      <c r="EK3454" s="501"/>
      <c r="EL3454" s="501"/>
      <c r="EM3454" s="501"/>
      <c r="EN3454" s="501"/>
      <c r="EO3454" s="501"/>
      <c r="EP3454" s="501"/>
      <c r="EQ3454" s="501"/>
      <c r="ER3454" s="501"/>
      <c r="ES3454" s="501"/>
      <c r="ET3454" s="501"/>
      <c r="EU3454" s="501"/>
      <c r="EV3454" s="501"/>
      <c r="EW3454" s="501"/>
      <c r="EX3454" s="501"/>
      <c r="EY3454" s="501"/>
      <c r="EZ3454" s="501"/>
      <c r="FA3454" s="501"/>
      <c r="FB3454" s="501"/>
      <c r="FC3454" s="501"/>
      <c r="FD3454" s="501"/>
      <c r="FE3454" s="501"/>
      <c r="FF3454" s="501"/>
      <c r="FG3454" s="501"/>
      <c r="FH3454" s="501"/>
      <c r="FI3454" s="501"/>
      <c r="FJ3454" s="501"/>
      <c r="FK3454" s="501"/>
      <c r="FL3454" s="501"/>
      <c r="FM3454" s="501"/>
      <c r="FN3454" s="501"/>
      <c r="FO3454" s="501"/>
      <c r="FP3454" s="501"/>
      <c r="FQ3454" s="501"/>
      <c r="FR3454" s="501"/>
      <c r="FS3454" s="501"/>
      <c r="FT3454" s="501"/>
      <c r="FU3454" s="501"/>
      <c r="FV3454" s="501"/>
      <c r="FW3454" s="501"/>
      <c r="FX3454" s="501"/>
      <c r="FY3454" s="501"/>
      <c r="FZ3454" s="501"/>
      <c r="GA3454" s="501"/>
      <c r="GB3454" s="501"/>
      <c r="GC3454" s="501"/>
      <c r="GD3454" s="501"/>
      <c r="GE3454" s="501"/>
      <c r="GF3454" s="501"/>
      <c r="GG3454" s="501"/>
      <c r="GH3454" s="501"/>
      <c r="GI3454" s="501"/>
      <c r="GJ3454" s="501"/>
      <c r="GK3454" s="501"/>
      <c r="GL3454" s="501"/>
      <c r="GM3454" s="501"/>
      <c r="GN3454" s="501"/>
      <c r="GO3454" s="501"/>
      <c r="GP3454" s="501"/>
      <c r="GQ3454" s="501"/>
      <c r="GR3454" s="501"/>
      <c r="GS3454" s="501"/>
      <c r="GT3454" s="501"/>
      <c r="GU3454" s="501"/>
      <c r="GV3454" s="501"/>
      <c r="GW3454" s="501"/>
      <c r="GX3454" s="501"/>
      <c r="GY3454" s="501"/>
      <c r="GZ3454" s="501"/>
      <c r="HA3454" s="501"/>
      <c r="HB3454" s="501"/>
      <c r="HC3454" s="501"/>
      <c r="HD3454" s="501"/>
      <c r="HE3454" s="501"/>
      <c r="HF3454" s="501"/>
      <c r="HG3454" s="501"/>
      <c r="HH3454" s="501"/>
      <c r="HI3454" s="501"/>
      <c r="HJ3454" s="501"/>
      <c r="HK3454" s="501"/>
      <c r="HL3454" s="501"/>
      <c r="HM3454" s="501"/>
      <c r="HN3454" s="501"/>
      <c r="HO3454" s="501"/>
      <c r="HP3454" s="501"/>
      <c r="HQ3454" s="501"/>
      <c r="HR3454" s="501"/>
      <c r="HS3454" s="501"/>
      <c r="HT3454" s="501"/>
      <c r="HU3454" s="501"/>
      <c r="HV3454" s="501"/>
      <c r="HW3454" s="501"/>
      <c r="HX3454" s="501"/>
      <c r="HY3454" s="501"/>
      <c r="HZ3454" s="501"/>
      <c r="IA3454" s="501"/>
      <c r="IB3454" s="501"/>
      <c r="IC3454" s="501"/>
      <c r="ID3454" s="501"/>
      <c r="IE3454" s="501"/>
      <c r="IF3454" s="501"/>
      <c r="IG3454" s="501"/>
      <c r="IH3454" s="501"/>
      <c r="II3454" s="501"/>
      <c r="IJ3454" s="501"/>
      <c r="IK3454" s="501"/>
      <c r="IL3454" s="501"/>
      <c r="IM3454" s="501"/>
      <c r="IN3454" s="501"/>
      <c r="IO3454" s="501"/>
      <c r="IP3454" s="501"/>
      <c r="IQ3454" s="501"/>
      <c r="IR3454" s="501"/>
      <c r="IS3454" s="501"/>
      <c r="IT3454" s="501"/>
      <c r="IU3454" s="501"/>
    </row>
    <row r="3455" spans="1:255" s="877" customFormat="1" ht="24" customHeight="1">
      <c r="A3455" s="501"/>
      <c r="B3455" s="501"/>
      <c r="C3455" s="501"/>
      <c r="D3455" s="501"/>
      <c r="E3455" s="501"/>
      <c r="F3455" s="904"/>
      <c r="G3455" s="924"/>
      <c r="H3455" s="904"/>
      <c r="I3455" s="876"/>
      <c r="J3455" s="876"/>
      <c r="K3455" s="545"/>
      <c r="L3455" s="880"/>
      <c r="M3455" s="882"/>
      <c r="N3455" s="501"/>
      <c r="O3455" s="545"/>
      <c r="P3455" s="901"/>
      <c r="Q3455" s="876"/>
      <c r="R3455" s="883"/>
      <c r="S3455" s="880"/>
      <c r="T3455" s="545"/>
      <c r="V3455" s="501"/>
      <c r="W3455" s="501"/>
      <c r="X3455" s="501"/>
      <c r="Y3455" s="501"/>
      <c r="Z3455" s="501"/>
      <c r="AA3455" s="501"/>
      <c r="AB3455" s="501"/>
      <c r="AC3455" s="501"/>
      <c r="AD3455" s="501"/>
      <c r="AE3455" s="501"/>
      <c r="AF3455" s="501"/>
      <c r="AG3455" s="501"/>
      <c r="AH3455" s="501"/>
      <c r="AI3455" s="501"/>
      <c r="AJ3455" s="501"/>
      <c r="AK3455" s="501"/>
      <c r="AL3455" s="501"/>
      <c r="AM3455" s="501"/>
      <c r="AN3455" s="501"/>
      <c r="AO3455" s="501"/>
      <c r="AP3455" s="501"/>
      <c r="AQ3455" s="501"/>
      <c r="AR3455" s="501"/>
      <c r="AS3455" s="501"/>
      <c r="AT3455" s="501"/>
      <c r="AU3455" s="501"/>
      <c r="AV3455" s="501"/>
      <c r="AW3455" s="501"/>
      <c r="AX3455" s="501"/>
      <c r="AY3455" s="501"/>
      <c r="AZ3455" s="501"/>
      <c r="BA3455" s="501"/>
      <c r="BB3455" s="501"/>
      <c r="BC3455" s="501"/>
      <c r="BD3455" s="501"/>
      <c r="BE3455" s="501"/>
      <c r="BF3455" s="501"/>
      <c r="BG3455" s="501"/>
      <c r="BH3455" s="501"/>
      <c r="BI3455" s="501"/>
      <c r="BJ3455" s="501"/>
      <c r="BK3455" s="501"/>
      <c r="BL3455" s="501"/>
      <c r="BM3455" s="501"/>
      <c r="BN3455" s="501"/>
      <c r="BO3455" s="501"/>
      <c r="BP3455" s="501"/>
      <c r="BQ3455" s="501"/>
      <c r="BR3455" s="501"/>
      <c r="BS3455" s="501"/>
      <c r="BT3455" s="501"/>
      <c r="BU3455" s="501"/>
      <c r="BV3455" s="501"/>
      <c r="BW3455" s="501"/>
      <c r="BX3455" s="501"/>
      <c r="BY3455" s="501"/>
      <c r="BZ3455" s="501"/>
      <c r="CA3455" s="501"/>
      <c r="CB3455" s="501"/>
      <c r="CC3455" s="501"/>
      <c r="CD3455" s="501"/>
      <c r="CE3455" s="501"/>
      <c r="CF3455" s="501"/>
      <c r="CG3455" s="501"/>
      <c r="CH3455" s="501"/>
      <c r="CI3455" s="501"/>
      <c r="CJ3455" s="501"/>
      <c r="CK3455" s="501"/>
      <c r="CL3455" s="501"/>
      <c r="CM3455" s="501"/>
      <c r="CN3455" s="501"/>
      <c r="CO3455" s="501"/>
      <c r="CP3455" s="501"/>
      <c r="CQ3455" s="501"/>
      <c r="CR3455" s="501"/>
      <c r="CS3455" s="501"/>
      <c r="CT3455" s="501"/>
      <c r="CU3455" s="501"/>
      <c r="CV3455" s="501"/>
      <c r="CW3455" s="501"/>
      <c r="CX3455" s="501"/>
      <c r="CY3455" s="501"/>
      <c r="CZ3455" s="501"/>
      <c r="DA3455" s="501"/>
      <c r="DB3455" s="501"/>
      <c r="DC3455" s="501"/>
      <c r="DD3455" s="501"/>
      <c r="DE3455" s="501"/>
      <c r="DF3455" s="501"/>
      <c r="DG3455" s="501"/>
      <c r="DH3455" s="501"/>
      <c r="DI3455" s="501"/>
      <c r="DJ3455" s="501"/>
      <c r="DK3455" s="501"/>
      <c r="DL3455" s="501"/>
      <c r="DM3455" s="501"/>
      <c r="DN3455" s="501"/>
      <c r="DO3455" s="501"/>
      <c r="DP3455" s="501"/>
      <c r="DQ3455" s="501"/>
      <c r="DR3455" s="501"/>
      <c r="DS3455" s="501"/>
      <c r="DT3455" s="501"/>
      <c r="DU3455" s="501"/>
      <c r="DV3455" s="501"/>
      <c r="DW3455" s="501"/>
      <c r="DX3455" s="501"/>
      <c r="DY3455" s="501"/>
      <c r="DZ3455" s="501"/>
      <c r="EA3455" s="501"/>
      <c r="EB3455" s="501"/>
      <c r="EC3455" s="501"/>
      <c r="ED3455" s="501"/>
      <c r="EE3455" s="501"/>
      <c r="EF3455" s="501"/>
      <c r="EG3455" s="501"/>
      <c r="EH3455" s="501"/>
      <c r="EI3455" s="501"/>
      <c r="EJ3455" s="501"/>
      <c r="EK3455" s="501"/>
      <c r="EL3455" s="501"/>
      <c r="EM3455" s="501"/>
      <c r="EN3455" s="501"/>
      <c r="EO3455" s="501"/>
      <c r="EP3455" s="501"/>
      <c r="EQ3455" s="501"/>
      <c r="ER3455" s="501"/>
      <c r="ES3455" s="501"/>
      <c r="ET3455" s="501"/>
      <c r="EU3455" s="501"/>
      <c r="EV3455" s="501"/>
      <c r="EW3455" s="501"/>
      <c r="EX3455" s="501"/>
      <c r="EY3455" s="501"/>
      <c r="EZ3455" s="501"/>
      <c r="FA3455" s="501"/>
      <c r="FB3455" s="501"/>
      <c r="FC3455" s="501"/>
      <c r="FD3455" s="501"/>
      <c r="FE3455" s="501"/>
      <c r="FF3455" s="501"/>
      <c r="FG3455" s="501"/>
      <c r="FH3455" s="501"/>
      <c r="FI3455" s="501"/>
      <c r="FJ3455" s="501"/>
      <c r="FK3455" s="501"/>
      <c r="FL3455" s="501"/>
      <c r="FM3455" s="501"/>
      <c r="FN3455" s="501"/>
      <c r="FO3455" s="501"/>
      <c r="FP3455" s="501"/>
      <c r="FQ3455" s="501"/>
      <c r="FR3455" s="501"/>
      <c r="FS3455" s="501"/>
      <c r="FT3455" s="501"/>
      <c r="FU3455" s="501"/>
      <c r="FV3455" s="501"/>
      <c r="FW3455" s="501"/>
      <c r="FX3455" s="501"/>
      <c r="FY3455" s="501"/>
      <c r="FZ3455" s="501"/>
      <c r="GA3455" s="501"/>
      <c r="GB3455" s="501"/>
      <c r="GC3455" s="501"/>
      <c r="GD3455" s="501"/>
      <c r="GE3455" s="501"/>
      <c r="GF3455" s="501"/>
      <c r="GG3455" s="501"/>
      <c r="GH3455" s="501"/>
      <c r="GI3455" s="501"/>
      <c r="GJ3455" s="501"/>
      <c r="GK3455" s="501"/>
      <c r="GL3455" s="501"/>
      <c r="GM3455" s="501"/>
      <c r="GN3455" s="501"/>
      <c r="GO3455" s="501"/>
      <c r="GP3455" s="501"/>
      <c r="GQ3455" s="501"/>
      <c r="GR3455" s="501"/>
      <c r="GS3455" s="501"/>
      <c r="GT3455" s="501"/>
      <c r="GU3455" s="501"/>
      <c r="GV3455" s="501"/>
      <c r="GW3455" s="501"/>
      <c r="GX3455" s="501"/>
      <c r="GY3455" s="501"/>
      <c r="GZ3455" s="501"/>
      <c r="HA3455" s="501"/>
      <c r="HB3455" s="501"/>
      <c r="HC3455" s="501"/>
      <c r="HD3455" s="501"/>
      <c r="HE3455" s="501"/>
      <c r="HF3455" s="501"/>
      <c r="HG3455" s="501"/>
      <c r="HH3455" s="501"/>
      <c r="HI3455" s="501"/>
      <c r="HJ3455" s="501"/>
      <c r="HK3455" s="501"/>
      <c r="HL3455" s="501"/>
      <c r="HM3455" s="501"/>
      <c r="HN3455" s="501"/>
      <c r="HO3455" s="501"/>
      <c r="HP3455" s="501"/>
      <c r="HQ3455" s="501"/>
      <c r="HR3455" s="501"/>
      <c r="HS3455" s="501"/>
      <c r="HT3455" s="501"/>
      <c r="HU3455" s="501"/>
      <c r="HV3455" s="501"/>
      <c r="HW3455" s="501"/>
      <c r="HX3455" s="501"/>
      <c r="HY3455" s="501"/>
      <c r="HZ3455" s="501"/>
      <c r="IA3455" s="501"/>
      <c r="IB3455" s="501"/>
      <c r="IC3455" s="501"/>
      <c r="ID3455" s="501"/>
      <c r="IE3455" s="501"/>
      <c r="IF3455" s="501"/>
      <c r="IG3455" s="501"/>
      <c r="IH3455" s="501"/>
      <c r="II3455" s="501"/>
      <c r="IJ3455" s="501"/>
      <c r="IK3455" s="501"/>
      <c r="IL3455" s="501"/>
      <c r="IM3455" s="501"/>
      <c r="IN3455" s="501"/>
      <c r="IO3455" s="501"/>
      <c r="IP3455" s="501"/>
      <c r="IQ3455" s="501"/>
      <c r="IR3455" s="501"/>
      <c r="IS3455" s="501"/>
      <c r="IT3455" s="501"/>
      <c r="IU3455" s="501"/>
    </row>
    <row r="3456" spans="1:255" s="877" customFormat="1" ht="24" customHeight="1">
      <c r="A3456" s="501"/>
      <c r="B3456" s="501"/>
      <c r="C3456" s="501"/>
      <c r="D3456" s="501"/>
      <c r="E3456" s="501"/>
      <c r="F3456" s="904"/>
      <c r="G3456" s="924"/>
      <c r="H3456" s="904"/>
      <c r="I3456" s="876"/>
      <c r="J3456" s="876"/>
      <c r="K3456" s="545"/>
      <c r="L3456" s="880"/>
      <c r="M3456" s="882"/>
      <c r="N3456" s="501"/>
      <c r="O3456" s="501"/>
      <c r="P3456" s="902"/>
      <c r="Q3456" s="876"/>
      <c r="R3456" s="883"/>
      <c r="S3456" s="878"/>
      <c r="T3456" s="545"/>
      <c r="V3456" s="501"/>
      <c r="W3456" s="501"/>
      <c r="X3456" s="501"/>
      <c r="Y3456" s="501"/>
      <c r="Z3456" s="501"/>
      <c r="AA3456" s="501"/>
      <c r="AB3456" s="501"/>
      <c r="AC3456" s="501"/>
      <c r="AD3456" s="501"/>
      <c r="AE3456" s="501"/>
      <c r="AF3456" s="501"/>
      <c r="AG3456" s="501"/>
      <c r="AH3456" s="501"/>
      <c r="AI3456" s="501"/>
      <c r="AJ3456" s="501"/>
      <c r="AK3456" s="501"/>
      <c r="AL3456" s="501"/>
      <c r="AM3456" s="501"/>
      <c r="AN3456" s="501"/>
      <c r="AO3456" s="501"/>
      <c r="AP3456" s="501"/>
      <c r="AQ3456" s="501"/>
      <c r="AR3456" s="501"/>
      <c r="AS3456" s="501"/>
      <c r="AT3456" s="501"/>
      <c r="AU3456" s="501"/>
      <c r="AV3456" s="501"/>
      <c r="AW3456" s="501"/>
      <c r="AX3456" s="501"/>
      <c r="AY3456" s="501"/>
      <c r="AZ3456" s="501"/>
      <c r="BA3456" s="501"/>
      <c r="BB3456" s="501"/>
      <c r="BC3456" s="501"/>
      <c r="BD3456" s="501"/>
      <c r="BE3456" s="501"/>
      <c r="BF3456" s="501"/>
      <c r="BG3456" s="501"/>
      <c r="BH3456" s="501"/>
      <c r="BI3456" s="501"/>
      <c r="BJ3456" s="501"/>
      <c r="BK3456" s="501"/>
      <c r="BL3456" s="501"/>
      <c r="BM3456" s="501"/>
      <c r="BN3456" s="501"/>
      <c r="BO3456" s="501"/>
      <c r="BP3456" s="501"/>
      <c r="BQ3456" s="501"/>
      <c r="BR3456" s="501"/>
      <c r="BS3456" s="501"/>
      <c r="BT3456" s="501"/>
      <c r="BU3456" s="501"/>
      <c r="BV3456" s="501"/>
      <c r="BW3456" s="501"/>
      <c r="BX3456" s="501"/>
      <c r="BY3456" s="501"/>
      <c r="BZ3456" s="501"/>
      <c r="CA3456" s="501"/>
      <c r="CB3456" s="501"/>
      <c r="CC3456" s="501"/>
      <c r="CD3456" s="501"/>
      <c r="CE3456" s="501"/>
      <c r="CF3456" s="501"/>
      <c r="CG3456" s="501"/>
      <c r="CH3456" s="501"/>
      <c r="CI3456" s="501"/>
      <c r="CJ3456" s="501"/>
      <c r="CK3456" s="501"/>
      <c r="CL3456" s="501"/>
      <c r="CM3456" s="501"/>
      <c r="CN3456" s="501"/>
      <c r="CO3456" s="501"/>
      <c r="CP3456" s="501"/>
      <c r="CQ3456" s="501"/>
      <c r="CR3456" s="501"/>
      <c r="CS3456" s="501"/>
      <c r="CT3456" s="501"/>
      <c r="CU3456" s="501"/>
      <c r="CV3456" s="501"/>
      <c r="CW3456" s="501"/>
      <c r="CX3456" s="501"/>
      <c r="CY3456" s="501"/>
      <c r="CZ3456" s="501"/>
      <c r="DA3456" s="501"/>
      <c r="DB3456" s="501"/>
      <c r="DC3456" s="501"/>
      <c r="DD3456" s="501"/>
      <c r="DE3456" s="501"/>
      <c r="DF3456" s="501"/>
      <c r="DG3456" s="501"/>
      <c r="DH3456" s="501"/>
      <c r="DI3456" s="501"/>
      <c r="DJ3456" s="501"/>
      <c r="DK3456" s="501"/>
      <c r="DL3456" s="501"/>
      <c r="DM3456" s="501"/>
      <c r="DN3456" s="501"/>
      <c r="DO3456" s="501"/>
      <c r="DP3456" s="501"/>
      <c r="DQ3456" s="501"/>
      <c r="DR3456" s="501"/>
      <c r="DS3456" s="501"/>
      <c r="DT3456" s="501"/>
      <c r="DU3456" s="501"/>
      <c r="DV3456" s="501"/>
      <c r="DW3456" s="501"/>
      <c r="DX3456" s="501"/>
      <c r="DY3456" s="501"/>
      <c r="DZ3456" s="501"/>
      <c r="EA3456" s="501"/>
      <c r="EB3456" s="501"/>
      <c r="EC3456" s="501"/>
      <c r="ED3456" s="501"/>
      <c r="EE3456" s="501"/>
      <c r="EF3456" s="501"/>
      <c r="EG3456" s="501"/>
      <c r="EH3456" s="501"/>
      <c r="EI3456" s="501"/>
      <c r="EJ3456" s="501"/>
      <c r="EK3456" s="501"/>
      <c r="EL3456" s="501"/>
      <c r="EM3456" s="501"/>
      <c r="EN3456" s="501"/>
      <c r="EO3456" s="501"/>
      <c r="EP3456" s="501"/>
      <c r="EQ3456" s="501"/>
      <c r="ER3456" s="501"/>
      <c r="ES3456" s="501"/>
      <c r="ET3456" s="501"/>
      <c r="EU3456" s="501"/>
      <c r="EV3456" s="501"/>
      <c r="EW3456" s="501"/>
      <c r="EX3456" s="501"/>
      <c r="EY3456" s="501"/>
      <c r="EZ3456" s="501"/>
      <c r="FA3456" s="501"/>
      <c r="FB3456" s="501"/>
      <c r="FC3456" s="501"/>
      <c r="FD3456" s="501"/>
      <c r="FE3456" s="501"/>
      <c r="FF3456" s="501"/>
      <c r="FG3456" s="501"/>
      <c r="FH3456" s="501"/>
      <c r="FI3456" s="501"/>
      <c r="FJ3456" s="501"/>
      <c r="FK3456" s="501"/>
      <c r="FL3456" s="501"/>
      <c r="FM3456" s="501"/>
      <c r="FN3456" s="501"/>
      <c r="FO3456" s="501"/>
      <c r="FP3456" s="501"/>
      <c r="FQ3456" s="501"/>
      <c r="FR3456" s="501"/>
      <c r="FS3456" s="501"/>
      <c r="FT3456" s="501"/>
      <c r="FU3456" s="501"/>
      <c r="FV3456" s="501"/>
      <c r="FW3456" s="501"/>
      <c r="FX3456" s="501"/>
      <c r="FY3456" s="501"/>
      <c r="FZ3456" s="501"/>
      <c r="GA3456" s="501"/>
      <c r="GB3456" s="501"/>
      <c r="GC3456" s="501"/>
      <c r="GD3456" s="501"/>
      <c r="GE3456" s="501"/>
      <c r="GF3456" s="501"/>
      <c r="GG3456" s="501"/>
      <c r="GH3456" s="501"/>
      <c r="GI3456" s="501"/>
      <c r="GJ3456" s="501"/>
      <c r="GK3456" s="501"/>
      <c r="GL3456" s="501"/>
      <c r="GM3456" s="501"/>
      <c r="GN3456" s="501"/>
      <c r="GO3456" s="501"/>
      <c r="GP3456" s="501"/>
      <c r="GQ3456" s="501"/>
      <c r="GR3456" s="501"/>
      <c r="GS3456" s="501"/>
      <c r="GT3456" s="501"/>
      <c r="GU3456" s="501"/>
      <c r="GV3456" s="501"/>
      <c r="GW3456" s="501"/>
      <c r="GX3456" s="501"/>
      <c r="GY3456" s="501"/>
      <c r="GZ3456" s="501"/>
      <c r="HA3456" s="501"/>
      <c r="HB3456" s="501"/>
      <c r="HC3456" s="501"/>
      <c r="HD3456" s="501"/>
      <c r="HE3456" s="501"/>
      <c r="HF3456" s="501"/>
      <c r="HG3456" s="501"/>
      <c r="HH3456" s="501"/>
      <c r="HI3456" s="501"/>
      <c r="HJ3456" s="501"/>
      <c r="HK3456" s="501"/>
      <c r="HL3456" s="501"/>
      <c r="HM3456" s="501"/>
      <c r="HN3456" s="501"/>
      <c r="HO3456" s="501"/>
      <c r="HP3456" s="501"/>
      <c r="HQ3456" s="501"/>
      <c r="HR3456" s="501"/>
      <c r="HS3456" s="501"/>
      <c r="HT3456" s="501"/>
      <c r="HU3456" s="501"/>
      <c r="HV3456" s="501"/>
      <c r="HW3456" s="501"/>
      <c r="HX3456" s="501"/>
      <c r="HY3456" s="501"/>
      <c r="HZ3456" s="501"/>
      <c r="IA3456" s="501"/>
      <c r="IB3456" s="501"/>
      <c r="IC3456" s="501"/>
      <c r="ID3456" s="501"/>
      <c r="IE3456" s="501"/>
      <c r="IF3456" s="501"/>
      <c r="IG3456" s="501"/>
      <c r="IH3456" s="501"/>
      <c r="II3456" s="501"/>
      <c r="IJ3456" s="501"/>
      <c r="IK3456" s="501"/>
      <c r="IL3456" s="501"/>
      <c r="IM3456" s="501"/>
      <c r="IN3456" s="501"/>
      <c r="IO3456" s="501"/>
      <c r="IP3456" s="501"/>
      <c r="IQ3456" s="501"/>
      <c r="IR3456" s="501"/>
      <c r="IS3456" s="501"/>
      <c r="IT3456" s="501"/>
      <c r="IU3456" s="501"/>
    </row>
    <row r="3457" spans="1:255" s="877" customFormat="1" ht="24" customHeight="1">
      <c r="A3457" s="501"/>
      <c r="B3457" s="501"/>
      <c r="C3457" s="501"/>
      <c r="D3457" s="501"/>
      <c r="E3457" s="501"/>
      <c r="F3457" s="545"/>
      <c r="G3457" s="889"/>
      <c r="H3457" s="545"/>
      <c r="I3457" s="876"/>
      <c r="J3457" s="876"/>
      <c r="K3457" s="545"/>
      <c r="L3457" s="880"/>
      <c r="M3457" s="882"/>
      <c r="N3457" s="501"/>
      <c r="O3457" s="545"/>
      <c r="P3457" s="901"/>
      <c r="Q3457" s="876"/>
      <c r="R3457" s="883"/>
      <c r="S3457" s="880"/>
      <c r="T3457" s="545"/>
      <c r="V3457" s="501"/>
      <c r="W3457" s="501"/>
      <c r="X3457" s="501"/>
      <c r="Y3457" s="501"/>
      <c r="Z3457" s="501"/>
      <c r="AA3457" s="501"/>
      <c r="AB3457" s="501"/>
      <c r="AC3457" s="501"/>
      <c r="AD3457" s="501"/>
      <c r="AE3457" s="501"/>
      <c r="AF3457" s="501"/>
      <c r="AG3457" s="501"/>
      <c r="AH3457" s="501"/>
      <c r="AI3457" s="501"/>
      <c r="AJ3457" s="501"/>
      <c r="AK3457" s="501"/>
      <c r="AL3457" s="501"/>
      <c r="AM3457" s="501"/>
      <c r="AN3457" s="501"/>
      <c r="AO3457" s="501"/>
      <c r="AP3457" s="501"/>
      <c r="AQ3457" s="501"/>
      <c r="AR3457" s="501"/>
      <c r="AS3457" s="501"/>
      <c r="AT3457" s="501"/>
      <c r="AU3457" s="501"/>
      <c r="AV3457" s="501"/>
      <c r="AW3457" s="501"/>
      <c r="AX3457" s="501"/>
      <c r="AY3457" s="501"/>
      <c r="AZ3457" s="501"/>
      <c r="BA3457" s="501"/>
      <c r="BB3457" s="501"/>
      <c r="BC3457" s="501"/>
      <c r="BD3457" s="501"/>
      <c r="BE3457" s="501"/>
      <c r="BF3457" s="501"/>
      <c r="BG3457" s="501"/>
      <c r="BH3457" s="501"/>
      <c r="BI3457" s="501"/>
      <c r="BJ3457" s="501"/>
      <c r="BK3457" s="501"/>
      <c r="BL3457" s="501"/>
      <c r="BM3457" s="501"/>
      <c r="BN3457" s="501"/>
      <c r="BO3457" s="501"/>
      <c r="BP3457" s="501"/>
      <c r="BQ3457" s="501"/>
      <c r="BR3457" s="501"/>
      <c r="BS3457" s="501"/>
      <c r="BT3457" s="501"/>
      <c r="BU3457" s="501"/>
      <c r="BV3457" s="501"/>
      <c r="BW3457" s="501"/>
      <c r="BX3457" s="501"/>
      <c r="BY3457" s="501"/>
      <c r="BZ3457" s="501"/>
      <c r="CA3457" s="501"/>
      <c r="CB3457" s="501"/>
      <c r="CC3457" s="501"/>
      <c r="CD3457" s="501"/>
      <c r="CE3457" s="501"/>
      <c r="CF3457" s="501"/>
      <c r="CG3457" s="501"/>
      <c r="CH3457" s="501"/>
      <c r="CI3457" s="501"/>
      <c r="CJ3457" s="501"/>
      <c r="CK3457" s="501"/>
      <c r="CL3457" s="501"/>
      <c r="CM3457" s="501"/>
      <c r="CN3457" s="501"/>
      <c r="CO3457" s="501"/>
      <c r="CP3457" s="501"/>
      <c r="CQ3457" s="501"/>
      <c r="CR3457" s="501"/>
      <c r="CS3457" s="501"/>
      <c r="CT3457" s="501"/>
      <c r="CU3457" s="501"/>
      <c r="CV3457" s="501"/>
      <c r="CW3457" s="501"/>
      <c r="CX3457" s="501"/>
      <c r="CY3457" s="501"/>
      <c r="CZ3457" s="501"/>
      <c r="DA3457" s="501"/>
      <c r="DB3457" s="501"/>
      <c r="DC3457" s="501"/>
      <c r="DD3457" s="501"/>
      <c r="DE3457" s="501"/>
      <c r="DF3457" s="501"/>
      <c r="DG3457" s="501"/>
      <c r="DH3457" s="501"/>
      <c r="DI3457" s="501"/>
      <c r="DJ3457" s="501"/>
      <c r="DK3457" s="501"/>
      <c r="DL3457" s="501"/>
      <c r="DM3457" s="501"/>
      <c r="DN3457" s="501"/>
      <c r="DO3457" s="501"/>
      <c r="DP3457" s="501"/>
      <c r="DQ3457" s="501"/>
      <c r="DR3457" s="501"/>
      <c r="DS3457" s="501"/>
      <c r="DT3457" s="501"/>
      <c r="DU3457" s="501"/>
      <c r="DV3457" s="501"/>
      <c r="DW3457" s="501"/>
      <c r="DX3457" s="501"/>
      <c r="DY3457" s="501"/>
      <c r="DZ3457" s="501"/>
      <c r="EA3457" s="501"/>
      <c r="EB3457" s="501"/>
      <c r="EC3457" s="501"/>
      <c r="ED3457" s="501"/>
      <c r="EE3457" s="501"/>
      <c r="EF3457" s="501"/>
      <c r="EG3457" s="501"/>
      <c r="EH3457" s="501"/>
      <c r="EI3457" s="501"/>
      <c r="EJ3457" s="501"/>
      <c r="EK3457" s="501"/>
      <c r="EL3457" s="501"/>
      <c r="EM3457" s="501"/>
      <c r="EN3457" s="501"/>
      <c r="EO3457" s="501"/>
      <c r="EP3457" s="501"/>
      <c r="EQ3457" s="501"/>
      <c r="ER3457" s="501"/>
      <c r="ES3457" s="501"/>
      <c r="ET3457" s="501"/>
      <c r="EU3457" s="501"/>
      <c r="EV3457" s="501"/>
      <c r="EW3457" s="501"/>
      <c r="EX3457" s="501"/>
      <c r="EY3457" s="501"/>
      <c r="EZ3457" s="501"/>
      <c r="FA3457" s="501"/>
      <c r="FB3457" s="501"/>
      <c r="FC3457" s="501"/>
      <c r="FD3457" s="501"/>
      <c r="FE3457" s="501"/>
      <c r="FF3457" s="501"/>
      <c r="FG3457" s="501"/>
      <c r="FH3457" s="501"/>
      <c r="FI3457" s="501"/>
      <c r="FJ3457" s="501"/>
      <c r="FK3457" s="501"/>
      <c r="FL3457" s="501"/>
      <c r="FM3457" s="501"/>
      <c r="FN3457" s="501"/>
      <c r="FO3457" s="501"/>
      <c r="FP3457" s="501"/>
      <c r="FQ3457" s="501"/>
      <c r="FR3457" s="501"/>
      <c r="FS3457" s="501"/>
      <c r="FT3457" s="501"/>
      <c r="FU3457" s="501"/>
      <c r="FV3457" s="501"/>
      <c r="FW3457" s="501"/>
      <c r="FX3457" s="501"/>
      <c r="FY3457" s="501"/>
      <c r="FZ3457" s="501"/>
      <c r="GA3457" s="501"/>
      <c r="GB3457" s="501"/>
      <c r="GC3457" s="501"/>
      <c r="GD3457" s="501"/>
      <c r="GE3457" s="501"/>
      <c r="GF3457" s="501"/>
      <c r="GG3457" s="501"/>
      <c r="GH3457" s="501"/>
      <c r="GI3457" s="501"/>
      <c r="GJ3457" s="501"/>
      <c r="GK3457" s="501"/>
      <c r="GL3457" s="501"/>
      <c r="GM3457" s="501"/>
      <c r="GN3457" s="501"/>
      <c r="GO3457" s="501"/>
      <c r="GP3457" s="501"/>
      <c r="GQ3457" s="501"/>
      <c r="GR3457" s="501"/>
      <c r="GS3457" s="501"/>
      <c r="GT3457" s="501"/>
      <c r="GU3457" s="501"/>
      <c r="GV3457" s="501"/>
      <c r="GW3457" s="501"/>
      <c r="GX3457" s="501"/>
      <c r="GY3457" s="501"/>
      <c r="GZ3457" s="501"/>
      <c r="HA3457" s="501"/>
      <c r="HB3457" s="501"/>
      <c r="HC3457" s="501"/>
      <c r="HD3457" s="501"/>
      <c r="HE3457" s="501"/>
      <c r="HF3457" s="501"/>
      <c r="HG3457" s="501"/>
      <c r="HH3457" s="501"/>
      <c r="HI3457" s="501"/>
      <c r="HJ3457" s="501"/>
      <c r="HK3457" s="501"/>
      <c r="HL3457" s="501"/>
      <c r="HM3457" s="501"/>
      <c r="HN3457" s="501"/>
      <c r="HO3457" s="501"/>
      <c r="HP3457" s="501"/>
      <c r="HQ3457" s="501"/>
      <c r="HR3457" s="501"/>
      <c r="HS3457" s="501"/>
      <c r="HT3457" s="501"/>
      <c r="HU3457" s="501"/>
      <c r="HV3457" s="501"/>
      <c r="HW3457" s="501"/>
      <c r="HX3457" s="501"/>
      <c r="HY3457" s="501"/>
      <c r="HZ3457" s="501"/>
      <c r="IA3457" s="501"/>
      <c r="IB3457" s="501"/>
      <c r="IC3457" s="501"/>
      <c r="ID3457" s="501"/>
      <c r="IE3457" s="501"/>
      <c r="IF3457" s="501"/>
      <c r="IG3457" s="501"/>
      <c r="IH3457" s="501"/>
      <c r="II3457" s="501"/>
      <c r="IJ3457" s="501"/>
      <c r="IK3457" s="501"/>
      <c r="IL3457" s="501"/>
      <c r="IM3457" s="501"/>
      <c r="IN3457" s="501"/>
      <c r="IO3457" s="501"/>
      <c r="IP3457" s="501"/>
      <c r="IQ3457" s="501"/>
      <c r="IR3457" s="501"/>
      <c r="IS3457" s="501"/>
      <c r="IT3457" s="501"/>
      <c r="IU3457" s="501"/>
    </row>
    <row r="3458" spans="1:255" s="877" customFormat="1" ht="24" customHeight="1">
      <c r="A3458" s="501"/>
      <c r="B3458" s="501"/>
      <c r="C3458" s="501"/>
      <c r="D3458" s="501"/>
      <c r="E3458" s="501"/>
      <c r="F3458" s="545"/>
      <c r="G3458" s="889"/>
      <c r="H3458" s="545"/>
      <c r="I3458" s="876"/>
      <c r="J3458" s="876"/>
      <c r="K3458" s="545"/>
      <c r="L3458" s="880"/>
      <c r="M3458" s="882"/>
      <c r="N3458" s="501"/>
      <c r="O3458" s="545"/>
      <c r="P3458" s="901"/>
      <c r="Q3458" s="876"/>
      <c r="R3458" s="883"/>
      <c r="S3458" s="880"/>
      <c r="T3458" s="545"/>
      <c r="V3458" s="501"/>
      <c r="W3458" s="501"/>
      <c r="X3458" s="501"/>
      <c r="Y3458" s="501"/>
      <c r="Z3458" s="501"/>
      <c r="AA3458" s="501"/>
      <c r="AB3458" s="501"/>
      <c r="AC3458" s="501"/>
      <c r="AD3458" s="501"/>
      <c r="AE3458" s="501"/>
      <c r="AF3458" s="501"/>
      <c r="AG3458" s="501"/>
      <c r="AH3458" s="501"/>
      <c r="AI3458" s="501"/>
      <c r="AJ3458" s="501"/>
      <c r="AK3458" s="501"/>
      <c r="AL3458" s="501"/>
      <c r="AM3458" s="501"/>
      <c r="AN3458" s="501"/>
      <c r="AO3458" s="501"/>
      <c r="AP3458" s="501"/>
      <c r="AQ3458" s="501"/>
      <c r="AR3458" s="501"/>
      <c r="AS3458" s="501"/>
      <c r="AT3458" s="501"/>
      <c r="AU3458" s="501"/>
      <c r="AV3458" s="501"/>
      <c r="AW3458" s="501"/>
      <c r="AX3458" s="501"/>
      <c r="AY3458" s="501"/>
      <c r="AZ3458" s="501"/>
      <c r="BA3458" s="501"/>
      <c r="BB3458" s="501"/>
      <c r="BC3458" s="501"/>
      <c r="BD3458" s="501"/>
      <c r="BE3458" s="501"/>
      <c r="BF3458" s="501"/>
      <c r="BG3458" s="501"/>
      <c r="BH3458" s="501"/>
      <c r="BI3458" s="501"/>
      <c r="BJ3458" s="501"/>
      <c r="BK3458" s="501"/>
      <c r="BL3458" s="501"/>
      <c r="BM3458" s="501"/>
      <c r="BN3458" s="501"/>
      <c r="BO3458" s="501"/>
      <c r="BP3458" s="501"/>
      <c r="BQ3458" s="501"/>
      <c r="BR3458" s="501"/>
      <c r="BS3458" s="501"/>
      <c r="BT3458" s="501"/>
      <c r="BU3458" s="501"/>
      <c r="BV3458" s="501"/>
      <c r="BW3458" s="501"/>
      <c r="BX3458" s="501"/>
      <c r="BY3458" s="501"/>
      <c r="BZ3458" s="501"/>
      <c r="CA3458" s="501"/>
      <c r="CB3458" s="501"/>
      <c r="CC3458" s="501"/>
      <c r="CD3458" s="501"/>
      <c r="CE3458" s="501"/>
      <c r="CF3458" s="501"/>
      <c r="CG3458" s="501"/>
      <c r="CH3458" s="501"/>
      <c r="CI3458" s="501"/>
      <c r="CJ3458" s="501"/>
      <c r="CK3458" s="501"/>
      <c r="CL3458" s="501"/>
      <c r="CM3458" s="501"/>
      <c r="CN3458" s="501"/>
      <c r="CO3458" s="501"/>
      <c r="CP3458" s="501"/>
      <c r="CQ3458" s="501"/>
      <c r="CR3458" s="501"/>
      <c r="CS3458" s="501"/>
      <c r="CT3458" s="501"/>
      <c r="CU3458" s="501"/>
      <c r="CV3458" s="501"/>
      <c r="CW3458" s="501"/>
      <c r="CX3458" s="501"/>
      <c r="CY3458" s="501"/>
      <c r="CZ3458" s="501"/>
      <c r="DA3458" s="501"/>
      <c r="DB3458" s="501"/>
      <c r="DC3458" s="501"/>
      <c r="DD3458" s="501"/>
      <c r="DE3458" s="501"/>
      <c r="DF3458" s="501"/>
      <c r="DG3458" s="501"/>
      <c r="DH3458" s="501"/>
      <c r="DI3458" s="501"/>
      <c r="DJ3458" s="501"/>
      <c r="DK3458" s="501"/>
      <c r="DL3458" s="501"/>
      <c r="DM3458" s="501"/>
      <c r="DN3458" s="501"/>
      <c r="DO3458" s="501"/>
      <c r="DP3458" s="501"/>
      <c r="DQ3458" s="501"/>
      <c r="DR3458" s="501"/>
      <c r="DS3458" s="501"/>
      <c r="DT3458" s="501"/>
      <c r="DU3458" s="501"/>
      <c r="DV3458" s="501"/>
      <c r="DW3458" s="501"/>
      <c r="DX3458" s="501"/>
      <c r="DY3458" s="501"/>
      <c r="DZ3458" s="501"/>
      <c r="EA3458" s="501"/>
      <c r="EB3458" s="501"/>
      <c r="EC3458" s="501"/>
      <c r="ED3458" s="501"/>
      <c r="EE3458" s="501"/>
      <c r="EF3458" s="501"/>
      <c r="EG3458" s="501"/>
      <c r="EH3458" s="501"/>
      <c r="EI3458" s="501"/>
      <c r="EJ3458" s="501"/>
      <c r="EK3458" s="501"/>
      <c r="EL3458" s="501"/>
      <c r="EM3458" s="501"/>
      <c r="EN3458" s="501"/>
      <c r="EO3458" s="501"/>
      <c r="EP3458" s="501"/>
      <c r="EQ3458" s="501"/>
      <c r="ER3458" s="501"/>
      <c r="ES3458" s="501"/>
      <c r="ET3458" s="501"/>
      <c r="EU3458" s="501"/>
      <c r="EV3458" s="501"/>
      <c r="EW3458" s="501"/>
      <c r="EX3458" s="501"/>
      <c r="EY3458" s="501"/>
      <c r="EZ3458" s="501"/>
      <c r="FA3458" s="501"/>
      <c r="FB3458" s="501"/>
      <c r="FC3458" s="501"/>
      <c r="FD3458" s="501"/>
      <c r="FE3458" s="501"/>
      <c r="FF3458" s="501"/>
      <c r="FG3458" s="501"/>
      <c r="FH3458" s="501"/>
      <c r="FI3458" s="501"/>
      <c r="FJ3458" s="501"/>
      <c r="FK3458" s="501"/>
      <c r="FL3458" s="501"/>
      <c r="FM3458" s="501"/>
      <c r="FN3458" s="501"/>
      <c r="FO3458" s="501"/>
      <c r="FP3458" s="501"/>
      <c r="FQ3458" s="501"/>
      <c r="FR3458" s="501"/>
      <c r="FS3458" s="501"/>
      <c r="FT3458" s="501"/>
      <c r="FU3458" s="501"/>
      <c r="FV3458" s="501"/>
      <c r="FW3458" s="501"/>
      <c r="FX3458" s="501"/>
      <c r="FY3458" s="501"/>
      <c r="FZ3458" s="501"/>
      <c r="GA3458" s="501"/>
      <c r="GB3458" s="501"/>
      <c r="GC3458" s="501"/>
      <c r="GD3458" s="501"/>
      <c r="GE3458" s="501"/>
      <c r="GF3458" s="501"/>
      <c r="GG3458" s="501"/>
      <c r="GH3458" s="501"/>
      <c r="GI3458" s="501"/>
      <c r="GJ3458" s="501"/>
      <c r="GK3458" s="501"/>
      <c r="GL3458" s="501"/>
      <c r="GM3458" s="501"/>
      <c r="GN3458" s="501"/>
      <c r="GO3458" s="501"/>
      <c r="GP3458" s="501"/>
      <c r="GQ3458" s="501"/>
      <c r="GR3458" s="501"/>
      <c r="GS3458" s="501"/>
      <c r="GT3458" s="501"/>
      <c r="GU3458" s="501"/>
      <c r="GV3458" s="501"/>
      <c r="GW3458" s="501"/>
      <c r="GX3458" s="501"/>
      <c r="GY3458" s="501"/>
      <c r="GZ3458" s="501"/>
      <c r="HA3458" s="501"/>
      <c r="HB3458" s="501"/>
      <c r="HC3458" s="501"/>
      <c r="HD3458" s="501"/>
      <c r="HE3458" s="501"/>
      <c r="HF3458" s="501"/>
      <c r="HG3458" s="501"/>
      <c r="HH3458" s="501"/>
      <c r="HI3458" s="501"/>
      <c r="HJ3458" s="501"/>
      <c r="HK3458" s="501"/>
      <c r="HL3458" s="501"/>
      <c r="HM3458" s="501"/>
      <c r="HN3458" s="501"/>
      <c r="HO3458" s="501"/>
      <c r="HP3458" s="501"/>
      <c r="HQ3458" s="501"/>
      <c r="HR3458" s="501"/>
      <c r="HS3458" s="501"/>
      <c r="HT3458" s="501"/>
      <c r="HU3458" s="501"/>
      <c r="HV3458" s="501"/>
      <c r="HW3458" s="501"/>
      <c r="HX3458" s="501"/>
      <c r="HY3458" s="501"/>
      <c r="HZ3458" s="501"/>
      <c r="IA3458" s="501"/>
      <c r="IB3458" s="501"/>
      <c r="IC3458" s="501"/>
      <c r="ID3458" s="501"/>
      <c r="IE3458" s="501"/>
      <c r="IF3458" s="501"/>
      <c r="IG3458" s="501"/>
      <c r="IH3458" s="501"/>
      <c r="II3458" s="501"/>
      <c r="IJ3458" s="501"/>
      <c r="IK3458" s="501"/>
      <c r="IL3458" s="501"/>
      <c r="IM3458" s="501"/>
      <c r="IN3458" s="501"/>
      <c r="IO3458" s="501"/>
      <c r="IP3458" s="501"/>
      <c r="IQ3458" s="501"/>
      <c r="IR3458" s="501"/>
      <c r="IS3458" s="501"/>
      <c r="IT3458" s="501"/>
      <c r="IU3458" s="501"/>
    </row>
    <row r="3459" spans="1:255" s="877" customFormat="1" ht="24" customHeight="1">
      <c r="A3459" s="501"/>
      <c r="B3459" s="501"/>
      <c r="C3459" s="501"/>
      <c r="D3459" s="501"/>
      <c r="E3459" s="501"/>
      <c r="F3459" s="545"/>
      <c r="G3459" s="889"/>
      <c r="H3459" s="545"/>
      <c r="I3459" s="876"/>
      <c r="J3459" s="876"/>
      <c r="K3459" s="545"/>
      <c r="L3459" s="880"/>
      <c r="M3459" s="882"/>
      <c r="N3459" s="501"/>
      <c r="O3459" s="545"/>
      <c r="P3459" s="901"/>
      <c r="Q3459" s="876"/>
      <c r="R3459" s="883"/>
      <c r="S3459" s="880"/>
      <c r="T3459" s="545"/>
      <c r="V3459" s="501"/>
      <c r="W3459" s="501"/>
      <c r="X3459" s="501"/>
      <c r="Y3459" s="501"/>
      <c r="Z3459" s="501"/>
      <c r="AA3459" s="501"/>
      <c r="AB3459" s="501"/>
      <c r="AC3459" s="501"/>
      <c r="AD3459" s="501"/>
      <c r="AE3459" s="501"/>
      <c r="AF3459" s="501"/>
      <c r="AG3459" s="501"/>
      <c r="AH3459" s="501"/>
      <c r="AI3459" s="501"/>
      <c r="AJ3459" s="501"/>
      <c r="AK3459" s="501"/>
      <c r="AL3459" s="501"/>
      <c r="AM3459" s="501"/>
      <c r="AN3459" s="501"/>
      <c r="AO3459" s="501"/>
      <c r="AP3459" s="501"/>
      <c r="AQ3459" s="501"/>
      <c r="AR3459" s="501"/>
      <c r="AS3459" s="501"/>
      <c r="AT3459" s="501"/>
      <c r="AU3459" s="501"/>
      <c r="AV3459" s="501"/>
      <c r="AW3459" s="501"/>
      <c r="AX3459" s="501"/>
      <c r="AY3459" s="501"/>
      <c r="AZ3459" s="501"/>
      <c r="BA3459" s="501"/>
      <c r="BB3459" s="501"/>
      <c r="BC3459" s="501"/>
      <c r="BD3459" s="501"/>
      <c r="BE3459" s="501"/>
      <c r="BF3459" s="501"/>
      <c r="BG3459" s="501"/>
      <c r="BH3459" s="501"/>
      <c r="BI3459" s="501"/>
      <c r="BJ3459" s="501"/>
      <c r="BK3459" s="501"/>
      <c r="BL3459" s="501"/>
      <c r="BM3459" s="501"/>
      <c r="BN3459" s="501"/>
      <c r="BO3459" s="501"/>
      <c r="BP3459" s="501"/>
      <c r="BQ3459" s="501"/>
      <c r="BR3459" s="501"/>
      <c r="BS3459" s="501"/>
      <c r="BT3459" s="501"/>
      <c r="BU3459" s="501"/>
      <c r="BV3459" s="501"/>
      <c r="BW3459" s="501"/>
      <c r="BX3459" s="501"/>
      <c r="BY3459" s="501"/>
      <c r="BZ3459" s="501"/>
      <c r="CA3459" s="501"/>
      <c r="CB3459" s="501"/>
      <c r="CC3459" s="501"/>
      <c r="CD3459" s="501"/>
      <c r="CE3459" s="501"/>
      <c r="CF3459" s="501"/>
      <c r="CG3459" s="501"/>
      <c r="CH3459" s="501"/>
      <c r="CI3459" s="501"/>
      <c r="CJ3459" s="501"/>
      <c r="CK3459" s="501"/>
      <c r="CL3459" s="501"/>
      <c r="CM3459" s="501"/>
      <c r="CN3459" s="501"/>
      <c r="CO3459" s="501"/>
      <c r="CP3459" s="501"/>
      <c r="CQ3459" s="501"/>
      <c r="CR3459" s="501"/>
      <c r="CS3459" s="501"/>
      <c r="CT3459" s="501"/>
      <c r="CU3459" s="501"/>
      <c r="CV3459" s="501"/>
      <c r="CW3459" s="501"/>
      <c r="CX3459" s="501"/>
      <c r="CY3459" s="501"/>
      <c r="CZ3459" s="501"/>
      <c r="DA3459" s="501"/>
      <c r="DB3459" s="501"/>
      <c r="DC3459" s="501"/>
      <c r="DD3459" s="501"/>
      <c r="DE3459" s="501"/>
      <c r="DF3459" s="501"/>
      <c r="DG3459" s="501"/>
      <c r="DH3459" s="501"/>
      <c r="DI3459" s="501"/>
      <c r="DJ3459" s="501"/>
      <c r="DK3459" s="501"/>
      <c r="DL3459" s="501"/>
      <c r="DM3459" s="501"/>
      <c r="DN3459" s="501"/>
      <c r="DO3459" s="501"/>
      <c r="DP3459" s="501"/>
      <c r="DQ3459" s="501"/>
      <c r="DR3459" s="501"/>
      <c r="DS3459" s="501"/>
      <c r="DT3459" s="501"/>
      <c r="DU3459" s="501"/>
      <c r="DV3459" s="501"/>
      <c r="DW3459" s="501"/>
      <c r="DX3459" s="501"/>
      <c r="DY3459" s="501"/>
      <c r="DZ3459" s="501"/>
      <c r="EA3459" s="501"/>
      <c r="EB3459" s="501"/>
      <c r="EC3459" s="501"/>
      <c r="ED3459" s="501"/>
      <c r="EE3459" s="501"/>
      <c r="EF3459" s="501"/>
      <c r="EG3459" s="501"/>
      <c r="EH3459" s="501"/>
      <c r="EI3459" s="501"/>
      <c r="EJ3459" s="501"/>
      <c r="EK3459" s="501"/>
      <c r="EL3459" s="501"/>
      <c r="EM3459" s="501"/>
      <c r="EN3459" s="501"/>
      <c r="EO3459" s="501"/>
      <c r="EP3459" s="501"/>
      <c r="EQ3459" s="501"/>
      <c r="ER3459" s="501"/>
      <c r="ES3459" s="501"/>
      <c r="ET3459" s="501"/>
      <c r="EU3459" s="501"/>
      <c r="EV3459" s="501"/>
      <c r="EW3459" s="501"/>
      <c r="EX3459" s="501"/>
      <c r="EY3459" s="501"/>
      <c r="EZ3459" s="501"/>
      <c r="FA3459" s="501"/>
      <c r="FB3459" s="501"/>
      <c r="FC3459" s="501"/>
      <c r="FD3459" s="501"/>
      <c r="FE3459" s="501"/>
      <c r="FF3459" s="501"/>
      <c r="FG3459" s="501"/>
      <c r="FH3459" s="501"/>
      <c r="FI3459" s="501"/>
      <c r="FJ3459" s="501"/>
      <c r="FK3459" s="501"/>
      <c r="FL3459" s="501"/>
      <c r="FM3459" s="501"/>
      <c r="FN3459" s="501"/>
      <c r="FO3459" s="501"/>
      <c r="FP3459" s="501"/>
      <c r="FQ3459" s="501"/>
      <c r="FR3459" s="501"/>
      <c r="FS3459" s="501"/>
      <c r="FT3459" s="501"/>
      <c r="FU3459" s="501"/>
      <c r="FV3459" s="501"/>
      <c r="FW3459" s="501"/>
      <c r="FX3459" s="501"/>
      <c r="FY3459" s="501"/>
      <c r="FZ3459" s="501"/>
      <c r="GA3459" s="501"/>
      <c r="GB3459" s="501"/>
      <c r="GC3459" s="501"/>
      <c r="GD3459" s="501"/>
      <c r="GE3459" s="501"/>
      <c r="GF3459" s="501"/>
      <c r="GG3459" s="501"/>
      <c r="GH3459" s="501"/>
      <c r="GI3459" s="501"/>
      <c r="GJ3459" s="501"/>
      <c r="GK3459" s="501"/>
      <c r="GL3459" s="501"/>
      <c r="GM3459" s="501"/>
      <c r="GN3459" s="501"/>
      <c r="GO3459" s="501"/>
      <c r="GP3459" s="501"/>
      <c r="GQ3459" s="501"/>
      <c r="GR3459" s="501"/>
      <c r="GS3459" s="501"/>
      <c r="GT3459" s="501"/>
      <c r="GU3459" s="501"/>
      <c r="GV3459" s="501"/>
      <c r="GW3459" s="501"/>
      <c r="GX3459" s="501"/>
      <c r="GY3459" s="501"/>
      <c r="GZ3459" s="501"/>
      <c r="HA3459" s="501"/>
      <c r="HB3459" s="501"/>
      <c r="HC3459" s="501"/>
      <c r="HD3459" s="501"/>
      <c r="HE3459" s="501"/>
      <c r="HF3459" s="501"/>
      <c r="HG3459" s="501"/>
      <c r="HH3459" s="501"/>
      <c r="HI3459" s="501"/>
      <c r="HJ3459" s="501"/>
      <c r="HK3459" s="501"/>
      <c r="HL3459" s="501"/>
      <c r="HM3459" s="501"/>
      <c r="HN3459" s="501"/>
      <c r="HO3459" s="501"/>
      <c r="HP3459" s="501"/>
      <c r="HQ3459" s="501"/>
      <c r="HR3459" s="501"/>
      <c r="HS3459" s="501"/>
      <c r="HT3459" s="501"/>
      <c r="HU3459" s="501"/>
      <c r="HV3459" s="501"/>
      <c r="HW3459" s="501"/>
      <c r="HX3459" s="501"/>
      <c r="HY3459" s="501"/>
      <c r="HZ3459" s="501"/>
      <c r="IA3459" s="501"/>
      <c r="IB3459" s="501"/>
      <c r="IC3459" s="501"/>
      <c r="ID3459" s="501"/>
      <c r="IE3459" s="501"/>
      <c r="IF3459" s="501"/>
      <c r="IG3459" s="501"/>
      <c r="IH3459" s="501"/>
      <c r="II3459" s="501"/>
      <c r="IJ3459" s="501"/>
      <c r="IK3459" s="501"/>
      <c r="IL3459" s="501"/>
      <c r="IM3459" s="501"/>
      <c r="IN3459" s="501"/>
      <c r="IO3459" s="501"/>
      <c r="IP3459" s="501"/>
      <c r="IQ3459" s="501"/>
      <c r="IR3459" s="501"/>
      <c r="IS3459" s="501"/>
      <c r="IT3459" s="501"/>
      <c r="IU3459" s="501"/>
    </row>
    <row r="3460" spans="1:255" s="877" customFormat="1" ht="24" customHeight="1">
      <c r="A3460" s="501"/>
      <c r="B3460" s="501"/>
      <c r="C3460" s="501"/>
      <c r="D3460" s="501"/>
      <c r="E3460" s="501"/>
      <c r="F3460" s="501"/>
      <c r="G3460" s="915"/>
      <c r="H3460" s="501"/>
      <c r="I3460" s="876"/>
      <c r="J3460" s="876"/>
      <c r="K3460" s="545"/>
      <c r="L3460" s="880"/>
      <c r="M3460" s="882"/>
      <c r="N3460" s="501"/>
      <c r="O3460" s="545"/>
      <c r="P3460" s="901"/>
      <c r="Q3460" s="876"/>
      <c r="R3460" s="883"/>
      <c r="S3460" s="880"/>
      <c r="T3460" s="545"/>
      <c r="V3460" s="501"/>
      <c r="W3460" s="501"/>
      <c r="X3460" s="501"/>
      <c r="Y3460" s="501"/>
      <c r="Z3460" s="501"/>
      <c r="AA3460" s="501"/>
      <c r="AB3460" s="501"/>
      <c r="AC3460" s="501"/>
      <c r="AD3460" s="501"/>
      <c r="AE3460" s="501"/>
      <c r="AF3460" s="501"/>
      <c r="AG3460" s="501"/>
      <c r="AH3460" s="501"/>
      <c r="AI3460" s="501"/>
      <c r="AJ3460" s="501"/>
      <c r="AK3460" s="501"/>
      <c r="AL3460" s="501"/>
      <c r="AM3460" s="501"/>
      <c r="AN3460" s="501"/>
      <c r="AO3460" s="501"/>
      <c r="AP3460" s="501"/>
      <c r="AQ3460" s="501"/>
      <c r="AR3460" s="501"/>
      <c r="AS3460" s="501"/>
      <c r="AT3460" s="501"/>
      <c r="AU3460" s="501"/>
      <c r="AV3460" s="501"/>
      <c r="AW3460" s="501"/>
      <c r="AX3460" s="501"/>
      <c r="AY3460" s="501"/>
      <c r="AZ3460" s="501"/>
      <c r="BA3460" s="501"/>
      <c r="BB3460" s="501"/>
      <c r="BC3460" s="501"/>
      <c r="BD3460" s="501"/>
      <c r="BE3460" s="501"/>
      <c r="BF3460" s="501"/>
      <c r="BG3460" s="501"/>
      <c r="BH3460" s="501"/>
      <c r="BI3460" s="501"/>
      <c r="BJ3460" s="501"/>
      <c r="BK3460" s="501"/>
      <c r="BL3460" s="501"/>
      <c r="BM3460" s="501"/>
      <c r="BN3460" s="501"/>
      <c r="BO3460" s="501"/>
      <c r="BP3460" s="501"/>
      <c r="BQ3460" s="501"/>
      <c r="BR3460" s="501"/>
      <c r="BS3460" s="501"/>
      <c r="BT3460" s="501"/>
      <c r="BU3460" s="501"/>
      <c r="BV3460" s="501"/>
      <c r="BW3460" s="501"/>
      <c r="BX3460" s="501"/>
      <c r="BY3460" s="501"/>
      <c r="BZ3460" s="501"/>
      <c r="CA3460" s="501"/>
      <c r="CB3460" s="501"/>
      <c r="CC3460" s="501"/>
      <c r="CD3460" s="501"/>
      <c r="CE3460" s="501"/>
      <c r="CF3460" s="501"/>
      <c r="CG3460" s="501"/>
      <c r="CH3460" s="501"/>
      <c r="CI3460" s="501"/>
      <c r="CJ3460" s="501"/>
      <c r="CK3460" s="501"/>
      <c r="CL3460" s="501"/>
      <c r="CM3460" s="501"/>
      <c r="CN3460" s="501"/>
      <c r="CO3460" s="501"/>
      <c r="CP3460" s="501"/>
      <c r="CQ3460" s="501"/>
      <c r="CR3460" s="501"/>
      <c r="CS3460" s="501"/>
      <c r="CT3460" s="501"/>
      <c r="CU3460" s="501"/>
      <c r="CV3460" s="501"/>
      <c r="CW3460" s="501"/>
      <c r="CX3460" s="501"/>
      <c r="CY3460" s="501"/>
      <c r="CZ3460" s="501"/>
      <c r="DA3460" s="501"/>
      <c r="DB3460" s="501"/>
      <c r="DC3460" s="501"/>
      <c r="DD3460" s="501"/>
      <c r="DE3460" s="501"/>
      <c r="DF3460" s="501"/>
      <c r="DG3460" s="501"/>
      <c r="DH3460" s="501"/>
      <c r="DI3460" s="501"/>
      <c r="DJ3460" s="501"/>
      <c r="DK3460" s="501"/>
      <c r="DL3460" s="501"/>
      <c r="DM3460" s="501"/>
      <c r="DN3460" s="501"/>
      <c r="DO3460" s="501"/>
      <c r="DP3460" s="501"/>
      <c r="DQ3460" s="501"/>
      <c r="DR3460" s="501"/>
      <c r="DS3460" s="501"/>
      <c r="DT3460" s="501"/>
      <c r="DU3460" s="501"/>
      <c r="DV3460" s="501"/>
      <c r="DW3460" s="501"/>
      <c r="DX3460" s="501"/>
      <c r="DY3460" s="501"/>
      <c r="DZ3460" s="501"/>
      <c r="EA3460" s="501"/>
      <c r="EB3460" s="501"/>
      <c r="EC3460" s="501"/>
      <c r="ED3460" s="501"/>
      <c r="EE3460" s="501"/>
      <c r="EF3460" s="501"/>
      <c r="EG3460" s="501"/>
      <c r="EH3460" s="501"/>
      <c r="EI3460" s="501"/>
      <c r="EJ3460" s="501"/>
      <c r="EK3460" s="501"/>
      <c r="EL3460" s="501"/>
      <c r="EM3460" s="501"/>
      <c r="EN3460" s="501"/>
      <c r="EO3460" s="501"/>
      <c r="EP3460" s="501"/>
      <c r="EQ3460" s="501"/>
      <c r="ER3460" s="501"/>
      <c r="ES3460" s="501"/>
      <c r="ET3460" s="501"/>
      <c r="EU3460" s="501"/>
      <c r="EV3460" s="501"/>
      <c r="EW3460" s="501"/>
      <c r="EX3460" s="501"/>
      <c r="EY3460" s="501"/>
      <c r="EZ3460" s="501"/>
      <c r="FA3460" s="501"/>
      <c r="FB3460" s="501"/>
      <c r="FC3460" s="501"/>
      <c r="FD3460" s="501"/>
      <c r="FE3460" s="501"/>
      <c r="FF3460" s="501"/>
      <c r="FG3460" s="501"/>
      <c r="FH3460" s="501"/>
      <c r="FI3460" s="501"/>
      <c r="FJ3460" s="501"/>
      <c r="FK3460" s="501"/>
      <c r="FL3460" s="501"/>
      <c r="FM3460" s="501"/>
      <c r="FN3460" s="501"/>
      <c r="FO3460" s="501"/>
      <c r="FP3460" s="501"/>
      <c r="FQ3460" s="501"/>
      <c r="FR3460" s="501"/>
      <c r="FS3460" s="501"/>
      <c r="FT3460" s="501"/>
      <c r="FU3460" s="501"/>
      <c r="FV3460" s="501"/>
      <c r="FW3460" s="501"/>
      <c r="FX3460" s="501"/>
      <c r="FY3460" s="501"/>
      <c r="FZ3460" s="501"/>
      <c r="GA3460" s="501"/>
      <c r="GB3460" s="501"/>
      <c r="GC3460" s="501"/>
      <c r="GD3460" s="501"/>
      <c r="GE3460" s="501"/>
      <c r="GF3460" s="501"/>
      <c r="GG3460" s="501"/>
      <c r="GH3460" s="501"/>
      <c r="GI3460" s="501"/>
      <c r="GJ3460" s="501"/>
      <c r="GK3460" s="501"/>
      <c r="GL3460" s="501"/>
      <c r="GM3460" s="501"/>
      <c r="GN3460" s="501"/>
      <c r="GO3460" s="501"/>
      <c r="GP3460" s="501"/>
      <c r="GQ3460" s="501"/>
      <c r="GR3460" s="501"/>
      <c r="GS3460" s="501"/>
      <c r="GT3460" s="501"/>
      <c r="GU3460" s="501"/>
      <c r="GV3460" s="501"/>
      <c r="GW3460" s="501"/>
      <c r="GX3460" s="501"/>
      <c r="GY3460" s="501"/>
      <c r="GZ3460" s="501"/>
      <c r="HA3460" s="501"/>
      <c r="HB3460" s="501"/>
      <c r="HC3460" s="501"/>
      <c r="HD3460" s="501"/>
      <c r="HE3460" s="501"/>
      <c r="HF3460" s="501"/>
      <c r="HG3460" s="501"/>
      <c r="HH3460" s="501"/>
      <c r="HI3460" s="501"/>
      <c r="HJ3460" s="501"/>
      <c r="HK3460" s="501"/>
      <c r="HL3460" s="501"/>
      <c r="HM3460" s="501"/>
      <c r="HN3460" s="501"/>
      <c r="HO3460" s="501"/>
      <c r="HP3460" s="501"/>
      <c r="HQ3460" s="501"/>
      <c r="HR3460" s="501"/>
      <c r="HS3460" s="501"/>
      <c r="HT3460" s="501"/>
      <c r="HU3460" s="501"/>
      <c r="HV3460" s="501"/>
      <c r="HW3460" s="501"/>
      <c r="HX3460" s="501"/>
      <c r="HY3460" s="501"/>
      <c r="HZ3460" s="501"/>
      <c r="IA3460" s="501"/>
      <c r="IB3460" s="501"/>
      <c r="IC3460" s="501"/>
      <c r="ID3460" s="501"/>
      <c r="IE3460" s="501"/>
      <c r="IF3460" s="501"/>
      <c r="IG3460" s="501"/>
      <c r="IH3460" s="501"/>
      <c r="II3460" s="501"/>
      <c r="IJ3460" s="501"/>
      <c r="IK3460" s="501"/>
      <c r="IL3460" s="501"/>
      <c r="IM3460" s="501"/>
      <c r="IN3460" s="501"/>
      <c r="IO3460" s="501"/>
      <c r="IP3460" s="501"/>
      <c r="IQ3460" s="501"/>
      <c r="IR3460" s="501"/>
      <c r="IS3460" s="501"/>
      <c r="IT3460" s="501"/>
      <c r="IU3460" s="501"/>
    </row>
    <row r="3461" spans="1:255" s="877" customFormat="1" ht="24" customHeight="1">
      <c r="A3461" s="501"/>
      <c r="B3461" s="501"/>
      <c r="C3461" s="501"/>
      <c r="D3461" s="501"/>
      <c r="E3461" s="501"/>
      <c r="F3461" s="501"/>
      <c r="G3461" s="915"/>
      <c r="H3461" s="501"/>
      <c r="I3461" s="874"/>
      <c r="J3461" s="501"/>
      <c r="K3461" s="501"/>
      <c r="L3461" s="878"/>
      <c r="M3461" s="882"/>
      <c r="N3461" s="501"/>
      <c r="O3461" s="904"/>
      <c r="P3461" s="901"/>
      <c r="Q3461" s="876"/>
      <c r="R3461" s="883"/>
      <c r="S3461" s="880"/>
      <c r="T3461" s="545"/>
      <c r="V3461" s="501"/>
      <c r="W3461" s="501"/>
      <c r="X3461" s="501"/>
      <c r="Y3461" s="501"/>
      <c r="Z3461" s="501"/>
      <c r="AA3461" s="501"/>
      <c r="AB3461" s="501"/>
      <c r="AC3461" s="501"/>
      <c r="AD3461" s="501"/>
      <c r="AE3461" s="501"/>
      <c r="AF3461" s="501"/>
      <c r="AG3461" s="501"/>
      <c r="AH3461" s="501"/>
      <c r="AI3461" s="501"/>
      <c r="AJ3461" s="501"/>
      <c r="AK3461" s="501"/>
      <c r="AL3461" s="501"/>
      <c r="AM3461" s="501"/>
      <c r="AN3461" s="501"/>
      <c r="AO3461" s="501"/>
      <c r="AP3461" s="501"/>
      <c r="AQ3461" s="501"/>
      <c r="AR3461" s="501"/>
      <c r="AS3461" s="501"/>
      <c r="AT3461" s="501"/>
      <c r="AU3461" s="501"/>
      <c r="AV3461" s="501"/>
      <c r="AW3461" s="501"/>
      <c r="AX3461" s="501"/>
      <c r="AY3461" s="501"/>
      <c r="AZ3461" s="501"/>
      <c r="BA3461" s="501"/>
      <c r="BB3461" s="501"/>
      <c r="BC3461" s="501"/>
      <c r="BD3461" s="501"/>
      <c r="BE3461" s="501"/>
      <c r="BF3461" s="501"/>
      <c r="BG3461" s="501"/>
      <c r="BH3461" s="501"/>
      <c r="BI3461" s="501"/>
      <c r="BJ3461" s="501"/>
      <c r="BK3461" s="501"/>
      <c r="BL3461" s="501"/>
      <c r="BM3461" s="501"/>
      <c r="BN3461" s="501"/>
      <c r="BO3461" s="501"/>
      <c r="BP3461" s="501"/>
      <c r="BQ3461" s="501"/>
      <c r="BR3461" s="501"/>
      <c r="BS3461" s="501"/>
      <c r="BT3461" s="501"/>
      <c r="BU3461" s="501"/>
      <c r="BV3461" s="501"/>
      <c r="BW3461" s="501"/>
      <c r="BX3461" s="501"/>
      <c r="BY3461" s="501"/>
      <c r="BZ3461" s="501"/>
      <c r="CA3461" s="501"/>
      <c r="CB3461" s="501"/>
      <c r="CC3461" s="501"/>
      <c r="CD3461" s="501"/>
      <c r="CE3461" s="501"/>
      <c r="CF3461" s="501"/>
      <c r="CG3461" s="501"/>
      <c r="CH3461" s="501"/>
      <c r="CI3461" s="501"/>
      <c r="CJ3461" s="501"/>
      <c r="CK3461" s="501"/>
      <c r="CL3461" s="501"/>
      <c r="CM3461" s="501"/>
      <c r="CN3461" s="501"/>
      <c r="CO3461" s="501"/>
      <c r="CP3461" s="501"/>
      <c r="CQ3461" s="501"/>
      <c r="CR3461" s="501"/>
      <c r="CS3461" s="501"/>
      <c r="CT3461" s="501"/>
      <c r="CU3461" s="501"/>
      <c r="CV3461" s="501"/>
      <c r="CW3461" s="501"/>
      <c r="CX3461" s="501"/>
      <c r="CY3461" s="501"/>
      <c r="CZ3461" s="501"/>
      <c r="DA3461" s="501"/>
      <c r="DB3461" s="501"/>
      <c r="DC3461" s="501"/>
      <c r="DD3461" s="501"/>
      <c r="DE3461" s="501"/>
      <c r="DF3461" s="501"/>
      <c r="DG3461" s="501"/>
      <c r="DH3461" s="501"/>
      <c r="DI3461" s="501"/>
      <c r="DJ3461" s="501"/>
      <c r="DK3461" s="501"/>
      <c r="DL3461" s="501"/>
      <c r="DM3461" s="501"/>
      <c r="DN3461" s="501"/>
      <c r="DO3461" s="501"/>
      <c r="DP3461" s="501"/>
      <c r="DQ3461" s="501"/>
      <c r="DR3461" s="501"/>
      <c r="DS3461" s="501"/>
      <c r="DT3461" s="501"/>
      <c r="DU3461" s="501"/>
      <c r="DV3461" s="501"/>
      <c r="DW3461" s="501"/>
      <c r="DX3461" s="501"/>
      <c r="DY3461" s="501"/>
      <c r="DZ3461" s="501"/>
      <c r="EA3461" s="501"/>
      <c r="EB3461" s="501"/>
      <c r="EC3461" s="501"/>
      <c r="ED3461" s="501"/>
      <c r="EE3461" s="501"/>
      <c r="EF3461" s="501"/>
      <c r="EG3461" s="501"/>
      <c r="EH3461" s="501"/>
      <c r="EI3461" s="501"/>
      <c r="EJ3461" s="501"/>
      <c r="EK3461" s="501"/>
      <c r="EL3461" s="501"/>
      <c r="EM3461" s="501"/>
      <c r="EN3461" s="501"/>
      <c r="EO3461" s="501"/>
      <c r="EP3461" s="501"/>
      <c r="EQ3461" s="501"/>
      <c r="ER3461" s="501"/>
      <c r="ES3461" s="501"/>
      <c r="ET3461" s="501"/>
      <c r="EU3461" s="501"/>
      <c r="EV3461" s="501"/>
      <c r="EW3461" s="501"/>
      <c r="EX3461" s="501"/>
      <c r="EY3461" s="501"/>
      <c r="EZ3461" s="501"/>
      <c r="FA3461" s="501"/>
      <c r="FB3461" s="501"/>
      <c r="FC3461" s="501"/>
      <c r="FD3461" s="501"/>
      <c r="FE3461" s="501"/>
      <c r="FF3461" s="501"/>
      <c r="FG3461" s="501"/>
      <c r="FH3461" s="501"/>
      <c r="FI3461" s="501"/>
      <c r="FJ3461" s="501"/>
      <c r="FK3461" s="501"/>
      <c r="FL3461" s="501"/>
      <c r="FM3461" s="501"/>
      <c r="FN3461" s="501"/>
      <c r="FO3461" s="501"/>
      <c r="FP3461" s="501"/>
      <c r="FQ3461" s="501"/>
      <c r="FR3461" s="501"/>
      <c r="FS3461" s="501"/>
      <c r="FT3461" s="501"/>
      <c r="FU3461" s="501"/>
      <c r="FV3461" s="501"/>
      <c r="FW3461" s="501"/>
      <c r="FX3461" s="501"/>
      <c r="FY3461" s="501"/>
      <c r="FZ3461" s="501"/>
      <c r="GA3461" s="501"/>
      <c r="GB3461" s="501"/>
      <c r="GC3461" s="501"/>
      <c r="GD3461" s="501"/>
      <c r="GE3461" s="501"/>
      <c r="GF3461" s="501"/>
      <c r="GG3461" s="501"/>
      <c r="GH3461" s="501"/>
      <c r="GI3461" s="501"/>
      <c r="GJ3461" s="501"/>
      <c r="GK3461" s="501"/>
      <c r="GL3461" s="501"/>
      <c r="GM3461" s="501"/>
      <c r="GN3461" s="501"/>
      <c r="GO3461" s="501"/>
      <c r="GP3461" s="501"/>
      <c r="GQ3461" s="501"/>
      <c r="GR3461" s="501"/>
      <c r="GS3461" s="501"/>
      <c r="GT3461" s="501"/>
      <c r="GU3461" s="501"/>
      <c r="GV3461" s="501"/>
      <c r="GW3461" s="501"/>
      <c r="GX3461" s="501"/>
      <c r="GY3461" s="501"/>
      <c r="GZ3461" s="501"/>
      <c r="HA3461" s="501"/>
      <c r="HB3461" s="501"/>
      <c r="HC3461" s="501"/>
      <c r="HD3461" s="501"/>
      <c r="HE3461" s="501"/>
      <c r="HF3461" s="501"/>
      <c r="HG3461" s="501"/>
      <c r="HH3461" s="501"/>
      <c r="HI3461" s="501"/>
      <c r="HJ3461" s="501"/>
      <c r="HK3461" s="501"/>
      <c r="HL3461" s="501"/>
      <c r="HM3461" s="501"/>
      <c r="HN3461" s="501"/>
      <c r="HO3461" s="501"/>
      <c r="HP3461" s="501"/>
      <c r="HQ3461" s="501"/>
      <c r="HR3461" s="501"/>
      <c r="HS3461" s="501"/>
      <c r="HT3461" s="501"/>
      <c r="HU3461" s="501"/>
      <c r="HV3461" s="501"/>
      <c r="HW3461" s="501"/>
      <c r="HX3461" s="501"/>
      <c r="HY3461" s="501"/>
      <c r="HZ3461" s="501"/>
      <c r="IA3461" s="501"/>
      <c r="IB3461" s="501"/>
      <c r="IC3461" s="501"/>
      <c r="ID3461" s="501"/>
      <c r="IE3461" s="501"/>
      <c r="IF3461" s="501"/>
      <c r="IG3461" s="501"/>
      <c r="IH3461" s="501"/>
      <c r="II3461" s="501"/>
      <c r="IJ3461" s="501"/>
      <c r="IK3461" s="501"/>
      <c r="IL3461" s="501"/>
      <c r="IM3461" s="501"/>
      <c r="IN3461" s="501"/>
      <c r="IO3461" s="501"/>
      <c r="IP3461" s="501"/>
      <c r="IQ3461" s="501"/>
      <c r="IR3461" s="501"/>
      <c r="IS3461" s="501"/>
      <c r="IT3461" s="501"/>
      <c r="IU3461" s="501"/>
    </row>
    <row r="3462" spans="1:255" s="877" customFormat="1" ht="24" customHeight="1">
      <c r="A3462" s="501"/>
      <c r="B3462" s="501"/>
      <c r="C3462" s="501"/>
      <c r="D3462" s="501"/>
      <c r="E3462" s="501"/>
      <c r="F3462" s="501"/>
      <c r="G3462" s="915"/>
      <c r="H3462" s="501"/>
      <c r="I3462" s="874"/>
      <c r="J3462" s="876"/>
      <c r="K3462" s="501"/>
      <c r="L3462" s="878"/>
      <c r="M3462" s="882"/>
      <c r="N3462" s="501"/>
      <c r="O3462" s="904"/>
      <c r="P3462" s="901"/>
      <c r="Q3462" s="876"/>
      <c r="R3462" s="883"/>
      <c r="S3462" s="880"/>
      <c r="T3462" s="545"/>
      <c r="V3462" s="501"/>
      <c r="W3462" s="501"/>
      <c r="X3462" s="501"/>
      <c r="Y3462" s="501"/>
      <c r="Z3462" s="501"/>
      <c r="AA3462" s="501"/>
      <c r="AB3462" s="501"/>
      <c r="AC3462" s="501"/>
      <c r="AD3462" s="501"/>
      <c r="AE3462" s="501"/>
      <c r="AF3462" s="501"/>
      <c r="AG3462" s="501"/>
      <c r="AH3462" s="501"/>
      <c r="AI3462" s="501"/>
      <c r="AJ3462" s="501"/>
      <c r="AK3462" s="501"/>
      <c r="AL3462" s="501"/>
      <c r="AM3462" s="501"/>
      <c r="AN3462" s="501"/>
      <c r="AO3462" s="501"/>
      <c r="AP3462" s="501"/>
      <c r="AQ3462" s="501"/>
      <c r="AR3462" s="501"/>
      <c r="AS3462" s="501"/>
      <c r="AT3462" s="501"/>
      <c r="AU3462" s="501"/>
      <c r="AV3462" s="501"/>
      <c r="AW3462" s="501"/>
      <c r="AX3462" s="501"/>
      <c r="AY3462" s="501"/>
      <c r="AZ3462" s="501"/>
      <c r="BA3462" s="501"/>
      <c r="BB3462" s="501"/>
      <c r="BC3462" s="501"/>
      <c r="BD3462" s="501"/>
      <c r="BE3462" s="501"/>
      <c r="BF3462" s="501"/>
      <c r="BG3462" s="501"/>
      <c r="BH3462" s="501"/>
      <c r="BI3462" s="501"/>
      <c r="BJ3462" s="501"/>
      <c r="BK3462" s="501"/>
      <c r="BL3462" s="501"/>
      <c r="BM3462" s="501"/>
      <c r="BN3462" s="501"/>
      <c r="BO3462" s="501"/>
      <c r="BP3462" s="501"/>
      <c r="BQ3462" s="501"/>
      <c r="BR3462" s="501"/>
      <c r="BS3462" s="501"/>
      <c r="BT3462" s="501"/>
      <c r="BU3462" s="501"/>
      <c r="BV3462" s="501"/>
      <c r="BW3462" s="501"/>
      <c r="BX3462" s="501"/>
      <c r="BY3462" s="501"/>
      <c r="BZ3462" s="501"/>
      <c r="CA3462" s="501"/>
      <c r="CB3462" s="501"/>
      <c r="CC3462" s="501"/>
      <c r="CD3462" s="501"/>
      <c r="CE3462" s="501"/>
      <c r="CF3462" s="501"/>
      <c r="CG3462" s="501"/>
      <c r="CH3462" s="501"/>
      <c r="CI3462" s="501"/>
      <c r="CJ3462" s="501"/>
      <c r="CK3462" s="501"/>
      <c r="CL3462" s="501"/>
      <c r="CM3462" s="501"/>
      <c r="CN3462" s="501"/>
      <c r="CO3462" s="501"/>
      <c r="CP3462" s="501"/>
      <c r="CQ3462" s="501"/>
      <c r="CR3462" s="501"/>
      <c r="CS3462" s="501"/>
      <c r="CT3462" s="501"/>
      <c r="CU3462" s="501"/>
      <c r="CV3462" s="501"/>
      <c r="CW3462" s="501"/>
      <c r="CX3462" s="501"/>
      <c r="CY3462" s="501"/>
      <c r="CZ3462" s="501"/>
      <c r="DA3462" s="501"/>
      <c r="DB3462" s="501"/>
      <c r="DC3462" s="501"/>
      <c r="DD3462" s="501"/>
      <c r="DE3462" s="501"/>
      <c r="DF3462" s="501"/>
      <c r="DG3462" s="501"/>
      <c r="DH3462" s="501"/>
      <c r="DI3462" s="501"/>
      <c r="DJ3462" s="501"/>
      <c r="DK3462" s="501"/>
      <c r="DL3462" s="501"/>
      <c r="DM3462" s="501"/>
      <c r="DN3462" s="501"/>
      <c r="DO3462" s="501"/>
      <c r="DP3462" s="501"/>
      <c r="DQ3462" s="501"/>
      <c r="DR3462" s="501"/>
      <c r="DS3462" s="501"/>
      <c r="DT3462" s="501"/>
      <c r="DU3462" s="501"/>
      <c r="DV3462" s="501"/>
      <c r="DW3462" s="501"/>
      <c r="DX3462" s="501"/>
      <c r="DY3462" s="501"/>
      <c r="DZ3462" s="501"/>
      <c r="EA3462" s="501"/>
      <c r="EB3462" s="501"/>
      <c r="EC3462" s="501"/>
      <c r="ED3462" s="501"/>
      <c r="EE3462" s="501"/>
      <c r="EF3462" s="501"/>
      <c r="EG3462" s="501"/>
      <c r="EH3462" s="501"/>
      <c r="EI3462" s="501"/>
      <c r="EJ3462" s="501"/>
      <c r="EK3462" s="501"/>
      <c r="EL3462" s="501"/>
      <c r="EM3462" s="501"/>
      <c r="EN3462" s="501"/>
      <c r="EO3462" s="501"/>
      <c r="EP3462" s="501"/>
      <c r="EQ3462" s="501"/>
      <c r="ER3462" s="501"/>
      <c r="ES3462" s="501"/>
      <c r="ET3462" s="501"/>
      <c r="EU3462" s="501"/>
      <c r="EV3462" s="501"/>
      <c r="EW3462" s="501"/>
      <c r="EX3462" s="501"/>
      <c r="EY3462" s="501"/>
      <c r="EZ3462" s="501"/>
      <c r="FA3462" s="501"/>
      <c r="FB3462" s="501"/>
      <c r="FC3462" s="501"/>
      <c r="FD3462" s="501"/>
      <c r="FE3462" s="501"/>
      <c r="FF3462" s="501"/>
      <c r="FG3462" s="501"/>
      <c r="FH3462" s="501"/>
      <c r="FI3462" s="501"/>
      <c r="FJ3462" s="501"/>
      <c r="FK3462" s="501"/>
      <c r="FL3462" s="501"/>
      <c r="FM3462" s="501"/>
      <c r="FN3462" s="501"/>
      <c r="FO3462" s="501"/>
      <c r="FP3462" s="501"/>
      <c r="FQ3462" s="501"/>
      <c r="FR3462" s="501"/>
      <c r="FS3462" s="501"/>
      <c r="FT3462" s="501"/>
      <c r="FU3462" s="501"/>
      <c r="FV3462" s="501"/>
      <c r="FW3462" s="501"/>
      <c r="FX3462" s="501"/>
      <c r="FY3462" s="501"/>
      <c r="FZ3462" s="501"/>
      <c r="GA3462" s="501"/>
      <c r="GB3462" s="501"/>
      <c r="GC3462" s="501"/>
      <c r="GD3462" s="501"/>
      <c r="GE3462" s="501"/>
      <c r="GF3462" s="501"/>
      <c r="GG3462" s="501"/>
      <c r="GH3462" s="501"/>
      <c r="GI3462" s="501"/>
      <c r="GJ3462" s="501"/>
      <c r="GK3462" s="501"/>
      <c r="GL3462" s="501"/>
      <c r="GM3462" s="501"/>
      <c r="GN3462" s="501"/>
      <c r="GO3462" s="501"/>
      <c r="GP3462" s="501"/>
      <c r="GQ3462" s="501"/>
      <c r="GR3462" s="501"/>
      <c r="GS3462" s="501"/>
      <c r="GT3462" s="501"/>
      <c r="GU3462" s="501"/>
      <c r="GV3462" s="501"/>
      <c r="GW3462" s="501"/>
      <c r="GX3462" s="501"/>
      <c r="GY3462" s="501"/>
      <c r="GZ3462" s="501"/>
      <c r="HA3462" s="501"/>
      <c r="HB3462" s="501"/>
      <c r="HC3462" s="501"/>
      <c r="HD3462" s="501"/>
      <c r="HE3462" s="501"/>
      <c r="HF3462" s="501"/>
      <c r="HG3462" s="501"/>
      <c r="HH3462" s="501"/>
      <c r="HI3462" s="501"/>
      <c r="HJ3462" s="501"/>
      <c r="HK3462" s="501"/>
      <c r="HL3462" s="501"/>
      <c r="HM3462" s="501"/>
      <c r="HN3462" s="501"/>
      <c r="HO3462" s="501"/>
      <c r="HP3462" s="501"/>
      <c r="HQ3462" s="501"/>
      <c r="HR3462" s="501"/>
      <c r="HS3462" s="501"/>
      <c r="HT3462" s="501"/>
      <c r="HU3462" s="501"/>
      <c r="HV3462" s="501"/>
      <c r="HW3462" s="501"/>
      <c r="HX3462" s="501"/>
      <c r="HY3462" s="501"/>
      <c r="HZ3462" s="501"/>
      <c r="IA3462" s="501"/>
      <c r="IB3462" s="501"/>
      <c r="IC3462" s="501"/>
      <c r="ID3462" s="501"/>
      <c r="IE3462" s="501"/>
      <c r="IF3462" s="501"/>
      <c r="IG3462" s="501"/>
      <c r="IH3462" s="501"/>
      <c r="II3462" s="501"/>
      <c r="IJ3462" s="501"/>
      <c r="IK3462" s="501"/>
      <c r="IL3462" s="501"/>
      <c r="IM3462" s="501"/>
      <c r="IN3462" s="501"/>
      <c r="IO3462" s="501"/>
      <c r="IP3462" s="501"/>
      <c r="IQ3462" s="501"/>
      <c r="IR3462" s="501"/>
      <c r="IS3462" s="501"/>
      <c r="IT3462" s="501"/>
      <c r="IU3462" s="501"/>
    </row>
    <row r="3463" spans="1:255" s="877" customFormat="1" ht="24" customHeight="1">
      <c r="A3463" s="501"/>
      <c r="B3463" s="501"/>
      <c r="C3463" s="501"/>
      <c r="D3463" s="501"/>
      <c r="E3463" s="501"/>
      <c r="F3463" s="501"/>
      <c r="G3463" s="915"/>
      <c r="H3463" s="501"/>
      <c r="I3463" s="874"/>
      <c r="J3463" s="501"/>
      <c r="K3463" s="501"/>
      <c r="L3463" s="878"/>
      <c r="M3463" s="882"/>
      <c r="N3463" s="501"/>
      <c r="O3463" s="545"/>
      <c r="P3463" s="901"/>
      <c r="Q3463" s="876"/>
      <c r="R3463" s="883"/>
      <c r="S3463" s="880"/>
      <c r="T3463" s="545"/>
      <c r="V3463" s="501"/>
      <c r="W3463" s="501"/>
      <c r="X3463" s="501"/>
      <c r="Y3463" s="501"/>
      <c r="Z3463" s="501"/>
      <c r="AA3463" s="501"/>
      <c r="AB3463" s="501"/>
      <c r="AC3463" s="501"/>
      <c r="AD3463" s="501"/>
      <c r="AE3463" s="501"/>
      <c r="AF3463" s="501"/>
      <c r="AG3463" s="501"/>
      <c r="AH3463" s="501"/>
      <c r="AI3463" s="501"/>
      <c r="AJ3463" s="501"/>
      <c r="AK3463" s="501"/>
      <c r="AL3463" s="501"/>
      <c r="AM3463" s="501"/>
      <c r="AN3463" s="501"/>
      <c r="AO3463" s="501"/>
      <c r="AP3463" s="501"/>
      <c r="AQ3463" s="501"/>
      <c r="AR3463" s="501"/>
      <c r="AS3463" s="501"/>
      <c r="AT3463" s="501"/>
      <c r="AU3463" s="501"/>
      <c r="AV3463" s="501"/>
      <c r="AW3463" s="501"/>
      <c r="AX3463" s="501"/>
      <c r="AY3463" s="501"/>
      <c r="AZ3463" s="501"/>
      <c r="BA3463" s="501"/>
      <c r="BB3463" s="501"/>
      <c r="BC3463" s="501"/>
      <c r="BD3463" s="501"/>
      <c r="BE3463" s="501"/>
      <c r="BF3463" s="501"/>
      <c r="BG3463" s="501"/>
      <c r="BH3463" s="501"/>
      <c r="BI3463" s="501"/>
      <c r="BJ3463" s="501"/>
      <c r="BK3463" s="501"/>
      <c r="BL3463" s="501"/>
      <c r="BM3463" s="501"/>
      <c r="BN3463" s="501"/>
      <c r="BO3463" s="501"/>
      <c r="BP3463" s="501"/>
      <c r="BQ3463" s="501"/>
      <c r="BR3463" s="501"/>
      <c r="BS3463" s="501"/>
      <c r="BT3463" s="501"/>
      <c r="BU3463" s="501"/>
      <c r="BV3463" s="501"/>
      <c r="BW3463" s="501"/>
      <c r="BX3463" s="501"/>
      <c r="BY3463" s="501"/>
      <c r="BZ3463" s="501"/>
      <c r="CA3463" s="501"/>
      <c r="CB3463" s="501"/>
      <c r="CC3463" s="501"/>
      <c r="CD3463" s="501"/>
      <c r="CE3463" s="501"/>
      <c r="CF3463" s="501"/>
      <c r="CG3463" s="501"/>
      <c r="CH3463" s="501"/>
      <c r="CI3463" s="501"/>
      <c r="CJ3463" s="501"/>
      <c r="CK3463" s="501"/>
      <c r="CL3463" s="501"/>
      <c r="CM3463" s="501"/>
      <c r="CN3463" s="501"/>
      <c r="CO3463" s="501"/>
      <c r="CP3463" s="501"/>
      <c r="CQ3463" s="501"/>
      <c r="CR3463" s="501"/>
      <c r="CS3463" s="501"/>
      <c r="CT3463" s="501"/>
      <c r="CU3463" s="501"/>
      <c r="CV3463" s="501"/>
      <c r="CW3463" s="501"/>
      <c r="CX3463" s="501"/>
      <c r="CY3463" s="501"/>
      <c r="CZ3463" s="501"/>
      <c r="DA3463" s="501"/>
      <c r="DB3463" s="501"/>
      <c r="DC3463" s="501"/>
      <c r="DD3463" s="501"/>
      <c r="DE3463" s="501"/>
      <c r="DF3463" s="501"/>
      <c r="DG3463" s="501"/>
      <c r="DH3463" s="501"/>
      <c r="DI3463" s="501"/>
      <c r="DJ3463" s="501"/>
      <c r="DK3463" s="501"/>
      <c r="DL3463" s="501"/>
      <c r="DM3463" s="501"/>
      <c r="DN3463" s="501"/>
      <c r="DO3463" s="501"/>
      <c r="DP3463" s="501"/>
      <c r="DQ3463" s="501"/>
      <c r="DR3463" s="501"/>
      <c r="DS3463" s="501"/>
      <c r="DT3463" s="501"/>
      <c r="DU3463" s="501"/>
      <c r="DV3463" s="501"/>
      <c r="DW3463" s="501"/>
      <c r="DX3463" s="501"/>
      <c r="DY3463" s="501"/>
      <c r="DZ3463" s="501"/>
      <c r="EA3463" s="501"/>
      <c r="EB3463" s="501"/>
      <c r="EC3463" s="501"/>
      <c r="ED3463" s="501"/>
      <c r="EE3463" s="501"/>
      <c r="EF3463" s="501"/>
      <c r="EG3463" s="501"/>
      <c r="EH3463" s="501"/>
      <c r="EI3463" s="501"/>
      <c r="EJ3463" s="501"/>
      <c r="EK3463" s="501"/>
      <c r="EL3463" s="501"/>
      <c r="EM3463" s="501"/>
      <c r="EN3463" s="501"/>
      <c r="EO3463" s="501"/>
      <c r="EP3463" s="501"/>
      <c r="EQ3463" s="501"/>
      <c r="ER3463" s="501"/>
      <c r="ES3463" s="501"/>
      <c r="ET3463" s="501"/>
      <c r="EU3463" s="501"/>
      <c r="EV3463" s="501"/>
      <c r="EW3463" s="501"/>
      <c r="EX3463" s="501"/>
      <c r="EY3463" s="501"/>
      <c r="EZ3463" s="501"/>
      <c r="FA3463" s="501"/>
      <c r="FB3463" s="501"/>
      <c r="FC3463" s="501"/>
      <c r="FD3463" s="501"/>
      <c r="FE3463" s="501"/>
      <c r="FF3463" s="501"/>
      <c r="FG3463" s="501"/>
      <c r="FH3463" s="501"/>
      <c r="FI3463" s="501"/>
      <c r="FJ3463" s="501"/>
      <c r="FK3463" s="501"/>
      <c r="FL3463" s="501"/>
      <c r="FM3463" s="501"/>
      <c r="FN3463" s="501"/>
      <c r="FO3463" s="501"/>
      <c r="FP3463" s="501"/>
      <c r="FQ3463" s="501"/>
      <c r="FR3463" s="501"/>
      <c r="FS3463" s="501"/>
      <c r="FT3463" s="501"/>
      <c r="FU3463" s="501"/>
      <c r="FV3463" s="501"/>
      <c r="FW3463" s="501"/>
      <c r="FX3463" s="501"/>
      <c r="FY3463" s="501"/>
      <c r="FZ3463" s="501"/>
      <c r="GA3463" s="501"/>
      <c r="GB3463" s="501"/>
      <c r="GC3463" s="501"/>
      <c r="GD3463" s="501"/>
      <c r="GE3463" s="501"/>
      <c r="GF3463" s="501"/>
      <c r="GG3463" s="501"/>
      <c r="GH3463" s="501"/>
      <c r="GI3463" s="501"/>
      <c r="GJ3463" s="501"/>
      <c r="GK3463" s="501"/>
      <c r="GL3463" s="501"/>
      <c r="GM3463" s="501"/>
      <c r="GN3463" s="501"/>
      <c r="GO3463" s="501"/>
      <c r="GP3463" s="501"/>
      <c r="GQ3463" s="501"/>
      <c r="GR3463" s="501"/>
      <c r="GS3463" s="501"/>
      <c r="GT3463" s="501"/>
      <c r="GU3463" s="501"/>
      <c r="GV3463" s="501"/>
      <c r="GW3463" s="501"/>
      <c r="GX3463" s="501"/>
      <c r="GY3463" s="501"/>
      <c r="GZ3463" s="501"/>
      <c r="HA3463" s="501"/>
      <c r="HB3463" s="501"/>
      <c r="HC3463" s="501"/>
      <c r="HD3463" s="501"/>
      <c r="HE3463" s="501"/>
      <c r="HF3463" s="501"/>
      <c r="HG3463" s="501"/>
      <c r="HH3463" s="501"/>
      <c r="HI3463" s="501"/>
      <c r="HJ3463" s="501"/>
      <c r="HK3463" s="501"/>
      <c r="HL3463" s="501"/>
      <c r="HM3463" s="501"/>
      <c r="HN3463" s="501"/>
      <c r="HO3463" s="501"/>
      <c r="HP3463" s="501"/>
      <c r="HQ3463" s="501"/>
      <c r="HR3463" s="501"/>
      <c r="HS3463" s="501"/>
      <c r="HT3463" s="501"/>
      <c r="HU3463" s="501"/>
      <c r="HV3463" s="501"/>
      <c r="HW3463" s="501"/>
      <c r="HX3463" s="501"/>
      <c r="HY3463" s="501"/>
      <c r="HZ3463" s="501"/>
      <c r="IA3463" s="501"/>
      <c r="IB3463" s="501"/>
      <c r="IC3463" s="501"/>
      <c r="ID3463" s="501"/>
      <c r="IE3463" s="501"/>
      <c r="IF3463" s="501"/>
      <c r="IG3463" s="501"/>
      <c r="IH3463" s="501"/>
      <c r="II3463" s="501"/>
      <c r="IJ3463" s="501"/>
      <c r="IK3463" s="501"/>
      <c r="IL3463" s="501"/>
      <c r="IM3463" s="501"/>
      <c r="IN3463" s="501"/>
      <c r="IO3463" s="501"/>
      <c r="IP3463" s="501"/>
      <c r="IQ3463" s="501"/>
      <c r="IR3463" s="501"/>
      <c r="IS3463" s="501"/>
      <c r="IT3463" s="501"/>
      <c r="IU3463" s="501"/>
    </row>
    <row r="3464" spans="1:255" s="877" customFormat="1" ht="24" customHeight="1">
      <c r="A3464" s="501"/>
      <c r="B3464" s="501"/>
      <c r="C3464" s="501"/>
      <c r="D3464" s="501"/>
      <c r="E3464" s="501"/>
      <c r="F3464" s="501"/>
      <c r="G3464" s="915"/>
      <c r="H3464" s="501"/>
      <c r="I3464" s="874"/>
      <c r="J3464" s="876"/>
      <c r="K3464" s="501"/>
      <c r="L3464" s="878"/>
      <c r="M3464" s="883"/>
      <c r="N3464" s="501"/>
      <c r="O3464" s="545"/>
      <c r="P3464" s="901"/>
      <c r="Q3464" s="876"/>
      <c r="R3464" s="883"/>
      <c r="S3464" s="880"/>
      <c r="T3464" s="545"/>
      <c r="V3464" s="501"/>
      <c r="W3464" s="501"/>
      <c r="X3464" s="501"/>
      <c r="Y3464" s="501"/>
      <c r="Z3464" s="501"/>
      <c r="AA3464" s="501"/>
      <c r="AB3464" s="501"/>
      <c r="AC3464" s="501"/>
      <c r="AD3464" s="501"/>
      <c r="AE3464" s="501"/>
      <c r="AF3464" s="501"/>
      <c r="AG3464" s="501"/>
      <c r="AH3464" s="501"/>
      <c r="AI3464" s="501"/>
      <c r="AJ3464" s="501"/>
      <c r="AK3464" s="501"/>
      <c r="AL3464" s="501"/>
      <c r="AM3464" s="501"/>
      <c r="AN3464" s="501"/>
      <c r="AO3464" s="501"/>
      <c r="AP3464" s="501"/>
      <c r="AQ3464" s="501"/>
      <c r="AR3464" s="501"/>
      <c r="AS3464" s="501"/>
      <c r="AT3464" s="501"/>
      <c r="AU3464" s="501"/>
      <c r="AV3464" s="501"/>
      <c r="AW3464" s="501"/>
      <c r="AX3464" s="501"/>
      <c r="AY3464" s="501"/>
      <c r="AZ3464" s="501"/>
      <c r="BA3464" s="501"/>
      <c r="BB3464" s="501"/>
      <c r="BC3464" s="501"/>
      <c r="BD3464" s="501"/>
      <c r="BE3464" s="501"/>
      <c r="BF3464" s="501"/>
      <c r="BG3464" s="501"/>
      <c r="BH3464" s="501"/>
      <c r="BI3464" s="501"/>
      <c r="BJ3464" s="501"/>
      <c r="BK3464" s="501"/>
      <c r="BL3464" s="501"/>
      <c r="BM3464" s="501"/>
      <c r="BN3464" s="501"/>
      <c r="BO3464" s="501"/>
      <c r="BP3464" s="501"/>
      <c r="BQ3464" s="501"/>
      <c r="BR3464" s="501"/>
      <c r="BS3464" s="501"/>
      <c r="BT3464" s="501"/>
      <c r="BU3464" s="501"/>
      <c r="BV3464" s="501"/>
      <c r="BW3464" s="501"/>
      <c r="BX3464" s="501"/>
      <c r="BY3464" s="501"/>
      <c r="BZ3464" s="501"/>
      <c r="CA3464" s="501"/>
      <c r="CB3464" s="501"/>
      <c r="CC3464" s="501"/>
      <c r="CD3464" s="501"/>
      <c r="CE3464" s="501"/>
      <c r="CF3464" s="501"/>
      <c r="CG3464" s="501"/>
      <c r="CH3464" s="501"/>
      <c r="CI3464" s="501"/>
      <c r="CJ3464" s="501"/>
      <c r="CK3464" s="501"/>
      <c r="CL3464" s="501"/>
      <c r="CM3464" s="501"/>
      <c r="CN3464" s="501"/>
      <c r="CO3464" s="501"/>
      <c r="CP3464" s="501"/>
      <c r="CQ3464" s="501"/>
      <c r="CR3464" s="501"/>
      <c r="CS3464" s="501"/>
      <c r="CT3464" s="501"/>
      <c r="CU3464" s="501"/>
      <c r="CV3464" s="501"/>
      <c r="CW3464" s="501"/>
      <c r="CX3464" s="501"/>
      <c r="CY3464" s="501"/>
      <c r="CZ3464" s="501"/>
      <c r="DA3464" s="501"/>
      <c r="DB3464" s="501"/>
      <c r="DC3464" s="501"/>
      <c r="DD3464" s="501"/>
      <c r="DE3464" s="501"/>
      <c r="DF3464" s="501"/>
      <c r="DG3464" s="501"/>
      <c r="DH3464" s="501"/>
      <c r="DI3464" s="501"/>
      <c r="DJ3464" s="501"/>
      <c r="DK3464" s="501"/>
      <c r="DL3464" s="501"/>
      <c r="DM3464" s="501"/>
      <c r="DN3464" s="501"/>
      <c r="DO3464" s="501"/>
      <c r="DP3464" s="501"/>
      <c r="DQ3464" s="501"/>
      <c r="DR3464" s="501"/>
      <c r="DS3464" s="501"/>
      <c r="DT3464" s="501"/>
      <c r="DU3464" s="501"/>
      <c r="DV3464" s="501"/>
      <c r="DW3464" s="501"/>
      <c r="DX3464" s="501"/>
      <c r="DY3464" s="501"/>
      <c r="DZ3464" s="501"/>
      <c r="EA3464" s="501"/>
      <c r="EB3464" s="501"/>
      <c r="EC3464" s="501"/>
      <c r="ED3464" s="501"/>
      <c r="EE3464" s="501"/>
      <c r="EF3464" s="501"/>
      <c r="EG3464" s="501"/>
      <c r="EH3464" s="501"/>
      <c r="EI3464" s="501"/>
      <c r="EJ3464" s="501"/>
      <c r="EK3464" s="501"/>
      <c r="EL3464" s="501"/>
      <c r="EM3464" s="501"/>
      <c r="EN3464" s="501"/>
      <c r="EO3464" s="501"/>
      <c r="EP3464" s="501"/>
      <c r="EQ3464" s="501"/>
      <c r="ER3464" s="501"/>
      <c r="ES3464" s="501"/>
      <c r="ET3464" s="501"/>
      <c r="EU3464" s="501"/>
      <c r="EV3464" s="501"/>
      <c r="EW3464" s="501"/>
      <c r="EX3464" s="501"/>
      <c r="EY3464" s="501"/>
      <c r="EZ3464" s="501"/>
      <c r="FA3464" s="501"/>
      <c r="FB3464" s="501"/>
      <c r="FC3464" s="501"/>
      <c r="FD3464" s="501"/>
      <c r="FE3464" s="501"/>
      <c r="FF3464" s="501"/>
      <c r="FG3464" s="501"/>
      <c r="FH3464" s="501"/>
      <c r="FI3464" s="501"/>
      <c r="FJ3464" s="501"/>
      <c r="FK3464" s="501"/>
      <c r="FL3464" s="501"/>
      <c r="FM3464" s="501"/>
      <c r="FN3464" s="501"/>
      <c r="FO3464" s="501"/>
      <c r="FP3464" s="501"/>
      <c r="FQ3464" s="501"/>
      <c r="FR3464" s="501"/>
      <c r="FS3464" s="501"/>
      <c r="FT3464" s="501"/>
      <c r="FU3464" s="501"/>
      <c r="FV3464" s="501"/>
      <c r="FW3464" s="501"/>
      <c r="FX3464" s="501"/>
      <c r="FY3464" s="501"/>
      <c r="FZ3464" s="501"/>
      <c r="GA3464" s="501"/>
      <c r="GB3464" s="501"/>
      <c r="GC3464" s="501"/>
      <c r="GD3464" s="501"/>
      <c r="GE3464" s="501"/>
      <c r="GF3464" s="501"/>
      <c r="GG3464" s="501"/>
      <c r="GH3464" s="501"/>
      <c r="GI3464" s="501"/>
      <c r="GJ3464" s="501"/>
      <c r="GK3464" s="501"/>
      <c r="GL3464" s="501"/>
      <c r="GM3464" s="501"/>
      <c r="GN3464" s="501"/>
      <c r="GO3464" s="501"/>
      <c r="GP3464" s="501"/>
      <c r="GQ3464" s="501"/>
      <c r="GR3464" s="501"/>
      <c r="GS3464" s="501"/>
      <c r="GT3464" s="501"/>
      <c r="GU3464" s="501"/>
      <c r="GV3464" s="501"/>
      <c r="GW3464" s="501"/>
      <c r="GX3464" s="501"/>
      <c r="GY3464" s="501"/>
      <c r="GZ3464" s="501"/>
      <c r="HA3464" s="501"/>
      <c r="HB3464" s="501"/>
      <c r="HC3464" s="501"/>
      <c r="HD3464" s="501"/>
      <c r="HE3464" s="501"/>
      <c r="HF3464" s="501"/>
      <c r="HG3464" s="501"/>
      <c r="HH3464" s="501"/>
      <c r="HI3464" s="501"/>
      <c r="HJ3464" s="501"/>
      <c r="HK3464" s="501"/>
      <c r="HL3464" s="501"/>
      <c r="HM3464" s="501"/>
      <c r="HN3464" s="501"/>
      <c r="HO3464" s="501"/>
      <c r="HP3464" s="501"/>
      <c r="HQ3464" s="501"/>
      <c r="HR3464" s="501"/>
      <c r="HS3464" s="501"/>
      <c r="HT3464" s="501"/>
      <c r="HU3464" s="501"/>
      <c r="HV3464" s="501"/>
      <c r="HW3464" s="501"/>
      <c r="HX3464" s="501"/>
      <c r="HY3464" s="501"/>
      <c r="HZ3464" s="501"/>
      <c r="IA3464" s="501"/>
      <c r="IB3464" s="501"/>
      <c r="IC3464" s="501"/>
      <c r="ID3464" s="501"/>
      <c r="IE3464" s="501"/>
      <c r="IF3464" s="501"/>
      <c r="IG3464" s="501"/>
      <c r="IH3464" s="501"/>
      <c r="II3464" s="501"/>
      <c r="IJ3464" s="501"/>
      <c r="IK3464" s="501"/>
      <c r="IL3464" s="501"/>
      <c r="IM3464" s="501"/>
      <c r="IN3464" s="501"/>
      <c r="IO3464" s="501"/>
      <c r="IP3464" s="501"/>
      <c r="IQ3464" s="501"/>
      <c r="IR3464" s="501"/>
      <c r="IS3464" s="501"/>
      <c r="IT3464" s="501"/>
      <c r="IU3464" s="501"/>
    </row>
    <row r="3465" spans="1:255" s="877" customFormat="1" ht="24" customHeight="1">
      <c r="A3465" s="501"/>
      <c r="B3465" s="501"/>
      <c r="C3465" s="501"/>
      <c r="D3465" s="501"/>
      <c r="E3465" s="501"/>
      <c r="F3465" s="501"/>
      <c r="G3465" s="915"/>
      <c r="H3465" s="501"/>
      <c r="I3465" s="874"/>
      <c r="J3465" s="501"/>
      <c r="K3465" s="501"/>
      <c r="L3465" s="878"/>
      <c r="M3465" s="882"/>
      <c r="N3465" s="501"/>
      <c r="O3465" s="545"/>
      <c r="P3465" s="901"/>
      <c r="Q3465" s="876"/>
      <c r="R3465" s="883"/>
      <c r="S3465" s="880"/>
      <c r="T3465" s="545"/>
      <c r="V3465" s="501"/>
      <c r="W3465" s="501"/>
      <c r="X3465" s="501"/>
      <c r="Y3465" s="501"/>
      <c r="Z3465" s="501"/>
      <c r="AA3465" s="501"/>
      <c r="AB3465" s="501"/>
      <c r="AC3465" s="501"/>
      <c r="AD3465" s="501"/>
      <c r="AE3465" s="501"/>
      <c r="AF3465" s="501"/>
      <c r="AG3465" s="501"/>
      <c r="AH3465" s="501"/>
      <c r="AI3465" s="501"/>
      <c r="AJ3465" s="501"/>
      <c r="AK3465" s="501"/>
      <c r="AL3465" s="501"/>
      <c r="AM3465" s="501"/>
      <c r="AN3465" s="501"/>
      <c r="AO3465" s="501"/>
      <c r="AP3465" s="501"/>
      <c r="AQ3465" s="501"/>
      <c r="AR3465" s="501"/>
      <c r="AS3465" s="501"/>
      <c r="AT3465" s="501"/>
      <c r="AU3465" s="501"/>
      <c r="AV3465" s="501"/>
      <c r="AW3465" s="501"/>
      <c r="AX3465" s="501"/>
      <c r="AY3465" s="501"/>
      <c r="AZ3465" s="501"/>
      <c r="BA3465" s="501"/>
      <c r="BB3465" s="501"/>
      <c r="BC3465" s="501"/>
      <c r="BD3465" s="501"/>
      <c r="BE3465" s="501"/>
      <c r="BF3465" s="501"/>
      <c r="BG3465" s="501"/>
      <c r="BH3465" s="501"/>
      <c r="BI3465" s="501"/>
      <c r="BJ3465" s="501"/>
      <c r="BK3465" s="501"/>
      <c r="BL3465" s="501"/>
      <c r="BM3465" s="501"/>
      <c r="BN3465" s="501"/>
      <c r="BO3465" s="501"/>
      <c r="BP3465" s="501"/>
      <c r="BQ3465" s="501"/>
      <c r="BR3465" s="501"/>
      <c r="BS3465" s="501"/>
      <c r="BT3465" s="501"/>
      <c r="BU3465" s="501"/>
      <c r="BV3465" s="501"/>
      <c r="BW3465" s="501"/>
      <c r="BX3465" s="501"/>
      <c r="BY3465" s="501"/>
      <c r="BZ3465" s="501"/>
      <c r="CA3465" s="501"/>
      <c r="CB3465" s="501"/>
      <c r="CC3465" s="501"/>
      <c r="CD3465" s="501"/>
      <c r="CE3465" s="501"/>
      <c r="CF3465" s="501"/>
      <c r="CG3465" s="501"/>
      <c r="CH3465" s="501"/>
      <c r="CI3465" s="501"/>
      <c r="CJ3465" s="501"/>
      <c r="CK3465" s="501"/>
      <c r="CL3465" s="501"/>
      <c r="CM3465" s="501"/>
      <c r="CN3465" s="501"/>
      <c r="CO3465" s="501"/>
      <c r="CP3465" s="501"/>
      <c r="CQ3465" s="501"/>
      <c r="CR3465" s="501"/>
      <c r="CS3465" s="501"/>
      <c r="CT3465" s="501"/>
      <c r="CU3465" s="501"/>
      <c r="CV3465" s="501"/>
      <c r="CW3465" s="501"/>
      <c r="CX3465" s="501"/>
      <c r="CY3465" s="501"/>
      <c r="CZ3465" s="501"/>
      <c r="DA3465" s="501"/>
      <c r="DB3465" s="501"/>
      <c r="DC3465" s="501"/>
      <c r="DD3465" s="501"/>
      <c r="DE3465" s="501"/>
      <c r="DF3465" s="501"/>
      <c r="DG3465" s="501"/>
      <c r="DH3465" s="501"/>
      <c r="DI3465" s="501"/>
      <c r="DJ3465" s="501"/>
      <c r="DK3465" s="501"/>
      <c r="DL3465" s="501"/>
      <c r="DM3465" s="501"/>
      <c r="DN3465" s="501"/>
      <c r="DO3465" s="501"/>
      <c r="DP3465" s="501"/>
      <c r="DQ3465" s="501"/>
      <c r="DR3465" s="501"/>
      <c r="DS3465" s="501"/>
      <c r="DT3465" s="501"/>
      <c r="DU3465" s="501"/>
      <c r="DV3465" s="501"/>
      <c r="DW3465" s="501"/>
      <c r="DX3465" s="501"/>
      <c r="DY3465" s="501"/>
      <c r="DZ3465" s="501"/>
      <c r="EA3465" s="501"/>
      <c r="EB3465" s="501"/>
      <c r="EC3465" s="501"/>
      <c r="ED3465" s="501"/>
      <c r="EE3465" s="501"/>
      <c r="EF3465" s="501"/>
      <c r="EG3465" s="501"/>
      <c r="EH3465" s="501"/>
      <c r="EI3465" s="501"/>
      <c r="EJ3465" s="501"/>
      <c r="EK3465" s="501"/>
      <c r="EL3465" s="501"/>
      <c r="EM3465" s="501"/>
      <c r="EN3465" s="501"/>
      <c r="EO3465" s="501"/>
      <c r="EP3465" s="501"/>
      <c r="EQ3465" s="501"/>
      <c r="ER3465" s="501"/>
      <c r="ES3465" s="501"/>
      <c r="ET3465" s="501"/>
      <c r="EU3465" s="501"/>
      <c r="EV3465" s="501"/>
      <c r="EW3465" s="501"/>
      <c r="EX3465" s="501"/>
      <c r="EY3465" s="501"/>
      <c r="EZ3465" s="501"/>
      <c r="FA3465" s="501"/>
      <c r="FB3465" s="501"/>
      <c r="FC3465" s="501"/>
      <c r="FD3465" s="501"/>
      <c r="FE3465" s="501"/>
      <c r="FF3465" s="501"/>
      <c r="FG3465" s="501"/>
      <c r="FH3465" s="501"/>
      <c r="FI3465" s="501"/>
      <c r="FJ3465" s="501"/>
      <c r="FK3465" s="501"/>
      <c r="FL3465" s="501"/>
      <c r="FM3465" s="501"/>
      <c r="FN3465" s="501"/>
      <c r="FO3465" s="501"/>
      <c r="FP3465" s="501"/>
      <c r="FQ3465" s="501"/>
      <c r="FR3465" s="501"/>
      <c r="FS3465" s="501"/>
      <c r="FT3465" s="501"/>
      <c r="FU3465" s="501"/>
      <c r="FV3465" s="501"/>
      <c r="FW3465" s="501"/>
      <c r="FX3465" s="501"/>
      <c r="FY3465" s="501"/>
      <c r="FZ3465" s="501"/>
      <c r="GA3465" s="501"/>
      <c r="GB3465" s="501"/>
      <c r="GC3465" s="501"/>
      <c r="GD3465" s="501"/>
      <c r="GE3465" s="501"/>
      <c r="GF3465" s="501"/>
      <c r="GG3465" s="501"/>
      <c r="GH3465" s="501"/>
      <c r="GI3465" s="501"/>
      <c r="GJ3465" s="501"/>
      <c r="GK3465" s="501"/>
      <c r="GL3465" s="501"/>
      <c r="GM3465" s="501"/>
      <c r="GN3465" s="501"/>
      <c r="GO3465" s="501"/>
      <c r="GP3465" s="501"/>
      <c r="GQ3465" s="501"/>
      <c r="GR3465" s="501"/>
      <c r="GS3465" s="501"/>
      <c r="GT3465" s="501"/>
      <c r="GU3465" s="501"/>
      <c r="GV3465" s="501"/>
      <c r="GW3465" s="501"/>
      <c r="GX3465" s="501"/>
      <c r="GY3465" s="501"/>
      <c r="GZ3465" s="501"/>
      <c r="HA3465" s="501"/>
      <c r="HB3465" s="501"/>
      <c r="HC3465" s="501"/>
      <c r="HD3465" s="501"/>
      <c r="HE3465" s="501"/>
      <c r="HF3465" s="501"/>
      <c r="HG3465" s="501"/>
      <c r="HH3465" s="501"/>
      <c r="HI3465" s="501"/>
      <c r="HJ3465" s="501"/>
      <c r="HK3465" s="501"/>
      <c r="HL3465" s="501"/>
      <c r="HM3465" s="501"/>
      <c r="HN3465" s="501"/>
      <c r="HO3465" s="501"/>
      <c r="HP3465" s="501"/>
      <c r="HQ3465" s="501"/>
      <c r="HR3465" s="501"/>
      <c r="HS3465" s="501"/>
      <c r="HT3465" s="501"/>
      <c r="HU3465" s="501"/>
      <c r="HV3465" s="501"/>
      <c r="HW3465" s="501"/>
      <c r="HX3465" s="501"/>
      <c r="HY3465" s="501"/>
      <c r="HZ3465" s="501"/>
      <c r="IA3465" s="501"/>
      <c r="IB3465" s="501"/>
      <c r="IC3465" s="501"/>
      <c r="ID3465" s="501"/>
      <c r="IE3465" s="501"/>
      <c r="IF3465" s="501"/>
      <c r="IG3465" s="501"/>
      <c r="IH3465" s="501"/>
      <c r="II3465" s="501"/>
      <c r="IJ3465" s="501"/>
      <c r="IK3465" s="501"/>
      <c r="IL3465" s="501"/>
      <c r="IM3465" s="501"/>
      <c r="IN3465" s="501"/>
      <c r="IO3465" s="501"/>
      <c r="IP3465" s="501"/>
      <c r="IQ3465" s="501"/>
      <c r="IR3465" s="501"/>
      <c r="IS3465" s="501"/>
      <c r="IT3465" s="501"/>
      <c r="IU3465" s="501"/>
    </row>
    <row r="3466" spans="1:255" ht="24" customHeight="1">
      <c r="P3466" s="901"/>
      <c r="Q3466" s="876"/>
      <c r="R3466" s="545"/>
      <c r="S3466" s="880"/>
      <c r="T3466" s="545"/>
    </row>
    <row r="3467" spans="1:255" ht="24" customHeight="1">
      <c r="P3467" s="902"/>
      <c r="S3467" s="878"/>
      <c r="T3467" s="881"/>
    </row>
    <row r="3468" spans="1:255" ht="24" customHeight="1">
      <c r="P3468" s="902"/>
      <c r="Q3468" s="876"/>
      <c r="S3468" s="878"/>
      <c r="T3468" s="545"/>
    </row>
    <row r="3469" spans="1:255" ht="24" customHeight="1">
      <c r="P3469" s="902"/>
      <c r="S3469" s="878"/>
      <c r="T3469" s="881"/>
    </row>
    <row r="3470" spans="1:255" ht="24" customHeight="1">
      <c r="I3470" s="1205"/>
      <c r="J3470" s="1206"/>
      <c r="P3470" s="902"/>
      <c r="Q3470" s="876"/>
      <c r="S3470" s="878"/>
      <c r="T3470" s="892"/>
    </row>
    <row r="3471" spans="1:255" ht="24" customHeight="1">
      <c r="F3471" s="927"/>
      <c r="G3471" s="1064"/>
      <c r="H3471" s="927"/>
      <c r="L3471" s="501"/>
      <c r="P3471" s="902"/>
      <c r="S3471" s="878"/>
      <c r="T3471" s="881"/>
    </row>
    <row r="3472" spans="1:255" ht="24" customHeight="1">
      <c r="F3472" s="877"/>
      <c r="G3472" s="1043"/>
      <c r="H3472" s="877"/>
      <c r="L3472" s="501"/>
    </row>
    <row r="3473" spans="6:21" ht="24" customHeight="1">
      <c r="J3473" s="876"/>
      <c r="L3473" s="501"/>
    </row>
    <row r="3474" spans="6:21" ht="24" customHeight="1">
      <c r="J3474" s="876"/>
    </row>
    <row r="3475" spans="6:21" ht="24" customHeight="1">
      <c r="I3475" s="876"/>
      <c r="J3475" s="933"/>
    </row>
    <row r="3476" spans="6:21" ht="24" customHeight="1">
      <c r="I3476" s="876"/>
      <c r="U3476" s="1196"/>
    </row>
    <row r="3477" spans="6:21" ht="24" customHeight="1">
      <c r="I3477" s="876"/>
    </row>
    <row r="3478" spans="6:21" ht="24" customHeight="1">
      <c r="I3478" s="876"/>
      <c r="J3478" s="876"/>
    </row>
    <row r="3479" spans="6:21" ht="24" customHeight="1">
      <c r="I3479" s="876"/>
    </row>
    <row r="3480" spans="6:21" ht="24" customHeight="1">
      <c r="I3480" s="876"/>
      <c r="J3480" s="876"/>
    </row>
    <row r="3481" spans="6:21" ht="24" customHeight="1">
      <c r="I3481" s="876"/>
      <c r="J3481" s="876"/>
    </row>
    <row r="3482" spans="6:21" ht="24" customHeight="1">
      <c r="I3482" s="876"/>
      <c r="J3482" s="876"/>
    </row>
    <row r="3483" spans="6:21" ht="24" customHeight="1">
      <c r="I3483" s="876"/>
      <c r="J3483" s="876"/>
    </row>
    <row r="3484" spans="6:21" ht="24" customHeight="1">
      <c r="I3484" s="876"/>
      <c r="J3484" s="876"/>
    </row>
    <row r="3485" spans="6:21" ht="24" customHeight="1">
      <c r="F3485" s="1207"/>
      <c r="H3485" s="1207"/>
      <c r="I3485" s="876"/>
      <c r="J3485" s="876"/>
    </row>
    <row r="3486" spans="6:21" ht="24" customHeight="1">
      <c r="I3486" s="876"/>
      <c r="J3486" s="876"/>
      <c r="K3486" s="1624"/>
      <c r="L3486" s="1624"/>
    </row>
    <row r="3488" spans="6:21" ht="24" customHeight="1">
      <c r="J3488" s="875"/>
      <c r="K3488" s="885"/>
      <c r="L3488" s="895"/>
      <c r="M3488" s="899"/>
    </row>
    <row r="3491" spans="1:255" ht="24" customHeight="1">
      <c r="L3491" s="878"/>
    </row>
    <row r="3492" spans="1:255" ht="24" customHeight="1">
      <c r="L3492" s="878"/>
    </row>
    <row r="3493" spans="1:255" ht="24" customHeight="1">
      <c r="L3493" s="878"/>
    </row>
    <row r="3494" spans="1:255" ht="24" customHeight="1">
      <c r="F3494" s="927"/>
      <c r="G3494" s="1064"/>
      <c r="H3494" s="927"/>
      <c r="L3494" s="878"/>
    </row>
    <row r="3495" spans="1:255" ht="24" customHeight="1">
      <c r="L3495" s="878"/>
    </row>
    <row r="3496" spans="1:255" ht="24" customHeight="1">
      <c r="F3496" s="927"/>
      <c r="G3496" s="1064"/>
      <c r="H3496" s="927"/>
      <c r="L3496" s="878"/>
    </row>
    <row r="3497" spans="1:255" ht="24" customHeight="1">
      <c r="L3497" s="878"/>
    </row>
    <row r="3498" spans="1:255" s="877" customFormat="1" ht="24" customHeight="1">
      <c r="A3498" s="501"/>
      <c r="B3498" s="501"/>
      <c r="C3498" s="501"/>
      <c r="D3498" s="501"/>
      <c r="E3498" s="501"/>
      <c r="F3498" s="927"/>
      <c r="G3498" s="1064"/>
      <c r="H3498" s="927"/>
      <c r="I3498" s="874"/>
      <c r="J3498" s="501"/>
      <c r="K3498" s="501"/>
      <c r="L3498" s="878"/>
      <c r="M3498" s="554"/>
      <c r="N3498" s="501"/>
      <c r="O3498" s="501"/>
      <c r="P3498" s="501"/>
      <c r="Q3498" s="885"/>
      <c r="R3498" s="501"/>
      <c r="S3498" s="501"/>
      <c r="T3498" s="501"/>
      <c r="V3498" s="501"/>
      <c r="W3498" s="501"/>
      <c r="X3498" s="501"/>
      <c r="Y3498" s="501"/>
      <c r="Z3498" s="501"/>
      <c r="AA3498" s="501"/>
      <c r="AB3498" s="501"/>
      <c r="AC3498" s="501"/>
      <c r="AD3498" s="501"/>
      <c r="AE3498" s="501"/>
      <c r="AF3498" s="501"/>
      <c r="AG3498" s="501"/>
      <c r="AH3498" s="501"/>
      <c r="AI3498" s="501"/>
      <c r="AJ3498" s="501"/>
      <c r="AK3498" s="501"/>
      <c r="AL3498" s="501"/>
      <c r="AM3498" s="501"/>
      <c r="AN3498" s="501"/>
      <c r="AO3498" s="501"/>
      <c r="AP3498" s="501"/>
      <c r="AQ3498" s="501"/>
      <c r="AR3498" s="501"/>
      <c r="AS3498" s="501"/>
      <c r="AT3498" s="501"/>
      <c r="AU3498" s="501"/>
      <c r="AV3498" s="501"/>
      <c r="AW3498" s="501"/>
      <c r="AX3498" s="501"/>
      <c r="AY3498" s="501"/>
      <c r="AZ3498" s="501"/>
      <c r="BA3498" s="501"/>
      <c r="BB3498" s="501"/>
      <c r="BC3498" s="501"/>
      <c r="BD3498" s="501"/>
      <c r="BE3498" s="501"/>
      <c r="BF3498" s="501"/>
      <c r="BG3498" s="501"/>
      <c r="BH3498" s="501"/>
      <c r="BI3498" s="501"/>
      <c r="BJ3498" s="501"/>
      <c r="BK3498" s="501"/>
      <c r="BL3498" s="501"/>
      <c r="BM3498" s="501"/>
      <c r="BN3498" s="501"/>
      <c r="BO3498" s="501"/>
      <c r="BP3498" s="501"/>
      <c r="BQ3498" s="501"/>
      <c r="BR3498" s="501"/>
      <c r="BS3498" s="501"/>
      <c r="BT3498" s="501"/>
      <c r="BU3498" s="501"/>
      <c r="BV3498" s="501"/>
      <c r="BW3498" s="501"/>
      <c r="BX3498" s="501"/>
      <c r="BY3498" s="501"/>
      <c r="BZ3498" s="501"/>
      <c r="CA3498" s="501"/>
      <c r="CB3498" s="501"/>
      <c r="CC3498" s="501"/>
      <c r="CD3498" s="501"/>
      <c r="CE3498" s="501"/>
      <c r="CF3498" s="501"/>
      <c r="CG3498" s="501"/>
      <c r="CH3498" s="501"/>
      <c r="CI3498" s="501"/>
      <c r="CJ3498" s="501"/>
      <c r="CK3498" s="501"/>
      <c r="CL3498" s="501"/>
      <c r="CM3498" s="501"/>
      <c r="CN3498" s="501"/>
      <c r="CO3498" s="501"/>
      <c r="CP3498" s="501"/>
      <c r="CQ3498" s="501"/>
      <c r="CR3498" s="501"/>
      <c r="CS3498" s="501"/>
      <c r="CT3498" s="501"/>
      <c r="CU3498" s="501"/>
      <c r="CV3498" s="501"/>
      <c r="CW3498" s="501"/>
      <c r="CX3498" s="501"/>
      <c r="CY3498" s="501"/>
      <c r="CZ3498" s="501"/>
      <c r="DA3498" s="501"/>
      <c r="DB3498" s="501"/>
      <c r="DC3498" s="501"/>
      <c r="DD3498" s="501"/>
      <c r="DE3498" s="501"/>
      <c r="DF3498" s="501"/>
      <c r="DG3498" s="501"/>
      <c r="DH3498" s="501"/>
      <c r="DI3498" s="501"/>
      <c r="DJ3498" s="501"/>
      <c r="DK3498" s="501"/>
      <c r="DL3498" s="501"/>
      <c r="DM3498" s="501"/>
      <c r="DN3498" s="501"/>
      <c r="DO3498" s="501"/>
      <c r="DP3498" s="501"/>
      <c r="DQ3498" s="501"/>
      <c r="DR3498" s="501"/>
      <c r="DS3498" s="501"/>
      <c r="DT3498" s="501"/>
      <c r="DU3498" s="501"/>
      <c r="DV3498" s="501"/>
      <c r="DW3498" s="501"/>
      <c r="DX3498" s="501"/>
      <c r="DY3498" s="501"/>
      <c r="DZ3498" s="501"/>
      <c r="EA3498" s="501"/>
      <c r="EB3498" s="501"/>
      <c r="EC3498" s="501"/>
      <c r="ED3498" s="501"/>
      <c r="EE3498" s="501"/>
      <c r="EF3498" s="501"/>
      <c r="EG3498" s="501"/>
      <c r="EH3498" s="501"/>
      <c r="EI3498" s="501"/>
      <c r="EJ3498" s="501"/>
      <c r="EK3498" s="501"/>
      <c r="EL3498" s="501"/>
      <c r="EM3498" s="501"/>
      <c r="EN3498" s="501"/>
      <c r="EO3498" s="501"/>
      <c r="EP3498" s="501"/>
      <c r="EQ3498" s="501"/>
      <c r="ER3498" s="501"/>
      <c r="ES3498" s="501"/>
      <c r="ET3498" s="501"/>
      <c r="EU3498" s="501"/>
      <c r="EV3498" s="501"/>
      <c r="EW3498" s="501"/>
      <c r="EX3498" s="501"/>
      <c r="EY3498" s="501"/>
      <c r="EZ3498" s="501"/>
      <c r="FA3498" s="501"/>
      <c r="FB3498" s="501"/>
      <c r="FC3498" s="501"/>
      <c r="FD3498" s="501"/>
      <c r="FE3498" s="501"/>
      <c r="FF3498" s="501"/>
      <c r="FG3498" s="501"/>
      <c r="FH3498" s="501"/>
      <c r="FI3498" s="501"/>
      <c r="FJ3498" s="501"/>
      <c r="FK3498" s="501"/>
      <c r="FL3498" s="501"/>
      <c r="FM3498" s="501"/>
      <c r="FN3498" s="501"/>
      <c r="FO3498" s="501"/>
      <c r="FP3498" s="501"/>
      <c r="FQ3498" s="501"/>
      <c r="FR3498" s="501"/>
      <c r="FS3498" s="501"/>
      <c r="FT3498" s="501"/>
      <c r="FU3498" s="501"/>
      <c r="FV3498" s="501"/>
      <c r="FW3498" s="501"/>
      <c r="FX3498" s="501"/>
      <c r="FY3498" s="501"/>
      <c r="FZ3498" s="501"/>
      <c r="GA3498" s="501"/>
      <c r="GB3498" s="501"/>
      <c r="GC3498" s="501"/>
      <c r="GD3498" s="501"/>
      <c r="GE3498" s="501"/>
      <c r="GF3498" s="501"/>
      <c r="GG3498" s="501"/>
      <c r="GH3498" s="501"/>
      <c r="GI3498" s="501"/>
      <c r="GJ3498" s="501"/>
      <c r="GK3498" s="501"/>
      <c r="GL3498" s="501"/>
      <c r="GM3498" s="501"/>
      <c r="GN3498" s="501"/>
      <c r="GO3498" s="501"/>
      <c r="GP3498" s="501"/>
      <c r="GQ3498" s="501"/>
      <c r="GR3498" s="501"/>
      <c r="GS3498" s="501"/>
      <c r="GT3498" s="501"/>
      <c r="GU3498" s="501"/>
      <c r="GV3498" s="501"/>
      <c r="GW3498" s="501"/>
      <c r="GX3498" s="501"/>
      <c r="GY3498" s="501"/>
      <c r="GZ3498" s="501"/>
      <c r="HA3498" s="501"/>
      <c r="HB3498" s="501"/>
      <c r="HC3498" s="501"/>
      <c r="HD3498" s="501"/>
      <c r="HE3498" s="501"/>
      <c r="HF3498" s="501"/>
      <c r="HG3498" s="501"/>
      <c r="HH3498" s="501"/>
      <c r="HI3498" s="501"/>
      <c r="HJ3498" s="501"/>
      <c r="HK3498" s="501"/>
      <c r="HL3498" s="501"/>
      <c r="HM3498" s="501"/>
      <c r="HN3498" s="501"/>
      <c r="HO3498" s="501"/>
      <c r="HP3498" s="501"/>
      <c r="HQ3498" s="501"/>
      <c r="HR3498" s="501"/>
      <c r="HS3498" s="501"/>
      <c r="HT3498" s="501"/>
      <c r="HU3498" s="501"/>
      <c r="HV3498" s="501"/>
      <c r="HW3498" s="501"/>
      <c r="HX3498" s="501"/>
      <c r="HY3498" s="501"/>
      <c r="HZ3498" s="501"/>
      <c r="IA3498" s="501"/>
      <c r="IB3498" s="501"/>
      <c r="IC3498" s="501"/>
      <c r="ID3498" s="501"/>
      <c r="IE3498" s="501"/>
      <c r="IF3498" s="501"/>
      <c r="IG3498" s="501"/>
      <c r="IH3498" s="501"/>
      <c r="II3498" s="501"/>
      <c r="IJ3498" s="501"/>
      <c r="IK3498" s="501"/>
      <c r="IL3498" s="501"/>
      <c r="IM3498" s="501"/>
      <c r="IN3498" s="501"/>
      <c r="IO3498" s="501"/>
      <c r="IP3498" s="501"/>
      <c r="IQ3498" s="501"/>
      <c r="IR3498" s="501"/>
      <c r="IS3498" s="501"/>
      <c r="IT3498" s="501"/>
      <c r="IU3498" s="501"/>
    </row>
    <row r="3499" spans="1:255" s="877" customFormat="1" ht="24" customHeight="1">
      <c r="A3499" s="501"/>
      <c r="B3499" s="501"/>
      <c r="C3499" s="501"/>
      <c r="D3499" s="501"/>
      <c r="E3499" s="501"/>
      <c r="F3499" s="501"/>
      <c r="G3499" s="915"/>
      <c r="H3499" s="501"/>
      <c r="I3499" s="874"/>
      <c r="J3499" s="501"/>
      <c r="K3499" s="501"/>
      <c r="L3499" s="878"/>
      <c r="M3499" s="554"/>
      <c r="N3499" s="501"/>
      <c r="O3499" s="501"/>
      <c r="P3499" s="501"/>
      <c r="Q3499" s="501"/>
      <c r="R3499" s="501"/>
      <c r="S3499" s="501"/>
      <c r="T3499" s="501"/>
      <c r="V3499" s="501"/>
      <c r="W3499" s="501"/>
      <c r="X3499" s="501"/>
      <c r="Y3499" s="501"/>
      <c r="Z3499" s="501"/>
      <c r="AA3499" s="501"/>
      <c r="AB3499" s="501"/>
      <c r="AC3499" s="501"/>
      <c r="AD3499" s="501"/>
      <c r="AE3499" s="501"/>
      <c r="AF3499" s="501"/>
      <c r="AG3499" s="501"/>
      <c r="AH3499" s="501"/>
      <c r="AI3499" s="501"/>
      <c r="AJ3499" s="501"/>
      <c r="AK3499" s="501"/>
      <c r="AL3499" s="501"/>
      <c r="AM3499" s="501"/>
      <c r="AN3499" s="501"/>
      <c r="AO3499" s="501"/>
      <c r="AP3499" s="501"/>
      <c r="AQ3499" s="501"/>
      <c r="AR3499" s="501"/>
      <c r="AS3499" s="501"/>
      <c r="AT3499" s="501"/>
      <c r="AU3499" s="501"/>
      <c r="AV3499" s="501"/>
      <c r="AW3499" s="501"/>
      <c r="AX3499" s="501"/>
      <c r="AY3499" s="501"/>
      <c r="AZ3499" s="501"/>
      <c r="BA3499" s="501"/>
      <c r="BB3499" s="501"/>
      <c r="BC3499" s="501"/>
      <c r="BD3499" s="501"/>
      <c r="BE3499" s="501"/>
      <c r="BF3499" s="501"/>
      <c r="BG3499" s="501"/>
      <c r="BH3499" s="501"/>
      <c r="BI3499" s="501"/>
      <c r="BJ3499" s="501"/>
      <c r="BK3499" s="501"/>
      <c r="BL3499" s="501"/>
      <c r="BM3499" s="501"/>
      <c r="BN3499" s="501"/>
      <c r="BO3499" s="501"/>
      <c r="BP3499" s="501"/>
      <c r="BQ3499" s="501"/>
      <c r="BR3499" s="501"/>
      <c r="BS3499" s="501"/>
      <c r="BT3499" s="501"/>
      <c r="BU3499" s="501"/>
      <c r="BV3499" s="501"/>
      <c r="BW3499" s="501"/>
      <c r="BX3499" s="501"/>
      <c r="BY3499" s="501"/>
      <c r="BZ3499" s="501"/>
      <c r="CA3499" s="501"/>
      <c r="CB3499" s="501"/>
      <c r="CC3499" s="501"/>
      <c r="CD3499" s="501"/>
      <c r="CE3499" s="501"/>
      <c r="CF3499" s="501"/>
      <c r="CG3499" s="501"/>
      <c r="CH3499" s="501"/>
      <c r="CI3499" s="501"/>
      <c r="CJ3499" s="501"/>
      <c r="CK3499" s="501"/>
      <c r="CL3499" s="501"/>
      <c r="CM3499" s="501"/>
      <c r="CN3499" s="501"/>
      <c r="CO3499" s="501"/>
      <c r="CP3499" s="501"/>
      <c r="CQ3499" s="501"/>
      <c r="CR3499" s="501"/>
      <c r="CS3499" s="501"/>
      <c r="CT3499" s="501"/>
      <c r="CU3499" s="501"/>
      <c r="CV3499" s="501"/>
      <c r="CW3499" s="501"/>
      <c r="CX3499" s="501"/>
      <c r="CY3499" s="501"/>
      <c r="CZ3499" s="501"/>
      <c r="DA3499" s="501"/>
      <c r="DB3499" s="501"/>
      <c r="DC3499" s="501"/>
      <c r="DD3499" s="501"/>
      <c r="DE3499" s="501"/>
      <c r="DF3499" s="501"/>
      <c r="DG3499" s="501"/>
      <c r="DH3499" s="501"/>
      <c r="DI3499" s="501"/>
      <c r="DJ3499" s="501"/>
      <c r="DK3499" s="501"/>
      <c r="DL3499" s="501"/>
      <c r="DM3499" s="501"/>
      <c r="DN3499" s="501"/>
      <c r="DO3499" s="501"/>
      <c r="DP3499" s="501"/>
      <c r="DQ3499" s="501"/>
      <c r="DR3499" s="501"/>
      <c r="DS3499" s="501"/>
      <c r="DT3499" s="501"/>
      <c r="DU3499" s="501"/>
      <c r="DV3499" s="501"/>
      <c r="DW3499" s="501"/>
      <c r="DX3499" s="501"/>
      <c r="DY3499" s="501"/>
      <c r="DZ3499" s="501"/>
      <c r="EA3499" s="501"/>
      <c r="EB3499" s="501"/>
      <c r="EC3499" s="501"/>
      <c r="ED3499" s="501"/>
      <c r="EE3499" s="501"/>
      <c r="EF3499" s="501"/>
      <c r="EG3499" s="501"/>
      <c r="EH3499" s="501"/>
      <c r="EI3499" s="501"/>
      <c r="EJ3499" s="501"/>
      <c r="EK3499" s="501"/>
      <c r="EL3499" s="501"/>
      <c r="EM3499" s="501"/>
      <c r="EN3499" s="501"/>
      <c r="EO3499" s="501"/>
      <c r="EP3499" s="501"/>
      <c r="EQ3499" s="501"/>
      <c r="ER3499" s="501"/>
      <c r="ES3499" s="501"/>
      <c r="ET3499" s="501"/>
      <c r="EU3499" s="501"/>
      <c r="EV3499" s="501"/>
      <c r="EW3499" s="501"/>
      <c r="EX3499" s="501"/>
      <c r="EY3499" s="501"/>
      <c r="EZ3499" s="501"/>
      <c r="FA3499" s="501"/>
      <c r="FB3499" s="501"/>
      <c r="FC3499" s="501"/>
      <c r="FD3499" s="501"/>
      <c r="FE3499" s="501"/>
      <c r="FF3499" s="501"/>
      <c r="FG3499" s="501"/>
      <c r="FH3499" s="501"/>
      <c r="FI3499" s="501"/>
      <c r="FJ3499" s="501"/>
      <c r="FK3499" s="501"/>
      <c r="FL3499" s="501"/>
      <c r="FM3499" s="501"/>
      <c r="FN3499" s="501"/>
      <c r="FO3499" s="501"/>
      <c r="FP3499" s="501"/>
      <c r="FQ3499" s="501"/>
      <c r="FR3499" s="501"/>
      <c r="FS3499" s="501"/>
      <c r="FT3499" s="501"/>
      <c r="FU3499" s="501"/>
      <c r="FV3499" s="501"/>
      <c r="FW3499" s="501"/>
      <c r="FX3499" s="501"/>
      <c r="FY3499" s="501"/>
      <c r="FZ3499" s="501"/>
      <c r="GA3499" s="501"/>
      <c r="GB3499" s="501"/>
      <c r="GC3499" s="501"/>
      <c r="GD3499" s="501"/>
      <c r="GE3499" s="501"/>
      <c r="GF3499" s="501"/>
      <c r="GG3499" s="501"/>
      <c r="GH3499" s="501"/>
      <c r="GI3499" s="501"/>
      <c r="GJ3499" s="501"/>
      <c r="GK3499" s="501"/>
      <c r="GL3499" s="501"/>
      <c r="GM3499" s="501"/>
      <c r="GN3499" s="501"/>
      <c r="GO3499" s="501"/>
      <c r="GP3499" s="501"/>
      <c r="GQ3499" s="501"/>
      <c r="GR3499" s="501"/>
      <c r="GS3499" s="501"/>
      <c r="GT3499" s="501"/>
      <c r="GU3499" s="501"/>
      <c r="GV3499" s="501"/>
      <c r="GW3499" s="501"/>
      <c r="GX3499" s="501"/>
      <c r="GY3499" s="501"/>
      <c r="GZ3499" s="501"/>
      <c r="HA3499" s="501"/>
      <c r="HB3499" s="501"/>
      <c r="HC3499" s="501"/>
      <c r="HD3499" s="501"/>
      <c r="HE3499" s="501"/>
      <c r="HF3499" s="501"/>
      <c r="HG3499" s="501"/>
      <c r="HH3499" s="501"/>
      <c r="HI3499" s="501"/>
      <c r="HJ3499" s="501"/>
      <c r="HK3499" s="501"/>
      <c r="HL3499" s="501"/>
      <c r="HM3499" s="501"/>
      <c r="HN3499" s="501"/>
      <c r="HO3499" s="501"/>
      <c r="HP3499" s="501"/>
      <c r="HQ3499" s="501"/>
      <c r="HR3499" s="501"/>
      <c r="HS3499" s="501"/>
      <c r="HT3499" s="501"/>
      <c r="HU3499" s="501"/>
      <c r="HV3499" s="501"/>
      <c r="HW3499" s="501"/>
      <c r="HX3499" s="501"/>
      <c r="HY3499" s="501"/>
      <c r="HZ3499" s="501"/>
      <c r="IA3499" s="501"/>
      <c r="IB3499" s="501"/>
      <c r="IC3499" s="501"/>
      <c r="ID3499" s="501"/>
      <c r="IE3499" s="501"/>
      <c r="IF3499" s="501"/>
      <c r="IG3499" s="501"/>
      <c r="IH3499" s="501"/>
      <c r="II3499" s="501"/>
      <c r="IJ3499" s="501"/>
      <c r="IK3499" s="501"/>
      <c r="IL3499" s="501"/>
      <c r="IM3499" s="501"/>
      <c r="IN3499" s="501"/>
      <c r="IO3499" s="501"/>
      <c r="IP3499" s="501"/>
      <c r="IQ3499" s="501"/>
      <c r="IR3499" s="501"/>
      <c r="IS3499" s="501"/>
      <c r="IT3499" s="501"/>
      <c r="IU3499" s="501"/>
    </row>
    <row r="3500" spans="1:255" s="877" customFormat="1" ht="24" customHeight="1">
      <c r="A3500" s="501"/>
      <c r="B3500" s="501"/>
      <c r="C3500" s="501"/>
      <c r="D3500" s="501"/>
      <c r="E3500" s="501"/>
      <c r="F3500" s="927"/>
      <c r="G3500" s="1064"/>
      <c r="H3500" s="927"/>
      <c r="I3500" s="874"/>
      <c r="J3500" s="501"/>
      <c r="K3500" s="501"/>
      <c r="L3500" s="878"/>
      <c r="M3500" s="554"/>
      <c r="N3500" s="501"/>
      <c r="O3500" s="501"/>
      <c r="P3500" s="501"/>
      <c r="Q3500" s="501"/>
      <c r="R3500" s="501"/>
      <c r="S3500" s="501"/>
      <c r="T3500" s="501"/>
      <c r="V3500" s="501"/>
      <c r="W3500" s="501"/>
      <c r="X3500" s="501"/>
      <c r="Y3500" s="501"/>
      <c r="Z3500" s="501"/>
      <c r="AA3500" s="501"/>
      <c r="AB3500" s="501"/>
      <c r="AC3500" s="501"/>
      <c r="AD3500" s="501"/>
      <c r="AE3500" s="501"/>
      <c r="AF3500" s="501"/>
      <c r="AG3500" s="501"/>
      <c r="AH3500" s="501"/>
      <c r="AI3500" s="501"/>
      <c r="AJ3500" s="501"/>
      <c r="AK3500" s="501"/>
      <c r="AL3500" s="501"/>
      <c r="AM3500" s="501"/>
      <c r="AN3500" s="501"/>
      <c r="AO3500" s="501"/>
      <c r="AP3500" s="501"/>
      <c r="AQ3500" s="501"/>
      <c r="AR3500" s="501"/>
      <c r="AS3500" s="501"/>
      <c r="AT3500" s="501"/>
      <c r="AU3500" s="501"/>
      <c r="AV3500" s="501"/>
      <c r="AW3500" s="501"/>
      <c r="AX3500" s="501"/>
      <c r="AY3500" s="501"/>
      <c r="AZ3500" s="501"/>
      <c r="BA3500" s="501"/>
      <c r="BB3500" s="501"/>
      <c r="BC3500" s="501"/>
      <c r="BD3500" s="501"/>
      <c r="BE3500" s="501"/>
      <c r="BF3500" s="501"/>
      <c r="BG3500" s="501"/>
      <c r="BH3500" s="501"/>
      <c r="BI3500" s="501"/>
      <c r="BJ3500" s="501"/>
      <c r="BK3500" s="501"/>
      <c r="BL3500" s="501"/>
      <c r="BM3500" s="501"/>
      <c r="BN3500" s="501"/>
      <c r="BO3500" s="501"/>
      <c r="BP3500" s="501"/>
      <c r="BQ3500" s="501"/>
      <c r="BR3500" s="501"/>
      <c r="BS3500" s="501"/>
      <c r="BT3500" s="501"/>
      <c r="BU3500" s="501"/>
      <c r="BV3500" s="501"/>
      <c r="BW3500" s="501"/>
      <c r="BX3500" s="501"/>
      <c r="BY3500" s="501"/>
      <c r="BZ3500" s="501"/>
      <c r="CA3500" s="501"/>
      <c r="CB3500" s="501"/>
      <c r="CC3500" s="501"/>
      <c r="CD3500" s="501"/>
      <c r="CE3500" s="501"/>
      <c r="CF3500" s="501"/>
      <c r="CG3500" s="501"/>
      <c r="CH3500" s="501"/>
      <c r="CI3500" s="501"/>
      <c r="CJ3500" s="501"/>
      <c r="CK3500" s="501"/>
      <c r="CL3500" s="501"/>
      <c r="CM3500" s="501"/>
      <c r="CN3500" s="501"/>
      <c r="CO3500" s="501"/>
      <c r="CP3500" s="501"/>
      <c r="CQ3500" s="501"/>
      <c r="CR3500" s="501"/>
      <c r="CS3500" s="501"/>
      <c r="CT3500" s="501"/>
      <c r="CU3500" s="501"/>
      <c r="CV3500" s="501"/>
      <c r="CW3500" s="501"/>
      <c r="CX3500" s="501"/>
      <c r="CY3500" s="501"/>
      <c r="CZ3500" s="501"/>
      <c r="DA3500" s="501"/>
      <c r="DB3500" s="501"/>
      <c r="DC3500" s="501"/>
      <c r="DD3500" s="501"/>
      <c r="DE3500" s="501"/>
      <c r="DF3500" s="501"/>
      <c r="DG3500" s="501"/>
      <c r="DH3500" s="501"/>
      <c r="DI3500" s="501"/>
      <c r="DJ3500" s="501"/>
      <c r="DK3500" s="501"/>
      <c r="DL3500" s="501"/>
      <c r="DM3500" s="501"/>
      <c r="DN3500" s="501"/>
      <c r="DO3500" s="501"/>
      <c r="DP3500" s="501"/>
      <c r="DQ3500" s="501"/>
      <c r="DR3500" s="501"/>
      <c r="DS3500" s="501"/>
      <c r="DT3500" s="501"/>
      <c r="DU3500" s="501"/>
      <c r="DV3500" s="501"/>
      <c r="DW3500" s="501"/>
      <c r="DX3500" s="501"/>
      <c r="DY3500" s="501"/>
      <c r="DZ3500" s="501"/>
      <c r="EA3500" s="501"/>
      <c r="EB3500" s="501"/>
      <c r="EC3500" s="501"/>
      <c r="ED3500" s="501"/>
      <c r="EE3500" s="501"/>
      <c r="EF3500" s="501"/>
      <c r="EG3500" s="501"/>
      <c r="EH3500" s="501"/>
      <c r="EI3500" s="501"/>
      <c r="EJ3500" s="501"/>
      <c r="EK3500" s="501"/>
      <c r="EL3500" s="501"/>
      <c r="EM3500" s="501"/>
      <c r="EN3500" s="501"/>
      <c r="EO3500" s="501"/>
      <c r="EP3500" s="501"/>
      <c r="EQ3500" s="501"/>
      <c r="ER3500" s="501"/>
      <c r="ES3500" s="501"/>
      <c r="ET3500" s="501"/>
      <c r="EU3500" s="501"/>
      <c r="EV3500" s="501"/>
      <c r="EW3500" s="501"/>
      <c r="EX3500" s="501"/>
      <c r="EY3500" s="501"/>
      <c r="EZ3500" s="501"/>
      <c r="FA3500" s="501"/>
      <c r="FB3500" s="501"/>
      <c r="FC3500" s="501"/>
      <c r="FD3500" s="501"/>
      <c r="FE3500" s="501"/>
      <c r="FF3500" s="501"/>
      <c r="FG3500" s="501"/>
      <c r="FH3500" s="501"/>
      <c r="FI3500" s="501"/>
      <c r="FJ3500" s="501"/>
      <c r="FK3500" s="501"/>
      <c r="FL3500" s="501"/>
      <c r="FM3500" s="501"/>
      <c r="FN3500" s="501"/>
      <c r="FO3500" s="501"/>
      <c r="FP3500" s="501"/>
      <c r="FQ3500" s="501"/>
      <c r="FR3500" s="501"/>
      <c r="FS3500" s="501"/>
      <c r="FT3500" s="501"/>
      <c r="FU3500" s="501"/>
      <c r="FV3500" s="501"/>
      <c r="FW3500" s="501"/>
      <c r="FX3500" s="501"/>
      <c r="FY3500" s="501"/>
      <c r="FZ3500" s="501"/>
      <c r="GA3500" s="501"/>
      <c r="GB3500" s="501"/>
      <c r="GC3500" s="501"/>
      <c r="GD3500" s="501"/>
      <c r="GE3500" s="501"/>
      <c r="GF3500" s="501"/>
      <c r="GG3500" s="501"/>
      <c r="GH3500" s="501"/>
      <c r="GI3500" s="501"/>
      <c r="GJ3500" s="501"/>
      <c r="GK3500" s="501"/>
      <c r="GL3500" s="501"/>
      <c r="GM3500" s="501"/>
      <c r="GN3500" s="501"/>
      <c r="GO3500" s="501"/>
      <c r="GP3500" s="501"/>
      <c r="GQ3500" s="501"/>
      <c r="GR3500" s="501"/>
      <c r="GS3500" s="501"/>
      <c r="GT3500" s="501"/>
      <c r="GU3500" s="501"/>
      <c r="GV3500" s="501"/>
      <c r="GW3500" s="501"/>
      <c r="GX3500" s="501"/>
      <c r="GY3500" s="501"/>
      <c r="GZ3500" s="501"/>
      <c r="HA3500" s="501"/>
      <c r="HB3500" s="501"/>
      <c r="HC3500" s="501"/>
      <c r="HD3500" s="501"/>
      <c r="HE3500" s="501"/>
      <c r="HF3500" s="501"/>
      <c r="HG3500" s="501"/>
      <c r="HH3500" s="501"/>
      <c r="HI3500" s="501"/>
      <c r="HJ3500" s="501"/>
      <c r="HK3500" s="501"/>
      <c r="HL3500" s="501"/>
      <c r="HM3500" s="501"/>
      <c r="HN3500" s="501"/>
      <c r="HO3500" s="501"/>
      <c r="HP3500" s="501"/>
      <c r="HQ3500" s="501"/>
      <c r="HR3500" s="501"/>
      <c r="HS3500" s="501"/>
      <c r="HT3500" s="501"/>
      <c r="HU3500" s="501"/>
      <c r="HV3500" s="501"/>
      <c r="HW3500" s="501"/>
      <c r="HX3500" s="501"/>
      <c r="HY3500" s="501"/>
      <c r="HZ3500" s="501"/>
      <c r="IA3500" s="501"/>
      <c r="IB3500" s="501"/>
      <c r="IC3500" s="501"/>
      <c r="ID3500" s="501"/>
      <c r="IE3500" s="501"/>
      <c r="IF3500" s="501"/>
      <c r="IG3500" s="501"/>
      <c r="IH3500" s="501"/>
      <c r="II3500" s="501"/>
      <c r="IJ3500" s="501"/>
      <c r="IK3500" s="501"/>
      <c r="IL3500" s="501"/>
      <c r="IM3500" s="501"/>
      <c r="IN3500" s="501"/>
      <c r="IO3500" s="501"/>
      <c r="IP3500" s="501"/>
      <c r="IQ3500" s="501"/>
      <c r="IR3500" s="501"/>
      <c r="IS3500" s="501"/>
      <c r="IT3500" s="501"/>
      <c r="IU3500" s="501"/>
    </row>
    <row r="3501" spans="1:255" s="877" customFormat="1" ht="24" customHeight="1">
      <c r="A3501" s="501"/>
      <c r="B3501" s="501"/>
      <c r="C3501" s="501"/>
      <c r="D3501" s="501"/>
      <c r="E3501" s="501"/>
      <c r="F3501" s="927"/>
      <c r="G3501" s="1064"/>
      <c r="H3501" s="927"/>
      <c r="I3501" s="874"/>
      <c r="J3501" s="501"/>
      <c r="K3501" s="501"/>
      <c r="L3501" s="878"/>
      <c r="M3501" s="554"/>
      <c r="N3501" s="501"/>
      <c r="O3501" s="501"/>
      <c r="P3501" s="501"/>
      <c r="Q3501" s="501"/>
      <c r="R3501" s="501"/>
      <c r="S3501" s="501"/>
      <c r="T3501" s="501"/>
      <c r="V3501" s="501"/>
      <c r="W3501" s="501"/>
      <c r="X3501" s="501"/>
      <c r="Y3501" s="501"/>
      <c r="Z3501" s="501"/>
      <c r="AA3501" s="501"/>
      <c r="AB3501" s="501"/>
      <c r="AC3501" s="501"/>
      <c r="AD3501" s="501"/>
      <c r="AE3501" s="501"/>
      <c r="AF3501" s="501"/>
      <c r="AG3501" s="501"/>
      <c r="AH3501" s="501"/>
      <c r="AI3501" s="501"/>
      <c r="AJ3501" s="501"/>
      <c r="AK3501" s="501"/>
      <c r="AL3501" s="501"/>
      <c r="AM3501" s="501"/>
      <c r="AN3501" s="501"/>
      <c r="AO3501" s="501"/>
      <c r="AP3501" s="501"/>
      <c r="AQ3501" s="501"/>
      <c r="AR3501" s="501"/>
      <c r="AS3501" s="501"/>
      <c r="AT3501" s="501"/>
      <c r="AU3501" s="501"/>
      <c r="AV3501" s="501"/>
      <c r="AW3501" s="501"/>
      <c r="AX3501" s="501"/>
      <c r="AY3501" s="501"/>
      <c r="AZ3501" s="501"/>
      <c r="BA3501" s="501"/>
      <c r="BB3501" s="501"/>
      <c r="BC3501" s="501"/>
      <c r="BD3501" s="501"/>
      <c r="BE3501" s="501"/>
      <c r="BF3501" s="501"/>
      <c r="BG3501" s="501"/>
      <c r="BH3501" s="501"/>
      <c r="BI3501" s="501"/>
      <c r="BJ3501" s="501"/>
      <c r="BK3501" s="501"/>
      <c r="BL3501" s="501"/>
      <c r="BM3501" s="501"/>
      <c r="BN3501" s="501"/>
      <c r="BO3501" s="501"/>
      <c r="BP3501" s="501"/>
      <c r="BQ3501" s="501"/>
      <c r="BR3501" s="501"/>
      <c r="BS3501" s="501"/>
      <c r="BT3501" s="501"/>
      <c r="BU3501" s="501"/>
      <c r="BV3501" s="501"/>
      <c r="BW3501" s="501"/>
      <c r="BX3501" s="501"/>
      <c r="BY3501" s="501"/>
      <c r="BZ3501" s="501"/>
      <c r="CA3501" s="501"/>
      <c r="CB3501" s="501"/>
      <c r="CC3501" s="501"/>
      <c r="CD3501" s="501"/>
      <c r="CE3501" s="501"/>
      <c r="CF3501" s="501"/>
      <c r="CG3501" s="501"/>
      <c r="CH3501" s="501"/>
      <c r="CI3501" s="501"/>
      <c r="CJ3501" s="501"/>
      <c r="CK3501" s="501"/>
      <c r="CL3501" s="501"/>
      <c r="CM3501" s="501"/>
      <c r="CN3501" s="501"/>
      <c r="CO3501" s="501"/>
      <c r="CP3501" s="501"/>
      <c r="CQ3501" s="501"/>
      <c r="CR3501" s="501"/>
      <c r="CS3501" s="501"/>
      <c r="CT3501" s="501"/>
      <c r="CU3501" s="501"/>
      <c r="CV3501" s="501"/>
      <c r="CW3501" s="501"/>
      <c r="CX3501" s="501"/>
      <c r="CY3501" s="501"/>
      <c r="CZ3501" s="501"/>
      <c r="DA3501" s="501"/>
      <c r="DB3501" s="501"/>
      <c r="DC3501" s="501"/>
      <c r="DD3501" s="501"/>
      <c r="DE3501" s="501"/>
      <c r="DF3501" s="501"/>
      <c r="DG3501" s="501"/>
      <c r="DH3501" s="501"/>
      <c r="DI3501" s="501"/>
      <c r="DJ3501" s="501"/>
      <c r="DK3501" s="501"/>
      <c r="DL3501" s="501"/>
      <c r="DM3501" s="501"/>
      <c r="DN3501" s="501"/>
      <c r="DO3501" s="501"/>
      <c r="DP3501" s="501"/>
      <c r="DQ3501" s="501"/>
      <c r="DR3501" s="501"/>
      <c r="DS3501" s="501"/>
      <c r="DT3501" s="501"/>
      <c r="DU3501" s="501"/>
      <c r="DV3501" s="501"/>
      <c r="DW3501" s="501"/>
      <c r="DX3501" s="501"/>
      <c r="DY3501" s="501"/>
      <c r="DZ3501" s="501"/>
      <c r="EA3501" s="501"/>
      <c r="EB3501" s="501"/>
      <c r="EC3501" s="501"/>
      <c r="ED3501" s="501"/>
      <c r="EE3501" s="501"/>
      <c r="EF3501" s="501"/>
      <c r="EG3501" s="501"/>
      <c r="EH3501" s="501"/>
      <c r="EI3501" s="501"/>
      <c r="EJ3501" s="501"/>
      <c r="EK3501" s="501"/>
      <c r="EL3501" s="501"/>
      <c r="EM3501" s="501"/>
      <c r="EN3501" s="501"/>
      <c r="EO3501" s="501"/>
      <c r="EP3501" s="501"/>
      <c r="EQ3501" s="501"/>
      <c r="ER3501" s="501"/>
      <c r="ES3501" s="501"/>
      <c r="ET3501" s="501"/>
      <c r="EU3501" s="501"/>
      <c r="EV3501" s="501"/>
      <c r="EW3501" s="501"/>
      <c r="EX3501" s="501"/>
      <c r="EY3501" s="501"/>
      <c r="EZ3501" s="501"/>
      <c r="FA3501" s="501"/>
      <c r="FB3501" s="501"/>
      <c r="FC3501" s="501"/>
      <c r="FD3501" s="501"/>
      <c r="FE3501" s="501"/>
      <c r="FF3501" s="501"/>
      <c r="FG3501" s="501"/>
      <c r="FH3501" s="501"/>
      <c r="FI3501" s="501"/>
      <c r="FJ3501" s="501"/>
      <c r="FK3501" s="501"/>
      <c r="FL3501" s="501"/>
      <c r="FM3501" s="501"/>
      <c r="FN3501" s="501"/>
      <c r="FO3501" s="501"/>
      <c r="FP3501" s="501"/>
      <c r="FQ3501" s="501"/>
      <c r="FR3501" s="501"/>
      <c r="FS3501" s="501"/>
      <c r="FT3501" s="501"/>
      <c r="FU3501" s="501"/>
      <c r="FV3501" s="501"/>
      <c r="FW3501" s="501"/>
      <c r="FX3501" s="501"/>
      <c r="FY3501" s="501"/>
      <c r="FZ3501" s="501"/>
      <c r="GA3501" s="501"/>
      <c r="GB3501" s="501"/>
      <c r="GC3501" s="501"/>
      <c r="GD3501" s="501"/>
      <c r="GE3501" s="501"/>
      <c r="GF3501" s="501"/>
      <c r="GG3501" s="501"/>
      <c r="GH3501" s="501"/>
      <c r="GI3501" s="501"/>
      <c r="GJ3501" s="501"/>
      <c r="GK3501" s="501"/>
      <c r="GL3501" s="501"/>
      <c r="GM3501" s="501"/>
      <c r="GN3501" s="501"/>
      <c r="GO3501" s="501"/>
      <c r="GP3501" s="501"/>
      <c r="GQ3501" s="501"/>
      <c r="GR3501" s="501"/>
      <c r="GS3501" s="501"/>
      <c r="GT3501" s="501"/>
      <c r="GU3501" s="501"/>
      <c r="GV3501" s="501"/>
      <c r="GW3501" s="501"/>
      <c r="GX3501" s="501"/>
      <c r="GY3501" s="501"/>
      <c r="GZ3501" s="501"/>
      <c r="HA3501" s="501"/>
      <c r="HB3501" s="501"/>
      <c r="HC3501" s="501"/>
      <c r="HD3501" s="501"/>
      <c r="HE3501" s="501"/>
      <c r="HF3501" s="501"/>
      <c r="HG3501" s="501"/>
      <c r="HH3501" s="501"/>
      <c r="HI3501" s="501"/>
      <c r="HJ3501" s="501"/>
      <c r="HK3501" s="501"/>
      <c r="HL3501" s="501"/>
      <c r="HM3501" s="501"/>
      <c r="HN3501" s="501"/>
      <c r="HO3501" s="501"/>
      <c r="HP3501" s="501"/>
      <c r="HQ3501" s="501"/>
      <c r="HR3501" s="501"/>
      <c r="HS3501" s="501"/>
      <c r="HT3501" s="501"/>
      <c r="HU3501" s="501"/>
      <c r="HV3501" s="501"/>
      <c r="HW3501" s="501"/>
      <c r="HX3501" s="501"/>
      <c r="HY3501" s="501"/>
      <c r="HZ3501" s="501"/>
      <c r="IA3501" s="501"/>
      <c r="IB3501" s="501"/>
      <c r="IC3501" s="501"/>
      <c r="ID3501" s="501"/>
      <c r="IE3501" s="501"/>
      <c r="IF3501" s="501"/>
      <c r="IG3501" s="501"/>
      <c r="IH3501" s="501"/>
      <c r="II3501" s="501"/>
      <c r="IJ3501" s="501"/>
      <c r="IK3501" s="501"/>
      <c r="IL3501" s="501"/>
      <c r="IM3501" s="501"/>
      <c r="IN3501" s="501"/>
      <c r="IO3501" s="501"/>
      <c r="IP3501" s="501"/>
      <c r="IQ3501" s="501"/>
      <c r="IR3501" s="501"/>
      <c r="IS3501" s="501"/>
      <c r="IT3501" s="501"/>
      <c r="IU3501" s="501"/>
    </row>
    <row r="3502" spans="1:255" s="877" customFormat="1" ht="24" customHeight="1">
      <c r="A3502" s="501"/>
      <c r="B3502" s="501"/>
      <c r="C3502" s="501"/>
      <c r="D3502" s="501"/>
      <c r="E3502" s="501"/>
      <c r="F3502" s="927"/>
      <c r="G3502" s="1064"/>
      <c r="H3502" s="927"/>
      <c r="I3502" s="874"/>
      <c r="J3502" s="501"/>
      <c r="K3502" s="501"/>
      <c r="L3502" s="878"/>
      <c r="M3502" s="554"/>
      <c r="N3502" s="501"/>
      <c r="O3502" s="501"/>
      <c r="P3502" s="501"/>
      <c r="Q3502" s="501"/>
      <c r="R3502" s="501"/>
      <c r="S3502" s="501"/>
      <c r="T3502" s="501"/>
      <c r="V3502" s="501"/>
      <c r="W3502" s="501"/>
      <c r="X3502" s="501"/>
      <c r="Y3502" s="501"/>
      <c r="Z3502" s="501"/>
      <c r="AA3502" s="501"/>
      <c r="AB3502" s="501"/>
      <c r="AC3502" s="501"/>
      <c r="AD3502" s="501"/>
      <c r="AE3502" s="501"/>
      <c r="AF3502" s="501"/>
      <c r="AG3502" s="501"/>
      <c r="AH3502" s="501"/>
      <c r="AI3502" s="501"/>
      <c r="AJ3502" s="501"/>
      <c r="AK3502" s="501"/>
      <c r="AL3502" s="501"/>
      <c r="AM3502" s="501"/>
      <c r="AN3502" s="501"/>
      <c r="AO3502" s="501"/>
      <c r="AP3502" s="501"/>
      <c r="AQ3502" s="501"/>
      <c r="AR3502" s="501"/>
      <c r="AS3502" s="501"/>
      <c r="AT3502" s="501"/>
      <c r="AU3502" s="501"/>
      <c r="AV3502" s="501"/>
      <c r="AW3502" s="501"/>
      <c r="AX3502" s="501"/>
      <c r="AY3502" s="501"/>
      <c r="AZ3502" s="501"/>
      <c r="BA3502" s="501"/>
      <c r="BB3502" s="501"/>
      <c r="BC3502" s="501"/>
      <c r="BD3502" s="501"/>
      <c r="BE3502" s="501"/>
      <c r="BF3502" s="501"/>
      <c r="BG3502" s="501"/>
      <c r="BH3502" s="501"/>
      <c r="BI3502" s="501"/>
      <c r="BJ3502" s="501"/>
      <c r="BK3502" s="501"/>
      <c r="BL3502" s="501"/>
      <c r="BM3502" s="501"/>
      <c r="BN3502" s="501"/>
      <c r="BO3502" s="501"/>
      <c r="BP3502" s="501"/>
      <c r="BQ3502" s="501"/>
      <c r="BR3502" s="501"/>
      <c r="BS3502" s="501"/>
      <c r="BT3502" s="501"/>
      <c r="BU3502" s="501"/>
      <c r="BV3502" s="501"/>
      <c r="BW3502" s="501"/>
      <c r="BX3502" s="501"/>
      <c r="BY3502" s="501"/>
      <c r="BZ3502" s="501"/>
      <c r="CA3502" s="501"/>
      <c r="CB3502" s="501"/>
      <c r="CC3502" s="501"/>
      <c r="CD3502" s="501"/>
      <c r="CE3502" s="501"/>
      <c r="CF3502" s="501"/>
      <c r="CG3502" s="501"/>
      <c r="CH3502" s="501"/>
      <c r="CI3502" s="501"/>
      <c r="CJ3502" s="501"/>
      <c r="CK3502" s="501"/>
      <c r="CL3502" s="501"/>
      <c r="CM3502" s="501"/>
      <c r="CN3502" s="501"/>
      <c r="CO3502" s="501"/>
      <c r="CP3502" s="501"/>
      <c r="CQ3502" s="501"/>
      <c r="CR3502" s="501"/>
      <c r="CS3502" s="501"/>
      <c r="CT3502" s="501"/>
      <c r="CU3502" s="501"/>
      <c r="CV3502" s="501"/>
      <c r="CW3502" s="501"/>
      <c r="CX3502" s="501"/>
      <c r="CY3502" s="501"/>
      <c r="CZ3502" s="501"/>
      <c r="DA3502" s="501"/>
      <c r="DB3502" s="501"/>
      <c r="DC3502" s="501"/>
      <c r="DD3502" s="501"/>
      <c r="DE3502" s="501"/>
      <c r="DF3502" s="501"/>
      <c r="DG3502" s="501"/>
      <c r="DH3502" s="501"/>
      <c r="DI3502" s="501"/>
      <c r="DJ3502" s="501"/>
      <c r="DK3502" s="501"/>
      <c r="DL3502" s="501"/>
      <c r="DM3502" s="501"/>
      <c r="DN3502" s="501"/>
      <c r="DO3502" s="501"/>
      <c r="DP3502" s="501"/>
      <c r="DQ3502" s="501"/>
      <c r="DR3502" s="501"/>
      <c r="DS3502" s="501"/>
      <c r="DT3502" s="501"/>
      <c r="DU3502" s="501"/>
      <c r="DV3502" s="501"/>
      <c r="DW3502" s="501"/>
      <c r="DX3502" s="501"/>
      <c r="DY3502" s="501"/>
      <c r="DZ3502" s="501"/>
      <c r="EA3502" s="501"/>
      <c r="EB3502" s="501"/>
      <c r="EC3502" s="501"/>
      <c r="ED3502" s="501"/>
      <c r="EE3502" s="501"/>
      <c r="EF3502" s="501"/>
      <c r="EG3502" s="501"/>
      <c r="EH3502" s="501"/>
      <c r="EI3502" s="501"/>
      <c r="EJ3502" s="501"/>
      <c r="EK3502" s="501"/>
      <c r="EL3502" s="501"/>
      <c r="EM3502" s="501"/>
      <c r="EN3502" s="501"/>
      <c r="EO3502" s="501"/>
      <c r="EP3502" s="501"/>
      <c r="EQ3502" s="501"/>
      <c r="ER3502" s="501"/>
      <c r="ES3502" s="501"/>
      <c r="ET3502" s="501"/>
      <c r="EU3502" s="501"/>
      <c r="EV3502" s="501"/>
      <c r="EW3502" s="501"/>
      <c r="EX3502" s="501"/>
      <c r="EY3502" s="501"/>
      <c r="EZ3502" s="501"/>
      <c r="FA3502" s="501"/>
      <c r="FB3502" s="501"/>
      <c r="FC3502" s="501"/>
      <c r="FD3502" s="501"/>
      <c r="FE3502" s="501"/>
      <c r="FF3502" s="501"/>
      <c r="FG3502" s="501"/>
      <c r="FH3502" s="501"/>
      <c r="FI3502" s="501"/>
      <c r="FJ3502" s="501"/>
      <c r="FK3502" s="501"/>
      <c r="FL3502" s="501"/>
      <c r="FM3502" s="501"/>
      <c r="FN3502" s="501"/>
      <c r="FO3502" s="501"/>
      <c r="FP3502" s="501"/>
      <c r="FQ3502" s="501"/>
      <c r="FR3502" s="501"/>
      <c r="FS3502" s="501"/>
      <c r="FT3502" s="501"/>
      <c r="FU3502" s="501"/>
      <c r="FV3502" s="501"/>
      <c r="FW3502" s="501"/>
      <c r="FX3502" s="501"/>
      <c r="FY3502" s="501"/>
      <c r="FZ3502" s="501"/>
      <c r="GA3502" s="501"/>
      <c r="GB3502" s="501"/>
      <c r="GC3502" s="501"/>
      <c r="GD3502" s="501"/>
      <c r="GE3502" s="501"/>
      <c r="GF3502" s="501"/>
      <c r="GG3502" s="501"/>
      <c r="GH3502" s="501"/>
      <c r="GI3502" s="501"/>
      <c r="GJ3502" s="501"/>
      <c r="GK3502" s="501"/>
      <c r="GL3502" s="501"/>
      <c r="GM3502" s="501"/>
      <c r="GN3502" s="501"/>
      <c r="GO3502" s="501"/>
      <c r="GP3502" s="501"/>
      <c r="GQ3502" s="501"/>
      <c r="GR3502" s="501"/>
      <c r="GS3502" s="501"/>
      <c r="GT3502" s="501"/>
      <c r="GU3502" s="501"/>
      <c r="GV3502" s="501"/>
      <c r="GW3502" s="501"/>
      <c r="GX3502" s="501"/>
      <c r="GY3502" s="501"/>
      <c r="GZ3502" s="501"/>
      <c r="HA3502" s="501"/>
      <c r="HB3502" s="501"/>
      <c r="HC3502" s="501"/>
      <c r="HD3502" s="501"/>
      <c r="HE3502" s="501"/>
      <c r="HF3502" s="501"/>
      <c r="HG3502" s="501"/>
      <c r="HH3502" s="501"/>
      <c r="HI3502" s="501"/>
      <c r="HJ3502" s="501"/>
      <c r="HK3502" s="501"/>
      <c r="HL3502" s="501"/>
      <c r="HM3502" s="501"/>
      <c r="HN3502" s="501"/>
      <c r="HO3502" s="501"/>
      <c r="HP3502" s="501"/>
      <c r="HQ3502" s="501"/>
      <c r="HR3502" s="501"/>
      <c r="HS3502" s="501"/>
      <c r="HT3502" s="501"/>
      <c r="HU3502" s="501"/>
      <c r="HV3502" s="501"/>
      <c r="HW3502" s="501"/>
      <c r="HX3502" s="501"/>
      <c r="HY3502" s="501"/>
      <c r="HZ3502" s="501"/>
      <c r="IA3502" s="501"/>
      <c r="IB3502" s="501"/>
      <c r="IC3502" s="501"/>
      <c r="ID3502" s="501"/>
      <c r="IE3502" s="501"/>
      <c r="IF3502" s="501"/>
      <c r="IG3502" s="501"/>
      <c r="IH3502" s="501"/>
      <c r="II3502" s="501"/>
      <c r="IJ3502" s="501"/>
      <c r="IK3502" s="501"/>
      <c r="IL3502" s="501"/>
      <c r="IM3502" s="501"/>
      <c r="IN3502" s="501"/>
      <c r="IO3502" s="501"/>
      <c r="IP3502" s="501"/>
      <c r="IQ3502" s="501"/>
      <c r="IR3502" s="501"/>
      <c r="IS3502" s="501"/>
      <c r="IT3502" s="501"/>
      <c r="IU3502" s="501"/>
    </row>
    <row r="3503" spans="1:255" s="877" customFormat="1" ht="24" customHeight="1">
      <c r="A3503" s="501"/>
      <c r="B3503" s="501"/>
      <c r="C3503" s="501"/>
      <c r="D3503" s="501"/>
      <c r="E3503" s="501"/>
      <c r="F3503" s="927"/>
      <c r="G3503" s="1064"/>
      <c r="H3503" s="927"/>
      <c r="I3503" s="874"/>
      <c r="J3503" s="501"/>
      <c r="K3503" s="501"/>
      <c r="L3503" s="878"/>
      <c r="M3503" s="554"/>
      <c r="N3503" s="501"/>
      <c r="O3503" s="501"/>
      <c r="P3503" s="501"/>
      <c r="Q3503" s="554"/>
      <c r="R3503" s="501"/>
      <c r="S3503" s="501"/>
      <c r="T3503" s="501"/>
      <c r="V3503" s="501"/>
      <c r="W3503" s="501"/>
      <c r="X3503" s="501"/>
      <c r="Y3503" s="501"/>
      <c r="Z3503" s="501"/>
      <c r="AA3503" s="501"/>
      <c r="AB3503" s="501"/>
      <c r="AC3503" s="501"/>
      <c r="AD3503" s="501"/>
      <c r="AE3503" s="501"/>
      <c r="AF3503" s="501"/>
      <c r="AG3503" s="501"/>
      <c r="AH3503" s="501"/>
      <c r="AI3503" s="501"/>
      <c r="AJ3503" s="501"/>
      <c r="AK3503" s="501"/>
      <c r="AL3503" s="501"/>
      <c r="AM3503" s="501"/>
      <c r="AN3503" s="501"/>
      <c r="AO3503" s="501"/>
      <c r="AP3503" s="501"/>
      <c r="AQ3503" s="501"/>
      <c r="AR3503" s="501"/>
      <c r="AS3503" s="501"/>
      <c r="AT3503" s="501"/>
      <c r="AU3503" s="501"/>
      <c r="AV3503" s="501"/>
      <c r="AW3503" s="501"/>
      <c r="AX3503" s="501"/>
      <c r="AY3503" s="501"/>
      <c r="AZ3503" s="501"/>
      <c r="BA3503" s="501"/>
      <c r="BB3503" s="501"/>
      <c r="BC3503" s="501"/>
      <c r="BD3503" s="501"/>
      <c r="BE3503" s="501"/>
      <c r="BF3503" s="501"/>
      <c r="BG3503" s="501"/>
      <c r="BH3503" s="501"/>
      <c r="BI3503" s="501"/>
      <c r="BJ3503" s="501"/>
      <c r="BK3503" s="501"/>
      <c r="BL3503" s="501"/>
      <c r="BM3503" s="501"/>
      <c r="BN3503" s="501"/>
      <c r="BO3503" s="501"/>
      <c r="BP3503" s="501"/>
      <c r="BQ3503" s="501"/>
      <c r="BR3503" s="501"/>
      <c r="BS3503" s="501"/>
      <c r="BT3503" s="501"/>
      <c r="BU3503" s="501"/>
      <c r="BV3503" s="501"/>
      <c r="BW3503" s="501"/>
      <c r="BX3503" s="501"/>
      <c r="BY3503" s="501"/>
      <c r="BZ3503" s="501"/>
      <c r="CA3503" s="501"/>
      <c r="CB3503" s="501"/>
      <c r="CC3503" s="501"/>
      <c r="CD3503" s="501"/>
      <c r="CE3503" s="501"/>
      <c r="CF3503" s="501"/>
      <c r="CG3503" s="501"/>
      <c r="CH3503" s="501"/>
      <c r="CI3503" s="501"/>
      <c r="CJ3503" s="501"/>
      <c r="CK3503" s="501"/>
      <c r="CL3503" s="501"/>
      <c r="CM3503" s="501"/>
      <c r="CN3503" s="501"/>
      <c r="CO3503" s="501"/>
      <c r="CP3503" s="501"/>
      <c r="CQ3503" s="501"/>
      <c r="CR3503" s="501"/>
      <c r="CS3503" s="501"/>
      <c r="CT3503" s="501"/>
      <c r="CU3503" s="501"/>
      <c r="CV3503" s="501"/>
      <c r="CW3503" s="501"/>
      <c r="CX3503" s="501"/>
      <c r="CY3503" s="501"/>
      <c r="CZ3503" s="501"/>
      <c r="DA3503" s="501"/>
      <c r="DB3503" s="501"/>
      <c r="DC3503" s="501"/>
      <c r="DD3503" s="501"/>
      <c r="DE3503" s="501"/>
      <c r="DF3503" s="501"/>
      <c r="DG3503" s="501"/>
      <c r="DH3503" s="501"/>
      <c r="DI3503" s="501"/>
      <c r="DJ3503" s="501"/>
      <c r="DK3503" s="501"/>
      <c r="DL3503" s="501"/>
      <c r="DM3503" s="501"/>
      <c r="DN3503" s="501"/>
      <c r="DO3503" s="501"/>
      <c r="DP3503" s="501"/>
      <c r="DQ3503" s="501"/>
      <c r="DR3503" s="501"/>
      <c r="DS3503" s="501"/>
      <c r="DT3503" s="501"/>
      <c r="DU3503" s="501"/>
      <c r="DV3503" s="501"/>
      <c r="DW3503" s="501"/>
      <c r="DX3503" s="501"/>
      <c r="DY3503" s="501"/>
      <c r="DZ3503" s="501"/>
      <c r="EA3503" s="501"/>
      <c r="EB3503" s="501"/>
      <c r="EC3503" s="501"/>
      <c r="ED3503" s="501"/>
      <c r="EE3503" s="501"/>
      <c r="EF3503" s="501"/>
      <c r="EG3503" s="501"/>
      <c r="EH3503" s="501"/>
      <c r="EI3503" s="501"/>
      <c r="EJ3503" s="501"/>
      <c r="EK3503" s="501"/>
      <c r="EL3503" s="501"/>
      <c r="EM3503" s="501"/>
      <c r="EN3503" s="501"/>
      <c r="EO3503" s="501"/>
      <c r="EP3503" s="501"/>
      <c r="EQ3503" s="501"/>
      <c r="ER3503" s="501"/>
      <c r="ES3503" s="501"/>
      <c r="ET3503" s="501"/>
      <c r="EU3503" s="501"/>
      <c r="EV3503" s="501"/>
      <c r="EW3503" s="501"/>
      <c r="EX3503" s="501"/>
      <c r="EY3503" s="501"/>
      <c r="EZ3503" s="501"/>
      <c r="FA3503" s="501"/>
      <c r="FB3503" s="501"/>
      <c r="FC3503" s="501"/>
      <c r="FD3503" s="501"/>
      <c r="FE3503" s="501"/>
      <c r="FF3503" s="501"/>
      <c r="FG3503" s="501"/>
      <c r="FH3503" s="501"/>
      <c r="FI3503" s="501"/>
      <c r="FJ3503" s="501"/>
      <c r="FK3503" s="501"/>
      <c r="FL3503" s="501"/>
      <c r="FM3503" s="501"/>
      <c r="FN3503" s="501"/>
      <c r="FO3503" s="501"/>
      <c r="FP3503" s="501"/>
      <c r="FQ3503" s="501"/>
      <c r="FR3503" s="501"/>
      <c r="FS3503" s="501"/>
      <c r="FT3503" s="501"/>
      <c r="FU3503" s="501"/>
      <c r="FV3503" s="501"/>
      <c r="FW3503" s="501"/>
      <c r="FX3503" s="501"/>
      <c r="FY3503" s="501"/>
      <c r="FZ3503" s="501"/>
      <c r="GA3503" s="501"/>
      <c r="GB3503" s="501"/>
      <c r="GC3503" s="501"/>
      <c r="GD3503" s="501"/>
      <c r="GE3503" s="501"/>
      <c r="GF3503" s="501"/>
      <c r="GG3503" s="501"/>
      <c r="GH3503" s="501"/>
      <c r="GI3503" s="501"/>
      <c r="GJ3503" s="501"/>
      <c r="GK3503" s="501"/>
      <c r="GL3503" s="501"/>
      <c r="GM3503" s="501"/>
      <c r="GN3503" s="501"/>
      <c r="GO3503" s="501"/>
      <c r="GP3503" s="501"/>
      <c r="GQ3503" s="501"/>
      <c r="GR3503" s="501"/>
      <c r="GS3503" s="501"/>
      <c r="GT3503" s="501"/>
      <c r="GU3503" s="501"/>
      <c r="GV3503" s="501"/>
      <c r="GW3503" s="501"/>
      <c r="GX3503" s="501"/>
      <c r="GY3503" s="501"/>
      <c r="GZ3503" s="501"/>
      <c r="HA3503" s="501"/>
      <c r="HB3503" s="501"/>
      <c r="HC3503" s="501"/>
      <c r="HD3503" s="501"/>
      <c r="HE3503" s="501"/>
      <c r="HF3503" s="501"/>
      <c r="HG3503" s="501"/>
      <c r="HH3503" s="501"/>
      <c r="HI3503" s="501"/>
      <c r="HJ3503" s="501"/>
      <c r="HK3503" s="501"/>
      <c r="HL3503" s="501"/>
      <c r="HM3503" s="501"/>
      <c r="HN3503" s="501"/>
      <c r="HO3503" s="501"/>
      <c r="HP3503" s="501"/>
      <c r="HQ3503" s="501"/>
      <c r="HR3503" s="501"/>
      <c r="HS3503" s="501"/>
      <c r="HT3503" s="501"/>
      <c r="HU3503" s="501"/>
      <c r="HV3503" s="501"/>
      <c r="HW3503" s="501"/>
      <c r="HX3503" s="501"/>
      <c r="HY3503" s="501"/>
      <c r="HZ3503" s="501"/>
      <c r="IA3503" s="501"/>
      <c r="IB3503" s="501"/>
      <c r="IC3503" s="501"/>
      <c r="ID3503" s="501"/>
      <c r="IE3503" s="501"/>
      <c r="IF3503" s="501"/>
      <c r="IG3503" s="501"/>
      <c r="IH3503" s="501"/>
      <c r="II3503" s="501"/>
      <c r="IJ3503" s="501"/>
      <c r="IK3503" s="501"/>
      <c r="IL3503" s="501"/>
      <c r="IM3503" s="501"/>
      <c r="IN3503" s="501"/>
      <c r="IO3503" s="501"/>
      <c r="IP3503" s="501"/>
      <c r="IQ3503" s="501"/>
      <c r="IR3503" s="501"/>
      <c r="IS3503" s="501"/>
      <c r="IT3503" s="501"/>
      <c r="IU3503" s="501"/>
    </row>
    <row r="3504" spans="1:255" s="877" customFormat="1" ht="24" customHeight="1">
      <c r="A3504" s="501"/>
      <c r="B3504" s="501"/>
      <c r="C3504" s="501"/>
      <c r="D3504" s="501"/>
      <c r="E3504" s="501"/>
      <c r="F3504" s="927"/>
      <c r="G3504" s="1064"/>
      <c r="H3504" s="927"/>
      <c r="I3504" s="874"/>
      <c r="J3504" s="501"/>
      <c r="K3504" s="501"/>
      <c r="L3504" s="878"/>
      <c r="M3504" s="554"/>
      <c r="N3504" s="501"/>
      <c r="O3504" s="501"/>
      <c r="P3504" s="501"/>
      <c r="Q3504" s="554"/>
      <c r="R3504" s="501"/>
      <c r="S3504" s="501"/>
      <c r="T3504" s="501"/>
      <c r="V3504" s="501"/>
      <c r="W3504" s="501"/>
      <c r="X3504" s="501"/>
      <c r="Y3504" s="501"/>
      <c r="Z3504" s="501"/>
      <c r="AA3504" s="501"/>
      <c r="AB3504" s="501"/>
      <c r="AC3504" s="501"/>
      <c r="AD3504" s="501"/>
      <c r="AE3504" s="501"/>
      <c r="AF3504" s="501"/>
      <c r="AG3504" s="501"/>
      <c r="AH3504" s="501"/>
      <c r="AI3504" s="501"/>
      <c r="AJ3504" s="501"/>
      <c r="AK3504" s="501"/>
      <c r="AL3504" s="501"/>
      <c r="AM3504" s="501"/>
      <c r="AN3504" s="501"/>
      <c r="AO3504" s="501"/>
      <c r="AP3504" s="501"/>
      <c r="AQ3504" s="501"/>
      <c r="AR3504" s="501"/>
      <c r="AS3504" s="501"/>
      <c r="AT3504" s="501"/>
      <c r="AU3504" s="501"/>
      <c r="AV3504" s="501"/>
      <c r="AW3504" s="501"/>
      <c r="AX3504" s="501"/>
      <c r="AY3504" s="501"/>
      <c r="AZ3504" s="501"/>
      <c r="BA3504" s="501"/>
      <c r="BB3504" s="501"/>
      <c r="BC3504" s="501"/>
      <c r="BD3504" s="501"/>
      <c r="BE3504" s="501"/>
      <c r="BF3504" s="501"/>
      <c r="BG3504" s="501"/>
      <c r="BH3504" s="501"/>
      <c r="BI3504" s="501"/>
      <c r="BJ3504" s="501"/>
      <c r="BK3504" s="501"/>
      <c r="BL3504" s="501"/>
      <c r="BM3504" s="501"/>
      <c r="BN3504" s="501"/>
      <c r="BO3504" s="501"/>
      <c r="BP3504" s="501"/>
      <c r="BQ3504" s="501"/>
      <c r="BR3504" s="501"/>
      <c r="BS3504" s="501"/>
      <c r="BT3504" s="501"/>
      <c r="BU3504" s="501"/>
      <c r="BV3504" s="501"/>
      <c r="BW3504" s="501"/>
      <c r="BX3504" s="501"/>
      <c r="BY3504" s="501"/>
      <c r="BZ3504" s="501"/>
      <c r="CA3504" s="501"/>
      <c r="CB3504" s="501"/>
      <c r="CC3504" s="501"/>
      <c r="CD3504" s="501"/>
      <c r="CE3504" s="501"/>
      <c r="CF3504" s="501"/>
      <c r="CG3504" s="501"/>
      <c r="CH3504" s="501"/>
      <c r="CI3504" s="501"/>
      <c r="CJ3504" s="501"/>
      <c r="CK3504" s="501"/>
      <c r="CL3504" s="501"/>
      <c r="CM3504" s="501"/>
      <c r="CN3504" s="501"/>
      <c r="CO3504" s="501"/>
      <c r="CP3504" s="501"/>
      <c r="CQ3504" s="501"/>
      <c r="CR3504" s="501"/>
      <c r="CS3504" s="501"/>
      <c r="CT3504" s="501"/>
      <c r="CU3504" s="501"/>
      <c r="CV3504" s="501"/>
      <c r="CW3504" s="501"/>
      <c r="CX3504" s="501"/>
      <c r="CY3504" s="501"/>
      <c r="CZ3504" s="501"/>
      <c r="DA3504" s="501"/>
      <c r="DB3504" s="501"/>
      <c r="DC3504" s="501"/>
      <c r="DD3504" s="501"/>
      <c r="DE3504" s="501"/>
      <c r="DF3504" s="501"/>
      <c r="DG3504" s="501"/>
      <c r="DH3504" s="501"/>
      <c r="DI3504" s="501"/>
      <c r="DJ3504" s="501"/>
      <c r="DK3504" s="501"/>
      <c r="DL3504" s="501"/>
      <c r="DM3504" s="501"/>
      <c r="DN3504" s="501"/>
      <c r="DO3504" s="501"/>
      <c r="DP3504" s="501"/>
      <c r="DQ3504" s="501"/>
      <c r="DR3504" s="501"/>
      <c r="DS3504" s="501"/>
      <c r="DT3504" s="501"/>
      <c r="DU3504" s="501"/>
      <c r="DV3504" s="501"/>
      <c r="DW3504" s="501"/>
      <c r="DX3504" s="501"/>
      <c r="DY3504" s="501"/>
      <c r="DZ3504" s="501"/>
      <c r="EA3504" s="501"/>
      <c r="EB3504" s="501"/>
      <c r="EC3504" s="501"/>
      <c r="ED3504" s="501"/>
      <c r="EE3504" s="501"/>
      <c r="EF3504" s="501"/>
      <c r="EG3504" s="501"/>
      <c r="EH3504" s="501"/>
      <c r="EI3504" s="501"/>
      <c r="EJ3504" s="501"/>
      <c r="EK3504" s="501"/>
      <c r="EL3504" s="501"/>
      <c r="EM3504" s="501"/>
      <c r="EN3504" s="501"/>
      <c r="EO3504" s="501"/>
      <c r="EP3504" s="501"/>
      <c r="EQ3504" s="501"/>
      <c r="ER3504" s="501"/>
      <c r="ES3504" s="501"/>
      <c r="ET3504" s="501"/>
      <c r="EU3504" s="501"/>
      <c r="EV3504" s="501"/>
      <c r="EW3504" s="501"/>
      <c r="EX3504" s="501"/>
      <c r="EY3504" s="501"/>
      <c r="EZ3504" s="501"/>
      <c r="FA3504" s="501"/>
      <c r="FB3504" s="501"/>
      <c r="FC3504" s="501"/>
      <c r="FD3504" s="501"/>
      <c r="FE3504" s="501"/>
      <c r="FF3504" s="501"/>
      <c r="FG3504" s="501"/>
      <c r="FH3504" s="501"/>
      <c r="FI3504" s="501"/>
      <c r="FJ3504" s="501"/>
      <c r="FK3504" s="501"/>
      <c r="FL3504" s="501"/>
      <c r="FM3504" s="501"/>
      <c r="FN3504" s="501"/>
      <c r="FO3504" s="501"/>
      <c r="FP3504" s="501"/>
      <c r="FQ3504" s="501"/>
      <c r="FR3504" s="501"/>
      <c r="FS3504" s="501"/>
      <c r="FT3504" s="501"/>
      <c r="FU3504" s="501"/>
      <c r="FV3504" s="501"/>
      <c r="FW3504" s="501"/>
      <c r="FX3504" s="501"/>
      <c r="FY3504" s="501"/>
      <c r="FZ3504" s="501"/>
      <c r="GA3504" s="501"/>
      <c r="GB3504" s="501"/>
      <c r="GC3504" s="501"/>
      <c r="GD3504" s="501"/>
      <c r="GE3504" s="501"/>
      <c r="GF3504" s="501"/>
      <c r="GG3504" s="501"/>
      <c r="GH3504" s="501"/>
      <c r="GI3504" s="501"/>
      <c r="GJ3504" s="501"/>
      <c r="GK3504" s="501"/>
      <c r="GL3504" s="501"/>
      <c r="GM3504" s="501"/>
      <c r="GN3504" s="501"/>
      <c r="GO3504" s="501"/>
      <c r="GP3504" s="501"/>
      <c r="GQ3504" s="501"/>
      <c r="GR3504" s="501"/>
      <c r="GS3504" s="501"/>
      <c r="GT3504" s="501"/>
      <c r="GU3504" s="501"/>
      <c r="GV3504" s="501"/>
      <c r="GW3504" s="501"/>
      <c r="GX3504" s="501"/>
      <c r="GY3504" s="501"/>
      <c r="GZ3504" s="501"/>
      <c r="HA3504" s="501"/>
      <c r="HB3504" s="501"/>
      <c r="HC3504" s="501"/>
      <c r="HD3504" s="501"/>
      <c r="HE3504" s="501"/>
      <c r="HF3504" s="501"/>
      <c r="HG3504" s="501"/>
      <c r="HH3504" s="501"/>
      <c r="HI3504" s="501"/>
      <c r="HJ3504" s="501"/>
      <c r="HK3504" s="501"/>
      <c r="HL3504" s="501"/>
      <c r="HM3504" s="501"/>
      <c r="HN3504" s="501"/>
      <c r="HO3504" s="501"/>
      <c r="HP3504" s="501"/>
      <c r="HQ3504" s="501"/>
      <c r="HR3504" s="501"/>
      <c r="HS3504" s="501"/>
      <c r="HT3504" s="501"/>
      <c r="HU3504" s="501"/>
      <c r="HV3504" s="501"/>
      <c r="HW3504" s="501"/>
      <c r="HX3504" s="501"/>
      <c r="HY3504" s="501"/>
      <c r="HZ3504" s="501"/>
      <c r="IA3504" s="501"/>
      <c r="IB3504" s="501"/>
      <c r="IC3504" s="501"/>
      <c r="ID3504" s="501"/>
      <c r="IE3504" s="501"/>
      <c r="IF3504" s="501"/>
      <c r="IG3504" s="501"/>
      <c r="IH3504" s="501"/>
      <c r="II3504" s="501"/>
      <c r="IJ3504" s="501"/>
      <c r="IK3504" s="501"/>
      <c r="IL3504" s="501"/>
      <c r="IM3504" s="501"/>
      <c r="IN3504" s="501"/>
      <c r="IO3504" s="501"/>
      <c r="IP3504" s="501"/>
      <c r="IQ3504" s="501"/>
      <c r="IR3504" s="501"/>
      <c r="IS3504" s="501"/>
      <c r="IT3504" s="501"/>
      <c r="IU3504" s="501"/>
    </row>
    <row r="3505" spans="1:255" s="877" customFormat="1" ht="24" customHeight="1">
      <c r="A3505" s="501"/>
      <c r="B3505" s="501"/>
      <c r="C3505" s="501"/>
      <c r="D3505" s="501"/>
      <c r="E3505" s="501"/>
      <c r="F3505" s="501"/>
      <c r="G3505" s="915"/>
      <c r="H3505" s="501"/>
      <c r="I3505" s="874"/>
      <c r="J3505" s="501"/>
      <c r="K3505" s="501"/>
      <c r="L3505" s="878"/>
      <c r="M3505" s="554"/>
      <c r="N3505" s="501"/>
      <c r="O3505" s="501"/>
      <c r="P3505" s="501"/>
      <c r="Q3505" s="501"/>
      <c r="R3505" s="501"/>
      <c r="S3505" s="501"/>
      <c r="T3505" s="501"/>
      <c r="V3505" s="501"/>
      <c r="W3505" s="501"/>
      <c r="X3505" s="501"/>
      <c r="Y3505" s="501"/>
      <c r="Z3505" s="501"/>
      <c r="AA3505" s="501"/>
      <c r="AB3505" s="501"/>
      <c r="AC3505" s="501"/>
      <c r="AD3505" s="501"/>
      <c r="AE3505" s="501"/>
      <c r="AF3505" s="501"/>
      <c r="AG3505" s="501"/>
      <c r="AH3505" s="501"/>
      <c r="AI3505" s="501"/>
      <c r="AJ3505" s="501"/>
      <c r="AK3505" s="501"/>
      <c r="AL3505" s="501"/>
      <c r="AM3505" s="501"/>
      <c r="AN3505" s="501"/>
      <c r="AO3505" s="501"/>
      <c r="AP3505" s="501"/>
      <c r="AQ3505" s="501"/>
      <c r="AR3505" s="501"/>
      <c r="AS3505" s="501"/>
      <c r="AT3505" s="501"/>
      <c r="AU3505" s="501"/>
      <c r="AV3505" s="501"/>
      <c r="AW3505" s="501"/>
      <c r="AX3505" s="501"/>
      <c r="AY3505" s="501"/>
      <c r="AZ3505" s="501"/>
      <c r="BA3505" s="501"/>
      <c r="BB3505" s="501"/>
      <c r="BC3505" s="501"/>
      <c r="BD3505" s="501"/>
      <c r="BE3505" s="501"/>
      <c r="BF3505" s="501"/>
      <c r="BG3505" s="501"/>
      <c r="BH3505" s="501"/>
      <c r="BI3505" s="501"/>
      <c r="BJ3505" s="501"/>
      <c r="BK3505" s="501"/>
      <c r="BL3505" s="501"/>
      <c r="BM3505" s="501"/>
      <c r="BN3505" s="501"/>
      <c r="BO3505" s="501"/>
      <c r="BP3505" s="501"/>
      <c r="BQ3505" s="501"/>
      <c r="BR3505" s="501"/>
      <c r="BS3505" s="501"/>
      <c r="BT3505" s="501"/>
      <c r="BU3505" s="501"/>
      <c r="BV3505" s="501"/>
      <c r="BW3505" s="501"/>
      <c r="BX3505" s="501"/>
      <c r="BY3505" s="501"/>
      <c r="BZ3505" s="501"/>
      <c r="CA3505" s="501"/>
      <c r="CB3505" s="501"/>
      <c r="CC3505" s="501"/>
      <c r="CD3505" s="501"/>
      <c r="CE3505" s="501"/>
      <c r="CF3505" s="501"/>
      <c r="CG3505" s="501"/>
      <c r="CH3505" s="501"/>
      <c r="CI3505" s="501"/>
      <c r="CJ3505" s="501"/>
      <c r="CK3505" s="501"/>
      <c r="CL3505" s="501"/>
      <c r="CM3505" s="501"/>
      <c r="CN3505" s="501"/>
      <c r="CO3505" s="501"/>
      <c r="CP3505" s="501"/>
      <c r="CQ3505" s="501"/>
      <c r="CR3505" s="501"/>
      <c r="CS3505" s="501"/>
      <c r="CT3505" s="501"/>
      <c r="CU3505" s="501"/>
      <c r="CV3505" s="501"/>
      <c r="CW3505" s="501"/>
      <c r="CX3505" s="501"/>
      <c r="CY3505" s="501"/>
      <c r="CZ3505" s="501"/>
      <c r="DA3505" s="501"/>
      <c r="DB3505" s="501"/>
      <c r="DC3505" s="501"/>
      <c r="DD3505" s="501"/>
      <c r="DE3505" s="501"/>
      <c r="DF3505" s="501"/>
      <c r="DG3505" s="501"/>
      <c r="DH3505" s="501"/>
      <c r="DI3505" s="501"/>
      <c r="DJ3505" s="501"/>
      <c r="DK3505" s="501"/>
      <c r="DL3505" s="501"/>
      <c r="DM3505" s="501"/>
      <c r="DN3505" s="501"/>
      <c r="DO3505" s="501"/>
      <c r="DP3505" s="501"/>
      <c r="DQ3505" s="501"/>
      <c r="DR3505" s="501"/>
      <c r="DS3505" s="501"/>
      <c r="DT3505" s="501"/>
      <c r="DU3505" s="501"/>
      <c r="DV3505" s="501"/>
      <c r="DW3505" s="501"/>
      <c r="DX3505" s="501"/>
      <c r="DY3505" s="501"/>
      <c r="DZ3505" s="501"/>
      <c r="EA3505" s="501"/>
      <c r="EB3505" s="501"/>
      <c r="EC3505" s="501"/>
      <c r="ED3505" s="501"/>
      <c r="EE3505" s="501"/>
      <c r="EF3505" s="501"/>
      <c r="EG3505" s="501"/>
      <c r="EH3505" s="501"/>
      <c r="EI3505" s="501"/>
      <c r="EJ3505" s="501"/>
      <c r="EK3505" s="501"/>
      <c r="EL3505" s="501"/>
      <c r="EM3505" s="501"/>
      <c r="EN3505" s="501"/>
      <c r="EO3505" s="501"/>
      <c r="EP3505" s="501"/>
      <c r="EQ3505" s="501"/>
      <c r="ER3505" s="501"/>
      <c r="ES3505" s="501"/>
      <c r="ET3505" s="501"/>
      <c r="EU3505" s="501"/>
      <c r="EV3505" s="501"/>
      <c r="EW3505" s="501"/>
      <c r="EX3505" s="501"/>
      <c r="EY3505" s="501"/>
      <c r="EZ3505" s="501"/>
      <c r="FA3505" s="501"/>
      <c r="FB3505" s="501"/>
      <c r="FC3505" s="501"/>
      <c r="FD3505" s="501"/>
      <c r="FE3505" s="501"/>
      <c r="FF3505" s="501"/>
      <c r="FG3505" s="501"/>
      <c r="FH3505" s="501"/>
      <c r="FI3505" s="501"/>
      <c r="FJ3505" s="501"/>
      <c r="FK3505" s="501"/>
      <c r="FL3505" s="501"/>
      <c r="FM3505" s="501"/>
      <c r="FN3505" s="501"/>
      <c r="FO3505" s="501"/>
      <c r="FP3505" s="501"/>
      <c r="FQ3505" s="501"/>
      <c r="FR3505" s="501"/>
      <c r="FS3505" s="501"/>
      <c r="FT3505" s="501"/>
      <c r="FU3505" s="501"/>
      <c r="FV3505" s="501"/>
      <c r="FW3505" s="501"/>
      <c r="FX3505" s="501"/>
      <c r="FY3505" s="501"/>
      <c r="FZ3505" s="501"/>
      <c r="GA3505" s="501"/>
      <c r="GB3505" s="501"/>
      <c r="GC3505" s="501"/>
      <c r="GD3505" s="501"/>
      <c r="GE3505" s="501"/>
      <c r="GF3505" s="501"/>
      <c r="GG3505" s="501"/>
      <c r="GH3505" s="501"/>
      <c r="GI3505" s="501"/>
      <c r="GJ3505" s="501"/>
      <c r="GK3505" s="501"/>
      <c r="GL3505" s="501"/>
      <c r="GM3505" s="501"/>
      <c r="GN3505" s="501"/>
      <c r="GO3505" s="501"/>
      <c r="GP3505" s="501"/>
      <c r="GQ3505" s="501"/>
      <c r="GR3505" s="501"/>
      <c r="GS3505" s="501"/>
      <c r="GT3505" s="501"/>
      <c r="GU3505" s="501"/>
      <c r="GV3505" s="501"/>
      <c r="GW3505" s="501"/>
      <c r="GX3505" s="501"/>
      <c r="GY3505" s="501"/>
      <c r="GZ3505" s="501"/>
      <c r="HA3505" s="501"/>
      <c r="HB3505" s="501"/>
      <c r="HC3505" s="501"/>
      <c r="HD3505" s="501"/>
      <c r="HE3505" s="501"/>
      <c r="HF3505" s="501"/>
      <c r="HG3505" s="501"/>
      <c r="HH3505" s="501"/>
      <c r="HI3505" s="501"/>
      <c r="HJ3505" s="501"/>
      <c r="HK3505" s="501"/>
      <c r="HL3505" s="501"/>
      <c r="HM3505" s="501"/>
      <c r="HN3505" s="501"/>
      <c r="HO3505" s="501"/>
      <c r="HP3505" s="501"/>
      <c r="HQ3505" s="501"/>
      <c r="HR3505" s="501"/>
      <c r="HS3505" s="501"/>
      <c r="HT3505" s="501"/>
      <c r="HU3505" s="501"/>
      <c r="HV3505" s="501"/>
      <c r="HW3505" s="501"/>
      <c r="HX3505" s="501"/>
      <c r="HY3505" s="501"/>
      <c r="HZ3505" s="501"/>
      <c r="IA3505" s="501"/>
      <c r="IB3505" s="501"/>
      <c r="IC3505" s="501"/>
      <c r="ID3505" s="501"/>
      <c r="IE3505" s="501"/>
      <c r="IF3505" s="501"/>
      <c r="IG3505" s="501"/>
      <c r="IH3505" s="501"/>
      <c r="II3505" s="501"/>
      <c r="IJ3505" s="501"/>
      <c r="IK3505" s="501"/>
      <c r="IL3505" s="501"/>
      <c r="IM3505" s="501"/>
      <c r="IN3505" s="501"/>
      <c r="IO3505" s="501"/>
      <c r="IP3505" s="501"/>
      <c r="IQ3505" s="501"/>
      <c r="IR3505" s="501"/>
      <c r="IS3505" s="501"/>
      <c r="IT3505" s="501"/>
      <c r="IU3505" s="501"/>
    </row>
    <row r="3506" spans="1:255" s="877" customFormat="1" ht="24" customHeight="1">
      <c r="A3506" s="501"/>
      <c r="B3506" s="501"/>
      <c r="C3506" s="501"/>
      <c r="D3506" s="501"/>
      <c r="E3506" s="501"/>
      <c r="F3506" s="501"/>
      <c r="G3506" s="915"/>
      <c r="H3506" s="501"/>
      <c r="I3506" s="874"/>
      <c r="J3506" s="501"/>
      <c r="K3506" s="501"/>
      <c r="L3506" s="878"/>
      <c r="M3506" s="554"/>
      <c r="N3506" s="501"/>
      <c r="O3506" s="501"/>
      <c r="P3506" s="501"/>
      <c r="Q3506" s="885"/>
      <c r="R3506" s="501"/>
      <c r="S3506" s="501"/>
      <c r="T3506" s="501"/>
      <c r="V3506" s="501"/>
      <c r="W3506" s="501"/>
      <c r="X3506" s="501"/>
      <c r="Y3506" s="501"/>
      <c r="Z3506" s="501"/>
      <c r="AA3506" s="501"/>
      <c r="AB3506" s="501"/>
      <c r="AC3506" s="501"/>
      <c r="AD3506" s="501"/>
      <c r="AE3506" s="501"/>
      <c r="AF3506" s="501"/>
      <c r="AG3506" s="501"/>
      <c r="AH3506" s="501"/>
      <c r="AI3506" s="501"/>
      <c r="AJ3506" s="501"/>
      <c r="AK3506" s="501"/>
      <c r="AL3506" s="501"/>
      <c r="AM3506" s="501"/>
      <c r="AN3506" s="501"/>
      <c r="AO3506" s="501"/>
      <c r="AP3506" s="501"/>
      <c r="AQ3506" s="501"/>
      <c r="AR3506" s="501"/>
      <c r="AS3506" s="501"/>
      <c r="AT3506" s="501"/>
      <c r="AU3506" s="501"/>
      <c r="AV3506" s="501"/>
      <c r="AW3506" s="501"/>
      <c r="AX3506" s="501"/>
      <c r="AY3506" s="501"/>
      <c r="AZ3506" s="501"/>
      <c r="BA3506" s="501"/>
      <c r="BB3506" s="501"/>
      <c r="BC3506" s="501"/>
      <c r="BD3506" s="501"/>
      <c r="BE3506" s="501"/>
      <c r="BF3506" s="501"/>
      <c r="BG3506" s="501"/>
      <c r="BH3506" s="501"/>
      <c r="BI3506" s="501"/>
      <c r="BJ3506" s="501"/>
      <c r="BK3506" s="501"/>
      <c r="BL3506" s="501"/>
      <c r="BM3506" s="501"/>
      <c r="BN3506" s="501"/>
      <c r="BO3506" s="501"/>
      <c r="BP3506" s="501"/>
      <c r="BQ3506" s="501"/>
      <c r="BR3506" s="501"/>
      <c r="BS3506" s="501"/>
      <c r="BT3506" s="501"/>
      <c r="BU3506" s="501"/>
      <c r="BV3506" s="501"/>
      <c r="BW3506" s="501"/>
      <c r="BX3506" s="501"/>
      <c r="BY3506" s="501"/>
      <c r="BZ3506" s="501"/>
      <c r="CA3506" s="501"/>
      <c r="CB3506" s="501"/>
      <c r="CC3506" s="501"/>
      <c r="CD3506" s="501"/>
      <c r="CE3506" s="501"/>
      <c r="CF3506" s="501"/>
      <c r="CG3506" s="501"/>
      <c r="CH3506" s="501"/>
      <c r="CI3506" s="501"/>
      <c r="CJ3506" s="501"/>
      <c r="CK3506" s="501"/>
      <c r="CL3506" s="501"/>
      <c r="CM3506" s="501"/>
      <c r="CN3506" s="501"/>
      <c r="CO3506" s="501"/>
      <c r="CP3506" s="501"/>
      <c r="CQ3506" s="501"/>
      <c r="CR3506" s="501"/>
      <c r="CS3506" s="501"/>
      <c r="CT3506" s="501"/>
      <c r="CU3506" s="501"/>
      <c r="CV3506" s="501"/>
      <c r="CW3506" s="501"/>
      <c r="CX3506" s="501"/>
      <c r="CY3506" s="501"/>
      <c r="CZ3506" s="501"/>
      <c r="DA3506" s="501"/>
      <c r="DB3506" s="501"/>
      <c r="DC3506" s="501"/>
      <c r="DD3506" s="501"/>
      <c r="DE3506" s="501"/>
      <c r="DF3506" s="501"/>
      <c r="DG3506" s="501"/>
      <c r="DH3506" s="501"/>
      <c r="DI3506" s="501"/>
      <c r="DJ3506" s="501"/>
      <c r="DK3506" s="501"/>
      <c r="DL3506" s="501"/>
      <c r="DM3506" s="501"/>
      <c r="DN3506" s="501"/>
      <c r="DO3506" s="501"/>
      <c r="DP3506" s="501"/>
      <c r="DQ3506" s="501"/>
      <c r="DR3506" s="501"/>
      <c r="DS3506" s="501"/>
      <c r="DT3506" s="501"/>
      <c r="DU3506" s="501"/>
      <c r="DV3506" s="501"/>
      <c r="DW3506" s="501"/>
      <c r="DX3506" s="501"/>
      <c r="DY3506" s="501"/>
      <c r="DZ3506" s="501"/>
      <c r="EA3506" s="501"/>
      <c r="EB3506" s="501"/>
      <c r="EC3506" s="501"/>
      <c r="ED3506" s="501"/>
      <c r="EE3506" s="501"/>
      <c r="EF3506" s="501"/>
      <c r="EG3506" s="501"/>
      <c r="EH3506" s="501"/>
      <c r="EI3506" s="501"/>
      <c r="EJ3506" s="501"/>
      <c r="EK3506" s="501"/>
      <c r="EL3506" s="501"/>
      <c r="EM3506" s="501"/>
      <c r="EN3506" s="501"/>
      <c r="EO3506" s="501"/>
      <c r="EP3506" s="501"/>
      <c r="EQ3506" s="501"/>
      <c r="ER3506" s="501"/>
      <c r="ES3506" s="501"/>
      <c r="ET3506" s="501"/>
      <c r="EU3506" s="501"/>
      <c r="EV3506" s="501"/>
      <c r="EW3506" s="501"/>
      <c r="EX3506" s="501"/>
      <c r="EY3506" s="501"/>
      <c r="EZ3506" s="501"/>
      <c r="FA3506" s="501"/>
      <c r="FB3506" s="501"/>
      <c r="FC3506" s="501"/>
      <c r="FD3506" s="501"/>
      <c r="FE3506" s="501"/>
      <c r="FF3506" s="501"/>
      <c r="FG3506" s="501"/>
      <c r="FH3506" s="501"/>
      <c r="FI3506" s="501"/>
      <c r="FJ3506" s="501"/>
      <c r="FK3506" s="501"/>
      <c r="FL3506" s="501"/>
      <c r="FM3506" s="501"/>
      <c r="FN3506" s="501"/>
      <c r="FO3506" s="501"/>
      <c r="FP3506" s="501"/>
      <c r="FQ3506" s="501"/>
      <c r="FR3506" s="501"/>
      <c r="FS3506" s="501"/>
      <c r="FT3506" s="501"/>
      <c r="FU3506" s="501"/>
      <c r="FV3506" s="501"/>
      <c r="FW3506" s="501"/>
      <c r="FX3506" s="501"/>
      <c r="FY3506" s="501"/>
      <c r="FZ3506" s="501"/>
      <c r="GA3506" s="501"/>
      <c r="GB3506" s="501"/>
      <c r="GC3506" s="501"/>
      <c r="GD3506" s="501"/>
      <c r="GE3506" s="501"/>
      <c r="GF3506" s="501"/>
      <c r="GG3506" s="501"/>
      <c r="GH3506" s="501"/>
      <c r="GI3506" s="501"/>
      <c r="GJ3506" s="501"/>
      <c r="GK3506" s="501"/>
      <c r="GL3506" s="501"/>
      <c r="GM3506" s="501"/>
      <c r="GN3506" s="501"/>
      <c r="GO3506" s="501"/>
      <c r="GP3506" s="501"/>
      <c r="GQ3506" s="501"/>
      <c r="GR3506" s="501"/>
      <c r="GS3506" s="501"/>
      <c r="GT3506" s="501"/>
      <c r="GU3506" s="501"/>
      <c r="GV3506" s="501"/>
      <c r="GW3506" s="501"/>
      <c r="GX3506" s="501"/>
      <c r="GY3506" s="501"/>
      <c r="GZ3506" s="501"/>
      <c r="HA3506" s="501"/>
      <c r="HB3506" s="501"/>
      <c r="HC3506" s="501"/>
      <c r="HD3506" s="501"/>
      <c r="HE3506" s="501"/>
      <c r="HF3506" s="501"/>
      <c r="HG3506" s="501"/>
      <c r="HH3506" s="501"/>
      <c r="HI3506" s="501"/>
      <c r="HJ3506" s="501"/>
      <c r="HK3506" s="501"/>
      <c r="HL3506" s="501"/>
      <c r="HM3506" s="501"/>
      <c r="HN3506" s="501"/>
      <c r="HO3506" s="501"/>
      <c r="HP3506" s="501"/>
      <c r="HQ3506" s="501"/>
      <c r="HR3506" s="501"/>
      <c r="HS3506" s="501"/>
      <c r="HT3506" s="501"/>
      <c r="HU3506" s="501"/>
      <c r="HV3506" s="501"/>
      <c r="HW3506" s="501"/>
      <c r="HX3506" s="501"/>
      <c r="HY3506" s="501"/>
      <c r="HZ3506" s="501"/>
      <c r="IA3506" s="501"/>
      <c r="IB3506" s="501"/>
      <c r="IC3506" s="501"/>
      <c r="ID3506" s="501"/>
      <c r="IE3506" s="501"/>
      <c r="IF3506" s="501"/>
      <c r="IG3506" s="501"/>
      <c r="IH3506" s="501"/>
      <c r="II3506" s="501"/>
      <c r="IJ3506" s="501"/>
      <c r="IK3506" s="501"/>
      <c r="IL3506" s="501"/>
      <c r="IM3506" s="501"/>
      <c r="IN3506" s="501"/>
      <c r="IO3506" s="501"/>
      <c r="IP3506" s="501"/>
      <c r="IQ3506" s="501"/>
      <c r="IR3506" s="501"/>
      <c r="IS3506" s="501"/>
      <c r="IT3506" s="501"/>
      <c r="IU3506" s="501"/>
    </row>
    <row r="3507" spans="1:255" s="877" customFormat="1" ht="24" customHeight="1">
      <c r="A3507" s="501"/>
      <c r="B3507" s="501"/>
      <c r="C3507" s="501"/>
      <c r="D3507" s="501"/>
      <c r="E3507" s="501"/>
      <c r="F3507" s="501"/>
      <c r="G3507" s="915"/>
      <c r="H3507" s="501"/>
      <c r="I3507" s="874"/>
      <c r="J3507" s="501"/>
      <c r="K3507" s="501"/>
      <c r="L3507" s="878"/>
      <c r="M3507" s="554"/>
      <c r="N3507" s="501"/>
      <c r="O3507" s="501"/>
      <c r="P3507" s="501"/>
      <c r="Q3507" s="501"/>
      <c r="R3507" s="501"/>
      <c r="S3507" s="501"/>
      <c r="T3507" s="501"/>
      <c r="V3507" s="501"/>
      <c r="W3507" s="501"/>
      <c r="X3507" s="501"/>
      <c r="Y3507" s="501"/>
      <c r="Z3507" s="501"/>
      <c r="AA3507" s="501"/>
      <c r="AB3507" s="501"/>
      <c r="AC3507" s="501"/>
      <c r="AD3507" s="501"/>
      <c r="AE3507" s="501"/>
      <c r="AF3507" s="501"/>
      <c r="AG3507" s="501"/>
      <c r="AH3507" s="501"/>
      <c r="AI3507" s="501"/>
      <c r="AJ3507" s="501"/>
      <c r="AK3507" s="501"/>
      <c r="AL3507" s="501"/>
      <c r="AM3507" s="501"/>
      <c r="AN3507" s="501"/>
      <c r="AO3507" s="501"/>
      <c r="AP3507" s="501"/>
      <c r="AQ3507" s="501"/>
      <c r="AR3507" s="501"/>
      <c r="AS3507" s="501"/>
      <c r="AT3507" s="501"/>
      <c r="AU3507" s="501"/>
      <c r="AV3507" s="501"/>
      <c r="AW3507" s="501"/>
      <c r="AX3507" s="501"/>
      <c r="AY3507" s="501"/>
      <c r="AZ3507" s="501"/>
      <c r="BA3507" s="501"/>
      <c r="BB3507" s="501"/>
      <c r="BC3507" s="501"/>
      <c r="BD3507" s="501"/>
      <c r="BE3507" s="501"/>
      <c r="BF3507" s="501"/>
      <c r="BG3507" s="501"/>
      <c r="BH3507" s="501"/>
      <c r="BI3507" s="501"/>
      <c r="BJ3507" s="501"/>
      <c r="BK3507" s="501"/>
      <c r="BL3507" s="501"/>
      <c r="BM3507" s="501"/>
      <c r="BN3507" s="501"/>
      <c r="BO3507" s="501"/>
      <c r="BP3507" s="501"/>
      <c r="BQ3507" s="501"/>
      <c r="BR3507" s="501"/>
      <c r="BS3507" s="501"/>
      <c r="BT3507" s="501"/>
      <c r="BU3507" s="501"/>
      <c r="BV3507" s="501"/>
      <c r="BW3507" s="501"/>
      <c r="BX3507" s="501"/>
      <c r="BY3507" s="501"/>
      <c r="BZ3507" s="501"/>
      <c r="CA3507" s="501"/>
      <c r="CB3507" s="501"/>
      <c r="CC3507" s="501"/>
      <c r="CD3507" s="501"/>
      <c r="CE3507" s="501"/>
      <c r="CF3507" s="501"/>
      <c r="CG3507" s="501"/>
      <c r="CH3507" s="501"/>
      <c r="CI3507" s="501"/>
      <c r="CJ3507" s="501"/>
      <c r="CK3507" s="501"/>
      <c r="CL3507" s="501"/>
      <c r="CM3507" s="501"/>
      <c r="CN3507" s="501"/>
      <c r="CO3507" s="501"/>
      <c r="CP3507" s="501"/>
      <c r="CQ3507" s="501"/>
      <c r="CR3507" s="501"/>
      <c r="CS3507" s="501"/>
      <c r="CT3507" s="501"/>
      <c r="CU3507" s="501"/>
      <c r="CV3507" s="501"/>
      <c r="CW3507" s="501"/>
      <c r="CX3507" s="501"/>
      <c r="CY3507" s="501"/>
      <c r="CZ3507" s="501"/>
      <c r="DA3507" s="501"/>
      <c r="DB3507" s="501"/>
      <c r="DC3507" s="501"/>
      <c r="DD3507" s="501"/>
      <c r="DE3507" s="501"/>
      <c r="DF3507" s="501"/>
      <c r="DG3507" s="501"/>
      <c r="DH3507" s="501"/>
      <c r="DI3507" s="501"/>
      <c r="DJ3507" s="501"/>
      <c r="DK3507" s="501"/>
      <c r="DL3507" s="501"/>
      <c r="DM3507" s="501"/>
      <c r="DN3507" s="501"/>
      <c r="DO3507" s="501"/>
      <c r="DP3507" s="501"/>
      <c r="DQ3507" s="501"/>
      <c r="DR3507" s="501"/>
      <c r="DS3507" s="501"/>
      <c r="DT3507" s="501"/>
      <c r="DU3507" s="501"/>
      <c r="DV3507" s="501"/>
      <c r="DW3507" s="501"/>
      <c r="DX3507" s="501"/>
      <c r="DY3507" s="501"/>
      <c r="DZ3507" s="501"/>
      <c r="EA3507" s="501"/>
      <c r="EB3507" s="501"/>
      <c r="EC3507" s="501"/>
      <c r="ED3507" s="501"/>
      <c r="EE3507" s="501"/>
      <c r="EF3507" s="501"/>
      <c r="EG3507" s="501"/>
      <c r="EH3507" s="501"/>
      <c r="EI3507" s="501"/>
      <c r="EJ3507" s="501"/>
      <c r="EK3507" s="501"/>
      <c r="EL3507" s="501"/>
      <c r="EM3507" s="501"/>
      <c r="EN3507" s="501"/>
      <c r="EO3507" s="501"/>
      <c r="EP3507" s="501"/>
      <c r="EQ3507" s="501"/>
      <c r="ER3507" s="501"/>
      <c r="ES3507" s="501"/>
      <c r="ET3507" s="501"/>
      <c r="EU3507" s="501"/>
      <c r="EV3507" s="501"/>
      <c r="EW3507" s="501"/>
      <c r="EX3507" s="501"/>
      <c r="EY3507" s="501"/>
      <c r="EZ3507" s="501"/>
      <c r="FA3507" s="501"/>
      <c r="FB3507" s="501"/>
      <c r="FC3507" s="501"/>
      <c r="FD3507" s="501"/>
      <c r="FE3507" s="501"/>
      <c r="FF3507" s="501"/>
      <c r="FG3507" s="501"/>
      <c r="FH3507" s="501"/>
      <c r="FI3507" s="501"/>
      <c r="FJ3507" s="501"/>
      <c r="FK3507" s="501"/>
      <c r="FL3507" s="501"/>
      <c r="FM3507" s="501"/>
      <c r="FN3507" s="501"/>
      <c r="FO3507" s="501"/>
      <c r="FP3507" s="501"/>
      <c r="FQ3507" s="501"/>
      <c r="FR3507" s="501"/>
      <c r="FS3507" s="501"/>
      <c r="FT3507" s="501"/>
      <c r="FU3507" s="501"/>
      <c r="FV3507" s="501"/>
      <c r="FW3507" s="501"/>
      <c r="FX3507" s="501"/>
      <c r="FY3507" s="501"/>
      <c r="FZ3507" s="501"/>
      <c r="GA3507" s="501"/>
      <c r="GB3507" s="501"/>
      <c r="GC3507" s="501"/>
      <c r="GD3507" s="501"/>
      <c r="GE3507" s="501"/>
      <c r="GF3507" s="501"/>
      <c r="GG3507" s="501"/>
      <c r="GH3507" s="501"/>
      <c r="GI3507" s="501"/>
      <c r="GJ3507" s="501"/>
      <c r="GK3507" s="501"/>
      <c r="GL3507" s="501"/>
      <c r="GM3507" s="501"/>
      <c r="GN3507" s="501"/>
      <c r="GO3507" s="501"/>
      <c r="GP3507" s="501"/>
      <c r="GQ3507" s="501"/>
      <c r="GR3507" s="501"/>
      <c r="GS3507" s="501"/>
      <c r="GT3507" s="501"/>
      <c r="GU3507" s="501"/>
      <c r="GV3507" s="501"/>
      <c r="GW3507" s="501"/>
      <c r="GX3507" s="501"/>
      <c r="GY3507" s="501"/>
      <c r="GZ3507" s="501"/>
      <c r="HA3507" s="501"/>
      <c r="HB3507" s="501"/>
      <c r="HC3507" s="501"/>
      <c r="HD3507" s="501"/>
      <c r="HE3507" s="501"/>
      <c r="HF3507" s="501"/>
      <c r="HG3507" s="501"/>
      <c r="HH3507" s="501"/>
      <c r="HI3507" s="501"/>
      <c r="HJ3507" s="501"/>
      <c r="HK3507" s="501"/>
      <c r="HL3507" s="501"/>
      <c r="HM3507" s="501"/>
      <c r="HN3507" s="501"/>
      <c r="HO3507" s="501"/>
      <c r="HP3507" s="501"/>
      <c r="HQ3507" s="501"/>
      <c r="HR3507" s="501"/>
      <c r="HS3507" s="501"/>
      <c r="HT3507" s="501"/>
      <c r="HU3507" s="501"/>
      <c r="HV3507" s="501"/>
      <c r="HW3507" s="501"/>
      <c r="HX3507" s="501"/>
      <c r="HY3507" s="501"/>
      <c r="HZ3507" s="501"/>
      <c r="IA3507" s="501"/>
      <c r="IB3507" s="501"/>
      <c r="IC3507" s="501"/>
      <c r="ID3507" s="501"/>
      <c r="IE3507" s="501"/>
      <c r="IF3507" s="501"/>
      <c r="IG3507" s="501"/>
      <c r="IH3507" s="501"/>
      <c r="II3507" s="501"/>
      <c r="IJ3507" s="501"/>
      <c r="IK3507" s="501"/>
      <c r="IL3507" s="501"/>
      <c r="IM3507" s="501"/>
      <c r="IN3507" s="501"/>
      <c r="IO3507" s="501"/>
      <c r="IP3507" s="501"/>
      <c r="IQ3507" s="501"/>
      <c r="IR3507" s="501"/>
      <c r="IS3507" s="501"/>
      <c r="IT3507" s="501"/>
      <c r="IU3507" s="501"/>
    </row>
    <row r="3508" spans="1:255" s="877" customFormat="1" ht="24" customHeight="1">
      <c r="A3508" s="501"/>
      <c r="B3508" s="501"/>
      <c r="C3508" s="501"/>
      <c r="D3508" s="501"/>
      <c r="E3508" s="501"/>
      <c r="F3508" s="501"/>
      <c r="G3508" s="915"/>
      <c r="H3508" s="501"/>
      <c r="I3508" s="874"/>
      <c r="J3508" s="554"/>
      <c r="K3508" s="501"/>
      <c r="L3508" s="878"/>
      <c r="M3508" s="899"/>
      <c r="N3508" s="501"/>
      <c r="O3508" s="501"/>
      <c r="P3508" s="501"/>
      <c r="Q3508" s="501"/>
      <c r="R3508" s="501"/>
      <c r="S3508" s="501"/>
      <c r="T3508" s="501"/>
      <c r="V3508" s="501"/>
      <c r="W3508" s="501"/>
      <c r="X3508" s="501"/>
      <c r="Y3508" s="501"/>
      <c r="Z3508" s="501"/>
      <c r="AA3508" s="501"/>
      <c r="AB3508" s="501"/>
      <c r="AC3508" s="501"/>
      <c r="AD3508" s="501"/>
      <c r="AE3508" s="501"/>
      <c r="AF3508" s="501"/>
      <c r="AG3508" s="501"/>
      <c r="AH3508" s="501"/>
      <c r="AI3508" s="501"/>
      <c r="AJ3508" s="501"/>
      <c r="AK3508" s="501"/>
      <c r="AL3508" s="501"/>
      <c r="AM3508" s="501"/>
      <c r="AN3508" s="501"/>
      <c r="AO3508" s="501"/>
      <c r="AP3508" s="501"/>
      <c r="AQ3508" s="501"/>
      <c r="AR3508" s="501"/>
      <c r="AS3508" s="501"/>
      <c r="AT3508" s="501"/>
      <c r="AU3508" s="501"/>
      <c r="AV3508" s="501"/>
      <c r="AW3508" s="501"/>
      <c r="AX3508" s="501"/>
      <c r="AY3508" s="501"/>
      <c r="AZ3508" s="501"/>
      <c r="BA3508" s="501"/>
      <c r="BB3508" s="501"/>
      <c r="BC3508" s="501"/>
      <c r="BD3508" s="501"/>
      <c r="BE3508" s="501"/>
      <c r="BF3508" s="501"/>
      <c r="BG3508" s="501"/>
      <c r="BH3508" s="501"/>
      <c r="BI3508" s="501"/>
      <c r="BJ3508" s="501"/>
      <c r="BK3508" s="501"/>
      <c r="BL3508" s="501"/>
      <c r="BM3508" s="501"/>
      <c r="BN3508" s="501"/>
      <c r="BO3508" s="501"/>
      <c r="BP3508" s="501"/>
      <c r="BQ3508" s="501"/>
      <c r="BR3508" s="501"/>
      <c r="BS3508" s="501"/>
      <c r="BT3508" s="501"/>
      <c r="BU3508" s="501"/>
      <c r="BV3508" s="501"/>
      <c r="BW3508" s="501"/>
      <c r="BX3508" s="501"/>
      <c r="BY3508" s="501"/>
      <c r="BZ3508" s="501"/>
      <c r="CA3508" s="501"/>
      <c r="CB3508" s="501"/>
      <c r="CC3508" s="501"/>
      <c r="CD3508" s="501"/>
      <c r="CE3508" s="501"/>
      <c r="CF3508" s="501"/>
      <c r="CG3508" s="501"/>
      <c r="CH3508" s="501"/>
      <c r="CI3508" s="501"/>
      <c r="CJ3508" s="501"/>
      <c r="CK3508" s="501"/>
      <c r="CL3508" s="501"/>
      <c r="CM3508" s="501"/>
      <c r="CN3508" s="501"/>
      <c r="CO3508" s="501"/>
      <c r="CP3508" s="501"/>
      <c r="CQ3508" s="501"/>
      <c r="CR3508" s="501"/>
      <c r="CS3508" s="501"/>
      <c r="CT3508" s="501"/>
      <c r="CU3508" s="501"/>
      <c r="CV3508" s="501"/>
      <c r="CW3508" s="501"/>
      <c r="CX3508" s="501"/>
      <c r="CY3508" s="501"/>
      <c r="CZ3508" s="501"/>
      <c r="DA3508" s="501"/>
      <c r="DB3508" s="501"/>
      <c r="DC3508" s="501"/>
      <c r="DD3508" s="501"/>
      <c r="DE3508" s="501"/>
      <c r="DF3508" s="501"/>
      <c r="DG3508" s="501"/>
      <c r="DH3508" s="501"/>
      <c r="DI3508" s="501"/>
      <c r="DJ3508" s="501"/>
      <c r="DK3508" s="501"/>
      <c r="DL3508" s="501"/>
      <c r="DM3508" s="501"/>
      <c r="DN3508" s="501"/>
      <c r="DO3508" s="501"/>
      <c r="DP3508" s="501"/>
      <c r="DQ3508" s="501"/>
      <c r="DR3508" s="501"/>
      <c r="DS3508" s="501"/>
      <c r="DT3508" s="501"/>
      <c r="DU3508" s="501"/>
      <c r="DV3508" s="501"/>
      <c r="DW3508" s="501"/>
      <c r="DX3508" s="501"/>
      <c r="DY3508" s="501"/>
      <c r="DZ3508" s="501"/>
      <c r="EA3508" s="501"/>
      <c r="EB3508" s="501"/>
      <c r="EC3508" s="501"/>
      <c r="ED3508" s="501"/>
      <c r="EE3508" s="501"/>
      <c r="EF3508" s="501"/>
      <c r="EG3508" s="501"/>
      <c r="EH3508" s="501"/>
      <c r="EI3508" s="501"/>
      <c r="EJ3508" s="501"/>
      <c r="EK3508" s="501"/>
      <c r="EL3508" s="501"/>
      <c r="EM3508" s="501"/>
      <c r="EN3508" s="501"/>
      <c r="EO3508" s="501"/>
      <c r="EP3508" s="501"/>
      <c r="EQ3508" s="501"/>
      <c r="ER3508" s="501"/>
      <c r="ES3508" s="501"/>
      <c r="ET3508" s="501"/>
      <c r="EU3508" s="501"/>
      <c r="EV3508" s="501"/>
      <c r="EW3508" s="501"/>
      <c r="EX3508" s="501"/>
      <c r="EY3508" s="501"/>
      <c r="EZ3508" s="501"/>
      <c r="FA3508" s="501"/>
      <c r="FB3508" s="501"/>
      <c r="FC3508" s="501"/>
      <c r="FD3508" s="501"/>
      <c r="FE3508" s="501"/>
      <c r="FF3508" s="501"/>
      <c r="FG3508" s="501"/>
      <c r="FH3508" s="501"/>
      <c r="FI3508" s="501"/>
      <c r="FJ3508" s="501"/>
      <c r="FK3508" s="501"/>
      <c r="FL3508" s="501"/>
      <c r="FM3508" s="501"/>
      <c r="FN3508" s="501"/>
      <c r="FO3508" s="501"/>
      <c r="FP3508" s="501"/>
      <c r="FQ3508" s="501"/>
      <c r="FR3508" s="501"/>
      <c r="FS3508" s="501"/>
      <c r="FT3508" s="501"/>
      <c r="FU3508" s="501"/>
      <c r="FV3508" s="501"/>
      <c r="FW3508" s="501"/>
      <c r="FX3508" s="501"/>
      <c r="FY3508" s="501"/>
      <c r="FZ3508" s="501"/>
      <c r="GA3508" s="501"/>
      <c r="GB3508" s="501"/>
      <c r="GC3508" s="501"/>
      <c r="GD3508" s="501"/>
      <c r="GE3508" s="501"/>
      <c r="GF3508" s="501"/>
      <c r="GG3508" s="501"/>
      <c r="GH3508" s="501"/>
      <c r="GI3508" s="501"/>
      <c r="GJ3508" s="501"/>
      <c r="GK3508" s="501"/>
      <c r="GL3508" s="501"/>
      <c r="GM3508" s="501"/>
      <c r="GN3508" s="501"/>
      <c r="GO3508" s="501"/>
      <c r="GP3508" s="501"/>
      <c r="GQ3508" s="501"/>
      <c r="GR3508" s="501"/>
      <c r="GS3508" s="501"/>
      <c r="GT3508" s="501"/>
      <c r="GU3508" s="501"/>
      <c r="GV3508" s="501"/>
      <c r="GW3508" s="501"/>
      <c r="GX3508" s="501"/>
      <c r="GY3508" s="501"/>
      <c r="GZ3508" s="501"/>
      <c r="HA3508" s="501"/>
      <c r="HB3508" s="501"/>
      <c r="HC3508" s="501"/>
      <c r="HD3508" s="501"/>
      <c r="HE3508" s="501"/>
      <c r="HF3508" s="501"/>
      <c r="HG3508" s="501"/>
      <c r="HH3508" s="501"/>
      <c r="HI3508" s="501"/>
      <c r="HJ3508" s="501"/>
      <c r="HK3508" s="501"/>
      <c r="HL3508" s="501"/>
      <c r="HM3508" s="501"/>
      <c r="HN3508" s="501"/>
      <c r="HO3508" s="501"/>
      <c r="HP3508" s="501"/>
      <c r="HQ3508" s="501"/>
      <c r="HR3508" s="501"/>
      <c r="HS3508" s="501"/>
      <c r="HT3508" s="501"/>
      <c r="HU3508" s="501"/>
      <c r="HV3508" s="501"/>
      <c r="HW3508" s="501"/>
      <c r="HX3508" s="501"/>
      <c r="HY3508" s="501"/>
      <c r="HZ3508" s="501"/>
      <c r="IA3508" s="501"/>
      <c r="IB3508" s="501"/>
      <c r="IC3508" s="501"/>
      <c r="ID3508" s="501"/>
      <c r="IE3508" s="501"/>
      <c r="IF3508" s="501"/>
      <c r="IG3508" s="501"/>
      <c r="IH3508" s="501"/>
      <c r="II3508" s="501"/>
      <c r="IJ3508" s="501"/>
      <c r="IK3508" s="501"/>
      <c r="IL3508" s="501"/>
      <c r="IM3508" s="501"/>
      <c r="IN3508" s="501"/>
      <c r="IO3508" s="501"/>
      <c r="IP3508" s="501"/>
      <c r="IQ3508" s="501"/>
      <c r="IR3508" s="501"/>
      <c r="IS3508" s="501"/>
      <c r="IT3508" s="501"/>
      <c r="IU3508" s="501"/>
    </row>
    <row r="3509" spans="1:255" s="877" customFormat="1" ht="24" customHeight="1">
      <c r="A3509" s="501"/>
      <c r="B3509" s="501"/>
      <c r="C3509" s="501"/>
      <c r="D3509" s="501"/>
      <c r="E3509" s="501"/>
      <c r="F3509" s="501"/>
      <c r="G3509" s="915"/>
      <c r="H3509" s="501"/>
      <c r="I3509" s="874"/>
      <c r="J3509" s="554"/>
      <c r="K3509" s="501"/>
      <c r="L3509" s="878"/>
      <c r="M3509" s="899"/>
      <c r="N3509" s="501"/>
      <c r="O3509" s="501"/>
      <c r="P3509" s="501"/>
      <c r="Q3509" s="501"/>
      <c r="R3509" s="501"/>
      <c r="S3509" s="501"/>
      <c r="T3509" s="501"/>
      <c r="V3509" s="501"/>
      <c r="W3509" s="501"/>
      <c r="X3509" s="501"/>
      <c r="Y3509" s="501"/>
      <c r="Z3509" s="501"/>
      <c r="AA3509" s="501"/>
      <c r="AB3509" s="501"/>
      <c r="AC3509" s="501"/>
      <c r="AD3509" s="501"/>
      <c r="AE3509" s="501"/>
      <c r="AF3509" s="501"/>
      <c r="AG3509" s="501"/>
      <c r="AH3509" s="501"/>
      <c r="AI3509" s="501"/>
      <c r="AJ3509" s="501"/>
      <c r="AK3509" s="501"/>
      <c r="AL3509" s="501"/>
      <c r="AM3509" s="501"/>
      <c r="AN3509" s="501"/>
      <c r="AO3509" s="501"/>
      <c r="AP3509" s="501"/>
      <c r="AQ3509" s="501"/>
      <c r="AR3509" s="501"/>
      <c r="AS3509" s="501"/>
      <c r="AT3509" s="501"/>
      <c r="AU3509" s="501"/>
      <c r="AV3509" s="501"/>
      <c r="AW3509" s="501"/>
      <c r="AX3509" s="501"/>
      <c r="AY3509" s="501"/>
      <c r="AZ3509" s="501"/>
      <c r="BA3509" s="501"/>
      <c r="BB3509" s="501"/>
      <c r="BC3509" s="501"/>
      <c r="BD3509" s="501"/>
      <c r="BE3509" s="501"/>
      <c r="BF3509" s="501"/>
      <c r="BG3509" s="501"/>
      <c r="BH3509" s="501"/>
      <c r="BI3509" s="501"/>
      <c r="BJ3509" s="501"/>
      <c r="BK3509" s="501"/>
      <c r="BL3509" s="501"/>
      <c r="BM3509" s="501"/>
      <c r="BN3509" s="501"/>
      <c r="BO3509" s="501"/>
      <c r="BP3509" s="501"/>
      <c r="BQ3509" s="501"/>
      <c r="BR3509" s="501"/>
      <c r="BS3509" s="501"/>
      <c r="BT3509" s="501"/>
      <c r="BU3509" s="501"/>
      <c r="BV3509" s="501"/>
      <c r="BW3509" s="501"/>
      <c r="BX3509" s="501"/>
      <c r="BY3509" s="501"/>
      <c r="BZ3509" s="501"/>
      <c r="CA3509" s="501"/>
      <c r="CB3509" s="501"/>
      <c r="CC3509" s="501"/>
      <c r="CD3509" s="501"/>
      <c r="CE3509" s="501"/>
      <c r="CF3509" s="501"/>
      <c r="CG3509" s="501"/>
      <c r="CH3509" s="501"/>
      <c r="CI3509" s="501"/>
      <c r="CJ3509" s="501"/>
      <c r="CK3509" s="501"/>
      <c r="CL3509" s="501"/>
      <c r="CM3509" s="501"/>
      <c r="CN3509" s="501"/>
      <c r="CO3509" s="501"/>
      <c r="CP3509" s="501"/>
      <c r="CQ3509" s="501"/>
      <c r="CR3509" s="501"/>
      <c r="CS3509" s="501"/>
      <c r="CT3509" s="501"/>
      <c r="CU3509" s="501"/>
      <c r="CV3509" s="501"/>
      <c r="CW3509" s="501"/>
      <c r="CX3509" s="501"/>
      <c r="CY3509" s="501"/>
      <c r="CZ3509" s="501"/>
      <c r="DA3509" s="501"/>
      <c r="DB3509" s="501"/>
      <c r="DC3509" s="501"/>
      <c r="DD3509" s="501"/>
      <c r="DE3509" s="501"/>
      <c r="DF3509" s="501"/>
      <c r="DG3509" s="501"/>
      <c r="DH3509" s="501"/>
      <c r="DI3509" s="501"/>
      <c r="DJ3509" s="501"/>
      <c r="DK3509" s="501"/>
      <c r="DL3509" s="501"/>
      <c r="DM3509" s="501"/>
      <c r="DN3509" s="501"/>
      <c r="DO3509" s="501"/>
      <c r="DP3509" s="501"/>
      <c r="DQ3509" s="501"/>
      <c r="DR3509" s="501"/>
      <c r="DS3509" s="501"/>
      <c r="DT3509" s="501"/>
      <c r="DU3509" s="501"/>
      <c r="DV3509" s="501"/>
      <c r="DW3509" s="501"/>
      <c r="DX3509" s="501"/>
      <c r="DY3509" s="501"/>
      <c r="DZ3509" s="501"/>
      <c r="EA3509" s="501"/>
      <c r="EB3509" s="501"/>
      <c r="EC3509" s="501"/>
      <c r="ED3509" s="501"/>
      <c r="EE3509" s="501"/>
      <c r="EF3509" s="501"/>
      <c r="EG3509" s="501"/>
      <c r="EH3509" s="501"/>
      <c r="EI3509" s="501"/>
      <c r="EJ3509" s="501"/>
      <c r="EK3509" s="501"/>
      <c r="EL3509" s="501"/>
      <c r="EM3509" s="501"/>
      <c r="EN3509" s="501"/>
      <c r="EO3509" s="501"/>
      <c r="EP3509" s="501"/>
      <c r="EQ3509" s="501"/>
      <c r="ER3509" s="501"/>
      <c r="ES3509" s="501"/>
      <c r="ET3509" s="501"/>
      <c r="EU3509" s="501"/>
      <c r="EV3509" s="501"/>
      <c r="EW3509" s="501"/>
      <c r="EX3509" s="501"/>
      <c r="EY3509" s="501"/>
      <c r="EZ3509" s="501"/>
      <c r="FA3509" s="501"/>
      <c r="FB3509" s="501"/>
      <c r="FC3509" s="501"/>
      <c r="FD3509" s="501"/>
      <c r="FE3509" s="501"/>
      <c r="FF3509" s="501"/>
      <c r="FG3509" s="501"/>
      <c r="FH3509" s="501"/>
      <c r="FI3509" s="501"/>
      <c r="FJ3509" s="501"/>
      <c r="FK3509" s="501"/>
      <c r="FL3509" s="501"/>
      <c r="FM3509" s="501"/>
      <c r="FN3509" s="501"/>
      <c r="FO3509" s="501"/>
      <c r="FP3509" s="501"/>
      <c r="FQ3509" s="501"/>
      <c r="FR3509" s="501"/>
      <c r="FS3509" s="501"/>
      <c r="FT3509" s="501"/>
      <c r="FU3509" s="501"/>
      <c r="FV3509" s="501"/>
      <c r="FW3509" s="501"/>
      <c r="FX3509" s="501"/>
      <c r="FY3509" s="501"/>
      <c r="FZ3509" s="501"/>
      <c r="GA3509" s="501"/>
      <c r="GB3509" s="501"/>
      <c r="GC3509" s="501"/>
      <c r="GD3509" s="501"/>
      <c r="GE3509" s="501"/>
      <c r="GF3509" s="501"/>
      <c r="GG3509" s="501"/>
      <c r="GH3509" s="501"/>
      <c r="GI3509" s="501"/>
      <c r="GJ3509" s="501"/>
      <c r="GK3509" s="501"/>
      <c r="GL3509" s="501"/>
      <c r="GM3509" s="501"/>
      <c r="GN3509" s="501"/>
      <c r="GO3509" s="501"/>
      <c r="GP3509" s="501"/>
      <c r="GQ3509" s="501"/>
      <c r="GR3509" s="501"/>
      <c r="GS3509" s="501"/>
      <c r="GT3509" s="501"/>
      <c r="GU3509" s="501"/>
      <c r="GV3509" s="501"/>
      <c r="GW3509" s="501"/>
      <c r="GX3509" s="501"/>
      <c r="GY3509" s="501"/>
      <c r="GZ3509" s="501"/>
      <c r="HA3509" s="501"/>
      <c r="HB3509" s="501"/>
      <c r="HC3509" s="501"/>
      <c r="HD3509" s="501"/>
      <c r="HE3509" s="501"/>
      <c r="HF3509" s="501"/>
      <c r="HG3509" s="501"/>
      <c r="HH3509" s="501"/>
      <c r="HI3509" s="501"/>
      <c r="HJ3509" s="501"/>
      <c r="HK3509" s="501"/>
      <c r="HL3509" s="501"/>
      <c r="HM3509" s="501"/>
      <c r="HN3509" s="501"/>
      <c r="HO3509" s="501"/>
      <c r="HP3509" s="501"/>
      <c r="HQ3509" s="501"/>
      <c r="HR3509" s="501"/>
      <c r="HS3509" s="501"/>
      <c r="HT3509" s="501"/>
      <c r="HU3509" s="501"/>
      <c r="HV3509" s="501"/>
      <c r="HW3509" s="501"/>
      <c r="HX3509" s="501"/>
      <c r="HY3509" s="501"/>
      <c r="HZ3509" s="501"/>
      <c r="IA3509" s="501"/>
      <c r="IB3509" s="501"/>
      <c r="IC3509" s="501"/>
      <c r="ID3509" s="501"/>
      <c r="IE3509" s="501"/>
      <c r="IF3509" s="501"/>
      <c r="IG3509" s="501"/>
      <c r="IH3509" s="501"/>
      <c r="II3509" s="501"/>
      <c r="IJ3509" s="501"/>
      <c r="IK3509" s="501"/>
      <c r="IL3509" s="501"/>
      <c r="IM3509" s="501"/>
      <c r="IN3509" s="501"/>
      <c r="IO3509" s="501"/>
      <c r="IP3509" s="501"/>
      <c r="IQ3509" s="501"/>
      <c r="IR3509" s="501"/>
      <c r="IS3509" s="501"/>
      <c r="IT3509" s="501"/>
      <c r="IU3509" s="501"/>
    </row>
    <row r="3510" spans="1:255" s="877" customFormat="1" ht="24" customHeight="1">
      <c r="A3510" s="501"/>
      <c r="B3510" s="501"/>
      <c r="C3510" s="501"/>
      <c r="D3510" s="501"/>
      <c r="E3510" s="501"/>
      <c r="F3510" s="501"/>
      <c r="G3510" s="915"/>
      <c r="H3510" s="501"/>
      <c r="I3510" s="874"/>
      <c r="J3510" s="501"/>
      <c r="K3510" s="501"/>
      <c r="L3510" s="878"/>
      <c r="M3510" s="554"/>
      <c r="N3510" s="501"/>
      <c r="O3510" s="501"/>
      <c r="P3510" s="501"/>
      <c r="Q3510" s="501"/>
      <c r="R3510" s="501"/>
      <c r="S3510" s="501"/>
      <c r="T3510" s="501"/>
      <c r="V3510" s="501"/>
      <c r="W3510" s="501"/>
      <c r="X3510" s="501"/>
      <c r="Y3510" s="501"/>
      <c r="Z3510" s="501"/>
      <c r="AA3510" s="501"/>
      <c r="AB3510" s="501"/>
      <c r="AC3510" s="501"/>
      <c r="AD3510" s="501"/>
      <c r="AE3510" s="501"/>
      <c r="AF3510" s="501"/>
      <c r="AG3510" s="501"/>
      <c r="AH3510" s="501"/>
      <c r="AI3510" s="501"/>
      <c r="AJ3510" s="501"/>
      <c r="AK3510" s="501"/>
      <c r="AL3510" s="501"/>
      <c r="AM3510" s="501"/>
      <c r="AN3510" s="501"/>
      <c r="AO3510" s="501"/>
      <c r="AP3510" s="501"/>
      <c r="AQ3510" s="501"/>
      <c r="AR3510" s="501"/>
      <c r="AS3510" s="501"/>
      <c r="AT3510" s="501"/>
      <c r="AU3510" s="501"/>
      <c r="AV3510" s="501"/>
      <c r="AW3510" s="501"/>
      <c r="AX3510" s="501"/>
      <c r="AY3510" s="501"/>
      <c r="AZ3510" s="501"/>
      <c r="BA3510" s="501"/>
      <c r="BB3510" s="501"/>
      <c r="BC3510" s="501"/>
      <c r="BD3510" s="501"/>
      <c r="BE3510" s="501"/>
      <c r="BF3510" s="501"/>
      <c r="BG3510" s="501"/>
      <c r="BH3510" s="501"/>
      <c r="BI3510" s="501"/>
      <c r="BJ3510" s="501"/>
      <c r="BK3510" s="501"/>
      <c r="BL3510" s="501"/>
      <c r="BM3510" s="501"/>
      <c r="BN3510" s="501"/>
      <c r="BO3510" s="501"/>
      <c r="BP3510" s="501"/>
      <c r="BQ3510" s="501"/>
      <c r="BR3510" s="501"/>
      <c r="BS3510" s="501"/>
      <c r="BT3510" s="501"/>
      <c r="BU3510" s="501"/>
      <c r="BV3510" s="501"/>
      <c r="BW3510" s="501"/>
      <c r="BX3510" s="501"/>
      <c r="BY3510" s="501"/>
      <c r="BZ3510" s="501"/>
      <c r="CA3510" s="501"/>
      <c r="CB3510" s="501"/>
      <c r="CC3510" s="501"/>
      <c r="CD3510" s="501"/>
      <c r="CE3510" s="501"/>
      <c r="CF3510" s="501"/>
      <c r="CG3510" s="501"/>
      <c r="CH3510" s="501"/>
      <c r="CI3510" s="501"/>
      <c r="CJ3510" s="501"/>
      <c r="CK3510" s="501"/>
      <c r="CL3510" s="501"/>
      <c r="CM3510" s="501"/>
      <c r="CN3510" s="501"/>
      <c r="CO3510" s="501"/>
      <c r="CP3510" s="501"/>
      <c r="CQ3510" s="501"/>
      <c r="CR3510" s="501"/>
      <c r="CS3510" s="501"/>
      <c r="CT3510" s="501"/>
      <c r="CU3510" s="501"/>
      <c r="CV3510" s="501"/>
      <c r="CW3510" s="501"/>
      <c r="CX3510" s="501"/>
      <c r="CY3510" s="501"/>
      <c r="CZ3510" s="501"/>
      <c r="DA3510" s="501"/>
      <c r="DB3510" s="501"/>
      <c r="DC3510" s="501"/>
      <c r="DD3510" s="501"/>
      <c r="DE3510" s="501"/>
      <c r="DF3510" s="501"/>
      <c r="DG3510" s="501"/>
      <c r="DH3510" s="501"/>
      <c r="DI3510" s="501"/>
      <c r="DJ3510" s="501"/>
      <c r="DK3510" s="501"/>
      <c r="DL3510" s="501"/>
      <c r="DM3510" s="501"/>
      <c r="DN3510" s="501"/>
      <c r="DO3510" s="501"/>
      <c r="DP3510" s="501"/>
      <c r="DQ3510" s="501"/>
      <c r="DR3510" s="501"/>
      <c r="DS3510" s="501"/>
      <c r="DT3510" s="501"/>
      <c r="DU3510" s="501"/>
      <c r="DV3510" s="501"/>
      <c r="DW3510" s="501"/>
      <c r="DX3510" s="501"/>
      <c r="DY3510" s="501"/>
      <c r="DZ3510" s="501"/>
      <c r="EA3510" s="501"/>
      <c r="EB3510" s="501"/>
      <c r="EC3510" s="501"/>
      <c r="ED3510" s="501"/>
      <c r="EE3510" s="501"/>
      <c r="EF3510" s="501"/>
      <c r="EG3510" s="501"/>
      <c r="EH3510" s="501"/>
      <c r="EI3510" s="501"/>
      <c r="EJ3510" s="501"/>
      <c r="EK3510" s="501"/>
      <c r="EL3510" s="501"/>
      <c r="EM3510" s="501"/>
      <c r="EN3510" s="501"/>
      <c r="EO3510" s="501"/>
      <c r="EP3510" s="501"/>
      <c r="EQ3510" s="501"/>
      <c r="ER3510" s="501"/>
      <c r="ES3510" s="501"/>
      <c r="ET3510" s="501"/>
      <c r="EU3510" s="501"/>
      <c r="EV3510" s="501"/>
      <c r="EW3510" s="501"/>
      <c r="EX3510" s="501"/>
      <c r="EY3510" s="501"/>
      <c r="EZ3510" s="501"/>
      <c r="FA3510" s="501"/>
      <c r="FB3510" s="501"/>
      <c r="FC3510" s="501"/>
      <c r="FD3510" s="501"/>
      <c r="FE3510" s="501"/>
      <c r="FF3510" s="501"/>
      <c r="FG3510" s="501"/>
      <c r="FH3510" s="501"/>
      <c r="FI3510" s="501"/>
      <c r="FJ3510" s="501"/>
      <c r="FK3510" s="501"/>
      <c r="FL3510" s="501"/>
      <c r="FM3510" s="501"/>
      <c r="FN3510" s="501"/>
      <c r="FO3510" s="501"/>
      <c r="FP3510" s="501"/>
      <c r="FQ3510" s="501"/>
      <c r="FR3510" s="501"/>
      <c r="FS3510" s="501"/>
      <c r="FT3510" s="501"/>
      <c r="FU3510" s="501"/>
      <c r="FV3510" s="501"/>
      <c r="FW3510" s="501"/>
      <c r="FX3510" s="501"/>
      <c r="FY3510" s="501"/>
      <c r="FZ3510" s="501"/>
      <c r="GA3510" s="501"/>
      <c r="GB3510" s="501"/>
      <c r="GC3510" s="501"/>
      <c r="GD3510" s="501"/>
      <c r="GE3510" s="501"/>
      <c r="GF3510" s="501"/>
      <c r="GG3510" s="501"/>
      <c r="GH3510" s="501"/>
      <c r="GI3510" s="501"/>
      <c r="GJ3510" s="501"/>
      <c r="GK3510" s="501"/>
      <c r="GL3510" s="501"/>
      <c r="GM3510" s="501"/>
      <c r="GN3510" s="501"/>
      <c r="GO3510" s="501"/>
      <c r="GP3510" s="501"/>
      <c r="GQ3510" s="501"/>
      <c r="GR3510" s="501"/>
      <c r="GS3510" s="501"/>
      <c r="GT3510" s="501"/>
      <c r="GU3510" s="501"/>
      <c r="GV3510" s="501"/>
      <c r="GW3510" s="501"/>
      <c r="GX3510" s="501"/>
      <c r="GY3510" s="501"/>
      <c r="GZ3510" s="501"/>
      <c r="HA3510" s="501"/>
      <c r="HB3510" s="501"/>
      <c r="HC3510" s="501"/>
      <c r="HD3510" s="501"/>
      <c r="HE3510" s="501"/>
      <c r="HF3510" s="501"/>
      <c r="HG3510" s="501"/>
      <c r="HH3510" s="501"/>
      <c r="HI3510" s="501"/>
      <c r="HJ3510" s="501"/>
      <c r="HK3510" s="501"/>
      <c r="HL3510" s="501"/>
      <c r="HM3510" s="501"/>
      <c r="HN3510" s="501"/>
      <c r="HO3510" s="501"/>
      <c r="HP3510" s="501"/>
      <c r="HQ3510" s="501"/>
      <c r="HR3510" s="501"/>
      <c r="HS3510" s="501"/>
      <c r="HT3510" s="501"/>
      <c r="HU3510" s="501"/>
      <c r="HV3510" s="501"/>
      <c r="HW3510" s="501"/>
      <c r="HX3510" s="501"/>
      <c r="HY3510" s="501"/>
      <c r="HZ3510" s="501"/>
      <c r="IA3510" s="501"/>
      <c r="IB3510" s="501"/>
      <c r="IC3510" s="501"/>
      <c r="ID3510" s="501"/>
      <c r="IE3510" s="501"/>
      <c r="IF3510" s="501"/>
      <c r="IG3510" s="501"/>
      <c r="IH3510" s="501"/>
      <c r="II3510" s="501"/>
      <c r="IJ3510" s="501"/>
      <c r="IK3510" s="501"/>
      <c r="IL3510" s="501"/>
      <c r="IM3510" s="501"/>
      <c r="IN3510" s="501"/>
      <c r="IO3510" s="501"/>
      <c r="IP3510" s="501"/>
      <c r="IQ3510" s="501"/>
      <c r="IR3510" s="501"/>
      <c r="IS3510" s="501"/>
      <c r="IT3510" s="501"/>
      <c r="IU3510" s="501"/>
    </row>
    <row r="3512" spans="1:255" s="877" customFormat="1" ht="24" customHeight="1">
      <c r="A3512" s="501"/>
      <c r="B3512" s="501"/>
      <c r="C3512" s="501"/>
      <c r="D3512" s="501"/>
      <c r="E3512" s="501"/>
      <c r="F3512" s="501"/>
      <c r="G3512" s="915"/>
      <c r="H3512" s="501"/>
      <c r="I3512" s="874"/>
      <c r="J3512" s="501"/>
      <c r="K3512" s="501"/>
      <c r="L3512" s="874"/>
      <c r="M3512" s="554"/>
      <c r="N3512" s="501"/>
      <c r="O3512" s="501"/>
      <c r="P3512" s="501"/>
      <c r="Q3512" s="554"/>
      <c r="R3512" s="501"/>
      <c r="S3512" s="501"/>
      <c r="T3512" s="501"/>
      <c r="V3512" s="501"/>
      <c r="W3512" s="501"/>
      <c r="X3512" s="501"/>
      <c r="Y3512" s="501"/>
      <c r="Z3512" s="501"/>
      <c r="AA3512" s="501"/>
      <c r="AB3512" s="501"/>
      <c r="AC3512" s="501"/>
      <c r="AD3512" s="501"/>
      <c r="AE3512" s="501"/>
      <c r="AF3512" s="501"/>
      <c r="AG3512" s="501"/>
      <c r="AH3512" s="501"/>
      <c r="AI3512" s="501"/>
      <c r="AJ3512" s="501"/>
      <c r="AK3512" s="501"/>
      <c r="AL3512" s="501"/>
      <c r="AM3512" s="501"/>
      <c r="AN3512" s="501"/>
      <c r="AO3512" s="501"/>
      <c r="AP3512" s="501"/>
      <c r="AQ3512" s="501"/>
      <c r="AR3512" s="501"/>
      <c r="AS3512" s="501"/>
      <c r="AT3512" s="501"/>
      <c r="AU3512" s="501"/>
      <c r="AV3512" s="501"/>
      <c r="AW3512" s="501"/>
      <c r="AX3512" s="501"/>
      <c r="AY3512" s="501"/>
      <c r="AZ3512" s="501"/>
      <c r="BA3512" s="501"/>
      <c r="BB3512" s="501"/>
      <c r="BC3512" s="501"/>
      <c r="BD3512" s="501"/>
      <c r="BE3512" s="501"/>
      <c r="BF3512" s="501"/>
      <c r="BG3512" s="501"/>
      <c r="BH3512" s="501"/>
      <c r="BI3512" s="501"/>
      <c r="BJ3512" s="501"/>
      <c r="BK3512" s="501"/>
      <c r="BL3512" s="501"/>
      <c r="BM3512" s="501"/>
      <c r="BN3512" s="501"/>
      <c r="BO3512" s="501"/>
      <c r="BP3512" s="501"/>
      <c r="BQ3512" s="501"/>
      <c r="BR3512" s="501"/>
      <c r="BS3512" s="501"/>
      <c r="BT3512" s="501"/>
      <c r="BU3512" s="501"/>
      <c r="BV3512" s="501"/>
      <c r="BW3512" s="501"/>
      <c r="BX3512" s="501"/>
      <c r="BY3512" s="501"/>
      <c r="BZ3512" s="501"/>
      <c r="CA3512" s="501"/>
      <c r="CB3512" s="501"/>
      <c r="CC3512" s="501"/>
      <c r="CD3512" s="501"/>
      <c r="CE3512" s="501"/>
      <c r="CF3512" s="501"/>
      <c r="CG3512" s="501"/>
      <c r="CH3512" s="501"/>
      <c r="CI3512" s="501"/>
      <c r="CJ3512" s="501"/>
      <c r="CK3512" s="501"/>
      <c r="CL3512" s="501"/>
      <c r="CM3512" s="501"/>
      <c r="CN3512" s="501"/>
      <c r="CO3512" s="501"/>
      <c r="CP3512" s="501"/>
      <c r="CQ3512" s="501"/>
      <c r="CR3512" s="501"/>
      <c r="CS3512" s="501"/>
      <c r="CT3512" s="501"/>
      <c r="CU3512" s="501"/>
      <c r="CV3512" s="501"/>
      <c r="CW3512" s="501"/>
      <c r="CX3512" s="501"/>
      <c r="CY3512" s="501"/>
      <c r="CZ3512" s="501"/>
      <c r="DA3512" s="501"/>
      <c r="DB3512" s="501"/>
      <c r="DC3512" s="501"/>
      <c r="DD3512" s="501"/>
      <c r="DE3512" s="501"/>
      <c r="DF3512" s="501"/>
      <c r="DG3512" s="501"/>
      <c r="DH3512" s="501"/>
      <c r="DI3512" s="501"/>
      <c r="DJ3512" s="501"/>
      <c r="DK3512" s="501"/>
      <c r="DL3512" s="501"/>
      <c r="DM3512" s="501"/>
      <c r="DN3512" s="501"/>
      <c r="DO3512" s="501"/>
      <c r="DP3512" s="501"/>
      <c r="DQ3512" s="501"/>
      <c r="DR3512" s="501"/>
      <c r="DS3512" s="501"/>
      <c r="DT3512" s="501"/>
      <c r="DU3512" s="501"/>
      <c r="DV3512" s="501"/>
      <c r="DW3512" s="501"/>
      <c r="DX3512" s="501"/>
      <c r="DY3512" s="501"/>
      <c r="DZ3512" s="501"/>
      <c r="EA3512" s="501"/>
      <c r="EB3512" s="501"/>
      <c r="EC3512" s="501"/>
      <c r="ED3512" s="501"/>
      <c r="EE3512" s="501"/>
      <c r="EF3512" s="501"/>
      <c r="EG3512" s="501"/>
      <c r="EH3512" s="501"/>
      <c r="EI3512" s="501"/>
      <c r="EJ3512" s="501"/>
      <c r="EK3512" s="501"/>
      <c r="EL3512" s="501"/>
      <c r="EM3512" s="501"/>
      <c r="EN3512" s="501"/>
      <c r="EO3512" s="501"/>
      <c r="EP3512" s="501"/>
      <c r="EQ3512" s="501"/>
      <c r="ER3512" s="501"/>
      <c r="ES3512" s="501"/>
      <c r="ET3512" s="501"/>
      <c r="EU3512" s="501"/>
      <c r="EV3512" s="501"/>
      <c r="EW3512" s="501"/>
      <c r="EX3512" s="501"/>
      <c r="EY3512" s="501"/>
      <c r="EZ3512" s="501"/>
      <c r="FA3512" s="501"/>
      <c r="FB3512" s="501"/>
      <c r="FC3512" s="501"/>
      <c r="FD3512" s="501"/>
      <c r="FE3512" s="501"/>
      <c r="FF3512" s="501"/>
      <c r="FG3512" s="501"/>
      <c r="FH3512" s="501"/>
      <c r="FI3512" s="501"/>
      <c r="FJ3512" s="501"/>
      <c r="FK3512" s="501"/>
      <c r="FL3512" s="501"/>
      <c r="FM3512" s="501"/>
      <c r="FN3512" s="501"/>
      <c r="FO3512" s="501"/>
      <c r="FP3512" s="501"/>
      <c r="FQ3512" s="501"/>
      <c r="FR3512" s="501"/>
      <c r="FS3512" s="501"/>
      <c r="FT3512" s="501"/>
      <c r="FU3512" s="501"/>
      <c r="FV3512" s="501"/>
      <c r="FW3512" s="501"/>
      <c r="FX3512" s="501"/>
      <c r="FY3512" s="501"/>
      <c r="FZ3512" s="501"/>
      <c r="GA3512" s="501"/>
      <c r="GB3512" s="501"/>
      <c r="GC3512" s="501"/>
      <c r="GD3512" s="501"/>
      <c r="GE3512" s="501"/>
      <c r="GF3512" s="501"/>
      <c r="GG3512" s="501"/>
      <c r="GH3512" s="501"/>
      <c r="GI3512" s="501"/>
      <c r="GJ3512" s="501"/>
      <c r="GK3512" s="501"/>
      <c r="GL3512" s="501"/>
      <c r="GM3512" s="501"/>
      <c r="GN3512" s="501"/>
      <c r="GO3512" s="501"/>
      <c r="GP3512" s="501"/>
      <c r="GQ3512" s="501"/>
      <c r="GR3512" s="501"/>
      <c r="GS3512" s="501"/>
      <c r="GT3512" s="501"/>
      <c r="GU3512" s="501"/>
      <c r="GV3512" s="501"/>
      <c r="GW3512" s="501"/>
      <c r="GX3512" s="501"/>
      <c r="GY3512" s="501"/>
      <c r="GZ3512" s="501"/>
      <c r="HA3512" s="501"/>
      <c r="HB3512" s="501"/>
      <c r="HC3512" s="501"/>
      <c r="HD3512" s="501"/>
      <c r="HE3512" s="501"/>
      <c r="HF3512" s="501"/>
      <c r="HG3512" s="501"/>
      <c r="HH3512" s="501"/>
      <c r="HI3512" s="501"/>
      <c r="HJ3512" s="501"/>
      <c r="HK3512" s="501"/>
      <c r="HL3512" s="501"/>
      <c r="HM3512" s="501"/>
      <c r="HN3512" s="501"/>
      <c r="HO3512" s="501"/>
      <c r="HP3512" s="501"/>
      <c r="HQ3512" s="501"/>
      <c r="HR3512" s="501"/>
      <c r="HS3512" s="501"/>
      <c r="HT3512" s="501"/>
      <c r="HU3512" s="501"/>
      <c r="HV3512" s="501"/>
      <c r="HW3512" s="501"/>
      <c r="HX3512" s="501"/>
      <c r="HY3512" s="501"/>
      <c r="HZ3512" s="501"/>
      <c r="IA3512" s="501"/>
      <c r="IB3512" s="501"/>
      <c r="IC3512" s="501"/>
      <c r="ID3512" s="501"/>
      <c r="IE3512" s="501"/>
      <c r="IF3512" s="501"/>
      <c r="IG3512" s="501"/>
      <c r="IH3512" s="501"/>
      <c r="II3512" s="501"/>
      <c r="IJ3512" s="501"/>
      <c r="IK3512" s="501"/>
      <c r="IL3512" s="501"/>
      <c r="IM3512" s="501"/>
      <c r="IN3512" s="501"/>
      <c r="IO3512" s="501"/>
      <c r="IP3512" s="501"/>
      <c r="IQ3512" s="501"/>
      <c r="IR3512" s="501"/>
      <c r="IS3512" s="501"/>
      <c r="IT3512" s="501"/>
      <c r="IU3512" s="501"/>
    </row>
    <row r="3513" spans="1:255" s="877" customFormat="1" ht="24" customHeight="1">
      <c r="A3513" s="501"/>
      <c r="B3513" s="501"/>
      <c r="C3513" s="501"/>
      <c r="D3513" s="501"/>
      <c r="E3513" s="501"/>
      <c r="F3513" s="501"/>
      <c r="G3513" s="915"/>
      <c r="H3513" s="501"/>
      <c r="I3513" s="874"/>
      <c r="J3513" s="501"/>
      <c r="K3513" s="501"/>
      <c r="L3513" s="874"/>
      <c r="M3513" s="554"/>
      <c r="N3513" s="501"/>
      <c r="O3513" s="501"/>
      <c r="P3513" s="501"/>
      <c r="Q3513" s="554"/>
      <c r="R3513" s="501"/>
      <c r="S3513" s="501"/>
      <c r="T3513" s="501"/>
      <c r="V3513" s="501"/>
      <c r="W3513" s="501"/>
      <c r="X3513" s="501"/>
      <c r="Y3513" s="501"/>
      <c r="Z3513" s="501"/>
      <c r="AA3513" s="501"/>
      <c r="AB3513" s="501"/>
      <c r="AC3513" s="501"/>
      <c r="AD3513" s="501"/>
      <c r="AE3513" s="501"/>
      <c r="AF3513" s="501"/>
      <c r="AG3513" s="501"/>
      <c r="AH3513" s="501"/>
      <c r="AI3513" s="501"/>
      <c r="AJ3513" s="501"/>
      <c r="AK3513" s="501"/>
      <c r="AL3513" s="501"/>
      <c r="AM3513" s="501"/>
      <c r="AN3513" s="501"/>
      <c r="AO3513" s="501"/>
      <c r="AP3513" s="501"/>
      <c r="AQ3513" s="501"/>
      <c r="AR3513" s="501"/>
      <c r="AS3513" s="501"/>
      <c r="AT3513" s="501"/>
      <c r="AU3513" s="501"/>
      <c r="AV3513" s="501"/>
      <c r="AW3513" s="501"/>
      <c r="AX3513" s="501"/>
      <c r="AY3513" s="501"/>
      <c r="AZ3513" s="501"/>
      <c r="BA3513" s="501"/>
      <c r="BB3513" s="501"/>
      <c r="BC3513" s="501"/>
      <c r="BD3513" s="501"/>
      <c r="BE3513" s="501"/>
      <c r="BF3513" s="501"/>
      <c r="BG3513" s="501"/>
      <c r="BH3513" s="501"/>
      <c r="BI3513" s="501"/>
      <c r="BJ3513" s="501"/>
      <c r="BK3513" s="501"/>
      <c r="BL3513" s="501"/>
      <c r="BM3513" s="501"/>
      <c r="BN3513" s="501"/>
      <c r="BO3513" s="501"/>
      <c r="BP3513" s="501"/>
      <c r="BQ3513" s="501"/>
      <c r="BR3513" s="501"/>
      <c r="BS3513" s="501"/>
      <c r="BT3513" s="501"/>
      <c r="BU3513" s="501"/>
      <c r="BV3513" s="501"/>
      <c r="BW3513" s="501"/>
      <c r="BX3513" s="501"/>
      <c r="BY3513" s="501"/>
      <c r="BZ3513" s="501"/>
      <c r="CA3513" s="501"/>
      <c r="CB3513" s="501"/>
      <c r="CC3513" s="501"/>
      <c r="CD3513" s="501"/>
      <c r="CE3513" s="501"/>
      <c r="CF3513" s="501"/>
      <c r="CG3513" s="501"/>
      <c r="CH3513" s="501"/>
      <c r="CI3513" s="501"/>
      <c r="CJ3513" s="501"/>
      <c r="CK3513" s="501"/>
      <c r="CL3513" s="501"/>
      <c r="CM3513" s="501"/>
      <c r="CN3513" s="501"/>
      <c r="CO3513" s="501"/>
      <c r="CP3513" s="501"/>
      <c r="CQ3513" s="501"/>
      <c r="CR3513" s="501"/>
      <c r="CS3513" s="501"/>
      <c r="CT3513" s="501"/>
      <c r="CU3513" s="501"/>
      <c r="CV3513" s="501"/>
      <c r="CW3513" s="501"/>
      <c r="CX3513" s="501"/>
      <c r="CY3513" s="501"/>
      <c r="CZ3513" s="501"/>
      <c r="DA3513" s="501"/>
      <c r="DB3513" s="501"/>
      <c r="DC3513" s="501"/>
      <c r="DD3513" s="501"/>
      <c r="DE3513" s="501"/>
      <c r="DF3513" s="501"/>
      <c r="DG3513" s="501"/>
      <c r="DH3513" s="501"/>
      <c r="DI3513" s="501"/>
      <c r="DJ3513" s="501"/>
      <c r="DK3513" s="501"/>
      <c r="DL3513" s="501"/>
      <c r="DM3513" s="501"/>
      <c r="DN3513" s="501"/>
      <c r="DO3513" s="501"/>
      <c r="DP3513" s="501"/>
      <c r="DQ3513" s="501"/>
      <c r="DR3513" s="501"/>
      <c r="DS3513" s="501"/>
      <c r="DT3513" s="501"/>
      <c r="DU3513" s="501"/>
      <c r="DV3513" s="501"/>
      <c r="DW3513" s="501"/>
      <c r="DX3513" s="501"/>
      <c r="DY3513" s="501"/>
      <c r="DZ3513" s="501"/>
      <c r="EA3513" s="501"/>
      <c r="EB3513" s="501"/>
      <c r="EC3513" s="501"/>
      <c r="ED3513" s="501"/>
      <c r="EE3513" s="501"/>
      <c r="EF3513" s="501"/>
      <c r="EG3513" s="501"/>
      <c r="EH3513" s="501"/>
      <c r="EI3513" s="501"/>
      <c r="EJ3513" s="501"/>
      <c r="EK3513" s="501"/>
      <c r="EL3513" s="501"/>
      <c r="EM3513" s="501"/>
      <c r="EN3513" s="501"/>
      <c r="EO3513" s="501"/>
      <c r="EP3513" s="501"/>
      <c r="EQ3513" s="501"/>
      <c r="ER3513" s="501"/>
      <c r="ES3513" s="501"/>
      <c r="ET3513" s="501"/>
      <c r="EU3513" s="501"/>
      <c r="EV3513" s="501"/>
      <c r="EW3513" s="501"/>
      <c r="EX3513" s="501"/>
      <c r="EY3513" s="501"/>
      <c r="EZ3513" s="501"/>
      <c r="FA3513" s="501"/>
      <c r="FB3513" s="501"/>
      <c r="FC3513" s="501"/>
      <c r="FD3513" s="501"/>
      <c r="FE3513" s="501"/>
      <c r="FF3513" s="501"/>
      <c r="FG3513" s="501"/>
      <c r="FH3513" s="501"/>
      <c r="FI3513" s="501"/>
      <c r="FJ3513" s="501"/>
      <c r="FK3513" s="501"/>
      <c r="FL3513" s="501"/>
      <c r="FM3513" s="501"/>
      <c r="FN3513" s="501"/>
      <c r="FO3513" s="501"/>
      <c r="FP3513" s="501"/>
      <c r="FQ3513" s="501"/>
      <c r="FR3513" s="501"/>
      <c r="FS3513" s="501"/>
      <c r="FT3513" s="501"/>
      <c r="FU3513" s="501"/>
      <c r="FV3513" s="501"/>
      <c r="FW3513" s="501"/>
      <c r="FX3513" s="501"/>
      <c r="FY3513" s="501"/>
      <c r="FZ3513" s="501"/>
      <c r="GA3513" s="501"/>
      <c r="GB3513" s="501"/>
      <c r="GC3513" s="501"/>
      <c r="GD3513" s="501"/>
      <c r="GE3513" s="501"/>
      <c r="GF3513" s="501"/>
      <c r="GG3513" s="501"/>
      <c r="GH3513" s="501"/>
      <c r="GI3513" s="501"/>
      <c r="GJ3513" s="501"/>
      <c r="GK3513" s="501"/>
      <c r="GL3513" s="501"/>
      <c r="GM3513" s="501"/>
      <c r="GN3513" s="501"/>
      <c r="GO3513" s="501"/>
      <c r="GP3513" s="501"/>
      <c r="GQ3513" s="501"/>
      <c r="GR3513" s="501"/>
      <c r="GS3513" s="501"/>
      <c r="GT3513" s="501"/>
      <c r="GU3513" s="501"/>
      <c r="GV3513" s="501"/>
      <c r="GW3513" s="501"/>
      <c r="GX3513" s="501"/>
      <c r="GY3513" s="501"/>
      <c r="GZ3513" s="501"/>
      <c r="HA3513" s="501"/>
      <c r="HB3513" s="501"/>
      <c r="HC3513" s="501"/>
      <c r="HD3513" s="501"/>
      <c r="HE3513" s="501"/>
      <c r="HF3513" s="501"/>
      <c r="HG3513" s="501"/>
      <c r="HH3513" s="501"/>
      <c r="HI3513" s="501"/>
      <c r="HJ3513" s="501"/>
      <c r="HK3513" s="501"/>
      <c r="HL3513" s="501"/>
      <c r="HM3513" s="501"/>
      <c r="HN3513" s="501"/>
      <c r="HO3513" s="501"/>
      <c r="HP3513" s="501"/>
      <c r="HQ3513" s="501"/>
      <c r="HR3513" s="501"/>
      <c r="HS3513" s="501"/>
      <c r="HT3513" s="501"/>
      <c r="HU3513" s="501"/>
      <c r="HV3513" s="501"/>
      <c r="HW3513" s="501"/>
      <c r="HX3513" s="501"/>
      <c r="HY3513" s="501"/>
      <c r="HZ3513" s="501"/>
      <c r="IA3513" s="501"/>
      <c r="IB3513" s="501"/>
      <c r="IC3513" s="501"/>
      <c r="ID3513" s="501"/>
      <c r="IE3513" s="501"/>
      <c r="IF3513" s="501"/>
      <c r="IG3513" s="501"/>
      <c r="IH3513" s="501"/>
      <c r="II3513" s="501"/>
      <c r="IJ3513" s="501"/>
      <c r="IK3513" s="501"/>
      <c r="IL3513" s="501"/>
      <c r="IM3513" s="501"/>
      <c r="IN3513" s="501"/>
      <c r="IO3513" s="501"/>
      <c r="IP3513" s="501"/>
      <c r="IQ3513" s="501"/>
      <c r="IR3513" s="501"/>
      <c r="IS3513" s="501"/>
      <c r="IT3513" s="501"/>
      <c r="IU3513" s="501"/>
    </row>
    <row r="3514" spans="1:255" s="877" customFormat="1" ht="24" customHeight="1">
      <c r="A3514" s="501"/>
      <c r="B3514" s="501"/>
      <c r="C3514" s="501"/>
      <c r="D3514" s="501"/>
      <c r="E3514" s="501"/>
      <c r="F3514" s="1208"/>
      <c r="G3514" s="1209"/>
      <c r="H3514" s="1208"/>
      <c r="I3514" s="1210"/>
      <c r="J3514" s="1208"/>
      <c r="K3514" s="1208"/>
      <c r="L3514" s="1210"/>
      <c r="M3514" s="554"/>
      <c r="N3514" s="501"/>
      <c r="O3514" s="501"/>
      <c r="P3514" s="501"/>
      <c r="Q3514" s="554"/>
      <c r="R3514" s="501"/>
      <c r="S3514" s="501"/>
      <c r="T3514" s="501"/>
      <c r="V3514" s="501"/>
      <c r="W3514" s="501"/>
      <c r="X3514" s="501"/>
      <c r="Y3514" s="501"/>
      <c r="Z3514" s="501"/>
      <c r="AA3514" s="501"/>
      <c r="AB3514" s="501"/>
      <c r="AC3514" s="501"/>
      <c r="AD3514" s="501"/>
      <c r="AE3514" s="501"/>
      <c r="AF3514" s="501"/>
      <c r="AG3514" s="501"/>
      <c r="AH3514" s="501"/>
      <c r="AI3514" s="501"/>
      <c r="AJ3514" s="501"/>
      <c r="AK3514" s="501"/>
      <c r="AL3514" s="501"/>
      <c r="AM3514" s="501"/>
      <c r="AN3514" s="501"/>
      <c r="AO3514" s="501"/>
      <c r="AP3514" s="501"/>
      <c r="AQ3514" s="501"/>
      <c r="AR3514" s="501"/>
      <c r="AS3514" s="501"/>
      <c r="AT3514" s="501"/>
      <c r="AU3514" s="501"/>
      <c r="AV3514" s="501"/>
      <c r="AW3514" s="501"/>
      <c r="AX3514" s="501"/>
      <c r="AY3514" s="501"/>
      <c r="AZ3514" s="501"/>
      <c r="BA3514" s="501"/>
      <c r="BB3514" s="501"/>
      <c r="BC3514" s="501"/>
      <c r="BD3514" s="501"/>
      <c r="BE3514" s="501"/>
      <c r="BF3514" s="501"/>
      <c r="BG3514" s="501"/>
      <c r="BH3514" s="501"/>
      <c r="BI3514" s="501"/>
      <c r="BJ3514" s="501"/>
      <c r="BK3514" s="501"/>
      <c r="BL3514" s="501"/>
      <c r="BM3514" s="501"/>
      <c r="BN3514" s="501"/>
      <c r="BO3514" s="501"/>
      <c r="BP3514" s="501"/>
      <c r="BQ3514" s="501"/>
      <c r="BR3514" s="501"/>
      <c r="BS3514" s="501"/>
      <c r="BT3514" s="501"/>
      <c r="BU3514" s="501"/>
      <c r="BV3514" s="501"/>
      <c r="BW3514" s="501"/>
      <c r="BX3514" s="501"/>
      <c r="BY3514" s="501"/>
      <c r="BZ3514" s="501"/>
      <c r="CA3514" s="501"/>
      <c r="CB3514" s="501"/>
      <c r="CC3514" s="501"/>
      <c r="CD3514" s="501"/>
      <c r="CE3514" s="501"/>
      <c r="CF3514" s="501"/>
      <c r="CG3514" s="501"/>
      <c r="CH3514" s="501"/>
      <c r="CI3514" s="501"/>
      <c r="CJ3514" s="501"/>
      <c r="CK3514" s="501"/>
      <c r="CL3514" s="501"/>
      <c r="CM3514" s="501"/>
      <c r="CN3514" s="501"/>
      <c r="CO3514" s="501"/>
      <c r="CP3514" s="501"/>
      <c r="CQ3514" s="501"/>
      <c r="CR3514" s="501"/>
      <c r="CS3514" s="501"/>
      <c r="CT3514" s="501"/>
      <c r="CU3514" s="501"/>
      <c r="CV3514" s="501"/>
      <c r="CW3514" s="501"/>
      <c r="CX3514" s="501"/>
      <c r="CY3514" s="501"/>
      <c r="CZ3514" s="501"/>
      <c r="DA3514" s="501"/>
      <c r="DB3514" s="501"/>
      <c r="DC3514" s="501"/>
      <c r="DD3514" s="501"/>
      <c r="DE3514" s="501"/>
      <c r="DF3514" s="501"/>
      <c r="DG3514" s="501"/>
      <c r="DH3514" s="501"/>
      <c r="DI3514" s="501"/>
      <c r="DJ3514" s="501"/>
      <c r="DK3514" s="501"/>
      <c r="DL3514" s="501"/>
      <c r="DM3514" s="501"/>
      <c r="DN3514" s="501"/>
      <c r="DO3514" s="501"/>
      <c r="DP3514" s="501"/>
      <c r="DQ3514" s="501"/>
      <c r="DR3514" s="501"/>
      <c r="DS3514" s="501"/>
      <c r="DT3514" s="501"/>
      <c r="DU3514" s="501"/>
      <c r="DV3514" s="501"/>
      <c r="DW3514" s="501"/>
      <c r="DX3514" s="501"/>
      <c r="DY3514" s="501"/>
      <c r="DZ3514" s="501"/>
      <c r="EA3514" s="501"/>
      <c r="EB3514" s="501"/>
      <c r="EC3514" s="501"/>
      <c r="ED3514" s="501"/>
      <c r="EE3514" s="501"/>
      <c r="EF3514" s="501"/>
      <c r="EG3514" s="501"/>
      <c r="EH3514" s="501"/>
      <c r="EI3514" s="501"/>
      <c r="EJ3514" s="501"/>
      <c r="EK3514" s="501"/>
      <c r="EL3514" s="501"/>
      <c r="EM3514" s="501"/>
      <c r="EN3514" s="501"/>
      <c r="EO3514" s="501"/>
      <c r="EP3514" s="501"/>
      <c r="EQ3514" s="501"/>
      <c r="ER3514" s="501"/>
      <c r="ES3514" s="501"/>
      <c r="ET3514" s="501"/>
      <c r="EU3514" s="501"/>
      <c r="EV3514" s="501"/>
      <c r="EW3514" s="501"/>
      <c r="EX3514" s="501"/>
      <c r="EY3514" s="501"/>
      <c r="EZ3514" s="501"/>
      <c r="FA3514" s="501"/>
      <c r="FB3514" s="501"/>
      <c r="FC3514" s="501"/>
      <c r="FD3514" s="501"/>
      <c r="FE3514" s="501"/>
      <c r="FF3514" s="501"/>
      <c r="FG3514" s="501"/>
      <c r="FH3514" s="501"/>
      <c r="FI3514" s="501"/>
      <c r="FJ3514" s="501"/>
      <c r="FK3514" s="501"/>
      <c r="FL3514" s="501"/>
      <c r="FM3514" s="501"/>
      <c r="FN3514" s="501"/>
      <c r="FO3514" s="501"/>
      <c r="FP3514" s="501"/>
      <c r="FQ3514" s="501"/>
      <c r="FR3514" s="501"/>
      <c r="FS3514" s="501"/>
      <c r="FT3514" s="501"/>
      <c r="FU3514" s="501"/>
      <c r="FV3514" s="501"/>
      <c r="FW3514" s="501"/>
      <c r="FX3514" s="501"/>
      <c r="FY3514" s="501"/>
      <c r="FZ3514" s="501"/>
      <c r="GA3514" s="501"/>
      <c r="GB3514" s="501"/>
      <c r="GC3514" s="501"/>
      <c r="GD3514" s="501"/>
      <c r="GE3514" s="501"/>
      <c r="GF3514" s="501"/>
      <c r="GG3514" s="501"/>
      <c r="GH3514" s="501"/>
      <c r="GI3514" s="501"/>
      <c r="GJ3514" s="501"/>
      <c r="GK3514" s="501"/>
      <c r="GL3514" s="501"/>
      <c r="GM3514" s="501"/>
      <c r="GN3514" s="501"/>
      <c r="GO3514" s="501"/>
      <c r="GP3514" s="501"/>
      <c r="GQ3514" s="501"/>
      <c r="GR3514" s="501"/>
      <c r="GS3514" s="501"/>
      <c r="GT3514" s="501"/>
      <c r="GU3514" s="501"/>
      <c r="GV3514" s="501"/>
      <c r="GW3514" s="501"/>
      <c r="GX3514" s="501"/>
      <c r="GY3514" s="501"/>
      <c r="GZ3514" s="501"/>
      <c r="HA3514" s="501"/>
      <c r="HB3514" s="501"/>
      <c r="HC3514" s="501"/>
      <c r="HD3514" s="501"/>
      <c r="HE3514" s="501"/>
      <c r="HF3514" s="501"/>
      <c r="HG3514" s="501"/>
      <c r="HH3514" s="501"/>
      <c r="HI3514" s="501"/>
      <c r="HJ3514" s="501"/>
      <c r="HK3514" s="501"/>
      <c r="HL3514" s="501"/>
      <c r="HM3514" s="501"/>
      <c r="HN3514" s="501"/>
      <c r="HO3514" s="501"/>
      <c r="HP3514" s="501"/>
      <c r="HQ3514" s="501"/>
      <c r="HR3514" s="501"/>
      <c r="HS3514" s="501"/>
      <c r="HT3514" s="501"/>
      <c r="HU3514" s="501"/>
      <c r="HV3514" s="501"/>
      <c r="HW3514" s="501"/>
      <c r="HX3514" s="501"/>
      <c r="HY3514" s="501"/>
      <c r="HZ3514" s="501"/>
      <c r="IA3514" s="501"/>
      <c r="IB3514" s="501"/>
      <c r="IC3514" s="501"/>
      <c r="ID3514" s="501"/>
      <c r="IE3514" s="501"/>
      <c r="IF3514" s="501"/>
      <c r="IG3514" s="501"/>
      <c r="IH3514" s="501"/>
      <c r="II3514" s="501"/>
      <c r="IJ3514" s="501"/>
      <c r="IK3514" s="501"/>
      <c r="IL3514" s="501"/>
      <c r="IM3514" s="501"/>
      <c r="IN3514" s="501"/>
      <c r="IO3514" s="501"/>
      <c r="IP3514" s="501"/>
      <c r="IQ3514" s="501"/>
      <c r="IR3514" s="501"/>
      <c r="IS3514" s="501"/>
      <c r="IT3514" s="501"/>
      <c r="IU3514" s="501"/>
    </row>
    <row r="3515" spans="1:255" s="877" customFormat="1" ht="24" customHeight="1">
      <c r="A3515" s="501"/>
      <c r="B3515" s="501"/>
      <c r="C3515" s="501"/>
      <c r="D3515" s="501"/>
      <c r="E3515" s="501"/>
      <c r="F3515" s="501"/>
      <c r="G3515" s="915"/>
      <c r="H3515" s="501"/>
      <c r="I3515" s="874"/>
      <c r="J3515" s="1211"/>
      <c r="K3515" s="1208"/>
      <c r="L3515" s="874"/>
      <c r="M3515" s="554"/>
      <c r="N3515" s="501"/>
      <c r="O3515" s="501"/>
      <c r="P3515" s="501"/>
      <c r="Q3515" s="885"/>
      <c r="R3515" s="501"/>
      <c r="S3515" s="501"/>
      <c r="T3515" s="885"/>
      <c r="V3515" s="501"/>
      <c r="W3515" s="501"/>
      <c r="X3515" s="501"/>
      <c r="Y3515" s="501"/>
      <c r="Z3515" s="501"/>
      <c r="AA3515" s="501"/>
      <c r="AB3515" s="501"/>
      <c r="AC3515" s="501"/>
      <c r="AD3515" s="501"/>
      <c r="AE3515" s="501"/>
      <c r="AF3515" s="501"/>
      <c r="AG3515" s="501"/>
      <c r="AH3515" s="501"/>
      <c r="AI3515" s="501"/>
      <c r="AJ3515" s="501"/>
      <c r="AK3515" s="501"/>
      <c r="AL3515" s="501"/>
      <c r="AM3515" s="501"/>
      <c r="AN3515" s="501"/>
      <c r="AO3515" s="501"/>
      <c r="AP3515" s="501"/>
      <c r="AQ3515" s="501"/>
      <c r="AR3515" s="501"/>
      <c r="AS3515" s="501"/>
      <c r="AT3515" s="501"/>
      <c r="AU3515" s="501"/>
      <c r="AV3515" s="501"/>
      <c r="AW3515" s="501"/>
      <c r="AX3515" s="501"/>
      <c r="AY3515" s="501"/>
      <c r="AZ3515" s="501"/>
      <c r="BA3515" s="501"/>
      <c r="BB3515" s="501"/>
      <c r="BC3515" s="501"/>
      <c r="BD3515" s="501"/>
      <c r="BE3515" s="501"/>
      <c r="BF3515" s="501"/>
      <c r="BG3515" s="501"/>
      <c r="BH3515" s="501"/>
      <c r="BI3515" s="501"/>
      <c r="BJ3515" s="501"/>
      <c r="BK3515" s="501"/>
      <c r="BL3515" s="501"/>
      <c r="BM3515" s="501"/>
      <c r="BN3515" s="501"/>
      <c r="BO3515" s="501"/>
      <c r="BP3515" s="501"/>
      <c r="BQ3515" s="501"/>
      <c r="BR3515" s="501"/>
      <c r="BS3515" s="501"/>
      <c r="BT3515" s="501"/>
      <c r="BU3515" s="501"/>
      <c r="BV3515" s="501"/>
      <c r="BW3515" s="501"/>
      <c r="BX3515" s="501"/>
      <c r="BY3515" s="501"/>
      <c r="BZ3515" s="501"/>
      <c r="CA3515" s="501"/>
      <c r="CB3515" s="501"/>
      <c r="CC3515" s="501"/>
      <c r="CD3515" s="501"/>
      <c r="CE3515" s="501"/>
      <c r="CF3515" s="501"/>
      <c r="CG3515" s="501"/>
      <c r="CH3515" s="501"/>
      <c r="CI3515" s="501"/>
      <c r="CJ3515" s="501"/>
      <c r="CK3515" s="501"/>
      <c r="CL3515" s="501"/>
      <c r="CM3515" s="501"/>
      <c r="CN3515" s="501"/>
      <c r="CO3515" s="501"/>
      <c r="CP3515" s="501"/>
      <c r="CQ3515" s="501"/>
      <c r="CR3515" s="501"/>
      <c r="CS3515" s="501"/>
      <c r="CT3515" s="501"/>
      <c r="CU3515" s="501"/>
      <c r="CV3515" s="501"/>
      <c r="CW3515" s="501"/>
      <c r="CX3515" s="501"/>
      <c r="CY3515" s="501"/>
      <c r="CZ3515" s="501"/>
      <c r="DA3515" s="501"/>
      <c r="DB3515" s="501"/>
      <c r="DC3515" s="501"/>
      <c r="DD3515" s="501"/>
      <c r="DE3515" s="501"/>
      <c r="DF3515" s="501"/>
      <c r="DG3515" s="501"/>
      <c r="DH3515" s="501"/>
      <c r="DI3515" s="501"/>
      <c r="DJ3515" s="501"/>
      <c r="DK3515" s="501"/>
      <c r="DL3515" s="501"/>
      <c r="DM3515" s="501"/>
      <c r="DN3515" s="501"/>
      <c r="DO3515" s="501"/>
      <c r="DP3515" s="501"/>
      <c r="DQ3515" s="501"/>
      <c r="DR3515" s="501"/>
      <c r="DS3515" s="501"/>
      <c r="DT3515" s="501"/>
      <c r="DU3515" s="501"/>
      <c r="DV3515" s="501"/>
      <c r="DW3515" s="501"/>
      <c r="DX3515" s="501"/>
      <c r="DY3515" s="501"/>
      <c r="DZ3515" s="501"/>
      <c r="EA3515" s="501"/>
      <c r="EB3515" s="501"/>
      <c r="EC3515" s="501"/>
      <c r="ED3515" s="501"/>
      <c r="EE3515" s="501"/>
      <c r="EF3515" s="501"/>
      <c r="EG3515" s="501"/>
      <c r="EH3515" s="501"/>
      <c r="EI3515" s="501"/>
      <c r="EJ3515" s="501"/>
      <c r="EK3515" s="501"/>
      <c r="EL3515" s="501"/>
      <c r="EM3515" s="501"/>
      <c r="EN3515" s="501"/>
      <c r="EO3515" s="501"/>
      <c r="EP3515" s="501"/>
      <c r="EQ3515" s="501"/>
      <c r="ER3515" s="501"/>
      <c r="ES3515" s="501"/>
      <c r="ET3515" s="501"/>
      <c r="EU3515" s="501"/>
      <c r="EV3515" s="501"/>
      <c r="EW3515" s="501"/>
      <c r="EX3515" s="501"/>
      <c r="EY3515" s="501"/>
      <c r="EZ3515" s="501"/>
      <c r="FA3515" s="501"/>
      <c r="FB3515" s="501"/>
      <c r="FC3515" s="501"/>
      <c r="FD3515" s="501"/>
      <c r="FE3515" s="501"/>
      <c r="FF3515" s="501"/>
      <c r="FG3515" s="501"/>
      <c r="FH3515" s="501"/>
      <c r="FI3515" s="501"/>
      <c r="FJ3515" s="501"/>
      <c r="FK3515" s="501"/>
      <c r="FL3515" s="501"/>
      <c r="FM3515" s="501"/>
      <c r="FN3515" s="501"/>
      <c r="FO3515" s="501"/>
      <c r="FP3515" s="501"/>
      <c r="FQ3515" s="501"/>
      <c r="FR3515" s="501"/>
      <c r="FS3515" s="501"/>
      <c r="FT3515" s="501"/>
      <c r="FU3515" s="501"/>
      <c r="FV3515" s="501"/>
      <c r="FW3515" s="501"/>
      <c r="FX3515" s="501"/>
      <c r="FY3515" s="501"/>
      <c r="FZ3515" s="501"/>
      <c r="GA3515" s="501"/>
      <c r="GB3515" s="501"/>
      <c r="GC3515" s="501"/>
      <c r="GD3515" s="501"/>
      <c r="GE3515" s="501"/>
      <c r="GF3515" s="501"/>
      <c r="GG3515" s="501"/>
      <c r="GH3515" s="501"/>
      <c r="GI3515" s="501"/>
      <c r="GJ3515" s="501"/>
      <c r="GK3515" s="501"/>
      <c r="GL3515" s="501"/>
      <c r="GM3515" s="501"/>
      <c r="GN3515" s="501"/>
      <c r="GO3515" s="501"/>
      <c r="GP3515" s="501"/>
      <c r="GQ3515" s="501"/>
      <c r="GR3515" s="501"/>
      <c r="GS3515" s="501"/>
      <c r="GT3515" s="501"/>
      <c r="GU3515" s="501"/>
      <c r="GV3515" s="501"/>
      <c r="GW3515" s="501"/>
      <c r="GX3515" s="501"/>
      <c r="GY3515" s="501"/>
      <c r="GZ3515" s="501"/>
      <c r="HA3515" s="501"/>
      <c r="HB3515" s="501"/>
      <c r="HC3515" s="501"/>
      <c r="HD3515" s="501"/>
      <c r="HE3515" s="501"/>
      <c r="HF3515" s="501"/>
      <c r="HG3515" s="501"/>
      <c r="HH3515" s="501"/>
      <c r="HI3515" s="501"/>
      <c r="HJ3515" s="501"/>
      <c r="HK3515" s="501"/>
      <c r="HL3515" s="501"/>
      <c r="HM3515" s="501"/>
      <c r="HN3515" s="501"/>
      <c r="HO3515" s="501"/>
      <c r="HP3515" s="501"/>
      <c r="HQ3515" s="501"/>
      <c r="HR3515" s="501"/>
      <c r="HS3515" s="501"/>
      <c r="HT3515" s="501"/>
      <c r="HU3515" s="501"/>
      <c r="HV3515" s="501"/>
      <c r="HW3515" s="501"/>
      <c r="HX3515" s="501"/>
      <c r="HY3515" s="501"/>
      <c r="HZ3515" s="501"/>
      <c r="IA3515" s="501"/>
      <c r="IB3515" s="501"/>
      <c r="IC3515" s="501"/>
      <c r="ID3515" s="501"/>
      <c r="IE3515" s="501"/>
      <c r="IF3515" s="501"/>
      <c r="IG3515" s="501"/>
      <c r="IH3515" s="501"/>
      <c r="II3515" s="501"/>
      <c r="IJ3515" s="501"/>
      <c r="IK3515" s="501"/>
      <c r="IL3515" s="501"/>
      <c r="IM3515" s="501"/>
      <c r="IN3515" s="501"/>
      <c r="IO3515" s="501"/>
      <c r="IP3515" s="501"/>
      <c r="IQ3515" s="501"/>
      <c r="IR3515" s="501"/>
      <c r="IS3515" s="501"/>
      <c r="IT3515" s="501"/>
      <c r="IU3515" s="501"/>
    </row>
    <row r="3516" spans="1:255" s="877" customFormat="1" ht="24" customHeight="1">
      <c r="A3516" s="501"/>
      <c r="B3516" s="501"/>
      <c r="C3516" s="501"/>
      <c r="D3516" s="501"/>
      <c r="E3516" s="501"/>
      <c r="F3516" s="1208"/>
      <c r="G3516" s="1209"/>
      <c r="H3516" s="1208"/>
      <c r="I3516" s="1210"/>
      <c r="J3516" s="1208"/>
      <c r="K3516" s="1208"/>
      <c r="L3516" s="1212"/>
      <c r="M3516" s="1213"/>
      <c r="N3516" s="501"/>
      <c r="O3516" s="501"/>
      <c r="P3516" s="501"/>
      <c r="Q3516" s="501"/>
      <c r="R3516" s="501"/>
      <c r="S3516" s="501"/>
      <c r="T3516" s="501"/>
      <c r="V3516" s="501"/>
      <c r="W3516" s="501"/>
      <c r="X3516" s="501"/>
      <c r="Y3516" s="501"/>
      <c r="Z3516" s="501"/>
      <c r="AA3516" s="501"/>
      <c r="AB3516" s="501"/>
      <c r="AC3516" s="501"/>
      <c r="AD3516" s="501"/>
      <c r="AE3516" s="501"/>
      <c r="AF3516" s="501"/>
      <c r="AG3516" s="501"/>
      <c r="AH3516" s="501"/>
      <c r="AI3516" s="501"/>
      <c r="AJ3516" s="501"/>
      <c r="AK3516" s="501"/>
      <c r="AL3516" s="501"/>
      <c r="AM3516" s="501"/>
      <c r="AN3516" s="501"/>
      <c r="AO3516" s="501"/>
      <c r="AP3516" s="501"/>
      <c r="AQ3516" s="501"/>
      <c r="AR3516" s="501"/>
      <c r="AS3516" s="501"/>
      <c r="AT3516" s="501"/>
      <c r="AU3516" s="501"/>
      <c r="AV3516" s="501"/>
      <c r="AW3516" s="501"/>
      <c r="AX3516" s="501"/>
      <c r="AY3516" s="501"/>
      <c r="AZ3516" s="501"/>
      <c r="BA3516" s="501"/>
      <c r="BB3516" s="501"/>
      <c r="BC3516" s="501"/>
      <c r="BD3516" s="501"/>
      <c r="BE3516" s="501"/>
      <c r="BF3516" s="501"/>
      <c r="BG3516" s="501"/>
      <c r="BH3516" s="501"/>
      <c r="BI3516" s="501"/>
      <c r="BJ3516" s="501"/>
      <c r="BK3516" s="501"/>
      <c r="BL3516" s="501"/>
      <c r="BM3516" s="501"/>
      <c r="BN3516" s="501"/>
      <c r="BO3516" s="501"/>
      <c r="BP3516" s="501"/>
      <c r="BQ3516" s="501"/>
      <c r="BR3516" s="501"/>
      <c r="BS3516" s="501"/>
      <c r="BT3516" s="501"/>
      <c r="BU3516" s="501"/>
      <c r="BV3516" s="501"/>
      <c r="BW3516" s="501"/>
      <c r="BX3516" s="501"/>
      <c r="BY3516" s="501"/>
      <c r="BZ3516" s="501"/>
      <c r="CA3516" s="501"/>
      <c r="CB3516" s="501"/>
      <c r="CC3516" s="501"/>
      <c r="CD3516" s="501"/>
      <c r="CE3516" s="501"/>
      <c r="CF3516" s="501"/>
      <c r="CG3516" s="501"/>
      <c r="CH3516" s="501"/>
      <c r="CI3516" s="501"/>
      <c r="CJ3516" s="501"/>
      <c r="CK3516" s="501"/>
      <c r="CL3516" s="501"/>
      <c r="CM3516" s="501"/>
      <c r="CN3516" s="501"/>
      <c r="CO3516" s="501"/>
      <c r="CP3516" s="501"/>
      <c r="CQ3516" s="501"/>
      <c r="CR3516" s="501"/>
      <c r="CS3516" s="501"/>
      <c r="CT3516" s="501"/>
      <c r="CU3516" s="501"/>
      <c r="CV3516" s="501"/>
      <c r="CW3516" s="501"/>
      <c r="CX3516" s="501"/>
      <c r="CY3516" s="501"/>
      <c r="CZ3516" s="501"/>
      <c r="DA3516" s="501"/>
      <c r="DB3516" s="501"/>
      <c r="DC3516" s="501"/>
      <c r="DD3516" s="501"/>
      <c r="DE3516" s="501"/>
      <c r="DF3516" s="501"/>
      <c r="DG3516" s="501"/>
      <c r="DH3516" s="501"/>
      <c r="DI3516" s="501"/>
      <c r="DJ3516" s="501"/>
      <c r="DK3516" s="501"/>
      <c r="DL3516" s="501"/>
      <c r="DM3516" s="501"/>
      <c r="DN3516" s="501"/>
      <c r="DO3516" s="501"/>
      <c r="DP3516" s="501"/>
      <c r="DQ3516" s="501"/>
      <c r="DR3516" s="501"/>
      <c r="DS3516" s="501"/>
      <c r="DT3516" s="501"/>
      <c r="DU3516" s="501"/>
      <c r="DV3516" s="501"/>
      <c r="DW3516" s="501"/>
      <c r="DX3516" s="501"/>
      <c r="DY3516" s="501"/>
      <c r="DZ3516" s="501"/>
      <c r="EA3516" s="501"/>
      <c r="EB3516" s="501"/>
      <c r="EC3516" s="501"/>
      <c r="ED3516" s="501"/>
      <c r="EE3516" s="501"/>
      <c r="EF3516" s="501"/>
      <c r="EG3516" s="501"/>
      <c r="EH3516" s="501"/>
      <c r="EI3516" s="501"/>
      <c r="EJ3516" s="501"/>
      <c r="EK3516" s="501"/>
      <c r="EL3516" s="501"/>
      <c r="EM3516" s="501"/>
      <c r="EN3516" s="501"/>
      <c r="EO3516" s="501"/>
      <c r="EP3516" s="501"/>
      <c r="EQ3516" s="501"/>
      <c r="ER3516" s="501"/>
      <c r="ES3516" s="501"/>
      <c r="ET3516" s="501"/>
      <c r="EU3516" s="501"/>
      <c r="EV3516" s="501"/>
      <c r="EW3516" s="501"/>
      <c r="EX3516" s="501"/>
      <c r="EY3516" s="501"/>
      <c r="EZ3516" s="501"/>
      <c r="FA3516" s="501"/>
      <c r="FB3516" s="501"/>
      <c r="FC3516" s="501"/>
      <c r="FD3516" s="501"/>
      <c r="FE3516" s="501"/>
      <c r="FF3516" s="501"/>
      <c r="FG3516" s="501"/>
      <c r="FH3516" s="501"/>
      <c r="FI3516" s="501"/>
      <c r="FJ3516" s="501"/>
      <c r="FK3516" s="501"/>
      <c r="FL3516" s="501"/>
      <c r="FM3516" s="501"/>
      <c r="FN3516" s="501"/>
      <c r="FO3516" s="501"/>
      <c r="FP3516" s="501"/>
      <c r="FQ3516" s="501"/>
      <c r="FR3516" s="501"/>
      <c r="FS3516" s="501"/>
      <c r="FT3516" s="501"/>
      <c r="FU3516" s="501"/>
      <c r="FV3516" s="501"/>
      <c r="FW3516" s="501"/>
      <c r="FX3516" s="501"/>
      <c r="FY3516" s="501"/>
      <c r="FZ3516" s="501"/>
      <c r="GA3516" s="501"/>
      <c r="GB3516" s="501"/>
      <c r="GC3516" s="501"/>
      <c r="GD3516" s="501"/>
      <c r="GE3516" s="501"/>
      <c r="GF3516" s="501"/>
      <c r="GG3516" s="501"/>
      <c r="GH3516" s="501"/>
      <c r="GI3516" s="501"/>
      <c r="GJ3516" s="501"/>
      <c r="GK3516" s="501"/>
      <c r="GL3516" s="501"/>
      <c r="GM3516" s="501"/>
      <c r="GN3516" s="501"/>
      <c r="GO3516" s="501"/>
      <c r="GP3516" s="501"/>
      <c r="GQ3516" s="501"/>
      <c r="GR3516" s="501"/>
      <c r="GS3516" s="501"/>
      <c r="GT3516" s="501"/>
      <c r="GU3516" s="501"/>
      <c r="GV3516" s="501"/>
      <c r="GW3516" s="501"/>
      <c r="GX3516" s="501"/>
      <c r="GY3516" s="501"/>
      <c r="GZ3516" s="501"/>
      <c r="HA3516" s="501"/>
      <c r="HB3516" s="501"/>
      <c r="HC3516" s="501"/>
      <c r="HD3516" s="501"/>
      <c r="HE3516" s="501"/>
      <c r="HF3516" s="501"/>
      <c r="HG3516" s="501"/>
      <c r="HH3516" s="501"/>
      <c r="HI3516" s="501"/>
      <c r="HJ3516" s="501"/>
      <c r="HK3516" s="501"/>
      <c r="HL3516" s="501"/>
      <c r="HM3516" s="501"/>
      <c r="HN3516" s="501"/>
      <c r="HO3516" s="501"/>
      <c r="HP3516" s="501"/>
      <c r="HQ3516" s="501"/>
      <c r="HR3516" s="501"/>
      <c r="HS3516" s="501"/>
      <c r="HT3516" s="501"/>
      <c r="HU3516" s="501"/>
      <c r="HV3516" s="501"/>
      <c r="HW3516" s="501"/>
      <c r="HX3516" s="501"/>
      <c r="HY3516" s="501"/>
      <c r="HZ3516" s="501"/>
      <c r="IA3516" s="501"/>
      <c r="IB3516" s="501"/>
      <c r="IC3516" s="501"/>
      <c r="ID3516" s="501"/>
      <c r="IE3516" s="501"/>
      <c r="IF3516" s="501"/>
      <c r="IG3516" s="501"/>
      <c r="IH3516" s="501"/>
      <c r="II3516" s="501"/>
      <c r="IJ3516" s="501"/>
      <c r="IK3516" s="501"/>
      <c r="IL3516" s="501"/>
      <c r="IM3516" s="501"/>
      <c r="IN3516" s="501"/>
      <c r="IO3516" s="501"/>
      <c r="IP3516" s="501"/>
      <c r="IQ3516" s="501"/>
      <c r="IR3516" s="501"/>
      <c r="IS3516" s="501"/>
      <c r="IT3516" s="501"/>
      <c r="IU3516" s="501"/>
    </row>
    <row r="3517" spans="1:255" s="877" customFormat="1" ht="24" customHeight="1">
      <c r="A3517" s="501"/>
      <c r="B3517" s="501"/>
      <c r="C3517" s="501"/>
      <c r="D3517" s="501"/>
      <c r="E3517" s="501"/>
      <c r="F3517" s="1208"/>
      <c r="G3517" s="1209"/>
      <c r="H3517" s="1208"/>
      <c r="I3517" s="1210"/>
      <c r="J3517" s="1208"/>
      <c r="K3517" s="1208"/>
      <c r="L3517" s="1212"/>
      <c r="M3517" s="1213"/>
      <c r="N3517" s="501"/>
      <c r="O3517" s="501"/>
      <c r="P3517" s="501"/>
      <c r="Q3517" s="501"/>
      <c r="R3517" s="501"/>
      <c r="S3517" s="501"/>
      <c r="T3517" s="501"/>
      <c r="V3517" s="501"/>
      <c r="W3517" s="501"/>
      <c r="X3517" s="501"/>
      <c r="Y3517" s="501"/>
      <c r="Z3517" s="501"/>
      <c r="AA3517" s="501"/>
      <c r="AB3517" s="501"/>
      <c r="AC3517" s="501"/>
      <c r="AD3517" s="501"/>
      <c r="AE3517" s="501"/>
      <c r="AF3517" s="501"/>
      <c r="AG3517" s="501"/>
      <c r="AH3517" s="501"/>
      <c r="AI3517" s="501"/>
      <c r="AJ3517" s="501"/>
      <c r="AK3517" s="501"/>
      <c r="AL3517" s="501"/>
      <c r="AM3517" s="501"/>
      <c r="AN3517" s="501"/>
      <c r="AO3517" s="501"/>
      <c r="AP3517" s="501"/>
      <c r="AQ3517" s="501"/>
      <c r="AR3517" s="501"/>
      <c r="AS3517" s="501"/>
      <c r="AT3517" s="501"/>
      <c r="AU3517" s="501"/>
      <c r="AV3517" s="501"/>
      <c r="AW3517" s="501"/>
      <c r="AX3517" s="501"/>
      <c r="AY3517" s="501"/>
      <c r="AZ3517" s="501"/>
      <c r="BA3517" s="501"/>
      <c r="BB3517" s="501"/>
      <c r="BC3517" s="501"/>
      <c r="BD3517" s="501"/>
      <c r="BE3517" s="501"/>
      <c r="BF3517" s="501"/>
      <c r="BG3517" s="501"/>
      <c r="BH3517" s="501"/>
      <c r="BI3517" s="501"/>
      <c r="BJ3517" s="501"/>
      <c r="BK3517" s="501"/>
      <c r="BL3517" s="501"/>
      <c r="BM3517" s="501"/>
      <c r="BN3517" s="501"/>
      <c r="BO3517" s="501"/>
      <c r="BP3517" s="501"/>
      <c r="BQ3517" s="501"/>
      <c r="BR3517" s="501"/>
      <c r="BS3517" s="501"/>
      <c r="BT3517" s="501"/>
      <c r="BU3517" s="501"/>
      <c r="BV3517" s="501"/>
      <c r="BW3517" s="501"/>
      <c r="BX3517" s="501"/>
      <c r="BY3517" s="501"/>
      <c r="BZ3517" s="501"/>
      <c r="CA3517" s="501"/>
      <c r="CB3517" s="501"/>
      <c r="CC3517" s="501"/>
      <c r="CD3517" s="501"/>
      <c r="CE3517" s="501"/>
      <c r="CF3517" s="501"/>
      <c r="CG3517" s="501"/>
      <c r="CH3517" s="501"/>
      <c r="CI3517" s="501"/>
      <c r="CJ3517" s="501"/>
      <c r="CK3517" s="501"/>
      <c r="CL3517" s="501"/>
      <c r="CM3517" s="501"/>
      <c r="CN3517" s="501"/>
      <c r="CO3517" s="501"/>
      <c r="CP3517" s="501"/>
      <c r="CQ3517" s="501"/>
      <c r="CR3517" s="501"/>
      <c r="CS3517" s="501"/>
      <c r="CT3517" s="501"/>
      <c r="CU3517" s="501"/>
      <c r="CV3517" s="501"/>
      <c r="CW3517" s="501"/>
      <c r="CX3517" s="501"/>
      <c r="CY3517" s="501"/>
      <c r="CZ3517" s="501"/>
      <c r="DA3517" s="501"/>
      <c r="DB3517" s="501"/>
      <c r="DC3517" s="501"/>
      <c r="DD3517" s="501"/>
      <c r="DE3517" s="501"/>
      <c r="DF3517" s="501"/>
      <c r="DG3517" s="501"/>
      <c r="DH3517" s="501"/>
      <c r="DI3517" s="501"/>
      <c r="DJ3517" s="501"/>
      <c r="DK3517" s="501"/>
      <c r="DL3517" s="501"/>
      <c r="DM3517" s="501"/>
      <c r="DN3517" s="501"/>
      <c r="DO3517" s="501"/>
      <c r="DP3517" s="501"/>
      <c r="DQ3517" s="501"/>
      <c r="DR3517" s="501"/>
      <c r="DS3517" s="501"/>
      <c r="DT3517" s="501"/>
      <c r="DU3517" s="501"/>
      <c r="DV3517" s="501"/>
      <c r="DW3517" s="501"/>
      <c r="DX3517" s="501"/>
      <c r="DY3517" s="501"/>
      <c r="DZ3517" s="501"/>
      <c r="EA3517" s="501"/>
      <c r="EB3517" s="501"/>
      <c r="EC3517" s="501"/>
      <c r="ED3517" s="501"/>
      <c r="EE3517" s="501"/>
      <c r="EF3517" s="501"/>
      <c r="EG3517" s="501"/>
      <c r="EH3517" s="501"/>
      <c r="EI3517" s="501"/>
      <c r="EJ3517" s="501"/>
      <c r="EK3517" s="501"/>
      <c r="EL3517" s="501"/>
      <c r="EM3517" s="501"/>
      <c r="EN3517" s="501"/>
      <c r="EO3517" s="501"/>
      <c r="EP3517" s="501"/>
      <c r="EQ3517" s="501"/>
      <c r="ER3517" s="501"/>
      <c r="ES3517" s="501"/>
      <c r="ET3517" s="501"/>
      <c r="EU3517" s="501"/>
      <c r="EV3517" s="501"/>
      <c r="EW3517" s="501"/>
      <c r="EX3517" s="501"/>
      <c r="EY3517" s="501"/>
      <c r="EZ3517" s="501"/>
      <c r="FA3517" s="501"/>
      <c r="FB3517" s="501"/>
      <c r="FC3517" s="501"/>
      <c r="FD3517" s="501"/>
      <c r="FE3517" s="501"/>
      <c r="FF3517" s="501"/>
      <c r="FG3517" s="501"/>
      <c r="FH3517" s="501"/>
      <c r="FI3517" s="501"/>
      <c r="FJ3517" s="501"/>
      <c r="FK3517" s="501"/>
      <c r="FL3517" s="501"/>
      <c r="FM3517" s="501"/>
      <c r="FN3517" s="501"/>
      <c r="FO3517" s="501"/>
      <c r="FP3517" s="501"/>
      <c r="FQ3517" s="501"/>
      <c r="FR3517" s="501"/>
      <c r="FS3517" s="501"/>
      <c r="FT3517" s="501"/>
      <c r="FU3517" s="501"/>
      <c r="FV3517" s="501"/>
      <c r="FW3517" s="501"/>
      <c r="FX3517" s="501"/>
      <c r="FY3517" s="501"/>
      <c r="FZ3517" s="501"/>
      <c r="GA3517" s="501"/>
      <c r="GB3517" s="501"/>
      <c r="GC3517" s="501"/>
      <c r="GD3517" s="501"/>
      <c r="GE3517" s="501"/>
      <c r="GF3517" s="501"/>
      <c r="GG3517" s="501"/>
      <c r="GH3517" s="501"/>
      <c r="GI3517" s="501"/>
      <c r="GJ3517" s="501"/>
      <c r="GK3517" s="501"/>
      <c r="GL3517" s="501"/>
      <c r="GM3517" s="501"/>
      <c r="GN3517" s="501"/>
      <c r="GO3517" s="501"/>
      <c r="GP3517" s="501"/>
      <c r="GQ3517" s="501"/>
      <c r="GR3517" s="501"/>
      <c r="GS3517" s="501"/>
      <c r="GT3517" s="501"/>
      <c r="GU3517" s="501"/>
      <c r="GV3517" s="501"/>
      <c r="GW3517" s="501"/>
      <c r="GX3517" s="501"/>
      <c r="GY3517" s="501"/>
      <c r="GZ3517" s="501"/>
      <c r="HA3517" s="501"/>
      <c r="HB3517" s="501"/>
      <c r="HC3517" s="501"/>
      <c r="HD3517" s="501"/>
      <c r="HE3517" s="501"/>
      <c r="HF3517" s="501"/>
      <c r="HG3517" s="501"/>
      <c r="HH3517" s="501"/>
      <c r="HI3517" s="501"/>
      <c r="HJ3517" s="501"/>
      <c r="HK3517" s="501"/>
      <c r="HL3517" s="501"/>
      <c r="HM3517" s="501"/>
      <c r="HN3517" s="501"/>
      <c r="HO3517" s="501"/>
      <c r="HP3517" s="501"/>
      <c r="HQ3517" s="501"/>
      <c r="HR3517" s="501"/>
      <c r="HS3517" s="501"/>
      <c r="HT3517" s="501"/>
      <c r="HU3517" s="501"/>
      <c r="HV3517" s="501"/>
      <c r="HW3517" s="501"/>
      <c r="HX3517" s="501"/>
      <c r="HY3517" s="501"/>
      <c r="HZ3517" s="501"/>
      <c r="IA3517" s="501"/>
      <c r="IB3517" s="501"/>
      <c r="IC3517" s="501"/>
      <c r="ID3517" s="501"/>
      <c r="IE3517" s="501"/>
      <c r="IF3517" s="501"/>
      <c r="IG3517" s="501"/>
      <c r="IH3517" s="501"/>
      <c r="II3517" s="501"/>
      <c r="IJ3517" s="501"/>
      <c r="IK3517" s="501"/>
      <c r="IL3517" s="501"/>
      <c r="IM3517" s="501"/>
      <c r="IN3517" s="501"/>
      <c r="IO3517" s="501"/>
      <c r="IP3517" s="501"/>
      <c r="IQ3517" s="501"/>
      <c r="IR3517" s="501"/>
      <c r="IS3517" s="501"/>
      <c r="IT3517" s="501"/>
      <c r="IU3517" s="501"/>
    </row>
    <row r="3518" spans="1:255" s="877" customFormat="1" ht="24" customHeight="1">
      <c r="A3518" s="501"/>
      <c r="B3518" s="501"/>
      <c r="C3518" s="501"/>
      <c r="D3518" s="501"/>
      <c r="E3518" s="501"/>
      <c r="F3518" s="1208"/>
      <c r="G3518" s="1209"/>
      <c r="H3518" s="1208"/>
      <c r="I3518" s="1210"/>
      <c r="J3518" s="1208"/>
      <c r="K3518" s="1208"/>
      <c r="L3518" s="1212"/>
      <c r="M3518" s="1213"/>
      <c r="N3518" s="501"/>
      <c r="O3518" s="1208"/>
      <c r="P3518" s="1212"/>
      <c r="Q3518" s="1214"/>
      <c r="R3518" s="1208"/>
      <c r="S3518" s="1210"/>
      <c r="T3518" s="501"/>
      <c r="V3518" s="501"/>
      <c r="W3518" s="501"/>
      <c r="X3518" s="501"/>
      <c r="Y3518" s="501"/>
      <c r="Z3518" s="501"/>
      <c r="AA3518" s="501"/>
      <c r="AB3518" s="501"/>
      <c r="AC3518" s="501"/>
      <c r="AD3518" s="501"/>
      <c r="AE3518" s="501"/>
      <c r="AF3518" s="501"/>
      <c r="AG3518" s="501"/>
      <c r="AH3518" s="501"/>
      <c r="AI3518" s="501"/>
      <c r="AJ3518" s="501"/>
      <c r="AK3518" s="501"/>
      <c r="AL3518" s="501"/>
      <c r="AM3518" s="501"/>
      <c r="AN3518" s="501"/>
      <c r="AO3518" s="501"/>
      <c r="AP3518" s="501"/>
      <c r="AQ3518" s="501"/>
      <c r="AR3518" s="501"/>
      <c r="AS3518" s="501"/>
      <c r="AT3518" s="501"/>
      <c r="AU3518" s="501"/>
      <c r="AV3518" s="501"/>
      <c r="AW3518" s="501"/>
      <c r="AX3518" s="501"/>
      <c r="AY3518" s="501"/>
      <c r="AZ3518" s="501"/>
      <c r="BA3518" s="501"/>
      <c r="BB3518" s="501"/>
      <c r="BC3518" s="501"/>
      <c r="BD3518" s="501"/>
      <c r="BE3518" s="501"/>
      <c r="BF3518" s="501"/>
      <c r="BG3518" s="501"/>
      <c r="BH3518" s="501"/>
      <c r="BI3518" s="501"/>
      <c r="BJ3518" s="501"/>
      <c r="BK3518" s="501"/>
      <c r="BL3518" s="501"/>
      <c r="BM3518" s="501"/>
      <c r="BN3518" s="501"/>
      <c r="BO3518" s="501"/>
      <c r="BP3518" s="501"/>
      <c r="BQ3518" s="501"/>
      <c r="BR3518" s="501"/>
      <c r="BS3518" s="501"/>
      <c r="BT3518" s="501"/>
      <c r="BU3518" s="501"/>
      <c r="BV3518" s="501"/>
      <c r="BW3518" s="501"/>
      <c r="BX3518" s="501"/>
      <c r="BY3518" s="501"/>
      <c r="BZ3518" s="501"/>
      <c r="CA3518" s="501"/>
      <c r="CB3518" s="501"/>
      <c r="CC3518" s="501"/>
      <c r="CD3518" s="501"/>
      <c r="CE3518" s="501"/>
      <c r="CF3518" s="501"/>
      <c r="CG3518" s="501"/>
      <c r="CH3518" s="501"/>
      <c r="CI3518" s="501"/>
      <c r="CJ3518" s="501"/>
      <c r="CK3518" s="501"/>
      <c r="CL3518" s="501"/>
      <c r="CM3518" s="501"/>
      <c r="CN3518" s="501"/>
      <c r="CO3518" s="501"/>
      <c r="CP3518" s="501"/>
      <c r="CQ3518" s="501"/>
      <c r="CR3518" s="501"/>
      <c r="CS3518" s="501"/>
      <c r="CT3518" s="501"/>
      <c r="CU3518" s="501"/>
      <c r="CV3518" s="501"/>
      <c r="CW3518" s="501"/>
      <c r="CX3518" s="501"/>
      <c r="CY3518" s="501"/>
      <c r="CZ3518" s="501"/>
      <c r="DA3518" s="501"/>
      <c r="DB3518" s="501"/>
      <c r="DC3518" s="501"/>
      <c r="DD3518" s="501"/>
      <c r="DE3518" s="501"/>
      <c r="DF3518" s="501"/>
      <c r="DG3518" s="501"/>
      <c r="DH3518" s="501"/>
      <c r="DI3518" s="501"/>
      <c r="DJ3518" s="501"/>
      <c r="DK3518" s="501"/>
      <c r="DL3518" s="501"/>
      <c r="DM3518" s="501"/>
      <c r="DN3518" s="501"/>
      <c r="DO3518" s="501"/>
      <c r="DP3518" s="501"/>
      <c r="DQ3518" s="501"/>
      <c r="DR3518" s="501"/>
      <c r="DS3518" s="501"/>
      <c r="DT3518" s="501"/>
      <c r="DU3518" s="501"/>
      <c r="DV3518" s="501"/>
      <c r="DW3518" s="501"/>
      <c r="DX3518" s="501"/>
      <c r="DY3518" s="501"/>
      <c r="DZ3518" s="501"/>
      <c r="EA3518" s="501"/>
      <c r="EB3518" s="501"/>
      <c r="EC3518" s="501"/>
      <c r="ED3518" s="501"/>
      <c r="EE3518" s="501"/>
      <c r="EF3518" s="501"/>
      <c r="EG3518" s="501"/>
      <c r="EH3518" s="501"/>
      <c r="EI3518" s="501"/>
      <c r="EJ3518" s="501"/>
      <c r="EK3518" s="501"/>
      <c r="EL3518" s="501"/>
      <c r="EM3518" s="501"/>
      <c r="EN3518" s="501"/>
      <c r="EO3518" s="501"/>
      <c r="EP3518" s="501"/>
      <c r="EQ3518" s="501"/>
      <c r="ER3518" s="501"/>
      <c r="ES3518" s="501"/>
      <c r="ET3518" s="501"/>
      <c r="EU3518" s="501"/>
      <c r="EV3518" s="501"/>
      <c r="EW3518" s="501"/>
      <c r="EX3518" s="501"/>
      <c r="EY3518" s="501"/>
      <c r="EZ3518" s="501"/>
      <c r="FA3518" s="501"/>
      <c r="FB3518" s="501"/>
      <c r="FC3518" s="501"/>
      <c r="FD3518" s="501"/>
      <c r="FE3518" s="501"/>
      <c r="FF3518" s="501"/>
      <c r="FG3518" s="501"/>
      <c r="FH3518" s="501"/>
      <c r="FI3518" s="501"/>
      <c r="FJ3518" s="501"/>
      <c r="FK3518" s="501"/>
      <c r="FL3518" s="501"/>
      <c r="FM3518" s="501"/>
      <c r="FN3518" s="501"/>
      <c r="FO3518" s="501"/>
      <c r="FP3518" s="501"/>
      <c r="FQ3518" s="501"/>
      <c r="FR3518" s="501"/>
      <c r="FS3518" s="501"/>
      <c r="FT3518" s="501"/>
      <c r="FU3518" s="501"/>
      <c r="FV3518" s="501"/>
      <c r="FW3518" s="501"/>
      <c r="FX3518" s="501"/>
      <c r="FY3518" s="501"/>
      <c r="FZ3518" s="501"/>
      <c r="GA3518" s="501"/>
      <c r="GB3518" s="501"/>
      <c r="GC3518" s="501"/>
      <c r="GD3518" s="501"/>
      <c r="GE3518" s="501"/>
      <c r="GF3518" s="501"/>
      <c r="GG3518" s="501"/>
      <c r="GH3518" s="501"/>
      <c r="GI3518" s="501"/>
      <c r="GJ3518" s="501"/>
      <c r="GK3518" s="501"/>
      <c r="GL3518" s="501"/>
      <c r="GM3518" s="501"/>
      <c r="GN3518" s="501"/>
      <c r="GO3518" s="501"/>
      <c r="GP3518" s="501"/>
      <c r="GQ3518" s="501"/>
      <c r="GR3518" s="501"/>
      <c r="GS3518" s="501"/>
      <c r="GT3518" s="501"/>
      <c r="GU3518" s="501"/>
      <c r="GV3518" s="501"/>
      <c r="GW3518" s="501"/>
      <c r="GX3518" s="501"/>
      <c r="GY3518" s="501"/>
      <c r="GZ3518" s="501"/>
      <c r="HA3518" s="501"/>
      <c r="HB3518" s="501"/>
      <c r="HC3518" s="501"/>
      <c r="HD3518" s="501"/>
      <c r="HE3518" s="501"/>
      <c r="HF3518" s="501"/>
      <c r="HG3518" s="501"/>
      <c r="HH3518" s="501"/>
      <c r="HI3518" s="501"/>
      <c r="HJ3518" s="501"/>
      <c r="HK3518" s="501"/>
      <c r="HL3518" s="501"/>
      <c r="HM3518" s="501"/>
      <c r="HN3518" s="501"/>
      <c r="HO3518" s="501"/>
      <c r="HP3518" s="501"/>
      <c r="HQ3518" s="501"/>
      <c r="HR3518" s="501"/>
      <c r="HS3518" s="501"/>
      <c r="HT3518" s="501"/>
      <c r="HU3518" s="501"/>
      <c r="HV3518" s="501"/>
      <c r="HW3518" s="501"/>
      <c r="HX3518" s="501"/>
      <c r="HY3518" s="501"/>
      <c r="HZ3518" s="501"/>
      <c r="IA3518" s="501"/>
      <c r="IB3518" s="501"/>
      <c r="IC3518" s="501"/>
      <c r="ID3518" s="501"/>
      <c r="IE3518" s="501"/>
      <c r="IF3518" s="501"/>
      <c r="IG3518" s="501"/>
      <c r="IH3518" s="501"/>
      <c r="II3518" s="501"/>
      <c r="IJ3518" s="501"/>
      <c r="IK3518" s="501"/>
      <c r="IL3518" s="501"/>
      <c r="IM3518" s="501"/>
      <c r="IN3518" s="501"/>
      <c r="IO3518" s="501"/>
      <c r="IP3518" s="501"/>
      <c r="IQ3518" s="501"/>
      <c r="IR3518" s="501"/>
      <c r="IS3518" s="501"/>
      <c r="IT3518" s="501"/>
      <c r="IU3518" s="501"/>
    </row>
    <row r="3519" spans="1:255" s="877" customFormat="1" ht="24" customHeight="1">
      <c r="A3519" s="501"/>
      <c r="B3519" s="501"/>
      <c r="C3519" s="501"/>
      <c r="D3519" s="501"/>
      <c r="E3519" s="501"/>
      <c r="F3519" s="1208"/>
      <c r="G3519" s="1209"/>
      <c r="H3519" s="1208"/>
      <c r="I3519" s="1210"/>
      <c r="J3519" s="1208"/>
      <c r="K3519" s="1208"/>
      <c r="L3519" s="1212"/>
      <c r="M3519" s="1213"/>
      <c r="N3519" s="501"/>
      <c r="O3519" s="501"/>
      <c r="P3519" s="902"/>
      <c r="Q3519" s="1215"/>
      <c r="R3519" s="1215"/>
      <c r="S3519" s="874"/>
      <c r="T3519" s="501"/>
      <c r="V3519" s="501"/>
      <c r="W3519" s="501"/>
      <c r="X3519" s="501"/>
      <c r="Y3519" s="501"/>
      <c r="Z3519" s="501"/>
      <c r="AA3519" s="501"/>
      <c r="AB3519" s="501"/>
      <c r="AC3519" s="501"/>
      <c r="AD3519" s="501"/>
      <c r="AE3519" s="501"/>
      <c r="AF3519" s="501"/>
      <c r="AG3519" s="501"/>
      <c r="AH3519" s="501"/>
      <c r="AI3519" s="501"/>
      <c r="AJ3519" s="501"/>
      <c r="AK3519" s="501"/>
      <c r="AL3519" s="501"/>
      <c r="AM3519" s="501"/>
      <c r="AN3519" s="501"/>
      <c r="AO3519" s="501"/>
      <c r="AP3519" s="501"/>
      <c r="AQ3519" s="501"/>
      <c r="AR3519" s="501"/>
      <c r="AS3519" s="501"/>
      <c r="AT3519" s="501"/>
      <c r="AU3519" s="501"/>
      <c r="AV3519" s="501"/>
      <c r="AW3519" s="501"/>
      <c r="AX3519" s="501"/>
      <c r="AY3519" s="501"/>
      <c r="AZ3519" s="501"/>
      <c r="BA3519" s="501"/>
      <c r="BB3519" s="501"/>
      <c r="BC3519" s="501"/>
      <c r="BD3519" s="501"/>
      <c r="BE3519" s="501"/>
      <c r="BF3519" s="501"/>
      <c r="BG3519" s="501"/>
      <c r="BH3519" s="501"/>
      <c r="BI3519" s="501"/>
      <c r="BJ3519" s="501"/>
      <c r="BK3519" s="501"/>
      <c r="BL3519" s="501"/>
      <c r="BM3519" s="501"/>
      <c r="BN3519" s="501"/>
      <c r="BO3519" s="501"/>
      <c r="BP3519" s="501"/>
      <c r="BQ3519" s="501"/>
      <c r="BR3519" s="501"/>
      <c r="BS3519" s="501"/>
      <c r="BT3519" s="501"/>
      <c r="BU3519" s="501"/>
      <c r="BV3519" s="501"/>
      <c r="BW3519" s="501"/>
      <c r="BX3519" s="501"/>
      <c r="BY3519" s="501"/>
      <c r="BZ3519" s="501"/>
      <c r="CA3519" s="501"/>
      <c r="CB3519" s="501"/>
      <c r="CC3519" s="501"/>
      <c r="CD3519" s="501"/>
      <c r="CE3519" s="501"/>
      <c r="CF3519" s="501"/>
      <c r="CG3519" s="501"/>
      <c r="CH3519" s="501"/>
      <c r="CI3519" s="501"/>
      <c r="CJ3519" s="501"/>
      <c r="CK3519" s="501"/>
      <c r="CL3519" s="501"/>
      <c r="CM3519" s="501"/>
      <c r="CN3519" s="501"/>
      <c r="CO3519" s="501"/>
      <c r="CP3519" s="501"/>
      <c r="CQ3519" s="501"/>
      <c r="CR3519" s="501"/>
      <c r="CS3519" s="501"/>
      <c r="CT3519" s="501"/>
      <c r="CU3519" s="501"/>
      <c r="CV3519" s="501"/>
      <c r="CW3519" s="501"/>
      <c r="CX3519" s="501"/>
      <c r="CY3519" s="501"/>
      <c r="CZ3519" s="501"/>
      <c r="DA3519" s="501"/>
      <c r="DB3519" s="501"/>
      <c r="DC3519" s="501"/>
      <c r="DD3519" s="501"/>
      <c r="DE3519" s="501"/>
      <c r="DF3519" s="501"/>
      <c r="DG3519" s="501"/>
      <c r="DH3519" s="501"/>
      <c r="DI3519" s="501"/>
      <c r="DJ3519" s="501"/>
      <c r="DK3519" s="501"/>
      <c r="DL3519" s="501"/>
      <c r="DM3519" s="501"/>
      <c r="DN3519" s="501"/>
      <c r="DO3519" s="501"/>
      <c r="DP3519" s="501"/>
      <c r="DQ3519" s="501"/>
      <c r="DR3519" s="501"/>
      <c r="DS3519" s="501"/>
      <c r="DT3519" s="501"/>
      <c r="DU3519" s="501"/>
      <c r="DV3519" s="501"/>
      <c r="DW3519" s="501"/>
      <c r="DX3519" s="501"/>
      <c r="DY3519" s="501"/>
      <c r="DZ3519" s="501"/>
      <c r="EA3519" s="501"/>
      <c r="EB3519" s="501"/>
      <c r="EC3519" s="501"/>
      <c r="ED3519" s="501"/>
      <c r="EE3519" s="501"/>
      <c r="EF3519" s="501"/>
      <c r="EG3519" s="501"/>
      <c r="EH3519" s="501"/>
      <c r="EI3519" s="501"/>
      <c r="EJ3519" s="501"/>
      <c r="EK3519" s="501"/>
      <c r="EL3519" s="501"/>
      <c r="EM3519" s="501"/>
      <c r="EN3519" s="501"/>
      <c r="EO3519" s="501"/>
      <c r="EP3519" s="501"/>
      <c r="EQ3519" s="501"/>
      <c r="ER3519" s="501"/>
      <c r="ES3519" s="501"/>
      <c r="ET3519" s="501"/>
      <c r="EU3519" s="501"/>
      <c r="EV3519" s="501"/>
      <c r="EW3519" s="501"/>
      <c r="EX3519" s="501"/>
      <c r="EY3519" s="501"/>
      <c r="EZ3519" s="501"/>
      <c r="FA3519" s="501"/>
      <c r="FB3519" s="501"/>
      <c r="FC3519" s="501"/>
      <c r="FD3519" s="501"/>
      <c r="FE3519" s="501"/>
      <c r="FF3519" s="501"/>
      <c r="FG3519" s="501"/>
      <c r="FH3519" s="501"/>
      <c r="FI3519" s="501"/>
      <c r="FJ3519" s="501"/>
      <c r="FK3519" s="501"/>
      <c r="FL3519" s="501"/>
      <c r="FM3519" s="501"/>
      <c r="FN3519" s="501"/>
      <c r="FO3519" s="501"/>
      <c r="FP3519" s="501"/>
      <c r="FQ3519" s="501"/>
      <c r="FR3519" s="501"/>
      <c r="FS3519" s="501"/>
      <c r="FT3519" s="501"/>
      <c r="FU3519" s="501"/>
      <c r="FV3519" s="501"/>
      <c r="FW3519" s="501"/>
      <c r="FX3519" s="501"/>
      <c r="FY3519" s="501"/>
      <c r="FZ3519" s="501"/>
      <c r="GA3519" s="501"/>
      <c r="GB3519" s="501"/>
      <c r="GC3519" s="501"/>
      <c r="GD3519" s="501"/>
      <c r="GE3519" s="501"/>
      <c r="GF3519" s="501"/>
      <c r="GG3519" s="501"/>
      <c r="GH3519" s="501"/>
      <c r="GI3519" s="501"/>
      <c r="GJ3519" s="501"/>
      <c r="GK3519" s="501"/>
      <c r="GL3519" s="501"/>
      <c r="GM3519" s="501"/>
      <c r="GN3519" s="501"/>
      <c r="GO3519" s="501"/>
      <c r="GP3519" s="501"/>
      <c r="GQ3519" s="501"/>
      <c r="GR3519" s="501"/>
      <c r="GS3519" s="501"/>
      <c r="GT3519" s="501"/>
      <c r="GU3519" s="501"/>
      <c r="GV3519" s="501"/>
      <c r="GW3519" s="501"/>
      <c r="GX3519" s="501"/>
      <c r="GY3519" s="501"/>
      <c r="GZ3519" s="501"/>
      <c r="HA3519" s="501"/>
      <c r="HB3519" s="501"/>
      <c r="HC3519" s="501"/>
      <c r="HD3519" s="501"/>
      <c r="HE3519" s="501"/>
      <c r="HF3519" s="501"/>
      <c r="HG3519" s="501"/>
      <c r="HH3519" s="501"/>
      <c r="HI3519" s="501"/>
      <c r="HJ3519" s="501"/>
      <c r="HK3519" s="501"/>
      <c r="HL3519" s="501"/>
      <c r="HM3519" s="501"/>
      <c r="HN3519" s="501"/>
      <c r="HO3519" s="501"/>
      <c r="HP3519" s="501"/>
      <c r="HQ3519" s="501"/>
      <c r="HR3519" s="501"/>
      <c r="HS3519" s="501"/>
      <c r="HT3519" s="501"/>
      <c r="HU3519" s="501"/>
      <c r="HV3519" s="501"/>
      <c r="HW3519" s="501"/>
      <c r="HX3519" s="501"/>
      <c r="HY3519" s="501"/>
      <c r="HZ3519" s="501"/>
      <c r="IA3519" s="501"/>
      <c r="IB3519" s="501"/>
      <c r="IC3519" s="501"/>
      <c r="ID3519" s="501"/>
      <c r="IE3519" s="501"/>
      <c r="IF3519" s="501"/>
      <c r="IG3519" s="501"/>
      <c r="IH3519" s="501"/>
      <c r="II3519" s="501"/>
      <c r="IJ3519" s="501"/>
      <c r="IK3519" s="501"/>
      <c r="IL3519" s="501"/>
      <c r="IM3519" s="501"/>
      <c r="IN3519" s="501"/>
      <c r="IO3519" s="501"/>
      <c r="IP3519" s="501"/>
      <c r="IQ3519" s="501"/>
      <c r="IR3519" s="501"/>
      <c r="IS3519" s="501"/>
      <c r="IT3519" s="501"/>
      <c r="IU3519" s="501"/>
    </row>
    <row r="3520" spans="1:255" s="877" customFormat="1" ht="24" customHeight="1">
      <c r="A3520" s="501"/>
      <c r="B3520" s="501"/>
      <c r="C3520" s="501"/>
      <c r="D3520" s="501"/>
      <c r="E3520" s="501"/>
      <c r="F3520" s="1208"/>
      <c r="G3520" s="1209"/>
      <c r="H3520" s="1208"/>
      <c r="I3520" s="1210"/>
      <c r="J3520" s="1208"/>
      <c r="K3520" s="1208"/>
      <c r="L3520" s="1212"/>
      <c r="M3520" s="1213"/>
      <c r="N3520" s="501"/>
      <c r="O3520" s="1208"/>
      <c r="P3520" s="1212"/>
      <c r="Q3520" s="1208"/>
      <c r="R3520" s="1208"/>
      <c r="S3520" s="1212"/>
      <c r="T3520" s="1208"/>
      <c r="V3520" s="501"/>
      <c r="W3520" s="501"/>
      <c r="X3520" s="501"/>
      <c r="Y3520" s="501"/>
      <c r="Z3520" s="501"/>
      <c r="AA3520" s="501"/>
      <c r="AB3520" s="501"/>
      <c r="AC3520" s="501"/>
      <c r="AD3520" s="501"/>
      <c r="AE3520" s="501"/>
      <c r="AF3520" s="501"/>
      <c r="AG3520" s="501"/>
      <c r="AH3520" s="501"/>
      <c r="AI3520" s="501"/>
      <c r="AJ3520" s="501"/>
      <c r="AK3520" s="501"/>
      <c r="AL3520" s="501"/>
      <c r="AM3520" s="501"/>
      <c r="AN3520" s="501"/>
      <c r="AO3520" s="501"/>
      <c r="AP3520" s="501"/>
      <c r="AQ3520" s="501"/>
      <c r="AR3520" s="501"/>
      <c r="AS3520" s="501"/>
      <c r="AT3520" s="501"/>
      <c r="AU3520" s="501"/>
      <c r="AV3520" s="501"/>
      <c r="AW3520" s="501"/>
      <c r="AX3520" s="501"/>
      <c r="AY3520" s="501"/>
      <c r="AZ3520" s="501"/>
      <c r="BA3520" s="501"/>
      <c r="BB3520" s="501"/>
      <c r="BC3520" s="501"/>
      <c r="BD3520" s="501"/>
      <c r="BE3520" s="501"/>
      <c r="BF3520" s="501"/>
      <c r="BG3520" s="501"/>
      <c r="BH3520" s="501"/>
      <c r="BI3520" s="501"/>
      <c r="BJ3520" s="501"/>
      <c r="BK3520" s="501"/>
      <c r="BL3520" s="501"/>
      <c r="BM3520" s="501"/>
      <c r="BN3520" s="501"/>
      <c r="BO3520" s="501"/>
      <c r="BP3520" s="501"/>
      <c r="BQ3520" s="501"/>
      <c r="BR3520" s="501"/>
      <c r="BS3520" s="501"/>
      <c r="BT3520" s="501"/>
      <c r="BU3520" s="501"/>
      <c r="BV3520" s="501"/>
      <c r="BW3520" s="501"/>
      <c r="BX3520" s="501"/>
      <c r="BY3520" s="501"/>
      <c r="BZ3520" s="501"/>
      <c r="CA3520" s="501"/>
      <c r="CB3520" s="501"/>
      <c r="CC3520" s="501"/>
      <c r="CD3520" s="501"/>
      <c r="CE3520" s="501"/>
      <c r="CF3520" s="501"/>
      <c r="CG3520" s="501"/>
      <c r="CH3520" s="501"/>
      <c r="CI3520" s="501"/>
      <c r="CJ3520" s="501"/>
      <c r="CK3520" s="501"/>
      <c r="CL3520" s="501"/>
      <c r="CM3520" s="501"/>
      <c r="CN3520" s="501"/>
      <c r="CO3520" s="501"/>
      <c r="CP3520" s="501"/>
      <c r="CQ3520" s="501"/>
      <c r="CR3520" s="501"/>
      <c r="CS3520" s="501"/>
      <c r="CT3520" s="501"/>
      <c r="CU3520" s="501"/>
      <c r="CV3520" s="501"/>
      <c r="CW3520" s="501"/>
      <c r="CX3520" s="501"/>
      <c r="CY3520" s="501"/>
      <c r="CZ3520" s="501"/>
      <c r="DA3520" s="501"/>
      <c r="DB3520" s="501"/>
      <c r="DC3520" s="501"/>
      <c r="DD3520" s="501"/>
      <c r="DE3520" s="501"/>
      <c r="DF3520" s="501"/>
      <c r="DG3520" s="501"/>
      <c r="DH3520" s="501"/>
      <c r="DI3520" s="501"/>
      <c r="DJ3520" s="501"/>
      <c r="DK3520" s="501"/>
      <c r="DL3520" s="501"/>
      <c r="DM3520" s="501"/>
      <c r="DN3520" s="501"/>
      <c r="DO3520" s="501"/>
      <c r="DP3520" s="501"/>
      <c r="DQ3520" s="501"/>
      <c r="DR3520" s="501"/>
      <c r="DS3520" s="501"/>
      <c r="DT3520" s="501"/>
      <c r="DU3520" s="501"/>
      <c r="DV3520" s="501"/>
      <c r="DW3520" s="501"/>
      <c r="DX3520" s="501"/>
      <c r="DY3520" s="501"/>
      <c r="DZ3520" s="501"/>
      <c r="EA3520" s="501"/>
      <c r="EB3520" s="501"/>
      <c r="EC3520" s="501"/>
      <c r="ED3520" s="501"/>
      <c r="EE3520" s="501"/>
      <c r="EF3520" s="501"/>
      <c r="EG3520" s="501"/>
      <c r="EH3520" s="501"/>
      <c r="EI3520" s="501"/>
      <c r="EJ3520" s="501"/>
      <c r="EK3520" s="501"/>
      <c r="EL3520" s="501"/>
      <c r="EM3520" s="501"/>
      <c r="EN3520" s="501"/>
      <c r="EO3520" s="501"/>
      <c r="EP3520" s="501"/>
      <c r="EQ3520" s="501"/>
      <c r="ER3520" s="501"/>
      <c r="ES3520" s="501"/>
      <c r="ET3520" s="501"/>
      <c r="EU3520" s="501"/>
      <c r="EV3520" s="501"/>
      <c r="EW3520" s="501"/>
      <c r="EX3520" s="501"/>
      <c r="EY3520" s="501"/>
      <c r="EZ3520" s="501"/>
      <c r="FA3520" s="501"/>
      <c r="FB3520" s="501"/>
      <c r="FC3520" s="501"/>
      <c r="FD3520" s="501"/>
      <c r="FE3520" s="501"/>
      <c r="FF3520" s="501"/>
      <c r="FG3520" s="501"/>
      <c r="FH3520" s="501"/>
      <c r="FI3520" s="501"/>
      <c r="FJ3520" s="501"/>
      <c r="FK3520" s="501"/>
      <c r="FL3520" s="501"/>
      <c r="FM3520" s="501"/>
      <c r="FN3520" s="501"/>
      <c r="FO3520" s="501"/>
      <c r="FP3520" s="501"/>
      <c r="FQ3520" s="501"/>
      <c r="FR3520" s="501"/>
      <c r="FS3520" s="501"/>
      <c r="FT3520" s="501"/>
      <c r="FU3520" s="501"/>
      <c r="FV3520" s="501"/>
      <c r="FW3520" s="501"/>
      <c r="FX3520" s="501"/>
      <c r="FY3520" s="501"/>
      <c r="FZ3520" s="501"/>
      <c r="GA3520" s="501"/>
      <c r="GB3520" s="501"/>
      <c r="GC3520" s="501"/>
      <c r="GD3520" s="501"/>
      <c r="GE3520" s="501"/>
      <c r="GF3520" s="501"/>
      <c r="GG3520" s="501"/>
      <c r="GH3520" s="501"/>
      <c r="GI3520" s="501"/>
      <c r="GJ3520" s="501"/>
      <c r="GK3520" s="501"/>
      <c r="GL3520" s="501"/>
      <c r="GM3520" s="501"/>
      <c r="GN3520" s="501"/>
      <c r="GO3520" s="501"/>
      <c r="GP3520" s="501"/>
      <c r="GQ3520" s="501"/>
      <c r="GR3520" s="501"/>
      <c r="GS3520" s="501"/>
      <c r="GT3520" s="501"/>
      <c r="GU3520" s="501"/>
      <c r="GV3520" s="501"/>
      <c r="GW3520" s="501"/>
      <c r="GX3520" s="501"/>
      <c r="GY3520" s="501"/>
      <c r="GZ3520" s="501"/>
      <c r="HA3520" s="501"/>
      <c r="HB3520" s="501"/>
      <c r="HC3520" s="501"/>
      <c r="HD3520" s="501"/>
      <c r="HE3520" s="501"/>
      <c r="HF3520" s="501"/>
      <c r="HG3520" s="501"/>
      <c r="HH3520" s="501"/>
      <c r="HI3520" s="501"/>
      <c r="HJ3520" s="501"/>
      <c r="HK3520" s="501"/>
      <c r="HL3520" s="501"/>
      <c r="HM3520" s="501"/>
      <c r="HN3520" s="501"/>
      <c r="HO3520" s="501"/>
      <c r="HP3520" s="501"/>
      <c r="HQ3520" s="501"/>
      <c r="HR3520" s="501"/>
      <c r="HS3520" s="501"/>
      <c r="HT3520" s="501"/>
      <c r="HU3520" s="501"/>
      <c r="HV3520" s="501"/>
      <c r="HW3520" s="501"/>
      <c r="HX3520" s="501"/>
      <c r="HY3520" s="501"/>
      <c r="HZ3520" s="501"/>
      <c r="IA3520" s="501"/>
      <c r="IB3520" s="501"/>
      <c r="IC3520" s="501"/>
      <c r="ID3520" s="501"/>
      <c r="IE3520" s="501"/>
      <c r="IF3520" s="501"/>
      <c r="IG3520" s="501"/>
      <c r="IH3520" s="501"/>
      <c r="II3520" s="501"/>
      <c r="IJ3520" s="501"/>
      <c r="IK3520" s="501"/>
      <c r="IL3520" s="501"/>
      <c r="IM3520" s="501"/>
      <c r="IN3520" s="501"/>
      <c r="IO3520" s="501"/>
      <c r="IP3520" s="501"/>
      <c r="IQ3520" s="501"/>
      <c r="IR3520" s="501"/>
      <c r="IS3520" s="501"/>
      <c r="IT3520" s="501"/>
      <c r="IU3520" s="501"/>
    </row>
    <row r="3521" spans="1:255" s="877" customFormat="1" ht="24" customHeight="1">
      <c r="A3521" s="501"/>
      <c r="B3521" s="501"/>
      <c r="C3521" s="501"/>
      <c r="D3521" s="501"/>
      <c r="E3521" s="501"/>
      <c r="F3521" s="1208"/>
      <c r="G3521" s="1209"/>
      <c r="H3521" s="1208"/>
      <c r="I3521" s="1210"/>
      <c r="J3521" s="1208"/>
      <c r="K3521" s="1208"/>
      <c r="L3521" s="1212"/>
      <c r="M3521" s="1213"/>
      <c r="N3521" s="501"/>
      <c r="O3521" s="1208"/>
      <c r="P3521" s="1212"/>
      <c r="Q3521" s="1208"/>
      <c r="R3521" s="1208"/>
      <c r="S3521" s="1212"/>
      <c r="T3521" s="1208"/>
      <c r="V3521" s="501"/>
      <c r="W3521" s="501"/>
      <c r="X3521" s="501"/>
      <c r="Y3521" s="501"/>
      <c r="Z3521" s="501"/>
      <c r="AA3521" s="501"/>
      <c r="AB3521" s="501"/>
      <c r="AC3521" s="501"/>
      <c r="AD3521" s="501"/>
      <c r="AE3521" s="501"/>
      <c r="AF3521" s="501"/>
      <c r="AG3521" s="501"/>
      <c r="AH3521" s="501"/>
      <c r="AI3521" s="501"/>
      <c r="AJ3521" s="501"/>
      <c r="AK3521" s="501"/>
      <c r="AL3521" s="501"/>
      <c r="AM3521" s="501"/>
      <c r="AN3521" s="501"/>
      <c r="AO3521" s="501"/>
      <c r="AP3521" s="501"/>
      <c r="AQ3521" s="501"/>
      <c r="AR3521" s="501"/>
      <c r="AS3521" s="501"/>
      <c r="AT3521" s="501"/>
      <c r="AU3521" s="501"/>
      <c r="AV3521" s="501"/>
      <c r="AW3521" s="501"/>
      <c r="AX3521" s="501"/>
      <c r="AY3521" s="501"/>
      <c r="AZ3521" s="501"/>
      <c r="BA3521" s="501"/>
      <c r="BB3521" s="501"/>
      <c r="BC3521" s="501"/>
      <c r="BD3521" s="501"/>
      <c r="BE3521" s="501"/>
      <c r="BF3521" s="501"/>
      <c r="BG3521" s="501"/>
      <c r="BH3521" s="501"/>
      <c r="BI3521" s="501"/>
      <c r="BJ3521" s="501"/>
      <c r="BK3521" s="501"/>
      <c r="BL3521" s="501"/>
      <c r="BM3521" s="501"/>
      <c r="BN3521" s="501"/>
      <c r="BO3521" s="501"/>
      <c r="BP3521" s="501"/>
      <c r="BQ3521" s="501"/>
      <c r="BR3521" s="501"/>
      <c r="BS3521" s="501"/>
      <c r="BT3521" s="501"/>
      <c r="BU3521" s="501"/>
      <c r="BV3521" s="501"/>
      <c r="BW3521" s="501"/>
      <c r="BX3521" s="501"/>
      <c r="BY3521" s="501"/>
      <c r="BZ3521" s="501"/>
      <c r="CA3521" s="501"/>
      <c r="CB3521" s="501"/>
      <c r="CC3521" s="501"/>
      <c r="CD3521" s="501"/>
      <c r="CE3521" s="501"/>
      <c r="CF3521" s="501"/>
      <c r="CG3521" s="501"/>
      <c r="CH3521" s="501"/>
      <c r="CI3521" s="501"/>
      <c r="CJ3521" s="501"/>
      <c r="CK3521" s="501"/>
      <c r="CL3521" s="501"/>
      <c r="CM3521" s="501"/>
      <c r="CN3521" s="501"/>
      <c r="CO3521" s="501"/>
      <c r="CP3521" s="501"/>
      <c r="CQ3521" s="501"/>
      <c r="CR3521" s="501"/>
      <c r="CS3521" s="501"/>
      <c r="CT3521" s="501"/>
      <c r="CU3521" s="501"/>
      <c r="CV3521" s="501"/>
      <c r="CW3521" s="501"/>
      <c r="CX3521" s="501"/>
      <c r="CY3521" s="501"/>
      <c r="CZ3521" s="501"/>
      <c r="DA3521" s="501"/>
      <c r="DB3521" s="501"/>
      <c r="DC3521" s="501"/>
      <c r="DD3521" s="501"/>
      <c r="DE3521" s="501"/>
      <c r="DF3521" s="501"/>
      <c r="DG3521" s="501"/>
      <c r="DH3521" s="501"/>
      <c r="DI3521" s="501"/>
      <c r="DJ3521" s="501"/>
      <c r="DK3521" s="501"/>
      <c r="DL3521" s="501"/>
      <c r="DM3521" s="501"/>
      <c r="DN3521" s="501"/>
      <c r="DO3521" s="501"/>
      <c r="DP3521" s="501"/>
      <c r="DQ3521" s="501"/>
      <c r="DR3521" s="501"/>
      <c r="DS3521" s="501"/>
      <c r="DT3521" s="501"/>
      <c r="DU3521" s="501"/>
      <c r="DV3521" s="501"/>
      <c r="DW3521" s="501"/>
      <c r="DX3521" s="501"/>
      <c r="DY3521" s="501"/>
      <c r="DZ3521" s="501"/>
      <c r="EA3521" s="501"/>
      <c r="EB3521" s="501"/>
      <c r="EC3521" s="501"/>
      <c r="ED3521" s="501"/>
      <c r="EE3521" s="501"/>
      <c r="EF3521" s="501"/>
      <c r="EG3521" s="501"/>
      <c r="EH3521" s="501"/>
      <c r="EI3521" s="501"/>
      <c r="EJ3521" s="501"/>
      <c r="EK3521" s="501"/>
      <c r="EL3521" s="501"/>
      <c r="EM3521" s="501"/>
      <c r="EN3521" s="501"/>
      <c r="EO3521" s="501"/>
      <c r="EP3521" s="501"/>
      <c r="EQ3521" s="501"/>
      <c r="ER3521" s="501"/>
      <c r="ES3521" s="501"/>
      <c r="ET3521" s="501"/>
      <c r="EU3521" s="501"/>
      <c r="EV3521" s="501"/>
      <c r="EW3521" s="501"/>
      <c r="EX3521" s="501"/>
      <c r="EY3521" s="501"/>
      <c r="EZ3521" s="501"/>
      <c r="FA3521" s="501"/>
      <c r="FB3521" s="501"/>
      <c r="FC3521" s="501"/>
      <c r="FD3521" s="501"/>
      <c r="FE3521" s="501"/>
      <c r="FF3521" s="501"/>
      <c r="FG3521" s="501"/>
      <c r="FH3521" s="501"/>
      <c r="FI3521" s="501"/>
      <c r="FJ3521" s="501"/>
      <c r="FK3521" s="501"/>
      <c r="FL3521" s="501"/>
      <c r="FM3521" s="501"/>
      <c r="FN3521" s="501"/>
      <c r="FO3521" s="501"/>
      <c r="FP3521" s="501"/>
      <c r="FQ3521" s="501"/>
      <c r="FR3521" s="501"/>
      <c r="FS3521" s="501"/>
      <c r="FT3521" s="501"/>
      <c r="FU3521" s="501"/>
      <c r="FV3521" s="501"/>
      <c r="FW3521" s="501"/>
      <c r="FX3521" s="501"/>
      <c r="FY3521" s="501"/>
      <c r="FZ3521" s="501"/>
      <c r="GA3521" s="501"/>
      <c r="GB3521" s="501"/>
      <c r="GC3521" s="501"/>
      <c r="GD3521" s="501"/>
      <c r="GE3521" s="501"/>
      <c r="GF3521" s="501"/>
      <c r="GG3521" s="501"/>
      <c r="GH3521" s="501"/>
      <c r="GI3521" s="501"/>
      <c r="GJ3521" s="501"/>
      <c r="GK3521" s="501"/>
      <c r="GL3521" s="501"/>
      <c r="GM3521" s="501"/>
      <c r="GN3521" s="501"/>
      <c r="GO3521" s="501"/>
      <c r="GP3521" s="501"/>
      <c r="GQ3521" s="501"/>
      <c r="GR3521" s="501"/>
      <c r="GS3521" s="501"/>
      <c r="GT3521" s="501"/>
      <c r="GU3521" s="501"/>
      <c r="GV3521" s="501"/>
      <c r="GW3521" s="501"/>
      <c r="GX3521" s="501"/>
      <c r="GY3521" s="501"/>
      <c r="GZ3521" s="501"/>
      <c r="HA3521" s="501"/>
      <c r="HB3521" s="501"/>
      <c r="HC3521" s="501"/>
      <c r="HD3521" s="501"/>
      <c r="HE3521" s="501"/>
      <c r="HF3521" s="501"/>
      <c r="HG3521" s="501"/>
      <c r="HH3521" s="501"/>
      <c r="HI3521" s="501"/>
      <c r="HJ3521" s="501"/>
      <c r="HK3521" s="501"/>
      <c r="HL3521" s="501"/>
      <c r="HM3521" s="501"/>
      <c r="HN3521" s="501"/>
      <c r="HO3521" s="501"/>
      <c r="HP3521" s="501"/>
      <c r="HQ3521" s="501"/>
      <c r="HR3521" s="501"/>
      <c r="HS3521" s="501"/>
      <c r="HT3521" s="501"/>
      <c r="HU3521" s="501"/>
      <c r="HV3521" s="501"/>
      <c r="HW3521" s="501"/>
      <c r="HX3521" s="501"/>
      <c r="HY3521" s="501"/>
      <c r="HZ3521" s="501"/>
      <c r="IA3521" s="501"/>
      <c r="IB3521" s="501"/>
      <c r="IC3521" s="501"/>
      <c r="ID3521" s="501"/>
      <c r="IE3521" s="501"/>
      <c r="IF3521" s="501"/>
      <c r="IG3521" s="501"/>
      <c r="IH3521" s="501"/>
      <c r="II3521" s="501"/>
      <c r="IJ3521" s="501"/>
      <c r="IK3521" s="501"/>
      <c r="IL3521" s="501"/>
      <c r="IM3521" s="501"/>
      <c r="IN3521" s="501"/>
      <c r="IO3521" s="501"/>
      <c r="IP3521" s="501"/>
      <c r="IQ3521" s="501"/>
      <c r="IR3521" s="501"/>
      <c r="IS3521" s="501"/>
      <c r="IT3521" s="501"/>
      <c r="IU3521" s="501"/>
    </row>
    <row r="3522" spans="1:255" s="877" customFormat="1" ht="24" customHeight="1">
      <c r="A3522" s="501"/>
      <c r="B3522" s="501"/>
      <c r="C3522" s="501"/>
      <c r="D3522" s="501"/>
      <c r="E3522" s="501"/>
      <c r="F3522" s="1208"/>
      <c r="G3522" s="1209"/>
      <c r="H3522" s="1208"/>
      <c r="I3522" s="1210"/>
      <c r="J3522" s="1208"/>
      <c r="K3522" s="1208"/>
      <c r="L3522" s="1212"/>
      <c r="M3522" s="1213"/>
      <c r="N3522" s="501"/>
      <c r="O3522" s="1208"/>
      <c r="P3522" s="1212"/>
      <c r="Q3522" s="1208"/>
      <c r="R3522" s="1208"/>
      <c r="S3522" s="1212"/>
      <c r="T3522" s="1208"/>
      <c r="V3522" s="501"/>
      <c r="W3522" s="501"/>
      <c r="X3522" s="501"/>
      <c r="Y3522" s="501"/>
      <c r="Z3522" s="501"/>
      <c r="AA3522" s="501"/>
      <c r="AB3522" s="501"/>
      <c r="AC3522" s="501"/>
      <c r="AD3522" s="501"/>
      <c r="AE3522" s="501"/>
      <c r="AF3522" s="501"/>
      <c r="AG3522" s="501"/>
      <c r="AH3522" s="501"/>
      <c r="AI3522" s="501"/>
      <c r="AJ3522" s="501"/>
      <c r="AK3522" s="501"/>
      <c r="AL3522" s="501"/>
      <c r="AM3522" s="501"/>
      <c r="AN3522" s="501"/>
      <c r="AO3522" s="501"/>
      <c r="AP3522" s="501"/>
      <c r="AQ3522" s="501"/>
      <c r="AR3522" s="501"/>
      <c r="AS3522" s="501"/>
      <c r="AT3522" s="501"/>
      <c r="AU3522" s="501"/>
      <c r="AV3522" s="501"/>
      <c r="AW3522" s="501"/>
      <c r="AX3522" s="501"/>
      <c r="AY3522" s="501"/>
      <c r="AZ3522" s="501"/>
      <c r="BA3522" s="501"/>
      <c r="BB3522" s="501"/>
      <c r="BC3522" s="501"/>
      <c r="BD3522" s="501"/>
      <c r="BE3522" s="501"/>
      <c r="BF3522" s="501"/>
      <c r="BG3522" s="501"/>
      <c r="BH3522" s="501"/>
      <c r="BI3522" s="501"/>
      <c r="BJ3522" s="501"/>
      <c r="BK3522" s="501"/>
      <c r="BL3522" s="501"/>
      <c r="BM3522" s="501"/>
      <c r="BN3522" s="501"/>
      <c r="BO3522" s="501"/>
      <c r="BP3522" s="501"/>
      <c r="BQ3522" s="501"/>
      <c r="BR3522" s="501"/>
      <c r="BS3522" s="501"/>
      <c r="BT3522" s="501"/>
      <c r="BU3522" s="501"/>
      <c r="BV3522" s="501"/>
      <c r="BW3522" s="501"/>
      <c r="BX3522" s="501"/>
      <c r="BY3522" s="501"/>
      <c r="BZ3522" s="501"/>
      <c r="CA3522" s="501"/>
      <c r="CB3522" s="501"/>
      <c r="CC3522" s="501"/>
      <c r="CD3522" s="501"/>
      <c r="CE3522" s="501"/>
      <c r="CF3522" s="501"/>
      <c r="CG3522" s="501"/>
      <c r="CH3522" s="501"/>
      <c r="CI3522" s="501"/>
      <c r="CJ3522" s="501"/>
      <c r="CK3522" s="501"/>
      <c r="CL3522" s="501"/>
      <c r="CM3522" s="501"/>
      <c r="CN3522" s="501"/>
      <c r="CO3522" s="501"/>
      <c r="CP3522" s="501"/>
      <c r="CQ3522" s="501"/>
      <c r="CR3522" s="501"/>
      <c r="CS3522" s="501"/>
      <c r="CT3522" s="501"/>
      <c r="CU3522" s="501"/>
      <c r="CV3522" s="501"/>
      <c r="CW3522" s="501"/>
      <c r="CX3522" s="501"/>
      <c r="CY3522" s="501"/>
      <c r="CZ3522" s="501"/>
      <c r="DA3522" s="501"/>
      <c r="DB3522" s="501"/>
      <c r="DC3522" s="501"/>
      <c r="DD3522" s="501"/>
      <c r="DE3522" s="501"/>
      <c r="DF3522" s="501"/>
      <c r="DG3522" s="501"/>
      <c r="DH3522" s="501"/>
      <c r="DI3522" s="501"/>
      <c r="DJ3522" s="501"/>
      <c r="DK3522" s="501"/>
      <c r="DL3522" s="501"/>
      <c r="DM3522" s="501"/>
      <c r="DN3522" s="501"/>
      <c r="DO3522" s="501"/>
      <c r="DP3522" s="501"/>
      <c r="DQ3522" s="501"/>
      <c r="DR3522" s="501"/>
      <c r="DS3522" s="501"/>
      <c r="DT3522" s="501"/>
      <c r="DU3522" s="501"/>
      <c r="DV3522" s="501"/>
      <c r="DW3522" s="501"/>
      <c r="DX3522" s="501"/>
      <c r="DY3522" s="501"/>
      <c r="DZ3522" s="501"/>
      <c r="EA3522" s="501"/>
      <c r="EB3522" s="501"/>
      <c r="EC3522" s="501"/>
      <c r="ED3522" s="501"/>
      <c r="EE3522" s="501"/>
      <c r="EF3522" s="501"/>
      <c r="EG3522" s="501"/>
      <c r="EH3522" s="501"/>
      <c r="EI3522" s="501"/>
      <c r="EJ3522" s="501"/>
      <c r="EK3522" s="501"/>
      <c r="EL3522" s="501"/>
      <c r="EM3522" s="501"/>
      <c r="EN3522" s="501"/>
      <c r="EO3522" s="501"/>
      <c r="EP3522" s="501"/>
      <c r="EQ3522" s="501"/>
      <c r="ER3522" s="501"/>
      <c r="ES3522" s="501"/>
      <c r="ET3522" s="501"/>
      <c r="EU3522" s="501"/>
      <c r="EV3522" s="501"/>
      <c r="EW3522" s="501"/>
      <c r="EX3522" s="501"/>
      <c r="EY3522" s="501"/>
      <c r="EZ3522" s="501"/>
      <c r="FA3522" s="501"/>
      <c r="FB3522" s="501"/>
      <c r="FC3522" s="501"/>
      <c r="FD3522" s="501"/>
      <c r="FE3522" s="501"/>
      <c r="FF3522" s="501"/>
      <c r="FG3522" s="501"/>
      <c r="FH3522" s="501"/>
      <c r="FI3522" s="501"/>
      <c r="FJ3522" s="501"/>
      <c r="FK3522" s="501"/>
      <c r="FL3522" s="501"/>
      <c r="FM3522" s="501"/>
      <c r="FN3522" s="501"/>
      <c r="FO3522" s="501"/>
      <c r="FP3522" s="501"/>
      <c r="FQ3522" s="501"/>
      <c r="FR3522" s="501"/>
      <c r="FS3522" s="501"/>
      <c r="FT3522" s="501"/>
      <c r="FU3522" s="501"/>
      <c r="FV3522" s="501"/>
      <c r="FW3522" s="501"/>
      <c r="FX3522" s="501"/>
      <c r="FY3522" s="501"/>
      <c r="FZ3522" s="501"/>
      <c r="GA3522" s="501"/>
      <c r="GB3522" s="501"/>
      <c r="GC3522" s="501"/>
      <c r="GD3522" s="501"/>
      <c r="GE3522" s="501"/>
      <c r="GF3522" s="501"/>
      <c r="GG3522" s="501"/>
      <c r="GH3522" s="501"/>
      <c r="GI3522" s="501"/>
      <c r="GJ3522" s="501"/>
      <c r="GK3522" s="501"/>
      <c r="GL3522" s="501"/>
      <c r="GM3522" s="501"/>
      <c r="GN3522" s="501"/>
      <c r="GO3522" s="501"/>
      <c r="GP3522" s="501"/>
      <c r="GQ3522" s="501"/>
      <c r="GR3522" s="501"/>
      <c r="GS3522" s="501"/>
      <c r="GT3522" s="501"/>
      <c r="GU3522" s="501"/>
      <c r="GV3522" s="501"/>
      <c r="GW3522" s="501"/>
      <c r="GX3522" s="501"/>
      <c r="GY3522" s="501"/>
      <c r="GZ3522" s="501"/>
      <c r="HA3522" s="501"/>
      <c r="HB3522" s="501"/>
      <c r="HC3522" s="501"/>
      <c r="HD3522" s="501"/>
      <c r="HE3522" s="501"/>
      <c r="HF3522" s="501"/>
      <c r="HG3522" s="501"/>
      <c r="HH3522" s="501"/>
      <c r="HI3522" s="501"/>
      <c r="HJ3522" s="501"/>
      <c r="HK3522" s="501"/>
      <c r="HL3522" s="501"/>
      <c r="HM3522" s="501"/>
      <c r="HN3522" s="501"/>
      <c r="HO3522" s="501"/>
      <c r="HP3522" s="501"/>
      <c r="HQ3522" s="501"/>
      <c r="HR3522" s="501"/>
      <c r="HS3522" s="501"/>
      <c r="HT3522" s="501"/>
      <c r="HU3522" s="501"/>
      <c r="HV3522" s="501"/>
      <c r="HW3522" s="501"/>
      <c r="HX3522" s="501"/>
      <c r="HY3522" s="501"/>
      <c r="HZ3522" s="501"/>
      <c r="IA3522" s="501"/>
      <c r="IB3522" s="501"/>
      <c r="IC3522" s="501"/>
      <c r="ID3522" s="501"/>
      <c r="IE3522" s="501"/>
      <c r="IF3522" s="501"/>
      <c r="IG3522" s="501"/>
      <c r="IH3522" s="501"/>
      <c r="II3522" s="501"/>
      <c r="IJ3522" s="501"/>
      <c r="IK3522" s="501"/>
      <c r="IL3522" s="501"/>
      <c r="IM3522" s="501"/>
      <c r="IN3522" s="501"/>
      <c r="IO3522" s="501"/>
      <c r="IP3522" s="501"/>
      <c r="IQ3522" s="501"/>
      <c r="IR3522" s="501"/>
      <c r="IS3522" s="501"/>
      <c r="IT3522" s="501"/>
      <c r="IU3522" s="501"/>
    </row>
    <row r="3523" spans="1:255" s="877" customFormat="1" ht="24" customHeight="1">
      <c r="A3523" s="501"/>
      <c r="B3523" s="501"/>
      <c r="C3523" s="501"/>
      <c r="D3523" s="501"/>
      <c r="E3523" s="501"/>
      <c r="F3523" s="1208"/>
      <c r="G3523" s="1209"/>
      <c r="H3523" s="1208"/>
      <c r="I3523" s="1210"/>
      <c r="J3523" s="1208"/>
      <c r="K3523" s="1208"/>
      <c r="L3523" s="1212"/>
      <c r="M3523" s="1213"/>
      <c r="N3523" s="501"/>
      <c r="O3523" s="1208"/>
      <c r="P3523" s="1212"/>
      <c r="Q3523" s="1208"/>
      <c r="R3523" s="1208"/>
      <c r="S3523" s="1212"/>
      <c r="T3523" s="1208"/>
      <c r="V3523" s="501"/>
      <c r="W3523" s="501"/>
      <c r="X3523" s="501"/>
      <c r="Y3523" s="501"/>
      <c r="Z3523" s="501"/>
      <c r="AA3523" s="501"/>
      <c r="AB3523" s="501"/>
      <c r="AC3523" s="501"/>
      <c r="AD3523" s="501"/>
      <c r="AE3523" s="501"/>
      <c r="AF3523" s="501"/>
      <c r="AG3523" s="501"/>
      <c r="AH3523" s="501"/>
      <c r="AI3523" s="501"/>
      <c r="AJ3523" s="501"/>
      <c r="AK3523" s="501"/>
      <c r="AL3523" s="501"/>
      <c r="AM3523" s="501"/>
      <c r="AN3523" s="501"/>
      <c r="AO3523" s="501"/>
      <c r="AP3523" s="501"/>
      <c r="AQ3523" s="501"/>
      <c r="AR3523" s="501"/>
      <c r="AS3523" s="501"/>
      <c r="AT3523" s="501"/>
      <c r="AU3523" s="501"/>
      <c r="AV3523" s="501"/>
      <c r="AW3523" s="501"/>
      <c r="AX3523" s="501"/>
      <c r="AY3523" s="501"/>
      <c r="AZ3523" s="501"/>
      <c r="BA3523" s="501"/>
      <c r="BB3523" s="501"/>
      <c r="BC3523" s="501"/>
      <c r="BD3523" s="501"/>
      <c r="BE3523" s="501"/>
      <c r="BF3523" s="501"/>
      <c r="BG3523" s="501"/>
      <c r="BH3523" s="501"/>
      <c r="BI3523" s="501"/>
      <c r="BJ3523" s="501"/>
      <c r="BK3523" s="501"/>
      <c r="BL3523" s="501"/>
      <c r="BM3523" s="501"/>
      <c r="BN3523" s="501"/>
      <c r="BO3523" s="501"/>
      <c r="BP3523" s="501"/>
      <c r="BQ3523" s="501"/>
      <c r="BR3523" s="501"/>
      <c r="BS3523" s="501"/>
      <c r="BT3523" s="501"/>
      <c r="BU3523" s="501"/>
      <c r="BV3523" s="501"/>
      <c r="BW3523" s="501"/>
      <c r="BX3523" s="501"/>
      <c r="BY3523" s="501"/>
      <c r="BZ3523" s="501"/>
      <c r="CA3523" s="501"/>
      <c r="CB3523" s="501"/>
      <c r="CC3523" s="501"/>
      <c r="CD3523" s="501"/>
      <c r="CE3523" s="501"/>
      <c r="CF3523" s="501"/>
      <c r="CG3523" s="501"/>
      <c r="CH3523" s="501"/>
      <c r="CI3523" s="501"/>
      <c r="CJ3523" s="501"/>
      <c r="CK3523" s="501"/>
      <c r="CL3523" s="501"/>
      <c r="CM3523" s="501"/>
      <c r="CN3523" s="501"/>
      <c r="CO3523" s="501"/>
      <c r="CP3523" s="501"/>
      <c r="CQ3523" s="501"/>
      <c r="CR3523" s="501"/>
      <c r="CS3523" s="501"/>
      <c r="CT3523" s="501"/>
      <c r="CU3523" s="501"/>
      <c r="CV3523" s="501"/>
      <c r="CW3523" s="501"/>
      <c r="CX3523" s="501"/>
      <c r="CY3523" s="501"/>
      <c r="CZ3523" s="501"/>
      <c r="DA3523" s="501"/>
      <c r="DB3523" s="501"/>
      <c r="DC3523" s="501"/>
      <c r="DD3523" s="501"/>
      <c r="DE3523" s="501"/>
      <c r="DF3523" s="501"/>
      <c r="DG3523" s="501"/>
      <c r="DH3523" s="501"/>
      <c r="DI3523" s="501"/>
      <c r="DJ3523" s="501"/>
      <c r="DK3523" s="501"/>
      <c r="DL3523" s="501"/>
      <c r="DM3523" s="501"/>
      <c r="DN3523" s="501"/>
      <c r="DO3523" s="501"/>
      <c r="DP3523" s="501"/>
      <c r="DQ3523" s="501"/>
      <c r="DR3523" s="501"/>
      <c r="DS3523" s="501"/>
      <c r="DT3523" s="501"/>
      <c r="DU3523" s="501"/>
      <c r="DV3523" s="501"/>
      <c r="DW3523" s="501"/>
      <c r="DX3523" s="501"/>
      <c r="DY3523" s="501"/>
      <c r="DZ3523" s="501"/>
      <c r="EA3523" s="501"/>
      <c r="EB3523" s="501"/>
      <c r="EC3523" s="501"/>
      <c r="ED3523" s="501"/>
      <c r="EE3523" s="501"/>
      <c r="EF3523" s="501"/>
      <c r="EG3523" s="501"/>
      <c r="EH3523" s="501"/>
      <c r="EI3523" s="501"/>
      <c r="EJ3523" s="501"/>
      <c r="EK3523" s="501"/>
      <c r="EL3523" s="501"/>
      <c r="EM3523" s="501"/>
      <c r="EN3523" s="501"/>
      <c r="EO3523" s="501"/>
      <c r="EP3523" s="501"/>
      <c r="EQ3523" s="501"/>
      <c r="ER3523" s="501"/>
      <c r="ES3523" s="501"/>
      <c r="ET3523" s="501"/>
      <c r="EU3523" s="501"/>
      <c r="EV3523" s="501"/>
      <c r="EW3523" s="501"/>
      <c r="EX3523" s="501"/>
      <c r="EY3523" s="501"/>
      <c r="EZ3523" s="501"/>
      <c r="FA3523" s="501"/>
      <c r="FB3523" s="501"/>
      <c r="FC3523" s="501"/>
      <c r="FD3523" s="501"/>
      <c r="FE3523" s="501"/>
      <c r="FF3523" s="501"/>
      <c r="FG3523" s="501"/>
      <c r="FH3523" s="501"/>
      <c r="FI3523" s="501"/>
      <c r="FJ3523" s="501"/>
      <c r="FK3523" s="501"/>
      <c r="FL3523" s="501"/>
      <c r="FM3523" s="501"/>
      <c r="FN3523" s="501"/>
      <c r="FO3523" s="501"/>
      <c r="FP3523" s="501"/>
      <c r="FQ3523" s="501"/>
      <c r="FR3523" s="501"/>
      <c r="FS3523" s="501"/>
      <c r="FT3523" s="501"/>
      <c r="FU3523" s="501"/>
      <c r="FV3523" s="501"/>
      <c r="FW3523" s="501"/>
      <c r="FX3523" s="501"/>
      <c r="FY3523" s="501"/>
      <c r="FZ3523" s="501"/>
      <c r="GA3523" s="501"/>
      <c r="GB3523" s="501"/>
      <c r="GC3523" s="501"/>
      <c r="GD3523" s="501"/>
      <c r="GE3523" s="501"/>
      <c r="GF3523" s="501"/>
      <c r="GG3523" s="501"/>
      <c r="GH3523" s="501"/>
      <c r="GI3523" s="501"/>
      <c r="GJ3523" s="501"/>
      <c r="GK3523" s="501"/>
      <c r="GL3523" s="501"/>
      <c r="GM3523" s="501"/>
      <c r="GN3523" s="501"/>
      <c r="GO3523" s="501"/>
      <c r="GP3523" s="501"/>
      <c r="GQ3523" s="501"/>
      <c r="GR3523" s="501"/>
      <c r="GS3523" s="501"/>
      <c r="GT3523" s="501"/>
      <c r="GU3523" s="501"/>
      <c r="GV3523" s="501"/>
      <c r="GW3523" s="501"/>
      <c r="GX3523" s="501"/>
      <c r="GY3523" s="501"/>
      <c r="GZ3523" s="501"/>
      <c r="HA3523" s="501"/>
      <c r="HB3523" s="501"/>
      <c r="HC3523" s="501"/>
      <c r="HD3523" s="501"/>
      <c r="HE3523" s="501"/>
      <c r="HF3523" s="501"/>
      <c r="HG3523" s="501"/>
      <c r="HH3523" s="501"/>
      <c r="HI3523" s="501"/>
      <c r="HJ3523" s="501"/>
      <c r="HK3523" s="501"/>
      <c r="HL3523" s="501"/>
      <c r="HM3523" s="501"/>
      <c r="HN3523" s="501"/>
      <c r="HO3523" s="501"/>
      <c r="HP3523" s="501"/>
      <c r="HQ3523" s="501"/>
      <c r="HR3523" s="501"/>
      <c r="HS3523" s="501"/>
      <c r="HT3523" s="501"/>
      <c r="HU3523" s="501"/>
      <c r="HV3523" s="501"/>
      <c r="HW3523" s="501"/>
      <c r="HX3523" s="501"/>
      <c r="HY3523" s="501"/>
      <c r="HZ3523" s="501"/>
      <c r="IA3523" s="501"/>
      <c r="IB3523" s="501"/>
      <c r="IC3523" s="501"/>
      <c r="ID3523" s="501"/>
      <c r="IE3523" s="501"/>
      <c r="IF3523" s="501"/>
      <c r="IG3523" s="501"/>
      <c r="IH3523" s="501"/>
      <c r="II3523" s="501"/>
      <c r="IJ3523" s="501"/>
      <c r="IK3523" s="501"/>
      <c r="IL3523" s="501"/>
      <c r="IM3523" s="501"/>
      <c r="IN3523" s="501"/>
      <c r="IO3523" s="501"/>
      <c r="IP3523" s="501"/>
      <c r="IQ3523" s="501"/>
      <c r="IR3523" s="501"/>
      <c r="IS3523" s="501"/>
      <c r="IT3523" s="501"/>
      <c r="IU3523" s="501"/>
    </row>
    <row r="3524" spans="1:255" s="877" customFormat="1" ht="24" customHeight="1">
      <c r="A3524" s="501"/>
      <c r="B3524" s="501"/>
      <c r="C3524" s="501"/>
      <c r="D3524" s="501"/>
      <c r="E3524" s="501"/>
      <c r="F3524" s="1208"/>
      <c r="G3524" s="1209"/>
      <c r="H3524" s="1208"/>
      <c r="I3524" s="1210"/>
      <c r="J3524" s="1208"/>
      <c r="K3524" s="1208"/>
      <c r="L3524" s="1212"/>
      <c r="M3524" s="1213"/>
      <c r="N3524" s="501"/>
      <c r="O3524" s="1208"/>
      <c r="P3524" s="1212"/>
      <c r="Q3524" s="1208"/>
      <c r="R3524" s="1208"/>
      <c r="S3524" s="1212"/>
      <c r="T3524" s="1208"/>
      <c r="V3524" s="501"/>
      <c r="W3524" s="501"/>
      <c r="X3524" s="501"/>
      <c r="Y3524" s="501"/>
      <c r="Z3524" s="501"/>
      <c r="AA3524" s="501"/>
      <c r="AB3524" s="501"/>
      <c r="AC3524" s="501"/>
      <c r="AD3524" s="501"/>
      <c r="AE3524" s="501"/>
      <c r="AF3524" s="501"/>
      <c r="AG3524" s="501"/>
      <c r="AH3524" s="501"/>
      <c r="AI3524" s="501"/>
      <c r="AJ3524" s="501"/>
      <c r="AK3524" s="501"/>
      <c r="AL3524" s="501"/>
      <c r="AM3524" s="501"/>
      <c r="AN3524" s="501"/>
      <c r="AO3524" s="501"/>
      <c r="AP3524" s="501"/>
      <c r="AQ3524" s="501"/>
      <c r="AR3524" s="501"/>
      <c r="AS3524" s="501"/>
      <c r="AT3524" s="501"/>
      <c r="AU3524" s="501"/>
      <c r="AV3524" s="501"/>
      <c r="AW3524" s="501"/>
      <c r="AX3524" s="501"/>
      <c r="AY3524" s="501"/>
      <c r="AZ3524" s="501"/>
      <c r="BA3524" s="501"/>
      <c r="BB3524" s="501"/>
      <c r="BC3524" s="501"/>
      <c r="BD3524" s="501"/>
      <c r="BE3524" s="501"/>
      <c r="BF3524" s="501"/>
      <c r="BG3524" s="501"/>
      <c r="BH3524" s="501"/>
      <c r="BI3524" s="501"/>
      <c r="BJ3524" s="501"/>
      <c r="BK3524" s="501"/>
      <c r="BL3524" s="501"/>
      <c r="BM3524" s="501"/>
      <c r="BN3524" s="501"/>
      <c r="BO3524" s="501"/>
      <c r="BP3524" s="501"/>
      <c r="BQ3524" s="501"/>
      <c r="BR3524" s="501"/>
      <c r="BS3524" s="501"/>
      <c r="BT3524" s="501"/>
      <c r="BU3524" s="501"/>
      <c r="BV3524" s="501"/>
      <c r="BW3524" s="501"/>
      <c r="BX3524" s="501"/>
      <c r="BY3524" s="501"/>
      <c r="BZ3524" s="501"/>
      <c r="CA3524" s="501"/>
      <c r="CB3524" s="501"/>
      <c r="CC3524" s="501"/>
      <c r="CD3524" s="501"/>
      <c r="CE3524" s="501"/>
      <c r="CF3524" s="501"/>
      <c r="CG3524" s="501"/>
      <c r="CH3524" s="501"/>
      <c r="CI3524" s="501"/>
      <c r="CJ3524" s="501"/>
      <c r="CK3524" s="501"/>
      <c r="CL3524" s="501"/>
      <c r="CM3524" s="501"/>
      <c r="CN3524" s="501"/>
      <c r="CO3524" s="501"/>
      <c r="CP3524" s="501"/>
      <c r="CQ3524" s="501"/>
      <c r="CR3524" s="501"/>
      <c r="CS3524" s="501"/>
      <c r="CT3524" s="501"/>
      <c r="CU3524" s="501"/>
      <c r="CV3524" s="501"/>
      <c r="CW3524" s="501"/>
      <c r="CX3524" s="501"/>
      <c r="CY3524" s="501"/>
      <c r="CZ3524" s="501"/>
      <c r="DA3524" s="501"/>
      <c r="DB3524" s="501"/>
      <c r="DC3524" s="501"/>
      <c r="DD3524" s="501"/>
      <c r="DE3524" s="501"/>
      <c r="DF3524" s="501"/>
      <c r="DG3524" s="501"/>
      <c r="DH3524" s="501"/>
      <c r="DI3524" s="501"/>
      <c r="DJ3524" s="501"/>
      <c r="DK3524" s="501"/>
      <c r="DL3524" s="501"/>
      <c r="DM3524" s="501"/>
      <c r="DN3524" s="501"/>
      <c r="DO3524" s="501"/>
      <c r="DP3524" s="501"/>
      <c r="DQ3524" s="501"/>
      <c r="DR3524" s="501"/>
      <c r="DS3524" s="501"/>
      <c r="DT3524" s="501"/>
      <c r="DU3524" s="501"/>
      <c r="DV3524" s="501"/>
      <c r="DW3524" s="501"/>
      <c r="DX3524" s="501"/>
      <c r="DY3524" s="501"/>
      <c r="DZ3524" s="501"/>
      <c r="EA3524" s="501"/>
      <c r="EB3524" s="501"/>
      <c r="EC3524" s="501"/>
      <c r="ED3524" s="501"/>
      <c r="EE3524" s="501"/>
      <c r="EF3524" s="501"/>
      <c r="EG3524" s="501"/>
      <c r="EH3524" s="501"/>
      <c r="EI3524" s="501"/>
      <c r="EJ3524" s="501"/>
      <c r="EK3524" s="501"/>
      <c r="EL3524" s="501"/>
      <c r="EM3524" s="501"/>
      <c r="EN3524" s="501"/>
      <c r="EO3524" s="501"/>
      <c r="EP3524" s="501"/>
      <c r="EQ3524" s="501"/>
      <c r="ER3524" s="501"/>
      <c r="ES3524" s="501"/>
      <c r="ET3524" s="501"/>
      <c r="EU3524" s="501"/>
      <c r="EV3524" s="501"/>
      <c r="EW3524" s="501"/>
      <c r="EX3524" s="501"/>
      <c r="EY3524" s="501"/>
      <c r="EZ3524" s="501"/>
      <c r="FA3524" s="501"/>
      <c r="FB3524" s="501"/>
      <c r="FC3524" s="501"/>
      <c r="FD3524" s="501"/>
      <c r="FE3524" s="501"/>
      <c r="FF3524" s="501"/>
      <c r="FG3524" s="501"/>
      <c r="FH3524" s="501"/>
      <c r="FI3524" s="501"/>
      <c r="FJ3524" s="501"/>
      <c r="FK3524" s="501"/>
      <c r="FL3524" s="501"/>
      <c r="FM3524" s="501"/>
      <c r="FN3524" s="501"/>
      <c r="FO3524" s="501"/>
      <c r="FP3524" s="501"/>
      <c r="FQ3524" s="501"/>
      <c r="FR3524" s="501"/>
      <c r="FS3524" s="501"/>
      <c r="FT3524" s="501"/>
      <c r="FU3524" s="501"/>
      <c r="FV3524" s="501"/>
      <c r="FW3524" s="501"/>
      <c r="FX3524" s="501"/>
      <c r="FY3524" s="501"/>
      <c r="FZ3524" s="501"/>
      <c r="GA3524" s="501"/>
      <c r="GB3524" s="501"/>
      <c r="GC3524" s="501"/>
      <c r="GD3524" s="501"/>
      <c r="GE3524" s="501"/>
      <c r="GF3524" s="501"/>
      <c r="GG3524" s="501"/>
      <c r="GH3524" s="501"/>
      <c r="GI3524" s="501"/>
      <c r="GJ3524" s="501"/>
      <c r="GK3524" s="501"/>
      <c r="GL3524" s="501"/>
      <c r="GM3524" s="501"/>
      <c r="GN3524" s="501"/>
      <c r="GO3524" s="501"/>
      <c r="GP3524" s="501"/>
      <c r="GQ3524" s="501"/>
      <c r="GR3524" s="501"/>
      <c r="GS3524" s="501"/>
      <c r="GT3524" s="501"/>
      <c r="GU3524" s="501"/>
      <c r="GV3524" s="501"/>
      <c r="GW3524" s="501"/>
      <c r="GX3524" s="501"/>
      <c r="GY3524" s="501"/>
      <c r="GZ3524" s="501"/>
      <c r="HA3524" s="501"/>
      <c r="HB3524" s="501"/>
      <c r="HC3524" s="501"/>
      <c r="HD3524" s="501"/>
      <c r="HE3524" s="501"/>
      <c r="HF3524" s="501"/>
      <c r="HG3524" s="501"/>
      <c r="HH3524" s="501"/>
      <c r="HI3524" s="501"/>
      <c r="HJ3524" s="501"/>
      <c r="HK3524" s="501"/>
      <c r="HL3524" s="501"/>
      <c r="HM3524" s="501"/>
      <c r="HN3524" s="501"/>
      <c r="HO3524" s="501"/>
      <c r="HP3524" s="501"/>
      <c r="HQ3524" s="501"/>
      <c r="HR3524" s="501"/>
      <c r="HS3524" s="501"/>
      <c r="HT3524" s="501"/>
      <c r="HU3524" s="501"/>
      <c r="HV3524" s="501"/>
      <c r="HW3524" s="501"/>
      <c r="HX3524" s="501"/>
      <c r="HY3524" s="501"/>
      <c r="HZ3524" s="501"/>
      <c r="IA3524" s="501"/>
      <c r="IB3524" s="501"/>
      <c r="IC3524" s="501"/>
      <c r="ID3524" s="501"/>
      <c r="IE3524" s="501"/>
      <c r="IF3524" s="501"/>
      <c r="IG3524" s="501"/>
      <c r="IH3524" s="501"/>
      <c r="II3524" s="501"/>
      <c r="IJ3524" s="501"/>
      <c r="IK3524" s="501"/>
      <c r="IL3524" s="501"/>
      <c r="IM3524" s="501"/>
      <c r="IN3524" s="501"/>
      <c r="IO3524" s="501"/>
      <c r="IP3524" s="501"/>
      <c r="IQ3524" s="501"/>
      <c r="IR3524" s="501"/>
      <c r="IS3524" s="501"/>
      <c r="IT3524" s="501"/>
      <c r="IU3524" s="501"/>
    </row>
    <row r="3525" spans="1:255" s="877" customFormat="1" ht="24" customHeight="1">
      <c r="A3525" s="501"/>
      <c r="B3525" s="501"/>
      <c r="C3525" s="501"/>
      <c r="D3525" s="501"/>
      <c r="E3525" s="501"/>
      <c r="F3525" s="1216"/>
      <c r="G3525" s="1217"/>
      <c r="H3525" s="1216"/>
      <c r="I3525" s="1210"/>
      <c r="J3525" s="1208"/>
      <c r="K3525" s="1208"/>
      <c r="L3525" s="1212"/>
      <c r="M3525" s="1213"/>
      <c r="N3525" s="501"/>
      <c r="O3525" s="1208"/>
      <c r="P3525" s="1212"/>
      <c r="Q3525" s="1208"/>
      <c r="R3525" s="1208"/>
      <c r="S3525" s="1212"/>
      <c r="T3525" s="1208"/>
      <c r="V3525" s="501"/>
      <c r="W3525" s="501"/>
      <c r="X3525" s="501"/>
      <c r="Y3525" s="501"/>
      <c r="Z3525" s="501"/>
      <c r="AA3525" s="501"/>
      <c r="AB3525" s="501"/>
      <c r="AC3525" s="501"/>
      <c r="AD3525" s="501"/>
      <c r="AE3525" s="501"/>
      <c r="AF3525" s="501"/>
      <c r="AG3525" s="501"/>
      <c r="AH3525" s="501"/>
      <c r="AI3525" s="501"/>
      <c r="AJ3525" s="501"/>
      <c r="AK3525" s="501"/>
      <c r="AL3525" s="501"/>
      <c r="AM3525" s="501"/>
      <c r="AN3525" s="501"/>
      <c r="AO3525" s="501"/>
      <c r="AP3525" s="501"/>
      <c r="AQ3525" s="501"/>
      <c r="AR3525" s="501"/>
      <c r="AS3525" s="501"/>
      <c r="AT3525" s="501"/>
      <c r="AU3525" s="501"/>
      <c r="AV3525" s="501"/>
      <c r="AW3525" s="501"/>
      <c r="AX3525" s="501"/>
      <c r="AY3525" s="501"/>
      <c r="AZ3525" s="501"/>
      <c r="BA3525" s="501"/>
      <c r="BB3525" s="501"/>
      <c r="BC3525" s="501"/>
      <c r="BD3525" s="501"/>
      <c r="BE3525" s="501"/>
      <c r="BF3525" s="501"/>
      <c r="BG3525" s="501"/>
      <c r="BH3525" s="501"/>
      <c r="BI3525" s="501"/>
      <c r="BJ3525" s="501"/>
      <c r="BK3525" s="501"/>
      <c r="BL3525" s="501"/>
      <c r="BM3525" s="501"/>
      <c r="BN3525" s="501"/>
      <c r="BO3525" s="501"/>
      <c r="BP3525" s="501"/>
      <c r="BQ3525" s="501"/>
      <c r="BR3525" s="501"/>
      <c r="BS3525" s="501"/>
      <c r="BT3525" s="501"/>
      <c r="BU3525" s="501"/>
      <c r="BV3525" s="501"/>
      <c r="BW3525" s="501"/>
      <c r="BX3525" s="501"/>
      <c r="BY3525" s="501"/>
      <c r="BZ3525" s="501"/>
      <c r="CA3525" s="501"/>
      <c r="CB3525" s="501"/>
      <c r="CC3525" s="501"/>
      <c r="CD3525" s="501"/>
      <c r="CE3525" s="501"/>
      <c r="CF3525" s="501"/>
      <c r="CG3525" s="501"/>
      <c r="CH3525" s="501"/>
      <c r="CI3525" s="501"/>
      <c r="CJ3525" s="501"/>
      <c r="CK3525" s="501"/>
      <c r="CL3525" s="501"/>
      <c r="CM3525" s="501"/>
      <c r="CN3525" s="501"/>
      <c r="CO3525" s="501"/>
      <c r="CP3525" s="501"/>
      <c r="CQ3525" s="501"/>
      <c r="CR3525" s="501"/>
      <c r="CS3525" s="501"/>
      <c r="CT3525" s="501"/>
      <c r="CU3525" s="501"/>
      <c r="CV3525" s="501"/>
      <c r="CW3525" s="501"/>
      <c r="CX3525" s="501"/>
      <c r="CY3525" s="501"/>
      <c r="CZ3525" s="501"/>
      <c r="DA3525" s="501"/>
      <c r="DB3525" s="501"/>
      <c r="DC3525" s="501"/>
      <c r="DD3525" s="501"/>
      <c r="DE3525" s="501"/>
      <c r="DF3525" s="501"/>
      <c r="DG3525" s="501"/>
      <c r="DH3525" s="501"/>
      <c r="DI3525" s="501"/>
      <c r="DJ3525" s="501"/>
      <c r="DK3525" s="501"/>
      <c r="DL3525" s="501"/>
      <c r="DM3525" s="501"/>
      <c r="DN3525" s="501"/>
      <c r="DO3525" s="501"/>
      <c r="DP3525" s="501"/>
      <c r="DQ3525" s="501"/>
      <c r="DR3525" s="501"/>
      <c r="DS3525" s="501"/>
      <c r="DT3525" s="501"/>
      <c r="DU3525" s="501"/>
      <c r="DV3525" s="501"/>
      <c r="DW3525" s="501"/>
      <c r="DX3525" s="501"/>
      <c r="DY3525" s="501"/>
      <c r="DZ3525" s="501"/>
      <c r="EA3525" s="501"/>
      <c r="EB3525" s="501"/>
      <c r="EC3525" s="501"/>
      <c r="ED3525" s="501"/>
      <c r="EE3525" s="501"/>
      <c r="EF3525" s="501"/>
      <c r="EG3525" s="501"/>
      <c r="EH3525" s="501"/>
      <c r="EI3525" s="501"/>
      <c r="EJ3525" s="501"/>
      <c r="EK3525" s="501"/>
      <c r="EL3525" s="501"/>
      <c r="EM3525" s="501"/>
      <c r="EN3525" s="501"/>
      <c r="EO3525" s="501"/>
      <c r="EP3525" s="501"/>
      <c r="EQ3525" s="501"/>
      <c r="ER3525" s="501"/>
      <c r="ES3525" s="501"/>
      <c r="ET3525" s="501"/>
      <c r="EU3525" s="501"/>
      <c r="EV3525" s="501"/>
      <c r="EW3525" s="501"/>
      <c r="EX3525" s="501"/>
      <c r="EY3525" s="501"/>
      <c r="EZ3525" s="501"/>
      <c r="FA3525" s="501"/>
      <c r="FB3525" s="501"/>
      <c r="FC3525" s="501"/>
      <c r="FD3525" s="501"/>
      <c r="FE3525" s="501"/>
      <c r="FF3525" s="501"/>
      <c r="FG3525" s="501"/>
      <c r="FH3525" s="501"/>
      <c r="FI3525" s="501"/>
      <c r="FJ3525" s="501"/>
      <c r="FK3525" s="501"/>
      <c r="FL3525" s="501"/>
      <c r="FM3525" s="501"/>
      <c r="FN3525" s="501"/>
      <c r="FO3525" s="501"/>
      <c r="FP3525" s="501"/>
      <c r="FQ3525" s="501"/>
      <c r="FR3525" s="501"/>
      <c r="FS3525" s="501"/>
      <c r="FT3525" s="501"/>
      <c r="FU3525" s="501"/>
      <c r="FV3525" s="501"/>
      <c r="FW3525" s="501"/>
      <c r="FX3525" s="501"/>
      <c r="FY3525" s="501"/>
      <c r="FZ3525" s="501"/>
      <c r="GA3525" s="501"/>
      <c r="GB3525" s="501"/>
      <c r="GC3525" s="501"/>
      <c r="GD3525" s="501"/>
      <c r="GE3525" s="501"/>
      <c r="GF3525" s="501"/>
      <c r="GG3525" s="501"/>
      <c r="GH3525" s="501"/>
      <c r="GI3525" s="501"/>
      <c r="GJ3525" s="501"/>
      <c r="GK3525" s="501"/>
      <c r="GL3525" s="501"/>
      <c r="GM3525" s="501"/>
      <c r="GN3525" s="501"/>
      <c r="GO3525" s="501"/>
      <c r="GP3525" s="501"/>
      <c r="GQ3525" s="501"/>
      <c r="GR3525" s="501"/>
      <c r="GS3525" s="501"/>
      <c r="GT3525" s="501"/>
      <c r="GU3525" s="501"/>
      <c r="GV3525" s="501"/>
      <c r="GW3525" s="501"/>
      <c r="GX3525" s="501"/>
      <c r="GY3525" s="501"/>
      <c r="GZ3525" s="501"/>
      <c r="HA3525" s="501"/>
      <c r="HB3525" s="501"/>
      <c r="HC3525" s="501"/>
      <c r="HD3525" s="501"/>
      <c r="HE3525" s="501"/>
      <c r="HF3525" s="501"/>
      <c r="HG3525" s="501"/>
      <c r="HH3525" s="501"/>
      <c r="HI3525" s="501"/>
      <c r="HJ3525" s="501"/>
      <c r="HK3525" s="501"/>
      <c r="HL3525" s="501"/>
      <c r="HM3525" s="501"/>
      <c r="HN3525" s="501"/>
      <c r="HO3525" s="501"/>
      <c r="HP3525" s="501"/>
      <c r="HQ3525" s="501"/>
      <c r="HR3525" s="501"/>
      <c r="HS3525" s="501"/>
      <c r="HT3525" s="501"/>
      <c r="HU3525" s="501"/>
      <c r="HV3525" s="501"/>
      <c r="HW3525" s="501"/>
      <c r="HX3525" s="501"/>
      <c r="HY3525" s="501"/>
      <c r="HZ3525" s="501"/>
      <c r="IA3525" s="501"/>
      <c r="IB3525" s="501"/>
      <c r="IC3525" s="501"/>
      <c r="ID3525" s="501"/>
      <c r="IE3525" s="501"/>
      <c r="IF3525" s="501"/>
      <c r="IG3525" s="501"/>
      <c r="IH3525" s="501"/>
      <c r="II3525" s="501"/>
      <c r="IJ3525" s="501"/>
      <c r="IK3525" s="501"/>
      <c r="IL3525" s="501"/>
      <c r="IM3525" s="501"/>
      <c r="IN3525" s="501"/>
      <c r="IO3525" s="501"/>
      <c r="IP3525" s="501"/>
      <c r="IQ3525" s="501"/>
      <c r="IR3525" s="501"/>
      <c r="IS3525" s="501"/>
      <c r="IT3525" s="501"/>
      <c r="IU3525" s="501"/>
    </row>
    <row r="3526" spans="1:255" s="877" customFormat="1" ht="24" customHeight="1">
      <c r="A3526" s="501"/>
      <c r="B3526" s="501"/>
      <c r="C3526" s="501"/>
      <c r="D3526" s="501"/>
      <c r="E3526" s="501"/>
      <c r="F3526" s="1208"/>
      <c r="G3526" s="1209"/>
      <c r="H3526" s="1208"/>
      <c r="I3526" s="1210"/>
      <c r="J3526" s="1208"/>
      <c r="K3526" s="1208"/>
      <c r="L3526" s="1210"/>
      <c r="M3526" s="1213"/>
      <c r="N3526" s="501"/>
      <c r="O3526" s="1208"/>
      <c r="P3526" s="1212"/>
      <c r="Q3526" s="1208"/>
      <c r="R3526" s="1208"/>
      <c r="S3526" s="1212"/>
      <c r="T3526" s="1208"/>
      <c r="V3526" s="501"/>
      <c r="W3526" s="501"/>
      <c r="X3526" s="501"/>
      <c r="Y3526" s="501"/>
      <c r="Z3526" s="501"/>
      <c r="AA3526" s="501"/>
      <c r="AB3526" s="501"/>
      <c r="AC3526" s="501"/>
      <c r="AD3526" s="501"/>
      <c r="AE3526" s="501"/>
      <c r="AF3526" s="501"/>
      <c r="AG3526" s="501"/>
      <c r="AH3526" s="501"/>
      <c r="AI3526" s="501"/>
      <c r="AJ3526" s="501"/>
      <c r="AK3526" s="501"/>
      <c r="AL3526" s="501"/>
      <c r="AM3526" s="501"/>
      <c r="AN3526" s="501"/>
      <c r="AO3526" s="501"/>
      <c r="AP3526" s="501"/>
      <c r="AQ3526" s="501"/>
      <c r="AR3526" s="501"/>
      <c r="AS3526" s="501"/>
      <c r="AT3526" s="501"/>
      <c r="AU3526" s="501"/>
      <c r="AV3526" s="501"/>
      <c r="AW3526" s="501"/>
      <c r="AX3526" s="501"/>
      <c r="AY3526" s="501"/>
      <c r="AZ3526" s="501"/>
      <c r="BA3526" s="501"/>
      <c r="BB3526" s="501"/>
      <c r="BC3526" s="501"/>
      <c r="BD3526" s="501"/>
      <c r="BE3526" s="501"/>
      <c r="BF3526" s="501"/>
      <c r="BG3526" s="501"/>
      <c r="BH3526" s="501"/>
      <c r="BI3526" s="501"/>
      <c r="BJ3526" s="501"/>
      <c r="BK3526" s="501"/>
      <c r="BL3526" s="501"/>
      <c r="BM3526" s="501"/>
      <c r="BN3526" s="501"/>
      <c r="BO3526" s="501"/>
      <c r="BP3526" s="501"/>
      <c r="BQ3526" s="501"/>
      <c r="BR3526" s="501"/>
      <c r="BS3526" s="501"/>
      <c r="BT3526" s="501"/>
      <c r="BU3526" s="501"/>
      <c r="BV3526" s="501"/>
      <c r="BW3526" s="501"/>
      <c r="BX3526" s="501"/>
      <c r="BY3526" s="501"/>
      <c r="BZ3526" s="501"/>
      <c r="CA3526" s="501"/>
      <c r="CB3526" s="501"/>
      <c r="CC3526" s="501"/>
      <c r="CD3526" s="501"/>
      <c r="CE3526" s="501"/>
      <c r="CF3526" s="501"/>
      <c r="CG3526" s="501"/>
      <c r="CH3526" s="501"/>
      <c r="CI3526" s="501"/>
      <c r="CJ3526" s="501"/>
      <c r="CK3526" s="501"/>
      <c r="CL3526" s="501"/>
      <c r="CM3526" s="501"/>
      <c r="CN3526" s="501"/>
      <c r="CO3526" s="501"/>
      <c r="CP3526" s="501"/>
      <c r="CQ3526" s="501"/>
      <c r="CR3526" s="501"/>
      <c r="CS3526" s="501"/>
      <c r="CT3526" s="501"/>
      <c r="CU3526" s="501"/>
      <c r="CV3526" s="501"/>
      <c r="CW3526" s="501"/>
      <c r="CX3526" s="501"/>
      <c r="CY3526" s="501"/>
      <c r="CZ3526" s="501"/>
      <c r="DA3526" s="501"/>
      <c r="DB3526" s="501"/>
      <c r="DC3526" s="501"/>
      <c r="DD3526" s="501"/>
      <c r="DE3526" s="501"/>
      <c r="DF3526" s="501"/>
      <c r="DG3526" s="501"/>
      <c r="DH3526" s="501"/>
      <c r="DI3526" s="501"/>
      <c r="DJ3526" s="501"/>
      <c r="DK3526" s="501"/>
      <c r="DL3526" s="501"/>
      <c r="DM3526" s="501"/>
      <c r="DN3526" s="501"/>
      <c r="DO3526" s="501"/>
      <c r="DP3526" s="501"/>
      <c r="DQ3526" s="501"/>
      <c r="DR3526" s="501"/>
      <c r="DS3526" s="501"/>
      <c r="DT3526" s="501"/>
      <c r="DU3526" s="501"/>
      <c r="DV3526" s="501"/>
      <c r="DW3526" s="501"/>
      <c r="DX3526" s="501"/>
      <c r="DY3526" s="501"/>
      <c r="DZ3526" s="501"/>
      <c r="EA3526" s="501"/>
      <c r="EB3526" s="501"/>
      <c r="EC3526" s="501"/>
      <c r="ED3526" s="501"/>
      <c r="EE3526" s="501"/>
      <c r="EF3526" s="501"/>
      <c r="EG3526" s="501"/>
      <c r="EH3526" s="501"/>
      <c r="EI3526" s="501"/>
      <c r="EJ3526" s="501"/>
      <c r="EK3526" s="501"/>
      <c r="EL3526" s="501"/>
      <c r="EM3526" s="501"/>
      <c r="EN3526" s="501"/>
      <c r="EO3526" s="501"/>
      <c r="EP3526" s="501"/>
      <c r="EQ3526" s="501"/>
      <c r="ER3526" s="501"/>
      <c r="ES3526" s="501"/>
      <c r="ET3526" s="501"/>
      <c r="EU3526" s="501"/>
      <c r="EV3526" s="501"/>
      <c r="EW3526" s="501"/>
      <c r="EX3526" s="501"/>
      <c r="EY3526" s="501"/>
      <c r="EZ3526" s="501"/>
      <c r="FA3526" s="501"/>
      <c r="FB3526" s="501"/>
      <c r="FC3526" s="501"/>
      <c r="FD3526" s="501"/>
      <c r="FE3526" s="501"/>
      <c r="FF3526" s="501"/>
      <c r="FG3526" s="501"/>
      <c r="FH3526" s="501"/>
      <c r="FI3526" s="501"/>
      <c r="FJ3526" s="501"/>
      <c r="FK3526" s="501"/>
      <c r="FL3526" s="501"/>
      <c r="FM3526" s="501"/>
      <c r="FN3526" s="501"/>
      <c r="FO3526" s="501"/>
      <c r="FP3526" s="501"/>
      <c r="FQ3526" s="501"/>
      <c r="FR3526" s="501"/>
      <c r="FS3526" s="501"/>
      <c r="FT3526" s="501"/>
      <c r="FU3526" s="501"/>
      <c r="FV3526" s="501"/>
      <c r="FW3526" s="501"/>
      <c r="FX3526" s="501"/>
      <c r="FY3526" s="501"/>
      <c r="FZ3526" s="501"/>
      <c r="GA3526" s="501"/>
      <c r="GB3526" s="501"/>
      <c r="GC3526" s="501"/>
      <c r="GD3526" s="501"/>
      <c r="GE3526" s="501"/>
      <c r="GF3526" s="501"/>
      <c r="GG3526" s="501"/>
      <c r="GH3526" s="501"/>
      <c r="GI3526" s="501"/>
      <c r="GJ3526" s="501"/>
      <c r="GK3526" s="501"/>
      <c r="GL3526" s="501"/>
      <c r="GM3526" s="501"/>
      <c r="GN3526" s="501"/>
      <c r="GO3526" s="501"/>
      <c r="GP3526" s="501"/>
      <c r="GQ3526" s="501"/>
      <c r="GR3526" s="501"/>
      <c r="GS3526" s="501"/>
      <c r="GT3526" s="501"/>
      <c r="GU3526" s="501"/>
      <c r="GV3526" s="501"/>
      <c r="GW3526" s="501"/>
      <c r="GX3526" s="501"/>
      <c r="GY3526" s="501"/>
      <c r="GZ3526" s="501"/>
      <c r="HA3526" s="501"/>
      <c r="HB3526" s="501"/>
      <c r="HC3526" s="501"/>
      <c r="HD3526" s="501"/>
      <c r="HE3526" s="501"/>
      <c r="HF3526" s="501"/>
      <c r="HG3526" s="501"/>
      <c r="HH3526" s="501"/>
      <c r="HI3526" s="501"/>
      <c r="HJ3526" s="501"/>
      <c r="HK3526" s="501"/>
      <c r="HL3526" s="501"/>
      <c r="HM3526" s="501"/>
      <c r="HN3526" s="501"/>
      <c r="HO3526" s="501"/>
      <c r="HP3526" s="501"/>
      <c r="HQ3526" s="501"/>
      <c r="HR3526" s="501"/>
      <c r="HS3526" s="501"/>
      <c r="HT3526" s="501"/>
      <c r="HU3526" s="501"/>
      <c r="HV3526" s="501"/>
      <c r="HW3526" s="501"/>
      <c r="HX3526" s="501"/>
      <c r="HY3526" s="501"/>
      <c r="HZ3526" s="501"/>
      <c r="IA3526" s="501"/>
      <c r="IB3526" s="501"/>
      <c r="IC3526" s="501"/>
      <c r="ID3526" s="501"/>
      <c r="IE3526" s="501"/>
      <c r="IF3526" s="501"/>
      <c r="IG3526" s="501"/>
      <c r="IH3526" s="501"/>
      <c r="II3526" s="501"/>
      <c r="IJ3526" s="501"/>
      <c r="IK3526" s="501"/>
      <c r="IL3526" s="501"/>
      <c r="IM3526" s="501"/>
      <c r="IN3526" s="501"/>
      <c r="IO3526" s="501"/>
      <c r="IP3526" s="501"/>
      <c r="IQ3526" s="501"/>
      <c r="IR3526" s="501"/>
      <c r="IS3526" s="501"/>
      <c r="IT3526" s="501"/>
      <c r="IU3526" s="501"/>
    </row>
    <row r="3527" spans="1:255" s="877" customFormat="1" ht="24" customHeight="1">
      <c r="A3527" s="501"/>
      <c r="B3527" s="501"/>
      <c r="C3527" s="501"/>
      <c r="D3527" s="501"/>
      <c r="E3527" s="501"/>
      <c r="F3527" s="1208"/>
      <c r="G3527" s="1209"/>
      <c r="H3527" s="1208"/>
      <c r="I3527" s="1210"/>
      <c r="J3527" s="1208"/>
      <c r="K3527" s="1208"/>
      <c r="L3527" s="1210"/>
      <c r="M3527" s="1213"/>
      <c r="N3527" s="501"/>
      <c r="O3527" s="1208"/>
      <c r="P3527" s="1212"/>
      <c r="Q3527" s="1208"/>
      <c r="R3527" s="1208"/>
      <c r="S3527" s="1212"/>
      <c r="T3527" s="1208"/>
      <c r="V3527" s="501"/>
      <c r="W3527" s="501"/>
      <c r="X3527" s="501"/>
      <c r="Y3527" s="501"/>
      <c r="Z3527" s="501"/>
      <c r="AA3527" s="501"/>
      <c r="AB3527" s="501"/>
      <c r="AC3527" s="501"/>
      <c r="AD3527" s="501"/>
      <c r="AE3527" s="501"/>
      <c r="AF3527" s="501"/>
      <c r="AG3527" s="501"/>
      <c r="AH3527" s="501"/>
      <c r="AI3527" s="501"/>
      <c r="AJ3527" s="501"/>
      <c r="AK3527" s="501"/>
      <c r="AL3527" s="501"/>
      <c r="AM3527" s="501"/>
      <c r="AN3527" s="501"/>
      <c r="AO3527" s="501"/>
      <c r="AP3527" s="501"/>
      <c r="AQ3527" s="501"/>
      <c r="AR3527" s="501"/>
      <c r="AS3527" s="501"/>
      <c r="AT3527" s="501"/>
      <c r="AU3527" s="501"/>
      <c r="AV3527" s="501"/>
      <c r="AW3527" s="501"/>
      <c r="AX3527" s="501"/>
      <c r="AY3527" s="501"/>
      <c r="AZ3527" s="501"/>
      <c r="BA3527" s="501"/>
      <c r="BB3527" s="501"/>
      <c r="BC3527" s="501"/>
      <c r="BD3527" s="501"/>
      <c r="BE3527" s="501"/>
      <c r="BF3527" s="501"/>
      <c r="BG3527" s="501"/>
      <c r="BH3527" s="501"/>
      <c r="BI3527" s="501"/>
      <c r="BJ3527" s="501"/>
      <c r="BK3527" s="501"/>
      <c r="BL3527" s="501"/>
      <c r="BM3527" s="501"/>
      <c r="BN3527" s="501"/>
      <c r="BO3527" s="501"/>
      <c r="BP3527" s="501"/>
      <c r="BQ3527" s="501"/>
      <c r="BR3527" s="501"/>
      <c r="BS3527" s="501"/>
      <c r="BT3527" s="501"/>
      <c r="BU3527" s="501"/>
      <c r="BV3527" s="501"/>
      <c r="BW3527" s="501"/>
      <c r="BX3527" s="501"/>
      <c r="BY3527" s="501"/>
      <c r="BZ3527" s="501"/>
      <c r="CA3527" s="501"/>
      <c r="CB3527" s="501"/>
      <c r="CC3527" s="501"/>
      <c r="CD3527" s="501"/>
      <c r="CE3527" s="501"/>
      <c r="CF3527" s="501"/>
      <c r="CG3527" s="501"/>
      <c r="CH3527" s="501"/>
      <c r="CI3527" s="501"/>
      <c r="CJ3527" s="501"/>
      <c r="CK3527" s="501"/>
      <c r="CL3527" s="501"/>
      <c r="CM3527" s="501"/>
      <c r="CN3527" s="501"/>
      <c r="CO3527" s="501"/>
      <c r="CP3527" s="501"/>
      <c r="CQ3527" s="501"/>
      <c r="CR3527" s="501"/>
      <c r="CS3527" s="501"/>
      <c r="CT3527" s="501"/>
      <c r="CU3527" s="501"/>
      <c r="CV3527" s="501"/>
      <c r="CW3527" s="501"/>
      <c r="CX3527" s="501"/>
      <c r="CY3527" s="501"/>
      <c r="CZ3527" s="501"/>
      <c r="DA3527" s="501"/>
      <c r="DB3527" s="501"/>
      <c r="DC3527" s="501"/>
      <c r="DD3527" s="501"/>
      <c r="DE3527" s="501"/>
      <c r="DF3527" s="501"/>
      <c r="DG3527" s="501"/>
      <c r="DH3527" s="501"/>
      <c r="DI3527" s="501"/>
      <c r="DJ3527" s="501"/>
      <c r="DK3527" s="501"/>
      <c r="DL3527" s="501"/>
      <c r="DM3527" s="501"/>
      <c r="DN3527" s="501"/>
      <c r="DO3527" s="501"/>
      <c r="DP3527" s="501"/>
      <c r="DQ3527" s="501"/>
      <c r="DR3527" s="501"/>
      <c r="DS3527" s="501"/>
      <c r="DT3527" s="501"/>
      <c r="DU3527" s="501"/>
      <c r="DV3527" s="501"/>
      <c r="DW3527" s="501"/>
      <c r="DX3527" s="501"/>
      <c r="DY3527" s="501"/>
      <c r="DZ3527" s="501"/>
      <c r="EA3527" s="501"/>
      <c r="EB3527" s="501"/>
      <c r="EC3527" s="501"/>
      <c r="ED3527" s="501"/>
      <c r="EE3527" s="501"/>
      <c r="EF3527" s="501"/>
      <c r="EG3527" s="501"/>
      <c r="EH3527" s="501"/>
      <c r="EI3527" s="501"/>
      <c r="EJ3527" s="501"/>
      <c r="EK3527" s="501"/>
      <c r="EL3527" s="501"/>
      <c r="EM3527" s="501"/>
      <c r="EN3527" s="501"/>
      <c r="EO3527" s="501"/>
      <c r="EP3527" s="501"/>
      <c r="EQ3527" s="501"/>
      <c r="ER3527" s="501"/>
      <c r="ES3527" s="501"/>
      <c r="ET3527" s="501"/>
      <c r="EU3527" s="501"/>
      <c r="EV3527" s="501"/>
      <c r="EW3527" s="501"/>
      <c r="EX3527" s="501"/>
      <c r="EY3527" s="501"/>
      <c r="EZ3527" s="501"/>
      <c r="FA3527" s="501"/>
      <c r="FB3527" s="501"/>
      <c r="FC3527" s="501"/>
      <c r="FD3527" s="501"/>
      <c r="FE3527" s="501"/>
      <c r="FF3527" s="501"/>
      <c r="FG3527" s="501"/>
      <c r="FH3527" s="501"/>
      <c r="FI3527" s="501"/>
      <c r="FJ3527" s="501"/>
      <c r="FK3527" s="501"/>
      <c r="FL3527" s="501"/>
      <c r="FM3527" s="501"/>
      <c r="FN3527" s="501"/>
      <c r="FO3527" s="501"/>
      <c r="FP3527" s="501"/>
      <c r="FQ3527" s="501"/>
      <c r="FR3527" s="501"/>
      <c r="FS3527" s="501"/>
      <c r="FT3527" s="501"/>
      <c r="FU3527" s="501"/>
      <c r="FV3527" s="501"/>
      <c r="FW3527" s="501"/>
      <c r="FX3527" s="501"/>
      <c r="FY3527" s="501"/>
      <c r="FZ3527" s="501"/>
      <c r="GA3527" s="501"/>
      <c r="GB3527" s="501"/>
      <c r="GC3527" s="501"/>
      <c r="GD3527" s="501"/>
      <c r="GE3527" s="501"/>
      <c r="GF3527" s="501"/>
      <c r="GG3527" s="501"/>
      <c r="GH3527" s="501"/>
      <c r="GI3527" s="501"/>
      <c r="GJ3527" s="501"/>
      <c r="GK3527" s="501"/>
      <c r="GL3527" s="501"/>
      <c r="GM3527" s="501"/>
      <c r="GN3527" s="501"/>
      <c r="GO3527" s="501"/>
      <c r="GP3527" s="501"/>
      <c r="GQ3527" s="501"/>
      <c r="GR3527" s="501"/>
      <c r="GS3527" s="501"/>
      <c r="GT3527" s="501"/>
      <c r="GU3527" s="501"/>
      <c r="GV3527" s="501"/>
      <c r="GW3527" s="501"/>
      <c r="GX3527" s="501"/>
      <c r="GY3527" s="501"/>
      <c r="GZ3527" s="501"/>
      <c r="HA3527" s="501"/>
      <c r="HB3527" s="501"/>
      <c r="HC3527" s="501"/>
      <c r="HD3527" s="501"/>
      <c r="HE3527" s="501"/>
      <c r="HF3527" s="501"/>
      <c r="HG3527" s="501"/>
      <c r="HH3527" s="501"/>
      <c r="HI3527" s="501"/>
      <c r="HJ3527" s="501"/>
      <c r="HK3527" s="501"/>
      <c r="HL3527" s="501"/>
      <c r="HM3527" s="501"/>
      <c r="HN3527" s="501"/>
      <c r="HO3527" s="501"/>
      <c r="HP3527" s="501"/>
      <c r="HQ3527" s="501"/>
      <c r="HR3527" s="501"/>
      <c r="HS3527" s="501"/>
      <c r="HT3527" s="501"/>
      <c r="HU3527" s="501"/>
      <c r="HV3527" s="501"/>
      <c r="HW3527" s="501"/>
      <c r="HX3527" s="501"/>
      <c r="HY3527" s="501"/>
      <c r="HZ3527" s="501"/>
      <c r="IA3527" s="501"/>
      <c r="IB3527" s="501"/>
      <c r="IC3527" s="501"/>
      <c r="ID3527" s="501"/>
      <c r="IE3527" s="501"/>
      <c r="IF3527" s="501"/>
      <c r="IG3527" s="501"/>
      <c r="IH3527" s="501"/>
      <c r="II3527" s="501"/>
      <c r="IJ3527" s="501"/>
      <c r="IK3527" s="501"/>
      <c r="IL3527" s="501"/>
      <c r="IM3527" s="501"/>
      <c r="IN3527" s="501"/>
      <c r="IO3527" s="501"/>
      <c r="IP3527" s="501"/>
      <c r="IQ3527" s="501"/>
      <c r="IR3527" s="501"/>
      <c r="IS3527" s="501"/>
      <c r="IT3527" s="501"/>
      <c r="IU3527" s="501"/>
    </row>
    <row r="3528" spans="1:255" s="877" customFormat="1" ht="24" customHeight="1">
      <c r="A3528" s="501"/>
      <c r="B3528" s="501"/>
      <c r="C3528" s="501"/>
      <c r="D3528" s="501"/>
      <c r="E3528" s="501"/>
      <c r="F3528" s="501"/>
      <c r="G3528" s="915"/>
      <c r="H3528" s="501"/>
      <c r="I3528" s="874"/>
      <c r="J3528" s="1208"/>
      <c r="K3528" s="501"/>
      <c r="L3528" s="874"/>
      <c r="M3528" s="1213"/>
      <c r="N3528" s="501"/>
      <c r="O3528" s="1208"/>
      <c r="P3528" s="1212"/>
      <c r="Q3528" s="1208"/>
      <c r="R3528" s="1208"/>
      <c r="S3528" s="1212"/>
      <c r="T3528" s="1208"/>
      <c r="V3528" s="501"/>
      <c r="W3528" s="501"/>
      <c r="X3528" s="501"/>
      <c r="Y3528" s="501"/>
      <c r="Z3528" s="501"/>
      <c r="AA3528" s="501"/>
      <c r="AB3528" s="501"/>
      <c r="AC3528" s="501"/>
      <c r="AD3528" s="501"/>
      <c r="AE3528" s="501"/>
      <c r="AF3528" s="501"/>
      <c r="AG3528" s="501"/>
      <c r="AH3528" s="501"/>
      <c r="AI3528" s="501"/>
      <c r="AJ3528" s="501"/>
      <c r="AK3528" s="501"/>
      <c r="AL3528" s="501"/>
      <c r="AM3528" s="501"/>
      <c r="AN3528" s="501"/>
      <c r="AO3528" s="501"/>
      <c r="AP3528" s="501"/>
      <c r="AQ3528" s="501"/>
      <c r="AR3528" s="501"/>
      <c r="AS3528" s="501"/>
      <c r="AT3528" s="501"/>
      <c r="AU3528" s="501"/>
      <c r="AV3528" s="501"/>
      <c r="AW3528" s="501"/>
      <c r="AX3528" s="501"/>
      <c r="AY3528" s="501"/>
      <c r="AZ3528" s="501"/>
      <c r="BA3528" s="501"/>
      <c r="BB3528" s="501"/>
      <c r="BC3528" s="501"/>
      <c r="BD3528" s="501"/>
      <c r="BE3528" s="501"/>
      <c r="BF3528" s="501"/>
      <c r="BG3528" s="501"/>
      <c r="BH3528" s="501"/>
      <c r="BI3528" s="501"/>
      <c r="BJ3528" s="501"/>
      <c r="BK3528" s="501"/>
      <c r="BL3528" s="501"/>
      <c r="BM3528" s="501"/>
      <c r="BN3528" s="501"/>
      <c r="BO3528" s="501"/>
      <c r="BP3528" s="501"/>
      <c r="BQ3528" s="501"/>
      <c r="BR3528" s="501"/>
      <c r="BS3528" s="501"/>
      <c r="BT3528" s="501"/>
      <c r="BU3528" s="501"/>
      <c r="BV3528" s="501"/>
      <c r="BW3528" s="501"/>
      <c r="BX3528" s="501"/>
      <c r="BY3528" s="501"/>
      <c r="BZ3528" s="501"/>
      <c r="CA3528" s="501"/>
      <c r="CB3528" s="501"/>
      <c r="CC3528" s="501"/>
      <c r="CD3528" s="501"/>
      <c r="CE3528" s="501"/>
      <c r="CF3528" s="501"/>
      <c r="CG3528" s="501"/>
      <c r="CH3528" s="501"/>
      <c r="CI3528" s="501"/>
      <c r="CJ3528" s="501"/>
      <c r="CK3528" s="501"/>
      <c r="CL3528" s="501"/>
      <c r="CM3528" s="501"/>
      <c r="CN3528" s="501"/>
      <c r="CO3528" s="501"/>
      <c r="CP3528" s="501"/>
      <c r="CQ3528" s="501"/>
      <c r="CR3528" s="501"/>
      <c r="CS3528" s="501"/>
      <c r="CT3528" s="501"/>
      <c r="CU3528" s="501"/>
      <c r="CV3528" s="501"/>
      <c r="CW3528" s="501"/>
      <c r="CX3528" s="501"/>
      <c r="CY3528" s="501"/>
      <c r="CZ3528" s="501"/>
      <c r="DA3528" s="501"/>
      <c r="DB3528" s="501"/>
      <c r="DC3528" s="501"/>
      <c r="DD3528" s="501"/>
      <c r="DE3528" s="501"/>
      <c r="DF3528" s="501"/>
      <c r="DG3528" s="501"/>
      <c r="DH3528" s="501"/>
      <c r="DI3528" s="501"/>
      <c r="DJ3528" s="501"/>
      <c r="DK3528" s="501"/>
      <c r="DL3528" s="501"/>
      <c r="DM3528" s="501"/>
      <c r="DN3528" s="501"/>
      <c r="DO3528" s="501"/>
      <c r="DP3528" s="501"/>
      <c r="DQ3528" s="501"/>
      <c r="DR3528" s="501"/>
      <c r="DS3528" s="501"/>
      <c r="DT3528" s="501"/>
      <c r="DU3528" s="501"/>
      <c r="DV3528" s="501"/>
      <c r="DW3528" s="501"/>
      <c r="DX3528" s="501"/>
      <c r="DY3528" s="501"/>
      <c r="DZ3528" s="501"/>
      <c r="EA3528" s="501"/>
      <c r="EB3528" s="501"/>
      <c r="EC3528" s="501"/>
      <c r="ED3528" s="501"/>
      <c r="EE3528" s="501"/>
      <c r="EF3528" s="501"/>
      <c r="EG3528" s="501"/>
      <c r="EH3528" s="501"/>
      <c r="EI3528" s="501"/>
      <c r="EJ3528" s="501"/>
      <c r="EK3528" s="501"/>
      <c r="EL3528" s="501"/>
      <c r="EM3528" s="501"/>
      <c r="EN3528" s="501"/>
      <c r="EO3528" s="501"/>
      <c r="EP3528" s="501"/>
      <c r="EQ3528" s="501"/>
      <c r="ER3528" s="501"/>
      <c r="ES3528" s="501"/>
      <c r="ET3528" s="501"/>
      <c r="EU3528" s="501"/>
      <c r="EV3528" s="501"/>
      <c r="EW3528" s="501"/>
      <c r="EX3528" s="501"/>
      <c r="EY3528" s="501"/>
      <c r="EZ3528" s="501"/>
      <c r="FA3528" s="501"/>
      <c r="FB3528" s="501"/>
      <c r="FC3528" s="501"/>
      <c r="FD3528" s="501"/>
      <c r="FE3528" s="501"/>
      <c r="FF3528" s="501"/>
      <c r="FG3528" s="501"/>
      <c r="FH3528" s="501"/>
      <c r="FI3528" s="501"/>
      <c r="FJ3528" s="501"/>
      <c r="FK3528" s="501"/>
      <c r="FL3528" s="501"/>
      <c r="FM3528" s="501"/>
      <c r="FN3528" s="501"/>
      <c r="FO3528" s="501"/>
      <c r="FP3528" s="501"/>
      <c r="FQ3528" s="501"/>
      <c r="FR3528" s="501"/>
      <c r="FS3528" s="501"/>
      <c r="FT3528" s="501"/>
      <c r="FU3528" s="501"/>
      <c r="FV3528" s="501"/>
      <c r="FW3528" s="501"/>
      <c r="FX3528" s="501"/>
      <c r="FY3528" s="501"/>
      <c r="FZ3528" s="501"/>
      <c r="GA3528" s="501"/>
      <c r="GB3528" s="501"/>
      <c r="GC3528" s="501"/>
      <c r="GD3528" s="501"/>
      <c r="GE3528" s="501"/>
      <c r="GF3528" s="501"/>
      <c r="GG3528" s="501"/>
      <c r="GH3528" s="501"/>
      <c r="GI3528" s="501"/>
      <c r="GJ3528" s="501"/>
      <c r="GK3528" s="501"/>
      <c r="GL3528" s="501"/>
      <c r="GM3528" s="501"/>
      <c r="GN3528" s="501"/>
      <c r="GO3528" s="501"/>
      <c r="GP3528" s="501"/>
      <c r="GQ3528" s="501"/>
      <c r="GR3528" s="501"/>
      <c r="GS3528" s="501"/>
      <c r="GT3528" s="501"/>
      <c r="GU3528" s="501"/>
      <c r="GV3528" s="501"/>
      <c r="GW3528" s="501"/>
      <c r="GX3528" s="501"/>
      <c r="GY3528" s="501"/>
      <c r="GZ3528" s="501"/>
      <c r="HA3528" s="501"/>
      <c r="HB3528" s="501"/>
      <c r="HC3528" s="501"/>
      <c r="HD3528" s="501"/>
      <c r="HE3528" s="501"/>
      <c r="HF3528" s="501"/>
      <c r="HG3528" s="501"/>
      <c r="HH3528" s="501"/>
      <c r="HI3528" s="501"/>
      <c r="HJ3528" s="501"/>
      <c r="HK3528" s="501"/>
      <c r="HL3528" s="501"/>
      <c r="HM3528" s="501"/>
      <c r="HN3528" s="501"/>
      <c r="HO3528" s="501"/>
      <c r="HP3528" s="501"/>
      <c r="HQ3528" s="501"/>
      <c r="HR3528" s="501"/>
      <c r="HS3528" s="501"/>
      <c r="HT3528" s="501"/>
      <c r="HU3528" s="501"/>
      <c r="HV3528" s="501"/>
      <c r="HW3528" s="501"/>
      <c r="HX3528" s="501"/>
      <c r="HY3528" s="501"/>
      <c r="HZ3528" s="501"/>
      <c r="IA3528" s="501"/>
      <c r="IB3528" s="501"/>
      <c r="IC3528" s="501"/>
      <c r="ID3528" s="501"/>
      <c r="IE3528" s="501"/>
      <c r="IF3528" s="501"/>
      <c r="IG3528" s="501"/>
      <c r="IH3528" s="501"/>
      <c r="II3528" s="501"/>
      <c r="IJ3528" s="501"/>
      <c r="IK3528" s="501"/>
      <c r="IL3528" s="501"/>
      <c r="IM3528" s="501"/>
      <c r="IN3528" s="501"/>
      <c r="IO3528" s="501"/>
      <c r="IP3528" s="501"/>
      <c r="IQ3528" s="501"/>
      <c r="IR3528" s="501"/>
      <c r="IS3528" s="501"/>
      <c r="IT3528" s="501"/>
      <c r="IU3528" s="501"/>
    </row>
    <row r="3529" spans="1:255" s="877" customFormat="1" ht="24" customHeight="1">
      <c r="A3529" s="501"/>
      <c r="B3529" s="501"/>
      <c r="C3529" s="501"/>
      <c r="D3529" s="501"/>
      <c r="E3529" s="501"/>
      <c r="F3529" s="501"/>
      <c r="G3529" s="915"/>
      <c r="H3529" s="501"/>
      <c r="I3529" s="874"/>
      <c r="J3529" s="501"/>
      <c r="K3529" s="501"/>
      <c r="L3529" s="874"/>
      <c r="M3529" s="554"/>
      <c r="N3529" s="501"/>
      <c r="O3529" s="1216"/>
      <c r="P3529" s="1212"/>
      <c r="Q3529" s="1208"/>
      <c r="R3529" s="1208"/>
      <c r="S3529" s="1212"/>
      <c r="T3529" s="1208"/>
      <c r="V3529" s="501"/>
      <c r="W3529" s="501"/>
      <c r="X3529" s="501"/>
      <c r="Y3529" s="501"/>
      <c r="Z3529" s="501"/>
      <c r="AA3529" s="501"/>
      <c r="AB3529" s="501"/>
      <c r="AC3529" s="501"/>
      <c r="AD3529" s="501"/>
      <c r="AE3529" s="501"/>
      <c r="AF3529" s="501"/>
      <c r="AG3529" s="501"/>
      <c r="AH3529" s="501"/>
      <c r="AI3529" s="501"/>
      <c r="AJ3529" s="501"/>
      <c r="AK3529" s="501"/>
      <c r="AL3529" s="501"/>
      <c r="AM3529" s="501"/>
      <c r="AN3529" s="501"/>
      <c r="AO3529" s="501"/>
      <c r="AP3529" s="501"/>
      <c r="AQ3529" s="501"/>
      <c r="AR3529" s="501"/>
      <c r="AS3529" s="501"/>
      <c r="AT3529" s="501"/>
      <c r="AU3529" s="501"/>
      <c r="AV3529" s="501"/>
      <c r="AW3529" s="501"/>
      <c r="AX3529" s="501"/>
      <c r="AY3529" s="501"/>
      <c r="AZ3529" s="501"/>
      <c r="BA3529" s="501"/>
      <c r="BB3529" s="501"/>
      <c r="BC3529" s="501"/>
      <c r="BD3529" s="501"/>
      <c r="BE3529" s="501"/>
      <c r="BF3529" s="501"/>
      <c r="BG3529" s="501"/>
      <c r="BH3529" s="501"/>
      <c r="BI3529" s="501"/>
      <c r="BJ3529" s="501"/>
      <c r="BK3529" s="501"/>
      <c r="BL3529" s="501"/>
      <c r="BM3529" s="501"/>
      <c r="BN3529" s="501"/>
      <c r="BO3529" s="501"/>
      <c r="BP3529" s="501"/>
      <c r="BQ3529" s="501"/>
      <c r="BR3529" s="501"/>
      <c r="BS3529" s="501"/>
      <c r="BT3529" s="501"/>
      <c r="BU3529" s="501"/>
      <c r="BV3529" s="501"/>
      <c r="BW3529" s="501"/>
      <c r="BX3529" s="501"/>
      <c r="BY3529" s="501"/>
      <c r="BZ3529" s="501"/>
      <c r="CA3529" s="501"/>
      <c r="CB3529" s="501"/>
      <c r="CC3529" s="501"/>
      <c r="CD3529" s="501"/>
      <c r="CE3529" s="501"/>
      <c r="CF3529" s="501"/>
      <c r="CG3529" s="501"/>
      <c r="CH3529" s="501"/>
      <c r="CI3529" s="501"/>
      <c r="CJ3529" s="501"/>
      <c r="CK3529" s="501"/>
      <c r="CL3529" s="501"/>
      <c r="CM3529" s="501"/>
      <c r="CN3529" s="501"/>
      <c r="CO3529" s="501"/>
      <c r="CP3529" s="501"/>
      <c r="CQ3529" s="501"/>
      <c r="CR3529" s="501"/>
      <c r="CS3529" s="501"/>
      <c r="CT3529" s="501"/>
      <c r="CU3529" s="501"/>
      <c r="CV3529" s="501"/>
      <c r="CW3529" s="501"/>
      <c r="CX3529" s="501"/>
      <c r="CY3529" s="501"/>
      <c r="CZ3529" s="501"/>
      <c r="DA3529" s="501"/>
      <c r="DB3529" s="501"/>
      <c r="DC3529" s="501"/>
      <c r="DD3529" s="501"/>
      <c r="DE3529" s="501"/>
      <c r="DF3529" s="501"/>
      <c r="DG3529" s="501"/>
      <c r="DH3529" s="501"/>
      <c r="DI3529" s="501"/>
      <c r="DJ3529" s="501"/>
      <c r="DK3529" s="501"/>
      <c r="DL3529" s="501"/>
      <c r="DM3529" s="501"/>
      <c r="DN3529" s="501"/>
      <c r="DO3529" s="501"/>
      <c r="DP3529" s="501"/>
      <c r="DQ3529" s="501"/>
      <c r="DR3529" s="501"/>
      <c r="DS3529" s="501"/>
      <c r="DT3529" s="501"/>
      <c r="DU3529" s="501"/>
      <c r="DV3529" s="501"/>
      <c r="DW3529" s="501"/>
      <c r="DX3529" s="501"/>
      <c r="DY3529" s="501"/>
      <c r="DZ3529" s="501"/>
      <c r="EA3529" s="501"/>
      <c r="EB3529" s="501"/>
      <c r="EC3529" s="501"/>
      <c r="ED3529" s="501"/>
      <c r="EE3529" s="501"/>
      <c r="EF3529" s="501"/>
      <c r="EG3529" s="501"/>
      <c r="EH3529" s="501"/>
      <c r="EI3529" s="501"/>
      <c r="EJ3529" s="501"/>
      <c r="EK3529" s="501"/>
      <c r="EL3529" s="501"/>
      <c r="EM3529" s="501"/>
      <c r="EN3529" s="501"/>
      <c r="EO3529" s="501"/>
      <c r="EP3529" s="501"/>
      <c r="EQ3529" s="501"/>
      <c r="ER3529" s="501"/>
      <c r="ES3529" s="501"/>
      <c r="ET3529" s="501"/>
      <c r="EU3529" s="501"/>
      <c r="EV3529" s="501"/>
      <c r="EW3529" s="501"/>
      <c r="EX3529" s="501"/>
      <c r="EY3529" s="501"/>
      <c r="EZ3529" s="501"/>
      <c r="FA3529" s="501"/>
      <c r="FB3529" s="501"/>
      <c r="FC3529" s="501"/>
      <c r="FD3529" s="501"/>
      <c r="FE3529" s="501"/>
      <c r="FF3529" s="501"/>
      <c r="FG3529" s="501"/>
      <c r="FH3529" s="501"/>
      <c r="FI3529" s="501"/>
      <c r="FJ3529" s="501"/>
      <c r="FK3529" s="501"/>
      <c r="FL3529" s="501"/>
      <c r="FM3529" s="501"/>
      <c r="FN3529" s="501"/>
      <c r="FO3529" s="501"/>
      <c r="FP3529" s="501"/>
      <c r="FQ3529" s="501"/>
      <c r="FR3529" s="501"/>
      <c r="FS3529" s="501"/>
      <c r="FT3529" s="501"/>
      <c r="FU3529" s="501"/>
      <c r="FV3529" s="501"/>
      <c r="FW3529" s="501"/>
      <c r="FX3529" s="501"/>
      <c r="FY3529" s="501"/>
      <c r="FZ3529" s="501"/>
      <c r="GA3529" s="501"/>
      <c r="GB3529" s="501"/>
      <c r="GC3529" s="501"/>
      <c r="GD3529" s="501"/>
      <c r="GE3529" s="501"/>
      <c r="GF3529" s="501"/>
      <c r="GG3529" s="501"/>
      <c r="GH3529" s="501"/>
      <c r="GI3529" s="501"/>
      <c r="GJ3529" s="501"/>
      <c r="GK3529" s="501"/>
      <c r="GL3529" s="501"/>
      <c r="GM3529" s="501"/>
      <c r="GN3529" s="501"/>
      <c r="GO3529" s="501"/>
      <c r="GP3529" s="501"/>
      <c r="GQ3529" s="501"/>
      <c r="GR3529" s="501"/>
      <c r="GS3529" s="501"/>
      <c r="GT3529" s="501"/>
      <c r="GU3529" s="501"/>
      <c r="GV3529" s="501"/>
      <c r="GW3529" s="501"/>
      <c r="GX3529" s="501"/>
      <c r="GY3529" s="501"/>
      <c r="GZ3529" s="501"/>
      <c r="HA3529" s="501"/>
      <c r="HB3529" s="501"/>
      <c r="HC3529" s="501"/>
      <c r="HD3529" s="501"/>
      <c r="HE3529" s="501"/>
      <c r="HF3529" s="501"/>
      <c r="HG3529" s="501"/>
      <c r="HH3529" s="501"/>
      <c r="HI3529" s="501"/>
      <c r="HJ3529" s="501"/>
      <c r="HK3529" s="501"/>
      <c r="HL3529" s="501"/>
      <c r="HM3529" s="501"/>
      <c r="HN3529" s="501"/>
      <c r="HO3529" s="501"/>
      <c r="HP3529" s="501"/>
      <c r="HQ3529" s="501"/>
      <c r="HR3529" s="501"/>
      <c r="HS3529" s="501"/>
      <c r="HT3529" s="501"/>
      <c r="HU3529" s="501"/>
      <c r="HV3529" s="501"/>
      <c r="HW3529" s="501"/>
      <c r="HX3529" s="501"/>
      <c r="HY3529" s="501"/>
      <c r="HZ3529" s="501"/>
      <c r="IA3529" s="501"/>
      <c r="IB3529" s="501"/>
      <c r="IC3529" s="501"/>
      <c r="ID3529" s="501"/>
      <c r="IE3529" s="501"/>
      <c r="IF3529" s="501"/>
      <c r="IG3529" s="501"/>
      <c r="IH3529" s="501"/>
      <c r="II3529" s="501"/>
      <c r="IJ3529" s="501"/>
      <c r="IK3529" s="501"/>
      <c r="IL3529" s="501"/>
      <c r="IM3529" s="501"/>
      <c r="IN3529" s="501"/>
      <c r="IO3529" s="501"/>
      <c r="IP3529" s="501"/>
      <c r="IQ3529" s="501"/>
      <c r="IR3529" s="501"/>
      <c r="IS3529" s="501"/>
      <c r="IT3529" s="501"/>
      <c r="IU3529" s="501"/>
    </row>
    <row r="3530" spans="1:255" ht="24" customHeight="1">
      <c r="F3530" s="1208"/>
      <c r="G3530" s="1209"/>
      <c r="H3530" s="1208"/>
      <c r="I3530" s="1210"/>
      <c r="J3530" s="1208"/>
      <c r="K3530" s="1208"/>
      <c r="L3530" s="1210"/>
      <c r="O3530" s="1208"/>
      <c r="P3530" s="1212"/>
      <c r="Q3530" s="1208"/>
      <c r="R3530" s="1208"/>
      <c r="S3530" s="1210"/>
      <c r="T3530" s="1208"/>
      <c r="U3530" s="1208"/>
    </row>
    <row r="3531" spans="1:255" ht="24" customHeight="1">
      <c r="J3531" s="1208"/>
      <c r="O3531" s="1208"/>
      <c r="P3531" s="1212"/>
      <c r="Q3531" s="1208"/>
      <c r="R3531" s="1208"/>
      <c r="S3531" s="1210"/>
      <c r="T3531" s="1208"/>
      <c r="U3531" s="501"/>
    </row>
    <row r="3532" spans="1:255" ht="24" customHeight="1">
      <c r="F3532" s="1208"/>
      <c r="G3532" s="1209"/>
      <c r="H3532" s="1208"/>
      <c r="I3532" s="1210"/>
      <c r="J3532" s="1208"/>
      <c r="K3532" s="1208"/>
      <c r="L3532" s="1212"/>
      <c r="M3532" s="1213"/>
      <c r="S3532" s="1212"/>
      <c r="T3532" s="1214"/>
      <c r="U3532" s="1208"/>
    </row>
    <row r="3533" spans="1:255" ht="24" customHeight="1">
      <c r="F3533" s="1208"/>
      <c r="G3533" s="1209"/>
      <c r="H3533" s="1208"/>
      <c r="I3533" s="1210"/>
      <c r="J3533" s="1208"/>
      <c r="K3533" s="1208"/>
      <c r="L3533" s="1212"/>
      <c r="M3533" s="1213"/>
      <c r="U3533" s="1208"/>
    </row>
    <row r="3534" spans="1:255" ht="24" customHeight="1">
      <c r="F3534" s="1208"/>
      <c r="G3534" s="1209"/>
      <c r="H3534" s="1208"/>
      <c r="I3534" s="1210"/>
      <c r="J3534" s="1208"/>
      <c r="K3534" s="1208"/>
      <c r="L3534" s="1212"/>
      <c r="M3534" s="1213"/>
      <c r="O3534" s="1208"/>
      <c r="P3534" s="1212"/>
      <c r="Q3534" s="1208"/>
      <c r="R3534" s="1208"/>
      <c r="S3534" s="1210"/>
      <c r="U3534" s="1208"/>
    </row>
    <row r="3535" spans="1:255" ht="24" customHeight="1">
      <c r="F3535" s="1208"/>
      <c r="G3535" s="1209"/>
      <c r="H3535" s="1208"/>
      <c r="I3535" s="1210"/>
      <c r="J3535" s="1208"/>
      <c r="K3535" s="1208"/>
      <c r="L3535" s="1212"/>
      <c r="M3535" s="1213"/>
      <c r="P3535" s="902"/>
      <c r="Q3535" s="1215"/>
      <c r="R3535" s="1215"/>
      <c r="S3535" s="874"/>
      <c r="U3535" s="1208"/>
    </row>
    <row r="3536" spans="1:255" ht="24" customHeight="1">
      <c r="F3536" s="1208"/>
      <c r="G3536" s="1209"/>
      <c r="H3536" s="1208"/>
      <c r="I3536" s="1210"/>
      <c r="J3536" s="1208"/>
      <c r="K3536" s="1208"/>
      <c r="L3536" s="1212"/>
      <c r="M3536" s="1213"/>
      <c r="O3536" s="1208"/>
      <c r="P3536" s="1212"/>
      <c r="Q3536" s="1208"/>
      <c r="R3536" s="1208"/>
      <c r="S3536" s="1212"/>
      <c r="T3536" s="1208"/>
      <c r="U3536" s="1208"/>
    </row>
    <row r="3537" spans="6:21" ht="24" customHeight="1">
      <c r="F3537" s="1208"/>
      <c r="G3537" s="1209"/>
      <c r="H3537" s="1208"/>
      <c r="I3537" s="1210"/>
      <c r="J3537" s="1208"/>
      <c r="K3537" s="1208"/>
      <c r="L3537" s="1212"/>
      <c r="M3537" s="1213"/>
      <c r="O3537" s="1208"/>
      <c r="P3537" s="1212"/>
      <c r="Q3537" s="1208"/>
      <c r="R3537" s="1208"/>
      <c r="S3537" s="1212"/>
      <c r="T3537" s="1208"/>
      <c r="U3537" s="1208"/>
    </row>
    <row r="3538" spans="6:21" ht="24" customHeight="1">
      <c r="F3538" s="1208"/>
      <c r="G3538" s="1209"/>
      <c r="H3538" s="1208"/>
      <c r="I3538" s="1210"/>
      <c r="J3538" s="1208"/>
      <c r="K3538" s="1208"/>
      <c r="L3538" s="1212"/>
      <c r="M3538" s="1213"/>
      <c r="O3538" s="1208"/>
      <c r="P3538" s="1212"/>
      <c r="Q3538" s="1208"/>
      <c r="R3538" s="1208"/>
      <c r="S3538" s="1212"/>
      <c r="T3538" s="1208"/>
      <c r="U3538" s="1208"/>
    </row>
    <row r="3539" spans="6:21" ht="24" customHeight="1">
      <c r="F3539" s="1208"/>
      <c r="G3539" s="1209"/>
      <c r="H3539" s="1208"/>
      <c r="I3539" s="1210"/>
      <c r="J3539" s="1208"/>
      <c r="K3539" s="1208"/>
      <c r="L3539" s="1212"/>
      <c r="M3539" s="1213"/>
      <c r="O3539" s="1208"/>
      <c r="P3539" s="1212"/>
      <c r="Q3539" s="1208"/>
      <c r="R3539" s="1208"/>
      <c r="S3539" s="1212"/>
      <c r="T3539" s="1208"/>
      <c r="U3539" s="1208"/>
    </row>
    <row r="3540" spans="6:21" ht="24" customHeight="1">
      <c r="F3540" s="1208"/>
      <c r="G3540" s="1209"/>
      <c r="H3540" s="1208"/>
      <c r="I3540" s="1210"/>
      <c r="J3540" s="1208"/>
      <c r="K3540" s="1208"/>
      <c r="L3540" s="1212"/>
      <c r="M3540" s="1213"/>
      <c r="O3540" s="1208"/>
      <c r="P3540" s="1212"/>
      <c r="Q3540" s="1208"/>
      <c r="R3540" s="1208"/>
      <c r="S3540" s="1212"/>
      <c r="T3540" s="1208"/>
      <c r="U3540" s="1208"/>
    </row>
    <row r="3541" spans="6:21" ht="24" customHeight="1">
      <c r="F3541" s="1216"/>
      <c r="G3541" s="1217"/>
      <c r="H3541" s="1216"/>
      <c r="I3541" s="1210"/>
      <c r="J3541" s="1208"/>
      <c r="K3541" s="1208"/>
      <c r="L3541" s="1212"/>
      <c r="M3541" s="1213"/>
      <c r="O3541" s="1208"/>
      <c r="P3541" s="1212"/>
      <c r="Q3541" s="1208"/>
      <c r="R3541" s="1208"/>
      <c r="S3541" s="1212"/>
      <c r="T3541" s="1208"/>
      <c r="U3541" s="1216"/>
    </row>
    <row r="3542" spans="6:21" ht="24" customHeight="1">
      <c r="F3542" s="1208"/>
      <c r="G3542" s="1209"/>
      <c r="H3542" s="1208"/>
      <c r="I3542" s="1210"/>
      <c r="J3542" s="1208"/>
      <c r="K3542" s="1208"/>
      <c r="L3542" s="1210"/>
      <c r="M3542" s="1213"/>
      <c r="O3542" s="1208"/>
      <c r="P3542" s="1212"/>
      <c r="Q3542" s="1208"/>
      <c r="R3542" s="1208"/>
      <c r="S3542" s="1212"/>
      <c r="T3542" s="1208"/>
      <c r="U3542" s="1208"/>
    </row>
    <row r="3543" spans="6:21" ht="24" customHeight="1">
      <c r="F3543" s="1208"/>
      <c r="G3543" s="1209"/>
      <c r="H3543" s="1208"/>
      <c r="I3543" s="1210"/>
      <c r="J3543" s="1208"/>
      <c r="K3543" s="1208"/>
      <c r="L3543" s="1210"/>
      <c r="M3543" s="1213"/>
      <c r="O3543" s="1208"/>
      <c r="P3543" s="1212"/>
      <c r="Q3543" s="1208"/>
      <c r="R3543" s="1208"/>
      <c r="S3543" s="1212"/>
      <c r="T3543" s="1208"/>
      <c r="U3543" s="1208"/>
    </row>
    <row r="3544" spans="6:21" ht="24" customHeight="1">
      <c r="O3544" s="1208"/>
      <c r="P3544" s="1212"/>
      <c r="Q3544" s="1208"/>
      <c r="R3544" s="1208"/>
      <c r="S3544" s="1212"/>
      <c r="T3544" s="1208"/>
    </row>
    <row r="3545" spans="6:21" ht="24" customHeight="1">
      <c r="O3545" s="1216"/>
      <c r="P3545" s="1212"/>
      <c r="Q3545" s="1208"/>
      <c r="R3545" s="1208"/>
      <c r="S3545" s="1212"/>
      <c r="T3545" s="1208"/>
    </row>
    <row r="3546" spans="6:21" ht="24" customHeight="1">
      <c r="F3546" s="920"/>
      <c r="G3546" s="921"/>
      <c r="H3546" s="920"/>
      <c r="I3546" s="876"/>
      <c r="J3546" s="876"/>
      <c r="O3546" s="1208"/>
      <c r="P3546" s="1212"/>
      <c r="Q3546" s="1208"/>
      <c r="R3546" s="1208"/>
      <c r="S3546" s="1210"/>
      <c r="T3546" s="1208"/>
      <c r="U3546" s="1208"/>
    </row>
    <row r="3547" spans="6:21" ht="24" customHeight="1">
      <c r="J3547" s="875"/>
      <c r="O3547" s="1208"/>
      <c r="P3547" s="1212"/>
      <c r="Q3547" s="1208"/>
      <c r="R3547" s="1208"/>
      <c r="S3547" s="1210"/>
      <c r="T3547" s="1208"/>
      <c r="U3547" s="501"/>
    </row>
    <row r="3548" spans="6:21" ht="24" customHeight="1">
      <c r="J3548" s="876"/>
      <c r="P3548" s="902"/>
      <c r="S3548" s="874"/>
      <c r="U3548" s="1208"/>
    </row>
    <row r="3549" spans="6:21" ht="24" customHeight="1">
      <c r="J3549" s="876"/>
      <c r="U3549" s="1208"/>
    </row>
    <row r="3550" spans="6:21" ht="24" customHeight="1">
      <c r="J3550" s="881"/>
      <c r="U3550" s="1208"/>
    </row>
    <row r="3551" spans="6:21" ht="24" customHeight="1">
      <c r="F3551" s="1025"/>
      <c r="G3551" s="1026"/>
      <c r="H3551" s="1025"/>
      <c r="I3551" s="1027"/>
      <c r="J3551" s="908"/>
      <c r="K3551" s="1025"/>
      <c r="L3551" s="1027"/>
      <c r="M3551" s="1028"/>
      <c r="U3551" s="1208"/>
    </row>
    <row r="3552" spans="6:21" ht="24" customHeight="1">
      <c r="F3552" s="545"/>
      <c r="G3552" s="889"/>
      <c r="H3552" s="545"/>
      <c r="I3552" s="876"/>
      <c r="J3552" s="876"/>
      <c r="K3552" s="545"/>
      <c r="L3552" s="876"/>
      <c r="M3552" s="882"/>
      <c r="U3552" s="1208"/>
    </row>
    <row r="3553" spans="6:26" ht="24" customHeight="1">
      <c r="F3553" s="545"/>
      <c r="G3553" s="889"/>
      <c r="H3553" s="545"/>
      <c r="I3553" s="876"/>
      <c r="J3553" s="876"/>
      <c r="K3553" s="545"/>
      <c r="L3553" s="880"/>
      <c r="M3553" s="882"/>
      <c r="U3553" s="1208"/>
    </row>
    <row r="3554" spans="6:26" ht="24" customHeight="1">
      <c r="F3554" s="1025"/>
      <c r="G3554" s="1026"/>
      <c r="H3554" s="1025"/>
      <c r="I3554" s="1027"/>
      <c r="J3554" s="876"/>
      <c r="K3554" s="914"/>
      <c r="L3554" s="876"/>
      <c r="M3554" s="1028"/>
      <c r="U3554" s="1208"/>
    </row>
    <row r="3555" spans="6:26" ht="24" customHeight="1">
      <c r="F3555" s="545"/>
      <c r="G3555" s="889"/>
      <c r="H3555" s="545"/>
      <c r="I3555" s="876"/>
      <c r="J3555" s="876"/>
      <c r="K3555" s="545"/>
      <c r="L3555" s="880"/>
      <c r="M3555" s="882"/>
      <c r="U3555" s="1208"/>
    </row>
    <row r="3556" spans="6:26" ht="24" customHeight="1">
      <c r="F3556" s="545"/>
      <c r="G3556" s="889"/>
      <c r="H3556" s="545"/>
      <c r="I3556" s="876"/>
      <c r="J3556" s="876"/>
      <c r="K3556" s="914"/>
      <c r="L3556" s="876"/>
      <c r="M3556" s="1028"/>
      <c r="U3556" s="1208"/>
    </row>
    <row r="3557" spans="6:26" ht="24" customHeight="1">
      <c r="F3557" s="545"/>
      <c r="G3557" s="889"/>
      <c r="H3557" s="545"/>
      <c r="I3557" s="876"/>
      <c r="J3557" s="876"/>
      <c r="K3557" s="545"/>
      <c r="L3557" s="876"/>
      <c r="M3557" s="882"/>
      <c r="U3557" s="1216"/>
    </row>
    <row r="3558" spans="6:26" ht="24" customHeight="1">
      <c r="F3558" s="545"/>
      <c r="G3558" s="889"/>
      <c r="H3558" s="545"/>
      <c r="I3558" s="876"/>
      <c r="J3558" s="876"/>
      <c r="K3558" s="545"/>
      <c r="L3558" s="876"/>
      <c r="M3558" s="882"/>
      <c r="U3558" s="1208"/>
    </row>
    <row r="3559" spans="6:26" ht="24" customHeight="1">
      <c r="F3559" s="545"/>
      <c r="G3559" s="889"/>
      <c r="H3559" s="545"/>
      <c r="I3559" s="876"/>
      <c r="J3559" s="876"/>
      <c r="K3559" s="545"/>
      <c r="L3559" s="876"/>
      <c r="M3559" s="882"/>
      <c r="U3559" s="1208"/>
    </row>
    <row r="3560" spans="6:26" ht="24" customHeight="1">
      <c r="F3560" s="545"/>
      <c r="G3560" s="889"/>
      <c r="H3560" s="545"/>
      <c r="I3560" s="876"/>
      <c r="J3560" s="876"/>
      <c r="K3560" s="545"/>
      <c r="L3560" s="876"/>
      <c r="M3560" s="882"/>
    </row>
    <row r="3561" spans="6:26" ht="24" customHeight="1">
      <c r="I3561" s="876"/>
      <c r="J3561" s="876"/>
      <c r="L3561" s="876"/>
      <c r="M3561" s="882"/>
    </row>
    <row r="3562" spans="6:26" ht="24" customHeight="1">
      <c r="M3562" s="882"/>
      <c r="U3562" s="1208"/>
    </row>
    <row r="3563" spans="6:26" ht="24" customHeight="1">
      <c r="J3563" s="876"/>
      <c r="M3563" s="882"/>
      <c r="U3563" s="501"/>
    </row>
    <row r="3564" spans="6:26" ht="24" customHeight="1">
      <c r="M3564" s="882"/>
      <c r="U3564" s="1208"/>
    </row>
    <row r="3565" spans="6:26" ht="24" customHeight="1">
      <c r="K3565" s="877"/>
      <c r="L3565" s="501"/>
      <c r="U3565" s="1208"/>
    </row>
    <row r="3566" spans="6:26" ht="35.1" customHeight="1">
      <c r="J3566" s="1218"/>
      <c r="K3566" s="877"/>
      <c r="L3566" s="501"/>
      <c r="U3566" s="1208"/>
      <c r="V3566" s="1212"/>
      <c r="W3566" s="1208"/>
      <c r="X3566" s="1208"/>
      <c r="Y3566" s="1210"/>
    </row>
    <row r="3567" spans="6:26" ht="35.1" customHeight="1">
      <c r="J3567" s="933"/>
      <c r="U3567" s="1208"/>
      <c r="V3567" s="902"/>
      <c r="W3567" s="1208"/>
      <c r="Y3567" s="874"/>
    </row>
    <row r="3568" spans="6:26" ht="35.1" customHeight="1">
      <c r="J3568" s="933"/>
      <c r="U3568" s="1208"/>
      <c r="V3568" s="1212"/>
      <c r="W3568" s="1208"/>
      <c r="X3568" s="1208"/>
      <c r="Y3568" s="1212"/>
      <c r="Z3568" s="1208"/>
    </row>
    <row r="3569" spans="7:27" ht="35.1" customHeight="1">
      <c r="U3569" s="1208"/>
      <c r="V3569" s="1212"/>
      <c r="W3569" s="1208"/>
      <c r="X3569" s="1208"/>
      <c r="Y3569" s="1212"/>
      <c r="Z3569" s="1208"/>
    </row>
    <row r="3570" spans="7:27" ht="35.1" customHeight="1">
      <c r="J3570" s="885"/>
      <c r="K3570" s="885"/>
      <c r="L3570" s="895"/>
      <c r="M3570" s="899"/>
      <c r="U3570" s="1208"/>
      <c r="V3570" s="1212"/>
      <c r="W3570" s="1208"/>
      <c r="X3570" s="1208"/>
      <c r="Y3570" s="1212"/>
      <c r="Z3570" s="1208"/>
    </row>
    <row r="3571" spans="7:27" ht="35.1" customHeight="1">
      <c r="U3571" s="1208"/>
      <c r="V3571" s="1212"/>
      <c r="W3571" s="1208"/>
      <c r="X3571" s="1208"/>
      <c r="Y3571" s="1212"/>
      <c r="Z3571" s="1208"/>
    </row>
    <row r="3572" spans="7:27" ht="35.1" customHeight="1">
      <c r="J3572" s="933"/>
      <c r="U3572" s="1208"/>
      <c r="V3572" s="1212"/>
      <c r="W3572" s="1208"/>
      <c r="X3572" s="1208"/>
      <c r="Y3572" s="1212"/>
      <c r="Z3572" s="1208"/>
    </row>
    <row r="3573" spans="7:27" ht="35.1" customHeight="1">
      <c r="U3573" s="1216"/>
      <c r="V3573" s="1212"/>
      <c r="W3573" s="1208"/>
      <c r="X3573" s="1208"/>
      <c r="Y3573" s="1212"/>
      <c r="Z3573" s="1208"/>
    </row>
    <row r="3574" spans="7:27" ht="35.1" customHeight="1">
      <c r="U3574" s="1208"/>
      <c r="V3574" s="1212"/>
      <c r="W3574" s="1208"/>
      <c r="X3574" s="1208"/>
      <c r="Y3574" s="1212"/>
      <c r="Z3574" s="1208"/>
    </row>
    <row r="3575" spans="7:27" s="885" customFormat="1" ht="35.1" customHeight="1">
      <c r="G3575" s="1057"/>
      <c r="I3575" s="895"/>
      <c r="L3575" s="895"/>
      <c r="M3575" s="899"/>
      <c r="U3575" s="1208"/>
      <c r="V3575" s="1212"/>
      <c r="W3575" s="1208"/>
      <c r="X3575" s="1208"/>
      <c r="Y3575" s="1212"/>
      <c r="Z3575" s="1208"/>
      <c r="AA3575" s="501"/>
    </row>
    <row r="3576" spans="7:27" ht="35.1" customHeight="1">
      <c r="J3576" s="885"/>
      <c r="V3576" s="1212"/>
      <c r="W3576" s="1208"/>
      <c r="X3576" s="1208"/>
      <c r="Y3576" s="1212"/>
      <c r="Z3576" s="1208"/>
    </row>
    <row r="3577" spans="7:27" ht="35.1" customHeight="1">
      <c r="V3577" s="1212"/>
      <c r="W3577" s="1208"/>
      <c r="X3577" s="1208"/>
      <c r="Y3577" s="1212"/>
      <c r="Z3577" s="1208"/>
    </row>
    <row r="3578" spans="7:27" ht="35.1" customHeight="1">
      <c r="V3578" s="1212"/>
      <c r="W3578" s="1208"/>
      <c r="X3578" s="1208"/>
      <c r="Y3578" s="1210"/>
      <c r="Z3578" s="1208"/>
    </row>
    <row r="3579" spans="7:27" ht="35.1" customHeight="1">
      <c r="J3579" s="885"/>
      <c r="M3579" s="899"/>
      <c r="V3579" s="1212"/>
      <c r="W3579" s="1208"/>
      <c r="X3579" s="1208"/>
      <c r="Y3579" s="1210"/>
      <c r="Z3579" s="1208"/>
    </row>
    <row r="3580" spans="7:27" ht="35.1" customHeight="1">
      <c r="J3580" s="885"/>
      <c r="M3580" s="899"/>
    </row>
    <row r="3581" spans="7:27" ht="35.1" customHeight="1"/>
    <row r="3582" spans="7:27" ht="35.1" customHeight="1">
      <c r="V3582" s="1212"/>
      <c r="W3582" s="1208"/>
      <c r="X3582" s="1208"/>
      <c r="Y3582" s="1210"/>
    </row>
    <row r="3583" spans="7:27" ht="35.1" customHeight="1">
      <c r="V3583" s="902"/>
      <c r="W3583" s="1208"/>
      <c r="Y3583" s="874"/>
    </row>
    <row r="3584" spans="7:27" ht="35.1" customHeight="1">
      <c r="J3584" s="885"/>
      <c r="K3584" s="885"/>
      <c r="L3584" s="895"/>
      <c r="M3584" s="899"/>
      <c r="V3584" s="1212"/>
      <c r="W3584" s="1208"/>
      <c r="X3584" s="1208"/>
      <c r="Y3584" s="1212"/>
      <c r="Z3584" s="1208"/>
    </row>
    <row r="3585" spans="7:27" s="885" customFormat="1" ht="35.1" customHeight="1">
      <c r="G3585" s="1057"/>
      <c r="I3585" s="895"/>
      <c r="J3585" s="501"/>
      <c r="K3585" s="501"/>
      <c r="L3585" s="874"/>
      <c r="M3585" s="554"/>
      <c r="U3585" s="1196"/>
      <c r="V3585" s="1212"/>
      <c r="W3585" s="1208"/>
      <c r="X3585" s="1208"/>
      <c r="Y3585" s="1212"/>
      <c r="Z3585" s="1208"/>
      <c r="AA3585" s="501"/>
    </row>
    <row r="3586" spans="7:27" s="885" customFormat="1" ht="35.1" customHeight="1">
      <c r="G3586" s="1057"/>
      <c r="I3586" s="895"/>
      <c r="J3586" s="501"/>
      <c r="K3586" s="501"/>
      <c r="L3586" s="874"/>
      <c r="M3586" s="554"/>
      <c r="U3586" s="1196"/>
      <c r="V3586" s="1212"/>
      <c r="W3586" s="1208"/>
      <c r="X3586" s="1208"/>
      <c r="Y3586" s="1212"/>
      <c r="Z3586" s="1208"/>
      <c r="AA3586" s="501"/>
    </row>
    <row r="3587" spans="7:27" s="885" customFormat="1" ht="35.1" customHeight="1">
      <c r="G3587" s="1057"/>
      <c r="I3587" s="895"/>
      <c r="J3587" s="501"/>
      <c r="K3587" s="501"/>
      <c r="L3587" s="874"/>
      <c r="M3587" s="554"/>
      <c r="U3587" s="1196"/>
      <c r="V3587" s="1212"/>
      <c r="W3587" s="1208"/>
      <c r="X3587" s="1208"/>
      <c r="Y3587" s="1212"/>
      <c r="Z3587" s="1208"/>
      <c r="AA3587" s="501"/>
    </row>
    <row r="3588" spans="7:27" s="885" customFormat="1" ht="35.1" customHeight="1">
      <c r="G3588" s="1057"/>
      <c r="I3588" s="895"/>
      <c r="J3588" s="501"/>
      <c r="K3588" s="501"/>
      <c r="L3588" s="874"/>
      <c r="M3588" s="554"/>
      <c r="U3588" s="1196"/>
      <c r="V3588" s="1212"/>
      <c r="W3588" s="1208"/>
      <c r="X3588" s="1208"/>
      <c r="Y3588" s="1212"/>
      <c r="Z3588" s="1208"/>
      <c r="AA3588" s="501"/>
    </row>
    <row r="3589" spans="7:27" s="885" customFormat="1" ht="35.1" customHeight="1">
      <c r="G3589" s="1057"/>
      <c r="I3589" s="895"/>
      <c r="J3589" s="501"/>
      <c r="K3589" s="501"/>
      <c r="L3589" s="874"/>
      <c r="M3589" s="554"/>
      <c r="U3589" s="1196"/>
      <c r="V3589" s="1212"/>
      <c r="W3589" s="1208"/>
      <c r="X3589" s="1208"/>
      <c r="Y3589" s="1212"/>
      <c r="Z3589" s="1208"/>
      <c r="AA3589" s="501"/>
    </row>
    <row r="3590" spans="7:27" ht="24" customHeight="1">
      <c r="V3590" s="1212"/>
      <c r="W3590" s="1208"/>
      <c r="X3590" s="1208"/>
      <c r="Y3590" s="1212"/>
      <c r="Z3590" s="1208"/>
    </row>
    <row r="3591" spans="7:27" ht="24" customHeight="1">
      <c r="V3591" s="1212"/>
      <c r="W3591" s="1208"/>
      <c r="X3591" s="1208"/>
      <c r="Y3591" s="1212"/>
      <c r="Z3591" s="1208"/>
    </row>
    <row r="3592" spans="7:27" ht="24" customHeight="1">
      <c r="V3592" s="1212"/>
      <c r="W3592" s="1208"/>
      <c r="X3592" s="1208"/>
      <c r="Y3592" s="1212"/>
      <c r="Z3592" s="1208"/>
    </row>
    <row r="3593" spans="7:27" ht="24" customHeight="1">
      <c r="V3593" s="1212"/>
      <c r="W3593" s="1208"/>
      <c r="X3593" s="1208"/>
      <c r="Y3593" s="1212"/>
      <c r="Z3593" s="1208"/>
    </row>
    <row r="3594" spans="7:27" ht="24" customHeight="1">
      <c r="V3594" s="1212"/>
      <c r="W3594" s="1208"/>
      <c r="X3594" s="1208"/>
      <c r="Y3594" s="1210"/>
      <c r="Z3594" s="1208"/>
    </row>
    <row r="3595" spans="7:27" ht="24" customHeight="1">
      <c r="V3595" s="1212"/>
      <c r="W3595" s="1208"/>
      <c r="X3595" s="1208"/>
      <c r="Y3595" s="1210"/>
      <c r="Z3595" s="1208"/>
    </row>
    <row r="3598" spans="7:27" ht="24" customHeight="1">
      <c r="V3598" s="1212"/>
      <c r="W3598" s="1208"/>
      <c r="X3598" s="1208"/>
      <c r="Y3598" s="1210"/>
    </row>
    <row r="3599" spans="7:27" ht="24" customHeight="1">
      <c r="V3599" s="902"/>
      <c r="W3599" s="1208"/>
      <c r="Y3599" s="874"/>
    </row>
    <row r="3600" spans="7:27" ht="24" customHeight="1">
      <c r="V3600" s="1212"/>
      <c r="W3600" s="1208"/>
      <c r="X3600" s="1208"/>
      <c r="Y3600" s="1212"/>
      <c r="Z3600" s="1208"/>
    </row>
    <row r="3601" spans="22:27" ht="24" customHeight="1">
      <c r="V3601" s="1212"/>
      <c r="W3601" s="1208"/>
      <c r="X3601" s="1208"/>
      <c r="Y3601" s="1212"/>
      <c r="Z3601" s="1208"/>
    </row>
    <row r="3602" spans="22:27" ht="24" customHeight="1">
      <c r="V3602" s="1212"/>
      <c r="W3602" s="1208"/>
      <c r="X3602" s="1208"/>
      <c r="Y3602" s="1212"/>
      <c r="Z3602" s="1208"/>
    </row>
    <row r="3603" spans="22:27" ht="24" customHeight="1">
      <c r="V3603" s="1212"/>
      <c r="W3603" s="1208"/>
      <c r="X3603" s="1208"/>
      <c r="Y3603" s="1212"/>
      <c r="Z3603" s="1208"/>
    </row>
    <row r="3604" spans="22:27" ht="24" customHeight="1">
      <c r="V3604" s="1212"/>
      <c r="W3604" s="1208"/>
      <c r="X3604" s="1208"/>
      <c r="Y3604" s="1212"/>
      <c r="Z3604" s="1208"/>
    </row>
    <row r="3605" spans="22:27" ht="24" customHeight="1">
      <c r="V3605" s="1212"/>
      <c r="W3605" s="1208"/>
      <c r="X3605" s="1208"/>
      <c r="Y3605" s="1212"/>
      <c r="Z3605" s="1208"/>
    </row>
    <row r="3606" spans="22:27" ht="24" customHeight="1">
      <c r="V3606" s="1212"/>
      <c r="W3606" s="1208"/>
      <c r="X3606" s="1208"/>
      <c r="Y3606" s="1212"/>
      <c r="Z3606" s="1208"/>
    </row>
    <row r="3607" spans="22:27" ht="24" customHeight="1">
      <c r="V3607" s="1212"/>
      <c r="W3607" s="1208"/>
      <c r="X3607" s="1208"/>
      <c r="Y3607" s="1212"/>
      <c r="Z3607" s="1208"/>
    </row>
    <row r="3608" spans="22:27" ht="24" customHeight="1">
      <c r="V3608" s="1212"/>
      <c r="W3608" s="1208"/>
      <c r="X3608" s="1208"/>
      <c r="Y3608" s="1212"/>
      <c r="Z3608" s="1208"/>
    </row>
    <row r="3609" spans="22:27" ht="24" customHeight="1">
      <c r="V3609" s="1212"/>
      <c r="W3609" s="1208"/>
      <c r="X3609" s="1208"/>
      <c r="Y3609" s="1212"/>
      <c r="Z3609" s="1208"/>
    </row>
    <row r="3610" spans="22:27" ht="24" customHeight="1">
      <c r="V3610" s="1212"/>
      <c r="W3610" s="1208"/>
      <c r="X3610" s="1208"/>
      <c r="Y3610" s="1210"/>
      <c r="Z3610" s="1208"/>
    </row>
    <row r="3611" spans="22:27" ht="24" customHeight="1">
      <c r="V3611" s="1212"/>
      <c r="W3611" s="1208"/>
      <c r="X3611" s="1208"/>
      <c r="Y3611" s="1210"/>
      <c r="Z3611" s="1208"/>
      <c r="AA3611" s="885"/>
    </row>
    <row r="3621" spans="22:27" ht="24" customHeight="1">
      <c r="V3621" s="885"/>
      <c r="W3621" s="885"/>
      <c r="X3621" s="885"/>
      <c r="Y3621" s="885"/>
      <c r="Z3621" s="885"/>
      <c r="AA3621" s="885"/>
    </row>
    <row r="3622" spans="22:27" ht="24" customHeight="1">
      <c r="V3622" s="885"/>
      <c r="W3622" s="885"/>
      <c r="X3622" s="885"/>
      <c r="Y3622" s="885"/>
      <c r="Z3622" s="885"/>
      <c r="AA3622" s="885"/>
    </row>
    <row r="3623" spans="22:27" ht="24" customHeight="1">
      <c r="V3623" s="885"/>
      <c r="W3623" s="885"/>
      <c r="X3623" s="885"/>
      <c r="Y3623" s="885"/>
      <c r="Z3623" s="885"/>
      <c r="AA3623" s="885"/>
    </row>
    <row r="3624" spans="22:27" ht="24" customHeight="1">
      <c r="V3624" s="885"/>
      <c r="W3624" s="885"/>
      <c r="X3624" s="885"/>
      <c r="Y3624" s="885"/>
      <c r="Z3624" s="885"/>
      <c r="AA3624" s="885"/>
    </row>
    <row r="3625" spans="22:27" ht="24" customHeight="1">
      <c r="V3625" s="885"/>
      <c r="W3625" s="885"/>
      <c r="X3625" s="885"/>
      <c r="Y3625" s="885"/>
      <c r="Z3625" s="885"/>
      <c r="AA3625" s="885"/>
    </row>
  </sheetData>
  <mergeCells count="10">
    <mergeCell ref="Q2421:T2421"/>
    <mergeCell ref="Q2423:Q2424"/>
    <mergeCell ref="K3040:L3040"/>
    <mergeCell ref="K3486:L3486"/>
    <mergeCell ref="W38:Z38"/>
    <mergeCell ref="R1467:T1467"/>
    <mergeCell ref="Q2337:S2337"/>
    <mergeCell ref="Q2347:S2347"/>
    <mergeCell ref="J2414:M2414"/>
    <mergeCell ref="J2416:J2417"/>
  </mergeCells>
  <printOptions horizontalCentered="1"/>
  <pageMargins left="0.4" right="0.4" top="0.5" bottom="0.4" header="0.196850393700787" footer="0.2"/>
  <pageSetup paperSize="9" scale="80" orientation="portrait" r:id="rId1"/>
  <headerFooter alignWithMargins="0">
    <oddHeader>&amp;R&amp;P</oddHeader>
  </headerFooter>
  <drawing r:id="rId2"/>
</worksheet>
</file>

<file path=xl/worksheets/sheet4.xml><?xml version="1.0" encoding="utf-8"?>
<worksheet xmlns="http://schemas.openxmlformats.org/spreadsheetml/2006/main" xmlns:r="http://schemas.openxmlformats.org/officeDocument/2006/relationships">
  <sheetPr codeName="Sheet43"/>
  <dimension ref="A1:M43"/>
  <sheetViews>
    <sheetView view="pageBreakPreview" zoomScale="90" zoomScaleSheetLayoutView="90" workbookViewId="0">
      <selection activeCell="C9" sqref="C9"/>
    </sheetView>
  </sheetViews>
  <sheetFormatPr defaultRowHeight="15.75"/>
  <cols>
    <col min="1" max="1" width="10.28515625" style="2" customWidth="1"/>
    <col min="2" max="2" width="17.5703125" style="2" customWidth="1"/>
    <col min="3" max="3" width="31.28515625" style="2" customWidth="1"/>
    <col min="4" max="4" width="11.5703125" style="2" hidden="1" customWidth="1"/>
    <col min="5" max="5" width="7.85546875" style="2" hidden="1" customWidth="1"/>
    <col min="6" max="6" width="10.7109375" style="2" hidden="1" customWidth="1"/>
    <col min="7" max="7" width="10.140625" style="2" customWidth="1"/>
    <col min="8" max="8" width="11.140625" style="2" customWidth="1"/>
    <col min="9" max="9" width="18.28515625" style="2" customWidth="1"/>
    <col min="10" max="10" width="34" style="2" customWidth="1"/>
    <col min="11" max="11" width="4.28515625" style="2" hidden="1" customWidth="1"/>
    <col min="12" max="12" width="7.5703125" style="2" hidden="1" customWidth="1"/>
    <col min="13" max="13" width="8.85546875" style="2" customWidth="1"/>
    <col min="14" max="256" width="9.140625" style="2"/>
    <col min="257" max="257" width="10.28515625" style="2" customWidth="1"/>
    <col min="258" max="258" width="17.5703125" style="2" customWidth="1"/>
    <col min="259" max="259" width="31.28515625" style="2" customWidth="1"/>
    <col min="260" max="262" width="0" style="2" hidden="1" customWidth="1"/>
    <col min="263" max="263" width="10.140625" style="2" customWidth="1"/>
    <col min="264" max="264" width="11.140625" style="2" customWidth="1"/>
    <col min="265" max="265" width="18.28515625" style="2" customWidth="1"/>
    <col min="266" max="266" width="34" style="2" customWidth="1"/>
    <col min="267" max="268" width="0" style="2" hidden="1" customWidth="1"/>
    <col min="269" max="269" width="8.85546875" style="2" customWidth="1"/>
    <col min="270" max="512" width="9.140625" style="2"/>
    <col min="513" max="513" width="10.28515625" style="2" customWidth="1"/>
    <col min="514" max="514" width="17.5703125" style="2" customWidth="1"/>
    <col min="515" max="515" width="31.28515625" style="2" customWidth="1"/>
    <col min="516" max="518" width="0" style="2" hidden="1" customWidth="1"/>
    <col min="519" max="519" width="10.140625" style="2" customWidth="1"/>
    <col min="520" max="520" width="11.140625" style="2" customWidth="1"/>
    <col min="521" max="521" width="18.28515625" style="2" customWidth="1"/>
    <col min="522" max="522" width="34" style="2" customWidth="1"/>
    <col min="523" max="524" width="0" style="2" hidden="1" customWidth="1"/>
    <col min="525" max="525" width="8.85546875" style="2" customWidth="1"/>
    <col min="526" max="768" width="9.140625" style="2"/>
    <col min="769" max="769" width="10.28515625" style="2" customWidth="1"/>
    <col min="770" max="770" width="17.5703125" style="2" customWidth="1"/>
    <col min="771" max="771" width="31.28515625" style="2" customWidth="1"/>
    <col min="772" max="774" width="0" style="2" hidden="1" customWidth="1"/>
    <col min="775" max="775" width="10.140625" style="2" customWidth="1"/>
    <col min="776" max="776" width="11.140625" style="2" customWidth="1"/>
    <col min="777" max="777" width="18.28515625" style="2" customWidth="1"/>
    <col min="778" max="778" width="34" style="2" customWidth="1"/>
    <col min="779" max="780" width="0" style="2" hidden="1" customWidth="1"/>
    <col min="781" max="781" width="8.85546875" style="2" customWidth="1"/>
    <col min="782" max="1024" width="9.140625" style="2"/>
    <col min="1025" max="1025" width="10.28515625" style="2" customWidth="1"/>
    <col min="1026" max="1026" width="17.5703125" style="2" customWidth="1"/>
    <col min="1027" max="1027" width="31.28515625" style="2" customWidth="1"/>
    <col min="1028" max="1030" width="0" style="2" hidden="1" customWidth="1"/>
    <col min="1031" max="1031" width="10.140625" style="2" customWidth="1"/>
    <col min="1032" max="1032" width="11.140625" style="2" customWidth="1"/>
    <col min="1033" max="1033" width="18.28515625" style="2" customWidth="1"/>
    <col min="1034" max="1034" width="34" style="2" customWidth="1"/>
    <col min="1035" max="1036" width="0" style="2" hidden="1" customWidth="1"/>
    <col min="1037" max="1037" width="8.85546875" style="2" customWidth="1"/>
    <col min="1038" max="1280" width="9.140625" style="2"/>
    <col min="1281" max="1281" width="10.28515625" style="2" customWidth="1"/>
    <col min="1282" max="1282" width="17.5703125" style="2" customWidth="1"/>
    <col min="1283" max="1283" width="31.28515625" style="2" customWidth="1"/>
    <col min="1284" max="1286" width="0" style="2" hidden="1" customWidth="1"/>
    <col min="1287" max="1287" width="10.140625" style="2" customWidth="1"/>
    <col min="1288" max="1288" width="11.140625" style="2" customWidth="1"/>
    <col min="1289" max="1289" width="18.28515625" style="2" customWidth="1"/>
    <col min="1290" max="1290" width="34" style="2" customWidth="1"/>
    <col min="1291" max="1292" width="0" style="2" hidden="1" customWidth="1"/>
    <col min="1293" max="1293" width="8.85546875" style="2" customWidth="1"/>
    <col min="1294" max="1536" width="9.140625" style="2"/>
    <col min="1537" max="1537" width="10.28515625" style="2" customWidth="1"/>
    <col min="1538" max="1538" width="17.5703125" style="2" customWidth="1"/>
    <col min="1539" max="1539" width="31.28515625" style="2" customWidth="1"/>
    <col min="1540" max="1542" width="0" style="2" hidden="1" customWidth="1"/>
    <col min="1543" max="1543" width="10.140625" style="2" customWidth="1"/>
    <col min="1544" max="1544" width="11.140625" style="2" customWidth="1"/>
    <col min="1545" max="1545" width="18.28515625" style="2" customWidth="1"/>
    <col min="1546" max="1546" width="34" style="2" customWidth="1"/>
    <col min="1547" max="1548" width="0" style="2" hidden="1" customWidth="1"/>
    <col min="1549" max="1549" width="8.85546875" style="2" customWidth="1"/>
    <col min="1550" max="1792" width="9.140625" style="2"/>
    <col min="1793" max="1793" width="10.28515625" style="2" customWidth="1"/>
    <col min="1794" max="1794" width="17.5703125" style="2" customWidth="1"/>
    <col min="1795" max="1795" width="31.28515625" style="2" customWidth="1"/>
    <col min="1796" max="1798" width="0" style="2" hidden="1" customWidth="1"/>
    <col min="1799" max="1799" width="10.140625" style="2" customWidth="1"/>
    <col min="1800" max="1800" width="11.140625" style="2" customWidth="1"/>
    <col min="1801" max="1801" width="18.28515625" style="2" customWidth="1"/>
    <col min="1802" max="1802" width="34" style="2" customWidth="1"/>
    <col min="1803" max="1804" width="0" style="2" hidden="1" customWidth="1"/>
    <col min="1805" max="1805" width="8.85546875" style="2" customWidth="1"/>
    <col min="1806" max="2048" width="9.140625" style="2"/>
    <col min="2049" max="2049" width="10.28515625" style="2" customWidth="1"/>
    <col min="2050" max="2050" width="17.5703125" style="2" customWidth="1"/>
    <col min="2051" max="2051" width="31.28515625" style="2" customWidth="1"/>
    <col min="2052" max="2054" width="0" style="2" hidden="1" customWidth="1"/>
    <col min="2055" max="2055" width="10.140625" style="2" customWidth="1"/>
    <col min="2056" max="2056" width="11.140625" style="2" customWidth="1"/>
    <col min="2057" max="2057" width="18.28515625" style="2" customWidth="1"/>
    <col min="2058" max="2058" width="34" style="2" customWidth="1"/>
    <col min="2059" max="2060" width="0" style="2" hidden="1" customWidth="1"/>
    <col min="2061" max="2061" width="8.85546875" style="2" customWidth="1"/>
    <col min="2062" max="2304" width="9.140625" style="2"/>
    <col min="2305" max="2305" width="10.28515625" style="2" customWidth="1"/>
    <col min="2306" max="2306" width="17.5703125" style="2" customWidth="1"/>
    <col min="2307" max="2307" width="31.28515625" style="2" customWidth="1"/>
    <col min="2308" max="2310" width="0" style="2" hidden="1" customWidth="1"/>
    <col min="2311" max="2311" width="10.140625" style="2" customWidth="1"/>
    <col min="2312" max="2312" width="11.140625" style="2" customWidth="1"/>
    <col min="2313" max="2313" width="18.28515625" style="2" customWidth="1"/>
    <col min="2314" max="2314" width="34" style="2" customWidth="1"/>
    <col min="2315" max="2316" width="0" style="2" hidden="1" customWidth="1"/>
    <col min="2317" max="2317" width="8.85546875" style="2" customWidth="1"/>
    <col min="2318" max="2560" width="9.140625" style="2"/>
    <col min="2561" max="2561" width="10.28515625" style="2" customWidth="1"/>
    <col min="2562" max="2562" width="17.5703125" style="2" customWidth="1"/>
    <col min="2563" max="2563" width="31.28515625" style="2" customWidth="1"/>
    <col min="2564" max="2566" width="0" style="2" hidden="1" customWidth="1"/>
    <col min="2567" max="2567" width="10.140625" style="2" customWidth="1"/>
    <col min="2568" max="2568" width="11.140625" style="2" customWidth="1"/>
    <col min="2569" max="2569" width="18.28515625" style="2" customWidth="1"/>
    <col min="2570" max="2570" width="34" style="2" customWidth="1"/>
    <col min="2571" max="2572" width="0" style="2" hidden="1" customWidth="1"/>
    <col min="2573" max="2573" width="8.85546875" style="2" customWidth="1"/>
    <col min="2574" max="2816" width="9.140625" style="2"/>
    <col min="2817" max="2817" width="10.28515625" style="2" customWidth="1"/>
    <col min="2818" max="2818" width="17.5703125" style="2" customWidth="1"/>
    <col min="2819" max="2819" width="31.28515625" style="2" customWidth="1"/>
    <col min="2820" max="2822" width="0" style="2" hidden="1" customWidth="1"/>
    <col min="2823" max="2823" width="10.140625" style="2" customWidth="1"/>
    <col min="2824" max="2824" width="11.140625" style="2" customWidth="1"/>
    <col min="2825" max="2825" width="18.28515625" style="2" customWidth="1"/>
    <col min="2826" max="2826" width="34" style="2" customWidth="1"/>
    <col min="2827" max="2828" width="0" style="2" hidden="1" customWidth="1"/>
    <col min="2829" max="2829" width="8.85546875" style="2" customWidth="1"/>
    <col min="2830" max="3072" width="9.140625" style="2"/>
    <col min="3073" max="3073" width="10.28515625" style="2" customWidth="1"/>
    <col min="3074" max="3074" width="17.5703125" style="2" customWidth="1"/>
    <col min="3075" max="3075" width="31.28515625" style="2" customWidth="1"/>
    <col min="3076" max="3078" width="0" style="2" hidden="1" customWidth="1"/>
    <col min="3079" max="3079" width="10.140625" style="2" customWidth="1"/>
    <col min="3080" max="3080" width="11.140625" style="2" customWidth="1"/>
    <col min="3081" max="3081" width="18.28515625" style="2" customWidth="1"/>
    <col min="3082" max="3082" width="34" style="2" customWidth="1"/>
    <col min="3083" max="3084" width="0" style="2" hidden="1" customWidth="1"/>
    <col min="3085" max="3085" width="8.85546875" style="2" customWidth="1"/>
    <col min="3086" max="3328" width="9.140625" style="2"/>
    <col min="3329" max="3329" width="10.28515625" style="2" customWidth="1"/>
    <col min="3330" max="3330" width="17.5703125" style="2" customWidth="1"/>
    <col min="3331" max="3331" width="31.28515625" style="2" customWidth="1"/>
    <col min="3332" max="3334" width="0" style="2" hidden="1" customWidth="1"/>
    <col min="3335" max="3335" width="10.140625" style="2" customWidth="1"/>
    <col min="3336" max="3336" width="11.140625" style="2" customWidth="1"/>
    <col min="3337" max="3337" width="18.28515625" style="2" customWidth="1"/>
    <col min="3338" max="3338" width="34" style="2" customWidth="1"/>
    <col min="3339" max="3340" width="0" style="2" hidden="1" customWidth="1"/>
    <col min="3341" max="3341" width="8.85546875" style="2" customWidth="1"/>
    <col min="3342" max="3584" width="9.140625" style="2"/>
    <col min="3585" max="3585" width="10.28515625" style="2" customWidth="1"/>
    <col min="3586" max="3586" width="17.5703125" style="2" customWidth="1"/>
    <col min="3587" max="3587" width="31.28515625" style="2" customWidth="1"/>
    <col min="3588" max="3590" width="0" style="2" hidden="1" customWidth="1"/>
    <col min="3591" max="3591" width="10.140625" style="2" customWidth="1"/>
    <col min="3592" max="3592" width="11.140625" style="2" customWidth="1"/>
    <col min="3593" max="3593" width="18.28515625" style="2" customWidth="1"/>
    <col min="3594" max="3594" width="34" style="2" customWidth="1"/>
    <col min="3595" max="3596" width="0" style="2" hidden="1" customWidth="1"/>
    <col min="3597" max="3597" width="8.85546875" style="2" customWidth="1"/>
    <col min="3598" max="3840" width="9.140625" style="2"/>
    <col min="3841" max="3841" width="10.28515625" style="2" customWidth="1"/>
    <col min="3842" max="3842" width="17.5703125" style="2" customWidth="1"/>
    <col min="3843" max="3843" width="31.28515625" style="2" customWidth="1"/>
    <col min="3844" max="3846" width="0" style="2" hidden="1" customWidth="1"/>
    <col min="3847" max="3847" width="10.140625" style="2" customWidth="1"/>
    <col min="3848" max="3848" width="11.140625" style="2" customWidth="1"/>
    <col min="3849" max="3849" width="18.28515625" style="2" customWidth="1"/>
    <col min="3850" max="3850" width="34" style="2" customWidth="1"/>
    <col min="3851" max="3852" width="0" style="2" hidden="1" customWidth="1"/>
    <col min="3853" max="3853" width="8.85546875" style="2" customWidth="1"/>
    <col min="3854" max="4096" width="9.140625" style="2"/>
    <col min="4097" max="4097" width="10.28515625" style="2" customWidth="1"/>
    <col min="4098" max="4098" width="17.5703125" style="2" customWidth="1"/>
    <col min="4099" max="4099" width="31.28515625" style="2" customWidth="1"/>
    <col min="4100" max="4102" width="0" style="2" hidden="1" customWidth="1"/>
    <col min="4103" max="4103" width="10.140625" style="2" customWidth="1"/>
    <col min="4104" max="4104" width="11.140625" style="2" customWidth="1"/>
    <col min="4105" max="4105" width="18.28515625" style="2" customWidth="1"/>
    <col min="4106" max="4106" width="34" style="2" customWidth="1"/>
    <col min="4107" max="4108" width="0" style="2" hidden="1" customWidth="1"/>
    <col min="4109" max="4109" width="8.85546875" style="2" customWidth="1"/>
    <col min="4110" max="4352" width="9.140625" style="2"/>
    <col min="4353" max="4353" width="10.28515625" style="2" customWidth="1"/>
    <col min="4354" max="4354" width="17.5703125" style="2" customWidth="1"/>
    <col min="4355" max="4355" width="31.28515625" style="2" customWidth="1"/>
    <col min="4356" max="4358" width="0" style="2" hidden="1" customWidth="1"/>
    <col min="4359" max="4359" width="10.140625" style="2" customWidth="1"/>
    <col min="4360" max="4360" width="11.140625" style="2" customWidth="1"/>
    <col min="4361" max="4361" width="18.28515625" style="2" customWidth="1"/>
    <col min="4362" max="4362" width="34" style="2" customWidth="1"/>
    <col min="4363" max="4364" width="0" style="2" hidden="1" customWidth="1"/>
    <col min="4365" max="4365" width="8.85546875" style="2" customWidth="1"/>
    <col min="4366" max="4608" width="9.140625" style="2"/>
    <col min="4609" max="4609" width="10.28515625" style="2" customWidth="1"/>
    <col min="4610" max="4610" width="17.5703125" style="2" customWidth="1"/>
    <col min="4611" max="4611" width="31.28515625" style="2" customWidth="1"/>
    <col min="4612" max="4614" width="0" style="2" hidden="1" customWidth="1"/>
    <col min="4615" max="4615" width="10.140625" style="2" customWidth="1"/>
    <col min="4616" max="4616" width="11.140625" style="2" customWidth="1"/>
    <col min="4617" max="4617" width="18.28515625" style="2" customWidth="1"/>
    <col min="4618" max="4618" width="34" style="2" customWidth="1"/>
    <col min="4619" max="4620" width="0" style="2" hidden="1" customWidth="1"/>
    <col min="4621" max="4621" width="8.85546875" style="2" customWidth="1"/>
    <col min="4622" max="4864" width="9.140625" style="2"/>
    <col min="4865" max="4865" width="10.28515625" style="2" customWidth="1"/>
    <col min="4866" max="4866" width="17.5703125" style="2" customWidth="1"/>
    <col min="4867" max="4867" width="31.28515625" style="2" customWidth="1"/>
    <col min="4868" max="4870" width="0" style="2" hidden="1" customWidth="1"/>
    <col min="4871" max="4871" width="10.140625" style="2" customWidth="1"/>
    <col min="4872" max="4872" width="11.140625" style="2" customWidth="1"/>
    <col min="4873" max="4873" width="18.28515625" style="2" customWidth="1"/>
    <col min="4874" max="4874" width="34" style="2" customWidth="1"/>
    <col min="4875" max="4876" width="0" style="2" hidden="1" customWidth="1"/>
    <col min="4877" max="4877" width="8.85546875" style="2" customWidth="1"/>
    <col min="4878" max="5120" width="9.140625" style="2"/>
    <col min="5121" max="5121" width="10.28515625" style="2" customWidth="1"/>
    <col min="5122" max="5122" width="17.5703125" style="2" customWidth="1"/>
    <col min="5123" max="5123" width="31.28515625" style="2" customWidth="1"/>
    <col min="5124" max="5126" width="0" style="2" hidden="1" customWidth="1"/>
    <col min="5127" max="5127" width="10.140625" style="2" customWidth="1"/>
    <col min="5128" max="5128" width="11.140625" style="2" customWidth="1"/>
    <col min="5129" max="5129" width="18.28515625" style="2" customWidth="1"/>
    <col min="5130" max="5130" width="34" style="2" customWidth="1"/>
    <col min="5131" max="5132" width="0" style="2" hidden="1" customWidth="1"/>
    <col min="5133" max="5133" width="8.85546875" style="2" customWidth="1"/>
    <col min="5134" max="5376" width="9.140625" style="2"/>
    <col min="5377" max="5377" width="10.28515625" style="2" customWidth="1"/>
    <col min="5378" max="5378" width="17.5703125" style="2" customWidth="1"/>
    <col min="5379" max="5379" width="31.28515625" style="2" customWidth="1"/>
    <col min="5380" max="5382" width="0" style="2" hidden="1" customWidth="1"/>
    <col min="5383" max="5383" width="10.140625" style="2" customWidth="1"/>
    <col min="5384" max="5384" width="11.140625" style="2" customWidth="1"/>
    <col min="5385" max="5385" width="18.28515625" style="2" customWidth="1"/>
    <col min="5386" max="5386" width="34" style="2" customWidth="1"/>
    <col min="5387" max="5388" width="0" style="2" hidden="1" customWidth="1"/>
    <col min="5389" max="5389" width="8.85546875" style="2" customWidth="1"/>
    <col min="5390" max="5632" width="9.140625" style="2"/>
    <col min="5633" max="5633" width="10.28515625" style="2" customWidth="1"/>
    <col min="5634" max="5634" width="17.5703125" style="2" customWidth="1"/>
    <col min="5635" max="5635" width="31.28515625" style="2" customWidth="1"/>
    <col min="5636" max="5638" width="0" style="2" hidden="1" customWidth="1"/>
    <col min="5639" max="5639" width="10.140625" style="2" customWidth="1"/>
    <col min="5640" max="5640" width="11.140625" style="2" customWidth="1"/>
    <col min="5641" max="5641" width="18.28515625" style="2" customWidth="1"/>
    <col min="5642" max="5642" width="34" style="2" customWidth="1"/>
    <col min="5643" max="5644" width="0" style="2" hidden="1" customWidth="1"/>
    <col min="5645" max="5645" width="8.85546875" style="2" customWidth="1"/>
    <col min="5646" max="5888" width="9.140625" style="2"/>
    <col min="5889" max="5889" width="10.28515625" style="2" customWidth="1"/>
    <col min="5890" max="5890" width="17.5703125" style="2" customWidth="1"/>
    <col min="5891" max="5891" width="31.28515625" style="2" customWidth="1"/>
    <col min="5892" max="5894" width="0" style="2" hidden="1" customWidth="1"/>
    <col min="5895" max="5895" width="10.140625" style="2" customWidth="1"/>
    <col min="5896" max="5896" width="11.140625" style="2" customWidth="1"/>
    <col min="5897" max="5897" width="18.28515625" style="2" customWidth="1"/>
    <col min="5898" max="5898" width="34" style="2" customWidth="1"/>
    <col min="5899" max="5900" width="0" style="2" hidden="1" customWidth="1"/>
    <col min="5901" max="5901" width="8.85546875" style="2" customWidth="1"/>
    <col min="5902" max="6144" width="9.140625" style="2"/>
    <col min="6145" max="6145" width="10.28515625" style="2" customWidth="1"/>
    <col min="6146" max="6146" width="17.5703125" style="2" customWidth="1"/>
    <col min="6147" max="6147" width="31.28515625" style="2" customWidth="1"/>
    <col min="6148" max="6150" width="0" style="2" hidden="1" customWidth="1"/>
    <col min="6151" max="6151" width="10.140625" style="2" customWidth="1"/>
    <col min="6152" max="6152" width="11.140625" style="2" customWidth="1"/>
    <col min="6153" max="6153" width="18.28515625" style="2" customWidth="1"/>
    <col min="6154" max="6154" width="34" style="2" customWidth="1"/>
    <col min="6155" max="6156" width="0" style="2" hidden="1" customWidth="1"/>
    <col min="6157" max="6157" width="8.85546875" style="2" customWidth="1"/>
    <col min="6158" max="6400" width="9.140625" style="2"/>
    <col min="6401" max="6401" width="10.28515625" style="2" customWidth="1"/>
    <col min="6402" max="6402" width="17.5703125" style="2" customWidth="1"/>
    <col min="6403" max="6403" width="31.28515625" style="2" customWidth="1"/>
    <col min="6404" max="6406" width="0" style="2" hidden="1" customWidth="1"/>
    <col min="6407" max="6407" width="10.140625" style="2" customWidth="1"/>
    <col min="6408" max="6408" width="11.140625" style="2" customWidth="1"/>
    <col min="6409" max="6409" width="18.28515625" style="2" customWidth="1"/>
    <col min="6410" max="6410" width="34" style="2" customWidth="1"/>
    <col min="6411" max="6412" width="0" style="2" hidden="1" customWidth="1"/>
    <col min="6413" max="6413" width="8.85546875" style="2" customWidth="1"/>
    <col min="6414" max="6656" width="9.140625" style="2"/>
    <col min="6657" max="6657" width="10.28515625" style="2" customWidth="1"/>
    <col min="6658" max="6658" width="17.5703125" style="2" customWidth="1"/>
    <col min="6659" max="6659" width="31.28515625" style="2" customWidth="1"/>
    <col min="6660" max="6662" width="0" style="2" hidden="1" customWidth="1"/>
    <col min="6663" max="6663" width="10.140625" style="2" customWidth="1"/>
    <col min="6664" max="6664" width="11.140625" style="2" customWidth="1"/>
    <col min="6665" max="6665" width="18.28515625" style="2" customWidth="1"/>
    <col min="6666" max="6666" width="34" style="2" customWidth="1"/>
    <col min="6667" max="6668" width="0" style="2" hidden="1" customWidth="1"/>
    <col min="6669" max="6669" width="8.85546875" style="2" customWidth="1"/>
    <col min="6670" max="6912" width="9.140625" style="2"/>
    <col min="6913" max="6913" width="10.28515625" style="2" customWidth="1"/>
    <col min="6914" max="6914" width="17.5703125" style="2" customWidth="1"/>
    <col min="6915" max="6915" width="31.28515625" style="2" customWidth="1"/>
    <col min="6916" max="6918" width="0" style="2" hidden="1" customWidth="1"/>
    <col min="6919" max="6919" width="10.140625" style="2" customWidth="1"/>
    <col min="6920" max="6920" width="11.140625" style="2" customWidth="1"/>
    <col min="6921" max="6921" width="18.28515625" style="2" customWidth="1"/>
    <col min="6922" max="6922" width="34" style="2" customWidth="1"/>
    <col min="6923" max="6924" width="0" style="2" hidden="1" customWidth="1"/>
    <col min="6925" max="6925" width="8.85546875" style="2" customWidth="1"/>
    <col min="6926" max="7168" width="9.140625" style="2"/>
    <col min="7169" max="7169" width="10.28515625" style="2" customWidth="1"/>
    <col min="7170" max="7170" width="17.5703125" style="2" customWidth="1"/>
    <col min="7171" max="7171" width="31.28515625" style="2" customWidth="1"/>
    <col min="7172" max="7174" width="0" style="2" hidden="1" customWidth="1"/>
    <col min="7175" max="7175" width="10.140625" style="2" customWidth="1"/>
    <col min="7176" max="7176" width="11.140625" style="2" customWidth="1"/>
    <col min="7177" max="7177" width="18.28515625" style="2" customWidth="1"/>
    <col min="7178" max="7178" width="34" style="2" customWidth="1"/>
    <col min="7179" max="7180" width="0" style="2" hidden="1" customWidth="1"/>
    <col min="7181" max="7181" width="8.85546875" style="2" customWidth="1"/>
    <col min="7182" max="7424" width="9.140625" style="2"/>
    <col min="7425" max="7425" width="10.28515625" style="2" customWidth="1"/>
    <col min="7426" max="7426" width="17.5703125" style="2" customWidth="1"/>
    <col min="7427" max="7427" width="31.28515625" style="2" customWidth="1"/>
    <col min="7428" max="7430" width="0" style="2" hidden="1" customWidth="1"/>
    <col min="7431" max="7431" width="10.140625" style="2" customWidth="1"/>
    <col min="7432" max="7432" width="11.140625" style="2" customWidth="1"/>
    <col min="7433" max="7433" width="18.28515625" style="2" customWidth="1"/>
    <col min="7434" max="7434" width="34" style="2" customWidth="1"/>
    <col min="7435" max="7436" width="0" style="2" hidden="1" customWidth="1"/>
    <col min="7437" max="7437" width="8.85546875" style="2" customWidth="1"/>
    <col min="7438" max="7680" width="9.140625" style="2"/>
    <col min="7681" max="7681" width="10.28515625" style="2" customWidth="1"/>
    <col min="7682" max="7682" width="17.5703125" style="2" customWidth="1"/>
    <col min="7683" max="7683" width="31.28515625" style="2" customWidth="1"/>
    <col min="7684" max="7686" width="0" style="2" hidden="1" customWidth="1"/>
    <col min="7687" max="7687" width="10.140625" style="2" customWidth="1"/>
    <col min="7688" max="7688" width="11.140625" style="2" customWidth="1"/>
    <col min="7689" max="7689" width="18.28515625" style="2" customWidth="1"/>
    <col min="7690" max="7690" width="34" style="2" customWidth="1"/>
    <col min="7691" max="7692" width="0" style="2" hidden="1" customWidth="1"/>
    <col min="7693" max="7693" width="8.85546875" style="2" customWidth="1"/>
    <col min="7694" max="7936" width="9.140625" style="2"/>
    <col min="7937" max="7937" width="10.28515625" style="2" customWidth="1"/>
    <col min="7938" max="7938" width="17.5703125" style="2" customWidth="1"/>
    <col min="7939" max="7939" width="31.28515625" style="2" customWidth="1"/>
    <col min="7940" max="7942" width="0" style="2" hidden="1" customWidth="1"/>
    <col min="7943" max="7943" width="10.140625" style="2" customWidth="1"/>
    <col min="7944" max="7944" width="11.140625" style="2" customWidth="1"/>
    <col min="7945" max="7945" width="18.28515625" style="2" customWidth="1"/>
    <col min="7946" max="7946" width="34" style="2" customWidth="1"/>
    <col min="7947" max="7948" width="0" style="2" hidden="1" customWidth="1"/>
    <col min="7949" max="7949" width="8.85546875" style="2" customWidth="1"/>
    <col min="7950" max="8192" width="9.140625" style="2"/>
    <col min="8193" max="8193" width="10.28515625" style="2" customWidth="1"/>
    <col min="8194" max="8194" width="17.5703125" style="2" customWidth="1"/>
    <col min="8195" max="8195" width="31.28515625" style="2" customWidth="1"/>
    <col min="8196" max="8198" width="0" style="2" hidden="1" customWidth="1"/>
    <col min="8199" max="8199" width="10.140625" style="2" customWidth="1"/>
    <col min="8200" max="8200" width="11.140625" style="2" customWidth="1"/>
    <col min="8201" max="8201" width="18.28515625" style="2" customWidth="1"/>
    <col min="8202" max="8202" width="34" style="2" customWidth="1"/>
    <col min="8203" max="8204" width="0" style="2" hidden="1" customWidth="1"/>
    <col min="8205" max="8205" width="8.85546875" style="2" customWidth="1"/>
    <col min="8206" max="8448" width="9.140625" style="2"/>
    <col min="8449" max="8449" width="10.28515625" style="2" customWidth="1"/>
    <col min="8450" max="8450" width="17.5703125" style="2" customWidth="1"/>
    <col min="8451" max="8451" width="31.28515625" style="2" customWidth="1"/>
    <col min="8452" max="8454" width="0" style="2" hidden="1" customWidth="1"/>
    <col min="8455" max="8455" width="10.140625" style="2" customWidth="1"/>
    <col min="8456" max="8456" width="11.140625" style="2" customWidth="1"/>
    <col min="8457" max="8457" width="18.28515625" style="2" customWidth="1"/>
    <col min="8458" max="8458" width="34" style="2" customWidth="1"/>
    <col min="8459" max="8460" width="0" style="2" hidden="1" customWidth="1"/>
    <col min="8461" max="8461" width="8.85546875" style="2" customWidth="1"/>
    <col min="8462" max="8704" width="9.140625" style="2"/>
    <col min="8705" max="8705" width="10.28515625" style="2" customWidth="1"/>
    <col min="8706" max="8706" width="17.5703125" style="2" customWidth="1"/>
    <col min="8707" max="8707" width="31.28515625" style="2" customWidth="1"/>
    <col min="8708" max="8710" width="0" style="2" hidden="1" customWidth="1"/>
    <col min="8711" max="8711" width="10.140625" style="2" customWidth="1"/>
    <col min="8712" max="8712" width="11.140625" style="2" customWidth="1"/>
    <col min="8713" max="8713" width="18.28515625" style="2" customWidth="1"/>
    <col min="8714" max="8714" width="34" style="2" customWidth="1"/>
    <col min="8715" max="8716" width="0" style="2" hidden="1" customWidth="1"/>
    <col min="8717" max="8717" width="8.85546875" style="2" customWidth="1"/>
    <col min="8718" max="8960" width="9.140625" style="2"/>
    <col min="8961" max="8961" width="10.28515625" style="2" customWidth="1"/>
    <col min="8962" max="8962" width="17.5703125" style="2" customWidth="1"/>
    <col min="8963" max="8963" width="31.28515625" style="2" customWidth="1"/>
    <col min="8964" max="8966" width="0" style="2" hidden="1" customWidth="1"/>
    <col min="8967" max="8967" width="10.140625" style="2" customWidth="1"/>
    <col min="8968" max="8968" width="11.140625" style="2" customWidth="1"/>
    <col min="8969" max="8969" width="18.28515625" style="2" customWidth="1"/>
    <col min="8970" max="8970" width="34" style="2" customWidth="1"/>
    <col min="8971" max="8972" width="0" style="2" hidden="1" customWidth="1"/>
    <col min="8973" max="8973" width="8.85546875" style="2" customWidth="1"/>
    <col min="8974" max="9216" width="9.140625" style="2"/>
    <col min="9217" max="9217" width="10.28515625" style="2" customWidth="1"/>
    <col min="9218" max="9218" width="17.5703125" style="2" customWidth="1"/>
    <col min="9219" max="9219" width="31.28515625" style="2" customWidth="1"/>
    <col min="9220" max="9222" width="0" style="2" hidden="1" customWidth="1"/>
    <col min="9223" max="9223" width="10.140625" style="2" customWidth="1"/>
    <col min="9224" max="9224" width="11.140625" style="2" customWidth="1"/>
    <col min="9225" max="9225" width="18.28515625" style="2" customWidth="1"/>
    <col min="9226" max="9226" width="34" style="2" customWidth="1"/>
    <col min="9227" max="9228" width="0" style="2" hidden="1" customWidth="1"/>
    <col min="9229" max="9229" width="8.85546875" style="2" customWidth="1"/>
    <col min="9230" max="9472" width="9.140625" style="2"/>
    <col min="9473" max="9473" width="10.28515625" style="2" customWidth="1"/>
    <col min="9474" max="9474" width="17.5703125" style="2" customWidth="1"/>
    <col min="9475" max="9475" width="31.28515625" style="2" customWidth="1"/>
    <col min="9476" max="9478" width="0" style="2" hidden="1" customWidth="1"/>
    <col min="9479" max="9479" width="10.140625" style="2" customWidth="1"/>
    <col min="9480" max="9480" width="11.140625" style="2" customWidth="1"/>
    <col min="9481" max="9481" width="18.28515625" style="2" customWidth="1"/>
    <col min="9482" max="9482" width="34" style="2" customWidth="1"/>
    <col min="9483" max="9484" width="0" style="2" hidden="1" customWidth="1"/>
    <col min="9485" max="9485" width="8.85546875" style="2" customWidth="1"/>
    <col min="9486" max="9728" width="9.140625" style="2"/>
    <col min="9729" max="9729" width="10.28515625" style="2" customWidth="1"/>
    <col min="9730" max="9730" width="17.5703125" style="2" customWidth="1"/>
    <col min="9731" max="9731" width="31.28515625" style="2" customWidth="1"/>
    <col min="9732" max="9734" width="0" style="2" hidden="1" customWidth="1"/>
    <col min="9735" max="9735" width="10.140625" style="2" customWidth="1"/>
    <col min="9736" max="9736" width="11.140625" style="2" customWidth="1"/>
    <col min="9737" max="9737" width="18.28515625" style="2" customWidth="1"/>
    <col min="9738" max="9738" width="34" style="2" customWidth="1"/>
    <col min="9739" max="9740" width="0" style="2" hidden="1" customWidth="1"/>
    <col min="9741" max="9741" width="8.85546875" style="2" customWidth="1"/>
    <col min="9742" max="9984" width="9.140625" style="2"/>
    <col min="9985" max="9985" width="10.28515625" style="2" customWidth="1"/>
    <col min="9986" max="9986" width="17.5703125" style="2" customWidth="1"/>
    <col min="9987" max="9987" width="31.28515625" style="2" customWidth="1"/>
    <col min="9988" max="9990" width="0" style="2" hidden="1" customWidth="1"/>
    <col min="9991" max="9991" width="10.140625" style="2" customWidth="1"/>
    <col min="9992" max="9992" width="11.140625" style="2" customWidth="1"/>
    <col min="9993" max="9993" width="18.28515625" style="2" customWidth="1"/>
    <col min="9994" max="9994" width="34" style="2" customWidth="1"/>
    <col min="9995" max="9996" width="0" style="2" hidden="1" customWidth="1"/>
    <col min="9997" max="9997" width="8.85546875" style="2" customWidth="1"/>
    <col min="9998" max="10240" width="9.140625" style="2"/>
    <col min="10241" max="10241" width="10.28515625" style="2" customWidth="1"/>
    <col min="10242" max="10242" width="17.5703125" style="2" customWidth="1"/>
    <col min="10243" max="10243" width="31.28515625" style="2" customWidth="1"/>
    <col min="10244" max="10246" width="0" style="2" hidden="1" customWidth="1"/>
    <col min="10247" max="10247" width="10.140625" style="2" customWidth="1"/>
    <col min="10248" max="10248" width="11.140625" style="2" customWidth="1"/>
    <col min="10249" max="10249" width="18.28515625" style="2" customWidth="1"/>
    <col min="10250" max="10250" width="34" style="2" customWidth="1"/>
    <col min="10251" max="10252" width="0" style="2" hidden="1" customWidth="1"/>
    <col min="10253" max="10253" width="8.85546875" style="2" customWidth="1"/>
    <col min="10254" max="10496" width="9.140625" style="2"/>
    <col min="10497" max="10497" width="10.28515625" style="2" customWidth="1"/>
    <col min="10498" max="10498" width="17.5703125" style="2" customWidth="1"/>
    <col min="10499" max="10499" width="31.28515625" style="2" customWidth="1"/>
    <col min="10500" max="10502" width="0" style="2" hidden="1" customWidth="1"/>
    <col min="10503" max="10503" width="10.140625" style="2" customWidth="1"/>
    <col min="10504" max="10504" width="11.140625" style="2" customWidth="1"/>
    <col min="10505" max="10505" width="18.28515625" style="2" customWidth="1"/>
    <col min="10506" max="10506" width="34" style="2" customWidth="1"/>
    <col min="10507" max="10508" width="0" style="2" hidden="1" customWidth="1"/>
    <col min="10509" max="10509" width="8.85546875" style="2" customWidth="1"/>
    <col min="10510" max="10752" width="9.140625" style="2"/>
    <col min="10753" max="10753" width="10.28515625" style="2" customWidth="1"/>
    <col min="10754" max="10754" width="17.5703125" style="2" customWidth="1"/>
    <col min="10755" max="10755" width="31.28515625" style="2" customWidth="1"/>
    <col min="10756" max="10758" width="0" style="2" hidden="1" customWidth="1"/>
    <col min="10759" max="10759" width="10.140625" style="2" customWidth="1"/>
    <col min="10760" max="10760" width="11.140625" style="2" customWidth="1"/>
    <col min="10761" max="10761" width="18.28515625" style="2" customWidth="1"/>
    <col min="10762" max="10762" width="34" style="2" customWidth="1"/>
    <col min="10763" max="10764" width="0" style="2" hidden="1" customWidth="1"/>
    <col min="10765" max="10765" width="8.85546875" style="2" customWidth="1"/>
    <col min="10766" max="11008" width="9.140625" style="2"/>
    <col min="11009" max="11009" width="10.28515625" style="2" customWidth="1"/>
    <col min="11010" max="11010" width="17.5703125" style="2" customWidth="1"/>
    <col min="11011" max="11011" width="31.28515625" style="2" customWidth="1"/>
    <col min="11012" max="11014" width="0" style="2" hidden="1" customWidth="1"/>
    <col min="11015" max="11015" width="10.140625" style="2" customWidth="1"/>
    <col min="11016" max="11016" width="11.140625" style="2" customWidth="1"/>
    <col min="11017" max="11017" width="18.28515625" style="2" customWidth="1"/>
    <col min="11018" max="11018" width="34" style="2" customWidth="1"/>
    <col min="11019" max="11020" width="0" style="2" hidden="1" customWidth="1"/>
    <col min="11021" max="11021" width="8.85546875" style="2" customWidth="1"/>
    <col min="11022" max="11264" width="9.140625" style="2"/>
    <col min="11265" max="11265" width="10.28515625" style="2" customWidth="1"/>
    <col min="11266" max="11266" width="17.5703125" style="2" customWidth="1"/>
    <col min="11267" max="11267" width="31.28515625" style="2" customWidth="1"/>
    <col min="11268" max="11270" width="0" style="2" hidden="1" customWidth="1"/>
    <col min="11271" max="11271" width="10.140625" style="2" customWidth="1"/>
    <col min="11272" max="11272" width="11.140625" style="2" customWidth="1"/>
    <col min="11273" max="11273" width="18.28515625" style="2" customWidth="1"/>
    <col min="11274" max="11274" width="34" style="2" customWidth="1"/>
    <col min="11275" max="11276" width="0" style="2" hidden="1" customWidth="1"/>
    <col min="11277" max="11277" width="8.85546875" style="2" customWidth="1"/>
    <col min="11278" max="11520" width="9.140625" style="2"/>
    <col min="11521" max="11521" width="10.28515625" style="2" customWidth="1"/>
    <col min="11522" max="11522" width="17.5703125" style="2" customWidth="1"/>
    <col min="11523" max="11523" width="31.28515625" style="2" customWidth="1"/>
    <col min="11524" max="11526" width="0" style="2" hidden="1" customWidth="1"/>
    <col min="11527" max="11527" width="10.140625" style="2" customWidth="1"/>
    <col min="11528" max="11528" width="11.140625" style="2" customWidth="1"/>
    <col min="11529" max="11529" width="18.28515625" style="2" customWidth="1"/>
    <col min="11530" max="11530" width="34" style="2" customWidth="1"/>
    <col min="11531" max="11532" width="0" style="2" hidden="1" customWidth="1"/>
    <col min="11533" max="11533" width="8.85546875" style="2" customWidth="1"/>
    <col min="11534" max="11776" width="9.140625" style="2"/>
    <col min="11777" max="11777" width="10.28515625" style="2" customWidth="1"/>
    <col min="11778" max="11778" width="17.5703125" style="2" customWidth="1"/>
    <col min="11779" max="11779" width="31.28515625" style="2" customWidth="1"/>
    <col min="11780" max="11782" width="0" style="2" hidden="1" customWidth="1"/>
    <col min="11783" max="11783" width="10.140625" style="2" customWidth="1"/>
    <col min="11784" max="11784" width="11.140625" style="2" customWidth="1"/>
    <col min="11785" max="11785" width="18.28515625" style="2" customWidth="1"/>
    <col min="11786" max="11786" width="34" style="2" customWidth="1"/>
    <col min="11787" max="11788" width="0" style="2" hidden="1" customWidth="1"/>
    <col min="11789" max="11789" width="8.85546875" style="2" customWidth="1"/>
    <col min="11790" max="12032" width="9.140625" style="2"/>
    <col min="12033" max="12033" width="10.28515625" style="2" customWidth="1"/>
    <col min="12034" max="12034" width="17.5703125" style="2" customWidth="1"/>
    <col min="12035" max="12035" width="31.28515625" style="2" customWidth="1"/>
    <col min="12036" max="12038" width="0" style="2" hidden="1" customWidth="1"/>
    <col min="12039" max="12039" width="10.140625" style="2" customWidth="1"/>
    <col min="12040" max="12040" width="11.140625" style="2" customWidth="1"/>
    <col min="12041" max="12041" width="18.28515625" style="2" customWidth="1"/>
    <col min="12042" max="12042" width="34" style="2" customWidth="1"/>
    <col min="12043" max="12044" width="0" style="2" hidden="1" customWidth="1"/>
    <col min="12045" max="12045" width="8.85546875" style="2" customWidth="1"/>
    <col min="12046" max="12288" width="9.140625" style="2"/>
    <col min="12289" max="12289" width="10.28515625" style="2" customWidth="1"/>
    <col min="12290" max="12290" width="17.5703125" style="2" customWidth="1"/>
    <col min="12291" max="12291" width="31.28515625" style="2" customWidth="1"/>
    <col min="12292" max="12294" width="0" style="2" hidden="1" customWidth="1"/>
    <col min="12295" max="12295" width="10.140625" style="2" customWidth="1"/>
    <col min="12296" max="12296" width="11.140625" style="2" customWidth="1"/>
    <col min="12297" max="12297" width="18.28515625" style="2" customWidth="1"/>
    <col min="12298" max="12298" width="34" style="2" customWidth="1"/>
    <col min="12299" max="12300" width="0" style="2" hidden="1" customWidth="1"/>
    <col min="12301" max="12301" width="8.85546875" style="2" customWidth="1"/>
    <col min="12302" max="12544" width="9.140625" style="2"/>
    <col min="12545" max="12545" width="10.28515625" style="2" customWidth="1"/>
    <col min="12546" max="12546" width="17.5703125" style="2" customWidth="1"/>
    <col min="12547" max="12547" width="31.28515625" style="2" customWidth="1"/>
    <col min="12548" max="12550" width="0" style="2" hidden="1" customWidth="1"/>
    <col min="12551" max="12551" width="10.140625" style="2" customWidth="1"/>
    <col min="12552" max="12552" width="11.140625" style="2" customWidth="1"/>
    <col min="12553" max="12553" width="18.28515625" style="2" customWidth="1"/>
    <col min="12554" max="12554" width="34" style="2" customWidth="1"/>
    <col min="12555" max="12556" width="0" style="2" hidden="1" customWidth="1"/>
    <col min="12557" max="12557" width="8.85546875" style="2" customWidth="1"/>
    <col min="12558" max="12800" width="9.140625" style="2"/>
    <col min="12801" max="12801" width="10.28515625" style="2" customWidth="1"/>
    <col min="12802" max="12802" width="17.5703125" style="2" customWidth="1"/>
    <col min="12803" max="12803" width="31.28515625" style="2" customWidth="1"/>
    <col min="12804" max="12806" width="0" style="2" hidden="1" customWidth="1"/>
    <col min="12807" max="12807" width="10.140625" style="2" customWidth="1"/>
    <col min="12808" max="12808" width="11.140625" style="2" customWidth="1"/>
    <col min="12809" max="12809" width="18.28515625" style="2" customWidth="1"/>
    <col min="12810" max="12810" width="34" style="2" customWidth="1"/>
    <col min="12811" max="12812" width="0" style="2" hidden="1" customWidth="1"/>
    <col min="12813" max="12813" width="8.85546875" style="2" customWidth="1"/>
    <col min="12814" max="13056" width="9.140625" style="2"/>
    <col min="13057" max="13057" width="10.28515625" style="2" customWidth="1"/>
    <col min="13058" max="13058" width="17.5703125" style="2" customWidth="1"/>
    <col min="13059" max="13059" width="31.28515625" style="2" customWidth="1"/>
    <col min="13060" max="13062" width="0" style="2" hidden="1" customWidth="1"/>
    <col min="13063" max="13063" width="10.140625" style="2" customWidth="1"/>
    <col min="13064" max="13064" width="11.140625" style="2" customWidth="1"/>
    <col min="13065" max="13065" width="18.28515625" style="2" customWidth="1"/>
    <col min="13066" max="13066" width="34" style="2" customWidth="1"/>
    <col min="13067" max="13068" width="0" style="2" hidden="1" customWidth="1"/>
    <col min="13069" max="13069" width="8.85546875" style="2" customWidth="1"/>
    <col min="13070" max="13312" width="9.140625" style="2"/>
    <col min="13313" max="13313" width="10.28515625" style="2" customWidth="1"/>
    <col min="13314" max="13314" width="17.5703125" style="2" customWidth="1"/>
    <col min="13315" max="13315" width="31.28515625" style="2" customWidth="1"/>
    <col min="13316" max="13318" width="0" style="2" hidden="1" customWidth="1"/>
    <col min="13319" max="13319" width="10.140625" style="2" customWidth="1"/>
    <col min="13320" max="13320" width="11.140625" style="2" customWidth="1"/>
    <col min="13321" max="13321" width="18.28515625" style="2" customWidth="1"/>
    <col min="13322" max="13322" width="34" style="2" customWidth="1"/>
    <col min="13323" max="13324" width="0" style="2" hidden="1" customWidth="1"/>
    <col min="13325" max="13325" width="8.85546875" style="2" customWidth="1"/>
    <col min="13326" max="13568" width="9.140625" style="2"/>
    <col min="13569" max="13569" width="10.28515625" style="2" customWidth="1"/>
    <col min="13570" max="13570" width="17.5703125" style="2" customWidth="1"/>
    <col min="13571" max="13571" width="31.28515625" style="2" customWidth="1"/>
    <col min="13572" max="13574" width="0" style="2" hidden="1" customWidth="1"/>
    <col min="13575" max="13575" width="10.140625" style="2" customWidth="1"/>
    <col min="13576" max="13576" width="11.140625" style="2" customWidth="1"/>
    <col min="13577" max="13577" width="18.28515625" style="2" customWidth="1"/>
    <col min="13578" max="13578" width="34" style="2" customWidth="1"/>
    <col min="13579" max="13580" width="0" style="2" hidden="1" customWidth="1"/>
    <col min="13581" max="13581" width="8.85546875" style="2" customWidth="1"/>
    <col min="13582" max="13824" width="9.140625" style="2"/>
    <col min="13825" max="13825" width="10.28515625" style="2" customWidth="1"/>
    <col min="13826" max="13826" width="17.5703125" style="2" customWidth="1"/>
    <col min="13827" max="13827" width="31.28515625" style="2" customWidth="1"/>
    <col min="13828" max="13830" width="0" style="2" hidden="1" customWidth="1"/>
    <col min="13831" max="13831" width="10.140625" style="2" customWidth="1"/>
    <col min="13832" max="13832" width="11.140625" style="2" customWidth="1"/>
    <col min="13833" max="13833" width="18.28515625" style="2" customWidth="1"/>
    <col min="13834" max="13834" width="34" style="2" customWidth="1"/>
    <col min="13835" max="13836" width="0" style="2" hidden="1" customWidth="1"/>
    <col min="13837" max="13837" width="8.85546875" style="2" customWidth="1"/>
    <col min="13838" max="14080" width="9.140625" style="2"/>
    <col min="14081" max="14081" width="10.28515625" style="2" customWidth="1"/>
    <col min="14082" max="14082" width="17.5703125" style="2" customWidth="1"/>
    <col min="14083" max="14083" width="31.28515625" style="2" customWidth="1"/>
    <col min="14084" max="14086" width="0" style="2" hidden="1" customWidth="1"/>
    <col min="14087" max="14087" width="10.140625" style="2" customWidth="1"/>
    <col min="14088" max="14088" width="11.140625" style="2" customWidth="1"/>
    <col min="14089" max="14089" width="18.28515625" style="2" customWidth="1"/>
    <col min="14090" max="14090" width="34" style="2" customWidth="1"/>
    <col min="14091" max="14092" width="0" style="2" hidden="1" customWidth="1"/>
    <col min="14093" max="14093" width="8.85546875" style="2" customWidth="1"/>
    <col min="14094" max="14336" width="9.140625" style="2"/>
    <col min="14337" max="14337" width="10.28515625" style="2" customWidth="1"/>
    <col min="14338" max="14338" width="17.5703125" style="2" customWidth="1"/>
    <col min="14339" max="14339" width="31.28515625" style="2" customWidth="1"/>
    <col min="14340" max="14342" width="0" style="2" hidden="1" customWidth="1"/>
    <col min="14343" max="14343" width="10.140625" style="2" customWidth="1"/>
    <col min="14344" max="14344" width="11.140625" style="2" customWidth="1"/>
    <col min="14345" max="14345" width="18.28515625" style="2" customWidth="1"/>
    <col min="14346" max="14346" width="34" style="2" customWidth="1"/>
    <col min="14347" max="14348" width="0" style="2" hidden="1" customWidth="1"/>
    <col min="14349" max="14349" width="8.85546875" style="2" customWidth="1"/>
    <col min="14350" max="14592" width="9.140625" style="2"/>
    <col min="14593" max="14593" width="10.28515625" style="2" customWidth="1"/>
    <col min="14594" max="14594" width="17.5703125" style="2" customWidth="1"/>
    <col min="14595" max="14595" width="31.28515625" style="2" customWidth="1"/>
    <col min="14596" max="14598" width="0" style="2" hidden="1" customWidth="1"/>
    <col min="14599" max="14599" width="10.140625" style="2" customWidth="1"/>
    <col min="14600" max="14600" width="11.140625" style="2" customWidth="1"/>
    <col min="14601" max="14601" width="18.28515625" style="2" customWidth="1"/>
    <col min="14602" max="14602" width="34" style="2" customWidth="1"/>
    <col min="14603" max="14604" width="0" style="2" hidden="1" customWidth="1"/>
    <col min="14605" max="14605" width="8.85546875" style="2" customWidth="1"/>
    <col min="14606" max="14848" width="9.140625" style="2"/>
    <col min="14849" max="14849" width="10.28515625" style="2" customWidth="1"/>
    <col min="14850" max="14850" width="17.5703125" style="2" customWidth="1"/>
    <col min="14851" max="14851" width="31.28515625" style="2" customWidth="1"/>
    <col min="14852" max="14854" width="0" style="2" hidden="1" customWidth="1"/>
    <col min="14855" max="14855" width="10.140625" style="2" customWidth="1"/>
    <col min="14856" max="14856" width="11.140625" style="2" customWidth="1"/>
    <col min="14857" max="14857" width="18.28515625" style="2" customWidth="1"/>
    <col min="14858" max="14858" width="34" style="2" customWidth="1"/>
    <col min="14859" max="14860" width="0" style="2" hidden="1" customWidth="1"/>
    <col min="14861" max="14861" width="8.85546875" style="2" customWidth="1"/>
    <col min="14862" max="15104" width="9.140625" style="2"/>
    <col min="15105" max="15105" width="10.28515625" style="2" customWidth="1"/>
    <col min="15106" max="15106" width="17.5703125" style="2" customWidth="1"/>
    <col min="15107" max="15107" width="31.28515625" style="2" customWidth="1"/>
    <col min="15108" max="15110" width="0" style="2" hidden="1" customWidth="1"/>
    <col min="15111" max="15111" width="10.140625" style="2" customWidth="1"/>
    <col min="15112" max="15112" width="11.140625" style="2" customWidth="1"/>
    <col min="15113" max="15113" width="18.28515625" style="2" customWidth="1"/>
    <col min="15114" max="15114" width="34" style="2" customWidth="1"/>
    <col min="15115" max="15116" width="0" style="2" hidden="1" customWidth="1"/>
    <col min="15117" max="15117" width="8.85546875" style="2" customWidth="1"/>
    <col min="15118" max="15360" width="9.140625" style="2"/>
    <col min="15361" max="15361" width="10.28515625" style="2" customWidth="1"/>
    <col min="15362" max="15362" width="17.5703125" style="2" customWidth="1"/>
    <col min="15363" max="15363" width="31.28515625" style="2" customWidth="1"/>
    <col min="15364" max="15366" width="0" style="2" hidden="1" customWidth="1"/>
    <col min="15367" max="15367" width="10.140625" style="2" customWidth="1"/>
    <col min="15368" max="15368" width="11.140625" style="2" customWidth="1"/>
    <col min="15369" max="15369" width="18.28515625" style="2" customWidth="1"/>
    <col min="15370" max="15370" width="34" style="2" customWidth="1"/>
    <col min="15371" max="15372" width="0" style="2" hidden="1" customWidth="1"/>
    <col min="15373" max="15373" width="8.85546875" style="2" customWidth="1"/>
    <col min="15374" max="15616" width="9.140625" style="2"/>
    <col min="15617" max="15617" width="10.28515625" style="2" customWidth="1"/>
    <col min="15618" max="15618" width="17.5703125" style="2" customWidth="1"/>
    <col min="15619" max="15619" width="31.28515625" style="2" customWidth="1"/>
    <col min="15620" max="15622" width="0" style="2" hidden="1" customWidth="1"/>
    <col min="15623" max="15623" width="10.140625" style="2" customWidth="1"/>
    <col min="15624" max="15624" width="11.140625" style="2" customWidth="1"/>
    <col min="15625" max="15625" width="18.28515625" style="2" customWidth="1"/>
    <col min="15626" max="15626" width="34" style="2" customWidth="1"/>
    <col min="15627" max="15628" width="0" style="2" hidden="1" customWidth="1"/>
    <col min="15629" max="15629" width="8.85546875" style="2" customWidth="1"/>
    <col min="15630" max="15872" width="9.140625" style="2"/>
    <col min="15873" max="15873" width="10.28515625" style="2" customWidth="1"/>
    <col min="15874" max="15874" width="17.5703125" style="2" customWidth="1"/>
    <col min="15875" max="15875" width="31.28515625" style="2" customWidth="1"/>
    <col min="15876" max="15878" width="0" style="2" hidden="1" customWidth="1"/>
    <col min="15879" max="15879" width="10.140625" style="2" customWidth="1"/>
    <col min="15880" max="15880" width="11.140625" style="2" customWidth="1"/>
    <col min="15881" max="15881" width="18.28515625" style="2" customWidth="1"/>
    <col min="15882" max="15882" width="34" style="2" customWidth="1"/>
    <col min="15883" max="15884" width="0" style="2" hidden="1" customWidth="1"/>
    <col min="15885" max="15885" width="8.85546875" style="2" customWidth="1"/>
    <col min="15886" max="16128" width="9.140625" style="2"/>
    <col min="16129" max="16129" width="10.28515625" style="2" customWidth="1"/>
    <col min="16130" max="16130" width="17.5703125" style="2" customWidth="1"/>
    <col min="16131" max="16131" width="31.28515625" style="2" customWidth="1"/>
    <col min="16132" max="16134" width="0" style="2" hidden="1" customWidth="1"/>
    <col min="16135" max="16135" width="10.140625" style="2" customWidth="1"/>
    <col min="16136" max="16136" width="11.140625" style="2" customWidth="1"/>
    <col min="16137" max="16137" width="18.28515625" style="2" customWidth="1"/>
    <col min="16138" max="16138" width="34" style="2" customWidth="1"/>
    <col min="16139" max="16140" width="0" style="2" hidden="1" customWidth="1"/>
    <col min="16141" max="16141" width="8.85546875" style="2" customWidth="1"/>
    <col min="16142" max="16384" width="9.140625" style="2"/>
  </cols>
  <sheetData>
    <row r="1" spans="1:13" ht="31.5">
      <c r="A1" s="1219" t="s">
        <v>2356</v>
      </c>
      <c r="B1" s="1220" t="s">
        <v>575</v>
      </c>
      <c r="C1" s="1221" t="s">
        <v>2357</v>
      </c>
      <c r="D1" s="1222"/>
      <c r="E1" s="1223"/>
      <c r="F1" s="1222"/>
      <c r="G1" s="1224"/>
      <c r="H1" s="1225" t="s">
        <v>3963</v>
      </c>
      <c r="I1" s="1222" t="s">
        <v>575</v>
      </c>
      <c r="J1" s="1226" t="s">
        <v>3964</v>
      </c>
      <c r="K1" s="1222"/>
      <c r="L1" s="1222"/>
      <c r="M1" s="1224"/>
    </row>
    <row r="2" spans="1:13">
      <c r="A2" s="1227"/>
      <c r="B2" s="1228"/>
      <c r="C2" s="1229" t="s">
        <v>442</v>
      </c>
      <c r="D2" s="1230"/>
      <c r="E2" s="1231"/>
      <c r="F2" s="1230"/>
      <c r="G2" s="1232"/>
      <c r="H2" s="1227"/>
      <c r="I2" s="1230"/>
      <c r="J2" s="1230" t="s">
        <v>442</v>
      </c>
      <c r="K2" s="1230"/>
      <c r="L2" s="1230"/>
      <c r="M2" s="1232"/>
    </row>
    <row r="3" spans="1:13">
      <c r="A3" s="1233">
        <v>0.14000000000000001</v>
      </c>
      <c r="B3" s="1234" t="s">
        <v>2334</v>
      </c>
      <c r="C3" s="1235" t="s">
        <v>2341</v>
      </c>
      <c r="D3" s="1236">
        <v>2532.4</v>
      </c>
      <c r="E3" s="1235" t="s">
        <v>2334</v>
      </c>
      <c r="F3" s="1236">
        <v>354.54</v>
      </c>
      <c r="G3" s="1232"/>
      <c r="H3" s="1227">
        <v>0.14000000000000001</v>
      </c>
      <c r="I3" s="1230" t="s">
        <v>2334</v>
      </c>
      <c r="J3" s="1230" t="s">
        <v>2647</v>
      </c>
      <c r="K3" s="1237">
        <v>2946.4</v>
      </c>
      <c r="L3" s="1230" t="s">
        <v>2334</v>
      </c>
      <c r="M3" s="1238">
        <v>412.5</v>
      </c>
    </row>
    <row r="4" spans="1:13">
      <c r="A4" s="1233">
        <v>1.1000000000000001</v>
      </c>
      <c r="B4" s="1234" t="s">
        <v>2342</v>
      </c>
      <c r="C4" s="1235" t="s">
        <v>2353</v>
      </c>
      <c r="D4" s="1236">
        <v>652</v>
      </c>
      <c r="E4" s="1235" t="s">
        <v>2342</v>
      </c>
      <c r="F4" s="1236">
        <v>717.2</v>
      </c>
      <c r="G4" s="1232"/>
      <c r="H4" s="1227">
        <v>1.1000000000000001</v>
      </c>
      <c r="I4" s="1230" t="s">
        <v>2342</v>
      </c>
      <c r="J4" s="1230" t="s">
        <v>2353</v>
      </c>
      <c r="K4" s="1237">
        <v>652</v>
      </c>
      <c r="L4" s="1230" t="s">
        <v>2342</v>
      </c>
      <c r="M4" s="1238">
        <v>717.2</v>
      </c>
    </row>
    <row r="5" spans="1:13">
      <c r="A5" s="1233">
        <v>0.5</v>
      </c>
      <c r="B5" s="1234" t="s">
        <v>2342</v>
      </c>
      <c r="C5" s="1235" t="s">
        <v>2344</v>
      </c>
      <c r="D5" s="1236">
        <v>426</v>
      </c>
      <c r="E5" s="1235" t="s">
        <v>2342</v>
      </c>
      <c r="F5" s="1236">
        <v>213</v>
      </c>
      <c r="G5" s="1232"/>
      <c r="H5" s="1227">
        <v>0.5</v>
      </c>
      <c r="I5" s="1230" t="s">
        <v>2342</v>
      </c>
      <c r="J5" s="1230" t="s">
        <v>2344</v>
      </c>
      <c r="K5" s="1237">
        <v>426</v>
      </c>
      <c r="L5" s="1230" t="s">
        <v>2342</v>
      </c>
      <c r="M5" s="1238">
        <v>213</v>
      </c>
    </row>
    <row r="6" spans="1:13">
      <c r="A6" s="1233">
        <v>1.1000000000000001</v>
      </c>
      <c r="B6" s="1234" t="s">
        <v>2342</v>
      </c>
      <c r="C6" s="1235" t="s">
        <v>2345</v>
      </c>
      <c r="D6" s="1236">
        <v>368</v>
      </c>
      <c r="E6" s="1235" t="s">
        <v>2342</v>
      </c>
      <c r="F6" s="1236">
        <v>404.8</v>
      </c>
      <c r="G6" s="1232"/>
      <c r="H6" s="1227">
        <v>1.1000000000000001</v>
      </c>
      <c r="I6" s="1230" t="s">
        <v>2342</v>
      </c>
      <c r="J6" s="1230" t="s">
        <v>2345</v>
      </c>
      <c r="K6" s="1237">
        <v>368</v>
      </c>
      <c r="L6" s="1230" t="s">
        <v>2342</v>
      </c>
      <c r="M6" s="1238">
        <v>404.8</v>
      </c>
    </row>
    <row r="7" spans="1:13">
      <c r="A7" s="1227"/>
      <c r="B7" s="1234" t="s">
        <v>2346</v>
      </c>
      <c r="C7" s="1235" t="s">
        <v>2347</v>
      </c>
      <c r="D7" s="1239" t="s">
        <v>30</v>
      </c>
      <c r="E7" s="1235" t="s">
        <v>2346</v>
      </c>
      <c r="F7" s="1236">
        <v>0</v>
      </c>
      <c r="G7" s="1232"/>
      <c r="H7" s="1227"/>
      <c r="I7" s="1230" t="s">
        <v>2346</v>
      </c>
      <c r="J7" s="1230" t="s">
        <v>2347</v>
      </c>
      <c r="K7" s="1237" t="s">
        <v>30</v>
      </c>
      <c r="L7" s="1230" t="s">
        <v>2346</v>
      </c>
      <c r="M7" s="1238">
        <v>0</v>
      </c>
    </row>
    <row r="8" spans="1:13">
      <c r="A8" s="1227"/>
      <c r="B8" s="1228"/>
      <c r="C8" s="1230"/>
      <c r="D8" s="1237"/>
      <c r="E8" s="1231"/>
      <c r="F8" s="1240" t="s">
        <v>442</v>
      </c>
      <c r="G8" s="1232"/>
      <c r="H8" s="1227"/>
      <c r="I8" s="1230"/>
      <c r="J8" s="1230"/>
      <c r="K8" s="1237"/>
      <c r="L8" s="1230"/>
      <c r="M8" s="1238"/>
    </row>
    <row r="9" spans="1:13">
      <c r="A9" s="1227"/>
      <c r="B9" s="1228"/>
      <c r="C9" s="1235" t="s">
        <v>2358</v>
      </c>
      <c r="D9" s="1237"/>
      <c r="E9" s="1231"/>
      <c r="F9" s="1236">
        <v>1689.54</v>
      </c>
      <c r="G9" s="1232"/>
      <c r="H9" s="1227"/>
      <c r="I9" s="1230"/>
      <c r="J9" s="1230" t="s">
        <v>2358</v>
      </c>
      <c r="K9" s="1237"/>
      <c r="L9" s="1230"/>
      <c r="M9" s="1238" t="s">
        <v>442</v>
      </c>
    </row>
    <row r="10" spans="1:13">
      <c r="A10" s="1227"/>
      <c r="B10" s="1228"/>
      <c r="C10" s="1241" t="s">
        <v>2355</v>
      </c>
      <c r="D10" s="1237"/>
      <c r="E10" s="1231"/>
      <c r="F10" s="1242">
        <v>168.95</v>
      </c>
      <c r="G10" s="1232"/>
      <c r="H10" s="1227"/>
      <c r="I10" s="1230"/>
      <c r="J10" s="1243" t="s">
        <v>2355</v>
      </c>
      <c r="K10" s="1237"/>
      <c r="L10" s="1230"/>
      <c r="M10" s="1238" t="s">
        <v>442</v>
      </c>
    </row>
    <row r="11" spans="1:13">
      <c r="A11" s="1244" t="s">
        <v>30</v>
      </c>
      <c r="B11" s="1228"/>
      <c r="C11" s="1230"/>
      <c r="D11" s="1237"/>
      <c r="E11" s="1231"/>
      <c r="F11" s="1237"/>
      <c r="G11" s="1232"/>
      <c r="H11" s="1227"/>
      <c r="I11" s="1230"/>
      <c r="J11" s="1230"/>
      <c r="K11" s="1245"/>
      <c r="L11" s="1243"/>
      <c r="M11" s="1246">
        <v>174.75</v>
      </c>
    </row>
    <row r="12" spans="1:13">
      <c r="A12" s="1227"/>
      <c r="B12" s="1230" t="s">
        <v>575</v>
      </c>
      <c r="C12" s="1230" t="s">
        <v>2341</v>
      </c>
      <c r="D12" s="1237"/>
      <c r="E12" s="1230"/>
      <c r="F12" s="1237"/>
      <c r="G12" s="1232"/>
      <c r="H12" s="1227"/>
      <c r="I12" s="1230" t="s">
        <v>575</v>
      </c>
      <c r="J12" s="1230" t="s">
        <v>2647</v>
      </c>
      <c r="K12" s="1237"/>
      <c r="L12" s="1230"/>
      <c r="M12" s="1238"/>
    </row>
    <row r="13" spans="1:13">
      <c r="A13" s="1227"/>
      <c r="B13" s="1230"/>
      <c r="C13" s="1230" t="s">
        <v>442</v>
      </c>
      <c r="D13" s="1237"/>
      <c r="E13" s="1230"/>
      <c r="F13" s="1237"/>
      <c r="G13" s="1232"/>
      <c r="H13" s="1227">
        <v>0.36</v>
      </c>
      <c r="I13" s="1230" t="s">
        <v>2516</v>
      </c>
      <c r="J13" s="1230" t="s">
        <v>2517</v>
      </c>
      <c r="K13" s="1237">
        <v>5750</v>
      </c>
      <c r="L13" s="1230" t="s">
        <v>2516</v>
      </c>
      <c r="M13" s="1238">
        <v>2070</v>
      </c>
    </row>
    <row r="14" spans="1:13">
      <c r="A14" s="1227">
        <v>0.28799999999999998</v>
      </c>
      <c r="B14" s="1230" t="s">
        <v>2516</v>
      </c>
      <c r="C14" s="1230" t="s">
        <v>2517</v>
      </c>
      <c r="D14" s="1237">
        <v>5750</v>
      </c>
      <c r="E14" s="1230" t="s">
        <v>2516</v>
      </c>
      <c r="F14" s="1237">
        <v>1656</v>
      </c>
      <c r="G14" s="1232"/>
      <c r="H14" s="1227">
        <v>1</v>
      </c>
      <c r="I14" s="1230" t="s">
        <v>2334</v>
      </c>
      <c r="J14" s="1230" t="s">
        <v>2525</v>
      </c>
      <c r="K14" s="1237">
        <v>800.7</v>
      </c>
      <c r="L14" s="1230" t="s">
        <v>2334</v>
      </c>
      <c r="M14" s="1238">
        <v>800.7</v>
      </c>
    </row>
    <row r="15" spans="1:13">
      <c r="A15" s="1227">
        <v>1</v>
      </c>
      <c r="B15" s="1230" t="s">
        <v>2334</v>
      </c>
      <c r="C15" s="1230" t="s">
        <v>2525</v>
      </c>
      <c r="D15" s="1237">
        <v>800.7</v>
      </c>
      <c r="E15" s="1230" t="s">
        <v>2334</v>
      </c>
      <c r="F15" s="1237">
        <v>800.7</v>
      </c>
      <c r="G15" s="1232"/>
      <c r="H15" s="1227">
        <v>1</v>
      </c>
      <c r="I15" s="1230" t="s">
        <v>2334</v>
      </c>
      <c r="J15" s="1230" t="s">
        <v>2530</v>
      </c>
      <c r="K15" s="1237">
        <v>75.7</v>
      </c>
      <c r="L15" s="1230" t="s">
        <v>2334</v>
      </c>
      <c r="M15" s="1238">
        <v>75.7</v>
      </c>
    </row>
    <row r="16" spans="1:13">
      <c r="A16" s="1227">
        <v>1</v>
      </c>
      <c r="B16" s="1230" t="s">
        <v>2334</v>
      </c>
      <c r="C16" s="1230" t="s">
        <v>2530</v>
      </c>
      <c r="D16" s="1237">
        <v>75.7</v>
      </c>
      <c r="E16" s="1230" t="s">
        <v>2334</v>
      </c>
      <c r="F16" s="1237">
        <v>75.7</v>
      </c>
      <c r="G16" s="1232"/>
      <c r="H16" s="1227"/>
      <c r="I16" s="1230" t="s">
        <v>2346</v>
      </c>
      <c r="J16" s="1230" t="s">
        <v>2347</v>
      </c>
      <c r="K16" s="1237" t="s">
        <v>30</v>
      </c>
      <c r="L16" s="1230" t="s">
        <v>2346</v>
      </c>
      <c r="M16" s="1238">
        <v>0</v>
      </c>
    </row>
    <row r="17" spans="1:13">
      <c r="A17" s="1227"/>
      <c r="B17" s="1230" t="s">
        <v>2346</v>
      </c>
      <c r="C17" s="1230" t="s">
        <v>2347</v>
      </c>
      <c r="D17" s="1237" t="s">
        <v>30</v>
      </c>
      <c r="E17" s="1230" t="s">
        <v>2346</v>
      </c>
      <c r="F17" s="1237">
        <v>0</v>
      </c>
      <c r="G17" s="1232"/>
      <c r="H17" s="1227"/>
      <c r="I17" s="1230"/>
      <c r="J17" s="1230"/>
      <c r="K17" s="1237"/>
      <c r="L17" s="1230"/>
      <c r="M17" s="1238" t="s">
        <v>442</v>
      </c>
    </row>
    <row r="18" spans="1:13">
      <c r="A18" s="1227"/>
      <c r="B18" s="1230"/>
      <c r="C18" s="1230"/>
      <c r="D18" s="1230"/>
      <c r="E18" s="1230"/>
      <c r="F18" s="1237" t="s">
        <v>442</v>
      </c>
      <c r="G18" s="1232"/>
      <c r="H18" s="1227"/>
      <c r="I18" s="1230"/>
      <c r="J18" s="1243" t="s">
        <v>2545</v>
      </c>
      <c r="K18" s="1245"/>
      <c r="L18" s="1243"/>
      <c r="M18" s="1246">
        <v>2946.4</v>
      </c>
    </row>
    <row r="19" spans="1:13">
      <c r="A19" s="1227"/>
      <c r="B19" s="1230"/>
      <c r="C19" s="1243" t="s">
        <v>2545</v>
      </c>
      <c r="D19" s="1243"/>
      <c r="E19" s="1243"/>
      <c r="F19" s="1245">
        <v>2532.4</v>
      </c>
      <c r="G19" s="1232"/>
      <c r="H19" s="1227"/>
      <c r="I19" s="1230"/>
      <c r="J19" s="1243"/>
      <c r="K19" s="1243"/>
      <c r="L19" s="1243"/>
      <c r="M19" s="1246" t="s">
        <v>442</v>
      </c>
    </row>
    <row r="20" spans="1:13">
      <c r="A20" s="1227"/>
      <c r="B20" s="1230"/>
      <c r="C20" s="1230"/>
      <c r="D20" s="1230"/>
      <c r="E20" s="1230"/>
      <c r="F20" s="1230"/>
      <c r="G20" s="1232"/>
      <c r="H20" s="1227"/>
      <c r="I20" s="1230"/>
      <c r="J20" s="1230"/>
      <c r="K20" s="1230"/>
      <c r="L20" s="1230"/>
      <c r="M20" s="1232"/>
    </row>
    <row r="21" spans="1:13">
      <c r="A21" s="1227"/>
      <c r="B21" s="1230"/>
      <c r="C21" s="1243" t="s">
        <v>5401</v>
      </c>
      <c r="D21" s="1230"/>
      <c r="E21" s="1230"/>
      <c r="F21" s="1230"/>
      <c r="G21" s="1232"/>
      <c r="H21" s="1227"/>
      <c r="I21" s="1230"/>
      <c r="J21" s="1243" t="s">
        <v>5401</v>
      </c>
      <c r="K21" s="1230"/>
      <c r="L21" s="1230"/>
      <c r="M21" s="1232"/>
    </row>
    <row r="22" spans="1:13">
      <c r="A22" s="1227"/>
      <c r="B22" s="1230"/>
      <c r="C22" s="1230"/>
      <c r="D22" s="1230"/>
      <c r="E22" s="1230"/>
      <c r="F22" s="1230"/>
      <c r="G22" s="1232"/>
      <c r="H22" s="1227"/>
      <c r="I22" s="1230"/>
      <c r="J22" s="1230"/>
      <c r="K22" s="1230"/>
      <c r="L22" s="1230"/>
      <c r="M22" s="1232"/>
    </row>
    <row r="23" spans="1:13" ht="18.75">
      <c r="A23" s="1227"/>
      <c r="B23" s="1243" t="s">
        <v>5292</v>
      </c>
      <c r="C23" s="1230" t="s">
        <v>5402</v>
      </c>
      <c r="D23" s="1230"/>
      <c r="E23" s="1230"/>
      <c r="F23" s="1230"/>
      <c r="G23" s="1232"/>
      <c r="H23" s="1227"/>
      <c r="I23" s="1243" t="s">
        <v>5292</v>
      </c>
      <c r="J23" s="1230" t="s">
        <v>5402</v>
      </c>
      <c r="K23" s="1230"/>
      <c r="L23" s="1230"/>
      <c r="M23" s="1232"/>
    </row>
    <row r="24" spans="1:13">
      <c r="A24" s="1227"/>
      <c r="B24" s="1243"/>
      <c r="C24" s="1230"/>
      <c r="D24" s="1230"/>
      <c r="E24" s="1230"/>
      <c r="F24" s="1230"/>
      <c r="G24" s="1232"/>
      <c r="H24" s="1227"/>
      <c r="I24" s="1243"/>
      <c r="J24" s="1230"/>
      <c r="K24" s="1230"/>
      <c r="L24" s="1230"/>
      <c r="M24" s="1232"/>
    </row>
    <row r="25" spans="1:13">
      <c r="A25" s="1227"/>
      <c r="B25" s="1243" t="s">
        <v>2386</v>
      </c>
      <c r="C25" s="1230" t="s">
        <v>5403</v>
      </c>
      <c r="D25" s="1230"/>
      <c r="E25" s="1230"/>
      <c r="F25" s="1230"/>
      <c r="G25" s="1232"/>
      <c r="H25" s="1227"/>
      <c r="I25" s="1243" t="s">
        <v>2386</v>
      </c>
      <c r="J25" s="1230" t="s">
        <v>5404</v>
      </c>
      <c r="K25" s="1230"/>
      <c r="L25" s="1230"/>
      <c r="M25" s="1232"/>
    </row>
    <row r="26" spans="1:13">
      <c r="A26" s="1227"/>
      <c r="B26" s="1243"/>
      <c r="C26" s="1230"/>
      <c r="D26" s="1230"/>
      <c r="E26" s="1230"/>
      <c r="F26" s="1230"/>
      <c r="G26" s="1232"/>
      <c r="H26" s="1227"/>
      <c r="I26" s="1243"/>
      <c r="J26" s="1230"/>
      <c r="K26" s="1230"/>
      <c r="L26" s="1230"/>
      <c r="M26" s="1232"/>
    </row>
    <row r="27" spans="1:13">
      <c r="A27" s="1227"/>
      <c r="B27" s="1243" t="s">
        <v>5405</v>
      </c>
      <c r="C27" s="1230" t="s">
        <v>5406</v>
      </c>
      <c r="D27" s="1230"/>
      <c r="E27" s="1230"/>
      <c r="F27" s="1230"/>
      <c r="G27" s="1232"/>
      <c r="H27" s="1227"/>
      <c r="I27" s="1243" t="s">
        <v>5405</v>
      </c>
      <c r="J27" s="1230" t="s">
        <v>5406</v>
      </c>
      <c r="K27" s="1230"/>
      <c r="L27" s="1230"/>
      <c r="M27" s="1232"/>
    </row>
    <row r="28" spans="1:13">
      <c r="A28" s="1227"/>
      <c r="B28" s="1243"/>
      <c r="C28" s="1230"/>
      <c r="D28" s="1230"/>
      <c r="E28" s="1230"/>
      <c r="F28" s="1230"/>
      <c r="G28" s="1232"/>
      <c r="H28" s="1227"/>
      <c r="I28" s="1243"/>
      <c r="J28" s="1230"/>
      <c r="K28" s="1230"/>
      <c r="L28" s="1230"/>
      <c r="M28" s="1232"/>
    </row>
    <row r="29" spans="1:13">
      <c r="A29" s="1227"/>
      <c r="B29" s="1243" t="s">
        <v>3939</v>
      </c>
      <c r="C29" s="1230" t="s">
        <v>5407</v>
      </c>
      <c r="D29" s="1230"/>
      <c r="E29" s="1230"/>
      <c r="F29" s="1230"/>
      <c r="G29" s="1232"/>
      <c r="H29" s="1227"/>
      <c r="I29" s="1243" t="s">
        <v>3939</v>
      </c>
      <c r="J29" s="1230" t="s">
        <v>5407</v>
      </c>
      <c r="K29" s="1230"/>
      <c r="L29" s="1230"/>
      <c r="M29" s="1232"/>
    </row>
    <row r="30" spans="1:13">
      <c r="A30" s="1227"/>
      <c r="B30" s="1243"/>
      <c r="C30" s="1230"/>
      <c r="D30" s="1230"/>
      <c r="E30" s="1230"/>
      <c r="F30" s="1230"/>
      <c r="G30" s="1232"/>
      <c r="H30" s="1227"/>
      <c r="I30" s="1243"/>
      <c r="J30" s="1230"/>
      <c r="K30" s="1230"/>
      <c r="L30" s="1230"/>
      <c r="M30" s="1232"/>
    </row>
    <row r="31" spans="1:13">
      <c r="A31" s="1247"/>
      <c r="B31" s="1248" t="s">
        <v>5408</v>
      </c>
      <c r="C31" s="1249" t="s">
        <v>5406</v>
      </c>
      <c r="D31" s="1249"/>
      <c r="E31" s="1249"/>
      <c r="F31" s="1249"/>
      <c r="G31" s="1250"/>
      <c r="H31" s="1247"/>
      <c r="I31" s="1248" t="s">
        <v>5408</v>
      </c>
      <c r="J31" s="1249" t="s">
        <v>5406</v>
      </c>
      <c r="K31" s="1249"/>
      <c r="L31" s="1249"/>
      <c r="M31" s="1250"/>
    </row>
    <row r="32" spans="1:13">
      <c r="G32" s="473"/>
    </row>
    <row r="42" spans="7:7">
      <c r="G42" s="473"/>
    </row>
    <row r="43" spans="7:7">
      <c r="G43" s="473"/>
    </row>
  </sheetData>
  <pageMargins left="0.7" right="0.7" top="0.75" bottom="0.75" header="0.3" footer="0.3"/>
  <pageSetup paperSize="9" orientation="landscape" verticalDpi="300" r:id="rId1"/>
</worksheet>
</file>

<file path=xl/worksheets/sheet5.xml><?xml version="1.0" encoding="utf-8"?>
<worksheet xmlns="http://schemas.openxmlformats.org/spreadsheetml/2006/main" xmlns:r="http://schemas.openxmlformats.org/officeDocument/2006/relationships">
  <sheetPr codeName="Sheet44"/>
  <dimension ref="A1:G426"/>
  <sheetViews>
    <sheetView view="pageBreakPreview" topLeftCell="A60" zoomScaleNormal="85" zoomScaleSheetLayoutView="100" workbookViewId="0">
      <selection activeCell="C55" sqref="C55"/>
    </sheetView>
  </sheetViews>
  <sheetFormatPr defaultRowHeight="15.75"/>
  <cols>
    <col min="1" max="1" width="9.140625" style="1251"/>
    <col min="2" max="2" width="9.7109375" style="1251" customWidth="1"/>
    <col min="3" max="3" width="57.28515625" style="1271" customWidth="1"/>
    <col min="4" max="4" width="13.7109375" style="1251" customWidth="1"/>
    <col min="5" max="5" width="9.140625" style="1251"/>
    <col min="6" max="6" width="15.85546875" style="1251" customWidth="1"/>
    <col min="7" max="257" width="9.140625" style="1251"/>
    <col min="258" max="258" width="9.7109375" style="1251" customWidth="1"/>
    <col min="259" max="259" width="57.28515625" style="1251" customWidth="1"/>
    <col min="260" max="260" width="13.7109375" style="1251" customWidth="1"/>
    <col min="261" max="261" width="9.140625" style="1251"/>
    <col min="262" max="262" width="15.85546875" style="1251" customWidth="1"/>
    <col min="263" max="513" width="9.140625" style="1251"/>
    <col min="514" max="514" width="9.7109375" style="1251" customWidth="1"/>
    <col min="515" max="515" width="57.28515625" style="1251" customWidth="1"/>
    <col min="516" max="516" width="13.7109375" style="1251" customWidth="1"/>
    <col min="517" max="517" width="9.140625" style="1251"/>
    <col min="518" max="518" width="15.85546875" style="1251" customWidth="1"/>
    <col min="519" max="769" width="9.140625" style="1251"/>
    <col min="770" max="770" width="9.7109375" style="1251" customWidth="1"/>
    <col min="771" max="771" width="57.28515625" style="1251" customWidth="1"/>
    <col min="772" max="772" width="13.7109375" style="1251" customWidth="1"/>
    <col min="773" max="773" width="9.140625" style="1251"/>
    <col min="774" max="774" width="15.85546875" style="1251" customWidth="1"/>
    <col min="775" max="1025" width="9.140625" style="1251"/>
    <col min="1026" max="1026" width="9.7109375" style="1251" customWidth="1"/>
    <col min="1027" max="1027" width="57.28515625" style="1251" customWidth="1"/>
    <col min="1028" max="1028" width="13.7109375" style="1251" customWidth="1"/>
    <col min="1029" max="1029" width="9.140625" style="1251"/>
    <col min="1030" max="1030" width="15.85546875" style="1251" customWidth="1"/>
    <col min="1031" max="1281" width="9.140625" style="1251"/>
    <col min="1282" max="1282" width="9.7109375" style="1251" customWidth="1"/>
    <col min="1283" max="1283" width="57.28515625" style="1251" customWidth="1"/>
    <col min="1284" max="1284" width="13.7109375" style="1251" customWidth="1"/>
    <col min="1285" max="1285" width="9.140625" style="1251"/>
    <col min="1286" max="1286" width="15.85546875" style="1251" customWidth="1"/>
    <col min="1287" max="1537" width="9.140625" style="1251"/>
    <col min="1538" max="1538" width="9.7109375" style="1251" customWidth="1"/>
    <col min="1539" max="1539" width="57.28515625" style="1251" customWidth="1"/>
    <col min="1540" max="1540" width="13.7109375" style="1251" customWidth="1"/>
    <col min="1541" max="1541" width="9.140625" style="1251"/>
    <col min="1542" max="1542" width="15.85546875" style="1251" customWidth="1"/>
    <col min="1543" max="1793" width="9.140625" style="1251"/>
    <col min="1794" max="1794" width="9.7109375" style="1251" customWidth="1"/>
    <col min="1795" max="1795" width="57.28515625" style="1251" customWidth="1"/>
    <col min="1796" max="1796" width="13.7109375" style="1251" customWidth="1"/>
    <col min="1797" max="1797" width="9.140625" style="1251"/>
    <col min="1798" max="1798" width="15.85546875" style="1251" customWidth="1"/>
    <col min="1799" max="2049" width="9.140625" style="1251"/>
    <col min="2050" max="2050" width="9.7109375" style="1251" customWidth="1"/>
    <col min="2051" max="2051" width="57.28515625" style="1251" customWidth="1"/>
    <col min="2052" max="2052" width="13.7109375" style="1251" customWidth="1"/>
    <col min="2053" max="2053" width="9.140625" style="1251"/>
    <col min="2054" max="2054" width="15.85546875" style="1251" customWidth="1"/>
    <col min="2055" max="2305" width="9.140625" style="1251"/>
    <col min="2306" max="2306" width="9.7109375" style="1251" customWidth="1"/>
    <col min="2307" max="2307" width="57.28515625" style="1251" customWidth="1"/>
    <col min="2308" max="2308" width="13.7109375" style="1251" customWidth="1"/>
    <col min="2309" max="2309" width="9.140625" style="1251"/>
    <col min="2310" max="2310" width="15.85546875" style="1251" customWidth="1"/>
    <col min="2311" max="2561" width="9.140625" style="1251"/>
    <col min="2562" max="2562" width="9.7109375" style="1251" customWidth="1"/>
    <col min="2563" max="2563" width="57.28515625" style="1251" customWidth="1"/>
    <col min="2564" max="2564" width="13.7109375" style="1251" customWidth="1"/>
    <col min="2565" max="2565" width="9.140625" style="1251"/>
    <col min="2566" max="2566" width="15.85546875" style="1251" customWidth="1"/>
    <col min="2567" max="2817" width="9.140625" style="1251"/>
    <col min="2818" max="2818" width="9.7109375" style="1251" customWidth="1"/>
    <col min="2819" max="2819" width="57.28515625" style="1251" customWidth="1"/>
    <col min="2820" max="2820" width="13.7109375" style="1251" customWidth="1"/>
    <col min="2821" max="2821" width="9.140625" style="1251"/>
    <col min="2822" max="2822" width="15.85546875" style="1251" customWidth="1"/>
    <col min="2823" max="3073" width="9.140625" style="1251"/>
    <col min="3074" max="3074" width="9.7109375" style="1251" customWidth="1"/>
    <col min="3075" max="3075" width="57.28515625" style="1251" customWidth="1"/>
    <col min="3076" max="3076" width="13.7109375" style="1251" customWidth="1"/>
    <col min="3077" max="3077" width="9.140625" style="1251"/>
    <col min="3078" max="3078" width="15.85546875" style="1251" customWidth="1"/>
    <col min="3079" max="3329" width="9.140625" style="1251"/>
    <col min="3330" max="3330" width="9.7109375" style="1251" customWidth="1"/>
    <col min="3331" max="3331" width="57.28515625" style="1251" customWidth="1"/>
    <col min="3332" max="3332" width="13.7109375" style="1251" customWidth="1"/>
    <col min="3333" max="3333" width="9.140625" style="1251"/>
    <col min="3334" max="3334" width="15.85546875" style="1251" customWidth="1"/>
    <col min="3335" max="3585" width="9.140625" style="1251"/>
    <col min="3586" max="3586" width="9.7109375" style="1251" customWidth="1"/>
    <col min="3587" max="3587" width="57.28515625" style="1251" customWidth="1"/>
    <col min="3588" max="3588" width="13.7109375" style="1251" customWidth="1"/>
    <col min="3589" max="3589" width="9.140625" style="1251"/>
    <col min="3590" max="3590" width="15.85546875" style="1251" customWidth="1"/>
    <col min="3591" max="3841" width="9.140625" style="1251"/>
    <col min="3842" max="3842" width="9.7109375" style="1251" customWidth="1"/>
    <col min="3843" max="3843" width="57.28515625" style="1251" customWidth="1"/>
    <col min="3844" max="3844" width="13.7109375" style="1251" customWidth="1"/>
    <col min="3845" max="3845" width="9.140625" style="1251"/>
    <col min="3846" max="3846" width="15.85546875" style="1251" customWidth="1"/>
    <col min="3847" max="4097" width="9.140625" style="1251"/>
    <col min="4098" max="4098" width="9.7109375" style="1251" customWidth="1"/>
    <col min="4099" max="4099" width="57.28515625" style="1251" customWidth="1"/>
    <col min="4100" max="4100" width="13.7109375" style="1251" customWidth="1"/>
    <col min="4101" max="4101" width="9.140625" style="1251"/>
    <col min="4102" max="4102" width="15.85546875" style="1251" customWidth="1"/>
    <col min="4103" max="4353" width="9.140625" style="1251"/>
    <col min="4354" max="4354" width="9.7109375" style="1251" customWidth="1"/>
    <col min="4355" max="4355" width="57.28515625" style="1251" customWidth="1"/>
    <col min="4356" max="4356" width="13.7109375" style="1251" customWidth="1"/>
    <col min="4357" max="4357" width="9.140625" style="1251"/>
    <col min="4358" max="4358" width="15.85546875" style="1251" customWidth="1"/>
    <col min="4359" max="4609" width="9.140625" style="1251"/>
    <col min="4610" max="4610" width="9.7109375" style="1251" customWidth="1"/>
    <col min="4611" max="4611" width="57.28515625" style="1251" customWidth="1"/>
    <col min="4612" max="4612" width="13.7109375" style="1251" customWidth="1"/>
    <col min="4613" max="4613" width="9.140625" style="1251"/>
    <col min="4614" max="4614" width="15.85546875" style="1251" customWidth="1"/>
    <col min="4615" max="4865" width="9.140625" style="1251"/>
    <col min="4866" max="4866" width="9.7109375" style="1251" customWidth="1"/>
    <col min="4867" max="4867" width="57.28515625" style="1251" customWidth="1"/>
    <col min="4868" max="4868" width="13.7109375" style="1251" customWidth="1"/>
    <col min="4869" max="4869" width="9.140625" style="1251"/>
    <col min="4870" max="4870" width="15.85546875" style="1251" customWidth="1"/>
    <col min="4871" max="5121" width="9.140625" style="1251"/>
    <col min="5122" max="5122" width="9.7109375" style="1251" customWidth="1"/>
    <col min="5123" max="5123" width="57.28515625" style="1251" customWidth="1"/>
    <col min="5124" max="5124" width="13.7109375" style="1251" customWidth="1"/>
    <col min="5125" max="5125" width="9.140625" style="1251"/>
    <col min="5126" max="5126" width="15.85546875" style="1251" customWidth="1"/>
    <col min="5127" max="5377" width="9.140625" style="1251"/>
    <col min="5378" max="5378" width="9.7109375" style="1251" customWidth="1"/>
    <col min="5379" max="5379" width="57.28515625" style="1251" customWidth="1"/>
    <col min="5380" max="5380" width="13.7109375" style="1251" customWidth="1"/>
    <col min="5381" max="5381" width="9.140625" style="1251"/>
    <col min="5382" max="5382" width="15.85546875" style="1251" customWidth="1"/>
    <col min="5383" max="5633" width="9.140625" style="1251"/>
    <col min="5634" max="5634" width="9.7109375" style="1251" customWidth="1"/>
    <col min="5635" max="5635" width="57.28515625" style="1251" customWidth="1"/>
    <col min="5636" max="5636" width="13.7109375" style="1251" customWidth="1"/>
    <col min="5637" max="5637" width="9.140625" style="1251"/>
    <col min="5638" max="5638" width="15.85546875" style="1251" customWidth="1"/>
    <col min="5639" max="5889" width="9.140625" style="1251"/>
    <col min="5890" max="5890" width="9.7109375" style="1251" customWidth="1"/>
    <col min="5891" max="5891" width="57.28515625" style="1251" customWidth="1"/>
    <col min="5892" max="5892" width="13.7109375" style="1251" customWidth="1"/>
    <col min="5893" max="5893" width="9.140625" style="1251"/>
    <col min="5894" max="5894" width="15.85546875" style="1251" customWidth="1"/>
    <col min="5895" max="6145" width="9.140625" style="1251"/>
    <col min="6146" max="6146" width="9.7109375" style="1251" customWidth="1"/>
    <col min="6147" max="6147" width="57.28515625" style="1251" customWidth="1"/>
    <col min="6148" max="6148" width="13.7109375" style="1251" customWidth="1"/>
    <col min="6149" max="6149" width="9.140625" style="1251"/>
    <col min="6150" max="6150" width="15.85546875" style="1251" customWidth="1"/>
    <col min="6151" max="6401" width="9.140625" style="1251"/>
    <col min="6402" max="6402" width="9.7109375" style="1251" customWidth="1"/>
    <col min="6403" max="6403" width="57.28515625" style="1251" customWidth="1"/>
    <col min="6404" max="6404" width="13.7109375" style="1251" customWidth="1"/>
    <col min="6405" max="6405" width="9.140625" style="1251"/>
    <col min="6406" max="6406" width="15.85546875" style="1251" customWidth="1"/>
    <col min="6407" max="6657" width="9.140625" style="1251"/>
    <col min="6658" max="6658" width="9.7109375" style="1251" customWidth="1"/>
    <col min="6659" max="6659" width="57.28515625" style="1251" customWidth="1"/>
    <col min="6660" max="6660" width="13.7109375" style="1251" customWidth="1"/>
    <col min="6661" max="6661" width="9.140625" style="1251"/>
    <col min="6662" max="6662" width="15.85546875" style="1251" customWidth="1"/>
    <col min="6663" max="6913" width="9.140625" style="1251"/>
    <col min="6914" max="6914" width="9.7109375" style="1251" customWidth="1"/>
    <col min="6915" max="6915" width="57.28515625" style="1251" customWidth="1"/>
    <col min="6916" max="6916" width="13.7109375" style="1251" customWidth="1"/>
    <col min="6917" max="6917" width="9.140625" style="1251"/>
    <col min="6918" max="6918" width="15.85546875" style="1251" customWidth="1"/>
    <col min="6919" max="7169" width="9.140625" style="1251"/>
    <col min="7170" max="7170" width="9.7109375" style="1251" customWidth="1"/>
    <col min="7171" max="7171" width="57.28515625" style="1251" customWidth="1"/>
    <col min="7172" max="7172" width="13.7109375" style="1251" customWidth="1"/>
    <col min="7173" max="7173" width="9.140625" style="1251"/>
    <col min="7174" max="7174" width="15.85546875" style="1251" customWidth="1"/>
    <col min="7175" max="7425" width="9.140625" style="1251"/>
    <col min="7426" max="7426" width="9.7109375" style="1251" customWidth="1"/>
    <col min="7427" max="7427" width="57.28515625" style="1251" customWidth="1"/>
    <col min="7428" max="7428" width="13.7109375" style="1251" customWidth="1"/>
    <col min="7429" max="7429" width="9.140625" style="1251"/>
    <col min="7430" max="7430" width="15.85546875" style="1251" customWidth="1"/>
    <col min="7431" max="7681" width="9.140625" style="1251"/>
    <col min="7682" max="7682" width="9.7109375" style="1251" customWidth="1"/>
    <col min="7683" max="7683" width="57.28515625" style="1251" customWidth="1"/>
    <col min="7684" max="7684" width="13.7109375" style="1251" customWidth="1"/>
    <col min="7685" max="7685" width="9.140625" style="1251"/>
    <col min="7686" max="7686" width="15.85546875" style="1251" customWidth="1"/>
    <col min="7687" max="7937" width="9.140625" style="1251"/>
    <col min="7938" max="7938" width="9.7109375" style="1251" customWidth="1"/>
    <col min="7939" max="7939" width="57.28515625" style="1251" customWidth="1"/>
    <col min="7940" max="7940" width="13.7109375" style="1251" customWidth="1"/>
    <col min="7941" max="7941" width="9.140625" style="1251"/>
    <col min="7942" max="7942" width="15.85546875" style="1251" customWidth="1"/>
    <col min="7943" max="8193" width="9.140625" style="1251"/>
    <col min="8194" max="8194" width="9.7109375" style="1251" customWidth="1"/>
    <col min="8195" max="8195" width="57.28515625" style="1251" customWidth="1"/>
    <col min="8196" max="8196" width="13.7109375" style="1251" customWidth="1"/>
    <col min="8197" max="8197" width="9.140625" style="1251"/>
    <col min="8198" max="8198" width="15.85546875" style="1251" customWidth="1"/>
    <col min="8199" max="8449" width="9.140625" style="1251"/>
    <col min="8450" max="8450" width="9.7109375" style="1251" customWidth="1"/>
    <col min="8451" max="8451" width="57.28515625" style="1251" customWidth="1"/>
    <col min="8452" max="8452" width="13.7109375" style="1251" customWidth="1"/>
    <col min="8453" max="8453" width="9.140625" style="1251"/>
    <col min="8454" max="8454" width="15.85546875" style="1251" customWidth="1"/>
    <col min="8455" max="8705" width="9.140625" style="1251"/>
    <col min="8706" max="8706" width="9.7109375" style="1251" customWidth="1"/>
    <col min="8707" max="8707" width="57.28515625" style="1251" customWidth="1"/>
    <col min="8708" max="8708" width="13.7109375" style="1251" customWidth="1"/>
    <col min="8709" max="8709" width="9.140625" style="1251"/>
    <col min="8710" max="8710" width="15.85546875" style="1251" customWidth="1"/>
    <col min="8711" max="8961" width="9.140625" style="1251"/>
    <col min="8962" max="8962" width="9.7109375" style="1251" customWidth="1"/>
    <col min="8963" max="8963" width="57.28515625" style="1251" customWidth="1"/>
    <col min="8964" max="8964" width="13.7109375" style="1251" customWidth="1"/>
    <col min="8965" max="8965" width="9.140625" style="1251"/>
    <col min="8966" max="8966" width="15.85546875" style="1251" customWidth="1"/>
    <col min="8967" max="9217" width="9.140625" style="1251"/>
    <col min="9218" max="9218" width="9.7109375" style="1251" customWidth="1"/>
    <col min="9219" max="9219" width="57.28515625" style="1251" customWidth="1"/>
    <col min="9220" max="9220" width="13.7109375" style="1251" customWidth="1"/>
    <col min="9221" max="9221" width="9.140625" style="1251"/>
    <col min="9222" max="9222" width="15.85546875" style="1251" customWidth="1"/>
    <col min="9223" max="9473" width="9.140625" style="1251"/>
    <col min="9474" max="9474" width="9.7109375" style="1251" customWidth="1"/>
    <col min="9475" max="9475" width="57.28515625" style="1251" customWidth="1"/>
    <col min="9476" max="9476" width="13.7109375" style="1251" customWidth="1"/>
    <col min="9477" max="9477" width="9.140625" style="1251"/>
    <col min="9478" max="9478" width="15.85546875" style="1251" customWidth="1"/>
    <col min="9479" max="9729" width="9.140625" style="1251"/>
    <col min="9730" max="9730" width="9.7109375" style="1251" customWidth="1"/>
    <col min="9731" max="9731" width="57.28515625" style="1251" customWidth="1"/>
    <col min="9732" max="9732" width="13.7109375" style="1251" customWidth="1"/>
    <col min="9733" max="9733" width="9.140625" style="1251"/>
    <col min="9734" max="9734" width="15.85546875" style="1251" customWidth="1"/>
    <col min="9735" max="9985" width="9.140625" style="1251"/>
    <col min="9986" max="9986" width="9.7109375" style="1251" customWidth="1"/>
    <col min="9987" max="9987" width="57.28515625" style="1251" customWidth="1"/>
    <col min="9988" max="9988" width="13.7109375" style="1251" customWidth="1"/>
    <col min="9989" max="9989" width="9.140625" style="1251"/>
    <col min="9990" max="9990" width="15.85546875" style="1251" customWidth="1"/>
    <col min="9991" max="10241" width="9.140625" style="1251"/>
    <col min="10242" max="10242" width="9.7109375" style="1251" customWidth="1"/>
    <col min="10243" max="10243" width="57.28515625" style="1251" customWidth="1"/>
    <col min="10244" max="10244" width="13.7109375" style="1251" customWidth="1"/>
    <col min="10245" max="10245" width="9.140625" style="1251"/>
    <col min="10246" max="10246" width="15.85546875" style="1251" customWidth="1"/>
    <col min="10247" max="10497" width="9.140625" style="1251"/>
    <col min="10498" max="10498" width="9.7109375" style="1251" customWidth="1"/>
    <col min="10499" max="10499" width="57.28515625" style="1251" customWidth="1"/>
    <col min="10500" max="10500" width="13.7109375" style="1251" customWidth="1"/>
    <col min="10501" max="10501" width="9.140625" style="1251"/>
    <col min="10502" max="10502" width="15.85546875" style="1251" customWidth="1"/>
    <col min="10503" max="10753" width="9.140625" style="1251"/>
    <col min="10754" max="10754" width="9.7109375" style="1251" customWidth="1"/>
    <col min="10755" max="10755" width="57.28515625" style="1251" customWidth="1"/>
    <col min="10756" max="10756" width="13.7109375" style="1251" customWidth="1"/>
    <col min="10757" max="10757" width="9.140625" style="1251"/>
    <col min="10758" max="10758" width="15.85546875" style="1251" customWidth="1"/>
    <col min="10759" max="11009" width="9.140625" style="1251"/>
    <col min="11010" max="11010" width="9.7109375" style="1251" customWidth="1"/>
    <col min="11011" max="11011" width="57.28515625" style="1251" customWidth="1"/>
    <col min="11012" max="11012" width="13.7109375" style="1251" customWidth="1"/>
    <col min="11013" max="11013" width="9.140625" style="1251"/>
    <col min="11014" max="11014" width="15.85546875" style="1251" customWidth="1"/>
    <col min="11015" max="11265" width="9.140625" style="1251"/>
    <col min="11266" max="11266" width="9.7109375" style="1251" customWidth="1"/>
    <col min="11267" max="11267" width="57.28515625" style="1251" customWidth="1"/>
    <col min="11268" max="11268" width="13.7109375" style="1251" customWidth="1"/>
    <col min="11269" max="11269" width="9.140625" style="1251"/>
    <col min="11270" max="11270" width="15.85546875" style="1251" customWidth="1"/>
    <col min="11271" max="11521" width="9.140625" style="1251"/>
    <col min="11522" max="11522" width="9.7109375" style="1251" customWidth="1"/>
    <col min="11523" max="11523" width="57.28515625" style="1251" customWidth="1"/>
    <col min="11524" max="11524" width="13.7109375" style="1251" customWidth="1"/>
    <col min="11525" max="11525" width="9.140625" style="1251"/>
    <col min="11526" max="11526" width="15.85546875" style="1251" customWidth="1"/>
    <col min="11527" max="11777" width="9.140625" style="1251"/>
    <col min="11778" max="11778" width="9.7109375" style="1251" customWidth="1"/>
    <col min="11779" max="11779" width="57.28515625" style="1251" customWidth="1"/>
    <col min="11780" max="11780" width="13.7109375" style="1251" customWidth="1"/>
    <col min="11781" max="11781" width="9.140625" style="1251"/>
    <col min="11782" max="11782" width="15.85546875" style="1251" customWidth="1"/>
    <col min="11783" max="12033" width="9.140625" style="1251"/>
    <col min="12034" max="12034" width="9.7109375" style="1251" customWidth="1"/>
    <col min="12035" max="12035" width="57.28515625" style="1251" customWidth="1"/>
    <col min="12036" max="12036" width="13.7109375" style="1251" customWidth="1"/>
    <col min="12037" max="12037" width="9.140625" style="1251"/>
    <col min="12038" max="12038" width="15.85546875" style="1251" customWidth="1"/>
    <col min="12039" max="12289" width="9.140625" style="1251"/>
    <col min="12290" max="12290" width="9.7109375" style="1251" customWidth="1"/>
    <col min="12291" max="12291" width="57.28515625" style="1251" customWidth="1"/>
    <col min="12292" max="12292" width="13.7109375" style="1251" customWidth="1"/>
    <col min="12293" max="12293" width="9.140625" style="1251"/>
    <col min="12294" max="12294" width="15.85546875" style="1251" customWidth="1"/>
    <col min="12295" max="12545" width="9.140625" style="1251"/>
    <col min="12546" max="12546" width="9.7109375" style="1251" customWidth="1"/>
    <col min="12547" max="12547" width="57.28515625" style="1251" customWidth="1"/>
    <col min="12548" max="12548" width="13.7109375" style="1251" customWidth="1"/>
    <col min="12549" max="12549" width="9.140625" style="1251"/>
    <col min="12550" max="12550" width="15.85546875" style="1251" customWidth="1"/>
    <col min="12551" max="12801" width="9.140625" style="1251"/>
    <col min="12802" max="12802" width="9.7109375" style="1251" customWidth="1"/>
    <col min="12803" max="12803" width="57.28515625" style="1251" customWidth="1"/>
    <col min="12804" max="12804" width="13.7109375" style="1251" customWidth="1"/>
    <col min="12805" max="12805" width="9.140625" style="1251"/>
    <col min="12806" max="12806" width="15.85546875" style="1251" customWidth="1"/>
    <col min="12807" max="13057" width="9.140625" style="1251"/>
    <col min="13058" max="13058" width="9.7109375" style="1251" customWidth="1"/>
    <col min="13059" max="13059" width="57.28515625" style="1251" customWidth="1"/>
    <col min="13060" max="13060" width="13.7109375" style="1251" customWidth="1"/>
    <col min="13061" max="13061" width="9.140625" style="1251"/>
    <col min="13062" max="13062" width="15.85546875" style="1251" customWidth="1"/>
    <col min="13063" max="13313" width="9.140625" style="1251"/>
    <col min="13314" max="13314" width="9.7109375" style="1251" customWidth="1"/>
    <col min="13315" max="13315" width="57.28515625" style="1251" customWidth="1"/>
    <col min="13316" max="13316" width="13.7109375" style="1251" customWidth="1"/>
    <col min="13317" max="13317" width="9.140625" style="1251"/>
    <col min="13318" max="13318" width="15.85546875" style="1251" customWidth="1"/>
    <col min="13319" max="13569" width="9.140625" style="1251"/>
    <col min="13570" max="13570" width="9.7109375" style="1251" customWidth="1"/>
    <col min="13571" max="13571" width="57.28515625" style="1251" customWidth="1"/>
    <col min="13572" max="13572" width="13.7109375" style="1251" customWidth="1"/>
    <col min="13573" max="13573" width="9.140625" style="1251"/>
    <col min="13574" max="13574" width="15.85546875" style="1251" customWidth="1"/>
    <col min="13575" max="13825" width="9.140625" style="1251"/>
    <col min="13826" max="13826" width="9.7109375" style="1251" customWidth="1"/>
    <col min="13827" max="13827" width="57.28515625" style="1251" customWidth="1"/>
    <col min="13828" max="13828" width="13.7109375" style="1251" customWidth="1"/>
    <col min="13829" max="13829" width="9.140625" style="1251"/>
    <col min="13830" max="13830" width="15.85546875" style="1251" customWidth="1"/>
    <col min="13831" max="14081" width="9.140625" style="1251"/>
    <col min="14082" max="14082" width="9.7109375" style="1251" customWidth="1"/>
    <col min="14083" max="14083" width="57.28515625" style="1251" customWidth="1"/>
    <col min="14084" max="14084" width="13.7109375" style="1251" customWidth="1"/>
    <col min="14085" max="14085" width="9.140625" style="1251"/>
    <col min="14086" max="14086" width="15.85546875" style="1251" customWidth="1"/>
    <col min="14087" max="14337" width="9.140625" style="1251"/>
    <col min="14338" max="14338" width="9.7109375" style="1251" customWidth="1"/>
    <col min="14339" max="14339" width="57.28515625" style="1251" customWidth="1"/>
    <col min="14340" max="14340" width="13.7109375" style="1251" customWidth="1"/>
    <col min="14341" max="14341" width="9.140625" style="1251"/>
    <col min="14342" max="14342" width="15.85546875" style="1251" customWidth="1"/>
    <col min="14343" max="14593" width="9.140625" style="1251"/>
    <col min="14594" max="14594" width="9.7109375" style="1251" customWidth="1"/>
    <col min="14595" max="14595" width="57.28515625" style="1251" customWidth="1"/>
    <col min="14596" max="14596" width="13.7109375" style="1251" customWidth="1"/>
    <col min="14597" max="14597" width="9.140625" style="1251"/>
    <col min="14598" max="14598" width="15.85546875" style="1251" customWidth="1"/>
    <col min="14599" max="14849" width="9.140625" style="1251"/>
    <col min="14850" max="14850" width="9.7109375" style="1251" customWidth="1"/>
    <col min="14851" max="14851" width="57.28515625" style="1251" customWidth="1"/>
    <col min="14852" max="14852" width="13.7109375" style="1251" customWidth="1"/>
    <col min="14853" max="14853" width="9.140625" style="1251"/>
    <col min="14854" max="14854" width="15.85546875" style="1251" customWidth="1"/>
    <col min="14855" max="15105" width="9.140625" style="1251"/>
    <col min="15106" max="15106" width="9.7109375" style="1251" customWidth="1"/>
    <col min="15107" max="15107" width="57.28515625" style="1251" customWidth="1"/>
    <col min="15108" max="15108" width="13.7109375" style="1251" customWidth="1"/>
    <col min="15109" max="15109" width="9.140625" style="1251"/>
    <col min="15110" max="15110" width="15.85546875" style="1251" customWidth="1"/>
    <col min="15111" max="15361" width="9.140625" style="1251"/>
    <col min="15362" max="15362" width="9.7109375" style="1251" customWidth="1"/>
    <col min="15363" max="15363" width="57.28515625" style="1251" customWidth="1"/>
    <col min="15364" max="15364" width="13.7109375" style="1251" customWidth="1"/>
    <col min="15365" max="15365" width="9.140625" style="1251"/>
    <col min="15366" max="15366" width="15.85546875" style="1251" customWidth="1"/>
    <col min="15367" max="15617" width="9.140625" style="1251"/>
    <col min="15618" max="15618" width="9.7109375" style="1251" customWidth="1"/>
    <col min="15619" max="15619" width="57.28515625" style="1251" customWidth="1"/>
    <col min="15620" max="15620" width="13.7109375" style="1251" customWidth="1"/>
    <col min="15621" max="15621" width="9.140625" style="1251"/>
    <col min="15622" max="15622" width="15.85546875" style="1251" customWidth="1"/>
    <col min="15623" max="15873" width="9.140625" style="1251"/>
    <col min="15874" max="15874" width="9.7109375" style="1251" customWidth="1"/>
    <col min="15875" max="15875" width="57.28515625" style="1251" customWidth="1"/>
    <col min="15876" max="15876" width="13.7109375" style="1251" customWidth="1"/>
    <col min="15877" max="15877" width="9.140625" style="1251"/>
    <col min="15878" max="15878" width="15.85546875" style="1251" customWidth="1"/>
    <col min="15879" max="16129" width="9.140625" style="1251"/>
    <col min="16130" max="16130" width="9.7109375" style="1251" customWidth="1"/>
    <col min="16131" max="16131" width="57.28515625" style="1251" customWidth="1"/>
    <col min="16132" max="16132" width="13.7109375" style="1251" customWidth="1"/>
    <col min="16133" max="16133" width="9.140625" style="1251"/>
    <col min="16134" max="16134" width="15.85546875" style="1251" customWidth="1"/>
    <col min="16135" max="16384" width="9.140625" style="1251"/>
  </cols>
  <sheetData>
    <row r="1" spans="1:6" ht="25.5" customHeight="1">
      <c r="A1" s="1624" t="s">
        <v>0</v>
      </c>
      <c r="B1" s="1624"/>
      <c r="C1" s="1624"/>
      <c r="D1" s="1624"/>
      <c r="E1" s="1624"/>
      <c r="F1" s="1624"/>
    </row>
    <row r="2" spans="1:6" ht="25.5" customHeight="1">
      <c r="A2" s="1624" t="s">
        <v>1</v>
      </c>
      <c r="B2" s="1624"/>
      <c r="C2" s="1624"/>
      <c r="D2" s="1624"/>
      <c r="E2" s="1624"/>
      <c r="F2" s="1624"/>
    </row>
    <row r="3" spans="1:6" ht="98.25" customHeight="1">
      <c r="A3" s="1624" t="e">
        <f>#REF!</f>
        <v>#REF!</v>
      </c>
      <c r="B3" s="1624"/>
      <c r="C3" s="1624"/>
      <c r="D3" s="1624"/>
      <c r="E3" s="1624"/>
      <c r="F3" s="1624"/>
    </row>
    <row r="4" spans="1:6" ht="25.5" customHeight="1">
      <c r="A4" s="1624"/>
      <c r="B4" s="1624"/>
      <c r="C4" s="1624"/>
      <c r="D4" s="1624"/>
      <c r="E4" s="1624"/>
      <c r="F4" s="1624"/>
    </row>
    <row r="5" spans="1:6" ht="25.5" customHeight="1">
      <c r="A5" s="1252"/>
      <c r="B5" s="1252"/>
      <c r="C5" s="1253"/>
      <c r="D5" s="1254"/>
      <c r="E5" s="1252"/>
      <c r="F5" s="1255"/>
    </row>
    <row r="6" spans="1:6" ht="25.5" hidden="1" customHeight="1">
      <c r="A6" s="1252"/>
      <c r="B6" s="1252"/>
      <c r="C6" s="1256" t="s">
        <v>5409</v>
      </c>
      <c r="D6" s="1252"/>
      <c r="E6" s="1252"/>
      <c r="F6" s="1252"/>
    </row>
    <row r="7" spans="1:6" ht="25.5" hidden="1" customHeight="1">
      <c r="A7" s="1257">
        <v>1</v>
      </c>
      <c r="B7" s="1257" t="s">
        <v>5410</v>
      </c>
      <c r="C7" s="1256" t="s">
        <v>5411</v>
      </c>
      <c r="D7" s="1257">
        <v>14.6</v>
      </c>
      <c r="E7" s="1258" t="s">
        <v>12</v>
      </c>
      <c r="F7" s="1257">
        <f>A7*D7</f>
        <v>14.6</v>
      </c>
    </row>
    <row r="8" spans="1:6" ht="25.5" hidden="1" customHeight="1">
      <c r="A8" s="1257"/>
      <c r="B8" s="1257"/>
      <c r="C8" s="1259" t="s">
        <v>5412</v>
      </c>
      <c r="D8" s="1257"/>
      <c r="E8" s="1257"/>
      <c r="F8" s="1257"/>
    </row>
    <row r="9" spans="1:6" ht="25.5" hidden="1" customHeight="1">
      <c r="A9" s="1257">
        <v>1</v>
      </c>
      <c r="B9" s="1257" t="s">
        <v>5410</v>
      </c>
      <c r="C9" s="1260" t="s">
        <v>5413</v>
      </c>
      <c r="D9" s="1257">
        <v>115.13</v>
      </c>
      <c r="E9" s="1258" t="s">
        <v>12</v>
      </c>
      <c r="F9" s="1257">
        <f>A9*D9</f>
        <v>115.13</v>
      </c>
    </row>
    <row r="10" spans="1:6" ht="25.5" hidden="1" customHeight="1">
      <c r="A10" s="1257"/>
      <c r="B10" s="1257"/>
      <c r="C10" s="1259" t="s">
        <v>5414</v>
      </c>
      <c r="D10" s="1257"/>
      <c r="E10" s="1257"/>
      <c r="F10" s="1257"/>
    </row>
    <row r="11" spans="1:6" ht="25.5" hidden="1" customHeight="1">
      <c r="A11" s="1257">
        <v>1</v>
      </c>
      <c r="B11" s="1257" t="s">
        <v>5410</v>
      </c>
      <c r="C11" s="1260" t="s">
        <v>5415</v>
      </c>
      <c r="D11" s="1257">
        <v>16.04</v>
      </c>
      <c r="E11" s="1258" t="s">
        <v>12</v>
      </c>
      <c r="F11" s="1257">
        <f>A11*D11</f>
        <v>16.04</v>
      </c>
    </row>
    <row r="12" spans="1:6" ht="25.5" hidden="1" customHeight="1">
      <c r="A12" s="1257"/>
      <c r="B12" s="1257"/>
      <c r="C12" s="1259" t="s">
        <v>5414</v>
      </c>
      <c r="D12" s="1257"/>
      <c r="E12" s="1257"/>
      <c r="F12" s="1257"/>
    </row>
    <row r="13" spans="1:6" ht="25.5" hidden="1" customHeight="1">
      <c r="A13" s="1257">
        <v>1</v>
      </c>
      <c r="B13" s="1257" t="s">
        <v>5410</v>
      </c>
      <c r="C13" s="1260" t="s">
        <v>5416</v>
      </c>
      <c r="D13" s="1257">
        <v>8.1</v>
      </c>
      <c r="E13" s="1258" t="s">
        <v>12</v>
      </c>
      <c r="F13" s="1257">
        <f>A13*D13</f>
        <v>8.1</v>
      </c>
    </row>
    <row r="14" spans="1:6" ht="25.5" hidden="1" customHeight="1">
      <c r="A14" s="1257"/>
      <c r="B14" s="1257"/>
      <c r="C14" s="1259" t="s">
        <v>5414</v>
      </c>
      <c r="D14" s="1257"/>
      <c r="E14" s="1257"/>
      <c r="F14" s="1257"/>
    </row>
    <row r="15" spans="1:6" ht="25.5" hidden="1" customHeight="1">
      <c r="A15" s="1257"/>
      <c r="B15" s="1257"/>
      <c r="C15" s="1259" t="str">
        <f>"Add" &amp;" "&amp;F5&amp;"%  "&amp; C5 &amp;" "&amp;D5</f>
        <v xml:space="preserve">Add %   </v>
      </c>
      <c r="D15" s="1257"/>
      <c r="E15" s="1257"/>
      <c r="F15" s="1257">
        <f>SUM(F9:F13)*F5%</f>
        <v>0</v>
      </c>
    </row>
    <row r="16" spans="1:6" ht="25.5" hidden="1" customHeight="1">
      <c r="A16" s="1257"/>
      <c r="B16" s="1257"/>
      <c r="C16" s="1260"/>
      <c r="D16" s="1257"/>
      <c r="E16" s="1257"/>
      <c r="F16" s="1261">
        <f>SUM(F7:F15)</f>
        <v>153.86999999999998</v>
      </c>
    </row>
    <row r="17" spans="1:7" ht="25.5" hidden="1" customHeight="1">
      <c r="A17" s="1252"/>
      <c r="B17" s="1252"/>
      <c r="C17" s="1262"/>
      <c r="D17" s="1252"/>
      <c r="E17" s="1252"/>
      <c r="F17" s="1252"/>
    </row>
    <row r="18" spans="1:7" ht="17.25" hidden="1">
      <c r="A18" s="1255"/>
      <c r="B18" s="1255"/>
      <c r="C18" s="1263"/>
      <c r="D18" s="1255"/>
      <c r="E18" s="1255"/>
      <c r="F18" s="1255"/>
      <c r="G18" s="1264"/>
    </row>
    <row r="19" spans="1:7" ht="17.25" hidden="1">
      <c r="A19" s="1257">
        <v>1</v>
      </c>
      <c r="B19" s="1257" t="s">
        <v>5410</v>
      </c>
      <c r="C19" s="1256" t="s">
        <v>5417</v>
      </c>
      <c r="D19" s="1257">
        <v>21.6</v>
      </c>
      <c r="E19" s="1258" t="s">
        <v>12</v>
      </c>
      <c r="F19" s="1257">
        <f>A19*D19</f>
        <v>21.6</v>
      </c>
      <c r="G19" s="1264"/>
    </row>
    <row r="20" spans="1:7" ht="17.25" hidden="1">
      <c r="A20" s="1257"/>
      <c r="B20" s="1257"/>
      <c r="C20" s="1259" t="s">
        <v>5412</v>
      </c>
      <c r="D20" s="1257"/>
      <c r="E20" s="1257"/>
      <c r="F20" s="1257"/>
      <c r="G20" s="1264"/>
    </row>
    <row r="21" spans="1:7" ht="17.25" hidden="1">
      <c r="A21" s="1257">
        <v>1</v>
      </c>
      <c r="B21" s="1257" t="s">
        <v>5410</v>
      </c>
      <c r="C21" s="1260" t="s">
        <v>5413</v>
      </c>
      <c r="D21" s="1257">
        <v>115.13</v>
      </c>
      <c r="E21" s="1258" t="s">
        <v>12</v>
      </c>
      <c r="F21" s="1257">
        <f>A21*D21</f>
        <v>115.13</v>
      </c>
      <c r="G21" s="1264"/>
    </row>
    <row r="22" spans="1:7" ht="17.25" hidden="1">
      <c r="A22" s="1257"/>
      <c r="B22" s="1257"/>
      <c r="C22" s="1259" t="s">
        <v>5414</v>
      </c>
      <c r="D22" s="1257"/>
      <c r="E22" s="1257"/>
      <c r="F22" s="1257"/>
      <c r="G22" s="1264"/>
    </row>
    <row r="23" spans="1:7" ht="17.25" hidden="1">
      <c r="A23" s="1257">
        <v>1</v>
      </c>
      <c r="B23" s="1257" t="s">
        <v>5410</v>
      </c>
      <c r="C23" s="1260" t="s">
        <v>5415</v>
      </c>
      <c r="D23" s="1257">
        <v>16.04</v>
      </c>
      <c r="E23" s="1258" t="s">
        <v>12</v>
      </c>
      <c r="F23" s="1257">
        <f>A23*D23</f>
        <v>16.04</v>
      </c>
      <c r="G23" s="1264"/>
    </row>
    <row r="24" spans="1:7" ht="17.25" hidden="1">
      <c r="A24" s="1257"/>
      <c r="B24" s="1257"/>
      <c r="C24" s="1259" t="s">
        <v>5414</v>
      </c>
      <c r="D24" s="1257"/>
      <c r="E24" s="1257"/>
      <c r="F24" s="1257"/>
      <c r="G24" s="1264"/>
    </row>
    <row r="25" spans="1:7" ht="17.25" hidden="1">
      <c r="A25" s="1257">
        <v>1</v>
      </c>
      <c r="B25" s="1257" t="s">
        <v>5410</v>
      </c>
      <c r="C25" s="1260" t="s">
        <v>5416</v>
      </c>
      <c r="D25" s="1257">
        <v>8.1</v>
      </c>
      <c r="E25" s="1258" t="s">
        <v>12</v>
      </c>
      <c r="F25" s="1257">
        <f>A25*D25</f>
        <v>8.1</v>
      </c>
      <c r="G25" s="1264"/>
    </row>
    <row r="26" spans="1:7" ht="17.25" hidden="1">
      <c r="A26" s="1257"/>
      <c r="B26" s="1257"/>
      <c r="C26" s="1259" t="s">
        <v>5414</v>
      </c>
      <c r="D26" s="1257"/>
      <c r="E26" s="1257"/>
      <c r="F26" s="1257"/>
      <c r="G26" s="1264"/>
    </row>
    <row r="27" spans="1:7" ht="17.25" hidden="1">
      <c r="A27" s="1257"/>
      <c r="B27" s="1257"/>
      <c r="C27" s="1259" t="str">
        <f>"Add" &amp;" "&amp;F5&amp;"%  "&amp; C5 &amp;" "&amp;D5</f>
        <v xml:space="preserve">Add %   </v>
      </c>
      <c r="D27" s="1257"/>
      <c r="E27" s="1257"/>
      <c r="F27" s="1257">
        <f>SUM(F21:F25)*F5%</f>
        <v>0</v>
      </c>
      <c r="G27" s="1264"/>
    </row>
    <row r="28" spans="1:7" ht="17.25" hidden="1">
      <c r="A28" s="1257"/>
      <c r="B28" s="1257"/>
      <c r="C28" s="1260"/>
      <c r="D28" s="1257"/>
      <c r="E28" s="1257"/>
      <c r="F28" s="1261">
        <f>SUM(F19:F27)</f>
        <v>160.86999999999998</v>
      </c>
      <c r="G28" s="1264"/>
    </row>
    <row r="29" spans="1:7" ht="17.25" hidden="1">
      <c r="A29" s="1255"/>
      <c r="B29" s="1255"/>
      <c r="C29" s="1263"/>
      <c r="D29" s="1255"/>
      <c r="E29" s="1255"/>
      <c r="F29" s="1255"/>
      <c r="G29" s="1264"/>
    </row>
    <row r="30" spans="1:7" ht="17.25" hidden="1">
      <c r="A30" s="1255"/>
      <c r="B30" s="1255"/>
      <c r="C30" s="1263"/>
      <c r="D30" s="1255"/>
      <c r="E30" s="1255"/>
      <c r="F30" s="1255"/>
      <c r="G30" s="1264"/>
    </row>
    <row r="31" spans="1:7" ht="17.25" hidden="1">
      <c r="A31" s="1257">
        <v>1</v>
      </c>
      <c r="B31" s="1257" t="s">
        <v>5410</v>
      </c>
      <c r="C31" s="1256" t="s">
        <v>5418</v>
      </c>
      <c r="D31" s="1257">
        <v>36.799999999999997</v>
      </c>
      <c r="E31" s="1258" t="s">
        <v>12</v>
      </c>
      <c r="F31" s="1257">
        <f>A31*D31</f>
        <v>36.799999999999997</v>
      </c>
      <c r="G31" s="1265"/>
    </row>
    <row r="32" spans="1:7" ht="17.25" hidden="1">
      <c r="A32" s="1257"/>
      <c r="B32" s="1257"/>
      <c r="C32" s="1259" t="s">
        <v>5412</v>
      </c>
      <c r="D32" s="1257"/>
      <c r="E32" s="1257"/>
      <c r="F32" s="1257"/>
      <c r="G32" s="1264"/>
    </row>
    <row r="33" spans="1:7" ht="17.25" hidden="1">
      <c r="A33" s="1257">
        <v>1</v>
      </c>
      <c r="B33" s="1257" t="s">
        <v>5410</v>
      </c>
      <c r="C33" s="1260" t="s">
        <v>5413</v>
      </c>
      <c r="D33" s="1257">
        <v>115.13</v>
      </c>
      <c r="E33" s="1258" t="s">
        <v>12</v>
      </c>
      <c r="F33" s="1257">
        <f>A33*D33</f>
        <v>115.13</v>
      </c>
      <c r="G33" s="1264"/>
    </row>
    <row r="34" spans="1:7" ht="17.25" hidden="1">
      <c r="A34" s="1257"/>
      <c r="B34" s="1257"/>
      <c r="C34" s="1259" t="s">
        <v>5414</v>
      </c>
      <c r="D34" s="1257"/>
      <c r="E34" s="1257"/>
      <c r="F34" s="1257"/>
      <c r="G34" s="1264"/>
    </row>
    <row r="35" spans="1:7" ht="17.25" hidden="1">
      <c r="A35" s="1257">
        <v>1</v>
      </c>
      <c r="B35" s="1257" t="s">
        <v>5410</v>
      </c>
      <c r="C35" s="1260" t="s">
        <v>5415</v>
      </c>
      <c r="D35" s="1257">
        <v>16.04</v>
      </c>
      <c r="E35" s="1258" t="s">
        <v>12</v>
      </c>
      <c r="F35" s="1257">
        <f>A35*D35</f>
        <v>16.04</v>
      </c>
      <c r="G35" s="1264"/>
    </row>
    <row r="36" spans="1:7" ht="17.25" hidden="1">
      <c r="A36" s="1257"/>
      <c r="B36" s="1257"/>
      <c r="C36" s="1259" t="s">
        <v>5414</v>
      </c>
      <c r="D36" s="1257"/>
      <c r="E36" s="1257"/>
      <c r="F36" s="1257"/>
      <c r="G36" s="1264"/>
    </row>
    <row r="37" spans="1:7" ht="17.25" hidden="1">
      <c r="A37" s="1257">
        <v>1</v>
      </c>
      <c r="B37" s="1257" t="s">
        <v>5410</v>
      </c>
      <c r="C37" s="1260" t="s">
        <v>5416</v>
      </c>
      <c r="D37" s="1257">
        <v>8.1</v>
      </c>
      <c r="E37" s="1258" t="s">
        <v>12</v>
      </c>
      <c r="F37" s="1257">
        <f>A37*D37</f>
        <v>8.1</v>
      </c>
      <c r="G37" s="1264"/>
    </row>
    <row r="38" spans="1:7" ht="17.25" hidden="1">
      <c r="A38" s="1257"/>
      <c r="B38" s="1257"/>
      <c r="C38" s="1259" t="s">
        <v>5414</v>
      </c>
      <c r="D38" s="1257"/>
      <c r="E38" s="1257"/>
      <c r="F38" s="1257"/>
      <c r="G38" s="1264"/>
    </row>
    <row r="39" spans="1:7" s="1266" customFormat="1" ht="16.5" hidden="1" customHeight="1">
      <c r="A39" s="1257"/>
      <c r="B39" s="1257"/>
      <c r="C39" s="1259" t="str">
        <f>"Add" &amp;" "&amp;F5&amp;"%  "&amp; C5 &amp;" "&amp;D5</f>
        <v xml:space="preserve">Add %   </v>
      </c>
      <c r="D39" s="1257"/>
      <c r="E39" s="1257"/>
      <c r="F39" s="1257">
        <f>SUM(F33:F37)*F5%</f>
        <v>0</v>
      </c>
    </row>
    <row r="40" spans="1:7" s="1266" customFormat="1" ht="16.5" hidden="1" customHeight="1">
      <c r="A40" s="1257"/>
      <c r="B40" s="1257"/>
      <c r="C40" s="1260"/>
      <c r="D40" s="1257"/>
      <c r="E40" s="1257"/>
      <c r="F40" s="1261">
        <f>SUM(F31:F39)</f>
        <v>176.07</v>
      </c>
    </row>
    <row r="41" spans="1:7" s="1266" customFormat="1" ht="16.5" hidden="1" customHeight="1">
      <c r="A41" s="1255"/>
      <c r="B41" s="1255"/>
      <c r="C41" s="1263"/>
      <c r="D41" s="1255"/>
      <c r="E41" s="1255"/>
      <c r="F41" s="1255"/>
    </row>
    <row r="42" spans="1:7" s="1266" customFormat="1" ht="16.5" hidden="1" customHeight="1">
      <c r="A42" s="1255"/>
      <c r="B42" s="1255"/>
      <c r="C42" s="1263"/>
      <c r="D42" s="1255"/>
      <c r="E42" s="1255"/>
      <c r="F42" s="1255"/>
    </row>
    <row r="43" spans="1:7" s="1266" customFormat="1" ht="16.5" hidden="1" customHeight="1">
      <c r="A43" s="1257">
        <v>1</v>
      </c>
      <c r="B43" s="1257" t="s">
        <v>5410</v>
      </c>
      <c r="C43" s="1256" t="s">
        <v>5419</v>
      </c>
      <c r="D43" s="1257">
        <v>55.1</v>
      </c>
      <c r="E43" s="1258" t="s">
        <v>12</v>
      </c>
      <c r="F43" s="1257">
        <f>A43*D43</f>
        <v>55.1</v>
      </c>
    </row>
    <row r="44" spans="1:7" s="1266" customFormat="1" ht="16.5" hidden="1" customHeight="1">
      <c r="A44" s="1257"/>
      <c r="B44" s="1257"/>
      <c r="C44" s="1259" t="s">
        <v>5412</v>
      </c>
      <c r="D44" s="1257"/>
      <c r="E44" s="1257"/>
      <c r="F44" s="1257"/>
    </row>
    <row r="45" spans="1:7" s="1266" customFormat="1" ht="16.5" hidden="1" customHeight="1">
      <c r="A45" s="1257">
        <v>1</v>
      </c>
      <c r="B45" s="1257" t="s">
        <v>5410</v>
      </c>
      <c r="C45" s="1260" t="s">
        <v>5413</v>
      </c>
      <c r="D45" s="1257">
        <v>115.13</v>
      </c>
      <c r="E45" s="1258" t="s">
        <v>12</v>
      </c>
      <c r="F45" s="1257">
        <f>A45*D45</f>
        <v>115.13</v>
      </c>
    </row>
    <row r="46" spans="1:7" s="1266" customFormat="1" ht="16.5" hidden="1" customHeight="1">
      <c r="A46" s="1257"/>
      <c r="B46" s="1257"/>
      <c r="C46" s="1259" t="s">
        <v>5414</v>
      </c>
      <c r="D46" s="1257"/>
      <c r="E46" s="1257"/>
      <c r="F46" s="1257"/>
    </row>
    <row r="47" spans="1:7" s="1266" customFormat="1" ht="16.5" hidden="1" customHeight="1">
      <c r="A47" s="1257">
        <v>1</v>
      </c>
      <c r="B47" s="1257" t="s">
        <v>5410</v>
      </c>
      <c r="C47" s="1260" t="s">
        <v>5415</v>
      </c>
      <c r="D47" s="1257">
        <v>16.04</v>
      </c>
      <c r="E47" s="1258" t="s">
        <v>12</v>
      </c>
      <c r="F47" s="1257">
        <f>A47*D47</f>
        <v>16.04</v>
      </c>
    </row>
    <row r="48" spans="1:7" s="1266" customFormat="1" ht="16.5" hidden="1" customHeight="1">
      <c r="A48" s="1257"/>
      <c r="B48" s="1257"/>
      <c r="C48" s="1259" t="s">
        <v>5414</v>
      </c>
      <c r="D48" s="1257"/>
      <c r="E48" s="1257"/>
      <c r="F48" s="1257"/>
    </row>
    <row r="49" spans="1:6" s="1266" customFormat="1" ht="16.5" hidden="1" customHeight="1">
      <c r="A49" s="1257">
        <v>1</v>
      </c>
      <c r="B49" s="1257" t="s">
        <v>5410</v>
      </c>
      <c r="C49" s="1260" t="s">
        <v>5416</v>
      </c>
      <c r="D49" s="1257">
        <v>8.1</v>
      </c>
      <c r="E49" s="1258" t="s">
        <v>12</v>
      </c>
      <c r="F49" s="1257">
        <f>A49*D49</f>
        <v>8.1</v>
      </c>
    </row>
    <row r="50" spans="1:6" s="1266" customFormat="1" ht="16.5" hidden="1" customHeight="1">
      <c r="A50" s="1257"/>
      <c r="B50" s="1257"/>
      <c r="C50" s="1259" t="s">
        <v>5414</v>
      </c>
      <c r="D50" s="1257"/>
      <c r="E50" s="1257"/>
      <c r="F50" s="1257"/>
    </row>
    <row r="51" spans="1:6" s="1266" customFormat="1" ht="16.5" hidden="1" customHeight="1">
      <c r="A51" s="1257"/>
      <c r="B51" s="1257"/>
      <c r="C51" s="1259" t="str">
        <f>"Add" &amp;" "&amp;F5&amp;"%  "&amp; C5 &amp;" "&amp;D5</f>
        <v xml:space="preserve">Add %   </v>
      </c>
      <c r="D51" s="1257"/>
      <c r="E51" s="1257"/>
      <c r="F51" s="1257">
        <f>SUM(F45:F49)*F5%</f>
        <v>0</v>
      </c>
    </row>
    <row r="52" spans="1:6" s="1266" customFormat="1" ht="16.5" hidden="1" customHeight="1">
      <c r="A52" s="1257"/>
      <c r="B52" s="1257"/>
      <c r="C52" s="1260"/>
      <c r="D52" s="1257"/>
      <c r="E52" s="1257"/>
      <c r="F52" s="1261">
        <f>SUM(F43:F51)</f>
        <v>194.36999999999998</v>
      </c>
    </row>
    <row r="53" spans="1:6" s="1266" customFormat="1" ht="16.5" hidden="1" customHeight="1">
      <c r="A53" s="1255"/>
      <c r="B53" s="1255"/>
      <c r="C53" s="1263"/>
      <c r="D53" s="1255"/>
      <c r="E53" s="1255"/>
      <c r="F53" s="1255"/>
    </row>
    <row r="54" spans="1:6" s="1266" customFormat="1" ht="16.5" customHeight="1">
      <c r="A54" s="1257">
        <v>1</v>
      </c>
      <c r="B54" s="1257" t="s">
        <v>5410</v>
      </c>
      <c r="C54" s="1256" t="s">
        <v>5420</v>
      </c>
      <c r="D54" s="1257">
        <v>86.3</v>
      </c>
      <c r="E54" s="1258" t="s">
        <v>12</v>
      </c>
      <c r="F54" s="1257">
        <f>A54*D54</f>
        <v>86.3</v>
      </c>
    </row>
    <row r="55" spans="1:6" s="1266" customFormat="1" ht="16.5" customHeight="1">
      <c r="A55" s="1257"/>
      <c r="B55" s="1257"/>
      <c r="C55" s="1259" t="s">
        <v>5412</v>
      </c>
      <c r="D55" s="1257"/>
      <c r="E55" s="1257"/>
      <c r="F55" s="1257"/>
    </row>
    <row r="56" spans="1:6" s="1266" customFormat="1" ht="16.5" customHeight="1">
      <c r="A56" s="1257">
        <v>1</v>
      </c>
      <c r="B56" s="1257" t="s">
        <v>5410</v>
      </c>
      <c r="C56" s="1260" t="s">
        <v>5413</v>
      </c>
      <c r="D56" s="1257">
        <v>115.13</v>
      </c>
      <c r="E56" s="1258" t="s">
        <v>12</v>
      </c>
      <c r="F56" s="1257">
        <f>A56*D56</f>
        <v>115.13</v>
      </c>
    </row>
    <row r="57" spans="1:6" s="1266" customFormat="1" ht="16.5" customHeight="1">
      <c r="A57" s="1257"/>
      <c r="B57" s="1257"/>
      <c r="C57" s="1259" t="s">
        <v>5414</v>
      </c>
      <c r="D57" s="1257"/>
      <c r="E57" s="1257"/>
      <c r="F57" s="1257"/>
    </row>
    <row r="58" spans="1:6" s="1266" customFormat="1" ht="16.5" customHeight="1">
      <c r="A58" s="1257">
        <v>1</v>
      </c>
      <c r="B58" s="1257" t="s">
        <v>5410</v>
      </c>
      <c r="C58" s="1260" t="s">
        <v>5415</v>
      </c>
      <c r="D58" s="1257">
        <v>16.04</v>
      </c>
      <c r="E58" s="1258" t="s">
        <v>12</v>
      </c>
      <c r="F58" s="1257">
        <f>A58*D58</f>
        <v>16.04</v>
      </c>
    </row>
    <row r="59" spans="1:6" s="1266" customFormat="1" ht="16.5" customHeight="1">
      <c r="A59" s="1257"/>
      <c r="B59" s="1257"/>
      <c r="C59" s="1259" t="s">
        <v>5414</v>
      </c>
      <c r="D59" s="1257"/>
      <c r="E59" s="1257"/>
      <c r="F59" s="1257"/>
    </row>
    <row r="60" spans="1:6" s="1266" customFormat="1" ht="16.5" customHeight="1">
      <c r="A60" s="1257">
        <v>1</v>
      </c>
      <c r="B60" s="1257" t="s">
        <v>5410</v>
      </c>
      <c r="C60" s="1260" t="s">
        <v>5416</v>
      </c>
      <c r="D60" s="1257">
        <v>8.1</v>
      </c>
      <c r="E60" s="1258" t="s">
        <v>12</v>
      </c>
      <c r="F60" s="1257">
        <f>A60*D60</f>
        <v>8.1</v>
      </c>
    </row>
    <row r="61" spans="1:6" s="1266" customFormat="1" ht="16.5" customHeight="1">
      <c r="A61" s="1257"/>
      <c r="B61" s="1257"/>
      <c r="C61" s="1259" t="s">
        <v>5414</v>
      </c>
      <c r="D61" s="1257"/>
      <c r="E61" s="1257"/>
      <c r="F61" s="1257"/>
    </row>
    <row r="62" spans="1:6" s="1266" customFormat="1" ht="16.5" customHeight="1">
      <c r="A62" s="1257"/>
      <c r="B62" s="1257"/>
      <c r="C62" s="1259" t="str">
        <f>"Add" &amp;" "&amp;F5&amp;"%  "&amp; C5 &amp;" "&amp;D5</f>
        <v xml:space="preserve">Add %   </v>
      </c>
      <c r="D62" s="1257"/>
      <c r="E62" s="1257"/>
      <c r="F62" s="1257">
        <f>SUM(F56:F60)*F5%</f>
        <v>0</v>
      </c>
    </row>
    <row r="63" spans="1:6" s="1266" customFormat="1" ht="16.5" customHeight="1">
      <c r="A63" s="1257"/>
      <c r="B63" s="1257"/>
      <c r="C63" s="1260"/>
      <c r="D63" s="1257"/>
      <c r="E63" s="1257"/>
      <c r="F63" s="1261">
        <f>SUM(F54:F62)</f>
        <v>225.57</v>
      </c>
    </row>
    <row r="64" spans="1:6" s="1266" customFormat="1" ht="16.5" customHeight="1">
      <c r="A64" s="1255"/>
      <c r="B64" s="1255"/>
      <c r="C64" s="1263"/>
      <c r="D64" s="1255"/>
      <c r="E64" s="1255"/>
      <c r="F64" s="1255"/>
    </row>
    <row r="65" spans="1:6" s="1266" customFormat="1" ht="16.5" customHeight="1">
      <c r="A65" s="1257">
        <v>1</v>
      </c>
      <c r="B65" s="1257" t="s">
        <v>5410</v>
      </c>
      <c r="C65" s="1256" t="s">
        <v>5421</v>
      </c>
      <c r="D65" s="1257">
        <v>129</v>
      </c>
      <c r="E65" s="1258" t="s">
        <v>12</v>
      </c>
      <c r="F65" s="1257">
        <f>A65*D65</f>
        <v>129</v>
      </c>
    </row>
    <row r="66" spans="1:6" s="1266" customFormat="1" ht="16.5" customHeight="1">
      <c r="A66" s="1257"/>
      <c r="B66" s="1257"/>
      <c r="C66" s="1259" t="s">
        <v>5412</v>
      </c>
      <c r="D66" s="1257"/>
      <c r="E66" s="1257"/>
      <c r="F66" s="1257"/>
    </row>
    <row r="67" spans="1:6" s="1266" customFormat="1" ht="16.5" customHeight="1">
      <c r="A67" s="1257">
        <v>1</v>
      </c>
      <c r="B67" s="1257" t="s">
        <v>5410</v>
      </c>
      <c r="C67" s="1260" t="s">
        <v>5413</v>
      </c>
      <c r="D67" s="1257">
        <v>115.13</v>
      </c>
      <c r="E67" s="1258" t="s">
        <v>12</v>
      </c>
      <c r="F67" s="1257">
        <f>A67*D67</f>
        <v>115.13</v>
      </c>
    </row>
    <row r="68" spans="1:6" s="1266" customFormat="1" ht="16.5" customHeight="1">
      <c r="A68" s="1257"/>
      <c r="B68" s="1257"/>
      <c r="C68" s="1259" t="s">
        <v>5414</v>
      </c>
      <c r="D68" s="1257"/>
      <c r="E68" s="1257"/>
      <c r="F68" s="1257"/>
    </row>
    <row r="69" spans="1:6" s="1266" customFormat="1" ht="16.5" customHeight="1">
      <c r="A69" s="1257">
        <v>1</v>
      </c>
      <c r="B69" s="1257" t="s">
        <v>5410</v>
      </c>
      <c r="C69" s="1260" t="s">
        <v>5415</v>
      </c>
      <c r="D69" s="1257">
        <v>16.010000000000002</v>
      </c>
      <c r="E69" s="1258" t="s">
        <v>12</v>
      </c>
      <c r="F69" s="1257">
        <f>A69*D69</f>
        <v>16.010000000000002</v>
      </c>
    </row>
    <row r="70" spans="1:6" s="1266" customFormat="1" ht="16.5" customHeight="1">
      <c r="A70" s="1257"/>
      <c r="B70" s="1257"/>
      <c r="C70" s="1259" t="s">
        <v>5414</v>
      </c>
      <c r="D70" s="1257"/>
      <c r="E70" s="1257"/>
      <c r="F70" s="1257"/>
    </row>
    <row r="71" spans="1:6" s="1266" customFormat="1" ht="16.5" customHeight="1">
      <c r="A71" s="1257">
        <v>1</v>
      </c>
      <c r="B71" s="1257" t="s">
        <v>5410</v>
      </c>
      <c r="C71" s="1260" t="s">
        <v>5416</v>
      </c>
      <c r="D71" s="1257">
        <v>13.51</v>
      </c>
      <c r="E71" s="1258" t="s">
        <v>12</v>
      </c>
      <c r="F71" s="1257">
        <f>A71*D71</f>
        <v>13.51</v>
      </c>
    </row>
    <row r="72" spans="1:6" s="1266" customFormat="1" ht="16.5" customHeight="1">
      <c r="A72" s="1257"/>
      <c r="B72" s="1257"/>
      <c r="C72" s="1259" t="s">
        <v>5414</v>
      </c>
      <c r="D72" s="1257"/>
      <c r="E72" s="1257"/>
      <c r="F72" s="1257"/>
    </row>
    <row r="73" spans="1:6" s="1266" customFormat="1" ht="16.5" customHeight="1">
      <c r="A73" s="1257"/>
      <c r="B73" s="1257"/>
      <c r="C73" s="1259" t="str">
        <f>"Add" &amp;" "&amp;F5&amp;"%  "&amp; C5 &amp;" "&amp;D5</f>
        <v xml:space="preserve">Add %   </v>
      </c>
      <c r="D73" s="1257"/>
      <c r="E73" s="1257"/>
      <c r="F73" s="1257">
        <f>SUM(F67:F71)*F5%</f>
        <v>0</v>
      </c>
    </row>
    <row r="74" spans="1:6" s="1266" customFormat="1" ht="16.5" customHeight="1">
      <c r="A74" s="1257"/>
      <c r="B74" s="1257"/>
      <c r="C74" s="1260"/>
      <c r="D74" s="1257"/>
      <c r="E74" s="1257"/>
      <c r="F74" s="1261">
        <f>SUM(F65:F73)</f>
        <v>273.64999999999998</v>
      </c>
    </row>
    <row r="75" spans="1:6" s="1266" customFormat="1" ht="16.5" hidden="1" customHeight="1">
      <c r="A75" s="1255"/>
      <c r="B75" s="1255"/>
      <c r="C75" s="1263"/>
      <c r="D75" s="1255"/>
      <c r="E75" s="1255"/>
      <c r="F75" s="1255"/>
    </row>
    <row r="76" spans="1:6" s="1266" customFormat="1" ht="16.5" hidden="1" customHeight="1">
      <c r="A76" s="1257">
        <v>1</v>
      </c>
      <c r="B76" s="1257" t="s">
        <v>5410</v>
      </c>
      <c r="C76" s="1256" t="s">
        <v>5422</v>
      </c>
      <c r="D76" s="1257">
        <v>116.8</v>
      </c>
      <c r="E76" s="1258" t="s">
        <v>12</v>
      </c>
      <c r="F76" s="1257">
        <f>A76*D76</f>
        <v>116.8</v>
      </c>
    </row>
    <row r="77" spans="1:6" s="1266" customFormat="1" ht="16.5" hidden="1" customHeight="1">
      <c r="A77" s="1257"/>
      <c r="B77" s="1257"/>
      <c r="C77" s="1259" t="s">
        <v>5412</v>
      </c>
      <c r="D77" s="1257"/>
      <c r="E77" s="1257"/>
      <c r="F77" s="1257"/>
    </row>
    <row r="78" spans="1:6" s="1266" customFormat="1" ht="16.5" hidden="1" customHeight="1">
      <c r="A78" s="1257">
        <v>1</v>
      </c>
      <c r="B78" s="1257" t="s">
        <v>5410</v>
      </c>
      <c r="C78" s="1260" t="s">
        <v>5413</v>
      </c>
      <c r="D78" s="1257">
        <v>115.13</v>
      </c>
      <c r="E78" s="1258" t="s">
        <v>12</v>
      </c>
      <c r="F78" s="1257">
        <f>A78*D78</f>
        <v>115.13</v>
      </c>
    </row>
    <row r="79" spans="1:6" s="1266" customFormat="1" ht="16.5" hidden="1" customHeight="1">
      <c r="A79" s="1257"/>
      <c r="B79" s="1257"/>
      <c r="C79" s="1259" t="s">
        <v>5414</v>
      </c>
      <c r="D79" s="1257"/>
      <c r="E79" s="1257"/>
      <c r="F79" s="1257"/>
    </row>
    <row r="80" spans="1:6" s="1266" customFormat="1" ht="16.5" hidden="1" customHeight="1">
      <c r="A80" s="1257">
        <v>1</v>
      </c>
      <c r="B80" s="1257" t="s">
        <v>5410</v>
      </c>
      <c r="C80" s="1260" t="s">
        <v>5415</v>
      </c>
      <c r="D80" s="1257">
        <v>15.99</v>
      </c>
      <c r="E80" s="1258" t="s">
        <v>12</v>
      </c>
      <c r="F80" s="1257">
        <f>A80*D80</f>
        <v>15.99</v>
      </c>
    </row>
    <row r="81" spans="1:6" s="1266" customFormat="1" ht="16.5" hidden="1" customHeight="1">
      <c r="A81" s="1257"/>
      <c r="B81" s="1257"/>
      <c r="C81" s="1259" t="s">
        <v>5414</v>
      </c>
      <c r="D81" s="1257"/>
      <c r="E81" s="1257"/>
      <c r="F81" s="1257"/>
    </row>
    <row r="82" spans="1:6" s="1266" customFormat="1" ht="16.5" hidden="1" customHeight="1">
      <c r="A82" s="1257">
        <v>1</v>
      </c>
      <c r="B82" s="1257" t="s">
        <v>5410</v>
      </c>
      <c r="C82" s="1260" t="s">
        <v>5416</v>
      </c>
      <c r="D82" s="1257">
        <v>13.51</v>
      </c>
      <c r="E82" s="1258" t="s">
        <v>12</v>
      </c>
      <c r="F82" s="1257">
        <f>A82*D82</f>
        <v>13.51</v>
      </c>
    </row>
    <row r="83" spans="1:6" s="1266" customFormat="1" ht="16.5" hidden="1" customHeight="1">
      <c r="A83" s="1257"/>
      <c r="B83" s="1257"/>
      <c r="C83" s="1259" t="s">
        <v>5414</v>
      </c>
      <c r="D83" s="1257"/>
      <c r="E83" s="1257"/>
      <c r="F83" s="1257"/>
    </row>
    <row r="84" spans="1:6" s="1266" customFormat="1" ht="16.5" hidden="1" customHeight="1">
      <c r="A84" s="1257"/>
      <c r="B84" s="1257"/>
      <c r="C84" s="1259" t="str">
        <f>"Add" &amp;" "&amp;F5&amp;"%  "&amp; C5 &amp;" "&amp;D5</f>
        <v xml:space="preserve">Add %   </v>
      </c>
      <c r="D84" s="1257"/>
      <c r="E84" s="1257"/>
      <c r="F84" s="1257">
        <f>SUM(F78:F82)*F5%</f>
        <v>0</v>
      </c>
    </row>
    <row r="85" spans="1:6" s="1266" customFormat="1" ht="16.5" hidden="1" customHeight="1">
      <c r="A85" s="1257"/>
      <c r="B85" s="1257"/>
      <c r="C85" s="1260"/>
      <c r="D85" s="1257"/>
      <c r="E85" s="1257"/>
      <c r="F85" s="1261">
        <f>SUM(F76:F84)</f>
        <v>261.43</v>
      </c>
    </row>
    <row r="86" spans="1:6" s="1266" customFormat="1" ht="16.5" hidden="1" customHeight="1">
      <c r="A86" s="1255"/>
      <c r="B86" s="1255"/>
      <c r="C86" s="1263"/>
      <c r="D86" s="1255"/>
      <c r="E86" s="1255"/>
      <c r="F86" s="1255"/>
    </row>
    <row r="87" spans="1:6" s="1266" customFormat="1" ht="16.5" hidden="1" customHeight="1">
      <c r="A87" s="1257">
        <v>1</v>
      </c>
      <c r="B87" s="1257" t="s">
        <v>5410</v>
      </c>
      <c r="C87" s="1256" t="s">
        <v>5423</v>
      </c>
      <c r="D87" s="1257">
        <v>166.3</v>
      </c>
      <c r="E87" s="1258" t="s">
        <v>12</v>
      </c>
      <c r="F87" s="1257">
        <f>A87*D87</f>
        <v>166.3</v>
      </c>
    </row>
    <row r="88" spans="1:6" s="1266" customFormat="1" ht="16.5" hidden="1" customHeight="1">
      <c r="A88" s="1257"/>
      <c r="B88" s="1257"/>
      <c r="C88" s="1259" t="s">
        <v>5412</v>
      </c>
      <c r="D88" s="1257"/>
      <c r="E88" s="1257"/>
      <c r="F88" s="1257"/>
    </row>
    <row r="89" spans="1:6" s="1266" customFormat="1" ht="15.75" hidden="1" customHeight="1">
      <c r="A89" s="1257">
        <v>1</v>
      </c>
      <c r="B89" s="1257" t="s">
        <v>5410</v>
      </c>
      <c r="C89" s="1260" t="s">
        <v>5413</v>
      </c>
      <c r="D89" s="1257">
        <v>115.13</v>
      </c>
      <c r="E89" s="1258" t="s">
        <v>12</v>
      </c>
      <c r="F89" s="1257">
        <f>A89*D89</f>
        <v>115.13</v>
      </c>
    </row>
    <row r="90" spans="1:6" s="1266" customFormat="1" ht="15.75" hidden="1" customHeight="1">
      <c r="A90" s="1257"/>
      <c r="B90" s="1257"/>
      <c r="C90" s="1259" t="s">
        <v>5414</v>
      </c>
      <c r="D90" s="1257"/>
      <c r="E90" s="1257"/>
      <c r="F90" s="1257"/>
    </row>
    <row r="91" spans="1:6" s="1266" customFormat="1" ht="15.75" hidden="1" customHeight="1">
      <c r="A91" s="1257">
        <v>1</v>
      </c>
      <c r="B91" s="1257" t="s">
        <v>5410</v>
      </c>
      <c r="C91" s="1260" t="s">
        <v>5415</v>
      </c>
      <c r="D91" s="1257">
        <v>15.96</v>
      </c>
      <c r="E91" s="1258" t="s">
        <v>12</v>
      </c>
      <c r="F91" s="1257">
        <f>A91*D91</f>
        <v>15.96</v>
      </c>
    </row>
    <row r="92" spans="1:6" s="1266" customFormat="1" ht="16.5" hidden="1" customHeight="1">
      <c r="A92" s="1257"/>
      <c r="B92" s="1257"/>
      <c r="C92" s="1259" t="s">
        <v>5414</v>
      </c>
      <c r="D92" s="1257"/>
      <c r="E92" s="1257"/>
      <c r="F92" s="1257"/>
    </row>
    <row r="93" spans="1:6" s="1266" customFormat="1" ht="16.5" hidden="1" customHeight="1">
      <c r="A93" s="1257">
        <v>1</v>
      </c>
      <c r="B93" s="1257" t="s">
        <v>5410</v>
      </c>
      <c r="C93" s="1260" t="s">
        <v>5416</v>
      </c>
      <c r="D93" s="1257">
        <v>13.51</v>
      </c>
      <c r="E93" s="1258" t="s">
        <v>12</v>
      </c>
      <c r="F93" s="1257">
        <f>A93*D93</f>
        <v>13.51</v>
      </c>
    </row>
    <row r="94" spans="1:6" s="1266" customFormat="1" ht="16.5" hidden="1" customHeight="1">
      <c r="A94" s="1257"/>
      <c r="B94" s="1257"/>
      <c r="C94" s="1259" t="s">
        <v>5414</v>
      </c>
      <c r="D94" s="1257"/>
      <c r="E94" s="1257"/>
      <c r="F94" s="1257"/>
    </row>
    <row r="95" spans="1:6" s="1266" customFormat="1" ht="16.5" hidden="1" customHeight="1">
      <c r="A95" s="1257"/>
      <c r="B95" s="1257"/>
      <c r="C95" s="1259" t="str">
        <f>"Add" &amp;" "&amp;F5&amp;"%  "&amp; C5 &amp;" "&amp;D5</f>
        <v xml:space="preserve">Add %   </v>
      </c>
      <c r="D95" s="1257"/>
      <c r="E95" s="1257"/>
      <c r="F95" s="1257">
        <f>SUM(F89:F93)*F5%</f>
        <v>0</v>
      </c>
    </row>
    <row r="96" spans="1:6" s="1266" customFormat="1" ht="16.5" hidden="1" customHeight="1">
      <c r="A96" s="1257"/>
      <c r="B96" s="1257"/>
      <c r="C96" s="1260"/>
      <c r="D96" s="1257"/>
      <c r="E96" s="1257"/>
      <c r="F96" s="1261">
        <f>SUM(F87:F95)</f>
        <v>310.89999999999998</v>
      </c>
    </row>
    <row r="97" spans="1:6" s="1266" customFormat="1" ht="16.5" hidden="1" customHeight="1">
      <c r="A97" s="1255"/>
      <c r="B97" s="1255"/>
      <c r="C97" s="1263"/>
      <c r="D97" s="1255"/>
      <c r="E97" s="1255"/>
      <c r="F97" s="1255"/>
    </row>
    <row r="98" spans="1:6" s="1266" customFormat="1" ht="16.5" hidden="1" customHeight="1">
      <c r="A98" s="1257">
        <v>1</v>
      </c>
      <c r="B98" s="1257" t="s">
        <v>5410</v>
      </c>
      <c r="C98" s="1256" t="s">
        <v>5424</v>
      </c>
      <c r="D98" s="1257">
        <v>197.6</v>
      </c>
      <c r="E98" s="1258" t="s">
        <v>12</v>
      </c>
      <c r="F98" s="1257">
        <f>A98*D98</f>
        <v>197.6</v>
      </c>
    </row>
    <row r="99" spans="1:6" s="1266" customFormat="1" ht="16.5" hidden="1" customHeight="1">
      <c r="A99" s="1257"/>
      <c r="B99" s="1257"/>
      <c r="C99" s="1259" t="s">
        <v>5412</v>
      </c>
      <c r="D99" s="1257"/>
      <c r="E99" s="1257"/>
      <c r="F99" s="1257"/>
    </row>
    <row r="100" spans="1:6" s="1266" customFormat="1" ht="16.5" hidden="1" customHeight="1">
      <c r="A100" s="1257">
        <v>1</v>
      </c>
      <c r="B100" s="1257" t="s">
        <v>5410</v>
      </c>
      <c r="C100" s="1260" t="s">
        <v>5413</v>
      </c>
      <c r="D100" s="1257">
        <v>115.13</v>
      </c>
      <c r="E100" s="1258" t="s">
        <v>12</v>
      </c>
      <c r="F100" s="1257">
        <f>A100*D100</f>
        <v>115.13</v>
      </c>
    </row>
    <row r="101" spans="1:6" s="1266" customFormat="1" ht="23.25" hidden="1" customHeight="1">
      <c r="A101" s="1257"/>
      <c r="B101" s="1257"/>
      <c r="C101" s="1259" t="s">
        <v>5414</v>
      </c>
      <c r="D101" s="1257"/>
      <c r="E101" s="1257"/>
      <c r="F101" s="1257"/>
    </row>
    <row r="102" spans="1:6" s="1266" customFormat="1" ht="13.5" hidden="1" customHeight="1">
      <c r="A102" s="1257">
        <v>1</v>
      </c>
      <c r="B102" s="1257" t="s">
        <v>5410</v>
      </c>
      <c r="C102" s="1260" t="s">
        <v>5415</v>
      </c>
      <c r="D102" s="1257">
        <v>15.91</v>
      </c>
      <c r="E102" s="1258" t="s">
        <v>12</v>
      </c>
      <c r="F102" s="1257">
        <f>A102*D102</f>
        <v>15.91</v>
      </c>
    </row>
    <row r="103" spans="1:6" s="1266" customFormat="1" ht="16.5" hidden="1" customHeight="1">
      <c r="A103" s="1257"/>
      <c r="B103" s="1257"/>
      <c r="C103" s="1259" t="s">
        <v>5414</v>
      </c>
      <c r="D103" s="1257"/>
      <c r="E103" s="1257"/>
      <c r="F103" s="1257"/>
    </row>
    <row r="104" spans="1:6" s="1266" customFormat="1" ht="16.5" hidden="1" customHeight="1">
      <c r="A104" s="1257">
        <v>1</v>
      </c>
      <c r="B104" s="1257" t="s">
        <v>5410</v>
      </c>
      <c r="C104" s="1260" t="s">
        <v>5416</v>
      </c>
      <c r="D104" s="1257">
        <v>13.64</v>
      </c>
      <c r="E104" s="1258" t="s">
        <v>12</v>
      </c>
      <c r="F104" s="1257">
        <f>A104*D104</f>
        <v>13.64</v>
      </c>
    </row>
    <row r="105" spans="1:6" s="1266" customFormat="1" ht="16.5" hidden="1" customHeight="1">
      <c r="A105" s="1257"/>
      <c r="B105" s="1257"/>
      <c r="C105" s="1259" t="s">
        <v>5414</v>
      </c>
      <c r="D105" s="1257"/>
      <c r="E105" s="1257"/>
      <c r="F105" s="1257"/>
    </row>
    <row r="106" spans="1:6" s="1266" customFormat="1" ht="16.5" hidden="1" customHeight="1">
      <c r="A106" s="1257"/>
      <c r="B106" s="1257"/>
      <c r="C106" s="1259" t="str">
        <f>"Add" &amp;" "&amp;F5&amp;"%  "&amp; C5 &amp;" "&amp;D5</f>
        <v xml:space="preserve">Add %   </v>
      </c>
      <c r="D106" s="1257"/>
      <c r="E106" s="1257"/>
      <c r="F106" s="1257">
        <f>SUM(F100:F104)*F5%</f>
        <v>0</v>
      </c>
    </row>
    <row r="107" spans="1:6" s="1266" customFormat="1" ht="35.25" hidden="1" customHeight="1">
      <c r="A107" s="1257"/>
      <c r="B107" s="1257"/>
      <c r="C107" s="1260"/>
      <c r="D107" s="1257"/>
      <c r="E107" s="1257"/>
      <c r="F107" s="1261">
        <f>SUM(F98:F106)</f>
        <v>342.28000000000003</v>
      </c>
    </row>
    <row r="108" spans="1:6" s="1266" customFormat="1" ht="15.75" hidden="1" customHeight="1">
      <c r="A108" s="1255"/>
      <c r="B108" s="1255"/>
      <c r="C108" s="1263"/>
      <c r="D108" s="1255"/>
      <c r="E108" s="1255"/>
      <c r="F108" s="1255"/>
    </row>
    <row r="109" spans="1:6" s="1266" customFormat="1" ht="15.75" hidden="1" customHeight="1">
      <c r="A109" s="1255"/>
      <c r="B109" s="1255"/>
      <c r="C109" s="1263"/>
      <c r="D109" s="1255"/>
      <c r="E109" s="1255"/>
      <c r="F109" s="1255"/>
    </row>
    <row r="110" spans="1:6" s="1266" customFormat="1" ht="15.75" hidden="1" customHeight="1">
      <c r="A110" s="1255"/>
      <c r="B110" s="1255"/>
      <c r="C110" s="1263"/>
      <c r="D110" s="1255"/>
      <c r="E110" s="1255"/>
      <c r="F110" s="1255"/>
    </row>
    <row r="111" spans="1:6" s="1266" customFormat="1" ht="15.75" hidden="1" customHeight="1">
      <c r="A111" s="1257">
        <v>1</v>
      </c>
      <c r="B111" s="1257" t="s">
        <v>5410</v>
      </c>
      <c r="C111" s="1256" t="s">
        <v>5425</v>
      </c>
      <c r="D111" s="1257">
        <v>259.3</v>
      </c>
      <c r="E111" s="1258" t="s">
        <v>12</v>
      </c>
      <c r="F111" s="1257">
        <f>A111*D111</f>
        <v>259.3</v>
      </c>
    </row>
    <row r="112" spans="1:6" s="1266" customFormat="1" ht="15.75" hidden="1" customHeight="1">
      <c r="A112" s="1257"/>
      <c r="B112" s="1257"/>
      <c r="C112" s="1259" t="s">
        <v>5412</v>
      </c>
      <c r="D112" s="1257"/>
      <c r="E112" s="1257"/>
      <c r="F112" s="1257"/>
    </row>
    <row r="113" spans="1:6" s="1266" customFormat="1" ht="19.5" hidden="1" customHeight="1">
      <c r="A113" s="1257">
        <v>1</v>
      </c>
      <c r="B113" s="1257" t="s">
        <v>5410</v>
      </c>
      <c r="C113" s="1260" t="s">
        <v>5413</v>
      </c>
      <c r="D113" s="1257">
        <v>115.13</v>
      </c>
      <c r="E113" s="1258" t="s">
        <v>12</v>
      </c>
      <c r="F113" s="1257">
        <f>A113*D113</f>
        <v>115.13</v>
      </c>
    </row>
    <row r="114" spans="1:6" s="1266" customFormat="1" ht="15.75" hidden="1" customHeight="1">
      <c r="A114" s="1257"/>
      <c r="B114" s="1257"/>
      <c r="C114" s="1259" t="s">
        <v>5414</v>
      </c>
      <c r="D114" s="1257"/>
      <c r="E114" s="1257"/>
      <c r="F114" s="1257"/>
    </row>
    <row r="115" spans="1:6" s="1266" customFormat="1" ht="15.75" hidden="1" customHeight="1">
      <c r="A115" s="1257">
        <v>1</v>
      </c>
      <c r="B115" s="1257" t="s">
        <v>5410</v>
      </c>
      <c r="C115" s="1260" t="s">
        <v>5415</v>
      </c>
      <c r="D115" s="1257">
        <v>15.84</v>
      </c>
      <c r="E115" s="1258" t="s">
        <v>12</v>
      </c>
      <c r="F115" s="1257">
        <f>A115*D115</f>
        <v>15.84</v>
      </c>
    </row>
    <row r="116" spans="1:6" s="1266" customFormat="1" ht="15.75" hidden="1" customHeight="1">
      <c r="A116" s="1257"/>
      <c r="B116" s="1257"/>
      <c r="C116" s="1259" t="s">
        <v>5414</v>
      </c>
      <c r="D116" s="1257"/>
      <c r="E116" s="1257"/>
      <c r="F116" s="1257"/>
    </row>
    <row r="117" spans="1:6" s="1266" customFormat="1" ht="15.75" hidden="1" customHeight="1">
      <c r="A117" s="1257">
        <v>1</v>
      </c>
      <c r="B117" s="1257" t="s">
        <v>5410</v>
      </c>
      <c r="C117" s="1260" t="s">
        <v>5416</v>
      </c>
      <c r="D117" s="1257">
        <v>13.64</v>
      </c>
      <c r="E117" s="1258" t="s">
        <v>12</v>
      </c>
      <c r="F117" s="1257">
        <f>A117*D117</f>
        <v>13.64</v>
      </c>
    </row>
    <row r="118" spans="1:6" s="1266" customFormat="1" ht="15.75" hidden="1" customHeight="1">
      <c r="A118" s="1257"/>
      <c r="B118" s="1257"/>
      <c r="C118" s="1259" t="s">
        <v>5414</v>
      </c>
      <c r="D118" s="1257"/>
      <c r="E118" s="1257"/>
      <c r="F118" s="1257"/>
    </row>
    <row r="119" spans="1:6" s="1266" customFormat="1" ht="15.75" hidden="1" customHeight="1">
      <c r="A119" s="1257"/>
      <c r="B119" s="1257"/>
      <c r="C119" s="1259" t="str">
        <f>"Add" &amp;" "&amp;F5&amp;"%  "&amp; C5 &amp;" "&amp;D5</f>
        <v xml:space="preserve">Add %   </v>
      </c>
      <c r="D119" s="1257"/>
      <c r="E119" s="1257"/>
      <c r="F119" s="1257">
        <f>SUM(F113:F117)*F5%</f>
        <v>0</v>
      </c>
    </row>
    <row r="120" spans="1:6" s="1266" customFormat="1" ht="15.75" hidden="1" customHeight="1">
      <c r="A120" s="1257"/>
      <c r="B120" s="1257"/>
      <c r="C120" s="1260"/>
      <c r="D120" s="1257"/>
      <c r="E120" s="1257"/>
      <c r="F120" s="1261">
        <f>SUM(F111:F119)</f>
        <v>403.90999999999997</v>
      </c>
    </row>
    <row r="121" spans="1:6" s="1266" customFormat="1" ht="19.5" hidden="1" customHeight="1">
      <c r="A121" s="1255"/>
      <c r="B121" s="1255"/>
      <c r="C121" s="1263"/>
      <c r="D121" s="1255"/>
      <c r="E121" s="1255"/>
      <c r="F121" s="1255"/>
    </row>
    <row r="122" spans="1:6" s="1266" customFormat="1" ht="15.75" hidden="1" customHeight="1">
      <c r="A122" s="1255"/>
      <c r="B122" s="1255"/>
      <c r="C122" s="1263"/>
      <c r="D122" s="1255"/>
      <c r="E122" s="1255"/>
      <c r="F122" s="1255"/>
    </row>
    <row r="123" spans="1:6" s="1266" customFormat="1" ht="15.75" hidden="1" customHeight="1">
      <c r="A123" s="1257">
        <v>1</v>
      </c>
      <c r="B123" s="1257" t="s">
        <v>5410</v>
      </c>
      <c r="C123" s="1256" t="s">
        <v>5426</v>
      </c>
      <c r="D123" s="1257">
        <v>506</v>
      </c>
      <c r="E123" s="1258" t="s">
        <v>12</v>
      </c>
      <c r="F123" s="1257">
        <f>A123*D123</f>
        <v>506</v>
      </c>
    </row>
    <row r="124" spans="1:6" s="1266" customFormat="1" ht="15.75" hidden="1" customHeight="1">
      <c r="A124" s="1257"/>
      <c r="B124" s="1257"/>
      <c r="C124" s="1259" t="s">
        <v>5412</v>
      </c>
      <c r="D124" s="1257"/>
      <c r="E124" s="1257"/>
      <c r="F124" s="1257"/>
    </row>
    <row r="125" spans="1:6" s="1266" customFormat="1" ht="15.75" hidden="1" customHeight="1">
      <c r="A125" s="1257">
        <v>1</v>
      </c>
      <c r="B125" s="1257" t="s">
        <v>5410</v>
      </c>
      <c r="C125" s="1260" t="s">
        <v>5413</v>
      </c>
      <c r="D125" s="1257">
        <v>115.13</v>
      </c>
      <c r="E125" s="1258" t="s">
        <v>12</v>
      </c>
      <c r="F125" s="1257">
        <f>A125*D125</f>
        <v>115.13</v>
      </c>
    </row>
    <row r="126" spans="1:6" s="1266" customFormat="1" ht="15.75" hidden="1" customHeight="1">
      <c r="A126" s="1257"/>
      <c r="B126" s="1257"/>
      <c r="C126" s="1259" t="s">
        <v>5414</v>
      </c>
      <c r="D126" s="1257"/>
      <c r="E126" s="1257"/>
      <c r="F126" s="1257"/>
    </row>
    <row r="127" spans="1:6" s="1266" customFormat="1" ht="15.75" hidden="1" customHeight="1">
      <c r="A127" s="1257">
        <v>1</v>
      </c>
      <c r="B127" s="1257" t="s">
        <v>5410</v>
      </c>
      <c r="C127" s="1260" t="s">
        <v>5415</v>
      </c>
      <c r="D127" s="1257">
        <v>15.56</v>
      </c>
      <c r="E127" s="1258" t="s">
        <v>12</v>
      </c>
      <c r="F127" s="1257">
        <f>A127*D127</f>
        <v>15.56</v>
      </c>
    </row>
    <row r="128" spans="1:6" s="1266" customFormat="1" ht="15.75" hidden="1" customHeight="1">
      <c r="A128" s="1257"/>
      <c r="B128" s="1257"/>
      <c r="C128" s="1259" t="s">
        <v>5414</v>
      </c>
      <c r="D128" s="1257"/>
      <c r="E128" s="1257"/>
      <c r="F128" s="1257"/>
    </row>
    <row r="129" spans="1:6" s="1266" customFormat="1" ht="15.75" hidden="1" customHeight="1">
      <c r="A129" s="1257">
        <v>1</v>
      </c>
      <c r="B129" s="1257" t="s">
        <v>5410</v>
      </c>
      <c r="C129" s="1260" t="s">
        <v>5416</v>
      </c>
      <c r="D129" s="1257">
        <v>19.100000000000001</v>
      </c>
      <c r="E129" s="1258" t="s">
        <v>12</v>
      </c>
      <c r="F129" s="1257">
        <f>A129*D129</f>
        <v>19.100000000000001</v>
      </c>
    </row>
    <row r="130" spans="1:6" s="1266" customFormat="1" ht="15.75" hidden="1" customHeight="1">
      <c r="A130" s="1257"/>
      <c r="B130" s="1257"/>
      <c r="C130" s="1259" t="s">
        <v>5414</v>
      </c>
      <c r="D130" s="1257"/>
      <c r="E130" s="1257"/>
      <c r="F130" s="1257"/>
    </row>
    <row r="131" spans="1:6" s="1266" customFormat="1" ht="15.75" hidden="1" customHeight="1">
      <c r="A131" s="1257"/>
      <c r="B131" s="1257"/>
      <c r="C131" s="1259" t="str">
        <f>"Add" &amp;" "&amp;F5&amp;"%  "&amp; C5 &amp;" "&amp;D5</f>
        <v xml:space="preserve">Add %   </v>
      </c>
      <c r="D131" s="1257"/>
      <c r="E131" s="1257"/>
      <c r="F131" s="1257">
        <f>SUM(F125:F129)*F5%</f>
        <v>0</v>
      </c>
    </row>
    <row r="132" spans="1:6" s="1266" customFormat="1" ht="27" hidden="1" customHeight="1">
      <c r="A132" s="1257"/>
      <c r="B132" s="1257"/>
      <c r="C132" s="1260"/>
      <c r="D132" s="1257"/>
      <c r="E132" s="1257"/>
      <c r="F132" s="1261">
        <f>SUM(F123:F131)</f>
        <v>655.79</v>
      </c>
    </row>
    <row r="133" spans="1:6" s="1266" customFormat="1" ht="45.75" hidden="1" customHeight="1">
      <c r="A133" s="1252"/>
      <c r="B133" s="1252"/>
      <c r="C133" s="1256" t="s">
        <v>5427</v>
      </c>
      <c r="D133" s="1252"/>
      <c r="E133" s="1252"/>
      <c r="F133" s="1252"/>
    </row>
    <row r="134" spans="1:6" s="1266" customFormat="1" ht="15.75" hidden="1" customHeight="1">
      <c r="A134" s="1252"/>
      <c r="B134" s="1252"/>
      <c r="C134" s="1262"/>
      <c r="D134" s="1252"/>
      <c r="E134" s="1252"/>
      <c r="F134" s="1252"/>
    </row>
    <row r="135" spans="1:6" s="1266" customFormat="1" ht="15.75" hidden="1" customHeight="1">
      <c r="A135" s="1257">
        <v>1</v>
      </c>
      <c r="B135" s="1257" t="s">
        <v>5410</v>
      </c>
      <c r="C135" s="1256" t="s">
        <v>5411</v>
      </c>
      <c r="D135" s="1257">
        <f>D7</f>
        <v>14.6</v>
      </c>
      <c r="E135" s="1258" t="s">
        <v>12</v>
      </c>
      <c r="F135" s="1257">
        <f>A135*D135</f>
        <v>14.6</v>
      </c>
    </row>
    <row r="136" spans="1:6" s="1266" customFormat="1" ht="15.75" hidden="1" customHeight="1">
      <c r="A136" s="1257"/>
      <c r="B136" s="1257"/>
      <c r="C136" s="1259" t="s">
        <v>5412</v>
      </c>
      <c r="D136" s="1257"/>
      <c r="E136" s="1257"/>
      <c r="F136" s="1257"/>
    </row>
    <row r="137" spans="1:6" s="1266" customFormat="1" ht="15.75" hidden="1" customHeight="1">
      <c r="A137" s="1257">
        <v>1</v>
      </c>
      <c r="B137" s="1257" t="s">
        <v>5410</v>
      </c>
      <c r="C137" s="1260" t="s">
        <v>5416</v>
      </c>
      <c r="D137" s="1257">
        <f>D13</f>
        <v>8.1</v>
      </c>
      <c r="E137" s="1258" t="s">
        <v>12</v>
      </c>
      <c r="F137" s="1257">
        <f>A137*D137</f>
        <v>8.1</v>
      </c>
    </row>
    <row r="138" spans="1:6" s="1266" customFormat="1" ht="15.75" hidden="1" customHeight="1">
      <c r="A138" s="1257"/>
      <c r="B138" s="1257"/>
      <c r="C138" s="1259" t="s">
        <v>5414</v>
      </c>
      <c r="D138" s="1257"/>
      <c r="E138" s="1257"/>
      <c r="F138" s="1257"/>
    </row>
    <row r="139" spans="1:6" s="1266" customFormat="1" ht="15.75" hidden="1" customHeight="1">
      <c r="A139" s="1257"/>
      <c r="B139" s="1257"/>
      <c r="C139" s="1259" t="str">
        <f>"Add" &amp;" "&amp;F5&amp;"%  "&amp; C5 &amp;" "&amp;D5</f>
        <v xml:space="preserve">Add %   </v>
      </c>
      <c r="D139" s="1257"/>
      <c r="E139" s="1257"/>
      <c r="F139" s="1257">
        <f>SUM(F137)*F5%</f>
        <v>0</v>
      </c>
    </row>
    <row r="140" spans="1:6" s="1266" customFormat="1" ht="15.75" hidden="1" customHeight="1">
      <c r="A140" s="1257"/>
      <c r="B140" s="1257"/>
      <c r="C140" s="1260"/>
      <c r="D140" s="1257"/>
      <c r="E140" s="1257"/>
      <c r="F140" s="1261">
        <f>SUM(F135:F139)</f>
        <v>22.7</v>
      </c>
    </row>
    <row r="141" spans="1:6" s="1266" customFormat="1" ht="15.75" hidden="1" customHeight="1">
      <c r="A141" s="1252"/>
      <c r="B141" s="1252"/>
      <c r="C141" s="1262"/>
      <c r="D141" s="1252"/>
      <c r="E141" s="1252"/>
      <c r="F141" s="1252"/>
    </row>
    <row r="142" spans="1:6" s="1266" customFormat="1" ht="15.75" hidden="1" customHeight="1">
      <c r="A142" s="1255"/>
      <c r="B142" s="1255"/>
      <c r="C142" s="1263"/>
      <c r="D142" s="1255"/>
      <c r="E142" s="1255"/>
      <c r="F142" s="1255"/>
    </row>
    <row r="143" spans="1:6" s="1266" customFormat="1" ht="15.75" hidden="1" customHeight="1">
      <c r="A143" s="1257">
        <v>1</v>
      </c>
      <c r="B143" s="1257" t="s">
        <v>5410</v>
      </c>
      <c r="C143" s="1256" t="s">
        <v>5417</v>
      </c>
      <c r="D143" s="1257">
        <f>D19</f>
        <v>21.6</v>
      </c>
      <c r="E143" s="1258" t="s">
        <v>12</v>
      </c>
      <c r="F143" s="1257">
        <f>A143*D143</f>
        <v>21.6</v>
      </c>
    </row>
    <row r="144" spans="1:6" s="1266" customFormat="1" ht="15.75" hidden="1" customHeight="1">
      <c r="A144" s="1257"/>
      <c r="B144" s="1257"/>
      <c r="C144" s="1259" t="s">
        <v>5412</v>
      </c>
      <c r="D144" s="1257"/>
      <c r="E144" s="1257"/>
      <c r="F144" s="1257"/>
    </row>
    <row r="145" spans="1:6" s="1266" customFormat="1" ht="15.75" hidden="1" customHeight="1">
      <c r="A145" s="1257">
        <v>1</v>
      </c>
      <c r="B145" s="1257" t="s">
        <v>5410</v>
      </c>
      <c r="C145" s="1260" t="s">
        <v>5416</v>
      </c>
      <c r="D145" s="1257">
        <f>D25</f>
        <v>8.1</v>
      </c>
      <c r="E145" s="1258" t="s">
        <v>12</v>
      </c>
      <c r="F145" s="1257">
        <f>A145*D145</f>
        <v>8.1</v>
      </c>
    </row>
    <row r="146" spans="1:6" s="1266" customFormat="1" ht="15.75" hidden="1" customHeight="1">
      <c r="A146" s="1257"/>
      <c r="B146" s="1257"/>
      <c r="C146" s="1259" t="s">
        <v>5414</v>
      </c>
      <c r="D146" s="1257"/>
      <c r="E146" s="1257"/>
      <c r="F146" s="1257"/>
    </row>
    <row r="147" spans="1:6" s="1266" customFormat="1" ht="15.75" hidden="1" customHeight="1">
      <c r="A147" s="1257"/>
      <c r="B147" s="1257"/>
      <c r="C147" s="1259" t="str">
        <f>"Add" &amp;" "&amp;F5&amp;"%  "&amp; C5 &amp;" "&amp;D5</f>
        <v xml:space="preserve">Add %   </v>
      </c>
      <c r="D147" s="1257"/>
      <c r="E147" s="1257"/>
      <c r="F147" s="1257">
        <f>SUM(F145)*F5%</f>
        <v>0</v>
      </c>
    </row>
    <row r="148" spans="1:6" s="1266" customFormat="1" ht="15.75" hidden="1" customHeight="1">
      <c r="A148" s="1257"/>
      <c r="B148" s="1257"/>
      <c r="C148" s="1260"/>
      <c r="D148" s="1257"/>
      <c r="E148" s="1257"/>
      <c r="F148" s="1261">
        <f>SUM(F143:F147)</f>
        <v>29.700000000000003</v>
      </c>
    </row>
    <row r="149" spans="1:6" s="1266" customFormat="1" ht="15.75" hidden="1" customHeight="1">
      <c r="A149" s="1255"/>
      <c r="B149" s="1255"/>
      <c r="C149" s="1263"/>
      <c r="D149" s="1255"/>
      <c r="E149" s="1255"/>
      <c r="F149" s="1255"/>
    </row>
    <row r="150" spans="1:6" s="1266" customFormat="1" ht="15.75" hidden="1" customHeight="1">
      <c r="A150" s="1255"/>
      <c r="B150" s="1255"/>
      <c r="C150" s="1263"/>
      <c r="D150" s="1255"/>
      <c r="E150" s="1255"/>
      <c r="F150" s="1255"/>
    </row>
    <row r="151" spans="1:6" s="1266" customFormat="1" ht="15.75" hidden="1" customHeight="1">
      <c r="A151" s="1257">
        <v>1</v>
      </c>
      <c r="B151" s="1257" t="s">
        <v>5410</v>
      </c>
      <c r="C151" s="1256" t="s">
        <v>5418</v>
      </c>
      <c r="D151" s="1257">
        <f>D31</f>
        <v>36.799999999999997</v>
      </c>
      <c r="E151" s="1258" t="s">
        <v>12</v>
      </c>
      <c r="F151" s="1257">
        <f>A151*D151</f>
        <v>36.799999999999997</v>
      </c>
    </row>
    <row r="152" spans="1:6" s="1266" customFormat="1" ht="15.75" hidden="1" customHeight="1">
      <c r="A152" s="1257"/>
      <c r="B152" s="1257"/>
      <c r="C152" s="1259" t="s">
        <v>5412</v>
      </c>
      <c r="D152" s="1257"/>
      <c r="E152" s="1257"/>
      <c r="F152" s="1257"/>
    </row>
    <row r="153" spans="1:6" s="1266" customFormat="1" ht="15.75" hidden="1" customHeight="1">
      <c r="A153" s="1257">
        <v>1</v>
      </c>
      <c r="B153" s="1257" t="s">
        <v>5410</v>
      </c>
      <c r="C153" s="1260" t="s">
        <v>5416</v>
      </c>
      <c r="D153" s="1257">
        <f>D37</f>
        <v>8.1</v>
      </c>
      <c r="E153" s="1258" t="s">
        <v>12</v>
      </c>
      <c r="F153" s="1257">
        <f>A153*D153</f>
        <v>8.1</v>
      </c>
    </row>
    <row r="154" spans="1:6" s="1266" customFormat="1" ht="15.75" hidden="1" customHeight="1">
      <c r="A154" s="1257"/>
      <c r="B154" s="1257"/>
      <c r="C154" s="1259" t="s">
        <v>5414</v>
      </c>
      <c r="D154" s="1257"/>
      <c r="E154" s="1257"/>
      <c r="F154" s="1257"/>
    </row>
    <row r="155" spans="1:6" s="1266" customFormat="1" ht="15.75" hidden="1" customHeight="1">
      <c r="A155" s="1257"/>
      <c r="B155" s="1257"/>
      <c r="C155" s="1259" t="str">
        <f>"Add" &amp;" "&amp;F5&amp;"%  "&amp; C5 &amp;" "&amp;D5</f>
        <v xml:space="preserve">Add %   </v>
      </c>
      <c r="D155" s="1257"/>
      <c r="E155" s="1257"/>
      <c r="F155" s="1257">
        <f>SUM(F153)*F5%</f>
        <v>0</v>
      </c>
    </row>
    <row r="156" spans="1:6" s="1266" customFormat="1" ht="15.75" hidden="1" customHeight="1">
      <c r="A156" s="1257"/>
      <c r="B156" s="1257"/>
      <c r="C156" s="1260"/>
      <c r="D156" s="1257"/>
      <c r="E156" s="1257"/>
      <c r="F156" s="1261">
        <f>SUM(F151:F155)</f>
        <v>44.9</v>
      </c>
    </row>
    <row r="157" spans="1:6" s="1266" customFormat="1" ht="15.75" hidden="1" customHeight="1">
      <c r="A157" s="1255"/>
      <c r="B157" s="1255"/>
      <c r="C157" s="1263"/>
      <c r="D157" s="1255"/>
      <c r="E157" s="1255"/>
      <c r="F157" s="1255"/>
    </row>
    <row r="158" spans="1:6" s="1266" customFormat="1" ht="15.75" hidden="1" customHeight="1">
      <c r="A158" s="1255"/>
      <c r="B158" s="1255"/>
      <c r="C158" s="1263"/>
      <c r="D158" s="1255"/>
      <c r="E158" s="1255"/>
      <c r="F158" s="1255"/>
    </row>
    <row r="159" spans="1:6" s="1266" customFormat="1" ht="15.75" customHeight="1">
      <c r="A159" s="1257">
        <v>1</v>
      </c>
      <c r="B159" s="1257" t="s">
        <v>5410</v>
      </c>
      <c r="C159" s="1256" t="s">
        <v>5419</v>
      </c>
      <c r="D159" s="1257">
        <f>D43</f>
        <v>55.1</v>
      </c>
      <c r="E159" s="1258" t="s">
        <v>12</v>
      </c>
      <c r="F159" s="1257">
        <f>A159*D159</f>
        <v>55.1</v>
      </c>
    </row>
    <row r="160" spans="1:6" s="1266" customFormat="1" ht="15.75" customHeight="1">
      <c r="A160" s="1257"/>
      <c r="B160" s="1257"/>
      <c r="C160" s="1259" t="s">
        <v>5412</v>
      </c>
      <c r="D160" s="1257"/>
      <c r="E160" s="1257"/>
      <c r="F160" s="1257"/>
    </row>
    <row r="161" spans="1:6" s="1266" customFormat="1" ht="15.75" customHeight="1">
      <c r="A161" s="1257">
        <v>1</v>
      </c>
      <c r="B161" s="1257" t="s">
        <v>5410</v>
      </c>
      <c r="C161" s="1260" t="s">
        <v>5416</v>
      </c>
      <c r="D161" s="1257">
        <f>D49</f>
        <v>8.1</v>
      </c>
      <c r="E161" s="1258" t="s">
        <v>12</v>
      </c>
      <c r="F161" s="1257">
        <f>A161*D161</f>
        <v>8.1</v>
      </c>
    </row>
    <row r="162" spans="1:6" s="1266" customFormat="1" ht="15.75" customHeight="1">
      <c r="A162" s="1257"/>
      <c r="B162" s="1257"/>
      <c r="C162" s="1259" t="s">
        <v>5414</v>
      </c>
      <c r="D162" s="1257"/>
      <c r="E162" s="1257"/>
      <c r="F162" s="1257"/>
    </row>
    <row r="163" spans="1:6" s="1266" customFormat="1" ht="15.75" customHeight="1">
      <c r="A163" s="1257"/>
      <c r="B163" s="1257"/>
      <c r="C163" s="1259" t="str">
        <f>"Add" &amp;" "&amp;F5&amp;"%  "&amp; C5 &amp;" "&amp;D5</f>
        <v xml:space="preserve">Add %   </v>
      </c>
      <c r="D163" s="1257"/>
      <c r="E163" s="1257"/>
      <c r="F163" s="1257">
        <f>SUM(F161)*F5%</f>
        <v>0</v>
      </c>
    </row>
    <row r="164" spans="1:6" s="1266" customFormat="1" ht="15.75" customHeight="1">
      <c r="A164" s="1257"/>
      <c r="B164" s="1257"/>
      <c r="C164" s="1260"/>
      <c r="D164" s="1257"/>
      <c r="E164" s="1257"/>
      <c r="F164" s="1261">
        <f>SUM(F159:F163)</f>
        <v>63.2</v>
      </c>
    </row>
    <row r="165" spans="1:6" s="1266" customFormat="1" ht="15.75" hidden="1" customHeight="1">
      <c r="A165" s="1255"/>
      <c r="B165" s="1255"/>
      <c r="C165" s="1263"/>
      <c r="D165" s="1255"/>
      <c r="E165" s="1255"/>
      <c r="F165" s="1255"/>
    </row>
    <row r="166" spans="1:6" s="1266" customFormat="1" ht="15.75" hidden="1" customHeight="1">
      <c r="A166" s="1257">
        <v>1</v>
      </c>
      <c r="B166" s="1257" t="s">
        <v>5410</v>
      </c>
      <c r="C166" s="1256" t="s">
        <v>5420</v>
      </c>
      <c r="D166" s="1257">
        <f>D54</f>
        <v>86.3</v>
      </c>
      <c r="E166" s="1258" t="s">
        <v>12</v>
      </c>
      <c r="F166" s="1257">
        <f>A166*D166</f>
        <v>86.3</v>
      </c>
    </row>
    <row r="167" spans="1:6" s="1266" customFormat="1" ht="15.75" hidden="1" customHeight="1">
      <c r="A167" s="1257"/>
      <c r="B167" s="1257"/>
      <c r="C167" s="1259" t="s">
        <v>5412</v>
      </c>
      <c r="D167" s="1257"/>
      <c r="E167" s="1257"/>
      <c r="F167" s="1257"/>
    </row>
    <row r="168" spans="1:6" s="1266" customFormat="1" ht="15.75" hidden="1" customHeight="1">
      <c r="A168" s="1257">
        <v>1</v>
      </c>
      <c r="B168" s="1257" t="s">
        <v>5410</v>
      </c>
      <c r="C168" s="1260" t="s">
        <v>5416</v>
      </c>
      <c r="D168" s="1257">
        <f>D60</f>
        <v>8.1</v>
      </c>
      <c r="E168" s="1258" t="s">
        <v>12</v>
      </c>
      <c r="F168" s="1257">
        <f>A168*D168</f>
        <v>8.1</v>
      </c>
    </row>
    <row r="169" spans="1:6" s="1266" customFormat="1" ht="15.75" hidden="1" customHeight="1">
      <c r="A169" s="1257"/>
      <c r="B169" s="1257"/>
      <c r="C169" s="1259" t="s">
        <v>5414</v>
      </c>
      <c r="D169" s="1257"/>
      <c r="E169" s="1257"/>
      <c r="F169" s="1257"/>
    </row>
    <row r="170" spans="1:6" s="1266" customFormat="1" ht="15.75" hidden="1" customHeight="1">
      <c r="A170" s="1257"/>
      <c r="B170" s="1257"/>
      <c r="C170" s="1259" t="str">
        <f>"Add" &amp;" "&amp;F5&amp;"%  "&amp; C5 &amp;" "&amp;D5</f>
        <v xml:space="preserve">Add %   </v>
      </c>
      <c r="D170" s="1257"/>
      <c r="E170" s="1257"/>
      <c r="F170" s="1257">
        <f>SUM(F168)*F5%</f>
        <v>0</v>
      </c>
    </row>
    <row r="171" spans="1:6" s="1266" customFormat="1" ht="15.75" hidden="1" customHeight="1">
      <c r="A171" s="1257"/>
      <c r="B171" s="1257"/>
      <c r="C171" s="1260"/>
      <c r="D171" s="1257"/>
      <c r="E171" s="1257"/>
      <c r="F171" s="1261">
        <f>SUM(F166:F170)</f>
        <v>94.399999999999991</v>
      </c>
    </row>
    <row r="172" spans="1:6" s="1266" customFormat="1" ht="15.75" hidden="1" customHeight="1">
      <c r="A172" s="1255"/>
      <c r="B172" s="1255"/>
      <c r="C172" s="1263"/>
      <c r="D172" s="1255"/>
      <c r="E172" s="1255"/>
      <c r="F172" s="1255"/>
    </row>
    <row r="173" spans="1:6" s="1266" customFormat="1" ht="15.75" hidden="1" customHeight="1">
      <c r="A173" s="1257">
        <v>1</v>
      </c>
      <c r="B173" s="1257" t="s">
        <v>5410</v>
      </c>
      <c r="C173" s="1256" t="s">
        <v>5421</v>
      </c>
      <c r="D173" s="1257">
        <f>D65</f>
        <v>129</v>
      </c>
      <c r="E173" s="1258" t="s">
        <v>12</v>
      </c>
      <c r="F173" s="1257">
        <f>A173*D173</f>
        <v>129</v>
      </c>
    </row>
    <row r="174" spans="1:6" s="1266" customFormat="1" ht="15.75" hidden="1" customHeight="1">
      <c r="A174" s="1257"/>
      <c r="B174" s="1257"/>
      <c r="C174" s="1259" t="s">
        <v>5412</v>
      </c>
      <c r="D174" s="1257"/>
      <c r="E174" s="1257"/>
      <c r="F174" s="1257"/>
    </row>
    <row r="175" spans="1:6" s="1266" customFormat="1" ht="15.75" hidden="1" customHeight="1">
      <c r="A175" s="1257">
        <v>1</v>
      </c>
      <c r="B175" s="1257" t="s">
        <v>5410</v>
      </c>
      <c r="C175" s="1260" t="s">
        <v>5416</v>
      </c>
      <c r="D175" s="1257">
        <f>D71</f>
        <v>13.51</v>
      </c>
      <c r="E175" s="1258" t="s">
        <v>12</v>
      </c>
      <c r="F175" s="1257">
        <f>A175*D175</f>
        <v>13.51</v>
      </c>
    </row>
    <row r="176" spans="1:6" s="1266" customFormat="1" ht="15.75" hidden="1" customHeight="1">
      <c r="A176" s="1257"/>
      <c r="B176" s="1257"/>
      <c r="C176" s="1259" t="s">
        <v>5414</v>
      </c>
      <c r="D176" s="1257"/>
      <c r="E176" s="1257"/>
      <c r="F176" s="1257"/>
    </row>
    <row r="177" spans="1:6" s="1266" customFormat="1" ht="15.75" hidden="1" customHeight="1">
      <c r="A177" s="1257"/>
      <c r="B177" s="1257"/>
      <c r="C177" s="1259" t="str">
        <f>"Add" &amp;" "&amp;F5&amp;"%  "&amp; C5 &amp;" "&amp;D5</f>
        <v xml:space="preserve">Add %   </v>
      </c>
      <c r="D177" s="1257"/>
      <c r="E177" s="1257"/>
      <c r="F177" s="1257">
        <f>SUM(F175)*F5%</f>
        <v>0</v>
      </c>
    </row>
    <row r="178" spans="1:6" s="1266" customFormat="1" ht="15.75" hidden="1" customHeight="1">
      <c r="A178" s="1257"/>
      <c r="B178" s="1257"/>
      <c r="C178" s="1260"/>
      <c r="D178" s="1257"/>
      <c r="E178" s="1257"/>
      <c r="F178" s="1261">
        <f>SUM(F173:F177)</f>
        <v>142.51</v>
      </c>
    </row>
    <row r="179" spans="1:6" s="1266" customFormat="1" ht="16.5" hidden="1" customHeight="1">
      <c r="A179" s="1255"/>
      <c r="B179" s="1255"/>
      <c r="C179" s="1263"/>
      <c r="D179" s="1255"/>
      <c r="E179" s="1255"/>
      <c r="F179" s="1255"/>
    </row>
    <row r="180" spans="1:6" s="1266" customFormat="1" ht="16.5" hidden="1" customHeight="1">
      <c r="A180" s="1257">
        <v>1</v>
      </c>
      <c r="B180" s="1257" t="s">
        <v>5410</v>
      </c>
      <c r="C180" s="1256" t="s">
        <v>5422</v>
      </c>
      <c r="D180" s="1257">
        <f>D76</f>
        <v>116.8</v>
      </c>
      <c r="E180" s="1258" t="s">
        <v>12</v>
      </c>
      <c r="F180" s="1257">
        <f>A180*D180</f>
        <v>116.8</v>
      </c>
    </row>
    <row r="181" spans="1:6" s="1266" customFormat="1" ht="16.5" hidden="1" customHeight="1">
      <c r="A181" s="1257"/>
      <c r="B181" s="1257"/>
      <c r="C181" s="1259" t="s">
        <v>5412</v>
      </c>
      <c r="D181" s="1257"/>
      <c r="E181" s="1257"/>
      <c r="F181" s="1257"/>
    </row>
    <row r="182" spans="1:6" s="1266" customFormat="1" ht="16.5" hidden="1" customHeight="1">
      <c r="A182" s="1257">
        <v>1</v>
      </c>
      <c r="B182" s="1257" t="s">
        <v>5410</v>
      </c>
      <c r="C182" s="1260" t="s">
        <v>5416</v>
      </c>
      <c r="D182" s="1257">
        <f>D82</f>
        <v>13.51</v>
      </c>
      <c r="E182" s="1258" t="s">
        <v>12</v>
      </c>
      <c r="F182" s="1257">
        <f>A182*D182</f>
        <v>13.51</v>
      </c>
    </row>
    <row r="183" spans="1:6" s="1266" customFormat="1" ht="16.5" hidden="1" customHeight="1">
      <c r="A183" s="1257"/>
      <c r="B183" s="1257"/>
      <c r="C183" s="1259" t="s">
        <v>5414</v>
      </c>
      <c r="D183" s="1257"/>
      <c r="E183" s="1257"/>
      <c r="F183" s="1257"/>
    </row>
    <row r="184" spans="1:6" s="1266" customFormat="1" ht="16.5" hidden="1" customHeight="1">
      <c r="A184" s="1257"/>
      <c r="B184" s="1257"/>
      <c r="C184" s="1259" t="str">
        <f>"Add" &amp;" "&amp;F5&amp;"%  "&amp; C5 &amp;" "&amp;D5</f>
        <v xml:space="preserve">Add %   </v>
      </c>
      <c r="D184" s="1257"/>
      <c r="E184" s="1257"/>
      <c r="F184" s="1257">
        <f>SUM(F182)*F5%</f>
        <v>0</v>
      </c>
    </row>
    <row r="185" spans="1:6" s="1266" customFormat="1" ht="16.5" hidden="1" customHeight="1">
      <c r="A185" s="1257"/>
      <c r="B185" s="1257"/>
      <c r="C185" s="1260"/>
      <c r="D185" s="1257"/>
      <c r="E185" s="1257"/>
      <c r="F185" s="1261">
        <f>SUM(F180:F184)</f>
        <v>130.31</v>
      </c>
    </row>
    <row r="186" spans="1:6" s="1266" customFormat="1" ht="16.5" hidden="1" customHeight="1">
      <c r="A186" s="1255"/>
      <c r="B186" s="1255"/>
      <c r="C186" s="1263"/>
      <c r="D186" s="1255"/>
      <c r="E186" s="1255"/>
      <c r="F186" s="1255"/>
    </row>
    <row r="187" spans="1:6" s="1266" customFormat="1" ht="16.5" hidden="1" customHeight="1">
      <c r="A187" s="1257">
        <v>1</v>
      </c>
      <c r="B187" s="1257" t="s">
        <v>5410</v>
      </c>
      <c r="C187" s="1256" t="s">
        <v>5423</v>
      </c>
      <c r="D187" s="1257">
        <f>D87</f>
        <v>166.3</v>
      </c>
      <c r="E187" s="1258" t="s">
        <v>12</v>
      </c>
      <c r="F187" s="1257">
        <f>A187*D187</f>
        <v>166.3</v>
      </c>
    </row>
    <row r="188" spans="1:6" s="1266" customFormat="1" ht="16.5" hidden="1" customHeight="1">
      <c r="A188" s="1257"/>
      <c r="B188" s="1257"/>
      <c r="C188" s="1259" t="s">
        <v>5412</v>
      </c>
      <c r="D188" s="1257"/>
      <c r="E188" s="1257"/>
      <c r="F188" s="1257"/>
    </row>
    <row r="189" spans="1:6" s="1266" customFormat="1" ht="16.5" hidden="1" customHeight="1">
      <c r="A189" s="1257">
        <v>1</v>
      </c>
      <c r="B189" s="1257" t="s">
        <v>5410</v>
      </c>
      <c r="C189" s="1260" t="s">
        <v>5416</v>
      </c>
      <c r="D189" s="1257">
        <f>D93</f>
        <v>13.51</v>
      </c>
      <c r="E189" s="1258" t="s">
        <v>12</v>
      </c>
      <c r="F189" s="1257">
        <f>A189*D189</f>
        <v>13.51</v>
      </c>
    </row>
    <row r="190" spans="1:6" s="1266" customFormat="1" ht="16.5" hidden="1" customHeight="1">
      <c r="A190" s="1257"/>
      <c r="B190" s="1257"/>
      <c r="C190" s="1259" t="s">
        <v>5414</v>
      </c>
      <c r="D190" s="1257"/>
      <c r="E190" s="1257"/>
      <c r="F190" s="1257"/>
    </row>
    <row r="191" spans="1:6" s="1266" customFormat="1" ht="18" hidden="1" customHeight="1">
      <c r="A191" s="1257"/>
      <c r="B191" s="1257"/>
      <c r="C191" s="1259" t="str">
        <f>"Add" &amp;" "&amp;F5&amp;"%  "&amp; C5 &amp;" "&amp;D5</f>
        <v xml:space="preserve">Add %   </v>
      </c>
      <c r="D191" s="1257"/>
      <c r="E191" s="1257"/>
      <c r="F191" s="1257">
        <f>SUM(F189)*F5%</f>
        <v>0</v>
      </c>
    </row>
    <row r="192" spans="1:6" s="1266" customFormat="1" ht="18" hidden="1" customHeight="1">
      <c r="A192" s="1257"/>
      <c r="B192" s="1257"/>
      <c r="C192" s="1260"/>
      <c r="D192" s="1257"/>
      <c r="E192" s="1257"/>
      <c r="F192" s="1261">
        <f>SUM(F187:F191)</f>
        <v>179.81</v>
      </c>
    </row>
    <row r="193" spans="1:6" s="1266" customFormat="1" ht="18" hidden="1" customHeight="1">
      <c r="A193" s="1255"/>
      <c r="B193" s="1255"/>
      <c r="C193" s="1263"/>
      <c r="D193" s="1255"/>
      <c r="E193" s="1255"/>
      <c r="F193" s="1255"/>
    </row>
    <row r="194" spans="1:6" s="1266" customFormat="1" ht="16.5" hidden="1" customHeight="1">
      <c r="A194" s="1257">
        <v>1</v>
      </c>
      <c r="B194" s="1257" t="s">
        <v>5410</v>
      </c>
      <c r="C194" s="1256" t="s">
        <v>5428</v>
      </c>
      <c r="D194" s="1257">
        <f>D98</f>
        <v>197.6</v>
      </c>
      <c r="E194" s="1258" t="s">
        <v>12</v>
      </c>
      <c r="F194" s="1257">
        <f>A194*D194</f>
        <v>197.6</v>
      </c>
    </row>
    <row r="195" spans="1:6" s="1266" customFormat="1" ht="16.5" hidden="1" customHeight="1">
      <c r="A195" s="1257"/>
      <c r="B195" s="1257"/>
      <c r="C195" s="1259" t="s">
        <v>5412</v>
      </c>
      <c r="D195" s="1257"/>
      <c r="E195" s="1257"/>
      <c r="F195" s="1257"/>
    </row>
    <row r="196" spans="1:6" s="1266" customFormat="1" ht="16.5" hidden="1" customHeight="1">
      <c r="A196" s="1257">
        <v>1</v>
      </c>
      <c r="B196" s="1257" t="s">
        <v>5410</v>
      </c>
      <c r="C196" s="1260" t="s">
        <v>5416</v>
      </c>
      <c r="D196" s="1257">
        <f>D104</f>
        <v>13.64</v>
      </c>
      <c r="E196" s="1258" t="s">
        <v>12</v>
      </c>
      <c r="F196" s="1257">
        <f>A196*D196</f>
        <v>13.64</v>
      </c>
    </row>
    <row r="197" spans="1:6" s="1266" customFormat="1" ht="16.5" hidden="1" customHeight="1">
      <c r="A197" s="1257"/>
      <c r="B197" s="1257"/>
      <c r="C197" s="1259" t="s">
        <v>5414</v>
      </c>
      <c r="D197" s="1257"/>
      <c r="E197" s="1257"/>
      <c r="F197" s="1257"/>
    </row>
    <row r="198" spans="1:6" s="1266" customFormat="1" ht="16.5" hidden="1" customHeight="1">
      <c r="A198" s="1257"/>
      <c r="B198" s="1257"/>
      <c r="C198" s="1259" t="str">
        <f>"Add" &amp;" "&amp;F5&amp;"%  "&amp; C5 &amp;" "&amp;D5</f>
        <v xml:space="preserve">Add %   </v>
      </c>
      <c r="D198" s="1257"/>
      <c r="E198" s="1257"/>
      <c r="F198" s="1257">
        <f>SUM(F196)*F5%</f>
        <v>0</v>
      </c>
    </row>
    <row r="199" spans="1:6" s="1266" customFormat="1" ht="16.5" hidden="1" customHeight="1">
      <c r="A199" s="1257"/>
      <c r="B199" s="1257"/>
      <c r="C199" s="1260"/>
      <c r="D199" s="1257"/>
      <c r="E199" s="1257"/>
      <c r="F199" s="1261">
        <f>SUM(F194:F198)</f>
        <v>211.24</v>
      </c>
    </row>
    <row r="200" spans="1:6" s="1266" customFormat="1" ht="16.5" hidden="1" customHeight="1">
      <c r="A200" s="1255"/>
      <c r="B200" s="1255"/>
      <c r="C200" s="1263"/>
      <c r="D200" s="1255"/>
      <c r="E200" s="1255"/>
      <c r="F200" s="1255"/>
    </row>
    <row r="201" spans="1:6" s="1266" customFormat="1" ht="16.5" hidden="1" customHeight="1">
      <c r="A201" s="1255"/>
      <c r="B201" s="1255"/>
      <c r="C201" s="1263"/>
      <c r="D201" s="1255"/>
      <c r="E201" s="1255"/>
      <c r="F201" s="1255"/>
    </row>
    <row r="202" spans="1:6" s="1266" customFormat="1" ht="16.5" hidden="1" customHeight="1">
      <c r="A202" s="1255"/>
      <c r="B202" s="1255"/>
      <c r="C202" s="1263"/>
      <c r="D202" s="1255"/>
      <c r="E202" s="1255"/>
      <c r="F202" s="1255"/>
    </row>
    <row r="203" spans="1:6" s="1266" customFormat="1" ht="16.5" hidden="1" customHeight="1">
      <c r="A203" s="1257">
        <v>1</v>
      </c>
      <c r="B203" s="1257" t="s">
        <v>5410</v>
      </c>
      <c r="C203" s="1256" t="s">
        <v>5429</v>
      </c>
      <c r="D203" s="1257">
        <f>D111</f>
        <v>259.3</v>
      </c>
      <c r="E203" s="1258" t="s">
        <v>12</v>
      </c>
      <c r="F203" s="1257">
        <f>A203*D203</f>
        <v>259.3</v>
      </c>
    </row>
    <row r="204" spans="1:6" s="1266" customFormat="1" ht="16.5" hidden="1" customHeight="1">
      <c r="A204" s="1257"/>
      <c r="B204" s="1257"/>
      <c r="C204" s="1259" t="s">
        <v>5412</v>
      </c>
      <c r="D204" s="1257"/>
      <c r="E204" s="1257"/>
      <c r="F204" s="1257"/>
    </row>
    <row r="205" spans="1:6" s="1266" customFormat="1" ht="16.5" hidden="1" customHeight="1">
      <c r="A205" s="1257">
        <v>1</v>
      </c>
      <c r="B205" s="1257" t="s">
        <v>5410</v>
      </c>
      <c r="C205" s="1260" t="s">
        <v>5416</v>
      </c>
      <c r="D205" s="1257">
        <f>D117</f>
        <v>13.64</v>
      </c>
      <c r="E205" s="1258" t="s">
        <v>12</v>
      </c>
      <c r="F205" s="1257">
        <f>A205*D205</f>
        <v>13.64</v>
      </c>
    </row>
    <row r="206" spans="1:6" s="1266" customFormat="1" ht="15.75" hidden="1" customHeight="1">
      <c r="A206" s="1257"/>
      <c r="B206" s="1257"/>
      <c r="C206" s="1259" t="s">
        <v>5414</v>
      </c>
      <c r="D206" s="1257"/>
      <c r="E206" s="1257"/>
      <c r="F206" s="1257"/>
    </row>
    <row r="207" spans="1:6" s="1266" customFormat="1" ht="15.75" hidden="1" customHeight="1">
      <c r="A207" s="1257"/>
      <c r="B207" s="1257"/>
      <c r="C207" s="1259" t="str">
        <f>"Add" &amp;" "&amp;F5&amp;"%  "&amp; C5 &amp;" "&amp;D5</f>
        <v xml:space="preserve">Add %   </v>
      </c>
      <c r="D207" s="1257"/>
      <c r="E207" s="1257"/>
      <c r="F207" s="1257">
        <f>SUM(F205)*F5%</f>
        <v>0</v>
      </c>
    </row>
    <row r="208" spans="1:6" s="1266" customFormat="1" ht="15.75" hidden="1" customHeight="1">
      <c r="A208" s="1257"/>
      <c r="B208" s="1257"/>
      <c r="C208" s="1260"/>
      <c r="D208" s="1257"/>
      <c r="E208" s="1257"/>
      <c r="F208" s="1261">
        <f>SUM(F203:F207)</f>
        <v>272.94</v>
      </c>
    </row>
    <row r="209" spans="1:6" s="1266" customFormat="1" ht="16.5" hidden="1" customHeight="1">
      <c r="A209" s="1255"/>
      <c r="B209" s="1255"/>
      <c r="C209" s="1263"/>
      <c r="D209" s="1255"/>
      <c r="E209" s="1255"/>
      <c r="F209" s="1255"/>
    </row>
    <row r="210" spans="1:6" s="1266" customFormat="1" ht="16.5" hidden="1" customHeight="1">
      <c r="A210" s="1255"/>
      <c r="B210" s="1255"/>
      <c r="C210" s="1263"/>
      <c r="D210" s="1255"/>
      <c r="E210" s="1255"/>
      <c r="F210" s="1255"/>
    </row>
    <row r="211" spans="1:6" s="1266" customFormat="1" ht="16.5" hidden="1" customHeight="1">
      <c r="A211" s="1257">
        <v>1</v>
      </c>
      <c r="B211" s="1257" t="s">
        <v>5410</v>
      </c>
      <c r="C211" s="1256" t="s">
        <v>5430</v>
      </c>
      <c r="D211" s="1257">
        <f>D123</f>
        <v>506</v>
      </c>
      <c r="E211" s="1258" t="s">
        <v>12</v>
      </c>
      <c r="F211" s="1257">
        <f>A211*D211</f>
        <v>506</v>
      </c>
    </row>
    <row r="212" spans="1:6" s="1266" customFormat="1" ht="16.5" hidden="1" customHeight="1">
      <c r="A212" s="1257"/>
      <c r="B212" s="1257"/>
      <c r="C212" s="1259" t="s">
        <v>5412</v>
      </c>
      <c r="D212" s="1257"/>
      <c r="E212" s="1257"/>
      <c r="F212" s="1257"/>
    </row>
    <row r="213" spans="1:6" s="1266" customFormat="1" ht="16.5" hidden="1" customHeight="1">
      <c r="A213" s="1257">
        <v>1</v>
      </c>
      <c r="B213" s="1257" t="s">
        <v>5410</v>
      </c>
      <c r="C213" s="1260" t="s">
        <v>5416</v>
      </c>
      <c r="D213" s="1257">
        <f>D129</f>
        <v>19.100000000000001</v>
      </c>
      <c r="E213" s="1258" t="s">
        <v>12</v>
      </c>
      <c r="F213" s="1257">
        <f>A213*D213</f>
        <v>19.100000000000001</v>
      </c>
    </row>
    <row r="214" spans="1:6" s="1266" customFormat="1" ht="16.5" hidden="1" customHeight="1">
      <c r="A214" s="1257"/>
      <c r="B214" s="1257"/>
      <c r="C214" s="1259" t="s">
        <v>5414</v>
      </c>
      <c r="D214" s="1257"/>
      <c r="E214" s="1257"/>
      <c r="F214" s="1267"/>
    </row>
    <row r="215" spans="1:6" s="1266" customFormat="1" ht="16.5" hidden="1" customHeight="1">
      <c r="A215" s="1257"/>
      <c r="B215" s="1257"/>
      <c r="C215" s="1259" t="str">
        <f>"Add" &amp;" "&amp;F5&amp;"%  "&amp; C5 &amp;" "&amp;D5</f>
        <v xml:space="preserve">Add %   </v>
      </c>
      <c r="D215" s="1257"/>
      <c r="E215" s="1257"/>
      <c r="F215" s="1257">
        <f>SUM(F213)*F5%</f>
        <v>0</v>
      </c>
    </row>
    <row r="216" spans="1:6" s="1266" customFormat="1" ht="16.5" hidden="1" customHeight="1">
      <c r="A216" s="1257"/>
      <c r="B216" s="1257"/>
      <c r="C216" s="1260"/>
      <c r="D216" s="1257"/>
      <c r="E216" s="1257"/>
      <c r="F216" s="1261">
        <f>SUM(F211:F215)</f>
        <v>525.1</v>
      </c>
    </row>
    <row r="217" spans="1:6" s="1266" customFormat="1" ht="16.5" hidden="1" customHeight="1">
      <c r="A217" s="1257"/>
      <c r="B217" s="1257"/>
      <c r="C217" s="1260"/>
      <c r="D217" s="1257"/>
      <c r="E217" s="1257"/>
      <c r="F217" s="1261"/>
    </row>
    <row r="218" spans="1:6" s="1266" customFormat="1" ht="16.5" hidden="1" customHeight="1">
      <c r="A218" s="1257"/>
      <c r="B218" s="1257"/>
      <c r="C218" s="1256" t="s">
        <v>5431</v>
      </c>
      <c r="D218" s="1257"/>
      <c r="E218" s="1257"/>
      <c r="F218" s="1261"/>
    </row>
    <row r="219" spans="1:6" s="1266" customFormat="1" ht="16.5" hidden="1" customHeight="1">
      <c r="A219" s="1255"/>
      <c r="B219" s="1255"/>
      <c r="C219" s="1263"/>
      <c r="D219" s="1255"/>
      <c r="E219" s="1255"/>
      <c r="F219" s="1255"/>
    </row>
    <row r="220" spans="1:6" s="1266" customFormat="1" ht="16.5" hidden="1" customHeight="1">
      <c r="A220" s="1257">
        <v>1</v>
      </c>
      <c r="B220" s="1257" t="s">
        <v>5410</v>
      </c>
      <c r="C220" s="1256" t="s">
        <v>5432</v>
      </c>
      <c r="D220" s="1257">
        <v>36.299999999999997</v>
      </c>
      <c r="E220" s="1258" t="s">
        <v>12</v>
      </c>
      <c r="F220" s="1257">
        <f>A220*D220</f>
        <v>36.299999999999997</v>
      </c>
    </row>
    <row r="221" spans="1:6" s="1266" customFormat="1" ht="18" hidden="1" customHeight="1">
      <c r="A221" s="1257"/>
      <c r="B221" s="1257"/>
      <c r="C221" s="1259" t="s">
        <v>5412</v>
      </c>
      <c r="D221" s="1257"/>
      <c r="E221" s="1257"/>
      <c r="F221" s="1257"/>
    </row>
    <row r="222" spans="1:6" s="1266" customFormat="1" ht="18" hidden="1" customHeight="1">
      <c r="A222" s="1257">
        <v>1</v>
      </c>
      <c r="B222" s="1257" t="s">
        <v>5410</v>
      </c>
      <c r="C222" s="1260" t="s">
        <v>5413</v>
      </c>
      <c r="D222" s="1257">
        <v>115.13</v>
      </c>
      <c r="E222" s="1258" t="s">
        <v>12</v>
      </c>
      <c r="F222" s="1257">
        <f>A222*D222</f>
        <v>115.13</v>
      </c>
    </row>
    <row r="223" spans="1:6" s="1266" customFormat="1" ht="18" hidden="1" customHeight="1">
      <c r="A223" s="1257"/>
      <c r="B223" s="1257"/>
      <c r="C223" s="1259" t="s">
        <v>5414</v>
      </c>
      <c r="D223" s="1257"/>
      <c r="E223" s="1257"/>
      <c r="F223" s="1257"/>
    </row>
    <row r="224" spans="1:6" s="1266" customFormat="1" ht="15.75" hidden="1" customHeight="1">
      <c r="A224" s="1257">
        <v>1</v>
      </c>
      <c r="B224" s="1257" t="s">
        <v>5410</v>
      </c>
      <c r="C224" s="1260" t="s">
        <v>5415</v>
      </c>
      <c r="D224" s="1257">
        <v>16.04</v>
      </c>
      <c r="E224" s="1258" t="s">
        <v>12</v>
      </c>
      <c r="F224" s="1257">
        <f>A224*D224</f>
        <v>16.04</v>
      </c>
    </row>
    <row r="225" spans="1:6" s="1266" customFormat="1" ht="16.5" hidden="1" customHeight="1">
      <c r="A225" s="1257"/>
      <c r="B225" s="1257"/>
      <c r="C225" s="1259" t="s">
        <v>5414</v>
      </c>
      <c r="D225" s="1257"/>
      <c r="E225" s="1257"/>
      <c r="F225" s="1257"/>
    </row>
    <row r="226" spans="1:6" s="1266" customFormat="1" ht="15.75" hidden="1" customHeight="1">
      <c r="A226" s="1257">
        <v>1</v>
      </c>
      <c r="B226" s="1257" t="s">
        <v>5410</v>
      </c>
      <c r="C226" s="1260" t="s">
        <v>5416</v>
      </c>
      <c r="D226" s="1257">
        <v>8.1</v>
      </c>
      <c r="E226" s="1258" t="s">
        <v>12</v>
      </c>
      <c r="F226" s="1257">
        <f>A226*D226</f>
        <v>8.1</v>
      </c>
    </row>
    <row r="227" spans="1:6" s="1266" customFormat="1" ht="15.75" hidden="1" customHeight="1">
      <c r="A227" s="1257"/>
      <c r="B227" s="1257"/>
      <c r="C227" s="1259" t="s">
        <v>5414</v>
      </c>
      <c r="D227" s="1257"/>
      <c r="E227" s="1257"/>
      <c r="F227" s="1257"/>
    </row>
    <row r="228" spans="1:6" s="1266" customFormat="1" ht="15.75" hidden="1" customHeight="1">
      <c r="A228" s="1257"/>
      <c r="B228" s="1257"/>
      <c r="C228" s="1259" t="str">
        <f>"Add" &amp;" "&amp;F5&amp;"%  "&amp; C5 &amp;" "&amp;D5</f>
        <v xml:space="preserve">Add %   </v>
      </c>
      <c r="D228" s="1257"/>
      <c r="E228" s="1257"/>
      <c r="F228" s="1257">
        <f>SUM(F222:F226)*F5%</f>
        <v>0</v>
      </c>
    </row>
    <row r="229" spans="1:6" s="1266" customFormat="1" ht="19.5" hidden="1" customHeight="1">
      <c r="A229" s="1257"/>
      <c r="B229" s="1257"/>
      <c r="C229" s="1260"/>
      <c r="D229" s="1257"/>
      <c r="E229" s="1257"/>
      <c r="F229" s="1261">
        <f>SUM(F220:F228)</f>
        <v>175.57</v>
      </c>
    </row>
    <row r="230" spans="1:6" s="1266" customFormat="1" ht="18.75" hidden="1" customHeight="1">
      <c r="A230" s="1252"/>
      <c r="B230" s="1252"/>
      <c r="C230" s="1262"/>
      <c r="D230" s="1252"/>
      <c r="E230" s="1252"/>
      <c r="F230" s="1252"/>
    </row>
    <row r="231" spans="1:6" s="1266" customFormat="1" ht="18.75" hidden="1" customHeight="1">
      <c r="A231" s="1255"/>
      <c r="B231" s="1255"/>
      <c r="C231" s="1263"/>
      <c r="D231" s="1255"/>
      <c r="E231" s="1255"/>
      <c r="F231" s="1255"/>
    </row>
    <row r="232" spans="1:6" s="1266" customFormat="1" ht="18.75" hidden="1" customHeight="1">
      <c r="A232" s="1257">
        <v>1</v>
      </c>
      <c r="B232" s="1257" t="s">
        <v>5410</v>
      </c>
      <c r="C232" s="1256" t="s">
        <v>5433</v>
      </c>
      <c r="D232" s="1257">
        <v>52.1</v>
      </c>
      <c r="E232" s="1258" t="s">
        <v>12</v>
      </c>
      <c r="F232" s="1257">
        <f>A232*D232</f>
        <v>52.1</v>
      </c>
    </row>
    <row r="233" spans="1:6" s="1266" customFormat="1" ht="18.75" hidden="1" customHeight="1">
      <c r="A233" s="1257"/>
      <c r="B233" s="1257"/>
      <c r="C233" s="1259" t="s">
        <v>5412</v>
      </c>
      <c r="D233" s="1257"/>
      <c r="E233" s="1257"/>
      <c r="F233" s="1257"/>
    </row>
    <row r="234" spans="1:6" s="1266" customFormat="1" ht="18.75" hidden="1" customHeight="1">
      <c r="A234" s="1257">
        <v>1</v>
      </c>
      <c r="B234" s="1257" t="s">
        <v>5410</v>
      </c>
      <c r="C234" s="1260" t="s">
        <v>5413</v>
      </c>
      <c r="D234" s="1257">
        <v>115.13</v>
      </c>
      <c r="E234" s="1258" t="s">
        <v>12</v>
      </c>
      <c r="F234" s="1257">
        <f>A234*D234</f>
        <v>115.13</v>
      </c>
    </row>
    <row r="235" spans="1:6" s="1266" customFormat="1" ht="18.75" hidden="1" customHeight="1">
      <c r="A235" s="1257"/>
      <c r="B235" s="1257"/>
      <c r="C235" s="1259" t="s">
        <v>5414</v>
      </c>
      <c r="D235" s="1257"/>
      <c r="E235" s="1257"/>
      <c r="F235" s="1257"/>
    </row>
    <row r="236" spans="1:6" s="1266" customFormat="1" ht="18.75" hidden="1" customHeight="1">
      <c r="A236" s="1257">
        <v>1</v>
      </c>
      <c r="B236" s="1257" t="s">
        <v>5410</v>
      </c>
      <c r="C236" s="1260" t="s">
        <v>5415</v>
      </c>
      <c r="D236" s="1257">
        <v>16.04</v>
      </c>
      <c r="E236" s="1258" t="s">
        <v>12</v>
      </c>
      <c r="F236" s="1257">
        <f>A236*D236</f>
        <v>16.04</v>
      </c>
    </row>
    <row r="237" spans="1:6" s="1266" customFormat="1" ht="18.75" hidden="1" customHeight="1">
      <c r="A237" s="1257"/>
      <c r="B237" s="1257"/>
      <c r="C237" s="1259" t="s">
        <v>5414</v>
      </c>
      <c r="D237" s="1257"/>
      <c r="E237" s="1257"/>
      <c r="F237" s="1257"/>
    </row>
    <row r="238" spans="1:6" s="1266" customFormat="1" ht="18.75" hidden="1" customHeight="1">
      <c r="A238" s="1257">
        <v>1</v>
      </c>
      <c r="B238" s="1257" t="s">
        <v>5410</v>
      </c>
      <c r="C238" s="1260" t="s">
        <v>5416</v>
      </c>
      <c r="D238" s="1257">
        <v>8.1</v>
      </c>
      <c r="E238" s="1258" t="s">
        <v>12</v>
      </c>
      <c r="F238" s="1257">
        <f>A238*D238</f>
        <v>8.1</v>
      </c>
    </row>
    <row r="239" spans="1:6" s="1266" customFormat="1" ht="18.75" hidden="1" customHeight="1">
      <c r="A239" s="1257"/>
      <c r="B239" s="1257"/>
      <c r="C239" s="1259" t="s">
        <v>5414</v>
      </c>
      <c r="D239" s="1257"/>
      <c r="E239" s="1257"/>
      <c r="F239" s="1257"/>
    </row>
    <row r="240" spans="1:6" s="1266" customFormat="1" ht="18.75" hidden="1" customHeight="1">
      <c r="A240" s="1257"/>
      <c r="B240" s="1257"/>
      <c r="C240" s="1259" t="str">
        <f>"Add" &amp;" "&amp;F5&amp;"%  "&amp; C5 &amp;" "&amp;D5</f>
        <v xml:space="preserve">Add %   </v>
      </c>
      <c r="D240" s="1257"/>
      <c r="E240" s="1257"/>
      <c r="F240" s="1257">
        <f>SUM(F234:F238)*F5%</f>
        <v>0</v>
      </c>
    </row>
    <row r="241" spans="1:6" s="1266" customFormat="1" ht="19.5" hidden="1" customHeight="1">
      <c r="A241" s="1257"/>
      <c r="B241" s="1257"/>
      <c r="C241" s="1260"/>
      <c r="D241" s="1257"/>
      <c r="E241" s="1257"/>
      <c r="F241" s="1261">
        <f>SUM(F232:F240)</f>
        <v>191.36999999999998</v>
      </c>
    </row>
    <row r="242" spans="1:6" s="1266" customFormat="1" ht="15.75" hidden="1" customHeight="1">
      <c r="A242" s="1255"/>
      <c r="B242" s="1255"/>
      <c r="C242" s="1263"/>
      <c r="D242" s="1255"/>
      <c r="E242" s="1255"/>
      <c r="F242" s="1255"/>
    </row>
    <row r="243" spans="1:6" s="1266" customFormat="1" ht="15.75" hidden="1" customHeight="1">
      <c r="A243" s="1255"/>
      <c r="B243" s="1255"/>
      <c r="C243" s="1263"/>
      <c r="D243" s="1255"/>
      <c r="E243" s="1255"/>
      <c r="F243" s="1255"/>
    </row>
    <row r="244" spans="1:6" s="1266" customFormat="1" ht="15.75" hidden="1" customHeight="1">
      <c r="A244" s="1257">
        <v>1</v>
      </c>
      <c r="B244" s="1257" t="s">
        <v>5410</v>
      </c>
      <c r="C244" s="1256" t="s">
        <v>5434</v>
      </c>
      <c r="D244" s="1257">
        <v>75.599999999999994</v>
      </c>
      <c r="E244" s="1258" t="s">
        <v>12</v>
      </c>
      <c r="F244" s="1257">
        <f>A244*D244</f>
        <v>75.599999999999994</v>
      </c>
    </row>
    <row r="245" spans="1:6" s="1266" customFormat="1" ht="15.75" hidden="1" customHeight="1">
      <c r="A245" s="1257"/>
      <c r="B245" s="1257"/>
      <c r="C245" s="1259" t="s">
        <v>5412</v>
      </c>
      <c r="D245" s="1257"/>
      <c r="E245" s="1257"/>
      <c r="F245" s="1257"/>
    </row>
    <row r="246" spans="1:6" s="1266" customFormat="1" ht="15.75" hidden="1" customHeight="1">
      <c r="A246" s="1257">
        <v>1</v>
      </c>
      <c r="B246" s="1257" t="s">
        <v>5410</v>
      </c>
      <c r="C246" s="1260" t="s">
        <v>5413</v>
      </c>
      <c r="D246" s="1257">
        <v>115.13</v>
      </c>
      <c r="E246" s="1258" t="s">
        <v>12</v>
      </c>
      <c r="F246" s="1257">
        <f>A246*D246</f>
        <v>115.13</v>
      </c>
    </row>
    <row r="247" spans="1:6" s="1266" customFormat="1" ht="15.75" hidden="1" customHeight="1">
      <c r="A247" s="1257"/>
      <c r="B247" s="1257"/>
      <c r="C247" s="1259" t="s">
        <v>5414</v>
      </c>
      <c r="D247" s="1257"/>
      <c r="E247" s="1257"/>
      <c r="F247" s="1257"/>
    </row>
    <row r="248" spans="1:6" s="1266" customFormat="1" ht="15.75" hidden="1" customHeight="1">
      <c r="A248" s="1257">
        <v>1</v>
      </c>
      <c r="B248" s="1257" t="s">
        <v>5410</v>
      </c>
      <c r="C248" s="1260" t="s">
        <v>5415</v>
      </c>
      <c r="D248" s="1257">
        <v>16.04</v>
      </c>
      <c r="E248" s="1258" t="s">
        <v>12</v>
      </c>
      <c r="F248" s="1257">
        <f>A248*D248</f>
        <v>16.04</v>
      </c>
    </row>
    <row r="249" spans="1:6" hidden="1">
      <c r="A249" s="1257"/>
      <c r="B249" s="1257"/>
      <c r="C249" s="1259" t="s">
        <v>5414</v>
      </c>
      <c r="D249" s="1257"/>
      <c r="E249" s="1257"/>
      <c r="F249" s="1257"/>
    </row>
    <row r="250" spans="1:6" hidden="1">
      <c r="A250" s="1257">
        <v>1</v>
      </c>
      <c r="B250" s="1257" t="s">
        <v>5410</v>
      </c>
      <c r="C250" s="1260" t="s">
        <v>5416</v>
      </c>
      <c r="D250" s="1257">
        <v>8.1</v>
      </c>
      <c r="E250" s="1258" t="s">
        <v>12</v>
      </c>
      <c r="F250" s="1257">
        <f>A250*D250</f>
        <v>8.1</v>
      </c>
    </row>
    <row r="251" spans="1:6" hidden="1">
      <c r="A251" s="1257"/>
      <c r="B251" s="1257"/>
      <c r="C251" s="1259" t="s">
        <v>5414</v>
      </c>
      <c r="D251" s="1257"/>
      <c r="E251" s="1257"/>
      <c r="F251" s="1257"/>
    </row>
    <row r="252" spans="1:6" hidden="1">
      <c r="A252" s="1257"/>
      <c r="B252" s="1257"/>
      <c r="C252" s="1259" t="str">
        <f>"Add" &amp;" "&amp;F5&amp;"%  "&amp; C5 &amp;" "&amp;D5</f>
        <v xml:space="preserve">Add %   </v>
      </c>
      <c r="D252" s="1257"/>
      <c r="E252" s="1257"/>
      <c r="F252" s="1257">
        <f>SUM(F246:F250)*F5%</f>
        <v>0</v>
      </c>
    </row>
    <row r="253" spans="1:6" hidden="1">
      <c r="A253" s="1257"/>
      <c r="B253" s="1257"/>
      <c r="C253" s="1260"/>
      <c r="D253" s="1257"/>
      <c r="E253" s="1257"/>
      <c r="F253" s="1261">
        <f>SUM(F244:F252)</f>
        <v>214.86999999999998</v>
      </c>
    </row>
    <row r="254" spans="1:6" hidden="1">
      <c r="A254" s="1255"/>
      <c r="B254" s="1255"/>
      <c r="C254" s="1263"/>
      <c r="D254" s="1255"/>
      <c r="E254" s="1255"/>
      <c r="F254" s="1255"/>
    </row>
    <row r="255" spans="1:6" hidden="1">
      <c r="A255" s="1255"/>
      <c r="B255" s="1255"/>
      <c r="C255" s="1263"/>
      <c r="D255" s="1255"/>
      <c r="E255" s="1255"/>
      <c r="F255" s="1255"/>
    </row>
    <row r="256" spans="1:6" hidden="1">
      <c r="A256" s="1257">
        <v>1</v>
      </c>
      <c r="B256" s="1257" t="s">
        <v>5410</v>
      </c>
      <c r="C256" s="1256" t="s">
        <v>5435</v>
      </c>
      <c r="D256" s="1257">
        <v>102.5</v>
      </c>
      <c r="E256" s="1258" t="s">
        <v>12</v>
      </c>
      <c r="F256" s="1257">
        <f>A256*D256</f>
        <v>102.5</v>
      </c>
    </row>
    <row r="257" spans="1:6" hidden="1">
      <c r="A257" s="1257"/>
      <c r="B257" s="1257"/>
      <c r="C257" s="1259" t="s">
        <v>5412</v>
      </c>
      <c r="D257" s="1257"/>
      <c r="E257" s="1257"/>
      <c r="F257" s="1257"/>
    </row>
    <row r="258" spans="1:6" hidden="1">
      <c r="A258" s="1257">
        <v>1</v>
      </c>
      <c r="B258" s="1257" t="s">
        <v>5410</v>
      </c>
      <c r="C258" s="1260" t="s">
        <v>5413</v>
      </c>
      <c r="D258" s="1257">
        <v>115.13</v>
      </c>
      <c r="E258" s="1258" t="s">
        <v>12</v>
      </c>
      <c r="F258" s="1257">
        <f>A258*D258</f>
        <v>115.13</v>
      </c>
    </row>
    <row r="259" spans="1:6" hidden="1">
      <c r="A259" s="1257"/>
      <c r="B259" s="1257"/>
      <c r="C259" s="1259" t="s">
        <v>5414</v>
      </c>
      <c r="D259" s="1257"/>
      <c r="E259" s="1257"/>
      <c r="F259" s="1257"/>
    </row>
    <row r="260" spans="1:6" hidden="1">
      <c r="A260" s="1257">
        <v>1</v>
      </c>
      <c r="B260" s="1257" t="s">
        <v>5410</v>
      </c>
      <c r="C260" s="1260" t="s">
        <v>5415</v>
      </c>
      <c r="D260" s="1257">
        <v>16.04</v>
      </c>
      <c r="E260" s="1258" t="s">
        <v>12</v>
      </c>
      <c r="F260" s="1257">
        <f>A260*D260</f>
        <v>16.04</v>
      </c>
    </row>
    <row r="261" spans="1:6" hidden="1">
      <c r="A261" s="1257"/>
      <c r="B261" s="1257"/>
      <c r="C261" s="1259" t="s">
        <v>5414</v>
      </c>
      <c r="D261" s="1257"/>
      <c r="E261" s="1257"/>
      <c r="F261" s="1257"/>
    </row>
    <row r="262" spans="1:6" hidden="1">
      <c r="A262" s="1257">
        <v>1</v>
      </c>
      <c r="B262" s="1257" t="s">
        <v>5410</v>
      </c>
      <c r="C262" s="1260" t="s">
        <v>5416</v>
      </c>
      <c r="D262" s="1257">
        <v>8.1</v>
      </c>
      <c r="E262" s="1258" t="s">
        <v>12</v>
      </c>
      <c r="F262" s="1257">
        <f>A262*D262</f>
        <v>8.1</v>
      </c>
    </row>
    <row r="263" spans="1:6" hidden="1">
      <c r="A263" s="1257"/>
      <c r="B263" s="1257"/>
      <c r="C263" s="1259" t="s">
        <v>5414</v>
      </c>
      <c r="D263" s="1257"/>
      <c r="E263" s="1257"/>
      <c r="F263" s="1257"/>
    </row>
    <row r="264" spans="1:6" hidden="1">
      <c r="A264" s="1257"/>
      <c r="B264" s="1257"/>
      <c r="C264" s="1259" t="str">
        <f>"Add" &amp;" "&amp;F5&amp;"%  "&amp; C5 &amp;" "&amp;D5</f>
        <v xml:space="preserve">Add %   </v>
      </c>
      <c r="D264" s="1257"/>
      <c r="E264" s="1257"/>
      <c r="F264" s="1257">
        <f>SUM(F258:F262)*F5%</f>
        <v>0</v>
      </c>
    </row>
    <row r="265" spans="1:6" hidden="1">
      <c r="A265" s="1257"/>
      <c r="B265" s="1257"/>
      <c r="C265" s="1260"/>
      <c r="D265" s="1257"/>
      <c r="E265" s="1257"/>
      <c r="F265" s="1261">
        <f>SUM(F256:F264)</f>
        <v>241.76999999999998</v>
      </c>
    </row>
    <row r="266" spans="1:6" hidden="1">
      <c r="A266" s="1255"/>
      <c r="B266" s="1255"/>
      <c r="C266" s="1263"/>
      <c r="D266" s="1255"/>
      <c r="E266" s="1255"/>
      <c r="F266" s="1255"/>
    </row>
    <row r="267" spans="1:6" hidden="1">
      <c r="A267" s="1257">
        <v>1</v>
      </c>
      <c r="B267" s="1257" t="s">
        <v>5410</v>
      </c>
      <c r="C267" s="1256" t="s">
        <v>5436</v>
      </c>
      <c r="D267" s="1257">
        <v>113.8</v>
      </c>
      <c r="E267" s="1258" t="s">
        <v>12</v>
      </c>
      <c r="F267" s="1257">
        <f>A267*D267</f>
        <v>113.8</v>
      </c>
    </row>
    <row r="268" spans="1:6" hidden="1">
      <c r="A268" s="1257"/>
      <c r="B268" s="1257"/>
      <c r="C268" s="1259" t="s">
        <v>5412</v>
      </c>
      <c r="D268" s="1257"/>
      <c r="E268" s="1257"/>
      <c r="F268" s="1257"/>
    </row>
    <row r="269" spans="1:6" hidden="1">
      <c r="A269" s="1257">
        <v>1</v>
      </c>
      <c r="B269" s="1257" t="s">
        <v>5410</v>
      </c>
      <c r="C269" s="1260" t="s">
        <v>5413</v>
      </c>
      <c r="D269" s="1257">
        <v>115.13</v>
      </c>
      <c r="E269" s="1258" t="s">
        <v>12</v>
      </c>
      <c r="F269" s="1257">
        <f>A269*D269</f>
        <v>115.13</v>
      </c>
    </row>
    <row r="270" spans="1:6" hidden="1">
      <c r="A270" s="1257"/>
      <c r="B270" s="1257"/>
      <c r="C270" s="1259" t="s">
        <v>5414</v>
      </c>
      <c r="D270" s="1257"/>
      <c r="E270" s="1257"/>
      <c r="F270" s="1257"/>
    </row>
    <row r="271" spans="1:6" hidden="1">
      <c r="A271" s="1257">
        <v>1</v>
      </c>
      <c r="B271" s="1257" t="s">
        <v>5410</v>
      </c>
      <c r="C271" s="1260" t="s">
        <v>5415</v>
      </c>
      <c r="D271" s="1257">
        <v>16.04</v>
      </c>
      <c r="E271" s="1258" t="s">
        <v>12</v>
      </c>
      <c r="F271" s="1257">
        <f>A271*D271</f>
        <v>16.04</v>
      </c>
    </row>
    <row r="272" spans="1:6" hidden="1">
      <c r="A272" s="1257"/>
      <c r="B272" s="1257"/>
      <c r="C272" s="1259" t="s">
        <v>5414</v>
      </c>
      <c r="D272" s="1257"/>
      <c r="E272" s="1257"/>
      <c r="F272" s="1257"/>
    </row>
    <row r="273" spans="1:6" hidden="1">
      <c r="A273" s="1257">
        <v>1</v>
      </c>
      <c r="B273" s="1257" t="s">
        <v>5410</v>
      </c>
      <c r="C273" s="1260" t="s">
        <v>5416</v>
      </c>
      <c r="D273" s="1257">
        <v>8.1</v>
      </c>
      <c r="E273" s="1258" t="s">
        <v>12</v>
      </c>
      <c r="F273" s="1257">
        <f>A273*D273</f>
        <v>8.1</v>
      </c>
    </row>
    <row r="274" spans="1:6" hidden="1">
      <c r="A274" s="1257"/>
      <c r="B274" s="1257"/>
      <c r="C274" s="1259" t="s">
        <v>5414</v>
      </c>
      <c r="D274" s="1257"/>
      <c r="E274" s="1257"/>
      <c r="F274" s="1257"/>
    </row>
    <row r="275" spans="1:6" hidden="1">
      <c r="A275" s="1257"/>
      <c r="B275" s="1257"/>
      <c r="C275" s="1259" t="str">
        <f>"Add" &amp;" "&amp;F5&amp;"%  "&amp; C5 &amp;" "&amp;D5</f>
        <v xml:space="preserve">Add %   </v>
      </c>
      <c r="D275" s="1257"/>
      <c r="E275" s="1257"/>
      <c r="F275" s="1257">
        <f>SUM(F269:F273)*F5%</f>
        <v>0</v>
      </c>
    </row>
    <row r="276" spans="1:6" hidden="1">
      <c r="A276" s="1257"/>
      <c r="B276" s="1257"/>
      <c r="C276" s="1260"/>
      <c r="D276" s="1257"/>
      <c r="E276" s="1257"/>
      <c r="F276" s="1261">
        <f>SUM(F267:F275)</f>
        <v>253.07</v>
      </c>
    </row>
    <row r="277" spans="1:6" hidden="1">
      <c r="A277" s="1255"/>
      <c r="B277" s="1255"/>
      <c r="C277" s="1263"/>
      <c r="D277" s="1255"/>
      <c r="E277" s="1255"/>
      <c r="F277" s="1255"/>
    </row>
    <row r="278" spans="1:6" hidden="1">
      <c r="A278" s="1257">
        <v>1</v>
      </c>
      <c r="B278" s="1257" t="s">
        <v>5410</v>
      </c>
      <c r="C278" s="1256" t="s">
        <v>5437</v>
      </c>
      <c r="D278" s="1257">
        <v>156.69999999999999</v>
      </c>
      <c r="E278" s="1258" t="s">
        <v>12</v>
      </c>
      <c r="F278" s="1257">
        <f>A278*D278</f>
        <v>156.69999999999999</v>
      </c>
    </row>
    <row r="279" spans="1:6" hidden="1">
      <c r="A279" s="1257"/>
      <c r="B279" s="1257"/>
      <c r="C279" s="1259" t="s">
        <v>5412</v>
      </c>
      <c r="D279" s="1257"/>
      <c r="E279" s="1257"/>
      <c r="F279" s="1257"/>
    </row>
    <row r="280" spans="1:6" hidden="1">
      <c r="A280" s="1257">
        <v>1</v>
      </c>
      <c r="B280" s="1257" t="s">
        <v>5410</v>
      </c>
      <c r="C280" s="1260" t="s">
        <v>5413</v>
      </c>
      <c r="D280" s="1257">
        <v>115.13</v>
      </c>
      <c r="E280" s="1258" t="s">
        <v>12</v>
      </c>
      <c r="F280" s="1257">
        <f>A280*D280</f>
        <v>115.13</v>
      </c>
    </row>
    <row r="281" spans="1:6" hidden="1">
      <c r="A281" s="1257"/>
      <c r="B281" s="1257"/>
      <c r="C281" s="1259" t="s">
        <v>5414</v>
      </c>
      <c r="D281" s="1257"/>
      <c r="E281" s="1257"/>
      <c r="F281" s="1257"/>
    </row>
    <row r="282" spans="1:6" hidden="1">
      <c r="A282" s="1257">
        <v>1</v>
      </c>
      <c r="B282" s="1257" t="s">
        <v>5410</v>
      </c>
      <c r="C282" s="1260" t="s">
        <v>5415</v>
      </c>
      <c r="D282" s="1257">
        <v>16.010000000000002</v>
      </c>
      <c r="E282" s="1258" t="s">
        <v>12</v>
      </c>
      <c r="F282" s="1257">
        <f>A282*D282</f>
        <v>16.010000000000002</v>
      </c>
    </row>
    <row r="283" spans="1:6" hidden="1">
      <c r="A283" s="1257"/>
      <c r="B283" s="1257"/>
      <c r="C283" s="1259" t="s">
        <v>5414</v>
      </c>
      <c r="D283" s="1257"/>
      <c r="E283" s="1257"/>
      <c r="F283" s="1257"/>
    </row>
    <row r="284" spans="1:6" hidden="1">
      <c r="A284" s="1257">
        <v>1</v>
      </c>
      <c r="B284" s="1257" t="s">
        <v>5410</v>
      </c>
      <c r="C284" s="1260" t="s">
        <v>5416</v>
      </c>
      <c r="D284" s="1257">
        <v>13.51</v>
      </c>
      <c r="E284" s="1258" t="s">
        <v>12</v>
      </c>
      <c r="F284" s="1257">
        <f>A284*D284</f>
        <v>13.51</v>
      </c>
    </row>
    <row r="285" spans="1:6" hidden="1">
      <c r="A285" s="1257"/>
      <c r="B285" s="1257"/>
      <c r="C285" s="1259" t="s">
        <v>5414</v>
      </c>
      <c r="D285" s="1257"/>
      <c r="E285" s="1257"/>
      <c r="F285" s="1257"/>
    </row>
    <row r="286" spans="1:6" hidden="1">
      <c r="A286" s="1257"/>
      <c r="B286" s="1257"/>
      <c r="C286" s="1259" t="str">
        <f>"Add" &amp;" "&amp;F5&amp;"%  "&amp; C5 &amp;" "&amp;D5</f>
        <v xml:space="preserve">Add %   </v>
      </c>
      <c r="D286" s="1257"/>
      <c r="E286" s="1257"/>
      <c r="F286" s="1257">
        <f>SUM(F280:F284)*F5%</f>
        <v>0</v>
      </c>
    </row>
    <row r="287" spans="1:6" hidden="1">
      <c r="A287" s="1257"/>
      <c r="B287" s="1257"/>
      <c r="C287" s="1260"/>
      <c r="D287" s="1257"/>
      <c r="E287" s="1257"/>
      <c r="F287" s="1261">
        <f>SUM(F278:F286)</f>
        <v>301.34999999999997</v>
      </c>
    </row>
    <row r="288" spans="1:6" hidden="1">
      <c r="A288" s="1255"/>
      <c r="B288" s="1255"/>
      <c r="C288" s="1263"/>
      <c r="D288" s="1255"/>
      <c r="E288" s="1255"/>
      <c r="F288" s="1255"/>
    </row>
    <row r="289" spans="1:6" hidden="1">
      <c r="A289" s="1257">
        <v>1</v>
      </c>
      <c r="B289" s="1257" t="s">
        <v>5410</v>
      </c>
      <c r="C289" s="1256" t="s">
        <v>5438</v>
      </c>
      <c r="D289" s="1257">
        <v>233</v>
      </c>
      <c r="E289" s="1258" t="s">
        <v>12</v>
      </c>
      <c r="F289" s="1257">
        <f>A289*D289</f>
        <v>233</v>
      </c>
    </row>
    <row r="290" spans="1:6" hidden="1">
      <c r="A290" s="1257"/>
      <c r="B290" s="1257"/>
      <c r="C290" s="1259" t="s">
        <v>5412</v>
      </c>
      <c r="D290" s="1257"/>
      <c r="E290" s="1257"/>
      <c r="F290" s="1257"/>
    </row>
    <row r="291" spans="1:6" hidden="1">
      <c r="A291" s="1257">
        <v>1</v>
      </c>
      <c r="B291" s="1257" t="s">
        <v>5410</v>
      </c>
      <c r="C291" s="1260" t="s">
        <v>5413</v>
      </c>
      <c r="D291" s="1257">
        <v>115.13</v>
      </c>
      <c r="E291" s="1258" t="s">
        <v>12</v>
      </c>
      <c r="F291" s="1257">
        <f>A291*D291</f>
        <v>115.13</v>
      </c>
    </row>
    <row r="292" spans="1:6" hidden="1">
      <c r="A292" s="1257"/>
      <c r="B292" s="1257"/>
      <c r="C292" s="1259" t="s">
        <v>5414</v>
      </c>
      <c r="D292" s="1257"/>
      <c r="E292" s="1257"/>
      <c r="F292" s="1257"/>
    </row>
    <row r="293" spans="1:6" hidden="1">
      <c r="A293" s="1257">
        <v>1</v>
      </c>
      <c r="B293" s="1257" t="s">
        <v>5410</v>
      </c>
      <c r="C293" s="1260" t="s">
        <v>5415</v>
      </c>
      <c r="D293" s="1257">
        <v>15.99</v>
      </c>
      <c r="E293" s="1258" t="s">
        <v>12</v>
      </c>
      <c r="F293" s="1257">
        <f>A293*D293</f>
        <v>15.99</v>
      </c>
    </row>
    <row r="294" spans="1:6" hidden="1">
      <c r="A294" s="1257"/>
      <c r="B294" s="1257"/>
      <c r="C294" s="1259" t="s">
        <v>5414</v>
      </c>
      <c r="D294" s="1257"/>
      <c r="E294" s="1257"/>
      <c r="F294" s="1257"/>
    </row>
    <row r="295" spans="1:6" hidden="1">
      <c r="A295" s="1257">
        <v>1</v>
      </c>
      <c r="B295" s="1257" t="s">
        <v>5410</v>
      </c>
      <c r="C295" s="1260" t="s">
        <v>5416</v>
      </c>
      <c r="D295" s="1257">
        <v>13.51</v>
      </c>
      <c r="E295" s="1258" t="s">
        <v>12</v>
      </c>
      <c r="F295" s="1257">
        <f>A295*D295</f>
        <v>13.51</v>
      </c>
    </row>
    <row r="296" spans="1:6" hidden="1">
      <c r="A296" s="1257"/>
      <c r="B296" s="1257"/>
      <c r="C296" s="1259" t="s">
        <v>5414</v>
      </c>
      <c r="D296" s="1257"/>
      <c r="E296" s="1257"/>
      <c r="F296" s="1257"/>
    </row>
    <row r="297" spans="1:6" hidden="1">
      <c r="A297" s="1257"/>
      <c r="B297" s="1257"/>
      <c r="C297" s="1259" t="str">
        <f>"Add" &amp;" "&amp;F5&amp;"%  "&amp; C5 &amp;" "&amp;D5</f>
        <v xml:space="preserve">Add %   </v>
      </c>
      <c r="D297" s="1257"/>
      <c r="E297" s="1257"/>
      <c r="F297" s="1257">
        <f>SUM(F291:F295)*F5%</f>
        <v>0</v>
      </c>
    </row>
    <row r="298" spans="1:6" hidden="1">
      <c r="A298" s="1257"/>
      <c r="B298" s="1257"/>
      <c r="C298" s="1260"/>
      <c r="D298" s="1257"/>
      <c r="E298" s="1257"/>
      <c r="F298" s="1261">
        <f>SUM(F289:F297)</f>
        <v>377.63</v>
      </c>
    </row>
    <row r="299" spans="1:6" hidden="1">
      <c r="A299" s="1255"/>
      <c r="B299" s="1255"/>
      <c r="C299" s="1263"/>
      <c r="D299" s="1255"/>
      <c r="E299" s="1255"/>
      <c r="F299" s="1255"/>
    </row>
    <row r="300" spans="1:6" hidden="1">
      <c r="A300" s="1257">
        <v>1</v>
      </c>
      <c r="B300" s="1257" t="s">
        <v>5410</v>
      </c>
      <c r="C300" s="1256" t="s">
        <v>5439</v>
      </c>
      <c r="D300" s="1257">
        <v>298</v>
      </c>
      <c r="E300" s="1258" t="s">
        <v>12</v>
      </c>
      <c r="F300" s="1257">
        <f>A300*D300</f>
        <v>298</v>
      </c>
    </row>
    <row r="301" spans="1:6" hidden="1">
      <c r="A301" s="1257"/>
      <c r="B301" s="1257"/>
      <c r="C301" s="1259" t="s">
        <v>5412</v>
      </c>
      <c r="D301" s="1257"/>
      <c r="E301" s="1257"/>
      <c r="F301" s="1257"/>
    </row>
    <row r="302" spans="1:6" hidden="1">
      <c r="A302" s="1257">
        <v>1</v>
      </c>
      <c r="B302" s="1257" t="s">
        <v>5410</v>
      </c>
      <c r="C302" s="1260" t="s">
        <v>5413</v>
      </c>
      <c r="D302" s="1257">
        <v>115.13</v>
      </c>
      <c r="E302" s="1258" t="s">
        <v>12</v>
      </c>
      <c r="F302" s="1257">
        <f>A302*D302</f>
        <v>115.13</v>
      </c>
    </row>
    <row r="303" spans="1:6" hidden="1">
      <c r="A303" s="1257"/>
      <c r="B303" s="1257"/>
      <c r="C303" s="1259" t="s">
        <v>5414</v>
      </c>
      <c r="D303" s="1257"/>
      <c r="E303" s="1257"/>
      <c r="F303" s="1257"/>
    </row>
    <row r="304" spans="1:6" hidden="1">
      <c r="A304" s="1257">
        <v>1</v>
      </c>
      <c r="B304" s="1257" t="s">
        <v>5410</v>
      </c>
      <c r="C304" s="1260" t="s">
        <v>5415</v>
      </c>
      <c r="D304" s="1257">
        <v>15.96</v>
      </c>
      <c r="E304" s="1258" t="s">
        <v>12</v>
      </c>
      <c r="F304" s="1257">
        <f>A304*D304</f>
        <v>15.96</v>
      </c>
    </row>
    <row r="305" spans="1:6" hidden="1">
      <c r="A305" s="1257"/>
      <c r="B305" s="1257"/>
      <c r="C305" s="1259" t="s">
        <v>5414</v>
      </c>
      <c r="D305" s="1257"/>
      <c r="E305" s="1257"/>
      <c r="F305" s="1257"/>
    </row>
    <row r="306" spans="1:6" hidden="1">
      <c r="A306" s="1257">
        <v>1</v>
      </c>
      <c r="B306" s="1257" t="s">
        <v>5410</v>
      </c>
      <c r="C306" s="1260" t="s">
        <v>5416</v>
      </c>
      <c r="D306" s="1257">
        <v>13.51</v>
      </c>
      <c r="E306" s="1258" t="s">
        <v>12</v>
      </c>
      <c r="F306" s="1257">
        <f>A306*D306</f>
        <v>13.51</v>
      </c>
    </row>
    <row r="307" spans="1:6" hidden="1">
      <c r="A307" s="1257"/>
      <c r="B307" s="1257"/>
      <c r="C307" s="1259" t="s">
        <v>5414</v>
      </c>
      <c r="D307" s="1257"/>
      <c r="E307" s="1257"/>
      <c r="F307" s="1257"/>
    </row>
    <row r="308" spans="1:6" hidden="1">
      <c r="A308" s="1257"/>
      <c r="B308" s="1257"/>
      <c r="C308" s="1259" t="str">
        <f>"Add" &amp;" "&amp;F5&amp;"%  "&amp; C5 &amp;" "&amp;D5</f>
        <v xml:space="preserve">Add %   </v>
      </c>
      <c r="D308" s="1257"/>
      <c r="E308" s="1257"/>
      <c r="F308" s="1257">
        <f>SUM(F302:F306)*F5%</f>
        <v>0</v>
      </c>
    </row>
    <row r="309" spans="1:6" hidden="1">
      <c r="A309" s="1257"/>
      <c r="B309" s="1257"/>
      <c r="C309" s="1260"/>
      <c r="D309" s="1257"/>
      <c r="E309" s="1257"/>
      <c r="F309" s="1261">
        <f>SUM(F300:F308)</f>
        <v>442.59999999999997</v>
      </c>
    </row>
    <row r="310" spans="1:6" hidden="1">
      <c r="A310" s="1255"/>
      <c r="B310" s="1255"/>
      <c r="C310" s="1263"/>
      <c r="D310" s="1255"/>
      <c r="E310" s="1255"/>
      <c r="F310" s="1255"/>
    </row>
    <row r="311" spans="1:6" hidden="1">
      <c r="A311" s="1257">
        <v>1</v>
      </c>
      <c r="B311" s="1257" t="s">
        <v>5410</v>
      </c>
      <c r="C311" s="1256" t="s">
        <v>5440</v>
      </c>
      <c r="D311" s="1257">
        <v>391</v>
      </c>
      <c r="E311" s="1258" t="s">
        <v>12</v>
      </c>
      <c r="F311" s="1257">
        <f>A311*D311</f>
        <v>391</v>
      </c>
    </row>
    <row r="312" spans="1:6" hidden="1">
      <c r="A312" s="1257"/>
      <c r="B312" s="1257"/>
      <c r="C312" s="1259" t="s">
        <v>5412</v>
      </c>
      <c r="D312" s="1257"/>
      <c r="E312" s="1257"/>
      <c r="F312" s="1257"/>
    </row>
    <row r="313" spans="1:6" hidden="1">
      <c r="A313" s="1257">
        <v>1</v>
      </c>
      <c r="B313" s="1257" t="s">
        <v>5410</v>
      </c>
      <c r="C313" s="1260" t="s">
        <v>5413</v>
      </c>
      <c r="D313" s="1257">
        <v>115.13</v>
      </c>
      <c r="E313" s="1258" t="s">
        <v>12</v>
      </c>
      <c r="F313" s="1257">
        <f>A313*D313</f>
        <v>115.13</v>
      </c>
    </row>
    <row r="314" spans="1:6" hidden="1">
      <c r="A314" s="1257"/>
      <c r="B314" s="1257"/>
      <c r="C314" s="1259" t="s">
        <v>5414</v>
      </c>
      <c r="D314" s="1257"/>
      <c r="E314" s="1257"/>
      <c r="F314" s="1257"/>
    </row>
    <row r="315" spans="1:6" hidden="1">
      <c r="A315" s="1257">
        <v>1</v>
      </c>
      <c r="B315" s="1257" t="s">
        <v>5410</v>
      </c>
      <c r="C315" s="1260" t="s">
        <v>5415</v>
      </c>
      <c r="D315" s="1257">
        <v>15.91</v>
      </c>
      <c r="E315" s="1258" t="s">
        <v>12</v>
      </c>
      <c r="F315" s="1257">
        <f>A315*D315</f>
        <v>15.91</v>
      </c>
    </row>
    <row r="316" spans="1:6" hidden="1">
      <c r="A316" s="1257"/>
      <c r="B316" s="1257"/>
      <c r="C316" s="1259" t="s">
        <v>5414</v>
      </c>
      <c r="D316" s="1257"/>
      <c r="E316" s="1257"/>
      <c r="F316" s="1257"/>
    </row>
    <row r="317" spans="1:6" hidden="1">
      <c r="A317" s="1257">
        <v>1</v>
      </c>
      <c r="B317" s="1257" t="s">
        <v>5410</v>
      </c>
      <c r="C317" s="1260" t="s">
        <v>5416</v>
      </c>
      <c r="D317" s="1257">
        <v>13.64</v>
      </c>
      <c r="E317" s="1258" t="s">
        <v>12</v>
      </c>
      <c r="F317" s="1257">
        <f>A317*D317</f>
        <v>13.64</v>
      </c>
    </row>
    <row r="318" spans="1:6" hidden="1">
      <c r="A318" s="1257"/>
      <c r="B318" s="1257"/>
      <c r="C318" s="1259" t="s">
        <v>5414</v>
      </c>
      <c r="D318" s="1257"/>
      <c r="E318" s="1257"/>
      <c r="F318" s="1257"/>
    </row>
    <row r="319" spans="1:6" hidden="1">
      <c r="A319" s="1257"/>
      <c r="B319" s="1257"/>
      <c r="C319" s="1259" t="str">
        <f>"Add" &amp;" "&amp;F5&amp;"%  "&amp; C5 &amp;" "&amp;D5</f>
        <v xml:space="preserve">Add %   </v>
      </c>
      <c r="D319" s="1257"/>
      <c r="E319" s="1257"/>
      <c r="F319" s="1257">
        <f>SUM(F313:F317)*F5%</f>
        <v>0</v>
      </c>
    </row>
    <row r="320" spans="1:6" hidden="1">
      <c r="A320" s="1257"/>
      <c r="B320" s="1257"/>
      <c r="C320" s="1260"/>
      <c r="D320" s="1257"/>
      <c r="E320" s="1257"/>
      <c r="F320" s="1261">
        <f>SUM(F311:F319)</f>
        <v>535.67999999999995</v>
      </c>
    </row>
    <row r="321" spans="1:6" hidden="1">
      <c r="A321" s="1255"/>
      <c r="B321" s="1255"/>
      <c r="C321" s="1263"/>
      <c r="D321" s="1255"/>
      <c r="E321" s="1255"/>
      <c r="F321" s="1255"/>
    </row>
    <row r="322" spans="1:6" hidden="1">
      <c r="A322" s="1255"/>
      <c r="B322" s="1255"/>
      <c r="C322" s="1263"/>
      <c r="D322" s="1255"/>
      <c r="E322" s="1255"/>
      <c r="F322" s="1255"/>
    </row>
    <row r="323" spans="1:6" hidden="1">
      <c r="A323" s="1255"/>
      <c r="B323" s="1255"/>
      <c r="C323" s="1263"/>
      <c r="D323" s="1255"/>
      <c r="E323" s="1255"/>
      <c r="F323" s="1255"/>
    </row>
    <row r="324" spans="1:6" hidden="1">
      <c r="A324" s="1257">
        <v>1</v>
      </c>
      <c r="B324" s="1257" t="s">
        <v>5410</v>
      </c>
      <c r="C324" s="1256" t="s">
        <v>5441</v>
      </c>
      <c r="D324" s="1257">
        <v>653</v>
      </c>
      <c r="E324" s="1258" t="s">
        <v>12</v>
      </c>
      <c r="F324" s="1257">
        <f>A324*D324</f>
        <v>653</v>
      </c>
    </row>
    <row r="325" spans="1:6" hidden="1">
      <c r="A325" s="1257"/>
      <c r="B325" s="1257"/>
      <c r="C325" s="1259" t="s">
        <v>5412</v>
      </c>
      <c r="D325" s="1257"/>
      <c r="E325" s="1257"/>
      <c r="F325" s="1257"/>
    </row>
    <row r="326" spans="1:6" hidden="1">
      <c r="A326" s="1257">
        <v>1</v>
      </c>
      <c r="B326" s="1257" t="s">
        <v>5410</v>
      </c>
      <c r="C326" s="1260" t="s">
        <v>5413</v>
      </c>
      <c r="D326" s="1257">
        <v>115.13</v>
      </c>
      <c r="E326" s="1258" t="s">
        <v>12</v>
      </c>
      <c r="F326" s="1257">
        <f>A326*D326</f>
        <v>115.13</v>
      </c>
    </row>
    <row r="327" spans="1:6" hidden="1">
      <c r="A327" s="1257"/>
      <c r="B327" s="1257"/>
      <c r="C327" s="1259" t="s">
        <v>5414</v>
      </c>
      <c r="D327" s="1257"/>
      <c r="E327" s="1257"/>
      <c r="F327" s="1257"/>
    </row>
    <row r="328" spans="1:6" hidden="1">
      <c r="A328" s="1257">
        <v>1</v>
      </c>
      <c r="B328" s="1257" t="s">
        <v>5410</v>
      </c>
      <c r="C328" s="1260" t="s">
        <v>5415</v>
      </c>
      <c r="D328" s="1257">
        <v>15.84</v>
      </c>
      <c r="E328" s="1258" t="s">
        <v>12</v>
      </c>
      <c r="F328" s="1257">
        <f>A328*D328</f>
        <v>15.84</v>
      </c>
    </row>
    <row r="329" spans="1:6" hidden="1">
      <c r="A329" s="1257"/>
      <c r="B329" s="1257"/>
      <c r="C329" s="1259" t="s">
        <v>5414</v>
      </c>
      <c r="D329" s="1257"/>
      <c r="E329" s="1257"/>
      <c r="F329" s="1257"/>
    </row>
    <row r="330" spans="1:6" hidden="1">
      <c r="A330" s="1257">
        <v>1</v>
      </c>
      <c r="B330" s="1257" t="s">
        <v>5410</v>
      </c>
      <c r="C330" s="1260" t="s">
        <v>5416</v>
      </c>
      <c r="D330" s="1257">
        <v>13.64</v>
      </c>
      <c r="E330" s="1258" t="s">
        <v>12</v>
      </c>
      <c r="F330" s="1257">
        <f>A330*D330</f>
        <v>13.64</v>
      </c>
    </row>
    <row r="331" spans="1:6" hidden="1">
      <c r="A331" s="1257"/>
      <c r="B331" s="1257"/>
      <c r="C331" s="1259" t="s">
        <v>5414</v>
      </c>
      <c r="D331" s="1257"/>
      <c r="E331" s="1257"/>
      <c r="F331" s="1257"/>
    </row>
    <row r="332" spans="1:6" hidden="1">
      <c r="A332" s="1257"/>
      <c r="B332" s="1257"/>
      <c r="C332" s="1259" t="str">
        <f>"Add" &amp;" "&amp;F5&amp;"%  "&amp; C5 &amp;" "&amp;D5</f>
        <v xml:space="preserve">Add %   </v>
      </c>
      <c r="D332" s="1257"/>
      <c r="E332" s="1257"/>
      <c r="F332" s="1257">
        <f>SUM(F326:F330)*F5%</f>
        <v>0</v>
      </c>
    </row>
    <row r="333" spans="1:6" hidden="1">
      <c r="A333" s="1257"/>
      <c r="B333" s="1257"/>
      <c r="C333" s="1260"/>
      <c r="D333" s="1257"/>
      <c r="E333" s="1257"/>
      <c r="F333" s="1261">
        <f>SUM(F324:F332)</f>
        <v>797.61</v>
      </c>
    </row>
    <row r="334" spans="1:6" hidden="1">
      <c r="A334" s="1255"/>
      <c r="B334" s="1255"/>
      <c r="C334" s="1263"/>
      <c r="D334" s="1255"/>
      <c r="E334" s="1255"/>
      <c r="F334" s="1255"/>
    </row>
    <row r="335" spans="1:6" hidden="1">
      <c r="A335" s="1257"/>
      <c r="B335" s="1257"/>
      <c r="C335" s="1256" t="s">
        <v>5442</v>
      </c>
      <c r="D335" s="1257"/>
      <c r="E335" s="1257"/>
      <c r="F335" s="1261"/>
    </row>
    <row r="336" spans="1:6" hidden="1">
      <c r="A336" s="1255"/>
      <c r="B336" s="1255"/>
      <c r="C336" s="1263"/>
      <c r="D336" s="1255"/>
      <c r="E336" s="1255"/>
      <c r="F336" s="1255"/>
    </row>
    <row r="337" spans="1:6" hidden="1">
      <c r="A337" s="1257">
        <v>1</v>
      </c>
      <c r="B337" s="1257" t="s">
        <v>5410</v>
      </c>
      <c r="C337" s="1256" t="s">
        <v>5432</v>
      </c>
      <c r="D337" s="1257">
        <v>36.299999999999997</v>
      </c>
      <c r="E337" s="1258" t="s">
        <v>12</v>
      </c>
      <c r="F337" s="1257">
        <f>A337*D337</f>
        <v>36.299999999999997</v>
      </c>
    </row>
    <row r="338" spans="1:6" hidden="1">
      <c r="A338" s="1257"/>
      <c r="B338" s="1257"/>
      <c r="C338" s="1259" t="s">
        <v>5412</v>
      </c>
      <c r="D338" s="1257"/>
      <c r="E338" s="1257"/>
      <c r="F338" s="1257"/>
    </row>
    <row r="339" spans="1:6" hidden="1">
      <c r="A339" s="1257">
        <v>1</v>
      </c>
      <c r="B339" s="1257" t="s">
        <v>5410</v>
      </c>
      <c r="C339" s="1260" t="s">
        <v>5416</v>
      </c>
      <c r="D339" s="1257">
        <v>8.1</v>
      </c>
      <c r="E339" s="1258" t="s">
        <v>12</v>
      </c>
      <c r="F339" s="1257">
        <f>A339*D339</f>
        <v>8.1</v>
      </c>
    </row>
    <row r="340" spans="1:6" hidden="1">
      <c r="A340" s="1257"/>
      <c r="B340" s="1257"/>
      <c r="C340" s="1259" t="s">
        <v>5414</v>
      </c>
      <c r="D340" s="1257"/>
      <c r="E340" s="1257"/>
      <c r="F340" s="1257"/>
    </row>
    <row r="341" spans="1:6" hidden="1">
      <c r="A341" s="1257"/>
      <c r="B341" s="1257"/>
      <c r="C341" s="1259" t="str">
        <f>"Add" &amp;" "&amp;F5&amp;"%  "&amp; C5 &amp;" "&amp;D5</f>
        <v xml:space="preserve">Add %   </v>
      </c>
      <c r="D341" s="1257"/>
      <c r="E341" s="1257"/>
      <c r="F341" s="1257">
        <f>SUM(F339)*F5%</f>
        <v>0</v>
      </c>
    </row>
    <row r="342" spans="1:6" hidden="1">
      <c r="A342" s="1257"/>
      <c r="B342" s="1257"/>
      <c r="C342" s="1260"/>
      <c r="D342" s="1257"/>
      <c r="E342" s="1257"/>
      <c r="F342" s="1261">
        <f>SUM(F337:F341)</f>
        <v>44.4</v>
      </c>
    </row>
    <row r="343" spans="1:6" hidden="1">
      <c r="A343" s="1252"/>
      <c r="B343" s="1252"/>
      <c r="C343" s="1262"/>
      <c r="D343" s="1252"/>
      <c r="E343" s="1252"/>
      <c r="F343" s="1252"/>
    </row>
    <row r="344" spans="1:6" hidden="1">
      <c r="A344" s="1255"/>
      <c r="B344" s="1255"/>
      <c r="C344" s="1263"/>
      <c r="D344" s="1255"/>
      <c r="E344" s="1255"/>
      <c r="F344" s="1255"/>
    </row>
    <row r="345" spans="1:6" hidden="1">
      <c r="A345" s="1257">
        <v>1</v>
      </c>
      <c r="B345" s="1257" t="s">
        <v>5410</v>
      </c>
      <c r="C345" s="1256" t="s">
        <v>5433</v>
      </c>
      <c r="D345" s="1257">
        <v>52.1</v>
      </c>
      <c r="E345" s="1258" t="s">
        <v>12</v>
      </c>
      <c r="F345" s="1257">
        <f>A345*D345</f>
        <v>52.1</v>
      </c>
    </row>
    <row r="346" spans="1:6" hidden="1">
      <c r="A346" s="1257"/>
      <c r="B346" s="1257"/>
      <c r="C346" s="1259" t="s">
        <v>5412</v>
      </c>
      <c r="D346" s="1257"/>
      <c r="E346" s="1257"/>
      <c r="F346" s="1257"/>
    </row>
    <row r="347" spans="1:6" hidden="1">
      <c r="A347" s="1257">
        <v>1</v>
      </c>
      <c r="B347" s="1257" t="s">
        <v>5410</v>
      </c>
      <c r="C347" s="1260" t="s">
        <v>5416</v>
      </c>
      <c r="D347" s="1257">
        <v>8.1</v>
      </c>
      <c r="E347" s="1258" t="s">
        <v>12</v>
      </c>
      <c r="F347" s="1257">
        <f>A347*D347</f>
        <v>8.1</v>
      </c>
    </row>
    <row r="348" spans="1:6" hidden="1">
      <c r="A348" s="1257"/>
      <c r="B348" s="1257"/>
      <c r="C348" s="1259" t="s">
        <v>5414</v>
      </c>
      <c r="D348" s="1257"/>
      <c r="E348" s="1257"/>
      <c r="F348" s="1257"/>
    </row>
    <row r="349" spans="1:6" hidden="1">
      <c r="A349" s="1257"/>
      <c r="B349" s="1257"/>
      <c r="C349" s="1259" t="str">
        <f>"Add" &amp;" "&amp;F5&amp;"%  "&amp; C5 &amp;" "&amp;D5</f>
        <v xml:space="preserve">Add %   </v>
      </c>
      <c r="D349" s="1257"/>
      <c r="E349" s="1257"/>
      <c r="F349" s="1257">
        <f>SUM(F347)*F5%</f>
        <v>0</v>
      </c>
    </row>
    <row r="350" spans="1:6" hidden="1">
      <c r="A350" s="1257"/>
      <c r="B350" s="1257"/>
      <c r="C350" s="1260"/>
      <c r="D350" s="1257"/>
      <c r="E350" s="1257"/>
      <c r="F350" s="1261">
        <f>SUM(F345:F349)</f>
        <v>60.2</v>
      </c>
    </row>
    <row r="351" spans="1:6" hidden="1">
      <c r="A351" s="1255"/>
      <c r="B351" s="1255"/>
      <c r="C351" s="1263"/>
      <c r="D351" s="1255"/>
      <c r="E351" s="1255"/>
      <c r="F351" s="1255"/>
    </row>
    <row r="352" spans="1:6" hidden="1">
      <c r="A352" s="1255"/>
      <c r="B352" s="1255"/>
      <c r="C352" s="1263"/>
      <c r="D352" s="1255"/>
      <c r="E352" s="1255"/>
      <c r="F352" s="1255"/>
    </row>
    <row r="353" spans="1:6" hidden="1">
      <c r="A353" s="1257">
        <v>1</v>
      </c>
      <c r="B353" s="1257" t="s">
        <v>5410</v>
      </c>
      <c r="C353" s="1256" t="s">
        <v>5434</v>
      </c>
      <c r="D353" s="1257">
        <v>75.599999999999994</v>
      </c>
      <c r="E353" s="1258" t="s">
        <v>12</v>
      </c>
      <c r="F353" s="1257">
        <f>A353*D353</f>
        <v>75.599999999999994</v>
      </c>
    </row>
    <row r="354" spans="1:6" hidden="1">
      <c r="A354" s="1257"/>
      <c r="B354" s="1257"/>
      <c r="C354" s="1259" t="s">
        <v>5412</v>
      </c>
      <c r="D354" s="1257"/>
      <c r="E354" s="1257"/>
      <c r="F354" s="1257"/>
    </row>
    <row r="355" spans="1:6" hidden="1">
      <c r="A355" s="1257">
        <v>1</v>
      </c>
      <c r="B355" s="1257" t="s">
        <v>5410</v>
      </c>
      <c r="C355" s="1260" t="s">
        <v>5416</v>
      </c>
      <c r="D355" s="1257">
        <v>8.1</v>
      </c>
      <c r="E355" s="1258" t="s">
        <v>12</v>
      </c>
      <c r="F355" s="1257">
        <f>A355*D355</f>
        <v>8.1</v>
      </c>
    </row>
    <row r="356" spans="1:6" hidden="1">
      <c r="A356" s="1257"/>
      <c r="B356" s="1257"/>
      <c r="C356" s="1259" t="s">
        <v>5414</v>
      </c>
      <c r="D356" s="1257"/>
      <c r="E356" s="1257"/>
      <c r="F356" s="1257"/>
    </row>
    <row r="357" spans="1:6" hidden="1">
      <c r="A357" s="1257"/>
      <c r="B357" s="1257"/>
      <c r="C357" s="1259" t="str">
        <f>"Add" &amp;" "&amp;F5&amp;"%  "&amp; C5 &amp;" "&amp;D5</f>
        <v xml:space="preserve">Add %   </v>
      </c>
      <c r="D357" s="1257"/>
      <c r="E357" s="1257"/>
      <c r="F357" s="1257">
        <f>SUM(F355)*F5%</f>
        <v>0</v>
      </c>
    </row>
    <row r="358" spans="1:6" hidden="1">
      <c r="A358" s="1257"/>
      <c r="B358" s="1257"/>
      <c r="C358" s="1260"/>
      <c r="D358" s="1257"/>
      <c r="E358" s="1257"/>
      <c r="F358" s="1261">
        <f>SUM(F353:F357)</f>
        <v>83.699999999999989</v>
      </c>
    </row>
    <row r="359" spans="1:6" hidden="1">
      <c r="A359" s="1255"/>
      <c r="B359" s="1255"/>
      <c r="C359" s="1263"/>
      <c r="D359" s="1255"/>
      <c r="E359" s="1255"/>
      <c r="F359" s="1255"/>
    </row>
    <row r="360" spans="1:6" hidden="1">
      <c r="A360" s="1255"/>
      <c r="B360" s="1255"/>
      <c r="C360" s="1263"/>
      <c r="D360" s="1255"/>
      <c r="E360" s="1255"/>
      <c r="F360" s="1255"/>
    </row>
    <row r="361" spans="1:6" hidden="1">
      <c r="A361" s="1257">
        <v>1</v>
      </c>
      <c r="B361" s="1257" t="s">
        <v>5410</v>
      </c>
      <c r="C361" s="1256" t="s">
        <v>5435</v>
      </c>
      <c r="D361" s="1257">
        <v>102.5</v>
      </c>
      <c r="E361" s="1258" t="s">
        <v>12</v>
      </c>
      <c r="F361" s="1257">
        <f>A361*D361</f>
        <v>102.5</v>
      </c>
    </row>
    <row r="362" spans="1:6" hidden="1">
      <c r="A362" s="1257"/>
      <c r="B362" s="1257"/>
      <c r="C362" s="1259" t="s">
        <v>5412</v>
      </c>
      <c r="D362" s="1257"/>
      <c r="E362" s="1257"/>
      <c r="F362" s="1257"/>
    </row>
    <row r="363" spans="1:6" hidden="1">
      <c r="A363" s="1257">
        <v>1</v>
      </c>
      <c r="B363" s="1257" t="s">
        <v>5410</v>
      </c>
      <c r="C363" s="1260" t="s">
        <v>5416</v>
      </c>
      <c r="D363" s="1257">
        <v>8.1</v>
      </c>
      <c r="E363" s="1258" t="s">
        <v>12</v>
      </c>
      <c r="F363" s="1257">
        <f>A363*D363</f>
        <v>8.1</v>
      </c>
    </row>
    <row r="364" spans="1:6" hidden="1">
      <c r="A364" s="1257"/>
      <c r="B364" s="1257"/>
      <c r="C364" s="1259" t="s">
        <v>5414</v>
      </c>
      <c r="D364" s="1257"/>
      <c r="E364" s="1257"/>
      <c r="F364" s="1257"/>
    </row>
    <row r="365" spans="1:6" hidden="1">
      <c r="A365" s="1257"/>
      <c r="B365" s="1257"/>
      <c r="C365" s="1259" t="str">
        <f>"Add" &amp;" "&amp;F5&amp;"%  "&amp; C5 &amp;" "&amp;D5</f>
        <v xml:space="preserve">Add %   </v>
      </c>
      <c r="D365" s="1257"/>
      <c r="E365" s="1257"/>
      <c r="F365" s="1257">
        <f>SUM(F363)*F5%</f>
        <v>0</v>
      </c>
    </row>
    <row r="366" spans="1:6" hidden="1">
      <c r="A366" s="1257"/>
      <c r="B366" s="1257"/>
      <c r="C366" s="1260"/>
      <c r="D366" s="1257"/>
      <c r="E366" s="1257"/>
      <c r="F366" s="1261">
        <f>SUM(F361:F365)</f>
        <v>110.6</v>
      </c>
    </row>
    <row r="367" spans="1:6" hidden="1">
      <c r="A367" s="1255"/>
      <c r="B367" s="1255"/>
      <c r="C367" s="1263"/>
      <c r="D367" s="1255"/>
      <c r="E367" s="1255"/>
      <c r="F367" s="1255"/>
    </row>
    <row r="368" spans="1:6" hidden="1">
      <c r="A368" s="1257">
        <v>1</v>
      </c>
      <c r="B368" s="1257" t="s">
        <v>5410</v>
      </c>
      <c r="C368" s="1256" t="s">
        <v>5436</v>
      </c>
      <c r="D368" s="1257">
        <v>113.8</v>
      </c>
      <c r="E368" s="1258" t="s">
        <v>12</v>
      </c>
      <c r="F368" s="1257">
        <f>A368*D368</f>
        <v>113.8</v>
      </c>
    </row>
    <row r="369" spans="1:6" hidden="1">
      <c r="A369" s="1257"/>
      <c r="B369" s="1257"/>
      <c r="C369" s="1259" t="s">
        <v>5412</v>
      </c>
      <c r="D369" s="1257"/>
      <c r="E369" s="1257"/>
      <c r="F369" s="1257"/>
    </row>
    <row r="370" spans="1:6" hidden="1">
      <c r="A370" s="1257">
        <v>1</v>
      </c>
      <c r="B370" s="1257" t="s">
        <v>5410</v>
      </c>
      <c r="C370" s="1260" t="s">
        <v>5416</v>
      </c>
      <c r="D370" s="1257">
        <v>8.1</v>
      </c>
      <c r="E370" s="1258" t="s">
        <v>12</v>
      </c>
      <c r="F370" s="1257">
        <f>A370*D370</f>
        <v>8.1</v>
      </c>
    </row>
    <row r="371" spans="1:6" hidden="1">
      <c r="A371" s="1257"/>
      <c r="B371" s="1257"/>
      <c r="C371" s="1259" t="str">
        <f>"Add" &amp;" "&amp;F5&amp;"%  "&amp; C5 &amp;" "&amp;D5</f>
        <v xml:space="preserve">Add %   </v>
      </c>
      <c r="D371" s="1257"/>
      <c r="E371" s="1257"/>
      <c r="F371" s="1257">
        <f>SUM(F369:F370)*F5%</f>
        <v>0</v>
      </c>
    </row>
    <row r="372" spans="1:6" hidden="1">
      <c r="A372" s="1257"/>
      <c r="B372" s="1257"/>
      <c r="C372" s="1260"/>
      <c r="D372" s="1257"/>
      <c r="E372" s="1257"/>
      <c r="F372" s="1261">
        <f>SUM(F367:F371)</f>
        <v>121.89999999999999</v>
      </c>
    </row>
    <row r="373" spans="1:6" hidden="1">
      <c r="A373" s="1255"/>
      <c r="B373" s="1255"/>
      <c r="C373" s="1263"/>
      <c r="D373" s="1255"/>
      <c r="E373" s="1255"/>
      <c r="F373" s="1255"/>
    </row>
    <row r="374" spans="1:6" hidden="1">
      <c r="A374" s="1257">
        <v>1</v>
      </c>
      <c r="B374" s="1257" t="s">
        <v>5410</v>
      </c>
      <c r="C374" s="1256" t="s">
        <v>5437</v>
      </c>
      <c r="D374" s="1257">
        <v>156.69999999999999</v>
      </c>
      <c r="E374" s="1258" t="s">
        <v>12</v>
      </c>
      <c r="F374" s="1257">
        <f>A374*D374</f>
        <v>156.69999999999999</v>
      </c>
    </row>
    <row r="375" spans="1:6" hidden="1">
      <c r="A375" s="1257"/>
      <c r="B375" s="1257"/>
      <c r="C375" s="1259" t="s">
        <v>5412</v>
      </c>
      <c r="D375" s="1257"/>
      <c r="E375" s="1257"/>
      <c r="F375" s="1257"/>
    </row>
    <row r="376" spans="1:6" hidden="1">
      <c r="A376" s="1257">
        <v>1</v>
      </c>
      <c r="B376" s="1257" t="s">
        <v>5410</v>
      </c>
      <c r="C376" s="1260" t="s">
        <v>5416</v>
      </c>
      <c r="D376" s="1257">
        <v>13.51</v>
      </c>
      <c r="E376" s="1258" t="s">
        <v>12</v>
      </c>
      <c r="F376" s="1257">
        <f>A376*D376</f>
        <v>13.51</v>
      </c>
    </row>
    <row r="377" spans="1:6" hidden="1">
      <c r="A377" s="1257"/>
      <c r="B377" s="1257"/>
      <c r="C377" s="1259" t="s">
        <v>5414</v>
      </c>
      <c r="D377" s="1257"/>
      <c r="E377" s="1257"/>
      <c r="F377" s="1257"/>
    </row>
    <row r="378" spans="1:6" hidden="1">
      <c r="A378" s="1257"/>
      <c r="B378" s="1257"/>
      <c r="C378" s="1259" t="str">
        <f>"Add" &amp;" "&amp;F5&amp;"%  "&amp; C5 &amp;" "&amp;D5</f>
        <v xml:space="preserve">Add %   </v>
      </c>
      <c r="D378" s="1257"/>
      <c r="E378" s="1257"/>
      <c r="F378" s="1257">
        <f>SUM(F376)*F5%</f>
        <v>0</v>
      </c>
    </row>
    <row r="379" spans="1:6" hidden="1">
      <c r="A379" s="1257"/>
      <c r="B379" s="1257"/>
      <c r="C379" s="1260"/>
      <c r="D379" s="1257"/>
      <c r="E379" s="1257"/>
      <c r="F379" s="1261">
        <f>SUM(F374:F378)</f>
        <v>170.20999999999998</v>
      </c>
    </row>
    <row r="380" spans="1:6" hidden="1">
      <c r="A380" s="1255"/>
      <c r="B380" s="1255"/>
      <c r="C380" s="1263"/>
      <c r="D380" s="1255"/>
      <c r="E380" s="1255"/>
      <c r="F380" s="1255"/>
    </row>
    <row r="381" spans="1:6" hidden="1">
      <c r="A381" s="1255"/>
      <c r="B381" s="1255"/>
      <c r="C381" s="1263"/>
      <c r="D381" s="1255"/>
      <c r="E381" s="1255"/>
      <c r="F381" s="1255"/>
    </row>
    <row r="382" spans="1:6" hidden="1">
      <c r="A382" s="1268"/>
      <c r="B382" s="1255"/>
      <c r="C382" s="1263"/>
      <c r="D382" s="1255"/>
      <c r="E382" s="1255"/>
      <c r="F382" s="1255"/>
    </row>
    <row r="383" spans="1:6" s="1267" customFormat="1" hidden="1">
      <c r="A383" s="1255"/>
      <c r="B383" s="1255"/>
      <c r="C383" s="1263"/>
      <c r="D383" s="1255"/>
      <c r="E383" s="1255"/>
      <c r="F383" s="1255"/>
    </row>
    <row r="384" spans="1:6" s="1267" customFormat="1" hidden="1">
      <c r="A384" s="1255"/>
      <c r="B384" s="1255"/>
      <c r="C384" s="1263"/>
      <c r="D384" s="1255"/>
      <c r="E384" s="1255"/>
      <c r="F384" s="1255"/>
    </row>
    <row r="385" spans="1:6" s="1267" customFormat="1" hidden="1">
      <c r="A385" s="1255"/>
      <c r="B385" s="1255"/>
      <c r="C385" s="1263"/>
      <c r="D385" s="1255"/>
      <c r="E385" s="1255"/>
      <c r="F385" s="1255"/>
    </row>
    <row r="386" spans="1:6" s="1267" customFormat="1" hidden="1">
      <c r="A386" s="1255"/>
      <c r="B386" s="1255"/>
      <c r="C386" s="1263"/>
      <c r="D386" s="1255"/>
      <c r="E386" s="1255"/>
      <c r="F386" s="1255"/>
    </row>
    <row r="387" spans="1:6" s="1267" customFormat="1" hidden="1">
      <c r="A387" s="1255"/>
      <c r="B387" s="1255"/>
      <c r="C387" s="1263"/>
      <c r="D387" s="1255"/>
      <c r="E387" s="1255"/>
      <c r="F387" s="1255"/>
    </row>
    <row r="388" spans="1:6" s="1267" customFormat="1" hidden="1">
      <c r="A388" s="1255"/>
      <c r="B388" s="1255"/>
      <c r="C388" s="1263"/>
      <c r="D388" s="1255"/>
      <c r="E388" s="1255"/>
      <c r="F388" s="1255"/>
    </row>
    <row r="389" spans="1:6" s="1267" customFormat="1" hidden="1">
      <c r="A389" s="1255"/>
      <c r="B389" s="1255"/>
      <c r="C389" s="1263"/>
      <c r="D389" s="1255"/>
      <c r="E389" s="1255"/>
      <c r="F389" s="1255"/>
    </row>
    <row r="390" spans="1:6" s="1267" customFormat="1" hidden="1">
      <c r="A390" s="1255"/>
      <c r="B390" s="1255"/>
      <c r="C390" s="1263"/>
      <c r="D390" s="1255"/>
      <c r="E390" s="1255"/>
      <c r="F390" s="1255"/>
    </row>
    <row r="391" spans="1:6" s="1267" customFormat="1" hidden="1">
      <c r="A391" s="1255"/>
      <c r="B391" s="1255"/>
      <c r="C391" s="1263"/>
      <c r="D391" s="1255"/>
      <c r="E391" s="1255"/>
      <c r="F391" s="1255"/>
    </row>
    <row r="392" spans="1:6" s="1267" customFormat="1" hidden="1">
      <c r="A392" s="1269"/>
      <c r="B392" s="1255"/>
      <c r="C392" s="1263"/>
      <c r="D392" s="1255"/>
      <c r="E392" s="1255"/>
      <c r="F392" s="1255"/>
    </row>
    <row r="393" spans="1:6" s="1267" customFormat="1" hidden="1">
      <c r="A393" s="1269"/>
      <c r="B393" s="1255"/>
      <c r="C393" s="1263"/>
      <c r="D393" s="1255"/>
      <c r="E393" s="1255"/>
      <c r="F393" s="1255"/>
    </row>
    <row r="394" spans="1:6" s="1267" customFormat="1" hidden="1">
      <c r="A394" s="1269"/>
      <c r="B394" s="1255"/>
      <c r="C394" s="1263"/>
      <c r="D394" s="1255"/>
      <c r="E394" s="1255"/>
      <c r="F394" s="1255"/>
    </row>
    <row r="395" spans="1:6" s="1267" customFormat="1" hidden="1">
      <c r="A395" s="1255"/>
      <c r="B395" s="1255"/>
      <c r="C395" s="1263"/>
      <c r="D395" s="1255"/>
      <c r="E395" s="1255"/>
      <c r="F395" s="1255"/>
    </row>
    <row r="396" spans="1:6" s="1267" customFormat="1" hidden="1">
      <c r="A396" s="1255"/>
      <c r="B396" s="1255"/>
      <c r="C396" s="1263"/>
      <c r="D396" s="1255"/>
      <c r="E396" s="1255"/>
      <c r="F396" s="1255"/>
    </row>
    <row r="397" spans="1:6" s="1267" customFormat="1" hidden="1">
      <c r="A397" s="1255"/>
      <c r="B397" s="1255"/>
      <c r="C397" s="1263"/>
      <c r="D397" s="1255"/>
      <c r="E397" s="1255"/>
      <c r="F397" s="1255"/>
    </row>
    <row r="398" spans="1:6" s="1267" customFormat="1" hidden="1">
      <c r="A398" s="1255"/>
      <c r="B398" s="1255"/>
      <c r="C398" s="1263"/>
      <c r="D398" s="1270"/>
      <c r="E398" s="1255"/>
      <c r="F398" s="1255"/>
    </row>
    <row r="399" spans="1:6" s="1267" customFormat="1" hidden="1">
      <c r="A399" s="1255"/>
      <c r="B399" s="1255"/>
      <c r="C399" s="1263"/>
      <c r="D399" s="1255"/>
      <c r="E399" s="1255"/>
      <c r="F399" s="1255"/>
    </row>
    <row r="400" spans="1:6" s="1267" customFormat="1" hidden="1">
      <c r="A400" s="1255"/>
      <c r="B400" s="1255"/>
      <c r="C400" s="1263"/>
      <c r="D400" s="1255"/>
      <c r="E400" s="1255"/>
      <c r="F400" s="1255"/>
    </row>
    <row r="401" spans="1:6" s="1267" customFormat="1" hidden="1">
      <c r="A401" s="1255"/>
      <c r="B401" s="1255"/>
      <c r="C401" s="1263"/>
      <c r="D401" s="1255"/>
      <c r="E401" s="1255"/>
      <c r="F401" s="1255"/>
    </row>
    <row r="402" spans="1:6" s="1267" customFormat="1" hidden="1">
      <c r="A402" s="1255"/>
      <c r="B402" s="1255"/>
      <c r="C402" s="1263"/>
      <c r="D402" s="1255"/>
      <c r="E402" s="1255"/>
      <c r="F402" s="1255"/>
    </row>
    <row r="403" spans="1:6" s="1267" customFormat="1" hidden="1">
      <c r="A403" s="1255"/>
      <c r="B403" s="1255"/>
      <c r="C403" s="1263"/>
      <c r="D403" s="1255"/>
      <c r="E403" s="1255"/>
      <c r="F403" s="1255"/>
    </row>
    <row r="404" spans="1:6" s="1267" customFormat="1" hidden="1">
      <c r="A404" s="1255"/>
      <c r="B404" s="1255"/>
      <c r="C404" s="1263"/>
      <c r="D404" s="1255"/>
      <c r="E404" s="1255"/>
      <c r="F404" s="1255"/>
    </row>
    <row r="405" spans="1:6" s="1267" customFormat="1" hidden="1">
      <c r="A405" s="1255"/>
      <c r="B405" s="1255"/>
      <c r="C405" s="1263"/>
      <c r="D405" s="1255"/>
      <c r="E405" s="1255"/>
      <c r="F405" s="1255"/>
    </row>
    <row r="406" spans="1:6" s="1267" customFormat="1" hidden="1">
      <c r="A406" s="1255"/>
      <c r="B406" s="1255"/>
      <c r="C406" s="1263"/>
      <c r="D406" s="1255"/>
      <c r="E406" s="1255"/>
      <c r="F406" s="1255"/>
    </row>
    <row r="407" spans="1:6" s="1267" customFormat="1" hidden="1">
      <c r="A407" s="1268"/>
      <c r="B407" s="1255"/>
      <c r="C407" s="1263"/>
      <c r="D407" s="1255"/>
      <c r="E407" s="1255"/>
      <c r="F407" s="1255"/>
    </row>
    <row r="408" spans="1:6" s="1267" customFormat="1" hidden="1">
      <c r="A408" s="1255"/>
      <c r="B408" s="1255"/>
      <c r="C408" s="1263"/>
      <c r="D408" s="1255"/>
      <c r="E408" s="1255"/>
      <c r="F408" s="1255"/>
    </row>
    <row r="409" spans="1:6" s="1267" customFormat="1" hidden="1">
      <c r="A409" s="1255"/>
      <c r="B409" s="1255"/>
      <c r="C409" s="1263"/>
      <c r="D409" s="1255"/>
      <c r="E409" s="1255"/>
      <c r="F409" s="1255"/>
    </row>
    <row r="410" spans="1:6" s="1267" customFormat="1" hidden="1">
      <c r="A410" s="1255"/>
      <c r="B410" s="1255"/>
      <c r="C410" s="1263"/>
      <c r="D410" s="1255"/>
      <c r="E410" s="1255"/>
      <c r="F410" s="1255"/>
    </row>
    <row r="411" spans="1:6" s="1267" customFormat="1" hidden="1">
      <c r="A411" s="1255"/>
      <c r="B411" s="1255"/>
      <c r="C411" s="1263"/>
      <c r="D411" s="1255"/>
      <c r="E411" s="1255"/>
      <c r="F411" s="1255"/>
    </row>
    <row r="412" spans="1:6" s="1267" customFormat="1" hidden="1">
      <c r="A412" s="1255"/>
      <c r="B412" s="1255"/>
      <c r="C412" s="1263"/>
      <c r="D412" s="1255"/>
      <c r="E412" s="1255"/>
      <c r="F412" s="1255"/>
    </row>
    <row r="413" spans="1:6" s="1267" customFormat="1" hidden="1">
      <c r="A413" s="1255"/>
      <c r="B413" s="1255"/>
      <c r="C413" s="1263"/>
      <c r="D413" s="1255"/>
      <c r="E413" s="1255"/>
      <c r="F413" s="1255"/>
    </row>
    <row r="414" spans="1:6" s="1267" customFormat="1" hidden="1">
      <c r="A414" s="1255"/>
      <c r="B414" s="1255"/>
      <c r="C414" s="1263"/>
      <c r="D414" s="1255"/>
      <c r="E414" s="1255"/>
      <c r="F414" s="1255"/>
    </row>
    <row r="415" spans="1:6" s="1267" customFormat="1" hidden="1">
      <c r="A415" s="1255"/>
      <c r="B415" s="1255"/>
      <c r="C415" s="1263"/>
      <c r="D415" s="1255"/>
      <c r="E415" s="1255"/>
      <c r="F415" s="1255"/>
    </row>
    <row r="416" spans="1:6" s="1267" customFormat="1" hidden="1">
      <c r="A416" s="1255"/>
      <c r="B416" s="1255"/>
      <c r="C416" s="1263"/>
      <c r="D416" s="1255"/>
      <c r="E416" s="1255"/>
      <c r="F416" s="1255"/>
    </row>
    <row r="417" spans="1:6" s="1267" customFormat="1" hidden="1">
      <c r="A417" s="1255"/>
      <c r="B417" s="1255"/>
      <c r="C417" s="1263"/>
      <c r="D417" s="1255"/>
      <c r="E417" s="1255"/>
      <c r="F417" s="1255"/>
    </row>
    <row r="418" spans="1:6" s="1267" customFormat="1" hidden="1">
      <c r="A418" s="1269"/>
      <c r="B418" s="1255"/>
      <c r="C418" s="1263"/>
      <c r="D418" s="1255"/>
      <c r="E418" s="1255"/>
      <c r="F418" s="1255"/>
    </row>
    <row r="419" spans="1:6" s="1267" customFormat="1" hidden="1">
      <c r="A419" s="1269"/>
      <c r="B419" s="1255"/>
      <c r="C419" s="1263"/>
      <c r="D419" s="1255"/>
      <c r="E419" s="1255"/>
      <c r="F419" s="1255"/>
    </row>
    <row r="420" spans="1:6" s="1267" customFormat="1" hidden="1">
      <c r="A420" s="1269"/>
      <c r="B420" s="1255"/>
      <c r="C420" s="1263"/>
      <c r="D420" s="1255"/>
      <c r="E420" s="1255"/>
      <c r="F420" s="1255"/>
    </row>
    <row r="421" spans="1:6" s="1267" customFormat="1" hidden="1">
      <c r="A421" s="1255"/>
      <c r="B421" s="1255"/>
      <c r="C421" s="1263"/>
      <c r="D421" s="1255"/>
      <c r="E421" s="1255"/>
      <c r="F421" s="1255"/>
    </row>
    <row r="422" spans="1:6" s="1267" customFormat="1" hidden="1">
      <c r="A422" s="1255"/>
      <c r="B422" s="1255"/>
      <c r="C422" s="1263"/>
      <c r="D422" s="1255"/>
      <c r="E422" s="1255"/>
      <c r="F422" s="1255"/>
    </row>
    <row r="423" spans="1:6" s="1267" customFormat="1" hidden="1">
      <c r="A423" s="1255"/>
      <c r="B423" s="1255"/>
      <c r="C423" s="1263"/>
      <c r="D423" s="1255"/>
      <c r="E423" s="1255"/>
      <c r="F423" s="1255"/>
    </row>
    <row r="424" spans="1:6" s="1267" customFormat="1" hidden="1">
      <c r="A424" s="1255"/>
      <c r="B424" s="1255"/>
      <c r="C424" s="1263"/>
      <c r="D424" s="1270"/>
      <c r="E424" s="1255"/>
      <c r="F424" s="1255"/>
    </row>
    <row r="425" spans="1:6" hidden="1"/>
    <row r="426" spans="1:6" hidden="1"/>
  </sheetData>
  <mergeCells count="4">
    <mergeCell ref="A1:F1"/>
    <mergeCell ref="A2:F2"/>
    <mergeCell ref="A3:F3"/>
    <mergeCell ref="A4:F4"/>
  </mergeCells>
  <printOptions horizontalCentered="1"/>
  <pageMargins left="0.5" right="0.5" top="0.5" bottom="0.5" header="0.3" footer="0.3"/>
  <pageSetup paperSize="9" scale="83" orientation="portrait" r:id="rId1"/>
  <headerFooter>
    <oddHeader>&amp;C&amp;P</oddHeader>
  </headerFooter>
</worksheet>
</file>

<file path=xl/worksheets/sheet6.xml><?xml version="1.0" encoding="utf-8"?>
<worksheet xmlns="http://schemas.openxmlformats.org/spreadsheetml/2006/main" xmlns:r="http://schemas.openxmlformats.org/officeDocument/2006/relationships">
  <sheetPr codeName="Sheet45"/>
  <dimension ref="A1:G424"/>
  <sheetViews>
    <sheetView view="pageBreakPreview" topLeftCell="A16" zoomScaleNormal="85" zoomScaleSheetLayoutView="100" workbookViewId="0">
      <selection activeCell="A5" sqref="A5"/>
    </sheetView>
  </sheetViews>
  <sheetFormatPr defaultRowHeight="15.75"/>
  <cols>
    <col min="1" max="1" width="9.140625" style="1251"/>
    <col min="2" max="2" width="9.7109375" style="1251" customWidth="1"/>
    <col min="3" max="3" width="57.28515625" style="1271" customWidth="1"/>
    <col min="4" max="4" width="13.7109375" style="1251" customWidth="1"/>
    <col min="5" max="5" width="9.140625" style="1251"/>
    <col min="6" max="6" width="15.85546875" style="1251" customWidth="1"/>
    <col min="7" max="257" width="9.140625" style="1251"/>
    <col min="258" max="258" width="9.7109375" style="1251" customWidth="1"/>
    <col min="259" max="259" width="57.28515625" style="1251" customWidth="1"/>
    <col min="260" max="260" width="13.7109375" style="1251" customWidth="1"/>
    <col min="261" max="261" width="9.140625" style="1251"/>
    <col min="262" max="262" width="15.85546875" style="1251" customWidth="1"/>
    <col min="263" max="513" width="9.140625" style="1251"/>
    <col min="514" max="514" width="9.7109375" style="1251" customWidth="1"/>
    <col min="515" max="515" width="57.28515625" style="1251" customWidth="1"/>
    <col min="516" max="516" width="13.7109375" style="1251" customWidth="1"/>
    <col min="517" max="517" width="9.140625" style="1251"/>
    <col min="518" max="518" width="15.85546875" style="1251" customWidth="1"/>
    <col min="519" max="769" width="9.140625" style="1251"/>
    <col min="770" max="770" width="9.7109375" style="1251" customWidth="1"/>
    <col min="771" max="771" width="57.28515625" style="1251" customWidth="1"/>
    <col min="772" max="772" width="13.7109375" style="1251" customWidth="1"/>
    <col min="773" max="773" width="9.140625" style="1251"/>
    <col min="774" max="774" width="15.85546875" style="1251" customWidth="1"/>
    <col min="775" max="1025" width="9.140625" style="1251"/>
    <col min="1026" max="1026" width="9.7109375" style="1251" customWidth="1"/>
    <col min="1027" max="1027" width="57.28515625" style="1251" customWidth="1"/>
    <col min="1028" max="1028" width="13.7109375" style="1251" customWidth="1"/>
    <col min="1029" max="1029" width="9.140625" style="1251"/>
    <col min="1030" max="1030" width="15.85546875" style="1251" customWidth="1"/>
    <col min="1031" max="1281" width="9.140625" style="1251"/>
    <col min="1282" max="1282" width="9.7109375" style="1251" customWidth="1"/>
    <col min="1283" max="1283" width="57.28515625" style="1251" customWidth="1"/>
    <col min="1284" max="1284" width="13.7109375" style="1251" customWidth="1"/>
    <col min="1285" max="1285" width="9.140625" style="1251"/>
    <col min="1286" max="1286" width="15.85546875" style="1251" customWidth="1"/>
    <col min="1287" max="1537" width="9.140625" style="1251"/>
    <col min="1538" max="1538" width="9.7109375" style="1251" customWidth="1"/>
    <col min="1539" max="1539" width="57.28515625" style="1251" customWidth="1"/>
    <col min="1540" max="1540" width="13.7109375" style="1251" customWidth="1"/>
    <col min="1541" max="1541" width="9.140625" style="1251"/>
    <col min="1542" max="1542" width="15.85546875" style="1251" customWidth="1"/>
    <col min="1543" max="1793" width="9.140625" style="1251"/>
    <col min="1794" max="1794" width="9.7109375" style="1251" customWidth="1"/>
    <col min="1795" max="1795" width="57.28515625" style="1251" customWidth="1"/>
    <col min="1796" max="1796" width="13.7109375" style="1251" customWidth="1"/>
    <col min="1797" max="1797" width="9.140625" style="1251"/>
    <col min="1798" max="1798" width="15.85546875" style="1251" customWidth="1"/>
    <col min="1799" max="2049" width="9.140625" style="1251"/>
    <col min="2050" max="2050" width="9.7109375" style="1251" customWidth="1"/>
    <col min="2051" max="2051" width="57.28515625" style="1251" customWidth="1"/>
    <col min="2052" max="2052" width="13.7109375" style="1251" customWidth="1"/>
    <col min="2053" max="2053" width="9.140625" style="1251"/>
    <col min="2054" max="2054" width="15.85546875" style="1251" customWidth="1"/>
    <col min="2055" max="2305" width="9.140625" style="1251"/>
    <col min="2306" max="2306" width="9.7109375" style="1251" customWidth="1"/>
    <col min="2307" max="2307" width="57.28515625" style="1251" customWidth="1"/>
    <col min="2308" max="2308" width="13.7109375" style="1251" customWidth="1"/>
    <col min="2309" max="2309" width="9.140625" style="1251"/>
    <col min="2310" max="2310" width="15.85546875" style="1251" customWidth="1"/>
    <col min="2311" max="2561" width="9.140625" style="1251"/>
    <col min="2562" max="2562" width="9.7109375" style="1251" customWidth="1"/>
    <col min="2563" max="2563" width="57.28515625" style="1251" customWidth="1"/>
    <col min="2564" max="2564" width="13.7109375" style="1251" customWidth="1"/>
    <col min="2565" max="2565" width="9.140625" style="1251"/>
    <col min="2566" max="2566" width="15.85546875" style="1251" customWidth="1"/>
    <col min="2567" max="2817" width="9.140625" style="1251"/>
    <col min="2818" max="2818" width="9.7109375" style="1251" customWidth="1"/>
    <col min="2819" max="2819" width="57.28515625" style="1251" customWidth="1"/>
    <col min="2820" max="2820" width="13.7109375" style="1251" customWidth="1"/>
    <col min="2821" max="2821" width="9.140625" style="1251"/>
    <col min="2822" max="2822" width="15.85546875" style="1251" customWidth="1"/>
    <col min="2823" max="3073" width="9.140625" style="1251"/>
    <col min="3074" max="3074" width="9.7109375" style="1251" customWidth="1"/>
    <col min="3075" max="3075" width="57.28515625" style="1251" customWidth="1"/>
    <col min="3076" max="3076" width="13.7109375" style="1251" customWidth="1"/>
    <col min="3077" max="3077" width="9.140625" style="1251"/>
    <col min="3078" max="3078" width="15.85546875" style="1251" customWidth="1"/>
    <col min="3079" max="3329" width="9.140625" style="1251"/>
    <col min="3330" max="3330" width="9.7109375" style="1251" customWidth="1"/>
    <col min="3331" max="3331" width="57.28515625" style="1251" customWidth="1"/>
    <col min="3332" max="3332" width="13.7109375" style="1251" customWidth="1"/>
    <col min="3333" max="3333" width="9.140625" style="1251"/>
    <col min="3334" max="3334" width="15.85546875" style="1251" customWidth="1"/>
    <col min="3335" max="3585" width="9.140625" style="1251"/>
    <col min="3586" max="3586" width="9.7109375" style="1251" customWidth="1"/>
    <col min="3587" max="3587" width="57.28515625" style="1251" customWidth="1"/>
    <col min="3588" max="3588" width="13.7109375" style="1251" customWidth="1"/>
    <col min="3589" max="3589" width="9.140625" style="1251"/>
    <col min="3590" max="3590" width="15.85546875" style="1251" customWidth="1"/>
    <col min="3591" max="3841" width="9.140625" style="1251"/>
    <col min="3842" max="3842" width="9.7109375" style="1251" customWidth="1"/>
    <col min="3843" max="3843" width="57.28515625" style="1251" customWidth="1"/>
    <col min="3844" max="3844" width="13.7109375" style="1251" customWidth="1"/>
    <col min="3845" max="3845" width="9.140625" style="1251"/>
    <col min="3846" max="3846" width="15.85546875" style="1251" customWidth="1"/>
    <col min="3847" max="4097" width="9.140625" style="1251"/>
    <col min="4098" max="4098" width="9.7109375" style="1251" customWidth="1"/>
    <col min="4099" max="4099" width="57.28515625" style="1251" customWidth="1"/>
    <col min="4100" max="4100" width="13.7109375" style="1251" customWidth="1"/>
    <col min="4101" max="4101" width="9.140625" style="1251"/>
    <col min="4102" max="4102" width="15.85546875" style="1251" customWidth="1"/>
    <col min="4103" max="4353" width="9.140625" style="1251"/>
    <col min="4354" max="4354" width="9.7109375" style="1251" customWidth="1"/>
    <col min="4355" max="4355" width="57.28515625" style="1251" customWidth="1"/>
    <col min="4356" max="4356" width="13.7109375" style="1251" customWidth="1"/>
    <col min="4357" max="4357" width="9.140625" style="1251"/>
    <col min="4358" max="4358" width="15.85546875" style="1251" customWidth="1"/>
    <col min="4359" max="4609" width="9.140625" style="1251"/>
    <col min="4610" max="4610" width="9.7109375" style="1251" customWidth="1"/>
    <col min="4611" max="4611" width="57.28515625" style="1251" customWidth="1"/>
    <col min="4612" max="4612" width="13.7109375" style="1251" customWidth="1"/>
    <col min="4613" max="4613" width="9.140625" style="1251"/>
    <col min="4614" max="4614" width="15.85546875" style="1251" customWidth="1"/>
    <col min="4615" max="4865" width="9.140625" style="1251"/>
    <col min="4866" max="4866" width="9.7109375" style="1251" customWidth="1"/>
    <col min="4867" max="4867" width="57.28515625" style="1251" customWidth="1"/>
    <col min="4868" max="4868" width="13.7109375" style="1251" customWidth="1"/>
    <col min="4869" max="4869" width="9.140625" style="1251"/>
    <col min="4870" max="4870" width="15.85546875" style="1251" customWidth="1"/>
    <col min="4871" max="5121" width="9.140625" style="1251"/>
    <col min="5122" max="5122" width="9.7109375" style="1251" customWidth="1"/>
    <col min="5123" max="5123" width="57.28515625" style="1251" customWidth="1"/>
    <col min="5124" max="5124" width="13.7109375" style="1251" customWidth="1"/>
    <col min="5125" max="5125" width="9.140625" style="1251"/>
    <col min="5126" max="5126" width="15.85546875" style="1251" customWidth="1"/>
    <col min="5127" max="5377" width="9.140625" style="1251"/>
    <col min="5378" max="5378" width="9.7109375" style="1251" customWidth="1"/>
    <col min="5379" max="5379" width="57.28515625" style="1251" customWidth="1"/>
    <col min="5380" max="5380" width="13.7109375" style="1251" customWidth="1"/>
    <col min="5381" max="5381" width="9.140625" style="1251"/>
    <col min="5382" max="5382" width="15.85546875" style="1251" customWidth="1"/>
    <col min="5383" max="5633" width="9.140625" style="1251"/>
    <col min="5634" max="5634" width="9.7109375" style="1251" customWidth="1"/>
    <col min="5635" max="5635" width="57.28515625" style="1251" customWidth="1"/>
    <col min="5636" max="5636" width="13.7109375" style="1251" customWidth="1"/>
    <col min="5637" max="5637" width="9.140625" style="1251"/>
    <col min="5638" max="5638" width="15.85546875" style="1251" customWidth="1"/>
    <col min="5639" max="5889" width="9.140625" style="1251"/>
    <col min="5890" max="5890" width="9.7109375" style="1251" customWidth="1"/>
    <col min="5891" max="5891" width="57.28515625" style="1251" customWidth="1"/>
    <col min="5892" max="5892" width="13.7109375" style="1251" customWidth="1"/>
    <col min="5893" max="5893" width="9.140625" style="1251"/>
    <col min="5894" max="5894" width="15.85546875" style="1251" customWidth="1"/>
    <col min="5895" max="6145" width="9.140625" style="1251"/>
    <col min="6146" max="6146" width="9.7109375" style="1251" customWidth="1"/>
    <col min="6147" max="6147" width="57.28515625" style="1251" customWidth="1"/>
    <col min="6148" max="6148" width="13.7109375" style="1251" customWidth="1"/>
    <col min="6149" max="6149" width="9.140625" style="1251"/>
    <col min="6150" max="6150" width="15.85546875" style="1251" customWidth="1"/>
    <col min="6151" max="6401" width="9.140625" style="1251"/>
    <col min="6402" max="6402" width="9.7109375" style="1251" customWidth="1"/>
    <col min="6403" max="6403" width="57.28515625" style="1251" customWidth="1"/>
    <col min="6404" max="6404" width="13.7109375" style="1251" customWidth="1"/>
    <col min="6405" max="6405" width="9.140625" style="1251"/>
    <col min="6406" max="6406" width="15.85546875" style="1251" customWidth="1"/>
    <col min="6407" max="6657" width="9.140625" style="1251"/>
    <col min="6658" max="6658" width="9.7109375" style="1251" customWidth="1"/>
    <col min="6659" max="6659" width="57.28515625" style="1251" customWidth="1"/>
    <col min="6660" max="6660" width="13.7109375" style="1251" customWidth="1"/>
    <col min="6661" max="6661" width="9.140625" style="1251"/>
    <col min="6662" max="6662" width="15.85546875" style="1251" customWidth="1"/>
    <col min="6663" max="6913" width="9.140625" style="1251"/>
    <col min="6914" max="6914" width="9.7109375" style="1251" customWidth="1"/>
    <col min="6915" max="6915" width="57.28515625" style="1251" customWidth="1"/>
    <col min="6916" max="6916" width="13.7109375" style="1251" customWidth="1"/>
    <col min="6917" max="6917" width="9.140625" style="1251"/>
    <col min="6918" max="6918" width="15.85546875" style="1251" customWidth="1"/>
    <col min="6919" max="7169" width="9.140625" style="1251"/>
    <col min="7170" max="7170" width="9.7109375" style="1251" customWidth="1"/>
    <col min="7171" max="7171" width="57.28515625" style="1251" customWidth="1"/>
    <col min="7172" max="7172" width="13.7109375" style="1251" customWidth="1"/>
    <col min="7173" max="7173" width="9.140625" style="1251"/>
    <col min="7174" max="7174" width="15.85546875" style="1251" customWidth="1"/>
    <col min="7175" max="7425" width="9.140625" style="1251"/>
    <col min="7426" max="7426" width="9.7109375" style="1251" customWidth="1"/>
    <col min="7427" max="7427" width="57.28515625" style="1251" customWidth="1"/>
    <col min="7428" max="7428" width="13.7109375" style="1251" customWidth="1"/>
    <col min="7429" max="7429" width="9.140625" style="1251"/>
    <col min="7430" max="7430" width="15.85546875" style="1251" customWidth="1"/>
    <col min="7431" max="7681" width="9.140625" style="1251"/>
    <col min="7682" max="7682" width="9.7109375" style="1251" customWidth="1"/>
    <col min="7683" max="7683" width="57.28515625" style="1251" customWidth="1"/>
    <col min="7684" max="7684" width="13.7109375" style="1251" customWidth="1"/>
    <col min="7685" max="7685" width="9.140625" style="1251"/>
    <col min="7686" max="7686" width="15.85546875" style="1251" customWidth="1"/>
    <col min="7687" max="7937" width="9.140625" style="1251"/>
    <col min="7938" max="7938" width="9.7109375" style="1251" customWidth="1"/>
    <col min="7939" max="7939" width="57.28515625" style="1251" customWidth="1"/>
    <col min="7940" max="7940" width="13.7109375" style="1251" customWidth="1"/>
    <col min="7941" max="7941" width="9.140625" style="1251"/>
    <col min="7942" max="7942" width="15.85546875" style="1251" customWidth="1"/>
    <col min="7943" max="8193" width="9.140625" style="1251"/>
    <col min="8194" max="8194" width="9.7109375" style="1251" customWidth="1"/>
    <col min="8195" max="8195" width="57.28515625" style="1251" customWidth="1"/>
    <col min="8196" max="8196" width="13.7109375" style="1251" customWidth="1"/>
    <col min="8197" max="8197" width="9.140625" style="1251"/>
    <col min="8198" max="8198" width="15.85546875" style="1251" customWidth="1"/>
    <col min="8199" max="8449" width="9.140625" style="1251"/>
    <col min="8450" max="8450" width="9.7109375" style="1251" customWidth="1"/>
    <col min="8451" max="8451" width="57.28515625" style="1251" customWidth="1"/>
    <col min="8452" max="8452" width="13.7109375" style="1251" customWidth="1"/>
    <col min="8453" max="8453" width="9.140625" style="1251"/>
    <col min="8454" max="8454" width="15.85546875" style="1251" customWidth="1"/>
    <col min="8455" max="8705" width="9.140625" style="1251"/>
    <col min="8706" max="8706" width="9.7109375" style="1251" customWidth="1"/>
    <col min="8707" max="8707" width="57.28515625" style="1251" customWidth="1"/>
    <col min="8708" max="8708" width="13.7109375" style="1251" customWidth="1"/>
    <col min="8709" max="8709" width="9.140625" style="1251"/>
    <col min="8710" max="8710" width="15.85546875" style="1251" customWidth="1"/>
    <col min="8711" max="8961" width="9.140625" style="1251"/>
    <col min="8962" max="8962" width="9.7109375" style="1251" customWidth="1"/>
    <col min="8963" max="8963" width="57.28515625" style="1251" customWidth="1"/>
    <col min="8964" max="8964" width="13.7109375" style="1251" customWidth="1"/>
    <col min="8965" max="8965" width="9.140625" style="1251"/>
    <col min="8966" max="8966" width="15.85546875" style="1251" customWidth="1"/>
    <col min="8967" max="9217" width="9.140625" style="1251"/>
    <col min="9218" max="9218" width="9.7109375" style="1251" customWidth="1"/>
    <col min="9219" max="9219" width="57.28515625" style="1251" customWidth="1"/>
    <col min="9220" max="9220" width="13.7109375" style="1251" customWidth="1"/>
    <col min="9221" max="9221" width="9.140625" style="1251"/>
    <col min="9222" max="9222" width="15.85546875" style="1251" customWidth="1"/>
    <col min="9223" max="9473" width="9.140625" style="1251"/>
    <col min="9474" max="9474" width="9.7109375" style="1251" customWidth="1"/>
    <col min="9475" max="9475" width="57.28515625" style="1251" customWidth="1"/>
    <col min="9476" max="9476" width="13.7109375" style="1251" customWidth="1"/>
    <col min="9477" max="9477" width="9.140625" style="1251"/>
    <col min="9478" max="9478" width="15.85546875" style="1251" customWidth="1"/>
    <col min="9479" max="9729" width="9.140625" style="1251"/>
    <col min="9730" max="9730" width="9.7109375" style="1251" customWidth="1"/>
    <col min="9731" max="9731" width="57.28515625" style="1251" customWidth="1"/>
    <col min="9732" max="9732" width="13.7109375" style="1251" customWidth="1"/>
    <col min="9733" max="9733" width="9.140625" style="1251"/>
    <col min="9734" max="9734" width="15.85546875" style="1251" customWidth="1"/>
    <col min="9735" max="9985" width="9.140625" style="1251"/>
    <col min="9986" max="9986" width="9.7109375" style="1251" customWidth="1"/>
    <col min="9987" max="9987" width="57.28515625" style="1251" customWidth="1"/>
    <col min="9988" max="9988" width="13.7109375" style="1251" customWidth="1"/>
    <col min="9989" max="9989" width="9.140625" style="1251"/>
    <col min="9990" max="9990" width="15.85546875" style="1251" customWidth="1"/>
    <col min="9991" max="10241" width="9.140625" style="1251"/>
    <col min="10242" max="10242" width="9.7109375" style="1251" customWidth="1"/>
    <col min="10243" max="10243" width="57.28515625" style="1251" customWidth="1"/>
    <col min="10244" max="10244" width="13.7109375" style="1251" customWidth="1"/>
    <col min="10245" max="10245" width="9.140625" style="1251"/>
    <col min="10246" max="10246" width="15.85546875" style="1251" customWidth="1"/>
    <col min="10247" max="10497" width="9.140625" style="1251"/>
    <col min="10498" max="10498" width="9.7109375" style="1251" customWidth="1"/>
    <col min="10499" max="10499" width="57.28515625" style="1251" customWidth="1"/>
    <col min="10500" max="10500" width="13.7109375" style="1251" customWidth="1"/>
    <col min="10501" max="10501" width="9.140625" style="1251"/>
    <col min="10502" max="10502" width="15.85546875" style="1251" customWidth="1"/>
    <col min="10503" max="10753" width="9.140625" style="1251"/>
    <col min="10754" max="10754" width="9.7109375" style="1251" customWidth="1"/>
    <col min="10755" max="10755" width="57.28515625" style="1251" customWidth="1"/>
    <col min="10756" max="10756" width="13.7109375" style="1251" customWidth="1"/>
    <col min="10757" max="10757" width="9.140625" style="1251"/>
    <col min="10758" max="10758" width="15.85546875" style="1251" customWidth="1"/>
    <col min="10759" max="11009" width="9.140625" style="1251"/>
    <col min="11010" max="11010" width="9.7109375" style="1251" customWidth="1"/>
    <col min="11011" max="11011" width="57.28515625" style="1251" customWidth="1"/>
    <col min="11012" max="11012" width="13.7109375" style="1251" customWidth="1"/>
    <col min="11013" max="11013" width="9.140625" style="1251"/>
    <col min="11014" max="11014" width="15.85546875" style="1251" customWidth="1"/>
    <col min="11015" max="11265" width="9.140625" style="1251"/>
    <col min="11266" max="11266" width="9.7109375" style="1251" customWidth="1"/>
    <col min="11267" max="11267" width="57.28515625" style="1251" customWidth="1"/>
    <col min="11268" max="11268" width="13.7109375" style="1251" customWidth="1"/>
    <col min="11269" max="11269" width="9.140625" style="1251"/>
    <col min="11270" max="11270" width="15.85546875" style="1251" customWidth="1"/>
    <col min="11271" max="11521" width="9.140625" style="1251"/>
    <col min="11522" max="11522" width="9.7109375" style="1251" customWidth="1"/>
    <col min="11523" max="11523" width="57.28515625" style="1251" customWidth="1"/>
    <col min="11524" max="11524" width="13.7109375" style="1251" customWidth="1"/>
    <col min="11525" max="11525" width="9.140625" style="1251"/>
    <col min="11526" max="11526" width="15.85546875" style="1251" customWidth="1"/>
    <col min="11527" max="11777" width="9.140625" style="1251"/>
    <col min="11778" max="11778" width="9.7109375" style="1251" customWidth="1"/>
    <col min="11779" max="11779" width="57.28515625" style="1251" customWidth="1"/>
    <col min="11780" max="11780" width="13.7109375" style="1251" customWidth="1"/>
    <col min="11781" max="11781" width="9.140625" style="1251"/>
    <col min="11782" max="11782" width="15.85546875" style="1251" customWidth="1"/>
    <col min="11783" max="12033" width="9.140625" style="1251"/>
    <col min="12034" max="12034" width="9.7109375" style="1251" customWidth="1"/>
    <col min="12035" max="12035" width="57.28515625" style="1251" customWidth="1"/>
    <col min="12036" max="12036" width="13.7109375" style="1251" customWidth="1"/>
    <col min="12037" max="12037" width="9.140625" style="1251"/>
    <col min="12038" max="12038" width="15.85546875" style="1251" customWidth="1"/>
    <col min="12039" max="12289" width="9.140625" style="1251"/>
    <col min="12290" max="12290" width="9.7109375" style="1251" customWidth="1"/>
    <col min="12291" max="12291" width="57.28515625" style="1251" customWidth="1"/>
    <col min="12292" max="12292" width="13.7109375" style="1251" customWidth="1"/>
    <col min="12293" max="12293" width="9.140625" style="1251"/>
    <col min="12294" max="12294" width="15.85546875" style="1251" customWidth="1"/>
    <col min="12295" max="12545" width="9.140625" style="1251"/>
    <col min="12546" max="12546" width="9.7109375" style="1251" customWidth="1"/>
    <col min="12547" max="12547" width="57.28515625" style="1251" customWidth="1"/>
    <col min="12548" max="12548" width="13.7109375" style="1251" customWidth="1"/>
    <col min="12549" max="12549" width="9.140625" style="1251"/>
    <col min="12550" max="12550" width="15.85546875" style="1251" customWidth="1"/>
    <col min="12551" max="12801" width="9.140625" style="1251"/>
    <col min="12802" max="12802" width="9.7109375" style="1251" customWidth="1"/>
    <col min="12803" max="12803" width="57.28515625" style="1251" customWidth="1"/>
    <col min="12804" max="12804" width="13.7109375" style="1251" customWidth="1"/>
    <col min="12805" max="12805" width="9.140625" style="1251"/>
    <col min="12806" max="12806" width="15.85546875" style="1251" customWidth="1"/>
    <col min="12807" max="13057" width="9.140625" style="1251"/>
    <col min="13058" max="13058" width="9.7109375" style="1251" customWidth="1"/>
    <col min="13059" max="13059" width="57.28515625" style="1251" customWidth="1"/>
    <col min="13060" max="13060" width="13.7109375" style="1251" customWidth="1"/>
    <col min="13061" max="13061" width="9.140625" style="1251"/>
    <col min="13062" max="13062" width="15.85546875" style="1251" customWidth="1"/>
    <col min="13063" max="13313" width="9.140625" style="1251"/>
    <col min="13314" max="13314" width="9.7109375" style="1251" customWidth="1"/>
    <col min="13315" max="13315" width="57.28515625" style="1251" customWidth="1"/>
    <col min="13316" max="13316" width="13.7109375" style="1251" customWidth="1"/>
    <col min="13317" max="13317" width="9.140625" style="1251"/>
    <col min="13318" max="13318" width="15.85546875" style="1251" customWidth="1"/>
    <col min="13319" max="13569" width="9.140625" style="1251"/>
    <col min="13570" max="13570" width="9.7109375" style="1251" customWidth="1"/>
    <col min="13571" max="13571" width="57.28515625" style="1251" customWidth="1"/>
    <col min="13572" max="13572" width="13.7109375" style="1251" customWidth="1"/>
    <col min="13573" max="13573" width="9.140625" style="1251"/>
    <col min="13574" max="13574" width="15.85546875" style="1251" customWidth="1"/>
    <col min="13575" max="13825" width="9.140625" style="1251"/>
    <col min="13826" max="13826" width="9.7109375" style="1251" customWidth="1"/>
    <col min="13827" max="13827" width="57.28515625" style="1251" customWidth="1"/>
    <col min="13828" max="13828" width="13.7109375" style="1251" customWidth="1"/>
    <col min="13829" max="13829" width="9.140625" style="1251"/>
    <col min="13830" max="13830" width="15.85546875" style="1251" customWidth="1"/>
    <col min="13831" max="14081" width="9.140625" style="1251"/>
    <col min="14082" max="14082" width="9.7109375" style="1251" customWidth="1"/>
    <col min="14083" max="14083" width="57.28515625" style="1251" customWidth="1"/>
    <col min="14084" max="14084" width="13.7109375" style="1251" customWidth="1"/>
    <col min="14085" max="14085" width="9.140625" style="1251"/>
    <col min="14086" max="14086" width="15.85546875" style="1251" customWidth="1"/>
    <col min="14087" max="14337" width="9.140625" style="1251"/>
    <col min="14338" max="14338" width="9.7109375" style="1251" customWidth="1"/>
    <col min="14339" max="14339" width="57.28515625" style="1251" customWidth="1"/>
    <col min="14340" max="14340" width="13.7109375" style="1251" customWidth="1"/>
    <col min="14341" max="14341" width="9.140625" style="1251"/>
    <col min="14342" max="14342" width="15.85546875" style="1251" customWidth="1"/>
    <col min="14343" max="14593" width="9.140625" style="1251"/>
    <col min="14594" max="14594" width="9.7109375" style="1251" customWidth="1"/>
    <col min="14595" max="14595" width="57.28515625" style="1251" customWidth="1"/>
    <col min="14596" max="14596" width="13.7109375" style="1251" customWidth="1"/>
    <col min="14597" max="14597" width="9.140625" style="1251"/>
    <col min="14598" max="14598" width="15.85546875" style="1251" customWidth="1"/>
    <col min="14599" max="14849" width="9.140625" style="1251"/>
    <col min="14850" max="14850" width="9.7109375" style="1251" customWidth="1"/>
    <col min="14851" max="14851" width="57.28515625" style="1251" customWidth="1"/>
    <col min="14852" max="14852" width="13.7109375" style="1251" customWidth="1"/>
    <col min="14853" max="14853" width="9.140625" style="1251"/>
    <col min="14854" max="14854" width="15.85546875" style="1251" customWidth="1"/>
    <col min="14855" max="15105" width="9.140625" style="1251"/>
    <col min="15106" max="15106" width="9.7109375" style="1251" customWidth="1"/>
    <col min="15107" max="15107" width="57.28515625" style="1251" customWidth="1"/>
    <col min="15108" max="15108" width="13.7109375" style="1251" customWidth="1"/>
    <col min="15109" max="15109" width="9.140625" style="1251"/>
    <col min="15110" max="15110" width="15.85546875" style="1251" customWidth="1"/>
    <col min="15111" max="15361" width="9.140625" style="1251"/>
    <col min="15362" max="15362" width="9.7109375" style="1251" customWidth="1"/>
    <col min="15363" max="15363" width="57.28515625" style="1251" customWidth="1"/>
    <col min="15364" max="15364" width="13.7109375" style="1251" customWidth="1"/>
    <col min="15365" max="15365" width="9.140625" style="1251"/>
    <col min="15366" max="15366" width="15.85546875" style="1251" customWidth="1"/>
    <col min="15367" max="15617" width="9.140625" style="1251"/>
    <col min="15618" max="15618" width="9.7109375" style="1251" customWidth="1"/>
    <col min="15619" max="15619" width="57.28515625" style="1251" customWidth="1"/>
    <col min="15620" max="15620" width="13.7109375" style="1251" customWidth="1"/>
    <col min="15621" max="15621" width="9.140625" style="1251"/>
    <col min="15622" max="15622" width="15.85546875" style="1251" customWidth="1"/>
    <col min="15623" max="15873" width="9.140625" style="1251"/>
    <col min="15874" max="15874" width="9.7109375" style="1251" customWidth="1"/>
    <col min="15875" max="15875" width="57.28515625" style="1251" customWidth="1"/>
    <col min="15876" max="15876" width="13.7109375" style="1251" customWidth="1"/>
    <col min="15877" max="15877" width="9.140625" style="1251"/>
    <col min="15878" max="15878" width="15.85546875" style="1251" customWidth="1"/>
    <col min="15879" max="16129" width="9.140625" style="1251"/>
    <col min="16130" max="16130" width="9.7109375" style="1251" customWidth="1"/>
    <col min="16131" max="16131" width="57.28515625" style="1251" customWidth="1"/>
    <col min="16132" max="16132" width="13.7109375" style="1251" customWidth="1"/>
    <col min="16133" max="16133" width="9.140625" style="1251"/>
    <col min="16134" max="16134" width="15.85546875" style="1251" customWidth="1"/>
    <col min="16135" max="16384" width="9.140625" style="1251"/>
  </cols>
  <sheetData>
    <row r="1" spans="1:6" ht="25.5" customHeight="1">
      <c r="A1" s="1624" t="s">
        <v>0</v>
      </c>
      <c r="B1" s="1624"/>
      <c r="C1" s="1624"/>
      <c r="D1" s="1624"/>
      <c r="E1" s="1624"/>
      <c r="F1" s="1624"/>
    </row>
    <row r="2" spans="1:6" ht="25.5" customHeight="1">
      <c r="A2" s="1624" t="s">
        <v>1</v>
      </c>
      <c r="B2" s="1624"/>
      <c r="C2" s="1624"/>
      <c r="D2" s="1624"/>
      <c r="E2" s="1624"/>
      <c r="F2" s="1624"/>
    </row>
    <row r="3" spans="1:6" ht="98.25" customHeight="1">
      <c r="A3" s="1624" t="e">
        <f>#REF!</f>
        <v>#REF!</v>
      </c>
      <c r="B3" s="1624"/>
      <c r="C3" s="1624"/>
      <c r="D3" s="1624"/>
      <c r="E3" s="1624"/>
      <c r="F3" s="1624"/>
    </row>
    <row r="4" spans="1:6" ht="25.5" customHeight="1">
      <c r="A4" s="1624"/>
      <c r="B4" s="1624"/>
      <c r="C4" s="1624"/>
      <c r="D4" s="1624"/>
      <c r="E4" s="1624"/>
      <c r="F4" s="1624"/>
    </row>
    <row r="5" spans="1:6" ht="25.5" customHeight="1">
      <c r="A5" s="1252"/>
      <c r="B5" s="1252"/>
      <c r="C5" s="1253"/>
      <c r="D5" s="1254"/>
      <c r="E5" s="1252"/>
      <c r="F5" s="1255"/>
    </row>
    <row r="6" spans="1:6" ht="25.5" customHeight="1">
      <c r="A6" s="1252"/>
      <c r="B6" s="1252"/>
      <c r="C6" s="1256"/>
      <c r="D6" s="1252"/>
      <c r="E6" s="1252"/>
      <c r="F6" s="1252"/>
    </row>
    <row r="7" spans="1:6" ht="25.5" customHeight="1">
      <c r="A7" s="1257"/>
      <c r="B7" s="1257"/>
      <c r="C7" s="1256"/>
      <c r="D7" s="1257"/>
      <c r="E7" s="1258"/>
      <c r="F7" s="1257"/>
    </row>
    <row r="8" spans="1:6" ht="25.5" customHeight="1">
      <c r="A8" s="1257"/>
      <c r="B8" s="1257"/>
      <c r="C8" s="1259"/>
      <c r="D8" s="1257"/>
      <c r="E8" s="1257"/>
      <c r="F8" s="1257"/>
    </row>
    <row r="9" spans="1:6" ht="25.5" customHeight="1">
      <c r="A9" s="1257"/>
      <c r="B9" s="1257"/>
      <c r="C9" s="1260"/>
      <c r="D9" s="1257"/>
      <c r="E9" s="1258"/>
      <c r="F9" s="1257"/>
    </row>
    <row r="10" spans="1:6" ht="25.5" customHeight="1">
      <c r="A10" s="1257"/>
      <c r="B10" s="1257"/>
      <c r="C10" s="1259"/>
      <c r="D10" s="1257"/>
      <c r="E10" s="1257"/>
      <c r="F10" s="1257"/>
    </row>
    <row r="11" spans="1:6" ht="25.5" customHeight="1">
      <c r="A11" s="1257"/>
      <c r="B11" s="1257"/>
      <c r="C11" s="1260"/>
      <c r="D11" s="1257"/>
      <c r="E11" s="1258"/>
      <c r="F11" s="1257"/>
    </row>
    <row r="12" spans="1:6" ht="25.5" customHeight="1">
      <c r="A12" s="1257"/>
      <c r="B12" s="1257"/>
      <c r="C12" s="1259"/>
      <c r="D12" s="1257"/>
      <c r="E12" s="1257"/>
      <c r="F12" s="1257"/>
    </row>
    <row r="13" spans="1:6" ht="25.5" customHeight="1">
      <c r="A13" s="1257"/>
      <c r="B13" s="1257"/>
      <c r="C13" s="1260"/>
      <c r="D13" s="1257"/>
      <c r="E13" s="1258"/>
      <c r="F13" s="1257"/>
    </row>
    <row r="14" spans="1:6" ht="25.5" customHeight="1">
      <c r="A14" s="1257"/>
      <c r="B14" s="1257"/>
      <c r="C14" s="1259"/>
      <c r="D14" s="1257"/>
      <c r="E14" s="1257"/>
      <c r="F14" s="1257"/>
    </row>
    <row r="15" spans="1:6" ht="25.5" customHeight="1">
      <c r="A15" s="1257"/>
      <c r="B15" s="1257"/>
      <c r="C15" s="1259"/>
      <c r="D15" s="1257"/>
      <c r="E15" s="1257"/>
      <c r="F15" s="1257"/>
    </row>
    <row r="16" spans="1:6" ht="25.5" customHeight="1">
      <c r="A16" s="1257"/>
      <c r="B16" s="1257"/>
      <c r="C16" s="1260"/>
      <c r="D16" s="1257"/>
      <c r="E16" s="1257"/>
      <c r="F16" s="1261"/>
    </row>
    <row r="17" spans="1:7" ht="25.5" customHeight="1">
      <c r="A17" s="1252"/>
      <c r="B17" s="1252"/>
      <c r="C17" s="1262"/>
      <c r="D17" s="1252"/>
      <c r="E17" s="1252"/>
      <c r="F17" s="1252"/>
    </row>
    <row r="18" spans="1:7" ht="17.25">
      <c r="A18" s="1255"/>
      <c r="B18" s="1255"/>
      <c r="C18" s="1263"/>
      <c r="D18" s="1255"/>
      <c r="E18" s="1255"/>
      <c r="F18" s="1255"/>
      <c r="G18" s="1264"/>
    </row>
    <row r="19" spans="1:7" ht="17.25">
      <c r="A19" s="1257"/>
      <c r="B19" s="1257"/>
      <c r="C19" s="1256"/>
      <c r="D19" s="1257"/>
      <c r="E19" s="1258"/>
      <c r="F19" s="1257"/>
      <c r="G19" s="1264"/>
    </row>
    <row r="20" spans="1:7" ht="17.25">
      <c r="A20" s="1257"/>
      <c r="B20" s="1257"/>
      <c r="C20" s="1259"/>
      <c r="D20" s="1257"/>
      <c r="E20" s="1257"/>
      <c r="F20" s="1257"/>
      <c r="G20" s="1264"/>
    </row>
    <row r="21" spans="1:7" ht="17.25">
      <c r="A21" s="1257"/>
      <c r="B21" s="1257"/>
      <c r="C21" s="1260"/>
      <c r="D21" s="1257"/>
      <c r="E21" s="1258"/>
      <c r="F21" s="1257"/>
      <c r="G21" s="1264"/>
    </row>
    <row r="22" spans="1:7" ht="17.25">
      <c r="A22" s="1257"/>
      <c r="B22" s="1257"/>
      <c r="C22" s="1259"/>
      <c r="D22" s="1257"/>
      <c r="E22" s="1257"/>
      <c r="F22" s="1257"/>
      <c r="G22" s="1264"/>
    </row>
    <row r="23" spans="1:7" ht="17.25">
      <c r="A23" s="1257"/>
      <c r="B23" s="1257"/>
      <c r="C23" s="1260"/>
      <c r="D23" s="1257"/>
      <c r="E23" s="1258"/>
      <c r="F23" s="1257"/>
      <c r="G23" s="1264"/>
    </row>
    <row r="24" spans="1:7" ht="17.25">
      <c r="A24" s="1257"/>
      <c r="B24" s="1257"/>
      <c r="C24" s="1259"/>
      <c r="D24" s="1257"/>
      <c r="E24" s="1257"/>
      <c r="F24" s="1257"/>
      <c r="G24" s="1264"/>
    </row>
    <row r="25" spans="1:7" ht="17.25">
      <c r="A25" s="1257"/>
      <c r="B25" s="1257"/>
      <c r="C25" s="1260"/>
      <c r="D25" s="1257"/>
      <c r="E25" s="1258"/>
      <c r="F25" s="1257"/>
      <c r="G25" s="1264"/>
    </row>
    <row r="26" spans="1:7" ht="17.25">
      <c r="A26" s="1257"/>
      <c r="B26" s="1257"/>
      <c r="C26" s="1259"/>
      <c r="D26" s="1257"/>
      <c r="E26" s="1257"/>
      <c r="F26" s="1257"/>
      <c r="G26" s="1264"/>
    </row>
    <row r="27" spans="1:7" ht="17.25">
      <c r="A27" s="1257"/>
      <c r="B27" s="1257"/>
      <c r="C27" s="1259"/>
      <c r="D27" s="1257"/>
      <c r="E27" s="1257"/>
      <c r="F27" s="1257"/>
      <c r="G27" s="1264"/>
    </row>
    <row r="28" spans="1:7" ht="17.25">
      <c r="A28" s="1257"/>
      <c r="B28" s="1257"/>
      <c r="C28" s="1260"/>
      <c r="D28" s="1257"/>
      <c r="E28" s="1257"/>
      <c r="F28" s="1261"/>
      <c r="G28" s="1264"/>
    </row>
    <row r="29" spans="1:7" ht="17.25">
      <c r="A29" s="1255"/>
      <c r="B29" s="1255"/>
      <c r="C29" s="1263"/>
      <c r="D29" s="1255"/>
      <c r="E29" s="1255"/>
      <c r="F29" s="1255"/>
      <c r="G29" s="1264"/>
    </row>
    <row r="30" spans="1:7" ht="17.25">
      <c r="A30" s="1255"/>
      <c r="B30" s="1255"/>
      <c r="C30" s="1263"/>
      <c r="D30" s="1255"/>
      <c r="E30" s="1255"/>
      <c r="F30" s="1255"/>
      <c r="G30" s="1264"/>
    </row>
    <row r="31" spans="1:7" ht="17.25">
      <c r="A31" s="1257"/>
      <c r="B31" s="1257"/>
      <c r="C31" s="1256"/>
      <c r="D31" s="1257"/>
      <c r="E31" s="1258"/>
      <c r="F31" s="1257"/>
      <c r="G31" s="1265"/>
    </row>
    <row r="32" spans="1:7" ht="17.25">
      <c r="A32" s="1257"/>
      <c r="B32" s="1257"/>
      <c r="C32" s="1259"/>
      <c r="D32" s="1257"/>
      <c r="E32" s="1257"/>
      <c r="F32" s="1257"/>
      <c r="G32" s="1264"/>
    </row>
    <row r="33" spans="1:7" ht="17.25">
      <c r="A33" s="1257"/>
      <c r="B33" s="1257"/>
      <c r="C33" s="1260"/>
      <c r="D33" s="1257"/>
      <c r="E33" s="1258"/>
      <c r="F33" s="1257"/>
      <c r="G33" s="1264"/>
    </row>
    <row r="34" spans="1:7" ht="17.25">
      <c r="A34" s="1257"/>
      <c r="B34" s="1257"/>
      <c r="C34" s="1259"/>
      <c r="D34" s="1257"/>
      <c r="E34" s="1257"/>
      <c r="F34" s="1257"/>
      <c r="G34" s="1264"/>
    </row>
    <row r="35" spans="1:7" ht="17.25">
      <c r="A35" s="1257"/>
      <c r="B35" s="1257"/>
      <c r="C35" s="1260"/>
      <c r="D35" s="1257"/>
      <c r="E35" s="1258"/>
      <c r="F35" s="1257"/>
      <c r="G35" s="1264"/>
    </row>
    <row r="36" spans="1:7" ht="17.25">
      <c r="A36" s="1257"/>
      <c r="B36" s="1257"/>
      <c r="C36" s="1259"/>
      <c r="D36" s="1257"/>
      <c r="E36" s="1257"/>
      <c r="F36" s="1257"/>
      <c r="G36" s="1264"/>
    </row>
    <row r="37" spans="1:7" ht="17.25">
      <c r="A37" s="1257"/>
      <c r="B37" s="1257"/>
      <c r="C37" s="1260"/>
      <c r="D37" s="1257"/>
      <c r="E37" s="1258"/>
      <c r="F37" s="1257"/>
      <c r="G37" s="1264"/>
    </row>
    <row r="38" spans="1:7" ht="17.25">
      <c r="A38" s="1257"/>
      <c r="B38" s="1257"/>
      <c r="C38" s="1259"/>
      <c r="D38" s="1257"/>
      <c r="E38" s="1257"/>
      <c r="F38" s="1257"/>
      <c r="G38" s="1264"/>
    </row>
    <row r="39" spans="1:7" s="1266" customFormat="1" ht="16.5" customHeight="1">
      <c r="A39" s="1257"/>
      <c r="B39" s="1257"/>
      <c r="C39" s="1259"/>
      <c r="D39" s="1257"/>
      <c r="E39" s="1257"/>
      <c r="F39" s="1257"/>
    </row>
    <row r="40" spans="1:7" s="1266" customFormat="1" ht="16.5" customHeight="1">
      <c r="A40" s="1257"/>
      <c r="B40" s="1257"/>
      <c r="C40" s="1260"/>
      <c r="D40" s="1257"/>
      <c r="E40" s="1257"/>
      <c r="F40" s="1261"/>
    </row>
    <row r="41" spans="1:7" s="1266" customFormat="1" ht="16.5" customHeight="1">
      <c r="A41" s="1255"/>
      <c r="B41" s="1255"/>
      <c r="C41" s="1263"/>
      <c r="D41" s="1255"/>
      <c r="E41" s="1255"/>
      <c r="F41" s="1255"/>
    </row>
    <row r="42" spans="1:7" s="1266" customFormat="1" ht="16.5" customHeight="1">
      <c r="A42" s="1255"/>
      <c r="B42" s="1255"/>
      <c r="C42" s="1263"/>
      <c r="D42" s="1255"/>
      <c r="E42" s="1255"/>
      <c r="F42" s="1255"/>
    </row>
    <row r="43" spans="1:7" s="1266" customFormat="1" ht="16.5" customHeight="1">
      <c r="A43" s="1257"/>
      <c r="B43" s="1257"/>
      <c r="C43" s="1256"/>
      <c r="D43" s="1257"/>
      <c r="E43" s="1258"/>
      <c r="F43" s="1257"/>
    </row>
    <row r="44" spans="1:7" s="1266" customFormat="1" ht="16.5" customHeight="1">
      <c r="A44" s="1257"/>
      <c r="B44" s="1257"/>
      <c r="C44" s="1259"/>
      <c r="D44" s="1257"/>
      <c r="E44" s="1257"/>
      <c r="F44" s="1257"/>
    </row>
    <row r="45" spans="1:7" s="1266" customFormat="1" ht="16.5" customHeight="1">
      <c r="A45" s="1257"/>
      <c r="B45" s="1257"/>
      <c r="C45" s="1260"/>
      <c r="D45" s="1257"/>
      <c r="E45" s="1258"/>
      <c r="F45" s="1257"/>
    </row>
    <row r="46" spans="1:7" s="1266" customFormat="1" ht="16.5" customHeight="1">
      <c r="A46" s="1257"/>
      <c r="B46" s="1257"/>
      <c r="C46" s="1259"/>
      <c r="D46" s="1257"/>
      <c r="E46" s="1257"/>
      <c r="F46" s="1257"/>
    </row>
    <row r="47" spans="1:7" s="1266" customFormat="1" ht="16.5" customHeight="1">
      <c r="A47" s="1257"/>
      <c r="B47" s="1257"/>
      <c r="C47" s="1260"/>
      <c r="D47" s="1257"/>
      <c r="E47" s="1258"/>
      <c r="F47" s="1257"/>
    </row>
    <row r="48" spans="1:7" s="1266" customFormat="1" ht="16.5" customHeight="1">
      <c r="A48" s="1257"/>
      <c r="B48" s="1257"/>
      <c r="C48" s="1259"/>
      <c r="D48" s="1257"/>
      <c r="E48" s="1257"/>
      <c r="F48" s="1257"/>
    </row>
    <row r="49" spans="1:6" s="1266" customFormat="1" ht="16.5" customHeight="1">
      <c r="A49" s="1257"/>
      <c r="B49" s="1257"/>
      <c r="C49" s="1260"/>
      <c r="D49" s="1257"/>
      <c r="E49" s="1258"/>
      <c r="F49" s="1257"/>
    </row>
    <row r="50" spans="1:6" s="1266" customFormat="1" ht="16.5" customHeight="1">
      <c r="A50" s="1257"/>
      <c r="B50" s="1257"/>
      <c r="C50" s="1259"/>
      <c r="D50" s="1257"/>
      <c r="E50" s="1257"/>
      <c r="F50" s="1257"/>
    </row>
    <row r="51" spans="1:6" s="1266" customFormat="1" ht="16.5" customHeight="1">
      <c r="A51" s="1257"/>
      <c r="B51" s="1257"/>
      <c r="C51" s="1259"/>
      <c r="D51" s="1257"/>
      <c r="E51" s="1257"/>
      <c r="F51" s="1257"/>
    </row>
    <row r="52" spans="1:6" s="1266" customFormat="1" ht="16.5" customHeight="1">
      <c r="A52" s="1257"/>
      <c r="B52" s="1257"/>
      <c r="C52" s="1260"/>
      <c r="D52" s="1257"/>
      <c r="E52" s="1257"/>
      <c r="F52" s="1261"/>
    </row>
    <row r="53" spans="1:6" s="1266" customFormat="1" ht="16.5" customHeight="1">
      <c r="A53" s="1255"/>
      <c r="B53" s="1255"/>
      <c r="C53" s="1263"/>
      <c r="D53" s="1255"/>
      <c r="E53" s="1255"/>
      <c r="F53" s="1255"/>
    </row>
    <row r="54" spans="1:6" s="1266" customFormat="1" ht="16.5" customHeight="1">
      <c r="A54" s="1257"/>
      <c r="B54" s="1257"/>
      <c r="C54" s="1256"/>
      <c r="D54" s="1257"/>
      <c r="E54" s="1258"/>
      <c r="F54" s="1257"/>
    </row>
    <row r="55" spans="1:6" s="1266" customFormat="1" ht="16.5" customHeight="1">
      <c r="A55" s="1257"/>
      <c r="B55" s="1257"/>
      <c r="C55" s="1259"/>
      <c r="D55" s="1257"/>
      <c r="E55" s="1257"/>
      <c r="F55" s="1257"/>
    </row>
    <row r="56" spans="1:6" s="1266" customFormat="1" ht="16.5" customHeight="1">
      <c r="A56" s="1257"/>
      <c r="B56" s="1257"/>
      <c r="C56" s="1260"/>
      <c r="D56" s="1257"/>
      <c r="E56" s="1258"/>
      <c r="F56" s="1257"/>
    </row>
    <row r="57" spans="1:6" s="1266" customFormat="1" ht="16.5" customHeight="1">
      <c r="A57" s="1257"/>
      <c r="B57" s="1257"/>
      <c r="C57" s="1259"/>
      <c r="D57" s="1257"/>
      <c r="E57" s="1257"/>
      <c r="F57" s="1257"/>
    </row>
    <row r="58" spans="1:6" s="1266" customFormat="1" ht="16.5" customHeight="1">
      <c r="A58" s="1257"/>
      <c r="B58" s="1257"/>
      <c r="C58" s="1260"/>
      <c r="D58" s="1257"/>
      <c r="E58" s="1258"/>
      <c r="F58" s="1257"/>
    </row>
    <row r="59" spans="1:6" s="1266" customFormat="1" ht="16.5" customHeight="1">
      <c r="A59" s="1257"/>
      <c r="B59" s="1257"/>
      <c r="C59" s="1259"/>
      <c r="D59" s="1257"/>
      <c r="E59" s="1257"/>
      <c r="F59" s="1257"/>
    </row>
    <row r="60" spans="1:6" s="1266" customFormat="1" ht="16.5" customHeight="1">
      <c r="A60" s="1257"/>
      <c r="B60" s="1257"/>
      <c r="C60" s="1260"/>
      <c r="D60" s="1257"/>
      <c r="E60" s="1258"/>
      <c r="F60" s="1257"/>
    </row>
    <row r="61" spans="1:6" s="1266" customFormat="1" ht="16.5" customHeight="1">
      <c r="A61" s="1257"/>
      <c r="B61" s="1257"/>
      <c r="C61" s="1259"/>
      <c r="D61" s="1257"/>
      <c r="E61" s="1257"/>
      <c r="F61" s="1257"/>
    </row>
    <row r="62" spans="1:6" s="1266" customFormat="1" ht="16.5" customHeight="1">
      <c r="A62" s="1257"/>
      <c r="B62" s="1257"/>
      <c r="C62" s="1259"/>
      <c r="D62" s="1257"/>
      <c r="E62" s="1257"/>
      <c r="F62" s="1257"/>
    </row>
    <row r="63" spans="1:6" s="1266" customFormat="1" ht="16.5" customHeight="1">
      <c r="A63" s="1257"/>
      <c r="B63" s="1257"/>
      <c r="C63" s="1260"/>
      <c r="D63" s="1257"/>
      <c r="E63" s="1257"/>
      <c r="F63" s="1261"/>
    </row>
    <row r="64" spans="1:6" s="1266" customFormat="1" ht="16.5" customHeight="1">
      <c r="A64" s="1255"/>
      <c r="B64" s="1255"/>
      <c r="C64" s="1263"/>
      <c r="D64" s="1255"/>
      <c r="E64" s="1255"/>
      <c r="F64" s="1255"/>
    </row>
    <row r="65" spans="1:6" s="1266" customFormat="1" ht="16.5" customHeight="1">
      <c r="A65" s="1257"/>
      <c r="B65" s="1257"/>
      <c r="C65" s="1256"/>
      <c r="D65" s="1257"/>
      <c r="E65" s="1258"/>
      <c r="F65" s="1257"/>
    </row>
    <row r="66" spans="1:6" s="1266" customFormat="1" ht="16.5" customHeight="1">
      <c r="A66" s="1257"/>
      <c r="B66" s="1257"/>
      <c r="C66" s="1259"/>
      <c r="D66" s="1257"/>
      <c r="E66" s="1257"/>
      <c r="F66" s="1257"/>
    </row>
    <row r="67" spans="1:6" s="1266" customFormat="1" ht="16.5" customHeight="1">
      <c r="A67" s="1257"/>
      <c r="B67" s="1257"/>
      <c r="C67" s="1260"/>
      <c r="D67" s="1257"/>
      <c r="E67" s="1258"/>
      <c r="F67" s="1257"/>
    </row>
    <row r="68" spans="1:6" s="1266" customFormat="1" ht="16.5" customHeight="1">
      <c r="A68" s="1257"/>
      <c r="B68" s="1257"/>
      <c r="C68" s="1259"/>
      <c r="D68" s="1257"/>
      <c r="E68" s="1257"/>
      <c r="F68" s="1257"/>
    </row>
    <row r="69" spans="1:6" s="1266" customFormat="1" ht="16.5" customHeight="1">
      <c r="A69" s="1257"/>
      <c r="B69" s="1257"/>
      <c r="C69" s="1260"/>
      <c r="D69" s="1257"/>
      <c r="E69" s="1258"/>
      <c r="F69" s="1257"/>
    </row>
    <row r="70" spans="1:6" s="1266" customFormat="1" ht="16.5" customHeight="1">
      <c r="A70" s="1257"/>
      <c r="B70" s="1257"/>
      <c r="C70" s="1259"/>
      <c r="D70" s="1257"/>
      <c r="E70" s="1257"/>
      <c r="F70" s="1257"/>
    </row>
    <row r="71" spans="1:6" s="1266" customFormat="1" ht="16.5" customHeight="1">
      <c r="A71" s="1257"/>
      <c r="B71" s="1257"/>
      <c r="C71" s="1260"/>
      <c r="D71" s="1257"/>
      <c r="E71" s="1258"/>
      <c r="F71" s="1257"/>
    </row>
    <row r="72" spans="1:6" s="1266" customFormat="1" ht="16.5" customHeight="1">
      <c r="A72" s="1257"/>
      <c r="B72" s="1257"/>
      <c r="C72" s="1259"/>
      <c r="D72" s="1257"/>
      <c r="E72" s="1257"/>
      <c r="F72" s="1257"/>
    </row>
    <row r="73" spans="1:6" s="1266" customFormat="1" ht="16.5" customHeight="1">
      <c r="A73" s="1257"/>
      <c r="B73" s="1257"/>
      <c r="C73" s="1259"/>
      <c r="D73" s="1257"/>
      <c r="E73" s="1257"/>
      <c r="F73" s="1257"/>
    </row>
    <row r="74" spans="1:6" s="1266" customFormat="1" ht="16.5" customHeight="1">
      <c r="A74" s="1257"/>
      <c r="B74" s="1257"/>
      <c r="C74" s="1260"/>
      <c r="D74" s="1257"/>
      <c r="E74" s="1257"/>
      <c r="F74" s="1261"/>
    </row>
    <row r="75" spans="1:6" s="1266" customFormat="1" ht="16.5" customHeight="1">
      <c r="A75" s="1255"/>
      <c r="B75" s="1255"/>
      <c r="C75" s="1263"/>
      <c r="D75" s="1255"/>
      <c r="E75" s="1255"/>
      <c r="F75" s="1255"/>
    </row>
    <row r="76" spans="1:6" s="1266" customFormat="1" ht="16.5" customHeight="1">
      <c r="A76" s="1257"/>
      <c r="B76" s="1257"/>
      <c r="C76" s="1256"/>
      <c r="D76" s="1257"/>
      <c r="E76" s="1258"/>
      <c r="F76" s="1257"/>
    </row>
    <row r="77" spans="1:6" s="1266" customFormat="1" ht="16.5" customHeight="1">
      <c r="A77" s="1257"/>
      <c r="B77" s="1257"/>
      <c r="C77" s="1259"/>
      <c r="D77" s="1257"/>
      <c r="E77" s="1257"/>
      <c r="F77" s="1257"/>
    </row>
    <row r="78" spans="1:6" s="1266" customFormat="1" ht="16.5" customHeight="1">
      <c r="A78" s="1257"/>
      <c r="B78" s="1257"/>
      <c r="C78" s="1260"/>
      <c r="D78" s="1257"/>
      <c r="E78" s="1258"/>
      <c r="F78" s="1257"/>
    </row>
    <row r="79" spans="1:6" s="1266" customFormat="1" ht="16.5" customHeight="1">
      <c r="A79" s="1257"/>
      <c r="B79" s="1257"/>
      <c r="C79" s="1259"/>
      <c r="D79" s="1257"/>
      <c r="E79" s="1257"/>
      <c r="F79" s="1257"/>
    </row>
    <row r="80" spans="1:6" s="1266" customFormat="1" ht="16.5" customHeight="1">
      <c r="A80" s="1257"/>
      <c r="B80" s="1257"/>
      <c r="C80" s="1260"/>
      <c r="D80" s="1257"/>
      <c r="E80" s="1258"/>
      <c r="F80" s="1257"/>
    </row>
    <row r="81" spans="1:6" s="1266" customFormat="1" ht="16.5" customHeight="1">
      <c r="A81" s="1257"/>
      <c r="B81" s="1257"/>
      <c r="C81" s="1259"/>
      <c r="D81" s="1257"/>
      <c r="E81" s="1257"/>
      <c r="F81" s="1257"/>
    </row>
    <row r="82" spans="1:6" s="1266" customFormat="1" ht="16.5" customHeight="1">
      <c r="A82" s="1257"/>
      <c r="B82" s="1257"/>
      <c r="C82" s="1260"/>
      <c r="D82" s="1257"/>
      <c r="E82" s="1258"/>
      <c r="F82" s="1257"/>
    </row>
    <row r="83" spans="1:6" s="1266" customFormat="1" ht="16.5" customHeight="1">
      <c r="A83" s="1257"/>
      <c r="B83" s="1257"/>
      <c r="C83" s="1259"/>
      <c r="D83" s="1257"/>
      <c r="E83" s="1257"/>
      <c r="F83" s="1257"/>
    </row>
    <row r="84" spans="1:6" s="1266" customFormat="1" ht="16.5" customHeight="1">
      <c r="A84" s="1257"/>
      <c r="B84" s="1257"/>
      <c r="C84" s="1259"/>
      <c r="D84" s="1257"/>
      <c r="E84" s="1257"/>
      <c r="F84" s="1257"/>
    </row>
    <row r="85" spans="1:6" s="1266" customFormat="1" ht="16.5" customHeight="1">
      <c r="A85" s="1257"/>
      <c r="B85" s="1257"/>
      <c r="C85" s="1260"/>
      <c r="D85" s="1257"/>
      <c r="E85" s="1257"/>
      <c r="F85" s="1261"/>
    </row>
    <row r="86" spans="1:6" s="1266" customFormat="1" ht="16.5" customHeight="1">
      <c r="A86" s="1255"/>
      <c r="B86" s="1255"/>
      <c r="C86" s="1263"/>
      <c r="D86" s="1255"/>
      <c r="E86" s="1255"/>
      <c r="F86" s="1255"/>
    </row>
    <row r="87" spans="1:6" s="1266" customFormat="1" ht="16.5" customHeight="1">
      <c r="A87" s="1257"/>
      <c r="B87" s="1257"/>
      <c r="C87" s="1256"/>
      <c r="D87" s="1257"/>
      <c r="E87" s="1258"/>
      <c r="F87" s="1257"/>
    </row>
    <row r="88" spans="1:6" s="1266" customFormat="1" ht="16.5" customHeight="1">
      <c r="A88" s="1257"/>
      <c r="B88" s="1257"/>
      <c r="C88" s="1259"/>
      <c r="D88" s="1257"/>
      <c r="E88" s="1257"/>
      <c r="F88" s="1257"/>
    </row>
    <row r="89" spans="1:6" s="1266" customFormat="1" ht="15.75" customHeight="1">
      <c r="A89" s="1257"/>
      <c r="B89" s="1257"/>
      <c r="C89" s="1260"/>
      <c r="D89" s="1257"/>
      <c r="E89" s="1258"/>
      <c r="F89" s="1257"/>
    </row>
    <row r="90" spans="1:6" s="1266" customFormat="1" ht="15.75" customHeight="1">
      <c r="A90" s="1257"/>
      <c r="B90" s="1257"/>
      <c r="C90" s="1259"/>
      <c r="D90" s="1257"/>
      <c r="E90" s="1257"/>
      <c r="F90" s="1257"/>
    </row>
    <row r="91" spans="1:6" s="1266" customFormat="1" ht="15.75" customHeight="1">
      <c r="A91" s="1257"/>
      <c r="B91" s="1257"/>
      <c r="C91" s="1260"/>
      <c r="D91" s="1257"/>
      <c r="E91" s="1258"/>
      <c r="F91" s="1257"/>
    </row>
    <row r="92" spans="1:6" s="1266" customFormat="1" ht="16.5" customHeight="1">
      <c r="A92" s="1257"/>
      <c r="B92" s="1257"/>
      <c r="C92" s="1259"/>
      <c r="D92" s="1257"/>
      <c r="E92" s="1257"/>
      <c r="F92" s="1257"/>
    </row>
    <row r="93" spans="1:6" s="1266" customFormat="1" ht="16.5" customHeight="1">
      <c r="A93" s="1257"/>
      <c r="B93" s="1257"/>
      <c r="C93" s="1260"/>
      <c r="D93" s="1257"/>
      <c r="E93" s="1258"/>
      <c r="F93" s="1257"/>
    </row>
    <row r="94" spans="1:6" s="1266" customFormat="1" ht="16.5" customHeight="1">
      <c r="A94" s="1257"/>
      <c r="B94" s="1257"/>
      <c r="C94" s="1259"/>
      <c r="D94" s="1257"/>
      <c r="E94" s="1257"/>
      <c r="F94" s="1257"/>
    </row>
    <row r="95" spans="1:6" s="1266" customFormat="1" ht="16.5" customHeight="1">
      <c r="A95" s="1257"/>
      <c r="B95" s="1257"/>
      <c r="C95" s="1259"/>
      <c r="D95" s="1257"/>
      <c r="E95" s="1257"/>
      <c r="F95" s="1257"/>
    </row>
    <row r="96" spans="1:6" s="1266" customFormat="1" ht="16.5" customHeight="1">
      <c r="A96" s="1257"/>
      <c r="B96" s="1257"/>
      <c r="C96" s="1260"/>
      <c r="D96" s="1257"/>
      <c r="E96" s="1257"/>
      <c r="F96" s="1261"/>
    </row>
    <row r="97" spans="1:6" s="1266" customFormat="1" ht="16.5" customHeight="1">
      <c r="A97" s="1255"/>
      <c r="B97" s="1255"/>
      <c r="C97" s="1263"/>
      <c r="D97" s="1255"/>
      <c r="E97" s="1255"/>
      <c r="F97" s="1255"/>
    </row>
    <row r="98" spans="1:6" s="1266" customFormat="1" ht="16.5" customHeight="1">
      <c r="A98" s="1257"/>
      <c r="B98" s="1257"/>
      <c r="C98" s="1256"/>
      <c r="D98" s="1257"/>
      <c r="E98" s="1258"/>
      <c r="F98" s="1257"/>
    </row>
    <row r="99" spans="1:6" s="1266" customFormat="1" ht="16.5" customHeight="1">
      <c r="A99" s="1257"/>
      <c r="B99" s="1257"/>
      <c r="C99" s="1259"/>
      <c r="D99" s="1257"/>
      <c r="E99" s="1257"/>
      <c r="F99" s="1257"/>
    </row>
    <row r="100" spans="1:6" s="1266" customFormat="1" ht="16.5" customHeight="1">
      <c r="A100" s="1257"/>
      <c r="B100" s="1257"/>
      <c r="C100" s="1260"/>
      <c r="D100" s="1257"/>
      <c r="E100" s="1258"/>
      <c r="F100" s="1257"/>
    </row>
    <row r="101" spans="1:6" s="1266" customFormat="1" ht="23.25" customHeight="1">
      <c r="A101" s="1257"/>
      <c r="B101" s="1257"/>
      <c r="C101" s="1259"/>
      <c r="D101" s="1257"/>
      <c r="E101" s="1257"/>
      <c r="F101" s="1257"/>
    </row>
    <row r="102" spans="1:6" s="1266" customFormat="1" ht="13.5" customHeight="1">
      <c r="A102" s="1257"/>
      <c r="B102" s="1257"/>
      <c r="C102" s="1260"/>
      <c r="D102" s="1257"/>
      <c r="E102" s="1258"/>
      <c r="F102" s="1257"/>
    </row>
    <row r="103" spans="1:6" s="1266" customFormat="1" ht="16.5" customHeight="1">
      <c r="A103" s="1257"/>
      <c r="B103" s="1257"/>
      <c r="C103" s="1259"/>
      <c r="D103" s="1257"/>
      <c r="E103" s="1257"/>
      <c r="F103" s="1257"/>
    </row>
    <row r="104" spans="1:6" s="1266" customFormat="1" ht="16.5" customHeight="1">
      <c r="A104" s="1257"/>
      <c r="B104" s="1257"/>
      <c r="C104" s="1260"/>
      <c r="D104" s="1257"/>
      <c r="E104" s="1258"/>
      <c r="F104" s="1257"/>
    </row>
    <row r="105" spans="1:6" s="1266" customFormat="1" ht="16.5" customHeight="1">
      <c r="A105" s="1257"/>
      <c r="B105" s="1257"/>
      <c r="C105" s="1259"/>
      <c r="D105" s="1257"/>
      <c r="E105" s="1257"/>
      <c r="F105" s="1257"/>
    </row>
    <row r="106" spans="1:6" s="1266" customFormat="1" ht="16.5" customHeight="1">
      <c r="A106" s="1257"/>
      <c r="B106" s="1257"/>
      <c r="C106" s="1259"/>
      <c r="D106" s="1257"/>
      <c r="E106" s="1257"/>
      <c r="F106" s="1257"/>
    </row>
    <row r="107" spans="1:6" s="1266" customFormat="1" ht="35.25" customHeight="1">
      <c r="A107" s="1257"/>
      <c r="B107" s="1257"/>
      <c r="C107" s="1260"/>
      <c r="D107" s="1257"/>
      <c r="E107" s="1257"/>
      <c r="F107" s="1261"/>
    </row>
    <row r="108" spans="1:6" s="1266" customFormat="1" ht="15.75" customHeight="1">
      <c r="A108" s="1255"/>
      <c r="B108" s="1255"/>
      <c r="C108" s="1263"/>
      <c r="D108" s="1255"/>
      <c r="E108" s="1255"/>
      <c r="F108" s="1255"/>
    </row>
    <row r="109" spans="1:6" s="1266" customFormat="1" ht="15.75" customHeight="1">
      <c r="A109" s="1255"/>
      <c r="B109" s="1255"/>
      <c r="C109" s="1263"/>
      <c r="D109" s="1255"/>
      <c r="E109" s="1255"/>
      <c r="F109" s="1255"/>
    </row>
    <row r="110" spans="1:6" s="1266" customFormat="1" ht="15.75" customHeight="1">
      <c r="A110" s="1255"/>
      <c r="B110" s="1255"/>
      <c r="C110" s="1263"/>
      <c r="D110" s="1255"/>
      <c r="E110" s="1255"/>
      <c r="F110" s="1255"/>
    </row>
    <row r="111" spans="1:6" s="1266" customFormat="1" ht="15.75" customHeight="1">
      <c r="A111" s="1257"/>
      <c r="B111" s="1257"/>
      <c r="C111" s="1256"/>
      <c r="D111" s="1257"/>
      <c r="E111" s="1258"/>
      <c r="F111" s="1257"/>
    </row>
    <row r="112" spans="1:6" s="1266" customFormat="1" ht="15.75" customHeight="1">
      <c r="A112" s="1257"/>
      <c r="B112" s="1257"/>
      <c r="C112" s="1259"/>
      <c r="D112" s="1257"/>
      <c r="E112" s="1257"/>
      <c r="F112" s="1257"/>
    </row>
    <row r="113" spans="1:6" s="1266" customFormat="1" ht="19.5" customHeight="1">
      <c r="A113" s="1257"/>
      <c r="B113" s="1257"/>
      <c r="C113" s="1260"/>
      <c r="D113" s="1257"/>
      <c r="E113" s="1258"/>
      <c r="F113" s="1257"/>
    </row>
    <row r="114" spans="1:6" s="1266" customFormat="1" ht="15.75" customHeight="1">
      <c r="A114" s="1257"/>
      <c r="B114" s="1257"/>
      <c r="C114" s="1259"/>
      <c r="D114" s="1257"/>
      <c r="E114" s="1257"/>
      <c r="F114" s="1257"/>
    </row>
    <row r="115" spans="1:6" s="1266" customFormat="1" ht="15.75" customHeight="1">
      <c r="A115" s="1257"/>
      <c r="B115" s="1257"/>
      <c r="C115" s="1260"/>
      <c r="D115" s="1257"/>
      <c r="E115" s="1258"/>
      <c r="F115" s="1257"/>
    </row>
    <row r="116" spans="1:6" s="1266" customFormat="1" ht="15.75" customHeight="1">
      <c r="A116" s="1257"/>
      <c r="B116" s="1257"/>
      <c r="C116" s="1259"/>
      <c r="D116" s="1257"/>
      <c r="E116" s="1257"/>
      <c r="F116" s="1257"/>
    </row>
    <row r="117" spans="1:6" s="1266" customFormat="1" ht="15.75" customHeight="1">
      <c r="A117" s="1257"/>
      <c r="B117" s="1257"/>
      <c r="C117" s="1260"/>
      <c r="D117" s="1257"/>
      <c r="E117" s="1258"/>
      <c r="F117" s="1257"/>
    </row>
    <row r="118" spans="1:6" s="1266" customFormat="1" ht="15.75" customHeight="1">
      <c r="A118" s="1257"/>
      <c r="B118" s="1257"/>
      <c r="C118" s="1259"/>
      <c r="D118" s="1257"/>
      <c r="E118" s="1257"/>
      <c r="F118" s="1257"/>
    </row>
    <row r="119" spans="1:6" s="1266" customFormat="1" ht="15.75" customHeight="1">
      <c r="A119" s="1257"/>
      <c r="B119" s="1257"/>
      <c r="C119" s="1259"/>
      <c r="D119" s="1257"/>
      <c r="E119" s="1257"/>
      <c r="F119" s="1257"/>
    </row>
    <row r="120" spans="1:6" s="1266" customFormat="1" ht="15.75" customHeight="1">
      <c r="A120" s="1257"/>
      <c r="B120" s="1257"/>
      <c r="C120" s="1260"/>
      <c r="D120" s="1257"/>
      <c r="E120" s="1257"/>
      <c r="F120" s="1261"/>
    </row>
    <row r="121" spans="1:6" s="1266" customFormat="1" ht="19.5" customHeight="1">
      <c r="A121" s="1255"/>
      <c r="B121" s="1255"/>
      <c r="C121" s="1263"/>
      <c r="D121" s="1255"/>
      <c r="E121" s="1255"/>
      <c r="F121" s="1255"/>
    </row>
    <row r="122" spans="1:6" s="1266" customFormat="1" ht="15.75" customHeight="1">
      <c r="A122" s="1255"/>
      <c r="B122" s="1255"/>
      <c r="C122" s="1263"/>
      <c r="D122" s="1255"/>
      <c r="E122" s="1255"/>
      <c r="F122" s="1255"/>
    </row>
    <row r="123" spans="1:6" s="1266" customFormat="1" ht="15.75" customHeight="1">
      <c r="A123" s="1257"/>
      <c r="B123" s="1257"/>
      <c r="C123" s="1256"/>
      <c r="D123" s="1257"/>
      <c r="E123" s="1258"/>
      <c r="F123" s="1257"/>
    </row>
    <row r="124" spans="1:6" s="1266" customFormat="1" ht="15.75" customHeight="1">
      <c r="A124" s="1257"/>
      <c r="B124" s="1257"/>
      <c r="C124" s="1259"/>
      <c r="D124" s="1257"/>
      <c r="E124" s="1257"/>
      <c r="F124" s="1257"/>
    </row>
    <row r="125" spans="1:6" s="1266" customFormat="1" ht="15.75" customHeight="1">
      <c r="A125" s="1257"/>
      <c r="B125" s="1257"/>
      <c r="C125" s="1260"/>
      <c r="D125" s="1257"/>
      <c r="E125" s="1258"/>
      <c r="F125" s="1257"/>
    </row>
    <row r="126" spans="1:6" s="1266" customFormat="1" ht="15.75" customHeight="1">
      <c r="A126" s="1257"/>
      <c r="B126" s="1257"/>
      <c r="C126" s="1259"/>
      <c r="D126" s="1257"/>
      <c r="E126" s="1257"/>
      <c r="F126" s="1257"/>
    </row>
    <row r="127" spans="1:6" s="1266" customFormat="1" ht="15.75" customHeight="1">
      <c r="A127" s="1257"/>
      <c r="B127" s="1257"/>
      <c r="C127" s="1260"/>
      <c r="D127" s="1257"/>
      <c r="E127" s="1258"/>
      <c r="F127" s="1257"/>
    </row>
    <row r="128" spans="1:6" s="1266" customFormat="1" ht="15.75" customHeight="1">
      <c r="A128" s="1257"/>
      <c r="B128" s="1257"/>
      <c r="C128" s="1259"/>
      <c r="D128" s="1257"/>
      <c r="E128" s="1257"/>
      <c r="F128" s="1257"/>
    </row>
    <row r="129" spans="1:6" s="1266" customFormat="1" ht="15.75" customHeight="1">
      <c r="A129" s="1257"/>
      <c r="B129" s="1257"/>
      <c r="C129" s="1260"/>
      <c r="D129" s="1257"/>
      <c r="E129" s="1258"/>
      <c r="F129" s="1257"/>
    </row>
    <row r="130" spans="1:6" s="1266" customFormat="1" ht="15.75" customHeight="1">
      <c r="A130" s="1257"/>
      <c r="B130" s="1257"/>
      <c r="C130" s="1259"/>
      <c r="D130" s="1257"/>
      <c r="E130" s="1257"/>
      <c r="F130" s="1257"/>
    </row>
    <row r="131" spans="1:6" s="1266" customFormat="1" ht="15.75" customHeight="1">
      <c r="A131" s="1257"/>
      <c r="B131" s="1257"/>
      <c r="C131" s="1259"/>
      <c r="D131" s="1257"/>
      <c r="E131" s="1257"/>
      <c r="F131" s="1257"/>
    </row>
    <row r="132" spans="1:6" s="1266" customFormat="1" ht="27" customHeight="1">
      <c r="A132" s="1257"/>
      <c r="B132" s="1257"/>
      <c r="C132" s="1260"/>
      <c r="D132" s="1257"/>
      <c r="E132" s="1257"/>
      <c r="F132" s="1261"/>
    </row>
    <row r="133" spans="1:6" s="1266" customFormat="1" ht="45.75" customHeight="1">
      <c r="A133" s="1252"/>
      <c r="B133" s="1252"/>
      <c r="C133" s="1256"/>
      <c r="D133" s="1252"/>
      <c r="E133" s="1252"/>
      <c r="F133" s="1252"/>
    </row>
    <row r="134" spans="1:6" s="1266" customFormat="1" ht="15.75" customHeight="1">
      <c r="A134" s="1252"/>
      <c r="B134" s="1252"/>
      <c r="C134" s="1262"/>
      <c r="D134" s="1252"/>
      <c r="E134" s="1252"/>
      <c r="F134" s="1252"/>
    </row>
    <row r="135" spans="1:6" s="1266" customFormat="1" ht="15.75" customHeight="1">
      <c r="A135" s="1257"/>
      <c r="B135" s="1257"/>
      <c r="C135" s="1256"/>
      <c r="D135" s="1257"/>
      <c r="E135" s="1258"/>
      <c r="F135" s="1257"/>
    </row>
    <row r="136" spans="1:6" s="1266" customFormat="1" ht="15.75" customHeight="1">
      <c r="A136" s="1257"/>
      <c r="B136" s="1257"/>
      <c r="C136" s="1259"/>
      <c r="D136" s="1257"/>
      <c r="E136" s="1257"/>
      <c r="F136" s="1257"/>
    </row>
    <row r="137" spans="1:6" s="1266" customFormat="1" ht="15.75" customHeight="1">
      <c r="A137" s="1257"/>
      <c r="B137" s="1257"/>
      <c r="C137" s="1260"/>
      <c r="D137" s="1257"/>
      <c r="E137" s="1258"/>
      <c r="F137" s="1257"/>
    </row>
    <row r="138" spans="1:6" s="1266" customFormat="1" ht="15.75" customHeight="1">
      <c r="A138" s="1257"/>
      <c r="B138" s="1257"/>
      <c r="C138" s="1259"/>
      <c r="D138" s="1257"/>
      <c r="E138" s="1257"/>
      <c r="F138" s="1257"/>
    </row>
    <row r="139" spans="1:6" s="1266" customFormat="1" ht="15.75" customHeight="1">
      <c r="A139" s="1257"/>
      <c r="B139" s="1257"/>
      <c r="C139" s="1259"/>
      <c r="D139" s="1257"/>
      <c r="E139" s="1257"/>
      <c r="F139" s="1257"/>
    </row>
    <row r="140" spans="1:6" s="1266" customFormat="1" ht="15.75" customHeight="1">
      <c r="A140" s="1257"/>
      <c r="B140" s="1257"/>
      <c r="C140" s="1260"/>
      <c r="D140" s="1257"/>
      <c r="E140" s="1257"/>
      <c r="F140" s="1261"/>
    </row>
    <row r="141" spans="1:6" s="1266" customFormat="1" ht="15.75" customHeight="1">
      <c r="A141" s="1252"/>
      <c r="B141" s="1252"/>
      <c r="C141" s="1262"/>
      <c r="D141" s="1252"/>
      <c r="E141" s="1252"/>
      <c r="F141" s="1252"/>
    </row>
    <row r="142" spans="1:6" s="1266" customFormat="1" ht="15.75" customHeight="1">
      <c r="A142" s="1255"/>
      <c r="B142" s="1255"/>
      <c r="C142" s="1263"/>
      <c r="D142" s="1255"/>
      <c r="E142" s="1255"/>
      <c r="F142" s="1255"/>
    </row>
    <row r="143" spans="1:6" s="1266" customFormat="1" ht="15.75" customHeight="1">
      <c r="A143" s="1257"/>
      <c r="B143" s="1257"/>
      <c r="C143" s="1256"/>
      <c r="D143" s="1257"/>
      <c r="E143" s="1258"/>
      <c r="F143" s="1257"/>
    </row>
    <row r="144" spans="1:6" s="1266" customFormat="1" ht="15.75" customHeight="1">
      <c r="A144" s="1257"/>
      <c r="B144" s="1257"/>
      <c r="C144" s="1259"/>
      <c r="D144" s="1257"/>
      <c r="E144" s="1257"/>
      <c r="F144" s="1257"/>
    </row>
    <row r="145" spans="1:6" s="1266" customFormat="1" ht="15.75" customHeight="1">
      <c r="A145" s="1257"/>
      <c r="B145" s="1257"/>
      <c r="C145" s="1260"/>
      <c r="D145" s="1257"/>
      <c r="E145" s="1258"/>
      <c r="F145" s="1257"/>
    </row>
    <row r="146" spans="1:6" s="1266" customFormat="1" ht="15.75" customHeight="1">
      <c r="A146" s="1257"/>
      <c r="B146" s="1257"/>
      <c r="C146" s="1259"/>
      <c r="D146" s="1257"/>
      <c r="E146" s="1257"/>
      <c r="F146" s="1257"/>
    </row>
    <row r="147" spans="1:6" s="1266" customFormat="1" ht="15.75" customHeight="1">
      <c r="A147" s="1257"/>
      <c r="B147" s="1257"/>
      <c r="C147" s="1259"/>
      <c r="D147" s="1257"/>
      <c r="E147" s="1257"/>
      <c r="F147" s="1257"/>
    </row>
    <row r="148" spans="1:6" s="1266" customFormat="1" ht="15.75" customHeight="1">
      <c r="A148" s="1257"/>
      <c r="B148" s="1257"/>
      <c r="C148" s="1260"/>
      <c r="D148" s="1257"/>
      <c r="E148" s="1257"/>
      <c r="F148" s="1261"/>
    </row>
    <row r="149" spans="1:6" s="1266" customFormat="1" ht="15.75" customHeight="1">
      <c r="A149" s="1255"/>
      <c r="B149" s="1255"/>
      <c r="C149" s="1263"/>
      <c r="D149" s="1255"/>
      <c r="E149" s="1255"/>
      <c r="F149" s="1255"/>
    </row>
    <row r="150" spans="1:6" s="1266" customFormat="1" ht="15.75" customHeight="1">
      <c r="A150" s="1255"/>
      <c r="B150" s="1255"/>
      <c r="C150" s="1263"/>
      <c r="D150" s="1255"/>
      <c r="E150" s="1255"/>
      <c r="F150" s="1255"/>
    </row>
    <row r="151" spans="1:6" s="1266" customFormat="1" ht="15.75" customHeight="1">
      <c r="A151" s="1257"/>
      <c r="B151" s="1257"/>
      <c r="C151" s="1256"/>
      <c r="D151" s="1257"/>
      <c r="E151" s="1258"/>
      <c r="F151" s="1257"/>
    </row>
    <row r="152" spans="1:6" s="1266" customFormat="1" ht="15.75" customHeight="1">
      <c r="A152" s="1257"/>
      <c r="B152" s="1257"/>
      <c r="C152" s="1259"/>
      <c r="D152" s="1257"/>
      <c r="E152" s="1257"/>
      <c r="F152" s="1257"/>
    </row>
    <row r="153" spans="1:6" s="1266" customFormat="1" ht="15.75" customHeight="1">
      <c r="A153" s="1257"/>
      <c r="B153" s="1257"/>
      <c r="C153" s="1260"/>
      <c r="D153" s="1257"/>
      <c r="E153" s="1258"/>
      <c r="F153" s="1257"/>
    </row>
    <row r="154" spans="1:6" s="1266" customFormat="1" ht="15.75" customHeight="1">
      <c r="A154" s="1257"/>
      <c r="B154" s="1257"/>
      <c r="C154" s="1259"/>
      <c r="D154" s="1257"/>
      <c r="E154" s="1257"/>
      <c r="F154" s="1257"/>
    </row>
    <row r="155" spans="1:6" s="1266" customFormat="1" ht="15.75" customHeight="1">
      <c r="A155" s="1257"/>
      <c r="B155" s="1257"/>
      <c r="C155" s="1259"/>
      <c r="D155" s="1257"/>
      <c r="E155" s="1257"/>
      <c r="F155" s="1257"/>
    </row>
    <row r="156" spans="1:6" s="1266" customFormat="1" ht="15.75" customHeight="1">
      <c r="A156" s="1257"/>
      <c r="B156" s="1257"/>
      <c r="C156" s="1260"/>
      <c r="D156" s="1257"/>
      <c r="E156" s="1257"/>
      <c r="F156" s="1261"/>
    </row>
    <row r="157" spans="1:6" s="1266" customFormat="1" ht="15.75" customHeight="1">
      <c r="A157" s="1255"/>
      <c r="B157" s="1255"/>
      <c r="C157" s="1263"/>
      <c r="D157" s="1255"/>
      <c r="E157" s="1255"/>
      <c r="F157" s="1255"/>
    </row>
    <row r="158" spans="1:6" s="1266" customFormat="1" ht="15.75" customHeight="1">
      <c r="A158" s="1255"/>
      <c r="B158" s="1255"/>
      <c r="C158" s="1263"/>
      <c r="D158" s="1255"/>
      <c r="E158" s="1255"/>
      <c r="F158" s="1255"/>
    </row>
    <row r="159" spans="1:6" s="1266" customFormat="1" ht="15.75" customHeight="1">
      <c r="A159" s="1257"/>
      <c r="B159" s="1257"/>
      <c r="C159" s="1256"/>
      <c r="D159" s="1257"/>
      <c r="E159" s="1258"/>
      <c r="F159" s="1257"/>
    </row>
    <row r="160" spans="1:6" s="1266" customFormat="1" ht="15.75" customHeight="1">
      <c r="A160" s="1257"/>
      <c r="B160" s="1257"/>
      <c r="C160" s="1259"/>
      <c r="D160" s="1257"/>
      <c r="E160" s="1257"/>
      <c r="F160" s="1257"/>
    </row>
    <row r="161" spans="1:6" s="1266" customFormat="1" ht="15.75" customHeight="1">
      <c r="A161" s="1257"/>
      <c r="B161" s="1257"/>
      <c r="C161" s="1260"/>
      <c r="D161" s="1257"/>
      <c r="E161" s="1258"/>
      <c r="F161" s="1257"/>
    </row>
    <row r="162" spans="1:6" s="1266" customFormat="1" ht="15.75" customHeight="1">
      <c r="A162" s="1257"/>
      <c r="B162" s="1257"/>
      <c r="C162" s="1259"/>
      <c r="D162" s="1257"/>
      <c r="E162" s="1257"/>
      <c r="F162" s="1257"/>
    </row>
    <row r="163" spans="1:6" s="1266" customFormat="1" ht="15.75" customHeight="1">
      <c r="A163" s="1257"/>
      <c r="B163" s="1257"/>
      <c r="C163" s="1259"/>
      <c r="D163" s="1257"/>
      <c r="E163" s="1257"/>
      <c r="F163" s="1257"/>
    </row>
    <row r="164" spans="1:6" s="1266" customFormat="1" ht="15.75" customHeight="1">
      <c r="A164" s="1257"/>
      <c r="B164" s="1257"/>
      <c r="C164" s="1260"/>
      <c r="D164" s="1257"/>
      <c r="E164" s="1257"/>
      <c r="F164" s="1261"/>
    </row>
    <row r="165" spans="1:6" s="1266" customFormat="1" ht="15.75" customHeight="1">
      <c r="A165" s="1255"/>
      <c r="B165" s="1255"/>
      <c r="C165" s="1263"/>
      <c r="D165" s="1255"/>
      <c r="E165" s="1255"/>
      <c r="F165" s="1255"/>
    </row>
    <row r="166" spans="1:6" s="1266" customFormat="1" ht="15.75" customHeight="1">
      <c r="A166" s="1257"/>
      <c r="B166" s="1257"/>
      <c r="C166" s="1256"/>
      <c r="D166" s="1257"/>
      <c r="E166" s="1258"/>
      <c r="F166" s="1257"/>
    </row>
    <row r="167" spans="1:6" s="1266" customFormat="1" ht="15.75" customHeight="1">
      <c r="A167" s="1257"/>
      <c r="B167" s="1257"/>
      <c r="C167" s="1259"/>
      <c r="D167" s="1257"/>
      <c r="E167" s="1257"/>
      <c r="F167" s="1257"/>
    </row>
    <row r="168" spans="1:6" s="1266" customFormat="1" ht="15.75" customHeight="1">
      <c r="A168" s="1257"/>
      <c r="B168" s="1257"/>
      <c r="C168" s="1260"/>
      <c r="D168" s="1257"/>
      <c r="E168" s="1258"/>
      <c r="F168" s="1257"/>
    </row>
    <row r="169" spans="1:6" s="1266" customFormat="1" ht="15.75" customHeight="1">
      <c r="A169" s="1257"/>
      <c r="B169" s="1257"/>
      <c r="C169" s="1259"/>
      <c r="D169" s="1257"/>
      <c r="E169" s="1257"/>
      <c r="F169" s="1257"/>
    </row>
    <row r="170" spans="1:6" s="1266" customFormat="1" ht="15.75" customHeight="1">
      <c r="A170" s="1257"/>
      <c r="B170" s="1257"/>
      <c r="C170" s="1259"/>
      <c r="D170" s="1257"/>
      <c r="E170" s="1257"/>
      <c r="F170" s="1257"/>
    </row>
    <row r="171" spans="1:6" s="1266" customFormat="1" ht="15.75" customHeight="1">
      <c r="A171" s="1257"/>
      <c r="B171" s="1257"/>
      <c r="C171" s="1260"/>
      <c r="D171" s="1257"/>
      <c r="E171" s="1257"/>
      <c r="F171" s="1261"/>
    </row>
    <row r="172" spans="1:6" s="1266" customFormat="1" ht="15.75" customHeight="1">
      <c r="A172" s="1255"/>
      <c r="B172" s="1255"/>
      <c r="C172" s="1263"/>
      <c r="D172" s="1255"/>
      <c r="E172" s="1255"/>
      <c r="F172" s="1255"/>
    </row>
    <row r="173" spans="1:6" s="1266" customFormat="1" ht="15.75" customHeight="1">
      <c r="A173" s="1257"/>
      <c r="B173" s="1257"/>
      <c r="C173" s="1256"/>
      <c r="D173" s="1257"/>
      <c r="E173" s="1258"/>
      <c r="F173" s="1257"/>
    </row>
    <row r="174" spans="1:6" s="1266" customFormat="1" ht="15.75" customHeight="1">
      <c r="A174" s="1257"/>
      <c r="B174" s="1257"/>
      <c r="C174" s="1259"/>
      <c r="D174" s="1257"/>
      <c r="E174" s="1257"/>
      <c r="F174" s="1257"/>
    </row>
    <row r="175" spans="1:6" s="1266" customFormat="1" ht="15.75" customHeight="1">
      <c r="A175" s="1257"/>
      <c r="B175" s="1257"/>
      <c r="C175" s="1260"/>
      <c r="D175" s="1257"/>
      <c r="E175" s="1258"/>
      <c r="F175" s="1257"/>
    </row>
    <row r="176" spans="1:6" s="1266" customFormat="1" ht="15.75" customHeight="1">
      <c r="A176" s="1257"/>
      <c r="B176" s="1257"/>
      <c r="C176" s="1259"/>
      <c r="D176" s="1257"/>
      <c r="E176" s="1257"/>
      <c r="F176" s="1257"/>
    </row>
    <row r="177" spans="1:6" s="1266" customFormat="1" ht="15.75" customHeight="1">
      <c r="A177" s="1257"/>
      <c r="B177" s="1257"/>
      <c r="C177" s="1259"/>
      <c r="D177" s="1257"/>
      <c r="E177" s="1257"/>
      <c r="F177" s="1257"/>
    </row>
    <row r="178" spans="1:6" s="1266" customFormat="1" ht="15.75" customHeight="1">
      <c r="A178" s="1257"/>
      <c r="B178" s="1257"/>
      <c r="C178" s="1260"/>
      <c r="D178" s="1257"/>
      <c r="E178" s="1257"/>
      <c r="F178" s="1261"/>
    </row>
    <row r="179" spans="1:6" s="1266" customFormat="1" ht="16.5" customHeight="1">
      <c r="A179" s="1255"/>
      <c r="B179" s="1255"/>
      <c r="C179" s="1263"/>
      <c r="D179" s="1255"/>
      <c r="E179" s="1255"/>
      <c r="F179" s="1255"/>
    </row>
    <row r="180" spans="1:6" s="1266" customFormat="1" ht="16.5" customHeight="1">
      <c r="A180" s="1257"/>
      <c r="B180" s="1257"/>
      <c r="C180" s="1256"/>
      <c r="D180" s="1257"/>
      <c r="E180" s="1258"/>
      <c r="F180" s="1257"/>
    </row>
    <row r="181" spans="1:6" s="1266" customFormat="1" ht="16.5" customHeight="1">
      <c r="A181" s="1257"/>
      <c r="B181" s="1257"/>
      <c r="C181" s="1259"/>
      <c r="D181" s="1257"/>
      <c r="E181" s="1257"/>
      <c r="F181" s="1257"/>
    </row>
    <row r="182" spans="1:6" s="1266" customFormat="1" ht="16.5" customHeight="1">
      <c r="A182" s="1257"/>
      <c r="B182" s="1257"/>
      <c r="C182" s="1260"/>
      <c r="D182" s="1257"/>
      <c r="E182" s="1258"/>
      <c r="F182" s="1257"/>
    </row>
    <row r="183" spans="1:6" s="1266" customFormat="1" ht="16.5" customHeight="1">
      <c r="A183" s="1257"/>
      <c r="B183" s="1257"/>
      <c r="C183" s="1259"/>
      <c r="D183" s="1257"/>
      <c r="E183" s="1257"/>
      <c r="F183" s="1257"/>
    </row>
    <row r="184" spans="1:6" s="1266" customFormat="1" ht="16.5" customHeight="1">
      <c r="A184" s="1257"/>
      <c r="B184" s="1257"/>
      <c r="C184" s="1259"/>
      <c r="D184" s="1257"/>
      <c r="E184" s="1257"/>
      <c r="F184" s="1257"/>
    </row>
    <row r="185" spans="1:6" s="1266" customFormat="1" ht="16.5" customHeight="1">
      <c r="A185" s="1257"/>
      <c r="B185" s="1257"/>
      <c r="C185" s="1260"/>
      <c r="D185" s="1257"/>
      <c r="E185" s="1257"/>
      <c r="F185" s="1261"/>
    </row>
    <row r="186" spans="1:6" s="1266" customFormat="1" ht="16.5" customHeight="1">
      <c r="A186" s="1255"/>
      <c r="B186" s="1255"/>
      <c r="C186" s="1263"/>
      <c r="D186" s="1255"/>
      <c r="E186" s="1255"/>
      <c r="F186" s="1255"/>
    </row>
    <row r="187" spans="1:6" s="1266" customFormat="1" ht="16.5" customHeight="1">
      <c r="A187" s="1257"/>
      <c r="B187" s="1257"/>
      <c r="C187" s="1256"/>
      <c r="D187" s="1257"/>
      <c r="E187" s="1258"/>
      <c r="F187" s="1257"/>
    </row>
    <row r="188" spans="1:6" s="1266" customFormat="1" ht="16.5" customHeight="1">
      <c r="A188" s="1257"/>
      <c r="B188" s="1257"/>
      <c r="C188" s="1259"/>
      <c r="D188" s="1257"/>
      <c r="E188" s="1257"/>
      <c r="F188" s="1257"/>
    </row>
    <row r="189" spans="1:6" s="1266" customFormat="1" ht="16.5" customHeight="1">
      <c r="A189" s="1257"/>
      <c r="B189" s="1257"/>
      <c r="C189" s="1260"/>
      <c r="D189" s="1257"/>
      <c r="E189" s="1258"/>
      <c r="F189" s="1257"/>
    </row>
    <row r="190" spans="1:6" s="1266" customFormat="1" ht="16.5" customHeight="1">
      <c r="A190" s="1257"/>
      <c r="B190" s="1257"/>
      <c r="C190" s="1259"/>
      <c r="D190" s="1257"/>
      <c r="E190" s="1257"/>
      <c r="F190" s="1257"/>
    </row>
    <row r="191" spans="1:6" s="1266" customFormat="1" ht="18" customHeight="1">
      <c r="A191" s="1257"/>
      <c r="B191" s="1257"/>
      <c r="C191" s="1259"/>
      <c r="D191" s="1257"/>
      <c r="E191" s="1257"/>
      <c r="F191" s="1257"/>
    </row>
    <row r="192" spans="1:6" s="1266" customFormat="1" ht="18" customHeight="1">
      <c r="A192" s="1257"/>
      <c r="B192" s="1257"/>
      <c r="C192" s="1260"/>
      <c r="D192" s="1257"/>
      <c r="E192" s="1257"/>
      <c r="F192" s="1261"/>
    </row>
    <row r="193" spans="1:6" s="1266" customFormat="1" ht="18" customHeight="1">
      <c r="A193" s="1255"/>
      <c r="B193" s="1255"/>
      <c r="C193" s="1263"/>
      <c r="D193" s="1255"/>
      <c r="E193" s="1255"/>
      <c r="F193" s="1255"/>
    </row>
    <row r="194" spans="1:6" s="1266" customFormat="1" ht="16.5" customHeight="1">
      <c r="A194" s="1257"/>
      <c r="B194" s="1257"/>
      <c r="C194" s="1256"/>
      <c r="D194" s="1257"/>
      <c r="E194" s="1258"/>
      <c r="F194" s="1257"/>
    </row>
    <row r="195" spans="1:6" s="1266" customFormat="1" ht="16.5" customHeight="1">
      <c r="A195" s="1257"/>
      <c r="B195" s="1257"/>
      <c r="C195" s="1259"/>
      <c r="D195" s="1257"/>
      <c r="E195" s="1257"/>
      <c r="F195" s="1257"/>
    </row>
    <row r="196" spans="1:6" s="1266" customFormat="1" ht="16.5" customHeight="1">
      <c r="A196" s="1257"/>
      <c r="B196" s="1257"/>
      <c r="C196" s="1260"/>
      <c r="D196" s="1257"/>
      <c r="E196" s="1258"/>
      <c r="F196" s="1257"/>
    </row>
    <row r="197" spans="1:6" s="1266" customFormat="1" ht="16.5" customHeight="1">
      <c r="A197" s="1257"/>
      <c r="B197" s="1257"/>
      <c r="C197" s="1259"/>
      <c r="D197" s="1257"/>
      <c r="E197" s="1257"/>
      <c r="F197" s="1257"/>
    </row>
    <row r="198" spans="1:6" s="1266" customFormat="1" ht="16.5" customHeight="1">
      <c r="A198" s="1257"/>
      <c r="B198" s="1257"/>
      <c r="C198" s="1259"/>
      <c r="D198" s="1257"/>
      <c r="E198" s="1257"/>
      <c r="F198" s="1257"/>
    </row>
    <row r="199" spans="1:6" s="1266" customFormat="1" ht="16.5" customHeight="1">
      <c r="A199" s="1257"/>
      <c r="B199" s="1257"/>
      <c r="C199" s="1260"/>
      <c r="D199" s="1257"/>
      <c r="E199" s="1257"/>
      <c r="F199" s="1261"/>
    </row>
    <row r="200" spans="1:6" s="1266" customFormat="1" ht="16.5" customHeight="1">
      <c r="A200" s="1255"/>
      <c r="B200" s="1255"/>
      <c r="C200" s="1263"/>
      <c r="D200" s="1255"/>
      <c r="E200" s="1255"/>
      <c r="F200" s="1255"/>
    </row>
    <row r="201" spans="1:6" s="1266" customFormat="1" ht="16.5" customHeight="1">
      <c r="A201" s="1255"/>
      <c r="B201" s="1255"/>
      <c r="C201" s="1263"/>
      <c r="D201" s="1255"/>
      <c r="E201" s="1255"/>
      <c r="F201" s="1255"/>
    </row>
    <row r="202" spans="1:6" s="1266" customFormat="1" ht="16.5" customHeight="1">
      <c r="A202" s="1255"/>
      <c r="B202" s="1255"/>
      <c r="C202" s="1263"/>
      <c r="D202" s="1255"/>
      <c r="E202" s="1255"/>
      <c r="F202" s="1255"/>
    </row>
    <row r="203" spans="1:6" s="1266" customFormat="1" ht="16.5" customHeight="1">
      <c r="A203" s="1257"/>
      <c r="B203" s="1257"/>
      <c r="C203" s="1256"/>
      <c r="D203" s="1257"/>
      <c r="E203" s="1258"/>
      <c r="F203" s="1257"/>
    </row>
    <row r="204" spans="1:6" s="1266" customFormat="1" ht="16.5" customHeight="1">
      <c r="A204" s="1257"/>
      <c r="B204" s="1257"/>
      <c r="C204" s="1259"/>
      <c r="D204" s="1257"/>
      <c r="E204" s="1257"/>
      <c r="F204" s="1257"/>
    </row>
    <row r="205" spans="1:6" s="1266" customFormat="1" ht="16.5" customHeight="1">
      <c r="A205" s="1257"/>
      <c r="B205" s="1257"/>
      <c r="C205" s="1260"/>
      <c r="D205" s="1257"/>
      <c r="E205" s="1258"/>
      <c r="F205" s="1257"/>
    </row>
    <row r="206" spans="1:6" s="1266" customFormat="1" ht="15.75" customHeight="1">
      <c r="A206" s="1257"/>
      <c r="B206" s="1257"/>
      <c r="C206" s="1259"/>
      <c r="D206" s="1257"/>
      <c r="E206" s="1257"/>
      <c r="F206" s="1257"/>
    </row>
    <row r="207" spans="1:6" s="1266" customFormat="1" ht="15.75" customHeight="1">
      <c r="A207" s="1257"/>
      <c r="B207" s="1257"/>
      <c r="C207" s="1259"/>
      <c r="D207" s="1257"/>
      <c r="E207" s="1257"/>
      <c r="F207" s="1257"/>
    </row>
    <row r="208" spans="1:6" s="1266" customFormat="1" ht="15.75" customHeight="1">
      <c r="A208" s="1257"/>
      <c r="B208" s="1257"/>
      <c r="C208" s="1260"/>
      <c r="D208" s="1257"/>
      <c r="E208" s="1257"/>
      <c r="F208" s="1261"/>
    </row>
    <row r="209" spans="1:6" s="1266" customFormat="1" ht="16.5" customHeight="1">
      <c r="A209" s="1255"/>
      <c r="B209" s="1255"/>
      <c r="C209" s="1263"/>
      <c r="D209" s="1255"/>
      <c r="E209" s="1255"/>
      <c r="F209" s="1255"/>
    </row>
    <row r="210" spans="1:6" s="1266" customFormat="1" ht="16.5" customHeight="1">
      <c r="A210" s="1255"/>
      <c r="B210" s="1255"/>
      <c r="C210" s="1263"/>
      <c r="D210" s="1255"/>
      <c r="E210" s="1255"/>
      <c r="F210" s="1255"/>
    </row>
    <row r="211" spans="1:6" s="1266" customFormat="1" ht="16.5" customHeight="1">
      <c r="A211" s="1257"/>
      <c r="B211" s="1257"/>
      <c r="C211" s="1256"/>
      <c r="D211" s="1257"/>
      <c r="E211" s="1258"/>
      <c r="F211" s="1257"/>
    </row>
    <row r="212" spans="1:6" s="1266" customFormat="1" ht="16.5" customHeight="1">
      <c r="A212" s="1257"/>
      <c r="B212" s="1257"/>
      <c r="C212" s="1259"/>
      <c r="D212" s="1257"/>
      <c r="E212" s="1257"/>
      <c r="F212" s="1257"/>
    </row>
    <row r="213" spans="1:6" s="1266" customFormat="1" ht="16.5" customHeight="1">
      <c r="A213" s="1257"/>
      <c r="B213" s="1257"/>
      <c r="C213" s="1260"/>
      <c r="D213" s="1257"/>
      <c r="E213" s="1258"/>
      <c r="F213" s="1257"/>
    </row>
    <row r="214" spans="1:6" s="1266" customFormat="1" ht="16.5" customHeight="1">
      <c r="A214" s="1257"/>
      <c r="B214" s="1257"/>
      <c r="C214" s="1259"/>
      <c r="D214" s="1257"/>
      <c r="E214" s="1257"/>
      <c r="F214" s="1267"/>
    </row>
    <row r="215" spans="1:6" s="1266" customFormat="1" ht="16.5" customHeight="1">
      <c r="A215" s="1257"/>
      <c r="B215" s="1257"/>
      <c r="C215" s="1259"/>
      <c r="D215" s="1257"/>
      <c r="E215" s="1257"/>
      <c r="F215" s="1257"/>
    </row>
    <row r="216" spans="1:6" s="1266" customFormat="1" ht="16.5" customHeight="1">
      <c r="A216" s="1257"/>
      <c r="B216" s="1257"/>
      <c r="C216" s="1260"/>
      <c r="D216" s="1257"/>
      <c r="E216" s="1257"/>
      <c r="F216" s="1261"/>
    </row>
    <row r="217" spans="1:6" s="1266" customFormat="1" ht="16.5" customHeight="1">
      <c r="A217" s="1257"/>
      <c r="B217" s="1257"/>
      <c r="C217" s="1260"/>
      <c r="D217" s="1257"/>
      <c r="E217" s="1257"/>
      <c r="F217" s="1261"/>
    </row>
    <row r="218" spans="1:6" s="1266" customFormat="1" ht="16.5" customHeight="1">
      <c r="A218" s="1257"/>
      <c r="B218" s="1257"/>
      <c r="C218" s="1256"/>
      <c r="D218" s="1257"/>
      <c r="E218" s="1257"/>
      <c r="F218" s="1261"/>
    </row>
    <row r="219" spans="1:6" s="1266" customFormat="1" ht="16.5" customHeight="1">
      <c r="A219" s="1255"/>
      <c r="B219" s="1255"/>
      <c r="C219" s="1263"/>
      <c r="D219" s="1255"/>
      <c r="E219" s="1255"/>
      <c r="F219" s="1255"/>
    </row>
    <row r="220" spans="1:6" s="1266" customFormat="1" ht="16.5" customHeight="1">
      <c r="A220" s="1257"/>
      <c r="B220" s="1257"/>
      <c r="C220" s="1256"/>
      <c r="D220" s="1257"/>
      <c r="E220" s="1258"/>
      <c r="F220" s="1257"/>
    </row>
    <row r="221" spans="1:6" s="1266" customFormat="1" ht="18" customHeight="1">
      <c r="A221" s="1257"/>
      <c r="B221" s="1257"/>
      <c r="C221" s="1259"/>
      <c r="D221" s="1257"/>
      <c r="E221" s="1257"/>
      <c r="F221" s="1257"/>
    </row>
    <row r="222" spans="1:6" s="1266" customFormat="1" ht="18" customHeight="1">
      <c r="A222" s="1257"/>
      <c r="B222" s="1257"/>
      <c r="C222" s="1260"/>
      <c r="D222" s="1257"/>
      <c r="E222" s="1258"/>
      <c r="F222" s="1257"/>
    </row>
    <row r="223" spans="1:6" s="1266" customFormat="1" ht="18" customHeight="1">
      <c r="A223" s="1257"/>
      <c r="B223" s="1257"/>
      <c r="C223" s="1259"/>
      <c r="D223" s="1257"/>
      <c r="E223" s="1257"/>
      <c r="F223" s="1257"/>
    </row>
    <row r="224" spans="1:6" s="1266" customFormat="1" ht="15.75" customHeight="1">
      <c r="A224" s="1257"/>
      <c r="B224" s="1257"/>
      <c r="C224" s="1260"/>
      <c r="D224" s="1257"/>
      <c r="E224" s="1258"/>
      <c r="F224" s="1257"/>
    </row>
    <row r="225" spans="1:6" s="1266" customFormat="1" ht="16.5" customHeight="1">
      <c r="A225" s="1257"/>
      <c r="B225" s="1257"/>
      <c r="C225" s="1259"/>
      <c r="D225" s="1257"/>
      <c r="E225" s="1257"/>
      <c r="F225" s="1257"/>
    </row>
    <row r="226" spans="1:6" s="1266" customFormat="1" ht="15.75" customHeight="1">
      <c r="A226" s="1257"/>
      <c r="B226" s="1257"/>
      <c r="C226" s="1260"/>
      <c r="D226" s="1257"/>
      <c r="E226" s="1258"/>
      <c r="F226" s="1257"/>
    </row>
    <row r="227" spans="1:6" s="1266" customFormat="1" ht="15.75" customHeight="1">
      <c r="A227" s="1257"/>
      <c r="B227" s="1257"/>
      <c r="C227" s="1259"/>
      <c r="D227" s="1257"/>
      <c r="E227" s="1257"/>
      <c r="F227" s="1257"/>
    </row>
    <row r="228" spans="1:6" s="1266" customFormat="1" ht="15.75" customHeight="1">
      <c r="A228" s="1257"/>
      <c r="B228" s="1257"/>
      <c r="C228" s="1259"/>
      <c r="D228" s="1257"/>
      <c r="E228" s="1257"/>
      <c r="F228" s="1257"/>
    </row>
    <row r="229" spans="1:6" s="1266" customFormat="1" ht="19.5" customHeight="1">
      <c r="A229" s="1257"/>
      <c r="B229" s="1257"/>
      <c r="C229" s="1260"/>
      <c r="D229" s="1257"/>
      <c r="E229" s="1257"/>
      <c r="F229" s="1261"/>
    </row>
    <row r="230" spans="1:6" s="1266" customFormat="1" ht="18.75" customHeight="1">
      <c r="A230" s="1252"/>
      <c r="B230" s="1252"/>
      <c r="C230" s="1262"/>
      <c r="D230" s="1252"/>
      <c r="E230" s="1252"/>
      <c r="F230" s="1252"/>
    </row>
    <row r="231" spans="1:6" s="1266" customFormat="1" ht="18.75" customHeight="1">
      <c r="A231" s="1255"/>
      <c r="B231" s="1255"/>
      <c r="C231" s="1263"/>
      <c r="D231" s="1255"/>
      <c r="E231" s="1255"/>
      <c r="F231" s="1255"/>
    </row>
    <row r="232" spans="1:6" s="1266" customFormat="1" ht="18.75" customHeight="1">
      <c r="A232" s="1257"/>
      <c r="B232" s="1257"/>
      <c r="C232" s="1256"/>
      <c r="D232" s="1257"/>
      <c r="E232" s="1258"/>
      <c r="F232" s="1257"/>
    </row>
    <row r="233" spans="1:6" s="1266" customFormat="1" ht="18.75" customHeight="1">
      <c r="A233" s="1257"/>
      <c r="B233" s="1257"/>
      <c r="C233" s="1259"/>
      <c r="D233" s="1257"/>
      <c r="E233" s="1257"/>
      <c r="F233" s="1257"/>
    </row>
    <row r="234" spans="1:6" s="1266" customFormat="1" ht="18.75" customHeight="1">
      <c r="A234" s="1257"/>
      <c r="B234" s="1257"/>
      <c r="C234" s="1260"/>
      <c r="D234" s="1257"/>
      <c r="E234" s="1258"/>
      <c r="F234" s="1257"/>
    </row>
    <row r="235" spans="1:6" s="1266" customFormat="1" ht="18.75" customHeight="1">
      <c r="A235" s="1257"/>
      <c r="B235" s="1257"/>
      <c r="C235" s="1259"/>
      <c r="D235" s="1257"/>
      <c r="E235" s="1257"/>
      <c r="F235" s="1257"/>
    </row>
    <row r="236" spans="1:6" s="1266" customFormat="1" ht="18.75" customHeight="1">
      <c r="A236" s="1257"/>
      <c r="B236" s="1257"/>
      <c r="C236" s="1260"/>
      <c r="D236" s="1257"/>
      <c r="E236" s="1258"/>
      <c r="F236" s="1257"/>
    </row>
    <row r="237" spans="1:6" s="1266" customFormat="1" ht="18.75" customHeight="1">
      <c r="A237" s="1257"/>
      <c r="B237" s="1257"/>
      <c r="C237" s="1259"/>
      <c r="D237" s="1257"/>
      <c r="E237" s="1257"/>
      <c r="F237" s="1257"/>
    </row>
    <row r="238" spans="1:6" s="1266" customFormat="1" ht="18.75" customHeight="1">
      <c r="A238" s="1257"/>
      <c r="B238" s="1257"/>
      <c r="C238" s="1260"/>
      <c r="D238" s="1257"/>
      <c r="E238" s="1258"/>
      <c r="F238" s="1257"/>
    </row>
    <row r="239" spans="1:6" s="1266" customFormat="1" ht="18.75" customHeight="1">
      <c r="A239" s="1257"/>
      <c r="B239" s="1257"/>
      <c r="C239" s="1259"/>
      <c r="D239" s="1257"/>
      <c r="E239" s="1257"/>
      <c r="F239" s="1257"/>
    </row>
    <row r="240" spans="1:6" s="1266" customFormat="1" ht="18.75" customHeight="1">
      <c r="A240" s="1257"/>
      <c r="B240" s="1257"/>
      <c r="C240" s="1259"/>
      <c r="D240" s="1257"/>
      <c r="E240" s="1257"/>
      <c r="F240" s="1257"/>
    </row>
    <row r="241" spans="1:6" s="1266" customFormat="1" ht="19.5" customHeight="1">
      <c r="A241" s="1257"/>
      <c r="B241" s="1257"/>
      <c r="C241" s="1260"/>
      <c r="D241" s="1257"/>
      <c r="E241" s="1257"/>
      <c r="F241" s="1261"/>
    </row>
    <row r="242" spans="1:6" s="1266" customFormat="1" ht="15.75" customHeight="1">
      <c r="A242" s="1255"/>
      <c r="B242" s="1255"/>
      <c r="C242" s="1263"/>
      <c r="D242" s="1255"/>
      <c r="E242" s="1255"/>
      <c r="F242" s="1255"/>
    </row>
    <row r="243" spans="1:6" s="1266" customFormat="1" ht="15.75" customHeight="1">
      <c r="A243" s="1255"/>
      <c r="B243" s="1255"/>
      <c r="C243" s="1263"/>
      <c r="D243" s="1255"/>
      <c r="E243" s="1255"/>
      <c r="F243" s="1255"/>
    </row>
    <row r="244" spans="1:6" s="1266" customFormat="1" ht="15.75" customHeight="1">
      <c r="A244" s="1257"/>
      <c r="B244" s="1257"/>
      <c r="C244" s="1256"/>
      <c r="D244" s="1257"/>
      <c r="E244" s="1258"/>
      <c r="F244" s="1257"/>
    </row>
    <row r="245" spans="1:6" s="1266" customFormat="1" ht="15.75" customHeight="1">
      <c r="A245" s="1257"/>
      <c r="B245" s="1257"/>
      <c r="C245" s="1259"/>
      <c r="D245" s="1257"/>
      <c r="E245" s="1257"/>
      <c r="F245" s="1257"/>
    </row>
    <row r="246" spans="1:6" s="1266" customFormat="1" ht="15.75" customHeight="1">
      <c r="A246" s="1257"/>
      <c r="B246" s="1257"/>
      <c r="C246" s="1260"/>
      <c r="D246" s="1257"/>
      <c r="E246" s="1258"/>
      <c r="F246" s="1257"/>
    </row>
    <row r="247" spans="1:6" s="1266" customFormat="1" ht="15.75" customHeight="1">
      <c r="A247" s="1257"/>
      <c r="B247" s="1257"/>
      <c r="C247" s="1259"/>
      <c r="D247" s="1257"/>
      <c r="E247" s="1257"/>
      <c r="F247" s="1257"/>
    </row>
    <row r="248" spans="1:6" s="1266" customFormat="1" ht="15.75" customHeight="1">
      <c r="A248" s="1257"/>
      <c r="B248" s="1257"/>
      <c r="C248" s="1260"/>
      <c r="D248" s="1257"/>
      <c r="E248" s="1258"/>
      <c r="F248" s="1257"/>
    </row>
    <row r="249" spans="1:6">
      <c r="A249" s="1257"/>
      <c r="B249" s="1257"/>
      <c r="C249" s="1259"/>
      <c r="D249" s="1257"/>
      <c r="E249" s="1257"/>
      <c r="F249" s="1257"/>
    </row>
    <row r="250" spans="1:6">
      <c r="A250" s="1257"/>
      <c r="B250" s="1257"/>
      <c r="C250" s="1260"/>
      <c r="D250" s="1257"/>
      <c r="E250" s="1258"/>
      <c r="F250" s="1257"/>
    </row>
    <row r="251" spans="1:6">
      <c r="A251" s="1257"/>
      <c r="B251" s="1257"/>
      <c r="C251" s="1259"/>
      <c r="D251" s="1257"/>
      <c r="E251" s="1257"/>
      <c r="F251" s="1257"/>
    </row>
    <row r="252" spans="1:6">
      <c r="A252" s="1257"/>
      <c r="B252" s="1257"/>
      <c r="C252" s="1259"/>
      <c r="D252" s="1257"/>
      <c r="E252" s="1257"/>
      <c r="F252" s="1257"/>
    </row>
    <row r="253" spans="1:6">
      <c r="A253" s="1257"/>
      <c r="B253" s="1257"/>
      <c r="C253" s="1260"/>
      <c r="D253" s="1257"/>
      <c r="E253" s="1257"/>
      <c r="F253" s="1261"/>
    </row>
    <row r="254" spans="1:6">
      <c r="A254" s="1255"/>
      <c r="B254" s="1255"/>
      <c r="C254" s="1263"/>
      <c r="D254" s="1255"/>
      <c r="E254" s="1255"/>
      <c r="F254" s="1255"/>
    </row>
    <row r="255" spans="1:6">
      <c r="A255" s="1255"/>
      <c r="B255" s="1255"/>
      <c r="C255" s="1263"/>
      <c r="D255" s="1255"/>
      <c r="E255" s="1255"/>
      <c r="F255" s="1255"/>
    </row>
    <row r="256" spans="1:6">
      <c r="A256" s="1257"/>
      <c r="B256" s="1257"/>
      <c r="C256" s="1256"/>
      <c r="D256" s="1257"/>
      <c r="E256" s="1258"/>
      <c r="F256" s="1257"/>
    </row>
    <row r="257" spans="1:6">
      <c r="A257" s="1257"/>
      <c r="B257" s="1257"/>
      <c r="C257" s="1259"/>
      <c r="D257" s="1257"/>
      <c r="E257" s="1257"/>
      <c r="F257" s="1257"/>
    </row>
    <row r="258" spans="1:6">
      <c r="A258" s="1257"/>
      <c r="B258" s="1257"/>
      <c r="C258" s="1260"/>
      <c r="D258" s="1257"/>
      <c r="E258" s="1258"/>
      <c r="F258" s="1257"/>
    </row>
    <row r="259" spans="1:6">
      <c r="A259" s="1257"/>
      <c r="B259" s="1257"/>
      <c r="C259" s="1259"/>
      <c r="D259" s="1257"/>
      <c r="E259" s="1257"/>
      <c r="F259" s="1257"/>
    </row>
    <row r="260" spans="1:6">
      <c r="A260" s="1257"/>
      <c r="B260" s="1257"/>
      <c r="C260" s="1260"/>
      <c r="D260" s="1257"/>
      <c r="E260" s="1258"/>
      <c r="F260" s="1257"/>
    </row>
    <row r="261" spans="1:6">
      <c r="A261" s="1257"/>
      <c r="B261" s="1257"/>
      <c r="C261" s="1259"/>
      <c r="D261" s="1257"/>
      <c r="E261" s="1257"/>
      <c r="F261" s="1257"/>
    </row>
    <row r="262" spans="1:6">
      <c r="A262" s="1257"/>
      <c r="B262" s="1257"/>
      <c r="C262" s="1260"/>
      <c r="D262" s="1257"/>
      <c r="E262" s="1258"/>
      <c r="F262" s="1257"/>
    </row>
    <row r="263" spans="1:6">
      <c r="A263" s="1257"/>
      <c r="B263" s="1257"/>
      <c r="C263" s="1259"/>
      <c r="D263" s="1257"/>
      <c r="E263" s="1257"/>
      <c r="F263" s="1257"/>
    </row>
    <row r="264" spans="1:6">
      <c r="A264" s="1257"/>
      <c r="B264" s="1257"/>
      <c r="C264" s="1259"/>
      <c r="D264" s="1257"/>
      <c r="E264" s="1257"/>
      <c r="F264" s="1257"/>
    </row>
    <row r="265" spans="1:6">
      <c r="A265" s="1257"/>
      <c r="B265" s="1257"/>
      <c r="C265" s="1260"/>
      <c r="D265" s="1257"/>
      <c r="E265" s="1257"/>
      <c r="F265" s="1261"/>
    </row>
    <row r="266" spans="1:6">
      <c r="A266" s="1255"/>
      <c r="B266" s="1255"/>
      <c r="C266" s="1263"/>
      <c r="D266" s="1255"/>
      <c r="E266" s="1255"/>
      <c r="F266" s="1255"/>
    </row>
    <row r="267" spans="1:6">
      <c r="A267" s="1257"/>
      <c r="B267" s="1257"/>
      <c r="C267" s="1256"/>
      <c r="D267" s="1257"/>
      <c r="E267" s="1258"/>
      <c r="F267" s="1257"/>
    </row>
    <row r="268" spans="1:6">
      <c r="A268" s="1257"/>
      <c r="B268" s="1257"/>
      <c r="C268" s="1259"/>
      <c r="D268" s="1257"/>
      <c r="E268" s="1257"/>
      <c r="F268" s="1257"/>
    </row>
    <row r="269" spans="1:6">
      <c r="A269" s="1257"/>
      <c r="B269" s="1257"/>
      <c r="C269" s="1260"/>
      <c r="D269" s="1257"/>
      <c r="E269" s="1258"/>
      <c r="F269" s="1257"/>
    </row>
    <row r="270" spans="1:6">
      <c r="A270" s="1257"/>
      <c r="B270" s="1257"/>
      <c r="C270" s="1259"/>
      <c r="D270" s="1257"/>
      <c r="E270" s="1257"/>
      <c r="F270" s="1257"/>
    </row>
    <row r="271" spans="1:6">
      <c r="A271" s="1257"/>
      <c r="B271" s="1257"/>
      <c r="C271" s="1260"/>
      <c r="D271" s="1257"/>
      <c r="E271" s="1258"/>
      <c r="F271" s="1257"/>
    </row>
    <row r="272" spans="1:6">
      <c r="A272" s="1257"/>
      <c r="B272" s="1257"/>
      <c r="C272" s="1259"/>
      <c r="D272" s="1257"/>
      <c r="E272" s="1257"/>
      <c r="F272" s="1257"/>
    </row>
    <row r="273" spans="1:6">
      <c r="A273" s="1257"/>
      <c r="B273" s="1257"/>
      <c r="C273" s="1260"/>
      <c r="D273" s="1257"/>
      <c r="E273" s="1258"/>
      <c r="F273" s="1257"/>
    </row>
    <row r="274" spans="1:6">
      <c r="A274" s="1257"/>
      <c r="B274" s="1257"/>
      <c r="C274" s="1259"/>
      <c r="D274" s="1257"/>
      <c r="E274" s="1257"/>
      <c r="F274" s="1257"/>
    </row>
    <row r="275" spans="1:6">
      <c r="A275" s="1257"/>
      <c r="B275" s="1257"/>
      <c r="C275" s="1259"/>
      <c r="D275" s="1257"/>
      <c r="E275" s="1257"/>
      <c r="F275" s="1257"/>
    </row>
    <row r="276" spans="1:6">
      <c r="A276" s="1257"/>
      <c r="B276" s="1257"/>
      <c r="C276" s="1260"/>
      <c r="D276" s="1257"/>
      <c r="E276" s="1257"/>
      <c r="F276" s="1261"/>
    </row>
    <row r="277" spans="1:6">
      <c r="A277" s="1255"/>
      <c r="B277" s="1255"/>
      <c r="C277" s="1263"/>
      <c r="D277" s="1255"/>
      <c r="E277" s="1255"/>
      <c r="F277" s="1255"/>
    </row>
    <row r="278" spans="1:6">
      <c r="A278" s="1257"/>
      <c r="B278" s="1257"/>
      <c r="C278" s="1256"/>
      <c r="D278" s="1257"/>
      <c r="E278" s="1258"/>
      <c r="F278" s="1257"/>
    </row>
    <row r="279" spans="1:6">
      <c r="A279" s="1257"/>
      <c r="B279" s="1257"/>
      <c r="C279" s="1259"/>
      <c r="D279" s="1257"/>
      <c r="E279" s="1257"/>
      <c r="F279" s="1257"/>
    </row>
    <row r="280" spans="1:6">
      <c r="A280" s="1257"/>
      <c r="B280" s="1257"/>
      <c r="C280" s="1260"/>
      <c r="D280" s="1257"/>
      <c r="E280" s="1258"/>
      <c r="F280" s="1257"/>
    </row>
    <row r="281" spans="1:6">
      <c r="A281" s="1257"/>
      <c r="B281" s="1257"/>
      <c r="C281" s="1259"/>
      <c r="D281" s="1257"/>
      <c r="E281" s="1257"/>
      <c r="F281" s="1257"/>
    </row>
    <row r="282" spans="1:6">
      <c r="A282" s="1257"/>
      <c r="B282" s="1257"/>
      <c r="C282" s="1260"/>
      <c r="D282" s="1257"/>
      <c r="E282" s="1258"/>
      <c r="F282" s="1257"/>
    </row>
    <row r="283" spans="1:6">
      <c r="A283" s="1257"/>
      <c r="B283" s="1257"/>
      <c r="C283" s="1259"/>
      <c r="D283" s="1257"/>
      <c r="E283" s="1257"/>
      <c r="F283" s="1257"/>
    </row>
    <row r="284" spans="1:6">
      <c r="A284" s="1257"/>
      <c r="B284" s="1257"/>
      <c r="C284" s="1260"/>
      <c r="D284" s="1257"/>
      <c r="E284" s="1258"/>
      <c r="F284" s="1257"/>
    </row>
    <row r="285" spans="1:6">
      <c r="A285" s="1257"/>
      <c r="B285" s="1257"/>
      <c r="C285" s="1259"/>
      <c r="D285" s="1257"/>
      <c r="E285" s="1257"/>
      <c r="F285" s="1257"/>
    </row>
    <row r="286" spans="1:6">
      <c r="A286" s="1257"/>
      <c r="B286" s="1257"/>
      <c r="C286" s="1259"/>
      <c r="D286" s="1257"/>
      <c r="E286" s="1257"/>
      <c r="F286" s="1257"/>
    </row>
    <row r="287" spans="1:6">
      <c r="A287" s="1257"/>
      <c r="B287" s="1257"/>
      <c r="C287" s="1260"/>
      <c r="D287" s="1257"/>
      <c r="E287" s="1257"/>
      <c r="F287" s="1261"/>
    </row>
    <row r="288" spans="1:6">
      <c r="A288" s="1255"/>
      <c r="B288" s="1255"/>
      <c r="C288" s="1263"/>
      <c r="D288" s="1255"/>
      <c r="E288" s="1255"/>
      <c r="F288" s="1255"/>
    </row>
    <row r="289" spans="1:6">
      <c r="A289" s="1257"/>
      <c r="B289" s="1257"/>
      <c r="C289" s="1256"/>
      <c r="D289" s="1257"/>
      <c r="E289" s="1258"/>
      <c r="F289" s="1257"/>
    </row>
    <row r="290" spans="1:6">
      <c r="A290" s="1257"/>
      <c r="B290" s="1257"/>
      <c r="C290" s="1259"/>
      <c r="D290" s="1257"/>
      <c r="E290" s="1257"/>
      <c r="F290" s="1257"/>
    </row>
    <row r="291" spans="1:6">
      <c r="A291" s="1257"/>
      <c r="B291" s="1257"/>
      <c r="C291" s="1260"/>
      <c r="D291" s="1257"/>
      <c r="E291" s="1258"/>
      <c r="F291" s="1257"/>
    </row>
    <row r="292" spans="1:6">
      <c r="A292" s="1257"/>
      <c r="B292" s="1257"/>
      <c r="C292" s="1259"/>
      <c r="D292" s="1257"/>
      <c r="E292" s="1257"/>
      <c r="F292" s="1257"/>
    </row>
    <row r="293" spans="1:6">
      <c r="A293" s="1257"/>
      <c r="B293" s="1257"/>
      <c r="C293" s="1260"/>
      <c r="D293" s="1257"/>
      <c r="E293" s="1258"/>
      <c r="F293" s="1257"/>
    </row>
    <row r="294" spans="1:6">
      <c r="A294" s="1257"/>
      <c r="B294" s="1257"/>
      <c r="C294" s="1259"/>
      <c r="D294" s="1257"/>
      <c r="E294" s="1257"/>
      <c r="F294" s="1257"/>
    </row>
    <row r="295" spans="1:6">
      <c r="A295" s="1257"/>
      <c r="B295" s="1257"/>
      <c r="C295" s="1260"/>
      <c r="D295" s="1257"/>
      <c r="E295" s="1258"/>
      <c r="F295" s="1257"/>
    </row>
    <row r="296" spans="1:6">
      <c r="A296" s="1257"/>
      <c r="B296" s="1257"/>
      <c r="C296" s="1259"/>
      <c r="D296" s="1257"/>
      <c r="E296" s="1257"/>
      <c r="F296" s="1257"/>
    </row>
    <row r="297" spans="1:6">
      <c r="A297" s="1257"/>
      <c r="B297" s="1257"/>
      <c r="C297" s="1259"/>
      <c r="D297" s="1257"/>
      <c r="E297" s="1257"/>
      <c r="F297" s="1257"/>
    </row>
    <row r="298" spans="1:6">
      <c r="A298" s="1257"/>
      <c r="B298" s="1257"/>
      <c r="C298" s="1260"/>
      <c r="D298" s="1257"/>
      <c r="E298" s="1257"/>
      <c r="F298" s="1261"/>
    </row>
    <row r="299" spans="1:6">
      <c r="A299" s="1255"/>
      <c r="B299" s="1255"/>
      <c r="C299" s="1263"/>
      <c r="D299" s="1255"/>
      <c r="E299" s="1255"/>
      <c r="F299" s="1255"/>
    </row>
    <row r="300" spans="1:6">
      <c r="A300" s="1257"/>
      <c r="B300" s="1257"/>
      <c r="C300" s="1256"/>
      <c r="D300" s="1257"/>
      <c r="E300" s="1258"/>
      <c r="F300" s="1257"/>
    </row>
    <row r="301" spans="1:6">
      <c r="A301" s="1257"/>
      <c r="B301" s="1257"/>
      <c r="C301" s="1259"/>
      <c r="D301" s="1257"/>
      <c r="E301" s="1257"/>
      <c r="F301" s="1257"/>
    </row>
    <row r="302" spans="1:6">
      <c r="A302" s="1257"/>
      <c r="B302" s="1257"/>
      <c r="C302" s="1260"/>
      <c r="D302" s="1257"/>
      <c r="E302" s="1258"/>
      <c r="F302" s="1257"/>
    </row>
    <row r="303" spans="1:6">
      <c r="A303" s="1257"/>
      <c r="B303" s="1257"/>
      <c r="C303" s="1259"/>
      <c r="D303" s="1257"/>
      <c r="E303" s="1257"/>
      <c r="F303" s="1257"/>
    </row>
    <row r="304" spans="1:6">
      <c r="A304" s="1257"/>
      <c r="B304" s="1257"/>
      <c r="C304" s="1260"/>
      <c r="D304" s="1257"/>
      <c r="E304" s="1258"/>
      <c r="F304" s="1257"/>
    </row>
    <row r="305" spans="1:6">
      <c r="A305" s="1257"/>
      <c r="B305" s="1257"/>
      <c r="C305" s="1259"/>
      <c r="D305" s="1257"/>
      <c r="E305" s="1257"/>
      <c r="F305" s="1257"/>
    </row>
    <row r="306" spans="1:6">
      <c r="A306" s="1257"/>
      <c r="B306" s="1257"/>
      <c r="C306" s="1260"/>
      <c r="D306" s="1257"/>
      <c r="E306" s="1258"/>
      <c r="F306" s="1257"/>
    </row>
    <row r="307" spans="1:6">
      <c r="A307" s="1257"/>
      <c r="B307" s="1257"/>
      <c r="C307" s="1259"/>
      <c r="D307" s="1257"/>
      <c r="E307" s="1257"/>
      <c r="F307" s="1257"/>
    </row>
    <row r="308" spans="1:6">
      <c r="A308" s="1257"/>
      <c r="B308" s="1257"/>
      <c r="C308" s="1259"/>
      <c r="D308" s="1257"/>
      <c r="E308" s="1257"/>
      <c r="F308" s="1257"/>
    </row>
    <row r="309" spans="1:6">
      <c r="A309" s="1257"/>
      <c r="B309" s="1257"/>
      <c r="C309" s="1260"/>
      <c r="D309" s="1257"/>
      <c r="E309" s="1257"/>
      <c r="F309" s="1261"/>
    </row>
    <row r="310" spans="1:6">
      <c r="A310" s="1255"/>
      <c r="B310" s="1255"/>
      <c r="C310" s="1263"/>
      <c r="D310" s="1255"/>
      <c r="E310" s="1255"/>
      <c r="F310" s="1255"/>
    </row>
    <row r="311" spans="1:6">
      <c r="A311" s="1257"/>
      <c r="B311" s="1257"/>
      <c r="C311" s="1256"/>
      <c r="D311" s="1257"/>
      <c r="E311" s="1258"/>
      <c r="F311" s="1257"/>
    </row>
    <row r="312" spans="1:6">
      <c r="A312" s="1257"/>
      <c r="B312" s="1257"/>
      <c r="C312" s="1259"/>
      <c r="D312" s="1257"/>
      <c r="E312" s="1257"/>
      <c r="F312" s="1257"/>
    </row>
    <row r="313" spans="1:6">
      <c r="A313" s="1257"/>
      <c r="B313" s="1257"/>
      <c r="C313" s="1260"/>
      <c r="D313" s="1257"/>
      <c r="E313" s="1258"/>
      <c r="F313" s="1257"/>
    </row>
    <row r="314" spans="1:6">
      <c r="A314" s="1257"/>
      <c r="B314" s="1257"/>
      <c r="C314" s="1259"/>
      <c r="D314" s="1257"/>
      <c r="E314" s="1257"/>
      <c r="F314" s="1257"/>
    </row>
    <row r="315" spans="1:6">
      <c r="A315" s="1257"/>
      <c r="B315" s="1257"/>
      <c r="C315" s="1260"/>
      <c r="D315" s="1257"/>
      <c r="E315" s="1258"/>
      <c r="F315" s="1257"/>
    </row>
    <row r="316" spans="1:6">
      <c r="A316" s="1257"/>
      <c r="B316" s="1257"/>
      <c r="C316" s="1259"/>
      <c r="D316" s="1257"/>
      <c r="E316" s="1257"/>
      <c r="F316" s="1257"/>
    </row>
    <row r="317" spans="1:6">
      <c r="A317" s="1257"/>
      <c r="B317" s="1257"/>
      <c r="C317" s="1260"/>
      <c r="D317" s="1257"/>
      <c r="E317" s="1258"/>
      <c r="F317" s="1257"/>
    </row>
    <row r="318" spans="1:6">
      <c r="A318" s="1257"/>
      <c r="B318" s="1257"/>
      <c r="C318" s="1259"/>
      <c r="D318" s="1257"/>
      <c r="E318" s="1257"/>
      <c r="F318" s="1257"/>
    </row>
    <row r="319" spans="1:6">
      <c r="A319" s="1257"/>
      <c r="B319" s="1257"/>
      <c r="C319" s="1259"/>
      <c r="D319" s="1257"/>
      <c r="E319" s="1257"/>
      <c r="F319" s="1257"/>
    </row>
    <row r="320" spans="1:6">
      <c r="A320" s="1257"/>
      <c r="B320" s="1257"/>
      <c r="C320" s="1260"/>
      <c r="D320" s="1257"/>
      <c r="E320" s="1257"/>
      <c r="F320" s="1261"/>
    </row>
    <row r="321" spans="1:6">
      <c r="A321" s="1255"/>
      <c r="B321" s="1255"/>
      <c r="C321" s="1263"/>
      <c r="D321" s="1255"/>
      <c r="E321" s="1255"/>
      <c r="F321" s="1255"/>
    </row>
    <row r="322" spans="1:6">
      <c r="A322" s="1255"/>
      <c r="B322" s="1255"/>
      <c r="C322" s="1263"/>
      <c r="D322" s="1255"/>
      <c r="E322" s="1255"/>
      <c r="F322" s="1255"/>
    </row>
    <row r="323" spans="1:6">
      <c r="A323" s="1255"/>
      <c r="B323" s="1255"/>
      <c r="C323" s="1263"/>
      <c r="D323" s="1255"/>
      <c r="E323" s="1255"/>
      <c r="F323" s="1255"/>
    </row>
    <row r="324" spans="1:6">
      <c r="A324" s="1257"/>
      <c r="B324" s="1257"/>
      <c r="C324" s="1256"/>
      <c r="D324" s="1257"/>
      <c r="E324" s="1258"/>
      <c r="F324" s="1257"/>
    </row>
    <row r="325" spans="1:6">
      <c r="A325" s="1257"/>
      <c r="B325" s="1257"/>
      <c r="C325" s="1259"/>
      <c r="D325" s="1257"/>
      <c r="E325" s="1257"/>
      <c r="F325" s="1257"/>
    </row>
    <row r="326" spans="1:6">
      <c r="A326" s="1257"/>
      <c r="B326" s="1257"/>
      <c r="C326" s="1260"/>
      <c r="D326" s="1257"/>
      <c r="E326" s="1258"/>
      <c r="F326" s="1257"/>
    </row>
    <row r="327" spans="1:6">
      <c r="A327" s="1257"/>
      <c r="B327" s="1257"/>
      <c r="C327" s="1259"/>
      <c r="D327" s="1257"/>
      <c r="E327" s="1257"/>
      <c r="F327" s="1257"/>
    </row>
    <row r="328" spans="1:6">
      <c r="A328" s="1257"/>
      <c r="B328" s="1257"/>
      <c r="C328" s="1260"/>
      <c r="D328" s="1257"/>
      <c r="E328" s="1258"/>
      <c r="F328" s="1257"/>
    </row>
    <row r="329" spans="1:6">
      <c r="A329" s="1257"/>
      <c r="B329" s="1257"/>
      <c r="C329" s="1259"/>
      <c r="D329" s="1257"/>
      <c r="E329" s="1257"/>
      <c r="F329" s="1257"/>
    </row>
    <row r="330" spans="1:6">
      <c r="A330" s="1257"/>
      <c r="B330" s="1257"/>
      <c r="C330" s="1260"/>
      <c r="D330" s="1257"/>
      <c r="E330" s="1258"/>
      <c r="F330" s="1257"/>
    </row>
    <row r="331" spans="1:6">
      <c r="A331" s="1257"/>
      <c r="B331" s="1257"/>
      <c r="C331" s="1259"/>
      <c r="D331" s="1257"/>
      <c r="E331" s="1257"/>
      <c r="F331" s="1257"/>
    </row>
    <row r="332" spans="1:6">
      <c r="A332" s="1257"/>
      <c r="B332" s="1257"/>
      <c r="C332" s="1259"/>
      <c r="D332" s="1257"/>
      <c r="E332" s="1257"/>
      <c r="F332" s="1257"/>
    </row>
    <row r="333" spans="1:6">
      <c r="A333" s="1257"/>
      <c r="B333" s="1257"/>
      <c r="C333" s="1260"/>
      <c r="D333" s="1257"/>
      <c r="E333" s="1257"/>
      <c r="F333" s="1261"/>
    </row>
    <row r="334" spans="1:6">
      <c r="A334" s="1255"/>
      <c r="B334" s="1255"/>
      <c r="C334" s="1263"/>
      <c r="D334" s="1255"/>
      <c r="E334" s="1255"/>
      <c r="F334" s="1255"/>
    </row>
    <row r="335" spans="1:6">
      <c r="A335" s="1257"/>
      <c r="B335" s="1257"/>
      <c r="C335" s="1256"/>
      <c r="D335" s="1257"/>
      <c r="E335" s="1257"/>
      <c r="F335" s="1261"/>
    </row>
    <row r="336" spans="1:6">
      <c r="A336" s="1255"/>
      <c r="B336" s="1255"/>
      <c r="C336" s="1263"/>
      <c r="D336" s="1255"/>
      <c r="E336" s="1255"/>
      <c r="F336" s="1255"/>
    </row>
    <row r="337" spans="1:6">
      <c r="A337" s="1257"/>
      <c r="B337" s="1257"/>
      <c r="C337" s="1256"/>
      <c r="D337" s="1257"/>
      <c r="E337" s="1258"/>
      <c r="F337" s="1257"/>
    </row>
    <row r="338" spans="1:6">
      <c r="A338" s="1257"/>
      <c r="B338" s="1257"/>
      <c r="C338" s="1259"/>
      <c r="D338" s="1257"/>
      <c r="E338" s="1257"/>
      <c r="F338" s="1257"/>
    </row>
    <row r="339" spans="1:6">
      <c r="A339" s="1257"/>
      <c r="B339" s="1257"/>
      <c r="C339" s="1260"/>
      <c r="D339" s="1257"/>
      <c r="E339" s="1258"/>
      <c r="F339" s="1257"/>
    </row>
    <row r="340" spans="1:6">
      <c r="A340" s="1257"/>
      <c r="B340" s="1257"/>
      <c r="C340" s="1259"/>
      <c r="D340" s="1257"/>
      <c r="E340" s="1257"/>
      <c r="F340" s="1257"/>
    </row>
    <row r="341" spans="1:6">
      <c r="A341" s="1257"/>
      <c r="B341" s="1257"/>
      <c r="C341" s="1259"/>
      <c r="D341" s="1257"/>
      <c r="E341" s="1257"/>
      <c r="F341" s="1257"/>
    </row>
    <row r="342" spans="1:6">
      <c r="A342" s="1257"/>
      <c r="B342" s="1257"/>
      <c r="C342" s="1260"/>
      <c r="D342" s="1257"/>
      <c r="E342" s="1257"/>
      <c r="F342" s="1261"/>
    </row>
    <row r="343" spans="1:6">
      <c r="A343" s="1252"/>
      <c r="B343" s="1252"/>
      <c r="C343" s="1262"/>
      <c r="D343" s="1252"/>
      <c r="E343" s="1252"/>
      <c r="F343" s="1252"/>
    </row>
    <row r="344" spans="1:6">
      <c r="A344" s="1255"/>
      <c r="B344" s="1255"/>
      <c r="C344" s="1263"/>
      <c r="D344" s="1255"/>
      <c r="E344" s="1255"/>
      <c r="F344" s="1255"/>
    </row>
    <row r="345" spans="1:6">
      <c r="A345" s="1257"/>
      <c r="B345" s="1257"/>
      <c r="C345" s="1256"/>
      <c r="D345" s="1257"/>
      <c r="E345" s="1258"/>
      <c r="F345" s="1257"/>
    </row>
    <row r="346" spans="1:6">
      <c r="A346" s="1257"/>
      <c r="B346" s="1257"/>
      <c r="C346" s="1259"/>
      <c r="D346" s="1257"/>
      <c r="E346" s="1257"/>
      <c r="F346" s="1257"/>
    </row>
    <row r="347" spans="1:6">
      <c r="A347" s="1257"/>
      <c r="B347" s="1257"/>
      <c r="C347" s="1260"/>
      <c r="D347" s="1257"/>
      <c r="E347" s="1258"/>
      <c r="F347" s="1257"/>
    </row>
    <row r="348" spans="1:6">
      <c r="A348" s="1257"/>
      <c r="B348" s="1257"/>
      <c r="C348" s="1259"/>
      <c r="D348" s="1257"/>
      <c r="E348" s="1257"/>
      <c r="F348" s="1257"/>
    </row>
    <row r="349" spans="1:6">
      <c r="A349" s="1257"/>
      <c r="B349" s="1257"/>
      <c r="C349" s="1259"/>
      <c r="D349" s="1257"/>
      <c r="E349" s="1257"/>
      <c r="F349" s="1257"/>
    </row>
    <row r="350" spans="1:6">
      <c r="A350" s="1257"/>
      <c r="B350" s="1257"/>
      <c r="C350" s="1260"/>
      <c r="D350" s="1257"/>
      <c r="E350" s="1257"/>
      <c r="F350" s="1261"/>
    </row>
    <row r="351" spans="1:6">
      <c r="A351" s="1255"/>
      <c r="B351" s="1255"/>
      <c r="C351" s="1263"/>
      <c r="D351" s="1255"/>
      <c r="E351" s="1255"/>
      <c r="F351" s="1255"/>
    </row>
    <row r="352" spans="1:6">
      <c r="A352" s="1255"/>
      <c r="B352" s="1255"/>
      <c r="C352" s="1263"/>
      <c r="D352" s="1255"/>
      <c r="E352" s="1255"/>
      <c r="F352" s="1255"/>
    </row>
    <row r="353" spans="1:6">
      <c r="A353" s="1257"/>
      <c r="B353" s="1257"/>
      <c r="C353" s="1256"/>
      <c r="D353" s="1257"/>
      <c r="E353" s="1258"/>
      <c r="F353" s="1257"/>
    </row>
    <row r="354" spans="1:6">
      <c r="A354" s="1257"/>
      <c r="B354" s="1257"/>
      <c r="C354" s="1259"/>
      <c r="D354" s="1257"/>
      <c r="E354" s="1257"/>
      <c r="F354" s="1257"/>
    </row>
    <row r="355" spans="1:6">
      <c r="A355" s="1257"/>
      <c r="B355" s="1257"/>
      <c r="C355" s="1260"/>
      <c r="D355" s="1257"/>
      <c r="E355" s="1258"/>
      <c r="F355" s="1257"/>
    </row>
    <row r="356" spans="1:6">
      <c r="A356" s="1257"/>
      <c r="B356" s="1257"/>
      <c r="C356" s="1259"/>
      <c r="D356" s="1257"/>
      <c r="E356" s="1257"/>
      <c r="F356" s="1257"/>
    </row>
    <row r="357" spans="1:6">
      <c r="A357" s="1257"/>
      <c r="B357" s="1257"/>
      <c r="C357" s="1259"/>
      <c r="D357" s="1257"/>
      <c r="E357" s="1257"/>
      <c r="F357" s="1257"/>
    </row>
    <row r="358" spans="1:6">
      <c r="A358" s="1257"/>
      <c r="B358" s="1257"/>
      <c r="C358" s="1260"/>
      <c r="D358" s="1257"/>
      <c r="E358" s="1257"/>
      <c r="F358" s="1261"/>
    </row>
    <row r="359" spans="1:6">
      <c r="A359" s="1255"/>
      <c r="B359" s="1255"/>
      <c r="C359" s="1263"/>
      <c r="D359" s="1255"/>
      <c r="E359" s="1255"/>
      <c r="F359" s="1255"/>
    </row>
    <row r="360" spans="1:6">
      <c r="A360" s="1255"/>
      <c r="B360" s="1255"/>
      <c r="C360" s="1263"/>
      <c r="D360" s="1255"/>
      <c r="E360" s="1255"/>
      <c r="F360" s="1255"/>
    </row>
    <row r="361" spans="1:6">
      <c r="A361" s="1257"/>
      <c r="B361" s="1257"/>
      <c r="C361" s="1256"/>
      <c r="D361" s="1257"/>
      <c r="E361" s="1258"/>
      <c r="F361" s="1257"/>
    </row>
    <row r="362" spans="1:6">
      <c r="A362" s="1257"/>
      <c r="B362" s="1257"/>
      <c r="C362" s="1259"/>
      <c r="D362" s="1257"/>
      <c r="E362" s="1257"/>
      <c r="F362" s="1257"/>
    </row>
    <row r="363" spans="1:6">
      <c r="A363" s="1257"/>
      <c r="B363" s="1257"/>
      <c r="C363" s="1260"/>
      <c r="D363" s="1257"/>
      <c r="E363" s="1258"/>
      <c r="F363" s="1257"/>
    </row>
    <row r="364" spans="1:6">
      <c r="A364" s="1257"/>
      <c r="B364" s="1257"/>
      <c r="C364" s="1259"/>
      <c r="D364" s="1257"/>
      <c r="E364" s="1257"/>
      <c r="F364" s="1257"/>
    </row>
    <row r="365" spans="1:6">
      <c r="A365" s="1257"/>
      <c r="B365" s="1257"/>
      <c r="C365" s="1259"/>
      <c r="D365" s="1257"/>
      <c r="E365" s="1257"/>
      <c r="F365" s="1257"/>
    </row>
    <row r="366" spans="1:6">
      <c r="A366" s="1257"/>
      <c r="B366" s="1257"/>
      <c r="C366" s="1260"/>
      <c r="D366" s="1257"/>
      <c r="E366" s="1257"/>
      <c r="F366" s="1261"/>
    </row>
    <row r="367" spans="1:6">
      <c r="A367" s="1255"/>
      <c r="B367" s="1255"/>
      <c r="C367" s="1263"/>
      <c r="D367" s="1255"/>
      <c r="E367" s="1255"/>
      <c r="F367" s="1255"/>
    </row>
    <row r="368" spans="1:6">
      <c r="A368" s="1257"/>
      <c r="B368" s="1257"/>
      <c r="C368" s="1256"/>
      <c r="D368" s="1257"/>
      <c r="E368" s="1258"/>
      <c r="F368" s="1257"/>
    </row>
    <row r="369" spans="1:6">
      <c r="A369" s="1257"/>
      <c r="B369" s="1257"/>
      <c r="C369" s="1259"/>
      <c r="D369" s="1257"/>
      <c r="E369" s="1257"/>
      <c r="F369" s="1257"/>
    </row>
    <row r="370" spans="1:6">
      <c r="A370" s="1257"/>
      <c r="B370" s="1257"/>
      <c r="C370" s="1260"/>
      <c r="D370" s="1257"/>
      <c r="E370" s="1258"/>
      <c r="F370" s="1257"/>
    </row>
    <row r="371" spans="1:6">
      <c r="A371" s="1257"/>
      <c r="B371" s="1257"/>
      <c r="C371" s="1259"/>
      <c r="D371" s="1257"/>
      <c r="E371" s="1257"/>
      <c r="F371" s="1257"/>
    </row>
    <row r="372" spans="1:6">
      <c r="A372" s="1257"/>
      <c r="B372" s="1257"/>
      <c r="C372" s="1260"/>
      <c r="D372" s="1257"/>
      <c r="E372" s="1257"/>
      <c r="F372" s="1261"/>
    </row>
    <row r="373" spans="1:6">
      <c r="A373" s="1255"/>
      <c r="B373" s="1255"/>
      <c r="C373" s="1263"/>
      <c r="D373" s="1255"/>
      <c r="E373" s="1255"/>
      <c r="F373" s="1255"/>
    </row>
    <row r="374" spans="1:6">
      <c r="A374" s="1257"/>
      <c r="B374" s="1257"/>
      <c r="C374" s="1256"/>
      <c r="D374" s="1257"/>
      <c r="E374" s="1258"/>
      <c r="F374" s="1257"/>
    </row>
    <row r="375" spans="1:6">
      <c r="A375" s="1257"/>
      <c r="B375" s="1257"/>
      <c r="C375" s="1259"/>
      <c r="D375" s="1257"/>
      <c r="E375" s="1257"/>
      <c r="F375" s="1257"/>
    </row>
    <row r="376" spans="1:6">
      <c r="A376" s="1257"/>
      <c r="B376" s="1257"/>
      <c r="C376" s="1260"/>
      <c r="D376" s="1257"/>
      <c r="E376" s="1258"/>
      <c r="F376" s="1257"/>
    </row>
    <row r="377" spans="1:6">
      <c r="A377" s="1257"/>
      <c r="B377" s="1257"/>
      <c r="C377" s="1259"/>
      <c r="D377" s="1257"/>
      <c r="E377" s="1257"/>
      <c r="F377" s="1257"/>
    </row>
    <row r="378" spans="1:6">
      <c r="A378" s="1257"/>
      <c r="B378" s="1257"/>
      <c r="C378" s="1259"/>
      <c r="D378" s="1257"/>
      <c r="E378" s="1257"/>
      <c r="F378" s="1257"/>
    </row>
    <row r="379" spans="1:6">
      <c r="A379" s="1257"/>
      <c r="B379" s="1257"/>
      <c r="C379" s="1260"/>
      <c r="D379" s="1257"/>
      <c r="E379" s="1257"/>
      <c r="F379" s="1261"/>
    </row>
    <row r="380" spans="1:6">
      <c r="A380" s="1255"/>
      <c r="B380" s="1255"/>
      <c r="C380" s="1263"/>
      <c r="D380" s="1255"/>
      <c r="E380" s="1255"/>
      <c r="F380" s="1255"/>
    </row>
    <row r="381" spans="1:6">
      <c r="A381" s="1255"/>
      <c r="B381" s="1255"/>
      <c r="C381" s="1263"/>
      <c r="D381" s="1255"/>
      <c r="E381" s="1255"/>
      <c r="F381" s="1255"/>
    </row>
    <row r="382" spans="1:6">
      <c r="A382" s="1268"/>
      <c r="B382" s="1255"/>
      <c r="C382" s="1263"/>
      <c r="D382" s="1255"/>
      <c r="E382" s="1255"/>
      <c r="F382" s="1255"/>
    </row>
    <row r="383" spans="1:6" s="1267" customFormat="1">
      <c r="A383" s="1255"/>
      <c r="B383" s="1255"/>
      <c r="C383" s="1263"/>
      <c r="D383" s="1255"/>
      <c r="E383" s="1255"/>
      <c r="F383" s="1255"/>
    </row>
    <row r="384" spans="1:6" s="1267" customFormat="1">
      <c r="A384" s="1255"/>
      <c r="B384" s="1255"/>
      <c r="C384" s="1263"/>
      <c r="D384" s="1255"/>
      <c r="E384" s="1255"/>
      <c r="F384" s="1255"/>
    </row>
    <row r="385" spans="1:6" s="1267" customFormat="1">
      <c r="A385" s="1255"/>
      <c r="B385" s="1255"/>
      <c r="C385" s="1263"/>
      <c r="D385" s="1255"/>
      <c r="E385" s="1255"/>
      <c r="F385" s="1255"/>
    </row>
    <row r="386" spans="1:6" s="1267" customFormat="1">
      <c r="A386" s="1255"/>
      <c r="B386" s="1255"/>
      <c r="C386" s="1263"/>
      <c r="D386" s="1255"/>
      <c r="E386" s="1255"/>
      <c r="F386" s="1255"/>
    </row>
    <row r="387" spans="1:6" s="1267" customFormat="1">
      <c r="A387" s="1255"/>
      <c r="B387" s="1255"/>
      <c r="C387" s="1263"/>
      <c r="D387" s="1255"/>
      <c r="E387" s="1255"/>
      <c r="F387" s="1255"/>
    </row>
    <row r="388" spans="1:6" s="1267" customFormat="1">
      <c r="A388" s="1255"/>
      <c r="B388" s="1255"/>
      <c r="C388" s="1263"/>
      <c r="D388" s="1255"/>
      <c r="E388" s="1255"/>
      <c r="F388" s="1255"/>
    </row>
    <row r="389" spans="1:6" s="1267" customFormat="1">
      <c r="A389" s="1255"/>
      <c r="B389" s="1255"/>
      <c r="C389" s="1263"/>
      <c r="D389" s="1255"/>
      <c r="E389" s="1255"/>
      <c r="F389" s="1255"/>
    </row>
    <row r="390" spans="1:6" s="1267" customFormat="1">
      <c r="A390" s="1255"/>
      <c r="B390" s="1255"/>
      <c r="C390" s="1263"/>
      <c r="D390" s="1255"/>
      <c r="E390" s="1255"/>
      <c r="F390" s="1255"/>
    </row>
    <row r="391" spans="1:6" s="1267" customFormat="1">
      <c r="A391" s="1255"/>
      <c r="B391" s="1255"/>
      <c r="C391" s="1263"/>
      <c r="D391" s="1255"/>
      <c r="E391" s="1255"/>
      <c r="F391" s="1255"/>
    </row>
    <row r="392" spans="1:6" s="1267" customFormat="1">
      <c r="A392" s="1269"/>
      <c r="B392" s="1255"/>
      <c r="C392" s="1263"/>
      <c r="D392" s="1255"/>
      <c r="E392" s="1255"/>
      <c r="F392" s="1255"/>
    </row>
    <row r="393" spans="1:6" s="1267" customFormat="1">
      <c r="A393" s="1269"/>
      <c r="B393" s="1255"/>
      <c r="C393" s="1263"/>
      <c r="D393" s="1255"/>
      <c r="E393" s="1255"/>
      <c r="F393" s="1255"/>
    </row>
    <row r="394" spans="1:6" s="1267" customFormat="1">
      <c r="A394" s="1269"/>
      <c r="B394" s="1255"/>
      <c r="C394" s="1263"/>
      <c r="D394" s="1255"/>
      <c r="E394" s="1255"/>
      <c r="F394" s="1255"/>
    </row>
    <row r="395" spans="1:6" s="1267" customFormat="1">
      <c r="A395" s="1255"/>
      <c r="B395" s="1255"/>
      <c r="C395" s="1263"/>
      <c r="D395" s="1255"/>
      <c r="E395" s="1255"/>
      <c r="F395" s="1255"/>
    </row>
    <row r="396" spans="1:6" s="1267" customFormat="1">
      <c r="A396" s="1255"/>
      <c r="B396" s="1255"/>
      <c r="C396" s="1263"/>
      <c r="D396" s="1255"/>
      <c r="E396" s="1255"/>
      <c r="F396" s="1255"/>
    </row>
    <row r="397" spans="1:6" s="1267" customFormat="1">
      <c r="A397" s="1255"/>
      <c r="B397" s="1255"/>
      <c r="C397" s="1263"/>
      <c r="D397" s="1255"/>
      <c r="E397" s="1255"/>
      <c r="F397" s="1255"/>
    </row>
    <row r="398" spans="1:6" s="1267" customFormat="1">
      <c r="A398" s="1255"/>
      <c r="B398" s="1255"/>
      <c r="C398" s="1263"/>
      <c r="D398" s="1270"/>
      <c r="E398" s="1255"/>
      <c r="F398" s="1255"/>
    </row>
    <row r="399" spans="1:6" s="1267" customFormat="1">
      <c r="A399" s="1255"/>
      <c r="B399" s="1255"/>
      <c r="C399" s="1263"/>
      <c r="D399" s="1255"/>
      <c r="E399" s="1255"/>
      <c r="F399" s="1255"/>
    </row>
    <row r="400" spans="1:6" s="1267" customFormat="1">
      <c r="A400" s="1255"/>
      <c r="B400" s="1255"/>
      <c r="C400" s="1263"/>
      <c r="D400" s="1255"/>
      <c r="E400" s="1255"/>
      <c r="F400" s="1255"/>
    </row>
    <row r="401" spans="1:6" s="1267" customFormat="1">
      <c r="A401" s="1255"/>
      <c r="B401" s="1255"/>
      <c r="C401" s="1263"/>
      <c r="D401" s="1255"/>
      <c r="E401" s="1255"/>
      <c r="F401" s="1255"/>
    </row>
    <row r="402" spans="1:6" s="1267" customFormat="1">
      <c r="A402" s="1255"/>
      <c r="B402" s="1255"/>
      <c r="C402" s="1263"/>
      <c r="D402" s="1255"/>
      <c r="E402" s="1255"/>
      <c r="F402" s="1255"/>
    </row>
    <row r="403" spans="1:6" s="1267" customFormat="1">
      <c r="A403" s="1255"/>
      <c r="B403" s="1255"/>
      <c r="C403" s="1263"/>
      <c r="D403" s="1255"/>
      <c r="E403" s="1255"/>
      <c r="F403" s="1255"/>
    </row>
    <row r="404" spans="1:6" s="1267" customFormat="1">
      <c r="A404" s="1255"/>
      <c r="B404" s="1255"/>
      <c r="C404" s="1263"/>
      <c r="D404" s="1255"/>
      <c r="E404" s="1255"/>
      <c r="F404" s="1255"/>
    </row>
    <row r="405" spans="1:6" s="1267" customFormat="1">
      <c r="A405" s="1255"/>
      <c r="B405" s="1255"/>
      <c r="C405" s="1263"/>
      <c r="D405" s="1255"/>
      <c r="E405" s="1255"/>
      <c r="F405" s="1255"/>
    </row>
    <row r="406" spans="1:6" s="1267" customFormat="1">
      <c r="A406" s="1255"/>
      <c r="B406" s="1255"/>
      <c r="C406" s="1263"/>
      <c r="D406" s="1255"/>
      <c r="E406" s="1255"/>
      <c r="F406" s="1255"/>
    </row>
    <row r="407" spans="1:6" s="1267" customFormat="1">
      <c r="A407" s="1268"/>
      <c r="B407" s="1255"/>
      <c r="C407" s="1263"/>
      <c r="D407" s="1255"/>
      <c r="E407" s="1255"/>
      <c r="F407" s="1255"/>
    </row>
    <row r="408" spans="1:6" s="1267" customFormat="1">
      <c r="A408" s="1255"/>
      <c r="B408" s="1255"/>
      <c r="C408" s="1263"/>
      <c r="D408" s="1255"/>
      <c r="E408" s="1255"/>
      <c r="F408" s="1255"/>
    </row>
    <row r="409" spans="1:6" s="1267" customFormat="1">
      <c r="A409" s="1255"/>
      <c r="B409" s="1255"/>
      <c r="C409" s="1263"/>
      <c r="D409" s="1255"/>
      <c r="E409" s="1255"/>
      <c r="F409" s="1255"/>
    </row>
    <row r="410" spans="1:6" s="1267" customFormat="1">
      <c r="A410" s="1255"/>
      <c r="B410" s="1255"/>
      <c r="C410" s="1263"/>
      <c r="D410" s="1255"/>
      <c r="E410" s="1255"/>
      <c r="F410" s="1255"/>
    </row>
    <row r="411" spans="1:6" s="1267" customFormat="1">
      <c r="A411" s="1255"/>
      <c r="B411" s="1255"/>
      <c r="C411" s="1263"/>
      <c r="D411" s="1255"/>
      <c r="E411" s="1255"/>
      <c r="F411" s="1255"/>
    </row>
    <row r="412" spans="1:6" s="1267" customFormat="1">
      <c r="A412" s="1255"/>
      <c r="B412" s="1255"/>
      <c r="C412" s="1263"/>
      <c r="D412" s="1255"/>
      <c r="E412" s="1255"/>
      <c r="F412" s="1255"/>
    </row>
    <row r="413" spans="1:6" s="1267" customFormat="1">
      <c r="A413" s="1255"/>
      <c r="B413" s="1255"/>
      <c r="C413" s="1263"/>
      <c r="D413" s="1255"/>
      <c r="E413" s="1255"/>
      <c r="F413" s="1255"/>
    </row>
    <row r="414" spans="1:6" s="1267" customFormat="1">
      <c r="A414" s="1255"/>
      <c r="B414" s="1255"/>
      <c r="C414" s="1263"/>
      <c r="D414" s="1255"/>
      <c r="E414" s="1255"/>
      <c r="F414" s="1255"/>
    </row>
    <row r="415" spans="1:6" s="1267" customFormat="1">
      <c r="A415" s="1255"/>
      <c r="B415" s="1255"/>
      <c r="C415" s="1263"/>
      <c r="D415" s="1255"/>
      <c r="E415" s="1255"/>
      <c r="F415" s="1255"/>
    </row>
    <row r="416" spans="1:6" s="1267" customFormat="1">
      <c r="A416" s="1255"/>
      <c r="B416" s="1255"/>
      <c r="C416" s="1263"/>
      <c r="D416" s="1255"/>
      <c r="E416" s="1255"/>
      <c r="F416" s="1255"/>
    </row>
    <row r="417" spans="1:6" s="1267" customFormat="1">
      <c r="A417" s="1255"/>
      <c r="B417" s="1255"/>
      <c r="C417" s="1263"/>
      <c r="D417" s="1255"/>
      <c r="E417" s="1255"/>
      <c r="F417" s="1255"/>
    </row>
    <row r="418" spans="1:6" s="1267" customFormat="1">
      <c r="A418" s="1269"/>
      <c r="B418" s="1255"/>
      <c r="C418" s="1263"/>
      <c r="D418" s="1255"/>
      <c r="E418" s="1255"/>
      <c r="F418" s="1255"/>
    </row>
    <row r="419" spans="1:6" s="1267" customFormat="1">
      <c r="A419" s="1269"/>
      <c r="B419" s="1255"/>
      <c r="C419" s="1263"/>
      <c r="D419" s="1255"/>
      <c r="E419" s="1255"/>
      <c r="F419" s="1255"/>
    </row>
    <row r="420" spans="1:6" s="1267" customFormat="1">
      <c r="A420" s="1269"/>
      <c r="B420" s="1255"/>
      <c r="C420" s="1263"/>
      <c r="D420" s="1255"/>
      <c r="E420" s="1255"/>
      <c r="F420" s="1255"/>
    </row>
    <row r="421" spans="1:6" s="1267" customFormat="1">
      <c r="A421" s="1255"/>
      <c r="B421" s="1255"/>
      <c r="C421" s="1263"/>
      <c r="D421" s="1255"/>
      <c r="E421" s="1255"/>
      <c r="F421" s="1255"/>
    </row>
    <row r="422" spans="1:6" s="1267" customFormat="1">
      <c r="A422" s="1255"/>
      <c r="B422" s="1255"/>
      <c r="C422" s="1263"/>
      <c r="D422" s="1255"/>
      <c r="E422" s="1255"/>
      <c r="F422" s="1255"/>
    </row>
    <row r="423" spans="1:6" s="1267" customFormat="1">
      <c r="A423" s="1255"/>
      <c r="B423" s="1255"/>
      <c r="C423" s="1263"/>
      <c r="D423" s="1255"/>
      <c r="E423" s="1255"/>
      <c r="F423" s="1255"/>
    </row>
    <row r="424" spans="1:6" s="1267" customFormat="1">
      <c r="A424" s="1255"/>
      <c r="B424" s="1255"/>
      <c r="C424" s="1263"/>
      <c r="D424" s="1270"/>
      <c r="E424" s="1255"/>
      <c r="F424" s="1255"/>
    </row>
  </sheetData>
  <mergeCells count="4">
    <mergeCell ref="A1:F1"/>
    <mergeCell ref="A2:F2"/>
    <mergeCell ref="A3:F3"/>
    <mergeCell ref="A4:F4"/>
  </mergeCells>
  <printOptions horizontalCentered="1"/>
  <pageMargins left="0.5" right="0.5" top="0.5" bottom="0.5" header="0.3" footer="0.3"/>
  <pageSetup paperSize="9" scale="83" orientation="portrait" r:id="rId1"/>
  <headerFooter>
    <oddHeader>&amp;C&amp;P</oddHeader>
  </headerFooter>
</worksheet>
</file>

<file path=xl/worksheets/sheet7.xml><?xml version="1.0" encoding="utf-8"?>
<worksheet xmlns="http://schemas.openxmlformats.org/spreadsheetml/2006/main" xmlns:r="http://schemas.openxmlformats.org/officeDocument/2006/relationships">
  <sheetPr codeName="Sheet47"/>
  <dimension ref="A1:T122"/>
  <sheetViews>
    <sheetView view="pageBreakPreview" topLeftCell="A106" zoomScale="85" zoomScaleSheetLayoutView="85" workbookViewId="0">
      <selection activeCell="K118" sqref="K118"/>
    </sheetView>
  </sheetViews>
  <sheetFormatPr defaultRowHeight="15.75"/>
  <cols>
    <col min="1" max="1" width="9.42578125" style="1278" customWidth="1"/>
    <col min="2" max="2" width="5" style="1282" customWidth="1"/>
    <col min="3" max="3" width="41.5703125" style="1283" customWidth="1"/>
    <col min="4" max="5" width="7.5703125" style="1284" customWidth="1"/>
    <col min="6" max="6" width="9.140625" style="1285"/>
    <col min="7" max="7" width="8.7109375" style="1285" customWidth="1"/>
    <col min="8" max="8" width="12.42578125" style="1285" customWidth="1"/>
    <col min="9" max="9" width="9.140625" style="1286"/>
    <col min="10" max="256" width="9.140625" style="1278"/>
    <col min="257" max="257" width="9.42578125" style="1278" customWidth="1"/>
    <col min="258" max="258" width="5" style="1278" customWidth="1"/>
    <col min="259" max="259" width="41.5703125" style="1278" customWidth="1"/>
    <col min="260" max="261" width="7.5703125" style="1278" customWidth="1"/>
    <col min="262" max="262" width="9.140625" style="1278"/>
    <col min="263" max="263" width="8.7109375" style="1278" customWidth="1"/>
    <col min="264" max="264" width="12.42578125" style="1278" customWidth="1"/>
    <col min="265" max="512" width="9.140625" style="1278"/>
    <col min="513" max="513" width="9.42578125" style="1278" customWidth="1"/>
    <col min="514" max="514" width="5" style="1278" customWidth="1"/>
    <col min="515" max="515" width="41.5703125" style="1278" customWidth="1"/>
    <col min="516" max="517" width="7.5703125" style="1278" customWidth="1"/>
    <col min="518" max="518" width="9.140625" style="1278"/>
    <col min="519" max="519" width="8.7109375" style="1278" customWidth="1"/>
    <col min="520" max="520" width="12.42578125" style="1278" customWidth="1"/>
    <col min="521" max="768" width="9.140625" style="1278"/>
    <col min="769" max="769" width="9.42578125" style="1278" customWidth="1"/>
    <col min="770" max="770" width="5" style="1278" customWidth="1"/>
    <col min="771" max="771" width="41.5703125" style="1278" customWidth="1"/>
    <col min="772" max="773" width="7.5703125" style="1278" customWidth="1"/>
    <col min="774" max="774" width="9.140625" style="1278"/>
    <col min="775" max="775" width="8.7109375" style="1278" customWidth="1"/>
    <col min="776" max="776" width="12.42578125" style="1278" customWidth="1"/>
    <col min="777" max="1024" width="9.140625" style="1278"/>
    <col min="1025" max="1025" width="9.42578125" style="1278" customWidth="1"/>
    <col min="1026" max="1026" width="5" style="1278" customWidth="1"/>
    <col min="1027" max="1027" width="41.5703125" style="1278" customWidth="1"/>
    <col min="1028" max="1029" width="7.5703125" style="1278" customWidth="1"/>
    <col min="1030" max="1030" width="9.140625" style="1278"/>
    <col min="1031" max="1031" width="8.7109375" style="1278" customWidth="1"/>
    <col min="1032" max="1032" width="12.42578125" style="1278" customWidth="1"/>
    <col min="1033" max="1280" width="9.140625" style="1278"/>
    <col min="1281" max="1281" width="9.42578125" style="1278" customWidth="1"/>
    <col min="1282" max="1282" width="5" style="1278" customWidth="1"/>
    <col min="1283" max="1283" width="41.5703125" style="1278" customWidth="1"/>
    <col min="1284" max="1285" width="7.5703125" style="1278" customWidth="1"/>
    <col min="1286" max="1286" width="9.140625" style="1278"/>
    <col min="1287" max="1287" width="8.7109375" style="1278" customWidth="1"/>
    <col min="1288" max="1288" width="12.42578125" style="1278" customWidth="1"/>
    <col min="1289" max="1536" width="9.140625" style="1278"/>
    <col min="1537" max="1537" width="9.42578125" style="1278" customWidth="1"/>
    <col min="1538" max="1538" width="5" style="1278" customWidth="1"/>
    <col min="1539" max="1539" width="41.5703125" style="1278" customWidth="1"/>
    <col min="1540" max="1541" width="7.5703125" style="1278" customWidth="1"/>
    <col min="1542" max="1542" width="9.140625" style="1278"/>
    <col min="1543" max="1543" width="8.7109375" style="1278" customWidth="1"/>
    <col min="1544" max="1544" width="12.42578125" style="1278" customWidth="1"/>
    <col min="1545" max="1792" width="9.140625" style="1278"/>
    <col min="1793" max="1793" width="9.42578125" style="1278" customWidth="1"/>
    <col min="1794" max="1794" width="5" style="1278" customWidth="1"/>
    <col min="1795" max="1795" width="41.5703125" style="1278" customWidth="1"/>
    <col min="1796" max="1797" width="7.5703125" style="1278" customWidth="1"/>
    <col min="1798" max="1798" width="9.140625" style="1278"/>
    <col min="1799" max="1799" width="8.7109375" style="1278" customWidth="1"/>
    <col min="1800" max="1800" width="12.42578125" style="1278" customWidth="1"/>
    <col min="1801" max="2048" width="9.140625" style="1278"/>
    <col min="2049" max="2049" width="9.42578125" style="1278" customWidth="1"/>
    <col min="2050" max="2050" width="5" style="1278" customWidth="1"/>
    <col min="2051" max="2051" width="41.5703125" style="1278" customWidth="1"/>
    <col min="2052" max="2053" width="7.5703125" style="1278" customWidth="1"/>
    <col min="2054" max="2054" width="9.140625" style="1278"/>
    <col min="2055" max="2055" width="8.7109375" style="1278" customWidth="1"/>
    <col min="2056" max="2056" width="12.42578125" style="1278" customWidth="1"/>
    <col min="2057" max="2304" width="9.140625" style="1278"/>
    <col min="2305" max="2305" width="9.42578125" style="1278" customWidth="1"/>
    <col min="2306" max="2306" width="5" style="1278" customWidth="1"/>
    <col min="2307" max="2307" width="41.5703125" style="1278" customWidth="1"/>
    <col min="2308" max="2309" width="7.5703125" style="1278" customWidth="1"/>
    <col min="2310" max="2310" width="9.140625" style="1278"/>
    <col min="2311" max="2311" width="8.7109375" style="1278" customWidth="1"/>
    <col min="2312" max="2312" width="12.42578125" style="1278" customWidth="1"/>
    <col min="2313" max="2560" width="9.140625" style="1278"/>
    <col min="2561" max="2561" width="9.42578125" style="1278" customWidth="1"/>
    <col min="2562" max="2562" width="5" style="1278" customWidth="1"/>
    <col min="2563" max="2563" width="41.5703125" style="1278" customWidth="1"/>
    <col min="2564" max="2565" width="7.5703125" style="1278" customWidth="1"/>
    <col min="2566" max="2566" width="9.140625" style="1278"/>
    <col min="2567" max="2567" width="8.7109375" style="1278" customWidth="1"/>
    <col min="2568" max="2568" width="12.42578125" style="1278" customWidth="1"/>
    <col min="2569" max="2816" width="9.140625" style="1278"/>
    <col min="2817" max="2817" width="9.42578125" style="1278" customWidth="1"/>
    <col min="2818" max="2818" width="5" style="1278" customWidth="1"/>
    <col min="2819" max="2819" width="41.5703125" style="1278" customWidth="1"/>
    <col min="2820" max="2821" width="7.5703125" style="1278" customWidth="1"/>
    <col min="2822" max="2822" width="9.140625" style="1278"/>
    <col min="2823" max="2823" width="8.7109375" style="1278" customWidth="1"/>
    <col min="2824" max="2824" width="12.42578125" style="1278" customWidth="1"/>
    <col min="2825" max="3072" width="9.140625" style="1278"/>
    <col min="3073" max="3073" width="9.42578125" style="1278" customWidth="1"/>
    <col min="3074" max="3074" width="5" style="1278" customWidth="1"/>
    <col min="3075" max="3075" width="41.5703125" style="1278" customWidth="1"/>
    <col min="3076" max="3077" width="7.5703125" style="1278" customWidth="1"/>
    <col min="3078" max="3078" width="9.140625" style="1278"/>
    <col min="3079" max="3079" width="8.7109375" style="1278" customWidth="1"/>
    <col min="3080" max="3080" width="12.42578125" style="1278" customWidth="1"/>
    <col min="3081" max="3328" width="9.140625" style="1278"/>
    <col min="3329" max="3329" width="9.42578125" style="1278" customWidth="1"/>
    <col min="3330" max="3330" width="5" style="1278" customWidth="1"/>
    <col min="3331" max="3331" width="41.5703125" style="1278" customWidth="1"/>
    <col min="3332" max="3333" width="7.5703125" style="1278" customWidth="1"/>
    <col min="3334" max="3334" width="9.140625" style="1278"/>
    <col min="3335" max="3335" width="8.7109375" style="1278" customWidth="1"/>
    <col min="3336" max="3336" width="12.42578125" style="1278" customWidth="1"/>
    <col min="3337" max="3584" width="9.140625" style="1278"/>
    <col min="3585" max="3585" width="9.42578125" style="1278" customWidth="1"/>
    <col min="3586" max="3586" width="5" style="1278" customWidth="1"/>
    <col min="3587" max="3587" width="41.5703125" style="1278" customWidth="1"/>
    <col min="3588" max="3589" width="7.5703125" style="1278" customWidth="1"/>
    <col min="3590" max="3590" width="9.140625" style="1278"/>
    <col min="3591" max="3591" width="8.7109375" style="1278" customWidth="1"/>
    <col min="3592" max="3592" width="12.42578125" style="1278" customWidth="1"/>
    <col min="3593" max="3840" width="9.140625" style="1278"/>
    <col min="3841" max="3841" width="9.42578125" style="1278" customWidth="1"/>
    <col min="3842" max="3842" width="5" style="1278" customWidth="1"/>
    <col min="3843" max="3843" width="41.5703125" style="1278" customWidth="1"/>
    <col min="3844" max="3845" width="7.5703125" style="1278" customWidth="1"/>
    <col min="3846" max="3846" width="9.140625" style="1278"/>
    <col min="3847" max="3847" width="8.7109375" style="1278" customWidth="1"/>
    <col min="3848" max="3848" width="12.42578125" style="1278" customWidth="1"/>
    <col min="3849" max="4096" width="9.140625" style="1278"/>
    <col min="4097" max="4097" width="9.42578125" style="1278" customWidth="1"/>
    <col min="4098" max="4098" width="5" style="1278" customWidth="1"/>
    <col min="4099" max="4099" width="41.5703125" style="1278" customWidth="1"/>
    <col min="4100" max="4101" width="7.5703125" style="1278" customWidth="1"/>
    <col min="4102" max="4102" width="9.140625" style="1278"/>
    <col min="4103" max="4103" width="8.7109375" style="1278" customWidth="1"/>
    <col min="4104" max="4104" width="12.42578125" style="1278" customWidth="1"/>
    <col min="4105" max="4352" width="9.140625" style="1278"/>
    <col min="4353" max="4353" width="9.42578125" style="1278" customWidth="1"/>
    <col min="4354" max="4354" width="5" style="1278" customWidth="1"/>
    <col min="4355" max="4355" width="41.5703125" style="1278" customWidth="1"/>
    <col min="4356" max="4357" width="7.5703125" style="1278" customWidth="1"/>
    <col min="4358" max="4358" width="9.140625" style="1278"/>
    <col min="4359" max="4359" width="8.7109375" style="1278" customWidth="1"/>
    <col min="4360" max="4360" width="12.42578125" style="1278" customWidth="1"/>
    <col min="4361" max="4608" width="9.140625" style="1278"/>
    <col min="4609" max="4609" width="9.42578125" style="1278" customWidth="1"/>
    <col min="4610" max="4610" width="5" style="1278" customWidth="1"/>
    <col min="4611" max="4611" width="41.5703125" style="1278" customWidth="1"/>
    <col min="4612" max="4613" width="7.5703125" style="1278" customWidth="1"/>
    <col min="4614" max="4614" width="9.140625" style="1278"/>
    <col min="4615" max="4615" width="8.7109375" style="1278" customWidth="1"/>
    <col min="4616" max="4616" width="12.42578125" style="1278" customWidth="1"/>
    <col min="4617" max="4864" width="9.140625" style="1278"/>
    <col min="4865" max="4865" width="9.42578125" style="1278" customWidth="1"/>
    <col min="4866" max="4866" width="5" style="1278" customWidth="1"/>
    <col min="4867" max="4867" width="41.5703125" style="1278" customWidth="1"/>
    <col min="4868" max="4869" width="7.5703125" style="1278" customWidth="1"/>
    <col min="4870" max="4870" width="9.140625" style="1278"/>
    <col min="4871" max="4871" width="8.7109375" style="1278" customWidth="1"/>
    <col min="4872" max="4872" width="12.42578125" style="1278" customWidth="1"/>
    <col min="4873" max="5120" width="9.140625" style="1278"/>
    <col min="5121" max="5121" width="9.42578125" style="1278" customWidth="1"/>
    <col min="5122" max="5122" width="5" style="1278" customWidth="1"/>
    <col min="5123" max="5123" width="41.5703125" style="1278" customWidth="1"/>
    <col min="5124" max="5125" width="7.5703125" style="1278" customWidth="1"/>
    <col min="5126" max="5126" width="9.140625" style="1278"/>
    <col min="5127" max="5127" width="8.7109375" style="1278" customWidth="1"/>
    <col min="5128" max="5128" width="12.42578125" style="1278" customWidth="1"/>
    <col min="5129" max="5376" width="9.140625" style="1278"/>
    <col min="5377" max="5377" width="9.42578125" style="1278" customWidth="1"/>
    <col min="5378" max="5378" width="5" style="1278" customWidth="1"/>
    <col min="5379" max="5379" width="41.5703125" style="1278" customWidth="1"/>
    <col min="5380" max="5381" width="7.5703125" style="1278" customWidth="1"/>
    <col min="5382" max="5382" width="9.140625" style="1278"/>
    <col min="5383" max="5383" width="8.7109375" style="1278" customWidth="1"/>
    <col min="5384" max="5384" width="12.42578125" style="1278" customWidth="1"/>
    <col min="5385" max="5632" width="9.140625" style="1278"/>
    <col min="5633" max="5633" width="9.42578125" style="1278" customWidth="1"/>
    <col min="5634" max="5634" width="5" style="1278" customWidth="1"/>
    <col min="5635" max="5635" width="41.5703125" style="1278" customWidth="1"/>
    <col min="5636" max="5637" width="7.5703125" style="1278" customWidth="1"/>
    <col min="5638" max="5638" width="9.140625" style="1278"/>
    <col min="5639" max="5639" width="8.7109375" style="1278" customWidth="1"/>
    <col min="5640" max="5640" width="12.42578125" style="1278" customWidth="1"/>
    <col min="5641" max="5888" width="9.140625" style="1278"/>
    <col min="5889" max="5889" width="9.42578125" style="1278" customWidth="1"/>
    <col min="5890" max="5890" width="5" style="1278" customWidth="1"/>
    <col min="5891" max="5891" width="41.5703125" style="1278" customWidth="1"/>
    <col min="5892" max="5893" width="7.5703125" style="1278" customWidth="1"/>
    <col min="5894" max="5894" width="9.140625" style="1278"/>
    <col min="5895" max="5895" width="8.7109375" style="1278" customWidth="1"/>
    <col min="5896" max="5896" width="12.42578125" style="1278" customWidth="1"/>
    <col min="5897" max="6144" width="9.140625" style="1278"/>
    <col min="6145" max="6145" width="9.42578125" style="1278" customWidth="1"/>
    <col min="6146" max="6146" width="5" style="1278" customWidth="1"/>
    <col min="6147" max="6147" width="41.5703125" style="1278" customWidth="1"/>
    <col min="6148" max="6149" width="7.5703125" style="1278" customWidth="1"/>
    <col min="6150" max="6150" width="9.140625" style="1278"/>
    <col min="6151" max="6151" width="8.7109375" style="1278" customWidth="1"/>
    <col min="6152" max="6152" width="12.42578125" style="1278" customWidth="1"/>
    <col min="6153" max="6400" width="9.140625" style="1278"/>
    <col min="6401" max="6401" width="9.42578125" style="1278" customWidth="1"/>
    <col min="6402" max="6402" width="5" style="1278" customWidth="1"/>
    <col min="6403" max="6403" width="41.5703125" style="1278" customWidth="1"/>
    <col min="6404" max="6405" width="7.5703125" style="1278" customWidth="1"/>
    <col min="6406" max="6406" width="9.140625" style="1278"/>
    <col min="6407" max="6407" width="8.7109375" style="1278" customWidth="1"/>
    <col min="6408" max="6408" width="12.42578125" style="1278" customWidth="1"/>
    <col min="6409" max="6656" width="9.140625" style="1278"/>
    <col min="6657" max="6657" width="9.42578125" style="1278" customWidth="1"/>
    <col min="6658" max="6658" width="5" style="1278" customWidth="1"/>
    <col min="6659" max="6659" width="41.5703125" style="1278" customWidth="1"/>
    <col min="6660" max="6661" width="7.5703125" style="1278" customWidth="1"/>
    <col min="6662" max="6662" width="9.140625" style="1278"/>
    <col min="6663" max="6663" width="8.7109375" style="1278" customWidth="1"/>
    <col min="6664" max="6664" width="12.42578125" style="1278" customWidth="1"/>
    <col min="6665" max="6912" width="9.140625" style="1278"/>
    <col min="6913" max="6913" width="9.42578125" style="1278" customWidth="1"/>
    <col min="6914" max="6914" width="5" style="1278" customWidth="1"/>
    <col min="6915" max="6915" width="41.5703125" style="1278" customWidth="1"/>
    <col min="6916" max="6917" width="7.5703125" style="1278" customWidth="1"/>
    <col min="6918" max="6918" width="9.140625" style="1278"/>
    <col min="6919" max="6919" width="8.7109375" style="1278" customWidth="1"/>
    <col min="6920" max="6920" width="12.42578125" style="1278" customWidth="1"/>
    <col min="6921" max="7168" width="9.140625" style="1278"/>
    <col min="7169" max="7169" width="9.42578125" style="1278" customWidth="1"/>
    <col min="7170" max="7170" width="5" style="1278" customWidth="1"/>
    <col min="7171" max="7171" width="41.5703125" style="1278" customWidth="1"/>
    <col min="7172" max="7173" width="7.5703125" style="1278" customWidth="1"/>
    <col min="7174" max="7174" width="9.140625" style="1278"/>
    <col min="7175" max="7175" width="8.7109375" style="1278" customWidth="1"/>
    <col min="7176" max="7176" width="12.42578125" style="1278" customWidth="1"/>
    <col min="7177" max="7424" width="9.140625" style="1278"/>
    <col min="7425" max="7425" width="9.42578125" style="1278" customWidth="1"/>
    <col min="7426" max="7426" width="5" style="1278" customWidth="1"/>
    <col min="7427" max="7427" width="41.5703125" style="1278" customWidth="1"/>
    <col min="7428" max="7429" width="7.5703125" style="1278" customWidth="1"/>
    <col min="7430" max="7430" width="9.140625" style="1278"/>
    <col min="7431" max="7431" width="8.7109375" style="1278" customWidth="1"/>
    <col min="7432" max="7432" width="12.42578125" style="1278" customWidth="1"/>
    <col min="7433" max="7680" width="9.140625" style="1278"/>
    <col min="7681" max="7681" width="9.42578125" style="1278" customWidth="1"/>
    <col min="7682" max="7682" width="5" style="1278" customWidth="1"/>
    <col min="7683" max="7683" width="41.5703125" style="1278" customWidth="1"/>
    <col min="7684" max="7685" width="7.5703125" style="1278" customWidth="1"/>
    <col min="7686" max="7686" width="9.140625" style="1278"/>
    <col min="7687" max="7687" width="8.7109375" style="1278" customWidth="1"/>
    <col min="7688" max="7688" width="12.42578125" style="1278" customWidth="1"/>
    <col min="7689" max="7936" width="9.140625" style="1278"/>
    <col min="7937" max="7937" width="9.42578125" style="1278" customWidth="1"/>
    <col min="7938" max="7938" width="5" style="1278" customWidth="1"/>
    <col min="7939" max="7939" width="41.5703125" style="1278" customWidth="1"/>
    <col min="7940" max="7941" width="7.5703125" style="1278" customWidth="1"/>
    <col min="7942" max="7942" width="9.140625" style="1278"/>
    <col min="7943" max="7943" width="8.7109375" style="1278" customWidth="1"/>
    <col min="7944" max="7944" width="12.42578125" style="1278" customWidth="1"/>
    <col min="7945" max="8192" width="9.140625" style="1278"/>
    <col min="8193" max="8193" width="9.42578125" style="1278" customWidth="1"/>
    <col min="8194" max="8194" width="5" style="1278" customWidth="1"/>
    <col min="8195" max="8195" width="41.5703125" style="1278" customWidth="1"/>
    <col min="8196" max="8197" width="7.5703125" style="1278" customWidth="1"/>
    <col min="8198" max="8198" width="9.140625" style="1278"/>
    <col min="8199" max="8199" width="8.7109375" style="1278" customWidth="1"/>
    <col min="8200" max="8200" width="12.42578125" style="1278" customWidth="1"/>
    <col min="8201" max="8448" width="9.140625" style="1278"/>
    <col min="8449" max="8449" width="9.42578125" style="1278" customWidth="1"/>
    <col min="8450" max="8450" width="5" style="1278" customWidth="1"/>
    <col min="8451" max="8451" width="41.5703125" style="1278" customWidth="1"/>
    <col min="8452" max="8453" width="7.5703125" style="1278" customWidth="1"/>
    <col min="8454" max="8454" width="9.140625" style="1278"/>
    <col min="8455" max="8455" width="8.7109375" style="1278" customWidth="1"/>
    <col min="8456" max="8456" width="12.42578125" style="1278" customWidth="1"/>
    <col min="8457" max="8704" width="9.140625" style="1278"/>
    <col min="8705" max="8705" width="9.42578125" style="1278" customWidth="1"/>
    <col min="8706" max="8706" width="5" style="1278" customWidth="1"/>
    <col min="8707" max="8707" width="41.5703125" style="1278" customWidth="1"/>
    <col min="8708" max="8709" width="7.5703125" style="1278" customWidth="1"/>
    <col min="8710" max="8710" width="9.140625" style="1278"/>
    <col min="8711" max="8711" width="8.7109375" style="1278" customWidth="1"/>
    <col min="8712" max="8712" width="12.42578125" style="1278" customWidth="1"/>
    <col min="8713" max="8960" width="9.140625" style="1278"/>
    <col min="8961" max="8961" width="9.42578125" style="1278" customWidth="1"/>
    <col min="8962" max="8962" width="5" style="1278" customWidth="1"/>
    <col min="8963" max="8963" width="41.5703125" style="1278" customWidth="1"/>
    <col min="8964" max="8965" width="7.5703125" style="1278" customWidth="1"/>
    <col min="8966" max="8966" width="9.140625" style="1278"/>
    <col min="8967" max="8967" width="8.7109375" style="1278" customWidth="1"/>
    <col min="8968" max="8968" width="12.42578125" style="1278" customWidth="1"/>
    <col min="8969" max="9216" width="9.140625" style="1278"/>
    <col min="9217" max="9217" width="9.42578125" style="1278" customWidth="1"/>
    <col min="9218" max="9218" width="5" style="1278" customWidth="1"/>
    <col min="9219" max="9219" width="41.5703125" style="1278" customWidth="1"/>
    <col min="9220" max="9221" width="7.5703125" style="1278" customWidth="1"/>
    <col min="9222" max="9222" width="9.140625" style="1278"/>
    <col min="9223" max="9223" width="8.7109375" style="1278" customWidth="1"/>
    <col min="9224" max="9224" width="12.42578125" style="1278" customWidth="1"/>
    <col min="9225" max="9472" width="9.140625" style="1278"/>
    <col min="9473" max="9473" width="9.42578125" style="1278" customWidth="1"/>
    <col min="9474" max="9474" width="5" style="1278" customWidth="1"/>
    <col min="9475" max="9475" width="41.5703125" style="1278" customWidth="1"/>
    <col min="9476" max="9477" width="7.5703125" style="1278" customWidth="1"/>
    <col min="9478" max="9478" width="9.140625" style="1278"/>
    <col min="9479" max="9479" width="8.7109375" style="1278" customWidth="1"/>
    <col min="9480" max="9480" width="12.42578125" style="1278" customWidth="1"/>
    <col min="9481" max="9728" width="9.140625" style="1278"/>
    <col min="9729" max="9729" width="9.42578125" style="1278" customWidth="1"/>
    <col min="9730" max="9730" width="5" style="1278" customWidth="1"/>
    <col min="9731" max="9731" width="41.5703125" style="1278" customWidth="1"/>
    <col min="9732" max="9733" width="7.5703125" style="1278" customWidth="1"/>
    <col min="9734" max="9734" width="9.140625" style="1278"/>
    <col min="9735" max="9735" width="8.7109375" style="1278" customWidth="1"/>
    <col min="9736" max="9736" width="12.42578125" style="1278" customWidth="1"/>
    <col min="9737" max="9984" width="9.140625" style="1278"/>
    <col min="9985" max="9985" width="9.42578125" style="1278" customWidth="1"/>
    <col min="9986" max="9986" width="5" style="1278" customWidth="1"/>
    <col min="9987" max="9987" width="41.5703125" style="1278" customWidth="1"/>
    <col min="9988" max="9989" width="7.5703125" style="1278" customWidth="1"/>
    <col min="9990" max="9990" width="9.140625" style="1278"/>
    <col min="9991" max="9991" width="8.7109375" style="1278" customWidth="1"/>
    <col min="9992" max="9992" width="12.42578125" style="1278" customWidth="1"/>
    <col min="9993" max="10240" width="9.140625" style="1278"/>
    <col min="10241" max="10241" width="9.42578125" style="1278" customWidth="1"/>
    <col min="10242" max="10242" width="5" style="1278" customWidth="1"/>
    <col min="10243" max="10243" width="41.5703125" style="1278" customWidth="1"/>
    <col min="10244" max="10245" width="7.5703125" style="1278" customWidth="1"/>
    <col min="10246" max="10246" width="9.140625" style="1278"/>
    <col min="10247" max="10247" width="8.7109375" style="1278" customWidth="1"/>
    <col min="10248" max="10248" width="12.42578125" style="1278" customWidth="1"/>
    <col min="10249" max="10496" width="9.140625" style="1278"/>
    <col min="10497" max="10497" width="9.42578125" style="1278" customWidth="1"/>
    <col min="10498" max="10498" width="5" style="1278" customWidth="1"/>
    <col min="10499" max="10499" width="41.5703125" style="1278" customWidth="1"/>
    <col min="10500" max="10501" width="7.5703125" style="1278" customWidth="1"/>
    <col min="10502" max="10502" width="9.140625" style="1278"/>
    <col min="10503" max="10503" width="8.7109375" style="1278" customWidth="1"/>
    <col min="10504" max="10504" width="12.42578125" style="1278" customWidth="1"/>
    <col min="10505" max="10752" width="9.140625" style="1278"/>
    <col min="10753" max="10753" width="9.42578125" style="1278" customWidth="1"/>
    <col min="10754" max="10754" width="5" style="1278" customWidth="1"/>
    <col min="10755" max="10755" width="41.5703125" style="1278" customWidth="1"/>
    <col min="10756" max="10757" width="7.5703125" style="1278" customWidth="1"/>
    <col min="10758" max="10758" width="9.140625" style="1278"/>
    <col min="10759" max="10759" width="8.7109375" style="1278" customWidth="1"/>
    <col min="10760" max="10760" width="12.42578125" style="1278" customWidth="1"/>
    <col min="10761" max="11008" width="9.140625" style="1278"/>
    <col min="11009" max="11009" width="9.42578125" style="1278" customWidth="1"/>
    <col min="11010" max="11010" width="5" style="1278" customWidth="1"/>
    <col min="11011" max="11011" width="41.5703125" style="1278" customWidth="1"/>
    <col min="11012" max="11013" width="7.5703125" style="1278" customWidth="1"/>
    <col min="11014" max="11014" width="9.140625" style="1278"/>
    <col min="11015" max="11015" width="8.7109375" style="1278" customWidth="1"/>
    <col min="11016" max="11016" width="12.42578125" style="1278" customWidth="1"/>
    <col min="11017" max="11264" width="9.140625" style="1278"/>
    <col min="11265" max="11265" width="9.42578125" style="1278" customWidth="1"/>
    <col min="11266" max="11266" width="5" style="1278" customWidth="1"/>
    <col min="11267" max="11267" width="41.5703125" style="1278" customWidth="1"/>
    <col min="11268" max="11269" width="7.5703125" style="1278" customWidth="1"/>
    <col min="11270" max="11270" width="9.140625" style="1278"/>
    <col min="11271" max="11271" width="8.7109375" style="1278" customWidth="1"/>
    <col min="11272" max="11272" width="12.42578125" style="1278" customWidth="1"/>
    <col min="11273" max="11520" width="9.140625" style="1278"/>
    <col min="11521" max="11521" width="9.42578125" style="1278" customWidth="1"/>
    <col min="11522" max="11522" width="5" style="1278" customWidth="1"/>
    <col min="11523" max="11523" width="41.5703125" style="1278" customWidth="1"/>
    <col min="11524" max="11525" width="7.5703125" style="1278" customWidth="1"/>
    <col min="11526" max="11526" width="9.140625" style="1278"/>
    <col min="11527" max="11527" width="8.7109375" style="1278" customWidth="1"/>
    <col min="11528" max="11528" width="12.42578125" style="1278" customWidth="1"/>
    <col min="11529" max="11776" width="9.140625" style="1278"/>
    <col min="11777" max="11777" width="9.42578125" style="1278" customWidth="1"/>
    <col min="11778" max="11778" width="5" style="1278" customWidth="1"/>
    <col min="11779" max="11779" width="41.5703125" style="1278" customWidth="1"/>
    <col min="11780" max="11781" width="7.5703125" style="1278" customWidth="1"/>
    <col min="11782" max="11782" width="9.140625" style="1278"/>
    <col min="11783" max="11783" width="8.7109375" style="1278" customWidth="1"/>
    <col min="11784" max="11784" width="12.42578125" style="1278" customWidth="1"/>
    <col min="11785" max="12032" width="9.140625" style="1278"/>
    <col min="12033" max="12033" width="9.42578125" style="1278" customWidth="1"/>
    <col min="12034" max="12034" width="5" style="1278" customWidth="1"/>
    <col min="12035" max="12035" width="41.5703125" style="1278" customWidth="1"/>
    <col min="12036" max="12037" width="7.5703125" style="1278" customWidth="1"/>
    <col min="12038" max="12038" width="9.140625" style="1278"/>
    <col min="12039" max="12039" width="8.7109375" style="1278" customWidth="1"/>
    <col min="12040" max="12040" width="12.42578125" style="1278" customWidth="1"/>
    <col min="12041" max="12288" width="9.140625" style="1278"/>
    <col min="12289" max="12289" width="9.42578125" style="1278" customWidth="1"/>
    <col min="12290" max="12290" width="5" style="1278" customWidth="1"/>
    <col min="12291" max="12291" width="41.5703125" style="1278" customWidth="1"/>
    <col min="12292" max="12293" width="7.5703125" style="1278" customWidth="1"/>
    <col min="12294" max="12294" width="9.140625" style="1278"/>
    <col min="12295" max="12295" width="8.7109375" style="1278" customWidth="1"/>
    <col min="12296" max="12296" width="12.42578125" style="1278" customWidth="1"/>
    <col min="12297" max="12544" width="9.140625" style="1278"/>
    <col min="12545" max="12545" width="9.42578125" style="1278" customWidth="1"/>
    <col min="12546" max="12546" width="5" style="1278" customWidth="1"/>
    <col min="12547" max="12547" width="41.5703125" style="1278" customWidth="1"/>
    <col min="12548" max="12549" width="7.5703125" style="1278" customWidth="1"/>
    <col min="12550" max="12550" width="9.140625" style="1278"/>
    <col min="12551" max="12551" width="8.7109375" style="1278" customWidth="1"/>
    <col min="12552" max="12552" width="12.42578125" style="1278" customWidth="1"/>
    <col min="12553" max="12800" width="9.140625" style="1278"/>
    <col min="12801" max="12801" width="9.42578125" style="1278" customWidth="1"/>
    <col min="12802" max="12802" width="5" style="1278" customWidth="1"/>
    <col min="12803" max="12803" width="41.5703125" style="1278" customWidth="1"/>
    <col min="12804" max="12805" width="7.5703125" style="1278" customWidth="1"/>
    <col min="12806" max="12806" width="9.140625" style="1278"/>
    <col min="12807" max="12807" width="8.7109375" style="1278" customWidth="1"/>
    <col min="12808" max="12808" width="12.42578125" style="1278" customWidth="1"/>
    <col min="12809" max="13056" width="9.140625" style="1278"/>
    <col min="13057" max="13057" width="9.42578125" style="1278" customWidth="1"/>
    <col min="13058" max="13058" width="5" style="1278" customWidth="1"/>
    <col min="13059" max="13059" width="41.5703125" style="1278" customWidth="1"/>
    <col min="13060" max="13061" width="7.5703125" style="1278" customWidth="1"/>
    <col min="13062" max="13062" width="9.140625" style="1278"/>
    <col min="13063" max="13063" width="8.7109375" style="1278" customWidth="1"/>
    <col min="13064" max="13064" width="12.42578125" style="1278" customWidth="1"/>
    <col min="13065" max="13312" width="9.140625" style="1278"/>
    <col min="13313" max="13313" width="9.42578125" style="1278" customWidth="1"/>
    <col min="13314" max="13314" width="5" style="1278" customWidth="1"/>
    <col min="13315" max="13315" width="41.5703125" style="1278" customWidth="1"/>
    <col min="13316" max="13317" width="7.5703125" style="1278" customWidth="1"/>
    <col min="13318" max="13318" width="9.140625" style="1278"/>
    <col min="13319" max="13319" width="8.7109375" style="1278" customWidth="1"/>
    <col min="13320" max="13320" width="12.42578125" style="1278" customWidth="1"/>
    <col min="13321" max="13568" width="9.140625" style="1278"/>
    <col min="13569" max="13569" width="9.42578125" style="1278" customWidth="1"/>
    <col min="13570" max="13570" width="5" style="1278" customWidth="1"/>
    <col min="13571" max="13571" width="41.5703125" style="1278" customWidth="1"/>
    <col min="13572" max="13573" width="7.5703125" style="1278" customWidth="1"/>
    <col min="13574" max="13574" width="9.140625" style="1278"/>
    <col min="13575" max="13575" width="8.7109375" style="1278" customWidth="1"/>
    <col min="13576" max="13576" width="12.42578125" style="1278" customWidth="1"/>
    <col min="13577" max="13824" width="9.140625" style="1278"/>
    <col min="13825" max="13825" width="9.42578125" style="1278" customWidth="1"/>
    <col min="13826" max="13826" width="5" style="1278" customWidth="1"/>
    <col min="13827" max="13827" width="41.5703125" style="1278" customWidth="1"/>
    <col min="13828" max="13829" width="7.5703125" style="1278" customWidth="1"/>
    <col min="13830" max="13830" width="9.140625" style="1278"/>
    <col min="13831" max="13831" width="8.7109375" style="1278" customWidth="1"/>
    <col min="13832" max="13832" width="12.42578125" style="1278" customWidth="1"/>
    <col min="13833" max="14080" width="9.140625" style="1278"/>
    <col min="14081" max="14081" width="9.42578125" style="1278" customWidth="1"/>
    <col min="14082" max="14082" width="5" style="1278" customWidth="1"/>
    <col min="14083" max="14083" width="41.5703125" style="1278" customWidth="1"/>
    <col min="14084" max="14085" width="7.5703125" style="1278" customWidth="1"/>
    <col min="14086" max="14086" width="9.140625" style="1278"/>
    <col min="14087" max="14087" width="8.7109375" style="1278" customWidth="1"/>
    <col min="14088" max="14088" width="12.42578125" style="1278" customWidth="1"/>
    <col min="14089" max="14336" width="9.140625" style="1278"/>
    <col min="14337" max="14337" width="9.42578125" style="1278" customWidth="1"/>
    <col min="14338" max="14338" width="5" style="1278" customWidth="1"/>
    <col min="14339" max="14339" width="41.5703125" style="1278" customWidth="1"/>
    <col min="14340" max="14341" width="7.5703125" style="1278" customWidth="1"/>
    <col min="14342" max="14342" width="9.140625" style="1278"/>
    <col min="14343" max="14343" width="8.7109375" style="1278" customWidth="1"/>
    <col min="14344" max="14344" width="12.42578125" style="1278" customWidth="1"/>
    <col min="14345" max="14592" width="9.140625" style="1278"/>
    <col min="14593" max="14593" width="9.42578125" style="1278" customWidth="1"/>
    <col min="14594" max="14594" width="5" style="1278" customWidth="1"/>
    <col min="14595" max="14595" width="41.5703125" style="1278" customWidth="1"/>
    <col min="14596" max="14597" width="7.5703125" style="1278" customWidth="1"/>
    <col min="14598" max="14598" width="9.140625" style="1278"/>
    <col min="14599" max="14599" width="8.7109375" style="1278" customWidth="1"/>
    <col min="14600" max="14600" width="12.42578125" style="1278" customWidth="1"/>
    <col min="14601" max="14848" width="9.140625" style="1278"/>
    <col min="14849" max="14849" width="9.42578125" style="1278" customWidth="1"/>
    <col min="14850" max="14850" width="5" style="1278" customWidth="1"/>
    <col min="14851" max="14851" width="41.5703125" style="1278" customWidth="1"/>
    <col min="14852" max="14853" width="7.5703125" style="1278" customWidth="1"/>
    <col min="14854" max="14854" width="9.140625" style="1278"/>
    <col min="14855" max="14855" width="8.7109375" style="1278" customWidth="1"/>
    <col min="14856" max="14856" width="12.42578125" style="1278" customWidth="1"/>
    <col min="14857" max="15104" width="9.140625" style="1278"/>
    <col min="15105" max="15105" width="9.42578125" style="1278" customWidth="1"/>
    <col min="15106" max="15106" width="5" style="1278" customWidth="1"/>
    <col min="15107" max="15107" width="41.5703125" style="1278" customWidth="1"/>
    <col min="15108" max="15109" width="7.5703125" style="1278" customWidth="1"/>
    <col min="15110" max="15110" width="9.140625" style="1278"/>
    <col min="15111" max="15111" width="8.7109375" style="1278" customWidth="1"/>
    <col min="15112" max="15112" width="12.42578125" style="1278" customWidth="1"/>
    <col min="15113" max="15360" width="9.140625" style="1278"/>
    <col min="15361" max="15361" width="9.42578125" style="1278" customWidth="1"/>
    <col min="15362" max="15362" width="5" style="1278" customWidth="1"/>
    <col min="15363" max="15363" width="41.5703125" style="1278" customWidth="1"/>
    <col min="15364" max="15365" width="7.5703125" style="1278" customWidth="1"/>
    <col min="15366" max="15366" width="9.140625" style="1278"/>
    <col min="15367" max="15367" width="8.7109375" style="1278" customWidth="1"/>
    <col min="15368" max="15368" width="12.42578125" style="1278" customWidth="1"/>
    <col min="15369" max="15616" width="9.140625" style="1278"/>
    <col min="15617" max="15617" width="9.42578125" style="1278" customWidth="1"/>
    <col min="15618" max="15618" width="5" style="1278" customWidth="1"/>
    <col min="15619" max="15619" width="41.5703125" style="1278" customWidth="1"/>
    <col min="15620" max="15621" width="7.5703125" style="1278" customWidth="1"/>
    <col min="15622" max="15622" width="9.140625" style="1278"/>
    <col min="15623" max="15623" width="8.7109375" style="1278" customWidth="1"/>
    <col min="15624" max="15624" width="12.42578125" style="1278" customWidth="1"/>
    <col min="15625" max="15872" width="9.140625" style="1278"/>
    <col min="15873" max="15873" width="9.42578125" style="1278" customWidth="1"/>
    <col min="15874" max="15874" width="5" style="1278" customWidth="1"/>
    <col min="15875" max="15875" width="41.5703125" style="1278" customWidth="1"/>
    <col min="15876" max="15877" width="7.5703125" style="1278" customWidth="1"/>
    <col min="15878" max="15878" width="9.140625" style="1278"/>
    <col min="15879" max="15879" width="8.7109375" style="1278" customWidth="1"/>
    <col min="15880" max="15880" width="12.42578125" style="1278" customWidth="1"/>
    <col min="15881" max="16128" width="9.140625" style="1278"/>
    <col min="16129" max="16129" width="9.42578125" style="1278" customWidth="1"/>
    <col min="16130" max="16130" width="5" style="1278" customWidth="1"/>
    <col min="16131" max="16131" width="41.5703125" style="1278" customWidth="1"/>
    <col min="16132" max="16133" width="7.5703125" style="1278" customWidth="1"/>
    <col min="16134" max="16134" width="9.140625" style="1278"/>
    <col min="16135" max="16135" width="8.7109375" style="1278" customWidth="1"/>
    <col min="16136" max="16136" width="12.42578125" style="1278" customWidth="1"/>
    <col min="16137" max="16384" width="9.140625" style="1278"/>
  </cols>
  <sheetData>
    <row r="1" spans="1:11">
      <c r="A1" s="1272" t="s">
        <v>5385</v>
      </c>
      <c r="B1" s="1273"/>
      <c r="C1" s="1274"/>
      <c r="D1" s="1275"/>
      <c r="E1" s="1275"/>
      <c r="F1" s="1276"/>
      <c r="G1" s="1276"/>
      <c r="H1" s="1276"/>
      <c r="I1" s="1277"/>
      <c r="J1" s="1277"/>
    </row>
    <row r="2" spans="1:11">
      <c r="A2" s="1279"/>
      <c r="B2" s="1624"/>
      <c r="C2" s="1624"/>
      <c r="D2" s="1624"/>
      <c r="E2" s="1624"/>
      <c r="F2" s="1624"/>
      <c r="G2" s="1624"/>
      <c r="H2" s="1624"/>
      <c r="I2" s="1624"/>
      <c r="J2" s="1280"/>
    </row>
    <row r="3" spans="1:11">
      <c r="A3" s="1281"/>
    </row>
    <row r="5" spans="1:11" ht="34.5" customHeight="1">
      <c r="A5" s="1287"/>
      <c r="B5" s="1288"/>
      <c r="C5" s="1624" t="s">
        <v>5443</v>
      </c>
      <c r="D5" s="1624"/>
      <c r="E5" s="1624"/>
      <c r="F5" s="1624"/>
      <c r="G5" s="1624"/>
      <c r="H5" s="1624"/>
    </row>
    <row r="6" spans="1:11">
      <c r="C6" s="1283" t="s">
        <v>5444</v>
      </c>
    </row>
    <row r="7" spans="1:11" ht="31.5">
      <c r="B7" s="1282" t="s">
        <v>5445</v>
      </c>
      <c r="C7" s="1283" t="s">
        <v>5446</v>
      </c>
    </row>
    <row r="8" spans="1:11">
      <c r="I8" s="1289"/>
    </row>
    <row r="9" spans="1:11">
      <c r="A9" s="1290"/>
      <c r="B9" s="1291"/>
      <c r="C9" s="1292" t="s">
        <v>5447</v>
      </c>
      <c r="D9" s="1293">
        <v>1</v>
      </c>
      <c r="E9" s="1293">
        <v>2</v>
      </c>
      <c r="F9" s="1294">
        <v>0.6</v>
      </c>
      <c r="G9" s="1294"/>
      <c r="H9" s="1294">
        <v>2.1</v>
      </c>
      <c r="I9" s="1289">
        <f>PRODUCT(D9:H9)</f>
        <v>2.52</v>
      </c>
      <c r="J9" s="1295"/>
    </row>
    <row r="10" spans="1:11">
      <c r="A10" s="1295"/>
      <c r="B10" s="1291"/>
      <c r="C10" s="1292" t="s">
        <v>5448</v>
      </c>
      <c r="D10" s="1293">
        <v>1</v>
      </c>
      <c r="E10" s="1293">
        <v>2</v>
      </c>
      <c r="F10" s="1294">
        <f>1.5-0.019-0.019</f>
        <v>1.4620000000000002</v>
      </c>
      <c r="G10" s="1294">
        <v>0.6</v>
      </c>
      <c r="H10" s="1294"/>
      <c r="I10" s="1289">
        <f>PRODUCT(D10:H10)</f>
        <v>1.7544000000000002</v>
      </c>
      <c r="J10" s="1295" t="s">
        <v>25</v>
      </c>
      <c r="K10" s="1278">
        <v>1.2</v>
      </c>
    </row>
    <row r="11" spans="1:11">
      <c r="A11" s="1295"/>
      <c r="B11" s="1291"/>
      <c r="C11" s="1292" t="s">
        <v>5449</v>
      </c>
      <c r="D11" s="1293">
        <v>1</v>
      </c>
      <c r="E11" s="1293">
        <v>2</v>
      </c>
      <c r="F11" s="1294">
        <f>1.5-0.019-0.019</f>
        <v>1.4620000000000002</v>
      </c>
      <c r="G11" s="1294">
        <v>0.6</v>
      </c>
      <c r="H11" s="1294"/>
      <c r="I11" s="1289">
        <f>PRODUCT(D11:H11)</f>
        <v>1.7544000000000002</v>
      </c>
      <c r="J11" s="1295"/>
    </row>
    <row r="12" spans="1:11">
      <c r="A12" s="1295"/>
      <c r="B12" s="1291"/>
      <c r="C12" s="1292"/>
      <c r="D12" s="1293"/>
      <c r="E12" s="1293"/>
      <c r="F12" s="1294"/>
      <c r="G12" s="1294"/>
      <c r="H12" s="1294"/>
      <c r="I12" s="1289"/>
      <c r="J12" s="1295"/>
    </row>
    <row r="13" spans="1:11">
      <c r="A13" s="1295"/>
      <c r="B13" s="1291"/>
      <c r="C13" s="1292" t="s">
        <v>5450</v>
      </c>
      <c r="D13" s="1293"/>
      <c r="E13" s="1293"/>
      <c r="F13" s="1294"/>
      <c r="G13" s="1294"/>
      <c r="H13" s="1294"/>
      <c r="I13" s="1289"/>
      <c r="J13" s="1295"/>
    </row>
    <row r="14" spans="1:11">
      <c r="A14" s="1295"/>
      <c r="B14" s="1291"/>
      <c r="C14" s="1292" t="s">
        <v>5451</v>
      </c>
      <c r="D14" s="1293">
        <v>1</v>
      </c>
      <c r="E14" s="1293">
        <v>2</v>
      </c>
      <c r="F14" s="1294">
        <v>0.75</v>
      </c>
      <c r="G14" s="1294"/>
      <c r="H14" s="1294">
        <v>2.1</v>
      </c>
      <c r="I14" s="1289">
        <f>PRODUCT(D14:H14)</f>
        <v>3.1500000000000004</v>
      </c>
      <c r="J14" s="1295"/>
    </row>
    <row r="15" spans="1:11">
      <c r="A15" s="1295"/>
      <c r="B15" s="1291"/>
      <c r="C15" s="1292"/>
      <c r="D15" s="1293"/>
      <c r="E15" s="1293"/>
      <c r="F15" s="1294"/>
      <c r="G15" s="1294"/>
      <c r="H15" s="1294"/>
      <c r="I15" s="1289"/>
      <c r="J15" s="1295"/>
      <c r="K15" s="1278">
        <f>1.74+0.88+1.74+0.88</f>
        <v>5.24</v>
      </c>
    </row>
    <row r="16" spans="1:11" ht="16.5">
      <c r="G16" s="56"/>
      <c r="H16" s="62"/>
      <c r="I16" s="62">
        <f>SUM(I8:I15)</f>
        <v>9.1788000000000007</v>
      </c>
      <c r="J16" s="1296"/>
    </row>
    <row r="17" spans="1:17" ht="16.5">
      <c r="G17" s="62" t="s">
        <v>156</v>
      </c>
      <c r="H17" s="62">
        <f>I16</f>
        <v>9.1788000000000007</v>
      </c>
      <c r="I17" s="62" t="s">
        <v>26</v>
      </c>
      <c r="J17" s="1296"/>
    </row>
    <row r="18" spans="1:17">
      <c r="B18" s="1282" t="s">
        <v>5452</v>
      </c>
      <c r="C18" s="1283" t="s">
        <v>5453</v>
      </c>
      <c r="I18" s="1297"/>
      <c r="J18" s="1296"/>
    </row>
    <row r="20" spans="1:17">
      <c r="C20" s="1283" t="s">
        <v>5454</v>
      </c>
      <c r="D20" s="1284">
        <v>1</v>
      </c>
      <c r="E20" s="1284">
        <v>1</v>
      </c>
      <c r="F20" s="1294">
        <f>1.5-0.019-0.019</f>
        <v>1.4620000000000002</v>
      </c>
      <c r="H20" s="1285">
        <f>2.1-0.019-0.019</f>
        <v>2.0619999999999998</v>
      </c>
      <c r="I20" s="1289">
        <f>PRODUCT(D20:H20)</f>
        <v>3.0146440000000001</v>
      </c>
    </row>
    <row r="21" spans="1:17">
      <c r="I21" s="1289"/>
      <c r="K21" s="2">
        <f>I21/1000</f>
        <v>0</v>
      </c>
      <c r="L21" s="2"/>
      <c r="M21" s="2"/>
      <c r="N21" s="2"/>
      <c r="O21" s="2"/>
      <c r="P21" s="2"/>
      <c r="Q21" s="2"/>
    </row>
    <row r="22" spans="1:17" ht="16.5">
      <c r="A22" s="1281"/>
      <c r="G22" s="56"/>
      <c r="H22" s="62"/>
      <c r="I22" s="62">
        <f>SUM(I20:I21)</f>
        <v>3.0146440000000001</v>
      </c>
    </row>
    <row r="23" spans="1:17" ht="16.5">
      <c r="A23" s="1281"/>
      <c r="G23" s="62" t="s">
        <v>156</v>
      </c>
      <c r="H23" s="62">
        <f>I22</f>
        <v>3.0146440000000001</v>
      </c>
      <c r="I23" s="62" t="s">
        <v>26</v>
      </c>
    </row>
    <row r="24" spans="1:17">
      <c r="A24" s="1281"/>
      <c r="B24" s="1282" t="s">
        <v>5455</v>
      </c>
      <c r="C24" s="1283" t="s">
        <v>5456</v>
      </c>
    </row>
    <row r="25" spans="1:17">
      <c r="A25" s="1281"/>
    </row>
    <row r="26" spans="1:17">
      <c r="A26" s="1281"/>
      <c r="C26" s="1283" t="s">
        <v>5457</v>
      </c>
    </row>
    <row r="27" spans="1:17">
      <c r="A27" s="1281"/>
      <c r="C27" s="1283" t="s">
        <v>5458</v>
      </c>
      <c r="D27" s="1284">
        <v>1</v>
      </c>
      <c r="E27" s="1284">
        <v>2</v>
      </c>
      <c r="F27" s="1285">
        <v>0.6</v>
      </c>
      <c r="H27" s="1285">
        <f>2.1-0.019-0.019</f>
        <v>2.0619999999999998</v>
      </c>
      <c r="I27" s="1289">
        <f>PRODUCT(D27:H27)</f>
        <v>2.4743999999999997</v>
      </c>
    </row>
    <row r="28" spans="1:17">
      <c r="A28" s="1281"/>
      <c r="C28" s="1283" t="s">
        <v>5459</v>
      </c>
      <c r="D28" s="1284">
        <v>1</v>
      </c>
      <c r="E28" s="1284">
        <v>2</v>
      </c>
      <c r="F28" s="1294">
        <f>1.5-0.019-0.019</f>
        <v>1.4620000000000002</v>
      </c>
      <c r="H28" s="1285">
        <v>0.6</v>
      </c>
      <c r="I28" s="1289">
        <f>PRODUCT(D28:H28)</f>
        <v>1.7544000000000002</v>
      </c>
      <c r="K28" s="2"/>
      <c r="L28" s="2"/>
      <c r="M28" s="2"/>
      <c r="N28" s="2"/>
      <c r="O28" s="2"/>
      <c r="P28" s="2"/>
      <c r="Q28" s="2"/>
    </row>
    <row r="29" spans="1:17">
      <c r="A29" s="1281"/>
      <c r="C29" s="1283" t="s">
        <v>5460</v>
      </c>
      <c r="D29" s="1284">
        <v>1</v>
      </c>
      <c r="E29" s="1284">
        <v>1</v>
      </c>
      <c r="F29" s="1294">
        <f>1.5-0.019-0.019</f>
        <v>1.4620000000000002</v>
      </c>
      <c r="H29" s="1285">
        <f>2.1-0.019-0.019</f>
        <v>2.0619999999999998</v>
      </c>
      <c r="I29" s="1289">
        <f>PRODUCT(D29:H29)</f>
        <v>3.0146440000000001</v>
      </c>
      <c r="K29" s="2"/>
      <c r="L29" s="2"/>
      <c r="M29" s="2"/>
      <c r="N29" s="2"/>
      <c r="O29" s="2"/>
      <c r="P29" s="2"/>
      <c r="Q29" s="2"/>
    </row>
    <row r="30" spans="1:17" ht="16.5">
      <c r="A30" s="1281"/>
      <c r="G30" s="56"/>
      <c r="H30" s="62"/>
      <c r="I30" s="62">
        <f>SUM(I27:I29)</f>
        <v>7.2434440000000002</v>
      </c>
    </row>
    <row r="31" spans="1:17" ht="16.5">
      <c r="A31" s="1281"/>
      <c r="G31" s="62" t="s">
        <v>156</v>
      </c>
      <c r="H31" s="62">
        <f>I30</f>
        <v>7.2434440000000002</v>
      </c>
      <c r="I31" s="62" t="s">
        <v>26</v>
      </c>
    </row>
    <row r="32" spans="1:17">
      <c r="A32" s="1281"/>
    </row>
    <row r="33" spans="1:18">
      <c r="A33" s="1281"/>
      <c r="B33" s="1282" t="s">
        <v>5461</v>
      </c>
      <c r="C33" s="1283" t="s">
        <v>5462</v>
      </c>
    </row>
    <row r="34" spans="1:18">
      <c r="A34" s="1281"/>
      <c r="C34" s="1283" t="s">
        <v>5463</v>
      </c>
      <c r="D34" s="1284">
        <v>1</v>
      </c>
      <c r="E34" s="1284">
        <v>1</v>
      </c>
      <c r="F34" s="1285">
        <v>0.6</v>
      </c>
      <c r="H34" s="1285">
        <v>2.1</v>
      </c>
      <c r="I34" s="1289">
        <f>PRODUCT(D34:H34)</f>
        <v>1.26</v>
      </c>
    </row>
    <row r="35" spans="1:18">
      <c r="A35" s="1281"/>
      <c r="C35" s="1283" t="s">
        <v>5459</v>
      </c>
      <c r="D35" s="1284">
        <v>1</v>
      </c>
      <c r="E35" s="1284">
        <v>2</v>
      </c>
      <c r="F35" s="1285">
        <v>1.5</v>
      </c>
      <c r="G35" s="1285">
        <v>0.6</v>
      </c>
      <c r="I35" s="1289">
        <f>PRODUCT(D35:H35)</f>
        <v>1.7999999999999998</v>
      </c>
    </row>
    <row r="36" spans="1:18">
      <c r="A36" s="1281"/>
      <c r="C36" s="1283" t="s">
        <v>5464</v>
      </c>
      <c r="D36" s="1284">
        <v>1</v>
      </c>
      <c r="E36" s="1284">
        <v>1</v>
      </c>
      <c r="F36" s="1285">
        <v>1.5</v>
      </c>
      <c r="H36" s="1285">
        <v>2.1</v>
      </c>
      <c r="I36" s="1289">
        <f>PRODUCT(D36:H36)</f>
        <v>3.1500000000000004</v>
      </c>
    </row>
    <row r="37" spans="1:18">
      <c r="A37" s="1281"/>
      <c r="I37" s="1289"/>
    </row>
    <row r="38" spans="1:18">
      <c r="A38" s="1281"/>
      <c r="I38" s="1289"/>
    </row>
    <row r="39" spans="1:18">
      <c r="A39" s="1281"/>
      <c r="I39" s="1289"/>
    </row>
    <row r="40" spans="1:18" ht="16.5">
      <c r="A40" s="1281"/>
      <c r="G40" s="56"/>
      <c r="H40" s="62"/>
      <c r="I40" s="62">
        <f>SUM(I34:I39)</f>
        <v>6.21</v>
      </c>
      <c r="K40" s="1278">
        <v>0.9</v>
      </c>
      <c r="R40" s="1278">
        <f>K40-0.075</f>
        <v>0.82500000000000007</v>
      </c>
    </row>
    <row r="41" spans="1:18" ht="16.5">
      <c r="A41" s="1281"/>
      <c r="G41" s="62" t="s">
        <v>156</v>
      </c>
      <c r="H41" s="62">
        <f>I40</f>
        <v>6.21</v>
      </c>
      <c r="I41" s="62" t="s">
        <v>26</v>
      </c>
      <c r="K41" s="1278">
        <v>2.1</v>
      </c>
      <c r="R41" s="1278">
        <f>K41-0.075</f>
        <v>2.0249999999999999</v>
      </c>
    </row>
    <row r="42" spans="1:18" ht="16.5">
      <c r="A42" s="1281"/>
      <c r="G42" s="62"/>
      <c r="H42" s="62"/>
      <c r="I42" s="62"/>
    </row>
    <row r="43" spans="1:18">
      <c r="A43" s="1281"/>
      <c r="B43" s="1282" t="s">
        <v>5465</v>
      </c>
      <c r="C43" s="1283" t="s">
        <v>5466</v>
      </c>
    </row>
    <row r="44" spans="1:18">
      <c r="A44" s="1281"/>
      <c r="C44" s="1283" t="s">
        <v>5467</v>
      </c>
    </row>
    <row r="45" spans="1:18">
      <c r="A45" s="1281"/>
      <c r="C45" s="1283" t="s">
        <v>5468</v>
      </c>
      <c r="D45" s="1284">
        <v>2</v>
      </c>
      <c r="E45" s="1284">
        <v>3</v>
      </c>
      <c r="I45" s="1289">
        <f>PRODUCT(D45:H45)</f>
        <v>6</v>
      </c>
    </row>
    <row r="46" spans="1:18" ht="16.5">
      <c r="A46" s="1281"/>
      <c r="G46" s="56"/>
      <c r="H46" s="62"/>
      <c r="I46" s="62">
        <f>SUM(I45:I45)</f>
        <v>6</v>
      </c>
    </row>
    <row r="47" spans="1:18" ht="16.5">
      <c r="A47" s="1281"/>
      <c r="G47" s="62" t="s">
        <v>156</v>
      </c>
      <c r="H47" s="62">
        <f>ROUNDUP(I46,1)</f>
        <v>6</v>
      </c>
      <c r="I47" s="62" t="s">
        <v>13</v>
      </c>
    </row>
    <row r="48" spans="1:18">
      <c r="A48" s="1281"/>
      <c r="B48" s="1282" t="s">
        <v>5469</v>
      </c>
      <c r="C48" s="1283" t="s">
        <v>5470</v>
      </c>
    </row>
    <row r="49" spans="1:9">
      <c r="A49" s="1281"/>
      <c r="C49" s="1283" t="s">
        <v>5468</v>
      </c>
      <c r="D49" s="1284">
        <v>2</v>
      </c>
      <c r="E49" s="1284">
        <v>2</v>
      </c>
      <c r="F49" s="1298"/>
      <c r="I49" s="1289">
        <f>PRODUCT(D49:H49)</f>
        <v>4</v>
      </c>
    </row>
    <row r="50" spans="1:9">
      <c r="A50" s="1281"/>
      <c r="F50" s="1298"/>
      <c r="I50" s="1289"/>
    </row>
    <row r="51" spans="1:9" ht="16.5">
      <c r="A51" s="1281"/>
      <c r="F51" s="1298"/>
      <c r="G51" s="56"/>
      <c r="H51" s="62"/>
      <c r="I51" s="62">
        <f>SUM(I49:I50)</f>
        <v>4</v>
      </c>
    </row>
    <row r="52" spans="1:9" ht="16.5">
      <c r="A52" s="1281"/>
      <c r="F52" s="1298"/>
      <c r="G52" s="62" t="s">
        <v>156</v>
      </c>
      <c r="H52" s="62">
        <f>ROUNDUP(I51,1)</f>
        <v>4</v>
      </c>
      <c r="I52" s="62" t="s">
        <v>13</v>
      </c>
    </row>
    <row r="53" spans="1:9">
      <c r="A53" s="1281"/>
      <c r="B53" s="1282" t="s">
        <v>5471</v>
      </c>
      <c r="C53" s="1283" t="s">
        <v>5472</v>
      </c>
    </row>
    <row r="54" spans="1:9">
      <c r="A54" s="1281"/>
      <c r="C54" s="1283" t="str">
        <f>C44</f>
        <v xml:space="preserve">C/B wall </v>
      </c>
    </row>
    <row r="55" spans="1:9">
      <c r="A55" s="1281"/>
      <c r="C55" s="1283" t="str">
        <f>C45</f>
        <v>C/B wall and Vertical Sides inner</v>
      </c>
      <c r="D55" s="1284">
        <v>1</v>
      </c>
      <c r="E55" s="1284">
        <v>2</v>
      </c>
      <c r="I55" s="1289">
        <f>PRODUCT(D55:H55)</f>
        <v>2</v>
      </c>
    </row>
    <row r="56" spans="1:9">
      <c r="A56" s="1281"/>
      <c r="I56" s="1289"/>
    </row>
    <row r="57" spans="1:9">
      <c r="A57" s="1281"/>
      <c r="I57" s="1289"/>
    </row>
    <row r="58" spans="1:9">
      <c r="A58" s="1281"/>
      <c r="I58" s="1289"/>
    </row>
    <row r="59" spans="1:9" ht="16.5">
      <c r="A59" s="1281"/>
      <c r="G59" s="56"/>
      <c r="H59" s="62"/>
      <c r="I59" s="62">
        <f>SUM(I55:I58)</f>
        <v>2</v>
      </c>
    </row>
    <row r="60" spans="1:9" ht="16.5">
      <c r="A60" s="1281"/>
      <c r="G60" s="62" t="s">
        <v>156</v>
      </c>
      <c r="H60" s="62">
        <f>ROUNDUP(I59,1)</f>
        <v>2</v>
      </c>
      <c r="I60" s="62" t="s">
        <v>13</v>
      </c>
    </row>
    <row r="61" spans="1:9">
      <c r="A61" s="1281"/>
      <c r="B61" s="1282" t="s">
        <v>5473</v>
      </c>
      <c r="C61" s="1283" t="s">
        <v>5474</v>
      </c>
    </row>
    <row r="62" spans="1:9">
      <c r="A62" s="1281"/>
      <c r="C62" s="1283" t="str">
        <f>C44</f>
        <v xml:space="preserve">C/B wall </v>
      </c>
    </row>
    <row r="63" spans="1:9">
      <c r="A63" s="1281"/>
      <c r="C63" s="1283" t="str">
        <f>C53</f>
        <v xml:space="preserve">2 1/2 " Brass Ornamental handle </v>
      </c>
      <c r="D63" s="1284">
        <v>2</v>
      </c>
      <c r="E63" s="1284">
        <v>2</v>
      </c>
      <c r="I63" s="1289">
        <f>PRODUCT(D63:H63)</f>
        <v>4</v>
      </c>
    </row>
    <row r="64" spans="1:9">
      <c r="A64" s="1281"/>
      <c r="I64" s="1289"/>
    </row>
    <row r="65" spans="1:9" ht="16.5">
      <c r="A65" s="1281"/>
      <c r="G65" s="56"/>
      <c r="H65" s="62"/>
      <c r="I65" s="62">
        <f>SUM(I63:I64)</f>
        <v>4</v>
      </c>
    </row>
    <row r="66" spans="1:9" ht="16.5">
      <c r="A66" s="1281"/>
      <c r="G66" s="62" t="s">
        <v>156</v>
      </c>
      <c r="H66" s="62">
        <f>ROUNDUP(I65,1)</f>
        <v>4</v>
      </c>
      <c r="I66" s="62" t="s">
        <v>13</v>
      </c>
    </row>
    <row r="67" spans="1:9">
      <c r="A67" s="1281"/>
      <c r="B67" s="1282" t="s">
        <v>5475</v>
      </c>
      <c r="C67" s="1283" t="s">
        <v>5476</v>
      </c>
    </row>
    <row r="68" spans="1:9">
      <c r="A68" s="1281"/>
      <c r="C68" s="1283" t="str">
        <f>C62</f>
        <v xml:space="preserve">C/B wall </v>
      </c>
      <c r="D68" s="1278"/>
      <c r="E68" s="1278"/>
    </row>
    <row r="69" spans="1:9">
      <c r="A69" s="1281"/>
      <c r="C69" s="1283" t="str">
        <f>C63</f>
        <v xml:space="preserve">2 1/2 " Brass Ornamental handle </v>
      </c>
      <c r="D69" s="1284">
        <v>1</v>
      </c>
      <c r="E69" s="1284">
        <v>1</v>
      </c>
      <c r="I69" s="1289">
        <f>PRODUCT(D69:H69)</f>
        <v>1</v>
      </c>
    </row>
    <row r="70" spans="1:9">
      <c r="A70" s="1281"/>
      <c r="I70" s="1289"/>
    </row>
    <row r="71" spans="1:9" ht="16.5">
      <c r="A71" s="1281"/>
      <c r="G71" s="56"/>
      <c r="H71" s="62"/>
      <c r="I71" s="62">
        <f>SUM(I69:I70)</f>
        <v>1</v>
      </c>
    </row>
    <row r="72" spans="1:9" ht="16.5">
      <c r="A72" s="1281"/>
      <c r="G72" s="62" t="s">
        <v>156</v>
      </c>
      <c r="H72" s="62">
        <f>ROUNDUP(I71,1)</f>
        <v>1</v>
      </c>
      <c r="I72" s="62" t="s">
        <v>13</v>
      </c>
    </row>
    <row r="73" spans="1:9">
      <c r="A73" s="1281"/>
    </row>
    <row r="74" spans="1:9" ht="31.5">
      <c r="A74" s="1281"/>
      <c r="B74" s="1282" t="s">
        <v>5477</v>
      </c>
      <c r="C74" s="1283" t="s">
        <v>5478</v>
      </c>
    </row>
    <row r="75" spans="1:9">
      <c r="A75" s="1281"/>
      <c r="C75" s="1283" t="s">
        <v>5479</v>
      </c>
      <c r="I75" s="1286">
        <f>H31</f>
        <v>7.2434440000000002</v>
      </c>
    </row>
    <row r="76" spans="1:9">
      <c r="A76" s="1281"/>
      <c r="C76" s="1283" t="s">
        <v>5480</v>
      </c>
      <c r="I76" s="1286">
        <f>H41</f>
        <v>6.21</v>
      </c>
    </row>
    <row r="77" spans="1:9" ht="16.5">
      <c r="A77" s="1281"/>
      <c r="G77" s="56"/>
      <c r="H77" s="62"/>
      <c r="I77" s="62">
        <f>SUM(I75:I76)</f>
        <v>13.453444000000001</v>
      </c>
    </row>
    <row r="78" spans="1:9" ht="16.5">
      <c r="A78" s="1281"/>
      <c r="C78" s="1283" t="s">
        <v>5481</v>
      </c>
      <c r="G78" s="56"/>
      <c r="H78" s="62"/>
      <c r="I78" s="62">
        <f>I77*0.75</f>
        <v>10.090083</v>
      </c>
    </row>
    <row r="79" spans="1:9" ht="16.5">
      <c r="A79" s="1281"/>
      <c r="G79" s="62" t="s">
        <v>156</v>
      </c>
      <c r="H79" s="62">
        <f>I78</f>
        <v>10.090083</v>
      </c>
      <c r="I79" s="62" t="s">
        <v>40</v>
      </c>
    </row>
    <row r="80" spans="1:9">
      <c r="A80" s="1281"/>
    </row>
    <row r="81" spans="1:9">
      <c r="A81" s="1281"/>
      <c r="B81" s="1282" t="s">
        <v>5482</v>
      </c>
      <c r="C81" s="1283" t="s">
        <v>5483</v>
      </c>
      <c r="D81" s="1284">
        <v>1</v>
      </c>
      <c r="E81" s="2">
        <v>1.5</v>
      </c>
      <c r="I81" s="1289">
        <f>PRODUCT(D81:H81)</f>
        <v>1.5</v>
      </c>
    </row>
    <row r="82" spans="1:9" ht="16.5">
      <c r="A82" s="1281"/>
      <c r="E82" s="2"/>
      <c r="G82" s="56"/>
      <c r="H82" s="62"/>
      <c r="I82" s="62">
        <f>SUM(I81)</f>
        <v>1.5</v>
      </c>
    </row>
    <row r="83" spans="1:9" ht="16.5">
      <c r="A83" s="1281"/>
      <c r="G83" s="62" t="s">
        <v>156</v>
      </c>
      <c r="H83" s="62">
        <f>ROUNDUP(I82,1)</f>
        <v>1.5</v>
      </c>
      <c r="I83" s="62" t="s">
        <v>40</v>
      </c>
    </row>
    <row r="84" spans="1:9">
      <c r="A84" s="1281"/>
    </row>
    <row r="85" spans="1:9">
      <c r="A85" s="1281"/>
      <c r="B85" s="1282" t="s">
        <v>5484</v>
      </c>
      <c r="C85" s="1283" t="s">
        <v>5485</v>
      </c>
      <c r="D85" s="1284">
        <v>1</v>
      </c>
      <c r="E85" s="2">
        <v>0.5</v>
      </c>
      <c r="I85" s="1289">
        <f>PRODUCT(D85:H85)</f>
        <v>0.5</v>
      </c>
    </row>
    <row r="86" spans="1:9" ht="16.5">
      <c r="A86" s="1281"/>
      <c r="G86" s="56"/>
      <c r="H86" s="62"/>
      <c r="I86" s="62">
        <f>SUM(I85)</f>
        <v>0.5</v>
      </c>
    </row>
    <row r="87" spans="1:9" ht="16.5">
      <c r="A87" s="1281"/>
      <c r="G87" s="62" t="s">
        <v>156</v>
      </c>
      <c r="H87" s="62">
        <f>ROUNDUP(I86,1)</f>
        <v>0.5</v>
      </c>
      <c r="I87" s="62" t="s">
        <v>40</v>
      </c>
    </row>
    <row r="88" spans="1:9">
      <c r="A88" s="1281"/>
      <c r="B88" s="1282" t="s">
        <v>5486</v>
      </c>
      <c r="C88" s="1283" t="s">
        <v>5487</v>
      </c>
      <c r="D88" s="1284">
        <v>1</v>
      </c>
      <c r="E88" s="1284">
        <v>1</v>
      </c>
      <c r="I88" s="1289">
        <f>PRODUCT(D88:H88)</f>
        <v>1</v>
      </c>
    </row>
    <row r="89" spans="1:9" ht="16.5">
      <c r="A89" s="1281"/>
      <c r="G89" s="56"/>
      <c r="H89" s="62"/>
      <c r="I89" s="62">
        <f>SUM(I88)</f>
        <v>1</v>
      </c>
    </row>
    <row r="90" spans="1:9" ht="16.5">
      <c r="A90" s="1281"/>
      <c r="G90" s="62" t="s">
        <v>156</v>
      </c>
      <c r="H90" s="62">
        <f>ROUNDUP(I89,1)</f>
        <v>1</v>
      </c>
      <c r="I90" s="62" t="s">
        <v>40</v>
      </c>
    </row>
    <row r="91" spans="1:9">
      <c r="A91" s="1281"/>
    </row>
    <row r="92" spans="1:9">
      <c r="A92" s="1281"/>
      <c r="B92" s="1282" t="s">
        <v>5488</v>
      </c>
      <c r="C92" s="1283" t="s">
        <v>5489</v>
      </c>
      <c r="D92" s="1284">
        <v>1</v>
      </c>
      <c r="E92" s="1284">
        <v>30</v>
      </c>
      <c r="I92" s="1289">
        <f>PRODUCT(D92:H92)</f>
        <v>30</v>
      </c>
    </row>
    <row r="93" spans="1:9" ht="16.5">
      <c r="A93" s="1281"/>
      <c r="G93" s="56"/>
      <c r="H93" s="62"/>
      <c r="I93" s="62">
        <f>SUM(I92)</f>
        <v>30</v>
      </c>
    </row>
    <row r="94" spans="1:9" ht="16.5">
      <c r="A94" s="1281"/>
      <c r="G94" s="62" t="s">
        <v>156</v>
      </c>
      <c r="H94" s="62">
        <f>ROUNDUP(I93,1)</f>
        <v>30</v>
      </c>
      <c r="I94" s="62" t="s">
        <v>13</v>
      </c>
    </row>
    <row r="95" spans="1:9">
      <c r="A95" s="1281"/>
      <c r="B95" s="1282" t="s">
        <v>5490</v>
      </c>
      <c r="C95" s="1283" t="s">
        <v>5491</v>
      </c>
    </row>
    <row r="96" spans="1:9">
      <c r="A96" s="1281"/>
      <c r="C96" s="1283" t="str">
        <f>C68</f>
        <v xml:space="preserve">C/B wall </v>
      </c>
    </row>
    <row r="97" spans="1:20">
      <c r="A97" s="1281"/>
      <c r="C97" s="1283" t="str">
        <f>C63</f>
        <v xml:space="preserve">2 1/2 " Brass Ornamental handle </v>
      </c>
      <c r="D97" s="1284">
        <v>1</v>
      </c>
      <c r="E97" s="1284">
        <v>3</v>
      </c>
      <c r="F97" s="1285">
        <v>1.45</v>
      </c>
      <c r="I97" s="1289">
        <f>PRODUCT(D97:H97)</f>
        <v>4.3499999999999996</v>
      </c>
    </row>
    <row r="98" spans="1:20">
      <c r="A98" s="1281"/>
      <c r="I98" s="1289"/>
    </row>
    <row r="99" spans="1:20" ht="16.5">
      <c r="A99" s="1281"/>
      <c r="G99" s="56"/>
      <c r="H99" s="62"/>
      <c r="I99" s="62">
        <f>SUM(I97:I98)</f>
        <v>4.3499999999999996</v>
      </c>
    </row>
    <row r="100" spans="1:20" ht="16.5">
      <c r="A100" s="1281"/>
      <c r="G100" s="62" t="s">
        <v>156</v>
      </c>
      <c r="H100" s="62">
        <f>ROUNDUP(I99,1)</f>
        <v>4.3999999999999995</v>
      </c>
      <c r="I100" s="62" t="s">
        <v>12</v>
      </c>
    </row>
    <row r="101" spans="1:20">
      <c r="A101" s="1281"/>
      <c r="C101" s="1283" t="s">
        <v>5492</v>
      </c>
      <c r="J101" s="1278">
        <f>1.5*2.1</f>
        <v>3.1500000000000004</v>
      </c>
    </row>
    <row r="102" spans="1:20">
      <c r="A102" s="1281"/>
    </row>
    <row r="103" spans="1:20">
      <c r="A103" s="1281" t="s">
        <v>7</v>
      </c>
      <c r="B103" s="2"/>
      <c r="C103" s="1299" t="s">
        <v>1675</v>
      </c>
      <c r="D103" s="2"/>
      <c r="E103" s="2"/>
      <c r="F103" s="2" t="s">
        <v>563</v>
      </c>
      <c r="G103" s="2" t="s">
        <v>564</v>
      </c>
      <c r="H103" s="1281" t="s">
        <v>571</v>
      </c>
      <c r="J103" s="1278">
        <f>SUM(J101:J101)</f>
        <v>3.1500000000000004</v>
      </c>
    </row>
    <row r="104" spans="1:20">
      <c r="A104" s="1281"/>
    </row>
    <row r="105" spans="1:20" ht="31.5">
      <c r="A105" s="1278">
        <f>H17</f>
        <v>9.1788000000000007</v>
      </c>
      <c r="B105" s="1282" t="str">
        <f>B7</f>
        <v>a)</v>
      </c>
      <c r="C105" s="1283" t="str">
        <f>C7</f>
        <v>18mm tk water proof plywood: - Exterior Finising ( Exterior )</v>
      </c>
      <c r="F105" s="1278">
        <v>1800</v>
      </c>
      <c r="G105" s="1286" t="str">
        <f>I17</f>
        <v>Sqm</v>
      </c>
      <c r="H105" s="1285">
        <f>A105*F105</f>
        <v>16521.84</v>
      </c>
      <c r="J105" s="1278">
        <f>134</f>
        <v>134</v>
      </c>
      <c r="K105" s="1278">
        <f t="shared" ref="K105:K119" si="0">J105*12%</f>
        <v>16.079999999999998</v>
      </c>
      <c r="L105" s="1278">
        <f t="shared" ref="L105:L119" si="1">J105-K105</f>
        <v>117.92</v>
      </c>
      <c r="M105" s="1278">
        <v>10.76</v>
      </c>
      <c r="N105" s="1278">
        <f t="shared" ref="N105:N119" si="2">L105*M105</f>
        <v>1268.8191999999999</v>
      </c>
      <c r="O105" s="1278">
        <f t="shared" ref="O105:O119" si="3">ROUNDUP(N105,0)</f>
        <v>1269</v>
      </c>
      <c r="P105" s="1281">
        <f t="shared" ref="P105:P119" si="4">J105*18%</f>
        <v>24.119999999999997</v>
      </c>
      <c r="Q105" s="1278">
        <v>10.76</v>
      </c>
      <c r="R105" s="1278">
        <f t="shared" ref="R105:R119" si="5">J105-K105</f>
        <v>117.92</v>
      </c>
      <c r="S105" s="1278">
        <f t="shared" ref="S105:S119" si="6">R105*18%</f>
        <v>21.2256</v>
      </c>
      <c r="T105" s="1278">
        <f t="shared" ref="T105:T119" si="7">R105+S105</f>
        <v>139.1456</v>
      </c>
    </row>
    <row r="106" spans="1:20">
      <c r="A106" s="1278">
        <f>H23</f>
        <v>3.0146440000000001</v>
      </c>
      <c r="B106" s="1282" t="str">
        <f>B18</f>
        <v>b)</v>
      </c>
      <c r="C106" s="1283" t="str">
        <f>C18</f>
        <v>6mm tk Plywood  ( Attached to Wall )</v>
      </c>
      <c r="F106" s="1278">
        <f t="shared" ref="F106:F119" si="8">O106</f>
        <v>588</v>
      </c>
      <c r="G106" s="1286" t="str">
        <f>I23</f>
        <v>Sqm</v>
      </c>
      <c r="H106" s="1285">
        <f t="shared" ref="H106:H120" si="9">A106*F106</f>
        <v>1772.610672</v>
      </c>
      <c r="J106" s="1278">
        <f>62</f>
        <v>62</v>
      </c>
      <c r="K106" s="1278">
        <f t="shared" si="0"/>
        <v>7.4399999999999995</v>
      </c>
      <c r="L106" s="1278">
        <f t="shared" si="1"/>
        <v>54.56</v>
      </c>
      <c r="M106" s="1278">
        <v>10.76</v>
      </c>
      <c r="N106" s="1278">
        <f t="shared" si="2"/>
        <v>587.06560000000002</v>
      </c>
      <c r="O106" s="1278">
        <f t="shared" si="3"/>
        <v>588</v>
      </c>
      <c r="P106" s="1281">
        <f t="shared" si="4"/>
        <v>11.16</v>
      </c>
      <c r="Q106" s="1278">
        <v>10.76</v>
      </c>
      <c r="R106" s="1278">
        <f t="shared" si="5"/>
        <v>54.56</v>
      </c>
      <c r="S106" s="1278">
        <f t="shared" si="6"/>
        <v>9.8208000000000002</v>
      </c>
      <c r="T106" s="1278">
        <f t="shared" si="7"/>
        <v>64.380800000000008</v>
      </c>
    </row>
    <row r="107" spans="1:20">
      <c r="A107" s="1278">
        <f>H31</f>
        <v>7.2434440000000002</v>
      </c>
      <c r="B107" s="1282" t="str">
        <f>B24</f>
        <v>c)</v>
      </c>
      <c r="C107" s="1283" t="str">
        <f>C24</f>
        <v xml:space="preserve">Sunmica sheet for C/B inner surface </v>
      </c>
      <c r="F107" s="1278">
        <f t="shared" si="8"/>
        <v>305</v>
      </c>
      <c r="G107" s="1286" t="str">
        <f>I31</f>
        <v>Sqm</v>
      </c>
      <c r="H107" s="1285">
        <f t="shared" si="9"/>
        <v>2209.2504199999998</v>
      </c>
      <c r="J107" s="1278">
        <f>900/28</f>
        <v>32.142857142857146</v>
      </c>
      <c r="K107" s="1278">
        <f t="shared" si="0"/>
        <v>3.8571428571428572</v>
      </c>
      <c r="L107" s="1278">
        <f t="shared" si="1"/>
        <v>28.285714285714288</v>
      </c>
      <c r="M107" s="1278">
        <v>10.75</v>
      </c>
      <c r="N107" s="1278">
        <f t="shared" si="2"/>
        <v>304.07142857142861</v>
      </c>
      <c r="O107" s="1278">
        <f t="shared" si="3"/>
        <v>305</v>
      </c>
      <c r="P107" s="1281">
        <f t="shared" si="4"/>
        <v>5.7857142857142865</v>
      </c>
      <c r="Q107" s="1278">
        <v>10.76</v>
      </c>
      <c r="R107" s="1278">
        <f t="shared" si="5"/>
        <v>28.285714285714288</v>
      </c>
      <c r="S107" s="1278">
        <f t="shared" si="6"/>
        <v>5.0914285714285716</v>
      </c>
      <c r="T107" s="1278">
        <f t="shared" si="7"/>
        <v>33.377142857142857</v>
      </c>
    </row>
    <row r="108" spans="1:20">
      <c r="A108" s="1278">
        <f>H41</f>
        <v>6.21</v>
      </c>
      <c r="B108" s="1282" t="str">
        <f>B33</f>
        <v>d)</v>
      </c>
      <c r="C108" s="1283" t="str">
        <f>C33</f>
        <v>4mm tk veneer for Exterior Surface</v>
      </c>
      <c r="F108" s="1278">
        <f t="shared" si="8"/>
        <v>692</v>
      </c>
      <c r="G108" s="1286" t="str">
        <f>I41</f>
        <v>Sqm</v>
      </c>
      <c r="H108" s="1285">
        <f t="shared" si="9"/>
        <v>4297.32</v>
      </c>
      <c r="J108" s="1278">
        <f>73</f>
        <v>73</v>
      </c>
      <c r="K108" s="1278">
        <f t="shared" si="0"/>
        <v>8.76</v>
      </c>
      <c r="L108" s="1278">
        <f t="shared" si="1"/>
        <v>64.239999999999995</v>
      </c>
      <c r="M108" s="1278">
        <v>10.76</v>
      </c>
      <c r="N108" s="1278">
        <f t="shared" si="2"/>
        <v>691.22239999999988</v>
      </c>
      <c r="O108" s="1278">
        <f t="shared" si="3"/>
        <v>692</v>
      </c>
      <c r="P108" s="1281">
        <f t="shared" si="4"/>
        <v>13.139999999999999</v>
      </c>
      <c r="Q108" s="1278">
        <v>10.76</v>
      </c>
      <c r="R108" s="1278">
        <f t="shared" si="5"/>
        <v>64.239999999999995</v>
      </c>
      <c r="S108" s="1278">
        <f t="shared" si="6"/>
        <v>11.563199999999998</v>
      </c>
      <c r="T108" s="1278">
        <f t="shared" si="7"/>
        <v>75.80319999999999</v>
      </c>
    </row>
    <row r="109" spans="1:20">
      <c r="A109" s="1278">
        <f>H47</f>
        <v>6</v>
      </c>
      <c r="B109" s="1282" t="str">
        <f>B43</f>
        <v>e)</v>
      </c>
      <c r="C109" s="1283" t="str">
        <f>C43</f>
        <v>3 Brass Hinges</v>
      </c>
      <c r="F109" s="1278">
        <f t="shared" si="8"/>
        <v>67</v>
      </c>
      <c r="G109" s="1286" t="str">
        <f>I47</f>
        <v>Nos</v>
      </c>
      <c r="H109" s="1285">
        <f t="shared" si="9"/>
        <v>402</v>
      </c>
      <c r="J109" s="1278">
        <v>76</v>
      </c>
      <c r="K109" s="1278">
        <f t="shared" si="0"/>
        <v>9.1199999999999992</v>
      </c>
      <c r="L109" s="1278">
        <f t="shared" si="1"/>
        <v>66.88</v>
      </c>
      <c r="M109" s="1278">
        <v>1</v>
      </c>
      <c r="N109" s="1278">
        <f t="shared" si="2"/>
        <v>66.88</v>
      </c>
      <c r="O109" s="1278">
        <f t="shared" si="3"/>
        <v>67</v>
      </c>
      <c r="P109" s="1281">
        <f t="shared" si="4"/>
        <v>13.68</v>
      </c>
      <c r="Q109" s="1278">
        <v>1</v>
      </c>
      <c r="R109" s="1278">
        <f t="shared" si="5"/>
        <v>66.88</v>
      </c>
      <c r="S109" s="1278">
        <f t="shared" si="6"/>
        <v>12.038399999999999</v>
      </c>
      <c r="T109" s="1278">
        <f t="shared" si="7"/>
        <v>78.918399999999991</v>
      </c>
    </row>
    <row r="110" spans="1:20">
      <c r="A110" s="1278">
        <f>H52</f>
        <v>4</v>
      </c>
      <c r="B110" s="1282" t="str">
        <f>B48</f>
        <v>f)</v>
      </c>
      <c r="C110" s="1283" t="str">
        <f>C48</f>
        <v>Box Hinges</v>
      </c>
      <c r="F110" s="1278">
        <f t="shared" si="8"/>
        <v>150</v>
      </c>
      <c r="G110" s="1286" t="str">
        <f>G109</f>
        <v>Nos</v>
      </c>
      <c r="H110" s="1285">
        <f t="shared" si="9"/>
        <v>600</v>
      </c>
      <c r="J110" s="1278">
        <v>170</v>
      </c>
      <c r="K110" s="1278">
        <f t="shared" si="0"/>
        <v>20.399999999999999</v>
      </c>
      <c r="L110" s="1278">
        <f t="shared" si="1"/>
        <v>149.6</v>
      </c>
      <c r="M110" s="1278">
        <v>1</v>
      </c>
      <c r="N110" s="1278">
        <f t="shared" si="2"/>
        <v>149.6</v>
      </c>
      <c r="O110" s="1278">
        <f t="shared" si="3"/>
        <v>150</v>
      </c>
      <c r="P110" s="1281">
        <f t="shared" si="4"/>
        <v>30.599999999999998</v>
      </c>
      <c r="Q110" s="1278">
        <v>1</v>
      </c>
      <c r="R110" s="1278">
        <f t="shared" si="5"/>
        <v>149.6</v>
      </c>
      <c r="S110" s="1278">
        <f t="shared" si="6"/>
        <v>26.927999999999997</v>
      </c>
      <c r="T110" s="1278">
        <f t="shared" si="7"/>
        <v>176.52799999999999</v>
      </c>
    </row>
    <row r="111" spans="1:20">
      <c r="A111" s="1278">
        <f>H60</f>
        <v>2</v>
      </c>
      <c r="B111" s="1282" t="str">
        <f>B53</f>
        <v>g)</v>
      </c>
      <c r="C111" s="1283" t="str">
        <f>C53</f>
        <v xml:space="preserve">2 1/2 " Brass Ornamental handle </v>
      </c>
      <c r="F111" s="1278">
        <f t="shared" si="8"/>
        <v>125</v>
      </c>
      <c r="G111" s="1286" t="str">
        <f>I60</f>
        <v>Nos</v>
      </c>
      <c r="H111" s="1285">
        <f t="shared" si="9"/>
        <v>250</v>
      </c>
      <c r="J111" s="1278">
        <v>141</v>
      </c>
      <c r="K111" s="1278">
        <f t="shared" si="0"/>
        <v>16.919999999999998</v>
      </c>
      <c r="L111" s="1278">
        <f t="shared" si="1"/>
        <v>124.08</v>
      </c>
      <c r="M111" s="1278">
        <v>1</v>
      </c>
      <c r="N111" s="1278">
        <f t="shared" si="2"/>
        <v>124.08</v>
      </c>
      <c r="O111" s="1278">
        <f t="shared" si="3"/>
        <v>125</v>
      </c>
      <c r="P111" s="1281">
        <f t="shared" si="4"/>
        <v>25.38</v>
      </c>
      <c r="Q111" s="1278">
        <v>1</v>
      </c>
      <c r="R111" s="1278">
        <f t="shared" si="5"/>
        <v>124.08</v>
      </c>
      <c r="S111" s="1278">
        <f t="shared" si="6"/>
        <v>22.334399999999999</v>
      </c>
      <c r="T111" s="1278">
        <f t="shared" si="7"/>
        <v>146.4144</v>
      </c>
    </row>
    <row r="112" spans="1:20">
      <c r="A112" s="1278">
        <f>H66</f>
        <v>4</v>
      </c>
      <c r="B112" s="1282" t="str">
        <f>B61</f>
        <v>h)</v>
      </c>
      <c r="C112" s="1283" t="str">
        <f>C61</f>
        <v>Magnetic door catcher</v>
      </c>
      <c r="F112" s="1278">
        <f t="shared" si="8"/>
        <v>146</v>
      </c>
      <c r="G112" s="1286" t="str">
        <f>I66</f>
        <v>Nos</v>
      </c>
      <c r="H112" s="1285">
        <f t="shared" si="9"/>
        <v>584</v>
      </c>
      <c r="J112" s="1278">
        <v>165</v>
      </c>
      <c r="K112" s="1278">
        <f t="shared" si="0"/>
        <v>19.8</v>
      </c>
      <c r="L112" s="1278">
        <f t="shared" si="1"/>
        <v>145.19999999999999</v>
      </c>
      <c r="M112" s="1278">
        <v>1</v>
      </c>
      <c r="N112" s="1278">
        <f t="shared" si="2"/>
        <v>145.19999999999999</v>
      </c>
      <c r="O112" s="1278">
        <f t="shared" si="3"/>
        <v>146</v>
      </c>
      <c r="P112" s="1281">
        <f t="shared" si="4"/>
        <v>29.7</v>
      </c>
      <c r="Q112" s="1278">
        <v>1</v>
      </c>
      <c r="R112" s="1278">
        <f t="shared" si="5"/>
        <v>145.19999999999999</v>
      </c>
      <c r="S112" s="1278">
        <f t="shared" si="6"/>
        <v>26.135999999999996</v>
      </c>
      <c r="T112" s="1278">
        <f t="shared" si="7"/>
        <v>171.33599999999998</v>
      </c>
    </row>
    <row r="113" spans="1:20">
      <c r="A113" s="1278">
        <f>H72</f>
        <v>1</v>
      </c>
      <c r="B113" s="1282" t="str">
        <f>B67</f>
        <v>i)</v>
      </c>
      <c r="C113" s="1283" t="str">
        <f>C67</f>
        <v>Drawer lock and keys</v>
      </c>
      <c r="F113" s="1278">
        <f t="shared" si="8"/>
        <v>169</v>
      </c>
      <c r="G113" s="1286" t="str">
        <f>I72</f>
        <v>Nos</v>
      </c>
      <c r="H113" s="1285">
        <f t="shared" si="9"/>
        <v>169</v>
      </c>
      <c r="J113" s="1278">
        <v>192</v>
      </c>
      <c r="K113" s="1278">
        <f t="shared" si="0"/>
        <v>23.04</v>
      </c>
      <c r="L113" s="1278">
        <f t="shared" si="1"/>
        <v>168.96</v>
      </c>
      <c r="M113" s="1278">
        <v>1</v>
      </c>
      <c r="N113" s="1278">
        <f t="shared" si="2"/>
        <v>168.96</v>
      </c>
      <c r="O113" s="1278">
        <f t="shared" si="3"/>
        <v>169</v>
      </c>
      <c r="P113" s="1281">
        <f t="shared" si="4"/>
        <v>34.56</v>
      </c>
      <c r="Q113" s="1278">
        <v>1</v>
      </c>
      <c r="R113" s="1278">
        <f t="shared" si="5"/>
        <v>168.96</v>
      </c>
      <c r="S113" s="1278">
        <f t="shared" si="6"/>
        <v>30.412800000000001</v>
      </c>
      <c r="T113" s="1278">
        <f t="shared" si="7"/>
        <v>199.37280000000001</v>
      </c>
    </row>
    <row r="114" spans="1:20" ht="31.5">
      <c r="A114" s="1278">
        <f>H79</f>
        <v>10.090083</v>
      </c>
      <c r="B114" s="1282" t="str">
        <f>B74</f>
        <v>j)</v>
      </c>
      <c r="C114" s="1283" t="str">
        <f>C74</f>
        <v>white favicol for sunmic sheet and 4mm tk veneer sheet</v>
      </c>
      <c r="F114" s="1278">
        <f t="shared" si="8"/>
        <v>184</v>
      </c>
      <c r="G114" s="1286" t="s">
        <v>2837</v>
      </c>
      <c r="H114" s="1285">
        <f t="shared" si="9"/>
        <v>1856.575272</v>
      </c>
      <c r="J114" s="1278">
        <v>209</v>
      </c>
      <c r="K114" s="1278">
        <f t="shared" si="0"/>
        <v>25.08</v>
      </c>
      <c r="L114" s="1278">
        <f t="shared" si="1"/>
        <v>183.92000000000002</v>
      </c>
      <c r="M114" s="1278">
        <v>1</v>
      </c>
      <c r="N114" s="1278">
        <f t="shared" si="2"/>
        <v>183.92000000000002</v>
      </c>
      <c r="O114" s="1278">
        <f t="shared" si="3"/>
        <v>184</v>
      </c>
      <c r="P114" s="1281">
        <f t="shared" si="4"/>
        <v>37.619999999999997</v>
      </c>
      <c r="Q114" s="1278">
        <v>1</v>
      </c>
      <c r="R114" s="1278">
        <f t="shared" si="5"/>
        <v>183.92000000000002</v>
      </c>
      <c r="S114" s="1278">
        <f t="shared" si="6"/>
        <v>33.105600000000003</v>
      </c>
      <c r="T114" s="1278">
        <f t="shared" si="7"/>
        <v>217.02560000000003</v>
      </c>
    </row>
    <row r="115" spans="1:20">
      <c r="A115" s="1278">
        <f>H83</f>
        <v>1.5</v>
      </c>
      <c r="B115" s="1282" t="str">
        <f>B81</f>
        <v>k)</v>
      </c>
      <c r="C115" s="1283" t="str">
        <f>C81</f>
        <v xml:space="preserve">2" Nail </v>
      </c>
      <c r="F115" s="1278">
        <f t="shared" si="8"/>
        <v>82</v>
      </c>
      <c r="G115" s="1286" t="str">
        <f>I83</f>
        <v>Kg</v>
      </c>
      <c r="H115" s="1285">
        <f t="shared" si="9"/>
        <v>123</v>
      </c>
      <c r="J115" s="1278">
        <v>93</v>
      </c>
      <c r="K115" s="1278">
        <f t="shared" si="0"/>
        <v>11.16</v>
      </c>
      <c r="L115" s="1278">
        <f t="shared" si="1"/>
        <v>81.84</v>
      </c>
      <c r="M115" s="1278">
        <v>1</v>
      </c>
      <c r="N115" s="1278">
        <f t="shared" si="2"/>
        <v>81.84</v>
      </c>
      <c r="O115" s="1278">
        <f t="shared" si="3"/>
        <v>82</v>
      </c>
      <c r="P115" s="1281">
        <f t="shared" si="4"/>
        <v>16.739999999999998</v>
      </c>
      <c r="Q115" s="1278">
        <v>1</v>
      </c>
      <c r="R115" s="1278">
        <f t="shared" si="5"/>
        <v>81.84</v>
      </c>
      <c r="S115" s="1278">
        <f t="shared" si="6"/>
        <v>14.731199999999999</v>
      </c>
      <c r="T115" s="1278">
        <f t="shared" si="7"/>
        <v>96.571200000000005</v>
      </c>
    </row>
    <row r="116" spans="1:20">
      <c r="A116" s="1278">
        <f>H87</f>
        <v>0.5</v>
      </c>
      <c r="B116" s="1282" t="str">
        <f>B85</f>
        <v>l)</v>
      </c>
      <c r="C116" s="1283" t="str">
        <f>C85</f>
        <v>1/2 " nail</v>
      </c>
      <c r="F116" s="1278">
        <f t="shared" si="8"/>
        <v>110</v>
      </c>
      <c r="G116" s="1286" t="str">
        <f>I87</f>
        <v>Kg</v>
      </c>
      <c r="H116" s="1285">
        <f t="shared" si="9"/>
        <v>55</v>
      </c>
      <c r="J116" s="1278">
        <v>125</v>
      </c>
      <c r="K116" s="1278">
        <f t="shared" si="0"/>
        <v>15</v>
      </c>
      <c r="L116" s="1278">
        <f t="shared" si="1"/>
        <v>110</v>
      </c>
      <c r="M116" s="1278">
        <v>1</v>
      </c>
      <c r="N116" s="1278">
        <f t="shared" si="2"/>
        <v>110</v>
      </c>
      <c r="O116" s="1278">
        <f t="shared" si="3"/>
        <v>110</v>
      </c>
      <c r="P116" s="1281">
        <f t="shared" si="4"/>
        <v>22.5</v>
      </c>
      <c r="Q116" s="1278">
        <v>1</v>
      </c>
      <c r="R116" s="1278">
        <f t="shared" si="5"/>
        <v>110</v>
      </c>
      <c r="S116" s="1278">
        <f t="shared" si="6"/>
        <v>19.8</v>
      </c>
      <c r="T116" s="1278">
        <f t="shared" si="7"/>
        <v>129.80000000000001</v>
      </c>
    </row>
    <row r="117" spans="1:20">
      <c r="A117" s="1278">
        <f>H90</f>
        <v>1</v>
      </c>
      <c r="B117" s="1282" t="str">
        <f>B88</f>
        <v>m)</v>
      </c>
      <c r="C117" s="1283" t="str">
        <f>C88</f>
        <v xml:space="preserve">3/4 x 17 Gauge Nail </v>
      </c>
      <c r="F117" s="1278">
        <f t="shared" si="8"/>
        <v>113</v>
      </c>
      <c r="G117" s="1286" t="str">
        <f>I90</f>
        <v>Kg</v>
      </c>
      <c r="H117" s="1285">
        <f t="shared" si="9"/>
        <v>113</v>
      </c>
      <c r="J117" s="1278">
        <v>128</v>
      </c>
      <c r="K117" s="1278">
        <f t="shared" si="0"/>
        <v>15.36</v>
      </c>
      <c r="L117" s="1278">
        <f t="shared" si="1"/>
        <v>112.64</v>
      </c>
      <c r="M117" s="1278">
        <v>1</v>
      </c>
      <c r="N117" s="1278">
        <f t="shared" si="2"/>
        <v>112.64</v>
      </c>
      <c r="O117" s="1278">
        <f t="shared" si="3"/>
        <v>113</v>
      </c>
      <c r="P117" s="1281">
        <f t="shared" si="4"/>
        <v>23.04</v>
      </c>
      <c r="Q117" s="1278">
        <v>1</v>
      </c>
      <c r="R117" s="1278">
        <f t="shared" si="5"/>
        <v>112.64</v>
      </c>
      <c r="S117" s="1278">
        <f t="shared" si="6"/>
        <v>20.275199999999998</v>
      </c>
      <c r="T117" s="1278">
        <f t="shared" si="7"/>
        <v>132.9152</v>
      </c>
    </row>
    <row r="118" spans="1:20">
      <c r="A118" s="1278">
        <f>H94</f>
        <v>30</v>
      </c>
      <c r="B118" s="1282" t="str">
        <f>B92</f>
        <v>n)</v>
      </c>
      <c r="C118" s="1283" t="str">
        <f>C92</f>
        <v>50 x 10 steel screw</v>
      </c>
      <c r="F118" s="1278">
        <f t="shared" si="8"/>
        <v>7</v>
      </c>
      <c r="G118" s="1286" t="str">
        <f>I94</f>
        <v>Nos</v>
      </c>
      <c r="H118" s="1285">
        <f t="shared" si="9"/>
        <v>210</v>
      </c>
      <c r="J118" s="1278">
        <v>7.56</v>
      </c>
      <c r="K118" s="1278">
        <f t="shared" si="0"/>
        <v>0.9071999999999999</v>
      </c>
      <c r="L118" s="1278">
        <f t="shared" si="1"/>
        <v>6.6528</v>
      </c>
      <c r="M118" s="1278">
        <v>1</v>
      </c>
      <c r="N118" s="1278">
        <f t="shared" si="2"/>
        <v>6.6528</v>
      </c>
      <c r="O118" s="1278">
        <f t="shared" si="3"/>
        <v>7</v>
      </c>
      <c r="P118" s="1281">
        <f t="shared" si="4"/>
        <v>1.3607999999999998</v>
      </c>
      <c r="Q118" s="1278">
        <v>1</v>
      </c>
      <c r="R118" s="1278">
        <f t="shared" si="5"/>
        <v>6.6528</v>
      </c>
      <c r="S118" s="1278">
        <f t="shared" si="6"/>
        <v>1.1975039999999999</v>
      </c>
      <c r="T118" s="1278">
        <f t="shared" si="7"/>
        <v>7.8503039999999995</v>
      </c>
    </row>
    <row r="119" spans="1:20">
      <c r="A119" s="1278">
        <f>H100</f>
        <v>4.3999999999999995</v>
      </c>
      <c r="B119" s="1282" t="str">
        <f>B95</f>
        <v>o)</v>
      </c>
      <c r="C119" s="1283" t="str">
        <f>C95</f>
        <v xml:space="preserve">1" x 1/2 " Tw Oranamental beeding </v>
      </c>
      <c r="F119" s="1278">
        <f t="shared" si="8"/>
        <v>14</v>
      </c>
      <c r="G119" s="1286" t="str">
        <f>I100</f>
        <v>Rmt</v>
      </c>
      <c r="H119" s="1285">
        <f t="shared" si="9"/>
        <v>61.599999999999994</v>
      </c>
      <c r="J119" s="1278">
        <f>15</f>
        <v>15</v>
      </c>
      <c r="K119" s="1278">
        <f t="shared" si="0"/>
        <v>1.7999999999999998</v>
      </c>
      <c r="L119" s="1278">
        <f t="shared" si="1"/>
        <v>13.2</v>
      </c>
      <c r="M119" s="1278">
        <v>1</v>
      </c>
      <c r="N119" s="1278">
        <f t="shared" si="2"/>
        <v>13.2</v>
      </c>
      <c r="O119" s="1278">
        <f t="shared" si="3"/>
        <v>14</v>
      </c>
      <c r="P119" s="1281">
        <f t="shared" si="4"/>
        <v>2.6999999999999997</v>
      </c>
      <c r="Q119" s="1278">
        <v>3.28</v>
      </c>
      <c r="R119" s="1278">
        <f t="shared" si="5"/>
        <v>13.2</v>
      </c>
      <c r="S119" s="1278">
        <f t="shared" si="6"/>
        <v>2.3759999999999999</v>
      </c>
      <c r="T119" s="1278">
        <f t="shared" si="7"/>
        <v>15.575999999999999</v>
      </c>
    </row>
    <row r="120" spans="1:20">
      <c r="A120" s="1278">
        <f>J103</f>
        <v>3.1500000000000004</v>
      </c>
      <c r="B120" s="1282" t="s">
        <v>5493</v>
      </c>
      <c r="C120" s="1283" t="s">
        <v>5494</v>
      </c>
      <c r="F120" s="1278">
        <v>3000</v>
      </c>
      <c r="G120" s="1286" t="s">
        <v>26</v>
      </c>
      <c r="H120" s="1285">
        <f t="shared" si="9"/>
        <v>9450.0000000000018</v>
      </c>
      <c r="O120" s="1278">
        <v>2000</v>
      </c>
      <c r="P120" s="1281"/>
    </row>
    <row r="121" spans="1:20">
      <c r="H121" s="1285">
        <f>SUM(H105:H120)</f>
        <v>38675.196363999996</v>
      </c>
    </row>
    <row r="122" spans="1:20">
      <c r="A122" s="1281"/>
      <c r="H122" s="1285">
        <f>H121/A120</f>
        <v>12277.840115555553</v>
      </c>
    </row>
  </sheetData>
  <mergeCells count="2">
    <mergeCell ref="B2:I2"/>
    <mergeCell ref="C5:H5"/>
  </mergeCells>
  <pageMargins left="0.39370078740157483" right="0.39370078740157483" top="0.51181102362204722" bottom="0.51181102362204722" header="0.31496062992125984" footer="0.31496062992125984"/>
  <pageSetup paperSize="9" scale="90" orientation="portrait" horizontalDpi="300" verticalDpi="300" r:id="rId1"/>
</worksheet>
</file>

<file path=xl/worksheets/sheet8.xml><?xml version="1.0" encoding="utf-8"?>
<worksheet xmlns="http://schemas.openxmlformats.org/spreadsheetml/2006/main" xmlns:r="http://schemas.openxmlformats.org/officeDocument/2006/relationships">
  <sheetPr codeName="Sheet23"/>
  <dimension ref="A1:K704"/>
  <sheetViews>
    <sheetView topLeftCell="A4" zoomScale="85" zoomScaleNormal="85" workbookViewId="0">
      <selection activeCell="K118" sqref="K118"/>
    </sheetView>
  </sheetViews>
  <sheetFormatPr defaultRowHeight="15.75"/>
  <cols>
    <col min="1" max="1" width="11.5703125" style="2" bestFit="1" customWidth="1"/>
    <col min="2" max="2" width="9.7109375" style="2" customWidth="1"/>
    <col min="3" max="3" width="57.28515625" style="2" customWidth="1"/>
    <col min="4" max="4" width="13.7109375" style="2" customWidth="1"/>
    <col min="5" max="5" width="18.140625" style="2" customWidth="1"/>
    <col min="6" max="6" width="15.85546875" style="2" customWidth="1"/>
    <col min="7" max="7" width="11.5703125" style="2" bestFit="1" customWidth="1"/>
    <col min="8" max="9" width="9.140625" style="2"/>
    <col min="10" max="10" width="11.42578125" style="2" customWidth="1"/>
    <col min="11" max="256" width="9.140625" style="2"/>
    <col min="257" max="257" width="11.5703125" style="2" bestFit="1" customWidth="1"/>
    <col min="258" max="258" width="9.7109375" style="2" customWidth="1"/>
    <col min="259" max="259" width="57.28515625" style="2" customWidth="1"/>
    <col min="260" max="260" width="13.7109375" style="2" customWidth="1"/>
    <col min="261" max="261" width="18.140625" style="2" customWidth="1"/>
    <col min="262" max="262" width="15.85546875" style="2" customWidth="1"/>
    <col min="263" max="263" width="11.5703125" style="2" bestFit="1" customWidth="1"/>
    <col min="264" max="265" width="9.140625" style="2"/>
    <col min="266" max="266" width="11.42578125" style="2" customWidth="1"/>
    <col min="267" max="512" width="9.140625" style="2"/>
    <col min="513" max="513" width="11.5703125" style="2" bestFit="1" customWidth="1"/>
    <col min="514" max="514" width="9.7109375" style="2" customWidth="1"/>
    <col min="515" max="515" width="57.28515625" style="2" customWidth="1"/>
    <col min="516" max="516" width="13.7109375" style="2" customWidth="1"/>
    <col min="517" max="517" width="18.140625" style="2" customWidth="1"/>
    <col min="518" max="518" width="15.85546875" style="2" customWidth="1"/>
    <col min="519" max="519" width="11.5703125" style="2" bestFit="1" customWidth="1"/>
    <col min="520" max="521" width="9.140625" style="2"/>
    <col min="522" max="522" width="11.42578125" style="2" customWidth="1"/>
    <col min="523" max="768" width="9.140625" style="2"/>
    <col min="769" max="769" width="11.5703125" style="2" bestFit="1" customWidth="1"/>
    <col min="770" max="770" width="9.7109375" style="2" customWidth="1"/>
    <col min="771" max="771" width="57.28515625" style="2" customWidth="1"/>
    <col min="772" max="772" width="13.7109375" style="2" customWidth="1"/>
    <col min="773" max="773" width="18.140625" style="2" customWidth="1"/>
    <col min="774" max="774" width="15.85546875" style="2" customWidth="1"/>
    <col min="775" max="775" width="11.5703125" style="2" bestFit="1" customWidth="1"/>
    <col min="776" max="777" width="9.140625" style="2"/>
    <col min="778" max="778" width="11.42578125" style="2" customWidth="1"/>
    <col min="779" max="1024" width="9.140625" style="2"/>
    <col min="1025" max="1025" width="11.5703125" style="2" bestFit="1" customWidth="1"/>
    <col min="1026" max="1026" width="9.7109375" style="2" customWidth="1"/>
    <col min="1027" max="1027" width="57.28515625" style="2" customWidth="1"/>
    <col min="1028" max="1028" width="13.7109375" style="2" customWidth="1"/>
    <col min="1029" max="1029" width="18.140625" style="2" customWidth="1"/>
    <col min="1030" max="1030" width="15.85546875" style="2" customWidth="1"/>
    <col min="1031" max="1031" width="11.5703125" style="2" bestFit="1" customWidth="1"/>
    <col min="1032" max="1033" width="9.140625" style="2"/>
    <col min="1034" max="1034" width="11.42578125" style="2" customWidth="1"/>
    <col min="1035" max="1280" width="9.140625" style="2"/>
    <col min="1281" max="1281" width="11.5703125" style="2" bestFit="1" customWidth="1"/>
    <col min="1282" max="1282" width="9.7109375" style="2" customWidth="1"/>
    <col min="1283" max="1283" width="57.28515625" style="2" customWidth="1"/>
    <col min="1284" max="1284" width="13.7109375" style="2" customWidth="1"/>
    <col min="1285" max="1285" width="18.140625" style="2" customWidth="1"/>
    <col min="1286" max="1286" width="15.85546875" style="2" customWidth="1"/>
    <col min="1287" max="1287" width="11.5703125" style="2" bestFit="1" customWidth="1"/>
    <col min="1288" max="1289" width="9.140625" style="2"/>
    <col min="1290" max="1290" width="11.42578125" style="2" customWidth="1"/>
    <col min="1291" max="1536" width="9.140625" style="2"/>
    <col min="1537" max="1537" width="11.5703125" style="2" bestFit="1" customWidth="1"/>
    <col min="1538" max="1538" width="9.7109375" style="2" customWidth="1"/>
    <col min="1539" max="1539" width="57.28515625" style="2" customWidth="1"/>
    <col min="1540" max="1540" width="13.7109375" style="2" customWidth="1"/>
    <col min="1541" max="1541" width="18.140625" style="2" customWidth="1"/>
    <col min="1542" max="1542" width="15.85546875" style="2" customWidth="1"/>
    <col min="1543" max="1543" width="11.5703125" style="2" bestFit="1" customWidth="1"/>
    <col min="1544" max="1545" width="9.140625" style="2"/>
    <col min="1546" max="1546" width="11.42578125" style="2" customWidth="1"/>
    <col min="1547" max="1792" width="9.140625" style="2"/>
    <col min="1793" max="1793" width="11.5703125" style="2" bestFit="1" customWidth="1"/>
    <col min="1794" max="1794" width="9.7109375" style="2" customWidth="1"/>
    <col min="1795" max="1795" width="57.28515625" style="2" customWidth="1"/>
    <col min="1796" max="1796" width="13.7109375" style="2" customWidth="1"/>
    <col min="1797" max="1797" width="18.140625" style="2" customWidth="1"/>
    <col min="1798" max="1798" width="15.85546875" style="2" customWidth="1"/>
    <col min="1799" max="1799" width="11.5703125" style="2" bestFit="1" customWidth="1"/>
    <col min="1800" max="1801" width="9.140625" style="2"/>
    <col min="1802" max="1802" width="11.42578125" style="2" customWidth="1"/>
    <col min="1803" max="2048" width="9.140625" style="2"/>
    <col min="2049" max="2049" width="11.5703125" style="2" bestFit="1" customWidth="1"/>
    <col min="2050" max="2050" width="9.7109375" style="2" customWidth="1"/>
    <col min="2051" max="2051" width="57.28515625" style="2" customWidth="1"/>
    <col min="2052" max="2052" width="13.7109375" style="2" customWidth="1"/>
    <col min="2053" max="2053" width="18.140625" style="2" customWidth="1"/>
    <col min="2054" max="2054" width="15.85546875" style="2" customWidth="1"/>
    <col min="2055" max="2055" width="11.5703125" style="2" bestFit="1" customWidth="1"/>
    <col min="2056" max="2057" width="9.140625" style="2"/>
    <col min="2058" max="2058" width="11.42578125" style="2" customWidth="1"/>
    <col min="2059" max="2304" width="9.140625" style="2"/>
    <col min="2305" max="2305" width="11.5703125" style="2" bestFit="1" customWidth="1"/>
    <col min="2306" max="2306" width="9.7109375" style="2" customWidth="1"/>
    <col min="2307" max="2307" width="57.28515625" style="2" customWidth="1"/>
    <col min="2308" max="2308" width="13.7109375" style="2" customWidth="1"/>
    <col min="2309" max="2309" width="18.140625" style="2" customWidth="1"/>
    <col min="2310" max="2310" width="15.85546875" style="2" customWidth="1"/>
    <col min="2311" max="2311" width="11.5703125" style="2" bestFit="1" customWidth="1"/>
    <col min="2312" max="2313" width="9.140625" style="2"/>
    <col min="2314" max="2314" width="11.42578125" style="2" customWidth="1"/>
    <col min="2315" max="2560" width="9.140625" style="2"/>
    <col min="2561" max="2561" width="11.5703125" style="2" bestFit="1" customWidth="1"/>
    <col min="2562" max="2562" width="9.7109375" style="2" customWidth="1"/>
    <col min="2563" max="2563" width="57.28515625" style="2" customWidth="1"/>
    <col min="2564" max="2564" width="13.7109375" style="2" customWidth="1"/>
    <col min="2565" max="2565" width="18.140625" style="2" customWidth="1"/>
    <col min="2566" max="2566" width="15.85546875" style="2" customWidth="1"/>
    <col min="2567" max="2567" width="11.5703125" style="2" bestFit="1" customWidth="1"/>
    <col min="2568" max="2569" width="9.140625" style="2"/>
    <col min="2570" max="2570" width="11.42578125" style="2" customWidth="1"/>
    <col min="2571" max="2816" width="9.140625" style="2"/>
    <col min="2817" max="2817" width="11.5703125" style="2" bestFit="1" customWidth="1"/>
    <col min="2818" max="2818" width="9.7109375" style="2" customWidth="1"/>
    <col min="2819" max="2819" width="57.28515625" style="2" customWidth="1"/>
    <col min="2820" max="2820" width="13.7109375" style="2" customWidth="1"/>
    <col min="2821" max="2821" width="18.140625" style="2" customWidth="1"/>
    <col min="2822" max="2822" width="15.85546875" style="2" customWidth="1"/>
    <col min="2823" max="2823" width="11.5703125" style="2" bestFit="1" customWidth="1"/>
    <col min="2824" max="2825" width="9.140625" style="2"/>
    <col min="2826" max="2826" width="11.42578125" style="2" customWidth="1"/>
    <col min="2827" max="3072" width="9.140625" style="2"/>
    <col min="3073" max="3073" width="11.5703125" style="2" bestFit="1" customWidth="1"/>
    <col min="3074" max="3074" width="9.7109375" style="2" customWidth="1"/>
    <col min="3075" max="3075" width="57.28515625" style="2" customWidth="1"/>
    <col min="3076" max="3076" width="13.7109375" style="2" customWidth="1"/>
    <col min="3077" max="3077" width="18.140625" style="2" customWidth="1"/>
    <col min="3078" max="3078" width="15.85546875" style="2" customWidth="1"/>
    <col min="3079" max="3079" width="11.5703125" style="2" bestFit="1" customWidth="1"/>
    <col min="3080" max="3081" width="9.140625" style="2"/>
    <col min="3082" max="3082" width="11.42578125" style="2" customWidth="1"/>
    <col min="3083" max="3328" width="9.140625" style="2"/>
    <col min="3329" max="3329" width="11.5703125" style="2" bestFit="1" customWidth="1"/>
    <col min="3330" max="3330" width="9.7109375" style="2" customWidth="1"/>
    <col min="3331" max="3331" width="57.28515625" style="2" customWidth="1"/>
    <col min="3332" max="3332" width="13.7109375" style="2" customWidth="1"/>
    <col min="3333" max="3333" width="18.140625" style="2" customWidth="1"/>
    <col min="3334" max="3334" width="15.85546875" style="2" customWidth="1"/>
    <col min="3335" max="3335" width="11.5703125" style="2" bestFit="1" customWidth="1"/>
    <col min="3336" max="3337" width="9.140625" style="2"/>
    <col min="3338" max="3338" width="11.42578125" style="2" customWidth="1"/>
    <col min="3339" max="3584" width="9.140625" style="2"/>
    <col min="3585" max="3585" width="11.5703125" style="2" bestFit="1" customWidth="1"/>
    <col min="3586" max="3586" width="9.7109375" style="2" customWidth="1"/>
    <col min="3587" max="3587" width="57.28515625" style="2" customWidth="1"/>
    <col min="3588" max="3588" width="13.7109375" style="2" customWidth="1"/>
    <col min="3589" max="3589" width="18.140625" style="2" customWidth="1"/>
    <col min="3590" max="3590" width="15.85546875" style="2" customWidth="1"/>
    <col min="3591" max="3591" width="11.5703125" style="2" bestFit="1" customWidth="1"/>
    <col min="3592" max="3593" width="9.140625" style="2"/>
    <col min="3594" max="3594" width="11.42578125" style="2" customWidth="1"/>
    <col min="3595" max="3840" width="9.140625" style="2"/>
    <col min="3841" max="3841" width="11.5703125" style="2" bestFit="1" customWidth="1"/>
    <col min="3842" max="3842" width="9.7109375" style="2" customWidth="1"/>
    <col min="3843" max="3843" width="57.28515625" style="2" customWidth="1"/>
    <col min="3844" max="3844" width="13.7109375" style="2" customWidth="1"/>
    <col min="3845" max="3845" width="18.140625" style="2" customWidth="1"/>
    <col min="3846" max="3846" width="15.85546875" style="2" customWidth="1"/>
    <col min="3847" max="3847" width="11.5703125" style="2" bestFit="1" customWidth="1"/>
    <col min="3848" max="3849" width="9.140625" style="2"/>
    <col min="3850" max="3850" width="11.42578125" style="2" customWidth="1"/>
    <col min="3851" max="4096" width="9.140625" style="2"/>
    <col min="4097" max="4097" width="11.5703125" style="2" bestFit="1" customWidth="1"/>
    <col min="4098" max="4098" width="9.7109375" style="2" customWidth="1"/>
    <col min="4099" max="4099" width="57.28515625" style="2" customWidth="1"/>
    <col min="4100" max="4100" width="13.7109375" style="2" customWidth="1"/>
    <col min="4101" max="4101" width="18.140625" style="2" customWidth="1"/>
    <col min="4102" max="4102" width="15.85546875" style="2" customWidth="1"/>
    <col min="4103" max="4103" width="11.5703125" style="2" bestFit="1" customWidth="1"/>
    <col min="4104" max="4105" width="9.140625" style="2"/>
    <col min="4106" max="4106" width="11.42578125" style="2" customWidth="1"/>
    <col min="4107" max="4352" width="9.140625" style="2"/>
    <col min="4353" max="4353" width="11.5703125" style="2" bestFit="1" customWidth="1"/>
    <col min="4354" max="4354" width="9.7109375" style="2" customWidth="1"/>
    <col min="4355" max="4355" width="57.28515625" style="2" customWidth="1"/>
    <col min="4356" max="4356" width="13.7109375" style="2" customWidth="1"/>
    <col min="4357" max="4357" width="18.140625" style="2" customWidth="1"/>
    <col min="4358" max="4358" width="15.85546875" style="2" customWidth="1"/>
    <col min="4359" max="4359" width="11.5703125" style="2" bestFit="1" customWidth="1"/>
    <col min="4360" max="4361" width="9.140625" style="2"/>
    <col min="4362" max="4362" width="11.42578125" style="2" customWidth="1"/>
    <col min="4363" max="4608" width="9.140625" style="2"/>
    <col min="4609" max="4609" width="11.5703125" style="2" bestFit="1" customWidth="1"/>
    <col min="4610" max="4610" width="9.7109375" style="2" customWidth="1"/>
    <col min="4611" max="4611" width="57.28515625" style="2" customWidth="1"/>
    <col min="4612" max="4612" width="13.7109375" style="2" customWidth="1"/>
    <col min="4613" max="4613" width="18.140625" style="2" customWidth="1"/>
    <col min="4614" max="4614" width="15.85546875" style="2" customWidth="1"/>
    <col min="4615" max="4615" width="11.5703125" style="2" bestFit="1" customWidth="1"/>
    <col min="4616" max="4617" width="9.140625" style="2"/>
    <col min="4618" max="4618" width="11.42578125" style="2" customWidth="1"/>
    <col min="4619" max="4864" width="9.140625" style="2"/>
    <col min="4865" max="4865" width="11.5703125" style="2" bestFit="1" customWidth="1"/>
    <col min="4866" max="4866" width="9.7109375" style="2" customWidth="1"/>
    <col min="4867" max="4867" width="57.28515625" style="2" customWidth="1"/>
    <col min="4868" max="4868" width="13.7109375" style="2" customWidth="1"/>
    <col min="4869" max="4869" width="18.140625" style="2" customWidth="1"/>
    <col min="4870" max="4870" width="15.85546875" style="2" customWidth="1"/>
    <col min="4871" max="4871" width="11.5703125" style="2" bestFit="1" customWidth="1"/>
    <col min="4872" max="4873" width="9.140625" style="2"/>
    <col min="4874" max="4874" width="11.42578125" style="2" customWidth="1"/>
    <col min="4875" max="5120" width="9.140625" style="2"/>
    <col min="5121" max="5121" width="11.5703125" style="2" bestFit="1" customWidth="1"/>
    <col min="5122" max="5122" width="9.7109375" style="2" customWidth="1"/>
    <col min="5123" max="5123" width="57.28515625" style="2" customWidth="1"/>
    <col min="5124" max="5124" width="13.7109375" style="2" customWidth="1"/>
    <col min="5125" max="5125" width="18.140625" style="2" customWidth="1"/>
    <col min="5126" max="5126" width="15.85546875" style="2" customWidth="1"/>
    <col min="5127" max="5127" width="11.5703125" style="2" bestFit="1" customWidth="1"/>
    <col min="5128" max="5129" width="9.140625" style="2"/>
    <col min="5130" max="5130" width="11.42578125" style="2" customWidth="1"/>
    <col min="5131" max="5376" width="9.140625" style="2"/>
    <col min="5377" max="5377" width="11.5703125" style="2" bestFit="1" customWidth="1"/>
    <col min="5378" max="5378" width="9.7109375" style="2" customWidth="1"/>
    <col min="5379" max="5379" width="57.28515625" style="2" customWidth="1"/>
    <col min="5380" max="5380" width="13.7109375" style="2" customWidth="1"/>
    <col min="5381" max="5381" width="18.140625" style="2" customWidth="1"/>
    <col min="5382" max="5382" width="15.85546875" style="2" customWidth="1"/>
    <col min="5383" max="5383" width="11.5703125" style="2" bestFit="1" customWidth="1"/>
    <col min="5384" max="5385" width="9.140625" style="2"/>
    <col min="5386" max="5386" width="11.42578125" style="2" customWidth="1"/>
    <col min="5387" max="5632" width="9.140625" style="2"/>
    <col min="5633" max="5633" width="11.5703125" style="2" bestFit="1" customWidth="1"/>
    <col min="5634" max="5634" width="9.7109375" style="2" customWidth="1"/>
    <col min="5635" max="5635" width="57.28515625" style="2" customWidth="1"/>
    <col min="5636" max="5636" width="13.7109375" style="2" customWidth="1"/>
    <col min="5637" max="5637" width="18.140625" style="2" customWidth="1"/>
    <col min="5638" max="5638" width="15.85546875" style="2" customWidth="1"/>
    <col min="5639" max="5639" width="11.5703125" style="2" bestFit="1" customWidth="1"/>
    <col min="5640" max="5641" width="9.140625" style="2"/>
    <col min="5642" max="5642" width="11.42578125" style="2" customWidth="1"/>
    <col min="5643" max="5888" width="9.140625" style="2"/>
    <col min="5889" max="5889" width="11.5703125" style="2" bestFit="1" customWidth="1"/>
    <col min="5890" max="5890" width="9.7109375" style="2" customWidth="1"/>
    <col min="5891" max="5891" width="57.28515625" style="2" customWidth="1"/>
    <col min="5892" max="5892" width="13.7109375" style="2" customWidth="1"/>
    <col min="5893" max="5893" width="18.140625" style="2" customWidth="1"/>
    <col min="5894" max="5894" width="15.85546875" style="2" customWidth="1"/>
    <col min="5895" max="5895" width="11.5703125" style="2" bestFit="1" customWidth="1"/>
    <col min="5896" max="5897" width="9.140625" style="2"/>
    <col min="5898" max="5898" width="11.42578125" style="2" customWidth="1"/>
    <col min="5899" max="6144" width="9.140625" style="2"/>
    <col min="6145" max="6145" width="11.5703125" style="2" bestFit="1" customWidth="1"/>
    <col min="6146" max="6146" width="9.7109375" style="2" customWidth="1"/>
    <col min="6147" max="6147" width="57.28515625" style="2" customWidth="1"/>
    <col min="6148" max="6148" width="13.7109375" style="2" customWidth="1"/>
    <col min="6149" max="6149" width="18.140625" style="2" customWidth="1"/>
    <col min="6150" max="6150" width="15.85546875" style="2" customWidth="1"/>
    <col min="6151" max="6151" width="11.5703125" style="2" bestFit="1" customWidth="1"/>
    <col min="6152" max="6153" width="9.140625" style="2"/>
    <col min="6154" max="6154" width="11.42578125" style="2" customWidth="1"/>
    <col min="6155" max="6400" width="9.140625" style="2"/>
    <col min="6401" max="6401" width="11.5703125" style="2" bestFit="1" customWidth="1"/>
    <col min="6402" max="6402" width="9.7109375" style="2" customWidth="1"/>
    <col min="6403" max="6403" width="57.28515625" style="2" customWidth="1"/>
    <col min="6404" max="6404" width="13.7109375" style="2" customWidth="1"/>
    <col min="6405" max="6405" width="18.140625" style="2" customWidth="1"/>
    <col min="6406" max="6406" width="15.85546875" style="2" customWidth="1"/>
    <col min="6407" max="6407" width="11.5703125" style="2" bestFit="1" customWidth="1"/>
    <col min="6408" max="6409" width="9.140625" style="2"/>
    <col min="6410" max="6410" width="11.42578125" style="2" customWidth="1"/>
    <col min="6411" max="6656" width="9.140625" style="2"/>
    <col min="6657" max="6657" width="11.5703125" style="2" bestFit="1" customWidth="1"/>
    <col min="6658" max="6658" width="9.7109375" style="2" customWidth="1"/>
    <col min="6659" max="6659" width="57.28515625" style="2" customWidth="1"/>
    <col min="6660" max="6660" width="13.7109375" style="2" customWidth="1"/>
    <col min="6661" max="6661" width="18.140625" style="2" customWidth="1"/>
    <col min="6662" max="6662" width="15.85546875" style="2" customWidth="1"/>
    <col min="6663" max="6663" width="11.5703125" style="2" bestFit="1" customWidth="1"/>
    <col min="6664" max="6665" width="9.140625" style="2"/>
    <col min="6666" max="6666" width="11.42578125" style="2" customWidth="1"/>
    <col min="6667" max="6912" width="9.140625" style="2"/>
    <col min="6913" max="6913" width="11.5703125" style="2" bestFit="1" customWidth="1"/>
    <col min="6914" max="6914" width="9.7109375" style="2" customWidth="1"/>
    <col min="6915" max="6915" width="57.28515625" style="2" customWidth="1"/>
    <col min="6916" max="6916" width="13.7109375" style="2" customWidth="1"/>
    <col min="6917" max="6917" width="18.140625" style="2" customWidth="1"/>
    <col min="6918" max="6918" width="15.85546875" style="2" customWidth="1"/>
    <col min="6919" max="6919" width="11.5703125" style="2" bestFit="1" customWidth="1"/>
    <col min="6920" max="6921" width="9.140625" style="2"/>
    <col min="6922" max="6922" width="11.42578125" style="2" customWidth="1"/>
    <col min="6923" max="7168" width="9.140625" style="2"/>
    <col min="7169" max="7169" width="11.5703125" style="2" bestFit="1" customWidth="1"/>
    <col min="7170" max="7170" width="9.7109375" style="2" customWidth="1"/>
    <col min="7171" max="7171" width="57.28515625" style="2" customWidth="1"/>
    <col min="7172" max="7172" width="13.7109375" style="2" customWidth="1"/>
    <col min="7173" max="7173" width="18.140625" style="2" customWidth="1"/>
    <col min="7174" max="7174" width="15.85546875" style="2" customWidth="1"/>
    <col min="7175" max="7175" width="11.5703125" style="2" bestFit="1" customWidth="1"/>
    <col min="7176" max="7177" width="9.140625" style="2"/>
    <col min="7178" max="7178" width="11.42578125" style="2" customWidth="1"/>
    <col min="7179" max="7424" width="9.140625" style="2"/>
    <col min="7425" max="7425" width="11.5703125" style="2" bestFit="1" customWidth="1"/>
    <col min="7426" max="7426" width="9.7109375" style="2" customWidth="1"/>
    <col min="7427" max="7427" width="57.28515625" style="2" customWidth="1"/>
    <col min="7428" max="7428" width="13.7109375" style="2" customWidth="1"/>
    <col min="7429" max="7429" width="18.140625" style="2" customWidth="1"/>
    <col min="7430" max="7430" width="15.85546875" style="2" customWidth="1"/>
    <col min="7431" max="7431" width="11.5703125" style="2" bestFit="1" customWidth="1"/>
    <col min="7432" max="7433" width="9.140625" style="2"/>
    <col min="7434" max="7434" width="11.42578125" style="2" customWidth="1"/>
    <col min="7435" max="7680" width="9.140625" style="2"/>
    <col min="7681" max="7681" width="11.5703125" style="2" bestFit="1" customWidth="1"/>
    <col min="7682" max="7682" width="9.7109375" style="2" customWidth="1"/>
    <col min="7683" max="7683" width="57.28515625" style="2" customWidth="1"/>
    <col min="7684" max="7684" width="13.7109375" style="2" customWidth="1"/>
    <col min="7685" max="7685" width="18.140625" style="2" customWidth="1"/>
    <col min="7686" max="7686" width="15.85546875" style="2" customWidth="1"/>
    <col min="7687" max="7687" width="11.5703125" style="2" bestFit="1" customWidth="1"/>
    <col min="7688" max="7689" width="9.140625" style="2"/>
    <col min="7690" max="7690" width="11.42578125" style="2" customWidth="1"/>
    <col min="7691" max="7936" width="9.140625" style="2"/>
    <col min="7937" max="7937" width="11.5703125" style="2" bestFit="1" customWidth="1"/>
    <col min="7938" max="7938" width="9.7109375" style="2" customWidth="1"/>
    <col min="7939" max="7939" width="57.28515625" style="2" customWidth="1"/>
    <col min="7940" max="7940" width="13.7109375" style="2" customWidth="1"/>
    <col min="7941" max="7941" width="18.140625" style="2" customWidth="1"/>
    <col min="7942" max="7942" width="15.85546875" style="2" customWidth="1"/>
    <col min="7943" max="7943" width="11.5703125" style="2" bestFit="1" customWidth="1"/>
    <col min="7944" max="7945" width="9.140625" style="2"/>
    <col min="7946" max="7946" width="11.42578125" style="2" customWidth="1"/>
    <col min="7947" max="8192" width="9.140625" style="2"/>
    <col min="8193" max="8193" width="11.5703125" style="2" bestFit="1" customWidth="1"/>
    <col min="8194" max="8194" width="9.7109375" style="2" customWidth="1"/>
    <col min="8195" max="8195" width="57.28515625" style="2" customWidth="1"/>
    <col min="8196" max="8196" width="13.7109375" style="2" customWidth="1"/>
    <col min="8197" max="8197" width="18.140625" style="2" customWidth="1"/>
    <col min="8198" max="8198" width="15.85546875" style="2" customWidth="1"/>
    <col min="8199" max="8199" width="11.5703125" style="2" bestFit="1" customWidth="1"/>
    <col min="8200" max="8201" width="9.140625" style="2"/>
    <col min="8202" max="8202" width="11.42578125" style="2" customWidth="1"/>
    <col min="8203" max="8448" width="9.140625" style="2"/>
    <col min="8449" max="8449" width="11.5703125" style="2" bestFit="1" customWidth="1"/>
    <col min="8450" max="8450" width="9.7109375" style="2" customWidth="1"/>
    <col min="8451" max="8451" width="57.28515625" style="2" customWidth="1"/>
    <col min="8452" max="8452" width="13.7109375" style="2" customWidth="1"/>
    <col min="8453" max="8453" width="18.140625" style="2" customWidth="1"/>
    <col min="8454" max="8454" width="15.85546875" style="2" customWidth="1"/>
    <col min="8455" max="8455" width="11.5703125" style="2" bestFit="1" customWidth="1"/>
    <col min="8456" max="8457" width="9.140625" style="2"/>
    <col min="8458" max="8458" width="11.42578125" style="2" customWidth="1"/>
    <col min="8459" max="8704" width="9.140625" style="2"/>
    <col min="8705" max="8705" width="11.5703125" style="2" bestFit="1" customWidth="1"/>
    <col min="8706" max="8706" width="9.7109375" style="2" customWidth="1"/>
    <col min="8707" max="8707" width="57.28515625" style="2" customWidth="1"/>
    <col min="8708" max="8708" width="13.7109375" style="2" customWidth="1"/>
    <col min="8709" max="8709" width="18.140625" style="2" customWidth="1"/>
    <col min="8710" max="8710" width="15.85546875" style="2" customWidth="1"/>
    <col min="8711" max="8711" width="11.5703125" style="2" bestFit="1" customWidth="1"/>
    <col min="8712" max="8713" width="9.140625" style="2"/>
    <col min="8714" max="8714" width="11.42578125" style="2" customWidth="1"/>
    <col min="8715" max="8960" width="9.140625" style="2"/>
    <col min="8961" max="8961" width="11.5703125" style="2" bestFit="1" customWidth="1"/>
    <col min="8962" max="8962" width="9.7109375" style="2" customWidth="1"/>
    <col min="8963" max="8963" width="57.28515625" style="2" customWidth="1"/>
    <col min="8964" max="8964" width="13.7109375" style="2" customWidth="1"/>
    <col min="8965" max="8965" width="18.140625" style="2" customWidth="1"/>
    <col min="8966" max="8966" width="15.85546875" style="2" customWidth="1"/>
    <col min="8967" max="8967" width="11.5703125" style="2" bestFit="1" customWidth="1"/>
    <col min="8968" max="8969" width="9.140625" style="2"/>
    <col min="8970" max="8970" width="11.42578125" style="2" customWidth="1"/>
    <col min="8971" max="9216" width="9.140625" style="2"/>
    <col min="9217" max="9217" width="11.5703125" style="2" bestFit="1" customWidth="1"/>
    <col min="9218" max="9218" width="9.7109375" style="2" customWidth="1"/>
    <col min="9219" max="9219" width="57.28515625" style="2" customWidth="1"/>
    <col min="9220" max="9220" width="13.7109375" style="2" customWidth="1"/>
    <col min="9221" max="9221" width="18.140625" style="2" customWidth="1"/>
    <col min="9222" max="9222" width="15.85546875" style="2" customWidth="1"/>
    <col min="9223" max="9223" width="11.5703125" style="2" bestFit="1" customWidth="1"/>
    <col min="9224" max="9225" width="9.140625" style="2"/>
    <col min="9226" max="9226" width="11.42578125" style="2" customWidth="1"/>
    <col min="9227" max="9472" width="9.140625" style="2"/>
    <col min="9473" max="9473" width="11.5703125" style="2" bestFit="1" customWidth="1"/>
    <col min="9474" max="9474" width="9.7109375" style="2" customWidth="1"/>
    <col min="9475" max="9475" width="57.28515625" style="2" customWidth="1"/>
    <col min="9476" max="9476" width="13.7109375" style="2" customWidth="1"/>
    <col min="9477" max="9477" width="18.140625" style="2" customWidth="1"/>
    <col min="9478" max="9478" width="15.85546875" style="2" customWidth="1"/>
    <col min="9479" max="9479" width="11.5703125" style="2" bestFit="1" customWidth="1"/>
    <col min="9480" max="9481" width="9.140625" style="2"/>
    <col min="9482" max="9482" width="11.42578125" style="2" customWidth="1"/>
    <col min="9483" max="9728" width="9.140625" style="2"/>
    <col min="9729" max="9729" width="11.5703125" style="2" bestFit="1" customWidth="1"/>
    <col min="9730" max="9730" width="9.7109375" style="2" customWidth="1"/>
    <col min="9731" max="9731" width="57.28515625" style="2" customWidth="1"/>
    <col min="9732" max="9732" width="13.7109375" style="2" customWidth="1"/>
    <col min="9733" max="9733" width="18.140625" style="2" customWidth="1"/>
    <col min="9734" max="9734" width="15.85546875" style="2" customWidth="1"/>
    <col min="9735" max="9735" width="11.5703125" style="2" bestFit="1" customWidth="1"/>
    <col min="9736" max="9737" width="9.140625" style="2"/>
    <col min="9738" max="9738" width="11.42578125" style="2" customWidth="1"/>
    <col min="9739" max="9984" width="9.140625" style="2"/>
    <col min="9985" max="9985" width="11.5703125" style="2" bestFit="1" customWidth="1"/>
    <col min="9986" max="9986" width="9.7109375" style="2" customWidth="1"/>
    <col min="9987" max="9987" width="57.28515625" style="2" customWidth="1"/>
    <col min="9988" max="9988" width="13.7109375" style="2" customWidth="1"/>
    <col min="9989" max="9989" width="18.140625" style="2" customWidth="1"/>
    <col min="9990" max="9990" width="15.85546875" style="2" customWidth="1"/>
    <col min="9991" max="9991" width="11.5703125" style="2" bestFit="1" customWidth="1"/>
    <col min="9992" max="9993" width="9.140625" style="2"/>
    <col min="9994" max="9994" width="11.42578125" style="2" customWidth="1"/>
    <col min="9995" max="10240" width="9.140625" style="2"/>
    <col min="10241" max="10241" width="11.5703125" style="2" bestFit="1" customWidth="1"/>
    <col min="10242" max="10242" width="9.7109375" style="2" customWidth="1"/>
    <col min="10243" max="10243" width="57.28515625" style="2" customWidth="1"/>
    <col min="10244" max="10244" width="13.7109375" style="2" customWidth="1"/>
    <col min="10245" max="10245" width="18.140625" style="2" customWidth="1"/>
    <col min="10246" max="10246" width="15.85546875" style="2" customWidth="1"/>
    <col min="10247" max="10247" width="11.5703125" style="2" bestFit="1" customWidth="1"/>
    <col min="10248" max="10249" width="9.140625" style="2"/>
    <col min="10250" max="10250" width="11.42578125" style="2" customWidth="1"/>
    <col min="10251" max="10496" width="9.140625" style="2"/>
    <col min="10497" max="10497" width="11.5703125" style="2" bestFit="1" customWidth="1"/>
    <col min="10498" max="10498" width="9.7109375" style="2" customWidth="1"/>
    <col min="10499" max="10499" width="57.28515625" style="2" customWidth="1"/>
    <col min="10500" max="10500" width="13.7109375" style="2" customWidth="1"/>
    <col min="10501" max="10501" width="18.140625" style="2" customWidth="1"/>
    <col min="10502" max="10502" width="15.85546875" style="2" customWidth="1"/>
    <col min="10503" max="10503" width="11.5703125" style="2" bestFit="1" customWidth="1"/>
    <col min="10504" max="10505" width="9.140625" style="2"/>
    <col min="10506" max="10506" width="11.42578125" style="2" customWidth="1"/>
    <col min="10507" max="10752" width="9.140625" style="2"/>
    <col min="10753" max="10753" width="11.5703125" style="2" bestFit="1" customWidth="1"/>
    <col min="10754" max="10754" width="9.7109375" style="2" customWidth="1"/>
    <col min="10755" max="10755" width="57.28515625" style="2" customWidth="1"/>
    <col min="10756" max="10756" width="13.7109375" style="2" customWidth="1"/>
    <col min="10757" max="10757" width="18.140625" style="2" customWidth="1"/>
    <col min="10758" max="10758" width="15.85546875" style="2" customWidth="1"/>
    <col min="10759" max="10759" width="11.5703125" style="2" bestFit="1" customWidth="1"/>
    <col min="10760" max="10761" width="9.140625" style="2"/>
    <col min="10762" max="10762" width="11.42578125" style="2" customWidth="1"/>
    <col min="10763" max="11008" width="9.140625" style="2"/>
    <col min="11009" max="11009" width="11.5703125" style="2" bestFit="1" customWidth="1"/>
    <col min="11010" max="11010" width="9.7109375" style="2" customWidth="1"/>
    <col min="11011" max="11011" width="57.28515625" style="2" customWidth="1"/>
    <col min="11012" max="11012" width="13.7109375" style="2" customWidth="1"/>
    <col min="11013" max="11013" width="18.140625" style="2" customWidth="1"/>
    <col min="11014" max="11014" width="15.85546875" style="2" customWidth="1"/>
    <col min="11015" max="11015" width="11.5703125" style="2" bestFit="1" customWidth="1"/>
    <col min="11016" max="11017" width="9.140625" style="2"/>
    <col min="11018" max="11018" width="11.42578125" style="2" customWidth="1"/>
    <col min="11019" max="11264" width="9.140625" style="2"/>
    <col min="11265" max="11265" width="11.5703125" style="2" bestFit="1" customWidth="1"/>
    <col min="11266" max="11266" width="9.7109375" style="2" customWidth="1"/>
    <col min="11267" max="11267" width="57.28515625" style="2" customWidth="1"/>
    <col min="11268" max="11268" width="13.7109375" style="2" customWidth="1"/>
    <col min="11269" max="11269" width="18.140625" style="2" customWidth="1"/>
    <col min="11270" max="11270" width="15.85546875" style="2" customWidth="1"/>
    <col min="11271" max="11271" width="11.5703125" style="2" bestFit="1" customWidth="1"/>
    <col min="11272" max="11273" width="9.140625" style="2"/>
    <col min="11274" max="11274" width="11.42578125" style="2" customWidth="1"/>
    <col min="11275" max="11520" width="9.140625" style="2"/>
    <col min="11521" max="11521" width="11.5703125" style="2" bestFit="1" customWidth="1"/>
    <col min="11522" max="11522" width="9.7109375" style="2" customWidth="1"/>
    <col min="11523" max="11523" width="57.28515625" style="2" customWidth="1"/>
    <col min="11524" max="11524" width="13.7109375" style="2" customWidth="1"/>
    <col min="11525" max="11525" width="18.140625" style="2" customWidth="1"/>
    <col min="11526" max="11526" width="15.85546875" style="2" customWidth="1"/>
    <col min="11527" max="11527" width="11.5703125" style="2" bestFit="1" customWidth="1"/>
    <col min="11528" max="11529" width="9.140625" style="2"/>
    <col min="11530" max="11530" width="11.42578125" style="2" customWidth="1"/>
    <col min="11531" max="11776" width="9.140625" style="2"/>
    <col min="11777" max="11777" width="11.5703125" style="2" bestFit="1" customWidth="1"/>
    <col min="11778" max="11778" width="9.7109375" style="2" customWidth="1"/>
    <col min="11779" max="11779" width="57.28515625" style="2" customWidth="1"/>
    <col min="11780" max="11780" width="13.7109375" style="2" customWidth="1"/>
    <col min="11781" max="11781" width="18.140625" style="2" customWidth="1"/>
    <col min="11782" max="11782" width="15.85546875" style="2" customWidth="1"/>
    <col min="11783" max="11783" width="11.5703125" style="2" bestFit="1" customWidth="1"/>
    <col min="11784" max="11785" width="9.140625" style="2"/>
    <col min="11786" max="11786" width="11.42578125" style="2" customWidth="1"/>
    <col min="11787" max="12032" width="9.140625" style="2"/>
    <col min="12033" max="12033" width="11.5703125" style="2" bestFit="1" customWidth="1"/>
    <col min="12034" max="12034" width="9.7109375" style="2" customWidth="1"/>
    <col min="12035" max="12035" width="57.28515625" style="2" customWidth="1"/>
    <col min="12036" max="12036" width="13.7109375" style="2" customWidth="1"/>
    <col min="12037" max="12037" width="18.140625" style="2" customWidth="1"/>
    <col min="12038" max="12038" width="15.85546875" style="2" customWidth="1"/>
    <col min="12039" max="12039" width="11.5703125" style="2" bestFit="1" customWidth="1"/>
    <col min="12040" max="12041" width="9.140625" style="2"/>
    <col min="12042" max="12042" width="11.42578125" style="2" customWidth="1"/>
    <col min="12043" max="12288" width="9.140625" style="2"/>
    <col min="12289" max="12289" width="11.5703125" style="2" bestFit="1" customWidth="1"/>
    <col min="12290" max="12290" width="9.7109375" style="2" customWidth="1"/>
    <col min="12291" max="12291" width="57.28515625" style="2" customWidth="1"/>
    <col min="12292" max="12292" width="13.7109375" style="2" customWidth="1"/>
    <col min="12293" max="12293" width="18.140625" style="2" customWidth="1"/>
    <col min="12294" max="12294" width="15.85546875" style="2" customWidth="1"/>
    <col min="12295" max="12295" width="11.5703125" style="2" bestFit="1" customWidth="1"/>
    <col min="12296" max="12297" width="9.140625" style="2"/>
    <col min="12298" max="12298" width="11.42578125" style="2" customWidth="1"/>
    <col min="12299" max="12544" width="9.140625" style="2"/>
    <col min="12545" max="12545" width="11.5703125" style="2" bestFit="1" customWidth="1"/>
    <col min="12546" max="12546" width="9.7109375" style="2" customWidth="1"/>
    <col min="12547" max="12547" width="57.28515625" style="2" customWidth="1"/>
    <col min="12548" max="12548" width="13.7109375" style="2" customWidth="1"/>
    <col min="12549" max="12549" width="18.140625" style="2" customWidth="1"/>
    <col min="12550" max="12550" width="15.85546875" style="2" customWidth="1"/>
    <col min="12551" max="12551" width="11.5703125" style="2" bestFit="1" customWidth="1"/>
    <col min="12552" max="12553" width="9.140625" style="2"/>
    <col min="12554" max="12554" width="11.42578125" style="2" customWidth="1"/>
    <col min="12555" max="12800" width="9.140625" style="2"/>
    <col min="12801" max="12801" width="11.5703125" style="2" bestFit="1" customWidth="1"/>
    <col min="12802" max="12802" width="9.7109375" style="2" customWidth="1"/>
    <col min="12803" max="12803" width="57.28515625" style="2" customWidth="1"/>
    <col min="12804" max="12804" width="13.7109375" style="2" customWidth="1"/>
    <col min="12805" max="12805" width="18.140625" style="2" customWidth="1"/>
    <col min="12806" max="12806" width="15.85546875" style="2" customWidth="1"/>
    <col min="12807" max="12807" width="11.5703125" style="2" bestFit="1" customWidth="1"/>
    <col min="12808" max="12809" width="9.140625" style="2"/>
    <col min="12810" max="12810" width="11.42578125" style="2" customWidth="1"/>
    <col min="12811" max="13056" width="9.140625" style="2"/>
    <col min="13057" max="13057" width="11.5703125" style="2" bestFit="1" customWidth="1"/>
    <col min="13058" max="13058" width="9.7109375" style="2" customWidth="1"/>
    <col min="13059" max="13059" width="57.28515625" style="2" customWidth="1"/>
    <col min="13060" max="13060" width="13.7109375" style="2" customWidth="1"/>
    <col min="13061" max="13061" width="18.140625" style="2" customWidth="1"/>
    <col min="13062" max="13062" width="15.85546875" style="2" customWidth="1"/>
    <col min="13063" max="13063" width="11.5703125" style="2" bestFit="1" customWidth="1"/>
    <col min="13064" max="13065" width="9.140625" style="2"/>
    <col min="13066" max="13066" width="11.42578125" style="2" customWidth="1"/>
    <col min="13067" max="13312" width="9.140625" style="2"/>
    <col min="13313" max="13313" width="11.5703125" style="2" bestFit="1" customWidth="1"/>
    <col min="13314" max="13314" width="9.7109375" style="2" customWidth="1"/>
    <col min="13315" max="13315" width="57.28515625" style="2" customWidth="1"/>
    <col min="13316" max="13316" width="13.7109375" style="2" customWidth="1"/>
    <col min="13317" max="13317" width="18.140625" style="2" customWidth="1"/>
    <col min="13318" max="13318" width="15.85546875" style="2" customWidth="1"/>
    <col min="13319" max="13319" width="11.5703125" style="2" bestFit="1" customWidth="1"/>
    <col min="13320" max="13321" width="9.140625" style="2"/>
    <col min="13322" max="13322" width="11.42578125" style="2" customWidth="1"/>
    <col min="13323" max="13568" width="9.140625" style="2"/>
    <col min="13569" max="13569" width="11.5703125" style="2" bestFit="1" customWidth="1"/>
    <col min="13570" max="13570" width="9.7109375" style="2" customWidth="1"/>
    <col min="13571" max="13571" width="57.28515625" style="2" customWidth="1"/>
    <col min="13572" max="13572" width="13.7109375" style="2" customWidth="1"/>
    <col min="13573" max="13573" width="18.140625" style="2" customWidth="1"/>
    <col min="13574" max="13574" width="15.85546875" style="2" customWidth="1"/>
    <col min="13575" max="13575" width="11.5703125" style="2" bestFit="1" customWidth="1"/>
    <col min="13576" max="13577" width="9.140625" style="2"/>
    <col min="13578" max="13578" width="11.42578125" style="2" customWidth="1"/>
    <col min="13579" max="13824" width="9.140625" style="2"/>
    <col min="13825" max="13825" width="11.5703125" style="2" bestFit="1" customWidth="1"/>
    <col min="13826" max="13826" width="9.7109375" style="2" customWidth="1"/>
    <col min="13827" max="13827" width="57.28515625" style="2" customWidth="1"/>
    <col min="13828" max="13828" width="13.7109375" style="2" customWidth="1"/>
    <col min="13829" max="13829" width="18.140625" style="2" customWidth="1"/>
    <col min="13830" max="13830" width="15.85546875" style="2" customWidth="1"/>
    <col min="13831" max="13831" width="11.5703125" style="2" bestFit="1" customWidth="1"/>
    <col min="13832" max="13833" width="9.140625" style="2"/>
    <col min="13834" max="13834" width="11.42578125" style="2" customWidth="1"/>
    <col min="13835" max="14080" width="9.140625" style="2"/>
    <col min="14081" max="14081" width="11.5703125" style="2" bestFit="1" customWidth="1"/>
    <col min="14082" max="14082" width="9.7109375" style="2" customWidth="1"/>
    <col min="14083" max="14083" width="57.28515625" style="2" customWidth="1"/>
    <col min="14084" max="14084" width="13.7109375" style="2" customWidth="1"/>
    <col min="14085" max="14085" width="18.140625" style="2" customWidth="1"/>
    <col min="14086" max="14086" width="15.85546875" style="2" customWidth="1"/>
    <col min="14087" max="14087" width="11.5703125" style="2" bestFit="1" customWidth="1"/>
    <col min="14088" max="14089" width="9.140625" style="2"/>
    <col min="14090" max="14090" width="11.42578125" style="2" customWidth="1"/>
    <col min="14091" max="14336" width="9.140625" style="2"/>
    <col min="14337" max="14337" width="11.5703125" style="2" bestFit="1" customWidth="1"/>
    <col min="14338" max="14338" width="9.7109375" style="2" customWidth="1"/>
    <col min="14339" max="14339" width="57.28515625" style="2" customWidth="1"/>
    <col min="14340" max="14340" width="13.7109375" style="2" customWidth="1"/>
    <col min="14341" max="14341" width="18.140625" style="2" customWidth="1"/>
    <col min="14342" max="14342" width="15.85546875" style="2" customWidth="1"/>
    <col min="14343" max="14343" width="11.5703125" style="2" bestFit="1" customWidth="1"/>
    <col min="14344" max="14345" width="9.140625" style="2"/>
    <col min="14346" max="14346" width="11.42578125" style="2" customWidth="1"/>
    <col min="14347" max="14592" width="9.140625" style="2"/>
    <col min="14593" max="14593" width="11.5703125" style="2" bestFit="1" customWidth="1"/>
    <col min="14594" max="14594" width="9.7109375" style="2" customWidth="1"/>
    <col min="14595" max="14595" width="57.28515625" style="2" customWidth="1"/>
    <col min="14596" max="14596" width="13.7109375" style="2" customWidth="1"/>
    <col min="14597" max="14597" width="18.140625" style="2" customWidth="1"/>
    <col min="14598" max="14598" width="15.85546875" style="2" customWidth="1"/>
    <col min="14599" max="14599" width="11.5703125" style="2" bestFit="1" customWidth="1"/>
    <col min="14600" max="14601" width="9.140625" style="2"/>
    <col min="14602" max="14602" width="11.42578125" style="2" customWidth="1"/>
    <col min="14603" max="14848" width="9.140625" style="2"/>
    <col min="14849" max="14849" width="11.5703125" style="2" bestFit="1" customWidth="1"/>
    <col min="14850" max="14850" width="9.7109375" style="2" customWidth="1"/>
    <col min="14851" max="14851" width="57.28515625" style="2" customWidth="1"/>
    <col min="14852" max="14852" width="13.7109375" style="2" customWidth="1"/>
    <col min="14853" max="14853" width="18.140625" style="2" customWidth="1"/>
    <col min="14854" max="14854" width="15.85546875" style="2" customWidth="1"/>
    <col min="14855" max="14855" width="11.5703125" style="2" bestFit="1" customWidth="1"/>
    <col min="14856" max="14857" width="9.140625" style="2"/>
    <col min="14858" max="14858" width="11.42578125" style="2" customWidth="1"/>
    <col min="14859" max="15104" width="9.140625" style="2"/>
    <col min="15105" max="15105" width="11.5703125" style="2" bestFit="1" customWidth="1"/>
    <col min="15106" max="15106" width="9.7109375" style="2" customWidth="1"/>
    <col min="15107" max="15107" width="57.28515625" style="2" customWidth="1"/>
    <col min="15108" max="15108" width="13.7109375" style="2" customWidth="1"/>
    <col min="15109" max="15109" width="18.140625" style="2" customWidth="1"/>
    <col min="15110" max="15110" width="15.85546875" style="2" customWidth="1"/>
    <col min="15111" max="15111" width="11.5703125" style="2" bestFit="1" customWidth="1"/>
    <col min="15112" max="15113" width="9.140625" style="2"/>
    <col min="15114" max="15114" width="11.42578125" style="2" customWidth="1"/>
    <col min="15115" max="15360" width="9.140625" style="2"/>
    <col min="15361" max="15361" width="11.5703125" style="2" bestFit="1" customWidth="1"/>
    <col min="15362" max="15362" width="9.7109375" style="2" customWidth="1"/>
    <col min="15363" max="15363" width="57.28515625" style="2" customWidth="1"/>
    <col min="15364" max="15364" width="13.7109375" style="2" customWidth="1"/>
    <col min="15365" max="15365" width="18.140625" style="2" customWidth="1"/>
    <col min="15366" max="15366" width="15.85546875" style="2" customWidth="1"/>
    <col min="15367" max="15367" width="11.5703125" style="2" bestFit="1" customWidth="1"/>
    <col min="15368" max="15369" width="9.140625" style="2"/>
    <col min="15370" max="15370" width="11.42578125" style="2" customWidth="1"/>
    <col min="15371" max="15616" width="9.140625" style="2"/>
    <col min="15617" max="15617" width="11.5703125" style="2" bestFit="1" customWidth="1"/>
    <col min="15618" max="15618" width="9.7109375" style="2" customWidth="1"/>
    <col min="15619" max="15619" width="57.28515625" style="2" customWidth="1"/>
    <col min="15620" max="15620" width="13.7109375" style="2" customWidth="1"/>
    <col min="15621" max="15621" width="18.140625" style="2" customWidth="1"/>
    <col min="15622" max="15622" width="15.85546875" style="2" customWidth="1"/>
    <col min="15623" max="15623" width="11.5703125" style="2" bestFit="1" customWidth="1"/>
    <col min="15624" max="15625" width="9.140625" style="2"/>
    <col min="15626" max="15626" width="11.42578125" style="2" customWidth="1"/>
    <col min="15627" max="15872" width="9.140625" style="2"/>
    <col min="15873" max="15873" width="11.5703125" style="2" bestFit="1" customWidth="1"/>
    <col min="15874" max="15874" width="9.7109375" style="2" customWidth="1"/>
    <col min="15875" max="15875" width="57.28515625" style="2" customWidth="1"/>
    <col min="15876" max="15876" width="13.7109375" style="2" customWidth="1"/>
    <col min="15877" max="15877" width="18.140625" style="2" customWidth="1"/>
    <col min="15878" max="15878" width="15.85546875" style="2" customWidth="1"/>
    <col min="15879" max="15879" width="11.5703125" style="2" bestFit="1" customWidth="1"/>
    <col min="15880" max="15881" width="9.140625" style="2"/>
    <col min="15882" max="15882" width="11.42578125" style="2" customWidth="1"/>
    <col min="15883" max="16128" width="9.140625" style="2"/>
    <col min="16129" max="16129" width="11.5703125" style="2" bestFit="1" customWidth="1"/>
    <col min="16130" max="16130" width="9.7109375" style="2" customWidth="1"/>
    <col min="16131" max="16131" width="57.28515625" style="2" customWidth="1"/>
    <col min="16132" max="16132" width="13.7109375" style="2" customWidth="1"/>
    <col min="16133" max="16133" width="18.140625" style="2" customWidth="1"/>
    <col min="16134" max="16134" width="15.85546875" style="2" customWidth="1"/>
    <col min="16135" max="16135" width="11.5703125" style="2" bestFit="1" customWidth="1"/>
    <col min="16136" max="16137" width="9.140625" style="2"/>
    <col min="16138" max="16138" width="11.42578125" style="2" customWidth="1"/>
    <col min="16139" max="16384" width="9.140625" style="2"/>
  </cols>
  <sheetData>
    <row r="1" spans="1:6">
      <c r="C1" s="494" t="s">
        <v>1493</v>
      </c>
    </row>
    <row r="2" spans="1:6">
      <c r="C2" s="532" t="s">
        <v>5045</v>
      </c>
    </row>
    <row r="5" spans="1:6">
      <c r="A5" s="722">
        <v>2.2800000000000001E-2</v>
      </c>
      <c r="B5" s="650" t="s">
        <v>2334</v>
      </c>
      <c r="C5" s="652" t="s">
        <v>5046</v>
      </c>
      <c r="D5" s="652">
        <f>[3]Data!I2651</f>
        <v>111600</v>
      </c>
      <c r="E5" s="723" t="s">
        <v>2334</v>
      </c>
      <c r="F5" s="652">
        <f>D5*A5</f>
        <v>2544.48</v>
      </c>
    </row>
    <row r="6" spans="1:6">
      <c r="A6" s="722">
        <v>3.5400000000000001E-2</v>
      </c>
      <c r="B6" s="650" t="s">
        <v>2334</v>
      </c>
      <c r="C6" s="652" t="s">
        <v>5047</v>
      </c>
      <c r="D6" s="652">
        <f>[3]Data!I2652</f>
        <v>99400</v>
      </c>
      <c r="E6" s="723" t="s">
        <v>2334</v>
      </c>
      <c r="F6" s="652">
        <f t="shared" ref="F6:F15" si="0">D6*A6</f>
        <v>3518.76</v>
      </c>
    </row>
    <row r="7" spans="1:6">
      <c r="A7" s="724">
        <v>3.2300000000000002E-2</v>
      </c>
      <c r="B7" s="650" t="s">
        <v>2334</v>
      </c>
      <c r="C7" s="2" t="s">
        <v>5048</v>
      </c>
      <c r="D7" s="652">
        <f>[3]Data!I2653</f>
        <v>107000</v>
      </c>
      <c r="E7" s="723" t="s">
        <v>2334</v>
      </c>
      <c r="F7" s="652">
        <f t="shared" si="0"/>
        <v>3456.1000000000004</v>
      </c>
    </row>
    <row r="8" spans="1:6">
      <c r="A8" s="725">
        <v>2.835</v>
      </c>
      <c r="B8" s="650" t="s">
        <v>2788</v>
      </c>
      <c r="C8" s="652" t="s">
        <v>5049</v>
      </c>
      <c r="D8" s="652">
        <v>843</v>
      </c>
      <c r="E8" s="723" t="s">
        <v>2788</v>
      </c>
      <c r="F8" s="652">
        <f t="shared" si="0"/>
        <v>2389.9049999999997</v>
      </c>
    </row>
    <row r="9" spans="1:6">
      <c r="A9" s="652">
        <v>2</v>
      </c>
      <c r="B9" s="650" t="s">
        <v>3918</v>
      </c>
      <c r="C9" s="2" t="s">
        <v>5050</v>
      </c>
      <c r="D9" s="726">
        <v>450</v>
      </c>
      <c r="E9" s="723" t="s">
        <v>556</v>
      </c>
      <c r="F9" s="652">
        <f t="shared" si="0"/>
        <v>900</v>
      </c>
    </row>
    <row r="10" spans="1:6">
      <c r="A10" s="652">
        <v>6</v>
      </c>
      <c r="B10" s="650" t="s">
        <v>3918</v>
      </c>
      <c r="C10" s="2" t="s">
        <v>5051</v>
      </c>
      <c r="D10" s="726">
        <v>79</v>
      </c>
      <c r="E10" s="723" t="s">
        <v>556</v>
      </c>
      <c r="F10" s="652">
        <f t="shared" si="0"/>
        <v>474</v>
      </c>
    </row>
    <row r="11" spans="1:6">
      <c r="A11" s="652">
        <v>4</v>
      </c>
      <c r="B11" s="650" t="s">
        <v>3918</v>
      </c>
      <c r="C11" s="2" t="s">
        <v>5052</v>
      </c>
      <c r="D11" s="726">
        <v>130</v>
      </c>
      <c r="E11" s="723" t="s">
        <v>556</v>
      </c>
      <c r="F11" s="652">
        <f t="shared" si="0"/>
        <v>520</v>
      </c>
    </row>
    <row r="12" spans="1:6">
      <c r="A12" s="652">
        <v>1</v>
      </c>
      <c r="B12" s="650" t="s">
        <v>3918</v>
      </c>
      <c r="C12" s="2" t="s">
        <v>5053</v>
      </c>
      <c r="D12" s="726">
        <v>985</v>
      </c>
      <c r="E12" s="723" t="s">
        <v>556</v>
      </c>
      <c r="F12" s="652">
        <f t="shared" si="0"/>
        <v>985</v>
      </c>
    </row>
    <row r="13" spans="1:6">
      <c r="A13" s="652">
        <v>2</v>
      </c>
      <c r="B13" s="650" t="s">
        <v>3918</v>
      </c>
      <c r="C13" s="2" t="s">
        <v>5054</v>
      </c>
      <c r="D13" s="726">
        <v>24.6</v>
      </c>
      <c r="E13" s="723" t="s">
        <v>556</v>
      </c>
      <c r="F13" s="652">
        <f t="shared" si="0"/>
        <v>49.2</v>
      </c>
    </row>
    <row r="14" spans="1:6">
      <c r="A14" s="652">
        <v>2</v>
      </c>
      <c r="B14" s="650" t="s">
        <v>3918</v>
      </c>
      <c r="C14" s="652" t="s">
        <v>2818</v>
      </c>
      <c r="D14" s="652">
        <v>51.3</v>
      </c>
      <c r="E14" s="723" t="s">
        <v>556</v>
      </c>
      <c r="F14" s="652">
        <f t="shared" si="0"/>
        <v>102.6</v>
      </c>
    </row>
    <row r="15" spans="1:6">
      <c r="A15" s="652">
        <v>118</v>
      </c>
      <c r="B15" s="727"/>
      <c r="C15" s="652" t="s">
        <v>5055</v>
      </c>
      <c r="D15" s="652">
        <v>2.4500000000000002</v>
      </c>
      <c r="E15" s="723"/>
      <c r="F15" s="652">
        <f t="shared" si="0"/>
        <v>289.10000000000002</v>
      </c>
    </row>
    <row r="16" spans="1:6">
      <c r="E16" s="723"/>
      <c r="F16" s="473">
        <f>SUM(F5:F15)</f>
        <v>15229.145</v>
      </c>
    </row>
    <row r="17" spans="1:7">
      <c r="A17" s="652"/>
      <c r="B17" s="727"/>
      <c r="C17" s="473"/>
      <c r="D17" s="652"/>
      <c r="E17" s="723"/>
      <c r="F17" s="655" t="s">
        <v>4486</v>
      </c>
    </row>
    <row r="18" spans="1:7">
      <c r="A18" s="652"/>
      <c r="B18" s="727"/>
      <c r="C18" s="473" t="s">
        <v>5056</v>
      </c>
      <c r="D18" s="652"/>
      <c r="E18" s="723"/>
      <c r="F18" s="473">
        <f>F16/2.835</f>
        <v>5371.8324514991182</v>
      </c>
    </row>
    <row r="19" spans="1:7">
      <c r="A19" s="652"/>
      <c r="B19" s="727"/>
      <c r="E19" s="486"/>
      <c r="F19" s="627" t="s">
        <v>4486</v>
      </c>
    </row>
    <row r="20" spans="1:7">
      <c r="B20" s="485"/>
      <c r="E20" s="486"/>
    </row>
    <row r="21" spans="1:7" ht="16.5">
      <c r="A21" s="1628" t="s">
        <v>5057</v>
      </c>
      <c r="B21" s="1628"/>
      <c r="C21" s="1628"/>
      <c r="D21" s="728"/>
      <c r="E21" s="729"/>
      <c r="F21" s="730"/>
      <c r="G21" s="731"/>
    </row>
    <row r="22" spans="1:7" ht="16.5">
      <c r="A22" s="1628"/>
      <c r="B22" s="1628"/>
      <c r="C22" s="1628"/>
      <c r="D22" s="1629"/>
      <c r="E22" s="1629"/>
      <c r="F22" s="1629"/>
      <c r="G22" s="1629"/>
    </row>
    <row r="23" spans="1:7" ht="16.5">
      <c r="A23" s="732">
        <v>11.61</v>
      </c>
      <c r="B23" s="733" t="s">
        <v>2837</v>
      </c>
      <c r="C23" s="734" t="s">
        <v>5058</v>
      </c>
      <c r="D23" s="730">
        <f>[3]Data!V1370</f>
        <v>287</v>
      </c>
      <c r="E23" s="733" t="s">
        <v>2837</v>
      </c>
      <c r="F23" s="730">
        <f>D23*A23</f>
        <v>3332.0699999999997</v>
      </c>
      <c r="G23" s="731"/>
    </row>
    <row r="24" spans="1:7" ht="16.5">
      <c r="A24" s="732">
        <v>7.8</v>
      </c>
      <c r="B24" s="733" t="s">
        <v>12</v>
      </c>
      <c r="C24" s="734" t="s">
        <v>5059</v>
      </c>
      <c r="D24" s="730">
        <f>[3]Data!V1375</f>
        <v>28.6</v>
      </c>
      <c r="E24" s="733" t="s">
        <v>12</v>
      </c>
      <c r="F24" s="730">
        <f t="shared" ref="F24:F29" si="1">D24*A24</f>
        <v>223.08</v>
      </c>
      <c r="G24" s="731"/>
    </row>
    <row r="25" spans="1:7" ht="16.5">
      <c r="A25" s="732">
        <v>1.62</v>
      </c>
      <c r="B25" s="733" t="s">
        <v>2830</v>
      </c>
      <c r="C25" s="734" t="s">
        <v>5060</v>
      </c>
      <c r="D25" s="730">
        <v>208.8</v>
      </c>
      <c r="E25" s="733" t="s">
        <v>2830</v>
      </c>
      <c r="F25" s="730">
        <f t="shared" si="1"/>
        <v>338.25600000000003</v>
      </c>
      <c r="G25" s="731"/>
    </row>
    <row r="26" spans="1:7" ht="16.5">
      <c r="A26" s="732">
        <v>2</v>
      </c>
      <c r="B26" s="733" t="s">
        <v>2359</v>
      </c>
      <c r="C26" s="734" t="s">
        <v>5061</v>
      </c>
      <c r="D26" s="730">
        <v>48</v>
      </c>
      <c r="E26" s="733" t="s">
        <v>2359</v>
      </c>
      <c r="F26" s="730">
        <f t="shared" si="1"/>
        <v>96</v>
      </c>
      <c r="G26" s="731"/>
    </row>
    <row r="27" spans="1:7" ht="16.5">
      <c r="A27" s="732">
        <v>2</v>
      </c>
      <c r="B27" s="733" t="s">
        <v>2359</v>
      </c>
      <c r="C27" s="734" t="s">
        <v>5062</v>
      </c>
      <c r="D27" s="730">
        <v>350</v>
      </c>
      <c r="E27" s="733" t="s">
        <v>2359</v>
      </c>
      <c r="F27" s="730">
        <f t="shared" si="1"/>
        <v>700</v>
      </c>
      <c r="G27" s="731"/>
    </row>
    <row r="28" spans="1:7" ht="16.5">
      <c r="A28" s="732">
        <v>4</v>
      </c>
      <c r="B28" s="733" t="s">
        <v>2359</v>
      </c>
      <c r="C28" s="734" t="s">
        <v>5063</v>
      </c>
      <c r="D28" s="730">
        <v>15</v>
      </c>
      <c r="E28" s="733" t="s">
        <v>2359</v>
      </c>
      <c r="F28" s="730">
        <f t="shared" si="1"/>
        <v>60</v>
      </c>
      <c r="G28" s="731"/>
    </row>
    <row r="29" spans="1:7" ht="16.5">
      <c r="A29" s="732">
        <v>1.62</v>
      </c>
      <c r="B29" s="733" t="s">
        <v>26</v>
      </c>
      <c r="C29" s="734" t="s">
        <v>5064</v>
      </c>
      <c r="D29" s="730">
        <f>D42</f>
        <v>1617.0000000000002</v>
      </c>
      <c r="E29" s="733" t="s">
        <v>26</v>
      </c>
      <c r="F29" s="730">
        <f t="shared" si="1"/>
        <v>2619.5400000000004</v>
      </c>
      <c r="G29" s="731"/>
    </row>
    <row r="30" spans="1:7" ht="16.5">
      <c r="A30" s="728"/>
      <c r="B30" s="735"/>
      <c r="C30" s="734" t="s">
        <v>2390</v>
      </c>
      <c r="D30" s="728"/>
      <c r="E30" s="729"/>
      <c r="F30" s="730"/>
      <c r="G30" s="731"/>
    </row>
    <row r="31" spans="1:7" ht="16.5">
      <c r="A31" s="728"/>
      <c r="B31" s="728"/>
      <c r="C31" s="736" t="s">
        <v>5065</v>
      </c>
      <c r="D31" s="728"/>
      <c r="E31" s="728"/>
      <c r="F31" s="737">
        <f>SUM(F23:F30)</f>
        <v>7368.9459999999999</v>
      </c>
      <c r="G31" s="738" t="s">
        <v>556</v>
      </c>
    </row>
    <row r="32" spans="1:7" ht="16.5">
      <c r="A32" s="728"/>
      <c r="B32" s="728"/>
      <c r="C32" s="473" t="s">
        <v>5066</v>
      </c>
      <c r="D32" s="728"/>
      <c r="E32" s="728"/>
      <c r="F32" s="473">
        <f>F31/A29</f>
        <v>4548.7320987654321</v>
      </c>
      <c r="G32" s="728" t="s">
        <v>26</v>
      </c>
    </row>
    <row r="33" spans="1:11" ht="16.5">
      <c r="A33" s="738"/>
      <c r="B33" s="738"/>
      <c r="C33" s="739"/>
      <c r="D33" s="738"/>
      <c r="E33" s="738"/>
      <c r="F33" s="738"/>
      <c r="G33" s="728"/>
    </row>
    <row r="34" spans="1:11" ht="16.5">
      <c r="A34" s="728"/>
      <c r="B34" s="735"/>
      <c r="C34" s="740" t="s">
        <v>5067</v>
      </c>
      <c r="D34" s="740"/>
      <c r="E34" s="740"/>
      <c r="F34" s="740"/>
      <c r="G34" s="728"/>
    </row>
    <row r="35" spans="1:11" ht="16.5">
      <c r="A35" s="732"/>
      <c r="B35" s="733"/>
      <c r="C35" s="741" t="s">
        <v>5068</v>
      </c>
      <c r="D35" s="730"/>
      <c r="E35" s="733"/>
      <c r="F35" s="730"/>
      <c r="G35" s="728"/>
    </row>
    <row r="36" spans="1:11" ht="16.5">
      <c r="A36" s="732">
        <v>12.08</v>
      </c>
      <c r="B36" s="733" t="s">
        <v>2837</v>
      </c>
      <c r="C36" s="734" t="s">
        <v>5058</v>
      </c>
      <c r="D36" s="730">
        <f>D23</f>
        <v>287</v>
      </c>
      <c r="E36" s="733" t="s">
        <v>2837</v>
      </c>
      <c r="F36" s="730">
        <f>D36*A36</f>
        <v>3466.96</v>
      </c>
      <c r="G36" s="728"/>
      <c r="I36" s="2">
        <f>[3]Data!I4024</f>
        <v>287</v>
      </c>
      <c r="J36" s="465">
        <f>[3]Data!F4024</f>
        <v>12.08</v>
      </c>
      <c r="K36" s="2">
        <f>[3]Data!K4024</f>
        <v>3466.96</v>
      </c>
    </row>
    <row r="37" spans="1:11" ht="16.5">
      <c r="A37" s="732">
        <v>8.1</v>
      </c>
      <c r="B37" s="733" t="s">
        <v>2830</v>
      </c>
      <c r="C37" s="734" t="s">
        <v>5059</v>
      </c>
      <c r="D37" s="730">
        <v>27.1</v>
      </c>
      <c r="E37" s="733" t="s">
        <v>2830</v>
      </c>
      <c r="F37" s="730">
        <f t="shared" ref="F37:F42" si="2">D37*A37</f>
        <v>219.51</v>
      </c>
      <c r="G37" s="728"/>
      <c r="I37" s="2">
        <f>[3]Data!I4025</f>
        <v>208.8</v>
      </c>
      <c r="J37" s="465">
        <f>[3]Data!F4025</f>
        <v>1.823</v>
      </c>
    </row>
    <row r="38" spans="1:11" ht="16.5">
      <c r="A38" s="732">
        <v>1.823</v>
      </c>
      <c r="B38" s="733" t="s">
        <v>12</v>
      </c>
      <c r="C38" s="734" t="s">
        <v>5060</v>
      </c>
      <c r="D38" s="730">
        <f>D25</f>
        <v>208.8</v>
      </c>
      <c r="E38" s="733" t="s">
        <v>12</v>
      </c>
      <c r="F38" s="730">
        <f t="shared" si="2"/>
        <v>380.64240000000001</v>
      </c>
      <c r="G38" s="728"/>
      <c r="I38" s="2">
        <f>[3]Data!I4026</f>
        <v>28.6</v>
      </c>
      <c r="J38" s="465">
        <f>[3]Data!F4026</f>
        <v>8.1</v>
      </c>
    </row>
    <row r="39" spans="1:11" ht="16.5">
      <c r="A39" s="732">
        <v>2</v>
      </c>
      <c r="B39" s="733" t="s">
        <v>5069</v>
      </c>
      <c r="C39" s="734" t="s">
        <v>5061</v>
      </c>
      <c r="D39" s="730">
        <f>D26</f>
        <v>48</v>
      </c>
      <c r="E39" s="733" t="s">
        <v>2359</v>
      </c>
      <c r="F39" s="730">
        <f t="shared" si="2"/>
        <v>96</v>
      </c>
      <c r="G39" s="728"/>
      <c r="I39" s="2">
        <f>[3]Data!I4027</f>
        <v>350</v>
      </c>
      <c r="J39" s="465">
        <f>[3]Data!F4027</f>
        <v>2</v>
      </c>
    </row>
    <row r="40" spans="1:11" ht="16.5">
      <c r="A40" s="732">
        <v>2</v>
      </c>
      <c r="B40" s="733" t="s">
        <v>2359</v>
      </c>
      <c r="C40" s="734" t="s">
        <v>5062</v>
      </c>
      <c r="D40" s="730">
        <f>D27</f>
        <v>350</v>
      </c>
      <c r="E40" s="733" t="s">
        <v>2359</v>
      </c>
      <c r="F40" s="730">
        <f t="shared" si="2"/>
        <v>700</v>
      </c>
      <c r="G40" s="728"/>
      <c r="I40" s="2">
        <f>[3]Data!I4028</f>
        <v>48</v>
      </c>
      <c r="J40" s="465">
        <f>[3]Data!F4028</f>
        <v>2</v>
      </c>
    </row>
    <row r="41" spans="1:11" ht="16.5">
      <c r="A41" s="732">
        <v>4</v>
      </c>
      <c r="B41" s="733" t="s">
        <v>2359</v>
      </c>
      <c r="C41" s="734" t="s">
        <v>5063</v>
      </c>
      <c r="D41" s="730">
        <f>D28</f>
        <v>15</v>
      </c>
      <c r="E41" s="733" t="s">
        <v>2359</v>
      </c>
      <c r="F41" s="730">
        <f t="shared" si="2"/>
        <v>60</v>
      </c>
      <c r="G41" s="728"/>
      <c r="I41" s="2">
        <f>[3]Data!I4029</f>
        <v>15</v>
      </c>
      <c r="J41" s="465">
        <f>[3]Data!F4029</f>
        <v>4</v>
      </c>
    </row>
    <row r="42" spans="1:11" ht="16.5">
      <c r="A42" s="732">
        <v>1.823</v>
      </c>
      <c r="B42" s="733" t="s">
        <v>26</v>
      </c>
      <c r="C42" s="734" t="s">
        <v>5064</v>
      </c>
      <c r="D42" s="728">
        <f>F52</f>
        <v>1617.0000000000002</v>
      </c>
      <c r="E42" s="733" t="s">
        <v>26</v>
      </c>
      <c r="F42" s="730">
        <f t="shared" si="2"/>
        <v>2947.7910000000002</v>
      </c>
      <c r="G42" s="728"/>
      <c r="I42" s="2">
        <f>[3]Data!I4030</f>
        <v>1617</v>
      </c>
      <c r="J42" s="465">
        <f>[3]Data!F4030</f>
        <v>1.823</v>
      </c>
    </row>
    <row r="43" spans="1:11" ht="16.5">
      <c r="A43" s="732"/>
      <c r="B43" s="733"/>
      <c r="C43" s="734" t="s">
        <v>2390</v>
      </c>
      <c r="D43" s="728"/>
      <c r="E43" s="729"/>
      <c r="F43" s="730"/>
      <c r="G43" s="728"/>
    </row>
    <row r="44" spans="1:11" ht="16.5">
      <c r="A44" s="728"/>
      <c r="B44" s="735"/>
      <c r="C44" s="734"/>
      <c r="D44" s="728"/>
      <c r="E44" s="729"/>
      <c r="F44" s="730"/>
      <c r="G44" s="728"/>
    </row>
    <row r="45" spans="1:11" ht="16.5">
      <c r="A45" s="728"/>
      <c r="B45" s="728"/>
      <c r="C45" s="742" t="s">
        <v>5065</v>
      </c>
      <c r="D45" s="728"/>
      <c r="E45" s="728"/>
      <c r="F45" s="737">
        <f>SUM(F36:F44)</f>
        <v>7870.9034000000001</v>
      </c>
      <c r="G45" s="738" t="s">
        <v>556</v>
      </c>
    </row>
    <row r="46" spans="1:11" ht="16.5">
      <c r="A46" s="728"/>
      <c r="B46" s="728"/>
      <c r="C46" s="473" t="s">
        <v>5070</v>
      </c>
      <c r="D46" s="728"/>
      <c r="E46" s="728"/>
      <c r="F46" s="473">
        <f>F45/A42</f>
        <v>4317.5553483269341</v>
      </c>
      <c r="G46" s="728" t="s">
        <v>26</v>
      </c>
    </row>
    <row r="47" spans="1:11" ht="16.5">
      <c r="A47" s="728"/>
      <c r="B47" s="728"/>
      <c r="C47" s="742"/>
      <c r="D47" s="728"/>
      <c r="E47" s="728"/>
      <c r="F47" s="728"/>
      <c r="G47" s="728"/>
    </row>
    <row r="48" spans="1:11" ht="16.5">
      <c r="A48" s="730">
        <v>1</v>
      </c>
      <c r="B48" s="733" t="s">
        <v>2342</v>
      </c>
      <c r="C48" s="734" t="s">
        <v>5071</v>
      </c>
      <c r="D48" s="730">
        <f>[3]Data!AE17</f>
        <v>712.95</v>
      </c>
      <c r="E48" s="734" t="s">
        <v>2342</v>
      </c>
      <c r="F48" s="730">
        <f>D48*A48</f>
        <v>712.95</v>
      </c>
      <c r="G48" s="728"/>
    </row>
    <row r="49" spans="1:7" ht="16.5">
      <c r="A49" s="730">
        <v>1</v>
      </c>
      <c r="B49" s="733" t="s">
        <v>2342</v>
      </c>
      <c r="C49" s="734" t="s">
        <v>5072</v>
      </c>
      <c r="D49" s="730">
        <f>[3]Data!AE11</f>
        <v>527.1</v>
      </c>
      <c r="E49" s="734" t="s">
        <v>2342</v>
      </c>
      <c r="F49" s="730">
        <f>D49*A49</f>
        <v>527.1</v>
      </c>
      <c r="G49" s="728"/>
    </row>
    <row r="50" spans="1:7" ht="16.5">
      <c r="A50" s="730">
        <v>0.5</v>
      </c>
      <c r="B50" s="733" t="s">
        <v>2342</v>
      </c>
      <c r="C50" s="734" t="s">
        <v>5073</v>
      </c>
      <c r="D50" s="730">
        <f>[3]Data!AE20</f>
        <v>753.9</v>
      </c>
      <c r="E50" s="734" t="s">
        <v>2342</v>
      </c>
      <c r="F50" s="730">
        <f>D50*A50</f>
        <v>376.95</v>
      </c>
      <c r="G50" s="728"/>
    </row>
    <row r="51" spans="1:7" ht="16.5">
      <c r="A51" s="728"/>
      <c r="B51" s="735"/>
      <c r="C51" s="728"/>
      <c r="D51" s="728"/>
      <c r="E51" s="743"/>
      <c r="F51" s="744" t="s">
        <v>442</v>
      </c>
      <c r="G51" s="728"/>
    </row>
    <row r="52" spans="1:7" ht="16.5">
      <c r="A52" s="728"/>
      <c r="B52" s="735"/>
      <c r="C52" s="734" t="s">
        <v>5074</v>
      </c>
      <c r="D52" s="728"/>
      <c r="E52" s="743"/>
      <c r="F52" s="737">
        <f>SUM(F48:F51)</f>
        <v>1617.0000000000002</v>
      </c>
      <c r="G52" s="728"/>
    </row>
    <row r="53" spans="1:7" ht="16.5">
      <c r="A53" s="728"/>
      <c r="B53" s="735"/>
      <c r="C53" s="728"/>
      <c r="D53" s="728"/>
      <c r="E53" s="743"/>
      <c r="F53" s="744" t="s">
        <v>442</v>
      </c>
      <c r="G53" s="728"/>
    </row>
    <row r="54" spans="1:7" ht="16.5">
      <c r="A54" s="738"/>
      <c r="B54" s="738"/>
      <c r="C54" s="739"/>
      <c r="D54" s="738"/>
      <c r="E54" s="738"/>
      <c r="F54" s="738"/>
      <c r="G54" s="728"/>
    </row>
    <row r="55" spans="1:7" ht="16.5">
      <c r="A55" s="728"/>
      <c r="B55" s="1628" t="s">
        <v>5075</v>
      </c>
      <c r="C55" s="1628"/>
      <c r="D55" s="1628"/>
      <c r="E55" s="1628"/>
      <c r="F55" s="1628"/>
      <c r="G55" s="728"/>
    </row>
    <row r="56" spans="1:7" ht="16.5">
      <c r="A56" s="732"/>
      <c r="B56" s="733"/>
      <c r="C56" s="741" t="s">
        <v>5076</v>
      </c>
      <c r="D56" s="730"/>
      <c r="E56" s="733"/>
      <c r="F56" s="730"/>
      <c r="G56" s="728"/>
    </row>
    <row r="57" spans="1:7" ht="16.5">
      <c r="A57" s="732"/>
      <c r="B57" s="733"/>
      <c r="C57" s="734"/>
      <c r="D57" s="730"/>
      <c r="E57" s="733"/>
      <c r="F57" s="730"/>
      <c r="G57" s="728"/>
    </row>
    <row r="58" spans="1:7" ht="16.5">
      <c r="A58" s="732"/>
      <c r="B58" s="733"/>
      <c r="C58" s="734"/>
      <c r="D58" s="730"/>
      <c r="E58" s="733"/>
      <c r="F58" s="730"/>
      <c r="G58" s="728"/>
    </row>
    <row r="59" spans="1:7" ht="16.5">
      <c r="A59" s="732">
        <v>17.510000000000002</v>
      </c>
      <c r="B59" s="733" t="s">
        <v>2837</v>
      </c>
      <c r="C59" s="734" t="s">
        <v>5077</v>
      </c>
      <c r="D59" s="730">
        <f>D36</f>
        <v>287</v>
      </c>
      <c r="E59" s="733" t="s">
        <v>2837</v>
      </c>
      <c r="F59" s="730">
        <f>D59*A59</f>
        <v>5025.3700000000008</v>
      </c>
      <c r="G59" s="728"/>
    </row>
    <row r="60" spans="1:7" ht="16.5">
      <c r="A60" s="732">
        <v>2.48</v>
      </c>
      <c r="B60" s="733" t="s">
        <v>2830</v>
      </c>
      <c r="C60" s="734" t="s">
        <v>5060</v>
      </c>
      <c r="D60" s="730">
        <f>D38</f>
        <v>208.8</v>
      </c>
      <c r="E60" s="733" t="s">
        <v>2830</v>
      </c>
      <c r="F60" s="730">
        <f t="shared" ref="F60:F65" si="3">D60*A60</f>
        <v>517.82400000000007</v>
      </c>
      <c r="G60" s="728"/>
    </row>
    <row r="61" spans="1:7" ht="16.5">
      <c r="A61" s="732">
        <v>14.7</v>
      </c>
      <c r="B61" s="733" t="s">
        <v>12</v>
      </c>
      <c r="C61" s="734" t="s">
        <v>5078</v>
      </c>
      <c r="D61" s="730">
        <v>28.6</v>
      </c>
      <c r="E61" s="733" t="s">
        <v>12</v>
      </c>
      <c r="F61" s="730">
        <f t="shared" si="3"/>
        <v>420.42</v>
      </c>
      <c r="G61" s="728"/>
    </row>
    <row r="62" spans="1:7" ht="16.5">
      <c r="A62" s="732">
        <v>3</v>
      </c>
      <c r="B62" s="733" t="s">
        <v>5069</v>
      </c>
      <c r="C62" s="734" t="s">
        <v>5062</v>
      </c>
      <c r="D62" s="730">
        <v>175</v>
      </c>
      <c r="E62" s="733" t="s">
        <v>2359</v>
      </c>
      <c r="F62" s="730">
        <f t="shared" si="3"/>
        <v>525</v>
      </c>
      <c r="G62" s="728"/>
    </row>
    <row r="63" spans="1:7" ht="16.5">
      <c r="A63" s="732">
        <v>3</v>
      </c>
      <c r="B63" s="733" t="s">
        <v>2359</v>
      </c>
      <c r="C63" s="734" t="s">
        <v>5061</v>
      </c>
      <c r="D63" s="730">
        <v>60</v>
      </c>
      <c r="E63" s="733" t="s">
        <v>2359</v>
      </c>
      <c r="F63" s="730">
        <f t="shared" si="3"/>
        <v>180</v>
      </c>
      <c r="G63" s="728"/>
    </row>
    <row r="64" spans="1:7" ht="16.5">
      <c r="A64" s="732">
        <v>6</v>
      </c>
      <c r="B64" s="733" t="s">
        <v>2359</v>
      </c>
      <c r="C64" s="734" t="s">
        <v>5063</v>
      </c>
      <c r="D64" s="730">
        <v>15</v>
      </c>
      <c r="E64" s="733" t="s">
        <v>2359</v>
      </c>
      <c r="F64" s="730">
        <f t="shared" si="3"/>
        <v>90</v>
      </c>
      <c r="G64" s="728"/>
    </row>
    <row r="65" spans="1:7" ht="16.5">
      <c r="A65" s="732">
        <v>2.48</v>
      </c>
      <c r="B65" s="733" t="s">
        <v>26</v>
      </c>
      <c r="C65" s="734" t="s">
        <v>5064</v>
      </c>
      <c r="D65" s="728">
        <f>F76</f>
        <v>1617.0000000000002</v>
      </c>
      <c r="E65" s="733" t="s">
        <v>26</v>
      </c>
      <c r="F65" s="730">
        <f t="shared" si="3"/>
        <v>4010.1600000000003</v>
      </c>
      <c r="G65" s="728"/>
    </row>
    <row r="66" spans="1:7" ht="16.5">
      <c r="A66" s="732"/>
      <c r="B66" s="733"/>
      <c r="C66" s="734" t="s">
        <v>2390</v>
      </c>
      <c r="D66" s="728"/>
      <c r="E66" s="729"/>
      <c r="F66" s="730"/>
      <c r="G66" s="728"/>
    </row>
    <row r="67" spans="1:7" ht="16.5">
      <c r="A67" s="728"/>
      <c r="B67" s="735"/>
      <c r="C67" s="734"/>
      <c r="D67" s="728"/>
      <c r="E67" s="729"/>
      <c r="F67" s="730"/>
      <c r="G67" s="728"/>
    </row>
    <row r="68" spans="1:7" ht="16.5">
      <c r="A68" s="728"/>
      <c r="B68" s="728"/>
      <c r="C68" s="742" t="s">
        <v>5065</v>
      </c>
      <c r="D68" s="728"/>
      <c r="E68" s="728"/>
      <c r="F68" s="737">
        <f>SUM(F59:F67)</f>
        <v>10768.774000000001</v>
      </c>
      <c r="G68" s="738" t="s">
        <v>556</v>
      </c>
    </row>
    <row r="69" spans="1:7" ht="16.5">
      <c r="A69" s="728"/>
      <c r="B69" s="728"/>
      <c r="C69" s="742"/>
      <c r="D69" s="728"/>
      <c r="E69" s="728"/>
      <c r="F69" s="473">
        <f>F68/A65</f>
        <v>4342.2475806451621</v>
      </c>
      <c r="G69" s="728" t="s">
        <v>26</v>
      </c>
    </row>
    <row r="70" spans="1:7" ht="16.5">
      <c r="A70" s="728"/>
      <c r="B70" s="728"/>
      <c r="C70" s="742"/>
      <c r="D70" s="728"/>
      <c r="E70" s="728"/>
      <c r="F70" s="728"/>
      <c r="G70" s="728"/>
    </row>
    <row r="71" spans="1:7" ht="16.5">
      <c r="A71" s="730">
        <v>1</v>
      </c>
      <c r="B71" s="733" t="s">
        <v>2342</v>
      </c>
      <c r="C71" s="734" t="s">
        <v>5071</v>
      </c>
      <c r="D71" s="730">
        <f>D48</f>
        <v>712.95</v>
      </c>
      <c r="E71" s="734" t="s">
        <v>2342</v>
      </c>
      <c r="F71" s="730">
        <f>D71*A71</f>
        <v>712.95</v>
      </c>
      <c r="G71" s="728"/>
    </row>
    <row r="72" spans="1:7" ht="16.5">
      <c r="A72" s="730">
        <v>1</v>
      </c>
      <c r="B72" s="733" t="s">
        <v>2342</v>
      </c>
      <c r="C72" s="734" t="s">
        <v>5072</v>
      </c>
      <c r="D72" s="730">
        <f>D49</f>
        <v>527.1</v>
      </c>
      <c r="E72" s="734" t="s">
        <v>2342</v>
      </c>
      <c r="F72" s="730">
        <f>D72*A72</f>
        <v>527.1</v>
      </c>
      <c r="G72" s="728"/>
    </row>
    <row r="73" spans="1:7" ht="16.5">
      <c r="A73" s="730">
        <v>0.5</v>
      </c>
      <c r="B73" s="733" t="s">
        <v>2342</v>
      </c>
      <c r="C73" s="734" t="s">
        <v>5073</v>
      </c>
      <c r="D73" s="730">
        <f>D50</f>
        <v>753.9</v>
      </c>
      <c r="E73" s="734" t="s">
        <v>2342</v>
      </c>
      <c r="F73" s="730">
        <f>D73*A73</f>
        <v>376.95</v>
      </c>
      <c r="G73" s="728"/>
    </row>
    <row r="74" spans="1:7" ht="16.5">
      <c r="A74" s="728"/>
      <c r="B74" s="733" t="s">
        <v>2346</v>
      </c>
      <c r="C74" s="734" t="s">
        <v>2940</v>
      </c>
      <c r="D74" s="734" t="s">
        <v>30</v>
      </c>
      <c r="E74" s="734" t="s">
        <v>2346</v>
      </c>
      <c r="F74" s="730"/>
      <c r="G74" s="728"/>
    </row>
    <row r="75" spans="1:7" ht="16.5">
      <c r="A75" s="728"/>
      <c r="B75" s="735"/>
      <c r="C75" s="728"/>
      <c r="D75" s="728"/>
      <c r="E75" s="743"/>
      <c r="F75" s="744" t="s">
        <v>442</v>
      </c>
      <c r="G75" s="728"/>
    </row>
    <row r="76" spans="1:7" ht="16.5">
      <c r="A76" s="728"/>
      <c r="B76" s="735"/>
      <c r="C76" s="734" t="s">
        <v>5074</v>
      </c>
      <c r="D76" s="728"/>
      <c r="E76" s="743"/>
      <c r="F76" s="737">
        <f>SUM(F71:F75)</f>
        <v>1617.0000000000002</v>
      </c>
      <c r="G76" s="728"/>
    </row>
    <row r="77" spans="1:7" ht="16.5">
      <c r="A77" s="728"/>
      <c r="B77" s="735"/>
      <c r="C77" s="728"/>
      <c r="D77" s="728"/>
      <c r="E77" s="743"/>
      <c r="F77" s="744" t="s">
        <v>442</v>
      </c>
      <c r="G77" s="728"/>
    </row>
    <row r="78" spans="1:7" ht="16.5">
      <c r="A78" s="728"/>
      <c r="B78" s="735"/>
      <c r="C78" s="734"/>
      <c r="D78" s="728"/>
      <c r="E78" s="743"/>
      <c r="F78" s="730"/>
      <c r="G78" s="728"/>
    </row>
    <row r="79" spans="1:7" ht="16.5">
      <c r="A79" s="728"/>
      <c r="B79" s="728"/>
      <c r="C79" s="728"/>
      <c r="D79" s="728"/>
      <c r="E79" s="728"/>
      <c r="F79" s="728"/>
      <c r="G79" s="728"/>
    </row>
    <row r="80" spans="1:7" ht="16.5">
      <c r="A80" s="728"/>
      <c r="B80" s="1628" t="s">
        <v>5079</v>
      </c>
      <c r="C80" s="1628"/>
      <c r="D80" s="1628"/>
      <c r="E80" s="740"/>
      <c r="F80" s="740"/>
      <c r="G80" s="728"/>
    </row>
    <row r="81" spans="1:7" ht="16.5">
      <c r="A81" s="732"/>
      <c r="B81" s="733"/>
      <c r="C81" s="741" t="s">
        <v>5080</v>
      </c>
      <c r="D81" s="730"/>
      <c r="E81" s="733"/>
      <c r="F81" s="730"/>
      <c r="G81" s="728"/>
    </row>
    <row r="82" spans="1:7" ht="16.5">
      <c r="A82" s="732"/>
      <c r="B82" s="733"/>
      <c r="C82" s="734"/>
      <c r="D82" s="730"/>
      <c r="E82" s="733"/>
      <c r="F82" s="730"/>
      <c r="G82" s="728"/>
    </row>
    <row r="83" spans="1:7" ht="16.5">
      <c r="A83" s="732"/>
      <c r="B83" s="733"/>
      <c r="C83" s="734"/>
      <c r="D83" s="730"/>
      <c r="E83" s="733"/>
      <c r="F83" s="730"/>
      <c r="G83" s="728"/>
    </row>
    <row r="84" spans="1:7" ht="16.5">
      <c r="A84" s="732">
        <v>4.88</v>
      </c>
      <c r="B84" s="733" t="s">
        <v>2837</v>
      </c>
      <c r="C84" s="734" t="s">
        <v>5081</v>
      </c>
      <c r="D84" s="730">
        <f>D59</f>
        <v>287</v>
      </c>
      <c r="E84" s="733" t="s">
        <v>2837</v>
      </c>
      <c r="F84" s="730">
        <f>D84*A84</f>
        <v>1400.56</v>
      </c>
      <c r="G84" s="728"/>
    </row>
    <row r="85" spans="1:7" ht="16.5">
      <c r="A85" s="732">
        <v>7.76</v>
      </c>
      <c r="B85" s="733" t="s">
        <v>2837</v>
      </c>
      <c r="C85" s="734" t="s">
        <v>5082</v>
      </c>
      <c r="D85" s="730">
        <f>D84</f>
        <v>287</v>
      </c>
      <c r="E85" s="733" t="s">
        <v>2837</v>
      </c>
      <c r="F85" s="730">
        <f t="shared" ref="F85:F93" si="4">D85*A85</f>
        <v>2227.12</v>
      </c>
      <c r="G85" s="728"/>
    </row>
    <row r="86" spans="1:7" ht="16.5">
      <c r="A86" s="732">
        <v>3.03</v>
      </c>
      <c r="B86" s="733" t="s">
        <v>2837</v>
      </c>
      <c r="C86" s="734" t="s">
        <v>5083</v>
      </c>
      <c r="D86" s="730">
        <f>D85</f>
        <v>287</v>
      </c>
      <c r="E86" s="733" t="s">
        <v>2837</v>
      </c>
      <c r="F86" s="730">
        <f t="shared" si="4"/>
        <v>869.6099999999999</v>
      </c>
      <c r="G86" s="728"/>
    </row>
    <row r="87" spans="1:7" ht="16.5">
      <c r="A87" s="732">
        <v>1.45</v>
      </c>
      <c r="B87" s="733" t="s">
        <v>2837</v>
      </c>
      <c r="C87" s="734" t="s">
        <v>5077</v>
      </c>
      <c r="D87" s="730">
        <f>D86</f>
        <v>287</v>
      </c>
      <c r="E87" s="733" t="s">
        <v>2837</v>
      </c>
      <c r="F87" s="730">
        <f t="shared" si="4"/>
        <v>416.15</v>
      </c>
      <c r="G87" s="728"/>
    </row>
    <row r="88" spans="1:7" ht="16.5">
      <c r="A88" s="732">
        <v>2.4300000000000002</v>
      </c>
      <c r="B88" s="733" t="s">
        <v>2830</v>
      </c>
      <c r="C88" s="734" t="s">
        <v>5060</v>
      </c>
      <c r="D88" s="730">
        <v>209.9</v>
      </c>
      <c r="E88" s="733" t="s">
        <v>2830</v>
      </c>
      <c r="F88" s="730">
        <f t="shared" si="4"/>
        <v>510.05700000000007</v>
      </c>
      <c r="G88" s="728"/>
    </row>
    <row r="89" spans="1:7" ht="16.5">
      <c r="A89" s="732">
        <v>11.7</v>
      </c>
      <c r="B89" s="733" t="s">
        <v>12</v>
      </c>
      <c r="C89" s="734" t="s">
        <v>5059</v>
      </c>
      <c r="D89" s="730">
        <f>D61</f>
        <v>28.6</v>
      </c>
      <c r="E89" s="733" t="s">
        <v>12</v>
      </c>
      <c r="F89" s="730">
        <f t="shared" si="4"/>
        <v>334.62</v>
      </c>
      <c r="G89" s="728"/>
    </row>
    <row r="90" spans="1:7" ht="16.5">
      <c r="A90" s="732">
        <v>3</v>
      </c>
      <c r="B90" s="733" t="s">
        <v>5069</v>
      </c>
      <c r="C90" s="734" t="s">
        <v>5084</v>
      </c>
      <c r="D90" s="730">
        <v>175</v>
      </c>
      <c r="E90" s="733" t="s">
        <v>2359</v>
      </c>
      <c r="F90" s="730">
        <f t="shared" si="4"/>
        <v>525</v>
      </c>
      <c r="G90" s="728"/>
    </row>
    <row r="91" spans="1:7" ht="16.5">
      <c r="A91" s="732">
        <v>3</v>
      </c>
      <c r="B91" s="733" t="s">
        <v>2359</v>
      </c>
      <c r="C91" s="734" t="s">
        <v>5061</v>
      </c>
      <c r="D91" s="730">
        <v>60</v>
      </c>
      <c r="E91" s="733" t="s">
        <v>2359</v>
      </c>
      <c r="F91" s="730">
        <f t="shared" si="4"/>
        <v>180</v>
      </c>
      <c r="G91" s="728"/>
    </row>
    <row r="92" spans="1:7" ht="16.5">
      <c r="A92" s="732">
        <v>4</v>
      </c>
      <c r="B92" s="733" t="s">
        <v>2359</v>
      </c>
      <c r="C92" s="734" t="s">
        <v>5063</v>
      </c>
      <c r="D92" s="730">
        <v>15</v>
      </c>
      <c r="E92" s="733" t="s">
        <v>2359</v>
      </c>
      <c r="F92" s="730">
        <f t="shared" si="4"/>
        <v>60</v>
      </c>
      <c r="G92" s="728"/>
    </row>
    <row r="93" spans="1:7" ht="16.5">
      <c r="A93" s="732">
        <v>2.4300000000000002</v>
      </c>
      <c r="B93" s="733" t="s">
        <v>26</v>
      </c>
      <c r="C93" s="734" t="s">
        <v>5064</v>
      </c>
      <c r="D93" s="728">
        <f>D65</f>
        <v>1617.0000000000002</v>
      </c>
      <c r="E93" s="733" t="s">
        <v>26</v>
      </c>
      <c r="F93" s="730">
        <f t="shared" si="4"/>
        <v>3929.3100000000009</v>
      </c>
      <c r="G93" s="728"/>
    </row>
    <row r="94" spans="1:7" ht="16.5">
      <c r="A94" s="732"/>
      <c r="B94" s="733"/>
      <c r="C94" s="734" t="s">
        <v>2390</v>
      </c>
      <c r="D94" s="728"/>
      <c r="E94" s="729"/>
      <c r="F94" s="730">
        <v>11.26</v>
      </c>
      <c r="G94" s="728">
        <v>0</v>
      </c>
    </row>
    <row r="95" spans="1:7" ht="16.5">
      <c r="A95" s="728"/>
      <c r="B95" s="735"/>
      <c r="C95" s="734"/>
      <c r="D95" s="728"/>
      <c r="E95" s="729"/>
      <c r="F95" s="730"/>
      <c r="G95" s="728"/>
    </row>
    <row r="96" spans="1:7" ht="16.5">
      <c r="A96" s="728"/>
      <c r="B96" s="728"/>
      <c r="C96" s="742" t="s">
        <v>5065</v>
      </c>
      <c r="D96" s="728"/>
      <c r="E96" s="728"/>
      <c r="F96" s="737">
        <f>SUM(F84:F95)</f>
        <v>10463.687</v>
      </c>
      <c r="G96" s="738" t="s">
        <v>556</v>
      </c>
    </row>
    <row r="97" spans="1:7" ht="16.5">
      <c r="A97" s="728"/>
      <c r="B97" s="728"/>
      <c r="C97" s="742"/>
      <c r="D97" s="728"/>
      <c r="E97" s="728"/>
      <c r="F97" s="473">
        <f>F96/A93</f>
        <v>4306.04403292181</v>
      </c>
      <c r="G97" s="728" t="s">
        <v>26</v>
      </c>
    </row>
    <row r="98" spans="1:7" ht="16.5">
      <c r="A98" s="728"/>
      <c r="B98" s="728"/>
      <c r="C98" s="742"/>
      <c r="D98" s="728"/>
      <c r="E98" s="728"/>
      <c r="F98" s="728"/>
      <c r="G98" s="728"/>
    </row>
    <row r="99" spans="1:7" ht="16.5">
      <c r="A99" s="730">
        <v>1</v>
      </c>
      <c r="B99" s="733" t="s">
        <v>2342</v>
      </c>
      <c r="C99" s="734" t="s">
        <v>5071</v>
      </c>
      <c r="D99" s="730">
        <f>D71</f>
        <v>712.95</v>
      </c>
      <c r="E99" s="734" t="s">
        <v>2342</v>
      </c>
      <c r="F99" s="730">
        <f>D99*A99</f>
        <v>712.95</v>
      </c>
      <c r="G99" s="728"/>
    </row>
    <row r="100" spans="1:7" ht="16.5">
      <c r="A100" s="730">
        <v>1</v>
      </c>
      <c r="B100" s="733" t="s">
        <v>2342</v>
      </c>
      <c r="C100" s="734" t="s">
        <v>5072</v>
      </c>
      <c r="D100" s="730">
        <f>D72</f>
        <v>527.1</v>
      </c>
      <c r="E100" s="734" t="s">
        <v>2342</v>
      </c>
      <c r="F100" s="730">
        <f>D100*A100</f>
        <v>527.1</v>
      </c>
      <c r="G100" s="728"/>
    </row>
    <row r="101" spans="1:7" ht="16.5">
      <c r="A101" s="730">
        <v>0.5</v>
      </c>
      <c r="B101" s="733" t="s">
        <v>2342</v>
      </c>
      <c r="C101" s="734" t="s">
        <v>5073</v>
      </c>
      <c r="D101" s="730">
        <f>D73</f>
        <v>753.9</v>
      </c>
      <c r="E101" s="734" t="s">
        <v>2342</v>
      </c>
      <c r="F101" s="730">
        <f>D101*A101</f>
        <v>376.95</v>
      </c>
      <c r="G101" s="728"/>
    </row>
    <row r="102" spans="1:7" ht="16.5">
      <c r="A102" s="728"/>
      <c r="B102" s="733"/>
      <c r="C102" s="734"/>
      <c r="D102" s="730"/>
      <c r="E102" s="734"/>
      <c r="F102" s="730"/>
      <c r="G102" s="728"/>
    </row>
    <row r="103" spans="1:7" ht="16.5">
      <c r="A103" s="728"/>
      <c r="B103" s="735"/>
      <c r="C103" s="734" t="s">
        <v>5074</v>
      </c>
      <c r="D103" s="728"/>
      <c r="E103" s="743"/>
      <c r="F103" s="737">
        <f>SUM(F99:F102)</f>
        <v>1617.0000000000002</v>
      </c>
      <c r="G103" s="728"/>
    </row>
    <row r="104" spans="1:7" ht="16.5">
      <c r="A104" s="728"/>
      <c r="B104" s="735"/>
      <c r="C104" s="728"/>
      <c r="D104" s="728"/>
      <c r="E104" s="743"/>
      <c r="F104" s="744" t="s">
        <v>442</v>
      </c>
      <c r="G104" s="728"/>
    </row>
    <row r="105" spans="1:7" ht="16.5">
      <c r="A105" s="728"/>
      <c r="B105" s="728"/>
      <c r="C105" s="728"/>
      <c r="D105" s="728"/>
      <c r="E105" s="728"/>
      <c r="F105" s="728"/>
      <c r="G105" s="728"/>
    </row>
    <row r="106" spans="1:7" ht="16.5">
      <c r="A106" s="1628" t="s">
        <v>5085</v>
      </c>
      <c r="B106" s="1628"/>
      <c r="C106" s="1628"/>
      <c r="D106" s="1628"/>
      <c r="E106" s="1628"/>
      <c r="F106" s="1628"/>
      <c r="G106" s="728"/>
    </row>
    <row r="107" spans="1:7" ht="16.5">
      <c r="A107" s="1628"/>
      <c r="B107" s="1628"/>
      <c r="C107" s="1628"/>
      <c r="D107" s="1628"/>
      <c r="E107" s="1628"/>
      <c r="F107" s="1628"/>
      <c r="G107" s="728"/>
    </row>
    <row r="108" spans="1:7" ht="16.5">
      <c r="A108" s="732"/>
      <c r="B108" s="733"/>
      <c r="C108" s="734"/>
      <c r="D108" s="730"/>
      <c r="E108" s="733"/>
      <c r="F108" s="730"/>
      <c r="G108" s="728"/>
    </row>
    <row r="109" spans="1:7" ht="16.5">
      <c r="A109" s="732">
        <v>10.33</v>
      </c>
      <c r="B109" s="733" t="s">
        <v>2837</v>
      </c>
      <c r="C109" s="734" t="s">
        <v>5077</v>
      </c>
      <c r="D109" s="730">
        <f>D87</f>
        <v>287</v>
      </c>
      <c r="E109" s="733" t="s">
        <v>2837</v>
      </c>
      <c r="F109" s="730">
        <f>D109*A109</f>
        <v>2964.71</v>
      </c>
      <c r="G109" s="728"/>
    </row>
    <row r="110" spans="1:7" ht="16.5">
      <c r="A110" s="732">
        <v>1.42</v>
      </c>
      <c r="B110" s="733" t="s">
        <v>2830</v>
      </c>
      <c r="C110" s="734" t="s">
        <v>5060</v>
      </c>
      <c r="D110" s="730">
        <v>208.8</v>
      </c>
      <c r="E110" s="733" t="s">
        <v>2830</v>
      </c>
      <c r="F110" s="730">
        <f t="shared" ref="F110:F115" si="5">D110*A110</f>
        <v>296.49599999999998</v>
      </c>
      <c r="G110" s="728"/>
    </row>
    <row r="111" spans="1:7" ht="16.5">
      <c r="A111" s="732">
        <v>6.9</v>
      </c>
      <c r="B111" s="733" t="s">
        <v>12</v>
      </c>
      <c r="C111" s="734" t="s">
        <v>5059</v>
      </c>
      <c r="D111" s="730">
        <f>D89</f>
        <v>28.6</v>
      </c>
      <c r="E111" s="733" t="s">
        <v>12</v>
      </c>
      <c r="F111" s="730">
        <f t="shared" si="5"/>
        <v>197.34000000000003</v>
      </c>
      <c r="G111" s="728"/>
    </row>
    <row r="112" spans="1:7" ht="16.5">
      <c r="A112" s="732">
        <v>2</v>
      </c>
      <c r="B112" s="733" t="s">
        <v>5069</v>
      </c>
      <c r="C112" s="734" t="str">
        <f>C36</f>
        <v>Aluminium section</v>
      </c>
      <c r="D112" s="730">
        <v>350</v>
      </c>
      <c r="E112" s="733" t="s">
        <v>2359</v>
      </c>
      <c r="F112" s="730">
        <f t="shared" si="5"/>
        <v>700</v>
      </c>
      <c r="G112" s="728"/>
    </row>
    <row r="113" spans="1:8" ht="16.5">
      <c r="A113" s="732">
        <v>2</v>
      </c>
      <c r="B113" s="733" t="s">
        <v>2359</v>
      </c>
      <c r="C113" s="734" t="s">
        <v>5061</v>
      </c>
      <c r="D113" s="730">
        <v>48</v>
      </c>
      <c r="E113" s="733" t="s">
        <v>2359</v>
      </c>
      <c r="F113" s="730">
        <f t="shared" si="5"/>
        <v>96</v>
      </c>
      <c r="G113" s="728"/>
    </row>
    <row r="114" spans="1:8" ht="16.5">
      <c r="A114" s="732">
        <v>4</v>
      </c>
      <c r="B114" s="733" t="s">
        <v>2359</v>
      </c>
      <c r="C114" s="734" t="s">
        <v>5063</v>
      </c>
      <c r="D114" s="730">
        <v>15</v>
      </c>
      <c r="E114" s="733" t="s">
        <v>2359</v>
      </c>
      <c r="F114" s="730">
        <f t="shared" si="5"/>
        <v>60</v>
      </c>
      <c r="G114" s="728"/>
    </row>
    <row r="115" spans="1:8" ht="16.5">
      <c r="A115" s="732">
        <v>1.42</v>
      </c>
      <c r="B115" s="733" t="s">
        <v>26</v>
      </c>
      <c r="C115" s="734" t="s">
        <v>5064</v>
      </c>
      <c r="D115" s="728">
        <f>F125</f>
        <v>1617.0000000000002</v>
      </c>
      <c r="E115" s="733" t="s">
        <v>26</v>
      </c>
      <c r="F115" s="730">
        <f t="shared" si="5"/>
        <v>2296.1400000000003</v>
      </c>
      <c r="G115" s="728"/>
    </row>
    <row r="116" spans="1:8" ht="16.5">
      <c r="A116" s="732"/>
      <c r="B116" s="733"/>
      <c r="C116" s="734" t="s">
        <v>2390</v>
      </c>
      <c r="D116" s="728"/>
      <c r="E116" s="729"/>
      <c r="F116" s="730">
        <v>3.06</v>
      </c>
      <c r="G116" s="728"/>
    </row>
    <row r="117" spans="1:8" ht="16.5">
      <c r="A117" s="732"/>
      <c r="B117" s="733"/>
      <c r="C117" s="734"/>
      <c r="D117" s="728"/>
      <c r="E117" s="733"/>
      <c r="F117" s="730"/>
      <c r="G117" s="728"/>
    </row>
    <row r="118" spans="1:8" ht="16.5">
      <c r="A118" s="732"/>
      <c r="B118" s="733"/>
      <c r="C118" s="736" t="s">
        <v>5086</v>
      </c>
      <c r="D118" s="738"/>
      <c r="E118" s="740"/>
      <c r="F118" s="737">
        <f>SUM(F109:F117)</f>
        <v>6613.746000000001</v>
      </c>
      <c r="G118" s="738" t="s">
        <v>556</v>
      </c>
      <c r="H118" s="2">
        <f>F118/A115</f>
        <v>4657.5676056338034</v>
      </c>
    </row>
    <row r="119" spans="1:8" ht="16.5">
      <c r="A119" s="728"/>
      <c r="B119" s="728"/>
      <c r="C119" s="742"/>
      <c r="D119" s="728"/>
      <c r="E119" s="728"/>
      <c r="F119" s="728"/>
      <c r="G119" s="728"/>
    </row>
    <row r="120" spans="1:8" ht="16.5">
      <c r="A120" s="730">
        <v>1</v>
      </c>
      <c r="B120" s="733" t="s">
        <v>2342</v>
      </c>
      <c r="C120" s="734" t="s">
        <v>5071</v>
      </c>
      <c r="D120" s="730">
        <f>D99</f>
        <v>712.95</v>
      </c>
      <c r="E120" s="734" t="s">
        <v>2342</v>
      </c>
      <c r="F120" s="730">
        <f>D120*A120</f>
        <v>712.95</v>
      </c>
      <c r="G120" s="728"/>
    </row>
    <row r="121" spans="1:8" ht="16.5">
      <c r="A121" s="730">
        <v>1</v>
      </c>
      <c r="B121" s="733" t="s">
        <v>2342</v>
      </c>
      <c r="C121" s="734" t="s">
        <v>5072</v>
      </c>
      <c r="D121" s="730">
        <f>D100</f>
        <v>527.1</v>
      </c>
      <c r="E121" s="734" t="s">
        <v>2342</v>
      </c>
      <c r="F121" s="730">
        <f>D121*A121</f>
        <v>527.1</v>
      </c>
      <c r="G121" s="728"/>
    </row>
    <row r="122" spans="1:8" ht="16.5">
      <c r="A122" s="730">
        <v>0.5</v>
      </c>
      <c r="B122" s="733" t="s">
        <v>2342</v>
      </c>
      <c r="C122" s="734" t="s">
        <v>5073</v>
      </c>
      <c r="D122" s="730">
        <f>D101</f>
        <v>753.9</v>
      </c>
      <c r="E122" s="734" t="s">
        <v>2342</v>
      </c>
      <c r="F122" s="730">
        <f>D122*A122</f>
        <v>376.95</v>
      </c>
      <c r="G122" s="728"/>
    </row>
    <row r="123" spans="1:8" ht="16.5">
      <c r="A123" s="728"/>
      <c r="B123" s="733"/>
      <c r="C123" s="734"/>
      <c r="D123" s="730"/>
      <c r="E123" s="734"/>
      <c r="F123" s="730"/>
      <c r="G123" s="728"/>
    </row>
    <row r="124" spans="1:8" ht="16.5">
      <c r="A124" s="728"/>
      <c r="B124" s="735"/>
      <c r="C124" s="728"/>
      <c r="D124" s="728"/>
      <c r="E124" s="743"/>
      <c r="F124" s="744" t="s">
        <v>442</v>
      </c>
      <c r="G124" s="728"/>
    </row>
    <row r="125" spans="1:8" ht="16.5">
      <c r="A125" s="728"/>
      <c r="B125" s="735"/>
      <c r="C125" s="734" t="s">
        <v>5074</v>
      </c>
      <c r="D125" s="728"/>
      <c r="E125" s="743"/>
      <c r="F125" s="737">
        <f>SUM(F120:F124)</f>
        <v>1617.0000000000002</v>
      </c>
      <c r="G125" s="728"/>
    </row>
    <row r="126" spans="1:8" ht="16.5">
      <c r="A126" s="728"/>
      <c r="B126" s="735"/>
      <c r="C126" s="734"/>
      <c r="D126" s="728"/>
      <c r="E126" s="743"/>
      <c r="F126" s="737"/>
      <c r="G126" s="728"/>
    </row>
    <row r="127" spans="1:8" ht="16.5">
      <c r="A127" s="728"/>
      <c r="B127" s="735"/>
      <c r="C127" s="728"/>
      <c r="D127" s="728"/>
      <c r="E127" s="743"/>
      <c r="F127" s="744" t="s">
        <v>442</v>
      </c>
      <c r="G127" s="728"/>
    </row>
    <row r="128" spans="1:8" ht="16.5">
      <c r="A128" s="728"/>
      <c r="B128" s="1628" t="s">
        <v>5087</v>
      </c>
      <c r="C128" s="1628"/>
      <c r="D128" s="1628"/>
      <c r="E128" s="740"/>
      <c r="F128" s="740"/>
      <c r="G128" s="728"/>
    </row>
    <row r="129" spans="1:7" ht="16.5">
      <c r="A129" s="732"/>
      <c r="B129" s="733"/>
      <c r="C129" s="741" t="s">
        <v>5080</v>
      </c>
      <c r="D129" s="730"/>
      <c r="E129" s="733"/>
      <c r="F129" s="730"/>
      <c r="G129" s="728"/>
    </row>
    <row r="130" spans="1:7" ht="16.5">
      <c r="A130" s="732"/>
      <c r="B130" s="733"/>
      <c r="C130" s="734"/>
      <c r="D130" s="730"/>
      <c r="E130" s="733"/>
      <c r="F130" s="730"/>
      <c r="G130" s="728"/>
    </row>
    <row r="131" spans="1:7" ht="16.5">
      <c r="A131" s="732"/>
      <c r="B131" s="733"/>
      <c r="C131" s="734"/>
      <c r="D131" s="730"/>
      <c r="E131" s="733"/>
      <c r="F131" s="730"/>
      <c r="G131" s="728"/>
    </row>
    <row r="132" spans="1:7" ht="16.5">
      <c r="A132" s="732">
        <v>4.42</v>
      </c>
      <c r="B132" s="733" t="s">
        <v>2837</v>
      </c>
      <c r="C132" s="734" t="s">
        <v>5081</v>
      </c>
      <c r="D132" s="730">
        <f>D109</f>
        <v>287</v>
      </c>
      <c r="E132" s="733" t="s">
        <v>2837</v>
      </c>
      <c r="F132" s="730">
        <f>D132*A132</f>
        <v>1268.54</v>
      </c>
      <c r="G132" s="728"/>
    </row>
    <row r="133" spans="1:7" ht="16.5">
      <c r="A133" s="732">
        <v>7.36</v>
      </c>
      <c r="B133" s="733" t="s">
        <v>2837</v>
      </c>
      <c r="C133" s="734" t="s">
        <v>5082</v>
      </c>
      <c r="D133" s="730">
        <f>D132</f>
        <v>287</v>
      </c>
      <c r="E133" s="733" t="s">
        <v>2837</v>
      </c>
      <c r="F133" s="730">
        <f t="shared" ref="F133:F141" si="6">D133*A133</f>
        <v>2112.3200000000002</v>
      </c>
      <c r="G133" s="728"/>
    </row>
    <row r="134" spans="1:7" ht="16.5">
      <c r="A134" s="732">
        <v>3.03</v>
      </c>
      <c r="B134" s="733" t="s">
        <v>2837</v>
      </c>
      <c r="C134" s="734" t="s">
        <v>5083</v>
      </c>
      <c r="D134" s="730">
        <f>D133</f>
        <v>287</v>
      </c>
      <c r="E134" s="733" t="s">
        <v>2837</v>
      </c>
      <c r="F134" s="730">
        <f t="shared" si="6"/>
        <v>869.6099999999999</v>
      </c>
      <c r="G134" s="728"/>
    </row>
    <row r="135" spans="1:7" ht="16.5">
      <c r="A135" s="732">
        <v>1.38</v>
      </c>
      <c r="B135" s="733" t="s">
        <v>2837</v>
      </c>
      <c r="C135" s="734" t="s">
        <v>5077</v>
      </c>
      <c r="D135" s="730">
        <f>D134</f>
        <v>287</v>
      </c>
      <c r="E135" s="733" t="s">
        <v>2837</v>
      </c>
      <c r="F135" s="730">
        <f t="shared" si="6"/>
        <v>396.05999999999995</v>
      </c>
      <c r="G135" s="728"/>
    </row>
    <row r="136" spans="1:7" ht="16.5">
      <c r="A136" s="732">
        <v>2.0249999999999999</v>
      </c>
      <c r="B136" s="733" t="s">
        <v>2830</v>
      </c>
      <c r="C136" s="734" t="s">
        <v>5088</v>
      </c>
      <c r="D136" s="730">
        <f>D110</f>
        <v>208.8</v>
      </c>
      <c r="E136" s="733" t="s">
        <v>2830</v>
      </c>
      <c r="F136" s="730">
        <f t="shared" si="6"/>
        <v>422.82</v>
      </c>
      <c r="G136" s="728"/>
    </row>
    <row r="137" spans="1:7" ht="16.5">
      <c r="A137" s="732">
        <v>11.1</v>
      </c>
      <c r="B137" s="733" t="s">
        <v>12</v>
      </c>
      <c r="C137" s="734" t="s">
        <v>5089</v>
      </c>
      <c r="D137" s="730">
        <f>D111</f>
        <v>28.6</v>
      </c>
      <c r="E137" s="733" t="s">
        <v>12</v>
      </c>
      <c r="F137" s="730">
        <f t="shared" si="6"/>
        <v>317.45999999999998</v>
      </c>
      <c r="G137" s="728"/>
    </row>
    <row r="138" spans="1:7" ht="16.5">
      <c r="A138" s="732">
        <v>3</v>
      </c>
      <c r="B138" s="733" t="s">
        <v>5069</v>
      </c>
      <c r="C138" s="734" t="str">
        <f>C62</f>
        <v>10" I Max hinges (304 grade) qtn</v>
      </c>
      <c r="D138" s="730">
        <f>D112</f>
        <v>350</v>
      </c>
      <c r="E138" s="733" t="s">
        <v>2359</v>
      </c>
      <c r="F138" s="730">
        <f t="shared" si="6"/>
        <v>1050</v>
      </c>
      <c r="G138" s="728"/>
    </row>
    <row r="139" spans="1:7" ht="16.5">
      <c r="A139" s="732">
        <v>3</v>
      </c>
      <c r="B139" s="733" t="s">
        <v>2359</v>
      </c>
      <c r="C139" s="734" t="s">
        <v>5090</v>
      </c>
      <c r="D139" s="730">
        <f>D113</f>
        <v>48</v>
      </c>
      <c r="E139" s="733" t="s">
        <v>2359</v>
      </c>
      <c r="F139" s="730">
        <f t="shared" si="6"/>
        <v>144</v>
      </c>
      <c r="G139" s="728"/>
    </row>
    <row r="140" spans="1:7" ht="16.5">
      <c r="A140" s="732">
        <v>4</v>
      </c>
      <c r="B140" s="733" t="s">
        <v>2359</v>
      </c>
      <c r="C140" s="734" t="s">
        <v>5091</v>
      </c>
      <c r="D140" s="730">
        <v>15</v>
      </c>
      <c r="E140" s="733" t="s">
        <v>2359</v>
      </c>
      <c r="F140" s="730">
        <f t="shared" si="6"/>
        <v>60</v>
      </c>
      <c r="G140" s="728"/>
    </row>
    <row r="141" spans="1:7" ht="16.5">
      <c r="A141" s="732">
        <v>2.0249999999999999</v>
      </c>
      <c r="B141" s="733" t="s">
        <v>26</v>
      </c>
      <c r="C141" s="734" t="s">
        <v>5092</v>
      </c>
      <c r="D141" s="728">
        <f>F152</f>
        <v>1617.0000000000002</v>
      </c>
      <c r="E141" s="733" t="s">
        <v>26</v>
      </c>
      <c r="F141" s="730">
        <f t="shared" si="6"/>
        <v>3274.4250000000002</v>
      </c>
      <c r="G141" s="728"/>
    </row>
    <row r="142" spans="1:7" ht="16.5">
      <c r="A142" s="732"/>
      <c r="B142" s="733"/>
      <c r="C142" s="734" t="s">
        <v>5093</v>
      </c>
      <c r="D142" s="728"/>
      <c r="E142" s="729"/>
      <c r="F142" s="730"/>
      <c r="G142" s="728"/>
    </row>
    <row r="143" spans="1:7" ht="16.5">
      <c r="A143" s="728"/>
      <c r="B143" s="735"/>
      <c r="C143" s="734"/>
      <c r="D143" s="728"/>
      <c r="E143" s="729"/>
      <c r="F143" s="730"/>
      <c r="G143" s="728"/>
    </row>
    <row r="144" spans="1:7" ht="16.5">
      <c r="A144" s="728"/>
      <c r="B144" s="728"/>
      <c r="C144" s="742" t="s">
        <v>5065</v>
      </c>
      <c r="D144" s="728"/>
      <c r="E144" s="728"/>
      <c r="F144" s="738">
        <f>SUM(F132:F143)</f>
        <v>9915.2350000000006</v>
      </c>
      <c r="G144" s="738" t="s">
        <v>556</v>
      </c>
    </row>
    <row r="145" spans="1:7" ht="16.5">
      <c r="A145" s="728"/>
      <c r="B145" s="728"/>
      <c r="C145" s="473" t="s">
        <v>5094</v>
      </c>
      <c r="D145" s="728"/>
      <c r="E145" s="728"/>
      <c r="F145" s="473">
        <f>F144/A136</f>
        <v>4896.412345679013</v>
      </c>
      <c r="G145" s="728" t="s">
        <v>26</v>
      </c>
    </row>
    <row r="146" spans="1:7" ht="16.5">
      <c r="A146" s="728"/>
      <c r="B146" s="728"/>
      <c r="C146" s="742"/>
      <c r="D146" s="728"/>
      <c r="E146" s="728"/>
      <c r="F146" s="728"/>
      <c r="G146" s="728"/>
    </row>
    <row r="147" spans="1:7" ht="16.5">
      <c r="A147" s="730">
        <v>1</v>
      </c>
      <c r="B147" s="733" t="s">
        <v>2342</v>
      </c>
      <c r="C147" s="734" t="s">
        <v>5071</v>
      </c>
      <c r="D147" s="730">
        <f>D120</f>
        <v>712.95</v>
      </c>
      <c r="E147" s="734" t="s">
        <v>2342</v>
      </c>
      <c r="F147" s="730">
        <f>D147*A147</f>
        <v>712.95</v>
      </c>
      <c r="G147" s="728"/>
    </row>
    <row r="148" spans="1:7" ht="16.5">
      <c r="A148" s="730">
        <v>1</v>
      </c>
      <c r="B148" s="733" t="s">
        <v>2342</v>
      </c>
      <c r="C148" s="734" t="s">
        <v>5072</v>
      </c>
      <c r="D148" s="730">
        <f>D121</f>
        <v>527.1</v>
      </c>
      <c r="E148" s="734" t="s">
        <v>2342</v>
      </c>
      <c r="F148" s="730">
        <f>D148*A148</f>
        <v>527.1</v>
      </c>
      <c r="G148" s="728"/>
    </row>
    <row r="149" spans="1:7" ht="16.5">
      <c r="A149" s="730">
        <v>0.5</v>
      </c>
      <c r="B149" s="733" t="s">
        <v>2342</v>
      </c>
      <c r="C149" s="734" t="s">
        <v>5073</v>
      </c>
      <c r="D149" s="730">
        <f>D122</f>
        <v>753.9</v>
      </c>
      <c r="E149" s="734" t="s">
        <v>2342</v>
      </c>
      <c r="F149" s="730">
        <f>D149*A149</f>
        <v>376.95</v>
      </c>
      <c r="G149" s="728"/>
    </row>
    <row r="150" spans="1:7" ht="16.5">
      <c r="A150" s="728"/>
      <c r="B150" s="733"/>
      <c r="C150" s="734"/>
      <c r="D150" s="730"/>
      <c r="E150" s="734"/>
      <c r="F150" s="730"/>
      <c r="G150" s="728"/>
    </row>
    <row r="151" spans="1:7" ht="16.5">
      <c r="A151" s="728"/>
      <c r="B151" s="735"/>
      <c r="C151" s="728"/>
      <c r="D151" s="728"/>
      <c r="E151" s="743"/>
      <c r="F151" s="744" t="s">
        <v>442</v>
      </c>
      <c r="G151" s="728"/>
    </row>
    <row r="152" spans="1:7" ht="16.5">
      <c r="A152" s="728"/>
      <c r="B152" s="735"/>
      <c r="C152" s="734" t="s">
        <v>5074</v>
      </c>
      <c r="D152" s="728"/>
      <c r="E152" s="743"/>
      <c r="F152" s="737">
        <f>SUM(F147:F151)</f>
        <v>1617.0000000000002</v>
      </c>
      <c r="G152" s="728"/>
    </row>
    <row r="153" spans="1:7" ht="16.5">
      <c r="A153" s="728"/>
      <c r="B153" s="735"/>
      <c r="C153" s="728"/>
      <c r="D153" s="728"/>
      <c r="E153" s="743"/>
      <c r="F153" s="744" t="s">
        <v>442</v>
      </c>
      <c r="G153" s="728"/>
    </row>
    <row r="155" spans="1:7">
      <c r="A155" s="1628" t="s">
        <v>5095</v>
      </c>
      <c r="B155" s="1628"/>
      <c r="C155" s="1628"/>
      <c r="D155" s="1628"/>
      <c r="E155" s="1628"/>
      <c r="F155" s="1628"/>
    </row>
    <row r="156" spans="1:7">
      <c r="A156" s="1628"/>
      <c r="B156" s="1628"/>
      <c r="C156" s="1628"/>
      <c r="D156" s="1628"/>
      <c r="E156" s="1628"/>
      <c r="F156" s="1628"/>
    </row>
    <row r="157" spans="1:7" ht="16.5">
      <c r="A157" s="732"/>
      <c r="B157" s="733"/>
      <c r="C157" s="734"/>
      <c r="D157" s="730"/>
      <c r="E157" s="733"/>
      <c r="F157" s="730"/>
    </row>
    <row r="158" spans="1:7" ht="16.5">
      <c r="A158" s="732">
        <v>6.56</v>
      </c>
      <c r="B158" s="733" t="s">
        <v>2837</v>
      </c>
      <c r="C158" s="734" t="s">
        <v>5077</v>
      </c>
      <c r="D158" s="730">
        <f>D135</f>
        <v>287</v>
      </c>
      <c r="E158" s="733" t="s">
        <v>2837</v>
      </c>
      <c r="F158" s="730">
        <f>D158*A158</f>
        <v>1882.7199999999998</v>
      </c>
    </row>
    <row r="159" spans="1:7" ht="16.5">
      <c r="A159" s="732">
        <v>1.0129999999999999</v>
      </c>
      <c r="B159" s="733" t="s">
        <v>2830</v>
      </c>
      <c r="C159" s="734" t="s">
        <v>5060</v>
      </c>
      <c r="D159" s="730">
        <f>D136</f>
        <v>208.8</v>
      </c>
      <c r="E159" s="733" t="s">
        <v>2830</v>
      </c>
      <c r="F159" s="730">
        <f t="shared" ref="F159:F164" si="7">D159*A159</f>
        <v>211.51439999999999</v>
      </c>
    </row>
    <row r="160" spans="1:7" ht="16.5">
      <c r="A160" s="732">
        <v>4.2</v>
      </c>
      <c r="B160" s="733" t="s">
        <v>12</v>
      </c>
      <c r="C160" s="734" t="s">
        <v>5059</v>
      </c>
      <c r="D160" s="730">
        <f>D137</f>
        <v>28.6</v>
      </c>
      <c r="E160" s="733" t="s">
        <v>12</v>
      </c>
      <c r="F160" s="730">
        <f t="shared" si="7"/>
        <v>120.12</v>
      </c>
    </row>
    <row r="161" spans="1:7" ht="16.5">
      <c r="A161" s="732">
        <v>1</v>
      </c>
      <c r="B161" s="733" t="s">
        <v>5069</v>
      </c>
      <c r="C161" s="734" t="str">
        <f>C138</f>
        <v>10" I Max hinges (304 grade) qtn</v>
      </c>
      <c r="D161" s="730">
        <f>D138</f>
        <v>350</v>
      </c>
      <c r="E161" s="733" t="s">
        <v>2359</v>
      </c>
      <c r="F161" s="730">
        <f t="shared" si="7"/>
        <v>350</v>
      </c>
    </row>
    <row r="162" spans="1:7" ht="16.5">
      <c r="A162" s="732">
        <v>1</v>
      </c>
      <c r="B162" s="733" t="s">
        <v>2359</v>
      </c>
      <c r="C162" s="734" t="s">
        <v>5061</v>
      </c>
      <c r="D162" s="730">
        <f>D139</f>
        <v>48</v>
      </c>
      <c r="E162" s="733" t="s">
        <v>2359</v>
      </c>
      <c r="F162" s="730">
        <f t="shared" si="7"/>
        <v>48</v>
      </c>
    </row>
    <row r="163" spans="1:7" ht="16.5">
      <c r="A163" s="732">
        <v>4</v>
      </c>
      <c r="B163" s="733" t="s">
        <v>2359</v>
      </c>
      <c r="C163" s="734" t="s">
        <v>5063</v>
      </c>
      <c r="D163" s="730">
        <v>15</v>
      </c>
      <c r="E163" s="733" t="s">
        <v>2359</v>
      </c>
      <c r="F163" s="730">
        <f>D163*A163</f>
        <v>60</v>
      </c>
    </row>
    <row r="164" spans="1:7" ht="16.5">
      <c r="A164" s="732">
        <v>1.0129999999999999</v>
      </c>
      <c r="B164" s="733" t="s">
        <v>26</v>
      </c>
      <c r="C164" s="734" t="s">
        <v>5064</v>
      </c>
      <c r="D164" s="728">
        <f>D141</f>
        <v>1617.0000000000002</v>
      </c>
      <c r="E164" s="733" t="s">
        <v>26</v>
      </c>
      <c r="F164" s="730">
        <f t="shared" si="7"/>
        <v>1638.021</v>
      </c>
    </row>
    <row r="165" spans="1:7" ht="16.5">
      <c r="A165" s="732"/>
      <c r="B165" s="733"/>
      <c r="C165" s="734" t="s">
        <v>2390</v>
      </c>
      <c r="D165" s="728"/>
      <c r="E165" s="729"/>
      <c r="F165" s="730"/>
    </row>
    <row r="166" spans="1:7" ht="23.25" customHeight="1">
      <c r="A166" s="732"/>
      <c r="B166" s="733"/>
      <c r="C166" s="736" t="s">
        <v>5086</v>
      </c>
      <c r="D166" s="738"/>
      <c r="E166" s="740"/>
      <c r="F166" s="737">
        <f>SUM(F158:F165)</f>
        <v>4310.3753999999999</v>
      </c>
    </row>
    <row r="167" spans="1:7" ht="13.5" customHeight="1">
      <c r="A167" s="732"/>
      <c r="B167" s="733"/>
      <c r="C167" s="473" t="s">
        <v>5096</v>
      </c>
      <c r="D167" s="728"/>
      <c r="E167" s="728"/>
      <c r="F167" s="473">
        <f>F166/A164</f>
        <v>4255.0596248766042</v>
      </c>
      <c r="G167" s="728" t="s">
        <v>26</v>
      </c>
    </row>
    <row r="168" spans="1:7" ht="16.5">
      <c r="A168" s="728"/>
      <c r="B168" s="728"/>
      <c r="C168" s="742"/>
      <c r="D168" s="728"/>
      <c r="E168" s="728"/>
      <c r="F168" s="728"/>
    </row>
    <row r="169" spans="1:7" ht="16.5">
      <c r="A169" s="730">
        <v>1</v>
      </c>
      <c r="B169" s="733" t="s">
        <v>2342</v>
      </c>
      <c r="C169" s="734" t="s">
        <v>5071</v>
      </c>
      <c r="D169" s="730">
        <f>D147</f>
        <v>712.95</v>
      </c>
      <c r="E169" s="734" t="s">
        <v>2342</v>
      </c>
      <c r="F169" s="730">
        <f>D169*A169</f>
        <v>712.95</v>
      </c>
    </row>
    <row r="170" spans="1:7" ht="16.5">
      <c r="A170" s="730">
        <v>1</v>
      </c>
      <c r="B170" s="733" t="s">
        <v>2342</v>
      </c>
      <c r="C170" s="734" t="s">
        <v>5072</v>
      </c>
      <c r="D170" s="730">
        <f>D148</f>
        <v>527.1</v>
      </c>
      <c r="E170" s="734" t="s">
        <v>2342</v>
      </c>
      <c r="F170" s="730">
        <f>D170*A170</f>
        <v>527.1</v>
      </c>
    </row>
    <row r="171" spans="1:7" ht="16.5">
      <c r="A171" s="730">
        <v>0.5</v>
      </c>
      <c r="B171" s="733" t="s">
        <v>2342</v>
      </c>
      <c r="C171" s="734" t="s">
        <v>5073</v>
      </c>
      <c r="D171" s="730">
        <f>D149</f>
        <v>753.9</v>
      </c>
      <c r="E171" s="734" t="s">
        <v>2342</v>
      </c>
      <c r="F171" s="730">
        <f>D171*A171</f>
        <v>376.95</v>
      </c>
    </row>
    <row r="172" spans="1:7" ht="35.25" hidden="1" customHeight="1">
      <c r="A172" s="728"/>
      <c r="B172" s="733"/>
      <c r="C172" s="734"/>
      <c r="D172" s="730"/>
      <c r="E172" s="734"/>
      <c r="F172" s="730"/>
    </row>
    <row r="173" spans="1:7" ht="15.75" hidden="1" customHeight="1">
      <c r="A173" s="728"/>
      <c r="B173" s="735"/>
      <c r="C173" s="728"/>
      <c r="D173" s="728"/>
      <c r="E173" s="743"/>
      <c r="F173" s="744" t="s">
        <v>442</v>
      </c>
    </row>
    <row r="174" spans="1:7" ht="15.75" hidden="1" customHeight="1">
      <c r="A174" s="728"/>
      <c r="B174" s="735"/>
      <c r="C174" s="734" t="s">
        <v>5074</v>
      </c>
      <c r="D174" s="728"/>
      <c r="E174" s="743"/>
      <c r="F174" s="737">
        <f>SUM(F169:F173)</f>
        <v>1617.0000000000002</v>
      </c>
    </row>
    <row r="175" spans="1:7" ht="15.75" hidden="1" customHeight="1">
      <c r="A175" s="728"/>
      <c r="B175" s="735"/>
      <c r="C175" s="728"/>
      <c r="D175" s="728"/>
      <c r="E175" s="743"/>
      <c r="F175" s="744" t="s">
        <v>442</v>
      </c>
    </row>
    <row r="176" spans="1:7">
      <c r="F176" s="473">
        <f>SUM(F174)</f>
        <v>1617.0000000000002</v>
      </c>
    </row>
    <row r="178" spans="1:7" ht="19.5">
      <c r="B178" s="485"/>
      <c r="C178" s="745"/>
      <c r="D178" s="1625"/>
      <c r="E178" s="1625"/>
      <c r="F178" s="1625"/>
    </row>
    <row r="179" spans="1:7">
      <c r="A179" s="637"/>
      <c r="B179" s="489"/>
      <c r="C179" s="490"/>
      <c r="D179" s="492"/>
      <c r="E179" s="489"/>
      <c r="F179" s="492"/>
    </row>
    <row r="180" spans="1:7">
      <c r="A180" s="746"/>
      <c r="B180" s="747" t="s">
        <v>575</v>
      </c>
      <c r="C180" s="748" t="s">
        <v>5097</v>
      </c>
      <c r="D180" s="749"/>
      <c r="E180" s="750"/>
      <c r="F180" s="749"/>
      <c r="G180" s="465"/>
    </row>
    <row r="181" spans="1:7">
      <c r="A181" s="749"/>
      <c r="B181" s="751"/>
      <c r="C181" s="748" t="s">
        <v>5098</v>
      </c>
      <c r="D181" s="749"/>
      <c r="E181" s="750"/>
      <c r="F181" s="749"/>
      <c r="G181" s="465"/>
    </row>
    <row r="182" spans="1:7" ht="18">
      <c r="A182" s="749"/>
      <c r="B182" s="751"/>
      <c r="C182" s="752" t="s">
        <v>5099</v>
      </c>
      <c r="D182" s="749"/>
      <c r="E182" s="750"/>
      <c r="F182" s="749"/>
      <c r="G182" s="465"/>
    </row>
    <row r="183" spans="1:7">
      <c r="A183" s="749"/>
      <c r="B183" s="751"/>
      <c r="C183" s="753" t="s">
        <v>442</v>
      </c>
      <c r="D183" s="749"/>
      <c r="E183" s="750"/>
      <c r="F183" s="749"/>
      <c r="G183" s="465"/>
    </row>
    <row r="184" spans="1:7">
      <c r="A184" s="749"/>
      <c r="B184" s="751"/>
      <c r="C184" s="754" t="s">
        <v>5100</v>
      </c>
      <c r="D184" s="755"/>
      <c r="E184" s="756"/>
      <c r="F184" s="749"/>
      <c r="G184" s="465"/>
    </row>
    <row r="185" spans="1:7">
      <c r="A185" s="749"/>
      <c r="B185" s="751"/>
      <c r="C185" s="748" t="s">
        <v>5101</v>
      </c>
      <c r="D185" s="755"/>
      <c r="E185" s="756"/>
      <c r="F185" s="749"/>
      <c r="G185" s="465"/>
    </row>
    <row r="186" spans="1:7">
      <c r="A186" s="749"/>
      <c r="B186" s="751"/>
      <c r="C186" s="748" t="s">
        <v>5102</v>
      </c>
      <c r="G186" s="465"/>
    </row>
    <row r="187" spans="1:7">
      <c r="A187" s="749"/>
      <c r="B187" s="751"/>
      <c r="C187" s="748" t="s">
        <v>5103</v>
      </c>
      <c r="D187" s="755" t="s">
        <v>29</v>
      </c>
      <c r="E187" s="757">
        <f>2*2*3*0.15*0.15</f>
        <v>0.26999999999999996</v>
      </c>
      <c r="F187" s="749" t="s">
        <v>19</v>
      </c>
      <c r="G187" s="465"/>
    </row>
    <row r="188" spans="1:7" ht="39" customHeight="1">
      <c r="A188" s="749"/>
      <c r="B188" s="751"/>
      <c r="C188" s="748" t="s">
        <v>5104</v>
      </c>
      <c r="D188" s="755" t="s">
        <v>29</v>
      </c>
      <c r="E188" s="757">
        <f>4*2*0.15*0.15*2.4</f>
        <v>0.432</v>
      </c>
      <c r="F188" s="749" t="s">
        <v>19</v>
      </c>
      <c r="G188" s="465"/>
    </row>
    <row r="189" spans="1:7" ht="22.5" customHeight="1">
      <c r="A189" s="749"/>
      <c r="B189" s="751"/>
      <c r="C189" s="748"/>
      <c r="D189" s="755"/>
      <c r="E189" s="753" t="s">
        <v>442</v>
      </c>
      <c r="F189" s="758"/>
      <c r="G189" s="465"/>
    </row>
    <row r="190" spans="1:7" ht="16.5" customHeight="1">
      <c r="A190" s="749"/>
      <c r="B190" s="751"/>
      <c r="C190" s="749"/>
      <c r="D190" s="749"/>
      <c r="E190" s="759">
        <f>SUM(E187:E189)</f>
        <v>0.70199999999999996</v>
      </c>
      <c r="F190" s="473" t="s">
        <v>19</v>
      </c>
      <c r="G190" s="465"/>
    </row>
    <row r="191" spans="1:7" ht="16.5" customHeight="1">
      <c r="A191" s="749"/>
      <c r="B191" s="751"/>
      <c r="C191" s="748" t="s">
        <v>5105</v>
      </c>
      <c r="D191" s="749"/>
      <c r="E191" s="760"/>
      <c r="F191" s="761"/>
      <c r="G191" s="465"/>
    </row>
    <row r="192" spans="1:7" ht="27.75" customHeight="1">
      <c r="A192" s="749"/>
      <c r="B192" s="751"/>
      <c r="C192" s="748" t="s">
        <v>5106</v>
      </c>
      <c r="D192" s="749"/>
      <c r="E192" s="762"/>
      <c r="F192" s="761"/>
      <c r="G192" s="465"/>
    </row>
    <row r="193" spans="1:8" ht="14.25" customHeight="1">
      <c r="A193" s="749"/>
      <c r="B193" s="751"/>
      <c r="C193" s="748"/>
      <c r="D193" s="749"/>
      <c r="E193" s="762"/>
      <c r="F193" s="761"/>
      <c r="G193" s="465"/>
    </row>
    <row r="194" spans="1:8" ht="39" customHeight="1">
      <c r="A194" s="763">
        <f>D197</f>
        <v>0.12075000000000002</v>
      </c>
      <c r="B194" s="751" t="s">
        <v>2334</v>
      </c>
      <c r="C194" s="764" t="s">
        <v>5107</v>
      </c>
      <c r="D194" s="765">
        <f>3*1*1.8*0.15*0.05</f>
        <v>4.0500000000000008E-2</v>
      </c>
      <c r="E194" s="749">
        <v>106376</v>
      </c>
      <c r="F194" s="746" t="s">
        <v>2334</v>
      </c>
      <c r="G194" s="766">
        <f>E194*A194</f>
        <v>12844.902000000002</v>
      </c>
    </row>
    <row r="195" spans="1:8" ht="39" customHeight="1">
      <c r="A195" s="763"/>
      <c r="B195" s="751"/>
      <c r="C195" s="749" t="s">
        <v>5108</v>
      </c>
      <c r="D195" s="763">
        <f>6*1*0.1*0.05*2.15</f>
        <v>6.4500000000000016E-2</v>
      </c>
      <c r="E195" s="746"/>
      <c r="F195" s="766"/>
      <c r="G195" s="465"/>
    </row>
    <row r="196" spans="1:8" ht="39" customHeight="1">
      <c r="A196" s="763"/>
      <c r="B196" s="751"/>
      <c r="C196" s="749" t="s">
        <v>5109</v>
      </c>
      <c r="D196" s="763">
        <f>2*3*0.35*0.15*0.05</f>
        <v>1.5749999999999997E-2</v>
      </c>
      <c r="E196" s="746"/>
      <c r="F196" s="766"/>
      <c r="G196" s="465"/>
    </row>
    <row r="197" spans="1:8" ht="39" customHeight="1">
      <c r="A197" s="763"/>
      <c r="B197" s="751"/>
      <c r="C197" s="749"/>
      <c r="D197" s="767">
        <f>SUM(D194:D196)</f>
        <v>0.12075000000000002</v>
      </c>
      <c r="E197" s="746"/>
      <c r="F197" s="766"/>
      <c r="G197" s="465"/>
    </row>
    <row r="198" spans="1:8" ht="54.75" customHeight="1">
      <c r="A198" s="758">
        <v>4.5969999999999997E-2</v>
      </c>
      <c r="B198" s="747" t="s">
        <v>2334</v>
      </c>
      <c r="C198" s="768" t="s">
        <v>5110</v>
      </c>
      <c r="D198" s="769">
        <f>8*1*0.815*0.35*0.01875</f>
        <v>4.2787499999999992E-2</v>
      </c>
      <c r="E198" s="766">
        <v>101921</v>
      </c>
      <c r="F198" s="746" t="s">
        <v>2334</v>
      </c>
      <c r="G198" s="766">
        <f>E198*A198</f>
        <v>4685.3083699999997</v>
      </c>
      <c r="H198" s="465"/>
    </row>
    <row r="199" spans="1:8" ht="30.75">
      <c r="A199" s="758">
        <f>D199</f>
        <v>3.9775</v>
      </c>
      <c r="B199" s="747" t="s">
        <v>2334</v>
      </c>
      <c r="C199" s="768" t="s">
        <v>5111</v>
      </c>
      <c r="D199" s="2">
        <f>1.85*2.15</f>
        <v>3.9775</v>
      </c>
      <c r="E199" s="766">
        <f>[3]Data!AE30</f>
        <v>1212.75</v>
      </c>
      <c r="F199" s="746" t="s">
        <v>26</v>
      </c>
      <c r="G199" s="766">
        <f>E199*A199</f>
        <v>4823.7131250000002</v>
      </c>
      <c r="H199" s="465"/>
    </row>
    <row r="200" spans="1:8">
      <c r="A200" s="758">
        <f>D200</f>
        <v>17.399999999999999</v>
      </c>
      <c r="B200" s="747" t="s">
        <v>2205</v>
      </c>
      <c r="C200" s="768" t="s">
        <v>5112</v>
      </c>
      <c r="D200" s="2">
        <f>6*2+3*1.8</f>
        <v>17.399999999999999</v>
      </c>
      <c r="E200" s="766">
        <v>30</v>
      </c>
      <c r="F200" s="746" t="s">
        <v>2205</v>
      </c>
      <c r="G200" s="766">
        <f>E200*A200</f>
        <v>522</v>
      </c>
      <c r="H200" s="465"/>
    </row>
    <row r="201" spans="1:8">
      <c r="A201" s="770"/>
      <c r="B201" s="751"/>
      <c r="C201" s="748"/>
      <c r="E201" s="766"/>
      <c r="F201" s="750"/>
      <c r="G201" s="766">
        <f>E201*A201</f>
        <v>0</v>
      </c>
      <c r="H201" s="465"/>
    </row>
    <row r="202" spans="1:8">
      <c r="A202" s="770"/>
      <c r="B202" s="751"/>
      <c r="C202" s="748" t="s">
        <v>5113</v>
      </c>
      <c r="E202" s="766"/>
      <c r="F202" s="750"/>
      <c r="G202" s="766"/>
      <c r="H202" s="465"/>
    </row>
    <row r="203" spans="1:8" ht="37.5" customHeight="1">
      <c r="A203" s="770">
        <f>D205</f>
        <v>1.2599999999999998</v>
      </c>
      <c r="B203" s="747" t="s">
        <v>2788</v>
      </c>
      <c r="C203" s="768" t="s">
        <v>5114</v>
      </c>
      <c r="D203" s="2">
        <f>2*1*0.35*1.4</f>
        <v>0.97999999999999987</v>
      </c>
      <c r="E203" s="766">
        <v>336</v>
      </c>
      <c r="F203" s="750" t="s">
        <v>2788</v>
      </c>
      <c r="G203" s="766">
        <f>E203*A203</f>
        <v>423.3599999999999</v>
      </c>
      <c r="H203" s="465"/>
    </row>
    <row r="204" spans="1:8" ht="37.5" customHeight="1">
      <c r="A204" s="770"/>
      <c r="B204" s="747"/>
      <c r="C204" s="768" t="s">
        <v>5115</v>
      </c>
      <c r="D204" s="2">
        <f>2*1*0.35*0.4</f>
        <v>0.27999999999999997</v>
      </c>
      <c r="E204" s="766"/>
      <c r="F204" s="750"/>
      <c r="G204" s="766"/>
      <c r="H204" s="465"/>
    </row>
    <row r="205" spans="1:8" ht="37.5" customHeight="1">
      <c r="A205" s="770"/>
      <c r="B205" s="747"/>
      <c r="C205" s="768"/>
      <c r="D205" s="473">
        <f>SUM(D203:D204)</f>
        <v>1.2599999999999998</v>
      </c>
      <c r="E205" s="766"/>
      <c r="F205" s="750"/>
      <c r="G205" s="766"/>
      <c r="H205" s="465"/>
    </row>
    <row r="206" spans="1:8" ht="42.75" customHeight="1">
      <c r="A206" s="770">
        <v>9.8000000000000007</v>
      </c>
      <c r="B206" s="747" t="s">
        <v>2205</v>
      </c>
      <c r="C206" s="768" t="s">
        <v>5116</v>
      </c>
      <c r="D206" s="2">
        <v>9.8000000000000007</v>
      </c>
      <c r="E206" s="766">
        <v>59</v>
      </c>
      <c r="F206" s="750" t="s">
        <v>12</v>
      </c>
      <c r="G206" s="766">
        <f t="shared" ref="G206:G214" si="8">E206*A206</f>
        <v>578.20000000000005</v>
      </c>
      <c r="H206" s="465"/>
    </row>
    <row r="207" spans="1:8" ht="47.25">
      <c r="A207" s="770">
        <f>D207</f>
        <v>1.5049999999999999</v>
      </c>
      <c r="B207" s="747" t="s">
        <v>2788</v>
      </c>
      <c r="C207" s="771" t="s">
        <v>5117</v>
      </c>
      <c r="D207" s="2">
        <f>2*1*0.35*2.15</f>
        <v>1.5049999999999999</v>
      </c>
      <c r="E207" s="766">
        <f>[3]Data!AE32</f>
        <v>1131.9000000000001</v>
      </c>
      <c r="F207" s="746" t="s">
        <v>2788</v>
      </c>
      <c r="G207" s="766">
        <f t="shared" si="8"/>
        <v>1703.5095000000001</v>
      </c>
      <c r="H207" s="465"/>
    </row>
    <row r="208" spans="1:8">
      <c r="A208" s="766"/>
      <c r="B208" s="747"/>
      <c r="C208" s="772" t="s">
        <v>4919</v>
      </c>
      <c r="E208" s="766"/>
      <c r="F208" s="746"/>
      <c r="G208" s="766">
        <f t="shared" si="8"/>
        <v>0</v>
      </c>
      <c r="H208" s="465"/>
    </row>
    <row r="209" spans="1:8">
      <c r="A209" s="766">
        <v>8</v>
      </c>
      <c r="B209" s="747" t="s">
        <v>2342</v>
      </c>
      <c r="C209" s="748" t="s">
        <v>5118</v>
      </c>
      <c r="E209" s="766">
        <f>[3]Data!P2663</f>
        <v>79</v>
      </c>
      <c r="F209" s="746" t="s">
        <v>2342</v>
      </c>
      <c r="G209" s="766">
        <f t="shared" si="8"/>
        <v>632</v>
      </c>
      <c r="H209" s="465"/>
    </row>
    <row r="210" spans="1:8">
      <c r="A210" s="766">
        <v>3</v>
      </c>
      <c r="B210" s="747" t="s">
        <v>2342</v>
      </c>
      <c r="C210" s="748" t="s">
        <v>5119</v>
      </c>
      <c r="E210" s="766">
        <f>[3]Data!P2664</f>
        <v>130</v>
      </c>
      <c r="F210" s="746" t="s">
        <v>2342</v>
      </c>
      <c r="G210" s="766">
        <f t="shared" si="8"/>
        <v>390</v>
      </c>
      <c r="H210" s="465"/>
    </row>
    <row r="211" spans="1:8">
      <c r="A211" s="766">
        <v>1</v>
      </c>
      <c r="B211" s="747" t="s">
        <v>2342</v>
      </c>
      <c r="C211" s="748" t="s">
        <v>5120</v>
      </c>
      <c r="E211" s="773">
        <v>320</v>
      </c>
      <c r="F211" s="746" t="s">
        <v>2342</v>
      </c>
      <c r="G211" s="766">
        <f t="shared" si="8"/>
        <v>320</v>
      </c>
      <c r="H211" s="465"/>
    </row>
    <row r="212" spans="1:8">
      <c r="A212" s="766">
        <v>2</v>
      </c>
      <c r="B212" s="747" t="s">
        <v>2342</v>
      </c>
      <c r="C212" s="748" t="s">
        <v>5121</v>
      </c>
      <c r="E212" s="766">
        <v>650</v>
      </c>
      <c r="F212" s="746" t="s">
        <v>2342</v>
      </c>
      <c r="G212" s="766">
        <f t="shared" si="8"/>
        <v>1300</v>
      </c>
      <c r="H212" s="465"/>
    </row>
    <row r="213" spans="1:8">
      <c r="A213" s="766">
        <v>2</v>
      </c>
      <c r="B213" s="747" t="s">
        <v>2342</v>
      </c>
      <c r="C213" s="748" t="s">
        <v>5122</v>
      </c>
      <c r="E213" s="766">
        <v>200</v>
      </c>
      <c r="F213" s="746" t="s">
        <v>2342</v>
      </c>
      <c r="G213" s="766">
        <f t="shared" si="8"/>
        <v>400</v>
      </c>
      <c r="H213" s="465"/>
    </row>
    <row r="214" spans="1:8">
      <c r="A214" s="766">
        <v>2</v>
      </c>
      <c r="B214" s="747" t="s">
        <v>2342</v>
      </c>
      <c r="C214" s="748" t="s">
        <v>5123</v>
      </c>
      <c r="E214" s="766">
        <v>60</v>
      </c>
      <c r="F214" s="746" t="s">
        <v>2342</v>
      </c>
      <c r="G214" s="766">
        <f t="shared" si="8"/>
        <v>120</v>
      </c>
      <c r="H214" s="465"/>
    </row>
    <row r="215" spans="1:8" hidden="1">
      <c r="A215" s="749"/>
      <c r="B215" s="751"/>
      <c r="C215" s="749" t="s">
        <v>5124</v>
      </c>
      <c r="E215" s="746" t="s">
        <v>170</v>
      </c>
      <c r="F215" s="750"/>
      <c r="G215" s="774">
        <v>400</v>
      </c>
      <c r="H215" s="465"/>
    </row>
    <row r="216" spans="1:8">
      <c r="A216" s="749"/>
      <c r="B216" s="751"/>
      <c r="C216" s="749" t="s">
        <v>5125</v>
      </c>
      <c r="E216" s="766"/>
      <c r="F216" s="750" t="s">
        <v>170</v>
      </c>
      <c r="G216" s="775">
        <v>400</v>
      </c>
      <c r="H216" s="465"/>
    </row>
    <row r="217" spans="1:8">
      <c r="A217" s="749"/>
      <c r="B217" s="751"/>
      <c r="E217" s="766"/>
      <c r="F217" s="750"/>
      <c r="G217" s="766"/>
      <c r="H217" s="465"/>
    </row>
    <row r="218" spans="1:8">
      <c r="A218" s="749"/>
      <c r="B218" s="751"/>
      <c r="C218" s="748" t="s">
        <v>5065</v>
      </c>
      <c r="E218" s="766"/>
      <c r="F218" s="750"/>
      <c r="G218" s="753">
        <f>SUM(G194:G217)</f>
        <v>29542.992995000004</v>
      </c>
      <c r="H218" s="465"/>
    </row>
    <row r="219" spans="1:8">
      <c r="A219" s="749"/>
      <c r="B219" s="751"/>
      <c r="C219" s="772" t="s">
        <v>2355</v>
      </c>
      <c r="E219" s="749"/>
      <c r="F219" s="776" t="s">
        <v>5126</v>
      </c>
      <c r="G219" s="777">
        <v>27750</v>
      </c>
      <c r="H219" s="759" t="s">
        <v>2218</v>
      </c>
    </row>
    <row r="220" spans="1:8">
      <c r="G220" s="465"/>
    </row>
    <row r="221" spans="1:8">
      <c r="A221" s="465"/>
      <c r="B221" s="485"/>
      <c r="C221" s="490"/>
      <c r="E221" s="486"/>
    </row>
    <row r="222" spans="1:8">
      <c r="A222" s="465"/>
      <c r="B222" s="485"/>
      <c r="C222" s="490"/>
      <c r="E222" s="486"/>
    </row>
    <row r="223" spans="1:8">
      <c r="A223" s="465"/>
      <c r="B223" s="485"/>
      <c r="C223" s="490"/>
      <c r="E223" s="486"/>
    </row>
    <row r="224" spans="1:8">
      <c r="A224" s="465"/>
      <c r="B224" s="485"/>
      <c r="C224" s="491"/>
      <c r="D224" s="491"/>
      <c r="E224" s="486"/>
    </row>
    <row r="225" spans="1:6" ht="18" customHeight="1">
      <c r="A225" s="465"/>
      <c r="B225" s="489"/>
      <c r="C225" s="490"/>
      <c r="E225" s="486"/>
    </row>
    <row r="226" spans="1:6">
      <c r="A226" s="465"/>
      <c r="B226" s="485"/>
      <c r="C226" s="490"/>
      <c r="E226" s="486"/>
    </row>
    <row r="227" spans="1:6">
      <c r="A227" s="498"/>
      <c r="B227" s="489"/>
      <c r="C227" s="490"/>
      <c r="D227" s="499"/>
      <c r="E227" s="490"/>
      <c r="F227" s="492"/>
    </row>
    <row r="228" spans="1:6">
      <c r="A228" s="498"/>
      <c r="B228" s="489"/>
      <c r="C228" s="490"/>
      <c r="D228" s="499"/>
      <c r="E228" s="490"/>
      <c r="F228" s="492"/>
    </row>
    <row r="229" spans="1:6">
      <c r="A229" s="498"/>
      <c r="B229" s="489"/>
      <c r="C229" s="490"/>
      <c r="D229" s="499"/>
      <c r="E229" s="490"/>
      <c r="F229" s="492"/>
    </row>
    <row r="230" spans="1:6" ht="18" customHeight="1">
      <c r="A230" s="465"/>
      <c r="B230" s="489"/>
      <c r="C230" s="490"/>
      <c r="D230" s="499"/>
      <c r="E230" s="490"/>
      <c r="F230" s="492"/>
    </row>
    <row r="231" spans="1:6">
      <c r="A231" s="465"/>
      <c r="B231" s="485"/>
      <c r="C231" s="490"/>
      <c r="E231" s="486"/>
      <c r="F231" s="491"/>
    </row>
    <row r="232" spans="1:6">
      <c r="A232" s="465"/>
      <c r="B232" s="485"/>
      <c r="C232" s="500"/>
      <c r="E232" s="486"/>
      <c r="F232" s="492"/>
    </row>
    <row r="233" spans="1:6">
      <c r="A233" s="465"/>
      <c r="B233" s="485"/>
      <c r="E233" s="486"/>
      <c r="F233" s="491"/>
    </row>
    <row r="234" spans="1:6">
      <c r="A234" s="465"/>
      <c r="B234" s="485"/>
      <c r="C234" s="500"/>
      <c r="E234" s="486"/>
      <c r="F234" s="492"/>
    </row>
    <row r="235" spans="1:6">
      <c r="A235" s="465"/>
      <c r="B235" s="485"/>
      <c r="C235" s="490"/>
      <c r="D235" s="492"/>
      <c r="E235" s="490"/>
      <c r="F235" s="487"/>
    </row>
    <row r="236" spans="1:6">
      <c r="A236" s="465"/>
      <c r="B236" s="485"/>
      <c r="C236" s="490"/>
      <c r="D236" s="492"/>
      <c r="E236" s="490"/>
      <c r="F236" s="487"/>
    </row>
    <row r="237" spans="1:6">
      <c r="A237" s="465"/>
      <c r="B237" s="485"/>
      <c r="C237" s="490"/>
      <c r="D237" s="492"/>
      <c r="E237" s="490"/>
      <c r="F237" s="487"/>
    </row>
    <row r="238" spans="1:6">
      <c r="A238" s="465"/>
      <c r="B238" s="485"/>
      <c r="C238" s="490"/>
      <c r="D238" s="492"/>
      <c r="E238" s="490"/>
      <c r="F238" s="487"/>
    </row>
    <row r="239" spans="1:6">
      <c r="A239" s="465"/>
      <c r="B239" s="485"/>
      <c r="C239" s="490"/>
      <c r="D239" s="492"/>
      <c r="E239" s="490"/>
      <c r="F239" s="487"/>
    </row>
    <row r="247" spans="1:8" ht="16.5">
      <c r="A247" s="1628" t="s">
        <v>5127</v>
      </c>
      <c r="B247" s="1628"/>
      <c r="C247" s="1628"/>
      <c r="D247" s="1628"/>
      <c r="E247" s="740"/>
      <c r="F247" s="740"/>
      <c r="G247" s="728"/>
    </row>
    <row r="248" spans="1:8" ht="16.5">
      <c r="A248" s="732"/>
      <c r="B248" s="733"/>
      <c r="C248" s="741"/>
      <c r="D248" s="730"/>
      <c r="E248" s="733"/>
      <c r="F248" s="730"/>
      <c r="G248" s="728"/>
    </row>
    <row r="249" spans="1:8" ht="16.5">
      <c r="A249" s="732"/>
      <c r="B249" s="733"/>
      <c r="C249" s="734"/>
      <c r="D249" s="730"/>
      <c r="E249" s="733"/>
      <c r="F249" s="730"/>
      <c r="G249" s="728"/>
    </row>
    <row r="250" spans="1:8" ht="16.5">
      <c r="A250" s="732">
        <v>28.49</v>
      </c>
      <c r="B250" s="733" t="s">
        <v>2837</v>
      </c>
      <c r="C250" s="778" t="s">
        <v>5128</v>
      </c>
      <c r="D250" s="730">
        <v>292</v>
      </c>
      <c r="E250" s="733" t="s">
        <v>2837</v>
      </c>
      <c r="F250" s="730">
        <f>D250*A250</f>
        <v>8319.08</v>
      </c>
      <c r="G250" s="728"/>
    </row>
    <row r="251" spans="1:8" ht="16.5">
      <c r="A251" s="779">
        <v>3.82</v>
      </c>
      <c r="B251" s="733" t="s">
        <v>12</v>
      </c>
      <c r="C251" s="734" t="s">
        <v>5129</v>
      </c>
      <c r="D251" s="730">
        <v>36.299999999999997</v>
      </c>
      <c r="E251" s="733" t="s">
        <v>12</v>
      </c>
      <c r="F251" s="730">
        <v>501.66</v>
      </c>
      <c r="G251" s="728"/>
    </row>
    <row r="252" spans="1:8" ht="16.5">
      <c r="A252" s="732">
        <v>1.52</v>
      </c>
      <c r="B252" s="733" t="s">
        <v>2830</v>
      </c>
      <c r="C252" s="734" t="s">
        <v>5130</v>
      </c>
      <c r="D252" s="730">
        <v>387.2</v>
      </c>
      <c r="E252" s="733" t="s">
        <v>2830</v>
      </c>
      <c r="F252" s="730">
        <f t="shared" ref="F252:F261" si="9">D252*A252</f>
        <v>588.54399999999998</v>
      </c>
      <c r="G252" s="728"/>
    </row>
    <row r="253" spans="1:8" ht="16.5">
      <c r="A253" s="732">
        <v>1.52</v>
      </c>
      <c r="B253" s="733" t="s">
        <v>2830</v>
      </c>
      <c r="C253" s="734" t="s">
        <v>5131</v>
      </c>
      <c r="D253" s="730">
        <v>695</v>
      </c>
      <c r="E253" s="733" t="s">
        <v>2359</v>
      </c>
      <c r="F253" s="730">
        <f t="shared" si="9"/>
        <v>1056.4000000000001</v>
      </c>
      <c r="G253" s="728"/>
    </row>
    <row r="254" spans="1:8" ht="16.5">
      <c r="A254" s="732">
        <v>3</v>
      </c>
      <c r="B254" s="733" t="s">
        <v>564</v>
      </c>
      <c r="C254" s="734" t="s">
        <v>5132</v>
      </c>
      <c r="D254" s="730">
        <v>9</v>
      </c>
      <c r="E254" s="733" t="s">
        <v>564</v>
      </c>
      <c r="F254" s="730">
        <f t="shared" si="9"/>
        <v>27</v>
      </c>
      <c r="G254" s="728"/>
      <c r="H254" s="780"/>
    </row>
    <row r="255" spans="1:8" ht="16.5">
      <c r="A255" s="732">
        <v>4.2</v>
      </c>
      <c r="B255" s="733" t="s">
        <v>556</v>
      </c>
      <c r="C255" s="734" t="s">
        <v>5133</v>
      </c>
      <c r="D255" s="730">
        <v>8.4499999999999993</v>
      </c>
      <c r="E255" s="733" t="s">
        <v>2359</v>
      </c>
      <c r="F255" s="730">
        <f t="shared" si="9"/>
        <v>35.49</v>
      </c>
      <c r="G255" s="728"/>
      <c r="H255" s="780"/>
    </row>
    <row r="256" spans="1:8" ht="16.5">
      <c r="A256" s="732">
        <v>3.15</v>
      </c>
      <c r="B256" s="733" t="s">
        <v>26</v>
      </c>
      <c r="C256" s="734" t="s">
        <v>5064</v>
      </c>
      <c r="D256" s="728">
        <f>F272</f>
        <v>0</v>
      </c>
      <c r="E256" s="733" t="s">
        <v>26</v>
      </c>
      <c r="F256" s="730">
        <f t="shared" si="9"/>
        <v>0</v>
      </c>
      <c r="G256" s="728"/>
      <c r="H256" s="780"/>
    </row>
    <row r="257" spans="1:8" ht="16.5">
      <c r="A257" s="473">
        <v>1</v>
      </c>
      <c r="B257" s="727" t="s">
        <v>3918</v>
      </c>
      <c r="C257" s="473" t="s">
        <v>5134</v>
      </c>
      <c r="D257" s="473">
        <v>44.4</v>
      </c>
      <c r="E257" s="496" t="s">
        <v>556</v>
      </c>
      <c r="F257" s="473">
        <f t="shared" si="9"/>
        <v>44.4</v>
      </c>
      <c r="G257" s="728"/>
      <c r="H257" s="780"/>
    </row>
    <row r="258" spans="1:8" ht="16.5">
      <c r="A258" s="473">
        <v>1</v>
      </c>
      <c r="B258" s="727" t="s">
        <v>3918</v>
      </c>
      <c r="C258" s="473" t="s">
        <v>5135</v>
      </c>
      <c r="D258" s="473">
        <v>867.3</v>
      </c>
      <c r="E258" s="496" t="s">
        <v>556</v>
      </c>
      <c r="F258" s="473">
        <f t="shared" si="9"/>
        <v>867.3</v>
      </c>
      <c r="G258" s="728"/>
      <c r="H258" s="780"/>
    </row>
    <row r="259" spans="1:8" ht="18">
      <c r="A259" s="781">
        <v>45</v>
      </c>
      <c r="B259" s="782" t="s">
        <v>3918</v>
      </c>
      <c r="C259" s="781" t="s">
        <v>5136</v>
      </c>
      <c r="D259" s="783">
        <v>1.65</v>
      </c>
      <c r="E259" s="784" t="s">
        <v>5</v>
      </c>
      <c r="F259" s="730">
        <f t="shared" si="9"/>
        <v>74.25</v>
      </c>
      <c r="G259" s="728"/>
      <c r="H259" s="780"/>
    </row>
    <row r="260" spans="1:8" ht="18">
      <c r="A260" s="781">
        <v>2</v>
      </c>
      <c r="B260" s="782" t="s">
        <v>3918</v>
      </c>
      <c r="C260" s="781" t="s">
        <v>5137</v>
      </c>
      <c r="D260" s="783">
        <v>76.2</v>
      </c>
      <c r="E260" s="496" t="s">
        <v>556</v>
      </c>
      <c r="F260" s="730">
        <f t="shared" si="9"/>
        <v>152.4</v>
      </c>
      <c r="G260" s="728"/>
      <c r="H260" s="780"/>
    </row>
    <row r="261" spans="1:8" ht="18">
      <c r="A261" s="781">
        <v>2</v>
      </c>
      <c r="B261" s="782" t="s">
        <v>3918</v>
      </c>
      <c r="C261" s="781" t="s">
        <v>5138</v>
      </c>
      <c r="D261" s="783">
        <v>50.6</v>
      </c>
      <c r="E261" s="496" t="s">
        <v>556</v>
      </c>
      <c r="F261" s="730">
        <f t="shared" si="9"/>
        <v>101.2</v>
      </c>
      <c r="G261" s="728"/>
      <c r="H261" s="780"/>
    </row>
    <row r="262" spans="1:8" ht="16.5">
      <c r="F262" s="465"/>
      <c r="G262" s="728"/>
      <c r="H262" s="780"/>
    </row>
    <row r="263" spans="1:8" ht="16.5">
      <c r="A263" s="732"/>
      <c r="B263" s="733"/>
      <c r="C263" s="734"/>
      <c r="D263" s="728"/>
      <c r="E263" s="729"/>
      <c r="F263" s="730"/>
      <c r="G263" s="728"/>
      <c r="H263" s="780"/>
    </row>
    <row r="264" spans="1:8" ht="16.5">
      <c r="A264" s="732"/>
      <c r="B264" s="733"/>
      <c r="C264" s="490" t="s">
        <v>5139</v>
      </c>
      <c r="E264" s="733"/>
      <c r="F264" s="730">
        <f>SUM(F250:F263)</f>
        <v>11767.723999999998</v>
      </c>
      <c r="G264" s="728"/>
      <c r="H264" s="780"/>
    </row>
    <row r="265" spans="1:8" ht="16.5">
      <c r="A265" s="732"/>
      <c r="B265" s="733"/>
      <c r="C265" s="490" t="s">
        <v>2355</v>
      </c>
      <c r="E265" s="740"/>
      <c r="F265" s="737">
        <f>F264/3.15</f>
        <v>3735.7853968253962</v>
      </c>
      <c r="G265" s="738" t="s">
        <v>556</v>
      </c>
      <c r="H265" s="780"/>
    </row>
    <row r="266" spans="1:8" ht="16.5">
      <c r="A266" s="728"/>
      <c r="B266" s="728"/>
      <c r="C266" s="742"/>
      <c r="D266" s="728"/>
      <c r="E266" s="728"/>
      <c r="F266" s="728"/>
      <c r="G266" s="728"/>
      <c r="H266" s="780"/>
    </row>
    <row r="267" spans="1:8" ht="16.5">
      <c r="A267" s="730">
        <v>1</v>
      </c>
      <c r="B267" s="733" t="s">
        <v>2342</v>
      </c>
      <c r="C267" s="734" t="s">
        <v>5071</v>
      </c>
      <c r="D267" s="730">
        <f>E218</f>
        <v>0</v>
      </c>
      <c r="E267" s="734" t="s">
        <v>2342</v>
      </c>
      <c r="F267" s="730">
        <f>D267*A267</f>
        <v>0</v>
      </c>
      <c r="G267" s="728"/>
      <c r="H267" s="780"/>
    </row>
    <row r="268" spans="1:8" ht="16.5">
      <c r="A268" s="730">
        <v>1</v>
      </c>
      <c r="B268" s="733" t="s">
        <v>2342</v>
      </c>
      <c r="C268" s="734" t="s">
        <v>5072</v>
      </c>
      <c r="D268" s="730">
        <f>E219</f>
        <v>0</v>
      </c>
      <c r="E268" s="734" t="s">
        <v>2342</v>
      </c>
      <c r="F268" s="730">
        <f>D268*A268</f>
        <v>0</v>
      </c>
      <c r="G268" s="728"/>
      <c r="H268" s="780"/>
    </row>
    <row r="269" spans="1:8" ht="16.5">
      <c r="A269" s="730">
        <v>0.5</v>
      </c>
      <c r="B269" s="733" t="s">
        <v>2342</v>
      </c>
      <c r="C269" s="734" t="s">
        <v>5073</v>
      </c>
      <c r="D269" s="730">
        <f>D220</f>
        <v>0</v>
      </c>
      <c r="E269" s="734" t="s">
        <v>2342</v>
      </c>
      <c r="F269" s="730">
        <f>D269*A269</f>
        <v>0</v>
      </c>
      <c r="G269" s="728"/>
      <c r="H269" s="780"/>
    </row>
    <row r="270" spans="1:8" ht="16.5">
      <c r="A270" s="728"/>
      <c r="B270" s="733" t="s">
        <v>2346</v>
      </c>
      <c r="C270" s="734"/>
      <c r="D270" s="730"/>
      <c r="E270" s="734" t="s">
        <v>2346</v>
      </c>
      <c r="F270" s="730"/>
      <c r="G270" s="728"/>
      <c r="H270" s="780"/>
    </row>
    <row r="271" spans="1:8" ht="16.5">
      <c r="A271" s="728"/>
      <c r="B271" s="735"/>
      <c r="C271" s="728"/>
      <c r="D271" s="728"/>
      <c r="E271" s="743"/>
      <c r="F271" s="744" t="s">
        <v>442</v>
      </c>
      <c r="G271" s="728"/>
      <c r="H271" s="780"/>
    </row>
    <row r="272" spans="1:8" ht="16.5">
      <c r="A272" s="728"/>
      <c r="B272" s="735"/>
      <c r="C272" s="734" t="s">
        <v>5074</v>
      </c>
      <c r="D272" s="728"/>
      <c r="E272" s="743"/>
      <c r="F272" s="737">
        <f>SUM(F267:F271)</f>
        <v>0</v>
      </c>
      <c r="G272" s="728"/>
      <c r="H272" s="780"/>
    </row>
    <row r="273" spans="1:8" ht="16.5">
      <c r="A273" s="728"/>
      <c r="B273" s="735"/>
      <c r="C273" s="728"/>
      <c r="D273" s="728"/>
      <c r="E273" s="743"/>
      <c r="F273" s="744" t="s">
        <v>442</v>
      </c>
      <c r="G273" s="728"/>
      <c r="H273" s="780"/>
    </row>
    <row r="274" spans="1:8">
      <c r="H274" s="780"/>
    </row>
    <row r="275" spans="1:8">
      <c r="H275" s="780"/>
    </row>
    <row r="276" spans="1:8">
      <c r="A276" s="780"/>
      <c r="B276" s="780"/>
      <c r="C276" s="780" t="s">
        <v>5140</v>
      </c>
      <c r="D276" s="780"/>
      <c r="E276" s="780"/>
      <c r="F276" s="780"/>
      <c r="H276" s="780"/>
    </row>
    <row r="277" spans="1:8" ht="16.5">
      <c r="A277" s="1628" t="s">
        <v>5141</v>
      </c>
      <c r="B277" s="1628"/>
      <c r="C277" s="1628"/>
      <c r="D277" s="1628"/>
      <c r="E277" s="740"/>
      <c r="F277" s="740"/>
      <c r="H277" s="780"/>
    </row>
    <row r="278" spans="1:8" ht="16.5">
      <c r="A278" s="732"/>
      <c r="B278" s="733"/>
      <c r="C278" s="741"/>
      <c r="D278" s="730"/>
      <c r="E278" s="733"/>
      <c r="F278" s="730"/>
      <c r="H278" s="780"/>
    </row>
    <row r="279" spans="1:8" ht="16.5">
      <c r="A279" s="732"/>
      <c r="B279" s="733"/>
      <c r="C279" s="734"/>
      <c r="D279" s="730"/>
      <c r="E279" s="733"/>
      <c r="F279" s="730"/>
    </row>
    <row r="280" spans="1:8" ht="16.5">
      <c r="A280" s="732">
        <v>29.06</v>
      </c>
      <c r="B280" s="733" t="s">
        <v>2837</v>
      </c>
      <c r="C280" s="778" t="s">
        <v>5142</v>
      </c>
      <c r="D280" s="730">
        <v>321</v>
      </c>
      <c r="E280" s="733" t="s">
        <v>2837</v>
      </c>
      <c r="F280" s="730">
        <f>D280*A280</f>
        <v>9328.26</v>
      </c>
    </row>
    <row r="281" spans="1:8" ht="16.5">
      <c r="A281" s="779">
        <v>9.24</v>
      </c>
      <c r="B281" s="733" t="s">
        <v>12</v>
      </c>
      <c r="C281" s="734" t="s">
        <v>5129</v>
      </c>
      <c r="D281" s="730">
        <v>38.799999999999997</v>
      </c>
      <c r="E281" s="733" t="s">
        <v>12</v>
      </c>
      <c r="F281" s="730">
        <f t="shared" ref="F281:F291" si="10">D281*A281</f>
        <v>358.512</v>
      </c>
    </row>
    <row r="282" spans="1:8" ht="16.5">
      <c r="A282" s="732">
        <v>1.49</v>
      </c>
      <c r="B282" s="733" t="s">
        <v>2830</v>
      </c>
      <c r="C282" s="734" t="s">
        <v>5130</v>
      </c>
      <c r="D282" s="730">
        <v>394</v>
      </c>
      <c r="E282" s="733" t="s">
        <v>2830</v>
      </c>
      <c r="F282" s="730">
        <f t="shared" si="10"/>
        <v>587.05999999999995</v>
      </c>
    </row>
    <row r="283" spans="1:8" ht="16.5">
      <c r="A283" s="732">
        <v>0.75</v>
      </c>
      <c r="B283" s="733" t="s">
        <v>2830</v>
      </c>
      <c r="C283" s="734" t="s">
        <v>5131</v>
      </c>
      <c r="D283" s="730">
        <v>695</v>
      </c>
      <c r="E283" s="733" t="s">
        <v>2359</v>
      </c>
      <c r="F283" s="730">
        <f t="shared" si="10"/>
        <v>521.25</v>
      </c>
    </row>
    <row r="284" spans="1:8" ht="16.5">
      <c r="A284" s="732">
        <v>2</v>
      </c>
      <c r="B284" s="733" t="s">
        <v>564</v>
      </c>
      <c r="C284" s="734" t="s">
        <v>5132</v>
      </c>
      <c r="D284" s="730">
        <v>9</v>
      </c>
      <c r="E284" s="733" t="s">
        <v>564</v>
      </c>
      <c r="F284" s="730">
        <f t="shared" si="10"/>
        <v>18</v>
      </c>
    </row>
    <row r="285" spans="1:8" ht="16.5">
      <c r="A285" s="732">
        <v>7.08</v>
      </c>
      <c r="B285" s="733" t="s">
        <v>556</v>
      </c>
      <c r="C285" s="734" t="s">
        <v>5133</v>
      </c>
      <c r="D285" s="730">
        <v>8.6</v>
      </c>
      <c r="E285" s="733" t="s">
        <v>2359</v>
      </c>
      <c r="F285" s="730">
        <f t="shared" si="10"/>
        <v>60.887999999999998</v>
      </c>
    </row>
    <row r="286" spans="1:8" ht="16.5">
      <c r="A286" s="732">
        <v>2.1</v>
      </c>
      <c r="B286" s="733" t="s">
        <v>26</v>
      </c>
      <c r="C286" s="734" t="s">
        <v>5064</v>
      </c>
      <c r="D286" s="728">
        <f>D263</f>
        <v>0</v>
      </c>
      <c r="E286" s="733" t="s">
        <v>26</v>
      </c>
      <c r="F286" s="730">
        <f t="shared" si="10"/>
        <v>0</v>
      </c>
    </row>
    <row r="287" spans="1:8" ht="16.5">
      <c r="A287" s="785">
        <v>1</v>
      </c>
      <c r="B287" s="786" t="s">
        <v>3918</v>
      </c>
      <c r="C287" s="785" t="s">
        <v>5134</v>
      </c>
      <c r="D287" s="785">
        <v>48.9</v>
      </c>
      <c r="E287" s="787" t="s">
        <v>556</v>
      </c>
      <c r="F287" s="730">
        <f t="shared" si="10"/>
        <v>48.9</v>
      </c>
    </row>
    <row r="288" spans="1:8" ht="16.5">
      <c r="A288" s="785">
        <v>1</v>
      </c>
      <c r="B288" s="786" t="s">
        <v>3918</v>
      </c>
      <c r="C288" s="785" t="s">
        <v>5135</v>
      </c>
      <c r="D288" s="785">
        <v>884</v>
      </c>
      <c r="E288" s="787" t="s">
        <v>556</v>
      </c>
      <c r="F288" s="730">
        <f t="shared" si="10"/>
        <v>884</v>
      </c>
    </row>
    <row r="289" spans="1:7" ht="18">
      <c r="A289" s="781">
        <v>6</v>
      </c>
      <c r="B289" s="782" t="s">
        <v>3918</v>
      </c>
      <c r="C289" s="781" t="s">
        <v>5143</v>
      </c>
      <c r="D289" s="783">
        <f>D260</f>
        <v>76.2</v>
      </c>
      <c r="E289" s="784" t="s">
        <v>5</v>
      </c>
      <c r="F289" s="730">
        <f t="shared" si="10"/>
        <v>457.20000000000005</v>
      </c>
    </row>
    <row r="290" spans="1:7" ht="18">
      <c r="A290" s="781">
        <v>2</v>
      </c>
      <c r="B290" s="782" t="s">
        <v>3918</v>
      </c>
      <c r="C290" s="781" t="s">
        <v>5137</v>
      </c>
      <c r="D290" s="783">
        <v>108.7</v>
      </c>
      <c r="E290" s="787" t="s">
        <v>556</v>
      </c>
      <c r="F290" s="730">
        <f t="shared" si="10"/>
        <v>217.4</v>
      </c>
    </row>
    <row r="291" spans="1:7" ht="18">
      <c r="A291" s="781">
        <v>2</v>
      </c>
      <c r="B291" s="782" t="s">
        <v>3918</v>
      </c>
      <c r="C291" s="781" t="s">
        <v>5138</v>
      </c>
      <c r="D291" s="783">
        <v>54.1</v>
      </c>
      <c r="E291" s="787" t="s">
        <v>556</v>
      </c>
      <c r="F291" s="730">
        <f t="shared" si="10"/>
        <v>108.2</v>
      </c>
    </row>
    <row r="292" spans="1:7">
      <c r="A292" s="788"/>
      <c r="B292" s="788"/>
      <c r="C292" s="788"/>
      <c r="D292" s="788"/>
      <c r="E292" s="788"/>
      <c r="F292" s="465">
        <f>SUM(F280:F291)</f>
        <v>12589.670000000002</v>
      </c>
    </row>
    <row r="293" spans="1:7" ht="16.5">
      <c r="A293" s="780"/>
      <c r="B293" s="780"/>
      <c r="C293" s="780"/>
      <c r="D293" s="780"/>
      <c r="E293" s="780"/>
      <c r="F293" s="730">
        <f>F292/A286</f>
        <v>5995.080952380953</v>
      </c>
    </row>
    <row r="294" spans="1:7">
      <c r="A294" s="780"/>
      <c r="B294" s="780"/>
      <c r="C294" s="780"/>
      <c r="D294" s="780"/>
      <c r="E294" s="780"/>
      <c r="F294" s="780"/>
    </row>
    <row r="297" spans="1:7" ht="19.5">
      <c r="A297" s="789"/>
      <c r="B297" s="790"/>
      <c r="C297" s="791" t="s">
        <v>5144</v>
      </c>
      <c r="D297" s="792"/>
      <c r="E297" s="793"/>
      <c r="F297" s="792"/>
      <c r="G297" s="794"/>
    </row>
    <row r="298" spans="1:7" ht="18.75">
      <c r="A298" s="795">
        <v>3.488</v>
      </c>
      <c r="B298" s="796" t="s">
        <v>2837</v>
      </c>
      <c r="C298" s="797" t="s">
        <v>5145</v>
      </c>
      <c r="D298" s="798">
        <f>D132</f>
        <v>287</v>
      </c>
      <c r="E298" s="796" t="s">
        <v>2837</v>
      </c>
      <c r="F298" s="798">
        <f t="shared" ref="F298:F307" si="11">D298*A298</f>
        <v>1001.056</v>
      </c>
      <c r="G298" s="794"/>
    </row>
    <row r="299" spans="1:7" ht="18.75">
      <c r="A299" s="795">
        <v>4.38</v>
      </c>
      <c r="B299" s="796" t="s">
        <v>2837</v>
      </c>
      <c r="C299" s="797" t="s">
        <v>5146</v>
      </c>
      <c r="D299" s="798">
        <f>D133</f>
        <v>287</v>
      </c>
      <c r="E299" s="796" t="s">
        <v>2837</v>
      </c>
      <c r="F299" s="798">
        <f t="shared" si="11"/>
        <v>1257.06</v>
      </c>
      <c r="G299" s="794"/>
    </row>
    <row r="300" spans="1:7" ht="18.75">
      <c r="A300" s="795">
        <v>1.18</v>
      </c>
      <c r="B300" s="796" t="s">
        <v>2837</v>
      </c>
      <c r="C300" s="797" t="s">
        <v>5147</v>
      </c>
      <c r="D300" s="798">
        <f>D134</f>
        <v>287</v>
      </c>
      <c r="E300" s="796" t="s">
        <v>2837</v>
      </c>
      <c r="F300" s="798">
        <f t="shared" si="11"/>
        <v>338.65999999999997</v>
      </c>
      <c r="G300" s="794"/>
    </row>
    <row r="301" spans="1:7" ht="18.75">
      <c r="A301" s="795">
        <v>0.82</v>
      </c>
      <c r="B301" s="796" t="s">
        <v>2837</v>
      </c>
      <c r="C301" s="797" t="s">
        <v>5148</v>
      </c>
      <c r="D301" s="798">
        <f>D135</f>
        <v>287</v>
      </c>
      <c r="E301" s="796" t="s">
        <v>2837</v>
      </c>
      <c r="F301" s="798">
        <f t="shared" si="11"/>
        <v>235.33999999999997</v>
      </c>
      <c r="G301" s="794"/>
    </row>
    <row r="302" spans="1:7" ht="18.75">
      <c r="A302" s="795">
        <v>1.26</v>
      </c>
      <c r="B302" s="796" t="s">
        <v>2830</v>
      </c>
      <c r="C302" s="797" t="s">
        <v>5088</v>
      </c>
      <c r="D302" s="798">
        <f t="shared" ref="D302:D307" si="12">D136</f>
        <v>208.8</v>
      </c>
      <c r="E302" s="796" t="s">
        <v>2830</v>
      </c>
      <c r="F302" s="798">
        <f t="shared" si="11"/>
        <v>263.08800000000002</v>
      </c>
      <c r="G302" s="794"/>
    </row>
    <row r="303" spans="1:7" ht="18.75">
      <c r="A303" s="795">
        <v>6.6</v>
      </c>
      <c r="B303" s="796" t="s">
        <v>12</v>
      </c>
      <c r="C303" s="797" t="s">
        <v>5059</v>
      </c>
      <c r="D303" s="798">
        <f t="shared" si="12"/>
        <v>28.6</v>
      </c>
      <c r="E303" s="796" t="s">
        <v>12</v>
      </c>
      <c r="F303" s="798">
        <f t="shared" si="11"/>
        <v>188.76</v>
      </c>
      <c r="G303" s="794"/>
    </row>
    <row r="304" spans="1:7" ht="18.75">
      <c r="A304" s="795">
        <v>2</v>
      </c>
      <c r="B304" s="796" t="s">
        <v>2359</v>
      </c>
      <c r="C304" s="797" t="s">
        <v>5149</v>
      </c>
      <c r="D304" s="798">
        <f t="shared" si="12"/>
        <v>350</v>
      </c>
      <c r="E304" s="796" t="s">
        <v>5150</v>
      </c>
      <c r="F304" s="798">
        <f t="shared" si="11"/>
        <v>700</v>
      </c>
      <c r="G304" s="794"/>
    </row>
    <row r="305" spans="1:8" ht="18.75">
      <c r="A305" s="795">
        <v>2</v>
      </c>
      <c r="B305" s="796" t="s">
        <v>2359</v>
      </c>
      <c r="C305" s="797" t="s">
        <v>5090</v>
      </c>
      <c r="D305" s="798">
        <f t="shared" si="12"/>
        <v>48</v>
      </c>
      <c r="E305" s="796" t="s">
        <v>2359</v>
      </c>
      <c r="F305" s="798">
        <f t="shared" si="11"/>
        <v>96</v>
      </c>
      <c r="G305" s="794"/>
    </row>
    <row r="306" spans="1:8" ht="18.75">
      <c r="A306" s="795">
        <v>4</v>
      </c>
      <c r="B306" s="796" t="s">
        <v>2359</v>
      </c>
      <c r="C306" s="797" t="s">
        <v>5151</v>
      </c>
      <c r="D306" s="798">
        <f t="shared" si="12"/>
        <v>15</v>
      </c>
      <c r="E306" s="796" t="s">
        <v>2359</v>
      </c>
      <c r="F306" s="798">
        <f t="shared" si="11"/>
        <v>60</v>
      </c>
      <c r="G306" s="794"/>
    </row>
    <row r="307" spans="1:8" ht="18.75">
      <c r="A307" s="795">
        <v>1.26</v>
      </c>
      <c r="B307" s="796" t="s">
        <v>26</v>
      </c>
      <c r="C307" s="797" t="s">
        <v>5092</v>
      </c>
      <c r="D307" s="798">
        <f t="shared" si="12"/>
        <v>1617.0000000000002</v>
      </c>
      <c r="E307" s="796" t="s">
        <v>26</v>
      </c>
      <c r="F307" s="798">
        <f t="shared" si="11"/>
        <v>2037.4200000000003</v>
      </c>
      <c r="G307" s="794"/>
    </row>
    <row r="308" spans="1:8" ht="18.75">
      <c r="A308" s="789"/>
      <c r="B308" s="790"/>
      <c r="C308" s="797" t="s">
        <v>5093</v>
      </c>
      <c r="D308" s="792"/>
      <c r="E308" s="799"/>
      <c r="F308" s="798">
        <v>9.4</v>
      </c>
      <c r="G308" s="794"/>
    </row>
    <row r="309" spans="1:8" ht="19.5">
      <c r="A309" s="789"/>
      <c r="B309" s="792"/>
      <c r="C309" s="800" t="s">
        <v>5152</v>
      </c>
      <c r="D309" s="792"/>
      <c r="E309" s="792"/>
      <c r="F309" s="801">
        <f>SUM(F298:F308)</f>
        <v>6186.7839999999997</v>
      </c>
      <c r="G309" s="794" t="s">
        <v>556</v>
      </c>
    </row>
    <row r="310" spans="1:8">
      <c r="F310" s="473">
        <f>F309/1.26</f>
        <v>4910.1460317460314</v>
      </c>
      <c r="G310" s="2" t="s">
        <v>26</v>
      </c>
    </row>
    <row r="315" spans="1:8">
      <c r="A315" s="1626" t="s">
        <v>5153</v>
      </c>
      <c r="B315" s="1626"/>
      <c r="C315" s="1626"/>
      <c r="D315" s="1626"/>
      <c r="E315" s="1626"/>
      <c r="F315" s="1626"/>
      <c r="G315" s="1626"/>
      <c r="H315" s="1626"/>
    </row>
    <row r="316" spans="1:8">
      <c r="A316" s="1626" t="s">
        <v>5154</v>
      </c>
      <c r="B316" s="1626"/>
      <c r="C316" s="1626"/>
      <c r="D316" s="1626"/>
      <c r="E316" s="1626"/>
      <c r="F316" s="1626"/>
      <c r="G316" s="1626"/>
      <c r="H316" s="1626"/>
    </row>
    <row r="317" spans="1:8">
      <c r="A317" s="780"/>
      <c r="B317" s="780" t="s">
        <v>5155</v>
      </c>
      <c r="C317" s="780" t="s">
        <v>5156</v>
      </c>
      <c r="D317" s="780"/>
      <c r="E317" s="780"/>
      <c r="F317" s="780"/>
      <c r="G317" s="780"/>
      <c r="H317" s="780"/>
    </row>
    <row r="318" spans="1:8">
      <c r="A318" s="780"/>
      <c r="B318" s="780"/>
      <c r="C318" s="780" t="s">
        <v>5157</v>
      </c>
      <c r="D318" s="780" t="s">
        <v>29</v>
      </c>
      <c r="E318" s="780" t="s">
        <v>5158</v>
      </c>
      <c r="F318" s="780" t="s">
        <v>29</v>
      </c>
      <c r="G318" s="802">
        <f>1*1.2*1.558</f>
        <v>1.8695999999999999</v>
      </c>
      <c r="H318" s="780" t="s">
        <v>40</v>
      </c>
    </row>
    <row r="319" spans="1:8">
      <c r="A319" s="780"/>
      <c r="B319" s="780" t="s">
        <v>5159</v>
      </c>
      <c r="C319" s="780" t="s">
        <v>5160</v>
      </c>
      <c r="D319" s="780"/>
      <c r="E319" s="780"/>
      <c r="F319" s="780"/>
      <c r="G319" s="780"/>
      <c r="H319" s="780"/>
    </row>
    <row r="320" spans="1:8">
      <c r="A320" s="780"/>
      <c r="B320" s="780"/>
      <c r="C320" s="780" t="s">
        <v>5161</v>
      </c>
      <c r="D320" s="780" t="s">
        <v>29</v>
      </c>
      <c r="E320" s="780" t="s">
        <v>5162</v>
      </c>
      <c r="F320" s="780" t="s">
        <v>29</v>
      </c>
      <c r="G320" s="802">
        <f>1*2*1.35*0.695</f>
        <v>1.8765000000000001</v>
      </c>
      <c r="H320" s="780" t="s">
        <v>40</v>
      </c>
    </row>
    <row r="321" spans="1:8">
      <c r="A321" s="780"/>
      <c r="B321" s="780" t="s">
        <v>5163</v>
      </c>
      <c r="C321" s="780" t="s">
        <v>5164</v>
      </c>
      <c r="D321" s="780"/>
      <c r="E321" s="780"/>
      <c r="F321" s="780"/>
      <c r="G321" s="802"/>
      <c r="H321" s="780"/>
    </row>
    <row r="322" spans="1:8">
      <c r="A322" s="780"/>
      <c r="B322" s="780"/>
      <c r="C322" s="780" t="s">
        <v>5165</v>
      </c>
      <c r="D322" s="780" t="s">
        <v>29</v>
      </c>
      <c r="E322" s="780" t="s">
        <v>5166</v>
      </c>
      <c r="F322" s="780" t="s">
        <v>29</v>
      </c>
      <c r="G322" s="802">
        <f>1*1*1.2*1.088</f>
        <v>1.3056000000000001</v>
      </c>
      <c r="H322" s="780" t="s">
        <v>40</v>
      </c>
    </row>
    <row r="323" spans="1:8">
      <c r="A323" s="780"/>
      <c r="B323" s="780" t="s">
        <v>5167</v>
      </c>
      <c r="C323" s="780" t="s">
        <v>5168</v>
      </c>
      <c r="D323" s="780"/>
      <c r="E323" s="780"/>
      <c r="F323" s="780"/>
      <c r="G323" s="802"/>
      <c r="H323" s="780"/>
    </row>
    <row r="324" spans="1:8">
      <c r="A324" s="780"/>
      <c r="B324" s="780"/>
      <c r="C324" s="780" t="s">
        <v>5169</v>
      </c>
      <c r="D324" s="780" t="s">
        <v>29</v>
      </c>
      <c r="E324" s="780" t="s">
        <v>5170</v>
      </c>
      <c r="F324" s="780" t="s">
        <v>29</v>
      </c>
      <c r="G324" s="802">
        <f>1*2*1.25*0.605</f>
        <v>1.5125</v>
      </c>
      <c r="H324" s="780" t="s">
        <v>40</v>
      </c>
    </row>
    <row r="325" spans="1:8">
      <c r="A325" s="780"/>
      <c r="B325" s="780" t="s">
        <v>5171</v>
      </c>
      <c r="C325" s="780" t="s">
        <v>5172</v>
      </c>
      <c r="D325" s="780"/>
      <c r="E325" s="780"/>
      <c r="F325" s="780"/>
      <c r="G325" s="802"/>
      <c r="H325" s="780"/>
    </row>
    <row r="326" spans="1:8">
      <c r="A326" s="780"/>
      <c r="B326" s="780"/>
      <c r="C326" s="780" t="s">
        <v>5173</v>
      </c>
      <c r="D326" s="780" t="s">
        <v>29</v>
      </c>
      <c r="E326" s="780" t="s">
        <v>5174</v>
      </c>
      <c r="F326" s="780" t="s">
        <v>29</v>
      </c>
      <c r="G326" s="802">
        <f>1*2*1.25*0.488</f>
        <v>1.22</v>
      </c>
      <c r="H326" s="780" t="s">
        <v>40</v>
      </c>
    </row>
    <row r="327" spans="1:8">
      <c r="A327" s="780"/>
      <c r="B327" s="780" t="s">
        <v>5171</v>
      </c>
      <c r="C327" s="780" t="s">
        <v>5175</v>
      </c>
      <c r="D327" s="780"/>
      <c r="E327" s="780"/>
      <c r="F327" s="780"/>
      <c r="G327" s="802"/>
      <c r="H327" s="780"/>
    </row>
    <row r="328" spans="1:8">
      <c r="A328" s="780"/>
      <c r="B328" s="780"/>
      <c r="C328" s="780" t="s">
        <v>5176</v>
      </c>
      <c r="D328" s="780" t="s">
        <v>29</v>
      </c>
      <c r="E328" s="780" t="s">
        <v>5177</v>
      </c>
      <c r="F328" s="780" t="s">
        <v>29</v>
      </c>
      <c r="G328" s="802">
        <f>2*2*0.55*0.355</f>
        <v>0.78100000000000003</v>
      </c>
      <c r="H328" s="780" t="s">
        <v>40</v>
      </c>
    </row>
    <row r="329" spans="1:8">
      <c r="A329" s="780"/>
      <c r="B329" s="780"/>
      <c r="C329" s="780"/>
      <c r="D329" s="780"/>
      <c r="E329" s="780"/>
      <c r="F329" s="780"/>
      <c r="G329" s="802">
        <f>SUM(G318:G328)</f>
        <v>8.5652000000000008</v>
      </c>
      <c r="H329" s="780" t="s">
        <v>40</v>
      </c>
    </row>
    <row r="330" spans="1:8">
      <c r="A330" s="780"/>
      <c r="B330" s="780"/>
      <c r="C330" s="780"/>
      <c r="D330" s="780"/>
      <c r="E330" s="780" t="s">
        <v>5178</v>
      </c>
      <c r="F330" s="780" t="s">
        <v>29</v>
      </c>
      <c r="G330" s="802">
        <f>G329*10%</f>
        <v>0.85652000000000017</v>
      </c>
      <c r="H330" s="780" t="s">
        <v>40</v>
      </c>
    </row>
    <row r="331" spans="1:8">
      <c r="A331" s="780"/>
      <c r="B331" s="780"/>
      <c r="C331" s="780"/>
      <c r="D331" s="780"/>
      <c r="E331" s="780"/>
      <c r="F331" s="780"/>
      <c r="G331" s="803">
        <f>SUM(G329:G330)</f>
        <v>9.4217200000000005</v>
      </c>
      <c r="H331" s="780" t="s">
        <v>40</v>
      </c>
    </row>
    <row r="332" spans="1:8">
      <c r="A332" s="780"/>
      <c r="B332" s="780"/>
      <c r="C332" s="780"/>
      <c r="D332" s="780"/>
      <c r="E332" s="780"/>
      <c r="F332" s="780"/>
      <c r="G332" s="780"/>
      <c r="H332" s="780"/>
    </row>
    <row r="333" spans="1:8">
      <c r="A333" s="780"/>
      <c r="B333" s="804" t="s">
        <v>5179</v>
      </c>
      <c r="C333" s="780" t="s">
        <v>5180</v>
      </c>
      <c r="D333" s="780"/>
      <c r="E333" s="780"/>
      <c r="F333" s="780"/>
      <c r="G333" s="780"/>
      <c r="H333" s="780"/>
    </row>
    <row r="334" spans="1:8" ht="17.25">
      <c r="A334" s="780"/>
      <c r="B334" s="780"/>
      <c r="C334" s="780" t="s">
        <v>5181</v>
      </c>
      <c r="D334" s="780" t="s">
        <v>29</v>
      </c>
      <c r="E334" s="780" t="s">
        <v>5182</v>
      </c>
      <c r="F334" s="780" t="s">
        <v>29</v>
      </c>
      <c r="G334" s="780">
        <f>1*2*0.55*1.25</f>
        <v>1.375</v>
      </c>
      <c r="H334" s="780" t="s">
        <v>5183</v>
      </c>
    </row>
    <row r="335" spans="1:8">
      <c r="A335" s="780"/>
      <c r="B335" s="780"/>
      <c r="C335" s="780"/>
      <c r="D335" s="780"/>
      <c r="E335" s="780"/>
      <c r="F335" s="780"/>
      <c r="G335" s="780"/>
      <c r="H335" s="780"/>
    </row>
    <row r="336" spans="1:8">
      <c r="A336" s="780"/>
      <c r="B336" s="804" t="s">
        <v>5184</v>
      </c>
      <c r="C336" s="780" t="s">
        <v>5059</v>
      </c>
      <c r="D336" s="780" t="s">
        <v>29</v>
      </c>
      <c r="E336" s="780" t="s">
        <v>5185</v>
      </c>
      <c r="F336" s="780" t="s">
        <v>29</v>
      </c>
      <c r="G336" s="780">
        <f>1*2*2*3.6</f>
        <v>14.4</v>
      </c>
      <c r="H336" s="780" t="s">
        <v>12</v>
      </c>
    </row>
    <row r="337" spans="1:8">
      <c r="A337" s="780"/>
      <c r="B337" s="780"/>
      <c r="C337" s="780"/>
      <c r="D337" s="780"/>
      <c r="E337" s="780"/>
      <c r="F337" s="780"/>
      <c r="G337" s="780"/>
      <c r="H337" s="780"/>
    </row>
    <row r="338" spans="1:8" ht="17.25">
      <c r="A338" s="780"/>
      <c r="B338" s="804" t="s">
        <v>5186</v>
      </c>
      <c r="C338" s="780" t="s">
        <v>5187</v>
      </c>
      <c r="D338" s="780" t="s">
        <v>29</v>
      </c>
      <c r="E338" s="780" t="s">
        <v>5188</v>
      </c>
      <c r="F338" s="780" t="s">
        <v>29</v>
      </c>
      <c r="G338" s="780">
        <f>1.2*1.35</f>
        <v>1.62</v>
      </c>
      <c r="H338" s="780" t="s">
        <v>5183</v>
      </c>
    </row>
    <row r="339" spans="1:8">
      <c r="A339" s="780"/>
      <c r="B339" s="780"/>
      <c r="C339" s="780"/>
      <c r="D339" s="780"/>
      <c r="E339" s="780"/>
      <c r="F339" s="780"/>
      <c r="G339" s="780"/>
      <c r="H339" s="780"/>
    </row>
    <row r="340" spans="1:8">
      <c r="A340" s="780"/>
      <c r="B340" s="780"/>
      <c r="C340" s="780"/>
      <c r="D340" s="780"/>
      <c r="E340" s="780"/>
      <c r="F340" s="780"/>
      <c r="G340" s="780"/>
      <c r="H340" s="780"/>
    </row>
    <row r="341" spans="1:8">
      <c r="A341" s="780"/>
      <c r="B341" s="780"/>
      <c r="C341" s="780"/>
      <c r="D341" s="780"/>
      <c r="E341" s="780"/>
      <c r="F341" s="780"/>
      <c r="G341" s="780"/>
      <c r="H341" s="780"/>
    </row>
    <row r="342" spans="1:8">
      <c r="A342" s="637">
        <v>9.43</v>
      </c>
      <c r="B342" s="489" t="s">
        <v>2837</v>
      </c>
      <c r="C342" s="490" t="s">
        <v>5189</v>
      </c>
      <c r="D342" s="492"/>
      <c r="E342" s="492">
        <v>287</v>
      </c>
      <c r="F342" s="489" t="s">
        <v>2837</v>
      </c>
      <c r="G342" s="492">
        <f t="shared" ref="G342:G347" si="13">E342*A342</f>
        <v>2706.41</v>
      </c>
      <c r="H342" s="780"/>
    </row>
    <row r="343" spans="1:8">
      <c r="A343" s="637">
        <f>G334</f>
        <v>1.375</v>
      </c>
      <c r="B343" s="489" t="s">
        <v>2830</v>
      </c>
      <c r="C343" s="490" t="s">
        <v>5190</v>
      </c>
      <c r="D343" s="492"/>
      <c r="E343" s="492">
        <v>336</v>
      </c>
      <c r="F343" s="489" t="s">
        <v>2830</v>
      </c>
      <c r="G343" s="492">
        <f t="shared" si="13"/>
        <v>462</v>
      </c>
      <c r="H343" s="780"/>
    </row>
    <row r="344" spans="1:8">
      <c r="A344" s="637">
        <v>14.4</v>
      </c>
      <c r="B344" s="489" t="s">
        <v>12</v>
      </c>
      <c r="C344" s="490" t="s">
        <v>5089</v>
      </c>
      <c r="D344" s="492"/>
      <c r="E344" s="492">
        <v>27.1</v>
      </c>
      <c r="F344" s="489" t="s">
        <v>12</v>
      </c>
      <c r="G344" s="492">
        <f t="shared" si="13"/>
        <v>390.24</v>
      </c>
      <c r="H344" s="780"/>
    </row>
    <row r="345" spans="1:8">
      <c r="A345" s="637">
        <v>1</v>
      </c>
      <c r="B345" s="489" t="s">
        <v>2359</v>
      </c>
      <c r="C345" s="490" t="s">
        <v>5191</v>
      </c>
      <c r="D345" s="492"/>
      <c r="E345" s="492">
        <v>59.4</v>
      </c>
      <c r="F345" s="489" t="s">
        <v>2359</v>
      </c>
      <c r="G345" s="492">
        <f t="shared" si="13"/>
        <v>59.4</v>
      </c>
      <c r="H345" s="780"/>
    </row>
    <row r="346" spans="1:8">
      <c r="A346" s="637">
        <v>1</v>
      </c>
      <c r="B346" s="489" t="s">
        <v>2359</v>
      </c>
      <c r="C346" s="490" t="s">
        <v>5192</v>
      </c>
      <c r="D346" s="492"/>
      <c r="E346" s="492">
        <v>13.1</v>
      </c>
      <c r="F346" s="489" t="s">
        <v>2359</v>
      </c>
      <c r="G346" s="492">
        <f t="shared" si="13"/>
        <v>13.1</v>
      </c>
      <c r="H346" s="780"/>
    </row>
    <row r="347" spans="1:8">
      <c r="A347" s="637">
        <v>1.62</v>
      </c>
      <c r="B347" s="489" t="s">
        <v>26</v>
      </c>
      <c r="C347" s="490" t="s">
        <v>5092</v>
      </c>
      <c r="D347" s="788"/>
      <c r="E347" s="788">
        <f>G357</f>
        <v>1110</v>
      </c>
      <c r="F347" s="489" t="s">
        <v>26</v>
      </c>
      <c r="G347" s="492">
        <f t="shared" si="13"/>
        <v>1798.2</v>
      </c>
      <c r="H347" s="780"/>
    </row>
    <row r="348" spans="1:8">
      <c r="A348" s="788"/>
      <c r="B348" s="805"/>
      <c r="C348" s="490" t="s">
        <v>2390</v>
      </c>
      <c r="D348" s="788"/>
      <c r="E348" s="806"/>
      <c r="F348" s="492" t="s">
        <v>170</v>
      </c>
      <c r="G348" s="780">
        <v>2.56</v>
      </c>
      <c r="H348" s="780"/>
    </row>
    <row r="349" spans="1:8">
      <c r="A349" s="788"/>
      <c r="B349" s="788"/>
      <c r="C349" s="526" t="s">
        <v>5193</v>
      </c>
      <c r="D349" s="788"/>
      <c r="E349" s="788"/>
      <c r="F349" s="499"/>
      <c r="G349" s="788">
        <f>SUM(G342:G348)</f>
        <v>5431.91</v>
      </c>
      <c r="H349" s="780"/>
    </row>
    <row r="350" spans="1:8">
      <c r="A350" s="788"/>
      <c r="B350" s="788"/>
      <c r="C350" s="807" t="s">
        <v>5194</v>
      </c>
      <c r="D350" s="808" t="s">
        <v>29</v>
      </c>
      <c r="E350" s="808"/>
      <c r="F350" s="785"/>
      <c r="G350" s="803">
        <f>G349/A347</f>
        <v>3353.0308641975307</v>
      </c>
      <c r="H350" s="780"/>
    </row>
    <row r="351" spans="1:8">
      <c r="A351" s="780"/>
      <c r="B351" s="780"/>
      <c r="C351" s="780"/>
      <c r="D351" s="780"/>
      <c r="E351" s="780"/>
      <c r="F351" s="780"/>
      <c r="G351" s="780"/>
      <c r="H351" s="780"/>
    </row>
    <row r="352" spans="1:8">
      <c r="A352" s="780"/>
      <c r="B352" s="780"/>
      <c r="C352" s="809" t="s">
        <v>5195</v>
      </c>
      <c r="D352" s="780"/>
      <c r="E352" s="780"/>
      <c r="F352" s="780"/>
      <c r="G352" s="780"/>
      <c r="H352" s="780"/>
    </row>
    <row r="353" spans="1:8">
      <c r="A353" s="492">
        <v>1</v>
      </c>
      <c r="B353" s="489" t="s">
        <v>2342</v>
      </c>
      <c r="C353" s="490" t="s">
        <v>5196</v>
      </c>
      <c r="D353" s="492"/>
      <c r="E353" s="492">
        <v>501</v>
      </c>
      <c r="F353" s="490" t="s">
        <v>2342</v>
      </c>
      <c r="G353" s="780">
        <f>E353*A353</f>
        <v>501</v>
      </c>
      <c r="H353" s="780"/>
    </row>
    <row r="354" spans="1:8">
      <c r="A354" s="492">
        <v>1</v>
      </c>
      <c r="B354" s="489" t="s">
        <v>2342</v>
      </c>
      <c r="C354" s="490" t="s">
        <v>5197</v>
      </c>
      <c r="D354" s="492"/>
      <c r="E354" s="492">
        <v>355</v>
      </c>
      <c r="F354" s="490" t="s">
        <v>2342</v>
      </c>
      <c r="G354" s="780">
        <f>E354*A354</f>
        <v>355</v>
      </c>
      <c r="H354" s="780"/>
    </row>
    <row r="355" spans="1:8">
      <c r="A355" s="492">
        <v>0.5</v>
      </c>
      <c r="B355" s="489" t="s">
        <v>2342</v>
      </c>
      <c r="C355" s="490" t="s">
        <v>5198</v>
      </c>
      <c r="D355" s="492"/>
      <c r="E355" s="492">
        <v>508</v>
      </c>
      <c r="F355" s="490" t="s">
        <v>2342</v>
      </c>
      <c r="G355" s="780">
        <f>E355*A355</f>
        <v>254</v>
      </c>
      <c r="H355" s="780"/>
    </row>
    <row r="356" spans="1:8">
      <c r="A356" s="788"/>
      <c r="B356" s="805"/>
      <c r="C356" s="490"/>
      <c r="D356" s="788"/>
      <c r="E356" s="810"/>
      <c r="F356" s="491"/>
      <c r="G356" s="780"/>
      <c r="H356" s="780"/>
    </row>
    <row r="357" spans="1:8">
      <c r="A357" s="788"/>
      <c r="B357" s="805"/>
      <c r="C357" s="490" t="s">
        <v>5074</v>
      </c>
      <c r="D357" s="788"/>
      <c r="E357" s="810"/>
      <c r="F357" s="487"/>
      <c r="G357" s="808">
        <f>SUM(G353:G356)</f>
        <v>1110</v>
      </c>
      <c r="H357" s="780"/>
    </row>
    <row r="358" spans="1:8">
      <c r="A358" s="788"/>
      <c r="B358" s="805"/>
      <c r="C358" s="788"/>
      <c r="D358" s="788"/>
      <c r="E358" s="810"/>
      <c r="F358" s="491"/>
      <c r="G358" s="780"/>
      <c r="H358" s="780"/>
    </row>
    <row r="359" spans="1:8">
      <c r="A359" s="811"/>
      <c r="B359" s="812"/>
      <c r="C359" s="813"/>
      <c r="D359" s="811"/>
      <c r="E359" s="814"/>
      <c r="F359" s="815"/>
      <c r="G359" s="816"/>
      <c r="H359" s="816"/>
    </row>
    <row r="360" spans="1:8">
      <c r="A360" s="780"/>
      <c r="B360" s="780"/>
      <c r="C360" s="780"/>
      <c r="D360" s="780"/>
      <c r="E360" s="780"/>
      <c r="F360" s="780"/>
      <c r="G360" s="780"/>
      <c r="H360" s="780"/>
    </row>
    <row r="361" spans="1:8">
      <c r="A361" s="1626" t="s">
        <v>5199</v>
      </c>
      <c r="B361" s="1626"/>
      <c r="C361" s="1626"/>
      <c r="D361" s="1626"/>
      <c r="E361" s="1626"/>
      <c r="F361" s="1626"/>
      <c r="G361" s="1626"/>
      <c r="H361" s="1626"/>
    </row>
    <row r="362" spans="1:8">
      <c r="A362" s="780"/>
      <c r="B362" s="780" t="s">
        <v>5155</v>
      </c>
      <c r="C362" s="780" t="s">
        <v>5156</v>
      </c>
      <c r="D362" s="780"/>
      <c r="E362" s="780"/>
      <c r="F362" s="780"/>
      <c r="G362" s="780"/>
      <c r="H362" s="780"/>
    </row>
    <row r="363" spans="1:8">
      <c r="A363" s="780"/>
      <c r="B363" s="780"/>
      <c r="C363" s="780" t="s">
        <v>5157</v>
      </c>
      <c r="D363" s="780" t="s">
        <v>29</v>
      </c>
      <c r="E363" s="780" t="s">
        <v>5200</v>
      </c>
      <c r="F363" s="780" t="s">
        <v>29</v>
      </c>
      <c r="G363" s="802">
        <f>1*2*2.4*1.558</f>
        <v>7.4783999999999997</v>
      </c>
      <c r="H363" s="780" t="s">
        <v>40</v>
      </c>
    </row>
    <row r="364" spans="1:8">
      <c r="A364" s="780"/>
      <c r="B364" s="780" t="s">
        <v>5159</v>
      </c>
      <c r="C364" s="780" t="s">
        <v>5160</v>
      </c>
      <c r="D364" s="780"/>
      <c r="E364" s="780"/>
      <c r="F364" s="780"/>
      <c r="G364" s="802"/>
      <c r="H364" s="780"/>
    </row>
    <row r="365" spans="1:8">
      <c r="A365" s="780"/>
      <c r="B365" s="780"/>
      <c r="C365" s="780" t="s">
        <v>5161</v>
      </c>
      <c r="D365" s="780" t="s">
        <v>29</v>
      </c>
      <c r="E365" s="780" t="s">
        <v>5201</v>
      </c>
      <c r="F365" s="780" t="s">
        <v>29</v>
      </c>
      <c r="G365" s="802">
        <f>1*4*1.05*0.695</f>
        <v>2.919</v>
      </c>
      <c r="H365" s="780" t="s">
        <v>40</v>
      </c>
    </row>
    <row r="366" spans="1:8">
      <c r="A366" s="780"/>
      <c r="B366" s="780" t="s">
        <v>5163</v>
      </c>
      <c r="C366" s="780" t="s">
        <v>5164</v>
      </c>
      <c r="D366" s="780"/>
      <c r="E366" s="780"/>
      <c r="F366" s="780"/>
      <c r="G366" s="802"/>
      <c r="H366" s="780"/>
    </row>
    <row r="367" spans="1:8">
      <c r="A367" s="780"/>
      <c r="B367" s="780"/>
      <c r="C367" s="780" t="s">
        <v>5165</v>
      </c>
      <c r="D367" s="780" t="s">
        <v>29</v>
      </c>
      <c r="E367" s="780" t="s">
        <v>5202</v>
      </c>
      <c r="F367" s="780" t="s">
        <v>29</v>
      </c>
      <c r="G367" s="802">
        <f>1*1*2.4*1.088</f>
        <v>2.6112000000000002</v>
      </c>
      <c r="H367" s="780" t="s">
        <v>40</v>
      </c>
    </row>
    <row r="368" spans="1:8">
      <c r="A368" s="780"/>
      <c r="B368" s="780" t="s">
        <v>5167</v>
      </c>
      <c r="C368" s="780" t="s">
        <v>5168</v>
      </c>
      <c r="D368" s="780"/>
      <c r="E368" s="780"/>
      <c r="F368" s="780"/>
      <c r="G368" s="802"/>
      <c r="H368" s="780"/>
    </row>
    <row r="369" spans="1:8">
      <c r="A369" s="780"/>
      <c r="B369" s="780"/>
      <c r="C369" s="780" t="s">
        <v>5169</v>
      </c>
      <c r="D369" s="780" t="s">
        <v>29</v>
      </c>
      <c r="E369" s="780" t="s">
        <v>5203</v>
      </c>
      <c r="F369" s="780" t="s">
        <v>29</v>
      </c>
      <c r="G369" s="802">
        <f>1*4*0.95*0.605</f>
        <v>2.2989999999999999</v>
      </c>
      <c r="H369" s="780" t="s">
        <v>40</v>
      </c>
    </row>
    <row r="370" spans="1:8">
      <c r="A370" s="780"/>
      <c r="B370" s="780" t="s">
        <v>5171</v>
      </c>
      <c r="C370" s="780" t="s">
        <v>5172</v>
      </c>
      <c r="D370" s="780"/>
      <c r="E370" s="780"/>
      <c r="F370" s="780"/>
      <c r="G370" s="802"/>
      <c r="H370" s="780"/>
    </row>
    <row r="371" spans="1:8">
      <c r="A371" s="780"/>
      <c r="B371" s="780"/>
      <c r="C371" s="780" t="s">
        <v>5173</v>
      </c>
      <c r="D371" s="780" t="s">
        <v>29</v>
      </c>
      <c r="E371" s="780" t="s">
        <v>5204</v>
      </c>
      <c r="F371" s="780" t="s">
        <v>29</v>
      </c>
      <c r="G371" s="802">
        <f>1*4*0.95*0.488</f>
        <v>1.8543999999999998</v>
      </c>
      <c r="H371" s="780" t="s">
        <v>40</v>
      </c>
    </row>
    <row r="372" spans="1:8">
      <c r="A372" s="780"/>
      <c r="B372" s="780" t="s">
        <v>5171</v>
      </c>
      <c r="C372" s="780" t="s">
        <v>5175</v>
      </c>
      <c r="D372" s="780"/>
      <c r="E372" s="780"/>
      <c r="F372" s="780"/>
      <c r="G372" s="802"/>
      <c r="H372" s="780"/>
    </row>
    <row r="373" spans="1:8">
      <c r="A373" s="780"/>
      <c r="B373" s="780"/>
      <c r="C373" s="780" t="s">
        <v>5176</v>
      </c>
      <c r="D373" s="780" t="s">
        <v>29</v>
      </c>
      <c r="E373" s="780" t="s">
        <v>5205</v>
      </c>
      <c r="F373" s="780" t="s">
        <v>29</v>
      </c>
      <c r="G373" s="802">
        <f>2*4*0.55*0.355</f>
        <v>1.5620000000000001</v>
      </c>
      <c r="H373" s="780" t="s">
        <v>40</v>
      </c>
    </row>
    <row r="374" spans="1:8">
      <c r="A374" s="780"/>
      <c r="B374" s="780"/>
      <c r="C374" s="780"/>
      <c r="D374" s="780"/>
      <c r="E374" s="780"/>
      <c r="F374" s="780"/>
      <c r="G374" s="802">
        <f>SUM(G363:G373)</f>
        <v>18.724</v>
      </c>
      <c r="H374" s="780" t="s">
        <v>40</v>
      </c>
    </row>
    <row r="375" spans="1:8">
      <c r="A375" s="780"/>
      <c r="B375" s="780"/>
      <c r="C375" s="780"/>
      <c r="D375" s="780"/>
      <c r="E375" s="780" t="s">
        <v>5178</v>
      </c>
      <c r="F375" s="780" t="s">
        <v>29</v>
      </c>
      <c r="G375" s="802">
        <f>G374*10%</f>
        <v>1.8724000000000001</v>
      </c>
      <c r="H375" s="780" t="s">
        <v>40</v>
      </c>
    </row>
    <row r="376" spans="1:8">
      <c r="A376" s="780"/>
      <c r="B376" s="780"/>
      <c r="C376" s="780"/>
      <c r="D376" s="780"/>
      <c r="E376" s="780"/>
      <c r="F376" s="780"/>
      <c r="G376" s="803">
        <f>SUM(G374:G375)</f>
        <v>20.596399999999999</v>
      </c>
      <c r="H376" s="780" t="s">
        <v>40</v>
      </c>
    </row>
    <row r="377" spans="1:8">
      <c r="A377" s="780"/>
      <c r="B377" s="780"/>
      <c r="C377" s="780"/>
      <c r="D377" s="780"/>
      <c r="E377" s="780"/>
      <c r="F377" s="780"/>
      <c r="G377" s="780"/>
      <c r="H377" s="780"/>
    </row>
    <row r="378" spans="1:8">
      <c r="A378" s="780"/>
      <c r="B378" s="804" t="s">
        <v>5179</v>
      </c>
      <c r="C378" s="780" t="s">
        <v>5180</v>
      </c>
      <c r="D378" s="780"/>
      <c r="E378" s="780"/>
      <c r="F378" s="780"/>
      <c r="G378" s="802"/>
      <c r="H378" s="780"/>
    </row>
    <row r="379" spans="1:8" ht="17.25">
      <c r="A379" s="780"/>
      <c r="B379" s="780"/>
      <c r="C379" s="780" t="s">
        <v>5181</v>
      </c>
      <c r="D379" s="780" t="s">
        <v>29</v>
      </c>
      <c r="E379" s="780" t="s">
        <v>5206</v>
      </c>
      <c r="F379" s="780" t="s">
        <v>29</v>
      </c>
      <c r="G379" s="817">
        <f>1*4*0.55*0.95</f>
        <v>2.09</v>
      </c>
      <c r="H379" s="780" t="s">
        <v>5183</v>
      </c>
    </row>
    <row r="380" spans="1:8">
      <c r="A380" s="780"/>
      <c r="B380" s="780"/>
      <c r="C380" s="780"/>
      <c r="D380" s="780"/>
      <c r="E380" s="780"/>
      <c r="F380" s="780"/>
      <c r="G380" s="802"/>
      <c r="H380" s="780"/>
    </row>
    <row r="381" spans="1:8">
      <c r="A381" s="780"/>
      <c r="B381" s="804" t="s">
        <v>5184</v>
      </c>
      <c r="C381" s="780" t="s">
        <v>5059</v>
      </c>
      <c r="D381" s="780" t="s">
        <v>29</v>
      </c>
      <c r="E381" s="780" t="s">
        <v>5207</v>
      </c>
      <c r="F381" s="780" t="s">
        <v>29</v>
      </c>
      <c r="G381" s="802">
        <f>1*2*4*3.3</f>
        <v>26.4</v>
      </c>
      <c r="H381" s="780" t="s">
        <v>12</v>
      </c>
    </row>
    <row r="382" spans="1:8">
      <c r="A382" s="780"/>
      <c r="B382" s="780"/>
      <c r="C382" s="780"/>
      <c r="D382" s="780"/>
      <c r="E382" s="780"/>
      <c r="F382" s="780"/>
      <c r="G382" s="802"/>
      <c r="H382" s="780"/>
    </row>
    <row r="383" spans="1:8" ht="17.25">
      <c r="A383" s="780"/>
      <c r="B383" s="804" t="s">
        <v>5186</v>
      </c>
      <c r="C383" s="780" t="s">
        <v>5187</v>
      </c>
      <c r="D383" s="780" t="s">
        <v>29</v>
      </c>
      <c r="E383" s="780" t="s">
        <v>5208</v>
      </c>
      <c r="F383" s="780" t="s">
        <v>29</v>
      </c>
      <c r="G383" s="802">
        <f>2.4*1.05</f>
        <v>2.52</v>
      </c>
      <c r="H383" s="780" t="s">
        <v>5183</v>
      </c>
    </row>
    <row r="384" spans="1:8">
      <c r="A384" s="780"/>
      <c r="B384" s="780"/>
      <c r="C384" s="780"/>
      <c r="D384" s="780"/>
      <c r="E384" s="780"/>
      <c r="F384" s="780"/>
      <c r="G384" s="780"/>
      <c r="H384" s="780"/>
    </row>
    <row r="385" spans="1:8">
      <c r="A385" s="780"/>
      <c r="B385" s="780"/>
      <c r="C385" s="780"/>
      <c r="D385" s="780"/>
      <c r="E385" s="780"/>
      <c r="F385" s="780"/>
      <c r="G385" s="780"/>
      <c r="H385" s="780"/>
    </row>
    <row r="386" spans="1:8">
      <c r="A386" s="780"/>
      <c r="B386" s="780"/>
      <c r="C386" s="780"/>
      <c r="D386" s="780"/>
      <c r="E386" s="780"/>
      <c r="F386" s="780"/>
      <c r="G386" s="780"/>
      <c r="H386" s="780"/>
    </row>
    <row r="387" spans="1:8">
      <c r="A387" s="637">
        <v>20.59</v>
      </c>
      <c r="B387" s="489" t="s">
        <v>2837</v>
      </c>
      <c r="C387" s="490" t="s">
        <v>5189</v>
      </c>
      <c r="D387" s="492"/>
      <c r="E387" s="492">
        <v>287</v>
      </c>
      <c r="F387" s="489" t="s">
        <v>2837</v>
      </c>
      <c r="G387" s="492">
        <f t="shared" ref="G387:G392" si="14">E387*A387</f>
        <v>5909.33</v>
      </c>
      <c r="H387" s="780"/>
    </row>
    <row r="388" spans="1:8">
      <c r="A388" s="637">
        <v>2.09</v>
      </c>
      <c r="B388" s="489" t="s">
        <v>2830</v>
      </c>
      <c r="C388" s="490" t="s">
        <v>5190</v>
      </c>
      <c r="D388" s="492"/>
      <c r="E388" s="492">
        <v>336</v>
      </c>
      <c r="F388" s="489" t="s">
        <v>2830</v>
      </c>
      <c r="G388" s="492">
        <f t="shared" si="14"/>
        <v>702.24</v>
      </c>
      <c r="H388" s="780"/>
    </row>
    <row r="389" spans="1:8">
      <c r="A389" s="637">
        <v>26.4</v>
      </c>
      <c r="B389" s="489" t="s">
        <v>12</v>
      </c>
      <c r="C389" s="490" t="s">
        <v>5089</v>
      </c>
      <c r="D389" s="492"/>
      <c r="E389" s="492">
        <v>27.1</v>
      </c>
      <c r="F389" s="489" t="s">
        <v>12</v>
      </c>
      <c r="G389" s="492">
        <f t="shared" si="14"/>
        <v>715.44</v>
      </c>
      <c r="H389" s="780"/>
    </row>
    <row r="390" spans="1:8">
      <c r="A390" s="637">
        <v>1</v>
      </c>
      <c r="B390" s="489" t="s">
        <v>2359</v>
      </c>
      <c r="C390" s="490" t="s">
        <v>5191</v>
      </c>
      <c r="D390" s="492"/>
      <c r="E390" s="492">
        <v>59.4</v>
      </c>
      <c r="F390" s="489" t="s">
        <v>2359</v>
      </c>
      <c r="G390" s="492">
        <f t="shared" si="14"/>
        <v>59.4</v>
      </c>
      <c r="H390" s="780"/>
    </row>
    <row r="391" spans="1:8">
      <c r="A391" s="637">
        <v>1</v>
      </c>
      <c r="B391" s="489" t="s">
        <v>2359</v>
      </c>
      <c r="C391" s="490" t="s">
        <v>5192</v>
      </c>
      <c r="D391" s="492"/>
      <c r="E391" s="492">
        <v>13.1</v>
      </c>
      <c r="F391" s="489" t="s">
        <v>2359</v>
      </c>
      <c r="G391" s="492">
        <f t="shared" si="14"/>
        <v>13.1</v>
      </c>
      <c r="H391" s="780"/>
    </row>
    <row r="392" spans="1:8">
      <c r="A392" s="637">
        <v>2.52</v>
      </c>
      <c r="B392" s="489" t="s">
        <v>26</v>
      </c>
      <c r="C392" s="490" t="s">
        <v>5092</v>
      </c>
      <c r="D392" s="788"/>
      <c r="E392" s="788">
        <f>G402</f>
        <v>1110</v>
      </c>
      <c r="F392" s="489" t="s">
        <v>26</v>
      </c>
      <c r="G392" s="492">
        <f t="shared" si="14"/>
        <v>2797.2</v>
      </c>
      <c r="H392" s="780"/>
    </row>
    <row r="393" spans="1:8">
      <c r="A393" s="788"/>
      <c r="B393" s="805"/>
      <c r="C393" s="490" t="s">
        <v>2390</v>
      </c>
      <c r="D393" s="788"/>
      <c r="E393" s="806"/>
      <c r="F393" s="492" t="s">
        <v>170</v>
      </c>
      <c r="G393" s="788">
        <v>4.26</v>
      </c>
      <c r="H393" s="780"/>
    </row>
    <row r="394" spans="1:8">
      <c r="A394" s="788"/>
      <c r="B394" s="788"/>
      <c r="C394" s="526" t="s">
        <v>3888</v>
      </c>
      <c r="D394" s="788"/>
      <c r="E394" s="788"/>
      <c r="F394" s="499"/>
      <c r="G394" s="805">
        <f>SUM(G387:G393)</f>
        <v>10200.969999999999</v>
      </c>
      <c r="H394" s="780"/>
    </row>
    <row r="395" spans="1:8">
      <c r="A395" s="788"/>
      <c r="B395" s="788"/>
      <c r="C395" s="807" t="s">
        <v>5194</v>
      </c>
      <c r="D395" s="808" t="s">
        <v>29</v>
      </c>
      <c r="E395" s="808"/>
      <c r="F395" s="785"/>
      <c r="G395" s="803">
        <f>G394/A392</f>
        <v>4048.0039682539677</v>
      </c>
      <c r="H395" s="780"/>
    </row>
    <row r="396" spans="1:8">
      <c r="A396" s="780"/>
      <c r="B396" s="780"/>
      <c r="C396" s="780"/>
      <c r="D396" s="780"/>
      <c r="E396" s="780"/>
      <c r="F396" s="780"/>
      <c r="G396" s="780"/>
      <c r="H396" s="780"/>
    </row>
    <row r="397" spans="1:8">
      <c r="A397" s="780"/>
      <c r="B397" s="780"/>
      <c r="C397" s="809" t="s">
        <v>5195</v>
      </c>
      <c r="D397" s="780"/>
      <c r="E397" s="780"/>
      <c r="F397" s="780"/>
      <c r="G397" s="780"/>
      <c r="H397" s="780"/>
    </row>
    <row r="398" spans="1:8">
      <c r="A398" s="492">
        <v>1</v>
      </c>
      <c r="B398" s="489" t="s">
        <v>2342</v>
      </c>
      <c r="C398" s="490" t="s">
        <v>5196</v>
      </c>
      <c r="D398" s="492"/>
      <c r="E398" s="492">
        <v>501</v>
      </c>
      <c r="F398" s="490" t="s">
        <v>2342</v>
      </c>
      <c r="G398" s="802">
        <f>E398*A398</f>
        <v>501</v>
      </c>
      <c r="H398" s="780"/>
    </row>
    <row r="399" spans="1:8">
      <c r="A399" s="492">
        <v>1</v>
      </c>
      <c r="B399" s="489" t="s">
        <v>2342</v>
      </c>
      <c r="C399" s="490" t="s">
        <v>5197</v>
      </c>
      <c r="D399" s="492"/>
      <c r="E399" s="492">
        <v>355</v>
      </c>
      <c r="F399" s="490" t="s">
        <v>2342</v>
      </c>
      <c r="G399" s="802">
        <f>E399*A399</f>
        <v>355</v>
      </c>
      <c r="H399" s="780"/>
    </row>
    <row r="400" spans="1:8">
      <c r="A400" s="492">
        <v>0.5</v>
      </c>
      <c r="B400" s="489" t="s">
        <v>2342</v>
      </c>
      <c r="C400" s="490" t="s">
        <v>5198</v>
      </c>
      <c r="D400" s="492"/>
      <c r="E400" s="492">
        <v>508</v>
      </c>
      <c r="F400" s="490" t="s">
        <v>2342</v>
      </c>
      <c r="G400" s="802">
        <f>E400*A400</f>
        <v>254</v>
      </c>
      <c r="H400" s="780"/>
    </row>
    <row r="401" spans="1:8">
      <c r="A401" s="788"/>
      <c r="B401" s="805"/>
      <c r="C401" s="490"/>
      <c r="D401" s="788"/>
      <c r="E401" s="810"/>
      <c r="F401" s="491"/>
      <c r="G401" s="780"/>
      <c r="H401" s="780"/>
    </row>
    <row r="402" spans="1:8">
      <c r="A402" s="788"/>
      <c r="B402" s="805"/>
      <c r="C402" s="490" t="s">
        <v>5074</v>
      </c>
      <c r="D402" s="788"/>
      <c r="E402" s="810"/>
      <c r="F402" s="487"/>
      <c r="G402" s="808">
        <f>SUM(G398:G401)</f>
        <v>1110</v>
      </c>
      <c r="H402" s="780"/>
    </row>
    <row r="403" spans="1:8">
      <c r="A403" s="788"/>
      <c r="B403" s="805"/>
      <c r="C403" s="788"/>
      <c r="D403" s="788"/>
      <c r="E403" s="810"/>
      <c r="F403" s="491"/>
      <c r="G403" s="780"/>
      <c r="H403" s="780"/>
    </row>
    <row r="404" spans="1:8">
      <c r="A404" s="816"/>
      <c r="B404" s="816"/>
      <c r="C404" s="816"/>
      <c r="D404" s="816"/>
      <c r="E404" s="816"/>
      <c r="F404" s="816"/>
      <c r="G404" s="816"/>
      <c r="H404" s="816"/>
    </row>
    <row r="405" spans="1:8">
      <c r="A405" s="780"/>
      <c r="B405" s="780"/>
      <c r="C405" s="780"/>
      <c r="D405" s="780"/>
      <c r="E405" s="780"/>
      <c r="F405" s="780"/>
      <c r="G405" s="780"/>
      <c r="H405" s="780"/>
    </row>
    <row r="406" spans="1:8">
      <c r="A406" s="1626" t="s">
        <v>5209</v>
      </c>
      <c r="B406" s="1626"/>
      <c r="C406" s="1626"/>
      <c r="D406" s="1626"/>
      <c r="E406" s="1626"/>
      <c r="F406" s="1626"/>
      <c r="G406" s="1626"/>
      <c r="H406" s="1626"/>
    </row>
    <row r="407" spans="1:8">
      <c r="A407" s="780"/>
      <c r="B407" s="780" t="s">
        <v>5155</v>
      </c>
      <c r="C407" s="780" t="s">
        <v>5156</v>
      </c>
      <c r="D407" s="780"/>
      <c r="E407" s="780"/>
      <c r="F407" s="780"/>
      <c r="G407" s="780"/>
      <c r="H407" s="780"/>
    </row>
    <row r="408" spans="1:8">
      <c r="A408" s="780"/>
      <c r="B408" s="780"/>
      <c r="C408" s="780" t="s">
        <v>5157</v>
      </c>
      <c r="D408" s="780" t="s">
        <v>29</v>
      </c>
      <c r="E408" s="780" t="s">
        <v>5210</v>
      </c>
      <c r="F408" s="780" t="s">
        <v>29</v>
      </c>
      <c r="G408" s="802">
        <f>1*1*0.9*1.558</f>
        <v>1.4022000000000001</v>
      </c>
      <c r="H408" s="780" t="s">
        <v>40</v>
      </c>
    </row>
    <row r="409" spans="1:8">
      <c r="A409" s="780"/>
      <c r="B409" s="780" t="s">
        <v>5159</v>
      </c>
      <c r="C409" s="780" t="s">
        <v>5160</v>
      </c>
      <c r="D409" s="780"/>
      <c r="E409" s="780"/>
      <c r="F409" s="780"/>
      <c r="G409" s="780"/>
      <c r="H409" s="780"/>
    </row>
    <row r="410" spans="1:8">
      <c r="A410" s="780"/>
      <c r="B410" s="780"/>
      <c r="C410" s="780" t="s">
        <v>5161</v>
      </c>
      <c r="D410" s="780" t="s">
        <v>29</v>
      </c>
      <c r="E410" s="780" t="s">
        <v>5162</v>
      </c>
      <c r="F410" s="780" t="s">
        <v>29</v>
      </c>
      <c r="G410" s="802">
        <f>1*2*1.35*0.695</f>
        <v>1.8765000000000001</v>
      </c>
      <c r="H410" s="780" t="s">
        <v>40</v>
      </c>
    </row>
    <row r="411" spans="1:8">
      <c r="A411" s="780"/>
      <c r="B411" s="780" t="s">
        <v>5163</v>
      </c>
      <c r="C411" s="780" t="s">
        <v>5164</v>
      </c>
      <c r="D411" s="780"/>
      <c r="E411" s="780"/>
      <c r="F411" s="780"/>
      <c r="G411" s="802"/>
      <c r="H411" s="780"/>
    </row>
    <row r="412" spans="1:8">
      <c r="A412" s="780"/>
      <c r="B412" s="780"/>
      <c r="C412" s="780" t="s">
        <v>5165</v>
      </c>
      <c r="D412" s="780" t="s">
        <v>29</v>
      </c>
      <c r="E412" s="780" t="s">
        <v>5211</v>
      </c>
      <c r="F412" s="780" t="s">
        <v>29</v>
      </c>
      <c r="G412" s="802">
        <f>1*1*0.9*1.088</f>
        <v>0.97920000000000007</v>
      </c>
      <c r="H412" s="780" t="s">
        <v>40</v>
      </c>
    </row>
    <row r="413" spans="1:8">
      <c r="A413" s="780"/>
      <c r="B413" s="780" t="s">
        <v>5167</v>
      </c>
      <c r="C413" s="780" t="s">
        <v>5168</v>
      </c>
      <c r="D413" s="780"/>
      <c r="E413" s="780"/>
      <c r="F413" s="780"/>
      <c r="G413" s="802"/>
      <c r="H413" s="780"/>
    </row>
    <row r="414" spans="1:8">
      <c r="A414" s="780"/>
      <c r="B414" s="780"/>
      <c r="C414" s="780" t="s">
        <v>5169</v>
      </c>
      <c r="D414" s="780" t="s">
        <v>29</v>
      </c>
      <c r="E414" s="780" t="s">
        <v>5170</v>
      </c>
      <c r="F414" s="780" t="s">
        <v>29</v>
      </c>
      <c r="G414" s="802">
        <f>1*2*1.25*0.605</f>
        <v>1.5125</v>
      </c>
      <c r="H414" s="780" t="s">
        <v>40</v>
      </c>
    </row>
    <row r="415" spans="1:8">
      <c r="A415" s="780"/>
      <c r="B415" s="780" t="s">
        <v>5171</v>
      </c>
      <c r="C415" s="780" t="s">
        <v>5172</v>
      </c>
      <c r="D415" s="780"/>
      <c r="E415" s="780"/>
      <c r="F415" s="780"/>
      <c r="G415" s="802"/>
      <c r="H415" s="780"/>
    </row>
    <row r="416" spans="1:8">
      <c r="A416" s="780"/>
      <c r="B416" s="780"/>
      <c r="C416" s="780" t="s">
        <v>5173</v>
      </c>
      <c r="D416" s="780" t="s">
        <v>29</v>
      </c>
      <c r="E416" s="780" t="s">
        <v>5174</v>
      </c>
      <c r="F416" s="780" t="s">
        <v>29</v>
      </c>
      <c r="G416" s="802">
        <f>1*2*1.25*0.488</f>
        <v>1.22</v>
      </c>
      <c r="H416" s="780" t="s">
        <v>40</v>
      </c>
    </row>
    <row r="417" spans="1:8">
      <c r="A417" s="780"/>
      <c r="B417" s="780" t="s">
        <v>5171</v>
      </c>
      <c r="C417" s="780" t="s">
        <v>5175</v>
      </c>
      <c r="D417" s="780"/>
      <c r="E417" s="780"/>
      <c r="F417" s="780"/>
      <c r="G417" s="802"/>
      <c r="H417" s="780"/>
    </row>
    <row r="418" spans="1:8">
      <c r="A418" s="780"/>
      <c r="B418" s="780"/>
      <c r="C418" s="780" t="s">
        <v>5176</v>
      </c>
      <c r="D418" s="780" t="s">
        <v>29</v>
      </c>
      <c r="E418" s="780" t="s">
        <v>5212</v>
      </c>
      <c r="F418" s="780" t="s">
        <v>29</v>
      </c>
      <c r="G418" s="802">
        <f>2*2*0.45*0.355</f>
        <v>0.63900000000000001</v>
      </c>
      <c r="H418" s="780" t="s">
        <v>40</v>
      </c>
    </row>
    <row r="419" spans="1:8">
      <c r="A419" s="780"/>
      <c r="B419" s="780"/>
      <c r="C419" s="780"/>
      <c r="D419" s="780"/>
      <c r="E419" s="780"/>
      <c r="F419" s="780"/>
      <c r="G419" s="802">
        <f>SUM(G408:G418)</f>
        <v>7.6294000000000004</v>
      </c>
      <c r="H419" s="780" t="s">
        <v>40</v>
      </c>
    </row>
    <row r="420" spans="1:8">
      <c r="A420" s="780"/>
      <c r="B420" s="780"/>
      <c r="C420" s="780"/>
      <c r="D420" s="780"/>
      <c r="E420" s="780" t="s">
        <v>5178</v>
      </c>
      <c r="F420" s="780" t="s">
        <v>29</v>
      </c>
      <c r="G420" s="802">
        <f>G419*10%</f>
        <v>0.76294000000000006</v>
      </c>
      <c r="H420" s="780" t="s">
        <v>40</v>
      </c>
    </row>
    <row r="421" spans="1:8">
      <c r="A421" s="780"/>
      <c r="B421" s="780"/>
      <c r="C421" s="780"/>
      <c r="D421" s="780"/>
      <c r="E421" s="780"/>
      <c r="F421" s="780"/>
      <c r="G421" s="818">
        <f>SUM(G419:G420)</f>
        <v>8.3923400000000008</v>
      </c>
      <c r="H421" s="780" t="s">
        <v>40</v>
      </c>
    </row>
    <row r="422" spans="1:8">
      <c r="A422" s="780"/>
      <c r="B422" s="780"/>
      <c r="C422" s="780"/>
      <c r="D422" s="780"/>
      <c r="E422" s="780"/>
      <c r="F422" s="780"/>
      <c r="G422" s="780"/>
      <c r="H422" s="780"/>
    </row>
    <row r="423" spans="1:8">
      <c r="A423" s="780"/>
      <c r="B423" s="804" t="s">
        <v>5179</v>
      </c>
      <c r="C423" s="780" t="s">
        <v>5180</v>
      </c>
      <c r="D423" s="780"/>
      <c r="E423" s="780"/>
      <c r="F423" s="780"/>
      <c r="G423" s="780"/>
      <c r="H423" s="780"/>
    </row>
    <row r="424" spans="1:8" ht="17.25">
      <c r="A424" s="780"/>
      <c r="B424" s="780"/>
      <c r="C424" s="780" t="s">
        <v>5181</v>
      </c>
      <c r="D424" s="780" t="s">
        <v>29</v>
      </c>
      <c r="E424" s="780" t="s">
        <v>5213</v>
      </c>
      <c r="F424" s="780" t="s">
        <v>29</v>
      </c>
      <c r="G424" s="817">
        <f>1*2*0.45*1.25</f>
        <v>1.125</v>
      </c>
      <c r="H424" s="780" t="s">
        <v>5183</v>
      </c>
    </row>
    <row r="425" spans="1:8">
      <c r="A425" s="780"/>
      <c r="B425" s="780"/>
      <c r="C425" s="780"/>
      <c r="D425" s="780"/>
      <c r="E425" s="780"/>
      <c r="F425" s="780"/>
      <c r="G425" s="802"/>
      <c r="H425" s="780"/>
    </row>
    <row r="426" spans="1:8">
      <c r="A426" s="780"/>
      <c r="B426" s="804" t="s">
        <v>5184</v>
      </c>
      <c r="C426" s="780" t="s">
        <v>5059</v>
      </c>
      <c r="D426" s="780" t="s">
        <v>29</v>
      </c>
      <c r="E426" s="780" t="s">
        <v>5214</v>
      </c>
      <c r="F426" s="780" t="s">
        <v>29</v>
      </c>
      <c r="G426" s="802">
        <f>1*2*2*3.4</f>
        <v>13.6</v>
      </c>
      <c r="H426" s="780" t="s">
        <v>12</v>
      </c>
    </row>
    <row r="427" spans="1:8">
      <c r="A427" s="780"/>
      <c r="B427" s="780"/>
      <c r="C427" s="780"/>
      <c r="D427" s="780"/>
      <c r="E427" s="780"/>
      <c r="F427" s="780"/>
      <c r="G427" s="802"/>
      <c r="H427" s="780"/>
    </row>
    <row r="428" spans="1:8" ht="17.25">
      <c r="A428" s="780"/>
      <c r="B428" s="804" t="s">
        <v>5186</v>
      </c>
      <c r="C428" s="780" t="s">
        <v>5187</v>
      </c>
      <c r="D428" s="780" t="s">
        <v>29</v>
      </c>
      <c r="E428" s="780" t="s">
        <v>5215</v>
      </c>
      <c r="F428" s="780" t="s">
        <v>29</v>
      </c>
      <c r="G428" s="802">
        <f>0.9*1.35</f>
        <v>1.2150000000000001</v>
      </c>
      <c r="H428" s="780" t="s">
        <v>5183</v>
      </c>
    </row>
    <row r="429" spans="1:8">
      <c r="A429" s="780"/>
      <c r="B429" s="780"/>
      <c r="C429" s="780"/>
      <c r="D429" s="780"/>
      <c r="E429" s="780"/>
      <c r="F429" s="780"/>
      <c r="G429" s="780"/>
      <c r="H429" s="780"/>
    </row>
    <row r="430" spans="1:8">
      <c r="A430" s="780"/>
      <c r="B430" s="780"/>
      <c r="C430" s="780"/>
      <c r="D430" s="780"/>
      <c r="E430" s="780"/>
      <c r="F430" s="780"/>
      <c r="G430" s="780"/>
      <c r="H430" s="780"/>
    </row>
    <row r="431" spans="1:8">
      <c r="A431" s="780"/>
      <c r="B431" s="780"/>
      <c r="C431" s="780"/>
      <c r="D431" s="780"/>
      <c r="E431" s="780"/>
      <c r="F431" s="780"/>
      <c r="G431" s="780"/>
      <c r="H431" s="780"/>
    </row>
    <row r="432" spans="1:8">
      <c r="A432" s="637">
        <f>G421</f>
        <v>8.3923400000000008</v>
      </c>
      <c r="B432" s="489" t="s">
        <v>2837</v>
      </c>
      <c r="C432" s="490" t="s">
        <v>5189</v>
      </c>
      <c r="D432" s="492"/>
      <c r="E432" s="492">
        <v>287</v>
      </c>
      <c r="F432" s="489" t="s">
        <v>2837</v>
      </c>
      <c r="G432" s="492">
        <f t="shared" ref="G432:G437" si="15">E432*A432</f>
        <v>2408.60158</v>
      </c>
      <c r="H432" s="780"/>
    </row>
    <row r="433" spans="1:8">
      <c r="A433" s="637">
        <f>G424</f>
        <v>1.125</v>
      </c>
      <c r="B433" s="489" t="s">
        <v>2830</v>
      </c>
      <c r="C433" s="490" t="s">
        <v>5190</v>
      </c>
      <c r="D433" s="492"/>
      <c r="E433" s="492">
        <v>336</v>
      </c>
      <c r="F433" s="489" t="s">
        <v>2830</v>
      </c>
      <c r="G433" s="492">
        <f t="shared" si="15"/>
        <v>378</v>
      </c>
      <c r="H433" s="780"/>
    </row>
    <row r="434" spans="1:8">
      <c r="A434" s="637">
        <v>13.6</v>
      </c>
      <c r="B434" s="489" t="s">
        <v>12</v>
      </c>
      <c r="C434" s="490" t="s">
        <v>5089</v>
      </c>
      <c r="D434" s="492"/>
      <c r="E434" s="492">
        <v>27.1</v>
      </c>
      <c r="F434" s="489" t="s">
        <v>12</v>
      </c>
      <c r="G434" s="492">
        <f t="shared" si="15"/>
        <v>368.56</v>
      </c>
      <c r="H434" s="780"/>
    </row>
    <row r="435" spans="1:8">
      <c r="A435" s="637">
        <v>1</v>
      </c>
      <c r="B435" s="489" t="s">
        <v>2359</v>
      </c>
      <c r="C435" s="490" t="s">
        <v>5191</v>
      </c>
      <c r="D435" s="492"/>
      <c r="E435" s="492">
        <v>59.4</v>
      </c>
      <c r="F435" s="489" t="s">
        <v>2359</v>
      </c>
      <c r="G435" s="492">
        <f t="shared" si="15"/>
        <v>59.4</v>
      </c>
      <c r="H435" s="780"/>
    </row>
    <row r="436" spans="1:8">
      <c r="A436" s="637">
        <v>1</v>
      </c>
      <c r="B436" s="489" t="s">
        <v>2359</v>
      </c>
      <c r="C436" s="490" t="s">
        <v>5192</v>
      </c>
      <c r="D436" s="492"/>
      <c r="E436" s="492">
        <v>13.1</v>
      </c>
      <c r="F436" s="489" t="s">
        <v>2359</v>
      </c>
      <c r="G436" s="492">
        <f t="shared" si="15"/>
        <v>13.1</v>
      </c>
      <c r="H436" s="780"/>
    </row>
    <row r="437" spans="1:8">
      <c r="A437" s="637">
        <v>1.22</v>
      </c>
      <c r="B437" s="489" t="s">
        <v>26</v>
      </c>
      <c r="C437" s="490" t="s">
        <v>5092</v>
      </c>
      <c r="D437" s="788"/>
      <c r="E437" s="788">
        <f>G447</f>
        <v>1110</v>
      </c>
      <c r="F437" s="489" t="s">
        <v>26</v>
      </c>
      <c r="G437" s="492">
        <f t="shared" si="15"/>
        <v>1354.2</v>
      </c>
      <c r="H437" s="780"/>
    </row>
    <row r="438" spans="1:8">
      <c r="A438" s="788"/>
      <c r="B438" s="805"/>
      <c r="C438" s="490" t="s">
        <v>2390</v>
      </c>
      <c r="D438" s="788"/>
      <c r="E438" s="806"/>
      <c r="F438" s="492" t="s">
        <v>170</v>
      </c>
      <c r="G438" s="780">
        <v>4.7</v>
      </c>
      <c r="H438" s="780"/>
    </row>
    <row r="439" spans="1:8">
      <c r="A439" s="788"/>
      <c r="B439" s="788"/>
      <c r="C439" s="526" t="s">
        <v>5216</v>
      </c>
      <c r="D439" s="788"/>
      <c r="E439" s="788"/>
      <c r="F439" s="499"/>
      <c r="G439" s="788">
        <f>SUM(G432:G438)</f>
        <v>4586.5615799999996</v>
      </c>
      <c r="H439" s="780"/>
    </row>
    <row r="440" spans="1:8">
      <c r="A440" s="788"/>
      <c r="B440" s="788"/>
      <c r="C440" s="807" t="s">
        <v>5194</v>
      </c>
      <c r="D440" s="808" t="s">
        <v>29</v>
      </c>
      <c r="E440" s="808"/>
      <c r="F440" s="785"/>
      <c r="G440" s="803">
        <f>G439/A437</f>
        <v>3759.4767049180327</v>
      </c>
      <c r="H440" s="780"/>
    </row>
    <row r="441" spans="1:8">
      <c r="A441" s="780"/>
      <c r="B441" s="780"/>
      <c r="C441" s="780"/>
      <c r="D441" s="780"/>
      <c r="E441" s="780"/>
      <c r="F441" s="780"/>
      <c r="G441" s="780"/>
      <c r="H441" s="780"/>
    </row>
    <row r="442" spans="1:8">
      <c r="A442" s="780"/>
      <c r="B442" s="780"/>
      <c r="C442" s="809" t="s">
        <v>5195</v>
      </c>
      <c r="D442" s="780"/>
      <c r="E442" s="780"/>
      <c r="F442" s="780"/>
      <c r="G442" s="780"/>
      <c r="H442" s="780"/>
    </row>
    <row r="443" spans="1:8">
      <c r="A443" s="492">
        <v>1</v>
      </c>
      <c r="B443" s="489" t="s">
        <v>2342</v>
      </c>
      <c r="C443" s="490" t="s">
        <v>5196</v>
      </c>
      <c r="D443" s="492"/>
      <c r="E443" s="492">
        <v>501</v>
      </c>
      <c r="F443" s="490" t="s">
        <v>2342</v>
      </c>
      <c r="G443" s="780">
        <f>E443*A443</f>
        <v>501</v>
      </c>
      <c r="H443" s="780"/>
    </row>
    <row r="444" spans="1:8">
      <c r="A444" s="492">
        <v>1</v>
      </c>
      <c r="B444" s="489" t="s">
        <v>2342</v>
      </c>
      <c r="C444" s="490" t="s">
        <v>5197</v>
      </c>
      <c r="D444" s="492"/>
      <c r="E444" s="492">
        <v>355</v>
      </c>
      <c r="F444" s="490" t="s">
        <v>2342</v>
      </c>
      <c r="G444" s="780">
        <f>E444*A444</f>
        <v>355</v>
      </c>
      <c r="H444" s="780"/>
    </row>
    <row r="445" spans="1:8">
      <c r="A445" s="492">
        <v>0.5</v>
      </c>
      <c r="B445" s="489" t="s">
        <v>2342</v>
      </c>
      <c r="C445" s="490" t="s">
        <v>5198</v>
      </c>
      <c r="D445" s="492"/>
      <c r="E445" s="492">
        <v>508</v>
      </c>
      <c r="F445" s="490" t="s">
        <v>2342</v>
      </c>
      <c r="G445" s="780">
        <f>E445*A445</f>
        <v>254</v>
      </c>
      <c r="H445" s="780"/>
    </row>
    <row r="446" spans="1:8">
      <c r="A446" s="788"/>
      <c r="B446" s="805"/>
      <c r="C446" s="490"/>
      <c r="D446" s="788"/>
      <c r="E446" s="810"/>
      <c r="F446" s="491"/>
      <c r="G446" s="780"/>
      <c r="H446" s="780"/>
    </row>
    <row r="447" spans="1:8">
      <c r="A447" s="788"/>
      <c r="B447" s="805"/>
      <c r="C447" s="490" t="s">
        <v>5074</v>
      </c>
      <c r="D447" s="788"/>
      <c r="E447" s="810"/>
      <c r="F447" s="487"/>
      <c r="G447" s="808">
        <f>SUM(G443:G446)</f>
        <v>1110</v>
      </c>
      <c r="H447" s="780"/>
    </row>
    <row r="448" spans="1:8">
      <c r="A448" s="788"/>
      <c r="B448" s="805"/>
      <c r="C448" s="788"/>
      <c r="D448" s="788"/>
      <c r="E448" s="810"/>
      <c r="F448" s="491"/>
      <c r="G448" s="780"/>
      <c r="H448" s="780"/>
    </row>
    <row r="449" spans="1:8">
      <c r="A449" s="816"/>
      <c r="B449" s="816"/>
      <c r="C449" s="816"/>
      <c r="D449" s="816"/>
      <c r="E449" s="816"/>
      <c r="F449" s="816"/>
      <c r="G449" s="816"/>
      <c r="H449" s="816"/>
    </row>
    <row r="450" spans="1:8">
      <c r="A450" s="780"/>
      <c r="B450" s="780"/>
      <c r="C450" s="780"/>
      <c r="D450" s="780"/>
      <c r="E450" s="780"/>
      <c r="F450" s="780"/>
      <c r="G450" s="780"/>
      <c r="H450" s="780"/>
    </row>
    <row r="451" spans="1:8">
      <c r="A451" s="1626" t="s">
        <v>5217</v>
      </c>
      <c r="B451" s="1626"/>
      <c r="C451" s="1626"/>
      <c r="D451" s="1626"/>
      <c r="E451" s="1626"/>
      <c r="F451" s="1626"/>
      <c r="G451" s="1626"/>
      <c r="H451" s="1626"/>
    </row>
    <row r="452" spans="1:8">
      <c r="A452" s="780"/>
      <c r="B452" s="780" t="s">
        <v>5155</v>
      </c>
      <c r="C452" s="780" t="s">
        <v>5156</v>
      </c>
      <c r="D452" s="780"/>
      <c r="E452" s="780"/>
      <c r="F452" s="780"/>
      <c r="G452" s="780"/>
      <c r="H452" s="780"/>
    </row>
    <row r="453" spans="1:8">
      <c r="A453" s="780"/>
      <c r="B453" s="780"/>
      <c r="C453" s="780" t="s">
        <v>5157</v>
      </c>
      <c r="D453" s="780" t="s">
        <v>29</v>
      </c>
      <c r="E453" s="780" t="s">
        <v>5200</v>
      </c>
      <c r="F453" s="780" t="s">
        <v>29</v>
      </c>
      <c r="G453" s="802">
        <f>1*2*2.4*1.558</f>
        <v>7.4783999999999997</v>
      </c>
      <c r="H453" s="780" t="s">
        <v>40</v>
      </c>
    </row>
    <row r="454" spans="1:8">
      <c r="A454" s="780"/>
      <c r="B454" s="780" t="s">
        <v>5159</v>
      </c>
      <c r="C454" s="780" t="s">
        <v>5160</v>
      </c>
      <c r="D454" s="780"/>
      <c r="E454" s="780"/>
      <c r="F454" s="780"/>
      <c r="G454" s="780"/>
      <c r="H454" s="780"/>
    </row>
    <row r="455" spans="1:8">
      <c r="A455" s="780"/>
      <c r="B455" s="780"/>
      <c r="C455" s="780" t="s">
        <v>5161</v>
      </c>
      <c r="D455" s="780" t="s">
        <v>29</v>
      </c>
      <c r="E455" s="780" t="s">
        <v>5218</v>
      </c>
      <c r="F455" s="780" t="s">
        <v>29</v>
      </c>
      <c r="G455" s="802">
        <f>1*2*1.8*0.695</f>
        <v>2.5019999999999998</v>
      </c>
      <c r="H455" s="780" t="s">
        <v>40</v>
      </c>
    </row>
    <row r="456" spans="1:8">
      <c r="A456" s="780"/>
      <c r="B456" s="780" t="s">
        <v>5163</v>
      </c>
      <c r="C456" s="780" t="s">
        <v>5164</v>
      </c>
      <c r="D456" s="780"/>
      <c r="E456" s="780"/>
      <c r="F456" s="780"/>
      <c r="G456" s="802"/>
      <c r="H456" s="780"/>
    </row>
    <row r="457" spans="1:8">
      <c r="A457" s="780"/>
      <c r="B457" s="780"/>
      <c r="C457" s="780" t="s">
        <v>5165</v>
      </c>
      <c r="D457" s="780" t="s">
        <v>29</v>
      </c>
      <c r="E457" s="780" t="s">
        <v>5202</v>
      </c>
      <c r="F457" s="780" t="s">
        <v>29</v>
      </c>
      <c r="G457" s="802">
        <f>1*1*2.4*1.088</f>
        <v>2.6112000000000002</v>
      </c>
      <c r="H457" s="780" t="s">
        <v>40</v>
      </c>
    </row>
    <row r="458" spans="1:8">
      <c r="A458" s="780"/>
      <c r="B458" s="780" t="s">
        <v>5159</v>
      </c>
      <c r="C458" s="780" t="s">
        <v>5160</v>
      </c>
      <c r="D458" s="780"/>
      <c r="E458" s="780"/>
      <c r="F458" s="780"/>
      <c r="G458" s="780"/>
      <c r="H458" s="780"/>
    </row>
    <row r="459" spans="1:8">
      <c r="A459" s="780"/>
      <c r="B459" s="780"/>
      <c r="C459" s="780" t="s">
        <v>5219</v>
      </c>
      <c r="D459" s="780" t="s">
        <v>29</v>
      </c>
      <c r="E459" s="780" t="s">
        <v>5220</v>
      </c>
      <c r="F459" s="780" t="s">
        <v>29</v>
      </c>
      <c r="G459" s="802">
        <f>1*2*1.2*0.695</f>
        <v>1.6679999999999999</v>
      </c>
      <c r="H459" s="780" t="s">
        <v>40</v>
      </c>
    </row>
    <row r="460" spans="1:8">
      <c r="A460" s="780"/>
      <c r="B460" s="780" t="s">
        <v>5167</v>
      </c>
      <c r="C460" s="780" t="s">
        <v>5168</v>
      </c>
      <c r="D460" s="780"/>
      <c r="E460" s="780"/>
      <c r="F460" s="780"/>
      <c r="G460" s="802"/>
      <c r="H460" s="780"/>
    </row>
    <row r="461" spans="1:8">
      <c r="A461" s="780"/>
      <c r="B461" s="780"/>
      <c r="C461" s="780" t="s">
        <v>5169</v>
      </c>
      <c r="D461" s="780" t="s">
        <v>29</v>
      </c>
      <c r="E461" s="780" t="s">
        <v>5221</v>
      </c>
      <c r="F461" s="780" t="s">
        <v>29</v>
      </c>
      <c r="G461" s="802">
        <f>1*4*1.1*0.605</f>
        <v>2.6619999999999999</v>
      </c>
      <c r="H461" s="780" t="s">
        <v>40</v>
      </c>
    </row>
    <row r="462" spans="1:8">
      <c r="A462" s="780"/>
      <c r="B462" s="780" t="s">
        <v>5171</v>
      </c>
      <c r="C462" s="780" t="s">
        <v>5172</v>
      </c>
      <c r="D462" s="780"/>
      <c r="E462" s="780"/>
      <c r="F462" s="780"/>
      <c r="G462" s="802"/>
      <c r="H462" s="780"/>
    </row>
    <row r="463" spans="1:8">
      <c r="A463" s="780"/>
      <c r="B463" s="780"/>
      <c r="C463" s="780" t="s">
        <v>5173</v>
      </c>
      <c r="D463" s="780" t="s">
        <v>29</v>
      </c>
      <c r="E463" s="780" t="s">
        <v>5222</v>
      </c>
      <c r="F463" s="780" t="s">
        <v>29</v>
      </c>
      <c r="G463" s="802">
        <f>1*4*1.1*0.488</f>
        <v>2.1472000000000002</v>
      </c>
      <c r="H463" s="780" t="s">
        <v>40</v>
      </c>
    </row>
    <row r="464" spans="1:8">
      <c r="A464" s="780"/>
      <c r="B464" s="780" t="s">
        <v>5223</v>
      </c>
      <c r="C464" s="780" t="s">
        <v>5175</v>
      </c>
      <c r="D464" s="780"/>
      <c r="E464" s="780"/>
      <c r="F464" s="780"/>
      <c r="G464" s="802"/>
      <c r="H464" s="780"/>
    </row>
    <row r="465" spans="1:8">
      <c r="A465" s="780"/>
      <c r="B465" s="780"/>
      <c r="C465" s="780" t="s">
        <v>5176</v>
      </c>
      <c r="D465" s="780" t="s">
        <v>29</v>
      </c>
      <c r="E465" s="780" t="s">
        <v>5205</v>
      </c>
      <c r="F465" s="780" t="s">
        <v>29</v>
      </c>
      <c r="G465" s="802">
        <f>2*4*0.55*0.355</f>
        <v>1.5620000000000001</v>
      </c>
      <c r="H465" s="780" t="s">
        <v>40</v>
      </c>
    </row>
    <row r="466" spans="1:8">
      <c r="A466" s="780"/>
      <c r="B466" s="780"/>
      <c r="C466" s="780"/>
      <c r="D466" s="780"/>
      <c r="E466" s="780"/>
      <c r="F466" s="780"/>
      <c r="G466" s="802">
        <f>SUM(G453:G465)</f>
        <v>20.630800000000001</v>
      </c>
      <c r="H466" s="780" t="s">
        <v>40</v>
      </c>
    </row>
    <row r="467" spans="1:8">
      <c r="A467" s="780"/>
      <c r="B467" s="780"/>
      <c r="C467" s="780"/>
      <c r="D467" s="780"/>
      <c r="E467" s="780" t="s">
        <v>5178</v>
      </c>
      <c r="F467" s="780" t="s">
        <v>29</v>
      </c>
      <c r="G467" s="802">
        <f>G466*10%</f>
        <v>2.0630800000000002</v>
      </c>
      <c r="H467" s="780" t="s">
        <v>40</v>
      </c>
    </row>
    <row r="468" spans="1:8">
      <c r="A468" s="780"/>
      <c r="B468" s="780"/>
      <c r="C468" s="780"/>
      <c r="D468" s="780"/>
      <c r="E468" s="780"/>
      <c r="F468" s="780"/>
      <c r="G468" s="803">
        <f>SUM(G466:G467)</f>
        <v>22.69388</v>
      </c>
      <c r="H468" s="780" t="s">
        <v>40</v>
      </c>
    </row>
    <row r="469" spans="1:8">
      <c r="A469" s="780"/>
      <c r="B469" s="780"/>
      <c r="C469" s="780"/>
      <c r="D469" s="780"/>
      <c r="E469" s="780"/>
      <c r="F469" s="780"/>
      <c r="G469" s="780"/>
      <c r="H469" s="780"/>
    </row>
    <row r="470" spans="1:8">
      <c r="A470" s="780"/>
      <c r="B470" s="804" t="s">
        <v>5179</v>
      </c>
      <c r="C470" s="780" t="s">
        <v>5180</v>
      </c>
      <c r="D470" s="780"/>
      <c r="E470" s="780"/>
      <c r="F470" s="780"/>
      <c r="G470" s="780"/>
      <c r="H470" s="780"/>
    </row>
    <row r="471" spans="1:8" ht="17.25">
      <c r="A471" s="780"/>
      <c r="B471" s="780"/>
      <c r="C471" s="780" t="s">
        <v>5181</v>
      </c>
      <c r="D471" s="780" t="s">
        <v>29</v>
      </c>
      <c r="E471" s="780" t="s">
        <v>5224</v>
      </c>
      <c r="F471" s="780" t="s">
        <v>29</v>
      </c>
      <c r="G471" s="802">
        <f>1*4*0.55*1.1</f>
        <v>2.4200000000000004</v>
      </c>
      <c r="H471" s="780" t="s">
        <v>5183</v>
      </c>
    </row>
    <row r="472" spans="1:8" ht="17.25">
      <c r="A472" s="780"/>
      <c r="B472" s="780"/>
      <c r="C472" s="780" t="s">
        <v>5225</v>
      </c>
      <c r="D472" s="780" t="s">
        <v>29</v>
      </c>
      <c r="E472" s="780" t="s">
        <v>5226</v>
      </c>
      <c r="F472" s="780" t="s">
        <v>29</v>
      </c>
      <c r="G472" s="802">
        <f>1*1*2.3*0.6</f>
        <v>1.38</v>
      </c>
      <c r="H472" s="780" t="s">
        <v>5183</v>
      </c>
    </row>
    <row r="473" spans="1:8" ht="17.25">
      <c r="A473" s="780"/>
      <c r="B473" s="780"/>
      <c r="C473" s="780"/>
      <c r="D473" s="780"/>
      <c r="E473" s="780"/>
      <c r="F473" s="780"/>
      <c r="G473" s="803">
        <f>SUM(G471:G472)</f>
        <v>3.8000000000000003</v>
      </c>
      <c r="H473" s="809" t="s">
        <v>5227</v>
      </c>
    </row>
    <row r="474" spans="1:8">
      <c r="A474" s="780"/>
      <c r="B474" s="780"/>
      <c r="C474" s="780"/>
      <c r="D474" s="780"/>
      <c r="E474" s="780"/>
      <c r="F474" s="780"/>
      <c r="G474" s="803"/>
      <c r="H474" s="809"/>
    </row>
    <row r="475" spans="1:8">
      <c r="A475" s="780"/>
      <c r="B475" s="804" t="s">
        <v>5184</v>
      </c>
      <c r="C475" s="780" t="s">
        <v>5059</v>
      </c>
      <c r="D475" s="780" t="s">
        <v>29</v>
      </c>
      <c r="E475" s="780" t="s">
        <v>5228</v>
      </c>
      <c r="F475" s="780" t="s">
        <v>29</v>
      </c>
      <c r="G475" s="802">
        <f>1*2*4*3.3</f>
        <v>26.4</v>
      </c>
      <c r="H475" s="780" t="s">
        <v>12</v>
      </c>
    </row>
    <row r="476" spans="1:8">
      <c r="A476" s="780"/>
      <c r="B476" s="804"/>
      <c r="C476" s="780"/>
      <c r="D476" s="780" t="s">
        <v>29</v>
      </c>
      <c r="E476" s="780" t="s">
        <v>5229</v>
      </c>
      <c r="F476" s="780" t="s">
        <v>29</v>
      </c>
      <c r="G476" s="802">
        <f>1*2*1*5.8</f>
        <v>11.6</v>
      </c>
      <c r="H476" s="780" t="s">
        <v>12</v>
      </c>
    </row>
    <row r="477" spans="1:8">
      <c r="A477" s="780"/>
      <c r="B477" s="804"/>
      <c r="C477" s="780"/>
      <c r="D477" s="780"/>
      <c r="E477" s="780"/>
      <c r="F477" s="780"/>
      <c r="G477" s="803">
        <f>SUM(G475:G476)</f>
        <v>38</v>
      </c>
      <c r="H477" s="809" t="s">
        <v>12</v>
      </c>
    </row>
    <row r="478" spans="1:8">
      <c r="A478" s="780"/>
      <c r="B478" s="780"/>
      <c r="C478" s="780"/>
      <c r="D478" s="780"/>
      <c r="E478" s="780"/>
      <c r="F478" s="780"/>
      <c r="G478" s="802"/>
      <c r="H478" s="780"/>
    </row>
    <row r="479" spans="1:8" ht="17.25">
      <c r="A479" s="780"/>
      <c r="B479" s="804" t="s">
        <v>5186</v>
      </c>
      <c r="C479" s="780" t="s">
        <v>5187</v>
      </c>
      <c r="D479" s="780" t="s">
        <v>29</v>
      </c>
      <c r="E479" s="780" t="s">
        <v>5230</v>
      </c>
      <c r="F479" s="780" t="s">
        <v>29</v>
      </c>
      <c r="G479" s="802">
        <f>2.4*1.8</f>
        <v>4.32</v>
      </c>
      <c r="H479" s="780" t="s">
        <v>5183</v>
      </c>
    </row>
    <row r="480" spans="1:8">
      <c r="A480" s="780"/>
      <c r="B480" s="780"/>
      <c r="C480" s="780"/>
      <c r="D480" s="780"/>
      <c r="E480" s="780"/>
      <c r="F480" s="780"/>
      <c r="G480" s="780"/>
      <c r="H480" s="780"/>
    </row>
    <row r="481" spans="1:8">
      <c r="A481" s="780"/>
      <c r="B481" s="780"/>
      <c r="C481" s="780"/>
      <c r="D481" s="780"/>
      <c r="E481" s="780"/>
      <c r="F481" s="780"/>
      <c r="G481" s="780"/>
      <c r="H481" s="780"/>
    </row>
    <row r="482" spans="1:8">
      <c r="A482" s="780"/>
      <c r="B482" s="780"/>
      <c r="C482" s="780"/>
      <c r="D482" s="780"/>
      <c r="E482" s="780"/>
      <c r="F482" s="780"/>
      <c r="G482" s="780"/>
      <c r="H482" s="780"/>
    </row>
    <row r="483" spans="1:8">
      <c r="A483" s="637">
        <f>G468</f>
        <v>22.69388</v>
      </c>
      <c r="B483" s="489" t="s">
        <v>2837</v>
      </c>
      <c r="C483" s="490" t="s">
        <v>5189</v>
      </c>
      <c r="D483" s="492"/>
      <c r="E483" s="492">
        <v>287</v>
      </c>
      <c r="F483" s="489" t="s">
        <v>2837</v>
      </c>
      <c r="G483" s="492">
        <f t="shared" ref="G483:G488" si="16">E483*A483</f>
        <v>6513.1435600000004</v>
      </c>
      <c r="H483" s="780"/>
    </row>
    <row r="484" spans="1:8">
      <c r="A484" s="637">
        <f>G473</f>
        <v>3.8000000000000003</v>
      </c>
      <c r="B484" s="489" t="s">
        <v>2830</v>
      </c>
      <c r="C484" s="490" t="s">
        <v>5190</v>
      </c>
      <c r="D484" s="492"/>
      <c r="E484" s="492">
        <v>336</v>
      </c>
      <c r="F484" s="489" t="s">
        <v>2830</v>
      </c>
      <c r="G484" s="492">
        <f t="shared" si="16"/>
        <v>1276.8000000000002</v>
      </c>
      <c r="H484" s="780"/>
    </row>
    <row r="485" spans="1:8">
      <c r="A485" s="637">
        <v>38</v>
      </c>
      <c r="B485" s="489" t="s">
        <v>12</v>
      </c>
      <c r="C485" s="490" t="s">
        <v>5089</v>
      </c>
      <c r="D485" s="492"/>
      <c r="E485" s="492">
        <v>27.1</v>
      </c>
      <c r="F485" s="489" t="s">
        <v>12</v>
      </c>
      <c r="G485" s="492">
        <f t="shared" si="16"/>
        <v>1029.8</v>
      </c>
      <c r="H485" s="780"/>
    </row>
    <row r="486" spans="1:8">
      <c r="A486" s="637">
        <v>1</v>
      </c>
      <c r="B486" s="489" t="s">
        <v>2359</v>
      </c>
      <c r="C486" s="490" t="s">
        <v>5191</v>
      </c>
      <c r="D486" s="492"/>
      <c r="E486" s="492">
        <v>59.4</v>
      </c>
      <c r="F486" s="489" t="s">
        <v>2359</v>
      </c>
      <c r="G486" s="492">
        <f t="shared" si="16"/>
        <v>59.4</v>
      </c>
      <c r="H486" s="780"/>
    </row>
    <row r="487" spans="1:8">
      <c r="A487" s="637">
        <v>1</v>
      </c>
      <c r="B487" s="489" t="s">
        <v>2359</v>
      </c>
      <c r="C487" s="490" t="s">
        <v>5192</v>
      </c>
      <c r="D487" s="492"/>
      <c r="E487" s="492">
        <v>13.1</v>
      </c>
      <c r="F487" s="489" t="s">
        <v>2359</v>
      </c>
      <c r="G487" s="492">
        <f t="shared" si="16"/>
        <v>13.1</v>
      </c>
      <c r="H487" s="780"/>
    </row>
    <row r="488" spans="1:8">
      <c r="A488" s="637">
        <v>4.32</v>
      </c>
      <c r="B488" s="489" t="s">
        <v>26</v>
      </c>
      <c r="C488" s="490" t="s">
        <v>5092</v>
      </c>
      <c r="D488" s="788"/>
      <c r="E488" s="788">
        <f>G498</f>
        <v>1110</v>
      </c>
      <c r="F488" s="489" t="s">
        <v>26</v>
      </c>
      <c r="G488" s="492">
        <f t="shared" si="16"/>
        <v>4795.2000000000007</v>
      </c>
      <c r="H488" s="780"/>
    </row>
    <row r="489" spans="1:8">
      <c r="A489" s="788"/>
      <c r="B489" s="805"/>
      <c r="C489" s="490" t="s">
        <v>2390</v>
      </c>
      <c r="D489" s="788"/>
      <c r="E489" s="806"/>
      <c r="F489" s="492" t="s">
        <v>170</v>
      </c>
      <c r="G489" s="780">
        <v>4.7</v>
      </c>
      <c r="H489" s="780"/>
    </row>
    <row r="490" spans="1:8">
      <c r="A490" s="788"/>
      <c r="B490" s="788"/>
      <c r="C490" s="526" t="s">
        <v>5231</v>
      </c>
      <c r="D490" s="788"/>
      <c r="E490" s="788"/>
      <c r="F490" s="499"/>
      <c r="G490" s="788">
        <f>SUM(G483:G489)</f>
        <v>13692.143560000002</v>
      </c>
      <c r="H490" s="780"/>
    </row>
    <row r="491" spans="1:8">
      <c r="A491" s="788"/>
      <c r="B491" s="788"/>
      <c r="C491" s="807" t="s">
        <v>5194</v>
      </c>
      <c r="D491" s="808" t="s">
        <v>29</v>
      </c>
      <c r="E491" s="808"/>
      <c r="F491" s="785"/>
      <c r="G491" s="803">
        <f>G490/A488</f>
        <v>3169.4776759259262</v>
      </c>
      <c r="H491" s="780"/>
    </row>
    <row r="492" spans="1:8">
      <c r="A492" s="780"/>
      <c r="B492" s="780"/>
      <c r="C492" s="780"/>
      <c r="D492" s="780"/>
      <c r="E492" s="780"/>
      <c r="F492" s="780"/>
      <c r="G492" s="780"/>
      <c r="H492" s="780"/>
    </row>
    <row r="493" spans="1:8">
      <c r="A493" s="780"/>
      <c r="B493" s="780"/>
      <c r="C493" s="809" t="s">
        <v>5195</v>
      </c>
      <c r="D493" s="780"/>
      <c r="E493" s="780"/>
      <c r="F493" s="780"/>
      <c r="G493" s="780"/>
      <c r="H493" s="780"/>
    </row>
    <row r="494" spans="1:8">
      <c r="A494" s="492">
        <v>1</v>
      </c>
      <c r="B494" s="489" t="s">
        <v>2342</v>
      </c>
      <c r="C494" s="490" t="s">
        <v>5196</v>
      </c>
      <c r="D494" s="492"/>
      <c r="E494" s="492">
        <v>501</v>
      </c>
      <c r="F494" s="490" t="s">
        <v>2342</v>
      </c>
      <c r="G494" s="780">
        <f>E494*A494</f>
        <v>501</v>
      </c>
      <c r="H494" s="780"/>
    </row>
    <row r="495" spans="1:8">
      <c r="A495" s="492">
        <v>1</v>
      </c>
      <c r="B495" s="489" t="s">
        <v>2342</v>
      </c>
      <c r="C495" s="490" t="s">
        <v>5197</v>
      </c>
      <c r="D495" s="492"/>
      <c r="E495" s="492">
        <v>355</v>
      </c>
      <c r="F495" s="490" t="s">
        <v>2342</v>
      </c>
      <c r="G495" s="780">
        <f>E495*A495</f>
        <v>355</v>
      </c>
      <c r="H495" s="780"/>
    </row>
    <row r="496" spans="1:8">
      <c r="A496" s="492">
        <v>0.5</v>
      </c>
      <c r="B496" s="489" t="s">
        <v>2342</v>
      </c>
      <c r="C496" s="490" t="s">
        <v>5198</v>
      </c>
      <c r="D496" s="492"/>
      <c r="E496" s="492">
        <v>508</v>
      </c>
      <c r="F496" s="490" t="s">
        <v>2342</v>
      </c>
      <c r="G496" s="780">
        <f>E496*A496</f>
        <v>254</v>
      </c>
      <c r="H496" s="780"/>
    </row>
    <row r="497" spans="1:8">
      <c r="A497" s="788"/>
      <c r="B497" s="805"/>
      <c r="C497" s="490"/>
      <c r="D497" s="788"/>
      <c r="E497" s="810"/>
      <c r="F497" s="491"/>
      <c r="G497" s="780"/>
      <c r="H497" s="780"/>
    </row>
    <row r="498" spans="1:8">
      <c r="A498" s="788"/>
      <c r="B498" s="805"/>
      <c r="C498" s="490" t="s">
        <v>5074</v>
      </c>
      <c r="D498" s="788"/>
      <c r="E498" s="810"/>
      <c r="F498" s="487"/>
      <c r="G498" s="808">
        <f>SUM(G494:G497)</f>
        <v>1110</v>
      </c>
      <c r="H498" s="780"/>
    </row>
    <row r="499" spans="1:8">
      <c r="A499" s="788"/>
      <c r="B499" s="805"/>
      <c r="C499" s="788"/>
      <c r="D499" s="788"/>
      <c r="E499" s="810"/>
      <c r="F499" s="491"/>
      <c r="G499" s="780"/>
      <c r="H499" s="780"/>
    </row>
    <row r="500" spans="1:8">
      <c r="A500" s="816"/>
      <c r="B500" s="816"/>
      <c r="C500" s="816"/>
      <c r="D500" s="816"/>
      <c r="E500" s="816"/>
      <c r="F500" s="816"/>
      <c r="G500" s="816"/>
      <c r="H500" s="816"/>
    </row>
    <row r="501" spans="1:8" ht="30" customHeight="1">
      <c r="A501" s="780"/>
      <c r="B501" s="780"/>
      <c r="C501" s="819" t="s">
        <v>5232</v>
      </c>
      <c r="D501" s="780"/>
      <c r="E501" s="780"/>
      <c r="F501" s="780"/>
      <c r="G501" s="780"/>
      <c r="H501" s="780"/>
    </row>
    <row r="502" spans="1:8">
      <c r="A502" s="780"/>
      <c r="B502" s="780" t="s">
        <v>5155</v>
      </c>
      <c r="C502" s="780" t="s">
        <v>5156</v>
      </c>
      <c r="D502" s="780"/>
      <c r="E502" s="780"/>
      <c r="F502" s="780"/>
      <c r="G502" s="780"/>
      <c r="H502" s="780"/>
    </row>
    <row r="503" spans="1:8">
      <c r="A503" s="780"/>
      <c r="B503" s="780"/>
      <c r="C503" s="780" t="s">
        <v>5233</v>
      </c>
      <c r="D503" s="780" t="s">
        <v>29</v>
      </c>
      <c r="E503" s="780" t="s">
        <v>5234</v>
      </c>
      <c r="F503" s="780" t="s">
        <v>29</v>
      </c>
      <c r="G503" s="802">
        <f>1*2*0.6</f>
        <v>1.2</v>
      </c>
      <c r="H503" s="780" t="s">
        <v>40</v>
      </c>
    </row>
    <row r="504" spans="1:8">
      <c r="A504" s="780"/>
      <c r="B504" s="780"/>
      <c r="C504" s="780" t="s">
        <v>5235</v>
      </c>
      <c r="D504" s="780" t="s">
        <v>29</v>
      </c>
      <c r="E504" s="780" t="s">
        <v>5236</v>
      </c>
      <c r="F504" s="780" t="s">
        <v>29</v>
      </c>
      <c r="G504" s="802">
        <f>1*2*0.9</f>
        <v>1.8</v>
      </c>
      <c r="H504" s="780" t="s">
        <v>40</v>
      </c>
    </row>
    <row r="505" spans="1:8">
      <c r="A505" s="780"/>
      <c r="B505" s="780"/>
      <c r="C505" s="780"/>
      <c r="D505" s="780"/>
      <c r="E505" s="780"/>
      <c r="F505" s="780"/>
      <c r="G505" s="802">
        <f>SUM(G503:G504)</f>
        <v>3</v>
      </c>
      <c r="H505" s="780" t="s">
        <v>40</v>
      </c>
    </row>
    <row r="506" spans="1:8">
      <c r="A506" s="780"/>
      <c r="B506" s="780"/>
      <c r="C506" s="780"/>
      <c r="D506" s="780" t="s">
        <v>29</v>
      </c>
      <c r="E506" s="780" t="s">
        <v>5237</v>
      </c>
      <c r="F506" s="780" t="s">
        <v>29</v>
      </c>
      <c r="G506" s="820">
        <f>3*1.558</f>
        <v>4.6740000000000004</v>
      </c>
      <c r="H506" s="780" t="s">
        <v>40</v>
      </c>
    </row>
    <row r="507" spans="1:8">
      <c r="A507" s="780"/>
      <c r="B507" s="780"/>
      <c r="C507" s="780"/>
      <c r="D507" s="780"/>
      <c r="E507" s="780"/>
      <c r="F507" s="780"/>
      <c r="G507" s="802"/>
      <c r="H507" s="780"/>
    </row>
    <row r="508" spans="1:8">
      <c r="A508" s="780"/>
      <c r="B508" s="780"/>
      <c r="C508" s="780" t="s">
        <v>5238</v>
      </c>
      <c r="D508" s="780" t="s">
        <v>29</v>
      </c>
      <c r="E508" s="780" t="s">
        <v>5239</v>
      </c>
      <c r="F508" s="780" t="s">
        <v>29</v>
      </c>
      <c r="G508" s="820">
        <f>0.9*0.6</f>
        <v>0.54</v>
      </c>
      <c r="H508" s="780" t="s">
        <v>33</v>
      </c>
    </row>
    <row r="509" spans="1:8">
      <c r="A509" s="780"/>
      <c r="B509" s="780"/>
      <c r="C509" s="780"/>
      <c r="D509" s="780"/>
      <c r="E509" s="780"/>
      <c r="F509" s="780"/>
      <c r="G509" s="820"/>
      <c r="H509" s="780"/>
    </row>
    <row r="510" spans="1:8">
      <c r="A510" s="780"/>
      <c r="B510" s="780"/>
      <c r="C510" s="780" t="s">
        <v>2389</v>
      </c>
      <c r="D510" s="780" t="s">
        <v>29</v>
      </c>
      <c r="E510" s="780" t="s">
        <v>5240</v>
      </c>
      <c r="F510" s="780" t="s">
        <v>29</v>
      </c>
      <c r="G510" s="820">
        <f>0.9*0.6</f>
        <v>0.54</v>
      </c>
      <c r="H510" s="780" t="s">
        <v>33</v>
      </c>
    </row>
    <row r="511" spans="1:8">
      <c r="A511" s="780"/>
      <c r="B511" s="780"/>
      <c r="C511" s="780"/>
      <c r="D511" s="780"/>
      <c r="E511" s="780"/>
      <c r="F511" s="780"/>
      <c r="G511" s="780"/>
      <c r="H511" s="780"/>
    </row>
    <row r="512" spans="1:8">
      <c r="A512" s="780"/>
      <c r="B512" s="780"/>
      <c r="C512" s="780"/>
      <c r="D512" s="780"/>
      <c r="E512" s="780"/>
      <c r="F512" s="780"/>
      <c r="G512" s="780"/>
      <c r="H512" s="780"/>
    </row>
    <row r="513" spans="1:8">
      <c r="A513" s="780"/>
      <c r="B513" s="780"/>
      <c r="C513" s="780"/>
      <c r="D513" s="780"/>
      <c r="E513" s="780"/>
      <c r="F513" s="780"/>
      <c r="G513" s="780"/>
      <c r="H513" s="780"/>
    </row>
    <row r="514" spans="1:8" ht="19.5">
      <c r="A514" s="788"/>
      <c r="B514" s="805"/>
      <c r="D514" s="819"/>
      <c r="E514" s="819"/>
      <c r="F514" s="819"/>
      <c r="G514" s="780"/>
      <c r="H514" s="780"/>
    </row>
    <row r="515" spans="1:8">
      <c r="A515" s="637">
        <f>G506</f>
        <v>4.6740000000000004</v>
      </c>
      <c r="B515" s="489" t="s">
        <v>2837</v>
      </c>
      <c r="C515" s="490" t="s">
        <v>5058</v>
      </c>
      <c r="D515" s="492"/>
      <c r="E515" s="492">
        <v>287</v>
      </c>
      <c r="F515" s="489" t="s">
        <v>2837</v>
      </c>
      <c r="G515" s="492">
        <f>E515*A515</f>
        <v>1341.4380000000001</v>
      </c>
      <c r="H515" s="780"/>
    </row>
    <row r="516" spans="1:8">
      <c r="A516" s="637">
        <f>G508</f>
        <v>0.54</v>
      </c>
      <c r="B516" s="489" t="s">
        <v>2830</v>
      </c>
      <c r="C516" s="490" t="s">
        <v>5088</v>
      </c>
      <c r="D516" s="492"/>
      <c r="E516" s="492">
        <v>208.8</v>
      </c>
      <c r="F516" s="489" t="s">
        <v>2830</v>
      </c>
      <c r="G516" s="492">
        <f>E516*A516</f>
        <v>112.75200000000001</v>
      </c>
      <c r="H516" s="780"/>
    </row>
    <row r="517" spans="1:8">
      <c r="A517" s="637">
        <f>G510</f>
        <v>0.54</v>
      </c>
      <c r="B517" s="489" t="s">
        <v>2830</v>
      </c>
      <c r="C517" s="490" t="s">
        <v>5092</v>
      </c>
      <c r="D517" s="492"/>
      <c r="E517" s="492">
        <f>E488</f>
        <v>1110</v>
      </c>
      <c r="F517" s="489" t="s">
        <v>2837</v>
      </c>
      <c r="G517" s="492">
        <f>E517*A517</f>
        <v>599.40000000000009</v>
      </c>
      <c r="H517" s="780"/>
    </row>
    <row r="518" spans="1:8">
      <c r="A518" s="637"/>
      <c r="B518" s="489"/>
      <c r="C518" s="490" t="s">
        <v>5093</v>
      </c>
      <c r="D518" s="788"/>
      <c r="E518" s="806"/>
      <c r="F518" s="492"/>
      <c r="G518" s="780"/>
      <c r="H518" s="780"/>
    </row>
    <row r="519" spans="1:8">
      <c r="A519" s="637"/>
      <c r="B519" s="489"/>
      <c r="C519" s="526" t="s">
        <v>5241</v>
      </c>
      <c r="D519" s="492"/>
      <c r="E519" s="489"/>
      <c r="F519" s="492"/>
      <c r="G519" s="808">
        <f>SUM(G515:G518)</f>
        <v>2053.59</v>
      </c>
      <c r="H519" s="780"/>
    </row>
    <row r="520" spans="1:8">
      <c r="A520" s="637"/>
      <c r="B520" s="489"/>
      <c r="C520" s="807" t="s">
        <v>5194</v>
      </c>
      <c r="D520" s="492"/>
      <c r="E520" s="489"/>
      <c r="F520" s="487"/>
      <c r="G520" s="803">
        <f>G519/A517</f>
        <v>3802.9444444444443</v>
      </c>
      <c r="H520" s="780"/>
    </row>
    <row r="521" spans="1:8">
      <c r="A521" s="780"/>
      <c r="B521" s="780"/>
      <c r="C521" s="780"/>
      <c r="D521" s="780"/>
      <c r="E521" s="780"/>
      <c r="F521" s="780"/>
      <c r="G521" s="780"/>
      <c r="H521" s="780"/>
    </row>
    <row r="522" spans="1:8">
      <c r="A522" s="780"/>
      <c r="B522" s="780"/>
      <c r="C522" s="780"/>
      <c r="D522" s="780"/>
      <c r="E522" s="780"/>
      <c r="F522" s="780"/>
      <c r="G522" s="780"/>
      <c r="H522" s="780"/>
    </row>
    <row r="523" spans="1:8">
      <c r="A523" s="780"/>
      <c r="B523" s="780"/>
      <c r="C523" s="780"/>
      <c r="D523" s="780"/>
      <c r="E523" s="780"/>
      <c r="F523" s="780"/>
      <c r="G523" s="780"/>
      <c r="H523" s="780"/>
    </row>
    <row r="524" spans="1:8">
      <c r="A524" s="780"/>
      <c r="B524" s="780"/>
      <c r="C524" s="780"/>
      <c r="D524" s="780"/>
      <c r="E524" s="780"/>
      <c r="F524" s="780"/>
      <c r="G524" s="780"/>
      <c r="H524" s="780"/>
    </row>
    <row r="525" spans="1:8">
      <c r="A525" s="780"/>
      <c r="B525" s="780"/>
      <c r="C525" s="780"/>
      <c r="D525" s="780"/>
      <c r="E525" s="780"/>
      <c r="F525" s="780"/>
      <c r="G525" s="780"/>
      <c r="H525" s="780"/>
    </row>
    <row r="526" spans="1:8">
      <c r="A526" s="821">
        <v>2</v>
      </c>
      <c r="B526" s="747" t="s">
        <v>575</v>
      </c>
      <c r="C526" s="772" t="s">
        <v>5242</v>
      </c>
      <c r="D526" s="822"/>
      <c r="E526" s="823"/>
      <c r="F526" s="822"/>
      <c r="G526" s="465"/>
      <c r="H526" s="465"/>
    </row>
    <row r="527" spans="1:8">
      <c r="A527" s="822"/>
      <c r="B527" s="824"/>
      <c r="C527" s="748" t="s">
        <v>5243</v>
      </c>
      <c r="D527" s="822"/>
      <c r="E527" s="823"/>
      <c r="F527" s="822"/>
      <c r="G527" s="465"/>
      <c r="H527" s="465"/>
    </row>
    <row r="528" spans="1:8" ht="18">
      <c r="A528" s="822"/>
      <c r="B528" s="824"/>
      <c r="C528" s="752" t="s">
        <v>5244</v>
      </c>
      <c r="D528" s="822"/>
      <c r="E528" s="823"/>
      <c r="F528" s="822"/>
      <c r="G528" s="465"/>
      <c r="H528" s="465"/>
    </row>
    <row r="529" spans="1:8">
      <c r="A529" s="822"/>
      <c r="B529" s="824"/>
      <c r="C529" s="753" t="s">
        <v>442</v>
      </c>
      <c r="D529" s="822"/>
      <c r="E529" s="823"/>
      <c r="F529" s="822"/>
      <c r="G529" s="465"/>
      <c r="H529" s="465"/>
    </row>
    <row r="530" spans="1:8">
      <c r="A530" s="822"/>
      <c r="B530" s="824"/>
      <c r="C530" s="772" t="s">
        <v>5245</v>
      </c>
      <c r="D530" s="788"/>
      <c r="E530" s="788"/>
      <c r="F530" s="788"/>
      <c r="G530" s="465"/>
      <c r="H530" s="465"/>
    </row>
    <row r="531" spans="1:8">
      <c r="A531" s="822"/>
      <c r="B531" s="824"/>
      <c r="C531" s="761" t="s">
        <v>5246</v>
      </c>
      <c r="D531" s="780"/>
      <c r="E531" s="757">
        <f>3*2*1.9*0.075*0.0375</f>
        <v>3.2062499999999994E-2</v>
      </c>
      <c r="F531" s="822" t="s">
        <v>19</v>
      </c>
      <c r="G531" s="465"/>
      <c r="H531" s="465"/>
    </row>
    <row r="532" spans="1:8">
      <c r="A532" s="822"/>
      <c r="B532" s="824"/>
      <c r="C532" s="748" t="s">
        <v>5247</v>
      </c>
      <c r="D532" s="780"/>
      <c r="E532" s="757">
        <f>3*2*0.5*0.075*0.0375</f>
        <v>8.4374999999999988E-3</v>
      </c>
      <c r="F532" s="822" t="s">
        <v>19</v>
      </c>
      <c r="G532" s="465"/>
      <c r="H532" s="465"/>
    </row>
    <row r="533" spans="1:8">
      <c r="A533" s="822"/>
      <c r="B533" s="824"/>
      <c r="C533" s="748"/>
      <c r="D533" s="825"/>
      <c r="E533" s="753" t="s">
        <v>442</v>
      </c>
      <c r="F533" s="758"/>
      <c r="G533" s="465"/>
      <c r="H533" s="465"/>
    </row>
    <row r="534" spans="1:8">
      <c r="A534" s="822"/>
      <c r="B534" s="824"/>
      <c r="C534" s="822"/>
      <c r="D534" s="822"/>
      <c r="E534" s="826">
        <f>SUM(E531:E533)</f>
        <v>4.0499999999999994E-2</v>
      </c>
      <c r="F534" s="788" t="s">
        <v>19</v>
      </c>
      <c r="G534" s="465"/>
      <c r="H534" s="465"/>
    </row>
    <row r="535" spans="1:8">
      <c r="A535" s="822"/>
      <c r="B535" s="824"/>
      <c r="C535" s="822"/>
      <c r="D535" s="822"/>
      <c r="E535" s="753" t="s">
        <v>442</v>
      </c>
      <c r="F535" s="788"/>
      <c r="G535" s="465"/>
      <c r="H535" s="465"/>
    </row>
    <row r="536" spans="1:8">
      <c r="A536" s="822"/>
      <c r="B536" s="824"/>
      <c r="C536" s="748" t="s">
        <v>3687</v>
      </c>
      <c r="D536" s="780"/>
      <c r="E536" s="780"/>
      <c r="F536" s="780"/>
      <c r="G536" s="465"/>
      <c r="H536" s="465"/>
    </row>
    <row r="537" spans="1:8">
      <c r="A537" s="822"/>
      <c r="B537" s="824"/>
      <c r="C537" s="748" t="s">
        <v>5248</v>
      </c>
      <c r="D537" s="827"/>
      <c r="E537" s="756">
        <f>3*1.9*0.5</f>
        <v>2.8499999999999996</v>
      </c>
      <c r="F537" s="489" t="s">
        <v>2788</v>
      </c>
      <c r="G537" s="465"/>
      <c r="H537" s="465"/>
    </row>
    <row r="538" spans="1:8">
      <c r="A538" s="822"/>
      <c r="B538" s="824"/>
      <c r="C538" s="748"/>
      <c r="D538" s="827"/>
      <c r="E538" s="756"/>
      <c r="F538" s="758"/>
      <c r="G538" s="465"/>
      <c r="H538" s="465"/>
    </row>
    <row r="539" spans="1:8">
      <c r="A539" s="822"/>
      <c r="B539" s="824"/>
      <c r="C539" s="748" t="s">
        <v>5249</v>
      </c>
      <c r="D539" s="827"/>
      <c r="E539" s="756"/>
      <c r="F539" s="758"/>
      <c r="G539" s="465"/>
      <c r="H539" s="465"/>
    </row>
    <row r="540" spans="1:8">
      <c r="A540" s="822"/>
      <c r="B540" s="824"/>
      <c r="C540" s="748" t="s">
        <v>5250</v>
      </c>
      <c r="D540" s="827"/>
      <c r="E540" s="757">
        <f>3*1.775*0.375</f>
        <v>1.9968749999999997</v>
      </c>
      <c r="F540" s="758" t="str">
        <f>F537</f>
        <v>SQM</v>
      </c>
      <c r="G540" s="465"/>
      <c r="H540" s="465"/>
    </row>
    <row r="541" spans="1:8">
      <c r="A541" s="822"/>
      <c r="B541" s="824"/>
      <c r="C541" s="748" t="s">
        <v>5251</v>
      </c>
      <c r="D541" s="822"/>
      <c r="E541" s="762"/>
      <c r="F541" s="761"/>
      <c r="G541" s="465"/>
      <c r="H541" s="465"/>
    </row>
    <row r="542" spans="1:8">
      <c r="A542" s="763"/>
      <c r="B542" s="824"/>
      <c r="C542" s="748" t="s">
        <v>5252</v>
      </c>
      <c r="D542" s="827"/>
      <c r="E542" s="828">
        <f>1.775+0.375</f>
        <v>2.15</v>
      </c>
      <c r="F542" s="758"/>
      <c r="G542" s="766"/>
      <c r="H542" s="465"/>
    </row>
    <row r="543" spans="1:8">
      <c r="A543" s="763"/>
      <c r="B543" s="824"/>
      <c r="C543" s="822"/>
      <c r="D543" s="829"/>
      <c r="E543" s="830">
        <f>E542*6</f>
        <v>12.899999999999999</v>
      </c>
      <c r="F543" s="766" t="s">
        <v>12</v>
      </c>
      <c r="G543" s="766"/>
      <c r="H543" s="465"/>
    </row>
    <row r="544" spans="1:8">
      <c r="A544" s="763"/>
      <c r="B544" s="824"/>
      <c r="C544" s="831" t="s">
        <v>5253</v>
      </c>
      <c r="D544" s="829"/>
      <c r="E544" s="746"/>
      <c r="F544" s="766"/>
      <c r="G544" s="766"/>
      <c r="H544" s="465"/>
    </row>
    <row r="545" spans="1:8">
      <c r="A545" s="770"/>
      <c r="B545" s="824"/>
      <c r="C545" s="772" t="s">
        <v>5254</v>
      </c>
      <c r="D545" s="780"/>
      <c r="E545" s="766"/>
      <c r="F545" s="823"/>
      <c r="G545" s="766"/>
      <c r="H545" s="465"/>
    </row>
    <row r="546" spans="1:8">
      <c r="A546" s="758">
        <f>E534</f>
        <v>4.0499999999999994E-2</v>
      </c>
      <c r="B546" s="746" t="s">
        <v>2334</v>
      </c>
      <c r="C546" s="748" t="s">
        <v>5255</v>
      </c>
      <c r="D546" s="766">
        <f>[3]Data!I965</f>
        <v>99400</v>
      </c>
      <c r="E546" s="748" t="s">
        <v>2334</v>
      </c>
      <c r="F546" s="766">
        <f>(A546*D546)</f>
        <v>4025.6999999999994</v>
      </c>
      <c r="G546" s="766"/>
      <c r="H546" s="465"/>
    </row>
    <row r="547" spans="1:8">
      <c r="A547" s="758">
        <f>E537</f>
        <v>2.8499999999999996</v>
      </c>
      <c r="B547" s="489" t="s">
        <v>2788</v>
      </c>
      <c r="C547" s="748" t="s">
        <v>5256</v>
      </c>
      <c r="D547" s="766">
        <f>[3]Data!P3245</f>
        <v>1078</v>
      </c>
      <c r="E547" s="489" t="s">
        <v>2788</v>
      </c>
      <c r="F547" s="766">
        <f>(A547*D547)</f>
        <v>3072.2999999999997</v>
      </c>
      <c r="G547" s="766"/>
      <c r="H547" s="465"/>
    </row>
    <row r="548" spans="1:8">
      <c r="A548" s="758">
        <f>E540</f>
        <v>1.9968749999999997</v>
      </c>
      <c r="B548" s="489" t="s">
        <v>2788</v>
      </c>
      <c r="C548" s="748" t="s">
        <v>5249</v>
      </c>
      <c r="D548" s="766">
        <f>[3]Data!I1086</f>
        <v>208.8</v>
      </c>
      <c r="E548" s="489" t="s">
        <v>2788</v>
      </c>
      <c r="F548" s="766">
        <f t="shared" ref="F548:F554" si="17">(A548*D548)</f>
        <v>416.94749999999999</v>
      </c>
      <c r="G548" s="766"/>
      <c r="H548" s="465"/>
    </row>
    <row r="549" spans="1:8">
      <c r="A549" s="766">
        <f>E543</f>
        <v>12.899999999999999</v>
      </c>
      <c r="B549" s="766" t="s">
        <v>12</v>
      </c>
      <c r="C549" s="772" t="s">
        <v>5257</v>
      </c>
      <c r="D549" s="766">
        <f>[3]Data!V3177</f>
        <v>45.7</v>
      </c>
      <c r="E549" s="766" t="s">
        <v>12</v>
      </c>
      <c r="F549" s="766">
        <f t="shared" si="17"/>
        <v>589.53</v>
      </c>
      <c r="G549" s="766"/>
      <c r="H549" s="465"/>
    </row>
    <row r="550" spans="1:8">
      <c r="A550" s="766">
        <v>9</v>
      </c>
      <c r="B550" s="489" t="s">
        <v>2342</v>
      </c>
      <c r="C550" s="490" t="s">
        <v>3826</v>
      </c>
      <c r="D550" s="766">
        <f>[3]Data!V3178</f>
        <v>79.099999999999994</v>
      </c>
      <c r="E550" s="490" t="s">
        <v>2342</v>
      </c>
      <c r="F550" s="766">
        <f t="shared" si="17"/>
        <v>711.9</v>
      </c>
      <c r="G550" s="766"/>
      <c r="H550" s="465"/>
    </row>
    <row r="551" spans="1:8">
      <c r="A551" s="766">
        <v>6</v>
      </c>
      <c r="B551" s="489" t="s">
        <v>2342</v>
      </c>
      <c r="C551" s="490" t="s">
        <v>5258</v>
      </c>
      <c r="D551" s="766">
        <f>[3]Data!V3179</f>
        <v>68.5</v>
      </c>
      <c r="E551" s="490" t="s">
        <v>2342</v>
      </c>
      <c r="F551" s="766">
        <f t="shared" si="17"/>
        <v>411</v>
      </c>
      <c r="G551" s="766"/>
      <c r="H551" s="465"/>
    </row>
    <row r="552" spans="1:8">
      <c r="A552" s="766">
        <v>3</v>
      </c>
      <c r="B552" s="489" t="s">
        <v>2342</v>
      </c>
      <c r="C552" s="490" t="s">
        <v>5259</v>
      </c>
      <c r="D552" s="766">
        <f>[3]Data!V3180</f>
        <v>50.9</v>
      </c>
      <c r="E552" s="490" t="s">
        <v>2342</v>
      </c>
      <c r="F552" s="766">
        <f t="shared" si="17"/>
        <v>152.69999999999999</v>
      </c>
      <c r="G552" s="766"/>
      <c r="H552" s="465"/>
    </row>
    <row r="553" spans="1:8">
      <c r="A553" s="766">
        <v>3</v>
      </c>
      <c r="B553" s="489" t="s">
        <v>2342</v>
      </c>
      <c r="C553" s="490" t="s">
        <v>2816</v>
      </c>
      <c r="D553" s="766">
        <f>[3]Data!V3181</f>
        <v>7.3</v>
      </c>
      <c r="E553" s="490" t="s">
        <v>2342</v>
      </c>
      <c r="F553" s="766">
        <f t="shared" si="17"/>
        <v>21.9</v>
      </c>
      <c r="G553" s="766"/>
      <c r="H553" s="465"/>
    </row>
    <row r="554" spans="1:8">
      <c r="A554" s="766">
        <v>120</v>
      </c>
      <c r="B554" s="489" t="s">
        <v>2342</v>
      </c>
      <c r="C554" s="490" t="s">
        <v>5260</v>
      </c>
      <c r="D554" s="766">
        <f>[3]Data!V3182</f>
        <v>2.37</v>
      </c>
      <c r="E554" s="490" t="s">
        <v>2342</v>
      </c>
      <c r="F554" s="766">
        <f t="shared" si="17"/>
        <v>284.40000000000003</v>
      </c>
      <c r="G554" s="766"/>
      <c r="H554" s="465"/>
    </row>
    <row r="555" spans="1:8">
      <c r="A555" s="766"/>
      <c r="B555" s="747"/>
      <c r="C555" s="748"/>
      <c r="D555" s="780"/>
      <c r="E555" s="766"/>
      <c r="F555" s="753" t="s">
        <v>442</v>
      </c>
      <c r="G555" s="766"/>
      <c r="H555" s="465"/>
    </row>
    <row r="556" spans="1:8">
      <c r="A556" s="822"/>
      <c r="B556" s="824"/>
      <c r="C556" s="748" t="s">
        <v>5261</v>
      </c>
      <c r="D556" s="780"/>
      <c r="E556" s="746"/>
      <c r="F556" s="825">
        <f>SUM(F546:F555)</f>
        <v>9686.3774999999987</v>
      </c>
      <c r="G556" s="774"/>
      <c r="H556" s="465"/>
    </row>
    <row r="557" spans="1:8">
      <c r="A557" s="822"/>
      <c r="B557" s="824"/>
      <c r="C557" s="780"/>
      <c r="D557" s="766"/>
      <c r="E557" s="823"/>
      <c r="F557" s="753" t="s">
        <v>442</v>
      </c>
      <c r="G557" s="780"/>
      <c r="H557" s="465"/>
    </row>
    <row r="558" spans="1:8">
      <c r="A558" s="822"/>
      <c r="B558" s="824"/>
      <c r="C558" s="825" t="s">
        <v>5262</v>
      </c>
      <c r="D558" s="766"/>
      <c r="E558" s="823"/>
      <c r="F558" s="803">
        <f>F556/A547</f>
        <v>3398.7289473684209</v>
      </c>
      <c r="G558" s="766">
        <f>SUM(G542:G557)</f>
        <v>0</v>
      </c>
      <c r="H558" s="465"/>
    </row>
    <row r="559" spans="1:8">
      <c r="A559" s="822"/>
      <c r="B559" s="824"/>
      <c r="C559" s="822"/>
      <c r="D559" s="766"/>
      <c r="E559" s="823"/>
      <c r="F559" s="780"/>
      <c r="G559" s="780"/>
      <c r="H559" s="465"/>
    </row>
    <row r="560" spans="1:8">
      <c r="A560" s="822"/>
      <c r="B560" s="824"/>
      <c r="C560" s="772"/>
      <c r="D560" s="822"/>
      <c r="E560" s="1627"/>
      <c r="F560" s="1627"/>
      <c r="G560" s="1627"/>
      <c r="H560" s="1627"/>
    </row>
    <row r="561" spans="1:8">
      <c r="A561" s="788"/>
      <c r="B561" s="788"/>
      <c r="C561" s="788"/>
      <c r="D561" s="788"/>
      <c r="E561" s="788"/>
      <c r="F561" s="788"/>
      <c r="G561" s="465"/>
      <c r="H561" s="465"/>
    </row>
    <row r="562" spans="1:8">
      <c r="A562" s="780"/>
      <c r="B562" s="780"/>
      <c r="C562" s="780"/>
      <c r="D562" s="780"/>
      <c r="E562" s="780"/>
      <c r="F562" s="780"/>
      <c r="G562" s="780"/>
      <c r="H562" s="780"/>
    </row>
    <row r="563" spans="1:8">
      <c r="A563" s="832">
        <v>1</v>
      </c>
      <c r="B563" s="824"/>
      <c r="C563" s="748" t="s">
        <v>5243</v>
      </c>
      <c r="D563" s="822"/>
      <c r="E563" s="823"/>
      <c r="F563" s="822"/>
      <c r="G563" s="780"/>
      <c r="H563" s="780"/>
    </row>
    <row r="564" spans="1:8" ht="18">
      <c r="A564" s="822"/>
      <c r="B564" s="824"/>
      <c r="C564" s="752" t="s">
        <v>5263</v>
      </c>
      <c r="D564" s="822"/>
      <c r="E564" s="823"/>
      <c r="F564" s="822"/>
      <c r="G564" s="780"/>
      <c r="H564" s="780"/>
    </row>
    <row r="565" spans="1:8">
      <c r="A565" s="822"/>
      <c r="B565" s="824"/>
      <c r="C565" s="753" t="s">
        <v>442</v>
      </c>
      <c r="D565" s="822"/>
      <c r="E565" s="823"/>
      <c r="F565" s="822"/>
      <c r="G565" s="780"/>
      <c r="H565" s="780"/>
    </row>
    <row r="566" spans="1:8">
      <c r="A566" s="822"/>
      <c r="B566" s="824"/>
      <c r="C566" s="772" t="s">
        <v>5245</v>
      </c>
      <c r="D566" s="788"/>
      <c r="E566" s="788"/>
      <c r="F566" s="788" t="s">
        <v>19</v>
      </c>
      <c r="G566" s="780"/>
      <c r="H566" s="780"/>
    </row>
    <row r="567" spans="1:8">
      <c r="A567" s="822"/>
      <c r="B567" s="824"/>
      <c r="C567" s="761" t="s">
        <v>5264</v>
      </c>
      <c r="D567" s="780"/>
      <c r="E567" s="757">
        <f>3*2*1.9*0.075*0.0375</f>
        <v>3.2062499999999994E-2</v>
      </c>
      <c r="F567" s="822" t="s">
        <v>19</v>
      </c>
      <c r="G567" s="780"/>
      <c r="H567" s="780"/>
    </row>
    <row r="568" spans="1:8">
      <c r="A568" s="822"/>
      <c r="B568" s="824"/>
      <c r="C568" s="748" t="s">
        <v>5265</v>
      </c>
      <c r="D568" s="780"/>
      <c r="E568" s="757">
        <f>3*2*0.6*0.075*0.0375</f>
        <v>1.0124999999999999E-2</v>
      </c>
      <c r="F568" s="822" t="s">
        <v>19</v>
      </c>
      <c r="G568" s="780"/>
      <c r="H568" s="780"/>
    </row>
    <row r="569" spans="1:8">
      <c r="A569" s="822"/>
      <c r="B569" s="824"/>
      <c r="C569" s="748"/>
      <c r="D569" s="825"/>
      <c r="E569" s="753" t="s">
        <v>442</v>
      </c>
      <c r="F569" s="758"/>
      <c r="G569" s="780"/>
      <c r="H569" s="780"/>
    </row>
    <row r="570" spans="1:8">
      <c r="A570" s="822"/>
      <c r="B570" s="824"/>
      <c r="C570" s="822"/>
      <c r="D570" s="822"/>
      <c r="E570" s="826">
        <f>SUM(E567:E569)</f>
        <v>4.2187499999999989E-2</v>
      </c>
      <c r="F570" s="788" t="s">
        <v>19</v>
      </c>
      <c r="G570" s="780"/>
      <c r="H570" s="780"/>
    </row>
    <row r="571" spans="1:8">
      <c r="A571" s="822"/>
      <c r="B571" s="824"/>
      <c r="C571" s="822"/>
      <c r="D571" s="822"/>
      <c r="E571" s="753" t="s">
        <v>442</v>
      </c>
      <c r="F571" s="788"/>
      <c r="G571" s="780"/>
      <c r="H571" s="780"/>
    </row>
    <row r="572" spans="1:8">
      <c r="A572" s="822"/>
      <c r="B572" s="824"/>
      <c r="C572" s="748" t="s">
        <v>3687</v>
      </c>
      <c r="D572" s="780"/>
      <c r="E572" s="780"/>
      <c r="F572" s="780"/>
      <c r="G572" s="780"/>
      <c r="H572" s="780"/>
    </row>
    <row r="573" spans="1:8">
      <c r="A573" s="822"/>
      <c r="B573" s="824"/>
      <c r="C573" s="748" t="s">
        <v>5266</v>
      </c>
      <c r="D573" s="827"/>
      <c r="E573" s="756">
        <f>3*1.9*0.6</f>
        <v>3.4199999999999995</v>
      </c>
      <c r="F573" s="489" t="s">
        <v>2788</v>
      </c>
      <c r="G573" s="780"/>
      <c r="H573" s="780"/>
    </row>
    <row r="574" spans="1:8">
      <c r="A574" s="822"/>
      <c r="B574" s="824"/>
      <c r="C574" s="748"/>
      <c r="D574" s="827"/>
      <c r="E574" s="756"/>
      <c r="F574" s="758"/>
      <c r="G574" s="780"/>
      <c r="H574" s="780"/>
    </row>
    <row r="575" spans="1:8">
      <c r="A575" s="822"/>
      <c r="B575" s="824"/>
      <c r="C575" s="748" t="s">
        <v>5249</v>
      </c>
      <c r="D575" s="827"/>
      <c r="E575" s="756"/>
      <c r="F575" s="758"/>
      <c r="G575" s="780"/>
      <c r="H575" s="780"/>
    </row>
    <row r="576" spans="1:8">
      <c r="A576" s="822"/>
      <c r="B576" s="824"/>
      <c r="C576" s="748" t="s">
        <v>5267</v>
      </c>
      <c r="D576" s="827"/>
      <c r="E576" s="757">
        <f>3*1.775*0.475</f>
        <v>2.5293749999999995</v>
      </c>
      <c r="F576" s="758" t="str">
        <f>F573</f>
        <v>SQM</v>
      </c>
      <c r="G576" s="780"/>
      <c r="H576" s="780"/>
    </row>
    <row r="577" spans="1:8">
      <c r="A577" s="822"/>
      <c r="B577" s="824"/>
      <c r="C577" s="748" t="s">
        <v>5251</v>
      </c>
      <c r="D577" s="822"/>
      <c r="E577" s="762"/>
      <c r="F577" s="761"/>
      <c r="G577" s="780"/>
      <c r="H577" s="780"/>
    </row>
    <row r="578" spans="1:8">
      <c r="A578" s="763"/>
      <c r="B578" s="824"/>
      <c r="C578" s="748" t="s">
        <v>5268</v>
      </c>
      <c r="D578" s="827"/>
      <c r="E578" s="828">
        <f>1.775+0.475</f>
        <v>2.25</v>
      </c>
      <c r="F578" s="758"/>
      <c r="G578" s="780"/>
      <c r="H578" s="780"/>
    </row>
    <row r="579" spans="1:8">
      <c r="A579" s="763"/>
      <c r="B579" s="824"/>
      <c r="C579" s="822"/>
      <c r="D579" s="829"/>
      <c r="E579" s="830">
        <f>E578*6</f>
        <v>13.5</v>
      </c>
      <c r="F579" s="766" t="s">
        <v>12</v>
      </c>
      <c r="G579" s="780"/>
      <c r="H579" s="780"/>
    </row>
    <row r="580" spans="1:8">
      <c r="A580" s="763"/>
      <c r="B580" s="824"/>
      <c r="C580" s="833" t="s">
        <v>5253</v>
      </c>
      <c r="D580" s="829"/>
      <c r="E580" s="746"/>
      <c r="F580" s="766"/>
      <c r="G580" s="780"/>
      <c r="H580" s="780"/>
    </row>
    <row r="581" spans="1:8">
      <c r="A581" s="758"/>
      <c r="B581" s="747"/>
      <c r="C581" s="768"/>
      <c r="D581" s="780"/>
      <c r="E581" s="766"/>
      <c r="F581" s="746"/>
      <c r="G581" s="780"/>
      <c r="H581" s="780"/>
    </row>
    <row r="582" spans="1:8">
      <c r="A582" s="770"/>
      <c r="B582" s="824"/>
      <c r="C582" s="772" t="s">
        <v>5254</v>
      </c>
      <c r="D582" s="780"/>
      <c r="E582" s="766"/>
      <c r="F582" s="823"/>
      <c r="G582" s="780"/>
      <c r="H582" s="780"/>
    </row>
    <row r="583" spans="1:8">
      <c r="A583" s="758">
        <f>E570</f>
        <v>4.2187499999999989E-2</v>
      </c>
      <c r="B583" s="746" t="s">
        <v>2334</v>
      </c>
      <c r="C583" s="748" t="s">
        <v>5269</v>
      </c>
      <c r="D583" s="766">
        <f>D546</f>
        <v>99400</v>
      </c>
      <c r="E583" s="746" t="s">
        <v>2334</v>
      </c>
      <c r="F583" s="766">
        <f>(A583*D583)</f>
        <v>4193.4374999999991</v>
      </c>
      <c r="G583" s="780"/>
      <c r="H583" s="780"/>
    </row>
    <row r="584" spans="1:8">
      <c r="A584" s="758">
        <f>E573</f>
        <v>3.4199999999999995</v>
      </c>
      <c r="B584" s="489" t="s">
        <v>2788</v>
      </c>
      <c r="C584" s="748" t="s">
        <v>3687</v>
      </c>
      <c r="D584" s="766">
        <f t="shared" ref="D584:D591" si="18">D547</f>
        <v>1078</v>
      </c>
      <c r="E584" s="489" t="s">
        <v>2788</v>
      </c>
      <c r="F584" s="766">
        <f t="shared" ref="F584:F591" si="19">(A584*D584)</f>
        <v>3686.7599999999993</v>
      </c>
      <c r="G584" s="780"/>
      <c r="H584" s="780"/>
    </row>
    <row r="585" spans="1:8">
      <c r="A585" s="770">
        <f>E576</f>
        <v>2.5293749999999995</v>
      </c>
      <c r="B585" s="489" t="s">
        <v>2788</v>
      </c>
      <c r="C585" s="748" t="s">
        <v>5249</v>
      </c>
      <c r="D585" s="766">
        <f t="shared" si="18"/>
        <v>208.8</v>
      </c>
      <c r="E585" s="489" t="s">
        <v>2788</v>
      </c>
      <c r="F585" s="766">
        <f t="shared" si="19"/>
        <v>528.13349999999991</v>
      </c>
      <c r="G585" s="780"/>
      <c r="H585" s="780"/>
    </row>
    <row r="586" spans="1:8">
      <c r="A586" s="766">
        <f>E579</f>
        <v>13.5</v>
      </c>
      <c r="B586" s="766" t="s">
        <v>12</v>
      </c>
      <c r="C586" s="772" t="s">
        <v>5257</v>
      </c>
      <c r="D586" s="766">
        <f t="shared" si="18"/>
        <v>45.7</v>
      </c>
      <c r="E586" s="766" t="s">
        <v>12</v>
      </c>
      <c r="F586" s="766">
        <f t="shared" si="19"/>
        <v>616.95000000000005</v>
      </c>
      <c r="G586" s="780"/>
      <c r="H586" s="780"/>
    </row>
    <row r="587" spans="1:8">
      <c r="A587" s="766">
        <v>9</v>
      </c>
      <c r="B587" s="489" t="s">
        <v>2342</v>
      </c>
      <c r="C587" s="490" t="s">
        <v>3826</v>
      </c>
      <c r="D587" s="766">
        <f t="shared" si="18"/>
        <v>79.099999999999994</v>
      </c>
      <c r="E587" s="490" t="s">
        <v>2342</v>
      </c>
      <c r="F587" s="766">
        <f t="shared" si="19"/>
        <v>711.9</v>
      </c>
      <c r="G587" s="780"/>
      <c r="H587" s="780"/>
    </row>
    <row r="588" spans="1:8">
      <c r="A588" s="766">
        <v>6</v>
      </c>
      <c r="B588" s="489" t="s">
        <v>2342</v>
      </c>
      <c r="C588" s="490" t="s">
        <v>5258</v>
      </c>
      <c r="D588" s="766">
        <f t="shared" si="18"/>
        <v>68.5</v>
      </c>
      <c r="E588" s="490" t="s">
        <v>2342</v>
      </c>
      <c r="F588" s="766">
        <f t="shared" si="19"/>
        <v>411</v>
      </c>
      <c r="G588" s="780"/>
      <c r="H588" s="780"/>
    </row>
    <row r="589" spans="1:8">
      <c r="A589" s="766">
        <v>3</v>
      </c>
      <c r="B589" s="489" t="s">
        <v>2342</v>
      </c>
      <c r="C589" s="490" t="s">
        <v>5259</v>
      </c>
      <c r="D589" s="766">
        <f t="shared" si="18"/>
        <v>50.9</v>
      </c>
      <c r="E589" s="490" t="s">
        <v>2342</v>
      </c>
      <c r="F589" s="766">
        <f t="shared" si="19"/>
        <v>152.69999999999999</v>
      </c>
      <c r="G589" s="780"/>
      <c r="H589" s="780"/>
    </row>
    <row r="590" spans="1:8">
      <c r="A590" s="766">
        <v>3</v>
      </c>
      <c r="B590" s="489" t="s">
        <v>2342</v>
      </c>
      <c r="C590" s="490" t="s">
        <v>2816</v>
      </c>
      <c r="D590" s="766">
        <f t="shared" si="18"/>
        <v>7.3</v>
      </c>
      <c r="E590" s="490" t="s">
        <v>2342</v>
      </c>
      <c r="F590" s="766">
        <f t="shared" si="19"/>
        <v>21.9</v>
      </c>
      <c r="G590" s="780"/>
      <c r="H590" s="780"/>
    </row>
    <row r="591" spans="1:8">
      <c r="A591" s="766">
        <v>120</v>
      </c>
      <c r="B591" s="489" t="s">
        <v>2342</v>
      </c>
      <c r="C591" s="490" t="s">
        <v>5260</v>
      </c>
      <c r="D591" s="766">
        <f t="shared" si="18"/>
        <v>2.37</v>
      </c>
      <c r="E591" s="490" t="s">
        <v>2342</v>
      </c>
      <c r="F591" s="766">
        <f t="shared" si="19"/>
        <v>284.40000000000003</v>
      </c>
      <c r="G591" s="780"/>
      <c r="H591" s="780"/>
    </row>
    <row r="592" spans="1:8">
      <c r="A592" s="766"/>
      <c r="B592" s="747"/>
      <c r="C592" s="748"/>
      <c r="D592" s="780"/>
      <c r="E592" s="766"/>
      <c r="F592" s="753" t="s">
        <v>442</v>
      </c>
      <c r="G592" s="780"/>
      <c r="H592" s="780"/>
    </row>
    <row r="593" spans="1:8">
      <c r="A593" s="822"/>
      <c r="B593" s="824"/>
      <c r="C593" s="748" t="s">
        <v>5270</v>
      </c>
      <c r="D593" s="780"/>
      <c r="E593" s="746"/>
      <c r="F593" s="825">
        <f>SUM(F583:F592)</f>
        <v>10607.180999999999</v>
      </c>
      <c r="G593" s="780"/>
      <c r="H593" s="780"/>
    </row>
    <row r="594" spans="1:8">
      <c r="A594" s="822"/>
      <c r="B594" s="824"/>
      <c r="C594" s="780"/>
      <c r="D594" s="766"/>
      <c r="E594" s="823"/>
      <c r="F594" s="753" t="s">
        <v>442</v>
      </c>
      <c r="G594" s="780"/>
      <c r="H594" s="780"/>
    </row>
    <row r="595" spans="1:8">
      <c r="A595" s="822"/>
      <c r="B595" s="824"/>
      <c r="C595" s="825" t="s">
        <v>5262</v>
      </c>
      <c r="D595" s="766"/>
      <c r="E595" s="823"/>
      <c r="F595" s="803">
        <f>F593/A584</f>
        <v>3101.514912280702</v>
      </c>
      <c r="G595" s="780"/>
      <c r="H595" s="780"/>
    </row>
    <row r="596" spans="1:8">
      <c r="A596" s="822"/>
      <c r="B596" s="824"/>
      <c r="C596" s="822"/>
      <c r="D596" s="766"/>
      <c r="E596" s="823"/>
      <c r="F596" s="780"/>
      <c r="G596" s="780"/>
      <c r="H596" s="780"/>
    </row>
    <row r="597" spans="1:8">
      <c r="A597" s="780"/>
      <c r="B597" s="780"/>
      <c r="C597" s="780"/>
      <c r="D597" s="780"/>
      <c r="E597" s="780"/>
      <c r="F597" s="780"/>
      <c r="G597" s="780"/>
      <c r="H597" s="780"/>
    </row>
    <row r="598" spans="1:8">
      <c r="A598" s="822">
        <v>3</v>
      </c>
      <c r="B598" s="824"/>
      <c r="C598" s="748" t="s">
        <v>5243</v>
      </c>
      <c r="D598" s="822"/>
      <c r="E598" s="823"/>
      <c r="F598" s="822"/>
      <c r="G598" s="780"/>
      <c r="H598" s="780"/>
    </row>
    <row r="599" spans="1:8" ht="18">
      <c r="A599" s="822"/>
      <c r="B599" s="824"/>
      <c r="C599" s="752" t="s">
        <v>5271</v>
      </c>
      <c r="D599" s="822"/>
      <c r="E599" s="823"/>
      <c r="F599" s="822"/>
      <c r="G599" s="780"/>
      <c r="H599" s="780"/>
    </row>
    <row r="600" spans="1:8">
      <c r="A600" s="822"/>
      <c r="B600" s="824"/>
      <c r="C600" s="753" t="s">
        <v>442</v>
      </c>
      <c r="D600" s="822"/>
      <c r="E600" s="823"/>
      <c r="F600" s="822"/>
      <c r="G600" s="780"/>
      <c r="H600" s="780"/>
    </row>
    <row r="601" spans="1:8">
      <c r="A601" s="822"/>
      <c r="B601" s="824"/>
      <c r="C601" s="772" t="s">
        <v>5245</v>
      </c>
      <c r="D601" s="788"/>
      <c r="E601" s="788"/>
      <c r="F601" s="788" t="s">
        <v>19</v>
      </c>
      <c r="G601" s="780"/>
      <c r="H601" s="780"/>
    </row>
    <row r="602" spans="1:8">
      <c r="A602" s="822"/>
      <c r="B602" s="824"/>
      <c r="C602" s="761" t="s">
        <v>5272</v>
      </c>
      <c r="D602" s="780"/>
      <c r="E602" s="757">
        <f>2*2*1.9*0.075*0.0375</f>
        <v>2.1374999999999998E-2</v>
      </c>
      <c r="F602" s="822" t="s">
        <v>19</v>
      </c>
      <c r="G602" s="780"/>
      <c r="H602" s="780"/>
    </row>
    <row r="603" spans="1:8">
      <c r="A603" s="822"/>
      <c r="B603" s="824"/>
      <c r="C603" s="748" t="s">
        <v>5273</v>
      </c>
      <c r="D603" s="780"/>
      <c r="E603" s="757">
        <f>2*2*0.5*0.075*0.0375</f>
        <v>5.6249999999999998E-3</v>
      </c>
      <c r="F603" s="822" t="s">
        <v>19</v>
      </c>
      <c r="G603" s="780"/>
      <c r="H603" s="780"/>
    </row>
    <row r="604" spans="1:8">
      <c r="A604" s="822"/>
      <c r="B604" s="824"/>
      <c r="C604" s="748"/>
      <c r="D604" s="825"/>
      <c r="E604" s="753" t="s">
        <v>442</v>
      </c>
      <c r="F604" s="758"/>
      <c r="G604" s="780"/>
      <c r="H604" s="780"/>
    </row>
    <row r="605" spans="1:8">
      <c r="A605" s="822"/>
      <c r="B605" s="824"/>
      <c r="C605" s="822"/>
      <c r="D605" s="822"/>
      <c r="E605" s="826">
        <f>SUM(E602:E604)</f>
        <v>2.6999999999999996E-2</v>
      </c>
      <c r="F605" s="788" t="s">
        <v>19</v>
      </c>
      <c r="G605" s="780"/>
      <c r="H605" s="780"/>
    </row>
    <row r="606" spans="1:8">
      <c r="A606" s="822"/>
      <c r="B606" s="824"/>
      <c r="C606" s="822"/>
      <c r="D606" s="822"/>
      <c r="E606" s="753" t="s">
        <v>442</v>
      </c>
      <c r="F606" s="788"/>
      <c r="G606" s="780"/>
      <c r="H606" s="780"/>
    </row>
    <row r="607" spans="1:8">
      <c r="A607" s="822"/>
      <c r="B607" s="824"/>
      <c r="C607" s="748" t="s">
        <v>3687</v>
      </c>
      <c r="D607" s="780"/>
      <c r="E607" s="780"/>
      <c r="F607" s="780"/>
      <c r="G607" s="780"/>
      <c r="H607" s="780"/>
    </row>
    <row r="608" spans="1:8">
      <c r="A608" s="822"/>
      <c r="B608" s="824"/>
      <c r="C608" s="748" t="s">
        <v>5274</v>
      </c>
      <c r="D608" s="827"/>
      <c r="E608" s="756">
        <f>2*1.9*0.5</f>
        <v>1.9</v>
      </c>
      <c r="F608" s="489" t="s">
        <v>2788</v>
      </c>
      <c r="G608" s="780"/>
      <c r="H608" s="780"/>
    </row>
    <row r="609" spans="1:8">
      <c r="A609" s="822"/>
      <c r="B609" s="824"/>
      <c r="C609" s="748"/>
      <c r="D609" s="827"/>
      <c r="E609" s="756"/>
      <c r="F609" s="758"/>
      <c r="G609" s="780"/>
      <c r="H609" s="780"/>
    </row>
    <row r="610" spans="1:8">
      <c r="A610" s="822"/>
      <c r="B610" s="824"/>
      <c r="C610" s="748" t="s">
        <v>5249</v>
      </c>
      <c r="D610" s="827"/>
      <c r="E610" s="756"/>
      <c r="F610" s="758"/>
      <c r="G610" s="780"/>
      <c r="H610" s="780"/>
    </row>
    <row r="611" spans="1:8">
      <c r="A611" s="822"/>
      <c r="B611" s="824"/>
      <c r="C611" s="748" t="s">
        <v>5275</v>
      </c>
      <c r="D611" s="827"/>
      <c r="E611" s="757">
        <f>2*1.775*0.375</f>
        <v>1.3312499999999998</v>
      </c>
      <c r="F611" s="758" t="str">
        <f>F608</f>
        <v>SQM</v>
      </c>
      <c r="G611" s="780"/>
      <c r="H611" s="780"/>
    </row>
    <row r="612" spans="1:8">
      <c r="A612" s="822"/>
      <c r="B612" s="824"/>
      <c r="C612" s="748" t="s">
        <v>5276</v>
      </c>
      <c r="D612" s="822"/>
      <c r="E612" s="762"/>
      <c r="F612" s="761"/>
      <c r="G612" s="780"/>
      <c r="H612" s="780"/>
    </row>
    <row r="613" spans="1:8">
      <c r="A613" s="763"/>
      <c r="B613" s="824"/>
      <c r="C613" s="748" t="s">
        <v>5277</v>
      </c>
      <c r="D613" s="827"/>
      <c r="E613" s="828">
        <f>1.775+0.375</f>
        <v>2.15</v>
      </c>
      <c r="F613" s="758"/>
      <c r="G613" s="780"/>
      <c r="H613" s="780"/>
    </row>
    <row r="614" spans="1:8">
      <c r="A614" s="763"/>
      <c r="B614" s="824"/>
      <c r="C614" s="822"/>
      <c r="D614" s="829"/>
      <c r="E614" s="830">
        <f>E613*4</f>
        <v>8.6</v>
      </c>
      <c r="F614" s="766" t="s">
        <v>12</v>
      </c>
      <c r="G614" s="780"/>
      <c r="H614" s="780"/>
    </row>
    <row r="615" spans="1:8">
      <c r="A615" s="763"/>
      <c r="B615" s="824"/>
      <c r="C615" s="833" t="s">
        <v>5253</v>
      </c>
      <c r="D615" s="829"/>
      <c r="E615" s="746"/>
      <c r="F615" s="766"/>
      <c r="G615" s="780"/>
      <c r="H615" s="780"/>
    </row>
    <row r="616" spans="1:8">
      <c r="A616" s="758"/>
      <c r="B616" s="747"/>
      <c r="C616" s="768"/>
      <c r="D616" s="780"/>
      <c r="E616" s="766"/>
      <c r="F616" s="746"/>
      <c r="G616" s="780"/>
      <c r="H616" s="780"/>
    </row>
    <row r="617" spans="1:8">
      <c r="A617" s="770"/>
      <c r="B617" s="824"/>
      <c r="C617" s="772" t="s">
        <v>5254</v>
      </c>
      <c r="D617" s="780"/>
      <c r="E617" s="766"/>
      <c r="F617" s="823"/>
      <c r="G617" s="780"/>
      <c r="H617" s="780"/>
    </row>
    <row r="618" spans="1:8">
      <c r="A618" s="758">
        <f>E605</f>
        <v>2.6999999999999996E-2</v>
      </c>
      <c r="B618" s="746" t="s">
        <v>2334</v>
      </c>
      <c r="C618" s="748" t="s">
        <v>5269</v>
      </c>
      <c r="D618" s="766">
        <f>D583</f>
        <v>99400</v>
      </c>
      <c r="E618" s="746" t="s">
        <v>2334</v>
      </c>
      <c r="F618" s="766">
        <f>(A618*D618)</f>
        <v>2683.7999999999997</v>
      </c>
      <c r="G618" s="780"/>
      <c r="H618" s="780"/>
    </row>
    <row r="619" spans="1:8">
      <c r="A619" s="758">
        <f>E608</f>
        <v>1.9</v>
      </c>
      <c r="B619" s="489" t="s">
        <v>2788</v>
      </c>
      <c r="C619" s="748" t="s">
        <v>3687</v>
      </c>
      <c r="D619" s="766">
        <f t="shared" ref="D619:D626" si="20">D584</f>
        <v>1078</v>
      </c>
      <c r="E619" s="489" t="s">
        <v>2788</v>
      </c>
      <c r="F619" s="766">
        <f t="shared" ref="F619:F626" si="21">(A619*D619)</f>
        <v>2048.1999999999998</v>
      </c>
      <c r="G619" s="780"/>
      <c r="H619" s="780"/>
    </row>
    <row r="620" spans="1:8">
      <c r="A620" s="770">
        <f>E611</f>
        <v>1.3312499999999998</v>
      </c>
      <c r="B620" s="489" t="s">
        <v>2788</v>
      </c>
      <c r="C620" s="748" t="s">
        <v>5249</v>
      </c>
      <c r="D620" s="766">
        <f t="shared" si="20"/>
        <v>208.8</v>
      </c>
      <c r="E620" s="489" t="s">
        <v>2788</v>
      </c>
      <c r="F620" s="766">
        <f t="shared" si="21"/>
        <v>277.96499999999997</v>
      </c>
      <c r="G620" s="780"/>
      <c r="H620" s="780"/>
    </row>
    <row r="621" spans="1:8">
      <c r="A621" s="766">
        <f>E614</f>
        <v>8.6</v>
      </c>
      <c r="B621" s="766" t="s">
        <v>12</v>
      </c>
      <c r="C621" s="772" t="s">
        <v>5257</v>
      </c>
      <c r="D621" s="766">
        <f t="shared" si="20"/>
        <v>45.7</v>
      </c>
      <c r="E621" s="766" t="s">
        <v>12</v>
      </c>
      <c r="F621" s="766">
        <f t="shared" si="21"/>
        <v>393.02</v>
      </c>
      <c r="G621" s="780"/>
      <c r="H621" s="780"/>
    </row>
    <row r="622" spans="1:8">
      <c r="A622" s="766">
        <v>6</v>
      </c>
      <c r="B622" s="489" t="s">
        <v>2342</v>
      </c>
      <c r="C622" s="490" t="s">
        <v>3826</v>
      </c>
      <c r="D622" s="766">
        <f t="shared" si="20"/>
        <v>79.099999999999994</v>
      </c>
      <c r="E622" s="490" t="s">
        <v>2342</v>
      </c>
      <c r="F622" s="766">
        <f t="shared" si="21"/>
        <v>474.59999999999997</v>
      </c>
      <c r="G622" s="780"/>
      <c r="H622" s="780"/>
    </row>
    <row r="623" spans="1:8">
      <c r="A623" s="766">
        <v>4</v>
      </c>
      <c r="B623" s="489" t="s">
        <v>2342</v>
      </c>
      <c r="C623" s="490" t="s">
        <v>5258</v>
      </c>
      <c r="D623" s="766">
        <f t="shared" si="20"/>
        <v>68.5</v>
      </c>
      <c r="E623" s="490" t="s">
        <v>2342</v>
      </c>
      <c r="F623" s="766">
        <f t="shared" si="21"/>
        <v>274</v>
      </c>
      <c r="G623" s="780"/>
      <c r="H623" s="780"/>
    </row>
    <row r="624" spans="1:8">
      <c r="A624" s="766">
        <v>2</v>
      </c>
      <c r="B624" s="489" t="s">
        <v>2342</v>
      </c>
      <c r="C624" s="490" t="s">
        <v>5259</v>
      </c>
      <c r="D624" s="766">
        <f t="shared" si="20"/>
        <v>50.9</v>
      </c>
      <c r="E624" s="490" t="s">
        <v>2342</v>
      </c>
      <c r="F624" s="766">
        <f t="shared" si="21"/>
        <v>101.8</v>
      </c>
      <c r="G624" s="780"/>
      <c r="H624" s="780"/>
    </row>
    <row r="625" spans="1:8">
      <c r="A625" s="766">
        <v>2</v>
      </c>
      <c r="B625" s="489" t="s">
        <v>2342</v>
      </c>
      <c r="C625" s="490" t="s">
        <v>2816</v>
      </c>
      <c r="D625" s="766">
        <f t="shared" si="20"/>
        <v>7.3</v>
      </c>
      <c r="E625" s="490" t="s">
        <v>2342</v>
      </c>
      <c r="F625" s="766">
        <f t="shared" si="21"/>
        <v>14.6</v>
      </c>
      <c r="G625" s="780"/>
      <c r="H625" s="780"/>
    </row>
    <row r="626" spans="1:8">
      <c r="A626" s="766">
        <v>80</v>
      </c>
      <c r="B626" s="489" t="s">
        <v>2342</v>
      </c>
      <c r="C626" s="490" t="s">
        <v>5260</v>
      </c>
      <c r="D626" s="766">
        <f t="shared" si="20"/>
        <v>2.37</v>
      </c>
      <c r="E626" s="490" t="s">
        <v>2342</v>
      </c>
      <c r="F626" s="766">
        <f t="shared" si="21"/>
        <v>189.60000000000002</v>
      </c>
      <c r="G626" s="780"/>
      <c r="H626" s="780"/>
    </row>
    <row r="627" spans="1:8">
      <c r="A627" s="766"/>
      <c r="B627" s="747"/>
      <c r="C627" s="748"/>
      <c r="D627" s="780"/>
      <c r="E627" s="766"/>
      <c r="F627" s="753" t="s">
        <v>442</v>
      </c>
      <c r="G627" s="780"/>
      <c r="H627" s="780"/>
    </row>
    <row r="628" spans="1:8">
      <c r="A628" s="822"/>
      <c r="B628" s="824"/>
      <c r="C628" s="748" t="s">
        <v>5278</v>
      </c>
      <c r="D628" s="780"/>
      <c r="E628" s="746"/>
      <c r="F628" s="825">
        <f>SUM(F618:F627)</f>
        <v>6457.5850000000019</v>
      </c>
      <c r="G628" s="780"/>
      <c r="H628" s="780"/>
    </row>
    <row r="629" spans="1:8">
      <c r="A629" s="822"/>
      <c r="B629" s="824"/>
      <c r="C629" s="780"/>
      <c r="D629" s="766"/>
      <c r="E629" s="823"/>
      <c r="F629" s="753" t="s">
        <v>442</v>
      </c>
      <c r="G629" s="780"/>
      <c r="H629" s="780"/>
    </row>
    <row r="630" spans="1:8">
      <c r="A630" s="822"/>
      <c r="B630" s="824"/>
      <c r="C630" s="825" t="s">
        <v>5262</v>
      </c>
      <c r="D630" s="766"/>
      <c r="E630" s="823"/>
      <c r="F630" s="803">
        <f>F628/A619</f>
        <v>3398.7289473684223</v>
      </c>
      <c r="G630" s="780"/>
      <c r="H630" s="780"/>
    </row>
    <row r="631" spans="1:8">
      <c r="A631" s="822"/>
      <c r="B631" s="824"/>
      <c r="C631" s="822"/>
      <c r="D631" s="766"/>
      <c r="E631" s="823"/>
      <c r="F631" s="780"/>
      <c r="G631" s="780"/>
      <c r="H631" s="780"/>
    </row>
    <row r="632" spans="1:8">
      <c r="A632" s="780"/>
      <c r="B632" s="780"/>
      <c r="C632" s="780"/>
      <c r="D632" s="780"/>
      <c r="E632" s="780"/>
      <c r="F632" s="780"/>
      <c r="G632" s="780"/>
      <c r="H632" s="780"/>
    </row>
    <row r="633" spans="1:8">
      <c r="A633" s="780"/>
      <c r="B633" s="780"/>
      <c r="C633" s="780"/>
      <c r="D633" s="780"/>
      <c r="E633" s="780"/>
      <c r="F633" s="780"/>
      <c r="G633" s="780"/>
      <c r="H633" s="780"/>
    </row>
    <row r="634" spans="1:8">
      <c r="A634" s="832">
        <v>4</v>
      </c>
      <c r="B634" s="824"/>
      <c r="C634" s="748" t="s">
        <v>5243</v>
      </c>
      <c r="D634" s="822"/>
      <c r="E634" s="823"/>
      <c r="F634" s="822"/>
      <c r="G634" s="780"/>
      <c r="H634" s="780"/>
    </row>
    <row r="635" spans="1:8" ht="18">
      <c r="A635" s="822"/>
      <c r="B635" s="824"/>
      <c r="C635" s="752" t="s">
        <v>5279</v>
      </c>
      <c r="D635" s="822"/>
      <c r="E635" s="823"/>
      <c r="F635" s="822"/>
      <c r="G635" s="780"/>
      <c r="H635" s="780"/>
    </row>
    <row r="636" spans="1:8">
      <c r="A636" s="822"/>
      <c r="B636" s="824"/>
      <c r="C636" s="753" t="s">
        <v>442</v>
      </c>
      <c r="D636" s="822"/>
      <c r="E636" s="823"/>
      <c r="F636" s="822"/>
      <c r="G636" s="780"/>
      <c r="H636" s="780"/>
    </row>
    <row r="637" spans="1:8">
      <c r="A637" s="822"/>
      <c r="B637" s="824"/>
      <c r="C637" s="772" t="s">
        <v>5245</v>
      </c>
      <c r="D637" s="788"/>
      <c r="E637" s="788"/>
      <c r="F637" s="788" t="s">
        <v>19</v>
      </c>
      <c r="G637" s="780"/>
      <c r="H637" s="780"/>
    </row>
    <row r="638" spans="1:8">
      <c r="A638" s="822"/>
      <c r="B638" s="824"/>
      <c r="C638" s="761" t="s">
        <v>5280</v>
      </c>
      <c r="D638" s="780"/>
      <c r="E638" s="757">
        <f>2*2*1.9*0.075*0.0375</f>
        <v>2.1374999999999998E-2</v>
      </c>
      <c r="F638" s="822" t="s">
        <v>19</v>
      </c>
      <c r="G638" s="780"/>
      <c r="H638" s="780"/>
    </row>
    <row r="639" spans="1:8">
      <c r="A639" s="822"/>
      <c r="B639" s="824"/>
      <c r="C639" s="748" t="s">
        <v>5281</v>
      </c>
      <c r="D639" s="780"/>
      <c r="E639" s="757">
        <f>2*0.65*0.075*0.0375</f>
        <v>3.6562499999999998E-3</v>
      </c>
      <c r="F639" s="822" t="s">
        <v>19</v>
      </c>
      <c r="G639" s="780"/>
      <c r="H639" s="780"/>
    </row>
    <row r="640" spans="1:8">
      <c r="A640" s="822"/>
      <c r="B640" s="824"/>
      <c r="C640" s="748"/>
      <c r="D640" s="825"/>
      <c r="E640" s="753" t="s">
        <v>442</v>
      </c>
      <c r="F640" s="758"/>
      <c r="G640" s="780"/>
      <c r="H640" s="780"/>
    </row>
    <row r="641" spans="1:8">
      <c r="A641" s="822"/>
      <c r="B641" s="824"/>
      <c r="C641" s="822"/>
      <c r="D641" s="822"/>
      <c r="E641" s="826">
        <f>SUM(E638:E640)</f>
        <v>2.5031249999999998E-2</v>
      </c>
      <c r="F641" s="788" t="s">
        <v>19</v>
      </c>
      <c r="G641" s="780"/>
      <c r="H641" s="780"/>
    </row>
    <row r="642" spans="1:8">
      <c r="A642" s="822"/>
      <c r="B642" s="824"/>
      <c r="C642" s="822"/>
      <c r="D642" s="822"/>
      <c r="E642" s="753" t="s">
        <v>442</v>
      </c>
      <c r="F642" s="788"/>
      <c r="G642" s="780"/>
      <c r="H642" s="780"/>
    </row>
    <row r="643" spans="1:8">
      <c r="A643" s="822"/>
      <c r="B643" s="824"/>
      <c r="C643" s="748" t="s">
        <v>3687</v>
      </c>
      <c r="D643" s="780"/>
      <c r="E643" s="780"/>
      <c r="F643" s="780"/>
      <c r="G643" s="780"/>
      <c r="H643" s="780"/>
    </row>
    <row r="644" spans="1:8">
      <c r="A644" s="822"/>
      <c r="B644" s="824"/>
      <c r="C644" s="748" t="s">
        <v>5282</v>
      </c>
      <c r="D644" s="827"/>
      <c r="E644" s="756">
        <f>1*1.9*0.65</f>
        <v>1.2349999999999999</v>
      </c>
      <c r="F644" s="489" t="s">
        <v>2788</v>
      </c>
      <c r="G644" s="780"/>
      <c r="H644" s="780"/>
    </row>
    <row r="645" spans="1:8">
      <c r="A645" s="822"/>
      <c r="B645" s="824"/>
      <c r="C645" s="748"/>
      <c r="D645" s="827"/>
      <c r="E645" s="756"/>
      <c r="F645" s="758"/>
      <c r="G645" s="780"/>
      <c r="H645" s="780"/>
    </row>
    <row r="646" spans="1:8">
      <c r="A646" s="822"/>
      <c r="B646" s="824"/>
      <c r="C646" s="748" t="s">
        <v>5249</v>
      </c>
      <c r="D646" s="827"/>
      <c r="E646" s="756"/>
      <c r="F646" s="758"/>
      <c r="G646" s="780"/>
      <c r="H646" s="780"/>
    </row>
    <row r="647" spans="1:8">
      <c r="A647" s="822"/>
      <c r="B647" s="824"/>
      <c r="C647" s="748" t="s">
        <v>5283</v>
      </c>
      <c r="D647" s="827"/>
      <c r="E647" s="757">
        <f>1*1.775*0.525</f>
        <v>0.93187500000000001</v>
      </c>
      <c r="F647" s="758" t="str">
        <f>F644</f>
        <v>SQM</v>
      </c>
      <c r="G647" s="780"/>
      <c r="H647" s="780"/>
    </row>
    <row r="648" spans="1:8">
      <c r="A648" s="822"/>
      <c r="B648" s="824"/>
      <c r="C648" s="748" t="s">
        <v>5251</v>
      </c>
      <c r="D648" s="822"/>
      <c r="E648" s="762"/>
      <c r="F648" s="761"/>
      <c r="G648" s="780"/>
      <c r="H648" s="780"/>
    </row>
    <row r="649" spans="1:8">
      <c r="A649" s="763"/>
      <c r="B649" s="824"/>
      <c r="C649" s="748" t="s">
        <v>5284</v>
      </c>
      <c r="D649" s="827"/>
      <c r="E649" s="828">
        <f>1.775+0.525</f>
        <v>2.2999999999999998</v>
      </c>
      <c r="F649" s="758"/>
      <c r="G649" s="780"/>
      <c r="H649" s="780"/>
    </row>
    <row r="650" spans="1:8">
      <c r="A650" s="763"/>
      <c r="B650" s="824"/>
      <c r="C650" s="822"/>
      <c r="D650" s="829"/>
      <c r="E650" s="830">
        <f>E649*2</f>
        <v>4.5999999999999996</v>
      </c>
      <c r="F650" s="766" t="s">
        <v>12</v>
      </c>
      <c r="G650" s="780"/>
      <c r="H650" s="780"/>
    </row>
    <row r="651" spans="1:8">
      <c r="A651" s="763"/>
      <c r="B651" s="824"/>
      <c r="C651" s="833" t="s">
        <v>5253</v>
      </c>
      <c r="D651" s="829"/>
      <c r="E651" s="746"/>
      <c r="F651" s="766"/>
      <c r="G651" s="780"/>
      <c r="H651" s="780"/>
    </row>
    <row r="652" spans="1:8">
      <c r="A652" s="758"/>
      <c r="B652" s="747"/>
      <c r="C652" s="768"/>
      <c r="D652" s="780"/>
      <c r="E652" s="766"/>
      <c r="F652" s="746"/>
      <c r="G652" s="780"/>
      <c r="H652" s="780"/>
    </row>
    <row r="653" spans="1:8">
      <c r="A653" s="770"/>
      <c r="B653" s="824"/>
      <c r="C653" s="772" t="s">
        <v>5254</v>
      </c>
      <c r="D653" s="780"/>
      <c r="E653" s="766"/>
      <c r="F653" s="823"/>
      <c r="G653" s="780"/>
      <c r="H653" s="780"/>
    </row>
    <row r="654" spans="1:8">
      <c r="A654" s="758">
        <f>E641</f>
        <v>2.5031249999999998E-2</v>
      </c>
      <c r="B654" s="746" t="s">
        <v>2334</v>
      </c>
      <c r="C654" s="748" t="s">
        <v>5269</v>
      </c>
      <c r="D654" s="766">
        <f>D618</f>
        <v>99400</v>
      </c>
      <c r="E654" s="746" t="s">
        <v>2334</v>
      </c>
      <c r="F654" s="766">
        <f>(A654*D654)</f>
        <v>2488.1062499999998</v>
      </c>
      <c r="G654" s="780"/>
      <c r="H654" s="780"/>
    </row>
    <row r="655" spans="1:8">
      <c r="A655" s="758">
        <f>E644</f>
        <v>1.2349999999999999</v>
      </c>
      <c r="B655" s="489" t="s">
        <v>2788</v>
      </c>
      <c r="C655" s="748" t="s">
        <v>3687</v>
      </c>
      <c r="D655" s="766">
        <f t="shared" ref="D655:D662" si="22">D619</f>
        <v>1078</v>
      </c>
      <c r="E655" s="489" t="s">
        <v>2788</v>
      </c>
      <c r="F655" s="766">
        <f t="shared" ref="F655:F662" si="23">(A655*D655)</f>
        <v>1331.33</v>
      </c>
      <c r="G655" s="780"/>
      <c r="H655" s="780"/>
    </row>
    <row r="656" spans="1:8">
      <c r="A656" s="770">
        <f>E647</f>
        <v>0.93187500000000001</v>
      </c>
      <c r="B656" s="489" t="s">
        <v>2788</v>
      </c>
      <c r="C656" s="748" t="s">
        <v>5249</v>
      </c>
      <c r="D656" s="766">
        <f t="shared" si="22"/>
        <v>208.8</v>
      </c>
      <c r="E656" s="489" t="s">
        <v>2788</v>
      </c>
      <c r="F656" s="766">
        <f t="shared" si="23"/>
        <v>194.57550000000001</v>
      </c>
      <c r="G656" s="780"/>
      <c r="H656" s="780"/>
    </row>
    <row r="657" spans="1:8">
      <c r="A657" s="766">
        <f>E650</f>
        <v>4.5999999999999996</v>
      </c>
      <c r="B657" s="766" t="s">
        <v>12</v>
      </c>
      <c r="C657" s="772" t="s">
        <v>5257</v>
      </c>
      <c r="D657" s="766">
        <f t="shared" si="22"/>
        <v>45.7</v>
      </c>
      <c r="E657" s="766" t="s">
        <v>12</v>
      </c>
      <c r="F657" s="766">
        <f t="shared" si="23"/>
        <v>210.22</v>
      </c>
      <c r="G657" s="780"/>
      <c r="H657" s="780"/>
    </row>
    <row r="658" spans="1:8">
      <c r="A658" s="766">
        <v>3</v>
      </c>
      <c r="B658" s="489" t="s">
        <v>2342</v>
      </c>
      <c r="C658" s="490" t="s">
        <v>3826</v>
      </c>
      <c r="D658" s="766">
        <f t="shared" si="22"/>
        <v>79.099999999999994</v>
      </c>
      <c r="E658" s="490" t="s">
        <v>2342</v>
      </c>
      <c r="F658" s="766">
        <f t="shared" si="23"/>
        <v>237.29999999999998</v>
      </c>
      <c r="G658" s="780"/>
      <c r="H658" s="780"/>
    </row>
    <row r="659" spans="1:8">
      <c r="A659" s="766">
        <v>2</v>
      </c>
      <c r="B659" s="489" t="s">
        <v>2342</v>
      </c>
      <c r="C659" s="490" t="s">
        <v>5258</v>
      </c>
      <c r="D659" s="766">
        <f t="shared" si="22"/>
        <v>68.5</v>
      </c>
      <c r="E659" s="490" t="s">
        <v>2342</v>
      </c>
      <c r="F659" s="766">
        <f t="shared" si="23"/>
        <v>137</v>
      </c>
      <c r="G659" s="780"/>
      <c r="H659" s="780"/>
    </row>
    <row r="660" spans="1:8">
      <c r="A660" s="766">
        <v>1</v>
      </c>
      <c r="B660" s="489" t="s">
        <v>2342</v>
      </c>
      <c r="C660" s="490" t="s">
        <v>5259</v>
      </c>
      <c r="D660" s="766">
        <f t="shared" si="22"/>
        <v>50.9</v>
      </c>
      <c r="E660" s="490" t="s">
        <v>2342</v>
      </c>
      <c r="F660" s="766">
        <f t="shared" si="23"/>
        <v>50.9</v>
      </c>
      <c r="G660" s="780"/>
      <c r="H660" s="780"/>
    </row>
    <row r="661" spans="1:8">
      <c r="A661" s="766">
        <v>1</v>
      </c>
      <c r="B661" s="489" t="s">
        <v>2342</v>
      </c>
      <c r="C661" s="490" t="s">
        <v>2816</v>
      </c>
      <c r="D661" s="766">
        <f t="shared" si="22"/>
        <v>7.3</v>
      </c>
      <c r="E661" s="490" t="s">
        <v>2342</v>
      </c>
      <c r="F661" s="766">
        <f t="shared" si="23"/>
        <v>7.3</v>
      </c>
      <c r="G661" s="780"/>
      <c r="H661" s="780"/>
    </row>
    <row r="662" spans="1:8">
      <c r="A662" s="766">
        <v>40</v>
      </c>
      <c r="B662" s="489" t="s">
        <v>2342</v>
      </c>
      <c r="C662" s="490" t="s">
        <v>5260</v>
      </c>
      <c r="D662" s="766">
        <f t="shared" si="22"/>
        <v>2.37</v>
      </c>
      <c r="E662" s="490" t="s">
        <v>2342</v>
      </c>
      <c r="F662" s="766">
        <f t="shared" si="23"/>
        <v>94.800000000000011</v>
      </c>
      <c r="G662" s="780"/>
      <c r="H662" s="780"/>
    </row>
    <row r="663" spans="1:8">
      <c r="A663" s="766"/>
      <c r="B663" s="747"/>
      <c r="C663" s="748"/>
      <c r="D663" s="780"/>
      <c r="E663" s="766"/>
      <c r="F663" s="753" t="s">
        <v>442</v>
      </c>
      <c r="G663" s="780"/>
      <c r="H663" s="780"/>
    </row>
    <row r="664" spans="1:8">
      <c r="A664" s="822"/>
      <c r="B664" s="824"/>
      <c r="C664" s="748" t="s">
        <v>5285</v>
      </c>
      <c r="D664" s="780"/>
      <c r="E664" s="746"/>
      <c r="F664" s="825">
        <f>SUM(F654:F663)</f>
        <v>4751.5317500000001</v>
      </c>
      <c r="G664" s="780"/>
      <c r="H664" s="780"/>
    </row>
    <row r="665" spans="1:8">
      <c r="A665" s="822"/>
      <c r="B665" s="824"/>
      <c r="C665" s="780"/>
      <c r="D665" s="766"/>
      <c r="E665" s="823"/>
      <c r="F665" s="753" t="s">
        <v>442</v>
      </c>
      <c r="G665" s="780"/>
      <c r="H665" s="780"/>
    </row>
    <row r="666" spans="1:8">
      <c r="A666" s="822"/>
      <c r="B666" s="824"/>
      <c r="C666" s="825" t="s">
        <v>5262</v>
      </c>
      <c r="D666" s="766"/>
      <c r="E666" s="823"/>
      <c r="F666" s="803">
        <f>F664/A655</f>
        <v>3847.3941295546565</v>
      </c>
      <c r="G666" s="780"/>
      <c r="H666" s="780"/>
    </row>
    <row r="667" spans="1:8">
      <c r="A667" s="822"/>
      <c r="B667" s="824"/>
      <c r="C667" s="822"/>
      <c r="D667" s="766"/>
      <c r="E667" s="823"/>
      <c r="F667" s="780"/>
      <c r="G667" s="780"/>
      <c r="H667" s="780"/>
    </row>
    <row r="668" spans="1:8">
      <c r="A668" s="780"/>
      <c r="B668" s="780"/>
      <c r="C668" s="780"/>
      <c r="D668" s="780"/>
      <c r="E668" s="780"/>
      <c r="F668" s="780"/>
      <c r="G668" s="780"/>
      <c r="H668" s="780"/>
    </row>
    <row r="669" spans="1:8">
      <c r="A669" s="780"/>
      <c r="B669" s="780"/>
      <c r="C669" s="780"/>
      <c r="D669" s="780"/>
      <c r="E669" s="780"/>
      <c r="F669" s="780"/>
      <c r="G669" s="780"/>
      <c r="H669" s="780"/>
    </row>
    <row r="670" spans="1:8">
      <c r="A670" s="822"/>
      <c r="B670" s="824"/>
      <c r="C670" s="748" t="s">
        <v>5243</v>
      </c>
      <c r="D670" s="822"/>
      <c r="E670" s="823"/>
      <c r="F670" s="822"/>
      <c r="G670" s="780"/>
      <c r="H670" s="780"/>
    </row>
    <row r="671" spans="1:8" ht="18">
      <c r="A671" s="822"/>
      <c r="B671" s="824"/>
      <c r="C671" s="752" t="s">
        <v>5286</v>
      </c>
      <c r="D671" s="822"/>
      <c r="E671" s="823"/>
      <c r="F671" s="822"/>
      <c r="G671" s="780"/>
      <c r="H671" s="780"/>
    </row>
    <row r="672" spans="1:8">
      <c r="A672" s="822"/>
      <c r="B672" s="824"/>
      <c r="C672" s="753" t="s">
        <v>442</v>
      </c>
      <c r="D672" s="822"/>
      <c r="E672" s="823"/>
      <c r="F672" s="822"/>
      <c r="G672" s="780"/>
      <c r="H672" s="780"/>
    </row>
    <row r="673" spans="1:8">
      <c r="A673" s="822"/>
      <c r="B673" s="824"/>
      <c r="C673" s="772" t="s">
        <v>5245</v>
      </c>
      <c r="D673" s="788"/>
      <c r="E673" s="788"/>
      <c r="F673" s="788" t="s">
        <v>19</v>
      </c>
      <c r="G673" s="780"/>
      <c r="H673" s="780"/>
    </row>
    <row r="674" spans="1:8">
      <c r="A674" s="822"/>
      <c r="B674" s="824"/>
      <c r="C674" s="761" t="s">
        <v>5280</v>
      </c>
      <c r="D674" s="780"/>
      <c r="E674" s="757">
        <f>2*2*1.9*0.075*0.0375</f>
        <v>2.1374999999999998E-2</v>
      </c>
      <c r="F674" s="822" t="s">
        <v>19</v>
      </c>
      <c r="G674" s="780"/>
      <c r="H674" s="780"/>
    </row>
    <row r="675" spans="1:8">
      <c r="A675" s="822"/>
      <c r="B675" s="824"/>
      <c r="C675" s="748" t="s">
        <v>5287</v>
      </c>
      <c r="D675" s="780"/>
      <c r="E675" s="757">
        <f>1*2*0.47*0.075*0.0375</f>
        <v>2.6437499999999998E-3</v>
      </c>
      <c r="F675" s="822" t="s">
        <v>19</v>
      </c>
      <c r="G675" s="780"/>
      <c r="H675" s="780"/>
    </row>
    <row r="676" spans="1:8">
      <c r="A676" s="822"/>
      <c r="B676" s="824"/>
      <c r="C676" s="748"/>
      <c r="D676" s="825"/>
      <c r="E676" s="753" t="s">
        <v>442</v>
      </c>
      <c r="F676" s="758"/>
      <c r="G676" s="780"/>
      <c r="H676" s="780"/>
    </row>
    <row r="677" spans="1:8">
      <c r="A677" s="822"/>
      <c r="B677" s="824"/>
      <c r="C677" s="822"/>
      <c r="D677" s="822"/>
      <c r="E677" s="826">
        <f>SUM(E674:E676)</f>
        <v>2.4018749999999998E-2</v>
      </c>
      <c r="F677" s="788" t="s">
        <v>19</v>
      </c>
      <c r="G677" s="780"/>
      <c r="H677" s="780"/>
    </row>
    <row r="678" spans="1:8">
      <c r="A678" s="822"/>
      <c r="B678" s="824"/>
      <c r="C678" s="822"/>
      <c r="D678" s="822"/>
      <c r="E678" s="753" t="s">
        <v>442</v>
      </c>
      <c r="F678" s="788"/>
      <c r="G678" s="780"/>
      <c r="H678" s="780"/>
    </row>
    <row r="679" spans="1:8">
      <c r="A679" s="822"/>
      <c r="B679" s="824"/>
      <c r="C679" s="748" t="s">
        <v>3687</v>
      </c>
      <c r="D679" s="780"/>
      <c r="E679" s="780"/>
      <c r="F679" s="780"/>
      <c r="G679" s="780"/>
      <c r="H679" s="780"/>
    </row>
    <row r="680" spans="1:8">
      <c r="A680" s="822"/>
      <c r="B680" s="824"/>
      <c r="C680" s="748" t="s">
        <v>5288</v>
      </c>
      <c r="D680" s="827"/>
      <c r="E680" s="756">
        <f>1*1.9*0.47</f>
        <v>0.8929999999999999</v>
      </c>
      <c r="F680" s="489" t="s">
        <v>2788</v>
      </c>
      <c r="G680" s="780"/>
      <c r="H680" s="780"/>
    </row>
    <row r="681" spans="1:8">
      <c r="A681" s="822"/>
      <c r="B681" s="824"/>
      <c r="C681" s="748"/>
      <c r="D681" s="827"/>
      <c r="E681" s="756"/>
      <c r="F681" s="758"/>
      <c r="G681" s="780"/>
      <c r="H681" s="780"/>
    </row>
    <row r="682" spans="1:8">
      <c r="A682" s="822"/>
      <c r="B682" s="824"/>
      <c r="C682" s="748" t="s">
        <v>5249</v>
      </c>
      <c r="D682" s="827"/>
      <c r="E682" s="756"/>
      <c r="F682" s="758"/>
      <c r="G682" s="780"/>
      <c r="H682" s="780"/>
    </row>
    <row r="683" spans="1:8">
      <c r="A683" s="822"/>
      <c r="B683" s="824"/>
      <c r="C683" s="748" t="s">
        <v>5289</v>
      </c>
      <c r="D683" s="827"/>
      <c r="E683" s="757">
        <f>1*1.775*0.345</f>
        <v>0.61237499999999989</v>
      </c>
      <c r="F683" s="758" t="str">
        <f>F680</f>
        <v>SQM</v>
      </c>
      <c r="G683" s="788"/>
      <c r="H683" s="780"/>
    </row>
    <row r="684" spans="1:8">
      <c r="A684" s="822"/>
      <c r="B684" s="824"/>
      <c r="C684" s="748" t="s">
        <v>5251</v>
      </c>
      <c r="D684" s="822"/>
      <c r="E684" s="762"/>
      <c r="F684" s="761"/>
      <c r="G684" s="788"/>
      <c r="H684" s="780"/>
    </row>
    <row r="685" spans="1:8">
      <c r="A685" s="763"/>
      <c r="B685" s="824"/>
      <c r="C685" s="748" t="s">
        <v>5290</v>
      </c>
      <c r="D685" s="827"/>
      <c r="E685" s="828">
        <f>1.775+0.345</f>
        <v>2.12</v>
      </c>
      <c r="F685" s="758"/>
      <c r="G685" s="788"/>
      <c r="H685" s="780"/>
    </row>
    <row r="686" spans="1:8">
      <c r="A686" s="763"/>
      <c r="B686" s="824"/>
      <c r="C686" s="822"/>
      <c r="D686" s="829"/>
      <c r="E686" s="830">
        <f>E685*2</f>
        <v>4.24</v>
      </c>
      <c r="F686" s="766" t="s">
        <v>12</v>
      </c>
      <c r="G686" s="788"/>
      <c r="H686" s="780"/>
    </row>
    <row r="687" spans="1:8">
      <c r="A687" s="763"/>
      <c r="B687" s="824"/>
      <c r="C687" s="833" t="s">
        <v>5253</v>
      </c>
      <c r="D687" s="829"/>
      <c r="E687" s="746"/>
      <c r="F687" s="766"/>
      <c r="G687" s="788"/>
      <c r="H687" s="780"/>
    </row>
    <row r="688" spans="1:8">
      <c r="A688" s="758"/>
      <c r="B688" s="747"/>
      <c r="C688" s="768"/>
      <c r="D688" s="780"/>
      <c r="E688" s="766"/>
      <c r="F688" s="746"/>
      <c r="G688" s="788"/>
      <c r="H688" s="780"/>
    </row>
    <row r="689" spans="1:8">
      <c r="A689" s="770"/>
      <c r="B689" s="824"/>
      <c r="C689" s="772" t="s">
        <v>5254</v>
      </c>
      <c r="D689" s="780"/>
      <c r="E689" s="766"/>
      <c r="F689" s="823"/>
      <c r="G689" s="788"/>
      <c r="H689" s="780"/>
    </row>
    <row r="690" spans="1:8">
      <c r="A690" s="758">
        <f>E677</f>
        <v>2.4018749999999998E-2</v>
      </c>
      <c r="B690" s="746" t="s">
        <v>2334</v>
      </c>
      <c r="C690" s="748" t="s">
        <v>5269</v>
      </c>
      <c r="D690" s="766">
        <f>D654</f>
        <v>99400</v>
      </c>
      <c r="E690" s="746" t="s">
        <v>2334</v>
      </c>
      <c r="F690" s="766">
        <f>(A690*D690)</f>
        <v>2387.4637499999999</v>
      </c>
      <c r="G690" s="788"/>
      <c r="H690" s="780"/>
    </row>
    <row r="691" spans="1:8">
      <c r="A691" s="758">
        <f>E680</f>
        <v>0.8929999999999999</v>
      </c>
      <c r="B691" s="489" t="s">
        <v>2788</v>
      </c>
      <c r="C691" s="748" t="s">
        <v>3687</v>
      </c>
      <c r="D691" s="766">
        <f t="shared" ref="D691:D698" si="24">D655</f>
        <v>1078</v>
      </c>
      <c r="E691" s="489" t="s">
        <v>2788</v>
      </c>
      <c r="F691" s="766">
        <f t="shared" ref="F691:F698" si="25">(A691*D691)</f>
        <v>962.65399999999988</v>
      </c>
      <c r="G691" s="788"/>
      <c r="H691" s="780"/>
    </row>
    <row r="692" spans="1:8">
      <c r="A692" s="770">
        <f>E683</f>
        <v>0.61237499999999989</v>
      </c>
      <c r="B692" s="489" t="s">
        <v>2788</v>
      </c>
      <c r="C692" s="748" t="s">
        <v>5249</v>
      </c>
      <c r="D692" s="766">
        <f t="shared" si="24"/>
        <v>208.8</v>
      </c>
      <c r="E692" s="489" t="s">
        <v>2788</v>
      </c>
      <c r="F692" s="766">
        <f t="shared" si="25"/>
        <v>127.86389999999999</v>
      </c>
      <c r="G692" s="788"/>
      <c r="H692" s="780"/>
    </row>
    <row r="693" spans="1:8">
      <c r="A693" s="766">
        <f>E686</f>
        <v>4.24</v>
      </c>
      <c r="B693" s="766" t="s">
        <v>12</v>
      </c>
      <c r="C693" s="772" t="s">
        <v>5257</v>
      </c>
      <c r="D693" s="766">
        <f t="shared" si="24"/>
        <v>45.7</v>
      </c>
      <c r="E693" s="766" t="s">
        <v>12</v>
      </c>
      <c r="F693" s="766">
        <f t="shared" si="25"/>
        <v>193.76800000000003</v>
      </c>
      <c r="G693" s="788"/>
      <c r="H693" s="780"/>
    </row>
    <row r="694" spans="1:8">
      <c r="A694" s="766">
        <v>3</v>
      </c>
      <c r="B694" s="489" t="s">
        <v>2342</v>
      </c>
      <c r="C694" s="490" t="s">
        <v>3826</v>
      </c>
      <c r="D694" s="766">
        <f t="shared" si="24"/>
        <v>79.099999999999994</v>
      </c>
      <c r="E694" s="490" t="s">
        <v>2342</v>
      </c>
      <c r="F694" s="766">
        <f t="shared" si="25"/>
        <v>237.29999999999998</v>
      </c>
      <c r="G694" s="788"/>
      <c r="H694" s="780"/>
    </row>
    <row r="695" spans="1:8">
      <c r="A695" s="766">
        <v>2</v>
      </c>
      <c r="B695" s="489" t="s">
        <v>2342</v>
      </c>
      <c r="C695" s="490" t="s">
        <v>5258</v>
      </c>
      <c r="D695" s="766">
        <f t="shared" si="24"/>
        <v>68.5</v>
      </c>
      <c r="E695" s="490" t="s">
        <v>2342</v>
      </c>
      <c r="F695" s="766">
        <f t="shared" si="25"/>
        <v>137</v>
      </c>
      <c r="G695" s="788"/>
      <c r="H695" s="780"/>
    </row>
    <row r="696" spans="1:8">
      <c r="A696" s="766">
        <v>1</v>
      </c>
      <c r="B696" s="489" t="s">
        <v>2342</v>
      </c>
      <c r="C696" s="490" t="s">
        <v>5259</v>
      </c>
      <c r="D696" s="766">
        <f t="shared" si="24"/>
        <v>50.9</v>
      </c>
      <c r="E696" s="490" t="s">
        <v>2342</v>
      </c>
      <c r="F696" s="766">
        <f t="shared" si="25"/>
        <v>50.9</v>
      </c>
      <c r="G696" s="788"/>
      <c r="H696" s="780"/>
    </row>
    <row r="697" spans="1:8">
      <c r="A697" s="766">
        <v>1</v>
      </c>
      <c r="B697" s="489" t="s">
        <v>2342</v>
      </c>
      <c r="C697" s="490" t="s">
        <v>2816</v>
      </c>
      <c r="D697" s="766">
        <f t="shared" si="24"/>
        <v>7.3</v>
      </c>
      <c r="E697" s="490" t="s">
        <v>2342</v>
      </c>
      <c r="F697" s="766">
        <f t="shared" si="25"/>
        <v>7.3</v>
      </c>
      <c r="G697" s="788"/>
      <c r="H697" s="780"/>
    </row>
    <row r="698" spans="1:8">
      <c r="A698" s="766">
        <v>40</v>
      </c>
      <c r="B698" s="489" t="s">
        <v>2342</v>
      </c>
      <c r="C698" s="490" t="s">
        <v>5260</v>
      </c>
      <c r="D698" s="766">
        <f t="shared" si="24"/>
        <v>2.37</v>
      </c>
      <c r="E698" s="490" t="s">
        <v>2342</v>
      </c>
      <c r="F698" s="766">
        <f t="shared" si="25"/>
        <v>94.800000000000011</v>
      </c>
      <c r="G698" s="788"/>
      <c r="H698" s="780"/>
    </row>
    <row r="699" spans="1:8">
      <c r="A699" s="766"/>
      <c r="B699" s="747"/>
      <c r="C699" s="748"/>
      <c r="D699" s="780"/>
      <c r="E699" s="766"/>
      <c r="F699" s="753" t="s">
        <v>442</v>
      </c>
      <c r="G699" s="788"/>
      <c r="H699" s="780"/>
    </row>
    <row r="700" spans="1:8">
      <c r="A700" s="822"/>
      <c r="B700" s="824"/>
      <c r="C700" s="748" t="s">
        <v>5291</v>
      </c>
      <c r="D700" s="780"/>
      <c r="E700" s="746"/>
      <c r="F700" s="825">
        <f>SUM(F690:F699)</f>
        <v>4199.0496499999999</v>
      </c>
      <c r="G700" s="788"/>
      <c r="H700" s="780"/>
    </row>
    <row r="701" spans="1:8">
      <c r="A701" s="822"/>
      <c r="B701" s="824"/>
      <c r="C701" s="780"/>
      <c r="D701" s="766"/>
      <c r="E701" s="823"/>
      <c r="F701" s="753" t="s">
        <v>442</v>
      </c>
      <c r="G701" s="788"/>
      <c r="H701" s="780"/>
    </row>
    <row r="702" spans="1:8">
      <c r="A702" s="822"/>
      <c r="B702" s="824"/>
      <c r="C702" s="825" t="s">
        <v>5262</v>
      </c>
      <c r="D702" s="766"/>
      <c r="E702" s="823"/>
      <c r="F702" s="803">
        <f>F700/A691</f>
        <v>4702.1832586786122</v>
      </c>
      <c r="G702" s="788"/>
      <c r="H702" s="780"/>
    </row>
    <row r="703" spans="1:8">
      <c r="A703" s="822"/>
      <c r="B703" s="824"/>
      <c r="C703" s="822"/>
      <c r="D703" s="766"/>
      <c r="E703" s="823"/>
      <c r="F703" s="780"/>
      <c r="G703" s="788"/>
      <c r="H703" s="780"/>
    </row>
    <row r="704" spans="1:8">
      <c r="A704" s="780"/>
      <c r="B704" s="780"/>
      <c r="C704" s="780"/>
      <c r="D704" s="780"/>
      <c r="E704" s="780"/>
      <c r="F704" s="780"/>
      <c r="G704" s="788"/>
      <c r="H704" s="780"/>
    </row>
  </sheetData>
  <mergeCells count="16">
    <mergeCell ref="B128:D128"/>
    <mergeCell ref="A21:C22"/>
    <mergeCell ref="D22:G22"/>
    <mergeCell ref="B55:F55"/>
    <mergeCell ref="B80:D80"/>
    <mergeCell ref="A106:F107"/>
    <mergeCell ref="A361:H361"/>
    <mergeCell ref="A406:H406"/>
    <mergeCell ref="A451:H451"/>
    <mergeCell ref="E560:H560"/>
    <mergeCell ref="A155:F156"/>
    <mergeCell ref="D178:F178"/>
    <mergeCell ref="A247:D247"/>
    <mergeCell ref="A277:D277"/>
    <mergeCell ref="A315:H315"/>
    <mergeCell ref="A316:H316"/>
  </mergeCells>
  <pageMargins left="1.56" right="0.7" top="0.75" bottom="0.59" header="0.3" footer="0.3"/>
  <pageSetup paperSize="9" scale="85" orientation="portrait" r:id="rId1"/>
  <headerFooter>
    <oddHeader>&amp;C&amp;P</oddHeader>
  </headerFooter>
</worksheet>
</file>

<file path=xl/worksheets/sheet9.xml><?xml version="1.0" encoding="utf-8"?>
<worksheet xmlns="http://schemas.openxmlformats.org/spreadsheetml/2006/main" xmlns:r="http://schemas.openxmlformats.org/officeDocument/2006/relationships">
  <sheetPr syncVertical="1" syncRef="A1" transitionEvaluation="1" codeName="Sheet22"/>
  <dimension ref="A1:AK8296"/>
  <sheetViews>
    <sheetView view="pageBreakPreview" topLeftCell="F2832" zoomScale="70" zoomScaleNormal="60" zoomScaleSheetLayoutView="70" workbookViewId="0">
      <selection activeCell="K118" sqref="K118"/>
    </sheetView>
  </sheetViews>
  <sheetFormatPr defaultColWidth="9.5703125" defaultRowHeight="15.75"/>
  <cols>
    <col min="1" max="1" width="10" style="511" hidden="1" customWidth="1"/>
    <col min="2" max="2" width="58.85546875" style="511" hidden="1" customWidth="1"/>
    <col min="3" max="3" width="15.140625" style="511" hidden="1" customWidth="1"/>
    <col min="4" max="4" width="12.5703125" style="511" hidden="1" customWidth="1"/>
    <col min="5" max="5" width="11.85546875" style="511" hidden="1" customWidth="1"/>
    <col min="6" max="6" width="11.42578125" style="511" customWidth="1"/>
    <col min="7" max="7" width="8.42578125" style="512" customWidth="1"/>
    <col min="8" max="8" width="62.5703125" style="511" customWidth="1"/>
    <col min="9" max="9" width="12.85546875" style="511" customWidth="1"/>
    <col min="10" max="10" width="14.7109375" style="513" customWidth="1"/>
    <col min="11" max="11" width="14.5703125" style="511" customWidth="1"/>
    <col min="12" max="12" width="12.5703125" style="511" customWidth="1"/>
    <col min="13" max="13" width="12.140625" style="511" customWidth="1"/>
    <col min="14" max="14" width="12.85546875" style="511" bestFit="1" customWidth="1"/>
    <col min="15" max="15" width="42.140625" style="511" customWidth="1"/>
    <col min="16" max="16" width="15.5703125" style="511" customWidth="1"/>
    <col min="17" max="17" width="10" style="511" customWidth="1"/>
    <col min="18" max="18" width="13.85546875" style="511" customWidth="1"/>
    <col min="19" max="19" width="11" style="511" bestFit="1" customWidth="1"/>
    <col min="20" max="20" width="10" style="511" customWidth="1"/>
    <col min="21" max="21" width="64" style="511" customWidth="1"/>
    <col min="22" max="22" width="10" style="511" hidden="1" customWidth="1"/>
    <col min="23" max="23" width="21.5703125" style="511" hidden="1" customWidth="1"/>
    <col min="24" max="24" width="11.7109375" style="511" customWidth="1"/>
    <col min="25" max="25" width="14.42578125" style="511" bestFit="1" customWidth="1"/>
    <col min="26" max="26" width="12.42578125" style="511" customWidth="1"/>
    <col min="27" max="27" width="11.140625" style="511" customWidth="1"/>
    <col min="28" max="28" width="12.42578125" style="511" customWidth="1"/>
    <col min="29" max="29" width="13.7109375" style="511" customWidth="1"/>
    <col min="30" max="30" width="29.85546875" style="511" customWidth="1"/>
    <col min="31" max="31" width="11.28515625" style="511" customWidth="1"/>
    <col min="32" max="32" width="10.42578125" style="511" bestFit="1" customWidth="1"/>
    <col min="33" max="33" width="11.5703125" style="511" customWidth="1"/>
    <col min="34" max="34" width="11.28515625" style="511" customWidth="1"/>
    <col min="35" max="256" width="9.5703125" style="511"/>
    <col min="257" max="261" width="0" style="511" hidden="1" customWidth="1"/>
    <col min="262" max="262" width="11.42578125" style="511" customWidth="1"/>
    <col min="263" max="263" width="8.42578125" style="511" customWidth="1"/>
    <col min="264" max="264" width="62.5703125" style="511" customWidth="1"/>
    <col min="265" max="265" width="12.85546875" style="511" customWidth="1"/>
    <col min="266" max="266" width="14.7109375" style="511" customWidth="1"/>
    <col min="267" max="267" width="14.5703125" style="511" customWidth="1"/>
    <col min="268" max="268" width="12.5703125" style="511" customWidth="1"/>
    <col min="269" max="269" width="12.140625" style="511" customWidth="1"/>
    <col min="270" max="270" width="12.85546875" style="511" bestFit="1" customWidth="1"/>
    <col min="271" max="271" width="42.140625" style="511" customWidth="1"/>
    <col min="272" max="272" width="15.5703125" style="511" customWidth="1"/>
    <col min="273" max="273" width="10" style="511" customWidth="1"/>
    <col min="274" max="274" width="13.85546875" style="511" customWidth="1"/>
    <col min="275" max="275" width="11" style="511" bestFit="1" customWidth="1"/>
    <col min="276" max="276" width="10" style="511" customWidth="1"/>
    <col min="277" max="277" width="64" style="511" customWidth="1"/>
    <col min="278" max="279" width="0" style="511" hidden="1" customWidth="1"/>
    <col min="280" max="280" width="11.7109375" style="511" customWidth="1"/>
    <col min="281" max="281" width="14.42578125" style="511" bestFit="1" customWidth="1"/>
    <col min="282" max="282" width="12.42578125" style="511" customWidth="1"/>
    <col min="283" max="283" width="11.140625" style="511" customWidth="1"/>
    <col min="284" max="284" width="12.42578125" style="511" customWidth="1"/>
    <col min="285" max="285" width="13.7109375" style="511" customWidth="1"/>
    <col min="286" max="286" width="29.85546875" style="511" customWidth="1"/>
    <col min="287" max="287" width="11.28515625" style="511" customWidth="1"/>
    <col min="288" max="288" width="10.42578125" style="511" bestFit="1" customWidth="1"/>
    <col min="289" max="289" width="11.5703125" style="511" customWidth="1"/>
    <col min="290" max="290" width="11.28515625" style="511" customWidth="1"/>
    <col min="291" max="512" width="9.5703125" style="511"/>
    <col min="513" max="517" width="0" style="511" hidden="1" customWidth="1"/>
    <col min="518" max="518" width="11.42578125" style="511" customWidth="1"/>
    <col min="519" max="519" width="8.42578125" style="511" customWidth="1"/>
    <col min="520" max="520" width="62.5703125" style="511" customWidth="1"/>
    <col min="521" max="521" width="12.85546875" style="511" customWidth="1"/>
    <col min="522" max="522" width="14.7109375" style="511" customWidth="1"/>
    <col min="523" max="523" width="14.5703125" style="511" customWidth="1"/>
    <col min="524" max="524" width="12.5703125" style="511" customWidth="1"/>
    <col min="525" max="525" width="12.140625" style="511" customWidth="1"/>
    <col min="526" max="526" width="12.85546875" style="511" bestFit="1" customWidth="1"/>
    <col min="527" max="527" width="42.140625" style="511" customWidth="1"/>
    <col min="528" max="528" width="15.5703125" style="511" customWidth="1"/>
    <col min="529" max="529" width="10" style="511" customWidth="1"/>
    <col min="530" max="530" width="13.85546875" style="511" customWidth="1"/>
    <col min="531" max="531" width="11" style="511" bestFit="1" customWidth="1"/>
    <col min="532" max="532" width="10" style="511" customWidth="1"/>
    <col min="533" max="533" width="64" style="511" customWidth="1"/>
    <col min="534" max="535" width="0" style="511" hidden="1" customWidth="1"/>
    <col min="536" max="536" width="11.7109375" style="511" customWidth="1"/>
    <col min="537" max="537" width="14.42578125" style="511" bestFit="1" customWidth="1"/>
    <col min="538" max="538" width="12.42578125" style="511" customWidth="1"/>
    <col min="539" max="539" width="11.140625" style="511" customWidth="1"/>
    <col min="540" max="540" width="12.42578125" style="511" customWidth="1"/>
    <col min="541" max="541" width="13.7109375" style="511" customWidth="1"/>
    <col min="542" max="542" width="29.85546875" style="511" customWidth="1"/>
    <col min="543" max="543" width="11.28515625" style="511" customWidth="1"/>
    <col min="544" max="544" width="10.42578125" style="511" bestFit="1" customWidth="1"/>
    <col min="545" max="545" width="11.5703125" style="511" customWidth="1"/>
    <col min="546" max="546" width="11.28515625" style="511" customWidth="1"/>
    <col min="547" max="768" width="9.5703125" style="511"/>
    <col min="769" max="773" width="0" style="511" hidden="1" customWidth="1"/>
    <col min="774" max="774" width="11.42578125" style="511" customWidth="1"/>
    <col min="775" max="775" width="8.42578125" style="511" customWidth="1"/>
    <col min="776" max="776" width="62.5703125" style="511" customWidth="1"/>
    <col min="777" max="777" width="12.85546875" style="511" customWidth="1"/>
    <col min="778" max="778" width="14.7109375" style="511" customWidth="1"/>
    <col min="779" max="779" width="14.5703125" style="511" customWidth="1"/>
    <col min="780" max="780" width="12.5703125" style="511" customWidth="1"/>
    <col min="781" max="781" width="12.140625" style="511" customWidth="1"/>
    <col min="782" max="782" width="12.85546875" style="511" bestFit="1" customWidth="1"/>
    <col min="783" max="783" width="42.140625" style="511" customWidth="1"/>
    <col min="784" max="784" width="15.5703125" style="511" customWidth="1"/>
    <col min="785" max="785" width="10" style="511" customWidth="1"/>
    <col min="786" max="786" width="13.85546875" style="511" customWidth="1"/>
    <col min="787" max="787" width="11" style="511" bestFit="1" customWidth="1"/>
    <col min="788" max="788" width="10" style="511" customWidth="1"/>
    <col min="789" max="789" width="64" style="511" customWidth="1"/>
    <col min="790" max="791" width="0" style="511" hidden="1" customWidth="1"/>
    <col min="792" max="792" width="11.7109375" style="511" customWidth="1"/>
    <col min="793" max="793" width="14.42578125" style="511" bestFit="1" customWidth="1"/>
    <col min="794" max="794" width="12.42578125" style="511" customWidth="1"/>
    <col min="795" max="795" width="11.140625" style="511" customWidth="1"/>
    <col min="796" max="796" width="12.42578125" style="511" customWidth="1"/>
    <col min="797" max="797" width="13.7109375" style="511" customWidth="1"/>
    <col min="798" max="798" width="29.85546875" style="511" customWidth="1"/>
    <col min="799" max="799" width="11.28515625" style="511" customWidth="1"/>
    <col min="800" max="800" width="10.42578125" style="511" bestFit="1" customWidth="1"/>
    <col min="801" max="801" width="11.5703125" style="511" customWidth="1"/>
    <col min="802" max="802" width="11.28515625" style="511" customWidth="1"/>
    <col min="803" max="1024" width="9.5703125" style="511"/>
    <col min="1025" max="1029" width="0" style="511" hidden="1" customWidth="1"/>
    <col min="1030" max="1030" width="11.42578125" style="511" customWidth="1"/>
    <col min="1031" max="1031" width="8.42578125" style="511" customWidth="1"/>
    <col min="1032" max="1032" width="62.5703125" style="511" customWidth="1"/>
    <col min="1033" max="1033" width="12.85546875" style="511" customWidth="1"/>
    <col min="1034" max="1034" width="14.7109375" style="511" customWidth="1"/>
    <col min="1035" max="1035" width="14.5703125" style="511" customWidth="1"/>
    <col min="1036" max="1036" width="12.5703125" style="511" customWidth="1"/>
    <col min="1037" max="1037" width="12.140625" style="511" customWidth="1"/>
    <col min="1038" max="1038" width="12.85546875" style="511" bestFit="1" customWidth="1"/>
    <col min="1039" max="1039" width="42.140625" style="511" customWidth="1"/>
    <col min="1040" max="1040" width="15.5703125" style="511" customWidth="1"/>
    <col min="1041" max="1041" width="10" style="511" customWidth="1"/>
    <col min="1042" max="1042" width="13.85546875" style="511" customWidth="1"/>
    <col min="1043" max="1043" width="11" style="511" bestFit="1" customWidth="1"/>
    <col min="1044" max="1044" width="10" style="511" customWidth="1"/>
    <col min="1045" max="1045" width="64" style="511" customWidth="1"/>
    <col min="1046" max="1047" width="0" style="511" hidden="1" customWidth="1"/>
    <col min="1048" max="1048" width="11.7109375" style="511" customWidth="1"/>
    <col min="1049" max="1049" width="14.42578125" style="511" bestFit="1" customWidth="1"/>
    <col min="1050" max="1050" width="12.42578125" style="511" customWidth="1"/>
    <col min="1051" max="1051" width="11.140625" style="511" customWidth="1"/>
    <col min="1052" max="1052" width="12.42578125" style="511" customWidth="1"/>
    <col min="1053" max="1053" width="13.7109375" style="511" customWidth="1"/>
    <col min="1054" max="1054" width="29.85546875" style="511" customWidth="1"/>
    <col min="1055" max="1055" width="11.28515625" style="511" customWidth="1"/>
    <col min="1056" max="1056" width="10.42578125" style="511" bestFit="1" customWidth="1"/>
    <col min="1057" max="1057" width="11.5703125" style="511" customWidth="1"/>
    <col min="1058" max="1058" width="11.28515625" style="511" customWidth="1"/>
    <col min="1059" max="1280" width="9.5703125" style="511"/>
    <col min="1281" max="1285" width="0" style="511" hidden="1" customWidth="1"/>
    <col min="1286" max="1286" width="11.42578125" style="511" customWidth="1"/>
    <col min="1287" max="1287" width="8.42578125" style="511" customWidth="1"/>
    <col min="1288" max="1288" width="62.5703125" style="511" customWidth="1"/>
    <col min="1289" max="1289" width="12.85546875" style="511" customWidth="1"/>
    <col min="1290" max="1290" width="14.7109375" style="511" customWidth="1"/>
    <col min="1291" max="1291" width="14.5703125" style="511" customWidth="1"/>
    <col min="1292" max="1292" width="12.5703125" style="511" customWidth="1"/>
    <col min="1293" max="1293" width="12.140625" style="511" customWidth="1"/>
    <col min="1294" max="1294" width="12.85546875" style="511" bestFit="1" customWidth="1"/>
    <col min="1295" max="1295" width="42.140625" style="511" customWidth="1"/>
    <col min="1296" max="1296" width="15.5703125" style="511" customWidth="1"/>
    <col min="1297" max="1297" width="10" style="511" customWidth="1"/>
    <col min="1298" max="1298" width="13.85546875" style="511" customWidth="1"/>
    <col min="1299" max="1299" width="11" style="511" bestFit="1" customWidth="1"/>
    <col min="1300" max="1300" width="10" style="511" customWidth="1"/>
    <col min="1301" max="1301" width="64" style="511" customWidth="1"/>
    <col min="1302" max="1303" width="0" style="511" hidden="1" customWidth="1"/>
    <col min="1304" max="1304" width="11.7109375" style="511" customWidth="1"/>
    <col min="1305" max="1305" width="14.42578125" style="511" bestFit="1" customWidth="1"/>
    <col min="1306" max="1306" width="12.42578125" style="511" customWidth="1"/>
    <col min="1307" max="1307" width="11.140625" style="511" customWidth="1"/>
    <col min="1308" max="1308" width="12.42578125" style="511" customWidth="1"/>
    <col min="1309" max="1309" width="13.7109375" style="511" customWidth="1"/>
    <col min="1310" max="1310" width="29.85546875" style="511" customWidth="1"/>
    <col min="1311" max="1311" width="11.28515625" style="511" customWidth="1"/>
    <col min="1312" max="1312" width="10.42578125" style="511" bestFit="1" customWidth="1"/>
    <col min="1313" max="1313" width="11.5703125" style="511" customWidth="1"/>
    <col min="1314" max="1314" width="11.28515625" style="511" customWidth="1"/>
    <col min="1315" max="1536" width="9.5703125" style="511"/>
    <col min="1537" max="1541" width="0" style="511" hidden="1" customWidth="1"/>
    <col min="1542" max="1542" width="11.42578125" style="511" customWidth="1"/>
    <col min="1543" max="1543" width="8.42578125" style="511" customWidth="1"/>
    <col min="1544" max="1544" width="62.5703125" style="511" customWidth="1"/>
    <col min="1545" max="1545" width="12.85546875" style="511" customWidth="1"/>
    <col min="1546" max="1546" width="14.7109375" style="511" customWidth="1"/>
    <col min="1547" max="1547" width="14.5703125" style="511" customWidth="1"/>
    <col min="1548" max="1548" width="12.5703125" style="511" customWidth="1"/>
    <col min="1549" max="1549" width="12.140625" style="511" customWidth="1"/>
    <col min="1550" max="1550" width="12.85546875" style="511" bestFit="1" customWidth="1"/>
    <col min="1551" max="1551" width="42.140625" style="511" customWidth="1"/>
    <col min="1552" max="1552" width="15.5703125" style="511" customWidth="1"/>
    <col min="1553" max="1553" width="10" style="511" customWidth="1"/>
    <col min="1554" max="1554" width="13.85546875" style="511" customWidth="1"/>
    <col min="1555" max="1555" width="11" style="511" bestFit="1" customWidth="1"/>
    <col min="1556" max="1556" width="10" style="511" customWidth="1"/>
    <col min="1557" max="1557" width="64" style="511" customWidth="1"/>
    <col min="1558" max="1559" width="0" style="511" hidden="1" customWidth="1"/>
    <col min="1560" max="1560" width="11.7109375" style="511" customWidth="1"/>
    <col min="1561" max="1561" width="14.42578125" style="511" bestFit="1" customWidth="1"/>
    <col min="1562" max="1562" width="12.42578125" style="511" customWidth="1"/>
    <col min="1563" max="1563" width="11.140625" style="511" customWidth="1"/>
    <col min="1564" max="1564" width="12.42578125" style="511" customWidth="1"/>
    <col min="1565" max="1565" width="13.7109375" style="511" customWidth="1"/>
    <col min="1566" max="1566" width="29.85546875" style="511" customWidth="1"/>
    <col min="1567" max="1567" width="11.28515625" style="511" customWidth="1"/>
    <col min="1568" max="1568" width="10.42578125" style="511" bestFit="1" customWidth="1"/>
    <col min="1569" max="1569" width="11.5703125" style="511" customWidth="1"/>
    <col min="1570" max="1570" width="11.28515625" style="511" customWidth="1"/>
    <col min="1571" max="1792" width="9.5703125" style="511"/>
    <col min="1793" max="1797" width="0" style="511" hidden="1" customWidth="1"/>
    <col min="1798" max="1798" width="11.42578125" style="511" customWidth="1"/>
    <col min="1799" max="1799" width="8.42578125" style="511" customWidth="1"/>
    <col min="1800" max="1800" width="62.5703125" style="511" customWidth="1"/>
    <col min="1801" max="1801" width="12.85546875" style="511" customWidth="1"/>
    <col min="1802" max="1802" width="14.7109375" style="511" customWidth="1"/>
    <col min="1803" max="1803" width="14.5703125" style="511" customWidth="1"/>
    <col min="1804" max="1804" width="12.5703125" style="511" customWidth="1"/>
    <col min="1805" max="1805" width="12.140625" style="511" customWidth="1"/>
    <col min="1806" max="1806" width="12.85546875" style="511" bestFit="1" customWidth="1"/>
    <col min="1807" max="1807" width="42.140625" style="511" customWidth="1"/>
    <col min="1808" max="1808" width="15.5703125" style="511" customWidth="1"/>
    <col min="1809" max="1809" width="10" style="511" customWidth="1"/>
    <col min="1810" max="1810" width="13.85546875" style="511" customWidth="1"/>
    <col min="1811" max="1811" width="11" style="511" bestFit="1" customWidth="1"/>
    <col min="1812" max="1812" width="10" style="511" customWidth="1"/>
    <col min="1813" max="1813" width="64" style="511" customWidth="1"/>
    <col min="1814" max="1815" width="0" style="511" hidden="1" customWidth="1"/>
    <col min="1816" max="1816" width="11.7109375" style="511" customWidth="1"/>
    <col min="1817" max="1817" width="14.42578125" style="511" bestFit="1" customWidth="1"/>
    <col min="1818" max="1818" width="12.42578125" style="511" customWidth="1"/>
    <col min="1819" max="1819" width="11.140625" style="511" customWidth="1"/>
    <col min="1820" max="1820" width="12.42578125" style="511" customWidth="1"/>
    <col min="1821" max="1821" width="13.7109375" style="511" customWidth="1"/>
    <col min="1822" max="1822" width="29.85546875" style="511" customWidth="1"/>
    <col min="1823" max="1823" width="11.28515625" style="511" customWidth="1"/>
    <col min="1824" max="1824" width="10.42578125" style="511" bestFit="1" customWidth="1"/>
    <col min="1825" max="1825" width="11.5703125" style="511" customWidth="1"/>
    <col min="1826" max="1826" width="11.28515625" style="511" customWidth="1"/>
    <col min="1827" max="2048" width="9.5703125" style="511"/>
    <col min="2049" max="2053" width="0" style="511" hidden="1" customWidth="1"/>
    <col min="2054" max="2054" width="11.42578125" style="511" customWidth="1"/>
    <col min="2055" max="2055" width="8.42578125" style="511" customWidth="1"/>
    <col min="2056" max="2056" width="62.5703125" style="511" customWidth="1"/>
    <col min="2057" max="2057" width="12.85546875" style="511" customWidth="1"/>
    <col min="2058" max="2058" width="14.7109375" style="511" customWidth="1"/>
    <col min="2059" max="2059" width="14.5703125" style="511" customWidth="1"/>
    <col min="2060" max="2060" width="12.5703125" style="511" customWidth="1"/>
    <col min="2061" max="2061" width="12.140625" style="511" customWidth="1"/>
    <col min="2062" max="2062" width="12.85546875" style="511" bestFit="1" customWidth="1"/>
    <col min="2063" max="2063" width="42.140625" style="511" customWidth="1"/>
    <col min="2064" max="2064" width="15.5703125" style="511" customWidth="1"/>
    <col min="2065" max="2065" width="10" style="511" customWidth="1"/>
    <col min="2066" max="2066" width="13.85546875" style="511" customWidth="1"/>
    <col min="2067" max="2067" width="11" style="511" bestFit="1" customWidth="1"/>
    <col min="2068" max="2068" width="10" style="511" customWidth="1"/>
    <col min="2069" max="2069" width="64" style="511" customWidth="1"/>
    <col min="2070" max="2071" width="0" style="511" hidden="1" customWidth="1"/>
    <col min="2072" max="2072" width="11.7109375" style="511" customWidth="1"/>
    <col min="2073" max="2073" width="14.42578125" style="511" bestFit="1" customWidth="1"/>
    <col min="2074" max="2074" width="12.42578125" style="511" customWidth="1"/>
    <col min="2075" max="2075" width="11.140625" style="511" customWidth="1"/>
    <col min="2076" max="2076" width="12.42578125" style="511" customWidth="1"/>
    <col min="2077" max="2077" width="13.7109375" style="511" customWidth="1"/>
    <col min="2078" max="2078" width="29.85546875" style="511" customWidth="1"/>
    <col min="2079" max="2079" width="11.28515625" style="511" customWidth="1"/>
    <col min="2080" max="2080" width="10.42578125" style="511" bestFit="1" customWidth="1"/>
    <col min="2081" max="2081" width="11.5703125" style="511" customWidth="1"/>
    <col min="2082" max="2082" width="11.28515625" style="511" customWidth="1"/>
    <col min="2083" max="2304" width="9.5703125" style="511"/>
    <col min="2305" max="2309" width="0" style="511" hidden="1" customWidth="1"/>
    <col min="2310" max="2310" width="11.42578125" style="511" customWidth="1"/>
    <col min="2311" max="2311" width="8.42578125" style="511" customWidth="1"/>
    <col min="2312" max="2312" width="62.5703125" style="511" customWidth="1"/>
    <col min="2313" max="2313" width="12.85546875" style="511" customWidth="1"/>
    <col min="2314" max="2314" width="14.7109375" style="511" customWidth="1"/>
    <col min="2315" max="2315" width="14.5703125" style="511" customWidth="1"/>
    <col min="2316" max="2316" width="12.5703125" style="511" customWidth="1"/>
    <col min="2317" max="2317" width="12.140625" style="511" customWidth="1"/>
    <col min="2318" max="2318" width="12.85546875" style="511" bestFit="1" customWidth="1"/>
    <col min="2319" max="2319" width="42.140625" style="511" customWidth="1"/>
    <col min="2320" max="2320" width="15.5703125" style="511" customWidth="1"/>
    <col min="2321" max="2321" width="10" style="511" customWidth="1"/>
    <col min="2322" max="2322" width="13.85546875" style="511" customWidth="1"/>
    <col min="2323" max="2323" width="11" style="511" bestFit="1" customWidth="1"/>
    <col min="2324" max="2324" width="10" style="511" customWidth="1"/>
    <col min="2325" max="2325" width="64" style="511" customWidth="1"/>
    <col min="2326" max="2327" width="0" style="511" hidden="1" customWidth="1"/>
    <col min="2328" max="2328" width="11.7109375" style="511" customWidth="1"/>
    <col min="2329" max="2329" width="14.42578125" style="511" bestFit="1" customWidth="1"/>
    <col min="2330" max="2330" width="12.42578125" style="511" customWidth="1"/>
    <col min="2331" max="2331" width="11.140625" style="511" customWidth="1"/>
    <col min="2332" max="2332" width="12.42578125" style="511" customWidth="1"/>
    <col min="2333" max="2333" width="13.7109375" style="511" customWidth="1"/>
    <col min="2334" max="2334" width="29.85546875" style="511" customWidth="1"/>
    <col min="2335" max="2335" width="11.28515625" style="511" customWidth="1"/>
    <col min="2336" max="2336" width="10.42578125" style="511" bestFit="1" customWidth="1"/>
    <col min="2337" max="2337" width="11.5703125" style="511" customWidth="1"/>
    <col min="2338" max="2338" width="11.28515625" style="511" customWidth="1"/>
    <col min="2339" max="2560" width="9.5703125" style="511"/>
    <col min="2561" max="2565" width="0" style="511" hidden="1" customWidth="1"/>
    <col min="2566" max="2566" width="11.42578125" style="511" customWidth="1"/>
    <col min="2567" max="2567" width="8.42578125" style="511" customWidth="1"/>
    <col min="2568" max="2568" width="62.5703125" style="511" customWidth="1"/>
    <col min="2569" max="2569" width="12.85546875" style="511" customWidth="1"/>
    <col min="2570" max="2570" width="14.7109375" style="511" customWidth="1"/>
    <col min="2571" max="2571" width="14.5703125" style="511" customWidth="1"/>
    <col min="2572" max="2572" width="12.5703125" style="511" customWidth="1"/>
    <col min="2573" max="2573" width="12.140625" style="511" customWidth="1"/>
    <col min="2574" max="2574" width="12.85546875" style="511" bestFit="1" customWidth="1"/>
    <col min="2575" max="2575" width="42.140625" style="511" customWidth="1"/>
    <col min="2576" max="2576" width="15.5703125" style="511" customWidth="1"/>
    <col min="2577" max="2577" width="10" style="511" customWidth="1"/>
    <col min="2578" max="2578" width="13.85546875" style="511" customWidth="1"/>
    <col min="2579" max="2579" width="11" style="511" bestFit="1" customWidth="1"/>
    <col min="2580" max="2580" width="10" style="511" customWidth="1"/>
    <col min="2581" max="2581" width="64" style="511" customWidth="1"/>
    <col min="2582" max="2583" width="0" style="511" hidden="1" customWidth="1"/>
    <col min="2584" max="2584" width="11.7109375" style="511" customWidth="1"/>
    <col min="2585" max="2585" width="14.42578125" style="511" bestFit="1" customWidth="1"/>
    <col min="2586" max="2586" width="12.42578125" style="511" customWidth="1"/>
    <col min="2587" max="2587" width="11.140625" style="511" customWidth="1"/>
    <col min="2588" max="2588" width="12.42578125" style="511" customWidth="1"/>
    <col min="2589" max="2589" width="13.7109375" style="511" customWidth="1"/>
    <col min="2590" max="2590" width="29.85546875" style="511" customWidth="1"/>
    <col min="2591" max="2591" width="11.28515625" style="511" customWidth="1"/>
    <col min="2592" max="2592" width="10.42578125" style="511" bestFit="1" customWidth="1"/>
    <col min="2593" max="2593" width="11.5703125" style="511" customWidth="1"/>
    <col min="2594" max="2594" width="11.28515625" style="511" customWidth="1"/>
    <col min="2595" max="2816" width="9.5703125" style="511"/>
    <col min="2817" max="2821" width="0" style="511" hidden="1" customWidth="1"/>
    <col min="2822" max="2822" width="11.42578125" style="511" customWidth="1"/>
    <col min="2823" max="2823" width="8.42578125" style="511" customWidth="1"/>
    <col min="2824" max="2824" width="62.5703125" style="511" customWidth="1"/>
    <col min="2825" max="2825" width="12.85546875" style="511" customWidth="1"/>
    <col min="2826" max="2826" width="14.7109375" style="511" customWidth="1"/>
    <col min="2827" max="2827" width="14.5703125" style="511" customWidth="1"/>
    <col min="2828" max="2828" width="12.5703125" style="511" customWidth="1"/>
    <col min="2829" max="2829" width="12.140625" style="511" customWidth="1"/>
    <col min="2830" max="2830" width="12.85546875" style="511" bestFit="1" customWidth="1"/>
    <col min="2831" max="2831" width="42.140625" style="511" customWidth="1"/>
    <col min="2832" max="2832" width="15.5703125" style="511" customWidth="1"/>
    <col min="2833" max="2833" width="10" style="511" customWidth="1"/>
    <col min="2834" max="2834" width="13.85546875" style="511" customWidth="1"/>
    <col min="2835" max="2835" width="11" style="511" bestFit="1" customWidth="1"/>
    <col min="2836" max="2836" width="10" style="511" customWidth="1"/>
    <col min="2837" max="2837" width="64" style="511" customWidth="1"/>
    <col min="2838" max="2839" width="0" style="511" hidden="1" customWidth="1"/>
    <col min="2840" max="2840" width="11.7109375" style="511" customWidth="1"/>
    <col min="2841" max="2841" width="14.42578125" style="511" bestFit="1" customWidth="1"/>
    <col min="2842" max="2842" width="12.42578125" style="511" customWidth="1"/>
    <col min="2843" max="2843" width="11.140625" style="511" customWidth="1"/>
    <col min="2844" max="2844" width="12.42578125" style="511" customWidth="1"/>
    <col min="2845" max="2845" width="13.7109375" style="511" customWidth="1"/>
    <col min="2846" max="2846" width="29.85546875" style="511" customWidth="1"/>
    <col min="2847" max="2847" width="11.28515625" style="511" customWidth="1"/>
    <col min="2848" max="2848" width="10.42578125" style="511" bestFit="1" customWidth="1"/>
    <col min="2849" max="2849" width="11.5703125" style="511" customWidth="1"/>
    <col min="2850" max="2850" width="11.28515625" style="511" customWidth="1"/>
    <col min="2851" max="3072" width="9.5703125" style="511"/>
    <col min="3073" max="3077" width="0" style="511" hidden="1" customWidth="1"/>
    <col min="3078" max="3078" width="11.42578125" style="511" customWidth="1"/>
    <col min="3079" max="3079" width="8.42578125" style="511" customWidth="1"/>
    <col min="3080" max="3080" width="62.5703125" style="511" customWidth="1"/>
    <col min="3081" max="3081" width="12.85546875" style="511" customWidth="1"/>
    <col min="3082" max="3082" width="14.7109375" style="511" customWidth="1"/>
    <col min="3083" max="3083" width="14.5703125" style="511" customWidth="1"/>
    <col min="3084" max="3084" width="12.5703125" style="511" customWidth="1"/>
    <col min="3085" max="3085" width="12.140625" style="511" customWidth="1"/>
    <col min="3086" max="3086" width="12.85546875" style="511" bestFit="1" customWidth="1"/>
    <col min="3087" max="3087" width="42.140625" style="511" customWidth="1"/>
    <col min="3088" max="3088" width="15.5703125" style="511" customWidth="1"/>
    <col min="3089" max="3089" width="10" style="511" customWidth="1"/>
    <col min="3090" max="3090" width="13.85546875" style="511" customWidth="1"/>
    <col min="3091" max="3091" width="11" style="511" bestFit="1" customWidth="1"/>
    <col min="3092" max="3092" width="10" style="511" customWidth="1"/>
    <col min="3093" max="3093" width="64" style="511" customWidth="1"/>
    <col min="3094" max="3095" width="0" style="511" hidden="1" customWidth="1"/>
    <col min="3096" max="3096" width="11.7109375" style="511" customWidth="1"/>
    <col min="3097" max="3097" width="14.42578125" style="511" bestFit="1" customWidth="1"/>
    <col min="3098" max="3098" width="12.42578125" style="511" customWidth="1"/>
    <col min="3099" max="3099" width="11.140625" style="511" customWidth="1"/>
    <col min="3100" max="3100" width="12.42578125" style="511" customWidth="1"/>
    <col min="3101" max="3101" width="13.7109375" style="511" customWidth="1"/>
    <col min="3102" max="3102" width="29.85546875" style="511" customWidth="1"/>
    <col min="3103" max="3103" width="11.28515625" style="511" customWidth="1"/>
    <col min="3104" max="3104" width="10.42578125" style="511" bestFit="1" customWidth="1"/>
    <col min="3105" max="3105" width="11.5703125" style="511" customWidth="1"/>
    <col min="3106" max="3106" width="11.28515625" style="511" customWidth="1"/>
    <col min="3107" max="3328" width="9.5703125" style="511"/>
    <col min="3329" max="3333" width="0" style="511" hidden="1" customWidth="1"/>
    <col min="3334" max="3334" width="11.42578125" style="511" customWidth="1"/>
    <col min="3335" max="3335" width="8.42578125" style="511" customWidth="1"/>
    <col min="3336" max="3336" width="62.5703125" style="511" customWidth="1"/>
    <col min="3337" max="3337" width="12.85546875" style="511" customWidth="1"/>
    <col min="3338" max="3338" width="14.7109375" style="511" customWidth="1"/>
    <col min="3339" max="3339" width="14.5703125" style="511" customWidth="1"/>
    <col min="3340" max="3340" width="12.5703125" style="511" customWidth="1"/>
    <col min="3341" max="3341" width="12.140625" style="511" customWidth="1"/>
    <col min="3342" max="3342" width="12.85546875" style="511" bestFit="1" customWidth="1"/>
    <col min="3343" max="3343" width="42.140625" style="511" customWidth="1"/>
    <col min="3344" max="3344" width="15.5703125" style="511" customWidth="1"/>
    <col min="3345" max="3345" width="10" style="511" customWidth="1"/>
    <col min="3346" max="3346" width="13.85546875" style="511" customWidth="1"/>
    <col min="3347" max="3347" width="11" style="511" bestFit="1" customWidth="1"/>
    <col min="3348" max="3348" width="10" style="511" customWidth="1"/>
    <col min="3349" max="3349" width="64" style="511" customWidth="1"/>
    <col min="3350" max="3351" width="0" style="511" hidden="1" customWidth="1"/>
    <col min="3352" max="3352" width="11.7109375" style="511" customWidth="1"/>
    <col min="3353" max="3353" width="14.42578125" style="511" bestFit="1" customWidth="1"/>
    <col min="3354" max="3354" width="12.42578125" style="511" customWidth="1"/>
    <col min="3355" max="3355" width="11.140625" style="511" customWidth="1"/>
    <col min="3356" max="3356" width="12.42578125" style="511" customWidth="1"/>
    <col min="3357" max="3357" width="13.7109375" style="511" customWidth="1"/>
    <col min="3358" max="3358" width="29.85546875" style="511" customWidth="1"/>
    <col min="3359" max="3359" width="11.28515625" style="511" customWidth="1"/>
    <col min="3360" max="3360" width="10.42578125" style="511" bestFit="1" customWidth="1"/>
    <col min="3361" max="3361" width="11.5703125" style="511" customWidth="1"/>
    <col min="3362" max="3362" width="11.28515625" style="511" customWidth="1"/>
    <col min="3363" max="3584" width="9.5703125" style="511"/>
    <col min="3585" max="3589" width="0" style="511" hidden="1" customWidth="1"/>
    <col min="3590" max="3590" width="11.42578125" style="511" customWidth="1"/>
    <col min="3591" max="3591" width="8.42578125" style="511" customWidth="1"/>
    <col min="3592" max="3592" width="62.5703125" style="511" customWidth="1"/>
    <col min="3593" max="3593" width="12.85546875" style="511" customWidth="1"/>
    <col min="3594" max="3594" width="14.7109375" style="511" customWidth="1"/>
    <col min="3595" max="3595" width="14.5703125" style="511" customWidth="1"/>
    <col min="3596" max="3596" width="12.5703125" style="511" customWidth="1"/>
    <col min="3597" max="3597" width="12.140625" style="511" customWidth="1"/>
    <col min="3598" max="3598" width="12.85546875" style="511" bestFit="1" customWidth="1"/>
    <col min="3599" max="3599" width="42.140625" style="511" customWidth="1"/>
    <col min="3600" max="3600" width="15.5703125" style="511" customWidth="1"/>
    <col min="3601" max="3601" width="10" style="511" customWidth="1"/>
    <col min="3602" max="3602" width="13.85546875" style="511" customWidth="1"/>
    <col min="3603" max="3603" width="11" style="511" bestFit="1" customWidth="1"/>
    <col min="3604" max="3604" width="10" style="511" customWidth="1"/>
    <col min="3605" max="3605" width="64" style="511" customWidth="1"/>
    <col min="3606" max="3607" width="0" style="511" hidden="1" customWidth="1"/>
    <col min="3608" max="3608" width="11.7109375" style="511" customWidth="1"/>
    <col min="3609" max="3609" width="14.42578125" style="511" bestFit="1" customWidth="1"/>
    <col min="3610" max="3610" width="12.42578125" style="511" customWidth="1"/>
    <col min="3611" max="3611" width="11.140625" style="511" customWidth="1"/>
    <col min="3612" max="3612" width="12.42578125" style="511" customWidth="1"/>
    <col min="3613" max="3613" width="13.7109375" style="511" customWidth="1"/>
    <col min="3614" max="3614" width="29.85546875" style="511" customWidth="1"/>
    <col min="3615" max="3615" width="11.28515625" style="511" customWidth="1"/>
    <col min="3616" max="3616" width="10.42578125" style="511" bestFit="1" customWidth="1"/>
    <col min="3617" max="3617" width="11.5703125" style="511" customWidth="1"/>
    <col min="3618" max="3618" width="11.28515625" style="511" customWidth="1"/>
    <col min="3619" max="3840" width="9.5703125" style="511"/>
    <col min="3841" max="3845" width="0" style="511" hidden="1" customWidth="1"/>
    <col min="3846" max="3846" width="11.42578125" style="511" customWidth="1"/>
    <col min="3847" max="3847" width="8.42578125" style="511" customWidth="1"/>
    <col min="3848" max="3848" width="62.5703125" style="511" customWidth="1"/>
    <col min="3849" max="3849" width="12.85546875" style="511" customWidth="1"/>
    <col min="3850" max="3850" width="14.7109375" style="511" customWidth="1"/>
    <col min="3851" max="3851" width="14.5703125" style="511" customWidth="1"/>
    <col min="3852" max="3852" width="12.5703125" style="511" customWidth="1"/>
    <col min="3853" max="3853" width="12.140625" style="511" customWidth="1"/>
    <col min="3854" max="3854" width="12.85546875" style="511" bestFit="1" customWidth="1"/>
    <col min="3855" max="3855" width="42.140625" style="511" customWidth="1"/>
    <col min="3856" max="3856" width="15.5703125" style="511" customWidth="1"/>
    <col min="3857" max="3857" width="10" style="511" customWidth="1"/>
    <col min="3858" max="3858" width="13.85546875" style="511" customWidth="1"/>
    <col min="3859" max="3859" width="11" style="511" bestFit="1" customWidth="1"/>
    <col min="3860" max="3860" width="10" style="511" customWidth="1"/>
    <col min="3861" max="3861" width="64" style="511" customWidth="1"/>
    <col min="3862" max="3863" width="0" style="511" hidden="1" customWidth="1"/>
    <col min="3864" max="3864" width="11.7109375" style="511" customWidth="1"/>
    <col min="3865" max="3865" width="14.42578125" style="511" bestFit="1" customWidth="1"/>
    <col min="3866" max="3866" width="12.42578125" style="511" customWidth="1"/>
    <col min="3867" max="3867" width="11.140625" style="511" customWidth="1"/>
    <col min="3868" max="3868" width="12.42578125" style="511" customWidth="1"/>
    <col min="3869" max="3869" width="13.7109375" style="511" customWidth="1"/>
    <col min="3870" max="3870" width="29.85546875" style="511" customWidth="1"/>
    <col min="3871" max="3871" width="11.28515625" style="511" customWidth="1"/>
    <col min="3872" max="3872" width="10.42578125" style="511" bestFit="1" customWidth="1"/>
    <col min="3873" max="3873" width="11.5703125" style="511" customWidth="1"/>
    <col min="3874" max="3874" width="11.28515625" style="511" customWidth="1"/>
    <col min="3875" max="4096" width="9.5703125" style="511"/>
    <col min="4097" max="4101" width="0" style="511" hidden="1" customWidth="1"/>
    <col min="4102" max="4102" width="11.42578125" style="511" customWidth="1"/>
    <col min="4103" max="4103" width="8.42578125" style="511" customWidth="1"/>
    <col min="4104" max="4104" width="62.5703125" style="511" customWidth="1"/>
    <col min="4105" max="4105" width="12.85546875" style="511" customWidth="1"/>
    <col min="4106" max="4106" width="14.7109375" style="511" customWidth="1"/>
    <col min="4107" max="4107" width="14.5703125" style="511" customWidth="1"/>
    <col min="4108" max="4108" width="12.5703125" style="511" customWidth="1"/>
    <col min="4109" max="4109" width="12.140625" style="511" customWidth="1"/>
    <col min="4110" max="4110" width="12.85546875" style="511" bestFit="1" customWidth="1"/>
    <col min="4111" max="4111" width="42.140625" style="511" customWidth="1"/>
    <col min="4112" max="4112" width="15.5703125" style="511" customWidth="1"/>
    <col min="4113" max="4113" width="10" style="511" customWidth="1"/>
    <col min="4114" max="4114" width="13.85546875" style="511" customWidth="1"/>
    <col min="4115" max="4115" width="11" style="511" bestFit="1" customWidth="1"/>
    <col min="4116" max="4116" width="10" style="511" customWidth="1"/>
    <col min="4117" max="4117" width="64" style="511" customWidth="1"/>
    <col min="4118" max="4119" width="0" style="511" hidden="1" customWidth="1"/>
    <col min="4120" max="4120" width="11.7109375" style="511" customWidth="1"/>
    <col min="4121" max="4121" width="14.42578125" style="511" bestFit="1" customWidth="1"/>
    <col min="4122" max="4122" width="12.42578125" style="511" customWidth="1"/>
    <col min="4123" max="4123" width="11.140625" style="511" customWidth="1"/>
    <col min="4124" max="4124" width="12.42578125" style="511" customWidth="1"/>
    <col min="4125" max="4125" width="13.7109375" style="511" customWidth="1"/>
    <col min="4126" max="4126" width="29.85546875" style="511" customWidth="1"/>
    <col min="4127" max="4127" width="11.28515625" style="511" customWidth="1"/>
    <col min="4128" max="4128" width="10.42578125" style="511" bestFit="1" customWidth="1"/>
    <col min="4129" max="4129" width="11.5703125" style="511" customWidth="1"/>
    <col min="4130" max="4130" width="11.28515625" style="511" customWidth="1"/>
    <col min="4131" max="4352" width="9.5703125" style="511"/>
    <col min="4353" max="4357" width="0" style="511" hidden="1" customWidth="1"/>
    <col min="4358" max="4358" width="11.42578125" style="511" customWidth="1"/>
    <col min="4359" max="4359" width="8.42578125" style="511" customWidth="1"/>
    <col min="4360" max="4360" width="62.5703125" style="511" customWidth="1"/>
    <col min="4361" max="4361" width="12.85546875" style="511" customWidth="1"/>
    <col min="4362" max="4362" width="14.7109375" style="511" customWidth="1"/>
    <col min="4363" max="4363" width="14.5703125" style="511" customWidth="1"/>
    <col min="4364" max="4364" width="12.5703125" style="511" customWidth="1"/>
    <col min="4365" max="4365" width="12.140625" style="511" customWidth="1"/>
    <col min="4366" max="4366" width="12.85546875" style="511" bestFit="1" customWidth="1"/>
    <col min="4367" max="4367" width="42.140625" style="511" customWidth="1"/>
    <col min="4368" max="4368" width="15.5703125" style="511" customWidth="1"/>
    <col min="4369" max="4369" width="10" style="511" customWidth="1"/>
    <col min="4370" max="4370" width="13.85546875" style="511" customWidth="1"/>
    <col min="4371" max="4371" width="11" style="511" bestFit="1" customWidth="1"/>
    <col min="4372" max="4372" width="10" style="511" customWidth="1"/>
    <col min="4373" max="4373" width="64" style="511" customWidth="1"/>
    <col min="4374" max="4375" width="0" style="511" hidden="1" customWidth="1"/>
    <col min="4376" max="4376" width="11.7109375" style="511" customWidth="1"/>
    <col min="4377" max="4377" width="14.42578125" style="511" bestFit="1" customWidth="1"/>
    <col min="4378" max="4378" width="12.42578125" style="511" customWidth="1"/>
    <col min="4379" max="4379" width="11.140625" style="511" customWidth="1"/>
    <col min="4380" max="4380" width="12.42578125" style="511" customWidth="1"/>
    <col min="4381" max="4381" width="13.7109375" style="511" customWidth="1"/>
    <col min="4382" max="4382" width="29.85546875" style="511" customWidth="1"/>
    <col min="4383" max="4383" width="11.28515625" style="511" customWidth="1"/>
    <col min="4384" max="4384" width="10.42578125" style="511" bestFit="1" customWidth="1"/>
    <col min="4385" max="4385" width="11.5703125" style="511" customWidth="1"/>
    <col min="4386" max="4386" width="11.28515625" style="511" customWidth="1"/>
    <col min="4387" max="4608" width="9.5703125" style="511"/>
    <col min="4609" max="4613" width="0" style="511" hidden="1" customWidth="1"/>
    <col min="4614" max="4614" width="11.42578125" style="511" customWidth="1"/>
    <col min="4615" max="4615" width="8.42578125" style="511" customWidth="1"/>
    <col min="4616" max="4616" width="62.5703125" style="511" customWidth="1"/>
    <col min="4617" max="4617" width="12.85546875" style="511" customWidth="1"/>
    <col min="4618" max="4618" width="14.7109375" style="511" customWidth="1"/>
    <col min="4619" max="4619" width="14.5703125" style="511" customWidth="1"/>
    <col min="4620" max="4620" width="12.5703125" style="511" customWidth="1"/>
    <col min="4621" max="4621" width="12.140625" style="511" customWidth="1"/>
    <col min="4622" max="4622" width="12.85546875" style="511" bestFit="1" customWidth="1"/>
    <col min="4623" max="4623" width="42.140625" style="511" customWidth="1"/>
    <col min="4624" max="4624" width="15.5703125" style="511" customWidth="1"/>
    <col min="4625" max="4625" width="10" style="511" customWidth="1"/>
    <col min="4626" max="4626" width="13.85546875" style="511" customWidth="1"/>
    <col min="4627" max="4627" width="11" style="511" bestFit="1" customWidth="1"/>
    <col min="4628" max="4628" width="10" style="511" customWidth="1"/>
    <col min="4629" max="4629" width="64" style="511" customWidth="1"/>
    <col min="4630" max="4631" width="0" style="511" hidden="1" customWidth="1"/>
    <col min="4632" max="4632" width="11.7109375" style="511" customWidth="1"/>
    <col min="4633" max="4633" width="14.42578125" style="511" bestFit="1" customWidth="1"/>
    <col min="4634" max="4634" width="12.42578125" style="511" customWidth="1"/>
    <col min="4635" max="4635" width="11.140625" style="511" customWidth="1"/>
    <col min="4636" max="4636" width="12.42578125" style="511" customWidth="1"/>
    <col min="4637" max="4637" width="13.7109375" style="511" customWidth="1"/>
    <col min="4638" max="4638" width="29.85546875" style="511" customWidth="1"/>
    <col min="4639" max="4639" width="11.28515625" style="511" customWidth="1"/>
    <col min="4640" max="4640" width="10.42578125" style="511" bestFit="1" customWidth="1"/>
    <col min="4641" max="4641" width="11.5703125" style="511" customWidth="1"/>
    <col min="4642" max="4642" width="11.28515625" style="511" customWidth="1"/>
    <col min="4643" max="4864" width="9.5703125" style="511"/>
    <col min="4865" max="4869" width="0" style="511" hidden="1" customWidth="1"/>
    <col min="4870" max="4870" width="11.42578125" style="511" customWidth="1"/>
    <col min="4871" max="4871" width="8.42578125" style="511" customWidth="1"/>
    <col min="4872" max="4872" width="62.5703125" style="511" customWidth="1"/>
    <col min="4873" max="4873" width="12.85546875" style="511" customWidth="1"/>
    <col min="4874" max="4874" width="14.7109375" style="511" customWidth="1"/>
    <col min="4875" max="4875" width="14.5703125" style="511" customWidth="1"/>
    <col min="4876" max="4876" width="12.5703125" style="511" customWidth="1"/>
    <col min="4877" max="4877" width="12.140625" style="511" customWidth="1"/>
    <col min="4878" max="4878" width="12.85546875" style="511" bestFit="1" customWidth="1"/>
    <col min="4879" max="4879" width="42.140625" style="511" customWidth="1"/>
    <col min="4880" max="4880" width="15.5703125" style="511" customWidth="1"/>
    <col min="4881" max="4881" width="10" style="511" customWidth="1"/>
    <col min="4882" max="4882" width="13.85546875" style="511" customWidth="1"/>
    <col min="4883" max="4883" width="11" style="511" bestFit="1" customWidth="1"/>
    <col min="4884" max="4884" width="10" style="511" customWidth="1"/>
    <col min="4885" max="4885" width="64" style="511" customWidth="1"/>
    <col min="4886" max="4887" width="0" style="511" hidden="1" customWidth="1"/>
    <col min="4888" max="4888" width="11.7109375" style="511" customWidth="1"/>
    <col min="4889" max="4889" width="14.42578125" style="511" bestFit="1" customWidth="1"/>
    <col min="4890" max="4890" width="12.42578125" style="511" customWidth="1"/>
    <col min="4891" max="4891" width="11.140625" style="511" customWidth="1"/>
    <col min="4892" max="4892" width="12.42578125" style="511" customWidth="1"/>
    <col min="4893" max="4893" width="13.7109375" style="511" customWidth="1"/>
    <col min="4894" max="4894" width="29.85546875" style="511" customWidth="1"/>
    <col min="4895" max="4895" width="11.28515625" style="511" customWidth="1"/>
    <col min="4896" max="4896" width="10.42578125" style="511" bestFit="1" customWidth="1"/>
    <col min="4897" max="4897" width="11.5703125" style="511" customWidth="1"/>
    <col min="4898" max="4898" width="11.28515625" style="511" customWidth="1"/>
    <col min="4899" max="5120" width="9.5703125" style="511"/>
    <col min="5121" max="5125" width="0" style="511" hidden="1" customWidth="1"/>
    <col min="5126" max="5126" width="11.42578125" style="511" customWidth="1"/>
    <col min="5127" max="5127" width="8.42578125" style="511" customWidth="1"/>
    <col min="5128" max="5128" width="62.5703125" style="511" customWidth="1"/>
    <col min="5129" max="5129" width="12.85546875" style="511" customWidth="1"/>
    <col min="5130" max="5130" width="14.7109375" style="511" customWidth="1"/>
    <col min="5131" max="5131" width="14.5703125" style="511" customWidth="1"/>
    <col min="5132" max="5132" width="12.5703125" style="511" customWidth="1"/>
    <col min="5133" max="5133" width="12.140625" style="511" customWidth="1"/>
    <col min="5134" max="5134" width="12.85546875" style="511" bestFit="1" customWidth="1"/>
    <col min="5135" max="5135" width="42.140625" style="511" customWidth="1"/>
    <col min="5136" max="5136" width="15.5703125" style="511" customWidth="1"/>
    <col min="5137" max="5137" width="10" style="511" customWidth="1"/>
    <col min="5138" max="5138" width="13.85546875" style="511" customWidth="1"/>
    <col min="5139" max="5139" width="11" style="511" bestFit="1" customWidth="1"/>
    <col min="5140" max="5140" width="10" style="511" customWidth="1"/>
    <col min="5141" max="5141" width="64" style="511" customWidth="1"/>
    <col min="5142" max="5143" width="0" style="511" hidden="1" customWidth="1"/>
    <col min="5144" max="5144" width="11.7109375" style="511" customWidth="1"/>
    <col min="5145" max="5145" width="14.42578125" style="511" bestFit="1" customWidth="1"/>
    <col min="5146" max="5146" width="12.42578125" style="511" customWidth="1"/>
    <col min="5147" max="5147" width="11.140625" style="511" customWidth="1"/>
    <col min="5148" max="5148" width="12.42578125" style="511" customWidth="1"/>
    <col min="5149" max="5149" width="13.7109375" style="511" customWidth="1"/>
    <col min="5150" max="5150" width="29.85546875" style="511" customWidth="1"/>
    <col min="5151" max="5151" width="11.28515625" style="511" customWidth="1"/>
    <col min="5152" max="5152" width="10.42578125" style="511" bestFit="1" customWidth="1"/>
    <col min="5153" max="5153" width="11.5703125" style="511" customWidth="1"/>
    <col min="5154" max="5154" width="11.28515625" style="511" customWidth="1"/>
    <col min="5155" max="5376" width="9.5703125" style="511"/>
    <col min="5377" max="5381" width="0" style="511" hidden="1" customWidth="1"/>
    <col min="5382" max="5382" width="11.42578125" style="511" customWidth="1"/>
    <col min="5383" max="5383" width="8.42578125" style="511" customWidth="1"/>
    <col min="5384" max="5384" width="62.5703125" style="511" customWidth="1"/>
    <col min="5385" max="5385" width="12.85546875" style="511" customWidth="1"/>
    <col min="5386" max="5386" width="14.7109375" style="511" customWidth="1"/>
    <col min="5387" max="5387" width="14.5703125" style="511" customWidth="1"/>
    <col min="5388" max="5388" width="12.5703125" style="511" customWidth="1"/>
    <col min="5389" max="5389" width="12.140625" style="511" customWidth="1"/>
    <col min="5390" max="5390" width="12.85546875" style="511" bestFit="1" customWidth="1"/>
    <col min="5391" max="5391" width="42.140625" style="511" customWidth="1"/>
    <col min="5392" max="5392" width="15.5703125" style="511" customWidth="1"/>
    <col min="5393" max="5393" width="10" style="511" customWidth="1"/>
    <col min="5394" max="5394" width="13.85546875" style="511" customWidth="1"/>
    <col min="5395" max="5395" width="11" style="511" bestFit="1" customWidth="1"/>
    <col min="5396" max="5396" width="10" style="511" customWidth="1"/>
    <col min="5397" max="5397" width="64" style="511" customWidth="1"/>
    <col min="5398" max="5399" width="0" style="511" hidden="1" customWidth="1"/>
    <col min="5400" max="5400" width="11.7109375" style="511" customWidth="1"/>
    <col min="5401" max="5401" width="14.42578125" style="511" bestFit="1" customWidth="1"/>
    <col min="5402" max="5402" width="12.42578125" style="511" customWidth="1"/>
    <col min="5403" max="5403" width="11.140625" style="511" customWidth="1"/>
    <col min="5404" max="5404" width="12.42578125" style="511" customWidth="1"/>
    <col min="5405" max="5405" width="13.7109375" style="511" customWidth="1"/>
    <col min="5406" max="5406" width="29.85546875" style="511" customWidth="1"/>
    <col min="5407" max="5407" width="11.28515625" style="511" customWidth="1"/>
    <col min="5408" max="5408" width="10.42578125" style="511" bestFit="1" customWidth="1"/>
    <col min="5409" max="5409" width="11.5703125" style="511" customWidth="1"/>
    <col min="5410" max="5410" width="11.28515625" style="511" customWidth="1"/>
    <col min="5411" max="5632" width="9.5703125" style="511"/>
    <col min="5633" max="5637" width="0" style="511" hidden="1" customWidth="1"/>
    <col min="5638" max="5638" width="11.42578125" style="511" customWidth="1"/>
    <col min="5639" max="5639" width="8.42578125" style="511" customWidth="1"/>
    <col min="5640" max="5640" width="62.5703125" style="511" customWidth="1"/>
    <col min="5641" max="5641" width="12.85546875" style="511" customWidth="1"/>
    <col min="5642" max="5642" width="14.7109375" style="511" customWidth="1"/>
    <col min="5643" max="5643" width="14.5703125" style="511" customWidth="1"/>
    <col min="5644" max="5644" width="12.5703125" style="511" customWidth="1"/>
    <col min="5645" max="5645" width="12.140625" style="511" customWidth="1"/>
    <col min="5646" max="5646" width="12.85546875" style="511" bestFit="1" customWidth="1"/>
    <col min="5647" max="5647" width="42.140625" style="511" customWidth="1"/>
    <col min="5648" max="5648" width="15.5703125" style="511" customWidth="1"/>
    <col min="5649" max="5649" width="10" style="511" customWidth="1"/>
    <col min="5650" max="5650" width="13.85546875" style="511" customWidth="1"/>
    <col min="5651" max="5651" width="11" style="511" bestFit="1" customWidth="1"/>
    <col min="5652" max="5652" width="10" style="511" customWidth="1"/>
    <col min="5653" max="5653" width="64" style="511" customWidth="1"/>
    <col min="5654" max="5655" width="0" style="511" hidden="1" customWidth="1"/>
    <col min="5656" max="5656" width="11.7109375" style="511" customWidth="1"/>
    <col min="5657" max="5657" width="14.42578125" style="511" bestFit="1" customWidth="1"/>
    <col min="5658" max="5658" width="12.42578125" style="511" customWidth="1"/>
    <col min="5659" max="5659" width="11.140625" style="511" customWidth="1"/>
    <col min="5660" max="5660" width="12.42578125" style="511" customWidth="1"/>
    <col min="5661" max="5661" width="13.7109375" style="511" customWidth="1"/>
    <col min="5662" max="5662" width="29.85546875" style="511" customWidth="1"/>
    <col min="5663" max="5663" width="11.28515625" style="511" customWidth="1"/>
    <col min="5664" max="5664" width="10.42578125" style="511" bestFit="1" customWidth="1"/>
    <col min="5665" max="5665" width="11.5703125" style="511" customWidth="1"/>
    <col min="5666" max="5666" width="11.28515625" style="511" customWidth="1"/>
    <col min="5667" max="5888" width="9.5703125" style="511"/>
    <col min="5889" max="5893" width="0" style="511" hidden="1" customWidth="1"/>
    <col min="5894" max="5894" width="11.42578125" style="511" customWidth="1"/>
    <col min="5895" max="5895" width="8.42578125" style="511" customWidth="1"/>
    <col min="5896" max="5896" width="62.5703125" style="511" customWidth="1"/>
    <col min="5897" max="5897" width="12.85546875" style="511" customWidth="1"/>
    <col min="5898" max="5898" width="14.7109375" style="511" customWidth="1"/>
    <col min="5899" max="5899" width="14.5703125" style="511" customWidth="1"/>
    <col min="5900" max="5900" width="12.5703125" style="511" customWidth="1"/>
    <col min="5901" max="5901" width="12.140625" style="511" customWidth="1"/>
    <col min="5902" max="5902" width="12.85546875" style="511" bestFit="1" customWidth="1"/>
    <col min="5903" max="5903" width="42.140625" style="511" customWidth="1"/>
    <col min="5904" max="5904" width="15.5703125" style="511" customWidth="1"/>
    <col min="5905" max="5905" width="10" style="511" customWidth="1"/>
    <col min="5906" max="5906" width="13.85546875" style="511" customWidth="1"/>
    <col min="5907" max="5907" width="11" style="511" bestFit="1" customWidth="1"/>
    <col min="5908" max="5908" width="10" style="511" customWidth="1"/>
    <col min="5909" max="5909" width="64" style="511" customWidth="1"/>
    <col min="5910" max="5911" width="0" style="511" hidden="1" customWidth="1"/>
    <col min="5912" max="5912" width="11.7109375" style="511" customWidth="1"/>
    <col min="5913" max="5913" width="14.42578125" style="511" bestFit="1" customWidth="1"/>
    <col min="5914" max="5914" width="12.42578125" style="511" customWidth="1"/>
    <col min="5915" max="5915" width="11.140625" style="511" customWidth="1"/>
    <col min="5916" max="5916" width="12.42578125" style="511" customWidth="1"/>
    <col min="5917" max="5917" width="13.7109375" style="511" customWidth="1"/>
    <col min="5918" max="5918" width="29.85546875" style="511" customWidth="1"/>
    <col min="5919" max="5919" width="11.28515625" style="511" customWidth="1"/>
    <col min="5920" max="5920" width="10.42578125" style="511" bestFit="1" customWidth="1"/>
    <col min="5921" max="5921" width="11.5703125" style="511" customWidth="1"/>
    <col min="5922" max="5922" width="11.28515625" style="511" customWidth="1"/>
    <col min="5923" max="6144" width="9.5703125" style="511"/>
    <col min="6145" max="6149" width="0" style="511" hidden="1" customWidth="1"/>
    <col min="6150" max="6150" width="11.42578125" style="511" customWidth="1"/>
    <col min="6151" max="6151" width="8.42578125" style="511" customWidth="1"/>
    <col min="6152" max="6152" width="62.5703125" style="511" customWidth="1"/>
    <col min="6153" max="6153" width="12.85546875" style="511" customWidth="1"/>
    <col min="6154" max="6154" width="14.7109375" style="511" customWidth="1"/>
    <col min="6155" max="6155" width="14.5703125" style="511" customWidth="1"/>
    <col min="6156" max="6156" width="12.5703125" style="511" customWidth="1"/>
    <col min="6157" max="6157" width="12.140625" style="511" customWidth="1"/>
    <col min="6158" max="6158" width="12.85546875" style="511" bestFit="1" customWidth="1"/>
    <col min="6159" max="6159" width="42.140625" style="511" customWidth="1"/>
    <col min="6160" max="6160" width="15.5703125" style="511" customWidth="1"/>
    <col min="6161" max="6161" width="10" style="511" customWidth="1"/>
    <col min="6162" max="6162" width="13.85546875" style="511" customWidth="1"/>
    <col min="6163" max="6163" width="11" style="511" bestFit="1" customWidth="1"/>
    <col min="6164" max="6164" width="10" style="511" customWidth="1"/>
    <col min="6165" max="6165" width="64" style="511" customWidth="1"/>
    <col min="6166" max="6167" width="0" style="511" hidden="1" customWidth="1"/>
    <col min="6168" max="6168" width="11.7109375" style="511" customWidth="1"/>
    <col min="6169" max="6169" width="14.42578125" style="511" bestFit="1" customWidth="1"/>
    <col min="6170" max="6170" width="12.42578125" style="511" customWidth="1"/>
    <col min="6171" max="6171" width="11.140625" style="511" customWidth="1"/>
    <col min="6172" max="6172" width="12.42578125" style="511" customWidth="1"/>
    <col min="6173" max="6173" width="13.7109375" style="511" customWidth="1"/>
    <col min="6174" max="6174" width="29.85546875" style="511" customWidth="1"/>
    <col min="6175" max="6175" width="11.28515625" style="511" customWidth="1"/>
    <col min="6176" max="6176" width="10.42578125" style="511" bestFit="1" customWidth="1"/>
    <col min="6177" max="6177" width="11.5703125" style="511" customWidth="1"/>
    <col min="6178" max="6178" width="11.28515625" style="511" customWidth="1"/>
    <col min="6179" max="6400" width="9.5703125" style="511"/>
    <col min="6401" max="6405" width="0" style="511" hidden="1" customWidth="1"/>
    <col min="6406" max="6406" width="11.42578125" style="511" customWidth="1"/>
    <col min="6407" max="6407" width="8.42578125" style="511" customWidth="1"/>
    <col min="6408" max="6408" width="62.5703125" style="511" customWidth="1"/>
    <col min="6409" max="6409" width="12.85546875" style="511" customWidth="1"/>
    <col min="6410" max="6410" width="14.7109375" style="511" customWidth="1"/>
    <col min="6411" max="6411" width="14.5703125" style="511" customWidth="1"/>
    <col min="6412" max="6412" width="12.5703125" style="511" customWidth="1"/>
    <col min="6413" max="6413" width="12.140625" style="511" customWidth="1"/>
    <col min="6414" max="6414" width="12.85546875" style="511" bestFit="1" customWidth="1"/>
    <col min="6415" max="6415" width="42.140625" style="511" customWidth="1"/>
    <col min="6416" max="6416" width="15.5703125" style="511" customWidth="1"/>
    <col min="6417" max="6417" width="10" style="511" customWidth="1"/>
    <col min="6418" max="6418" width="13.85546875" style="511" customWidth="1"/>
    <col min="6419" max="6419" width="11" style="511" bestFit="1" customWidth="1"/>
    <col min="6420" max="6420" width="10" style="511" customWidth="1"/>
    <col min="6421" max="6421" width="64" style="511" customWidth="1"/>
    <col min="6422" max="6423" width="0" style="511" hidden="1" customWidth="1"/>
    <col min="6424" max="6424" width="11.7109375" style="511" customWidth="1"/>
    <col min="6425" max="6425" width="14.42578125" style="511" bestFit="1" customWidth="1"/>
    <col min="6426" max="6426" width="12.42578125" style="511" customWidth="1"/>
    <col min="6427" max="6427" width="11.140625" style="511" customWidth="1"/>
    <col min="6428" max="6428" width="12.42578125" style="511" customWidth="1"/>
    <col min="6429" max="6429" width="13.7109375" style="511" customWidth="1"/>
    <col min="6430" max="6430" width="29.85546875" style="511" customWidth="1"/>
    <col min="6431" max="6431" width="11.28515625" style="511" customWidth="1"/>
    <col min="6432" max="6432" width="10.42578125" style="511" bestFit="1" customWidth="1"/>
    <col min="6433" max="6433" width="11.5703125" style="511" customWidth="1"/>
    <col min="6434" max="6434" width="11.28515625" style="511" customWidth="1"/>
    <col min="6435" max="6656" width="9.5703125" style="511"/>
    <col min="6657" max="6661" width="0" style="511" hidden="1" customWidth="1"/>
    <col min="6662" max="6662" width="11.42578125" style="511" customWidth="1"/>
    <col min="6663" max="6663" width="8.42578125" style="511" customWidth="1"/>
    <col min="6664" max="6664" width="62.5703125" style="511" customWidth="1"/>
    <col min="6665" max="6665" width="12.85546875" style="511" customWidth="1"/>
    <col min="6666" max="6666" width="14.7109375" style="511" customWidth="1"/>
    <col min="6667" max="6667" width="14.5703125" style="511" customWidth="1"/>
    <col min="6668" max="6668" width="12.5703125" style="511" customWidth="1"/>
    <col min="6669" max="6669" width="12.140625" style="511" customWidth="1"/>
    <col min="6670" max="6670" width="12.85546875" style="511" bestFit="1" customWidth="1"/>
    <col min="6671" max="6671" width="42.140625" style="511" customWidth="1"/>
    <col min="6672" max="6672" width="15.5703125" style="511" customWidth="1"/>
    <col min="6673" max="6673" width="10" style="511" customWidth="1"/>
    <col min="6674" max="6674" width="13.85546875" style="511" customWidth="1"/>
    <col min="6675" max="6675" width="11" style="511" bestFit="1" customWidth="1"/>
    <col min="6676" max="6676" width="10" style="511" customWidth="1"/>
    <col min="6677" max="6677" width="64" style="511" customWidth="1"/>
    <col min="6678" max="6679" width="0" style="511" hidden="1" customWidth="1"/>
    <col min="6680" max="6680" width="11.7109375" style="511" customWidth="1"/>
    <col min="6681" max="6681" width="14.42578125" style="511" bestFit="1" customWidth="1"/>
    <col min="6682" max="6682" width="12.42578125" style="511" customWidth="1"/>
    <col min="6683" max="6683" width="11.140625" style="511" customWidth="1"/>
    <col min="6684" max="6684" width="12.42578125" style="511" customWidth="1"/>
    <col min="6685" max="6685" width="13.7109375" style="511" customWidth="1"/>
    <col min="6686" max="6686" width="29.85546875" style="511" customWidth="1"/>
    <col min="6687" max="6687" width="11.28515625" style="511" customWidth="1"/>
    <col min="6688" max="6688" width="10.42578125" style="511" bestFit="1" customWidth="1"/>
    <col min="6689" max="6689" width="11.5703125" style="511" customWidth="1"/>
    <col min="6690" max="6690" width="11.28515625" style="511" customWidth="1"/>
    <col min="6691" max="6912" width="9.5703125" style="511"/>
    <col min="6913" max="6917" width="0" style="511" hidden="1" customWidth="1"/>
    <col min="6918" max="6918" width="11.42578125" style="511" customWidth="1"/>
    <col min="6919" max="6919" width="8.42578125" style="511" customWidth="1"/>
    <col min="6920" max="6920" width="62.5703125" style="511" customWidth="1"/>
    <col min="6921" max="6921" width="12.85546875" style="511" customWidth="1"/>
    <col min="6922" max="6922" width="14.7109375" style="511" customWidth="1"/>
    <col min="6923" max="6923" width="14.5703125" style="511" customWidth="1"/>
    <col min="6924" max="6924" width="12.5703125" style="511" customWidth="1"/>
    <col min="6925" max="6925" width="12.140625" style="511" customWidth="1"/>
    <col min="6926" max="6926" width="12.85546875" style="511" bestFit="1" customWidth="1"/>
    <col min="6927" max="6927" width="42.140625" style="511" customWidth="1"/>
    <col min="6928" max="6928" width="15.5703125" style="511" customWidth="1"/>
    <col min="6929" max="6929" width="10" style="511" customWidth="1"/>
    <col min="6930" max="6930" width="13.85546875" style="511" customWidth="1"/>
    <col min="6931" max="6931" width="11" style="511" bestFit="1" customWidth="1"/>
    <col min="6932" max="6932" width="10" style="511" customWidth="1"/>
    <col min="6933" max="6933" width="64" style="511" customWidth="1"/>
    <col min="6934" max="6935" width="0" style="511" hidden="1" customWidth="1"/>
    <col min="6936" max="6936" width="11.7109375" style="511" customWidth="1"/>
    <col min="6937" max="6937" width="14.42578125" style="511" bestFit="1" customWidth="1"/>
    <col min="6938" max="6938" width="12.42578125" style="511" customWidth="1"/>
    <col min="6939" max="6939" width="11.140625" style="511" customWidth="1"/>
    <col min="6940" max="6940" width="12.42578125" style="511" customWidth="1"/>
    <col min="6941" max="6941" width="13.7109375" style="511" customWidth="1"/>
    <col min="6942" max="6942" width="29.85546875" style="511" customWidth="1"/>
    <col min="6943" max="6943" width="11.28515625" style="511" customWidth="1"/>
    <col min="6944" max="6944" width="10.42578125" style="511" bestFit="1" customWidth="1"/>
    <col min="6945" max="6945" width="11.5703125" style="511" customWidth="1"/>
    <col min="6946" max="6946" width="11.28515625" style="511" customWidth="1"/>
    <col min="6947" max="7168" width="9.5703125" style="511"/>
    <col min="7169" max="7173" width="0" style="511" hidden="1" customWidth="1"/>
    <col min="7174" max="7174" width="11.42578125" style="511" customWidth="1"/>
    <col min="7175" max="7175" width="8.42578125" style="511" customWidth="1"/>
    <col min="7176" max="7176" width="62.5703125" style="511" customWidth="1"/>
    <col min="7177" max="7177" width="12.85546875" style="511" customWidth="1"/>
    <col min="7178" max="7178" width="14.7109375" style="511" customWidth="1"/>
    <col min="7179" max="7179" width="14.5703125" style="511" customWidth="1"/>
    <col min="7180" max="7180" width="12.5703125" style="511" customWidth="1"/>
    <col min="7181" max="7181" width="12.140625" style="511" customWidth="1"/>
    <col min="7182" max="7182" width="12.85546875" style="511" bestFit="1" customWidth="1"/>
    <col min="7183" max="7183" width="42.140625" style="511" customWidth="1"/>
    <col min="7184" max="7184" width="15.5703125" style="511" customWidth="1"/>
    <col min="7185" max="7185" width="10" style="511" customWidth="1"/>
    <col min="7186" max="7186" width="13.85546875" style="511" customWidth="1"/>
    <col min="7187" max="7187" width="11" style="511" bestFit="1" customWidth="1"/>
    <col min="7188" max="7188" width="10" style="511" customWidth="1"/>
    <col min="7189" max="7189" width="64" style="511" customWidth="1"/>
    <col min="7190" max="7191" width="0" style="511" hidden="1" customWidth="1"/>
    <col min="7192" max="7192" width="11.7109375" style="511" customWidth="1"/>
    <col min="7193" max="7193" width="14.42578125" style="511" bestFit="1" customWidth="1"/>
    <col min="7194" max="7194" width="12.42578125" style="511" customWidth="1"/>
    <col min="7195" max="7195" width="11.140625" style="511" customWidth="1"/>
    <col min="7196" max="7196" width="12.42578125" style="511" customWidth="1"/>
    <col min="7197" max="7197" width="13.7109375" style="511" customWidth="1"/>
    <col min="7198" max="7198" width="29.85546875" style="511" customWidth="1"/>
    <col min="7199" max="7199" width="11.28515625" style="511" customWidth="1"/>
    <col min="7200" max="7200" width="10.42578125" style="511" bestFit="1" customWidth="1"/>
    <col min="7201" max="7201" width="11.5703125" style="511" customWidth="1"/>
    <col min="7202" max="7202" width="11.28515625" style="511" customWidth="1"/>
    <col min="7203" max="7424" width="9.5703125" style="511"/>
    <col min="7425" max="7429" width="0" style="511" hidden="1" customWidth="1"/>
    <col min="7430" max="7430" width="11.42578125" style="511" customWidth="1"/>
    <col min="7431" max="7431" width="8.42578125" style="511" customWidth="1"/>
    <col min="7432" max="7432" width="62.5703125" style="511" customWidth="1"/>
    <col min="7433" max="7433" width="12.85546875" style="511" customWidth="1"/>
    <col min="7434" max="7434" width="14.7109375" style="511" customWidth="1"/>
    <col min="7435" max="7435" width="14.5703125" style="511" customWidth="1"/>
    <col min="7436" max="7436" width="12.5703125" style="511" customWidth="1"/>
    <col min="7437" max="7437" width="12.140625" style="511" customWidth="1"/>
    <col min="7438" max="7438" width="12.85546875" style="511" bestFit="1" customWidth="1"/>
    <col min="7439" max="7439" width="42.140625" style="511" customWidth="1"/>
    <col min="7440" max="7440" width="15.5703125" style="511" customWidth="1"/>
    <col min="7441" max="7441" width="10" style="511" customWidth="1"/>
    <col min="7442" max="7442" width="13.85546875" style="511" customWidth="1"/>
    <col min="7443" max="7443" width="11" style="511" bestFit="1" customWidth="1"/>
    <col min="7444" max="7444" width="10" style="511" customWidth="1"/>
    <col min="7445" max="7445" width="64" style="511" customWidth="1"/>
    <col min="7446" max="7447" width="0" style="511" hidden="1" customWidth="1"/>
    <col min="7448" max="7448" width="11.7109375" style="511" customWidth="1"/>
    <col min="7449" max="7449" width="14.42578125" style="511" bestFit="1" customWidth="1"/>
    <col min="7450" max="7450" width="12.42578125" style="511" customWidth="1"/>
    <col min="7451" max="7451" width="11.140625" style="511" customWidth="1"/>
    <col min="7452" max="7452" width="12.42578125" style="511" customWidth="1"/>
    <col min="7453" max="7453" width="13.7109375" style="511" customWidth="1"/>
    <col min="7454" max="7454" width="29.85546875" style="511" customWidth="1"/>
    <col min="7455" max="7455" width="11.28515625" style="511" customWidth="1"/>
    <col min="7456" max="7456" width="10.42578125" style="511" bestFit="1" customWidth="1"/>
    <col min="7457" max="7457" width="11.5703125" style="511" customWidth="1"/>
    <col min="7458" max="7458" width="11.28515625" style="511" customWidth="1"/>
    <col min="7459" max="7680" width="9.5703125" style="511"/>
    <col min="7681" max="7685" width="0" style="511" hidden="1" customWidth="1"/>
    <col min="7686" max="7686" width="11.42578125" style="511" customWidth="1"/>
    <col min="7687" max="7687" width="8.42578125" style="511" customWidth="1"/>
    <col min="7688" max="7688" width="62.5703125" style="511" customWidth="1"/>
    <col min="7689" max="7689" width="12.85546875" style="511" customWidth="1"/>
    <col min="7690" max="7690" width="14.7109375" style="511" customWidth="1"/>
    <col min="7691" max="7691" width="14.5703125" style="511" customWidth="1"/>
    <col min="7692" max="7692" width="12.5703125" style="511" customWidth="1"/>
    <col min="7693" max="7693" width="12.140625" style="511" customWidth="1"/>
    <col min="7694" max="7694" width="12.85546875" style="511" bestFit="1" customWidth="1"/>
    <col min="7695" max="7695" width="42.140625" style="511" customWidth="1"/>
    <col min="7696" max="7696" width="15.5703125" style="511" customWidth="1"/>
    <col min="7697" max="7697" width="10" style="511" customWidth="1"/>
    <col min="7698" max="7698" width="13.85546875" style="511" customWidth="1"/>
    <col min="7699" max="7699" width="11" style="511" bestFit="1" customWidth="1"/>
    <col min="7700" max="7700" width="10" style="511" customWidth="1"/>
    <col min="7701" max="7701" width="64" style="511" customWidth="1"/>
    <col min="7702" max="7703" width="0" style="511" hidden="1" customWidth="1"/>
    <col min="7704" max="7704" width="11.7109375" style="511" customWidth="1"/>
    <col min="7705" max="7705" width="14.42578125" style="511" bestFit="1" customWidth="1"/>
    <col min="7706" max="7706" width="12.42578125" style="511" customWidth="1"/>
    <col min="7707" max="7707" width="11.140625" style="511" customWidth="1"/>
    <col min="7708" max="7708" width="12.42578125" style="511" customWidth="1"/>
    <col min="7709" max="7709" width="13.7109375" style="511" customWidth="1"/>
    <col min="7710" max="7710" width="29.85546875" style="511" customWidth="1"/>
    <col min="7711" max="7711" width="11.28515625" style="511" customWidth="1"/>
    <col min="7712" max="7712" width="10.42578125" style="511" bestFit="1" customWidth="1"/>
    <col min="7713" max="7713" width="11.5703125" style="511" customWidth="1"/>
    <col min="7714" max="7714" width="11.28515625" style="511" customWidth="1"/>
    <col min="7715" max="7936" width="9.5703125" style="511"/>
    <col min="7937" max="7941" width="0" style="511" hidden="1" customWidth="1"/>
    <col min="7942" max="7942" width="11.42578125" style="511" customWidth="1"/>
    <col min="7943" max="7943" width="8.42578125" style="511" customWidth="1"/>
    <col min="7944" max="7944" width="62.5703125" style="511" customWidth="1"/>
    <col min="7945" max="7945" width="12.85546875" style="511" customWidth="1"/>
    <col min="7946" max="7946" width="14.7109375" style="511" customWidth="1"/>
    <col min="7947" max="7947" width="14.5703125" style="511" customWidth="1"/>
    <col min="7948" max="7948" width="12.5703125" style="511" customWidth="1"/>
    <col min="7949" max="7949" width="12.140625" style="511" customWidth="1"/>
    <col min="7950" max="7950" width="12.85546875" style="511" bestFit="1" customWidth="1"/>
    <col min="7951" max="7951" width="42.140625" style="511" customWidth="1"/>
    <col min="7952" max="7952" width="15.5703125" style="511" customWidth="1"/>
    <col min="7953" max="7953" width="10" style="511" customWidth="1"/>
    <col min="7954" max="7954" width="13.85546875" style="511" customWidth="1"/>
    <col min="7955" max="7955" width="11" style="511" bestFit="1" customWidth="1"/>
    <col min="7956" max="7956" width="10" style="511" customWidth="1"/>
    <col min="7957" max="7957" width="64" style="511" customWidth="1"/>
    <col min="7958" max="7959" width="0" style="511" hidden="1" customWidth="1"/>
    <col min="7960" max="7960" width="11.7109375" style="511" customWidth="1"/>
    <col min="7961" max="7961" width="14.42578125" style="511" bestFit="1" customWidth="1"/>
    <col min="7962" max="7962" width="12.42578125" style="511" customWidth="1"/>
    <col min="7963" max="7963" width="11.140625" style="511" customWidth="1"/>
    <col min="7964" max="7964" width="12.42578125" style="511" customWidth="1"/>
    <col min="7965" max="7965" width="13.7109375" style="511" customWidth="1"/>
    <col min="7966" max="7966" width="29.85546875" style="511" customWidth="1"/>
    <col min="7967" max="7967" width="11.28515625" style="511" customWidth="1"/>
    <col min="7968" max="7968" width="10.42578125" style="511" bestFit="1" customWidth="1"/>
    <col min="7969" max="7969" width="11.5703125" style="511" customWidth="1"/>
    <col min="7970" max="7970" width="11.28515625" style="511" customWidth="1"/>
    <col min="7971" max="8192" width="9.5703125" style="511"/>
    <col min="8193" max="8197" width="0" style="511" hidden="1" customWidth="1"/>
    <col min="8198" max="8198" width="11.42578125" style="511" customWidth="1"/>
    <col min="8199" max="8199" width="8.42578125" style="511" customWidth="1"/>
    <col min="8200" max="8200" width="62.5703125" style="511" customWidth="1"/>
    <col min="8201" max="8201" width="12.85546875" style="511" customWidth="1"/>
    <col min="8202" max="8202" width="14.7109375" style="511" customWidth="1"/>
    <col min="8203" max="8203" width="14.5703125" style="511" customWidth="1"/>
    <col min="8204" max="8204" width="12.5703125" style="511" customWidth="1"/>
    <col min="8205" max="8205" width="12.140625" style="511" customWidth="1"/>
    <col min="8206" max="8206" width="12.85546875" style="511" bestFit="1" customWidth="1"/>
    <col min="8207" max="8207" width="42.140625" style="511" customWidth="1"/>
    <col min="8208" max="8208" width="15.5703125" style="511" customWidth="1"/>
    <col min="8209" max="8209" width="10" style="511" customWidth="1"/>
    <col min="8210" max="8210" width="13.85546875" style="511" customWidth="1"/>
    <col min="8211" max="8211" width="11" style="511" bestFit="1" customWidth="1"/>
    <col min="8212" max="8212" width="10" style="511" customWidth="1"/>
    <col min="8213" max="8213" width="64" style="511" customWidth="1"/>
    <col min="8214" max="8215" width="0" style="511" hidden="1" customWidth="1"/>
    <col min="8216" max="8216" width="11.7109375" style="511" customWidth="1"/>
    <col min="8217" max="8217" width="14.42578125" style="511" bestFit="1" customWidth="1"/>
    <col min="8218" max="8218" width="12.42578125" style="511" customWidth="1"/>
    <col min="8219" max="8219" width="11.140625" style="511" customWidth="1"/>
    <col min="8220" max="8220" width="12.42578125" style="511" customWidth="1"/>
    <col min="8221" max="8221" width="13.7109375" style="511" customWidth="1"/>
    <col min="8222" max="8222" width="29.85546875" style="511" customWidth="1"/>
    <col min="8223" max="8223" width="11.28515625" style="511" customWidth="1"/>
    <col min="8224" max="8224" width="10.42578125" style="511" bestFit="1" customWidth="1"/>
    <col min="8225" max="8225" width="11.5703125" style="511" customWidth="1"/>
    <col min="8226" max="8226" width="11.28515625" style="511" customWidth="1"/>
    <col min="8227" max="8448" width="9.5703125" style="511"/>
    <col min="8449" max="8453" width="0" style="511" hidden="1" customWidth="1"/>
    <col min="8454" max="8454" width="11.42578125" style="511" customWidth="1"/>
    <col min="8455" max="8455" width="8.42578125" style="511" customWidth="1"/>
    <col min="8456" max="8456" width="62.5703125" style="511" customWidth="1"/>
    <col min="8457" max="8457" width="12.85546875" style="511" customWidth="1"/>
    <col min="8458" max="8458" width="14.7109375" style="511" customWidth="1"/>
    <col min="8459" max="8459" width="14.5703125" style="511" customWidth="1"/>
    <col min="8460" max="8460" width="12.5703125" style="511" customWidth="1"/>
    <col min="8461" max="8461" width="12.140625" style="511" customWidth="1"/>
    <col min="8462" max="8462" width="12.85546875" style="511" bestFit="1" customWidth="1"/>
    <col min="8463" max="8463" width="42.140625" style="511" customWidth="1"/>
    <col min="8464" max="8464" width="15.5703125" style="511" customWidth="1"/>
    <col min="8465" max="8465" width="10" style="511" customWidth="1"/>
    <col min="8466" max="8466" width="13.85546875" style="511" customWidth="1"/>
    <col min="8467" max="8467" width="11" style="511" bestFit="1" customWidth="1"/>
    <col min="8468" max="8468" width="10" style="511" customWidth="1"/>
    <col min="8469" max="8469" width="64" style="511" customWidth="1"/>
    <col min="8470" max="8471" width="0" style="511" hidden="1" customWidth="1"/>
    <col min="8472" max="8472" width="11.7109375" style="511" customWidth="1"/>
    <col min="8473" max="8473" width="14.42578125" style="511" bestFit="1" customWidth="1"/>
    <col min="8474" max="8474" width="12.42578125" style="511" customWidth="1"/>
    <col min="8475" max="8475" width="11.140625" style="511" customWidth="1"/>
    <col min="8476" max="8476" width="12.42578125" style="511" customWidth="1"/>
    <col min="8477" max="8477" width="13.7109375" style="511" customWidth="1"/>
    <col min="8478" max="8478" width="29.85546875" style="511" customWidth="1"/>
    <col min="8479" max="8479" width="11.28515625" style="511" customWidth="1"/>
    <col min="8480" max="8480" width="10.42578125" style="511" bestFit="1" customWidth="1"/>
    <col min="8481" max="8481" width="11.5703125" style="511" customWidth="1"/>
    <col min="8482" max="8482" width="11.28515625" style="511" customWidth="1"/>
    <col min="8483" max="8704" width="9.5703125" style="511"/>
    <col min="8705" max="8709" width="0" style="511" hidden="1" customWidth="1"/>
    <col min="8710" max="8710" width="11.42578125" style="511" customWidth="1"/>
    <col min="8711" max="8711" width="8.42578125" style="511" customWidth="1"/>
    <col min="8712" max="8712" width="62.5703125" style="511" customWidth="1"/>
    <col min="8713" max="8713" width="12.85546875" style="511" customWidth="1"/>
    <col min="8714" max="8714" width="14.7109375" style="511" customWidth="1"/>
    <col min="8715" max="8715" width="14.5703125" style="511" customWidth="1"/>
    <col min="8716" max="8716" width="12.5703125" style="511" customWidth="1"/>
    <col min="8717" max="8717" width="12.140625" style="511" customWidth="1"/>
    <col min="8718" max="8718" width="12.85546875" style="511" bestFit="1" customWidth="1"/>
    <col min="8719" max="8719" width="42.140625" style="511" customWidth="1"/>
    <col min="8720" max="8720" width="15.5703125" style="511" customWidth="1"/>
    <col min="8721" max="8721" width="10" style="511" customWidth="1"/>
    <col min="8722" max="8722" width="13.85546875" style="511" customWidth="1"/>
    <col min="8723" max="8723" width="11" style="511" bestFit="1" customWidth="1"/>
    <col min="8724" max="8724" width="10" style="511" customWidth="1"/>
    <col min="8725" max="8725" width="64" style="511" customWidth="1"/>
    <col min="8726" max="8727" width="0" style="511" hidden="1" customWidth="1"/>
    <col min="8728" max="8728" width="11.7109375" style="511" customWidth="1"/>
    <col min="8729" max="8729" width="14.42578125" style="511" bestFit="1" customWidth="1"/>
    <col min="8730" max="8730" width="12.42578125" style="511" customWidth="1"/>
    <col min="8731" max="8731" width="11.140625" style="511" customWidth="1"/>
    <col min="8732" max="8732" width="12.42578125" style="511" customWidth="1"/>
    <col min="8733" max="8733" width="13.7109375" style="511" customWidth="1"/>
    <col min="8734" max="8734" width="29.85546875" style="511" customWidth="1"/>
    <col min="8735" max="8735" width="11.28515625" style="511" customWidth="1"/>
    <col min="8736" max="8736" width="10.42578125" style="511" bestFit="1" customWidth="1"/>
    <col min="8737" max="8737" width="11.5703125" style="511" customWidth="1"/>
    <col min="8738" max="8738" width="11.28515625" style="511" customWidth="1"/>
    <col min="8739" max="8960" width="9.5703125" style="511"/>
    <col min="8961" max="8965" width="0" style="511" hidden="1" customWidth="1"/>
    <col min="8966" max="8966" width="11.42578125" style="511" customWidth="1"/>
    <col min="8967" max="8967" width="8.42578125" style="511" customWidth="1"/>
    <col min="8968" max="8968" width="62.5703125" style="511" customWidth="1"/>
    <col min="8969" max="8969" width="12.85546875" style="511" customWidth="1"/>
    <col min="8970" max="8970" width="14.7109375" style="511" customWidth="1"/>
    <col min="8971" max="8971" width="14.5703125" style="511" customWidth="1"/>
    <col min="8972" max="8972" width="12.5703125" style="511" customWidth="1"/>
    <col min="8973" max="8973" width="12.140625" style="511" customWidth="1"/>
    <col min="8974" max="8974" width="12.85546875" style="511" bestFit="1" customWidth="1"/>
    <col min="8975" max="8975" width="42.140625" style="511" customWidth="1"/>
    <col min="8976" max="8976" width="15.5703125" style="511" customWidth="1"/>
    <col min="8977" max="8977" width="10" style="511" customWidth="1"/>
    <col min="8978" max="8978" width="13.85546875" style="511" customWidth="1"/>
    <col min="8979" max="8979" width="11" style="511" bestFit="1" customWidth="1"/>
    <col min="8980" max="8980" width="10" style="511" customWidth="1"/>
    <col min="8981" max="8981" width="64" style="511" customWidth="1"/>
    <col min="8982" max="8983" width="0" style="511" hidden="1" customWidth="1"/>
    <col min="8984" max="8984" width="11.7109375" style="511" customWidth="1"/>
    <col min="8985" max="8985" width="14.42578125" style="511" bestFit="1" customWidth="1"/>
    <col min="8986" max="8986" width="12.42578125" style="511" customWidth="1"/>
    <col min="8987" max="8987" width="11.140625" style="511" customWidth="1"/>
    <col min="8988" max="8988" width="12.42578125" style="511" customWidth="1"/>
    <col min="8989" max="8989" width="13.7109375" style="511" customWidth="1"/>
    <col min="8990" max="8990" width="29.85546875" style="511" customWidth="1"/>
    <col min="8991" max="8991" width="11.28515625" style="511" customWidth="1"/>
    <col min="8992" max="8992" width="10.42578125" style="511" bestFit="1" customWidth="1"/>
    <col min="8993" max="8993" width="11.5703125" style="511" customWidth="1"/>
    <col min="8994" max="8994" width="11.28515625" style="511" customWidth="1"/>
    <col min="8995" max="9216" width="9.5703125" style="511"/>
    <col min="9217" max="9221" width="0" style="511" hidden="1" customWidth="1"/>
    <col min="9222" max="9222" width="11.42578125" style="511" customWidth="1"/>
    <col min="9223" max="9223" width="8.42578125" style="511" customWidth="1"/>
    <col min="9224" max="9224" width="62.5703125" style="511" customWidth="1"/>
    <col min="9225" max="9225" width="12.85546875" style="511" customWidth="1"/>
    <col min="9226" max="9226" width="14.7109375" style="511" customWidth="1"/>
    <col min="9227" max="9227" width="14.5703125" style="511" customWidth="1"/>
    <col min="9228" max="9228" width="12.5703125" style="511" customWidth="1"/>
    <col min="9229" max="9229" width="12.140625" style="511" customWidth="1"/>
    <col min="9230" max="9230" width="12.85546875" style="511" bestFit="1" customWidth="1"/>
    <col min="9231" max="9231" width="42.140625" style="511" customWidth="1"/>
    <col min="9232" max="9232" width="15.5703125" style="511" customWidth="1"/>
    <col min="9233" max="9233" width="10" style="511" customWidth="1"/>
    <col min="9234" max="9234" width="13.85546875" style="511" customWidth="1"/>
    <col min="9235" max="9235" width="11" style="511" bestFit="1" customWidth="1"/>
    <col min="9236" max="9236" width="10" style="511" customWidth="1"/>
    <col min="9237" max="9237" width="64" style="511" customWidth="1"/>
    <col min="9238" max="9239" width="0" style="511" hidden="1" customWidth="1"/>
    <col min="9240" max="9240" width="11.7109375" style="511" customWidth="1"/>
    <col min="9241" max="9241" width="14.42578125" style="511" bestFit="1" customWidth="1"/>
    <col min="9242" max="9242" width="12.42578125" style="511" customWidth="1"/>
    <col min="9243" max="9243" width="11.140625" style="511" customWidth="1"/>
    <col min="9244" max="9244" width="12.42578125" style="511" customWidth="1"/>
    <col min="9245" max="9245" width="13.7109375" style="511" customWidth="1"/>
    <col min="9246" max="9246" width="29.85546875" style="511" customWidth="1"/>
    <col min="9247" max="9247" width="11.28515625" style="511" customWidth="1"/>
    <col min="9248" max="9248" width="10.42578125" style="511" bestFit="1" customWidth="1"/>
    <col min="9249" max="9249" width="11.5703125" style="511" customWidth="1"/>
    <col min="9250" max="9250" width="11.28515625" style="511" customWidth="1"/>
    <col min="9251" max="9472" width="9.5703125" style="511"/>
    <col min="9473" max="9477" width="0" style="511" hidden="1" customWidth="1"/>
    <col min="9478" max="9478" width="11.42578125" style="511" customWidth="1"/>
    <col min="9479" max="9479" width="8.42578125" style="511" customWidth="1"/>
    <col min="9480" max="9480" width="62.5703125" style="511" customWidth="1"/>
    <col min="9481" max="9481" width="12.85546875" style="511" customWidth="1"/>
    <col min="9482" max="9482" width="14.7109375" style="511" customWidth="1"/>
    <col min="9483" max="9483" width="14.5703125" style="511" customWidth="1"/>
    <col min="9484" max="9484" width="12.5703125" style="511" customWidth="1"/>
    <col min="9485" max="9485" width="12.140625" style="511" customWidth="1"/>
    <col min="9486" max="9486" width="12.85546875" style="511" bestFit="1" customWidth="1"/>
    <col min="9487" max="9487" width="42.140625" style="511" customWidth="1"/>
    <col min="9488" max="9488" width="15.5703125" style="511" customWidth="1"/>
    <col min="9489" max="9489" width="10" style="511" customWidth="1"/>
    <col min="9490" max="9490" width="13.85546875" style="511" customWidth="1"/>
    <col min="9491" max="9491" width="11" style="511" bestFit="1" customWidth="1"/>
    <col min="9492" max="9492" width="10" style="511" customWidth="1"/>
    <col min="9493" max="9493" width="64" style="511" customWidth="1"/>
    <col min="9494" max="9495" width="0" style="511" hidden="1" customWidth="1"/>
    <col min="9496" max="9496" width="11.7109375" style="511" customWidth="1"/>
    <col min="9497" max="9497" width="14.42578125" style="511" bestFit="1" customWidth="1"/>
    <col min="9498" max="9498" width="12.42578125" style="511" customWidth="1"/>
    <col min="9499" max="9499" width="11.140625" style="511" customWidth="1"/>
    <col min="9500" max="9500" width="12.42578125" style="511" customWidth="1"/>
    <col min="9501" max="9501" width="13.7109375" style="511" customWidth="1"/>
    <col min="9502" max="9502" width="29.85546875" style="511" customWidth="1"/>
    <col min="9503" max="9503" width="11.28515625" style="511" customWidth="1"/>
    <col min="9504" max="9504" width="10.42578125" style="511" bestFit="1" customWidth="1"/>
    <col min="9505" max="9505" width="11.5703125" style="511" customWidth="1"/>
    <col min="9506" max="9506" width="11.28515625" style="511" customWidth="1"/>
    <col min="9507" max="9728" width="9.5703125" style="511"/>
    <col min="9729" max="9733" width="0" style="511" hidden="1" customWidth="1"/>
    <col min="9734" max="9734" width="11.42578125" style="511" customWidth="1"/>
    <col min="9735" max="9735" width="8.42578125" style="511" customWidth="1"/>
    <col min="9736" max="9736" width="62.5703125" style="511" customWidth="1"/>
    <col min="9737" max="9737" width="12.85546875" style="511" customWidth="1"/>
    <col min="9738" max="9738" width="14.7109375" style="511" customWidth="1"/>
    <col min="9739" max="9739" width="14.5703125" style="511" customWidth="1"/>
    <col min="9740" max="9740" width="12.5703125" style="511" customWidth="1"/>
    <col min="9741" max="9741" width="12.140625" style="511" customWidth="1"/>
    <col min="9742" max="9742" width="12.85546875" style="511" bestFit="1" customWidth="1"/>
    <col min="9743" max="9743" width="42.140625" style="511" customWidth="1"/>
    <col min="9744" max="9744" width="15.5703125" style="511" customWidth="1"/>
    <col min="9745" max="9745" width="10" style="511" customWidth="1"/>
    <col min="9746" max="9746" width="13.85546875" style="511" customWidth="1"/>
    <col min="9747" max="9747" width="11" style="511" bestFit="1" customWidth="1"/>
    <col min="9748" max="9748" width="10" style="511" customWidth="1"/>
    <col min="9749" max="9749" width="64" style="511" customWidth="1"/>
    <col min="9750" max="9751" width="0" style="511" hidden="1" customWidth="1"/>
    <col min="9752" max="9752" width="11.7109375" style="511" customWidth="1"/>
    <col min="9753" max="9753" width="14.42578125" style="511" bestFit="1" customWidth="1"/>
    <col min="9754" max="9754" width="12.42578125" style="511" customWidth="1"/>
    <col min="9755" max="9755" width="11.140625" style="511" customWidth="1"/>
    <col min="9756" max="9756" width="12.42578125" style="511" customWidth="1"/>
    <col min="9757" max="9757" width="13.7109375" style="511" customWidth="1"/>
    <col min="9758" max="9758" width="29.85546875" style="511" customWidth="1"/>
    <col min="9759" max="9759" width="11.28515625" style="511" customWidth="1"/>
    <col min="9760" max="9760" width="10.42578125" style="511" bestFit="1" customWidth="1"/>
    <col min="9761" max="9761" width="11.5703125" style="511" customWidth="1"/>
    <col min="9762" max="9762" width="11.28515625" style="511" customWidth="1"/>
    <col min="9763" max="9984" width="9.5703125" style="511"/>
    <col min="9985" max="9989" width="0" style="511" hidden="1" customWidth="1"/>
    <col min="9990" max="9990" width="11.42578125" style="511" customWidth="1"/>
    <col min="9991" max="9991" width="8.42578125" style="511" customWidth="1"/>
    <col min="9992" max="9992" width="62.5703125" style="511" customWidth="1"/>
    <col min="9993" max="9993" width="12.85546875" style="511" customWidth="1"/>
    <col min="9994" max="9994" width="14.7109375" style="511" customWidth="1"/>
    <col min="9995" max="9995" width="14.5703125" style="511" customWidth="1"/>
    <col min="9996" max="9996" width="12.5703125" style="511" customWidth="1"/>
    <col min="9997" max="9997" width="12.140625" style="511" customWidth="1"/>
    <col min="9998" max="9998" width="12.85546875" style="511" bestFit="1" customWidth="1"/>
    <col min="9999" max="9999" width="42.140625" style="511" customWidth="1"/>
    <col min="10000" max="10000" width="15.5703125" style="511" customWidth="1"/>
    <col min="10001" max="10001" width="10" style="511" customWidth="1"/>
    <col min="10002" max="10002" width="13.85546875" style="511" customWidth="1"/>
    <col min="10003" max="10003" width="11" style="511" bestFit="1" customWidth="1"/>
    <col min="10004" max="10004" width="10" style="511" customWidth="1"/>
    <col min="10005" max="10005" width="64" style="511" customWidth="1"/>
    <col min="10006" max="10007" width="0" style="511" hidden="1" customWidth="1"/>
    <col min="10008" max="10008" width="11.7109375" style="511" customWidth="1"/>
    <col min="10009" max="10009" width="14.42578125" style="511" bestFit="1" customWidth="1"/>
    <col min="10010" max="10010" width="12.42578125" style="511" customWidth="1"/>
    <col min="10011" max="10011" width="11.140625" style="511" customWidth="1"/>
    <col min="10012" max="10012" width="12.42578125" style="511" customWidth="1"/>
    <col min="10013" max="10013" width="13.7109375" style="511" customWidth="1"/>
    <col min="10014" max="10014" width="29.85546875" style="511" customWidth="1"/>
    <col min="10015" max="10015" width="11.28515625" style="511" customWidth="1"/>
    <col min="10016" max="10016" width="10.42578125" style="511" bestFit="1" customWidth="1"/>
    <col min="10017" max="10017" width="11.5703125" style="511" customWidth="1"/>
    <col min="10018" max="10018" width="11.28515625" style="511" customWidth="1"/>
    <col min="10019" max="10240" width="9.5703125" style="511"/>
    <col min="10241" max="10245" width="0" style="511" hidden="1" customWidth="1"/>
    <col min="10246" max="10246" width="11.42578125" style="511" customWidth="1"/>
    <col min="10247" max="10247" width="8.42578125" style="511" customWidth="1"/>
    <col min="10248" max="10248" width="62.5703125" style="511" customWidth="1"/>
    <col min="10249" max="10249" width="12.85546875" style="511" customWidth="1"/>
    <col min="10250" max="10250" width="14.7109375" style="511" customWidth="1"/>
    <col min="10251" max="10251" width="14.5703125" style="511" customWidth="1"/>
    <col min="10252" max="10252" width="12.5703125" style="511" customWidth="1"/>
    <col min="10253" max="10253" width="12.140625" style="511" customWidth="1"/>
    <col min="10254" max="10254" width="12.85546875" style="511" bestFit="1" customWidth="1"/>
    <col min="10255" max="10255" width="42.140625" style="511" customWidth="1"/>
    <col min="10256" max="10256" width="15.5703125" style="511" customWidth="1"/>
    <col min="10257" max="10257" width="10" style="511" customWidth="1"/>
    <col min="10258" max="10258" width="13.85546875" style="511" customWidth="1"/>
    <col min="10259" max="10259" width="11" style="511" bestFit="1" customWidth="1"/>
    <col min="10260" max="10260" width="10" style="511" customWidth="1"/>
    <col min="10261" max="10261" width="64" style="511" customWidth="1"/>
    <col min="10262" max="10263" width="0" style="511" hidden="1" customWidth="1"/>
    <col min="10264" max="10264" width="11.7109375" style="511" customWidth="1"/>
    <col min="10265" max="10265" width="14.42578125" style="511" bestFit="1" customWidth="1"/>
    <col min="10266" max="10266" width="12.42578125" style="511" customWidth="1"/>
    <col min="10267" max="10267" width="11.140625" style="511" customWidth="1"/>
    <col min="10268" max="10268" width="12.42578125" style="511" customWidth="1"/>
    <col min="10269" max="10269" width="13.7109375" style="511" customWidth="1"/>
    <col min="10270" max="10270" width="29.85546875" style="511" customWidth="1"/>
    <col min="10271" max="10271" width="11.28515625" style="511" customWidth="1"/>
    <col min="10272" max="10272" width="10.42578125" style="511" bestFit="1" customWidth="1"/>
    <col min="10273" max="10273" width="11.5703125" style="511" customWidth="1"/>
    <col min="10274" max="10274" width="11.28515625" style="511" customWidth="1"/>
    <col min="10275" max="10496" width="9.5703125" style="511"/>
    <col min="10497" max="10501" width="0" style="511" hidden="1" customWidth="1"/>
    <col min="10502" max="10502" width="11.42578125" style="511" customWidth="1"/>
    <col min="10503" max="10503" width="8.42578125" style="511" customWidth="1"/>
    <col min="10504" max="10504" width="62.5703125" style="511" customWidth="1"/>
    <col min="10505" max="10505" width="12.85546875" style="511" customWidth="1"/>
    <col min="10506" max="10506" width="14.7109375" style="511" customWidth="1"/>
    <col min="10507" max="10507" width="14.5703125" style="511" customWidth="1"/>
    <col min="10508" max="10508" width="12.5703125" style="511" customWidth="1"/>
    <col min="10509" max="10509" width="12.140625" style="511" customWidth="1"/>
    <col min="10510" max="10510" width="12.85546875" style="511" bestFit="1" customWidth="1"/>
    <col min="10511" max="10511" width="42.140625" style="511" customWidth="1"/>
    <col min="10512" max="10512" width="15.5703125" style="511" customWidth="1"/>
    <col min="10513" max="10513" width="10" style="511" customWidth="1"/>
    <col min="10514" max="10514" width="13.85546875" style="511" customWidth="1"/>
    <col min="10515" max="10515" width="11" style="511" bestFit="1" customWidth="1"/>
    <col min="10516" max="10516" width="10" style="511" customWidth="1"/>
    <col min="10517" max="10517" width="64" style="511" customWidth="1"/>
    <col min="10518" max="10519" width="0" style="511" hidden="1" customWidth="1"/>
    <col min="10520" max="10520" width="11.7109375" style="511" customWidth="1"/>
    <col min="10521" max="10521" width="14.42578125" style="511" bestFit="1" customWidth="1"/>
    <col min="10522" max="10522" width="12.42578125" style="511" customWidth="1"/>
    <col min="10523" max="10523" width="11.140625" style="511" customWidth="1"/>
    <col min="10524" max="10524" width="12.42578125" style="511" customWidth="1"/>
    <col min="10525" max="10525" width="13.7109375" style="511" customWidth="1"/>
    <col min="10526" max="10526" width="29.85546875" style="511" customWidth="1"/>
    <col min="10527" max="10527" width="11.28515625" style="511" customWidth="1"/>
    <col min="10528" max="10528" width="10.42578125" style="511" bestFit="1" customWidth="1"/>
    <col min="10529" max="10529" width="11.5703125" style="511" customWidth="1"/>
    <col min="10530" max="10530" width="11.28515625" style="511" customWidth="1"/>
    <col min="10531" max="10752" width="9.5703125" style="511"/>
    <col min="10753" max="10757" width="0" style="511" hidden="1" customWidth="1"/>
    <col min="10758" max="10758" width="11.42578125" style="511" customWidth="1"/>
    <col min="10759" max="10759" width="8.42578125" style="511" customWidth="1"/>
    <col min="10760" max="10760" width="62.5703125" style="511" customWidth="1"/>
    <col min="10761" max="10761" width="12.85546875" style="511" customWidth="1"/>
    <col min="10762" max="10762" width="14.7109375" style="511" customWidth="1"/>
    <col min="10763" max="10763" width="14.5703125" style="511" customWidth="1"/>
    <col min="10764" max="10764" width="12.5703125" style="511" customWidth="1"/>
    <col min="10765" max="10765" width="12.140625" style="511" customWidth="1"/>
    <col min="10766" max="10766" width="12.85546875" style="511" bestFit="1" customWidth="1"/>
    <col min="10767" max="10767" width="42.140625" style="511" customWidth="1"/>
    <col min="10768" max="10768" width="15.5703125" style="511" customWidth="1"/>
    <col min="10769" max="10769" width="10" style="511" customWidth="1"/>
    <col min="10770" max="10770" width="13.85546875" style="511" customWidth="1"/>
    <col min="10771" max="10771" width="11" style="511" bestFit="1" customWidth="1"/>
    <col min="10772" max="10772" width="10" style="511" customWidth="1"/>
    <col min="10773" max="10773" width="64" style="511" customWidth="1"/>
    <col min="10774" max="10775" width="0" style="511" hidden="1" customWidth="1"/>
    <col min="10776" max="10776" width="11.7109375" style="511" customWidth="1"/>
    <col min="10777" max="10777" width="14.42578125" style="511" bestFit="1" customWidth="1"/>
    <col min="10778" max="10778" width="12.42578125" style="511" customWidth="1"/>
    <col min="10779" max="10779" width="11.140625" style="511" customWidth="1"/>
    <col min="10780" max="10780" width="12.42578125" style="511" customWidth="1"/>
    <col min="10781" max="10781" width="13.7109375" style="511" customWidth="1"/>
    <col min="10782" max="10782" width="29.85546875" style="511" customWidth="1"/>
    <col min="10783" max="10783" width="11.28515625" style="511" customWidth="1"/>
    <col min="10784" max="10784" width="10.42578125" style="511" bestFit="1" customWidth="1"/>
    <col min="10785" max="10785" width="11.5703125" style="511" customWidth="1"/>
    <col min="10786" max="10786" width="11.28515625" style="511" customWidth="1"/>
    <col min="10787" max="11008" width="9.5703125" style="511"/>
    <col min="11009" max="11013" width="0" style="511" hidden="1" customWidth="1"/>
    <col min="11014" max="11014" width="11.42578125" style="511" customWidth="1"/>
    <col min="11015" max="11015" width="8.42578125" style="511" customWidth="1"/>
    <col min="11016" max="11016" width="62.5703125" style="511" customWidth="1"/>
    <col min="11017" max="11017" width="12.85546875" style="511" customWidth="1"/>
    <col min="11018" max="11018" width="14.7109375" style="511" customWidth="1"/>
    <col min="11019" max="11019" width="14.5703125" style="511" customWidth="1"/>
    <col min="11020" max="11020" width="12.5703125" style="511" customWidth="1"/>
    <col min="11021" max="11021" width="12.140625" style="511" customWidth="1"/>
    <col min="11022" max="11022" width="12.85546875" style="511" bestFit="1" customWidth="1"/>
    <col min="11023" max="11023" width="42.140625" style="511" customWidth="1"/>
    <col min="11024" max="11024" width="15.5703125" style="511" customWidth="1"/>
    <col min="11025" max="11025" width="10" style="511" customWidth="1"/>
    <col min="11026" max="11026" width="13.85546875" style="511" customWidth="1"/>
    <col min="11027" max="11027" width="11" style="511" bestFit="1" customWidth="1"/>
    <col min="11028" max="11028" width="10" style="511" customWidth="1"/>
    <col min="11029" max="11029" width="64" style="511" customWidth="1"/>
    <col min="11030" max="11031" width="0" style="511" hidden="1" customWidth="1"/>
    <col min="11032" max="11032" width="11.7109375" style="511" customWidth="1"/>
    <col min="11033" max="11033" width="14.42578125" style="511" bestFit="1" customWidth="1"/>
    <col min="11034" max="11034" width="12.42578125" style="511" customWidth="1"/>
    <col min="11035" max="11035" width="11.140625" style="511" customWidth="1"/>
    <col min="11036" max="11036" width="12.42578125" style="511" customWidth="1"/>
    <col min="11037" max="11037" width="13.7109375" style="511" customWidth="1"/>
    <col min="11038" max="11038" width="29.85546875" style="511" customWidth="1"/>
    <col min="11039" max="11039" width="11.28515625" style="511" customWidth="1"/>
    <col min="11040" max="11040" width="10.42578125" style="511" bestFit="1" customWidth="1"/>
    <col min="11041" max="11041" width="11.5703125" style="511" customWidth="1"/>
    <col min="11042" max="11042" width="11.28515625" style="511" customWidth="1"/>
    <col min="11043" max="11264" width="9.5703125" style="511"/>
    <col min="11265" max="11269" width="0" style="511" hidden="1" customWidth="1"/>
    <col min="11270" max="11270" width="11.42578125" style="511" customWidth="1"/>
    <col min="11271" max="11271" width="8.42578125" style="511" customWidth="1"/>
    <col min="11272" max="11272" width="62.5703125" style="511" customWidth="1"/>
    <col min="11273" max="11273" width="12.85546875" style="511" customWidth="1"/>
    <col min="11274" max="11274" width="14.7109375" style="511" customWidth="1"/>
    <col min="11275" max="11275" width="14.5703125" style="511" customWidth="1"/>
    <col min="11276" max="11276" width="12.5703125" style="511" customWidth="1"/>
    <col min="11277" max="11277" width="12.140625" style="511" customWidth="1"/>
    <col min="11278" max="11278" width="12.85546875" style="511" bestFit="1" customWidth="1"/>
    <col min="11279" max="11279" width="42.140625" style="511" customWidth="1"/>
    <col min="11280" max="11280" width="15.5703125" style="511" customWidth="1"/>
    <col min="11281" max="11281" width="10" style="511" customWidth="1"/>
    <col min="11282" max="11282" width="13.85546875" style="511" customWidth="1"/>
    <col min="11283" max="11283" width="11" style="511" bestFit="1" customWidth="1"/>
    <col min="11284" max="11284" width="10" style="511" customWidth="1"/>
    <col min="11285" max="11285" width="64" style="511" customWidth="1"/>
    <col min="11286" max="11287" width="0" style="511" hidden="1" customWidth="1"/>
    <col min="11288" max="11288" width="11.7109375" style="511" customWidth="1"/>
    <col min="11289" max="11289" width="14.42578125" style="511" bestFit="1" customWidth="1"/>
    <col min="11290" max="11290" width="12.42578125" style="511" customWidth="1"/>
    <col min="11291" max="11291" width="11.140625" style="511" customWidth="1"/>
    <col min="11292" max="11292" width="12.42578125" style="511" customWidth="1"/>
    <col min="11293" max="11293" width="13.7109375" style="511" customWidth="1"/>
    <col min="11294" max="11294" width="29.85546875" style="511" customWidth="1"/>
    <col min="11295" max="11295" width="11.28515625" style="511" customWidth="1"/>
    <col min="11296" max="11296" width="10.42578125" style="511" bestFit="1" customWidth="1"/>
    <col min="11297" max="11297" width="11.5703125" style="511" customWidth="1"/>
    <col min="11298" max="11298" width="11.28515625" style="511" customWidth="1"/>
    <col min="11299" max="11520" width="9.5703125" style="511"/>
    <col min="11521" max="11525" width="0" style="511" hidden="1" customWidth="1"/>
    <col min="11526" max="11526" width="11.42578125" style="511" customWidth="1"/>
    <col min="11527" max="11527" width="8.42578125" style="511" customWidth="1"/>
    <col min="11528" max="11528" width="62.5703125" style="511" customWidth="1"/>
    <col min="11529" max="11529" width="12.85546875" style="511" customWidth="1"/>
    <col min="11530" max="11530" width="14.7109375" style="511" customWidth="1"/>
    <col min="11531" max="11531" width="14.5703125" style="511" customWidth="1"/>
    <col min="11532" max="11532" width="12.5703125" style="511" customWidth="1"/>
    <col min="11533" max="11533" width="12.140625" style="511" customWidth="1"/>
    <col min="11534" max="11534" width="12.85546875" style="511" bestFit="1" customWidth="1"/>
    <col min="11535" max="11535" width="42.140625" style="511" customWidth="1"/>
    <col min="11536" max="11536" width="15.5703125" style="511" customWidth="1"/>
    <col min="11537" max="11537" width="10" style="511" customWidth="1"/>
    <col min="11538" max="11538" width="13.85546875" style="511" customWidth="1"/>
    <col min="11539" max="11539" width="11" style="511" bestFit="1" customWidth="1"/>
    <col min="11540" max="11540" width="10" style="511" customWidth="1"/>
    <col min="11541" max="11541" width="64" style="511" customWidth="1"/>
    <col min="11542" max="11543" width="0" style="511" hidden="1" customWidth="1"/>
    <col min="11544" max="11544" width="11.7109375" style="511" customWidth="1"/>
    <col min="11545" max="11545" width="14.42578125" style="511" bestFit="1" customWidth="1"/>
    <col min="11546" max="11546" width="12.42578125" style="511" customWidth="1"/>
    <col min="11547" max="11547" width="11.140625" style="511" customWidth="1"/>
    <col min="11548" max="11548" width="12.42578125" style="511" customWidth="1"/>
    <col min="11549" max="11549" width="13.7109375" style="511" customWidth="1"/>
    <col min="11550" max="11550" width="29.85546875" style="511" customWidth="1"/>
    <col min="11551" max="11551" width="11.28515625" style="511" customWidth="1"/>
    <col min="11552" max="11552" width="10.42578125" style="511" bestFit="1" customWidth="1"/>
    <col min="11553" max="11553" width="11.5703125" style="511" customWidth="1"/>
    <col min="11554" max="11554" width="11.28515625" style="511" customWidth="1"/>
    <col min="11555" max="11776" width="9.5703125" style="511"/>
    <col min="11777" max="11781" width="0" style="511" hidden="1" customWidth="1"/>
    <col min="11782" max="11782" width="11.42578125" style="511" customWidth="1"/>
    <col min="11783" max="11783" width="8.42578125" style="511" customWidth="1"/>
    <col min="11784" max="11784" width="62.5703125" style="511" customWidth="1"/>
    <col min="11785" max="11785" width="12.85546875" style="511" customWidth="1"/>
    <col min="11786" max="11786" width="14.7109375" style="511" customWidth="1"/>
    <col min="11787" max="11787" width="14.5703125" style="511" customWidth="1"/>
    <col min="11788" max="11788" width="12.5703125" style="511" customWidth="1"/>
    <col min="11789" max="11789" width="12.140625" style="511" customWidth="1"/>
    <col min="11790" max="11790" width="12.85546875" style="511" bestFit="1" customWidth="1"/>
    <col min="11791" max="11791" width="42.140625" style="511" customWidth="1"/>
    <col min="11792" max="11792" width="15.5703125" style="511" customWidth="1"/>
    <col min="11793" max="11793" width="10" style="511" customWidth="1"/>
    <col min="11794" max="11794" width="13.85546875" style="511" customWidth="1"/>
    <col min="11795" max="11795" width="11" style="511" bestFit="1" customWidth="1"/>
    <col min="11796" max="11796" width="10" style="511" customWidth="1"/>
    <col min="11797" max="11797" width="64" style="511" customWidth="1"/>
    <col min="11798" max="11799" width="0" style="511" hidden="1" customWidth="1"/>
    <col min="11800" max="11800" width="11.7109375" style="511" customWidth="1"/>
    <col min="11801" max="11801" width="14.42578125" style="511" bestFit="1" customWidth="1"/>
    <col min="11802" max="11802" width="12.42578125" style="511" customWidth="1"/>
    <col min="11803" max="11803" width="11.140625" style="511" customWidth="1"/>
    <col min="11804" max="11804" width="12.42578125" style="511" customWidth="1"/>
    <col min="11805" max="11805" width="13.7109375" style="511" customWidth="1"/>
    <col min="11806" max="11806" width="29.85546875" style="511" customWidth="1"/>
    <col min="11807" max="11807" width="11.28515625" style="511" customWidth="1"/>
    <col min="11808" max="11808" width="10.42578125" style="511" bestFit="1" customWidth="1"/>
    <col min="11809" max="11809" width="11.5703125" style="511" customWidth="1"/>
    <col min="11810" max="11810" width="11.28515625" style="511" customWidth="1"/>
    <col min="11811" max="12032" width="9.5703125" style="511"/>
    <col min="12033" max="12037" width="0" style="511" hidden="1" customWidth="1"/>
    <col min="12038" max="12038" width="11.42578125" style="511" customWidth="1"/>
    <col min="12039" max="12039" width="8.42578125" style="511" customWidth="1"/>
    <col min="12040" max="12040" width="62.5703125" style="511" customWidth="1"/>
    <col min="12041" max="12041" width="12.85546875" style="511" customWidth="1"/>
    <col min="12042" max="12042" width="14.7109375" style="511" customWidth="1"/>
    <col min="12043" max="12043" width="14.5703125" style="511" customWidth="1"/>
    <col min="12044" max="12044" width="12.5703125" style="511" customWidth="1"/>
    <col min="12045" max="12045" width="12.140625" style="511" customWidth="1"/>
    <col min="12046" max="12046" width="12.85546875" style="511" bestFit="1" customWidth="1"/>
    <col min="12047" max="12047" width="42.140625" style="511" customWidth="1"/>
    <col min="12048" max="12048" width="15.5703125" style="511" customWidth="1"/>
    <col min="12049" max="12049" width="10" style="511" customWidth="1"/>
    <col min="12050" max="12050" width="13.85546875" style="511" customWidth="1"/>
    <col min="12051" max="12051" width="11" style="511" bestFit="1" customWidth="1"/>
    <col min="12052" max="12052" width="10" style="511" customWidth="1"/>
    <col min="12053" max="12053" width="64" style="511" customWidth="1"/>
    <col min="12054" max="12055" width="0" style="511" hidden="1" customWidth="1"/>
    <col min="12056" max="12056" width="11.7109375" style="511" customWidth="1"/>
    <col min="12057" max="12057" width="14.42578125" style="511" bestFit="1" customWidth="1"/>
    <col min="12058" max="12058" width="12.42578125" style="511" customWidth="1"/>
    <col min="12059" max="12059" width="11.140625" style="511" customWidth="1"/>
    <col min="12060" max="12060" width="12.42578125" style="511" customWidth="1"/>
    <col min="12061" max="12061" width="13.7109375" style="511" customWidth="1"/>
    <col min="12062" max="12062" width="29.85546875" style="511" customWidth="1"/>
    <col min="12063" max="12063" width="11.28515625" style="511" customWidth="1"/>
    <col min="12064" max="12064" width="10.42578125" style="511" bestFit="1" customWidth="1"/>
    <col min="12065" max="12065" width="11.5703125" style="511" customWidth="1"/>
    <col min="12066" max="12066" width="11.28515625" style="511" customWidth="1"/>
    <col min="12067" max="12288" width="9.5703125" style="511"/>
    <col min="12289" max="12293" width="0" style="511" hidden="1" customWidth="1"/>
    <col min="12294" max="12294" width="11.42578125" style="511" customWidth="1"/>
    <col min="12295" max="12295" width="8.42578125" style="511" customWidth="1"/>
    <col min="12296" max="12296" width="62.5703125" style="511" customWidth="1"/>
    <col min="12297" max="12297" width="12.85546875" style="511" customWidth="1"/>
    <col min="12298" max="12298" width="14.7109375" style="511" customWidth="1"/>
    <col min="12299" max="12299" width="14.5703125" style="511" customWidth="1"/>
    <col min="12300" max="12300" width="12.5703125" style="511" customWidth="1"/>
    <col min="12301" max="12301" width="12.140625" style="511" customWidth="1"/>
    <col min="12302" max="12302" width="12.85546875" style="511" bestFit="1" customWidth="1"/>
    <col min="12303" max="12303" width="42.140625" style="511" customWidth="1"/>
    <col min="12304" max="12304" width="15.5703125" style="511" customWidth="1"/>
    <col min="12305" max="12305" width="10" style="511" customWidth="1"/>
    <col min="12306" max="12306" width="13.85546875" style="511" customWidth="1"/>
    <col min="12307" max="12307" width="11" style="511" bestFit="1" customWidth="1"/>
    <col min="12308" max="12308" width="10" style="511" customWidth="1"/>
    <col min="12309" max="12309" width="64" style="511" customWidth="1"/>
    <col min="12310" max="12311" width="0" style="511" hidden="1" customWidth="1"/>
    <col min="12312" max="12312" width="11.7109375" style="511" customWidth="1"/>
    <col min="12313" max="12313" width="14.42578125" style="511" bestFit="1" customWidth="1"/>
    <col min="12314" max="12314" width="12.42578125" style="511" customWidth="1"/>
    <col min="12315" max="12315" width="11.140625" style="511" customWidth="1"/>
    <col min="12316" max="12316" width="12.42578125" style="511" customWidth="1"/>
    <col min="12317" max="12317" width="13.7109375" style="511" customWidth="1"/>
    <col min="12318" max="12318" width="29.85546875" style="511" customWidth="1"/>
    <col min="12319" max="12319" width="11.28515625" style="511" customWidth="1"/>
    <col min="12320" max="12320" width="10.42578125" style="511" bestFit="1" customWidth="1"/>
    <col min="12321" max="12321" width="11.5703125" style="511" customWidth="1"/>
    <col min="12322" max="12322" width="11.28515625" style="511" customWidth="1"/>
    <col min="12323" max="12544" width="9.5703125" style="511"/>
    <col min="12545" max="12549" width="0" style="511" hidden="1" customWidth="1"/>
    <col min="12550" max="12550" width="11.42578125" style="511" customWidth="1"/>
    <col min="12551" max="12551" width="8.42578125" style="511" customWidth="1"/>
    <col min="12552" max="12552" width="62.5703125" style="511" customWidth="1"/>
    <col min="12553" max="12553" width="12.85546875" style="511" customWidth="1"/>
    <col min="12554" max="12554" width="14.7109375" style="511" customWidth="1"/>
    <col min="12555" max="12555" width="14.5703125" style="511" customWidth="1"/>
    <col min="12556" max="12556" width="12.5703125" style="511" customWidth="1"/>
    <col min="12557" max="12557" width="12.140625" style="511" customWidth="1"/>
    <col min="12558" max="12558" width="12.85546875" style="511" bestFit="1" customWidth="1"/>
    <col min="12559" max="12559" width="42.140625" style="511" customWidth="1"/>
    <col min="12560" max="12560" width="15.5703125" style="511" customWidth="1"/>
    <col min="12561" max="12561" width="10" style="511" customWidth="1"/>
    <col min="12562" max="12562" width="13.85546875" style="511" customWidth="1"/>
    <col min="12563" max="12563" width="11" style="511" bestFit="1" customWidth="1"/>
    <col min="12564" max="12564" width="10" style="511" customWidth="1"/>
    <col min="12565" max="12565" width="64" style="511" customWidth="1"/>
    <col min="12566" max="12567" width="0" style="511" hidden="1" customWidth="1"/>
    <col min="12568" max="12568" width="11.7109375" style="511" customWidth="1"/>
    <col min="12569" max="12569" width="14.42578125" style="511" bestFit="1" customWidth="1"/>
    <col min="12570" max="12570" width="12.42578125" style="511" customWidth="1"/>
    <col min="12571" max="12571" width="11.140625" style="511" customWidth="1"/>
    <col min="12572" max="12572" width="12.42578125" style="511" customWidth="1"/>
    <col min="12573" max="12573" width="13.7109375" style="511" customWidth="1"/>
    <col min="12574" max="12574" width="29.85546875" style="511" customWidth="1"/>
    <col min="12575" max="12575" width="11.28515625" style="511" customWidth="1"/>
    <col min="12576" max="12576" width="10.42578125" style="511" bestFit="1" customWidth="1"/>
    <col min="12577" max="12577" width="11.5703125" style="511" customWidth="1"/>
    <col min="12578" max="12578" width="11.28515625" style="511" customWidth="1"/>
    <col min="12579" max="12800" width="9.5703125" style="511"/>
    <col min="12801" max="12805" width="0" style="511" hidden="1" customWidth="1"/>
    <col min="12806" max="12806" width="11.42578125" style="511" customWidth="1"/>
    <col min="12807" max="12807" width="8.42578125" style="511" customWidth="1"/>
    <col min="12808" max="12808" width="62.5703125" style="511" customWidth="1"/>
    <col min="12809" max="12809" width="12.85546875" style="511" customWidth="1"/>
    <col min="12810" max="12810" width="14.7109375" style="511" customWidth="1"/>
    <col min="12811" max="12811" width="14.5703125" style="511" customWidth="1"/>
    <col min="12812" max="12812" width="12.5703125" style="511" customWidth="1"/>
    <col min="12813" max="12813" width="12.140625" style="511" customWidth="1"/>
    <col min="12814" max="12814" width="12.85546875" style="511" bestFit="1" customWidth="1"/>
    <col min="12815" max="12815" width="42.140625" style="511" customWidth="1"/>
    <col min="12816" max="12816" width="15.5703125" style="511" customWidth="1"/>
    <col min="12817" max="12817" width="10" style="511" customWidth="1"/>
    <col min="12818" max="12818" width="13.85546875" style="511" customWidth="1"/>
    <col min="12819" max="12819" width="11" style="511" bestFit="1" customWidth="1"/>
    <col min="12820" max="12820" width="10" style="511" customWidth="1"/>
    <col min="12821" max="12821" width="64" style="511" customWidth="1"/>
    <col min="12822" max="12823" width="0" style="511" hidden="1" customWidth="1"/>
    <col min="12824" max="12824" width="11.7109375" style="511" customWidth="1"/>
    <col min="12825" max="12825" width="14.42578125" style="511" bestFit="1" customWidth="1"/>
    <col min="12826" max="12826" width="12.42578125" style="511" customWidth="1"/>
    <col min="12827" max="12827" width="11.140625" style="511" customWidth="1"/>
    <col min="12828" max="12828" width="12.42578125" style="511" customWidth="1"/>
    <col min="12829" max="12829" width="13.7109375" style="511" customWidth="1"/>
    <col min="12830" max="12830" width="29.85546875" style="511" customWidth="1"/>
    <col min="12831" max="12831" width="11.28515625" style="511" customWidth="1"/>
    <col min="12832" max="12832" width="10.42578125" style="511" bestFit="1" customWidth="1"/>
    <col min="12833" max="12833" width="11.5703125" style="511" customWidth="1"/>
    <col min="12834" max="12834" width="11.28515625" style="511" customWidth="1"/>
    <col min="12835" max="13056" width="9.5703125" style="511"/>
    <col min="13057" max="13061" width="0" style="511" hidden="1" customWidth="1"/>
    <col min="13062" max="13062" width="11.42578125" style="511" customWidth="1"/>
    <col min="13063" max="13063" width="8.42578125" style="511" customWidth="1"/>
    <col min="13064" max="13064" width="62.5703125" style="511" customWidth="1"/>
    <col min="13065" max="13065" width="12.85546875" style="511" customWidth="1"/>
    <col min="13066" max="13066" width="14.7109375" style="511" customWidth="1"/>
    <col min="13067" max="13067" width="14.5703125" style="511" customWidth="1"/>
    <col min="13068" max="13068" width="12.5703125" style="511" customWidth="1"/>
    <col min="13069" max="13069" width="12.140625" style="511" customWidth="1"/>
    <col min="13070" max="13070" width="12.85546875" style="511" bestFit="1" customWidth="1"/>
    <col min="13071" max="13071" width="42.140625" style="511" customWidth="1"/>
    <col min="13072" max="13072" width="15.5703125" style="511" customWidth="1"/>
    <col min="13073" max="13073" width="10" style="511" customWidth="1"/>
    <col min="13074" max="13074" width="13.85546875" style="511" customWidth="1"/>
    <col min="13075" max="13075" width="11" style="511" bestFit="1" customWidth="1"/>
    <col min="13076" max="13076" width="10" style="511" customWidth="1"/>
    <col min="13077" max="13077" width="64" style="511" customWidth="1"/>
    <col min="13078" max="13079" width="0" style="511" hidden="1" customWidth="1"/>
    <col min="13080" max="13080" width="11.7109375" style="511" customWidth="1"/>
    <col min="13081" max="13081" width="14.42578125" style="511" bestFit="1" customWidth="1"/>
    <col min="13082" max="13082" width="12.42578125" style="511" customWidth="1"/>
    <col min="13083" max="13083" width="11.140625" style="511" customWidth="1"/>
    <col min="13084" max="13084" width="12.42578125" style="511" customWidth="1"/>
    <col min="13085" max="13085" width="13.7109375" style="511" customWidth="1"/>
    <col min="13086" max="13086" width="29.85546875" style="511" customWidth="1"/>
    <col min="13087" max="13087" width="11.28515625" style="511" customWidth="1"/>
    <col min="13088" max="13088" width="10.42578125" style="511" bestFit="1" customWidth="1"/>
    <col min="13089" max="13089" width="11.5703125" style="511" customWidth="1"/>
    <col min="13090" max="13090" width="11.28515625" style="511" customWidth="1"/>
    <col min="13091" max="13312" width="9.5703125" style="511"/>
    <col min="13313" max="13317" width="0" style="511" hidden="1" customWidth="1"/>
    <col min="13318" max="13318" width="11.42578125" style="511" customWidth="1"/>
    <col min="13319" max="13319" width="8.42578125" style="511" customWidth="1"/>
    <col min="13320" max="13320" width="62.5703125" style="511" customWidth="1"/>
    <col min="13321" max="13321" width="12.85546875" style="511" customWidth="1"/>
    <col min="13322" max="13322" width="14.7109375" style="511" customWidth="1"/>
    <col min="13323" max="13323" width="14.5703125" style="511" customWidth="1"/>
    <col min="13324" max="13324" width="12.5703125" style="511" customWidth="1"/>
    <col min="13325" max="13325" width="12.140625" style="511" customWidth="1"/>
    <col min="13326" max="13326" width="12.85546875" style="511" bestFit="1" customWidth="1"/>
    <col min="13327" max="13327" width="42.140625" style="511" customWidth="1"/>
    <col min="13328" max="13328" width="15.5703125" style="511" customWidth="1"/>
    <col min="13329" max="13329" width="10" style="511" customWidth="1"/>
    <col min="13330" max="13330" width="13.85546875" style="511" customWidth="1"/>
    <col min="13331" max="13331" width="11" style="511" bestFit="1" customWidth="1"/>
    <col min="13332" max="13332" width="10" style="511" customWidth="1"/>
    <col min="13333" max="13333" width="64" style="511" customWidth="1"/>
    <col min="13334" max="13335" width="0" style="511" hidden="1" customWidth="1"/>
    <col min="13336" max="13336" width="11.7109375" style="511" customWidth="1"/>
    <col min="13337" max="13337" width="14.42578125" style="511" bestFit="1" customWidth="1"/>
    <col min="13338" max="13338" width="12.42578125" style="511" customWidth="1"/>
    <col min="13339" max="13339" width="11.140625" style="511" customWidth="1"/>
    <col min="13340" max="13340" width="12.42578125" style="511" customWidth="1"/>
    <col min="13341" max="13341" width="13.7109375" style="511" customWidth="1"/>
    <col min="13342" max="13342" width="29.85546875" style="511" customWidth="1"/>
    <col min="13343" max="13343" width="11.28515625" style="511" customWidth="1"/>
    <col min="13344" max="13344" width="10.42578125" style="511" bestFit="1" customWidth="1"/>
    <col min="13345" max="13345" width="11.5703125" style="511" customWidth="1"/>
    <col min="13346" max="13346" width="11.28515625" style="511" customWidth="1"/>
    <col min="13347" max="13568" width="9.5703125" style="511"/>
    <col min="13569" max="13573" width="0" style="511" hidden="1" customWidth="1"/>
    <col min="13574" max="13574" width="11.42578125" style="511" customWidth="1"/>
    <col min="13575" max="13575" width="8.42578125" style="511" customWidth="1"/>
    <col min="13576" max="13576" width="62.5703125" style="511" customWidth="1"/>
    <col min="13577" max="13577" width="12.85546875" style="511" customWidth="1"/>
    <col min="13578" max="13578" width="14.7109375" style="511" customWidth="1"/>
    <col min="13579" max="13579" width="14.5703125" style="511" customWidth="1"/>
    <col min="13580" max="13580" width="12.5703125" style="511" customWidth="1"/>
    <col min="13581" max="13581" width="12.140625" style="511" customWidth="1"/>
    <col min="13582" max="13582" width="12.85546875" style="511" bestFit="1" customWidth="1"/>
    <col min="13583" max="13583" width="42.140625" style="511" customWidth="1"/>
    <col min="13584" max="13584" width="15.5703125" style="511" customWidth="1"/>
    <col min="13585" max="13585" width="10" style="511" customWidth="1"/>
    <col min="13586" max="13586" width="13.85546875" style="511" customWidth="1"/>
    <col min="13587" max="13587" width="11" style="511" bestFit="1" customWidth="1"/>
    <col min="13588" max="13588" width="10" style="511" customWidth="1"/>
    <col min="13589" max="13589" width="64" style="511" customWidth="1"/>
    <col min="13590" max="13591" width="0" style="511" hidden="1" customWidth="1"/>
    <col min="13592" max="13592" width="11.7109375" style="511" customWidth="1"/>
    <col min="13593" max="13593" width="14.42578125" style="511" bestFit="1" customWidth="1"/>
    <col min="13594" max="13594" width="12.42578125" style="511" customWidth="1"/>
    <col min="13595" max="13595" width="11.140625" style="511" customWidth="1"/>
    <col min="13596" max="13596" width="12.42578125" style="511" customWidth="1"/>
    <col min="13597" max="13597" width="13.7109375" style="511" customWidth="1"/>
    <col min="13598" max="13598" width="29.85546875" style="511" customWidth="1"/>
    <col min="13599" max="13599" width="11.28515625" style="511" customWidth="1"/>
    <col min="13600" max="13600" width="10.42578125" style="511" bestFit="1" customWidth="1"/>
    <col min="13601" max="13601" width="11.5703125" style="511" customWidth="1"/>
    <col min="13602" max="13602" width="11.28515625" style="511" customWidth="1"/>
    <col min="13603" max="13824" width="9.5703125" style="511"/>
    <col min="13825" max="13829" width="0" style="511" hidden="1" customWidth="1"/>
    <col min="13830" max="13830" width="11.42578125" style="511" customWidth="1"/>
    <col min="13831" max="13831" width="8.42578125" style="511" customWidth="1"/>
    <col min="13832" max="13832" width="62.5703125" style="511" customWidth="1"/>
    <col min="13833" max="13833" width="12.85546875" style="511" customWidth="1"/>
    <col min="13834" max="13834" width="14.7109375" style="511" customWidth="1"/>
    <col min="13835" max="13835" width="14.5703125" style="511" customWidth="1"/>
    <col min="13836" max="13836" width="12.5703125" style="511" customWidth="1"/>
    <col min="13837" max="13837" width="12.140625" style="511" customWidth="1"/>
    <col min="13838" max="13838" width="12.85546875" style="511" bestFit="1" customWidth="1"/>
    <col min="13839" max="13839" width="42.140625" style="511" customWidth="1"/>
    <col min="13840" max="13840" width="15.5703125" style="511" customWidth="1"/>
    <col min="13841" max="13841" width="10" style="511" customWidth="1"/>
    <col min="13842" max="13842" width="13.85546875" style="511" customWidth="1"/>
    <col min="13843" max="13843" width="11" style="511" bestFit="1" customWidth="1"/>
    <col min="13844" max="13844" width="10" style="511" customWidth="1"/>
    <col min="13845" max="13845" width="64" style="511" customWidth="1"/>
    <col min="13846" max="13847" width="0" style="511" hidden="1" customWidth="1"/>
    <col min="13848" max="13848" width="11.7109375" style="511" customWidth="1"/>
    <col min="13849" max="13849" width="14.42578125" style="511" bestFit="1" customWidth="1"/>
    <col min="13850" max="13850" width="12.42578125" style="511" customWidth="1"/>
    <col min="13851" max="13851" width="11.140625" style="511" customWidth="1"/>
    <col min="13852" max="13852" width="12.42578125" style="511" customWidth="1"/>
    <col min="13853" max="13853" width="13.7109375" style="511" customWidth="1"/>
    <col min="13854" max="13854" width="29.85546875" style="511" customWidth="1"/>
    <col min="13855" max="13855" width="11.28515625" style="511" customWidth="1"/>
    <col min="13856" max="13856" width="10.42578125" style="511" bestFit="1" customWidth="1"/>
    <col min="13857" max="13857" width="11.5703125" style="511" customWidth="1"/>
    <col min="13858" max="13858" width="11.28515625" style="511" customWidth="1"/>
    <col min="13859" max="14080" width="9.5703125" style="511"/>
    <col min="14081" max="14085" width="0" style="511" hidden="1" customWidth="1"/>
    <col min="14086" max="14086" width="11.42578125" style="511" customWidth="1"/>
    <col min="14087" max="14087" width="8.42578125" style="511" customWidth="1"/>
    <col min="14088" max="14088" width="62.5703125" style="511" customWidth="1"/>
    <col min="14089" max="14089" width="12.85546875" style="511" customWidth="1"/>
    <col min="14090" max="14090" width="14.7109375" style="511" customWidth="1"/>
    <col min="14091" max="14091" width="14.5703125" style="511" customWidth="1"/>
    <col min="14092" max="14092" width="12.5703125" style="511" customWidth="1"/>
    <col min="14093" max="14093" width="12.140625" style="511" customWidth="1"/>
    <col min="14094" max="14094" width="12.85546875" style="511" bestFit="1" customWidth="1"/>
    <col min="14095" max="14095" width="42.140625" style="511" customWidth="1"/>
    <col min="14096" max="14096" width="15.5703125" style="511" customWidth="1"/>
    <col min="14097" max="14097" width="10" style="511" customWidth="1"/>
    <col min="14098" max="14098" width="13.85546875" style="511" customWidth="1"/>
    <col min="14099" max="14099" width="11" style="511" bestFit="1" customWidth="1"/>
    <col min="14100" max="14100" width="10" style="511" customWidth="1"/>
    <col min="14101" max="14101" width="64" style="511" customWidth="1"/>
    <col min="14102" max="14103" width="0" style="511" hidden="1" customWidth="1"/>
    <col min="14104" max="14104" width="11.7109375" style="511" customWidth="1"/>
    <col min="14105" max="14105" width="14.42578125" style="511" bestFit="1" customWidth="1"/>
    <col min="14106" max="14106" width="12.42578125" style="511" customWidth="1"/>
    <col min="14107" max="14107" width="11.140625" style="511" customWidth="1"/>
    <col min="14108" max="14108" width="12.42578125" style="511" customWidth="1"/>
    <col min="14109" max="14109" width="13.7109375" style="511" customWidth="1"/>
    <col min="14110" max="14110" width="29.85546875" style="511" customWidth="1"/>
    <col min="14111" max="14111" width="11.28515625" style="511" customWidth="1"/>
    <col min="14112" max="14112" width="10.42578125" style="511" bestFit="1" customWidth="1"/>
    <col min="14113" max="14113" width="11.5703125" style="511" customWidth="1"/>
    <col min="14114" max="14114" width="11.28515625" style="511" customWidth="1"/>
    <col min="14115" max="14336" width="9.5703125" style="511"/>
    <col min="14337" max="14341" width="0" style="511" hidden="1" customWidth="1"/>
    <col min="14342" max="14342" width="11.42578125" style="511" customWidth="1"/>
    <col min="14343" max="14343" width="8.42578125" style="511" customWidth="1"/>
    <col min="14344" max="14344" width="62.5703125" style="511" customWidth="1"/>
    <col min="14345" max="14345" width="12.85546875" style="511" customWidth="1"/>
    <col min="14346" max="14346" width="14.7109375" style="511" customWidth="1"/>
    <col min="14347" max="14347" width="14.5703125" style="511" customWidth="1"/>
    <col min="14348" max="14348" width="12.5703125" style="511" customWidth="1"/>
    <col min="14349" max="14349" width="12.140625" style="511" customWidth="1"/>
    <col min="14350" max="14350" width="12.85546875" style="511" bestFit="1" customWidth="1"/>
    <col min="14351" max="14351" width="42.140625" style="511" customWidth="1"/>
    <col min="14352" max="14352" width="15.5703125" style="511" customWidth="1"/>
    <col min="14353" max="14353" width="10" style="511" customWidth="1"/>
    <col min="14354" max="14354" width="13.85546875" style="511" customWidth="1"/>
    <col min="14355" max="14355" width="11" style="511" bestFit="1" customWidth="1"/>
    <col min="14356" max="14356" width="10" style="511" customWidth="1"/>
    <col min="14357" max="14357" width="64" style="511" customWidth="1"/>
    <col min="14358" max="14359" width="0" style="511" hidden="1" customWidth="1"/>
    <col min="14360" max="14360" width="11.7109375" style="511" customWidth="1"/>
    <col min="14361" max="14361" width="14.42578125" style="511" bestFit="1" customWidth="1"/>
    <col min="14362" max="14362" width="12.42578125" style="511" customWidth="1"/>
    <col min="14363" max="14363" width="11.140625" style="511" customWidth="1"/>
    <col min="14364" max="14364" width="12.42578125" style="511" customWidth="1"/>
    <col min="14365" max="14365" width="13.7109375" style="511" customWidth="1"/>
    <col min="14366" max="14366" width="29.85546875" style="511" customWidth="1"/>
    <col min="14367" max="14367" width="11.28515625" style="511" customWidth="1"/>
    <col min="14368" max="14368" width="10.42578125" style="511" bestFit="1" customWidth="1"/>
    <col min="14369" max="14369" width="11.5703125" style="511" customWidth="1"/>
    <col min="14370" max="14370" width="11.28515625" style="511" customWidth="1"/>
    <col min="14371" max="14592" width="9.5703125" style="511"/>
    <col min="14593" max="14597" width="0" style="511" hidden="1" customWidth="1"/>
    <col min="14598" max="14598" width="11.42578125" style="511" customWidth="1"/>
    <col min="14599" max="14599" width="8.42578125" style="511" customWidth="1"/>
    <col min="14600" max="14600" width="62.5703125" style="511" customWidth="1"/>
    <col min="14601" max="14601" width="12.85546875" style="511" customWidth="1"/>
    <col min="14602" max="14602" width="14.7109375" style="511" customWidth="1"/>
    <col min="14603" max="14603" width="14.5703125" style="511" customWidth="1"/>
    <col min="14604" max="14604" width="12.5703125" style="511" customWidth="1"/>
    <col min="14605" max="14605" width="12.140625" style="511" customWidth="1"/>
    <col min="14606" max="14606" width="12.85546875" style="511" bestFit="1" customWidth="1"/>
    <col min="14607" max="14607" width="42.140625" style="511" customWidth="1"/>
    <col min="14608" max="14608" width="15.5703125" style="511" customWidth="1"/>
    <col min="14609" max="14609" width="10" style="511" customWidth="1"/>
    <col min="14610" max="14610" width="13.85546875" style="511" customWidth="1"/>
    <col min="14611" max="14611" width="11" style="511" bestFit="1" customWidth="1"/>
    <col min="14612" max="14612" width="10" style="511" customWidth="1"/>
    <col min="14613" max="14613" width="64" style="511" customWidth="1"/>
    <col min="14614" max="14615" width="0" style="511" hidden="1" customWidth="1"/>
    <col min="14616" max="14616" width="11.7109375" style="511" customWidth="1"/>
    <col min="14617" max="14617" width="14.42578125" style="511" bestFit="1" customWidth="1"/>
    <col min="14618" max="14618" width="12.42578125" style="511" customWidth="1"/>
    <col min="14619" max="14619" width="11.140625" style="511" customWidth="1"/>
    <col min="14620" max="14620" width="12.42578125" style="511" customWidth="1"/>
    <col min="14621" max="14621" width="13.7109375" style="511" customWidth="1"/>
    <col min="14622" max="14622" width="29.85546875" style="511" customWidth="1"/>
    <col min="14623" max="14623" width="11.28515625" style="511" customWidth="1"/>
    <col min="14624" max="14624" width="10.42578125" style="511" bestFit="1" customWidth="1"/>
    <col min="14625" max="14625" width="11.5703125" style="511" customWidth="1"/>
    <col min="14626" max="14626" width="11.28515625" style="511" customWidth="1"/>
    <col min="14627" max="14848" width="9.5703125" style="511"/>
    <col min="14849" max="14853" width="0" style="511" hidden="1" customWidth="1"/>
    <col min="14854" max="14854" width="11.42578125" style="511" customWidth="1"/>
    <col min="14855" max="14855" width="8.42578125" style="511" customWidth="1"/>
    <col min="14856" max="14856" width="62.5703125" style="511" customWidth="1"/>
    <col min="14857" max="14857" width="12.85546875" style="511" customWidth="1"/>
    <col min="14858" max="14858" width="14.7109375" style="511" customWidth="1"/>
    <col min="14859" max="14859" width="14.5703125" style="511" customWidth="1"/>
    <col min="14860" max="14860" width="12.5703125" style="511" customWidth="1"/>
    <col min="14861" max="14861" width="12.140625" style="511" customWidth="1"/>
    <col min="14862" max="14862" width="12.85546875" style="511" bestFit="1" customWidth="1"/>
    <col min="14863" max="14863" width="42.140625" style="511" customWidth="1"/>
    <col min="14864" max="14864" width="15.5703125" style="511" customWidth="1"/>
    <col min="14865" max="14865" width="10" style="511" customWidth="1"/>
    <col min="14866" max="14866" width="13.85546875" style="511" customWidth="1"/>
    <col min="14867" max="14867" width="11" style="511" bestFit="1" customWidth="1"/>
    <col min="14868" max="14868" width="10" style="511" customWidth="1"/>
    <col min="14869" max="14869" width="64" style="511" customWidth="1"/>
    <col min="14870" max="14871" width="0" style="511" hidden="1" customWidth="1"/>
    <col min="14872" max="14872" width="11.7109375" style="511" customWidth="1"/>
    <col min="14873" max="14873" width="14.42578125" style="511" bestFit="1" customWidth="1"/>
    <col min="14874" max="14874" width="12.42578125" style="511" customWidth="1"/>
    <col min="14875" max="14875" width="11.140625" style="511" customWidth="1"/>
    <col min="14876" max="14876" width="12.42578125" style="511" customWidth="1"/>
    <col min="14877" max="14877" width="13.7109375" style="511" customWidth="1"/>
    <col min="14878" max="14878" width="29.85546875" style="511" customWidth="1"/>
    <col min="14879" max="14879" width="11.28515625" style="511" customWidth="1"/>
    <col min="14880" max="14880" width="10.42578125" style="511" bestFit="1" customWidth="1"/>
    <col min="14881" max="14881" width="11.5703125" style="511" customWidth="1"/>
    <col min="14882" max="14882" width="11.28515625" style="511" customWidth="1"/>
    <col min="14883" max="15104" width="9.5703125" style="511"/>
    <col min="15105" max="15109" width="0" style="511" hidden="1" customWidth="1"/>
    <col min="15110" max="15110" width="11.42578125" style="511" customWidth="1"/>
    <col min="15111" max="15111" width="8.42578125" style="511" customWidth="1"/>
    <col min="15112" max="15112" width="62.5703125" style="511" customWidth="1"/>
    <col min="15113" max="15113" width="12.85546875" style="511" customWidth="1"/>
    <col min="15114" max="15114" width="14.7109375" style="511" customWidth="1"/>
    <col min="15115" max="15115" width="14.5703125" style="511" customWidth="1"/>
    <col min="15116" max="15116" width="12.5703125" style="511" customWidth="1"/>
    <col min="15117" max="15117" width="12.140625" style="511" customWidth="1"/>
    <col min="15118" max="15118" width="12.85546875" style="511" bestFit="1" customWidth="1"/>
    <col min="15119" max="15119" width="42.140625" style="511" customWidth="1"/>
    <col min="15120" max="15120" width="15.5703125" style="511" customWidth="1"/>
    <col min="15121" max="15121" width="10" style="511" customWidth="1"/>
    <col min="15122" max="15122" width="13.85546875" style="511" customWidth="1"/>
    <col min="15123" max="15123" width="11" style="511" bestFit="1" customWidth="1"/>
    <col min="15124" max="15124" width="10" style="511" customWidth="1"/>
    <col min="15125" max="15125" width="64" style="511" customWidth="1"/>
    <col min="15126" max="15127" width="0" style="511" hidden="1" customWidth="1"/>
    <col min="15128" max="15128" width="11.7109375" style="511" customWidth="1"/>
    <col min="15129" max="15129" width="14.42578125" style="511" bestFit="1" customWidth="1"/>
    <col min="15130" max="15130" width="12.42578125" style="511" customWidth="1"/>
    <col min="15131" max="15131" width="11.140625" style="511" customWidth="1"/>
    <col min="15132" max="15132" width="12.42578125" style="511" customWidth="1"/>
    <col min="15133" max="15133" width="13.7109375" style="511" customWidth="1"/>
    <col min="15134" max="15134" width="29.85546875" style="511" customWidth="1"/>
    <col min="15135" max="15135" width="11.28515625" style="511" customWidth="1"/>
    <col min="15136" max="15136" width="10.42578125" style="511" bestFit="1" customWidth="1"/>
    <col min="15137" max="15137" width="11.5703125" style="511" customWidth="1"/>
    <col min="15138" max="15138" width="11.28515625" style="511" customWidth="1"/>
    <col min="15139" max="15360" width="9.5703125" style="511"/>
    <col min="15361" max="15365" width="0" style="511" hidden="1" customWidth="1"/>
    <col min="15366" max="15366" width="11.42578125" style="511" customWidth="1"/>
    <col min="15367" max="15367" width="8.42578125" style="511" customWidth="1"/>
    <col min="15368" max="15368" width="62.5703125" style="511" customWidth="1"/>
    <col min="15369" max="15369" width="12.85546875" style="511" customWidth="1"/>
    <col min="15370" max="15370" width="14.7109375" style="511" customWidth="1"/>
    <col min="15371" max="15371" width="14.5703125" style="511" customWidth="1"/>
    <col min="15372" max="15372" width="12.5703125" style="511" customWidth="1"/>
    <col min="15373" max="15373" width="12.140625" style="511" customWidth="1"/>
    <col min="15374" max="15374" width="12.85546875" style="511" bestFit="1" customWidth="1"/>
    <col min="15375" max="15375" width="42.140625" style="511" customWidth="1"/>
    <col min="15376" max="15376" width="15.5703125" style="511" customWidth="1"/>
    <col min="15377" max="15377" width="10" style="511" customWidth="1"/>
    <col min="15378" max="15378" width="13.85546875" style="511" customWidth="1"/>
    <col min="15379" max="15379" width="11" style="511" bestFit="1" customWidth="1"/>
    <col min="15380" max="15380" width="10" style="511" customWidth="1"/>
    <col min="15381" max="15381" width="64" style="511" customWidth="1"/>
    <col min="15382" max="15383" width="0" style="511" hidden="1" customWidth="1"/>
    <col min="15384" max="15384" width="11.7109375" style="511" customWidth="1"/>
    <col min="15385" max="15385" width="14.42578125" style="511" bestFit="1" customWidth="1"/>
    <col min="15386" max="15386" width="12.42578125" style="511" customWidth="1"/>
    <col min="15387" max="15387" width="11.140625" style="511" customWidth="1"/>
    <col min="15388" max="15388" width="12.42578125" style="511" customWidth="1"/>
    <col min="15389" max="15389" width="13.7109375" style="511" customWidth="1"/>
    <col min="15390" max="15390" width="29.85546875" style="511" customWidth="1"/>
    <col min="15391" max="15391" width="11.28515625" style="511" customWidth="1"/>
    <col min="15392" max="15392" width="10.42578125" style="511" bestFit="1" customWidth="1"/>
    <col min="15393" max="15393" width="11.5703125" style="511" customWidth="1"/>
    <col min="15394" max="15394" width="11.28515625" style="511" customWidth="1"/>
    <col min="15395" max="15616" width="9.5703125" style="511"/>
    <col min="15617" max="15621" width="0" style="511" hidden="1" customWidth="1"/>
    <col min="15622" max="15622" width="11.42578125" style="511" customWidth="1"/>
    <col min="15623" max="15623" width="8.42578125" style="511" customWidth="1"/>
    <col min="15624" max="15624" width="62.5703125" style="511" customWidth="1"/>
    <col min="15625" max="15625" width="12.85546875" style="511" customWidth="1"/>
    <col min="15626" max="15626" width="14.7109375" style="511" customWidth="1"/>
    <col min="15627" max="15627" width="14.5703125" style="511" customWidth="1"/>
    <col min="15628" max="15628" width="12.5703125" style="511" customWidth="1"/>
    <col min="15629" max="15629" width="12.140625" style="511" customWidth="1"/>
    <col min="15630" max="15630" width="12.85546875" style="511" bestFit="1" customWidth="1"/>
    <col min="15631" max="15631" width="42.140625" style="511" customWidth="1"/>
    <col min="15632" max="15632" width="15.5703125" style="511" customWidth="1"/>
    <col min="15633" max="15633" width="10" style="511" customWidth="1"/>
    <col min="15634" max="15634" width="13.85546875" style="511" customWidth="1"/>
    <col min="15635" max="15635" width="11" style="511" bestFit="1" customWidth="1"/>
    <col min="15636" max="15636" width="10" style="511" customWidth="1"/>
    <col min="15637" max="15637" width="64" style="511" customWidth="1"/>
    <col min="15638" max="15639" width="0" style="511" hidden="1" customWidth="1"/>
    <col min="15640" max="15640" width="11.7109375" style="511" customWidth="1"/>
    <col min="15641" max="15641" width="14.42578125" style="511" bestFit="1" customWidth="1"/>
    <col min="15642" max="15642" width="12.42578125" style="511" customWidth="1"/>
    <col min="15643" max="15643" width="11.140625" style="511" customWidth="1"/>
    <col min="15644" max="15644" width="12.42578125" style="511" customWidth="1"/>
    <col min="15645" max="15645" width="13.7109375" style="511" customWidth="1"/>
    <col min="15646" max="15646" width="29.85546875" style="511" customWidth="1"/>
    <col min="15647" max="15647" width="11.28515625" style="511" customWidth="1"/>
    <col min="15648" max="15648" width="10.42578125" style="511" bestFit="1" customWidth="1"/>
    <col min="15649" max="15649" width="11.5703125" style="511" customWidth="1"/>
    <col min="15650" max="15650" width="11.28515625" style="511" customWidth="1"/>
    <col min="15651" max="15872" width="9.5703125" style="511"/>
    <col min="15873" max="15877" width="0" style="511" hidden="1" customWidth="1"/>
    <col min="15878" max="15878" width="11.42578125" style="511" customWidth="1"/>
    <col min="15879" max="15879" width="8.42578125" style="511" customWidth="1"/>
    <col min="15880" max="15880" width="62.5703125" style="511" customWidth="1"/>
    <col min="15881" max="15881" width="12.85546875" style="511" customWidth="1"/>
    <col min="15882" max="15882" width="14.7109375" style="511" customWidth="1"/>
    <col min="15883" max="15883" width="14.5703125" style="511" customWidth="1"/>
    <col min="15884" max="15884" width="12.5703125" style="511" customWidth="1"/>
    <col min="15885" max="15885" width="12.140625" style="511" customWidth="1"/>
    <col min="15886" max="15886" width="12.85546875" style="511" bestFit="1" customWidth="1"/>
    <col min="15887" max="15887" width="42.140625" style="511" customWidth="1"/>
    <col min="15888" max="15888" width="15.5703125" style="511" customWidth="1"/>
    <col min="15889" max="15889" width="10" style="511" customWidth="1"/>
    <col min="15890" max="15890" width="13.85546875" style="511" customWidth="1"/>
    <col min="15891" max="15891" width="11" style="511" bestFit="1" customWidth="1"/>
    <col min="15892" max="15892" width="10" style="511" customWidth="1"/>
    <col min="15893" max="15893" width="64" style="511" customWidth="1"/>
    <col min="15894" max="15895" width="0" style="511" hidden="1" customWidth="1"/>
    <col min="15896" max="15896" width="11.7109375" style="511" customWidth="1"/>
    <col min="15897" max="15897" width="14.42578125" style="511" bestFit="1" customWidth="1"/>
    <col min="15898" max="15898" width="12.42578125" style="511" customWidth="1"/>
    <col min="15899" max="15899" width="11.140625" style="511" customWidth="1"/>
    <col min="15900" max="15900" width="12.42578125" style="511" customWidth="1"/>
    <col min="15901" max="15901" width="13.7109375" style="511" customWidth="1"/>
    <col min="15902" max="15902" width="29.85546875" style="511" customWidth="1"/>
    <col min="15903" max="15903" width="11.28515625" style="511" customWidth="1"/>
    <col min="15904" max="15904" width="10.42578125" style="511" bestFit="1" customWidth="1"/>
    <col min="15905" max="15905" width="11.5703125" style="511" customWidth="1"/>
    <col min="15906" max="15906" width="11.28515625" style="511" customWidth="1"/>
    <col min="15907" max="16128" width="9.5703125" style="511"/>
    <col min="16129" max="16133" width="0" style="511" hidden="1" customWidth="1"/>
    <col min="16134" max="16134" width="11.42578125" style="511" customWidth="1"/>
    <col min="16135" max="16135" width="8.42578125" style="511" customWidth="1"/>
    <col min="16136" max="16136" width="62.5703125" style="511" customWidth="1"/>
    <col min="16137" max="16137" width="12.85546875" style="511" customWidth="1"/>
    <col min="16138" max="16138" width="14.7109375" style="511" customWidth="1"/>
    <col min="16139" max="16139" width="14.5703125" style="511" customWidth="1"/>
    <col min="16140" max="16140" width="12.5703125" style="511" customWidth="1"/>
    <col min="16141" max="16141" width="12.140625" style="511" customWidth="1"/>
    <col min="16142" max="16142" width="12.85546875" style="511" bestFit="1" customWidth="1"/>
    <col min="16143" max="16143" width="42.140625" style="511" customWidth="1"/>
    <col min="16144" max="16144" width="15.5703125" style="511" customWidth="1"/>
    <col min="16145" max="16145" width="10" style="511" customWidth="1"/>
    <col min="16146" max="16146" width="13.85546875" style="511" customWidth="1"/>
    <col min="16147" max="16147" width="11" style="511" bestFit="1" customWidth="1"/>
    <col min="16148" max="16148" width="10" style="511" customWidth="1"/>
    <col min="16149" max="16149" width="64" style="511" customWidth="1"/>
    <col min="16150" max="16151" width="0" style="511" hidden="1" customWidth="1"/>
    <col min="16152" max="16152" width="11.7109375" style="511" customWidth="1"/>
    <col min="16153" max="16153" width="14.42578125" style="511" bestFit="1" customWidth="1"/>
    <col min="16154" max="16154" width="12.42578125" style="511" customWidth="1"/>
    <col min="16155" max="16155" width="11.140625" style="511" customWidth="1"/>
    <col min="16156" max="16156" width="12.42578125" style="511" customWidth="1"/>
    <col min="16157" max="16157" width="13.7109375" style="511" customWidth="1"/>
    <col min="16158" max="16158" width="29.85546875" style="511" customWidth="1"/>
    <col min="16159" max="16159" width="11.28515625" style="511" customWidth="1"/>
    <col min="16160" max="16160" width="10.42578125" style="511" bestFit="1" customWidth="1"/>
    <col min="16161" max="16161" width="11.5703125" style="511" customWidth="1"/>
    <col min="16162" max="16162" width="11.28515625" style="511" customWidth="1"/>
    <col min="16163" max="16384" width="9.5703125" style="511"/>
  </cols>
  <sheetData>
    <row r="1" spans="1:37" ht="19.5" hidden="1">
      <c r="A1" s="509" t="s">
        <v>30</v>
      </c>
      <c r="B1" s="510" t="s">
        <v>2483</v>
      </c>
      <c r="E1" s="509" t="s">
        <v>30</v>
      </c>
      <c r="H1" s="509" t="s">
        <v>2484</v>
      </c>
      <c r="O1" s="509" t="s">
        <v>2484</v>
      </c>
      <c r="U1" s="514" t="s">
        <v>2483</v>
      </c>
      <c r="V1" s="509" t="s">
        <v>2485</v>
      </c>
      <c r="W1" s="509" t="s">
        <v>30</v>
      </c>
    </row>
    <row r="2" spans="1:37" hidden="1">
      <c r="B2" s="515" t="s">
        <v>29</v>
      </c>
      <c r="E2" s="509" t="s">
        <v>30</v>
      </c>
      <c r="H2" s="510" t="s">
        <v>2486</v>
      </c>
      <c r="O2" s="510" t="s">
        <v>2486</v>
      </c>
      <c r="U2" s="515" t="s">
        <v>29</v>
      </c>
    </row>
    <row r="3" spans="1:37" hidden="1">
      <c r="A3" s="509" t="s">
        <v>2487</v>
      </c>
      <c r="B3" s="516" t="s">
        <v>2488</v>
      </c>
      <c r="C3" s="509" t="s">
        <v>2489</v>
      </c>
      <c r="E3" s="509" t="s">
        <v>30</v>
      </c>
      <c r="F3" s="517" t="s">
        <v>2487</v>
      </c>
      <c r="G3" s="518" t="s">
        <v>30</v>
      </c>
      <c r="H3" s="519" t="str">
        <f>B3</f>
        <v>Madurai TSp VIth Bn under 4000 quarters Scheme.</v>
      </c>
      <c r="J3" s="510" t="str">
        <f>C3</f>
        <v>2006-2007</v>
      </c>
      <c r="M3" s="509" t="s">
        <v>2487</v>
      </c>
      <c r="N3" s="509" t="s">
        <v>30</v>
      </c>
      <c r="O3" s="519" t="str">
        <f>B3</f>
        <v>Madurai TSp VIth Bn under 4000 quarters Scheme.</v>
      </c>
      <c r="Q3" s="519" t="str">
        <f>C3</f>
        <v>2006-2007</v>
      </c>
      <c r="T3" s="509" t="s">
        <v>2487</v>
      </c>
      <c r="U3" s="519" t="str">
        <f>B3</f>
        <v>Madurai TSp VIth Bn under 4000 quarters Scheme.</v>
      </c>
      <c r="W3" s="520" t="str">
        <f>C3</f>
        <v>2006-2007</v>
      </c>
      <c r="AA3" s="509" t="s">
        <v>30</v>
      </c>
    </row>
    <row r="4" spans="1:37" hidden="1">
      <c r="F4" s="515" t="s">
        <v>442</v>
      </c>
      <c r="G4" s="515" t="s">
        <v>442</v>
      </c>
      <c r="H4" s="515" t="s">
        <v>442</v>
      </c>
      <c r="I4" s="515" t="s">
        <v>442</v>
      </c>
      <c r="J4" s="515" t="s">
        <v>442</v>
      </c>
      <c r="K4" s="515" t="s">
        <v>442</v>
      </c>
      <c r="M4" s="515" t="s">
        <v>442</v>
      </c>
      <c r="N4" s="515" t="s">
        <v>442</v>
      </c>
      <c r="O4" s="515" t="s">
        <v>442</v>
      </c>
      <c r="P4" s="515" t="s">
        <v>442</v>
      </c>
      <c r="Q4" s="515" t="s">
        <v>442</v>
      </c>
      <c r="R4" s="515" t="s">
        <v>442</v>
      </c>
      <c r="U4" s="509" t="s">
        <v>30</v>
      </c>
      <c r="W4" s="509" t="s">
        <v>30</v>
      </c>
      <c r="X4" s="509" t="s">
        <v>2485</v>
      </c>
      <c r="Y4" s="509" t="s">
        <v>30</v>
      </c>
      <c r="AC4" s="509" t="s">
        <v>30</v>
      </c>
      <c r="AG4" s="509" t="s">
        <v>2490</v>
      </c>
    </row>
    <row r="5" spans="1:37" hidden="1">
      <c r="A5" s="515" t="s">
        <v>442</v>
      </c>
      <c r="B5" s="515" t="s">
        <v>442</v>
      </c>
      <c r="C5" s="515" t="s">
        <v>442</v>
      </c>
      <c r="D5" s="515" t="s">
        <v>442</v>
      </c>
      <c r="E5" s="509" t="s">
        <v>30</v>
      </c>
      <c r="F5" s="517" t="s">
        <v>2491</v>
      </c>
      <c r="G5" s="518" t="s">
        <v>30</v>
      </c>
      <c r="H5" s="510" t="s">
        <v>2492</v>
      </c>
      <c r="I5" s="510" t="s">
        <v>2493</v>
      </c>
      <c r="J5" s="510" t="s">
        <v>2494</v>
      </c>
      <c r="K5" s="510" t="s">
        <v>2495</v>
      </c>
      <c r="M5" s="510" t="s">
        <v>2491</v>
      </c>
      <c r="N5" s="509" t="s">
        <v>30</v>
      </c>
      <c r="O5" s="510" t="s">
        <v>2492</v>
      </c>
      <c r="P5" s="510" t="s">
        <v>2493</v>
      </c>
      <c r="Q5" s="510" t="s">
        <v>2494</v>
      </c>
      <c r="R5" s="510" t="s">
        <v>2495</v>
      </c>
      <c r="T5" s="515" t="s">
        <v>442</v>
      </c>
      <c r="U5" s="515" t="s">
        <v>442</v>
      </c>
      <c r="V5" s="515" t="s">
        <v>442</v>
      </c>
      <c r="W5" s="515" t="s">
        <v>442</v>
      </c>
      <c r="X5" s="515" t="s">
        <v>442</v>
      </c>
      <c r="Y5" s="515" t="s">
        <v>442</v>
      </c>
      <c r="Z5" s="515" t="s">
        <v>442</v>
      </c>
      <c r="AA5" s="515" t="s">
        <v>442</v>
      </c>
      <c r="AB5" s="515" t="s">
        <v>442</v>
      </c>
      <c r="AC5" s="515" t="s">
        <v>442</v>
      </c>
      <c r="AD5" s="515" t="s">
        <v>442</v>
      </c>
      <c r="AE5" s="515" t="s">
        <v>442</v>
      </c>
    </row>
    <row r="6" spans="1:37" hidden="1">
      <c r="A6" s="509" t="s">
        <v>2496</v>
      </c>
      <c r="B6" s="509" t="s">
        <v>2492</v>
      </c>
      <c r="C6" s="509" t="s">
        <v>2493</v>
      </c>
      <c r="D6" s="509" t="s">
        <v>2494</v>
      </c>
      <c r="F6" s="515" t="s">
        <v>442</v>
      </c>
      <c r="G6" s="515" t="s">
        <v>442</v>
      </c>
      <c r="H6" s="515" t="s">
        <v>442</v>
      </c>
      <c r="I6" s="515" t="s">
        <v>442</v>
      </c>
      <c r="J6" s="515" t="s">
        <v>442</v>
      </c>
      <c r="K6" s="515" t="s">
        <v>442</v>
      </c>
      <c r="M6" s="515" t="s">
        <v>442</v>
      </c>
      <c r="N6" s="515" t="s">
        <v>442</v>
      </c>
      <c r="O6" s="515" t="s">
        <v>442</v>
      </c>
      <c r="P6" s="515" t="s">
        <v>442</v>
      </c>
      <c r="Q6" s="515" t="s">
        <v>442</v>
      </c>
      <c r="R6" s="515" t="s">
        <v>442</v>
      </c>
      <c r="T6" s="510" t="s">
        <v>2496</v>
      </c>
      <c r="U6" s="510" t="s">
        <v>2497</v>
      </c>
      <c r="V6" s="510" t="s">
        <v>2498</v>
      </c>
      <c r="W6" s="510" t="s">
        <v>2499</v>
      </c>
      <c r="X6" s="510" t="s">
        <v>28</v>
      </c>
      <c r="Y6" s="510" t="s">
        <v>2500</v>
      </c>
      <c r="Z6" s="510" t="s">
        <v>2501</v>
      </c>
      <c r="AA6" s="509" t="s">
        <v>2502</v>
      </c>
      <c r="AB6" s="509" t="s">
        <v>2503</v>
      </c>
      <c r="AC6" s="509" t="s">
        <v>2504</v>
      </c>
      <c r="AD6" s="510" t="s">
        <v>2505</v>
      </c>
      <c r="AG6" s="511">
        <f>135*1.1</f>
        <v>148.5</v>
      </c>
    </row>
    <row r="7" spans="1:37" hidden="1">
      <c r="A7" s="515" t="s">
        <v>442</v>
      </c>
      <c r="B7" s="515" t="s">
        <v>442</v>
      </c>
      <c r="C7" s="515" t="s">
        <v>442</v>
      </c>
      <c r="D7" s="515" t="s">
        <v>442</v>
      </c>
      <c r="G7" s="518" t="s">
        <v>575</v>
      </c>
      <c r="H7" s="509" t="s">
        <v>2506</v>
      </c>
      <c r="O7" s="509" t="s">
        <v>2507</v>
      </c>
      <c r="X7" s="510" t="s">
        <v>2508</v>
      </c>
      <c r="Y7" s="510" t="s">
        <v>2504</v>
      </c>
      <c r="Z7" s="510" t="s">
        <v>2509</v>
      </c>
      <c r="AA7" s="509" t="s">
        <v>2510</v>
      </c>
      <c r="AB7" s="509" t="s">
        <v>2511</v>
      </c>
      <c r="AC7" s="509" t="s">
        <v>2512</v>
      </c>
    </row>
    <row r="8" spans="1:37" hidden="1">
      <c r="B8" s="509" t="s">
        <v>2513</v>
      </c>
      <c r="C8" s="2"/>
      <c r="D8" s="2"/>
      <c r="E8" s="2"/>
      <c r="H8" s="515" t="s">
        <v>442</v>
      </c>
      <c r="O8" s="515" t="s">
        <v>442</v>
      </c>
      <c r="T8" s="515" t="s">
        <v>442</v>
      </c>
      <c r="U8" s="515" t="s">
        <v>442</v>
      </c>
      <c r="V8" s="515" t="s">
        <v>442</v>
      </c>
      <c r="W8" s="515" t="s">
        <v>442</v>
      </c>
      <c r="X8" s="515" t="s">
        <v>442</v>
      </c>
      <c r="Y8" s="515" t="s">
        <v>442</v>
      </c>
      <c r="Z8" s="515" t="s">
        <v>442</v>
      </c>
      <c r="AA8" s="515" t="s">
        <v>442</v>
      </c>
      <c r="AB8" s="515" t="s">
        <v>442</v>
      </c>
      <c r="AC8" s="515" t="s">
        <v>442</v>
      </c>
      <c r="AD8" s="515" t="s">
        <v>442</v>
      </c>
      <c r="AE8" s="515" t="s">
        <v>442</v>
      </c>
      <c r="AG8" s="509" t="s">
        <v>2514</v>
      </c>
      <c r="AI8" s="2">
        <v>148.5</v>
      </c>
      <c r="AJ8" s="511">
        <v>1.1000000000000001</v>
      </c>
      <c r="AK8" s="511">
        <f t="shared" ref="AK8:AK36" si="0">AI8*AJ8</f>
        <v>163.35000000000002</v>
      </c>
    </row>
    <row r="9" spans="1:37" hidden="1">
      <c r="B9" s="509" t="s">
        <v>2515</v>
      </c>
      <c r="C9" s="2"/>
      <c r="D9" s="2"/>
      <c r="E9" s="2"/>
      <c r="F9" s="519">
        <v>0.96</v>
      </c>
      <c r="G9" s="518" t="s">
        <v>2516</v>
      </c>
      <c r="H9" s="509" t="s">
        <v>2517</v>
      </c>
      <c r="I9" s="492">
        <f>(C67)</f>
        <v>3800</v>
      </c>
      <c r="J9" s="500" t="s">
        <v>2516</v>
      </c>
      <c r="K9" s="492">
        <f>(F9*I9)</f>
        <v>3648</v>
      </c>
      <c r="M9" s="519">
        <v>0.5</v>
      </c>
      <c r="N9" s="509" t="s">
        <v>2516</v>
      </c>
      <c r="O9" s="509" t="s">
        <v>2518</v>
      </c>
      <c r="P9" s="519" t="e">
        <f>(C85)</f>
        <v>#REF!</v>
      </c>
      <c r="Q9" s="509" t="s">
        <v>2516</v>
      </c>
      <c r="R9" s="519" t="e">
        <f>(M9*P9)</f>
        <v>#REF!</v>
      </c>
      <c r="T9" s="510" t="s">
        <v>2519</v>
      </c>
      <c r="U9" s="509" t="s">
        <v>2520</v>
      </c>
      <c r="V9" s="509" t="s">
        <v>2521</v>
      </c>
      <c r="W9" s="509" t="s">
        <v>2522</v>
      </c>
      <c r="X9" s="519" t="e">
        <f>#REF!</f>
        <v>#REF!</v>
      </c>
      <c r="Y9" s="492">
        <v>200</v>
      </c>
      <c r="Z9" s="519" t="e">
        <f>#REF!</f>
        <v>#REF!</v>
      </c>
      <c r="AA9" s="510">
        <v>0</v>
      </c>
      <c r="AB9" s="509">
        <v>0</v>
      </c>
      <c r="AC9" s="509" t="e">
        <f t="shared" ref="AC9:AC30" si="1">SUM(Y9+Z9+AA9+AB9)</f>
        <v>#REF!</v>
      </c>
      <c r="AD9" s="509" t="s">
        <v>2523</v>
      </c>
      <c r="AE9" s="492">
        <v>150</v>
      </c>
      <c r="AF9" s="519"/>
      <c r="AG9" s="519"/>
      <c r="AI9" s="2">
        <v>126.5</v>
      </c>
      <c r="AJ9" s="511">
        <v>1.1000000000000001</v>
      </c>
      <c r="AK9" s="511">
        <f t="shared" si="0"/>
        <v>139.15</v>
      </c>
    </row>
    <row r="10" spans="1:37" ht="30" hidden="1" customHeight="1">
      <c r="A10" s="521">
        <v>1</v>
      </c>
      <c r="B10" s="509" t="s">
        <v>2524</v>
      </c>
      <c r="C10" s="492">
        <f>AE9</f>
        <v>150</v>
      </c>
      <c r="D10" s="490" t="s">
        <v>2342</v>
      </c>
      <c r="E10" s="2"/>
      <c r="F10" s="519">
        <v>1</v>
      </c>
      <c r="G10" s="518" t="s">
        <v>2334</v>
      </c>
      <c r="H10" s="509" t="s">
        <v>2525</v>
      </c>
      <c r="I10" s="492" t="e">
        <f>(C78)</f>
        <v>#REF!</v>
      </c>
      <c r="J10" s="500" t="s">
        <v>2334</v>
      </c>
      <c r="K10" s="492" t="e">
        <f>(F10*I10)</f>
        <v>#REF!</v>
      </c>
      <c r="M10" s="519">
        <v>1</v>
      </c>
      <c r="N10" s="509" t="s">
        <v>2334</v>
      </c>
      <c r="O10" s="509" t="s">
        <v>2525</v>
      </c>
      <c r="P10" s="519" t="e">
        <f>(C78)</f>
        <v>#REF!</v>
      </c>
      <c r="Q10" s="509" t="s">
        <v>2334</v>
      </c>
      <c r="R10" s="519" t="e">
        <f>(M10*P10)</f>
        <v>#REF!</v>
      </c>
      <c r="T10" s="510" t="s">
        <v>2526</v>
      </c>
      <c r="U10" s="509" t="s">
        <v>2527</v>
      </c>
      <c r="V10" s="509" t="s">
        <v>2521</v>
      </c>
      <c r="W10" s="519" t="str">
        <f>W9</f>
        <v>Nallambakkam</v>
      </c>
      <c r="X10" s="519" t="e">
        <f>+X9</f>
        <v>#REF!</v>
      </c>
      <c r="Y10" s="492">
        <v>300</v>
      </c>
      <c r="Z10" s="519" t="e">
        <f t="shared" ref="Z10:Z15" si="2">+Z9</f>
        <v>#REF!</v>
      </c>
      <c r="AA10" s="513">
        <v>0</v>
      </c>
      <c r="AB10" s="522">
        <v>0</v>
      </c>
      <c r="AC10" s="509" t="e">
        <f t="shared" si="1"/>
        <v>#REF!</v>
      </c>
      <c r="AD10" s="509" t="s">
        <v>2528</v>
      </c>
      <c r="AE10" s="492">
        <v>135</v>
      </c>
      <c r="AF10" s="519"/>
      <c r="AG10" s="519"/>
      <c r="AI10" s="2">
        <v>85.5</v>
      </c>
      <c r="AJ10" s="511">
        <v>1.1000000000000001</v>
      </c>
      <c r="AK10" s="511">
        <f t="shared" si="0"/>
        <v>94.050000000000011</v>
      </c>
    </row>
    <row r="11" spans="1:37" hidden="1">
      <c r="A11" s="521">
        <f t="shared" ref="A11:A35" si="3">(A10+1)</f>
        <v>2</v>
      </c>
      <c r="B11" s="509" t="s">
        <v>2529</v>
      </c>
      <c r="C11" s="492">
        <f>AE10</f>
        <v>135</v>
      </c>
      <c r="D11" s="490" t="s">
        <v>2342</v>
      </c>
      <c r="E11" s="2"/>
      <c r="F11" s="519">
        <v>1</v>
      </c>
      <c r="G11" s="518" t="s">
        <v>2334</v>
      </c>
      <c r="H11" s="509" t="s">
        <v>2530</v>
      </c>
      <c r="I11" s="492">
        <f>(C18)</f>
        <v>26</v>
      </c>
      <c r="J11" s="500" t="s">
        <v>2334</v>
      </c>
      <c r="K11" s="492">
        <f>(F11*I11)</f>
        <v>26</v>
      </c>
      <c r="M11" s="519">
        <v>1</v>
      </c>
      <c r="N11" s="509" t="s">
        <v>2334</v>
      </c>
      <c r="O11" s="509" t="s">
        <v>2531</v>
      </c>
      <c r="P11" s="519">
        <f>(C64)</f>
        <v>62.5</v>
      </c>
      <c r="Q11" s="509" t="s">
        <v>2334</v>
      </c>
      <c r="R11" s="519">
        <f>(M11*P11)</f>
        <v>62.5</v>
      </c>
      <c r="T11" s="510" t="s">
        <v>2532</v>
      </c>
      <c r="U11" s="509" t="s">
        <v>2533</v>
      </c>
      <c r="V11" s="509" t="s">
        <v>2521</v>
      </c>
      <c r="W11" s="509" t="s">
        <v>2534</v>
      </c>
      <c r="X11" s="519" t="e">
        <f>#REF!</f>
        <v>#REF!</v>
      </c>
      <c r="Y11" s="492">
        <v>333.33</v>
      </c>
      <c r="Z11" s="519" t="e">
        <f t="shared" si="2"/>
        <v>#REF!</v>
      </c>
      <c r="AA11" s="510">
        <v>0</v>
      </c>
      <c r="AB11" s="522">
        <v>0</v>
      </c>
      <c r="AC11" s="509" t="e">
        <f t="shared" si="1"/>
        <v>#REF!</v>
      </c>
      <c r="AD11" s="509" t="s">
        <v>2535</v>
      </c>
      <c r="AE11" s="492">
        <v>95</v>
      </c>
      <c r="AF11" s="519"/>
      <c r="AG11" s="519"/>
      <c r="AI11" s="2">
        <v>80.5</v>
      </c>
      <c r="AJ11" s="511">
        <v>1.1000000000000001</v>
      </c>
      <c r="AK11" s="511">
        <f t="shared" si="0"/>
        <v>88.550000000000011</v>
      </c>
    </row>
    <row r="12" spans="1:37" hidden="1">
      <c r="A12" s="521">
        <f t="shared" si="3"/>
        <v>3</v>
      </c>
      <c r="B12" s="509" t="s">
        <v>2536</v>
      </c>
      <c r="C12" s="492">
        <f>AE11</f>
        <v>95</v>
      </c>
      <c r="D12" s="490" t="s">
        <v>2342</v>
      </c>
      <c r="E12" s="2"/>
      <c r="G12" s="518" t="s">
        <v>2346</v>
      </c>
      <c r="H12" s="509" t="s">
        <v>2347</v>
      </c>
      <c r="I12" s="490" t="s">
        <v>30</v>
      </c>
      <c r="J12" s="500" t="s">
        <v>2346</v>
      </c>
      <c r="K12" s="492">
        <v>0</v>
      </c>
      <c r="N12" s="509" t="s">
        <v>2346</v>
      </c>
      <c r="O12" s="509" t="s">
        <v>2347</v>
      </c>
      <c r="P12" s="509" t="s">
        <v>30</v>
      </c>
      <c r="Q12" s="509" t="s">
        <v>2346</v>
      </c>
      <c r="R12" s="519">
        <v>0</v>
      </c>
      <c r="T12" s="510" t="s">
        <v>2537</v>
      </c>
      <c r="U12" s="509" t="s">
        <v>2538</v>
      </c>
      <c r="V12" s="509" t="s">
        <v>2521</v>
      </c>
      <c r="W12" s="519" t="str">
        <f>W11</f>
        <v>Pallavaram</v>
      </c>
      <c r="X12" s="519" t="e">
        <f>+X11</f>
        <v>#REF!</v>
      </c>
      <c r="Y12" s="492">
        <v>425</v>
      </c>
      <c r="Z12" s="519" t="e">
        <f t="shared" si="2"/>
        <v>#REF!</v>
      </c>
      <c r="AA12" s="510">
        <v>0</v>
      </c>
      <c r="AB12" s="522">
        <v>0</v>
      </c>
      <c r="AC12" s="509" t="e">
        <f t="shared" si="1"/>
        <v>#REF!</v>
      </c>
      <c r="AD12" s="509" t="s">
        <v>2539</v>
      </c>
      <c r="AE12" s="492">
        <v>85</v>
      </c>
      <c r="AF12" s="519"/>
      <c r="AG12" s="519"/>
      <c r="AI12" s="2">
        <v>114.5</v>
      </c>
      <c r="AJ12" s="511">
        <v>1.1000000000000001</v>
      </c>
      <c r="AK12" s="511">
        <f t="shared" si="0"/>
        <v>125.95000000000002</v>
      </c>
    </row>
    <row r="13" spans="1:37" hidden="1">
      <c r="A13" s="521">
        <f t="shared" si="3"/>
        <v>4</v>
      </c>
      <c r="B13" s="509" t="s">
        <v>2540</v>
      </c>
      <c r="C13" s="492">
        <f>AE12</f>
        <v>85</v>
      </c>
      <c r="D13" s="490" t="s">
        <v>2342</v>
      </c>
      <c r="E13" s="2"/>
      <c r="I13" s="2"/>
      <c r="J13" s="463"/>
      <c r="K13" s="491" t="s">
        <v>442</v>
      </c>
      <c r="R13" s="515" t="s">
        <v>442</v>
      </c>
      <c r="T13" s="510" t="s">
        <v>2541</v>
      </c>
      <c r="U13" s="509" t="s">
        <v>2542</v>
      </c>
      <c r="V13" s="509" t="s">
        <v>2521</v>
      </c>
      <c r="W13" s="519" t="str">
        <f>W11</f>
        <v>Pallavaram</v>
      </c>
      <c r="X13" s="519" t="e">
        <f>+X12</f>
        <v>#REF!</v>
      </c>
      <c r="Y13" s="492">
        <v>630</v>
      </c>
      <c r="Z13" s="519" t="e">
        <f t="shared" si="2"/>
        <v>#REF!</v>
      </c>
      <c r="AA13" s="510">
        <v>0</v>
      </c>
      <c r="AB13" s="522">
        <v>0</v>
      </c>
      <c r="AC13" s="509" t="e">
        <f t="shared" si="1"/>
        <v>#REF!</v>
      </c>
      <c r="AD13" s="509" t="s">
        <v>2543</v>
      </c>
      <c r="AE13" s="492">
        <v>120</v>
      </c>
      <c r="AF13" s="519"/>
      <c r="AG13" s="519"/>
      <c r="AI13" s="2">
        <v>106.5</v>
      </c>
      <c r="AJ13" s="511">
        <v>1.1000000000000001</v>
      </c>
      <c r="AK13" s="511">
        <f t="shared" si="0"/>
        <v>117.15</v>
      </c>
    </row>
    <row r="14" spans="1:37" hidden="1">
      <c r="A14" s="521">
        <f t="shared" si="3"/>
        <v>5</v>
      </c>
      <c r="B14" s="509" t="s">
        <v>2544</v>
      </c>
      <c r="C14" s="492">
        <f>AE13</f>
        <v>120</v>
      </c>
      <c r="D14" s="492">
        <f>AE14</f>
        <v>110</v>
      </c>
      <c r="E14" s="2"/>
      <c r="H14" s="509" t="s">
        <v>2545</v>
      </c>
      <c r="I14" s="2"/>
      <c r="J14" s="463"/>
      <c r="K14" s="492" t="e">
        <f>SUM(K9:K12)</f>
        <v>#REF!</v>
      </c>
      <c r="N14" s="519" t="e">
        <f>SUM(K9:K12)</f>
        <v>#REF!</v>
      </c>
      <c r="O14" s="509" t="s">
        <v>2545</v>
      </c>
      <c r="R14" s="519" t="e">
        <f>SUM(R9:R12)</f>
        <v>#REF!</v>
      </c>
      <c r="T14" s="510" t="s">
        <v>2546</v>
      </c>
      <c r="U14" s="509" t="s">
        <v>2547</v>
      </c>
      <c r="V14" s="509" t="s">
        <v>2521</v>
      </c>
      <c r="W14" s="519" t="str">
        <f>W11</f>
        <v>Pallavaram</v>
      </c>
      <c r="X14" s="519" t="e">
        <f>+X13</f>
        <v>#REF!</v>
      </c>
      <c r="Y14" s="492">
        <v>685</v>
      </c>
      <c r="Z14" s="519" t="e">
        <f t="shared" si="2"/>
        <v>#REF!</v>
      </c>
      <c r="AA14" s="510">
        <v>0</v>
      </c>
      <c r="AB14" s="522">
        <v>0</v>
      </c>
      <c r="AC14" s="509" t="e">
        <f t="shared" si="1"/>
        <v>#REF!</v>
      </c>
      <c r="AD14" s="509" t="s">
        <v>2548</v>
      </c>
      <c r="AE14" s="492">
        <v>110</v>
      </c>
      <c r="AF14" s="519"/>
      <c r="AG14" s="519"/>
      <c r="AI14" s="2">
        <v>116.5</v>
      </c>
      <c r="AJ14" s="511">
        <v>1.1000000000000001</v>
      </c>
      <c r="AK14" s="511">
        <f t="shared" si="0"/>
        <v>128.15</v>
      </c>
    </row>
    <row r="15" spans="1:37" hidden="1">
      <c r="A15" s="521">
        <f t="shared" si="3"/>
        <v>6</v>
      </c>
      <c r="B15" s="509" t="s">
        <v>2549</v>
      </c>
      <c r="C15" s="492">
        <f>AE15</f>
        <v>130</v>
      </c>
      <c r="D15" s="490" t="s">
        <v>2342</v>
      </c>
      <c r="E15" s="2"/>
      <c r="I15" s="2"/>
      <c r="J15" s="463"/>
      <c r="K15" s="491" t="s">
        <v>442</v>
      </c>
      <c r="R15" s="515" t="s">
        <v>442</v>
      </c>
      <c r="T15" s="510" t="s">
        <v>2550</v>
      </c>
      <c r="U15" s="509" t="s">
        <v>2551</v>
      </c>
      <c r="V15" s="509" t="s">
        <v>2521</v>
      </c>
      <c r="W15" s="519" t="str">
        <f>W11</f>
        <v>Pallavaram</v>
      </c>
      <c r="X15" s="519" t="e">
        <f>+X14</f>
        <v>#REF!</v>
      </c>
      <c r="Y15" s="492">
        <v>490</v>
      </c>
      <c r="Z15" s="519" t="e">
        <f t="shared" si="2"/>
        <v>#REF!</v>
      </c>
      <c r="AA15" s="510">
        <v>0</v>
      </c>
      <c r="AB15" s="522">
        <v>0</v>
      </c>
      <c r="AC15" s="509" t="e">
        <f t="shared" si="1"/>
        <v>#REF!</v>
      </c>
      <c r="AD15" s="509" t="s">
        <v>2552</v>
      </c>
      <c r="AE15" s="492">
        <v>130</v>
      </c>
      <c r="AF15" s="519"/>
      <c r="AG15" s="519"/>
      <c r="AI15" s="2">
        <v>106.5</v>
      </c>
      <c r="AJ15" s="511">
        <v>1.1000000000000001</v>
      </c>
      <c r="AK15" s="511">
        <f t="shared" si="0"/>
        <v>117.15</v>
      </c>
    </row>
    <row r="16" spans="1:37" hidden="1">
      <c r="A16" s="521">
        <f t="shared" si="3"/>
        <v>7</v>
      </c>
      <c r="B16" s="509" t="s">
        <v>2553</v>
      </c>
      <c r="C16" s="492">
        <f>AE19</f>
        <v>150</v>
      </c>
      <c r="D16" s="492">
        <f>AE20</f>
        <v>135</v>
      </c>
      <c r="E16" s="2"/>
      <c r="G16" s="518" t="s">
        <v>575</v>
      </c>
      <c r="H16" s="509" t="s">
        <v>2554</v>
      </c>
      <c r="I16" s="2"/>
      <c r="J16" s="463"/>
      <c r="K16" s="2"/>
      <c r="N16" s="509" t="s">
        <v>575</v>
      </c>
      <c r="O16" s="509" t="s">
        <v>2555</v>
      </c>
      <c r="T16" s="510" t="s">
        <v>2556</v>
      </c>
      <c r="U16" s="509" t="s">
        <v>2557</v>
      </c>
      <c r="V16" s="509" t="s">
        <v>2521</v>
      </c>
      <c r="W16" s="509" t="s">
        <v>2558</v>
      </c>
      <c r="X16" s="519" t="e">
        <f>#REF!</f>
        <v>#REF!</v>
      </c>
      <c r="Y16" s="492">
        <v>110</v>
      </c>
      <c r="Z16" s="519" t="e">
        <f>#REF!</f>
        <v>#REF!</v>
      </c>
      <c r="AA16" s="510">
        <v>0</v>
      </c>
      <c r="AB16" s="522">
        <v>0</v>
      </c>
      <c r="AC16" s="509" t="e">
        <f t="shared" si="1"/>
        <v>#REF!</v>
      </c>
      <c r="AD16" s="509" t="s">
        <v>2559</v>
      </c>
      <c r="AE16" s="492">
        <v>120</v>
      </c>
      <c r="AF16" s="519"/>
      <c r="AG16" s="519"/>
      <c r="AI16" s="2">
        <v>106.5</v>
      </c>
      <c r="AJ16" s="511">
        <v>1.1000000000000001</v>
      </c>
      <c r="AK16" s="511">
        <f t="shared" si="0"/>
        <v>117.15</v>
      </c>
    </row>
    <row r="17" spans="1:37" hidden="1">
      <c r="A17" s="521">
        <f t="shared" si="3"/>
        <v>8</v>
      </c>
      <c r="B17" s="509" t="s">
        <v>2560</v>
      </c>
      <c r="C17" s="492">
        <f>AE17</f>
        <v>130</v>
      </c>
      <c r="D17" s="492">
        <f>AE18</f>
        <v>120</v>
      </c>
      <c r="E17" s="2"/>
      <c r="H17" s="515" t="s">
        <v>442</v>
      </c>
      <c r="I17" s="2"/>
      <c r="J17" s="463"/>
      <c r="K17" s="2"/>
      <c r="O17" s="509" t="s">
        <v>2561</v>
      </c>
      <c r="T17" s="510" t="s">
        <v>2562</v>
      </c>
      <c r="U17" s="509" t="s">
        <v>2563</v>
      </c>
      <c r="V17" s="509" t="s">
        <v>2521</v>
      </c>
      <c r="W17" s="509" t="s">
        <v>2564</v>
      </c>
      <c r="X17" s="519" t="e">
        <f>X16</f>
        <v>#REF!</v>
      </c>
      <c r="Y17" s="492">
        <v>110</v>
      </c>
      <c r="Z17" s="519" t="e">
        <f>Z16</f>
        <v>#REF!</v>
      </c>
      <c r="AA17" s="510">
        <v>0</v>
      </c>
      <c r="AB17" s="522">
        <v>0</v>
      </c>
      <c r="AC17" s="509" t="e">
        <f t="shared" si="1"/>
        <v>#REF!</v>
      </c>
      <c r="AD17" s="509" t="s">
        <v>2565</v>
      </c>
      <c r="AE17" s="492">
        <v>130</v>
      </c>
      <c r="AF17" s="519"/>
      <c r="AG17" s="519"/>
      <c r="AI17" s="2">
        <v>98.5</v>
      </c>
      <c r="AJ17" s="511">
        <v>1.1000000000000001</v>
      </c>
      <c r="AK17" s="511">
        <f t="shared" si="0"/>
        <v>108.35000000000001</v>
      </c>
    </row>
    <row r="18" spans="1:37" hidden="1">
      <c r="A18" s="521">
        <f t="shared" si="3"/>
        <v>9</v>
      </c>
      <c r="B18" s="509" t="s">
        <v>2566</v>
      </c>
      <c r="C18" s="492">
        <f>AE24</f>
        <v>26</v>
      </c>
      <c r="D18" s="490" t="s">
        <v>2567</v>
      </c>
      <c r="E18" s="2"/>
      <c r="F18" s="519">
        <v>0.72</v>
      </c>
      <c r="G18" s="518" t="s">
        <v>2516</v>
      </c>
      <c r="H18" s="509" t="s">
        <v>2517</v>
      </c>
      <c r="I18" s="492">
        <f>(C67)</f>
        <v>3800</v>
      </c>
      <c r="J18" s="500" t="s">
        <v>2516</v>
      </c>
      <c r="K18" s="492">
        <f>(F18*I18)</f>
        <v>2736</v>
      </c>
      <c r="O18" s="509" t="s">
        <v>2568</v>
      </c>
      <c r="T18" s="510" t="s">
        <v>2569</v>
      </c>
      <c r="U18" s="509" t="s">
        <v>2570</v>
      </c>
      <c r="V18" s="509" t="s">
        <v>2571</v>
      </c>
      <c r="W18" s="509" t="s">
        <v>2572</v>
      </c>
      <c r="X18" s="519" t="e">
        <f>#REF!</f>
        <v>#REF!</v>
      </c>
      <c r="Y18" s="492">
        <v>1950</v>
      </c>
      <c r="Z18" s="519" t="e">
        <f>#REF!</f>
        <v>#REF!</v>
      </c>
      <c r="AA18" s="510">
        <v>0</v>
      </c>
      <c r="AB18" s="522">
        <v>0</v>
      </c>
      <c r="AC18" s="509" t="e">
        <f t="shared" si="1"/>
        <v>#REF!</v>
      </c>
      <c r="AD18" s="509" t="s">
        <v>2573</v>
      </c>
      <c r="AE18" s="492">
        <v>120</v>
      </c>
      <c r="AF18" s="519"/>
      <c r="AG18" s="519"/>
      <c r="AI18" s="2">
        <v>148.5</v>
      </c>
      <c r="AJ18" s="511">
        <v>1.1000000000000001</v>
      </c>
      <c r="AK18" s="511">
        <f t="shared" si="0"/>
        <v>163.35000000000002</v>
      </c>
    </row>
    <row r="19" spans="1:37" hidden="1">
      <c r="A19" s="521">
        <f t="shared" si="3"/>
        <v>10</v>
      </c>
      <c r="B19" s="509" t="s">
        <v>2574</v>
      </c>
      <c r="C19" s="492">
        <v>17.600000000000001</v>
      </c>
      <c r="D19" s="490" t="s">
        <v>2334</v>
      </c>
      <c r="E19" s="2"/>
      <c r="F19" s="519">
        <v>1</v>
      </c>
      <c r="G19" s="518" t="s">
        <v>2334</v>
      </c>
      <c r="H19" s="509" t="s">
        <v>2525</v>
      </c>
      <c r="I19" s="492" t="e">
        <f>(C78)</f>
        <v>#REF!</v>
      </c>
      <c r="J19" s="500" t="s">
        <v>2334</v>
      </c>
      <c r="K19" s="492" t="e">
        <f>(F19*I19)</f>
        <v>#REF!</v>
      </c>
      <c r="O19" s="509" t="s">
        <v>2575</v>
      </c>
      <c r="T19" s="510" t="s">
        <v>2576</v>
      </c>
      <c r="U19" s="509" t="s">
        <v>2577</v>
      </c>
      <c r="V19" s="509" t="s">
        <v>2334</v>
      </c>
      <c r="W19" s="519" t="str">
        <f>W18</f>
        <v>Nerkundram</v>
      </c>
      <c r="X19" s="519" t="e">
        <f>#REF!</f>
        <v>#REF!</v>
      </c>
      <c r="Y19" s="492">
        <v>260</v>
      </c>
      <c r="Z19" s="519" t="e">
        <f>#REF!</f>
        <v>#REF!</v>
      </c>
      <c r="AA19" s="510">
        <v>0</v>
      </c>
      <c r="AB19" s="522">
        <v>0</v>
      </c>
      <c r="AC19" s="509" t="e">
        <f t="shared" si="1"/>
        <v>#REF!</v>
      </c>
      <c r="AD19" s="509" t="s">
        <v>2578</v>
      </c>
      <c r="AE19" s="492">
        <v>150</v>
      </c>
      <c r="AF19" s="519"/>
      <c r="AG19" s="519"/>
      <c r="AI19" s="2">
        <v>126.5</v>
      </c>
      <c r="AJ19" s="511">
        <v>1.1000000000000001</v>
      </c>
      <c r="AK19" s="511">
        <f t="shared" si="0"/>
        <v>139.15</v>
      </c>
    </row>
    <row r="20" spans="1:37" hidden="1">
      <c r="A20" s="521">
        <f t="shared" si="3"/>
        <v>11</v>
      </c>
      <c r="B20" s="509" t="s">
        <v>2579</v>
      </c>
      <c r="C20" s="492">
        <v>35.200000000000003</v>
      </c>
      <c r="D20" s="490" t="s">
        <v>2334</v>
      </c>
      <c r="E20" s="2"/>
      <c r="F20" s="519">
        <v>1</v>
      </c>
      <c r="G20" s="518" t="s">
        <v>2334</v>
      </c>
      <c r="H20" s="509" t="s">
        <v>2530</v>
      </c>
      <c r="I20" s="492">
        <f>(C18)</f>
        <v>26</v>
      </c>
      <c r="J20" s="500" t="s">
        <v>2334</v>
      </c>
      <c r="K20" s="492">
        <f>(F20*I20)</f>
        <v>26</v>
      </c>
      <c r="O20" s="509" t="s">
        <v>2580</v>
      </c>
      <c r="T20" s="510" t="s">
        <v>2581</v>
      </c>
      <c r="U20" s="509" t="s">
        <v>2582</v>
      </c>
      <c r="V20" s="509" t="s">
        <v>2334</v>
      </c>
      <c r="W20" s="519" t="str">
        <f>W18</f>
        <v>Nerkundram</v>
      </c>
      <c r="X20" s="519" t="e">
        <f>X19</f>
        <v>#REF!</v>
      </c>
      <c r="Y20" s="492">
        <v>280</v>
      </c>
      <c r="Z20" s="519" t="e">
        <f>+Z19</f>
        <v>#REF!</v>
      </c>
      <c r="AA20" s="510">
        <v>0</v>
      </c>
      <c r="AB20" s="522">
        <v>0</v>
      </c>
      <c r="AC20" s="509" t="e">
        <f t="shared" si="1"/>
        <v>#REF!</v>
      </c>
      <c r="AD20" s="509" t="s">
        <v>2583</v>
      </c>
      <c r="AE20" s="492">
        <v>135</v>
      </c>
      <c r="AF20" s="519"/>
      <c r="AG20" s="519"/>
      <c r="AI20" s="2">
        <v>116.5</v>
      </c>
      <c r="AJ20" s="511">
        <v>1.1000000000000001</v>
      </c>
      <c r="AK20" s="511">
        <f t="shared" si="0"/>
        <v>128.15</v>
      </c>
    </row>
    <row r="21" spans="1:37" hidden="1">
      <c r="A21" s="521">
        <f t="shared" si="3"/>
        <v>12</v>
      </c>
      <c r="B21" s="509" t="s">
        <v>2584</v>
      </c>
      <c r="C21" s="492">
        <v>35.200000000000003</v>
      </c>
      <c r="D21" s="490" t="s">
        <v>2334</v>
      </c>
      <c r="E21" s="2"/>
      <c r="G21" s="518" t="s">
        <v>2346</v>
      </c>
      <c r="H21" s="509" t="s">
        <v>2347</v>
      </c>
      <c r="I21" s="490" t="s">
        <v>30</v>
      </c>
      <c r="J21" s="500" t="s">
        <v>2346</v>
      </c>
      <c r="K21" s="492">
        <v>0</v>
      </c>
      <c r="O21" s="515" t="s">
        <v>442</v>
      </c>
      <c r="T21" s="510" t="s">
        <v>2585</v>
      </c>
      <c r="U21" s="509" t="s">
        <v>2586</v>
      </c>
      <c r="V21" s="509" t="s">
        <v>2571</v>
      </c>
      <c r="W21" s="509" t="s">
        <v>2587</v>
      </c>
      <c r="X21" s="519" t="e">
        <f>#REF!</f>
        <v>#REF!</v>
      </c>
      <c r="Y21" s="492">
        <v>4500</v>
      </c>
      <c r="Z21" s="519">
        <v>0</v>
      </c>
      <c r="AA21" s="510">
        <v>0</v>
      </c>
      <c r="AB21" s="522">
        <v>0</v>
      </c>
      <c r="AC21" s="509">
        <f t="shared" si="1"/>
        <v>4500</v>
      </c>
      <c r="AD21" s="509" t="s">
        <v>2588</v>
      </c>
      <c r="AE21" s="492">
        <v>120</v>
      </c>
      <c r="AF21" s="519"/>
      <c r="AG21" s="519"/>
      <c r="AI21" s="2">
        <v>106.5</v>
      </c>
      <c r="AJ21" s="511">
        <v>1.1000000000000001</v>
      </c>
      <c r="AK21" s="511">
        <f t="shared" si="0"/>
        <v>117.15</v>
      </c>
    </row>
    <row r="22" spans="1:37" hidden="1">
      <c r="A22" s="521">
        <f t="shared" si="3"/>
        <v>13</v>
      </c>
      <c r="B22" s="509" t="s">
        <v>2589</v>
      </c>
      <c r="C22" s="492">
        <v>26.45</v>
      </c>
      <c r="D22" s="490" t="s">
        <v>2334</v>
      </c>
      <c r="E22" s="2"/>
      <c r="I22" s="2"/>
      <c r="J22" s="463"/>
      <c r="K22" s="491" t="s">
        <v>442</v>
      </c>
      <c r="M22" s="519">
        <v>1</v>
      </c>
      <c r="N22" s="509" t="s">
        <v>2334</v>
      </c>
      <c r="O22" s="509" t="s">
        <v>2590</v>
      </c>
      <c r="P22" s="519" t="e">
        <f>C78</f>
        <v>#REF!</v>
      </c>
      <c r="Q22" s="509" t="s">
        <v>2334</v>
      </c>
      <c r="R22" s="519" t="e">
        <f>(M22*P22)</f>
        <v>#REF!</v>
      </c>
      <c r="T22" s="510" t="s">
        <v>2591</v>
      </c>
      <c r="U22" s="509" t="s">
        <v>2592</v>
      </c>
      <c r="V22" s="509" t="s">
        <v>2521</v>
      </c>
      <c r="W22" s="523" t="s">
        <v>2593</v>
      </c>
      <c r="X22" s="519">
        <v>0</v>
      </c>
      <c r="Y22" s="492">
        <v>773</v>
      </c>
      <c r="Z22" s="519">
        <v>0</v>
      </c>
      <c r="AA22" s="510">
        <v>0</v>
      </c>
      <c r="AB22" s="522">
        <v>0</v>
      </c>
      <c r="AC22" s="509">
        <f t="shared" si="1"/>
        <v>773</v>
      </c>
      <c r="AD22" s="509" t="s">
        <v>2594</v>
      </c>
      <c r="AE22" s="492">
        <v>110</v>
      </c>
      <c r="AF22" s="519"/>
      <c r="AG22" s="519"/>
      <c r="AI22" s="2">
        <v>106.5</v>
      </c>
      <c r="AJ22" s="511">
        <v>1.1000000000000001</v>
      </c>
      <c r="AK22" s="511">
        <f t="shared" si="0"/>
        <v>117.15</v>
      </c>
    </row>
    <row r="23" spans="1:37" hidden="1">
      <c r="A23" s="521">
        <f t="shared" si="3"/>
        <v>14</v>
      </c>
      <c r="B23" s="509" t="s">
        <v>2595</v>
      </c>
      <c r="C23" s="492">
        <v>52.85</v>
      </c>
      <c r="D23" s="490" t="s">
        <v>2334</v>
      </c>
      <c r="E23" s="2"/>
      <c r="H23" s="509" t="s">
        <v>2545</v>
      </c>
      <c r="I23" s="2"/>
      <c r="J23" s="463"/>
      <c r="K23" s="492" t="e">
        <f>SUM(K18:K21)</f>
        <v>#REF!</v>
      </c>
      <c r="M23" s="519">
        <v>1</v>
      </c>
      <c r="N23" s="509" t="s">
        <v>2334</v>
      </c>
      <c r="O23" s="509" t="s">
        <v>2596</v>
      </c>
      <c r="P23" s="519" t="e">
        <f>C85</f>
        <v>#REF!</v>
      </c>
      <c r="Q23" s="509" t="s">
        <v>2334</v>
      </c>
      <c r="R23" s="519" t="e">
        <f>(M23*P23)</f>
        <v>#REF!</v>
      </c>
      <c r="T23" s="510" t="s">
        <v>2597</v>
      </c>
      <c r="U23" s="509" t="s">
        <v>2598</v>
      </c>
      <c r="V23" s="509" t="s">
        <v>2521</v>
      </c>
      <c r="W23" s="523" t="s">
        <v>2593</v>
      </c>
      <c r="X23" s="519" t="e">
        <f>#REF!</f>
        <v>#REF!</v>
      </c>
      <c r="Y23" s="492">
        <v>565</v>
      </c>
      <c r="Z23" s="519" t="e">
        <f>#REF!</f>
        <v>#REF!</v>
      </c>
      <c r="AA23" s="510">
        <v>0</v>
      </c>
      <c r="AB23" s="522">
        <v>0</v>
      </c>
      <c r="AC23" s="509" t="e">
        <f t="shared" si="1"/>
        <v>#REF!</v>
      </c>
      <c r="AD23" s="509" t="s">
        <v>2599</v>
      </c>
      <c r="AE23" s="492">
        <v>120</v>
      </c>
      <c r="AF23" s="519"/>
      <c r="AG23" s="519"/>
      <c r="AI23" s="2">
        <v>26</v>
      </c>
      <c r="AJ23" s="511">
        <v>1.1000000000000001</v>
      </c>
      <c r="AK23" s="511">
        <f t="shared" si="0"/>
        <v>28.6</v>
      </c>
    </row>
    <row r="24" spans="1:37" hidden="1">
      <c r="A24" s="521">
        <f t="shared" si="3"/>
        <v>15</v>
      </c>
      <c r="B24" s="509" t="s">
        <v>2600</v>
      </c>
      <c r="C24" s="492">
        <v>52.85</v>
      </c>
      <c r="D24" s="490" t="s">
        <v>2334</v>
      </c>
      <c r="E24" s="2"/>
      <c r="I24" s="2"/>
      <c r="J24" s="463"/>
      <c r="K24" s="491" t="s">
        <v>442</v>
      </c>
      <c r="M24" s="519">
        <v>1.5</v>
      </c>
      <c r="N24" s="509" t="s">
        <v>2334</v>
      </c>
      <c r="O24" s="509" t="s">
        <v>2601</v>
      </c>
      <c r="P24" s="519">
        <f>C18</f>
        <v>26</v>
      </c>
      <c r="Q24" s="509" t="s">
        <v>2334</v>
      </c>
      <c r="R24" s="519">
        <f>(M24*P24)</f>
        <v>39</v>
      </c>
      <c r="T24" s="510" t="s">
        <v>2602</v>
      </c>
      <c r="U24" s="509" t="s">
        <v>2603</v>
      </c>
      <c r="V24" s="509" t="s">
        <v>2521</v>
      </c>
      <c r="W24" s="509" t="s">
        <v>2604</v>
      </c>
      <c r="X24" s="511">
        <v>0</v>
      </c>
      <c r="Y24" s="492">
        <v>20605</v>
      </c>
      <c r="Z24" s="511">
        <v>0</v>
      </c>
      <c r="AA24" s="513">
        <v>0</v>
      </c>
      <c r="AB24" s="522">
        <v>0</v>
      </c>
      <c r="AC24" s="509">
        <f t="shared" si="1"/>
        <v>20605</v>
      </c>
      <c r="AD24" s="509" t="s">
        <v>2605</v>
      </c>
      <c r="AE24" s="492">
        <v>26</v>
      </c>
      <c r="AF24" s="519"/>
      <c r="AG24" s="519"/>
      <c r="AI24" s="2">
        <v>20.7</v>
      </c>
      <c r="AJ24" s="511">
        <v>1.1000000000000001</v>
      </c>
      <c r="AK24" s="511">
        <f t="shared" si="0"/>
        <v>22.77</v>
      </c>
    </row>
    <row r="25" spans="1:37" hidden="1">
      <c r="A25" s="521">
        <f t="shared" si="3"/>
        <v>16</v>
      </c>
      <c r="B25" s="509" t="s">
        <v>2606</v>
      </c>
      <c r="C25" s="492">
        <f>AE25</f>
        <v>20.7</v>
      </c>
      <c r="D25" s="490" t="s">
        <v>2334</v>
      </c>
      <c r="E25" s="2"/>
      <c r="G25" s="518" t="s">
        <v>575</v>
      </c>
      <c r="H25" s="509" t="s">
        <v>2607</v>
      </c>
      <c r="I25" s="2"/>
      <c r="J25" s="463"/>
      <c r="K25" s="2"/>
      <c r="M25" s="519">
        <v>1.5</v>
      </c>
      <c r="N25" s="509" t="s">
        <v>2334</v>
      </c>
      <c r="O25" s="509" t="s">
        <v>2608</v>
      </c>
      <c r="P25" s="519">
        <f>C27</f>
        <v>7.8</v>
      </c>
      <c r="Q25" s="509" t="s">
        <v>2334</v>
      </c>
      <c r="R25" s="519">
        <f>(M25*P25)</f>
        <v>11.7</v>
      </c>
      <c r="T25" s="510" t="s">
        <v>2609</v>
      </c>
      <c r="U25" s="509" t="s">
        <v>2610</v>
      </c>
      <c r="V25" s="509" t="s">
        <v>2521</v>
      </c>
      <c r="W25" s="523" t="s">
        <v>2604</v>
      </c>
      <c r="X25" s="511">
        <v>0</v>
      </c>
      <c r="Y25" s="492">
        <v>23685</v>
      </c>
      <c r="Z25" s="511">
        <v>0</v>
      </c>
      <c r="AA25" s="513">
        <v>0</v>
      </c>
      <c r="AB25" s="522">
        <v>0</v>
      </c>
      <c r="AC25" s="509">
        <f t="shared" si="1"/>
        <v>23685</v>
      </c>
      <c r="AD25" s="509" t="s">
        <v>2611</v>
      </c>
      <c r="AE25" s="492">
        <v>20.7</v>
      </c>
      <c r="AF25" s="519"/>
      <c r="AG25" s="519"/>
      <c r="AI25" s="2">
        <v>15.6</v>
      </c>
      <c r="AJ25" s="511">
        <v>1.1000000000000001</v>
      </c>
      <c r="AK25" s="511">
        <f t="shared" si="0"/>
        <v>17.16</v>
      </c>
    </row>
    <row r="26" spans="1:37" hidden="1">
      <c r="A26" s="521">
        <f t="shared" si="3"/>
        <v>17</v>
      </c>
      <c r="B26" s="509" t="s">
        <v>2612</v>
      </c>
      <c r="C26" s="492">
        <f>+AE28</f>
        <v>8.8000000000000007</v>
      </c>
      <c r="D26" s="490" t="s">
        <v>2613</v>
      </c>
      <c r="E26" s="2"/>
      <c r="H26" s="515" t="s">
        <v>442</v>
      </c>
      <c r="I26" s="2"/>
      <c r="J26" s="463"/>
      <c r="K26" s="2"/>
      <c r="N26" s="509" t="s">
        <v>2346</v>
      </c>
      <c r="O26" s="509" t="s">
        <v>2347</v>
      </c>
      <c r="P26" s="509" t="s">
        <v>30</v>
      </c>
      <c r="Q26" s="509" t="s">
        <v>2346</v>
      </c>
      <c r="R26" s="519">
        <v>0</v>
      </c>
      <c r="T26" s="510" t="s">
        <v>2614</v>
      </c>
      <c r="U26" s="509" t="s">
        <v>2615</v>
      </c>
      <c r="V26" s="509" t="s">
        <v>2521</v>
      </c>
      <c r="W26" s="523" t="s">
        <v>2604</v>
      </c>
      <c r="X26" s="511">
        <v>0</v>
      </c>
      <c r="Y26" s="492">
        <v>65420</v>
      </c>
      <c r="Z26" s="511">
        <v>0</v>
      </c>
      <c r="AA26" s="513">
        <v>0</v>
      </c>
      <c r="AB26" s="522">
        <v>0</v>
      </c>
      <c r="AC26" s="509">
        <f t="shared" si="1"/>
        <v>65420</v>
      </c>
      <c r="AD26" s="509" t="s">
        <v>2616</v>
      </c>
      <c r="AE26" s="492">
        <v>15.6</v>
      </c>
      <c r="AF26" s="519"/>
      <c r="AG26" s="519"/>
      <c r="AI26" s="2">
        <v>7.8</v>
      </c>
      <c r="AJ26" s="511">
        <v>1.1000000000000001</v>
      </c>
      <c r="AK26" s="511">
        <f t="shared" si="0"/>
        <v>8.58</v>
      </c>
    </row>
    <row r="27" spans="1:37" hidden="1">
      <c r="A27" s="521">
        <f t="shared" si="3"/>
        <v>18</v>
      </c>
      <c r="B27" s="509" t="s">
        <v>2617</v>
      </c>
      <c r="C27" s="492">
        <f>+AE27</f>
        <v>7.8</v>
      </c>
      <c r="D27" s="490" t="s">
        <v>2613</v>
      </c>
      <c r="E27" s="2"/>
      <c r="F27" s="519">
        <v>0.48</v>
      </c>
      <c r="G27" s="518" t="s">
        <v>2516</v>
      </c>
      <c r="H27" s="509" t="s">
        <v>2517</v>
      </c>
      <c r="I27" s="492">
        <f>(C67)</f>
        <v>3800</v>
      </c>
      <c r="J27" s="500" t="s">
        <v>2516</v>
      </c>
      <c r="K27" s="492">
        <f>(F27*I27)</f>
        <v>1824</v>
      </c>
      <c r="R27" s="515" t="s">
        <v>442</v>
      </c>
      <c r="T27" s="510" t="s">
        <v>2618</v>
      </c>
      <c r="U27" s="509" t="s">
        <v>2619</v>
      </c>
      <c r="V27" s="509" t="s">
        <v>2521</v>
      </c>
      <c r="W27" s="523" t="s">
        <v>2604</v>
      </c>
      <c r="X27" s="511">
        <v>0</v>
      </c>
      <c r="Y27" s="492">
        <v>57165</v>
      </c>
      <c r="Z27" s="511">
        <v>0</v>
      </c>
      <c r="AA27" s="513">
        <v>0</v>
      </c>
      <c r="AB27" s="522">
        <v>0</v>
      </c>
      <c r="AC27" s="509">
        <f t="shared" si="1"/>
        <v>57165</v>
      </c>
      <c r="AD27" s="509" t="s">
        <v>2620</v>
      </c>
      <c r="AE27" s="492">
        <v>7.8</v>
      </c>
      <c r="AF27" s="519"/>
      <c r="AG27" s="519"/>
      <c r="AI27" s="2">
        <v>8.8000000000000007</v>
      </c>
      <c r="AJ27" s="511">
        <v>1.1000000000000001</v>
      </c>
      <c r="AK27" s="511">
        <f t="shared" si="0"/>
        <v>9.6800000000000015</v>
      </c>
    </row>
    <row r="28" spans="1:37" hidden="1">
      <c r="A28" s="521">
        <f t="shared" si="3"/>
        <v>19</v>
      </c>
      <c r="B28" s="509" t="s">
        <v>2621</v>
      </c>
      <c r="C28" s="492">
        <v>58.33</v>
      </c>
      <c r="D28" s="490" t="s">
        <v>2346</v>
      </c>
      <c r="E28" s="2"/>
      <c r="F28" s="519">
        <v>1</v>
      </c>
      <c r="G28" s="518" t="s">
        <v>2334</v>
      </c>
      <c r="H28" s="509" t="s">
        <v>2525</v>
      </c>
      <c r="I28" s="492" t="e">
        <f>(C78)</f>
        <v>#REF!</v>
      </c>
      <c r="J28" s="500" t="s">
        <v>2334</v>
      </c>
      <c r="K28" s="492" t="e">
        <f>(F28*I28)</f>
        <v>#REF!</v>
      </c>
      <c r="O28" s="509" t="s">
        <v>2622</v>
      </c>
      <c r="R28" s="519" t="e">
        <f>SUM(R22:R26)</f>
        <v>#REF!</v>
      </c>
      <c r="T28" s="510" t="s">
        <v>2623</v>
      </c>
      <c r="U28" s="509" t="s">
        <v>2624</v>
      </c>
      <c r="V28" s="509" t="s">
        <v>2521</v>
      </c>
      <c r="W28" s="523" t="s">
        <v>2604</v>
      </c>
      <c r="X28" s="511">
        <v>0</v>
      </c>
      <c r="Y28" s="492">
        <v>63870</v>
      </c>
      <c r="Z28" s="511">
        <v>0</v>
      </c>
      <c r="AA28" s="513">
        <v>0</v>
      </c>
      <c r="AB28" s="522">
        <v>0</v>
      </c>
      <c r="AC28" s="509">
        <f t="shared" si="1"/>
        <v>63870</v>
      </c>
      <c r="AD28" s="509" t="s">
        <v>2625</v>
      </c>
      <c r="AE28" s="492">
        <v>8.8000000000000007</v>
      </c>
      <c r="AF28" s="519"/>
      <c r="AG28" s="519"/>
      <c r="AI28" s="2">
        <v>25</v>
      </c>
      <c r="AJ28" s="511">
        <v>1.1000000000000001</v>
      </c>
      <c r="AK28" s="511">
        <f t="shared" si="0"/>
        <v>27.500000000000004</v>
      </c>
    </row>
    <row r="29" spans="1:37" hidden="1">
      <c r="A29" s="521">
        <f t="shared" si="3"/>
        <v>20</v>
      </c>
      <c r="B29" s="509" t="s">
        <v>2626</v>
      </c>
      <c r="C29" s="492">
        <f>AE23</f>
        <v>120</v>
      </c>
      <c r="D29" s="490" t="s">
        <v>2359</v>
      </c>
      <c r="E29" s="2"/>
      <c r="F29" s="519">
        <v>1</v>
      </c>
      <c r="G29" s="518" t="s">
        <v>2334</v>
      </c>
      <c r="H29" s="509" t="s">
        <v>2530</v>
      </c>
      <c r="I29" s="492">
        <f>(C18)</f>
        <v>26</v>
      </c>
      <c r="J29" s="500" t="s">
        <v>2334</v>
      </c>
      <c r="K29" s="492">
        <f>(F29*I29)</f>
        <v>26</v>
      </c>
      <c r="R29" s="515" t="s">
        <v>442</v>
      </c>
      <c r="T29" s="510" t="s">
        <v>2627</v>
      </c>
      <c r="U29" s="509" t="s">
        <v>2628</v>
      </c>
      <c r="V29" s="509" t="s">
        <v>2571</v>
      </c>
      <c r="W29" s="519" t="str">
        <f>W18</f>
        <v>Nerkundram</v>
      </c>
      <c r="X29" s="519" t="e">
        <f>X18</f>
        <v>#REF!</v>
      </c>
      <c r="Y29" s="492">
        <v>1470</v>
      </c>
      <c r="Z29" s="519" t="e">
        <f>Z18</f>
        <v>#REF!</v>
      </c>
      <c r="AA29" s="513">
        <v>0</v>
      </c>
      <c r="AB29" s="522">
        <v>0</v>
      </c>
      <c r="AC29" s="509" t="e">
        <f t="shared" si="1"/>
        <v>#REF!</v>
      </c>
      <c r="AD29" s="509" t="s">
        <v>2629</v>
      </c>
      <c r="AE29" s="492">
        <v>25</v>
      </c>
      <c r="AF29" s="519"/>
      <c r="AG29" s="519"/>
      <c r="AI29" s="2">
        <v>342</v>
      </c>
      <c r="AJ29" s="511">
        <v>1.1000000000000001</v>
      </c>
      <c r="AK29" s="511">
        <f t="shared" si="0"/>
        <v>376.20000000000005</v>
      </c>
    </row>
    <row r="30" spans="1:37" hidden="1">
      <c r="A30" s="521">
        <f t="shared" si="3"/>
        <v>21</v>
      </c>
      <c r="B30" s="509" t="s">
        <v>2630</v>
      </c>
      <c r="C30" s="492">
        <f>AE33</f>
        <v>3035</v>
      </c>
      <c r="D30" s="492">
        <f>AE31</f>
        <v>287</v>
      </c>
      <c r="E30" s="2"/>
      <c r="G30" s="518" t="s">
        <v>2346</v>
      </c>
      <c r="H30" s="509" t="s">
        <v>2347</v>
      </c>
      <c r="I30" s="490" t="s">
        <v>30</v>
      </c>
      <c r="J30" s="500" t="s">
        <v>2346</v>
      </c>
      <c r="K30" s="492">
        <v>0</v>
      </c>
      <c r="O30" s="509" t="s">
        <v>2349</v>
      </c>
      <c r="R30" s="519" t="e">
        <f>(R28/1.5)</f>
        <v>#REF!</v>
      </c>
      <c r="T30" s="510" t="s">
        <v>2631</v>
      </c>
      <c r="U30" s="509" t="s">
        <v>2632</v>
      </c>
      <c r="V30" s="509" t="s">
        <v>2571</v>
      </c>
      <c r="W30" s="523" t="s">
        <v>2604</v>
      </c>
      <c r="X30" s="519">
        <v>0</v>
      </c>
      <c r="Y30" s="492">
        <v>8240</v>
      </c>
      <c r="Z30" s="519">
        <v>0</v>
      </c>
      <c r="AA30" s="510">
        <v>0</v>
      </c>
      <c r="AB30" s="522">
        <v>0</v>
      </c>
      <c r="AC30" s="509">
        <f t="shared" si="1"/>
        <v>8240</v>
      </c>
      <c r="AD30" s="509" t="s">
        <v>2633</v>
      </c>
      <c r="AE30" s="492">
        <v>342</v>
      </c>
      <c r="AF30" s="519"/>
      <c r="AG30" s="519"/>
      <c r="AI30" s="2">
        <v>287</v>
      </c>
      <c r="AJ30" s="511">
        <v>1.1000000000000001</v>
      </c>
      <c r="AK30" s="511">
        <f t="shared" si="0"/>
        <v>315.70000000000005</v>
      </c>
    </row>
    <row r="31" spans="1:37" hidden="1">
      <c r="A31" s="521">
        <f t="shared" si="3"/>
        <v>22</v>
      </c>
      <c r="B31" s="509" t="s">
        <v>2634</v>
      </c>
      <c r="C31" s="492">
        <f>AE30</f>
        <v>342</v>
      </c>
      <c r="D31" s="492">
        <f>AE32</f>
        <v>320</v>
      </c>
      <c r="E31" s="2"/>
      <c r="I31" s="2"/>
      <c r="J31" s="463"/>
      <c r="K31" s="491" t="s">
        <v>442</v>
      </c>
      <c r="O31" s="509" t="s">
        <v>2485</v>
      </c>
      <c r="R31" s="515" t="s">
        <v>29</v>
      </c>
      <c r="T31" s="510" t="s">
        <v>2635</v>
      </c>
      <c r="U31" s="509" t="s">
        <v>2636</v>
      </c>
      <c r="V31" s="509" t="s">
        <v>2516</v>
      </c>
      <c r="W31" s="509" t="s">
        <v>2604</v>
      </c>
      <c r="X31" s="519">
        <v>0</v>
      </c>
      <c r="Y31" s="492">
        <v>3800</v>
      </c>
      <c r="Z31" s="519">
        <v>0</v>
      </c>
      <c r="AA31" s="510">
        <v>0</v>
      </c>
      <c r="AB31" s="522">
        <v>0</v>
      </c>
      <c r="AC31" s="509">
        <v>3800</v>
      </c>
      <c r="AD31" s="509" t="s">
        <v>2637</v>
      </c>
      <c r="AE31" s="492">
        <v>287</v>
      </c>
      <c r="AF31" s="519"/>
      <c r="AG31" s="519"/>
      <c r="AI31" s="2">
        <v>320</v>
      </c>
      <c r="AJ31" s="511">
        <v>1.1000000000000001</v>
      </c>
      <c r="AK31" s="511">
        <f t="shared" si="0"/>
        <v>352</v>
      </c>
    </row>
    <row r="32" spans="1:37" hidden="1">
      <c r="A32" s="521">
        <f t="shared" si="3"/>
        <v>23</v>
      </c>
      <c r="B32" s="509" t="s">
        <v>2638</v>
      </c>
      <c r="C32" s="492">
        <v>2.5</v>
      </c>
      <c r="D32" s="492">
        <f>AE34</f>
        <v>267</v>
      </c>
      <c r="E32" s="2"/>
      <c r="H32" s="509" t="s">
        <v>2545</v>
      </c>
      <c r="I32" s="2"/>
      <c r="J32" s="463"/>
      <c r="K32" s="492" t="e">
        <f>SUM(K27:K30)</f>
        <v>#REF!</v>
      </c>
      <c r="T32" s="510" t="s">
        <v>2639</v>
      </c>
      <c r="U32" s="509" t="s">
        <v>2640</v>
      </c>
      <c r="V32" s="509" t="s">
        <v>2516</v>
      </c>
      <c r="W32" s="509" t="s">
        <v>2587</v>
      </c>
      <c r="X32" s="519">
        <v>0</v>
      </c>
      <c r="Y32" s="492">
        <v>28000</v>
      </c>
      <c r="Z32" s="519">
        <v>0</v>
      </c>
      <c r="AA32" s="510">
        <v>0</v>
      </c>
      <c r="AB32" s="522">
        <v>0</v>
      </c>
      <c r="AC32" s="509">
        <f t="shared" ref="AC32:AC38" si="4">SUM(Y32+Z32+AA32+AB32)</f>
        <v>28000</v>
      </c>
      <c r="AD32" s="509" t="s">
        <v>2641</v>
      </c>
      <c r="AE32" s="492">
        <v>320</v>
      </c>
      <c r="AF32" s="519"/>
      <c r="AG32" s="519"/>
      <c r="AI32" s="2">
        <v>3035</v>
      </c>
      <c r="AJ32" s="511">
        <v>1.1000000000000001</v>
      </c>
      <c r="AK32" s="511">
        <f t="shared" si="0"/>
        <v>3338.5000000000005</v>
      </c>
    </row>
    <row r="33" spans="1:37" hidden="1">
      <c r="A33" s="521">
        <f t="shared" si="3"/>
        <v>24</v>
      </c>
      <c r="B33" s="509" t="s">
        <v>2642</v>
      </c>
      <c r="C33" s="492">
        <v>3.64</v>
      </c>
      <c r="D33" s="492">
        <f>AE35</f>
        <v>240</v>
      </c>
      <c r="E33" s="2"/>
      <c r="I33" s="2"/>
      <c r="J33" s="463"/>
      <c r="K33" s="491" t="s">
        <v>442</v>
      </c>
      <c r="T33" s="524" t="s">
        <v>2643</v>
      </c>
      <c r="U33" s="509" t="s">
        <v>2644</v>
      </c>
      <c r="V33" s="509" t="s">
        <v>2516</v>
      </c>
      <c r="W33" s="509" t="s">
        <v>2587</v>
      </c>
      <c r="X33" s="519">
        <v>0</v>
      </c>
      <c r="Y33" s="492">
        <v>26500</v>
      </c>
      <c r="Z33" s="519">
        <v>0</v>
      </c>
      <c r="AA33" s="510">
        <v>0</v>
      </c>
      <c r="AB33" s="522">
        <v>0</v>
      </c>
      <c r="AC33" s="509">
        <f t="shared" si="4"/>
        <v>26500</v>
      </c>
      <c r="AD33" s="509" t="s">
        <v>2645</v>
      </c>
      <c r="AE33" s="492">
        <v>3035</v>
      </c>
      <c r="AF33" s="519"/>
      <c r="AG33" s="519"/>
      <c r="AI33" s="2">
        <v>267</v>
      </c>
      <c r="AJ33" s="511">
        <v>1.1000000000000001</v>
      </c>
      <c r="AK33" s="511">
        <f t="shared" si="0"/>
        <v>293.70000000000005</v>
      </c>
    </row>
    <row r="34" spans="1:37" hidden="1">
      <c r="A34" s="521">
        <f t="shared" si="3"/>
        <v>25</v>
      </c>
      <c r="B34" s="509" t="s">
        <v>2646</v>
      </c>
      <c r="C34" s="492">
        <v>30000</v>
      </c>
      <c r="D34" s="492">
        <v>30000</v>
      </c>
      <c r="E34" s="2"/>
      <c r="G34" s="518" t="s">
        <v>575</v>
      </c>
      <c r="H34" s="509" t="s">
        <v>2647</v>
      </c>
      <c r="I34" s="2"/>
      <c r="J34" s="463"/>
      <c r="K34" s="2"/>
      <c r="T34" s="524" t="s">
        <v>2648</v>
      </c>
      <c r="U34" s="509" t="s">
        <v>2649</v>
      </c>
      <c r="V34" s="509" t="s">
        <v>2571</v>
      </c>
      <c r="W34" s="519" t="str">
        <f>W18</f>
        <v>Nerkundram</v>
      </c>
      <c r="X34" s="519" t="e">
        <f>X18</f>
        <v>#REF!</v>
      </c>
      <c r="Y34" s="492">
        <f>Y29</f>
        <v>1470</v>
      </c>
      <c r="Z34" s="519" t="e">
        <f>Z29</f>
        <v>#REF!</v>
      </c>
      <c r="AA34" s="510">
        <v>0</v>
      </c>
      <c r="AB34" s="522">
        <v>0</v>
      </c>
      <c r="AC34" s="509" t="e">
        <f t="shared" si="4"/>
        <v>#REF!</v>
      </c>
      <c r="AD34" s="509" t="s">
        <v>2650</v>
      </c>
      <c r="AE34" s="492">
        <v>267</v>
      </c>
      <c r="AF34" s="519"/>
      <c r="AG34" s="519"/>
      <c r="AI34" s="2">
        <v>240</v>
      </c>
      <c r="AJ34" s="511">
        <v>1.1000000000000001</v>
      </c>
      <c r="AK34" s="511">
        <f t="shared" si="0"/>
        <v>264</v>
      </c>
    </row>
    <row r="35" spans="1:37" hidden="1">
      <c r="A35" s="521">
        <f t="shared" si="3"/>
        <v>26</v>
      </c>
      <c r="B35" s="509" t="s">
        <v>2651</v>
      </c>
      <c r="C35" s="492">
        <f>AC38</f>
        <v>169</v>
      </c>
      <c r="D35" s="2"/>
      <c r="E35" s="2"/>
      <c r="F35" s="519">
        <v>0.36</v>
      </c>
      <c r="G35" s="518" t="s">
        <v>2516</v>
      </c>
      <c r="H35" s="509" t="s">
        <v>2517</v>
      </c>
      <c r="I35" s="492">
        <f>C67</f>
        <v>3800</v>
      </c>
      <c r="J35" s="500" t="s">
        <v>2516</v>
      </c>
      <c r="K35" s="492">
        <f>(F35*I35)</f>
        <v>1368</v>
      </c>
      <c r="T35" s="510" t="s">
        <v>2652</v>
      </c>
      <c r="U35" s="509" t="s">
        <v>2653</v>
      </c>
      <c r="V35" s="509" t="s">
        <v>2521</v>
      </c>
      <c r="W35" s="509" t="str">
        <f>W11</f>
        <v>Pallavaram</v>
      </c>
      <c r="X35" s="519">
        <v>18</v>
      </c>
      <c r="Y35" s="525">
        <v>278</v>
      </c>
      <c r="Z35" s="519" t="e">
        <f>Z11</f>
        <v>#REF!</v>
      </c>
      <c r="AA35" s="510">
        <v>0</v>
      </c>
      <c r="AB35" s="522">
        <v>0</v>
      </c>
      <c r="AC35" s="509" t="e">
        <f t="shared" si="4"/>
        <v>#REF!</v>
      </c>
      <c r="AD35" s="509" t="s">
        <v>2654</v>
      </c>
      <c r="AE35" s="492">
        <v>240</v>
      </c>
      <c r="AF35" s="519"/>
      <c r="AG35" s="519"/>
      <c r="AI35" s="2">
        <v>37.299999999999997</v>
      </c>
      <c r="AJ35" s="511">
        <v>1.1000000000000001</v>
      </c>
      <c r="AK35" s="511">
        <f t="shared" si="0"/>
        <v>41.03</v>
      </c>
    </row>
    <row r="36" spans="1:37" hidden="1">
      <c r="B36" s="509" t="s">
        <v>2655</v>
      </c>
      <c r="C36" s="492">
        <v>2.6</v>
      </c>
      <c r="D36" s="2"/>
      <c r="E36" s="2"/>
      <c r="F36" s="519">
        <v>1</v>
      </c>
      <c r="G36" s="518" t="s">
        <v>2334</v>
      </c>
      <c r="H36" s="509" t="s">
        <v>2525</v>
      </c>
      <c r="I36" s="492" t="e">
        <f>C78</f>
        <v>#REF!</v>
      </c>
      <c r="J36" s="500" t="s">
        <v>2334</v>
      </c>
      <c r="K36" s="492" t="e">
        <f>(F36*I36)</f>
        <v>#REF!</v>
      </c>
      <c r="T36" s="510" t="s">
        <v>2656</v>
      </c>
      <c r="U36" s="509" t="s">
        <v>2657</v>
      </c>
      <c r="V36" s="509" t="s">
        <v>2521</v>
      </c>
      <c r="W36" s="509" t="str">
        <f>W12</f>
        <v>Pallavaram</v>
      </c>
      <c r="X36" s="519">
        <v>18</v>
      </c>
      <c r="Y36" s="525">
        <v>334.5</v>
      </c>
      <c r="Z36" s="519" t="e">
        <f>Z12</f>
        <v>#REF!</v>
      </c>
      <c r="AA36" s="510">
        <v>0</v>
      </c>
      <c r="AB36" s="522">
        <v>0</v>
      </c>
      <c r="AC36" s="509" t="e">
        <f t="shared" si="4"/>
        <v>#REF!</v>
      </c>
      <c r="AD36" s="509" t="s">
        <v>2658</v>
      </c>
      <c r="AE36" s="526">
        <v>37.299999999999997</v>
      </c>
      <c r="AF36" s="517"/>
      <c r="AG36" s="517"/>
      <c r="AI36" s="2">
        <v>95.5</v>
      </c>
      <c r="AJ36" s="511">
        <v>1.1000000000000001</v>
      </c>
      <c r="AK36" s="511">
        <f t="shared" si="0"/>
        <v>105.05000000000001</v>
      </c>
    </row>
    <row r="37" spans="1:37" hidden="1">
      <c r="C37" s="2"/>
      <c r="D37" s="2"/>
      <c r="E37" s="2"/>
      <c r="F37" s="519">
        <v>1</v>
      </c>
      <c r="G37" s="518" t="s">
        <v>2334</v>
      </c>
      <c r="H37" s="509" t="s">
        <v>2530</v>
      </c>
      <c r="I37" s="492">
        <f>C18</f>
        <v>26</v>
      </c>
      <c r="J37" s="500" t="s">
        <v>2334</v>
      </c>
      <c r="K37" s="492">
        <f>(F37*I37)</f>
        <v>26</v>
      </c>
      <c r="T37" s="510" t="s">
        <v>2659</v>
      </c>
      <c r="U37" s="509" t="s">
        <v>2660</v>
      </c>
      <c r="V37" s="509" t="s">
        <v>2521</v>
      </c>
      <c r="W37" s="509" t="str">
        <f>W13</f>
        <v>Pallavaram</v>
      </c>
      <c r="X37" s="519">
        <v>18</v>
      </c>
      <c r="Y37" s="525">
        <v>278.5</v>
      </c>
      <c r="Z37" s="519" t="e">
        <f>Z13</f>
        <v>#REF!</v>
      </c>
      <c r="AA37" s="510">
        <v>0</v>
      </c>
      <c r="AB37" s="522">
        <v>0</v>
      </c>
      <c r="AC37" s="509" t="e">
        <f t="shared" si="4"/>
        <v>#REF!</v>
      </c>
      <c r="AD37" s="509" t="s">
        <v>2661</v>
      </c>
      <c r="AE37" s="492">
        <v>120</v>
      </c>
      <c r="AF37" s="519"/>
      <c r="AG37" s="519"/>
    </row>
    <row r="38" spans="1:37" hidden="1">
      <c r="A38" s="521">
        <f>(A35+1)</f>
        <v>27</v>
      </c>
      <c r="B38" s="509" t="s">
        <v>2662</v>
      </c>
      <c r="C38" s="492">
        <v>40</v>
      </c>
      <c r="D38" s="490" t="s">
        <v>2342</v>
      </c>
      <c r="E38" s="2"/>
      <c r="G38" s="518" t="s">
        <v>2346</v>
      </c>
      <c r="H38" s="509" t="s">
        <v>2347</v>
      </c>
      <c r="I38" s="490" t="s">
        <v>30</v>
      </c>
      <c r="J38" s="500" t="s">
        <v>2346</v>
      </c>
      <c r="K38" s="492">
        <v>0</v>
      </c>
      <c r="T38" s="510" t="s">
        <v>2663</v>
      </c>
      <c r="U38" s="509" t="s">
        <v>2664</v>
      </c>
      <c r="V38" s="509" t="s">
        <v>2521</v>
      </c>
      <c r="W38" s="509" t="s">
        <v>2665</v>
      </c>
      <c r="X38" s="519">
        <v>20</v>
      </c>
      <c r="Y38" s="526">
        <v>83</v>
      </c>
      <c r="Z38" s="519">
        <v>86</v>
      </c>
      <c r="AA38" s="510">
        <v>0</v>
      </c>
      <c r="AB38" s="522">
        <v>0</v>
      </c>
      <c r="AC38" s="509">
        <f t="shared" si="4"/>
        <v>169</v>
      </c>
      <c r="AD38" s="509" t="s">
        <v>30</v>
      </c>
      <c r="AE38" s="526"/>
      <c r="AG38" s="509" t="s">
        <v>2514</v>
      </c>
    </row>
    <row r="39" spans="1:37" hidden="1">
      <c r="A39" s="521">
        <f t="shared" ref="A39:A58" si="5">(A38+1)</f>
        <v>28</v>
      </c>
      <c r="B39" s="509" t="s">
        <v>2666</v>
      </c>
      <c r="C39" s="492">
        <v>41</v>
      </c>
      <c r="D39" s="492">
        <v>500</v>
      </c>
      <c r="E39" s="2"/>
      <c r="I39" s="2"/>
      <c r="J39" s="463"/>
      <c r="K39" s="491" t="s">
        <v>442</v>
      </c>
      <c r="T39" s="513"/>
      <c r="AA39" s="513"/>
      <c r="AG39" s="509" t="s">
        <v>2514</v>
      </c>
    </row>
    <row r="40" spans="1:37" hidden="1">
      <c r="A40" s="521">
        <f t="shared" si="5"/>
        <v>29</v>
      </c>
      <c r="B40" s="509" t="s">
        <v>2667</v>
      </c>
      <c r="C40" s="492">
        <v>28</v>
      </c>
      <c r="D40" s="492">
        <f>95+95*0.11</f>
        <v>105.45</v>
      </c>
      <c r="E40" s="2"/>
      <c r="H40" s="509" t="s">
        <v>2545</v>
      </c>
      <c r="I40" s="2"/>
      <c r="J40" s="463"/>
      <c r="K40" s="492" t="e">
        <f>SUM(K35:K38)</f>
        <v>#REF!</v>
      </c>
      <c r="T40" s="515" t="s">
        <v>442</v>
      </c>
      <c r="U40" s="515" t="s">
        <v>442</v>
      </c>
      <c r="V40" s="515" t="s">
        <v>442</v>
      </c>
      <c r="W40" s="515" t="s">
        <v>442</v>
      </c>
      <c r="X40" s="515" t="s">
        <v>442</v>
      </c>
      <c r="Y40" s="515" t="s">
        <v>442</v>
      </c>
      <c r="Z40" s="515" t="s">
        <v>442</v>
      </c>
      <c r="AA40" s="515" t="s">
        <v>442</v>
      </c>
      <c r="AB40" s="515" t="s">
        <v>442</v>
      </c>
      <c r="AC40" s="515" t="s">
        <v>442</v>
      </c>
      <c r="AD40" s="515" t="s">
        <v>442</v>
      </c>
      <c r="AE40" s="515" t="s">
        <v>442</v>
      </c>
      <c r="AF40" s="515"/>
      <c r="AG40" s="509" t="s">
        <v>2514</v>
      </c>
    </row>
    <row r="41" spans="1:37" ht="30" hidden="1" customHeight="1">
      <c r="A41" s="521">
        <f t="shared" si="5"/>
        <v>30</v>
      </c>
      <c r="B41" s="509" t="s">
        <v>2668</v>
      </c>
      <c r="C41" s="492">
        <f>AE22</f>
        <v>110</v>
      </c>
      <c r="D41" s="490" t="s">
        <v>2359</v>
      </c>
      <c r="E41" s="2"/>
      <c r="I41" s="2"/>
      <c r="J41" s="463"/>
      <c r="K41" s="491" t="s">
        <v>442</v>
      </c>
      <c r="U41" s="527"/>
      <c r="Y41" s="509" t="s">
        <v>30</v>
      </c>
      <c r="AG41" s="509" t="s">
        <v>2514</v>
      </c>
    </row>
    <row r="42" spans="1:37" hidden="1">
      <c r="A42" s="521">
        <f t="shared" si="5"/>
        <v>31</v>
      </c>
      <c r="B42" s="509" t="s">
        <v>2669</v>
      </c>
      <c r="C42" s="492">
        <v>1.75</v>
      </c>
      <c r="D42" s="490" t="s">
        <v>2205</v>
      </c>
      <c r="E42" s="2"/>
      <c r="G42" s="518" t="s">
        <v>575</v>
      </c>
      <c r="H42" s="509" t="s">
        <v>2341</v>
      </c>
      <c r="I42" s="2"/>
      <c r="J42" s="463"/>
      <c r="K42" s="2"/>
      <c r="U42" s="511" t="s">
        <v>2670</v>
      </c>
      <c r="AG42" s="509" t="s">
        <v>2514</v>
      </c>
    </row>
    <row r="43" spans="1:37" hidden="1">
      <c r="A43" s="521">
        <f t="shared" si="5"/>
        <v>32</v>
      </c>
      <c r="B43" s="509" t="s">
        <v>2671</v>
      </c>
      <c r="C43" s="492">
        <v>2.2000000000000002</v>
      </c>
      <c r="D43" s="490" t="s">
        <v>2359</v>
      </c>
      <c r="E43" s="2"/>
      <c r="H43" s="515" t="s">
        <v>442</v>
      </c>
      <c r="I43" s="2"/>
      <c r="J43" s="463"/>
      <c r="K43" s="2"/>
      <c r="AG43" s="509" t="s">
        <v>2514</v>
      </c>
    </row>
    <row r="44" spans="1:37" hidden="1">
      <c r="A44" s="521">
        <f t="shared" si="5"/>
        <v>33</v>
      </c>
      <c r="B44" s="509" t="s">
        <v>2672</v>
      </c>
      <c r="C44" s="492">
        <v>2.2000000000000002</v>
      </c>
      <c r="D44" s="490" t="s">
        <v>2359</v>
      </c>
      <c r="E44" s="2"/>
      <c r="F44" s="528">
        <v>0.28799999999999998</v>
      </c>
      <c r="G44" s="518" t="s">
        <v>2516</v>
      </c>
      <c r="H44" s="509" t="s">
        <v>2517</v>
      </c>
      <c r="I44" s="492">
        <f>(C67)</f>
        <v>3800</v>
      </c>
      <c r="J44" s="500" t="s">
        <v>2516</v>
      </c>
      <c r="K44" s="492">
        <f>(F44*I44)</f>
        <v>1094.3999999999999</v>
      </c>
      <c r="AG44" s="509" t="s">
        <v>2514</v>
      </c>
    </row>
    <row r="45" spans="1:37" hidden="1">
      <c r="A45" s="521">
        <f t="shared" si="5"/>
        <v>34</v>
      </c>
      <c r="B45" s="509" t="s">
        <v>2673</v>
      </c>
      <c r="C45" s="492">
        <v>2.7</v>
      </c>
      <c r="D45" s="490" t="s">
        <v>2359</v>
      </c>
      <c r="E45" s="2"/>
      <c r="F45" s="519">
        <v>1</v>
      </c>
      <c r="G45" s="518" t="s">
        <v>2334</v>
      </c>
      <c r="H45" s="509" t="s">
        <v>2525</v>
      </c>
      <c r="I45" s="492" t="e">
        <f>(C78)</f>
        <v>#REF!</v>
      </c>
      <c r="J45" s="500" t="s">
        <v>2334</v>
      </c>
      <c r="K45" s="492" t="e">
        <f>(F45*I45)</f>
        <v>#REF!</v>
      </c>
      <c r="AG45" s="509" t="s">
        <v>2514</v>
      </c>
    </row>
    <row r="46" spans="1:37" hidden="1">
      <c r="A46" s="521">
        <f t="shared" si="5"/>
        <v>35</v>
      </c>
      <c r="B46" s="509" t="s">
        <v>2674</v>
      </c>
      <c r="C46" s="492">
        <v>3.2</v>
      </c>
      <c r="D46" s="490" t="s">
        <v>2359</v>
      </c>
      <c r="E46" s="2"/>
      <c r="F46" s="519">
        <v>1</v>
      </c>
      <c r="G46" s="518" t="s">
        <v>2334</v>
      </c>
      <c r="H46" s="509" t="s">
        <v>2530</v>
      </c>
      <c r="I46" s="492">
        <f>(C18)</f>
        <v>26</v>
      </c>
      <c r="J46" s="500" t="s">
        <v>2334</v>
      </c>
      <c r="K46" s="492">
        <f>(F46*I46)</f>
        <v>26</v>
      </c>
      <c r="W46" s="509" t="s">
        <v>2675</v>
      </c>
      <c r="AA46" s="509" t="s">
        <v>2676</v>
      </c>
      <c r="AE46" s="511" t="s">
        <v>2677</v>
      </c>
      <c r="AG46" s="509" t="s">
        <v>2514</v>
      </c>
    </row>
    <row r="47" spans="1:37" hidden="1">
      <c r="A47" s="521">
        <f t="shared" si="5"/>
        <v>36</v>
      </c>
      <c r="B47" s="509" t="s">
        <v>2678</v>
      </c>
      <c r="C47" s="492">
        <v>4.2</v>
      </c>
      <c r="D47" s="490" t="s">
        <v>2359</v>
      </c>
      <c r="E47" s="2"/>
      <c r="G47" s="518" t="s">
        <v>2346</v>
      </c>
      <c r="H47" s="509" t="s">
        <v>2347</v>
      </c>
      <c r="I47" s="490" t="s">
        <v>30</v>
      </c>
      <c r="J47" s="500" t="s">
        <v>2346</v>
      </c>
      <c r="K47" s="492">
        <v>0</v>
      </c>
      <c r="N47" s="509" t="s">
        <v>575</v>
      </c>
      <c r="O47" s="509" t="s">
        <v>2679</v>
      </c>
      <c r="AG47" s="509" t="s">
        <v>2514</v>
      </c>
    </row>
    <row r="48" spans="1:37" hidden="1">
      <c r="A48" s="521">
        <f t="shared" si="5"/>
        <v>37</v>
      </c>
      <c r="B48" s="509" t="s">
        <v>2680</v>
      </c>
      <c r="C48" s="492">
        <v>5.35</v>
      </c>
      <c r="D48" s="492">
        <v>10.65</v>
      </c>
      <c r="E48" s="2"/>
      <c r="I48" s="2"/>
      <c r="J48" s="463"/>
      <c r="K48" s="491" t="s">
        <v>442</v>
      </c>
      <c r="O48" s="509" t="s">
        <v>2681</v>
      </c>
      <c r="AG48" s="509" t="s">
        <v>2514</v>
      </c>
    </row>
    <row r="49" spans="1:33" hidden="1">
      <c r="A49" s="521">
        <f t="shared" si="5"/>
        <v>38</v>
      </c>
      <c r="B49" s="509" t="s">
        <v>2682</v>
      </c>
      <c r="C49" s="492">
        <v>5.85</v>
      </c>
      <c r="D49" s="492">
        <v>7.45</v>
      </c>
      <c r="E49" s="2"/>
      <c r="H49" s="509" t="s">
        <v>2545</v>
      </c>
      <c r="I49" s="2"/>
      <c r="J49" s="463"/>
      <c r="K49" s="492" t="e">
        <f>SUM(K44:K47)</f>
        <v>#REF!</v>
      </c>
      <c r="O49" s="515" t="s">
        <v>442</v>
      </c>
      <c r="AG49" s="509" t="s">
        <v>2514</v>
      </c>
    </row>
    <row r="50" spans="1:33" hidden="1">
      <c r="A50" s="521">
        <f t="shared" si="5"/>
        <v>39</v>
      </c>
      <c r="B50" s="509" t="s">
        <v>2683</v>
      </c>
      <c r="C50" s="492">
        <v>3.2</v>
      </c>
      <c r="D50" s="490" t="s">
        <v>2359</v>
      </c>
      <c r="E50" s="2"/>
      <c r="I50" s="2"/>
      <c r="J50" s="463"/>
      <c r="K50" s="491" t="s">
        <v>442</v>
      </c>
      <c r="M50" s="519">
        <v>9</v>
      </c>
      <c r="N50" s="509" t="s">
        <v>2334</v>
      </c>
      <c r="O50" s="509" t="s">
        <v>2681</v>
      </c>
      <c r="P50" s="519" t="e">
        <f>(C81)</f>
        <v>#REF!</v>
      </c>
      <c r="Q50" s="509" t="s">
        <v>2334</v>
      </c>
      <c r="R50" s="519" t="e">
        <f>(M50*P50)</f>
        <v>#REF!</v>
      </c>
      <c r="AG50" s="509" t="s">
        <v>2514</v>
      </c>
    </row>
    <row r="51" spans="1:33" hidden="1">
      <c r="A51" s="521">
        <f t="shared" si="5"/>
        <v>40</v>
      </c>
      <c r="B51" s="509" t="s">
        <v>2684</v>
      </c>
      <c r="C51" s="492">
        <v>3.2</v>
      </c>
      <c r="D51" s="490" t="s">
        <v>2359</v>
      </c>
      <c r="E51" s="2"/>
      <c r="G51" s="518" t="s">
        <v>575</v>
      </c>
      <c r="H51" s="509" t="s">
        <v>2685</v>
      </c>
      <c r="I51" s="2"/>
      <c r="J51" s="463"/>
      <c r="K51" s="2"/>
      <c r="M51" s="519">
        <v>4.5</v>
      </c>
      <c r="N51" s="509" t="s">
        <v>2334</v>
      </c>
      <c r="O51" s="509" t="s">
        <v>2686</v>
      </c>
      <c r="P51" s="519" t="e">
        <f>(K77)</f>
        <v>#REF!</v>
      </c>
      <c r="Q51" s="509" t="s">
        <v>2334</v>
      </c>
      <c r="R51" s="519" t="e">
        <f>(M51*P51)</f>
        <v>#REF!</v>
      </c>
      <c r="AG51" s="509" t="s">
        <v>2514</v>
      </c>
    </row>
    <row r="52" spans="1:33" hidden="1">
      <c r="A52" s="521">
        <f t="shared" si="5"/>
        <v>41</v>
      </c>
      <c r="B52" s="509" t="s">
        <v>2687</v>
      </c>
      <c r="C52" s="492">
        <v>6.4</v>
      </c>
      <c r="D52" s="490" t="s">
        <v>2359</v>
      </c>
      <c r="E52" s="2"/>
      <c r="H52" s="515" t="s">
        <v>442</v>
      </c>
      <c r="I52" s="2"/>
      <c r="J52" s="463"/>
      <c r="K52" s="2"/>
      <c r="M52" s="519">
        <v>1.8</v>
      </c>
      <c r="N52" s="509" t="s">
        <v>2342</v>
      </c>
      <c r="O52" s="509" t="s">
        <v>2343</v>
      </c>
      <c r="P52" s="519">
        <f>(C11)</f>
        <v>135</v>
      </c>
      <c r="Q52" s="509" t="s">
        <v>2342</v>
      </c>
      <c r="R52" s="519">
        <f>(M52*P52)</f>
        <v>243</v>
      </c>
      <c r="AG52" s="509" t="s">
        <v>2514</v>
      </c>
    </row>
    <row r="53" spans="1:33" hidden="1">
      <c r="A53" s="521">
        <f t="shared" si="5"/>
        <v>42</v>
      </c>
      <c r="B53" s="509" t="s">
        <v>2688</v>
      </c>
      <c r="C53" s="492">
        <v>8.5500000000000007</v>
      </c>
      <c r="D53" s="492">
        <v>21.3</v>
      </c>
      <c r="E53" s="2"/>
      <c r="F53" s="519">
        <v>0.24</v>
      </c>
      <c r="G53" s="518" t="s">
        <v>2516</v>
      </c>
      <c r="H53" s="509" t="s">
        <v>2517</v>
      </c>
      <c r="I53" s="492">
        <f>(C67)</f>
        <v>3800</v>
      </c>
      <c r="J53" s="500" t="s">
        <v>2516</v>
      </c>
      <c r="K53" s="492">
        <f>(F53*I53)</f>
        <v>912</v>
      </c>
      <c r="M53" s="519">
        <v>17.7</v>
      </c>
      <c r="N53" s="509" t="s">
        <v>2342</v>
      </c>
      <c r="O53" s="509" t="s">
        <v>2344</v>
      </c>
      <c r="P53" s="519">
        <f>(C12)</f>
        <v>95</v>
      </c>
      <c r="Q53" s="509" t="s">
        <v>2342</v>
      </c>
      <c r="R53" s="519">
        <f>(M53*P53)</f>
        <v>1681.5</v>
      </c>
      <c r="AG53" s="509" t="s">
        <v>2514</v>
      </c>
    </row>
    <row r="54" spans="1:33" hidden="1">
      <c r="A54" s="521">
        <f t="shared" si="5"/>
        <v>43</v>
      </c>
      <c r="B54" s="509" t="s">
        <v>2689</v>
      </c>
      <c r="C54" s="492">
        <v>9.5500000000000007</v>
      </c>
      <c r="D54" s="492">
        <v>16</v>
      </c>
      <c r="E54" s="2"/>
      <c r="F54" s="519">
        <v>1</v>
      </c>
      <c r="G54" s="518" t="s">
        <v>2334</v>
      </c>
      <c r="H54" s="509" t="s">
        <v>2525</v>
      </c>
      <c r="I54" s="492" t="e">
        <f>(C78)</f>
        <v>#REF!</v>
      </c>
      <c r="J54" s="500" t="s">
        <v>2334</v>
      </c>
      <c r="K54" s="492" t="e">
        <f>(F54*I54)</f>
        <v>#REF!</v>
      </c>
      <c r="M54" s="519">
        <v>14.1</v>
      </c>
      <c r="N54" s="509" t="s">
        <v>2342</v>
      </c>
      <c r="O54" s="509" t="s">
        <v>2345</v>
      </c>
      <c r="P54" s="519">
        <f>(C13)</f>
        <v>85</v>
      </c>
      <c r="Q54" s="509" t="s">
        <v>2342</v>
      </c>
      <c r="R54" s="519">
        <f>(M54*P54)</f>
        <v>1198.5</v>
      </c>
      <c r="AG54" s="509" t="s">
        <v>2690</v>
      </c>
    </row>
    <row r="55" spans="1:33" hidden="1">
      <c r="A55" s="521">
        <f t="shared" si="5"/>
        <v>44</v>
      </c>
      <c r="B55" s="509" t="s">
        <v>2691</v>
      </c>
      <c r="C55" s="492">
        <v>10.65</v>
      </c>
      <c r="D55" s="492">
        <v>12.75</v>
      </c>
      <c r="E55" s="2"/>
      <c r="F55" s="519">
        <v>1</v>
      </c>
      <c r="G55" s="518" t="s">
        <v>2334</v>
      </c>
      <c r="H55" s="509" t="s">
        <v>2530</v>
      </c>
      <c r="I55" s="492">
        <f>(C18)</f>
        <v>26</v>
      </c>
      <c r="J55" s="500" t="s">
        <v>2334</v>
      </c>
      <c r="K55" s="492">
        <f>(F55*I55)</f>
        <v>26</v>
      </c>
      <c r="N55" s="509" t="s">
        <v>2346</v>
      </c>
      <c r="O55" s="509" t="s">
        <v>2347</v>
      </c>
      <c r="Q55" s="509" t="s">
        <v>2346</v>
      </c>
      <c r="R55" s="519">
        <v>0</v>
      </c>
    </row>
    <row r="56" spans="1:33" hidden="1">
      <c r="A56" s="521">
        <f t="shared" si="5"/>
        <v>45</v>
      </c>
      <c r="B56" s="509" t="s">
        <v>2692</v>
      </c>
      <c r="C56" s="492">
        <v>12.1</v>
      </c>
      <c r="D56" s="490" t="s">
        <v>2346</v>
      </c>
      <c r="E56" s="2"/>
      <c r="G56" s="518" t="s">
        <v>2346</v>
      </c>
      <c r="H56" s="509" t="s">
        <v>2347</v>
      </c>
      <c r="I56" s="490" t="s">
        <v>30</v>
      </c>
      <c r="J56" s="500" t="s">
        <v>2346</v>
      </c>
      <c r="K56" s="492">
        <v>0</v>
      </c>
      <c r="R56" s="515" t="s">
        <v>442</v>
      </c>
    </row>
    <row r="57" spans="1:33" hidden="1">
      <c r="A57" s="521">
        <f t="shared" si="5"/>
        <v>46</v>
      </c>
      <c r="B57" s="509" t="s">
        <v>2693</v>
      </c>
      <c r="C57" s="492">
        <v>35</v>
      </c>
      <c r="D57" s="490" t="s">
        <v>2346</v>
      </c>
      <c r="E57" s="2"/>
      <c r="I57" s="2"/>
      <c r="J57" s="463"/>
      <c r="K57" s="491" t="s">
        <v>442</v>
      </c>
      <c r="O57" s="509" t="s">
        <v>2348</v>
      </c>
      <c r="R57" s="519" t="e">
        <f>SUM(R50:R55)</f>
        <v>#REF!</v>
      </c>
      <c r="AG57" s="509" t="s">
        <v>2514</v>
      </c>
    </row>
    <row r="58" spans="1:33" hidden="1">
      <c r="A58" s="521">
        <f t="shared" si="5"/>
        <v>47</v>
      </c>
      <c r="B58" s="509" t="s">
        <v>2694</v>
      </c>
      <c r="C58" s="492">
        <v>15</v>
      </c>
      <c r="D58" s="490" t="s">
        <v>2346</v>
      </c>
      <c r="E58" s="2"/>
      <c r="H58" s="509" t="s">
        <v>2545</v>
      </c>
      <c r="I58" s="2"/>
      <c r="J58" s="463"/>
      <c r="K58" s="492" t="e">
        <f>SUM(K53:K56)</f>
        <v>#REF!</v>
      </c>
      <c r="R58" s="515" t="s">
        <v>442</v>
      </c>
      <c r="AG58" s="509" t="s">
        <v>2514</v>
      </c>
    </row>
    <row r="59" spans="1:33" hidden="1">
      <c r="C59" s="2"/>
      <c r="D59" s="2"/>
      <c r="E59" s="2"/>
      <c r="F59" s="509" t="s">
        <v>30</v>
      </c>
      <c r="I59" s="2"/>
      <c r="J59" s="463"/>
      <c r="K59" s="2"/>
    </row>
    <row r="60" spans="1:33" hidden="1">
      <c r="A60" s="521">
        <f>(A58+1)</f>
        <v>48</v>
      </c>
      <c r="B60" s="509" t="s">
        <v>2695</v>
      </c>
      <c r="C60" s="492">
        <v>6.55</v>
      </c>
      <c r="D60" s="490" t="s">
        <v>2696</v>
      </c>
      <c r="E60" s="2"/>
      <c r="I60" s="2"/>
      <c r="J60" s="463"/>
      <c r="K60" s="491" t="s">
        <v>442</v>
      </c>
      <c r="O60" s="509" t="s">
        <v>2349</v>
      </c>
      <c r="R60" s="519" t="e">
        <f>(R57/10)</f>
        <v>#REF!</v>
      </c>
      <c r="AG60" s="509" t="s">
        <v>2514</v>
      </c>
    </row>
    <row r="61" spans="1:33" hidden="1">
      <c r="A61" s="521">
        <f t="shared" ref="A61:A91" si="6">(A60+1)</f>
        <v>49</v>
      </c>
      <c r="B61" s="509" t="s">
        <v>2697</v>
      </c>
      <c r="C61" s="492">
        <f>AE29</f>
        <v>25</v>
      </c>
      <c r="D61" s="492">
        <f>AE36</f>
        <v>37.299999999999997</v>
      </c>
      <c r="E61" s="2"/>
      <c r="G61" s="518" t="s">
        <v>575</v>
      </c>
      <c r="H61" s="509" t="s">
        <v>2698</v>
      </c>
      <c r="I61" s="2"/>
      <c r="J61" s="463"/>
      <c r="K61" s="2"/>
      <c r="R61" s="515" t="s">
        <v>29</v>
      </c>
      <c r="AG61" s="509" t="s">
        <v>2514</v>
      </c>
    </row>
    <row r="62" spans="1:33" hidden="1">
      <c r="A62" s="521">
        <f t="shared" si="6"/>
        <v>50</v>
      </c>
      <c r="B62" s="509" t="s">
        <v>2699</v>
      </c>
      <c r="C62" s="492">
        <v>85.5</v>
      </c>
      <c r="D62" s="490" t="s">
        <v>2342</v>
      </c>
      <c r="E62" s="2"/>
      <c r="H62" s="515" t="s">
        <v>442</v>
      </c>
      <c r="I62" s="2"/>
      <c r="J62" s="463"/>
      <c r="K62" s="2"/>
      <c r="N62" s="509" t="s">
        <v>575</v>
      </c>
      <c r="O62" s="509" t="s">
        <v>2700</v>
      </c>
      <c r="AG62" s="509" t="s">
        <v>2514</v>
      </c>
    </row>
    <row r="63" spans="1:33" hidden="1">
      <c r="A63" s="521">
        <f t="shared" si="6"/>
        <v>51</v>
      </c>
      <c r="B63" s="509" t="s">
        <v>2701</v>
      </c>
      <c r="C63" s="492">
        <v>42</v>
      </c>
      <c r="D63" s="490" t="s">
        <v>2346</v>
      </c>
      <c r="E63" s="2"/>
      <c r="F63" s="528">
        <v>0.20599999999999999</v>
      </c>
      <c r="G63" s="518" t="s">
        <v>2516</v>
      </c>
      <c r="H63" s="509" t="s">
        <v>2517</v>
      </c>
      <c r="I63" s="492">
        <f>(C67)</f>
        <v>3800</v>
      </c>
      <c r="J63" s="500" t="s">
        <v>2516</v>
      </c>
      <c r="K63" s="492">
        <f>(F63*I63)</f>
        <v>782.8</v>
      </c>
      <c r="O63" s="509" t="s">
        <v>2702</v>
      </c>
      <c r="AG63" s="509" t="s">
        <v>2514</v>
      </c>
    </row>
    <row r="64" spans="1:33" hidden="1">
      <c r="A64" s="521">
        <f t="shared" si="6"/>
        <v>52</v>
      </c>
      <c r="B64" s="509" t="s">
        <v>2703</v>
      </c>
      <c r="C64" s="492">
        <v>62.5</v>
      </c>
      <c r="D64" s="490" t="s">
        <v>2334</v>
      </c>
      <c r="E64" s="2"/>
      <c r="F64" s="519">
        <v>1</v>
      </c>
      <c r="G64" s="518" t="s">
        <v>2334</v>
      </c>
      <c r="H64" s="509" t="s">
        <v>2525</v>
      </c>
      <c r="I64" s="492" t="e">
        <f>(C78)</f>
        <v>#REF!</v>
      </c>
      <c r="J64" s="500" t="s">
        <v>2334</v>
      </c>
      <c r="K64" s="492" t="e">
        <f>(F64*I64)</f>
        <v>#REF!</v>
      </c>
      <c r="O64" s="515" t="s">
        <v>442</v>
      </c>
      <c r="AG64" s="509" t="s">
        <v>2514</v>
      </c>
    </row>
    <row r="65" spans="1:33" hidden="1">
      <c r="A65" s="521">
        <f t="shared" si="6"/>
        <v>53</v>
      </c>
      <c r="B65" s="509" t="s">
        <v>2704</v>
      </c>
      <c r="C65" s="492">
        <v>303</v>
      </c>
      <c r="D65" s="490" t="s">
        <v>2705</v>
      </c>
      <c r="E65" s="2"/>
      <c r="F65" s="519">
        <v>1</v>
      </c>
      <c r="G65" s="518" t="s">
        <v>2334</v>
      </c>
      <c r="H65" s="509" t="s">
        <v>2530</v>
      </c>
      <c r="I65" s="492">
        <f>(C18)</f>
        <v>26</v>
      </c>
      <c r="J65" s="500" t="s">
        <v>2334</v>
      </c>
      <c r="K65" s="492">
        <f>(F65*I65)</f>
        <v>26</v>
      </c>
      <c r="M65" s="519">
        <v>9</v>
      </c>
      <c r="N65" s="509" t="s">
        <v>2334</v>
      </c>
      <c r="O65" s="509" t="s">
        <v>2702</v>
      </c>
      <c r="P65" s="519" t="e">
        <f>(C73)</f>
        <v>#REF!</v>
      </c>
      <c r="Q65" s="509" t="s">
        <v>2334</v>
      </c>
      <c r="R65" s="519" t="e">
        <f>(M65*P65)</f>
        <v>#REF!</v>
      </c>
      <c r="AG65" s="509" t="s">
        <v>2514</v>
      </c>
    </row>
    <row r="66" spans="1:33" hidden="1">
      <c r="A66" s="521">
        <f t="shared" si="6"/>
        <v>54</v>
      </c>
      <c r="B66" s="509" t="s">
        <v>2706</v>
      </c>
      <c r="C66" s="492">
        <f>AE18</f>
        <v>120</v>
      </c>
      <c r="D66" s="490" t="s">
        <v>2342</v>
      </c>
      <c r="E66" s="2"/>
      <c r="G66" s="518" t="s">
        <v>2346</v>
      </c>
      <c r="H66" s="509" t="s">
        <v>2347</v>
      </c>
      <c r="I66" s="490" t="s">
        <v>30</v>
      </c>
      <c r="J66" s="500" t="s">
        <v>2346</v>
      </c>
      <c r="K66" s="492">
        <v>0</v>
      </c>
      <c r="M66" s="519">
        <v>4.5</v>
      </c>
      <c r="N66" s="509" t="s">
        <v>2334</v>
      </c>
      <c r="O66" s="509" t="s">
        <v>2554</v>
      </c>
      <c r="P66" s="519" t="e">
        <f>(K23)</f>
        <v>#REF!</v>
      </c>
      <c r="Q66" s="509" t="s">
        <v>2334</v>
      </c>
      <c r="R66" s="519" t="e">
        <f>(M66*P66)</f>
        <v>#REF!</v>
      </c>
      <c r="AG66" s="509" t="s">
        <v>2514</v>
      </c>
    </row>
    <row r="67" spans="1:33" hidden="1">
      <c r="A67" s="521">
        <f t="shared" si="6"/>
        <v>55</v>
      </c>
      <c r="B67" s="509" t="s">
        <v>2517</v>
      </c>
      <c r="C67" s="492">
        <f>AC31</f>
        <v>3800</v>
      </c>
      <c r="D67" s="490" t="s">
        <v>2516</v>
      </c>
      <c r="E67" s="2"/>
      <c r="I67" s="2"/>
      <c r="J67" s="463"/>
      <c r="K67" s="491" t="s">
        <v>442</v>
      </c>
      <c r="M67" s="519">
        <v>1.8</v>
      </c>
      <c r="N67" s="509" t="s">
        <v>2342</v>
      </c>
      <c r="O67" s="509" t="s">
        <v>2343</v>
      </c>
      <c r="P67" s="519">
        <f>(C11)</f>
        <v>135</v>
      </c>
      <c r="Q67" s="509" t="s">
        <v>2342</v>
      </c>
      <c r="R67" s="519">
        <f>(M67*P67)</f>
        <v>243</v>
      </c>
      <c r="AG67" s="509" t="s">
        <v>2514</v>
      </c>
    </row>
    <row r="68" spans="1:33" hidden="1">
      <c r="A68" s="521">
        <f t="shared" si="6"/>
        <v>56</v>
      </c>
      <c r="B68" s="509" t="s">
        <v>2707</v>
      </c>
      <c r="C68" s="492" t="e">
        <f t="shared" ref="C68:C74" si="7">AC9</f>
        <v>#REF!</v>
      </c>
      <c r="D68" s="490" t="s">
        <v>2334</v>
      </c>
      <c r="E68" s="2"/>
      <c r="H68" s="509" t="s">
        <v>2545</v>
      </c>
      <c r="I68" s="2"/>
      <c r="J68" s="463"/>
      <c r="K68" s="492" t="e">
        <f>SUM(K63:K66)</f>
        <v>#REF!</v>
      </c>
      <c r="M68" s="519">
        <v>17.7</v>
      </c>
      <c r="N68" s="509" t="s">
        <v>2342</v>
      </c>
      <c r="O68" s="509" t="s">
        <v>2344</v>
      </c>
      <c r="P68" s="519">
        <f>(C12)</f>
        <v>95</v>
      </c>
      <c r="Q68" s="509" t="s">
        <v>2342</v>
      </c>
      <c r="R68" s="519">
        <f>(M68*P68)</f>
        <v>1681.5</v>
      </c>
      <c r="AG68" s="509" t="s">
        <v>2514</v>
      </c>
    </row>
    <row r="69" spans="1:33" hidden="1">
      <c r="A69" s="521">
        <f t="shared" si="6"/>
        <v>57</v>
      </c>
      <c r="B69" s="509" t="s">
        <v>2527</v>
      </c>
      <c r="C69" s="492" t="e">
        <f t="shared" si="7"/>
        <v>#REF!</v>
      </c>
      <c r="D69" s="490" t="s">
        <v>2334</v>
      </c>
      <c r="E69" s="2"/>
      <c r="I69" s="2"/>
      <c r="J69" s="463"/>
      <c r="K69" s="491" t="s">
        <v>442</v>
      </c>
      <c r="M69" s="519">
        <v>14.1</v>
      </c>
      <c r="N69" s="509" t="s">
        <v>2342</v>
      </c>
      <c r="O69" s="509" t="s">
        <v>2345</v>
      </c>
      <c r="P69" s="519">
        <f>(C13)</f>
        <v>85</v>
      </c>
      <c r="Q69" s="509" t="s">
        <v>2342</v>
      </c>
      <c r="R69" s="519">
        <f>(M69*P69)</f>
        <v>1198.5</v>
      </c>
      <c r="AG69" s="509" t="s">
        <v>2514</v>
      </c>
    </row>
    <row r="70" spans="1:33" hidden="1">
      <c r="A70" s="521">
        <f t="shared" si="6"/>
        <v>58</v>
      </c>
      <c r="B70" s="509" t="s">
        <v>2708</v>
      </c>
      <c r="C70" s="492" t="e">
        <f t="shared" si="7"/>
        <v>#REF!</v>
      </c>
      <c r="D70" s="490" t="s">
        <v>2334</v>
      </c>
      <c r="E70" s="2"/>
      <c r="G70" s="518" t="s">
        <v>575</v>
      </c>
      <c r="H70" s="509" t="s">
        <v>2686</v>
      </c>
      <c r="I70" s="2"/>
      <c r="J70" s="463"/>
      <c r="K70" s="2"/>
      <c r="N70" s="509" t="s">
        <v>2346</v>
      </c>
      <c r="O70" s="509" t="s">
        <v>2347</v>
      </c>
      <c r="Q70" s="509" t="s">
        <v>2346</v>
      </c>
      <c r="R70" s="519">
        <v>0</v>
      </c>
      <c r="AG70" s="509" t="s">
        <v>2514</v>
      </c>
    </row>
    <row r="71" spans="1:33" hidden="1">
      <c r="A71" s="521">
        <f t="shared" si="6"/>
        <v>59</v>
      </c>
      <c r="B71" s="509" t="s">
        <v>2709</v>
      </c>
      <c r="C71" s="492" t="e">
        <f t="shared" si="7"/>
        <v>#REF!</v>
      </c>
      <c r="D71" s="490" t="s">
        <v>2334</v>
      </c>
      <c r="E71" s="2"/>
      <c r="H71" s="515" t="s">
        <v>442</v>
      </c>
      <c r="I71" s="2"/>
      <c r="J71" s="463"/>
      <c r="K71" s="2"/>
      <c r="R71" s="515" t="s">
        <v>442</v>
      </c>
      <c r="AG71" s="509" t="s">
        <v>2514</v>
      </c>
    </row>
    <row r="72" spans="1:33" hidden="1">
      <c r="A72" s="521">
        <f t="shared" si="6"/>
        <v>60</v>
      </c>
      <c r="B72" s="509" t="s">
        <v>2710</v>
      </c>
      <c r="C72" s="492" t="e">
        <f t="shared" si="7"/>
        <v>#REF!</v>
      </c>
      <c r="D72" s="490" t="s">
        <v>2334</v>
      </c>
      <c r="E72" s="2"/>
      <c r="F72" s="519">
        <v>0.18</v>
      </c>
      <c r="G72" s="518" t="s">
        <v>2516</v>
      </c>
      <c r="H72" s="509" t="s">
        <v>2517</v>
      </c>
      <c r="I72" s="492">
        <f>(C67)</f>
        <v>3800</v>
      </c>
      <c r="J72" s="500" t="s">
        <v>2516</v>
      </c>
      <c r="K72" s="492">
        <f>(F72*I72)</f>
        <v>684</v>
      </c>
      <c r="O72" s="509" t="s">
        <v>2348</v>
      </c>
      <c r="R72" s="519" t="e">
        <f>SUM(R65:R70)</f>
        <v>#REF!</v>
      </c>
      <c r="AG72" s="509" t="s">
        <v>2514</v>
      </c>
    </row>
    <row r="73" spans="1:33" hidden="1">
      <c r="A73" s="521">
        <f t="shared" si="6"/>
        <v>61</v>
      </c>
      <c r="B73" s="509" t="s">
        <v>2711</v>
      </c>
      <c r="C73" s="492" t="e">
        <f t="shared" si="7"/>
        <v>#REF!</v>
      </c>
      <c r="D73" s="490" t="s">
        <v>2334</v>
      </c>
      <c r="E73" s="2"/>
      <c r="F73" s="519">
        <v>1</v>
      </c>
      <c r="G73" s="518" t="s">
        <v>2334</v>
      </c>
      <c r="H73" s="509" t="s">
        <v>2525</v>
      </c>
      <c r="I73" s="492" t="e">
        <f>(C78)</f>
        <v>#REF!</v>
      </c>
      <c r="J73" s="500" t="s">
        <v>2334</v>
      </c>
      <c r="K73" s="492" t="e">
        <f>(F73*I73)</f>
        <v>#REF!</v>
      </c>
      <c r="R73" s="515" t="s">
        <v>442</v>
      </c>
      <c r="AG73" s="509" t="s">
        <v>2514</v>
      </c>
    </row>
    <row r="74" spans="1:33" hidden="1">
      <c r="A74" s="521">
        <f t="shared" si="6"/>
        <v>62</v>
      </c>
      <c r="B74" s="509" t="s">
        <v>2712</v>
      </c>
      <c r="C74" s="492" t="e">
        <f t="shared" si="7"/>
        <v>#REF!</v>
      </c>
      <c r="D74" s="490" t="s">
        <v>2334</v>
      </c>
      <c r="E74" s="2"/>
      <c r="F74" s="519">
        <v>1</v>
      </c>
      <c r="G74" s="518" t="s">
        <v>2334</v>
      </c>
      <c r="H74" s="509" t="s">
        <v>2530</v>
      </c>
      <c r="I74" s="492">
        <f>(C18)</f>
        <v>26</v>
      </c>
      <c r="J74" s="500" t="s">
        <v>2334</v>
      </c>
      <c r="K74" s="492">
        <f>(F74*I74)</f>
        <v>26</v>
      </c>
      <c r="O74" s="509" t="s">
        <v>2349</v>
      </c>
      <c r="R74" s="519" t="e">
        <f>(R72/10)</f>
        <v>#REF!</v>
      </c>
      <c r="AG74" s="509" t="s">
        <v>2514</v>
      </c>
    </row>
    <row r="75" spans="1:33" hidden="1">
      <c r="A75" s="521">
        <f t="shared" si="6"/>
        <v>63</v>
      </c>
      <c r="B75" s="509" t="s">
        <v>2713</v>
      </c>
      <c r="C75" s="492">
        <v>20</v>
      </c>
      <c r="D75" s="490" t="s">
        <v>575</v>
      </c>
      <c r="E75" s="2"/>
      <c r="G75" s="518" t="s">
        <v>2346</v>
      </c>
      <c r="H75" s="509" t="s">
        <v>2347</v>
      </c>
      <c r="I75" s="490" t="s">
        <v>30</v>
      </c>
      <c r="J75" s="500" t="s">
        <v>2346</v>
      </c>
      <c r="K75" s="492">
        <v>0</v>
      </c>
      <c r="R75" s="515" t="s">
        <v>29</v>
      </c>
      <c r="AG75" s="509" t="s">
        <v>2514</v>
      </c>
    </row>
    <row r="76" spans="1:33" hidden="1">
      <c r="A76" s="521">
        <f t="shared" si="6"/>
        <v>64</v>
      </c>
      <c r="B76" s="509" t="s">
        <v>2714</v>
      </c>
      <c r="C76" s="492">
        <v>514.62</v>
      </c>
      <c r="D76" s="492">
        <v>240</v>
      </c>
      <c r="E76" s="2"/>
      <c r="I76" s="2"/>
      <c r="J76" s="463"/>
      <c r="K76" s="491" t="s">
        <v>442</v>
      </c>
      <c r="N76" s="509" t="s">
        <v>575</v>
      </c>
      <c r="O76" s="509" t="s">
        <v>2715</v>
      </c>
      <c r="AG76" s="509" t="s">
        <v>2514</v>
      </c>
    </row>
    <row r="77" spans="1:33" hidden="1">
      <c r="A77" s="521">
        <f t="shared" si="6"/>
        <v>65</v>
      </c>
      <c r="B77" s="509" t="s">
        <v>2716</v>
      </c>
      <c r="C77" s="492" t="e">
        <f>AC34</f>
        <v>#REF!</v>
      </c>
      <c r="D77" s="490" t="s">
        <v>2334</v>
      </c>
      <c r="E77" s="2"/>
      <c r="H77" s="509" t="s">
        <v>2545</v>
      </c>
      <c r="I77" s="2"/>
      <c r="J77" s="463"/>
      <c r="K77" s="492" t="e">
        <f>SUM(K72:K75)</f>
        <v>#REF!</v>
      </c>
      <c r="O77" s="509" t="s">
        <v>2717</v>
      </c>
      <c r="AG77" s="509" t="s">
        <v>2514</v>
      </c>
    </row>
    <row r="78" spans="1:33" hidden="1">
      <c r="A78" s="521">
        <f t="shared" si="6"/>
        <v>66</v>
      </c>
      <c r="B78" s="509" t="s">
        <v>2718</v>
      </c>
      <c r="C78" s="492" t="e">
        <f t="shared" ref="C78:C91" si="8">AC16</f>
        <v>#REF!</v>
      </c>
      <c r="D78" s="490" t="s">
        <v>2334</v>
      </c>
      <c r="E78" s="2"/>
      <c r="I78" s="2"/>
      <c r="J78" s="463"/>
      <c r="K78" s="491" t="s">
        <v>442</v>
      </c>
      <c r="O78" s="515" t="s">
        <v>442</v>
      </c>
      <c r="AG78" s="509" t="s">
        <v>2514</v>
      </c>
    </row>
    <row r="79" spans="1:33" hidden="1">
      <c r="A79" s="521">
        <f t="shared" si="6"/>
        <v>67</v>
      </c>
      <c r="B79" s="509" t="s">
        <v>2563</v>
      </c>
      <c r="C79" s="492" t="e">
        <f t="shared" si="8"/>
        <v>#REF!</v>
      </c>
      <c r="D79" s="490" t="s">
        <v>2334</v>
      </c>
      <c r="E79" s="2"/>
      <c r="F79" s="529">
        <v>1.1000000000000001</v>
      </c>
      <c r="G79" s="518" t="s">
        <v>30</v>
      </c>
      <c r="H79" s="509" t="s">
        <v>2719</v>
      </c>
      <c r="I79" s="2"/>
      <c r="J79" s="463"/>
      <c r="K79" s="2"/>
      <c r="M79" s="519">
        <v>4600</v>
      </c>
      <c r="N79" s="509" t="s">
        <v>2351</v>
      </c>
      <c r="O79" s="509" t="s">
        <v>2717</v>
      </c>
      <c r="P79" s="519" t="e">
        <f>(C91)</f>
        <v>#REF!</v>
      </c>
      <c r="Q79" s="509" t="s">
        <v>2352</v>
      </c>
      <c r="R79" s="519" t="e">
        <f>(M79*P79)/1000</f>
        <v>#REF!</v>
      </c>
      <c r="AG79" s="509" t="s">
        <v>2514</v>
      </c>
    </row>
    <row r="80" spans="1:33" hidden="1">
      <c r="A80" s="521">
        <f t="shared" si="6"/>
        <v>68</v>
      </c>
      <c r="B80" s="509" t="s">
        <v>2720</v>
      </c>
      <c r="C80" s="492" t="e">
        <f t="shared" si="8"/>
        <v>#REF!</v>
      </c>
      <c r="D80" s="490" t="s">
        <v>2408</v>
      </c>
      <c r="E80" s="2"/>
      <c r="F80" s="530" t="s">
        <v>30</v>
      </c>
      <c r="H80" s="509" t="s">
        <v>2721</v>
      </c>
      <c r="I80" s="2"/>
      <c r="J80" s="463"/>
      <c r="K80" s="2"/>
      <c r="M80" s="519">
        <v>2.5</v>
      </c>
      <c r="N80" s="509" t="s">
        <v>2334</v>
      </c>
      <c r="O80" s="509" t="s">
        <v>2341</v>
      </c>
      <c r="P80" s="519" t="e">
        <f>(K49)</f>
        <v>#REF!</v>
      </c>
      <c r="Q80" s="509" t="s">
        <v>2334</v>
      </c>
      <c r="R80" s="519" t="e">
        <f>(M80*P80)</f>
        <v>#REF!</v>
      </c>
      <c r="AG80" s="509" t="s">
        <v>2514</v>
      </c>
    </row>
    <row r="81" spans="1:33" hidden="1">
      <c r="A81" s="521">
        <f t="shared" si="6"/>
        <v>69</v>
      </c>
      <c r="B81" s="509" t="s">
        <v>2722</v>
      </c>
      <c r="C81" s="492" t="e">
        <f t="shared" si="8"/>
        <v>#REF!</v>
      </c>
      <c r="D81" s="490" t="s">
        <v>2334</v>
      </c>
      <c r="E81" s="2"/>
      <c r="F81" s="519">
        <v>10</v>
      </c>
      <c r="G81" s="518" t="s">
        <v>2334</v>
      </c>
      <c r="H81" s="509" t="s">
        <v>2723</v>
      </c>
      <c r="I81" s="492">
        <f>(C61)</f>
        <v>25</v>
      </c>
      <c r="J81" s="500" t="s">
        <v>2334</v>
      </c>
      <c r="K81" s="492">
        <f>(F81*I81)</f>
        <v>250</v>
      </c>
      <c r="M81" s="519">
        <v>3.5</v>
      </c>
      <c r="N81" s="509" t="s">
        <v>2342</v>
      </c>
      <c r="O81" s="509" t="s">
        <v>2353</v>
      </c>
      <c r="P81" s="519">
        <f>(C10)</f>
        <v>150</v>
      </c>
      <c r="Q81" s="509" t="s">
        <v>2342</v>
      </c>
      <c r="R81" s="519">
        <f>(M81*P81)</f>
        <v>525</v>
      </c>
      <c r="AG81" s="509" t="s">
        <v>2514</v>
      </c>
    </row>
    <row r="82" spans="1:33" hidden="1">
      <c r="A82" s="521">
        <f t="shared" si="6"/>
        <v>70</v>
      </c>
      <c r="B82" s="509" t="s">
        <v>2724</v>
      </c>
      <c r="C82" s="492" t="e">
        <f t="shared" si="8"/>
        <v>#REF!</v>
      </c>
      <c r="D82" s="490" t="s">
        <v>2334</v>
      </c>
      <c r="E82" s="2"/>
      <c r="F82" s="519">
        <v>10</v>
      </c>
      <c r="G82" s="518" t="s">
        <v>2334</v>
      </c>
      <c r="H82" s="509" t="s">
        <v>2725</v>
      </c>
      <c r="I82" s="492">
        <f>(C61)</f>
        <v>25</v>
      </c>
      <c r="J82" s="500" t="s">
        <v>2334</v>
      </c>
      <c r="K82" s="492">
        <f>(F82*I82)</f>
        <v>250</v>
      </c>
      <c r="M82" s="519">
        <v>10.6</v>
      </c>
      <c r="N82" s="509" t="s">
        <v>2342</v>
      </c>
      <c r="O82" s="509" t="s">
        <v>2343</v>
      </c>
      <c r="P82" s="519">
        <f>(C11)</f>
        <v>135</v>
      </c>
      <c r="Q82" s="509" t="s">
        <v>2342</v>
      </c>
      <c r="R82" s="519">
        <f>(M82*P82)</f>
        <v>1431</v>
      </c>
      <c r="AG82" s="509" t="s">
        <v>2514</v>
      </c>
    </row>
    <row r="83" spans="1:33" hidden="1">
      <c r="A83" s="521">
        <f t="shared" si="6"/>
        <v>71</v>
      </c>
      <c r="B83" s="509" t="s">
        <v>2726</v>
      </c>
      <c r="C83" s="492">
        <f t="shared" si="8"/>
        <v>4500</v>
      </c>
      <c r="D83" s="490" t="s">
        <v>2408</v>
      </c>
      <c r="E83" s="2">
        <v>3550</v>
      </c>
      <c r="F83" s="519">
        <v>10</v>
      </c>
      <c r="G83" s="518" t="s">
        <v>2334</v>
      </c>
      <c r="H83" s="509" t="s">
        <v>2727</v>
      </c>
      <c r="I83" s="492">
        <f>(C26)/3</f>
        <v>2.9333333333333336</v>
      </c>
      <c r="J83" s="500" t="s">
        <v>2334</v>
      </c>
      <c r="K83" s="492">
        <f>(F83*I83)</f>
        <v>29.333333333333336</v>
      </c>
      <c r="M83" s="519">
        <v>7.1</v>
      </c>
      <c r="N83" s="509" t="s">
        <v>2342</v>
      </c>
      <c r="O83" s="509" t="s">
        <v>2344</v>
      </c>
      <c r="P83" s="519">
        <f>(C12)</f>
        <v>95</v>
      </c>
      <c r="Q83" s="509" t="s">
        <v>2342</v>
      </c>
      <c r="R83" s="519">
        <f>(M83*P83)</f>
        <v>674.5</v>
      </c>
      <c r="AG83" s="509" t="s">
        <v>2514</v>
      </c>
    </row>
    <row r="84" spans="1:33" hidden="1">
      <c r="A84" s="521">
        <f t="shared" si="6"/>
        <v>72</v>
      </c>
      <c r="B84" s="509" t="s">
        <v>2728</v>
      </c>
      <c r="C84" s="492">
        <f t="shared" si="8"/>
        <v>773</v>
      </c>
      <c r="D84" s="490" t="s">
        <v>2334</v>
      </c>
      <c r="E84" s="2"/>
      <c r="G84" s="518" t="s">
        <v>2346</v>
      </c>
      <c r="H84" s="509" t="s">
        <v>2347</v>
      </c>
      <c r="I84" s="2"/>
      <c r="J84" s="500" t="s">
        <v>2346</v>
      </c>
      <c r="K84" s="492">
        <v>0</v>
      </c>
      <c r="M84" s="519">
        <v>21.2</v>
      </c>
      <c r="N84" s="509" t="s">
        <v>2342</v>
      </c>
      <c r="O84" s="509" t="s">
        <v>2345</v>
      </c>
      <c r="P84" s="519">
        <f>(C13)</f>
        <v>85</v>
      </c>
      <c r="Q84" s="509" t="s">
        <v>2342</v>
      </c>
      <c r="R84" s="519">
        <f>(M84*P84)</f>
        <v>1802</v>
      </c>
      <c r="AG84" s="509" t="s">
        <v>2514</v>
      </c>
    </row>
    <row r="85" spans="1:33" hidden="1">
      <c r="A85" s="521">
        <f t="shared" si="6"/>
        <v>73</v>
      </c>
      <c r="B85" s="509" t="s">
        <v>2592</v>
      </c>
      <c r="C85" s="492" t="e">
        <f t="shared" si="8"/>
        <v>#REF!</v>
      </c>
      <c r="D85" s="490" t="s">
        <v>2334</v>
      </c>
      <c r="E85" s="2"/>
      <c r="I85" s="2"/>
      <c r="J85" s="463"/>
      <c r="K85" s="491" t="s">
        <v>442</v>
      </c>
      <c r="N85" s="509" t="s">
        <v>2346</v>
      </c>
      <c r="O85" s="509" t="s">
        <v>2347</v>
      </c>
      <c r="Q85" s="509" t="s">
        <v>2346</v>
      </c>
      <c r="R85" s="519">
        <v>0</v>
      </c>
      <c r="AG85" s="509" t="s">
        <v>2514</v>
      </c>
    </row>
    <row r="86" spans="1:33" hidden="1">
      <c r="A86" s="521">
        <f t="shared" si="6"/>
        <v>74</v>
      </c>
      <c r="B86" s="509" t="s">
        <v>2729</v>
      </c>
      <c r="C86" s="492">
        <f t="shared" si="8"/>
        <v>20605</v>
      </c>
      <c r="D86" s="490" t="s">
        <v>2334</v>
      </c>
      <c r="E86" s="2"/>
      <c r="H86" s="509" t="s">
        <v>2348</v>
      </c>
      <c r="I86" s="2"/>
      <c r="J86" s="463"/>
      <c r="K86" s="492">
        <f>SUM(K81:K84)</f>
        <v>529.33333333333337</v>
      </c>
      <c r="R86" s="515" t="s">
        <v>442</v>
      </c>
      <c r="AG86" s="509" t="s">
        <v>2514</v>
      </c>
    </row>
    <row r="87" spans="1:33" hidden="1">
      <c r="A87" s="521">
        <f t="shared" si="6"/>
        <v>75</v>
      </c>
      <c r="B87" s="509" t="s">
        <v>2730</v>
      </c>
      <c r="C87" s="492">
        <f t="shared" si="8"/>
        <v>23685</v>
      </c>
      <c r="D87" s="490" t="s">
        <v>2334</v>
      </c>
      <c r="E87" s="2"/>
      <c r="I87" s="2"/>
      <c r="J87" s="463"/>
      <c r="K87" s="491" t="s">
        <v>442</v>
      </c>
      <c r="O87" s="509" t="s">
        <v>2348</v>
      </c>
      <c r="R87" s="519" t="e">
        <f>SUM(R79:R85)</f>
        <v>#REF!</v>
      </c>
      <c r="AG87" s="509" t="s">
        <v>2514</v>
      </c>
    </row>
    <row r="88" spans="1:33" hidden="1">
      <c r="A88" s="521">
        <f t="shared" si="6"/>
        <v>76</v>
      </c>
      <c r="B88" s="509" t="s">
        <v>2731</v>
      </c>
      <c r="C88" s="492">
        <f t="shared" si="8"/>
        <v>65420</v>
      </c>
      <c r="D88" s="490" t="s">
        <v>2334</v>
      </c>
      <c r="E88" s="2"/>
      <c r="H88" s="531" t="s">
        <v>2732</v>
      </c>
      <c r="I88" s="473" t="s">
        <v>2327</v>
      </c>
      <c r="J88" s="532"/>
      <c r="K88" s="487">
        <f>(K86/10)</f>
        <v>52.933333333333337</v>
      </c>
      <c r="R88" s="515" t="s">
        <v>442</v>
      </c>
      <c r="AG88" s="509" t="s">
        <v>2514</v>
      </c>
    </row>
    <row r="89" spans="1:33" hidden="1">
      <c r="A89" s="521">
        <f t="shared" si="6"/>
        <v>77</v>
      </c>
      <c r="B89" s="509" t="s">
        <v>2733</v>
      </c>
      <c r="C89" s="492">
        <f t="shared" si="8"/>
        <v>57165</v>
      </c>
      <c r="D89" s="490" t="s">
        <v>2334</v>
      </c>
      <c r="E89" s="2"/>
      <c r="I89" s="473" t="s">
        <v>2328</v>
      </c>
      <c r="J89" s="532"/>
      <c r="K89" s="533">
        <f>ROUND(K88+C36,2)</f>
        <v>55.53</v>
      </c>
      <c r="O89" s="509" t="s">
        <v>2349</v>
      </c>
      <c r="R89" s="519" t="e">
        <f>(R87/10)</f>
        <v>#REF!</v>
      </c>
      <c r="AG89" s="509" t="s">
        <v>2514</v>
      </c>
    </row>
    <row r="90" spans="1:33" hidden="1">
      <c r="A90" s="521">
        <f t="shared" si="6"/>
        <v>78</v>
      </c>
      <c r="B90" s="509" t="s">
        <v>2734</v>
      </c>
      <c r="C90" s="492">
        <f t="shared" si="8"/>
        <v>63870</v>
      </c>
      <c r="D90" s="490" t="s">
        <v>2334</v>
      </c>
      <c r="E90" s="2"/>
      <c r="F90" s="524" t="s">
        <v>2735</v>
      </c>
      <c r="H90" s="534" t="s">
        <v>2736</v>
      </c>
      <c r="I90" s="473" t="s">
        <v>2327</v>
      </c>
      <c r="J90" s="532"/>
      <c r="K90" s="487">
        <f>K88-K83/10</f>
        <v>50</v>
      </c>
      <c r="R90" s="515" t="s">
        <v>29</v>
      </c>
      <c r="AG90" s="509" t="s">
        <v>2514</v>
      </c>
    </row>
    <row r="91" spans="1:33" hidden="1">
      <c r="A91" s="521">
        <f t="shared" si="6"/>
        <v>79</v>
      </c>
      <c r="B91" s="509" t="s">
        <v>2737</v>
      </c>
      <c r="C91" s="492" t="e">
        <f t="shared" si="8"/>
        <v>#REF!</v>
      </c>
      <c r="D91" s="490" t="s">
        <v>2408</v>
      </c>
      <c r="E91" s="2"/>
      <c r="I91" s="473" t="s">
        <v>2328</v>
      </c>
      <c r="J91" s="532"/>
      <c r="K91" s="533">
        <f>ROUND(K90+C36,2)</f>
        <v>52.6</v>
      </c>
      <c r="AG91" s="509" t="s">
        <v>2514</v>
      </c>
    </row>
    <row r="92" spans="1:33" hidden="1">
      <c r="C92" s="2"/>
      <c r="D92" s="2"/>
      <c r="E92" s="2"/>
      <c r="F92" s="524" t="s">
        <v>2738</v>
      </c>
      <c r="G92" s="518" t="s">
        <v>30</v>
      </c>
      <c r="H92" s="509" t="s">
        <v>2739</v>
      </c>
      <c r="I92" s="2"/>
      <c r="J92" s="463"/>
      <c r="K92" s="2"/>
    </row>
    <row r="93" spans="1:33" hidden="1">
      <c r="C93" s="2"/>
      <c r="D93" s="2"/>
      <c r="E93" s="2"/>
      <c r="F93" s="530" t="s">
        <v>30</v>
      </c>
      <c r="H93" s="515" t="s">
        <v>442</v>
      </c>
      <c r="I93" s="2"/>
      <c r="J93" s="463"/>
      <c r="K93" s="2"/>
    </row>
    <row r="94" spans="1:33" hidden="1">
      <c r="C94" s="2"/>
      <c r="D94" s="2"/>
      <c r="E94" s="2"/>
      <c r="F94" s="519">
        <v>10</v>
      </c>
      <c r="G94" s="518" t="s">
        <v>2334</v>
      </c>
      <c r="H94" s="509" t="s">
        <v>2740</v>
      </c>
      <c r="I94" s="492">
        <f>D61</f>
        <v>37.299999999999997</v>
      </c>
      <c r="J94" s="500" t="s">
        <v>2334</v>
      </c>
      <c r="K94" s="492">
        <f>(F94*I94)</f>
        <v>373</v>
      </c>
    </row>
    <row r="95" spans="1:33" hidden="1">
      <c r="C95" s="2"/>
      <c r="D95" s="2"/>
      <c r="E95" s="2"/>
      <c r="F95" s="519">
        <v>10</v>
      </c>
      <c r="G95" s="518" t="s">
        <v>2334</v>
      </c>
      <c r="H95" s="509" t="s">
        <v>2725</v>
      </c>
      <c r="I95" s="492">
        <f>D61</f>
        <v>37.299999999999997</v>
      </c>
      <c r="J95" s="500" t="s">
        <v>2334</v>
      </c>
      <c r="K95" s="492">
        <f>(F95*I95)</f>
        <v>373</v>
      </c>
    </row>
    <row r="96" spans="1:33" hidden="1">
      <c r="C96" s="2"/>
      <c r="D96" s="2"/>
      <c r="E96" s="2"/>
      <c r="F96" s="519">
        <v>10</v>
      </c>
      <c r="G96" s="518" t="s">
        <v>2334</v>
      </c>
      <c r="H96" s="509" t="s">
        <v>2727</v>
      </c>
      <c r="I96" s="492">
        <f>I83</f>
        <v>2.9333333333333336</v>
      </c>
      <c r="J96" s="500" t="s">
        <v>2334</v>
      </c>
      <c r="K96" s="492">
        <f>(F96*I96)</f>
        <v>29.333333333333336</v>
      </c>
    </row>
    <row r="97" spans="3:11" hidden="1">
      <c r="C97" s="2"/>
      <c r="D97" s="2"/>
      <c r="E97" s="2"/>
      <c r="G97" s="518" t="s">
        <v>2346</v>
      </c>
      <c r="H97" s="509" t="s">
        <v>2347</v>
      </c>
      <c r="I97" s="2"/>
      <c r="J97" s="500" t="s">
        <v>2346</v>
      </c>
      <c r="K97" s="492">
        <v>0</v>
      </c>
    </row>
    <row r="98" spans="3:11" hidden="1">
      <c r="C98" s="2"/>
      <c r="D98" s="2"/>
      <c r="E98" s="2"/>
      <c r="I98" s="2"/>
      <c r="J98" s="463"/>
      <c r="K98" s="491" t="s">
        <v>442</v>
      </c>
    </row>
    <row r="99" spans="3:11" hidden="1">
      <c r="C99" s="2"/>
      <c r="D99" s="2"/>
      <c r="E99" s="2"/>
      <c r="H99" s="509" t="s">
        <v>2348</v>
      </c>
      <c r="I99" s="2"/>
      <c r="J99" s="463"/>
      <c r="K99" s="492">
        <f>SUM(K94:K97)</f>
        <v>775.33333333333337</v>
      </c>
    </row>
    <row r="100" spans="3:11" hidden="1">
      <c r="C100" s="2"/>
      <c r="D100" s="2"/>
      <c r="E100" s="2"/>
      <c r="I100" s="2"/>
      <c r="J100" s="463"/>
      <c r="K100" s="491" t="s">
        <v>442</v>
      </c>
    </row>
    <row r="101" spans="3:11" hidden="1">
      <c r="C101" s="2"/>
      <c r="D101" s="2"/>
      <c r="E101" s="2"/>
      <c r="H101" s="531" t="s">
        <v>2732</v>
      </c>
      <c r="I101" s="473" t="s">
        <v>2327</v>
      </c>
      <c r="J101" s="532"/>
      <c r="K101" s="487">
        <f>(K99/10)</f>
        <v>77.533333333333331</v>
      </c>
    </row>
    <row r="102" spans="3:11" hidden="1">
      <c r="C102" s="2"/>
      <c r="D102" s="2"/>
      <c r="E102" s="2"/>
      <c r="I102" s="473" t="s">
        <v>2328</v>
      </c>
      <c r="J102" s="532"/>
      <c r="K102" s="533">
        <f>ROUND(K101+C36,2)</f>
        <v>80.13</v>
      </c>
    </row>
    <row r="103" spans="3:11" hidden="1">
      <c r="C103" s="2"/>
      <c r="D103" s="2"/>
      <c r="E103" s="2"/>
      <c r="I103" s="473"/>
      <c r="J103" s="532"/>
      <c r="K103" s="535"/>
    </row>
    <row r="104" spans="3:11" hidden="1">
      <c r="C104" s="2"/>
      <c r="D104" s="2"/>
      <c r="E104" s="2"/>
      <c r="F104" s="529">
        <v>1.7</v>
      </c>
      <c r="H104" s="534" t="s">
        <v>2741</v>
      </c>
      <c r="I104" s="473" t="s">
        <v>2327</v>
      </c>
      <c r="J104" s="532"/>
      <c r="K104" s="533">
        <f>ROUND(K101-K96/10,2)</f>
        <v>74.599999999999994</v>
      </c>
    </row>
    <row r="105" spans="3:11" hidden="1">
      <c r="C105" s="2"/>
      <c r="D105" s="2"/>
      <c r="E105" s="2"/>
      <c r="I105" s="473" t="s">
        <v>2328</v>
      </c>
      <c r="J105" s="532"/>
      <c r="K105" s="533">
        <f>ROUND(K104+C36,2)</f>
        <v>77.2</v>
      </c>
    </row>
    <row r="106" spans="3:11" hidden="1">
      <c r="C106" s="2"/>
      <c r="D106" s="2"/>
      <c r="E106" s="2"/>
      <c r="I106" s="2"/>
      <c r="J106" s="463"/>
      <c r="K106" s="491"/>
    </row>
    <row r="107" spans="3:11" hidden="1">
      <c r="C107" s="2"/>
      <c r="D107" s="2"/>
      <c r="E107" s="2"/>
      <c r="I107" s="2"/>
      <c r="J107" s="463"/>
      <c r="K107" s="491"/>
    </row>
    <row r="108" spans="3:11" ht="31.5" hidden="1">
      <c r="C108" s="2"/>
      <c r="D108" s="2"/>
      <c r="E108" s="2"/>
      <c r="F108" s="529">
        <v>1.5</v>
      </c>
      <c r="G108" s="518" t="s">
        <v>30</v>
      </c>
      <c r="H108" s="536" t="s">
        <v>2742</v>
      </c>
      <c r="I108" s="2"/>
      <c r="J108" s="463"/>
      <c r="K108" s="2"/>
    </row>
    <row r="109" spans="3:11" hidden="1">
      <c r="C109" s="2"/>
      <c r="D109" s="2"/>
      <c r="E109" s="2"/>
      <c r="I109" s="2"/>
      <c r="J109" s="463"/>
      <c r="K109" s="2"/>
    </row>
    <row r="110" spans="3:11" hidden="1">
      <c r="C110" s="2"/>
      <c r="D110" s="2"/>
      <c r="E110" s="2"/>
      <c r="F110" s="519">
        <v>10</v>
      </c>
      <c r="G110" s="518" t="s">
        <v>2334</v>
      </c>
      <c r="H110" s="509" t="s">
        <v>2723</v>
      </c>
      <c r="I110" s="492">
        <f>C61</f>
        <v>25</v>
      </c>
      <c r="J110" s="500" t="s">
        <v>2334</v>
      </c>
      <c r="K110" s="492">
        <f>(F110*I110)</f>
        <v>250</v>
      </c>
    </row>
    <row r="111" spans="3:11" hidden="1">
      <c r="C111" s="2"/>
      <c r="D111" s="2"/>
      <c r="E111" s="2"/>
      <c r="F111" s="519">
        <v>10</v>
      </c>
      <c r="G111" s="518" t="s">
        <v>2334</v>
      </c>
      <c r="H111" s="509" t="s">
        <v>2727</v>
      </c>
      <c r="I111" s="492">
        <f>I83</f>
        <v>2.9333333333333336</v>
      </c>
      <c r="J111" s="500" t="s">
        <v>2334</v>
      </c>
      <c r="K111" s="492">
        <f>(F111*I111)</f>
        <v>29.333333333333336</v>
      </c>
    </row>
    <row r="112" spans="3:11" hidden="1">
      <c r="C112" s="2"/>
      <c r="D112" s="2"/>
      <c r="E112" s="2"/>
      <c r="G112" s="518" t="s">
        <v>2346</v>
      </c>
      <c r="H112" s="509" t="s">
        <v>2347</v>
      </c>
      <c r="I112" s="2"/>
      <c r="J112" s="500" t="s">
        <v>2346</v>
      </c>
      <c r="K112" s="492">
        <v>0</v>
      </c>
    </row>
    <row r="113" spans="3:11" hidden="1">
      <c r="C113" s="2"/>
      <c r="D113" s="2"/>
      <c r="E113" s="2"/>
      <c r="I113" s="2"/>
      <c r="J113" s="463"/>
      <c r="K113" s="491" t="s">
        <v>442</v>
      </c>
    </row>
    <row r="114" spans="3:11" hidden="1">
      <c r="C114" s="2"/>
      <c r="D114" s="2"/>
      <c r="E114" s="2"/>
      <c r="H114" s="509" t="s">
        <v>2348</v>
      </c>
      <c r="I114" s="2"/>
      <c r="J114" s="463"/>
      <c r="K114" s="492">
        <f>SUM(K110:K112)</f>
        <v>279.33333333333331</v>
      </c>
    </row>
    <row r="115" spans="3:11" hidden="1">
      <c r="C115" s="2"/>
      <c r="D115" s="2"/>
      <c r="E115" s="2"/>
      <c r="I115" s="2"/>
      <c r="J115" s="463"/>
      <c r="K115" s="491" t="s">
        <v>442</v>
      </c>
    </row>
    <row r="116" spans="3:11" hidden="1">
      <c r="C116" s="2"/>
      <c r="D116" s="2"/>
      <c r="E116" s="2"/>
      <c r="H116" s="509"/>
      <c r="I116" s="2"/>
      <c r="J116" s="463"/>
      <c r="K116" s="492">
        <f>(K114/10)</f>
        <v>27.93333333333333</v>
      </c>
    </row>
    <row r="117" spans="3:11" hidden="1">
      <c r="C117" s="2"/>
      <c r="D117" s="2"/>
      <c r="E117" s="2"/>
      <c r="I117" s="2"/>
      <c r="J117" s="463"/>
      <c r="K117" s="491" t="s">
        <v>29</v>
      </c>
    </row>
    <row r="118" spans="3:11" hidden="1">
      <c r="C118" s="2"/>
      <c r="D118" s="2"/>
      <c r="E118" s="2"/>
      <c r="F118" s="524"/>
      <c r="H118" s="509" t="s">
        <v>2743</v>
      </c>
      <c r="I118" s="473" t="s">
        <v>2327</v>
      </c>
      <c r="J118" s="463"/>
      <c r="K118" s="487">
        <f>K116-K111/10</f>
        <v>24.999999999999996</v>
      </c>
    </row>
    <row r="119" spans="3:11" hidden="1">
      <c r="C119" s="2"/>
      <c r="D119" s="2"/>
      <c r="E119" s="2"/>
      <c r="I119" s="473" t="s">
        <v>2328</v>
      </c>
      <c r="J119" s="463"/>
      <c r="K119" s="533">
        <f>ROUND(K118+C36,2)</f>
        <v>27.6</v>
      </c>
    </row>
    <row r="120" spans="3:11" hidden="1">
      <c r="C120" s="2"/>
      <c r="D120" s="2"/>
      <c r="E120" s="2"/>
      <c r="I120" s="2"/>
      <c r="J120" s="463"/>
      <c r="K120" s="491"/>
    </row>
    <row r="121" spans="3:11" ht="30.75" hidden="1">
      <c r="C121" s="2"/>
      <c r="D121" s="2"/>
      <c r="E121" s="2"/>
      <c r="F121" s="537">
        <v>1.8</v>
      </c>
      <c r="H121" s="536" t="s">
        <v>2744</v>
      </c>
      <c r="I121" s="2"/>
      <c r="J121" s="463"/>
      <c r="K121" s="491"/>
    </row>
    <row r="122" spans="3:11" hidden="1">
      <c r="C122" s="2"/>
      <c r="D122" s="2"/>
      <c r="E122" s="2"/>
      <c r="I122" s="2"/>
      <c r="J122" s="463"/>
      <c r="K122" s="491"/>
    </row>
    <row r="123" spans="3:11" hidden="1">
      <c r="C123" s="2"/>
      <c r="D123" s="2"/>
      <c r="E123" s="2"/>
      <c r="F123" s="519">
        <v>10</v>
      </c>
      <c r="G123" s="518" t="s">
        <v>2334</v>
      </c>
      <c r="H123" s="509" t="s">
        <v>2740</v>
      </c>
      <c r="I123" s="2">
        <f>D61</f>
        <v>37.299999999999997</v>
      </c>
      <c r="J123" s="500" t="s">
        <v>2334</v>
      </c>
      <c r="K123" s="492">
        <f>(F123*I123)</f>
        <v>373</v>
      </c>
    </row>
    <row r="124" spans="3:11" hidden="1">
      <c r="C124" s="2"/>
      <c r="D124" s="2"/>
      <c r="E124" s="2"/>
      <c r="G124" s="512" t="s">
        <v>170</v>
      </c>
      <c r="I124" s="2"/>
      <c r="J124" s="463" t="s">
        <v>170</v>
      </c>
      <c r="K124" s="492">
        <v>0</v>
      </c>
    </row>
    <row r="125" spans="3:11" hidden="1">
      <c r="C125" s="2"/>
      <c r="D125" s="2"/>
      <c r="E125" s="2"/>
      <c r="I125" s="2"/>
      <c r="J125" s="463"/>
      <c r="K125" s="491" t="s">
        <v>442</v>
      </c>
    </row>
    <row r="126" spans="3:11" hidden="1">
      <c r="C126" s="2"/>
      <c r="D126" s="2"/>
      <c r="E126" s="2"/>
      <c r="H126" s="509" t="s">
        <v>2348</v>
      </c>
      <c r="I126" s="2"/>
      <c r="J126" s="463"/>
      <c r="K126" s="492">
        <f>SUM(K123:K124)</f>
        <v>373</v>
      </c>
    </row>
    <row r="127" spans="3:11" hidden="1">
      <c r="C127" s="2"/>
      <c r="D127" s="2"/>
      <c r="E127" s="2"/>
      <c r="I127" s="2"/>
      <c r="J127" s="463"/>
      <c r="K127" s="491" t="s">
        <v>442</v>
      </c>
    </row>
    <row r="128" spans="3:11" ht="31.5" hidden="1">
      <c r="C128" s="2"/>
      <c r="D128" s="2"/>
      <c r="E128" s="2"/>
      <c r="F128" s="538"/>
      <c r="H128" s="539" t="s">
        <v>2745</v>
      </c>
      <c r="I128" s="473" t="s">
        <v>2327</v>
      </c>
      <c r="J128" s="463"/>
      <c r="K128" s="533">
        <f>ROUND(K126/10,2)</f>
        <v>37.299999999999997</v>
      </c>
    </row>
    <row r="129" spans="1:33" hidden="1">
      <c r="C129" s="2"/>
      <c r="D129" s="2"/>
      <c r="E129" s="2"/>
      <c r="I129" s="473" t="s">
        <v>2328</v>
      </c>
      <c r="J129" s="463"/>
      <c r="K129" s="533">
        <f>ROUND(K128+C36,2)</f>
        <v>39.9</v>
      </c>
    </row>
    <row r="130" spans="1:33" hidden="1">
      <c r="C130" s="2"/>
      <c r="D130" s="2"/>
      <c r="E130" s="2"/>
      <c r="I130" s="473"/>
      <c r="J130" s="463"/>
      <c r="K130" s="491"/>
    </row>
    <row r="131" spans="1:33" hidden="1">
      <c r="C131" s="2"/>
      <c r="D131" s="2"/>
      <c r="E131" s="2"/>
      <c r="F131" s="529">
        <v>1.6</v>
      </c>
      <c r="H131" s="509" t="s">
        <v>2329</v>
      </c>
      <c r="I131" s="473"/>
      <c r="J131" s="463"/>
      <c r="K131" s="2"/>
    </row>
    <row r="132" spans="1:33" hidden="1">
      <c r="C132" s="2"/>
      <c r="D132" s="2"/>
      <c r="E132" s="2"/>
      <c r="H132" s="509" t="s">
        <v>2330</v>
      </c>
      <c r="I132" s="473" t="s">
        <v>2327</v>
      </c>
      <c r="J132" s="463"/>
      <c r="K132" s="487">
        <f>C61*1.5</f>
        <v>37.5</v>
      </c>
    </row>
    <row r="133" spans="1:33" hidden="1">
      <c r="C133" s="2"/>
      <c r="D133" s="2"/>
      <c r="E133" s="2"/>
      <c r="F133" s="509" t="s">
        <v>30</v>
      </c>
      <c r="H133" s="509" t="s">
        <v>2331</v>
      </c>
      <c r="I133" s="473" t="s">
        <v>2328</v>
      </c>
      <c r="J133" s="463"/>
      <c r="K133" s="533">
        <f>ROUND(K132+C36,2)</f>
        <v>40.1</v>
      </c>
    </row>
    <row r="134" spans="1:33" hidden="1">
      <c r="C134" s="2"/>
      <c r="D134" s="2"/>
      <c r="E134" s="2"/>
      <c r="I134" s="2"/>
      <c r="J134" s="463"/>
      <c r="K134" s="491" t="s">
        <v>29</v>
      </c>
    </row>
    <row r="135" spans="1:33" hidden="1">
      <c r="C135" s="2"/>
      <c r="D135" s="2"/>
      <c r="E135" s="2"/>
      <c r="I135" s="2"/>
      <c r="J135" s="463"/>
      <c r="K135" s="2"/>
    </row>
    <row r="136" spans="1:33" hidden="1">
      <c r="A136" s="521">
        <f>(A91+1)</f>
        <v>80</v>
      </c>
      <c r="B136" s="509" t="s">
        <v>2746</v>
      </c>
      <c r="C136" s="492">
        <f>AC30</f>
        <v>8240</v>
      </c>
      <c r="D136" s="492">
        <v>13.87</v>
      </c>
      <c r="E136" s="490" t="s">
        <v>30</v>
      </c>
      <c r="F136" s="510" t="s">
        <v>2332</v>
      </c>
      <c r="G136" s="518" t="s">
        <v>575</v>
      </c>
      <c r="H136" s="509" t="s">
        <v>2333</v>
      </c>
      <c r="I136" s="2"/>
      <c r="J136" s="463"/>
      <c r="K136" s="2"/>
      <c r="N136" s="509" t="s">
        <v>2747</v>
      </c>
      <c r="O136" s="509" t="s">
        <v>2354</v>
      </c>
      <c r="R136" s="519" t="e">
        <f>(R89+C19)</f>
        <v>#REF!</v>
      </c>
      <c r="AG136" s="509" t="s">
        <v>2514</v>
      </c>
    </row>
    <row r="137" spans="1:33" hidden="1">
      <c r="A137" s="521">
        <f t="shared" ref="A137:A142" si="9">(A136+1)</f>
        <v>81</v>
      </c>
      <c r="B137" s="509" t="s">
        <v>2748</v>
      </c>
      <c r="C137" s="492">
        <f>AC33</f>
        <v>26500</v>
      </c>
      <c r="D137" s="490" t="s">
        <v>2516</v>
      </c>
      <c r="E137" s="2"/>
      <c r="H137" s="509" t="s">
        <v>2749</v>
      </c>
      <c r="I137" s="2"/>
      <c r="J137" s="463"/>
      <c r="K137" s="2"/>
      <c r="N137" s="509" t="s">
        <v>2750</v>
      </c>
      <c r="O137" s="509" t="s">
        <v>2362</v>
      </c>
      <c r="R137" s="519" t="e">
        <f>(R136+C20)</f>
        <v>#REF!</v>
      </c>
      <c r="AG137" s="509" t="s">
        <v>2514</v>
      </c>
    </row>
    <row r="138" spans="1:33" hidden="1">
      <c r="A138" s="521">
        <f t="shared" si="9"/>
        <v>82</v>
      </c>
      <c r="B138" s="509" t="s">
        <v>2751</v>
      </c>
      <c r="C138" s="492">
        <f>AC32</f>
        <v>28000</v>
      </c>
      <c r="D138" s="490" t="s">
        <v>2516</v>
      </c>
      <c r="E138" s="2"/>
      <c r="H138" s="515" t="s">
        <v>442</v>
      </c>
      <c r="I138" s="2"/>
      <c r="J138" s="463"/>
      <c r="K138" s="2"/>
      <c r="N138" s="509" t="s">
        <v>2752</v>
      </c>
      <c r="O138" s="509" t="s">
        <v>2480</v>
      </c>
      <c r="R138" s="519" t="e">
        <f>(R137+C21)</f>
        <v>#REF!</v>
      </c>
      <c r="AG138" s="509" t="s">
        <v>2514</v>
      </c>
    </row>
    <row r="139" spans="1:33" hidden="1">
      <c r="A139" s="521">
        <f t="shared" si="9"/>
        <v>83</v>
      </c>
      <c r="B139" s="509" t="s">
        <v>2753</v>
      </c>
      <c r="C139" s="492">
        <f>AC33</f>
        <v>26500</v>
      </c>
      <c r="D139" s="490" t="s">
        <v>2516</v>
      </c>
      <c r="E139" s="2"/>
      <c r="F139" s="519">
        <v>1</v>
      </c>
      <c r="G139" s="518" t="s">
        <v>2334</v>
      </c>
      <c r="H139" s="509" t="s">
        <v>2335</v>
      </c>
      <c r="I139" s="492" t="e">
        <f>C79</f>
        <v>#REF!</v>
      </c>
      <c r="J139" s="500" t="s">
        <v>2334</v>
      </c>
      <c r="K139" s="492" t="e">
        <f>(F139*I139)</f>
        <v>#REF!</v>
      </c>
      <c r="N139" s="509" t="s">
        <v>2754</v>
      </c>
      <c r="O139" s="509" t="s">
        <v>2481</v>
      </c>
      <c r="R139" s="519" t="e">
        <f>(R138+C21)</f>
        <v>#REF!</v>
      </c>
      <c r="AG139" s="509" t="s">
        <v>2514</v>
      </c>
    </row>
    <row r="140" spans="1:33" hidden="1">
      <c r="A140" s="521">
        <f t="shared" si="9"/>
        <v>84</v>
      </c>
      <c r="B140" s="509" t="s">
        <v>2755</v>
      </c>
      <c r="C140" s="492">
        <f>AC38</f>
        <v>169</v>
      </c>
      <c r="D140" s="490" t="s">
        <v>2334</v>
      </c>
      <c r="E140" s="2"/>
      <c r="F140" s="519">
        <v>1</v>
      </c>
      <c r="G140" s="518" t="s">
        <v>2334</v>
      </c>
      <c r="H140" s="509" t="s">
        <v>2608</v>
      </c>
      <c r="I140" s="492">
        <f>C27</f>
        <v>7.8</v>
      </c>
      <c r="J140" s="500" t="s">
        <v>2334</v>
      </c>
      <c r="K140" s="492">
        <f>(F140*I140)</f>
        <v>7.8</v>
      </c>
      <c r="O140" s="509" t="s">
        <v>368</v>
      </c>
      <c r="R140" s="519" t="e">
        <f>(R139+C21)</f>
        <v>#REF!</v>
      </c>
      <c r="AG140" s="509" t="s">
        <v>2514</v>
      </c>
    </row>
    <row r="141" spans="1:33" hidden="1">
      <c r="A141" s="521">
        <f t="shared" si="9"/>
        <v>85</v>
      </c>
      <c r="B141" s="509" t="s">
        <v>2756</v>
      </c>
      <c r="C141" s="492">
        <f>I255</f>
        <v>12224.58</v>
      </c>
      <c r="D141" s="490" t="s">
        <v>2516</v>
      </c>
      <c r="E141" s="2"/>
      <c r="G141" s="518" t="s">
        <v>2346</v>
      </c>
      <c r="H141" s="509" t="s">
        <v>2347</v>
      </c>
      <c r="I141" s="490" t="s">
        <v>30</v>
      </c>
      <c r="J141" s="500" t="s">
        <v>2346</v>
      </c>
      <c r="K141" s="492">
        <v>0</v>
      </c>
      <c r="N141" s="509" t="s">
        <v>575</v>
      </c>
      <c r="O141" s="509" t="s">
        <v>2757</v>
      </c>
      <c r="AG141" s="509" t="s">
        <v>2514</v>
      </c>
    </row>
    <row r="142" spans="1:33" hidden="1">
      <c r="A142" s="521">
        <f t="shared" si="9"/>
        <v>86</v>
      </c>
      <c r="B142" s="509" t="s">
        <v>2370</v>
      </c>
      <c r="C142" s="492">
        <v>30000</v>
      </c>
      <c r="D142" s="490" t="s">
        <v>2516</v>
      </c>
      <c r="E142" s="2"/>
      <c r="I142" s="2"/>
      <c r="J142" s="463"/>
      <c r="K142" s="491" t="s">
        <v>442</v>
      </c>
      <c r="O142" s="509" t="s">
        <v>2717</v>
      </c>
      <c r="AG142" s="509" t="s">
        <v>2514</v>
      </c>
    </row>
    <row r="143" spans="1:33" hidden="1">
      <c r="B143" s="509" t="s">
        <v>30</v>
      </c>
      <c r="C143" s="2"/>
      <c r="D143" s="2"/>
      <c r="E143" s="2"/>
      <c r="H143" s="509" t="s">
        <v>2336</v>
      </c>
      <c r="I143" s="2"/>
      <c r="J143" s="463"/>
      <c r="K143" s="492" t="e">
        <f>SUM(K137:K141)</f>
        <v>#REF!</v>
      </c>
      <c r="O143" s="515" t="s">
        <v>442</v>
      </c>
      <c r="AG143" s="509" t="s">
        <v>2514</v>
      </c>
    </row>
    <row r="144" spans="1:33" hidden="1">
      <c r="A144" s="521">
        <f>(A142+1)</f>
        <v>87</v>
      </c>
      <c r="B144" s="509" t="s">
        <v>2758</v>
      </c>
      <c r="C144" s="492">
        <v>7.5</v>
      </c>
      <c r="D144" s="490" t="s">
        <v>2346</v>
      </c>
      <c r="E144" s="2"/>
      <c r="I144" s="2"/>
      <c r="J144" s="463"/>
      <c r="K144" s="491" t="s">
        <v>442</v>
      </c>
      <c r="M144" s="519">
        <v>4600</v>
      </c>
      <c r="N144" s="509" t="s">
        <v>2351</v>
      </c>
      <c r="O144" s="509" t="s">
        <v>2717</v>
      </c>
      <c r="P144" s="519" t="e">
        <f>(C91)</f>
        <v>#REF!</v>
      </c>
      <c r="Q144" s="509" t="s">
        <v>2352</v>
      </c>
      <c r="R144" s="519" t="e">
        <f>(M144*P144)/1000</f>
        <v>#REF!</v>
      </c>
      <c r="AG144" s="509" t="s">
        <v>2514</v>
      </c>
    </row>
    <row r="145" spans="3:11" hidden="1">
      <c r="C145" s="2"/>
      <c r="D145" s="2"/>
      <c r="E145" s="2"/>
      <c r="F145" s="510" t="s">
        <v>2759</v>
      </c>
      <c r="G145" s="518" t="s">
        <v>575</v>
      </c>
      <c r="H145" s="509" t="s">
        <v>2760</v>
      </c>
      <c r="I145" s="2"/>
      <c r="J145" s="463"/>
      <c r="K145" s="2"/>
    </row>
    <row r="146" spans="3:11" hidden="1">
      <c r="C146" s="2"/>
      <c r="D146" s="2"/>
      <c r="E146" s="2"/>
      <c r="H146" s="509" t="s">
        <v>2761</v>
      </c>
      <c r="I146" s="2"/>
      <c r="J146" s="463"/>
      <c r="K146" s="2"/>
    </row>
    <row r="147" spans="3:11" hidden="1">
      <c r="C147" s="2"/>
      <c r="D147" s="2"/>
      <c r="E147" s="2"/>
      <c r="H147" s="509" t="s">
        <v>2762</v>
      </c>
      <c r="I147" s="2"/>
      <c r="J147" s="463"/>
      <c r="K147" s="2"/>
    </row>
    <row r="148" spans="3:11" hidden="1">
      <c r="C148" s="2"/>
      <c r="D148" s="2"/>
      <c r="E148" s="2"/>
      <c r="H148" s="509" t="s">
        <v>2763</v>
      </c>
      <c r="I148" s="2"/>
      <c r="J148" s="463"/>
      <c r="K148" s="2"/>
    </row>
    <row r="149" spans="3:11" hidden="1">
      <c r="C149" s="2"/>
      <c r="D149" s="2"/>
      <c r="E149" s="2"/>
      <c r="H149" s="509" t="s">
        <v>2764</v>
      </c>
      <c r="I149" s="2"/>
      <c r="J149" s="463"/>
      <c r="K149" s="2"/>
    </row>
    <row r="150" spans="3:11" hidden="1">
      <c r="C150" s="2"/>
      <c r="D150" s="2"/>
      <c r="E150" s="2"/>
      <c r="H150" s="515" t="s">
        <v>442</v>
      </c>
      <c r="I150" s="2"/>
      <c r="J150" s="463"/>
      <c r="K150" s="2"/>
    </row>
    <row r="151" spans="3:11" hidden="1">
      <c r="C151" s="2"/>
      <c r="D151" s="2"/>
      <c r="E151" s="2"/>
      <c r="F151" s="519">
        <v>0.7</v>
      </c>
      <c r="G151" s="518" t="s">
        <v>2334</v>
      </c>
      <c r="H151" s="509" t="s">
        <v>2590</v>
      </c>
      <c r="I151" s="492" t="e">
        <f>C79</f>
        <v>#REF!</v>
      </c>
      <c r="J151" s="500" t="s">
        <v>2334</v>
      </c>
      <c r="K151" s="492" t="e">
        <f t="shared" ref="K151:K156" si="10">(F151*I151)</f>
        <v>#REF!</v>
      </c>
    </row>
    <row r="152" spans="3:11" hidden="1">
      <c r="C152" s="2"/>
      <c r="D152" s="2"/>
      <c r="E152" s="2"/>
      <c r="F152" s="519">
        <v>0.7</v>
      </c>
      <c r="G152" s="518" t="s">
        <v>2334</v>
      </c>
      <c r="H152" s="509" t="s">
        <v>2765</v>
      </c>
      <c r="I152" s="492">
        <f>C783</f>
        <v>3.05</v>
      </c>
      <c r="J152" s="500" t="s">
        <v>2334</v>
      </c>
      <c r="K152" s="492">
        <f t="shared" si="10"/>
        <v>2.1349999999999998</v>
      </c>
    </row>
    <row r="153" spans="3:11" hidden="1">
      <c r="C153" s="2"/>
      <c r="D153" s="2"/>
      <c r="E153" s="2"/>
      <c r="F153" s="519">
        <v>0.72</v>
      </c>
      <c r="G153" s="518" t="s">
        <v>2334</v>
      </c>
      <c r="H153" s="509" t="s">
        <v>2766</v>
      </c>
      <c r="I153" s="492">
        <f>C35</f>
        <v>169</v>
      </c>
      <c r="J153" s="500" t="s">
        <v>2334</v>
      </c>
      <c r="K153" s="492">
        <f t="shared" si="10"/>
        <v>121.67999999999999</v>
      </c>
    </row>
    <row r="154" spans="3:11" hidden="1">
      <c r="C154" s="2"/>
      <c r="D154" s="2"/>
      <c r="E154" s="2"/>
      <c r="F154" s="519">
        <v>0.72</v>
      </c>
      <c r="G154" s="518" t="s">
        <v>2334</v>
      </c>
      <c r="H154" s="509" t="s">
        <v>2765</v>
      </c>
      <c r="I154" s="492">
        <f>C783</f>
        <v>3.05</v>
      </c>
      <c r="J154" s="500" t="s">
        <v>2334</v>
      </c>
      <c r="K154" s="492">
        <f t="shared" si="10"/>
        <v>2.1959999999999997</v>
      </c>
    </row>
    <row r="155" spans="3:11" hidden="1">
      <c r="C155" s="2"/>
      <c r="D155" s="2"/>
      <c r="E155" s="2"/>
      <c r="F155" s="519">
        <v>1</v>
      </c>
      <c r="G155" s="518" t="s">
        <v>2334</v>
      </c>
      <c r="H155" s="509" t="s">
        <v>2601</v>
      </c>
      <c r="I155" s="492">
        <f>C18</f>
        <v>26</v>
      </c>
      <c r="J155" s="500" t="s">
        <v>2334</v>
      </c>
      <c r="K155" s="492">
        <f t="shared" si="10"/>
        <v>26</v>
      </c>
    </row>
    <row r="156" spans="3:11" hidden="1">
      <c r="C156" s="2"/>
      <c r="D156" s="2"/>
      <c r="E156" s="2"/>
      <c r="F156" s="519">
        <v>1</v>
      </c>
      <c r="G156" s="518" t="s">
        <v>2334</v>
      </c>
      <c r="H156" s="509" t="s">
        <v>2767</v>
      </c>
      <c r="I156" s="492">
        <v>6.05</v>
      </c>
      <c r="J156" s="500" t="s">
        <v>2334</v>
      </c>
      <c r="K156" s="492">
        <f t="shared" si="10"/>
        <v>6.05</v>
      </c>
    </row>
    <row r="157" spans="3:11" hidden="1">
      <c r="C157" s="2"/>
      <c r="D157" s="2"/>
      <c r="E157" s="2"/>
      <c r="H157" s="509" t="s">
        <v>2768</v>
      </c>
      <c r="I157" s="2"/>
      <c r="J157" s="463"/>
      <c r="K157" s="2"/>
    </row>
    <row r="158" spans="3:11" hidden="1">
      <c r="C158" s="2"/>
      <c r="D158" s="2"/>
      <c r="E158" s="2"/>
      <c r="G158" s="518" t="s">
        <v>2346</v>
      </c>
      <c r="H158" s="509" t="s">
        <v>2347</v>
      </c>
      <c r="I158" s="490" t="s">
        <v>30</v>
      </c>
      <c r="J158" s="500" t="s">
        <v>2346</v>
      </c>
      <c r="K158" s="492">
        <v>0</v>
      </c>
    </row>
    <row r="159" spans="3:11" hidden="1">
      <c r="C159" s="2"/>
      <c r="D159" s="2"/>
      <c r="E159" s="2"/>
      <c r="I159" s="2"/>
      <c r="J159" s="463"/>
      <c r="K159" s="491" t="s">
        <v>442</v>
      </c>
    </row>
    <row r="160" spans="3:11" hidden="1">
      <c r="C160" s="2"/>
      <c r="D160" s="2"/>
      <c r="E160" s="2"/>
      <c r="H160" s="509" t="s">
        <v>2336</v>
      </c>
      <c r="I160" s="2"/>
      <c r="J160" s="463"/>
      <c r="K160" s="492" t="e">
        <f>SUM(K151:K158)</f>
        <v>#REF!</v>
      </c>
    </row>
    <row r="161" spans="1:11" hidden="1">
      <c r="C161" s="2"/>
      <c r="D161" s="2"/>
      <c r="E161" s="2"/>
      <c r="I161" s="2"/>
      <c r="J161" s="463"/>
      <c r="K161" s="491" t="s">
        <v>442</v>
      </c>
    </row>
    <row r="162" spans="1:11" hidden="1">
      <c r="C162" s="2"/>
      <c r="D162" s="2"/>
      <c r="E162" s="2"/>
      <c r="H162" s="509" t="s">
        <v>30</v>
      </c>
      <c r="I162" s="2"/>
      <c r="J162" s="463"/>
      <c r="K162" s="490" t="s">
        <v>30</v>
      </c>
    </row>
    <row r="163" spans="1:11" hidden="1">
      <c r="C163" s="2"/>
      <c r="D163" s="2"/>
      <c r="E163" s="2"/>
      <c r="I163" s="2"/>
      <c r="J163" s="463"/>
      <c r="K163" s="490" t="s">
        <v>30</v>
      </c>
    </row>
    <row r="164" spans="1:11" hidden="1">
      <c r="A164" s="540">
        <v>2.2999999999999998</v>
      </c>
      <c r="B164" s="509" t="s">
        <v>2769</v>
      </c>
      <c r="C164" s="2" t="e">
        <f>AC19+I167</f>
        <v>#REF!</v>
      </c>
      <c r="D164" s="2"/>
      <c r="E164" s="2"/>
      <c r="F164" s="529">
        <v>2.6</v>
      </c>
      <c r="G164" s="518" t="s">
        <v>575</v>
      </c>
      <c r="H164" s="509" t="s">
        <v>2770</v>
      </c>
      <c r="I164" s="2"/>
      <c r="J164" s="463"/>
      <c r="K164" s="2"/>
    </row>
    <row r="165" spans="1:11" hidden="1">
      <c r="A165" s="540">
        <v>2.4</v>
      </c>
      <c r="B165" s="509" t="s">
        <v>2771</v>
      </c>
      <c r="C165" s="2" t="e">
        <f>AC20+I167</f>
        <v>#REF!</v>
      </c>
      <c r="D165" s="2"/>
      <c r="E165" s="2"/>
      <c r="H165" s="515" t="s">
        <v>442</v>
      </c>
      <c r="I165" s="2"/>
      <c r="J165" s="463"/>
      <c r="K165" s="2"/>
    </row>
    <row r="166" spans="1:11" hidden="1">
      <c r="C166" s="2"/>
      <c r="D166" s="2"/>
      <c r="E166" s="2"/>
      <c r="F166" s="519">
        <v>1</v>
      </c>
      <c r="G166" s="518" t="s">
        <v>2334</v>
      </c>
      <c r="H166" s="509" t="s">
        <v>2772</v>
      </c>
      <c r="I166" s="492" t="e">
        <f>AC15</f>
        <v>#REF!</v>
      </c>
      <c r="J166" s="500" t="s">
        <v>2334</v>
      </c>
      <c r="K166" s="492" t="e">
        <f>(F166*I166)</f>
        <v>#REF!</v>
      </c>
    </row>
    <row r="167" spans="1:11" hidden="1">
      <c r="C167" s="2"/>
      <c r="D167" s="2"/>
      <c r="E167" s="2"/>
      <c r="F167" s="519">
        <v>1</v>
      </c>
      <c r="G167" s="518" t="s">
        <v>2334</v>
      </c>
      <c r="H167" s="509" t="s">
        <v>2608</v>
      </c>
      <c r="I167" s="492">
        <f>C26</f>
        <v>8.8000000000000007</v>
      </c>
      <c r="J167" s="500" t="s">
        <v>2334</v>
      </c>
      <c r="K167" s="492">
        <f>(F167*I167)</f>
        <v>8.8000000000000007</v>
      </c>
    </row>
    <row r="168" spans="1:11" hidden="1">
      <c r="C168" s="2"/>
      <c r="D168" s="2"/>
      <c r="E168" s="2"/>
      <c r="G168" s="518" t="s">
        <v>2346</v>
      </c>
      <c r="H168" s="509" t="s">
        <v>2347</v>
      </c>
      <c r="I168" s="490" t="s">
        <v>30</v>
      </c>
      <c r="J168" s="500" t="s">
        <v>2346</v>
      </c>
      <c r="K168" s="492">
        <v>0</v>
      </c>
    </row>
    <row r="169" spans="1:11" hidden="1">
      <c r="C169" s="2"/>
      <c r="D169" s="2"/>
      <c r="E169" s="2"/>
      <c r="I169" s="2"/>
      <c r="J169" s="463"/>
      <c r="K169" s="491" t="s">
        <v>442</v>
      </c>
    </row>
    <row r="170" spans="1:11" hidden="1">
      <c r="C170" s="2"/>
      <c r="D170" s="2"/>
      <c r="E170" s="2"/>
      <c r="H170" s="509" t="s">
        <v>2336</v>
      </c>
      <c r="I170" s="2"/>
      <c r="J170" s="463"/>
      <c r="K170" s="492" t="e">
        <f>SUM(K165:K168)</f>
        <v>#REF!</v>
      </c>
    </row>
    <row r="171" spans="1:11" hidden="1">
      <c r="C171" s="2"/>
      <c r="D171" s="2"/>
      <c r="E171" s="2"/>
      <c r="I171" s="2"/>
      <c r="J171" s="463"/>
      <c r="K171" s="491" t="s">
        <v>442</v>
      </c>
    </row>
    <row r="172" spans="1:11" hidden="1">
      <c r="C172" s="2"/>
      <c r="D172" s="2"/>
      <c r="E172" s="2"/>
      <c r="F172" s="529">
        <v>2.7</v>
      </c>
      <c r="G172" s="518" t="s">
        <v>575</v>
      </c>
      <c r="H172" s="509" t="s">
        <v>2773</v>
      </c>
      <c r="I172" s="2"/>
      <c r="J172" s="463"/>
      <c r="K172" s="2"/>
    </row>
    <row r="173" spans="1:11" hidden="1">
      <c r="C173" s="2"/>
      <c r="D173" s="2"/>
      <c r="E173" s="2"/>
      <c r="H173" s="515" t="s">
        <v>442</v>
      </c>
      <c r="I173" s="2"/>
      <c r="J173" s="463"/>
      <c r="K173" s="2"/>
    </row>
    <row r="174" spans="1:11" hidden="1">
      <c r="C174" s="2"/>
      <c r="D174" s="2"/>
      <c r="E174" s="2"/>
      <c r="F174" s="519">
        <v>1</v>
      </c>
      <c r="G174" s="518" t="s">
        <v>2334</v>
      </c>
      <c r="H174" s="509" t="s">
        <v>2774</v>
      </c>
      <c r="I174" s="492" t="e">
        <f>AC14</f>
        <v>#REF!</v>
      </c>
      <c r="J174" s="500" t="s">
        <v>2334</v>
      </c>
      <c r="K174" s="492" t="e">
        <f>(F174*I174)</f>
        <v>#REF!</v>
      </c>
    </row>
    <row r="175" spans="1:11" hidden="1">
      <c r="C175" s="2"/>
      <c r="D175" s="2"/>
      <c r="E175" s="2"/>
      <c r="F175" s="519">
        <v>1</v>
      </c>
      <c r="G175" s="518" t="s">
        <v>2334</v>
      </c>
      <c r="H175" s="509" t="s">
        <v>2608</v>
      </c>
      <c r="I175" s="492">
        <f>C26</f>
        <v>8.8000000000000007</v>
      </c>
      <c r="J175" s="500" t="s">
        <v>2334</v>
      </c>
      <c r="K175" s="492">
        <f>(F175*I175)</f>
        <v>8.8000000000000007</v>
      </c>
    </row>
    <row r="176" spans="1:11" hidden="1">
      <c r="C176" s="2"/>
      <c r="D176" s="2"/>
      <c r="E176" s="2"/>
      <c r="G176" s="518" t="s">
        <v>2346</v>
      </c>
      <c r="H176" s="509" t="s">
        <v>2347</v>
      </c>
      <c r="I176" s="490" t="s">
        <v>30</v>
      </c>
      <c r="J176" s="500" t="s">
        <v>2346</v>
      </c>
      <c r="K176" s="492">
        <v>0</v>
      </c>
    </row>
    <row r="177" spans="1:33" hidden="1">
      <c r="C177" s="2"/>
      <c r="D177" s="2"/>
      <c r="E177" s="2"/>
      <c r="I177" s="2"/>
      <c r="J177" s="463"/>
      <c r="K177" s="491" t="s">
        <v>442</v>
      </c>
    </row>
    <row r="178" spans="1:33" hidden="1">
      <c r="C178" s="2"/>
      <c r="D178" s="2"/>
      <c r="E178" s="2"/>
      <c r="H178" s="509" t="s">
        <v>2336</v>
      </c>
      <c r="I178" s="2"/>
      <c r="J178" s="463"/>
      <c r="K178" s="492" t="e">
        <f>SUM(K173:K176)</f>
        <v>#REF!</v>
      </c>
    </row>
    <row r="179" spans="1:33" hidden="1">
      <c r="A179" s="521">
        <f>(A144+1)</f>
        <v>88</v>
      </c>
      <c r="B179" s="509" t="s">
        <v>2775</v>
      </c>
      <c r="C179" s="492">
        <v>15.25</v>
      </c>
      <c r="D179" s="490" t="s">
        <v>40</v>
      </c>
      <c r="E179" s="2"/>
      <c r="I179" s="2"/>
      <c r="J179" s="463"/>
      <c r="K179" s="491" t="s">
        <v>442</v>
      </c>
      <c r="M179" s="519">
        <v>2.5</v>
      </c>
      <c r="N179" s="509" t="s">
        <v>2334</v>
      </c>
      <c r="O179" s="509" t="s">
        <v>2685</v>
      </c>
      <c r="P179" s="519" t="e">
        <f>(K58)</f>
        <v>#REF!</v>
      </c>
      <c r="Q179" s="509" t="s">
        <v>2334</v>
      </c>
      <c r="R179" s="519" t="e">
        <f>(M179*P179)</f>
        <v>#REF!</v>
      </c>
      <c r="AG179" s="509" t="s">
        <v>2514</v>
      </c>
    </row>
    <row r="180" spans="1:33" hidden="1">
      <c r="A180" s="521">
        <f>(A179+1)</f>
        <v>89</v>
      </c>
      <c r="B180" s="509" t="s">
        <v>2776</v>
      </c>
      <c r="C180" s="492">
        <v>110</v>
      </c>
      <c r="D180" s="490" t="s">
        <v>40</v>
      </c>
      <c r="E180" s="2"/>
      <c r="H180" s="509" t="s">
        <v>30</v>
      </c>
      <c r="I180" s="2"/>
      <c r="J180" s="463"/>
      <c r="K180" s="2"/>
      <c r="M180" s="519">
        <v>3.5</v>
      </c>
      <c r="N180" s="509" t="s">
        <v>2342</v>
      </c>
      <c r="O180" s="509" t="s">
        <v>2353</v>
      </c>
      <c r="P180" s="519">
        <f>(C10)</f>
        <v>150</v>
      </c>
      <c r="Q180" s="509" t="s">
        <v>2342</v>
      </c>
      <c r="R180" s="519">
        <f>(M180*P180)</f>
        <v>525</v>
      </c>
      <c r="AG180" s="509" t="s">
        <v>2514</v>
      </c>
    </row>
    <row r="181" spans="1:33" hidden="1">
      <c r="C181" s="2"/>
      <c r="D181" s="2"/>
      <c r="E181" s="2"/>
      <c r="F181" s="510" t="s">
        <v>2777</v>
      </c>
      <c r="H181" s="509" t="s">
        <v>2778</v>
      </c>
      <c r="I181" s="2"/>
      <c r="J181" s="463"/>
      <c r="K181" s="2"/>
    </row>
    <row r="182" spans="1:33" hidden="1">
      <c r="C182" s="2"/>
      <c r="D182" s="2"/>
      <c r="E182" s="2"/>
      <c r="I182" s="2"/>
      <c r="J182" s="463"/>
      <c r="K182" s="2"/>
    </row>
    <row r="183" spans="1:33" hidden="1">
      <c r="C183" s="2"/>
      <c r="D183" s="2"/>
      <c r="E183" s="2"/>
      <c r="F183" s="519">
        <v>1</v>
      </c>
      <c r="G183" s="518" t="s">
        <v>2334</v>
      </c>
      <c r="H183" s="509" t="s">
        <v>2779</v>
      </c>
      <c r="I183" s="492">
        <f>C35</f>
        <v>169</v>
      </c>
      <c r="J183" s="500" t="s">
        <v>2334</v>
      </c>
      <c r="K183" s="492">
        <f>(F183*I183)</f>
        <v>169</v>
      </c>
    </row>
    <row r="184" spans="1:33" hidden="1">
      <c r="C184" s="2"/>
      <c r="D184" s="2"/>
      <c r="E184" s="2"/>
      <c r="F184" s="519">
        <v>1</v>
      </c>
      <c r="G184" s="518" t="s">
        <v>2334</v>
      </c>
      <c r="H184" s="509" t="s">
        <v>2765</v>
      </c>
      <c r="I184" s="492">
        <f>C783</f>
        <v>3.05</v>
      </c>
      <c r="J184" s="500" t="s">
        <v>2334</v>
      </c>
      <c r="K184" s="492">
        <f>(F184*I184)</f>
        <v>3.05</v>
      </c>
    </row>
    <row r="185" spans="1:33" hidden="1">
      <c r="C185" s="2"/>
      <c r="D185" s="2"/>
      <c r="E185" s="2"/>
      <c r="F185" s="519">
        <v>1</v>
      </c>
      <c r="G185" s="518" t="s">
        <v>2334</v>
      </c>
      <c r="H185" s="509" t="s">
        <v>2767</v>
      </c>
      <c r="I185" s="492">
        <v>6.05</v>
      </c>
      <c r="J185" s="500" t="s">
        <v>2334</v>
      </c>
      <c r="K185" s="492">
        <f>(F185*I185)</f>
        <v>6.05</v>
      </c>
    </row>
    <row r="186" spans="1:33" hidden="1">
      <c r="C186" s="2"/>
      <c r="D186" s="2"/>
      <c r="E186" s="2"/>
      <c r="H186" s="509" t="s">
        <v>2768</v>
      </c>
      <c r="I186" s="2"/>
      <c r="J186" s="463"/>
      <c r="K186" s="2"/>
    </row>
    <row r="187" spans="1:33" hidden="1">
      <c r="C187" s="2"/>
      <c r="D187" s="2"/>
      <c r="E187" s="2"/>
      <c r="I187" s="2"/>
      <c r="J187" s="463"/>
      <c r="K187" s="491" t="s">
        <v>442</v>
      </c>
    </row>
    <row r="188" spans="1:33" hidden="1">
      <c r="C188" s="2"/>
      <c r="D188" s="2"/>
      <c r="E188" s="2"/>
      <c r="H188" s="509" t="s">
        <v>2336</v>
      </c>
      <c r="I188" s="2"/>
      <c r="J188" s="463"/>
      <c r="K188" s="492">
        <f>SUM(K181:K186)</f>
        <v>178.10000000000002</v>
      </c>
    </row>
    <row r="189" spans="1:33" hidden="1">
      <c r="C189" s="2"/>
      <c r="D189" s="2"/>
      <c r="E189" s="2"/>
      <c r="F189" s="509" t="s">
        <v>30</v>
      </c>
      <c r="I189" s="2"/>
      <c r="J189" s="463"/>
      <c r="K189" s="491" t="s">
        <v>442</v>
      </c>
    </row>
    <row r="190" spans="1:33" hidden="1">
      <c r="C190" s="2"/>
      <c r="D190" s="2"/>
      <c r="E190" s="2"/>
      <c r="I190" s="2"/>
      <c r="J190" s="463"/>
      <c r="K190" s="490" t="s">
        <v>30</v>
      </c>
    </row>
    <row r="191" spans="1:33" hidden="1">
      <c r="A191" s="521">
        <f>(A180+1)</f>
        <v>90</v>
      </c>
      <c r="B191" s="509" t="s">
        <v>2780</v>
      </c>
      <c r="C191" s="492">
        <v>65</v>
      </c>
      <c r="D191" s="490" t="s">
        <v>2781</v>
      </c>
      <c r="E191" s="2"/>
      <c r="F191" s="510" t="s">
        <v>2337</v>
      </c>
      <c r="G191" s="518" t="s">
        <v>575</v>
      </c>
      <c r="H191" s="509" t="s">
        <v>2338</v>
      </c>
      <c r="I191" s="2"/>
      <c r="J191" s="463"/>
      <c r="K191" s="2"/>
      <c r="M191" s="519">
        <v>10.6</v>
      </c>
      <c r="N191" s="509" t="s">
        <v>2342</v>
      </c>
      <c r="O191" s="509" t="s">
        <v>2343</v>
      </c>
      <c r="P191" s="519">
        <f>(C11)</f>
        <v>135</v>
      </c>
      <c r="Q191" s="509" t="s">
        <v>2342</v>
      </c>
      <c r="R191" s="519">
        <f>(M191*P191)</f>
        <v>1431</v>
      </c>
      <c r="AG191" s="509" t="s">
        <v>2514</v>
      </c>
    </row>
    <row r="192" spans="1:33" hidden="1">
      <c r="A192" s="521">
        <f t="shared" ref="A192:A207" si="11">(A191+1)</f>
        <v>91</v>
      </c>
      <c r="B192" s="509" t="s">
        <v>2782</v>
      </c>
      <c r="C192" s="492">
        <v>25</v>
      </c>
      <c r="D192" s="490" t="s">
        <v>2781</v>
      </c>
      <c r="E192" s="2"/>
      <c r="H192" s="509" t="s">
        <v>2339</v>
      </c>
      <c r="I192" s="2"/>
      <c r="J192" s="463"/>
      <c r="K192" s="2"/>
      <c r="M192" s="519">
        <v>7.1</v>
      </c>
      <c r="N192" s="509" t="s">
        <v>2342</v>
      </c>
      <c r="O192" s="509" t="s">
        <v>2344</v>
      </c>
      <c r="P192" s="519">
        <f>(C12)</f>
        <v>95</v>
      </c>
      <c r="Q192" s="509" t="s">
        <v>2342</v>
      </c>
      <c r="R192" s="519">
        <f>(M192*P192)</f>
        <v>674.5</v>
      </c>
      <c r="AG192" s="509" t="s">
        <v>2514</v>
      </c>
    </row>
    <row r="193" spans="1:33" hidden="1">
      <c r="A193" s="521">
        <f t="shared" si="11"/>
        <v>92</v>
      </c>
      <c r="B193" s="509" t="s">
        <v>2783</v>
      </c>
      <c r="C193" s="492">
        <v>210</v>
      </c>
      <c r="D193" s="490" t="s">
        <v>2781</v>
      </c>
      <c r="E193" s="2"/>
      <c r="H193" s="515" t="s">
        <v>442</v>
      </c>
      <c r="I193" s="2"/>
      <c r="J193" s="463"/>
      <c r="K193" s="2"/>
      <c r="M193" s="519">
        <v>21.2</v>
      </c>
      <c r="N193" s="509" t="s">
        <v>2342</v>
      </c>
      <c r="O193" s="509" t="s">
        <v>2345</v>
      </c>
      <c r="P193" s="519">
        <f>(C13)</f>
        <v>85</v>
      </c>
      <c r="Q193" s="509" t="s">
        <v>2342</v>
      </c>
      <c r="R193" s="519">
        <f>(M193*P193)</f>
        <v>1802</v>
      </c>
      <c r="AG193" s="509" t="s">
        <v>2514</v>
      </c>
    </row>
    <row r="194" spans="1:33" hidden="1">
      <c r="A194" s="521">
        <f t="shared" si="11"/>
        <v>93</v>
      </c>
      <c r="B194" s="509" t="s">
        <v>2784</v>
      </c>
      <c r="C194" s="492">
        <v>160</v>
      </c>
      <c r="D194" s="492">
        <v>96.11</v>
      </c>
      <c r="E194" s="2"/>
      <c r="F194" s="519">
        <v>9</v>
      </c>
      <c r="G194" s="518" t="s">
        <v>2334</v>
      </c>
      <c r="H194" s="509" t="s">
        <v>2340</v>
      </c>
      <c r="I194" s="492" t="e">
        <f>(C74)</f>
        <v>#REF!</v>
      </c>
      <c r="J194" s="500" t="s">
        <v>2334</v>
      </c>
      <c r="K194" s="492" t="e">
        <f>(F194*I194)</f>
        <v>#REF!</v>
      </c>
      <c r="N194" s="509" t="s">
        <v>2346</v>
      </c>
      <c r="O194" s="509" t="s">
        <v>2347</v>
      </c>
      <c r="Q194" s="509" t="s">
        <v>2346</v>
      </c>
      <c r="R194" s="519">
        <v>0</v>
      </c>
      <c r="AG194" s="509" t="s">
        <v>2514</v>
      </c>
    </row>
    <row r="195" spans="1:33" hidden="1">
      <c r="A195" s="521">
        <f t="shared" si="11"/>
        <v>94</v>
      </c>
      <c r="B195" s="509" t="s">
        <v>2785</v>
      </c>
      <c r="C195" s="492">
        <v>100</v>
      </c>
      <c r="D195" s="490" t="s">
        <v>2781</v>
      </c>
      <c r="E195" s="2"/>
      <c r="F195" s="519">
        <v>4.5</v>
      </c>
      <c r="G195" s="518" t="s">
        <v>2334</v>
      </c>
      <c r="H195" s="509" t="s">
        <v>2341</v>
      </c>
      <c r="I195" s="492" t="e">
        <f>(K49)</f>
        <v>#REF!</v>
      </c>
      <c r="J195" s="500" t="s">
        <v>2334</v>
      </c>
      <c r="K195" s="492" t="e">
        <f>(F195*I195)</f>
        <v>#REF!</v>
      </c>
      <c r="R195" s="515" t="s">
        <v>442</v>
      </c>
      <c r="AG195" s="509" t="s">
        <v>2514</v>
      </c>
    </row>
    <row r="196" spans="1:33" hidden="1">
      <c r="A196" s="521">
        <f t="shared" si="11"/>
        <v>95</v>
      </c>
      <c r="B196" s="509" t="s">
        <v>2786</v>
      </c>
      <c r="C196" s="492">
        <v>0.25</v>
      </c>
      <c r="D196" s="490" t="s">
        <v>2342</v>
      </c>
      <c r="E196" s="2"/>
      <c r="F196" s="519">
        <v>1.8</v>
      </c>
      <c r="G196" s="518" t="s">
        <v>2342</v>
      </c>
      <c r="H196" s="509" t="s">
        <v>2343</v>
      </c>
      <c r="I196" s="492">
        <f>(C11)</f>
        <v>135</v>
      </c>
      <c r="J196" s="500" t="s">
        <v>2342</v>
      </c>
      <c r="K196" s="492">
        <f>(F196*I196)</f>
        <v>243</v>
      </c>
      <c r="O196" s="509" t="s">
        <v>2348</v>
      </c>
      <c r="R196" s="519" t="e">
        <f>SUM(R144:R194)</f>
        <v>#REF!</v>
      </c>
      <c r="AG196" s="509" t="s">
        <v>2514</v>
      </c>
    </row>
    <row r="197" spans="1:33" hidden="1">
      <c r="A197" s="521">
        <f t="shared" si="11"/>
        <v>96</v>
      </c>
      <c r="B197" s="509" t="s">
        <v>2787</v>
      </c>
      <c r="C197" s="492">
        <v>22.6</v>
      </c>
      <c r="D197" s="490" t="s">
        <v>2788</v>
      </c>
      <c r="E197" s="2"/>
      <c r="F197" s="519">
        <v>17.7</v>
      </c>
      <c r="G197" s="518" t="s">
        <v>2342</v>
      </c>
      <c r="H197" s="509" t="s">
        <v>2344</v>
      </c>
      <c r="I197" s="492">
        <f>(C12)</f>
        <v>95</v>
      </c>
      <c r="J197" s="500" t="s">
        <v>2342</v>
      </c>
      <c r="K197" s="492">
        <f>(F197*I197)</f>
        <v>1681.5</v>
      </c>
      <c r="R197" s="515" t="s">
        <v>442</v>
      </c>
      <c r="AG197" s="509" t="s">
        <v>2514</v>
      </c>
    </row>
    <row r="198" spans="1:33" hidden="1">
      <c r="A198" s="521">
        <f t="shared" si="11"/>
        <v>97</v>
      </c>
      <c r="B198" s="509" t="s">
        <v>2789</v>
      </c>
      <c r="C198" s="492">
        <v>212</v>
      </c>
      <c r="D198" s="490" t="s">
        <v>2788</v>
      </c>
      <c r="E198" s="2"/>
      <c r="F198" s="519">
        <v>14.1</v>
      </c>
      <c r="G198" s="518" t="s">
        <v>2342</v>
      </c>
      <c r="H198" s="509" t="s">
        <v>2345</v>
      </c>
      <c r="I198" s="492">
        <f>(C13)</f>
        <v>85</v>
      </c>
      <c r="J198" s="500" t="s">
        <v>2342</v>
      </c>
      <c r="K198" s="492">
        <f>(F198*I198)</f>
        <v>1198.5</v>
      </c>
      <c r="O198" s="509" t="s">
        <v>2349</v>
      </c>
      <c r="R198" s="519" t="e">
        <f>(R196/10)</f>
        <v>#REF!</v>
      </c>
      <c r="AG198" s="509" t="s">
        <v>2514</v>
      </c>
    </row>
    <row r="199" spans="1:33" hidden="1">
      <c r="A199" s="521">
        <f t="shared" si="11"/>
        <v>98</v>
      </c>
      <c r="B199" s="509" t="s">
        <v>2790</v>
      </c>
      <c r="C199" s="492">
        <v>85</v>
      </c>
      <c r="D199" s="490" t="s">
        <v>2359</v>
      </c>
      <c r="E199" s="2"/>
      <c r="G199" s="518" t="s">
        <v>2346</v>
      </c>
      <c r="H199" s="509" t="s">
        <v>2347</v>
      </c>
      <c r="I199" s="2"/>
      <c r="J199" s="500" t="s">
        <v>2346</v>
      </c>
      <c r="K199" s="492">
        <v>0</v>
      </c>
      <c r="R199" s="515" t="s">
        <v>29</v>
      </c>
      <c r="AG199" s="509" t="s">
        <v>2514</v>
      </c>
    </row>
    <row r="200" spans="1:33" hidden="1">
      <c r="A200" s="521">
        <f t="shared" si="11"/>
        <v>99</v>
      </c>
      <c r="B200" s="509" t="s">
        <v>2791</v>
      </c>
      <c r="C200" s="492">
        <v>750</v>
      </c>
      <c r="D200" s="490" t="s">
        <v>2359</v>
      </c>
      <c r="E200" s="2"/>
      <c r="I200" s="2"/>
      <c r="J200" s="463"/>
      <c r="K200" s="491" t="s">
        <v>442</v>
      </c>
      <c r="AG200" s="509" t="s">
        <v>2514</v>
      </c>
    </row>
    <row r="201" spans="1:33" hidden="1">
      <c r="A201" s="521">
        <f t="shared" si="11"/>
        <v>100</v>
      </c>
      <c r="B201" s="509" t="s">
        <v>2792</v>
      </c>
      <c r="C201" s="492">
        <v>47.2</v>
      </c>
      <c r="D201" s="490" t="s">
        <v>2359</v>
      </c>
      <c r="E201" s="2"/>
      <c r="I201" s="2"/>
      <c r="J201" s="463"/>
      <c r="K201" s="492" t="e">
        <f>SUM(K194:K199)</f>
        <v>#REF!</v>
      </c>
      <c r="N201" s="509" t="s">
        <v>2793</v>
      </c>
      <c r="O201" s="509" t="s">
        <v>2354</v>
      </c>
      <c r="R201" s="519" t="e">
        <f>(R198+C19)</f>
        <v>#REF!</v>
      </c>
      <c r="AG201" s="509" t="s">
        <v>2514</v>
      </c>
    </row>
    <row r="202" spans="1:33" hidden="1">
      <c r="A202" s="521">
        <f t="shared" si="11"/>
        <v>101</v>
      </c>
      <c r="B202" s="509" t="s">
        <v>2794</v>
      </c>
      <c r="C202" s="492">
        <v>75</v>
      </c>
      <c r="D202" s="490" t="s">
        <v>2359</v>
      </c>
      <c r="E202" s="2"/>
      <c r="H202" s="509" t="s">
        <v>2348</v>
      </c>
      <c r="I202" s="2"/>
      <c r="J202" s="463"/>
      <c r="K202" s="491" t="s">
        <v>442</v>
      </c>
      <c r="N202" s="509" t="s">
        <v>2795</v>
      </c>
      <c r="O202" s="509" t="s">
        <v>2362</v>
      </c>
      <c r="R202" s="519" t="e">
        <f>(R201+C20)</f>
        <v>#REF!</v>
      </c>
      <c r="AG202" s="509" t="s">
        <v>2690</v>
      </c>
    </row>
    <row r="203" spans="1:33" hidden="1">
      <c r="A203" s="521">
        <f t="shared" si="11"/>
        <v>102</v>
      </c>
      <c r="B203" s="509" t="s">
        <v>2796</v>
      </c>
      <c r="C203" s="492">
        <v>40</v>
      </c>
      <c r="D203" s="490" t="s">
        <v>2359</v>
      </c>
      <c r="E203" s="2"/>
      <c r="I203" s="2"/>
      <c r="J203" s="463"/>
      <c r="K203" s="492" t="e">
        <f>(K201/10)</f>
        <v>#REF!</v>
      </c>
      <c r="N203" s="509" t="s">
        <v>2797</v>
      </c>
      <c r="O203" s="509" t="s">
        <v>2480</v>
      </c>
      <c r="R203" s="519" t="e">
        <f>(R202+C21)</f>
        <v>#REF!</v>
      </c>
    </row>
    <row r="204" spans="1:33" hidden="1">
      <c r="A204" s="521">
        <f t="shared" si="11"/>
        <v>103</v>
      </c>
      <c r="B204" s="509" t="s">
        <v>2798</v>
      </c>
      <c r="C204" s="492">
        <v>65</v>
      </c>
      <c r="D204" s="490" t="s">
        <v>2359</v>
      </c>
      <c r="E204" s="2"/>
      <c r="H204" s="509" t="s">
        <v>2349</v>
      </c>
      <c r="I204" s="2"/>
      <c r="J204" s="463"/>
      <c r="K204" s="491" t="s">
        <v>29</v>
      </c>
      <c r="N204" s="509" t="s">
        <v>2799</v>
      </c>
      <c r="O204" s="509" t="s">
        <v>2481</v>
      </c>
      <c r="R204" s="519" t="e">
        <f>(R203+C21)</f>
        <v>#REF!</v>
      </c>
    </row>
    <row r="205" spans="1:33" hidden="1">
      <c r="A205" s="521">
        <f t="shared" si="11"/>
        <v>104</v>
      </c>
      <c r="B205" s="509" t="s">
        <v>2800</v>
      </c>
      <c r="C205" s="492">
        <v>65</v>
      </c>
      <c r="D205" s="490" t="s">
        <v>2359</v>
      </c>
      <c r="E205" s="2"/>
      <c r="I205" s="2"/>
      <c r="J205" s="463"/>
      <c r="K205" s="2"/>
      <c r="AG205" s="509" t="s">
        <v>2514</v>
      </c>
    </row>
    <row r="206" spans="1:33" hidden="1">
      <c r="A206" s="521">
        <f t="shared" si="11"/>
        <v>105</v>
      </c>
      <c r="B206" s="509" t="s">
        <v>2801</v>
      </c>
      <c r="C206" s="492">
        <v>150</v>
      </c>
      <c r="D206" s="490" t="s">
        <v>2802</v>
      </c>
      <c r="E206" s="2"/>
      <c r="F206" s="510" t="s">
        <v>2803</v>
      </c>
      <c r="G206" s="518" t="s">
        <v>575</v>
      </c>
      <c r="H206" s="509" t="s">
        <v>2804</v>
      </c>
      <c r="I206" s="2"/>
      <c r="J206" s="463"/>
      <c r="K206" s="2"/>
    </row>
    <row r="207" spans="1:33" hidden="1">
      <c r="A207" s="521">
        <f t="shared" si="11"/>
        <v>106</v>
      </c>
      <c r="B207" s="509" t="s">
        <v>2805</v>
      </c>
      <c r="C207" s="492">
        <v>100</v>
      </c>
      <c r="D207" s="490" t="s">
        <v>2359</v>
      </c>
      <c r="E207" s="2"/>
      <c r="H207" s="509" t="s">
        <v>2702</v>
      </c>
      <c r="I207" s="2"/>
      <c r="J207" s="463"/>
      <c r="K207" s="2"/>
      <c r="N207" s="509" t="s">
        <v>2806</v>
      </c>
      <c r="O207" s="509" t="s">
        <v>2807</v>
      </c>
    </row>
    <row r="208" spans="1:33" hidden="1">
      <c r="C208" s="2"/>
      <c r="D208" s="2"/>
      <c r="E208" s="2"/>
      <c r="H208" s="515" t="s">
        <v>442</v>
      </c>
      <c r="I208" s="2"/>
      <c r="J208" s="463"/>
      <c r="K208" s="2"/>
      <c r="O208" s="515" t="s">
        <v>442</v>
      </c>
    </row>
    <row r="209" spans="3:18" hidden="1">
      <c r="C209" s="2"/>
      <c r="D209" s="2"/>
      <c r="E209" s="2"/>
      <c r="F209" s="519">
        <v>9</v>
      </c>
      <c r="G209" s="518" t="s">
        <v>2334</v>
      </c>
      <c r="H209" s="509" t="s">
        <v>2808</v>
      </c>
      <c r="I209" s="492" t="e">
        <f>C73</f>
        <v>#REF!</v>
      </c>
      <c r="J209" s="500" t="s">
        <v>2334</v>
      </c>
      <c r="K209" s="492" t="e">
        <f>(F209*I209)</f>
        <v>#REF!</v>
      </c>
      <c r="M209" s="541">
        <v>1.153E-2</v>
      </c>
      <c r="N209" s="509" t="s">
        <v>2334</v>
      </c>
      <c r="O209" s="509" t="s">
        <v>2809</v>
      </c>
      <c r="P209" s="519">
        <f>C88</f>
        <v>65420</v>
      </c>
      <c r="Q209" s="509" t="s">
        <v>2334</v>
      </c>
      <c r="R209" s="519">
        <f t="shared" ref="R209:R218" si="12">(M209*P209)</f>
        <v>754.29259999999999</v>
      </c>
    </row>
    <row r="210" spans="3:18" hidden="1">
      <c r="C210" s="2"/>
      <c r="D210" s="2"/>
      <c r="E210" s="2"/>
      <c r="F210" s="519">
        <v>4.5</v>
      </c>
      <c r="G210" s="518" t="s">
        <v>2334</v>
      </c>
      <c r="H210" s="509" t="s">
        <v>2554</v>
      </c>
      <c r="I210" s="492" t="e">
        <f>K23</f>
        <v>#REF!</v>
      </c>
      <c r="J210" s="500" t="s">
        <v>2334</v>
      </c>
      <c r="K210" s="492" t="e">
        <f>(F210*I210)</f>
        <v>#REF!</v>
      </c>
      <c r="M210" s="541">
        <v>1.013E-2</v>
      </c>
      <c r="N210" s="509" t="s">
        <v>2334</v>
      </c>
      <c r="O210" s="509" t="s">
        <v>2810</v>
      </c>
      <c r="P210" s="519">
        <f>C89</f>
        <v>57165</v>
      </c>
      <c r="Q210" s="509" t="s">
        <v>2334</v>
      </c>
      <c r="R210" s="519">
        <f t="shared" si="12"/>
        <v>579.08145000000002</v>
      </c>
    </row>
    <row r="211" spans="3:18" hidden="1">
      <c r="C211" s="2"/>
      <c r="D211" s="2"/>
      <c r="E211" s="2"/>
      <c r="F211" s="519">
        <v>1.8</v>
      </c>
      <c r="G211" s="518" t="s">
        <v>2342</v>
      </c>
      <c r="H211" s="509" t="s">
        <v>2343</v>
      </c>
      <c r="I211" s="492">
        <f>C11</f>
        <v>135</v>
      </c>
      <c r="J211" s="500" t="s">
        <v>2342</v>
      </c>
      <c r="K211" s="492">
        <f>(F211*I211)</f>
        <v>243</v>
      </c>
      <c r="M211" s="541">
        <v>0.77780000000000005</v>
      </c>
      <c r="N211" s="509" t="s">
        <v>2788</v>
      </c>
      <c r="O211" s="509" t="s">
        <v>2811</v>
      </c>
      <c r="P211" s="519">
        <f>C753</f>
        <v>381.37</v>
      </c>
      <c r="Q211" s="509" t="s">
        <v>2788</v>
      </c>
      <c r="R211" s="519">
        <f t="shared" si="12"/>
        <v>296.62958600000002</v>
      </c>
    </row>
    <row r="212" spans="3:18" hidden="1">
      <c r="C212" s="2"/>
      <c r="D212" s="2"/>
      <c r="E212" s="2"/>
      <c r="F212" s="519">
        <v>17.7</v>
      </c>
      <c r="G212" s="518" t="s">
        <v>2342</v>
      </c>
      <c r="H212" s="509" t="s">
        <v>2344</v>
      </c>
      <c r="I212" s="492">
        <f>C12</f>
        <v>95</v>
      </c>
      <c r="J212" s="500" t="s">
        <v>2342</v>
      </c>
      <c r="K212" s="492">
        <f>(F212*I212)</f>
        <v>1681.5</v>
      </c>
      <c r="M212" s="541">
        <v>1.23</v>
      </c>
      <c r="N212" s="509" t="s">
        <v>2788</v>
      </c>
      <c r="O212" s="509" t="s">
        <v>2812</v>
      </c>
      <c r="P212" s="519">
        <f>D30</f>
        <v>287</v>
      </c>
      <c r="Q212" s="509" t="s">
        <v>2788</v>
      </c>
      <c r="R212" s="519">
        <f t="shared" si="12"/>
        <v>353.01</v>
      </c>
    </row>
    <row r="213" spans="3:18" hidden="1">
      <c r="C213" s="2"/>
      <c r="D213" s="2"/>
      <c r="E213" s="2"/>
      <c r="F213" s="519">
        <v>14.1</v>
      </c>
      <c r="G213" s="518" t="s">
        <v>2342</v>
      </c>
      <c r="H213" s="509" t="s">
        <v>2345</v>
      </c>
      <c r="I213" s="492">
        <f>C13</f>
        <v>85</v>
      </c>
      <c r="J213" s="500" t="s">
        <v>2342</v>
      </c>
      <c r="K213" s="492">
        <f>(F213*I213)</f>
        <v>1198.5</v>
      </c>
      <c r="M213" s="519">
        <v>2</v>
      </c>
      <c r="N213" s="509" t="s">
        <v>2342</v>
      </c>
      <c r="O213" s="509" t="s">
        <v>2813</v>
      </c>
      <c r="P213" s="519">
        <f>C283</f>
        <v>30</v>
      </c>
      <c r="Q213" s="509" t="s">
        <v>2342</v>
      </c>
      <c r="R213" s="519">
        <f t="shared" si="12"/>
        <v>60</v>
      </c>
    </row>
    <row r="214" spans="3:18" hidden="1">
      <c r="C214" s="2"/>
      <c r="D214" s="2"/>
      <c r="E214" s="2"/>
      <c r="G214" s="518" t="s">
        <v>2346</v>
      </c>
      <c r="H214" s="509" t="s">
        <v>2347</v>
      </c>
      <c r="I214" s="2"/>
      <c r="J214" s="500" t="s">
        <v>2346</v>
      </c>
      <c r="K214" s="492">
        <v>0</v>
      </c>
      <c r="M214" s="519">
        <v>3</v>
      </c>
      <c r="N214" s="509" t="s">
        <v>2342</v>
      </c>
      <c r="O214" s="509" t="s">
        <v>2814</v>
      </c>
      <c r="P214" s="519">
        <f>C278</f>
        <v>45</v>
      </c>
      <c r="Q214" s="509" t="s">
        <v>2342</v>
      </c>
      <c r="R214" s="519">
        <f t="shared" si="12"/>
        <v>135</v>
      </c>
    </row>
    <row r="215" spans="3:18" hidden="1">
      <c r="C215" s="2"/>
      <c r="D215" s="2"/>
      <c r="E215" s="2"/>
      <c r="I215" s="2"/>
      <c r="J215" s="463"/>
      <c r="K215" s="491" t="s">
        <v>442</v>
      </c>
      <c r="M215" s="519">
        <v>1</v>
      </c>
      <c r="N215" s="509" t="s">
        <v>2342</v>
      </c>
      <c r="O215" s="509" t="s">
        <v>2815</v>
      </c>
      <c r="P215" s="519">
        <f>C285</f>
        <v>95</v>
      </c>
      <c r="Q215" s="509" t="s">
        <v>2342</v>
      </c>
      <c r="R215" s="519">
        <f t="shared" si="12"/>
        <v>95</v>
      </c>
    </row>
    <row r="216" spans="3:18" hidden="1">
      <c r="C216" s="2"/>
      <c r="D216" s="2"/>
      <c r="E216" s="2"/>
      <c r="I216" s="2"/>
      <c r="J216" s="463"/>
      <c r="K216" s="492" t="e">
        <f>SUM(K209:K214)</f>
        <v>#REF!</v>
      </c>
      <c r="M216" s="519">
        <v>1</v>
      </c>
      <c r="N216" s="509" t="s">
        <v>2342</v>
      </c>
      <c r="O216" s="509" t="s">
        <v>2816</v>
      </c>
      <c r="P216" s="519">
        <f>C287</f>
        <v>8</v>
      </c>
      <c r="Q216" s="509" t="s">
        <v>2342</v>
      </c>
      <c r="R216" s="519">
        <f t="shared" si="12"/>
        <v>8</v>
      </c>
    </row>
    <row r="217" spans="3:18" hidden="1">
      <c r="C217" s="2"/>
      <c r="D217" s="2"/>
      <c r="E217" s="2"/>
      <c r="H217" s="509" t="s">
        <v>2348</v>
      </c>
      <c r="I217" s="2"/>
      <c r="J217" s="463"/>
      <c r="K217" s="491" t="s">
        <v>442</v>
      </c>
      <c r="M217" s="519">
        <v>1</v>
      </c>
      <c r="N217" s="509" t="s">
        <v>2342</v>
      </c>
      <c r="O217" s="509" t="s">
        <v>2817</v>
      </c>
      <c r="P217" s="519">
        <f>C576</f>
        <v>30</v>
      </c>
      <c r="Q217" s="509" t="s">
        <v>2342</v>
      </c>
      <c r="R217" s="519">
        <f t="shared" si="12"/>
        <v>30</v>
      </c>
    </row>
    <row r="218" spans="3:18" hidden="1">
      <c r="C218" s="2"/>
      <c r="D218" s="2"/>
      <c r="E218" s="2"/>
      <c r="I218" s="2"/>
      <c r="J218" s="463"/>
      <c r="K218" s="492" t="e">
        <f>(K216/10)</f>
        <v>#REF!</v>
      </c>
      <c r="M218" s="519">
        <v>1</v>
      </c>
      <c r="N218" s="509" t="s">
        <v>2342</v>
      </c>
      <c r="O218" s="509" t="s">
        <v>2818</v>
      </c>
      <c r="P218" s="519">
        <f>D576</f>
        <v>25</v>
      </c>
      <c r="Q218" s="509" t="s">
        <v>2342</v>
      </c>
      <c r="R218" s="519">
        <f t="shared" si="12"/>
        <v>25</v>
      </c>
    </row>
    <row r="219" spans="3:18" hidden="1">
      <c r="C219" s="2"/>
      <c r="D219" s="2"/>
      <c r="E219" s="2"/>
      <c r="H219" s="509" t="s">
        <v>2349</v>
      </c>
      <c r="I219" s="2"/>
      <c r="J219" s="463"/>
      <c r="K219" s="491" t="s">
        <v>29</v>
      </c>
      <c r="R219" s="515" t="s">
        <v>442</v>
      </c>
    </row>
    <row r="220" spans="3:18" hidden="1">
      <c r="C220" s="2"/>
      <c r="D220" s="2"/>
      <c r="E220" s="2"/>
      <c r="I220" s="2"/>
      <c r="J220" s="463"/>
      <c r="K220" s="2"/>
      <c r="O220" s="510" t="s">
        <v>2819</v>
      </c>
      <c r="R220" s="519">
        <f>SUM(R209:R218)</f>
        <v>2336.0136359999997</v>
      </c>
    </row>
    <row r="221" spans="3:18" hidden="1">
      <c r="C221" s="2"/>
      <c r="D221" s="2"/>
      <c r="E221" s="2"/>
      <c r="F221" s="510" t="s">
        <v>2820</v>
      </c>
      <c r="G221" s="518" t="s">
        <v>575</v>
      </c>
      <c r="H221" s="509" t="s">
        <v>2821</v>
      </c>
      <c r="I221" s="2"/>
      <c r="J221" s="463"/>
      <c r="K221" s="2"/>
      <c r="N221" s="509" t="s">
        <v>30</v>
      </c>
      <c r="R221" s="515" t="s">
        <v>442</v>
      </c>
    </row>
    <row r="222" spans="3:18" hidden="1">
      <c r="C222" s="2"/>
      <c r="D222" s="2"/>
      <c r="E222" s="2"/>
      <c r="H222" s="509" t="s">
        <v>2822</v>
      </c>
      <c r="I222" s="2"/>
      <c r="J222" s="463"/>
      <c r="K222" s="2"/>
      <c r="M222" s="509" t="s">
        <v>30</v>
      </c>
    </row>
    <row r="223" spans="3:18" hidden="1">
      <c r="C223" s="2"/>
      <c r="D223" s="2"/>
      <c r="E223" s="2"/>
      <c r="H223" s="515" t="s">
        <v>442</v>
      </c>
      <c r="I223" s="2"/>
      <c r="J223" s="463"/>
      <c r="K223" s="2"/>
      <c r="O223" s="510" t="s">
        <v>2355</v>
      </c>
      <c r="R223" s="519">
        <f>R220/M212</f>
        <v>1899.1980780487802</v>
      </c>
    </row>
    <row r="224" spans="3:18" hidden="1">
      <c r="C224" s="2"/>
      <c r="D224" s="2"/>
      <c r="E224" s="2"/>
      <c r="F224" s="519">
        <v>9</v>
      </c>
      <c r="G224" s="518" t="s">
        <v>2334</v>
      </c>
      <c r="H224" s="509" t="s">
        <v>2823</v>
      </c>
      <c r="I224" s="492" t="e">
        <f>AC20</f>
        <v>#REF!</v>
      </c>
      <c r="J224" s="500" t="s">
        <v>2334</v>
      </c>
      <c r="K224" s="492" t="e">
        <f>(F224*I224)</f>
        <v>#REF!</v>
      </c>
      <c r="M224" s="509" t="s">
        <v>2690</v>
      </c>
    </row>
    <row r="225" spans="3:11" hidden="1">
      <c r="C225" s="2"/>
      <c r="D225" s="2"/>
      <c r="E225" s="2"/>
      <c r="F225" s="519">
        <v>4.5</v>
      </c>
      <c r="G225" s="518" t="s">
        <v>2334</v>
      </c>
      <c r="H225" s="509" t="s">
        <v>2686</v>
      </c>
      <c r="I225" s="492" t="e">
        <f>K77</f>
        <v>#REF!</v>
      </c>
      <c r="J225" s="500" t="s">
        <v>2334</v>
      </c>
      <c r="K225" s="492" t="e">
        <f>(F225*I225)</f>
        <v>#REF!</v>
      </c>
    </row>
    <row r="226" spans="3:11" hidden="1">
      <c r="C226" s="2"/>
      <c r="D226" s="2"/>
      <c r="E226" s="2"/>
      <c r="F226" s="519">
        <v>1.8</v>
      </c>
      <c r="G226" s="518" t="s">
        <v>2342</v>
      </c>
      <c r="H226" s="509" t="s">
        <v>2343</v>
      </c>
      <c r="I226" s="492">
        <f>C11</f>
        <v>135</v>
      </c>
      <c r="J226" s="500" t="s">
        <v>2342</v>
      </c>
      <c r="K226" s="492">
        <f>(F226*I226)</f>
        <v>243</v>
      </c>
    </row>
    <row r="227" spans="3:11" hidden="1">
      <c r="C227" s="2"/>
      <c r="D227" s="2"/>
      <c r="E227" s="2"/>
      <c r="F227" s="519">
        <v>17.7</v>
      </c>
      <c r="G227" s="518" t="s">
        <v>2342</v>
      </c>
      <c r="H227" s="509" t="s">
        <v>2344</v>
      </c>
      <c r="I227" s="492">
        <f>C12</f>
        <v>95</v>
      </c>
      <c r="J227" s="500" t="s">
        <v>2342</v>
      </c>
      <c r="K227" s="492">
        <f>(F227*I227)</f>
        <v>1681.5</v>
      </c>
    </row>
    <row r="228" spans="3:11" hidden="1">
      <c r="C228" s="2"/>
      <c r="D228" s="2"/>
      <c r="E228" s="2"/>
      <c r="F228" s="519">
        <v>14.1</v>
      </c>
      <c r="G228" s="518" t="s">
        <v>2342</v>
      </c>
      <c r="H228" s="509" t="s">
        <v>2345</v>
      </c>
      <c r="I228" s="492">
        <f>C13</f>
        <v>85</v>
      </c>
      <c r="J228" s="500" t="s">
        <v>2342</v>
      </c>
      <c r="K228" s="492">
        <f>(F228*I228)</f>
        <v>1198.5</v>
      </c>
    </row>
    <row r="229" spans="3:11" hidden="1">
      <c r="C229" s="2"/>
      <c r="D229" s="2"/>
      <c r="E229" s="2"/>
      <c r="G229" s="518" t="s">
        <v>2346</v>
      </c>
      <c r="H229" s="509" t="s">
        <v>2347</v>
      </c>
      <c r="I229" s="2"/>
      <c r="J229" s="500" t="s">
        <v>2346</v>
      </c>
      <c r="K229" s="492">
        <v>0</v>
      </c>
    </row>
    <row r="230" spans="3:11" hidden="1">
      <c r="C230" s="2"/>
      <c r="D230" s="2"/>
      <c r="E230" s="2"/>
      <c r="I230" s="2"/>
      <c r="J230" s="463"/>
      <c r="K230" s="491" t="s">
        <v>442</v>
      </c>
    </row>
    <row r="231" spans="3:11" hidden="1">
      <c r="C231" s="2"/>
      <c r="D231" s="2"/>
      <c r="E231" s="2"/>
      <c r="I231" s="2"/>
      <c r="J231" s="463"/>
      <c r="K231" s="492" t="e">
        <f>SUM(K224:K229)</f>
        <v>#REF!</v>
      </c>
    </row>
    <row r="232" spans="3:11" hidden="1">
      <c r="C232" s="2"/>
      <c r="D232" s="2"/>
      <c r="E232" s="2"/>
      <c r="H232" s="509" t="s">
        <v>2348</v>
      </c>
      <c r="I232" s="2"/>
      <c r="J232" s="463"/>
      <c r="K232" s="491" t="s">
        <v>442</v>
      </c>
    </row>
    <row r="233" spans="3:11" hidden="1">
      <c r="C233" s="2"/>
      <c r="D233" s="2"/>
      <c r="E233" s="2"/>
      <c r="I233" s="2"/>
      <c r="J233" s="463"/>
      <c r="K233" s="492" t="e">
        <f>(K231/10)</f>
        <v>#REF!</v>
      </c>
    </row>
    <row r="234" spans="3:11" hidden="1">
      <c r="C234" s="2"/>
      <c r="D234" s="2"/>
      <c r="E234" s="2"/>
      <c r="H234" s="509" t="s">
        <v>2349</v>
      </c>
      <c r="I234" s="2"/>
      <c r="J234" s="463"/>
      <c r="K234" s="491" t="s">
        <v>29</v>
      </c>
    </row>
    <row r="235" spans="3:11" hidden="1">
      <c r="C235" s="2"/>
      <c r="D235" s="2"/>
      <c r="E235" s="2"/>
      <c r="I235" s="2"/>
      <c r="J235" s="463"/>
      <c r="K235" s="2"/>
    </row>
    <row r="236" spans="3:11" hidden="1">
      <c r="C236" s="2"/>
      <c r="D236" s="2"/>
      <c r="E236" s="2"/>
      <c r="I236" s="2"/>
      <c r="J236" s="463"/>
      <c r="K236" s="2"/>
    </row>
    <row r="237" spans="3:11" hidden="1">
      <c r="C237" s="2"/>
      <c r="D237" s="2"/>
      <c r="E237" s="2"/>
      <c r="F237" s="529">
        <v>3.6</v>
      </c>
      <c r="H237" s="509" t="s">
        <v>2824</v>
      </c>
      <c r="I237" s="2"/>
      <c r="J237" s="463"/>
      <c r="K237" s="2"/>
    </row>
    <row r="238" spans="3:11" hidden="1">
      <c r="C238" s="2"/>
      <c r="D238" s="2"/>
      <c r="E238" s="2"/>
      <c r="H238" s="509" t="s">
        <v>2825</v>
      </c>
      <c r="I238" s="2"/>
      <c r="J238" s="463"/>
      <c r="K238" s="2"/>
    </row>
    <row r="239" spans="3:11" hidden="1">
      <c r="C239" s="2"/>
      <c r="D239" s="2"/>
      <c r="E239" s="2"/>
      <c r="H239" s="515" t="s">
        <v>29</v>
      </c>
      <c r="I239" s="2"/>
      <c r="J239" s="463"/>
      <c r="K239" s="2"/>
    </row>
    <row r="240" spans="3:11" hidden="1">
      <c r="C240" s="2"/>
      <c r="D240" s="2"/>
      <c r="E240" s="2"/>
      <c r="F240" s="519">
        <v>1.25</v>
      </c>
      <c r="G240" s="518" t="s">
        <v>2019</v>
      </c>
      <c r="H240" s="509" t="s">
        <v>2826</v>
      </c>
      <c r="I240" s="492">
        <f>C783</f>
        <v>3.05</v>
      </c>
      <c r="J240" s="500" t="s">
        <v>2019</v>
      </c>
      <c r="K240" s="492">
        <f>(F240*I240)</f>
        <v>3.8125</v>
      </c>
    </row>
    <row r="241" spans="3:11" hidden="1">
      <c r="C241" s="2"/>
      <c r="D241" s="2"/>
      <c r="E241" s="2"/>
      <c r="F241" s="519">
        <v>0.75</v>
      </c>
      <c r="G241" s="518" t="s">
        <v>2019</v>
      </c>
      <c r="H241" s="509" t="s">
        <v>2827</v>
      </c>
      <c r="I241" s="492" t="e">
        <f>AC37</f>
        <v>#REF!</v>
      </c>
      <c r="J241" s="500" t="s">
        <v>2019</v>
      </c>
      <c r="K241" s="492" t="e">
        <f>(F241*I241)</f>
        <v>#REF!</v>
      </c>
    </row>
    <row r="242" spans="3:11" hidden="1">
      <c r="C242" s="2"/>
      <c r="D242" s="2"/>
      <c r="E242" s="2"/>
      <c r="F242" s="519">
        <v>0.5</v>
      </c>
      <c r="G242" s="518" t="s">
        <v>2019</v>
      </c>
      <c r="H242" s="509" t="s">
        <v>2828</v>
      </c>
      <c r="I242" s="492" t="e">
        <f>AC36</f>
        <v>#REF!</v>
      </c>
      <c r="J242" s="500" t="s">
        <v>2019</v>
      </c>
      <c r="K242" s="492" t="e">
        <f>(F242*I242)</f>
        <v>#REF!</v>
      </c>
    </row>
    <row r="243" spans="3:11" hidden="1">
      <c r="C243" s="2"/>
      <c r="D243" s="2"/>
      <c r="E243" s="2"/>
      <c r="F243" s="519">
        <v>0.45</v>
      </c>
      <c r="G243" s="518" t="s">
        <v>2019</v>
      </c>
      <c r="H243" s="509" t="s">
        <v>2829</v>
      </c>
      <c r="I243" s="492">
        <f>AC38</f>
        <v>169</v>
      </c>
      <c r="J243" s="500" t="s">
        <v>2019</v>
      </c>
      <c r="K243" s="492">
        <f>(F243*I243)</f>
        <v>76.05</v>
      </c>
    </row>
    <row r="244" spans="3:11" hidden="1">
      <c r="C244" s="2"/>
      <c r="D244" s="2"/>
      <c r="E244" s="2"/>
      <c r="F244" s="519">
        <v>10</v>
      </c>
      <c r="G244" s="518" t="s">
        <v>2830</v>
      </c>
      <c r="H244" s="509" t="s">
        <v>2831</v>
      </c>
      <c r="I244" s="492">
        <v>17.82</v>
      </c>
      <c r="J244" s="500" t="s">
        <v>2830</v>
      </c>
      <c r="K244" s="492">
        <f>(F244*I244)</f>
        <v>178.2</v>
      </c>
    </row>
    <row r="245" spans="3:11" hidden="1">
      <c r="C245" s="2"/>
      <c r="D245" s="2"/>
      <c r="E245" s="2"/>
      <c r="H245" s="509" t="s">
        <v>2832</v>
      </c>
      <c r="I245" s="2"/>
      <c r="J245" s="463"/>
      <c r="K245" s="491" t="s">
        <v>442</v>
      </c>
    </row>
    <row r="246" spans="3:11" hidden="1">
      <c r="C246" s="2"/>
      <c r="D246" s="2"/>
      <c r="E246" s="2"/>
      <c r="H246" s="509" t="s">
        <v>2833</v>
      </c>
      <c r="I246" s="2"/>
      <c r="J246" s="463"/>
      <c r="K246" s="492" t="e">
        <f>SUM(K240:K244)</f>
        <v>#REF!</v>
      </c>
    </row>
    <row r="247" spans="3:11" hidden="1">
      <c r="C247" s="2"/>
      <c r="D247" s="2"/>
      <c r="E247" s="2"/>
      <c r="I247" s="2"/>
      <c r="J247" s="463"/>
      <c r="K247" s="491" t="s">
        <v>442</v>
      </c>
    </row>
    <row r="248" spans="3:11" hidden="1">
      <c r="C248" s="2"/>
      <c r="D248" s="2"/>
      <c r="E248" s="2"/>
      <c r="H248" s="509" t="s">
        <v>2834</v>
      </c>
      <c r="I248" s="2"/>
      <c r="J248" s="463"/>
      <c r="K248" s="492" t="e">
        <f>K246/10</f>
        <v>#REF!</v>
      </c>
    </row>
    <row r="249" spans="3:11" hidden="1">
      <c r="C249" s="2"/>
      <c r="D249" s="2"/>
      <c r="E249" s="2"/>
      <c r="I249" s="2"/>
      <c r="J249" s="463"/>
      <c r="K249" s="491" t="s">
        <v>29</v>
      </c>
    </row>
    <row r="250" spans="3:11" hidden="1">
      <c r="C250" s="2"/>
      <c r="D250" s="2"/>
      <c r="E250" s="2"/>
      <c r="I250" s="2"/>
      <c r="J250" s="463"/>
      <c r="K250" s="2"/>
    </row>
    <row r="251" spans="3:11" hidden="1">
      <c r="C251" s="2"/>
      <c r="D251" s="2"/>
      <c r="E251" s="2"/>
      <c r="F251" s="529">
        <v>3.7</v>
      </c>
      <c r="H251" s="509" t="s">
        <v>2835</v>
      </c>
      <c r="I251" s="2"/>
      <c r="J251" s="463"/>
      <c r="K251" s="2"/>
    </row>
    <row r="252" spans="3:11" hidden="1">
      <c r="C252" s="2"/>
      <c r="D252" s="2"/>
      <c r="E252" s="2"/>
      <c r="H252" s="515" t="s">
        <v>442</v>
      </c>
      <c r="I252" s="2"/>
      <c r="J252" s="463"/>
      <c r="K252" s="2"/>
    </row>
    <row r="253" spans="3:11" hidden="1">
      <c r="C253" s="2"/>
      <c r="D253" s="2"/>
      <c r="E253" s="2"/>
      <c r="F253" s="519">
        <v>2.7</v>
      </c>
      <c r="G253" s="518" t="s">
        <v>2019</v>
      </c>
      <c r="H253" s="509" t="s">
        <v>2836</v>
      </c>
      <c r="I253" s="492" t="e">
        <f>AC35</f>
        <v>#REF!</v>
      </c>
      <c r="J253" s="500" t="s">
        <v>2019</v>
      </c>
      <c r="K253" s="492" t="e">
        <f>(F253*I253)</f>
        <v>#REF!</v>
      </c>
    </row>
    <row r="254" spans="3:11" hidden="1">
      <c r="C254" s="2"/>
      <c r="D254" s="2"/>
      <c r="E254" s="2"/>
      <c r="F254" s="542">
        <v>0.14499999999999999</v>
      </c>
      <c r="G254" s="518" t="s">
        <v>2019</v>
      </c>
      <c r="H254" s="509" t="s">
        <v>52</v>
      </c>
      <c r="I254" s="492" t="e">
        <f>AC17</f>
        <v>#REF!</v>
      </c>
      <c r="J254" s="500" t="s">
        <v>2019</v>
      </c>
      <c r="K254" s="492" t="e">
        <f>(F254*I254)</f>
        <v>#REF!</v>
      </c>
    </row>
    <row r="255" spans="3:11" hidden="1">
      <c r="C255" s="2"/>
      <c r="D255" s="2"/>
      <c r="E255" s="2"/>
      <c r="F255" s="519">
        <v>218.8</v>
      </c>
      <c r="G255" s="518" t="s">
        <v>2837</v>
      </c>
      <c r="H255" s="509" t="s">
        <v>2838</v>
      </c>
      <c r="I255" s="492">
        <v>12224.58</v>
      </c>
      <c r="J255" s="500" t="s">
        <v>2837</v>
      </c>
      <c r="K255" s="492">
        <f>(F255*I255)/1000</f>
        <v>2674.7381040000005</v>
      </c>
    </row>
    <row r="256" spans="3:11" hidden="1">
      <c r="C256" s="2"/>
      <c r="D256" s="2"/>
      <c r="E256" s="2"/>
      <c r="F256" s="519">
        <v>100</v>
      </c>
      <c r="G256" s="518" t="s">
        <v>2830</v>
      </c>
      <c r="H256" s="509" t="s">
        <v>2389</v>
      </c>
      <c r="I256" s="492">
        <v>14.3</v>
      </c>
      <c r="J256" s="500" t="s">
        <v>2830</v>
      </c>
      <c r="K256" s="492">
        <f>(F256*I256)</f>
        <v>1430</v>
      </c>
    </row>
    <row r="257" spans="1:33" hidden="1">
      <c r="C257" s="2"/>
      <c r="D257" s="2"/>
      <c r="E257" s="2"/>
      <c r="I257" s="2"/>
      <c r="J257" s="463"/>
      <c r="K257" s="491" t="s">
        <v>442</v>
      </c>
    </row>
    <row r="258" spans="1:33" hidden="1">
      <c r="C258" s="2"/>
      <c r="D258" s="2"/>
      <c r="E258" s="2"/>
      <c r="H258" s="509" t="s">
        <v>2839</v>
      </c>
      <c r="I258" s="2"/>
      <c r="J258" s="463"/>
      <c r="K258" s="492" t="e">
        <f>SUM(K253:K256)</f>
        <v>#REF!</v>
      </c>
    </row>
    <row r="259" spans="1:33" hidden="1">
      <c r="C259" s="2"/>
      <c r="D259" s="2"/>
      <c r="E259" s="2"/>
      <c r="I259" s="2"/>
      <c r="J259" s="463"/>
      <c r="K259" s="491" t="s">
        <v>442</v>
      </c>
    </row>
    <row r="260" spans="1:33" hidden="1">
      <c r="C260" s="2"/>
      <c r="D260" s="2"/>
      <c r="E260" s="2"/>
      <c r="H260" s="509" t="s">
        <v>2834</v>
      </c>
      <c r="I260" s="2"/>
      <c r="J260" s="463"/>
      <c r="K260" s="492" t="e">
        <f>K258/100</f>
        <v>#REF!</v>
      </c>
    </row>
    <row r="261" spans="1:33" hidden="1">
      <c r="C261" s="2"/>
      <c r="D261" s="2"/>
      <c r="E261" s="2"/>
      <c r="F261" s="509" t="s">
        <v>30</v>
      </c>
      <c r="G261" s="518" t="s">
        <v>30</v>
      </c>
      <c r="I261" s="2"/>
      <c r="J261" s="463"/>
      <c r="K261" s="491" t="s">
        <v>29</v>
      </c>
    </row>
    <row r="262" spans="1:33" hidden="1">
      <c r="C262" s="2"/>
      <c r="D262" s="2"/>
      <c r="E262" s="2"/>
      <c r="I262" s="2"/>
      <c r="J262" s="463"/>
      <c r="K262" s="2"/>
    </row>
    <row r="263" spans="1:33" hidden="1">
      <c r="C263" s="2"/>
      <c r="D263" s="2"/>
      <c r="E263" s="2"/>
      <c r="I263" s="2"/>
      <c r="J263" s="463"/>
      <c r="K263" s="2"/>
    </row>
    <row r="264" spans="1:33" hidden="1">
      <c r="A264" s="521">
        <f>(A205+1)</f>
        <v>105</v>
      </c>
      <c r="B264" s="509" t="s">
        <v>2840</v>
      </c>
      <c r="C264" s="492">
        <v>50.5</v>
      </c>
      <c r="D264" s="490" t="s">
        <v>2359</v>
      </c>
      <c r="E264" s="2"/>
      <c r="F264" s="510" t="s">
        <v>2841</v>
      </c>
      <c r="H264" s="509" t="s">
        <v>2842</v>
      </c>
      <c r="I264" s="2"/>
      <c r="J264" s="463"/>
      <c r="K264" s="2"/>
      <c r="N264" s="509" t="s">
        <v>2843</v>
      </c>
      <c r="O264" s="509" t="s">
        <v>2844</v>
      </c>
      <c r="AG264" s="509" t="s">
        <v>2514</v>
      </c>
    </row>
    <row r="265" spans="1:33" hidden="1">
      <c r="A265" s="521">
        <f t="shared" ref="A265:A279" si="13">(A264+1)</f>
        <v>106</v>
      </c>
      <c r="B265" s="509" t="s">
        <v>2845</v>
      </c>
      <c r="C265" s="492">
        <v>115</v>
      </c>
      <c r="D265" s="490" t="s">
        <v>2359</v>
      </c>
      <c r="E265" s="2"/>
      <c r="H265" s="515" t="s">
        <v>29</v>
      </c>
      <c r="I265" s="2"/>
      <c r="J265" s="463"/>
      <c r="K265" s="2"/>
      <c r="O265" s="515" t="s">
        <v>442</v>
      </c>
      <c r="AG265" s="509" t="s">
        <v>2514</v>
      </c>
    </row>
    <row r="266" spans="1:33" hidden="1">
      <c r="A266" s="521">
        <f t="shared" si="13"/>
        <v>107</v>
      </c>
      <c r="B266" s="509" t="s">
        <v>2846</v>
      </c>
      <c r="C266" s="492">
        <v>63</v>
      </c>
      <c r="D266" s="492">
        <v>90</v>
      </c>
      <c r="E266" s="2"/>
      <c r="G266" s="518" t="s">
        <v>575</v>
      </c>
      <c r="H266" s="509" t="s">
        <v>2847</v>
      </c>
      <c r="I266" s="2"/>
      <c r="J266" s="463"/>
      <c r="K266" s="2"/>
      <c r="M266" s="519">
        <v>1.1399999999999999</v>
      </c>
      <c r="N266" s="509" t="s">
        <v>2334</v>
      </c>
      <c r="O266" s="509" t="s">
        <v>2848</v>
      </c>
      <c r="P266" s="519" t="e">
        <f>(K419)</f>
        <v>#REF!</v>
      </c>
      <c r="Q266" s="509" t="s">
        <v>2342</v>
      </c>
      <c r="R266" s="519" t="e">
        <f>(M266*P266)</f>
        <v>#REF!</v>
      </c>
      <c r="AG266" s="509" t="s">
        <v>2514</v>
      </c>
    </row>
    <row r="267" spans="1:33" hidden="1">
      <c r="A267" s="521">
        <f t="shared" si="13"/>
        <v>108</v>
      </c>
      <c r="B267" s="509" t="s">
        <v>2849</v>
      </c>
      <c r="C267" s="492">
        <v>10705</v>
      </c>
      <c r="D267" s="490" t="s">
        <v>2334</v>
      </c>
      <c r="E267" s="2"/>
      <c r="H267" s="509" t="s">
        <v>2850</v>
      </c>
      <c r="I267" s="2"/>
      <c r="J267" s="463"/>
      <c r="K267" s="2"/>
      <c r="M267" s="519">
        <v>1</v>
      </c>
      <c r="N267" s="509" t="s">
        <v>2359</v>
      </c>
      <c r="O267" s="509" t="s">
        <v>2353</v>
      </c>
      <c r="P267" s="519">
        <f>(C10)</f>
        <v>150</v>
      </c>
      <c r="Q267" s="509" t="s">
        <v>2342</v>
      </c>
      <c r="R267" s="519">
        <f>(M267*P267)</f>
        <v>150</v>
      </c>
      <c r="AG267" s="509" t="s">
        <v>2514</v>
      </c>
    </row>
    <row r="268" spans="1:33" hidden="1">
      <c r="A268" s="521">
        <f t="shared" si="13"/>
        <v>109</v>
      </c>
      <c r="B268" s="509" t="s">
        <v>2851</v>
      </c>
      <c r="C268" s="492">
        <v>9395</v>
      </c>
      <c r="D268" s="490" t="s">
        <v>2334</v>
      </c>
      <c r="E268" s="2"/>
      <c r="H268" s="515" t="s">
        <v>442</v>
      </c>
      <c r="I268" s="2"/>
      <c r="J268" s="463"/>
      <c r="K268" s="2"/>
      <c r="N268" s="509" t="s">
        <v>2346</v>
      </c>
      <c r="O268" s="509" t="s">
        <v>2347</v>
      </c>
      <c r="P268" s="509" t="s">
        <v>30</v>
      </c>
      <c r="Q268" s="509" t="s">
        <v>2346</v>
      </c>
      <c r="R268" s="519">
        <v>0.05</v>
      </c>
      <c r="AG268" s="509" t="s">
        <v>2514</v>
      </c>
    </row>
    <row r="269" spans="1:33" hidden="1">
      <c r="A269" s="521">
        <f t="shared" si="13"/>
        <v>110</v>
      </c>
      <c r="B269" s="509" t="s">
        <v>2852</v>
      </c>
      <c r="C269" s="492">
        <v>15</v>
      </c>
      <c r="D269" s="490" t="s">
        <v>2359</v>
      </c>
      <c r="E269" s="2"/>
      <c r="F269" s="519">
        <v>9</v>
      </c>
      <c r="G269" s="518" t="s">
        <v>2334</v>
      </c>
      <c r="H269" s="509" t="s">
        <v>2853</v>
      </c>
      <c r="I269" s="492" t="e">
        <f>(C73)</f>
        <v>#REF!</v>
      </c>
      <c r="J269" s="500" t="s">
        <v>2334</v>
      </c>
      <c r="K269" s="492" t="e">
        <f t="shared" ref="K269:K274" si="14">(F269*I269)</f>
        <v>#REF!</v>
      </c>
      <c r="R269" s="515" t="s">
        <v>442</v>
      </c>
      <c r="AG269" s="509" t="s">
        <v>2514</v>
      </c>
    </row>
    <row r="270" spans="1:33" hidden="1">
      <c r="A270" s="521">
        <f t="shared" si="13"/>
        <v>111</v>
      </c>
      <c r="B270" s="509" t="s">
        <v>2854</v>
      </c>
      <c r="C270" s="492">
        <v>35</v>
      </c>
      <c r="D270" s="490" t="s">
        <v>40</v>
      </c>
      <c r="E270" s="501">
        <v>120</v>
      </c>
      <c r="F270" s="528">
        <v>3.2309999999999999</v>
      </c>
      <c r="G270" s="518" t="s">
        <v>2516</v>
      </c>
      <c r="H270" s="509" t="s">
        <v>2517</v>
      </c>
      <c r="I270" s="492">
        <f>(C67)</f>
        <v>3800</v>
      </c>
      <c r="J270" s="500" t="s">
        <v>2516</v>
      </c>
      <c r="K270" s="492">
        <f t="shared" si="14"/>
        <v>12277.8</v>
      </c>
      <c r="O270" s="509" t="s">
        <v>2358</v>
      </c>
      <c r="R270" s="519" t="e">
        <f>SUM(R266:R268)</f>
        <v>#REF!</v>
      </c>
      <c r="AG270" s="509" t="s">
        <v>2514</v>
      </c>
    </row>
    <row r="271" spans="1:33" hidden="1">
      <c r="A271" s="521">
        <f t="shared" si="13"/>
        <v>112</v>
      </c>
      <c r="B271" s="509" t="s">
        <v>2855</v>
      </c>
      <c r="C271" s="492">
        <v>160</v>
      </c>
      <c r="D271" s="492">
        <v>452.09</v>
      </c>
      <c r="E271" s="2"/>
      <c r="F271" s="519">
        <v>4.5</v>
      </c>
      <c r="G271" s="518" t="s">
        <v>2334</v>
      </c>
      <c r="H271" s="509" t="s">
        <v>2525</v>
      </c>
      <c r="I271" s="492" t="e">
        <f>(C78)</f>
        <v>#REF!</v>
      </c>
      <c r="J271" s="500" t="s">
        <v>2334</v>
      </c>
      <c r="K271" s="492" t="e">
        <f t="shared" si="14"/>
        <v>#REF!</v>
      </c>
      <c r="R271" s="515" t="s">
        <v>442</v>
      </c>
      <c r="AG271" s="509" t="s">
        <v>2514</v>
      </c>
    </row>
    <row r="272" spans="1:33" hidden="1">
      <c r="A272" s="521">
        <f t="shared" si="13"/>
        <v>113</v>
      </c>
      <c r="B272" s="509" t="s">
        <v>2856</v>
      </c>
      <c r="C272" s="492">
        <v>13.5</v>
      </c>
      <c r="D272" s="490" t="s">
        <v>2205</v>
      </c>
      <c r="E272" s="2"/>
      <c r="F272" s="519">
        <v>3.5</v>
      </c>
      <c r="G272" s="518" t="s">
        <v>2342</v>
      </c>
      <c r="H272" s="509" t="s">
        <v>2343</v>
      </c>
      <c r="I272" s="492">
        <f>(C11)</f>
        <v>135</v>
      </c>
      <c r="J272" s="500" t="s">
        <v>2342</v>
      </c>
      <c r="K272" s="492">
        <f t="shared" si="14"/>
        <v>472.5</v>
      </c>
      <c r="O272" s="509" t="s">
        <v>2355</v>
      </c>
      <c r="R272" s="519" t="e">
        <f>(R270/10)</f>
        <v>#REF!</v>
      </c>
      <c r="AG272" s="509" t="s">
        <v>2514</v>
      </c>
    </row>
    <row r="273" spans="1:33" hidden="1">
      <c r="A273" s="521">
        <f t="shared" si="13"/>
        <v>114</v>
      </c>
      <c r="B273" s="509" t="s">
        <v>2857</v>
      </c>
      <c r="C273" s="492">
        <v>18.809999999999999</v>
      </c>
      <c r="D273" s="490" t="s">
        <v>2359</v>
      </c>
      <c r="E273" s="2"/>
      <c r="F273" s="519">
        <v>21.2</v>
      </c>
      <c r="G273" s="518" t="s">
        <v>2342</v>
      </c>
      <c r="H273" s="509" t="s">
        <v>2344</v>
      </c>
      <c r="I273" s="492">
        <f>(C12)</f>
        <v>95</v>
      </c>
      <c r="J273" s="500" t="s">
        <v>2342</v>
      </c>
      <c r="K273" s="492">
        <f t="shared" si="14"/>
        <v>2014</v>
      </c>
      <c r="R273" s="515" t="s">
        <v>29</v>
      </c>
      <c r="AG273" s="509" t="s">
        <v>2514</v>
      </c>
    </row>
    <row r="274" spans="1:33" hidden="1">
      <c r="A274" s="521">
        <f t="shared" si="13"/>
        <v>115</v>
      </c>
      <c r="B274" s="509" t="s">
        <v>2858</v>
      </c>
      <c r="C274" s="492">
        <v>14.15</v>
      </c>
      <c r="D274" s="490" t="s">
        <v>2359</v>
      </c>
      <c r="E274" s="2"/>
      <c r="F274" s="519">
        <v>35.299999999999997</v>
      </c>
      <c r="G274" s="518" t="s">
        <v>2342</v>
      </c>
      <c r="H274" s="509" t="s">
        <v>2345</v>
      </c>
      <c r="I274" s="492">
        <f>(C13)</f>
        <v>85</v>
      </c>
      <c r="J274" s="500" t="s">
        <v>2342</v>
      </c>
      <c r="K274" s="492">
        <f t="shared" si="14"/>
        <v>3000.4999999999995</v>
      </c>
      <c r="N274" s="509" t="s">
        <v>2859</v>
      </c>
      <c r="O274" s="509" t="s">
        <v>2354</v>
      </c>
      <c r="R274" s="519" t="e">
        <f>(R272+C19/10*M266)</f>
        <v>#REF!</v>
      </c>
      <c r="AG274" s="509" t="s">
        <v>2514</v>
      </c>
    </row>
    <row r="275" spans="1:33" hidden="1">
      <c r="A275" s="521">
        <f t="shared" si="13"/>
        <v>116</v>
      </c>
      <c r="B275" s="509" t="s">
        <v>2860</v>
      </c>
      <c r="C275" s="492">
        <v>16.440000000000001</v>
      </c>
      <c r="D275" s="490" t="s">
        <v>2359</v>
      </c>
      <c r="E275" s="2"/>
      <c r="G275" s="518" t="s">
        <v>2346</v>
      </c>
      <c r="H275" s="509" t="s">
        <v>2347</v>
      </c>
      <c r="I275" s="490" t="s">
        <v>30</v>
      </c>
      <c r="J275" s="500" t="s">
        <v>2346</v>
      </c>
      <c r="K275" s="492">
        <v>0</v>
      </c>
      <c r="N275" s="509" t="s">
        <v>2861</v>
      </c>
      <c r="O275" s="509" t="s">
        <v>2362</v>
      </c>
      <c r="R275" s="519" t="e">
        <f>(R274+C20/10*M266)</f>
        <v>#REF!</v>
      </c>
      <c r="AG275" s="509" t="s">
        <v>2514</v>
      </c>
    </row>
    <row r="276" spans="1:33" hidden="1">
      <c r="A276" s="521">
        <f t="shared" si="13"/>
        <v>117</v>
      </c>
      <c r="B276" s="509" t="s">
        <v>2862</v>
      </c>
      <c r="C276" s="492">
        <v>8</v>
      </c>
      <c r="D276" s="492">
        <v>6.25</v>
      </c>
      <c r="E276" s="2"/>
      <c r="I276" s="2"/>
      <c r="J276" s="463"/>
      <c r="K276" s="491" t="s">
        <v>442</v>
      </c>
      <c r="N276" s="509" t="s">
        <v>2863</v>
      </c>
      <c r="O276" s="509" t="s">
        <v>2480</v>
      </c>
      <c r="R276" s="519" t="e">
        <f>(R275+C21/10*M266)</f>
        <v>#REF!</v>
      </c>
      <c r="AG276" s="509" t="s">
        <v>2514</v>
      </c>
    </row>
    <row r="277" spans="1:33" hidden="1">
      <c r="A277" s="521">
        <f t="shared" si="13"/>
        <v>118</v>
      </c>
      <c r="B277" s="509" t="s">
        <v>2864</v>
      </c>
      <c r="C277" s="492">
        <v>170.39</v>
      </c>
      <c r="D277" s="490" t="s">
        <v>2788</v>
      </c>
      <c r="E277" s="2"/>
      <c r="H277" s="509" t="s">
        <v>2865</v>
      </c>
      <c r="I277" s="2"/>
      <c r="J277" s="463"/>
      <c r="K277" s="492" t="e">
        <f>SUM(K269:K275)</f>
        <v>#REF!</v>
      </c>
      <c r="N277" s="509" t="s">
        <v>2866</v>
      </c>
      <c r="O277" s="509" t="s">
        <v>2481</v>
      </c>
      <c r="R277" s="519" t="e">
        <f>(R276+C21/10*M266)</f>
        <v>#REF!</v>
      </c>
      <c r="AG277" s="509" t="s">
        <v>2514</v>
      </c>
    </row>
    <row r="278" spans="1:33" hidden="1">
      <c r="A278" s="521">
        <f t="shared" si="13"/>
        <v>119</v>
      </c>
      <c r="B278" s="509" t="s">
        <v>2867</v>
      </c>
      <c r="C278" s="492">
        <v>45</v>
      </c>
      <c r="D278" s="490" t="s">
        <v>2359</v>
      </c>
      <c r="E278" s="2"/>
      <c r="I278" s="2"/>
      <c r="J278" s="463"/>
      <c r="K278" s="491" t="s">
        <v>442</v>
      </c>
      <c r="AG278" s="509" t="s">
        <v>2514</v>
      </c>
    </row>
    <row r="279" spans="1:33" hidden="1">
      <c r="A279" s="521">
        <f t="shared" si="13"/>
        <v>120</v>
      </c>
      <c r="B279" s="509" t="s">
        <v>2868</v>
      </c>
      <c r="C279" s="492">
        <v>31.24</v>
      </c>
      <c r="D279" s="490" t="s">
        <v>2359</v>
      </c>
      <c r="E279" s="2"/>
      <c r="H279" s="509" t="s">
        <v>2349</v>
      </c>
      <c r="I279" s="2"/>
      <c r="J279" s="463"/>
      <c r="K279" s="492" t="e">
        <f>(K277/10)</f>
        <v>#REF!</v>
      </c>
      <c r="N279" s="509" t="s">
        <v>2843</v>
      </c>
      <c r="O279" s="509" t="s">
        <v>2869</v>
      </c>
      <c r="R279" s="509" t="s">
        <v>30</v>
      </c>
      <c r="AG279" s="509" t="s">
        <v>2514</v>
      </c>
    </row>
    <row r="280" spans="1:33" hidden="1">
      <c r="C280" s="2"/>
      <c r="D280" s="2"/>
      <c r="E280" s="2"/>
      <c r="F280" s="509" t="s">
        <v>30</v>
      </c>
      <c r="I280" s="2"/>
      <c r="J280" s="463"/>
      <c r="K280" s="2"/>
    </row>
    <row r="281" spans="1:33" hidden="1">
      <c r="A281" s="521">
        <f>(A279+1)</f>
        <v>121</v>
      </c>
      <c r="B281" s="509" t="s">
        <v>2870</v>
      </c>
      <c r="C281" s="492">
        <v>25</v>
      </c>
      <c r="D281" s="490" t="s">
        <v>2359</v>
      </c>
      <c r="E281" s="2"/>
      <c r="I281" s="2"/>
      <c r="J281" s="463"/>
      <c r="K281" s="2"/>
      <c r="O281" s="509" t="s">
        <v>2871</v>
      </c>
      <c r="AG281" s="509" t="s">
        <v>2514</v>
      </c>
    </row>
    <row r="282" spans="1:33" hidden="1">
      <c r="A282" s="521">
        <f t="shared" ref="A282:A326" si="15">(A281+1)</f>
        <v>122</v>
      </c>
      <c r="B282" s="509" t="s">
        <v>2872</v>
      </c>
      <c r="C282" s="492">
        <v>13</v>
      </c>
      <c r="D282" s="490" t="s">
        <v>2359</v>
      </c>
      <c r="E282" s="2"/>
      <c r="F282" s="519">
        <v>1</v>
      </c>
      <c r="G282" s="518" t="s">
        <v>2334</v>
      </c>
      <c r="H282" s="509" t="s">
        <v>2873</v>
      </c>
      <c r="I282" s="2"/>
      <c r="J282" s="463"/>
      <c r="K282" s="492">
        <f>(C25)</f>
        <v>20.7</v>
      </c>
      <c r="O282" s="515" t="s">
        <v>442</v>
      </c>
      <c r="AG282" s="509" t="s">
        <v>2514</v>
      </c>
    </row>
    <row r="283" spans="1:33" hidden="1">
      <c r="A283" s="521">
        <f t="shared" si="15"/>
        <v>123</v>
      </c>
      <c r="B283" s="509" t="s">
        <v>2874</v>
      </c>
      <c r="C283" s="492">
        <v>30</v>
      </c>
      <c r="D283" s="490" t="s">
        <v>2359</v>
      </c>
      <c r="E283" s="2"/>
      <c r="I283" s="2"/>
      <c r="J283" s="463"/>
      <c r="K283" s="491" t="s">
        <v>442</v>
      </c>
      <c r="M283" s="519">
        <v>10</v>
      </c>
      <c r="N283" s="509" t="s">
        <v>2788</v>
      </c>
      <c r="O283" s="509" t="s">
        <v>2875</v>
      </c>
      <c r="P283" s="519" t="e">
        <f>(K1191)</f>
        <v>#REF!</v>
      </c>
      <c r="Q283" s="509" t="s">
        <v>2788</v>
      </c>
      <c r="R283" s="519" t="e">
        <f>(M283*P283)</f>
        <v>#REF!</v>
      </c>
      <c r="AG283" s="509" t="s">
        <v>2514</v>
      </c>
    </row>
    <row r="284" spans="1:33" hidden="1">
      <c r="A284" s="521">
        <f t="shared" si="15"/>
        <v>124</v>
      </c>
      <c r="B284" s="509" t="s">
        <v>2876</v>
      </c>
      <c r="C284" s="492">
        <v>20</v>
      </c>
      <c r="D284" s="490" t="s">
        <v>2359</v>
      </c>
      <c r="E284" s="501">
        <v>25</v>
      </c>
      <c r="H284" s="509" t="s">
        <v>2877</v>
      </c>
      <c r="I284" s="2"/>
      <c r="J284" s="463"/>
      <c r="K284" s="492" t="e">
        <f>SUM(K279:K282)</f>
        <v>#REF!</v>
      </c>
      <c r="M284" s="519">
        <v>1.1000000000000001</v>
      </c>
      <c r="N284" s="509" t="s">
        <v>2342</v>
      </c>
      <c r="O284" s="509" t="s">
        <v>2343</v>
      </c>
      <c r="P284" s="519">
        <f>(C11)</f>
        <v>135</v>
      </c>
      <c r="Q284" s="509" t="s">
        <v>2342</v>
      </c>
      <c r="R284" s="519">
        <f>(M284*P284)</f>
        <v>148.5</v>
      </c>
      <c r="AG284" s="509" t="s">
        <v>2514</v>
      </c>
    </row>
    <row r="285" spans="1:33" hidden="1">
      <c r="A285" s="521">
        <f t="shared" si="15"/>
        <v>125</v>
      </c>
      <c r="B285" s="509" t="s">
        <v>2878</v>
      </c>
      <c r="C285" s="492">
        <v>95</v>
      </c>
      <c r="D285" s="490" t="s">
        <v>2359</v>
      </c>
      <c r="E285" s="2"/>
      <c r="I285" s="2"/>
      <c r="J285" s="463"/>
      <c r="K285" s="491" t="s">
        <v>442</v>
      </c>
      <c r="M285" s="519">
        <v>1.1000000000000001</v>
      </c>
      <c r="N285" s="509" t="s">
        <v>2342</v>
      </c>
      <c r="O285" s="509" t="s">
        <v>2344</v>
      </c>
      <c r="P285" s="519">
        <f>(C12)</f>
        <v>95</v>
      </c>
      <c r="Q285" s="509" t="s">
        <v>2342</v>
      </c>
      <c r="R285" s="519">
        <f>(M285*P285)</f>
        <v>104.50000000000001</v>
      </c>
      <c r="AG285" s="509" t="s">
        <v>2514</v>
      </c>
    </row>
    <row r="286" spans="1:33" hidden="1">
      <c r="A286" s="521">
        <f t="shared" si="15"/>
        <v>126</v>
      </c>
      <c r="B286" s="509" t="s">
        <v>2879</v>
      </c>
      <c r="C286" s="492">
        <v>80</v>
      </c>
      <c r="D286" s="490" t="s">
        <v>2359</v>
      </c>
      <c r="E286" s="2"/>
      <c r="H286" s="509" t="s">
        <v>2354</v>
      </c>
      <c r="I286" s="2"/>
      <c r="J286" s="463"/>
      <c r="K286" s="492" t="e">
        <f>(K284+C22)</f>
        <v>#REF!</v>
      </c>
      <c r="M286" s="519">
        <v>1.1000000000000001</v>
      </c>
      <c r="N286" s="509" t="s">
        <v>2342</v>
      </c>
      <c r="O286" s="509" t="s">
        <v>2345</v>
      </c>
      <c r="P286" s="519">
        <f>(C13)</f>
        <v>85</v>
      </c>
      <c r="Q286" s="509" t="s">
        <v>2342</v>
      </c>
      <c r="R286" s="519">
        <f>(M286*P286)</f>
        <v>93.500000000000014</v>
      </c>
      <c r="AG286" s="509" t="s">
        <v>2514</v>
      </c>
    </row>
    <row r="287" spans="1:33" hidden="1">
      <c r="A287" s="521">
        <f t="shared" si="15"/>
        <v>127</v>
      </c>
      <c r="B287" s="509" t="s">
        <v>2880</v>
      </c>
      <c r="C287" s="492">
        <v>8</v>
      </c>
      <c r="D287" s="490" t="s">
        <v>2359</v>
      </c>
      <c r="E287" s="2"/>
      <c r="H287" s="509" t="s">
        <v>2362</v>
      </c>
      <c r="I287" s="2"/>
      <c r="J287" s="463"/>
      <c r="K287" s="492" t="e">
        <f>(K286+C23)</f>
        <v>#REF!</v>
      </c>
      <c r="R287" s="515" t="s">
        <v>442</v>
      </c>
      <c r="AG287" s="509" t="s">
        <v>2514</v>
      </c>
    </row>
    <row r="288" spans="1:33" hidden="1">
      <c r="A288" s="521">
        <f t="shared" si="15"/>
        <v>128</v>
      </c>
      <c r="B288" s="509" t="s">
        <v>2881</v>
      </c>
      <c r="C288" s="492">
        <v>8</v>
      </c>
      <c r="D288" s="490" t="s">
        <v>2359</v>
      </c>
      <c r="E288" s="2"/>
      <c r="H288" s="509" t="s">
        <v>2480</v>
      </c>
      <c r="I288" s="2"/>
      <c r="J288" s="463"/>
      <c r="K288" s="492" t="e">
        <f>(K287+C24)</f>
        <v>#REF!</v>
      </c>
      <c r="O288" s="509" t="s">
        <v>2358</v>
      </c>
      <c r="R288" s="519" t="e">
        <f>SUM(R283:R286)</f>
        <v>#REF!</v>
      </c>
      <c r="AG288" s="509" t="s">
        <v>2514</v>
      </c>
    </row>
    <row r="289" spans="1:33" hidden="1">
      <c r="A289" s="521">
        <f t="shared" si="15"/>
        <v>129</v>
      </c>
      <c r="B289" s="509" t="s">
        <v>2882</v>
      </c>
      <c r="C289" s="492">
        <v>2.9</v>
      </c>
      <c r="D289" s="490" t="s">
        <v>2883</v>
      </c>
      <c r="E289" s="2"/>
      <c r="H289" s="509" t="s">
        <v>2481</v>
      </c>
      <c r="I289" s="2"/>
      <c r="J289" s="463"/>
      <c r="K289" s="492" t="e">
        <f>(K288+C24)</f>
        <v>#REF!</v>
      </c>
      <c r="R289" s="515" t="s">
        <v>442</v>
      </c>
      <c r="AG289" s="509" t="s">
        <v>2514</v>
      </c>
    </row>
    <row r="290" spans="1:33" hidden="1">
      <c r="A290" s="521">
        <f t="shared" si="15"/>
        <v>130</v>
      </c>
      <c r="B290" s="509" t="s">
        <v>2884</v>
      </c>
      <c r="C290" s="492">
        <v>20.6</v>
      </c>
      <c r="D290" s="490" t="s">
        <v>2883</v>
      </c>
      <c r="E290" s="2"/>
      <c r="H290" s="509" t="s">
        <v>2885</v>
      </c>
      <c r="I290" s="2"/>
      <c r="J290" s="463"/>
      <c r="K290" s="492" t="e">
        <f>(K289+C24)</f>
        <v>#REF!</v>
      </c>
      <c r="O290" s="509" t="s">
        <v>2355</v>
      </c>
      <c r="R290" s="519" t="e">
        <f>(R288/10)</f>
        <v>#REF!</v>
      </c>
      <c r="AG290" s="509" t="s">
        <v>2514</v>
      </c>
    </row>
    <row r="291" spans="1:33" hidden="1">
      <c r="A291" s="521">
        <f t="shared" si="15"/>
        <v>131</v>
      </c>
      <c r="B291" s="509" t="s">
        <v>2886</v>
      </c>
      <c r="C291" s="492">
        <v>15.6</v>
      </c>
      <c r="D291" s="490" t="s">
        <v>2359</v>
      </c>
      <c r="E291" s="2"/>
      <c r="I291" s="2"/>
      <c r="J291" s="463"/>
      <c r="K291" s="2"/>
      <c r="R291" s="515" t="s">
        <v>29</v>
      </c>
      <c r="AG291" s="509" t="s">
        <v>2514</v>
      </c>
    </row>
    <row r="292" spans="1:33" hidden="1">
      <c r="A292" s="521">
        <f t="shared" si="15"/>
        <v>132</v>
      </c>
      <c r="B292" s="509" t="s">
        <v>2887</v>
      </c>
      <c r="C292" s="492">
        <v>12.6</v>
      </c>
      <c r="D292" s="490" t="s">
        <v>2359</v>
      </c>
      <c r="E292" s="2"/>
      <c r="F292" s="510" t="s">
        <v>2541</v>
      </c>
      <c r="G292" s="518" t="s">
        <v>575</v>
      </c>
      <c r="H292" s="509" t="s">
        <v>2888</v>
      </c>
      <c r="I292" s="2"/>
      <c r="J292" s="463"/>
      <c r="K292" s="2"/>
      <c r="AG292" s="509" t="s">
        <v>2514</v>
      </c>
    </row>
    <row r="293" spans="1:33" hidden="1">
      <c r="A293" s="521">
        <f t="shared" si="15"/>
        <v>133</v>
      </c>
      <c r="B293" s="509" t="s">
        <v>2889</v>
      </c>
      <c r="C293" s="492">
        <v>5.75</v>
      </c>
      <c r="D293" s="490" t="s">
        <v>2359</v>
      </c>
      <c r="E293" s="2"/>
      <c r="H293" s="515" t="s">
        <v>29</v>
      </c>
      <c r="I293" s="2"/>
      <c r="J293" s="463"/>
      <c r="K293" s="2"/>
      <c r="N293" s="509" t="s">
        <v>575</v>
      </c>
      <c r="O293" s="509" t="s">
        <v>2890</v>
      </c>
      <c r="AG293" s="509" t="s">
        <v>2514</v>
      </c>
    </row>
    <row r="294" spans="1:33" hidden="1">
      <c r="A294" s="521">
        <f t="shared" si="15"/>
        <v>134</v>
      </c>
      <c r="B294" s="509" t="s">
        <v>2891</v>
      </c>
      <c r="C294" s="492">
        <v>8.5</v>
      </c>
      <c r="D294" s="490" t="s">
        <v>2359</v>
      </c>
      <c r="E294" s="2"/>
      <c r="F294" s="519">
        <v>10</v>
      </c>
      <c r="G294" s="518" t="s">
        <v>2334</v>
      </c>
      <c r="H294" s="509" t="s">
        <v>2520</v>
      </c>
      <c r="I294" s="492" t="e">
        <f>(C68)</f>
        <v>#REF!</v>
      </c>
      <c r="J294" s="500" t="s">
        <v>2334</v>
      </c>
      <c r="K294" s="492" t="e">
        <f t="shared" ref="K294:K300" si="16">(F294*I294)</f>
        <v>#REF!</v>
      </c>
      <c r="O294" s="515" t="s">
        <v>442</v>
      </c>
      <c r="AG294" s="509" t="s">
        <v>2514</v>
      </c>
    </row>
    <row r="295" spans="1:33" hidden="1">
      <c r="A295" s="521">
        <f t="shared" si="15"/>
        <v>135</v>
      </c>
      <c r="B295" s="509" t="s">
        <v>2892</v>
      </c>
      <c r="C295" s="492">
        <v>10</v>
      </c>
      <c r="D295" s="490" t="s">
        <v>2359</v>
      </c>
      <c r="E295" s="2"/>
      <c r="F295" s="519">
        <v>1</v>
      </c>
      <c r="G295" s="518" t="s">
        <v>2334</v>
      </c>
      <c r="H295" s="509" t="s">
        <v>2527</v>
      </c>
      <c r="I295" s="492" t="e">
        <f>(C69)</f>
        <v>#REF!</v>
      </c>
      <c r="J295" s="500" t="s">
        <v>2334</v>
      </c>
      <c r="K295" s="492" t="e">
        <f t="shared" si="16"/>
        <v>#REF!</v>
      </c>
      <c r="M295" s="519">
        <v>0.14000000000000001</v>
      </c>
      <c r="N295" s="509" t="s">
        <v>2334</v>
      </c>
      <c r="O295" s="509" t="s">
        <v>2607</v>
      </c>
      <c r="P295" s="519" t="e">
        <f>(K32)</f>
        <v>#REF!</v>
      </c>
      <c r="Q295" s="509" t="s">
        <v>2334</v>
      </c>
      <c r="R295" s="519" t="e">
        <f>(M295*P295)</f>
        <v>#REF!</v>
      </c>
      <c r="AG295" s="509" t="s">
        <v>2514</v>
      </c>
    </row>
    <row r="296" spans="1:33" hidden="1">
      <c r="A296" s="521">
        <f t="shared" si="15"/>
        <v>136</v>
      </c>
      <c r="B296" s="509" t="s">
        <v>2893</v>
      </c>
      <c r="C296" s="492">
        <v>3.25</v>
      </c>
      <c r="D296" s="490" t="s">
        <v>2359</v>
      </c>
      <c r="E296" s="2"/>
      <c r="F296" s="519">
        <v>3.4</v>
      </c>
      <c r="G296" s="518" t="s">
        <v>2334</v>
      </c>
      <c r="H296" s="509" t="s">
        <v>2341</v>
      </c>
      <c r="I296" s="492" t="e">
        <f>(K49)</f>
        <v>#REF!</v>
      </c>
      <c r="J296" s="500" t="s">
        <v>2334</v>
      </c>
      <c r="K296" s="492" t="e">
        <f t="shared" si="16"/>
        <v>#REF!</v>
      </c>
      <c r="M296" s="519">
        <v>1.1000000000000001</v>
      </c>
      <c r="N296" s="509" t="s">
        <v>2342</v>
      </c>
      <c r="O296" s="509" t="s">
        <v>2353</v>
      </c>
      <c r="P296" s="519">
        <f>(C10)</f>
        <v>150</v>
      </c>
      <c r="Q296" s="509" t="s">
        <v>2342</v>
      </c>
      <c r="R296" s="519">
        <f>(M296*P296)</f>
        <v>165</v>
      </c>
      <c r="AG296" s="509" t="s">
        <v>2514</v>
      </c>
    </row>
    <row r="297" spans="1:33" hidden="1">
      <c r="A297" s="521">
        <f t="shared" si="15"/>
        <v>137</v>
      </c>
      <c r="B297" s="509" t="s">
        <v>2894</v>
      </c>
      <c r="C297" s="492">
        <v>2.2000000000000002</v>
      </c>
      <c r="D297" s="490" t="s">
        <v>2359</v>
      </c>
      <c r="E297" s="2"/>
      <c r="F297" s="519">
        <v>7.1</v>
      </c>
      <c r="G297" s="518" t="s">
        <v>2342</v>
      </c>
      <c r="H297" s="509" t="s">
        <v>2353</v>
      </c>
      <c r="I297" s="492">
        <f>(C10)</f>
        <v>150</v>
      </c>
      <c r="J297" s="500" t="s">
        <v>2342</v>
      </c>
      <c r="K297" s="492">
        <f t="shared" si="16"/>
        <v>1065</v>
      </c>
      <c r="M297" s="519">
        <v>0.5</v>
      </c>
      <c r="N297" s="509" t="s">
        <v>2342</v>
      </c>
      <c r="O297" s="509" t="s">
        <v>2344</v>
      </c>
      <c r="P297" s="519">
        <f>(C12)</f>
        <v>95</v>
      </c>
      <c r="Q297" s="509" t="s">
        <v>2342</v>
      </c>
      <c r="R297" s="519">
        <f>(M297*P297)</f>
        <v>47.5</v>
      </c>
      <c r="AG297" s="509" t="s">
        <v>2514</v>
      </c>
    </row>
    <row r="298" spans="1:33" hidden="1">
      <c r="A298" s="521">
        <f t="shared" si="15"/>
        <v>138</v>
      </c>
      <c r="B298" s="509" t="s">
        <v>2895</v>
      </c>
      <c r="C298" s="492">
        <v>10.5</v>
      </c>
      <c r="D298" s="490" t="s">
        <v>2359</v>
      </c>
      <c r="E298" s="2"/>
      <c r="F298" s="519">
        <v>10.6</v>
      </c>
      <c r="G298" s="518" t="s">
        <v>2342</v>
      </c>
      <c r="H298" s="509" t="s">
        <v>2343</v>
      </c>
      <c r="I298" s="492">
        <f>(C11)</f>
        <v>135</v>
      </c>
      <c r="J298" s="500" t="s">
        <v>2342</v>
      </c>
      <c r="K298" s="492">
        <f t="shared" si="16"/>
        <v>1431</v>
      </c>
      <c r="M298" s="519">
        <v>1.1000000000000001</v>
      </c>
      <c r="N298" s="509" t="s">
        <v>2342</v>
      </c>
      <c r="O298" s="509" t="s">
        <v>2345</v>
      </c>
      <c r="P298" s="519">
        <f>(C13)</f>
        <v>85</v>
      </c>
      <c r="Q298" s="509" t="s">
        <v>2342</v>
      </c>
      <c r="R298" s="519">
        <f>(M298*P298)</f>
        <v>93.500000000000014</v>
      </c>
      <c r="AG298" s="509" t="s">
        <v>2514</v>
      </c>
    </row>
    <row r="299" spans="1:33" hidden="1">
      <c r="A299" s="521">
        <f t="shared" si="15"/>
        <v>139</v>
      </c>
      <c r="B299" s="509" t="s">
        <v>2896</v>
      </c>
      <c r="C299" s="492">
        <v>5.5</v>
      </c>
      <c r="D299" s="490" t="s">
        <v>2359</v>
      </c>
      <c r="E299" s="2"/>
      <c r="F299" s="519">
        <v>14.1</v>
      </c>
      <c r="G299" s="518" t="s">
        <v>2342</v>
      </c>
      <c r="H299" s="509" t="s">
        <v>2344</v>
      </c>
      <c r="I299" s="492">
        <f>(C12)</f>
        <v>95</v>
      </c>
      <c r="J299" s="500" t="s">
        <v>2342</v>
      </c>
      <c r="K299" s="492">
        <f t="shared" si="16"/>
        <v>1339.5</v>
      </c>
      <c r="N299" s="509" t="s">
        <v>2346</v>
      </c>
      <c r="O299" s="509" t="s">
        <v>2347</v>
      </c>
      <c r="P299" s="509" t="s">
        <v>30</v>
      </c>
      <c r="Q299" s="509" t="s">
        <v>2346</v>
      </c>
      <c r="R299" s="519">
        <v>0</v>
      </c>
      <c r="AG299" s="509" t="s">
        <v>2514</v>
      </c>
    </row>
    <row r="300" spans="1:33" hidden="1">
      <c r="A300" s="521">
        <f t="shared" si="15"/>
        <v>140</v>
      </c>
      <c r="B300" s="509" t="s">
        <v>2897</v>
      </c>
      <c r="C300" s="492">
        <v>21</v>
      </c>
      <c r="D300" s="490" t="s">
        <v>2359</v>
      </c>
      <c r="E300" s="2"/>
      <c r="F300" s="519">
        <v>14.1</v>
      </c>
      <c r="G300" s="518" t="s">
        <v>2342</v>
      </c>
      <c r="H300" s="509" t="s">
        <v>2345</v>
      </c>
      <c r="I300" s="492">
        <f>(C13)</f>
        <v>85</v>
      </c>
      <c r="J300" s="500" t="s">
        <v>2342</v>
      </c>
      <c r="K300" s="492">
        <f t="shared" si="16"/>
        <v>1198.5</v>
      </c>
      <c r="R300" s="515" t="s">
        <v>442</v>
      </c>
      <c r="AG300" s="509" t="s">
        <v>2514</v>
      </c>
    </row>
    <row r="301" spans="1:33" hidden="1">
      <c r="A301" s="521">
        <f t="shared" si="15"/>
        <v>141</v>
      </c>
      <c r="B301" s="509" t="s">
        <v>2898</v>
      </c>
      <c r="C301" s="492">
        <v>10</v>
      </c>
      <c r="D301" s="490" t="s">
        <v>2359</v>
      </c>
      <c r="E301" s="2"/>
      <c r="G301" s="518" t="s">
        <v>2346</v>
      </c>
      <c r="H301" s="509" t="s">
        <v>2347</v>
      </c>
      <c r="I301" s="2"/>
      <c r="J301" s="500" t="s">
        <v>2346</v>
      </c>
      <c r="K301" s="492">
        <v>0</v>
      </c>
      <c r="O301" s="509" t="s">
        <v>2358</v>
      </c>
      <c r="R301" s="519" t="e">
        <f>SUM(R295:R299)</f>
        <v>#REF!</v>
      </c>
      <c r="AG301" s="509" t="s">
        <v>2514</v>
      </c>
    </row>
    <row r="302" spans="1:33" hidden="1">
      <c r="A302" s="521">
        <f t="shared" si="15"/>
        <v>142</v>
      </c>
      <c r="B302" s="509" t="s">
        <v>2880</v>
      </c>
      <c r="C302" s="492">
        <v>4</v>
      </c>
      <c r="D302" s="490" t="s">
        <v>2359</v>
      </c>
      <c r="E302" s="2"/>
      <c r="I302" s="2"/>
      <c r="J302" s="463"/>
      <c r="K302" s="491" t="s">
        <v>442</v>
      </c>
      <c r="R302" s="515" t="s">
        <v>442</v>
      </c>
      <c r="AG302" s="509" t="s">
        <v>2514</v>
      </c>
    </row>
    <row r="303" spans="1:33" hidden="1">
      <c r="A303" s="521">
        <f t="shared" si="15"/>
        <v>143</v>
      </c>
      <c r="B303" s="509" t="s">
        <v>2881</v>
      </c>
      <c r="C303" s="492">
        <v>8</v>
      </c>
      <c r="D303" s="490" t="s">
        <v>2342</v>
      </c>
      <c r="E303" s="2"/>
      <c r="H303" s="509" t="s">
        <v>2348</v>
      </c>
      <c r="I303" s="2"/>
      <c r="J303" s="463"/>
      <c r="K303" s="492" t="e">
        <f>SUM(K294:K301)</f>
        <v>#REF!</v>
      </c>
      <c r="O303" s="509" t="s">
        <v>2355</v>
      </c>
      <c r="R303" s="519" t="e">
        <f>(R301/10)</f>
        <v>#REF!</v>
      </c>
      <c r="AG303" s="509" t="s">
        <v>2514</v>
      </c>
    </row>
    <row r="304" spans="1:33" hidden="1">
      <c r="A304" s="521">
        <f t="shared" si="15"/>
        <v>144</v>
      </c>
      <c r="B304" s="509" t="s">
        <v>2882</v>
      </c>
      <c r="C304" s="492">
        <v>8.5</v>
      </c>
      <c r="D304" s="490" t="s">
        <v>2359</v>
      </c>
      <c r="E304" s="2"/>
      <c r="I304" s="2"/>
      <c r="J304" s="463"/>
      <c r="K304" s="491" t="s">
        <v>442</v>
      </c>
      <c r="N304" s="509" t="s">
        <v>575</v>
      </c>
      <c r="O304" s="509" t="s">
        <v>2899</v>
      </c>
      <c r="R304" s="515" t="s">
        <v>29</v>
      </c>
      <c r="AG304" s="509" t="s">
        <v>2514</v>
      </c>
    </row>
    <row r="305" spans="1:33" hidden="1">
      <c r="A305" s="521">
        <f t="shared" si="15"/>
        <v>145</v>
      </c>
      <c r="B305" s="509" t="s">
        <v>2900</v>
      </c>
      <c r="C305" s="492">
        <v>20.6</v>
      </c>
      <c r="D305" s="490" t="s">
        <v>2359</v>
      </c>
      <c r="E305" s="2"/>
      <c r="H305" s="509" t="s">
        <v>2349</v>
      </c>
      <c r="I305" s="2"/>
      <c r="J305" s="463"/>
      <c r="K305" s="492" t="e">
        <f>(K303/10)</f>
        <v>#REF!</v>
      </c>
      <c r="O305" s="515" t="s">
        <v>442</v>
      </c>
      <c r="AG305" s="509" t="s">
        <v>2514</v>
      </c>
    </row>
    <row r="306" spans="1:33" hidden="1">
      <c r="A306" s="521">
        <f t="shared" si="15"/>
        <v>146</v>
      </c>
      <c r="B306" s="509" t="s">
        <v>2901</v>
      </c>
      <c r="C306" s="492">
        <v>15.6</v>
      </c>
      <c r="D306" s="490" t="s">
        <v>2359</v>
      </c>
      <c r="E306" s="2"/>
      <c r="I306" s="2"/>
      <c r="J306" s="463"/>
      <c r="K306" s="491" t="s">
        <v>29</v>
      </c>
      <c r="M306" s="519">
        <v>0.14000000000000001</v>
      </c>
      <c r="N306" s="509" t="s">
        <v>2334</v>
      </c>
      <c r="O306" s="509" t="s">
        <v>2554</v>
      </c>
      <c r="P306" s="519" t="e">
        <f>(K23)</f>
        <v>#REF!</v>
      </c>
      <c r="Q306" s="509" t="s">
        <v>2334</v>
      </c>
      <c r="R306" s="519" t="e">
        <f>(M306*P306)</f>
        <v>#REF!</v>
      </c>
      <c r="AG306" s="509" t="s">
        <v>2514</v>
      </c>
    </row>
    <row r="307" spans="1:33" hidden="1">
      <c r="A307" s="521">
        <f t="shared" si="15"/>
        <v>147</v>
      </c>
      <c r="B307" s="509" t="s">
        <v>2902</v>
      </c>
      <c r="C307" s="492">
        <v>0.9</v>
      </c>
      <c r="D307" s="490" t="s">
        <v>2359</v>
      </c>
      <c r="E307" s="2"/>
      <c r="F307" s="524">
        <v>6</v>
      </c>
      <c r="G307" s="518" t="s">
        <v>575</v>
      </c>
      <c r="H307" s="509" t="s">
        <v>2903</v>
      </c>
      <c r="I307" s="2"/>
      <c r="J307" s="463"/>
      <c r="K307" s="2"/>
      <c r="M307" s="519">
        <v>1.1000000000000001</v>
      </c>
      <c r="N307" s="509" t="s">
        <v>2342</v>
      </c>
      <c r="O307" s="509" t="s">
        <v>2353</v>
      </c>
      <c r="P307" s="519">
        <f>(C10)</f>
        <v>150</v>
      </c>
      <c r="Q307" s="509" t="s">
        <v>2342</v>
      </c>
      <c r="R307" s="519">
        <f>(M307*P307)</f>
        <v>165</v>
      </c>
      <c r="AG307" s="509" t="s">
        <v>2514</v>
      </c>
    </row>
    <row r="308" spans="1:33" hidden="1">
      <c r="A308" s="521">
        <f t="shared" si="15"/>
        <v>148</v>
      </c>
      <c r="B308" s="509" t="s">
        <v>2904</v>
      </c>
      <c r="C308" s="490" t="s">
        <v>30</v>
      </c>
      <c r="D308" s="2"/>
      <c r="E308" s="2"/>
      <c r="H308" s="509" t="s">
        <v>2350</v>
      </c>
      <c r="I308" s="2"/>
      <c r="J308" s="463"/>
      <c r="K308" s="2"/>
      <c r="M308" s="519">
        <v>0.5</v>
      </c>
      <c r="N308" s="509" t="s">
        <v>2342</v>
      </c>
      <c r="O308" s="509" t="s">
        <v>2344</v>
      </c>
      <c r="P308" s="519">
        <f>(C12)</f>
        <v>95</v>
      </c>
      <c r="Q308" s="509" t="s">
        <v>2342</v>
      </c>
      <c r="R308" s="519">
        <f>(M308*P308)</f>
        <v>47.5</v>
      </c>
      <c r="AG308" s="509" t="s">
        <v>2514</v>
      </c>
    </row>
    <row r="309" spans="1:33" hidden="1">
      <c r="A309" s="521">
        <f t="shared" si="15"/>
        <v>149</v>
      </c>
      <c r="B309" s="509" t="s">
        <v>2905</v>
      </c>
      <c r="C309" s="492">
        <v>66.44</v>
      </c>
      <c r="D309" s="490" t="s">
        <v>2205</v>
      </c>
      <c r="E309" s="2"/>
      <c r="H309" s="515" t="s">
        <v>442</v>
      </c>
      <c r="I309" s="2"/>
      <c r="J309" s="463"/>
      <c r="K309" s="2"/>
      <c r="M309" s="519">
        <v>1.1000000000000001</v>
      </c>
      <c r="N309" s="509" t="s">
        <v>2342</v>
      </c>
      <c r="O309" s="509" t="s">
        <v>2345</v>
      </c>
      <c r="P309" s="519">
        <f>(C13)</f>
        <v>85</v>
      </c>
      <c r="Q309" s="509" t="s">
        <v>2342</v>
      </c>
      <c r="R309" s="519">
        <f>(M309*P309)</f>
        <v>93.500000000000014</v>
      </c>
      <c r="AG309" s="509" t="s">
        <v>2514</v>
      </c>
    </row>
    <row r="310" spans="1:33" hidden="1">
      <c r="A310" s="521">
        <f t="shared" si="15"/>
        <v>150</v>
      </c>
      <c r="B310" s="509" t="s">
        <v>2906</v>
      </c>
      <c r="C310" s="492">
        <v>83.5</v>
      </c>
      <c r="D310" s="490" t="s">
        <v>2205</v>
      </c>
      <c r="E310" s="2"/>
      <c r="F310" s="519">
        <v>4800</v>
      </c>
      <c r="G310" s="518" t="s">
        <v>2351</v>
      </c>
      <c r="H310" s="519" t="str">
        <f>H308</f>
        <v>Bricks of size 22x11x7 cm</v>
      </c>
      <c r="I310" s="492" t="e">
        <f>C80</f>
        <v>#REF!</v>
      </c>
      <c r="J310" s="500" t="s">
        <v>2352</v>
      </c>
      <c r="K310" s="492" t="e">
        <f>(F310*I310)/1000</f>
        <v>#REF!</v>
      </c>
      <c r="N310" s="509" t="s">
        <v>2346</v>
      </c>
      <c r="O310" s="509" t="s">
        <v>2347</v>
      </c>
      <c r="P310" s="509" t="s">
        <v>30</v>
      </c>
      <c r="Q310" s="509" t="s">
        <v>2346</v>
      </c>
      <c r="R310" s="519">
        <v>0</v>
      </c>
      <c r="AG310" s="509" t="s">
        <v>2514</v>
      </c>
    </row>
    <row r="311" spans="1:33" hidden="1">
      <c r="A311" s="521">
        <f t="shared" si="15"/>
        <v>151</v>
      </c>
      <c r="B311" s="509" t="s">
        <v>2907</v>
      </c>
      <c r="C311" s="492">
        <v>102.12</v>
      </c>
      <c r="D311" s="490" t="s">
        <v>2205</v>
      </c>
      <c r="E311" s="2"/>
      <c r="F311" s="519">
        <v>2.5</v>
      </c>
      <c r="G311" s="518" t="s">
        <v>2334</v>
      </c>
      <c r="H311" s="509" t="s">
        <v>2341</v>
      </c>
      <c r="I311" s="492" t="e">
        <f>K49</f>
        <v>#REF!</v>
      </c>
      <c r="J311" s="500" t="s">
        <v>2334</v>
      </c>
      <c r="K311" s="492" t="e">
        <f>(F311*I311)</f>
        <v>#REF!</v>
      </c>
      <c r="R311" s="515" t="s">
        <v>442</v>
      </c>
      <c r="AG311" s="509" t="s">
        <v>2514</v>
      </c>
    </row>
    <row r="312" spans="1:33" hidden="1">
      <c r="A312" s="521">
        <f t="shared" si="15"/>
        <v>152</v>
      </c>
      <c r="B312" s="509" t="s">
        <v>2908</v>
      </c>
      <c r="C312" s="492">
        <v>182.52</v>
      </c>
      <c r="D312" s="490" t="s">
        <v>2205</v>
      </c>
      <c r="E312" s="2"/>
      <c r="F312" s="519">
        <v>3.5</v>
      </c>
      <c r="G312" s="518" t="s">
        <v>2342</v>
      </c>
      <c r="H312" s="509" t="s">
        <v>2353</v>
      </c>
      <c r="I312" s="492">
        <f>C10</f>
        <v>150</v>
      </c>
      <c r="J312" s="500" t="s">
        <v>2342</v>
      </c>
      <c r="K312" s="492">
        <f>(F312*I312)</f>
        <v>525</v>
      </c>
      <c r="O312" s="509" t="s">
        <v>2358</v>
      </c>
      <c r="R312" s="519" t="e">
        <f>SUM(R306:R310)</f>
        <v>#REF!</v>
      </c>
      <c r="AG312" s="509" t="s">
        <v>2514</v>
      </c>
    </row>
    <row r="313" spans="1:33" hidden="1">
      <c r="A313" s="521">
        <f t="shared" si="15"/>
        <v>153</v>
      </c>
      <c r="B313" s="509" t="s">
        <v>2909</v>
      </c>
      <c r="C313" s="2"/>
      <c r="D313" s="2"/>
      <c r="E313" s="2"/>
      <c r="F313" s="519">
        <v>10.6</v>
      </c>
      <c r="G313" s="518" t="s">
        <v>2342</v>
      </c>
      <c r="H313" s="509" t="s">
        <v>2343</v>
      </c>
      <c r="I313" s="492">
        <f>C11</f>
        <v>135</v>
      </c>
      <c r="J313" s="500" t="s">
        <v>2342</v>
      </c>
      <c r="K313" s="492">
        <f>(F313*I313)</f>
        <v>1431</v>
      </c>
      <c r="R313" s="515" t="s">
        <v>442</v>
      </c>
      <c r="AG313" s="509" t="s">
        <v>2514</v>
      </c>
    </row>
    <row r="314" spans="1:33" hidden="1">
      <c r="A314" s="521">
        <f t="shared" si="15"/>
        <v>154</v>
      </c>
      <c r="B314" s="509" t="s">
        <v>2905</v>
      </c>
      <c r="C314" s="492">
        <v>26.62</v>
      </c>
      <c r="D314" s="490" t="s">
        <v>2359</v>
      </c>
      <c r="E314" s="2"/>
      <c r="F314" s="519">
        <v>7.1</v>
      </c>
      <c r="G314" s="518" t="s">
        <v>2342</v>
      </c>
      <c r="H314" s="509" t="s">
        <v>2344</v>
      </c>
      <c r="I314" s="492">
        <f>C12</f>
        <v>95</v>
      </c>
      <c r="J314" s="500" t="s">
        <v>2342</v>
      </c>
      <c r="K314" s="492">
        <f>(F314*I314)</f>
        <v>674.5</v>
      </c>
      <c r="O314" s="509" t="s">
        <v>2355</v>
      </c>
      <c r="R314" s="519" t="e">
        <f>(R312/10)</f>
        <v>#REF!</v>
      </c>
      <c r="AG314" s="509" t="s">
        <v>2514</v>
      </c>
    </row>
    <row r="315" spans="1:33" hidden="1">
      <c r="A315" s="521">
        <f t="shared" si="15"/>
        <v>155</v>
      </c>
      <c r="B315" s="509" t="s">
        <v>2906</v>
      </c>
      <c r="C315" s="492">
        <v>34.869999999999997</v>
      </c>
      <c r="D315" s="490" t="s">
        <v>2359</v>
      </c>
      <c r="E315" s="2"/>
      <c r="F315" s="519">
        <v>21.2</v>
      </c>
      <c r="G315" s="518" t="s">
        <v>2342</v>
      </c>
      <c r="H315" s="509" t="s">
        <v>2345</v>
      </c>
      <c r="I315" s="492">
        <f>C13</f>
        <v>85</v>
      </c>
      <c r="J315" s="500" t="s">
        <v>2342</v>
      </c>
      <c r="K315" s="492">
        <f>(F315*I315)</f>
        <v>1802</v>
      </c>
      <c r="R315" s="515" t="s">
        <v>29</v>
      </c>
      <c r="AG315" s="509" t="s">
        <v>2514</v>
      </c>
    </row>
    <row r="316" spans="1:33" hidden="1">
      <c r="A316" s="521">
        <f t="shared" si="15"/>
        <v>156</v>
      </c>
      <c r="B316" s="509" t="s">
        <v>2907</v>
      </c>
      <c r="C316" s="492">
        <v>45</v>
      </c>
      <c r="D316" s="490" t="s">
        <v>2359</v>
      </c>
      <c r="E316" s="2"/>
      <c r="G316" s="518" t="s">
        <v>2346</v>
      </c>
      <c r="H316" s="509" t="s">
        <v>2347</v>
      </c>
      <c r="I316" s="2"/>
      <c r="J316" s="500" t="s">
        <v>2346</v>
      </c>
      <c r="K316" s="492">
        <v>0</v>
      </c>
      <c r="N316" s="509" t="s">
        <v>575</v>
      </c>
      <c r="O316" s="509" t="s">
        <v>2910</v>
      </c>
      <c r="AG316" s="509" t="s">
        <v>2514</v>
      </c>
    </row>
    <row r="317" spans="1:33" hidden="1">
      <c r="A317" s="521">
        <f t="shared" si="15"/>
        <v>157</v>
      </c>
      <c r="B317" s="509" t="s">
        <v>2908</v>
      </c>
      <c r="C317" s="492">
        <v>99.75</v>
      </c>
      <c r="D317" s="490" t="s">
        <v>2359</v>
      </c>
      <c r="E317" s="2"/>
      <c r="I317" s="2"/>
      <c r="J317" s="463"/>
      <c r="K317" s="491" t="s">
        <v>442</v>
      </c>
      <c r="O317" s="515" t="s">
        <v>442</v>
      </c>
      <c r="AG317" s="509" t="s">
        <v>2514</v>
      </c>
    </row>
    <row r="318" spans="1:33" hidden="1">
      <c r="A318" s="521">
        <f t="shared" si="15"/>
        <v>158</v>
      </c>
      <c r="B318" s="509" t="s">
        <v>2911</v>
      </c>
      <c r="C318" s="2"/>
      <c r="D318" s="2"/>
      <c r="E318" s="2"/>
      <c r="H318" s="509" t="s">
        <v>2348</v>
      </c>
      <c r="I318" s="2"/>
      <c r="J318" s="463"/>
      <c r="K318" s="492" t="e">
        <f>SUM(K310:K316)</f>
        <v>#REF!</v>
      </c>
      <c r="M318" s="519">
        <v>0.1</v>
      </c>
      <c r="N318" s="509" t="s">
        <v>2334</v>
      </c>
      <c r="O318" s="509" t="s">
        <v>2554</v>
      </c>
      <c r="P318" s="519" t="e">
        <f>(K23)</f>
        <v>#REF!</v>
      </c>
      <c r="Q318" s="509" t="s">
        <v>2334</v>
      </c>
      <c r="R318" s="519" t="e">
        <f>(M318*P318)</f>
        <v>#REF!</v>
      </c>
      <c r="AG318" s="509" t="s">
        <v>2514</v>
      </c>
    </row>
    <row r="319" spans="1:33" hidden="1">
      <c r="A319" s="521">
        <f t="shared" si="15"/>
        <v>159</v>
      </c>
      <c r="B319" s="509" t="s">
        <v>2905</v>
      </c>
      <c r="C319" s="492">
        <v>43.47</v>
      </c>
      <c r="D319" s="490" t="s">
        <v>2359</v>
      </c>
      <c r="E319" s="2"/>
      <c r="I319" s="2"/>
      <c r="J319" s="463"/>
      <c r="K319" s="491" t="s">
        <v>442</v>
      </c>
      <c r="M319" s="519">
        <v>1.1000000000000001</v>
      </c>
      <c r="N319" s="509" t="s">
        <v>2342</v>
      </c>
      <c r="O319" s="509" t="s">
        <v>2353</v>
      </c>
      <c r="P319" s="519">
        <f>(C10)</f>
        <v>150</v>
      </c>
      <c r="Q319" s="509" t="s">
        <v>2342</v>
      </c>
      <c r="R319" s="519">
        <f>(M319*P319)</f>
        <v>165</v>
      </c>
      <c r="AG319" s="509" t="s">
        <v>2514</v>
      </c>
    </row>
    <row r="320" spans="1:33" hidden="1">
      <c r="A320" s="521">
        <f t="shared" si="15"/>
        <v>160</v>
      </c>
      <c r="B320" s="509" t="s">
        <v>2906</v>
      </c>
      <c r="C320" s="492">
        <v>50.34</v>
      </c>
      <c r="D320" s="490" t="s">
        <v>2359</v>
      </c>
      <c r="E320" s="2"/>
      <c r="H320" s="509" t="s">
        <v>2349</v>
      </c>
      <c r="I320" s="2"/>
      <c r="J320" s="463"/>
      <c r="K320" s="492" t="e">
        <f>(K318/10)</f>
        <v>#REF!</v>
      </c>
      <c r="M320" s="519">
        <v>1.1000000000000001</v>
      </c>
      <c r="N320" s="509" t="s">
        <v>2342</v>
      </c>
      <c r="O320" s="509" t="s">
        <v>2344</v>
      </c>
      <c r="P320" s="519">
        <f>(C12)</f>
        <v>95</v>
      </c>
      <c r="Q320" s="509" t="s">
        <v>2342</v>
      </c>
      <c r="R320" s="519">
        <f>(M320*P320)</f>
        <v>104.50000000000001</v>
      </c>
      <c r="AG320" s="509" t="s">
        <v>2690</v>
      </c>
    </row>
    <row r="321" spans="1:33" hidden="1">
      <c r="A321" s="521">
        <f t="shared" si="15"/>
        <v>161</v>
      </c>
      <c r="B321" s="509" t="s">
        <v>2907</v>
      </c>
      <c r="C321" s="492">
        <v>65.209999999999994</v>
      </c>
      <c r="D321" s="490" t="s">
        <v>2359</v>
      </c>
      <c r="E321" s="2"/>
      <c r="I321" s="2"/>
      <c r="J321" s="463"/>
      <c r="K321" s="491" t="s">
        <v>29</v>
      </c>
      <c r="M321" s="519">
        <v>1.1000000000000001</v>
      </c>
      <c r="N321" s="509" t="s">
        <v>2342</v>
      </c>
      <c r="O321" s="509" t="s">
        <v>2345</v>
      </c>
      <c r="P321" s="519">
        <f>(C13)</f>
        <v>85</v>
      </c>
      <c r="Q321" s="509" t="s">
        <v>2342</v>
      </c>
      <c r="R321" s="519">
        <f>(M321*P321)</f>
        <v>93.500000000000014</v>
      </c>
    </row>
    <row r="322" spans="1:33" hidden="1">
      <c r="A322" s="521">
        <f t="shared" si="15"/>
        <v>162</v>
      </c>
      <c r="B322" s="509" t="s">
        <v>2908</v>
      </c>
      <c r="C322" s="492">
        <v>145.29</v>
      </c>
      <c r="D322" s="490" t="s">
        <v>2359</v>
      </c>
      <c r="E322" s="2"/>
      <c r="H322" s="509" t="s">
        <v>2354</v>
      </c>
      <c r="I322" s="2"/>
      <c r="J322" s="463"/>
      <c r="K322" s="492" t="e">
        <f>(K320+C19)</f>
        <v>#REF!</v>
      </c>
      <c r="N322" s="509" t="s">
        <v>2346</v>
      </c>
      <c r="O322" s="509" t="s">
        <v>2347</v>
      </c>
      <c r="P322" s="509" t="s">
        <v>30</v>
      </c>
      <c r="Q322" s="509" t="s">
        <v>2346</v>
      </c>
      <c r="R322" s="519">
        <v>0</v>
      </c>
    </row>
    <row r="323" spans="1:33" hidden="1">
      <c r="A323" s="521">
        <f t="shared" si="15"/>
        <v>163</v>
      </c>
      <c r="B323" s="509" t="s">
        <v>2912</v>
      </c>
      <c r="C323" s="2"/>
      <c r="D323" s="2"/>
      <c r="E323" s="2"/>
      <c r="H323" s="509" t="s">
        <v>2362</v>
      </c>
      <c r="I323" s="2"/>
      <c r="J323" s="463"/>
      <c r="K323" s="492" t="e">
        <f>(K322+C20)</f>
        <v>#REF!</v>
      </c>
      <c r="R323" s="515" t="s">
        <v>442</v>
      </c>
      <c r="AG323" s="509" t="s">
        <v>2514</v>
      </c>
    </row>
    <row r="324" spans="1:33" hidden="1">
      <c r="A324" s="521">
        <f t="shared" si="15"/>
        <v>164</v>
      </c>
      <c r="B324" s="509" t="s">
        <v>2905</v>
      </c>
      <c r="C324" s="492">
        <v>14.91</v>
      </c>
      <c r="D324" s="490" t="s">
        <v>2205</v>
      </c>
      <c r="E324" s="2"/>
      <c r="H324" s="509" t="s">
        <v>2480</v>
      </c>
      <c r="I324" s="2"/>
      <c r="J324" s="463"/>
      <c r="K324" s="492" t="e">
        <f>(K323+C21)</f>
        <v>#REF!</v>
      </c>
      <c r="O324" s="509" t="s">
        <v>2358</v>
      </c>
      <c r="R324" s="519" t="e">
        <f>SUM(R318:R322)</f>
        <v>#REF!</v>
      </c>
      <c r="AG324" s="509" t="s">
        <v>2514</v>
      </c>
    </row>
    <row r="325" spans="1:33" hidden="1">
      <c r="A325" s="521">
        <f t="shared" si="15"/>
        <v>165</v>
      </c>
      <c r="B325" s="509" t="s">
        <v>2906</v>
      </c>
      <c r="C325" s="492">
        <v>19.41</v>
      </c>
      <c r="D325" s="490" t="s">
        <v>2205</v>
      </c>
      <c r="E325" s="2"/>
      <c r="H325" s="509" t="s">
        <v>2481</v>
      </c>
      <c r="I325" s="2"/>
      <c r="J325" s="463"/>
      <c r="K325" s="492" t="e">
        <f>(K324+C21)</f>
        <v>#REF!</v>
      </c>
      <c r="R325" s="515" t="s">
        <v>442</v>
      </c>
      <c r="AG325" s="509" t="s">
        <v>2514</v>
      </c>
    </row>
    <row r="326" spans="1:33" hidden="1">
      <c r="A326" s="521">
        <f t="shared" si="15"/>
        <v>166</v>
      </c>
      <c r="B326" s="509" t="s">
        <v>2907</v>
      </c>
      <c r="C326" s="492">
        <v>22.22</v>
      </c>
      <c r="D326" s="490" t="s">
        <v>2205</v>
      </c>
      <c r="E326" s="2"/>
      <c r="H326" s="509" t="s">
        <v>2885</v>
      </c>
      <c r="I326" s="2"/>
      <c r="J326" s="463"/>
      <c r="K326" s="492" t="e">
        <f>(K325+C21)</f>
        <v>#REF!</v>
      </c>
      <c r="O326" s="509" t="s">
        <v>2355</v>
      </c>
      <c r="R326" s="519" t="e">
        <f>(R324/10)</f>
        <v>#REF!</v>
      </c>
      <c r="AG326" s="509" t="s">
        <v>2514</v>
      </c>
    </row>
    <row r="327" spans="1:33" hidden="1">
      <c r="A327" s="521"/>
      <c r="B327" s="509"/>
      <c r="C327" s="492"/>
      <c r="D327" s="490"/>
      <c r="E327" s="2"/>
      <c r="H327" s="509"/>
      <c r="I327" s="2"/>
      <c r="J327" s="463"/>
      <c r="K327" s="492"/>
      <c r="O327" s="509"/>
      <c r="R327" s="519"/>
      <c r="AG327" s="509"/>
    </row>
    <row r="328" spans="1:33" hidden="1">
      <c r="A328" s="521"/>
      <c r="B328" s="509"/>
      <c r="C328" s="492"/>
      <c r="D328" s="490"/>
      <c r="E328" s="2"/>
      <c r="F328" s="510" t="s">
        <v>2913</v>
      </c>
      <c r="H328" s="509" t="s">
        <v>2914</v>
      </c>
      <c r="I328" s="2"/>
      <c r="J328" s="463"/>
      <c r="K328" s="490" t="s">
        <v>2915</v>
      </c>
      <c r="O328" s="509"/>
      <c r="R328" s="519"/>
      <c r="AG328" s="509"/>
    </row>
    <row r="329" spans="1:33" hidden="1">
      <c r="A329" s="521"/>
      <c r="B329" s="509"/>
      <c r="C329" s="492"/>
      <c r="D329" s="490"/>
      <c r="E329" s="2"/>
      <c r="H329" s="509" t="s">
        <v>2916</v>
      </c>
      <c r="I329" s="2"/>
      <c r="J329" s="463"/>
      <c r="K329" s="491" t="s">
        <v>29</v>
      </c>
      <c r="O329" s="509"/>
      <c r="R329" s="519"/>
      <c r="AG329" s="509"/>
    </row>
    <row r="330" spans="1:33" hidden="1">
      <c r="A330" s="521"/>
      <c r="B330" s="509"/>
      <c r="C330" s="492"/>
      <c r="D330" s="490"/>
      <c r="E330" s="2"/>
      <c r="H330" s="509"/>
      <c r="I330" s="2"/>
      <c r="J330" s="463"/>
      <c r="K330" s="492"/>
      <c r="O330" s="509"/>
      <c r="R330" s="519"/>
      <c r="AG330" s="509"/>
    </row>
    <row r="331" spans="1:33" hidden="1">
      <c r="A331" s="521">
        <f>(A326+1)</f>
        <v>167</v>
      </c>
      <c r="B331" s="509" t="s">
        <v>2908</v>
      </c>
      <c r="C331" s="492">
        <v>46.42</v>
      </c>
      <c r="D331" s="490" t="s">
        <v>2205</v>
      </c>
      <c r="E331" s="2"/>
      <c r="F331" s="524">
        <v>9</v>
      </c>
      <c r="G331" s="518" t="s">
        <v>575</v>
      </c>
      <c r="H331" s="509" t="s">
        <v>2917</v>
      </c>
      <c r="I331" s="2"/>
      <c r="J331" s="463"/>
      <c r="K331" s="2"/>
      <c r="R331" s="515" t="s">
        <v>29</v>
      </c>
      <c r="AG331" s="509" t="s">
        <v>2514</v>
      </c>
    </row>
    <row r="332" spans="1:33" hidden="1">
      <c r="A332" s="521">
        <f t="shared" ref="A332:A395" si="17">(A331+1)</f>
        <v>168</v>
      </c>
      <c r="B332" s="509" t="s">
        <v>2918</v>
      </c>
      <c r="C332" s="2"/>
      <c r="D332" s="2"/>
      <c r="E332" s="2"/>
      <c r="H332" s="519" t="str">
        <f>H308</f>
        <v>Bricks of size 22x11x7 cm</v>
      </c>
      <c r="I332" s="2"/>
      <c r="J332" s="463"/>
      <c r="K332" s="2"/>
      <c r="AG332" s="509" t="s">
        <v>2514</v>
      </c>
    </row>
    <row r="333" spans="1:33" hidden="1">
      <c r="A333" s="521">
        <f t="shared" si="17"/>
        <v>169</v>
      </c>
      <c r="B333" s="509" t="s">
        <v>2905</v>
      </c>
      <c r="C333" s="492">
        <v>8.58</v>
      </c>
      <c r="D333" s="490" t="s">
        <v>2359</v>
      </c>
      <c r="E333" s="2"/>
      <c r="H333" s="515" t="s">
        <v>442</v>
      </c>
      <c r="I333" s="2"/>
      <c r="J333" s="463"/>
      <c r="K333" s="2"/>
      <c r="N333" s="509" t="s">
        <v>575</v>
      </c>
      <c r="O333" s="509" t="s">
        <v>2919</v>
      </c>
      <c r="AG333" s="509" t="s">
        <v>2514</v>
      </c>
    </row>
    <row r="334" spans="1:33" hidden="1">
      <c r="A334" s="521">
        <f t="shared" si="17"/>
        <v>170</v>
      </c>
      <c r="B334" s="509" t="s">
        <v>2906</v>
      </c>
      <c r="C334" s="492">
        <v>12.26</v>
      </c>
      <c r="D334" s="490" t="s">
        <v>2359</v>
      </c>
      <c r="E334" s="2"/>
      <c r="F334" s="519">
        <f>F310</f>
        <v>4800</v>
      </c>
      <c r="G334" s="518" t="s">
        <v>2351</v>
      </c>
      <c r="H334" s="519" t="str">
        <f>H308</f>
        <v>Bricks of size 22x11x7 cm</v>
      </c>
      <c r="I334" s="492" t="e">
        <f>C80</f>
        <v>#REF!</v>
      </c>
      <c r="J334" s="500" t="s">
        <v>2352</v>
      </c>
      <c r="K334" s="492" t="e">
        <f>(F334*I334)/1000</f>
        <v>#REF!</v>
      </c>
      <c r="O334" s="515" t="s">
        <v>442</v>
      </c>
      <c r="AG334" s="509" t="s">
        <v>2514</v>
      </c>
    </row>
    <row r="335" spans="1:33" hidden="1">
      <c r="A335" s="521">
        <f t="shared" si="17"/>
        <v>171</v>
      </c>
      <c r="B335" s="509" t="s">
        <v>2907</v>
      </c>
      <c r="C335" s="492">
        <v>13.89</v>
      </c>
      <c r="D335" s="490" t="s">
        <v>2359</v>
      </c>
      <c r="E335" s="2"/>
      <c r="F335" s="519">
        <f>F311</f>
        <v>2.5</v>
      </c>
      <c r="G335" s="518" t="s">
        <v>2334</v>
      </c>
      <c r="H335" s="509" t="s">
        <v>2685</v>
      </c>
      <c r="I335" s="492" t="e">
        <f>K58</f>
        <v>#REF!</v>
      </c>
      <c r="J335" s="500" t="s">
        <v>2334</v>
      </c>
      <c r="K335" s="492" t="e">
        <f>(F335*I335)</f>
        <v>#REF!</v>
      </c>
      <c r="M335" s="519">
        <v>0.22</v>
      </c>
      <c r="N335" s="509" t="s">
        <v>2334</v>
      </c>
      <c r="O335" s="509" t="s">
        <v>2341</v>
      </c>
      <c r="P335" s="519" t="e">
        <f>(K49)</f>
        <v>#REF!</v>
      </c>
      <c r="Q335" s="509" t="s">
        <v>2334</v>
      </c>
      <c r="R335" s="519" t="e">
        <f>(M335*P335)</f>
        <v>#REF!</v>
      </c>
      <c r="AG335" s="509" t="s">
        <v>2514</v>
      </c>
    </row>
    <row r="336" spans="1:33" hidden="1">
      <c r="A336" s="521">
        <f t="shared" si="17"/>
        <v>172</v>
      </c>
      <c r="B336" s="509" t="s">
        <v>2908</v>
      </c>
      <c r="C336" s="492">
        <v>36.25</v>
      </c>
      <c r="D336" s="490" t="s">
        <v>2359</v>
      </c>
      <c r="E336" s="2"/>
      <c r="F336" s="519">
        <v>3.5</v>
      </c>
      <c r="G336" s="518" t="s">
        <v>2342</v>
      </c>
      <c r="H336" s="509" t="s">
        <v>2353</v>
      </c>
      <c r="I336" s="492">
        <f>C10</f>
        <v>150</v>
      </c>
      <c r="J336" s="500" t="s">
        <v>2342</v>
      </c>
      <c r="K336" s="492">
        <f>(F336*I336)</f>
        <v>525</v>
      </c>
      <c r="M336" s="519">
        <v>2.2000000000000002</v>
      </c>
      <c r="N336" s="509" t="s">
        <v>2342</v>
      </c>
      <c r="O336" s="509" t="s">
        <v>2353</v>
      </c>
      <c r="P336" s="519">
        <f>(C10)</f>
        <v>150</v>
      </c>
      <c r="Q336" s="509" t="s">
        <v>2342</v>
      </c>
      <c r="R336" s="519">
        <f>(M336*P336)</f>
        <v>330</v>
      </c>
      <c r="AG336" s="509" t="s">
        <v>2514</v>
      </c>
    </row>
    <row r="337" spans="1:33" hidden="1">
      <c r="A337" s="521">
        <f t="shared" si="17"/>
        <v>173</v>
      </c>
      <c r="B337" s="509" t="s">
        <v>2920</v>
      </c>
      <c r="C337" s="2"/>
      <c r="D337" s="2"/>
      <c r="E337" s="2"/>
      <c r="F337" s="519">
        <v>10.6</v>
      </c>
      <c r="G337" s="518" t="s">
        <v>2342</v>
      </c>
      <c r="H337" s="509" t="s">
        <v>2343</v>
      </c>
      <c r="I337" s="492">
        <f>C11</f>
        <v>135</v>
      </c>
      <c r="J337" s="500" t="s">
        <v>2342</v>
      </c>
      <c r="K337" s="492">
        <f>(F337*I337)</f>
        <v>1431</v>
      </c>
      <c r="M337" s="519">
        <v>0.5</v>
      </c>
      <c r="N337" s="509" t="s">
        <v>2342</v>
      </c>
      <c r="O337" s="509" t="s">
        <v>2344</v>
      </c>
      <c r="P337" s="519">
        <f>(C12)</f>
        <v>95</v>
      </c>
      <c r="Q337" s="509" t="s">
        <v>2342</v>
      </c>
      <c r="R337" s="519">
        <f>(M337*P337)</f>
        <v>47.5</v>
      </c>
      <c r="AG337" s="509" t="s">
        <v>2514</v>
      </c>
    </row>
    <row r="338" spans="1:33" hidden="1">
      <c r="A338" s="521">
        <f t="shared" si="17"/>
        <v>174</v>
      </c>
      <c r="B338" s="509" t="s">
        <v>2905</v>
      </c>
      <c r="C338" s="492">
        <v>15.7</v>
      </c>
      <c r="D338" s="490" t="s">
        <v>2359</v>
      </c>
      <c r="E338" s="2"/>
      <c r="F338" s="519">
        <v>7.1</v>
      </c>
      <c r="G338" s="518" t="s">
        <v>2342</v>
      </c>
      <c r="H338" s="509" t="s">
        <v>2344</v>
      </c>
      <c r="I338" s="492">
        <f>C12</f>
        <v>95</v>
      </c>
      <c r="J338" s="500" t="s">
        <v>2342</v>
      </c>
      <c r="K338" s="492">
        <f>(F338*I338)</f>
        <v>674.5</v>
      </c>
      <c r="M338" s="519">
        <v>3.2</v>
      </c>
      <c r="N338" s="509" t="s">
        <v>2342</v>
      </c>
      <c r="O338" s="509" t="s">
        <v>2345</v>
      </c>
      <c r="P338" s="519">
        <f>(C13)</f>
        <v>85</v>
      </c>
      <c r="Q338" s="509" t="s">
        <v>2342</v>
      </c>
      <c r="R338" s="519">
        <f>(M338*P338)</f>
        <v>272</v>
      </c>
      <c r="AG338" s="509" t="s">
        <v>2514</v>
      </c>
    </row>
    <row r="339" spans="1:33" hidden="1">
      <c r="A339" s="521">
        <f t="shared" si="17"/>
        <v>175</v>
      </c>
      <c r="B339" s="509" t="s">
        <v>2906</v>
      </c>
      <c r="C339" s="492">
        <v>22.31</v>
      </c>
      <c r="D339" s="490" t="s">
        <v>2359</v>
      </c>
      <c r="E339" s="2"/>
      <c r="F339" s="519">
        <v>21.2</v>
      </c>
      <c r="G339" s="518" t="s">
        <v>2342</v>
      </c>
      <c r="H339" s="509" t="s">
        <v>2345</v>
      </c>
      <c r="I339" s="492">
        <f>C13</f>
        <v>85</v>
      </c>
      <c r="J339" s="500" t="s">
        <v>2342</v>
      </c>
      <c r="K339" s="492">
        <f>(F339*I339)</f>
        <v>1802</v>
      </c>
      <c r="N339" s="509" t="s">
        <v>2346</v>
      </c>
      <c r="O339" s="509" t="s">
        <v>2347</v>
      </c>
      <c r="P339" s="509" t="s">
        <v>30</v>
      </c>
      <c r="Q339" s="509" t="s">
        <v>2346</v>
      </c>
      <c r="R339" s="519">
        <v>0</v>
      </c>
      <c r="AG339" s="509" t="s">
        <v>2514</v>
      </c>
    </row>
    <row r="340" spans="1:33" hidden="1">
      <c r="A340" s="521">
        <f t="shared" si="17"/>
        <v>176</v>
      </c>
      <c r="B340" s="509" t="s">
        <v>2907</v>
      </c>
      <c r="C340" s="492">
        <v>25.24</v>
      </c>
      <c r="D340" s="490" t="s">
        <v>2359</v>
      </c>
      <c r="E340" s="2"/>
      <c r="G340" s="518" t="s">
        <v>2346</v>
      </c>
      <c r="H340" s="509" t="s">
        <v>2347</v>
      </c>
      <c r="I340" s="2"/>
      <c r="J340" s="500" t="s">
        <v>2346</v>
      </c>
      <c r="K340" s="492">
        <v>0</v>
      </c>
      <c r="R340" s="515" t="s">
        <v>442</v>
      </c>
      <c r="AG340" s="509" t="s">
        <v>2514</v>
      </c>
    </row>
    <row r="341" spans="1:33" hidden="1">
      <c r="A341" s="521">
        <f t="shared" si="17"/>
        <v>177</v>
      </c>
      <c r="B341" s="509" t="s">
        <v>2908</v>
      </c>
      <c r="C341" s="492">
        <v>52.34</v>
      </c>
      <c r="D341" s="490" t="s">
        <v>2359</v>
      </c>
      <c r="E341" s="2"/>
      <c r="I341" s="2"/>
      <c r="J341" s="463"/>
      <c r="K341" s="491" t="s">
        <v>442</v>
      </c>
      <c r="O341" s="509" t="s">
        <v>2358</v>
      </c>
      <c r="R341" s="519" t="e">
        <f>SUM(R335:R339)</f>
        <v>#REF!</v>
      </c>
      <c r="AG341" s="509" t="s">
        <v>2514</v>
      </c>
    </row>
    <row r="342" spans="1:33" hidden="1">
      <c r="A342" s="521">
        <f t="shared" si="17"/>
        <v>178</v>
      </c>
      <c r="B342" s="509" t="s">
        <v>2921</v>
      </c>
      <c r="C342" s="2"/>
      <c r="D342" s="2"/>
      <c r="E342" s="2"/>
      <c r="H342" s="509" t="s">
        <v>2348</v>
      </c>
      <c r="I342" s="2"/>
      <c r="J342" s="463"/>
      <c r="K342" s="492" t="e">
        <f>SUM(K334:K340)</f>
        <v>#REF!</v>
      </c>
      <c r="R342" s="515" t="s">
        <v>442</v>
      </c>
      <c r="AG342" s="509" t="s">
        <v>2514</v>
      </c>
    </row>
    <row r="343" spans="1:33" hidden="1">
      <c r="A343" s="521">
        <f t="shared" si="17"/>
        <v>179</v>
      </c>
      <c r="B343" s="509" t="s">
        <v>2905</v>
      </c>
      <c r="C343" s="492">
        <v>13.73</v>
      </c>
      <c r="D343" s="490" t="s">
        <v>2359</v>
      </c>
      <c r="E343" s="2"/>
      <c r="I343" s="2"/>
      <c r="J343" s="463"/>
      <c r="K343" s="491" t="s">
        <v>442</v>
      </c>
      <c r="O343" s="509" t="s">
        <v>2355</v>
      </c>
      <c r="R343" s="519" t="e">
        <f>(R341/10)</f>
        <v>#REF!</v>
      </c>
      <c r="AG343" s="509" t="s">
        <v>2514</v>
      </c>
    </row>
    <row r="344" spans="1:33" hidden="1">
      <c r="A344" s="521">
        <f t="shared" si="17"/>
        <v>180</v>
      </c>
      <c r="B344" s="509" t="s">
        <v>2906</v>
      </c>
      <c r="C344" s="492">
        <v>20.16</v>
      </c>
      <c r="D344" s="490" t="s">
        <v>2359</v>
      </c>
      <c r="E344" s="2"/>
      <c r="H344" s="509" t="s">
        <v>2349</v>
      </c>
      <c r="I344" s="2"/>
      <c r="J344" s="463"/>
      <c r="K344" s="492" t="e">
        <f>(K342/10)</f>
        <v>#REF!</v>
      </c>
      <c r="R344" s="515" t="s">
        <v>29</v>
      </c>
      <c r="AG344" s="509" t="s">
        <v>2514</v>
      </c>
    </row>
    <row r="345" spans="1:33" hidden="1">
      <c r="A345" s="521">
        <f t="shared" si="17"/>
        <v>181</v>
      </c>
      <c r="B345" s="509" t="s">
        <v>2907</v>
      </c>
      <c r="C345" s="492">
        <v>22.73</v>
      </c>
      <c r="D345" s="490" t="s">
        <v>2359</v>
      </c>
      <c r="E345" s="2"/>
      <c r="I345" s="2"/>
      <c r="J345" s="463"/>
      <c r="K345" s="491" t="s">
        <v>29</v>
      </c>
      <c r="N345" s="509" t="s">
        <v>575</v>
      </c>
      <c r="O345" s="509" t="s">
        <v>2922</v>
      </c>
      <c r="AG345" s="509" t="s">
        <v>2514</v>
      </c>
    </row>
    <row r="346" spans="1:33" hidden="1">
      <c r="A346" s="521">
        <f t="shared" si="17"/>
        <v>182</v>
      </c>
      <c r="B346" s="509" t="s">
        <v>2908</v>
      </c>
      <c r="C346" s="492">
        <v>46.98</v>
      </c>
      <c r="D346" s="490" t="s">
        <v>30</v>
      </c>
      <c r="E346" s="2"/>
      <c r="H346" s="509" t="s">
        <v>2354</v>
      </c>
      <c r="I346" s="2"/>
      <c r="J346" s="463"/>
      <c r="K346" s="492" t="e">
        <f>(K344+C19)</f>
        <v>#REF!</v>
      </c>
      <c r="O346" s="515" t="s">
        <v>442</v>
      </c>
      <c r="AG346" s="509" t="s">
        <v>2514</v>
      </c>
    </row>
    <row r="347" spans="1:33" hidden="1">
      <c r="A347" s="521">
        <f t="shared" si="17"/>
        <v>183</v>
      </c>
      <c r="B347" s="509" t="s">
        <v>2923</v>
      </c>
      <c r="C347" s="2"/>
      <c r="D347" s="2"/>
      <c r="E347" s="2"/>
      <c r="H347" s="509" t="s">
        <v>2362</v>
      </c>
      <c r="I347" s="2"/>
      <c r="J347" s="463"/>
      <c r="K347" s="492" t="e">
        <f>(K346+C20)</f>
        <v>#REF!</v>
      </c>
      <c r="M347" s="519">
        <v>0.22</v>
      </c>
      <c r="N347" s="509" t="s">
        <v>2334</v>
      </c>
      <c r="O347" s="509" t="s">
        <v>2607</v>
      </c>
      <c r="P347" s="519" t="e">
        <f>(K32)</f>
        <v>#REF!</v>
      </c>
      <c r="Q347" s="509" t="s">
        <v>2334</v>
      </c>
      <c r="R347" s="519" t="e">
        <f>(M347*P347)</f>
        <v>#REF!</v>
      </c>
      <c r="AG347" s="509" t="s">
        <v>2514</v>
      </c>
    </row>
    <row r="348" spans="1:33" hidden="1">
      <c r="A348" s="521">
        <f t="shared" si="17"/>
        <v>184</v>
      </c>
      <c r="B348" s="509" t="s">
        <v>2905</v>
      </c>
      <c r="C348" s="492">
        <v>19.3</v>
      </c>
      <c r="D348" s="490" t="s">
        <v>2359</v>
      </c>
      <c r="E348" s="2"/>
      <c r="H348" s="509" t="s">
        <v>2480</v>
      </c>
      <c r="I348" s="2"/>
      <c r="J348" s="463"/>
      <c r="K348" s="492" t="e">
        <f>(K347+C21)</f>
        <v>#REF!</v>
      </c>
      <c r="M348" s="519">
        <v>2.2000000000000002</v>
      </c>
      <c r="N348" s="509" t="s">
        <v>2342</v>
      </c>
      <c r="O348" s="509" t="s">
        <v>2353</v>
      </c>
      <c r="P348" s="519">
        <f>(C10)</f>
        <v>150</v>
      </c>
      <c r="Q348" s="509" t="s">
        <v>2342</v>
      </c>
      <c r="R348" s="519">
        <f>(M348*P348)</f>
        <v>330</v>
      </c>
      <c r="AG348" s="509" t="s">
        <v>2514</v>
      </c>
    </row>
    <row r="349" spans="1:33" hidden="1">
      <c r="A349" s="521">
        <f t="shared" si="17"/>
        <v>185</v>
      </c>
      <c r="B349" s="509" t="s">
        <v>2907</v>
      </c>
      <c r="C349" s="492">
        <v>33.46</v>
      </c>
      <c r="D349" s="490" t="s">
        <v>2359</v>
      </c>
      <c r="E349" s="2"/>
      <c r="H349" s="509" t="s">
        <v>2481</v>
      </c>
      <c r="I349" s="2"/>
      <c r="J349" s="463"/>
      <c r="K349" s="492" t="e">
        <f>(K348+C21)</f>
        <v>#REF!</v>
      </c>
      <c r="M349" s="519">
        <v>0.5</v>
      </c>
      <c r="N349" s="509" t="s">
        <v>2342</v>
      </c>
      <c r="O349" s="509" t="s">
        <v>2344</v>
      </c>
      <c r="P349" s="519">
        <f>(C12)</f>
        <v>95</v>
      </c>
      <c r="Q349" s="509" t="s">
        <v>2342</v>
      </c>
      <c r="R349" s="519">
        <f>(M349*P349)</f>
        <v>47.5</v>
      </c>
      <c r="AG349" s="509" t="s">
        <v>2514</v>
      </c>
    </row>
    <row r="350" spans="1:33" hidden="1">
      <c r="A350" s="521">
        <f t="shared" si="17"/>
        <v>186</v>
      </c>
      <c r="B350" s="509" t="s">
        <v>2908</v>
      </c>
      <c r="C350" s="492">
        <v>53.62</v>
      </c>
      <c r="D350" s="490" t="s">
        <v>2359</v>
      </c>
      <c r="E350" s="2"/>
      <c r="F350" s="509" t="s">
        <v>30</v>
      </c>
      <c r="H350" s="509" t="s">
        <v>2885</v>
      </c>
      <c r="I350" s="2"/>
      <c r="J350" s="463"/>
      <c r="K350" s="492" t="e">
        <f>(K349+C21)</f>
        <v>#REF!</v>
      </c>
      <c r="M350" s="519">
        <v>3.2</v>
      </c>
      <c r="N350" s="509" t="s">
        <v>2342</v>
      </c>
      <c r="O350" s="509" t="s">
        <v>2345</v>
      </c>
      <c r="P350" s="519">
        <f>(C13)</f>
        <v>85</v>
      </c>
      <c r="Q350" s="509" t="s">
        <v>2342</v>
      </c>
      <c r="R350" s="519">
        <f>(M350*P350)</f>
        <v>272</v>
      </c>
      <c r="AG350" s="509" t="s">
        <v>2514</v>
      </c>
    </row>
    <row r="351" spans="1:33" hidden="1">
      <c r="A351" s="521">
        <f t="shared" si="17"/>
        <v>187</v>
      </c>
      <c r="B351" s="509" t="s">
        <v>2924</v>
      </c>
      <c r="C351" s="2"/>
      <c r="D351" s="2"/>
      <c r="E351" s="2"/>
      <c r="F351" s="524">
        <v>27</v>
      </c>
      <c r="G351" s="518" t="s">
        <v>575</v>
      </c>
      <c r="H351" s="509" t="s">
        <v>2925</v>
      </c>
      <c r="I351" s="2"/>
      <c r="J351" s="463"/>
      <c r="K351" s="2"/>
      <c r="N351" s="509" t="s">
        <v>2346</v>
      </c>
      <c r="O351" s="509" t="s">
        <v>2347</v>
      </c>
      <c r="P351" s="509" t="s">
        <v>30</v>
      </c>
      <c r="Q351" s="509" t="s">
        <v>2346</v>
      </c>
      <c r="R351" s="519">
        <v>0</v>
      </c>
      <c r="AG351" s="509" t="s">
        <v>2514</v>
      </c>
    </row>
    <row r="352" spans="1:33" hidden="1">
      <c r="A352" s="521">
        <f t="shared" si="17"/>
        <v>188</v>
      </c>
      <c r="B352" s="509" t="s">
        <v>2905</v>
      </c>
      <c r="C352" s="492">
        <v>13.73</v>
      </c>
      <c r="D352" s="490" t="s">
        <v>2359</v>
      </c>
      <c r="E352" s="2"/>
      <c r="H352" s="519" t="str">
        <f>H308</f>
        <v>Bricks of size 22x11x7 cm</v>
      </c>
      <c r="I352" s="2"/>
      <c r="J352" s="463"/>
      <c r="K352" s="2"/>
      <c r="R352" s="515" t="s">
        <v>442</v>
      </c>
      <c r="AG352" s="509" t="s">
        <v>2514</v>
      </c>
    </row>
    <row r="353" spans="1:33" hidden="1">
      <c r="A353" s="521">
        <f t="shared" si="17"/>
        <v>189</v>
      </c>
      <c r="B353" s="509" t="s">
        <v>2906</v>
      </c>
      <c r="C353" s="492">
        <v>20.16</v>
      </c>
      <c r="D353" s="490" t="s">
        <v>2359</v>
      </c>
      <c r="E353" s="2"/>
      <c r="H353" s="515" t="s">
        <v>442</v>
      </c>
      <c r="I353" s="2"/>
      <c r="J353" s="463"/>
      <c r="K353" s="2"/>
      <c r="O353" s="509" t="s">
        <v>2358</v>
      </c>
      <c r="R353" s="519" t="e">
        <f>SUM(R347:R351)</f>
        <v>#REF!</v>
      </c>
      <c r="AG353" s="509" t="s">
        <v>2514</v>
      </c>
    </row>
    <row r="354" spans="1:33" hidden="1">
      <c r="A354" s="521">
        <f t="shared" si="17"/>
        <v>190</v>
      </c>
      <c r="B354" s="509" t="s">
        <v>2907</v>
      </c>
      <c r="C354" s="492">
        <v>22.73</v>
      </c>
      <c r="D354" s="490" t="s">
        <v>2359</v>
      </c>
      <c r="E354" s="2"/>
      <c r="F354" s="519">
        <f>F310</f>
        <v>4800</v>
      </c>
      <c r="G354" s="518" t="s">
        <v>2351</v>
      </c>
      <c r="H354" s="519" t="str">
        <f>H308</f>
        <v>Bricks of size 22x11x7 cm</v>
      </c>
      <c r="I354" s="492" t="e">
        <f>C80</f>
        <v>#REF!</v>
      </c>
      <c r="J354" s="500" t="s">
        <v>2352</v>
      </c>
      <c r="K354" s="492" t="e">
        <f>(F354*I354)/1000</f>
        <v>#REF!</v>
      </c>
      <c r="R354" s="515" t="s">
        <v>442</v>
      </c>
      <c r="AG354" s="509" t="s">
        <v>2514</v>
      </c>
    </row>
    <row r="355" spans="1:33" hidden="1">
      <c r="A355" s="521">
        <f t="shared" si="17"/>
        <v>191</v>
      </c>
      <c r="B355" s="509" t="s">
        <v>2908</v>
      </c>
      <c r="C355" s="492">
        <v>46.98</v>
      </c>
      <c r="D355" s="490" t="s">
        <v>2359</v>
      </c>
      <c r="E355" s="2"/>
      <c r="F355" s="519">
        <f>F311</f>
        <v>2.5</v>
      </c>
      <c r="G355" s="518" t="s">
        <v>2334</v>
      </c>
      <c r="H355" s="509" t="s">
        <v>2647</v>
      </c>
      <c r="I355" s="492" t="e">
        <f>K40</f>
        <v>#REF!</v>
      </c>
      <c r="J355" s="500" t="s">
        <v>2334</v>
      </c>
      <c r="K355" s="492" t="e">
        <f>(F355*I355)</f>
        <v>#REF!</v>
      </c>
      <c r="O355" s="509" t="s">
        <v>2355</v>
      </c>
      <c r="R355" s="519" t="e">
        <f>(R353/10)</f>
        <v>#REF!</v>
      </c>
      <c r="AG355" s="509" t="s">
        <v>2514</v>
      </c>
    </row>
    <row r="356" spans="1:33" hidden="1">
      <c r="A356" s="521">
        <f t="shared" si="17"/>
        <v>192</v>
      </c>
      <c r="B356" s="509" t="s">
        <v>2926</v>
      </c>
      <c r="C356" s="2"/>
      <c r="D356" s="2"/>
      <c r="E356" s="2"/>
      <c r="F356" s="519">
        <v>3.5</v>
      </c>
      <c r="G356" s="518" t="s">
        <v>2342</v>
      </c>
      <c r="H356" s="509" t="s">
        <v>2353</v>
      </c>
      <c r="I356" s="492">
        <f>(C10)</f>
        <v>150</v>
      </c>
      <c r="J356" s="500" t="s">
        <v>2342</v>
      </c>
      <c r="K356" s="492">
        <f>(F356*I356)</f>
        <v>525</v>
      </c>
      <c r="R356" s="515" t="s">
        <v>29</v>
      </c>
      <c r="AG356" s="509" t="s">
        <v>2514</v>
      </c>
    </row>
    <row r="357" spans="1:33" hidden="1">
      <c r="A357" s="521">
        <f t="shared" si="17"/>
        <v>193</v>
      </c>
      <c r="B357" s="509" t="s">
        <v>2905</v>
      </c>
      <c r="C357" s="492">
        <v>19.3</v>
      </c>
      <c r="D357" s="490" t="s">
        <v>2359</v>
      </c>
      <c r="E357" s="2"/>
      <c r="F357" s="519">
        <v>10.6</v>
      </c>
      <c r="G357" s="518" t="s">
        <v>2342</v>
      </c>
      <c r="H357" s="509" t="s">
        <v>2343</v>
      </c>
      <c r="I357" s="492">
        <f>(C11)</f>
        <v>135</v>
      </c>
      <c r="J357" s="500" t="s">
        <v>2342</v>
      </c>
      <c r="K357" s="492">
        <f>(F357*I357)</f>
        <v>1431</v>
      </c>
      <c r="N357" s="509" t="s">
        <v>575</v>
      </c>
      <c r="O357" s="509" t="s">
        <v>2927</v>
      </c>
      <c r="AG357" s="509" t="s">
        <v>2514</v>
      </c>
    </row>
    <row r="358" spans="1:33" hidden="1">
      <c r="A358" s="521">
        <f t="shared" si="17"/>
        <v>194</v>
      </c>
      <c r="B358" s="509" t="s">
        <v>2906</v>
      </c>
      <c r="C358" s="492">
        <v>25.74</v>
      </c>
      <c r="D358" s="490" t="s">
        <v>2359</v>
      </c>
      <c r="E358" s="2"/>
      <c r="F358" s="519">
        <v>7.1</v>
      </c>
      <c r="G358" s="518" t="s">
        <v>2342</v>
      </c>
      <c r="H358" s="509" t="s">
        <v>2344</v>
      </c>
      <c r="I358" s="492">
        <f>(C12)</f>
        <v>95</v>
      </c>
      <c r="J358" s="500" t="s">
        <v>2342</v>
      </c>
      <c r="K358" s="492">
        <f>(F358*I358)</f>
        <v>674.5</v>
      </c>
      <c r="O358" s="509" t="s">
        <v>2928</v>
      </c>
      <c r="AG358" s="509" t="s">
        <v>2514</v>
      </c>
    </row>
    <row r="359" spans="1:33" hidden="1">
      <c r="A359" s="521">
        <f t="shared" si="17"/>
        <v>195</v>
      </c>
      <c r="B359" s="509" t="s">
        <v>2907</v>
      </c>
      <c r="C359" s="492">
        <v>33.46</v>
      </c>
      <c r="D359" s="490" t="s">
        <v>2359</v>
      </c>
      <c r="E359" s="2"/>
      <c r="F359" s="519">
        <v>21.2</v>
      </c>
      <c r="G359" s="518" t="s">
        <v>2342</v>
      </c>
      <c r="H359" s="509" t="s">
        <v>2345</v>
      </c>
      <c r="I359" s="492">
        <f>(C13)</f>
        <v>85</v>
      </c>
      <c r="J359" s="500" t="s">
        <v>2342</v>
      </c>
      <c r="K359" s="492">
        <f>(F359*I359)</f>
        <v>1802</v>
      </c>
      <c r="O359" s="509" t="s">
        <v>2929</v>
      </c>
      <c r="AG359" s="509" t="s">
        <v>2514</v>
      </c>
    </row>
    <row r="360" spans="1:33" hidden="1">
      <c r="A360" s="521">
        <f t="shared" si="17"/>
        <v>196</v>
      </c>
      <c r="B360" s="509" t="s">
        <v>2908</v>
      </c>
      <c r="C360" s="492">
        <v>53.62</v>
      </c>
      <c r="D360" s="490" t="s">
        <v>30</v>
      </c>
      <c r="E360" s="2"/>
      <c r="G360" s="518" t="s">
        <v>2346</v>
      </c>
      <c r="H360" s="509" t="s">
        <v>2347</v>
      </c>
      <c r="I360" s="2"/>
      <c r="J360" s="500" t="s">
        <v>2346</v>
      </c>
      <c r="K360" s="492">
        <v>0</v>
      </c>
      <c r="O360" s="515" t="s">
        <v>442</v>
      </c>
      <c r="AG360" s="509" t="s">
        <v>2514</v>
      </c>
    </row>
    <row r="361" spans="1:33" hidden="1">
      <c r="A361" s="521">
        <f t="shared" si="17"/>
        <v>197</v>
      </c>
      <c r="B361" s="509" t="s">
        <v>2930</v>
      </c>
      <c r="C361" s="2"/>
      <c r="D361" s="2"/>
      <c r="E361" s="2"/>
      <c r="I361" s="2"/>
      <c r="J361" s="463"/>
      <c r="K361" s="491" t="s">
        <v>442</v>
      </c>
      <c r="M361" s="519">
        <v>0.22</v>
      </c>
      <c r="N361" s="509" t="s">
        <v>2334</v>
      </c>
      <c r="O361" s="509" t="s">
        <v>2647</v>
      </c>
      <c r="P361" s="519" t="e">
        <f>(K40)</f>
        <v>#REF!</v>
      </c>
      <c r="Q361" s="509" t="s">
        <v>2334</v>
      </c>
      <c r="R361" s="519" t="e">
        <f t="shared" ref="R361:R366" si="18">(M361*P361)</f>
        <v>#REF!</v>
      </c>
      <c r="AG361" s="509" t="s">
        <v>2514</v>
      </c>
    </row>
    <row r="362" spans="1:33" hidden="1">
      <c r="A362" s="521">
        <f t="shared" si="17"/>
        <v>198</v>
      </c>
      <c r="B362" s="509" t="s">
        <v>2905</v>
      </c>
      <c r="C362" s="492">
        <v>26.16</v>
      </c>
      <c r="D362" s="490" t="s">
        <v>2359</v>
      </c>
      <c r="E362" s="2"/>
      <c r="H362" s="509" t="s">
        <v>2348</v>
      </c>
      <c r="I362" s="2"/>
      <c r="J362" s="463"/>
      <c r="K362" s="492" t="e">
        <f>SUM(K354:K360)</f>
        <v>#REF!</v>
      </c>
      <c r="M362" s="519">
        <v>2.2000000000000002</v>
      </c>
      <c r="N362" s="509" t="s">
        <v>2342</v>
      </c>
      <c r="O362" s="509" t="s">
        <v>2353</v>
      </c>
      <c r="P362" s="519">
        <f>(C10)</f>
        <v>150</v>
      </c>
      <c r="Q362" s="509" t="s">
        <v>2342</v>
      </c>
      <c r="R362" s="519">
        <f t="shared" si="18"/>
        <v>330</v>
      </c>
      <c r="AG362" s="509" t="s">
        <v>2514</v>
      </c>
    </row>
    <row r="363" spans="1:33" hidden="1">
      <c r="A363" s="521">
        <f t="shared" si="17"/>
        <v>199</v>
      </c>
      <c r="B363" s="509" t="s">
        <v>2906</v>
      </c>
      <c r="C363" s="492">
        <v>34.32</v>
      </c>
      <c r="D363" s="490" t="s">
        <v>2359</v>
      </c>
      <c r="E363" s="2"/>
      <c r="I363" s="2"/>
      <c r="J363" s="463"/>
      <c r="K363" s="491" t="s">
        <v>442</v>
      </c>
      <c r="M363" s="519">
        <v>0.5</v>
      </c>
      <c r="N363" s="509" t="s">
        <v>2342</v>
      </c>
      <c r="O363" s="509" t="s">
        <v>2344</v>
      </c>
      <c r="P363" s="519">
        <f>(C12)</f>
        <v>95</v>
      </c>
      <c r="Q363" s="509" t="s">
        <v>2342</v>
      </c>
      <c r="R363" s="519">
        <f t="shared" si="18"/>
        <v>47.5</v>
      </c>
      <c r="AG363" s="509" t="s">
        <v>2514</v>
      </c>
    </row>
    <row r="364" spans="1:33" hidden="1">
      <c r="A364" s="521">
        <f t="shared" si="17"/>
        <v>200</v>
      </c>
      <c r="B364" s="509" t="s">
        <v>2907</v>
      </c>
      <c r="C364" s="492">
        <v>40.33</v>
      </c>
      <c r="D364" s="490" t="s">
        <v>2359</v>
      </c>
      <c r="E364" s="2"/>
      <c r="H364" s="509" t="s">
        <v>2349</v>
      </c>
      <c r="I364" s="2"/>
      <c r="J364" s="463"/>
      <c r="K364" s="492" t="e">
        <f>(K362/10)</f>
        <v>#REF!</v>
      </c>
      <c r="M364" s="519">
        <v>1.1000000000000001</v>
      </c>
      <c r="N364" s="509" t="s">
        <v>2931</v>
      </c>
      <c r="O364" s="509" t="s">
        <v>2932</v>
      </c>
      <c r="P364" s="519">
        <f>(C10)</f>
        <v>150</v>
      </c>
      <c r="Q364" s="509" t="s">
        <v>2342</v>
      </c>
      <c r="R364" s="519">
        <f t="shared" si="18"/>
        <v>165</v>
      </c>
      <c r="AG364" s="509" t="s">
        <v>2514</v>
      </c>
    </row>
    <row r="365" spans="1:33" hidden="1">
      <c r="A365" s="521">
        <f t="shared" si="17"/>
        <v>201</v>
      </c>
      <c r="B365" s="509" t="s">
        <v>2933</v>
      </c>
      <c r="C365" s="2"/>
      <c r="D365" s="490" t="s">
        <v>30</v>
      </c>
      <c r="E365" s="2"/>
      <c r="I365" s="2"/>
      <c r="J365" s="463"/>
      <c r="K365" s="491" t="s">
        <v>29</v>
      </c>
      <c r="M365" s="519">
        <v>3.2</v>
      </c>
      <c r="N365" s="509" t="s">
        <v>2342</v>
      </c>
      <c r="O365" s="509" t="s">
        <v>2345</v>
      </c>
      <c r="P365" s="519">
        <f>(C13)</f>
        <v>85</v>
      </c>
      <c r="Q365" s="509" t="s">
        <v>2342</v>
      </c>
      <c r="R365" s="519">
        <f t="shared" si="18"/>
        <v>272</v>
      </c>
      <c r="AG365" s="509" t="s">
        <v>2514</v>
      </c>
    </row>
    <row r="366" spans="1:33" hidden="1">
      <c r="A366" s="521">
        <f t="shared" si="17"/>
        <v>202</v>
      </c>
      <c r="B366" s="509" t="s">
        <v>2905</v>
      </c>
      <c r="C366" s="492">
        <v>20.329999999999998</v>
      </c>
      <c r="D366" s="490" t="s">
        <v>2359</v>
      </c>
      <c r="E366" s="2"/>
      <c r="H366" s="509" t="s">
        <v>2354</v>
      </c>
      <c r="I366" s="2"/>
      <c r="J366" s="463"/>
      <c r="K366" s="492" t="e">
        <f>(K364+C19)</f>
        <v>#REF!</v>
      </c>
      <c r="M366" s="519">
        <v>9.8000000000000007</v>
      </c>
      <c r="N366" s="509" t="s">
        <v>40</v>
      </c>
      <c r="O366" s="509" t="s">
        <v>2776</v>
      </c>
      <c r="P366" s="519">
        <f>(C180)</f>
        <v>110</v>
      </c>
      <c r="Q366" s="509" t="s">
        <v>40</v>
      </c>
      <c r="R366" s="519">
        <f t="shared" si="18"/>
        <v>1078</v>
      </c>
      <c r="AG366" s="509" t="s">
        <v>2514</v>
      </c>
    </row>
    <row r="367" spans="1:33" hidden="1">
      <c r="A367" s="521">
        <f t="shared" si="17"/>
        <v>203</v>
      </c>
      <c r="B367" s="509" t="s">
        <v>2906</v>
      </c>
      <c r="C367" s="492">
        <v>26.6</v>
      </c>
      <c r="D367" s="490" t="s">
        <v>2359</v>
      </c>
      <c r="E367" s="2"/>
      <c r="H367" s="509" t="s">
        <v>2362</v>
      </c>
      <c r="I367" s="2"/>
      <c r="J367" s="463"/>
      <c r="K367" s="492" t="e">
        <f>(K366+C20)</f>
        <v>#REF!</v>
      </c>
      <c r="N367" s="509" t="s">
        <v>2346</v>
      </c>
      <c r="O367" s="509" t="s">
        <v>2347</v>
      </c>
      <c r="P367" s="509" t="s">
        <v>30</v>
      </c>
      <c r="Q367" s="509" t="s">
        <v>2346</v>
      </c>
      <c r="R367" s="519">
        <v>0</v>
      </c>
      <c r="AG367" s="509" t="s">
        <v>2514</v>
      </c>
    </row>
    <row r="368" spans="1:33" hidden="1">
      <c r="A368" s="521">
        <f t="shared" si="17"/>
        <v>204</v>
      </c>
      <c r="B368" s="509" t="s">
        <v>2907</v>
      </c>
      <c r="C368" s="492">
        <v>33.89</v>
      </c>
      <c r="D368" s="490" t="s">
        <v>2359</v>
      </c>
      <c r="E368" s="2"/>
      <c r="H368" s="509" t="s">
        <v>2480</v>
      </c>
      <c r="I368" s="2"/>
      <c r="J368" s="463"/>
      <c r="K368" s="492" t="e">
        <f>(K367+C21)</f>
        <v>#REF!</v>
      </c>
      <c r="R368" s="515" t="s">
        <v>442</v>
      </c>
      <c r="AG368" s="509" t="s">
        <v>2514</v>
      </c>
    </row>
    <row r="369" spans="1:33" hidden="1">
      <c r="A369" s="521">
        <f t="shared" si="17"/>
        <v>205</v>
      </c>
      <c r="B369" s="509" t="s">
        <v>2934</v>
      </c>
      <c r="C369" s="2"/>
      <c r="D369" s="2"/>
      <c r="E369" s="2"/>
      <c r="H369" s="509" t="s">
        <v>2481</v>
      </c>
      <c r="I369" s="2"/>
      <c r="J369" s="463"/>
      <c r="K369" s="492" t="e">
        <f>(K368+C21)</f>
        <v>#REF!</v>
      </c>
      <c r="O369" s="509" t="s">
        <v>2358</v>
      </c>
      <c r="R369" s="519" t="e">
        <f>SUM(R361:R367)</f>
        <v>#REF!</v>
      </c>
      <c r="AG369" s="509" t="s">
        <v>2514</v>
      </c>
    </row>
    <row r="370" spans="1:33" hidden="1">
      <c r="A370" s="521">
        <f t="shared" si="17"/>
        <v>206</v>
      </c>
      <c r="B370" s="509" t="s">
        <v>2905</v>
      </c>
      <c r="C370" s="492">
        <v>13.29</v>
      </c>
      <c r="D370" s="490" t="s">
        <v>2359</v>
      </c>
      <c r="E370" s="2"/>
      <c r="H370" s="509" t="s">
        <v>2885</v>
      </c>
      <c r="I370" s="2"/>
      <c r="J370" s="463"/>
      <c r="K370" s="492" t="e">
        <f>(K369+C21)</f>
        <v>#REF!</v>
      </c>
      <c r="R370" s="515" t="s">
        <v>442</v>
      </c>
      <c r="AG370" s="509" t="s">
        <v>2514</v>
      </c>
    </row>
    <row r="371" spans="1:33" hidden="1">
      <c r="A371" s="521">
        <f t="shared" si="17"/>
        <v>207</v>
      </c>
      <c r="B371" s="509" t="s">
        <v>2906</v>
      </c>
      <c r="C371" s="492">
        <v>18.02</v>
      </c>
      <c r="D371" s="490" t="s">
        <v>2359</v>
      </c>
      <c r="E371" s="2"/>
      <c r="H371" s="509" t="s">
        <v>2935</v>
      </c>
      <c r="I371" s="2"/>
      <c r="J371" s="463"/>
      <c r="K371" s="492" t="e">
        <f>(K366+K367+K368)/3</f>
        <v>#REF!</v>
      </c>
      <c r="O371" s="509" t="s">
        <v>2355</v>
      </c>
      <c r="R371" s="519" t="e">
        <f>(R369/10)</f>
        <v>#REF!</v>
      </c>
      <c r="AG371" s="509" t="s">
        <v>2514</v>
      </c>
    </row>
    <row r="372" spans="1:33" hidden="1">
      <c r="A372" s="521">
        <f t="shared" si="17"/>
        <v>208</v>
      </c>
      <c r="B372" s="509" t="s">
        <v>2907</v>
      </c>
      <c r="C372" s="492">
        <v>23.17</v>
      </c>
      <c r="D372" s="490" t="s">
        <v>2359</v>
      </c>
      <c r="E372" s="2"/>
      <c r="I372" s="2"/>
      <c r="J372" s="463"/>
      <c r="K372" s="2"/>
      <c r="R372" s="515" t="s">
        <v>29</v>
      </c>
      <c r="AG372" s="509" t="s">
        <v>2514</v>
      </c>
    </row>
    <row r="373" spans="1:33" hidden="1">
      <c r="A373" s="521">
        <f t="shared" si="17"/>
        <v>209</v>
      </c>
      <c r="B373" s="509" t="s">
        <v>2936</v>
      </c>
      <c r="C373" s="2"/>
      <c r="D373" s="490" t="s">
        <v>30</v>
      </c>
      <c r="E373" s="2"/>
      <c r="H373" s="510" t="s">
        <v>2937</v>
      </c>
      <c r="I373" s="2"/>
      <c r="J373" s="463"/>
      <c r="K373" s="2"/>
      <c r="N373" s="509" t="s">
        <v>575</v>
      </c>
      <c r="O373" s="509" t="s">
        <v>2938</v>
      </c>
      <c r="AG373" s="509" t="s">
        <v>2514</v>
      </c>
    </row>
    <row r="374" spans="1:33" hidden="1">
      <c r="A374" s="521">
        <f t="shared" si="17"/>
        <v>210</v>
      </c>
      <c r="B374" s="509" t="s">
        <v>2905</v>
      </c>
      <c r="C374" s="492">
        <v>9</v>
      </c>
      <c r="D374" s="490" t="s">
        <v>2359</v>
      </c>
      <c r="E374" s="2"/>
      <c r="H374" s="515" t="s">
        <v>442</v>
      </c>
      <c r="I374" s="2"/>
      <c r="J374" s="463"/>
      <c r="K374" s="2"/>
      <c r="O374" s="515" t="s">
        <v>442</v>
      </c>
      <c r="AG374" s="509" t="s">
        <v>2514</v>
      </c>
    </row>
    <row r="375" spans="1:33" hidden="1">
      <c r="A375" s="521">
        <f t="shared" si="17"/>
        <v>211</v>
      </c>
      <c r="B375" s="509" t="s">
        <v>2906</v>
      </c>
      <c r="C375" s="492">
        <v>11.58</v>
      </c>
      <c r="D375" s="490" t="s">
        <v>2359</v>
      </c>
      <c r="E375" s="2"/>
      <c r="F375" s="524">
        <v>10</v>
      </c>
      <c r="G375" s="518" t="s">
        <v>575</v>
      </c>
      <c r="H375" s="509" t="s">
        <v>2925</v>
      </c>
      <c r="I375" s="2"/>
      <c r="J375" s="463"/>
      <c r="K375" s="2"/>
      <c r="M375" s="519">
        <v>0.05</v>
      </c>
      <c r="N375" s="509" t="s">
        <v>2334</v>
      </c>
      <c r="O375" s="509" t="s">
        <v>2592</v>
      </c>
      <c r="P375" s="519">
        <f>(C84)</f>
        <v>773</v>
      </c>
      <c r="Q375" s="509" t="s">
        <v>2334</v>
      </c>
      <c r="R375" s="519">
        <f>(M375*P375)</f>
        <v>38.650000000000006</v>
      </c>
      <c r="AG375" s="509" t="s">
        <v>2514</v>
      </c>
    </row>
    <row r="376" spans="1:33" hidden="1">
      <c r="A376" s="521">
        <f t="shared" si="17"/>
        <v>212</v>
      </c>
      <c r="B376" s="509" t="s">
        <v>2907</v>
      </c>
      <c r="C376" s="492">
        <v>14.15</v>
      </c>
      <c r="D376" s="490" t="s">
        <v>2359</v>
      </c>
      <c r="E376" s="2"/>
      <c r="H376" s="519" t="str">
        <f>H308</f>
        <v>Bricks of size 22x11x7 cm</v>
      </c>
      <c r="I376" s="2"/>
      <c r="J376" s="463"/>
      <c r="K376" s="2"/>
      <c r="M376" s="519">
        <v>1.1000000000000001</v>
      </c>
      <c r="N376" s="509" t="s">
        <v>2342</v>
      </c>
      <c r="O376" s="509" t="s">
        <v>2343</v>
      </c>
      <c r="P376" s="519">
        <f>(C11)</f>
        <v>135</v>
      </c>
      <c r="Q376" s="509" t="s">
        <v>2342</v>
      </c>
      <c r="R376" s="519">
        <f>(M376*P376)</f>
        <v>148.5</v>
      </c>
      <c r="AG376" s="509" t="s">
        <v>2514</v>
      </c>
    </row>
    <row r="377" spans="1:33" hidden="1">
      <c r="A377" s="521">
        <f t="shared" si="17"/>
        <v>213</v>
      </c>
      <c r="B377" s="509" t="s">
        <v>2939</v>
      </c>
      <c r="C377" s="2"/>
      <c r="D377" s="2"/>
      <c r="E377" s="2"/>
      <c r="H377" s="515" t="s">
        <v>442</v>
      </c>
      <c r="I377" s="2"/>
      <c r="J377" s="463"/>
      <c r="K377" s="2"/>
      <c r="M377" s="519">
        <v>0.3</v>
      </c>
      <c r="N377" s="509" t="s">
        <v>2342</v>
      </c>
      <c r="O377" s="509" t="s">
        <v>2344</v>
      </c>
      <c r="P377" s="519">
        <f>(C12)</f>
        <v>95</v>
      </c>
      <c r="Q377" s="509" t="s">
        <v>2342</v>
      </c>
      <c r="R377" s="519">
        <f>(M377*P377)</f>
        <v>28.5</v>
      </c>
      <c r="AG377" s="509" t="s">
        <v>2514</v>
      </c>
    </row>
    <row r="378" spans="1:33" hidden="1">
      <c r="A378" s="521">
        <f t="shared" si="17"/>
        <v>214</v>
      </c>
      <c r="B378" s="509" t="s">
        <v>2905</v>
      </c>
      <c r="C378" s="492">
        <v>4.29</v>
      </c>
      <c r="D378" s="490" t="s">
        <v>2359</v>
      </c>
      <c r="E378" s="2"/>
      <c r="F378" s="519">
        <f>F310</f>
        <v>4800</v>
      </c>
      <c r="G378" s="518" t="s">
        <v>2351</v>
      </c>
      <c r="H378" s="519" t="str">
        <f>H308</f>
        <v>Bricks of size 22x11x7 cm</v>
      </c>
      <c r="I378" s="492" t="e">
        <f>(C80)</f>
        <v>#REF!</v>
      </c>
      <c r="J378" s="500" t="s">
        <v>2352</v>
      </c>
      <c r="K378" s="492" t="e">
        <f>(F378*I378)/1000</f>
        <v>#REF!</v>
      </c>
      <c r="M378" s="519">
        <v>1.9</v>
      </c>
      <c r="N378" s="509" t="s">
        <v>2342</v>
      </c>
      <c r="O378" s="509" t="s">
        <v>2345</v>
      </c>
      <c r="P378" s="519">
        <f>(C13)</f>
        <v>85</v>
      </c>
      <c r="Q378" s="509" t="s">
        <v>2342</v>
      </c>
      <c r="R378" s="519">
        <f>(M378*P378)</f>
        <v>161.5</v>
      </c>
      <c r="AG378" s="509" t="s">
        <v>2514</v>
      </c>
    </row>
    <row r="379" spans="1:33" hidden="1">
      <c r="A379" s="521">
        <f t="shared" si="17"/>
        <v>215</v>
      </c>
      <c r="B379" s="509" t="s">
        <v>2906</v>
      </c>
      <c r="C379" s="492">
        <v>6.01</v>
      </c>
      <c r="D379" s="490" t="s">
        <v>2359</v>
      </c>
      <c r="E379" s="2"/>
      <c r="F379" s="519">
        <v>1.59</v>
      </c>
      <c r="G379" s="518" t="s">
        <v>2334</v>
      </c>
      <c r="H379" s="509" t="s">
        <v>2647</v>
      </c>
      <c r="I379" s="492" t="e">
        <f>(K40)</f>
        <v>#REF!</v>
      </c>
      <c r="J379" s="500" t="s">
        <v>2334</v>
      </c>
      <c r="K379" s="492" t="e">
        <f>(F379*I379)</f>
        <v>#REF!</v>
      </c>
      <c r="N379" s="509" t="s">
        <v>2346</v>
      </c>
      <c r="O379" s="509" t="s">
        <v>2940</v>
      </c>
      <c r="P379" s="509" t="s">
        <v>30</v>
      </c>
      <c r="Q379" s="509" t="s">
        <v>2346</v>
      </c>
      <c r="R379" s="519">
        <v>1.46</v>
      </c>
      <c r="AG379" s="509" t="s">
        <v>2514</v>
      </c>
    </row>
    <row r="380" spans="1:33" hidden="1">
      <c r="A380" s="521">
        <f t="shared" si="17"/>
        <v>216</v>
      </c>
      <c r="B380" s="509" t="s">
        <v>2907</v>
      </c>
      <c r="C380" s="492">
        <v>6.86</v>
      </c>
      <c r="D380" s="490" t="s">
        <v>2359</v>
      </c>
      <c r="E380" s="2"/>
      <c r="F380" s="519">
        <v>7</v>
      </c>
      <c r="G380" s="518" t="s">
        <v>2342</v>
      </c>
      <c r="H380" s="509" t="s">
        <v>2353</v>
      </c>
      <c r="I380" s="492">
        <f>(C10)</f>
        <v>150</v>
      </c>
      <c r="J380" s="500" t="s">
        <v>2342</v>
      </c>
      <c r="K380" s="492">
        <f>(F380*I380)</f>
        <v>1050</v>
      </c>
      <c r="R380" s="515" t="s">
        <v>442</v>
      </c>
      <c r="AG380" s="509" t="s">
        <v>2514</v>
      </c>
    </row>
    <row r="381" spans="1:33" hidden="1">
      <c r="A381" s="521">
        <f t="shared" si="17"/>
        <v>217</v>
      </c>
      <c r="B381" s="509" t="s">
        <v>2941</v>
      </c>
      <c r="C381" s="2"/>
      <c r="D381" s="490" t="s">
        <v>30</v>
      </c>
      <c r="E381" s="2"/>
      <c r="F381" s="519">
        <v>7.1</v>
      </c>
      <c r="G381" s="518" t="s">
        <v>2342</v>
      </c>
      <c r="H381" s="509" t="s">
        <v>2343</v>
      </c>
      <c r="I381" s="492">
        <f>(C11)</f>
        <v>135</v>
      </c>
      <c r="J381" s="500" t="s">
        <v>2342</v>
      </c>
      <c r="K381" s="492">
        <f>(F381*I381)</f>
        <v>958.5</v>
      </c>
      <c r="O381" s="509" t="s">
        <v>2942</v>
      </c>
      <c r="R381" s="519">
        <f>SUM(R374:R379)</f>
        <v>378.60999999999996</v>
      </c>
      <c r="AG381" s="509" t="s">
        <v>2514</v>
      </c>
    </row>
    <row r="382" spans="1:33" hidden="1">
      <c r="A382" s="521">
        <f t="shared" si="17"/>
        <v>218</v>
      </c>
      <c r="B382" s="509" t="s">
        <v>2905</v>
      </c>
      <c r="C382" s="492">
        <v>14.91</v>
      </c>
      <c r="D382" s="490" t="s">
        <v>2359</v>
      </c>
      <c r="E382" s="2"/>
      <c r="F382" s="519">
        <v>7.1</v>
      </c>
      <c r="G382" s="518" t="s">
        <v>2342</v>
      </c>
      <c r="H382" s="509" t="s">
        <v>2344</v>
      </c>
      <c r="I382" s="492">
        <f>(C12)</f>
        <v>95</v>
      </c>
      <c r="J382" s="500" t="s">
        <v>2342</v>
      </c>
      <c r="K382" s="492">
        <f>(F382*I382)</f>
        <v>674.5</v>
      </c>
      <c r="R382" s="515" t="s">
        <v>442</v>
      </c>
      <c r="AG382" s="509" t="s">
        <v>2514</v>
      </c>
    </row>
    <row r="383" spans="1:33" hidden="1">
      <c r="A383" s="521">
        <f t="shared" si="17"/>
        <v>219</v>
      </c>
      <c r="B383" s="509" t="s">
        <v>2906</v>
      </c>
      <c r="C383" s="492">
        <v>17.579999999999998</v>
      </c>
      <c r="D383" s="490" t="s">
        <v>2359</v>
      </c>
      <c r="E383" s="2"/>
      <c r="F383" s="519">
        <v>21.2</v>
      </c>
      <c r="G383" s="518" t="s">
        <v>2342</v>
      </c>
      <c r="H383" s="509" t="s">
        <v>2345</v>
      </c>
      <c r="I383" s="492">
        <f>(C13)</f>
        <v>85</v>
      </c>
      <c r="J383" s="500" t="s">
        <v>2342</v>
      </c>
      <c r="K383" s="492">
        <f>(F383*I383)</f>
        <v>1802</v>
      </c>
      <c r="O383" s="509" t="s">
        <v>2355</v>
      </c>
      <c r="R383" s="519">
        <f>(R381/100)</f>
        <v>3.7860999999999994</v>
      </c>
      <c r="AG383" s="509" t="s">
        <v>2514</v>
      </c>
    </row>
    <row r="384" spans="1:33" hidden="1">
      <c r="A384" s="521">
        <f t="shared" si="17"/>
        <v>220</v>
      </c>
      <c r="B384" s="509" t="s">
        <v>2907</v>
      </c>
      <c r="C384" s="492">
        <v>19.3</v>
      </c>
      <c r="D384" s="490" t="s">
        <v>2359</v>
      </c>
      <c r="E384" s="2"/>
      <c r="G384" s="518" t="s">
        <v>2346</v>
      </c>
      <c r="H384" s="509" t="s">
        <v>2347</v>
      </c>
      <c r="I384" s="490" t="s">
        <v>30</v>
      </c>
      <c r="J384" s="500" t="s">
        <v>2346</v>
      </c>
      <c r="K384" s="492">
        <v>0</v>
      </c>
      <c r="R384" s="515" t="s">
        <v>29</v>
      </c>
      <c r="AG384" s="509" t="s">
        <v>2514</v>
      </c>
    </row>
    <row r="385" spans="1:33" hidden="1">
      <c r="A385" s="521">
        <f t="shared" si="17"/>
        <v>221</v>
      </c>
      <c r="B385" s="509" t="s">
        <v>2943</v>
      </c>
      <c r="C385" s="2"/>
      <c r="D385" s="2"/>
      <c r="E385" s="2"/>
      <c r="I385" s="2"/>
      <c r="J385" s="463"/>
      <c r="K385" s="491" t="s">
        <v>442</v>
      </c>
      <c r="AG385" s="509" t="s">
        <v>2690</v>
      </c>
    </row>
    <row r="386" spans="1:33" hidden="1">
      <c r="A386" s="521">
        <f t="shared" si="17"/>
        <v>222</v>
      </c>
      <c r="B386" s="509" t="s">
        <v>2905</v>
      </c>
      <c r="C386" s="492">
        <v>15.87</v>
      </c>
      <c r="D386" s="490" t="s">
        <v>2359</v>
      </c>
      <c r="E386" s="2"/>
      <c r="H386" s="509" t="s">
        <v>2348</v>
      </c>
      <c r="I386" s="2"/>
      <c r="J386" s="463"/>
      <c r="K386" s="492" t="e">
        <f>SUM(K378:K384)</f>
        <v>#REF!</v>
      </c>
    </row>
    <row r="387" spans="1:33" hidden="1">
      <c r="A387" s="521">
        <f t="shared" si="17"/>
        <v>223</v>
      </c>
      <c r="B387" s="509" t="s">
        <v>2906</v>
      </c>
      <c r="C387" s="492">
        <v>20.16</v>
      </c>
      <c r="D387" s="490" t="s">
        <v>2359</v>
      </c>
      <c r="E387" s="2"/>
      <c r="I387" s="2"/>
      <c r="J387" s="463"/>
      <c r="K387" s="491" t="s">
        <v>442</v>
      </c>
      <c r="N387" s="509" t="s">
        <v>2843</v>
      </c>
      <c r="O387" s="509" t="s">
        <v>2944</v>
      </c>
    </row>
    <row r="388" spans="1:33" hidden="1">
      <c r="A388" s="521">
        <f t="shared" si="17"/>
        <v>224</v>
      </c>
      <c r="B388" s="509" t="s">
        <v>2907</v>
      </c>
      <c r="C388" s="492">
        <v>22.31</v>
      </c>
      <c r="D388" s="490" t="s">
        <v>2359</v>
      </c>
      <c r="E388" s="2"/>
      <c r="H388" s="509" t="s">
        <v>2349</v>
      </c>
      <c r="I388" s="2"/>
      <c r="J388" s="463"/>
      <c r="K388" s="492" t="e">
        <f>(K386/10)</f>
        <v>#REF!</v>
      </c>
      <c r="O388" s="515" t="s">
        <v>442</v>
      </c>
      <c r="AG388" s="509" t="s">
        <v>2514</v>
      </c>
    </row>
    <row r="389" spans="1:33" hidden="1">
      <c r="A389" s="521">
        <f t="shared" si="17"/>
        <v>225</v>
      </c>
      <c r="B389" s="509" t="s">
        <v>2945</v>
      </c>
      <c r="C389" s="2"/>
      <c r="D389" s="490" t="s">
        <v>30</v>
      </c>
      <c r="E389" s="2"/>
      <c r="I389" s="2"/>
      <c r="J389" s="463"/>
      <c r="K389" s="491" t="s">
        <v>29</v>
      </c>
      <c r="M389" s="519">
        <v>7.0000000000000007E-2</v>
      </c>
      <c r="N389" s="509" t="s">
        <v>2334</v>
      </c>
      <c r="O389" s="509" t="s">
        <v>2592</v>
      </c>
      <c r="P389" s="519">
        <f>(C84)</f>
        <v>773</v>
      </c>
      <c r="Q389" s="509" t="s">
        <v>2334</v>
      </c>
      <c r="R389" s="519">
        <f>(M389*P389)</f>
        <v>54.110000000000007</v>
      </c>
      <c r="AG389" s="509" t="s">
        <v>2514</v>
      </c>
    </row>
    <row r="390" spans="1:33" hidden="1">
      <c r="A390" s="521">
        <f t="shared" si="17"/>
        <v>226</v>
      </c>
      <c r="B390" s="509" t="s">
        <v>2946</v>
      </c>
      <c r="C390" s="492">
        <v>26.4</v>
      </c>
      <c r="D390" s="490" t="s">
        <v>2205</v>
      </c>
      <c r="E390" s="2"/>
      <c r="I390" s="2"/>
      <c r="J390" s="463"/>
      <c r="K390" s="2"/>
      <c r="M390" s="519">
        <v>1.6</v>
      </c>
      <c r="N390" s="509" t="s">
        <v>2342</v>
      </c>
      <c r="O390" s="509" t="s">
        <v>2343</v>
      </c>
      <c r="P390" s="519">
        <f>(C11)</f>
        <v>135</v>
      </c>
      <c r="Q390" s="509" t="s">
        <v>2342</v>
      </c>
      <c r="R390" s="519">
        <f>(M390*P390)</f>
        <v>216</v>
      </c>
      <c r="AG390" s="509" t="s">
        <v>2514</v>
      </c>
    </row>
    <row r="391" spans="1:33" hidden="1">
      <c r="A391" s="521">
        <f t="shared" si="17"/>
        <v>227</v>
      </c>
      <c r="B391" s="509" t="s">
        <v>2947</v>
      </c>
      <c r="C391" s="492">
        <v>35.26</v>
      </c>
      <c r="D391" s="490" t="s">
        <v>2205</v>
      </c>
      <c r="E391" s="2"/>
      <c r="G391" s="518" t="s">
        <v>2843</v>
      </c>
      <c r="H391" s="509" t="s">
        <v>2948</v>
      </c>
      <c r="I391" s="2"/>
      <c r="J391" s="463"/>
      <c r="K391" s="2"/>
      <c r="M391" s="519">
        <v>0.5</v>
      </c>
      <c r="N391" s="509" t="s">
        <v>2342</v>
      </c>
      <c r="O391" s="509" t="s">
        <v>2344</v>
      </c>
      <c r="P391" s="519">
        <f>(C12)</f>
        <v>95</v>
      </c>
      <c r="Q391" s="509" t="s">
        <v>2342</v>
      </c>
      <c r="R391" s="519">
        <f>(M391*P391)</f>
        <v>47.5</v>
      </c>
      <c r="AG391" s="509" t="s">
        <v>2514</v>
      </c>
    </row>
    <row r="392" spans="1:33" hidden="1">
      <c r="A392" s="521">
        <f t="shared" si="17"/>
        <v>228</v>
      </c>
      <c r="B392" s="509" t="s">
        <v>2949</v>
      </c>
      <c r="C392" s="492">
        <v>48.71</v>
      </c>
      <c r="D392" s="490" t="s">
        <v>2205</v>
      </c>
      <c r="E392" s="2"/>
      <c r="H392" s="515" t="s">
        <v>442</v>
      </c>
      <c r="I392" s="2"/>
      <c r="J392" s="463"/>
      <c r="K392" s="2"/>
      <c r="M392" s="519">
        <v>2.7</v>
      </c>
      <c r="N392" s="509" t="s">
        <v>2342</v>
      </c>
      <c r="O392" s="509" t="s">
        <v>2345</v>
      </c>
      <c r="P392" s="519">
        <f>(C13)</f>
        <v>85</v>
      </c>
      <c r="Q392" s="509" t="s">
        <v>2342</v>
      </c>
      <c r="R392" s="519">
        <f>(M392*P392)</f>
        <v>229.50000000000003</v>
      </c>
      <c r="AG392" s="509" t="s">
        <v>2514</v>
      </c>
    </row>
    <row r="393" spans="1:33" hidden="1">
      <c r="A393" s="521">
        <f t="shared" si="17"/>
        <v>229</v>
      </c>
      <c r="B393" s="509" t="s">
        <v>2950</v>
      </c>
      <c r="C393" s="492">
        <v>58.75</v>
      </c>
      <c r="D393" s="490" t="s">
        <v>2205</v>
      </c>
      <c r="E393" s="2"/>
      <c r="F393" s="519">
        <v>1.1000000000000001</v>
      </c>
      <c r="G393" s="518" t="s">
        <v>2334</v>
      </c>
      <c r="H393" s="509" t="s">
        <v>2951</v>
      </c>
      <c r="I393" s="492" t="e">
        <f>(K388)</f>
        <v>#REF!</v>
      </c>
      <c r="J393" s="500" t="s">
        <v>2342</v>
      </c>
      <c r="K393" s="492" t="e">
        <f>(F393*I393)</f>
        <v>#REF!</v>
      </c>
      <c r="N393" s="509" t="s">
        <v>2346</v>
      </c>
      <c r="O393" s="509" t="s">
        <v>2940</v>
      </c>
      <c r="P393" s="509" t="s">
        <v>30</v>
      </c>
      <c r="Q393" s="509" t="s">
        <v>2346</v>
      </c>
      <c r="R393" s="519">
        <v>2.09</v>
      </c>
      <c r="AG393" s="509" t="s">
        <v>2514</v>
      </c>
    </row>
    <row r="394" spans="1:33" hidden="1">
      <c r="A394" s="521">
        <f t="shared" si="17"/>
        <v>230</v>
      </c>
      <c r="B394" s="509" t="s">
        <v>2952</v>
      </c>
      <c r="C394" s="492">
        <v>70.2</v>
      </c>
      <c r="D394" s="490" t="s">
        <v>2205</v>
      </c>
      <c r="E394" s="2"/>
      <c r="F394" s="519">
        <v>1</v>
      </c>
      <c r="G394" s="518" t="s">
        <v>2359</v>
      </c>
      <c r="H394" s="509" t="s">
        <v>2353</v>
      </c>
      <c r="I394" s="492">
        <f>(C10)</f>
        <v>150</v>
      </c>
      <c r="J394" s="500" t="s">
        <v>2342</v>
      </c>
      <c r="K394" s="492">
        <f>(F394*I394)</f>
        <v>150</v>
      </c>
      <c r="R394" s="515" t="s">
        <v>442</v>
      </c>
      <c r="AG394" s="509" t="s">
        <v>2514</v>
      </c>
    </row>
    <row r="395" spans="1:33" hidden="1">
      <c r="A395" s="521">
        <f t="shared" si="17"/>
        <v>231</v>
      </c>
      <c r="B395" s="509" t="s">
        <v>2905</v>
      </c>
      <c r="C395" s="492">
        <v>91.85</v>
      </c>
      <c r="D395" s="490" t="s">
        <v>2205</v>
      </c>
      <c r="E395" s="2"/>
      <c r="G395" s="518" t="s">
        <v>2346</v>
      </c>
      <c r="H395" s="509" t="s">
        <v>2347</v>
      </c>
      <c r="I395" s="490" t="s">
        <v>30</v>
      </c>
      <c r="J395" s="500" t="s">
        <v>2346</v>
      </c>
      <c r="K395" s="492">
        <v>0</v>
      </c>
      <c r="O395" s="509" t="s">
        <v>2942</v>
      </c>
      <c r="R395" s="519">
        <f>SUM(R388:R393)</f>
        <v>549.20000000000005</v>
      </c>
      <c r="AG395" s="509" t="s">
        <v>2514</v>
      </c>
    </row>
    <row r="396" spans="1:33" hidden="1">
      <c r="A396" s="521">
        <f t="shared" ref="A396:A420" si="19">(A395+1)</f>
        <v>232</v>
      </c>
      <c r="B396" s="509" t="s">
        <v>2953</v>
      </c>
      <c r="C396" s="492">
        <v>128</v>
      </c>
      <c r="D396" s="490" t="s">
        <v>2205</v>
      </c>
      <c r="E396" s="2"/>
      <c r="I396" s="2"/>
      <c r="J396" s="463"/>
      <c r="K396" s="491" t="s">
        <v>442</v>
      </c>
      <c r="R396" s="515" t="s">
        <v>442</v>
      </c>
      <c r="AG396" s="509" t="s">
        <v>2514</v>
      </c>
    </row>
    <row r="397" spans="1:33" hidden="1">
      <c r="A397" s="521">
        <f t="shared" si="19"/>
        <v>233</v>
      </c>
      <c r="B397" s="509" t="s">
        <v>2954</v>
      </c>
      <c r="C397" s="2"/>
      <c r="D397" s="2"/>
      <c r="E397" s="2"/>
      <c r="H397" s="509" t="s">
        <v>2358</v>
      </c>
      <c r="I397" s="2"/>
      <c r="J397" s="463"/>
      <c r="K397" s="492" t="e">
        <f>SUM(K393:K395)</f>
        <v>#REF!</v>
      </c>
      <c r="O397" s="509" t="s">
        <v>2355</v>
      </c>
      <c r="R397" s="519">
        <f>(R395/100)</f>
        <v>5.4920000000000009</v>
      </c>
      <c r="AG397" s="509" t="s">
        <v>2514</v>
      </c>
    </row>
    <row r="398" spans="1:33" hidden="1">
      <c r="A398" s="521">
        <f t="shared" si="19"/>
        <v>234</v>
      </c>
      <c r="B398" s="509" t="s">
        <v>2946</v>
      </c>
      <c r="C398" s="492">
        <v>9</v>
      </c>
      <c r="D398" s="490" t="s">
        <v>2342</v>
      </c>
      <c r="E398" s="2"/>
      <c r="I398" s="2"/>
      <c r="J398" s="463"/>
      <c r="K398" s="491" t="s">
        <v>442</v>
      </c>
      <c r="R398" s="515" t="s">
        <v>29</v>
      </c>
      <c r="AG398" s="509" t="s">
        <v>2514</v>
      </c>
    </row>
    <row r="399" spans="1:33" hidden="1">
      <c r="A399" s="521">
        <f t="shared" si="19"/>
        <v>235</v>
      </c>
      <c r="B399" s="509" t="s">
        <v>2947</v>
      </c>
      <c r="C399" s="492">
        <v>11</v>
      </c>
      <c r="D399" s="490" t="s">
        <v>2342</v>
      </c>
      <c r="E399" s="2"/>
      <c r="H399" s="509" t="s">
        <v>2355</v>
      </c>
      <c r="I399" s="2"/>
      <c r="J399" s="463"/>
      <c r="K399" s="492" t="e">
        <f>(K397/10)</f>
        <v>#REF!</v>
      </c>
      <c r="N399" s="509" t="s">
        <v>2843</v>
      </c>
      <c r="O399" s="509" t="s">
        <v>2955</v>
      </c>
      <c r="AG399" s="509" t="s">
        <v>2514</v>
      </c>
    </row>
    <row r="400" spans="1:33" hidden="1">
      <c r="A400" s="521">
        <f t="shared" si="19"/>
        <v>236</v>
      </c>
      <c r="B400" s="509" t="s">
        <v>2949</v>
      </c>
      <c r="C400" s="492">
        <v>18</v>
      </c>
      <c r="D400" s="490" t="s">
        <v>2342</v>
      </c>
      <c r="E400" s="2"/>
      <c r="I400" s="2"/>
      <c r="J400" s="463"/>
      <c r="K400" s="491" t="s">
        <v>29</v>
      </c>
      <c r="O400" s="515" t="s">
        <v>442</v>
      </c>
      <c r="AG400" s="509" t="s">
        <v>2514</v>
      </c>
    </row>
    <row r="401" spans="1:33" hidden="1">
      <c r="A401" s="521">
        <f t="shared" si="19"/>
        <v>237</v>
      </c>
      <c r="B401" s="509" t="s">
        <v>2950</v>
      </c>
      <c r="C401" s="492">
        <v>24.6</v>
      </c>
      <c r="D401" s="490" t="s">
        <v>2342</v>
      </c>
      <c r="E401" s="2"/>
      <c r="H401" s="509" t="s">
        <v>2354</v>
      </c>
      <c r="I401" s="2"/>
      <c r="J401" s="463"/>
      <c r="K401" s="492" t="e">
        <f>(K399+C19/10*F393)</f>
        <v>#REF!</v>
      </c>
      <c r="M401" s="519">
        <v>10</v>
      </c>
      <c r="N401" s="509" t="s">
        <v>2788</v>
      </c>
      <c r="O401" s="509" t="s">
        <v>2944</v>
      </c>
      <c r="P401" s="519">
        <f>(R397)</f>
        <v>5.4920000000000009</v>
      </c>
      <c r="Q401" s="509" t="s">
        <v>2788</v>
      </c>
      <c r="R401" s="519">
        <f>(M401*P401)</f>
        <v>54.920000000000009</v>
      </c>
      <c r="AG401" s="509" t="s">
        <v>2514</v>
      </c>
    </row>
    <row r="402" spans="1:33" hidden="1">
      <c r="A402" s="521">
        <f t="shared" si="19"/>
        <v>238</v>
      </c>
      <c r="B402" s="509" t="s">
        <v>2952</v>
      </c>
      <c r="C402" s="492">
        <v>31.46</v>
      </c>
      <c r="D402" s="490" t="s">
        <v>2342</v>
      </c>
      <c r="E402" s="2"/>
      <c r="H402" s="509" t="s">
        <v>2362</v>
      </c>
      <c r="I402" s="2"/>
      <c r="J402" s="463"/>
      <c r="K402" s="492" t="e">
        <f>(K401+C20/10*F393)</f>
        <v>#REF!</v>
      </c>
      <c r="M402" s="519">
        <v>10</v>
      </c>
      <c r="N402" s="509" t="s">
        <v>2788</v>
      </c>
      <c r="O402" s="509" t="s">
        <v>2956</v>
      </c>
      <c r="P402" s="519">
        <f>(R397/2)</f>
        <v>2.7460000000000004</v>
      </c>
      <c r="Q402" s="509" t="s">
        <v>2788</v>
      </c>
      <c r="R402" s="519">
        <f>(M402*P402)</f>
        <v>27.460000000000004</v>
      </c>
      <c r="AG402" s="509" t="s">
        <v>2514</v>
      </c>
    </row>
    <row r="403" spans="1:33" hidden="1">
      <c r="A403" s="521">
        <f t="shared" si="19"/>
        <v>239</v>
      </c>
      <c r="B403" s="509" t="s">
        <v>2905</v>
      </c>
      <c r="C403" s="492">
        <v>53.2</v>
      </c>
      <c r="D403" s="490" t="s">
        <v>2342</v>
      </c>
      <c r="E403" s="2"/>
      <c r="H403" s="509" t="s">
        <v>2480</v>
      </c>
      <c r="I403" s="2"/>
      <c r="J403" s="463"/>
      <c r="K403" s="492" t="e">
        <f>(K402+C21/10*F393)</f>
        <v>#REF!</v>
      </c>
      <c r="O403" s="509" t="s">
        <v>2957</v>
      </c>
      <c r="R403" s="515" t="s">
        <v>442</v>
      </c>
      <c r="AG403" s="509" t="s">
        <v>2514</v>
      </c>
    </row>
    <row r="404" spans="1:33" hidden="1">
      <c r="A404" s="521">
        <f t="shared" si="19"/>
        <v>240</v>
      </c>
      <c r="B404" s="509" t="s">
        <v>2953</v>
      </c>
      <c r="C404" s="492">
        <v>76.36</v>
      </c>
      <c r="D404" s="490" t="s">
        <v>2342</v>
      </c>
      <c r="E404" s="2"/>
      <c r="H404" s="509" t="s">
        <v>2481</v>
      </c>
      <c r="I404" s="2"/>
      <c r="J404" s="463"/>
      <c r="K404" s="492" t="e">
        <f>(K403+C21/10*F393)</f>
        <v>#REF!</v>
      </c>
      <c r="R404" s="519">
        <f>SUM(R401:R402)</f>
        <v>82.38000000000001</v>
      </c>
      <c r="AG404" s="509" t="s">
        <v>2514</v>
      </c>
    </row>
    <row r="405" spans="1:33" hidden="1">
      <c r="A405" s="521">
        <f t="shared" si="19"/>
        <v>241</v>
      </c>
      <c r="B405" s="509" t="s">
        <v>2958</v>
      </c>
      <c r="C405" s="2"/>
      <c r="D405" s="490" t="s">
        <v>30</v>
      </c>
      <c r="E405" s="2"/>
      <c r="H405" s="509" t="s">
        <v>262</v>
      </c>
      <c r="I405" s="2"/>
      <c r="J405" s="463"/>
      <c r="K405" s="492" t="e">
        <f>(K404+C21/10*F393)</f>
        <v>#REF!</v>
      </c>
      <c r="O405" s="509" t="s">
        <v>2358</v>
      </c>
      <c r="R405" s="515" t="s">
        <v>442</v>
      </c>
      <c r="AG405" s="509" t="s">
        <v>2514</v>
      </c>
    </row>
    <row r="406" spans="1:33" hidden="1">
      <c r="A406" s="521">
        <f t="shared" si="19"/>
        <v>242</v>
      </c>
      <c r="B406" s="509" t="s">
        <v>2946</v>
      </c>
      <c r="C406" s="492">
        <v>5.5</v>
      </c>
      <c r="D406" s="490" t="s">
        <v>2342</v>
      </c>
      <c r="E406" s="2"/>
      <c r="F406" s="524">
        <v>11</v>
      </c>
      <c r="G406" s="518" t="s">
        <v>575</v>
      </c>
      <c r="H406" s="509" t="s">
        <v>2925</v>
      </c>
      <c r="I406" s="2"/>
      <c r="J406" s="463"/>
      <c r="K406" s="2"/>
      <c r="R406" s="519">
        <f>(R404/10)</f>
        <v>8.2380000000000013</v>
      </c>
      <c r="AG406" s="509" t="s">
        <v>2514</v>
      </c>
    </row>
    <row r="407" spans="1:33" hidden="1">
      <c r="A407" s="521">
        <f t="shared" si="19"/>
        <v>243</v>
      </c>
      <c r="B407" s="509" t="s">
        <v>2947</v>
      </c>
      <c r="C407" s="492">
        <v>8</v>
      </c>
      <c r="D407" s="490" t="s">
        <v>2342</v>
      </c>
      <c r="E407" s="2"/>
      <c r="H407" s="519" t="str">
        <f>H308</f>
        <v>Bricks of size 22x11x7 cm</v>
      </c>
      <c r="I407" s="2"/>
      <c r="J407" s="463"/>
      <c r="K407" s="2"/>
      <c r="O407" s="509" t="s">
        <v>2355</v>
      </c>
      <c r="R407" s="515" t="s">
        <v>29</v>
      </c>
      <c r="AG407" s="509" t="s">
        <v>2514</v>
      </c>
    </row>
    <row r="408" spans="1:33" hidden="1">
      <c r="A408" s="521">
        <f t="shared" si="19"/>
        <v>244</v>
      </c>
      <c r="B408" s="509" t="s">
        <v>2949</v>
      </c>
      <c r="C408" s="492">
        <v>10.4</v>
      </c>
      <c r="D408" s="490" t="s">
        <v>2342</v>
      </c>
      <c r="E408" s="2"/>
      <c r="H408" s="515" t="s">
        <v>442</v>
      </c>
      <c r="I408" s="2"/>
      <c r="J408" s="463"/>
      <c r="K408" s="2"/>
      <c r="AG408" s="509" t="s">
        <v>2514</v>
      </c>
    </row>
    <row r="409" spans="1:33" hidden="1">
      <c r="A409" s="521">
        <f t="shared" si="19"/>
        <v>245</v>
      </c>
      <c r="B409" s="509" t="s">
        <v>2950</v>
      </c>
      <c r="C409" s="492">
        <v>22.06</v>
      </c>
      <c r="D409" s="490" t="s">
        <v>2342</v>
      </c>
      <c r="E409" s="2"/>
      <c r="F409" s="519">
        <f>F310</f>
        <v>4800</v>
      </c>
      <c r="G409" s="518" t="s">
        <v>2351</v>
      </c>
      <c r="H409" s="519" t="str">
        <f>H308</f>
        <v>Bricks of size 22x11x7 cm</v>
      </c>
      <c r="I409" s="492" t="e">
        <f>(C80)</f>
        <v>#REF!</v>
      </c>
      <c r="J409" s="500" t="s">
        <v>2959</v>
      </c>
      <c r="K409" s="492" t="e">
        <f>(F409*I409)/1000</f>
        <v>#REF!</v>
      </c>
      <c r="N409" s="509" t="s">
        <v>575</v>
      </c>
      <c r="O409" s="509" t="s">
        <v>2960</v>
      </c>
      <c r="AG409" s="509" t="s">
        <v>2514</v>
      </c>
    </row>
    <row r="410" spans="1:33" hidden="1">
      <c r="A410" s="521">
        <f t="shared" si="19"/>
        <v>246</v>
      </c>
      <c r="B410" s="509" t="s">
        <v>2952</v>
      </c>
      <c r="C410" s="492">
        <v>27.91</v>
      </c>
      <c r="D410" s="490" t="s">
        <v>2342</v>
      </c>
      <c r="E410" s="2"/>
      <c r="F410" s="519">
        <v>1.59</v>
      </c>
      <c r="G410" s="518" t="s">
        <v>2334</v>
      </c>
      <c r="H410" s="509" t="s">
        <v>2647</v>
      </c>
      <c r="I410" s="492" t="e">
        <f>(K40)</f>
        <v>#REF!</v>
      </c>
      <c r="J410" s="500" t="s">
        <v>2334</v>
      </c>
      <c r="K410" s="492" t="e">
        <f>(F410*I410)</f>
        <v>#REF!</v>
      </c>
      <c r="O410" s="509" t="s">
        <v>2961</v>
      </c>
      <c r="AG410" s="509" t="s">
        <v>2514</v>
      </c>
    </row>
    <row r="411" spans="1:33" hidden="1">
      <c r="A411" s="521">
        <f t="shared" si="19"/>
        <v>247</v>
      </c>
      <c r="B411" s="509" t="s">
        <v>2905</v>
      </c>
      <c r="C411" s="492">
        <v>49.42</v>
      </c>
      <c r="D411" s="490" t="s">
        <v>2342</v>
      </c>
      <c r="E411" s="2"/>
      <c r="F411" s="519">
        <v>7</v>
      </c>
      <c r="G411" s="518" t="s">
        <v>2342</v>
      </c>
      <c r="H411" s="509" t="s">
        <v>2353</v>
      </c>
      <c r="I411" s="492">
        <f>(C10)</f>
        <v>150</v>
      </c>
      <c r="J411" s="500" t="s">
        <v>2342</v>
      </c>
      <c r="K411" s="492">
        <f>(F411*I411)</f>
        <v>1050</v>
      </c>
      <c r="O411" s="515" t="s">
        <v>442</v>
      </c>
      <c r="AG411" s="509" t="s">
        <v>2514</v>
      </c>
    </row>
    <row r="412" spans="1:33" hidden="1">
      <c r="A412" s="521">
        <f t="shared" si="19"/>
        <v>248</v>
      </c>
      <c r="B412" s="509" t="s">
        <v>2953</v>
      </c>
      <c r="C412" s="492">
        <v>86.94</v>
      </c>
      <c r="D412" s="490" t="s">
        <v>2342</v>
      </c>
      <c r="E412" s="2"/>
      <c r="F412" s="519">
        <v>7.1</v>
      </c>
      <c r="G412" s="518" t="s">
        <v>2342</v>
      </c>
      <c r="H412" s="509" t="s">
        <v>2343</v>
      </c>
      <c r="I412" s="492">
        <f>(C11)</f>
        <v>135</v>
      </c>
      <c r="J412" s="500" t="s">
        <v>2342</v>
      </c>
      <c r="K412" s="492">
        <f>(F412*I412)</f>
        <v>958.5</v>
      </c>
      <c r="M412" s="519">
        <v>10</v>
      </c>
      <c r="N412" s="509" t="s">
        <v>2788</v>
      </c>
      <c r="O412" s="509" t="s">
        <v>2938</v>
      </c>
      <c r="P412" s="519">
        <f>(R383)</f>
        <v>3.7860999999999994</v>
      </c>
      <c r="Q412" s="509" t="s">
        <v>2788</v>
      </c>
      <c r="R412" s="519">
        <f>(M412*P412)</f>
        <v>37.86099999999999</v>
      </c>
      <c r="AG412" s="509" t="s">
        <v>2514</v>
      </c>
    </row>
    <row r="413" spans="1:33" hidden="1">
      <c r="A413" s="521">
        <f t="shared" si="19"/>
        <v>249</v>
      </c>
      <c r="B413" s="509" t="s">
        <v>2962</v>
      </c>
      <c r="C413" s="2"/>
      <c r="D413" s="490" t="s">
        <v>30</v>
      </c>
      <c r="E413" s="2"/>
      <c r="F413" s="519">
        <v>7.1</v>
      </c>
      <c r="G413" s="518" t="s">
        <v>2342</v>
      </c>
      <c r="H413" s="509" t="s">
        <v>2344</v>
      </c>
      <c r="I413" s="492">
        <f>(C12)</f>
        <v>95</v>
      </c>
      <c r="J413" s="500" t="s">
        <v>2342</v>
      </c>
      <c r="K413" s="492">
        <f>(F413*I413)</f>
        <v>674.5</v>
      </c>
      <c r="M413" s="519">
        <v>10</v>
      </c>
      <c r="N413" s="509" t="s">
        <v>2788</v>
      </c>
      <c r="O413" s="509" t="s">
        <v>2955</v>
      </c>
      <c r="P413" s="519">
        <f>(R406)</f>
        <v>8.2380000000000013</v>
      </c>
      <c r="Q413" s="509" t="s">
        <v>2788</v>
      </c>
      <c r="R413" s="519">
        <f>(M413*P413)</f>
        <v>82.38000000000001</v>
      </c>
      <c r="AG413" s="509" t="s">
        <v>2514</v>
      </c>
    </row>
    <row r="414" spans="1:33" hidden="1">
      <c r="A414" s="521">
        <f t="shared" si="19"/>
        <v>250</v>
      </c>
      <c r="B414" s="509" t="s">
        <v>2946</v>
      </c>
      <c r="C414" s="492">
        <v>5.75</v>
      </c>
      <c r="D414" s="490" t="s">
        <v>2342</v>
      </c>
      <c r="E414" s="2"/>
      <c r="F414" s="519">
        <v>21.2</v>
      </c>
      <c r="G414" s="518" t="s">
        <v>2342</v>
      </c>
      <c r="H414" s="509" t="s">
        <v>2345</v>
      </c>
      <c r="I414" s="492">
        <f>(C13)</f>
        <v>85</v>
      </c>
      <c r="J414" s="500" t="s">
        <v>2342</v>
      </c>
      <c r="K414" s="492">
        <f>(F414*I414)</f>
        <v>1802</v>
      </c>
      <c r="O414" s="509" t="s">
        <v>30</v>
      </c>
      <c r="R414" s="515" t="s">
        <v>442</v>
      </c>
      <c r="AG414" s="509" t="s">
        <v>2514</v>
      </c>
    </row>
    <row r="415" spans="1:33" hidden="1">
      <c r="A415" s="521">
        <f t="shared" si="19"/>
        <v>251</v>
      </c>
      <c r="B415" s="509" t="s">
        <v>2947</v>
      </c>
      <c r="C415" s="492">
        <v>8.5</v>
      </c>
      <c r="D415" s="490" t="s">
        <v>2342</v>
      </c>
      <c r="E415" s="2"/>
      <c r="G415" s="518" t="s">
        <v>2346</v>
      </c>
      <c r="H415" s="509" t="s">
        <v>2347</v>
      </c>
      <c r="I415" s="490" t="s">
        <v>30</v>
      </c>
      <c r="J415" s="500" t="s">
        <v>2346</v>
      </c>
      <c r="K415" s="492">
        <v>0</v>
      </c>
      <c r="R415" s="519">
        <f>SUM(R412:R413)</f>
        <v>120.241</v>
      </c>
      <c r="AG415" s="509" t="s">
        <v>2514</v>
      </c>
    </row>
    <row r="416" spans="1:33" hidden="1">
      <c r="A416" s="521">
        <f t="shared" si="19"/>
        <v>252</v>
      </c>
      <c r="B416" s="509" t="s">
        <v>2949</v>
      </c>
      <c r="C416" s="492">
        <v>14</v>
      </c>
      <c r="D416" s="490" t="s">
        <v>2342</v>
      </c>
      <c r="E416" s="2"/>
      <c r="I416" s="2"/>
      <c r="J416" s="463"/>
      <c r="K416" s="491" t="s">
        <v>442</v>
      </c>
      <c r="O416" s="509" t="s">
        <v>2358</v>
      </c>
      <c r="R416" s="515" t="s">
        <v>442</v>
      </c>
      <c r="AG416" s="509" t="s">
        <v>2514</v>
      </c>
    </row>
    <row r="417" spans="1:33" hidden="1">
      <c r="A417" s="521">
        <f t="shared" si="19"/>
        <v>253</v>
      </c>
      <c r="B417" s="509" t="s">
        <v>2950</v>
      </c>
      <c r="C417" s="492">
        <v>30.11</v>
      </c>
      <c r="D417" s="490" t="s">
        <v>2342</v>
      </c>
      <c r="E417" s="2"/>
      <c r="H417" s="509" t="s">
        <v>2348</v>
      </c>
      <c r="I417" s="2"/>
      <c r="J417" s="463"/>
      <c r="K417" s="492" t="e">
        <f>SUM(K409:K415)</f>
        <v>#REF!</v>
      </c>
      <c r="R417" s="519">
        <f>(R415/10)</f>
        <v>12.024100000000001</v>
      </c>
      <c r="AG417" s="509" t="s">
        <v>2514</v>
      </c>
    </row>
    <row r="418" spans="1:33" hidden="1">
      <c r="A418" s="521">
        <f t="shared" si="19"/>
        <v>254</v>
      </c>
      <c r="B418" s="509" t="s">
        <v>2952</v>
      </c>
      <c r="C418" s="492">
        <v>47.25</v>
      </c>
      <c r="D418" s="490" t="s">
        <v>2342</v>
      </c>
      <c r="E418" s="2"/>
      <c r="I418" s="2"/>
      <c r="J418" s="463"/>
      <c r="K418" s="491" t="s">
        <v>442</v>
      </c>
      <c r="O418" s="509" t="s">
        <v>2355</v>
      </c>
      <c r="R418" s="515" t="s">
        <v>29</v>
      </c>
      <c r="AG418" s="509" t="s">
        <v>2514</v>
      </c>
    </row>
    <row r="419" spans="1:33" hidden="1">
      <c r="A419" s="521">
        <f t="shared" si="19"/>
        <v>255</v>
      </c>
      <c r="B419" s="509" t="s">
        <v>2905</v>
      </c>
      <c r="C419" s="492">
        <v>71.16</v>
      </c>
      <c r="D419" s="490" t="s">
        <v>2342</v>
      </c>
      <c r="E419" s="2"/>
      <c r="H419" s="509" t="s">
        <v>2349</v>
      </c>
      <c r="I419" s="2"/>
      <c r="J419" s="463"/>
      <c r="K419" s="492" t="e">
        <f>(K417/10)</f>
        <v>#REF!</v>
      </c>
      <c r="AG419" s="509" t="s">
        <v>2514</v>
      </c>
    </row>
    <row r="420" spans="1:33" hidden="1">
      <c r="A420" s="521">
        <f t="shared" si="19"/>
        <v>256</v>
      </c>
      <c r="B420" s="509" t="s">
        <v>2953</v>
      </c>
      <c r="C420" s="492">
        <v>125.84</v>
      </c>
      <c r="D420" s="490" t="s">
        <v>2342</v>
      </c>
      <c r="E420" s="2"/>
      <c r="I420" s="2"/>
      <c r="J420" s="463"/>
      <c r="K420" s="491" t="s">
        <v>29</v>
      </c>
      <c r="AG420" s="509" t="s">
        <v>2514</v>
      </c>
    </row>
    <row r="421" spans="1:33" hidden="1">
      <c r="C421" s="2"/>
      <c r="D421" s="2"/>
      <c r="E421" s="2"/>
      <c r="F421" s="509" t="s">
        <v>2485</v>
      </c>
      <c r="I421" s="2"/>
      <c r="J421" s="463"/>
      <c r="K421" s="2"/>
    </row>
    <row r="422" spans="1:33" hidden="1">
      <c r="A422" s="521">
        <f>(A420+1)</f>
        <v>257</v>
      </c>
      <c r="B422" s="509" t="s">
        <v>2963</v>
      </c>
      <c r="C422" s="2"/>
      <c r="D422" s="490" t="s">
        <v>30</v>
      </c>
      <c r="E422" s="2"/>
      <c r="I422" s="2"/>
      <c r="J422" s="463"/>
      <c r="K422" s="2"/>
      <c r="O422" s="510" t="s">
        <v>2964</v>
      </c>
      <c r="AG422" s="509" t="s">
        <v>2514</v>
      </c>
    </row>
    <row r="423" spans="1:33" hidden="1">
      <c r="A423" s="521">
        <f t="shared" ref="A423:A436" si="20">(A422+1)</f>
        <v>258</v>
      </c>
      <c r="B423" s="509" t="s">
        <v>2946</v>
      </c>
      <c r="C423" s="492">
        <v>17</v>
      </c>
      <c r="D423" s="490" t="s">
        <v>2342</v>
      </c>
      <c r="E423" s="2"/>
      <c r="G423" s="518" t="s">
        <v>2965</v>
      </c>
      <c r="H423" s="509" t="s">
        <v>2966</v>
      </c>
      <c r="I423" s="2"/>
      <c r="J423" s="463"/>
      <c r="K423" s="2"/>
      <c r="O423" s="515" t="s">
        <v>442</v>
      </c>
      <c r="AG423" s="509" t="s">
        <v>2514</v>
      </c>
    </row>
    <row r="424" spans="1:33" hidden="1">
      <c r="A424" s="521">
        <f t="shared" si="20"/>
        <v>259</v>
      </c>
      <c r="B424" s="509" t="s">
        <v>2947</v>
      </c>
      <c r="C424" s="492">
        <v>23.4</v>
      </c>
      <c r="D424" s="490" t="s">
        <v>2342</v>
      </c>
      <c r="E424" s="2"/>
      <c r="H424" s="515" t="s">
        <v>442</v>
      </c>
      <c r="I424" s="2"/>
      <c r="J424" s="463"/>
      <c r="K424" s="2"/>
      <c r="N424" s="509" t="s">
        <v>575</v>
      </c>
      <c r="O424" s="509" t="s">
        <v>2967</v>
      </c>
      <c r="AG424" s="509" t="s">
        <v>2514</v>
      </c>
    </row>
    <row r="425" spans="1:33" hidden="1">
      <c r="A425" s="521">
        <f t="shared" si="20"/>
        <v>260</v>
      </c>
      <c r="B425" s="509" t="s">
        <v>2949</v>
      </c>
      <c r="C425" s="492">
        <v>33</v>
      </c>
      <c r="D425" s="490" t="s">
        <v>2342</v>
      </c>
      <c r="E425" s="2"/>
      <c r="F425" s="519">
        <v>0.7</v>
      </c>
      <c r="G425" s="518" t="s">
        <v>2334</v>
      </c>
      <c r="H425" s="509" t="s">
        <v>2848</v>
      </c>
      <c r="I425" s="492" t="e">
        <f>(K419)</f>
        <v>#REF!</v>
      </c>
      <c r="J425" s="500" t="s">
        <v>2342</v>
      </c>
      <c r="K425" s="492" t="e">
        <f>(F425*I425)</f>
        <v>#REF!</v>
      </c>
      <c r="O425" s="509" t="s">
        <v>2968</v>
      </c>
      <c r="AG425" s="509" t="s">
        <v>2514</v>
      </c>
    </row>
    <row r="426" spans="1:33" hidden="1">
      <c r="A426" s="521">
        <f t="shared" si="20"/>
        <v>261</v>
      </c>
      <c r="B426" s="509" t="s">
        <v>2950</v>
      </c>
      <c r="C426" s="492">
        <v>34.22</v>
      </c>
      <c r="D426" s="490" t="s">
        <v>2342</v>
      </c>
      <c r="E426" s="2"/>
      <c r="F426" s="519">
        <v>1</v>
      </c>
      <c r="G426" s="518" t="s">
        <v>2359</v>
      </c>
      <c r="H426" s="509" t="s">
        <v>2353</v>
      </c>
      <c r="I426" s="492">
        <f>(C10)</f>
        <v>150</v>
      </c>
      <c r="J426" s="500" t="s">
        <v>2342</v>
      </c>
      <c r="K426" s="492">
        <f>(F426*I426)</f>
        <v>150</v>
      </c>
      <c r="O426" s="509" t="s">
        <v>2969</v>
      </c>
      <c r="AG426" s="509" t="s">
        <v>2514</v>
      </c>
    </row>
    <row r="427" spans="1:33" hidden="1">
      <c r="A427" s="521">
        <f t="shared" si="20"/>
        <v>262</v>
      </c>
      <c r="B427" s="509" t="s">
        <v>2952</v>
      </c>
      <c r="C427" s="492">
        <v>75.28</v>
      </c>
      <c r="D427" s="490" t="s">
        <v>2342</v>
      </c>
      <c r="E427" s="2"/>
      <c r="G427" s="518" t="s">
        <v>2346</v>
      </c>
      <c r="H427" s="509" t="s">
        <v>2347</v>
      </c>
      <c r="I427" s="490" t="s">
        <v>30</v>
      </c>
      <c r="J427" s="500" t="s">
        <v>2346</v>
      </c>
      <c r="K427" s="492">
        <v>0</v>
      </c>
      <c r="O427" s="515" t="s">
        <v>442</v>
      </c>
      <c r="AG427" s="509" t="s">
        <v>2514</v>
      </c>
    </row>
    <row r="428" spans="1:33" hidden="1">
      <c r="A428" s="521">
        <f t="shared" si="20"/>
        <v>263</v>
      </c>
      <c r="B428" s="509" t="s">
        <v>2905</v>
      </c>
      <c r="C428" s="492">
        <v>92.66</v>
      </c>
      <c r="D428" s="490" t="s">
        <v>2342</v>
      </c>
      <c r="E428" s="2"/>
      <c r="I428" s="2"/>
      <c r="J428" s="463"/>
      <c r="K428" s="491" t="s">
        <v>442</v>
      </c>
      <c r="N428" s="509" t="s">
        <v>2970</v>
      </c>
      <c r="O428" s="510" t="s">
        <v>2971</v>
      </c>
      <c r="AG428" s="509" t="s">
        <v>2514</v>
      </c>
    </row>
    <row r="429" spans="1:33" hidden="1">
      <c r="A429" s="521">
        <f t="shared" si="20"/>
        <v>264</v>
      </c>
      <c r="B429" s="509" t="s">
        <v>2953</v>
      </c>
      <c r="C429" s="492">
        <v>141.86000000000001</v>
      </c>
      <c r="D429" s="490" t="s">
        <v>2342</v>
      </c>
      <c r="E429" s="2"/>
      <c r="H429" s="509" t="s">
        <v>2358</v>
      </c>
      <c r="I429" s="2"/>
      <c r="J429" s="463"/>
      <c r="K429" s="492" t="e">
        <f>SUM(K425:K427)</f>
        <v>#REF!</v>
      </c>
      <c r="O429" s="515" t="s">
        <v>442</v>
      </c>
      <c r="AG429" s="509" t="s">
        <v>2514</v>
      </c>
    </row>
    <row r="430" spans="1:33" hidden="1">
      <c r="A430" s="521">
        <f t="shared" si="20"/>
        <v>265</v>
      </c>
      <c r="B430" s="509" t="s">
        <v>2972</v>
      </c>
      <c r="C430" s="2"/>
      <c r="D430" s="490" t="s">
        <v>30</v>
      </c>
      <c r="E430" s="2"/>
      <c r="I430" s="2"/>
      <c r="J430" s="463"/>
      <c r="K430" s="491" t="s">
        <v>442</v>
      </c>
      <c r="M430" s="519">
        <v>8.1</v>
      </c>
      <c r="N430" s="509" t="s">
        <v>2334</v>
      </c>
      <c r="O430" s="509" t="s">
        <v>2973</v>
      </c>
      <c r="P430" s="519">
        <f>(C61)*2</f>
        <v>50</v>
      </c>
      <c r="Q430" s="509" t="s">
        <v>2334</v>
      </c>
      <c r="R430" s="519">
        <f>(M430*P430)</f>
        <v>405</v>
      </c>
      <c r="AG430" s="509" t="s">
        <v>2514</v>
      </c>
    </row>
    <row r="431" spans="1:33" hidden="1">
      <c r="A431" s="521">
        <f t="shared" si="20"/>
        <v>266</v>
      </c>
      <c r="B431" s="509" t="s">
        <v>2946</v>
      </c>
      <c r="C431" s="492">
        <v>1.8</v>
      </c>
      <c r="D431" s="490" t="s">
        <v>2342</v>
      </c>
      <c r="E431" s="2"/>
      <c r="H431" s="509" t="s">
        <v>2355</v>
      </c>
      <c r="I431" s="2"/>
      <c r="J431" s="463"/>
      <c r="K431" s="492" t="e">
        <f>(K429/10)</f>
        <v>#REF!</v>
      </c>
      <c r="M431" s="519">
        <v>8.1</v>
      </c>
      <c r="N431" s="509" t="s">
        <v>2334</v>
      </c>
      <c r="O431" s="509" t="s">
        <v>2974</v>
      </c>
      <c r="P431" s="519">
        <f>(C26)</f>
        <v>8.8000000000000007</v>
      </c>
      <c r="Q431" s="509" t="s">
        <v>2334</v>
      </c>
      <c r="R431" s="519">
        <f>(M431*P431)</f>
        <v>71.28</v>
      </c>
      <c r="AG431" s="509" t="s">
        <v>2514</v>
      </c>
    </row>
    <row r="432" spans="1:33" hidden="1">
      <c r="A432" s="521">
        <f t="shared" si="20"/>
        <v>267</v>
      </c>
      <c r="B432" s="509" t="s">
        <v>2947</v>
      </c>
      <c r="C432" s="492">
        <v>2.9</v>
      </c>
      <c r="D432" s="490" t="s">
        <v>2342</v>
      </c>
      <c r="E432" s="2"/>
      <c r="I432" s="2"/>
      <c r="J432" s="463"/>
      <c r="K432" s="491" t="s">
        <v>29</v>
      </c>
      <c r="M432" s="519">
        <v>30</v>
      </c>
      <c r="N432" s="509" t="s">
        <v>2205</v>
      </c>
      <c r="O432" s="509" t="s">
        <v>2975</v>
      </c>
      <c r="P432" s="519">
        <f>(C42)</f>
        <v>1.75</v>
      </c>
      <c r="Q432" s="509" t="s">
        <v>2205</v>
      </c>
      <c r="R432" s="519">
        <f>(M432*P432)</f>
        <v>52.5</v>
      </c>
      <c r="AG432" s="509" t="s">
        <v>2514</v>
      </c>
    </row>
    <row r="433" spans="1:33" hidden="1">
      <c r="A433" s="521">
        <f t="shared" si="20"/>
        <v>268</v>
      </c>
      <c r="B433" s="509" t="s">
        <v>2949</v>
      </c>
      <c r="C433" s="492">
        <v>4</v>
      </c>
      <c r="D433" s="490" t="s">
        <v>2342</v>
      </c>
      <c r="E433" s="2"/>
      <c r="H433" s="509" t="s">
        <v>2354</v>
      </c>
      <c r="I433" s="2"/>
      <c r="J433" s="463"/>
      <c r="K433" s="492" t="e">
        <f>(K431+C19/10*F425)</f>
        <v>#REF!</v>
      </c>
      <c r="O433" s="509" t="s">
        <v>2976</v>
      </c>
      <c r="AG433" s="509" t="s">
        <v>2514</v>
      </c>
    </row>
    <row r="434" spans="1:33" hidden="1">
      <c r="A434" s="521">
        <f t="shared" si="20"/>
        <v>269</v>
      </c>
      <c r="B434" s="509" t="s">
        <v>2950</v>
      </c>
      <c r="C434" s="492">
        <v>6.86</v>
      </c>
      <c r="D434" s="490" t="s">
        <v>2342</v>
      </c>
      <c r="E434" s="2"/>
      <c r="H434" s="509" t="s">
        <v>2362</v>
      </c>
      <c r="I434" s="2"/>
      <c r="J434" s="463"/>
      <c r="K434" s="492" t="e">
        <f>(K433+C20/10*F425)</f>
        <v>#REF!</v>
      </c>
      <c r="O434" s="509" t="s">
        <v>2977</v>
      </c>
      <c r="AG434" s="509" t="s">
        <v>2514</v>
      </c>
    </row>
    <row r="435" spans="1:33" hidden="1">
      <c r="A435" s="521">
        <f t="shared" si="20"/>
        <v>270</v>
      </c>
      <c r="B435" s="509" t="s">
        <v>2952</v>
      </c>
      <c r="C435" s="492">
        <v>9.15</v>
      </c>
      <c r="D435" s="490" t="s">
        <v>2342</v>
      </c>
      <c r="E435" s="2"/>
      <c r="H435" s="509" t="s">
        <v>2480</v>
      </c>
      <c r="I435" s="2"/>
      <c r="J435" s="463"/>
      <c r="K435" s="492" t="e">
        <f>(K434+C21/10*F425)</f>
        <v>#REF!</v>
      </c>
      <c r="O435" s="509" t="s">
        <v>2978</v>
      </c>
      <c r="AG435" s="509" t="s">
        <v>2514</v>
      </c>
    </row>
    <row r="436" spans="1:33" hidden="1">
      <c r="A436" s="521">
        <f t="shared" si="20"/>
        <v>271</v>
      </c>
      <c r="B436" s="509" t="s">
        <v>2905</v>
      </c>
      <c r="C436" s="492">
        <v>14.59</v>
      </c>
      <c r="D436" s="490" t="s">
        <v>2342</v>
      </c>
      <c r="E436" s="2"/>
      <c r="H436" s="509" t="s">
        <v>2481</v>
      </c>
      <c r="I436" s="2"/>
      <c r="J436" s="463"/>
      <c r="K436" s="492" t="e">
        <f>(K435+C21/10*F425)</f>
        <v>#REF!</v>
      </c>
      <c r="O436" s="509" t="s">
        <v>2979</v>
      </c>
      <c r="AG436" s="509" t="s">
        <v>2514</v>
      </c>
    </row>
    <row r="437" spans="1:33" hidden="1">
      <c r="A437" s="521"/>
      <c r="B437" s="509"/>
      <c r="C437" s="492"/>
      <c r="D437" s="490"/>
      <c r="E437" s="2"/>
      <c r="H437" s="509" t="s">
        <v>2980</v>
      </c>
      <c r="I437" s="2"/>
      <c r="J437" s="463"/>
      <c r="K437" s="492" t="e">
        <f>(K436+C22/10*F426)</f>
        <v>#REF!</v>
      </c>
      <c r="O437" s="509"/>
      <c r="AG437" s="509"/>
    </row>
    <row r="438" spans="1:33" hidden="1">
      <c r="A438" s="521">
        <f>(A436+1)</f>
        <v>272</v>
      </c>
      <c r="B438" s="509" t="s">
        <v>2953</v>
      </c>
      <c r="C438" s="492">
        <v>21.74</v>
      </c>
      <c r="D438" s="490" t="s">
        <v>2342</v>
      </c>
      <c r="E438" s="2"/>
      <c r="H438" s="510" t="s">
        <v>2981</v>
      </c>
      <c r="I438" s="2"/>
      <c r="J438" s="463"/>
      <c r="K438" s="2"/>
      <c r="M438" s="519">
        <v>8</v>
      </c>
      <c r="N438" s="509" t="s">
        <v>2359</v>
      </c>
      <c r="O438" s="509" t="s">
        <v>2982</v>
      </c>
      <c r="P438" s="519">
        <f>(C43)</f>
        <v>2.2000000000000002</v>
      </c>
      <c r="Q438" s="509" t="s">
        <v>2359</v>
      </c>
      <c r="R438" s="519">
        <f>(M438*P438)</f>
        <v>17.600000000000001</v>
      </c>
      <c r="AG438" s="509" t="s">
        <v>2514</v>
      </c>
    </row>
    <row r="439" spans="1:33" hidden="1">
      <c r="A439" s="521">
        <f t="shared" ref="A439:A489" si="21">(A438+1)</f>
        <v>273</v>
      </c>
      <c r="B439" s="509" t="s">
        <v>2983</v>
      </c>
      <c r="C439" s="2"/>
      <c r="D439" s="490" t="s">
        <v>30</v>
      </c>
      <c r="E439" s="2"/>
      <c r="H439" s="510" t="s">
        <v>2984</v>
      </c>
      <c r="I439" s="2"/>
      <c r="J439" s="463"/>
      <c r="K439" s="2"/>
      <c r="M439" s="519">
        <v>8</v>
      </c>
      <c r="N439" s="509" t="s">
        <v>2359</v>
      </c>
      <c r="O439" s="509" t="s">
        <v>2985</v>
      </c>
      <c r="P439" s="519">
        <f>(C50)</f>
        <v>3.2</v>
      </c>
      <c r="Q439" s="509" t="s">
        <v>2359</v>
      </c>
      <c r="R439" s="519">
        <f>(M439*P439)</f>
        <v>25.6</v>
      </c>
      <c r="AG439" s="509" t="s">
        <v>2514</v>
      </c>
    </row>
    <row r="440" spans="1:33" hidden="1">
      <c r="A440" s="521">
        <f t="shared" si="21"/>
        <v>274</v>
      </c>
      <c r="B440" s="509" t="s">
        <v>2946</v>
      </c>
      <c r="C440" s="492">
        <v>8.85</v>
      </c>
      <c r="D440" s="490" t="s">
        <v>2342</v>
      </c>
      <c r="E440" s="2"/>
      <c r="F440" s="524">
        <v>12</v>
      </c>
      <c r="G440" s="518" t="s">
        <v>575</v>
      </c>
      <c r="H440" s="509" t="s">
        <v>2986</v>
      </c>
      <c r="I440" s="2"/>
      <c r="J440" s="463"/>
      <c r="K440" s="2"/>
      <c r="M440" s="519">
        <v>1</v>
      </c>
      <c r="N440" s="509" t="s">
        <v>2346</v>
      </c>
      <c r="O440" s="509" t="s">
        <v>2987</v>
      </c>
      <c r="P440" s="519">
        <f>(C56)</f>
        <v>12.1</v>
      </c>
      <c r="Q440" s="509" t="s">
        <v>2346</v>
      </c>
      <c r="R440" s="519">
        <f>(M440*P440)</f>
        <v>12.1</v>
      </c>
      <c r="AG440" s="509" t="s">
        <v>2514</v>
      </c>
    </row>
    <row r="441" spans="1:33" hidden="1">
      <c r="A441" s="521">
        <f t="shared" si="21"/>
        <v>275</v>
      </c>
      <c r="B441" s="509" t="s">
        <v>2947</v>
      </c>
      <c r="C441" s="492">
        <v>14</v>
      </c>
      <c r="D441" s="490" t="s">
        <v>2342</v>
      </c>
      <c r="E441" s="2"/>
      <c r="H441" s="509" t="s">
        <v>2717</v>
      </c>
      <c r="I441" s="2"/>
      <c r="J441" s="463"/>
      <c r="K441" s="2"/>
      <c r="M441" s="519">
        <v>1</v>
      </c>
      <c r="N441" s="509" t="s">
        <v>2346</v>
      </c>
      <c r="O441" s="509" t="s">
        <v>2347</v>
      </c>
      <c r="Q441" s="509" t="s">
        <v>2346</v>
      </c>
      <c r="R441" s="519">
        <v>0</v>
      </c>
      <c r="AG441" s="509" t="s">
        <v>2514</v>
      </c>
    </row>
    <row r="442" spans="1:33" hidden="1">
      <c r="A442" s="521">
        <f t="shared" si="21"/>
        <v>276</v>
      </c>
      <c r="B442" s="509" t="s">
        <v>2949</v>
      </c>
      <c r="C442" s="492">
        <v>20.7</v>
      </c>
      <c r="D442" s="490" t="s">
        <v>2342</v>
      </c>
      <c r="E442" s="2"/>
      <c r="H442" s="515" t="s">
        <v>442</v>
      </c>
      <c r="I442" s="2"/>
      <c r="J442" s="463"/>
      <c r="K442" s="2"/>
      <c r="R442" s="515" t="s">
        <v>442</v>
      </c>
      <c r="AG442" s="509" t="s">
        <v>2514</v>
      </c>
    </row>
    <row r="443" spans="1:33" hidden="1">
      <c r="A443" s="521">
        <f t="shared" si="21"/>
        <v>277</v>
      </c>
      <c r="B443" s="509" t="s">
        <v>2950</v>
      </c>
      <c r="C443" s="492">
        <v>41.82</v>
      </c>
      <c r="D443" s="490" t="s">
        <v>2342</v>
      </c>
      <c r="E443" s="2"/>
      <c r="F443" s="519">
        <v>6570</v>
      </c>
      <c r="G443" s="518" t="s">
        <v>2351</v>
      </c>
      <c r="H443" s="509" t="s">
        <v>2988</v>
      </c>
      <c r="I443" s="492" t="e">
        <f>(C77)</f>
        <v>#REF!</v>
      </c>
      <c r="J443" s="500" t="s">
        <v>2352</v>
      </c>
      <c r="K443" s="492" t="e">
        <f>(F443*I443)/1000</f>
        <v>#REF!</v>
      </c>
      <c r="O443" s="509" t="s">
        <v>2989</v>
      </c>
      <c r="R443" s="519">
        <f>SUM(R430:R441)</f>
        <v>584.08000000000004</v>
      </c>
      <c r="AG443" s="509" t="s">
        <v>2690</v>
      </c>
    </row>
    <row r="444" spans="1:33" hidden="1">
      <c r="A444" s="521">
        <f t="shared" si="21"/>
        <v>278</v>
      </c>
      <c r="B444" s="509" t="s">
        <v>2952</v>
      </c>
      <c r="C444" s="492">
        <v>61.78</v>
      </c>
      <c r="D444" s="490" t="s">
        <v>2342</v>
      </c>
      <c r="E444" s="2"/>
      <c r="F444" s="519">
        <v>1.91</v>
      </c>
      <c r="G444" s="518" t="s">
        <v>2334</v>
      </c>
      <c r="H444" s="509" t="s">
        <v>2647</v>
      </c>
      <c r="I444" s="492" t="e">
        <f>(K40)</f>
        <v>#REF!</v>
      </c>
      <c r="J444" s="500" t="s">
        <v>2334</v>
      </c>
      <c r="K444" s="492" t="e">
        <f>(F444*I444)</f>
        <v>#REF!</v>
      </c>
      <c r="R444" s="515" t="s">
        <v>442</v>
      </c>
    </row>
    <row r="445" spans="1:33" hidden="1">
      <c r="A445" s="521">
        <f t="shared" si="21"/>
        <v>279</v>
      </c>
      <c r="B445" s="509" t="s">
        <v>2905</v>
      </c>
      <c r="C445" s="492">
        <v>97.93</v>
      </c>
      <c r="D445" s="490" t="s">
        <v>2342</v>
      </c>
      <c r="E445" s="2"/>
      <c r="F445" s="519">
        <v>7</v>
      </c>
      <c r="G445" s="518" t="s">
        <v>2342</v>
      </c>
      <c r="H445" s="509" t="s">
        <v>2353</v>
      </c>
      <c r="I445" s="492">
        <f>(C10)</f>
        <v>150</v>
      </c>
      <c r="J445" s="500" t="s">
        <v>2342</v>
      </c>
      <c r="K445" s="492">
        <f>(F445*I445)</f>
        <v>1050</v>
      </c>
      <c r="O445" s="509" t="s">
        <v>2990</v>
      </c>
      <c r="R445" s="519">
        <f>(R443/30)</f>
        <v>19.469333333333335</v>
      </c>
    </row>
    <row r="446" spans="1:33" hidden="1">
      <c r="A446" s="521">
        <f t="shared" si="21"/>
        <v>280</v>
      </c>
      <c r="B446" s="509" t="s">
        <v>2953</v>
      </c>
      <c r="C446" s="492">
        <v>156.5</v>
      </c>
      <c r="D446" s="490" t="s">
        <v>2342</v>
      </c>
      <c r="E446" s="2"/>
      <c r="F446" s="519">
        <v>3.6</v>
      </c>
      <c r="G446" s="518" t="s">
        <v>2342</v>
      </c>
      <c r="H446" s="509" t="s">
        <v>2343</v>
      </c>
      <c r="I446" s="492">
        <f>(C11)</f>
        <v>135</v>
      </c>
      <c r="J446" s="500" t="s">
        <v>2342</v>
      </c>
      <c r="K446" s="492">
        <f>(F446*I446)</f>
        <v>486</v>
      </c>
      <c r="R446" s="515" t="s">
        <v>442</v>
      </c>
      <c r="AG446" s="509" t="s">
        <v>2514</v>
      </c>
    </row>
    <row r="447" spans="1:33" hidden="1">
      <c r="A447" s="521">
        <f t="shared" si="21"/>
        <v>281</v>
      </c>
      <c r="B447" s="509" t="s">
        <v>2991</v>
      </c>
      <c r="C447" s="2"/>
      <c r="D447" s="490" t="s">
        <v>30</v>
      </c>
      <c r="E447" s="2"/>
      <c r="F447" s="519">
        <v>7.1</v>
      </c>
      <c r="G447" s="518" t="s">
        <v>2342</v>
      </c>
      <c r="H447" s="509" t="s">
        <v>2344</v>
      </c>
      <c r="I447" s="492">
        <f>(C12)</f>
        <v>95</v>
      </c>
      <c r="J447" s="500" t="s">
        <v>2342</v>
      </c>
      <c r="K447" s="492">
        <f>(F447*I447)</f>
        <v>674.5</v>
      </c>
      <c r="N447" s="509" t="s">
        <v>24</v>
      </c>
      <c r="O447" s="510" t="s">
        <v>2992</v>
      </c>
      <c r="AG447" s="509" t="s">
        <v>2514</v>
      </c>
    </row>
    <row r="448" spans="1:33" hidden="1">
      <c r="A448" s="521">
        <f t="shared" si="21"/>
        <v>282</v>
      </c>
      <c r="B448" s="509" t="s">
        <v>2946</v>
      </c>
      <c r="C448" s="492">
        <v>3.2</v>
      </c>
      <c r="D448" s="490" t="s">
        <v>2342</v>
      </c>
      <c r="E448" s="2"/>
      <c r="F448" s="519">
        <v>14.1</v>
      </c>
      <c r="G448" s="518" t="s">
        <v>2342</v>
      </c>
      <c r="H448" s="509" t="s">
        <v>2345</v>
      </c>
      <c r="I448" s="492">
        <f>(C13)</f>
        <v>85</v>
      </c>
      <c r="J448" s="500" t="s">
        <v>2342</v>
      </c>
      <c r="K448" s="492">
        <f>(F448*I448)</f>
        <v>1198.5</v>
      </c>
      <c r="O448" s="515" t="s">
        <v>442</v>
      </c>
      <c r="AG448" s="509" t="s">
        <v>2514</v>
      </c>
    </row>
    <row r="449" spans="1:33" hidden="1">
      <c r="A449" s="521">
        <f t="shared" si="21"/>
        <v>283</v>
      </c>
      <c r="B449" s="509" t="s">
        <v>2947</v>
      </c>
      <c r="C449" s="492">
        <v>4.7</v>
      </c>
      <c r="D449" s="490" t="s">
        <v>2342</v>
      </c>
      <c r="E449" s="2"/>
      <c r="G449" s="518" t="s">
        <v>2346</v>
      </c>
      <c r="H449" s="509" t="s">
        <v>2347</v>
      </c>
      <c r="I449" s="490" t="s">
        <v>30</v>
      </c>
      <c r="J449" s="500" t="s">
        <v>2346</v>
      </c>
      <c r="K449" s="492">
        <v>0</v>
      </c>
      <c r="M449" s="519">
        <v>8.1</v>
      </c>
      <c r="N449" s="509" t="s">
        <v>2334</v>
      </c>
      <c r="O449" s="509" t="s">
        <v>2973</v>
      </c>
      <c r="P449" s="519">
        <f>(C61)*2</f>
        <v>50</v>
      </c>
      <c r="Q449" s="509" t="s">
        <v>2334</v>
      </c>
      <c r="R449" s="519">
        <f>(M449*P449)</f>
        <v>405</v>
      </c>
      <c r="AG449" s="509" t="s">
        <v>2514</v>
      </c>
    </row>
    <row r="450" spans="1:33" hidden="1">
      <c r="A450" s="521">
        <f t="shared" si="21"/>
        <v>284</v>
      </c>
      <c r="B450" s="509" t="s">
        <v>2949</v>
      </c>
      <c r="C450" s="492">
        <v>7.65</v>
      </c>
      <c r="D450" s="490" t="s">
        <v>2342</v>
      </c>
      <c r="E450" s="2"/>
      <c r="I450" s="2"/>
      <c r="J450" s="463"/>
      <c r="K450" s="491" t="s">
        <v>442</v>
      </c>
      <c r="M450" s="519">
        <v>8.1</v>
      </c>
      <c r="N450" s="509" t="s">
        <v>2334</v>
      </c>
      <c r="O450" s="509" t="s">
        <v>2974</v>
      </c>
      <c r="P450" s="519">
        <f>(C26)</f>
        <v>8.8000000000000007</v>
      </c>
      <c r="Q450" s="509" t="s">
        <v>2334</v>
      </c>
      <c r="R450" s="519">
        <f>(M450*P450)</f>
        <v>71.28</v>
      </c>
      <c r="AG450" s="509" t="s">
        <v>2514</v>
      </c>
    </row>
    <row r="451" spans="1:33" hidden="1">
      <c r="A451" s="521">
        <f t="shared" si="21"/>
        <v>285</v>
      </c>
      <c r="B451" s="509" t="s">
        <v>2950</v>
      </c>
      <c r="C451" s="492">
        <v>30.93</v>
      </c>
      <c r="D451" s="490" t="s">
        <v>2342</v>
      </c>
      <c r="E451" s="2"/>
      <c r="H451" s="509" t="s">
        <v>2348</v>
      </c>
      <c r="I451" s="2"/>
      <c r="J451" s="463"/>
      <c r="K451" s="492" t="e">
        <f>SUM(K443:K449)</f>
        <v>#REF!</v>
      </c>
      <c r="M451" s="519">
        <v>30</v>
      </c>
      <c r="N451" s="509" t="s">
        <v>2205</v>
      </c>
      <c r="O451" s="509" t="s">
        <v>2975</v>
      </c>
      <c r="P451" s="519">
        <f>(C42)</f>
        <v>1.75</v>
      </c>
      <c r="Q451" s="509" t="s">
        <v>2205</v>
      </c>
      <c r="R451" s="519">
        <f>(M451*P451)</f>
        <v>52.5</v>
      </c>
      <c r="AG451" s="509" t="s">
        <v>2514</v>
      </c>
    </row>
    <row r="452" spans="1:33" hidden="1">
      <c r="A452" s="521">
        <f t="shared" si="21"/>
        <v>286</v>
      </c>
      <c r="B452" s="509" t="s">
        <v>2952</v>
      </c>
      <c r="C452" s="492">
        <v>39.630000000000003</v>
      </c>
      <c r="D452" s="490" t="s">
        <v>2342</v>
      </c>
      <c r="E452" s="2"/>
      <c r="I452" s="2"/>
      <c r="J452" s="463"/>
      <c r="K452" s="491" t="s">
        <v>442</v>
      </c>
      <c r="O452" s="509" t="s">
        <v>2976</v>
      </c>
      <c r="AG452" s="509" t="s">
        <v>2514</v>
      </c>
    </row>
    <row r="453" spans="1:33" hidden="1">
      <c r="A453" s="521">
        <f t="shared" si="21"/>
        <v>287</v>
      </c>
      <c r="B453" s="509" t="s">
        <v>2905</v>
      </c>
      <c r="C453" s="492">
        <v>70.47</v>
      </c>
      <c r="D453" s="490" t="s">
        <v>2342</v>
      </c>
      <c r="E453" s="2"/>
      <c r="H453" s="509" t="s">
        <v>2349</v>
      </c>
      <c r="I453" s="2"/>
      <c r="J453" s="463"/>
      <c r="K453" s="492" t="e">
        <f>(K451/10)</f>
        <v>#REF!</v>
      </c>
      <c r="O453" s="509" t="s">
        <v>2977</v>
      </c>
      <c r="AG453" s="509" t="s">
        <v>2514</v>
      </c>
    </row>
    <row r="454" spans="1:33" hidden="1">
      <c r="A454" s="521">
        <f t="shared" si="21"/>
        <v>288</v>
      </c>
      <c r="B454" s="509" t="s">
        <v>2953</v>
      </c>
      <c r="C454" s="492">
        <v>70.47</v>
      </c>
      <c r="D454" s="490" t="s">
        <v>2342</v>
      </c>
      <c r="E454" s="2"/>
      <c r="I454" s="2"/>
      <c r="J454" s="463"/>
      <c r="K454" s="491" t="s">
        <v>29</v>
      </c>
      <c r="O454" s="509" t="s">
        <v>2978</v>
      </c>
      <c r="AG454" s="509" t="s">
        <v>2514</v>
      </c>
    </row>
    <row r="455" spans="1:33" hidden="1">
      <c r="A455" s="521">
        <f t="shared" si="21"/>
        <v>289</v>
      </c>
      <c r="B455" s="509" t="s">
        <v>2993</v>
      </c>
      <c r="C455" s="2"/>
      <c r="D455" s="490" t="s">
        <v>30</v>
      </c>
      <c r="E455" s="2"/>
      <c r="I455" s="2"/>
      <c r="J455" s="463"/>
      <c r="K455" s="2"/>
      <c r="O455" s="509" t="s">
        <v>2979</v>
      </c>
      <c r="AG455" s="509" t="s">
        <v>2514</v>
      </c>
    </row>
    <row r="456" spans="1:33" hidden="1">
      <c r="A456" s="521">
        <f t="shared" si="21"/>
        <v>290</v>
      </c>
      <c r="B456" s="509" t="s">
        <v>2946</v>
      </c>
      <c r="C456" s="492">
        <v>158.91999999999999</v>
      </c>
      <c r="D456" s="490" t="s">
        <v>2342</v>
      </c>
      <c r="E456" s="2"/>
      <c r="G456" s="518" t="s">
        <v>575</v>
      </c>
      <c r="H456" s="509" t="s">
        <v>2994</v>
      </c>
      <c r="I456" s="2"/>
      <c r="J456" s="463"/>
      <c r="K456" s="2"/>
      <c r="M456" s="519">
        <v>8</v>
      </c>
      <c r="N456" s="509" t="s">
        <v>2359</v>
      </c>
      <c r="O456" s="509" t="s">
        <v>2982</v>
      </c>
      <c r="P456" s="519">
        <f>(C44)</f>
        <v>2.2000000000000002</v>
      </c>
      <c r="Q456" s="509" t="s">
        <v>2359</v>
      </c>
      <c r="R456" s="519">
        <f>(M456*P456)</f>
        <v>17.600000000000001</v>
      </c>
      <c r="AG456" s="509" t="s">
        <v>2514</v>
      </c>
    </row>
    <row r="457" spans="1:33" hidden="1">
      <c r="A457" s="521">
        <f t="shared" si="21"/>
        <v>291</v>
      </c>
      <c r="B457" s="509" t="s">
        <v>2947</v>
      </c>
      <c r="C457" s="492">
        <v>263.04000000000002</v>
      </c>
      <c r="D457" s="490" t="s">
        <v>2342</v>
      </c>
      <c r="E457" s="2"/>
      <c r="H457" s="515" t="s">
        <v>442</v>
      </c>
      <c r="I457" s="2"/>
      <c r="J457" s="463"/>
      <c r="K457" s="2"/>
      <c r="M457" s="519">
        <v>8</v>
      </c>
      <c r="N457" s="509" t="s">
        <v>2359</v>
      </c>
      <c r="O457" s="509" t="s">
        <v>2985</v>
      </c>
      <c r="P457" s="519">
        <f>(C51)</f>
        <v>3.2</v>
      </c>
      <c r="Q457" s="509" t="s">
        <v>2359</v>
      </c>
      <c r="R457" s="519">
        <f>(M457*P457)</f>
        <v>25.6</v>
      </c>
      <c r="AG457" s="509" t="s">
        <v>2514</v>
      </c>
    </row>
    <row r="458" spans="1:33" hidden="1">
      <c r="A458" s="521">
        <f t="shared" si="21"/>
        <v>292</v>
      </c>
      <c r="B458" s="509" t="s">
        <v>2949</v>
      </c>
      <c r="C458" s="2"/>
      <c r="D458" s="490" t="s">
        <v>30</v>
      </c>
      <c r="E458" s="2"/>
      <c r="F458" s="519">
        <v>0.5</v>
      </c>
      <c r="G458" s="518" t="s">
        <v>2334</v>
      </c>
      <c r="H458" s="509" t="s">
        <v>2848</v>
      </c>
      <c r="I458" s="492" t="e">
        <f>(K453)</f>
        <v>#REF!</v>
      </c>
      <c r="J458" s="500" t="s">
        <v>2342</v>
      </c>
      <c r="K458" s="492" t="e">
        <f>(F458*I458)</f>
        <v>#REF!</v>
      </c>
      <c r="M458" s="519">
        <v>1</v>
      </c>
      <c r="N458" s="509" t="s">
        <v>2346</v>
      </c>
      <c r="O458" s="509" t="s">
        <v>2987</v>
      </c>
      <c r="P458" s="519">
        <f>(C56)</f>
        <v>12.1</v>
      </c>
      <c r="Q458" s="509" t="s">
        <v>2346</v>
      </c>
      <c r="R458" s="519">
        <f>(M458*P458)</f>
        <v>12.1</v>
      </c>
      <c r="AG458" s="509" t="s">
        <v>2514</v>
      </c>
    </row>
    <row r="459" spans="1:33" hidden="1">
      <c r="A459" s="521">
        <f t="shared" si="21"/>
        <v>293</v>
      </c>
      <c r="B459" s="509" t="s">
        <v>2995</v>
      </c>
      <c r="C459" s="492">
        <v>1.2</v>
      </c>
      <c r="D459" s="490" t="s">
        <v>2342</v>
      </c>
      <c r="E459" s="2"/>
      <c r="F459" s="519">
        <v>1</v>
      </c>
      <c r="G459" s="518" t="s">
        <v>2359</v>
      </c>
      <c r="H459" s="509" t="s">
        <v>2353</v>
      </c>
      <c r="I459" s="492">
        <f>(C10)</f>
        <v>150</v>
      </c>
      <c r="J459" s="500" t="s">
        <v>2342</v>
      </c>
      <c r="K459" s="492">
        <f>(F459*I459)</f>
        <v>150</v>
      </c>
      <c r="M459" s="519">
        <v>1</v>
      </c>
      <c r="N459" s="509" t="s">
        <v>2346</v>
      </c>
      <c r="O459" s="509" t="s">
        <v>2347</v>
      </c>
      <c r="Q459" s="509" t="s">
        <v>2346</v>
      </c>
      <c r="R459" s="519">
        <v>0</v>
      </c>
      <c r="AG459" s="509" t="s">
        <v>2514</v>
      </c>
    </row>
    <row r="460" spans="1:33" hidden="1">
      <c r="A460" s="521">
        <f t="shared" si="21"/>
        <v>294</v>
      </c>
      <c r="B460" s="509" t="s">
        <v>2996</v>
      </c>
      <c r="C460" s="492">
        <v>0.85</v>
      </c>
      <c r="D460" s="490" t="s">
        <v>2342</v>
      </c>
      <c r="E460" s="2"/>
      <c r="G460" s="518" t="s">
        <v>2346</v>
      </c>
      <c r="H460" s="509" t="s">
        <v>2347</v>
      </c>
      <c r="I460" s="490" t="s">
        <v>30</v>
      </c>
      <c r="J460" s="500" t="s">
        <v>2346</v>
      </c>
      <c r="K460" s="492">
        <v>0</v>
      </c>
      <c r="R460" s="515" t="s">
        <v>442</v>
      </c>
      <c r="AG460" s="509" t="s">
        <v>2514</v>
      </c>
    </row>
    <row r="461" spans="1:33" hidden="1">
      <c r="A461" s="521">
        <f t="shared" si="21"/>
        <v>295</v>
      </c>
      <c r="B461" s="509" t="s">
        <v>2997</v>
      </c>
      <c r="C461" s="492">
        <v>350</v>
      </c>
      <c r="D461" s="492">
        <v>375</v>
      </c>
      <c r="E461" s="2"/>
      <c r="I461" s="2"/>
      <c r="J461" s="463"/>
      <c r="K461" s="491" t="s">
        <v>442</v>
      </c>
      <c r="O461" s="509" t="s">
        <v>2989</v>
      </c>
      <c r="R461" s="519">
        <f>SUM(R449:R459)</f>
        <v>584.08000000000004</v>
      </c>
      <c r="AG461" s="509" t="s">
        <v>2514</v>
      </c>
    </row>
    <row r="462" spans="1:33" hidden="1">
      <c r="A462" s="521">
        <f t="shared" si="21"/>
        <v>296</v>
      </c>
      <c r="B462" s="509" t="s">
        <v>2998</v>
      </c>
      <c r="C462" s="492">
        <v>400</v>
      </c>
      <c r="D462" s="492">
        <v>425</v>
      </c>
      <c r="E462" s="2"/>
      <c r="H462" s="509" t="s">
        <v>2358</v>
      </c>
      <c r="I462" s="2"/>
      <c r="J462" s="463"/>
      <c r="K462" s="492" t="e">
        <f>SUM(K458:K460)</f>
        <v>#REF!</v>
      </c>
      <c r="R462" s="515" t="s">
        <v>442</v>
      </c>
      <c r="AG462" s="509" t="s">
        <v>2514</v>
      </c>
    </row>
    <row r="463" spans="1:33" hidden="1">
      <c r="A463" s="521">
        <f t="shared" si="21"/>
        <v>297</v>
      </c>
      <c r="B463" s="509" t="s">
        <v>2999</v>
      </c>
      <c r="C463" s="492">
        <v>450</v>
      </c>
      <c r="D463" s="492">
        <v>500</v>
      </c>
      <c r="E463" s="2"/>
      <c r="I463" s="2"/>
      <c r="J463" s="463"/>
      <c r="K463" s="491" t="s">
        <v>442</v>
      </c>
      <c r="O463" s="509" t="s">
        <v>2990</v>
      </c>
      <c r="R463" s="519">
        <f>(R461/30)</f>
        <v>19.469333333333335</v>
      </c>
      <c r="AG463" s="509" t="s">
        <v>2514</v>
      </c>
    </row>
    <row r="464" spans="1:33" hidden="1">
      <c r="A464" s="521">
        <f t="shared" si="21"/>
        <v>298</v>
      </c>
      <c r="B464" s="509" t="s">
        <v>3000</v>
      </c>
      <c r="C464" s="492">
        <v>77.819999999999993</v>
      </c>
      <c r="D464" s="490" t="s">
        <v>2342</v>
      </c>
      <c r="E464" s="2"/>
      <c r="H464" s="509" t="s">
        <v>2355</v>
      </c>
      <c r="I464" s="2"/>
      <c r="J464" s="463"/>
      <c r="K464" s="492" t="e">
        <f>(K462/10)</f>
        <v>#REF!</v>
      </c>
      <c r="R464" s="515" t="s">
        <v>442</v>
      </c>
      <c r="AG464" s="509" t="s">
        <v>2514</v>
      </c>
    </row>
    <row r="465" spans="1:33" hidden="1">
      <c r="A465" s="521">
        <f t="shared" si="21"/>
        <v>299</v>
      </c>
      <c r="B465" s="509" t="s">
        <v>3001</v>
      </c>
      <c r="C465" s="492">
        <v>99.74</v>
      </c>
      <c r="D465" s="490" t="s">
        <v>2342</v>
      </c>
      <c r="E465" s="2"/>
      <c r="I465" s="2"/>
      <c r="J465" s="463"/>
      <c r="K465" s="491" t="s">
        <v>29</v>
      </c>
      <c r="N465" s="509" t="s">
        <v>3002</v>
      </c>
      <c r="O465" s="510" t="s">
        <v>3003</v>
      </c>
      <c r="AG465" s="509" t="s">
        <v>2514</v>
      </c>
    </row>
    <row r="466" spans="1:33" hidden="1">
      <c r="A466" s="521">
        <f t="shared" si="21"/>
        <v>300</v>
      </c>
      <c r="B466" s="509" t="s">
        <v>2949</v>
      </c>
      <c r="C466" s="492">
        <v>165</v>
      </c>
      <c r="D466" s="490" t="s">
        <v>2342</v>
      </c>
      <c r="E466" s="2"/>
      <c r="H466" s="509" t="s">
        <v>2354</v>
      </c>
      <c r="I466" s="2"/>
      <c r="J466" s="463"/>
      <c r="K466" s="492" t="e">
        <f>(K464+C19/10*F458)</f>
        <v>#REF!</v>
      </c>
      <c r="O466" s="515" t="s">
        <v>442</v>
      </c>
      <c r="AG466" s="509" t="s">
        <v>2514</v>
      </c>
    </row>
    <row r="467" spans="1:33" hidden="1">
      <c r="A467" s="521">
        <f t="shared" si="21"/>
        <v>301</v>
      </c>
      <c r="B467" s="509" t="s">
        <v>2950</v>
      </c>
      <c r="C467" s="492">
        <v>258</v>
      </c>
      <c r="D467" s="490" t="s">
        <v>2342</v>
      </c>
      <c r="E467" s="2"/>
      <c r="H467" s="509" t="s">
        <v>2362</v>
      </c>
      <c r="I467" s="2"/>
      <c r="J467" s="463"/>
      <c r="K467" s="492" t="e">
        <f>(K466+C20/10*F458)</f>
        <v>#REF!</v>
      </c>
      <c r="M467" s="519">
        <v>8.1</v>
      </c>
      <c r="N467" s="509" t="s">
        <v>2334</v>
      </c>
      <c r="O467" s="509" t="s">
        <v>2973</v>
      </c>
      <c r="P467" s="519">
        <f>(C61)*2</f>
        <v>50</v>
      </c>
      <c r="Q467" s="509" t="s">
        <v>2334</v>
      </c>
      <c r="R467" s="519">
        <f>(M467*P467)</f>
        <v>405</v>
      </c>
      <c r="AG467" s="509" t="s">
        <v>2514</v>
      </c>
    </row>
    <row r="468" spans="1:33" hidden="1">
      <c r="A468" s="521">
        <f t="shared" si="21"/>
        <v>302</v>
      </c>
      <c r="B468" s="509" t="s">
        <v>2952</v>
      </c>
      <c r="C468" s="492">
        <v>298</v>
      </c>
      <c r="D468" s="490" t="s">
        <v>2342</v>
      </c>
      <c r="E468" s="2"/>
      <c r="H468" s="509" t="s">
        <v>2480</v>
      </c>
      <c r="I468" s="2"/>
      <c r="J468" s="463"/>
      <c r="K468" s="492" t="e">
        <f>(K467+C21/10*F458)</f>
        <v>#REF!</v>
      </c>
      <c r="M468" s="519">
        <v>8.1</v>
      </c>
      <c r="N468" s="509" t="s">
        <v>2334</v>
      </c>
      <c r="O468" s="509" t="s">
        <v>2974</v>
      </c>
      <c r="P468" s="519">
        <f>(C26)</f>
        <v>8.8000000000000007</v>
      </c>
      <c r="Q468" s="509" t="s">
        <v>2334</v>
      </c>
      <c r="R468" s="519">
        <f>(M468*P468)</f>
        <v>71.28</v>
      </c>
      <c r="AG468" s="509" t="s">
        <v>2514</v>
      </c>
    </row>
    <row r="469" spans="1:33" hidden="1">
      <c r="A469" s="521">
        <f t="shared" si="21"/>
        <v>303</v>
      </c>
      <c r="B469" s="509" t="s">
        <v>2905</v>
      </c>
      <c r="C469" s="492">
        <v>398</v>
      </c>
      <c r="D469" s="490" t="s">
        <v>2342</v>
      </c>
      <c r="E469" s="2"/>
      <c r="H469" s="509" t="s">
        <v>2481</v>
      </c>
      <c r="I469" s="2"/>
      <c r="J469" s="463"/>
      <c r="K469" s="492" t="e">
        <f>(K468+C21/10*F458)</f>
        <v>#REF!</v>
      </c>
      <c r="M469" s="519">
        <v>30</v>
      </c>
      <c r="N469" s="509" t="s">
        <v>2205</v>
      </c>
      <c r="O469" s="509" t="s">
        <v>2975</v>
      </c>
      <c r="P469" s="519">
        <f>(C42)</f>
        <v>1.75</v>
      </c>
      <c r="Q469" s="509" t="s">
        <v>2205</v>
      </c>
      <c r="R469" s="519">
        <f>(M469*P469)</f>
        <v>52.5</v>
      </c>
      <c r="AG469" s="509" t="s">
        <v>2514</v>
      </c>
    </row>
    <row r="470" spans="1:33" hidden="1">
      <c r="A470" s="521">
        <f t="shared" si="21"/>
        <v>304</v>
      </c>
      <c r="B470" s="509" t="s">
        <v>2953</v>
      </c>
      <c r="C470" s="2"/>
      <c r="D470" s="490" t="s">
        <v>2342</v>
      </c>
      <c r="E470" s="2"/>
      <c r="H470" s="509" t="s">
        <v>262</v>
      </c>
      <c r="I470" s="2"/>
      <c r="J470" s="463"/>
      <c r="K470" s="492" t="e">
        <f>(K469+C22/10*F459)</f>
        <v>#REF!</v>
      </c>
      <c r="O470" s="509" t="s">
        <v>2976</v>
      </c>
      <c r="AG470" s="509" t="s">
        <v>2514</v>
      </c>
    </row>
    <row r="471" spans="1:33" hidden="1">
      <c r="A471" s="521">
        <f t="shared" si="21"/>
        <v>305</v>
      </c>
      <c r="B471" s="509" t="s">
        <v>3004</v>
      </c>
      <c r="C471" s="2"/>
      <c r="D471" s="490" t="s">
        <v>2342</v>
      </c>
      <c r="E471" s="2"/>
      <c r="F471" s="510" t="s">
        <v>3005</v>
      </c>
      <c r="G471" s="518" t="s">
        <v>575</v>
      </c>
      <c r="H471" s="509" t="s">
        <v>3006</v>
      </c>
      <c r="I471" s="2"/>
      <c r="J471" s="463"/>
      <c r="K471" s="2"/>
      <c r="O471" s="509" t="s">
        <v>2977</v>
      </c>
      <c r="AG471" s="509" t="s">
        <v>2514</v>
      </c>
    </row>
    <row r="472" spans="1:33" hidden="1">
      <c r="A472" s="521">
        <f t="shared" si="21"/>
        <v>306</v>
      </c>
      <c r="B472" s="509" t="s">
        <v>2946</v>
      </c>
      <c r="C472" s="492">
        <v>130</v>
      </c>
      <c r="D472" s="490" t="s">
        <v>2342</v>
      </c>
      <c r="E472" s="2"/>
      <c r="H472" s="509" t="s">
        <v>3007</v>
      </c>
      <c r="I472" s="2"/>
      <c r="J472" s="463"/>
      <c r="K472" s="2"/>
      <c r="O472" s="509" t="s">
        <v>2978</v>
      </c>
      <c r="AG472" s="509" t="s">
        <v>2514</v>
      </c>
    </row>
    <row r="473" spans="1:33" hidden="1">
      <c r="A473" s="521">
        <f t="shared" si="21"/>
        <v>307</v>
      </c>
      <c r="B473" s="509" t="s">
        <v>2947</v>
      </c>
      <c r="C473" s="492">
        <v>178</v>
      </c>
      <c r="D473" s="490" t="s">
        <v>2342</v>
      </c>
      <c r="E473" s="2"/>
      <c r="H473" s="515" t="s">
        <v>442</v>
      </c>
      <c r="I473" s="2"/>
      <c r="J473" s="463"/>
      <c r="K473" s="2"/>
      <c r="O473" s="509" t="s">
        <v>2979</v>
      </c>
      <c r="AG473" s="509" t="s">
        <v>2514</v>
      </c>
    </row>
    <row r="474" spans="1:33" hidden="1">
      <c r="A474" s="521">
        <f t="shared" si="21"/>
        <v>308</v>
      </c>
      <c r="B474" s="509" t="s">
        <v>2949</v>
      </c>
      <c r="C474" s="492">
        <v>279</v>
      </c>
      <c r="D474" s="490" t="s">
        <v>2342</v>
      </c>
      <c r="E474" s="2"/>
      <c r="F474" s="519">
        <v>1</v>
      </c>
      <c r="G474" s="518" t="s">
        <v>2334</v>
      </c>
      <c r="H474" s="509" t="s">
        <v>3008</v>
      </c>
      <c r="I474" s="492">
        <f>(C26)</f>
        <v>8.8000000000000007</v>
      </c>
      <c r="J474" s="500" t="s">
        <v>2334</v>
      </c>
      <c r="K474" s="492">
        <f>(F474*I474)</f>
        <v>8.8000000000000007</v>
      </c>
      <c r="M474" s="519">
        <v>8</v>
      </c>
      <c r="N474" s="509" t="s">
        <v>2359</v>
      </c>
      <c r="O474" s="509" t="s">
        <v>2982</v>
      </c>
      <c r="P474" s="519">
        <f>(C45)</f>
        <v>2.7</v>
      </c>
      <c r="Q474" s="509" t="s">
        <v>2359</v>
      </c>
      <c r="R474" s="519">
        <f>(M474*P474)</f>
        <v>21.6</v>
      </c>
      <c r="AG474" s="509" t="s">
        <v>2514</v>
      </c>
    </row>
    <row r="475" spans="1:33" hidden="1">
      <c r="A475" s="521">
        <f t="shared" si="21"/>
        <v>309</v>
      </c>
      <c r="B475" s="509" t="s">
        <v>2950</v>
      </c>
      <c r="C475" s="492">
        <v>394</v>
      </c>
      <c r="D475" s="490" t="s">
        <v>2342</v>
      </c>
      <c r="E475" s="2"/>
      <c r="I475" s="2"/>
      <c r="J475" s="463"/>
      <c r="K475" s="491" t="s">
        <v>29</v>
      </c>
      <c r="M475" s="519">
        <v>8</v>
      </c>
      <c r="N475" s="509" t="s">
        <v>2359</v>
      </c>
      <c r="O475" s="509" t="s">
        <v>2985</v>
      </c>
      <c r="P475" s="519">
        <f>(C52)</f>
        <v>6.4</v>
      </c>
      <c r="Q475" s="509" t="s">
        <v>2359</v>
      </c>
      <c r="R475" s="519">
        <f>(M475*P475)</f>
        <v>51.2</v>
      </c>
      <c r="AG475" s="509" t="s">
        <v>2514</v>
      </c>
    </row>
    <row r="476" spans="1:33" hidden="1">
      <c r="A476" s="521">
        <f t="shared" si="21"/>
        <v>310</v>
      </c>
      <c r="B476" s="509" t="s">
        <v>2952</v>
      </c>
      <c r="C476" s="492">
        <v>508</v>
      </c>
      <c r="D476" s="490" t="s">
        <v>2342</v>
      </c>
      <c r="E476" s="2"/>
      <c r="F476" s="529">
        <v>7.3</v>
      </c>
      <c r="G476" s="518" t="s">
        <v>575</v>
      </c>
      <c r="H476" s="509" t="s">
        <v>3009</v>
      </c>
      <c r="I476" s="2"/>
      <c r="J476" s="463"/>
      <c r="K476" s="2"/>
      <c r="M476" s="519">
        <v>1</v>
      </c>
      <c r="N476" s="509" t="s">
        <v>2346</v>
      </c>
      <c r="O476" s="509" t="s">
        <v>2987</v>
      </c>
      <c r="P476" s="519">
        <f>(C56)</f>
        <v>12.1</v>
      </c>
      <c r="Q476" s="509" t="s">
        <v>2346</v>
      </c>
      <c r="R476" s="519">
        <f>(M476*P476)</f>
        <v>12.1</v>
      </c>
      <c r="AG476" s="509" t="s">
        <v>2514</v>
      </c>
    </row>
    <row r="477" spans="1:33" hidden="1">
      <c r="A477" s="521">
        <f t="shared" si="21"/>
        <v>311</v>
      </c>
      <c r="B477" s="509" t="s">
        <v>2905</v>
      </c>
      <c r="C477" s="492">
        <v>709</v>
      </c>
      <c r="D477" s="490" t="s">
        <v>2342</v>
      </c>
      <c r="E477" s="2"/>
      <c r="F477" s="509" t="s">
        <v>30</v>
      </c>
      <c r="H477" s="509" t="s">
        <v>3010</v>
      </c>
      <c r="I477" s="2"/>
      <c r="J477" s="463"/>
      <c r="K477" s="2"/>
      <c r="M477" s="519">
        <v>1</v>
      </c>
      <c r="N477" s="509" t="s">
        <v>2346</v>
      </c>
      <c r="O477" s="509" t="s">
        <v>2347</v>
      </c>
      <c r="Q477" s="509" t="s">
        <v>2346</v>
      </c>
      <c r="R477" s="519">
        <v>0</v>
      </c>
      <c r="AG477" s="509" t="s">
        <v>2514</v>
      </c>
    </row>
    <row r="478" spans="1:33" hidden="1">
      <c r="A478" s="521">
        <f t="shared" si="21"/>
        <v>312</v>
      </c>
      <c r="B478" s="509" t="s">
        <v>2953</v>
      </c>
      <c r="C478" s="2"/>
      <c r="D478" s="490" t="s">
        <v>2342</v>
      </c>
      <c r="E478" s="2"/>
      <c r="F478" s="509" t="s">
        <v>30</v>
      </c>
      <c r="H478" s="515" t="s">
        <v>442</v>
      </c>
      <c r="I478" s="2"/>
      <c r="J478" s="463"/>
      <c r="K478" s="2"/>
      <c r="R478" s="515" t="s">
        <v>442</v>
      </c>
      <c r="AG478" s="509" t="s">
        <v>2514</v>
      </c>
    </row>
    <row r="479" spans="1:33" hidden="1">
      <c r="A479" s="521">
        <f t="shared" si="21"/>
        <v>313</v>
      </c>
      <c r="B479" s="509" t="s">
        <v>3011</v>
      </c>
      <c r="C479" s="2"/>
      <c r="D479" s="490" t="s">
        <v>2342</v>
      </c>
      <c r="E479" s="2"/>
      <c r="F479" s="519">
        <v>0.13</v>
      </c>
      <c r="G479" s="518" t="s">
        <v>2334</v>
      </c>
      <c r="H479" s="509" t="s">
        <v>2647</v>
      </c>
      <c r="I479" s="492" t="e">
        <f>(K40)</f>
        <v>#REF!</v>
      </c>
      <c r="J479" s="500" t="s">
        <v>2334</v>
      </c>
      <c r="K479" s="492" t="e">
        <f t="shared" ref="K479:K484" si="22">(F479*I479)</f>
        <v>#REF!</v>
      </c>
      <c r="O479" s="509" t="s">
        <v>2989</v>
      </c>
      <c r="R479" s="519">
        <f>SUM(R467:R477)</f>
        <v>613.68000000000006</v>
      </c>
      <c r="AG479" s="509" t="s">
        <v>2514</v>
      </c>
    </row>
    <row r="480" spans="1:33" hidden="1">
      <c r="A480" s="521">
        <f t="shared" si="21"/>
        <v>314</v>
      </c>
      <c r="B480" s="509" t="s">
        <v>2946</v>
      </c>
      <c r="C480" s="492">
        <v>77</v>
      </c>
      <c r="D480" s="490" t="s">
        <v>2342</v>
      </c>
      <c r="E480" s="2"/>
      <c r="F480" s="519">
        <v>0.7</v>
      </c>
      <c r="G480" s="518" t="s">
        <v>2359</v>
      </c>
      <c r="H480" s="509" t="s">
        <v>2353</v>
      </c>
      <c r="I480" s="492">
        <f>(C10)</f>
        <v>150</v>
      </c>
      <c r="J480" s="500" t="s">
        <v>2359</v>
      </c>
      <c r="K480" s="492">
        <f t="shared" si="22"/>
        <v>105</v>
      </c>
      <c r="R480" s="515" t="s">
        <v>442</v>
      </c>
      <c r="AG480" s="509" t="s">
        <v>2514</v>
      </c>
    </row>
    <row r="481" spans="1:33" hidden="1">
      <c r="A481" s="521">
        <f t="shared" si="21"/>
        <v>315</v>
      </c>
      <c r="B481" s="509" t="s">
        <v>2947</v>
      </c>
      <c r="C481" s="492">
        <v>119</v>
      </c>
      <c r="D481" s="490" t="s">
        <v>2342</v>
      </c>
      <c r="E481" s="2"/>
      <c r="F481" s="519">
        <v>0.7</v>
      </c>
      <c r="G481" s="518" t="s">
        <v>2359</v>
      </c>
      <c r="H481" s="509" t="s">
        <v>2343</v>
      </c>
      <c r="I481" s="492">
        <f>(C11)</f>
        <v>135</v>
      </c>
      <c r="J481" s="500" t="s">
        <v>2359</v>
      </c>
      <c r="K481" s="492">
        <f t="shared" si="22"/>
        <v>94.5</v>
      </c>
      <c r="O481" s="509" t="s">
        <v>2990</v>
      </c>
      <c r="R481" s="519">
        <f>(R479/30)</f>
        <v>20.456000000000003</v>
      </c>
      <c r="AG481" s="509" t="s">
        <v>2514</v>
      </c>
    </row>
    <row r="482" spans="1:33" hidden="1">
      <c r="A482" s="521">
        <f t="shared" si="21"/>
        <v>316</v>
      </c>
      <c r="B482" s="509" t="s">
        <v>2949</v>
      </c>
      <c r="C482" s="492">
        <v>175</v>
      </c>
      <c r="D482" s="490" t="s">
        <v>2342</v>
      </c>
      <c r="E482" s="2"/>
      <c r="F482" s="519">
        <v>1.5</v>
      </c>
      <c r="G482" s="518" t="s">
        <v>2359</v>
      </c>
      <c r="H482" s="509" t="s">
        <v>2344</v>
      </c>
      <c r="I482" s="492">
        <f>(C12)</f>
        <v>95</v>
      </c>
      <c r="J482" s="500" t="s">
        <v>2359</v>
      </c>
      <c r="K482" s="492">
        <f t="shared" si="22"/>
        <v>142.5</v>
      </c>
      <c r="R482" s="515" t="s">
        <v>442</v>
      </c>
      <c r="AG482" s="509" t="s">
        <v>2514</v>
      </c>
    </row>
    <row r="483" spans="1:33" hidden="1">
      <c r="A483" s="521">
        <f t="shared" si="21"/>
        <v>317</v>
      </c>
      <c r="B483" s="509" t="s">
        <v>2950</v>
      </c>
      <c r="C483" s="492">
        <v>277</v>
      </c>
      <c r="D483" s="490" t="s">
        <v>2342</v>
      </c>
      <c r="E483" s="2"/>
      <c r="F483" s="519">
        <v>0.5</v>
      </c>
      <c r="G483" s="518" t="s">
        <v>2359</v>
      </c>
      <c r="H483" s="509" t="s">
        <v>2345</v>
      </c>
      <c r="I483" s="492">
        <f>(C13)</f>
        <v>85</v>
      </c>
      <c r="J483" s="500" t="s">
        <v>2359</v>
      </c>
      <c r="K483" s="492">
        <f t="shared" si="22"/>
        <v>42.5</v>
      </c>
      <c r="M483" s="509" t="s">
        <v>30</v>
      </c>
      <c r="AG483" s="509" t="s">
        <v>2514</v>
      </c>
    </row>
    <row r="484" spans="1:33" hidden="1">
      <c r="A484" s="521">
        <f t="shared" si="21"/>
        <v>318</v>
      </c>
      <c r="B484" s="509" t="s">
        <v>2952</v>
      </c>
      <c r="C484" s="492">
        <v>353</v>
      </c>
      <c r="D484" s="490" t="s">
        <v>2342</v>
      </c>
      <c r="E484" s="2"/>
      <c r="F484" s="519">
        <v>0.94</v>
      </c>
      <c r="G484" s="518" t="s">
        <v>40</v>
      </c>
      <c r="H484" s="509" t="s">
        <v>3012</v>
      </c>
      <c r="I484" s="492">
        <f>C631</f>
        <v>30</v>
      </c>
      <c r="J484" s="500" t="s">
        <v>40</v>
      </c>
      <c r="K484" s="492">
        <f t="shared" si="22"/>
        <v>28.2</v>
      </c>
      <c r="N484" s="509" t="s">
        <v>575</v>
      </c>
      <c r="O484" s="509" t="s">
        <v>2967</v>
      </c>
      <c r="AG484" s="509" t="s">
        <v>2514</v>
      </c>
    </row>
    <row r="485" spans="1:33" hidden="1">
      <c r="A485" s="521">
        <f t="shared" si="21"/>
        <v>319</v>
      </c>
      <c r="B485" s="509" t="s">
        <v>2905</v>
      </c>
      <c r="C485" s="492">
        <v>584</v>
      </c>
      <c r="D485" s="490" t="s">
        <v>2342</v>
      </c>
      <c r="E485" s="2"/>
      <c r="H485" s="509" t="s">
        <v>2347</v>
      </c>
      <c r="I485" s="490" t="s">
        <v>30</v>
      </c>
      <c r="J485" s="500" t="s">
        <v>2346</v>
      </c>
      <c r="K485" s="492">
        <v>0</v>
      </c>
      <c r="O485" s="509" t="s">
        <v>2968</v>
      </c>
      <c r="AG485" s="509" t="s">
        <v>2514</v>
      </c>
    </row>
    <row r="486" spans="1:33" hidden="1">
      <c r="A486" s="521">
        <f t="shared" si="21"/>
        <v>320</v>
      </c>
      <c r="B486" s="509" t="s">
        <v>2953</v>
      </c>
      <c r="C486" s="2"/>
      <c r="D486" s="490" t="s">
        <v>2342</v>
      </c>
      <c r="E486" s="2"/>
      <c r="I486" s="2"/>
      <c r="J486" s="463"/>
      <c r="K486" s="491" t="s">
        <v>442</v>
      </c>
      <c r="O486" s="509" t="s">
        <v>3013</v>
      </c>
      <c r="AG486" s="509" t="s">
        <v>2514</v>
      </c>
    </row>
    <row r="487" spans="1:33" hidden="1">
      <c r="A487" s="521">
        <f t="shared" si="21"/>
        <v>321</v>
      </c>
      <c r="B487" s="509" t="s">
        <v>3014</v>
      </c>
      <c r="C487" s="2"/>
      <c r="D487" s="490" t="s">
        <v>2342</v>
      </c>
      <c r="E487" s="2"/>
      <c r="H487" s="509" t="s">
        <v>2348</v>
      </c>
      <c r="I487" s="2"/>
      <c r="J487" s="463"/>
      <c r="K487" s="492" t="e">
        <f>SUM(K478:K485)</f>
        <v>#REF!</v>
      </c>
      <c r="O487" s="515" t="s">
        <v>442</v>
      </c>
      <c r="AG487" s="509" t="s">
        <v>2514</v>
      </c>
    </row>
    <row r="488" spans="1:33" hidden="1">
      <c r="A488" s="521">
        <f t="shared" si="21"/>
        <v>322</v>
      </c>
      <c r="B488" s="509" t="s">
        <v>3015</v>
      </c>
      <c r="C488" s="492">
        <v>8.75</v>
      </c>
      <c r="D488" s="490" t="s">
        <v>2342</v>
      </c>
      <c r="E488" s="2"/>
      <c r="I488" s="2"/>
      <c r="J488" s="463"/>
      <c r="K488" s="491" t="s">
        <v>442</v>
      </c>
      <c r="N488" s="509" t="s">
        <v>2970</v>
      </c>
      <c r="O488" s="510" t="s">
        <v>3016</v>
      </c>
      <c r="AG488" s="509" t="s">
        <v>2514</v>
      </c>
    </row>
    <row r="489" spans="1:33" hidden="1">
      <c r="A489" s="521">
        <f t="shared" si="21"/>
        <v>323</v>
      </c>
      <c r="B489" s="509" t="s">
        <v>3017</v>
      </c>
      <c r="C489" s="492">
        <v>11.5</v>
      </c>
      <c r="D489" s="490" t="s">
        <v>2342</v>
      </c>
      <c r="E489" s="2"/>
      <c r="H489" s="509" t="s">
        <v>2349</v>
      </c>
      <c r="I489" s="2"/>
      <c r="J489" s="463"/>
      <c r="K489" s="492" t="e">
        <f>(K487/10)</f>
        <v>#REF!</v>
      </c>
      <c r="O489" s="515" t="s">
        <v>442</v>
      </c>
      <c r="AG489" s="509" t="s">
        <v>2514</v>
      </c>
    </row>
    <row r="490" spans="1:33" hidden="1">
      <c r="C490" s="2"/>
      <c r="D490" s="2"/>
      <c r="E490" s="2"/>
      <c r="F490" s="509" t="s">
        <v>30</v>
      </c>
      <c r="I490" s="2"/>
      <c r="J490" s="463"/>
      <c r="K490" s="2"/>
    </row>
    <row r="491" spans="1:33" hidden="1">
      <c r="A491" s="521">
        <f>(A489+1)</f>
        <v>324</v>
      </c>
      <c r="B491" s="509" t="s">
        <v>3018</v>
      </c>
      <c r="C491" s="492">
        <v>11.5</v>
      </c>
      <c r="D491" s="490" t="s">
        <v>2342</v>
      </c>
      <c r="E491" s="2"/>
      <c r="I491" s="2"/>
      <c r="J491" s="463"/>
      <c r="K491" s="491" t="s">
        <v>29</v>
      </c>
      <c r="M491" s="519">
        <v>30</v>
      </c>
      <c r="N491" s="509" t="s">
        <v>2205</v>
      </c>
      <c r="O491" s="509" t="s">
        <v>3019</v>
      </c>
      <c r="P491" s="519">
        <f>(C42)</f>
        <v>1.75</v>
      </c>
      <c r="Q491" s="509" t="s">
        <v>2205</v>
      </c>
      <c r="R491" s="519">
        <f>(M491*P491)</f>
        <v>52.5</v>
      </c>
      <c r="AG491" s="509" t="s">
        <v>2514</v>
      </c>
    </row>
    <row r="492" spans="1:33" hidden="1">
      <c r="A492" s="521">
        <f t="shared" ref="A492:A546" si="23">(A491+1)</f>
        <v>325</v>
      </c>
      <c r="B492" s="509" t="s">
        <v>3020</v>
      </c>
      <c r="C492" s="492">
        <v>56.74</v>
      </c>
      <c r="D492" s="490" t="s">
        <v>2342</v>
      </c>
      <c r="E492" s="2"/>
      <c r="F492" s="510"/>
      <c r="G492" s="518" t="s">
        <v>575</v>
      </c>
      <c r="H492" s="509" t="s">
        <v>3021</v>
      </c>
      <c r="I492" s="2"/>
      <c r="J492" s="463"/>
      <c r="K492" s="2"/>
      <c r="M492" s="509" t="s">
        <v>30</v>
      </c>
      <c r="O492" s="509" t="s">
        <v>3022</v>
      </c>
      <c r="P492" s="509" t="s">
        <v>30</v>
      </c>
      <c r="R492" s="509" t="s">
        <v>30</v>
      </c>
      <c r="AG492" s="509" t="s">
        <v>2514</v>
      </c>
    </row>
    <row r="493" spans="1:33" hidden="1">
      <c r="A493" s="521">
        <f t="shared" si="23"/>
        <v>326</v>
      </c>
      <c r="B493" s="509" t="s">
        <v>3023</v>
      </c>
      <c r="C493" s="492">
        <v>56.74</v>
      </c>
      <c r="D493" s="490" t="s">
        <v>2342</v>
      </c>
      <c r="E493" s="2"/>
      <c r="H493" s="509" t="s">
        <v>2850</v>
      </c>
      <c r="I493" s="2"/>
      <c r="J493" s="463"/>
      <c r="K493" s="2"/>
      <c r="M493" s="519">
        <v>8</v>
      </c>
      <c r="N493" s="509" t="s">
        <v>2342</v>
      </c>
      <c r="O493" s="509" t="s">
        <v>2982</v>
      </c>
      <c r="P493" s="519">
        <f>(C43)</f>
        <v>2.2000000000000002</v>
      </c>
      <c r="Q493" s="509" t="s">
        <v>2342</v>
      </c>
      <c r="R493" s="519">
        <f t="shared" ref="R493:R498" si="24">(M493*P493)</f>
        <v>17.600000000000001</v>
      </c>
      <c r="AG493" s="509" t="s">
        <v>2514</v>
      </c>
    </row>
    <row r="494" spans="1:33" hidden="1">
      <c r="A494" s="521">
        <f t="shared" si="23"/>
        <v>327</v>
      </c>
      <c r="B494" s="509" t="s">
        <v>3024</v>
      </c>
      <c r="C494" s="2"/>
      <c r="D494" s="490" t="s">
        <v>30</v>
      </c>
      <c r="E494" s="2"/>
      <c r="H494" s="515" t="s">
        <v>442</v>
      </c>
      <c r="I494" s="2"/>
      <c r="J494" s="463"/>
      <c r="K494" s="2"/>
      <c r="M494" s="519">
        <v>8</v>
      </c>
      <c r="N494" s="509" t="s">
        <v>2342</v>
      </c>
      <c r="O494" s="509" t="s">
        <v>2985</v>
      </c>
      <c r="P494" s="519">
        <f>(C50)</f>
        <v>3.2</v>
      </c>
      <c r="Q494" s="509" t="s">
        <v>2342</v>
      </c>
      <c r="R494" s="519">
        <f t="shared" si="24"/>
        <v>25.6</v>
      </c>
      <c r="AG494" s="509" t="s">
        <v>2514</v>
      </c>
    </row>
    <row r="495" spans="1:33" hidden="1">
      <c r="A495" s="521">
        <f t="shared" si="23"/>
        <v>328</v>
      </c>
      <c r="B495" s="509" t="s">
        <v>3015</v>
      </c>
      <c r="C495" s="492">
        <v>15.6</v>
      </c>
      <c r="D495" s="490" t="s">
        <v>2342</v>
      </c>
      <c r="E495" s="2"/>
      <c r="F495" s="519">
        <v>9</v>
      </c>
      <c r="G495" s="518" t="s">
        <v>2334</v>
      </c>
      <c r="H495" s="509" t="s">
        <v>3025</v>
      </c>
      <c r="I495" s="492" t="e">
        <f>(C70)</f>
        <v>#REF!</v>
      </c>
      <c r="J495" s="500" t="s">
        <v>2334</v>
      </c>
      <c r="K495" s="492" t="e">
        <f t="shared" ref="K495:K500" si="25">(F495*I495)</f>
        <v>#REF!</v>
      </c>
      <c r="M495" s="519">
        <v>3</v>
      </c>
      <c r="N495" s="509" t="s">
        <v>2342</v>
      </c>
      <c r="O495" s="509" t="s">
        <v>3026</v>
      </c>
      <c r="P495" s="519">
        <f>(C41)</f>
        <v>110</v>
      </c>
      <c r="Q495" s="509" t="s">
        <v>2342</v>
      </c>
      <c r="R495" s="519">
        <f t="shared" si="24"/>
        <v>330</v>
      </c>
      <c r="AG495" s="509" t="s">
        <v>2514</v>
      </c>
    </row>
    <row r="496" spans="1:33" hidden="1">
      <c r="A496" s="521">
        <f t="shared" si="23"/>
        <v>329</v>
      </c>
      <c r="B496" s="509" t="s">
        <v>3017</v>
      </c>
      <c r="C496" s="492">
        <v>15.6</v>
      </c>
      <c r="D496" s="490" t="s">
        <v>2342</v>
      </c>
      <c r="E496" s="2"/>
      <c r="F496" s="528">
        <v>3.2309999999999999</v>
      </c>
      <c r="G496" s="518" t="s">
        <v>2516</v>
      </c>
      <c r="H496" s="509" t="s">
        <v>2517</v>
      </c>
      <c r="I496" s="492">
        <f>(C67)</f>
        <v>3800</v>
      </c>
      <c r="J496" s="500" t="s">
        <v>2516</v>
      </c>
      <c r="K496" s="492">
        <f t="shared" si="25"/>
        <v>12277.8</v>
      </c>
      <c r="M496" s="519">
        <v>1</v>
      </c>
      <c r="N496" s="509" t="s">
        <v>2342</v>
      </c>
      <c r="O496" s="509" t="s">
        <v>3027</v>
      </c>
      <c r="P496" s="519">
        <f>(C10)</f>
        <v>150</v>
      </c>
      <c r="Q496" s="509" t="s">
        <v>2342</v>
      </c>
      <c r="R496" s="519">
        <f t="shared" si="24"/>
        <v>150</v>
      </c>
      <c r="AG496" s="509" t="s">
        <v>2514</v>
      </c>
    </row>
    <row r="497" spans="1:33" hidden="1">
      <c r="A497" s="521">
        <f t="shared" si="23"/>
        <v>330</v>
      </c>
      <c r="B497" s="509" t="s">
        <v>3018</v>
      </c>
      <c r="C497" s="492">
        <v>15.6</v>
      </c>
      <c r="D497" s="490" t="s">
        <v>2342</v>
      </c>
      <c r="E497" s="2"/>
      <c r="F497" s="519">
        <v>4.5</v>
      </c>
      <c r="G497" s="518" t="s">
        <v>2334</v>
      </c>
      <c r="H497" s="509" t="s">
        <v>2525</v>
      </c>
      <c r="I497" s="492" t="e">
        <f>(C78)</f>
        <v>#REF!</v>
      </c>
      <c r="J497" s="500" t="s">
        <v>2334</v>
      </c>
      <c r="K497" s="492" t="e">
        <f t="shared" si="25"/>
        <v>#REF!</v>
      </c>
      <c r="M497" s="519">
        <v>2</v>
      </c>
      <c r="N497" s="509" t="s">
        <v>2342</v>
      </c>
      <c r="O497" s="509" t="s">
        <v>2344</v>
      </c>
      <c r="P497" s="519">
        <f>(C12)</f>
        <v>95</v>
      </c>
      <c r="Q497" s="509" t="s">
        <v>2342</v>
      </c>
      <c r="R497" s="519">
        <f t="shared" si="24"/>
        <v>190</v>
      </c>
      <c r="AG497" s="509" t="s">
        <v>2514</v>
      </c>
    </row>
    <row r="498" spans="1:33" hidden="1">
      <c r="A498" s="521">
        <f t="shared" si="23"/>
        <v>331</v>
      </c>
      <c r="B498" s="509" t="s">
        <v>3020</v>
      </c>
      <c r="C498" s="492">
        <v>100.3</v>
      </c>
      <c r="D498" s="490" t="s">
        <v>2342</v>
      </c>
      <c r="E498" s="2"/>
      <c r="F498" s="519">
        <v>3.5</v>
      </c>
      <c r="G498" s="518" t="s">
        <v>2342</v>
      </c>
      <c r="H498" s="509" t="s">
        <v>2343</v>
      </c>
      <c r="I498" s="492">
        <f>(C11)</f>
        <v>135</v>
      </c>
      <c r="J498" s="500" t="s">
        <v>2342</v>
      </c>
      <c r="K498" s="492">
        <f t="shared" si="25"/>
        <v>472.5</v>
      </c>
      <c r="M498" s="519">
        <v>1</v>
      </c>
      <c r="N498" s="509" t="s">
        <v>2342</v>
      </c>
      <c r="O498" s="509" t="s">
        <v>2345</v>
      </c>
      <c r="P498" s="519">
        <f>(C13)</f>
        <v>85</v>
      </c>
      <c r="Q498" s="509" t="s">
        <v>2342</v>
      </c>
      <c r="R498" s="519">
        <f t="shared" si="24"/>
        <v>85</v>
      </c>
      <c r="AG498" s="509" t="s">
        <v>2690</v>
      </c>
    </row>
    <row r="499" spans="1:33" hidden="1">
      <c r="A499" s="521">
        <f t="shared" si="23"/>
        <v>332</v>
      </c>
      <c r="B499" s="509" t="s">
        <v>3023</v>
      </c>
      <c r="C499" s="492">
        <v>100.3</v>
      </c>
      <c r="D499" s="490" t="s">
        <v>2342</v>
      </c>
      <c r="E499" s="2"/>
      <c r="F499" s="519">
        <v>21.2</v>
      </c>
      <c r="G499" s="518" t="s">
        <v>2342</v>
      </c>
      <c r="H499" s="509" t="s">
        <v>2344</v>
      </c>
      <c r="I499" s="492">
        <f>(C12)</f>
        <v>95</v>
      </c>
      <c r="J499" s="500" t="s">
        <v>2342</v>
      </c>
      <c r="K499" s="492">
        <f t="shared" si="25"/>
        <v>2014</v>
      </c>
      <c r="N499" s="509" t="s">
        <v>2346</v>
      </c>
      <c r="O499" s="509" t="s">
        <v>3028</v>
      </c>
      <c r="P499" s="509" t="s">
        <v>30</v>
      </c>
      <c r="Q499" s="509" t="s">
        <v>2346</v>
      </c>
      <c r="R499" s="519">
        <f>(C56)</f>
        <v>12.1</v>
      </c>
    </row>
    <row r="500" spans="1:33" hidden="1">
      <c r="A500" s="521">
        <f t="shared" si="23"/>
        <v>333</v>
      </c>
      <c r="B500" s="509" t="s">
        <v>3029</v>
      </c>
      <c r="C500" s="2"/>
      <c r="D500" s="490" t="s">
        <v>30</v>
      </c>
      <c r="E500" s="2"/>
      <c r="F500" s="519">
        <v>35.299999999999997</v>
      </c>
      <c r="G500" s="518" t="s">
        <v>2342</v>
      </c>
      <c r="H500" s="509" t="s">
        <v>2345</v>
      </c>
      <c r="I500" s="492">
        <f>(C13)</f>
        <v>85</v>
      </c>
      <c r="J500" s="500" t="s">
        <v>2342</v>
      </c>
      <c r="K500" s="492">
        <f t="shared" si="25"/>
        <v>3000.4999999999995</v>
      </c>
      <c r="O500" s="509" t="s">
        <v>3030</v>
      </c>
      <c r="P500" s="509" t="s">
        <v>30</v>
      </c>
      <c r="R500" s="509" t="s">
        <v>30</v>
      </c>
    </row>
    <row r="501" spans="1:33" hidden="1">
      <c r="A501" s="521">
        <f t="shared" si="23"/>
        <v>334</v>
      </c>
      <c r="B501" s="509" t="s">
        <v>3015</v>
      </c>
      <c r="C501" s="492">
        <v>9.4499999999999993</v>
      </c>
      <c r="D501" s="490" t="s">
        <v>2342</v>
      </c>
      <c r="E501" s="2"/>
      <c r="G501" s="518" t="s">
        <v>2346</v>
      </c>
      <c r="H501" s="509" t="s">
        <v>2347</v>
      </c>
      <c r="I501" s="490" t="s">
        <v>30</v>
      </c>
      <c r="J501" s="500" t="s">
        <v>2346</v>
      </c>
      <c r="K501" s="492">
        <v>0</v>
      </c>
      <c r="N501" s="509" t="s">
        <v>2346</v>
      </c>
      <c r="O501" s="509" t="s">
        <v>2347</v>
      </c>
      <c r="Q501" s="509" t="s">
        <v>2346</v>
      </c>
      <c r="R501" s="519">
        <v>0</v>
      </c>
      <c r="AG501" s="509" t="s">
        <v>2514</v>
      </c>
    </row>
    <row r="502" spans="1:33" hidden="1">
      <c r="A502" s="521">
        <f t="shared" si="23"/>
        <v>335</v>
      </c>
      <c r="B502" s="509" t="s">
        <v>3017</v>
      </c>
      <c r="C502" s="492">
        <v>15.6</v>
      </c>
      <c r="D502" s="490" t="s">
        <v>2342</v>
      </c>
      <c r="E502" s="2"/>
      <c r="I502" s="2"/>
      <c r="J502" s="463"/>
      <c r="K502" s="491" t="s">
        <v>442</v>
      </c>
      <c r="R502" s="515" t="s">
        <v>442</v>
      </c>
      <c r="AG502" s="509" t="s">
        <v>2514</v>
      </c>
    </row>
    <row r="503" spans="1:33" hidden="1">
      <c r="A503" s="521">
        <f t="shared" si="23"/>
        <v>336</v>
      </c>
      <c r="B503" s="509" t="s">
        <v>3018</v>
      </c>
      <c r="C503" s="492">
        <v>15.6</v>
      </c>
      <c r="D503" s="490" t="s">
        <v>2342</v>
      </c>
      <c r="E503" s="2"/>
      <c r="H503" s="509" t="s">
        <v>2865</v>
      </c>
      <c r="I503" s="2"/>
      <c r="J503" s="463"/>
      <c r="K503" s="492" t="e">
        <f>SUM(K495:K501)</f>
        <v>#REF!</v>
      </c>
      <c r="O503" s="509" t="s">
        <v>3031</v>
      </c>
      <c r="R503" s="519">
        <f>SUM(R491:R501)</f>
        <v>862.80000000000007</v>
      </c>
      <c r="AG503" s="509" t="s">
        <v>2514</v>
      </c>
    </row>
    <row r="504" spans="1:33" hidden="1">
      <c r="A504" s="521">
        <f t="shared" si="23"/>
        <v>337</v>
      </c>
      <c r="B504" s="509" t="s">
        <v>3032</v>
      </c>
      <c r="C504" s="492">
        <v>36.61</v>
      </c>
      <c r="D504" s="490" t="s">
        <v>2342</v>
      </c>
      <c r="E504" s="2"/>
      <c r="I504" s="2"/>
      <c r="J504" s="463"/>
      <c r="K504" s="491" t="s">
        <v>442</v>
      </c>
      <c r="R504" s="515" t="s">
        <v>442</v>
      </c>
      <c r="AG504" s="509" t="s">
        <v>2514</v>
      </c>
    </row>
    <row r="505" spans="1:33" hidden="1">
      <c r="A505" s="521">
        <f t="shared" si="23"/>
        <v>338</v>
      </c>
      <c r="B505" s="509" t="s">
        <v>3020</v>
      </c>
      <c r="C505" s="492">
        <v>78.709999999999994</v>
      </c>
      <c r="D505" s="490" t="s">
        <v>2342</v>
      </c>
      <c r="E505" s="2"/>
      <c r="H505" s="509" t="s">
        <v>2349</v>
      </c>
      <c r="I505" s="2"/>
      <c r="J505" s="463"/>
      <c r="K505" s="492" t="e">
        <f>(K503/10)</f>
        <v>#REF!</v>
      </c>
      <c r="O505" s="509" t="s">
        <v>2990</v>
      </c>
      <c r="R505" s="519">
        <f>(R503/30)</f>
        <v>28.76</v>
      </c>
      <c r="AG505" s="509" t="s">
        <v>2514</v>
      </c>
    </row>
    <row r="506" spans="1:33" hidden="1">
      <c r="A506" s="521">
        <f t="shared" si="23"/>
        <v>339</v>
      </c>
      <c r="B506" s="509" t="s">
        <v>3023</v>
      </c>
      <c r="C506" s="492">
        <v>78.709999999999994</v>
      </c>
      <c r="D506" s="490" t="s">
        <v>2342</v>
      </c>
      <c r="E506" s="2"/>
      <c r="I506" s="2"/>
      <c r="J506" s="463"/>
      <c r="K506" s="2"/>
      <c r="R506" s="515" t="s">
        <v>442</v>
      </c>
      <c r="AG506" s="509" t="s">
        <v>2514</v>
      </c>
    </row>
    <row r="507" spans="1:33" hidden="1">
      <c r="A507" s="521">
        <f t="shared" si="23"/>
        <v>340</v>
      </c>
      <c r="B507" s="509" t="s">
        <v>3033</v>
      </c>
      <c r="C507" s="2"/>
      <c r="D507" s="490" t="s">
        <v>3034</v>
      </c>
      <c r="E507" s="2"/>
      <c r="F507" s="519">
        <v>1</v>
      </c>
      <c r="G507" s="518" t="s">
        <v>2334</v>
      </c>
      <c r="H507" s="509" t="s">
        <v>2873</v>
      </c>
      <c r="I507" s="2"/>
      <c r="J507" s="463"/>
      <c r="K507" s="492">
        <f>(C25)</f>
        <v>20.7</v>
      </c>
      <c r="N507" s="509" t="s">
        <v>24</v>
      </c>
      <c r="O507" s="510" t="s">
        <v>3035</v>
      </c>
      <c r="AG507" s="509" t="s">
        <v>2514</v>
      </c>
    </row>
    <row r="508" spans="1:33" hidden="1">
      <c r="A508" s="521">
        <f t="shared" si="23"/>
        <v>341</v>
      </c>
      <c r="B508" s="509" t="s">
        <v>3036</v>
      </c>
      <c r="C508" s="492">
        <v>20.55</v>
      </c>
      <c r="D508" s="490" t="s">
        <v>2205</v>
      </c>
      <c r="E508" s="2"/>
      <c r="I508" s="2"/>
      <c r="J508" s="463"/>
      <c r="K508" s="491" t="s">
        <v>442</v>
      </c>
      <c r="O508" s="515" t="s">
        <v>442</v>
      </c>
      <c r="AG508" s="509" t="s">
        <v>2514</v>
      </c>
    </row>
    <row r="509" spans="1:33" hidden="1">
      <c r="A509" s="521">
        <f t="shared" si="23"/>
        <v>342</v>
      </c>
      <c r="B509" s="509" t="s">
        <v>3037</v>
      </c>
      <c r="C509" s="492">
        <v>32.9</v>
      </c>
      <c r="D509" s="490" t="s">
        <v>2205</v>
      </c>
      <c r="E509" s="2">
        <v>70</v>
      </c>
      <c r="H509" s="509" t="s">
        <v>3038</v>
      </c>
      <c r="I509" s="2"/>
      <c r="J509" s="463"/>
      <c r="K509" s="492" t="e">
        <f>SUM(K505:K507)</f>
        <v>#REF!</v>
      </c>
      <c r="M509" s="519">
        <v>30</v>
      </c>
      <c r="N509" s="509" t="s">
        <v>2205</v>
      </c>
      <c r="O509" s="509" t="s">
        <v>3019</v>
      </c>
      <c r="P509" s="519">
        <f>(C42)</f>
        <v>1.75</v>
      </c>
      <c r="Q509" s="509" t="s">
        <v>2205</v>
      </c>
      <c r="R509" s="519">
        <f>(M509*P509)</f>
        <v>52.5</v>
      </c>
      <c r="AG509" s="509" t="s">
        <v>2514</v>
      </c>
    </row>
    <row r="510" spans="1:33" hidden="1">
      <c r="A510" s="521">
        <f t="shared" si="23"/>
        <v>343</v>
      </c>
      <c r="B510" s="509" t="s">
        <v>3039</v>
      </c>
      <c r="C510" s="492">
        <v>48.8</v>
      </c>
      <c r="D510" s="490" t="s">
        <v>2205</v>
      </c>
      <c r="E510" s="2"/>
      <c r="I510" s="2"/>
      <c r="J510" s="463"/>
      <c r="K510" s="491" t="s">
        <v>442</v>
      </c>
      <c r="M510" s="509" t="s">
        <v>30</v>
      </c>
      <c r="O510" s="509" t="s">
        <v>3022</v>
      </c>
      <c r="P510" s="509" t="s">
        <v>30</v>
      </c>
      <c r="R510" s="509" t="s">
        <v>30</v>
      </c>
      <c r="AG510" s="509" t="s">
        <v>2514</v>
      </c>
    </row>
    <row r="511" spans="1:33" hidden="1">
      <c r="A511" s="521">
        <f t="shared" si="23"/>
        <v>344</v>
      </c>
      <c r="B511" s="509" t="s">
        <v>3040</v>
      </c>
      <c r="C511" s="492">
        <v>65.7</v>
      </c>
      <c r="D511" s="490" t="s">
        <v>2205</v>
      </c>
      <c r="E511" s="2"/>
      <c r="G511" s="518" t="s">
        <v>3041</v>
      </c>
      <c r="H511" s="509" t="s">
        <v>2354</v>
      </c>
      <c r="I511" s="2"/>
      <c r="J511" s="463"/>
      <c r="K511" s="492" t="e">
        <f>(K509+C22)</f>
        <v>#REF!</v>
      </c>
      <c r="M511" s="519">
        <v>8</v>
      </c>
      <c r="N511" s="509" t="s">
        <v>2342</v>
      </c>
      <c r="O511" s="509" t="s">
        <v>2982</v>
      </c>
      <c r="P511" s="519">
        <f>(C44)</f>
        <v>2.2000000000000002</v>
      </c>
      <c r="Q511" s="509" t="s">
        <v>2342</v>
      </c>
      <c r="R511" s="519">
        <f t="shared" ref="R511:R516" si="26">(M511*P511)</f>
        <v>17.600000000000001</v>
      </c>
      <c r="AG511" s="509" t="s">
        <v>2514</v>
      </c>
    </row>
    <row r="512" spans="1:33" hidden="1">
      <c r="A512" s="521">
        <f t="shared" si="23"/>
        <v>345</v>
      </c>
      <c r="B512" s="509" t="s">
        <v>3042</v>
      </c>
      <c r="C512" s="492">
        <v>69.099999999999994</v>
      </c>
      <c r="D512" s="492">
        <v>21</v>
      </c>
      <c r="E512" s="2"/>
      <c r="G512" s="518" t="s">
        <v>3043</v>
      </c>
      <c r="H512" s="509" t="s">
        <v>2362</v>
      </c>
      <c r="I512" s="2"/>
      <c r="J512" s="463"/>
      <c r="K512" s="492" t="e">
        <f>(K511+C23)</f>
        <v>#REF!</v>
      </c>
      <c r="M512" s="519">
        <v>8</v>
      </c>
      <c r="N512" s="509" t="s">
        <v>2342</v>
      </c>
      <c r="O512" s="509" t="s">
        <v>2985</v>
      </c>
      <c r="P512" s="519">
        <f>(C51)</f>
        <v>3.2</v>
      </c>
      <c r="Q512" s="509" t="s">
        <v>2342</v>
      </c>
      <c r="R512" s="519">
        <f t="shared" si="26"/>
        <v>25.6</v>
      </c>
      <c r="AG512" s="509" t="s">
        <v>2514</v>
      </c>
    </row>
    <row r="513" spans="1:33" hidden="1">
      <c r="A513" s="521">
        <f t="shared" si="23"/>
        <v>346</v>
      </c>
      <c r="B513" s="509" t="s">
        <v>3044</v>
      </c>
      <c r="C513" s="492">
        <v>94.12</v>
      </c>
      <c r="D513" s="492">
        <v>37.15</v>
      </c>
      <c r="E513" s="2"/>
      <c r="G513" s="518" t="s">
        <v>3045</v>
      </c>
      <c r="H513" s="509" t="s">
        <v>2480</v>
      </c>
      <c r="I513" s="2"/>
      <c r="J513" s="463"/>
      <c r="K513" s="492" t="e">
        <f>(K512+C24)</f>
        <v>#REF!</v>
      </c>
      <c r="M513" s="519">
        <v>3</v>
      </c>
      <c r="N513" s="509" t="s">
        <v>2342</v>
      </c>
      <c r="O513" s="509" t="s">
        <v>3026</v>
      </c>
      <c r="P513" s="519">
        <f>(C41)</f>
        <v>110</v>
      </c>
      <c r="Q513" s="509" t="s">
        <v>2342</v>
      </c>
      <c r="R513" s="519">
        <f t="shared" si="26"/>
        <v>330</v>
      </c>
      <c r="AG513" s="509" t="s">
        <v>2514</v>
      </c>
    </row>
    <row r="514" spans="1:33" hidden="1">
      <c r="A514" s="521">
        <f t="shared" si="23"/>
        <v>347</v>
      </c>
      <c r="B514" s="509" t="s">
        <v>3046</v>
      </c>
      <c r="C514" s="2"/>
      <c r="D514" s="490" t="s">
        <v>30</v>
      </c>
      <c r="E514" s="2"/>
      <c r="G514" s="518" t="s">
        <v>3047</v>
      </c>
      <c r="H514" s="509" t="s">
        <v>2481</v>
      </c>
      <c r="I514" s="2"/>
      <c r="J514" s="463"/>
      <c r="K514" s="492" t="e">
        <f>(K513+C24)</f>
        <v>#REF!</v>
      </c>
      <c r="M514" s="519">
        <v>1</v>
      </c>
      <c r="N514" s="509" t="s">
        <v>2342</v>
      </c>
      <c r="O514" s="509" t="s">
        <v>3027</v>
      </c>
      <c r="P514" s="519">
        <f>(C10)</f>
        <v>150</v>
      </c>
      <c r="Q514" s="509" t="s">
        <v>2342</v>
      </c>
      <c r="R514" s="519">
        <f t="shared" si="26"/>
        <v>150</v>
      </c>
      <c r="AG514" s="509" t="s">
        <v>2514</v>
      </c>
    </row>
    <row r="515" spans="1:33" hidden="1">
      <c r="A515" s="521">
        <f t="shared" si="23"/>
        <v>348</v>
      </c>
      <c r="B515" s="509" t="s">
        <v>2946</v>
      </c>
      <c r="C515" s="492">
        <v>4.1900000000000004</v>
      </c>
      <c r="D515" s="490" t="s">
        <v>2342</v>
      </c>
      <c r="E515" s="2"/>
      <c r="I515" s="2"/>
      <c r="J515" s="463"/>
      <c r="K515" s="2"/>
      <c r="M515" s="519">
        <v>2</v>
      </c>
      <c r="N515" s="509" t="s">
        <v>2342</v>
      </c>
      <c r="O515" s="509" t="s">
        <v>2344</v>
      </c>
      <c r="P515" s="519">
        <f>(C12)</f>
        <v>95</v>
      </c>
      <c r="Q515" s="509" t="s">
        <v>2342</v>
      </c>
      <c r="R515" s="519">
        <f t="shared" si="26"/>
        <v>190</v>
      </c>
      <c r="AG515" s="509" t="s">
        <v>2514</v>
      </c>
    </row>
    <row r="516" spans="1:33" hidden="1">
      <c r="A516" s="521">
        <f t="shared" si="23"/>
        <v>349</v>
      </c>
      <c r="B516" s="509" t="s">
        <v>2947</v>
      </c>
      <c r="C516" s="492">
        <v>5</v>
      </c>
      <c r="D516" s="490" t="s">
        <v>2342</v>
      </c>
      <c r="E516" s="2"/>
      <c r="F516" s="510" t="s">
        <v>1917</v>
      </c>
      <c r="G516" s="518" t="s">
        <v>575</v>
      </c>
      <c r="H516" s="509" t="s">
        <v>3048</v>
      </c>
      <c r="I516" s="2"/>
      <c r="J516" s="463"/>
      <c r="K516" s="2"/>
      <c r="M516" s="519">
        <v>1</v>
      </c>
      <c r="N516" s="509" t="s">
        <v>2342</v>
      </c>
      <c r="O516" s="509" t="s">
        <v>2345</v>
      </c>
      <c r="P516" s="519">
        <f>(C13)</f>
        <v>85</v>
      </c>
      <c r="Q516" s="509" t="s">
        <v>2342</v>
      </c>
      <c r="R516" s="519">
        <f t="shared" si="26"/>
        <v>85</v>
      </c>
      <c r="AG516" s="509" t="s">
        <v>2514</v>
      </c>
    </row>
    <row r="517" spans="1:33" hidden="1">
      <c r="A517" s="521">
        <f t="shared" si="23"/>
        <v>350</v>
      </c>
      <c r="B517" s="509" t="s">
        <v>2949</v>
      </c>
      <c r="C517" s="492">
        <v>8.06</v>
      </c>
      <c r="D517" s="490" t="s">
        <v>2342</v>
      </c>
      <c r="E517" s="2"/>
      <c r="H517" s="515" t="s">
        <v>442</v>
      </c>
      <c r="I517" s="2"/>
      <c r="J517" s="463"/>
      <c r="K517" s="2"/>
      <c r="N517" s="509" t="s">
        <v>2346</v>
      </c>
      <c r="O517" s="509" t="s">
        <v>3028</v>
      </c>
      <c r="P517" s="509" t="s">
        <v>30</v>
      </c>
      <c r="Q517" s="509" t="s">
        <v>2346</v>
      </c>
      <c r="R517" s="519">
        <f>(C56)</f>
        <v>12.1</v>
      </c>
      <c r="AG517" s="509" t="s">
        <v>2514</v>
      </c>
    </row>
    <row r="518" spans="1:33" hidden="1">
      <c r="A518" s="521">
        <f t="shared" si="23"/>
        <v>351</v>
      </c>
      <c r="B518" s="509" t="s">
        <v>2950</v>
      </c>
      <c r="C518" s="492">
        <v>11.86</v>
      </c>
      <c r="D518" s="490" t="s">
        <v>2342</v>
      </c>
      <c r="E518" s="2"/>
      <c r="F518" s="528">
        <v>1.4999999999999999E-2</v>
      </c>
      <c r="G518" s="518" t="s">
        <v>2334</v>
      </c>
      <c r="H518" s="509" t="s">
        <v>2361</v>
      </c>
      <c r="I518" s="492" t="e">
        <f>(K505)</f>
        <v>#REF!</v>
      </c>
      <c r="J518" s="500" t="s">
        <v>2334</v>
      </c>
      <c r="K518" s="492" t="e">
        <f>(F518*I518)</f>
        <v>#REF!</v>
      </c>
      <c r="O518" s="509" t="s">
        <v>3030</v>
      </c>
      <c r="P518" s="509" t="s">
        <v>30</v>
      </c>
      <c r="R518" s="509" t="s">
        <v>30</v>
      </c>
      <c r="AG518" s="509" t="s">
        <v>2514</v>
      </c>
    </row>
    <row r="519" spans="1:33" hidden="1">
      <c r="A519" s="521">
        <f t="shared" si="23"/>
        <v>352</v>
      </c>
      <c r="B519" s="509" t="s">
        <v>2952</v>
      </c>
      <c r="C519" s="492">
        <v>18.88</v>
      </c>
      <c r="D519" s="490" t="s">
        <v>2342</v>
      </c>
      <c r="E519" s="2"/>
      <c r="F519" s="519">
        <v>0.5</v>
      </c>
      <c r="G519" s="518" t="s">
        <v>2359</v>
      </c>
      <c r="H519" s="509" t="s">
        <v>2353</v>
      </c>
      <c r="I519" s="492">
        <f>(C10)</f>
        <v>150</v>
      </c>
      <c r="J519" s="500" t="s">
        <v>2359</v>
      </c>
      <c r="K519" s="492">
        <f>(F519*I519)</f>
        <v>75</v>
      </c>
      <c r="N519" s="509" t="s">
        <v>2346</v>
      </c>
      <c r="O519" s="509" t="s">
        <v>2347</v>
      </c>
      <c r="Q519" s="509" t="s">
        <v>2346</v>
      </c>
      <c r="R519" s="519">
        <v>0</v>
      </c>
      <c r="AG519" s="509" t="s">
        <v>2514</v>
      </c>
    </row>
    <row r="520" spans="1:33" hidden="1">
      <c r="A520" s="521">
        <f t="shared" si="23"/>
        <v>353</v>
      </c>
      <c r="B520" s="509" t="s">
        <v>2905</v>
      </c>
      <c r="C520" s="492">
        <v>26</v>
      </c>
      <c r="D520" s="490" t="s">
        <v>2342</v>
      </c>
      <c r="E520" s="2"/>
      <c r="F520" s="519">
        <v>0.75</v>
      </c>
      <c r="G520" s="518" t="s">
        <v>2359</v>
      </c>
      <c r="H520" s="509" t="s">
        <v>2344</v>
      </c>
      <c r="I520" s="492">
        <f>(C12)</f>
        <v>95</v>
      </c>
      <c r="J520" s="500" t="s">
        <v>2359</v>
      </c>
      <c r="K520" s="492">
        <f>(F520*I520)</f>
        <v>71.25</v>
      </c>
      <c r="R520" s="515" t="s">
        <v>442</v>
      </c>
      <c r="AG520" s="509" t="s">
        <v>2514</v>
      </c>
    </row>
    <row r="521" spans="1:33" hidden="1">
      <c r="A521" s="521">
        <f t="shared" si="23"/>
        <v>354</v>
      </c>
      <c r="B521" s="509" t="s">
        <v>3049</v>
      </c>
      <c r="C521" s="2"/>
      <c r="D521" s="490" t="s">
        <v>30</v>
      </c>
      <c r="E521" s="2"/>
      <c r="G521" s="518" t="s">
        <v>2346</v>
      </c>
      <c r="H521" s="509" t="s">
        <v>2347</v>
      </c>
      <c r="I521" s="2"/>
      <c r="J521" s="500" t="s">
        <v>2346</v>
      </c>
      <c r="K521" s="492">
        <v>0</v>
      </c>
      <c r="O521" s="509" t="s">
        <v>3031</v>
      </c>
      <c r="R521" s="519">
        <f>SUM(R509:R519)</f>
        <v>862.80000000000007</v>
      </c>
      <c r="AG521" s="509" t="s">
        <v>2514</v>
      </c>
    </row>
    <row r="522" spans="1:33" hidden="1">
      <c r="A522" s="521">
        <f t="shared" si="23"/>
        <v>355</v>
      </c>
      <c r="B522" s="509" t="s">
        <v>2946</v>
      </c>
      <c r="C522" s="492">
        <v>4.62</v>
      </c>
      <c r="D522" s="490" t="s">
        <v>2342</v>
      </c>
      <c r="E522" s="2"/>
      <c r="I522" s="2"/>
      <c r="J522" s="463"/>
      <c r="K522" s="491" t="s">
        <v>442</v>
      </c>
      <c r="R522" s="515" t="s">
        <v>442</v>
      </c>
      <c r="AG522" s="509" t="s">
        <v>2514</v>
      </c>
    </row>
    <row r="523" spans="1:33" hidden="1">
      <c r="A523" s="521">
        <f t="shared" si="23"/>
        <v>356</v>
      </c>
      <c r="B523" s="509" t="s">
        <v>2947</v>
      </c>
      <c r="C523" s="492">
        <v>7.83</v>
      </c>
      <c r="D523" s="490" t="s">
        <v>2342</v>
      </c>
      <c r="E523" s="2"/>
      <c r="H523" s="509" t="s">
        <v>2360</v>
      </c>
      <c r="I523" s="2"/>
      <c r="J523" s="463"/>
      <c r="K523" s="492" t="e">
        <f>SUM(K518:K521)</f>
        <v>#REF!</v>
      </c>
      <c r="O523" s="509" t="s">
        <v>2990</v>
      </c>
      <c r="R523" s="519">
        <f>(R521/30)</f>
        <v>28.76</v>
      </c>
      <c r="AG523" s="509" t="s">
        <v>2514</v>
      </c>
    </row>
    <row r="524" spans="1:33" hidden="1">
      <c r="A524" s="521">
        <f t="shared" si="23"/>
        <v>357</v>
      </c>
      <c r="B524" s="509" t="s">
        <v>2949</v>
      </c>
      <c r="C524" s="492">
        <v>11.38</v>
      </c>
      <c r="D524" s="490" t="s">
        <v>2342</v>
      </c>
      <c r="E524" s="2"/>
      <c r="I524" s="2"/>
      <c r="J524" s="463"/>
      <c r="K524" s="491" t="s">
        <v>442</v>
      </c>
      <c r="R524" s="515" t="s">
        <v>442</v>
      </c>
      <c r="AG524" s="509" t="s">
        <v>2514</v>
      </c>
    </row>
    <row r="525" spans="1:33" hidden="1">
      <c r="A525" s="521">
        <f t="shared" si="23"/>
        <v>358</v>
      </c>
      <c r="B525" s="509" t="s">
        <v>2950</v>
      </c>
      <c r="C525" s="492">
        <v>18.75</v>
      </c>
      <c r="D525" s="490" t="s">
        <v>2342</v>
      </c>
      <c r="E525" s="2"/>
      <c r="H525" s="509" t="s">
        <v>2355</v>
      </c>
      <c r="I525" s="2"/>
      <c r="J525" s="463"/>
      <c r="K525" s="492" t="e">
        <f>(K523/0.743)</f>
        <v>#REF!</v>
      </c>
      <c r="AG525" s="509" t="s">
        <v>2514</v>
      </c>
    </row>
    <row r="526" spans="1:33" hidden="1">
      <c r="A526" s="521">
        <f t="shared" si="23"/>
        <v>359</v>
      </c>
      <c r="B526" s="509" t="s">
        <v>2952</v>
      </c>
      <c r="C526" s="492">
        <v>35.1</v>
      </c>
      <c r="D526" s="490" t="s">
        <v>2342</v>
      </c>
      <c r="E526" s="2"/>
      <c r="I526" s="2"/>
      <c r="J526" s="463"/>
      <c r="K526" s="491" t="s">
        <v>29</v>
      </c>
      <c r="AG526" s="509" t="s">
        <v>2514</v>
      </c>
    </row>
    <row r="527" spans="1:33" hidden="1">
      <c r="A527" s="521">
        <f t="shared" si="23"/>
        <v>360</v>
      </c>
      <c r="B527" s="509" t="s">
        <v>2905</v>
      </c>
      <c r="C527" s="492">
        <v>45.57</v>
      </c>
      <c r="D527" s="490" t="s">
        <v>2342</v>
      </c>
      <c r="E527" s="2"/>
      <c r="H527" s="509" t="s">
        <v>2354</v>
      </c>
      <c r="I527" s="492" t="e">
        <f>K525</f>
        <v>#REF!</v>
      </c>
      <c r="J527" s="500">
        <f>C22*0.02</f>
        <v>0.52900000000000003</v>
      </c>
      <c r="K527" s="492" t="e">
        <f>I527+J527</f>
        <v>#REF!</v>
      </c>
      <c r="N527" s="509" t="s">
        <v>3002</v>
      </c>
      <c r="O527" s="510" t="s">
        <v>3050</v>
      </c>
      <c r="AG527" s="509" t="s">
        <v>2514</v>
      </c>
    </row>
    <row r="528" spans="1:33" hidden="1">
      <c r="A528" s="521">
        <f t="shared" si="23"/>
        <v>361</v>
      </c>
      <c r="B528" s="509" t="s">
        <v>3051</v>
      </c>
      <c r="C528" s="2"/>
      <c r="D528" s="490" t="s">
        <v>30</v>
      </c>
      <c r="E528" s="2"/>
      <c r="H528" s="509" t="s">
        <v>2362</v>
      </c>
      <c r="I528" s="492" t="e">
        <f>K527</f>
        <v>#REF!</v>
      </c>
      <c r="J528" s="500">
        <f>C23*0.02</f>
        <v>1.0569999999999999</v>
      </c>
      <c r="K528" s="492" t="e">
        <f>I528+J528</f>
        <v>#REF!</v>
      </c>
      <c r="O528" s="515" t="s">
        <v>442</v>
      </c>
      <c r="AG528" s="509" t="s">
        <v>2514</v>
      </c>
    </row>
    <row r="529" spans="1:33" hidden="1">
      <c r="A529" s="521">
        <f t="shared" si="23"/>
        <v>362</v>
      </c>
      <c r="B529" s="509" t="s">
        <v>2946</v>
      </c>
      <c r="C529" s="492">
        <v>7.8</v>
      </c>
      <c r="D529" s="490" t="s">
        <v>2342</v>
      </c>
      <c r="E529" s="2"/>
      <c r="H529" s="509" t="s">
        <v>2480</v>
      </c>
      <c r="I529" s="492" t="e">
        <f>K528</f>
        <v>#REF!</v>
      </c>
      <c r="J529" s="500">
        <f>C23*0.02</f>
        <v>1.0569999999999999</v>
      </c>
      <c r="K529" s="492" t="e">
        <f>I529+J529</f>
        <v>#REF!</v>
      </c>
      <c r="M529" s="519">
        <v>30</v>
      </c>
      <c r="N529" s="509" t="s">
        <v>2205</v>
      </c>
      <c r="O529" s="509" t="s">
        <v>3019</v>
      </c>
      <c r="P529" s="519">
        <f>(C42)</f>
        <v>1.75</v>
      </c>
      <c r="Q529" s="509" t="s">
        <v>2205</v>
      </c>
      <c r="R529" s="519">
        <f>(M529*P529)</f>
        <v>52.5</v>
      </c>
      <c r="AG529" s="509" t="s">
        <v>2514</v>
      </c>
    </row>
    <row r="530" spans="1:33" hidden="1">
      <c r="A530" s="521">
        <f t="shared" si="23"/>
        <v>363</v>
      </c>
      <c r="B530" s="509" t="s">
        <v>2947</v>
      </c>
      <c r="C530" s="492">
        <v>9.49</v>
      </c>
      <c r="D530" s="490" t="s">
        <v>2342</v>
      </c>
      <c r="E530" s="2"/>
      <c r="H530" s="509" t="s">
        <v>2481</v>
      </c>
      <c r="I530" s="492" t="e">
        <f>K529</f>
        <v>#REF!</v>
      </c>
      <c r="J530" s="500">
        <f>C23*0.02</f>
        <v>1.0569999999999999</v>
      </c>
      <c r="K530" s="492" t="e">
        <f>I530+J530</f>
        <v>#REF!</v>
      </c>
      <c r="M530" s="509" t="s">
        <v>30</v>
      </c>
      <c r="O530" s="509" t="s">
        <v>3022</v>
      </c>
      <c r="P530" s="509" t="s">
        <v>30</v>
      </c>
      <c r="R530" s="509" t="s">
        <v>30</v>
      </c>
      <c r="AG530" s="509" t="s">
        <v>2514</v>
      </c>
    </row>
    <row r="531" spans="1:33" hidden="1">
      <c r="A531" s="521">
        <f t="shared" si="23"/>
        <v>364</v>
      </c>
      <c r="B531" s="509" t="s">
        <v>2949</v>
      </c>
      <c r="C531" s="492">
        <v>13.91</v>
      </c>
      <c r="D531" s="490" t="s">
        <v>2342</v>
      </c>
      <c r="E531" s="2"/>
      <c r="H531" s="509" t="s">
        <v>2362</v>
      </c>
      <c r="I531" s="492" t="e">
        <f>K530</f>
        <v>#REF!</v>
      </c>
      <c r="J531" s="500">
        <f>C24*0.02</f>
        <v>1.0569999999999999</v>
      </c>
      <c r="K531" s="492" t="e">
        <f>I531+J531</f>
        <v>#REF!</v>
      </c>
      <c r="M531" s="519">
        <v>8</v>
      </c>
      <c r="N531" s="509" t="s">
        <v>2342</v>
      </c>
      <c r="O531" s="509" t="s">
        <v>2982</v>
      </c>
      <c r="P531" s="519">
        <f>(C45)</f>
        <v>2.7</v>
      </c>
      <c r="Q531" s="509" t="s">
        <v>2342</v>
      </c>
      <c r="R531" s="519">
        <f t="shared" ref="R531:R536" si="27">(M531*P531)</f>
        <v>21.6</v>
      </c>
      <c r="AG531" s="509" t="s">
        <v>2514</v>
      </c>
    </row>
    <row r="532" spans="1:33" hidden="1">
      <c r="A532" s="521">
        <f t="shared" si="23"/>
        <v>365</v>
      </c>
      <c r="B532" s="509" t="s">
        <v>2950</v>
      </c>
      <c r="C532" s="492">
        <v>26.59</v>
      </c>
      <c r="D532" s="490" t="s">
        <v>2342</v>
      </c>
      <c r="E532" s="2"/>
      <c r="F532" s="510" t="s">
        <v>75</v>
      </c>
      <c r="G532" s="518" t="s">
        <v>575</v>
      </c>
      <c r="H532" s="509" t="s">
        <v>3052</v>
      </c>
      <c r="I532" s="2"/>
      <c r="J532" s="463"/>
      <c r="K532" s="2"/>
      <c r="M532" s="519">
        <v>8</v>
      </c>
      <c r="N532" s="509" t="s">
        <v>2342</v>
      </c>
      <c r="O532" s="509" t="s">
        <v>2985</v>
      </c>
      <c r="P532" s="519">
        <f>(C52)</f>
        <v>6.4</v>
      </c>
      <c r="Q532" s="509" t="s">
        <v>2342</v>
      </c>
      <c r="R532" s="519">
        <f t="shared" si="27"/>
        <v>51.2</v>
      </c>
      <c r="AG532" s="509" t="s">
        <v>2514</v>
      </c>
    </row>
    <row r="533" spans="1:33" hidden="1">
      <c r="A533" s="521">
        <f t="shared" si="23"/>
        <v>366</v>
      </c>
      <c r="B533" s="509" t="s">
        <v>2952</v>
      </c>
      <c r="C533" s="492">
        <v>39.909999999999997</v>
      </c>
      <c r="D533" s="490" t="s">
        <v>2342</v>
      </c>
      <c r="E533" s="2"/>
      <c r="H533" s="515" t="s">
        <v>442</v>
      </c>
      <c r="I533" s="2"/>
      <c r="J533" s="463"/>
      <c r="K533" s="2"/>
      <c r="M533" s="519">
        <v>3</v>
      </c>
      <c r="N533" s="509" t="s">
        <v>2342</v>
      </c>
      <c r="O533" s="509" t="s">
        <v>3026</v>
      </c>
      <c r="P533" s="519">
        <f>(C41)</f>
        <v>110</v>
      </c>
      <c r="Q533" s="509" t="s">
        <v>2342</v>
      </c>
      <c r="R533" s="519">
        <f t="shared" si="27"/>
        <v>330</v>
      </c>
      <c r="AG533" s="509" t="s">
        <v>2514</v>
      </c>
    </row>
    <row r="534" spans="1:33" hidden="1">
      <c r="A534" s="521">
        <f t="shared" si="23"/>
        <v>367</v>
      </c>
      <c r="B534" s="509" t="s">
        <v>2905</v>
      </c>
      <c r="C534" s="492">
        <v>66</v>
      </c>
      <c r="D534" s="490" t="s">
        <v>2342</v>
      </c>
      <c r="E534" s="2"/>
      <c r="F534" s="519">
        <v>0.03</v>
      </c>
      <c r="G534" s="518" t="s">
        <v>2334</v>
      </c>
      <c r="H534" s="509" t="s">
        <v>2361</v>
      </c>
      <c r="I534" s="492" t="e">
        <f>(K505)</f>
        <v>#REF!</v>
      </c>
      <c r="J534" s="500" t="s">
        <v>2334</v>
      </c>
      <c r="K534" s="492" t="e">
        <f>(F534*I534)</f>
        <v>#REF!</v>
      </c>
      <c r="M534" s="519">
        <v>1</v>
      </c>
      <c r="N534" s="509" t="s">
        <v>2342</v>
      </c>
      <c r="O534" s="509" t="s">
        <v>3027</v>
      </c>
      <c r="P534" s="519">
        <f>(C10)</f>
        <v>150</v>
      </c>
      <c r="Q534" s="509" t="s">
        <v>2342</v>
      </c>
      <c r="R534" s="519">
        <f t="shared" si="27"/>
        <v>150</v>
      </c>
      <c r="AG534" s="509" t="s">
        <v>2514</v>
      </c>
    </row>
    <row r="535" spans="1:33" hidden="1">
      <c r="A535" s="521">
        <f t="shared" si="23"/>
        <v>368</v>
      </c>
      <c r="B535" s="509" t="s">
        <v>3053</v>
      </c>
      <c r="C535" s="2"/>
      <c r="D535" s="490" t="s">
        <v>30</v>
      </c>
      <c r="E535" s="2"/>
      <c r="F535" s="519">
        <v>0.5</v>
      </c>
      <c r="G535" s="518" t="s">
        <v>2359</v>
      </c>
      <c r="H535" s="509" t="s">
        <v>2353</v>
      </c>
      <c r="I535" s="492">
        <f>(C10)</f>
        <v>150</v>
      </c>
      <c r="J535" s="500" t="s">
        <v>2359</v>
      </c>
      <c r="K535" s="492">
        <f>(F535*I535)</f>
        <v>75</v>
      </c>
      <c r="M535" s="519">
        <v>2</v>
      </c>
      <c r="N535" s="509" t="s">
        <v>2342</v>
      </c>
      <c r="O535" s="509" t="s">
        <v>2344</v>
      </c>
      <c r="P535" s="519">
        <f>(C12)</f>
        <v>95</v>
      </c>
      <c r="Q535" s="509" t="s">
        <v>2342</v>
      </c>
      <c r="R535" s="519">
        <f t="shared" si="27"/>
        <v>190</v>
      </c>
      <c r="AG535" s="509" t="s">
        <v>2514</v>
      </c>
    </row>
    <row r="536" spans="1:33" hidden="1">
      <c r="A536" s="521">
        <f t="shared" si="23"/>
        <v>369</v>
      </c>
      <c r="B536" s="509" t="s">
        <v>3015</v>
      </c>
      <c r="C536" s="492">
        <v>4.75</v>
      </c>
      <c r="D536" s="490" t="s">
        <v>2342</v>
      </c>
      <c r="E536" s="2"/>
      <c r="F536" s="519">
        <v>0.75</v>
      </c>
      <c r="G536" s="518" t="s">
        <v>2359</v>
      </c>
      <c r="H536" s="509" t="s">
        <v>2344</v>
      </c>
      <c r="I536" s="492">
        <f>(C12)</f>
        <v>95</v>
      </c>
      <c r="J536" s="500" t="s">
        <v>2359</v>
      </c>
      <c r="K536" s="492">
        <f>(F536*I536)</f>
        <v>71.25</v>
      </c>
      <c r="M536" s="519">
        <v>1</v>
      </c>
      <c r="N536" s="509" t="s">
        <v>2342</v>
      </c>
      <c r="O536" s="509" t="s">
        <v>2345</v>
      </c>
      <c r="P536" s="519">
        <f>(C13)</f>
        <v>85</v>
      </c>
      <c r="Q536" s="509" t="s">
        <v>2342</v>
      </c>
      <c r="R536" s="519">
        <f t="shared" si="27"/>
        <v>85</v>
      </c>
      <c r="AG536" s="509" t="s">
        <v>2514</v>
      </c>
    </row>
    <row r="537" spans="1:33" hidden="1">
      <c r="A537" s="521">
        <f t="shared" si="23"/>
        <v>370</v>
      </c>
      <c r="B537" s="509" t="s">
        <v>3017</v>
      </c>
      <c r="C537" s="492">
        <v>6.89</v>
      </c>
      <c r="D537" s="490" t="s">
        <v>2342</v>
      </c>
      <c r="E537" s="2"/>
      <c r="G537" s="518" t="s">
        <v>2346</v>
      </c>
      <c r="H537" s="509" t="s">
        <v>2347</v>
      </c>
      <c r="I537" s="2"/>
      <c r="J537" s="500" t="s">
        <v>2346</v>
      </c>
      <c r="K537" s="492">
        <v>0</v>
      </c>
      <c r="N537" s="509" t="s">
        <v>2346</v>
      </c>
      <c r="O537" s="509" t="s">
        <v>3028</v>
      </c>
      <c r="P537" s="509" t="s">
        <v>30</v>
      </c>
      <c r="Q537" s="509" t="s">
        <v>2346</v>
      </c>
      <c r="R537" s="519">
        <f>(C56)</f>
        <v>12.1</v>
      </c>
      <c r="AG537" s="509" t="s">
        <v>2514</v>
      </c>
    </row>
    <row r="538" spans="1:33" hidden="1">
      <c r="A538" s="521">
        <f t="shared" si="23"/>
        <v>371</v>
      </c>
      <c r="B538" s="509" t="s">
        <v>3018</v>
      </c>
      <c r="C538" s="492">
        <v>6.18</v>
      </c>
      <c r="D538" s="490" t="s">
        <v>2342</v>
      </c>
      <c r="E538" s="2"/>
      <c r="I538" s="2"/>
      <c r="J538" s="463"/>
      <c r="K538" s="491" t="s">
        <v>442</v>
      </c>
      <c r="O538" s="509" t="s">
        <v>3030</v>
      </c>
      <c r="P538" s="509" t="s">
        <v>30</v>
      </c>
      <c r="R538" s="509" t="s">
        <v>30</v>
      </c>
      <c r="AG538" s="509" t="s">
        <v>2514</v>
      </c>
    </row>
    <row r="539" spans="1:33" hidden="1">
      <c r="A539" s="521">
        <f t="shared" si="23"/>
        <v>372</v>
      </c>
      <c r="B539" s="509" t="s">
        <v>3054</v>
      </c>
      <c r="C539" s="492">
        <v>13.29</v>
      </c>
      <c r="D539" s="490" t="s">
        <v>2342</v>
      </c>
      <c r="E539" s="2"/>
      <c r="H539" s="509" t="s">
        <v>2360</v>
      </c>
      <c r="I539" s="2"/>
      <c r="J539" s="463"/>
      <c r="K539" s="492" t="e">
        <f>SUM(K534:K537)</f>
        <v>#REF!</v>
      </c>
      <c r="N539" s="509" t="s">
        <v>2346</v>
      </c>
      <c r="O539" s="509" t="s">
        <v>2347</v>
      </c>
      <c r="Q539" s="509" t="s">
        <v>2346</v>
      </c>
      <c r="R539" s="519">
        <v>0</v>
      </c>
      <c r="AG539" s="509" t="s">
        <v>2514</v>
      </c>
    </row>
    <row r="540" spans="1:33" hidden="1">
      <c r="A540" s="521">
        <f t="shared" si="23"/>
        <v>373</v>
      </c>
      <c r="B540" s="509" t="s">
        <v>3055</v>
      </c>
      <c r="C540" s="492">
        <v>14.11</v>
      </c>
      <c r="D540" s="490" t="s">
        <v>2342</v>
      </c>
      <c r="E540" s="2"/>
      <c r="I540" s="2"/>
      <c r="J540" s="463"/>
      <c r="K540" s="491" t="s">
        <v>442</v>
      </c>
      <c r="R540" s="515" t="s">
        <v>442</v>
      </c>
      <c r="AG540" s="509" t="s">
        <v>2514</v>
      </c>
    </row>
    <row r="541" spans="1:33" hidden="1">
      <c r="A541" s="521">
        <f t="shared" si="23"/>
        <v>374</v>
      </c>
      <c r="B541" s="509" t="s">
        <v>3056</v>
      </c>
      <c r="C541" s="492">
        <v>14.69</v>
      </c>
      <c r="D541" s="490" t="s">
        <v>2342</v>
      </c>
      <c r="E541" s="2"/>
      <c r="H541" s="509" t="s">
        <v>2355</v>
      </c>
      <c r="I541" s="2"/>
      <c r="J541" s="463"/>
      <c r="K541" s="492" t="e">
        <f>(K539/0.743)</f>
        <v>#REF!</v>
      </c>
      <c r="O541" s="509" t="s">
        <v>3031</v>
      </c>
      <c r="R541" s="519">
        <f>SUM(R529:R539)</f>
        <v>892.4</v>
      </c>
      <c r="AG541" s="509" t="s">
        <v>2514</v>
      </c>
    </row>
    <row r="542" spans="1:33" hidden="1">
      <c r="A542" s="521">
        <f t="shared" si="23"/>
        <v>375</v>
      </c>
      <c r="B542" s="509" t="s">
        <v>3057</v>
      </c>
      <c r="C542" s="2"/>
      <c r="D542" s="490" t="s">
        <v>30</v>
      </c>
      <c r="E542" s="2"/>
      <c r="I542" s="2"/>
      <c r="J542" s="463"/>
      <c r="K542" s="491" t="s">
        <v>29</v>
      </c>
      <c r="R542" s="515" t="s">
        <v>442</v>
      </c>
      <c r="AG542" s="509" t="s">
        <v>2514</v>
      </c>
    </row>
    <row r="543" spans="1:33" hidden="1">
      <c r="A543" s="521">
        <f t="shared" si="23"/>
        <v>376</v>
      </c>
      <c r="B543" s="509" t="s">
        <v>3015</v>
      </c>
      <c r="C543" s="492">
        <v>10.3</v>
      </c>
      <c r="D543" s="490" t="s">
        <v>2342</v>
      </c>
      <c r="E543" s="2"/>
      <c r="H543" s="509" t="s">
        <v>2354</v>
      </c>
      <c r="I543" s="492" t="e">
        <f>K541</f>
        <v>#REF!</v>
      </c>
      <c r="J543" s="500">
        <f>C22*0.04</f>
        <v>1.0580000000000001</v>
      </c>
      <c r="K543" s="492" t="e">
        <f>I543+J543</f>
        <v>#REF!</v>
      </c>
      <c r="O543" s="509" t="s">
        <v>2990</v>
      </c>
      <c r="R543" s="519">
        <f>(R541/30)</f>
        <v>29.746666666666666</v>
      </c>
      <c r="AG543" s="509" t="s">
        <v>2514</v>
      </c>
    </row>
    <row r="544" spans="1:33" hidden="1">
      <c r="A544" s="521">
        <f t="shared" si="23"/>
        <v>377</v>
      </c>
      <c r="B544" s="509" t="s">
        <v>3017</v>
      </c>
      <c r="C544" s="492">
        <v>19.05</v>
      </c>
      <c r="D544" s="490" t="s">
        <v>2342</v>
      </c>
      <c r="E544" s="2"/>
      <c r="H544" s="509" t="s">
        <v>2362</v>
      </c>
      <c r="I544" s="492" t="e">
        <f>K543</f>
        <v>#REF!</v>
      </c>
      <c r="J544" s="500">
        <f>C23*0.04</f>
        <v>2.1139999999999999</v>
      </c>
      <c r="K544" s="492" t="e">
        <f>I544+J544</f>
        <v>#REF!</v>
      </c>
      <c r="R544" s="515" t="s">
        <v>442</v>
      </c>
      <c r="AG544" s="509" t="s">
        <v>2514</v>
      </c>
    </row>
    <row r="545" spans="1:33" hidden="1">
      <c r="A545" s="521">
        <f t="shared" si="23"/>
        <v>378</v>
      </c>
      <c r="B545" s="509" t="s">
        <v>3018</v>
      </c>
      <c r="C545" s="492">
        <v>15.34</v>
      </c>
      <c r="D545" s="490" t="s">
        <v>2342</v>
      </c>
      <c r="E545" s="2"/>
      <c r="H545" s="509" t="s">
        <v>2480</v>
      </c>
      <c r="I545" s="492" t="e">
        <f>K544</f>
        <v>#REF!</v>
      </c>
      <c r="J545" s="500">
        <f>C23*0.04</f>
        <v>2.1139999999999999</v>
      </c>
      <c r="K545" s="492" t="e">
        <f>I545+J545</f>
        <v>#REF!</v>
      </c>
      <c r="N545" s="509" t="s">
        <v>575</v>
      </c>
      <c r="O545" s="509" t="s">
        <v>2967</v>
      </c>
      <c r="AG545" s="509" t="s">
        <v>2514</v>
      </c>
    </row>
    <row r="546" spans="1:33" hidden="1">
      <c r="A546" s="521">
        <f t="shared" si="23"/>
        <v>379</v>
      </c>
      <c r="B546" s="509" t="s">
        <v>3058</v>
      </c>
      <c r="C546" s="492">
        <v>29.41</v>
      </c>
      <c r="D546" s="490" t="s">
        <v>2342</v>
      </c>
      <c r="E546" s="2"/>
      <c r="H546" s="509" t="s">
        <v>2481</v>
      </c>
      <c r="I546" s="492" t="e">
        <f>K545</f>
        <v>#REF!</v>
      </c>
      <c r="J546" s="500">
        <f>C23*0.04</f>
        <v>2.1139999999999999</v>
      </c>
      <c r="K546" s="492" t="e">
        <f>I546+J546</f>
        <v>#REF!</v>
      </c>
      <c r="O546" s="509" t="s">
        <v>3059</v>
      </c>
      <c r="AG546" s="509" t="s">
        <v>2514</v>
      </c>
    </row>
    <row r="547" spans="1:33" hidden="1">
      <c r="C547" s="2"/>
      <c r="D547" s="2"/>
      <c r="E547" s="2"/>
      <c r="F547" s="509" t="s">
        <v>30</v>
      </c>
      <c r="H547" s="509" t="s">
        <v>2362</v>
      </c>
      <c r="I547" s="492" t="e">
        <f>K546</f>
        <v>#REF!</v>
      </c>
      <c r="J547" s="500">
        <f>C24*0.04</f>
        <v>2.1139999999999999</v>
      </c>
      <c r="K547" s="492" t="e">
        <f>I547+J547</f>
        <v>#REF!</v>
      </c>
    </row>
    <row r="548" spans="1:33" hidden="1">
      <c r="A548" s="521">
        <f>(A546+1)</f>
        <v>380</v>
      </c>
      <c r="B548" s="509" t="s">
        <v>3055</v>
      </c>
      <c r="C548" s="492">
        <v>38.35</v>
      </c>
      <c r="D548" s="490" t="s">
        <v>2342</v>
      </c>
      <c r="E548" s="2"/>
      <c r="I548" s="2"/>
      <c r="J548" s="463"/>
      <c r="K548" s="2"/>
      <c r="O548" s="509" t="s">
        <v>2969</v>
      </c>
      <c r="AG548" s="509" t="s">
        <v>2514</v>
      </c>
    </row>
    <row r="549" spans="1:33" hidden="1">
      <c r="A549" s="521">
        <f t="shared" ref="A549:A564" si="28">(A548+1)</f>
        <v>381</v>
      </c>
      <c r="B549" s="509" t="s">
        <v>3056</v>
      </c>
      <c r="C549" s="492">
        <v>37.96</v>
      </c>
      <c r="D549" s="490" t="s">
        <v>2342</v>
      </c>
      <c r="E549" s="2"/>
      <c r="F549" s="529"/>
      <c r="G549" s="518" t="s">
        <v>30</v>
      </c>
      <c r="H549" s="509" t="s">
        <v>3060</v>
      </c>
      <c r="I549" s="2"/>
      <c r="J549" s="463"/>
      <c r="K549" s="2"/>
      <c r="O549" s="515" t="s">
        <v>442</v>
      </c>
      <c r="AG549" s="509" t="s">
        <v>2514</v>
      </c>
    </row>
    <row r="550" spans="1:33" hidden="1">
      <c r="A550" s="521">
        <f t="shared" si="28"/>
        <v>382</v>
      </c>
      <c r="B550" s="509" t="s">
        <v>3061</v>
      </c>
      <c r="C550" s="2"/>
      <c r="D550" s="490" t="s">
        <v>30</v>
      </c>
      <c r="E550" s="2"/>
      <c r="H550" s="509" t="s">
        <v>3062</v>
      </c>
      <c r="I550" s="2"/>
      <c r="J550" s="463"/>
      <c r="K550" s="2"/>
      <c r="AG550" s="509" t="s">
        <v>2514</v>
      </c>
    </row>
    <row r="551" spans="1:33" hidden="1">
      <c r="A551" s="521">
        <f t="shared" si="28"/>
        <v>383</v>
      </c>
      <c r="B551" s="509" t="s">
        <v>3015</v>
      </c>
      <c r="C551" s="492">
        <v>6.68</v>
      </c>
      <c r="D551" s="490" t="s">
        <v>2342</v>
      </c>
      <c r="E551" s="2"/>
      <c r="H551" s="509" t="s">
        <v>3063</v>
      </c>
      <c r="I551" s="2"/>
      <c r="J551" s="463"/>
      <c r="K551" s="2"/>
      <c r="N551" s="509" t="s">
        <v>2970</v>
      </c>
      <c r="O551" s="509" t="s">
        <v>3064</v>
      </c>
      <c r="AG551" s="509" t="s">
        <v>2514</v>
      </c>
    </row>
    <row r="552" spans="1:33" hidden="1">
      <c r="A552" s="521">
        <f t="shared" si="28"/>
        <v>384</v>
      </c>
      <c r="B552" s="509" t="s">
        <v>3017</v>
      </c>
      <c r="C552" s="492">
        <v>9.4499999999999993</v>
      </c>
      <c r="D552" s="490" t="s">
        <v>2342</v>
      </c>
      <c r="E552" s="2"/>
      <c r="H552" s="509" t="s">
        <v>3065</v>
      </c>
      <c r="I552" s="2"/>
      <c r="J552" s="463"/>
      <c r="K552" s="2"/>
      <c r="O552" s="515" t="s">
        <v>442</v>
      </c>
      <c r="AG552" s="509" t="s">
        <v>2514</v>
      </c>
    </row>
    <row r="553" spans="1:33" hidden="1">
      <c r="A553" s="521">
        <f t="shared" si="28"/>
        <v>385</v>
      </c>
      <c r="B553" s="509" t="s">
        <v>3018</v>
      </c>
      <c r="C553" s="492">
        <v>33.04</v>
      </c>
      <c r="D553" s="490" t="s">
        <v>2342</v>
      </c>
      <c r="E553" s="2"/>
      <c r="H553" s="509" t="s">
        <v>3066</v>
      </c>
      <c r="I553" s="2"/>
      <c r="J553" s="463"/>
      <c r="K553" s="2"/>
      <c r="M553" s="519">
        <v>8.1</v>
      </c>
      <c r="N553" s="509" t="s">
        <v>2334</v>
      </c>
      <c r="O553" s="509" t="s">
        <v>2973</v>
      </c>
      <c r="P553" s="519">
        <f>(C61)*2</f>
        <v>50</v>
      </c>
      <c r="Q553" s="509" t="s">
        <v>2334</v>
      </c>
      <c r="R553" s="519">
        <f>(M553*P553)</f>
        <v>405</v>
      </c>
      <c r="AG553" s="509" t="s">
        <v>2514</v>
      </c>
    </row>
    <row r="554" spans="1:33" hidden="1">
      <c r="A554" s="521">
        <f t="shared" si="28"/>
        <v>386</v>
      </c>
      <c r="B554" s="509" t="s">
        <v>3058</v>
      </c>
      <c r="C554" s="492">
        <v>33.04</v>
      </c>
      <c r="D554" s="490" t="s">
        <v>2342</v>
      </c>
      <c r="E554" s="2"/>
      <c r="H554" s="509" t="s">
        <v>3067</v>
      </c>
      <c r="I554" s="2"/>
      <c r="J554" s="463"/>
      <c r="K554" s="2"/>
      <c r="M554" s="519">
        <v>8.1</v>
      </c>
      <c r="N554" s="509" t="s">
        <v>2334</v>
      </c>
      <c r="O554" s="509" t="s">
        <v>2974</v>
      </c>
      <c r="P554" s="519">
        <f>(C26)</f>
        <v>8.8000000000000007</v>
      </c>
      <c r="Q554" s="509" t="s">
        <v>2334</v>
      </c>
      <c r="R554" s="519">
        <f>(M554*P554)</f>
        <v>71.28</v>
      </c>
      <c r="AG554" s="509" t="s">
        <v>2514</v>
      </c>
    </row>
    <row r="555" spans="1:33" hidden="1">
      <c r="A555" s="521">
        <f t="shared" si="28"/>
        <v>387</v>
      </c>
      <c r="B555" s="509" t="s">
        <v>3068</v>
      </c>
      <c r="C555" s="492">
        <v>33.04</v>
      </c>
      <c r="D555" s="490" t="s">
        <v>2342</v>
      </c>
      <c r="E555" s="2"/>
      <c r="H555" s="509" t="s">
        <v>3069</v>
      </c>
      <c r="I555" s="2"/>
      <c r="J555" s="463"/>
      <c r="K555" s="2"/>
      <c r="M555" s="519">
        <v>30</v>
      </c>
      <c r="N555" s="509" t="s">
        <v>2205</v>
      </c>
      <c r="O555" s="509" t="s">
        <v>2975</v>
      </c>
      <c r="P555" s="519">
        <f>(C639)</f>
        <v>3</v>
      </c>
      <c r="Q555" s="509" t="s">
        <v>2205</v>
      </c>
      <c r="R555" s="519">
        <f>(M555*P555)</f>
        <v>90</v>
      </c>
      <c r="AG555" s="509" t="s">
        <v>2690</v>
      </c>
    </row>
    <row r="556" spans="1:33" hidden="1">
      <c r="A556" s="521">
        <f t="shared" si="28"/>
        <v>388</v>
      </c>
      <c r="B556" s="509" t="s">
        <v>3070</v>
      </c>
      <c r="C556" s="492">
        <v>33.04</v>
      </c>
      <c r="D556" s="490" t="s">
        <v>2342</v>
      </c>
      <c r="E556" s="2"/>
      <c r="H556" s="515" t="s">
        <v>442</v>
      </c>
      <c r="I556" s="491" t="s">
        <v>442</v>
      </c>
      <c r="J556" s="463"/>
      <c r="K556" s="2"/>
      <c r="O556" s="509" t="s">
        <v>3071</v>
      </c>
    </row>
    <row r="557" spans="1:33" hidden="1">
      <c r="A557" s="521">
        <f t="shared" si="28"/>
        <v>389</v>
      </c>
      <c r="B557" s="509" t="s">
        <v>3072</v>
      </c>
      <c r="C557" s="492">
        <v>538</v>
      </c>
      <c r="D557" s="490" t="s">
        <v>2342</v>
      </c>
      <c r="E557" s="2"/>
      <c r="G557" s="518" t="s">
        <v>2806</v>
      </c>
      <c r="H557" s="509" t="s">
        <v>3073</v>
      </c>
      <c r="I557" s="2"/>
      <c r="J557" s="463"/>
      <c r="K557" s="2"/>
      <c r="O557" s="509" t="s">
        <v>2977</v>
      </c>
    </row>
    <row r="558" spans="1:33" hidden="1">
      <c r="A558" s="521">
        <f t="shared" si="28"/>
        <v>390</v>
      </c>
      <c r="B558" s="509" t="s">
        <v>3074</v>
      </c>
      <c r="C558" s="492">
        <v>340</v>
      </c>
      <c r="D558" s="490" t="s">
        <v>2342</v>
      </c>
      <c r="E558" s="2"/>
      <c r="H558" s="509" t="s">
        <v>3075</v>
      </c>
      <c r="I558" s="2"/>
      <c r="J558" s="463"/>
      <c r="K558" s="2"/>
      <c r="O558" s="509" t="s">
        <v>2978</v>
      </c>
      <c r="AG558" s="509" t="s">
        <v>2514</v>
      </c>
    </row>
    <row r="559" spans="1:33" hidden="1">
      <c r="A559" s="521">
        <f t="shared" si="28"/>
        <v>391</v>
      </c>
      <c r="B559" s="509" t="s">
        <v>3076</v>
      </c>
      <c r="C559" s="492">
        <v>1039</v>
      </c>
      <c r="D559" s="490" t="s">
        <v>2342</v>
      </c>
      <c r="E559" s="2"/>
      <c r="F559" s="519">
        <v>10</v>
      </c>
      <c r="G559" s="518" t="s">
        <v>26</v>
      </c>
      <c r="H559" s="509" t="s">
        <v>3077</v>
      </c>
      <c r="I559" s="492">
        <f>C721</f>
        <v>227</v>
      </c>
      <c r="J559" s="500" t="s">
        <v>26</v>
      </c>
      <c r="K559" s="492">
        <f>(F559*I559)</f>
        <v>2270</v>
      </c>
      <c r="O559" s="509" t="s">
        <v>2979</v>
      </c>
      <c r="AG559" s="509" t="s">
        <v>2514</v>
      </c>
    </row>
    <row r="560" spans="1:33" hidden="1">
      <c r="A560" s="521">
        <f t="shared" si="28"/>
        <v>392</v>
      </c>
      <c r="B560" s="509" t="s">
        <v>3078</v>
      </c>
      <c r="C560" s="492">
        <v>100.44</v>
      </c>
      <c r="D560" s="490" t="s">
        <v>2342</v>
      </c>
      <c r="E560" s="2"/>
      <c r="F560" s="519">
        <v>1</v>
      </c>
      <c r="G560" s="518" t="s">
        <v>2403</v>
      </c>
      <c r="H560" s="509" t="s">
        <v>3079</v>
      </c>
      <c r="I560" s="492">
        <f>C10</f>
        <v>150</v>
      </c>
      <c r="J560" s="500" t="s">
        <v>556</v>
      </c>
      <c r="K560" s="492">
        <f>(F560*I560)</f>
        <v>150</v>
      </c>
      <c r="M560" s="519">
        <v>8</v>
      </c>
      <c r="N560" s="509" t="s">
        <v>2359</v>
      </c>
      <c r="O560" s="509" t="s">
        <v>2982</v>
      </c>
      <c r="P560" s="519">
        <f>(C641)</f>
        <v>2.2000000000000002</v>
      </c>
      <c r="Q560" s="509" t="s">
        <v>2359</v>
      </c>
      <c r="R560" s="519">
        <f>(M560*P560)</f>
        <v>17.600000000000001</v>
      </c>
      <c r="AG560" s="509" t="s">
        <v>2514</v>
      </c>
    </row>
    <row r="561" spans="1:33" hidden="1">
      <c r="A561" s="521">
        <f t="shared" si="28"/>
        <v>393</v>
      </c>
      <c r="B561" s="509" t="s">
        <v>3080</v>
      </c>
      <c r="C561" s="492">
        <v>31</v>
      </c>
      <c r="D561" s="490" t="s">
        <v>2883</v>
      </c>
      <c r="E561" s="2"/>
      <c r="F561" s="519">
        <v>1</v>
      </c>
      <c r="G561" s="518" t="s">
        <v>2403</v>
      </c>
      <c r="H561" s="509" t="s">
        <v>3081</v>
      </c>
      <c r="I561" s="492">
        <f>C12</f>
        <v>95</v>
      </c>
      <c r="J561" s="500" t="s">
        <v>556</v>
      </c>
      <c r="K561" s="492">
        <f>(F561*I561)</f>
        <v>95</v>
      </c>
      <c r="M561" s="519">
        <v>8</v>
      </c>
      <c r="N561" s="509" t="s">
        <v>2359</v>
      </c>
      <c r="O561" s="509" t="s">
        <v>2985</v>
      </c>
      <c r="P561" s="519">
        <f>(C642)</f>
        <v>3.2</v>
      </c>
      <c r="Q561" s="509" t="s">
        <v>2359</v>
      </c>
      <c r="R561" s="519">
        <f>(M561*P561)</f>
        <v>25.6</v>
      </c>
      <c r="AG561" s="509" t="s">
        <v>2514</v>
      </c>
    </row>
    <row r="562" spans="1:33" hidden="1">
      <c r="A562" s="521">
        <f t="shared" si="28"/>
        <v>394</v>
      </c>
      <c r="B562" s="509" t="s">
        <v>3082</v>
      </c>
      <c r="C562" s="492">
        <v>71.239999999999995</v>
      </c>
      <c r="D562" s="490" t="s">
        <v>2342</v>
      </c>
      <c r="E562" s="2"/>
      <c r="G562" s="518" t="s">
        <v>2346</v>
      </c>
      <c r="H562" s="509" t="s">
        <v>3083</v>
      </c>
      <c r="I562" s="2"/>
      <c r="J562" s="500" t="s">
        <v>2346</v>
      </c>
      <c r="K562" s="492">
        <v>120</v>
      </c>
      <c r="M562" s="519">
        <v>1</v>
      </c>
      <c r="N562" s="509" t="s">
        <v>2346</v>
      </c>
      <c r="O562" s="509" t="s">
        <v>2987</v>
      </c>
      <c r="P562" s="519">
        <f>(C643)</f>
        <v>4</v>
      </c>
      <c r="Q562" s="509" t="s">
        <v>2346</v>
      </c>
      <c r="R562" s="519">
        <f>(M562*P562)</f>
        <v>4</v>
      </c>
      <c r="AG562" s="509" t="s">
        <v>2514</v>
      </c>
    </row>
    <row r="563" spans="1:33" hidden="1">
      <c r="A563" s="521">
        <f t="shared" si="28"/>
        <v>395</v>
      </c>
      <c r="B563" s="509" t="s">
        <v>3084</v>
      </c>
      <c r="C563" s="492">
        <v>82.2</v>
      </c>
      <c r="D563" s="490" t="s">
        <v>2342</v>
      </c>
      <c r="E563" s="2"/>
      <c r="H563" s="509" t="s">
        <v>3085</v>
      </c>
      <c r="I563" s="2"/>
      <c r="J563" s="463"/>
      <c r="K563" s="491" t="s">
        <v>442</v>
      </c>
      <c r="M563" s="519">
        <v>1</v>
      </c>
      <c r="N563" s="509" t="s">
        <v>2346</v>
      </c>
      <c r="O563" s="509" t="s">
        <v>2347</v>
      </c>
      <c r="Q563" s="509" t="s">
        <v>2346</v>
      </c>
      <c r="R563" s="519">
        <v>0</v>
      </c>
      <c r="AG563" s="509" t="s">
        <v>2514</v>
      </c>
    </row>
    <row r="564" spans="1:33" hidden="1">
      <c r="A564" s="521">
        <f t="shared" si="28"/>
        <v>396</v>
      </c>
      <c r="B564" s="509" t="s">
        <v>3086</v>
      </c>
      <c r="C564" s="492">
        <v>57.51</v>
      </c>
      <c r="D564" s="490" t="s">
        <v>2342</v>
      </c>
      <c r="E564" s="2"/>
      <c r="H564" s="510" t="s">
        <v>3087</v>
      </c>
      <c r="I564" s="2"/>
      <c r="J564" s="463"/>
      <c r="K564" s="492">
        <f>SUM(K559:K562)</f>
        <v>2635</v>
      </c>
      <c r="R564" s="515" t="s">
        <v>442</v>
      </c>
      <c r="AG564" s="509" t="s">
        <v>2514</v>
      </c>
    </row>
    <row r="565" spans="1:33" hidden="1">
      <c r="C565" s="2"/>
      <c r="D565" s="2"/>
      <c r="E565" s="2"/>
      <c r="F565" s="509" t="s">
        <v>30</v>
      </c>
      <c r="I565" s="2"/>
      <c r="J565" s="463"/>
      <c r="K565" s="2"/>
    </row>
    <row r="566" spans="1:33" hidden="1">
      <c r="A566" s="521">
        <f>(A564+1)</f>
        <v>397</v>
      </c>
      <c r="B566" s="509" t="s">
        <v>3088</v>
      </c>
      <c r="C566" s="492">
        <v>28.5</v>
      </c>
      <c r="D566" s="490" t="s">
        <v>2342</v>
      </c>
      <c r="E566" s="2"/>
      <c r="I566" s="2"/>
      <c r="J566" s="463"/>
      <c r="K566" s="491" t="s">
        <v>442</v>
      </c>
      <c r="O566" s="509" t="s">
        <v>2989</v>
      </c>
      <c r="R566" s="519">
        <f>SUM(R553:R563)</f>
        <v>613.48</v>
      </c>
      <c r="AG566" s="509" t="s">
        <v>2514</v>
      </c>
    </row>
    <row r="567" spans="1:33" hidden="1">
      <c r="A567" s="521">
        <f>(A566+1)</f>
        <v>398</v>
      </c>
      <c r="B567" s="509" t="s">
        <v>3089</v>
      </c>
      <c r="C567" s="492">
        <v>57.51</v>
      </c>
      <c r="D567" s="490" t="s">
        <v>2342</v>
      </c>
      <c r="E567" s="2"/>
      <c r="H567" s="510" t="s">
        <v>3090</v>
      </c>
      <c r="I567" s="2"/>
      <c r="J567" s="463"/>
      <c r="K567" s="492">
        <f>K564/10</f>
        <v>263.5</v>
      </c>
      <c r="R567" s="515" t="s">
        <v>442</v>
      </c>
      <c r="AG567" s="509" t="s">
        <v>2514</v>
      </c>
    </row>
    <row r="568" spans="1:33" hidden="1">
      <c r="A568" s="521">
        <f>(A567+1)</f>
        <v>399</v>
      </c>
      <c r="B568" s="509" t="s">
        <v>3091</v>
      </c>
      <c r="C568" s="492">
        <v>20</v>
      </c>
      <c r="D568" s="490" t="s">
        <v>2342</v>
      </c>
      <c r="E568" s="2"/>
      <c r="H568" s="509" t="s">
        <v>2354</v>
      </c>
      <c r="I568" s="492">
        <f>K567</f>
        <v>263.5</v>
      </c>
      <c r="J568" s="500">
        <f>C22*0.02</f>
        <v>0.52900000000000003</v>
      </c>
      <c r="K568" s="492">
        <f>I568+J568</f>
        <v>264.029</v>
      </c>
      <c r="O568" s="509" t="s">
        <v>2990</v>
      </c>
      <c r="R568" s="519">
        <f>(R566/30)</f>
        <v>20.449333333333335</v>
      </c>
      <c r="AG568" s="509" t="s">
        <v>2514</v>
      </c>
    </row>
    <row r="569" spans="1:33" hidden="1">
      <c r="A569" s="521">
        <f>(A568+1)</f>
        <v>400</v>
      </c>
      <c r="B569" s="509" t="s">
        <v>3092</v>
      </c>
      <c r="C569" s="492">
        <v>21.92</v>
      </c>
      <c r="D569" s="490" t="s">
        <v>2342</v>
      </c>
      <c r="E569" s="2"/>
      <c r="H569" s="509" t="s">
        <v>2362</v>
      </c>
      <c r="I569" s="492">
        <f>K568</f>
        <v>264.029</v>
      </c>
      <c r="J569" s="500">
        <f>C23*0.02</f>
        <v>1.0569999999999999</v>
      </c>
      <c r="K569" s="492">
        <f>I569+J569</f>
        <v>265.08600000000001</v>
      </c>
      <c r="N569" s="509" t="s">
        <v>575</v>
      </c>
      <c r="O569" s="509" t="s">
        <v>3093</v>
      </c>
      <c r="AG569" s="509" t="s">
        <v>2514</v>
      </c>
    </row>
    <row r="570" spans="1:33" hidden="1">
      <c r="A570" s="521">
        <f>(A569+1)</f>
        <v>401</v>
      </c>
      <c r="B570" s="509" t="s">
        <v>3094</v>
      </c>
      <c r="C570" s="492">
        <v>28.5</v>
      </c>
      <c r="D570" s="490" t="s">
        <v>2342</v>
      </c>
      <c r="E570" s="2"/>
      <c r="H570" s="509" t="s">
        <v>2480</v>
      </c>
      <c r="I570" s="492">
        <f>K569</f>
        <v>265.08600000000001</v>
      </c>
      <c r="J570" s="500">
        <f>C23*0.02</f>
        <v>1.0569999999999999</v>
      </c>
      <c r="K570" s="492">
        <f>I570+J570</f>
        <v>266.14300000000003</v>
      </c>
      <c r="O570" s="509" t="s">
        <v>3095</v>
      </c>
      <c r="AG570" s="509" t="s">
        <v>2514</v>
      </c>
    </row>
    <row r="571" spans="1:33" hidden="1">
      <c r="A571" s="521">
        <f>(A570+1)</f>
        <v>402</v>
      </c>
      <c r="B571" s="509" t="s">
        <v>3096</v>
      </c>
      <c r="C571" s="492">
        <v>535</v>
      </c>
      <c r="D571" s="490" t="s">
        <v>2342</v>
      </c>
      <c r="E571" s="2"/>
      <c r="H571" s="509" t="s">
        <v>2481</v>
      </c>
      <c r="I571" s="492">
        <f>K570</f>
        <v>266.14300000000003</v>
      </c>
      <c r="J571" s="500">
        <f>C23*0.02</f>
        <v>1.0569999999999999</v>
      </c>
      <c r="K571" s="492">
        <f>I571+J571</f>
        <v>267.20000000000005</v>
      </c>
      <c r="O571" s="515" t="s">
        <v>442</v>
      </c>
      <c r="AG571" s="509" t="s">
        <v>2514</v>
      </c>
    </row>
    <row r="572" spans="1:33" hidden="1">
      <c r="A572" s="521"/>
      <c r="B572" s="509"/>
      <c r="C572" s="492"/>
      <c r="D572" s="490"/>
      <c r="E572" s="2"/>
      <c r="H572" s="509" t="s">
        <v>3097</v>
      </c>
      <c r="I572" s="492">
        <f>K571</f>
        <v>267.20000000000005</v>
      </c>
      <c r="J572" s="500">
        <f>C24*0.02</f>
        <v>1.0569999999999999</v>
      </c>
      <c r="K572" s="492">
        <f>I572+J572</f>
        <v>268.25700000000006</v>
      </c>
      <c r="O572" s="515"/>
      <c r="AG572" s="509"/>
    </row>
    <row r="573" spans="1:33" hidden="1">
      <c r="A573" s="521">
        <f>(A571+1)</f>
        <v>403</v>
      </c>
      <c r="B573" s="509" t="s">
        <v>3098</v>
      </c>
      <c r="C573" s="492">
        <v>21</v>
      </c>
      <c r="D573" s="490" t="s">
        <v>2342</v>
      </c>
      <c r="E573" s="2"/>
      <c r="F573" s="529">
        <v>15.2</v>
      </c>
      <c r="G573" s="518" t="s">
        <v>2806</v>
      </c>
      <c r="H573" s="509" t="s">
        <v>3099</v>
      </c>
      <c r="I573" s="2"/>
      <c r="J573" s="463"/>
      <c r="K573" s="2"/>
      <c r="M573" s="519">
        <v>1.08</v>
      </c>
      <c r="N573" s="509" t="s">
        <v>2334</v>
      </c>
      <c r="O573" s="509" t="s">
        <v>3100</v>
      </c>
      <c r="P573" s="519">
        <f>(K88)</f>
        <v>52.933333333333337</v>
      </c>
      <c r="Q573" s="509" t="s">
        <v>2334</v>
      </c>
      <c r="R573" s="519">
        <f>(M573*P573)</f>
        <v>57.168000000000006</v>
      </c>
      <c r="AG573" s="509" t="s">
        <v>2514</v>
      </c>
    </row>
    <row r="574" spans="1:33" hidden="1">
      <c r="A574" s="521">
        <f t="shared" ref="A574:A586" si="29">(A573+1)</f>
        <v>404</v>
      </c>
      <c r="B574" s="509" t="s">
        <v>3101</v>
      </c>
      <c r="C574" s="492">
        <v>150</v>
      </c>
      <c r="D574" s="490" t="s">
        <v>2342</v>
      </c>
      <c r="E574" s="2"/>
      <c r="H574" s="509" t="s">
        <v>3075</v>
      </c>
      <c r="I574" s="2"/>
      <c r="J574" s="463"/>
      <c r="K574" s="2"/>
      <c r="M574" s="528">
        <v>0.216</v>
      </c>
      <c r="N574" s="509" t="s">
        <v>2334</v>
      </c>
      <c r="O574" s="509" t="s">
        <v>3102</v>
      </c>
      <c r="P574" s="519" t="e">
        <f>(R60)</f>
        <v>#REF!</v>
      </c>
      <c r="Q574" s="509" t="s">
        <v>2334</v>
      </c>
      <c r="R574" s="519" t="e">
        <f>(M574*P574)</f>
        <v>#REF!</v>
      </c>
      <c r="AG574" s="509" t="s">
        <v>2514</v>
      </c>
    </row>
    <row r="575" spans="1:33" hidden="1">
      <c r="A575" s="521">
        <f t="shared" si="29"/>
        <v>405</v>
      </c>
      <c r="B575" s="509" t="s">
        <v>3103</v>
      </c>
      <c r="C575" s="492">
        <v>16.440000000000001</v>
      </c>
      <c r="D575" s="490" t="s">
        <v>2342</v>
      </c>
      <c r="E575" s="2"/>
      <c r="F575" s="519">
        <v>1</v>
      </c>
      <c r="G575" s="518" t="s">
        <v>26</v>
      </c>
      <c r="H575" s="509" t="s">
        <v>3077</v>
      </c>
      <c r="I575" s="492">
        <f>D721</f>
        <v>247</v>
      </c>
      <c r="J575" s="500" t="s">
        <v>26</v>
      </c>
      <c r="K575" s="492">
        <f>(F575*I575)</f>
        <v>247</v>
      </c>
      <c r="M575" s="528">
        <v>0.48699999999999999</v>
      </c>
      <c r="N575" s="509" t="s">
        <v>2334</v>
      </c>
      <c r="O575" s="509" t="s">
        <v>3104</v>
      </c>
      <c r="P575" s="519" t="e">
        <f>(R89)</f>
        <v>#REF!</v>
      </c>
      <c r="Q575" s="509" t="s">
        <v>2334</v>
      </c>
      <c r="R575" s="519" t="e">
        <f>(M575*P575)</f>
        <v>#REF!</v>
      </c>
      <c r="AG575" s="509" t="s">
        <v>2514</v>
      </c>
    </row>
    <row r="576" spans="1:33" hidden="1">
      <c r="A576" s="521">
        <f t="shared" si="29"/>
        <v>406</v>
      </c>
      <c r="B576" s="509" t="s">
        <v>3105</v>
      </c>
      <c r="C576" s="492">
        <v>30</v>
      </c>
      <c r="D576" s="492">
        <v>25</v>
      </c>
      <c r="E576" s="2"/>
      <c r="F576" s="519">
        <v>0.75</v>
      </c>
      <c r="G576" s="518" t="s">
        <v>2403</v>
      </c>
      <c r="H576" s="509" t="s">
        <v>3079</v>
      </c>
      <c r="I576" s="492">
        <f>C10</f>
        <v>150</v>
      </c>
      <c r="J576" s="500" t="s">
        <v>556</v>
      </c>
      <c r="K576" s="492">
        <f>(F576*I576)</f>
        <v>112.5</v>
      </c>
      <c r="M576" s="528">
        <v>5.36</v>
      </c>
      <c r="N576" s="509" t="s">
        <v>2788</v>
      </c>
      <c r="O576" s="509" t="s">
        <v>3106</v>
      </c>
      <c r="P576" s="519" t="e">
        <f>(R303)</f>
        <v>#REF!</v>
      </c>
      <c r="Q576" s="509" t="s">
        <v>2788</v>
      </c>
      <c r="R576" s="519" t="e">
        <f>(M576*P576)</f>
        <v>#REF!</v>
      </c>
      <c r="AG576" s="509" t="s">
        <v>2514</v>
      </c>
    </row>
    <row r="577" spans="1:33" hidden="1">
      <c r="A577" s="521">
        <f t="shared" si="29"/>
        <v>407</v>
      </c>
      <c r="B577" s="509" t="s">
        <v>3107</v>
      </c>
      <c r="C577" s="492">
        <v>208.5</v>
      </c>
      <c r="D577" s="490" t="s">
        <v>2342</v>
      </c>
      <c r="E577" s="2"/>
      <c r="F577" s="519">
        <v>0.75</v>
      </c>
      <c r="G577" s="518" t="s">
        <v>2403</v>
      </c>
      <c r="H577" s="509" t="s">
        <v>3081</v>
      </c>
      <c r="I577" s="492">
        <f>C12</f>
        <v>95</v>
      </c>
      <c r="J577" s="500" t="s">
        <v>556</v>
      </c>
      <c r="K577" s="492">
        <f>(F577*I577)</f>
        <v>71.25</v>
      </c>
      <c r="M577" s="528">
        <v>3.2000000000000001E-2</v>
      </c>
      <c r="N577" s="509" t="s">
        <v>2334</v>
      </c>
      <c r="O577" s="509" t="s">
        <v>3108</v>
      </c>
      <c r="P577" s="519" t="e">
        <f>(K614)</f>
        <v>#REF!</v>
      </c>
      <c r="Q577" s="509" t="s">
        <v>2334</v>
      </c>
      <c r="R577" s="519" t="e">
        <f>(M577*P577)</f>
        <v>#REF!</v>
      </c>
      <c r="AG577" s="509" t="s">
        <v>2514</v>
      </c>
    </row>
    <row r="578" spans="1:33" hidden="1">
      <c r="A578" s="521">
        <f t="shared" si="29"/>
        <v>408</v>
      </c>
      <c r="B578" s="509" t="s">
        <v>3109</v>
      </c>
      <c r="C578" s="492">
        <v>95</v>
      </c>
      <c r="D578" s="490" t="s">
        <v>2342</v>
      </c>
      <c r="E578" s="2"/>
      <c r="F578" s="519">
        <v>0.5</v>
      </c>
      <c r="G578" s="518" t="s">
        <v>2403</v>
      </c>
      <c r="H578" s="509" t="s">
        <v>3110</v>
      </c>
      <c r="I578" s="492">
        <f>C41</f>
        <v>110</v>
      </c>
      <c r="J578" s="500" t="s">
        <v>556</v>
      </c>
      <c r="K578" s="492">
        <f>(F578*I578)</f>
        <v>55</v>
      </c>
      <c r="O578" s="509" t="s">
        <v>3111</v>
      </c>
      <c r="R578" s="509" t="s">
        <v>30</v>
      </c>
      <c r="AG578" s="509" t="s">
        <v>2514</v>
      </c>
    </row>
    <row r="579" spans="1:33" hidden="1">
      <c r="A579" s="521">
        <f t="shared" si="29"/>
        <v>409</v>
      </c>
      <c r="B579" s="509" t="s">
        <v>3112</v>
      </c>
      <c r="C579" s="526">
        <v>301</v>
      </c>
      <c r="D579" s="490" t="s">
        <v>2788</v>
      </c>
      <c r="E579" s="2"/>
      <c r="G579" s="518" t="s">
        <v>2346</v>
      </c>
      <c r="H579" s="509" t="s">
        <v>3083</v>
      </c>
      <c r="I579" s="2"/>
      <c r="J579" s="500" t="s">
        <v>2346</v>
      </c>
      <c r="K579" s="492">
        <v>53.5</v>
      </c>
      <c r="N579" s="509" t="s">
        <v>2346</v>
      </c>
      <c r="O579" s="509" t="s">
        <v>3113</v>
      </c>
      <c r="Q579" s="509" t="s">
        <v>2346</v>
      </c>
      <c r="R579" s="519">
        <v>2.92</v>
      </c>
      <c r="AG579" s="509" t="s">
        <v>2514</v>
      </c>
    </row>
    <row r="580" spans="1:33" hidden="1">
      <c r="A580" s="521">
        <f t="shared" si="29"/>
        <v>410</v>
      </c>
      <c r="B580" s="509" t="s">
        <v>3114</v>
      </c>
      <c r="C580" s="492">
        <v>325</v>
      </c>
      <c r="D580" s="490" t="s">
        <v>2788</v>
      </c>
      <c r="E580" s="490" t="s">
        <v>30</v>
      </c>
      <c r="H580" s="509" t="s">
        <v>3085</v>
      </c>
      <c r="I580" s="2"/>
      <c r="J580" s="463"/>
      <c r="K580" s="491" t="s">
        <v>442</v>
      </c>
      <c r="R580" s="515" t="s">
        <v>442</v>
      </c>
      <c r="AG580" s="509" t="s">
        <v>2514</v>
      </c>
    </row>
    <row r="581" spans="1:33" hidden="1">
      <c r="A581" s="521">
        <f t="shared" si="29"/>
        <v>411</v>
      </c>
      <c r="B581" s="509" t="s">
        <v>3115</v>
      </c>
      <c r="C581" s="492">
        <v>75</v>
      </c>
      <c r="D581" s="490" t="s">
        <v>2342</v>
      </c>
      <c r="E581" s="2"/>
      <c r="H581" s="510" t="s">
        <v>3116</v>
      </c>
      <c r="I581" s="2"/>
      <c r="J581" s="463"/>
      <c r="K581" s="492">
        <f>SUM(K575:K579)</f>
        <v>539.25</v>
      </c>
      <c r="O581" s="509" t="s">
        <v>3117</v>
      </c>
      <c r="R581" s="519" t="e">
        <f>SUM(R573:R579)</f>
        <v>#REF!</v>
      </c>
      <c r="AG581" s="509" t="s">
        <v>2514</v>
      </c>
    </row>
    <row r="582" spans="1:33" hidden="1">
      <c r="A582" s="521">
        <f t="shared" si="29"/>
        <v>412</v>
      </c>
      <c r="B582" s="509" t="s">
        <v>3118</v>
      </c>
      <c r="C582" s="492">
        <v>125</v>
      </c>
      <c r="D582" s="490" t="s">
        <v>2342</v>
      </c>
      <c r="E582" s="2"/>
      <c r="I582" s="2"/>
      <c r="J582" s="463"/>
      <c r="K582" s="491" t="s">
        <v>442</v>
      </c>
      <c r="R582" s="515" t="s">
        <v>442</v>
      </c>
      <c r="AG582" s="509" t="s">
        <v>2514</v>
      </c>
    </row>
    <row r="583" spans="1:33" hidden="1">
      <c r="A583" s="521">
        <f t="shared" si="29"/>
        <v>413</v>
      </c>
      <c r="B583" s="509" t="s">
        <v>3119</v>
      </c>
      <c r="C583" s="492">
        <v>190</v>
      </c>
      <c r="D583" s="490" t="s">
        <v>2342</v>
      </c>
      <c r="E583" s="2"/>
      <c r="H583" s="509" t="s">
        <v>2354</v>
      </c>
      <c r="I583" s="492">
        <f>K581</f>
        <v>539.25</v>
      </c>
      <c r="J583" s="500">
        <f>C22*0.04</f>
        <v>1.0580000000000001</v>
      </c>
      <c r="K583" s="492">
        <f>(K581+C22*0.04)</f>
        <v>540.30799999999999</v>
      </c>
      <c r="N583" s="509" t="s">
        <v>575</v>
      </c>
      <c r="O583" s="509" t="s">
        <v>3093</v>
      </c>
      <c r="AG583" s="509" t="s">
        <v>2514</v>
      </c>
    </row>
    <row r="584" spans="1:33" hidden="1">
      <c r="A584" s="521">
        <f t="shared" si="29"/>
        <v>414</v>
      </c>
      <c r="B584" s="509" t="s">
        <v>3120</v>
      </c>
      <c r="C584" s="492">
        <v>16</v>
      </c>
      <c r="D584" s="490" t="s">
        <v>2342</v>
      </c>
      <c r="E584" s="2"/>
      <c r="H584" s="509" t="s">
        <v>2362</v>
      </c>
      <c r="I584" s="492">
        <f>K583</f>
        <v>540.30799999999999</v>
      </c>
      <c r="J584" s="500">
        <f>C23*0.04</f>
        <v>2.1139999999999999</v>
      </c>
      <c r="K584" s="492">
        <f>(K583+C23*0.04)</f>
        <v>542.42200000000003</v>
      </c>
      <c r="O584" s="509" t="s">
        <v>3121</v>
      </c>
      <c r="AG584" s="509" t="s">
        <v>2514</v>
      </c>
    </row>
    <row r="585" spans="1:33" hidden="1">
      <c r="A585" s="521">
        <f t="shared" si="29"/>
        <v>415</v>
      </c>
      <c r="B585" s="509" t="s">
        <v>3122</v>
      </c>
      <c r="C585" s="492">
        <v>7</v>
      </c>
      <c r="D585" s="490" t="s">
        <v>40</v>
      </c>
      <c r="E585" s="2"/>
      <c r="H585" s="509" t="s">
        <v>2480</v>
      </c>
      <c r="I585" s="492">
        <f>K584</f>
        <v>542.42200000000003</v>
      </c>
      <c r="J585" s="500">
        <f>C23*0.04</f>
        <v>2.1139999999999999</v>
      </c>
      <c r="K585" s="492">
        <f>(K584+C24*0.04)</f>
        <v>544.53600000000006</v>
      </c>
      <c r="O585" s="515" t="s">
        <v>442</v>
      </c>
      <c r="AG585" s="509" t="s">
        <v>2514</v>
      </c>
    </row>
    <row r="586" spans="1:33" hidden="1">
      <c r="A586" s="521">
        <f t="shared" si="29"/>
        <v>416</v>
      </c>
      <c r="B586" s="509" t="s">
        <v>3123</v>
      </c>
      <c r="C586" s="492">
        <v>19</v>
      </c>
      <c r="D586" s="490" t="s">
        <v>40</v>
      </c>
      <c r="E586" s="2"/>
      <c r="H586" s="509" t="s">
        <v>2481</v>
      </c>
      <c r="I586" s="492">
        <f>K585</f>
        <v>544.53600000000006</v>
      </c>
      <c r="J586" s="500">
        <f>C23*0.04</f>
        <v>2.1139999999999999</v>
      </c>
      <c r="K586" s="492">
        <f>(K585+C24*0.04)</f>
        <v>546.65000000000009</v>
      </c>
      <c r="M586" s="519">
        <v>1.3</v>
      </c>
      <c r="N586" s="509" t="s">
        <v>2334</v>
      </c>
      <c r="O586" s="509" t="s">
        <v>3100</v>
      </c>
      <c r="P586" s="519">
        <f>(K88)</f>
        <v>52.933333333333337</v>
      </c>
      <c r="Q586" s="509" t="s">
        <v>2334</v>
      </c>
      <c r="R586" s="519">
        <f>(M586*P586)</f>
        <v>68.813333333333347</v>
      </c>
      <c r="AG586" s="509" t="s">
        <v>2514</v>
      </c>
    </row>
    <row r="587" spans="1:33" hidden="1">
      <c r="A587" s="521"/>
      <c r="B587" s="509"/>
      <c r="C587" s="492"/>
      <c r="D587" s="490"/>
      <c r="E587" s="2"/>
      <c r="H587" s="509" t="s">
        <v>3097</v>
      </c>
      <c r="I587" s="492">
        <f>K586</f>
        <v>546.65000000000009</v>
      </c>
      <c r="J587" s="500">
        <f>C24*0.04</f>
        <v>2.1139999999999999</v>
      </c>
      <c r="K587" s="492">
        <f>(K586+C25*0.04)</f>
        <v>547.47800000000007</v>
      </c>
      <c r="M587" s="519"/>
      <c r="N587" s="509"/>
      <c r="O587" s="509"/>
      <c r="P587" s="519"/>
      <c r="Q587" s="509"/>
      <c r="R587" s="519"/>
      <c r="AG587" s="509"/>
    </row>
    <row r="588" spans="1:33" hidden="1">
      <c r="A588" s="521">
        <f>(A586+1)</f>
        <v>417</v>
      </c>
      <c r="B588" s="509" t="s">
        <v>3124</v>
      </c>
      <c r="C588" s="492">
        <v>20</v>
      </c>
      <c r="D588" s="490" t="s">
        <v>40</v>
      </c>
      <c r="E588" s="2"/>
      <c r="F588" s="543">
        <v>15.1</v>
      </c>
      <c r="G588" s="518" t="s">
        <v>3125</v>
      </c>
      <c r="H588" s="509" t="s">
        <v>3126</v>
      </c>
      <c r="I588" s="2"/>
      <c r="J588" s="463"/>
      <c r="K588" s="2"/>
      <c r="M588" s="528">
        <v>0.216</v>
      </c>
      <c r="N588" s="509" t="s">
        <v>2334</v>
      </c>
      <c r="O588" s="509" t="s">
        <v>3102</v>
      </c>
      <c r="P588" s="519" t="e">
        <f>(R60)</f>
        <v>#REF!</v>
      </c>
      <c r="Q588" s="509" t="s">
        <v>2334</v>
      </c>
      <c r="R588" s="519" t="e">
        <f>(M588*P588)</f>
        <v>#REF!</v>
      </c>
      <c r="AG588" s="509" t="s">
        <v>2514</v>
      </c>
    </row>
    <row r="589" spans="1:33" hidden="1">
      <c r="A589" s="521">
        <f t="shared" ref="A589:A614" si="30">(A588+1)</f>
        <v>418</v>
      </c>
      <c r="B589" s="509" t="s">
        <v>3127</v>
      </c>
      <c r="C589" s="492">
        <v>7.5</v>
      </c>
      <c r="D589" s="490" t="s">
        <v>2359</v>
      </c>
      <c r="E589" s="2"/>
      <c r="H589" s="509" t="s">
        <v>3075</v>
      </c>
      <c r="I589" s="2"/>
      <c r="J589" s="463"/>
      <c r="K589" s="2"/>
      <c r="M589" s="528">
        <v>0.60099999999999998</v>
      </c>
      <c r="N589" s="509" t="s">
        <v>2334</v>
      </c>
      <c r="O589" s="509" t="s">
        <v>3104</v>
      </c>
      <c r="P589" s="519" t="e">
        <f>(R89)</f>
        <v>#REF!</v>
      </c>
      <c r="Q589" s="509" t="s">
        <v>2334</v>
      </c>
      <c r="R589" s="519" t="e">
        <f>(M589*P589)</f>
        <v>#REF!</v>
      </c>
      <c r="AG589" s="509" t="s">
        <v>2514</v>
      </c>
    </row>
    <row r="590" spans="1:33" hidden="1">
      <c r="A590" s="521">
        <f t="shared" si="30"/>
        <v>419</v>
      </c>
      <c r="B590" s="509" t="s">
        <v>3128</v>
      </c>
      <c r="C590" s="492">
        <v>16</v>
      </c>
      <c r="D590" s="490" t="s">
        <v>2359</v>
      </c>
      <c r="E590" s="2" t="s">
        <v>3129</v>
      </c>
      <c r="F590" s="519">
        <v>10</v>
      </c>
      <c r="G590" s="518" t="s">
        <v>26</v>
      </c>
      <c r="H590" s="509" t="s">
        <v>3077</v>
      </c>
      <c r="I590" s="492">
        <f>C721</f>
        <v>227</v>
      </c>
      <c r="J590" s="500" t="s">
        <v>26</v>
      </c>
      <c r="K590" s="492">
        <f>(F590*I590)</f>
        <v>2270</v>
      </c>
      <c r="M590" s="528">
        <v>6.35</v>
      </c>
      <c r="N590" s="509" t="s">
        <v>2788</v>
      </c>
      <c r="O590" s="509" t="s">
        <v>3106</v>
      </c>
      <c r="P590" s="519" t="e">
        <f>(R303)</f>
        <v>#REF!</v>
      </c>
      <c r="Q590" s="509" t="s">
        <v>2788</v>
      </c>
      <c r="R590" s="519" t="e">
        <f>(M590*P590)</f>
        <v>#REF!</v>
      </c>
      <c r="AG590" s="509" t="s">
        <v>2514</v>
      </c>
    </row>
    <row r="591" spans="1:33" hidden="1">
      <c r="A591" s="521">
        <f t="shared" si="30"/>
        <v>420</v>
      </c>
      <c r="B591" s="509" t="s">
        <v>3130</v>
      </c>
      <c r="C591" s="492">
        <v>1700</v>
      </c>
      <c r="D591" s="490" t="s">
        <v>3131</v>
      </c>
      <c r="E591" s="2">
        <v>2000</v>
      </c>
      <c r="F591" s="519">
        <v>0.12</v>
      </c>
      <c r="G591" s="518" t="s">
        <v>2334</v>
      </c>
      <c r="H591" s="509" t="s">
        <v>3132</v>
      </c>
      <c r="I591" s="492" t="e">
        <f>K32</f>
        <v>#REF!</v>
      </c>
      <c r="J591" s="500" t="s">
        <v>2334</v>
      </c>
      <c r="K591" s="492" t="e">
        <f>(F591*I591)</f>
        <v>#REF!</v>
      </c>
      <c r="M591" s="528">
        <v>3.2000000000000001E-2</v>
      </c>
      <c r="N591" s="509" t="s">
        <v>2334</v>
      </c>
      <c r="O591" s="509" t="s">
        <v>3108</v>
      </c>
      <c r="P591" s="519" t="e">
        <f>(K614)</f>
        <v>#REF!</v>
      </c>
      <c r="Q591" s="509" t="s">
        <v>2334</v>
      </c>
      <c r="R591" s="519" t="e">
        <f>(M591*P591)</f>
        <v>#REF!</v>
      </c>
      <c r="AG591" s="509" t="s">
        <v>2514</v>
      </c>
    </row>
    <row r="592" spans="1:33" hidden="1">
      <c r="A592" s="521">
        <f t="shared" si="30"/>
        <v>421</v>
      </c>
      <c r="B592" s="509" t="s">
        <v>3133</v>
      </c>
      <c r="C592" s="492">
        <v>805</v>
      </c>
      <c r="D592" s="490" t="s">
        <v>3131</v>
      </c>
      <c r="E592" s="2"/>
      <c r="F592" s="519">
        <v>1</v>
      </c>
      <c r="G592" s="518" t="s">
        <v>2403</v>
      </c>
      <c r="H592" s="509" t="s">
        <v>3079</v>
      </c>
      <c r="I592" s="492">
        <f>C10</f>
        <v>150</v>
      </c>
      <c r="J592" s="500" t="s">
        <v>556</v>
      </c>
      <c r="K592" s="492">
        <f>(F592*I592)</f>
        <v>150</v>
      </c>
      <c r="O592" s="509" t="s">
        <v>3111</v>
      </c>
      <c r="R592" s="509" t="s">
        <v>30</v>
      </c>
      <c r="AG592" s="509" t="s">
        <v>2514</v>
      </c>
    </row>
    <row r="593" spans="1:33" hidden="1">
      <c r="A593" s="521">
        <f t="shared" si="30"/>
        <v>422</v>
      </c>
      <c r="B593" s="509" t="s">
        <v>3134</v>
      </c>
      <c r="C593" s="492">
        <f>204+53</f>
        <v>257</v>
      </c>
      <c r="D593" s="490" t="s">
        <v>3131</v>
      </c>
      <c r="E593" s="2"/>
      <c r="F593" s="519">
        <v>1</v>
      </c>
      <c r="G593" s="518" t="s">
        <v>2403</v>
      </c>
      <c r="H593" s="509" t="s">
        <v>3081</v>
      </c>
      <c r="I593" s="492">
        <f>C12</f>
        <v>95</v>
      </c>
      <c r="J593" s="500" t="s">
        <v>556</v>
      </c>
      <c r="K593" s="492">
        <f>(F593*I593)</f>
        <v>95</v>
      </c>
      <c r="N593" s="509" t="s">
        <v>2346</v>
      </c>
      <c r="O593" s="509" t="s">
        <v>3113</v>
      </c>
      <c r="Q593" s="509" t="s">
        <v>2346</v>
      </c>
      <c r="R593" s="519">
        <v>2.1</v>
      </c>
      <c r="AG593" s="509" t="s">
        <v>2514</v>
      </c>
    </row>
    <row r="594" spans="1:33" hidden="1">
      <c r="A594" s="521">
        <f t="shared" si="30"/>
        <v>423</v>
      </c>
      <c r="B594" s="509" t="s">
        <v>3135</v>
      </c>
      <c r="C594" s="492">
        <v>53</v>
      </c>
      <c r="D594" s="490" t="s">
        <v>2359</v>
      </c>
      <c r="E594" s="2"/>
      <c r="G594" s="518" t="s">
        <v>2346</v>
      </c>
      <c r="H594" s="509" t="s">
        <v>3083</v>
      </c>
      <c r="I594" s="2"/>
      <c r="J594" s="500" t="s">
        <v>2346</v>
      </c>
      <c r="K594" s="492">
        <v>0.33</v>
      </c>
      <c r="R594" s="515" t="s">
        <v>442</v>
      </c>
      <c r="AG594" s="509" t="s">
        <v>2514</v>
      </c>
    </row>
    <row r="595" spans="1:33" hidden="1">
      <c r="A595" s="521">
        <f t="shared" si="30"/>
        <v>424</v>
      </c>
      <c r="B595" s="509" t="s">
        <v>3136</v>
      </c>
      <c r="C595" s="492">
        <v>1050</v>
      </c>
      <c r="D595" s="490" t="s">
        <v>2359</v>
      </c>
      <c r="E595" s="2"/>
      <c r="H595" s="509" t="s">
        <v>3085</v>
      </c>
      <c r="I595" s="2"/>
      <c r="J595" s="463"/>
      <c r="K595" s="491" t="s">
        <v>442</v>
      </c>
      <c r="O595" s="509" t="s">
        <v>3117</v>
      </c>
      <c r="R595" s="519" t="e">
        <f>SUM(R586:R593)</f>
        <v>#REF!</v>
      </c>
      <c r="AG595" s="509" t="s">
        <v>2514</v>
      </c>
    </row>
    <row r="596" spans="1:33" hidden="1">
      <c r="A596" s="521">
        <f t="shared" si="30"/>
        <v>425</v>
      </c>
      <c r="B596" s="509" t="s">
        <v>3137</v>
      </c>
      <c r="C596" s="492">
        <v>196</v>
      </c>
      <c r="D596" s="490" t="s">
        <v>2359</v>
      </c>
      <c r="E596" s="2"/>
      <c r="H596" s="510" t="s">
        <v>3138</v>
      </c>
      <c r="I596" s="2"/>
      <c r="J596" s="463"/>
      <c r="K596" s="492" t="e">
        <f>SUM(K590:K594)</f>
        <v>#REF!</v>
      </c>
      <c r="R596" s="515" t="s">
        <v>442</v>
      </c>
      <c r="AG596" s="509" t="s">
        <v>2514</v>
      </c>
    </row>
    <row r="597" spans="1:33" hidden="1">
      <c r="A597" s="521">
        <f t="shared" si="30"/>
        <v>426</v>
      </c>
      <c r="B597" s="509" t="s">
        <v>3139</v>
      </c>
      <c r="C597" s="492">
        <v>206.9</v>
      </c>
      <c r="D597" s="490" t="s">
        <v>2359</v>
      </c>
      <c r="E597" s="2"/>
      <c r="I597" s="2"/>
      <c r="J597" s="463"/>
      <c r="K597" s="491" t="s">
        <v>442</v>
      </c>
      <c r="N597" s="509" t="s">
        <v>575</v>
      </c>
      <c r="O597" s="509" t="s">
        <v>3140</v>
      </c>
      <c r="AG597" s="509" t="s">
        <v>2514</v>
      </c>
    </row>
    <row r="598" spans="1:33" hidden="1">
      <c r="A598" s="521">
        <f t="shared" si="30"/>
        <v>427</v>
      </c>
      <c r="B598" s="509" t="s">
        <v>3141</v>
      </c>
      <c r="C598" s="492">
        <v>120</v>
      </c>
      <c r="D598" s="490" t="s">
        <v>2205</v>
      </c>
      <c r="E598" s="2"/>
      <c r="H598" s="510" t="s">
        <v>3142</v>
      </c>
      <c r="I598" s="2"/>
      <c r="J598" s="463"/>
      <c r="K598" s="492" t="e">
        <f>K596/10</f>
        <v>#REF!</v>
      </c>
      <c r="O598" s="509" t="s">
        <v>3143</v>
      </c>
      <c r="AG598" s="509" t="s">
        <v>2514</v>
      </c>
    </row>
    <row r="599" spans="1:33" hidden="1">
      <c r="A599" s="521">
        <f t="shared" si="30"/>
        <v>428</v>
      </c>
      <c r="B599" s="509" t="s">
        <v>3144</v>
      </c>
      <c r="C599" s="492">
        <v>80</v>
      </c>
      <c r="D599" s="490" t="s">
        <v>2205</v>
      </c>
      <c r="E599" s="2"/>
      <c r="H599" s="509" t="s">
        <v>2354</v>
      </c>
      <c r="I599" s="2"/>
      <c r="J599" s="463"/>
      <c r="K599" s="492" t="e">
        <f>(K598+C22*0.02)</f>
        <v>#REF!</v>
      </c>
      <c r="O599" s="515" t="s">
        <v>442</v>
      </c>
      <c r="AG599" s="509" t="s">
        <v>2514</v>
      </c>
    </row>
    <row r="600" spans="1:33" hidden="1">
      <c r="A600" s="521">
        <f t="shared" si="30"/>
        <v>429</v>
      </c>
      <c r="B600" s="509" t="s">
        <v>3145</v>
      </c>
      <c r="C600" s="2"/>
      <c r="D600" s="490" t="s">
        <v>2205</v>
      </c>
      <c r="E600" s="2"/>
      <c r="H600" s="509" t="s">
        <v>2362</v>
      </c>
      <c r="I600" s="2"/>
      <c r="J600" s="463"/>
      <c r="K600" s="492" t="e">
        <f>(K599+C24*0.02)</f>
        <v>#REF!</v>
      </c>
      <c r="M600" s="519">
        <v>10.37</v>
      </c>
      <c r="N600" s="509" t="s">
        <v>2334</v>
      </c>
      <c r="O600" s="509" t="s">
        <v>3146</v>
      </c>
      <c r="P600" s="519">
        <f>(C61*2)</f>
        <v>50</v>
      </c>
      <c r="Q600" s="509" t="s">
        <v>2334</v>
      </c>
      <c r="R600" s="519">
        <f t="shared" ref="R600:R608" si="31">(M600*P600)</f>
        <v>518.5</v>
      </c>
      <c r="AG600" s="509" t="s">
        <v>2514</v>
      </c>
    </row>
    <row r="601" spans="1:33" hidden="1">
      <c r="A601" s="521">
        <f t="shared" si="30"/>
        <v>430</v>
      </c>
      <c r="B601" s="509" t="s">
        <v>3147</v>
      </c>
      <c r="C601" s="492">
        <v>65</v>
      </c>
      <c r="D601" s="490" t="s">
        <v>2342</v>
      </c>
      <c r="E601" s="2"/>
      <c r="H601" s="509" t="s">
        <v>2480</v>
      </c>
      <c r="I601" s="2"/>
      <c r="J601" s="463"/>
      <c r="K601" s="492" t="e">
        <f>(K600+C24*0.02)</f>
        <v>#REF!</v>
      </c>
      <c r="M601" s="519">
        <v>0.65</v>
      </c>
      <c r="N601" s="509" t="s">
        <v>2334</v>
      </c>
      <c r="O601" s="509" t="s">
        <v>3148</v>
      </c>
      <c r="P601" s="519" t="e">
        <f>R60</f>
        <v>#REF!</v>
      </c>
      <c r="Q601" s="509" t="s">
        <v>2334</v>
      </c>
      <c r="R601" s="519" t="e">
        <f t="shared" si="31"/>
        <v>#REF!</v>
      </c>
      <c r="AG601" s="509" t="s">
        <v>2514</v>
      </c>
    </row>
    <row r="602" spans="1:33" hidden="1">
      <c r="A602" s="521">
        <f t="shared" si="30"/>
        <v>431</v>
      </c>
      <c r="B602" s="509" t="s">
        <v>3149</v>
      </c>
      <c r="C602" s="492">
        <v>40</v>
      </c>
      <c r="D602" s="490" t="s">
        <v>2342</v>
      </c>
      <c r="E602" s="2"/>
      <c r="H602" s="509" t="s">
        <v>2481</v>
      </c>
      <c r="I602" s="2"/>
      <c r="J602" s="463"/>
      <c r="K602" s="492" t="e">
        <f>(K601+C24*0.02)</f>
        <v>#REF!</v>
      </c>
      <c r="M602" s="519">
        <v>1.1399999999999999</v>
      </c>
      <c r="N602" s="509" t="s">
        <v>2334</v>
      </c>
      <c r="O602" s="509" t="s">
        <v>3150</v>
      </c>
      <c r="P602" s="519" t="e">
        <f>K320</f>
        <v>#REF!</v>
      </c>
      <c r="Q602" s="509" t="s">
        <v>2334</v>
      </c>
      <c r="R602" s="519" t="e">
        <f t="shared" si="31"/>
        <v>#REF!</v>
      </c>
      <c r="AG602" s="509" t="s">
        <v>2514</v>
      </c>
    </row>
    <row r="603" spans="1:33" hidden="1">
      <c r="A603" s="521">
        <f t="shared" si="30"/>
        <v>432</v>
      </c>
      <c r="B603" s="509" t="s">
        <v>3151</v>
      </c>
      <c r="C603" s="2"/>
      <c r="D603" s="490" t="s">
        <v>2342</v>
      </c>
      <c r="E603" s="2"/>
      <c r="H603" s="509" t="s">
        <v>3097</v>
      </c>
      <c r="I603" s="2"/>
      <c r="J603" s="463"/>
      <c r="K603" s="492" t="e">
        <f>(K602+C25*0.02)</f>
        <v>#REF!</v>
      </c>
      <c r="M603" s="519">
        <v>0.85</v>
      </c>
      <c r="N603" s="509" t="s">
        <v>2334</v>
      </c>
      <c r="O603" s="509" t="s">
        <v>3152</v>
      </c>
      <c r="P603" s="519" t="e">
        <f>K320-K311/10</f>
        <v>#REF!</v>
      </c>
      <c r="Q603" s="509" t="s">
        <v>2334</v>
      </c>
      <c r="R603" s="519" t="e">
        <f t="shared" si="31"/>
        <v>#REF!</v>
      </c>
      <c r="AG603" s="509" t="s">
        <v>2514</v>
      </c>
    </row>
    <row r="604" spans="1:33" hidden="1">
      <c r="A604" s="521">
        <f t="shared" si="30"/>
        <v>433</v>
      </c>
      <c r="B604" s="509" t="s">
        <v>3153</v>
      </c>
      <c r="C604" s="492">
        <v>45</v>
      </c>
      <c r="D604" s="490" t="s">
        <v>2342</v>
      </c>
      <c r="E604" s="2"/>
      <c r="F604" s="510" t="s">
        <v>3154</v>
      </c>
      <c r="G604" s="518" t="s">
        <v>575</v>
      </c>
      <c r="H604" s="509" t="s">
        <v>3155</v>
      </c>
      <c r="I604" s="2"/>
      <c r="J604" s="463"/>
      <c r="K604" s="2"/>
      <c r="M604" s="519">
        <v>0.98</v>
      </c>
      <c r="N604" s="509" t="s">
        <v>2334</v>
      </c>
      <c r="O604" s="509" t="s">
        <v>3156</v>
      </c>
      <c r="P604" s="519" t="e">
        <f>(C73)</f>
        <v>#REF!</v>
      </c>
      <c r="Q604" s="509" t="s">
        <v>2334</v>
      </c>
      <c r="R604" s="519" t="e">
        <f t="shared" si="31"/>
        <v>#REF!</v>
      </c>
      <c r="AG604" s="509" t="s">
        <v>2514</v>
      </c>
    </row>
    <row r="605" spans="1:33" hidden="1">
      <c r="A605" s="521">
        <f t="shared" si="30"/>
        <v>434</v>
      </c>
      <c r="B605" s="509" t="s">
        <v>3157</v>
      </c>
      <c r="C605" s="492">
        <v>36.520000000000003</v>
      </c>
      <c r="D605" s="490" t="s">
        <v>2342</v>
      </c>
      <c r="E605" s="2"/>
      <c r="H605" s="509" t="s">
        <v>3158</v>
      </c>
      <c r="I605" s="2"/>
      <c r="J605" s="463"/>
      <c r="K605" s="2"/>
      <c r="M605" s="519">
        <v>2.68</v>
      </c>
      <c r="N605" s="509" t="s">
        <v>2334</v>
      </c>
      <c r="O605" s="509" t="s">
        <v>2563</v>
      </c>
      <c r="P605" s="519" t="e">
        <f>(C79)</f>
        <v>#REF!</v>
      </c>
      <c r="Q605" s="509" t="s">
        <v>2334</v>
      </c>
      <c r="R605" s="519" t="e">
        <f t="shared" si="31"/>
        <v>#REF!</v>
      </c>
      <c r="AG605" s="509" t="s">
        <v>2514</v>
      </c>
    </row>
    <row r="606" spans="1:33" hidden="1">
      <c r="A606" s="521">
        <f t="shared" si="30"/>
        <v>435</v>
      </c>
      <c r="B606" s="509" t="s">
        <v>3159</v>
      </c>
      <c r="C606" s="2"/>
      <c r="D606" s="490" t="s">
        <v>2342</v>
      </c>
      <c r="E606" s="2"/>
      <c r="H606" s="509" t="s">
        <v>3160</v>
      </c>
      <c r="I606" s="2"/>
      <c r="J606" s="463"/>
      <c r="K606" s="2"/>
      <c r="M606" s="519">
        <v>7.24</v>
      </c>
      <c r="N606" s="509" t="s">
        <v>2788</v>
      </c>
      <c r="O606" s="509" t="s">
        <v>3161</v>
      </c>
      <c r="P606" s="519" t="e">
        <f>(K1332)</f>
        <v>#REF!</v>
      </c>
      <c r="Q606" s="509" t="s">
        <v>2788</v>
      </c>
      <c r="R606" s="519" t="e">
        <f t="shared" si="31"/>
        <v>#REF!</v>
      </c>
      <c r="AG606" s="509" t="s">
        <v>2514</v>
      </c>
    </row>
    <row r="607" spans="1:33" hidden="1">
      <c r="A607" s="521">
        <f t="shared" si="30"/>
        <v>436</v>
      </c>
      <c r="B607" s="509" t="s">
        <v>3162</v>
      </c>
      <c r="C607" s="492">
        <v>73.48</v>
      </c>
      <c r="D607" s="492">
        <v>93.72</v>
      </c>
      <c r="E607" s="2"/>
      <c r="H607" s="515" t="s">
        <v>442</v>
      </c>
      <c r="I607" s="2"/>
      <c r="J607" s="463"/>
      <c r="K607" s="2"/>
      <c r="M607" s="519">
        <v>1</v>
      </c>
      <c r="N607" s="509" t="s">
        <v>2342</v>
      </c>
      <c r="O607" s="509" t="s">
        <v>3163</v>
      </c>
      <c r="P607" s="519">
        <f>(C202)</f>
        <v>75</v>
      </c>
      <c r="Q607" s="509" t="s">
        <v>2342</v>
      </c>
      <c r="R607" s="519">
        <f t="shared" si="31"/>
        <v>75</v>
      </c>
      <c r="AG607" s="509" t="s">
        <v>2514</v>
      </c>
    </row>
    <row r="608" spans="1:33" hidden="1">
      <c r="A608" s="521">
        <f t="shared" si="30"/>
        <v>437</v>
      </c>
      <c r="B608" s="509" t="s">
        <v>3164</v>
      </c>
      <c r="C608" s="492">
        <v>43.12</v>
      </c>
      <c r="D608" s="490" t="s">
        <v>2342</v>
      </c>
      <c r="E608" s="2"/>
      <c r="F608" s="519">
        <v>0.01</v>
      </c>
      <c r="G608" s="518" t="s">
        <v>2334</v>
      </c>
      <c r="H608" s="509" t="s">
        <v>3165</v>
      </c>
      <c r="I608" s="492" t="e">
        <f>(K279)</f>
        <v>#REF!</v>
      </c>
      <c r="J608" s="500" t="s">
        <v>2334</v>
      </c>
      <c r="K608" s="492" t="e">
        <f>(F608*I608)</f>
        <v>#REF!</v>
      </c>
      <c r="M608" s="528">
        <v>0.13600000000000001</v>
      </c>
      <c r="N608" s="509" t="s">
        <v>2334</v>
      </c>
      <c r="O608" s="509" t="s">
        <v>3166</v>
      </c>
      <c r="P608" s="519" t="e">
        <f>(K614)</f>
        <v>#REF!</v>
      </c>
      <c r="Q608" s="509" t="s">
        <v>2334</v>
      </c>
      <c r="R608" s="519" t="e">
        <f t="shared" si="31"/>
        <v>#REF!</v>
      </c>
      <c r="AG608" s="509" t="s">
        <v>2514</v>
      </c>
    </row>
    <row r="609" spans="1:33" hidden="1">
      <c r="A609" s="521">
        <f t="shared" si="30"/>
        <v>438</v>
      </c>
      <c r="B609" s="509" t="s">
        <v>3167</v>
      </c>
      <c r="C609" s="2"/>
      <c r="D609" s="490" t="s">
        <v>2342</v>
      </c>
      <c r="E609" s="2"/>
      <c r="F609" s="519">
        <v>0.01</v>
      </c>
      <c r="G609" s="518" t="s">
        <v>2334</v>
      </c>
      <c r="H609" s="509" t="s">
        <v>3168</v>
      </c>
      <c r="I609" s="2"/>
      <c r="J609" s="500" t="s">
        <v>2346</v>
      </c>
      <c r="K609" s="492">
        <v>1.1499999999999999</v>
      </c>
      <c r="O609" s="509" t="s">
        <v>3169</v>
      </c>
      <c r="AG609" s="509" t="s">
        <v>2514</v>
      </c>
    </row>
    <row r="610" spans="1:33" hidden="1">
      <c r="A610" s="521">
        <f t="shared" si="30"/>
        <v>439</v>
      </c>
      <c r="B610" s="509" t="s">
        <v>3170</v>
      </c>
      <c r="C610" s="492">
        <v>121.88</v>
      </c>
      <c r="D610" s="490" t="s">
        <v>2342</v>
      </c>
      <c r="E610" s="2"/>
      <c r="H610" s="509" t="s">
        <v>3171</v>
      </c>
      <c r="I610" s="2"/>
      <c r="J610" s="463"/>
      <c r="K610" s="2"/>
      <c r="N610" s="509" t="s">
        <v>2346</v>
      </c>
      <c r="O610" s="509" t="s">
        <v>3113</v>
      </c>
      <c r="Q610" s="509" t="s">
        <v>2346</v>
      </c>
      <c r="R610" s="519">
        <v>1.5</v>
      </c>
      <c r="AG610" s="509" t="s">
        <v>2514</v>
      </c>
    </row>
    <row r="611" spans="1:33" hidden="1">
      <c r="A611" s="521">
        <f t="shared" si="30"/>
        <v>440</v>
      </c>
      <c r="B611" s="509" t="s">
        <v>3172</v>
      </c>
      <c r="C611" s="492">
        <v>66</v>
      </c>
      <c r="D611" s="490" t="s">
        <v>2342</v>
      </c>
      <c r="E611" s="2"/>
      <c r="I611" s="2"/>
      <c r="J611" s="463"/>
      <c r="K611" s="491" t="s">
        <v>442</v>
      </c>
      <c r="R611" s="515" t="s">
        <v>442</v>
      </c>
      <c r="AG611" s="509" t="s">
        <v>2514</v>
      </c>
    </row>
    <row r="612" spans="1:33" hidden="1">
      <c r="A612" s="521">
        <f t="shared" si="30"/>
        <v>441</v>
      </c>
      <c r="B612" s="509" t="s">
        <v>3173</v>
      </c>
      <c r="C612" s="2"/>
      <c r="D612" s="490" t="s">
        <v>2342</v>
      </c>
      <c r="E612" s="2"/>
      <c r="H612" s="509" t="s">
        <v>3174</v>
      </c>
      <c r="I612" s="2"/>
      <c r="J612" s="463"/>
      <c r="K612" s="492" t="e">
        <f>SUM(K608:K610)</f>
        <v>#REF!</v>
      </c>
      <c r="O612" s="509" t="s">
        <v>3117</v>
      </c>
      <c r="R612" s="519" t="e">
        <f>SUM(R600:R610)</f>
        <v>#REF!</v>
      </c>
      <c r="AG612" s="509" t="s">
        <v>2690</v>
      </c>
    </row>
    <row r="613" spans="1:33" hidden="1">
      <c r="A613" s="521">
        <f t="shared" si="30"/>
        <v>442</v>
      </c>
      <c r="B613" s="509" t="s">
        <v>3175</v>
      </c>
      <c r="C613" s="492">
        <v>149.16</v>
      </c>
      <c r="D613" s="490" t="s">
        <v>2342</v>
      </c>
      <c r="E613" s="2"/>
      <c r="I613" s="2"/>
      <c r="J613" s="463"/>
      <c r="K613" s="491" t="s">
        <v>442</v>
      </c>
      <c r="R613" s="515" t="s">
        <v>442</v>
      </c>
    </row>
    <row r="614" spans="1:33" hidden="1">
      <c r="A614" s="521">
        <f t="shared" si="30"/>
        <v>443</v>
      </c>
      <c r="B614" s="509" t="s">
        <v>3176</v>
      </c>
      <c r="C614" s="492">
        <v>84.92</v>
      </c>
      <c r="D614" s="490" t="s">
        <v>2342</v>
      </c>
      <c r="E614" s="2"/>
      <c r="H614" s="509" t="s">
        <v>2349</v>
      </c>
      <c r="I614" s="2"/>
      <c r="J614" s="463"/>
      <c r="K614" s="492" t="e">
        <f>ROUND(K612*100,0)</f>
        <v>#REF!</v>
      </c>
      <c r="N614" s="509" t="s">
        <v>575</v>
      </c>
      <c r="O614" s="509" t="s">
        <v>3177</v>
      </c>
    </row>
    <row r="615" spans="1:33" hidden="1">
      <c r="C615" s="2"/>
      <c r="D615" s="2"/>
      <c r="E615" s="2"/>
      <c r="F615" s="509" t="s">
        <v>30</v>
      </c>
      <c r="I615" s="2"/>
      <c r="J615" s="463"/>
      <c r="K615" s="2"/>
    </row>
    <row r="616" spans="1:33" hidden="1">
      <c r="A616" s="521">
        <f>(A614+1)</f>
        <v>444</v>
      </c>
      <c r="B616" s="509" t="s">
        <v>3178</v>
      </c>
      <c r="C616" s="2"/>
      <c r="D616" s="490" t="s">
        <v>2342</v>
      </c>
      <c r="E616" s="2"/>
      <c r="I616" s="2"/>
      <c r="J616" s="463"/>
      <c r="K616" s="491" t="s">
        <v>29</v>
      </c>
      <c r="O616" s="509" t="s">
        <v>3179</v>
      </c>
      <c r="AG616" s="509" t="s">
        <v>2514</v>
      </c>
    </row>
    <row r="617" spans="1:33" hidden="1">
      <c r="A617" s="521">
        <f t="shared" ref="A617:A673" si="32">(A616+1)</f>
        <v>445</v>
      </c>
      <c r="B617" s="509" t="s">
        <v>3180</v>
      </c>
      <c r="C617" s="492">
        <v>195.36</v>
      </c>
      <c r="D617" s="490" t="s">
        <v>2342</v>
      </c>
      <c r="E617" s="2"/>
      <c r="G617" s="518" t="s">
        <v>2843</v>
      </c>
      <c r="H617" s="509" t="s">
        <v>3181</v>
      </c>
      <c r="I617" s="2"/>
      <c r="J617" s="463"/>
      <c r="K617" s="2"/>
      <c r="O617" s="515" t="s">
        <v>442</v>
      </c>
      <c r="AG617" s="509" t="s">
        <v>2514</v>
      </c>
    </row>
    <row r="618" spans="1:33" hidden="1">
      <c r="A618" s="521">
        <f t="shared" si="32"/>
        <v>446</v>
      </c>
      <c r="B618" s="509" t="s">
        <v>3182</v>
      </c>
      <c r="C618" s="492">
        <v>137.28</v>
      </c>
      <c r="D618" s="490" t="s">
        <v>2342</v>
      </c>
      <c r="E618" s="2"/>
      <c r="H618" s="509" t="s">
        <v>3183</v>
      </c>
      <c r="I618" s="2"/>
      <c r="J618" s="463"/>
      <c r="K618" s="2"/>
      <c r="M618" s="519">
        <v>3</v>
      </c>
      <c r="N618" s="509" t="s">
        <v>2334</v>
      </c>
      <c r="O618" s="509" t="s">
        <v>3184</v>
      </c>
      <c r="P618" s="519">
        <f>(C61*2)</f>
        <v>50</v>
      </c>
      <c r="Q618" s="509" t="s">
        <v>2334</v>
      </c>
      <c r="R618" s="519">
        <f>(M618*P618)</f>
        <v>150</v>
      </c>
      <c r="AG618" s="509" t="s">
        <v>2514</v>
      </c>
    </row>
    <row r="619" spans="1:33" hidden="1">
      <c r="A619" s="521">
        <f t="shared" si="32"/>
        <v>447</v>
      </c>
      <c r="B619" s="509" t="s">
        <v>3185</v>
      </c>
      <c r="C619" s="2"/>
      <c r="D619" s="490" t="s">
        <v>2342</v>
      </c>
      <c r="E619" s="2"/>
      <c r="H619" s="515" t="s">
        <v>442</v>
      </c>
      <c r="I619" s="2"/>
      <c r="J619" s="463"/>
      <c r="K619" s="2"/>
      <c r="M619" s="519">
        <v>2.4</v>
      </c>
      <c r="N619" s="509" t="s">
        <v>2334</v>
      </c>
      <c r="O619" s="509" t="s">
        <v>3186</v>
      </c>
      <c r="P619" s="519" t="e">
        <f>(C81)</f>
        <v>#REF!</v>
      </c>
      <c r="Q619" s="509" t="s">
        <v>2334</v>
      </c>
      <c r="R619" s="519" t="e">
        <f>(M619*P619)</f>
        <v>#REF!</v>
      </c>
      <c r="AG619" s="509" t="s">
        <v>2514</v>
      </c>
    </row>
    <row r="620" spans="1:33" hidden="1">
      <c r="A620" s="521">
        <f t="shared" si="32"/>
        <v>448</v>
      </c>
      <c r="B620" s="509" t="s">
        <v>3187</v>
      </c>
      <c r="C620" s="492">
        <v>97.68</v>
      </c>
      <c r="D620" s="490" t="s">
        <v>2342</v>
      </c>
      <c r="E620" s="2"/>
      <c r="F620" s="528">
        <v>1.4E-2</v>
      </c>
      <c r="G620" s="518" t="s">
        <v>2334</v>
      </c>
      <c r="H620" s="509" t="s">
        <v>3188</v>
      </c>
      <c r="I620" s="492" t="e">
        <f>(K614)</f>
        <v>#REF!</v>
      </c>
      <c r="J620" s="500" t="s">
        <v>2334</v>
      </c>
      <c r="K620" s="492" t="e">
        <f>(F620*I620)</f>
        <v>#REF!</v>
      </c>
      <c r="M620" s="519">
        <v>5</v>
      </c>
      <c r="N620" s="509" t="s">
        <v>2342</v>
      </c>
      <c r="O620" s="509" t="s">
        <v>3189</v>
      </c>
      <c r="P620" s="519">
        <f>(C203)</f>
        <v>40</v>
      </c>
      <c r="Q620" s="509" t="s">
        <v>2342</v>
      </c>
      <c r="R620" s="519">
        <f>(M620*P620)</f>
        <v>200</v>
      </c>
      <c r="AG620" s="509" t="s">
        <v>2514</v>
      </c>
    </row>
    <row r="621" spans="1:33" hidden="1">
      <c r="A621" s="521">
        <f t="shared" si="32"/>
        <v>449</v>
      </c>
      <c r="B621" s="509" t="s">
        <v>3190</v>
      </c>
      <c r="C621" s="492">
        <v>54.12</v>
      </c>
      <c r="D621" s="490" t="s">
        <v>2342</v>
      </c>
      <c r="E621" s="2"/>
      <c r="F621" s="528"/>
      <c r="H621" s="509" t="s">
        <v>3191</v>
      </c>
      <c r="I621" s="2"/>
      <c r="J621" s="463"/>
      <c r="K621" s="490" t="s">
        <v>30</v>
      </c>
      <c r="O621" s="509" t="s">
        <v>2347</v>
      </c>
      <c r="Q621" s="509" t="s">
        <v>2346</v>
      </c>
      <c r="R621" s="519">
        <v>0.08</v>
      </c>
      <c r="AG621" s="509" t="s">
        <v>2514</v>
      </c>
    </row>
    <row r="622" spans="1:33" hidden="1">
      <c r="A622" s="521">
        <f t="shared" si="32"/>
        <v>450</v>
      </c>
      <c r="B622" s="509" t="s">
        <v>3192</v>
      </c>
      <c r="C622" s="2"/>
      <c r="D622" s="490" t="s">
        <v>2342</v>
      </c>
      <c r="E622" s="2"/>
      <c r="F622" s="519">
        <v>0.5</v>
      </c>
      <c r="G622" s="518" t="s">
        <v>2359</v>
      </c>
      <c r="H622" s="509" t="s">
        <v>2353</v>
      </c>
      <c r="I622" s="492">
        <f>(C10)</f>
        <v>150</v>
      </c>
      <c r="J622" s="500" t="s">
        <v>2359</v>
      </c>
      <c r="K622" s="492">
        <f>(F622*I622)</f>
        <v>75</v>
      </c>
      <c r="R622" s="515" t="s">
        <v>442</v>
      </c>
      <c r="S622" s="509" t="s">
        <v>30</v>
      </c>
      <c r="AG622" s="509" t="s">
        <v>2514</v>
      </c>
    </row>
    <row r="623" spans="1:33" hidden="1">
      <c r="A623" s="521">
        <f t="shared" si="32"/>
        <v>451</v>
      </c>
      <c r="B623" s="509" t="s">
        <v>3193</v>
      </c>
      <c r="C623" s="492">
        <v>110</v>
      </c>
      <c r="D623" s="490" t="s">
        <v>2342</v>
      </c>
      <c r="E623" s="2"/>
      <c r="F623" s="519">
        <v>0.75</v>
      </c>
      <c r="G623" s="518" t="s">
        <v>2359</v>
      </c>
      <c r="H623" s="509" t="s">
        <v>2344</v>
      </c>
      <c r="I623" s="492">
        <f>(C12)</f>
        <v>95</v>
      </c>
      <c r="J623" s="500" t="s">
        <v>2359</v>
      </c>
      <c r="K623" s="492">
        <f>(F623*I623)</f>
        <v>71.25</v>
      </c>
      <c r="O623" s="509" t="s">
        <v>3117</v>
      </c>
      <c r="R623" s="519" t="e">
        <f>SUM(R618:R621)</f>
        <v>#REF!</v>
      </c>
      <c r="AG623" s="509" t="s">
        <v>2514</v>
      </c>
    </row>
    <row r="624" spans="1:33" hidden="1">
      <c r="A624" s="521">
        <f t="shared" si="32"/>
        <v>452</v>
      </c>
      <c r="B624" s="509" t="s">
        <v>3194</v>
      </c>
      <c r="C624" s="492">
        <v>70</v>
      </c>
      <c r="D624" s="490" t="s">
        <v>2342</v>
      </c>
      <c r="E624" s="2"/>
      <c r="G624" s="518" t="s">
        <v>2346</v>
      </c>
      <c r="H624" s="509" t="s">
        <v>2347</v>
      </c>
      <c r="I624" s="2"/>
      <c r="J624" s="500" t="s">
        <v>2346</v>
      </c>
      <c r="K624" s="492">
        <v>0</v>
      </c>
      <c r="R624" s="515" t="s">
        <v>442</v>
      </c>
      <c r="AG624" s="509" t="s">
        <v>2514</v>
      </c>
    </row>
    <row r="625" spans="1:33" hidden="1">
      <c r="A625" s="521">
        <f t="shared" si="32"/>
        <v>453</v>
      </c>
      <c r="B625" s="509" t="s">
        <v>3195</v>
      </c>
      <c r="C625" s="2"/>
      <c r="D625" s="490" t="s">
        <v>2342</v>
      </c>
      <c r="E625" s="2"/>
      <c r="I625" s="2"/>
      <c r="J625" s="463"/>
      <c r="K625" s="491" t="s">
        <v>442</v>
      </c>
      <c r="AG625" s="509" t="s">
        <v>2514</v>
      </c>
    </row>
    <row r="626" spans="1:33" hidden="1">
      <c r="A626" s="521">
        <f t="shared" si="32"/>
        <v>454</v>
      </c>
      <c r="B626" s="509" t="s">
        <v>3196</v>
      </c>
      <c r="C626" s="492">
        <v>12</v>
      </c>
      <c r="D626" s="490" t="s">
        <v>2342</v>
      </c>
      <c r="E626" s="2"/>
      <c r="H626" s="509" t="s">
        <v>3197</v>
      </c>
      <c r="I626" s="2"/>
      <c r="J626" s="463"/>
      <c r="K626" s="492" t="e">
        <f>SUM(K620:K624)</f>
        <v>#REF!</v>
      </c>
      <c r="N626" s="509" t="s">
        <v>575</v>
      </c>
      <c r="O626" s="509" t="s">
        <v>3198</v>
      </c>
      <c r="AG626" s="509" t="s">
        <v>2514</v>
      </c>
    </row>
    <row r="627" spans="1:33" hidden="1">
      <c r="A627" s="521">
        <f t="shared" si="32"/>
        <v>455</v>
      </c>
      <c r="B627" s="509" t="s">
        <v>3199</v>
      </c>
      <c r="C627" s="492">
        <v>7.5</v>
      </c>
      <c r="D627" s="490" t="s">
        <v>2342</v>
      </c>
      <c r="E627" s="2"/>
      <c r="I627" s="2"/>
      <c r="J627" s="463"/>
      <c r="K627" s="491" t="s">
        <v>442</v>
      </c>
      <c r="O627" s="509" t="s">
        <v>3200</v>
      </c>
      <c r="AG627" s="509" t="s">
        <v>2514</v>
      </c>
    </row>
    <row r="628" spans="1:33" hidden="1">
      <c r="A628" s="521">
        <f t="shared" si="32"/>
        <v>456</v>
      </c>
      <c r="B628" s="509" t="s">
        <v>3201</v>
      </c>
      <c r="C628" s="2"/>
      <c r="D628" s="490" t="s">
        <v>2342</v>
      </c>
      <c r="E628" s="2"/>
      <c r="H628" s="509" t="s">
        <v>2355</v>
      </c>
      <c r="I628" s="2"/>
      <c r="J628" s="463"/>
      <c r="K628" s="492" t="e">
        <f>(K626/0.372)</f>
        <v>#REF!</v>
      </c>
      <c r="O628" s="509" t="s">
        <v>3202</v>
      </c>
      <c r="AG628" s="509" t="s">
        <v>2514</v>
      </c>
    </row>
    <row r="629" spans="1:33" hidden="1">
      <c r="A629" s="521">
        <f t="shared" si="32"/>
        <v>457</v>
      </c>
      <c r="B629" s="509" t="s">
        <v>3203</v>
      </c>
      <c r="C629" s="492">
        <v>155.32</v>
      </c>
      <c r="D629" s="490" t="s">
        <v>2342</v>
      </c>
      <c r="E629" s="2"/>
      <c r="I629" s="2"/>
      <c r="J629" s="463"/>
      <c r="K629" s="491" t="s">
        <v>29</v>
      </c>
      <c r="O629" s="515" t="s">
        <v>442</v>
      </c>
      <c r="AG629" s="509" t="s">
        <v>2514</v>
      </c>
    </row>
    <row r="630" spans="1:33" hidden="1">
      <c r="A630" s="521">
        <f t="shared" si="32"/>
        <v>458</v>
      </c>
      <c r="B630" s="509" t="s">
        <v>3204</v>
      </c>
      <c r="C630" s="492">
        <v>91.08</v>
      </c>
      <c r="D630" s="490" t="s">
        <v>2342</v>
      </c>
      <c r="E630" s="2"/>
      <c r="H630" s="509" t="s">
        <v>2354</v>
      </c>
      <c r="I630" s="2"/>
      <c r="J630" s="463"/>
      <c r="K630" s="492" t="e">
        <f>(K628+C22*0.014/0.372)</f>
        <v>#REF!</v>
      </c>
      <c r="M630" s="519">
        <v>9.5</v>
      </c>
      <c r="N630" s="509" t="s">
        <v>2334</v>
      </c>
      <c r="O630" s="509" t="s">
        <v>3184</v>
      </c>
      <c r="P630" s="519">
        <f>(C61*2)</f>
        <v>50</v>
      </c>
      <c r="Q630" s="509" t="s">
        <v>2334</v>
      </c>
      <c r="R630" s="519">
        <f t="shared" ref="R630:R638" si="33">(M630*P630)</f>
        <v>475</v>
      </c>
      <c r="AG630" s="509" t="s">
        <v>2514</v>
      </c>
    </row>
    <row r="631" spans="1:33" hidden="1">
      <c r="A631" s="521">
        <f t="shared" si="32"/>
        <v>459</v>
      </c>
      <c r="B631" s="509" t="s">
        <v>3205</v>
      </c>
      <c r="C631" s="492">
        <v>30</v>
      </c>
      <c r="D631" s="490" t="s">
        <v>40</v>
      </c>
      <c r="E631" s="2"/>
      <c r="H631" s="509" t="s">
        <v>2362</v>
      </c>
      <c r="I631" s="2"/>
      <c r="J631" s="463"/>
      <c r="K631" s="492" t="e">
        <f>(K630+C23*0.014/0.372)</f>
        <v>#REF!</v>
      </c>
      <c r="M631" s="519">
        <v>0.47</v>
      </c>
      <c r="N631" s="509" t="s">
        <v>2334</v>
      </c>
      <c r="O631" s="509" t="s">
        <v>3206</v>
      </c>
      <c r="P631" s="519" t="e">
        <f>(R74)</f>
        <v>#REF!</v>
      </c>
      <c r="Q631" s="509" t="s">
        <v>2334</v>
      </c>
      <c r="R631" s="519" t="e">
        <f t="shared" si="33"/>
        <v>#REF!</v>
      </c>
      <c r="AG631" s="509" t="s">
        <v>2514</v>
      </c>
    </row>
    <row r="632" spans="1:33" hidden="1">
      <c r="A632" s="521">
        <f t="shared" si="32"/>
        <v>460</v>
      </c>
      <c r="B632" s="509" t="s">
        <v>3207</v>
      </c>
      <c r="C632" s="492">
        <v>0.3</v>
      </c>
      <c r="D632" s="490" t="s">
        <v>2342</v>
      </c>
      <c r="E632" s="2"/>
      <c r="H632" s="509" t="s">
        <v>2480</v>
      </c>
      <c r="I632" s="2"/>
      <c r="J632" s="463"/>
      <c r="K632" s="492" t="e">
        <f>(K631+C24*0.014/0.372)</f>
        <v>#REF!</v>
      </c>
      <c r="M632" s="519">
        <v>1.62</v>
      </c>
      <c r="N632" s="509" t="s">
        <v>2334</v>
      </c>
      <c r="O632" s="509" t="s">
        <v>3104</v>
      </c>
      <c r="P632" s="519" t="e">
        <f>(R89)</f>
        <v>#REF!</v>
      </c>
      <c r="Q632" s="509" t="s">
        <v>2334</v>
      </c>
      <c r="R632" s="519" t="e">
        <f t="shared" si="33"/>
        <v>#REF!</v>
      </c>
      <c r="AG632" s="509" t="s">
        <v>2514</v>
      </c>
    </row>
    <row r="633" spans="1:33" hidden="1">
      <c r="A633" s="521">
        <f t="shared" si="32"/>
        <v>461</v>
      </c>
      <c r="B633" s="509" t="s">
        <v>3208</v>
      </c>
      <c r="C633" s="492">
        <v>99</v>
      </c>
      <c r="D633" s="490" t="s">
        <v>2788</v>
      </c>
      <c r="E633" s="2"/>
      <c r="H633" s="509" t="s">
        <v>2481</v>
      </c>
      <c r="I633" s="2"/>
      <c r="J633" s="463"/>
      <c r="K633" s="492" t="e">
        <f>(K632+C24*0.014/0.372)</f>
        <v>#REF!</v>
      </c>
      <c r="M633" s="519">
        <v>15.22</v>
      </c>
      <c r="N633" s="509" t="s">
        <v>2788</v>
      </c>
      <c r="O633" s="509" t="s">
        <v>3209</v>
      </c>
      <c r="P633" s="519" t="e">
        <f>(R303)</f>
        <v>#REF!</v>
      </c>
      <c r="Q633" s="509" t="s">
        <v>2788</v>
      </c>
      <c r="R633" s="519" t="e">
        <f t="shared" si="33"/>
        <v>#REF!</v>
      </c>
      <c r="AG633" s="509" t="s">
        <v>2514</v>
      </c>
    </row>
    <row r="634" spans="1:33" hidden="1">
      <c r="A634" s="521">
        <f t="shared" si="32"/>
        <v>462</v>
      </c>
      <c r="B634" s="509" t="s">
        <v>3210</v>
      </c>
      <c r="C634" s="492">
        <v>97.31</v>
      </c>
      <c r="D634" s="490" t="s">
        <v>2788</v>
      </c>
      <c r="E634" s="2"/>
      <c r="H634" s="509" t="s">
        <v>3097</v>
      </c>
      <c r="I634" s="2"/>
      <c r="J634" s="463"/>
      <c r="K634" s="492" t="e">
        <f>(K633+C25*0.014/0.372)</f>
        <v>#REF!</v>
      </c>
      <c r="M634" s="519">
        <v>0.18</v>
      </c>
      <c r="N634" s="509" t="s">
        <v>2334</v>
      </c>
      <c r="O634" s="509" t="s">
        <v>3211</v>
      </c>
      <c r="P634" s="519" t="e">
        <f>(K279)</f>
        <v>#REF!</v>
      </c>
      <c r="Q634" s="509" t="s">
        <v>2334</v>
      </c>
      <c r="R634" s="519" t="e">
        <f t="shared" si="33"/>
        <v>#REF!</v>
      </c>
      <c r="AG634" s="509" t="s">
        <v>2514</v>
      </c>
    </row>
    <row r="635" spans="1:33" hidden="1">
      <c r="A635" s="521">
        <f t="shared" si="32"/>
        <v>463</v>
      </c>
      <c r="B635" s="509" t="s">
        <v>3212</v>
      </c>
      <c r="C635" s="492">
        <v>105.28</v>
      </c>
      <c r="D635" s="490" t="s">
        <v>2883</v>
      </c>
      <c r="E635" s="2"/>
      <c r="F635" s="510" t="s">
        <v>3213</v>
      </c>
      <c r="H635" s="509" t="s">
        <v>3214</v>
      </c>
      <c r="I635" s="2"/>
      <c r="J635" s="463"/>
      <c r="K635" s="2"/>
      <c r="M635" s="519">
        <v>0.36</v>
      </c>
      <c r="N635" s="509" t="s">
        <v>2788</v>
      </c>
      <c r="O635" s="509" t="s">
        <v>3215</v>
      </c>
      <c r="P635" s="519" t="e">
        <f>(K466)</f>
        <v>#REF!</v>
      </c>
      <c r="Q635" s="509" t="s">
        <v>2788</v>
      </c>
      <c r="R635" s="519" t="e">
        <f t="shared" si="33"/>
        <v>#REF!</v>
      </c>
      <c r="AG635" s="509" t="s">
        <v>2514</v>
      </c>
    </row>
    <row r="636" spans="1:33" hidden="1">
      <c r="A636" s="521">
        <f t="shared" si="32"/>
        <v>464</v>
      </c>
      <c r="B636" s="509" t="s">
        <v>3216</v>
      </c>
      <c r="C636" s="492">
        <v>106.75</v>
      </c>
      <c r="D636" s="490" t="s">
        <v>2883</v>
      </c>
      <c r="E636" s="2"/>
      <c r="H636" s="509" t="s">
        <v>3217</v>
      </c>
      <c r="I636" s="2"/>
      <c r="J636" s="463"/>
      <c r="K636" s="2"/>
      <c r="M636" s="519">
        <v>1</v>
      </c>
      <c r="N636" s="509" t="s">
        <v>2342</v>
      </c>
      <c r="O636" s="509" t="s">
        <v>3218</v>
      </c>
      <c r="P636" s="519">
        <f>(C202)</f>
        <v>75</v>
      </c>
      <c r="Q636" s="509" t="s">
        <v>2342</v>
      </c>
      <c r="R636" s="519">
        <f t="shared" si="33"/>
        <v>75</v>
      </c>
      <c r="AG636" s="509" t="s">
        <v>2514</v>
      </c>
    </row>
    <row r="637" spans="1:33" hidden="1">
      <c r="A637" s="521">
        <f t="shared" si="32"/>
        <v>465</v>
      </c>
      <c r="B637" s="509" t="s">
        <v>3219</v>
      </c>
      <c r="C637" s="492">
        <v>1</v>
      </c>
      <c r="D637" s="490" t="s">
        <v>2342</v>
      </c>
      <c r="E637" s="2" t="s">
        <v>3220</v>
      </c>
      <c r="H637" s="509" t="s">
        <v>3221</v>
      </c>
      <c r="I637" s="2"/>
      <c r="J637" s="463"/>
      <c r="K637" s="2"/>
      <c r="M637" s="519">
        <v>1.8</v>
      </c>
      <c r="N637" s="509" t="s">
        <v>3222</v>
      </c>
      <c r="O637" s="509" t="s">
        <v>3223</v>
      </c>
      <c r="P637" s="519">
        <f>(C324)</f>
        <v>14.91</v>
      </c>
      <c r="Q637" s="509" t="s">
        <v>3222</v>
      </c>
      <c r="R637" s="519">
        <f t="shared" si="33"/>
        <v>26.838000000000001</v>
      </c>
      <c r="AG637" s="509" t="s">
        <v>2514</v>
      </c>
    </row>
    <row r="638" spans="1:33" hidden="1">
      <c r="A638" s="521">
        <f t="shared" si="32"/>
        <v>466</v>
      </c>
      <c r="B638" s="509" t="s">
        <v>3224</v>
      </c>
      <c r="C638" s="492">
        <v>37</v>
      </c>
      <c r="D638" s="490" t="s">
        <v>40</v>
      </c>
      <c r="E638" s="2"/>
      <c r="H638" s="509" t="s">
        <v>3225</v>
      </c>
      <c r="I638" s="2"/>
      <c r="J638" s="463"/>
      <c r="K638" s="2"/>
      <c r="M638" s="519">
        <v>1</v>
      </c>
      <c r="N638" s="509" t="s">
        <v>2342</v>
      </c>
      <c r="O638" s="509" t="s">
        <v>3226</v>
      </c>
      <c r="P638" s="519">
        <f>(C370)</f>
        <v>13.29</v>
      </c>
      <c r="Q638" s="509" t="s">
        <v>2342</v>
      </c>
      <c r="R638" s="519">
        <f t="shared" si="33"/>
        <v>13.29</v>
      </c>
      <c r="AG638" s="509" t="s">
        <v>2514</v>
      </c>
    </row>
    <row r="639" spans="1:33" hidden="1">
      <c r="A639" s="521">
        <f t="shared" si="32"/>
        <v>467</v>
      </c>
      <c r="B639" s="544" t="s">
        <v>3227</v>
      </c>
      <c r="C639" s="492">
        <v>3</v>
      </c>
      <c r="D639" s="490" t="s">
        <v>2205</v>
      </c>
      <c r="E639" s="2">
        <v>5</v>
      </c>
      <c r="H639" s="509" t="s">
        <v>3228</v>
      </c>
      <c r="I639" s="2"/>
      <c r="J639" s="463"/>
      <c r="K639" s="2"/>
      <c r="N639" s="509" t="s">
        <v>2346</v>
      </c>
      <c r="O639" s="509" t="s">
        <v>3113</v>
      </c>
      <c r="Q639" s="509" t="s">
        <v>2346</v>
      </c>
      <c r="R639" s="519">
        <v>1.6</v>
      </c>
      <c r="AG639" s="509" t="s">
        <v>2514</v>
      </c>
    </row>
    <row r="640" spans="1:33" hidden="1">
      <c r="A640" s="521">
        <f t="shared" si="32"/>
        <v>468</v>
      </c>
      <c r="B640" s="544" t="s">
        <v>3229</v>
      </c>
      <c r="C640" s="492">
        <v>2.2000000000000002</v>
      </c>
      <c r="D640" s="490" t="s">
        <v>2205</v>
      </c>
      <c r="E640" s="2"/>
      <c r="H640" s="509" t="s">
        <v>3230</v>
      </c>
      <c r="I640" s="2"/>
      <c r="J640" s="463"/>
      <c r="K640" s="2"/>
      <c r="R640" s="509" t="s">
        <v>30</v>
      </c>
      <c r="AG640" s="509" t="s">
        <v>2514</v>
      </c>
    </row>
    <row r="641" spans="1:33" hidden="1">
      <c r="A641" s="521">
        <f t="shared" si="32"/>
        <v>469</v>
      </c>
      <c r="B641" s="509" t="s">
        <v>3231</v>
      </c>
      <c r="C641" s="492">
        <v>2.2000000000000002</v>
      </c>
      <c r="D641" s="490">
        <v>2.7</v>
      </c>
      <c r="E641" s="2">
        <v>2</v>
      </c>
      <c r="H641" s="509" t="s">
        <v>3232</v>
      </c>
      <c r="I641" s="2"/>
      <c r="J641" s="463"/>
      <c r="K641" s="2"/>
      <c r="R641" s="515" t="s">
        <v>442</v>
      </c>
      <c r="AG641" s="509" t="s">
        <v>2514</v>
      </c>
    </row>
    <row r="642" spans="1:33" hidden="1">
      <c r="A642" s="521">
        <f t="shared" si="32"/>
        <v>470</v>
      </c>
      <c r="B642" s="509" t="s">
        <v>3233</v>
      </c>
      <c r="C642" s="492">
        <v>3.2</v>
      </c>
      <c r="D642" s="492">
        <v>3.2</v>
      </c>
      <c r="E642" s="2"/>
      <c r="H642" s="515" t="s">
        <v>442</v>
      </c>
      <c r="I642" s="491" t="s">
        <v>442</v>
      </c>
      <c r="J642" s="463"/>
      <c r="K642" s="2"/>
      <c r="O642" s="509" t="s">
        <v>3117</v>
      </c>
      <c r="R642" s="519" t="e">
        <f>SUM(R630:R640)</f>
        <v>#REF!</v>
      </c>
      <c r="AG642" s="509" t="s">
        <v>2514</v>
      </c>
    </row>
    <row r="643" spans="1:33" hidden="1">
      <c r="A643" s="521">
        <f t="shared" si="32"/>
        <v>471</v>
      </c>
      <c r="B643" s="509" t="s">
        <v>3234</v>
      </c>
      <c r="C643" s="492">
        <v>4</v>
      </c>
      <c r="D643" s="490" t="s">
        <v>2346</v>
      </c>
      <c r="E643" s="2"/>
      <c r="F643" s="519">
        <v>1</v>
      </c>
      <c r="G643" s="518" t="s">
        <v>2788</v>
      </c>
      <c r="H643" s="509" t="s">
        <v>3235</v>
      </c>
      <c r="I643" s="492">
        <f>D76</f>
        <v>240</v>
      </c>
      <c r="J643" s="500" t="s">
        <v>2788</v>
      </c>
      <c r="K643" s="492">
        <f>(F643*I643)</f>
        <v>240</v>
      </c>
      <c r="R643" s="515" t="s">
        <v>442</v>
      </c>
      <c r="AG643" s="509" t="s">
        <v>2514</v>
      </c>
    </row>
    <row r="644" spans="1:33" hidden="1">
      <c r="A644" s="521">
        <f t="shared" si="32"/>
        <v>472</v>
      </c>
      <c r="B644" s="509" t="s">
        <v>3236</v>
      </c>
      <c r="C644" s="492">
        <v>5</v>
      </c>
      <c r="D644" s="490" t="s">
        <v>2346</v>
      </c>
      <c r="E644" s="2"/>
      <c r="F644" s="519">
        <v>1</v>
      </c>
      <c r="G644" s="518" t="s">
        <v>2788</v>
      </c>
      <c r="H644" s="509" t="s">
        <v>3237</v>
      </c>
      <c r="I644" s="492">
        <f>C75</f>
        <v>20</v>
      </c>
      <c r="J644" s="500" t="s">
        <v>2788</v>
      </c>
      <c r="K644" s="492">
        <f>(F644*I644)</f>
        <v>20</v>
      </c>
      <c r="O644" s="509" t="s">
        <v>3238</v>
      </c>
      <c r="AG644" s="509" t="s">
        <v>2514</v>
      </c>
    </row>
    <row r="645" spans="1:33" hidden="1">
      <c r="A645" s="521">
        <f t="shared" si="32"/>
        <v>473</v>
      </c>
      <c r="B645" s="509" t="s">
        <v>3239</v>
      </c>
      <c r="C645" s="492">
        <v>96</v>
      </c>
      <c r="D645" s="490" t="s">
        <v>2342</v>
      </c>
      <c r="E645" s="2"/>
      <c r="F645" s="519">
        <v>1</v>
      </c>
      <c r="G645" s="518" t="s">
        <v>2346</v>
      </c>
      <c r="H645" s="509" t="s">
        <v>3240</v>
      </c>
      <c r="I645" s="492">
        <v>15</v>
      </c>
      <c r="J645" s="500" t="s">
        <v>2346</v>
      </c>
      <c r="K645" s="492">
        <f>(F645*I645)</f>
        <v>15</v>
      </c>
      <c r="N645" s="509" t="s">
        <v>575</v>
      </c>
      <c r="O645" s="509" t="s">
        <v>3241</v>
      </c>
      <c r="AG645" s="509" t="s">
        <v>2514</v>
      </c>
    </row>
    <row r="646" spans="1:33" hidden="1">
      <c r="A646" s="521">
        <f t="shared" si="32"/>
        <v>474</v>
      </c>
      <c r="B646" s="509" t="s">
        <v>3242</v>
      </c>
      <c r="C646" s="492">
        <v>75</v>
      </c>
      <c r="D646" s="490" t="s">
        <v>2342</v>
      </c>
      <c r="E646" s="2"/>
      <c r="I646" s="2"/>
      <c r="J646" s="463"/>
      <c r="K646" s="491" t="s">
        <v>442</v>
      </c>
      <c r="O646" s="509" t="s">
        <v>3243</v>
      </c>
      <c r="AG646" s="509" t="s">
        <v>2514</v>
      </c>
    </row>
    <row r="647" spans="1:33" hidden="1">
      <c r="A647" s="521">
        <f t="shared" si="32"/>
        <v>475</v>
      </c>
      <c r="B647" s="509" t="s">
        <v>3244</v>
      </c>
      <c r="C647" s="492">
        <v>6.4</v>
      </c>
      <c r="D647" s="492">
        <v>12.65</v>
      </c>
      <c r="E647" s="2">
        <v>3</v>
      </c>
      <c r="H647" s="509" t="s">
        <v>2355</v>
      </c>
      <c r="I647" s="2"/>
      <c r="J647" s="463"/>
      <c r="K647" s="492">
        <f>SUM(K641:K645)</f>
        <v>275</v>
      </c>
      <c r="O647" s="515" t="s">
        <v>442</v>
      </c>
      <c r="AG647" s="509" t="s">
        <v>2514</v>
      </c>
    </row>
    <row r="648" spans="1:33" hidden="1">
      <c r="A648" s="521">
        <f t="shared" si="32"/>
        <v>476</v>
      </c>
      <c r="B648" s="509" t="s">
        <v>3245</v>
      </c>
      <c r="C648" s="492">
        <v>80</v>
      </c>
      <c r="D648" s="490" t="s">
        <v>2342</v>
      </c>
      <c r="E648" s="2"/>
      <c r="H648" s="509" t="s">
        <v>3246</v>
      </c>
      <c r="I648" s="2"/>
      <c r="J648" s="463"/>
      <c r="K648" s="491" t="s">
        <v>29</v>
      </c>
      <c r="M648" s="519">
        <v>1</v>
      </c>
      <c r="N648" s="509" t="s">
        <v>2342</v>
      </c>
      <c r="O648" s="509" t="s">
        <v>3247</v>
      </c>
      <c r="P648" s="519">
        <f>(C382)</f>
        <v>14.91</v>
      </c>
      <c r="Q648" s="509" t="s">
        <v>2342</v>
      </c>
      <c r="R648" s="519">
        <f>(M648*P648)</f>
        <v>14.91</v>
      </c>
      <c r="AG648" s="509" t="s">
        <v>2514</v>
      </c>
    </row>
    <row r="649" spans="1:33" hidden="1">
      <c r="A649" s="521">
        <f t="shared" si="32"/>
        <v>477</v>
      </c>
      <c r="B649" s="509" t="s">
        <v>3248</v>
      </c>
      <c r="C649" s="492">
        <v>64</v>
      </c>
      <c r="D649" s="490" t="s">
        <v>2342</v>
      </c>
      <c r="E649" s="2"/>
      <c r="H649" s="509" t="s">
        <v>2354</v>
      </c>
      <c r="I649" s="2"/>
      <c r="J649" s="463"/>
      <c r="K649" s="492">
        <f>(K647+C19*0.05)</f>
        <v>275.88</v>
      </c>
      <c r="N649" s="509" t="s">
        <v>2346</v>
      </c>
      <c r="O649" s="509" t="s">
        <v>3249</v>
      </c>
      <c r="Q649" s="509" t="s">
        <v>2346</v>
      </c>
      <c r="R649" s="519">
        <v>2.09</v>
      </c>
      <c r="AG649" s="509" t="s">
        <v>2514</v>
      </c>
    </row>
    <row r="650" spans="1:33" hidden="1">
      <c r="A650" s="521">
        <f t="shared" si="32"/>
        <v>478</v>
      </c>
      <c r="B650" s="509" t="s">
        <v>3250</v>
      </c>
      <c r="C650" s="492">
        <v>40.5</v>
      </c>
      <c r="D650" s="490" t="s">
        <v>2342</v>
      </c>
      <c r="E650" s="2"/>
      <c r="H650" s="509" t="s">
        <v>2362</v>
      </c>
      <c r="I650" s="2"/>
      <c r="J650" s="463"/>
      <c r="K650" s="492">
        <f>(K649+C20*0.05)</f>
        <v>277.64</v>
      </c>
      <c r="O650" s="509" t="s">
        <v>3251</v>
      </c>
      <c r="R650" s="509" t="s">
        <v>30</v>
      </c>
      <c r="AG650" s="509" t="s">
        <v>2514</v>
      </c>
    </row>
    <row r="651" spans="1:33" hidden="1">
      <c r="A651" s="521">
        <f t="shared" si="32"/>
        <v>479</v>
      </c>
      <c r="B651" s="509" t="s">
        <v>3252</v>
      </c>
      <c r="C651" s="492">
        <v>92</v>
      </c>
      <c r="D651" s="490" t="s">
        <v>2342</v>
      </c>
      <c r="E651" s="2"/>
      <c r="H651" s="509" t="s">
        <v>2480</v>
      </c>
      <c r="I651" s="2"/>
      <c r="J651" s="463"/>
      <c r="K651" s="492">
        <f>(K650+C21*0.05)</f>
        <v>279.39999999999998</v>
      </c>
      <c r="R651" s="515" t="s">
        <v>442</v>
      </c>
      <c r="AG651" s="509" t="s">
        <v>2514</v>
      </c>
    </row>
    <row r="652" spans="1:33" hidden="1">
      <c r="A652" s="521">
        <f t="shared" si="32"/>
        <v>480</v>
      </c>
      <c r="B652" s="509" t="s">
        <v>3253</v>
      </c>
      <c r="C652" s="492">
        <v>60</v>
      </c>
      <c r="D652" s="490" t="s">
        <v>2342</v>
      </c>
      <c r="E652" s="2"/>
      <c r="H652" s="509" t="s">
        <v>2481</v>
      </c>
      <c r="I652" s="2"/>
      <c r="J652" s="463"/>
      <c r="K652" s="492">
        <f>(K651+C21*0.05)</f>
        <v>281.15999999999997</v>
      </c>
      <c r="O652" s="509" t="s">
        <v>3254</v>
      </c>
      <c r="R652" s="519">
        <f>SUM(R648:R650)</f>
        <v>17</v>
      </c>
      <c r="AG652" s="509" t="s">
        <v>2514</v>
      </c>
    </row>
    <row r="653" spans="1:33" hidden="1">
      <c r="A653" s="521">
        <f t="shared" si="32"/>
        <v>481</v>
      </c>
      <c r="B653" s="509" t="s">
        <v>3255</v>
      </c>
      <c r="C653" s="492">
        <v>49.87</v>
      </c>
      <c r="D653" s="490" t="s">
        <v>2342</v>
      </c>
      <c r="E653" s="2"/>
      <c r="H653" s="509" t="s">
        <v>3097</v>
      </c>
      <c r="I653" s="2"/>
      <c r="J653" s="463"/>
      <c r="K653" s="492">
        <f>(K652+C21*0.05)</f>
        <v>282.91999999999996</v>
      </c>
      <c r="R653" s="515" t="s">
        <v>442</v>
      </c>
      <c r="AG653" s="509" t="s">
        <v>2514</v>
      </c>
    </row>
    <row r="654" spans="1:33" hidden="1">
      <c r="A654" s="521">
        <f t="shared" si="32"/>
        <v>482</v>
      </c>
      <c r="B654" s="509" t="s">
        <v>3256</v>
      </c>
      <c r="C654" s="492">
        <v>80</v>
      </c>
      <c r="D654" s="490" t="s">
        <v>2342</v>
      </c>
      <c r="E654" s="2"/>
      <c r="F654" s="510" t="s">
        <v>3257</v>
      </c>
      <c r="H654" s="509" t="s">
        <v>3214</v>
      </c>
      <c r="I654" s="2"/>
      <c r="J654" s="463"/>
      <c r="K654" s="2"/>
      <c r="AG654" s="509" t="s">
        <v>2514</v>
      </c>
    </row>
    <row r="655" spans="1:33" hidden="1">
      <c r="A655" s="521">
        <f t="shared" si="32"/>
        <v>483</v>
      </c>
      <c r="B655" s="509" t="s">
        <v>3258</v>
      </c>
      <c r="C655" s="492">
        <v>52</v>
      </c>
      <c r="D655" s="490" t="s">
        <v>2342</v>
      </c>
      <c r="E655" s="2"/>
      <c r="H655" s="509" t="s">
        <v>3259</v>
      </c>
      <c r="I655" s="2"/>
      <c r="J655" s="463"/>
      <c r="K655" s="2"/>
      <c r="N655" s="509" t="s">
        <v>575</v>
      </c>
      <c r="O655" s="509" t="s">
        <v>3260</v>
      </c>
      <c r="AG655" s="509" t="s">
        <v>2514</v>
      </c>
    </row>
    <row r="656" spans="1:33" hidden="1">
      <c r="A656" s="521">
        <f t="shared" si="32"/>
        <v>484</v>
      </c>
      <c r="B656" s="509" t="s">
        <v>3261</v>
      </c>
      <c r="C656" s="492">
        <v>39</v>
      </c>
      <c r="D656" s="490" t="s">
        <v>2342</v>
      </c>
      <c r="E656" s="2"/>
      <c r="H656" s="509" t="s">
        <v>3221</v>
      </c>
      <c r="I656" s="2"/>
      <c r="J656" s="463"/>
      <c r="K656" s="2"/>
      <c r="O656" s="509" t="s">
        <v>3243</v>
      </c>
      <c r="AG656" s="509" t="s">
        <v>2514</v>
      </c>
    </row>
    <row r="657" spans="1:33" hidden="1">
      <c r="A657" s="521">
        <f t="shared" si="32"/>
        <v>485</v>
      </c>
      <c r="B657" s="509" t="s">
        <v>3262</v>
      </c>
      <c r="C657" s="492">
        <v>90</v>
      </c>
      <c r="D657" s="490" t="s">
        <v>2342</v>
      </c>
      <c r="E657" s="2"/>
      <c r="H657" s="509" t="s">
        <v>3225</v>
      </c>
      <c r="I657" s="2"/>
      <c r="J657" s="463"/>
      <c r="K657" s="2"/>
      <c r="O657" s="515" t="s">
        <v>442</v>
      </c>
      <c r="AG657" s="509" t="s">
        <v>2514</v>
      </c>
    </row>
    <row r="658" spans="1:33" hidden="1">
      <c r="A658" s="521">
        <f t="shared" si="32"/>
        <v>486</v>
      </c>
      <c r="B658" s="509" t="s">
        <v>3263</v>
      </c>
      <c r="C658" s="492">
        <v>60</v>
      </c>
      <c r="D658" s="490" t="s">
        <v>2342</v>
      </c>
      <c r="E658" s="2"/>
      <c r="H658" s="509" t="s">
        <v>3228</v>
      </c>
      <c r="I658" s="2"/>
      <c r="J658" s="463"/>
      <c r="K658" s="2"/>
      <c r="M658" s="519">
        <v>1</v>
      </c>
      <c r="N658" s="509" t="s">
        <v>2342</v>
      </c>
      <c r="O658" s="509" t="s">
        <v>3264</v>
      </c>
      <c r="P658" s="519">
        <f>(C383)</f>
        <v>17.579999999999998</v>
      </c>
      <c r="Q658" s="509" t="s">
        <v>2342</v>
      </c>
      <c r="R658" s="519">
        <f>(M658*P658)</f>
        <v>17.579999999999998</v>
      </c>
      <c r="AG658" s="509" t="s">
        <v>2514</v>
      </c>
    </row>
    <row r="659" spans="1:33" hidden="1">
      <c r="A659" s="521">
        <f t="shared" si="32"/>
        <v>487</v>
      </c>
      <c r="B659" s="509" t="s">
        <v>3265</v>
      </c>
      <c r="C659" s="492">
        <v>43.5</v>
      </c>
      <c r="D659" s="490" t="s">
        <v>2342</v>
      </c>
      <c r="E659" s="2"/>
      <c r="H659" s="509" t="s">
        <v>3230</v>
      </c>
      <c r="I659" s="2"/>
      <c r="J659" s="463"/>
      <c r="K659" s="2"/>
      <c r="N659" s="509" t="s">
        <v>2346</v>
      </c>
      <c r="O659" s="509" t="s">
        <v>3249</v>
      </c>
      <c r="Q659" s="509" t="s">
        <v>2346</v>
      </c>
      <c r="R659" s="519">
        <v>2.09</v>
      </c>
      <c r="AG659" s="509" t="s">
        <v>2514</v>
      </c>
    </row>
    <row r="660" spans="1:33" hidden="1">
      <c r="A660" s="521">
        <f t="shared" si="32"/>
        <v>488</v>
      </c>
      <c r="B660" s="509" t="s">
        <v>3266</v>
      </c>
      <c r="C660" s="492">
        <v>75</v>
      </c>
      <c r="D660" s="490" t="s">
        <v>2342</v>
      </c>
      <c r="E660" s="2"/>
      <c r="H660" s="509" t="s">
        <v>3267</v>
      </c>
      <c r="I660" s="2"/>
      <c r="J660" s="463"/>
      <c r="K660" s="2"/>
      <c r="O660" s="509" t="s">
        <v>3251</v>
      </c>
      <c r="R660" s="509" t="s">
        <v>30</v>
      </c>
      <c r="AG660" s="509" t="s">
        <v>2514</v>
      </c>
    </row>
    <row r="661" spans="1:33" hidden="1">
      <c r="A661" s="521">
        <f t="shared" si="32"/>
        <v>489</v>
      </c>
      <c r="B661" s="509" t="s">
        <v>3268</v>
      </c>
      <c r="C661" s="492">
        <v>52</v>
      </c>
      <c r="D661" s="490" t="s">
        <v>2342</v>
      </c>
      <c r="E661" s="2"/>
      <c r="H661" s="515" t="s">
        <v>442</v>
      </c>
      <c r="I661" s="491" t="s">
        <v>442</v>
      </c>
      <c r="J661" s="463"/>
      <c r="K661" s="2"/>
      <c r="R661" s="515" t="s">
        <v>442</v>
      </c>
      <c r="AG661" s="509" t="s">
        <v>2514</v>
      </c>
    </row>
    <row r="662" spans="1:33" hidden="1">
      <c r="A662" s="521">
        <f t="shared" si="32"/>
        <v>490</v>
      </c>
      <c r="B662" s="509" t="s">
        <v>3261</v>
      </c>
      <c r="C662" s="492">
        <v>35.25</v>
      </c>
      <c r="D662" s="490" t="s">
        <v>2342</v>
      </c>
      <c r="E662" s="2"/>
      <c r="F662" s="519">
        <v>1</v>
      </c>
      <c r="G662" s="518" t="s">
        <v>2788</v>
      </c>
      <c r="H662" s="509" t="s">
        <v>3269</v>
      </c>
      <c r="I662" s="492">
        <f>C76</f>
        <v>514.62</v>
      </c>
      <c r="J662" s="500" t="s">
        <v>2788</v>
      </c>
      <c r="K662" s="492">
        <f>(F662*I662)</f>
        <v>514.62</v>
      </c>
      <c r="O662" s="509" t="s">
        <v>3254</v>
      </c>
      <c r="R662" s="519">
        <f>SUM(R658:R660)</f>
        <v>19.669999999999998</v>
      </c>
      <c r="AG662" s="509" t="s">
        <v>2514</v>
      </c>
    </row>
    <row r="663" spans="1:33" hidden="1">
      <c r="A663" s="521">
        <f t="shared" si="32"/>
        <v>491</v>
      </c>
      <c r="B663" s="509" t="s">
        <v>3270</v>
      </c>
      <c r="C663" s="492">
        <v>37.5</v>
      </c>
      <c r="D663" s="490" t="s">
        <v>2342</v>
      </c>
      <c r="E663" s="2"/>
      <c r="F663" s="519">
        <v>1</v>
      </c>
      <c r="G663" s="518" t="s">
        <v>2788</v>
      </c>
      <c r="H663" s="509" t="s">
        <v>3237</v>
      </c>
      <c r="I663" s="492">
        <f>C75</f>
        <v>20</v>
      </c>
      <c r="J663" s="500" t="s">
        <v>2788</v>
      </c>
      <c r="K663" s="492">
        <f>(F663*I663)</f>
        <v>20</v>
      </c>
      <c r="R663" s="515" t="s">
        <v>442</v>
      </c>
      <c r="AG663" s="509" t="s">
        <v>2514</v>
      </c>
    </row>
    <row r="664" spans="1:33" hidden="1">
      <c r="A664" s="521">
        <f t="shared" si="32"/>
        <v>492</v>
      </c>
      <c r="B664" s="509" t="s">
        <v>3271</v>
      </c>
      <c r="C664" s="492">
        <v>24</v>
      </c>
      <c r="D664" s="490" t="s">
        <v>2342</v>
      </c>
      <c r="E664" s="2"/>
      <c r="F664" s="519">
        <v>1</v>
      </c>
      <c r="G664" s="518" t="s">
        <v>2346</v>
      </c>
      <c r="H664" s="509" t="s">
        <v>3240</v>
      </c>
      <c r="I664" s="492">
        <v>15</v>
      </c>
      <c r="J664" s="500" t="s">
        <v>2346</v>
      </c>
      <c r="K664" s="492">
        <f>(F664*I664)</f>
        <v>15</v>
      </c>
      <c r="AG664" s="509" t="s">
        <v>2514</v>
      </c>
    </row>
    <row r="665" spans="1:33" hidden="1">
      <c r="A665" s="521">
        <f t="shared" si="32"/>
        <v>493</v>
      </c>
      <c r="B665" s="509" t="s">
        <v>3272</v>
      </c>
      <c r="C665" s="492">
        <v>16</v>
      </c>
      <c r="D665" s="490" t="s">
        <v>2342</v>
      </c>
      <c r="E665" s="2"/>
      <c r="H665" s="509" t="s">
        <v>2347</v>
      </c>
      <c r="I665" s="2"/>
      <c r="J665" s="500" t="s">
        <v>2346</v>
      </c>
      <c r="K665" s="492">
        <v>0</v>
      </c>
      <c r="N665" s="509" t="s">
        <v>575</v>
      </c>
      <c r="O665" s="509" t="s">
        <v>3273</v>
      </c>
      <c r="AG665" s="509" t="s">
        <v>2514</v>
      </c>
    </row>
    <row r="666" spans="1:33" hidden="1">
      <c r="A666" s="521">
        <f t="shared" si="32"/>
        <v>494</v>
      </c>
      <c r="B666" s="509" t="s">
        <v>3274</v>
      </c>
      <c r="C666" s="492">
        <v>18</v>
      </c>
      <c r="D666" s="490" t="s">
        <v>2342</v>
      </c>
      <c r="E666" s="2"/>
      <c r="I666" s="2"/>
      <c r="J666" s="463"/>
      <c r="K666" s="491" t="s">
        <v>442</v>
      </c>
      <c r="O666" s="509" t="s">
        <v>3243</v>
      </c>
      <c r="AG666" s="509" t="s">
        <v>2514</v>
      </c>
    </row>
    <row r="667" spans="1:33" hidden="1">
      <c r="A667" s="521">
        <f t="shared" si="32"/>
        <v>495</v>
      </c>
      <c r="B667" s="509" t="s">
        <v>3275</v>
      </c>
      <c r="C667" s="492">
        <v>6</v>
      </c>
      <c r="D667" s="490" t="s">
        <v>2342</v>
      </c>
      <c r="E667" s="2"/>
      <c r="H667" s="509" t="s">
        <v>2355</v>
      </c>
      <c r="I667" s="2"/>
      <c r="J667" s="463"/>
      <c r="K667" s="492">
        <f>SUM(K662:K665)</f>
        <v>549.62</v>
      </c>
      <c r="O667" s="515" t="s">
        <v>442</v>
      </c>
      <c r="AG667" s="509" t="s">
        <v>2514</v>
      </c>
    </row>
    <row r="668" spans="1:33" hidden="1">
      <c r="A668" s="521">
        <f t="shared" si="32"/>
        <v>496</v>
      </c>
      <c r="B668" s="509" t="s">
        <v>3276</v>
      </c>
      <c r="C668" s="492">
        <v>152.5</v>
      </c>
      <c r="D668" s="490" t="s">
        <v>2205</v>
      </c>
      <c r="E668" s="2"/>
      <c r="H668" s="509" t="s">
        <v>3246</v>
      </c>
      <c r="I668" s="2"/>
      <c r="J668" s="463"/>
      <c r="K668" s="491" t="s">
        <v>29</v>
      </c>
      <c r="M668" s="519">
        <v>1</v>
      </c>
      <c r="N668" s="509" t="s">
        <v>2342</v>
      </c>
      <c r="O668" s="509" t="s">
        <v>3277</v>
      </c>
      <c r="P668" s="519">
        <f>(C384)</f>
        <v>19.3</v>
      </c>
      <c r="Q668" s="509" t="s">
        <v>2342</v>
      </c>
      <c r="R668" s="519">
        <f>(M668*P668)</f>
        <v>19.3</v>
      </c>
      <c r="AG668" s="509" t="s">
        <v>2514</v>
      </c>
    </row>
    <row r="669" spans="1:33" hidden="1">
      <c r="A669" s="521">
        <f t="shared" si="32"/>
        <v>497</v>
      </c>
      <c r="B669" s="509" t="s">
        <v>3278</v>
      </c>
      <c r="C669" s="492">
        <v>108.68</v>
      </c>
      <c r="D669" s="490" t="s">
        <v>2342</v>
      </c>
      <c r="E669" s="2"/>
      <c r="H669" s="509" t="s">
        <v>2354</v>
      </c>
      <c r="I669" s="2"/>
      <c r="J669" s="500" t="s">
        <v>30</v>
      </c>
      <c r="K669" s="492">
        <f>(K667+C19*0.11)</f>
        <v>551.55600000000004</v>
      </c>
      <c r="N669" s="509" t="s">
        <v>2346</v>
      </c>
      <c r="O669" s="509" t="s">
        <v>3249</v>
      </c>
      <c r="Q669" s="509" t="s">
        <v>2346</v>
      </c>
      <c r="R669" s="519">
        <v>2.09</v>
      </c>
      <c r="AG669" s="509" t="s">
        <v>2514</v>
      </c>
    </row>
    <row r="670" spans="1:33" hidden="1">
      <c r="A670" s="521">
        <f t="shared" si="32"/>
        <v>498</v>
      </c>
      <c r="B670" s="509" t="s">
        <v>3279</v>
      </c>
      <c r="C670" s="492">
        <v>119.89</v>
      </c>
      <c r="D670" s="490" t="s">
        <v>2342</v>
      </c>
      <c r="E670" s="2"/>
      <c r="H670" s="509" t="s">
        <v>2362</v>
      </c>
      <c r="I670" s="2"/>
      <c r="J670" s="463"/>
      <c r="K670" s="492">
        <f>(K669+C20*0.11)</f>
        <v>555.428</v>
      </c>
      <c r="O670" s="509" t="s">
        <v>3251</v>
      </c>
      <c r="R670" s="509" t="s">
        <v>30</v>
      </c>
      <c r="AG670" s="509" t="s">
        <v>2514</v>
      </c>
    </row>
    <row r="671" spans="1:33" hidden="1">
      <c r="A671" s="521">
        <f t="shared" si="32"/>
        <v>499</v>
      </c>
      <c r="B671" s="509" t="s">
        <v>3280</v>
      </c>
      <c r="C671" s="492">
        <v>297.44</v>
      </c>
      <c r="D671" s="490" t="s">
        <v>2342</v>
      </c>
      <c r="E671" s="2"/>
      <c r="H671" s="509" t="s">
        <v>2480</v>
      </c>
      <c r="I671" s="2"/>
      <c r="J671" s="463"/>
      <c r="K671" s="492">
        <f>(K670+C21*0.11)</f>
        <v>559.29999999999995</v>
      </c>
      <c r="R671" s="515" t="s">
        <v>442</v>
      </c>
      <c r="AG671" s="509" t="s">
        <v>2690</v>
      </c>
    </row>
    <row r="672" spans="1:33" hidden="1">
      <c r="A672" s="521">
        <f t="shared" si="32"/>
        <v>500</v>
      </c>
      <c r="B672" s="509" t="s">
        <v>3281</v>
      </c>
      <c r="C672" s="492">
        <v>28.6</v>
      </c>
      <c r="D672" s="490" t="s">
        <v>2342</v>
      </c>
      <c r="E672" s="2"/>
      <c r="H672" s="509" t="s">
        <v>2481</v>
      </c>
      <c r="I672" s="2"/>
      <c r="J672" s="463"/>
      <c r="K672" s="492">
        <f>(K671+C21*0.11)</f>
        <v>563.17199999999991</v>
      </c>
      <c r="O672" s="509" t="s">
        <v>3254</v>
      </c>
      <c r="R672" s="519">
        <f>SUM(R668:R670)</f>
        <v>21.39</v>
      </c>
    </row>
    <row r="673" spans="1:33" hidden="1">
      <c r="A673" s="521">
        <f t="shared" si="32"/>
        <v>501</v>
      </c>
      <c r="B673" s="509" t="s">
        <v>3282</v>
      </c>
      <c r="C673" s="492">
        <v>228.86</v>
      </c>
      <c r="D673" s="490" t="s">
        <v>2342</v>
      </c>
      <c r="E673" s="2"/>
      <c r="H673" s="509" t="s">
        <v>3097</v>
      </c>
      <c r="I673" s="2"/>
      <c r="J673" s="463"/>
      <c r="K673" s="492">
        <f>(K672+C21*0.11)</f>
        <v>567.04399999999987</v>
      </c>
      <c r="R673" s="515" t="s">
        <v>442</v>
      </c>
    </row>
    <row r="674" spans="1:33" hidden="1">
      <c r="C674" s="2"/>
      <c r="D674" s="2"/>
      <c r="E674" s="2"/>
      <c r="F674" s="509" t="s">
        <v>30</v>
      </c>
      <c r="I674" s="2"/>
      <c r="J674" s="463"/>
      <c r="K674" s="2"/>
    </row>
    <row r="675" spans="1:33" hidden="1">
      <c r="A675" s="521">
        <f>(A673+1)</f>
        <v>502</v>
      </c>
      <c r="B675" s="509" t="s">
        <v>3283</v>
      </c>
      <c r="C675" s="492">
        <v>70.47</v>
      </c>
      <c r="D675" s="490" t="s">
        <v>2342</v>
      </c>
      <c r="E675" s="2"/>
      <c r="I675" s="2"/>
      <c r="J675" s="463"/>
      <c r="K675" s="2"/>
      <c r="AG675" s="509" t="s">
        <v>2514</v>
      </c>
    </row>
    <row r="676" spans="1:33" hidden="1">
      <c r="A676" s="521">
        <f t="shared" ref="A676:A733" si="34">(A675+1)</f>
        <v>503</v>
      </c>
      <c r="B676" s="509" t="s">
        <v>3284</v>
      </c>
      <c r="C676" s="492">
        <v>133.62</v>
      </c>
      <c r="D676" s="490" t="s">
        <v>2342</v>
      </c>
      <c r="E676" s="2"/>
      <c r="F676" s="510" t="s">
        <v>2609</v>
      </c>
      <c r="H676" s="509" t="s">
        <v>3285</v>
      </c>
      <c r="I676" s="2"/>
      <c r="J676" s="463"/>
      <c r="K676" s="2"/>
      <c r="N676" s="509" t="s">
        <v>575</v>
      </c>
      <c r="O676" s="509" t="s">
        <v>3286</v>
      </c>
      <c r="AG676" s="509" t="s">
        <v>2514</v>
      </c>
    </row>
    <row r="677" spans="1:33" hidden="1">
      <c r="A677" s="521">
        <f t="shared" si="34"/>
        <v>504</v>
      </c>
      <c r="B677" s="509" t="s">
        <v>3287</v>
      </c>
      <c r="C677" s="492">
        <v>133.62</v>
      </c>
      <c r="D677" s="490" t="s">
        <v>2342</v>
      </c>
      <c r="E677" s="2"/>
      <c r="H677" s="509" t="s">
        <v>3288</v>
      </c>
      <c r="I677" s="2"/>
      <c r="J677" s="463"/>
      <c r="K677" s="2"/>
      <c r="O677" s="509" t="s">
        <v>3289</v>
      </c>
      <c r="AG677" s="509" t="s">
        <v>2514</v>
      </c>
    </row>
    <row r="678" spans="1:33" hidden="1">
      <c r="A678" s="521">
        <f t="shared" si="34"/>
        <v>505</v>
      </c>
      <c r="B678" s="509" t="s">
        <v>3290</v>
      </c>
      <c r="C678" s="492">
        <v>215</v>
      </c>
      <c r="D678" s="490" t="s">
        <v>2342</v>
      </c>
      <c r="E678" s="2"/>
      <c r="H678" s="509" t="s">
        <v>3291</v>
      </c>
      <c r="I678" s="2"/>
      <c r="J678" s="463"/>
      <c r="K678" s="2"/>
      <c r="O678" s="515" t="s">
        <v>442</v>
      </c>
      <c r="AG678" s="509" t="s">
        <v>2514</v>
      </c>
    </row>
    <row r="679" spans="1:33" hidden="1">
      <c r="A679" s="521">
        <f t="shared" si="34"/>
        <v>506</v>
      </c>
      <c r="B679" s="509" t="s">
        <v>3292</v>
      </c>
      <c r="C679" s="492">
        <v>215</v>
      </c>
      <c r="D679" s="490" t="s">
        <v>2342</v>
      </c>
      <c r="E679" s="2"/>
      <c r="H679" s="515" t="s">
        <v>442</v>
      </c>
      <c r="I679" s="2"/>
      <c r="J679" s="463"/>
      <c r="K679" s="2"/>
      <c r="M679" s="519">
        <v>1</v>
      </c>
      <c r="N679" s="509" t="s">
        <v>2342</v>
      </c>
      <c r="O679" s="509" t="s">
        <v>3293</v>
      </c>
      <c r="P679" s="519">
        <f>(C392/1*0.3)</f>
        <v>14.613</v>
      </c>
      <c r="Q679" s="509" t="s">
        <v>2342</v>
      </c>
      <c r="R679" s="519">
        <f>(M679*P679)</f>
        <v>14.613</v>
      </c>
      <c r="AG679" s="509" t="s">
        <v>2514</v>
      </c>
    </row>
    <row r="680" spans="1:33" hidden="1">
      <c r="A680" s="521">
        <f t="shared" si="34"/>
        <v>507</v>
      </c>
      <c r="B680" s="509" t="s">
        <v>3294</v>
      </c>
      <c r="C680" s="492">
        <v>107.64</v>
      </c>
      <c r="D680" s="490" t="s">
        <v>2788</v>
      </c>
      <c r="E680" s="2"/>
      <c r="F680" s="519">
        <v>0.4</v>
      </c>
      <c r="G680" s="518" t="s">
        <v>2334</v>
      </c>
      <c r="H680" s="509" t="s">
        <v>3295</v>
      </c>
      <c r="I680" s="492">
        <f>(C267)</f>
        <v>10705</v>
      </c>
      <c r="J680" s="500" t="s">
        <v>2334</v>
      </c>
      <c r="K680" s="492">
        <f>(F680*I680)</f>
        <v>4282</v>
      </c>
      <c r="N680" s="509" t="s">
        <v>2346</v>
      </c>
      <c r="O680" s="509" t="s">
        <v>3249</v>
      </c>
      <c r="Q680" s="509" t="s">
        <v>2346</v>
      </c>
      <c r="R680" s="519">
        <v>1.65</v>
      </c>
      <c r="AG680" s="509" t="s">
        <v>2514</v>
      </c>
    </row>
    <row r="681" spans="1:33" hidden="1">
      <c r="A681" s="521">
        <f t="shared" si="34"/>
        <v>508</v>
      </c>
      <c r="B681" s="509" t="s">
        <v>3296</v>
      </c>
      <c r="C681" s="2"/>
      <c r="D681" s="2"/>
      <c r="E681" s="2"/>
      <c r="F681" s="519">
        <v>0.12</v>
      </c>
      <c r="G681" s="518" t="s">
        <v>2334</v>
      </c>
      <c r="H681" s="509" t="s">
        <v>3297</v>
      </c>
      <c r="I681" s="492">
        <f>(C268)</f>
        <v>9395</v>
      </c>
      <c r="J681" s="500" t="s">
        <v>2334</v>
      </c>
      <c r="K681" s="492">
        <f>(F681*I681)</f>
        <v>1127.3999999999999</v>
      </c>
      <c r="O681" s="509" t="s">
        <v>3251</v>
      </c>
      <c r="R681" s="509" t="s">
        <v>30</v>
      </c>
      <c r="AG681" s="509" t="s">
        <v>2514</v>
      </c>
    </row>
    <row r="682" spans="1:33" hidden="1">
      <c r="A682" s="521">
        <f t="shared" si="34"/>
        <v>509</v>
      </c>
      <c r="B682" s="509" t="s">
        <v>3298</v>
      </c>
      <c r="C682" s="492">
        <v>11.55</v>
      </c>
      <c r="D682" s="490" t="s">
        <v>2342</v>
      </c>
      <c r="E682" s="2"/>
      <c r="H682" s="509" t="s">
        <v>3299</v>
      </c>
      <c r="I682" s="490" t="s">
        <v>30</v>
      </c>
      <c r="J682" s="463"/>
      <c r="K682" s="490" t="s">
        <v>30</v>
      </c>
      <c r="R682" s="515" t="s">
        <v>442</v>
      </c>
      <c r="AG682" s="509" t="s">
        <v>2514</v>
      </c>
    </row>
    <row r="683" spans="1:33" hidden="1">
      <c r="A683" s="521">
        <f t="shared" si="34"/>
        <v>510</v>
      </c>
      <c r="B683" s="509" t="s">
        <v>2947</v>
      </c>
      <c r="C683" s="492">
        <v>16.399999999999999</v>
      </c>
      <c r="D683" s="490" t="s">
        <v>2342</v>
      </c>
      <c r="E683" s="2"/>
      <c r="F683" s="519">
        <v>98.5</v>
      </c>
      <c r="G683" s="518" t="s">
        <v>2205</v>
      </c>
      <c r="H683" s="509" t="s">
        <v>3300</v>
      </c>
      <c r="I683" s="492">
        <f>(C269)</f>
        <v>15</v>
      </c>
      <c r="J683" s="500" t="s">
        <v>2205</v>
      </c>
      <c r="K683" s="492">
        <f>(F683*I683)</f>
        <v>1477.5</v>
      </c>
      <c r="O683" s="509" t="s">
        <v>3254</v>
      </c>
      <c r="R683" s="519">
        <f>SUM(R679:R681)</f>
        <v>16.262999999999998</v>
      </c>
      <c r="AG683" s="509" t="s">
        <v>2514</v>
      </c>
    </row>
    <row r="684" spans="1:33" hidden="1">
      <c r="A684" s="521">
        <f t="shared" si="34"/>
        <v>511</v>
      </c>
      <c r="B684" s="509" t="s">
        <v>2949</v>
      </c>
      <c r="C684" s="492">
        <v>27.85</v>
      </c>
      <c r="D684" s="490" t="s">
        <v>2342</v>
      </c>
      <c r="E684" s="2"/>
      <c r="H684" s="509" t="s">
        <v>3301</v>
      </c>
      <c r="I684" s="490" t="s">
        <v>30</v>
      </c>
      <c r="J684" s="463"/>
      <c r="K684" s="490" t="s">
        <v>2485</v>
      </c>
      <c r="R684" s="515" t="s">
        <v>442</v>
      </c>
      <c r="AG684" s="509" t="s">
        <v>2514</v>
      </c>
    </row>
    <row r="685" spans="1:33" hidden="1">
      <c r="A685" s="521">
        <f t="shared" si="34"/>
        <v>512</v>
      </c>
      <c r="B685" s="509" t="s">
        <v>2950</v>
      </c>
      <c r="C685" s="492">
        <v>49.9</v>
      </c>
      <c r="D685" s="490" t="s">
        <v>2342</v>
      </c>
      <c r="E685" s="2"/>
      <c r="I685" s="2"/>
      <c r="J685" s="463"/>
      <c r="K685" s="491" t="s">
        <v>442</v>
      </c>
      <c r="O685" s="510" t="s">
        <v>3302</v>
      </c>
      <c r="R685" s="509" t="s">
        <v>30</v>
      </c>
      <c r="AG685" s="509" t="s">
        <v>2514</v>
      </c>
    </row>
    <row r="686" spans="1:33" hidden="1">
      <c r="A686" s="521">
        <f t="shared" si="34"/>
        <v>513</v>
      </c>
      <c r="B686" s="509" t="s">
        <v>2952</v>
      </c>
      <c r="C686" s="492">
        <v>69.25</v>
      </c>
      <c r="D686" s="490" t="s">
        <v>2342</v>
      </c>
      <c r="E686" s="2"/>
      <c r="H686" s="509" t="s">
        <v>3303</v>
      </c>
      <c r="I686" s="2"/>
      <c r="J686" s="463"/>
      <c r="K686" s="492">
        <f>SUM(K680:K684)</f>
        <v>6886.9</v>
      </c>
      <c r="M686" s="542"/>
      <c r="O686" s="510" t="s">
        <v>3304</v>
      </c>
      <c r="AG686" s="509" t="s">
        <v>2514</v>
      </c>
    </row>
    <row r="687" spans="1:33" hidden="1">
      <c r="A687" s="521">
        <f t="shared" si="34"/>
        <v>514</v>
      </c>
      <c r="B687" s="509" t="s">
        <v>3305</v>
      </c>
      <c r="C687" s="2"/>
      <c r="D687" s="490" t="s">
        <v>30</v>
      </c>
      <c r="E687" s="2"/>
      <c r="H687" s="509" t="s">
        <v>30</v>
      </c>
      <c r="I687" s="2"/>
      <c r="J687" s="463"/>
      <c r="K687" s="491" t="s">
        <v>442</v>
      </c>
      <c r="M687" s="510" t="s">
        <v>2965</v>
      </c>
      <c r="N687" s="509" t="s">
        <v>2365</v>
      </c>
      <c r="O687" s="509" t="s">
        <v>3306</v>
      </c>
      <c r="AG687" s="509" t="s">
        <v>2514</v>
      </c>
    </row>
    <row r="688" spans="1:33" hidden="1">
      <c r="A688" s="521">
        <f t="shared" si="34"/>
        <v>515</v>
      </c>
      <c r="B688" s="509" t="s">
        <v>2906</v>
      </c>
      <c r="C688" s="492">
        <v>20</v>
      </c>
      <c r="D688" s="490" t="s">
        <v>2342</v>
      </c>
      <c r="E688" s="2"/>
      <c r="F688" s="519">
        <v>10</v>
      </c>
      <c r="G688" s="518" t="s">
        <v>2788</v>
      </c>
      <c r="H688" s="509" t="s">
        <v>3307</v>
      </c>
      <c r="I688" s="492">
        <f>(K686/50)</f>
        <v>137.738</v>
      </c>
      <c r="J688" s="500" t="s">
        <v>2788</v>
      </c>
      <c r="K688" s="492">
        <f>(F688*I688)</f>
        <v>1377.38</v>
      </c>
      <c r="O688" s="515" t="s">
        <v>442</v>
      </c>
      <c r="AG688" s="509" t="s">
        <v>2514</v>
      </c>
    </row>
    <row r="689" spans="1:33" hidden="1">
      <c r="A689" s="521">
        <f t="shared" si="34"/>
        <v>516</v>
      </c>
      <c r="B689" s="509" t="s">
        <v>3308</v>
      </c>
      <c r="C689" s="492">
        <v>45</v>
      </c>
      <c r="D689" s="490" t="s">
        <v>2342</v>
      </c>
      <c r="E689" s="2"/>
      <c r="F689" s="519">
        <v>3.8</v>
      </c>
      <c r="G689" s="518" t="s">
        <v>2359</v>
      </c>
      <c r="H689" s="509" t="s">
        <v>3309</v>
      </c>
      <c r="I689" s="492">
        <f>(C16)</f>
        <v>150</v>
      </c>
      <c r="J689" s="500" t="s">
        <v>2359</v>
      </c>
      <c r="K689" s="492">
        <f>(F689*I689)</f>
        <v>570</v>
      </c>
      <c r="M689" s="542">
        <v>2.69E-2</v>
      </c>
      <c r="N689" s="509" t="s">
        <v>2334</v>
      </c>
      <c r="O689" s="509" t="s">
        <v>3310</v>
      </c>
      <c r="P689" s="519">
        <f>C86+2500</f>
        <v>23105</v>
      </c>
      <c r="Q689" s="509" t="s">
        <v>2334</v>
      </c>
      <c r="R689" s="519">
        <f t="shared" ref="R689:R695" si="35">M689*P689</f>
        <v>621.52449999999999</v>
      </c>
      <c r="AG689" s="509" t="s">
        <v>2514</v>
      </c>
    </row>
    <row r="690" spans="1:33" hidden="1">
      <c r="A690" s="521">
        <f t="shared" si="34"/>
        <v>517</v>
      </c>
      <c r="B690" s="509" t="s">
        <v>3311</v>
      </c>
      <c r="C690" s="2"/>
      <c r="D690" s="490" t="s">
        <v>2485</v>
      </c>
      <c r="E690" s="2"/>
      <c r="F690" s="519">
        <v>5.4</v>
      </c>
      <c r="G690" s="518" t="s">
        <v>2359</v>
      </c>
      <c r="H690" s="509" t="s">
        <v>2344</v>
      </c>
      <c r="I690" s="492">
        <f>(C12)</f>
        <v>95</v>
      </c>
      <c r="J690" s="500" t="s">
        <v>2359</v>
      </c>
      <c r="K690" s="492">
        <f>(F690*I690)</f>
        <v>513</v>
      </c>
      <c r="M690" s="542">
        <v>1.2949999999999999</v>
      </c>
      <c r="N690" s="509" t="s">
        <v>2788</v>
      </c>
      <c r="O690" s="509" t="s">
        <v>3312</v>
      </c>
      <c r="P690" s="519">
        <f>C753</f>
        <v>381.37</v>
      </c>
      <c r="Q690" s="509" t="s">
        <v>2788</v>
      </c>
      <c r="R690" s="519">
        <f t="shared" si="35"/>
        <v>493.87414999999999</v>
      </c>
      <c r="AG690" s="509" t="s">
        <v>2514</v>
      </c>
    </row>
    <row r="691" spans="1:33" hidden="1">
      <c r="A691" s="521">
        <f t="shared" si="34"/>
        <v>518</v>
      </c>
      <c r="B691" s="509" t="s">
        <v>2906</v>
      </c>
      <c r="C691" s="492">
        <v>19.09</v>
      </c>
      <c r="D691" s="490" t="s">
        <v>2342</v>
      </c>
      <c r="E691" s="2"/>
      <c r="G691" s="518" t="s">
        <v>2346</v>
      </c>
      <c r="H691" s="509" t="s">
        <v>3313</v>
      </c>
      <c r="I691" s="2"/>
      <c r="J691" s="500" t="s">
        <v>2346</v>
      </c>
      <c r="K691" s="492">
        <v>5</v>
      </c>
      <c r="M691" s="542">
        <v>1.8149999999999999</v>
      </c>
      <c r="N691" s="509" t="s">
        <v>2788</v>
      </c>
      <c r="O691" s="509" t="s">
        <v>2812</v>
      </c>
      <c r="P691" s="519">
        <f>C31</f>
        <v>342</v>
      </c>
      <c r="Q691" s="509" t="s">
        <v>2788</v>
      </c>
      <c r="R691" s="519">
        <f t="shared" si="35"/>
        <v>620.73</v>
      </c>
      <c r="AG691" s="509" t="s">
        <v>2514</v>
      </c>
    </row>
    <row r="692" spans="1:33" hidden="1">
      <c r="A692" s="521">
        <f t="shared" si="34"/>
        <v>519</v>
      </c>
      <c r="B692" s="509" t="s">
        <v>3308</v>
      </c>
      <c r="C692" s="492">
        <v>50.66</v>
      </c>
      <c r="D692" s="490" t="s">
        <v>2342</v>
      </c>
      <c r="E692" s="2"/>
      <c r="I692" s="2"/>
      <c r="J692" s="463"/>
      <c r="K692" s="491" t="s">
        <v>442</v>
      </c>
      <c r="M692" s="519">
        <v>2</v>
      </c>
      <c r="N692" s="509" t="s">
        <v>2342</v>
      </c>
      <c r="O692" s="509" t="s">
        <v>3314</v>
      </c>
      <c r="P692" s="519">
        <f>C298</f>
        <v>10.5</v>
      </c>
      <c r="Q692" s="509" t="s">
        <v>2342</v>
      </c>
      <c r="R692" s="519">
        <f t="shared" si="35"/>
        <v>21</v>
      </c>
      <c r="AG692" s="509" t="s">
        <v>2514</v>
      </c>
    </row>
    <row r="693" spans="1:33" hidden="1">
      <c r="A693" s="521">
        <f t="shared" si="34"/>
        <v>520</v>
      </c>
      <c r="B693" s="509" t="s">
        <v>3315</v>
      </c>
      <c r="C693" s="492">
        <v>1183.82</v>
      </c>
      <c r="D693" s="490" t="s">
        <v>2788</v>
      </c>
      <c r="E693" s="2"/>
      <c r="H693" s="509" t="s">
        <v>2358</v>
      </c>
      <c r="I693" s="2"/>
      <c r="J693" s="463"/>
      <c r="K693" s="492">
        <f>SUM(K688:K691)</f>
        <v>2465.38</v>
      </c>
      <c r="M693" s="519">
        <v>3</v>
      </c>
      <c r="N693" s="509" t="s">
        <v>2342</v>
      </c>
      <c r="O693" s="509" t="s">
        <v>3316</v>
      </c>
      <c r="P693" s="519">
        <f>C294</f>
        <v>8.5</v>
      </c>
      <c r="Q693" s="509" t="s">
        <v>2342</v>
      </c>
      <c r="R693" s="519">
        <f t="shared" si="35"/>
        <v>25.5</v>
      </c>
      <c r="AG693" s="509" t="s">
        <v>2514</v>
      </c>
    </row>
    <row r="694" spans="1:33" hidden="1">
      <c r="A694" s="521">
        <f t="shared" si="34"/>
        <v>521</v>
      </c>
      <c r="B694" s="509" t="s">
        <v>3317</v>
      </c>
      <c r="C694" s="492">
        <v>1605</v>
      </c>
      <c r="D694" s="490" t="s">
        <v>2788</v>
      </c>
      <c r="E694" s="2"/>
      <c r="I694" s="2"/>
      <c r="J694" s="463"/>
      <c r="K694" s="491" t="s">
        <v>442</v>
      </c>
      <c r="M694" s="519">
        <v>1</v>
      </c>
      <c r="N694" s="509" t="s">
        <v>2342</v>
      </c>
      <c r="O694" s="509" t="s">
        <v>3318</v>
      </c>
      <c r="P694" s="519">
        <f>C300</f>
        <v>21</v>
      </c>
      <c r="Q694" s="509" t="s">
        <v>2342</v>
      </c>
      <c r="R694" s="519">
        <f t="shared" si="35"/>
        <v>21</v>
      </c>
      <c r="AG694" s="509" t="s">
        <v>2514</v>
      </c>
    </row>
    <row r="695" spans="1:33" hidden="1">
      <c r="A695" s="521">
        <f t="shared" si="34"/>
        <v>522</v>
      </c>
      <c r="B695" s="509" t="s">
        <v>3319</v>
      </c>
      <c r="C695" s="490" t="s">
        <v>3320</v>
      </c>
      <c r="D695" s="490" t="s">
        <v>3321</v>
      </c>
      <c r="E695" s="2"/>
      <c r="H695" s="509" t="s">
        <v>2355</v>
      </c>
      <c r="I695" s="2"/>
      <c r="J695" s="463"/>
      <c r="K695" s="492">
        <f>(K693/10)</f>
        <v>246.53800000000001</v>
      </c>
      <c r="M695" s="519">
        <v>1</v>
      </c>
      <c r="N695" s="509" t="s">
        <v>2342</v>
      </c>
      <c r="O695" s="509" t="s">
        <v>2816</v>
      </c>
      <c r="P695" s="519">
        <f>C302</f>
        <v>4</v>
      </c>
      <c r="Q695" s="509" t="s">
        <v>2342</v>
      </c>
      <c r="R695" s="519">
        <f t="shared" si="35"/>
        <v>4</v>
      </c>
      <c r="AG695" s="509" t="s">
        <v>2514</v>
      </c>
    </row>
    <row r="696" spans="1:33" hidden="1">
      <c r="A696" s="521">
        <f t="shared" si="34"/>
        <v>523</v>
      </c>
      <c r="B696" s="509" t="s">
        <v>3322</v>
      </c>
      <c r="C696" s="492">
        <v>147.6</v>
      </c>
      <c r="D696" s="490" t="s">
        <v>2205</v>
      </c>
      <c r="E696" s="2"/>
      <c r="I696" s="2"/>
      <c r="J696" s="463"/>
      <c r="K696" s="491" t="s">
        <v>29</v>
      </c>
      <c r="N696" s="509" t="s">
        <v>2346</v>
      </c>
      <c r="O696" s="509" t="s">
        <v>2347</v>
      </c>
      <c r="Q696" s="509" t="s">
        <v>2346</v>
      </c>
      <c r="R696" s="519">
        <v>0</v>
      </c>
      <c r="AG696" s="509" t="s">
        <v>2514</v>
      </c>
    </row>
    <row r="697" spans="1:33" hidden="1">
      <c r="A697" s="521">
        <f t="shared" si="34"/>
        <v>524</v>
      </c>
      <c r="B697" s="509" t="s">
        <v>3323</v>
      </c>
      <c r="C697" s="492">
        <v>147.6</v>
      </c>
      <c r="D697" s="490" t="s">
        <v>2205</v>
      </c>
      <c r="E697" s="2"/>
      <c r="I697" s="2"/>
      <c r="J697" s="463"/>
      <c r="K697" s="2"/>
      <c r="R697" s="515" t="s">
        <v>442</v>
      </c>
      <c r="AG697" s="509" t="s">
        <v>2514</v>
      </c>
    </row>
    <row r="698" spans="1:33" hidden="1">
      <c r="A698" s="521">
        <f t="shared" si="34"/>
        <v>525</v>
      </c>
      <c r="B698" s="509" t="s">
        <v>3324</v>
      </c>
      <c r="C698" s="492">
        <v>147.6</v>
      </c>
      <c r="D698" s="490" t="s">
        <v>2205</v>
      </c>
      <c r="E698" s="2"/>
      <c r="F698" s="510" t="s">
        <v>2614</v>
      </c>
      <c r="G698" s="518" t="s">
        <v>575</v>
      </c>
      <c r="H698" s="509" t="s">
        <v>3325</v>
      </c>
      <c r="I698" s="2"/>
      <c r="J698" s="463"/>
      <c r="K698" s="2"/>
      <c r="O698" s="510" t="s">
        <v>3326</v>
      </c>
      <c r="R698" s="519">
        <f>SUM(R689:R696)</f>
        <v>1807.6286500000001</v>
      </c>
      <c r="AG698" s="509" t="s">
        <v>2514</v>
      </c>
    </row>
    <row r="699" spans="1:33" hidden="1">
      <c r="A699" s="521">
        <f t="shared" si="34"/>
        <v>526</v>
      </c>
      <c r="B699" s="509" t="s">
        <v>3327</v>
      </c>
      <c r="C699" s="492">
        <v>1250</v>
      </c>
      <c r="D699" s="490" t="s">
        <v>2788</v>
      </c>
      <c r="E699" s="2"/>
      <c r="H699" s="509" t="s">
        <v>3328</v>
      </c>
      <c r="I699" s="2"/>
      <c r="J699" s="463"/>
      <c r="K699" s="2"/>
      <c r="R699" s="515" t="s">
        <v>442</v>
      </c>
      <c r="AG699" s="509" t="s">
        <v>2514</v>
      </c>
    </row>
    <row r="700" spans="1:33" hidden="1">
      <c r="A700" s="521">
        <f t="shared" si="34"/>
        <v>527</v>
      </c>
      <c r="B700" s="509" t="s">
        <v>3329</v>
      </c>
      <c r="C700" s="492">
        <v>1250</v>
      </c>
      <c r="D700" s="490" t="s">
        <v>2788</v>
      </c>
      <c r="E700" s="2"/>
      <c r="H700" s="509" t="s">
        <v>3330</v>
      </c>
      <c r="I700" s="2"/>
      <c r="J700" s="463"/>
      <c r="K700" s="2"/>
      <c r="N700" s="509" t="s">
        <v>30</v>
      </c>
      <c r="O700" s="510" t="s">
        <v>2355</v>
      </c>
      <c r="R700" s="519">
        <f>R698/M690</f>
        <v>1395.8522393822395</v>
      </c>
      <c r="AG700" s="509" t="s">
        <v>2514</v>
      </c>
    </row>
    <row r="701" spans="1:33" hidden="1">
      <c r="A701" s="521">
        <f t="shared" si="34"/>
        <v>528</v>
      </c>
      <c r="B701" s="509" t="s">
        <v>3331</v>
      </c>
      <c r="C701" s="492">
        <v>1250</v>
      </c>
      <c r="D701" s="490" t="s">
        <v>2788</v>
      </c>
      <c r="E701" s="2"/>
      <c r="H701" s="509" t="s">
        <v>3332</v>
      </c>
      <c r="I701" s="2"/>
      <c r="J701" s="463"/>
      <c r="K701" s="2"/>
      <c r="R701" s="515" t="s">
        <v>29</v>
      </c>
      <c r="AG701" s="509" t="s">
        <v>2514</v>
      </c>
    </row>
    <row r="702" spans="1:33" hidden="1">
      <c r="A702" s="521">
        <f t="shared" si="34"/>
        <v>529</v>
      </c>
      <c r="B702" s="509" t="s">
        <v>3333</v>
      </c>
      <c r="C702" s="492">
        <v>1250</v>
      </c>
      <c r="D702" s="490" t="s">
        <v>2788</v>
      </c>
      <c r="E702" s="2"/>
      <c r="H702" s="509" t="s">
        <v>3334</v>
      </c>
      <c r="I702" s="2"/>
      <c r="J702" s="463"/>
      <c r="K702" s="2"/>
      <c r="M702" s="510" t="s">
        <v>2965</v>
      </c>
      <c r="N702" s="509" t="s">
        <v>3335</v>
      </c>
      <c r="O702" s="509" t="s">
        <v>3336</v>
      </c>
      <c r="AG702" s="509" t="s">
        <v>2514</v>
      </c>
    </row>
    <row r="703" spans="1:33" hidden="1">
      <c r="A703" s="521">
        <f t="shared" si="34"/>
        <v>530</v>
      </c>
      <c r="B703" s="509" t="s">
        <v>3337</v>
      </c>
      <c r="C703" s="492">
        <v>1250</v>
      </c>
      <c r="D703" s="490" t="s">
        <v>2788</v>
      </c>
      <c r="E703" s="2"/>
      <c r="H703" s="509" t="s">
        <v>3338</v>
      </c>
      <c r="I703" s="2"/>
      <c r="J703" s="463"/>
      <c r="K703" s="2"/>
      <c r="O703" s="515" t="s">
        <v>442</v>
      </c>
      <c r="AG703" s="509" t="s">
        <v>2514</v>
      </c>
    </row>
    <row r="704" spans="1:33" hidden="1">
      <c r="A704" s="521">
        <f t="shared" si="34"/>
        <v>531</v>
      </c>
      <c r="B704" s="509" t="s">
        <v>3339</v>
      </c>
      <c r="C704" s="492">
        <v>1250</v>
      </c>
      <c r="D704" s="490" t="s">
        <v>2788</v>
      </c>
      <c r="E704" s="2"/>
      <c r="H704" s="509" t="s">
        <v>3340</v>
      </c>
      <c r="I704" s="2"/>
      <c r="J704" s="463"/>
      <c r="K704" s="2"/>
      <c r="M704" s="542">
        <v>2.5499999999999998E-2</v>
      </c>
      <c r="N704" s="509" t="s">
        <v>2334</v>
      </c>
      <c r="O704" s="509" t="s">
        <v>3310</v>
      </c>
      <c r="P704" s="519">
        <f>C86+2500</f>
        <v>23105</v>
      </c>
      <c r="Q704" s="509" t="s">
        <v>2334</v>
      </c>
      <c r="R704" s="519">
        <f t="shared" ref="R704:R710" si="36">M704*P704</f>
        <v>589.17750000000001</v>
      </c>
      <c r="AG704" s="509" t="s">
        <v>2514</v>
      </c>
    </row>
    <row r="705" spans="1:33" hidden="1">
      <c r="A705" s="521">
        <f t="shared" si="34"/>
        <v>532</v>
      </c>
      <c r="B705" s="509" t="s">
        <v>3341</v>
      </c>
      <c r="C705" s="492">
        <v>1250</v>
      </c>
      <c r="D705" s="490" t="s">
        <v>2788</v>
      </c>
      <c r="E705" s="2"/>
      <c r="H705" s="515" t="s">
        <v>442</v>
      </c>
      <c r="I705" s="491" t="s">
        <v>442</v>
      </c>
      <c r="J705" s="500" t="s">
        <v>442</v>
      </c>
      <c r="K705" s="2"/>
      <c r="M705" s="542">
        <v>1.1299999999999999</v>
      </c>
      <c r="N705" s="509" t="s">
        <v>2788</v>
      </c>
      <c r="O705" s="509" t="s">
        <v>3312</v>
      </c>
      <c r="P705" s="519">
        <f>C753</f>
        <v>381.37</v>
      </c>
      <c r="Q705" s="509" t="s">
        <v>2788</v>
      </c>
      <c r="R705" s="519">
        <f t="shared" si="36"/>
        <v>430.94809999999995</v>
      </c>
      <c r="AG705" s="509" t="s">
        <v>2514</v>
      </c>
    </row>
    <row r="706" spans="1:33" hidden="1">
      <c r="A706" s="521">
        <f t="shared" si="34"/>
        <v>533</v>
      </c>
      <c r="B706" s="509" t="s">
        <v>3342</v>
      </c>
      <c r="C706" s="492">
        <v>1250</v>
      </c>
      <c r="D706" s="490" t="s">
        <v>2788</v>
      </c>
      <c r="E706" s="2"/>
      <c r="F706" s="519">
        <v>13.46</v>
      </c>
      <c r="G706" s="518" t="s">
        <v>1973</v>
      </c>
      <c r="H706" s="509" t="s">
        <v>3343</v>
      </c>
      <c r="I706" s="492">
        <f>C34/1000</f>
        <v>30</v>
      </c>
      <c r="J706" s="500" t="s">
        <v>1973</v>
      </c>
      <c r="K706" s="492">
        <f>(F706*I706)</f>
        <v>403.8</v>
      </c>
      <c r="M706" s="542">
        <v>1.6191</v>
      </c>
      <c r="N706" s="509" t="s">
        <v>2788</v>
      </c>
      <c r="O706" s="509" t="s">
        <v>2812</v>
      </c>
      <c r="P706" s="519">
        <f>C31</f>
        <v>342</v>
      </c>
      <c r="Q706" s="509" t="s">
        <v>2788</v>
      </c>
      <c r="R706" s="519">
        <f t="shared" si="36"/>
        <v>553.73220000000003</v>
      </c>
      <c r="AG706" s="509" t="s">
        <v>2514</v>
      </c>
    </row>
    <row r="707" spans="1:33" hidden="1">
      <c r="A707" s="521">
        <f t="shared" si="34"/>
        <v>534</v>
      </c>
      <c r="B707" s="509" t="s">
        <v>3344</v>
      </c>
      <c r="C707" s="492">
        <v>1250</v>
      </c>
      <c r="D707" s="490" t="s">
        <v>2788</v>
      </c>
      <c r="E707" s="2"/>
      <c r="H707" s="509" t="s">
        <v>3345</v>
      </c>
      <c r="I707" s="2"/>
      <c r="J707" s="463"/>
      <c r="K707" s="2"/>
      <c r="M707" s="519">
        <v>2</v>
      </c>
      <c r="N707" s="509" t="s">
        <v>2342</v>
      </c>
      <c r="O707" s="509" t="s">
        <v>3314</v>
      </c>
      <c r="P707" s="519">
        <f>C298</f>
        <v>10.5</v>
      </c>
      <c r="Q707" s="509" t="s">
        <v>2342</v>
      </c>
      <c r="R707" s="519">
        <f t="shared" si="36"/>
        <v>21</v>
      </c>
      <c r="AG707" s="509" t="s">
        <v>2514</v>
      </c>
    </row>
    <row r="708" spans="1:33" hidden="1">
      <c r="A708" s="521">
        <f t="shared" si="34"/>
        <v>535</v>
      </c>
      <c r="B708" s="509" t="s">
        <v>3346</v>
      </c>
      <c r="C708" s="492">
        <v>1250</v>
      </c>
      <c r="D708" s="490" t="s">
        <v>2788</v>
      </c>
      <c r="E708" s="2"/>
      <c r="F708" s="519">
        <v>4</v>
      </c>
      <c r="G708" s="518" t="s">
        <v>1973</v>
      </c>
      <c r="H708" s="509" t="s">
        <v>3347</v>
      </c>
      <c r="I708" s="492">
        <f>D34/1000</f>
        <v>30</v>
      </c>
      <c r="J708" s="500" t="s">
        <v>1973</v>
      </c>
      <c r="K708" s="492">
        <f>(F708*I708)</f>
        <v>120</v>
      </c>
      <c r="M708" s="519">
        <v>3</v>
      </c>
      <c r="N708" s="509" t="s">
        <v>2342</v>
      </c>
      <c r="O708" s="509" t="s">
        <v>3316</v>
      </c>
      <c r="P708" s="519">
        <f>C294</f>
        <v>8.5</v>
      </c>
      <c r="Q708" s="509" t="s">
        <v>2342</v>
      </c>
      <c r="R708" s="519">
        <f t="shared" si="36"/>
        <v>25.5</v>
      </c>
      <c r="AG708" s="509" t="s">
        <v>2514</v>
      </c>
    </row>
    <row r="709" spans="1:33" hidden="1">
      <c r="A709" s="521">
        <f t="shared" si="34"/>
        <v>536</v>
      </c>
      <c r="B709" s="509" t="s">
        <v>3348</v>
      </c>
      <c r="C709" s="492">
        <v>1250</v>
      </c>
      <c r="D709" s="490" t="s">
        <v>2788</v>
      </c>
      <c r="E709" s="2"/>
      <c r="H709" s="509" t="s">
        <v>3349</v>
      </c>
      <c r="I709" s="2"/>
      <c r="J709" s="463"/>
      <c r="K709" s="2"/>
      <c r="M709" s="519">
        <v>1</v>
      </c>
      <c r="N709" s="509" t="s">
        <v>2342</v>
      </c>
      <c r="O709" s="509" t="s">
        <v>3318</v>
      </c>
      <c r="P709" s="519">
        <f>C300</f>
        <v>21</v>
      </c>
      <c r="Q709" s="509" t="s">
        <v>2342</v>
      </c>
      <c r="R709" s="519">
        <f t="shared" si="36"/>
        <v>21</v>
      </c>
      <c r="AG709" s="509" t="s">
        <v>2514</v>
      </c>
    </row>
    <row r="710" spans="1:33" hidden="1">
      <c r="A710" s="521">
        <f t="shared" si="34"/>
        <v>537</v>
      </c>
      <c r="B710" s="509" t="s">
        <v>3341</v>
      </c>
      <c r="C710" s="492">
        <v>1250</v>
      </c>
      <c r="D710" s="490" t="s">
        <v>2788</v>
      </c>
      <c r="E710" s="2"/>
      <c r="F710" s="519"/>
      <c r="G710" s="518" t="s">
        <v>2346</v>
      </c>
      <c r="H710" s="509" t="s">
        <v>3350</v>
      </c>
      <c r="I710" s="2"/>
      <c r="J710" s="500" t="s">
        <v>2346</v>
      </c>
      <c r="K710" s="492">
        <v>40</v>
      </c>
      <c r="M710" s="519">
        <v>1</v>
      </c>
      <c r="N710" s="509" t="s">
        <v>2342</v>
      </c>
      <c r="O710" s="509" t="s">
        <v>2816</v>
      </c>
      <c r="P710" s="519">
        <f>C302</f>
        <v>4</v>
      </c>
      <c r="Q710" s="509" t="s">
        <v>2342</v>
      </c>
      <c r="R710" s="519">
        <f t="shared" si="36"/>
        <v>4</v>
      </c>
      <c r="AG710" s="509" t="s">
        <v>2514</v>
      </c>
    </row>
    <row r="711" spans="1:33" hidden="1">
      <c r="A711" s="521">
        <f t="shared" si="34"/>
        <v>538</v>
      </c>
      <c r="B711" s="509" t="s">
        <v>3351</v>
      </c>
      <c r="C711" s="2"/>
      <c r="D711" s="490" t="s">
        <v>30</v>
      </c>
      <c r="E711" s="2"/>
      <c r="H711" s="509" t="s">
        <v>3352</v>
      </c>
      <c r="I711" s="2"/>
      <c r="J711" s="463"/>
      <c r="K711" s="491" t="s">
        <v>442</v>
      </c>
      <c r="N711" s="509" t="s">
        <v>2346</v>
      </c>
      <c r="O711" s="509" t="s">
        <v>2347</v>
      </c>
      <c r="Q711" s="509" t="s">
        <v>2346</v>
      </c>
      <c r="R711" s="519">
        <v>0</v>
      </c>
      <c r="AG711" s="509" t="s">
        <v>2514</v>
      </c>
    </row>
    <row r="712" spans="1:33" hidden="1">
      <c r="A712" s="521">
        <f t="shared" si="34"/>
        <v>539</v>
      </c>
      <c r="B712" s="509" t="s">
        <v>3353</v>
      </c>
      <c r="C712" s="492">
        <v>65</v>
      </c>
      <c r="D712" s="490" t="s">
        <v>3321</v>
      </c>
      <c r="E712" s="2"/>
      <c r="H712" s="510" t="s">
        <v>3354</v>
      </c>
      <c r="I712" s="2"/>
      <c r="J712" s="463"/>
      <c r="K712" s="492">
        <f>SUM(K706:K710)</f>
        <v>563.79999999999995</v>
      </c>
      <c r="R712" s="515" t="s">
        <v>442</v>
      </c>
      <c r="AG712" s="509" t="s">
        <v>2514</v>
      </c>
    </row>
    <row r="713" spans="1:33" hidden="1">
      <c r="A713" s="521">
        <f t="shared" si="34"/>
        <v>540</v>
      </c>
      <c r="B713" s="509" t="s">
        <v>3355</v>
      </c>
      <c r="C713" s="492">
        <v>64.55</v>
      </c>
      <c r="D713" s="490" t="s">
        <v>3321</v>
      </c>
      <c r="E713" s="2"/>
      <c r="I713" s="2"/>
      <c r="J713" s="463"/>
      <c r="K713" s="491" t="s">
        <v>442</v>
      </c>
      <c r="O713" s="510" t="s">
        <v>3356</v>
      </c>
      <c r="R713" s="519">
        <f>SUM(R704:R711)</f>
        <v>1645.3578</v>
      </c>
      <c r="AG713" s="509" t="s">
        <v>2514</v>
      </c>
    </row>
    <row r="714" spans="1:33" hidden="1">
      <c r="A714" s="521">
        <f t="shared" si="34"/>
        <v>541</v>
      </c>
      <c r="B714" s="509" t="s">
        <v>3357</v>
      </c>
      <c r="C714" s="492">
        <v>110.95</v>
      </c>
      <c r="D714" s="490" t="s">
        <v>3321</v>
      </c>
      <c r="E714" s="2"/>
      <c r="H714" s="510" t="s">
        <v>3358</v>
      </c>
      <c r="I714" s="2"/>
      <c r="J714" s="463"/>
      <c r="K714" s="492">
        <f>K712/40</f>
        <v>14.094999999999999</v>
      </c>
      <c r="R714" s="515" t="s">
        <v>442</v>
      </c>
      <c r="AG714" s="509" t="s">
        <v>2514</v>
      </c>
    </row>
    <row r="715" spans="1:33" hidden="1">
      <c r="A715" s="521">
        <f t="shared" si="34"/>
        <v>542</v>
      </c>
      <c r="B715" s="509" t="s">
        <v>3359</v>
      </c>
      <c r="C715" s="492">
        <v>399</v>
      </c>
      <c r="D715" s="490" t="s">
        <v>3321</v>
      </c>
      <c r="E715" s="2"/>
      <c r="I715" s="2"/>
      <c r="J715" s="463"/>
      <c r="K715" s="491" t="s">
        <v>442</v>
      </c>
      <c r="O715" s="510" t="s">
        <v>2355</v>
      </c>
      <c r="R715" s="519">
        <f>R713/M706</f>
        <v>1016.2175282564388</v>
      </c>
      <c r="AG715" s="509" t="s">
        <v>2514</v>
      </c>
    </row>
    <row r="716" spans="1:33" hidden="1">
      <c r="A716" s="521">
        <f t="shared" si="34"/>
        <v>543</v>
      </c>
      <c r="B716" s="509" t="s">
        <v>3360</v>
      </c>
      <c r="C716" s="492">
        <v>92</v>
      </c>
      <c r="D716" s="490" t="s">
        <v>3321</v>
      </c>
      <c r="E716" s="2"/>
      <c r="H716" s="509" t="s">
        <v>3361</v>
      </c>
      <c r="I716" s="2"/>
      <c r="J716" s="463"/>
      <c r="K716" s="2"/>
      <c r="R716" s="515" t="s">
        <v>29</v>
      </c>
      <c r="AG716" s="509" t="s">
        <v>2514</v>
      </c>
    </row>
    <row r="717" spans="1:33" hidden="1">
      <c r="A717" s="521">
        <f t="shared" si="34"/>
        <v>544</v>
      </c>
      <c r="B717" s="509" t="s">
        <v>3362</v>
      </c>
      <c r="C717" s="492">
        <v>174.24</v>
      </c>
      <c r="D717" s="490" t="s">
        <v>3321</v>
      </c>
      <c r="E717" s="2"/>
      <c r="H717" s="509" t="s">
        <v>3363</v>
      </c>
      <c r="I717" s="2"/>
      <c r="J717" s="463"/>
      <c r="K717" s="2"/>
      <c r="AG717" s="509" t="s">
        <v>2514</v>
      </c>
    </row>
    <row r="718" spans="1:33" hidden="1">
      <c r="A718" s="521">
        <f t="shared" si="34"/>
        <v>545</v>
      </c>
      <c r="B718" s="509" t="s">
        <v>3364</v>
      </c>
      <c r="C718" s="492">
        <v>215.06</v>
      </c>
      <c r="D718" s="490" t="s">
        <v>3321</v>
      </c>
      <c r="E718" s="2"/>
      <c r="H718" s="509" t="s">
        <v>3365</v>
      </c>
      <c r="I718" s="2"/>
      <c r="J718" s="463"/>
      <c r="K718" s="2"/>
      <c r="M718" s="510" t="s">
        <v>2965</v>
      </c>
      <c r="N718" s="509" t="s">
        <v>3366</v>
      </c>
      <c r="O718" s="509" t="s">
        <v>3367</v>
      </c>
      <c r="AG718" s="509" t="s">
        <v>2514</v>
      </c>
    </row>
    <row r="719" spans="1:33" hidden="1">
      <c r="A719" s="521">
        <f t="shared" si="34"/>
        <v>546</v>
      </c>
      <c r="B719" s="509" t="s">
        <v>3368</v>
      </c>
      <c r="C719" s="492">
        <v>97.24</v>
      </c>
      <c r="D719" s="490" t="s">
        <v>3321</v>
      </c>
      <c r="E719" s="2"/>
      <c r="I719" s="2"/>
      <c r="J719" s="463"/>
      <c r="K719" s="2"/>
      <c r="O719" s="515" t="s">
        <v>442</v>
      </c>
      <c r="AG719" s="509" t="s">
        <v>2514</v>
      </c>
    </row>
    <row r="720" spans="1:33" hidden="1">
      <c r="A720" s="521">
        <f t="shared" si="34"/>
        <v>547</v>
      </c>
      <c r="B720" s="509" t="s">
        <v>3369</v>
      </c>
      <c r="C720" s="492">
        <v>168.96</v>
      </c>
      <c r="D720" s="490" t="s">
        <v>3321</v>
      </c>
      <c r="E720" s="2"/>
      <c r="F720" s="519">
        <v>19</v>
      </c>
      <c r="G720" s="518" t="s">
        <v>13</v>
      </c>
      <c r="H720" s="509" t="s">
        <v>3370</v>
      </c>
      <c r="I720" s="492">
        <f>K714</f>
        <v>14.094999999999999</v>
      </c>
      <c r="J720" s="500" t="s">
        <v>3371</v>
      </c>
      <c r="K720" s="492">
        <f>(F720*I720)</f>
        <v>267.80499999999995</v>
      </c>
      <c r="M720" s="542">
        <v>2.35E-2</v>
      </c>
      <c r="N720" s="509" t="s">
        <v>2334</v>
      </c>
      <c r="O720" s="509" t="s">
        <v>3310</v>
      </c>
      <c r="P720" s="519">
        <f>C86+2500</f>
        <v>23105</v>
      </c>
      <c r="Q720" s="509" t="s">
        <v>2334</v>
      </c>
      <c r="R720" s="519">
        <f t="shared" ref="R720:R726" si="37">M720*P720</f>
        <v>542.96749999999997</v>
      </c>
      <c r="AG720" s="509" t="s">
        <v>2514</v>
      </c>
    </row>
    <row r="721" spans="1:33" hidden="1">
      <c r="A721" s="521">
        <f t="shared" si="34"/>
        <v>548</v>
      </c>
      <c r="B721" s="509" t="s">
        <v>3372</v>
      </c>
      <c r="C721" s="492">
        <v>227</v>
      </c>
      <c r="D721" s="492">
        <v>247</v>
      </c>
      <c r="E721" s="2"/>
      <c r="H721" s="509" t="s">
        <v>3373</v>
      </c>
      <c r="I721" s="2"/>
      <c r="J721" s="463"/>
      <c r="K721" s="2"/>
      <c r="M721" s="542">
        <v>0.872</v>
      </c>
      <c r="N721" s="509" t="s">
        <v>2788</v>
      </c>
      <c r="O721" s="509" t="s">
        <v>3312</v>
      </c>
      <c r="P721" s="519">
        <f>C753</f>
        <v>381.37</v>
      </c>
      <c r="Q721" s="509" t="s">
        <v>2788</v>
      </c>
      <c r="R721" s="519">
        <f t="shared" si="37"/>
        <v>332.55464000000001</v>
      </c>
      <c r="AG721" s="509" t="s">
        <v>2514</v>
      </c>
    </row>
    <row r="722" spans="1:33" hidden="1">
      <c r="A722" s="521">
        <f t="shared" si="34"/>
        <v>549</v>
      </c>
      <c r="B722" s="509" t="s">
        <v>3374</v>
      </c>
      <c r="C722" s="492">
        <v>250</v>
      </c>
      <c r="D722" s="490" t="s">
        <v>3321</v>
      </c>
      <c r="E722" s="2"/>
      <c r="F722" s="519">
        <v>0.12</v>
      </c>
      <c r="G722" s="518" t="s">
        <v>19</v>
      </c>
      <c r="H722" s="509" t="s">
        <v>3375</v>
      </c>
      <c r="I722" s="492">
        <f>C268/5</f>
        <v>1879</v>
      </c>
      <c r="J722" s="500" t="s">
        <v>3371</v>
      </c>
      <c r="K722" s="492">
        <f t="shared" ref="K722:K729" si="38">(F722*I722)</f>
        <v>225.48</v>
      </c>
      <c r="M722" s="542">
        <v>1.3247</v>
      </c>
      <c r="N722" s="509" t="s">
        <v>2788</v>
      </c>
      <c r="O722" s="509" t="s">
        <v>2812</v>
      </c>
      <c r="P722" s="519">
        <f>C31</f>
        <v>342</v>
      </c>
      <c r="Q722" s="509" t="s">
        <v>2788</v>
      </c>
      <c r="R722" s="519">
        <f t="shared" si="37"/>
        <v>453.04739999999998</v>
      </c>
      <c r="AG722" s="509" t="s">
        <v>2514</v>
      </c>
    </row>
    <row r="723" spans="1:33" hidden="1">
      <c r="A723" s="521">
        <f t="shared" si="34"/>
        <v>550</v>
      </c>
      <c r="B723" s="509" t="s">
        <v>3376</v>
      </c>
      <c r="C723" s="492">
        <v>210</v>
      </c>
      <c r="D723" s="490" t="s">
        <v>3321</v>
      </c>
      <c r="E723" s="2"/>
      <c r="F723" s="519">
        <v>98.5</v>
      </c>
      <c r="G723" s="518" t="s">
        <v>12</v>
      </c>
      <c r="H723" s="509" t="s">
        <v>3377</v>
      </c>
      <c r="I723" s="492">
        <f>C269/5</f>
        <v>3</v>
      </c>
      <c r="J723" s="500" t="s">
        <v>3371</v>
      </c>
      <c r="K723" s="492">
        <f t="shared" si="38"/>
        <v>295.5</v>
      </c>
      <c r="M723" s="519">
        <v>1</v>
      </c>
      <c r="N723" s="509" t="s">
        <v>2342</v>
      </c>
      <c r="O723" s="509" t="s">
        <v>3314</v>
      </c>
      <c r="P723" s="519">
        <f>C298</f>
        <v>10.5</v>
      </c>
      <c r="Q723" s="509" t="s">
        <v>2342</v>
      </c>
      <c r="R723" s="519">
        <f t="shared" si="37"/>
        <v>10.5</v>
      </c>
      <c r="AG723" s="509" t="s">
        <v>2514</v>
      </c>
    </row>
    <row r="724" spans="1:33" hidden="1">
      <c r="A724" s="521">
        <f t="shared" si="34"/>
        <v>551</v>
      </c>
      <c r="B724" s="509" t="s">
        <v>3378</v>
      </c>
      <c r="C724" s="492">
        <v>1022.58</v>
      </c>
      <c r="D724" s="490" t="s">
        <v>2788</v>
      </c>
      <c r="E724" s="2"/>
      <c r="F724" s="519">
        <v>1</v>
      </c>
      <c r="G724" s="518" t="s">
        <v>2346</v>
      </c>
      <c r="H724" s="509" t="s">
        <v>3379</v>
      </c>
      <c r="I724" s="492">
        <v>11</v>
      </c>
      <c r="J724" s="500" t="s">
        <v>2346</v>
      </c>
      <c r="K724" s="492">
        <f t="shared" si="38"/>
        <v>11</v>
      </c>
      <c r="M724" s="519">
        <v>3</v>
      </c>
      <c r="N724" s="509" t="s">
        <v>2342</v>
      </c>
      <c r="O724" s="509" t="s">
        <v>3380</v>
      </c>
      <c r="P724" s="519">
        <f>C293</f>
        <v>5.75</v>
      </c>
      <c r="Q724" s="509" t="s">
        <v>2342</v>
      </c>
      <c r="R724" s="519">
        <f t="shared" si="37"/>
        <v>17.25</v>
      </c>
      <c r="AG724" s="509" t="s">
        <v>2514</v>
      </c>
    </row>
    <row r="725" spans="1:33" hidden="1">
      <c r="A725" s="521">
        <f t="shared" si="34"/>
        <v>552</v>
      </c>
      <c r="B725" s="509" t="s">
        <v>3381</v>
      </c>
      <c r="C725" s="2"/>
      <c r="D725" s="490" t="s">
        <v>30</v>
      </c>
      <c r="E725" s="2"/>
      <c r="F725" s="519">
        <v>3.8</v>
      </c>
      <c r="G725" s="518" t="s">
        <v>5</v>
      </c>
      <c r="H725" s="509" t="s">
        <v>3382</v>
      </c>
      <c r="I725" s="492">
        <f>C16</f>
        <v>150</v>
      </c>
      <c r="J725" s="500" t="s">
        <v>556</v>
      </c>
      <c r="K725" s="492">
        <f t="shared" si="38"/>
        <v>570</v>
      </c>
      <c r="M725" s="519">
        <v>1</v>
      </c>
      <c r="N725" s="509" t="s">
        <v>2342</v>
      </c>
      <c r="O725" s="509" t="s">
        <v>3383</v>
      </c>
      <c r="P725" s="519">
        <f>C301</f>
        <v>10</v>
      </c>
      <c r="Q725" s="509" t="s">
        <v>2342</v>
      </c>
      <c r="R725" s="519">
        <f t="shared" si="37"/>
        <v>10</v>
      </c>
      <c r="AG725" s="509" t="s">
        <v>2514</v>
      </c>
    </row>
    <row r="726" spans="1:33" hidden="1">
      <c r="A726" s="521">
        <f t="shared" si="34"/>
        <v>553</v>
      </c>
      <c r="B726" s="509" t="s">
        <v>3384</v>
      </c>
      <c r="C726" s="2"/>
      <c r="D726" s="2"/>
      <c r="E726" s="2"/>
      <c r="F726" s="519">
        <v>5.4</v>
      </c>
      <c r="G726" s="518" t="s">
        <v>5</v>
      </c>
      <c r="H726" s="509" t="s">
        <v>3081</v>
      </c>
      <c r="I726" s="492">
        <f>C12</f>
        <v>95</v>
      </c>
      <c r="J726" s="500" t="s">
        <v>556</v>
      </c>
      <c r="K726" s="492">
        <f t="shared" si="38"/>
        <v>513</v>
      </c>
      <c r="M726" s="519">
        <v>1</v>
      </c>
      <c r="N726" s="509" t="s">
        <v>2342</v>
      </c>
      <c r="O726" s="509" t="s">
        <v>2816</v>
      </c>
      <c r="P726" s="519">
        <f>C302</f>
        <v>4</v>
      </c>
      <c r="Q726" s="509" t="s">
        <v>2342</v>
      </c>
      <c r="R726" s="519">
        <f t="shared" si="37"/>
        <v>4</v>
      </c>
      <c r="AG726" s="509" t="s">
        <v>2514</v>
      </c>
    </row>
    <row r="727" spans="1:33" hidden="1">
      <c r="A727" s="521">
        <f t="shared" si="34"/>
        <v>554</v>
      </c>
      <c r="B727" s="509" t="s">
        <v>3385</v>
      </c>
      <c r="C727" s="492">
        <v>300</v>
      </c>
      <c r="D727" s="490" t="s">
        <v>3386</v>
      </c>
      <c r="E727" s="2"/>
      <c r="F727" s="519">
        <v>1</v>
      </c>
      <c r="G727" s="518" t="s">
        <v>5</v>
      </c>
      <c r="H727" s="509" t="s">
        <v>3387</v>
      </c>
      <c r="I727" s="492">
        <f>C66</f>
        <v>120</v>
      </c>
      <c r="J727" s="500" t="s">
        <v>556</v>
      </c>
      <c r="K727" s="492">
        <f t="shared" si="38"/>
        <v>120</v>
      </c>
      <c r="N727" s="509" t="s">
        <v>2346</v>
      </c>
      <c r="O727" s="509" t="s">
        <v>2347</v>
      </c>
      <c r="Q727" s="509" t="s">
        <v>2346</v>
      </c>
      <c r="R727" s="519">
        <v>0</v>
      </c>
      <c r="AG727" s="509" t="s">
        <v>2514</v>
      </c>
    </row>
    <row r="728" spans="1:33" hidden="1">
      <c r="A728" s="521">
        <f t="shared" si="34"/>
        <v>555</v>
      </c>
      <c r="B728" s="510" t="s">
        <v>3388</v>
      </c>
      <c r="C728" s="492">
        <v>302</v>
      </c>
      <c r="D728" s="490" t="s">
        <v>3386</v>
      </c>
      <c r="E728" s="2"/>
      <c r="F728" s="519">
        <v>1</v>
      </c>
      <c r="G728" s="518" t="s">
        <v>2346</v>
      </c>
      <c r="H728" s="509" t="s">
        <v>3389</v>
      </c>
      <c r="I728" s="492">
        <v>10</v>
      </c>
      <c r="J728" s="500" t="s">
        <v>2346</v>
      </c>
      <c r="K728" s="492">
        <f t="shared" si="38"/>
        <v>10</v>
      </c>
      <c r="R728" s="515" t="s">
        <v>442</v>
      </c>
      <c r="AG728" s="509" t="s">
        <v>2514</v>
      </c>
    </row>
    <row r="729" spans="1:33" hidden="1">
      <c r="A729" s="521">
        <f t="shared" si="34"/>
        <v>556</v>
      </c>
      <c r="B729" s="509" t="s">
        <v>3390</v>
      </c>
      <c r="C729" s="492">
        <v>382</v>
      </c>
      <c r="D729" s="490" t="s">
        <v>3386</v>
      </c>
      <c r="E729" s="2"/>
      <c r="F729" s="519">
        <v>19</v>
      </c>
      <c r="G729" s="518" t="s">
        <v>13</v>
      </c>
      <c r="H729" s="509" t="s">
        <v>3391</v>
      </c>
      <c r="I729" s="492">
        <v>2</v>
      </c>
      <c r="J729" s="500" t="s">
        <v>13</v>
      </c>
      <c r="K729" s="492">
        <f t="shared" si="38"/>
        <v>38</v>
      </c>
      <c r="O729" s="510" t="s">
        <v>3392</v>
      </c>
      <c r="R729" s="519">
        <f>SUM(R720:R727)</f>
        <v>1370.31954</v>
      </c>
      <c r="AG729" s="509" t="s">
        <v>2514</v>
      </c>
    </row>
    <row r="730" spans="1:33" hidden="1">
      <c r="A730" s="521">
        <f t="shared" si="34"/>
        <v>557</v>
      </c>
      <c r="B730" s="509" t="s">
        <v>3393</v>
      </c>
      <c r="C730" s="492">
        <v>140</v>
      </c>
      <c r="D730" s="490" t="s">
        <v>3386</v>
      </c>
      <c r="E730" s="2"/>
      <c r="H730" s="509" t="s">
        <v>3394</v>
      </c>
      <c r="I730" s="2"/>
      <c r="J730" s="463"/>
      <c r="K730" s="491" t="s">
        <v>442</v>
      </c>
      <c r="R730" s="515" t="s">
        <v>442</v>
      </c>
      <c r="AG730" s="509" t="s">
        <v>2690</v>
      </c>
    </row>
    <row r="731" spans="1:33" hidden="1">
      <c r="A731" s="521">
        <f t="shared" si="34"/>
        <v>558</v>
      </c>
      <c r="B731" s="509" t="s">
        <v>3395</v>
      </c>
      <c r="C731" s="492">
        <v>222</v>
      </c>
      <c r="D731" s="490" t="s">
        <v>3386</v>
      </c>
      <c r="E731" s="2"/>
      <c r="H731" s="510" t="s">
        <v>2358</v>
      </c>
      <c r="I731" s="2"/>
      <c r="J731" s="463"/>
      <c r="K731" s="492">
        <f>SUM(K720:K729)</f>
        <v>2050.7849999999999</v>
      </c>
      <c r="O731" s="510" t="s">
        <v>2355</v>
      </c>
      <c r="R731" s="519">
        <f>R729/1.3247</f>
        <v>1034.4376387106515</v>
      </c>
    </row>
    <row r="732" spans="1:33" hidden="1">
      <c r="A732" s="521">
        <f t="shared" si="34"/>
        <v>559</v>
      </c>
      <c r="B732" s="509" t="s">
        <v>3396</v>
      </c>
      <c r="C732" s="492">
        <v>505</v>
      </c>
      <c r="D732" s="490" t="s">
        <v>3386</v>
      </c>
      <c r="E732" s="2"/>
      <c r="I732" s="2"/>
      <c r="J732" s="463"/>
      <c r="K732" s="491" t="s">
        <v>442</v>
      </c>
      <c r="R732" s="515" t="s">
        <v>29</v>
      </c>
    </row>
    <row r="733" spans="1:33" hidden="1">
      <c r="A733" s="521">
        <f t="shared" si="34"/>
        <v>560</v>
      </c>
      <c r="B733" s="509" t="s">
        <v>3397</v>
      </c>
      <c r="C733" s="492">
        <v>75</v>
      </c>
      <c r="D733" s="490" t="s">
        <v>3321</v>
      </c>
      <c r="E733" s="2"/>
      <c r="H733" s="510" t="s">
        <v>2355</v>
      </c>
      <c r="I733" s="2"/>
      <c r="J733" s="463"/>
      <c r="K733" s="492">
        <f>(K731/10)</f>
        <v>205.07849999999999</v>
      </c>
      <c r="N733" s="509" t="s">
        <v>575</v>
      </c>
      <c r="O733" s="509" t="s">
        <v>3398</v>
      </c>
      <c r="AG733" s="509" t="s">
        <v>2514</v>
      </c>
    </row>
    <row r="734" spans="1:33" hidden="1">
      <c r="C734" s="2"/>
      <c r="D734" s="2"/>
      <c r="E734" s="2"/>
      <c r="F734" s="509" t="s">
        <v>30</v>
      </c>
      <c r="I734" s="2"/>
      <c r="J734" s="463"/>
      <c r="K734" s="2"/>
    </row>
    <row r="735" spans="1:33" hidden="1">
      <c r="A735" s="521">
        <f>(A733+1)</f>
        <v>561</v>
      </c>
      <c r="B735" s="509" t="s">
        <v>3399</v>
      </c>
      <c r="C735" s="492">
        <v>43.3</v>
      </c>
      <c r="D735" s="490" t="s">
        <v>2205</v>
      </c>
      <c r="E735" s="2"/>
      <c r="I735" s="2"/>
      <c r="J735" s="463"/>
      <c r="K735" s="491" t="s">
        <v>29</v>
      </c>
      <c r="O735" s="509" t="s">
        <v>3400</v>
      </c>
      <c r="AG735" s="509" t="s">
        <v>2514</v>
      </c>
    </row>
    <row r="736" spans="1:33" hidden="1">
      <c r="A736" s="521">
        <f t="shared" ref="A736:A753" si="39">(A735+1)</f>
        <v>562</v>
      </c>
      <c r="B736" s="509" t="s">
        <v>3401</v>
      </c>
      <c r="C736" s="492">
        <v>218</v>
      </c>
      <c r="D736" s="490" t="s">
        <v>3321</v>
      </c>
      <c r="E736" s="2"/>
      <c r="F736" s="510" t="s">
        <v>2618</v>
      </c>
      <c r="G736" s="518" t="s">
        <v>575</v>
      </c>
      <c r="H736" s="509" t="s">
        <v>3402</v>
      </c>
      <c r="I736" s="2"/>
      <c r="J736" s="463"/>
      <c r="K736" s="2"/>
      <c r="O736" s="509" t="s">
        <v>3403</v>
      </c>
      <c r="AG736" s="509" t="s">
        <v>2514</v>
      </c>
    </row>
    <row r="737" spans="1:33" hidden="1">
      <c r="A737" s="521">
        <f t="shared" si="39"/>
        <v>563</v>
      </c>
      <c r="B737" s="509" t="s">
        <v>3404</v>
      </c>
      <c r="C737" s="492">
        <v>926</v>
      </c>
      <c r="D737" s="490" t="s">
        <v>3321</v>
      </c>
      <c r="E737" s="2"/>
      <c r="H737" s="509" t="s">
        <v>3405</v>
      </c>
      <c r="I737" s="2"/>
      <c r="J737" s="463"/>
      <c r="K737" s="2"/>
      <c r="O737" s="509" t="s">
        <v>3406</v>
      </c>
      <c r="AG737" s="509" t="s">
        <v>2514</v>
      </c>
    </row>
    <row r="738" spans="1:33" hidden="1">
      <c r="A738" s="521">
        <f t="shared" si="39"/>
        <v>564</v>
      </c>
      <c r="B738" s="509" t="s">
        <v>3407</v>
      </c>
      <c r="C738" s="492">
        <v>5.15</v>
      </c>
      <c r="D738" s="490" t="s">
        <v>2205</v>
      </c>
      <c r="E738" s="2"/>
      <c r="H738" s="509" t="s">
        <v>3408</v>
      </c>
      <c r="I738" s="2"/>
      <c r="J738" s="463"/>
      <c r="K738" s="2"/>
      <c r="O738" s="515" t="s">
        <v>442</v>
      </c>
      <c r="AG738" s="509" t="s">
        <v>2514</v>
      </c>
    </row>
    <row r="739" spans="1:33" hidden="1">
      <c r="A739" s="521">
        <f t="shared" si="39"/>
        <v>565</v>
      </c>
      <c r="B739" s="509" t="s">
        <v>3409</v>
      </c>
      <c r="C739" s="492">
        <v>550</v>
      </c>
      <c r="D739" s="490" t="s">
        <v>3321</v>
      </c>
      <c r="E739" s="2"/>
      <c r="H739" s="515" t="s">
        <v>442</v>
      </c>
      <c r="I739" s="2"/>
      <c r="J739" s="463"/>
      <c r="K739" s="2"/>
      <c r="AG739" s="509" t="s">
        <v>2514</v>
      </c>
    </row>
    <row r="740" spans="1:33" hidden="1">
      <c r="A740" s="521">
        <f t="shared" si="39"/>
        <v>566</v>
      </c>
      <c r="B740" s="509" t="s">
        <v>3410</v>
      </c>
      <c r="C740" s="492">
        <v>286</v>
      </c>
      <c r="D740" s="490" t="s">
        <v>3321</v>
      </c>
      <c r="E740" s="2"/>
      <c r="F740" s="519">
        <v>10</v>
      </c>
      <c r="G740" s="518" t="s">
        <v>2788</v>
      </c>
      <c r="H740" s="509" t="s">
        <v>3411</v>
      </c>
      <c r="I740" s="492">
        <f>(K720)*1.2</f>
        <v>321.36599999999993</v>
      </c>
      <c r="J740" s="500" t="s">
        <v>3371</v>
      </c>
      <c r="K740" s="492">
        <f>(F740*I740)/10</f>
        <v>321.36599999999993</v>
      </c>
      <c r="O740" s="509" t="s">
        <v>3412</v>
      </c>
      <c r="R740" s="519">
        <f>(C693)</f>
        <v>1183.82</v>
      </c>
      <c r="AG740" s="509" t="s">
        <v>2514</v>
      </c>
    </row>
    <row r="741" spans="1:33" hidden="1">
      <c r="A741" s="521">
        <f t="shared" si="39"/>
        <v>567</v>
      </c>
      <c r="B741" s="509" t="s">
        <v>3413</v>
      </c>
      <c r="C741" s="492">
        <v>96.3</v>
      </c>
      <c r="D741" s="490" t="s">
        <v>2205</v>
      </c>
      <c r="E741" s="2"/>
      <c r="H741" s="509" t="s">
        <v>3414</v>
      </c>
      <c r="I741" s="2"/>
      <c r="J741" s="463"/>
      <c r="K741" s="2"/>
      <c r="R741" s="515" t="s">
        <v>29</v>
      </c>
      <c r="AG741" s="509" t="s">
        <v>2514</v>
      </c>
    </row>
    <row r="742" spans="1:33" hidden="1">
      <c r="A742" s="521">
        <f t="shared" si="39"/>
        <v>568</v>
      </c>
      <c r="B742" s="509" t="s">
        <v>3415</v>
      </c>
      <c r="C742" s="492">
        <v>51</v>
      </c>
      <c r="D742" s="490" t="s">
        <v>3321</v>
      </c>
      <c r="E742" s="2"/>
      <c r="H742" s="509" t="s">
        <v>3416</v>
      </c>
      <c r="I742" s="2"/>
      <c r="J742" s="463"/>
      <c r="K742" s="2"/>
      <c r="AG742" s="509" t="s">
        <v>2514</v>
      </c>
    </row>
    <row r="743" spans="1:33" hidden="1">
      <c r="A743" s="521">
        <f t="shared" si="39"/>
        <v>569</v>
      </c>
      <c r="B743" s="509" t="s">
        <v>3417</v>
      </c>
      <c r="C743" s="492">
        <v>181</v>
      </c>
      <c r="D743" s="490" t="s">
        <v>3131</v>
      </c>
      <c r="E743" s="2"/>
      <c r="F743" s="519">
        <v>10</v>
      </c>
      <c r="G743" s="518" t="s">
        <v>2788</v>
      </c>
      <c r="H743" s="509" t="s">
        <v>3418</v>
      </c>
      <c r="I743" s="492">
        <f>K722*1.2</f>
        <v>270.57599999999996</v>
      </c>
      <c r="J743" s="500" t="s">
        <v>3371</v>
      </c>
      <c r="K743" s="492">
        <f>(F743*I743)/10</f>
        <v>270.57599999999996</v>
      </c>
      <c r="N743" s="509" t="s">
        <v>575</v>
      </c>
      <c r="O743" s="509" t="s">
        <v>3419</v>
      </c>
      <c r="AG743" s="509" t="s">
        <v>2514</v>
      </c>
    </row>
    <row r="744" spans="1:33" hidden="1">
      <c r="A744" s="521">
        <f t="shared" si="39"/>
        <v>570</v>
      </c>
      <c r="B744" s="509" t="s">
        <v>3420</v>
      </c>
      <c r="C744" s="492">
        <v>36.200000000000003</v>
      </c>
      <c r="D744" s="490" t="s">
        <v>2205</v>
      </c>
      <c r="E744" s="2"/>
      <c r="H744" s="509" t="s">
        <v>3421</v>
      </c>
      <c r="I744" s="2"/>
      <c r="J744" s="463"/>
      <c r="K744" s="2"/>
      <c r="O744" s="515" t="s">
        <v>29</v>
      </c>
      <c r="P744" s="515" t="s">
        <v>29</v>
      </c>
      <c r="Q744" s="515" t="s">
        <v>29</v>
      </c>
      <c r="R744" s="509" t="s">
        <v>3422</v>
      </c>
      <c r="AG744" s="509" t="s">
        <v>2514</v>
      </c>
    </row>
    <row r="745" spans="1:33" hidden="1">
      <c r="A745" s="521">
        <f t="shared" si="39"/>
        <v>571</v>
      </c>
      <c r="B745" s="509" t="s">
        <v>3423</v>
      </c>
      <c r="C745" s="492">
        <v>98</v>
      </c>
      <c r="D745" s="490" t="s">
        <v>3321</v>
      </c>
      <c r="E745" s="2"/>
      <c r="H745" s="509" t="s">
        <v>3424</v>
      </c>
      <c r="I745" s="2"/>
      <c r="J745" s="463"/>
      <c r="K745" s="2"/>
      <c r="O745" s="509" t="s">
        <v>3425</v>
      </c>
      <c r="Q745" s="510" t="s">
        <v>12</v>
      </c>
      <c r="R745" s="519">
        <f>(C696)</f>
        <v>147.6</v>
      </c>
      <c r="AG745" s="509" t="s">
        <v>2514</v>
      </c>
    </row>
    <row r="746" spans="1:33" hidden="1">
      <c r="A746" s="521">
        <f t="shared" si="39"/>
        <v>572</v>
      </c>
      <c r="B746" s="509" t="s">
        <v>3426</v>
      </c>
      <c r="C746" s="492">
        <v>92</v>
      </c>
      <c r="D746" s="490" t="s">
        <v>2205</v>
      </c>
      <c r="E746" s="2"/>
      <c r="F746" s="519">
        <v>98.5</v>
      </c>
      <c r="G746" s="518" t="s">
        <v>12</v>
      </c>
      <c r="H746" s="509" t="s">
        <v>3377</v>
      </c>
      <c r="I746" s="492">
        <f>C269/5</f>
        <v>3</v>
      </c>
      <c r="J746" s="500" t="s">
        <v>3371</v>
      </c>
      <c r="K746" s="492">
        <f t="shared" ref="K746:K752" si="40">(F746*I746)</f>
        <v>295.5</v>
      </c>
      <c r="O746" s="509" t="s">
        <v>3427</v>
      </c>
      <c r="AG746" s="509" t="s">
        <v>2514</v>
      </c>
    </row>
    <row r="747" spans="1:33" hidden="1">
      <c r="A747" s="521">
        <f t="shared" si="39"/>
        <v>573</v>
      </c>
      <c r="B747" s="509" t="s">
        <v>3428</v>
      </c>
      <c r="C747" s="492">
        <v>49.42</v>
      </c>
      <c r="D747" s="490" t="s">
        <v>3321</v>
      </c>
      <c r="E747" s="2"/>
      <c r="F747" s="519">
        <v>3.8</v>
      </c>
      <c r="G747" s="518" t="s">
        <v>2359</v>
      </c>
      <c r="H747" s="509" t="s">
        <v>3309</v>
      </c>
      <c r="I747" s="492">
        <f>(C16)</f>
        <v>150</v>
      </c>
      <c r="J747" s="500" t="s">
        <v>2359</v>
      </c>
      <c r="K747" s="492">
        <f t="shared" si="40"/>
        <v>570</v>
      </c>
      <c r="O747" s="509" t="s">
        <v>3429</v>
      </c>
      <c r="AG747" s="509" t="s">
        <v>2514</v>
      </c>
    </row>
    <row r="748" spans="1:33" hidden="1">
      <c r="A748" s="521">
        <f t="shared" si="39"/>
        <v>574</v>
      </c>
      <c r="B748" s="509" t="s">
        <v>3430</v>
      </c>
      <c r="C748" s="492">
        <v>53.2</v>
      </c>
      <c r="D748" s="490" t="s">
        <v>3321</v>
      </c>
      <c r="E748" s="2"/>
      <c r="F748" s="519">
        <v>5.4</v>
      </c>
      <c r="G748" s="518" t="s">
        <v>2359</v>
      </c>
      <c r="H748" s="509" t="s">
        <v>2344</v>
      </c>
      <c r="I748" s="492">
        <f>(C12)</f>
        <v>95</v>
      </c>
      <c r="J748" s="500" t="s">
        <v>2359</v>
      </c>
      <c r="K748" s="492">
        <f t="shared" si="40"/>
        <v>513</v>
      </c>
      <c r="O748" s="509" t="s">
        <v>3431</v>
      </c>
      <c r="AG748" s="509" t="s">
        <v>2514</v>
      </c>
    </row>
    <row r="749" spans="1:33" hidden="1">
      <c r="A749" s="521">
        <f t="shared" si="39"/>
        <v>575</v>
      </c>
      <c r="B749" s="509" t="s">
        <v>3432</v>
      </c>
      <c r="C749" s="492">
        <v>59</v>
      </c>
      <c r="D749" s="490" t="s">
        <v>3321</v>
      </c>
      <c r="E749" s="2"/>
      <c r="F749" s="519">
        <v>1</v>
      </c>
      <c r="G749" s="518" t="s">
        <v>2359</v>
      </c>
      <c r="H749" s="509" t="s">
        <v>3387</v>
      </c>
      <c r="I749" s="492">
        <f>C66</f>
        <v>120</v>
      </c>
      <c r="J749" s="500" t="s">
        <v>556</v>
      </c>
      <c r="K749" s="492">
        <f t="shared" si="40"/>
        <v>120</v>
      </c>
      <c r="O749" s="509" t="s">
        <v>3433</v>
      </c>
      <c r="AG749" s="509" t="s">
        <v>2514</v>
      </c>
    </row>
    <row r="750" spans="1:33" hidden="1">
      <c r="A750" s="521">
        <f t="shared" si="39"/>
        <v>576</v>
      </c>
      <c r="B750" s="509" t="s">
        <v>3434</v>
      </c>
      <c r="C750" s="492">
        <v>100</v>
      </c>
      <c r="D750" s="490" t="s">
        <v>3321</v>
      </c>
      <c r="E750" s="2"/>
      <c r="F750" s="519">
        <v>1</v>
      </c>
      <c r="G750" s="518" t="s">
        <v>2346</v>
      </c>
      <c r="H750" s="509" t="s">
        <v>3435</v>
      </c>
      <c r="I750" s="492">
        <v>11</v>
      </c>
      <c r="J750" s="500" t="s">
        <v>556</v>
      </c>
      <c r="K750" s="492">
        <f t="shared" si="40"/>
        <v>11</v>
      </c>
      <c r="O750" s="509" t="s">
        <v>3436</v>
      </c>
      <c r="R750" s="509" t="s">
        <v>30</v>
      </c>
      <c r="AG750" s="509" t="s">
        <v>2514</v>
      </c>
    </row>
    <row r="751" spans="1:33" hidden="1">
      <c r="A751" s="521">
        <f t="shared" si="39"/>
        <v>577</v>
      </c>
      <c r="B751" s="509" t="s">
        <v>3437</v>
      </c>
      <c r="C751" s="492">
        <v>49.52</v>
      </c>
      <c r="D751" s="490" t="s">
        <v>2205</v>
      </c>
      <c r="E751" s="2"/>
      <c r="F751" s="519">
        <v>1</v>
      </c>
      <c r="G751" s="518" t="s">
        <v>2346</v>
      </c>
      <c r="H751" s="509" t="s">
        <v>3313</v>
      </c>
      <c r="I751" s="492">
        <v>10</v>
      </c>
      <c r="J751" s="500" t="s">
        <v>2346</v>
      </c>
      <c r="K751" s="492">
        <f t="shared" si="40"/>
        <v>10</v>
      </c>
      <c r="O751" s="509" t="s">
        <v>30</v>
      </c>
      <c r="AG751" s="509" t="s">
        <v>2514</v>
      </c>
    </row>
    <row r="752" spans="1:33" hidden="1">
      <c r="A752" s="521">
        <f t="shared" si="39"/>
        <v>578</v>
      </c>
      <c r="B752" s="509" t="s">
        <v>3438</v>
      </c>
      <c r="C752" s="492">
        <v>1080</v>
      </c>
      <c r="D752" s="490" t="s">
        <v>3321</v>
      </c>
      <c r="E752" s="2"/>
      <c r="F752" s="519">
        <v>19</v>
      </c>
      <c r="G752" s="518" t="s">
        <v>13</v>
      </c>
      <c r="H752" s="509" t="s">
        <v>3439</v>
      </c>
      <c r="I752" s="492">
        <v>2</v>
      </c>
      <c r="J752" s="463" t="s">
        <v>13</v>
      </c>
      <c r="K752" s="492">
        <f t="shared" si="40"/>
        <v>38</v>
      </c>
      <c r="AG752" s="509" t="s">
        <v>2514</v>
      </c>
    </row>
    <row r="753" spans="1:33" hidden="1">
      <c r="A753" s="521">
        <f t="shared" si="39"/>
        <v>579</v>
      </c>
      <c r="B753" s="509" t="s">
        <v>3440</v>
      </c>
      <c r="C753" s="492">
        <v>381.37</v>
      </c>
      <c r="D753" s="490" t="s">
        <v>2788</v>
      </c>
      <c r="E753" s="2"/>
      <c r="H753" s="509" t="s">
        <v>3441</v>
      </c>
      <c r="I753" s="2"/>
      <c r="J753" s="463"/>
      <c r="K753" s="2"/>
      <c r="N753" s="509" t="s">
        <v>575</v>
      </c>
      <c r="O753" s="509" t="s">
        <v>3442</v>
      </c>
      <c r="Q753" s="510" t="s">
        <v>26</v>
      </c>
      <c r="R753" s="519">
        <f>(C700)</f>
        <v>1250</v>
      </c>
      <c r="AG753" s="509" t="s">
        <v>2514</v>
      </c>
    </row>
    <row r="754" spans="1:33" hidden="1">
      <c r="A754" s="521" t="e">
        <f>(#REF!+1)</f>
        <v>#REF!</v>
      </c>
      <c r="B754" s="509" t="s">
        <v>3384</v>
      </c>
      <c r="C754" s="2"/>
      <c r="D754" s="2"/>
      <c r="E754" s="2"/>
      <c r="I754" s="2"/>
      <c r="J754" s="463"/>
      <c r="K754" s="491" t="s">
        <v>442</v>
      </c>
      <c r="O754" s="509" t="s">
        <v>3443</v>
      </c>
      <c r="AG754" s="509" t="s">
        <v>2514</v>
      </c>
    </row>
    <row r="755" spans="1:33" hidden="1">
      <c r="A755" s="521"/>
      <c r="B755" s="509" t="s">
        <v>3385</v>
      </c>
      <c r="C755" s="492">
        <v>300</v>
      </c>
      <c r="D755" s="2"/>
      <c r="E755" s="2"/>
      <c r="H755" s="509" t="s">
        <v>2358</v>
      </c>
      <c r="I755" s="2"/>
      <c r="J755" s="463"/>
      <c r="K755" s="492">
        <f>SUM(K740:K753)</f>
        <v>2149.442</v>
      </c>
      <c r="O755" s="509" t="s">
        <v>3444</v>
      </c>
      <c r="AG755" s="509" t="s">
        <v>2514</v>
      </c>
    </row>
    <row r="756" spans="1:33" hidden="1">
      <c r="A756" s="521"/>
      <c r="B756" s="510" t="s">
        <v>3388</v>
      </c>
      <c r="C756" s="492">
        <v>302</v>
      </c>
      <c r="D756" s="2"/>
      <c r="E756" s="2"/>
      <c r="I756" s="2"/>
      <c r="J756" s="463"/>
      <c r="K756" s="491" t="s">
        <v>442</v>
      </c>
      <c r="O756" s="509" t="s">
        <v>3445</v>
      </c>
      <c r="AG756" s="509" t="s">
        <v>2514</v>
      </c>
    </row>
    <row r="757" spans="1:33" hidden="1">
      <c r="A757" s="521"/>
      <c r="B757" s="509" t="s">
        <v>3446</v>
      </c>
      <c r="C757" s="492">
        <v>324</v>
      </c>
      <c r="D757" s="2"/>
      <c r="E757" s="2"/>
      <c r="H757" s="509" t="s">
        <v>2355</v>
      </c>
      <c r="I757" s="2"/>
      <c r="J757" s="463"/>
      <c r="K757" s="492">
        <f>(K755/10)</f>
        <v>214.9442</v>
      </c>
      <c r="AG757" s="509" t="s">
        <v>2514</v>
      </c>
    </row>
    <row r="758" spans="1:33" hidden="1">
      <c r="A758" s="521"/>
      <c r="B758" s="509" t="s">
        <v>3390</v>
      </c>
      <c r="C758" s="492">
        <v>382</v>
      </c>
      <c r="D758" s="2"/>
      <c r="E758" s="2"/>
      <c r="I758" s="2"/>
      <c r="J758" s="463"/>
      <c r="K758" s="491" t="s">
        <v>29</v>
      </c>
      <c r="N758" s="509" t="s">
        <v>575</v>
      </c>
      <c r="O758" s="509" t="s">
        <v>3447</v>
      </c>
      <c r="AG758" s="509" t="s">
        <v>2514</v>
      </c>
    </row>
    <row r="759" spans="1:33" hidden="1">
      <c r="A759" s="521"/>
      <c r="B759" s="509" t="s">
        <v>3396</v>
      </c>
      <c r="C759" s="492">
        <v>505</v>
      </c>
      <c r="D759" s="2"/>
      <c r="E759" s="2"/>
      <c r="I759" s="2"/>
      <c r="J759" s="463"/>
      <c r="K759" s="2"/>
      <c r="O759" s="509" t="s">
        <v>3448</v>
      </c>
      <c r="R759" s="509" t="s">
        <v>30</v>
      </c>
      <c r="AG759" s="509" t="s">
        <v>2514</v>
      </c>
    </row>
    <row r="760" spans="1:33" hidden="1">
      <c r="A760" s="521"/>
      <c r="B760" s="509" t="s">
        <v>3393</v>
      </c>
      <c r="C760" s="492">
        <v>140</v>
      </c>
      <c r="D760" s="2"/>
      <c r="E760" s="2"/>
      <c r="F760" s="510" t="s">
        <v>2623</v>
      </c>
      <c r="G760" s="518" t="s">
        <v>575</v>
      </c>
      <c r="H760" s="509" t="s">
        <v>3402</v>
      </c>
      <c r="I760" s="2"/>
      <c r="J760" s="463"/>
      <c r="K760" s="2"/>
      <c r="O760" s="509" t="s">
        <v>3449</v>
      </c>
      <c r="AG760" s="509" t="s">
        <v>2514</v>
      </c>
    </row>
    <row r="761" spans="1:33" hidden="1">
      <c r="A761" s="521"/>
      <c r="B761" s="509" t="s">
        <v>3395</v>
      </c>
      <c r="C761" s="492">
        <v>222</v>
      </c>
      <c r="D761" s="2"/>
      <c r="E761" s="2"/>
      <c r="H761" s="509" t="s">
        <v>3405</v>
      </c>
      <c r="I761" s="2"/>
      <c r="J761" s="463"/>
      <c r="K761" s="2"/>
      <c r="O761" s="515" t="s">
        <v>442</v>
      </c>
      <c r="AG761" s="509" t="s">
        <v>2514</v>
      </c>
    </row>
    <row r="762" spans="1:33" hidden="1">
      <c r="A762" s="521"/>
      <c r="B762" s="509" t="s">
        <v>3450</v>
      </c>
      <c r="C762" s="492">
        <v>100</v>
      </c>
      <c r="D762" s="2"/>
      <c r="E762" s="2"/>
      <c r="H762" s="509" t="s">
        <v>3451</v>
      </c>
      <c r="I762" s="2"/>
      <c r="J762" s="463"/>
      <c r="K762" s="2"/>
      <c r="N762" s="509" t="s">
        <v>2830</v>
      </c>
      <c r="O762" s="509" t="s">
        <v>3452</v>
      </c>
      <c r="P762" s="519">
        <f>(C271)</f>
        <v>160</v>
      </c>
      <c r="Q762" s="509" t="s">
        <v>2830</v>
      </c>
      <c r="R762" s="519" t="e">
        <f>(#VALUE!*P762)</f>
        <v>#VALUE!</v>
      </c>
      <c r="AG762" s="509" t="s">
        <v>2514</v>
      </c>
    </row>
    <row r="763" spans="1:33" hidden="1">
      <c r="A763" s="521"/>
      <c r="B763" s="509" t="s">
        <v>3453</v>
      </c>
      <c r="C763" s="492">
        <v>75</v>
      </c>
      <c r="D763" s="2"/>
      <c r="E763" s="2"/>
      <c r="H763" s="515" t="s">
        <v>442</v>
      </c>
      <c r="I763" s="2"/>
      <c r="J763" s="463"/>
      <c r="K763" s="2"/>
      <c r="AG763" s="509" t="s">
        <v>2514</v>
      </c>
    </row>
    <row r="764" spans="1:33" hidden="1">
      <c r="A764" s="521"/>
      <c r="B764" s="509" t="s">
        <v>3454</v>
      </c>
      <c r="C764" s="492">
        <v>218</v>
      </c>
      <c r="D764" s="2"/>
      <c r="E764" s="2"/>
      <c r="H764" s="509" t="s">
        <v>3455</v>
      </c>
      <c r="I764" s="2"/>
      <c r="J764" s="463"/>
      <c r="K764" s="492">
        <f>(K695/2)</f>
        <v>123.26900000000001</v>
      </c>
      <c r="N764" s="509" t="s">
        <v>3456</v>
      </c>
      <c r="O764" s="509" t="s">
        <v>3457</v>
      </c>
      <c r="P764" s="519">
        <f>(C16)</f>
        <v>150</v>
      </c>
      <c r="Q764" s="509" t="s">
        <v>3456</v>
      </c>
      <c r="R764" s="519" t="e">
        <f>(#VALUE!*P764)</f>
        <v>#VALUE!</v>
      </c>
      <c r="AG764" s="509" t="s">
        <v>2514</v>
      </c>
    </row>
    <row r="765" spans="1:33" hidden="1">
      <c r="A765" s="521"/>
      <c r="B765" s="509" t="s">
        <v>3458</v>
      </c>
      <c r="C765" s="492">
        <v>1854</v>
      </c>
      <c r="D765" s="2"/>
      <c r="E765" s="2"/>
      <c r="H765" s="509" t="s">
        <v>3459</v>
      </c>
      <c r="I765" s="2"/>
      <c r="J765" s="463"/>
      <c r="K765" s="491" t="s">
        <v>29</v>
      </c>
      <c r="AG765" s="509" t="s">
        <v>2514</v>
      </c>
    </row>
    <row r="766" spans="1:33" hidden="1">
      <c r="C766" s="2"/>
      <c r="D766" s="2"/>
      <c r="E766" s="2"/>
      <c r="I766" s="2"/>
      <c r="J766" s="463"/>
      <c r="K766" s="2"/>
    </row>
    <row r="767" spans="1:33" hidden="1">
      <c r="A767" s="521"/>
      <c r="B767" s="509" t="s">
        <v>3460</v>
      </c>
      <c r="C767" s="492">
        <v>51</v>
      </c>
      <c r="D767" s="2"/>
      <c r="E767" s="2"/>
      <c r="F767" s="510" t="s">
        <v>3461</v>
      </c>
      <c r="G767" s="518" t="s">
        <v>575</v>
      </c>
      <c r="H767" s="509" t="s">
        <v>3462</v>
      </c>
      <c r="I767" s="2"/>
      <c r="J767" s="463"/>
      <c r="K767" s="2"/>
      <c r="O767" s="509" t="s">
        <v>3463</v>
      </c>
      <c r="P767" s="517" t="s">
        <v>2346</v>
      </c>
      <c r="R767" s="519">
        <v>0.64</v>
      </c>
      <c r="AG767" s="509" t="s">
        <v>2514</v>
      </c>
    </row>
    <row r="768" spans="1:33" hidden="1">
      <c r="A768" s="521"/>
      <c r="B768" s="509" t="s">
        <v>3464</v>
      </c>
      <c r="C768" s="492">
        <v>915</v>
      </c>
      <c r="D768" s="2"/>
      <c r="E768" s="2"/>
      <c r="H768" s="509" t="s">
        <v>3465</v>
      </c>
      <c r="I768" s="2"/>
      <c r="J768" s="463"/>
      <c r="K768" s="2"/>
      <c r="R768" s="515" t="s">
        <v>442</v>
      </c>
      <c r="AG768" s="509" t="s">
        <v>2514</v>
      </c>
    </row>
    <row r="769" spans="1:33" hidden="1">
      <c r="A769" s="521"/>
      <c r="B769" s="509" t="s">
        <v>3466</v>
      </c>
      <c r="C769" s="492">
        <v>890</v>
      </c>
      <c r="D769" s="2"/>
      <c r="E769" s="2"/>
      <c r="H769" s="509" t="s">
        <v>3467</v>
      </c>
      <c r="I769" s="2"/>
      <c r="J769" s="463"/>
      <c r="K769" s="2"/>
      <c r="O769" s="509" t="s">
        <v>3468</v>
      </c>
      <c r="R769" s="519" t="e">
        <f>SUM(R762:R767)</f>
        <v>#VALUE!</v>
      </c>
      <c r="AG769" s="509" t="s">
        <v>2514</v>
      </c>
    </row>
    <row r="770" spans="1:33" hidden="1">
      <c r="A770" s="521"/>
      <c r="B770" s="509" t="s">
        <v>3469</v>
      </c>
      <c r="C770" s="492">
        <v>5.15</v>
      </c>
      <c r="D770" s="2"/>
      <c r="E770" s="2"/>
      <c r="H770" s="515" t="s">
        <v>442</v>
      </c>
      <c r="I770" s="2"/>
      <c r="J770" s="463"/>
      <c r="K770" s="2"/>
      <c r="R770" s="515" t="s">
        <v>442</v>
      </c>
      <c r="AG770" s="509" t="s">
        <v>2514</v>
      </c>
    </row>
    <row r="771" spans="1:33" hidden="1">
      <c r="A771" s="521"/>
      <c r="B771" s="509" t="s">
        <v>3470</v>
      </c>
      <c r="C771" s="492">
        <v>43.3</v>
      </c>
      <c r="D771" s="2"/>
      <c r="E771" s="2"/>
      <c r="F771" s="528">
        <v>9</v>
      </c>
      <c r="G771" s="518" t="s">
        <v>2334</v>
      </c>
      <c r="H771" s="509" t="s">
        <v>3471</v>
      </c>
      <c r="I771" s="492" t="e">
        <f>C73</f>
        <v>#REF!</v>
      </c>
      <c r="J771" s="500" t="s">
        <v>2334</v>
      </c>
      <c r="K771" s="492" t="e">
        <f t="shared" ref="K771:K776" si="41">F771*I771</f>
        <v>#REF!</v>
      </c>
      <c r="O771" s="509" t="s">
        <v>3472</v>
      </c>
      <c r="R771" s="519" t="e">
        <f>(R769/0.4)</f>
        <v>#VALUE!</v>
      </c>
      <c r="AG771" s="509" t="s">
        <v>2514</v>
      </c>
    </row>
    <row r="772" spans="1:33" hidden="1">
      <c r="A772" s="521"/>
      <c r="B772" s="509" t="s">
        <v>3473</v>
      </c>
      <c r="C772" s="492">
        <v>920</v>
      </c>
      <c r="D772" s="2"/>
      <c r="E772" s="2"/>
      <c r="F772" s="528">
        <v>4.3079999999999998</v>
      </c>
      <c r="G772" s="518" t="s">
        <v>2516</v>
      </c>
      <c r="H772" s="509" t="s">
        <v>2517</v>
      </c>
      <c r="I772" s="492">
        <f>C67</f>
        <v>3800</v>
      </c>
      <c r="J772" s="500" t="s">
        <v>2516</v>
      </c>
      <c r="K772" s="492">
        <f t="shared" si="41"/>
        <v>16370.4</v>
      </c>
      <c r="R772" s="515" t="s">
        <v>29</v>
      </c>
      <c r="AG772" s="509" t="s">
        <v>2514</v>
      </c>
    </row>
    <row r="773" spans="1:33" hidden="1">
      <c r="A773" s="521"/>
      <c r="B773" s="509" t="s">
        <v>3474</v>
      </c>
      <c r="C773" s="492">
        <v>98</v>
      </c>
      <c r="D773" s="2"/>
      <c r="E773" s="2"/>
      <c r="F773" s="528">
        <v>4.5</v>
      </c>
      <c r="G773" s="518" t="s">
        <v>2334</v>
      </c>
      <c r="H773" s="509" t="s">
        <v>2525</v>
      </c>
      <c r="I773" s="492" t="e">
        <f>C78</f>
        <v>#REF!</v>
      </c>
      <c r="J773" s="500" t="s">
        <v>2334</v>
      </c>
      <c r="K773" s="492" t="e">
        <f t="shared" si="41"/>
        <v>#REF!</v>
      </c>
      <c r="N773" s="509" t="s">
        <v>575</v>
      </c>
      <c r="O773" s="509" t="s">
        <v>3475</v>
      </c>
      <c r="AG773" s="509" t="s">
        <v>2514</v>
      </c>
    </row>
    <row r="774" spans="1:33" hidden="1">
      <c r="A774" s="521"/>
      <c r="B774" s="509" t="s">
        <v>3476</v>
      </c>
      <c r="C774" s="492">
        <v>181</v>
      </c>
      <c r="D774" s="2"/>
      <c r="E774" s="2"/>
      <c r="F774" s="528">
        <v>3.5</v>
      </c>
      <c r="G774" s="518" t="s">
        <v>2342</v>
      </c>
      <c r="H774" s="509" t="s">
        <v>2343</v>
      </c>
      <c r="I774" s="492">
        <f>C11</f>
        <v>135</v>
      </c>
      <c r="J774" s="500" t="s">
        <v>2342</v>
      </c>
      <c r="K774" s="492">
        <f t="shared" si="41"/>
        <v>472.5</v>
      </c>
      <c r="O774" s="509" t="s">
        <v>3477</v>
      </c>
      <c r="AG774" s="509" t="s">
        <v>2514</v>
      </c>
    </row>
    <row r="775" spans="1:33" hidden="1">
      <c r="A775" s="521"/>
      <c r="B775" s="509" t="s">
        <v>3478</v>
      </c>
      <c r="C775" s="492">
        <v>1148.76</v>
      </c>
      <c r="D775" s="2"/>
      <c r="E775" s="2"/>
      <c r="F775" s="528">
        <v>21.2</v>
      </c>
      <c r="G775" s="518" t="s">
        <v>2342</v>
      </c>
      <c r="H775" s="509" t="s">
        <v>2344</v>
      </c>
      <c r="I775" s="492">
        <f>C12</f>
        <v>95</v>
      </c>
      <c r="J775" s="500" t="s">
        <v>2342</v>
      </c>
      <c r="K775" s="492">
        <f t="shared" si="41"/>
        <v>2014</v>
      </c>
      <c r="O775" s="509" t="s">
        <v>3479</v>
      </c>
      <c r="AG775" s="509" t="s">
        <v>2514</v>
      </c>
    </row>
    <row r="776" spans="1:33" hidden="1">
      <c r="A776" s="521"/>
      <c r="B776" s="509" t="s">
        <v>3480</v>
      </c>
      <c r="C776" s="492">
        <v>967</v>
      </c>
      <c r="D776" s="2"/>
      <c r="E776" s="2"/>
      <c r="F776" s="528">
        <v>35.299999999999997</v>
      </c>
      <c r="G776" s="518" t="s">
        <v>2342</v>
      </c>
      <c r="H776" s="509" t="s">
        <v>2345</v>
      </c>
      <c r="I776" s="492">
        <f>C13</f>
        <v>85</v>
      </c>
      <c r="J776" s="500" t="s">
        <v>2342</v>
      </c>
      <c r="K776" s="492">
        <f t="shared" si="41"/>
        <v>3000.4999999999995</v>
      </c>
      <c r="O776" s="515" t="s">
        <v>442</v>
      </c>
      <c r="AG776" s="509" t="s">
        <v>2514</v>
      </c>
    </row>
    <row r="777" spans="1:33" hidden="1">
      <c r="A777" s="521"/>
      <c r="B777" s="509" t="s">
        <v>3481</v>
      </c>
      <c r="C777" s="492">
        <v>30</v>
      </c>
      <c r="D777" s="2"/>
      <c r="E777" s="2"/>
      <c r="F777" s="517" t="s">
        <v>2346</v>
      </c>
      <c r="H777" s="509" t="s">
        <v>2347</v>
      </c>
      <c r="I777" s="2"/>
      <c r="J777" s="500" t="s">
        <v>2346</v>
      </c>
      <c r="K777" s="492">
        <v>0</v>
      </c>
      <c r="N777" s="517" t="s">
        <v>2365</v>
      </c>
      <c r="O777" s="509" t="s">
        <v>3482</v>
      </c>
      <c r="AG777" s="509" t="s">
        <v>2514</v>
      </c>
    </row>
    <row r="778" spans="1:33" hidden="1">
      <c r="A778" s="521"/>
      <c r="B778" s="509" t="s">
        <v>3483</v>
      </c>
      <c r="C778" s="492">
        <v>2107</v>
      </c>
      <c r="D778" s="2"/>
      <c r="E778" s="2"/>
      <c r="I778" s="2"/>
      <c r="J778" s="463"/>
      <c r="K778" s="491" t="s">
        <v>442</v>
      </c>
      <c r="O778" s="509" t="s">
        <v>3484</v>
      </c>
      <c r="AG778" s="509" t="s">
        <v>2514</v>
      </c>
    </row>
    <row r="779" spans="1:33" hidden="1">
      <c r="A779" s="521"/>
      <c r="B779" s="509" t="s">
        <v>3485</v>
      </c>
      <c r="C779" s="492">
        <v>650</v>
      </c>
      <c r="D779" s="2"/>
      <c r="E779" s="2"/>
      <c r="H779" s="510" t="s">
        <v>2348</v>
      </c>
      <c r="I779" s="2"/>
      <c r="J779" s="463"/>
      <c r="K779" s="492" t="e">
        <f>SUM(K771:K777)</f>
        <v>#REF!</v>
      </c>
      <c r="N779" s="509" t="s">
        <v>1973</v>
      </c>
      <c r="O779" s="509" t="s">
        <v>3486</v>
      </c>
      <c r="P779" s="519">
        <v>43</v>
      </c>
      <c r="R779" s="519" t="e">
        <f>(#VALUE!*P779)</f>
        <v>#VALUE!</v>
      </c>
      <c r="AG779" s="509" t="s">
        <v>2514</v>
      </c>
    </row>
    <row r="780" spans="1:33" hidden="1">
      <c r="A780" s="521"/>
      <c r="B780" s="509" t="s">
        <v>3487</v>
      </c>
      <c r="C780" s="545">
        <v>160</v>
      </c>
      <c r="D780" s="2"/>
      <c r="E780" s="2"/>
      <c r="I780" s="2"/>
      <c r="J780" s="463"/>
      <c r="K780" s="491" t="s">
        <v>29</v>
      </c>
      <c r="O780" s="509" t="s">
        <v>3488</v>
      </c>
      <c r="AG780" s="509" t="s">
        <v>2514</v>
      </c>
    </row>
    <row r="781" spans="1:33" hidden="1">
      <c r="A781" s="521"/>
      <c r="B781" s="509" t="s">
        <v>3489</v>
      </c>
      <c r="C781" s="545">
        <v>110</v>
      </c>
      <c r="D781" s="2"/>
      <c r="E781" s="2"/>
      <c r="H781" s="509" t="s">
        <v>2349</v>
      </c>
      <c r="I781" s="2"/>
      <c r="J781" s="463"/>
      <c r="K781" s="492" t="e">
        <f>K779/10</f>
        <v>#REF!</v>
      </c>
      <c r="O781" s="509" t="s">
        <v>3490</v>
      </c>
      <c r="AG781" s="509" t="s">
        <v>2514</v>
      </c>
    </row>
    <row r="782" spans="1:33" hidden="1">
      <c r="A782" s="521"/>
      <c r="C782" s="2"/>
      <c r="D782" s="2"/>
      <c r="E782" s="2"/>
      <c r="I782" s="2"/>
      <c r="J782" s="463"/>
      <c r="K782" s="2"/>
      <c r="N782" s="509" t="s">
        <v>2788</v>
      </c>
      <c r="O782" s="509" t="s">
        <v>3491</v>
      </c>
      <c r="P782" s="519">
        <f>C271</f>
        <v>160</v>
      </c>
      <c r="R782" s="519" t="e">
        <f>(#VALUE!*P782)</f>
        <v>#VALUE!</v>
      </c>
      <c r="AG782" s="509" t="s">
        <v>2514</v>
      </c>
    </row>
    <row r="783" spans="1:33" hidden="1">
      <c r="A783" s="521"/>
      <c r="C783" s="2">
        <v>3.05</v>
      </c>
      <c r="D783" s="2"/>
      <c r="E783" s="2"/>
      <c r="F783" s="519">
        <v>1</v>
      </c>
      <c r="G783" s="518" t="s">
        <v>2334</v>
      </c>
      <c r="H783" s="509" t="s">
        <v>2873</v>
      </c>
      <c r="I783" s="492">
        <f>C25</f>
        <v>20.7</v>
      </c>
      <c r="J783" s="463"/>
      <c r="K783" s="492">
        <f>F783*I783</f>
        <v>20.7</v>
      </c>
      <c r="N783" s="509" t="s">
        <v>2342</v>
      </c>
      <c r="O783" s="509" t="s">
        <v>3492</v>
      </c>
      <c r="P783" s="519">
        <v>5</v>
      </c>
      <c r="R783" s="519" t="e">
        <f>(#VALUE!*P783)</f>
        <v>#VALUE!</v>
      </c>
      <c r="AG783" s="509" t="s">
        <v>2514</v>
      </c>
    </row>
    <row r="784" spans="1:33" hidden="1">
      <c r="A784" s="521"/>
      <c r="C784" s="2">
        <v>30</v>
      </c>
      <c r="D784" s="2"/>
      <c r="E784" s="2"/>
      <c r="I784" s="2"/>
      <c r="J784" s="463"/>
      <c r="K784" s="491" t="s">
        <v>442</v>
      </c>
      <c r="N784" s="509" t="s">
        <v>2342</v>
      </c>
      <c r="O784" s="509" t="s">
        <v>3493</v>
      </c>
      <c r="P784" s="519">
        <v>10</v>
      </c>
      <c r="R784" s="519" t="e">
        <f>(#VALUE!*P784)</f>
        <v>#VALUE!</v>
      </c>
      <c r="AG784" s="509" t="s">
        <v>2514</v>
      </c>
    </row>
    <row r="785" spans="1:33" hidden="1">
      <c r="A785" s="521"/>
      <c r="C785" s="2">
        <v>35</v>
      </c>
      <c r="D785" s="2"/>
      <c r="E785" s="2"/>
      <c r="I785" s="2"/>
      <c r="J785" s="463"/>
      <c r="K785" s="492" t="e">
        <f>SUM(K781:K783)</f>
        <v>#REF!</v>
      </c>
      <c r="N785" s="509" t="s">
        <v>2342</v>
      </c>
      <c r="O785" s="509" t="s">
        <v>3494</v>
      </c>
      <c r="P785" s="519">
        <v>8</v>
      </c>
      <c r="R785" s="519" t="e">
        <f>(#VALUE!*P785)</f>
        <v>#VALUE!</v>
      </c>
      <c r="AG785" s="509" t="s">
        <v>2514</v>
      </c>
    </row>
    <row r="786" spans="1:33" hidden="1">
      <c r="A786" s="521"/>
      <c r="C786" s="2">
        <v>125</v>
      </c>
      <c r="D786" s="2"/>
      <c r="E786" s="2"/>
      <c r="I786" s="2"/>
      <c r="J786" s="463"/>
      <c r="K786" s="491" t="s">
        <v>442</v>
      </c>
      <c r="N786" s="509" t="s">
        <v>12</v>
      </c>
      <c r="O786" s="509" t="s">
        <v>3495</v>
      </c>
      <c r="P786" s="519">
        <v>13.66</v>
      </c>
      <c r="R786" s="519" t="e">
        <f>(#VALUE!*P786)</f>
        <v>#VALUE!</v>
      </c>
      <c r="AG786" s="509" t="s">
        <v>2514</v>
      </c>
    </row>
    <row r="787" spans="1:33" hidden="1">
      <c r="A787" s="521"/>
      <c r="B787" s="511" t="s">
        <v>3496</v>
      </c>
      <c r="C787" s="501">
        <v>162</v>
      </c>
      <c r="D787" s="501">
        <v>179</v>
      </c>
      <c r="E787" s="2"/>
      <c r="I787" s="2"/>
      <c r="J787" s="463"/>
      <c r="K787" s="491"/>
      <c r="N787" s="509"/>
      <c r="O787" s="509"/>
      <c r="P787" s="519"/>
      <c r="R787" s="519"/>
      <c r="AG787" s="509"/>
    </row>
    <row r="788" spans="1:33" hidden="1">
      <c r="A788" s="521"/>
      <c r="B788" s="511" t="s">
        <v>3497</v>
      </c>
      <c r="C788" s="546">
        <v>185</v>
      </c>
      <c r="D788" s="2"/>
      <c r="E788" s="2"/>
      <c r="H788" s="509" t="s">
        <v>2354</v>
      </c>
      <c r="I788" s="2"/>
      <c r="J788" s="463"/>
      <c r="K788" s="492" t="e">
        <f>(K785+C22)</f>
        <v>#REF!</v>
      </c>
      <c r="N788" s="509" t="s">
        <v>2788</v>
      </c>
      <c r="O788" s="509" t="s">
        <v>3498</v>
      </c>
      <c r="P788" s="519">
        <v>25.46</v>
      </c>
      <c r="R788" s="519" t="e">
        <f>(#VALUE!*P788)</f>
        <v>#VALUE!</v>
      </c>
      <c r="AG788" s="509" t="s">
        <v>2514</v>
      </c>
    </row>
    <row r="789" spans="1:33" hidden="1">
      <c r="A789" s="521"/>
      <c r="B789" s="511" t="s">
        <v>3499</v>
      </c>
      <c r="C789" s="546">
        <v>170</v>
      </c>
      <c r="D789" s="2"/>
      <c r="E789" s="2"/>
      <c r="H789" s="509" t="s">
        <v>2362</v>
      </c>
      <c r="I789" s="2"/>
      <c r="J789" s="463"/>
      <c r="K789" s="492" t="e">
        <f>(K788+C23)</f>
        <v>#REF!</v>
      </c>
      <c r="N789" s="509" t="s">
        <v>2342</v>
      </c>
      <c r="O789" s="509" t="s">
        <v>3500</v>
      </c>
      <c r="P789" s="519">
        <v>0.5</v>
      </c>
      <c r="R789" s="519" t="e">
        <f>(#VALUE!*P789)</f>
        <v>#VALUE!</v>
      </c>
      <c r="AG789" s="509" t="s">
        <v>2514</v>
      </c>
    </row>
    <row r="790" spans="1:33" hidden="1">
      <c r="A790" s="521"/>
      <c r="B790" s="511" t="s">
        <v>3501</v>
      </c>
      <c r="C790" s="546">
        <v>160</v>
      </c>
      <c r="D790" s="2"/>
      <c r="E790" s="2"/>
      <c r="H790" s="509" t="s">
        <v>2480</v>
      </c>
      <c r="I790" s="2"/>
      <c r="J790" s="463"/>
      <c r="K790" s="492" t="e">
        <f>(K789+C24)</f>
        <v>#REF!</v>
      </c>
      <c r="R790" s="519">
        <v>0.54</v>
      </c>
      <c r="AG790" s="509" t="s">
        <v>2690</v>
      </c>
    </row>
    <row r="791" spans="1:33" hidden="1">
      <c r="A791" s="521"/>
      <c r="B791" s="547" t="s">
        <v>3489</v>
      </c>
      <c r="C791" s="546">
        <v>121</v>
      </c>
      <c r="D791" s="2"/>
      <c r="E791" s="2"/>
      <c r="H791" s="509" t="s">
        <v>2481</v>
      </c>
      <c r="I791" s="2"/>
      <c r="J791" s="463"/>
      <c r="K791" s="492" t="e">
        <f>(K790+C24)</f>
        <v>#REF!</v>
      </c>
      <c r="R791" s="515" t="s">
        <v>442</v>
      </c>
    </row>
    <row r="792" spans="1:33" hidden="1">
      <c r="A792" s="521"/>
      <c r="B792" s="547" t="s">
        <v>3502</v>
      </c>
      <c r="C792" s="501">
        <v>120</v>
      </c>
      <c r="D792" s="2"/>
      <c r="E792" s="2"/>
      <c r="H792" s="509" t="s">
        <v>262</v>
      </c>
      <c r="I792" s="2"/>
      <c r="J792" s="463"/>
      <c r="K792" s="492" t="e">
        <f>(K791+C24)</f>
        <v>#REF!</v>
      </c>
      <c r="O792" s="510" t="s">
        <v>3503</v>
      </c>
      <c r="R792" s="519" t="e">
        <f>SUM(R779:R790)</f>
        <v>#VALUE!</v>
      </c>
    </row>
    <row r="793" spans="1:33" hidden="1">
      <c r="B793" s="547" t="s">
        <v>3504</v>
      </c>
      <c r="C793" s="501">
        <v>70</v>
      </c>
      <c r="D793" s="2"/>
      <c r="E793" s="2"/>
      <c r="F793" s="509" t="s">
        <v>30</v>
      </c>
      <c r="I793" s="2"/>
      <c r="J793" s="463"/>
      <c r="K793" s="2"/>
    </row>
    <row r="794" spans="1:33" hidden="1">
      <c r="A794" s="521"/>
      <c r="B794" s="547" t="s">
        <v>3505</v>
      </c>
      <c r="C794" s="2">
        <v>35</v>
      </c>
      <c r="D794" s="2"/>
      <c r="E794" s="2"/>
      <c r="F794" s="509" t="s">
        <v>30</v>
      </c>
      <c r="G794" s="518" t="s">
        <v>575</v>
      </c>
      <c r="H794" s="510" t="s">
        <v>3506</v>
      </c>
      <c r="I794" s="2"/>
      <c r="J794" s="463"/>
      <c r="K794" s="2"/>
      <c r="R794" s="515" t="s">
        <v>442</v>
      </c>
      <c r="AG794" s="509" t="s">
        <v>2514</v>
      </c>
    </row>
    <row r="795" spans="1:33" hidden="1">
      <c r="A795" s="521"/>
      <c r="B795" s="547" t="s">
        <v>3507</v>
      </c>
      <c r="C795" s="2">
        <v>90</v>
      </c>
      <c r="D795" s="2"/>
      <c r="E795" s="2"/>
      <c r="H795" s="515" t="s">
        <v>29</v>
      </c>
      <c r="I795" s="2"/>
      <c r="J795" s="463"/>
      <c r="K795" s="2"/>
      <c r="AG795" s="509" t="s">
        <v>2514</v>
      </c>
    </row>
    <row r="796" spans="1:33" hidden="1">
      <c r="A796" s="521"/>
      <c r="B796" s="547" t="s">
        <v>3508</v>
      </c>
      <c r="C796" s="501">
        <v>140</v>
      </c>
      <c r="D796" s="2"/>
      <c r="E796" s="2"/>
      <c r="I796" s="2"/>
      <c r="J796" s="463"/>
      <c r="K796" s="2"/>
      <c r="N796" s="509" t="s">
        <v>3335</v>
      </c>
      <c r="O796" s="509" t="s">
        <v>3509</v>
      </c>
      <c r="AG796" s="509" t="s">
        <v>2514</v>
      </c>
    </row>
    <row r="797" spans="1:33" ht="31.5" hidden="1">
      <c r="A797" s="548">
        <v>1</v>
      </c>
      <c r="B797" s="549" t="s">
        <v>3510</v>
      </c>
      <c r="C797" s="2"/>
      <c r="D797" s="2"/>
      <c r="E797" s="2"/>
      <c r="F797" s="510" t="s">
        <v>3511</v>
      </c>
      <c r="G797" s="518" t="s">
        <v>575</v>
      </c>
      <c r="H797" s="509" t="s">
        <v>3512</v>
      </c>
      <c r="I797" s="2"/>
      <c r="J797" s="463"/>
      <c r="K797" s="2"/>
      <c r="O797" s="509" t="s">
        <v>3484</v>
      </c>
      <c r="AG797" s="509" t="s">
        <v>2514</v>
      </c>
    </row>
    <row r="798" spans="1:33" hidden="1">
      <c r="A798" s="548"/>
      <c r="B798" s="547" t="s">
        <v>3513</v>
      </c>
      <c r="C798" s="550">
        <v>11</v>
      </c>
      <c r="D798" s="2"/>
      <c r="E798" s="2"/>
      <c r="H798" s="509" t="s">
        <v>3514</v>
      </c>
      <c r="I798" s="2"/>
      <c r="J798" s="463"/>
      <c r="K798" s="2"/>
      <c r="N798" s="509" t="s">
        <v>1973</v>
      </c>
      <c r="O798" s="509" t="s">
        <v>3486</v>
      </c>
      <c r="P798" s="519">
        <v>43</v>
      </c>
      <c r="R798" s="519" t="e">
        <f>(#VALUE!*P798)</f>
        <v>#VALUE!</v>
      </c>
      <c r="AG798" s="509" t="s">
        <v>2514</v>
      </c>
    </row>
    <row r="799" spans="1:33" hidden="1">
      <c r="A799" s="551"/>
      <c r="B799" s="547" t="s">
        <v>3515</v>
      </c>
      <c r="C799" s="550">
        <v>11</v>
      </c>
      <c r="D799" s="2"/>
      <c r="E799" s="2"/>
      <c r="H799" s="509" t="s">
        <v>3516</v>
      </c>
      <c r="I799" s="2"/>
      <c r="J799" s="463"/>
      <c r="K799" s="2"/>
      <c r="O799" s="509" t="s">
        <v>3488</v>
      </c>
      <c r="AG799" s="509" t="s">
        <v>2514</v>
      </c>
    </row>
    <row r="800" spans="1:33" hidden="1">
      <c r="A800" s="548"/>
      <c r="B800" s="547" t="s">
        <v>3517</v>
      </c>
      <c r="C800" s="550">
        <v>11</v>
      </c>
      <c r="D800" s="2"/>
      <c r="E800" s="2"/>
      <c r="H800" s="509" t="s">
        <v>3518</v>
      </c>
      <c r="I800" s="2"/>
      <c r="J800" s="463"/>
      <c r="K800" s="2"/>
      <c r="O800" s="509" t="s">
        <v>3490</v>
      </c>
      <c r="AG800" s="509" t="s">
        <v>2514</v>
      </c>
    </row>
    <row r="801" spans="1:33" hidden="1">
      <c r="A801" s="551"/>
      <c r="B801" s="547" t="s">
        <v>3519</v>
      </c>
      <c r="C801" s="550">
        <v>11</v>
      </c>
      <c r="D801" s="2"/>
      <c r="E801" s="2"/>
      <c r="H801" s="509" t="s">
        <v>3520</v>
      </c>
      <c r="I801" s="2"/>
      <c r="J801" s="463"/>
      <c r="K801" s="2"/>
      <c r="N801" s="509" t="s">
        <v>2788</v>
      </c>
      <c r="O801" s="509" t="s">
        <v>3491</v>
      </c>
      <c r="P801" s="519">
        <f>C271</f>
        <v>160</v>
      </c>
      <c r="R801" s="519" t="e">
        <f t="shared" ref="R801:R807" si="42">(#VALUE!*P801)</f>
        <v>#VALUE!</v>
      </c>
      <c r="AG801" s="509" t="s">
        <v>2514</v>
      </c>
    </row>
    <row r="802" spans="1:33" hidden="1">
      <c r="A802" s="548"/>
      <c r="B802" s="547" t="s">
        <v>3521</v>
      </c>
      <c r="C802" s="550">
        <v>12</v>
      </c>
      <c r="D802" s="2"/>
      <c r="E802" s="2"/>
      <c r="H802" s="509" t="s">
        <v>3522</v>
      </c>
      <c r="I802" s="2"/>
      <c r="J802" s="463"/>
      <c r="K802" s="2"/>
      <c r="N802" s="509" t="s">
        <v>2342</v>
      </c>
      <c r="O802" s="509" t="s">
        <v>3492</v>
      </c>
      <c r="P802" s="519">
        <v>5</v>
      </c>
      <c r="R802" s="519" t="e">
        <f t="shared" si="42"/>
        <v>#VALUE!</v>
      </c>
      <c r="AG802" s="509" t="s">
        <v>2514</v>
      </c>
    </row>
    <row r="803" spans="1:33" hidden="1">
      <c r="A803" s="551"/>
      <c r="B803" s="547" t="s">
        <v>3523</v>
      </c>
      <c r="C803" s="552" t="s">
        <v>3524</v>
      </c>
      <c r="D803" s="2"/>
      <c r="E803" s="2"/>
      <c r="H803" s="509" t="s">
        <v>3525</v>
      </c>
      <c r="I803" s="2"/>
      <c r="J803" s="463"/>
      <c r="K803" s="2"/>
      <c r="N803" s="509" t="s">
        <v>2342</v>
      </c>
      <c r="O803" s="509" t="s">
        <v>3493</v>
      </c>
      <c r="P803" s="519">
        <v>10</v>
      </c>
      <c r="R803" s="519" t="e">
        <f t="shared" si="42"/>
        <v>#VALUE!</v>
      </c>
      <c r="AG803" s="509" t="s">
        <v>2514</v>
      </c>
    </row>
    <row r="804" spans="1:33" hidden="1">
      <c r="A804" s="548"/>
      <c r="B804" s="547" t="s">
        <v>3526</v>
      </c>
      <c r="C804" s="501">
        <v>25</v>
      </c>
      <c r="D804" s="2"/>
      <c r="E804" s="2"/>
      <c r="H804" s="509" t="s">
        <v>3527</v>
      </c>
      <c r="I804" s="2"/>
      <c r="J804" s="463"/>
      <c r="K804" s="2"/>
      <c r="N804" s="509" t="s">
        <v>2342</v>
      </c>
      <c r="O804" s="509" t="s">
        <v>3494</v>
      </c>
      <c r="P804" s="519">
        <v>8</v>
      </c>
      <c r="R804" s="519" t="e">
        <f t="shared" si="42"/>
        <v>#VALUE!</v>
      </c>
      <c r="AG804" s="509" t="s">
        <v>2514</v>
      </c>
    </row>
    <row r="805" spans="1:33" hidden="1">
      <c r="A805" s="551"/>
      <c r="B805" s="547" t="s">
        <v>3528</v>
      </c>
      <c r="C805" s="552" t="s">
        <v>3524</v>
      </c>
      <c r="D805" s="2"/>
      <c r="E805" s="2"/>
      <c r="H805" s="509" t="s">
        <v>3529</v>
      </c>
      <c r="I805" s="2"/>
      <c r="J805" s="463"/>
      <c r="K805" s="2"/>
      <c r="N805" s="509" t="s">
        <v>12</v>
      </c>
      <c r="O805" s="509" t="s">
        <v>3495</v>
      </c>
      <c r="P805" s="519">
        <v>13.66</v>
      </c>
      <c r="R805" s="519" t="e">
        <f t="shared" si="42"/>
        <v>#VALUE!</v>
      </c>
      <c r="AG805" s="509" t="s">
        <v>2514</v>
      </c>
    </row>
    <row r="806" spans="1:33" hidden="1">
      <c r="A806" s="548"/>
      <c r="B806" s="547" t="s">
        <v>3530</v>
      </c>
      <c r="C806" s="552" t="s">
        <v>3524</v>
      </c>
      <c r="D806" s="2"/>
      <c r="E806" s="2"/>
      <c r="H806" s="509" t="s">
        <v>3531</v>
      </c>
      <c r="I806" s="2"/>
      <c r="J806" s="463"/>
      <c r="K806" s="2"/>
      <c r="N806" s="509" t="s">
        <v>2788</v>
      </c>
      <c r="O806" s="509" t="s">
        <v>3498</v>
      </c>
      <c r="P806" s="519">
        <v>25.46</v>
      </c>
      <c r="R806" s="519" t="e">
        <f t="shared" si="42"/>
        <v>#VALUE!</v>
      </c>
      <c r="AG806" s="509" t="s">
        <v>2514</v>
      </c>
    </row>
    <row r="807" spans="1:33" hidden="1">
      <c r="A807" s="551"/>
      <c r="B807" s="547" t="s">
        <v>3532</v>
      </c>
      <c r="C807" s="552" t="s">
        <v>3524</v>
      </c>
      <c r="D807" s="2"/>
      <c r="E807" s="2"/>
      <c r="H807" s="509" t="s">
        <v>3533</v>
      </c>
      <c r="I807" s="2"/>
      <c r="J807" s="463"/>
      <c r="K807" s="2"/>
      <c r="N807" s="509" t="s">
        <v>2342</v>
      </c>
      <c r="O807" s="509" t="s">
        <v>3500</v>
      </c>
      <c r="P807" s="519">
        <v>0.5</v>
      </c>
      <c r="R807" s="519" t="e">
        <f t="shared" si="42"/>
        <v>#VALUE!</v>
      </c>
      <c r="AG807" s="509" t="s">
        <v>2514</v>
      </c>
    </row>
    <row r="808" spans="1:33" ht="31.5" hidden="1">
      <c r="A808" s="548">
        <v>2</v>
      </c>
      <c r="B808" s="549" t="s">
        <v>3534</v>
      </c>
      <c r="C808" s="2"/>
      <c r="D808" s="2"/>
      <c r="E808" s="2"/>
      <c r="H808" s="509" t="s">
        <v>3535</v>
      </c>
      <c r="I808" s="2"/>
      <c r="J808" s="463"/>
      <c r="K808" s="2"/>
      <c r="R808" s="519">
        <v>0.7</v>
      </c>
      <c r="AG808" s="509" t="s">
        <v>2514</v>
      </c>
    </row>
    <row r="809" spans="1:33" hidden="1">
      <c r="A809" s="551"/>
      <c r="B809" s="547" t="s">
        <v>3536</v>
      </c>
      <c r="C809" s="550">
        <v>12.5</v>
      </c>
      <c r="D809" s="2"/>
      <c r="E809" s="2"/>
      <c r="H809" s="509" t="s">
        <v>3537</v>
      </c>
      <c r="I809" s="2"/>
      <c r="J809" s="463"/>
      <c r="K809" s="2"/>
      <c r="R809" s="515" t="s">
        <v>442</v>
      </c>
      <c r="AG809" s="509" t="s">
        <v>2514</v>
      </c>
    </row>
    <row r="810" spans="1:33" hidden="1">
      <c r="A810" s="548">
        <v>3</v>
      </c>
      <c r="B810" s="547" t="s">
        <v>3538</v>
      </c>
      <c r="C810" s="501">
        <v>242</v>
      </c>
      <c r="D810" s="2"/>
      <c r="E810" s="2"/>
      <c r="H810" s="509" t="s">
        <v>3539</v>
      </c>
      <c r="I810" s="2"/>
      <c r="J810" s="463"/>
      <c r="K810" s="2"/>
      <c r="O810" s="510" t="s">
        <v>3503</v>
      </c>
      <c r="R810" s="519" t="e">
        <f>SUM(R798:R808)</f>
        <v>#VALUE!</v>
      </c>
      <c r="AG810" s="509" t="s">
        <v>2514</v>
      </c>
    </row>
    <row r="811" spans="1:33" hidden="1">
      <c r="A811" s="551" t="s">
        <v>3540</v>
      </c>
      <c r="B811" s="553" t="s">
        <v>3541</v>
      </c>
      <c r="C811" s="2"/>
      <c r="D811" s="2"/>
      <c r="E811" s="2"/>
      <c r="I811" s="2"/>
      <c r="J811" s="463"/>
      <c r="K811" s="2"/>
      <c r="R811" s="515" t="s">
        <v>442</v>
      </c>
      <c r="AG811" s="509" t="s">
        <v>2514</v>
      </c>
    </row>
    <row r="812" spans="1:33" hidden="1">
      <c r="A812" s="548"/>
      <c r="B812" s="547" t="s">
        <v>3542</v>
      </c>
      <c r="C812" s="554">
        <v>75</v>
      </c>
      <c r="D812" s="2"/>
      <c r="E812" s="2"/>
      <c r="I812" s="2"/>
      <c r="J812" s="463"/>
      <c r="K812" s="2"/>
      <c r="R812" s="515"/>
      <c r="AG812" s="509"/>
    </row>
    <row r="813" spans="1:33" hidden="1">
      <c r="A813" s="551"/>
      <c r="B813" s="555" t="s">
        <v>3543</v>
      </c>
      <c r="C813" s="554">
        <v>80</v>
      </c>
      <c r="D813" s="2"/>
      <c r="E813" s="2"/>
      <c r="G813" s="518" t="s">
        <v>3366</v>
      </c>
      <c r="H813" s="510" t="s">
        <v>3544</v>
      </c>
      <c r="I813" s="2"/>
      <c r="J813" s="463"/>
      <c r="K813" s="2"/>
      <c r="R813" s="515"/>
      <c r="AG813" s="509"/>
    </row>
    <row r="814" spans="1:33" ht="31.5" hidden="1">
      <c r="A814" s="548">
        <v>4</v>
      </c>
      <c r="B814" s="549" t="s">
        <v>3545</v>
      </c>
      <c r="C814" s="2"/>
      <c r="D814" s="2"/>
      <c r="E814" s="2"/>
      <c r="H814" s="510" t="s">
        <v>3546</v>
      </c>
      <c r="I814" s="2"/>
      <c r="J814" s="463"/>
      <c r="K814" s="2"/>
      <c r="R814" s="515"/>
      <c r="AG814" s="509"/>
    </row>
    <row r="815" spans="1:33" hidden="1">
      <c r="A815" s="551"/>
      <c r="B815" s="547" t="s">
        <v>3547</v>
      </c>
      <c r="C815" s="501">
        <v>42</v>
      </c>
      <c r="D815" s="2"/>
      <c r="E815" s="2"/>
      <c r="F815" s="541">
        <v>3.8800000000000001E-2</v>
      </c>
      <c r="G815" s="518" t="s">
        <v>2334</v>
      </c>
      <c r="H815" s="509" t="s">
        <v>3548</v>
      </c>
      <c r="I815" s="492" t="e">
        <f>K781</f>
        <v>#REF!</v>
      </c>
      <c r="J815" s="500" t="s">
        <v>2334</v>
      </c>
      <c r="K815" s="492" t="e">
        <f>F815*I815</f>
        <v>#REF!</v>
      </c>
      <c r="R815" s="515"/>
      <c r="AG815" s="509"/>
    </row>
    <row r="816" spans="1:33" hidden="1">
      <c r="A816" s="548"/>
      <c r="B816" s="547" t="s">
        <v>3549</v>
      </c>
      <c r="C816" s="501">
        <v>46</v>
      </c>
      <c r="D816" s="2"/>
      <c r="E816" s="2"/>
      <c r="F816" s="519">
        <v>5.01</v>
      </c>
      <c r="G816" s="518" t="s">
        <v>40</v>
      </c>
      <c r="H816" s="509" t="s">
        <v>3550</v>
      </c>
      <c r="I816" s="492">
        <f>K1513</f>
        <v>33174.400000000001</v>
      </c>
      <c r="J816" s="500" t="s">
        <v>2516</v>
      </c>
      <c r="K816" s="492">
        <f>F816*I816/1000</f>
        <v>166.203744</v>
      </c>
      <c r="R816" s="515"/>
      <c r="AG816" s="509"/>
    </row>
    <row r="817" spans="1:33" hidden="1">
      <c r="A817" s="551"/>
      <c r="B817" s="547" t="s">
        <v>3551</v>
      </c>
      <c r="C817" s="501">
        <v>42</v>
      </c>
      <c r="D817" s="2"/>
      <c r="E817" s="2"/>
      <c r="F817" s="519">
        <v>3</v>
      </c>
      <c r="G817" s="518" t="s">
        <v>2342</v>
      </c>
      <c r="H817" s="509" t="s">
        <v>3552</v>
      </c>
      <c r="I817" s="492">
        <v>16.5</v>
      </c>
      <c r="J817" s="500" t="s">
        <v>2342</v>
      </c>
      <c r="K817" s="492">
        <f t="shared" ref="K817:K824" si="43">F817*I817</f>
        <v>49.5</v>
      </c>
      <c r="R817" s="515"/>
      <c r="AG817" s="509"/>
    </row>
    <row r="818" spans="1:33" ht="31.5" hidden="1">
      <c r="A818" s="548">
        <v>5</v>
      </c>
      <c r="B818" s="549" t="s">
        <v>3553</v>
      </c>
      <c r="C818" s="2"/>
      <c r="D818" s="2"/>
      <c r="E818" s="2"/>
      <c r="F818" s="519">
        <v>12</v>
      </c>
      <c r="G818" s="518" t="s">
        <v>2342</v>
      </c>
      <c r="H818" s="509" t="s">
        <v>3554</v>
      </c>
      <c r="I818" s="492">
        <v>3.85</v>
      </c>
      <c r="J818" s="500" t="s">
        <v>2342</v>
      </c>
      <c r="K818" s="492">
        <f t="shared" si="43"/>
        <v>46.2</v>
      </c>
      <c r="R818" s="515"/>
      <c r="AG818" s="509"/>
    </row>
    <row r="819" spans="1:33" hidden="1">
      <c r="A819" s="551"/>
      <c r="B819" s="547" t="s">
        <v>3555</v>
      </c>
      <c r="C819" s="501">
        <v>174</v>
      </c>
      <c r="D819" s="2"/>
      <c r="E819" s="2"/>
      <c r="F819" s="519">
        <v>2</v>
      </c>
      <c r="G819" s="518" t="s">
        <v>2342</v>
      </c>
      <c r="H819" s="509" t="s">
        <v>3556</v>
      </c>
      <c r="I819" s="492">
        <v>5</v>
      </c>
      <c r="J819" s="500" t="s">
        <v>2342</v>
      </c>
      <c r="K819" s="492">
        <f t="shared" si="43"/>
        <v>10</v>
      </c>
      <c r="R819" s="515"/>
      <c r="AG819" s="509"/>
    </row>
    <row r="820" spans="1:33" hidden="1">
      <c r="A820" s="548"/>
      <c r="B820" s="547" t="s">
        <v>3557</v>
      </c>
      <c r="C820" s="501">
        <v>182</v>
      </c>
      <c r="D820" s="2"/>
      <c r="E820" s="2"/>
      <c r="F820" s="519">
        <v>6</v>
      </c>
      <c r="G820" s="518" t="s">
        <v>2342</v>
      </c>
      <c r="H820" s="509" t="s">
        <v>3558</v>
      </c>
      <c r="I820" s="492">
        <v>3.85</v>
      </c>
      <c r="J820" s="500" t="s">
        <v>2342</v>
      </c>
      <c r="K820" s="492">
        <f t="shared" si="43"/>
        <v>23.1</v>
      </c>
      <c r="R820" s="515"/>
      <c r="AG820" s="509"/>
    </row>
    <row r="821" spans="1:33" hidden="1">
      <c r="A821" s="551"/>
      <c r="B821" s="547" t="s">
        <v>3559</v>
      </c>
      <c r="C821" s="501">
        <v>444</v>
      </c>
      <c r="D821" s="2"/>
      <c r="E821" s="2"/>
      <c r="F821" s="519">
        <v>1</v>
      </c>
      <c r="G821" s="518" t="s">
        <v>2342</v>
      </c>
      <c r="H821" s="509" t="s">
        <v>3560</v>
      </c>
      <c r="I821" s="492">
        <f>C10</f>
        <v>150</v>
      </c>
      <c r="J821" s="500" t="s">
        <v>2342</v>
      </c>
      <c r="K821" s="492">
        <f t="shared" si="43"/>
        <v>150</v>
      </c>
      <c r="R821" s="515"/>
      <c r="AG821" s="509"/>
    </row>
    <row r="822" spans="1:33" hidden="1">
      <c r="A822" s="548"/>
      <c r="B822" s="547" t="s">
        <v>3561</v>
      </c>
      <c r="C822" s="501">
        <v>626</v>
      </c>
      <c r="D822" s="2"/>
      <c r="E822" s="2"/>
      <c r="F822" s="519">
        <v>1</v>
      </c>
      <c r="G822" s="518" t="s">
        <v>2342</v>
      </c>
      <c r="H822" s="509" t="s">
        <v>3562</v>
      </c>
      <c r="I822" s="492">
        <f>C12</f>
        <v>95</v>
      </c>
      <c r="J822" s="500" t="s">
        <v>2342</v>
      </c>
      <c r="K822" s="492">
        <f t="shared" si="43"/>
        <v>95</v>
      </c>
      <c r="R822" s="515"/>
      <c r="AG822" s="509"/>
    </row>
    <row r="823" spans="1:33" ht="47.25" hidden="1">
      <c r="A823" s="551">
        <v>6</v>
      </c>
      <c r="B823" s="549" t="s">
        <v>3563</v>
      </c>
      <c r="C823" s="2"/>
      <c r="D823" s="2"/>
      <c r="E823" s="2"/>
      <c r="F823" s="519">
        <v>1</v>
      </c>
      <c r="G823" s="518" t="s">
        <v>2342</v>
      </c>
      <c r="H823" s="509" t="s">
        <v>3564</v>
      </c>
      <c r="I823" s="492">
        <v>25</v>
      </c>
      <c r="J823" s="500" t="s">
        <v>2342</v>
      </c>
      <c r="K823" s="492">
        <f t="shared" si="43"/>
        <v>25</v>
      </c>
      <c r="R823" s="515"/>
      <c r="AG823" s="509"/>
    </row>
    <row r="824" spans="1:33" hidden="1">
      <c r="A824" s="548"/>
      <c r="B824" s="547" t="s">
        <v>3565</v>
      </c>
      <c r="C824" s="552" t="s">
        <v>3524</v>
      </c>
      <c r="D824" s="2"/>
      <c r="E824" s="2"/>
      <c r="F824" s="519">
        <v>0.5</v>
      </c>
      <c r="G824" s="518" t="s">
        <v>2342</v>
      </c>
      <c r="H824" s="509" t="s">
        <v>3566</v>
      </c>
      <c r="I824" s="492">
        <f>C13</f>
        <v>85</v>
      </c>
      <c r="J824" s="500" t="s">
        <v>2342</v>
      </c>
      <c r="K824" s="492">
        <f t="shared" si="43"/>
        <v>42.5</v>
      </c>
      <c r="R824" s="515"/>
      <c r="AG824" s="509"/>
    </row>
    <row r="825" spans="1:33" hidden="1">
      <c r="A825" s="551"/>
      <c r="B825" s="547" t="s">
        <v>3567</v>
      </c>
      <c r="C825" s="501">
        <v>306</v>
      </c>
      <c r="D825" s="2"/>
      <c r="E825" s="2"/>
      <c r="G825" s="518" t="s">
        <v>2346</v>
      </c>
      <c r="H825" s="509" t="s">
        <v>3568</v>
      </c>
      <c r="I825" s="2"/>
      <c r="J825" s="500" t="s">
        <v>2346</v>
      </c>
      <c r="K825" s="492">
        <v>0.5</v>
      </c>
      <c r="R825" s="515"/>
      <c r="AG825" s="509"/>
    </row>
    <row r="826" spans="1:33" ht="31.5" hidden="1">
      <c r="A826" s="548"/>
      <c r="B826" s="556" t="s">
        <v>3569</v>
      </c>
      <c r="C826" s="501">
        <v>450</v>
      </c>
      <c r="D826" s="2"/>
      <c r="E826" s="2"/>
      <c r="I826" s="2"/>
      <c r="J826" s="463"/>
      <c r="K826" s="491" t="s">
        <v>442</v>
      </c>
      <c r="R826" s="515"/>
      <c r="AG826" s="509"/>
    </row>
    <row r="827" spans="1:33" ht="47.25" hidden="1">
      <c r="A827" s="551">
        <v>7</v>
      </c>
      <c r="B827" s="549" t="s">
        <v>3570</v>
      </c>
      <c r="C827" s="2"/>
      <c r="D827" s="2"/>
      <c r="E827" s="2"/>
      <c r="H827" s="510" t="s">
        <v>3571</v>
      </c>
      <c r="I827" s="2"/>
      <c r="J827" s="463"/>
      <c r="K827" s="492" t="e">
        <f>SUM(K815:K825)</f>
        <v>#REF!</v>
      </c>
      <c r="R827" s="515"/>
      <c r="AG827" s="509"/>
    </row>
    <row r="828" spans="1:33" hidden="1">
      <c r="A828" s="548"/>
      <c r="B828" s="547" t="s">
        <v>3567</v>
      </c>
      <c r="C828" s="501">
        <v>575</v>
      </c>
      <c r="D828" s="2"/>
      <c r="E828" s="2"/>
      <c r="I828" s="2"/>
      <c r="J828" s="463"/>
      <c r="K828" s="491" t="s">
        <v>442</v>
      </c>
      <c r="R828" s="515"/>
      <c r="AG828" s="509"/>
    </row>
    <row r="829" spans="1:33" ht="31.5" hidden="1">
      <c r="A829" s="551"/>
      <c r="B829" s="556" t="s">
        <v>3569</v>
      </c>
      <c r="C829" s="501">
        <v>750</v>
      </c>
      <c r="D829" s="2"/>
      <c r="E829" s="2"/>
      <c r="I829" s="2"/>
      <c r="J829" s="463"/>
      <c r="K829" s="2"/>
      <c r="R829" s="515"/>
      <c r="AG829" s="509"/>
    </row>
    <row r="830" spans="1:33" ht="47.25" hidden="1">
      <c r="A830" s="548">
        <v>8</v>
      </c>
      <c r="B830" s="549" t="s">
        <v>3572</v>
      </c>
      <c r="C830" s="2"/>
      <c r="D830" s="2"/>
      <c r="E830" s="2"/>
      <c r="I830" s="2"/>
      <c r="J830" s="463"/>
      <c r="K830" s="2"/>
      <c r="R830" s="515"/>
      <c r="AG830" s="509"/>
    </row>
    <row r="831" spans="1:33" hidden="1">
      <c r="A831" s="551"/>
      <c r="B831" s="511" t="s">
        <v>3573</v>
      </c>
      <c r="C831" s="501">
        <v>850</v>
      </c>
      <c r="D831" s="2"/>
      <c r="E831" s="2"/>
      <c r="G831" s="518" t="s">
        <v>2365</v>
      </c>
      <c r="H831" s="510" t="s">
        <v>3574</v>
      </c>
      <c r="I831" s="2"/>
      <c r="J831" s="463"/>
      <c r="K831" s="2"/>
      <c r="R831" s="509" t="s">
        <v>30</v>
      </c>
      <c r="AG831" s="509" t="s">
        <v>2514</v>
      </c>
    </row>
    <row r="832" spans="1:33" hidden="1">
      <c r="A832" s="548"/>
      <c r="B832" s="511" t="s">
        <v>3575</v>
      </c>
      <c r="C832" s="501">
        <v>1050</v>
      </c>
      <c r="D832" s="2"/>
      <c r="E832" s="2"/>
      <c r="H832" s="510" t="s">
        <v>3546</v>
      </c>
      <c r="I832" s="2"/>
      <c r="J832" s="463"/>
      <c r="K832" s="2"/>
      <c r="N832" s="509" t="s">
        <v>3366</v>
      </c>
      <c r="O832" s="509" t="s">
        <v>3576</v>
      </c>
      <c r="AG832" s="509" t="s">
        <v>2514</v>
      </c>
    </row>
    <row r="833" spans="1:33" ht="30" hidden="1" customHeight="1">
      <c r="A833" s="551">
        <v>9</v>
      </c>
      <c r="B833" s="549" t="s">
        <v>3577</v>
      </c>
      <c r="C833" s="2"/>
      <c r="D833" s="2"/>
      <c r="E833" s="2"/>
      <c r="F833" s="541">
        <v>3.7600000000000001E-2</v>
      </c>
      <c r="G833" s="518" t="s">
        <v>2334</v>
      </c>
      <c r="H833" s="509" t="s">
        <v>3548</v>
      </c>
      <c r="I833" s="492" t="e">
        <f>K781</f>
        <v>#REF!</v>
      </c>
      <c r="J833" s="500" t="s">
        <v>2334</v>
      </c>
      <c r="K833" s="492" t="e">
        <f>F833*I833</f>
        <v>#REF!</v>
      </c>
      <c r="O833" s="509" t="s">
        <v>3484</v>
      </c>
      <c r="AG833" s="509" t="s">
        <v>2514</v>
      </c>
    </row>
    <row r="834" spans="1:33" hidden="1">
      <c r="A834" s="548"/>
      <c r="B834" s="511" t="s">
        <v>3578</v>
      </c>
      <c r="C834" s="552" t="s">
        <v>3524</v>
      </c>
      <c r="D834" s="2"/>
      <c r="E834" s="2"/>
      <c r="F834" s="519">
        <v>4.87</v>
      </c>
      <c r="G834" s="518" t="s">
        <v>40</v>
      </c>
      <c r="H834" s="509" t="s">
        <v>3550</v>
      </c>
      <c r="I834" s="492">
        <f>K1513</f>
        <v>33174.400000000001</v>
      </c>
      <c r="J834" s="500" t="s">
        <v>2516</v>
      </c>
      <c r="K834" s="492">
        <f>F834*I834/1000</f>
        <v>161.55932800000002</v>
      </c>
      <c r="N834" s="509" t="s">
        <v>1973</v>
      </c>
      <c r="O834" s="509" t="s">
        <v>3486</v>
      </c>
      <c r="P834" s="519">
        <v>43</v>
      </c>
      <c r="R834" s="519" t="e">
        <f>(#VALUE!*P834)</f>
        <v>#VALUE!</v>
      </c>
      <c r="AG834" s="509" t="s">
        <v>2514</v>
      </c>
    </row>
    <row r="835" spans="1:33" hidden="1">
      <c r="A835" s="551"/>
      <c r="B835" s="547" t="s">
        <v>3579</v>
      </c>
      <c r="C835" s="554" t="s">
        <v>3524</v>
      </c>
      <c r="D835" s="2"/>
      <c r="E835" s="2"/>
      <c r="F835" s="519">
        <v>3</v>
      </c>
      <c r="G835" s="518" t="s">
        <v>2342</v>
      </c>
      <c r="H835" s="509" t="s">
        <v>3552</v>
      </c>
      <c r="I835" s="492">
        <v>16.5</v>
      </c>
      <c r="J835" s="500" t="s">
        <v>2342</v>
      </c>
      <c r="K835" s="492">
        <f t="shared" ref="K835:K841" si="44">F835*I835</f>
        <v>49.5</v>
      </c>
      <c r="O835" s="509" t="s">
        <v>3488</v>
      </c>
      <c r="AG835" s="509" t="s">
        <v>2514</v>
      </c>
    </row>
    <row r="836" spans="1:33" ht="30" hidden="1" customHeight="1">
      <c r="A836" s="548">
        <v>10</v>
      </c>
      <c r="B836" s="549" t="s">
        <v>3580</v>
      </c>
      <c r="C836" s="2"/>
      <c r="D836" s="2"/>
      <c r="E836" s="2"/>
      <c r="F836" s="519">
        <v>12</v>
      </c>
      <c r="G836" s="518" t="s">
        <v>2342</v>
      </c>
      <c r="H836" s="509" t="s">
        <v>3554</v>
      </c>
      <c r="I836" s="492">
        <v>3.85</v>
      </c>
      <c r="J836" s="500" t="s">
        <v>2342</v>
      </c>
      <c r="K836" s="492">
        <f t="shared" si="44"/>
        <v>46.2</v>
      </c>
      <c r="O836" s="509" t="s">
        <v>3490</v>
      </c>
      <c r="AG836" s="509" t="s">
        <v>2514</v>
      </c>
    </row>
    <row r="837" spans="1:33" hidden="1">
      <c r="A837" s="551"/>
      <c r="B837" s="547" t="s">
        <v>3581</v>
      </c>
      <c r="C837" s="501" t="s">
        <v>3524</v>
      </c>
      <c r="D837" s="2"/>
      <c r="E837" s="2"/>
      <c r="F837" s="519">
        <v>2</v>
      </c>
      <c r="G837" s="518" t="s">
        <v>2342</v>
      </c>
      <c r="H837" s="509" t="s">
        <v>3556</v>
      </c>
      <c r="I837" s="492">
        <v>5</v>
      </c>
      <c r="J837" s="500" t="s">
        <v>2342</v>
      </c>
      <c r="K837" s="492">
        <f t="shared" si="44"/>
        <v>10</v>
      </c>
      <c r="N837" s="509" t="s">
        <v>2788</v>
      </c>
      <c r="O837" s="509" t="s">
        <v>3491</v>
      </c>
      <c r="P837" s="519">
        <f>C271</f>
        <v>160</v>
      </c>
      <c r="R837" s="519" t="e">
        <f>(#VALUE!*P837)</f>
        <v>#VALUE!</v>
      </c>
      <c r="AG837" s="509" t="s">
        <v>2514</v>
      </c>
    </row>
    <row r="838" spans="1:33" hidden="1">
      <c r="A838" s="548"/>
      <c r="B838" s="547" t="s">
        <v>3579</v>
      </c>
      <c r="C838" s="501" t="s">
        <v>3524</v>
      </c>
      <c r="D838" s="2"/>
      <c r="E838" s="2"/>
      <c r="F838" s="519">
        <v>6</v>
      </c>
      <c r="G838" s="518" t="s">
        <v>2342</v>
      </c>
      <c r="H838" s="509" t="s">
        <v>3558</v>
      </c>
      <c r="I838" s="492">
        <v>3.85</v>
      </c>
      <c r="J838" s="500" t="s">
        <v>2342</v>
      </c>
      <c r="K838" s="492">
        <f t="shared" si="44"/>
        <v>23.1</v>
      </c>
      <c r="N838" s="509" t="s">
        <v>2342</v>
      </c>
      <c r="O838" s="509" t="s">
        <v>3492</v>
      </c>
      <c r="P838" s="519">
        <v>5</v>
      </c>
      <c r="R838" s="519" t="e">
        <f>(#VALUE!*P838)</f>
        <v>#VALUE!</v>
      </c>
      <c r="AG838" s="509" t="s">
        <v>2514</v>
      </c>
    </row>
    <row r="839" spans="1:33" hidden="1">
      <c r="A839" s="551"/>
      <c r="B839" s="547" t="s">
        <v>3582</v>
      </c>
      <c r="C839" s="501" t="s">
        <v>3524</v>
      </c>
      <c r="D839" s="2"/>
      <c r="E839" s="2"/>
      <c r="F839" s="519">
        <v>1</v>
      </c>
      <c r="G839" s="518" t="s">
        <v>2342</v>
      </c>
      <c r="H839" s="509" t="s">
        <v>3560</v>
      </c>
      <c r="I839" s="492">
        <f>C10</f>
        <v>150</v>
      </c>
      <c r="J839" s="500" t="s">
        <v>2342</v>
      </c>
      <c r="K839" s="492">
        <f t="shared" si="44"/>
        <v>150</v>
      </c>
      <c r="N839" s="509" t="s">
        <v>2342</v>
      </c>
      <c r="O839" s="509" t="s">
        <v>3493</v>
      </c>
      <c r="P839" s="519">
        <v>10</v>
      </c>
      <c r="R839" s="519" t="e">
        <f>(#VALUE!*P839)</f>
        <v>#VALUE!</v>
      </c>
      <c r="AG839" s="509" t="s">
        <v>2514</v>
      </c>
    </row>
    <row r="840" spans="1:33" hidden="1">
      <c r="A840" s="548"/>
      <c r="B840" s="547" t="s">
        <v>3583</v>
      </c>
      <c r="C840" s="552" t="s">
        <v>3524</v>
      </c>
      <c r="D840" s="2"/>
      <c r="E840" s="2"/>
      <c r="F840" s="519">
        <v>1</v>
      </c>
      <c r="G840" s="518" t="s">
        <v>2342</v>
      </c>
      <c r="H840" s="509" t="s">
        <v>3562</v>
      </c>
      <c r="I840" s="492">
        <f>C12</f>
        <v>95</v>
      </c>
      <c r="J840" s="500" t="s">
        <v>2342</v>
      </c>
      <c r="K840" s="492">
        <f t="shared" si="44"/>
        <v>95</v>
      </c>
      <c r="N840" s="509" t="s">
        <v>2342</v>
      </c>
      <c r="O840" s="509" t="s">
        <v>3494</v>
      </c>
      <c r="P840" s="519">
        <v>8</v>
      </c>
      <c r="R840" s="519" t="e">
        <f>(#VALUE!*P840)</f>
        <v>#VALUE!</v>
      </c>
      <c r="AG840" s="509" t="s">
        <v>2514</v>
      </c>
    </row>
    <row r="841" spans="1:33" hidden="1">
      <c r="A841" s="551"/>
      <c r="B841" s="547" t="s">
        <v>3584</v>
      </c>
      <c r="C841" s="501">
        <v>1459</v>
      </c>
      <c r="D841" s="2"/>
      <c r="E841" s="2"/>
      <c r="F841" s="519">
        <v>1</v>
      </c>
      <c r="G841" s="518" t="s">
        <v>2342</v>
      </c>
      <c r="H841" s="509" t="s">
        <v>3564</v>
      </c>
      <c r="I841" s="492">
        <v>25</v>
      </c>
      <c r="J841" s="500" t="s">
        <v>2342</v>
      </c>
      <c r="K841" s="492">
        <f t="shared" si="44"/>
        <v>25</v>
      </c>
      <c r="N841" s="509" t="s">
        <v>12</v>
      </c>
      <c r="O841" s="509" t="s">
        <v>3495</v>
      </c>
      <c r="P841" s="519">
        <v>13.66</v>
      </c>
      <c r="R841" s="519" t="e">
        <f>(#VALUE!*P841)</f>
        <v>#VALUE!</v>
      </c>
      <c r="AG841" s="509" t="s">
        <v>2514</v>
      </c>
    </row>
    <row r="842" spans="1:33" ht="30" hidden="1" customHeight="1">
      <c r="A842" s="551"/>
      <c r="B842" s="556" t="s">
        <v>3585</v>
      </c>
      <c r="C842" s="501">
        <v>1930</v>
      </c>
      <c r="D842" s="2"/>
      <c r="E842" s="2"/>
      <c r="F842" s="519"/>
      <c r="G842" s="518"/>
      <c r="H842" s="509"/>
      <c r="I842" s="492"/>
      <c r="J842" s="500"/>
      <c r="K842" s="492"/>
      <c r="N842" s="509"/>
      <c r="O842" s="509"/>
      <c r="P842" s="519"/>
      <c r="R842" s="519"/>
      <c r="AG842" s="509"/>
    </row>
    <row r="843" spans="1:33" ht="30" hidden="1" customHeight="1">
      <c r="A843" s="548"/>
      <c r="B843" s="557" t="s">
        <v>3586</v>
      </c>
      <c r="C843" s="501">
        <v>2630</v>
      </c>
      <c r="D843" s="2"/>
      <c r="E843" s="2"/>
      <c r="F843" s="519">
        <v>0.5</v>
      </c>
      <c r="G843" s="518" t="s">
        <v>2342</v>
      </c>
      <c r="H843" s="509" t="s">
        <v>3566</v>
      </c>
      <c r="I843" s="492">
        <f>C13</f>
        <v>85</v>
      </c>
      <c r="J843" s="500" t="s">
        <v>2342</v>
      </c>
      <c r="K843" s="492">
        <f>F843*I843</f>
        <v>42.5</v>
      </c>
      <c r="N843" s="509" t="s">
        <v>2788</v>
      </c>
      <c r="O843" s="509" t="s">
        <v>3498</v>
      </c>
      <c r="P843" s="519">
        <v>25.46</v>
      </c>
      <c r="R843" s="519" t="e">
        <f>(#VALUE!*P843)</f>
        <v>#VALUE!</v>
      </c>
      <c r="AG843" s="509" t="s">
        <v>2514</v>
      </c>
    </row>
    <row r="844" spans="1:33" ht="30" hidden="1" customHeight="1">
      <c r="A844" s="551">
        <v>11</v>
      </c>
      <c r="B844" s="549" t="s">
        <v>3587</v>
      </c>
      <c r="C844" s="2"/>
      <c r="D844" s="2"/>
      <c r="E844" s="2"/>
      <c r="G844" s="518" t="s">
        <v>2346</v>
      </c>
      <c r="H844" s="509" t="s">
        <v>3568</v>
      </c>
      <c r="I844" s="2"/>
      <c r="J844" s="500" t="s">
        <v>2346</v>
      </c>
      <c r="K844" s="492">
        <v>0.5</v>
      </c>
      <c r="N844" s="509" t="s">
        <v>2342</v>
      </c>
      <c r="O844" s="509" t="s">
        <v>3500</v>
      </c>
      <c r="P844" s="519">
        <v>0.5</v>
      </c>
      <c r="R844" s="519" t="e">
        <f>(#VALUE!*P844)</f>
        <v>#VALUE!</v>
      </c>
      <c r="AG844" s="509" t="s">
        <v>2514</v>
      </c>
    </row>
    <row r="845" spans="1:33" hidden="1">
      <c r="A845" s="548"/>
      <c r="B845" s="547" t="s">
        <v>3588</v>
      </c>
      <c r="C845" s="501">
        <v>642</v>
      </c>
      <c r="D845" s="2"/>
      <c r="E845" s="2"/>
      <c r="I845" s="2"/>
      <c r="J845" s="463"/>
      <c r="K845" s="491" t="s">
        <v>442</v>
      </c>
      <c r="R845" s="519">
        <v>0.97</v>
      </c>
      <c r="AG845" s="509" t="s">
        <v>2514</v>
      </c>
    </row>
    <row r="846" spans="1:33" ht="30" hidden="1" customHeight="1">
      <c r="A846" s="551">
        <v>12</v>
      </c>
      <c r="B846" s="549" t="s">
        <v>3589</v>
      </c>
      <c r="C846" s="2"/>
      <c r="D846" s="2"/>
      <c r="E846" s="2"/>
      <c r="H846" s="510" t="s">
        <v>3571</v>
      </c>
      <c r="I846" s="2"/>
      <c r="J846" s="463"/>
      <c r="K846" s="492" t="e">
        <f>SUM(K833:K844)</f>
        <v>#REF!</v>
      </c>
      <c r="R846" s="515" t="s">
        <v>442</v>
      </c>
      <c r="AG846" s="509" t="s">
        <v>2514</v>
      </c>
    </row>
    <row r="847" spans="1:33" hidden="1">
      <c r="A847" s="548"/>
      <c r="B847" s="547" t="s">
        <v>3588</v>
      </c>
      <c r="C847" s="501">
        <v>864</v>
      </c>
      <c r="D847" s="2"/>
      <c r="E847" s="2"/>
      <c r="I847" s="2"/>
      <c r="J847" s="463"/>
      <c r="K847" s="491" t="s">
        <v>442</v>
      </c>
      <c r="O847" s="510" t="s">
        <v>3503</v>
      </c>
      <c r="R847" s="519" t="e">
        <f>SUM(R834:R845)</f>
        <v>#VALUE!</v>
      </c>
      <c r="AG847" s="509" t="s">
        <v>2514</v>
      </c>
    </row>
    <row r="848" spans="1:33" ht="30" hidden="1" customHeight="1">
      <c r="A848" s="551">
        <v>13</v>
      </c>
      <c r="B848" s="549" t="s">
        <v>3590</v>
      </c>
      <c r="C848" s="2"/>
      <c r="D848" s="2"/>
      <c r="E848" s="2"/>
      <c r="F848" s="510"/>
      <c r="G848" s="518" t="s">
        <v>3335</v>
      </c>
      <c r="H848" s="510" t="s">
        <v>3591</v>
      </c>
      <c r="I848" s="2"/>
      <c r="J848" s="463"/>
      <c r="K848" s="2"/>
      <c r="R848" s="515" t="s">
        <v>442</v>
      </c>
      <c r="AG848" s="509" t="s">
        <v>2514</v>
      </c>
    </row>
    <row r="849" spans="1:18" hidden="1">
      <c r="A849" s="548"/>
      <c r="B849" s="547" t="s">
        <v>3592</v>
      </c>
      <c r="C849" s="501">
        <v>3100</v>
      </c>
      <c r="D849" s="2"/>
      <c r="E849" s="2"/>
      <c r="H849" s="510" t="s">
        <v>3546</v>
      </c>
      <c r="I849" s="2"/>
      <c r="J849" s="463"/>
      <c r="K849" s="2"/>
    </row>
    <row r="850" spans="1:18" hidden="1">
      <c r="A850" s="551"/>
      <c r="B850" s="555" t="s">
        <v>3593</v>
      </c>
      <c r="C850" s="501">
        <v>3267</v>
      </c>
      <c r="D850" s="2"/>
      <c r="E850" s="2"/>
      <c r="F850" s="541">
        <v>3.5299999999999998E-2</v>
      </c>
      <c r="G850" s="518" t="s">
        <v>2334</v>
      </c>
      <c r="H850" s="509" t="s">
        <v>3548</v>
      </c>
      <c r="I850" s="492" t="e">
        <f>K781</f>
        <v>#REF!</v>
      </c>
      <c r="J850" s="500" t="s">
        <v>2334</v>
      </c>
      <c r="K850" s="492" t="e">
        <f>F850*I850</f>
        <v>#REF!</v>
      </c>
      <c r="M850" s="510" t="s">
        <v>3594</v>
      </c>
      <c r="N850" s="509" t="s">
        <v>575</v>
      </c>
      <c r="O850" s="509" t="s">
        <v>3595</v>
      </c>
    </row>
    <row r="851" spans="1:18" ht="30" hidden="1" customHeight="1">
      <c r="A851" s="548"/>
      <c r="B851" s="557" t="s">
        <v>3596</v>
      </c>
      <c r="C851" s="501">
        <v>1790</v>
      </c>
      <c r="D851" s="2"/>
      <c r="E851" s="2"/>
      <c r="F851" s="519">
        <v>4.59</v>
      </c>
      <c r="G851" s="518" t="s">
        <v>40</v>
      </c>
      <c r="H851" s="509" t="s">
        <v>3550</v>
      </c>
      <c r="I851" s="492">
        <f>K1513</f>
        <v>33174.400000000001</v>
      </c>
      <c r="J851" s="500" t="s">
        <v>2516</v>
      </c>
      <c r="K851" s="492">
        <f>F851*I851/1000</f>
        <v>152.27049600000001</v>
      </c>
      <c r="O851" s="509" t="s">
        <v>3597</v>
      </c>
    </row>
    <row r="852" spans="1:18" ht="30" hidden="1" customHeight="1">
      <c r="A852" s="551">
        <v>14</v>
      </c>
      <c r="B852" s="558" t="s">
        <v>3598</v>
      </c>
      <c r="C852" s="2"/>
      <c r="D852" s="2"/>
      <c r="E852" s="2"/>
      <c r="F852" s="519"/>
      <c r="G852" s="518"/>
      <c r="H852" s="509"/>
      <c r="I852" s="492"/>
      <c r="J852" s="500"/>
      <c r="K852" s="492"/>
      <c r="O852" s="509"/>
    </row>
    <row r="853" spans="1:18" hidden="1">
      <c r="A853" s="548"/>
      <c r="B853" s="555" t="s">
        <v>3599</v>
      </c>
      <c r="C853" s="552" t="s">
        <v>3524</v>
      </c>
      <c r="D853" s="2"/>
      <c r="E853" s="2"/>
      <c r="F853" s="519">
        <v>3</v>
      </c>
      <c r="G853" s="518" t="s">
        <v>2342</v>
      </c>
      <c r="H853" s="509" t="s">
        <v>3552</v>
      </c>
      <c r="I853" s="492">
        <v>16.5</v>
      </c>
      <c r="J853" s="500" t="s">
        <v>2342</v>
      </c>
      <c r="K853" s="492">
        <f t="shared" ref="K853:K860" si="45">F853*I853</f>
        <v>49.5</v>
      </c>
      <c r="O853" s="515" t="s">
        <v>442</v>
      </c>
      <c r="P853" s="515" t="s">
        <v>442</v>
      </c>
    </row>
    <row r="854" spans="1:18" hidden="1">
      <c r="A854" s="551"/>
      <c r="B854" s="511" t="s">
        <v>3600</v>
      </c>
      <c r="C854" s="552" t="s">
        <v>3524</v>
      </c>
      <c r="D854" s="2"/>
      <c r="E854" s="2"/>
      <c r="F854" s="519">
        <v>12</v>
      </c>
      <c r="G854" s="518" t="s">
        <v>2342</v>
      </c>
      <c r="H854" s="509" t="s">
        <v>3554</v>
      </c>
      <c r="I854" s="492">
        <v>3.85</v>
      </c>
      <c r="J854" s="500" t="s">
        <v>2342</v>
      </c>
      <c r="K854" s="492">
        <f t="shared" si="45"/>
        <v>46.2</v>
      </c>
      <c r="O854" s="509" t="s">
        <v>3601</v>
      </c>
    </row>
    <row r="855" spans="1:18" hidden="1">
      <c r="A855" s="548"/>
      <c r="B855" s="511" t="s">
        <v>3602</v>
      </c>
      <c r="C855" s="552" t="s">
        <v>3524</v>
      </c>
      <c r="D855" s="2"/>
      <c r="E855" s="2"/>
      <c r="F855" s="519">
        <v>2</v>
      </c>
      <c r="G855" s="518" t="s">
        <v>2342</v>
      </c>
      <c r="H855" s="519" t="str">
        <f>H837</f>
        <v>TOWER BOLT RECEIVER</v>
      </c>
      <c r="I855" s="492">
        <v>5</v>
      </c>
      <c r="J855" s="500" t="s">
        <v>2342</v>
      </c>
      <c r="K855" s="492">
        <f t="shared" si="45"/>
        <v>10</v>
      </c>
      <c r="M855" s="519">
        <v>0.5</v>
      </c>
      <c r="N855" s="510" t="s">
        <v>2359</v>
      </c>
      <c r="O855" s="509" t="s">
        <v>2578</v>
      </c>
      <c r="P855" s="519">
        <f>C16</f>
        <v>150</v>
      </c>
      <c r="Q855" s="510" t="s">
        <v>3321</v>
      </c>
      <c r="R855" s="519">
        <f>(M855*P855)</f>
        <v>75</v>
      </c>
    </row>
    <row r="856" spans="1:18" ht="30" hidden="1" customHeight="1">
      <c r="A856" s="551">
        <v>15</v>
      </c>
      <c r="B856" s="558" t="s">
        <v>3603</v>
      </c>
      <c r="C856" s="552"/>
      <c r="D856" s="2"/>
      <c r="E856" s="2"/>
      <c r="F856" s="519">
        <v>6</v>
      </c>
      <c r="G856" s="518" t="s">
        <v>2342</v>
      </c>
      <c r="H856" s="509" t="s">
        <v>3558</v>
      </c>
      <c r="I856" s="492">
        <v>3.85</v>
      </c>
      <c r="J856" s="500" t="s">
        <v>2342</v>
      </c>
      <c r="K856" s="492">
        <f t="shared" si="45"/>
        <v>23.1</v>
      </c>
      <c r="M856" s="519">
        <v>0.25</v>
      </c>
      <c r="N856" s="510" t="s">
        <v>2359</v>
      </c>
      <c r="O856" s="509" t="s">
        <v>2535</v>
      </c>
      <c r="P856" s="519">
        <f>C13</f>
        <v>85</v>
      </c>
      <c r="Q856" s="510" t="s">
        <v>3321</v>
      </c>
      <c r="R856" s="519">
        <f>(M856*P856)</f>
        <v>21.25</v>
      </c>
    </row>
    <row r="857" spans="1:18" hidden="1">
      <c r="A857" s="548"/>
      <c r="B857" s="511" t="s">
        <v>3604</v>
      </c>
      <c r="C857" s="552" t="s">
        <v>3524</v>
      </c>
      <c r="D857" s="2"/>
      <c r="E857" s="2"/>
      <c r="F857" s="519">
        <v>1</v>
      </c>
      <c r="G857" s="518" t="s">
        <v>2342</v>
      </c>
      <c r="H857" s="509" t="s">
        <v>3560</v>
      </c>
      <c r="I857" s="492">
        <f>C10</f>
        <v>150</v>
      </c>
      <c r="J857" s="500" t="s">
        <v>2342</v>
      </c>
      <c r="K857" s="492">
        <f t="shared" si="45"/>
        <v>150</v>
      </c>
      <c r="R857" s="515" t="s">
        <v>442</v>
      </c>
    </row>
    <row r="858" spans="1:18" hidden="1">
      <c r="A858" s="551"/>
      <c r="B858" s="511" t="s">
        <v>3605</v>
      </c>
      <c r="C858" s="552" t="s">
        <v>3524</v>
      </c>
      <c r="D858" s="2"/>
      <c r="E858" s="2"/>
      <c r="F858" s="519">
        <v>1</v>
      </c>
      <c r="G858" s="518" t="s">
        <v>2342</v>
      </c>
      <c r="H858" s="509" t="s">
        <v>3562</v>
      </c>
      <c r="I858" s="492">
        <f>C12</f>
        <v>95</v>
      </c>
      <c r="J858" s="500" t="s">
        <v>2342</v>
      </c>
      <c r="K858" s="492">
        <f t="shared" si="45"/>
        <v>95</v>
      </c>
      <c r="O858" s="510" t="s">
        <v>3606</v>
      </c>
      <c r="R858" s="519">
        <f>SUM(R855:R856)</f>
        <v>96.25</v>
      </c>
    </row>
    <row r="859" spans="1:18" hidden="1">
      <c r="A859" s="548"/>
      <c r="B859" s="555" t="s">
        <v>3607</v>
      </c>
      <c r="C859" s="552" t="s">
        <v>3524</v>
      </c>
      <c r="D859" s="2"/>
      <c r="E859" s="2"/>
      <c r="F859" s="519">
        <v>1</v>
      </c>
      <c r="G859" s="518" t="s">
        <v>2342</v>
      </c>
      <c r="H859" s="519" t="str">
        <f>H841</f>
        <v>MOULDING CHARGES</v>
      </c>
      <c r="I859" s="492">
        <v>25</v>
      </c>
      <c r="J859" s="500" t="s">
        <v>2342</v>
      </c>
      <c r="K859" s="492">
        <f t="shared" si="45"/>
        <v>25</v>
      </c>
      <c r="R859" s="515" t="s">
        <v>442</v>
      </c>
    </row>
    <row r="860" spans="1:18" hidden="1">
      <c r="A860" s="551">
        <v>16</v>
      </c>
      <c r="B860" s="558" t="s">
        <v>3608</v>
      </c>
      <c r="C860" s="2"/>
      <c r="D860" s="2"/>
      <c r="E860" s="2"/>
      <c r="F860" s="519">
        <v>0.5</v>
      </c>
      <c r="G860" s="518" t="s">
        <v>2342</v>
      </c>
      <c r="H860" s="509" t="s">
        <v>3566</v>
      </c>
      <c r="I860" s="492">
        <f>C13</f>
        <v>85</v>
      </c>
      <c r="J860" s="500" t="s">
        <v>2342</v>
      </c>
      <c r="K860" s="492">
        <f t="shared" si="45"/>
        <v>42.5</v>
      </c>
      <c r="O860" s="510" t="s">
        <v>3609</v>
      </c>
      <c r="R860" s="519">
        <f>R858/0.0283</f>
        <v>3401.0600706713781</v>
      </c>
    </row>
    <row r="861" spans="1:18" hidden="1">
      <c r="A861" s="559"/>
      <c r="B861" s="547" t="s">
        <v>3610</v>
      </c>
      <c r="C861" s="501">
        <v>10</v>
      </c>
      <c r="D861" s="2"/>
      <c r="E861" s="2"/>
      <c r="G861" s="518" t="s">
        <v>2346</v>
      </c>
      <c r="H861" s="509" t="s">
        <v>3568</v>
      </c>
      <c r="I861" s="2"/>
      <c r="J861" s="500" t="s">
        <v>2346</v>
      </c>
      <c r="K861" s="492">
        <v>0.5</v>
      </c>
      <c r="R861" s="515" t="s">
        <v>442</v>
      </c>
    </row>
    <row r="862" spans="1:18" hidden="1">
      <c r="A862" s="559"/>
      <c r="B862" s="547" t="s">
        <v>3611</v>
      </c>
      <c r="C862" s="501">
        <v>10</v>
      </c>
      <c r="D862" s="2"/>
      <c r="E862" s="2"/>
      <c r="I862" s="2"/>
      <c r="J862" s="463"/>
      <c r="K862" s="491" t="s">
        <v>442</v>
      </c>
    </row>
    <row r="863" spans="1:18" ht="31.5" hidden="1">
      <c r="A863" s="551">
        <v>17</v>
      </c>
      <c r="B863" s="558" t="s">
        <v>3612</v>
      </c>
      <c r="C863" s="2"/>
      <c r="D863" s="2"/>
      <c r="E863" s="2"/>
      <c r="H863" s="510" t="s">
        <v>3571</v>
      </c>
      <c r="I863" s="2"/>
      <c r="J863" s="463"/>
      <c r="K863" s="492" t="e">
        <f>SUM(K850:K861)</f>
        <v>#REF!</v>
      </c>
    </row>
    <row r="864" spans="1:18" hidden="1">
      <c r="A864" s="551"/>
      <c r="B864" s="511" t="s">
        <v>3613</v>
      </c>
      <c r="C864" s="501">
        <v>170</v>
      </c>
      <c r="D864" s="2"/>
      <c r="E864" s="2"/>
      <c r="I864" s="2"/>
      <c r="J864" s="463"/>
      <c r="K864" s="491" t="s">
        <v>442</v>
      </c>
    </row>
    <row r="865" spans="1:33" hidden="1">
      <c r="A865" s="551"/>
      <c r="B865" s="547" t="s">
        <v>3614</v>
      </c>
      <c r="C865" s="501">
        <v>170</v>
      </c>
      <c r="D865" s="2"/>
      <c r="E865" s="2"/>
      <c r="I865" s="2"/>
      <c r="J865" s="463"/>
      <c r="K865" s="2"/>
    </row>
    <row r="866" spans="1:33" hidden="1">
      <c r="A866" s="551"/>
      <c r="B866" s="547" t="s">
        <v>3615</v>
      </c>
      <c r="C866" s="501">
        <v>295</v>
      </c>
      <c r="D866" s="2"/>
      <c r="E866" s="2"/>
      <c r="I866" s="2"/>
      <c r="J866" s="463"/>
      <c r="K866" s="2"/>
    </row>
    <row r="867" spans="1:33" ht="31.5" hidden="1">
      <c r="A867" s="551"/>
      <c r="B867" s="556" t="s">
        <v>3616</v>
      </c>
      <c r="C867" s="501">
        <v>240</v>
      </c>
      <c r="D867" s="2"/>
      <c r="E867" s="2"/>
      <c r="I867" s="2"/>
      <c r="J867" s="463"/>
      <c r="K867" s="2"/>
    </row>
    <row r="868" spans="1:33" ht="30" hidden="1" customHeight="1">
      <c r="A868" s="551"/>
      <c r="C868" s="2"/>
      <c r="D868" s="2"/>
      <c r="E868" s="2"/>
      <c r="F868" s="560">
        <v>21.3</v>
      </c>
      <c r="G868" s="518" t="s">
        <v>575</v>
      </c>
      <c r="H868" s="561" t="s">
        <v>3617</v>
      </c>
      <c r="I868" s="2"/>
      <c r="J868" s="463"/>
      <c r="K868" s="2"/>
      <c r="AG868" s="509" t="s">
        <v>2514</v>
      </c>
    </row>
    <row r="869" spans="1:33" hidden="1">
      <c r="A869" s="551"/>
      <c r="B869" s="547" t="s">
        <v>3618</v>
      </c>
      <c r="C869" s="552" t="s">
        <v>3619</v>
      </c>
      <c r="D869" s="2"/>
      <c r="E869" s="2"/>
      <c r="H869" s="509" t="s">
        <v>3620</v>
      </c>
      <c r="I869" s="2"/>
      <c r="J869" s="463"/>
      <c r="K869" s="2"/>
      <c r="M869" s="519">
        <v>11.64</v>
      </c>
      <c r="N869" s="509" t="s">
        <v>12</v>
      </c>
      <c r="O869" s="509" t="s">
        <v>3495</v>
      </c>
      <c r="P869" s="519">
        <v>13.66</v>
      </c>
      <c r="R869" s="519">
        <f>(M869*P869)</f>
        <v>159.00240000000002</v>
      </c>
      <c r="AG869" s="509" t="s">
        <v>2514</v>
      </c>
    </row>
    <row r="870" spans="1:33" hidden="1">
      <c r="A870" s="551"/>
      <c r="B870" s="547" t="s">
        <v>3621</v>
      </c>
      <c r="C870" s="552" t="s">
        <v>3619</v>
      </c>
      <c r="D870" s="2"/>
      <c r="E870" s="2"/>
      <c r="H870" s="515" t="s">
        <v>442</v>
      </c>
      <c r="I870" s="2"/>
      <c r="J870" s="463"/>
      <c r="K870" s="2"/>
      <c r="M870" s="542">
        <v>1.62</v>
      </c>
      <c r="N870" s="509" t="s">
        <v>2788</v>
      </c>
      <c r="O870" s="509" t="s">
        <v>3498</v>
      </c>
      <c r="P870" s="519">
        <v>25.46</v>
      </c>
      <c r="R870" s="519">
        <f>(M870*P870)</f>
        <v>41.245200000000004</v>
      </c>
      <c r="AG870" s="509" t="s">
        <v>2514</v>
      </c>
    </row>
    <row r="871" spans="1:33" hidden="1">
      <c r="A871" s="551"/>
      <c r="B871" s="547" t="s">
        <v>3622</v>
      </c>
      <c r="C871" s="552" t="s">
        <v>3619</v>
      </c>
      <c r="D871" s="2"/>
      <c r="E871" s="2"/>
      <c r="I871" s="2"/>
      <c r="J871" s="463"/>
      <c r="K871" s="2"/>
      <c r="M871" s="519">
        <v>48</v>
      </c>
      <c r="N871" s="509" t="s">
        <v>2342</v>
      </c>
      <c r="O871" s="509" t="s">
        <v>3500</v>
      </c>
      <c r="P871" s="519">
        <v>0.5</v>
      </c>
      <c r="R871" s="519">
        <f>(M871*P871)</f>
        <v>24</v>
      </c>
      <c r="AG871" s="509" t="s">
        <v>2514</v>
      </c>
    </row>
    <row r="872" spans="1:33" hidden="1">
      <c r="A872" s="551"/>
      <c r="B872" s="547" t="s">
        <v>3623</v>
      </c>
      <c r="C872" s="552" t="s">
        <v>3619</v>
      </c>
      <c r="D872" s="2"/>
      <c r="E872" s="2"/>
      <c r="H872" s="509" t="s">
        <v>3620</v>
      </c>
      <c r="I872" s="2"/>
      <c r="J872" s="500" t="s">
        <v>2788</v>
      </c>
      <c r="K872" s="492">
        <v>1450</v>
      </c>
      <c r="R872" s="519">
        <v>0.23</v>
      </c>
      <c r="AG872" s="509" t="s">
        <v>2514</v>
      </c>
    </row>
    <row r="873" spans="1:33" hidden="1">
      <c r="A873" s="551">
        <v>18</v>
      </c>
      <c r="B873" s="553" t="s">
        <v>3624</v>
      </c>
      <c r="C873" s="2"/>
      <c r="D873" s="2"/>
      <c r="E873" s="2"/>
      <c r="F873" s="509" t="s">
        <v>30</v>
      </c>
      <c r="I873" s="2"/>
      <c r="J873" s="463"/>
      <c r="K873" s="2"/>
    </row>
    <row r="874" spans="1:33" hidden="1">
      <c r="A874" s="551"/>
      <c r="B874" s="547" t="s">
        <v>3625</v>
      </c>
      <c r="C874" s="501">
        <v>113</v>
      </c>
      <c r="D874" s="2"/>
      <c r="E874" s="2"/>
      <c r="H874" s="510" t="s">
        <v>3626</v>
      </c>
      <c r="I874" s="2"/>
      <c r="J874" s="463"/>
      <c r="K874" s="491" t="s">
        <v>29</v>
      </c>
      <c r="R874" s="515" t="s">
        <v>442</v>
      </c>
      <c r="AG874" s="509" t="s">
        <v>2514</v>
      </c>
    </row>
    <row r="875" spans="1:33" hidden="1">
      <c r="A875" s="551"/>
      <c r="B875" s="547" t="s">
        <v>3627</v>
      </c>
      <c r="C875" s="501">
        <v>135</v>
      </c>
      <c r="D875" s="2"/>
      <c r="E875" s="2"/>
      <c r="H875" s="510" t="s">
        <v>3628</v>
      </c>
      <c r="I875" s="2"/>
      <c r="J875" s="463"/>
      <c r="K875" s="2"/>
      <c r="O875" s="510" t="s">
        <v>3503</v>
      </c>
      <c r="R875" s="519">
        <f>SUM(R869:R872)</f>
        <v>224.47760000000002</v>
      </c>
      <c r="AG875" s="509" t="s">
        <v>2514</v>
      </c>
    </row>
    <row r="876" spans="1:33" hidden="1">
      <c r="A876" s="551"/>
      <c r="B876" s="547" t="s">
        <v>3629</v>
      </c>
      <c r="C876" s="501">
        <v>180</v>
      </c>
      <c r="D876" s="2"/>
      <c r="E876" s="2"/>
      <c r="F876" s="543">
        <v>21.2</v>
      </c>
      <c r="H876" s="562" t="s">
        <v>3630</v>
      </c>
      <c r="I876" s="2"/>
      <c r="J876" s="463"/>
      <c r="K876" s="2"/>
      <c r="AG876" s="509" t="s">
        <v>2514</v>
      </c>
    </row>
    <row r="877" spans="1:33" hidden="1">
      <c r="A877" s="551"/>
      <c r="B877" s="547" t="s">
        <v>3631</v>
      </c>
      <c r="C877" s="501">
        <v>248</v>
      </c>
      <c r="D877" s="2"/>
      <c r="E877" s="2"/>
      <c r="F877" s="543"/>
      <c r="H877" s="515" t="s">
        <v>442</v>
      </c>
      <c r="I877" s="2"/>
      <c r="J877" s="463"/>
      <c r="K877" s="2"/>
      <c r="AG877" s="509"/>
    </row>
    <row r="878" spans="1:33" hidden="1">
      <c r="A878" s="551">
        <v>19</v>
      </c>
      <c r="B878" s="547" t="s">
        <v>3632</v>
      </c>
      <c r="C878" s="552" t="s">
        <v>3619</v>
      </c>
      <c r="D878" s="2"/>
      <c r="E878" s="2"/>
      <c r="G878" s="518" t="s">
        <v>2970</v>
      </c>
      <c r="H878" s="509" t="s">
        <v>3633</v>
      </c>
      <c r="I878" s="2"/>
      <c r="J878" s="463"/>
      <c r="K878" s="490" t="s">
        <v>30</v>
      </c>
      <c r="AG878" s="509" t="s">
        <v>2514</v>
      </c>
    </row>
    <row r="879" spans="1:33" hidden="1">
      <c r="A879" s="551"/>
      <c r="B879" s="547" t="s">
        <v>3634</v>
      </c>
      <c r="C879" s="552" t="s">
        <v>3619</v>
      </c>
      <c r="D879" s="2"/>
      <c r="E879" s="2"/>
      <c r="H879" s="515" t="s">
        <v>442</v>
      </c>
      <c r="I879" s="2"/>
      <c r="J879" s="463"/>
      <c r="K879" s="490" t="s">
        <v>30</v>
      </c>
      <c r="AG879" s="509" t="s">
        <v>2514</v>
      </c>
    </row>
    <row r="880" spans="1:33" hidden="1">
      <c r="A880" s="551">
        <v>20</v>
      </c>
      <c r="B880" s="547" t="s">
        <v>3635</v>
      </c>
      <c r="C880" s="552" t="s">
        <v>3619</v>
      </c>
      <c r="D880" s="2"/>
      <c r="E880" s="2"/>
      <c r="F880" s="519">
        <v>1</v>
      </c>
      <c r="G880" s="518" t="s">
        <v>2334</v>
      </c>
      <c r="H880" s="509" t="s">
        <v>3636</v>
      </c>
      <c r="I880" s="492">
        <f>C30</f>
        <v>3035</v>
      </c>
      <c r="J880" s="500" t="s">
        <v>2334</v>
      </c>
      <c r="K880" s="492">
        <f>(F880*I880)</f>
        <v>3035</v>
      </c>
      <c r="AG880" s="509" t="s">
        <v>2514</v>
      </c>
    </row>
    <row r="881" spans="1:33" hidden="1">
      <c r="A881" s="551">
        <v>21</v>
      </c>
      <c r="B881" s="547" t="s">
        <v>3637</v>
      </c>
      <c r="C881" s="554" t="s">
        <v>3619</v>
      </c>
      <c r="D881" s="2"/>
      <c r="E881" s="2"/>
      <c r="F881" s="519">
        <v>1</v>
      </c>
      <c r="G881" s="518" t="s">
        <v>2334</v>
      </c>
      <c r="H881" s="509" t="s">
        <v>3633</v>
      </c>
      <c r="I881" s="492">
        <f>C88</f>
        <v>65420</v>
      </c>
      <c r="J881" s="500" t="s">
        <v>2334</v>
      </c>
      <c r="K881" s="492">
        <f>(F881*I881)</f>
        <v>65420</v>
      </c>
      <c r="AG881" s="509" t="s">
        <v>2514</v>
      </c>
    </row>
    <row r="882" spans="1:33" hidden="1">
      <c r="A882" s="551">
        <v>22</v>
      </c>
      <c r="B882" s="547" t="s">
        <v>3638</v>
      </c>
      <c r="C882" s="554" t="s">
        <v>3619</v>
      </c>
      <c r="D882" s="2"/>
      <c r="E882" s="2"/>
      <c r="I882" s="2"/>
      <c r="J882" s="463"/>
      <c r="K882" s="491" t="s">
        <v>29</v>
      </c>
      <c r="AG882" s="509" t="s">
        <v>2514</v>
      </c>
    </row>
    <row r="883" spans="1:33" hidden="1">
      <c r="A883" s="551">
        <v>23</v>
      </c>
      <c r="B883" s="553" t="s">
        <v>3639</v>
      </c>
      <c r="C883" s="2"/>
      <c r="D883" s="2"/>
      <c r="E883" s="2"/>
      <c r="H883" s="509" t="s">
        <v>3640</v>
      </c>
      <c r="I883" s="2"/>
      <c r="J883" s="463"/>
      <c r="K883" s="492">
        <f>SUM(K880:K881)</f>
        <v>68455</v>
      </c>
      <c r="AG883" s="509" t="s">
        <v>2514</v>
      </c>
    </row>
    <row r="884" spans="1:33" hidden="1">
      <c r="A884" s="551"/>
      <c r="B884" s="547" t="s">
        <v>3641</v>
      </c>
      <c r="C884" s="552" t="s">
        <v>3619</v>
      </c>
      <c r="D884" s="2"/>
      <c r="E884" s="2"/>
      <c r="I884" s="2"/>
      <c r="J884" s="463"/>
      <c r="K884" s="491" t="s">
        <v>29</v>
      </c>
      <c r="AG884" s="509" t="s">
        <v>2514</v>
      </c>
    </row>
    <row r="885" spans="1:33" hidden="1">
      <c r="A885" s="551"/>
      <c r="B885" s="547" t="s">
        <v>3642</v>
      </c>
      <c r="C885" s="552" t="s">
        <v>3619</v>
      </c>
      <c r="D885" s="2"/>
      <c r="E885" s="2"/>
      <c r="G885" s="518" t="s">
        <v>24</v>
      </c>
      <c r="H885" s="509" t="s">
        <v>3643</v>
      </c>
      <c r="I885" s="2"/>
      <c r="J885" s="463"/>
      <c r="K885" s="490" t="s">
        <v>30</v>
      </c>
      <c r="AG885" s="509" t="s">
        <v>2514</v>
      </c>
    </row>
    <row r="886" spans="1:33" hidden="1">
      <c r="A886" s="551">
        <v>24</v>
      </c>
      <c r="B886" s="553" t="s">
        <v>3644</v>
      </c>
      <c r="C886" s="501">
        <v>18</v>
      </c>
      <c r="D886" s="2"/>
      <c r="E886" s="2"/>
      <c r="H886" s="515" t="s">
        <v>442</v>
      </c>
      <c r="I886" s="2"/>
      <c r="J886" s="463"/>
      <c r="K886" s="2"/>
      <c r="AG886" s="509" t="s">
        <v>2514</v>
      </c>
    </row>
    <row r="887" spans="1:33" ht="30" hidden="1" customHeight="1">
      <c r="A887" s="551">
        <v>25</v>
      </c>
      <c r="B887" s="557" t="s">
        <v>3645</v>
      </c>
      <c r="C887" s="501">
        <v>300</v>
      </c>
      <c r="D887" s="2"/>
      <c r="E887" s="2"/>
      <c r="F887" s="519">
        <v>1</v>
      </c>
      <c r="G887" s="518" t="s">
        <v>2334</v>
      </c>
      <c r="H887" s="509" t="s">
        <v>3636</v>
      </c>
      <c r="I887" s="492">
        <f>C30</f>
        <v>3035</v>
      </c>
      <c r="J887" s="500" t="s">
        <v>2334</v>
      </c>
      <c r="K887" s="492">
        <f>(F887*I887)</f>
        <v>3035</v>
      </c>
      <c r="AG887" s="509" t="s">
        <v>2514</v>
      </c>
    </row>
    <row r="888" spans="1:33" hidden="1">
      <c r="A888" s="551">
        <v>26</v>
      </c>
      <c r="B888" s="511" t="s">
        <v>3646</v>
      </c>
      <c r="C888" s="501">
        <v>15</v>
      </c>
      <c r="D888" s="2"/>
      <c r="E888" s="2"/>
      <c r="F888" s="519">
        <v>1</v>
      </c>
      <c r="G888" s="518" t="s">
        <v>2334</v>
      </c>
      <c r="H888" s="509" t="s">
        <v>3633</v>
      </c>
      <c r="I888" s="492">
        <f>C89</f>
        <v>57165</v>
      </c>
      <c r="J888" s="500" t="s">
        <v>2334</v>
      </c>
      <c r="K888" s="492">
        <f>(F888*I888)</f>
        <v>57165</v>
      </c>
      <c r="AG888" s="509" t="s">
        <v>2514</v>
      </c>
    </row>
    <row r="889" spans="1:33" ht="30" hidden="1" customHeight="1">
      <c r="A889" s="551">
        <v>27</v>
      </c>
      <c r="B889" s="557" t="s">
        <v>3647</v>
      </c>
      <c r="C889" s="501">
        <v>178</v>
      </c>
      <c r="D889" s="2"/>
      <c r="E889" s="2"/>
      <c r="I889" s="2"/>
      <c r="J889" s="463"/>
      <c r="K889" s="491" t="s">
        <v>29</v>
      </c>
      <c r="AG889" s="509" t="s">
        <v>2514</v>
      </c>
    </row>
    <row r="890" spans="1:33" ht="30" hidden="1" customHeight="1">
      <c r="A890" s="551"/>
      <c r="B890" s="557" t="s">
        <v>3648</v>
      </c>
      <c r="C890" s="501">
        <v>1120</v>
      </c>
      <c r="D890" s="2"/>
      <c r="E890" s="2"/>
      <c r="H890" s="509" t="s">
        <v>3649</v>
      </c>
      <c r="I890" s="2"/>
      <c r="J890" s="463"/>
      <c r="K890" s="492">
        <f>SUM(K887:K888)</f>
        <v>60200</v>
      </c>
      <c r="AG890" s="509" t="s">
        <v>2514</v>
      </c>
    </row>
    <row r="891" spans="1:33" ht="30" hidden="1" customHeight="1">
      <c r="A891" s="551"/>
      <c r="B891" s="558" t="s">
        <v>3650</v>
      </c>
      <c r="C891" s="2"/>
      <c r="D891" s="2"/>
      <c r="E891" s="2"/>
      <c r="I891" s="2"/>
      <c r="J891" s="463"/>
      <c r="K891" s="491" t="s">
        <v>29</v>
      </c>
      <c r="AG891" s="509" t="s">
        <v>2514</v>
      </c>
    </row>
    <row r="892" spans="1:33" hidden="1">
      <c r="A892" s="551"/>
      <c r="B892" s="557" t="s">
        <v>3651</v>
      </c>
      <c r="C892" s="552" t="s">
        <v>3619</v>
      </c>
      <c r="D892" s="2"/>
      <c r="E892" s="2"/>
      <c r="I892" s="2"/>
      <c r="J892" s="463"/>
      <c r="K892" s="2"/>
      <c r="AG892" s="509" t="s">
        <v>2514</v>
      </c>
    </row>
    <row r="893" spans="1:33" hidden="1">
      <c r="A893" s="551"/>
      <c r="B893" s="557" t="s">
        <v>3652</v>
      </c>
      <c r="C893" s="552" t="s">
        <v>3619</v>
      </c>
      <c r="D893" s="2"/>
      <c r="E893" s="2"/>
      <c r="F893" s="510" t="s">
        <v>3653</v>
      </c>
      <c r="G893" s="518" t="s">
        <v>575</v>
      </c>
      <c r="H893" s="509" t="s">
        <v>3654</v>
      </c>
      <c r="I893" s="2"/>
      <c r="J893" s="463"/>
      <c r="K893" s="2"/>
      <c r="AG893" s="509" t="s">
        <v>2514</v>
      </c>
    </row>
    <row r="894" spans="1:33" hidden="1">
      <c r="A894" s="551"/>
      <c r="B894" s="557" t="s">
        <v>3655</v>
      </c>
      <c r="C894" s="552" t="s">
        <v>3619</v>
      </c>
      <c r="D894" s="2"/>
      <c r="E894" s="2"/>
      <c r="H894" s="509" t="s">
        <v>3656</v>
      </c>
      <c r="I894" s="2"/>
      <c r="J894" s="463"/>
      <c r="K894" s="2"/>
      <c r="AG894" s="509" t="s">
        <v>2514</v>
      </c>
    </row>
    <row r="895" spans="1:33" ht="31.5" hidden="1">
      <c r="A895" s="551"/>
      <c r="B895" s="557" t="s">
        <v>3657</v>
      </c>
      <c r="C895" s="501">
        <v>120</v>
      </c>
      <c r="D895" s="2"/>
      <c r="E895" s="2"/>
      <c r="H895" s="509" t="s">
        <v>3658</v>
      </c>
      <c r="I895" s="2"/>
      <c r="J895" s="463"/>
      <c r="K895" s="2"/>
      <c r="AG895" s="509" t="s">
        <v>2514</v>
      </c>
    </row>
    <row r="896" spans="1:33" hidden="1">
      <c r="A896" s="551"/>
      <c r="B896" s="558" t="s">
        <v>3659</v>
      </c>
      <c r="C896" s="2"/>
      <c r="D896" s="2"/>
      <c r="E896" s="2"/>
      <c r="H896" s="515" t="s">
        <v>442</v>
      </c>
      <c r="I896" s="2"/>
      <c r="J896" s="463"/>
      <c r="K896" s="2"/>
      <c r="AG896" s="509" t="s">
        <v>2514</v>
      </c>
    </row>
    <row r="897" spans="1:33" hidden="1">
      <c r="A897" s="551"/>
      <c r="B897" s="557" t="s">
        <v>3660</v>
      </c>
      <c r="C897" s="501">
        <v>45</v>
      </c>
      <c r="D897" s="2"/>
      <c r="E897" s="2"/>
      <c r="H897" s="509" t="s">
        <v>3661</v>
      </c>
      <c r="I897" s="2"/>
      <c r="J897" s="463"/>
      <c r="K897" s="2"/>
    </row>
    <row r="898" spans="1:33" hidden="1">
      <c r="A898" s="551"/>
      <c r="B898" s="557" t="s">
        <v>3662</v>
      </c>
      <c r="C898" s="501">
        <v>18</v>
      </c>
      <c r="D898" s="2"/>
      <c r="E898" s="2"/>
      <c r="H898" s="509" t="s">
        <v>3663</v>
      </c>
      <c r="I898" s="2"/>
      <c r="J898" s="463"/>
      <c r="K898" s="2"/>
    </row>
    <row r="899" spans="1:33" hidden="1">
      <c r="A899" s="551"/>
      <c r="B899" s="557" t="s">
        <v>3664</v>
      </c>
      <c r="C899" s="501">
        <v>450</v>
      </c>
      <c r="D899" s="2"/>
      <c r="E899" s="2"/>
      <c r="I899" s="2"/>
      <c r="J899" s="500" t="s">
        <v>442</v>
      </c>
      <c r="K899" s="2"/>
    </row>
    <row r="900" spans="1:33" hidden="1">
      <c r="A900" s="551"/>
      <c r="B900" s="557" t="s">
        <v>3665</v>
      </c>
      <c r="C900" s="501">
        <v>650</v>
      </c>
      <c r="D900" s="2"/>
      <c r="E900" s="2"/>
      <c r="H900" s="509" t="s">
        <v>3666</v>
      </c>
      <c r="I900" s="2"/>
      <c r="J900" s="463"/>
      <c r="K900" s="2"/>
    </row>
    <row r="901" spans="1:33" ht="63" hidden="1">
      <c r="A901" s="551"/>
      <c r="B901" s="557" t="s">
        <v>3667</v>
      </c>
      <c r="C901" s="501">
        <v>5000</v>
      </c>
      <c r="D901" s="2"/>
      <c r="E901" s="2"/>
      <c r="H901" s="509" t="s">
        <v>3668</v>
      </c>
      <c r="I901" s="2"/>
      <c r="J901" s="463"/>
      <c r="K901" s="563">
        <v>2.4299999999999999E-2</v>
      </c>
    </row>
    <row r="902" spans="1:33" ht="63" hidden="1">
      <c r="A902" s="551"/>
      <c r="B902" s="557" t="s">
        <v>3669</v>
      </c>
      <c r="C902" s="501">
        <v>6750</v>
      </c>
      <c r="D902" s="2"/>
      <c r="E902" s="2"/>
      <c r="I902" s="2"/>
      <c r="J902" s="500" t="s">
        <v>30</v>
      </c>
      <c r="K902" s="491" t="s">
        <v>442</v>
      </c>
    </row>
    <row r="903" spans="1:33" ht="63" hidden="1">
      <c r="A903" s="551"/>
      <c r="B903" s="557" t="s">
        <v>3670</v>
      </c>
      <c r="C903" s="501">
        <v>5800</v>
      </c>
      <c r="D903" s="2"/>
      <c r="E903" s="2"/>
      <c r="H903" s="509" t="s">
        <v>3671</v>
      </c>
      <c r="I903" s="2"/>
      <c r="J903" s="564" t="s">
        <v>30</v>
      </c>
      <c r="K903" s="563">
        <v>1.47E-2</v>
      </c>
    </row>
    <row r="904" spans="1:33" hidden="1">
      <c r="A904" s="551"/>
      <c r="B904" s="557" t="s">
        <v>3672</v>
      </c>
      <c r="C904" s="2"/>
      <c r="D904" s="2"/>
      <c r="E904" s="2"/>
      <c r="H904" s="509" t="s">
        <v>3673</v>
      </c>
      <c r="I904" s="2"/>
      <c r="J904" s="500" t="s">
        <v>30</v>
      </c>
      <c r="K904" s="563">
        <v>4.5999999999999999E-3</v>
      </c>
    </row>
    <row r="905" spans="1:33" ht="47.25" hidden="1">
      <c r="A905" s="551"/>
      <c r="B905" s="557" t="s">
        <v>3674</v>
      </c>
      <c r="C905" s="2"/>
      <c r="D905" s="2"/>
      <c r="E905" s="2"/>
      <c r="I905" s="2"/>
      <c r="J905" s="463"/>
      <c r="K905" s="491" t="s">
        <v>442</v>
      </c>
    </row>
    <row r="906" spans="1:33" ht="47.25" hidden="1">
      <c r="A906" s="551"/>
      <c r="B906" s="557" t="s">
        <v>3674</v>
      </c>
      <c r="C906" s="2"/>
      <c r="D906" s="2"/>
      <c r="E906" s="2"/>
      <c r="I906" s="2"/>
      <c r="J906" s="463"/>
      <c r="K906" s="563">
        <v>1.9300000000000001E-2</v>
      </c>
    </row>
    <row r="907" spans="1:33" ht="47.25" hidden="1">
      <c r="A907" s="551"/>
      <c r="B907" s="557" t="s">
        <v>3675</v>
      </c>
      <c r="C907" s="2"/>
      <c r="D907" s="2"/>
      <c r="E907" s="2"/>
      <c r="I907" s="2"/>
      <c r="J907" s="463"/>
      <c r="K907" s="491" t="s">
        <v>442</v>
      </c>
    </row>
    <row r="908" spans="1:33" hidden="1">
      <c r="A908" s="551"/>
      <c r="B908" s="557" t="s">
        <v>3676</v>
      </c>
      <c r="C908" s="2"/>
      <c r="D908" s="2"/>
      <c r="E908" s="2"/>
      <c r="I908" s="2"/>
      <c r="J908" s="463"/>
      <c r="K908" s="2"/>
    </row>
    <row r="909" spans="1:33" hidden="1">
      <c r="A909" s="551"/>
      <c r="B909" s="557" t="s">
        <v>3677</v>
      </c>
      <c r="C909" s="2"/>
      <c r="D909" s="2"/>
      <c r="E909" s="2"/>
      <c r="I909" s="2"/>
      <c r="J909" s="463"/>
      <c r="K909" s="2"/>
    </row>
    <row r="910" spans="1:33" hidden="1">
      <c r="A910" s="551"/>
      <c r="B910" s="557" t="s">
        <v>3678</v>
      </c>
      <c r="C910" s="2"/>
      <c r="D910" s="2"/>
      <c r="E910" s="2"/>
      <c r="F910" s="541">
        <v>1.14E-2</v>
      </c>
      <c r="G910" s="518" t="s">
        <v>2334</v>
      </c>
      <c r="H910" s="509" t="s">
        <v>3679</v>
      </c>
      <c r="I910" s="492">
        <f>C88</f>
        <v>65420</v>
      </c>
      <c r="J910" s="500" t="s">
        <v>2334</v>
      </c>
      <c r="K910" s="492">
        <f>(F910*I910)</f>
        <v>745.78800000000001</v>
      </c>
      <c r="AG910" s="509" t="s">
        <v>2514</v>
      </c>
    </row>
    <row r="911" spans="1:33" hidden="1">
      <c r="A911" s="551"/>
      <c r="B911" s="557" t="s">
        <v>3680</v>
      </c>
      <c r="C911" s="2"/>
      <c r="D911" s="2"/>
      <c r="E911" s="2"/>
      <c r="F911" s="541">
        <v>2.4299999999999999E-2</v>
      </c>
      <c r="G911" s="518" t="s">
        <v>2334</v>
      </c>
      <c r="H911" s="509" t="s">
        <v>3681</v>
      </c>
      <c r="I911" s="492">
        <f>C89</f>
        <v>57165</v>
      </c>
      <c r="J911" s="500" t="s">
        <v>2334</v>
      </c>
      <c r="K911" s="492">
        <f>(F911*I911)</f>
        <v>1389.1095</v>
      </c>
      <c r="AG911" s="509" t="s">
        <v>2514</v>
      </c>
    </row>
    <row r="912" spans="1:33" hidden="1">
      <c r="A912" s="551"/>
      <c r="B912" s="557" t="s">
        <v>3682</v>
      </c>
      <c r="C912" s="2"/>
      <c r="D912" s="2"/>
      <c r="E912" s="2"/>
      <c r="F912" s="541">
        <v>1.9300000000000001E-2</v>
      </c>
      <c r="G912" s="518" t="s">
        <v>2334</v>
      </c>
      <c r="H912" s="509" t="s">
        <v>3683</v>
      </c>
      <c r="I912" s="492">
        <f>C90</f>
        <v>63870</v>
      </c>
      <c r="J912" s="500" t="s">
        <v>2334</v>
      </c>
      <c r="K912" s="492">
        <f>(F912*I912)</f>
        <v>1232.691</v>
      </c>
      <c r="AG912" s="509" t="s">
        <v>2514</v>
      </c>
    </row>
    <row r="913" spans="1:33" hidden="1">
      <c r="A913" s="551"/>
      <c r="B913" s="557" t="s">
        <v>3684</v>
      </c>
      <c r="C913" s="2"/>
      <c r="D913" s="2"/>
      <c r="E913" s="2"/>
      <c r="F913" s="542"/>
      <c r="H913" s="509" t="s">
        <v>3685</v>
      </c>
      <c r="I913" s="490" t="s">
        <v>30</v>
      </c>
      <c r="J913" s="463"/>
      <c r="K913" s="490" t="s">
        <v>30</v>
      </c>
      <c r="AG913" s="509" t="s">
        <v>2514</v>
      </c>
    </row>
    <row r="914" spans="1:33" hidden="1">
      <c r="A914" s="551"/>
      <c r="B914" s="557" t="s">
        <v>3686</v>
      </c>
      <c r="C914" s="2"/>
      <c r="D914" s="2"/>
      <c r="E914" s="2"/>
      <c r="F914" s="542">
        <v>1.823</v>
      </c>
      <c r="G914" s="518" t="s">
        <v>2788</v>
      </c>
      <c r="H914" s="509" t="s">
        <v>3687</v>
      </c>
      <c r="I914" s="492">
        <f>C31</f>
        <v>342</v>
      </c>
      <c r="J914" s="500" t="s">
        <v>2788</v>
      </c>
      <c r="K914" s="492">
        <f t="shared" ref="K914:K920" si="46">(F914*I914)</f>
        <v>623.46600000000001</v>
      </c>
      <c r="AG914" s="509" t="s">
        <v>2514</v>
      </c>
    </row>
    <row r="915" spans="1:33" hidden="1">
      <c r="A915" s="551"/>
      <c r="B915" s="557" t="s">
        <v>3688</v>
      </c>
      <c r="C915" s="2"/>
      <c r="D915" s="2"/>
      <c r="E915" s="2"/>
      <c r="F915" s="519">
        <v>1</v>
      </c>
      <c r="G915" s="518" t="s">
        <v>2359</v>
      </c>
      <c r="H915" s="509" t="s">
        <v>3689</v>
      </c>
      <c r="I915" s="492">
        <f>C576</f>
        <v>30</v>
      </c>
      <c r="J915" s="500" t="s">
        <v>2342</v>
      </c>
      <c r="K915" s="492">
        <f t="shared" si="46"/>
        <v>30</v>
      </c>
      <c r="AG915" s="509" t="s">
        <v>2514</v>
      </c>
    </row>
    <row r="916" spans="1:33" ht="31.5" hidden="1">
      <c r="A916" s="551"/>
      <c r="B916" s="557" t="s">
        <v>3690</v>
      </c>
      <c r="C916" s="2"/>
      <c r="D916" s="2"/>
      <c r="E916" s="2"/>
      <c r="F916" s="519">
        <v>3</v>
      </c>
      <c r="G916" s="518" t="s">
        <v>2342</v>
      </c>
      <c r="H916" s="509" t="s">
        <v>3691</v>
      </c>
      <c r="I916" s="492">
        <f>C278</f>
        <v>45</v>
      </c>
      <c r="J916" s="500" t="s">
        <v>2342</v>
      </c>
      <c r="K916" s="492">
        <f t="shared" si="46"/>
        <v>135</v>
      </c>
      <c r="AG916" s="509" t="s">
        <v>2514</v>
      </c>
    </row>
    <row r="917" spans="1:33" ht="31.5" hidden="1">
      <c r="A917" s="551"/>
      <c r="B917" s="557" t="s">
        <v>3692</v>
      </c>
      <c r="C917" s="2"/>
      <c r="D917" s="2"/>
      <c r="E917" s="2"/>
      <c r="F917" s="519">
        <v>2</v>
      </c>
      <c r="G917" s="518" t="s">
        <v>2342</v>
      </c>
      <c r="H917" s="509" t="s">
        <v>3693</v>
      </c>
      <c r="I917" s="492">
        <f>C283</f>
        <v>30</v>
      </c>
      <c r="J917" s="500" t="s">
        <v>2342</v>
      </c>
      <c r="K917" s="492">
        <f t="shared" si="46"/>
        <v>60</v>
      </c>
      <c r="AG917" s="509" t="s">
        <v>2514</v>
      </c>
    </row>
    <row r="918" spans="1:33" ht="31.5" hidden="1">
      <c r="A918" s="551"/>
      <c r="B918" s="557" t="s">
        <v>3694</v>
      </c>
      <c r="C918" s="2"/>
      <c r="D918" s="2"/>
      <c r="E918" s="2"/>
      <c r="F918" s="519">
        <v>1</v>
      </c>
      <c r="G918" s="518" t="s">
        <v>2342</v>
      </c>
      <c r="H918" s="509" t="s">
        <v>3695</v>
      </c>
      <c r="I918" s="492">
        <f>C285</f>
        <v>95</v>
      </c>
      <c r="J918" s="500" t="s">
        <v>2342</v>
      </c>
      <c r="K918" s="492">
        <f t="shared" si="46"/>
        <v>95</v>
      </c>
      <c r="AG918" s="509" t="s">
        <v>2514</v>
      </c>
    </row>
    <row r="919" spans="1:33" hidden="1">
      <c r="A919" s="551"/>
      <c r="B919" s="557" t="s">
        <v>3696</v>
      </c>
      <c r="C919" s="2"/>
      <c r="D919" s="2"/>
      <c r="E919" s="2"/>
      <c r="F919" s="519">
        <v>1</v>
      </c>
      <c r="G919" s="518" t="s">
        <v>2342</v>
      </c>
      <c r="H919" s="509" t="s">
        <v>3697</v>
      </c>
      <c r="I919" s="492">
        <f>C287</f>
        <v>8</v>
      </c>
      <c r="J919" s="500" t="s">
        <v>2342</v>
      </c>
      <c r="K919" s="492">
        <f t="shared" si="46"/>
        <v>8</v>
      </c>
      <c r="AG919" s="509" t="s">
        <v>2514</v>
      </c>
    </row>
    <row r="920" spans="1:33" hidden="1">
      <c r="A920" s="551"/>
      <c r="B920" s="557" t="s">
        <v>3698</v>
      </c>
      <c r="C920" s="2"/>
      <c r="D920" s="2"/>
      <c r="E920" s="2"/>
      <c r="F920" s="519">
        <v>1</v>
      </c>
      <c r="G920" s="518" t="s">
        <v>2342</v>
      </c>
      <c r="H920" s="509" t="s">
        <v>2818</v>
      </c>
      <c r="I920" s="492">
        <f>D576</f>
        <v>25</v>
      </c>
      <c r="J920" s="500" t="s">
        <v>2342</v>
      </c>
      <c r="K920" s="492">
        <f t="shared" si="46"/>
        <v>25</v>
      </c>
      <c r="AG920" s="509" t="s">
        <v>2514</v>
      </c>
    </row>
    <row r="921" spans="1:33" hidden="1">
      <c r="A921" s="551"/>
      <c r="B921" s="557" t="s">
        <v>3699</v>
      </c>
      <c r="C921" s="2"/>
      <c r="D921" s="2"/>
      <c r="E921" s="2"/>
      <c r="I921" s="2"/>
      <c r="J921" s="463"/>
      <c r="K921" s="491" t="s">
        <v>442</v>
      </c>
      <c r="AG921" s="509" t="s">
        <v>2514</v>
      </c>
    </row>
    <row r="922" spans="1:33" ht="31.5" hidden="1">
      <c r="A922" s="551"/>
      <c r="B922" s="557" t="s">
        <v>3700</v>
      </c>
      <c r="C922" s="2"/>
      <c r="D922" s="2"/>
      <c r="E922" s="2"/>
      <c r="H922" s="509" t="s">
        <v>3701</v>
      </c>
      <c r="I922" s="2"/>
      <c r="J922" s="463"/>
      <c r="K922" s="492">
        <f>SUM(K910:K920)</f>
        <v>4344.0545000000002</v>
      </c>
      <c r="AG922" s="509" t="s">
        <v>2514</v>
      </c>
    </row>
    <row r="923" spans="1:33" hidden="1">
      <c r="A923" s="551"/>
      <c r="B923" s="557" t="s">
        <v>3702</v>
      </c>
      <c r="C923" s="2"/>
      <c r="D923" s="2"/>
      <c r="E923" s="2"/>
      <c r="I923" s="2"/>
      <c r="J923" s="463"/>
      <c r="K923" s="491" t="s">
        <v>442</v>
      </c>
      <c r="AG923" s="509" t="s">
        <v>2514</v>
      </c>
    </row>
    <row r="924" spans="1:33" hidden="1">
      <c r="A924" s="551"/>
      <c r="B924" s="557" t="s">
        <v>3703</v>
      </c>
      <c r="C924" s="2"/>
      <c r="D924" s="2"/>
      <c r="E924" s="2"/>
      <c r="H924" s="509" t="s">
        <v>2355</v>
      </c>
      <c r="I924" s="2"/>
      <c r="J924" s="463"/>
      <c r="K924" s="492">
        <f>K922/F914</f>
        <v>2382.9152495885905</v>
      </c>
      <c r="AG924" s="509" t="s">
        <v>2514</v>
      </c>
    </row>
    <row r="925" spans="1:33" hidden="1">
      <c r="A925" s="551"/>
      <c r="B925" s="557" t="s">
        <v>3704</v>
      </c>
      <c r="C925" s="2"/>
      <c r="D925" s="2"/>
      <c r="E925" s="2"/>
      <c r="F925" s="509" t="s">
        <v>30</v>
      </c>
      <c r="I925" s="2"/>
      <c r="J925" s="463"/>
      <c r="K925" s="2"/>
    </row>
    <row r="926" spans="1:33" hidden="1">
      <c r="A926" s="551"/>
      <c r="B926" s="557" t="s">
        <v>3705</v>
      </c>
      <c r="C926" s="2"/>
      <c r="D926" s="2"/>
      <c r="E926" s="2"/>
      <c r="I926" s="2"/>
      <c r="J926" s="463"/>
      <c r="K926" s="491" t="s">
        <v>29</v>
      </c>
      <c r="AG926" s="509" t="s">
        <v>2514</v>
      </c>
    </row>
    <row r="927" spans="1:33" hidden="1">
      <c r="A927" s="551"/>
      <c r="B927" s="557" t="s">
        <v>3706</v>
      </c>
      <c r="C927" s="2"/>
      <c r="D927" s="2"/>
      <c r="E927" s="2"/>
      <c r="I927" s="2"/>
      <c r="J927" s="463"/>
      <c r="K927" s="2"/>
    </row>
    <row r="928" spans="1:33" hidden="1">
      <c r="A928" s="551"/>
      <c r="B928" s="557" t="s">
        <v>3707</v>
      </c>
      <c r="C928" s="2"/>
      <c r="D928" s="2"/>
      <c r="E928" s="2"/>
      <c r="I928" s="2"/>
      <c r="J928" s="463"/>
      <c r="K928" s="2"/>
    </row>
    <row r="929" spans="1:33" hidden="1">
      <c r="A929" s="551"/>
      <c r="B929" s="557" t="s">
        <v>3708</v>
      </c>
      <c r="C929" s="2"/>
      <c r="D929" s="2"/>
      <c r="E929" s="2"/>
      <c r="F929" s="510" t="s">
        <v>3709</v>
      </c>
      <c r="G929" s="518" t="s">
        <v>575</v>
      </c>
      <c r="H929" s="509" t="s">
        <v>3654</v>
      </c>
      <c r="I929" s="2"/>
      <c r="J929" s="463"/>
      <c r="K929" s="2"/>
      <c r="AG929" s="509" t="s">
        <v>2514</v>
      </c>
    </row>
    <row r="930" spans="1:33" ht="30" hidden="1" customHeight="1">
      <c r="A930" s="551"/>
      <c r="B930" s="557" t="s">
        <v>3710</v>
      </c>
      <c r="C930" s="2"/>
      <c r="D930" s="2"/>
      <c r="E930" s="2"/>
      <c r="H930" s="509" t="s">
        <v>3656</v>
      </c>
      <c r="I930" s="2"/>
      <c r="J930" s="463"/>
      <c r="K930" s="2"/>
      <c r="AG930" s="509" t="s">
        <v>2514</v>
      </c>
    </row>
    <row r="931" spans="1:33" ht="30" hidden="1" customHeight="1">
      <c r="A931" s="551"/>
      <c r="B931" s="557" t="s">
        <v>3711</v>
      </c>
      <c r="C931" s="2"/>
      <c r="D931" s="2"/>
      <c r="E931" s="2"/>
      <c r="H931" s="509" t="s">
        <v>3712</v>
      </c>
      <c r="I931" s="2"/>
      <c r="J931" s="463"/>
      <c r="K931" s="2"/>
      <c r="AG931" s="509" t="s">
        <v>2514</v>
      </c>
    </row>
    <row r="932" spans="1:33" hidden="1">
      <c r="A932" s="551"/>
      <c r="B932" s="557" t="s">
        <v>3713</v>
      </c>
      <c r="C932" s="2"/>
      <c r="D932" s="2"/>
      <c r="E932" s="2"/>
      <c r="H932" s="515" t="s">
        <v>442</v>
      </c>
      <c r="I932" s="2"/>
      <c r="J932" s="463"/>
      <c r="K932" s="2"/>
      <c r="AG932" s="509" t="s">
        <v>2514</v>
      </c>
    </row>
    <row r="933" spans="1:33" hidden="1">
      <c r="A933" s="551"/>
      <c r="B933" s="557" t="s">
        <v>3714</v>
      </c>
      <c r="C933" s="2"/>
      <c r="D933" s="2"/>
      <c r="E933" s="2"/>
      <c r="I933" s="2"/>
      <c r="J933" s="463"/>
      <c r="K933" s="2"/>
    </row>
    <row r="934" spans="1:33" ht="30" hidden="1" customHeight="1">
      <c r="A934" s="551"/>
      <c r="B934" s="557" t="s">
        <v>3715</v>
      </c>
      <c r="C934" s="2"/>
      <c r="D934" s="2"/>
      <c r="E934" s="2"/>
      <c r="H934" s="509" t="s">
        <v>3716</v>
      </c>
      <c r="I934" s="2"/>
      <c r="J934" s="463"/>
      <c r="K934" s="2"/>
    </row>
    <row r="935" spans="1:33" hidden="1">
      <c r="A935" s="551"/>
      <c r="B935" s="557" t="s">
        <v>3717</v>
      </c>
      <c r="C935" s="2"/>
      <c r="D935" s="2"/>
      <c r="E935" s="2"/>
      <c r="H935" s="509" t="s">
        <v>3718</v>
      </c>
      <c r="I935" s="2"/>
      <c r="J935" s="463"/>
      <c r="K935" s="2"/>
    </row>
    <row r="936" spans="1:33" hidden="1">
      <c r="A936" s="551"/>
      <c r="B936" s="557" t="s">
        <v>3719</v>
      </c>
      <c r="C936" s="2"/>
      <c r="D936" s="2"/>
      <c r="E936" s="2"/>
      <c r="I936" s="2"/>
      <c r="J936" s="500" t="s">
        <v>442</v>
      </c>
      <c r="K936" s="2"/>
    </row>
    <row r="937" spans="1:33" hidden="1">
      <c r="A937" s="551"/>
      <c r="B937" s="557" t="s">
        <v>3720</v>
      </c>
      <c r="C937" s="2"/>
      <c r="D937" s="2"/>
      <c r="E937" s="2"/>
      <c r="H937" s="509" t="s">
        <v>3721</v>
      </c>
      <c r="I937" s="2"/>
      <c r="J937" s="463"/>
      <c r="K937" s="2"/>
    </row>
    <row r="938" spans="1:33" hidden="1">
      <c r="A938" s="551"/>
      <c r="B938" s="557" t="s">
        <v>3722</v>
      </c>
      <c r="C938" s="2"/>
      <c r="D938" s="2"/>
      <c r="E938" s="2"/>
      <c r="H938" s="509" t="s">
        <v>3723</v>
      </c>
      <c r="I938" s="2"/>
      <c r="J938" s="463"/>
      <c r="K938" s="563">
        <v>2.1999999999999999E-2</v>
      </c>
    </row>
    <row r="939" spans="1:33" hidden="1">
      <c r="A939" s="551"/>
      <c r="B939" s="557" t="s">
        <v>3724</v>
      </c>
      <c r="C939" s="2"/>
      <c r="D939" s="2"/>
      <c r="E939" s="2"/>
      <c r="I939" s="2"/>
      <c r="J939" s="500" t="s">
        <v>30</v>
      </c>
      <c r="K939" s="491" t="s">
        <v>442</v>
      </c>
    </row>
    <row r="940" spans="1:33" ht="31.5" hidden="1">
      <c r="A940" s="551"/>
      <c r="B940" s="557" t="s">
        <v>3725</v>
      </c>
      <c r="C940" s="2"/>
      <c r="D940" s="2"/>
      <c r="E940" s="2"/>
      <c r="H940" s="509" t="s">
        <v>3726</v>
      </c>
      <c r="I940" s="2"/>
      <c r="J940" s="564" t="s">
        <v>30</v>
      </c>
      <c r="K940" s="563">
        <v>1.3100000000000001E-2</v>
      </c>
    </row>
    <row r="941" spans="1:33" ht="31.5" hidden="1">
      <c r="A941" s="551"/>
      <c r="B941" s="557" t="s">
        <v>3727</v>
      </c>
      <c r="C941" s="2"/>
      <c r="D941" s="2"/>
      <c r="E941" s="2"/>
      <c r="H941" s="509" t="s">
        <v>3728</v>
      </c>
      <c r="I941" s="2"/>
      <c r="J941" s="500" t="s">
        <v>30</v>
      </c>
      <c r="K941" s="563">
        <v>3.3999999999999998E-3</v>
      </c>
    </row>
    <row r="942" spans="1:33" ht="31.5" hidden="1">
      <c r="A942" s="551"/>
      <c r="B942" s="557" t="s">
        <v>3729</v>
      </c>
      <c r="C942" s="2"/>
      <c r="D942" s="2"/>
      <c r="E942" s="2"/>
      <c r="I942" s="2"/>
      <c r="J942" s="463"/>
      <c r="K942" s="491" t="s">
        <v>442</v>
      </c>
    </row>
    <row r="943" spans="1:33" ht="31.5" hidden="1">
      <c r="A943" s="551"/>
      <c r="B943" s="557" t="s">
        <v>3730</v>
      </c>
      <c r="C943" s="2"/>
      <c r="D943" s="2"/>
      <c r="E943" s="2"/>
      <c r="I943" s="2"/>
      <c r="J943" s="463"/>
      <c r="K943" s="563">
        <v>1.6500000000000001E-2</v>
      </c>
    </row>
    <row r="944" spans="1:33" hidden="1">
      <c r="A944" s="551"/>
      <c r="B944" s="557" t="s">
        <v>3731</v>
      </c>
      <c r="C944" s="2"/>
      <c r="D944" s="2"/>
      <c r="E944" s="2"/>
      <c r="I944" s="2"/>
      <c r="J944" s="463"/>
      <c r="K944" s="491" t="s">
        <v>442</v>
      </c>
    </row>
    <row r="945" spans="1:33" hidden="1">
      <c r="A945" s="551"/>
      <c r="B945" s="557" t="s">
        <v>3732</v>
      </c>
      <c r="C945" s="2"/>
      <c r="D945" s="2"/>
      <c r="E945" s="2"/>
      <c r="F945" s="541">
        <v>1.15E-2</v>
      </c>
      <c r="G945" s="518" t="s">
        <v>2334</v>
      </c>
      <c r="H945" s="509" t="s">
        <v>3679</v>
      </c>
      <c r="I945" s="492">
        <f>C88</f>
        <v>65420</v>
      </c>
      <c r="J945" s="500" t="s">
        <v>2334</v>
      </c>
      <c r="K945" s="492">
        <f>(F945*I945)</f>
        <v>752.33</v>
      </c>
      <c r="AG945" s="509" t="s">
        <v>2514</v>
      </c>
    </row>
    <row r="946" spans="1:33" hidden="1">
      <c r="A946" s="551"/>
      <c r="B946" s="557" t="s">
        <v>3733</v>
      </c>
      <c r="C946" s="2"/>
      <c r="D946" s="2"/>
      <c r="E946" s="2"/>
      <c r="F946" s="541">
        <v>2.1999999999999999E-2</v>
      </c>
      <c r="G946" s="518" t="s">
        <v>2334</v>
      </c>
      <c r="H946" s="509" t="s">
        <v>3681</v>
      </c>
      <c r="I946" s="492">
        <f>C89</f>
        <v>57165</v>
      </c>
      <c r="J946" s="500" t="s">
        <v>2334</v>
      </c>
      <c r="K946" s="492">
        <f>(F946*I946)</f>
        <v>1257.6299999999999</v>
      </c>
      <c r="AG946" s="509" t="s">
        <v>2514</v>
      </c>
    </row>
    <row r="947" spans="1:33" hidden="1">
      <c r="A947" s="551"/>
      <c r="B947" s="557" t="s">
        <v>3734</v>
      </c>
      <c r="C947" s="2"/>
      <c r="D947" s="2"/>
      <c r="E947" s="2"/>
      <c r="F947" s="541">
        <v>1.6500000000000001E-2</v>
      </c>
      <c r="G947" s="518" t="s">
        <v>2334</v>
      </c>
      <c r="H947" s="509" t="s">
        <v>3683</v>
      </c>
      <c r="I947" s="492">
        <f>C90</f>
        <v>63870</v>
      </c>
      <c r="J947" s="500" t="s">
        <v>2334</v>
      </c>
      <c r="K947" s="492">
        <f>(F947*I947)</f>
        <v>1053.855</v>
      </c>
      <c r="AG947" s="509" t="s">
        <v>2514</v>
      </c>
    </row>
    <row r="948" spans="1:33" ht="31.5" hidden="1">
      <c r="A948" s="551"/>
      <c r="B948" s="557" t="s">
        <v>3735</v>
      </c>
      <c r="C948" s="2"/>
      <c r="D948" s="2"/>
      <c r="E948" s="2"/>
      <c r="F948" s="541"/>
      <c r="H948" s="509" t="s">
        <v>3685</v>
      </c>
      <c r="I948" s="490" t="s">
        <v>30</v>
      </c>
      <c r="J948" s="463"/>
      <c r="K948" s="490" t="s">
        <v>30</v>
      </c>
      <c r="AG948" s="509" t="s">
        <v>2514</v>
      </c>
    </row>
    <row r="949" spans="1:33" ht="31.5" hidden="1">
      <c r="A949" s="551"/>
      <c r="B949" s="557" t="s">
        <v>3736</v>
      </c>
      <c r="C949" s="2"/>
      <c r="D949" s="2"/>
      <c r="E949" s="2"/>
      <c r="F949" s="541">
        <v>1.64</v>
      </c>
      <c r="G949" s="518" t="s">
        <v>2788</v>
      </c>
      <c r="H949" s="509" t="s">
        <v>3687</v>
      </c>
      <c r="I949" s="492">
        <f>C31</f>
        <v>342</v>
      </c>
      <c r="J949" s="500" t="s">
        <v>2788</v>
      </c>
      <c r="K949" s="492">
        <f t="shared" ref="K949:K955" si="47">(F949*I949)</f>
        <v>560.88</v>
      </c>
      <c r="AG949" s="509" t="s">
        <v>2514</v>
      </c>
    </row>
    <row r="950" spans="1:33" ht="31.5" hidden="1">
      <c r="A950" s="551"/>
      <c r="B950" s="557" t="s">
        <v>3737</v>
      </c>
      <c r="C950" s="2"/>
      <c r="D950" s="2"/>
      <c r="E950" s="2"/>
      <c r="F950" s="519">
        <v>1</v>
      </c>
      <c r="G950" s="518" t="s">
        <v>2359</v>
      </c>
      <c r="H950" s="509" t="s">
        <v>3689</v>
      </c>
      <c r="I950" s="492">
        <f>C576</f>
        <v>30</v>
      </c>
      <c r="J950" s="500" t="s">
        <v>2342</v>
      </c>
      <c r="K950" s="492">
        <f t="shared" si="47"/>
        <v>30</v>
      </c>
      <c r="AG950" s="509" t="s">
        <v>2514</v>
      </c>
    </row>
    <row r="951" spans="1:33" ht="31.5" hidden="1">
      <c r="A951" s="551"/>
      <c r="B951" s="557" t="s">
        <v>3738</v>
      </c>
      <c r="C951" s="2"/>
      <c r="D951" s="2"/>
      <c r="E951" s="2"/>
      <c r="F951" s="519">
        <v>3</v>
      </c>
      <c r="G951" s="518" t="s">
        <v>2342</v>
      </c>
      <c r="H951" s="509" t="s">
        <v>3691</v>
      </c>
      <c r="I951" s="492">
        <f>C278</f>
        <v>45</v>
      </c>
      <c r="J951" s="500" t="s">
        <v>2342</v>
      </c>
      <c r="K951" s="492">
        <f t="shared" si="47"/>
        <v>135</v>
      </c>
      <c r="AG951" s="509" t="s">
        <v>2514</v>
      </c>
    </row>
    <row r="952" spans="1:33" ht="31.5" hidden="1">
      <c r="A952" s="551"/>
      <c r="B952" s="557" t="s">
        <v>3739</v>
      </c>
      <c r="C952" s="2"/>
      <c r="D952" s="2"/>
      <c r="E952" s="2"/>
      <c r="F952" s="519">
        <v>2</v>
      </c>
      <c r="G952" s="518" t="s">
        <v>2342</v>
      </c>
      <c r="H952" s="509" t="s">
        <v>3693</v>
      </c>
      <c r="I952" s="492">
        <f>C283</f>
        <v>30</v>
      </c>
      <c r="J952" s="500" t="s">
        <v>2342</v>
      </c>
      <c r="K952" s="492">
        <f t="shared" si="47"/>
        <v>60</v>
      </c>
      <c r="AG952" s="509" t="s">
        <v>2690</v>
      </c>
    </row>
    <row r="953" spans="1:33" ht="31.5" hidden="1">
      <c r="A953" s="551"/>
      <c r="B953" s="557" t="s">
        <v>3740</v>
      </c>
      <c r="C953" s="2"/>
      <c r="D953" s="2"/>
      <c r="E953" s="2"/>
      <c r="F953" s="519">
        <v>1</v>
      </c>
      <c r="G953" s="518" t="s">
        <v>2342</v>
      </c>
      <c r="H953" s="509" t="s">
        <v>3695</v>
      </c>
      <c r="I953" s="492">
        <f>C285</f>
        <v>95</v>
      </c>
      <c r="J953" s="500" t="s">
        <v>2342</v>
      </c>
      <c r="K953" s="492">
        <f t="shared" si="47"/>
        <v>95</v>
      </c>
    </row>
    <row r="954" spans="1:33" ht="31.5" hidden="1">
      <c r="A954" s="551"/>
      <c r="B954" s="557" t="s">
        <v>3741</v>
      </c>
      <c r="C954" s="2"/>
      <c r="D954" s="2"/>
      <c r="E954" s="2"/>
      <c r="F954" s="519">
        <v>1</v>
      </c>
      <c r="G954" s="518" t="s">
        <v>2342</v>
      </c>
      <c r="H954" s="509" t="s">
        <v>3697</v>
      </c>
      <c r="I954" s="492">
        <f>C287</f>
        <v>8</v>
      </c>
      <c r="J954" s="500" t="s">
        <v>2342</v>
      </c>
      <c r="K954" s="492">
        <f t="shared" si="47"/>
        <v>8</v>
      </c>
    </row>
    <row r="955" spans="1:33" ht="31.5" hidden="1">
      <c r="A955" s="551"/>
      <c r="B955" s="557" t="s">
        <v>3742</v>
      </c>
      <c r="C955" s="2"/>
      <c r="D955" s="2"/>
      <c r="E955" s="2"/>
      <c r="F955" s="519">
        <v>1</v>
      </c>
      <c r="G955" s="518" t="s">
        <v>2342</v>
      </c>
      <c r="H955" s="509" t="s">
        <v>2818</v>
      </c>
      <c r="I955" s="492">
        <f>D576</f>
        <v>25</v>
      </c>
      <c r="J955" s="500" t="s">
        <v>2342</v>
      </c>
      <c r="K955" s="492">
        <f t="shared" si="47"/>
        <v>25</v>
      </c>
      <c r="AG955" s="509" t="s">
        <v>2514</v>
      </c>
    </row>
    <row r="956" spans="1:33" ht="31.5" hidden="1">
      <c r="A956" s="551"/>
      <c r="B956" s="557" t="s">
        <v>3743</v>
      </c>
      <c r="C956" s="2"/>
      <c r="D956" s="2"/>
      <c r="E956" s="2"/>
      <c r="I956" s="2"/>
      <c r="J956" s="463"/>
      <c r="K956" s="491" t="s">
        <v>442</v>
      </c>
      <c r="AG956" s="509" t="s">
        <v>2514</v>
      </c>
    </row>
    <row r="957" spans="1:33" ht="31.5" hidden="1">
      <c r="A957" s="551"/>
      <c r="B957" s="557" t="s">
        <v>3744</v>
      </c>
      <c r="C957" s="2"/>
      <c r="D957" s="2"/>
      <c r="E957" s="2"/>
      <c r="H957" s="509" t="s">
        <v>3745</v>
      </c>
      <c r="I957" s="2"/>
      <c r="J957" s="463"/>
      <c r="K957" s="492">
        <f>SUM(K945:K955)</f>
        <v>3977.6950000000002</v>
      </c>
      <c r="AG957" s="509" t="s">
        <v>2514</v>
      </c>
    </row>
    <row r="958" spans="1:33" ht="31.5" hidden="1">
      <c r="A958" s="551"/>
      <c r="B958" s="557" t="s">
        <v>3746</v>
      </c>
      <c r="C958" s="2"/>
      <c r="D958" s="2"/>
      <c r="E958" s="2"/>
      <c r="I958" s="2"/>
      <c r="J958" s="463"/>
      <c r="K958" s="491" t="s">
        <v>442</v>
      </c>
      <c r="AG958" s="509" t="s">
        <v>2514</v>
      </c>
    </row>
    <row r="959" spans="1:33" ht="31.5" hidden="1">
      <c r="A959" s="551"/>
      <c r="B959" s="557" t="s">
        <v>3747</v>
      </c>
      <c r="C959" s="2"/>
      <c r="D959" s="2"/>
      <c r="E959" s="2"/>
      <c r="H959" s="509" t="s">
        <v>2355</v>
      </c>
      <c r="I959" s="2"/>
      <c r="J959" s="463"/>
      <c r="K959" s="492">
        <f>K957/F949</f>
        <v>2425.4237804878053</v>
      </c>
      <c r="AG959" s="509" t="s">
        <v>2514</v>
      </c>
    </row>
    <row r="960" spans="1:33" ht="31.5" hidden="1">
      <c r="A960" s="551"/>
      <c r="B960" s="557" t="s">
        <v>3748</v>
      </c>
      <c r="C960" s="2"/>
      <c r="D960" s="2"/>
      <c r="E960" s="2"/>
      <c r="I960" s="2"/>
      <c r="J960" s="463"/>
      <c r="K960" s="491" t="s">
        <v>29</v>
      </c>
      <c r="AG960" s="509" t="s">
        <v>2514</v>
      </c>
    </row>
    <row r="961" spans="1:11" ht="31.5" hidden="1">
      <c r="A961" s="551"/>
      <c r="B961" s="557" t="s">
        <v>3749</v>
      </c>
      <c r="C961" s="2"/>
      <c r="D961" s="2"/>
      <c r="E961" s="2"/>
      <c r="F961" s="510" t="s">
        <v>3750</v>
      </c>
      <c r="G961" s="518" t="s">
        <v>575</v>
      </c>
      <c r="H961" s="509" t="s">
        <v>3654</v>
      </c>
      <c r="I961" s="2"/>
      <c r="J961" s="463"/>
      <c r="K961" s="2"/>
    </row>
    <row r="962" spans="1:11" ht="31.5" hidden="1">
      <c r="A962" s="551"/>
      <c r="B962" s="557" t="s">
        <v>3751</v>
      </c>
      <c r="C962" s="2"/>
      <c r="D962" s="2"/>
      <c r="E962" s="2"/>
      <c r="H962" s="509" t="s">
        <v>3656</v>
      </c>
      <c r="I962" s="2"/>
      <c r="J962" s="463"/>
      <c r="K962" s="2"/>
    </row>
    <row r="963" spans="1:11" hidden="1">
      <c r="A963" s="551"/>
      <c r="B963" s="557" t="s">
        <v>3752</v>
      </c>
      <c r="C963" s="2"/>
      <c r="D963" s="2"/>
      <c r="E963" s="2"/>
      <c r="H963" s="509" t="s">
        <v>3753</v>
      </c>
      <c r="I963" s="2"/>
      <c r="J963" s="463"/>
      <c r="K963" s="2"/>
    </row>
    <row r="964" spans="1:11" hidden="1">
      <c r="A964" s="551"/>
      <c r="B964" s="557" t="s">
        <v>3754</v>
      </c>
      <c r="C964" s="2"/>
      <c r="D964" s="2"/>
      <c r="E964" s="2"/>
      <c r="H964" s="515" t="s">
        <v>442</v>
      </c>
      <c r="I964" s="2"/>
      <c r="J964" s="463"/>
      <c r="K964" s="2"/>
    </row>
    <row r="965" spans="1:11" hidden="1">
      <c r="A965" s="551"/>
      <c r="B965" s="557" t="s">
        <v>3755</v>
      </c>
      <c r="C965" s="2"/>
      <c r="D965" s="2"/>
      <c r="E965" s="2"/>
      <c r="H965" s="509" t="s">
        <v>3756</v>
      </c>
      <c r="I965" s="2"/>
      <c r="J965" s="463"/>
      <c r="K965" s="2"/>
    </row>
    <row r="966" spans="1:11" hidden="1">
      <c r="A966" s="551"/>
      <c r="B966" s="557" t="s">
        <v>3757</v>
      </c>
      <c r="C966" s="2"/>
      <c r="D966" s="2"/>
      <c r="E966" s="2"/>
      <c r="H966" s="509" t="s">
        <v>3663</v>
      </c>
      <c r="I966" s="2"/>
      <c r="J966" s="463"/>
      <c r="K966" s="2"/>
    </row>
    <row r="967" spans="1:11" hidden="1">
      <c r="A967" s="551"/>
      <c r="B967" s="557" t="s">
        <v>3758</v>
      </c>
      <c r="C967" s="2"/>
      <c r="D967" s="2"/>
      <c r="E967" s="2"/>
      <c r="I967" s="2"/>
      <c r="J967" s="500" t="s">
        <v>442</v>
      </c>
      <c r="K967" s="2"/>
    </row>
    <row r="968" spans="1:11" hidden="1">
      <c r="A968" s="551"/>
      <c r="B968" s="557" t="s">
        <v>3759</v>
      </c>
      <c r="C968" s="2"/>
      <c r="D968" s="2"/>
      <c r="E968" s="2"/>
      <c r="H968" s="509" t="s">
        <v>3760</v>
      </c>
      <c r="I968" s="2"/>
      <c r="J968" s="463"/>
      <c r="K968" s="2"/>
    </row>
    <row r="969" spans="1:11" hidden="1">
      <c r="A969" s="551"/>
      <c r="B969" s="557" t="s">
        <v>3761</v>
      </c>
      <c r="C969" s="2"/>
      <c r="D969" s="2"/>
      <c r="E969" s="2"/>
      <c r="H969" s="509" t="s">
        <v>3762</v>
      </c>
      <c r="I969" s="2"/>
      <c r="J969" s="463"/>
      <c r="K969" s="563">
        <v>1.1900000000000001E-2</v>
      </c>
    </row>
    <row r="970" spans="1:11" ht="31.5" hidden="1">
      <c r="A970" s="551"/>
      <c r="B970" s="557" t="s">
        <v>3763</v>
      </c>
      <c r="C970" s="2"/>
      <c r="D970" s="2"/>
      <c r="E970" s="2"/>
      <c r="I970" s="2"/>
      <c r="J970" s="500" t="s">
        <v>30</v>
      </c>
      <c r="K970" s="491" t="s">
        <v>442</v>
      </c>
    </row>
    <row r="971" spans="1:11" ht="31.5" hidden="1">
      <c r="A971" s="551"/>
      <c r="B971" s="557" t="s">
        <v>3764</v>
      </c>
      <c r="C971" s="2"/>
      <c r="D971" s="2"/>
      <c r="E971" s="2"/>
      <c r="H971" s="509" t="s">
        <v>3765</v>
      </c>
      <c r="I971" s="2"/>
      <c r="J971" s="564" t="s">
        <v>30</v>
      </c>
      <c r="K971" s="563">
        <v>1.18E-2</v>
      </c>
    </row>
    <row r="972" spans="1:11" ht="31.5" hidden="1">
      <c r="A972" s="551"/>
      <c r="B972" s="557" t="s">
        <v>3766</v>
      </c>
      <c r="C972" s="2"/>
      <c r="D972" s="2"/>
      <c r="E972" s="2"/>
      <c r="H972" s="509" t="s">
        <v>2485</v>
      </c>
      <c r="I972" s="2"/>
      <c r="J972" s="500" t="s">
        <v>30</v>
      </c>
      <c r="K972" s="565" t="s">
        <v>442</v>
      </c>
    </row>
    <row r="973" spans="1:11" hidden="1">
      <c r="A973" s="551"/>
      <c r="B973" s="557" t="s">
        <v>3767</v>
      </c>
      <c r="C973" s="2"/>
      <c r="D973" s="2"/>
      <c r="E973" s="2"/>
      <c r="I973" s="2"/>
      <c r="J973" s="463"/>
      <c r="K973" s="2"/>
    </row>
    <row r="974" spans="1:11" hidden="1">
      <c r="A974" s="551"/>
      <c r="B974" s="557" t="s">
        <v>3768</v>
      </c>
      <c r="C974" s="2"/>
      <c r="D974" s="2"/>
      <c r="E974" s="2"/>
      <c r="F974" s="541">
        <v>1.14E-2</v>
      </c>
      <c r="G974" s="518" t="s">
        <v>2334</v>
      </c>
      <c r="H974" s="509" t="s">
        <v>3679</v>
      </c>
      <c r="I974" s="492">
        <f>C88</f>
        <v>65420</v>
      </c>
      <c r="J974" s="500" t="s">
        <v>2334</v>
      </c>
      <c r="K974" s="492">
        <f>(F974*I974)</f>
        <v>745.78800000000001</v>
      </c>
    </row>
    <row r="975" spans="1:11" hidden="1">
      <c r="A975" s="551"/>
      <c r="B975" s="557" t="s">
        <v>3769</v>
      </c>
      <c r="C975" s="2"/>
      <c r="D975" s="2"/>
      <c r="E975" s="2"/>
      <c r="F975" s="541">
        <v>1.1900000000000001E-2</v>
      </c>
      <c r="G975" s="518" t="s">
        <v>2334</v>
      </c>
      <c r="H975" s="509" t="s">
        <v>3681</v>
      </c>
      <c r="I975" s="492">
        <f>C89</f>
        <v>57165</v>
      </c>
      <c r="J975" s="500" t="s">
        <v>2334</v>
      </c>
      <c r="K975" s="492">
        <f>(F975*I975)</f>
        <v>680.26350000000002</v>
      </c>
    </row>
    <row r="976" spans="1:11" hidden="1">
      <c r="A976" s="551"/>
      <c r="B976" s="557" t="s">
        <v>3770</v>
      </c>
      <c r="C976" s="2"/>
      <c r="D976" s="2"/>
      <c r="E976" s="2"/>
      <c r="F976" s="541">
        <v>1.18E-2</v>
      </c>
      <c r="G976" s="518" t="s">
        <v>2334</v>
      </c>
      <c r="H976" s="509" t="s">
        <v>3683</v>
      </c>
      <c r="I976" s="492">
        <f>C90</f>
        <v>63870</v>
      </c>
      <c r="J976" s="500" t="s">
        <v>2334</v>
      </c>
      <c r="K976" s="492">
        <f>(F976*I976)</f>
        <v>753.66599999999994</v>
      </c>
    </row>
    <row r="977" spans="1:33" hidden="1">
      <c r="A977" s="551"/>
      <c r="B977" s="557" t="s">
        <v>3771</v>
      </c>
      <c r="C977" s="2"/>
      <c r="D977" s="2"/>
      <c r="E977" s="2"/>
      <c r="F977" s="541"/>
      <c r="H977" s="509" t="s">
        <v>3685</v>
      </c>
      <c r="I977" s="490" t="s">
        <v>30</v>
      </c>
      <c r="J977" s="463"/>
      <c r="K977" s="490" t="s">
        <v>30</v>
      </c>
    </row>
    <row r="978" spans="1:33" hidden="1">
      <c r="A978" s="551"/>
      <c r="B978" s="557" t="s">
        <v>3772</v>
      </c>
      <c r="C978" s="2"/>
      <c r="D978" s="2"/>
      <c r="E978" s="2"/>
      <c r="F978" s="541">
        <v>1.2150000000000001</v>
      </c>
      <c r="G978" s="518" t="s">
        <v>2788</v>
      </c>
      <c r="H978" s="509" t="s">
        <v>3687</v>
      </c>
      <c r="I978" s="492">
        <f>C31</f>
        <v>342</v>
      </c>
      <c r="J978" s="500" t="s">
        <v>2788</v>
      </c>
      <c r="K978" s="492">
        <f t="shared" ref="K978:K984" si="48">(F978*I978)</f>
        <v>415.53000000000003</v>
      </c>
    </row>
    <row r="979" spans="1:33" hidden="1">
      <c r="A979" s="551"/>
      <c r="B979" s="557" t="s">
        <v>3773</v>
      </c>
      <c r="C979" s="2"/>
      <c r="D979" s="2"/>
      <c r="E979" s="2"/>
      <c r="F979" s="519">
        <v>1</v>
      </c>
      <c r="G979" s="518" t="s">
        <v>2359</v>
      </c>
      <c r="H979" s="509" t="s">
        <v>3689</v>
      </c>
      <c r="I979" s="492">
        <f>C576</f>
        <v>30</v>
      </c>
      <c r="J979" s="500" t="s">
        <v>2342</v>
      </c>
      <c r="K979" s="492">
        <f t="shared" si="48"/>
        <v>30</v>
      </c>
    </row>
    <row r="980" spans="1:33" hidden="1">
      <c r="A980" s="551"/>
      <c r="B980" s="557" t="s">
        <v>3774</v>
      </c>
      <c r="C980" s="2"/>
      <c r="D980" s="2"/>
      <c r="E980" s="2"/>
      <c r="F980" s="519">
        <v>3</v>
      </c>
      <c r="G980" s="518" t="s">
        <v>2342</v>
      </c>
      <c r="H980" s="509" t="s">
        <v>3691</v>
      </c>
      <c r="I980" s="492">
        <f>C278</f>
        <v>45</v>
      </c>
      <c r="J980" s="500" t="s">
        <v>2342</v>
      </c>
      <c r="K980" s="492">
        <f t="shared" si="48"/>
        <v>135</v>
      </c>
    </row>
    <row r="981" spans="1:33" hidden="1">
      <c r="A981" s="551"/>
      <c r="B981" s="557" t="s">
        <v>3775</v>
      </c>
      <c r="C981" s="2"/>
      <c r="D981" s="2"/>
      <c r="E981" s="2"/>
      <c r="F981" s="519">
        <v>2</v>
      </c>
      <c r="G981" s="518" t="s">
        <v>2342</v>
      </c>
      <c r="H981" s="509" t="s">
        <v>3693</v>
      </c>
      <c r="I981" s="492">
        <f>C283</f>
        <v>30</v>
      </c>
      <c r="J981" s="500" t="s">
        <v>2342</v>
      </c>
      <c r="K981" s="492">
        <f t="shared" si="48"/>
        <v>60</v>
      </c>
    </row>
    <row r="982" spans="1:33" hidden="1">
      <c r="A982" s="551"/>
      <c r="B982" s="557" t="s">
        <v>3776</v>
      </c>
      <c r="C982" s="2"/>
      <c r="D982" s="2"/>
      <c r="E982" s="2"/>
      <c r="F982" s="519">
        <v>1</v>
      </c>
      <c r="G982" s="518" t="s">
        <v>2342</v>
      </c>
      <c r="H982" s="509" t="s">
        <v>3695</v>
      </c>
      <c r="I982" s="492">
        <f>C285</f>
        <v>95</v>
      </c>
      <c r="J982" s="500" t="s">
        <v>2342</v>
      </c>
      <c r="K982" s="492">
        <f t="shared" si="48"/>
        <v>95</v>
      </c>
    </row>
    <row r="983" spans="1:33" ht="31.5" hidden="1">
      <c r="A983" s="551"/>
      <c r="B983" s="557" t="s">
        <v>3777</v>
      </c>
      <c r="C983" s="2"/>
      <c r="D983" s="2"/>
      <c r="E983" s="2"/>
      <c r="F983" s="519">
        <v>1</v>
      </c>
      <c r="G983" s="518" t="s">
        <v>2342</v>
      </c>
      <c r="H983" s="509" t="s">
        <v>3697</v>
      </c>
      <c r="I983" s="492">
        <f>C287</f>
        <v>8</v>
      </c>
      <c r="J983" s="500" t="s">
        <v>2342</v>
      </c>
      <c r="K983" s="492">
        <f t="shared" si="48"/>
        <v>8</v>
      </c>
    </row>
    <row r="984" spans="1:33" hidden="1">
      <c r="A984" s="551"/>
      <c r="B984" s="557" t="s">
        <v>3778</v>
      </c>
      <c r="C984" s="2"/>
      <c r="D984" s="2"/>
      <c r="E984" s="2"/>
      <c r="F984" s="519">
        <v>1</v>
      </c>
      <c r="G984" s="518" t="s">
        <v>2342</v>
      </c>
      <c r="H984" s="509" t="s">
        <v>2818</v>
      </c>
      <c r="I984" s="492">
        <f>D576</f>
        <v>25</v>
      </c>
      <c r="J984" s="500" t="s">
        <v>2342</v>
      </c>
      <c r="K984" s="492">
        <f t="shared" si="48"/>
        <v>25</v>
      </c>
    </row>
    <row r="985" spans="1:33" hidden="1">
      <c r="A985" s="551"/>
      <c r="B985" s="557" t="s">
        <v>3779</v>
      </c>
      <c r="C985" s="2"/>
      <c r="D985" s="2"/>
      <c r="E985" s="2"/>
      <c r="I985" s="2"/>
      <c r="J985" s="463"/>
      <c r="K985" s="491" t="s">
        <v>442</v>
      </c>
    </row>
    <row r="986" spans="1:33" hidden="1">
      <c r="A986" s="551"/>
      <c r="B986" s="557" t="s">
        <v>3780</v>
      </c>
      <c r="C986" s="2"/>
      <c r="D986" s="2"/>
      <c r="E986" s="2"/>
      <c r="H986" s="509" t="s">
        <v>3781</v>
      </c>
      <c r="I986" s="2"/>
      <c r="J986" s="463"/>
      <c r="K986" s="492">
        <f>SUM(K974:K984)</f>
        <v>2948.2474999999999</v>
      </c>
    </row>
    <row r="987" spans="1:33" hidden="1">
      <c r="A987" s="551"/>
      <c r="B987" s="557" t="s">
        <v>3782</v>
      </c>
      <c r="C987" s="2"/>
      <c r="D987" s="2"/>
      <c r="E987" s="2"/>
      <c r="I987" s="2"/>
      <c r="J987" s="463"/>
      <c r="K987" s="491" t="s">
        <v>442</v>
      </c>
    </row>
    <row r="988" spans="1:33" hidden="1">
      <c r="A988" s="551"/>
      <c r="B988" s="557" t="s">
        <v>3783</v>
      </c>
      <c r="C988" s="2"/>
      <c r="D988" s="2"/>
      <c r="E988" s="2"/>
      <c r="H988" s="509" t="s">
        <v>2355</v>
      </c>
      <c r="I988" s="2"/>
      <c r="J988" s="463"/>
      <c r="K988" s="492">
        <f>K986/F978</f>
        <v>2426.5411522633744</v>
      </c>
    </row>
    <row r="989" spans="1:33" ht="31.5" hidden="1">
      <c r="A989" s="551"/>
      <c r="B989" s="557" t="s">
        <v>3784</v>
      </c>
      <c r="C989" s="2"/>
      <c r="D989" s="2"/>
      <c r="E989" s="2"/>
      <c r="I989" s="2"/>
      <c r="J989" s="463"/>
      <c r="K989" s="491" t="s">
        <v>29</v>
      </c>
    </row>
    <row r="990" spans="1:33" hidden="1">
      <c r="A990" s="551"/>
      <c r="B990" s="557" t="s">
        <v>3785</v>
      </c>
      <c r="C990" s="2"/>
      <c r="D990" s="2"/>
      <c r="E990" s="2"/>
      <c r="I990" s="2"/>
      <c r="J990" s="463"/>
      <c r="K990" s="2"/>
    </row>
    <row r="991" spans="1:33" hidden="1">
      <c r="A991" s="551"/>
      <c r="B991" s="557" t="s">
        <v>3786</v>
      </c>
      <c r="C991" s="2"/>
      <c r="D991" s="2"/>
      <c r="E991" s="2"/>
      <c r="F991" s="510" t="s">
        <v>3787</v>
      </c>
      <c r="G991" s="518" t="s">
        <v>575</v>
      </c>
      <c r="H991" s="509" t="s">
        <v>3788</v>
      </c>
      <c r="I991" s="2"/>
      <c r="J991" s="463"/>
      <c r="K991" s="2"/>
      <c r="AG991" s="509" t="s">
        <v>2514</v>
      </c>
    </row>
    <row r="992" spans="1:33" hidden="1">
      <c r="A992" s="551"/>
      <c r="B992" s="557" t="s">
        <v>3789</v>
      </c>
      <c r="C992" s="2"/>
      <c r="D992" s="2"/>
      <c r="E992" s="2"/>
      <c r="H992" s="509" t="s">
        <v>3790</v>
      </c>
      <c r="I992" s="2"/>
      <c r="J992" s="463"/>
      <c r="K992" s="2"/>
      <c r="AG992" s="509" t="s">
        <v>2514</v>
      </c>
    </row>
    <row r="993" spans="1:33" hidden="1">
      <c r="A993" s="551"/>
      <c r="B993" s="557" t="s">
        <v>3791</v>
      </c>
      <c r="C993" s="2"/>
      <c r="D993" s="2"/>
      <c r="E993" s="2"/>
      <c r="H993" s="509" t="s">
        <v>3792</v>
      </c>
      <c r="I993" s="2"/>
      <c r="J993" s="463"/>
      <c r="K993" s="2"/>
      <c r="AG993" s="509" t="s">
        <v>2514</v>
      </c>
    </row>
    <row r="994" spans="1:33" hidden="1">
      <c r="A994" s="551"/>
      <c r="B994" s="557" t="s">
        <v>3793</v>
      </c>
      <c r="C994" s="2"/>
      <c r="D994" s="2"/>
      <c r="E994" s="2"/>
      <c r="H994" s="509" t="s">
        <v>3794</v>
      </c>
      <c r="I994" s="2"/>
      <c r="J994" s="463"/>
      <c r="K994" s="2"/>
      <c r="AG994" s="509" t="s">
        <v>2514</v>
      </c>
    </row>
    <row r="995" spans="1:33" hidden="1">
      <c r="A995" s="551"/>
      <c r="B995" s="557" t="s">
        <v>3795</v>
      </c>
      <c r="C995" s="2"/>
      <c r="D995" s="2"/>
      <c r="E995" s="2"/>
      <c r="H995" s="509" t="s">
        <v>3796</v>
      </c>
      <c r="I995" s="2"/>
      <c r="J995" s="463"/>
      <c r="K995" s="2"/>
      <c r="AG995" s="509" t="s">
        <v>2514</v>
      </c>
    </row>
    <row r="996" spans="1:33" hidden="1">
      <c r="A996" s="551"/>
      <c r="B996" s="557" t="s">
        <v>3797</v>
      </c>
      <c r="C996" s="2"/>
      <c r="D996" s="2"/>
      <c r="E996" s="2"/>
      <c r="H996" s="509" t="s">
        <v>3798</v>
      </c>
      <c r="I996" s="2"/>
      <c r="J996" s="463"/>
      <c r="K996" s="2"/>
      <c r="AG996" s="509" t="s">
        <v>2514</v>
      </c>
    </row>
    <row r="997" spans="1:33" hidden="1">
      <c r="A997" s="551"/>
      <c r="B997" s="557" t="s">
        <v>3799</v>
      </c>
      <c r="C997" s="2"/>
      <c r="D997" s="2"/>
      <c r="E997" s="2"/>
      <c r="H997" s="515" t="s">
        <v>442</v>
      </c>
      <c r="I997" s="2"/>
      <c r="J997" s="463"/>
      <c r="K997" s="2"/>
      <c r="AG997" s="509" t="s">
        <v>2514</v>
      </c>
    </row>
    <row r="998" spans="1:33" hidden="1">
      <c r="A998" s="551"/>
      <c r="B998" s="557" t="s">
        <v>3800</v>
      </c>
      <c r="C998" s="2"/>
      <c r="D998" s="2"/>
      <c r="E998" s="2"/>
      <c r="H998" s="509" t="s">
        <v>3716</v>
      </c>
      <c r="I998" s="2"/>
      <c r="J998" s="463"/>
      <c r="K998" s="2"/>
      <c r="AG998" s="509" t="s">
        <v>2514</v>
      </c>
    </row>
    <row r="999" spans="1:33" ht="31.5" hidden="1">
      <c r="A999" s="551"/>
      <c r="B999" s="557" t="s">
        <v>3801</v>
      </c>
      <c r="C999" s="2"/>
      <c r="D999" s="2"/>
      <c r="E999" s="2"/>
      <c r="H999" s="509" t="s">
        <v>3802</v>
      </c>
      <c r="I999" s="2"/>
      <c r="J999" s="463"/>
      <c r="K999" s="2"/>
      <c r="AG999" s="509" t="s">
        <v>2514</v>
      </c>
    </row>
    <row r="1000" spans="1:33" ht="31.5" hidden="1">
      <c r="A1000" s="551"/>
      <c r="B1000" s="557" t="s">
        <v>3803</v>
      </c>
      <c r="C1000" s="2"/>
      <c r="D1000" s="2"/>
      <c r="E1000" s="2"/>
      <c r="I1000" s="2"/>
      <c r="J1000" s="500" t="s">
        <v>442</v>
      </c>
      <c r="K1000" s="2"/>
      <c r="AG1000" s="509" t="s">
        <v>2514</v>
      </c>
    </row>
    <row r="1001" spans="1:33" ht="31.5" hidden="1">
      <c r="A1001" s="551"/>
      <c r="B1001" s="557" t="s">
        <v>3804</v>
      </c>
      <c r="C1001" s="2"/>
      <c r="D1001" s="2"/>
      <c r="E1001" s="2"/>
      <c r="H1001" s="509" t="s">
        <v>3805</v>
      </c>
      <c r="I1001" s="2"/>
      <c r="J1001" s="463"/>
      <c r="K1001" s="2"/>
      <c r="AG1001" s="509" t="s">
        <v>2514</v>
      </c>
    </row>
    <row r="1002" spans="1:33" ht="47.25" hidden="1">
      <c r="A1002" s="551"/>
      <c r="B1002" s="557" t="s">
        <v>3806</v>
      </c>
      <c r="C1002" s="2"/>
      <c r="D1002" s="2"/>
      <c r="E1002" s="2"/>
      <c r="H1002" s="509" t="s">
        <v>30</v>
      </c>
      <c r="I1002" s="490" t="s">
        <v>30</v>
      </c>
      <c r="J1002" s="463"/>
      <c r="K1002" s="566" t="s">
        <v>30</v>
      </c>
      <c r="AG1002" s="509" t="s">
        <v>2514</v>
      </c>
    </row>
    <row r="1003" spans="1:33" hidden="1">
      <c r="A1003" s="551"/>
      <c r="B1003" s="557" t="s">
        <v>3807</v>
      </c>
      <c r="C1003" s="2"/>
      <c r="D1003" s="2"/>
      <c r="E1003" s="2"/>
      <c r="I1003" s="2"/>
      <c r="J1003" s="500" t="s">
        <v>30</v>
      </c>
      <c r="K1003" s="490" t="s">
        <v>30</v>
      </c>
      <c r="AG1003" s="509" t="s">
        <v>2514</v>
      </c>
    </row>
    <row r="1004" spans="1:33" hidden="1">
      <c r="A1004" s="551"/>
      <c r="B1004" s="557" t="s">
        <v>3808</v>
      </c>
      <c r="C1004" s="2"/>
      <c r="D1004" s="2"/>
      <c r="E1004" s="2"/>
      <c r="H1004" s="509" t="s">
        <v>3809</v>
      </c>
      <c r="I1004" s="2"/>
      <c r="J1004" s="564" t="s">
        <v>30</v>
      </c>
      <c r="K1004" s="566" t="s">
        <v>30</v>
      </c>
      <c r="AG1004" s="509" t="s">
        <v>2514</v>
      </c>
    </row>
    <row r="1005" spans="1:33" hidden="1">
      <c r="A1005" s="551"/>
      <c r="B1005" s="557" t="s">
        <v>3810</v>
      </c>
      <c r="C1005" s="2"/>
      <c r="D1005" s="2"/>
      <c r="E1005" s="2"/>
      <c r="H1005" s="509" t="s">
        <v>3811</v>
      </c>
      <c r="I1005" s="2"/>
      <c r="J1005" s="463"/>
      <c r="K1005" s="566" t="s">
        <v>3812</v>
      </c>
      <c r="AG1005" s="509" t="s">
        <v>2514</v>
      </c>
    </row>
    <row r="1006" spans="1:33" hidden="1">
      <c r="A1006" s="551"/>
      <c r="B1006" s="557" t="s">
        <v>3813</v>
      </c>
      <c r="C1006" s="2"/>
      <c r="D1006" s="2"/>
      <c r="E1006" s="2"/>
      <c r="I1006" s="2"/>
      <c r="J1006" s="463"/>
      <c r="K1006" s="490" t="s">
        <v>30</v>
      </c>
      <c r="AG1006" s="509" t="s">
        <v>2514</v>
      </c>
    </row>
    <row r="1007" spans="1:33" hidden="1">
      <c r="A1007" s="551"/>
      <c r="B1007" s="557" t="s">
        <v>3814</v>
      </c>
      <c r="C1007" s="2"/>
      <c r="D1007" s="2"/>
      <c r="E1007" s="2"/>
      <c r="I1007" s="2"/>
      <c r="J1007" s="463"/>
      <c r="K1007" s="566" t="s">
        <v>30</v>
      </c>
      <c r="AG1007" s="509" t="s">
        <v>2514</v>
      </c>
    </row>
    <row r="1008" spans="1:33" hidden="1">
      <c r="A1008" s="551"/>
      <c r="B1008" s="557" t="s">
        <v>3815</v>
      </c>
      <c r="C1008" s="2"/>
      <c r="D1008" s="2"/>
      <c r="E1008" s="2"/>
      <c r="I1008" s="2"/>
      <c r="J1008" s="463"/>
      <c r="K1008" s="490" t="s">
        <v>30</v>
      </c>
      <c r="AG1008" s="509" t="s">
        <v>2514</v>
      </c>
    </row>
    <row r="1009" spans="1:33" hidden="1">
      <c r="A1009" s="551"/>
      <c r="B1009" s="557" t="s">
        <v>3816</v>
      </c>
      <c r="C1009" s="2"/>
      <c r="D1009" s="2"/>
      <c r="E1009" s="2"/>
      <c r="F1009" s="510" t="s">
        <v>3817</v>
      </c>
      <c r="G1009" s="518"/>
      <c r="H1009" s="509" t="s">
        <v>3818</v>
      </c>
      <c r="I1009" s="2"/>
      <c r="J1009" s="463"/>
      <c r="K1009" s="490" t="s">
        <v>30</v>
      </c>
      <c r="AG1009" s="509" t="s">
        <v>2514</v>
      </c>
    </row>
    <row r="1010" spans="1:33" hidden="1">
      <c r="A1010" s="551"/>
      <c r="B1010" s="557" t="s">
        <v>3819</v>
      </c>
      <c r="C1010" s="2"/>
      <c r="D1010" s="2"/>
      <c r="E1010" s="2"/>
      <c r="H1010" s="515" t="s">
        <v>442</v>
      </c>
      <c r="I1010" s="2"/>
      <c r="J1010" s="463"/>
      <c r="K1010" s="2"/>
      <c r="AG1010" s="509" t="s">
        <v>2514</v>
      </c>
    </row>
    <row r="1011" spans="1:33" hidden="1">
      <c r="A1011" s="559"/>
      <c r="B1011" s="557" t="s">
        <v>3820</v>
      </c>
      <c r="C1011" s="2"/>
      <c r="D1011" s="2"/>
      <c r="E1011" s="2"/>
      <c r="F1011" s="567">
        <v>1.153E-2</v>
      </c>
      <c r="G1011" s="518" t="s">
        <v>2334</v>
      </c>
      <c r="H1011" s="509" t="s">
        <v>2809</v>
      </c>
      <c r="I1011" s="492">
        <f>C88</f>
        <v>65420</v>
      </c>
      <c r="J1011" s="500" t="s">
        <v>2334</v>
      </c>
      <c r="K1011" s="492">
        <f t="shared" ref="K1011:K1020" si="49">(F1011*I1011)</f>
        <v>754.29259999999999</v>
      </c>
      <c r="AG1011" s="509" t="s">
        <v>2514</v>
      </c>
    </row>
    <row r="1012" spans="1:33" hidden="1">
      <c r="A1012" s="559"/>
      <c r="B1012" s="557" t="s">
        <v>3821</v>
      </c>
      <c r="C1012" s="2"/>
      <c r="D1012" s="2"/>
      <c r="E1012" s="2"/>
      <c r="F1012" s="567">
        <v>1.35E-2</v>
      </c>
      <c r="G1012" s="518" t="s">
        <v>2334</v>
      </c>
      <c r="H1012" s="509" t="s">
        <v>2810</v>
      </c>
      <c r="I1012" s="492">
        <f>C89</f>
        <v>57165</v>
      </c>
      <c r="J1012" s="500" t="s">
        <v>2334</v>
      </c>
      <c r="K1012" s="492">
        <f t="shared" si="49"/>
        <v>771.72749999999996</v>
      </c>
      <c r="AG1012" s="509" t="s">
        <v>2514</v>
      </c>
    </row>
    <row r="1013" spans="1:33" hidden="1">
      <c r="A1013" s="559"/>
      <c r="B1013" s="557" t="s">
        <v>3822</v>
      </c>
      <c r="C1013" s="2"/>
      <c r="D1013" s="2"/>
      <c r="E1013" s="2"/>
      <c r="F1013" s="567">
        <v>1.016</v>
      </c>
      <c r="G1013" s="518" t="s">
        <v>2788</v>
      </c>
      <c r="H1013" s="509" t="s">
        <v>2811</v>
      </c>
      <c r="I1013" s="492">
        <f>C753</f>
        <v>381.37</v>
      </c>
      <c r="J1013" s="500" t="s">
        <v>2788</v>
      </c>
      <c r="K1013" s="492">
        <f t="shared" si="49"/>
        <v>387.47192000000001</v>
      </c>
      <c r="AG1013" s="509" t="s">
        <v>2514</v>
      </c>
    </row>
    <row r="1014" spans="1:33" hidden="1">
      <c r="A1014" s="559"/>
      <c r="B1014" s="557" t="s">
        <v>3823</v>
      </c>
      <c r="C1014" s="2"/>
      <c r="D1014" s="2"/>
      <c r="E1014" s="2"/>
      <c r="F1014" s="567">
        <v>1.64</v>
      </c>
      <c r="G1014" s="518" t="s">
        <v>2788</v>
      </c>
      <c r="H1014" s="509" t="s">
        <v>2812</v>
      </c>
      <c r="I1014" s="492">
        <f>D30</f>
        <v>287</v>
      </c>
      <c r="J1014" s="500" t="s">
        <v>2788</v>
      </c>
      <c r="K1014" s="492">
        <f t="shared" si="49"/>
        <v>470.67999999999995</v>
      </c>
      <c r="AG1014" s="509" t="s">
        <v>2514</v>
      </c>
    </row>
    <row r="1015" spans="1:33" hidden="1">
      <c r="A1015" s="559"/>
      <c r="B1015" s="557" t="s">
        <v>3824</v>
      </c>
      <c r="C1015" s="2"/>
      <c r="D1015" s="2"/>
      <c r="E1015" s="2"/>
      <c r="F1015" s="519">
        <v>2</v>
      </c>
      <c r="G1015" s="518" t="s">
        <v>2342</v>
      </c>
      <c r="H1015" s="509" t="s">
        <v>2813</v>
      </c>
      <c r="I1015" s="492">
        <f>C283</f>
        <v>30</v>
      </c>
      <c r="J1015" s="500" t="s">
        <v>2342</v>
      </c>
      <c r="K1015" s="492">
        <f t="shared" si="49"/>
        <v>60</v>
      </c>
      <c r="AG1015" s="509" t="s">
        <v>2514</v>
      </c>
    </row>
    <row r="1016" spans="1:33" hidden="1">
      <c r="A1016" s="559"/>
      <c r="B1016" s="557" t="s">
        <v>3825</v>
      </c>
      <c r="C1016" s="2"/>
      <c r="D1016" s="2"/>
      <c r="E1016" s="2"/>
      <c r="F1016" s="519">
        <v>3</v>
      </c>
      <c r="G1016" s="518" t="s">
        <v>2342</v>
      </c>
      <c r="H1016" s="509" t="s">
        <v>3826</v>
      </c>
      <c r="I1016" s="492">
        <f>C278</f>
        <v>45</v>
      </c>
      <c r="J1016" s="500" t="s">
        <v>2342</v>
      </c>
      <c r="K1016" s="492">
        <f t="shared" si="49"/>
        <v>135</v>
      </c>
      <c r="AG1016" s="509" t="s">
        <v>2514</v>
      </c>
    </row>
    <row r="1017" spans="1:33" hidden="1">
      <c r="A1017" s="559"/>
      <c r="B1017" s="557" t="s">
        <v>3827</v>
      </c>
      <c r="C1017" s="2"/>
      <c r="D1017" s="2"/>
      <c r="E1017" s="2"/>
      <c r="F1017" s="519">
        <v>1</v>
      </c>
      <c r="G1017" s="518" t="s">
        <v>2342</v>
      </c>
      <c r="H1017" s="509" t="s">
        <v>2815</v>
      </c>
      <c r="I1017" s="492">
        <f>C285</f>
        <v>95</v>
      </c>
      <c r="J1017" s="500" t="s">
        <v>2342</v>
      </c>
      <c r="K1017" s="492">
        <f t="shared" si="49"/>
        <v>95</v>
      </c>
      <c r="AG1017" s="509" t="s">
        <v>2514</v>
      </c>
    </row>
    <row r="1018" spans="1:33" hidden="1">
      <c r="A1018" s="559"/>
      <c r="B1018" s="557" t="s">
        <v>3828</v>
      </c>
      <c r="C1018" s="2"/>
      <c r="D1018" s="2"/>
      <c r="E1018" s="2"/>
      <c r="F1018" s="519">
        <v>1</v>
      </c>
      <c r="G1018" s="518" t="s">
        <v>2342</v>
      </c>
      <c r="H1018" s="509" t="s">
        <v>2816</v>
      </c>
      <c r="I1018" s="492">
        <f>C287</f>
        <v>8</v>
      </c>
      <c r="J1018" s="500" t="s">
        <v>2342</v>
      </c>
      <c r="K1018" s="492">
        <f t="shared" si="49"/>
        <v>8</v>
      </c>
      <c r="AG1018" s="509" t="s">
        <v>2514</v>
      </c>
    </row>
    <row r="1019" spans="1:33" hidden="1">
      <c r="A1019" s="559"/>
      <c r="B1019" s="557" t="s">
        <v>3829</v>
      </c>
      <c r="C1019" s="2"/>
      <c r="D1019" s="2"/>
      <c r="E1019" s="2"/>
      <c r="F1019" s="519">
        <v>1</v>
      </c>
      <c r="G1019" s="518" t="s">
        <v>2342</v>
      </c>
      <c r="H1019" s="509" t="s">
        <v>2817</v>
      </c>
      <c r="I1019" s="492">
        <f>C576</f>
        <v>30</v>
      </c>
      <c r="J1019" s="500" t="s">
        <v>2342</v>
      </c>
      <c r="K1019" s="492">
        <f t="shared" si="49"/>
        <v>30</v>
      </c>
      <c r="AG1019" s="509" t="s">
        <v>2514</v>
      </c>
    </row>
    <row r="1020" spans="1:33" hidden="1">
      <c r="A1020" s="559"/>
      <c r="B1020" s="557" t="s">
        <v>3830</v>
      </c>
      <c r="C1020" s="2"/>
      <c r="D1020" s="2"/>
      <c r="E1020" s="2"/>
      <c r="F1020" s="519">
        <v>1</v>
      </c>
      <c r="G1020" s="518" t="s">
        <v>2342</v>
      </c>
      <c r="H1020" s="509" t="s">
        <v>2818</v>
      </c>
      <c r="I1020" s="492">
        <f>D576</f>
        <v>25</v>
      </c>
      <c r="J1020" s="500" t="s">
        <v>2342</v>
      </c>
      <c r="K1020" s="492">
        <f t="shared" si="49"/>
        <v>25</v>
      </c>
      <c r="AG1020" s="509" t="s">
        <v>2514</v>
      </c>
    </row>
    <row r="1021" spans="1:33" hidden="1">
      <c r="A1021" s="559"/>
      <c r="B1021" s="557" t="s">
        <v>3831</v>
      </c>
      <c r="C1021" s="2"/>
      <c r="D1021" s="2"/>
      <c r="E1021" s="2"/>
      <c r="I1021" s="2"/>
      <c r="J1021" s="463"/>
      <c r="K1021" s="491" t="s">
        <v>442</v>
      </c>
      <c r="AG1021" s="509" t="s">
        <v>2514</v>
      </c>
    </row>
    <row r="1022" spans="1:33" hidden="1">
      <c r="A1022" s="559"/>
      <c r="B1022" s="557" t="s">
        <v>3832</v>
      </c>
      <c r="C1022" s="2"/>
      <c r="D1022" s="2"/>
      <c r="E1022" s="2"/>
      <c r="H1022" s="510" t="s">
        <v>3833</v>
      </c>
      <c r="I1022" s="2"/>
      <c r="J1022" s="463"/>
      <c r="K1022" s="492">
        <f>SUM(K1011:K1020)</f>
        <v>2737.17202</v>
      </c>
      <c r="AG1022" s="509" t="s">
        <v>2514</v>
      </c>
    </row>
    <row r="1023" spans="1:33" ht="31.5" hidden="1">
      <c r="A1023" s="559"/>
      <c r="B1023" s="557" t="s">
        <v>3834</v>
      </c>
      <c r="C1023" s="2"/>
      <c r="D1023" s="2"/>
      <c r="E1023" s="2"/>
      <c r="G1023" s="518" t="s">
        <v>30</v>
      </c>
      <c r="I1023" s="2"/>
      <c r="J1023" s="463"/>
      <c r="K1023" s="491" t="s">
        <v>442</v>
      </c>
      <c r="AG1023" s="509" t="s">
        <v>2514</v>
      </c>
    </row>
    <row r="1024" spans="1:33" hidden="1">
      <c r="A1024" s="559"/>
      <c r="B1024" s="557" t="s">
        <v>3835</v>
      </c>
      <c r="C1024" s="2"/>
      <c r="D1024" s="2"/>
      <c r="E1024" s="2"/>
      <c r="H1024" s="510" t="s">
        <v>2355</v>
      </c>
      <c r="I1024" s="2"/>
      <c r="J1024" s="463"/>
      <c r="K1024" s="492">
        <f>K1022/F1014</f>
        <v>1669.0073292682928</v>
      </c>
      <c r="AG1024" s="509" t="s">
        <v>2514</v>
      </c>
    </row>
    <row r="1025" spans="1:33" hidden="1">
      <c r="A1025" s="559"/>
      <c r="B1025" s="557" t="s">
        <v>3836</v>
      </c>
      <c r="C1025" s="2"/>
      <c r="D1025" s="2"/>
      <c r="E1025" s="2"/>
      <c r="I1025" s="2"/>
      <c r="J1025" s="463"/>
      <c r="K1025" s="491" t="s">
        <v>29</v>
      </c>
      <c r="AG1025" s="509" t="s">
        <v>2514</v>
      </c>
    </row>
    <row r="1026" spans="1:33" hidden="1">
      <c r="A1026" s="559"/>
      <c r="B1026" s="557" t="s">
        <v>3837</v>
      </c>
      <c r="C1026" s="2"/>
      <c r="D1026" s="2"/>
      <c r="E1026" s="2"/>
      <c r="F1026" s="510" t="s">
        <v>3838</v>
      </c>
      <c r="H1026" s="509" t="s">
        <v>3839</v>
      </c>
      <c r="I1026" s="2"/>
      <c r="J1026" s="463"/>
      <c r="K1026" s="2"/>
    </row>
    <row r="1027" spans="1:33" hidden="1">
      <c r="A1027" s="559"/>
      <c r="B1027" s="557" t="s">
        <v>3840</v>
      </c>
      <c r="C1027" s="2"/>
      <c r="D1027" s="2"/>
      <c r="E1027" s="2"/>
      <c r="H1027" s="509" t="s">
        <v>3841</v>
      </c>
      <c r="I1027" s="2"/>
      <c r="J1027" s="463"/>
      <c r="K1027" s="2"/>
    </row>
    <row r="1028" spans="1:33" hidden="1">
      <c r="A1028" s="559"/>
      <c r="B1028" s="557" t="s">
        <v>3842</v>
      </c>
      <c r="C1028" s="2"/>
      <c r="D1028" s="2"/>
      <c r="E1028" s="2"/>
      <c r="H1028" s="515" t="s">
        <v>442</v>
      </c>
      <c r="I1028" s="2"/>
      <c r="J1028" s="463"/>
      <c r="K1028" s="2"/>
    </row>
    <row r="1029" spans="1:33" hidden="1">
      <c r="A1029" s="559"/>
      <c r="B1029" s="557" t="s">
        <v>3843</v>
      </c>
      <c r="C1029" s="2"/>
      <c r="D1029" s="2"/>
      <c r="E1029" s="2"/>
      <c r="F1029" s="567">
        <v>6.6499999999999997E-3</v>
      </c>
      <c r="G1029" s="518" t="s">
        <v>2019</v>
      </c>
      <c r="H1029" s="509" t="s">
        <v>3844</v>
      </c>
      <c r="I1029" s="492">
        <f>C89</f>
        <v>57165</v>
      </c>
      <c r="J1029" s="500" t="s">
        <v>2334</v>
      </c>
      <c r="K1029" s="492">
        <f t="shared" ref="K1029:K1035" si="50">(F1029*I1029)</f>
        <v>380.14724999999999</v>
      </c>
    </row>
    <row r="1030" spans="1:33" hidden="1">
      <c r="A1030" s="559"/>
      <c r="B1030" s="557" t="s">
        <v>3845</v>
      </c>
      <c r="C1030" s="2"/>
      <c r="D1030" s="2"/>
      <c r="E1030" s="2"/>
      <c r="F1030" s="567">
        <v>0.32346000000000003</v>
      </c>
      <c r="G1030" s="518" t="s">
        <v>2788</v>
      </c>
      <c r="H1030" s="509" t="s">
        <v>3846</v>
      </c>
      <c r="I1030" s="492">
        <f>C271</f>
        <v>160</v>
      </c>
      <c r="J1030" s="500" t="s">
        <v>2334</v>
      </c>
      <c r="K1030" s="492">
        <f t="shared" si="50"/>
        <v>51.753600000000006</v>
      </c>
    </row>
    <row r="1031" spans="1:33" ht="31.5" hidden="1">
      <c r="A1031" s="559"/>
      <c r="B1031" s="557" t="s">
        <v>3847</v>
      </c>
      <c r="C1031" s="2"/>
      <c r="D1031" s="2"/>
      <c r="E1031" s="2"/>
      <c r="F1031" s="567">
        <v>0.47660000000000002</v>
      </c>
      <c r="G1031" s="518" t="s">
        <v>2788</v>
      </c>
      <c r="H1031" s="509" t="s">
        <v>2812</v>
      </c>
      <c r="I1031" s="492">
        <f>D31</f>
        <v>320</v>
      </c>
      <c r="J1031" s="500" t="s">
        <v>2788</v>
      </c>
      <c r="K1031" s="492">
        <f t="shared" si="50"/>
        <v>152.512</v>
      </c>
    </row>
    <row r="1032" spans="1:33" ht="30" hidden="1" customHeight="1">
      <c r="A1032" s="559"/>
      <c r="B1032" s="557" t="s">
        <v>3848</v>
      </c>
      <c r="C1032" s="2"/>
      <c r="D1032" s="2"/>
      <c r="E1032" s="2"/>
      <c r="F1032" s="519">
        <v>3</v>
      </c>
      <c r="G1032" s="518" t="s">
        <v>2342</v>
      </c>
      <c r="H1032" s="509" t="s">
        <v>3849</v>
      </c>
      <c r="I1032" s="492">
        <f>C281</f>
        <v>25</v>
      </c>
      <c r="J1032" s="500" t="s">
        <v>2342</v>
      </c>
      <c r="K1032" s="492">
        <f t="shared" si="50"/>
        <v>75</v>
      </c>
    </row>
    <row r="1033" spans="1:33" ht="30" hidden="1" customHeight="1">
      <c r="A1033" s="557"/>
      <c r="B1033" s="557" t="s">
        <v>3850</v>
      </c>
      <c r="C1033" s="2"/>
      <c r="D1033" s="2"/>
      <c r="E1033" s="2"/>
      <c r="F1033" s="519">
        <v>2</v>
      </c>
      <c r="G1033" s="518" t="s">
        <v>2342</v>
      </c>
      <c r="H1033" s="509" t="s">
        <v>3851</v>
      </c>
      <c r="I1033" s="492">
        <f>C284</f>
        <v>20</v>
      </c>
      <c r="J1033" s="500" t="s">
        <v>2342</v>
      </c>
      <c r="K1033" s="492">
        <f t="shared" si="50"/>
        <v>40</v>
      </c>
    </row>
    <row r="1034" spans="1:33" ht="30" hidden="1" customHeight="1">
      <c r="A1034" s="559"/>
      <c r="B1034" s="557" t="s">
        <v>3852</v>
      </c>
      <c r="C1034" s="2"/>
      <c r="D1034" s="2"/>
      <c r="E1034" s="2"/>
      <c r="F1034" s="519">
        <v>1</v>
      </c>
      <c r="G1034" s="518" t="s">
        <v>2342</v>
      </c>
      <c r="H1034" s="509" t="s">
        <v>3853</v>
      </c>
      <c r="I1034" s="492">
        <f>C303</f>
        <v>8</v>
      </c>
      <c r="J1034" s="500" t="s">
        <v>2342</v>
      </c>
      <c r="K1034" s="492">
        <f t="shared" si="50"/>
        <v>8</v>
      </c>
    </row>
    <row r="1035" spans="1:33" ht="30" hidden="1" customHeight="1">
      <c r="A1035" s="559"/>
      <c r="B1035" s="557" t="s">
        <v>3854</v>
      </c>
      <c r="C1035" s="2"/>
      <c r="D1035" s="2"/>
      <c r="E1035" s="2"/>
      <c r="F1035" s="519">
        <v>1</v>
      </c>
      <c r="G1035" s="518" t="s">
        <v>2342</v>
      </c>
      <c r="H1035" s="509" t="s">
        <v>3855</v>
      </c>
      <c r="I1035" s="492">
        <f>C291</f>
        <v>15.6</v>
      </c>
      <c r="J1035" s="500" t="s">
        <v>2342</v>
      </c>
      <c r="K1035" s="492">
        <f t="shared" si="50"/>
        <v>15.6</v>
      </c>
    </row>
    <row r="1036" spans="1:33" ht="30" hidden="1" customHeight="1">
      <c r="A1036" s="559"/>
      <c r="B1036" s="557" t="s">
        <v>3856</v>
      </c>
      <c r="C1036" s="2"/>
      <c r="D1036" s="2"/>
      <c r="E1036" s="2"/>
      <c r="I1036" s="2"/>
      <c r="J1036" s="463"/>
      <c r="K1036" s="491" t="s">
        <v>442</v>
      </c>
    </row>
    <row r="1037" spans="1:33" ht="30" hidden="1" customHeight="1">
      <c r="A1037" s="559"/>
      <c r="B1037" s="557" t="s">
        <v>3857</v>
      </c>
      <c r="C1037" s="2"/>
      <c r="D1037" s="2"/>
      <c r="E1037" s="2"/>
      <c r="H1037" s="510" t="s">
        <v>3858</v>
      </c>
      <c r="I1037" s="2"/>
      <c r="J1037" s="463"/>
      <c r="K1037" s="492">
        <f>SUM(K1025:K1035)</f>
        <v>723.01284999999996</v>
      </c>
    </row>
    <row r="1038" spans="1:33" ht="30" hidden="1" customHeight="1">
      <c r="A1038" s="559"/>
      <c r="B1038" s="557" t="s">
        <v>3859</v>
      </c>
      <c r="C1038" s="2"/>
      <c r="D1038" s="2"/>
      <c r="E1038" s="2"/>
      <c r="I1038" s="2"/>
      <c r="J1038" s="463"/>
      <c r="K1038" s="491" t="s">
        <v>442</v>
      </c>
    </row>
    <row r="1039" spans="1:33" ht="30" hidden="1" customHeight="1">
      <c r="A1039" s="559"/>
      <c r="B1039" s="557" t="s">
        <v>3859</v>
      </c>
      <c r="C1039" s="2"/>
      <c r="D1039" s="2"/>
      <c r="E1039" s="2"/>
      <c r="H1039" s="510" t="s">
        <v>2355</v>
      </c>
      <c r="I1039" s="490" t="s">
        <v>30</v>
      </c>
      <c r="J1039" s="463"/>
      <c r="K1039" s="492">
        <f>K1037/F1031</f>
        <v>1517.0223457826269</v>
      </c>
    </row>
    <row r="1040" spans="1:33" ht="31.5" hidden="1">
      <c r="A1040" s="559"/>
      <c r="B1040" s="557" t="s">
        <v>3860</v>
      </c>
      <c r="C1040" s="2"/>
      <c r="D1040" s="2"/>
      <c r="E1040" s="2"/>
      <c r="I1040" s="2"/>
      <c r="J1040" s="463"/>
      <c r="K1040" s="491" t="s">
        <v>29</v>
      </c>
    </row>
    <row r="1041" spans="1:11" ht="31.5" hidden="1">
      <c r="A1041" s="559"/>
      <c r="B1041" s="557" t="s">
        <v>3861</v>
      </c>
      <c r="C1041" s="2"/>
      <c r="D1041" s="2"/>
      <c r="E1041" s="2"/>
      <c r="F1041" s="510" t="s">
        <v>3862</v>
      </c>
      <c r="G1041" s="518" t="s">
        <v>575</v>
      </c>
      <c r="H1041" s="509" t="s">
        <v>3839</v>
      </c>
      <c r="I1041" s="2"/>
      <c r="J1041" s="463"/>
      <c r="K1041" s="2"/>
    </row>
    <row r="1042" spans="1:11" hidden="1">
      <c r="A1042" s="559"/>
      <c r="H1042" s="509" t="s">
        <v>3863</v>
      </c>
      <c r="I1042" s="2"/>
      <c r="J1042" s="463"/>
      <c r="K1042" s="2"/>
    </row>
    <row r="1043" spans="1:11" hidden="1">
      <c r="A1043" s="559"/>
      <c r="H1043" s="515" t="s">
        <v>442</v>
      </c>
      <c r="I1043" s="2"/>
      <c r="J1043" s="463"/>
      <c r="K1043" s="2"/>
    </row>
    <row r="1044" spans="1:11" hidden="1">
      <c r="A1044" s="559"/>
      <c r="F1044" s="567">
        <v>5.4000000000000003E-3</v>
      </c>
      <c r="G1044" s="518" t="s">
        <v>2019</v>
      </c>
      <c r="H1044" s="509" t="s">
        <v>3844</v>
      </c>
      <c r="I1044" s="492">
        <f>C89</f>
        <v>57165</v>
      </c>
      <c r="J1044" s="500" t="s">
        <v>2334</v>
      </c>
      <c r="K1044" s="492">
        <f t="shared" ref="K1044:K1050" si="51">(F1044*I1044)</f>
        <v>308.69100000000003</v>
      </c>
    </row>
    <row r="1045" spans="1:11" hidden="1">
      <c r="A1045" s="559"/>
      <c r="F1045" s="567">
        <v>0.23871000000000001</v>
      </c>
      <c r="G1045" s="518" t="s">
        <v>2788</v>
      </c>
      <c r="H1045" s="509" t="s">
        <v>3846</v>
      </c>
      <c r="I1045" s="492">
        <f>C271</f>
        <v>160</v>
      </c>
      <c r="J1045" s="500" t="s">
        <v>2334</v>
      </c>
      <c r="K1045" s="492">
        <f t="shared" si="51"/>
        <v>38.193600000000004</v>
      </c>
    </row>
    <row r="1046" spans="1:11" hidden="1">
      <c r="A1046" s="559"/>
      <c r="F1046" s="567">
        <v>0.36199999999999999</v>
      </c>
      <c r="G1046" s="518" t="s">
        <v>2788</v>
      </c>
      <c r="H1046" s="509" t="s">
        <v>2812</v>
      </c>
      <c r="I1046" s="492">
        <f>D31</f>
        <v>320</v>
      </c>
      <c r="J1046" s="500" t="s">
        <v>2788</v>
      </c>
      <c r="K1046" s="492">
        <f t="shared" si="51"/>
        <v>115.84</v>
      </c>
    </row>
    <row r="1047" spans="1:11" hidden="1">
      <c r="A1047" s="559"/>
      <c r="F1047" s="519">
        <v>3</v>
      </c>
      <c r="G1047" s="518" t="s">
        <v>2342</v>
      </c>
      <c r="H1047" s="509" t="s">
        <v>3849</v>
      </c>
      <c r="I1047" s="492">
        <f>C281</f>
        <v>25</v>
      </c>
      <c r="J1047" s="500" t="s">
        <v>2342</v>
      </c>
      <c r="K1047" s="492">
        <f t="shared" si="51"/>
        <v>75</v>
      </c>
    </row>
    <row r="1048" spans="1:11" hidden="1">
      <c r="A1048" s="559"/>
      <c r="F1048" s="519">
        <v>2</v>
      </c>
      <c r="G1048" s="518" t="s">
        <v>2342</v>
      </c>
      <c r="H1048" s="509" t="s">
        <v>3851</v>
      </c>
      <c r="I1048" s="492">
        <f>C284</f>
        <v>20</v>
      </c>
      <c r="J1048" s="500" t="s">
        <v>2342</v>
      </c>
      <c r="K1048" s="492">
        <f t="shared" si="51"/>
        <v>40</v>
      </c>
    </row>
    <row r="1049" spans="1:11" hidden="1">
      <c r="A1049" s="559"/>
      <c r="F1049" s="519">
        <v>1</v>
      </c>
      <c r="G1049" s="518" t="s">
        <v>2342</v>
      </c>
      <c r="H1049" s="509" t="s">
        <v>3853</v>
      </c>
      <c r="I1049" s="492">
        <f>C303</f>
        <v>8</v>
      </c>
      <c r="J1049" s="500" t="s">
        <v>2342</v>
      </c>
      <c r="K1049" s="492">
        <f t="shared" si="51"/>
        <v>8</v>
      </c>
    </row>
    <row r="1050" spans="1:11" hidden="1">
      <c r="A1050" s="559"/>
      <c r="F1050" s="519">
        <v>1</v>
      </c>
      <c r="G1050" s="518" t="s">
        <v>2342</v>
      </c>
      <c r="H1050" s="509" t="s">
        <v>3855</v>
      </c>
      <c r="I1050" s="492">
        <f>C291</f>
        <v>15.6</v>
      </c>
      <c r="J1050" s="500" t="s">
        <v>2342</v>
      </c>
      <c r="K1050" s="492">
        <f t="shared" si="51"/>
        <v>15.6</v>
      </c>
    </row>
    <row r="1051" spans="1:11" hidden="1">
      <c r="A1051" s="559"/>
      <c r="I1051" s="2"/>
      <c r="J1051" s="463"/>
      <c r="K1051" s="491" t="s">
        <v>442</v>
      </c>
    </row>
    <row r="1052" spans="1:11" hidden="1">
      <c r="A1052" s="559"/>
      <c r="H1052" s="510" t="s">
        <v>3864</v>
      </c>
      <c r="I1052" s="2"/>
      <c r="J1052" s="463"/>
      <c r="K1052" s="492">
        <f>SUM(K1040:K1050)</f>
        <v>601.32460000000003</v>
      </c>
    </row>
    <row r="1053" spans="1:11" hidden="1">
      <c r="A1053" s="559"/>
      <c r="I1053" s="2"/>
      <c r="J1053" s="463"/>
      <c r="K1053" s="491" t="s">
        <v>442</v>
      </c>
    </row>
    <row r="1054" spans="1:11" hidden="1">
      <c r="A1054" s="559"/>
      <c r="H1054" s="510" t="s">
        <v>2355</v>
      </c>
      <c r="I1054" s="490" t="s">
        <v>30</v>
      </c>
      <c r="J1054" s="463"/>
      <c r="K1054" s="492">
        <f>K1052/F1046</f>
        <v>1661.1176795580111</v>
      </c>
    </row>
    <row r="1055" spans="1:11" hidden="1">
      <c r="A1055" s="559"/>
      <c r="I1055" s="2"/>
      <c r="J1055" s="463"/>
      <c r="K1055" s="491" t="s">
        <v>29</v>
      </c>
    </row>
    <row r="1056" spans="1:11" hidden="1">
      <c r="A1056" s="559"/>
      <c r="F1056" s="510" t="s">
        <v>3865</v>
      </c>
      <c r="G1056" s="518" t="s">
        <v>575</v>
      </c>
      <c r="H1056" s="509" t="s">
        <v>3866</v>
      </c>
      <c r="I1056" s="2"/>
      <c r="J1056" s="463"/>
      <c r="K1056" s="2"/>
    </row>
    <row r="1057" spans="1:11" hidden="1">
      <c r="A1057" s="559"/>
      <c r="H1057" s="509" t="s">
        <v>3867</v>
      </c>
      <c r="I1057" s="2"/>
      <c r="J1057" s="463"/>
      <c r="K1057" s="2"/>
    </row>
    <row r="1058" spans="1:11" hidden="1">
      <c r="A1058" s="559"/>
      <c r="H1058" s="515" t="s">
        <v>442</v>
      </c>
      <c r="I1058" s="2"/>
      <c r="J1058" s="463"/>
      <c r="K1058" s="2"/>
    </row>
    <row r="1059" spans="1:11" hidden="1">
      <c r="A1059" s="559"/>
      <c r="F1059" s="567">
        <v>5.3E-3</v>
      </c>
      <c r="G1059" s="518" t="s">
        <v>2019</v>
      </c>
      <c r="H1059" s="509" t="s">
        <v>3844</v>
      </c>
      <c r="I1059" s="492">
        <f>C89</f>
        <v>57165</v>
      </c>
      <c r="J1059" s="500" t="s">
        <v>2334</v>
      </c>
      <c r="K1059" s="492">
        <f t="shared" ref="K1059:K1064" si="52">(F1059*I1059)</f>
        <v>302.97449999999998</v>
      </c>
    </row>
    <row r="1060" spans="1:11" hidden="1">
      <c r="A1060" s="559"/>
      <c r="F1060" s="567">
        <v>0.27450000000000002</v>
      </c>
      <c r="G1060" s="518" t="s">
        <v>2788</v>
      </c>
      <c r="H1060" s="509" t="s">
        <v>3846</v>
      </c>
      <c r="I1060" s="492">
        <f>C271</f>
        <v>160</v>
      </c>
      <c r="J1060" s="500" t="s">
        <v>2334</v>
      </c>
      <c r="K1060" s="492">
        <f t="shared" si="52"/>
        <v>43.92</v>
      </c>
    </row>
    <row r="1061" spans="1:11" hidden="1">
      <c r="A1061" s="559"/>
      <c r="F1061" s="567">
        <v>0.4</v>
      </c>
      <c r="G1061" s="518" t="s">
        <v>2788</v>
      </c>
      <c r="H1061" s="509" t="s">
        <v>2812</v>
      </c>
      <c r="I1061" s="492">
        <f>D32</f>
        <v>267</v>
      </c>
      <c r="J1061" s="500" t="s">
        <v>2788</v>
      </c>
      <c r="K1061" s="492">
        <f t="shared" si="52"/>
        <v>106.80000000000001</v>
      </c>
    </row>
    <row r="1062" spans="1:11" hidden="1">
      <c r="A1062" s="559"/>
      <c r="F1062" s="519">
        <v>2</v>
      </c>
      <c r="G1062" s="518" t="s">
        <v>3868</v>
      </c>
      <c r="H1062" s="509" t="s">
        <v>3869</v>
      </c>
      <c r="I1062" s="492">
        <f>C304</f>
        <v>8.5</v>
      </c>
      <c r="J1062" s="500" t="s">
        <v>3868</v>
      </c>
      <c r="K1062" s="492">
        <f t="shared" si="52"/>
        <v>17</v>
      </c>
    </row>
    <row r="1063" spans="1:11" hidden="1">
      <c r="A1063" s="559"/>
      <c r="F1063" s="519">
        <v>1</v>
      </c>
      <c r="G1063" s="518" t="s">
        <v>2342</v>
      </c>
      <c r="H1063" s="509" t="s">
        <v>3870</v>
      </c>
      <c r="I1063" s="492">
        <f>C292</f>
        <v>12.6</v>
      </c>
      <c r="J1063" s="500" t="s">
        <v>2342</v>
      </c>
      <c r="K1063" s="492">
        <f t="shared" si="52"/>
        <v>12.6</v>
      </c>
    </row>
    <row r="1064" spans="1:11" hidden="1">
      <c r="A1064" s="559"/>
      <c r="F1064" s="519">
        <v>1</v>
      </c>
      <c r="G1064" s="518" t="s">
        <v>2342</v>
      </c>
      <c r="H1064" s="509" t="s">
        <v>3871</v>
      </c>
      <c r="I1064" s="492">
        <f>C290</f>
        <v>20.6</v>
      </c>
      <c r="J1064" s="500" t="s">
        <v>2342</v>
      </c>
      <c r="K1064" s="492">
        <f t="shared" si="52"/>
        <v>20.6</v>
      </c>
    </row>
    <row r="1065" spans="1:11" hidden="1">
      <c r="A1065" s="559"/>
      <c r="I1065" s="2"/>
      <c r="J1065" s="463"/>
      <c r="K1065" s="491" t="s">
        <v>442</v>
      </c>
    </row>
    <row r="1066" spans="1:11" hidden="1">
      <c r="A1066" s="559"/>
      <c r="H1066" s="510" t="s">
        <v>3864</v>
      </c>
      <c r="I1066" s="2"/>
      <c r="J1066" s="463"/>
      <c r="K1066" s="492">
        <f>SUM(K1055:K1064)</f>
        <v>503.89450000000005</v>
      </c>
    </row>
    <row r="1067" spans="1:11" hidden="1">
      <c r="A1067" s="559"/>
      <c r="I1067" s="2"/>
      <c r="J1067" s="463"/>
      <c r="K1067" s="491" t="s">
        <v>442</v>
      </c>
    </row>
    <row r="1068" spans="1:11" hidden="1">
      <c r="A1068" s="559"/>
      <c r="H1068" s="510" t="s">
        <v>2355</v>
      </c>
      <c r="I1068" s="490" t="s">
        <v>30</v>
      </c>
      <c r="J1068" s="463"/>
      <c r="K1068" s="492">
        <f>K1066/F1061</f>
        <v>1259.7362500000002</v>
      </c>
    </row>
    <row r="1069" spans="1:11" hidden="1">
      <c r="A1069" s="559"/>
      <c r="F1069" s="509" t="s">
        <v>30</v>
      </c>
      <c r="I1069" s="2"/>
      <c r="J1069" s="463"/>
      <c r="K1069" s="2"/>
    </row>
    <row r="1070" spans="1:11" hidden="1">
      <c r="A1070" s="559"/>
      <c r="I1070" s="2"/>
      <c r="J1070" s="463"/>
      <c r="K1070" s="491" t="s">
        <v>29</v>
      </c>
    </row>
    <row r="1071" spans="1:11" hidden="1">
      <c r="A1071" s="559"/>
      <c r="F1071" s="529">
        <v>22.3</v>
      </c>
      <c r="H1071" s="509" t="s">
        <v>3872</v>
      </c>
      <c r="I1071" s="2"/>
      <c r="J1071" s="463"/>
      <c r="K1071" s="2"/>
    </row>
    <row r="1072" spans="1:11" hidden="1">
      <c r="A1072" s="559"/>
      <c r="H1072" s="515" t="s">
        <v>442</v>
      </c>
      <c r="I1072" s="491" t="s">
        <v>442</v>
      </c>
      <c r="J1072" s="500" t="s">
        <v>442</v>
      </c>
      <c r="K1072" s="2"/>
    </row>
    <row r="1073" spans="1:12" hidden="1">
      <c r="A1073" s="559"/>
      <c r="I1073" s="2"/>
      <c r="J1073" s="463"/>
      <c r="K1073" s="2"/>
    </row>
    <row r="1074" spans="1:12" hidden="1">
      <c r="A1074" s="559"/>
      <c r="H1074" s="509" t="s">
        <v>3873</v>
      </c>
      <c r="I1074" s="2"/>
      <c r="J1074" s="463"/>
      <c r="K1074" s="2"/>
    </row>
    <row r="1075" spans="1:12" hidden="1">
      <c r="A1075" s="559"/>
      <c r="H1075" s="509" t="s">
        <v>3874</v>
      </c>
      <c r="I1075" s="2"/>
      <c r="J1075" s="463"/>
      <c r="K1075" s="2"/>
    </row>
    <row r="1076" spans="1:12" hidden="1">
      <c r="A1076" s="559"/>
      <c r="H1076" s="509" t="s">
        <v>3875</v>
      </c>
      <c r="I1076" s="2"/>
      <c r="J1076" s="463"/>
      <c r="K1076" s="2"/>
    </row>
    <row r="1077" spans="1:12" hidden="1">
      <c r="A1077" s="559"/>
      <c r="H1077" s="509" t="s">
        <v>3876</v>
      </c>
      <c r="I1077" s="2"/>
      <c r="J1077" s="463"/>
      <c r="K1077" s="2"/>
    </row>
    <row r="1078" spans="1:12" hidden="1">
      <c r="A1078" s="559"/>
      <c r="H1078" s="509" t="s">
        <v>3877</v>
      </c>
      <c r="I1078" s="2"/>
      <c r="J1078" s="463"/>
      <c r="K1078" s="2"/>
      <c r="L1078" s="509" t="s">
        <v>30</v>
      </c>
    </row>
    <row r="1079" spans="1:12" hidden="1">
      <c r="A1079" s="559"/>
      <c r="I1079" s="2"/>
      <c r="J1079" s="500" t="s">
        <v>30</v>
      </c>
      <c r="K1079" s="563">
        <v>3.32E-2</v>
      </c>
    </row>
    <row r="1080" spans="1:12" hidden="1">
      <c r="A1080" s="559"/>
      <c r="H1080" s="509" t="s">
        <v>3878</v>
      </c>
      <c r="I1080" s="2"/>
      <c r="J1080" s="564" t="s">
        <v>30</v>
      </c>
      <c r="K1080" s="566" t="s">
        <v>30</v>
      </c>
    </row>
    <row r="1081" spans="1:12" hidden="1">
      <c r="A1081" s="559"/>
      <c r="H1081" s="509" t="s">
        <v>3879</v>
      </c>
      <c r="I1081" s="2"/>
      <c r="J1081" s="463"/>
      <c r="K1081" s="566" t="s">
        <v>30</v>
      </c>
    </row>
    <row r="1082" spans="1:12" hidden="1">
      <c r="A1082" s="559"/>
      <c r="I1082" s="2"/>
      <c r="J1082" s="463"/>
      <c r="K1082" s="2"/>
    </row>
    <row r="1083" spans="1:12" hidden="1">
      <c r="A1083" s="559"/>
      <c r="F1083" s="567">
        <v>1.18E-2</v>
      </c>
      <c r="G1083" s="518" t="s">
        <v>2334</v>
      </c>
      <c r="H1083" s="509" t="s">
        <v>2809</v>
      </c>
      <c r="I1083" s="492">
        <f>C88</f>
        <v>65420</v>
      </c>
      <c r="J1083" s="500" t="s">
        <v>2334</v>
      </c>
      <c r="K1083" s="492">
        <f t="shared" ref="K1083:K1092" si="53">(F1083*I1083)</f>
        <v>771.95600000000002</v>
      </c>
    </row>
    <row r="1084" spans="1:12" hidden="1">
      <c r="A1084" s="559"/>
      <c r="F1084" s="567">
        <v>3.32E-2</v>
      </c>
      <c r="G1084" s="518" t="s">
        <v>2334</v>
      </c>
      <c r="H1084" s="509" t="s">
        <v>2810</v>
      </c>
      <c r="I1084" s="492">
        <f>C89</f>
        <v>57165</v>
      </c>
      <c r="J1084" s="500" t="s">
        <v>2334</v>
      </c>
      <c r="K1084" s="492">
        <f t="shared" si="53"/>
        <v>1897.8779999999999</v>
      </c>
    </row>
    <row r="1085" spans="1:12" hidden="1">
      <c r="A1085" s="559"/>
      <c r="F1085" s="567">
        <v>1.8550000000000001E-2</v>
      </c>
      <c r="G1085" s="518" t="s">
        <v>2334</v>
      </c>
      <c r="H1085" s="509" t="s">
        <v>3880</v>
      </c>
      <c r="I1085" s="492">
        <f>C30</f>
        <v>3035</v>
      </c>
      <c r="J1085" s="500" t="s">
        <v>2334</v>
      </c>
      <c r="K1085" s="492">
        <f t="shared" si="53"/>
        <v>56.299250000000001</v>
      </c>
    </row>
    <row r="1086" spans="1:12" hidden="1">
      <c r="A1086" s="559"/>
      <c r="F1086" s="567">
        <v>1.46</v>
      </c>
      <c r="G1086" s="518" t="s">
        <v>2788</v>
      </c>
      <c r="H1086" s="509" t="s">
        <v>3881</v>
      </c>
      <c r="I1086" s="492">
        <v>385.89</v>
      </c>
      <c r="J1086" s="500" t="s">
        <v>2788</v>
      </c>
      <c r="K1086" s="492">
        <f t="shared" si="53"/>
        <v>563.39940000000001</v>
      </c>
    </row>
    <row r="1087" spans="1:12" hidden="1">
      <c r="A1087" s="559"/>
      <c r="F1087" s="567">
        <v>2.0499999999999998</v>
      </c>
      <c r="G1087" s="518" t="s">
        <v>2788</v>
      </c>
      <c r="H1087" s="509" t="s">
        <v>3882</v>
      </c>
      <c r="I1087" s="492">
        <f>D30</f>
        <v>287</v>
      </c>
      <c r="J1087" s="500" t="s">
        <v>2788</v>
      </c>
      <c r="K1087" s="492">
        <f t="shared" si="53"/>
        <v>588.34999999999991</v>
      </c>
    </row>
    <row r="1088" spans="1:12" hidden="1">
      <c r="A1088" s="559"/>
      <c r="F1088" s="519">
        <v>2</v>
      </c>
      <c r="G1088" s="518" t="s">
        <v>2342</v>
      </c>
      <c r="H1088" s="509" t="s">
        <v>3883</v>
      </c>
      <c r="I1088" s="492">
        <v>7.5</v>
      </c>
      <c r="J1088" s="500" t="s">
        <v>2342</v>
      </c>
      <c r="K1088" s="492">
        <f t="shared" si="53"/>
        <v>15</v>
      </c>
    </row>
    <row r="1089" spans="1:11" hidden="1">
      <c r="A1089" s="559"/>
      <c r="F1089" s="519">
        <v>6</v>
      </c>
      <c r="G1089" s="518" t="s">
        <v>2342</v>
      </c>
      <c r="H1089" s="509" t="s">
        <v>3849</v>
      </c>
      <c r="I1089" s="492">
        <f>C281</f>
        <v>25</v>
      </c>
      <c r="J1089" s="500" t="s">
        <v>2342</v>
      </c>
      <c r="K1089" s="492">
        <f t="shared" si="53"/>
        <v>150</v>
      </c>
    </row>
    <row r="1090" spans="1:11" hidden="1">
      <c r="A1090" s="559"/>
      <c r="F1090" s="519">
        <v>2</v>
      </c>
      <c r="G1090" s="518" t="s">
        <v>2342</v>
      </c>
      <c r="H1090" s="509" t="s">
        <v>3884</v>
      </c>
      <c r="I1090" s="492">
        <v>50</v>
      </c>
      <c r="J1090" s="500" t="s">
        <v>2342</v>
      </c>
      <c r="K1090" s="492">
        <f t="shared" si="53"/>
        <v>100</v>
      </c>
    </row>
    <row r="1091" spans="1:11" hidden="1">
      <c r="A1091" s="559"/>
      <c r="F1091" s="519">
        <v>1</v>
      </c>
      <c r="G1091" s="518" t="s">
        <v>2342</v>
      </c>
      <c r="H1091" s="509" t="s">
        <v>3885</v>
      </c>
      <c r="I1091" s="492">
        <v>50</v>
      </c>
      <c r="J1091" s="500" t="s">
        <v>2342</v>
      </c>
      <c r="K1091" s="492">
        <f t="shared" si="53"/>
        <v>50</v>
      </c>
    </row>
    <row r="1092" spans="1:11" hidden="1">
      <c r="A1092" s="559"/>
      <c r="F1092" s="519">
        <v>2.52</v>
      </c>
      <c r="G1092" s="518" t="s">
        <v>2788</v>
      </c>
      <c r="H1092" s="509" t="s">
        <v>3886</v>
      </c>
      <c r="I1092" s="492">
        <f>K1122</f>
        <v>51.25</v>
      </c>
      <c r="J1092" s="500" t="s">
        <v>2788</v>
      </c>
      <c r="K1092" s="492">
        <f t="shared" si="53"/>
        <v>129.15</v>
      </c>
    </row>
    <row r="1093" spans="1:11" hidden="1">
      <c r="A1093" s="559"/>
      <c r="H1093" s="509" t="s">
        <v>3887</v>
      </c>
      <c r="I1093" s="500" t="s">
        <v>2346</v>
      </c>
      <c r="J1093" s="463"/>
      <c r="K1093" s="492">
        <v>0.21</v>
      </c>
    </row>
    <row r="1094" spans="1:11" hidden="1">
      <c r="A1094" s="559"/>
      <c r="I1094" s="2"/>
      <c r="J1094" s="463"/>
      <c r="K1094" s="491" t="s">
        <v>442</v>
      </c>
    </row>
    <row r="1095" spans="1:11" hidden="1">
      <c r="A1095" s="559"/>
      <c r="H1095" s="510" t="s">
        <v>3888</v>
      </c>
      <c r="I1095" s="2"/>
      <c r="J1095" s="463"/>
      <c r="K1095" s="492">
        <f>SUM(K1083:K1093)</f>
        <v>4322.2426499999992</v>
      </c>
    </row>
    <row r="1096" spans="1:11" hidden="1">
      <c r="A1096" s="559"/>
      <c r="G1096" s="518" t="s">
        <v>30</v>
      </c>
      <c r="I1096" s="2"/>
      <c r="J1096" s="463"/>
      <c r="K1096" s="491" t="s">
        <v>442</v>
      </c>
    </row>
    <row r="1097" spans="1:11" hidden="1">
      <c r="A1097" s="559"/>
      <c r="H1097" s="510" t="s">
        <v>2355</v>
      </c>
      <c r="I1097" s="2"/>
      <c r="J1097" s="463"/>
      <c r="K1097" s="492">
        <f>K1095/2.52</f>
        <v>1715.1756547619045</v>
      </c>
    </row>
    <row r="1098" spans="1:11" hidden="1">
      <c r="A1098" s="559"/>
      <c r="I1098" s="2"/>
      <c r="J1098" s="463"/>
      <c r="K1098" s="491" t="s">
        <v>29</v>
      </c>
    </row>
    <row r="1099" spans="1:11" hidden="1">
      <c r="A1099" s="559"/>
      <c r="G1099" s="518" t="s">
        <v>575</v>
      </c>
      <c r="H1099" s="509" t="s">
        <v>3889</v>
      </c>
      <c r="I1099" s="2"/>
      <c r="J1099" s="463"/>
      <c r="K1099" s="2"/>
    </row>
    <row r="1100" spans="1:11" hidden="1">
      <c r="A1100" s="559"/>
      <c r="H1100" s="515" t="s">
        <v>442</v>
      </c>
      <c r="I1100" s="491" t="s">
        <v>442</v>
      </c>
      <c r="J1100" s="463"/>
      <c r="K1100" s="2"/>
    </row>
    <row r="1101" spans="1:11" hidden="1">
      <c r="A1101" s="559"/>
      <c r="F1101" s="519">
        <v>0.77</v>
      </c>
      <c r="G1101" s="518" t="s">
        <v>3890</v>
      </c>
      <c r="H1101" s="509" t="s">
        <v>3891</v>
      </c>
      <c r="I1101" s="492">
        <f>C193</f>
        <v>210</v>
      </c>
      <c r="J1101" s="500" t="s">
        <v>3890</v>
      </c>
      <c r="K1101" s="492">
        <f>(F1101*I1101)</f>
        <v>161.70000000000002</v>
      </c>
    </row>
    <row r="1102" spans="1:11" hidden="1">
      <c r="A1102" s="559"/>
      <c r="F1102" s="519">
        <v>0.61</v>
      </c>
      <c r="G1102" s="518" t="s">
        <v>3890</v>
      </c>
      <c r="H1102" s="509" t="s">
        <v>3892</v>
      </c>
      <c r="I1102" s="492">
        <f>C192</f>
        <v>25</v>
      </c>
      <c r="J1102" s="500" t="s">
        <v>3890</v>
      </c>
      <c r="K1102" s="492">
        <f>(F1102*I1102)</f>
        <v>15.25</v>
      </c>
    </row>
    <row r="1103" spans="1:11" hidden="1">
      <c r="A1103" s="559"/>
      <c r="F1103" s="519">
        <v>0.7</v>
      </c>
      <c r="G1103" s="518" t="s">
        <v>2403</v>
      </c>
      <c r="H1103" s="509" t="s">
        <v>2543</v>
      </c>
      <c r="I1103" s="492">
        <f>C14</f>
        <v>120</v>
      </c>
      <c r="J1103" s="500" t="s">
        <v>3321</v>
      </c>
      <c r="K1103" s="492">
        <f>(F1103*I1103)</f>
        <v>84</v>
      </c>
    </row>
    <row r="1104" spans="1:11" hidden="1">
      <c r="A1104" s="559"/>
      <c r="F1104" s="519">
        <v>0.7</v>
      </c>
      <c r="G1104" s="518" t="s">
        <v>2403</v>
      </c>
      <c r="H1104" s="509" t="s">
        <v>2535</v>
      </c>
      <c r="I1104" s="492">
        <f>C12</f>
        <v>95</v>
      </c>
      <c r="J1104" s="500" t="s">
        <v>3321</v>
      </c>
      <c r="K1104" s="492">
        <f>(F1104*I1104)</f>
        <v>66.5</v>
      </c>
    </row>
    <row r="1105" spans="1:11" hidden="1">
      <c r="A1105" s="559"/>
      <c r="G1105" s="518" t="s">
        <v>2346</v>
      </c>
      <c r="H1105" s="509" t="s">
        <v>3893</v>
      </c>
      <c r="I1105" s="2"/>
      <c r="J1105" s="500" t="s">
        <v>2346</v>
      </c>
      <c r="K1105" s="492">
        <v>1.5</v>
      </c>
    </row>
    <row r="1106" spans="1:11" hidden="1">
      <c r="A1106" s="559"/>
      <c r="I1106" s="2"/>
      <c r="J1106" s="463"/>
      <c r="K1106" s="491" t="s">
        <v>442</v>
      </c>
    </row>
    <row r="1107" spans="1:11" hidden="1">
      <c r="A1107" s="559"/>
      <c r="H1107" s="510" t="s">
        <v>3894</v>
      </c>
      <c r="I1107" s="2"/>
      <c r="J1107" s="463"/>
      <c r="K1107" s="492">
        <f>SUM(K1101:K1105)</f>
        <v>328.95000000000005</v>
      </c>
    </row>
    <row r="1108" spans="1:11" hidden="1">
      <c r="A1108" s="559"/>
      <c r="I1108" s="2"/>
      <c r="J1108" s="463"/>
      <c r="K1108" s="491" t="s">
        <v>442</v>
      </c>
    </row>
    <row r="1109" spans="1:11" hidden="1">
      <c r="A1109" s="559"/>
      <c r="H1109" s="510" t="s">
        <v>2355</v>
      </c>
      <c r="I1109" s="2"/>
      <c r="J1109" s="463"/>
      <c r="K1109" s="492">
        <f>(K1107/10)</f>
        <v>32.895000000000003</v>
      </c>
    </row>
    <row r="1110" spans="1:11" hidden="1">
      <c r="A1110" s="559"/>
      <c r="I1110" s="2"/>
      <c r="J1110" s="463"/>
      <c r="K1110" s="491" t="s">
        <v>29</v>
      </c>
    </row>
    <row r="1111" spans="1:11" hidden="1">
      <c r="A1111" s="559"/>
      <c r="I1111" s="2"/>
      <c r="J1111" s="463"/>
      <c r="K1111" s="2"/>
    </row>
    <row r="1112" spans="1:11" hidden="1">
      <c r="A1112" s="559"/>
      <c r="F1112" s="509" t="s">
        <v>30</v>
      </c>
      <c r="G1112" s="518" t="s">
        <v>575</v>
      </c>
      <c r="H1112" s="509" t="s">
        <v>3895</v>
      </c>
      <c r="I1112" s="2"/>
      <c r="J1112" s="463"/>
      <c r="K1112" s="2"/>
    </row>
    <row r="1113" spans="1:11" hidden="1">
      <c r="A1113" s="559"/>
      <c r="H1113" s="515" t="s">
        <v>442</v>
      </c>
      <c r="I1113" s="491" t="s">
        <v>442</v>
      </c>
      <c r="J1113" s="463"/>
      <c r="K1113" s="2"/>
    </row>
    <row r="1114" spans="1:11" hidden="1">
      <c r="A1114" s="559"/>
      <c r="F1114" s="519">
        <v>1.2</v>
      </c>
      <c r="G1114" s="518" t="s">
        <v>3890</v>
      </c>
      <c r="H1114" s="509" t="s">
        <v>3891</v>
      </c>
      <c r="I1114" s="492">
        <f>C193</f>
        <v>210</v>
      </c>
      <c r="J1114" s="500" t="s">
        <v>3890</v>
      </c>
      <c r="K1114" s="492">
        <f>(F1114*I1114)</f>
        <v>252</v>
      </c>
    </row>
    <row r="1115" spans="1:11" hidden="1">
      <c r="A1115" s="559"/>
      <c r="F1115" s="519">
        <v>0.9</v>
      </c>
      <c r="G1115" s="518" t="s">
        <v>3890</v>
      </c>
      <c r="H1115" s="509" t="s">
        <v>3892</v>
      </c>
      <c r="I1115" s="492">
        <f>C192</f>
        <v>25</v>
      </c>
      <c r="J1115" s="500" t="s">
        <v>3890</v>
      </c>
      <c r="K1115" s="492">
        <f>(F1115*I1115)</f>
        <v>22.5</v>
      </c>
    </row>
    <row r="1116" spans="1:11" hidden="1">
      <c r="A1116" s="559"/>
      <c r="F1116" s="519">
        <v>1.1000000000000001</v>
      </c>
      <c r="G1116" s="518" t="s">
        <v>2403</v>
      </c>
      <c r="H1116" s="509" t="s">
        <v>2543</v>
      </c>
      <c r="I1116" s="492">
        <f>C14</f>
        <v>120</v>
      </c>
      <c r="J1116" s="500" t="s">
        <v>3321</v>
      </c>
      <c r="K1116" s="492">
        <f>(F1116*I1116)</f>
        <v>132</v>
      </c>
    </row>
    <row r="1117" spans="1:11" hidden="1">
      <c r="A1117" s="559"/>
      <c r="F1117" s="519">
        <v>1.1000000000000001</v>
      </c>
      <c r="G1117" s="518" t="s">
        <v>2403</v>
      </c>
      <c r="H1117" s="509" t="s">
        <v>2535</v>
      </c>
      <c r="I1117" s="492">
        <f>C12</f>
        <v>95</v>
      </c>
      <c r="J1117" s="500" t="s">
        <v>3321</v>
      </c>
      <c r="K1117" s="492">
        <f>(F1117*I1117)</f>
        <v>104.50000000000001</v>
      </c>
    </row>
    <row r="1118" spans="1:11" hidden="1">
      <c r="A1118" s="559"/>
      <c r="G1118" s="518" t="s">
        <v>2346</v>
      </c>
      <c r="H1118" s="509" t="s">
        <v>3893</v>
      </c>
      <c r="I1118" s="2"/>
      <c r="J1118" s="500" t="s">
        <v>2346</v>
      </c>
      <c r="K1118" s="492">
        <v>1.5</v>
      </c>
    </row>
    <row r="1119" spans="1:11" hidden="1">
      <c r="A1119" s="559"/>
      <c r="I1119" s="2"/>
      <c r="J1119" s="463"/>
      <c r="K1119" s="491" t="s">
        <v>442</v>
      </c>
    </row>
    <row r="1120" spans="1:11" hidden="1">
      <c r="A1120" s="559"/>
      <c r="H1120" s="510" t="s">
        <v>3894</v>
      </c>
      <c r="I1120" s="2"/>
      <c r="J1120" s="463"/>
      <c r="K1120" s="492">
        <f>SUM(K1114:K1118)</f>
        <v>512.5</v>
      </c>
    </row>
    <row r="1121" spans="1:33" hidden="1">
      <c r="A1121" s="559"/>
      <c r="I1121" s="2"/>
      <c r="J1121" s="463"/>
      <c r="K1121" s="491" t="s">
        <v>442</v>
      </c>
    </row>
    <row r="1122" spans="1:33" hidden="1">
      <c r="A1122" s="559"/>
      <c r="H1122" s="510" t="s">
        <v>2355</v>
      </c>
      <c r="I1122" s="2"/>
      <c r="J1122" s="463"/>
      <c r="K1122" s="492">
        <f>(K1120/10)</f>
        <v>51.25</v>
      </c>
    </row>
    <row r="1123" spans="1:33" hidden="1">
      <c r="A1123" s="559"/>
      <c r="I1123" s="2"/>
      <c r="J1123" s="463"/>
      <c r="K1123" s="491" t="s">
        <v>29</v>
      </c>
    </row>
    <row r="1124" spans="1:33" hidden="1">
      <c r="A1124" s="559"/>
      <c r="I1124" s="2"/>
      <c r="J1124" s="463"/>
      <c r="K1124" s="2"/>
    </row>
    <row r="1125" spans="1:33" hidden="1">
      <c r="A1125" s="559"/>
      <c r="F1125" s="543">
        <v>23.3</v>
      </c>
      <c r="H1125" s="511" t="s">
        <v>3896</v>
      </c>
      <c r="I1125" s="2"/>
      <c r="J1125" s="463"/>
      <c r="K1125" s="2">
        <v>35</v>
      </c>
    </row>
    <row r="1126" spans="1:33" hidden="1">
      <c r="A1126" s="559"/>
      <c r="I1126" s="2"/>
      <c r="J1126" s="463"/>
      <c r="K1126" s="2"/>
    </row>
    <row r="1127" spans="1:33" hidden="1">
      <c r="A1127" s="559"/>
      <c r="I1127" s="2"/>
      <c r="J1127" s="463"/>
      <c r="K1127" s="2"/>
    </row>
    <row r="1128" spans="1:33" hidden="1">
      <c r="A1128" s="559"/>
      <c r="F1128" s="510" t="s">
        <v>3897</v>
      </c>
      <c r="G1128" s="518" t="s">
        <v>575</v>
      </c>
      <c r="H1128" s="509" t="s">
        <v>3898</v>
      </c>
      <c r="I1128" s="2"/>
      <c r="J1128" s="463"/>
      <c r="K1128" s="2"/>
      <c r="AG1128" s="509" t="s">
        <v>2514</v>
      </c>
    </row>
    <row r="1129" spans="1:33" hidden="1">
      <c r="A1129" s="559"/>
      <c r="H1129" s="509" t="s">
        <v>3899</v>
      </c>
      <c r="I1129" s="2"/>
      <c r="J1129" s="463"/>
      <c r="K1129" s="2"/>
      <c r="AG1129" s="509" t="s">
        <v>2514</v>
      </c>
    </row>
    <row r="1130" spans="1:33" hidden="1">
      <c r="A1130" s="559"/>
      <c r="H1130" s="515" t="s">
        <v>442</v>
      </c>
      <c r="I1130" s="491" t="s">
        <v>442</v>
      </c>
      <c r="J1130" s="463"/>
      <c r="K1130" s="2"/>
      <c r="AG1130" s="509" t="s">
        <v>2514</v>
      </c>
    </row>
    <row r="1131" spans="1:33" hidden="1">
      <c r="A1131" s="559"/>
      <c r="F1131" s="542">
        <v>0.53339999999999999</v>
      </c>
      <c r="G1131" s="518" t="s">
        <v>26</v>
      </c>
      <c r="H1131" s="509" t="s">
        <v>3900</v>
      </c>
      <c r="I1131" s="492">
        <f>C271</f>
        <v>160</v>
      </c>
      <c r="J1131" s="500" t="s">
        <v>26</v>
      </c>
      <c r="K1131" s="492">
        <f>(F1131*I1131)</f>
        <v>85.343999999999994</v>
      </c>
      <c r="AG1131" s="509" t="s">
        <v>2514</v>
      </c>
    </row>
    <row r="1132" spans="1:33" hidden="1">
      <c r="A1132" s="559"/>
      <c r="F1132" s="519">
        <v>4.24</v>
      </c>
      <c r="G1132" s="518" t="s">
        <v>12</v>
      </c>
      <c r="H1132" s="509" t="s">
        <v>3901</v>
      </c>
      <c r="I1132" s="492">
        <v>13.66</v>
      </c>
      <c r="J1132" s="500" t="s">
        <v>12</v>
      </c>
      <c r="K1132" s="492">
        <f>(F1132*I1132)</f>
        <v>57.918400000000005</v>
      </c>
      <c r="AG1132" s="509" t="s">
        <v>2514</v>
      </c>
    </row>
    <row r="1133" spans="1:33" hidden="1">
      <c r="A1133" s="559"/>
      <c r="F1133" s="519">
        <v>16</v>
      </c>
      <c r="G1133" s="518" t="s">
        <v>2403</v>
      </c>
      <c r="H1133" s="509" t="s">
        <v>3902</v>
      </c>
      <c r="I1133" s="492">
        <v>0.5</v>
      </c>
      <c r="J1133" s="500" t="s">
        <v>556</v>
      </c>
      <c r="K1133" s="492">
        <f>(F1133*I1133)</f>
        <v>8</v>
      </c>
      <c r="AG1133" s="509" t="s">
        <v>2690</v>
      </c>
    </row>
    <row r="1134" spans="1:33" hidden="1">
      <c r="A1134" s="559"/>
      <c r="F1134" s="542">
        <v>0.53339999999999999</v>
      </c>
      <c r="G1134" s="518" t="s">
        <v>26</v>
      </c>
      <c r="H1134" s="509" t="s">
        <v>3903</v>
      </c>
      <c r="I1134" s="492">
        <f>0.25/1.08*D16</f>
        <v>31.249999999999996</v>
      </c>
      <c r="J1134" s="500" t="s">
        <v>26</v>
      </c>
      <c r="K1134" s="492">
        <f>(F1134*I1134)</f>
        <v>16.668749999999999</v>
      </c>
    </row>
    <row r="1135" spans="1:33" hidden="1">
      <c r="A1135" s="559"/>
      <c r="G1135" s="518" t="s">
        <v>2346</v>
      </c>
      <c r="H1135" s="509" t="s">
        <v>2390</v>
      </c>
      <c r="I1135" s="2"/>
      <c r="J1135" s="500" t="s">
        <v>2346</v>
      </c>
      <c r="K1135" s="492">
        <v>0</v>
      </c>
    </row>
    <row r="1136" spans="1:33" hidden="1">
      <c r="A1136" s="559"/>
      <c r="H1136" s="509" t="s">
        <v>3904</v>
      </c>
      <c r="I1136" s="2"/>
      <c r="J1136" s="463"/>
      <c r="K1136" s="2"/>
      <c r="AG1136" s="509" t="s">
        <v>2514</v>
      </c>
    </row>
    <row r="1137" spans="1:33" hidden="1">
      <c r="A1137" s="559"/>
      <c r="I1137" s="2"/>
      <c r="J1137" s="463"/>
      <c r="K1137" s="491" t="s">
        <v>442</v>
      </c>
      <c r="AG1137" s="509" t="s">
        <v>2514</v>
      </c>
    </row>
    <row r="1138" spans="1:33" hidden="1">
      <c r="A1138" s="559"/>
      <c r="H1138" s="510" t="s">
        <v>3905</v>
      </c>
      <c r="I1138" s="2"/>
      <c r="J1138" s="463"/>
      <c r="K1138" s="492">
        <f>SUM(K1131:K1135)</f>
        <v>167.93115</v>
      </c>
      <c r="AG1138" s="509" t="s">
        <v>2514</v>
      </c>
    </row>
    <row r="1139" spans="1:33" hidden="1">
      <c r="A1139" s="559"/>
      <c r="I1139" s="2"/>
      <c r="J1139" s="463"/>
      <c r="K1139" s="491" t="s">
        <v>442</v>
      </c>
      <c r="AG1139" s="509" t="s">
        <v>2514</v>
      </c>
    </row>
    <row r="1140" spans="1:33" hidden="1">
      <c r="A1140" s="559"/>
      <c r="H1140" s="510" t="s">
        <v>3906</v>
      </c>
      <c r="I1140" s="2"/>
      <c r="J1140" s="463"/>
      <c r="K1140" s="492">
        <f>ROUND(K1138/0.5334,1)</f>
        <v>314.8</v>
      </c>
      <c r="AG1140" s="509" t="s">
        <v>2514</v>
      </c>
    </row>
    <row r="1141" spans="1:33" hidden="1">
      <c r="A1141" s="559"/>
      <c r="F1141" s="509" t="s">
        <v>30</v>
      </c>
      <c r="I1141" s="2"/>
      <c r="J1141" s="463"/>
      <c r="K1141" s="491" t="s">
        <v>29</v>
      </c>
    </row>
    <row r="1142" spans="1:33" hidden="1">
      <c r="A1142" s="559"/>
      <c r="F1142" s="509" t="s">
        <v>30</v>
      </c>
      <c r="G1142" s="518" t="s">
        <v>30</v>
      </c>
      <c r="H1142" s="509" t="s">
        <v>30</v>
      </c>
      <c r="I1142" s="2"/>
      <c r="J1142" s="463"/>
      <c r="K1142" s="2"/>
    </row>
    <row r="1143" spans="1:33" hidden="1">
      <c r="A1143" s="559"/>
      <c r="F1143" s="510" t="s">
        <v>2639</v>
      </c>
      <c r="G1143" s="518" t="s">
        <v>575</v>
      </c>
      <c r="H1143" s="509" t="s">
        <v>3907</v>
      </c>
      <c r="I1143" s="2"/>
      <c r="J1143" s="463"/>
      <c r="K1143" s="2"/>
      <c r="AG1143" s="509" t="s">
        <v>2514</v>
      </c>
    </row>
    <row r="1144" spans="1:33" hidden="1">
      <c r="A1144" s="559"/>
      <c r="H1144" s="509" t="s">
        <v>3908</v>
      </c>
      <c r="I1144" s="2"/>
      <c r="J1144" s="463"/>
      <c r="K1144" s="2"/>
      <c r="AG1144" s="509" t="s">
        <v>2514</v>
      </c>
    </row>
    <row r="1145" spans="1:33" hidden="1">
      <c r="A1145" s="559"/>
      <c r="H1145" s="515" t="s">
        <v>442</v>
      </c>
      <c r="I1145" s="2"/>
      <c r="J1145" s="463"/>
      <c r="K1145" s="2"/>
      <c r="AG1145" s="509" t="s">
        <v>2514</v>
      </c>
    </row>
    <row r="1146" spans="1:33" hidden="1">
      <c r="A1146" s="559"/>
      <c r="F1146" s="519">
        <v>1</v>
      </c>
      <c r="G1146" s="518" t="s">
        <v>40</v>
      </c>
      <c r="H1146" s="509" t="s">
        <v>3909</v>
      </c>
      <c r="I1146" s="492">
        <f>(C638)</f>
        <v>37</v>
      </c>
      <c r="J1146" s="500" t="s">
        <v>40</v>
      </c>
      <c r="K1146" s="492">
        <f>(F1146*I1146)</f>
        <v>37</v>
      </c>
      <c r="AG1146" s="509" t="s">
        <v>2514</v>
      </c>
    </row>
    <row r="1147" spans="1:33" hidden="1">
      <c r="A1147" s="559"/>
      <c r="I1147" s="2"/>
      <c r="J1147" s="463"/>
      <c r="K1147" s="491" t="s">
        <v>29</v>
      </c>
      <c r="AG1147" s="509" t="s">
        <v>2514</v>
      </c>
    </row>
    <row r="1148" spans="1:33" hidden="1">
      <c r="A1148" s="559"/>
      <c r="I1148" s="2"/>
      <c r="J1148" s="463"/>
      <c r="K1148" s="2"/>
      <c r="AG1148" s="509" t="s">
        <v>2514</v>
      </c>
    </row>
    <row r="1149" spans="1:33" hidden="1">
      <c r="A1149" s="559"/>
      <c r="F1149" s="510" t="s">
        <v>2643</v>
      </c>
      <c r="G1149" s="518" t="s">
        <v>575</v>
      </c>
      <c r="H1149" s="509" t="s">
        <v>3910</v>
      </c>
      <c r="I1149" s="490" t="s">
        <v>30</v>
      </c>
      <c r="J1149" s="500" t="s">
        <v>3321</v>
      </c>
      <c r="K1149" s="492">
        <v>3.7</v>
      </c>
      <c r="AG1149" s="509" t="s">
        <v>2514</v>
      </c>
    </row>
    <row r="1150" spans="1:33" hidden="1">
      <c r="A1150" s="559"/>
      <c r="H1150" s="509" t="s">
        <v>3911</v>
      </c>
      <c r="I1150" s="2"/>
      <c r="J1150" s="463"/>
      <c r="K1150" s="491" t="s">
        <v>29</v>
      </c>
      <c r="AG1150" s="509" t="s">
        <v>2514</v>
      </c>
    </row>
    <row r="1151" spans="1:33" hidden="1">
      <c r="A1151" s="559"/>
      <c r="I1151" s="2"/>
      <c r="J1151" s="463"/>
      <c r="K1151" s="2"/>
      <c r="AG1151" s="509" t="s">
        <v>2514</v>
      </c>
    </row>
    <row r="1152" spans="1:33" hidden="1">
      <c r="A1152" s="559"/>
      <c r="F1152" s="510" t="s">
        <v>2656</v>
      </c>
      <c r="G1152" s="518" t="s">
        <v>575</v>
      </c>
      <c r="H1152" s="509" t="s">
        <v>3912</v>
      </c>
      <c r="I1152" s="2"/>
      <c r="J1152" s="463"/>
      <c r="K1152" s="2"/>
      <c r="AG1152" s="509" t="s">
        <v>2514</v>
      </c>
    </row>
    <row r="1153" spans="1:33" hidden="1">
      <c r="A1153" s="559"/>
      <c r="H1153" s="509" t="s">
        <v>3913</v>
      </c>
      <c r="I1153" s="2"/>
      <c r="J1153" s="463"/>
      <c r="K1153" s="2"/>
      <c r="AG1153" s="509" t="s">
        <v>2514</v>
      </c>
    </row>
    <row r="1154" spans="1:33" hidden="1">
      <c r="A1154" s="559"/>
      <c r="H1154" s="515" t="s">
        <v>442</v>
      </c>
      <c r="I1154" s="2"/>
      <c r="J1154" s="463"/>
      <c r="K1154" s="2"/>
      <c r="AG1154" s="509" t="s">
        <v>2514</v>
      </c>
    </row>
    <row r="1155" spans="1:33" hidden="1">
      <c r="A1155" s="559"/>
      <c r="F1155" s="519">
        <v>0.22</v>
      </c>
      <c r="G1155" s="518" t="s">
        <v>2334</v>
      </c>
      <c r="H1155" s="509" t="s">
        <v>2647</v>
      </c>
      <c r="I1155" s="492" t="e">
        <f>(K40)</f>
        <v>#REF!</v>
      </c>
      <c r="J1155" s="500" t="s">
        <v>2334</v>
      </c>
      <c r="K1155" s="492" t="e">
        <f>(F1155*I1155)</f>
        <v>#REF!</v>
      </c>
      <c r="AG1155" s="509" t="s">
        <v>2514</v>
      </c>
    </row>
    <row r="1156" spans="1:33" hidden="1">
      <c r="A1156" s="559"/>
      <c r="F1156" s="519">
        <v>2.2000000000000002</v>
      </c>
      <c r="G1156" s="518" t="s">
        <v>2359</v>
      </c>
      <c r="H1156" s="509" t="s">
        <v>2353</v>
      </c>
      <c r="I1156" s="492">
        <f>(C10)</f>
        <v>150</v>
      </c>
      <c r="J1156" s="500" t="s">
        <v>2359</v>
      </c>
      <c r="K1156" s="492">
        <f>(F1156*I1156)</f>
        <v>330</v>
      </c>
      <c r="AG1156" s="509" t="s">
        <v>2514</v>
      </c>
    </row>
    <row r="1157" spans="1:33" hidden="1">
      <c r="A1157" s="559"/>
      <c r="F1157" s="519">
        <v>0.5</v>
      </c>
      <c r="G1157" s="518" t="s">
        <v>2359</v>
      </c>
      <c r="H1157" s="509" t="s">
        <v>3914</v>
      </c>
      <c r="I1157" s="492">
        <f>(C12)</f>
        <v>95</v>
      </c>
      <c r="J1157" s="500" t="s">
        <v>2359</v>
      </c>
      <c r="K1157" s="492">
        <f>(F1157*I1157)</f>
        <v>47.5</v>
      </c>
      <c r="AG1157" s="509" t="s">
        <v>2514</v>
      </c>
    </row>
    <row r="1158" spans="1:33" hidden="1">
      <c r="A1158" s="559"/>
      <c r="F1158" s="519">
        <v>3.2</v>
      </c>
      <c r="G1158" s="518" t="s">
        <v>2359</v>
      </c>
      <c r="H1158" s="509" t="s">
        <v>2345</v>
      </c>
      <c r="I1158" s="492">
        <f>(C13)</f>
        <v>85</v>
      </c>
      <c r="J1158" s="500" t="s">
        <v>2359</v>
      </c>
      <c r="K1158" s="492">
        <f>(F1158*I1158)</f>
        <v>272</v>
      </c>
      <c r="AG1158" s="509" t="s">
        <v>2514</v>
      </c>
    </row>
    <row r="1159" spans="1:33" hidden="1">
      <c r="A1159" s="559"/>
      <c r="G1159" s="518" t="s">
        <v>2346</v>
      </c>
      <c r="H1159" s="509" t="s">
        <v>2347</v>
      </c>
      <c r="I1159" s="490" t="s">
        <v>30</v>
      </c>
      <c r="J1159" s="500" t="s">
        <v>2346</v>
      </c>
      <c r="K1159" s="492">
        <v>0</v>
      </c>
      <c r="AG1159" s="509" t="s">
        <v>2514</v>
      </c>
    </row>
    <row r="1160" spans="1:33" hidden="1">
      <c r="A1160" s="559"/>
      <c r="I1160" s="2"/>
      <c r="J1160" s="463"/>
      <c r="K1160" s="491" t="s">
        <v>442</v>
      </c>
      <c r="AG1160" s="509" t="s">
        <v>2514</v>
      </c>
    </row>
    <row r="1161" spans="1:33" hidden="1">
      <c r="A1161" s="559"/>
      <c r="H1161" s="509" t="s">
        <v>2358</v>
      </c>
      <c r="I1161" s="2"/>
      <c r="J1161" s="463"/>
      <c r="K1161" s="492" t="e">
        <f>SUM(K1155:K1159)</f>
        <v>#REF!</v>
      </c>
      <c r="AG1161" s="509" t="s">
        <v>2514</v>
      </c>
    </row>
    <row r="1162" spans="1:33" hidden="1">
      <c r="A1162" s="559"/>
      <c r="I1162" s="2"/>
      <c r="J1162" s="463"/>
      <c r="K1162" s="491" t="s">
        <v>442</v>
      </c>
      <c r="AG1162" s="509" t="s">
        <v>2514</v>
      </c>
    </row>
    <row r="1163" spans="1:33" hidden="1">
      <c r="A1163" s="559"/>
      <c r="H1163" s="509" t="s">
        <v>2355</v>
      </c>
      <c r="I1163" s="2"/>
      <c r="J1163" s="463"/>
      <c r="K1163" s="492" t="e">
        <f>(K1161/10)</f>
        <v>#REF!</v>
      </c>
      <c r="AG1163" s="509" t="s">
        <v>2514</v>
      </c>
    </row>
    <row r="1164" spans="1:33" hidden="1">
      <c r="A1164" s="559"/>
      <c r="I1164" s="2"/>
      <c r="J1164" s="463"/>
      <c r="K1164" s="491" t="s">
        <v>29</v>
      </c>
      <c r="AG1164" s="509" t="s">
        <v>2514</v>
      </c>
    </row>
    <row r="1165" spans="1:33" hidden="1">
      <c r="A1165" s="559"/>
      <c r="F1165" s="510" t="s">
        <v>3915</v>
      </c>
      <c r="G1165" s="518" t="s">
        <v>575</v>
      </c>
      <c r="H1165" s="509" t="s">
        <v>3916</v>
      </c>
      <c r="I1165" s="2"/>
      <c r="J1165" s="463"/>
      <c r="K1165" s="2"/>
      <c r="AG1165" s="509" t="s">
        <v>2514</v>
      </c>
    </row>
    <row r="1166" spans="1:33" hidden="1">
      <c r="A1166" s="559"/>
      <c r="H1166" s="509" t="s">
        <v>3917</v>
      </c>
      <c r="I1166" s="2"/>
      <c r="J1166" s="463"/>
      <c r="K1166" s="2"/>
      <c r="AG1166" s="509" t="s">
        <v>2514</v>
      </c>
    </row>
    <row r="1167" spans="1:33" hidden="1">
      <c r="A1167" s="559"/>
      <c r="H1167" s="515" t="s">
        <v>442</v>
      </c>
      <c r="I1167" s="2"/>
      <c r="J1167" s="463"/>
      <c r="K1167" s="2"/>
      <c r="AG1167" s="509" t="s">
        <v>2514</v>
      </c>
    </row>
    <row r="1168" spans="1:33" hidden="1">
      <c r="A1168" s="559"/>
      <c r="F1168" s="519">
        <v>160</v>
      </c>
      <c r="G1168" s="518" t="s">
        <v>3918</v>
      </c>
      <c r="H1168" s="509" t="s">
        <v>3919</v>
      </c>
      <c r="I1168" s="492">
        <f>(C136)</f>
        <v>8240</v>
      </c>
      <c r="J1168" s="500" t="s">
        <v>2408</v>
      </c>
      <c r="K1168" s="492">
        <f>(F1168*I1168)/1000</f>
        <v>1318.4</v>
      </c>
      <c r="AG1168" s="509" t="s">
        <v>2690</v>
      </c>
    </row>
    <row r="1169" spans="1:33" hidden="1">
      <c r="A1169" s="559"/>
      <c r="H1169" s="509" t="s">
        <v>3920</v>
      </c>
      <c r="I1169" s="490" t="s">
        <v>30</v>
      </c>
      <c r="J1169" s="463"/>
      <c r="K1169" s="490" t="s">
        <v>30</v>
      </c>
    </row>
    <row r="1170" spans="1:33" hidden="1">
      <c r="A1170" s="559"/>
      <c r="F1170" s="519">
        <v>0.21</v>
      </c>
      <c r="G1170" s="518" t="s">
        <v>2334</v>
      </c>
      <c r="H1170" s="509" t="s">
        <v>3921</v>
      </c>
      <c r="I1170" s="492" t="e">
        <f>(K32)</f>
        <v>#REF!</v>
      </c>
      <c r="J1170" s="500" t="s">
        <v>2334</v>
      </c>
      <c r="K1170" s="492" t="e">
        <f>(F1170*I1170)</f>
        <v>#REF!</v>
      </c>
    </row>
    <row r="1171" spans="1:33" hidden="1">
      <c r="A1171" s="559"/>
      <c r="H1171" s="509" t="s">
        <v>3922</v>
      </c>
      <c r="I1171" s="490" t="s">
        <v>30</v>
      </c>
      <c r="J1171" s="463"/>
      <c r="K1171" s="490" t="s">
        <v>30</v>
      </c>
      <c r="AG1171" s="509" t="s">
        <v>2514</v>
      </c>
    </row>
    <row r="1172" spans="1:33" hidden="1">
      <c r="A1172" s="559"/>
      <c r="F1172" s="519">
        <v>1.1000000000000001</v>
      </c>
      <c r="G1172" s="518" t="s">
        <v>2359</v>
      </c>
      <c r="H1172" s="509" t="s">
        <v>2353</v>
      </c>
      <c r="I1172" s="492">
        <f>(C10)</f>
        <v>150</v>
      </c>
      <c r="J1172" s="500" t="s">
        <v>2359</v>
      </c>
      <c r="K1172" s="492">
        <f>(F1172*I1172)</f>
        <v>165</v>
      </c>
      <c r="AG1172" s="509" t="s">
        <v>2514</v>
      </c>
    </row>
    <row r="1173" spans="1:33" hidden="1">
      <c r="A1173" s="559"/>
      <c r="F1173" s="519">
        <v>1.1000000000000001</v>
      </c>
      <c r="G1173" s="518" t="s">
        <v>2359</v>
      </c>
      <c r="H1173" s="509" t="s">
        <v>2343</v>
      </c>
      <c r="I1173" s="492">
        <f>(C11)</f>
        <v>135</v>
      </c>
      <c r="J1173" s="500" t="s">
        <v>2359</v>
      </c>
      <c r="K1173" s="492">
        <f>(F1173*I1173)</f>
        <v>148.5</v>
      </c>
      <c r="AG1173" s="509" t="s">
        <v>2514</v>
      </c>
    </row>
    <row r="1174" spans="1:33" hidden="1">
      <c r="A1174" s="559"/>
      <c r="F1174" s="519">
        <v>2.2000000000000002</v>
      </c>
      <c r="G1174" s="518" t="s">
        <v>2359</v>
      </c>
      <c r="H1174" s="509" t="s">
        <v>2344</v>
      </c>
      <c r="I1174" s="492">
        <f>(C12)</f>
        <v>95</v>
      </c>
      <c r="J1174" s="500" t="s">
        <v>2359</v>
      </c>
      <c r="K1174" s="492">
        <f>(F1174*I1174)</f>
        <v>209.00000000000003</v>
      </c>
      <c r="AG1174" s="509" t="s">
        <v>2514</v>
      </c>
    </row>
    <row r="1175" spans="1:33" hidden="1">
      <c r="A1175" s="559"/>
      <c r="F1175" s="519">
        <v>2.2000000000000002</v>
      </c>
      <c r="G1175" s="518" t="s">
        <v>2359</v>
      </c>
      <c r="H1175" s="509" t="s">
        <v>2345</v>
      </c>
      <c r="I1175" s="492">
        <f>(C13)</f>
        <v>85</v>
      </c>
      <c r="J1175" s="500" t="s">
        <v>2359</v>
      </c>
      <c r="K1175" s="492">
        <f>(F1175*I1175)</f>
        <v>187.00000000000003</v>
      </c>
      <c r="AG1175" s="509" t="s">
        <v>2514</v>
      </c>
    </row>
    <row r="1176" spans="1:33" hidden="1">
      <c r="A1176" s="559"/>
      <c r="F1176" s="528">
        <v>22</v>
      </c>
      <c r="G1176" s="518" t="s">
        <v>40</v>
      </c>
      <c r="H1176" s="509" t="s">
        <v>2517</v>
      </c>
      <c r="I1176" s="492">
        <f>(C67)</f>
        <v>3800</v>
      </c>
      <c r="J1176" s="500" t="s">
        <v>2516</v>
      </c>
      <c r="K1176" s="492">
        <f>(F1176*I1176)/1000</f>
        <v>83.6</v>
      </c>
      <c r="AG1176" s="509" t="s">
        <v>2514</v>
      </c>
    </row>
    <row r="1177" spans="1:33" hidden="1">
      <c r="A1177" s="559"/>
      <c r="F1177" s="519">
        <v>1.6</v>
      </c>
      <c r="G1177" s="518" t="s">
        <v>2359</v>
      </c>
      <c r="H1177" s="509" t="s">
        <v>2343</v>
      </c>
      <c r="I1177" s="492">
        <f>(C11)</f>
        <v>135</v>
      </c>
      <c r="J1177" s="500" t="s">
        <v>2359</v>
      </c>
      <c r="K1177" s="492">
        <f>(F1177*I1177)</f>
        <v>216</v>
      </c>
      <c r="AG1177" s="509" t="s">
        <v>2514</v>
      </c>
    </row>
    <row r="1178" spans="1:33" hidden="1">
      <c r="A1178" s="559"/>
      <c r="F1178" s="519">
        <v>0.5</v>
      </c>
      <c r="G1178" s="518" t="s">
        <v>2359</v>
      </c>
      <c r="H1178" s="509" t="s">
        <v>2344</v>
      </c>
      <c r="I1178" s="492">
        <f>(C12)</f>
        <v>95</v>
      </c>
      <c r="J1178" s="500" t="s">
        <v>2359</v>
      </c>
      <c r="K1178" s="492">
        <f>(F1178*I1178)</f>
        <v>47.5</v>
      </c>
      <c r="AG1178" s="509" t="s">
        <v>2514</v>
      </c>
    </row>
    <row r="1179" spans="1:33" hidden="1">
      <c r="A1179" s="559"/>
      <c r="F1179" s="519">
        <v>1.1000000000000001</v>
      </c>
      <c r="G1179" s="518" t="s">
        <v>2359</v>
      </c>
      <c r="H1179" s="509" t="s">
        <v>2345</v>
      </c>
      <c r="I1179" s="492">
        <f>(C13)</f>
        <v>85</v>
      </c>
      <c r="J1179" s="500" t="s">
        <v>2359</v>
      </c>
      <c r="K1179" s="492">
        <f>(F1179*I1179)</f>
        <v>93.500000000000014</v>
      </c>
      <c r="AG1179" s="509" t="s">
        <v>2514</v>
      </c>
    </row>
    <row r="1180" spans="1:33" hidden="1">
      <c r="A1180" s="559"/>
      <c r="F1180" s="509" t="s">
        <v>2485</v>
      </c>
      <c r="H1180" s="509" t="s">
        <v>3923</v>
      </c>
      <c r="I1180" s="490" t="s">
        <v>30</v>
      </c>
      <c r="J1180" s="463"/>
      <c r="K1180" s="490" t="s">
        <v>30</v>
      </c>
      <c r="AG1180" s="509" t="s">
        <v>2514</v>
      </c>
    </row>
    <row r="1181" spans="1:33" hidden="1">
      <c r="A1181" s="559"/>
      <c r="F1181" s="519">
        <v>1</v>
      </c>
      <c r="G1181" s="518" t="s">
        <v>2346</v>
      </c>
      <c r="H1181" s="509" t="s">
        <v>3924</v>
      </c>
      <c r="I1181" s="492">
        <f>(C57)</f>
        <v>35</v>
      </c>
      <c r="J1181" s="500" t="s">
        <v>2346</v>
      </c>
      <c r="K1181" s="492">
        <f>(F1181*I1181)</f>
        <v>35</v>
      </c>
      <c r="AG1181" s="509" t="s">
        <v>2514</v>
      </c>
    </row>
    <row r="1182" spans="1:33" hidden="1">
      <c r="A1182" s="559"/>
      <c r="F1182" s="519">
        <v>1</v>
      </c>
      <c r="G1182" s="518" t="s">
        <v>2346</v>
      </c>
      <c r="H1182" s="509" t="s">
        <v>3925</v>
      </c>
      <c r="I1182" s="492">
        <f>(C58)</f>
        <v>15</v>
      </c>
      <c r="J1182" s="500" t="s">
        <v>2346</v>
      </c>
      <c r="K1182" s="492">
        <f>(F1182*I1182)</f>
        <v>15</v>
      </c>
      <c r="AG1182" s="509" t="s">
        <v>2514</v>
      </c>
    </row>
    <row r="1183" spans="1:33" hidden="1">
      <c r="A1183" s="559"/>
      <c r="F1183" s="519">
        <v>1</v>
      </c>
      <c r="G1183" s="518" t="s">
        <v>2346</v>
      </c>
      <c r="H1183" s="509" t="s">
        <v>3926</v>
      </c>
      <c r="I1183" s="492">
        <f>(C28)</f>
        <v>58.33</v>
      </c>
      <c r="J1183" s="500" t="s">
        <v>2346</v>
      </c>
      <c r="K1183" s="492">
        <f>(F1183*I1183)</f>
        <v>58.33</v>
      </c>
      <c r="AG1183" s="509" t="s">
        <v>2514</v>
      </c>
    </row>
    <row r="1184" spans="1:33" hidden="1">
      <c r="A1184" s="559"/>
      <c r="F1184" s="519">
        <v>1.1000000000000001</v>
      </c>
      <c r="G1184" s="518" t="s">
        <v>2359</v>
      </c>
      <c r="H1184" s="509" t="s">
        <v>3927</v>
      </c>
      <c r="I1184" s="492">
        <f>(C29)</f>
        <v>120</v>
      </c>
      <c r="J1184" s="500" t="s">
        <v>2359</v>
      </c>
      <c r="K1184" s="492">
        <f>(F1184*I1184)</f>
        <v>132</v>
      </c>
      <c r="AG1184" s="509" t="s">
        <v>2514</v>
      </c>
    </row>
    <row r="1185" spans="1:33" hidden="1">
      <c r="A1185" s="559"/>
      <c r="F1185" s="519">
        <v>2.2000000000000002</v>
      </c>
      <c r="G1185" s="518" t="s">
        <v>2359</v>
      </c>
      <c r="H1185" s="509" t="s">
        <v>3928</v>
      </c>
      <c r="I1185" s="492">
        <f>(C13)</f>
        <v>85</v>
      </c>
      <c r="J1185" s="500" t="s">
        <v>2359</v>
      </c>
      <c r="K1185" s="492">
        <f>(F1185*I1185)</f>
        <v>187.00000000000003</v>
      </c>
      <c r="AG1185" s="509" t="s">
        <v>2514</v>
      </c>
    </row>
    <row r="1186" spans="1:33" hidden="1">
      <c r="A1186" s="559"/>
      <c r="G1186" s="518" t="s">
        <v>2346</v>
      </c>
      <c r="H1186" s="509" t="s">
        <v>2347</v>
      </c>
      <c r="I1186" s="2"/>
      <c r="J1186" s="500" t="s">
        <v>2346</v>
      </c>
      <c r="K1186" s="492">
        <v>0</v>
      </c>
      <c r="AG1186" s="509" t="s">
        <v>2514</v>
      </c>
    </row>
    <row r="1187" spans="1:33" hidden="1">
      <c r="A1187" s="559"/>
      <c r="I1187" s="2"/>
      <c r="J1187" s="463"/>
      <c r="K1187" s="491" t="s">
        <v>442</v>
      </c>
      <c r="AG1187" s="509" t="s">
        <v>2514</v>
      </c>
    </row>
    <row r="1188" spans="1:33" hidden="1">
      <c r="A1188" s="559"/>
      <c r="H1188" s="509" t="s">
        <v>2358</v>
      </c>
      <c r="I1188" s="2"/>
      <c r="J1188" s="463"/>
      <c r="K1188" s="492" t="e">
        <f>SUM(K1168:K1186)</f>
        <v>#REF!</v>
      </c>
      <c r="AG1188" s="509" t="s">
        <v>2514</v>
      </c>
    </row>
    <row r="1189" spans="1:33" hidden="1">
      <c r="A1189" s="559"/>
      <c r="I1189" s="2"/>
      <c r="J1189" s="463"/>
      <c r="K1189" s="491" t="s">
        <v>442</v>
      </c>
      <c r="AG1189" s="509" t="s">
        <v>2514</v>
      </c>
    </row>
    <row r="1190" spans="1:33" hidden="1">
      <c r="A1190" s="559"/>
      <c r="F1190" s="509" t="s">
        <v>30</v>
      </c>
      <c r="I1190" s="2"/>
      <c r="J1190" s="463"/>
      <c r="K1190" s="2"/>
    </row>
    <row r="1191" spans="1:33" hidden="1">
      <c r="A1191" s="559"/>
      <c r="H1191" s="509" t="s">
        <v>2355</v>
      </c>
      <c r="I1191" s="2"/>
      <c r="J1191" s="463"/>
      <c r="K1191" s="492" t="e">
        <f>(K1188/10)</f>
        <v>#REF!</v>
      </c>
      <c r="AG1191" s="509" t="s">
        <v>2514</v>
      </c>
    </row>
    <row r="1192" spans="1:33" hidden="1">
      <c r="A1192" s="559"/>
      <c r="F1192" s="509" t="s">
        <v>30</v>
      </c>
      <c r="I1192" s="2"/>
      <c r="J1192" s="463"/>
      <c r="K1192" s="2"/>
    </row>
    <row r="1193" spans="1:33" hidden="1">
      <c r="A1193" s="559"/>
      <c r="I1193" s="2"/>
      <c r="J1193" s="463"/>
      <c r="K1193" s="491" t="s">
        <v>29</v>
      </c>
      <c r="AG1193" s="509" t="s">
        <v>2514</v>
      </c>
    </row>
    <row r="1194" spans="1:33" hidden="1">
      <c r="A1194" s="559"/>
      <c r="F1194" s="529">
        <v>29.5</v>
      </c>
      <c r="G1194" s="518" t="s">
        <v>575</v>
      </c>
      <c r="H1194" s="509" t="s">
        <v>3929</v>
      </c>
      <c r="I1194" s="2"/>
      <c r="J1194" s="463"/>
      <c r="K1194" s="2"/>
      <c r="AG1194" s="509" t="s">
        <v>2514</v>
      </c>
    </row>
    <row r="1195" spans="1:33" hidden="1">
      <c r="A1195" s="559"/>
      <c r="H1195" s="509" t="s">
        <v>3930</v>
      </c>
      <c r="I1195" s="2"/>
      <c r="J1195" s="463"/>
      <c r="K1195" s="2"/>
      <c r="AG1195" s="509" t="s">
        <v>2514</v>
      </c>
    </row>
    <row r="1196" spans="1:33" hidden="1">
      <c r="A1196" s="559"/>
      <c r="H1196" s="509" t="s">
        <v>3931</v>
      </c>
      <c r="I1196" s="2"/>
      <c r="J1196" s="463"/>
      <c r="K1196" s="2"/>
      <c r="AG1196" s="509" t="s">
        <v>2514</v>
      </c>
    </row>
    <row r="1197" spans="1:33" hidden="1">
      <c r="A1197" s="559"/>
      <c r="H1197" s="515" t="s">
        <v>442</v>
      </c>
      <c r="I1197" s="491" t="s">
        <v>442</v>
      </c>
      <c r="J1197" s="463"/>
      <c r="K1197" s="2"/>
      <c r="AG1197" s="509" t="s">
        <v>2514</v>
      </c>
    </row>
    <row r="1198" spans="1:33" hidden="1">
      <c r="A1198" s="559"/>
      <c r="F1198" s="519">
        <v>10</v>
      </c>
      <c r="G1198" s="518" t="s">
        <v>2788</v>
      </c>
      <c r="H1198" s="509" t="s">
        <v>3932</v>
      </c>
      <c r="I1198" s="492">
        <f>(C579)</f>
        <v>301</v>
      </c>
      <c r="J1198" s="500" t="s">
        <v>2788</v>
      </c>
      <c r="K1198" s="492">
        <f>(F1198*I1198)</f>
        <v>3010</v>
      </c>
      <c r="AG1198" s="509" t="s">
        <v>2514</v>
      </c>
    </row>
    <row r="1199" spans="1:33" hidden="1">
      <c r="A1199" s="559"/>
      <c r="F1199" s="519">
        <v>0.21</v>
      </c>
      <c r="G1199" s="518" t="s">
        <v>2334</v>
      </c>
      <c r="H1199" s="509" t="s">
        <v>3921</v>
      </c>
      <c r="I1199" s="492" t="e">
        <f>(K32)</f>
        <v>#REF!</v>
      </c>
      <c r="J1199" s="500" t="s">
        <v>2334</v>
      </c>
      <c r="K1199" s="492" t="e">
        <f>(F1199*I1199)</f>
        <v>#REF!</v>
      </c>
      <c r="AG1199" s="509" t="s">
        <v>2514</v>
      </c>
    </row>
    <row r="1200" spans="1:33" hidden="1">
      <c r="A1200" s="559"/>
      <c r="H1200" s="509" t="s">
        <v>3922</v>
      </c>
      <c r="I1200" s="490" t="s">
        <v>30</v>
      </c>
      <c r="J1200" s="463"/>
      <c r="K1200" s="490" t="s">
        <v>30</v>
      </c>
      <c r="AG1200" s="509" t="s">
        <v>2514</v>
      </c>
    </row>
    <row r="1201" spans="1:33" hidden="1">
      <c r="A1201" s="559"/>
      <c r="F1201" s="519">
        <v>1.1000000000000001</v>
      </c>
      <c r="G1201" s="518" t="s">
        <v>2359</v>
      </c>
      <c r="H1201" s="509" t="s">
        <v>2353</v>
      </c>
      <c r="I1201" s="492">
        <f>(C10)</f>
        <v>150</v>
      </c>
      <c r="J1201" s="500" t="s">
        <v>2359</v>
      </c>
      <c r="K1201" s="492">
        <f>(F1201*I1201)</f>
        <v>165</v>
      </c>
      <c r="AG1201" s="509" t="s">
        <v>2514</v>
      </c>
    </row>
    <row r="1202" spans="1:33" hidden="1">
      <c r="A1202" s="559"/>
      <c r="F1202" s="519">
        <v>1.1000000000000001</v>
      </c>
      <c r="G1202" s="518" t="s">
        <v>2359</v>
      </c>
      <c r="H1202" s="509" t="s">
        <v>2343</v>
      </c>
      <c r="I1202" s="492">
        <f>(C11)</f>
        <v>135</v>
      </c>
      <c r="J1202" s="500" t="s">
        <v>2359</v>
      </c>
      <c r="K1202" s="492">
        <f>(F1202*I1202)</f>
        <v>148.5</v>
      </c>
      <c r="AG1202" s="509" t="s">
        <v>2514</v>
      </c>
    </row>
    <row r="1203" spans="1:33" hidden="1">
      <c r="A1203" s="559"/>
      <c r="F1203" s="519">
        <v>2.2000000000000002</v>
      </c>
      <c r="G1203" s="518" t="s">
        <v>2359</v>
      </c>
      <c r="H1203" s="509" t="s">
        <v>2344</v>
      </c>
      <c r="I1203" s="492">
        <f>(C12)</f>
        <v>95</v>
      </c>
      <c r="J1203" s="500" t="s">
        <v>2359</v>
      </c>
      <c r="K1203" s="492">
        <f>(F1203*I1203)</f>
        <v>209.00000000000003</v>
      </c>
      <c r="AG1203" s="509" t="s">
        <v>2514</v>
      </c>
    </row>
    <row r="1204" spans="1:33" hidden="1">
      <c r="A1204" s="559"/>
      <c r="F1204" s="519">
        <v>2.2000000000000002</v>
      </c>
      <c r="G1204" s="518" t="s">
        <v>2359</v>
      </c>
      <c r="H1204" s="509" t="s">
        <v>2345</v>
      </c>
      <c r="I1204" s="492">
        <f>(C13)</f>
        <v>85</v>
      </c>
      <c r="J1204" s="500" t="s">
        <v>2359</v>
      </c>
      <c r="K1204" s="492">
        <f>(F1204*I1204)</f>
        <v>187.00000000000003</v>
      </c>
    </row>
    <row r="1205" spans="1:33" hidden="1">
      <c r="A1205" s="559"/>
      <c r="F1205" s="528">
        <v>20</v>
      </c>
      <c r="G1205" s="518" t="s">
        <v>40</v>
      </c>
      <c r="H1205" s="509" t="s">
        <v>2517</v>
      </c>
      <c r="I1205" s="492">
        <f>(C67)</f>
        <v>3800</v>
      </c>
      <c r="J1205" s="500" t="s">
        <v>2516</v>
      </c>
      <c r="K1205" s="492">
        <f>(F1205*I1205)/1000</f>
        <v>76</v>
      </c>
    </row>
    <row r="1206" spans="1:33" hidden="1">
      <c r="A1206" s="559"/>
      <c r="F1206" s="528">
        <v>2</v>
      </c>
      <c r="G1206" s="518" t="s">
        <v>40</v>
      </c>
      <c r="H1206" s="509" t="s">
        <v>3933</v>
      </c>
      <c r="I1206" s="492">
        <f>C586</f>
        <v>19</v>
      </c>
      <c r="J1206" s="500" t="s">
        <v>40</v>
      </c>
      <c r="K1206" s="492">
        <f>(F1206*I1206)</f>
        <v>38</v>
      </c>
      <c r="AG1206" s="509" t="s">
        <v>30</v>
      </c>
    </row>
    <row r="1207" spans="1:33" hidden="1">
      <c r="A1207" s="559"/>
      <c r="F1207" s="519">
        <v>1.6</v>
      </c>
      <c r="G1207" s="518" t="s">
        <v>2359</v>
      </c>
      <c r="H1207" s="509" t="s">
        <v>2343</v>
      </c>
      <c r="I1207" s="492">
        <f>(C11)</f>
        <v>135</v>
      </c>
      <c r="J1207" s="500" t="s">
        <v>2359</v>
      </c>
      <c r="K1207" s="492">
        <f>(F1207*I1207)</f>
        <v>216</v>
      </c>
    </row>
    <row r="1208" spans="1:33" hidden="1">
      <c r="A1208" s="559"/>
      <c r="F1208" s="519">
        <v>0.5</v>
      </c>
      <c r="G1208" s="518" t="s">
        <v>2359</v>
      </c>
      <c r="H1208" s="509" t="s">
        <v>2344</v>
      </c>
      <c r="I1208" s="492">
        <f>(C12)</f>
        <v>95</v>
      </c>
      <c r="J1208" s="500" t="s">
        <v>2359</v>
      </c>
      <c r="K1208" s="492">
        <f>(F1208*I1208)</f>
        <v>47.5</v>
      </c>
    </row>
    <row r="1209" spans="1:33" hidden="1">
      <c r="A1209" s="559"/>
      <c r="F1209" s="519">
        <v>1.1000000000000001</v>
      </c>
      <c r="G1209" s="518" t="s">
        <v>2359</v>
      </c>
      <c r="H1209" s="509" t="s">
        <v>2345</v>
      </c>
      <c r="I1209" s="492">
        <f>(C13)</f>
        <v>85</v>
      </c>
      <c r="J1209" s="500" t="s">
        <v>2359</v>
      </c>
      <c r="K1209" s="492">
        <f>(F1209*I1209)</f>
        <v>93.500000000000014</v>
      </c>
    </row>
    <row r="1210" spans="1:33" hidden="1">
      <c r="A1210" s="559"/>
      <c r="G1210" s="518" t="s">
        <v>2346</v>
      </c>
      <c r="H1210" s="509" t="s">
        <v>2347</v>
      </c>
      <c r="I1210" s="2"/>
      <c r="J1210" s="500" t="s">
        <v>2346</v>
      </c>
      <c r="K1210" s="492">
        <v>0</v>
      </c>
    </row>
    <row r="1211" spans="1:33" hidden="1">
      <c r="A1211" s="559"/>
      <c r="I1211" s="2"/>
      <c r="J1211" s="463"/>
      <c r="K1211" s="491" t="s">
        <v>442</v>
      </c>
    </row>
    <row r="1212" spans="1:33" hidden="1">
      <c r="A1212" s="559"/>
      <c r="H1212" s="509" t="s">
        <v>2358</v>
      </c>
      <c r="I1212" s="2"/>
      <c r="J1212" s="463"/>
      <c r="K1212" s="492" t="e">
        <f>SUM(K1198:K1210)</f>
        <v>#REF!</v>
      </c>
    </row>
    <row r="1213" spans="1:33" hidden="1">
      <c r="A1213" s="559"/>
      <c r="I1213" s="2"/>
      <c r="J1213" s="463"/>
      <c r="K1213" s="491" t="s">
        <v>442</v>
      </c>
    </row>
    <row r="1214" spans="1:33" hidden="1">
      <c r="A1214" s="559"/>
      <c r="H1214" s="509" t="s">
        <v>2355</v>
      </c>
      <c r="I1214" s="2"/>
      <c r="J1214" s="463"/>
      <c r="K1214" s="492" t="e">
        <f>(K1212/10)</f>
        <v>#REF!</v>
      </c>
    </row>
    <row r="1215" spans="1:33" hidden="1">
      <c r="A1215" s="559"/>
      <c r="I1215" s="2"/>
      <c r="J1215" s="463"/>
      <c r="K1215" s="491" t="s">
        <v>29</v>
      </c>
    </row>
    <row r="1216" spans="1:33" hidden="1">
      <c r="A1216" s="559"/>
      <c r="F1216" s="529">
        <v>29.4</v>
      </c>
      <c r="G1216" s="518" t="s">
        <v>575</v>
      </c>
      <c r="H1216" s="509" t="s">
        <v>3934</v>
      </c>
      <c r="I1216" s="2"/>
      <c r="J1216" s="463"/>
      <c r="K1216" s="2"/>
    </row>
    <row r="1217" spans="1:11" hidden="1">
      <c r="A1217" s="559"/>
      <c r="H1217" s="509" t="s">
        <v>3935</v>
      </c>
      <c r="I1217" s="2"/>
      <c r="J1217" s="463"/>
      <c r="K1217" s="2"/>
    </row>
    <row r="1218" spans="1:11" hidden="1">
      <c r="A1218" s="559"/>
      <c r="H1218" s="515" t="s">
        <v>442</v>
      </c>
      <c r="I1218" s="2"/>
      <c r="J1218" s="463"/>
      <c r="K1218" s="2"/>
    </row>
    <row r="1219" spans="1:11" hidden="1">
      <c r="A1219" s="559"/>
      <c r="F1219" s="519">
        <v>1.86</v>
      </c>
      <c r="G1219" s="518" t="s">
        <v>2788</v>
      </c>
      <c r="H1219" s="509" t="s">
        <v>3936</v>
      </c>
      <c r="I1219" s="492">
        <f>C580</f>
        <v>325</v>
      </c>
      <c r="J1219" s="500" t="s">
        <v>2788</v>
      </c>
      <c r="K1219" s="492">
        <f>(F1219*I1219)</f>
        <v>604.5</v>
      </c>
    </row>
    <row r="1220" spans="1:11" hidden="1">
      <c r="A1220" s="559"/>
      <c r="F1220" s="519">
        <v>0.4</v>
      </c>
      <c r="G1220" s="518" t="s">
        <v>40</v>
      </c>
      <c r="H1220" s="509" t="s">
        <v>3937</v>
      </c>
      <c r="I1220" s="492">
        <f>C586</f>
        <v>19</v>
      </c>
      <c r="J1220" s="500" t="s">
        <v>40</v>
      </c>
      <c r="K1220" s="492">
        <f>(F1220*I1220)</f>
        <v>7.6000000000000005</v>
      </c>
    </row>
    <row r="1221" spans="1:11" hidden="1">
      <c r="A1221" s="559"/>
      <c r="F1221" s="519">
        <v>0.02</v>
      </c>
      <c r="G1221" s="518" t="s">
        <v>2334</v>
      </c>
      <c r="H1221" s="509" t="s">
        <v>3938</v>
      </c>
      <c r="I1221" s="492" t="e">
        <f>K23</f>
        <v>#REF!</v>
      </c>
      <c r="J1221" s="500" t="s">
        <v>2334</v>
      </c>
      <c r="K1221" s="492" t="e">
        <f>(F1221*I1221)</f>
        <v>#REF!</v>
      </c>
    </row>
    <row r="1222" spans="1:11" hidden="1">
      <c r="A1222" s="559"/>
      <c r="F1222" s="519">
        <v>1</v>
      </c>
      <c r="G1222" s="518" t="s">
        <v>2359</v>
      </c>
      <c r="H1222" s="509" t="s">
        <v>2353</v>
      </c>
      <c r="I1222" s="492">
        <f>C10</f>
        <v>150</v>
      </c>
      <c r="J1222" s="500" t="s">
        <v>2359</v>
      </c>
      <c r="K1222" s="492">
        <f>(F1222*I1222)</f>
        <v>150</v>
      </c>
    </row>
    <row r="1223" spans="1:11" hidden="1">
      <c r="A1223" s="559"/>
      <c r="F1223" s="519">
        <v>1</v>
      </c>
      <c r="G1223" s="518" t="s">
        <v>2359</v>
      </c>
      <c r="H1223" s="509" t="s">
        <v>3939</v>
      </c>
      <c r="I1223" s="492">
        <f>C12</f>
        <v>95</v>
      </c>
      <c r="J1223" s="500" t="s">
        <v>2359</v>
      </c>
      <c r="K1223" s="492">
        <f>(F1223*I1223)</f>
        <v>95</v>
      </c>
    </row>
    <row r="1224" spans="1:11" hidden="1">
      <c r="A1224" s="559"/>
      <c r="G1224" s="518" t="s">
        <v>2346</v>
      </c>
      <c r="H1224" s="509" t="s">
        <v>2347</v>
      </c>
      <c r="I1224" s="2"/>
      <c r="J1224" s="500" t="s">
        <v>2346</v>
      </c>
      <c r="K1224" s="492">
        <v>0</v>
      </c>
    </row>
    <row r="1225" spans="1:11" hidden="1">
      <c r="A1225" s="559"/>
      <c r="I1225" s="2"/>
      <c r="J1225" s="463"/>
      <c r="K1225" s="491" t="s">
        <v>442</v>
      </c>
    </row>
    <row r="1226" spans="1:11" hidden="1">
      <c r="A1226" s="559"/>
      <c r="H1226" s="509" t="s">
        <v>3940</v>
      </c>
      <c r="I1226" s="2"/>
      <c r="J1226" s="463"/>
      <c r="K1226" s="492" t="e">
        <f>SUM(K1219:K1224)</f>
        <v>#REF!</v>
      </c>
    </row>
    <row r="1227" spans="1:11" hidden="1">
      <c r="A1227" s="559"/>
      <c r="I1227" s="2"/>
      <c r="J1227" s="463"/>
      <c r="K1227" s="491" t="s">
        <v>442</v>
      </c>
    </row>
    <row r="1228" spans="1:11" hidden="1">
      <c r="A1228" s="559"/>
      <c r="H1228" s="509" t="s">
        <v>2355</v>
      </c>
      <c r="I1228" s="2"/>
      <c r="J1228" s="463"/>
      <c r="K1228" s="492" t="e">
        <f>(K1226/1.86)</f>
        <v>#REF!</v>
      </c>
    </row>
    <row r="1229" spans="1:11" hidden="1">
      <c r="A1229" s="559"/>
      <c r="I1229" s="2"/>
      <c r="J1229" s="463"/>
      <c r="K1229" s="491" t="s">
        <v>29</v>
      </c>
    </row>
    <row r="1230" spans="1:11" hidden="1">
      <c r="A1230" s="559"/>
      <c r="F1230" s="510" t="s">
        <v>2663</v>
      </c>
      <c r="G1230" s="518" t="s">
        <v>575</v>
      </c>
      <c r="H1230" s="509" t="s">
        <v>3912</v>
      </c>
      <c r="I1230" s="2"/>
      <c r="J1230" s="463"/>
      <c r="K1230" s="2"/>
    </row>
    <row r="1231" spans="1:11" hidden="1">
      <c r="A1231" s="559"/>
      <c r="H1231" s="509" t="s">
        <v>3913</v>
      </c>
      <c r="I1231" s="2"/>
      <c r="J1231" s="463"/>
      <c r="K1231" s="2"/>
    </row>
    <row r="1232" spans="1:11" hidden="1">
      <c r="A1232" s="559"/>
      <c r="H1232" s="509" t="s">
        <v>3941</v>
      </c>
      <c r="I1232" s="2"/>
      <c r="J1232" s="463"/>
      <c r="K1232" s="2"/>
    </row>
    <row r="1233" spans="1:11" hidden="1">
      <c r="A1233" s="559"/>
      <c r="H1233" s="509" t="s">
        <v>3942</v>
      </c>
      <c r="I1233" s="2"/>
      <c r="J1233" s="463"/>
      <c r="K1233" s="2"/>
    </row>
    <row r="1234" spans="1:11" hidden="1">
      <c r="A1234" s="559"/>
      <c r="H1234" s="515" t="s">
        <v>442</v>
      </c>
      <c r="I1234" s="2"/>
      <c r="J1234" s="463"/>
      <c r="K1234" s="2"/>
    </row>
    <row r="1235" spans="1:11" hidden="1">
      <c r="A1235" s="559"/>
      <c r="F1235" s="519">
        <v>0.24</v>
      </c>
      <c r="G1235" s="518" t="s">
        <v>2334</v>
      </c>
      <c r="H1235" s="509" t="s">
        <v>3943</v>
      </c>
      <c r="I1235" s="492" t="e">
        <f>(C70)</f>
        <v>#REF!</v>
      </c>
      <c r="J1235" s="500" t="s">
        <v>2334</v>
      </c>
      <c r="K1235" s="492" t="e">
        <f>(F1235*I1235)</f>
        <v>#REF!</v>
      </c>
    </row>
    <row r="1236" spans="1:11" hidden="1">
      <c r="A1236" s="559"/>
      <c r="F1236" s="528">
        <v>0.11700000000000001</v>
      </c>
      <c r="G1236" s="518" t="s">
        <v>2516</v>
      </c>
      <c r="H1236" s="509" t="s">
        <v>2517</v>
      </c>
      <c r="I1236" s="492">
        <f>(C67)</f>
        <v>3800</v>
      </c>
      <c r="J1236" s="500" t="s">
        <v>2516</v>
      </c>
      <c r="K1236" s="492">
        <f>(F1236*I1236)</f>
        <v>444.6</v>
      </c>
    </row>
    <row r="1237" spans="1:11" hidden="1">
      <c r="A1237" s="559"/>
      <c r="F1237" s="519">
        <v>0.5</v>
      </c>
      <c r="G1237" s="518" t="s">
        <v>2359</v>
      </c>
      <c r="H1237" s="509" t="s">
        <v>2353</v>
      </c>
      <c r="I1237" s="492">
        <f>(C10)</f>
        <v>150</v>
      </c>
      <c r="J1237" s="500" t="s">
        <v>2359</v>
      </c>
      <c r="K1237" s="492">
        <f>(F1237*I1237)</f>
        <v>75</v>
      </c>
    </row>
    <row r="1238" spans="1:11" hidden="1">
      <c r="A1238" s="559"/>
      <c r="F1238" s="519">
        <v>1.1000000000000001</v>
      </c>
      <c r="G1238" s="518" t="s">
        <v>2359</v>
      </c>
      <c r="H1238" s="509" t="s">
        <v>3914</v>
      </c>
      <c r="I1238" s="492">
        <f>(C12)</f>
        <v>95</v>
      </c>
      <c r="J1238" s="500" t="s">
        <v>2359</v>
      </c>
      <c r="K1238" s="492">
        <f>(F1238*I1238)</f>
        <v>104.50000000000001</v>
      </c>
    </row>
    <row r="1239" spans="1:11" hidden="1">
      <c r="A1239" s="559"/>
      <c r="F1239" s="519">
        <v>4.3</v>
      </c>
      <c r="G1239" s="518" t="s">
        <v>2359</v>
      </c>
      <c r="H1239" s="509" t="s">
        <v>2345</v>
      </c>
      <c r="I1239" s="492">
        <f>(C13)</f>
        <v>85</v>
      </c>
      <c r="J1239" s="500" t="s">
        <v>2359</v>
      </c>
      <c r="K1239" s="492">
        <f>(F1239*I1239)</f>
        <v>365.5</v>
      </c>
    </row>
    <row r="1240" spans="1:11" hidden="1">
      <c r="A1240" s="559"/>
      <c r="G1240" s="518" t="s">
        <v>2346</v>
      </c>
      <c r="H1240" s="509" t="s">
        <v>2347</v>
      </c>
      <c r="I1240" s="2"/>
      <c r="J1240" s="500" t="s">
        <v>2346</v>
      </c>
      <c r="K1240" s="492">
        <v>0</v>
      </c>
    </row>
    <row r="1241" spans="1:11" hidden="1">
      <c r="A1241" s="559"/>
      <c r="I1241" s="2"/>
      <c r="J1241" s="463"/>
      <c r="K1241" s="491" t="s">
        <v>442</v>
      </c>
    </row>
    <row r="1242" spans="1:11" hidden="1">
      <c r="A1242" s="559"/>
      <c r="H1242" s="509" t="s">
        <v>2358</v>
      </c>
      <c r="I1242" s="2"/>
      <c r="J1242" s="463"/>
      <c r="K1242" s="492" t="e">
        <f>SUM(K1235:K1240)</f>
        <v>#REF!</v>
      </c>
    </row>
    <row r="1243" spans="1:11" hidden="1">
      <c r="A1243" s="559"/>
      <c r="I1243" s="2"/>
      <c r="J1243" s="463"/>
      <c r="K1243" s="491" t="s">
        <v>442</v>
      </c>
    </row>
    <row r="1244" spans="1:11" hidden="1">
      <c r="A1244" s="559"/>
      <c r="H1244" s="509" t="s">
        <v>2355</v>
      </c>
      <c r="I1244" s="2"/>
      <c r="J1244" s="463"/>
      <c r="K1244" s="492" t="e">
        <f>(K1242/10)</f>
        <v>#REF!</v>
      </c>
    </row>
    <row r="1245" spans="1:11" hidden="1">
      <c r="A1245" s="559"/>
      <c r="F1245" s="509" t="s">
        <v>30</v>
      </c>
      <c r="I1245" s="2"/>
      <c r="J1245" s="463"/>
      <c r="K1245" s="2"/>
    </row>
    <row r="1246" spans="1:11" hidden="1">
      <c r="A1246" s="559"/>
      <c r="I1246" s="2"/>
      <c r="J1246" s="463"/>
      <c r="K1246" s="491" t="s">
        <v>29</v>
      </c>
    </row>
    <row r="1247" spans="1:11" hidden="1">
      <c r="A1247" s="559"/>
      <c r="F1247" s="510" t="s">
        <v>3944</v>
      </c>
      <c r="G1247" s="518" t="s">
        <v>575</v>
      </c>
      <c r="H1247" s="531" t="s">
        <v>3945</v>
      </c>
      <c r="I1247" s="2"/>
      <c r="J1247" s="463"/>
      <c r="K1247" s="2"/>
    </row>
    <row r="1248" spans="1:11" hidden="1">
      <c r="A1248" s="559"/>
      <c r="H1248" s="509" t="s">
        <v>3946</v>
      </c>
      <c r="I1248" s="2"/>
      <c r="J1248" s="463"/>
      <c r="K1248" s="2"/>
    </row>
    <row r="1249" spans="1:11" hidden="1">
      <c r="A1249" s="559"/>
      <c r="H1249" s="509" t="s">
        <v>3947</v>
      </c>
      <c r="I1249" s="2"/>
      <c r="J1249" s="463"/>
      <c r="K1249" s="2"/>
    </row>
    <row r="1250" spans="1:11" hidden="1">
      <c r="A1250" s="559"/>
      <c r="H1250" s="509" t="s">
        <v>3948</v>
      </c>
      <c r="I1250" s="2"/>
      <c r="J1250" s="463"/>
      <c r="K1250" s="2"/>
    </row>
    <row r="1251" spans="1:11" hidden="1">
      <c r="A1251" s="559"/>
      <c r="H1251" s="509" t="s">
        <v>3949</v>
      </c>
      <c r="I1251" s="2"/>
      <c r="J1251" s="463"/>
      <c r="K1251" s="2"/>
    </row>
    <row r="1252" spans="1:11" hidden="1">
      <c r="A1252" s="559"/>
      <c r="H1252" s="515" t="s">
        <v>442</v>
      </c>
      <c r="I1252" s="2"/>
      <c r="J1252" s="463"/>
      <c r="K1252" s="2"/>
    </row>
    <row r="1253" spans="1:11" hidden="1">
      <c r="A1253" s="559"/>
      <c r="F1253" s="519">
        <v>12.8</v>
      </c>
      <c r="G1253" s="518" t="s">
        <v>2334</v>
      </c>
      <c r="H1253" s="509" t="s">
        <v>3950</v>
      </c>
      <c r="I1253" s="492" t="e">
        <f>(C82)</f>
        <v>#REF!</v>
      </c>
      <c r="J1253" s="500" t="s">
        <v>2334</v>
      </c>
      <c r="K1253" s="492" t="e">
        <f>(F1253*I1253)</f>
        <v>#REF!</v>
      </c>
    </row>
    <row r="1254" spans="1:11" hidden="1">
      <c r="A1254" s="559"/>
      <c r="F1254" s="519">
        <v>5</v>
      </c>
      <c r="G1254" s="518" t="s">
        <v>2334</v>
      </c>
      <c r="H1254" s="509" t="s">
        <v>3951</v>
      </c>
      <c r="I1254" s="492" t="e">
        <f>(C85)</f>
        <v>#REF!</v>
      </c>
      <c r="J1254" s="500" t="s">
        <v>2334</v>
      </c>
      <c r="K1254" s="492" t="e">
        <f>(F1254*I1254)</f>
        <v>#REF!</v>
      </c>
    </row>
    <row r="1255" spans="1:11" hidden="1">
      <c r="A1255" s="559"/>
      <c r="F1255" s="519">
        <v>1.8</v>
      </c>
      <c r="G1255" s="518" t="s">
        <v>2359</v>
      </c>
      <c r="H1255" s="509" t="s">
        <v>2353</v>
      </c>
      <c r="I1255" s="492">
        <f>(C10)</f>
        <v>150</v>
      </c>
      <c r="J1255" s="500" t="s">
        <v>2359</v>
      </c>
      <c r="K1255" s="492">
        <f>(F1255*I1255)</f>
        <v>270</v>
      </c>
    </row>
    <row r="1256" spans="1:11" hidden="1">
      <c r="A1256" s="559"/>
      <c r="F1256" s="519">
        <v>17.7</v>
      </c>
      <c r="G1256" s="518" t="s">
        <v>2359</v>
      </c>
      <c r="H1256" s="509" t="s">
        <v>3914</v>
      </c>
      <c r="I1256" s="492">
        <f>(C12)</f>
        <v>95</v>
      </c>
      <c r="J1256" s="500" t="s">
        <v>2359</v>
      </c>
      <c r="K1256" s="492">
        <f>(F1256*I1256)</f>
        <v>1681.5</v>
      </c>
    </row>
    <row r="1257" spans="1:11" hidden="1">
      <c r="A1257" s="559"/>
      <c r="F1257" s="519">
        <v>14.1</v>
      </c>
      <c r="G1257" s="518" t="s">
        <v>2359</v>
      </c>
      <c r="H1257" s="509" t="s">
        <v>2345</v>
      </c>
      <c r="I1257" s="492">
        <f>(C13)</f>
        <v>85</v>
      </c>
      <c r="J1257" s="500" t="s">
        <v>2359</v>
      </c>
      <c r="K1257" s="492">
        <f>(F1257*I1257)</f>
        <v>1198.5</v>
      </c>
    </row>
    <row r="1258" spans="1:11" hidden="1">
      <c r="A1258" s="559"/>
      <c r="G1258" s="518" t="s">
        <v>2346</v>
      </c>
      <c r="H1258" s="509" t="s">
        <v>2347</v>
      </c>
      <c r="I1258" s="2"/>
      <c r="J1258" s="500" t="s">
        <v>2346</v>
      </c>
      <c r="K1258" s="492">
        <v>0</v>
      </c>
    </row>
    <row r="1259" spans="1:11" hidden="1">
      <c r="A1259" s="559"/>
      <c r="I1259" s="2"/>
      <c r="J1259" s="463"/>
      <c r="K1259" s="491" t="s">
        <v>442</v>
      </c>
    </row>
    <row r="1260" spans="1:11" hidden="1">
      <c r="A1260" s="559"/>
      <c r="H1260" s="509" t="s">
        <v>2348</v>
      </c>
      <c r="I1260" s="2"/>
      <c r="J1260" s="463"/>
      <c r="K1260" s="492" t="e">
        <f>SUM(K1253:K1258)</f>
        <v>#REF!</v>
      </c>
    </row>
    <row r="1261" spans="1:11" hidden="1">
      <c r="A1261" s="559"/>
      <c r="I1261" s="2"/>
      <c r="J1261" s="463"/>
      <c r="K1261" s="491" t="s">
        <v>442</v>
      </c>
    </row>
    <row r="1262" spans="1:11" hidden="1">
      <c r="A1262" s="559"/>
      <c r="H1262" s="509" t="s">
        <v>2349</v>
      </c>
      <c r="I1262" s="2"/>
      <c r="J1262" s="463"/>
      <c r="K1262" s="492" t="e">
        <f>(K1260/10)</f>
        <v>#REF!</v>
      </c>
    </row>
    <row r="1263" spans="1:11" hidden="1">
      <c r="A1263" s="559"/>
      <c r="I1263" s="2"/>
      <c r="J1263" s="463"/>
      <c r="K1263" s="491" t="s">
        <v>29</v>
      </c>
    </row>
    <row r="1264" spans="1:11" hidden="1">
      <c r="A1264" s="559"/>
      <c r="I1264" s="2"/>
      <c r="J1264" s="463"/>
      <c r="K1264" s="2"/>
    </row>
    <row r="1265" spans="1:11" hidden="1">
      <c r="A1265" s="559"/>
      <c r="G1265" s="518" t="s">
        <v>2843</v>
      </c>
      <c r="H1265" s="509" t="s">
        <v>3952</v>
      </c>
      <c r="I1265" s="2"/>
      <c r="J1265" s="463"/>
      <c r="K1265" s="2"/>
    </row>
    <row r="1266" spans="1:11" hidden="1">
      <c r="A1266" s="559"/>
      <c r="H1266" s="509" t="s">
        <v>3953</v>
      </c>
      <c r="I1266" s="2"/>
      <c r="J1266" s="463"/>
      <c r="K1266" s="2"/>
    </row>
    <row r="1267" spans="1:11" hidden="1">
      <c r="A1267" s="559"/>
      <c r="H1267" s="515" t="s">
        <v>442</v>
      </c>
      <c r="I1267" s="2"/>
      <c r="J1267" s="463"/>
      <c r="K1267" s="2"/>
    </row>
    <row r="1268" spans="1:11" hidden="1">
      <c r="A1268" s="559"/>
      <c r="F1268" s="519">
        <v>0.04</v>
      </c>
      <c r="G1268" s="518" t="s">
        <v>2334</v>
      </c>
      <c r="H1268" s="509" t="s">
        <v>3954</v>
      </c>
      <c r="I1268" s="492" t="e">
        <f>(K32)</f>
        <v>#REF!</v>
      </c>
      <c r="J1268" s="500" t="s">
        <v>2334</v>
      </c>
      <c r="K1268" s="492" t="e">
        <f>(F1268*I1268)</f>
        <v>#REF!</v>
      </c>
    </row>
    <row r="1269" spans="1:11" hidden="1">
      <c r="A1269" s="559"/>
      <c r="F1269" s="519">
        <v>2.2000000000000002</v>
      </c>
      <c r="G1269" s="518" t="s">
        <v>2359</v>
      </c>
      <c r="H1269" s="509" t="s">
        <v>2343</v>
      </c>
      <c r="I1269" s="492">
        <f>(C11)</f>
        <v>135</v>
      </c>
      <c r="J1269" s="500" t="s">
        <v>2359</v>
      </c>
      <c r="K1269" s="492">
        <f>(F1269*I1269)</f>
        <v>297</v>
      </c>
    </row>
    <row r="1270" spans="1:11" hidden="1">
      <c r="A1270" s="559"/>
      <c r="F1270" s="519">
        <v>0.5</v>
      </c>
      <c r="G1270" s="518" t="s">
        <v>2359</v>
      </c>
      <c r="H1270" s="509" t="s">
        <v>2344</v>
      </c>
      <c r="I1270" s="492">
        <f>(C12)</f>
        <v>95</v>
      </c>
      <c r="J1270" s="500" t="s">
        <v>2359</v>
      </c>
      <c r="K1270" s="492">
        <f>(F1270*I1270)</f>
        <v>47.5</v>
      </c>
    </row>
    <row r="1271" spans="1:11" hidden="1">
      <c r="A1271" s="559"/>
      <c r="F1271" s="519">
        <v>1.1000000000000001</v>
      </c>
      <c r="G1271" s="518" t="s">
        <v>2359</v>
      </c>
      <c r="H1271" s="509" t="s">
        <v>2345</v>
      </c>
      <c r="I1271" s="492">
        <f>(C13)</f>
        <v>85</v>
      </c>
      <c r="J1271" s="500" t="s">
        <v>2359</v>
      </c>
      <c r="K1271" s="492">
        <f>(F1271*I1271)</f>
        <v>93.500000000000014</v>
      </c>
    </row>
    <row r="1272" spans="1:11" hidden="1">
      <c r="A1272" s="559"/>
      <c r="G1272" s="518" t="s">
        <v>2346</v>
      </c>
      <c r="H1272" s="509" t="s">
        <v>2347</v>
      </c>
      <c r="I1272" s="2"/>
      <c r="J1272" s="500" t="s">
        <v>2346</v>
      </c>
      <c r="K1272" s="492">
        <v>0</v>
      </c>
    </row>
    <row r="1273" spans="1:11" hidden="1">
      <c r="A1273" s="559"/>
      <c r="I1273" s="2"/>
      <c r="J1273" s="463"/>
      <c r="K1273" s="491" t="s">
        <v>442</v>
      </c>
    </row>
    <row r="1274" spans="1:11" hidden="1">
      <c r="A1274" s="559"/>
      <c r="H1274" s="509" t="s">
        <v>2358</v>
      </c>
      <c r="I1274" s="2"/>
      <c r="J1274" s="463"/>
      <c r="K1274" s="492" t="e">
        <f>SUM(K1268:K1272)</f>
        <v>#REF!</v>
      </c>
    </row>
    <row r="1275" spans="1:11" hidden="1">
      <c r="A1275" s="559"/>
      <c r="I1275" s="2"/>
      <c r="J1275" s="463"/>
      <c r="K1275" s="491" t="s">
        <v>442</v>
      </c>
    </row>
    <row r="1276" spans="1:11" hidden="1">
      <c r="A1276" s="559"/>
      <c r="H1276" s="509" t="s">
        <v>2355</v>
      </c>
      <c r="I1276" s="2"/>
      <c r="J1276" s="463"/>
      <c r="K1276" s="492" t="e">
        <f>(K1274/10)</f>
        <v>#REF!</v>
      </c>
    </row>
    <row r="1277" spans="1:11" hidden="1">
      <c r="A1277" s="559"/>
      <c r="I1277" s="2"/>
      <c r="J1277" s="463"/>
      <c r="K1277" s="491" t="s">
        <v>29</v>
      </c>
    </row>
    <row r="1278" spans="1:11" hidden="1">
      <c r="A1278" s="559"/>
      <c r="I1278" s="2"/>
      <c r="J1278" s="463"/>
      <c r="K1278" s="2"/>
    </row>
    <row r="1279" spans="1:11" hidden="1">
      <c r="A1279" s="559"/>
      <c r="F1279" s="529">
        <v>32.1</v>
      </c>
      <c r="G1279" s="518" t="s">
        <v>575</v>
      </c>
      <c r="H1279" s="509" t="s">
        <v>3955</v>
      </c>
      <c r="I1279" s="2"/>
      <c r="J1279" s="463"/>
      <c r="K1279" s="2"/>
    </row>
    <row r="1280" spans="1:11" hidden="1">
      <c r="A1280" s="559"/>
      <c r="H1280" s="509" t="s">
        <v>3956</v>
      </c>
      <c r="I1280" s="2"/>
      <c r="J1280" s="463"/>
      <c r="K1280" s="2"/>
    </row>
    <row r="1281" spans="1:11" hidden="1">
      <c r="A1281" s="559"/>
      <c r="H1281" s="509" t="s">
        <v>3957</v>
      </c>
      <c r="I1281" s="2"/>
      <c r="J1281" s="463"/>
      <c r="K1281" s="2"/>
    </row>
    <row r="1282" spans="1:11" hidden="1">
      <c r="A1282" s="559"/>
      <c r="H1282" s="509" t="s">
        <v>3958</v>
      </c>
      <c r="I1282" s="2"/>
      <c r="J1282" s="463"/>
      <c r="K1282" s="2"/>
    </row>
    <row r="1283" spans="1:11" hidden="1">
      <c r="A1283" s="559"/>
      <c r="H1283" s="509" t="s">
        <v>3959</v>
      </c>
      <c r="I1283" s="2"/>
      <c r="J1283" s="463"/>
      <c r="K1283" s="2"/>
    </row>
    <row r="1284" spans="1:11" hidden="1">
      <c r="A1284" s="559"/>
      <c r="H1284" s="515" t="s">
        <v>442</v>
      </c>
      <c r="I1284" s="2"/>
      <c r="J1284" s="463"/>
      <c r="K1284" s="2"/>
    </row>
    <row r="1285" spans="1:11" hidden="1">
      <c r="A1285" s="559"/>
      <c r="F1285" s="519">
        <v>190</v>
      </c>
      <c r="G1285" s="518" t="s">
        <v>3918</v>
      </c>
      <c r="H1285" s="509" t="s">
        <v>2726</v>
      </c>
      <c r="I1285" s="492">
        <f>(C83)</f>
        <v>4500</v>
      </c>
      <c r="J1285" s="500" t="s">
        <v>2408</v>
      </c>
      <c r="K1285" s="492">
        <f>(F1285*I1285)/1000</f>
        <v>855</v>
      </c>
    </row>
    <row r="1286" spans="1:11" hidden="1">
      <c r="A1286" s="559"/>
      <c r="F1286" s="519">
        <v>0.12</v>
      </c>
      <c r="G1286" s="518" t="s">
        <v>2334</v>
      </c>
      <c r="H1286" s="509" t="s">
        <v>3921</v>
      </c>
      <c r="I1286" s="492" t="e">
        <f>(K32)</f>
        <v>#REF!</v>
      </c>
      <c r="J1286" s="500" t="s">
        <v>2334</v>
      </c>
      <c r="K1286" s="492" t="e">
        <f t="shared" ref="K1286:K1292" si="54">(F1286*I1286)</f>
        <v>#REF!</v>
      </c>
    </row>
    <row r="1287" spans="1:11" hidden="1">
      <c r="A1287" s="559"/>
      <c r="F1287" s="519">
        <v>10</v>
      </c>
      <c r="G1287" s="518" t="s">
        <v>2788</v>
      </c>
      <c r="H1287" s="509" t="s">
        <v>3960</v>
      </c>
      <c r="I1287" s="492" t="e">
        <f>(K1276)</f>
        <v>#REF!</v>
      </c>
      <c r="J1287" s="500" t="s">
        <v>2788</v>
      </c>
      <c r="K1287" s="492" t="e">
        <f t="shared" si="54"/>
        <v>#REF!</v>
      </c>
    </row>
    <row r="1288" spans="1:11" hidden="1">
      <c r="A1288" s="559"/>
      <c r="F1288" s="519">
        <v>1.54</v>
      </c>
      <c r="G1288" s="518" t="s">
        <v>40</v>
      </c>
      <c r="H1288" s="509" t="s">
        <v>3961</v>
      </c>
      <c r="I1288" s="492">
        <f>C631</f>
        <v>30</v>
      </c>
      <c r="J1288" s="500" t="s">
        <v>40</v>
      </c>
      <c r="K1288" s="492">
        <f t="shared" si="54"/>
        <v>46.2</v>
      </c>
    </row>
    <row r="1289" spans="1:11" hidden="1">
      <c r="A1289" s="559"/>
      <c r="F1289" s="519">
        <v>1.1000000000000001</v>
      </c>
      <c r="G1289" s="518" t="s">
        <v>2359</v>
      </c>
      <c r="H1289" s="509" t="s">
        <v>2353</v>
      </c>
      <c r="I1289" s="492">
        <f>(C10)</f>
        <v>150</v>
      </c>
      <c r="J1289" s="500" t="s">
        <v>2359</v>
      </c>
      <c r="K1289" s="492">
        <f t="shared" si="54"/>
        <v>165</v>
      </c>
    </row>
    <row r="1290" spans="1:11" hidden="1">
      <c r="A1290" s="559"/>
      <c r="F1290" s="519">
        <v>2.1</v>
      </c>
      <c r="G1290" s="518" t="s">
        <v>2359</v>
      </c>
      <c r="H1290" s="509" t="s">
        <v>2343</v>
      </c>
      <c r="I1290" s="492">
        <f>(C11)</f>
        <v>135</v>
      </c>
      <c r="J1290" s="500" t="s">
        <v>2359</v>
      </c>
      <c r="K1290" s="492">
        <f t="shared" si="54"/>
        <v>283.5</v>
      </c>
    </row>
    <row r="1291" spans="1:11" hidden="1">
      <c r="A1291" s="559"/>
      <c r="F1291" s="519">
        <v>2.2000000000000002</v>
      </c>
      <c r="G1291" s="518" t="s">
        <v>2359</v>
      </c>
      <c r="H1291" s="509" t="s">
        <v>2344</v>
      </c>
      <c r="I1291" s="492">
        <f>(C12)</f>
        <v>95</v>
      </c>
      <c r="J1291" s="500" t="s">
        <v>2359</v>
      </c>
      <c r="K1291" s="492">
        <f t="shared" si="54"/>
        <v>209.00000000000003</v>
      </c>
    </row>
    <row r="1292" spans="1:11" hidden="1">
      <c r="A1292" s="559"/>
      <c r="F1292" s="519">
        <v>1.1000000000000001</v>
      </c>
      <c r="G1292" s="518" t="s">
        <v>2359</v>
      </c>
      <c r="H1292" s="509" t="s">
        <v>2345</v>
      </c>
      <c r="I1292" s="492">
        <f>(C13)</f>
        <v>85</v>
      </c>
      <c r="J1292" s="500" t="s">
        <v>2359</v>
      </c>
      <c r="K1292" s="492">
        <f t="shared" si="54"/>
        <v>93.500000000000014</v>
      </c>
    </row>
    <row r="1293" spans="1:11" hidden="1">
      <c r="A1293" s="559"/>
      <c r="G1293" s="518" t="s">
        <v>2346</v>
      </c>
      <c r="H1293" s="509" t="s">
        <v>2347</v>
      </c>
      <c r="I1293" s="2"/>
      <c r="J1293" s="500" t="s">
        <v>2346</v>
      </c>
      <c r="K1293" s="492">
        <v>0</v>
      </c>
    </row>
    <row r="1294" spans="1:11" hidden="1">
      <c r="A1294" s="559"/>
      <c r="I1294" s="2"/>
      <c r="J1294" s="463"/>
      <c r="K1294" s="491" t="s">
        <v>442</v>
      </c>
    </row>
    <row r="1295" spans="1:11" hidden="1">
      <c r="A1295" s="559"/>
      <c r="H1295" s="509" t="s">
        <v>2358</v>
      </c>
      <c r="I1295" s="2"/>
      <c r="J1295" s="463"/>
      <c r="K1295" s="492" t="e">
        <f>SUM(K1285:K1293)</f>
        <v>#REF!</v>
      </c>
    </row>
    <row r="1296" spans="1:11" hidden="1">
      <c r="A1296" s="559"/>
      <c r="I1296" s="2"/>
      <c r="J1296" s="463"/>
      <c r="K1296" s="491" t="s">
        <v>442</v>
      </c>
    </row>
    <row r="1297" spans="1:11" hidden="1">
      <c r="A1297" s="559"/>
      <c r="H1297" s="509" t="s">
        <v>2355</v>
      </c>
      <c r="I1297" s="2"/>
      <c r="J1297" s="463"/>
      <c r="K1297" s="492" t="e">
        <f>(K1295/10)</f>
        <v>#REF!</v>
      </c>
    </row>
    <row r="1298" spans="1:11" hidden="1">
      <c r="A1298" s="559"/>
      <c r="I1298" s="2"/>
      <c r="J1298" s="463"/>
      <c r="K1298" s="491" t="s">
        <v>29</v>
      </c>
    </row>
    <row r="1299" spans="1:11" hidden="1">
      <c r="A1299" s="559"/>
      <c r="I1299" s="2"/>
      <c r="J1299" s="463"/>
      <c r="K1299" s="491"/>
    </row>
    <row r="1300" spans="1:11" hidden="1">
      <c r="A1300" s="559"/>
      <c r="I1300" s="2"/>
      <c r="J1300" s="463"/>
      <c r="K1300" s="491"/>
    </row>
    <row r="1301" spans="1:11" hidden="1">
      <c r="A1301" s="559"/>
      <c r="F1301" s="529">
        <v>32.200000000000003</v>
      </c>
      <c r="G1301" s="518" t="s">
        <v>575</v>
      </c>
      <c r="H1301" s="509" t="s">
        <v>3955</v>
      </c>
      <c r="I1301" s="2"/>
      <c r="J1301" s="463"/>
      <c r="K1301" s="491"/>
    </row>
    <row r="1302" spans="1:11" hidden="1">
      <c r="A1302" s="559"/>
      <c r="H1302" s="509" t="s">
        <v>3956</v>
      </c>
      <c r="I1302" s="2"/>
      <c r="J1302" s="463"/>
      <c r="K1302" s="491"/>
    </row>
    <row r="1303" spans="1:11" hidden="1">
      <c r="A1303" s="559"/>
      <c r="H1303" s="509" t="s">
        <v>3957</v>
      </c>
      <c r="I1303" s="2"/>
      <c r="J1303" s="463"/>
      <c r="K1303" s="491"/>
    </row>
    <row r="1304" spans="1:11" hidden="1">
      <c r="A1304" s="559"/>
      <c r="H1304" s="509" t="s">
        <v>3958</v>
      </c>
      <c r="I1304" s="2"/>
      <c r="J1304" s="463"/>
      <c r="K1304" s="491"/>
    </row>
    <row r="1305" spans="1:11" hidden="1">
      <c r="A1305" s="559"/>
      <c r="H1305" s="509" t="s">
        <v>3959</v>
      </c>
      <c r="I1305" s="2"/>
      <c r="J1305" s="463"/>
      <c r="K1305" s="491"/>
    </row>
    <row r="1306" spans="1:11" hidden="1">
      <c r="A1306" s="559"/>
      <c r="H1306" s="515" t="s">
        <v>442</v>
      </c>
      <c r="I1306" s="2"/>
      <c r="J1306" s="463"/>
      <c r="K1306" s="491"/>
    </row>
    <row r="1307" spans="1:11" hidden="1">
      <c r="A1307" s="559"/>
      <c r="F1307" s="519">
        <v>190</v>
      </c>
      <c r="G1307" s="518" t="s">
        <v>3918</v>
      </c>
      <c r="H1307" s="509" t="s">
        <v>3962</v>
      </c>
      <c r="I1307" s="2">
        <f>E83</f>
        <v>3550</v>
      </c>
      <c r="J1307" s="500" t="s">
        <v>2408</v>
      </c>
      <c r="K1307" s="492">
        <f>(F1307*I1307)/1000</f>
        <v>674.5</v>
      </c>
    </row>
    <row r="1308" spans="1:11" hidden="1">
      <c r="A1308" s="559"/>
      <c r="F1308" s="519">
        <v>0.12</v>
      </c>
      <c r="G1308" s="518" t="s">
        <v>2334</v>
      </c>
      <c r="H1308" s="509" t="s">
        <v>3921</v>
      </c>
      <c r="I1308" s="2" t="e">
        <f>K32</f>
        <v>#REF!</v>
      </c>
      <c r="J1308" s="500" t="s">
        <v>2334</v>
      </c>
      <c r="K1308" s="492" t="e">
        <f t="shared" ref="K1308:K1314" si="55">(F1308*I1308)</f>
        <v>#REF!</v>
      </c>
    </row>
    <row r="1309" spans="1:11" hidden="1">
      <c r="A1309" s="559"/>
      <c r="F1309" s="519">
        <v>10</v>
      </c>
      <c r="G1309" s="518" t="s">
        <v>2788</v>
      </c>
      <c r="H1309" s="509" t="s">
        <v>3960</v>
      </c>
      <c r="I1309" s="2" t="e">
        <f>K1276</f>
        <v>#REF!</v>
      </c>
      <c r="J1309" s="500" t="s">
        <v>2788</v>
      </c>
      <c r="K1309" s="492" t="e">
        <f t="shared" si="55"/>
        <v>#REF!</v>
      </c>
    </row>
    <row r="1310" spans="1:11" hidden="1">
      <c r="A1310" s="559"/>
      <c r="F1310" s="519">
        <v>5.8</v>
      </c>
      <c r="G1310" s="518" t="s">
        <v>40</v>
      </c>
      <c r="H1310" s="509" t="s">
        <v>3961</v>
      </c>
      <c r="I1310" s="2">
        <f>C631</f>
        <v>30</v>
      </c>
      <c r="J1310" s="500" t="s">
        <v>40</v>
      </c>
      <c r="K1310" s="492">
        <f t="shared" si="55"/>
        <v>174</v>
      </c>
    </row>
    <row r="1311" spans="1:11" hidden="1">
      <c r="A1311" s="559"/>
      <c r="F1311" s="519">
        <v>1.1000000000000001</v>
      </c>
      <c r="G1311" s="518" t="s">
        <v>2359</v>
      </c>
      <c r="H1311" s="509" t="s">
        <v>2353</v>
      </c>
      <c r="I1311" s="2">
        <f>C10</f>
        <v>150</v>
      </c>
      <c r="J1311" s="500" t="s">
        <v>2359</v>
      </c>
      <c r="K1311" s="492">
        <f t="shared" si="55"/>
        <v>165</v>
      </c>
    </row>
    <row r="1312" spans="1:11" hidden="1">
      <c r="A1312" s="559"/>
      <c r="F1312" s="519">
        <v>2.1</v>
      </c>
      <c r="G1312" s="518" t="s">
        <v>2359</v>
      </c>
      <c r="H1312" s="509" t="s">
        <v>2343</v>
      </c>
      <c r="I1312" s="2">
        <f>C11</f>
        <v>135</v>
      </c>
      <c r="J1312" s="500" t="s">
        <v>2359</v>
      </c>
      <c r="K1312" s="492">
        <f t="shared" si="55"/>
        <v>283.5</v>
      </c>
    </row>
    <row r="1313" spans="1:11" hidden="1">
      <c r="A1313" s="559"/>
      <c r="F1313" s="519">
        <v>2.2000000000000002</v>
      </c>
      <c r="G1313" s="518" t="s">
        <v>2359</v>
      </c>
      <c r="H1313" s="509" t="s">
        <v>2344</v>
      </c>
      <c r="I1313" s="2">
        <f>C12</f>
        <v>95</v>
      </c>
      <c r="J1313" s="500" t="s">
        <v>2359</v>
      </c>
      <c r="K1313" s="492">
        <f t="shared" si="55"/>
        <v>209.00000000000003</v>
      </c>
    </row>
    <row r="1314" spans="1:11" hidden="1">
      <c r="A1314" s="559"/>
      <c r="F1314" s="519">
        <v>1.1000000000000001</v>
      </c>
      <c r="G1314" s="518" t="s">
        <v>2359</v>
      </c>
      <c r="H1314" s="509" t="s">
        <v>2345</v>
      </c>
      <c r="I1314" s="2">
        <f>C13</f>
        <v>85</v>
      </c>
      <c r="J1314" s="500" t="s">
        <v>2359</v>
      </c>
      <c r="K1314" s="492">
        <f t="shared" si="55"/>
        <v>93.500000000000014</v>
      </c>
    </row>
    <row r="1315" spans="1:11" hidden="1">
      <c r="A1315" s="559"/>
      <c r="G1315" s="518" t="s">
        <v>2346</v>
      </c>
      <c r="H1315" s="509" t="s">
        <v>2347</v>
      </c>
      <c r="I1315" s="2"/>
      <c r="J1315" s="500" t="s">
        <v>2346</v>
      </c>
      <c r="K1315" s="492">
        <v>0</v>
      </c>
    </row>
    <row r="1316" spans="1:11" hidden="1">
      <c r="A1316" s="559"/>
      <c r="I1316" s="2"/>
      <c r="J1316" s="463"/>
      <c r="K1316" s="491" t="s">
        <v>442</v>
      </c>
    </row>
    <row r="1317" spans="1:11" hidden="1">
      <c r="A1317" s="559"/>
      <c r="H1317" s="509" t="s">
        <v>2358</v>
      </c>
      <c r="I1317" s="2"/>
      <c r="J1317" s="463"/>
      <c r="K1317" s="492" t="e">
        <f>SUM(K1307:K1315)</f>
        <v>#REF!</v>
      </c>
    </row>
    <row r="1318" spans="1:11" hidden="1">
      <c r="A1318" s="559"/>
      <c r="I1318" s="2"/>
      <c r="J1318" s="463"/>
      <c r="K1318" s="491" t="s">
        <v>442</v>
      </c>
    </row>
    <row r="1319" spans="1:11" hidden="1">
      <c r="A1319" s="559"/>
      <c r="H1319" s="509" t="s">
        <v>2355</v>
      </c>
      <c r="I1319" s="2"/>
      <c r="J1319" s="463"/>
      <c r="K1319" s="492" t="e">
        <f>(K1317/10)</f>
        <v>#REF!</v>
      </c>
    </row>
    <row r="1320" spans="1:11" hidden="1">
      <c r="A1320" s="559"/>
      <c r="I1320" s="2"/>
      <c r="J1320" s="463"/>
      <c r="K1320" s="491" t="s">
        <v>29</v>
      </c>
    </row>
    <row r="1321" spans="1:11" hidden="1">
      <c r="A1321" s="559"/>
      <c r="I1321" s="2"/>
      <c r="J1321" s="463"/>
      <c r="K1321" s="491"/>
    </row>
    <row r="1322" spans="1:11" hidden="1">
      <c r="A1322" s="559"/>
      <c r="F1322" s="510" t="s">
        <v>2356</v>
      </c>
      <c r="G1322" s="518" t="s">
        <v>575</v>
      </c>
      <c r="H1322" s="509" t="s">
        <v>2357</v>
      </c>
      <c r="I1322" s="2"/>
      <c r="J1322" s="463"/>
      <c r="K1322" s="2"/>
    </row>
    <row r="1323" spans="1:11" hidden="1">
      <c r="A1323" s="559"/>
      <c r="H1323" s="515" t="s">
        <v>442</v>
      </c>
      <c r="I1323" s="2"/>
      <c r="J1323" s="463"/>
      <c r="K1323" s="2"/>
    </row>
    <row r="1324" spans="1:11" hidden="1">
      <c r="A1324" s="559"/>
      <c r="F1324" s="519">
        <v>0.14000000000000001</v>
      </c>
      <c r="G1324" s="518" t="s">
        <v>2334</v>
      </c>
      <c r="H1324" s="509" t="s">
        <v>2341</v>
      </c>
      <c r="I1324" s="492" t="e">
        <f>(K49)</f>
        <v>#REF!</v>
      </c>
      <c r="J1324" s="500" t="s">
        <v>2334</v>
      </c>
      <c r="K1324" s="492" t="e">
        <f>(F1324*I1324)</f>
        <v>#REF!</v>
      </c>
    </row>
    <row r="1325" spans="1:11" hidden="1">
      <c r="A1325" s="559"/>
      <c r="F1325" s="519">
        <v>1.1000000000000001</v>
      </c>
      <c r="G1325" s="518" t="s">
        <v>2342</v>
      </c>
      <c r="H1325" s="509" t="s">
        <v>2353</v>
      </c>
      <c r="I1325" s="492">
        <f>(C10)</f>
        <v>150</v>
      </c>
      <c r="J1325" s="500" t="s">
        <v>2342</v>
      </c>
      <c r="K1325" s="492">
        <f>(F1325*I1325)</f>
        <v>165</v>
      </c>
    </row>
    <row r="1326" spans="1:11" hidden="1">
      <c r="A1326" s="559"/>
      <c r="F1326" s="519">
        <v>0.5</v>
      </c>
      <c r="G1326" s="518" t="s">
        <v>2342</v>
      </c>
      <c r="H1326" s="509" t="s">
        <v>2344</v>
      </c>
      <c r="I1326" s="492">
        <f>(C12)</f>
        <v>95</v>
      </c>
      <c r="J1326" s="500" t="s">
        <v>2342</v>
      </c>
      <c r="K1326" s="492">
        <f>(F1326*I1326)</f>
        <v>47.5</v>
      </c>
    </row>
    <row r="1327" spans="1:11" hidden="1">
      <c r="A1327" s="559"/>
      <c r="F1327" s="519">
        <v>1.1000000000000001</v>
      </c>
      <c r="G1327" s="518" t="s">
        <v>2342</v>
      </c>
      <c r="H1327" s="509" t="s">
        <v>2345</v>
      </c>
      <c r="I1327" s="492">
        <f>(C13)</f>
        <v>85</v>
      </c>
      <c r="J1327" s="500" t="s">
        <v>2342</v>
      </c>
      <c r="K1327" s="492">
        <f>(F1327*I1327)</f>
        <v>93.500000000000014</v>
      </c>
    </row>
    <row r="1328" spans="1:11" hidden="1">
      <c r="A1328" s="559"/>
      <c r="G1328" s="518" t="s">
        <v>2346</v>
      </c>
      <c r="H1328" s="509" t="s">
        <v>2347</v>
      </c>
      <c r="I1328" s="490" t="s">
        <v>30</v>
      </c>
      <c r="J1328" s="500" t="s">
        <v>2346</v>
      </c>
      <c r="K1328" s="492">
        <v>0</v>
      </c>
    </row>
    <row r="1329" spans="1:11" hidden="1">
      <c r="A1329" s="559"/>
      <c r="I1329" s="2"/>
      <c r="J1329" s="463"/>
      <c r="K1329" s="491" t="s">
        <v>442</v>
      </c>
    </row>
    <row r="1330" spans="1:11" hidden="1">
      <c r="A1330" s="559"/>
      <c r="H1330" s="509" t="s">
        <v>2358</v>
      </c>
      <c r="I1330" s="2"/>
      <c r="J1330" s="463"/>
      <c r="K1330" s="492" t="e">
        <f>SUM(K1324:K1328)</f>
        <v>#REF!</v>
      </c>
    </row>
    <row r="1331" spans="1:11" hidden="1">
      <c r="A1331" s="559"/>
      <c r="I1331" s="2"/>
      <c r="J1331" s="463"/>
      <c r="K1331" s="491" t="s">
        <v>442</v>
      </c>
    </row>
    <row r="1332" spans="1:11" hidden="1">
      <c r="A1332" s="559"/>
      <c r="H1332" s="509" t="s">
        <v>2355</v>
      </c>
      <c r="I1332" s="2"/>
      <c r="J1332" s="463"/>
      <c r="K1332" s="492" t="e">
        <f>(K1330/10)</f>
        <v>#REF!</v>
      </c>
    </row>
    <row r="1333" spans="1:11" hidden="1">
      <c r="A1333" s="559"/>
      <c r="F1333" s="509" t="s">
        <v>30</v>
      </c>
      <c r="I1333" s="2"/>
      <c r="J1333" s="463"/>
      <c r="K1333" s="2"/>
    </row>
    <row r="1334" spans="1:11" hidden="1">
      <c r="A1334" s="559"/>
      <c r="I1334" s="2"/>
      <c r="J1334" s="463"/>
      <c r="K1334" s="491" t="s">
        <v>29</v>
      </c>
    </row>
    <row r="1335" spans="1:11" hidden="1">
      <c r="A1335" s="559"/>
      <c r="F1335" s="510" t="s">
        <v>3963</v>
      </c>
      <c r="G1335" s="518" t="s">
        <v>575</v>
      </c>
      <c r="H1335" s="509" t="s">
        <v>3964</v>
      </c>
      <c r="I1335" s="2"/>
      <c r="J1335" s="463"/>
      <c r="K1335" s="2"/>
    </row>
    <row r="1336" spans="1:11" hidden="1">
      <c r="A1336" s="559"/>
      <c r="H1336" s="515" t="s">
        <v>442</v>
      </c>
      <c r="I1336" s="2"/>
      <c r="J1336" s="463"/>
      <c r="K1336" s="2"/>
    </row>
    <row r="1337" spans="1:11" hidden="1">
      <c r="A1337" s="559"/>
      <c r="F1337" s="519">
        <v>0.14000000000000001</v>
      </c>
      <c r="G1337" s="518" t="s">
        <v>2334</v>
      </c>
      <c r="H1337" s="509" t="s">
        <v>2647</v>
      </c>
      <c r="I1337" s="492" t="e">
        <f>(K40)</f>
        <v>#REF!</v>
      </c>
      <c r="J1337" s="500" t="s">
        <v>2334</v>
      </c>
      <c r="K1337" s="492" t="e">
        <f>(F1337*I1337)</f>
        <v>#REF!</v>
      </c>
    </row>
    <row r="1338" spans="1:11" hidden="1">
      <c r="A1338" s="559"/>
      <c r="F1338" s="519">
        <v>1.1000000000000001</v>
      </c>
      <c r="G1338" s="518" t="s">
        <v>2342</v>
      </c>
      <c r="H1338" s="509" t="s">
        <v>2353</v>
      </c>
      <c r="I1338" s="492">
        <f>(C10)</f>
        <v>150</v>
      </c>
      <c r="J1338" s="500" t="s">
        <v>2342</v>
      </c>
      <c r="K1338" s="492">
        <f>(F1338*I1338)</f>
        <v>165</v>
      </c>
    </row>
    <row r="1339" spans="1:11" hidden="1">
      <c r="A1339" s="559"/>
      <c r="F1339" s="519">
        <v>0.5</v>
      </c>
      <c r="G1339" s="518" t="s">
        <v>2342</v>
      </c>
      <c r="H1339" s="509" t="s">
        <v>2344</v>
      </c>
      <c r="I1339" s="492">
        <f>(C12)</f>
        <v>95</v>
      </c>
      <c r="J1339" s="500" t="s">
        <v>2342</v>
      </c>
      <c r="K1339" s="492">
        <f>(F1339*I1339)</f>
        <v>47.5</v>
      </c>
    </row>
    <row r="1340" spans="1:11" hidden="1">
      <c r="A1340" s="559"/>
      <c r="F1340" s="519">
        <v>1.1000000000000001</v>
      </c>
      <c r="G1340" s="518" t="s">
        <v>2342</v>
      </c>
      <c r="H1340" s="509" t="s">
        <v>2345</v>
      </c>
      <c r="I1340" s="492">
        <f>(C13)</f>
        <v>85</v>
      </c>
      <c r="J1340" s="500" t="s">
        <v>2342</v>
      </c>
      <c r="K1340" s="492">
        <f>(F1340*I1340)</f>
        <v>93.500000000000014</v>
      </c>
    </row>
    <row r="1341" spans="1:11" hidden="1">
      <c r="A1341" s="559"/>
      <c r="G1341" s="518" t="s">
        <v>2346</v>
      </c>
      <c r="H1341" s="509" t="s">
        <v>2347</v>
      </c>
      <c r="I1341" s="490" t="s">
        <v>30</v>
      </c>
      <c r="J1341" s="500" t="s">
        <v>2346</v>
      </c>
      <c r="K1341" s="492">
        <v>0</v>
      </c>
    </row>
    <row r="1342" spans="1:11" hidden="1">
      <c r="A1342" s="559"/>
      <c r="I1342" s="2"/>
      <c r="J1342" s="463"/>
      <c r="K1342" s="491" t="s">
        <v>442</v>
      </c>
    </row>
    <row r="1343" spans="1:11" hidden="1">
      <c r="A1343" s="559"/>
      <c r="H1343" s="509" t="s">
        <v>2358</v>
      </c>
      <c r="I1343" s="2"/>
      <c r="J1343" s="463"/>
      <c r="K1343" s="492" t="e">
        <f>SUM(K1337:K1341)</f>
        <v>#REF!</v>
      </c>
    </row>
    <row r="1344" spans="1:11" hidden="1">
      <c r="A1344" s="559"/>
      <c r="I1344" s="2"/>
      <c r="J1344" s="463"/>
      <c r="K1344" s="491" t="s">
        <v>442</v>
      </c>
    </row>
    <row r="1345" spans="1:11" hidden="1">
      <c r="A1345" s="559"/>
      <c r="H1345" s="509" t="s">
        <v>2355</v>
      </c>
      <c r="I1345" s="2"/>
      <c r="J1345" s="463"/>
      <c r="K1345" s="492" t="e">
        <f>(K1343/10)</f>
        <v>#REF!</v>
      </c>
    </row>
    <row r="1346" spans="1:11" hidden="1">
      <c r="A1346" s="559"/>
      <c r="I1346" s="2"/>
      <c r="J1346" s="463"/>
      <c r="K1346" s="491" t="s">
        <v>29</v>
      </c>
    </row>
    <row r="1347" spans="1:11" hidden="1">
      <c r="A1347" s="559"/>
      <c r="F1347" s="510" t="s">
        <v>3965</v>
      </c>
      <c r="G1347" s="518" t="s">
        <v>575</v>
      </c>
      <c r="H1347" s="509" t="s">
        <v>3966</v>
      </c>
      <c r="I1347" s="2"/>
      <c r="J1347" s="463"/>
      <c r="K1347" s="2"/>
    </row>
    <row r="1348" spans="1:11" hidden="1">
      <c r="A1348" s="559"/>
      <c r="H1348" s="515" t="s">
        <v>442</v>
      </c>
      <c r="I1348" s="2"/>
      <c r="J1348" s="463"/>
      <c r="K1348" s="2"/>
    </row>
    <row r="1349" spans="1:11" hidden="1">
      <c r="A1349" s="559"/>
      <c r="F1349" s="519">
        <v>0.1</v>
      </c>
      <c r="G1349" s="518" t="s">
        <v>2334</v>
      </c>
      <c r="H1349" s="509" t="s">
        <v>2607</v>
      </c>
      <c r="I1349" s="492" t="e">
        <f>(K32)</f>
        <v>#REF!</v>
      </c>
      <c r="J1349" s="500" t="s">
        <v>2334</v>
      </c>
      <c r="K1349" s="492" t="e">
        <f>(F1349*I1349)</f>
        <v>#REF!</v>
      </c>
    </row>
    <row r="1350" spans="1:11" hidden="1">
      <c r="A1350" s="559"/>
      <c r="F1350" s="519">
        <v>1.1000000000000001</v>
      </c>
      <c r="G1350" s="518" t="s">
        <v>2342</v>
      </c>
      <c r="H1350" s="509" t="s">
        <v>2353</v>
      </c>
      <c r="I1350" s="492">
        <f>(C10)</f>
        <v>150</v>
      </c>
      <c r="J1350" s="500" t="s">
        <v>2342</v>
      </c>
      <c r="K1350" s="492">
        <f>(F1350*I1350)</f>
        <v>165</v>
      </c>
    </row>
    <row r="1351" spans="1:11" hidden="1">
      <c r="A1351" s="559"/>
      <c r="F1351" s="519">
        <v>1.1000000000000001</v>
      </c>
      <c r="G1351" s="518" t="s">
        <v>2342</v>
      </c>
      <c r="H1351" s="509" t="s">
        <v>2344</v>
      </c>
      <c r="I1351" s="492">
        <f>(C12)</f>
        <v>95</v>
      </c>
      <c r="J1351" s="500" t="s">
        <v>2342</v>
      </c>
      <c r="K1351" s="492">
        <f>(F1351*I1351)</f>
        <v>104.50000000000001</v>
      </c>
    </row>
    <row r="1352" spans="1:11" hidden="1">
      <c r="A1352" s="559"/>
      <c r="F1352" s="519">
        <v>1.1000000000000001</v>
      </c>
      <c r="G1352" s="518" t="s">
        <v>2342</v>
      </c>
      <c r="H1352" s="509" t="s">
        <v>2345</v>
      </c>
      <c r="I1352" s="492">
        <f>(C13)</f>
        <v>85</v>
      </c>
      <c r="J1352" s="500" t="s">
        <v>2342</v>
      </c>
      <c r="K1352" s="492">
        <f>(F1352*I1352)</f>
        <v>93.500000000000014</v>
      </c>
    </row>
    <row r="1353" spans="1:11" hidden="1">
      <c r="A1353" s="559"/>
      <c r="G1353" s="518" t="s">
        <v>2346</v>
      </c>
      <c r="H1353" s="509" t="s">
        <v>2347</v>
      </c>
      <c r="I1353" s="490" t="s">
        <v>30</v>
      </c>
      <c r="J1353" s="500" t="s">
        <v>2346</v>
      </c>
      <c r="K1353" s="492">
        <v>0</v>
      </c>
    </row>
    <row r="1354" spans="1:11" hidden="1">
      <c r="A1354" s="559"/>
      <c r="I1354" s="2"/>
      <c r="J1354" s="463"/>
      <c r="K1354" s="491" t="s">
        <v>442</v>
      </c>
    </row>
    <row r="1355" spans="1:11" hidden="1">
      <c r="A1355" s="559"/>
      <c r="H1355" s="509" t="s">
        <v>2358</v>
      </c>
      <c r="I1355" s="2"/>
      <c r="J1355" s="463"/>
      <c r="K1355" s="492" t="e">
        <f>SUM(K1349:K1353)</f>
        <v>#REF!</v>
      </c>
    </row>
    <row r="1356" spans="1:11" hidden="1">
      <c r="A1356" s="559"/>
      <c r="I1356" s="2"/>
      <c r="J1356" s="463"/>
      <c r="K1356" s="491" t="s">
        <v>442</v>
      </c>
    </row>
    <row r="1357" spans="1:11" hidden="1">
      <c r="A1357" s="559"/>
      <c r="H1357" s="509" t="s">
        <v>2355</v>
      </c>
      <c r="I1357" s="2"/>
      <c r="J1357" s="463"/>
      <c r="K1357" s="492" t="e">
        <f>(K1355/10)</f>
        <v>#REF!</v>
      </c>
    </row>
    <row r="1358" spans="1:11" hidden="1">
      <c r="A1358" s="559"/>
      <c r="I1358" s="2"/>
      <c r="J1358" s="463"/>
      <c r="K1358" s="491" t="s">
        <v>29</v>
      </c>
    </row>
    <row r="1359" spans="1:11" hidden="1">
      <c r="A1359" s="559"/>
      <c r="I1359" s="2"/>
      <c r="J1359" s="463"/>
      <c r="K1359" s="2"/>
    </row>
    <row r="1360" spans="1:11" hidden="1">
      <c r="A1360" s="559"/>
      <c r="G1360" s="518" t="s">
        <v>575</v>
      </c>
      <c r="H1360" s="509" t="s">
        <v>3967</v>
      </c>
      <c r="I1360" s="2"/>
      <c r="J1360" s="463"/>
      <c r="K1360" s="2"/>
    </row>
    <row r="1361" spans="1:11" hidden="1">
      <c r="A1361" s="559"/>
      <c r="H1361" s="509" t="s">
        <v>3968</v>
      </c>
      <c r="I1361" s="2"/>
      <c r="J1361" s="463"/>
      <c r="K1361" s="2"/>
    </row>
    <row r="1362" spans="1:11" hidden="1">
      <c r="A1362" s="559"/>
      <c r="H1362" s="509" t="s">
        <v>3969</v>
      </c>
      <c r="I1362" s="2"/>
      <c r="J1362" s="463"/>
      <c r="K1362" s="2"/>
    </row>
    <row r="1363" spans="1:11" hidden="1">
      <c r="A1363" s="559"/>
      <c r="H1363" s="515" t="s">
        <v>442</v>
      </c>
      <c r="I1363" s="2"/>
      <c r="J1363" s="463"/>
      <c r="K1363" s="2"/>
    </row>
    <row r="1364" spans="1:11" hidden="1">
      <c r="A1364" s="559"/>
      <c r="F1364" s="519">
        <v>0.14000000000000001</v>
      </c>
      <c r="G1364" s="518" t="s">
        <v>2334</v>
      </c>
      <c r="H1364" s="509" t="s">
        <v>2607</v>
      </c>
      <c r="I1364" s="492" t="e">
        <f>(K32)</f>
        <v>#REF!</v>
      </c>
      <c r="J1364" s="500" t="s">
        <v>2334</v>
      </c>
      <c r="K1364" s="492" t="e">
        <f>(F1364*I1364)</f>
        <v>#REF!</v>
      </c>
    </row>
    <row r="1365" spans="1:11" hidden="1">
      <c r="A1365" s="559"/>
      <c r="F1365" s="519">
        <v>1.1000000000000001</v>
      </c>
      <c r="G1365" s="518" t="s">
        <v>2342</v>
      </c>
      <c r="H1365" s="509" t="s">
        <v>2353</v>
      </c>
      <c r="I1365" s="492">
        <f>(C10)</f>
        <v>150</v>
      </c>
      <c r="J1365" s="500" t="s">
        <v>2342</v>
      </c>
      <c r="K1365" s="492">
        <f>(F1365*I1365)</f>
        <v>165</v>
      </c>
    </row>
    <row r="1366" spans="1:11" hidden="1">
      <c r="A1366" s="559"/>
      <c r="F1366" s="519">
        <v>0.5</v>
      </c>
      <c r="G1366" s="518" t="s">
        <v>2342</v>
      </c>
      <c r="H1366" s="509" t="s">
        <v>2344</v>
      </c>
      <c r="I1366" s="492">
        <f>(C12)</f>
        <v>95</v>
      </c>
      <c r="J1366" s="500" t="s">
        <v>2342</v>
      </c>
      <c r="K1366" s="492">
        <f>(F1366*I1366)</f>
        <v>47.5</v>
      </c>
    </row>
    <row r="1367" spans="1:11" hidden="1">
      <c r="A1367" s="559"/>
      <c r="F1367" s="519">
        <v>1.1000000000000001</v>
      </c>
      <c r="G1367" s="518" t="s">
        <v>2342</v>
      </c>
      <c r="H1367" s="509" t="s">
        <v>2345</v>
      </c>
      <c r="I1367" s="492">
        <f>(C13)</f>
        <v>85</v>
      </c>
      <c r="J1367" s="500" t="s">
        <v>2342</v>
      </c>
      <c r="K1367" s="492">
        <f>(F1367*I1367)</f>
        <v>93.500000000000014</v>
      </c>
    </row>
    <row r="1368" spans="1:11" hidden="1">
      <c r="A1368" s="559"/>
      <c r="F1368" s="519">
        <v>2</v>
      </c>
      <c r="G1368" s="518" t="s">
        <v>40</v>
      </c>
      <c r="H1368" s="509" t="s">
        <v>3970</v>
      </c>
      <c r="I1368" s="492">
        <f>(C631)</f>
        <v>30</v>
      </c>
      <c r="J1368" s="500" t="s">
        <v>40</v>
      </c>
      <c r="K1368" s="492">
        <f>(F1368*I1368)</f>
        <v>60</v>
      </c>
    </row>
    <row r="1369" spans="1:11" hidden="1">
      <c r="A1369" s="559"/>
      <c r="G1369" s="518" t="s">
        <v>2346</v>
      </c>
      <c r="H1369" s="509" t="s">
        <v>2347</v>
      </c>
      <c r="I1369" s="490" t="s">
        <v>30</v>
      </c>
      <c r="J1369" s="500" t="s">
        <v>2346</v>
      </c>
      <c r="K1369" s="492">
        <v>0</v>
      </c>
    </row>
    <row r="1370" spans="1:11" hidden="1">
      <c r="A1370" s="559"/>
      <c r="I1370" s="2"/>
      <c r="J1370" s="463"/>
      <c r="K1370" s="491" t="s">
        <v>442</v>
      </c>
    </row>
    <row r="1371" spans="1:11" hidden="1">
      <c r="A1371" s="559"/>
      <c r="F1371" s="509" t="s">
        <v>30</v>
      </c>
      <c r="H1371" s="509" t="s">
        <v>2358</v>
      </c>
      <c r="I1371" s="2"/>
      <c r="J1371" s="463"/>
      <c r="K1371" s="492" t="e">
        <f>SUM(K1364:K1369)</f>
        <v>#REF!</v>
      </c>
    </row>
    <row r="1372" spans="1:11" hidden="1">
      <c r="A1372" s="559"/>
      <c r="I1372" s="2"/>
      <c r="J1372" s="463"/>
      <c r="K1372" s="491" t="s">
        <v>442</v>
      </c>
    </row>
    <row r="1373" spans="1:11" hidden="1">
      <c r="A1373" s="559"/>
      <c r="H1373" s="509" t="s">
        <v>2355</v>
      </c>
      <c r="I1373" s="2"/>
      <c r="J1373" s="463"/>
      <c r="K1373" s="492" t="e">
        <f>(K1371/10)</f>
        <v>#REF!</v>
      </c>
    </row>
    <row r="1374" spans="1:11" hidden="1">
      <c r="A1374" s="559"/>
      <c r="I1374" s="2"/>
      <c r="J1374" s="463"/>
      <c r="K1374" s="491" t="s">
        <v>29</v>
      </c>
    </row>
    <row r="1375" spans="1:11" hidden="1">
      <c r="A1375" s="559"/>
      <c r="H1375" s="509" t="s">
        <v>30</v>
      </c>
      <c r="I1375" s="2"/>
      <c r="J1375" s="463"/>
      <c r="K1375" s="2"/>
    </row>
    <row r="1376" spans="1:11" hidden="1">
      <c r="A1376" s="559"/>
      <c r="I1376" s="2"/>
      <c r="J1376" s="463"/>
      <c r="K1376" s="2"/>
    </row>
    <row r="1377" spans="1:11" hidden="1">
      <c r="A1377" s="559"/>
      <c r="F1377" s="510" t="s">
        <v>3971</v>
      </c>
      <c r="G1377" s="518" t="s">
        <v>575</v>
      </c>
      <c r="H1377" s="509" t="s">
        <v>3972</v>
      </c>
      <c r="I1377" s="2"/>
      <c r="J1377" s="463"/>
      <c r="K1377" s="2"/>
    </row>
    <row r="1378" spans="1:11" hidden="1">
      <c r="A1378" s="559"/>
      <c r="H1378" s="509" t="s">
        <v>3973</v>
      </c>
      <c r="I1378" s="2"/>
      <c r="J1378" s="463"/>
      <c r="K1378" s="2"/>
    </row>
    <row r="1379" spans="1:11" hidden="1">
      <c r="A1379" s="559"/>
      <c r="H1379" s="509" t="s">
        <v>3974</v>
      </c>
      <c r="I1379" s="2"/>
      <c r="J1379" s="463"/>
      <c r="K1379" s="2"/>
    </row>
    <row r="1380" spans="1:11" hidden="1">
      <c r="A1380" s="559"/>
      <c r="H1380" s="509" t="s">
        <v>3975</v>
      </c>
      <c r="I1380" s="2"/>
      <c r="J1380" s="463"/>
      <c r="K1380" s="2"/>
    </row>
    <row r="1381" spans="1:11" hidden="1">
      <c r="A1381" s="559"/>
      <c r="H1381" s="515" t="s">
        <v>442</v>
      </c>
      <c r="I1381" s="491" t="s">
        <v>442</v>
      </c>
      <c r="J1381" s="463"/>
      <c r="K1381" s="2"/>
    </row>
    <row r="1382" spans="1:11" hidden="1">
      <c r="A1382" s="559"/>
      <c r="G1382" s="518" t="s">
        <v>2365</v>
      </c>
      <c r="H1382" s="509" t="s">
        <v>3976</v>
      </c>
      <c r="I1382" s="2"/>
      <c r="J1382" s="463"/>
      <c r="K1382" s="2"/>
    </row>
    <row r="1383" spans="1:11" hidden="1">
      <c r="A1383" s="559"/>
      <c r="G1383" s="518" t="s">
        <v>442</v>
      </c>
      <c r="H1383" s="515" t="s">
        <v>442</v>
      </c>
      <c r="I1383" s="2"/>
      <c r="J1383" s="463"/>
      <c r="K1383" s="2"/>
    </row>
    <row r="1384" spans="1:11" hidden="1">
      <c r="A1384" s="559"/>
      <c r="F1384" s="542">
        <v>1.4E-2</v>
      </c>
      <c r="G1384" s="518" t="s">
        <v>19</v>
      </c>
      <c r="H1384" s="509" t="s">
        <v>3977</v>
      </c>
      <c r="I1384" s="492" t="e">
        <f>K49</f>
        <v>#REF!</v>
      </c>
      <c r="J1384" s="500" t="s">
        <v>19</v>
      </c>
      <c r="K1384" s="492" t="e">
        <f>(F1384*I1384)</f>
        <v>#REF!</v>
      </c>
    </row>
    <row r="1385" spans="1:11" hidden="1">
      <c r="A1385" s="559"/>
      <c r="F1385" s="519">
        <v>0.3</v>
      </c>
      <c r="G1385" s="518" t="s">
        <v>2403</v>
      </c>
      <c r="H1385" s="509" t="s">
        <v>3978</v>
      </c>
      <c r="I1385" s="492">
        <f>C10</f>
        <v>150</v>
      </c>
      <c r="J1385" s="500" t="s">
        <v>2403</v>
      </c>
      <c r="K1385" s="492">
        <f>(F1385*I1385)</f>
        <v>45</v>
      </c>
    </row>
    <row r="1386" spans="1:11" hidden="1">
      <c r="A1386" s="559"/>
      <c r="F1386" s="519">
        <v>0.3</v>
      </c>
      <c r="G1386" s="518" t="s">
        <v>2403</v>
      </c>
      <c r="H1386" s="509" t="s">
        <v>3081</v>
      </c>
      <c r="I1386" s="492">
        <f>C12</f>
        <v>95</v>
      </c>
      <c r="J1386" s="500" t="s">
        <v>2403</v>
      </c>
      <c r="K1386" s="492">
        <f>(F1386*I1386)</f>
        <v>28.5</v>
      </c>
    </row>
    <row r="1387" spans="1:11" hidden="1">
      <c r="A1387" s="559"/>
      <c r="G1387" s="518" t="s">
        <v>2346</v>
      </c>
      <c r="H1387" s="509" t="s">
        <v>2390</v>
      </c>
      <c r="I1387" s="2"/>
      <c r="J1387" s="500" t="s">
        <v>2346</v>
      </c>
      <c r="K1387" s="2">
        <v>0</v>
      </c>
    </row>
    <row r="1388" spans="1:11" hidden="1">
      <c r="A1388" s="559"/>
      <c r="I1388" s="2"/>
      <c r="J1388" s="463"/>
      <c r="K1388" s="491" t="s">
        <v>442</v>
      </c>
    </row>
    <row r="1389" spans="1:11" hidden="1">
      <c r="A1389" s="559"/>
      <c r="H1389" s="510" t="s">
        <v>3979</v>
      </c>
      <c r="I1389" s="2"/>
      <c r="J1389" s="463"/>
      <c r="K1389" s="492" t="e">
        <f>SUM(K1384:K1387)</f>
        <v>#REF!</v>
      </c>
    </row>
    <row r="1390" spans="1:11" hidden="1">
      <c r="A1390" s="559"/>
      <c r="I1390" s="2"/>
      <c r="J1390" s="463"/>
      <c r="K1390" s="491" t="s">
        <v>442</v>
      </c>
    </row>
    <row r="1391" spans="1:11" hidden="1">
      <c r="A1391" s="559"/>
      <c r="H1391" s="510" t="s">
        <v>3980</v>
      </c>
      <c r="I1391" s="2"/>
      <c r="J1391" s="463"/>
      <c r="K1391" s="492" t="e">
        <f>K1389/6.77</f>
        <v>#REF!</v>
      </c>
    </row>
    <row r="1392" spans="1:11" hidden="1">
      <c r="A1392" s="559"/>
      <c r="F1392" s="509" t="s">
        <v>30</v>
      </c>
      <c r="I1392" s="2"/>
      <c r="J1392" s="463"/>
      <c r="K1392" s="2"/>
    </row>
    <row r="1393" spans="1:11" hidden="1">
      <c r="A1393" s="559"/>
      <c r="I1393" s="2"/>
      <c r="J1393" s="463"/>
      <c r="K1393" s="491" t="s">
        <v>29</v>
      </c>
    </row>
    <row r="1394" spans="1:11" hidden="1">
      <c r="A1394" s="559"/>
      <c r="G1394" s="518" t="s">
        <v>3335</v>
      </c>
      <c r="H1394" s="509" t="s">
        <v>3981</v>
      </c>
      <c r="I1394" s="2"/>
      <c r="J1394" s="463"/>
      <c r="K1394" s="2"/>
    </row>
    <row r="1395" spans="1:11" hidden="1">
      <c r="A1395" s="559"/>
      <c r="G1395" s="518" t="s">
        <v>442</v>
      </c>
      <c r="H1395" s="515" t="s">
        <v>442</v>
      </c>
      <c r="I1395" s="2"/>
      <c r="J1395" s="463"/>
      <c r="K1395" s="2"/>
    </row>
    <row r="1396" spans="1:11" hidden="1">
      <c r="A1396" s="559"/>
      <c r="F1396" s="542">
        <v>7.0000000000000001E-3</v>
      </c>
      <c r="G1396" s="518" t="s">
        <v>19</v>
      </c>
      <c r="H1396" s="509" t="s">
        <v>3977</v>
      </c>
      <c r="I1396" s="492" t="e">
        <f>K49</f>
        <v>#REF!</v>
      </c>
      <c r="J1396" s="500" t="s">
        <v>19</v>
      </c>
      <c r="K1396" s="492" t="e">
        <f>(F1396*I1396)</f>
        <v>#REF!</v>
      </c>
    </row>
    <row r="1397" spans="1:11" hidden="1">
      <c r="A1397" s="559"/>
      <c r="F1397" s="519">
        <v>0.2</v>
      </c>
      <c r="G1397" s="518" t="s">
        <v>2403</v>
      </c>
      <c r="H1397" s="509" t="s">
        <v>3978</v>
      </c>
      <c r="I1397" s="492">
        <f>C10</f>
        <v>150</v>
      </c>
      <c r="J1397" s="500" t="s">
        <v>2403</v>
      </c>
      <c r="K1397" s="492">
        <f>(F1397*I1397)</f>
        <v>30</v>
      </c>
    </row>
    <row r="1398" spans="1:11" hidden="1">
      <c r="A1398" s="559"/>
      <c r="F1398" s="519">
        <v>0.2</v>
      </c>
      <c r="G1398" s="518" t="s">
        <v>2403</v>
      </c>
      <c r="H1398" s="509" t="s">
        <v>3081</v>
      </c>
      <c r="I1398" s="492">
        <f>C12</f>
        <v>95</v>
      </c>
      <c r="J1398" s="500" t="s">
        <v>2403</v>
      </c>
      <c r="K1398" s="492">
        <f>(F1398*I1398)</f>
        <v>19</v>
      </c>
    </row>
    <row r="1399" spans="1:11" hidden="1">
      <c r="A1399" s="559"/>
      <c r="H1399" s="509" t="s">
        <v>2390</v>
      </c>
      <c r="I1399" s="2"/>
      <c r="J1399" s="463"/>
      <c r="K1399" s="2">
        <v>0</v>
      </c>
    </row>
    <row r="1400" spans="1:11" hidden="1">
      <c r="A1400" s="559"/>
      <c r="I1400" s="2"/>
      <c r="J1400" s="463"/>
      <c r="K1400" s="491" t="s">
        <v>442</v>
      </c>
    </row>
    <row r="1401" spans="1:11" hidden="1">
      <c r="A1401" s="559"/>
      <c r="H1401" s="510" t="s">
        <v>3979</v>
      </c>
      <c r="I1401" s="2"/>
      <c r="J1401" s="463"/>
      <c r="K1401" s="492" t="e">
        <f>SUM(K1396:K1399)</f>
        <v>#REF!</v>
      </c>
    </row>
    <row r="1402" spans="1:11" hidden="1">
      <c r="A1402" s="559"/>
      <c r="I1402" s="2"/>
      <c r="J1402" s="463"/>
      <c r="K1402" s="491" t="s">
        <v>442</v>
      </c>
    </row>
    <row r="1403" spans="1:11" hidden="1">
      <c r="A1403" s="559"/>
      <c r="H1403" s="510" t="s">
        <v>3980</v>
      </c>
      <c r="I1403" s="2"/>
      <c r="J1403" s="463"/>
      <c r="K1403" s="492" t="e">
        <f>K1401/6.77</f>
        <v>#REF!</v>
      </c>
    </row>
    <row r="1404" spans="1:11" hidden="1">
      <c r="A1404" s="559"/>
      <c r="I1404" s="2"/>
      <c r="J1404" s="463"/>
      <c r="K1404" s="491" t="s">
        <v>29</v>
      </c>
    </row>
    <row r="1405" spans="1:11" hidden="1">
      <c r="A1405" s="559"/>
      <c r="I1405" s="2"/>
      <c r="J1405" s="463"/>
      <c r="K1405" s="491"/>
    </row>
    <row r="1406" spans="1:11" hidden="1">
      <c r="A1406" s="559"/>
      <c r="I1406" s="2"/>
      <c r="J1406" s="463"/>
      <c r="K1406" s="491"/>
    </row>
    <row r="1407" spans="1:11" hidden="1">
      <c r="A1407" s="559"/>
      <c r="G1407" s="518" t="s">
        <v>3366</v>
      </c>
      <c r="H1407" s="509" t="s">
        <v>3982</v>
      </c>
      <c r="I1407" s="2"/>
      <c r="J1407" s="463"/>
      <c r="K1407" s="491"/>
    </row>
    <row r="1408" spans="1:11" hidden="1">
      <c r="A1408" s="559"/>
      <c r="G1408" s="518" t="s">
        <v>442</v>
      </c>
      <c r="H1408" s="515" t="s">
        <v>442</v>
      </c>
      <c r="I1408" s="2"/>
      <c r="J1408" s="463"/>
      <c r="K1408" s="491"/>
    </row>
    <row r="1409" spans="1:11" hidden="1">
      <c r="A1409" s="559"/>
      <c r="F1409" s="542">
        <v>4.7000000000000002E-3</v>
      </c>
      <c r="G1409" s="518" t="s">
        <v>19</v>
      </c>
      <c r="H1409" s="509" t="s">
        <v>3977</v>
      </c>
      <c r="I1409" s="2" t="e">
        <f>K49</f>
        <v>#REF!</v>
      </c>
      <c r="J1409" s="500" t="s">
        <v>19</v>
      </c>
      <c r="K1409" s="492" t="e">
        <f>(F1409*I1409)</f>
        <v>#REF!</v>
      </c>
    </row>
    <row r="1410" spans="1:11" hidden="1">
      <c r="A1410" s="559"/>
      <c r="F1410" s="519">
        <v>0.15</v>
      </c>
      <c r="G1410" s="518" t="s">
        <v>2403</v>
      </c>
      <c r="H1410" s="509" t="s">
        <v>3978</v>
      </c>
      <c r="I1410" s="2">
        <f>C10</f>
        <v>150</v>
      </c>
      <c r="J1410" s="500" t="s">
        <v>2403</v>
      </c>
      <c r="K1410" s="492">
        <f>(F1410*I1410)</f>
        <v>22.5</v>
      </c>
    </row>
    <row r="1411" spans="1:11" hidden="1">
      <c r="A1411" s="559"/>
      <c r="F1411" s="519">
        <v>0.15</v>
      </c>
      <c r="G1411" s="518" t="s">
        <v>2403</v>
      </c>
      <c r="H1411" s="509" t="s">
        <v>3081</v>
      </c>
      <c r="I1411" s="2">
        <f>C12</f>
        <v>95</v>
      </c>
      <c r="J1411" s="500" t="s">
        <v>2403</v>
      </c>
      <c r="K1411" s="492">
        <f>(F1411*I1411)</f>
        <v>14.25</v>
      </c>
    </row>
    <row r="1412" spans="1:11" hidden="1">
      <c r="A1412" s="559"/>
      <c r="H1412" s="509" t="s">
        <v>2390</v>
      </c>
      <c r="I1412" s="2"/>
      <c r="J1412" s="463"/>
      <c r="K1412" s="2">
        <v>0</v>
      </c>
    </row>
    <row r="1413" spans="1:11" hidden="1">
      <c r="A1413" s="559"/>
      <c r="I1413" s="2"/>
      <c r="J1413" s="463"/>
      <c r="K1413" s="491" t="s">
        <v>442</v>
      </c>
    </row>
    <row r="1414" spans="1:11" hidden="1">
      <c r="A1414" s="559"/>
      <c r="H1414" s="510" t="s">
        <v>3979</v>
      </c>
      <c r="I1414" s="2"/>
      <c r="J1414" s="463"/>
      <c r="K1414" s="492" t="e">
        <f>SUM(K1409:K1412)</f>
        <v>#REF!</v>
      </c>
    </row>
    <row r="1415" spans="1:11" hidden="1">
      <c r="A1415" s="559"/>
      <c r="I1415" s="2"/>
      <c r="J1415" s="463"/>
      <c r="K1415" s="491" t="s">
        <v>442</v>
      </c>
    </row>
    <row r="1416" spans="1:11" hidden="1">
      <c r="A1416" s="559"/>
      <c r="H1416" s="510" t="s">
        <v>3980</v>
      </c>
      <c r="I1416" s="2"/>
      <c r="J1416" s="463"/>
      <c r="K1416" s="492" t="e">
        <f>K1414/6.77</f>
        <v>#REF!</v>
      </c>
    </row>
    <row r="1417" spans="1:11" hidden="1">
      <c r="A1417" s="559"/>
      <c r="I1417" s="2"/>
      <c r="J1417" s="463"/>
      <c r="K1417" s="491" t="s">
        <v>29</v>
      </c>
    </row>
    <row r="1418" spans="1:11" hidden="1">
      <c r="A1418" s="559"/>
      <c r="I1418" s="2"/>
      <c r="J1418" s="463"/>
      <c r="K1418" s="491"/>
    </row>
    <row r="1419" spans="1:11" hidden="1">
      <c r="A1419" s="559"/>
      <c r="F1419" s="529">
        <v>37.1</v>
      </c>
      <c r="G1419" s="518" t="s">
        <v>575</v>
      </c>
      <c r="H1419" s="509" t="s">
        <v>3983</v>
      </c>
      <c r="I1419" s="2"/>
      <c r="J1419" s="463"/>
      <c r="K1419" s="2"/>
    </row>
    <row r="1420" spans="1:11" hidden="1">
      <c r="A1420" s="559"/>
      <c r="H1420" s="515" t="s">
        <v>442</v>
      </c>
      <c r="I1420" s="2"/>
      <c r="J1420" s="463"/>
      <c r="K1420" s="2"/>
    </row>
    <row r="1421" spans="1:11" hidden="1">
      <c r="A1421" s="559"/>
      <c r="F1421" s="519">
        <v>0.09</v>
      </c>
      <c r="G1421" s="518" t="s">
        <v>2334</v>
      </c>
      <c r="H1421" s="509" t="s">
        <v>2592</v>
      </c>
      <c r="I1421" s="492">
        <f>(C84)</f>
        <v>773</v>
      </c>
      <c r="J1421" s="500" t="s">
        <v>2334</v>
      </c>
      <c r="K1421" s="492">
        <f>(F1421*I1421)</f>
        <v>69.569999999999993</v>
      </c>
    </row>
    <row r="1422" spans="1:11" hidden="1">
      <c r="A1422" s="559"/>
      <c r="F1422" s="519">
        <v>2.2000000000000002</v>
      </c>
      <c r="G1422" s="518" t="s">
        <v>2342</v>
      </c>
      <c r="H1422" s="509" t="s">
        <v>2343</v>
      </c>
      <c r="I1422" s="492">
        <f>(C11)</f>
        <v>135</v>
      </c>
      <c r="J1422" s="500" t="s">
        <v>2342</v>
      </c>
      <c r="K1422" s="492">
        <f>(F1422*I1422)</f>
        <v>297</v>
      </c>
    </row>
    <row r="1423" spans="1:11" hidden="1">
      <c r="A1423" s="559"/>
      <c r="F1423" s="519">
        <v>0.5</v>
      </c>
      <c r="G1423" s="518" t="s">
        <v>2342</v>
      </c>
      <c r="H1423" s="509" t="s">
        <v>2344</v>
      </c>
      <c r="I1423" s="492">
        <f>(C12)</f>
        <v>95</v>
      </c>
      <c r="J1423" s="500" t="s">
        <v>2342</v>
      </c>
      <c r="K1423" s="492">
        <f>(F1423*I1423)</f>
        <v>47.5</v>
      </c>
    </row>
    <row r="1424" spans="1:11" hidden="1">
      <c r="A1424" s="559"/>
      <c r="F1424" s="519">
        <v>3.8</v>
      </c>
      <c r="G1424" s="518" t="s">
        <v>2342</v>
      </c>
      <c r="H1424" s="509" t="s">
        <v>2345</v>
      </c>
      <c r="I1424" s="492">
        <f>(C13)</f>
        <v>85</v>
      </c>
      <c r="J1424" s="500" t="s">
        <v>2342</v>
      </c>
      <c r="K1424" s="492">
        <f>(F1424*I1424)</f>
        <v>323</v>
      </c>
    </row>
    <row r="1425" spans="1:11" hidden="1">
      <c r="A1425" s="559"/>
      <c r="G1425" s="518" t="s">
        <v>2346</v>
      </c>
      <c r="H1425" s="509" t="s">
        <v>3984</v>
      </c>
      <c r="I1425" s="490" t="s">
        <v>30</v>
      </c>
      <c r="J1425" s="500" t="s">
        <v>2346</v>
      </c>
      <c r="K1425" s="492">
        <v>1.5</v>
      </c>
    </row>
    <row r="1426" spans="1:11" hidden="1">
      <c r="A1426" s="559"/>
      <c r="I1426" s="2"/>
      <c r="J1426" s="463"/>
      <c r="K1426" s="491" t="s">
        <v>442</v>
      </c>
    </row>
    <row r="1427" spans="1:11" hidden="1">
      <c r="A1427" s="559"/>
      <c r="H1427" s="509" t="s">
        <v>2942</v>
      </c>
      <c r="I1427" s="2"/>
      <c r="J1427" s="463"/>
      <c r="K1427" s="492">
        <f>SUM(K1420:K1425)</f>
        <v>738.56999999999994</v>
      </c>
    </row>
    <row r="1428" spans="1:11" hidden="1">
      <c r="A1428" s="559"/>
      <c r="I1428" s="2"/>
      <c r="J1428" s="463"/>
      <c r="K1428" s="491" t="s">
        <v>442</v>
      </c>
    </row>
    <row r="1429" spans="1:11" hidden="1">
      <c r="A1429" s="559"/>
      <c r="H1429" s="509" t="s">
        <v>2355</v>
      </c>
      <c r="I1429" s="2"/>
      <c r="J1429" s="463"/>
      <c r="K1429" s="492">
        <f>(K1427/100)</f>
        <v>7.385699999999999</v>
      </c>
    </row>
    <row r="1430" spans="1:11" hidden="1">
      <c r="A1430" s="559"/>
      <c r="I1430" s="2"/>
      <c r="J1430" s="463"/>
      <c r="K1430" s="491" t="s">
        <v>29</v>
      </c>
    </row>
    <row r="1431" spans="1:11" hidden="1">
      <c r="A1431" s="559"/>
      <c r="F1431" s="510" t="s">
        <v>3985</v>
      </c>
      <c r="G1431" s="518" t="s">
        <v>575</v>
      </c>
      <c r="H1431" s="509" t="s">
        <v>3986</v>
      </c>
      <c r="I1431" s="2"/>
      <c r="J1431" s="463"/>
      <c r="K1431" s="2"/>
    </row>
    <row r="1432" spans="1:11" hidden="1">
      <c r="A1432" s="559"/>
      <c r="H1432" s="509" t="s">
        <v>3987</v>
      </c>
      <c r="I1432" s="2"/>
      <c r="J1432" s="463"/>
      <c r="K1432" s="2"/>
    </row>
    <row r="1433" spans="1:11" hidden="1">
      <c r="A1433" s="559"/>
      <c r="H1433" s="509" t="s">
        <v>3988</v>
      </c>
      <c r="I1433" s="2"/>
      <c r="J1433" s="463"/>
      <c r="K1433" s="2"/>
    </row>
    <row r="1434" spans="1:11" hidden="1">
      <c r="A1434" s="559"/>
      <c r="H1434" s="509" t="s">
        <v>3989</v>
      </c>
      <c r="I1434" s="2"/>
      <c r="J1434" s="463"/>
      <c r="K1434" s="2"/>
    </row>
    <row r="1435" spans="1:11" hidden="1">
      <c r="A1435" s="559"/>
      <c r="H1435" s="515" t="s">
        <v>442</v>
      </c>
      <c r="I1435" s="2"/>
      <c r="J1435" s="463"/>
      <c r="K1435" s="2"/>
    </row>
    <row r="1436" spans="1:11" hidden="1">
      <c r="A1436" s="559"/>
      <c r="F1436" s="519">
        <v>4.8</v>
      </c>
      <c r="G1436" s="518" t="s">
        <v>40</v>
      </c>
      <c r="H1436" s="509" t="s">
        <v>2854</v>
      </c>
      <c r="I1436" s="492">
        <f>(C270)</f>
        <v>35</v>
      </c>
      <c r="J1436" s="500" t="s">
        <v>40</v>
      </c>
      <c r="K1436" s="492">
        <f>(F1436*I1436)</f>
        <v>168</v>
      </c>
    </row>
    <row r="1437" spans="1:11" hidden="1">
      <c r="A1437" s="559"/>
      <c r="F1437" s="519">
        <v>0.75</v>
      </c>
      <c r="G1437" s="518" t="s">
        <v>2342</v>
      </c>
      <c r="H1437" s="509" t="s">
        <v>3990</v>
      </c>
      <c r="I1437" s="492">
        <f>(C14)</f>
        <v>120</v>
      </c>
      <c r="J1437" s="500" t="s">
        <v>2342</v>
      </c>
      <c r="K1437" s="492">
        <f>(F1437*I1437)</f>
        <v>90</v>
      </c>
    </row>
    <row r="1438" spans="1:11" hidden="1">
      <c r="A1438" s="559"/>
      <c r="F1438" s="519">
        <v>0.75</v>
      </c>
      <c r="G1438" s="518" t="s">
        <v>2342</v>
      </c>
      <c r="H1438" s="509" t="s">
        <v>3914</v>
      </c>
      <c r="I1438" s="492">
        <f>(C12)</f>
        <v>95</v>
      </c>
      <c r="J1438" s="500" t="s">
        <v>2342</v>
      </c>
      <c r="K1438" s="492">
        <f>(F1438*I1438)</f>
        <v>71.25</v>
      </c>
    </row>
    <row r="1439" spans="1:11" hidden="1">
      <c r="A1439" s="559"/>
      <c r="F1439" s="519">
        <v>1.2</v>
      </c>
      <c r="G1439" s="518" t="s">
        <v>2342</v>
      </c>
      <c r="H1439" s="509" t="s">
        <v>2345</v>
      </c>
      <c r="I1439" s="492">
        <f>(C13)</f>
        <v>85</v>
      </c>
      <c r="J1439" s="500" t="s">
        <v>2342</v>
      </c>
      <c r="K1439" s="492">
        <f>(F1439*I1439)</f>
        <v>102</v>
      </c>
    </row>
    <row r="1440" spans="1:11" hidden="1">
      <c r="A1440" s="559"/>
      <c r="G1440" s="518" t="s">
        <v>2346</v>
      </c>
      <c r="H1440" s="509" t="s">
        <v>2940</v>
      </c>
      <c r="I1440" s="490" t="s">
        <v>30</v>
      </c>
      <c r="J1440" s="500" t="s">
        <v>2346</v>
      </c>
      <c r="K1440" s="492">
        <v>1.45</v>
      </c>
    </row>
    <row r="1441" spans="1:11" hidden="1">
      <c r="A1441" s="559"/>
      <c r="I1441" s="2"/>
      <c r="J1441" s="463"/>
      <c r="K1441" s="491" t="s">
        <v>442</v>
      </c>
    </row>
    <row r="1442" spans="1:11" hidden="1">
      <c r="A1442" s="559"/>
      <c r="H1442" s="509" t="s">
        <v>2358</v>
      </c>
      <c r="I1442" s="2"/>
      <c r="J1442" s="463"/>
      <c r="K1442" s="492">
        <f>SUM(K1436:K1440)</f>
        <v>432.7</v>
      </c>
    </row>
    <row r="1443" spans="1:11" hidden="1">
      <c r="A1443" s="559"/>
      <c r="I1443" s="2"/>
      <c r="J1443" s="463"/>
      <c r="K1443" s="491" t="s">
        <v>442</v>
      </c>
    </row>
    <row r="1444" spans="1:11" hidden="1">
      <c r="A1444" s="559"/>
      <c r="H1444" s="509" t="s">
        <v>2355</v>
      </c>
      <c r="I1444" s="2"/>
      <c r="J1444" s="463"/>
      <c r="K1444" s="492">
        <f>(K1442/10)</f>
        <v>43.269999999999996</v>
      </c>
    </row>
    <row r="1445" spans="1:11" hidden="1">
      <c r="A1445" s="559"/>
      <c r="I1445" s="2"/>
      <c r="J1445" s="463"/>
      <c r="K1445" s="491" t="s">
        <v>29</v>
      </c>
    </row>
    <row r="1446" spans="1:11" hidden="1">
      <c r="A1446" s="559"/>
      <c r="F1446" s="510" t="s">
        <v>3991</v>
      </c>
      <c r="G1446" s="518" t="s">
        <v>575</v>
      </c>
      <c r="H1446" s="510" t="s">
        <v>823</v>
      </c>
      <c r="I1446" s="2"/>
      <c r="J1446" s="463"/>
      <c r="K1446" s="2"/>
    </row>
    <row r="1447" spans="1:11" hidden="1">
      <c r="A1447" s="559"/>
      <c r="H1447" s="510" t="s">
        <v>31</v>
      </c>
      <c r="I1447" s="2"/>
      <c r="J1447" s="463"/>
      <c r="K1447" s="2"/>
    </row>
    <row r="1448" spans="1:11" hidden="1">
      <c r="A1448" s="559"/>
      <c r="F1448" s="519">
        <v>3.08</v>
      </c>
      <c r="G1448" s="518" t="s">
        <v>3992</v>
      </c>
      <c r="H1448" s="509" t="s">
        <v>823</v>
      </c>
      <c r="I1448" s="492">
        <v>120</v>
      </c>
      <c r="J1448" s="500" t="s">
        <v>3992</v>
      </c>
      <c r="K1448" s="492">
        <f>(F1448*I1448)</f>
        <v>369.6</v>
      </c>
    </row>
    <row r="1449" spans="1:11" hidden="1">
      <c r="A1449" s="559"/>
      <c r="F1449" s="519">
        <v>0.5</v>
      </c>
      <c r="G1449" s="518" t="s">
        <v>2403</v>
      </c>
      <c r="H1449" s="509" t="s">
        <v>3993</v>
      </c>
      <c r="I1449" s="492">
        <f>C14</f>
        <v>120</v>
      </c>
      <c r="J1449" s="500" t="s">
        <v>2403</v>
      </c>
      <c r="K1449" s="492">
        <f>(F1449*I1449)</f>
        <v>60</v>
      </c>
    </row>
    <row r="1450" spans="1:11" hidden="1">
      <c r="A1450" s="559"/>
      <c r="F1450" s="519">
        <v>0.5</v>
      </c>
      <c r="G1450" s="518" t="s">
        <v>2403</v>
      </c>
      <c r="H1450" s="509" t="s">
        <v>3081</v>
      </c>
      <c r="I1450" s="492">
        <f>C12</f>
        <v>95</v>
      </c>
      <c r="J1450" s="500" t="s">
        <v>2403</v>
      </c>
      <c r="K1450" s="492">
        <f>(F1450*I1450)</f>
        <v>47.5</v>
      </c>
    </row>
    <row r="1451" spans="1:11" hidden="1">
      <c r="A1451" s="559"/>
      <c r="F1451" s="519">
        <v>0.8</v>
      </c>
      <c r="G1451" s="518" t="s">
        <v>2403</v>
      </c>
      <c r="H1451" s="509" t="s">
        <v>3994</v>
      </c>
      <c r="I1451" s="492">
        <f>C13</f>
        <v>85</v>
      </c>
      <c r="J1451" s="500" t="s">
        <v>2403</v>
      </c>
      <c r="K1451" s="492">
        <f>(F1451*I1451)</f>
        <v>68</v>
      </c>
    </row>
    <row r="1452" spans="1:11" hidden="1">
      <c r="A1452" s="559"/>
      <c r="G1452" s="518" t="s">
        <v>2346</v>
      </c>
      <c r="H1452" s="509" t="s">
        <v>2940</v>
      </c>
      <c r="I1452" s="2"/>
      <c r="J1452" s="500" t="s">
        <v>2346</v>
      </c>
      <c r="K1452" s="492">
        <v>1.5</v>
      </c>
    </row>
    <row r="1453" spans="1:11" hidden="1">
      <c r="A1453" s="559"/>
      <c r="I1453" s="2"/>
      <c r="J1453" s="463"/>
      <c r="K1453" s="2"/>
    </row>
    <row r="1454" spans="1:11" hidden="1">
      <c r="A1454" s="559"/>
      <c r="I1454" s="2"/>
      <c r="J1454" s="463"/>
      <c r="K1454" s="491" t="s">
        <v>442</v>
      </c>
    </row>
    <row r="1455" spans="1:11" hidden="1">
      <c r="A1455" s="559"/>
      <c r="H1455" s="510" t="s">
        <v>3995</v>
      </c>
      <c r="I1455" s="2"/>
      <c r="J1455" s="463"/>
      <c r="K1455" s="492">
        <f>SUM(K1448:K1452)</f>
        <v>546.6</v>
      </c>
    </row>
    <row r="1456" spans="1:11" hidden="1">
      <c r="A1456" s="559"/>
      <c r="I1456" s="2"/>
      <c r="J1456" s="463"/>
      <c r="K1456" s="491" t="s">
        <v>442</v>
      </c>
    </row>
    <row r="1457" spans="1:11" hidden="1">
      <c r="A1457" s="559"/>
      <c r="F1457" s="509" t="s">
        <v>30</v>
      </c>
      <c r="G1457" s="518" t="s">
        <v>30</v>
      </c>
      <c r="H1457" s="510" t="s">
        <v>3906</v>
      </c>
      <c r="I1457" s="490" t="s">
        <v>30</v>
      </c>
      <c r="J1457" s="500" t="s">
        <v>30</v>
      </c>
      <c r="K1457" s="492">
        <f>K1455/10</f>
        <v>54.660000000000004</v>
      </c>
    </row>
    <row r="1458" spans="1:11" hidden="1">
      <c r="A1458" s="559"/>
      <c r="I1458" s="2"/>
      <c r="J1458" s="463"/>
      <c r="K1458" s="491" t="s">
        <v>29</v>
      </c>
    </row>
    <row r="1459" spans="1:11" hidden="1">
      <c r="A1459" s="559"/>
      <c r="F1459" s="510" t="s">
        <v>3996</v>
      </c>
      <c r="G1459" s="518" t="s">
        <v>575</v>
      </c>
      <c r="H1459" s="509" t="s">
        <v>3997</v>
      </c>
      <c r="I1459" s="2"/>
      <c r="J1459" s="463"/>
      <c r="K1459" s="2"/>
    </row>
    <row r="1460" spans="1:11" hidden="1">
      <c r="A1460" s="559"/>
      <c r="H1460" s="509" t="s">
        <v>3998</v>
      </c>
      <c r="I1460" s="2"/>
      <c r="J1460" s="463"/>
      <c r="K1460" s="2"/>
    </row>
    <row r="1461" spans="1:11" hidden="1">
      <c r="A1461" s="559"/>
      <c r="H1461" s="509" t="s">
        <v>3999</v>
      </c>
      <c r="I1461" s="2"/>
      <c r="J1461" s="463"/>
      <c r="K1461" s="2"/>
    </row>
    <row r="1462" spans="1:11" hidden="1">
      <c r="A1462" s="559"/>
      <c r="H1462" s="515" t="s">
        <v>442</v>
      </c>
      <c r="I1462" s="2"/>
      <c r="J1462" s="463"/>
      <c r="K1462" s="2"/>
    </row>
    <row r="1463" spans="1:11" hidden="1">
      <c r="A1463" s="559"/>
      <c r="F1463" s="519">
        <v>1.44</v>
      </c>
      <c r="G1463" s="518" t="s">
        <v>4000</v>
      </c>
      <c r="H1463" s="509" t="s">
        <v>4001</v>
      </c>
      <c r="I1463" s="492">
        <f>(C195)</f>
        <v>100</v>
      </c>
      <c r="J1463" s="500" t="s">
        <v>4000</v>
      </c>
      <c r="K1463" s="492">
        <f>(F1463*I1463)</f>
        <v>144</v>
      </c>
    </row>
    <row r="1464" spans="1:11" hidden="1">
      <c r="A1464" s="559"/>
      <c r="F1464" s="519">
        <v>0.7</v>
      </c>
      <c r="G1464" s="518" t="s">
        <v>2359</v>
      </c>
      <c r="H1464" s="509" t="s">
        <v>4002</v>
      </c>
      <c r="I1464" s="492">
        <f>(C14)</f>
        <v>120</v>
      </c>
      <c r="J1464" s="500" t="s">
        <v>2359</v>
      </c>
      <c r="K1464" s="492">
        <f>(F1464*I1464)</f>
        <v>84</v>
      </c>
    </row>
    <row r="1465" spans="1:11" hidden="1">
      <c r="A1465" s="559"/>
      <c r="F1465" s="519">
        <v>2.5499999999999998</v>
      </c>
      <c r="G1465" s="518" t="s">
        <v>4000</v>
      </c>
      <c r="H1465" s="509" t="s">
        <v>4003</v>
      </c>
      <c r="I1465" s="492">
        <f>(C194)</f>
        <v>160</v>
      </c>
      <c r="J1465" s="500" t="s">
        <v>4000</v>
      </c>
      <c r="K1465" s="492">
        <f>(F1465*I1465)</f>
        <v>408</v>
      </c>
    </row>
    <row r="1466" spans="1:11" hidden="1">
      <c r="A1466" s="559"/>
      <c r="F1466" s="519">
        <v>1.2</v>
      </c>
      <c r="G1466" s="518" t="s">
        <v>2359</v>
      </c>
      <c r="H1466" s="509" t="s">
        <v>4002</v>
      </c>
      <c r="I1466" s="492">
        <f>(C14)</f>
        <v>120</v>
      </c>
      <c r="J1466" s="500" t="s">
        <v>2359</v>
      </c>
      <c r="K1466" s="492">
        <f>(F1466*I1466)</f>
        <v>144</v>
      </c>
    </row>
    <row r="1467" spans="1:11" hidden="1">
      <c r="A1467" s="559"/>
      <c r="G1467" s="518" t="s">
        <v>2346</v>
      </c>
      <c r="H1467" s="509" t="s">
        <v>3893</v>
      </c>
      <c r="I1467" s="490" t="s">
        <v>30</v>
      </c>
      <c r="J1467" s="500" t="s">
        <v>2346</v>
      </c>
      <c r="K1467" s="492">
        <v>1.5</v>
      </c>
    </row>
    <row r="1468" spans="1:11" hidden="1">
      <c r="A1468" s="559"/>
      <c r="I1468" s="2"/>
      <c r="J1468" s="463"/>
      <c r="K1468" s="491" t="s">
        <v>442</v>
      </c>
    </row>
    <row r="1469" spans="1:11" hidden="1">
      <c r="A1469" s="559"/>
      <c r="H1469" s="509" t="s">
        <v>2358</v>
      </c>
      <c r="I1469" s="2"/>
      <c r="J1469" s="463"/>
      <c r="K1469" s="492">
        <f>SUM(K1463:K1467)</f>
        <v>781.5</v>
      </c>
    </row>
    <row r="1470" spans="1:11" hidden="1">
      <c r="A1470" s="559"/>
      <c r="I1470" s="2"/>
      <c r="J1470" s="463"/>
      <c r="K1470" s="491" t="s">
        <v>442</v>
      </c>
    </row>
    <row r="1471" spans="1:11" hidden="1">
      <c r="A1471" s="559"/>
      <c r="H1471" s="509" t="s">
        <v>2355</v>
      </c>
      <c r="I1471" s="2"/>
      <c r="J1471" s="463"/>
      <c r="K1471" s="492">
        <f>(K1469/10)</f>
        <v>78.150000000000006</v>
      </c>
    </row>
    <row r="1472" spans="1:11" hidden="1">
      <c r="A1472" s="559"/>
      <c r="F1472" s="509" t="s">
        <v>30</v>
      </c>
      <c r="I1472" s="2"/>
      <c r="J1472" s="463"/>
      <c r="K1472" s="2"/>
    </row>
    <row r="1473" spans="1:11" hidden="1">
      <c r="A1473" s="559"/>
      <c r="I1473" s="2"/>
      <c r="J1473" s="463"/>
      <c r="K1473" s="491" t="s">
        <v>29</v>
      </c>
    </row>
    <row r="1474" spans="1:11" hidden="1">
      <c r="A1474" s="559"/>
      <c r="F1474" s="524">
        <v>41</v>
      </c>
      <c r="G1474" s="518" t="s">
        <v>575</v>
      </c>
      <c r="H1474" s="509" t="s">
        <v>3997</v>
      </c>
      <c r="I1474" s="2"/>
      <c r="J1474" s="463"/>
      <c r="K1474" s="2"/>
    </row>
    <row r="1475" spans="1:11" hidden="1">
      <c r="A1475" s="559"/>
      <c r="H1475" s="509" t="s">
        <v>4004</v>
      </c>
      <c r="I1475" s="2"/>
      <c r="J1475" s="463"/>
      <c r="K1475" s="2"/>
    </row>
    <row r="1476" spans="1:11" hidden="1">
      <c r="A1476" s="559"/>
      <c r="H1476" s="509" t="s">
        <v>3999</v>
      </c>
      <c r="I1476" s="2"/>
      <c r="J1476" s="463"/>
      <c r="K1476" s="2"/>
    </row>
    <row r="1477" spans="1:11" hidden="1">
      <c r="A1477" s="559"/>
      <c r="H1477" s="515" t="s">
        <v>442</v>
      </c>
      <c r="I1477" s="2"/>
      <c r="J1477" s="463"/>
      <c r="K1477" s="2"/>
    </row>
    <row r="1478" spans="1:11" hidden="1">
      <c r="A1478" s="559"/>
      <c r="F1478" s="519">
        <v>2.2200000000000002</v>
      </c>
      <c r="G1478" s="518" t="s">
        <v>4000</v>
      </c>
      <c r="H1478" s="509" t="s">
        <v>4003</v>
      </c>
      <c r="I1478" s="492">
        <f>(C206)</f>
        <v>150</v>
      </c>
      <c r="J1478" s="500" t="s">
        <v>4000</v>
      </c>
      <c r="K1478" s="492">
        <f>(F1478*I1478)</f>
        <v>333.00000000000006</v>
      </c>
    </row>
    <row r="1479" spans="1:11" hidden="1">
      <c r="A1479" s="559"/>
      <c r="F1479" s="519">
        <v>1.1000000000000001</v>
      </c>
      <c r="G1479" s="518" t="s">
        <v>2359</v>
      </c>
      <c r="H1479" s="509" t="s">
        <v>4002</v>
      </c>
      <c r="I1479" s="492">
        <f>(C14)</f>
        <v>120</v>
      </c>
      <c r="J1479" s="500" t="s">
        <v>2359</v>
      </c>
      <c r="K1479" s="492">
        <f>(F1479*I1479)</f>
        <v>132</v>
      </c>
    </row>
    <row r="1480" spans="1:11" hidden="1">
      <c r="A1480" s="559"/>
      <c r="G1480" s="518" t="s">
        <v>2346</v>
      </c>
      <c r="H1480" s="509" t="s">
        <v>3893</v>
      </c>
      <c r="I1480" s="490" t="s">
        <v>30</v>
      </c>
      <c r="J1480" s="500" t="s">
        <v>2346</v>
      </c>
      <c r="K1480" s="492">
        <v>1.5</v>
      </c>
    </row>
    <row r="1481" spans="1:11" hidden="1">
      <c r="A1481" s="559"/>
      <c r="I1481" s="2"/>
      <c r="J1481" s="463"/>
      <c r="K1481" s="491" t="s">
        <v>442</v>
      </c>
    </row>
    <row r="1482" spans="1:11" hidden="1">
      <c r="A1482" s="559"/>
      <c r="H1482" s="509" t="s">
        <v>2358</v>
      </c>
      <c r="I1482" s="2"/>
      <c r="J1482" s="463"/>
      <c r="K1482" s="492">
        <f>SUM(K1478:K1480)</f>
        <v>466.50000000000006</v>
      </c>
    </row>
    <row r="1483" spans="1:11" hidden="1">
      <c r="A1483" s="559"/>
      <c r="I1483" s="2"/>
      <c r="J1483" s="463"/>
      <c r="K1483" s="491" t="s">
        <v>442</v>
      </c>
    </row>
    <row r="1484" spans="1:11" hidden="1">
      <c r="A1484" s="559"/>
      <c r="H1484" s="509" t="s">
        <v>2355</v>
      </c>
      <c r="I1484" s="2"/>
      <c r="J1484" s="463"/>
      <c r="K1484" s="492">
        <f>(K1482/10)</f>
        <v>46.650000000000006</v>
      </c>
    </row>
    <row r="1485" spans="1:11" hidden="1">
      <c r="A1485" s="559"/>
      <c r="H1485" s="509"/>
      <c r="I1485" s="2"/>
      <c r="J1485" s="463"/>
      <c r="K1485" s="492"/>
    </row>
    <row r="1486" spans="1:11" hidden="1">
      <c r="A1486" s="559"/>
      <c r="H1486" s="509"/>
      <c r="I1486" s="2"/>
      <c r="J1486" s="463"/>
      <c r="K1486" s="492"/>
    </row>
    <row r="1487" spans="1:11" hidden="1">
      <c r="A1487" s="559"/>
      <c r="F1487" s="524">
        <v>238</v>
      </c>
      <c r="G1487" s="518" t="s">
        <v>575</v>
      </c>
      <c r="H1487" s="509" t="s">
        <v>4005</v>
      </c>
      <c r="I1487" s="2"/>
      <c r="J1487" s="463"/>
      <c r="K1487" s="2"/>
    </row>
    <row r="1488" spans="1:11" hidden="1">
      <c r="A1488" s="559"/>
      <c r="H1488" s="509" t="s">
        <v>4006</v>
      </c>
      <c r="I1488" s="2"/>
      <c r="J1488" s="463"/>
      <c r="K1488" s="2"/>
    </row>
    <row r="1489" spans="1:11" hidden="1">
      <c r="A1489" s="559"/>
      <c r="H1489" s="515" t="s">
        <v>442</v>
      </c>
      <c r="I1489" s="2"/>
      <c r="J1489" s="463"/>
      <c r="K1489" s="2"/>
    </row>
    <row r="1490" spans="1:11" hidden="1">
      <c r="A1490" s="559"/>
      <c r="F1490" s="519">
        <v>20</v>
      </c>
      <c r="G1490" s="518" t="s">
        <v>4000</v>
      </c>
      <c r="H1490" s="509" t="s">
        <v>4007</v>
      </c>
      <c r="I1490" s="492">
        <f>D40</f>
        <v>105.45</v>
      </c>
      <c r="J1490" s="500" t="s">
        <v>4000</v>
      </c>
      <c r="K1490" s="492">
        <f>(F1490*I1490)</f>
        <v>2109</v>
      </c>
    </row>
    <row r="1491" spans="1:11" hidden="1">
      <c r="A1491" s="559"/>
      <c r="H1491" s="509" t="s">
        <v>4008</v>
      </c>
      <c r="I1491" s="2"/>
      <c r="J1491" s="463"/>
      <c r="K1491" s="490" t="s">
        <v>30</v>
      </c>
    </row>
    <row r="1492" spans="1:11" hidden="1">
      <c r="A1492" s="559"/>
      <c r="F1492" s="519">
        <v>50</v>
      </c>
      <c r="G1492" s="518" t="s">
        <v>40</v>
      </c>
      <c r="H1492" s="509" t="s">
        <v>2517</v>
      </c>
      <c r="I1492" s="492">
        <f>C67/1000</f>
        <v>3.8</v>
      </c>
      <c r="J1492" s="500" t="s">
        <v>40</v>
      </c>
      <c r="K1492" s="492">
        <f>(F1492*I1492)</f>
        <v>190</v>
      </c>
    </row>
    <row r="1493" spans="1:11" hidden="1">
      <c r="A1493" s="559"/>
      <c r="F1493" s="519">
        <v>1</v>
      </c>
      <c r="G1493" s="518" t="s">
        <v>2346</v>
      </c>
      <c r="H1493" s="509" t="s">
        <v>4009</v>
      </c>
      <c r="I1493" s="492">
        <v>75</v>
      </c>
      <c r="J1493" s="500" t="s">
        <v>2346</v>
      </c>
      <c r="K1493" s="492">
        <f>(F1493*I1493)</f>
        <v>75</v>
      </c>
    </row>
    <row r="1494" spans="1:11" hidden="1">
      <c r="A1494" s="559"/>
      <c r="F1494" s="519">
        <v>1</v>
      </c>
      <c r="G1494" s="518" t="s">
        <v>2346</v>
      </c>
      <c r="H1494" s="509" t="s">
        <v>4010</v>
      </c>
      <c r="I1494" s="492">
        <f>C38</f>
        <v>40</v>
      </c>
      <c r="J1494" s="500" t="s">
        <v>2346</v>
      </c>
      <c r="K1494" s="492">
        <f>(F1494*I1494)</f>
        <v>40</v>
      </c>
    </row>
    <row r="1495" spans="1:11" hidden="1">
      <c r="A1495" s="559"/>
      <c r="F1495" s="519">
        <v>2.5</v>
      </c>
      <c r="G1495" s="518" t="s">
        <v>2346</v>
      </c>
      <c r="H1495" s="509" t="s">
        <v>4011</v>
      </c>
      <c r="I1495" s="492">
        <f>D14</f>
        <v>110</v>
      </c>
      <c r="J1495" s="500" t="s">
        <v>2346</v>
      </c>
      <c r="K1495" s="492">
        <f>(F1495*I1495)</f>
        <v>275</v>
      </c>
    </row>
    <row r="1496" spans="1:11" hidden="1">
      <c r="A1496" s="559"/>
      <c r="G1496" s="518" t="s">
        <v>2346</v>
      </c>
      <c r="H1496" s="509" t="s">
        <v>4012</v>
      </c>
      <c r="I1496" s="2"/>
      <c r="J1496" s="500" t="s">
        <v>2346</v>
      </c>
      <c r="K1496" s="526">
        <v>1.5</v>
      </c>
    </row>
    <row r="1497" spans="1:11" hidden="1">
      <c r="A1497" s="559"/>
      <c r="I1497" s="2"/>
      <c r="J1497" s="463"/>
      <c r="K1497" s="491" t="s">
        <v>442</v>
      </c>
    </row>
    <row r="1498" spans="1:11" hidden="1">
      <c r="A1498" s="559"/>
      <c r="H1498" s="509" t="s">
        <v>4013</v>
      </c>
      <c r="I1498" s="2"/>
      <c r="J1498" s="463"/>
      <c r="K1498" s="492">
        <f>SUM(K1490:K1496)</f>
        <v>2690.5</v>
      </c>
    </row>
    <row r="1499" spans="1:11" hidden="1">
      <c r="A1499" s="559"/>
      <c r="H1499" s="509"/>
      <c r="I1499" s="2"/>
      <c r="J1499" s="463"/>
      <c r="K1499" s="491" t="s">
        <v>442</v>
      </c>
    </row>
    <row r="1500" spans="1:11" hidden="1">
      <c r="A1500" s="559"/>
      <c r="I1500" s="2"/>
      <c r="J1500" s="463"/>
      <c r="K1500" s="491"/>
    </row>
    <row r="1501" spans="1:11" hidden="1">
      <c r="A1501" s="559"/>
      <c r="F1501" s="510" t="s">
        <v>4014</v>
      </c>
      <c r="G1501" s="518" t="s">
        <v>575</v>
      </c>
      <c r="H1501" s="509" t="s">
        <v>2366</v>
      </c>
      <c r="I1501" s="2"/>
      <c r="J1501" s="463"/>
      <c r="K1501" s="2"/>
    </row>
    <row r="1502" spans="1:11" hidden="1">
      <c r="A1502" s="559"/>
      <c r="H1502" s="509" t="s">
        <v>4015</v>
      </c>
      <c r="I1502" s="2"/>
      <c r="J1502" s="463"/>
      <c r="K1502" s="2"/>
    </row>
    <row r="1503" spans="1:11" hidden="1">
      <c r="A1503" s="559"/>
      <c r="H1503" s="515" t="s">
        <v>442</v>
      </c>
      <c r="I1503" s="2"/>
      <c r="J1503" s="463"/>
      <c r="K1503" s="2"/>
    </row>
    <row r="1504" spans="1:11" hidden="1">
      <c r="A1504" s="559"/>
      <c r="F1504" s="519">
        <v>1</v>
      </c>
      <c r="G1504" s="518" t="s">
        <v>2368</v>
      </c>
      <c r="H1504" s="509" t="s">
        <v>2369</v>
      </c>
      <c r="I1504" s="492">
        <f>(C138)</f>
        <v>28000</v>
      </c>
      <c r="J1504" s="500" t="s">
        <v>22</v>
      </c>
      <c r="K1504" s="492">
        <f>(F1504*I1504)/10</f>
        <v>2800</v>
      </c>
    </row>
    <row r="1505" spans="1:15" hidden="1">
      <c r="A1505" s="559"/>
      <c r="F1505" s="528">
        <v>0.01</v>
      </c>
      <c r="G1505" s="518" t="s">
        <v>2368</v>
      </c>
      <c r="H1505" s="509" t="s">
        <v>2370</v>
      </c>
      <c r="I1505" s="492">
        <f>(C142)</f>
        <v>30000</v>
      </c>
      <c r="J1505" s="500" t="s">
        <v>22</v>
      </c>
      <c r="K1505" s="492">
        <f>(F1505*I1505)/10</f>
        <v>30</v>
      </c>
    </row>
    <row r="1506" spans="1:15" hidden="1">
      <c r="A1506" s="559"/>
      <c r="F1506" s="528">
        <v>3.5</v>
      </c>
      <c r="G1506" s="518" t="s">
        <v>2359</v>
      </c>
      <c r="H1506" s="509" t="s">
        <v>2371</v>
      </c>
      <c r="I1506" s="492">
        <f>(C17)</f>
        <v>130</v>
      </c>
      <c r="J1506" s="500" t="s">
        <v>556</v>
      </c>
      <c r="K1506" s="492">
        <f>(F1506*I1506)</f>
        <v>455</v>
      </c>
      <c r="O1506" s="511">
        <f>92+18.4</f>
        <v>110.4</v>
      </c>
    </row>
    <row r="1507" spans="1:15" hidden="1">
      <c r="A1507" s="559"/>
      <c r="F1507" s="519">
        <v>1.3</v>
      </c>
      <c r="G1507" s="518" t="s">
        <v>40</v>
      </c>
      <c r="H1507" s="509" t="s">
        <v>4016</v>
      </c>
      <c r="I1507" s="492">
        <f>C67/1000</f>
        <v>3.8</v>
      </c>
      <c r="J1507" s="500" t="s">
        <v>40</v>
      </c>
      <c r="K1507" s="492">
        <f>(F1507*I1507)</f>
        <v>4.9399999999999995</v>
      </c>
      <c r="O1507" s="511">
        <f>95+19</f>
        <v>114</v>
      </c>
    </row>
    <row r="1508" spans="1:15" hidden="1">
      <c r="A1508" s="559"/>
      <c r="F1508" s="519">
        <v>0.25</v>
      </c>
      <c r="G1508" s="518" t="s">
        <v>2359</v>
      </c>
      <c r="H1508" s="509" t="s">
        <v>4017</v>
      </c>
      <c r="I1508" s="492">
        <f>D14</f>
        <v>110</v>
      </c>
      <c r="J1508" s="500" t="s">
        <v>556</v>
      </c>
      <c r="K1508" s="492">
        <f>(F1508*I1508)</f>
        <v>27.5</v>
      </c>
    </row>
    <row r="1509" spans="1:15" hidden="1">
      <c r="A1509" s="559"/>
      <c r="F1509" s="528"/>
      <c r="G1509" s="518" t="s">
        <v>2346</v>
      </c>
      <c r="H1509" s="509" t="s">
        <v>2347</v>
      </c>
      <c r="I1509" s="2"/>
      <c r="J1509" s="500" t="s">
        <v>2346</v>
      </c>
      <c r="K1509" s="492">
        <f>(F1509*I1509)</f>
        <v>0</v>
      </c>
    </row>
    <row r="1510" spans="1:15" hidden="1">
      <c r="A1510" s="559"/>
      <c r="F1510" s="528"/>
      <c r="I1510" s="2"/>
      <c r="J1510" s="463"/>
      <c r="K1510" s="491" t="s">
        <v>442</v>
      </c>
    </row>
    <row r="1511" spans="1:15" hidden="1">
      <c r="A1511" s="559"/>
      <c r="F1511" s="528"/>
      <c r="H1511" s="509" t="s">
        <v>4018</v>
      </c>
      <c r="I1511" s="2"/>
      <c r="J1511" s="463"/>
      <c r="K1511" s="492">
        <f>SUM(K1504:K1509)</f>
        <v>3317.44</v>
      </c>
    </row>
    <row r="1512" spans="1:15" hidden="1">
      <c r="A1512" s="559"/>
      <c r="F1512" s="528"/>
      <c r="I1512" s="2"/>
      <c r="J1512" s="463"/>
      <c r="K1512" s="491" t="s">
        <v>442</v>
      </c>
    </row>
    <row r="1513" spans="1:15" hidden="1">
      <c r="A1513" s="559"/>
      <c r="F1513" s="528"/>
      <c r="H1513" s="509" t="s">
        <v>2363</v>
      </c>
      <c r="I1513" s="2"/>
      <c r="J1513" s="463"/>
      <c r="K1513" s="492">
        <f>(K1511*10)</f>
        <v>33174.400000000001</v>
      </c>
    </row>
    <row r="1514" spans="1:15" hidden="1">
      <c r="A1514" s="559"/>
      <c r="F1514" s="528"/>
      <c r="I1514" s="2"/>
      <c r="J1514" s="463"/>
      <c r="K1514" s="491" t="s">
        <v>29</v>
      </c>
    </row>
    <row r="1515" spans="1:15" hidden="1">
      <c r="A1515" s="559"/>
      <c r="F1515" s="528"/>
      <c r="I1515" s="2"/>
      <c r="J1515" s="463"/>
      <c r="K1515" s="491"/>
    </row>
    <row r="1516" spans="1:15" hidden="1">
      <c r="A1516" s="559"/>
      <c r="F1516" s="528"/>
      <c r="H1516" s="568" t="s">
        <v>4019</v>
      </c>
      <c r="I1516" s="2"/>
      <c r="J1516" s="463"/>
      <c r="K1516" s="491"/>
    </row>
    <row r="1517" spans="1:15" hidden="1">
      <c r="A1517" s="559"/>
      <c r="F1517" s="519">
        <v>1</v>
      </c>
      <c r="G1517" s="518" t="s">
        <v>2368</v>
      </c>
      <c r="H1517" s="509" t="s">
        <v>4020</v>
      </c>
      <c r="I1517" s="2">
        <f>C137</f>
        <v>26500</v>
      </c>
      <c r="J1517" s="500" t="s">
        <v>22</v>
      </c>
      <c r="K1517" s="492">
        <f>(F1517*I1517)/10</f>
        <v>2650</v>
      </c>
    </row>
    <row r="1518" spans="1:15" hidden="1">
      <c r="A1518" s="559"/>
      <c r="F1518" s="528">
        <v>0.01</v>
      </c>
      <c r="G1518" s="518" t="s">
        <v>2368</v>
      </c>
      <c r="H1518" s="509" t="s">
        <v>2370</v>
      </c>
      <c r="I1518" s="2">
        <f>C142</f>
        <v>30000</v>
      </c>
      <c r="J1518" s="500" t="s">
        <v>22</v>
      </c>
      <c r="K1518" s="492">
        <f>(F1518*I1518)/10</f>
        <v>30</v>
      </c>
    </row>
    <row r="1519" spans="1:15" hidden="1">
      <c r="A1519" s="559"/>
      <c r="F1519" s="528">
        <v>3.5</v>
      </c>
      <c r="G1519" s="518" t="s">
        <v>2359</v>
      </c>
      <c r="H1519" s="509" t="s">
        <v>2371</v>
      </c>
      <c r="I1519" s="2">
        <f>C17</f>
        <v>130</v>
      </c>
      <c r="J1519" s="500" t="s">
        <v>556</v>
      </c>
      <c r="K1519" s="492">
        <f>(F1519*I1519)</f>
        <v>455</v>
      </c>
    </row>
    <row r="1520" spans="1:15" hidden="1">
      <c r="A1520" s="559"/>
      <c r="F1520" s="519">
        <v>1.3</v>
      </c>
      <c r="G1520" s="518" t="s">
        <v>40</v>
      </c>
      <c r="H1520" s="509" t="s">
        <v>4016</v>
      </c>
      <c r="I1520" s="2">
        <f>C67/1000</f>
        <v>3.8</v>
      </c>
      <c r="J1520" s="500" t="s">
        <v>40</v>
      </c>
      <c r="K1520" s="492">
        <f>(F1520*I1520)</f>
        <v>4.9399999999999995</v>
      </c>
    </row>
    <row r="1521" spans="1:11" hidden="1">
      <c r="A1521" s="559"/>
      <c r="F1521" s="519">
        <v>0.25</v>
      </c>
      <c r="G1521" s="518" t="s">
        <v>2359</v>
      </c>
      <c r="H1521" s="509" t="s">
        <v>4017</v>
      </c>
      <c r="I1521" s="2">
        <f>D14</f>
        <v>110</v>
      </c>
      <c r="J1521" s="500" t="s">
        <v>556</v>
      </c>
      <c r="K1521" s="492">
        <f>(F1521*I1521)</f>
        <v>27.5</v>
      </c>
    </row>
    <row r="1522" spans="1:11" hidden="1">
      <c r="A1522" s="559"/>
      <c r="F1522" s="528"/>
      <c r="G1522" s="518" t="s">
        <v>2346</v>
      </c>
      <c r="H1522" s="509" t="s">
        <v>2347</v>
      </c>
      <c r="I1522" s="2"/>
      <c r="J1522" s="500" t="s">
        <v>2346</v>
      </c>
      <c r="K1522" s="492">
        <f>(F1522*I1522)</f>
        <v>0</v>
      </c>
    </row>
    <row r="1523" spans="1:11" hidden="1">
      <c r="A1523" s="559"/>
      <c r="F1523" s="528"/>
      <c r="I1523" s="2"/>
      <c r="J1523" s="463"/>
      <c r="K1523" s="491" t="s">
        <v>442</v>
      </c>
    </row>
    <row r="1524" spans="1:11" hidden="1">
      <c r="A1524" s="559"/>
      <c r="F1524" s="528"/>
      <c r="H1524" s="509" t="s">
        <v>4018</v>
      </c>
      <c r="I1524" s="2"/>
      <c r="J1524" s="463"/>
      <c r="K1524" s="492">
        <f>SUM(K1517:K1522)</f>
        <v>3167.44</v>
      </c>
    </row>
    <row r="1525" spans="1:11" hidden="1">
      <c r="A1525" s="559"/>
      <c r="F1525" s="528"/>
      <c r="I1525" s="2"/>
      <c r="J1525" s="463"/>
      <c r="K1525" s="491" t="s">
        <v>442</v>
      </c>
    </row>
    <row r="1526" spans="1:11" hidden="1">
      <c r="A1526" s="559"/>
      <c r="F1526" s="528"/>
      <c r="H1526" s="509" t="s">
        <v>2363</v>
      </c>
      <c r="I1526" s="2"/>
      <c r="J1526" s="463"/>
      <c r="K1526" s="492">
        <f>(K1524*10)</f>
        <v>31674.400000000001</v>
      </c>
    </row>
    <row r="1527" spans="1:11" hidden="1">
      <c r="A1527" s="559"/>
      <c r="F1527" s="528"/>
      <c r="I1527" s="2"/>
      <c r="J1527" s="463"/>
      <c r="K1527" s="491" t="s">
        <v>29</v>
      </c>
    </row>
    <row r="1528" spans="1:11" hidden="1">
      <c r="A1528" s="559"/>
      <c r="F1528" s="528"/>
      <c r="H1528" s="509" t="s">
        <v>30</v>
      </c>
      <c r="I1528" s="2"/>
      <c r="J1528" s="463"/>
      <c r="K1528" s="490" t="s">
        <v>30</v>
      </c>
    </row>
    <row r="1529" spans="1:11" hidden="1">
      <c r="A1529" s="559"/>
      <c r="F1529" s="569" t="s">
        <v>2364</v>
      </c>
      <c r="G1529" s="518" t="s">
        <v>2365</v>
      </c>
      <c r="H1529" s="509" t="s">
        <v>2366</v>
      </c>
      <c r="I1529" s="2"/>
      <c r="J1529" s="463"/>
      <c r="K1529" s="2"/>
    </row>
    <row r="1530" spans="1:11" hidden="1">
      <c r="A1530" s="559"/>
      <c r="F1530" s="528"/>
      <c r="H1530" s="509" t="s">
        <v>2367</v>
      </c>
      <c r="I1530" s="2"/>
      <c r="J1530" s="463"/>
      <c r="K1530" s="2"/>
    </row>
    <row r="1531" spans="1:11" hidden="1">
      <c r="A1531" s="559"/>
      <c r="F1531" s="528"/>
      <c r="H1531" s="515" t="s">
        <v>442</v>
      </c>
      <c r="I1531" s="2"/>
      <c r="J1531" s="463"/>
      <c r="K1531" s="2"/>
    </row>
    <row r="1532" spans="1:11" hidden="1">
      <c r="A1532" s="559"/>
      <c r="F1532" s="519">
        <v>1</v>
      </c>
      <c r="G1532" s="518" t="s">
        <v>2368</v>
      </c>
      <c r="H1532" s="509" t="s">
        <v>2369</v>
      </c>
      <c r="I1532" s="492">
        <f>(C138)</f>
        <v>28000</v>
      </c>
      <c r="J1532" s="500" t="s">
        <v>22</v>
      </c>
      <c r="K1532" s="492">
        <f>(F1532*I1532)/10</f>
        <v>2800</v>
      </c>
    </row>
    <row r="1533" spans="1:11" hidden="1">
      <c r="A1533" s="559"/>
      <c r="F1533" s="528">
        <v>0.01</v>
      </c>
      <c r="G1533" s="518" t="s">
        <v>2368</v>
      </c>
      <c r="H1533" s="509" t="s">
        <v>2370</v>
      </c>
      <c r="I1533" s="492">
        <f>(C142)</f>
        <v>30000</v>
      </c>
      <c r="J1533" s="500" t="s">
        <v>22</v>
      </c>
      <c r="K1533" s="492">
        <f>(F1533*I1533)/10</f>
        <v>30</v>
      </c>
    </row>
    <row r="1534" spans="1:11" hidden="1">
      <c r="A1534" s="559"/>
      <c r="F1534" s="528">
        <v>3.5</v>
      </c>
      <c r="G1534" s="518" t="s">
        <v>2359</v>
      </c>
      <c r="H1534" s="509" t="s">
        <v>2371</v>
      </c>
      <c r="I1534" s="492">
        <f>(C17)</f>
        <v>130</v>
      </c>
      <c r="J1534" s="500" t="s">
        <v>2359</v>
      </c>
      <c r="K1534" s="492">
        <f>(F1534*I1534)</f>
        <v>455</v>
      </c>
    </row>
    <row r="1535" spans="1:11" hidden="1">
      <c r="A1535" s="559"/>
      <c r="F1535" s="528"/>
      <c r="G1535" s="518" t="s">
        <v>2346</v>
      </c>
      <c r="H1535" s="509" t="s">
        <v>2347</v>
      </c>
      <c r="I1535" s="2"/>
      <c r="J1535" s="500" t="s">
        <v>2346</v>
      </c>
      <c r="K1535" s="492">
        <v>0</v>
      </c>
    </row>
    <row r="1536" spans="1:11" hidden="1">
      <c r="A1536" s="559"/>
      <c r="I1536" s="2"/>
      <c r="J1536" s="463"/>
      <c r="K1536" s="491" t="s">
        <v>442</v>
      </c>
    </row>
    <row r="1537" spans="1:11" hidden="1">
      <c r="A1537" s="559"/>
      <c r="H1537" s="509" t="s">
        <v>4018</v>
      </c>
      <c r="I1537" s="2"/>
      <c r="J1537" s="463"/>
      <c r="K1537" s="492">
        <f>SUM(K1532:K1535)</f>
        <v>3285</v>
      </c>
    </row>
    <row r="1538" spans="1:11" hidden="1">
      <c r="A1538" s="559"/>
      <c r="I1538" s="2"/>
      <c r="J1538" s="463"/>
      <c r="K1538" s="491" t="s">
        <v>442</v>
      </c>
    </row>
    <row r="1539" spans="1:11" hidden="1">
      <c r="A1539" s="559"/>
      <c r="H1539" s="509" t="s">
        <v>2363</v>
      </c>
      <c r="I1539" s="2"/>
      <c r="J1539" s="463"/>
      <c r="K1539" s="492">
        <f>(K1537*10)</f>
        <v>32850</v>
      </c>
    </row>
    <row r="1540" spans="1:11" hidden="1">
      <c r="A1540" s="559"/>
      <c r="H1540" s="509" t="s">
        <v>30</v>
      </c>
      <c r="I1540" s="2"/>
      <c r="J1540" s="463"/>
      <c r="K1540" s="490" t="s">
        <v>30</v>
      </c>
    </row>
    <row r="1541" spans="1:11" hidden="1">
      <c r="A1541" s="559"/>
      <c r="G1541" s="512" t="s">
        <v>3335</v>
      </c>
      <c r="H1541" s="509" t="s">
        <v>2366</v>
      </c>
      <c r="I1541" s="2"/>
      <c r="J1541" s="463"/>
      <c r="K1541" s="490"/>
    </row>
    <row r="1542" spans="1:11" hidden="1">
      <c r="A1542" s="559"/>
      <c r="H1542" s="509" t="s">
        <v>4021</v>
      </c>
      <c r="I1542" s="2"/>
      <c r="J1542" s="463"/>
      <c r="K1542" s="490"/>
    </row>
    <row r="1543" spans="1:11" hidden="1">
      <c r="A1543" s="559"/>
      <c r="F1543" s="528"/>
      <c r="H1543" s="515" t="s">
        <v>442</v>
      </c>
      <c r="I1543" s="2"/>
      <c r="J1543" s="463"/>
      <c r="K1543" s="490"/>
    </row>
    <row r="1544" spans="1:11" hidden="1">
      <c r="A1544" s="559"/>
      <c r="F1544" s="519">
        <v>1</v>
      </c>
      <c r="G1544" s="518" t="s">
        <v>2368</v>
      </c>
      <c r="H1544" s="509" t="s">
        <v>4020</v>
      </c>
      <c r="I1544" s="2">
        <f>C137</f>
        <v>26500</v>
      </c>
      <c r="J1544" s="500" t="s">
        <v>22</v>
      </c>
      <c r="K1544" s="492">
        <f>(F1544*I1544)/10</f>
        <v>2650</v>
      </c>
    </row>
    <row r="1545" spans="1:11" hidden="1">
      <c r="A1545" s="559"/>
      <c r="F1545" s="528">
        <v>0.01</v>
      </c>
      <c r="G1545" s="518" t="s">
        <v>2368</v>
      </c>
      <c r="H1545" s="509" t="s">
        <v>2370</v>
      </c>
      <c r="I1545" s="2">
        <f>C142</f>
        <v>30000</v>
      </c>
      <c r="J1545" s="500" t="s">
        <v>22</v>
      </c>
      <c r="K1545" s="492">
        <f>(F1545*I1545)/10</f>
        <v>30</v>
      </c>
    </row>
    <row r="1546" spans="1:11" hidden="1">
      <c r="A1546" s="559"/>
      <c r="F1546" s="528">
        <v>3.5</v>
      </c>
      <c r="G1546" s="518" t="s">
        <v>2359</v>
      </c>
      <c r="H1546" s="509" t="s">
        <v>2371</v>
      </c>
      <c r="I1546" s="2">
        <f>C17</f>
        <v>130</v>
      </c>
      <c r="J1546" s="500" t="s">
        <v>2359</v>
      </c>
      <c r="K1546" s="492">
        <f>(F1546*I1546)</f>
        <v>455</v>
      </c>
    </row>
    <row r="1547" spans="1:11" hidden="1">
      <c r="A1547" s="559"/>
      <c r="F1547" s="528"/>
      <c r="G1547" s="518" t="s">
        <v>2346</v>
      </c>
      <c r="H1547" s="509" t="s">
        <v>2347</v>
      </c>
      <c r="I1547" s="2"/>
      <c r="J1547" s="500" t="s">
        <v>2346</v>
      </c>
      <c r="K1547" s="492">
        <v>0</v>
      </c>
    </row>
    <row r="1548" spans="1:11" hidden="1">
      <c r="A1548" s="559"/>
      <c r="I1548" s="2"/>
      <c r="J1548" s="463"/>
      <c r="K1548" s="491" t="s">
        <v>442</v>
      </c>
    </row>
    <row r="1549" spans="1:11" hidden="1">
      <c r="A1549" s="559"/>
      <c r="H1549" s="509" t="s">
        <v>4018</v>
      </c>
      <c r="I1549" s="2"/>
      <c r="J1549" s="463"/>
      <c r="K1549" s="492">
        <f>SUM(K1544:K1547)</f>
        <v>3135</v>
      </c>
    </row>
    <row r="1550" spans="1:11" hidden="1">
      <c r="A1550" s="559"/>
      <c r="I1550" s="2"/>
      <c r="J1550" s="463"/>
      <c r="K1550" s="491" t="s">
        <v>442</v>
      </c>
    </row>
    <row r="1551" spans="1:11" hidden="1">
      <c r="A1551" s="559"/>
      <c r="H1551" s="509" t="s">
        <v>2363</v>
      </c>
      <c r="I1551" s="2"/>
      <c r="J1551" s="463"/>
      <c r="K1551" s="492">
        <f>(K1549*10)</f>
        <v>31350</v>
      </c>
    </row>
    <row r="1552" spans="1:11" hidden="1">
      <c r="A1552" s="559"/>
      <c r="H1552" s="509" t="s">
        <v>30</v>
      </c>
      <c r="I1552" s="2"/>
      <c r="J1552" s="463"/>
      <c r="K1552" s="2"/>
    </row>
    <row r="1553" spans="1:11" hidden="1">
      <c r="A1553" s="559"/>
      <c r="F1553" s="529">
        <v>44.1</v>
      </c>
      <c r="G1553" s="518" t="s">
        <v>575</v>
      </c>
      <c r="H1553" s="509" t="s">
        <v>4022</v>
      </c>
      <c r="I1553" s="2"/>
      <c r="J1553" s="463"/>
      <c r="K1553" s="2"/>
    </row>
    <row r="1554" spans="1:11" hidden="1">
      <c r="A1554" s="559"/>
      <c r="H1554" s="509" t="s">
        <v>4023</v>
      </c>
      <c r="I1554" s="2"/>
      <c r="J1554" s="463"/>
      <c r="K1554" s="2"/>
    </row>
    <row r="1555" spans="1:11" hidden="1">
      <c r="A1555" s="559"/>
      <c r="H1555" s="509" t="s">
        <v>4024</v>
      </c>
      <c r="I1555" s="2"/>
      <c r="J1555" s="463"/>
      <c r="K1555" s="2"/>
    </row>
    <row r="1556" spans="1:11" hidden="1">
      <c r="A1556" s="559"/>
      <c r="H1556" s="515" t="s">
        <v>442</v>
      </c>
      <c r="I1556" s="2"/>
      <c r="J1556" s="463"/>
      <c r="K1556" s="2"/>
    </row>
    <row r="1557" spans="1:11" hidden="1">
      <c r="A1557" s="559"/>
      <c r="F1557" s="519">
        <v>3</v>
      </c>
      <c r="G1557" s="518" t="s">
        <v>2205</v>
      </c>
      <c r="H1557" s="509" t="s">
        <v>4025</v>
      </c>
      <c r="I1557" s="492">
        <f>(C598)</f>
        <v>120</v>
      </c>
      <c r="J1557" s="500" t="s">
        <v>2205</v>
      </c>
      <c r="K1557" s="492">
        <f t="shared" ref="K1557:K1562" si="56">(F1557*I1557)</f>
        <v>360</v>
      </c>
    </row>
    <row r="1558" spans="1:11" hidden="1">
      <c r="A1558" s="559"/>
      <c r="F1558" s="519">
        <v>1</v>
      </c>
      <c r="G1558" s="518" t="s">
        <v>2342</v>
      </c>
      <c r="H1558" s="509" t="s">
        <v>4026</v>
      </c>
      <c r="I1558" s="492">
        <f>(C601)</f>
        <v>65</v>
      </c>
      <c r="J1558" s="500" t="s">
        <v>2342</v>
      </c>
      <c r="K1558" s="492">
        <f t="shared" si="56"/>
        <v>65</v>
      </c>
    </row>
    <row r="1559" spans="1:11" hidden="1">
      <c r="A1559" s="559"/>
      <c r="F1559" s="519">
        <v>1</v>
      </c>
      <c r="G1559" s="518" t="s">
        <v>2342</v>
      </c>
      <c r="H1559" s="509" t="s">
        <v>4027</v>
      </c>
      <c r="I1559" s="492">
        <f>(C604)</f>
        <v>45</v>
      </c>
      <c r="J1559" s="500" t="s">
        <v>2342</v>
      </c>
      <c r="K1559" s="492">
        <f t="shared" si="56"/>
        <v>45</v>
      </c>
    </row>
    <row r="1560" spans="1:11" hidden="1">
      <c r="A1560" s="559"/>
      <c r="F1560" s="519">
        <v>2</v>
      </c>
      <c r="G1560" s="518" t="s">
        <v>2342</v>
      </c>
      <c r="H1560" s="509" t="s">
        <v>4028</v>
      </c>
      <c r="I1560" s="492">
        <f>C575</f>
        <v>16.440000000000001</v>
      </c>
      <c r="J1560" s="500" t="s">
        <v>2342</v>
      </c>
      <c r="K1560" s="492">
        <f t="shared" si="56"/>
        <v>32.880000000000003</v>
      </c>
    </row>
    <row r="1561" spans="1:11" hidden="1">
      <c r="A1561" s="559"/>
      <c r="F1561" s="519">
        <v>1</v>
      </c>
      <c r="G1561" s="518" t="s">
        <v>2342</v>
      </c>
      <c r="H1561" s="509" t="s">
        <v>4029</v>
      </c>
      <c r="I1561" s="492">
        <f>(C666)</f>
        <v>18</v>
      </c>
      <c r="J1561" s="500" t="s">
        <v>2342</v>
      </c>
      <c r="K1561" s="492">
        <f t="shared" si="56"/>
        <v>18</v>
      </c>
    </row>
    <row r="1562" spans="1:11" hidden="1">
      <c r="A1562" s="559"/>
      <c r="F1562" s="519">
        <v>0.5</v>
      </c>
      <c r="G1562" s="518" t="s">
        <v>2342</v>
      </c>
      <c r="H1562" s="509" t="s">
        <v>4030</v>
      </c>
      <c r="I1562" s="492">
        <f>(C15)</f>
        <v>130</v>
      </c>
      <c r="J1562" s="500" t="s">
        <v>2342</v>
      </c>
      <c r="K1562" s="492">
        <f t="shared" si="56"/>
        <v>65</v>
      </c>
    </row>
    <row r="1563" spans="1:11" hidden="1">
      <c r="A1563" s="559"/>
      <c r="G1563" s="518" t="s">
        <v>2346</v>
      </c>
      <c r="H1563" s="509" t="s">
        <v>4031</v>
      </c>
      <c r="I1563" s="2"/>
      <c r="J1563" s="500" t="s">
        <v>2346</v>
      </c>
      <c r="K1563" s="492">
        <v>0.75</v>
      </c>
    </row>
    <row r="1564" spans="1:11" hidden="1">
      <c r="A1564" s="559"/>
      <c r="H1564" s="509" t="s">
        <v>4032</v>
      </c>
      <c r="I1564" s="2"/>
      <c r="J1564" s="463"/>
      <c r="K1564" s="2"/>
    </row>
    <row r="1565" spans="1:11" hidden="1">
      <c r="A1565" s="559"/>
      <c r="I1565" s="2"/>
      <c r="J1565" s="463"/>
      <c r="K1565" s="491" t="s">
        <v>442</v>
      </c>
    </row>
    <row r="1566" spans="1:11" hidden="1">
      <c r="A1566" s="559"/>
      <c r="H1566" s="509" t="s">
        <v>4033</v>
      </c>
      <c r="I1566" s="2"/>
      <c r="J1566" s="463"/>
      <c r="K1566" s="492">
        <f>SUM(K1557:K1563)</f>
        <v>586.63</v>
      </c>
    </row>
    <row r="1567" spans="1:11" hidden="1">
      <c r="A1567" s="559"/>
      <c r="F1567" s="509" t="s">
        <v>30</v>
      </c>
      <c r="I1567" s="2"/>
      <c r="J1567" s="463"/>
      <c r="K1567" s="2"/>
    </row>
    <row r="1568" spans="1:11" hidden="1">
      <c r="A1568" s="559"/>
      <c r="I1568" s="2"/>
      <c r="J1568" s="463"/>
      <c r="K1568" s="491" t="s">
        <v>442</v>
      </c>
    </row>
    <row r="1569" spans="1:11" hidden="1">
      <c r="A1569" s="559"/>
      <c r="H1569" s="509" t="s">
        <v>2990</v>
      </c>
      <c r="I1569" s="2"/>
      <c r="J1569" s="463"/>
      <c r="K1569" s="492">
        <f>(K1566/3)</f>
        <v>195.54333333333332</v>
      </c>
    </row>
    <row r="1570" spans="1:11" hidden="1">
      <c r="A1570" s="559"/>
      <c r="H1570" s="509"/>
      <c r="I1570" s="2"/>
      <c r="J1570" s="463"/>
      <c r="K1570" s="491" t="s">
        <v>29</v>
      </c>
    </row>
    <row r="1571" spans="1:11" hidden="1">
      <c r="A1571" s="559"/>
      <c r="F1571" s="510" t="s">
        <v>4034</v>
      </c>
      <c r="H1571" s="509" t="s">
        <v>4035</v>
      </c>
      <c r="I1571" s="2"/>
      <c r="J1571" s="463"/>
      <c r="K1571" s="2"/>
    </row>
    <row r="1572" spans="1:11" hidden="1">
      <c r="A1572" s="559"/>
      <c r="H1572" s="509" t="s">
        <v>4036</v>
      </c>
      <c r="I1572" s="2"/>
      <c r="J1572" s="463"/>
      <c r="K1572" s="2"/>
    </row>
    <row r="1573" spans="1:11" hidden="1">
      <c r="A1573" s="559"/>
      <c r="H1573" s="509" t="s">
        <v>4037</v>
      </c>
      <c r="I1573" s="2"/>
      <c r="J1573" s="463"/>
      <c r="K1573" s="2"/>
    </row>
    <row r="1574" spans="1:11" hidden="1">
      <c r="A1574" s="559"/>
      <c r="H1574" s="515" t="s">
        <v>442</v>
      </c>
      <c r="I1574" s="2"/>
      <c r="J1574" s="463"/>
      <c r="K1574" s="2"/>
    </row>
    <row r="1575" spans="1:11" hidden="1">
      <c r="A1575" s="559"/>
      <c r="F1575" s="519">
        <v>0.15</v>
      </c>
      <c r="G1575" s="518" t="s">
        <v>2334</v>
      </c>
      <c r="H1575" s="509" t="s">
        <v>4038</v>
      </c>
      <c r="I1575" s="492" t="e">
        <f>(C70)</f>
        <v>#REF!</v>
      </c>
      <c r="J1575" s="500" t="s">
        <v>2334</v>
      </c>
      <c r="K1575" s="492" t="e">
        <f>(F1575*I1575)</f>
        <v>#REF!</v>
      </c>
    </row>
    <row r="1576" spans="1:11" hidden="1">
      <c r="A1576" s="559"/>
      <c r="F1576" s="542">
        <v>8.6499999999999994E-2</v>
      </c>
      <c r="G1576" s="518" t="s">
        <v>2516</v>
      </c>
      <c r="H1576" s="509" t="s">
        <v>2517</v>
      </c>
      <c r="I1576" s="492">
        <f>(C67)</f>
        <v>3800</v>
      </c>
      <c r="J1576" s="500" t="s">
        <v>2516</v>
      </c>
      <c r="K1576" s="492">
        <f>(F1576*I1576)</f>
        <v>328.7</v>
      </c>
    </row>
    <row r="1577" spans="1:11" hidden="1">
      <c r="A1577" s="559"/>
      <c r="F1577" s="519">
        <v>1.6</v>
      </c>
      <c r="G1577" s="518" t="s">
        <v>2359</v>
      </c>
      <c r="H1577" s="509" t="s">
        <v>2353</v>
      </c>
      <c r="I1577" s="492">
        <f>(C10)</f>
        <v>150</v>
      </c>
      <c r="J1577" s="500" t="s">
        <v>2359</v>
      </c>
      <c r="K1577" s="492">
        <f>(F1577*I1577)</f>
        <v>240</v>
      </c>
    </row>
    <row r="1578" spans="1:11" hidden="1">
      <c r="A1578" s="559"/>
      <c r="F1578" s="519">
        <v>0.5</v>
      </c>
      <c r="G1578" s="518" t="s">
        <v>2359</v>
      </c>
      <c r="H1578" s="509" t="s">
        <v>2344</v>
      </c>
      <c r="I1578" s="492">
        <f>(C12)</f>
        <v>95</v>
      </c>
      <c r="J1578" s="500" t="s">
        <v>2359</v>
      </c>
      <c r="K1578" s="492">
        <f>(F1578*I1578)</f>
        <v>47.5</v>
      </c>
    </row>
    <row r="1579" spans="1:11" hidden="1">
      <c r="A1579" s="559"/>
      <c r="F1579" s="519">
        <v>1.1000000000000001</v>
      </c>
      <c r="G1579" s="518" t="s">
        <v>2359</v>
      </c>
      <c r="H1579" s="509" t="s">
        <v>2345</v>
      </c>
      <c r="I1579" s="492">
        <f>(C13)</f>
        <v>85</v>
      </c>
      <c r="J1579" s="500" t="s">
        <v>2359</v>
      </c>
      <c r="K1579" s="492">
        <f>(F1579*I1579)</f>
        <v>93.500000000000014</v>
      </c>
    </row>
    <row r="1580" spans="1:11" hidden="1">
      <c r="A1580" s="559"/>
      <c r="G1580" s="518" t="s">
        <v>2346</v>
      </c>
      <c r="H1580" s="509" t="s">
        <v>2347</v>
      </c>
      <c r="I1580" s="490" t="s">
        <v>30</v>
      </c>
      <c r="J1580" s="500" t="s">
        <v>2346</v>
      </c>
      <c r="K1580" s="492">
        <v>0</v>
      </c>
    </row>
    <row r="1581" spans="1:11" hidden="1">
      <c r="A1581" s="559"/>
      <c r="I1581" s="2"/>
      <c r="J1581" s="463"/>
      <c r="K1581" s="491" t="s">
        <v>442</v>
      </c>
    </row>
    <row r="1582" spans="1:11" hidden="1">
      <c r="A1582" s="559"/>
      <c r="H1582" s="509" t="s">
        <v>2358</v>
      </c>
      <c r="I1582" s="2"/>
      <c r="J1582" s="463"/>
      <c r="K1582" s="492" t="e">
        <f>SUM(K1575:K1580)</f>
        <v>#REF!</v>
      </c>
    </row>
    <row r="1583" spans="1:11" hidden="1">
      <c r="A1583" s="559"/>
      <c r="I1583" s="2"/>
      <c r="J1583" s="463"/>
      <c r="K1583" s="491" t="s">
        <v>442</v>
      </c>
    </row>
    <row r="1584" spans="1:11" hidden="1">
      <c r="A1584" s="559"/>
      <c r="H1584" s="509" t="s">
        <v>2355</v>
      </c>
      <c r="I1584" s="2"/>
      <c r="J1584" s="463"/>
      <c r="K1584" s="492" t="e">
        <f>(K1582/10)</f>
        <v>#REF!</v>
      </c>
    </row>
    <row r="1585" spans="1:11" hidden="1">
      <c r="A1585" s="559"/>
      <c r="I1585" s="2"/>
      <c r="J1585" s="463"/>
      <c r="K1585" s="491" t="s">
        <v>29</v>
      </c>
    </row>
    <row r="1586" spans="1:11" hidden="1">
      <c r="A1586" s="559"/>
      <c r="F1586" s="510" t="s">
        <v>4039</v>
      </c>
      <c r="G1586" s="518" t="s">
        <v>575</v>
      </c>
      <c r="H1586" s="509" t="s">
        <v>4040</v>
      </c>
      <c r="I1586" s="2"/>
      <c r="J1586" s="463"/>
      <c r="K1586" s="2"/>
    </row>
    <row r="1587" spans="1:11" hidden="1">
      <c r="A1587" s="559"/>
      <c r="H1587" s="509" t="s">
        <v>4041</v>
      </c>
      <c r="I1587" s="2"/>
      <c r="J1587" s="463"/>
      <c r="K1587" s="2"/>
    </row>
    <row r="1588" spans="1:11" hidden="1">
      <c r="A1588" s="559"/>
      <c r="H1588" s="509" t="s">
        <v>4042</v>
      </c>
      <c r="I1588" s="2"/>
      <c r="J1588" s="500" t="s">
        <v>30</v>
      </c>
      <c r="K1588" s="2"/>
    </row>
    <row r="1589" spans="1:11" hidden="1">
      <c r="A1589" s="559"/>
      <c r="H1589" s="509" t="s">
        <v>4043</v>
      </c>
      <c r="I1589" s="2"/>
      <c r="J1589" s="463"/>
      <c r="K1589" s="2"/>
    </row>
    <row r="1590" spans="1:11" hidden="1">
      <c r="A1590" s="559"/>
      <c r="H1590" s="509" t="s">
        <v>4044</v>
      </c>
      <c r="I1590" s="2"/>
      <c r="J1590" s="463"/>
      <c r="K1590" s="2"/>
    </row>
    <row r="1591" spans="1:11" hidden="1">
      <c r="A1591" s="559"/>
      <c r="H1591" s="509" t="s">
        <v>4045</v>
      </c>
      <c r="I1591" s="2"/>
      <c r="J1591" s="463"/>
      <c r="K1591" s="2"/>
    </row>
    <row r="1592" spans="1:11" hidden="1">
      <c r="A1592" s="559"/>
      <c r="H1592" s="509" t="s">
        <v>4046</v>
      </c>
      <c r="I1592" s="2"/>
      <c r="J1592" s="463"/>
      <c r="K1592" s="2"/>
    </row>
    <row r="1593" spans="1:11" hidden="1">
      <c r="A1593" s="559"/>
      <c r="H1593" s="509" t="s">
        <v>4047</v>
      </c>
      <c r="I1593" s="2"/>
      <c r="J1593" s="463"/>
      <c r="K1593" s="2"/>
    </row>
    <row r="1594" spans="1:11" hidden="1">
      <c r="A1594" s="559"/>
      <c r="H1594" s="509" t="s">
        <v>4048</v>
      </c>
      <c r="I1594" s="2"/>
      <c r="J1594" s="463"/>
      <c r="K1594" s="2"/>
    </row>
    <row r="1595" spans="1:11" hidden="1">
      <c r="A1595" s="559"/>
      <c r="H1595" s="515" t="s">
        <v>29</v>
      </c>
      <c r="I1595" s="2"/>
      <c r="J1595" s="463"/>
      <c r="K1595" s="2"/>
    </row>
    <row r="1596" spans="1:11" hidden="1">
      <c r="A1596" s="559"/>
      <c r="I1596" s="2"/>
      <c r="J1596" s="463"/>
      <c r="K1596" s="2"/>
    </row>
    <row r="1597" spans="1:11" hidden="1">
      <c r="A1597" s="559"/>
      <c r="F1597" s="519">
        <v>1</v>
      </c>
      <c r="G1597" s="518" t="s">
        <v>12</v>
      </c>
      <c r="H1597" s="509" t="s">
        <v>4049</v>
      </c>
      <c r="I1597" s="492">
        <v>50</v>
      </c>
      <c r="J1597" s="500" t="s">
        <v>12</v>
      </c>
      <c r="K1597" s="492">
        <f>(F1597*I1597)</f>
        <v>50</v>
      </c>
    </row>
    <row r="1598" spans="1:11" hidden="1">
      <c r="A1598" s="559"/>
      <c r="F1598" s="519">
        <v>1</v>
      </c>
      <c r="G1598" s="518" t="s">
        <v>2105</v>
      </c>
      <c r="H1598" s="509" t="s">
        <v>4050</v>
      </c>
      <c r="I1598" s="492">
        <v>9</v>
      </c>
      <c r="J1598" s="500" t="s">
        <v>2105</v>
      </c>
      <c r="K1598" s="492">
        <f>(F1598*I1598)</f>
        <v>9</v>
      </c>
    </row>
    <row r="1599" spans="1:11" hidden="1">
      <c r="A1599" s="559"/>
      <c r="G1599" s="518" t="s">
        <v>2346</v>
      </c>
      <c r="H1599" s="509" t="s">
        <v>4051</v>
      </c>
      <c r="I1599" s="2"/>
      <c r="J1599" s="500" t="s">
        <v>2346</v>
      </c>
      <c r="K1599" s="492">
        <v>7</v>
      </c>
    </row>
    <row r="1600" spans="1:11" hidden="1">
      <c r="A1600" s="559"/>
      <c r="I1600" s="2"/>
      <c r="J1600" s="463"/>
      <c r="K1600" s="491" t="s">
        <v>442</v>
      </c>
    </row>
    <row r="1601" spans="1:11" hidden="1">
      <c r="A1601" s="559"/>
      <c r="H1601" s="510" t="s">
        <v>2436</v>
      </c>
      <c r="I1601" s="2"/>
      <c r="J1601" s="463"/>
      <c r="K1601" s="492">
        <f>SUM(K1597:K1599)</f>
        <v>66</v>
      </c>
    </row>
    <row r="1602" spans="1:11" hidden="1">
      <c r="A1602" s="559"/>
      <c r="I1602" s="2"/>
      <c r="J1602" s="463"/>
      <c r="K1602" s="491" t="s">
        <v>29</v>
      </c>
    </row>
    <row r="1603" spans="1:11" hidden="1">
      <c r="A1603" s="559"/>
      <c r="F1603" s="510" t="s">
        <v>4052</v>
      </c>
      <c r="G1603" s="518" t="s">
        <v>575</v>
      </c>
      <c r="H1603" s="509" t="s">
        <v>4053</v>
      </c>
      <c r="I1603" s="2"/>
      <c r="J1603" s="463"/>
      <c r="K1603" s="2"/>
    </row>
    <row r="1604" spans="1:11" hidden="1">
      <c r="A1604" s="559"/>
      <c r="H1604" s="509" t="s">
        <v>4054</v>
      </c>
      <c r="I1604" s="2"/>
      <c r="J1604" s="463"/>
      <c r="K1604" s="2"/>
    </row>
    <row r="1605" spans="1:11" hidden="1">
      <c r="A1605" s="559"/>
      <c r="H1605" s="509" t="s">
        <v>4055</v>
      </c>
      <c r="I1605" s="2"/>
      <c r="J1605" s="463"/>
      <c r="K1605" s="2"/>
    </row>
    <row r="1606" spans="1:11" hidden="1">
      <c r="A1606" s="559"/>
      <c r="H1606" s="509" t="s">
        <v>4056</v>
      </c>
      <c r="I1606" s="2"/>
      <c r="J1606" s="463"/>
      <c r="K1606" s="2"/>
    </row>
    <row r="1607" spans="1:11" hidden="1">
      <c r="A1607" s="559"/>
      <c r="H1607" s="509" t="s">
        <v>4057</v>
      </c>
      <c r="I1607" s="2"/>
      <c r="J1607" s="463"/>
      <c r="K1607" s="2"/>
    </row>
    <row r="1608" spans="1:11" hidden="1">
      <c r="A1608" s="559"/>
      <c r="H1608" s="515" t="s">
        <v>442</v>
      </c>
      <c r="I1608" s="491" t="s">
        <v>442</v>
      </c>
      <c r="J1608" s="463"/>
      <c r="K1608" s="2"/>
    </row>
    <row r="1609" spans="1:11" hidden="1">
      <c r="A1609" s="559"/>
      <c r="F1609" s="519">
        <v>1</v>
      </c>
      <c r="G1609" s="518" t="s">
        <v>4058</v>
      </c>
      <c r="H1609" s="509" t="s">
        <v>4059</v>
      </c>
      <c r="I1609" s="492">
        <v>27.3</v>
      </c>
      <c r="J1609" s="500" t="s">
        <v>556</v>
      </c>
      <c r="K1609" s="492">
        <f>(F1609*I1609)</f>
        <v>27.3</v>
      </c>
    </row>
    <row r="1610" spans="1:11" hidden="1">
      <c r="A1610" s="559"/>
      <c r="G1610" s="518" t="s">
        <v>2346</v>
      </c>
      <c r="H1610" s="509" t="s">
        <v>4060</v>
      </c>
      <c r="I1610" s="2"/>
      <c r="J1610" s="500" t="s">
        <v>2346</v>
      </c>
      <c r="K1610" s="492">
        <v>7.5</v>
      </c>
    </row>
    <row r="1611" spans="1:11" hidden="1">
      <c r="A1611" s="559"/>
      <c r="G1611" s="518" t="s">
        <v>2346</v>
      </c>
      <c r="H1611" s="509" t="s">
        <v>4061</v>
      </c>
      <c r="I1611" s="2"/>
      <c r="J1611" s="500" t="s">
        <v>2346</v>
      </c>
      <c r="K1611" s="492">
        <v>1.2</v>
      </c>
    </row>
    <row r="1612" spans="1:11" hidden="1">
      <c r="A1612" s="559"/>
      <c r="H1612" s="509" t="s">
        <v>4062</v>
      </c>
      <c r="I1612" s="2"/>
      <c r="J1612" s="463"/>
      <c r="K1612" s="491" t="s">
        <v>442</v>
      </c>
    </row>
    <row r="1613" spans="1:11" hidden="1">
      <c r="A1613" s="559"/>
      <c r="H1613" s="510" t="s">
        <v>2436</v>
      </c>
      <c r="I1613" s="2"/>
      <c r="J1613" s="463"/>
      <c r="K1613" s="492">
        <f>SUM(K1609:K1611)</f>
        <v>36</v>
      </c>
    </row>
    <row r="1614" spans="1:11" hidden="1">
      <c r="A1614" s="559"/>
      <c r="I1614" s="2"/>
      <c r="J1614" s="463"/>
      <c r="K1614" s="491" t="s">
        <v>29</v>
      </c>
    </row>
    <row r="1615" spans="1:11" hidden="1">
      <c r="A1615" s="559"/>
      <c r="F1615" s="510" t="s">
        <v>4063</v>
      </c>
      <c r="G1615" s="518" t="s">
        <v>575</v>
      </c>
      <c r="H1615" s="509" t="s">
        <v>4064</v>
      </c>
      <c r="I1615" s="2"/>
      <c r="J1615" s="463"/>
      <c r="K1615" s="2"/>
    </row>
    <row r="1616" spans="1:11" hidden="1">
      <c r="A1616" s="559"/>
      <c r="H1616" s="509" t="s">
        <v>4065</v>
      </c>
      <c r="I1616" s="2"/>
      <c r="J1616" s="463"/>
      <c r="K1616" s="490" t="s">
        <v>30</v>
      </c>
    </row>
    <row r="1617" spans="1:11" hidden="1">
      <c r="A1617" s="559"/>
      <c r="H1617" s="515" t="s">
        <v>442</v>
      </c>
      <c r="I1617" s="2"/>
      <c r="J1617" s="463"/>
      <c r="K1617" s="2"/>
    </row>
    <row r="1618" spans="1:11" hidden="1">
      <c r="A1618" s="559"/>
      <c r="F1618" s="519">
        <v>1</v>
      </c>
      <c r="G1618" s="518" t="s">
        <v>4058</v>
      </c>
      <c r="H1618" s="509" t="s">
        <v>4066</v>
      </c>
      <c r="I1618" s="492">
        <v>20</v>
      </c>
      <c r="J1618" s="500" t="s">
        <v>556</v>
      </c>
      <c r="K1618" s="492">
        <f>(F1618*I1618)</f>
        <v>20</v>
      </c>
    </row>
    <row r="1619" spans="1:11" hidden="1">
      <c r="A1619" s="559"/>
      <c r="G1619" s="518" t="s">
        <v>2346</v>
      </c>
      <c r="H1619" s="509" t="s">
        <v>4067</v>
      </c>
      <c r="I1619" s="2"/>
      <c r="J1619" s="500" t="s">
        <v>2346</v>
      </c>
      <c r="K1619" s="492">
        <v>5</v>
      </c>
    </row>
    <row r="1620" spans="1:11" hidden="1">
      <c r="A1620" s="559"/>
      <c r="I1620" s="2"/>
      <c r="J1620" s="463"/>
      <c r="K1620" s="491" t="s">
        <v>442</v>
      </c>
    </row>
    <row r="1621" spans="1:11" hidden="1">
      <c r="A1621" s="559"/>
      <c r="H1621" s="510" t="s">
        <v>4068</v>
      </c>
      <c r="I1621" s="2"/>
      <c r="J1621" s="463"/>
      <c r="K1621" s="492">
        <f>SUM(K1617:K1619)</f>
        <v>25</v>
      </c>
    </row>
    <row r="1622" spans="1:11" hidden="1">
      <c r="A1622" s="559"/>
      <c r="I1622" s="2"/>
      <c r="J1622" s="463"/>
      <c r="K1622" s="491" t="s">
        <v>29</v>
      </c>
    </row>
    <row r="1623" spans="1:11" hidden="1">
      <c r="A1623" s="559"/>
      <c r="F1623" s="510" t="s">
        <v>4069</v>
      </c>
      <c r="G1623" s="518" t="s">
        <v>575</v>
      </c>
      <c r="H1623" s="509" t="s">
        <v>4070</v>
      </c>
      <c r="I1623" s="2"/>
      <c r="J1623" s="463"/>
      <c r="K1623" s="2"/>
    </row>
    <row r="1624" spans="1:11" hidden="1">
      <c r="A1624" s="559"/>
      <c r="H1624" s="515" t="s">
        <v>442</v>
      </c>
      <c r="I1624" s="491" t="s">
        <v>442</v>
      </c>
      <c r="J1624" s="463"/>
      <c r="K1624" s="2"/>
    </row>
    <row r="1625" spans="1:11" hidden="1">
      <c r="A1625" s="559"/>
      <c r="F1625" s="519">
        <v>1</v>
      </c>
      <c r="G1625" s="518" t="s">
        <v>4058</v>
      </c>
      <c r="H1625" s="509" t="s">
        <v>4071</v>
      </c>
      <c r="I1625" s="492">
        <v>1</v>
      </c>
      <c r="J1625" s="500" t="s">
        <v>556</v>
      </c>
      <c r="K1625" s="492">
        <f>(F1625*I1625)</f>
        <v>1</v>
      </c>
    </row>
    <row r="1626" spans="1:11" hidden="1">
      <c r="A1626" s="559"/>
      <c r="G1626" s="518" t="s">
        <v>2346</v>
      </c>
      <c r="H1626" s="509" t="s">
        <v>4067</v>
      </c>
      <c r="I1626" s="2"/>
      <c r="J1626" s="500" t="s">
        <v>2346</v>
      </c>
      <c r="K1626" s="492">
        <v>0.25</v>
      </c>
    </row>
    <row r="1627" spans="1:11" hidden="1">
      <c r="A1627" s="559"/>
      <c r="I1627" s="2"/>
      <c r="J1627" s="463"/>
      <c r="K1627" s="491" t="s">
        <v>442</v>
      </c>
    </row>
    <row r="1628" spans="1:11" hidden="1">
      <c r="A1628" s="559"/>
      <c r="H1628" s="510" t="s">
        <v>4068</v>
      </c>
      <c r="I1628" s="2"/>
      <c r="J1628" s="463"/>
      <c r="K1628" s="492">
        <f>SUM(K1623:K1626)</f>
        <v>1.25</v>
      </c>
    </row>
    <row r="1629" spans="1:11" hidden="1">
      <c r="A1629" s="559"/>
      <c r="F1629" s="509" t="s">
        <v>30</v>
      </c>
      <c r="I1629" s="2"/>
      <c r="J1629" s="463"/>
      <c r="K1629" s="491" t="s">
        <v>442</v>
      </c>
    </row>
    <row r="1630" spans="1:11" hidden="1">
      <c r="A1630" s="559"/>
      <c r="F1630" s="529">
        <v>50.1</v>
      </c>
      <c r="G1630" s="518" t="s">
        <v>575</v>
      </c>
      <c r="H1630" s="509" t="s">
        <v>4072</v>
      </c>
      <c r="I1630" s="2"/>
      <c r="J1630" s="463"/>
      <c r="K1630" s="2"/>
    </row>
    <row r="1631" spans="1:11" hidden="1">
      <c r="A1631" s="559"/>
      <c r="H1631" s="509" t="s">
        <v>4073</v>
      </c>
      <c r="I1631" s="2"/>
      <c r="J1631" s="463"/>
      <c r="K1631" s="2"/>
    </row>
    <row r="1632" spans="1:11" hidden="1">
      <c r="A1632" s="559"/>
      <c r="H1632" s="509" t="s">
        <v>4074</v>
      </c>
      <c r="I1632" s="2"/>
      <c r="J1632" s="463"/>
      <c r="K1632" s="2"/>
    </row>
    <row r="1633" spans="1:11" hidden="1">
      <c r="A1633" s="559"/>
      <c r="H1633" s="509" t="s">
        <v>4075</v>
      </c>
      <c r="I1633" s="2"/>
      <c r="J1633" s="463"/>
      <c r="K1633" s="2"/>
    </row>
    <row r="1634" spans="1:11" hidden="1">
      <c r="A1634" s="559"/>
      <c r="H1634" s="509" t="s">
        <v>4076</v>
      </c>
      <c r="I1634" s="2"/>
      <c r="J1634" s="463"/>
      <c r="K1634" s="2"/>
    </row>
    <row r="1635" spans="1:11" hidden="1">
      <c r="A1635" s="559"/>
      <c r="H1635" s="515" t="s">
        <v>442</v>
      </c>
      <c r="I1635" s="491" t="s">
        <v>442</v>
      </c>
      <c r="J1635" s="463"/>
      <c r="K1635" s="2"/>
    </row>
    <row r="1636" spans="1:11" hidden="1">
      <c r="A1636" s="559"/>
      <c r="F1636" s="519">
        <v>9</v>
      </c>
      <c r="G1636" s="518" t="s">
        <v>19</v>
      </c>
      <c r="H1636" s="509" t="s">
        <v>4077</v>
      </c>
      <c r="I1636" s="492" t="e">
        <f>C73</f>
        <v>#REF!</v>
      </c>
      <c r="J1636" s="500" t="s">
        <v>19</v>
      </c>
      <c r="K1636" s="492" t="e">
        <f>(F1636*I1636)</f>
        <v>#REF!</v>
      </c>
    </row>
    <row r="1637" spans="1:11" hidden="1">
      <c r="A1637" s="559"/>
      <c r="F1637" s="519">
        <v>4.5</v>
      </c>
      <c r="G1637" s="518" t="s">
        <v>19</v>
      </c>
      <c r="H1637" s="509" t="s">
        <v>4078</v>
      </c>
      <c r="I1637" s="492" t="e">
        <f>K32</f>
        <v>#REF!</v>
      </c>
      <c r="J1637" s="500" t="s">
        <v>19</v>
      </c>
      <c r="K1637" s="492" t="e">
        <f>(F1637*I1637)</f>
        <v>#REF!</v>
      </c>
    </row>
    <row r="1638" spans="1:11" hidden="1">
      <c r="A1638" s="559"/>
      <c r="F1638" s="519">
        <v>1.8</v>
      </c>
      <c r="G1638" s="518" t="s">
        <v>2403</v>
      </c>
      <c r="H1638" s="509" t="s">
        <v>4079</v>
      </c>
      <c r="I1638" s="492">
        <f>C11</f>
        <v>135</v>
      </c>
      <c r="J1638" s="500" t="s">
        <v>556</v>
      </c>
      <c r="K1638" s="492">
        <f>(F1638*I1638)</f>
        <v>243</v>
      </c>
    </row>
    <row r="1639" spans="1:11" hidden="1">
      <c r="A1639" s="559"/>
      <c r="F1639" s="519">
        <v>17.7</v>
      </c>
      <c r="G1639" s="518" t="s">
        <v>2403</v>
      </c>
      <c r="H1639" s="509" t="s">
        <v>3081</v>
      </c>
      <c r="I1639" s="492">
        <f>C12</f>
        <v>95</v>
      </c>
      <c r="J1639" s="500" t="s">
        <v>556</v>
      </c>
      <c r="K1639" s="492">
        <f>(F1639*I1639)</f>
        <v>1681.5</v>
      </c>
    </row>
    <row r="1640" spans="1:11" hidden="1">
      <c r="A1640" s="559"/>
      <c r="F1640" s="519">
        <v>14.1</v>
      </c>
      <c r="G1640" s="518" t="s">
        <v>2403</v>
      </c>
      <c r="H1640" s="509" t="s">
        <v>3994</v>
      </c>
      <c r="I1640" s="492">
        <f>C13</f>
        <v>85</v>
      </c>
      <c r="J1640" s="500" t="s">
        <v>556</v>
      </c>
      <c r="K1640" s="492">
        <f>(F1640*I1640)</f>
        <v>1198.5</v>
      </c>
    </row>
    <row r="1641" spans="1:11" hidden="1">
      <c r="A1641" s="559"/>
      <c r="I1641" s="2"/>
      <c r="J1641" s="463"/>
      <c r="K1641" s="491" t="s">
        <v>442</v>
      </c>
    </row>
    <row r="1642" spans="1:11" hidden="1">
      <c r="A1642" s="559"/>
      <c r="H1642" s="510" t="s">
        <v>4080</v>
      </c>
      <c r="I1642" s="2"/>
      <c r="J1642" s="463"/>
      <c r="K1642" s="492" t="e">
        <f>SUM(K1636:K1640)</f>
        <v>#REF!</v>
      </c>
    </row>
    <row r="1643" spans="1:11" hidden="1">
      <c r="A1643" s="559"/>
      <c r="I1643" s="2"/>
      <c r="J1643" s="463"/>
      <c r="K1643" s="491" t="s">
        <v>442</v>
      </c>
    </row>
    <row r="1644" spans="1:11" hidden="1">
      <c r="A1644" s="559"/>
      <c r="H1644" s="510" t="s">
        <v>4081</v>
      </c>
      <c r="I1644" s="2"/>
      <c r="J1644" s="463"/>
      <c r="K1644" s="492" t="e">
        <f>(K1642/10)</f>
        <v>#REF!</v>
      </c>
    </row>
    <row r="1645" spans="1:11" hidden="1">
      <c r="A1645" s="559"/>
      <c r="I1645" s="2"/>
      <c r="J1645" s="463"/>
      <c r="K1645" s="491" t="s">
        <v>29</v>
      </c>
    </row>
    <row r="1646" spans="1:11" hidden="1">
      <c r="A1646" s="559"/>
      <c r="I1646" s="2"/>
      <c r="J1646" s="463"/>
      <c r="K1646" s="2"/>
    </row>
    <row r="1647" spans="1:11" hidden="1">
      <c r="A1647" s="559"/>
      <c r="G1647" s="518" t="s">
        <v>2843</v>
      </c>
      <c r="H1647" s="509" t="s">
        <v>4082</v>
      </c>
      <c r="I1647" s="2"/>
      <c r="J1647" s="463"/>
      <c r="K1647" s="2"/>
    </row>
    <row r="1648" spans="1:11" hidden="1">
      <c r="A1648" s="559"/>
      <c r="H1648" s="509" t="s">
        <v>4083</v>
      </c>
      <c r="I1648" s="2"/>
      <c r="J1648" s="463"/>
      <c r="K1648" s="2"/>
    </row>
    <row r="1649" spans="1:11" hidden="1">
      <c r="A1649" s="559"/>
      <c r="H1649" s="515" t="s">
        <v>442</v>
      </c>
      <c r="I1649" s="491" t="s">
        <v>442</v>
      </c>
      <c r="J1649" s="463"/>
      <c r="K1649" s="2"/>
    </row>
    <row r="1650" spans="1:11" hidden="1">
      <c r="A1650" s="559"/>
      <c r="I1650" s="2"/>
      <c r="J1650" s="463"/>
      <c r="K1650" s="2"/>
    </row>
    <row r="1651" spans="1:11" hidden="1">
      <c r="A1651" s="559"/>
      <c r="F1651" s="528">
        <v>0.314</v>
      </c>
      <c r="G1651" s="518" t="s">
        <v>19</v>
      </c>
      <c r="H1651" s="509" t="s">
        <v>4084</v>
      </c>
      <c r="I1651" s="492" t="e">
        <f>K1644</f>
        <v>#REF!</v>
      </c>
      <c r="J1651" s="500" t="s">
        <v>19</v>
      </c>
      <c r="K1651" s="492" t="e">
        <f>(F1651*I1651)</f>
        <v>#REF!</v>
      </c>
    </row>
    <row r="1652" spans="1:11" hidden="1">
      <c r="A1652" s="559"/>
      <c r="F1652" s="519">
        <v>18</v>
      </c>
      <c r="G1652" s="518" t="s">
        <v>2403</v>
      </c>
      <c r="H1652" s="509" t="s">
        <v>4085</v>
      </c>
      <c r="I1652" s="492">
        <v>2</v>
      </c>
      <c r="J1652" s="500" t="s">
        <v>556</v>
      </c>
      <c r="K1652" s="492">
        <f>(F1652*I1652)</f>
        <v>36</v>
      </c>
    </row>
    <row r="1653" spans="1:11" hidden="1">
      <c r="A1653" s="559"/>
      <c r="F1653" s="519">
        <v>18</v>
      </c>
      <c r="G1653" s="518" t="s">
        <v>2403</v>
      </c>
      <c r="H1653" s="509" t="s">
        <v>4086</v>
      </c>
      <c r="I1653" s="492">
        <v>1</v>
      </c>
      <c r="J1653" s="500" t="s">
        <v>556</v>
      </c>
      <c r="K1653" s="492">
        <f>(F1653*I1653)</f>
        <v>18</v>
      </c>
    </row>
    <row r="1654" spans="1:11" hidden="1">
      <c r="A1654" s="559"/>
      <c r="F1654" s="519">
        <v>18</v>
      </c>
      <c r="G1654" s="518" t="s">
        <v>2403</v>
      </c>
      <c r="H1654" s="509" t="s">
        <v>4087</v>
      </c>
      <c r="I1654" s="492">
        <v>2</v>
      </c>
      <c r="J1654" s="500" t="s">
        <v>556</v>
      </c>
      <c r="K1654" s="492">
        <f>(F1654*I1654)</f>
        <v>36</v>
      </c>
    </row>
    <row r="1655" spans="1:11" hidden="1">
      <c r="A1655" s="559"/>
      <c r="I1655" s="2"/>
      <c r="J1655" s="463"/>
      <c r="K1655" s="491" t="s">
        <v>442</v>
      </c>
    </row>
    <row r="1656" spans="1:11" hidden="1">
      <c r="A1656" s="559"/>
      <c r="H1656" s="510" t="s">
        <v>4088</v>
      </c>
      <c r="I1656" s="2"/>
      <c r="J1656" s="463"/>
      <c r="K1656" s="492" t="e">
        <f>SUM(K1650:K1654)</f>
        <v>#REF!</v>
      </c>
    </row>
    <row r="1657" spans="1:11" hidden="1">
      <c r="A1657" s="559"/>
      <c r="I1657" s="2"/>
      <c r="J1657" s="463"/>
      <c r="K1657" s="491" t="s">
        <v>442</v>
      </c>
    </row>
    <row r="1658" spans="1:11" hidden="1">
      <c r="A1658" s="559"/>
      <c r="H1658" s="510" t="s">
        <v>4089</v>
      </c>
      <c r="I1658" s="2"/>
      <c r="J1658" s="463"/>
      <c r="K1658" s="492" t="e">
        <f>(K1656/6.28)</f>
        <v>#REF!</v>
      </c>
    </row>
    <row r="1659" spans="1:11" hidden="1">
      <c r="A1659" s="559"/>
      <c r="I1659" s="2"/>
      <c r="J1659" s="463"/>
      <c r="K1659" s="491" t="s">
        <v>29</v>
      </c>
    </row>
    <row r="1660" spans="1:11" hidden="1">
      <c r="A1660" s="559"/>
      <c r="F1660" s="509" t="s">
        <v>30</v>
      </c>
      <c r="H1660" s="509" t="s">
        <v>4090</v>
      </c>
      <c r="I1660" s="2"/>
      <c r="J1660" s="463"/>
      <c r="K1660" s="2"/>
    </row>
    <row r="1661" spans="1:11" hidden="1">
      <c r="A1661" s="559"/>
      <c r="H1661" s="515" t="s">
        <v>442</v>
      </c>
      <c r="I1661" s="2"/>
      <c r="J1661" s="463"/>
      <c r="K1661" s="2"/>
    </row>
    <row r="1662" spans="1:11" hidden="1">
      <c r="A1662" s="559"/>
      <c r="F1662" s="528">
        <v>0.01</v>
      </c>
      <c r="G1662" s="518" t="s">
        <v>19</v>
      </c>
      <c r="H1662" s="509" t="s">
        <v>4084</v>
      </c>
      <c r="I1662" s="492" t="e">
        <f>K1644</f>
        <v>#REF!</v>
      </c>
      <c r="J1662" s="500" t="s">
        <v>19</v>
      </c>
      <c r="K1662" s="492" t="e">
        <f>(F1662*I1662)</f>
        <v>#REF!</v>
      </c>
    </row>
    <row r="1663" spans="1:11" hidden="1">
      <c r="A1663" s="559"/>
      <c r="F1663" s="519">
        <v>0.01</v>
      </c>
      <c r="G1663" s="518" t="s">
        <v>2019</v>
      </c>
      <c r="H1663" s="509" t="s">
        <v>4091</v>
      </c>
      <c r="I1663" s="526" t="s">
        <v>170</v>
      </c>
      <c r="J1663" s="463"/>
      <c r="K1663" s="492">
        <v>1.2</v>
      </c>
    </row>
    <row r="1664" spans="1:11" hidden="1">
      <c r="A1664" s="559"/>
      <c r="I1664" s="552"/>
      <c r="J1664" s="463"/>
      <c r="K1664" s="491" t="s">
        <v>442</v>
      </c>
    </row>
    <row r="1665" spans="1:11" hidden="1">
      <c r="A1665" s="559"/>
      <c r="H1665" s="510" t="s">
        <v>4092</v>
      </c>
      <c r="I1665" s="2"/>
      <c r="J1665" s="463"/>
      <c r="K1665" s="492" t="e">
        <f>SUM(K1659:K1663)</f>
        <v>#REF!</v>
      </c>
    </row>
    <row r="1666" spans="1:11" hidden="1">
      <c r="A1666" s="559"/>
      <c r="I1666" s="2"/>
      <c r="J1666" s="463"/>
      <c r="K1666" s="491" t="s">
        <v>442</v>
      </c>
    </row>
    <row r="1667" spans="1:11" hidden="1">
      <c r="A1667" s="559"/>
      <c r="H1667" s="510" t="s">
        <v>4093</v>
      </c>
      <c r="I1667" s="2"/>
      <c r="J1667" s="463"/>
      <c r="K1667" s="492" t="e">
        <f>K1665/0.01</f>
        <v>#REF!</v>
      </c>
    </row>
    <row r="1668" spans="1:11" hidden="1">
      <c r="A1668" s="559"/>
      <c r="I1668" s="2"/>
      <c r="J1668" s="463"/>
      <c r="K1668" s="491" t="s">
        <v>29</v>
      </c>
    </row>
    <row r="1669" spans="1:11" hidden="1">
      <c r="A1669" s="559"/>
      <c r="F1669" s="510" t="s">
        <v>4094</v>
      </c>
      <c r="G1669" s="518" t="s">
        <v>2843</v>
      </c>
      <c r="H1669" s="509" t="s">
        <v>4082</v>
      </c>
      <c r="I1669" s="2"/>
      <c r="J1669" s="463"/>
      <c r="K1669" s="2"/>
    </row>
    <row r="1670" spans="1:11" hidden="1">
      <c r="A1670" s="559"/>
      <c r="H1670" s="531" t="s">
        <v>4095</v>
      </c>
      <c r="I1670" s="2"/>
      <c r="J1670" s="463"/>
      <c r="K1670" s="2"/>
    </row>
    <row r="1671" spans="1:11" hidden="1">
      <c r="A1671" s="559"/>
      <c r="H1671" s="515" t="s">
        <v>442</v>
      </c>
      <c r="I1671" s="491" t="s">
        <v>442</v>
      </c>
      <c r="J1671" s="463"/>
      <c r="K1671" s="2"/>
    </row>
    <row r="1672" spans="1:11" hidden="1">
      <c r="A1672" s="559"/>
      <c r="F1672" s="528">
        <v>0.40500000000000003</v>
      </c>
      <c r="G1672" s="518" t="s">
        <v>19</v>
      </c>
      <c r="H1672" s="509" t="s">
        <v>4084</v>
      </c>
      <c r="I1672" s="492" t="e">
        <f>K1667</f>
        <v>#REF!</v>
      </c>
      <c r="J1672" s="500" t="s">
        <v>19</v>
      </c>
      <c r="K1672" s="492" t="e">
        <f>(F1672*I1672)</f>
        <v>#REF!</v>
      </c>
    </row>
    <row r="1673" spans="1:11" hidden="1">
      <c r="A1673" s="559"/>
      <c r="F1673" s="509" t="s">
        <v>30</v>
      </c>
      <c r="G1673" s="518" t="s">
        <v>30</v>
      </c>
      <c r="H1673" s="509" t="s">
        <v>4096</v>
      </c>
      <c r="I1673" s="526" t="s">
        <v>170</v>
      </c>
      <c r="J1673" s="463"/>
      <c r="K1673" s="490" t="s">
        <v>30</v>
      </c>
    </row>
    <row r="1674" spans="1:11" hidden="1">
      <c r="A1674" s="559"/>
      <c r="I1674" s="2"/>
      <c r="J1674" s="463"/>
      <c r="K1674" s="491" t="s">
        <v>442</v>
      </c>
    </row>
    <row r="1675" spans="1:11" hidden="1">
      <c r="A1675" s="559"/>
      <c r="H1675" s="510" t="s">
        <v>4097</v>
      </c>
      <c r="I1675" s="2"/>
      <c r="J1675" s="463"/>
      <c r="K1675" s="492" t="e">
        <f>SUM(K1669:K1673)</f>
        <v>#REF!</v>
      </c>
    </row>
    <row r="1676" spans="1:11" hidden="1">
      <c r="A1676" s="559"/>
      <c r="I1676" s="2"/>
      <c r="J1676" s="463"/>
      <c r="K1676" s="491" t="s">
        <v>442</v>
      </c>
    </row>
    <row r="1677" spans="1:11" hidden="1">
      <c r="A1677" s="559"/>
      <c r="H1677" s="510" t="s">
        <v>4098</v>
      </c>
      <c r="I1677" s="2"/>
      <c r="J1677" s="463"/>
      <c r="K1677" s="492" t="e">
        <f>K1675/9</f>
        <v>#REF!</v>
      </c>
    </row>
    <row r="1678" spans="1:11" hidden="1">
      <c r="A1678" s="559"/>
      <c r="I1678" s="2"/>
      <c r="J1678" s="463"/>
      <c r="K1678" s="491" t="s">
        <v>29</v>
      </c>
    </row>
    <row r="1679" spans="1:11" hidden="1">
      <c r="A1679" s="559"/>
      <c r="F1679" s="510" t="s">
        <v>4099</v>
      </c>
      <c r="H1679" s="509" t="s">
        <v>4100</v>
      </c>
      <c r="I1679" s="2"/>
      <c r="J1679" s="463"/>
      <c r="K1679" s="2"/>
    </row>
    <row r="1680" spans="1:11" hidden="1">
      <c r="A1680" s="559"/>
      <c r="H1680" s="515" t="s">
        <v>442</v>
      </c>
      <c r="I1680" s="2"/>
      <c r="J1680" s="463"/>
      <c r="K1680" s="2"/>
    </row>
    <row r="1681" spans="1:11" hidden="1">
      <c r="A1681" s="559"/>
      <c r="F1681" s="519">
        <v>4.32</v>
      </c>
      <c r="G1681" s="518" t="s">
        <v>2334</v>
      </c>
      <c r="H1681" s="509" t="s">
        <v>4101</v>
      </c>
      <c r="I1681" s="492">
        <f>C61</f>
        <v>25</v>
      </c>
      <c r="J1681" s="500" t="s">
        <v>2334</v>
      </c>
      <c r="K1681" s="492">
        <f t="shared" ref="K1681:K1688" si="57">(F1681*I1681)</f>
        <v>108</v>
      </c>
    </row>
    <row r="1682" spans="1:11" hidden="1">
      <c r="A1682" s="559"/>
      <c r="F1682" s="519">
        <v>1.44</v>
      </c>
      <c r="G1682" s="518" t="s">
        <v>2334</v>
      </c>
      <c r="H1682" s="509" t="s">
        <v>4102</v>
      </c>
      <c r="I1682" s="492">
        <v>60.5</v>
      </c>
      <c r="J1682" s="500" t="s">
        <v>2334</v>
      </c>
      <c r="K1682" s="492">
        <f t="shared" si="57"/>
        <v>87.11999999999999</v>
      </c>
    </row>
    <row r="1683" spans="1:11" hidden="1">
      <c r="A1683" s="559"/>
      <c r="F1683" s="519">
        <v>1.44</v>
      </c>
      <c r="G1683" s="518" t="s">
        <v>2334</v>
      </c>
      <c r="H1683" s="509" t="s">
        <v>4103</v>
      </c>
      <c r="I1683" s="492">
        <f>C35</f>
        <v>169</v>
      </c>
      <c r="J1683" s="500" t="s">
        <v>2334</v>
      </c>
      <c r="K1683" s="492">
        <f t="shared" si="57"/>
        <v>243.35999999999999</v>
      </c>
    </row>
    <row r="1684" spans="1:11" hidden="1">
      <c r="A1684" s="559"/>
      <c r="F1684" s="519">
        <v>1.44</v>
      </c>
      <c r="G1684" s="518" t="s">
        <v>2334</v>
      </c>
      <c r="H1684" s="509" t="s">
        <v>4104</v>
      </c>
      <c r="I1684" s="492" t="e">
        <f>C78</f>
        <v>#REF!</v>
      </c>
      <c r="J1684" s="500" t="s">
        <v>2334</v>
      </c>
      <c r="K1684" s="492" t="e">
        <f t="shared" si="57"/>
        <v>#REF!</v>
      </c>
    </row>
    <row r="1685" spans="1:11" hidden="1">
      <c r="A1685" s="559"/>
      <c r="F1685" s="519">
        <v>2.88</v>
      </c>
      <c r="G1685" s="518" t="s">
        <v>2334</v>
      </c>
      <c r="H1685" s="509" t="s">
        <v>4105</v>
      </c>
      <c r="I1685" s="492">
        <v>10</v>
      </c>
      <c r="J1685" s="500" t="s">
        <v>2334</v>
      </c>
      <c r="K1685" s="492">
        <f t="shared" si="57"/>
        <v>28.799999999999997</v>
      </c>
    </row>
    <row r="1686" spans="1:11" hidden="1">
      <c r="A1686" s="559"/>
      <c r="F1686" s="519">
        <v>20</v>
      </c>
      <c r="G1686" s="518" t="s">
        <v>4106</v>
      </c>
      <c r="H1686" s="509" t="s">
        <v>4107</v>
      </c>
      <c r="I1686" s="492">
        <v>40</v>
      </c>
      <c r="J1686" s="500" t="s">
        <v>4106</v>
      </c>
      <c r="K1686" s="492">
        <f t="shared" si="57"/>
        <v>800</v>
      </c>
    </row>
    <row r="1687" spans="1:11" hidden="1">
      <c r="A1687" s="559"/>
      <c r="F1687" s="519">
        <v>42</v>
      </c>
      <c r="G1687" s="518" t="s">
        <v>4108</v>
      </c>
      <c r="H1687" s="509" t="s">
        <v>4109</v>
      </c>
      <c r="I1687" s="492">
        <v>10</v>
      </c>
      <c r="J1687" s="500" t="s">
        <v>4108</v>
      </c>
      <c r="K1687" s="492">
        <f t="shared" si="57"/>
        <v>420</v>
      </c>
    </row>
    <row r="1688" spans="1:11" hidden="1">
      <c r="A1688" s="559"/>
      <c r="F1688" s="519">
        <v>4.32</v>
      </c>
      <c r="G1688" s="518" t="s">
        <v>2334</v>
      </c>
      <c r="H1688" s="509" t="s">
        <v>4110</v>
      </c>
      <c r="I1688" s="492">
        <f>C27</f>
        <v>7.8</v>
      </c>
      <c r="J1688" s="500" t="s">
        <v>2334</v>
      </c>
      <c r="K1688" s="492">
        <f t="shared" si="57"/>
        <v>33.695999999999998</v>
      </c>
    </row>
    <row r="1689" spans="1:11" hidden="1">
      <c r="A1689" s="559"/>
      <c r="F1689" s="510" t="s">
        <v>4111</v>
      </c>
      <c r="H1689" s="509" t="s">
        <v>4112</v>
      </c>
      <c r="I1689" s="2"/>
      <c r="J1689" s="463"/>
      <c r="K1689" s="492">
        <v>2000</v>
      </c>
    </row>
    <row r="1690" spans="1:11" hidden="1">
      <c r="A1690" s="559"/>
      <c r="I1690" s="2"/>
      <c r="J1690" s="463"/>
      <c r="K1690" s="491" t="s">
        <v>442</v>
      </c>
    </row>
    <row r="1691" spans="1:11" hidden="1">
      <c r="A1691" s="559"/>
      <c r="H1691" s="509" t="s">
        <v>4113</v>
      </c>
      <c r="I1691" s="2"/>
      <c r="J1691" s="463"/>
      <c r="K1691" s="492" t="e">
        <f>SUM(K1681:K1689)</f>
        <v>#REF!</v>
      </c>
    </row>
    <row r="1692" spans="1:11" hidden="1">
      <c r="A1692" s="559"/>
      <c r="I1692" s="2"/>
      <c r="J1692" s="463"/>
      <c r="K1692" s="491" t="s">
        <v>442</v>
      </c>
    </row>
    <row r="1693" spans="1:11" hidden="1">
      <c r="A1693" s="559"/>
      <c r="H1693" s="509" t="s">
        <v>4114</v>
      </c>
      <c r="I1693" s="2"/>
      <c r="J1693" s="463"/>
      <c r="K1693" s="492" t="e">
        <f>K1691/20</f>
        <v>#REF!</v>
      </c>
    </row>
    <row r="1694" spans="1:11" hidden="1">
      <c r="A1694" s="559"/>
      <c r="I1694" s="2"/>
      <c r="J1694" s="463"/>
      <c r="K1694" s="491" t="s">
        <v>29</v>
      </c>
    </row>
    <row r="1695" spans="1:11" hidden="1">
      <c r="A1695" s="559"/>
      <c r="I1695" s="2"/>
      <c r="J1695" s="463"/>
      <c r="K1695" s="2"/>
    </row>
    <row r="1696" spans="1:11" hidden="1">
      <c r="A1696" s="559"/>
      <c r="F1696" s="510" t="s">
        <v>4115</v>
      </c>
      <c r="H1696" s="509" t="s">
        <v>4116</v>
      </c>
      <c r="I1696" s="2"/>
      <c r="J1696" s="463"/>
      <c r="K1696" s="2"/>
    </row>
    <row r="1697" spans="1:11" hidden="1">
      <c r="A1697" s="559"/>
      <c r="H1697" s="515" t="s">
        <v>442</v>
      </c>
      <c r="I1697" s="2"/>
      <c r="J1697" s="463"/>
      <c r="K1697" s="2"/>
    </row>
    <row r="1698" spans="1:11" hidden="1">
      <c r="A1698" s="559"/>
      <c r="F1698" s="519">
        <v>0.1</v>
      </c>
      <c r="G1698" s="518" t="s">
        <v>2334</v>
      </c>
      <c r="H1698" s="509" t="s">
        <v>4101</v>
      </c>
      <c r="I1698" s="492">
        <f>K90</f>
        <v>50</v>
      </c>
      <c r="J1698" s="500" t="s">
        <v>2334</v>
      </c>
      <c r="K1698" s="492">
        <f t="shared" ref="K1698:K1703" si="58">(F1698*I1698)</f>
        <v>5</v>
      </c>
    </row>
    <row r="1699" spans="1:11" hidden="1">
      <c r="A1699" s="559"/>
      <c r="F1699" s="519">
        <v>6.3</v>
      </c>
      <c r="G1699" s="518" t="s">
        <v>4108</v>
      </c>
      <c r="H1699" s="509" t="s">
        <v>4117</v>
      </c>
      <c r="I1699" s="545">
        <v>21</v>
      </c>
      <c r="J1699" s="500" t="s">
        <v>4108</v>
      </c>
      <c r="K1699" s="492">
        <f t="shared" si="58"/>
        <v>132.29999999999998</v>
      </c>
    </row>
    <row r="1700" spans="1:11" hidden="1">
      <c r="A1700" s="559"/>
      <c r="F1700" s="519">
        <v>6.3</v>
      </c>
      <c r="G1700" s="518" t="s">
        <v>4108</v>
      </c>
      <c r="H1700" s="509" t="s">
        <v>4109</v>
      </c>
      <c r="I1700" s="492">
        <v>10</v>
      </c>
      <c r="J1700" s="500" t="s">
        <v>4108</v>
      </c>
      <c r="K1700" s="492">
        <f t="shared" si="58"/>
        <v>63</v>
      </c>
    </row>
    <row r="1701" spans="1:11" hidden="1">
      <c r="A1701" s="559"/>
      <c r="F1701" s="519">
        <v>3.15</v>
      </c>
      <c r="G1701" s="518" t="s">
        <v>2830</v>
      </c>
      <c r="H1701" s="509" t="s">
        <v>4118</v>
      </c>
      <c r="I1701" s="545">
        <v>22.6</v>
      </c>
      <c r="J1701" s="500" t="s">
        <v>2830</v>
      </c>
      <c r="K1701" s="492">
        <f t="shared" si="58"/>
        <v>71.19</v>
      </c>
    </row>
    <row r="1702" spans="1:11" hidden="1">
      <c r="A1702" s="559"/>
      <c r="F1702" s="519">
        <v>0.25</v>
      </c>
      <c r="G1702" s="518" t="s">
        <v>4058</v>
      </c>
      <c r="H1702" s="509" t="s">
        <v>4119</v>
      </c>
      <c r="I1702" s="492">
        <f>D16</f>
        <v>135</v>
      </c>
      <c r="J1702" s="500" t="s">
        <v>4058</v>
      </c>
      <c r="K1702" s="492">
        <f t="shared" si="58"/>
        <v>33.75</v>
      </c>
    </row>
    <row r="1703" spans="1:11" hidden="1">
      <c r="A1703" s="559"/>
      <c r="F1703" s="519">
        <v>0.2</v>
      </c>
      <c r="G1703" s="518" t="s">
        <v>4058</v>
      </c>
      <c r="H1703" s="509" t="s">
        <v>4120</v>
      </c>
      <c r="I1703" s="492">
        <f>C17</f>
        <v>130</v>
      </c>
      <c r="J1703" s="500" t="s">
        <v>4058</v>
      </c>
      <c r="K1703" s="492">
        <f t="shared" si="58"/>
        <v>26</v>
      </c>
    </row>
    <row r="1704" spans="1:11" hidden="1">
      <c r="A1704" s="559"/>
      <c r="H1704" s="509" t="s">
        <v>4121</v>
      </c>
      <c r="I1704" s="490" t="s">
        <v>30</v>
      </c>
      <c r="J1704" s="500" t="s">
        <v>30</v>
      </c>
      <c r="K1704" s="492">
        <v>0</v>
      </c>
    </row>
    <row r="1705" spans="1:11" hidden="1">
      <c r="A1705" s="559"/>
      <c r="I1705" s="2"/>
      <c r="J1705" s="500" t="s">
        <v>30</v>
      </c>
      <c r="K1705" s="491" t="s">
        <v>442</v>
      </c>
    </row>
    <row r="1706" spans="1:11" hidden="1">
      <c r="A1706" s="559"/>
      <c r="F1706" s="509" t="s">
        <v>30</v>
      </c>
      <c r="G1706" s="518" t="s">
        <v>30</v>
      </c>
      <c r="H1706" s="509" t="s">
        <v>4114</v>
      </c>
      <c r="I1706" s="2"/>
      <c r="J1706" s="463"/>
      <c r="K1706" s="492">
        <f>SUM(K1698:K1704)</f>
        <v>331.24</v>
      </c>
    </row>
    <row r="1707" spans="1:11" hidden="1">
      <c r="A1707" s="559"/>
      <c r="H1707" s="509" t="s">
        <v>30</v>
      </c>
      <c r="I1707" s="2"/>
      <c r="J1707" s="463"/>
      <c r="K1707" s="491" t="s">
        <v>442</v>
      </c>
    </row>
    <row r="1708" spans="1:11" hidden="1">
      <c r="A1708" s="559"/>
      <c r="I1708" s="2"/>
      <c r="J1708" s="463"/>
      <c r="K1708" s="491"/>
    </row>
    <row r="1709" spans="1:11" hidden="1">
      <c r="A1709" s="559"/>
      <c r="F1709" s="510" t="s">
        <v>4122</v>
      </c>
      <c r="H1709" s="509" t="s">
        <v>4123</v>
      </c>
      <c r="I1709" s="2"/>
      <c r="J1709" s="463"/>
      <c r="K1709" s="2"/>
    </row>
    <row r="1710" spans="1:11" hidden="1">
      <c r="A1710" s="559"/>
      <c r="H1710" s="515" t="s">
        <v>442</v>
      </c>
      <c r="I1710" s="2"/>
      <c r="J1710" s="463"/>
      <c r="K1710" s="2"/>
    </row>
    <row r="1711" spans="1:11" hidden="1">
      <c r="A1711" s="559"/>
      <c r="F1711" s="542">
        <v>0.48599999999999999</v>
      </c>
      <c r="G1711" s="518" t="s">
        <v>2019</v>
      </c>
      <c r="H1711" s="509" t="s">
        <v>4101</v>
      </c>
      <c r="I1711" s="492">
        <f>C61</f>
        <v>25</v>
      </c>
      <c r="J1711" s="500" t="s">
        <v>2019</v>
      </c>
      <c r="K1711" s="492">
        <f t="shared" ref="K1711:K1717" si="59">(F1711*I1711)</f>
        <v>12.15</v>
      </c>
    </row>
    <row r="1712" spans="1:11" hidden="1">
      <c r="A1712" s="559"/>
      <c r="F1712" s="542">
        <v>0.48599999999999999</v>
      </c>
      <c r="G1712" s="518" t="s">
        <v>2019</v>
      </c>
      <c r="H1712" s="509" t="s">
        <v>4124</v>
      </c>
      <c r="I1712" s="492" t="e">
        <f>K203</f>
        <v>#REF!</v>
      </c>
      <c r="J1712" s="500" t="s">
        <v>2019</v>
      </c>
      <c r="K1712" s="492" t="e">
        <f t="shared" si="59"/>
        <v>#REF!</v>
      </c>
    </row>
    <row r="1713" spans="1:11" hidden="1">
      <c r="A1713" s="559"/>
      <c r="F1713" s="519">
        <v>81.75</v>
      </c>
      <c r="G1713" s="518" t="s">
        <v>4125</v>
      </c>
      <c r="H1713" s="509" t="s">
        <v>4126</v>
      </c>
      <c r="I1713" s="492">
        <v>30</v>
      </c>
      <c r="J1713" s="500" t="s">
        <v>4125</v>
      </c>
      <c r="K1713" s="492">
        <f t="shared" si="59"/>
        <v>2452.5</v>
      </c>
    </row>
    <row r="1714" spans="1:11" hidden="1">
      <c r="A1714" s="559"/>
      <c r="F1714" s="519">
        <v>7.2</v>
      </c>
      <c r="G1714" s="518" t="s">
        <v>4125</v>
      </c>
      <c r="H1714" s="509" t="s">
        <v>4127</v>
      </c>
      <c r="I1714" s="492">
        <v>30</v>
      </c>
      <c r="J1714" s="500" t="s">
        <v>4125</v>
      </c>
      <c r="K1714" s="492">
        <f t="shared" si="59"/>
        <v>216</v>
      </c>
    </row>
    <row r="1715" spans="1:11" hidden="1">
      <c r="A1715" s="559"/>
      <c r="F1715" s="519">
        <v>43.68</v>
      </c>
      <c r="G1715" s="518" t="s">
        <v>4125</v>
      </c>
      <c r="H1715" s="509" t="s">
        <v>4128</v>
      </c>
      <c r="I1715" s="492">
        <f>I1713</f>
        <v>30</v>
      </c>
      <c r="J1715" s="500" t="s">
        <v>4125</v>
      </c>
      <c r="K1715" s="492">
        <f t="shared" si="59"/>
        <v>1310.4000000000001</v>
      </c>
    </row>
    <row r="1716" spans="1:11" hidden="1">
      <c r="A1716" s="559"/>
      <c r="F1716" s="519">
        <v>132.63</v>
      </c>
      <c r="G1716" s="518" t="s">
        <v>4125</v>
      </c>
      <c r="H1716" s="509" t="s">
        <v>4129</v>
      </c>
      <c r="I1716" s="545">
        <v>12.3</v>
      </c>
      <c r="J1716" s="500" t="s">
        <v>4125</v>
      </c>
      <c r="K1716" s="492">
        <f t="shared" si="59"/>
        <v>1631.3489999999999</v>
      </c>
    </row>
    <row r="1717" spans="1:11" hidden="1">
      <c r="A1717" s="559"/>
      <c r="F1717" s="519">
        <v>2.2000000000000002</v>
      </c>
      <c r="G1717" s="518" t="s">
        <v>2830</v>
      </c>
      <c r="H1717" s="509" t="s">
        <v>4130</v>
      </c>
      <c r="I1717" s="492">
        <v>360</v>
      </c>
      <c r="J1717" s="500" t="s">
        <v>2830</v>
      </c>
      <c r="K1717" s="492">
        <f t="shared" si="59"/>
        <v>792.00000000000011</v>
      </c>
    </row>
    <row r="1718" spans="1:11" hidden="1">
      <c r="A1718" s="559"/>
      <c r="F1718" s="517" t="s">
        <v>170</v>
      </c>
      <c r="H1718" s="509" t="s">
        <v>4131</v>
      </c>
      <c r="I1718" s="526" t="s">
        <v>170</v>
      </c>
      <c r="J1718" s="463"/>
      <c r="K1718" s="492">
        <v>250</v>
      </c>
    </row>
    <row r="1719" spans="1:11" hidden="1">
      <c r="A1719" s="559"/>
      <c r="F1719" s="517" t="s">
        <v>170</v>
      </c>
      <c r="H1719" s="509" t="s">
        <v>4132</v>
      </c>
      <c r="I1719" s="526" t="s">
        <v>170</v>
      </c>
      <c r="J1719" s="463"/>
      <c r="K1719" s="492">
        <v>20</v>
      </c>
    </row>
    <row r="1720" spans="1:11" hidden="1">
      <c r="A1720" s="559"/>
      <c r="I1720" s="2"/>
      <c r="J1720" s="463"/>
      <c r="K1720" s="491" t="s">
        <v>442</v>
      </c>
    </row>
    <row r="1721" spans="1:11" hidden="1">
      <c r="A1721" s="559"/>
      <c r="I1721" s="2"/>
      <c r="J1721" s="463"/>
      <c r="K1721" s="492" t="e">
        <f>SUM(K1711:K1720)</f>
        <v>#REF!</v>
      </c>
    </row>
    <row r="1722" spans="1:11" hidden="1">
      <c r="A1722" s="559"/>
      <c r="I1722" s="2"/>
      <c r="J1722" s="463"/>
      <c r="K1722" s="491" t="s">
        <v>442</v>
      </c>
    </row>
    <row r="1723" spans="1:11" hidden="1">
      <c r="A1723" s="559"/>
      <c r="I1723" s="2"/>
      <c r="J1723" s="463"/>
      <c r="K1723" s="491"/>
    </row>
    <row r="1724" spans="1:11" hidden="1">
      <c r="A1724" s="559"/>
      <c r="F1724" s="524">
        <v>86</v>
      </c>
      <c r="H1724" s="509" t="s">
        <v>3481</v>
      </c>
      <c r="I1724" s="2"/>
      <c r="J1724" s="463"/>
      <c r="K1724" s="492">
        <f>C777</f>
        <v>30</v>
      </c>
    </row>
    <row r="1725" spans="1:11" hidden="1">
      <c r="A1725" s="559"/>
      <c r="F1725" s="529"/>
      <c r="H1725" s="509"/>
      <c r="I1725" s="2"/>
      <c r="J1725" s="463"/>
      <c r="K1725" s="492"/>
    </row>
    <row r="1726" spans="1:11" hidden="1">
      <c r="A1726" s="559"/>
      <c r="F1726" s="510" t="s">
        <v>4133</v>
      </c>
      <c r="H1726" s="509" t="s">
        <v>4134</v>
      </c>
      <c r="I1726" s="2"/>
      <c r="J1726" s="463"/>
      <c r="K1726" s="490">
        <v>3135</v>
      </c>
    </row>
    <row r="1727" spans="1:11" hidden="1">
      <c r="A1727" s="559"/>
      <c r="H1727" s="509" t="s">
        <v>4135</v>
      </c>
      <c r="I1727" s="2"/>
      <c r="J1727" s="463"/>
      <c r="K1727" s="2">
        <f>K1726</f>
        <v>3135</v>
      </c>
    </row>
    <row r="1728" spans="1:11" hidden="1">
      <c r="A1728" s="559"/>
      <c r="F1728" s="509" t="s">
        <v>30</v>
      </c>
      <c r="I1728" s="2"/>
      <c r="J1728" s="463"/>
      <c r="K1728" s="2"/>
    </row>
    <row r="1729" spans="1:11" hidden="1">
      <c r="A1729" s="559"/>
      <c r="F1729" s="529"/>
      <c r="G1729" s="518" t="s">
        <v>575</v>
      </c>
      <c r="H1729" s="509" t="s">
        <v>2967</v>
      </c>
      <c r="I1729" s="2"/>
      <c r="J1729" s="463"/>
      <c r="K1729" s="2"/>
    </row>
    <row r="1730" spans="1:11" hidden="1">
      <c r="A1730" s="559"/>
      <c r="H1730" s="509" t="s">
        <v>4136</v>
      </c>
      <c r="I1730" s="2"/>
      <c r="J1730" s="463"/>
      <c r="K1730" s="2"/>
    </row>
    <row r="1731" spans="1:11" hidden="1">
      <c r="A1731" s="559"/>
      <c r="H1731" s="509" t="s">
        <v>3013</v>
      </c>
      <c r="I1731" s="2"/>
      <c r="J1731" s="463"/>
      <c r="K1731" s="2"/>
    </row>
    <row r="1732" spans="1:11" hidden="1">
      <c r="A1732" s="559"/>
      <c r="H1732" s="515" t="s">
        <v>442</v>
      </c>
      <c r="I1732" s="2"/>
      <c r="J1732" s="463"/>
      <c r="K1732" s="2"/>
    </row>
    <row r="1733" spans="1:11" hidden="1">
      <c r="A1733" s="559"/>
      <c r="G1733" s="518" t="s">
        <v>4137</v>
      </c>
      <c r="H1733" s="509" t="s">
        <v>3013</v>
      </c>
      <c r="I1733" s="2"/>
      <c r="J1733" s="463"/>
      <c r="K1733" s="490" t="s">
        <v>4138</v>
      </c>
    </row>
    <row r="1734" spans="1:11" hidden="1">
      <c r="A1734" s="559"/>
      <c r="H1734" s="515" t="s">
        <v>442</v>
      </c>
      <c r="I1734" s="2"/>
      <c r="J1734" s="463"/>
      <c r="K1734" s="491" t="s">
        <v>29</v>
      </c>
    </row>
    <row r="1735" spans="1:11" hidden="1">
      <c r="A1735" s="559"/>
      <c r="F1735" s="519">
        <v>30</v>
      </c>
      <c r="G1735" s="518" t="s">
        <v>2205</v>
      </c>
      <c r="H1735" s="509" t="s">
        <v>3019</v>
      </c>
      <c r="I1735" s="492">
        <f>(C639)</f>
        <v>3</v>
      </c>
      <c r="J1735" s="500" t="s">
        <v>2205</v>
      </c>
      <c r="K1735" s="492">
        <f>(F1735*I1735)</f>
        <v>90</v>
      </c>
    </row>
    <row r="1736" spans="1:11" hidden="1">
      <c r="A1736" s="559"/>
      <c r="F1736" s="509" t="s">
        <v>30</v>
      </c>
      <c r="H1736" s="509" t="s">
        <v>3022</v>
      </c>
      <c r="I1736" s="490" t="s">
        <v>30</v>
      </c>
      <c r="J1736" s="463"/>
      <c r="K1736" s="490" t="s">
        <v>30</v>
      </c>
    </row>
    <row r="1737" spans="1:11" hidden="1">
      <c r="A1737" s="559"/>
      <c r="F1737" s="519">
        <v>8</v>
      </c>
      <c r="G1737" s="518" t="s">
        <v>2342</v>
      </c>
      <c r="H1737" s="509" t="s">
        <v>2982</v>
      </c>
      <c r="I1737" s="492">
        <f>(C641)</f>
        <v>2.2000000000000002</v>
      </c>
      <c r="J1737" s="500" t="s">
        <v>2342</v>
      </c>
      <c r="K1737" s="492">
        <f t="shared" ref="K1737:K1742" si="60">(F1737*I1737)</f>
        <v>17.600000000000001</v>
      </c>
    </row>
    <row r="1738" spans="1:11" hidden="1">
      <c r="A1738" s="559"/>
      <c r="F1738" s="519">
        <v>8</v>
      </c>
      <c r="G1738" s="518" t="s">
        <v>2342</v>
      </c>
      <c r="H1738" s="509" t="s">
        <v>2985</v>
      </c>
      <c r="I1738" s="492">
        <f>(C642)</f>
        <v>3.2</v>
      </c>
      <c r="J1738" s="500" t="s">
        <v>2342</v>
      </c>
      <c r="K1738" s="492">
        <f t="shared" si="60"/>
        <v>25.6</v>
      </c>
    </row>
    <row r="1739" spans="1:11" hidden="1">
      <c r="A1739" s="559"/>
      <c r="F1739" s="519">
        <v>3</v>
      </c>
      <c r="G1739" s="518" t="s">
        <v>2342</v>
      </c>
      <c r="H1739" s="509" t="s">
        <v>3026</v>
      </c>
      <c r="I1739" s="492">
        <f>(C41)</f>
        <v>110</v>
      </c>
      <c r="J1739" s="500" t="s">
        <v>2342</v>
      </c>
      <c r="K1739" s="492">
        <f t="shared" si="60"/>
        <v>330</v>
      </c>
    </row>
    <row r="1740" spans="1:11" hidden="1">
      <c r="A1740" s="559"/>
      <c r="F1740" s="519">
        <v>1</v>
      </c>
      <c r="G1740" s="518" t="s">
        <v>2342</v>
      </c>
      <c r="H1740" s="509" t="s">
        <v>4139</v>
      </c>
      <c r="I1740" s="492">
        <f>(C10)</f>
        <v>150</v>
      </c>
      <c r="J1740" s="500" t="s">
        <v>2342</v>
      </c>
      <c r="K1740" s="492">
        <f t="shared" si="60"/>
        <v>150</v>
      </c>
    </row>
    <row r="1741" spans="1:11" hidden="1">
      <c r="A1741" s="559"/>
      <c r="F1741" s="519">
        <v>2</v>
      </c>
      <c r="G1741" s="518" t="s">
        <v>2342</v>
      </c>
      <c r="H1741" s="509" t="s">
        <v>2344</v>
      </c>
      <c r="I1741" s="492">
        <f>(C12)</f>
        <v>95</v>
      </c>
      <c r="J1741" s="500" t="s">
        <v>2342</v>
      </c>
      <c r="K1741" s="492">
        <f t="shared" si="60"/>
        <v>190</v>
      </c>
    </row>
    <row r="1742" spans="1:11" hidden="1">
      <c r="A1742" s="559"/>
      <c r="F1742" s="519">
        <v>1</v>
      </c>
      <c r="G1742" s="518" t="s">
        <v>2342</v>
      </c>
      <c r="H1742" s="509" t="s">
        <v>2345</v>
      </c>
      <c r="I1742" s="492">
        <f>(C13)</f>
        <v>85</v>
      </c>
      <c r="J1742" s="500" t="s">
        <v>2342</v>
      </c>
      <c r="K1742" s="492">
        <f t="shared" si="60"/>
        <v>85</v>
      </c>
    </row>
    <row r="1743" spans="1:11" hidden="1">
      <c r="A1743" s="559"/>
      <c r="G1743" s="518" t="s">
        <v>2346</v>
      </c>
      <c r="H1743" s="509" t="s">
        <v>4140</v>
      </c>
      <c r="I1743" s="490" t="s">
        <v>30</v>
      </c>
      <c r="J1743" s="500" t="s">
        <v>2346</v>
      </c>
      <c r="K1743" s="492">
        <v>5</v>
      </c>
    </row>
    <row r="1744" spans="1:11" hidden="1">
      <c r="A1744" s="559"/>
      <c r="H1744" s="509" t="s">
        <v>4141</v>
      </c>
      <c r="I1744" s="490" t="s">
        <v>30</v>
      </c>
      <c r="J1744" s="463"/>
      <c r="K1744" s="490" t="s">
        <v>30</v>
      </c>
    </row>
    <row r="1745" spans="1:11" hidden="1">
      <c r="A1745" s="559"/>
      <c r="G1745" s="518" t="s">
        <v>2346</v>
      </c>
      <c r="H1745" s="509" t="s">
        <v>2347</v>
      </c>
      <c r="I1745" s="2"/>
      <c r="J1745" s="500" t="s">
        <v>2346</v>
      </c>
      <c r="K1745" s="492">
        <v>0</v>
      </c>
    </row>
    <row r="1746" spans="1:11" hidden="1">
      <c r="A1746" s="559"/>
      <c r="I1746" s="2"/>
      <c r="J1746" s="463"/>
      <c r="K1746" s="491" t="s">
        <v>442</v>
      </c>
    </row>
    <row r="1747" spans="1:11" hidden="1">
      <c r="A1747" s="559"/>
      <c r="H1747" s="509" t="s">
        <v>3031</v>
      </c>
      <c r="I1747" s="2"/>
      <c r="J1747" s="463"/>
      <c r="K1747" s="492">
        <f>SUM(K1735:K1745)</f>
        <v>893.2</v>
      </c>
    </row>
    <row r="1748" spans="1:11" hidden="1">
      <c r="A1748" s="559"/>
      <c r="I1748" s="2"/>
      <c r="J1748" s="463"/>
      <c r="K1748" s="491" t="s">
        <v>442</v>
      </c>
    </row>
    <row r="1749" spans="1:11" hidden="1">
      <c r="A1749" s="559"/>
      <c r="H1749" s="509" t="s">
        <v>2990</v>
      </c>
      <c r="I1749" s="2"/>
      <c r="J1749" s="463"/>
      <c r="K1749" s="492">
        <f>(K1747/30)</f>
        <v>29.773333333333333</v>
      </c>
    </row>
    <row r="1750" spans="1:11" hidden="1">
      <c r="A1750" s="559"/>
      <c r="I1750" s="2"/>
      <c r="J1750" s="463"/>
      <c r="K1750" s="491" t="s">
        <v>442</v>
      </c>
    </row>
    <row r="1751" spans="1:11" hidden="1">
      <c r="A1751" s="559"/>
      <c r="G1751" s="518" t="s">
        <v>3335</v>
      </c>
      <c r="H1751" s="509" t="s">
        <v>3013</v>
      </c>
      <c r="I1751" s="2"/>
      <c r="J1751" s="463"/>
      <c r="K1751" s="490" t="s">
        <v>4142</v>
      </c>
    </row>
    <row r="1752" spans="1:11" hidden="1">
      <c r="A1752" s="559"/>
      <c r="H1752" s="515" t="s">
        <v>442</v>
      </c>
      <c r="I1752" s="2"/>
      <c r="J1752" s="463"/>
      <c r="K1752" s="491" t="s">
        <v>29</v>
      </c>
    </row>
    <row r="1753" spans="1:11" hidden="1">
      <c r="A1753" s="559"/>
      <c r="F1753" s="519">
        <v>30</v>
      </c>
      <c r="G1753" s="518" t="s">
        <v>2205</v>
      </c>
      <c r="H1753" s="509" t="s">
        <v>3019</v>
      </c>
      <c r="I1753" s="492">
        <f>(C639)</f>
        <v>3</v>
      </c>
      <c r="J1753" s="500" t="s">
        <v>2205</v>
      </c>
      <c r="K1753" s="492">
        <f>(F1753*I1753)</f>
        <v>90</v>
      </c>
    </row>
    <row r="1754" spans="1:11" hidden="1">
      <c r="A1754" s="559"/>
      <c r="F1754" s="509" t="s">
        <v>30</v>
      </c>
      <c r="H1754" s="509" t="s">
        <v>3022</v>
      </c>
      <c r="I1754" s="490" t="s">
        <v>30</v>
      </c>
      <c r="J1754" s="463"/>
      <c r="K1754" s="490" t="s">
        <v>30</v>
      </c>
    </row>
    <row r="1755" spans="1:11" hidden="1">
      <c r="A1755" s="559"/>
      <c r="F1755" s="519">
        <v>8</v>
      </c>
      <c r="G1755" s="518" t="s">
        <v>2342</v>
      </c>
      <c r="H1755" s="509" t="s">
        <v>2982</v>
      </c>
      <c r="I1755" s="492">
        <f>(C641)</f>
        <v>2.2000000000000002</v>
      </c>
      <c r="J1755" s="500" t="s">
        <v>2342</v>
      </c>
      <c r="K1755" s="492">
        <f t="shared" ref="K1755:K1760" si="61">(F1755*I1755)</f>
        <v>17.600000000000001</v>
      </c>
    </row>
    <row r="1756" spans="1:11" hidden="1">
      <c r="A1756" s="559"/>
      <c r="F1756" s="519">
        <v>8</v>
      </c>
      <c r="G1756" s="518" t="s">
        <v>2342</v>
      </c>
      <c r="H1756" s="509" t="s">
        <v>2985</v>
      </c>
      <c r="I1756" s="492">
        <f>(D642)</f>
        <v>3.2</v>
      </c>
      <c r="J1756" s="500" t="s">
        <v>2342</v>
      </c>
      <c r="K1756" s="492">
        <f t="shared" si="61"/>
        <v>25.6</v>
      </c>
    </row>
    <row r="1757" spans="1:11" hidden="1">
      <c r="A1757" s="559"/>
      <c r="F1757" s="519">
        <v>3</v>
      </c>
      <c r="G1757" s="518" t="s">
        <v>2342</v>
      </c>
      <c r="H1757" s="509" t="s">
        <v>3026</v>
      </c>
      <c r="I1757" s="492">
        <f>(C41)</f>
        <v>110</v>
      </c>
      <c r="J1757" s="500" t="s">
        <v>2342</v>
      </c>
      <c r="K1757" s="492">
        <f t="shared" si="61"/>
        <v>330</v>
      </c>
    </row>
    <row r="1758" spans="1:11" hidden="1">
      <c r="A1758" s="559"/>
      <c r="F1758" s="519">
        <v>1</v>
      </c>
      <c r="G1758" s="518" t="s">
        <v>2342</v>
      </c>
      <c r="H1758" s="509" t="s">
        <v>4139</v>
      </c>
      <c r="I1758" s="492">
        <f>(C10)</f>
        <v>150</v>
      </c>
      <c r="J1758" s="500" t="s">
        <v>2342</v>
      </c>
      <c r="K1758" s="492">
        <f t="shared" si="61"/>
        <v>150</v>
      </c>
    </row>
    <row r="1759" spans="1:11" hidden="1">
      <c r="A1759" s="559"/>
      <c r="F1759" s="519">
        <v>2</v>
      </c>
      <c r="G1759" s="518" t="s">
        <v>2342</v>
      </c>
      <c r="H1759" s="509" t="s">
        <v>2344</v>
      </c>
      <c r="I1759" s="492">
        <f>(C12)</f>
        <v>95</v>
      </c>
      <c r="J1759" s="500" t="s">
        <v>2342</v>
      </c>
      <c r="K1759" s="492">
        <f t="shared" si="61"/>
        <v>190</v>
      </c>
    </row>
    <row r="1760" spans="1:11" hidden="1">
      <c r="A1760" s="559"/>
      <c r="F1760" s="519">
        <v>1</v>
      </c>
      <c r="G1760" s="518" t="s">
        <v>2342</v>
      </c>
      <c r="H1760" s="509" t="s">
        <v>2345</v>
      </c>
      <c r="I1760" s="492">
        <f>(C13)</f>
        <v>85</v>
      </c>
      <c r="J1760" s="500" t="s">
        <v>2342</v>
      </c>
      <c r="K1760" s="492">
        <f t="shared" si="61"/>
        <v>85</v>
      </c>
    </row>
    <row r="1761" spans="1:11" hidden="1">
      <c r="A1761" s="559"/>
      <c r="G1761" s="518" t="s">
        <v>2346</v>
      </c>
      <c r="H1761" s="509" t="s">
        <v>4140</v>
      </c>
      <c r="I1761" s="490" t="s">
        <v>30</v>
      </c>
      <c r="J1761" s="500" t="s">
        <v>2346</v>
      </c>
      <c r="K1761" s="492">
        <v>5</v>
      </c>
    </row>
    <row r="1762" spans="1:11" hidden="1">
      <c r="A1762" s="559"/>
      <c r="H1762" s="509" t="s">
        <v>4141</v>
      </c>
      <c r="I1762" s="490" t="s">
        <v>30</v>
      </c>
      <c r="J1762" s="463"/>
      <c r="K1762" s="490" t="s">
        <v>30</v>
      </c>
    </row>
    <row r="1763" spans="1:11" hidden="1">
      <c r="A1763" s="559"/>
      <c r="G1763" s="518" t="s">
        <v>2346</v>
      </c>
      <c r="H1763" s="509" t="s">
        <v>2347</v>
      </c>
      <c r="I1763" s="2"/>
      <c r="J1763" s="500" t="s">
        <v>2346</v>
      </c>
      <c r="K1763" s="492">
        <v>0</v>
      </c>
    </row>
    <row r="1764" spans="1:11" hidden="1">
      <c r="A1764" s="559"/>
      <c r="I1764" s="2"/>
      <c r="J1764" s="463"/>
      <c r="K1764" s="491" t="s">
        <v>442</v>
      </c>
    </row>
    <row r="1765" spans="1:11" hidden="1">
      <c r="A1765" s="559"/>
      <c r="H1765" s="509" t="s">
        <v>3031</v>
      </c>
      <c r="I1765" s="2"/>
      <c r="J1765" s="463"/>
      <c r="K1765" s="492">
        <f>SUM(K1753:K1763)</f>
        <v>893.2</v>
      </c>
    </row>
    <row r="1766" spans="1:11" hidden="1">
      <c r="A1766" s="559"/>
      <c r="I1766" s="2"/>
      <c r="J1766" s="463"/>
      <c r="K1766" s="491" t="s">
        <v>442</v>
      </c>
    </row>
    <row r="1767" spans="1:11" hidden="1">
      <c r="A1767" s="559"/>
      <c r="H1767" s="509" t="s">
        <v>2990</v>
      </c>
      <c r="I1767" s="2"/>
      <c r="J1767" s="463"/>
      <c r="K1767" s="492">
        <f>(K1765/30)</f>
        <v>29.773333333333333</v>
      </c>
    </row>
    <row r="1768" spans="1:11" hidden="1">
      <c r="A1768" s="559"/>
      <c r="I1768" s="2"/>
      <c r="J1768" s="463"/>
      <c r="K1768" s="491" t="s">
        <v>442</v>
      </c>
    </row>
    <row r="1769" spans="1:11" hidden="1">
      <c r="A1769" s="559"/>
      <c r="G1769" s="518" t="s">
        <v>2365</v>
      </c>
      <c r="H1769" s="509" t="s">
        <v>3013</v>
      </c>
      <c r="I1769" s="2"/>
      <c r="J1769" s="463"/>
      <c r="K1769" s="490" t="s">
        <v>4143</v>
      </c>
    </row>
    <row r="1770" spans="1:11" hidden="1">
      <c r="A1770" s="559"/>
      <c r="H1770" s="515" t="s">
        <v>442</v>
      </c>
      <c r="I1770" s="2"/>
      <c r="J1770" s="463"/>
      <c r="K1770" s="491" t="s">
        <v>29</v>
      </c>
    </row>
    <row r="1771" spans="1:11" hidden="1">
      <c r="A1771" s="559"/>
      <c r="F1771" s="519">
        <v>30</v>
      </c>
      <c r="G1771" s="518" t="s">
        <v>2205</v>
      </c>
      <c r="H1771" s="509" t="s">
        <v>3019</v>
      </c>
      <c r="I1771" s="492">
        <f>(C639)</f>
        <v>3</v>
      </c>
      <c r="J1771" s="500" t="s">
        <v>2205</v>
      </c>
      <c r="K1771" s="492">
        <f>(F1771*I1771)</f>
        <v>90</v>
      </c>
    </row>
    <row r="1772" spans="1:11" hidden="1">
      <c r="A1772" s="559"/>
      <c r="F1772" s="509" t="s">
        <v>30</v>
      </c>
      <c r="H1772" s="509" t="s">
        <v>3022</v>
      </c>
      <c r="I1772" s="490" t="s">
        <v>30</v>
      </c>
      <c r="J1772" s="463"/>
      <c r="K1772" s="490" t="s">
        <v>30</v>
      </c>
    </row>
    <row r="1773" spans="1:11" hidden="1">
      <c r="A1773" s="559"/>
      <c r="F1773" s="519">
        <v>8</v>
      </c>
      <c r="G1773" s="518" t="s">
        <v>2342</v>
      </c>
      <c r="H1773" s="509" t="s">
        <v>2982</v>
      </c>
      <c r="I1773" s="492">
        <f>(D641)</f>
        <v>2.7</v>
      </c>
      <c r="J1773" s="500" t="s">
        <v>2342</v>
      </c>
      <c r="K1773" s="492">
        <f t="shared" ref="K1773:K1778" si="62">(F1773*I1773)</f>
        <v>21.6</v>
      </c>
    </row>
    <row r="1774" spans="1:11" hidden="1">
      <c r="A1774" s="559"/>
      <c r="F1774" s="519">
        <v>8</v>
      </c>
      <c r="G1774" s="518" t="s">
        <v>2342</v>
      </c>
      <c r="H1774" s="509" t="s">
        <v>2985</v>
      </c>
      <c r="I1774" s="492">
        <f>(C647)</f>
        <v>6.4</v>
      </c>
      <c r="J1774" s="500" t="s">
        <v>2342</v>
      </c>
      <c r="K1774" s="492">
        <f t="shared" si="62"/>
        <v>51.2</v>
      </c>
    </row>
    <row r="1775" spans="1:11" hidden="1">
      <c r="A1775" s="559"/>
      <c r="F1775" s="519">
        <v>3</v>
      </c>
      <c r="G1775" s="518" t="s">
        <v>2342</v>
      </c>
      <c r="H1775" s="509" t="s">
        <v>3026</v>
      </c>
      <c r="I1775" s="492">
        <f>(C41)</f>
        <v>110</v>
      </c>
      <c r="J1775" s="500" t="s">
        <v>2342</v>
      </c>
      <c r="K1775" s="492">
        <f t="shared" si="62"/>
        <v>330</v>
      </c>
    </row>
    <row r="1776" spans="1:11" hidden="1">
      <c r="A1776" s="559"/>
      <c r="F1776" s="519">
        <v>1</v>
      </c>
      <c r="G1776" s="518" t="s">
        <v>2342</v>
      </c>
      <c r="H1776" s="509" t="s">
        <v>4139</v>
      </c>
      <c r="I1776" s="492">
        <f>(C10)</f>
        <v>150</v>
      </c>
      <c r="J1776" s="500" t="s">
        <v>2342</v>
      </c>
      <c r="K1776" s="492">
        <f t="shared" si="62"/>
        <v>150</v>
      </c>
    </row>
    <row r="1777" spans="1:11" hidden="1">
      <c r="A1777" s="559"/>
      <c r="F1777" s="519">
        <v>2</v>
      </c>
      <c r="G1777" s="518" t="s">
        <v>2342</v>
      </c>
      <c r="H1777" s="509" t="s">
        <v>2344</v>
      </c>
      <c r="I1777" s="492">
        <f>(C12)</f>
        <v>95</v>
      </c>
      <c r="J1777" s="500" t="s">
        <v>2342</v>
      </c>
      <c r="K1777" s="492">
        <f t="shared" si="62"/>
        <v>190</v>
      </c>
    </row>
    <row r="1778" spans="1:11" hidden="1">
      <c r="A1778" s="559"/>
      <c r="F1778" s="519">
        <v>1</v>
      </c>
      <c r="G1778" s="518" t="s">
        <v>2342</v>
      </c>
      <c r="H1778" s="509" t="s">
        <v>2345</v>
      </c>
      <c r="I1778" s="492">
        <f>(C13)</f>
        <v>85</v>
      </c>
      <c r="J1778" s="500" t="s">
        <v>2342</v>
      </c>
      <c r="K1778" s="492">
        <f t="shared" si="62"/>
        <v>85</v>
      </c>
    </row>
    <row r="1779" spans="1:11" hidden="1">
      <c r="A1779" s="559"/>
      <c r="G1779" s="518" t="s">
        <v>2346</v>
      </c>
      <c r="H1779" s="509" t="s">
        <v>4140</v>
      </c>
      <c r="I1779" s="490" t="s">
        <v>30</v>
      </c>
      <c r="J1779" s="500" t="s">
        <v>2346</v>
      </c>
      <c r="K1779" s="492">
        <v>5</v>
      </c>
    </row>
    <row r="1780" spans="1:11" hidden="1">
      <c r="A1780" s="559"/>
      <c r="H1780" s="509" t="s">
        <v>4141</v>
      </c>
      <c r="I1780" s="490" t="s">
        <v>30</v>
      </c>
      <c r="J1780" s="463"/>
      <c r="K1780" s="490" t="s">
        <v>30</v>
      </c>
    </row>
    <row r="1781" spans="1:11" hidden="1">
      <c r="A1781" s="559"/>
      <c r="G1781" s="518" t="s">
        <v>2346</v>
      </c>
      <c r="H1781" s="509" t="s">
        <v>2347</v>
      </c>
      <c r="I1781" s="2"/>
      <c r="J1781" s="500" t="s">
        <v>2346</v>
      </c>
      <c r="K1781" s="492">
        <v>0</v>
      </c>
    </row>
    <row r="1782" spans="1:11" hidden="1">
      <c r="A1782" s="559"/>
      <c r="I1782" s="2"/>
      <c r="J1782" s="463"/>
      <c r="K1782" s="491" t="s">
        <v>442</v>
      </c>
    </row>
    <row r="1783" spans="1:11" hidden="1">
      <c r="A1783" s="559"/>
      <c r="H1783" s="509" t="s">
        <v>3031</v>
      </c>
      <c r="I1783" s="2"/>
      <c r="J1783" s="463"/>
      <c r="K1783" s="492">
        <f>SUM(K1771:K1781)</f>
        <v>922.8</v>
      </c>
    </row>
    <row r="1784" spans="1:11" hidden="1">
      <c r="A1784" s="559"/>
      <c r="I1784" s="2"/>
      <c r="J1784" s="463"/>
      <c r="K1784" s="491" t="s">
        <v>442</v>
      </c>
    </row>
    <row r="1785" spans="1:11" hidden="1">
      <c r="A1785" s="559"/>
      <c r="H1785" s="509" t="s">
        <v>2990</v>
      </c>
      <c r="I1785" s="2"/>
      <c r="J1785" s="463"/>
      <c r="K1785" s="492">
        <f>(K1783/30)</f>
        <v>30.759999999999998</v>
      </c>
    </row>
    <row r="1786" spans="1:11" hidden="1">
      <c r="A1786" s="559"/>
      <c r="I1786" s="2"/>
      <c r="J1786" s="463"/>
      <c r="K1786" s="491" t="s">
        <v>442</v>
      </c>
    </row>
    <row r="1787" spans="1:11" hidden="1">
      <c r="A1787" s="559"/>
      <c r="I1787" s="2"/>
      <c r="J1787" s="463"/>
      <c r="K1787" s="2"/>
    </row>
    <row r="1788" spans="1:11" hidden="1">
      <c r="A1788" s="559"/>
      <c r="F1788" s="570">
        <v>52</v>
      </c>
      <c r="G1788" s="518" t="s">
        <v>575</v>
      </c>
      <c r="H1788" s="509" t="s">
        <v>4144</v>
      </c>
      <c r="I1788" s="2"/>
      <c r="J1788" s="463"/>
      <c r="K1788" s="2"/>
    </row>
    <row r="1789" spans="1:11" hidden="1">
      <c r="A1789" s="559"/>
      <c r="H1789" s="509" t="s">
        <v>4145</v>
      </c>
      <c r="I1789" s="2"/>
      <c r="J1789" s="463"/>
      <c r="K1789" s="2"/>
    </row>
    <row r="1790" spans="1:11" hidden="1">
      <c r="A1790" s="559"/>
      <c r="H1790" s="509" t="s">
        <v>4146</v>
      </c>
      <c r="I1790" s="2"/>
      <c r="J1790" s="463"/>
      <c r="K1790" s="2"/>
    </row>
    <row r="1791" spans="1:11" hidden="1">
      <c r="A1791" s="559"/>
      <c r="H1791" s="509" t="s">
        <v>4147</v>
      </c>
      <c r="I1791" s="2"/>
      <c r="J1791" s="463"/>
      <c r="K1791" s="2"/>
    </row>
    <row r="1792" spans="1:11" hidden="1">
      <c r="A1792" s="559"/>
      <c r="H1792" s="509" t="s">
        <v>4148</v>
      </c>
      <c r="I1792" s="2"/>
      <c r="J1792" s="463"/>
      <c r="K1792" s="2"/>
    </row>
    <row r="1793" spans="1:11" hidden="1">
      <c r="A1793" s="559"/>
      <c r="H1793" s="509" t="s">
        <v>4149</v>
      </c>
      <c r="I1793" s="2"/>
      <c r="J1793" s="463"/>
      <c r="K1793" s="2"/>
    </row>
    <row r="1794" spans="1:11" hidden="1">
      <c r="A1794" s="559"/>
      <c r="H1794" s="509" t="s">
        <v>4150</v>
      </c>
      <c r="I1794" s="2"/>
      <c r="J1794" s="463"/>
      <c r="K1794" s="2"/>
    </row>
    <row r="1795" spans="1:11" hidden="1">
      <c r="A1795" s="559"/>
      <c r="H1795" s="509" t="s">
        <v>4151</v>
      </c>
      <c r="I1795" s="2"/>
      <c r="J1795" s="463"/>
      <c r="K1795" s="2"/>
    </row>
    <row r="1796" spans="1:11" hidden="1">
      <c r="A1796" s="559"/>
      <c r="H1796" s="515" t="s">
        <v>29</v>
      </c>
      <c r="I1796" s="491" t="s">
        <v>29</v>
      </c>
      <c r="J1796" s="463"/>
      <c r="K1796" s="2"/>
    </row>
    <row r="1797" spans="1:11" hidden="1">
      <c r="A1797" s="559"/>
      <c r="G1797" s="518" t="s">
        <v>575</v>
      </c>
      <c r="H1797" s="509" t="s">
        <v>4152</v>
      </c>
      <c r="I1797" s="2"/>
      <c r="J1797" s="463"/>
      <c r="K1797" s="2"/>
    </row>
    <row r="1798" spans="1:11" hidden="1">
      <c r="A1798" s="559"/>
      <c r="H1798" s="509" t="s">
        <v>4153</v>
      </c>
      <c r="I1798" s="2"/>
      <c r="J1798" s="463"/>
      <c r="K1798" s="2"/>
    </row>
    <row r="1799" spans="1:11" hidden="1">
      <c r="A1799" s="559"/>
      <c r="G1799" s="518" t="s">
        <v>3366</v>
      </c>
      <c r="H1799" s="509" t="s">
        <v>4154</v>
      </c>
      <c r="I1799" s="2"/>
      <c r="J1799" s="463"/>
      <c r="K1799" s="2"/>
    </row>
    <row r="1800" spans="1:11" hidden="1">
      <c r="A1800" s="559"/>
      <c r="H1800" s="515" t="s">
        <v>442</v>
      </c>
      <c r="I1800" s="2"/>
      <c r="J1800" s="463"/>
      <c r="K1800" s="2"/>
    </row>
    <row r="1801" spans="1:11" hidden="1">
      <c r="A1801" s="559"/>
      <c r="F1801" s="519">
        <v>1</v>
      </c>
      <c r="G1801" s="518" t="s">
        <v>12</v>
      </c>
      <c r="H1801" s="509" t="s">
        <v>4155</v>
      </c>
      <c r="I1801" s="492">
        <f>C509</f>
        <v>32.9</v>
      </c>
      <c r="J1801" s="500" t="s">
        <v>12</v>
      </c>
      <c r="K1801" s="492">
        <f>(F1801*I1801)</f>
        <v>32.9</v>
      </c>
    </row>
    <row r="1802" spans="1:11" hidden="1">
      <c r="A1802" s="559"/>
      <c r="F1802" s="519">
        <v>1</v>
      </c>
      <c r="G1802" s="518" t="s">
        <v>2346</v>
      </c>
      <c r="H1802" s="509" t="s">
        <v>4156</v>
      </c>
      <c r="I1802" s="492">
        <f>I1801*0.7</f>
        <v>23.029999999999998</v>
      </c>
      <c r="J1802" s="500" t="s">
        <v>2346</v>
      </c>
      <c r="K1802" s="492">
        <f>(F1802*I1802)</f>
        <v>23.029999999999998</v>
      </c>
    </row>
    <row r="1803" spans="1:11" hidden="1">
      <c r="A1803" s="559"/>
      <c r="F1803" s="519">
        <v>1</v>
      </c>
      <c r="G1803" s="518" t="s">
        <v>12</v>
      </c>
      <c r="H1803" s="509" t="s">
        <v>4157</v>
      </c>
      <c r="I1803" s="492">
        <f>K1749</f>
        <v>29.773333333333333</v>
      </c>
      <c r="J1803" s="500" t="s">
        <v>12</v>
      </c>
      <c r="K1803" s="492">
        <f>(F1803*I1803)</f>
        <v>29.773333333333333</v>
      </c>
    </row>
    <row r="1804" spans="1:11" hidden="1">
      <c r="A1804" s="559"/>
      <c r="I1804" s="490" t="s">
        <v>30</v>
      </c>
      <c r="J1804" s="463"/>
      <c r="K1804" s="491" t="s">
        <v>442</v>
      </c>
    </row>
    <row r="1805" spans="1:11" hidden="1">
      <c r="A1805" s="559"/>
      <c r="H1805" s="509" t="s">
        <v>4158</v>
      </c>
      <c r="I1805" s="2"/>
      <c r="J1805" s="463"/>
      <c r="K1805" s="492">
        <f>SUM(K1801:K1803)</f>
        <v>85.703333333333319</v>
      </c>
    </row>
    <row r="1806" spans="1:11" hidden="1">
      <c r="A1806" s="559"/>
      <c r="H1806" s="509" t="s">
        <v>30</v>
      </c>
      <c r="I1806" s="490" t="s">
        <v>30</v>
      </c>
      <c r="J1806" s="463"/>
      <c r="K1806" s="491" t="s">
        <v>29</v>
      </c>
    </row>
    <row r="1807" spans="1:11" hidden="1">
      <c r="A1807" s="559"/>
      <c r="G1807" s="518" t="s">
        <v>3335</v>
      </c>
      <c r="H1807" s="509" t="s">
        <v>4159</v>
      </c>
      <c r="I1807" s="2"/>
      <c r="J1807" s="463"/>
      <c r="K1807" s="2"/>
    </row>
    <row r="1808" spans="1:11" hidden="1">
      <c r="A1808" s="559"/>
      <c r="H1808" s="515" t="s">
        <v>442</v>
      </c>
      <c r="I1808" s="2"/>
      <c r="J1808" s="463"/>
      <c r="K1808" s="2"/>
    </row>
    <row r="1809" spans="1:11" hidden="1">
      <c r="A1809" s="559"/>
      <c r="F1809" s="519">
        <v>1</v>
      </c>
      <c r="G1809" s="518" t="s">
        <v>12</v>
      </c>
      <c r="H1809" s="509" t="s">
        <v>4160</v>
      </c>
      <c r="I1809" s="492">
        <f>C510</f>
        <v>48.8</v>
      </c>
      <c r="J1809" s="500" t="s">
        <v>12</v>
      </c>
      <c r="K1809" s="492">
        <f>(F1809*I1809)</f>
        <v>48.8</v>
      </c>
    </row>
    <row r="1810" spans="1:11" hidden="1">
      <c r="A1810" s="559"/>
      <c r="F1810" s="519">
        <v>1</v>
      </c>
      <c r="G1810" s="518" t="s">
        <v>2346</v>
      </c>
      <c r="H1810" s="509" t="s">
        <v>4161</v>
      </c>
      <c r="I1810" s="492">
        <f>I1809*0.4</f>
        <v>19.52</v>
      </c>
      <c r="J1810" s="500" t="s">
        <v>2346</v>
      </c>
      <c r="K1810" s="492">
        <f>(F1810*I1810)</f>
        <v>19.52</v>
      </c>
    </row>
    <row r="1811" spans="1:11" hidden="1">
      <c r="A1811" s="559"/>
      <c r="F1811" s="519">
        <v>1</v>
      </c>
      <c r="G1811" s="518" t="s">
        <v>12</v>
      </c>
      <c r="H1811" s="509" t="s">
        <v>4157</v>
      </c>
      <c r="I1811" s="492">
        <f>K1767</f>
        <v>29.773333333333333</v>
      </c>
      <c r="J1811" s="500" t="s">
        <v>12</v>
      </c>
      <c r="K1811" s="492">
        <f>(F1811*I1811)</f>
        <v>29.773333333333333</v>
      </c>
    </row>
    <row r="1812" spans="1:11" hidden="1">
      <c r="A1812" s="559"/>
      <c r="I1812" s="490" t="s">
        <v>30</v>
      </c>
      <c r="J1812" s="463"/>
      <c r="K1812" s="491" t="s">
        <v>442</v>
      </c>
    </row>
    <row r="1813" spans="1:11" hidden="1">
      <c r="A1813" s="559"/>
      <c r="H1813" s="509" t="s">
        <v>4158</v>
      </c>
      <c r="I1813" s="2"/>
      <c r="J1813" s="463"/>
      <c r="K1813" s="492">
        <f>SUM(K1809:K1811)</f>
        <v>98.093333333333334</v>
      </c>
    </row>
    <row r="1814" spans="1:11" hidden="1">
      <c r="A1814" s="559"/>
      <c r="I1814" s="490" t="s">
        <v>30</v>
      </c>
      <c r="J1814" s="463"/>
      <c r="K1814" s="491" t="s">
        <v>29</v>
      </c>
    </row>
    <row r="1815" spans="1:11" hidden="1">
      <c r="A1815" s="559"/>
      <c r="G1815" s="518" t="s">
        <v>2365</v>
      </c>
      <c r="H1815" s="509" t="s">
        <v>4162</v>
      </c>
      <c r="I1815" s="2"/>
      <c r="J1815" s="463"/>
      <c r="K1815" s="2"/>
    </row>
    <row r="1816" spans="1:11" hidden="1">
      <c r="A1816" s="559"/>
      <c r="H1816" s="515" t="s">
        <v>442</v>
      </c>
      <c r="I1816" s="2"/>
      <c r="J1816" s="463"/>
      <c r="K1816" s="2"/>
    </row>
    <row r="1817" spans="1:11" hidden="1">
      <c r="A1817" s="559"/>
      <c r="F1817" s="519">
        <v>1</v>
      </c>
      <c r="G1817" s="518" t="s">
        <v>12</v>
      </c>
      <c r="H1817" s="509" t="s">
        <v>4163</v>
      </c>
      <c r="I1817" s="492">
        <f>C511</f>
        <v>65.7</v>
      </c>
      <c r="J1817" s="500" t="s">
        <v>12</v>
      </c>
      <c r="K1817" s="492">
        <f>(F1817*I1817)</f>
        <v>65.7</v>
      </c>
    </row>
    <row r="1818" spans="1:11" hidden="1">
      <c r="A1818" s="559"/>
      <c r="F1818" s="519">
        <v>1</v>
      </c>
      <c r="G1818" s="518" t="s">
        <v>2346</v>
      </c>
      <c r="H1818" s="509" t="s">
        <v>4164</v>
      </c>
      <c r="I1818" s="492">
        <f>I1817*0.2</f>
        <v>13.14</v>
      </c>
      <c r="J1818" s="500" t="s">
        <v>2346</v>
      </c>
      <c r="K1818" s="492">
        <f>(F1818*I1818)</f>
        <v>13.14</v>
      </c>
    </row>
    <row r="1819" spans="1:11" hidden="1">
      <c r="A1819" s="559"/>
      <c r="F1819" s="519">
        <v>1</v>
      </c>
      <c r="G1819" s="518" t="s">
        <v>12</v>
      </c>
      <c r="H1819" s="509" t="s">
        <v>4157</v>
      </c>
      <c r="I1819" s="492">
        <f>K1785</f>
        <v>30.759999999999998</v>
      </c>
      <c r="J1819" s="500" t="s">
        <v>12</v>
      </c>
      <c r="K1819" s="492">
        <f>(F1819*I1819)</f>
        <v>30.759999999999998</v>
      </c>
    </row>
    <row r="1820" spans="1:11" hidden="1">
      <c r="A1820" s="559"/>
      <c r="I1820" s="490" t="s">
        <v>30</v>
      </c>
      <c r="J1820" s="463"/>
      <c r="K1820" s="491" t="s">
        <v>442</v>
      </c>
    </row>
    <row r="1821" spans="1:11" hidden="1">
      <c r="A1821" s="559"/>
      <c r="H1821" s="509" t="s">
        <v>4158</v>
      </c>
      <c r="I1821" s="2"/>
      <c r="J1821" s="463"/>
      <c r="K1821" s="492">
        <f>SUM(K1817:K1819)</f>
        <v>109.6</v>
      </c>
    </row>
    <row r="1822" spans="1:11" hidden="1">
      <c r="A1822" s="559"/>
      <c r="I1822" s="490" t="s">
        <v>30</v>
      </c>
      <c r="J1822" s="463"/>
      <c r="K1822" s="491" t="s">
        <v>29</v>
      </c>
    </row>
    <row r="1823" spans="1:11" hidden="1">
      <c r="A1823" s="559"/>
      <c r="I1823" s="490"/>
      <c r="J1823" s="463"/>
      <c r="K1823" s="491"/>
    </row>
    <row r="1824" spans="1:11" ht="31.5" hidden="1">
      <c r="A1824" s="559"/>
      <c r="F1824" s="540">
        <v>52.1</v>
      </c>
      <c r="H1824" s="571" t="s">
        <v>4165</v>
      </c>
      <c r="I1824" s="490"/>
      <c r="J1824" s="463"/>
      <c r="K1824" s="491"/>
    </row>
    <row r="1825" spans="1:11" hidden="1">
      <c r="A1825" s="559"/>
      <c r="I1825" s="490"/>
      <c r="J1825" s="463"/>
      <c r="K1825" s="491"/>
    </row>
    <row r="1826" spans="1:11" hidden="1">
      <c r="A1826" s="559"/>
      <c r="F1826" s="510"/>
      <c r="G1826" s="518"/>
      <c r="H1826" s="509" t="s">
        <v>2967</v>
      </c>
      <c r="I1826" s="490"/>
      <c r="J1826" s="463"/>
      <c r="K1826" s="491"/>
    </row>
    <row r="1827" spans="1:11" hidden="1">
      <c r="A1827" s="559"/>
      <c r="G1827" s="518"/>
      <c r="H1827" s="509" t="s">
        <v>4166</v>
      </c>
      <c r="I1827" s="490"/>
      <c r="J1827" s="463"/>
      <c r="K1827" s="491"/>
    </row>
    <row r="1828" spans="1:11" hidden="1">
      <c r="A1828" s="559"/>
      <c r="H1828" s="515" t="s">
        <v>442</v>
      </c>
      <c r="I1828" s="490"/>
      <c r="J1828" s="463"/>
      <c r="K1828" s="491"/>
    </row>
    <row r="1829" spans="1:11" hidden="1">
      <c r="A1829" s="559"/>
      <c r="F1829" s="519">
        <v>30</v>
      </c>
      <c r="G1829" s="518" t="s">
        <v>2205</v>
      </c>
      <c r="H1829" s="509" t="s">
        <v>4167</v>
      </c>
      <c r="I1829" s="526">
        <f>E639</f>
        <v>5</v>
      </c>
      <c r="J1829" s="500" t="s">
        <v>2205</v>
      </c>
      <c r="K1829" s="492">
        <f t="shared" ref="K1829:K1835" si="63">(F1829*I1829)</f>
        <v>150</v>
      </c>
    </row>
    <row r="1830" spans="1:11" hidden="1">
      <c r="A1830" s="559"/>
      <c r="F1830" s="519">
        <v>8</v>
      </c>
      <c r="G1830" s="518" t="s">
        <v>2342</v>
      </c>
      <c r="H1830" s="509" t="s">
        <v>2982</v>
      </c>
      <c r="I1830" s="526">
        <f>I1737</f>
        <v>2.2000000000000002</v>
      </c>
      <c r="J1830" s="500" t="s">
        <v>2342</v>
      </c>
      <c r="K1830" s="492">
        <f t="shared" si="63"/>
        <v>17.600000000000001</v>
      </c>
    </row>
    <row r="1831" spans="1:11" hidden="1">
      <c r="A1831" s="559"/>
      <c r="F1831" s="519">
        <v>8</v>
      </c>
      <c r="G1831" s="518" t="s">
        <v>2342</v>
      </c>
      <c r="H1831" s="509" t="s">
        <v>2985</v>
      </c>
      <c r="I1831" s="526">
        <f>I1738</f>
        <v>3.2</v>
      </c>
      <c r="J1831" s="500" t="s">
        <v>2342</v>
      </c>
      <c r="K1831" s="492">
        <f t="shared" si="63"/>
        <v>25.6</v>
      </c>
    </row>
    <row r="1832" spans="1:11" hidden="1">
      <c r="A1832" s="559"/>
      <c r="F1832" s="519">
        <v>3</v>
      </c>
      <c r="G1832" s="518" t="s">
        <v>2342</v>
      </c>
      <c r="H1832" s="509" t="s">
        <v>3026</v>
      </c>
      <c r="I1832" s="526">
        <f>C41</f>
        <v>110</v>
      </c>
      <c r="J1832" s="500" t="s">
        <v>2342</v>
      </c>
      <c r="K1832" s="492">
        <f t="shared" si="63"/>
        <v>330</v>
      </c>
    </row>
    <row r="1833" spans="1:11" hidden="1">
      <c r="A1833" s="559"/>
      <c r="F1833" s="519">
        <v>1</v>
      </c>
      <c r="G1833" s="518" t="s">
        <v>2342</v>
      </c>
      <c r="H1833" s="509" t="s">
        <v>4139</v>
      </c>
      <c r="I1833" s="526">
        <f>C10</f>
        <v>150</v>
      </c>
      <c r="J1833" s="500" t="s">
        <v>2342</v>
      </c>
      <c r="K1833" s="492">
        <f t="shared" si="63"/>
        <v>150</v>
      </c>
    </row>
    <row r="1834" spans="1:11" hidden="1">
      <c r="A1834" s="559"/>
      <c r="F1834" s="519">
        <v>2</v>
      </c>
      <c r="G1834" s="518" t="s">
        <v>2342</v>
      </c>
      <c r="H1834" s="509" t="s">
        <v>2344</v>
      </c>
      <c r="I1834" s="526">
        <f>C12</f>
        <v>95</v>
      </c>
      <c r="J1834" s="500" t="s">
        <v>2342</v>
      </c>
      <c r="K1834" s="492">
        <f t="shared" si="63"/>
        <v>190</v>
      </c>
    </row>
    <row r="1835" spans="1:11" hidden="1">
      <c r="A1835" s="559"/>
      <c r="F1835" s="519">
        <v>1</v>
      </c>
      <c r="G1835" s="518" t="s">
        <v>2342</v>
      </c>
      <c r="H1835" s="509" t="s">
        <v>2345</v>
      </c>
      <c r="I1835" s="526">
        <f>C13</f>
        <v>85</v>
      </c>
      <c r="J1835" s="500" t="s">
        <v>2342</v>
      </c>
      <c r="K1835" s="492">
        <f t="shared" si="63"/>
        <v>85</v>
      </c>
    </row>
    <row r="1836" spans="1:11" hidden="1">
      <c r="A1836" s="559"/>
      <c r="I1836" s="2"/>
      <c r="J1836" s="463"/>
      <c r="K1836" s="491" t="s">
        <v>442</v>
      </c>
    </row>
    <row r="1837" spans="1:11" hidden="1">
      <c r="A1837" s="559"/>
      <c r="H1837" s="509" t="s">
        <v>3031</v>
      </c>
      <c r="I1837" s="2"/>
      <c r="J1837" s="463"/>
      <c r="K1837" s="492">
        <f>SUM(K1829:K1835)</f>
        <v>948.2</v>
      </c>
    </row>
    <row r="1838" spans="1:11" hidden="1">
      <c r="A1838" s="559"/>
      <c r="I1838" s="2"/>
      <c r="J1838" s="463"/>
      <c r="K1838" s="491" t="s">
        <v>442</v>
      </c>
    </row>
    <row r="1839" spans="1:11" hidden="1">
      <c r="A1839" s="559"/>
      <c r="H1839" s="509" t="s">
        <v>2990</v>
      </c>
      <c r="I1839" s="2"/>
      <c r="J1839" s="463"/>
      <c r="K1839" s="492">
        <f>(K1837/30)</f>
        <v>31.606666666666669</v>
      </c>
    </row>
    <row r="1840" spans="1:11" hidden="1">
      <c r="A1840" s="559"/>
      <c r="I1840" s="2"/>
      <c r="J1840" s="463"/>
      <c r="K1840" s="491" t="s">
        <v>442</v>
      </c>
    </row>
    <row r="1841" spans="1:11" hidden="1">
      <c r="A1841" s="559"/>
      <c r="I1841" s="490"/>
      <c r="J1841" s="463"/>
      <c r="K1841" s="491"/>
    </row>
    <row r="1842" spans="1:11" hidden="1">
      <c r="A1842" s="559"/>
      <c r="H1842" s="511" t="s">
        <v>4168</v>
      </c>
      <c r="I1842" s="490"/>
      <c r="J1842" s="463"/>
      <c r="K1842" s="491"/>
    </row>
    <row r="1843" spans="1:11" hidden="1">
      <c r="A1843" s="559"/>
      <c r="H1843" s="515" t="s">
        <v>442</v>
      </c>
      <c r="I1843" s="490"/>
      <c r="J1843" s="463"/>
      <c r="K1843" s="491"/>
    </row>
    <row r="1844" spans="1:11" hidden="1">
      <c r="A1844" s="559"/>
      <c r="F1844" s="519">
        <v>1</v>
      </c>
      <c r="G1844" s="518" t="s">
        <v>12</v>
      </c>
      <c r="H1844" s="509" t="s">
        <v>4169</v>
      </c>
      <c r="I1844" s="526">
        <f>E509</f>
        <v>70</v>
      </c>
      <c r="J1844" s="500" t="s">
        <v>12</v>
      </c>
      <c r="K1844" s="492">
        <f>(F1844*I1844)</f>
        <v>70</v>
      </c>
    </row>
    <row r="1845" spans="1:11" hidden="1">
      <c r="A1845" s="559"/>
      <c r="F1845" s="519">
        <v>1</v>
      </c>
      <c r="G1845" s="518" t="s">
        <v>2346</v>
      </c>
      <c r="H1845" s="509" t="s">
        <v>4170</v>
      </c>
      <c r="I1845" s="526">
        <f>I1844*0.2</f>
        <v>14</v>
      </c>
      <c r="J1845" s="500" t="s">
        <v>2346</v>
      </c>
      <c r="K1845" s="492">
        <f>(F1845*I1845)</f>
        <v>14</v>
      </c>
    </row>
    <row r="1846" spans="1:11" hidden="1">
      <c r="A1846" s="559"/>
      <c r="F1846" s="519">
        <v>1</v>
      </c>
      <c r="G1846" s="518" t="s">
        <v>12</v>
      </c>
      <c r="H1846" s="509" t="s">
        <v>4157</v>
      </c>
      <c r="I1846" s="526">
        <f>K1839</f>
        <v>31.606666666666669</v>
      </c>
      <c r="J1846" s="500" t="s">
        <v>12</v>
      </c>
      <c r="K1846" s="492">
        <f>(F1846*I1846)</f>
        <v>31.606666666666669</v>
      </c>
    </row>
    <row r="1847" spans="1:11" ht="31.5" hidden="1">
      <c r="A1847" s="559"/>
      <c r="F1847" s="519"/>
      <c r="G1847" s="518"/>
      <c r="H1847" s="536" t="s">
        <v>4171</v>
      </c>
      <c r="I1847" s="526"/>
      <c r="J1847" s="500" t="s">
        <v>2346</v>
      </c>
      <c r="K1847" s="492">
        <v>1.25</v>
      </c>
    </row>
    <row r="1848" spans="1:11" hidden="1">
      <c r="A1848" s="559"/>
      <c r="I1848" s="490"/>
      <c r="J1848" s="463"/>
      <c r="K1848" s="491" t="s">
        <v>442</v>
      </c>
    </row>
    <row r="1849" spans="1:11" hidden="1">
      <c r="A1849" s="559"/>
      <c r="H1849" s="509" t="s">
        <v>4158</v>
      </c>
      <c r="I1849" s="490"/>
      <c r="J1849" s="463"/>
      <c r="K1849" s="492">
        <f>SUM(K1844:K1847)</f>
        <v>116.85666666666667</v>
      </c>
    </row>
    <row r="1850" spans="1:11" hidden="1">
      <c r="A1850" s="559"/>
      <c r="I1850" s="490"/>
      <c r="J1850" s="463"/>
      <c r="K1850" s="491" t="s">
        <v>29</v>
      </c>
    </row>
    <row r="1851" spans="1:11" hidden="1">
      <c r="A1851" s="559"/>
      <c r="I1851" s="490"/>
      <c r="J1851" s="463"/>
      <c r="K1851" s="491"/>
    </row>
    <row r="1852" spans="1:11" hidden="1">
      <c r="A1852" s="559"/>
      <c r="I1852" s="490"/>
      <c r="J1852" s="463"/>
      <c r="K1852" s="491"/>
    </row>
    <row r="1853" spans="1:11" hidden="1">
      <c r="A1853" s="559"/>
      <c r="F1853" s="529">
        <v>53.1</v>
      </c>
      <c r="G1853" s="518" t="s">
        <v>575</v>
      </c>
      <c r="H1853" s="509" t="s">
        <v>4172</v>
      </c>
      <c r="I1853" s="2"/>
      <c r="J1853" s="463"/>
      <c r="K1853" s="2"/>
    </row>
    <row r="1854" spans="1:11" hidden="1">
      <c r="A1854" s="559"/>
      <c r="H1854" s="531" t="s">
        <v>4173</v>
      </c>
      <c r="I1854" s="2"/>
      <c r="J1854" s="463"/>
      <c r="K1854" s="2"/>
    </row>
    <row r="1855" spans="1:11" hidden="1">
      <c r="A1855" s="559"/>
      <c r="H1855" s="509" t="s">
        <v>4174</v>
      </c>
      <c r="I1855" s="2"/>
      <c r="J1855" s="463"/>
      <c r="K1855" s="2"/>
    </row>
    <row r="1856" spans="1:11" hidden="1">
      <c r="A1856" s="559"/>
      <c r="H1856" s="509" t="s">
        <v>4175</v>
      </c>
      <c r="I1856" s="2"/>
      <c r="J1856" s="463"/>
      <c r="K1856" s="2"/>
    </row>
    <row r="1857" spans="1:11" hidden="1">
      <c r="A1857" s="559"/>
      <c r="H1857" s="515" t="s">
        <v>442</v>
      </c>
      <c r="I1857" s="2"/>
      <c r="J1857" s="463"/>
      <c r="K1857" s="2"/>
    </row>
    <row r="1858" spans="1:11" ht="30" hidden="1" customHeight="1">
      <c r="A1858" s="559"/>
      <c r="F1858" s="572">
        <v>1</v>
      </c>
      <c r="G1858" s="572" t="s">
        <v>2342</v>
      </c>
      <c r="H1858" s="536" t="s">
        <v>4176</v>
      </c>
      <c r="I1858" s="573">
        <f>(C595)</f>
        <v>1050</v>
      </c>
      <c r="J1858" s="573" t="s">
        <v>2342</v>
      </c>
      <c r="K1858" s="573">
        <f>(F1858*I1858)</f>
        <v>1050</v>
      </c>
    </row>
    <row r="1859" spans="1:11" hidden="1">
      <c r="A1859" s="559"/>
      <c r="F1859" s="519"/>
      <c r="G1859" s="518"/>
      <c r="H1859" s="509"/>
      <c r="I1859" s="492"/>
      <c r="J1859" s="500"/>
      <c r="K1859" s="492"/>
    </row>
    <row r="1860" spans="1:11" hidden="1">
      <c r="A1860" s="559"/>
      <c r="F1860" s="519"/>
      <c r="G1860" s="518"/>
      <c r="H1860" s="509"/>
      <c r="I1860" s="492"/>
      <c r="J1860" s="500"/>
      <c r="K1860" s="492"/>
    </row>
    <row r="1861" spans="1:11" hidden="1">
      <c r="A1861" s="559"/>
      <c r="F1861" s="519"/>
      <c r="G1861" s="518"/>
      <c r="H1861" s="509"/>
      <c r="I1861" s="492"/>
      <c r="J1861" s="500"/>
      <c r="K1861" s="492"/>
    </row>
    <row r="1862" spans="1:11" hidden="1">
      <c r="A1862" s="559"/>
      <c r="F1862" s="519"/>
      <c r="G1862" s="518"/>
      <c r="H1862" s="509"/>
      <c r="I1862" s="492"/>
      <c r="J1862" s="500"/>
      <c r="K1862" s="492"/>
    </row>
    <row r="1863" spans="1:11" hidden="1">
      <c r="A1863" s="559"/>
      <c r="F1863" s="519"/>
      <c r="G1863" s="518"/>
      <c r="H1863" s="509"/>
      <c r="I1863" s="492"/>
      <c r="J1863" s="500"/>
      <c r="K1863" s="492"/>
    </row>
    <row r="1864" spans="1:11" hidden="1">
      <c r="A1864" s="559"/>
      <c r="F1864" s="519"/>
      <c r="G1864" s="518"/>
      <c r="H1864" s="509"/>
      <c r="I1864" s="492"/>
      <c r="J1864" s="500"/>
      <c r="K1864" s="492"/>
    </row>
    <row r="1865" spans="1:11" hidden="1">
      <c r="A1865" s="559"/>
      <c r="F1865" s="519">
        <v>0.5</v>
      </c>
      <c r="G1865" s="518" t="s">
        <v>2342</v>
      </c>
      <c r="H1865" s="509" t="s">
        <v>4030</v>
      </c>
      <c r="I1865" s="492">
        <f>(C15)</f>
        <v>130</v>
      </c>
      <c r="J1865" s="500" t="s">
        <v>2342</v>
      </c>
      <c r="K1865" s="492">
        <f>(F1865*I1865)</f>
        <v>65</v>
      </c>
    </row>
    <row r="1866" spans="1:11" hidden="1">
      <c r="A1866" s="559"/>
      <c r="F1866" s="519">
        <v>1</v>
      </c>
      <c r="G1866" s="518" t="s">
        <v>2342</v>
      </c>
      <c r="H1866" s="509" t="s">
        <v>2344</v>
      </c>
      <c r="I1866" s="492">
        <f>(C12)</f>
        <v>95</v>
      </c>
      <c r="J1866" s="500" t="s">
        <v>2342</v>
      </c>
      <c r="K1866" s="492">
        <f>(F1866*I1866)</f>
        <v>95</v>
      </c>
    </row>
    <row r="1867" spans="1:11" hidden="1">
      <c r="A1867" s="559"/>
      <c r="F1867" s="519">
        <v>0.5</v>
      </c>
      <c r="G1867" s="518" t="s">
        <v>2342</v>
      </c>
      <c r="H1867" s="509" t="s">
        <v>2353</v>
      </c>
      <c r="I1867" s="492">
        <f>(C10)</f>
        <v>150</v>
      </c>
      <c r="J1867" s="500" t="s">
        <v>2342</v>
      </c>
      <c r="K1867" s="492">
        <f>(F1867*I1867)</f>
        <v>75</v>
      </c>
    </row>
    <row r="1868" spans="1:11" hidden="1">
      <c r="A1868" s="559"/>
      <c r="G1868" s="518" t="s">
        <v>2346</v>
      </c>
      <c r="H1868" s="509" t="s">
        <v>4177</v>
      </c>
      <c r="I1868" s="2"/>
      <c r="J1868" s="500" t="s">
        <v>2346</v>
      </c>
      <c r="K1868" s="492">
        <v>0.5</v>
      </c>
    </row>
    <row r="1869" spans="1:11" hidden="1">
      <c r="A1869" s="559"/>
      <c r="I1869" s="2"/>
      <c r="J1869" s="463"/>
      <c r="K1869" s="491" t="s">
        <v>442</v>
      </c>
    </row>
    <row r="1870" spans="1:11" hidden="1">
      <c r="A1870" s="559"/>
      <c r="H1870" s="509" t="s">
        <v>3117</v>
      </c>
      <c r="I1870" s="2"/>
      <c r="J1870" s="463"/>
      <c r="K1870" s="492">
        <f>SUM(K1858:K1868)</f>
        <v>1285.5</v>
      </c>
    </row>
    <row r="1871" spans="1:11" hidden="1">
      <c r="A1871" s="559"/>
      <c r="I1871" s="2"/>
      <c r="J1871" s="463"/>
      <c r="K1871" s="491" t="s">
        <v>442</v>
      </c>
    </row>
    <row r="1872" spans="1:11" hidden="1">
      <c r="A1872" s="559"/>
      <c r="F1872" s="510" t="s">
        <v>4178</v>
      </c>
      <c r="H1872" s="509" t="s">
        <v>4179</v>
      </c>
      <c r="I1872" s="2"/>
      <c r="J1872" s="463"/>
      <c r="K1872" s="490" t="s">
        <v>4180</v>
      </c>
    </row>
    <row r="1873" spans="1:11" hidden="1">
      <c r="A1873" s="559"/>
      <c r="I1873" s="2"/>
      <c r="J1873" s="463"/>
      <c r="K1873" s="2"/>
    </row>
    <row r="1874" spans="1:11" hidden="1">
      <c r="A1874" s="559"/>
      <c r="F1874" s="510" t="s">
        <v>4181</v>
      </c>
      <c r="H1874" s="509" t="s">
        <v>4182</v>
      </c>
      <c r="I1874" s="2"/>
      <c r="J1874" s="463"/>
      <c r="K1874" s="490" t="s">
        <v>4183</v>
      </c>
    </row>
    <row r="1875" spans="1:11" hidden="1">
      <c r="A1875" s="559"/>
      <c r="F1875" s="510"/>
      <c r="H1875" s="509"/>
      <c r="I1875" s="2"/>
      <c r="J1875" s="463"/>
      <c r="K1875" s="490"/>
    </row>
    <row r="1876" spans="1:11" hidden="1">
      <c r="A1876" s="559"/>
      <c r="F1876" s="524">
        <v>54</v>
      </c>
      <c r="G1876" s="518" t="s">
        <v>575</v>
      </c>
      <c r="H1876" s="509" t="s">
        <v>4184</v>
      </c>
      <c r="I1876" s="2"/>
      <c r="J1876" s="500" t="s">
        <v>556</v>
      </c>
      <c r="K1876" s="492">
        <v>140</v>
      </c>
    </row>
    <row r="1877" spans="1:11" hidden="1">
      <c r="A1877" s="559"/>
      <c r="I1877" s="2"/>
      <c r="J1877" s="463"/>
      <c r="K1877" s="491" t="s">
        <v>29</v>
      </c>
    </row>
    <row r="1878" spans="1:11" hidden="1">
      <c r="A1878" s="559"/>
      <c r="I1878" s="2"/>
      <c r="J1878" s="463"/>
      <c r="K1878" s="2"/>
    </row>
    <row r="1879" spans="1:11" hidden="1">
      <c r="A1879" s="559"/>
      <c r="F1879" s="529">
        <v>54.1</v>
      </c>
      <c r="G1879" s="518" t="s">
        <v>575</v>
      </c>
      <c r="H1879" s="509" t="s">
        <v>4185</v>
      </c>
      <c r="I1879" s="2"/>
      <c r="J1879" s="500" t="s">
        <v>556</v>
      </c>
      <c r="K1879" s="492">
        <v>240</v>
      </c>
    </row>
    <row r="1880" spans="1:11" hidden="1">
      <c r="A1880" s="559"/>
      <c r="I1880" s="2"/>
      <c r="J1880" s="463"/>
      <c r="K1880" s="491" t="s">
        <v>29</v>
      </c>
    </row>
    <row r="1881" spans="1:11" hidden="1">
      <c r="A1881" s="559"/>
      <c r="I1881" s="2"/>
      <c r="J1881" s="463"/>
      <c r="K1881" s="2"/>
    </row>
    <row r="1882" spans="1:11" hidden="1">
      <c r="A1882" s="559"/>
      <c r="F1882" s="529">
        <v>54.2</v>
      </c>
      <c r="G1882" s="518" t="s">
        <v>575</v>
      </c>
      <c r="H1882" s="509" t="s">
        <v>4186</v>
      </c>
      <c r="I1882" s="2"/>
      <c r="J1882" s="500" t="s">
        <v>556</v>
      </c>
      <c r="K1882" s="492">
        <v>270</v>
      </c>
    </row>
    <row r="1883" spans="1:11" hidden="1">
      <c r="A1883" s="559"/>
      <c r="I1883" s="2"/>
      <c r="J1883" s="463"/>
      <c r="K1883" s="491" t="s">
        <v>29</v>
      </c>
    </row>
    <row r="1884" spans="1:11" hidden="1">
      <c r="A1884" s="559"/>
      <c r="I1884" s="2"/>
      <c r="J1884" s="463"/>
      <c r="K1884" s="2"/>
    </row>
    <row r="1885" spans="1:11" hidden="1">
      <c r="A1885" s="559"/>
      <c r="F1885" s="510" t="s">
        <v>4187</v>
      </c>
      <c r="G1885" s="518" t="s">
        <v>575</v>
      </c>
      <c r="H1885" s="509" t="s">
        <v>4188</v>
      </c>
      <c r="I1885" s="2"/>
      <c r="J1885" s="463"/>
      <c r="K1885" s="2"/>
    </row>
    <row r="1886" spans="1:11" hidden="1">
      <c r="A1886" s="559"/>
      <c r="H1886" s="509" t="s">
        <v>4189</v>
      </c>
      <c r="I1886" s="2"/>
      <c r="J1886" s="463"/>
      <c r="K1886" s="2"/>
    </row>
    <row r="1887" spans="1:11" hidden="1">
      <c r="A1887" s="559"/>
      <c r="H1887" s="509" t="s">
        <v>4190</v>
      </c>
      <c r="I1887" s="2"/>
      <c r="J1887" s="463"/>
      <c r="K1887" s="2"/>
    </row>
    <row r="1888" spans="1:11" hidden="1">
      <c r="A1888" s="559"/>
      <c r="H1888" s="509" t="s">
        <v>4191</v>
      </c>
      <c r="I1888" s="2"/>
      <c r="J1888" s="463"/>
      <c r="K1888" s="2"/>
    </row>
    <row r="1889" spans="1:22" hidden="1">
      <c r="A1889" s="559"/>
      <c r="H1889" s="515" t="s">
        <v>442</v>
      </c>
      <c r="I1889" s="2"/>
      <c r="J1889" s="463"/>
      <c r="K1889" s="2"/>
    </row>
    <row r="1890" spans="1:22" hidden="1">
      <c r="A1890" s="559"/>
      <c r="F1890" s="519">
        <v>1</v>
      </c>
      <c r="G1890" s="518" t="s">
        <v>2342</v>
      </c>
      <c r="H1890" s="509" t="s">
        <v>4192</v>
      </c>
      <c r="I1890" s="492">
        <f>(C200)</f>
        <v>750</v>
      </c>
      <c r="J1890" s="500" t="s">
        <v>2342</v>
      </c>
      <c r="K1890" s="492">
        <f t="shared" ref="K1890:K1896" si="64">(F1890*I1890)</f>
        <v>750</v>
      </c>
    </row>
    <row r="1891" spans="1:22" hidden="1">
      <c r="A1891" s="559"/>
      <c r="F1891" s="519">
        <v>0.65</v>
      </c>
      <c r="G1891" s="518" t="s">
        <v>2334</v>
      </c>
      <c r="H1891" s="509" t="s">
        <v>4193</v>
      </c>
      <c r="I1891" s="492">
        <f>(C61*2)</f>
        <v>50</v>
      </c>
      <c r="J1891" s="500" t="s">
        <v>2334</v>
      </c>
      <c r="K1891" s="492">
        <f t="shared" si="64"/>
        <v>32.5</v>
      </c>
    </row>
    <row r="1892" spans="1:22" hidden="1">
      <c r="A1892" s="559"/>
      <c r="F1892" s="519">
        <v>0.56999999999999995</v>
      </c>
      <c r="G1892" s="518" t="s">
        <v>2334</v>
      </c>
      <c r="H1892" s="509" t="s">
        <v>4194</v>
      </c>
      <c r="I1892" s="492">
        <f>(C26)</f>
        <v>8.8000000000000007</v>
      </c>
      <c r="J1892" s="500" t="s">
        <v>2334</v>
      </c>
      <c r="K1892" s="492">
        <f t="shared" si="64"/>
        <v>5.016</v>
      </c>
    </row>
    <row r="1893" spans="1:22" hidden="1">
      <c r="A1893" s="559"/>
      <c r="F1893" s="528">
        <v>8.1000000000000003E-2</v>
      </c>
      <c r="G1893" s="518" t="s">
        <v>2334</v>
      </c>
      <c r="H1893" s="509" t="s">
        <v>4195</v>
      </c>
      <c r="I1893" s="492" t="e">
        <f>(R60)</f>
        <v>#REF!</v>
      </c>
      <c r="J1893" s="500" t="s">
        <v>2334</v>
      </c>
      <c r="K1893" s="492" t="e">
        <f t="shared" si="64"/>
        <v>#REF!</v>
      </c>
    </row>
    <row r="1894" spans="1:22" hidden="1">
      <c r="A1894" s="559"/>
      <c r="F1894" s="519">
        <v>1</v>
      </c>
      <c r="G1894" s="518" t="s">
        <v>2342</v>
      </c>
      <c r="H1894" s="509" t="s">
        <v>4030</v>
      </c>
      <c r="I1894" s="492">
        <f>(C15)</f>
        <v>130</v>
      </c>
      <c r="J1894" s="500" t="s">
        <v>2342</v>
      </c>
      <c r="K1894" s="492">
        <f t="shared" si="64"/>
        <v>130</v>
      </c>
    </row>
    <row r="1895" spans="1:22" hidden="1">
      <c r="A1895" s="559"/>
      <c r="F1895" s="519">
        <v>0.5</v>
      </c>
      <c r="G1895" s="518" t="s">
        <v>2342</v>
      </c>
      <c r="H1895" s="509" t="s">
        <v>2343</v>
      </c>
      <c r="I1895" s="492">
        <f>(C11)</f>
        <v>135</v>
      </c>
      <c r="J1895" s="500" t="s">
        <v>2342</v>
      </c>
      <c r="K1895" s="492">
        <f t="shared" si="64"/>
        <v>67.5</v>
      </c>
    </row>
    <row r="1896" spans="1:22" hidden="1">
      <c r="A1896" s="559"/>
      <c r="F1896" s="519">
        <v>0.5</v>
      </c>
      <c r="G1896" s="518" t="s">
        <v>2342</v>
      </c>
      <c r="H1896" s="509" t="s">
        <v>2344</v>
      </c>
      <c r="I1896" s="492">
        <f>(C12)</f>
        <v>95</v>
      </c>
      <c r="J1896" s="500" t="s">
        <v>2342</v>
      </c>
      <c r="K1896" s="492">
        <f t="shared" si="64"/>
        <v>47.5</v>
      </c>
    </row>
    <row r="1897" spans="1:22" hidden="1">
      <c r="A1897" s="559"/>
      <c r="G1897" s="518" t="s">
        <v>2346</v>
      </c>
      <c r="H1897" s="509" t="s">
        <v>2347</v>
      </c>
      <c r="I1897" s="490" t="s">
        <v>30</v>
      </c>
      <c r="J1897" s="500" t="s">
        <v>2346</v>
      </c>
      <c r="K1897" s="492">
        <v>0</v>
      </c>
    </row>
    <row r="1898" spans="1:22" hidden="1">
      <c r="A1898" s="559"/>
      <c r="I1898" s="2"/>
      <c r="J1898" s="463"/>
      <c r="K1898" s="491" t="s">
        <v>442</v>
      </c>
    </row>
    <row r="1899" spans="1:22" hidden="1">
      <c r="A1899" s="559"/>
      <c r="H1899" s="509" t="s">
        <v>3117</v>
      </c>
      <c r="I1899" s="2"/>
      <c r="J1899" s="463"/>
      <c r="K1899" s="492" t="e">
        <f>SUM(K1890:K1897)</f>
        <v>#REF!</v>
      </c>
    </row>
    <row r="1900" spans="1:22" hidden="1">
      <c r="A1900" s="559"/>
      <c r="I1900" s="2"/>
      <c r="J1900" s="463"/>
      <c r="K1900" s="491" t="s">
        <v>29</v>
      </c>
    </row>
    <row r="1901" spans="1:22" hidden="1">
      <c r="A1901" s="559"/>
      <c r="G1901" s="518" t="s">
        <v>30</v>
      </c>
      <c r="H1901" s="509" t="s">
        <v>30</v>
      </c>
      <c r="I1901" s="2"/>
      <c r="J1901" s="463"/>
      <c r="K1901" s="490" t="s">
        <v>30</v>
      </c>
    </row>
    <row r="1902" spans="1:22" hidden="1">
      <c r="A1902" s="559"/>
      <c r="I1902" s="2"/>
      <c r="J1902" s="500" t="s">
        <v>30</v>
      </c>
      <c r="K1902" s="490" t="s">
        <v>30</v>
      </c>
    </row>
    <row r="1903" spans="1:22" hidden="1">
      <c r="A1903" s="559"/>
      <c r="F1903" s="510" t="s">
        <v>4196</v>
      </c>
      <c r="G1903" s="518" t="s">
        <v>575</v>
      </c>
      <c r="H1903" s="509" t="s">
        <v>4188</v>
      </c>
      <c r="I1903" s="2"/>
      <c r="J1903" s="463"/>
      <c r="K1903" s="2"/>
    </row>
    <row r="1904" spans="1:22" hidden="1">
      <c r="A1904" s="559"/>
      <c r="H1904" s="509" t="s">
        <v>4189</v>
      </c>
      <c r="I1904" s="2"/>
      <c r="J1904" s="463"/>
      <c r="K1904" s="2"/>
      <c r="V1904" s="509" t="s">
        <v>4138</v>
      </c>
    </row>
    <row r="1905" spans="1:11" hidden="1">
      <c r="A1905" s="559"/>
      <c r="H1905" s="509" t="s">
        <v>4190</v>
      </c>
      <c r="I1905" s="2"/>
      <c r="J1905" s="463"/>
      <c r="K1905" s="2"/>
    </row>
    <row r="1906" spans="1:11" hidden="1">
      <c r="A1906" s="559"/>
      <c r="H1906" s="509" t="s">
        <v>4197</v>
      </c>
      <c r="I1906" s="2"/>
      <c r="J1906" s="463"/>
      <c r="K1906" s="2"/>
    </row>
    <row r="1907" spans="1:11" hidden="1">
      <c r="A1907" s="559"/>
      <c r="H1907" s="515" t="s">
        <v>442</v>
      </c>
      <c r="I1907" s="2"/>
      <c r="J1907" s="463"/>
      <c r="K1907" s="2"/>
    </row>
    <row r="1908" spans="1:11" hidden="1">
      <c r="A1908" s="559"/>
      <c r="F1908" s="519">
        <v>1</v>
      </c>
      <c r="G1908" s="518" t="s">
        <v>2342</v>
      </c>
      <c r="H1908" s="509" t="s">
        <v>4192</v>
      </c>
      <c r="I1908" s="492">
        <f>(C200)</f>
        <v>750</v>
      </c>
      <c r="J1908" s="500" t="s">
        <v>2342</v>
      </c>
      <c r="K1908" s="492">
        <f>(F1908*I1908)</f>
        <v>750</v>
      </c>
    </row>
    <row r="1909" spans="1:11" hidden="1">
      <c r="A1909" s="559"/>
      <c r="F1909" s="528">
        <v>0.40500000000000003</v>
      </c>
      <c r="G1909" s="518" t="s">
        <v>2334</v>
      </c>
      <c r="H1909" s="509" t="s">
        <v>4198</v>
      </c>
      <c r="I1909" s="492" t="e">
        <f>(K1262)</f>
        <v>#REF!</v>
      </c>
      <c r="J1909" s="500" t="s">
        <v>2334</v>
      </c>
      <c r="K1909" s="492" t="e">
        <f>(F1909*I1909)</f>
        <v>#REF!</v>
      </c>
    </row>
    <row r="1910" spans="1:11" hidden="1">
      <c r="A1910" s="559"/>
      <c r="H1910" s="509" t="s">
        <v>4199</v>
      </c>
      <c r="I1910" s="490" t="s">
        <v>30</v>
      </c>
      <c r="J1910" s="463"/>
      <c r="K1910" s="490" t="s">
        <v>30</v>
      </c>
    </row>
    <row r="1911" spans="1:11" hidden="1">
      <c r="A1911" s="559"/>
      <c r="F1911" s="519">
        <v>1.89</v>
      </c>
      <c r="G1911" s="518" t="s">
        <v>2788</v>
      </c>
      <c r="H1911" s="509" t="s">
        <v>4200</v>
      </c>
      <c r="I1911" s="492" t="e">
        <f>(K1373)</f>
        <v>#REF!</v>
      </c>
      <c r="J1911" s="500" t="s">
        <v>2788</v>
      </c>
      <c r="K1911" s="492" t="e">
        <f>(F1911*I1911)</f>
        <v>#REF!</v>
      </c>
    </row>
    <row r="1912" spans="1:11" hidden="1">
      <c r="A1912" s="559"/>
      <c r="H1912" s="509" t="s">
        <v>4201</v>
      </c>
      <c r="I1912" s="490" t="s">
        <v>30</v>
      </c>
      <c r="J1912" s="463"/>
      <c r="K1912" s="490" t="s">
        <v>30</v>
      </c>
    </row>
    <row r="1913" spans="1:11" hidden="1">
      <c r="A1913" s="559"/>
      <c r="F1913" s="528">
        <v>8.1000000000000003E-2</v>
      </c>
      <c r="G1913" s="518" t="s">
        <v>2334</v>
      </c>
      <c r="H1913" s="509" t="s">
        <v>4202</v>
      </c>
      <c r="I1913" s="492" t="e">
        <f>(R60)</f>
        <v>#REF!</v>
      </c>
      <c r="J1913" s="500" t="s">
        <v>2334</v>
      </c>
      <c r="K1913" s="492" t="e">
        <f>(F1913*I1913)</f>
        <v>#REF!</v>
      </c>
    </row>
    <row r="1914" spans="1:11" hidden="1">
      <c r="A1914" s="559"/>
      <c r="H1914" s="509" t="s">
        <v>4203</v>
      </c>
      <c r="I1914" s="2"/>
      <c r="J1914" s="463"/>
      <c r="K1914" s="2"/>
    </row>
    <row r="1915" spans="1:11" hidden="1">
      <c r="A1915" s="559"/>
      <c r="F1915" s="519">
        <v>1</v>
      </c>
      <c r="G1915" s="518" t="s">
        <v>2359</v>
      </c>
      <c r="H1915" s="509" t="s">
        <v>4030</v>
      </c>
      <c r="I1915" s="492">
        <f>(C15)</f>
        <v>130</v>
      </c>
      <c r="J1915" s="500" t="s">
        <v>2359</v>
      </c>
      <c r="K1915" s="492">
        <f>(F1915*I1915)</f>
        <v>130</v>
      </c>
    </row>
    <row r="1916" spans="1:11" hidden="1">
      <c r="A1916" s="559"/>
      <c r="F1916" s="519">
        <v>0.5</v>
      </c>
      <c r="G1916" s="518" t="s">
        <v>2342</v>
      </c>
      <c r="H1916" s="509" t="s">
        <v>2343</v>
      </c>
      <c r="I1916" s="492">
        <f>(C11)</f>
        <v>135</v>
      </c>
      <c r="J1916" s="500" t="s">
        <v>2342</v>
      </c>
      <c r="K1916" s="492">
        <f>(F1916*I1916)</f>
        <v>67.5</v>
      </c>
    </row>
    <row r="1917" spans="1:11" hidden="1">
      <c r="A1917" s="559"/>
      <c r="F1917" s="519">
        <v>0.5</v>
      </c>
      <c r="G1917" s="518" t="s">
        <v>2342</v>
      </c>
      <c r="H1917" s="509" t="s">
        <v>2344</v>
      </c>
      <c r="I1917" s="492">
        <f>(C12)</f>
        <v>95</v>
      </c>
      <c r="J1917" s="500" t="s">
        <v>2342</v>
      </c>
      <c r="K1917" s="492">
        <f>(F1917*I1917)</f>
        <v>47.5</v>
      </c>
    </row>
    <row r="1918" spans="1:11" hidden="1">
      <c r="A1918" s="559"/>
      <c r="G1918" s="518" t="s">
        <v>2346</v>
      </c>
      <c r="H1918" s="509" t="s">
        <v>2347</v>
      </c>
      <c r="I1918" s="490" t="s">
        <v>30</v>
      </c>
      <c r="J1918" s="500" t="s">
        <v>2346</v>
      </c>
      <c r="K1918" s="492">
        <v>0</v>
      </c>
    </row>
    <row r="1919" spans="1:11" hidden="1">
      <c r="A1919" s="559"/>
      <c r="H1919" s="509" t="s">
        <v>30</v>
      </c>
      <c r="I1919" s="2"/>
      <c r="J1919" s="463"/>
      <c r="K1919" s="491" t="s">
        <v>442</v>
      </c>
    </row>
    <row r="1920" spans="1:11" hidden="1">
      <c r="A1920" s="559"/>
      <c r="H1920" s="509" t="s">
        <v>3117</v>
      </c>
      <c r="I1920" s="2"/>
      <c r="J1920" s="463"/>
      <c r="K1920" s="492" t="e">
        <f>SUM(K1908:K1918)</f>
        <v>#REF!</v>
      </c>
    </row>
    <row r="1921" spans="1:11" hidden="1">
      <c r="A1921" s="559"/>
      <c r="I1921" s="2"/>
      <c r="J1921" s="463"/>
      <c r="K1921" s="491" t="s">
        <v>29</v>
      </c>
    </row>
    <row r="1922" spans="1:11" hidden="1">
      <c r="A1922" s="559"/>
      <c r="G1922" s="518" t="s">
        <v>30</v>
      </c>
      <c r="H1922" s="509" t="s">
        <v>30</v>
      </c>
      <c r="I1922" s="2"/>
      <c r="J1922" s="463"/>
      <c r="K1922" s="490" t="s">
        <v>30</v>
      </c>
    </row>
    <row r="1923" spans="1:11" hidden="1">
      <c r="A1923" s="559"/>
      <c r="I1923" s="2"/>
      <c r="J1923" s="500" t="s">
        <v>30</v>
      </c>
      <c r="K1923" s="490" t="s">
        <v>2485</v>
      </c>
    </row>
    <row r="1924" spans="1:11" hidden="1">
      <c r="A1924" s="559"/>
      <c r="F1924" s="524">
        <v>57</v>
      </c>
      <c r="G1924" s="518" t="s">
        <v>575</v>
      </c>
      <c r="H1924" s="509" t="s">
        <v>4204</v>
      </c>
      <c r="I1924" s="2"/>
      <c r="J1924" s="463"/>
      <c r="K1924" s="2"/>
    </row>
    <row r="1925" spans="1:11" hidden="1">
      <c r="A1925" s="559"/>
      <c r="H1925" s="509" t="s">
        <v>4205</v>
      </c>
      <c r="I1925" s="2"/>
      <c r="J1925" s="463"/>
      <c r="K1925" s="2"/>
    </row>
    <row r="1926" spans="1:11" hidden="1">
      <c r="A1926" s="559"/>
      <c r="H1926" s="509" t="s">
        <v>4206</v>
      </c>
      <c r="I1926" s="2"/>
      <c r="J1926" s="463"/>
      <c r="K1926" s="2"/>
    </row>
    <row r="1927" spans="1:11" hidden="1">
      <c r="A1927" s="559"/>
      <c r="H1927" s="515" t="s">
        <v>442</v>
      </c>
      <c r="I1927" s="2"/>
      <c r="J1927" s="463"/>
      <c r="K1927" s="2"/>
    </row>
    <row r="1928" spans="1:11" ht="30" hidden="1" customHeight="1">
      <c r="A1928" s="559"/>
      <c r="F1928" s="572">
        <v>1</v>
      </c>
      <c r="G1928" s="572" t="s">
        <v>3131</v>
      </c>
      <c r="H1928" s="536" t="s">
        <v>4207</v>
      </c>
      <c r="I1928" s="573">
        <f>C591</f>
        <v>1700</v>
      </c>
      <c r="J1928" s="574" t="s">
        <v>3131</v>
      </c>
      <c r="K1928" s="573">
        <f>(F1928*I1928)</f>
        <v>1700</v>
      </c>
    </row>
    <row r="1929" spans="1:11" hidden="1">
      <c r="A1929" s="559"/>
      <c r="F1929" s="519"/>
      <c r="G1929" s="518"/>
      <c r="H1929" s="575" t="s">
        <v>4208</v>
      </c>
      <c r="I1929" s="492"/>
      <c r="J1929" s="500"/>
      <c r="K1929" s="492"/>
    </row>
    <row r="1930" spans="1:11" hidden="1">
      <c r="A1930" s="559"/>
      <c r="F1930" s="519">
        <v>1</v>
      </c>
      <c r="G1930" s="518" t="s">
        <v>2342</v>
      </c>
      <c r="H1930" s="509" t="s">
        <v>2353</v>
      </c>
      <c r="I1930" s="492">
        <f>(C10)</f>
        <v>150</v>
      </c>
      <c r="J1930" s="500" t="s">
        <v>2342</v>
      </c>
      <c r="K1930" s="492">
        <f>(F1930*I1930)</f>
        <v>150</v>
      </c>
    </row>
    <row r="1931" spans="1:11" hidden="1">
      <c r="A1931" s="559"/>
      <c r="F1931" s="519">
        <v>2</v>
      </c>
      <c r="G1931" s="518" t="s">
        <v>2342</v>
      </c>
      <c r="H1931" s="509" t="s">
        <v>4030</v>
      </c>
      <c r="I1931" s="492">
        <f>(C15)</f>
        <v>130</v>
      </c>
      <c r="J1931" s="500" t="s">
        <v>2342</v>
      </c>
      <c r="K1931" s="492">
        <f>(F1931*I1931)</f>
        <v>260</v>
      </c>
    </row>
    <row r="1932" spans="1:11" hidden="1">
      <c r="A1932" s="559"/>
      <c r="F1932" s="519">
        <v>1</v>
      </c>
      <c r="G1932" s="518" t="s">
        <v>2342</v>
      </c>
      <c r="H1932" s="509" t="s">
        <v>2345</v>
      </c>
      <c r="I1932" s="492">
        <f>(C13)</f>
        <v>85</v>
      </c>
      <c r="J1932" s="500" t="s">
        <v>2342</v>
      </c>
      <c r="K1932" s="492">
        <f>(F1932*I1932)</f>
        <v>85</v>
      </c>
    </row>
    <row r="1933" spans="1:11" hidden="1">
      <c r="A1933" s="559"/>
      <c r="F1933" s="519"/>
      <c r="G1933" s="518"/>
      <c r="H1933" s="575" t="s">
        <v>4209</v>
      </c>
      <c r="I1933" s="492"/>
      <c r="J1933" s="500"/>
      <c r="K1933" s="492"/>
    </row>
    <row r="1934" spans="1:11" hidden="1">
      <c r="A1934" s="559"/>
      <c r="F1934" s="519">
        <v>0.5</v>
      </c>
      <c r="G1934" s="518" t="s">
        <v>2342</v>
      </c>
      <c r="H1934" s="509" t="s">
        <v>4030</v>
      </c>
      <c r="I1934" s="492">
        <f>(C15)</f>
        <v>130</v>
      </c>
      <c r="J1934" s="500" t="s">
        <v>2342</v>
      </c>
      <c r="K1934" s="492">
        <f>(F1934*I1934)</f>
        <v>65</v>
      </c>
    </row>
    <row r="1935" spans="1:11" hidden="1">
      <c r="A1935" s="559"/>
      <c r="F1935" s="519">
        <v>0.5</v>
      </c>
      <c r="G1935" s="518" t="s">
        <v>2342</v>
      </c>
      <c r="H1935" s="509" t="s">
        <v>2344</v>
      </c>
      <c r="I1935" s="492">
        <f>(C12)</f>
        <v>95</v>
      </c>
      <c r="J1935" s="500" t="s">
        <v>2342</v>
      </c>
      <c r="K1935" s="492">
        <f>(F1935*I1935)</f>
        <v>47.5</v>
      </c>
    </row>
    <row r="1936" spans="1:11" hidden="1">
      <c r="A1936" s="559"/>
      <c r="G1936" s="518" t="s">
        <v>2346</v>
      </c>
      <c r="H1936" s="509" t="s">
        <v>2347</v>
      </c>
      <c r="I1936" s="2"/>
      <c r="J1936" s="500" t="s">
        <v>2346</v>
      </c>
      <c r="K1936" s="492">
        <v>0</v>
      </c>
    </row>
    <row r="1937" spans="1:11" hidden="1">
      <c r="A1937" s="559"/>
      <c r="I1937" s="2"/>
      <c r="J1937" s="463"/>
      <c r="K1937" s="491" t="s">
        <v>442</v>
      </c>
    </row>
    <row r="1938" spans="1:11" hidden="1">
      <c r="A1938" s="559"/>
      <c r="H1938" s="509" t="s">
        <v>3117</v>
      </c>
      <c r="I1938" s="2"/>
      <c r="J1938" s="463"/>
      <c r="K1938" s="492">
        <f>SUM(K1928:K1936)</f>
        <v>2307.5</v>
      </c>
    </row>
    <row r="1939" spans="1:11" hidden="1">
      <c r="A1939" s="559"/>
      <c r="F1939" s="509" t="s">
        <v>30</v>
      </c>
      <c r="I1939" s="2"/>
      <c r="J1939" s="463"/>
      <c r="K1939" s="2"/>
    </row>
    <row r="1940" spans="1:11" hidden="1">
      <c r="A1940" s="559"/>
      <c r="I1940" s="2"/>
      <c r="J1940" s="463"/>
      <c r="K1940" s="491" t="s">
        <v>442</v>
      </c>
    </row>
    <row r="1941" spans="1:11" hidden="1">
      <c r="A1941" s="559"/>
      <c r="G1941" s="518" t="s">
        <v>30</v>
      </c>
      <c r="H1941" s="509" t="s">
        <v>30</v>
      </c>
      <c r="I1941" s="2"/>
      <c r="J1941" s="463"/>
      <c r="K1941" s="490" t="s">
        <v>30</v>
      </c>
    </row>
    <row r="1942" spans="1:11" hidden="1">
      <c r="A1942" s="559"/>
      <c r="H1942" s="509" t="s">
        <v>30</v>
      </c>
      <c r="I1942" s="2"/>
      <c r="J1942" s="463"/>
      <c r="K1942" s="2"/>
    </row>
    <row r="1943" spans="1:11" hidden="1">
      <c r="A1943" s="559"/>
      <c r="F1943" s="529">
        <v>57.1</v>
      </c>
      <c r="G1943" s="518" t="s">
        <v>575</v>
      </c>
      <c r="H1943" s="509" t="s">
        <v>4210</v>
      </c>
      <c r="I1943" s="2"/>
      <c r="J1943" s="463"/>
      <c r="K1943" s="2"/>
    </row>
    <row r="1944" spans="1:11" hidden="1">
      <c r="A1944" s="559"/>
      <c r="H1944" s="509" t="s">
        <v>4205</v>
      </c>
      <c r="I1944" s="2"/>
      <c r="J1944" s="463"/>
      <c r="K1944" s="2"/>
    </row>
    <row r="1945" spans="1:11" hidden="1">
      <c r="A1945" s="559"/>
      <c r="H1945" s="509" t="s">
        <v>4206</v>
      </c>
      <c r="I1945" s="2"/>
      <c r="J1945" s="463"/>
      <c r="K1945" s="2"/>
    </row>
    <row r="1946" spans="1:11" hidden="1">
      <c r="A1946" s="559"/>
      <c r="H1946" s="515" t="s">
        <v>442</v>
      </c>
      <c r="I1946" s="2"/>
      <c r="J1946" s="463"/>
      <c r="K1946" s="2"/>
    </row>
    <row r="1947" spans="1:11" ht="78.75" hidden="1">
      <c r="A1947" s="559"/>
      <c r="F1947" s="572">
        <v>1</v>
      </c>
      <c r="G1947" s="572" t="s">
        <v>3131</v>
      </c>
      <c r="H1947" s="536" t="s">
        <v>4207</v>
      </c>
      <c r="I1947" s="2">
        <f>E591</f>
        <v>2000</v>
      </c>
      <c r="J1947" s="574" t="s">
        <v>3131</v>
      </c>
      <c r="K1947" s="573">
        <f>(F1947*I1947)</f>
        <v>2000</v>
      </c>
    </row>
    <row r="1948" spans="1:11" hidden="1">
      <c r="A1948" s="559"/>
      <c r="F1948" s="519"/>
      <c r="G1948" s="518"/>
      <c r="H1948" s="575" t="s">
        <v>4208</v>
      </c>
      <c r="I1948" s="2"/>
      <c r="J1948" s="500"/>
      <c r="K1948" s="492"/>
    </row>
    <row r="1949" spans="1:11" hidden="1">
      <c r="A1949" s="559"/>
      <c r="F1949" s="519">
        <v>1</v>
      </c>
      <c r="G1949" s="518" t="s">
        <v>2342</v>
      </c>
      <c r="H1949" s="509" t="s">
        <v>2353</v>
      </c>
      <c r="I1949" s="2">
        <f>C10</f>
        <v>150</v>
      </c>
      <c r="J1949" s="500" t="s">
        <v>2342</v>
      </c>
      <c r="K1949" s="492">
        <f>(F1949*I1949)</f>
        <v>150</v>
      </c>
    </row>
    <row r="1950" spans="1:11" hidden="1">
      <c r="A1950" s="559"/>
      <c r="F1950" s="519">
        <v>2</v>
      </c>
      <c r="G1950" s="518" t="s">
        <v>2342</v>
      </c>
      <c r="H1950" s="509" t="s">
        <v>4030</v>
      </c>
      <c r="I1950" s="2">
        <f>C15</f>
        <v>130</v>
      </c>
      <c r="J1950" s="500" t="s">
        <v>2342</v>
      </c>
      <c r="K1950" s="492">
        <f>(F1950*I1950)</f>
        <v>260</v>
      </c>
    </row>
    <row r="1951" spans="1:11" hidden="1">
      <c r="A1951" s="559"/>
      <c r="F1951" s="519">
        <v>1</v>
      </c>
      <c r="G1951" s="518" t="s">
        <v>2342</v>
      </c>
      <c r="H1951" s="509" t="s">
        <v>2345</v>
      </c>
      <c r="I1951" s="2">
        <f>C13</f>
        <v>85</v>
      </c>
      <c r="J1951" s="500" t="s">
        <v>2342</v>
      </c>
      <c r="K1951" s="492">
        <f>(F1951*I1951)</f>
        <v>85</v>
      </c>
    </row>
    <row r="1952" spans="1:11" hidden="1">
      <c r="A1952" s="559"/>
      <c r="F1952" s="519"/>
      <c r="G1952" s="518"/>
      <c r="H1952" s="575" t="s">
        <v>4209</v>
      </c>
      <c r="I1952" s="2"/>
      <c r="J1952" s="500"/>
      <c r="K1952" s="492"/>
    </row>
    <row r="1953" spans="1:11" hidden="1">
      <c r="A1953" s="559"/>
      <c r="F1953" s="519">
        <v>0.5</v>
      </c>
      <c r="G1953" s="518" t="s">
        <v>2342</v>
      </c>
      <c r="H1953" s="509" t="s">
        <v>4030</v>
      </c>
      <c r="I1953" s="2">
        <f>C15</f>
        <v>130</v>
      </c>
      <c r="J1953" s="500" t="s">
        <v>2342</v>
      </c>
      <c r="K1953" s="492">
        <f>(F1953*I1953)</f>
        <v>65</v>
      </c>
    </row>
    <row r="1954" spans="1:11" hidden="1">
      <c r="A1954" s="559"/>
      <c r="F1954" s="519">
        <v>0.5</v>
      </c>
      <c r="G1954" s="518" t="s">
        <v>2342</v>
      </c>
      <c r="H1954" s="509" t="s">
        <v>2344</v>
      </c>
      <c r="I1954" s="2">
        <f>C12</f>
        <v>95</v>
      </c>
      <c r="J1954" s="500" t="s">
        <v>2342</v>
      </c>
      <c r="K1954" s="492">
        <f>(F1954*I1954)</f>
        <v>47.5</v>
      </c>
    </row>
    <row r="1955" spans="1:11" hidden="1">
      <c r="A1955" s="559"/>
      <c r="G1955" s="518" t="s">
        <v>2346</v>
      </c>
      <c r="H1955" s="509" t="s">
        <v>2347</v>
      </c>
      <c r="I1955" s="2"/>
      <c r="J1955" s="500" t="s">
        <v>2346</v>
      </c>
      <c r="K1955" s="492">
        <v>0</v>
      </c>
    </row>
    <row r="1956" spans="1:11" hidden="1">
      <c r="A1956" s="559"/>
      <c r="I1956" s="2"/>
      <c r="J1956" s="463"/>
      <c r="K1956" s="491" t="s">
        <v>442</v>
      </c>
    </row>
    <row r="1957" spans="1:11" hidden="1">
      <c r="A1957" s="559"/>
      <c r="H1957" s="509" t="s">
        <v>3117</v>
      </c>
      <c r="I1957" s="2"/>
      <c r="J1957" s="463"/>
      <c r="K1957" s="492">
        <f>SUM(K1947:K1955)</f>
        <v>2607.5</v>
      </c>
    </row>
    <row r="1958" spans="1:11" hidden="1">
      <c r="A1958" s="559"/>
      <c r="H1958" s="509"/>
      <c r="I1958" s="2"/>
      <c r="J1958" s="463"/>
      <c r="K1958" s="2"/>
    </row>
    <row r="1959" spans="1:11" hidden="1">
      <c r="A1959" s="559"/>
      <c r="H1959" s="509"/>
      <c r="I1959" s="2"/>
      <c r="J1959" s="463"/>
      <c r="K1959" s="491" t="s">
        <v>442</v>
      </c>
    </row>
    <row r="1960" spans="1:11" hidden="1">
      <c r="A1960" s="559"/>
      <c r="H1960" s="509"/>
      <c r="I1960" s="2"/>
      <c r="J1960" s="463"/>
      <c r="K1960" s="2"/>
    </row>
    <row r="1961" spans="1:11" hidden="1">
      <c r="A1961" s="559"/>
      <c r="F1961" s="510" t="s">
        <v>4211</v>
      </c>
      <c r="G1961" s="518" t="s">
        <v>575</v>
      </c>
      <c r="H1961" s="509" t="s">
        <v>4212</v>
      </c>
      <c r="I1961" s="2"/>
      <c r="J1961" s="463"/>
      <c r="K1961" s="2"/>
    </row>
    <row r="1962" spans="1:11" hidden="1">
      <c r="A1962" s="559"/>
      <c r="H1962" s="509" t="s">
        <v>4213</v>
      </c>
      <c r="I1962" s="2"/>
      <c r="J1962" s="463"/>
      <c r="K1962" s="2"/>
    </row>
    <row r="1963" spans="1:11" hidden="1">
      <c r="A1963" s="559"/>
      <c r="H1963" s="515" t="s">
        <v>442</v>
      </c>
      <c r="I1963" s="2"/>
      <c r="J1963" s="463"/>
      <c r="K1963" s="2"/>
    </row>
    <row r="1964" spans="1:11" hidden="1">
      <c r="A1964" s="559"/>
      <c r="G1964" s="518" t="s">
        <v>2806</v>
      </c>
      <c r="H1964" s="509" t="s">
        <v>4214</v>
      </c>
      <c r="I1964" s="2"/>
      <c r="J1964" s="463"/>
      <c r="K1964" s="2"/>
    </row>
    <row r="1965" spans="1:11" hidden="1">
      <c r="A1965" s="559"/>
      <c r="H1965" s="509" t="s">
        <v>4215</v>
      </c>
      <c r="I1965" s="2"/>
      <c r="J1965" s="463"/>
      <c r="K1965" s="2"/>
    </row>
    <row r="1966" spans="1:11" hidden="1">
      <c r="A1966" s="559"/>
      <c r="H1966" s="509" t="s">
        <v>4216</v>
      </c>
      <c r="I1966" s="2"/>
      <c r="J1966" s="463"/>
      <c r="K1966" s="2"/>
    </row>
    <row r="1967" spans="1:11" hidden="1">
      <c r="A1967" s="559"/>
      <c r="H1967" s="509" t="s">
        <v>4217</v>
      </c>
      <c r="I1967" s="2"/>
      <c r="J1967" s="463"/>
      <c r="K1967" s="2"/>
    </row>
    <row r="1968" spans="1:11" hidden="1">
      <c r="A1968" s="559"/>
      <c r="H1968" s="509" t="s">
        <v>4218</v>
      </c>
      <c r="I1968" s="2"/>
      <c r="J1968" s="463"/>
      <c r="K1968" s="2"/>
    </row>
    <row r="1969" spans="1:11" hidden="1">
      <c r="A1969" s="559"/>
      <c r="H1969" s="509" t="s">
        <v>4219</v>
      </c>
      <c r="I1969" s="2"/>
      <c r="J1969" s="463"/>
      <c r="K1969" s="2"/>
    </row>
    <row r="1970" spans="1:11" hidden="1">
      <c r="A1970" s="559"/>
      <c r="H1970" s="509" t="s">
        <v>4220</v>
      </c>
      <c r="I1970" s="2"/>
      <c r="J1970" s="463"/>
      <c r="K1970" s="2"/>
    </row>
    <row r="1971" spans="1:11" hidden="1">
      <c r="A1971" s="559"/>
      <c r="H1971" s="515" t="s">
        <v>442</v>
      </c>
      <c r="I1971" s="2"/>
      <c r="J1971" s="463"/>
      <c r="K1971" s="2"/>
    </row>
    <row r="1972" spans="1:11" hidden="1">
      <c r="A1972" s="559"/>
      <c r="F1972" s="519">
        <v>3</v>
      </c>
      <c r="G1972" s="518" t="s">
        <v>2205</v>
      </c>
      <c r="H1972" s="509" t="s">
        <v>4221</v>
      </c>
      <c r="I1972" s="492">
        <f>(C598)</f>
        <v>120</v>
      </c>
      <c r="J1972" s="500" t="s">
        <v>2205</v>
      </c>
      <c r="K1972" s="492">
        <f t="shared" ref="K1972:K1978" si="65">(F1972*I1972)</f>
        <v>360</v>
      </c>
    </row>
    <row r="1973" spans="1:11" hidden="1">
      <c r="A1973" s="559"/>
      <c r="F1973" s="519">
        <v>1</v>
      </c>
      <c r="G1973" s="518" t="s">
        <v>2359</v>
      </c>
      <c r="H1973" s="509" t="s">
        <v>4222</v>
      </c>
      <c r="I1973" s="492">
        <f>C601</f>
        <v>65</v>
      </c>
      <c r="J1973" s="500" t="s">
        <v>3321</v>
      </c>
      <c r="K1973" s="492">
        <f t="shared" si="65"/>
        <v>65</v>
      </c>
    </row>
    <row r="1974" spans="1:11" hidden="1">
      <c r="A1974" s="559"/>
      <c r="F1974" s="519">
        <v>1</v>
      </c>
      <c r="G1974" s="518" t="s">
        <v>2359</v>
      </c>
      <c r="H1974" s="509" t="s">
        <v>4223</v>
      </c>
      <c r="I1974" s="492">
        <f>C626</f>
        <v>12</v>
      </c>
      <c r="J1974" s="500" t="s">
        <v>3321</v>
      </c>
      <c r="K1974" s="492">
        <f t="shared" si="65"/>
        <v>12</v>
      </c>
    </row>
    <row r="1975" spans="1:11" hidden="1">
      <c r="A1975" s="559"/>
      <c r="F1975" s="519">
        <v>1</v>
      </c>
      <c r="G1975" s="518" t="s">
        <v>2359</v>
      </c>
      <c r="H1975" s="509" t="s">
        <v>4224</v>
      </c>
      <c r="I1975" s="492">
        <f>C623</f>
        <v>110</v>
      </c>
      <c r="J1975" s="500" t="s">
        <v>3321</v>
      </c>
      <c r="K1975" s="492">
        <f t="shared" si="65"/>
        <v>110</v>
      </c>
    </row>
    <row r="1976" spans="1:11" hidden="1">
      <c r="A1976" s="559"/>
      <c r="F1976" s="519">
        <v>0.5</v>
      </c>
      <c r="G1976" s="518" t="s">
        <v>2342</v>
      </c>
      <c r="H1976" s="509" t="s">
        <v>4030</v>
      </c>
      <c r="I1976" s="492">
        <f>(C15)</f>
        <v>130</v>
      </c>
      <c r="J1976" s="500" t="s">
        <v>3321</v>
      </c>
      <c r="K1976" s="492">
        <f t="shared" si="65"/>
        <v>65</v>
      </c>
    </row>
    <row r="1977" spans="1:11" hidden="1">
      <c r="A1977" s="559"/>
      <c r="F1977" s="519">
        <v>0.5</v>
      </c>
      <c r="G1977" s="518" t="s">
        <v>2342</v>
      </c>
      <c r="H1977" s="509" t="s">
        <v>2343</v>
      </c>
      <c r="I1977" s="492">
        <f>(C11)</f>
        <v>135</v>
      </c>
      <c r="J1977" s="500" t="s">
        <v>3321</v>
      </c>
      <c r="K1977" s="492">
        <f t="shared" si="65"/>
        <v>67.5</v>
      </c>
    </row>
    <row r="1978" spans="1:11" hidden="1">
      <c r="A1978" s="559"/>
      <c r="F1978" s="519">
        <v>0.5</v>
      </c>
      <c r="G1978" s="518" t="s">
        <v>2342</v>
      </c>
      <c r="H1978" s="509" t="s">
        <v>2344</v>
      </c>
      <c r="I1978" s="492">
        <f>(C12)</f>
        <v>95</v>
      </c>
      <c r="J1978" s="500" t="s">
        <v>3321</v>
      </c>
      <c r="K1978" s="492">
        <f t="shared" si="65"/>
        <v>47.5</v>
      </c>
    </row>
    <row r="1979" spans="1:11" hidden="1">
      <c r="A1979" s="559"/>
      <c r="G1979" s="518" t="s">
        <v>2346</v>
      </c>
      <c r="H1979" s="509" t="s">
        <v>4225</v>
      </c>
      <c r="I1979" s="492">
        <v>2.79</v>
      </c>
      <c r="J1979" s="500" t="s">
        <v>2346</v>
      </c>
      <c r="K1979" s="492">
        <v>2.79</v>
      </c>
    </row>
    <row r="1980" spans="1:11" hidden="1">
      <c r="A1980" s="559"/>
      <c r="H1980" s="509" t="s">
        <v>4226</v>
      </c>
      <c r="I1980" s="2"/>
      <c r="J1980" s="463"/>
      <c r="K1980" s="2"/>
    </row>
    <row r="1981" spans="1:11" hidden="1">
      <c r="A1981" s="559"/>
      <c r="H1981" s="509" t="s">
        <v>4227</v>
      </c>
      <c r="I1981" s="2"/>
      <c r="J1981" s="463"/>
      <c r="K1981" s="2"/>
    </row>
    <row r="1982" spans="1:11" hidden="1">
      <c r="A1982" s="559"/>
      <c r="H1982" s="509" t="s">
        <v>4228</v>
      </c>
      <c r="I1982" s="2"/>
      <c r="J1982" s="500" t="s">
        <v>2346</v>
      </c>
      <c r="K1982" s="492">
        <v>0</v>
      </c>
    </row>
    <row r="1983" spans="1:11" hidden="1">
      <c r="A1983" s="559"/>
      <c r="I1983" s="2"/>
      <c r="J1983" s="463"/>
      <c r="K1983" s="491" t="s">
        <v>442</v>
      </c>
    </row>
    <row r="1984" spans="1:11" hidden="1">
      <c r="A1984" s="559"/>
      <c r="H1984" s="509" t="s">
        <v>4033</v>
      </c>
      <c r="I1984" s="2"/>
      <c r="J1984" s="463"/>
      <c r="K1984" s="492">
        <f>SUM(K1972:K1982)</f>
        <v>729.79</v>
      </c>
    </row>
    <row r="1985" spans="1:11" hidden="1">
      <c r="A1985" s="559"/>
      <c r="I1985" s="2"/>
      <c r="J1985" s="463"/>
      <c r="K1985" s="491" t="s">
        <v>442</v>
      </c>
    </row>
    <row r="1986" spans="1:11" hidden="1">
      <c r="A1986" s="559"/>
      <c r="H1986" s="509" t="s">
        <v>2990</v>
      </c>
      <c r="I1986" s="2"/>
      <c r="J1986" s="463"/>
      <c r="K1986" s="492">
        <f>(K1984/3)</f>
        <v>243.26333333333332</v>
      </c>
    </row>
    <row r="1987" spans="1:11" hidden="1">
      <c r="A1987" s="559"/>
      <c r="I1987" s="2"/>
      <c r="J1987" s="463"/>
      <c r="K1987" s="491" t="s">
        <v>442</v>
      </c>
    </row>
    <row r="1988" spans="1:11" hidden="1">
      <c r="A1988" s="559"/>
      <c r="F1988" s="510" t="s">
        <v>4229</v>
      </c>
      <c r="G1988" s="518" t="s">
        <v>4230</v>
      </c>
      <c r="H1988" s="509" t="s">
        <v>4231</v>
      </c>
      <c r="I1988" s="2"/>
      <c r="J1988" s="463"/>
      <c r="K1988" s="2"/>
    </row>
    <row r="1989" spans="1:11" hidden="1">
      <c r="A1989" s="559"/>
      <c r="H1989" s="509" t="s">
        <v>4232</v>
      </c>
      <c r="I1989" s="2"/>
      <c r="J1989" s="463"/>
      <c r="K1989" s="2"/>
    </row>
    <row r="1990" spans="1:11" hidden="1">
      <c r="A1990" s="559"/>
      <c r="H1990" s="509" t="s">
        <v>4216</v>
      </c>
      <c r="I1990" s="2"/>
      <c r="J1990" s="463"/>
      <c r="K1990" s="2"/>
    </row>
    <row r="1991" spans="1:11" hidden="1">
      <c r="A1991" s="559"/>
      <c r="H1991" s="509" t="s">
        <v>4233</v>
      </c>
      <c r="I1991" s="2"/>
      <c r="J1991" s="463"/>
      <c r="K1991" s="2"/>
    </row>
    <row r="1992" spans="1:11" hidden="1">
      <c r="A1992" s="559"/>
      <c r="H1992" s="509" t="s">
        <v>4234</v>
      </c>
      <c r="I1992" s="2"/>
      <c r="J1992" s="463"/>
      <c r="K1992" s="2"/>
    </row>
    <row r="1993" spans="1:11" hidden="1">
      <c r="A1993" s="559"/>
      <c r="H1993" s="509" t="s">
        <v>4219</v>
      </c>
      <c r="I1993" s="2"/>
      <c r="J1993" s="463"/>
      <c r="K1993" s="2"/>
    </row>
    <row r="1994" spans="1:11" hidden="1">
      <c r="A1994" s="559"/>
      <c r="H1994" s="509" t="s">
        <v>4220</v>
      </c>
      <c r="I1994" s="2"/>
      <c r="J1994" s="463"/>
      <c r="K1994" s="2"/>
    </row>
    <row r="1995" spans="1:11" hidden="1">
      <c r="A1995" s="559"/>
      <c r="H1995" s="515" t="s">
        <v>442</v>
      </c>
      <c r="I1995" s="2"/>
      <c r="J1995" s="463"/>
      <c r="K1995" s="2"/>
    </row>
    <row r="1996" spans="1:11" hidden="1">
      <c r="A1996" s="559"/>
      <c r="F1996" s="519">
        <v>3</v>
      </c>
      <c r="G1996" s="518" t="s">
        <v>2205</v>
      </c>
      <c r="H1996" s="509" t="s">
        <v>4235</v>
      </c>
      <c r="I1996" s="492">
        <f>(C599)</f>
        <v>80</v>
      </c>
      <c r="J1996" s="500" t="s">
        <v>2205</v>
      </c>
      <c r="K1996" s="492">
        <f t="shared" ref="K1996:K2002" si="66">(F1996*I1996)</f>
        <v>240</v>
      </c>
    </row>
    <row r="1997" spans="1:11" hidden="1">
      <c r="A1997" s="559"/>
      <c r="F1997" s="519">
        <v>1</v>
      </c>
      <c r="G1997" s="518" t="s">
        <v>2359</v>
      </c>
      <c r="H1997" s="509" t="s">
        <v>4236</v>
      </c>
      <c r="I1997" s="492">
        <f>C602</f>
        <v>40</v>
      </c>
      <c r="J1997" s="463" t="s">
        <v>2359</v>
      </c>
      <c r="K1997" s="492">
        <f t="shared" si="66"/>
        <v>40</v>
      </c>
    </row>
    <row r="1998" spans="1:11" hidden="1">
      <c r="A1998" s="559"/>
      <c r="F1998" s="519">
        <v>1</v>
      </c>
      <c r="G1998" s="518" t="s">
        <v>2359</v>
      </c>
      <c r="H1998" s="509" t="s">
        <v>4237</v>
      </c>
      <c r="I1998" s="492">
        <f>C627</f>
        <v>7.5</v>
      </c>
      <c r="J1998" s="463" t="s">
        <v>2359</v>
      </c>
      <c r="K1998" s="492">
        <f t="shared" si="66"/>
        <v>7.5</v>
      </c>
    </row>
    <row r="1999" spans="1:11" hidden="1">
      <c r="A1999" s="559"/>
      <c r="F1999" s="519">
        <v>1</v>
      </c>
      <c r="G1999" s="518" t="s">
        <v>2359</v>
      </c>
      <c r="H1999" s="509" t="s">
        <v>4238</v>
      </c>
      <c r="I1999" s="492">
        <f>C624</f>
        <v>70</v>
      </c>
      <c r="J1999" s="463" t="s">
        <v>2359</v>
      </c>
      <c r="K1999" s="492">
        <f t="shared" si="66"/>
        <v>70</v>
      </c>
    </row>
    <row r="2000" spans="1:11" hidden="1">
      <c r="A2000" s="559"/>
      <c r="F2000" s="519">
        <v>0.5</v>
      </c>
      <c r="G2000" s="518" t="s">
        <v>2342</v>
      </c>
      <c r="H2000" s="509" t="s">
        <v>4030</v>
      </c>
      <c r="I2000" s="492">
        <f>(C15)</f>
        <v>130</v>
      </c>
      <c r="J2000" s="500" t="s">
        <v>2342</v>
      </c>
      <c r="K2000" s="492">
        <f t="shared" si="66"/>
        <v>65</v>
      </c>
    </row>
    <row r="2001" spans="1:11" hidden="1">
      <c r="A2001" s="559"/>
      <c r="F2001" s="519">
        <v>0.5</v>
      </c>
      <c r="G2001" s="518" t="s">
        <v>2342</v>
      </c>
      <c r="H2001" s="509" t="s">
        <v>2343</v>
      </c>
      <c r="I2001" s="492">
        <f>(C11)</f>
        <v>135</v>
      </c>
      <c r="J2001" s="500" t="s">
        <v>2342</v>
      </c>
      <c r="K2001" s="492">
        <f t="shared" si="66"/>
        <v>67.5</v>
      </c>
    </row>
    <row r="2002" spans="1:11" hidden="1">
      <c r="A2002" s="559"/>
      <c r="F2002" s="519">
        <v>0.5</v>
      </c>
      <c r="G2002" s="518" t="s">
        <v>2342</v>
      </c>
      <c r="H2002" s="509" t="s">
        <v>2344</v>
      </c>
      <c r="I2002" s="492">
        <f>(C12)</f>
        <v>95</v>
      </c>
      <c r="J2002" s="500" t="s">
        <v>2342</v>
      </c>
      <c r="K2002" s="492">
        <f t="shared" si="66"/>
        <v>47.5</v>
      </c>
    </row>
    <row r="2003" spans="1:11" hidden="1">
      <c r="A2003" s="559"/>
      <c r="G2003" s="518" t="s">
        <v>2346</v>
      </c>
      <c r="H2003" s="509" t="s">
        <v>4225</v>
      </c>
      <c r="I2003" s="490" t="s">
        <v>30</v>
      </c>
      <c r="J2003" s="500" t="s">
        <v>2346</v>
      </c>
      <c r="K2003" s="492">
        <v>2.73</v>
      </c>
    </row>
    <row r="2004" spans="1:11" hidden="1">
      <c r="A2004" s="559"/>
      <c r="H2004" s="509" t="s">
        <v>4226</v>
      </c>
      <c r="I2004" s="2"/>
      <c r="J2004" s="463"/>
      <c r="K2004" s="2"/>
    </row>
    <row r="2005" spans="1:11" hidden="1">
      <c r="A2005" s="559"/>
      <c r="H2005" s="509" t="s">
        <v>4227</v>
      </c>
      <c r="I2005" s="2"/>
      <c r="J2005" s="463"/>
      <c r="K2005" s="2"/>
    </row>
    <row r="2006" spans="1:11" hidden="1">
      <c r="A2006" s="559"/>
      <c r="H2006" s="509" t="s">
        <v>4228</v>
      </c>
      <c r="I2006" s="2"/>
      <c r="J2006" s="500" t="s">
        <v>2346</v>
      </c>
      <c r="K2006" s="492">
        <v>0</v>
      </c>
    </row>
    <row r="2007" spans="1:11" hidden="1">
      <c r="A2007" s="559"/>
      <c r="I2007" s="2"/>
      <c r="J2007" s="463"/>
      <c r="K2007" s="491" t="s">
        <v>442</v>
      </c>
    </row>
    <row r="2008" spans="1:11" hidden="1">
      <c r="A2008" s="559"/>
      <c r="H2008" s="509" t="s">
        <v>4033</v>
      </c>
      <c r="I2008" s="2"/>
      <c r="J2008" s="463"/>
      <c r="K2008" s="492">
        <f>SUM(K1996:K2006)</f>
        <v>540.23</v>
      </c>
    </row>
    <row r="2009" spans="1:11" hidden="1">
      <c r="A2009" s="559"/>
      <c r="I2009" s="2"/>
      <c r="J2009" s="463"/>
      <c r="K2009" s="491" t="s">
        <v>442</v>
      </c>
    </row>
    <row r="2010" spans="1:11" hidden="1">
      <c r="A2010" s="559"/>
      <c r="H2010" s="509" t="s">
        <v>2990</v>
      </c>
      <c r="I2010" s="2"/>
      <c r="J2010" s="463"/>
      <c r="K2010" s="492">
        <f>(K2008/3)</f>
        <v>180.07666666666668</v>
      </c>
    </row>
    <row r="2011" spans="1:11" hidden="1">
      <c r="A2011" s="559"/>
      <c r="I2011" s="2"/>
      <c r="J2011" s="463"/>
      <c r="K2011" s="491" t="s">
        <v>442</v>
      </c>
    </row>
    <row r="2012" spans="1:11" hidden="1">
      <c r="A2012" s="559"/>
      <c r="F2012" s="510" t="s">
        <v>4239</v>
      </c>
      <c r="H2012" s="509" t="s">
        <v>4240</v>
      </c>
      <c r="I2012" s="2"/>
      <c r="J2012" s="463"/>
      <c r="K2012" s="2"/>
    </row>
    <row r="2013" spans="1:11" hidden="1">
      <c r="A2013" s="559"/>
      <c r="H2013" s="509" t="s">
        <v>4241</v>
      </c>
      <c r="I2013" s="2"/>
      <c r="J2013" s="463"/>
      <c r="K2013" s="2"/>
    </row>
    <row r="2014" spans="1:11" hidden="1">
      <c r="A2014" s="559"/>
      <c r="F2014" s="509" t="s">
        <v>30</v>
      </c>
      <c r="H2014" s="509" t="s">
        <v>4242</v>
      </c>
      <c r="I2014" s="2"/>
      <c r="J2014" s="463"/>
      <c r="K2014" s="2"/>
    </row>
    <row r="2015" spans="1:11" hidden="1">
      <c r="A2015" s="559"/>
      <c r="H2015" s="515" t="s">
        <v>442</v>
      </c>
      <c r="I2015" s="2"/>
      <c r="J2015" s="463"/>
      <c r="K2015" s="2"/>
    </row>
    <row r="2016" spans="1:11" hidden="1">
      <c r="A2016" s="559"/>
      <c r="F2016" s="519">
        <v>3</v>
      </c>
      <c r="G2016" s="518" t="s">
        <v>4108</v>
      </c>
      <c r="H2016" s="509" t="s">
        <v>4243</v>
      </c>
      <c r="I2016" s="492">
        <v>108</v>
      </c>
      <c r="J2016" s="500" t="s">
        <v>4108</v>
      </c>
      <c r="K2016" s="492">
        <f>(F2016*I2016)</f>
        <v>324</v>
      </c>
    </row>
    <row r="2017" spans="1:11" hidden="1">
      <c r="A2017" s="559"/>
      <c r="F2017" s="519">
        <v>1</v>
      </c>
      <c r="G2017" s="518" t="s">
        <v>4058</v>
      </c>
      <c r="H2017" s="509" t="s">
        <v>4244</v>
      </c>
      <c r="I2017" s="492">
        <v>12</v>
      </c>
      <c r="J2017" s="500" t="s">
        <v>4058</v>
      </c>
      <c r="K2017" s="492">
        <f>(F2017*I2017)</f>
        <v>12</v>
      </c>
    </row>
    <row r="2018" spans="1:11" hidden="1">
      <c r="A2018" s="559"/>
      <c r="F2018" s="519">
        <v>1</v>
      </c>
      <c r="G2018" s="518" t="s">
        <v>4058</v>
      </c>
      <c r="H2018" s="509" t="s">
        <v>4245</v>
      </c>
      <c r="I2018" s="492">
        <v>8</v>
      </c>
      <c r="J2018" s="500" t="s">
        <v>4058</v>
      </c>
      <c r="K2018" s="492">
        <f>(F2018*I2018)</f>
        <v>8</v>
      </c>
    </row>
    <row r="2019" spans="1:11" hidden="1">
      <c r="A2019" s="559"/>
      <c r="F2019" s="510" t="s">
        <v>4111</v>
      </c>
      <c r="H2019" s="509" t="s">
        <v>4246</v>
      </c>
      <c r="I2019" s="500" t="s">
        <v>4111</v>
      </c>
      <c r="J2019" s="463"/>
      <c r="K2019" s="492">
        <v>1.21</v>
      </c>
    </row>
    <row r="2020" spans="1:11" hidden="1">
      <c r="A2020" s="559"/>
      <c r="I2020" s="2"/>
      <c r="J2020" s="463"/>
      <c r="K2020" s="491" t="s">
        <v>442</v>
      </c>
    </row>
    <row r="2021" spans="1:11" hidden="1">
      <c r="A2021" s="559"/>
      <c r="H2021" s="509" t="s">
        <v>4247</v>
      </c>
      <c r="I2021" s="2"/>
      <c r="J2021" s="463"/>
      <c r="K2021" s="492">
        <f>SUM(K2016:K2019)</f>
        <v>345.21</v>
      </c>
    </row>
    <row r="2022" spans="1:11" hidden="1">
      <c r="A2022" s="559"/>
      <c r="I2022" s="2"/>
      <c r="J2022" s="463"/>
      <c r="K2022" s="491" t="s">
        <v>442</v>
      </c>
    </row>
    <row r="2023" spans="1:11" hidden="1">
      <c r="A2023" s="559"/>
      <c r="I2023" s="2"/>
      <c r="J2023" s="463"/>
      <c r="K2023" s="2"/>
    </row>
    <row r="2024" spans="1:11" hidden="1">
      <c r="A2024" s="559"/>
      <c r="F2024" s="510" t="s">
        <v>4248</v>
      </c>
      <c r="G2024" s="518" t="s">
        <v>575</v>
      </c>
      <c r="H2024" s="509" t="s">
        <v>4249</v>
      </c>
      <c r="I2024" s="2"/>
      <c r="J2024" s="463"/>
      <c r="K2024" s="2"/>
    </row>
    <row r="2025" spans="1:11" hidden="1">
      <c r="A2025" s="559"/>
      <c r="H2025" s="509" t="s">
        <v>4250</v>
      </c>
      <c r="I2025" s="2"/>
      <c r="J2025" s="463"/>
      <c r="K2025" s="2"/>
    </row>
    <row r="2026" spans="1:11" hidden="1">
      <c r="A2026" s="559"/>
      <c r="H2026" s="515" t="s">
        <v>442</v>
      </c>
      <c r="I2026" s="2"/>
      <c r="J2026" s="463"/>
      <c r="K2026" s="2"/>
    </row>
    <row r="2027" spans="1:11" hidden="1">
      <c r="A2027" s="559"/>
      <c r="F2027" s="519">
        <v>1</v>
      </c>
      <c r="G2027" s="518" t="s">
        <v>2342</v>
      </c>
      <c r="H2027" s="509" t="s">
        <v>4250</v>
      </c>
      <c r="I2027" s="492">
        <f>(C265)</f>
        <v>115</v>
      </c>
      <c r="J2027" s="500" t="s">
        <v>2342</v>
      </c>
      <c r="K2027" s="492">
        <f>(F2027*I2027)</f>
        <v>115</v>
      </c>
    </row>
    <row r="2028" spans="1:11" hidden="1">
      <c r="A2028" s="559"/>
      <c r="F2028" s="519">
        <v>0.05</v>
      </c>
      <c r="G2028" s="518" t="s">
        <v>2334</v>
      </c>
      <c r="H2028" s="509" t="s">
        <v>4251</v>
      </c>
      <c r="I2028" s="492" t="e">
        <f>(R60)</f>
        <v>#REF!</v>
      </c>
      <c r="J2028" s="500" t="s">
        <v>2334</v>
      </c>
      <c r="K2028" s="492" t="e">
        <f>(F2028*I2028)</f>
        <v>#REF!</v>
      </c>
    </row>
    <row r="2029" spans="1:11" hidden="1">
      <c r="A2029" s="559"/>
      <c r="F2029" s="519">
        <v>0.5</v>
      </c>
      <c r="G2029" s="518" t="s">
        <v>2342</v>
      </c>
      <c r="H2029" s="509" t="s">
        <v>4030</v>
      </c>
      <c r="I2029" s="492">
        <f>(C15)</f>
        <v>130</v>
      </c>
      <c r="J2029" s="500" t="s">
        <v>2342</v>
      </c>
      <c r="K2029" s="492">
        <f>(F2029*I2029)</f>
        <v>65</v>
      </c>
    </row>
    <row r="2030" spans="1:11" hidden="1">
      <c r="A2030" s="559"/>
      <c r="F2030" s="519">
        <v>1</v>
      </c>
      <c r="G2030" s="518" t="s">
        <v>2342</v>
      </c>
      <c r="H2030" s="509" t="s">
        <v>2344</v>
      </c>
      <c r="I2030" s="492">
        <f>(C12)</f>
        <v>95</v>
      </c>
      <c r="J2030" s="500" t="s">
        <v>2342</v>
      </c>
      <c r="K2030" s="492">
        <f>(F2030*I2030)</f>
        <v>95</v>
      </c>
    </row>
    <row r="2031" spans="1:11" hidden="1">
      <c r="A2031" s="559"/>
      <c r="F2031" s="519">
        <v>1</v>
      </c>
      <c r="G2031" s="518" t="s">
        <v>2342</v>
      </c>
      <c r="H2031" s="509" t="s">
        <v>2345</v>
      </c>
      <c r="I2031" s="492">
        <f>(C13)</f>
        <v>85</v>
      </c>
      <c r="J2031" s="500" t="s">
        <v>2342</v>
      </c>
      <c r="K2031" s="492">
        <f>(F2031*I2031)</f>
        <v>85</v>
      </c>
    </row>
    <row r="2032" spans="1:11" hidden="1">
      <c r="A2032" s="559"/>
      <c r="G2032" s="518" t="s">
        <v>2346</v>
      </c>
      <c r="H2032" s="509" t="s">
        <v>2347</v>
      </c>
      <c r="I2032" s="490" t="s">
        <v>30</v>
      </c>
      <c r="J2032" s="500" t="s">
        <v>2346</v>
      </c>
      <c r="K2032" s="492">
        <v>0</v>
      </c>
    </row>
    <row r="2033" spans="1:11" hidden="1">
      <c r="A2033" s="559"/>
      <c r="H2033" s="509" t="s">
        <v>30</v>
      </c>
      <c r="I2033" s="2"/>
      <c r="J2033" s="463"/>
      <c r="K2033" s="491" t="s">
        <v>442</v>
      </c>
    </row>
    <row r="2034" spans="1:11" hidden="1">
      <c r="A2034" s="559"/>
      <c r="H2034" s="509" t="s">
        <v>3117</v>
      </c>
      <c r="I2034" s="2"/>
      <c r="J2034" s="463"/>
      <c r="K2034" s="492" t="e">
        <f>SUM(K2027:K2032)</f>
        <v>#REF!</v>
      </c>
    </row>
    <row r="2035" spans="1:11" hidden="1">
      <c r="A2035" s="559"/>
      <c r="I2035" s="2"/>
      <c r="J2035" s="463"/>
      <c r="K2035" s="491" t="s">
        <v>29</v>
      </c>
    </row>
    <row r="2036" spans="1:11" hidden="1">
      <c r="A2036" s="559"/>
      <c r="F2036" s="510" t="s">
        <v>4252</v>
      </c>
      <c r="G2036" s="518" t="s">
        <v>575</v>
      </c>
      <c r="H2036" s="509" t="s">
        <v>4253</v>
      </c>
      <c r="I2036" s="2"/>
      <c r="J2036" s="463"/>
      <c r="K2036" s="2"/>
    </row>
    <row r="2037" spans="1:11" hidden="1">
      <c r="A2037" s="559"/>
      <c r="H2037" s="509" t="s">
        <v>4254</v>
      </c>
      <c r="I2037" s="2"/>
      <c r="J2037" s="463"/>
      <c r="K2037" s="2"/>
    </row>
    <row r="2038" spans="1:11" hidden="1">
      <c r="A2038" s="559"/>
      <c r="H2038" s="515" t="s">
        <v>442</v>
      </c>
      <c r="I2038" s="2"/>
      <c r="J2038" s="463"/>
      <c r="K2038" s="2"/>
    </row>
    <row r="2039" spans="1:11" hidden="1">
      <c r="A2039" s="559"/>
      <c r="F2039" s="519">
        <v>1</v>
      </c>
      <c r="G2039" s="518" t="s">
        <v>2342</v>
      </c>
      <c r="H2039" s="509" t="s">
        <v>4255</v>
      </c>
      <c r="I2039" s="492">
        <f>(D266)</f>
        <v>90</v>
      </c>
      <c r="J2039" s="500" t="s">
        <v>2342</v>
      </c>
      <c r="K2039" s="492">
        <f>(F2039*I2039)</f>
        <v>90</v>
      </c>
    </row>
    <row r="2040" spans="1:11" hidden="1">
      <c r="A2040" s="559"/>
      <c r="G2040" s="518" t="s">
        <v>2346</v>
      </c>
      <c r="H2040" s="509" t="s">
        <v>4256</v>
      </c>
      <c r="I2040" s="2"/>
      <c r="J2040" s="500" t="s">
        <v>2346</v>
      </c>
      <c r="K2040" s="492">
        <v>4</v>
      </c>
    </row>
    <row r="2041" spans="1:11" hidden="1">
      <c r="A2041" s="559"/>
      <c r="I2041" s="2"/>
      <c r="J2041" s="500" t="s">
        <v>30</v>
      </c>
      <c r="K2041" s="491" t="s">
        <v>442</v>
      </c>
    </row>
    <row r="2042" spans="1:11" hidden="1">
      <c r="A2042" s="559"/>
      <c r="H2042" s="509" t="s">
        <v>3117</v>
      </c>
      <c r="I2042" s="2"/>
      <c r="J2042" s="463"/>
      <c r="K2042" s="492">
        <f>SUM(K2039:K2041)</f>
        <v>94</v>
      </c>
    </row>
    <row r="2043" spans="1:11" hidden="1">
      <c r="A2043" s="559"/>
      <c r="I2043" s="2"/>
      <c r="J2043" s="463"/>
      <c r="K2043" s="491" t="s">
        <v>442</v>
      </c>
    </row>
    <row r="2044" spans="1:11" hidden="1">
      <c r="A2044" s="559"/>
      <c r="F2044" s="510" t="s">
        <v>4257</v>
      </c>
      <c r="G2044" s="518" t="s">
        <v>575</v>
      </c>
      <c r="H2044" s="509" t="s">
        <v>4258</v>
      </c>
      <c r="I2044" s="2"/>
      <c r="J2044" s="463"/>
      <c r="K2044" s="2"/>
    </row>
    <row r="2045" spans="1:11" hidden="1">
      <c r="A2045" s="559"/>
      <c r="H2045" s="509" t="s">
        <v>4259</v>
      </c>
      <c r="I2045" s="2"/>
      <c r="J2045" s="463"/>
      <c r="K2045" s="2"/>
    </row>
    <row r="2046" spans="1:11" hidden="1">
      <c r="A2046" s="559"/>
      <c r="H2046" s="515" t="s">
        <v>442</v>
      </c>
      <c r="I2046" s="2"/>
      <c r="J2046" s="463"/>
      <c r="K2046" s="2"/>
    </row>
    <row r="2047" spans="1:11" hidden="1">
      <c r="A2047" s="559"/>
      <c r="F2047" s="519">
        <v>50</v>
      </c>
      <c r="G2047" s="518" t="s">
        <v>2342</v>
      </c>
      <c r="H2047" s="509" t="s">
        <v>4260</v>
      </c>
      <c r="I2047" s="492">
        <f>(C203)</f>
        <v>40</v>
      </c>
      <c r="J2047" s="500" t="s">
        <v>2342</v>
      </c>
      <c r="K2047" s="492">
        <f t="shared" ref="K2047:K2056" si="67">(F2047*I2047)</f>
        <v>2000</v>
      </c>
    </row>
    <row r="2048" spans="1:11" hidden="1">
      <c r="A2048" s="559"/>
      <c r="F2048" s="519">
        <v>21.6</v>
      </c>
      <c r="G2048" s="518" t="s">
        <v>2334</v>
      </c>
      <c r="H2048" s="509" t="s">
        <v>4261</v>
      </c>
      <c r="I2048" s="492">
        <f>(C61*2)</f>
        <v>50</v>
      </c>
      <c r="J2048" s="500" t="s">
        <v>2334</v>
      </c>
      <c r="K2048" s="492">
        <f t="shared" si="67"/>
        <v>1080</v>
      </c>
    </row>
    <row r="2049" spans="1:11" hidden="1">
      <c r="A2049" s="559"/>
      <c r="F2049" s="519">
        <v>21.6</v>
      </c>
      <c r="G2049" s="518" t="s">
        <v>2334</v>
      </c>
      <c r="H2049" s="509" t="s">
        <v>4194</v>
      </c>
      <c r="I2049" s="492">
        <f>(C26)</f>
        <v>8.8000000000000007</v>
      </c>
      <c r="J2049" s="500" t="s">
        <v>2334</v>
      </c>
      <c r="K2049" s="492">
        <f t="shared" si="67"/>
        <v>190.08000000000004</v>
      </c>
    </row>
    <row r="2050" spans="1:11" hidden="1">
      <c r="A2050" s="559"/>
      <c r="F2050" s="519">
        <v>45</v>
      </c>
      <c r="G2050" s="518" t="s">
        <v>40</v>
      </c>
      <c r="H2050" s="509" t="s">
        <v>2517</v>
      </c>
      <c r="I2050" s="492">
        <f>(C67/1000)</f>
        <v>3.8</v>
      </c>
      <c r="J2050" s="500" t="s">
        <v>40</v>
      </c>
      <c r="K2050" s="492">
        <f t="shared" si="67"/>
        <v>171</v>
      </c>
    </row>
    <row r="2051" spans="1:11" hidden="1">
      <c r="A2051" s="559"/>
      <c r="F2051" s="519">
        <v>0.04</v>
      </c>
      <c r="G2051" s="518" t="s">
        <v>2334</v>
      </c>
      <c r="H2051" s="509" t="s">
        <v>2525</v>
      </c>
      <c r="I2051" s="492" t="e">
        <f>(C78)</f>
        <v>#REF!</v>
      </c>
      <c r="J2051" s="500" t="s">
        <v>2334</v>
      </c>
      <c r="K2051" s="492" t="e">
        <f t="shared" si="67"/>
        <v>#REF!</v>
      </c>
    </row>
    <row r="2052" spans="1:11" hidden="1">
      <c r="A2052" s="559"/>
      <c r="F2052" s="519">
        <v>3.63</v>
      </c>
      <c r="G2052" s="518" t="s">
        <v>40</v>
      </c>
      <c r="H2052" s="509" t="s">
        <v>4262</v>
      </c>
      <c r="I2052" s="492">
        <f>(C585)</f>
        <v>7</v>
      </c>
      <c r="J2052" s="500" t="s">
        <v>40</v>
      </c>
      <c r="K2052" s="492">
        <f t="shared" si="67"/>
        <v>25.41</v>
      </c>
    </row>
    <row r="2053" spans="1:11" hidden="1">
      <c r="A2053" s="559"/>
      <c r="F2053" s="519">
        <v>2</v>
      </c>
      <c r="G2053" s="518" t="s">
        <v>2342</v>
      </c>
      <c r="H2053" s="509" t="s">
        <v>2353</v>
      </c>
      <c r="I2053" s="492">
        <f>(C10)</f>
        <v>150</v>
      </c>
      <c r="J2053" s="500" t="s">
        <v>2342</v>
      </c>
      <c r="K2053" s="492">
        <f t="shared" si="67"/>
        <v>300</v>
      </c>
    </row>
    <row r="2054" spans="1:11" hidden="1">
      <c r="A2054" s="559"/>
      <c r="F2054" s="519">
        <v>1</v>
      </c>
      <c r="G2054" s="518" t="s">
        <v>2342</v>
      </c>
      <c r="H2054" s="509" t="s">
        <v>4263</v>
      </c>
      <c r="I2054" s="492">
        <f>AE37</f>
        <v>120</v>
      </c>
      <c r="J2054" s="500" t="s">
        <v>2342</v>
      </c>
      <c r="K2054" s="492">
        <f t="shared" si="67"/>
        <v>120</v>
      </c>
    </row>
    <row r="2055" spans="1:11" hidden="1">
      <c r="A2055" s="559"/>
      <c r="F2055" s="519">
        <v>5</v>
      </c>
      <c r="G2055" s="518" t="s">
        <v>2342</v>
      </c>
      <c r="H2055" s="509" t="s">
        <v>2344</v>
      </c>
      <c r="I2055" s="492">
        <f>(C12)</f>
        <v>95</v>
      </c>
      <c r="J2055" s="500" t="s">
        <v>2342</v>
      </c>
      <c r="K2055" s="492">
        <f t="shared" si="67"/>
        <v>475</v>
      </c>
    </row>
    <row r="2056" spans="1:11" hidden="1">
      <c r="A2056" s="559"/>
      <c r="F2056" s="519">
        <v>2</v>
      </c>
      <c r="G2056" s="518" t="s">
        <v>2342</v>
      </c>
      <c r="H2056" s="509" t="s">
        <v>2345</v>
      </c>
      <c r="I2056" s="492">
        <f>(C13)</f>
        <v>85</v>
      </c>
      <c r="J2056" s="500" t="s">
        <v>2342</v>
      </c>
      <c r="K2056" s="492">
        <f t="shared" si="67"/>
        <v>170</v>
      </c>
    </row>
    <row r="2057" spans="1:11" hidden="1">
      <c r="A2057" s="559"/>
      <c r="G2057" s="518" t="s">
        <v>2346</v>
      </c>
      <c r="H2057" s="509" t="s">
        <v>4264</v>
      </c>
      <c r="I2057" s="2"/>
      <c r="J2057" s="500" t="s">
        <v>2346</v>
      </c>
      <c r="K2057" s="492">
        <f>SUM(K2053:K2056)/10</f>
        <v>106.5</v>
      </c>
    </row>
    <row r="2058" spans="1:11" hidden="1">
      <c r="A2058" s="559"/>
      <c r="I2058" s="2"/>
      <c r="J2058" s="463"/>
      <c r="K2058" s="491" t="s">
        <v>442</v>
      </c>
    </row>
    <row r="2059" spans="1:11" hidden="1">
      <c r="A2059" s="559"/>
      <c r="H2059" s="509" t="s">
        <v>4265</v>
      </c>
      <c r="I2059" s="2"/>
      <c r="J2059" s="463"/>
      <c r="K2059" s="492" t="e">
        <f>SUM(K2047:K2057)</f>
        <v>#REF!</v>
      </c>
    </row>
    <row r="2060" spans="1:11" hidden="1">
      <c r="A2060" s="559"/>
      <c r="I2060" s="2"/>
      <c r="J2060" s="463"/>
      <c r="K2060" s="491" t="s">
        <v>442</v>
      </c>
    </row>
    <row r="2061" spans="1:11" hidden="1">
      <c r="A2061" s="559"/>
      <c r="H2061" s="509" t="s">
        <v>4266</v>
      </c>
      <c r="I2061" s="2"/>
      <c r="J2061" s="463"/>
      <c r="K2061" s="492" t="e">
        <f>(K2059/30)</f>
        <v>#REF!</v>
      </c>
    </row>
    <row r="2062" spans="1:11" hidden="1">
      <c r="A2062" s="559"/>
      <c r="I2062" s="2"/>
      <c r="J2062" s="463"/>
      <c r="K2062" s="491" t="s">
        <v>29</v>
      </c>
    </row>
    <row r="2063" spans="1:11" hidden="1">
      <c r="A2063" s="559"/>
      <c r="I2063" s="2"/>
      <c r="J2063" s="463"/>
      <c r="K2063" s="2"/>
    </row>
    <row r="2064" spans="1:11" hidden="1">
      <c r="A2064" s="559"/>
      <c r="F2064" s="510" t="s">
        <v>4267</v>
      </c>
      <c r="G2064" s="518" t="s">
        <v>575</v>
      </c>
      <c r="H2064" s="509" t="s">
        <v>4268</v>
      </c>
      <c r="I2064" s="2"/>
      <c r="J2064" s="463"/>
      <c r="K2064" s="2"/>
    </row>
    <row r="2065" spans="1:11" hidden="1">
      <c r="A2065" s="559"/>
      <c r="H2065" s="509" t="s">
        <v>4259</v>
      </c>
      <c r="I2065" s="2"/>
      <c r="J2065" s="463"/>
      <c r="K2065" s="2"/>
    </row>
    <row r="2066" spans="1:11" hidden="1">
      <c r="A2066" s="559"/>
      <c r="H2066" s="515" t="s">
        <v>442</v>
      </c>
      <c r="I2066" s="2"/>
      <c r="J2066" s="463"/>
      <c r="K2066" s="2"/>
    </row>
    <row r="2067" spans="1:11" hidden="1">
      <c r="A2067" s="559"/>
      <c r="F2067" s="519">
        <v>50</v>
      </c>
      <c r="G2067" s="518" t="s">
        <v>2342</v>
      </c>
      <c r="H2067" s="509" t="s">
        <v>4269</v>
      </c>
      <c r="I2067" s="492">
        <f>C204</f>
        <v>65</v>
      </c>
      <c r="J2067" s="500" t="s">
        <v>2342</v>
      </c>
      <c r="K2067" s="492">
        <f t="shared" ref="K2067:K2076" si="68">(F2067*I2067)</f>
        <v>3250</v>
      </c>
    </row>
    <row r="2068" spans="1:11" hidden="1">
      <c r="A2068" s="559"/>
      <c r="F2068" s="519">
        <v>21.6</v>
      </c>
      <c r="G2068" s="518" t="s">
        <v>2334</v>
      </c>
      <c r="H2068" s="509" t="s">
        <v>4261</v>
      </c>
      <c r="I2068" s="492">
        <f>(C61*2)</f>
        <v>50</v>
      </c>
      <c r="J2068" s="500" t="s">
        <v>2334</v>
      </c>
      <c r="K2068" s="492">
        <f t="shared" si="68"/>
        <v>1080</v>
      </c>
    </row>
    <row r="2069" spans="1:11" hidden="1">
      <c r="A2069" s="559"/>
      <c r="F2069" s="519">
        <v>21.6</v>
      </c>
      <c r="G2069" s="518" t="s">
        <v>2334</v>
      </c>
      <c r="H2069" s="509" t="s">
        <v>4194</v>
      </c>
      <c r="I2069" s="492">
        <f>(C26)</f>
        <v>8.8000000000000007</v>
      </c>
      <c r="J2069" s="500" t="s">
        <v>2334</v>
      </c>
      <c r="K2069" s="492">
        <f t="shared" si="68"/>
        <v>190.08000000000004</v>
      </c>
    </row>
    <row r="2070" spans="1:11" hidden="1">
      <c r="A2070" s="559"/>
      <c r="F2070" s="519">
        <v>68</v>
      </c>
      <c r="G2070" s="518" t="s">
        <v>40</v>
      </c>
      <c r="H2070" s="509" t="s">
        <v>2517</v>
      </c>
      <c r="I2070" s="492">
        <f>(C67/1000)</f>
        <v>3.8</v>
      </c>
      <c r="J2070" s="500" t="s">
        <v>40</v>
      </c>
      <c r="K2070" s="492">
        <f t="shared" si="68"/>
        <v>258.39999999999998</v>
      </c>
    </row>
    <row r="2071" spans="1:11" hidden="1">
      <c r="A2071" s="559"/>
      <c r="F2071" s="519">
        <v>7.0000000000000007E-2</v>
      </c>
      <c r="G2071" s="518" t="s">
        <v>2334</v>
      </c>
      <c r="H2071" s="509" t="s">
        <v>2525</v>
      </c>
      <c r="I2071" s="492" t="e">
        <f>(C78)</f>
        <v>#REF!</v>
      </c>
      <c r="J2071" s="500" t="s">
        <v>2334</v>
      </c>
      <c r="K2071" s="492" t="e">
        <f t="shared" si="68"/>
        <v>#REF!</v>
      </c>
    </row>
    <row r="2072" spans="1:11" hidden="1">
      <c r="A2072" s="559"/>
      <c r="F2072" s="519">
        <v>5.45</v>
      </c>
      <c r="G2072" s="518" t="s">
        <v>40</v>
      </c>
      <c r="H2072" s="509" t="s">
        <v>4262</v>
      </c>
      <c r="I2072" s="492">
        <f>(C585)</f>
        <v>7</v>
      </c>
      <c r="J2072" s="500" t="s">
        <v>40</v>
      </c>
      <c r="K2072" s="492">
        <f t="shared" si="68"/>
        <v>38.15</v>
      </c>
    </row>
    <row r="2073" spans="1:11" hidden="1">
      <c r="A2073" s="559"/>
      <c r="F2073" s="519">
        <v>3</v>
      </c>
      <c r="G2073" s="518" t="s">
        <v>2342</v>
      </c>
      <c r="H2073" s="509" t="s">
        <v>2353</v>
      </c>
      <c r="I2073" s="492">
        <f>(C10)</f>
        <v>150</v>
      </c>
      <c r="J2073" s="500" t="s">
        <v>2342</v>
      </c>
      <c r="K2073" s="492">
        <f t="shared" si="68"/>
        <v>450</v>
      </c>
    </row>
    <row r="2074" spans="1:11" hidden="1">
      <c r="A2074" s="559"/>
      <c r="F2074" s="519">
        <v>2</v>
      </c>
      <c r="G2074" s="518" t="s">
        <v>2342</v>
      </c>
      <c r="H2074" s="509" t="s">
        <v>4263</v>
      </c>
      <c r="I2074" s="492">
        <f>AE37</f>
        <v>120</v>
      </c>
      <c r="J2074" s="500" t="s">
        <v>2342</v>
      </c>
      <c r="K2074" s="492">
        <f t="shared" si="68"/>
        <v>240</v>
      </c>
    </row>
    <row r="2075" spans="1:11" hidden="1">
      <c r="A2075" s="559"/>
      <c r="F2075" s="519">
        <v>6</v>
      </c>
      <c r="G2075" s="518" t="s">
        <v>2342</v>
      </c>
      <c r="H2075" s="509" t="s">
        <v>2344</v>
      </c>
      <c r="I2075" s="492">
        <f>(C12)</f>
        <v>95</v>
      </c>
      <c r="J2075" s="500" t="s">
        <v>2342</v>
      </c>
      <c r="K2075" s="492">
        <f t="shared" si="68"/>
        <v>570</v>
      </c>
    </row>
    <row r="2076" spans="1:11" hidden="1">
      <c r="A2076" s="559"/>
      <c r="F2076" s="519">
        <v>3</v>
      </c>
      <c r="G2076" s="518" t="s">
        <v>2342</v>
      </c>
      <c r="H2076" s="509" t="s">
        <v>2345</v>
      </c>
      <c r="I2076" s="492">
        <f>(C13)</f>
        <v>85</v>
      </c>
      <c r="J2076" s="500" t="s">
        <v>2342</v>
      </c>
      <c r="K2076" s="492">
        <f t="shared" si="68"/>
        <v>255</v>
      </c>
    </row>
    <row r="2077" spans="1:11" hidden="1">
      <c r="A2077" s="559"/>
      <c r="G2077" s="518" t="s">
        <v>2346</v>
      </c>
      <c r="H2077" s="509" t="s">
        <v>4264</v>
      </c>
      <c r="I2077" s="2"/>
      <c r="J2077" s="500" t="s">
        <v>2346</v>
      </c>
      <c r="K2077" s="492">
        <f>SUM(K2073:K2076)/10</f>
        <v>151.5</v>
      </c>
    </row>
    <row r="2078" spans="1:11" hidden="1">
      <c r="A2078" s="559"/>
      <c r="I2078" s="2"/>
      <c r="J2078" s="463"/>
      <c r="K2078" s="491" t="s">
        <v>442</v>
      </c>
    </row>
    <row r="2079" spans="1:11" hidden="1">
      <c r="A2079" s="559"/>
      <c r="H2079" s="509" t="s">
        <v>4265</v>
      </c>
      <c r="I2079" s="2"/>
      <c r="J2079" s="463"/>
      <c r="K2079" s="492" t="e">
        <f>SUM(K2067:K2077)</f>
        <v>#REF!</v>
      </c>
    </row>
    <row r="2080" spans="1:11" hidden="1">
      <c r="A2080" s="559"/>
      <c r="I2080" s="2"/>
      <c r="J2080" s="463"/>
      <c r="K2080" s="491" t="s">
        <v>442</v>
      </c>
    </row>
    <row r="2081" spans="1:11" hidden="1">
      <c r="A2081" s="559"/>
      <c r="H2081" s="509" t="s">
        <v>4266</v>
      </c>
      <c r="I2081" s="2"/>
      <c r="J2081" s="463"/>
      <c r="K2081" s="492" t="e">
        <f>(K2079/30)</f>
        <v>#REF!</v>
      </c>
    </row>
    <row r="2082" spans="1:11" hidden="1">
      <c r="A2082" s="559"/>
      <c r="I2082" s="2"/>
      <c r="J2082" s="463"/>
      <c r="K2082" s="491" t="s">
        <v>29</v>
      </c>
    </row>
    <row r="2083" spans="1:11" hidden="1">
      <c r="A2083" s="559"/>
      <c r="F2083" s="510" t="s">
        <v>4270</v>
      </c>
      <c r="G2083" s="518" t="s">
        <v>575</v>
      </c>
      <c r="H2083" s="509" t="s">
        <v>4258</v>
      </c>
      <c r="I2083" s="2"/>
      <c r="J2083" s="463"/>
      <c r="K2083" s="2"/>
    </row>
    <row r="2084" spans="1:11" hidden="1">
      <c r="A2084" s="559"/>
      <c r="H2084" s="509" t="s">
        <v>4271</v>
      </c>
      <c r="I2084" s="2"/>
      <c r="J2084" s="463"/>
      <c r="K2084" s="2"/>
    </row>
    <row r="2085" spans="1:11" hidden="1">
      <c r="A2085" s="559"/>
      <c r="H2085" s="515" t="s">
        <v>442</v>
      </c>
      <c r="I2085" s="2"/>
      <c r="J2085" s="463"/>
      <c r="K2085" s="2"/>
    </row>
    <row r="2086" spans="1:11" hidden="1">
      <c r="A2086" s="559"/>
      <c r="F2086" s="519">
        <v>50</v>
      </c>
      <c r="G2086" s="518" t="s">
        <v>2342</v>
      </c>
      <c r="H2086" s="509" t="s">
        <v>4272</v>
      </c>
      <c r="I2086" s="492">
        <f>C203</f>
        <v>40</v>
      </c>
      <c r="J2086" s="500" t="s">
        <v>2342</v>
      </c>
      <c r="K2086" s="492">
        <f>(F2086*I2086)</f>
        <v>2000</v>
      </c>
    </row>
    <row r="2087" spans="1:11" hidden="1">
      <c r="A2087" s="559"/>
      <c r="F2087" s="519">
        <v>1</v>
      </c>
      <c r="G2087" s="518" t="s">
        <v>2342</v>
      </c>
      <c r="H2087" s="509" t="s">
        <v>4263</v>
      </c>
      <c r="I2087" s="492">
        <f>AE37</f>
        <v>120</v>
      </c>
      <c r="J2087" s="500" t="s">
        <v>2342</v>
      </c>
      <c r="K2087" s="492">
        <f>(F2087*I2087)</f>
        <v>120</v>
      </c>
    </row>
    <row r="2088" spans="1:11" hidden="1">
      <c r="A2088" s="559"/>
      <c r="F2088" s="519">
        <v>5</v>
      </c>
      <c r="G2088" s="518" t="s">
        <v>2342</v>
      </c>
      <c r="H2088" s="509" t="s">
        <v>2344</v>
      </c>
      <c r="I2088" s="492">
        <f>C12</f>
        <v>95</v>
      </c>
      <c r="J2088" s="500" t="s">
        <v>2342</v>
      </c>
      <c r="K2088" s="492">
        <f>(F2088*I2088)</f>
        <v>475</v>
      </c>
    </row>
    <row r="2089" spans="1:11" hidden="1">
      <c r="A2089" s="559"/>
      <c r="I2089" s="2"/>
      <c r="J2089" s="463"/>
      <c r="K2089" s="491" t="s">
        <v>442</v>
      </c>
    </row>
    <row r="2090" spans="1:11" hidden="1">
      <c r="A2090" s="559"/>
      <c r="H2090" s="509" t="s">
        <v>4265</v>
      </c>
      <c r="I2090" s="2"/>
      <c r="J2090" s="463"/>
      <c r="K2090" s="492">
        <f>SUM(K2086:K2088)</f>
        <v>2595</v>
      </c>
    </row>
    <row r="2091" spans="1:11" hidden="1">
      <c r="A2091" s="559"/>
      <c r="F2091" s="509" t="s">
        <v>30</v>
      </c>
      <c r="I2091" s="2"/>
      <c r="J2091" s="463"/>
      <c r="K2091" s="491" t="s">
        <v>442</v>
      </c>
    </row>
    <row r="2092" spans="1:11" hidden="1">
      <c r="A2092" s="559"/>
      <c r="H2092" s="509" t="s">
        <v>4266</v>
      </c>
      <c r="I2092" s="2"/>
      <c r="J2092" s="463"/>
      <c r="K2092" s="492">
        <f>(K2090/30)</f>
        <v>86.5</v>
      </c>
    </row>
    <row r="2093" spans="1:11" hidden="1">
      <c r="A2093" s="559"/>
      <c r="F2093" s="509" t="s">
        <v>30</v>
      </c>
      <c r="I2093" s="2"/>
      <c r="J2093" s="463"/>
      <c r="K2093" s="2"/>
    </row>
    <row r="2094" spans="1:11" hidden="1">
      <c r="A2094" s="559"/>
      <c r="F2094" s="509" t="s">
        <v>30</v>
      </c>
      <c r="I2094" s="2"/>
      <c r="J2094" s="463"/>
      <c r="K2094" s="2"/>
    </row>
    <row r="2095" spans="1:11" hidden="1">
      <c r="A2095" s="559"/>
      <c r="I2095" s="2"/>
      <c r="J2095" s="463"/>
      <c r="K2095" s="491" t="s">
        <v>29</v>
      </c>
    </row>
    <row r="2096" spans="1:11" hidden="1">
      <c r="A2096" s="559"/>
      <c r="F2096" s="510" t="s">
        <v>4267</v>
      </c>
      <c r="G2096" s="518" t="s">
        <v>575</v>
      </c>
      <c r="H2096" s="509" t="s">
        <v>4268</v>
      </c>
      <c r="I2096" s="2"/>
      <c r="J2096" s="463"/>
      <c r="K2096" s="2"/>
    </row>
    <row r="2097" spans="1:11" hidden="1">
      <c r="A2097" s="559"/>
      <c r="H2097" s="519" t="str">
        <f>H2084</f>
        <v>DIA S.W.PIPE(LOOSE JOINTING)</v>
      </c>
      <c r="I2097" s="2"/>
      <c r="J2097" s="463"/>
      <c r="K2097" s="2"/>
    </row>
    <row r="2098" spans="1:11" hidden="1">
      <c r="A2098" s="559"/>
      <c r="H2098" s="515" t="s">
        <v>442</v>
      </c>
      <c r="I2098" s="2"/>
      <c r="J2098" s="463"/>
      <c r="K2098" s="2"/>
    </row>
    <row r="2099" spans="1:11" hidden="1">
      <c r="A2099" s="559"/>
      <c r="F2099" s="519">
        <v>50</v>
      </c>
      <c r="G2099" s="518" t="s">
        <v>2342</v>
      </c>
      <c r="H2099" s="509" t="s">
        <v>4273</v>
      </c>
      <c r="I2099" s="492">
        <f>C204</f>
        <v>65</v>
      </c>
      <c r="J2099" s="500" t="s">
        <v>2342</v>
      </c>
      <c r="K2099" s="492">
        <f>(F2099*I2099)</f>
        <v>3250</v>
      </c>
    </row>
    <row r="2100" spans="1:11" hidden="1">
      <c r="A2100" s="559"/>
      <c r="F2100" s="519">
        <v>2</v>
      </c>
      <c r="G2100" s="518" t="s">
        <v>2342</v>
      </c>
      <c r="H2100" s="509" t="s">
        <v>4263</v>
      </c>
      <c r="I2100" s="492">
        <f>AE37</f>
        <v>120</v>
      </c>
      <c r="J2100" s="500" t="s">
        <v>2342</v>
      </c>
      <c r="K2100" s="492">
        <f>(F2100*I2100)</f>
        <v>240</v>
      </c>
    </row>
    <row r="2101" spans="1:11" hidden="1">
      <c r="A2101" s="559"/>
      <c r="F2101" s="519">
        <v>6</v>
      </c>
      <c r="G2101" s="518" t="s">
        <v>2342</v>
      </c>
      <c r="H2101" s="509" t="s">
        <v>2344</v>
      </c>
      <c r="I2101" s="492">
        <f>C12</f>
        <v>95</v>
      </c>
      <c r="J2101" s="500" t="s">
        <v>2342</v>
      </c>
      <c r="K2101" s="492">
        <f>(F2101*I2101)</f>
        <v>570</v>
      </c>
    </row>
    <row r="2102" spans="1:11" hidden="1">
      <c r="A2102" s="559"/>
      <c r="I2102" s="2"/>
      <c r="J2102" s="463"/>
      <c r="K2102" s="491" t="s">
        <v>442</v>
      </c>
    </row>
    <row r="2103" spans="1:11" hidden="1">
      <c r="A2103" s="559"/>
      <c r="H2103" s="509" t="s">
        <v>4265</v>
      </c>
      <c r="I2103" s="2"/>
      <c r="J2103" s="463"/>
      <c r="K2103" s="492">
        <f>SUM(K2099:K2101)</f>
        <v>4060</v>
      </c>
    </row>
    <row r="2104" spans="1:11" hidden="1">
      <c r="A2104" s="559"/>
      <c r="I2104" s="2"/>
      <c r="J2104" s="463"/>
      <c r="K2104" s="491" t="s">
        <v>442</v>
      </c>
    </row>
    <row r="2105" spans="1:11" hidden="1">
      <c r="A2105" s="559"/>
      <c r="H2105" s="509" t="s">
        <v>4266</v>
      </c>
      <c r="I2105" s="2"/>
      <c r="J2105" s="463"/>
      <c r="K2105" s="492">
        <f>(K2103/30)</f>
        <v>135.33333333333334</v>
      </c>
    </row>
    <row r="2106" spans="1:11" hidden="1">
      <c r="A2106" s="559"/>
      <c r="I2106" s="2"/>
      <c r="J2106" s="463"/>
      <c r="K2106" s="491" t="s">
        <v>29</v>
      </c>
    </row>
    <row r="2107" spans="1:11" hidden="1">
      <c r="A2107" s="559"/>
      <c r="H2107" s="510" t="s">
        <v>4274</v>
      </c>
      <c r="I2107" s="2"/>
      <c r="J2107" s="463"/>
      <c r="K2107" s="492">
        <f>SUM(K2104:K2105)</f>
        <v>135.33333333333334</v>
      </c>
    </row>
    <row r="2108" spans="1:11" hidden="1">
      <c r="A2108" s="559"/>
      <c r="I2108" s="2"/>
      <c r="J2108" s="463"/>
      <c r="K2108" s="491" t="s">
        <v>29</v>
      </c>
    </row>
    <row r="2109" spans="1:11" hidden="1">
      <c r="A2109" s="559"/>
      <c r="F2109" s="510" t="s">
        <v>4275</v>
      </c>
      <c r="G2109" s="518" t="s">
        <v>575</v>
      </c>
      <c r="H2109" s="509" t="s">
        <v>4258</v>
      </c>
      <c r="I2109" s="2"/>
      <c r="J2109" s="463"/>
      <c r="K2109" s="2"/>
    </row>
    <row r="2110" spans="1:11" hidden="1">
      <c r="A2110" s="559"/>
      <c r="H2110" s="509" t="s">
        <v>4276</v>
      </c>
      <c r="I2110" s="2"/>
      <c r="J2110" s="463"/>
      <c r="K2110" s="2"/>
    </row>
    <row r="2111" spans="1:11" hidden="1">
      <c r="A2111" s="559"/>
      <c r="H2111" s="515" t="s">
        <v>442</v>
      </c>
      <c r="I2111" s="2"/>
      <c r="J2111" s="463"/>
      <c r="K2111" s="2"/>
    </row>
    <row r="2112" spans="1:11" hidden="1">
      <c r="A2112" s="559"/>
      <c r="F2112" s="519">
        <v>1</v>
      </c>
      <c r="G2112" s="518" t="s">
        <v>2342</v>
      </c>
      <c r="H2112" s="509" t="s">
        <v>4277</v>
      </c>
      <c r="I2112" s="492">
        <f>C205</f>
        <v>65</v>
      </c>
      <c r="J2112" s="500" t="s">
        <v>2342</v>
      </c>
      <c r="K2112" s="492">
        <f>(F2112*I2112)</f>
        <v>65</v>
      </c>
    </row>
    <row r="2113" spans="1:11" hidden="1">
      <c r="A2113" s="559"/>
      <c r="F2113" s="509" t="s">
        <v>30</v>
      </c>
      <c r="H2113" s="509" t="s">
        <v>4278</v>
      </c>
      <c r="I2113" s="2"/>
      <c r="J2113" s="463"/>
      <c r="K2113" s="2"/>
    </row>
    <row r="2114" spans="1:11" hidden="1">
      <c r="A2114" s="559"/>
      <c r="F2114" s="509" t="s">
        <v>30</v>
      </c>
      <c r="H2114" s="509" t="s">
        <v>4279</v>
      </c>
      <c r="I2114" s="500" t="s">
        <v>2346</v>
      </c>
      <c r="J2114" s="463"/>
      <c r="K2114" s="492">
        <v>2.5</v>
      </c>
    </row>
    <row r="2115" spans="1:11" hidden="1">
      <c r="A2115" s="559"/>
      <c r="I2115" s="2"/>
      <c r="J2115" s="463"/>
      <c r="K2115" s="491" t="s">
        <v>442</v>
      </c>
    </row>
    <row r="2116" spans="1:11" hidden="1">
      <c r="A2116" s="559"/>
      <c r="H2116" s="509" t="s">
        <v>4265</v>
      </c>
      <c r="I2116" s="2"/>
      <c r="J2116" s="463"/>
      <c r="K2116" s="492">
        <f>SUM(K2112:K2114)</f>
        <v>67.5</v>
      </c>
    </row>
    <row r="2117" spans="1:11" hidden="1">
      <c r="A2117" s="559"/>
      <c r="F2117" s="510" t="s">
        <v>4275</v>
      </c>
      <c r="G2117" s="518" t="s">
        <v>575</v>
      </c>
      <c r="H2117" s="509" t="s">
        <v>4268</v>
      </c>
      <c r="I2117" s="2"/>
      <c r="J2117" s="463"/>
      <c r="K2117" s="491" t="s">
        <v>442</v>
      </c>
    </row>
    <row r="2118" spans="1:11" hidden="1">
      <c r="A2118" s="559"/>
      <c r="H2118" s="509" t="s">
        <v>4276</v>
      </c>
      <c r="I2118" s="2"/>
      <c r="J2118" s="463"/>
      <c r="K2118" s="492"/>
    </row>
    <row r="2119" spans="1:11" hidden="1">
      <c r="A2119" s="559"/>
      <c r="H2119" s="515" t="s">
        <v>442</v>
      </c>
      <c r="I2119" s="2"/>
      <c r="J2119" s="463"/>
      <c r="K2119" s="491" t="s">
        <v>442</v>
      </c>
    </row>
    <row r="2120" spans="1:11" hidden="1">
      <c r="A2120" s="559"/>
      <c r="F2120" s="511">
        <v>1</v>
      </c>
      <c r="G2120" s="512" t="s">
        <v>2359</v>
      </c>
      <c r="H2120" s="509" t="s">
        <v>4280</v>
      </c>
      <c r="I2120" s="2"/>
      <c r="J2120" s="463" t="s">
        <v>5</v>
      </c>
      <c r="K2120" s="492">
        <v>92.5</v>
      </c>
    </row>
    <row r="2121" spans="1:11" hidden="1">
      <c r="A2121" s="559"/>
      <c r="I2121" s="2"/>
      <c r="J2121" s="463"/>
      <c r="K2121" s="491" t="s">
        <v>442</v>
      </c>
    </row>
    <row r="2122" spans="1:11" hidden="1">
      <c r="A2122" s="559"/>
      <c r="F2122" s="510" t="s">
        <v>4281</v>
      </c>
      <c r="G2122" s="518" t="s">
        <v>575</v>
      </c>
      <c r="H2122" s="509" t="s">
        <v>4258</v>
      </c>
      <c r="I2122" s="2"/>
      <c r="J2122" s="463"/>
      <c r="K2122" s="2"/>
    </row>
    <row r="2123" spans="1:11" hidden="1">
      <c r="A2123" s="559"/>
      <c r="H2123" s="509" t="s">
        <v>4282</v>
      </c>
      <c r="I2123" s="2"/>
      <c r="J2123" s="463"/>
      <c r="K2123" s="2"/>
    </row>
    <row r="2124" spans="1:11" hidden="1">
      <c r="A2124" s="559"/>
      <c r="H2124" s="515" t="s">
        <v>442</v>
      </c>
      <c r="I2124" s="2"/>
      <c r="J2124" s="463"/>
      <c r="K2124" s="2"/>
    </row>
    <row r="2125" spans="1:11" hidden="1">
      <c r="A2125" s="559"/>
      <c r="F2125" s="519">
        <v>1</v>
      </c>
      <c r="G2125" s="518" t="s">
        <v>2342</v>
      </c>
      <c r="H2125" s="509" t="s">
        <v>4283</v>
      </c>
      <c r="I2125" s="492">
        <f>C202</f>
        <v>75</v>
      </c>
      <c r="J2125" s="500" t="s">
        <v>2342</v>
      </c>
      <c r="K2125" s="492">
        <f>(F2125*I2125)</f>
        <v>75</v>
      </c>
    </row>
    <row r="2126" spans="1:11" hidden="1">
      <c r="A2126" s="559"/>
      <c r="F2126" s="509" t="s">
        <v>30</v>
      </c>
      <c r="H2126" s="509" t="s">
        <v>4278</v>
      </c>
      <c r="I2126" s="2"/>
      <c r="J2126" s="463"/>
      <c r="K2126" s="2"/>
    </row>
    <row r="2127" spans="1:11" hidden="1">
      <c r="A2127" s="559"/>
      <c r="F2127" s="509" t="s">
        <v>30</v>
      </c>
      <c r="H2127" s="509" t="s">
        <v>4279</v>
      </c>
      <c r="I2127" s="500" t="s">
        <v>2346</v>
      </c>
      <c r="J2127" s="463"/>
      <c r="K2127" s="492">
        <v>3</v>
      </c>
    </row>
    <row r="2128" spans="1:11" hidden="1">
      <c r="A2128" s="559"/>
      <c r="I2128" s="2"/>
      <c r="J2128" s="463"/>
      <c r="K2128" s="491" t="s">
        <v>442</v>
      </c>
    </row>
    <row r="2129" spans="1:11" hidden="1">
      <c r="A2129" s="559"/>
      <c r="H2129" s="509" t="s">
        <v>4265</v>
      </c>
      <c r="I2129" s="2"/>
      <c r="J2129" s="463"/>
      <c r="K2129" s="492">
        <f>SUM(K2125:K2127)</f>
        <v>78</v>
      </c>
    </row>
    <row r="2130" spans="1:11" hidden="1">
      <c r="A2130" s="559"/>
      <c r="I2130" s="2"/>
      <c r="J2130" s="463"/>
      <c r="K2130" s="491" t="s">
        <v>442</v>
      </c>
    </row>
    <row r="2131" spans="1:11" hidden="1">
      <c r="A2131" s="559"/>
      <c r="I2131" s="2"/>
      <c r="J2131" s="463"/>
      <c r="K2131" s="2"/>
    </row>
    <row r="2132" spans="1:11" hidden="1">
      <c r="A2132" s="559"/>
      <c r="F2132" s="510" t="s">
        <v>4284</v>
      </c>
      <c r="G2132" s="518" t="s">
        <v>575</v>
      </c>
      <c r="H2132" s="509" t="s">
        <v>4268</v>
      </c>
      <c r="I2132" s="2"/>
      <c r="J2132" s="463"/>
      <c r="K2132" s="2"/>
    </row>
    <row r="2133" spans="1:11" hidden="1">
      <c r="A2133" s="559"/>
      <c r="H2133" s="509" t="s">
        <v>4282</v>
      </c>
      <c r="I2133" s="2"/>
      <c r="J2133" s="463"/>
      <c r="K2133" s="2"/>
    </row>
    <row r="2134" spans="1:11" hidden="1">
      <c r="A2134" s="559"/>
      <c r="H2134" s="515" t="s">
        <v>442</v>
      </c>
      <c r="I2134" s="2"/>
      <c r="J2134" s="463"/>
      <c r="K2134" s="2"/>
    </row>
    <row r="2135" spans="1:11" hidden="1">
      <c r="A2135" s="559"/>
      <c r="F2135" s="519">
        <v>1</v>
      </c>
      <c r="G2135" s="518" t="s">
        <v>2342</v>
      </c>
      <c r="H2135" s="509" t="s">
        <v>4285</v>
      </c>
      <c r="I2135" s="492">
        <f>C207</f>
        <v>100</v>
      </c>
      <c r="J2135" s="500" t="s">
        <v>2342</v>
      </c>
      <c r="K2135" s="492">
        <f>(F2135*I2135)</f>
        <v>100</v>
      </c>
    </row>
    <row r="2136" spans="1:11" hidden="1">
      <c r="A2136" s="559"/>
      <c r="F2136" s="509" t="s">
        <v>30</v>
      </c>
      <c r="H2136" s="509" t="s">
        <v>4278</v>
      </c>
      <c r="I2136" s="2"/>
      <c r="J2136" s="463"/>
      <c r="K2136" s="2"/>
    </row>
    <row r="2137" spans="1:11" hidden="1">
      <c r="A2137" s="559"/>
      <c r="F2137" s="509" t="s">
        <v>30</v>
      </c>
      <c r="H2137" s="509" t="s">
        <v>4279</v>
      </c>
      <c r="I2137" s="500" t="s">
        <v>2346</v>
      </c>
      <c r="J2137" s="463"/>
      <c r="K2137" s="492">
        <v>3</v>
      </c>
    </row>
    <row r="2138" spans="1:11" hidden="1">
      <c r="A2138" s="559"/>
      <c r="I2138" s="2"/>
      <c r="J2138" s="463"/>
      <c r="K2138" s="491" t="s">
        <v>442</v>
      </c>
    </row>
    <row r="2139" spans="1:11" hidden="1">
      <c r="A2139" s="559"/>
      <c r="H2139" s="509" t="s">
        <v>4265</v>
      </c>
      <c r="I2139" s="2"/>
      <c r="J2139" s="463"/>
      <c r="K2139" s="492">
        <f>SUM(K2135:K2137)</f>
        <v>103</v>
      </c>
    </row>
    <row r="2140" spans="1:11" hidden="1">
      <c r="A2140" s="559"/>
      <c r="I2140" s="2"/>
      <c r="J2140" s="463"/>
      <c r="K2140" s="491" t="s">
        <v>442</v>
      </c>
    </row>
    <row r="2141" spans="1:11" hidden="1">
      <c r="A2141" s="559"/>
      <c r="F2141" s="510" t="s">
        <v>4286</v>
      </c>
      <c r="H2141" s="509" t="s">
        <v>4287</v>
      </c>
      <c r="I2141" s="2"/>
      <c r="J2141" s="463"/>
      <c r="K2141" s="2"/>
    </row>
    <row r="2142" spans="1:11" hidden="1">
      <c r="A2142" s="559"/>
      <c r="H2142" s="509" t="s">
        <v>4288</v>
      </c>
      <c r="I2142" s="2"/>
      <c r="J2142" s="463"/>
      <c r="K2142" s="2"/>
    </row>
    <row r="2143" spans="1:11" hidden="1">
      <c r="A2143" s="559"/>
      <c r="H2143" s="515" t="s">
        <v>442</v>
      </c>
      <c r="I2143" s="2"/>
      <c r="J2143" s="463"/>
      <c r="K2143" s="2"/>
    </row>
    <row r="2144" spans="1:11" hidden="1">
      <c r="A2144" s="559"/>
      <c r="F2144" s="519">
        <v>2.5</v>
      </c>
      <c r="G2144" s="518" t="s">
        <v>4289</v>
      </c>
      <c r="H2144" s="509" t="s">
        <v>4287</v>
      </c>
      <c r="I2144" s="492">
        <f>C566</f>
        <v>28.5</v>
      </c>
      <c r="J2144" s="500">
        <v>2.5</v>
      </c>
      <c r="K2144" s="492">
        <f>(F2144*I2144)/F2144</f>
        <v>28.5</v>
      </c>
    </row>
    <row r="2145" spans="1:11" hidden="1">
      <c r="A2145" s="559"/>
      <c r="H2145" s="509" t="s">
        <v>4290</v>
      </c>
      <c r="I2145" s="2"/>
      <c r="J2145" s="500" t="s">
        <v>4289</v>
      </c>
      <c r="K2145" s="2"/>
    </row>
    <row r="2146" spans="1:11" hidden="1">
      <c r="A2146" s="559"/>
      <c r="G2146" s="518" t="s">
        <v>2346</v>
      </c>
      <c r="H2146" s="509" t="s">
        <v>4291</v>
      </c>
      <c r="I2146" s="2"/>
      <c r="J2146" s="500" t="s">
        <v>2346</v>
      </c>
      <c r="K2146" s="492">
        <v>1.5</v>
      </c>
    </row>
    <row r="2147" spans="1:11" hidden="1">
      <c r="A2147" s="559"/>
      <c r="I2147" s="2"/>
      <c r="J2147" s="463"/>
      <c r="K2147" s="491" t="s">
        <v>442</v>
      </c>
    </row>
    <row r="2148" spans="1:11" hidden="1">
      <c r="A2148" s="559"/>
      <c r="H2148" s="510" t="s">
        <v>4274</v>
      </c>
      <c r="I2148" s="2"/>
      <c r="J2148" s="463"/>
      <c r="K2148" s="492">
        <f>SUM(K2144:K2146)</f>
        <v>30</v>
      </c>
    </row>
    <row r="2149" spans="1:11" hidden="1">
      <c r="A2149" s="559"/>
      <c r="I2149" s="2"/>
      <c r="J2149" s="463"/>
      <c r="K2149" s="491" t="s">
        <v>29</v>
      </c>
    </row>
    <row r="2150" spans="1:11" hidden="1">
      <c r="A2150" s="559"/>
      <c r="I2150" s="2"/>
      <c r="J2150" s="463"/>
      <c r="K2150" s="2"/>
    </row>
    <row r="2151" spans="1:11" hidden="1">
      <c r="A2151" s="559"/>
      <c r="F2151" s="510" t="s">
        <v>4292</v>
      </c>
      <c r="G2151" s="518" t="s">
        <v>575</v>
      </c>
      <c r="H2151" s="509" t="s">
        <v>4293</v>
      </c>
      <c r="I2151" s="2"/>
      <c r="J2151" s="463"/>
      <c r="K2151" s="2"/>
    </row>
    <row r="2152" spans="1:11" hidden="1">
      <c r="A2152" s="559"/>
      <c r="H2152" s="509" t="s">
        <v>4294</v>
      </c>
      <c r="I2152" s="2"/>
      <c r="J2152" s="463"/>
      <c r="K2152" s="2"/>
    </row>
    <row r="2153" spans="1:11" hidden="1">
      <c r="A2153" s="559"/>
      <c r="H2153" s="509" t="s">
        <v>4295</v>
      </c>
      <c r="I2153" s="2"/>
      <c r="J2153" s="463"/>
      <c r="K2153" s="2"/>
    </row>
    <row r="2154" spans="1:11" hidden="1">
      <c r="A2154" s="559"/>
      <c r="H2154" s="509" t="s">
        <v>4296</v>
      </c>
      <c r="I2154" s="2"/>
      <c r="J2154" s="463"/>
      <c r="K2154" s="2"/>
    </row>
    <row r="2155" spans="1:11" hidden="1">
      <c r="A2155" s="559"/>
      <c r="H2155" s="509" t="s">
        <v>4297</v>
      </c>
      <c r="I2155" s="2"/>
      <c r="J2155" s="463"/>
      <c r="K2155" s="2"/>
    </row>
    <row r="2156" spans="1:11" hidden="1">
      <c r="A2156" s="559"/>
      <c r="H2156" s="509" t="s">
        <v>4298</v>
      </c>
      <c r="I2156" s="2"/>
      <c r="J2156" s="463"/>
      <c r="K2156" s="2"/>
    </row>
    <row r="2157" spans="1:11" hidden="1">
      <c r="A2157" s="559"/>
      <c r="H2157" s="509" t="s">
        <v>4299</v>
      </c>
      <c r="I2157" s="2"/>
      <c r="J2157" s="463"/>
      <c r="K2157" s="2"/>
    </row>
    <row r="2158" spans="1:11" hidden="1">
      <c r="A2158" s="559"/>
      <c r="H2158" s="509" t="s">
        <v>4300</v>
      </c>
      <c r="I2158" s="2"/>
      <c r="J2158" s="463"/>
      <c r="K2158" s="2"/>
    </row>
    <row r="2159" spans="1:11" hidden="1">
      <c r="A2159" s="559"/>
      <c r="H2159" s="509" t="s">
        <v>4301</v>
      </c>
      <c r="I2159" s="2"/>
      <c r="J2159" s="463"/>
      <c r="K2159" s="2"/>
    </row>
    <row r="2160" spans="1:11" hidden="1">
      <c r="A2160" s="559"/>
      <c r="H2160" s="509" t="s">
        <v>4302</v>
      </c>
      <c r="I2160" s="2"/>
      <c r="J2160" s="463"/>
      <c r="K2160" s="2"/>
    </row>
    <row r="2161" spans="1:11" hidden="1">
      <c r="A2161" s="559"/>
      <c r="H2161" s="509" t="s">
        <v>4303</v>
      </c>
      <c r="I2161" s="2"/>
      <c r="J2161" s="463"/>
      <c r="K2161" s="2"/>
    </row>
    <row r="2162" spans="1:11" hidden="1">
      <c r="A2162" s="559"/>
      <c r="H2162" s="509" t="s">
        <v>4304</v>
      </c>
      <c r="I2162" s="2"/>
      <c r="J2162" s="463"/>
      <c r="K2162" s="2"/>
    </row>
    <row r="2163" spans="1:11" hidden="1">
      <c r="A2163" s="559"/>
      <c r="H2163" s="515" t="s">
        <v>442</v>
      </c>
      <c r="I2163" s="491" t="s">
        <v>442</v>
      </c>
      <c r="J2163" s="463"/>
      <c r="K2163" s="2"/>
    </row>
    <row r="2164" spans="1:11" hidden="1">
      <c r="A2164" s="559"/>
      <c r="F2164" s="509" t="s">
        <v>30</v>
      </c>
      <c r="I2164" s="2"/>
      <c r="J2164" s="463"/>
      <c r="K2164" s="2"/>
    </row>
    <row r="2165" spans="1:11" hidden="1">
      <c r="A2165" s="559"/>
      <c r="F2165" s="542">
        <v>1.7399999999999999E-2</v>
      </c>
      <c r="G2165" s="518" t="s">
        <v>19</v>
      </c>
      <c r="H2165" s="509" t="s">
        <v>4305</v>
      </c>
      <c r="I2165" s="492">
        <f>C86</f>
        <v>20605</v>
      </c>
      <c r="J2165" s="500" t="s">
        <v>19</v>
      </c>
      <c r="K2165" s="492">
        <f t="shared" ref="K2165:K2172" si="69">F2165*I2165</f>
        <v>358.52699999999999</v>
      </c>
    </row>
    <row r="2166" spans="1:11" hidden="1">
      <c r="A2166" s="559"/>
      <c r="F2166" s="542">
        <v>2.93E-2</v>
      </c>
      <c r="G2166" s="518" t="s">
        <v>19</v>
      </c>
      <c r="H2166" s="509" t="s">
        <v>4306</v>
      </c>
      <c r="I2166" s="492">
        <f>C87</f>
        <v>23685</v>
      </c>
      <c r="J2166" s="500" t="s">
        <v>19</v>
      </c>
      <c r="K2166" s="492">
        <f t="shared" si="69"/>
        <v>693.97050000000002</v>
      </c>
    </row>
    <row r="2167" spans="1:11" hidden="1">
      <c r="A2167" s="559"/>
      <c r="F2167" s="542">
        <v>1.093</v>
      </c>
      <c r="G2167" s="518" t="s">
        <v>26</v>
      </c>
      <c r="H2167" s="509" t="s">
        <v>4307</v>
      </c>
      <c r="I2167" s="545">
        <f>C198</f>
        <v>212</v>
      </c>
      <c r="J2167" s="500" t="s">
        <v>26</v>
      </c>
      <c r="K2167" s="492">
        <f t="shared" si="69"/>
        <v>231.71600000000001</v>
      </c>
    </row>
    <row r="2168" spans="1:11" hidden="1">
      <c r="A2168" s="559"/>
      <c r="F2168" s="519">
        <v>6</v>
      </c>
      <c r="G2168" s="518" t="s">
        <v>2403</v>
      </c>
      <c r="H2168" s="509" t="s">
        <v>4308</v>
      </c>
      <c r="I2168" s="492">
        <f>C296</f>
        <v>3.25</v>
      </c>
      <c r="J2168" s="500" t="s">
        <v>556</v>
      </c>
      <c r="K2168" s="492">
        <f t="shared" si="69"/>
        <v>19.5</v>
      </c>
    </row>
    <row r="2169" spans="1:11" hidden="1">
      <c r="A2169" s="559"/>
      <c r="F2169" s="519">
        <v>1</v>
      </c>
      <c r="G2169" s="518" t="s">
        <v>2403</v>
      </c>
      <c r="H2169" s="509" t="s">
        <v>4309</v>
      </c>
      <c r="I2169" s="492">
        <f>C286</f>
        <v>80</v>
      </c>
      <c r="J2169" s="500" t="s">
        <v>556</v>
      </c>
      <c r="K2169" s="492">
        <f t="shared" si="69"/>
        <v>80</v>
      </c>
    </row>
    <row r="2170" spans="1:11" hidden="1">
      <c r="A2170" s="559"/>
      <c r="F2170" s="519">
        <v>2</v>
      </c>
      <c r="G2170" s="518" t="s">
        <v>2403</v>
      </c>
      <c r="H2170" s="509" t="s">
        <v>4310</v>
      </c>
      <c r="I2170" s="492">
        <f>C307</f>
        <v>0.9</v>
      </c>
      <c r="J2170" s="500" t="s">
        <v>556</v>
      </c>
      <c r="K2170" s="492">
        <f t="shared" si="69"/>
        <v>1.8</v>
      </c>
    </row>
    <row r="2171" spans="1:11" hidden="1">
      <c r="A2171" s="559"/>
      <c r="F2171" s="519">
        <v>6</v>
      </c>
      <c r="G2171" s="518" t="s">
        <v>2403</v>
      </c>
      <c r="H2171" s="509" t="s">
        <v>4311</v>
      </c>
      <c r="I2171" s="492">
        <v>8</v>
      </c>
      <c r="J2171" s="500" t="s">
        <v>556</v>
      </c>
      <c r="K2171" s="492">
        <f t="shared" si="69"/>
        <v>48</v>
      </c>
    </row>
    <row r="2172" spans="1:11" hidden="1">
      <c r="A2172" s="559"/>
      <c r="F2172" s="528">
        <v>1.62</v>
      </c>
      <c r="G2172" s="518" t="s">
        <v>26</v>
      </c>
      <c r="H2172" s="509" t="s">
        <v>2401</v>
      </c>
      <c r="I2172" s="492">
        <f>D33</f>
        <v>240</v>
      </c>
      <c r="J2172" s="500" t="s">
        <v>26</v>
      </c>
      <c r="K2172" s="492">
        <f t="shared" si="69"/>
        <v>388.8</v>
      </c>
    </row>
    <row r="2173" spans="1:11" hidden="1">
      <c r="A2173" s="559"/>
      <c r="G2173" s="518" t="s">
        <v>2346</v>
      </c>
      <c r="H2173" s="509" t="s">
        <v>4312</v>
      </c>
      <c r="I2173" s="2"/>
      <c r="J2173" s="500" t="s">
        <v>2346</v>
      </c>
      <c r="K2173" s="492">
        <v>0.25</v>
      </c>
    </row>
    <row r="2174" spans="1:11" hidden="1">
      <c r="A2174" s="559"/>
      <c r="I2174" s="2"/>
      <c r="J2174" s="463"/>
      <c r="K2174" s="491" t="s">
        <v>442</v>
      </c>
    </row>
    <row r="2175" spans="1:11" hidden="1">
      <c r="A2175" s="559"/>
      <c r="H2175" s="510" t="s">
        <v>4313</v>
      </c>
      <c r="I2175" s="2"/>
      <c r="J2175" s="463"/>
      <c r="K2175" s="492">
        <f>SUM(K2165:K2173)</f>
        <v>1822.5634999999997</v>
      </c>
    </row>
    <row r="2176" spans="1:11" hidden="1">
      <c r="A2176" s="559"/>
      <c r="I2176" s="2"/>
      <c r="J2176" s="463"/>
      <c r="K2176" s="491" t="s">
        <v>442</v>
      </c>
    </row>
    <row r="2177" spans="1:11" hidden="1">
      <c r="A2177" s="559"/>
      <c r="I2177" s="2"/>
      <c r="J2177" s="463"/>
      <c r="K2177" s="2"/>
    </row>
    <row r="2178" spans="1:11" hidden="1">
      <c r="A2178" s="559"/>
      <c r="H2178" s="510" t="s">
        <v>4314</v>
      </c>
      <c r="I2178" s="490" t="s">
        <v>30</v>
      </c>
      <c r="J2178" s="463"/>
      <c r="K2178" s="492">
        <f>K2175/1.62</f>
        <v>1125.0391975308639</v>
      </c>
    </row>
    <row r="2179" spans="1:11" hidden="1">
      <c r="A2179" s="559"/>
      <c r="F2179" s="509" t="s">
        <v>30</v>
      </c>
      <c r="G2179" s="518" t="s">
        <v>30</v>
      </c>
      <c r="H2179" s="509" t="s">
        <v>30</v>
      </c>
      <c r="I2179" s="490" t="s">
        <v>30</v>
      </c>
      <c r="J2179" s="500" t="s">
        <v>30</v>
      </c>
      <c r="K2179" s="2"/>
    </row>
    <row r="2180" spans="1:11" hidden="1">
      <c r="A2180" s="559"/>
      <c r="I2180" s="2"/>
      <c r="J2180" s="463"/>
      <c r="K2180" s="2"/>
    </row>
    <row r="2181" spans="1:11" hidden="1">
      <c r="A2181" s="559"/>
      <c r="G2181" s="518" t="s">
        <v>2965</v>
      </c>
      <c r="H2181" s="509" t="s">
        <v>3381</v>
      </c>
      <c r="I2181" s="2"/>
      <c r="J2181" s="463"/>
      <c r="K2181" s="2"/>
    </row>
    <row r="2182" spans="1:11" hidden="1">
      <c r="A2182" s="559"/>
      <c r="H2182" s="509" t="s">
        <v>4315</v>
      </c>
      <c r="I2182" s="2"/>
      <c r="J2182" s="463"/>
      <c r="K2182" s="2"/>
    </row>
    <row r="2183" spans="1:11" hidden="1">
      <c r="A2183" s="559"/>
      <c r="F2183" s="509" t="s">
        <v>30</v>
      </c>
      <c r="H2183" s="509" t="s">
        <v>4316</v>
      </c>
      <c r="I2183" s="2"/>
      <c r="J2183" s="463"/>
      <c r="K2183" s="2"/>
    </row>
    <row r="2184" spans="1:11" hidden="1">
      <c r="A2184" s="559"/>
      <c r="F2184" s="510" t="s">
        <v>4317</v>
      </c>
      <c r="H2184" s="509" t="s">
        <v>3385</v>
      </c>
      <c r="I2184" s="2"/>
      <c r="J2184" s="463"/>
      <c r="K2184" s="492">
        <f>K2860</f>
        <v>1376.7294999999999</v>
      </c>
    </row>
    <row r="2185" spans="1:11" hidden="1">
      <c r="A2185" s="559"/>
      <c r="F2185" s="510" t="s">
        <v>4318</v>
      </c>
      <c r="H2185" s="510" t="s">
        <v>3388</v>
      </c>
      <c r="I2185" s="2"/>
      <c r="J2185" s="463"/>
      <c r="K2185" s="492">
        <f>K2884</f>
        <v>1379.7294999999999</v>
      </c>
    </row>
    <row r="2186" spans="1:11" hidden="1">
      <c r="A2186" s="559"/>
      <c r="F2186" s="510" t="s">
        <v>4319</v>
      </c>
      <c r="H2186" s="509" t="s">
        <v>3446</v>
      </c>
      <c r="I2186" s="2"/>
      <c r="J2186" s="463"/>
      <c r="K2186" s="492">
        <f>K2899</f>
        <v>1375.9995000000001</v>
      </c>
    </row>
    <row r="2187" spans="1:11" hidden="1">
      <c r="A2187" s="559"/>
      <c r="F2187" s="524">
        <v>65</v>
      </c>
      <c r="H2187" s="509" t="s">
        <v>3390</v>
      </c>
      <c r="I2187" s="2"/>
      <c r="J2187" s="463"/>
      <c r="K2187" s="492">
        <f>K2921</f>
        <v>1427.7294999999999</v>
      </c>
    </row>
    <row r="2188" spans="1:11" hidden="1">
      <c r="A2188" s="559"/>
      <c r="F2188" s="524">
        <v>66</v>
      </c>
      <c r="H2188" s="509" t="s">
        <v>3396</v>
      </c>
      <c r="I2188" s="2"/>
      <c r="J2188" s="463"/>
      <c r="K2188" s="492">
        <f>K2945</f>
        <v>2542.73</v>
      </c>
    </row>
    <row r="2189" spans="1:11" hidden="1">
      <c r="A2189" s="559"/>
      <c r="F2189" s="524">
        <v>67</v>
      </c>
      <c r="H2189" s="509" t="s">
        <v>3393</v>
      </c>
      <c r="I2189" s="2"/>
      <c r="J2189" s="463"/>
      <c r="K2189" s="492">
        <f>K2977</f>
        <v>688</v>
      </c>
    </row>
    <row r="2190" spans="1:11" hidden="1">
      <c r="A2190" s="559"/>
      <c r="F2190" s="524">
        <v>68</v>
      </c>
      <c r="H2190" s="509" t="s">
        <v>3395</v>
      </c>
      <c r="I2190" s="2"/>
      <c r="J2190" s="463"/>
      <c r="K2190" s="492">
        <f>K2965</f>
        <v>936.99933333333342</v>
      </c>
    </row>
    <row r="2191" spans="1:11" hidden="1">
      <c r="A2191" s="559"/>
      <c r="F2191" s="524">
        <v>69</v>
      </c>
      <c r="H2191" s="509" t="s">
        <v>4320</v>
      </c>
      <c r="I2191" s="2"/>
      <c r="J2191" s="463"/>
      <c r="K2191" s="492">
        <f>K2988</f>
        <v>131.995</v>
      </c>
    </row>
    <row r="2192" spans="1:11" hidden="1">
      <c r="A2192" s="559"/>
      <c r="F2192" s="524" t="s">
        <v>4321</v>
      </c>
      <c r="H2192" s="509" t="s">
        <v>3453</v>
      </c>
      <c r="I2192" s="2"/>
      <c r="J2192" s="463"/>
      <c r="K2192" s="492">
        <f>K3135</f>
        <v>452.13</v>
      </c>
    </row>
    <row r="2193" spans="1:11" hidden="1">
      <c r="A2193" s="559"/>
      <c r="F2193" s="524" t="s">
        <v>4322</v>
      </c>
      <c r="H2193" s="509" t="s">
        <v>4323</v>
      </c>
      <c r="I2193" s="2"/>
      <c r="J2193" s="463"/>
      <c r="K2193" s="492"/>
    </row>
    <row r="2194" spans="1:11" hidden="1">
      <c r="A2194" s="559"/>
      <c r="F2194" s="524" t="s">
        <v>4324</v>
      </c>
      <c r="H2194" s="509" t="s">
        <v>4325</v>
      </c>
      <c r="I2194" s="2"/>
      <c r="J2194" s="463"/>
      <c r="K2194" s="492">
        <v>10</v>
      </c>
    </row>
    <row r="2195" spans="1:11" hidden="1">
      <c r="A2195" s="559"/>
      <c r="F2195" s="524" t="s">
        <v>4326</v>
      </c>
      <c r="H2195" s="509" t="s">
        <v>4327</v>
      </c>
      <c r="I2195" s="2"/>
      <c r="J2195" s="463"/>
      <c r="K2195" s="492">
        <v>8</v>
      </c>
    </row>
    <row r="2196" spans="1:11" hidden="1">
      <c r="A2196" s="559"/>
      <c r="F2196" s="524">
        <v>71</v>
      </c>
      <c r="H2196" s="509" t="s">
        <v>3454</v>
      </c>
      <c r="I2196" s="2"/>
      <c r="J2196" s="463"/>
      <c r="K2196" s="492">
        <f>K3154</f>
        <v>698</v>
      </c>
    </row>
    <row r="2197" spans="1:11" hidden="1">
      <c r="A2197" s="559"/>
      <c r="F2197" s="524">
        <v>72</v>
      </c>
      <c r="H2197" s="509" t="s">
        <v>4328</v>
      </c>
      <c r="I2197" s="2"/>
      <c r="J2197" s="463"/>
      <c r="K2197" s="492">
        <v>31</v>
      </c>
    </row>
    <row r="2198" spans="1:11" hidden="1">
      <c r="A2198" s="559"/>
      <c r="F2198" s="524" t="s">
        <v>4329</v>
      </c>
      <c r="H2198" s="509" t="s">
        <v>3458</v>
      </c>
      <c r="I2198" s="2"/>
      <c r="J2198" s="463"/>
      <c r="K2198" s="492">
        <f>K3233</f>
        <v>3931.0063333333328</v>
      </c>
    </row>
    <row r="2199" spans="1:11" hidden="1">
      <c r="A2199" s="559"/>
      <c r="F2199" s="524" t="s">
        <v>4330</v>
      </c>
      <c r="H2199" s="509" t="s">
        <v>4331</v>
      </c>
      <c r="I2199" s="2"/>
      <c r="J2199" s="463"/>
      <c r="K2199" s="492">
        <f>K3221</f>
        <v>3194.0063333333333</v>
      </c>
    </row>
    <row r="2200" spans="1:11" hidden="1">
      <c r="A2200" s="559"/>
      <c r="F2200" s="524">
        <v>74</v>
      </c>
      <c r="H2200" s="509" t="s">
        <v>3460</v>
      </c>
      <c r="I2200" s="2"/>
      <c r="J2200" s="463"/>
      <c r="K2200" s="492">
        <f>K3277</f>
        <v>466.60100000000006</v>
      </c>
    </row>
    <row r="2201" spans="1:11" hidden="1">
      <c r="A2201" s="559"/>
      <c r="F2201" s="524" t="s">
        <v>4332</v>
      </c>
      <c r="H2201" s="509" t="s">
        <v>3464</v>
      </c>
      <c r="I2201" s="2"/>
      <c r="J2201" s="463"/>
      <c r="K2201" s="492">
        <f>K3767</f>
        <v>1283.8</v>
      </c>
    </row>
    <row r="2202" spans="1:11" hidden="1">
      <c r="A2202" s="559"/>
      <c r="F2202" s="524" t="s">
        <v>4333</v>
      </c>
      <c r="H2202" s="509" t="s">
        <v>3466</v>
      </c>
      <c r="I2202" s="2"/>
      <c r="J2202" s="463"/>
      <c r="K2202" s="492">
        <v>0</v>
      </c>
    </row>
    <row r="2203" spans="1:11" hidden="1">
      <c r="A2203" s="559"/>
      <c r="F2203" s="524">
        <v>112</v>
      </c>
      <c r="H2203" s="509" t="s">
        <v>4334</v>
      </c>
      <c r="I2203" s="2"/>
      <c r="J2203" s="463"/>
      <c r="K2203" s="492">
        <f>K3744</f>
        <v>1791.7049999999999</v>
      </c>
    </row>
    <row r="2204" spans="1:11" hidden="1">
      <c r="A2204" s="559"/>
      <c r="F2204" s="524">
        <v>76</v>
      </c>
      <c r="H2204" s="509" t="s">
        <v>3469</v>
      </c>
      <c r="I2204" s="2"/>
      <c r="J2204" s="463"/>
      <c r="K2204" s="492">
        <f>K3294</f>
        <v>21.18888888888889</v>
      </c>
    </row>
    <row r="2205" spans="1:11" hidden="1">
      <c r="A2205" s="559"/>
      <c r="F2205" s="524">
        <v>77</v>
      </c>
      <c r="H2205" s="509" t="s">
        <v>4335</v>
      </c>
      <c r="I2205" s="2"/>
      <c r="J2205" s="463"/>
      <c r="K2205" s="492">
        <f>K3080</f>
        <v>171.07111111111109</v>
      </c>
    </row>
    <row r="2206" spans="1:11" ht="31.5" hidden="1">
      <c r="A2206" s="559"/>
      <c r="F2206" s="576">
        <v>77.099999999999994</v>
      </c>
      <c r="H2206" s="536" t="s">
        <v>4336</v>
      </c>
      <c r="I2206" s="2"/>
      <c r="J2206" s="463"/>
      <c r="K2206" s="577">
        <f>K3105</f>
        <v>215.61666666666667</v>
      </c>
    </row>
    <row r="2207" spans="1:11" hidden="1">
      <c r="A2207" s="559"/>
      <c r="F2207" s="529">
        <v>77.2</v>
      </c>
      <c r="H2207" s="509" t="s">
        <v>4337</v>
      </c>
      <c r="I2207" s="2"/>
      <c r="J2207" s="463"/>
      <c r="K2207" s="492">
        <v>500</v>
      </c>
    </row>
    <row r="2208" spans="1:11" hidden="1">
      <c r="A2208" s="559"/>
      <c r="F2208" s="529">
        <v>77.3</v>
      </c>
      <c r="H2208" s="509" t="s">
        <v>4338</v>
      </c>
      <c r="I2208" s="2"/>
      <c r="J2208" s="463"/>
      <c r="K2208" s="492">
        <f>K3712</f>
        <v>75.91</v>
      </c>
    </row>
    <row r="2209" spans="1:11" hidden="1">
      <c r="A2209" s="559"/>
      <c r="F2209" s="524">
        <v>78</v>
      </c>
      <c r="H2209" s="509" t="s">
        <v>3473</v>
      </c>
      <c r="I2209" s="2"/>
      <c r="J2209" s="463"/>
      <c r="K2209" s="492">
        <f>K3319</f>
        <v>2354.75</v>
      </c>
    </row>
    <row r="2210" spans="1:11" hidden="1">
      <c r="A2210" s="559"/>
      <c r="F2210" s="524">
        <v>80</v>
      </c>
      <c r="H2210" s="509" t="s">
        <v>3476</v>
      </c>
      <c r="I2210" s="2"/>
      <c r="J2210" s="463"/>
      <c r="K2210" s="492">
        <f>K3441</f>
        <v>726.995</v>
      </c>
    </row>
    <row r="2211" spans="1:11" hidden="1">
      <c r="A2211" s="559"/>
      <c r="F2211" s="524">
        <v>81</v>
      </c>
      <c r="H2211" s="509" t="s">
        <v>3478</v>
      </c>
      <c r="I2211" s="2"/>
      <c r="J2211" s="463"/>
      <c r="K2211" s="492">
        <f>K2178</f>
        <v>1125.0391975308639</v>
      </c>
    </row>
    <row r="2212" spans="1:11" hidden="1">
      <c r="A2212" s="559"/>
      <c r="F2212" s="524">
        <v>82</v>
      </c>
      <c r="H2212" s="509" t="s">
        <v>3480</v>
      </c>
      <c r="I2212" s="2"/>
      <c r="J2212" s="463"/>
      <c r="K2212" s="492">
        <f>K3638</f>
        <v>2572.4613333333332</v>
      </c>
    </row>
    <row r="2213" spans="1:11" hidden="1">
      <c r="A2213" s="559"/>
      <c r="F2213" s="524">
        <v>87</v>
      </c>
      <c r="H2213" s="509" t="s">
        <v>3483</v>
      </c>
      <c r="I2213" s="2"/>
      <c r="J2213" s="463"/>
      <c r="K2213" s="492">
        <f>K3458</f>
        <v>2344.4</v>
      </c>
    </row>
    <row r="2214" spans="1:11" hidden="1">
      <c r="A2214" s="559"/>
      <c r="I2214" s="2"/>
      <c r="J2214" s="463"/>
      <c r="K2214" s="2"/>
    </row>
    <row r="2215" spans="1:11" hidden="1">
      <c r="A2215" s="559"/>
      <c r="I2215" s="2"/>
      <c r="J2215" s="463"/>
      <c r="K2215" s="2"/>
    </row>
    <row r="2216" spans="1:11" ht="31.5" hidden="1">
      <c r="A2216" s="559"/>
      <c r="F2216" s="578">
        <v>77.400000000000006</v>
      </c>
      <c r="H2216" s="539" t="s">
        <v>4339</v>
      </c>
      <c r="I2216" s="2"/>
      <c r="J2216" s="463"/>
      <c r="K2216" s="2"/>
    </row>
    <row r="2217" spans="1:11" hidden="1">
      <c r="A2217" s="559"/>
      <c r="H2217" s="509" t="s">
        <v>4315</v>
      </c>
      <c r="I2217" s="2"/>
      <c r="J2217" s="463"/>
      <c r="K2217" s="2"/>
    </row>
    <row r="2218" spans="1:11" ht="31.5" hidden="1">
      <c r="A2218" s="559"/>
      <c r="F2218" s="511">
        <v>90</v>
      </c>
      <c r="G2218" s="512" t="s">
        <v>4340</v>
      </c>
      <c r="H2218" s="571" t="s">
        <v>4341</v>
      </c>
      <c r="I2218" s="2">
        <v>16.95</v>
      </c>
      <c r="J2218" s="463" t="s">
        <v>4340</v>
      </c>
      <c r="K2218" s="2">
        <f>I2218*F2218</f>
        <v>1525.5</v>
      </c>
    </row>
    <row r="2219" spans="1:11" hidden="1">
      <c r="A2219" s="559"/>
      <c r="F2219" s="511">
        <v>0.15</v>
      </c>
      <c r="G2219" s="512" t="s">
        <v>22</v>
      </c>
      <c r="H2219" s="511" t="s">
        <v>2517</v>
      </c>
      <c r="I2219" s="2">
        <f>AC31</f>
        <v>3800</v>
      </c>
      <c r="J2219" s="463" t="s">
        <v>22</v>
      </c>
      <c r="K2219" s="2">
        <f>I2219*F2219</f>
        <v>570</v>
      </c>
    </row>
    <row r="2220" spans="1:11" hidden="1">
      <c r="A2220" s="559"/>
      <c r="F2220" s="511">
        <v>1</v>
      </c>
      <c r="G2220" s="512" t="s">
        <v>2359</v>
      </c>
      <c r="H2220" s="511" t="s">
        <v>4342</v>
      </c>
      <c r="I2220" s="2">
        <f>C780</f>
        <v>160</v>
      </c>
      <c r="J2220" s="463" t="s">
        <v>2359</v>
      </c>
      <c r="K2220" s="2">
        <f>I2220*F2220</f>
        <v>160</v>
      </c>
    </row>
    <row r="2221" spans="1:11" hidden="1">
      <c r="A2221" s="559"/>
      <c r="F2221" s="511">
        <v>2</v>
      </c>
      <c r="G2221" s="512" t="s">
        <v>2359</v>
      </c>
      <c r="H2221" s="511" t="s">
        <v>2343</v>
      </c>
      <c r="I2221" s="2">
        <f>AE10</f>
        <v>135</v>
      </c>
      <c r="J2221" s="463" t="s">
        <v>2359</v>
      </c>
      <c r="K2221" s="2">
        <f>I2221*F2221</f>
        <v>270</v>
      </c>
    </row>
    <row r="2222" spans="1:11" hidden="1">
      <c r="A2222" s="559"/>
      <c r="F2222" s="511">
        <v>4</v>
      </c>
      <c r="G2222" s="512" t="s">
        <v>2359</v>
      </c>
      <c r="H2222" s="511" t="s">
        <v>3489</v>
      </c>
      <c r="I2222" s="2">
        <f>C781</f>
        <v>110</v>
      </c>
      <c r="J2222" s="463" t="s">
        <v>2359</v>
      </c>
      <c r="K2222" s="2">
        <f>I2222*F2222</f>
        <v>440</v>
      </c>
    </row>
    <row r="2223" spans="1:11" hidden="1">
      <c r="A2223" s="559"/>
      <c r="H2223" s="511" t="s">
        <v>4343</v>
      </c>
      <c r="I2223" s="2"/>
      <c r="J2223" s="463"/>
      <c r="K2223" s="2">
        <v>8.5</v>
      </c>
    </row>
    <row r="2224" spans="1:11" hidden="1">
      <c r="A2224" s="559"/>
      <c r="I2224" s="2"/>
      <c r="J2224" s="463"/>
      <c r="K2224" s="491" t="s">
        <v>442</v>
      </c>
    </row>
    <row r="2225" spans="1:11" hidden="1">
      <c r="A2225" s="559"/>
      <c r="H2225" s="509" t="s">
        <v>4344</v>
      </c>
      <c r="I2225" s="2"/>
      <c r="J2225" s="463"/>
      <c r="K2225" s="492">
        <f>SUM(K2218:K2223)</f>
        <v>2974</v>
      </c>
    </row>
    <row r="2226" spans="1:11" hidden="1">
      <c r="A2226" s="559"/>
      <c r="I2226" s="2"/>
      <c r="J2226" s="463"/>
      <c r="K2226" s="491" t="s">
        <v>442</v>
      </c>
    </row>
    <row r="2227" spans="1:11" hidden="1">
      <c r="A2227" s="559"/>
      <c r="H2227" s="509" t="s">
        <v>4266</v>
      </c>
      <c r="I2227" s="2"/>
      <c r="J2227" s="463"/>
      <c r="K2227" s="492">
        <f>(K2225/90)</f>
        <v>33.044444444444444</v>
      </c>
    </row>
    <row r="2228" spans="1:11" hidden="1">
      <c r="A2228" s="559"/>
      <c r="I2228" s="2"/>
      <c r="J2228" s="463"/>
      <c r="K2228" s="491" t="s">
        <v>29</v>
      </c>
    </row>
    <row r="2229" spans="1:11" hidden="1">
      <c r="A2229" s="559"/>
      <c r="I2229" s="2"/>
      <c r="J2229" s="463"/>
      <c r="K2229" s="2"/>
    </row>
    <row r="2230" spans="1:11" hidden="1">
      <c r="A2230" s="559"/>
      <c r="F2230" s="543">
        <v>78.099999999999994</v>
      </c>
      <c r="H2230" s="509" t="s">
        <v>4345</v>
      </c>
      <c r="I2230" s="2"/>
      <c r="J2230" s="463"/>
      <c r="K2230" s="2"/>
    </row>
    <row r="2231" spans="1:11" hidden="1">
      <c r="A2231" s="559"/>
      <c r="H2231" s="509" t="s">
        <v>4315</v>
      </c>
      <c r="I2231" s="2"/>
      <c r="J2231" s="463"/>
      <c r="K2231" s="2"/>
    </row>
    <row r="2232" spans="1:11" hidden="1">
      <c r="A2232" s="559"/>
      <c r="F2232" s="511">
        <v>2.5</v>
      </c>
      <c r="G2232" s="512" t="s">
        <v>2359</v>
      </c>
      <c r="H2232" s="511" t="s">
        <v>4346</v>
      </c>
      <c r="I2232" s="2">
        <v>120</v>
      </c>
      <c r="J2232" s="463" t="s">
        <v>2359</v>
      </c>
      <c r="K2232" s="2">
        <f t="shared" ref="K2232:K2237" si="70">I2232*F2232</f>
        <v>300</v>
      </c>
    </row>
    <row r="2233" spans="1:11" hidden="1">
      <c r="A2233" s="559"/>
      <c r="F2233" s="511">
        <v>20</v>
      </c>
      <c r="G2233" s="512" t="s">
        <v>4125</v>
      </c>
      <c r="H2233" s="511" t="s">
        <v>4347</v>
      </c>
      <c r="I2233" s="2">
        <v>4</v>
      </c>
      <c r="J2233" s="463" t="s">
        <v>4125</v>
      </c>
      <c r="K2233" s="2">
        <f t="shared" si="70"/>
        <v>80</v>
      </c>
    </row>
    <row r="2234" spans="1:11" hidden="1">
      <c r="A2234" s="559"/>
      <c r="F2234" s="511">
        <v>9</v>
      </c>
      <c r="G2234" s="512" t="s">
        <v>4125</v>
      </c>
      <c r="H2234" s="511" t="s">
        <v>4348</v>
      </c>
      <c r="I2234" s="2">
        <v>4</v>
      </c>
      <c r="J2234" s="463" t="s">
        <v>4125</v>
      </c>
      <c r="K2234" s="2">
        <f t="shared" si="70"/>
        <v>36</v>
      </c>
    </row>
    <row r="2235" spans="1:11" hidden="1">
      <c r="A2235" s="559"/>
      <c r="F2235" s="511">
        <v>0.5</v>
      </c>
      <c r="G2235" s="512" t="s">
        <v>4125</v>
      </c>
      <c r="H2235" s="511" t="s">
        <v>4349</v>
      </c>
      <c r="I2235" s="2">
        <v>30</v>
      </c>
      <c r="J2235" s="463" t="s">
        <v>4125</v>
      </c>
      <c r="K2235" s="2">
        <f t="shared" si="70"/>
        <v>15</v>
      </c>
    </row>
    <row r="2236" spans="1:11" hidden="1">
      <c r="A2236" s="559"/>
      <c r="F2236" s="511">
        <v>0.5</v>
      </c>
      <c r="G2236" s="512" t="s">
        <v>2359</v>
      </c>
      <c r="H2236" s="511" t="s">
        <v>3487</v>
      </c>
      <c r="I2236" s="2">
        <f>C780</f>
        <v>160</v>
      </c>
      <c r="J2236" s="463" t="s">
        <v>2359</v>
      </c>
      <c r="K2236" s="2">
        <f t="shared" si="70"/>
        <v>80</v>
      </c>
    </row>
    <row r="2237" spans="1:11" hidden="1">
      <c r="A2237" s="559"/>
      <c r="F2237" s="511">
        <v>1</v>
      </c>
      <c r="G2237" s="512" t="s">
        <v>2359</v>
      </c>
      <c r="H2237" s="511" t="s">
        <v>3489</v>
      </c>
      <c r="I2237" s="2">
        <f>C781</f>
        <v>110</v>
      </c>
      <c r="J2237" s="463" t="s">
        <v>2359</v>
      </c>
      <c r="K2237" s="2">
        <f t="shared" si="70"/>
        <v>110</v>
      </c>
    </row>
    <row r="2238" spans="1:11" ht="31.5" hidden="1">
      <c r="A2238" s="559"/>
      <c r="G2238" s="512" t="s">
        <v>170</v>
      </c>
      <c r="H2238" s="571" t="s">
        <v>4350</v>
      </c>
      <c r="I2238" s="2"/>
      <c r="J2238" s="463" t="s">
        <v>170</v>
      </c>
      <c r="K2238" s="2">
        <v>165</v>
      </c>
    </row>
    <row r="2239" spans="1:11" hidden="1">
      <c r="A2239" s="559"/>
      <c r="G2239" s="512" t="s">
        <v>170</v>
      </c>
      <c r="H2239" s="511" t="s">
        <v>4351</v>
      </c>
      <c r="I2239" s="2"/>
      <c r="J2239" s="463" t="s">
        <v>170</v>
      </c>
      <c r="K2239" s="2">
        <v>9.5</v>
      </c>
    </row>
    <row r="2240" spans="1:11" hidden="1">
      <c r="A2240" s="559"/>
      <c r="I2240" s="2"/>
      <c r="J2240" s="463"/>
      <c r="K2240" s="491" t="s">
        <v>442</v>
      </c>
    </row>
    <row r="2241" spans="1:11" hidden="1">
      <c r="A2241" s="559"/>
      <c r="H2241" s="511" t="s">
        <v>3571</v>
      </c>
      <c r="I2241" s="2"/>
      <c r="J2241" s="463"/>
      <c r="K2241" s="492">
        <f>SUM(K2232:K2239)</f>
        <v>795.5</v>
      </c>
    </row>
    <row r="2242" spans="1:11" hidden="1">
      <c r="A2242" s="559"/>
      <c r="I2242" s="2"/>
      <c r="J2242" s="463"/>
      <c r="K2242" s="491" t="s">
        <v>442</v>
      </c>
    </row>
    <row r="2243" spans="1:11" hidden="1">
      <c r="A2243" s="559"/>
    </row>
    <row r="2244" spans="1:11" ht="21.75" hidden="1">
      <c r="A2244" s="559"/>
      <c r="E2244" s="579"/>
      <c r="F2244" s="579"/>
      <c r="G2244" s="580"/>
      <c r="H2244" s="581" t="s">
        <v>960</v>
      </c>
      <c r="I2244" s="579"/>
      <c r="J2244" s="582"/>
      <c r="K2244" s="583"/>
    </row>
    <row r="2245" spans="1:11" ht="17.25" hidden="1">
      <c r="A2245" s="559"/>
      <c r="E2245" s="579"/>
      <c r="F2245" s="580"/>
      <c r="G2245" s="579"/>
      <c r="H2245" s="579"/>
      <c r="I2245" s="582"/>
      <c r="J2245" s="579"/>
      <c r="K2245" s="579"/>
    </row>
    <row r="2246" spans="1:11" ht="17.25" hidden="1">
      <c r="A2246" s="559"/>
      <c r="E2246" s="579"/>
      <c r="F2246" s="580">
        <v>53.3</v>
      </c>
      <c r="G2246" s="579"/>
      <c r="H2246" s="579" t="s">
        <v>4352</v>
      </c>
      <c r="I2246" s="582"/>
      <c r="J2246" s="579"/>
      <c r="K2246" s="579">
        <v>957</v>
      </c>
    </row>
    <row r="2247" spans="1:11" ht="17.25" hidden="1">
      <c r="A2247" s="559"/>
      <c r="E2247" s="579"/>
      <c r="F2247" s="580"/>
      <c r="G2247" s="579"/>
      <c r="H2247" s="579"/>
      <c r="I2247" s="582"/>
      <c r="J2247" s="579"/>
      <c r="K2247" s="579"/>
    </row>
    <row r="2248" spans="1:11" ht="34.5" hidden="1">
      <c r="A2248" s="559"/>
      <c r="E2248" s="579"/>
      <c r="F2248" s="584" t="s">
        <v>4353</v>
      </c>
      <c r="G2248" s="579"/>
      <c r="H2248" s="585" t="s">
        <v>3872</v>
      </c>
      <c r="I2248" s="582"/>
      <c r="J2248" s="579"/>
      <c r="K2248" s="579"/>
    </row>
    <row r="2249" spans="1:11" ht="17.25" hidden="1">
      <c r="A2249" s="559"/>
      <c r="E2249" s="579"/>
      <c r="F2249" s="580"/>
      <c r="G2249" s="579"/>
      <c r="H2249" s="586" t="s">
        <v>442</v>
      </c>
      <c r="I2249" s="586" t="s">
        <v>442</v>
      </c>
      <c r="J2249" s="586" t="s">
        <v>442</v>
      </c>
      <c r="K2249" s="579"/>
    </row>
    <row r="2250" spans="1:11" ht="17.25" hidden="1">
      <c r="A2250" s="559"/>
      <c r="E2250" s="579"/>
      <c r="F2250" s="580"/>
      <c r="G2250" s="579"/>
      <c r="H2250" s="579"/>
      <c r="I2250" s="582"/>
      <c r="J2250" s="579"/>
      <c r="K2250" s="579"/>
    </row>
    <row r="2251" spans="1:11" ht="17.25" hidden="1">
      <c r="A2251" s="559"/>
      <c r="E2251" s="579"/>
      <c r="F2251" s="580"/>
      <c r="G2251" s="579"/>
      <c r="H2251" s="579" t="s">
        <v>3873</v>
      </c>
      <c r="I2251" s="582"/>
      <c r="J2251" s="579"/>
      <c r="K2251" s="579"/>
    </row>
    <row r="2252" spans="1:11" ht="17.25" hidden="1">
      <c r="A2252" s="559"/>
      <c r="E2252" s="579"/>
      <c r="F2252" s="580"/>
      <c r="G2252" s="579"/>
      <c r="H2252" s="579" t="s">
        <v>3874</v>
      </c>
      <c r="I2252" s="582"/>
      <c r="J2252" s="579"/>
      <c r="K2252" s="579"/>
    </row>
    <row r="2253" spans="1:11" ht="17.25" hidden="1">
      <c r="A2253" s="559"/>
      <c r="E2253" s="579"/>
      <c r="F2253" s="580"/>
      <c r="G2253" s="579"/>
      <c r="H2253" s="579" t="s">
        <v>3875</v>
      </c>
      <c r="I2253" s="582"/>
      <c r="J2253" s="579"/>
      <c r="K2253" s="579"/>
    </row>
    <row r="2254" spans="1:11" ht="17.25" hidden="1">
      <c r="A2254" s="559"/>
      <c r="E2254" s="579"/>
      <c r="F2254" s="580"/>
      <c r="G2254" s="579"/>
      <c r="H2254" s="579" t="s">
        <v>3876</v>
      </c>
      <c r="I2254" s="582"/>
      <c r="J2254" s="579"/>
      <c r="K2254" s="579"/>
    </row>
    <row r="2255" spans="1:11" ht="17.25" hidden="1">
      <c r="A2255" s="559"/>
      <c r="E2255" s="579"/>
      <c r="F2255" s="580"/>
      <c r="G2255" s="579"/>
      <c r="H2255" s="579" t="s">
        <v>3877</v>
      </c>
      <c r="I2255" s="582"/>
      <c r="J2255" s="579"/>
      <c r="K2255" s="579"/>
    </row>
    <row r="2256" spans="1:11" ht="17.25" hidden="1">
      <c r="A2256" s="559"/>
      <c r="E2256" s="579"/>
      <c r="F2256" s="580"/>
      <c r="G2256" s="579"/>
      <c r="H2256" s="579" t="s">
        <v>4354</v>
      </c>
      <c r="I2256" s="582"/>
      <c r="J2256" s="579" t="s">
        <v>30</v>
      </c>
      <c r="K2256" s="579">
        <v>3.32E-2</v>
      </c>
    </row>
    <row r="2257" spans="1:11" ht="17.25" hidden="1">
      <c r="A2257" s="559"/>
      <c r="E2257" s="579"/>
      <c r="F2257" s="580"/>
      <c r="G2257" s="579"/>
      <c r="H2257" s="579" t="s">
        <v>4355</v>
      </c>
      <c r="I2257" s="582"/>
      <c r="J2257" s="579" t="s">
        <v>30</v>
      </c>
      <c r="K2257" s="579" t="s">
        <v>30</v>
      </c>
    </row>
    <row r="2258" spans="1:11" ht="17.25" hidden="1">
      <c r="A2258" s="559"/>
      <c r="E2258" s="579"/>
      <c r="F2258" s="580"/>
      <c r="G2258" s="579"/>
      <c r="H2258" s="579" t="s">
        <v>3879</v>
      </c>
      <c r="I2258" s="582"/>
      <c r="J2258" s="579"/>
      <c r="K2258" s="579" t="s">
        <v>30</v>
      </c>
    </row>
    <row r="2259" spans="1:11" ht="17.25" hidden="1">
      <c r="A2259" s="559"/>
      <c r="E2259" s="579"/>
      <c r="F2259" s="580"/>
      <c r="G2259" s="579"/>
      <c r="H2259" s="579"/>
      <c r="I2259" s="582"/>
      <c r="J2259" s="579"/>
      <c r="K2259" s="579"/>
    </row>
    <row r="2260" spans="1:11" ht="17.25" hidden="1">
      <c r="A2260" s="559"/>
      <c r="E2260" s="579"/>
      <c r="F2260" s="587">
        <v>1.18E-2</v>
      </c>
      <c r="G2260" s="579" t="s">
        <v>2334</v>
      </c>
      <c r="H2260" s="579" t="s">
        <v>2809</v>
      </c>
      <c r="I2260" s="582">
        <f>I1083</f>
        <v>65420</v>
      </c>
      <c r="J2260" s="579" t="s">
        <v>2334</v>
      </c>
      <c r="K2260" s="579">
        <f t="shared" ref="K2260:K2269" si="71">I2260*F2260</f>
        <v>771.95600000000002</v>
      </c>
    </row>
    <row r="2261" spans="1:11" ht="17.25" hidden="1">
      <c r="A2261" s="559"/>
      <c r="E2261" s="579"/>
      <c r="F2261" s="587">
        <v>3.7699999999999997E-2</v>
      </c>
      <c r="G2261" s="579" t="s">
        <v>2334</v>
      </c>
      <c r="H2261" s="579" t="s">
        <v>2810</v>
      </c>
      <c r="I2261" s="582">
        <f>I1084</f>
        <v>57165</v>
      </c>
      <c r="J2261" s="579" t="s">
        <v>2334</v>
      </c>
      <c r="K2261" s="579">
        <f t="shared" si="71"/>
        <v>2155.1205</v>
      </c>
    </row>
    <row r="2262" spans="1:11" ht="17.25" hidden="1">
      <c r="A2262" s="559"/>
      <c r="E2262" s="579"/>
      <c r="F2262" s="587">
        <v>1.8550000000000001E-2</v>
      </c>
      <c r="G2262" s="579" t="s">
        <v>2334</v>
      </c>
      <c r="H2262" s="579" t="s">
        <v>3880</v>
      </c>
      <c r="I2262" s="582">
        <f>I1085</f>
        <v>3035</v>
      </c>
      <c r="J2262" s="579" t="s">
        <v>2334</v>
      </c>
      <c r="K2262" s="579">
        <f t="shared" si="71"/>
        <v>56.299250000000001</v>
      </c>
    </row>
    <row r="2263" spans="1:11" ht="17.25" hidden="1">
      <c r="A2263" s="559"/>
      <c r="E2263" s="579"/>
      <c r="F2263" s="587">
        <v>1.36</v>
      </c>
      <c r="G2263" s="579" t="s">
        <v>2788</v>
      </c>
      <c r="H2263" s="579" t="s">
        <v>3881</v>
      </c>
      <c r="I2263" s="582">
        <v>385.89</v>
      </c>
      <c r="J2263" s="579" t="s">
        <v>2788</v>
      </c>
      <c r="K2263" s="579">
        <f t="shared" si="71"/>
        <v>524.81040000000007</v>
      </c>
    </row>
    <row r="2264" spans="1:11" ht="17.25" hidden="1">
      <c r="A2264" s="559"/>
      <c r="E2264" s="579"/>
      <c r="F2264" s="587">
        <v>2.0499999999999998</v>
      </c>
      <c r="G2264" s="579" t="s">
        <v>2788</v>
      </c>
      <c r="H2264" s="579" t="s">
        <v>3882</v>
      </c>
      <c r="I2264" s="582">
        <f>I1087</f>
        <v>287</v>
      </c>
      <c r="J2264" s="579" t="s">
        <v>2788</v>
      </c>
      <c r="K2264" s="579">
        <f t="shared" si="71"/>
        <v>588.34999999999991</v>
      </c>
    </row>
    <row r="2265" spans="1:11" ht="17.25" hidden="1">
      <c r="A2265" s="559"/>
      <c r="E2265" s="579"/>
      <c r="F2265" s="588">
        <v>2</v>
      </c>
      <c r="G2265" s="579" t="s">
        <v>2342</v>
      </c>
      <c r="H2265" s="579" t="s">
        <v>4356</v>
      </c>
      <c r="I2265" s="582">
        <v>25</v>
      </c>
      <c r="J2265" s="579" t="s">
        <v>2342</v>
      </c>
      <c r="K2265" s="579">
        <f t="shared" si="71"/>
        <v>50</v>
      </c>
    </row>
    <row r="2266" spans="1:11" ht="17.25" hidden="1">
      <c r="A2266" s="559"/>
      <c r="E2266" s="579"/>
      <c r="F2266" s="588">
        <v>6</v>
      </c>
      <c r="G2266" s="579" t="s">
        <v>2342</v>
      </c>
      <c r="H2266" s="579" t="s">
        <v>3849</v>
      </c>
      <c r="I2266" s="582">
        <v>25</v>
      </c>
      <c r="J2266" s="579" t="s">
        <v>2342</v>
      </c>
      <c r="K2266" s="579">
        <f t="shared" si="71"/>
        <v>150</v>
      </c>
    </row>
    <row r="2267" spans="1:11" ht="17.25" hidden="1">
      <c r="A2267" s="559"/>
      <c r="E2267" s="579"/>
      <c r="F2267" s="588">
        <v>2</v>
      </c>
      <c r="G2267" s="579" t="s">
        <v>2342</v>
      </c>
      <c r="H2267" s="579" t="s">
        <v>3884</v>
      </c>
      <c r="I2267" s="582">
        <v>35</v>
      </c>
      <c r="J2267" s="579" t="s">
        <v>2342</v>
      </c>
      <c r="K2267" s="579">
        <f t="shared" si="71"/>
        <v>70</v>
      </c>
    </row>
    <row r="2268" spans="1:11" ht="17.25" hidden="1">
      <c r="A2268" s="559"/>
      <c r="E2268" s="579"/>
      <c r="F2268" s="588">
        <v>1</v>
      </c>
      <c r="G2268" s="579" t="s">
        <v>2342</v>
      </c>
      <c r="H2268" s="579" t="s">
        <v>3885</v>
      </c>
      <c r="I2268" s="582">
        <v>60</v>
      </c>
      <c r="J2268" s="579" t="s">
        <v>2342</v>
      </c>
      <c r="K2268" s="579">
        <f t="shared" si="71"/>
        <v>60</v>
      </c>
    </row>
    <row r="2269" spans="1:11" ht="17.25" hidden="1">
      <c r="A2269" s="559"/>
      <c r="E2269" s="579"/>
      <c r="F2269" s="587">
        <v>2.52</v>
      </c>
      <c r="G2269" s="579" t="s">
        <v>2788</v>
      </c>
      <c r="H2269" s="579" t="s">
        <v>3886</v>
      </c>
      <c r="I2269" s="582">
        <f>K1122</f>
        <v>51.25</v>
      </c>
      <c r="J2269" s="579" t="s">
        <v>2788</v>
      </c>
      <c r="K2269" s="579">
        <f t="shared" si="71"/>
        <v>129.15</v>
      </c>
    </row>
    <row r="2270" spans="1:11" ht="17.25" hidden="1">
      <c r="A2270" s="559"/>
      <c r="E2270" s="579"/>
      <c r="F2270" s="580"/>
      <c r="G2270" s="579"/>
      <c r="H2270" s="579" t="s">
        <v>3887</v>
      </c>
      <c r="I2270" s="582" t="s">
        <v>2346</v>
      </c>
      <c r="J2270" s="579"/>
      <c r="K2270" s="579">
        <v>0.28000000000000003</v>
      </c>
    </row>
    <row r="2271" spans="1:11" ht="17.25" hidden="1">
      <c r="A2271" s="559"/>
      <c r="E2271" s="579"/>
      <c r="F2271" s="580"/>
      <c r="G2271" s="579"/>
      <c r="H2271" s="579"/>
      <c r="I2271" s="582"/>
      <c r="J2271" s="579"/>
      <c r="K2271" s="589" t="s">
        <v>442</v>
      </c>
    </row>
    <row r="2272" spans="1:11" ht="17.25" hidden="1">
      <c r="A2272" s="559"/>
      <c r="E2272" s="579"/>
      <c r="F2272" s="580"/>
      <c r="G2272" s="579"/>
      <c r="H2272" s="579" t="s">
        <v>3888</v>
      </c>
      <c r="I2272" s="582"/>
      <c r="J2272" s="579"/>
      <c r="K2272" s="579">
        <f>SUM(K2260:K2271)</f>
        <v>4555.9661499999993</v>
      </c>
    </row>
    <row r="2273" spans="1:11" ht="17.25" hidden="1">
      <c r="A2273" s="559"/>
      <c r="E2273" s="579"/>
      <c r="F2273" s="580"/>
      <c r="G2273" s="579" t="s">
        <v>30</v>
      </c>
      <c r="H2273" s="579"/>
      <c r="I2273" s="582"/>
      <c r="J2273" s="579"/>
      <c r="K2273" s="589" t="s">
        <v>442</v>
      </c>
    </row>
    <row r="2274" spans="1:11" ht="17.25" hidden="1">
      <c r="A2274" s="559"/>
      <c r="E2274" s="579"/>
      <c r="F2274" s="580"/>
      <c r="G2274" s="579"/>
      <c r="H2274" s="579" t="s">
        <v>2355</v>
      </c>
      <c r="I2274" s="582"/>
      <c r="J2274" s="579"/>
      <c r="K2274" s="579">
        <f>K2272/F2269</f>
        <v>1807.9230753968252</v>
      </c>
    </row>
    <row r="2275" spans="1:11" ht="17.25" hidden="1">
      <c r="A2275" s="559"/>
      <c r="E2275" s="579"/>
      <c r="F2275" s="580"/>
      <c r="G2275" s="579"/>
      <c r="H2275" s="579"/>
      <c r="I2275" s="582"/>
      <c r="J2275" s="579"/>
      <c r="K2275" s="579"/>
    </row>
    <row r="2276" spans="1:11" ht="17.25" hidden="1">
      <c r="A2276" s="559"/>
      <c r="E2276" s="579"/>
      <c r="F2276" s="579"/>
      <c r="G2276" s="580"/>
      <c r="H2276" s="579"/>
      <c r="I2276" s="579"/>
      <c r="J2276" s="582"/>
      <c r="K2276" s="579"/>
    </row>
    <row r="2277" spans="1:11" ht="17.25" hidden="1">
      <c r="A2277" s="559"/>
      <c r="E2277" s="579"/>
      <c r="F2277" s="579"/>
      <c r="G2277" s="580"/>
      <c r="H2277" s="579"/>
      <c r="I2277" s="579"/>
      <c r="J2277" s="582"/>
      <c r="K2277" s="579"/>
    </row>
    <row r="2278" spans="1:11" ht="51.75" hidden="1">
      <c r="A2278" s="559"/>
      <c r="E2278" s="579"/>
      <c r="F2278" s="579"/>
      <c r="G2278" s="580"/>
      <c r="H2278" s="586" t="s">
        <v>4357</v>
      </c>
      <c r="I2278" s="579"/>
      <c r="J2278" s="582" t="s">
        <v>556</v>
      </c>
      <c r="K2278" s="579">
        <v>600</v>
      </c>
    </row>
    <row r="2279" spans="1:11" ht="17.25" hidden="1">
      <c r="A2279" s="559"/>
      <c r="E2279" s="579"/>
      <c r="F2279" s="579"/>
      <c r="G2279" s="580"/>
      <c r="H2279" s="579"/>
      <c r="I2279" s="579"/>
      <c r="J2279" s="582"/>
      <c r="K2279" s="579"/>
    </row>
    <row r="2280" spans="1:11" ht="17.25" hidden="1">
      <c r="A2280" s="559"/>
      <c r="E2280" s="579"/>
      <c r="F2280" s="579"/>
      <c r="G2280" s="580"/>
      <c r="H2280" s="579"/>
      <c r="I2280" s="579"/>
      <c r="J2280" s="582"/>
      <c r="K2280" s="579"/>
    </row>
    <row r="2281" spans="1:11" ht="17.25" hidden="1">
      <c r="A2281" s="559"/>
      <c r="E2281" s="579"/>
      <c r="F2281" s="579"/>
      <c r="G2281" s="580"/>
      <c r="H2281" s="586" t="s">
        <v>4358</v>
      </c>
      <c r="I2281" s="579"/>
      <c r="J2281" s="582" t="s">
        <v>556</v>
      </c>
      <c r="K2281" s="579">
        <v>300</v>
      </c>
    </row>
    <row r="2282" spans="1:11" ht="17.25" hidden="1">
      <c r="A2282" s="559"/>
      <c r="E2282" s="579"/>
      <c r="F2282" s="579"/>
      <c r="G2282" s="580"/>
      <c r="H2282" s="579"/>
      <c r="I2282" s="579"/>
      <c r="J2282" s="582"/>
      <c r="K2282" s="579"/>
    </row>
    <row r="2283" spans="1:11" ht="17.25" hidden="1">
      <c r="A2283" s="559"/>
      <c r="E2283" s="579"/>
      <c r="F2283" s="579"/>
      <c r="G2283" s="580"/>
      <c r="H2283" s="579"/>
      <c r="I2283" s="579"/>
      <c r="J2283" s="582"/>
      <c r="K2283" s="579"/>
    </row>
    <row r="2284" spans="1:11" ht="17.25" hidden="1">
      <c r="A2284" s="559"/>
      <c r="E2284" s="579"/>
      <c r="F2284" s="579"/>
      <c r="G2284" s="580"/>
      <c r="H2284" s="579"/>
      <c r="I2284" s="579"/>
      <c r="J2284" s="582"/>
      <c r="K2284" s="579"/>
    </row>
    <row r="2285" spans="1:11" ht="17.25" hidden="1">
      <c r="A2285" s="559"/>
      <c r="E2285" s="579"/>
      <c r="F2285" s="579"/>
      <c r="G2285" s="580"/>
      <c r="H2285" s="586" t="s">
        <v>4359</v>
      </c>
      <c r="I2285" s="579"/>
      <c r="J2285" s="582" t="s">
        <v>556</v>
      </c>
      <c r="K2285" s="579">
        <v>260</v>
      </c>
    </row>
    <row r="2286" spans="1:11" ht="17.25" hidden="1">
      <c r="A2286" s="559"/>
      <c r="E2286" s="579"/>
      <c r="F2286" s="579"/>
      <c r="G2286" s="580"/>
      <c r="H2286" s="579"/>
      <c r="I2286" s="579"/>
      <c r="J2286" s="582"/>
      <c r="K2286" s="579"/>
    </row>
    <row r="2287" spans="1:11" ht="17.25" hidden="1">
      <c r="A2287" s="559"/>
      <c r="E2287" s="579"/>
      <c r="F2287" s="579"/>
      <c r="G2287" s="580"/>
      <c r="H2287" s="579"/>
      <c r="I2287" s="579"/>
      <c r="J2287" s="582"/>
      <c r="K2287" s="579"/>
    </row>
    <row r="2288" spans="1:11" ht="17.25" hidden="1">
      <c r="A2288" s="559"/>
      <c r="E2288" s="579"/>
      <c r="F2288" s="579"/>
      <c r="G2288" s="580"/>
      <c r="H2288" s="579"/>
      <c r="I2288" s="579"/>
      <c r="J2288" s="582"/>
      <c r="K2288" s="579"/>
    </row>
    <row r="2289" spans="1:11" ht="34.5" hidden="1">
      <c r="A2289" s="559"/>
      <c r="E2289" s="579"/>
      <c r="F2289" s="579"/>
      <c r="G2289" s="580"/>
      <c r="H2289" s="586" t="s">
        <v>4360</v>
      </c>
      <c r="I2289" s="579"/>
      <c r="J2289" s="582" t="s">
        <v>556</v>
      </c>
      <c r="K2289" s="579">
        <v>650</v>
      </c>
    </row>
    <row r="2290" spans="1:11" ht="17.25" hidden="1">
      <c r="A2290" s="559"/>
      <c r="E2290" s="579"/>
      <c r="F2290" s="579"/>
      <c r="G2290" s="580"/>
      <c r="H2290" s="579"/>
      <c r="I2290" s="579"/>
      <c r="J2290" s="582"/>
      <c r="K2290" s="579"/>
    </row>
    <row r="2291" spans="1:11" ht="17.25" hidden="1">
      <c r="A2291" s="559"/>
      <c r="E2291" s="579"/>
      <c r="F2291" s="579"/>
      <c r="G2291" s="580"/>
      <c r="H2291" s="579"/>
      <c r="I2291" s="579"/>
      <c r="J2291" s="582"/>
      <c r="K2291" s="579"/>
    </row>
    <row r="2292" spans="1:11" ht="17.25" hidden="1">
      <c r="A2292" s="559"/>
      <c r="E2292" s="579"/>
      <c r="F2292" s="579"/>
      <c r="G2292" s="580"/>
      <c r="H2292" s="579" t="s">
        <v>4361</v>
      </c>
      <c r="I2292" s="579"/>
      <c r="J2292" s="582" t="s">
        <v>556</v>
      </c>
      <c r="K2292" s="579">
        <v>436</v>
      </c>
    </row>
    <row r="2293" spans="1:11" ht="17.25" hidden="1">
      <c r="A2293" s="559"/>
      <c r="E2293" s="579"/>
      <c r="F2293" s="579"/>
      <c r="G2293" s="580"/>
      <c r="H2293" s="579"/>
      <c r="I2293" s="579"/>
      <c r="J2293" s="582"/>
      <c r="K2293" s="579"/>
    </row>
    <row r="2294" spans="1:11" ht="17.25" hidden="1">
      <c r="A2294" s="559"/>
      <c r="E2294" s="579"/>
      <c r="F2294" s="579"/>
      <c r="G2294" s="580"/>
      <c r="H2294" s="579"/>
      <c r="I2294" s="579"/>
      <c r="J2294" s="582"/>
      <c r="K2294" s="579"/>
    </row>
    <row r="2295" spans="1:11" ht="17.25" hidden="1">
      <c r="A2295" s="559"/>
      <c r="E2295" s="579"/>
      <c r="F2295" s="579"/>
      <c r="G2295" s="580"/>
      <c r="H2295" s="579" t="s">
        <v>4362</v>
      </c>
      <c r="I2295" s="579"/>
      <c r="J2295" s="582" t="s">
        <v>556</v>
      </c>
      <c r="K2295" s="579">
        <v>518</v>
      </c>
    </row>
    <row r="2296" spans="1:11" ht="17.25" hidden="1">
      <c r="A2296" s="559"/>
      <c r="E2296" s="579"/>
      <c r="F2296" s="579"/>
      <c r="G2296" s="580"/>
      <c r="H2296" s="579"/>
      <c r="I2296" s="579"/>
      <c r="J2296" s="582"/>
      <c r="K2296" s="579"/>
    </row>
    <row r="2297" spans="1:11" ht="17.25" hidden="1">
      <c r="A2297" s="559"/>
      <c r="E2297" s="579"/>
      <c r="F2297" s="579"/>
      <c r="G2297" s="580"/>
      <c r="H2297" s="579"/>
      <c r="I2297" s="579"/>
      <c r="J2297" s="582"/>
      <c r="K2297" s="579"/>
    </row>
    <row r="2298" spans="1:11" ht="17.25" hidden="1">
      <c r="A2298" s="559"/>
      <c r="E2298" s="579"/>
      <c r="F2298" s="579"/>
      <c r="G2298" s="580"/>
      <c r="H2298" s="579"/>
      <c r="I2298" s="579"/>
      <c r="J2298" s="582"/>
      <c r="K2298" s="579"/>
    </row>
    <row r="2299" spans="1:11" ht="34.5" hidden="1">
      <c r="A2299" s="559"/>
      <c r="E2299" s="579"/>
      <c r="F2299" s="579"/>
      <c r="G2299" s="580"/>
      <c r="H2299" s="586" t="s">
        <v>4363</v>
      </c>
      <c r="I2299" s="579"/>
      <c r="J2299" s="582"/>
      <c r="K2299" s="579"/>
    </row>
    <row r="2300" spans="1:11" ht="17.25" hidden="1">
      <c r="A2300" s="559"/>
      <c r="E2300" s="579"/>
      <c r="F2300" s="579"/>
      <c r="G2300" s="580"/>
      <c r="H2300" s="579"/>
      <c r="I2300" s="579"/>
      <c r="J2300" s="582"/>
      <c r="K2300" s="579"/>
    </row>
    <row r="2301" spans="1:11" ht="17.25" hidden="1">
      <c r="A2301" s="559"/>
      <c r="E2301" s="579"/>
      <c r="F2301" s="579"/>
      <c r="G2301" s="580"/>
      <c r="H2301" s="579" t="s">
        <v>4364</v>
      </c>
      <c r="I2301" s="579"/>
      <c r="J2301" s="582"/>
      <c r="K2301" s="579"/>
    </row>
    <row r="2302" spans="1:11" ht="17.25" hidden="1">
      <c r="A2302" s="559"/>
      <c r="E2302" s="579"/>
      <c r="F2302" s="579"/>
      <c r="G2302" s="580"/>
      <c r="H2302" s="579" t="s">
        <v>4365</v>
      </c>
      <c r="I2302" s="579"/>
      <c r="J2302" s="582"/>
      <c r="K2302" s="579"/>
    </row>
    <row r="2303" spans="1:11" ht="17.25" hidden="1">
      <c r="A2303" s="559"/>
      <c r="E2303" s="579"/>
      <c r="F2303" s="579"/>
      <c r="G2303" s="580"/>
      <c r="H2303" s="579"/>
      <c r="I2303" s="579"/>
      <c r="J2303" s="582"/>
      <c r="K2303" s="579"/>
    </row>
    <row r="2304" spans="1:11" ht="17.25" hidden="1">
      <c r="A2304" s="559"/>
      <c r="E2304" s="579"/>
      <c r="F2304" s="579"/>
      <c r="G2304" s="580"/>
      <c r="H2304" s="579"/>
      <c r="I2304" s="579"/>
      <c r="J2304" s="582"/>
      <c r="K2304" s="579"/>
    </row>
    <row r="2305" spans="1:11" ht="17.25" hidden="1">
      <c r="A2305" s="559"/>
      <c r="E2305" s="579"/>
      <c r="F2305" s="579"/>
      <c r="G2305" s="580"/>
      <c r="H2305" s="579"/>
      <c r="I2305" s="579"/>
      <c r="J2305" s="582"/>
      <c r="K2305" s="579"/>
    </row>
    <row r="2306" spans="1:11" ht="17.25" hidden="1">
      <c r="A2306" s="559"/>
      <c r="E2306" s="579"/>
      <c r="F2306" s="579">
        <v>1.96</v>
      </c>
      <c r="G2306" s="580" t="s">
        <v>19</v>
      </c>
      <c r="H2306" s="579" t="s">
        <v>4366</v>
      </c>
      <c r="I2306" s="579" t="e">
        <f>K1644</f>
        <v>#REF!</v>
      </c>
      <c r="J2306" s="582" t="s">
        <v>19</v>
      </c>
      <c r="K2306" s="579" t="e">
        <f t="shared" ref="K2306:K2311" si="72">I2306*F2306</f>
        <v>#REF!</v>
      </c>
    </row>
    <row r="2307" spans="1:11" ht="17.25" hidden="1">
      <c r="A2307" s="559"/>
      <c r="E2307" s="579"/>
      <c r="F2307" s="579">
        <v>2</v>
      </c>
      <c r="G2307" s="580" t="s">
        <v>5</v>
      </c>
      <c r="H2307" s="579" t="s">
        <v>4367</v>
      </c>
      <c r="I2307" s="579">
        <f>C10</f>
        <v>150</v>
      </c>
      <c r="J2307" s="582" t="s">
        <v>5</v>
      </c>
      <c r="K2307" s="579">
        <f t="shared" si="72"/>
        <v>300</v>
      </c>
    </row>
    <row r="2308" spans="1:11" ht="17.25" hidden="1">
      <c r="A2308" s="559"/>
      <c r="E2308" s="579"/>
      <c r="F2308" s="579">
        <v>2</v>
      </c>
      <c r="G2308" s="580" t="s">
        <v>5</v>
      </c>
      <c r="H2308" s="579" t="s">
        <v>4368</v>
      </c>
      <c r="I2308" s="579">
        <f>C13</f>
        <v>85</v>
      </c>
      <c r="J2308" s="582" t="s">
        <v>5</v>
      </c>
      <c r="K2308" s="579">
        <f t="shared" si="72"/>
        <v>170</v>
      </c>
    </row>
    <row r="2309" spans="1:11" ht="17.25" hidden="1">
      <c r="A2309" s="559"/>
      <c r="E2309" s="579"/>
      <c r="F2309" s="579">
        <v>500</v>
      </c>
      <c r="G2309" s="580" t="s">
        <v>5</v>
      </c>
      <c r="H2309" s="579" t="s">
        <v>4369</v>
      </c>
      <c r="I2309" s="579">
        <v>2</v>
      </c>
      <c r="J2309" s="582" t="s">
        <v>5</v>
      </c>
      <c r="K2309" s="579">
        <f t="shared" si="72"/>
        <v>1000</v>
      </c>
    </row>
    <row r="2310" spans="1:11" ht="17.25" hidden="1">
      <c r="A2310" s="559"/>
      <c r="E2310" s="579"/>
      <c r="F2310" s="579">
        <v>8.5</v>
      </c>
      <c r="G2310" s="580" t="s">
        <v>4370</v>
      </c>
      <c r="H2310" s="579" t="s">
        <v>4371</v>
      </c>
      <c r="I2310" s="579">
        <v>25</v>
      </c>
      <c r="J2310" s="582" t="s">
        <v>4370</v>
      </c>
      <c r="K2310" s="579">
        <f t="shared" si="72"/>
        <v>212.5</v>
      </c>
    </row>
    <row r="2311" spans="1:11" ht="17.25" hidden="1">
      <c r="A2311" s="559"/>
      <c r="E2311" s="579"/>
      <c r="F2311" s="579">
        <v>0.28000000000000003</v>
      </c>
      <c r="G2311" s="580" t="s">
        <v>26</v>
      </c>
      <c r="H2311" s="579" t="s">
        <v>4372</v>
      </c>
      <c r="I2311" s="579">
        <f>K2448</f>
        <v>168.11849999999998</v>
      </c>
      <c r="J2311" s="582" t="s">
        <v>26</v>
      </c>
      <c r="K2311" s="579">
        <f t="shared" si="72"/>
        <v>47.073180000000001</v>
      </c>
    </row>
    <row r="2312" spans="1:11" ht="17.25" hidden="1">
      <c r="A2312" s="559"/>
      <c r="E2312" s="579"/>
      <c r="F2312" s="579"/>
      <c r="G2312" s="580"/>
      <c r="H2312" s="579"/>
      <c r="I2312" s="579"/>
      <c r="J2312" s="582"/>
      <c r="K2312" s="579" t="s">
        <v>4373</v>
      </c>
    </row>
    <row r="2313" spans="1:11" ht="17.25" hidden="1">
      <c r="A2313" s="559"/>
      <c r="E2313" s="579"/>
      <c r="F2313" s="579"/>
      <c r="G2313" s="580"/>
      <c r="H2313" s="579"/>
      <c r="I2313" s="579" t="s">
        <v>4374</v>
      </c>
      <c r="J2313" s="582">
        <v>39.200000000000003</v>
      </c>
      <c r="K2313" s="579" t="e">
        <f>SUM(K2306:K2312)</f>
        <v>#REF!</v>
      </c>
    </row>
    <row r="2314" spans="1:11" ht="17.25" hidden="1">
      <c r="A2314" s="559"/>
      <c r="E2314" s="579"/>
      <c r="F2314" s="579"/>
      <c r="G2314" s="580"/>
      <c r="H2314" s="579"/>
      <c r="I2314" s="579"/>
      <c r="J2314" s="582"/>
      <c r="K2314" s="579" t="s">
        <v>4375</v>
      </c>
    </row>
    <row r="2315" spans="1:11" ht="17.25" hidden="1">
      <c r="A2315" s="559"/>
      <c r="E2315" s="579"/>
      <c r="F2315" s="579"/>
      <c r="G2315" s="580"/>
      <c r="H2315" s="579"/>
      <c r="I2315" s="579"/>
      <c r="J2315" s="582"/>
      <c r="K2315" s="579"/>
    </row>
    <row r="2316" spans="1:11" ht="17.25" hidden="1">
      <c r="A2316" s="559"/>
      <c r="E2316" s="579"/>
      <c r="F2316" s="579"/>
      <c r="G2316" s="580"/>
      <c r="H2316" s="579"/>
      <c r="I2316" s="579" t="s">
        <v>4376</v>
      </c>
      <c r="J2316" s="582"/>
      <c r="K2316" s="590" t="e">
        <f>K2313/J2313</f>
        <v>#REF!</v>
      </c>
    </row>
    <row r="2317" spans="1:11" ht="17.25" hidden="1">
      <c r="A2317" s="559"/>
      <c r="E2317" s="579"/>
      <c r="F2317" s="579"/>
      <c r="G2317" s="580"/>
      <c r="H2317" s="579"/>
      <c r="I2317" s="579"/>
      <c r="J2317" s="582"/>
      <c r="K2317" s="589" t="s">
        <v>29</v>
      </c>
    </row>
    <row r="2318" spans="1:11" ht="17.25" hidden="1">
      <c r="A2318" s="559"/>
      <c r="E2318" s="579"/>
      <c r="F2318" s="579"/>
      <c r="G2318" s="580"/>
      <c r="H2318" s="579"/>
      <c r="I2318" s="579"/>
      <c r="J2318" s="582"/>
      <c r="K2318" s="579"/>
    </row>
    <row r="2319" spans="1:11" ht="34.5" hidden="1">
      <c r="A2319" s="559"/>
      <c r="E2319" s="579"/>
      <c r="F2319" s="579"/>
      <c r="G2319" s="580"/>
      <c r="H2319" s="586" t="s">
        <v>4377</v>
      </c>
      <c r="I2319" s="579"/>
      <c r="J2319" s="582"/>
      <c r="K2319" s="579"/>
    </row>
    <row r="2320" spans="1:11" ht="17.25" hidden="1">
      <c r="A2320" s="559"/>
      <c r="E2320" s="579"/>
      <c r="F2320" s="579"/>
      <c r="G2320" s="580"/>
      <c r="H2320" s="579"/>
      <c r="I2320" s="579"/>
      <c r="J2320" s="582"/>
      <c r="K2320" s="579"/>
    </row>
    <row r="2321" spans="1:11" ht="17.25" hidden="1">
      <c r="A2321" s="559"/>
      <c r="E2321" s="579"/>
      <c r="F2321" s="579">
        <v>4</v>
      </c>
      <c r="G2321" s="580" t="s">
        <v>12</v>
      </c>
      <c r="H2321" s="579" t="s">
        <v>4378</v>
      </c>
      <c r="I2321" s="579">
        <v>110</v>
      </c>
      <c r="J2321" s="582" t="s">
        <v>12</v>
      </c>
      <c r="K2321" s="579">
        <f t="shared" ref="K2321:K2328" si="73">I2321*F2321</f>
        <v>440</v>
      </c>
    </row>
    <row r="2322" spans="1:11" ht="17.25" hidden="1">
      <c r="A2322" s="559"/>
      <c r="E2322" s="579"/>
      <c r="F2322" s="579">
        <v>2.52</v>
      </c>
      <c r="G2322" s="580" t="s">
        <v>40</v>
      </c>
      <c r="H2322" s="579" t="s">
        <v>4379</v>
      </c>
      <c r="I2322" s="579">
        <v>30</v>
      </c>
      <c r="J2322" s="582" t="s">
        <v>40</v>
      </c>
      <c r="K2322" s="579">
        <f t="shared" si="73"/>
        <v>75.599999999999994</v>
      </c>
    </row>
    <row r="2323" spans="1:11" ht="17.25" hidden="1">
      <c r="A2323" s="559"/>
      <c r="E2323" s="579"/>
      <c r="F2323" s="579">
        <v>1.1299999999999999</v>
      </c>
      <c r="G2323" s="580" t="s">
        <v>40</v>
      </c>
      <c r="H2323" s="579" t="s">
        <v>4380</v>
      </c>
      <c r="I2323" s="579">
        <v>30</v>
      </c>
      <c r="J2323" s="582" t="s">
        <v>40</v>
      </c>
      <c r="K2323" s="579">
        <f t="shared" si="73"/>
        <v>33.9</v>
      </c>
    </row>
    <row r="2324" spans="1:11" ht="17.25" hidden="1">
      <c r="A2324" s="559"/>
      <c r="E2324" s="579"/>
      <c r="F2324" s="579">
        <v>0.35</v>
      </c>
      <c r="G2324" s="580" t="s">
        <v>40</v>
      </c>
      <c r="H2324" s="579" t="s">
        <v>4381</v>
      </c>
      <c r="I2324" s="579">
        <v>30</v>
      </c>
      <c r="J2324" s="582" t="s">
        <v>40</v>
      </c>
      <c r="K2324" s="579">
        <f t="shared" si="73"/>
        <v>10.5</v>
      </c>
    </row>
    <row r="2325" spans="1:11" ht="17.25" hidden="1">
      <c r="A2325" s="559"/>
      <c r="E2325" s="579"/>
      <c r="F2325" s="579">
        <v>4</v>
      </c>
      <c r="G2325" s="580" t="s">
        <v>40</v>
      </c>
      <c r="H2325" s="579" t="s">
        <v>4382</v>
      </c>
      <c r="I2325" s="579">
        <v>12.25</v>
      </c>
      <c r="J2325" s="582" t="s">
        <v>40</v>
      </c>
      <c r="K2325" s="579">
        <f t="shared" si="73"/>
        <v>49</v>
      </c>
    </row>
    <row r="2326" spans="1:11" ht="17.25" hidden="1">
      <c r="A2326" s="559"/>
      <c r="E2326" s="579"/>
      <c r="F2326" s="579">
        <v>6</v>
      </c>
      <c r="G2326" s="580" t="s">
        <v>13</v>
      </c>
      <c r="H2326" s="579" t="s">
        <v>4383</v>
      </c>
      <c r="I2326" s="579">
        <v>1</v>
      </c>
      <c r="J2326" s="582" t="s">
        <v>556</v>
      </c>
      <c r="K2326" s="579">
        <f t="shared" si="73"/>
        <v>6</v>
      </c>
    </row>
    <row r="2327" spans="1:11" ht="17.25" hidden="1">
      <c r="A2327" s="559"/>
      <c r="E2327" s="579"/>
      <c r="F2327" s="579">
        <v>0.5</v>
      </c>
      <c r="G2327" s="580" t="s">
        <v>13</v>
      </c>
      <c r="H2327" s="579" t="s">
        <v>4384</v>
      </c>
      <c r="I2327" s="579">
        <f>C12</f>
        <v>95</v>
      </c>
      <c r="J2327" s="582" t="s">
        <v>556</v>
      </c>
      <c r="K2327" s="579">
        <f t="shared" si="73"/>
        <v>47.5</v>
      </c>
    </row>
    <row r="2328" spans="1:11" ht="17.25" hidden="1">
      <c r="A2328" s="559"/>
      <c r="E2328" s="579"/>
      <c r="F2328" s="579">
        <v>0.5</v>
      </c>
      <c r="G2328" s="580" t="s">
        <v>13</v>
      </c>
      <c r="H2328" s="579" t="s">
        <v>4385</v>
      </c>
      <c r="I2328" s="579">
        <f>C13</f>
        <v>85</v>
      </c>
      <c r="J2328" s="582" t="s">
        <v>556</v>
      </c>
      <c r="K2328" s="579">
        <f t="shared" si="73"/>
        <v>42.5</v>
      </c>
    </row>
    <row r="2329" spans="1:11" ht="17.25" hidden="1">
      <c r="A2329" s="559"/>
      <c r="E2329" s="579"/>
      <c r="F2329" s="584" t="s">
        <v>2346</v>
      </c>
      <c r="G2329" s="580"/>
      <c r="H2329" s="579" t="s">
        <v>4386</v>
      </c>
      <c r="I2329" s="579"/>
      <c r="J2329" s="582" t="s">
        <v>2346</v>
      </c>
      <c r="K2329" s="579">
        <v>19.22</v>
      </c>
    </row>
    <row r="2330" spans="1:11" ht="17.25" hidden="1">
      <c r="A2330" s="559"/>
      <c r="E2330" s="579"/>
      <c r="F2330" s="579"/>
      <c r="G2330" s="580"/>
      <c r="H2330" s="579"/>
      <c r="I2330" s="579"/>
      <c r="J2330" s="582"/>
      <c r="K2330" s="579"/>
    </row>
    <row r="2331" spans="1:11" ht="17.25" hidden="1">
      <c r="A2331" s="559"/>
      <c r="E2331" s="579"/>
      <c r="F2331" s="579"/>
      <c r="G2331" s="580"/>
      <c r="H2331" s="579"/>
      <c r="I2331" s="579"/>
      <c r="J2331" s="582"/>
      <c r="K2331" s="579" t="s">
        <v>4387</v>
      </c>
    </row>
    <row r="2332" spans="1:11" ht="17.25" hidden="1">
      <c r="A2332" s="559"/>
      <c r="E2332" s="579"/>
      <c r="F2332" s="579"/>
      <c r="G2332" s="580"/>
      <c r="H2332" s="579"/>
      <c r="I2332" s="579" t="s">
        <v>4388</v>
      </c>
      <c r="J2332" s="582" t="s">
        <v>4389</v>
      </c>
      <c r="K2332" s="579">
        <f>SUM(K2321:K2331)</f>
        <v>724.22</v>
      </c>
    </row>
    <row r="2333" spans="1:11" ht="17.25" hidden="1">
      <c r="A2333" s="559"/>
      <c r="E2333" s="579"/>
      <c r="F2333" s="579"/>
      <c r="G2333" s="580"/>
      <c r="H2333" s="579"/>
      <c r="I2333" s="579">
        <v>2</v>
      </c>
      <c r="J2333" s="591" t="s">
        <v>13</v>
      </c>
      <c r="K2333" s="579" t="s">
        <v>4375</v>
      </c>
    </row>
    <row r="2334" spans="1:11" ht="17.25" hidden="1">
      <c r="A2334" s="559"/>
      <c r="E2334" s="579"/>
      <c r="F2334" s="579"/>
      <c r="G2334" s="580"/>
      <c r="H2334" s="579"/>
      <c r="I2334" s="586"/>
      <c r="J2334" s="582"/>
      <c r="K2334" s="579"/>
    </row>
    <row r="2335" spans="1:11" ht="17.25" hidden="1">
      <c r="A2335" s="559"/>
      <c r="E2335" s="579"/>
      <c r="F2335" s="579"/>
      <c r="G2335" s="580"/>
      <c r="H2335" s="579"/>
      <c r="I2335" s="579"/>
      <c r="J2335" s="582"/>
      <c r="K2335" s="579"/>
    </row>
    <row r="2336" spans="1:11" ht="17.25" hidden="1">
      <c r="A2336" s="559"/>
      <c r="E2336" s="579"/>
      <c r="F2336" s="579"/>
      <c r="G2336" s="580"/>
      <c r="H2336" s="579"/>
      <c r="I2336" s="579" t="s">
        <v>2373</v>
      </c>
      <c r="J2336" s="582"/>
      <c r="K2336" s="590">
        <f>K2332/I2333</f>
        <v>362.11</v>
      </c>
    </row>
    <row r="2337" spans="1:12" ht="17.25" hidden="1">
      <c r="A2337" s="559"/>
      <c r="E2337" s="579"/>
      <c r="F2337" s="579"/>
      <c r="G2337" s="580"/>
      <c r="H2337" s="579"/>
      <c r="I2337" s="579"/>
      <c r="J2337" s="582"/>
      <c r="K2337" s="589" t="s">
        <v>29</v>
      </c>
    </row>
    <row r="2338" spans="1:12" ht="17.25" hidden="1">
      <c r="A2338" s="559"/>
      <c r="E2338" s="579"/>
      <c r="F2338" s="579"/>
      <c r="G2338" s="580"/>
      <c r="H2338" s="579"/>
      <c r="I2338" s="579"/>
      <c r="J2338" s="582"/>
      <c r="K2338" s="579"/>
    </row>
    <row r="2339" spans="1:12" ht="19.5" hidden="1">
      <c r="A2339" s="559"/>
      <c r="E2339" s="579"/>
      <c r="F2339" s="592"/>
      <c r="G2339" s="592"/>
      <c r="H2339" s="592"/>
      <c r="I2339" s="592"/>
      <c r="J2339" s="592"/>
      <c r="K2339" s="592"/>
      <c r="L2339" s="593"/>
    </row>
    <row r="2340" spans="1:12" ht="17.25" hidden="1">
      <c r="A2340" s="559"/>
      <c r="E2340" s="579"/>
      <c r="F2340" s="579"/>
      <c r="G2340" s="579"/>
      <c r="H2340" s="579"/>
      <c r="I2340" s="579"/>
      <c r="J2340" s="579"/>
      <c r="K2340" s="579"/>
    </row>
    <row r="2341" spans="1:12" ht="18" hidden="1">
      <c r="A2341" s="559"/>
      <c r="E2341" s="1619" t="s">
        <v>4390</v>
      </c>
      <c r="F2341" s="1619"/>
      <c r="G2341" s="1619"/>
      <c r="H2341" s="1619"/>
      <c r="I2341" s="1619"/>
      <c r="J2341" s="1619"/>
      <c r="K2341" s="1619"/>
      <c r="L2341" s="594"/>
    </row>
    <row r="2342" spans="1:12" ht="18" hidden="1">
      <c r="A2342" s="559"/>
      <c r="E2342" s="595"/>
      <c r="F2342" s="595"/>
      <c r="G2342" s="595"/>
      <c r="H2342" s="595"/>
      <c r="I2342" s="595"/>
      <c r="J2342" s="595"/>
      <c r="K2342" s="595"/>
      <c r="L2342" s="596"/>
    </row>
    <row r="2343" spans="1:12" ht="18" hidden="1">
      <c r="A2343" s="559"/>
      <c r="E2343" s="597"/>
      <c r="F2343" s="594" t="s">
        <v>7</v>
      </c>
      <c r="G2343" s="593"/>
      <c r="H2343" s="598" t="s">
        <v>1675</v>
      </c>
      <c r="I2343" s="594" t="s">
        <v>563</v>
      </c>
      <c r="J2343" s="598" t="s">
        <v>4391</v>
      </c>
      <c r="K2343" s="594" t="s">
        <v>571</v>
      </c>
      <c r="L2343" s="599"/>
    </row>
    <row r="2344" spans="1:12" ht="18" hidden="1">
      <c r="A2344" s="559"/>
      <c r="E2344" s="600">
        <v>18.100000000000001</v>
      </c>
      <c r="F2344" s="601" t="s">
        <v>4392</v>
      </c>
      <c r="G2344" s="595"/>
      <c r="H2344" s="602" t="s">
        <v>4393</v>
      </c>
      <c r="I2344" s="596"/>
      <c r="J2344" s="596"/>
      <c r="K2344" s="596"/>
      <c r="L2344" s="599"/>
    </row>
    <row r="2345" spans="1:12" ht="18" hidden="1">
      <c r="A2345" s="559"/>
      <c r="E2345" s="597"/>
      <c r="F2345" s="599"/>
      <c r="G2345" s="597"/>
      <c r="H2345" s="603" t="s">
        <v>4394</v>
      </c>
      <c r="I2345" s="599"/>
      <c r="J2345" s="597"/>
      <c r="K2345" s="599"/>
      <c r="L2345" s="599"/>
    </row>
    <row r="2346" spans="1:12" ht="21" hidden="1">
      <c r="A2346" s="559"/>
      <c r="E2346" s="597"/>
      <c r="F2346" s="599"/>
      <c r="G2346" s="597"/>
      <c r="H2346" s="603" t="s">
        <v>4395</v>
      </c>
      <c r="I2346" s="599"/>
      <c r="J2346" s="597"/>
      <c r="K2346" s="599"/>
      <c r="L2346" s="599"/>
    </row>
    <row r="2347" spans="1:12" ht="21" hidden="1">
      <c r="A2347" s="559"/>
      <c r="E2347" s="597"/>
      <c r="F2347" s="599"/>
      <c r="G2347" s="597"/>
      <c r="H2347" s="603" t="s">
        <v>4396</v>
      </c>
      <c r="I2347" s="599"/>
      <c r="J2347" s="597"/>
      <c r="K2347" s="599"/>
      <c r="L2347" s="599"/>
    </row>
    <row r="2348" spans="1:12" ht="18" hidden="1">
      <c r="A2348" s="559"/>
      <c r="E2348" s="597"/>
      <c r="F2348" s="599"/>
      <c r="G2348" s="597"/>
      <c r="H2348" s="603" t="s">
        <v>4397</v>
      </c>
      <c r="I2348" s="599"/>
      <c r="J2348" s="597"/>
      <c r="K2348" s="599"/>
      <c r="L2348" s="599"/>
    </row>
    <row r="2349" spans="1:12" ht="39" hidden="1">
      <c r="A2349" s="559"/>
      <c r="E2349" s="597"/>
      <c r="F2349" s="599"/>
      <c r="G2349" s="597"/>
      <c r="H2349" s="603" t="s">
        <v>4398</v>
      </c>
      <c r="I2349" s="599"/>
      <c r="J2349" s="597"/>
      <c r="K2349" s="599"/>
      <c r="L2349" s="599"/>
    </row>
    <row r="2350" spans="1:12" ht="72" hidden="1">
      <c r="A2350" s="559"/>
      <c r="E2350" s="597"/>
      <c r="F2350" s="599"/>
      <c r="G2350" s="597"/>
      <c r="H2350" s="603" t="s">
        <v>4399</v>
      </c>
      <c r="I2350" s="599"/>
      <c r="J2350" s="597"/>
      <c r="K2350" s="599"/>
      <c r="L2350" s="599"/>
    </row>
    <row r="2351" spans="1:12" ht="36" hidden="1">
      <c r="A2351" s="559"/>
      <c r="E2351" s="597"/>
      <c r="F2351" s="599"/>
      <c r="G2351" s="597"/>
      <c r="H2351" s="603" t="s">
        <v>4400</v>
      </c>
      <c r="I2351" s="599"/>
      <c r="J2351" s="597"/>
      <c r="K2351" s="599"/>
      <c r="L2351" s="599"/>
    </row>
    <row r="2352" spans="1:12" ht="39" hidden="1">
      <c r="A2352" s="559"/>
      <c r="E2352" s="597"/>
      <c r="F2352" s="599"/>
      <c r="G2352" s="597"/>
      <c r="H2352" s="603" t="s">
        <v>4401</v>
      </c>
      <c r="I2352" s="599"/>
      <c r="J2352" s="597"/>
      <c r="K2352" s="599"/>
      <c r="L2352" s="599"/>
    </row>
    <row r="2353" spans="1:12" ht="18" hidden="1">
      <c r="A2353" s="559"/>
      <c r="E2353" s="597"/>
      <c r="F2353" s="599"/>
      <c r="G2353" s="597"/>
      <c r="H2353" s="597"/>
      <c r="I2353" s="599"/>
      <c r="J2353" s="597"/>
      <c r="K2353" s="599"/>
      <c r="L2353" s="599"/>
    </row>
    <row r="2354" spans="1:12" ht="21" hidden="1">
      <c r="A2354" s="559"/>
      <c r="E2354" s="597"/>
      <c r="F2354" s="604">
        <v>62</v>
      </c>
      <c r="G2354" s="605" t="s">
        <v>4402</v>
      </c>
      <c r="H2354" s="606" t="s">
        <v>4403</v>
      </c>
      <c r="I2354" s="604">
        <f>K2378</f>
        <v>217.39849999999998</v>
      </c>
      <c r="J2354" s="605" t="s">
        <v>4402</v>
      </c>
      <c r="K2354" s="599">
        <f>I2354*F2354</f>
        <v>13478.706999999999</v>
      </c>
      <c r="L2354" s="599"/>
    </row>
    <row r="2355" spans="1:12" ht="21" hidden="1">
      <c r="A2355" s="559"/>
      <c r="E2355" s="597"/>
      <c r="F2355" s="604">
        <v>121.64</v>
      </c>
      <c r="G2355" s="605" t="s">
        <v>4402</v>
      </c>
      <c r="H2355" s="606" t="s">
        <v>4404</v>
      </c>
      <c r="I2355" s="604">
        <f>I2383</f>
        <v>168.11849999999998</v>
      </c>
      <c r="J2355" s="605" t="s">
        <v>4405</v>
      </c>
      <c r="K2355" s="599">
        <f>I2355*F2355</f>
        <v>20449.93434</v>
      </c>
      <c r="L2355" s="607"/>
    </row>
    <row r="2356" spans="1:12" ht="21" hidden="1">
      <c r="A2356" s="559"/>
      <c r="E2356" s="597"/>
      <c r="F2356" s="599"/>
      <c r="G2356" s="597"/>
      <c r="H2356" s="606" t="s">
        <v>4406</v>
      </c>
      <c r="I2356" s="599"/>
      <c r="J2356" s="597"/>
      <c r="K2356" s="599">
        <f>SUM(K2354:K2355)</f>
        <v>33928.641340000002</v>
      </c>
      <c r="L2356" s="608"/>
    </row>
    <row r="2357" spans="1:12" ht="21" hidden="1">
      <c r="A2357" s="559"/>
      <c r="E2357" s="597"/>
      <c r="F2357" s="599"/>
      <c r="G2357" s="597"/>
      <c r="H2357" s="606" t="s">
        <v>4407</v>
      </c>
      <c r="I2357" s="599"/>
      <c r="J2357" s="597"/>
      <c r="K2357" s="607">
        <f>K2356/F2354</f>
        <v>547.23615064516127</v>
      </c>
      <c r="L2357" s="599"/>
    </row>
    <row r="2358" spans="1:12" ht="18" hidden="1">
      <c r="A2358" s="559"/>
      <c r="E2358" s="597"/>
      <c r="F2358" s="599"/>
      <c r="G2358" s="597"/>
      <c r="H2358" s="605"/>
      <c r="I2358" s="599"/>
      <c r="J2358" s="597"/>
      <c r="K2358" s="608"/>
      <c r="L2358" s="599"/>
    </row>
    <row r="2359" spans="1:12" ht="36" hidden="1">
      <c r="A2359" s="559"/>
      <c r="E2359" s="609">
        <v>18.100000000000001</v>
      </c>
      <c r="F2359" s="601" t="s">
        <v>1673</v>
      </c>
      <c r="G2359" s="597"/>
      <c r="H2359" s="610" t="s">
        <v>4408</v>
      </c>
      <c r="I2359" s="599"/>
      <c r="J2359" s="597"/>
      <c r="K2359" s="599"/>
      <c r="L2359" s="599"/>
    </row>
    <row r="2360" spans="1:12" ht="18" hidden="1">
      <c r="A2360" s="559"/>
      <c r="E2360" s="597"/>
      <c r="F2360" s="599"/>
      <c r="G2360" s="597"/>
      <c r="H2360" s="597"/>
      <c r="I2360" s="599"/>
      <c r="J2360" s="597"/>
      <c r="K2360" s="599"/>
      <c r="L2360" s="599"/>
    </row>
    <row r="2361" spans="1:12" ht="18" hidden="1">
      <c r="A2361" s="559"/>
      <c r="E2361" s="597"/>
      <c r="F2361" s="604">
        <v>13.46</v>
      </c>
      <c r="G2361" s="605" t="s">
        <v>40</v>
      </c>
      <c r="H2361" s="603" t="s">
        <v>4409</v>
      </c>
      <c r="I2361" s="604">
        <f>I706</f>
        <v>30</v>
      </c>
      <c r="J2361" s="605" t="s">
        <v>40</v>
      </c>
      <c r="K2361" s="599">
        <f>I2361*F2361</f>
        <v>403.8</v>
      </c>
      <c r="L2361" s="599"/>
    </row>
    <row r="2362" spans="1:12" ht="18" hidden="1">
      <c r="A2362" s="559"/>
      <c r="E2362" s="597"/>
      <c r="F2362" s="604">
        <v>4</v>
      </c>
      <c r="G2362" s="605" t="s">
        <v>40</v>
      </c>
      <c r="H2362" s="603" t="s">
        <v>4410</v>
      </c>
      <c r="I2362" s="604">
        <f>I708</f>
        <v>30</v>
      </c>
      <c r="J2362" s="605" t="s">
        <v>40</v>
      </c>
      <c r="K2362" s="599">
        <f>I2362*F2362</f>
        <v>120</v>
      </c>
      <c r="L2362" s="611"/>
    </row>
    <row r="2363" spans="1:12" ht="36" hidden="1">
      <c r="A2363" s="559"/>
      <c r="E2363" s="597"/>
      <c r="F2363" s="604">
        <v>1</v>
      </c>
      <c r="G2363" s="605" t="s">
        <v>4411</v>
      </c>
      <c r="H2363" s="603" t="s">
        <v>4412</v>
      </c>
      <c r="I2363" s="604">
        <v>40</v>
      </c>
      <c r="J2363" s="605" t="s">
        <v>2346</v>
      </c>
      <c r="K2363" s="599">
        <f>I2363*F2363</f>
        <v>40</v>
      </c>
      <c r="L2363" s="599"/>
    </row>
    <row r="2364" spans="1:12" ht="18" hidden="1">
      <c r="A2364" s="559"/>
      <c r="E2364" s="597"/>
      <c r="F2364" s="599"/>
      <c r="G2364" s="597"/>
      <c r="H2364" s="612" t="s">
        <v>4413</v>
      </c>
      <c r="I2364" s="599"/>
      <c r="J2364" s="597"/>
      <c r="K2364" s="611">
        <f>SUM(K2361:K2363)</f>
        <v>563.79999999999995</v>
      </c>
      <c r="L2364" s="599"/>
    </row>
    <row r="2365" spans="1:12" ht="18" hidden="1">
      <c r="A2365" s="559"/>
      <c r="E2365" s="597"/>
      <c r="F2365" s="599"/>
      <c r="G2365" s="597"/>
      <c r="H2365" s="612" t="s">
        <v>4414</v>
      </c>
      <c r="I2365" s="608">
        <f>K2364/40</f>
        <v>14.094999999999999</v>
      </c>
      <c r="J2365" s="597"/>
      <c r="K2365" s="599"/>
      <c r="L2365" s="599"/>
    </row>
    <row r="2366" spans="1:12" ht="18" hidden="1">
      <c r="A2366" s="559"/>
      <c r="E2366" s="597"/>
      <c r="F2366" s="599"/>
      <c r="G2366" s="597"/>
      <c r="H2366" s="597"/>
      <c r="I2366" s="599"/>
      <c r="J2366" s="597"/>
      <c r="K2366" s="599"/>
      <c r="L2366" s="599"/>
    </row>
    <row r="2367" spans="1:12" ht="18" hidden="1">
      <c r="A2367" s="559"/>
      <c r="E2367" s="597"/>
      <c r="F2367" s="604">
        <v>19</v>
      </c>
      <c r="G2367" s="605" t="s">
        <v>5</v>
      </c>
      <c r="H2367" s="597" t="s">
        <v>4415</v>
      </c>
      <c r="I2367" s="604">
        <f>I2365</f>
        <v>14.094999999999999</v>
      </c>
      <c r="J2367" s="605" t="s">
        <v>4058</v>
      </c>
      <c r="K2367" s="599">
        <f>I2367*F2367</f>
        <v>267.80499999999995</v>
      </c>
      <c r="L2367" s="599"/>
    </row>
    <row r="2368" spans="1:12" ht="18" hidden="1">
      <c r="A2368" s="559"/>
      <c r="E2368" s="597"/>
      <c r="F2368" s="604">
        <v>0.12</v>
      </c>
      <c r="G2368" s="605" t="s">
        <v>4416</v>
      </c>
      <c r="H2368" s="597" t="s">
        <v>4417</v>
      </c>
      <c r="I2368" s="604">
        <f>C268/5</f>
        <v>1879</v>
      </c>
      <c r="J2368" s="605" t="s">
        <v>4416</v>
      </c>
      <c r="K2368" s="599">
        <f>I2368*F2368</f>
        <v>225.48</v>
      </c>
      <c r="L2368" s="599"/>
    </row>
    <row r="2369" spans="1:12" ht="18" hidden="1">
      <c r="A2369" s="559"/>
      <c r="E2369" s="597"/>
      <c r="F2369" s="604">
        <v>98.5</v>
      </c>
      <c r="G2369" s="605" t="s">
        <v>34</v>
      </c>
      <c r="H2369" s="597" t="s">
        <v>4418</v>
      </c>
      <c r="I2369" s="604">
        <f>C269/5</f>
        <v>3</v>
      </c>
      <c r="J2369" s="605" t="s">
        <v>34</v>
      </c>
      <c r="K2369" s="599">
        <f>I2369*F2369</f>
        <v>295.5</v>
      </c>
      <c r="L2369" s="613"/>
    </row>
    <row r="2370" spans="1:12" ht="18" hidden="1">
      <c r="A2370" s="559"/>
      <c r="E2370" s="597"/>
      <c r="F2370" s="1620" t="s">
        <v>2346</v>
      </c>
      <c r="G2370" s="1620"/>
      <c r="H2370" s="597" t="s">
        <v>4419</v>
      </c>
      <c r="I2370" s="604">
        <v>11</v>
      </c>
      <c r="J2370" s="605" t="s">
        <v>2346</v>
      </c>
      <c r="K2370" s="599">
        <f>I2370</f>
        <v>11</v>
      </c>
      <c r="L2370" s="613"/>
    </row>
    <row r="2371" spans="1:12" ht="21" hidden="1">
      <c r="A2371" s="559"/>
      <c r="E2371" s="597"/>
      <c r="F2371" s="604">
        <v>3.8</v>
      </c>
      <c r="G2371" s="605" t="s">
        <v>5</v>
      </c>
      <c r="H2371" s="597" t="s">
        <v>4420</v>
      </c>
      <c r="I2371" s="604">
        <f>C16</f>
        <v>150</v>
      </c>
      <c r="J2371" s="605" t="s">
        <v>5</v>
      </c>
      <c r="K2371" s="613">
        <f>I2371*F2371</f>
        <v>570</v>
      </c>
      <c r="L2371" s="613"/>
    </row>
    <row r="2372" spans="1:12" ht="21" hidden="1">
      <c r="A2372" s="559"/>
      <c r="E2372" s="597"/>
      <c r="F2372" s="604">
        <v>5.4</v>
      </c>
      <c r="G2372" s="605" t="s">
        <v>5</v>
      </c>
      <c r="H2372" s="597" t="s">
        <v>4421</v>
      </c>
      <c r="I2372" s="604">
        <f>C12</f>
        <v>95</v>
      </c>
      <c r="J2372" s="605" t="s">
        <v>5</v>
      </c>
      <c r="K2372" s="613">
        <f>I2372*F2372</f>
        <v>513</v>
      </c>
      <c r="L2372" s="599"/>
    </row>
    <row r="2373" spans="1:12" ht="21" hidden="1">
      <c r="A2373" s="559"/>
      <c r="E2373" s="597"/>
      <c r="F2373" s="604">
        <v>1</v>
      </c>
      <c r="G2373" s="605" t="s">
        <v>5</v>
      </c>
      <c r="H2373" s="597" t="s">
        <v>4422</v>
      </c>
      <c r="I2373" s="604">
        <f>D17</f>
        <v>120</v>
      </c>
      <c r="J2373" s="605" t="s">
        <v>5</v>
      </c>
      <c r="K2373" s="613">
        <f>I2373*F2373</f>
        <v>120</v>
      </c>
      <c r="L2373" s="614"/>
    </row>
    <row r="2374" spans="1:12" ht="18" hidden="1">
      <c r="A2374" s="559"/>
      <c r="E2374" s="597"/>
      <c r="F2374" s="1620" t="s">
        <v>2346</v>
      </c>
      <c r="G2374" s="1620"/>
      <c r="H2374" s="597" t="s">
        <v>4423</v>
      </c>
      <c r="I2374" s="1620" t="s">
        <v>2346</v>
      </c>
      <c r="J2374" s="1620"/>
      <c r="K2374" s="599">
        <v>10</v>
      </c>
      <c r="L2374" s="608"/>
    </row>
    <row r="2375" spans="1:12" ht="18" hidden="1">
      <c r="A2375" s="559"/>
      <c r="E2375" s="597"/>
      <c r="F2375" s="604">
        <v>19</v>
      </c>
      <c r="G2375" s="605" t="s">
        <v>4058</v>
      </c>
      <c r="H2375" s="597" t="s">
        <v>4424</v>
      </c>
      <c r="I2375" s="604">
        <v>2</v>
      </c>
      <c r="J2375" s="605" t="s">
        <v>2346</v>
      </c>
      <c r="K2375" s="614">
        <f>I2375*F2375</f>
        <v>38</v>
      </c>
      <c r="L2375" s="599"/>
    </row>
    <row r="2376" spans="1:12" ht="18" hidden="1">
      <c r="A2376" s="559"/>
      <c r="E2376" s="597"/>
      <c r="F2376" s="599"/>
      <c r="G2376" s="597"/>
      <c r="H2376" s="597"/>
      <c r="I2376" s="599"/>
      <c r="J2376" s="597"/>
      <c r="K2376" s="608">
        <f>SUM(K2367:K2375)</f>
        <v>2050.7849999999999</v>
      </c>
      <c r="L2376" s="608"/>
    </row>
    <row r="2377" spans="1:12" ht="21" hidden="1">
      <c r="A2377" s="559"/>
      <c r="E2377" s="597"/>
      <c r="F2377" s="599"/>
      <c r="G2377" s="597"/>
      <c r="H2377" s="612" t="s">
        <v>4425</v>
      </c>
      <c r="I2377" s="608">
        <f>K2376/10</f>
        <v>205.07849999999999</v>
      </c>
      <c r="J2377" s="597"/>
      <c r="K2377" s="599"/>
      <c r="L2377" s="599"/>
    </row>
    <row r="2378" spans="1:12" ht="18" hidden="1">
      <c r="A2378" s="559"/>
      <c r="E2378" s="597"/>
      <c r="F2378" s="599"/>
      <c r="G2378" s="597"/>
      <c r="H2378" s="598" t="s">
        <v>4426</v>
      </c>
      <c r="I2378" s="608">
        <f>I2377</f>
        <v>205.07849999999999</v>
      </c>
      <c r="J2378" s="615">
        <f>I2393</f>
        <v>12.32</v>
      </c>
      <c r="K2378" s="608">
        <f>I2378+J2378</f>
        <v>217.39849999999998</v>
      </c>
      <c r="L2378" s="599"/>
    </row>
    <row r="2379" spans="1:12" ht="36" hidden="1">
      <c r="A2379" s="559"/>
      <c r="E2379" s="609">
        <v>18.100000000000001</v>
      </c>
      <c r="F2379" s="601" t="s">
        <v>1672</v>
      </c>
      <c r="G2379" s="597"/>
      <c r="H2379" s="616" t="s">
        <v>4427</v>
      </c>
      <c r="I2379" s="599"/>
      <c r="J2379" s="597"/>
      <c r="K2379" s="599"/>
      <c r="L2379" s="599"/>
    </row>
    <row r="2380" spans="1:12" ht="18" hidden="1">
      <c r="A2380" s="559"/>
      <c r="E2380" s="597"/>
      <c r="F2380" s="599"/>
      <c r="G2380" s="597"/>
      <c r="H2380" s="597" t="s">
        <v>4428</v>
      </c>
      <c r="I2380" s="604">
        <f>K2376</f>
        <v>2050.7849999999999</v>
      </c>
      <c r="J2380" s="597"/>
      <c r="K2380" s="599"/>
      <c r="L2380" s="599"/>
    </row>
    <row r="2381" spans="1:12" ht="18" hidden="1">
      <c r="A2381" s="559"/>
      <c r="E2381" s="597"/>
      <c r="F2381" s="599"/>
      <c r="G2381" s="597"/>
      <c r="H2381" s="597" t="s">
        <v>4418</v>
      </c>
      <c r="I2381" s="604">
        <f>K2391</f>
        <v>369.6</v>
      </c>
      <c r="J2381" s="609" t="s">
        <v>4429</v>
      </c>
      <c r="K2381" s="599"/>
      <c r="L2381" s="599"/>
    </row>
    <row r="2382" spans="1:12" ht="18" hidden="1">
      <c r="A2382" s="559"/>
      <c r="E2382" s="597"/>
      <c r="F2382" s="599"/>
      <c r="G2382" s="597"/>
      <c r="H2382" s="597"/>
      <c r="I2382" s="601">
        <f>I2380-I2381</f>
        <v>1681.1849999999999</v>
      </c>
      <c r="J2382" s="597"/>
      <c r="K2382" s="599"/>
      <c r="L2382" s="599"/>
    </row>
    <row r="2383" spans="1:12" ht="21" hidden="1">
      <c r="A2383" s="559"/>
      <c r="E2383" s="597"/>
      <c r="F2383" s="599"/>
      <c r="G2383" s="597"/>
      <c r="H2383" s="612" t="s">
        <v>4425</v>
      </c>
      <c r="I2383" s="601">
        <f>I2382/10</f>
        <v>168.11849999999998</v>
      </c>
      <c r="J2383" s="597"/>
      <c r="K2383" s="599"/>
      <c r="L2383" s="599"/>
    </row>
    <row r="2384" spans="1:12" ht="18" hidden="1">
      <c r="A2384" s="559"/>
      <c r="E2384" s="597"/>
      <c r="F2384" s="599"/>
      <c r="G2384" s="597"/>
      <c r="H2384" s="597"/>
      <c r="I2384" s="599"/>
      <c r="J2384" s="597"/>
      <c r="K2384" s="599"/>
      <c r="L2384" s="599"/>
    </row>
    <row r="2385" spans="1:12" ht="18" hidden="1">
      <c r="A2385" s="559"/>
      <c r="E2385" s="597"/>
      <c r="F2385" s="599"/>
      <c r="G2385" s="597"/>
      <c r="H2385" s="609" t="s">
        <v>4430</v>
      </c>
      <c r="I2385" s="599"/>
      <c r="J2385" s="597"/>
      <c r="K2385" s="599"/>
      <c r="L2385" s="604"/>
    </row>
    <row r="2386" spans="1:12" ht="36" hidden="1">
      <c r="A2386" s="559"/>
      <c r="E2386" s="597"/>
      <c r="F2386" s="599"/>
      <c r="G2386" s="597"/>
      <c r="H2386" s="616" t="s">
        <v>4431</v>
      </c>
      <c r="I2386" s="599"/>
      <c r="J2386" s="597"/>
      <c r="K2386" s="599"/>
      <c r="L2386" s="604"/>
    </row>
    <row r="2387" spans="1:12" ht="36" hidden="1">
      <c r="A2387" s="559"/>
      <c r="E2387" s="597"/>
      <c r="F2387" s="604">
        <v>98.5</v>
      </c>
      <c r="G2387" s="605" t="s">
        <v>34</v>
      </c>
      <c r="H2387" s="617" t="s">
        <v>4432</v>
      </c>
      <c r="I2387" s="604">
        <f>I2369</f>
        <v>3</v>
      </c>
      <c r="J2387" s="605" t="s">
        <v>34</v>
      </c>
      <c r="K2387" s="604">
        <f>I2387*F2387</f>
        <v>295.5</v>
      </c>
      <c r="L2387" s="604"/>
    </row>
    <row r="2388" spans="1:12" ht="21" hidden="1">
      <c r="A2388" s="559"/>
      <c r="E2388" s="597"/>
      <c r="F2388" s="604">
        <v>0.3</v>
      </c>
      <c r="G2388" s="605" t="s">
        <v>4058</v>
      </c>
      <c r="H2388" s="617" t="s">
        <v>4433</v>
      </c>
      <c r="I2388" s="604">
        <f>I2371</f>
        <v>150</v>
      </c>
      <c r="J2388" s="605" t="s">
        <v>4058</v>
      </c>
      <c r="K2388" s="604">
        <f>I2388*F2388</f>
        <v>45</v>
      </c>
      <c r="L2388" s="604"/>
    </row>
    <row r="2389" spans="1:12" ht="21" hidden="1">
      <c r="A2389" s="559"/>
      <c r="E2389" s="597"/>
      <c r="F2389" s="604">
        <v>0.3</v>
      </c>
      <c r="G2389" s="605" t="s">
        <v>4058</v>
      </c>
      <c r="H2389" s="617" t="s">
        <v>4434</v>
      </c>
      <c r="I2389" s="604">
        <f>I2372</f>
        <v>95</v>
      </c>
      <c r="J2389" s="605" t="s">
        <v>4058</v>
      </c>
      <c r="K2389" s="604">
        <f>I2389*F2389</f>
        <v>28.5</v>
      </c>
      <c r="L2389" s="601"/>
    </row>
    <row r="2390" spans="1:12" ht="18" hidden="1">
      <c r="A2390" s="559"/>
      <c r="E2390" s="597"/>
      <c r="F2390" s="599"/>
      <c r="G2390" s="597"/>
      <c r="H2390" s="618" t="s">
        <v>4435</v>
      </c>
      <c r="I2390" s="1621" t="s">
        <v>2346</v>
      </c>
      <c r="J2390" s="1621"/>
      <c r="K2390" s="604">
        <v>0.6</v>
      </c>
      <c r="L2390" s="599"/>
    </row>
    <row r="2391" spans="1:12" ht="21" hidden="1">
      <c r="A2391" s="559"/>
      <c r="E2391" s="597"/>
      <c r="F2391" s="599"/>
      <c r="G2391" s="597"/>
      <c r="H2391" s="618" t="s">
        <v>4436</v>
      </c>
      <c r="I2391" s="599"/>
      <c r="J2391" s="597"/>
      <c r="K2391" s="601">
        <f>SUM(K2387:K2390)</f>
        <v>369.6</v>
      </c>
      <c r="L2391" s="599"/>
    </row>
    <row r="2392" spans="1:12" ht="21" hidden="1">
      <c r="A2392" s="559"/>
      <c r="E2392" s="597"/>
      <c r="F2392" s="599"/>
      <c r="G2392" s="597"/>
      <c r="H2392" s="618" t="s">
        <v>4437</v>
      </c>
      <c r="I2392" s="608">
        <f>K2391/10</f>
        <v>36.96</v>
      </c>
      <c r="J2392" s="597"/>
      <c r="K2392" s="599"/>
      <c r="L2392" s="599"/>
    </row>
    <row r="2393" spans="1:12" ht="18" hidden="1">
      <c r="A2393" s="559"/>
      <c r="E2393" s="597"/>
      <c r="F2393" s="599"/>
      <c r="G2393" s="597"/>
      <c r="H2393" s="618" t="s">
        <v>4438</v>
      </c>
      <c r="I2393" s="608">
        <f>I2392/3</f>
        <v>12.32</v>
      </c>
      <c r="J2393" s="597"/>
      <c r="K2393" s="599"/>
      <c r="L2393" s="599"/>
    </row>
    <row r="2394" spans="1:12" ht="18" hidden="1">
      <c r="A2394" s="559"/>
      <c r="E2394" s="597"/>
      <c r="F2394" s="599"/>
      <c r="G2394" s="597"/>
      <c r="H2394" s="617"/>
      <c r="I2394" s="599"/>
      <c r="J2394" s="597"/>
      <c r="K2394" s="599"/>
      <c r="L2394" s="599"/>
    </row>
    <row r="2395" spans="1:12" ht="54" hidden="1">
      <c r="A2395" s="559"/>
      <c r="E2395" s="609">
        <v>18.100000000000001</v>
      </c>
      <c r="F2395" s="601" t="s">
        <v>4137</v>
      </c>
      <c r="G2395" s="597"/>
      <c r="H2395" s="619" t="s">
        <v>4439</v>
      </c>
      <c r="I2395" s="601">
        <f>I2377*1.2</f>
        <v>246.09419999999997</v>
      </c>
      <c r="J2395" s="597"/>
      <c r="K2395" s="599"/>
    </row>
    <row r="2396" spans="1:12" ht="36" hidden="1">
      <c r="A2396" s="559"/>
      <c r="E2396" s="600">
        <v>18.100000000000001</v>
      </c>
      <c r="F2396" s="601" t="s">
        <v>4440</v>
      </c>
      <c r="G2396" s="597"/>
      <c r="H2396" s="620" t="s">
        <v>4441</v>
      </c>
      <c r="I2396" s="601">
        <f>I2377*1.1</f>
        <v>225.58635000000001</v>
      </c>
      <c r="J2396" s="597"/>
      <c r="K2396" s="599"/>
    </row>
    <row r="2397" spans="1:12" hidden="1">
      <c r="A2397" s="559"/>
      <c r="E2397" s="595"/>
      <c r="F2397" s="595"/>
      <c r="G2397" s="621"/>
      <c r="H2397" s="595"/>
      <c r="I2397" s="595"/>
      <c r="J2397" s="622"/>
      <c r="K2397" s="595"/>
    </row>
    <row r="2398" spans="1:12" hidden="1">
      <c r="A2398" s="559"/>
      <c r="E2398" s="595"/>
      <c r="F2398" s="595"/>
      <c r="G2398" s="621"/>
      <c r="H2398" s="595"/>
      <c r="I2398" s="595"/>
      <c r="J2398" s="622"/>
      <c r="K2398" s="595"/>
    </row>
    <row r="2399" spans="1:12" ht="23.25" hidden="1">
      <c r="A2399" s="559"/>
      <c r="E2399" s="595"/>
      <c r="F2399" s="2"/>
      <c r="G2399" s="485"/>
      <c r="H2399" s="623" t="s">
        <v>4442</v>
      </c>
      <c r="I2399" s="2"/>
      <c r="J2399" s="463"/>
      <c r="K2399" s="492"/>
    </row>
    <row r="2400" spans="1:12" hidden="1">
      <c r="A2400" s="559"/>
      <c r="E2400" s="595"/>
      <c r="F2400" s="624">
        <v>18.100000000000001</v>
      </c>
      <c r="G2400" s="489" t="s">
        <v>575</v>
      </c>
      <c r="H2400" s="490" t="s">
        <v>3325</v>
      </c>
      <c r="I2400" s="2"/>
      <c r="J2400" s="463"/>
      <c r="K2400" s="2"/>
    </row>
    <row r="2401" spans="1:11" hidden="1">
      <c r="A2401" s="559"/>
      <c r="E2401" s="595"/>
      <c r="F2401" s="2"/>
      <c r="G2401" s="485"/>
      <c r="H2401" s="490" t="s">
        <v>3328</v>
      </c>
      <c r="I2401" s="2"/>
      <c r="J2401" s="463"/>
      <c r="K2401" s="2"/>
    </row>
    <row r="2402" spans="1:11" hidden="1">
      <c r="A2402" s="559"/>
      <c r="E2402" s="595"/>
      <c r="F2402" s="2"/>
      <c r="G2402" s="485"/>
      <c r="H2402" s="490" t="s">
        <v>3330</v>
      </c>
      <c r="I2402" s="2"/>
      <c r="J2402" s="463"/>
      <c r="K2402" s="2"/>
    </row>
    <row r="2403" spans="1:11" hidden="1">
      <c r="A2403" s="559"/>
      <c r="E2403" s="595"/>
      <c r="F2403" s="2"/>
      <c r="G2403" s="485"/>
      <c r="H2403" s="490" t="s">
        <v>3332</v>
      </c>
      <c r="I2403" s="2"/>
      <c r="J2403" s="463"/>
      <c r="K2403" s="2"/>
    </row>
    <row r="2404" spans="1:11" hidden="1">
      <c r="A2404" s="559"/>
      <c r="E2404" s="595"/>
      <c r="F2404" s="2"/>
      <c r="G2404" s="485"/>
      <c r="H2404" s="490" t="s">
        <v>3334</v>
      </c>
      <c r="I2404" s="2"/>
      <c r="J2404" s="463"/>
      <c r="K2404" s="2"/>
    </row>
    <row r="2405" spans="1:11" hidden="1">
      <c r="A2405" s="559"/>
      <c r="E2405" s="595"/>
      <c r="F2405" s="2"/>
      <c r="G2405" s="485"/>
      <c r="H2405" s="490" t="s">
        <v>3338</v>
      </c>
      <c r="I2405" s="2"/>
      <c r="J2405" s="463"/>
      <c r="K2405" s="2"/>
    </row>
    <row r="2406" spans="1:11" hidden="1">
      <c r="A2406" s="559"/>
      <c r="E2406" s="595"/>
      <c r="F2406" s="2"/>
      <c r="G2406" s="485"/>
      <c r="H2406" s="490" t="s">
        <v>3340</v>
      </c>
      <c r="I2406" s="2"/>
      <c r="J2406" s="463"/>
      <c r="K2406" s="2"/>
    </row>
    <row r="2407" spans="1:11" hidden="1">
      <c r="A2407" s="559"/>
      <c r="E2407" s="595"/>
      <c r="F2407" s="2"/>
      <c r="G2407" s="485"/>
      <c r="H2407" s="491" t="s">
        <v>442</v>
      </c>
      <c r="I2407" s="491" t="s">
        <v>442</v>
      </c>
      <c r="J2407" s="500" t="s">
        <v>442</v>
      </c>
      <c r="K2407" s="2"/>
    </row>
    <row r="2408" spans="1:11" hidden="1">
      <c r="A2408" s="559"/>
      <c r="E2408" s="595"/>
      <c r="F2408" s="492">
        <v>13.46</v>
      </c>
      <c r="G2408" s="489" t="s">
        <v>1973</v>
      </c>
      <c r="H2408" s="490" t="s">
        <v>3343</v>
      </c>
      <c r="I2408" s="492">
        <f>I2361</f>
        <v>30</v>
      </c>
      <c r="J2408" s="500" t="s">
        <v>1973</v>
      </c>
      <c r="K2408" s="492">
        <f>(F2408*I2408)</f>
        <v>403.8</v>
      </c>
    </row>
    <row r="2409" spans="1:11" hidden="1">
      <c r="A2409" s="559"/>
      <c r="E2409" s="595"/>
      <c r="F2409" s="2"/>
      <c r="G2409" s="485"/>
      <c r="H2409" s="490" t="s">
        <v>3345</v>
      </c>
      <c r="I2409" s="2"/>
      <c r="J2409" s="463"/>
      <c r="K2409" s="2"/>
    </row>
    <row r="2410" spans="1:11" hidden="1">
      <c r="A2410" s="559"/>
      <c r="E2410" s="595"/>
      <c r="F2410" s="492">
        <v>4</v>
      </c>
      <c r="G2410" s="489" t="s">
        <v>1973</v>
      </c>
      <c r="H2410" s="490" t="s">
        <v>3347</v>
      </c>
      <c r="I2410" s="492">
        <f>I2362</f>
        <v>30</v>
      </c>
      <c r="J2410" s="500" t="s">
        <v>1973</v>
      </c>
      <c r="K2410" s="492">
        <f>(F2410*I2410)</f>
        <v>120</v>
      </c>
    </row>
    <row r="2411" spans="1:11" hidden="1">
      <c r="A2411" s="559"/>
      <c r="E2411" s="595"/>
      <c r="F2411" s="2"/>
      <c r="G2411" s="485"/>
      <c r="H2411" s="490" t="s">
        <v>3349</v>
      </c>
      <c r="I2411" s="2"/>
      <c r="J2411" s="463"/>
      <c r="K2411" s="2"/>
    </row>
    <row r="2412" spans="1:11" hidden="1">
      <c r="A2412" s="559"/>
      <c r="E2412" s="595"/>
      <c r="F2412" s="492"/>
      <c r="G2412" s="489" t="s">
        <v>2346</v>
      </c>
      <c r="H2412" s="490" t="s">
        <v>3350</v>
      </c>
      <c r="I2412" s="2"/>
      <c r="J2412" s="500" t="s">
        <v>2346</v>
      </c>
      <c r="K2412" s="492">
        <v>40</v>
      </c>
    </row>
    <row r="2413" spans="1:11" hidden="1">
      <c r="A2413" s="559"/>
      <c r="E2413" s="595"/>
      <c r="F2413" s="2"/>
      <c r="G2413" s="485"/>
      <c r="H2413" s="490" t="s">
        <v>3352</v>
      </c>
      <c r="I2413" s="2"/>
      <c r="J2413" s="463"/>
      <c r="K2413" s="491" t="s">
        <v>442</v>
      </c>
    </row>
    <row r="2414" spans="1:11" hidden="1">
      <c r="A2414" s="559"/>
      <c r="E2414" s="595"/>
      <c r="F2414" s="2"/>
      <c r="G2414" s="485"/>
      <c r="H2414" s="500" t="s">
        <v>3354</v>
      </c>
      <c r="I2414" s="2"/>
      <c r="J2414" s="463"/>
      <c r="K2414" s="492">
        <f>SUM(K2408:K2412)</f>
        <v>563.79999999999995</v>
      </c>
    </row>
    <row r="2415" spans="1:11" ht="17.25" hidden="1">
      <c r="A2415" s="559"/>
      <c r="E2415" s="579"/>
      <c r="F2415" s="2"/>
      <c r="G2415" s="485"/>
      <c r="H2415" s="2"/>
      <c r="I2415" s="2"/>
      <c r="J2415" s="463"/>
      <c r="K2415" s="491" t="s">
        <v>442</v>
      </c>
    </row>
    <row r="2416" spans="1:11" ht="17.25" hidden="1">
      <c r="A2416" s="559"/>
      <c r="E2416" s="579"/>
      <c r="F2416" s="2"/>
      <c r="G2416" s="485"/>
      <c r="H2416" s="500" t="s">
        <v>3358</v>
      </c>
      <c r="I2416" s="2"/>
      <c r="J2416" s="463"/>
      <c r="K2416" s="492">
        <f>K2414/40</f>
        <v>14.094999999999999</v>
      </c>
    </row>
    <row r="2417" spans="1:11" ht="17.25" hidden="1">
      <c r="A2417" s="559"/>
      <c r="E2417" s="579"/>
      <c r="F2417" s="2"/>
      <c r="G2417" s="485"/>
      <c r="H2417" s="2"/>
      <c r="I2417" s="2"/>
      <c r="J2417" s="463"/>
      <c r="K2417" s="491" t="s">
        <v>442</v>
      </c>
    </row>
    <row r="2418" spans="1:11" ht="17.25" hidden="1">
      <c r="A2418" s="559"/>
      <c r="E2418" s="579"/>
      <c r="F2418" s="2"/>
      <c r="G2418" s="485"/>
      <c r="H2418" s="490" t="s">
        <v>3361</v>
      </c>
      <c r="I2418" s="2"/>
      <c r="J2418" s="463"/>
      <c r="K2418" s="2"/>
    </row>
    <row r="2419" spans="1:11" ht="17.25" hidden="1">
      <c r="A2419" s="559"/>
      <c r="E2419" s="579"/>
      <c r="F2419" s="2"/>
      <c r="G2419" s="485"/>
      <c r="H2419" s="490" t="s">
        <v>3363</v>
      </c>
      <c r="I2419" s="2"/>
      <c r="J2419" s="463"/>
      <c r="K2419" s="2"/>
    </row>
    <row r="2420" spans="1:11" ht="17.25" hidden="1">
      <c r="A2420" s="559"/>
      <c r="E2420" s="579"/>
      <c r="F2420" s="2"/>
      <c r="G2420" s="485"/>
      <c r="H2420" s="490" t="s">
        <v>3365</v>
      </c>
      <c r="I2420" s="2"/>
      <c r="J2420" s="463"/>
      <c r="K2420" s="2"/>
    </row>
    <row r="2421" spans="1:11" ht="17.25" hidden="1">
      <c r="A2421" s="559"/>
      <c r="E2421" s="579"/>
      <c r="F2421" s="2"/>
      <c r="G2421" s="485"/>
      <c r="H2421" s="2"/>
      <c r="I2421" s="2"/>
      <c r="J2421" s="463"/>
      <c r="K2421" s="2"/>
    </row>
    <row r="2422" spans="1:11" ht="17.25" hidden="1">
      <c r="A2422" s="559"/>
      <c r="E2422" s="579"/>
      <c r="F2422" s="492">
        <v>19</v>
      </c>
      <c r="G2422" s="489" t="s">
        <v>13</v>
      </c>
      <c r="H2422" s="490" t="s">
        <v>3370</v>
      </c>
      <c r="I2422" s="492">
        <f>K2416</f>
        <v>14.094999999999999</v>
      </c>
      <c r="J2422" s="500" t="s">
        <v>3371</v>
      </c>
      <c r="K2422" s="492">
        <f>(F2422*I2422)</f>
        <v>267.80499999999995</v>
      </c>
    </row>
    <row r="2423" spans="1:11" ht="17.25" hidden="1">
      <c r="A2423" s="559"/>
      <c r="E2423" s="579"/>
      <c r="F2423" s="2"/>
      <c r="G2423" s="485"/>
      <c r="H2423" s="490" t="s">
        <v>3373</v>
      </c>
      <c r="I2423" s="2"/>
      <c r="J2423" s="463"/>
      <c r="K2423" s="492"/>
    </row>
    <row r="2424" spans="1:11" ht="17.25" hidden="1">
      <c r="A2424" s="559"/>
      <c r="E2424" s="579"/>
      <c r="F2424" s="492">
        <v>0.12</v>
      </c>
      <c r="G2424" s="489" t="s">
        <v>19</v>
      </c>
      <c r="H2424" s="490" t="s">
        <v>3375</v>
      </c>
      <c r="I2424" s="492">
        <f>9395/5</f>
        <v>1879</v>
      </c>
      <c r="J2424" s="500" t="s">
        <v>3371</v>
      </c>
      <c r="K2424" s="492">
        <f t="shared" ref="K2424:K2431" si="74">(F2424*I2424)</f>
        <v>225.48</v>
      </c>
    </row>
    <row r="2425" spans="1:11" ht="17.25" hidden="1">
      <c r="A2425" s="559"/>
      <c r="E2425" s="579"/>
      <c r="F2425" s="492">
        <v>98.5</v>
      </c>
      <c r="G2425" s="489" t="s">
        <v>12</v>
      </c>
      <c r="H2425" s="490" t="s">
        <v>3377</v>
      </c>
      <c r="I2425" s="492">
        <f>I2369</f>
        <v>3</v>
      </c>
      <c r="J2425" s="500" t="s">
        <v>3371</v>
      </c>
      <c r="K2425" s="492">
        <f t="shared" si="74"/>
        <v>295.5</v>
      </c>
    </row>
    <row r="2426" spans="1:11" ht="17.25" hidden="1">
      <c r="A2426" s="559"/>
      <c r="E2426" s="579"/>
      <c r="F2426" s="492">
        <v>1</v>
      </c>
      <c r="G2426" s="489" t="s">
        <v>2346</v>
      </c>
      <c r="H2426" s="490" t="s">
        <v>3379</v>
      </c>
      <c r="I2426" s="492">
        <v>11</v>
      </c>
      <c r="J2426" s="500" t="s">
        <v>2346</v>
      </c>
      <c r="K2426" s="492">
        <f t="shared" si="74"/>
        <v>11</v>
      </c>
    </row>
    <row r="2427" spans="1:11" ht="17.25" hidden="1">
      <c r="A2427" s="559"/>
      <c r="E2427" s="579"/>
      <c r="F2427" s="492">
        <v>3.8</v>
      </c>
      <c r="G2427" s="489" t="s">
        <v>5</v>
      </c>
      <c r="H2427" s="490" t="s">
        <v>3382</v>
      </c>
      <c r="I2427" s="492">
        <f>C16</f>
        <v>150</v>
      </c>
      <c r="J2427" s="500" t="s">
        <v>556</v>
      </c>
      <c r="K2427" s="492">
        <f t="shared" si="74"/>
        <v>570</v>
      </c>
    </row>
    <row r="2428" spans="1:11" ht="17.25" hidden="1">
      <c r="A2428" s="559"/>
      <c r="E2428" s="579"/>
      <c r="F2428" s="492">
        <v>5.4</v>
      </c>
      <c r="G2428" s="489" t="s">
        <v>5</v>
      </c>
      <c r="H2428" s="490" t="s">
        <v>3081</v>
      </c>
      <c r="I2428" s="492">
        <f>C12</f>
        <v>95</v>
      </c>
      <c r="J2428" s="500" t="s">
        <v>556</v>
      </c>
      <c r="K2428" s="492">
        <f t="shared" si="74"/>
        <v>513</v>
      </c>
    </row>
    <row r="2429" spans="1:11" ht="17.25" hidden="1">
      <c r="A2429" s="559"/>
      <c r="E2429" s="579"/>
      <c r="F2429" s="492">
        <v>1</v>
      </c>
      <c r="G2429" s="489" t="s">
        <v>5</v>
      </c>
      <c r="H2429" s="490" t="s">
        <v>3387</v>
      </c>
      <c r="I2429" s="492">
        <f>D17</f>
        <v>120</v>
      </c>
      <c r="J2429" s="500" t="s">
        <v>556</v>
      </c>
      <c r="K2429" s="492">
        <f t="shared" si="74"/>
        <v>120</v>
      </c>
    </row>
    <row r="2430" spans="1:11" ht="17.25" hidden="1">
      <c r="A2430" s="559"/>
      <c r="E2430" s="579"/>
      <c r="F2430" s="492">
        <v>1</v>
      </c>
      <c r="G2430" s="489" t="s">
        <v>2346</v>
      </c>
      <c r="H2430" s="490" t="s">
        <v>3389</v>
      </c>
      <c r="I2430" s="492">
        <v>10</v>
      </c>
      <c r="J2430" s="500" t="s">
        <v>2346</v>
      </c>
      <c r="K2430" s="492">
        <f t="shared" si="74"/>
        <v>10</v>
      </c>
    </row>
    <row r="2431" spans="1:11" ht="17.25" hidden="1">
      <c r="A2431" s="559"/>
      <c r="E2431" s="579"/>
      <c r="F2431" s="492">
        <v>19</v>
      </c>
      <c r="G2431" s="489" t="s">
        <v>13</v>
      </c>
      <c r="H2431" s="490" t="s">
        <v>3391</v>
      </c>
      <c r="I2431" s="492">
        <v>2</v>
      </c>
      <c r="J2431" s="500" t="s">
        <v>13</v>
      </c>
      <c r="K2431" s="492">
        <f t="shared" si="74"/>
        <v>38</v>
      </c>
    </row>
    <row r="2432" spans="1:11" ht="17.25" hidden="1">
      <c r="A2432" s="559"/>
      <c r="E2432" s="579"/>
      <c r="F2432" s="2"/>
      <c r="G2432" s="485"/>
      <c r="H2432" s="490" t="s">
        <v>3394</v>
      </c>
      <c r="I2432" s="2"/>
      <c r="J2432" s="463"/>
      <c r="K2432" s="491" t="s">
        <v>442</v>
      </c>
    </row>
    <row r="2433" spans="1:11" ht="17.25" hidden="1">
      <c r="A2433" s="559"/>
      <c r="E2433" s="579"/>
      <c r="F2433" s="2"/>
      <c r="G2433" s="485"/>
      <c r="H2433" s="500" t="s">
        <v>2358</v>
      </c>
      <c r="I2433" s="2"/>
      <c r="J2433" s="463"/>
      <c r="K2433" s="492">
        <f>SUM(K2422:K2431)</f>
        <v>2050.7849999999999</v>
      </c>
    </row>
    <row r="2434" spans="1:11" ht="17.25" hidden="1">
      <c r="A2434" s="559"/>
      <c r="E2434" s="579"/>
      <c r="F2434" s="2"/>
      <c r="G2434" s="485"/>
      <c r="H2434" s="2"/>
      <c r="I2434" s="2"/>
      <c r="J2434" s="463"/>
      <c r="K2434" s="491" t="s">
        <v>442</v>
      </c>
    </row>
    <row r="2435" spans="1:11" ht="17.25" hidden="1">
      <c r="A2435" s="559"/>
      <c r="E2435" s="579"/>
      <c r="F2435" s="2"/>
      <c r="G2435" s="485"/>
      <c r="H2435" s="500" t="s">
        <v>2355</v>
      </c>
      <c r="I2435" s="2"/>
      <c r="J2435" s="463"/>
      <c r="K2435" s="492">
        <f>(K2433/10)</f>
        <v>205.07849999999999</v>
      </c>
    </row>
    <row r="2436" spans="1:11" ht="17.25" hidden="1">
      <c r="A2436" s="559"/>
      <c r="E2436" s="579"/>
      <c r="F2436" s="490" t="s">
        <v>30</v>
      </c>
      <c r="G2436" s="485"/>
      <c r="H2436" s="2"/>
      <c r="I2436" s="2"/>
      <c r="J2436" s="463"/>
      <c r="K2436" s="2"/>
    </row>
    <row r="2437" spans="1:11" ht="17.25" hidden="1">
      <c r="A2437" s="559"/>
      <c r="E2437" s="579"/>
      <c r="F2437" s="2"/>
      <c r="G2437" s="485"/>
      <c r="H2437" s="2"/>
      <c r="I2437" s="2"/>
      <c r="J2437" s="463"/>
      <c r="K2437" s="491" t="s">
        <v>29</v>
      </c>
    </row>
    <row r="2438" spans="1:11" ht="30" hidden="1">
      <c r="A2438" s="559"/>
      <c r="E2438" s="579"/>
      <c r="F2438" s="625" t="s">
        <v>1672</v>
      </c>
      <c r="G2438" s="552"/>
      <c r="H2438" s="626" t="s">
        <v>4443</v>
      </c>
      <c r="I2438" s="2"/>
      <c r="J2438" s="463"/>
      <c r="K2438" s="2"/>
    </row>
    <row r="2439" spans="1:11" ht="17.25" hidden="1">
      <c r="A2439" s="559"/>
      <c r="E2439" s="579"/>
      <c r="F2439" s="552"/>
      <c r="G2439" s="485"/>
      <c r="H2439" s="2"/>
      <c r="I2439" s="2"/>
      <c r="J2439" s="463"/>
      <c r="K2439" s="627"/>
    </row>
    <row r="2440" spans="1:11" ht="17.25" hidden="1">
      <c r="A2440" s="559"/>
      <c r="E2440" s="579"/>
      <c r="F2440" s="2">
        <v>98.5</v>
      </c>
      <c r="G2440" s="485" t="s">
        <v>12</v>
      </c>
      <c r="H2440" s="490" t="s">
        <v>3377</v>
      </c>
      <c r="I2440" s="492">
        <f>I2425</f>
        <v>3</v>
      </c>
      <c r="J2440" s="500" t="s">
        <v>3371</v>
      </c>
      <c r="K2440" s="2">
        <f>(F2440*I2440)</f>
        <v>295.5</v>
      </c>
    </row>
    <row r="2441" spans="1:11" ht="17.25" hidden="1">
      <c r="A2441" s="559"/>
      <c r="E2441" s="579"/>
      <c r="F2441" s="2">
        <v>0.3</v>
      </c>
      <c r="G2441" s="485" t="s">
        <v>5</v>
      </c>
      <c r="H2441" s="490" t="s">
        <v>3382</v>
      </c>
      <c r="I2441" s="492">
        <f>I2427</f>
        <v>150</v>
      </c>
      <c r="J2441" s="500" t="s">
        <v>556</v>
      </c>
      <c r="K2441" s="2">
        <f>(F2441*I2441)</f>
        <v>45</v>
      </c>
    </row>
    <row r="2442" spans="1:11" ht="17.25" hidden="1">
      <c r="A2442" s="559"/>
      <c r="E2442" s="579"/>
      <c r="F2442" s="2">
        <v>0.3</v>
      </c>
      <c r="G2442" s="485" t="s">
        <v>5</v>
      </c>
      <c r="H2442" s="490" t="s">
        <v>3081</v>
      </c>
      <c r="I2442" s="492">
        <f>I2428</f>
        <v>95</v>
      </c>
      <c r="J2442" s="500" t="s">
        <v>556</v>
      </c>
      <c r="K2442" s="2">
        <f>(F2442*I2442)</f>
        <v>28.5</v>
      </c>
    </row>
    <row r="2443" spans="1:11" ht="17.25" hidden="1">
      <c r="A2443" s="559"/>
      <c r="E2443" s="579"/>
      <c r="F2443" s="2"/>
      <c r="G2443" s="485"/>
      <c r="H2443" s="490" t="s">
        <v>2390</v>
      </c>
      <c r="I2443" s="2"/>
      <c r="J2443" s="463" t="s">
        <v>4444</v>
      </c>
      <c r="K2443" s="627">
        <v>0.6</v>
      </c>
    </row>
    <row r="2444" spans="1:11" ht="17.25" hidden="1">
      <c r="A2444" s="559"/>
      <c r="E2444" s="579"/>
      <c r="F2444" s="2"/>
      <c r="G2444" s="485"/>
      <c r="H2444" s="500" t="s">
        <v>2358</v>
      </c>
      <c r="I2444" s="2"/>
      <c r="J2444" s="463"/>
      <c r="K2444" s="2">
        <f>SUM(K2440:K2443)</f>
        <v>369.6</v>
      </c>
    </row>
    <row r="2445" spans="1:11" ht="17.25" hidden="1">
      <c r="A2445" s="559"/>
      <c r="E2445" s="579"/>
      <c r="F2445" s="2"/>
      <c r="G2445" s="485"/>
      <c r="H2445" s="490"/>
      <c r="I2445" s="2"/>
      <c r="J2445" s="463"/>
      <c r="K2445" s="627" t="s">
        <v>4445</v>
      </c>
    </row>
    <row r="2446" spans="1:11" ht="17.25" hidden="1">
      <c r="A2446" s="559"/>
      <c r="E2446" s="579"/>
      <c r="F2446" s="2"/>
      <c r="G2446" s="485"/>
      <c r="H2446" s="500" t="s">
        <v>2355</v>
      </c>
      <c r="I2446" s="2"/>
      <c r="J2446" s="463"/>
      <c r="K2446" s="2">
        <f>K2444/10</f>
        <v>36.96</v>
      </c>
    </row>
    <row r="2447" spans="1:11" ht="17.25" hidden="1">
      <c r="A2447" s="559"/>
      <c r="E2447" s="579"/>
      <c r="F2447" s="2"/>
      <c r="G2447" s="485"/>
      <c r="H2447" s="500"/>
      <c r="I2447" s="2"/>
      <c r="J2447" s="463"/>
      <c r="K2447" s="2"/>
    </row>
    <row r="2448" spans="1:11" ht="32.25" hidden="1">
      <c r="A2448" s="559"/>
      <c r="E2448" s="579"/>
      <c r="F2448" s="2"/>
      <c r="G2448" s="485"/>
      <c r="H2448" s="628" t="s">
        <v>4446</v>
      </c>
      <c r="I2448" s="2"/>
      <c r="J2448" s="463" t="s">
        <v>4447</v>
      </c>
      <c r="K2448" s="2">
        <f>K2435-K2446</f>
        <v>168.11849999999998</v>
      </c>
    </row>
    <row r="2449" spans="1:11" ht="17.25" hidden="1">
      <c r="A2449" s="559"/>
      <c r="E2449" s="579"/>
      <c r="F2449" s="2"/>
      <c r="G2449" s="485"/>
      <c r="H2449" s="490"/>
      <c r="I2449" s="2"/>
      <c r="J2449" s="463"/>
      <c r="K2449" s="627" t="s">
        <v>31</v>
      </c>
    </row>
    <row r="2450" spans="1:11" ht="17.25" hidden="1">
      <c r="A2450" s="559"/>
      <c r="E2450" s="579"/>
      <c r="F2450" s="2"/>
      <c r="G2450" s="485"/>
      <c r="H2450" s="2"/>
      <c r="I2450" s="2"/>
      <c r="J2450" s="463"/>
      <c r="K2450" s="2"/>
    </row>
    <row r="2451" spans="1:11" ht="45" hidden="1">
      <c r="A2451" s="559"/>
      <c r="E2451" s="579"/>
      <c r="F2451" s="625" t="s">
        <v>1673</v>
      </c>
      <c r="G2451" s="485"/>
      <c r="H2451" s="626" t="s">
        <v>4448</v>
      </c>
      <c r="I2451" s="2"/>
      <c r="J2451" s="463" t="s">
        <v>4447</v>
      </c>
      <c r="K2451" s="2">
        <f>K2435</f>
        <v>205.07849999999999</v>
      </c>
    </row>
    <row r="2452" spans="1:11" ht="17.25" hidden="1">
      <c r="A2452" s="559"/>
      <c r="E2452" s="579"/>
      <c r="F2452" s="2"/>
      <c r="H2452" s="509"/>
      <c r="I2452" s="2"/>
      <c r="J2452" s="463"/>
      <c r="K2452" s="627" t="s">
        <v>31</v>
      </c>
    </row>
    <row r="2453" spans="1:11" ht="30" hidden="1">
      <c r="A2453" s="559"/>
      <c r="E2453" s="579"/>
      <c r="F2453" s="625" t="s">
        <v>4137</v>
      </c>
      <c r="H2453" s="626" t="s">
        <v>4439</v>
      </c>
      <c r="I2453" s="2"/>
      <c r="J2453" s="463" t="s">
        <v>4447</v>
      </c>
      <c r="K2453" s="627">
        <f>K2451*1.2</f>
        <v>246.09419999999997</v>
      </c>
    </row>
    <row r="2454" spans="1:11" ht="17.25" hidden="1">
      <c r="A2454" s="559"/>
      <c r="E2454" s="579"/>
      <c r="F2454" s="2"/>
      <c r="I2454" s="2"/>
      <c r="J2454" s="463"/>
      <c r="K2454" s="627" t="s">
        <v>4449</v>
      </c>
    </row>
    <row r="2455" spans="1:11" ht="19.5" hidden="1">
      <c r="A2455" s="559"/>
      <c r="E2455" s="579"/>
      <c r="F2455" s="625" t="s">
        <v>4440</v>
      </c>
      <c r="H2455" s="626" t="s">
        <v>4441</v>
      </c>
      <c r="I2455" s="2"/>
      <c r="J2455" s="463" t="s">
        <v>4447</v>
      </c>
      <c r="K2455" s="2">
        <f>K2451*1.1</f>
        <v>225.58635000000001</v>
      </c>
    </row>
    <row r="2456" spans="1:11" ht="17.25" hidden="1">
      <c r="A2456" s="559"/>
      <c r="E2456" s="579"/>
      <c r="F2456" s="2"/>
      <c r="G2456" s="485"/>
      <c r="H2456" s="2"/>
      <c r="I2456" s="2"/>
      <c r="J2456" s="463"/>
      <c r="K2456" s="627" t="s">
        <v>4449</v>
      </c>
    </row>
    <row r="2457" spans="1:11" ht="17.25" hidden="1">
      <c r="A2457" s="559"/>
      <c r="E2457" s="579"/>
      <c r="F2457" s="2"/>
      <c r="G2457" s="485"/>
      <c r="H2457" s="2"/>
      <c r="I2457" s="2"/>
      <c r="J2457" s="463"/>
      <c r="K2457" s="2"/>
    </row>
    <row r="2458" spans="1:11" ht="17.25" hidden="1">
      <c r="A2458" s="559"/>
      <c r="E2458" s="579"/>
      <c r="F2458" s="2">
        <v>50.6</v>
      </c>
      <c r="G2458" s="489" t="s">
        <v>2843</v>
      </c>
      <c r="H2458" s="490" t="s">
        <v>4082</v>
      </c>
      <c r="I2458" s="2"/>
      <c r="J2458" s="463"/>
      <c r="K2458" s="2"/>
    </row>
    <row r="2459" spans="1:11" ht="32.25" hidden="1">
      <c r="A2459" s="559"/>
      <c r="E2459" s="579"/>
      <c r="F2459" s="2"/>
      <c r="G2459" s="485"/>
      <c r="H2459" s="628" t="s">
        <v>4450</v>
      </c>
      <c r="I2459" s="2"/>
      <c r="J2459" s="463"/>
      <c r="K2459" s="2"/>
    </row>
    <row r="2460" spans="1:11" ht="17.25" hidden="1">
      <c r="A2460" s="559"/>
      <c r="E2460" s="579"/>
      <c r="F2460" s="2"/>
      <c r="G2460" s="485"/>
      <c r="H2460" s="491" t="s">
        <v>442</v>
      </c>
      <c r="I2460" s="491" t="s">
        <v>442</v>
      </c>
      <c r="J2460" s="463"/>
      <c r="K2460" s="2"/>
    </row>
    <row r="2461" spans="1:11" ht="18.75" hidden="1">
      <c r="A2461" s="559"/>
      <c r="E2461" s="579"/>
      <c r="F2461" s="2"/>
      <c r="G2461" s="485"/>
      <c r="H2461" s="491" t="s">
        <v>4451</v>
      </c>
      <c r="I2461" s="491"/>
      <c r="J2461" s="463"/>
      <c r="K2461" s="2"/>
    </row>
    <row r="2462" spans="1:11" ht="18.75" hidden="1">
      <c r="A2462" s="559"/>
      <c r="E2462" s="579"/>
      <c r="F2462" s="2"/>
      <c r="G2462" s="485"/>
      <c r="H2462" s="491" t="s">
        <v>4452</v>
      </c>
      <c r="I2462" s="491"/>
      <c r="J2462" s="463"/>
      <c r="K2462" s="2"/>
    </row>
    <row r="2463" spans="1:11" ht="17.25" hidden="1">
      <c r="A2463" s="559"/>
      <c r="E2463" s="579"/>
      <c r="F2463" s="2"/>
      <c r="G2463" s="485"/>
      <c r="H2463" s="491"/>
      <c r="I2463" s="491"/>
      <c r="J2463" s="463"/>
      <c r="K2463" s="2"/>
    </row>
    <row r="2464" spans="1:11" ht="17.25" hidden="1">
      <c r="A2464" s="559"/>
      <c r="E2464" s="579"/>
      <c r="F2464" s="2"/>
      <c r="G2464" s="485"/>
      <c r="H2464" s="2"/>
      <c r="I2464" s="2"/>
      <c r="J2464" s="463"/>
      <c r="K2464" s="2"/>
    </row>
    <row r="2465" spans="1:11" ht="17.25" hidden="1">
      <c r="A2465" s="559"/>
      <c r="E2465" s="579"/>
      <c r="F2465" s="498">
        <v>1.96</v>
      </c>
      <c r="G2465" s="489" t="s">
        <v>19</v>
      </c>
      <c r="H2465" s="490" t="s">
        <v>4084</v>
      </c>
      <c r="I2465" s="492" t="e">
        <f>K1644</f>
        <v>#REF!</v>
      </c>
      <c r="J2465" s="500" t="s">
        <v>19</v>
      </c>
      <c r="K2465" s="492" t="e">
        <f t="shared" ref="K2465:K2470" si="75">(F2465*I2465)</f>
        <v>#REF!</v>
      </c>
    </row>
    <row r="2466" spans="1:11" ht="17.25" hidden="1">
      <c r="A2466" s="559"/>
      <c r="E2466" s="579"/>
      <c r="F2466" s="492">
        <v>2</v>
      </c>
      <c r="G2466" s="489" t="s">
        <v>2403</v>
      </c>
      <c r="H2466" s="490" t="s">
        <v>4453</v>
      </c>
      <c r="I2466" s="492">
        <f>C10</f>
        <v>150</v>
      </c>
      <c r="J2466" s="500" t="s">
        <v>556</v>
      </c>
      <c r="K2466" s="492">
        <f t="shared" si="75"/>
        <v>300</v>
      </c>
    </row>
    <row r="2467" spans="1:11" ht="17.25" hidden="1">
      <c r="A2467" s="559"/>
      <c r="E2467" s="579"/>
      <c r="F2467" s="492">
        <v>2</v>
      </c>
      <c r="G2467" s="489" t="s">
        <v>2403</v>
      </c>
      <c r="H2467" s="490" t="s">
        <v>4454</v>
      </c>
      <c r="I2467" s="492">
        <f>C13</f>
        <v>85</v>
      </c>
      <c r="J2467" s="500" t="s">
        <v>556</v>
      </c>
      <c r="K2467" s="492">
        <f t="shared" si="75"/>
        <v>170</v>
      </c>
    </row>
    <row r="2468" spans="1:11" ht="17.25" hidden="1">
      <c r="A2468" s="559"/>
      <c r="E2468" s="579"/>
      <c r="F2468" s="492">
        <v>0.28000000000000003</v>
      </c>
      <c r="G2468" s="489" t="s">
        <v>26</v>
      </c>
      <c r="H2468" s="490" t="s">
        <v>4455</v>
      </c>
      <c r="I2468" s="492">
        <f>K2448</f>
        <v>168.11849999999998</v>
      </c>
      <c r="J2468" s="500" t="s">
        <v>26</v>
      </c>
      <c r="K2468" s="492">
        <f t="shared" si="75"/>
        <v>47.073180000000001</v>
      </c>
    </row>
    <row r="2469" spans="1:11" ht="17.25" hidden="1">
      <c r="A2469" s="559"/>
      <c r="E2469" s="579"/>
      <c r="F2469" s="492">
        <v>500</v>
      </c>
      <c r="G2469" s="489" t="s">
        <v>13</v>
      </c>
      <c r="H2469" s="490" t="s">
        <v>4456</v>
      </c>
      <c r="I2469" s="2">
        <v>2</v>
      </c>
      <c r="J2469" s="463" t="s">
        <v>556</v>
      </c>
      <c r="K2469" s="492">
        <f t="shared" si="75"/>
        <v>1000</v>
      </c>
    </row>
    <row r="2470" spans="1:11" ht="17.25" hidden="1">
      <c r="A2470" s="559"/>
      <c r="E2470" s="579"/>
      <c r="F2470" s="492">
        <v>8.5</v>
      </c>
      <c r="G2470" s="489" t="s">
        <v>4457</v>
      </c>
      <c r="H2470" s="490" t="s">
        <v>4458</v>
      </c>
      <c r="I2470" s="2">
        <v>25</v>
      </c>
      <c r="J2470" s="463" t="s">
        <v>4370</v>
      </c>
      <c r="K2470" s="492">
        <f t="shared" si="75"/>
        <v>212.5</v>
      </c>
    </row>
    <row r="2471" spans="1:11" ht="17.25" hidden="1">
      <c r="A2471" s="559"/>
      <c r="E2471" s="579"/>
      <c r="F2471" s="2"/>
      <c r="G2471" s="485"/>
      <c r="H2471" s="2"/>
      <c r="I2471" s="2"/>
      <c r="J2471" s="463"/>
      <c r="K2471" s="491" t="s">
        <v>442</v>
      </c>
    </row>
    <row r="2472" spans="1:11" ht="17.25" hidden="1">
      <c r="A2472" s="559"/>
      <c r="E2472" s="579"/>
      <c r="F2472" s="2"/>
      <c r="G2472" s="485"/>
      <c r="H2472" s="500" t="s">
        <v>4459</v>
      </c>
      <c r="I2472" s="2"/>
      <c r="J2472" s="463"/>
      <c r="K2472" s="492" t="e">
        <f>SUM(K2465:K2471)</f>
        <v>#REF!</v>
      </c>
    </row>
    <row r="2473" spans="1:11" ht="17.25" hidden="1">
      <c r="A2473" s="559"/>
      <c r="E2473" s="579"/>
      <c r="F2473" s="2"/>
      <c r="G2473" s="485"/>
      <c r="H2473" s="2"/>
      <c r="I2473" s="2"/>
      <c r="J2473" s="463"/>
      <c r="K2473" s="629" t="s">
        <v>4460</v>
      </c>
    </row>
    <row r="2474" spans="1:11" ht="17.25" hidden="1">
      <c r="A2474" s="559"/>
      <c r="E2474" s="579"/>
      <c r="F2474" s="2"/>
      <c r="G2474" s="485"/>
      <c r="H2474" s="500" t="s">
        <v>4461</v>
      </c>
      <c r="I2474" s="2"/>
      <c r="J2474" s="463"/>
      <c r="K2474" s="2" t="e">
        <f>K2472/39.2</f>
        <v>#REF!</v>
      </c>
    </row>
    <row r="2475" spans="1:11" ht="17.25" hidden="1">
      <c r="A2475" s="559"/>
      <c r="E2475" s="579"/>
      <c r="F2475" s="2"/>
      <c r="G2475" s="485"/>
      <c r="H2475" s="2"/>
      <c r="I2475" s="2"/>
      <c r="J2475" s="463"/>
      <c r="K2475" s="627" t="s">
        <v>4449</v>
      </c>
    </row>
    <row r="2476" spans="1:11" ht="17.25" hidden="1">
      <c r="A2476" s="559"/>
      <c r="E2476" s="579"/>
      <c r="F2476" s="2"/>
      <c r="G2476" s="485"/>
      <c r="H2476" s="630" t="s">
        <v>4462</v>
      </c>
      <c r="I2476" s="2"/>
      <c r="J2476" s="463"/>
      <c r="K2476" s="2"/>
    </row>
    <row r="2477" spans="1:11" ht="17.25" hidden="1">
      <c r="A2477" s="559"/>
      <c r="E2477" s="579"/>
      <c r="F2477" s="2"/>
      <c r="G2477" s="485"/>
      <c r="H2477" s="2" t="s">
        <v>4463</v>
      </c>
      <c r="I2477" s="2" t="s">
        <v>4464</v>
      </c>
      <c r="J2477" s="463"/>
      <c r="K2477" s="2"/>
    </row>
    <row r="2478" spans="1:11" ht="17.25" hidden="1">
      <c r="A2478" s="559"/>
      <c r="E2478" s="579"/>
      <c r="F2478" s="2"/>
      <c r="G2478" s="485"/>
      <c r="H2478" s="2"/>
      <c r="I2478" s="627" t="s">
        <v>4465</v>
      </c>
      <c r="J2478" s="463" t="s">
        <v>4466</v>
      </c>
      <c r="K2478" s="2"/>
    </row>
    <row r="2479" spans="1:11" ht="17.25" hidden="1">
      <c r="A2479" s="559"/>
      <c r="E2479" s="579"/>
      <c r="F2479" s="2"/>
      <c r="G2479" s="485"/>
      <c r="H2479" s="2" t="s">
        <v>4467</v>
      </c>
      <c r="I2479" s="2" t="s">
        <v>4468</v>
      </c>
      <c r="J2479" s="463"/>
      <c r="K2479" s="2"/>
    </row>
    <row r="2480" spans="1:11" ht="17.25" hidden="1">
      <c r="A2480" s="559"/>
      <c r="E2480" s="579"/>
      <c r="F2480" s="2"/>
      <c r="G2480" s="485"/>
      <c r="H2480" s="2"/>
      <c r="I2480" s="2"/>
      <c r="J2480" s="463"/>
      <c r="K2480" s="2"/>
    </row>
    <row r="2481" spans="1:11" ht="17.25" hidden="1">
      <c r="A2481" s="559"/>
      <c r="E2481" s="579"/>
      <c r="F2481" s="2"/>
      <c r="G2481" s="485"/>
      <c r="H2481" s="2" t="s">
        <v>4469</v>
      </c>
      <c r="I2481" s="2"/>
      <c r="J2481" s="463"/>
      <c r="K2481" s="2"/>
    </row>
    <row r="2482" spans="1:11" ht="17.25" hidden="1">
      <c r="A2482" s="559"/>
      <c r="E2482" s="579"/>
      <c r="F2482" s="2"/>
      <c r="G2482" s="485"/>
      <c r="H2482" s="2" t="s">
        <v>4470</v>
      </c>
      <c r="I2482" s="2" t="s">
        <v>4471</v>
      </c>
      <c r="J2482" s="463"/>
      <c r="K2482" s="2"/>
    </row>
    <row r="2483" spans="1:11" ht="17.25" hidden="1">
      <c r="A2483" s="559"/>
      <c r="E2483" s="579"/>
      <c r="F2483" s="2"/>
      <c r="G2483" s="485"/>
      <c r="H2483" s="2" t="s">
        <v>4472</v>
      </c>
      <c r="I2483" s="2" t="s">
        <v>4473</v>
      </c>
      <c r="J2483" s="463"/>
      <c r="K2483" s="2"/>
    </row>
    <row r="2484" spans="1:11" ht="17.25" hidden="1">
      <c r="A2484" s="559"/>
      <c r="E2484" s="579"/>
      <c r="F2484" s="2"/>
      <c r="G2484" s="485"/>
      <c r="H2484" s="2" t="s">
        <v>4474</v>
      </c>
      <c r="I2484" s="2"/>
      <c r="J2484" s="463"/>
      <c r="K2484" s="2"/>
    </row>
    <row r="2485" spans="1:11" ht="17.25" hidden="1">
      <c r="A2485" s="559"/>
      <c r="E2485" s="579"/>
      <c r="F2485" s="2"/>
      <c r="G2485" s="485"/>
      <c r="H2485" s="2"/>
      <c r="I2485" s="2"/>
      <c r="J2485" s="463"/>
      <c r="K2485" s="2"/>
    </row>
    <row r="2486" spans="1:11" ht="17.25" hidden="1">
      <c r="A2486" s="559"/>
      <c r="E2486" s="579"/>
      <c r="F2486" s="2"/>
      <c r="G2486" s="485"/>
      <c r="H2486" s="2"/>
      <c r="I2486" s="2"/>
      <c r="J2486" s="463"/>
      <c r="K2486" s="2"/>
    </row>
    <row r="2487" spans="1:11" ht="17.25" hidden="1">
      <c r="A2487" s="559"/>
      <c r="E2487" s="579"/>
      <c r="F2487" s="2"/>
      <c r="G2487" s="485"/>
      <c r="H2487" s="2"/>
      <c r="I2487" s="2"/>
      <c r="J2487" s="463"/>
      <c r="K2487" s="2"/>
    </row>
    <row r="2488" spans="1:11" ht="48" hidden="1">
      <c r="A2488" s="559"/>
      <c r="E2488" s="579"/>
      <c r="F2488" s="631">
        <v>83</v>
      </c>
      <c r="G2488" s="485"/>
      <c r="H2488" s="1" t="s">
        <v>4475</v>
      </c>
      <c r="I2488" s="2"/>
      <c r="J2488" s="463"/>
      <c r="K2488" s="2"/>
    </row>
    <row r="2489" spans="1:11" ht="17.25" hidden="1">
      <c r="A2489" s="559"/>
      <c r="E2489" s="579"/>
      <c r="F2489" s="2"/>
      <c r="G2489" s="485"/>
      <c r="H2489" s="627" t="s">
        <v>4476</v>
      </c>
      <c r="I2489" s="2"/>
      <c r="J2489" s="463"/>
      <c r="K2489" s="2"/>
    </row>
    <row r="2490" spans="1:11" ht="63" hidden="1">
      <c r="A2490" s="559"/>
      <c r="E2490" s="579"/>
      <c r="F2490" s="632">
        <v>3.25</v>
      </c>
      <c r="G2490" s="506" t="s">
        <v>4477</v>
      </c>
      <c r="H2490" s="506" t="s">
        <v>4478</v>
      </c>
      <c r="I2490" s="506">
        <v>27</v>
      </c>
      <c r="J2490" s="506" t="s">
        <v>40</v>
      </c>
      <c r="K2490" s="506">
        <f>I2490*F2490</f>
        <v>87.75</v>
      </c>
    </row>
    <row r="2491" spans="1:11" ht="17.25" hidden="1">
      <c r="A2491" s="559"/>
      <c r="E2491" s="579"/>
      <c r="F2491" s="2"/>
      <c r="G2491" s="485"/>
      <c r="H2491" s="2" t="s">
        <v>948</v>
      </c>
      <c r="I2491" s="2"/>
      <c r="J2491" s="463"/>
      <c r="K2491" s="2">
        <v>0.25</v>
      </c>
    </row>
    <row r="2492" spans="1:11" ht="17.25" hidden="1">
      <c r="A2492" s="559"/>
      <c r="E2492" s="579"/>
      <c r="F2492" s="2"/>
      <c r="G2492" s="485"/>
      <c r="H2492" s="2"/>
      <c r="I2492" s="2"/>
      <c r="J2492" s="463"/>
      <c r="K2492" s="633" t="s">
        <v>442</v>
      </c>
    </row>
    <row r="2493" spans="1:11" ht="17.25" hidden="1">
      <c r="A2493" s="559"/>
      <c r="E2493" s="579"/>
      <c r="F2493" s="2"/>
      <c r="G2493" s="485"/>
      <c r="H2493" s="2" t="s">
        <v>4479</v>
      </c>
      <c r="I2493" s="2"/>
      <c r="J2493" s="463"/>
      <c r="K2493" s="2">
        <f>SUM(K2490:K2492)</f>
        <v>88</v>
      </c>
    </row>
    <row r="2494" spans="1:11" ht="17.25" hidden="1">
      <c r="A2494" s="559"/>
      <c r="E2494" s="579"/>
      <c r="F2494" s="2"/>
      <c r="G2494" s="485"/>
      <c r="H2494" s="2"/>
      <c r="I2494" s="2"/>
      <c r="J2494" s="463"/>
      <c r="K2494" s="633" t="s">
        <v>29</v>
      </c>
    </row>
    <row r="2495" spans="1:11" ht="19.5" hidden="1">
      <c r="A2495" s="559"/>
      <c r="E2495" s="579"/>
      <c r="F2495" s="634">
        <v>79.099999999999994</v>
      </c>
      <c r="G2495" s="485"/>
      <c r="H2495" s="2" t="s">
        <v>4480</v>
      </c>
      <c r="I2495" s="2"/>
      <c r="J2495" s="463"/>
      <c r="K2495" s="2"/>
    </row>
    <row r="2496" spans="1:11" ht="17.25" hidden="1">
      <c r="A2496" s="559"/>
      <c r="E2496" s="579"/>
      <c r="F2496" s="2"/>
      <c r="G2496" s="485"/>
      <c r="H2496" s="627" t="s">
        <v>4481</v>
      </c>
      <c r="I2496" s="2"/>
      <c r="J2496" s="463"/>
      <c r="K2496" s="2"/>
    </row>
    <row r="2497" spans="1:11" ht="17.25" hidden="1">
      <c r="A2497" s="559"/>
      <c r="E2497" s="579"/>
      <c r="F2497" s="2">
        <v>1</v>
      </c>
      <c r="G2497" s="485" t="s">
        <v>5</v>
      </c>
      <c r="H2497" s="2" t="s">
        <v>4482</v>
      </c>
      <c r="I2497" s="2">
        <v>75</v>
      </c>
      <c r="J2497" s="463" t="s">
        <v>556</v>
      </c>
      <c r="K2497" s="2">
        <f>I2497*F2497</f>
        <v>75</v>
      </c>
    </row>
    <row r="2498" spans="1:11" ht="17.25" hidden="1">
      <c r="A2498" s="559"/>
      <c r="E2498" s="579"/>
      <c r="F2498" s="2">
        <v>1</v>
      </c>
      <c r="G2498" s="485" t="s">
        <v>5</v>
      </c>
      <c r="H2498" s="2" t="s">
        <v>4483</v>
      </c>
      <c r="I2498" s="2">
        <v>17.75</v>
      </c>
      <c r="J2498" s="463" t="s">
        <v>556</v>
      </c>
      <c r="K2498" s="2">
        <f>I2498*F2498</f>
        <v>17.75</v>
      </c>
    </row>
    <row r="2499" spans="1:11" ht="17.25" hidden="1">
      <c r="A2499" s="559"/>
      <c r="E2499" s="579"/>
      <c r="F2499" s="2">
        <v>1</v>
      </c>
      <c r="G2499" s="485" t="s">
        <v>5</v>
      </c>
      <c r="H2499" s="2" t="s">
        <v>2401</v>
      </c>
      <c r="I2499" s="2">
        <f>K2510</f>
        <v>65.125</v>
      </c>
      <c r="J2499" s="463" t="s">
        <v>556</v>
      </c>
      <c r="K2499" s="2">
        <f>I2499*F2499</f>
        <v>65.125</v>
      </c>
    </row>
    <row r="2500" spans="1:11" ht="17.25" hidden="1">
      <c r="A2500" s="559"/>
      <c r="E2500" s="579"/>
      <c r="F2500" s="2"/>
      <c r="G2500" s="485"/>
      <c r="H2500" s="2" t="s">
        <v>4484</v>
      </c>
      <c r="I2500" s="2"/>
      <c r="J2500" s="463" t="s">
        <v>2346</v>
      </c>
      <c r="K2500" s="2">
        <v>3.12</v>
      </c>
    </row>
    <row r="2501" spans="1:11" ht="17.25" hidden="1">
      <c r="A2501" s="559"/>
      <c r="E2501" s="579"/>
      <c r="F2501" s="2"/>
      <c r="G2501" s="485"/>
      <c r="H2501" s="2"/>
      <c r="I2501" s="2"/>
      <c r="J2501" s="463"/>
      <c r="K2501" s="627" t="s">
        <v>4485</v>
      </c>
    </row>
    <row r="2502" spans="1:11" ht="17.25" hidden="1">
      <c r="A2502" s="559"/>
      <c r="E2502" s="579"/>
      <c r="F2502" s="2"/>
      <c r="G2502" s="485"/>
      <c r="H2502" s="2"/>
      <c r="I2502" s="2"/>
      <c r="J2502" s="463"/>
      <c r="K2502" s="2">
        <f>SUM(K2497:K2501)</f>
        <v>160.995</v>
      </c>
    </row>
    <row r="2503" spans="1:11" ht="17.25" hidden="1">
      <c r="A2503" s="559"/>
      <c r="E2503" s="579"/>
      <c r="F2503" s="2"/>
      <c r="G2503" s="485"/>
      <c r="H2503" s="2"/>
      <c r="I2503" s="2"/>
      <c r="J2503" s="463"/>
      <c r="K2503" s="627" t="s">
        <v>4486</v>
      </c>
    </row>
    <row r="2504" spans="1:11" ht="17.25" hidden="1">
      <c r="A2504" s="559"/>
      <c r="E2504" s="579"/>
      <c r="F2504" s="2" t="s">
        <v>2401</v>
      </c>
      <c r="G2504" s="485"/>
      <c r="H2504" s="2"/>
      <c r="I2504" s="2"/>
      <c r="J2504" s="463"/>
      <c r="K2504" s="2"/>
    </row>
    <row r="2505" spans="1:11" ht="17.25" hidden="1">
      <c r="A2505" s="559"/>
      <c r="E2505" s="579"/>
      <c r="F2505" s="2">
        <v>1</v>
      </c>
      <c r="G2505" s="485" t="s">
        <v>5</v>
      </c>
      <c r="H2505" s="2" t="s">
        <v>4487</v>
      </c>
      <c r="I2505" s="2">
        <v>131</v>
      </c>
      <c r="J2505" s="463" t="s">
        <v>556</v>
      </c>
      <c r="K2505" s="2">
        <f>I2505*F2505</f>
        <v>131</v>
      </c>
    </row>
    <row r="2506" spans="1:11" ht="17.25" hidden="1">
      <c r="A2506" s="559"/>
      <c r="E2506" s="579"/>
      <c r="F2506" s="2">
        <v>1</v>
      </c>
      <c r="G2506" s="485" t="s">
        <v>5</v>
      </c>
      <c r="H2506" s="2" t="s">
        <v>4488</v>
      </c>
      <c r="I2506" s="2">
        <v>117</v>
      </c>
      <c r="J2506" s="463" t="s">
        <v>556</v>
      </c>
      <c r="K2506" s="2">
        <f>I2506*F2506</f>
        <v>117</v>
      </c>
    </row>
    <row r="2507" spans="1:11" ht="17.25" hidden="1">
      <c r="A2507" s="559"/>
      <c r="E2507" s="579"/>
      <c r="F2507" s="2">
        <v>3</v>
      </c>
      <c r="G2507" s="485" t="s">
        <v>13</v>
      </c>
      <c r="H2507" s="2" t="s">
        <v>2410</v>
      </c>
      <c r="I2507" s="2">
        <v>91</v>
      </c>
      <c r="J2507" s="463" t="s">
        <v>556</v>
      </c>
      <c r="K2507" s="2">
        <f>I2507*F2507</f>
        <v>273</v>
      </c>
    </row>
    <row r="2508" spans="1:11" ht="17.25" hidden="1">
      <c r="A2508" s="559"/>
      <c r="E2508" s="579"/>
      <c r="F2508" s="2"/>
      <c r="G2508" s="485"/>
      <c r="H2508" s="2"/>
      <c r="I2508" s="2"/>
      <c r="J2508" s="463"/>
      <c r="K2508" s="627" t="s">
        <v>4445</v>
      </c>
    </row>
    <row r="2509" spans="1:11" ht="17.25" hidden="1">
      <c r="A2509" s="559"/>
      <c r="E2509" s="579"/>
      <c r="F2509" s="2"/>
      <c r="G2509" s="485"/>
      <c r="H2509" s="2" t="s">
        <v>4489</v>
      </c>
      <c r="I2509" s="2"/>
      <c r="J2509" s="463"/>
      <c r="K2509" s="2">
        <f>SUM(K2505:K2508)</f>
        <v>521</v>
      </c>
    </row>
    <row r="2510" spans="1:11" ht="17.25" hidden="1">
      <c r="A2510" s="559"/>
      <c r="E2510" s="579"/>
      <c r="F2510" s="2"/>
      <c r="G2510" s="485"/>
      <c r="H2510" s="2" t="s">
        <v>4490</v>
      </c>
      <c r="I2510" s="2"/>
      <c r="J2510" s="463"/>
      <c r="K2510" s="2">
        <f>K2509/8</f>
        <v>65.125</v>
      </c>
    </row>
    <row r="2511" spans="1:11" ht="17.25" hidden="1">
      <c r="A2511" s="559"/>
      <c r="E2511" s="579"/>
      <c r="F2511" s="2"/>
      <c r="G2511" s="485"/>
      <c r="H2511" s="2"/>
      <c r="I2511" s="2"/>
      <c r="J2511" s="463"/>
      <c r="K2511" s="2"/>
    </row>
    <row r="2512" spans="1:11" ht="17.25" hidden="1">
      <c r="A2512" s="559"/>
      <c r="E2512" s="579"/>
      <c r="F2512" s="2"/>
      <c r="G2512" s="485"/>
      <c r="H2512" s="2"/>
      <c r="I2512" s="2"/>
      <c r="J2512" s="463"/>
      <c r="K2512" s="627"/>
    </row>
    <row r="2513" spans="1:11" ht="17.25" hidden="1">
      <c r="A2513" s="559"/>
      <c r="E2513" s="579"/>
      <c r="F2513" s="500" t="s">
        <v>4491</v>
      </c>
      <c r="G2513" s="489" t="s">
        <v>575</v>
      </c>
      <c r="H2513" s="490" t="s">
        <v>3788</v>
      </c>
      <c r="I2513" s="2"/>
      <c r="J2513" s="463"/>
      <c r="K2513" s="2"/>
    </row>
    <row r="2514" spans="1:11" ht="17.25" hidden="1">
      <c r="A2514" s="559"/>
      <c r="E2514" s="579"/>
      <c r="F2514" s="2"/>
      <c r="G2514" s="485"/>
      <c r="H2514" s="490" t="s">
        <v>3790</v>
      </c>
      <c r="I2514" s="2"/>
      <c r="J2514" s="463"/>
      <c r="K2514" s="2"/>
    </row>
    <row r="2515" spans="1:11" ht="17.25" hidden="1">
      <c r="A2515" s="559"/>
      <c r="E2515" s="579"/>
      <c r="F2515" s="2"/>
      <c r="G2515" s="485"/>
      <c r="H2515" s="490" t="s">
        <v>3792</v>
      </c>
      <c r="I2515" s="2"/>
      <c r="J2515" s="463"/>
      <c r="K2515" s="2"/>
    </row>
    <row r="2516" spans="1:11" ht="17.25" hidden="1">
      <c r="A2516" s="559"/>
      <c r="E2516" s="579"/>
      <c r="F2516" s="2"/>
      <c r="G2516" s="485"/>
      <c r="H2516" s="490" t="s">
        <v>3794</v>
      </c>
      <c r="I2516" s="2"/>
      <c r="J2516" s="463"/>
      <c r="K2516" s="2"/>
    </row>
    <row r="2517" spans="1:11" ht="17.25" hidden="1">
      <c r="A2517" s="559"/>
      <c r="E2517" s="579"/>
      <c r="F2517" s="2"/>
      <c r="G2517" s="485"/>
      <c r="H2517" s="490" t="s">
        <v>3796</v>
      </c>
      <c r="I2517" s="2"/>
      <c r="J2517" s="463"/>
      <c r="K2517" s="2"/>
    </row>
    <row r="2518" spans="1:11" ht="17.25" hidden="1">
      <c r="A2518" s="559"/>
      <c r="E2518" s="579"/>
      <c r="F2518" s="2"/>
      <c r="G2518" s="485"/>
      <c r="H2518" s="490" t="s">
        <v>3798</v>
      </c>
      <c r="I2518" s="2"/>
      <c r="J2518" s="463"/>
      <c r="K2518" s="2"/>
    </row>
    <row r="2519" spans="1:11" ht="17.25" hidden="1">
      <c r="A2519" s="559"/>
      <c r="E2519" s="579"/>
      <c r="F2519" s="2"/>
      <c r="G2519" s="485"/>
      <c r="H2519" s="491" t="s">
        <v>442</v>
      </c>
      <c r="I2519" s="2"/>
      <c r="J2519" s="463"/>
      <c r="K2519" s="2"/>
    </row>
    <row r="2520" spans="1:11" ht="17.25" hidden="1">
      <c r="A2520" s="559"/>
      <c r="E2520" s="579"/>
      <c r="F2520" s="500"/>
      <c r="G2520" s="489"/>
      <c r="H2520" s="490" t="s">
        <v>4492</v>
      </c>
      <c r="I2520" s="2"/>
      <c r="J2520" s="463"/>
      <c r="K2520" s="490" t="s">
        <v>30</v>
      </c>
    </row>
    <row r="2521" spans="1:11" ht="17.25" hidden="1">
      <c r="A2521" s="559"/>
      <c r="E2521" s="579"/>
      <c r="F2521" s="2"/>
      <c r="G2521" s="485"/>
      <c r="H2521" s="491" t="s">
        <v>442</v>
      </c>
      <c r="I2521" s="2"/>
      <c r="J2521" s="463"/>
      <c r="K2521" s="2"/>
    </row>
    <row r="2522" spans="1:11" ht="17.25" hidden="1">
      <c r="A2522" s="559"/>
      <c r="E2522" s="579"/>
      <c r="F2522" s="635">
        <v>1.153E-2</v>
      </c>
      <c r="G2522" s="489" t="s">
        <v>2334</v>
      </c>
      <c r="H2522" s="490" t="s">
        <v>2809</v>
      </c>
      <c r="I2522" s="492">
        <f t="shared" ref="I2522:I2531" si="76">I1011</f>
        <v>65420</v>
      </c>
      <c r="J2522" s="500" t="s">
        <v>2334</v>
      </c>
      <c r="K2522" s="492">
        <f t="shared" ref="K2522:K2531" si="77">(F2522*I2522)</f>
        <v>754.29259999999999</v>
      </c>
    </row>
    <row r="2523" spans="1:11" ht="17.25" hidden="1">
      <c r="A2523" s="559"/>
      <c r="E2523" s="579"/>
      <c r="F2523" s="635">
        <v>1.52E-2</v>
      </c>
      <c r="G2523" s="489" t="s">
        <v>2334</v>
      </c>
      <c r="H2523" s="490" t="s">
        <v>2810</v>
      </c>
      <c r="I2523" s="492">
        <f t="shared" si="76"/>
        <v>57165</v>
      </c>
      <c r="J2523" s="500" t="s">
        <v>2334</v>
      </c>
      <c r="K2523" s="492">
        <f t="shared" si="77"/>
        <v>868.90800000000002</v>
      </c>
    </row>
    <row r="2524" spans="1:11" hidden="1">
      <c r="A2524" s="559"/>
      <c r="F2524" s="635">
        <v>1.2787999999999999</v>
      </c>
      <c r="G2524" s="489" t="s">
        <v>2788</v>
      </c>
      <c r="H2524" s="490" t="s">
        <v>2811</v>
      </c>
      <c r="I2524" s="492">
        <f t="shared" si="76"/>
        <v>381.37</v>
      </c>
      <c r="J2524" s="500" t="s">
        <v>2788</v>
      </c>
      <c r="K2524" s="492">
        <f t="shared" si="77"/>
        <v>487.69595599999997</v>
      </c>
    </row>
    <row r="2525" spans="1:11" hidden="1">
      <c r="A2525" s="559"/>
      <c r="F2525" s="635">
        <v>1.845</v>
      </c>
      <c r="G2525" s="489" t="s">
        <v>2788</v>
      </c>
      <c r="H2525" s="490" t="s">
        <v>2812</v>
      </c>
      <c r="I2525" s="492">
        <f t="shared" si="76"/>
        <v>287</v>
      </c>
      <c r="J2525" s="500" t="s">
        <v>2788</v>
      </c>
      <c r="K2525" s="492">
        <f t="shared" si="77"/>
        <v>529.51499999999999</v>
      </c>
    </row>
    <row r="2526" spans="1:11" hidden="1">
      <c r="A2526" s="559"/>
      <c r="F2526" s="492">
        <v>2</v>
      </c>
      <c r="G2526" s="489" t="s">
        <v>2342</v>
      </c>
      <c r="H2526" s="490" t="s">
        <v>2813</v>
      </c>
      <c r="I2526" s="492">
        <f t="shared" si="76"/>
        <v>30</v>
      </c>
      <c r="J2526" s="500" t="s">
        <v>2342</v>
      </c>
      <c r="K2526" s="492">
        <f t="shared" si="77"/>
        <v>60</v>
      </c>
    </row>
    <row r="2527" spans="1:11" hidden="1">
      <c r="A2527" s="559"/>
      <c r="F2527" s="492">
        <v>3</v>
      </c>
      <c r="G2527" s="489" t="s">
        <v>2342</v>
      </c>
      <c r="H2527" s="490" t="s">
        <v>3826</v>
      </c>
      <c r="I2527" s="492">
        <f t="shared" si="76"/>
        <v>45</v>
      </c>
      <c r="J2527" s="500" t="s">
        <v>2342</v>
      </c>
      <c r="K2527" s="492">
        <f t="shared" si="77"/>
        <v>135</v>
      </c>
    </row>
    <row r="2528" spans="1:11" hidden="1">
      <c r="A2528" s="559"/>
      <c r="F2528" s="492">
        <v>1</v>
      </c>
      <c r="G2528" s="489" t="s">
        <v>2342</v>
      </c>
      <c r="H2528" s="490" t="s">
        <v>2815</v>
      </c>
      <c r="I2528" s="492">
        <f t="shared" si="76"/>
        <v>95</v>
      </c>
      <c r="J2528" s="500" t="s">
        <v>2342</v>
      </c>
      <c r="K2528" s="492">
        <f t="shared" si="77"/>
        <v>95</v>
      </c>
    </row>
    <row r="2529" spans="1:11" hidden="1">
      <c r="A2529" s="559"/>
      <c r="F2529" s="492">
        <v>1</v>
      </c>
      <c r="G2529" s="489" t="s">
        <v>2342</v>
      </c>
      <c r="H2529" s="490" t="s">
        <v>2816</v>
      </c>
      <c r="I2529" s="492">
        <f t="shared" si="76"/>
        <v>8</v>
      </c>
      <c r="J2529" s="500" t="s">
        <v>2342</v>
      </c>
      <c r="K2529" s="492">
        <f t="shared" si="77"/>
        <v>8</v>
      </c>
    </row>
    <row r="2530" spans="1:11" hidden="1">
      <c r="A2530" s="559"/>
      <c r="F2530" s="492">
        <v>1</v>
      </c>
      <c r="G2530" s="489" t="s">
        <v>2342</v>
      </c>
      <c r="H2530" s="490" t="s">
        <v>2817</v>
      </c>
      <c r="I2530" s="492">
        <f t="shared" si="76"/>
        <v>30</v>
      </c>
      <c r="J2530" s="500" t="s">
        <v>2342</v>
      </c>
      <c r="K2530" s="492">
        <f t="shared" si="77"/>
        <v>30</v>
      </c>
    </row>
    <row r="2531" spans="1:11" hidden="1">
      <c r="A2531" s="559"/>
      <c r="F2531" s="492">
        <v>1</v>
      </c>
      <c r="G2531" s="489" t="s">
        <v>2342</v>
      </c>
      <c r="H2531" s="490" t="s">
        <v>2818</v>
      </c>
      <c r="I2531" s="492">
        <f t="shared" si="76"/>
        <v>25</v>
      </c>
      <c r="J2531" s="500" t="s">
        <v>2342</v>
      </c>
      <c r="K2531" s="492">
        <f t="shared" si="77"/>
        <v>25</v>
      </c>
    </row>
    <row r="2532" spans="1:11" hidden="1">
      <c r="A2532" s="559"/>
      <c r="F2532" s="2"/>
      <c r="G2532" s="485"/>
      <c r="H2532" s="2"/>
      <c r="I2532" s="2"/>
      <c r="J2532" s="463"/>
      <c r="K2532" s="491" t="s">
        <v>442</v>
      </c>
    </row>
    <row r="2533" spans="1:11" hidden="1">
      <c r="A2533" s="559"/>
      <c r="F2533" s="2"/>
      <c r="G2533" s="485"/>
      <c r="H2533" s="500" t="s">
        <v>4493</v>
      </c>
      <c r="I2533" s="2"/>
      <c r="J2533" s="463"/>
      <c r="K2533" s="492">
        <f>SUM(K2522:K2532)</f>
        <v>2993.411556</v>
      </c>
    </row>
    <row r="2534" spans="1:11" hidden="1">
      <c r="A2534" s="559"/>
      <c r="F2534" s="2"/>
      <c r="G2534" s="489" t="s">
        <v>30</v>
      </c>
      <c r="H2534" s="2"/>
      <c r="I2534" s="2"/>
      <c r="J2534" s="463"/>
      <c r="K2534" s="491" t="s">
        <v>442</v>
      </c>
    </row>
    <row r="2535" spans="1:11" hidden="1">
      <c r="A2535" s="559"/>
      <c r="F2535" s="2"/>
      <c r="G2535" s="485"/>
      <c r="H2535" s="500" t="s">
        <v>2355</v>
      </c>
      <c r="I2535" s="2"/>
      <c r="J2535" s="463"/>
      <c r="K2535" s="492">
        <f>K2533/F2525</f>
        <v>1622.445287804878</v>
      </c>
    </row>
    <row r="2536" spans="1:11" hidden="1">
      <c r="A2536" s="559"/>
      <c r="F2536" s="2"/>
      <c r="G2536" s="485"/>
      <c r="H2536" s="2"/>
      <c r="I2536" s="2"/>
      <c r="J2536" s="463"/>
      <c r="K2536" s="491" t="s">
        <v>29</v>
      </c>
    </row>
    <row r="2537" spans="1:11" hidden="1">
      <c r="A2537" s="559"/>
      <c r="F2537" s="488">
        <v>98.1</v>
      </c>
      <c r="G2537" s="489" t="s">
        <v>575</v>
      </c>
      <c r="H2537" s="490" t="s">
        <v>4494</v>
      </c>
      <c r="I2537" s="2"/>
      <c r="J2537" s="463"/>
      <c r="K2537" s="2"/>
    </row>
    <row r="2538" spans="1:11" hidden="1">
      <c r="A2538" s="559"/>
      <c r="F2538" s="2"/>
      <c r="G2538" s="485"/>
      <c r="H2538" s="490" t="s">
        <v>3656</v>
      </c>
      <c r="I2538" s="2"/>
      <c r="J2538" s="463"/>
      <c r="K2538" s="2"/>
    </row>
    <row r="2539" spans="1:11" hidden="1">
      <c r="A2539" s="559"/>
      <c r="F2539" s="2"/>
      <c r="G2539" s="485"/>
      <c r="H2539" s="494" t="s">
        <v>4495</v>
      </c>
      <c r="I2539" s="2"/>
      <c r="J2539" s="463"/>
      <c r="K2539" s="2"/>
    </row>
    <row r="2540" spans="1:11" hidden="1">
      <c r="A2540" s="559"/>
      <c r="F2540" s="2"/>
      <c r="G2540" s="485"/>
      <c r="H2540" s="491" t="s">
        <v>442</v>
      </c>
      <c r="I2540" s="2"/>
      <c r="J2540" s="463"/>
      <c r="K2540" s="2"/>
    </row>
    <row r="2541" spans="1:11" hidden="1">
      <c r="A2541" s="559"/>
      <c r="F2541" s="2"/>
      <c r="G2541" s="485"/>
      <c r="H2541" s="490" t="s">
        <v>4496</v>
      </c>
      <c r="I2541" s="2"/>
      <c r="J2541" s="636"/>
      <c r="K2541" s="2"/>
    </row>
    <row r="2542" spans="1:11" hidden="1">
      <c r="A2542" s="559"/>
      <c r="F2542" s="2"/>
      <c r="G2542" s="485"/>
      <c r="H2542" s="490" t="s">
        <v>4497</v>
      </c>
      <c r="I2542" s="2"/>
      <c r="J2542" s="463"/>
      <c r="K2542" s="2"/>
    </row>
    <row r="2543" spans="1:11" hidden="1">
      <c r="A2543" s="559"/>
      <c r="F2543" s="2"/>
      <c r="G2543" s="485"/>
      <c r="H2543" s="2"/>
      <c r="I2543" s="2"/>
      <c r="J2543" s="500" t="s">
        <v>442</v>
      </c>
      <c r="K2543" s="2"/>
    </row>
    <row r="2544" spans="1:11" hidden="1">
      <c r="A2544" s="559"/>
      <c r="F2544" s="2"/>
      <c r="G2544" s="485"/>
      <c r="H2544" s="490" t="s">
        <v>4498</v>
      </c>
      <c r="I2544" s="2"/>
      <c r="J2544" s="463"/>
      <c r="K2544" s="2"/>
    </row>
    <row r="2545" spans="1:11" hidden="1">
      <c r="A2545" s="559"/>
      <c r="F2545" s="2"/>
      <c r="G2545" s="485"/>
      <c r="H2545" s="490" t="s">
        <v>4499</v>
      </c>
      <c r="I2545" s="2"/>
      <c r="J2545" s="463"/>
      <c r="K2545" s="563">
        <v>3.5400000000000001E-2</v>
      </c>
    </row>
    <row r="2546" spans="1:11" hidden="1">
      <c r="A2546" s="559"/>
      <c r="F2546" s="2"/>
      <c r="G2546" s="485"/>
      <c r="H2546" s="2"/>
      <c r="I2546" s="2"/>
      <c r="J2546" s="500" t="s">
        <v>30</v>
      </c>
      <c r="K2546" s="491" t="s">
        <v>442</v>
      </c>
    </row>
    <row r="2547" spans="1:11" hidden="1">
      <c r="A2547" s="559"/>
      <c r="F2547" s="2"/>
      <c r="G2547" s="485"/>
      <c r="H2547" s="490" t="s">
        <v>4500</v>
      </c>
      <c r="I2547" s="2"/>
      <c r="J2547" s="564" t="s">
        <v>30</v>
      </c>
      <c r="K2547" s="563">
        <v>2.5899999999999999E-2</v>
      </c>
    </row>
    <row r="2548" spans="1:11" hidden="1">
      <c r="A2548" s="559"/>
      <c r="F2548" s="2"/>
      <c r="G2548" s="485"/>
      <c r="H2548" s="490" t="s">
        <v>4501</v>
      </c>
      <c r="I2548" s="2"/>
      <c r="J2548" s="500" t="s">
        <v>30</v>
      </c>
      <c r="K2548" s="563">
        <v>6.4999999999999997E-3</v>
      </c>
    </row>
    <row r="2549" spans="1:11" hidden="1">
      <c r="A2549" s="559"/>
      <c r="F2549" s="2"/>
      <c r="G2549" s="485"/>
      <c r="H2549" s="2"/>
      <c r="I2549" s="2"/>
      <c r="J2549" s="463"/>
      <c r="K2549" s="491" t="s">
        <v>442</v>
      </c>
    </row>
    <row r="2550" spans="1:11" hidden="1">
      <c r="A2550" s="559"/>
      <c r="F2550" s="2"/>
      <c r="G2550" s="485"/>
      <c r="H2550" s="2"/>
      <c r="I2550" s="2"/>
      <c r="J2550" s="463"/>
      <c r="K2550" s="563">
        <v>3.2300000000000002E-2</v>
      </c>
    </row>
    <row r="2551" spans="1:11" hidden="1">
      <c r="A2551" s="559"/>
      <c r="F2551" s="2"/>
      <c r="G2551" s="485"/>
      <c r="H2551" s="2"/>
      <c r="I2551" s="2"/>
      <c r="J2551" s="463"/>
      <c r="K2551" s="491" t="s">
        <v>442</v>
      </c>
    </row>
    <row r="2552" spans="1:11" hidden="1">
      <c r="A2552" s="559"/>
      <c r="F2552" s="2"/>
      <c r="G2552" s="485"/>
      <c r="H2552" s="2"/>
      <c r="I2552" s="2"/>
      <c r="J2552" s="463"/>
      <c r="K2552" s="2"/>
    </row>
    <row r="2553" spans="1:11" hidden="1">
      <c r="A2553" s="559"/>
      <c r="F2553" s="2"/>
      <c r="G2553" s="485"/>
      <c r="H2553" s="2"/>
      <c r="I2553" s="2"/>
      <c r="J2553" s="463"/>
      <c r="K2553" s="2"/>
    </row>
    <row r="2554" spans="1:11" hidden="1">
      <c r="A2554" s="559"/>
      <c r="F2554" s="563">
        <v>2.2800000000000001E-2</v>
      </c>
      <c r="G2554" s="489" t="s">
        <v>2334</v>
      </c>
      <c r="H2554" s="490" t="s">
        <v>3679</v>
      </c>
      <c r="I2554" s="492">
        <f>I910</f>
        <v>65420</v>
      </c>
      <c r="J2554" s="500" t="s">
        <v>2334</v>
      </c>
      <c r="K2554" s="492">
        <f t="shared" ref="K2554:K2564" si="78">(F2554*I2554)</f>
        <v>1491.576</v>
      </c>
    </row>
    <row r="2555" spans="1:11" hidden="1">
      <c r="A2555" s="559"/>
      <c r="F2555" s="563">
        <v>3.5400000000000001E-2</v>
      </c>
      <c r="G2555" s="489" t="s">
        <v>2334</v>
      </c>
      <c r="H2555" s="490" t="s">
        <v>3681</v>
      </c>
      <c r="I2555" s="492">
        <f>I911</f>
        <v>57165</v>
      </c>
      <c r="J2555" s="500" t="s">
        <v>2334</v>
      </c>
      <c r="K2555" s="492">
        <f t="shared" si="78"/>
        <v>2023.6410000000001</v>
      </c>
    </row>
    <row r="2556" spans="1:11" hidden="1">
      <c r="A2556" s="559"/>
      <c r="F2556" s="563">
        <v>3.2300000000000002E-2</v>
      </c>
      <c r="G2556" s="489" t="s">
        <v>2334</v>
      </c>
      <c r="H2556" s="490" t="s">
        <v>3683</v>
      </c>
      <c r="I2556" s="492">
        <f>I912</f>
        <v>63870</v>
      </c>
      <c r="J2556" s="500" t="s">
        <v>2334</v>
      </c>
      <c r="K2556" s="492">
        <f t="shared" si="78"/>
        <v>2063.0010000000002</v>
      </c>
    </row>
    <row r="2557" spans="1:11" hidden="1">
      <c r="A2557" s="559"/>
      <c r="F2557" s="637"/>
      <c r="G2557" s="485"/>
      <c r="H2557" s="490" t="s">
        <v>4502</v>
      </c>
      <c r="I2557" s="492"/>
      <c r="J2557" s="463"/>
      <c r="K2557" s="492">
        <f t="shared" si="78"/>
        <v>0</v>
      </c>
    </row>
    <row r="2558" spans="1:11" hidden="1">
      <c r="A2558" s="559"/>
      <c r="F2558" s="637">
        <v>2.835</v>
      </c>
      <c r="G2558" s="489" t="s">
        <v>2788</v>
      </c>
      <c r="H2558" s="490" t="s">
        <v>3687</v>
      </c>
      <c r="I2558" s="492">
        <f t="shared" ref="I2558:I2564" si="79">I914</f>
        <v>342</v>
      </c>
      <c r="J2558" s="500" t="s">
        <v>2788</v>
      </c>
      <c r="K2558" s="492">
        <f t="shared" si="78"/>
        <v>969.56999999999994</v>
      </c>
    </row>
    <row r="2559" spans="1:11" hidden="1">
      <c r="A2559" s="559"/>
      <c r="F2559" s="492">
        <v>2</v>
      </c>
      <c r="G2559" s="489" t="s">
        <v>2359</v>
      </c>
      <c r="H2559" s="490" t="s">
        <v>3689</v>
      </c>
      <c r="I2559" s="492">
        <f t="shared" si="79"/>
        <v>30</v>
      </c>
      <c r="J2559" s="500" t="s">
        <v>2342</v>
      </c>
      <c r="K2559" s="492">
        <f t="shared" si="78"/>
        <v>60</v>
      </c>
    </row>
    <row r="2560" spans="1:11" hidden="1">
      <c r="A2560" s="559"/>
      <c r="F2560" s="492">
        <v>6</v>
      </c>
      <c r="G2560" s="489" t="s">
        <v>2342</v>
      </c>
      <c r="H2560" s="490" t="s">
        <v>3691</v>
      </c>
      <c r="I2560" s="492">
        <f t="shared" si="79"/>
        <v>45</v>
      </c>
      <c r="J2560" s="500" t="s">
        <v>2342</v>
      </c>
      <c r="K2560" s="492">
        <f t="shared" si="78"/>
        <v>270</v>
      </c>
    </row>
    <row r="2561" spans="1:11" hidden="1">
      <c r="A2561" s="559"/>
      <c r="F2561" s="492">
        <v>4</v>
      </c>
      <c r="G2561" s="489" t="s">
        <v>2342</v>
      </c>
      <c r="H2561" s="490" t="s">
        <v>3693</v>
      </c>
      <c r="I2561" s="492">
        <f t="shared" si="79"/>
        <v>30</v>
      </c>
      <c r="J2561" s="500" t="s">
        <v>2342</v>
      </c>
      <c r="K2561" s="492">
        <f t="shared" si="78"/>
        <v>120</v>
      </c>
    </row>
    <row r="2562" spans="1:11" hidden="1">
      <c r="A2562" s="559"/>
      <c r="F2562" s="492">
        <v>1</v>
      </c>
      <c r="G2562" s="489" t="s">
        <v>2342</v>
      </c>
      <c r="H2562" s="490" t="s">
        <v>3695</v>
      </c>
      <c r="I2562" s="492">
        <f t="shared" si="79"/>
        <v>95</v>
      </c>
      <c r="J2562" s="500" t="s">
        <v>2342</v>
      </c>
      <c r="K2562" s="492">
        <f t="shared" si="78"/>
        <v>95</v>
      </c>
    </row>
    <row r="2563" spans="1:11" hidden="1">
      <c r="A2563" s="559"/>
      <c r="F2563" s="492">
        <v>2</v>
      </c>
      <c r="G2563" s="489" t="s">
        <v>2342</v>
      </c>
      <c r="H2563" s="490" t="s">
        <v>3697</v>
      </c>
      <c r="I2563" s="492">
        <f t="shared" si="79"/>
        <v>8</v>
      </c>
      <c r="J2563" s="500" t="s">
        <v>2342</v>
      </c>
      <c r="K2563" s="492">
        <f t="shared" si="78"/>
        <v>16</v>
      </c>
    </row>
    <row r="2564" spans="1:11" hidden="1">
      <c r="A2564" s="559"/>
      <c r="F2564" s="492">
        <v>2</v>
      </c>
      <c r="G2564" s="489" t="s">
        <v>2342</v>
      </c>
      <c r="H2564" s="490" t="s">
        <v>2818</v>
      </c>
      <c r="I2564" s="492">
        <f t="shared" si="79"/>
        <v>25</v>
      </c>
      <c r="J2564" s="500" t="s">
        <v>2342</v>
      </c>
      <c r="K2564" s="492">
        <f t="shared" si="78"/>
        <v>50</v>
      </c>
    </row>
    <row r="2565" spans="1:11" hidden="1">
      <c r="A2565" s="559"/>
      <c r="F2565" s="2"/>
      <c r="G2565" s="485"/>
      <c r="H2565" s="2"/>
      <c r="I2565" s="2"/>
      <c r="J2565" s="463"/>
      <c r="K2565" s="491" t="s">
        <v>442</v>
      </c>
    </row>
    <row r="2566" spans="1:11" hidden="1">
      <c r="A2566" s="559"/>
      <c r="F2566" s="2"/>
      <c r="G2566" s="485"/>
      <c r="H2566" s="490" t="s">
        <v>4503</v>
      </c>
      <c r="I2566" s="2"/>
      <c r="J2566" s="463"/>
      <c r="K2566" s="492">
        <f>SUM(K2554:K2564)</f>
        <v>7158.7880000000005</v>
      </c>
    </row>
    <row r="2567" spans="1:11" hidden="1">
      <c r="A2567" s="559"/>
      <c r="F2567" s="2"/>
      <c r="G2567" s="485"/>
      <c r="H2567" s="2"/>
      <c r="I2567" s="2"/>
      <c r="J2567" s="463"/>
      <c r="K2567" s="491" t="s">
        <v>442</v>
      </c>
    </row>
    <row r="2568" spans="1:11" hidden="1">
      <c r="A2568" s="559"/>
      <c r="F2568" s="2"/>
      <c r="G2568" s="485"/>
      <c r="H2568" s="490" t="s">
        <v>2355</v>
      </c>
      <c r="I2568" s="2"/>
      <c r="J2568" s="463"/>
      <c r="K2568" s="492">
        <f>K2566/F2558</f>
        <v>2525.1456790123457</v>
      </c>
    </row>
    <row r="2569" spans="1:11" hidden="1">
      <c r="A2569" s="559"/>
      <c r="F2569" s="2"/>
      <c r="G2569" s="485"/>
      <c r="H2569" s="490"/>
      <c r="I2569" s="2"/>
      <c r="J2569" s="463"/>
      <c r="K2569" s="491" t="s">
        <v>29</v>
      </c>
    </row>
    <row r="2570" spans="1:11" hidden="1">
      <c r="A2570" s="559"/>
      <c r="F2570" s="2"/>
      <c r="G2570" s="485"/>
      <c r="H2570" s="494" t="s">
        <v>4504</v>
      </c>
      <c r="I2570" s="2"/>
      <c r="J2570" s="463"/>
      <c r="K2570" s="2"/>
    </row>
    <row r="2571" spans="1:11" hidden="1">
      <c r="A2571" s="559"/>
      <c r="F2571" s="2"/>
      <c r="G2571" s="485"/>
      <c r="H2571" s="491" t="s">
        <v>442</v>
      </c>
      <c r="I2571" s="2"/>
      <c r="J2571" s="463"/>
      <c r="K2571" s="2"/>
    </row>
    <row r="2572" spans="1:11" hidden="1">
      <c r="A2572" s="559"/>
      <c r="F2572" s="2"/>
      <c r="G2572" s="485"/>
      <c r="H2572" s="490" t="s">
        <v>4505</v>
      </c>
      <c r="I2572" s="2"/>
      <c r="J2572" s="636"/>
      <c r="K2572" s="2"/>
    </row>
    <row r="2573" spans="1:11" hidden="1">
      <c r="A2573" s="559"/>
      <c r="F2573" s="2"/>
      <c r="G2573" s="485"/>
      <c r="H2573" s="490" t="s">
        <v>4497</v>
      </c>
      <c r="I2573" s="2"/>
      <c r="J2573" s="463"/>
      <c r="K2573" s="2"/>
    </row>
    <row r="2574" spans="1:11" hidden="1">
      <c r="A2574" s="559"/>
      <c r="F2574" s="2"/>
      <c r="G2574" s="485"/>
      <c r="H2574" s="2"/>
      <c r="I2574" s="2"/>
      <c r="J2574" s="500" t="s">
        <v>442</v>
      </c>
      <c r="K2574" s="2"/>
    </row>
    <row r="2575" spans="1:11" hidden="1">
      <c r="A2575" s="559"/>
      <c r="F2575" s="2"/>
      <c r="G2575" s="485"/>
      <c r="H2575" s="490" t="s">
        <v>4506</v>
      </c>
      <c r="I2575" s="2"/>
      <c r="J2575" s="463"/>
      <c r="K2575" s="2"/>
    </row>
    <row r="2576" spans="1:11" hidden="1">
      <c r="A2576" s="559"/>
      <c r="F2576" s="2"/>
      <c r="G2576" s="485"/>
      <c r="H2576" s="490" t="s">
        <v>4507</v>
      </c>
      <c r="I2576" s="2"/>
      <c r="J2576" s="463"/>
      <c r="K2576" s="563">
        <v>2.5000000000000001E-2</v>
      </c>
    </row>
    <row r="2577" spans="1:11" hidden="1">
      <c r="A2577" s="559"/>
      <c r="F2577" s="2"/>
      <c r="G2577" s="485"/>
      <c r="H2577" s="2"/>
      <c r="I2577" s="2"/>
      <c r="J2577" s="500" t="s">
        <v>30</v>
      </c>
      <c r="K2577" s="491" t="s">
        <v>442</v>
      </c>
    </row>
    <row r="2578" spans="1:11" hidden="1">
      <c r="A2578" s="559"/>
      <c r="F2578" s="2"/>
      <c r="G2578" s="485"/>
      <c r="H2578" s="490" t="s">
        <v>4508</v>
      </c>
      <c r="I2578" s="2"/>
      <c r="J2578" s="564" t="s">
        <v>30</v>
      </c>
      <c r="K2578" s="563">
        <v>1.7850000000000001E-2</v>
      </c>
    </row>
    <row r="2579" spans="1:11" hidden="1">
      <c r="A2579" s="559"/>
      <c r="F2579" s="2"/>
      <c r="G2579" s="485"/>
      <c r="H2579" s="490" t="s">
        <v>4509</v>
      </c>
      <c r="I2579" s="2"/>
      <c r="J2579" s="500" t="s">
        <v>30</v>
      </c>
      <c r="K2579" s="563">
        <v>1.4500000000000001E-2</v>
      </c>
    </row>
    <row r="2580" spans="1:11" hidden="1">
      <c r="A2580" s="559"/>
      <c r="F2580" s="2"/>
      <c r="G2580" s="485"/>
      <c r="H2580" s="2"/>
      <c r="I2580" s="2"/>
      <c r="J2580" s="463"/>
      <c r="K2580" s="491" t="s">
        <v>442</v>
      </c>
    </row>
    <row r="2581" spans="1:11" hidden="1">
      <c r="A2581" s="559"/>
      <c r="F2581" s="2"/>
      <c r="G2581" s="485"/>
      <c r="H2581" s="2"/>
      <c r="I2581" s="2"/>
      <c r="J2581" s="463"/>
      <c r="K2581" s="563">
        <v>2.23E-2</v>
      </c>
    </row>
    <row r="2582" spans="1:11" hidden="1">
      <c r="A2582" s="559"/>
      <c r="F2582" s="2"/>
      <c r="G2582" s="485"/>
      <c r="H2582" s="2"/>
      <c r="I2582" s="2"/>
      <c r="J2582" s="463"/>
      <c r="K2582" s="491" t="s">
        <v>442</v>
      </c>
    </row>
    <row r="2583" spans="1:11" hidden="1">
      <c r="A2583" s="559"/>
      <c r="F2583" s="2"/>
      <c r="G2583" s="485"/>
      <c r="H2583" s="2"/>
      <c r="I2583" s="2"/>
      <c r="J2583" s="463"/>
      <c r="K2583" s="2"/>
    </row>
    <row r="2584" spans="1:11" hidden="1">
      <c r="A2584" s="559"/>
      <c r="F2584" s="2"/>
      <c r="G2584" s="485"/>
      <c r="H2584" s="2"/>
      <c r="I2584" s="2"/>
      <c r="J2584" s="463"/>
      <c r="K2584" s="2"/>
    </row>
    <row r="2585" spans="1:11" hidden="1">
      <c r="A2585" s="559"/>
      <c r="F2585" s="563">
        <v>2.2800000000000001E-2</v>
      </c>
      <c r="G2585" s="489" t="s">
        <v>2334</v>
      </c>
      <c r="H2585" s="490" t="s">
        <v>3679</v>
      </c>
      <c r="I2585" s="492">
        <f>I2554</f>
        <v>65420</v>
      </c>
      <c r="J2585" s="500" t="s">
        <v>2334</v>
      </c>
      <c r="K2585" s="492">
        <f>(F2585*I2585)</f>
        <v>1491.576</v>
      </c>
    </row>
    <row r="2586" spans="1:11" hidden="1">
      <c r="A2586" s="559"/>
      <c r="F2586" s="563">
        <v>2.5000000000000001E-2</v>
      </c>
      <c r="G2586" s="489" t="s">
        <v>2334</v>
      </c>
      <c r="H2586" s="490" t="s">
        <v>3681</v>
      </c>
      <c r="I2586" s="492">
        <f>I2555</f>
        <v>57165</v>
      </c>
      <c r="J2586" s="500" t="s">
        <v>2334</v>
      </c>
      <c r="K2586" s="492">
        <f>(F2586*I2586)</f>
        <v>1429.125</v>
      </c>
    </row>
    <row r="2587" spans="1:11" hidden="1">
      <c r="A2587" s="559"/>
      <c r="F2587" s="563">
        <v>2.23E-2</v>
      </c>
      <c r="G2587" s="489" t="s">
        <v>2334</v>
      </c>
      <c r="H2587" s="490" t="s">
        <v>3683</v>
      </c>
      <c r="I2587" s="492">
        <f>I2556</f>
        <v>63870</v>
      </c>
      <c r="J2587" s="500" t="s">
        <v>2334</v>
      </c>
      <c r="K2587" s="492">
        <f>(F2587*I2587)</f>
        <v>1424.3009999999999</v>
      </c>
    </row>
    <row r="2588" spans="1:11" hidden="1">
      <c r="A2588" s="559"/>
      <c r="F2588" s="637"/>
      <c r="G2588" s="485"/>
      <c r="H2588" s="490" t="s">
        <v>4502</v>
      </c>
      <c r="I2588" s="492"/>
      <c r="J2588" s="463"/>
      <c r="K2588" s="490" t="s">
        <v>30</v>
      </c>
    </row>
    <row r="2589" spans="1:11" hidden="1">
      <c r="A2589" s="559"/>
      <c r="F2589" s="637">
        <v>2.2275</v>
      </c>
      <c r="G2589" s="489" t="s">
        <v>2788</v>
      </c>
      <c r="H2589" s="490" t="s">
        <v>3687</v>
      </c>
      <c r="I2589" s="492">
        <f t="shared" ref="I2589:I2595" si="80">I2558</f>
        <v>342</v>
      </c>
      <c r="J2589" s="500" t="s">
        <v>2788</v>
      </c>
      <c r="K2589" s="492">
        <f t="shared" ref="K2589:K2595" si="81">(F2589*I2589)</f>
        <v>761.80500000000006</v>
      </c>
    </row>
    <row r="2590" spans="1:11" hidden="1">
      <c r="A2590" s="559"/>
      <c r="F2590" s="492">
        <v>2</v>
      </c>
      <c r="G2590" s="489" t="s">
        <v>2359</v>
      </c>
      <c r="H2590" s="490" t="s">
        <v>3689</v>
      </c>
      <c r="I2590" s="492">
        <f t="shared" si="80"/>
        <v>30</v>
      </c>
      <c r="J2590" s="500" t="s">
        <v>2342</v>
      </c>
      <c r="K2590" s="492">
        <f t="shared" si="81"/>
        <v>60</v>
      </c>
    </row>
    <row r="2591" spans="1:11" hidden="1">
      <c r="A2591" s="559"/>
      <c r="F2591" s="492">
        <v>6</v>
      </c>
      <c r="G2591" s="489" t="s">
        <v>2342</v>
      </c>
      <c r="H2591" s="490" t="s">
        <v>3691</v>
      </c>
      <c r="I2591" s="492">
        <f t="shared" si="80"/>
        <v>45</v>
      </c>
      <c r="J2591" s="500" t="s">
        <v>2342</v>
      </c>
      <c r="K2591" s="492">
        <f t="shared" si="81"/>
        <v>270</v>
      </c>
    </row>
    <row r="2592" spans="1:11" hidden="1">
      <c r="A2592" s="559"/>
      <c r="F2592" s="492">
        <v>4</v>
      </c>
      <c r="G2592" s="489" t="s">
        <v>2342</v>
      </c>
      <c r="H2592" s="490" t="s">
        <v>3693</v>
      </c>
      <c r="I2592" s="492">
        <f t="shared" si="80"/>
        <v>30</v>
      </c>
      <c r="J2592" s="500" t="s">
        <v>2342</v>
      </c>
      <c r="K2592" s="492">
        <f t="shared" si="81"/>
        <v>120</v>
      </c>
    </row>
    <row r="2593" spans="1:11" hidden="1">
      <c r="A2593" s="559"/>
      <c r="F2593" s="492">
        <v>1</v>
      </c>
      <c r="G2593" s="489" t="s">
        <v>2342</v>
      </c>
      <c r="H2593" s="490" t="s">
        <v>3695</v>
      </c>
      <c r="I2593" s="492">
        <f t="shared" si="80"/>
        <v>95</v>
      </c>
      <c r="J2593" s="500" t="s">
        <v>2342</v>
      </c>
      <c r="K2593" s="492">
        <f t="shared" si="81"/>
        <v>95</v>
      </c>
    </row>
    <row r="2594" spans="1:11" hidden="1">
      <c r="A2594" s="559"/>
      <c r="F2594" s="492">
        <v>2</v>
      </c>
      <c r="G2594" s="489" t="s">
        <v>2342</v>
      </c>
      <c r="H2594" s="490" t="s">
        <v>3697</v>
      </c>
      <c r="I2594" s="492">
        <f t="shared" si="80"/>
        <v>8</v>
      </c>
      <c r="J2594" s="500" t="s">
        <v>2342</v>
      </c>
      <c r="K2594" s="492">
        <f t="shared" si="81"/>
        <v>16</v>
      </c>
    </row>
    <row r="2595" spans="1:11" hidden="1">
      <c r="A2595" s="559"/>
      <c r="F2595" s="492">
        <v>2</v>
      </c>
      <c r="G2595" s="489" t="s">
        <v>2342</v>
      </c>
      <c r="H2595" s="490" t="s">
        <v>2818</v>
      </c>
      <c r="I2595" s="492">
        <f t="shared" si="80"/>
        <v>25</v>
      </c>
      <c r="J2595" s="500" t="s">
        <v>2342</v>
      </c>
      <c r="K2595" s="492">
        <f t="shared" si="81"/>
        <v>50</v>
      </c>
    </row>
    <row r="2596" spans="1:11" hidden="1">
      <c r="A2596" s="559"/>
      <c r="F2596" s="2"/>
      <c r="G2596" s="485"/>
      <c r="H2596" s="2"/>
      <c r="I2596" s="2"/>
      <c r="J2596" s="463"/>
      <c r="K2596" s="491" t="s">
        <v>442</v>
      </c>
    </row>
    <row r="2597" spans="1:11" hidden="1">
      <c r="A2597" s="559"/>
      <c r="F2597" s="2"/>
      <c r="G2597" s="485"/>
      <c r="H2597" s="490" t="s">
        <v>4510</v>
      </c>
      <c r="I2597" s="2"/>
      <c r="J2597" s="463"/>
      <c r="K2597" s="492">
        <f>SUM(K2585:K2595)</f>
        <v>5717.8070000000007</v>
      </c>
    </row>
    <row r="2598" spans="1:11" hidden="1">
      <c r="A2598" s="559"/>
      <c r="F2598" s="2"/>
      <c r="G2598" s="485"/>
      <c r="H2598" s="2"/>
      <c r="I2598" s="2"/>
      <c r="J2598" s="463"/>
      <c r="K2598" s="491" t="s">
        <v>442</v>
      </c>
    </row>
    <row r="2599" spans="1:11" hidden="1">
      <c r="A2599" s="559"/>
      <c r="F2599" s="2"/>
      <c r="G2599" s="485"/>
      <c r="H2599" s="490" t="s">
        <v>2355</v>
      </c>
      <c r="I2599" s="2"/>
      <c r="J2599" s="463"/>
      <c r="K2599" s="492">
        <f>K2597/F2589</f>
        <v>2566.9167227833896</v>
      </c>
    </row>
    <row r="2600" spans="1:11" hidden="1">
      <c r="A2600" s="559"/>
      <c r="F2600" s="2"/>
      <c r="G2600" s="485"/>
      <c r="H2600" s="490"/>
      <c r="I2600" s="2"/>
      <c r="J2600" s="463"/>
      <c r="K2600" s="491" t="s">
        <v>29</v>
      </c>
    </row>
    <row r="2601" spans="1:11" hidden="1">
      <c r="A2601" s="559"/>
      <c r="F2601" s="2"/>
      <c r="G2601" s="485"/>
      <c r="H2601" s="2"/>
      <c r="I2601" s="2"/>
      <c r="J2601" s="463"/>
      <c r="K2601" s="2"/>
    </row>
    <row r="2602" spans="1:11" hidden="1">
      <c r="A2602" s="559"/>
      <c r="F2602" s="2">
        <v>55.2</v>
      </c>
      <c r="G2602" s="485"/>
      <c r="H2602" s="463" t="s">
        <v>4511</v>
      </c>
      <c r="I2602" s="2"/>
      <c r="J2602" s="463"/>
      <c r="K2602" s="2"/>
    </row>
    <row r="2603" spans="1:11" hidden="1">
      <c r="A2603" s="559"/>
      <c r="F2603" s="2"/>
      <c r="G2603" s="485"/>
      <c r="H2603" s="638" t="s">
        <v>442</v>
      </c>
      <c r="I2603" s="2"/>
      <c r="J2603" s="463"/>
      <c r="K2603" s="2"/>
    </row>
    <row r="2604" spans="1:11" hidden="1">
      <c r="A2604" s="559"/>
      <c r="F2604" s="2">
        <v>1</v>
      </c>
      <c r="G2604" s="485" t="s">
        <v>5</v>
      </c>
      <c r="H2604" s="2" t="s">
        <v>4512</v>
      </c>
      <c r="I2604" s="2">
        <v>650</v>
      </c>
      <c r="J2604" s="463" t="s">
        <v>5</v>
      </c>
      <c r="K2604" s="2">
        <f>F2604*I2604</f>
        <v>650</v>
      </c>
    </row>
    <row r="2605" spans="1:11" hidden="1">
      <c r="A2605" s="559"/>
      <c r="F2605" s="2">
        <v>0.5</v>
      </c>
      <c r="G2605" s="485" t="s">
        <v>5</v>
      </c>
      <c r="H2605" s="2" t="s">
        <v>4513</v>
      </c>
      <c r="I2605" s="2">
        <f>C15</f>
        <v>130</v>
      </c>
      <c r="J2605" s="463" t="s">
        <v>5</v>
      </c>
      <c r="K2605" s="2">
        <f>F2605*I2605</f>
        <v>65</v>
      </c>
    </row>
    <row r="2606" spans="1:11" hidden="1">
      <c r="A2606" s="559"/>
      <c r="F2606" s="2">
        <v>0.5</v>
      </c>
      <c r="G2606" s="485" t="s">
        <v>5</v>
      </c>
      <c r="H2606" s="2" t="s">
        <v>4514</v>
      </c>
      <c r="I2606" s="2">
        <f>C10</f>
        <v>150</v>
      </c>
      <c r="J2606" s="463" t="s">
        <v>5</v>
      </c>
      <c r="K2606" s="2">
        <f>F2606*I2606</f>
        <v>75</v>
      </c>
    </row>
    <row r="2607" spans="1:11" hidden="1">
      <c r="A2607" s="559"/>
      <c r="F2607" s="2">
        <v>0.5</v>
      </c>
      <c r="G2607" s="485" t="s">
        <v>5</v>
      </c>
      <c r="H2607" s="2" t="s">
        <v>4384</v>
      </c>
      <c r="I2607" s="2">
        <f>C12</f>
        <v>95</v>
      </c>
      <c r="J2607" s="463" t="s">
        <v>5</v>
      </c>
      <c r="K2607" s="2">
        <f>F2607*I2607</f>
        <v>47.5</v>
      </c>
    </row>
    <row r="2608" spans="1:11" hidden="1">
      <c r="A2608" s="559"/>
      <c r="F2608" s="2"/>
      <c r="G2608" s="485"/>
      <c r="H2608" s="2"/>
      <c r="I2608" s="2"/>
      <c r="J2608" s="463"/>
      <c r="K2608" s="633" t="s">
        <v>442</v>
      </c>
    </row>
    <row r="2609" spans="1:11" hidden="1">
      <c r="A2609" s="559"/>
      <c r="F2609" s="2"/>
      <c r="G2609" s="485"/>
      <c r="H2609" s="2"/>
      <c r="I2609" s="2"/>
      <c r="J2609" s="463"/>
      <c r="K2609" s="2">
        <f>SUM(K2604:K2608)</f>
        <v>837.5</v>
      </c>
    </row>
    <row r="2610" spans="1:11" hidden="1">
      <c r="A2610" s="559"/>
      <c r="F2610" s="2"/>
      <c r="G2610" s="485"/>
      <c r="H2610" s="2"/>
      <c r="I2610" s="2"/>
      <c r="J2610" s="463"/>
      <c r="K2610" s="633" t="s">
        <v>29</v>
      </c>
    </row>
    <row r="2611" spans="1:11" hidden="1">
      <c r="A2611" s="559"/>
      <c r="F2611" s="2">
        <v>44.2</v>
      </c>
      <c r="G2611" s="485" t="s">
        <v>575</v>
      </c>
      <c r="H2611" s="2" t="s">
        <v>4515</v>
      </c>
      <c r="I2611" s="2"/>
      <c r="J2611" s="463"/>
      <c r="K2611" s="2"/>
    </row>
    <row r="2612" spans="1:11" hidden="1">
      <c r="A2612" s="559"/>
      <c r="F2612" s="2"/>
      <c r="G2612" s="485"/>
      <c r="H2612" s="627" t="s">
        <v>4481</v>
      </c>
      <c r="I2612" s="2"/>
      <c r="J2612" s="463"/>
      <c r="K2612" s="2"/>
    </row>
    <row r="2613" spans="1:11" hidden="1">
      <c r="A2613" s="559"/>
      <c r="F2613" s="2">
        <v>0.47</v>
      </c>
      <c r="G2613" s="485" t="s">
        <v>2019</v>
      </c>
      <c r="H2613" s="2" t="s">
        <v>4101</v>
      </c>
      <c r="I2613" s="2">
        <f>K88</f>
        <v>52.933333333333337</v>
      </c>
      <c r="J2613" s="463" t="s">
        <v>19</v>
      </c>
      <c r="K2613" s="2">
        <f>I2613*F2613</f>
        <v>24.878666666666668</v>
      </c>
    </row>
    <row r="2614" spans="1:11" hidden="1">
      <c r="A2614" s="559"/>
      <c r="F2614" s="2">
        <v>4.9000000000000004</v>
      </c>
      <c r="G2614" s="485" t="s">
        <v>12</v>
      </c>
      <c r="H2614" s="2" t="s">
        <v>4516</v>
      </c>
      <c r="I2614" s="2">
        <f>K2629</f>
        <v>50.583333333333336</v>
      </c>
      <c r="J2614" s="463" t="s">
        <v>12</v>
      </c>
      <c r="K2614" s="2">
        <f>I2614*F2614</f>
        <v>247.85833333333338</v>
      </c>
    </row>
    <row r="2615" spans="1:11" hidden="1">
      <c r="A2615" s="559"/>
      <c r="F2615" s="2">
        <v>0.59</v>
      </c>
      <c r="G2615" s="485" t="s">
        <v>2019</v>
      </c>
      <c r="H2615" s="2" t="s">
        <v>4517</v>
      </c>
      <c r="I2615" s="2" t="e">
        <f>AC15</f>
        <v>#REF!</v>
      </c>
      <c r="J2615" s="463" t="s">
        <v>19</v>
      </c>
      <c r="K2615" s="2" t="e">
        <f>I2615*F2615</f>
        <v>#REF!</v>
      </c>
    </row>
    <row r="2616" spans="1:11" hidden="1">
      <c r="A2616" s="559"/>
      <c r="F2616" s="2">
        <v>0.79</v>
      </c>
      <c r="G2616" s="485" t="s">
        <v>26</v>
      </c>
      <c r="H2616" s="2" t="s">
        <v>4518</v>
      </c>
      <c r="I2616" s="2" t="e">
        <f>K630</f>
        <v>#REF!</v>
      </c>
      <c r="J2616" s="463" t="s">
        <v>26</v>
      </c>
      <c r="K2616" s="2" t="e">
        <f>I2616*F2616</f>
        <v>#REF!</v>
      </c>
    </row>
    <row r="2617" spans="1:11" hidden="1">
      <c r="A2617" s="559"/>
      <c r="F2617" s="2">
        <v>0.24</v>
      </c>
      <c r="G2617" s="485" t="s">
        <v>2019</v>
      </c>
      <c r="H2617" s="2" t="s">
        <v>52</v>
      </c>
      <c r="I2617" s="2" t="e">
        <f>AC17</f>
        <v>#REF!</v>
      </c>
      <c r="J2617" s="463" t="s">
        <v>19</v>
      </c>
      <c r="K2617" s="2" t="e">
        <f>I2617*F2617</f>
        <v>#REF!</v>
      </c>
    </row>
    <row r="2618" spans="1:11" hidden="1">
      <c r="A2618" s="559"/>
      <c r="F2618" s="2"/>
      <c r="G2618" s="485"/>
      <c r="H2618" s="2" t="s">
        <v>2390</v>
      </c>
      <c r="I2618" s="2"/>
      <c r="J2618" s="463"/>
      <c r="K2618" s="2"/>
    </row>
    <row r="2619" spans="1:11" hidden="1">
      <c r="A2619" s="559"/>
      <c r="F2619" s="2"/>
      <c r="G2619" s="485"/>
      <c r="H2619" s="2"/>
      <c r="I2619" s="2"/>
      <c r="J2619" s="463"/>
      <c r="K2619" s="627" t="s">
        <v>4519</v>
      </c>
    </row>
    <row r="2620" spans="1:11" hidden="1">
      <c r="A2620" s="559"/>
      <c r="F2620" s="2"/>
      <c r="G2620" s="485"/>
      <c r="H2620" s="2"/>
      <c r="I2620" s="2"/>
      <c r="J2620" s="463"/>
      <c r="K2620" s="2" t="e">
        <f>SUM(K2613:K2619)</f>
        <v>#REF!</v>
      </c>
    </row>
    <row r="2621" spans="1:11" hidden="1">
      <c r="A2621" s="559"/>
      <c r="F2621" s="2"/>
      <c r="G2621" s="485"/>
      <c r="H2621" s="2"/>
      <c r="I2621" s="2"/>
      <c r="J2621" s="463"/>
      <c r="K2621" s="627" t="s">
        <v>31</v>
      </c>
    </row>
    <row r="2622" spans="1:11" hidden="1">
      <c r="A2622" s="559"/>
      <c r="F2622" s="2"/>
      <c r="G2622" s="485"/>
      <c r="H2622" s="639" t="s">
        <v>4520</v>
      </c>
      <c r="I2622" s="2"/>
      <c r="J2622" s="463"/>
      <c r="K2622" s="2"/>
    </row>
    <row r="2623" spans="1:11" hidden="1">
      <c r="A2623" s="559"/>
      <c r="F2623" s="2"/>
      <c r="G2623" s="485"/>
      <c r="H2623" s="2"/>
      <c r="I2623" s="2"/>
      <c r="J2623" s="463"/>
      <c r="K2623" s="2"/>
    </row>
    <row r="2624" spans="1:11" hidden="1">
      <c r="A2624" s="559"/>
      <c r="F2624" s="2">
        <v>0.25</v>
      </c>
      <c r="G2624" s="485" t="s">
        <v>5</v>
      </c>
      <c r="H2624" s="2" t="s">
        <v>2461</v>
      </c>
      <c r="I2624" s="2">
        <f>C11</f>
        <v>135</v>
      </c>
      <c r="J2624" s="463" t="s">
        <v>556</v>
      </c>
      <c r="K2624" s="2">
        <f>I2624*F2624</f>
        <v>33.75</v>
      </c>
    </row>
    <row r="2625" spans="1:11" hidden="1">
      <c r="A2625" s="559"/>
      <c r="F2625" s="2">
        <v>1</v>
      </c>
      <c r="G2625" s="485" t="s">
        <v>5</v>
      </c>
      <c r="H2625" s="2" t="s">
        <v>4521</v>
      </c>
      <c r="I2625" s="2">
        <f>C12</f>
        <v>95</v>
      </c>
      <c r="J2625" s="463" t="s">
        <v>556</v>
      </c>
      <c r="K2625" s="2">
        <f>I2625*F2625</f>
        <v>95</v>
      </c>
    </row>
    <row r="2626" spans="1:11" hidden="1">
      <c r="A2626" s="559"/>
      <c r="F2626" s="2">
        <v>1</v>
      </c>
      <c r="G2626" s="485"/>
      <c r="H2626" s="2" t="s">
        <v>4522</v>
      </c>
      <c r="I2626" s="2">
        <v>23</v>
      </c>
      <c r="J2626" s="463" t="s">
        <v>2346</v>
      </c>
      <c r="K2626" s="2">
        <f>I2626*F2626</f>
        <v>23</v>
      </c>
    </row>
    <row r="2627" spans="1:11" hidden="1">
      <c r="A2627" s="559"/>
      <c r="F2627" s="2"/>
      <c r="G2627" s="485"/>
      <c r="H2627" s="2"/>
      <c r="I2627" s="2"/>
      <c r="J2627" s="463"/>
      <c r="K2627" s="627" t="s">
        <v>4519</v>
      </c>
    </row>
    <row r="2628" spans="1:11" hidden="1">
      <c r="A2628" s="559"/>
      <c r="F2628" s="2"/>
      <c r="G2628" s="485"/>
      <c r="H2628" s="2" t="s">
        <v>4523</v>
      </c>
      <c r="I2628" s="2"/>
      <c r="J2628" s="463"/>
      <c r="K2628" s="2">
        <f>SUM(K2624:K2627)</f>
        <v>151.75</v>
      </c>
    </row>
    <row r="2629" spans="1:11" hidden="1">
      <c r="A2629" s="559"/>
      <c r="F2629" s="2"/>
      <c r="G2629" s="485"/>
      <c r="H2629" s="2" t="s">
        <v>4524</v>
      </c>
      <c r="I2629" s="2"/>
      <c r="J2629" s="463"/>
      <c r="K2629" s="2">
        <f>K2628/3</f>
        <v>50.583333333333336</v>
      </c>
    </row>
    <row r="2630" spans="1:11" hidden="1">
      <c r="A2630" s="559"/>
      <c r="F2630" s="2"/>
      <c r="G2630" s="485"/>
      <c r="H2630" s="2"/>
      <c r="I2630" s="2"/>
      <c r="J2630" s="463"/>
      <c r="K2630" s="633" t="s">
        <v>442</v>
      </c>
    </row>
    <row r="2631" spans="1:11" ht="30" hidden="1" customHeight="1">
      <c r="A2631" s="559"/>
      <c r="F2631" s="2">
        <v>84</v>
      </c>
      <c r="G2631" s="485"/>
      <c r="H2631" s="506" t="s">
        <v>4525</v>
      </c>
      <c r="I2631" s="2"/>
      <c r="J2631" s="463"/>
      <c r="K2631" s="2"/>
    </row>
    <row r="2632" spans="1:11" hidden="1">
      <c r="A2632" s="559"/>
      <c r="F2632" s="2"/>
      <c r="G2632" s="485"/>
      <c r="H2632" s="633" t="s">
        <v>442</v>
      </c>
      <c r="I2632" s="2"/>
      <c r="J2632" s="463"/>
      <c r="K2632" s="2"/>
    </row>
    <row r="2633" spans="1:11" ht="31.5" hidden="1">
      <c r="A2633" s="559"/>
      <c r="F2633" s="506">
        <v>180</v>
      </c>
      <c r="G2633" s="506" t="s">
        <v>12</v>
      </c>
      <c r="H2633" s="506" t="s">
        <v>4526</v>
      </c>
      <c r="I2633" s="506">
        <v>15.6</v>
      </c>
      <c r="J2633" s="506" t="s">
        <v>12</v>
      </c>
      <c r="K2633" s="506">
        <f t="shared" ref="K2633:K2640" si="82">I2633*F2633</f>
        <v>2808</v>
      </c>
    </row>
    <row r="2634" spans="1:11" hidden="1">
      <c r="A2634" s="559"/>
      <c r="F2634" s="506">
        <v>4</v>
      </c>
      <c r="G2634" s="506" t="s">
        <v>40</v>
      </c>
      <c r="H2634" s="506" t="s">
        <v>4527</v>
      </c>
      <c r="I2634" s="506">
        <v>37</v>
      </c>
      <c r="J2634" s="506" t="s">
        <v>40</v>
      </c>
      <c r="K2634" s="506">
        <f t="shared" si="82"/>
        <v>148</v>
      </c>
    </row>
    <row r="2635" spans="1:11" hidden="1">
      <c r="A2635" s="559"/>
      <c r="F2635" s="506">
        <v>180</v>
      </c>
      <c r="G2635" s="506" t="s">
        <v>13</v>
      </c>
      <c r="H2635" s="506" t="s">
        <v>4528</v>
      </c>
      <c r="I2635" s="506">
        <v>0.25</v>
      </c>
      <c r="J2635" s="506" t="s">
        <v>556</v>
      </c>
      <c r="K2635" s="506">
        <f t="shared" si="82"/>
        <v>45</v>
      </c>
    </row>
    <row r="2636" spans="1:11" hidden="1">
      <c r="A2636" s="559"/>
      <c r="F2636" s="506">
        <v>1</v>
      </c>
      <c r="G2636" s="506" t="s">
        <v>40</v>
      </c>
      <c r="H2636" s="506" t="s">
        <v>4529</v>
      </c>
      <c r="I2636" s="506">
        <v>37</v>
      </c>
      <c r="J2636" s="506" t="s">
        <v>40</v>
      </c>
      <c r="K2636" s="506">
        <f t="shared" si="82"/>
        <v>37</v>
      </c>
    </row>
    <row r="2637" spans="1:11" hidden="1">
      <c r="A2637" s="559"/>
      <c r="F2637" s="506">
        <v>1</v>
      </c>
      <c r="G2637" s="506" t="s">
        <v>13</v>
      </c>
      <c r="H2637" s="506" t="s">
        <v>4530</v>
      </c>
      <c r="I2637" s="506">
        <v>148</v>
      </c>
      <c r="J2637" s="506" t="s">
        <v>556</v>
      </c>
      <c r="K2637" s="506">
        <f t="shared" si="82"/>
        <v>148</v>
      </c>
    </row>
    <row r="2638" spans="1:11" hidden="1">
      <c r="A2638" s="559"/>
      <c r="F2638" s="506">
        <v>2</v>
      </c>
      <c r="G2638" s="506" t="s">
        <v>13</v>
      </c>
      <c r="H2638" s="506" t="s">
        <v>4531</v>
      </c>
      <c r="I2638" s="506">
        <v>131</v>
      </c>
      <c r="J2638" s="506" t="s">
        <v>556</v>
      </c>
      <c r="K2638" s="506">
        <f t="shared" si="82"/>
        <v>262</v>
      </c>
    </row>
    <row r="2639" spans="1:11" hidden="1">
      <c r="A2639" s="559"/>
      <c r="F2639" s="506">
        <v>2</v>
      </c>
      <c r="G2639" s="506" t="s">
        <v>13</v>
      </c>
      <c r="H2639" s="506" t="s">
        <v>4532</v>
      </c>
      <c r="I2639" s="506">
        <v>117</v>
      </c>
      <c r="J2639" s="506" t="s">
        <v>556</v>
      </c>
      <c r="K2639" s="506">
        <f t="shared" si="82"/>
        <v>234</v>
      </c>
    </row>
    <row r="2640" spans="1:11" hidden="1">
      <c r="A2640" s="559"/>
      <c r="F2640" s="506">
        <v>3</v>
      </c>
      <c r="G2640" s="506" t="s">
        <v>13</v>
      </c>
      <c r="H2640" s="506" t="s">
        <v>2410</v>
      </c>
      <c r="I2640" s="506">
        <v>91</v>
      </c>
      <c r="J2640" s="506" t="s">
        <v>556</v>
      </c>
      <c r="K2640" s="506">
        <f t="shared" si="82"/>
        <v>273</v>
      </c>
    </row>
    <row r="2641" spans="1:11" hidden="1">
      <c r="A2641" s="559"/>
      <c r="F2641" s="506"/>
      <c r="G2641" s="506"/>
      <c r="H2641" s="506" t="s">
        <v>4533</v>
      </c>
      <c r="I2641" s="506"/>
      <c r="J2641" s="506"/>
      <c r="K2641" s="506">
        <v>5</v>
      </c>
    </row>
    <row r="2642" spans="1:11" hidden="1">
      <c r="A2642" s="559"/>
      <c r="F2642" s="506"/>
      <c r="G2642" s="506"/>
      <c r="H2642" s="506"/>
      <c r="I2642" s="506"/>
      <c r="J2642" s="506"/>
      <c r="K2642" s="640" t="s">
        <v>442</v>
      </c>
    </row>
    <row r="2643" spans="1:11" hidden="1">
      <c r="A2643" s="559"/>
      <c r="F2643" s="506"/>
      <c r="G2643" s="506"/>
      <c r="H2643" s="506" t="s">
        <v>4534</v>
      </c>
      <c r="I2643" s="506"/>
      <c r="J2643" s="506"/>
      <c r="K2643" s="506">
        <f>SUM(K2633:K2642)</f>
        <v>3960</v>
      </c>
    </row>
    <row r="2644" spans="1:11" hidden="1">
      <c r="A2644" s="559"/>
      <c r="F2644" s="506"/>
      <c r="G2644" s="506"/>
      <c r="H2644" s="506"/>
      <c r="I2644" s="506"/>
      <c r="J2644" s="506"/>
      <c r="K2644" s="640" t="s">
        <v>442</v>
      </c>
    </row>
    <row r="2645" spans="1:11" hidden="1">
      <c r="A2645" s="559"/>
      <c r="F2645" s="506"/>
      <c r="G2645" s="506"/>
      <c r="H2645" s="506" t="s">
        <v>4535</v>
      </c>
      <c r="I2645" s="506"/>
      <c r="J2645" s="506"/>
      <c r="K2645" s="506">
        <f>K2643/90</f>
        <v>44</v>
      </c>
    </row>
    <row r="2646" spans="1:11" hidden="1">
      <c r="A2646" s="559"/>
      <c r="F2646" s="506"/>
      <c r="G2646" s="506"/>
      <c r="H2646" s="506"/>
      <c r="I2646" s="506"/>
      <c r="J2646" s="506"/>
      <c r="K2646" s="640" t="s">
        <v>29</v>
      </c>
    </row>
    <row r="2647" spans="1:11" hidden="1">
      <c r="A2647" s="559"/>
      <c r="F2647" s="488"/>
      <c r="G2647" s="485"/>
      <c r="H2647" s="490" t="s">
        <v>3872</v>
      </c>
      <c r="I2647" s="2"/>
      <c r="J2647" s="463"/>
      <c r="K2647" s="2"/>
    </row>
    <row r="2648" spans="1:11" hidden="1">
      <c r="A2648" s="559"/>
      <c r="F2648" s="2"/>
      <c r="G2648" s="485"/>
      <c r="H2648" s="491" t="s">
        <v>442</v>
      </c>
      <c r="I2648" s="491" t="s">
        <v>442</v>
      </c>
      <c r="J2648" s="500" t="s">
        <v>442</v>
      </c>
      <c r="K2648" s="2"/>
    </row>
    <row r="2649" spans="1:11" hidden="1">
      <c r="A2649" s="559"/>
      <c r="F2649" s="2"/>
      <c r="G2649" s="485"/>
      <c r="H2649" s="2"/>
      <c r="I2649" s="2"/>
      <c r="J2649" s="463"/>
      <c r="K2649" s="2"/>
    </row>
    <row r="2650" spans="1:11" hidden="1">
      <c r="A2650" s="559"/>
      <c r="F2650" s="641">
        <v>22.5</v>
      </c>
      <c r="G2650" s="485"/>
      <c r="H2650" s="490" t="s">
        <v>3873</v>
      </c>
      <c r="I2650" s="2"/>
      <c r="J2650" s="463"/>
      <c r="K2650" s="2"/>
    </row>
    <row r="2651" spans="1:11" hidden="1">
      <c r="A2651" s="559"/>
      <c r="F2651" s="2"/>
      <c r="G2651" s="485"/>
      <c r="H2651" s="490"/>
      <c r="I2651" s="2"/>
      <c r="J2651" s="463"/>
      <c r="K2651" s="2"/>
    </row>
    <row r="2652" spans="1:11" hidden="1">
      <c r="A2652" s="559"/>
      <c r="F2652" s="2"/>
      <c r="G2652" s="485"/>
      <c r="H2652" s="490" t="s">
        <v>3874</v>
      </c>
      <c r="I2652" s="2"/>
      <c r="J2652" s="463"/>
      <c r="K2652" s="2"/>
    </row>
    <row r="2653" spans="1:11" hidden="1">
      <c r="A2653" s="559"/>
      <c r="F2653" s="2"/>
      <c r="G2653" s="485"/>
      <c r="H2653" s="490" t="s">
        <v>3875</v>
      </c>
      <c r="I2653" s="2"/>
      <c r="J2653" s="463"/>
      <c r="K2653" s="2"/>
    </row>
    <row r="2654" spans="1:11" hidden="1">
      <c r="A2654" s="559"/>
      <c r="F2654" s="2"/>
      <c r="G2654" s="485"/>
      <c r="H2654" s="490" t="s">
        <v>3876</v>
      </c>
      <c r="I2654" s="2"/>
      <c r="J2654" s="463"/>
      <c r="K2654" s="2"/>
    </row>
    <row r="2655" spans="1:11" hidden="1">
      <c r="A2655" s="559"/>
      <c r="F2655" s="2"/>
      <c r="G2655" s="485"/>
      <c r="H2655" s="490" t="s">
        <v>3877</v>
      </c>
      <c r="I2655" s="2"/>
      <c r="J2655" s="463"/>
      <c r="K2655" s="2"/>
    </row>
    <row r="2656" spans="1:11" hidden="1">
      <c r="A2656" s="559"/>
      <c r="F2656" s="2"/>
      <c r="G2656" s="485"/>
      <c r="H2656" s="490" t="s">
        <v>4536</v>
      </c>
      <c r="I2656" s="2"/>
      <c r="J2656" s="500" t="s">
        <v>30</v>
      </c>
      <c r="K2656" s="563">
        <v>3.7699999999999997E-2</v>
      </c>
    </row>
    <row r="2657" spans="1:11" hidden="1">
      <c r="A2657" s="559"/>
      <c r="F2657" s="2"/>
      <c r="G2657" s="485"/>
      <c r="H2657" s="490" t="s">
        <v>4537</v>
      </c>
      <c r="I2657" s="2"/>
      <c r="J2657" s="564" t="s">
        <v>30</v>
      </c>
      <c r="K2657" s="566" t="s">
        <v>30</v>
      </c>
    </row>
    <row r="2658" spans="1:11" hidden="1">
      <c r="A2658" s="559"/>
      <c r="F2658" s="2"/>
      <c r="G2658" s="485"/>
      <c r="H2658" s="490" t="s">
        <v>3879</v>
      </c>
      <c r="I2658" s="2"/>
      <c r="J2658" s="463"/>
      <c r="K2658" s="566" t="s">
        <v>30</v>
      </c>
    </row>
    <row r="2659" spans="1:11" hidden="1">
      <c r="A2659" s="559"/>
      <c r="F2659" s="2"/>
      <c r="G2659" s="485"/>
      <c r="H2659" s="490"/>
      <c r="I2659" s="2"/>
      <c r="J2659" s="463"/>
      <c r="K2659" s="566"/>
    </row>
    <row r="2660" spans="1:11" hidden="1">
      <c r="A2660" s="559"/>
      <c r="F2660" s="2"/>
      <c r="G2660" s="485"/>
      <c r="H2660" s="490"/>
      <c r="I2660" s="2"/>
      <c r="J2660" s="463"/>
      <c r="K2660" s="566"/>
    </row>
    <row r="2661" spans="1:11" hidden="1">
      <c r="A2661" s="559"/>
      <c r="F2661" s="2"/>
      <c r="G2661" s="485"/>
      <c r="H2661" s="2"/>
      <c r="I2661" s="2"/>
      <c r="J2661" s="463"/>
      <c r="K2661" s="2"/>
    </row>
    <row r="2662" spans="1:11" hidden="1">
      <c r="A2662" s="559"/>
      <c r="F2662" s="635">
        <v>1.18E-2</v>
      </c>
      <c r="G2662" s="489" t="s">
        <v>2334</v>
      </c>
      <c r="H2662" s="490" t="s">
        <v>2809</v>
      </c>
      <c r="I2662" s="492">
        <f t="shared" ref="I2662:I2671" si="83">I2260</f>
        <v>65420</v>
      </c>
      <c r="J2662" s="500" t="s">
        <v>2334</v>
      </c>
      <c r="K2662" s="492">
        <f t="shared" ref="K2662:K2671" si="84">(F2662*I2662)</f>
        <v>771.95600000000002</v>
      </c>
    </row>
    <row r="2663" spans="1:11" hidden="1">
      <c r="A2663" s="559"/>
      <c r="F2663" s="635">
        <v>3.7699999999999997E-2</v>
      </c>
      <c r="G2663" s="489" t="s">
        <v>2334</v>
      </c>
      <c r="H2663" s="490" t="s">
        <v>2810</v>
      </c>
      <c r="I2663" s="492">
        <f t="shared" si="83"/>
        <v>57165</v>
      </c>
      <c r="J2663" s="500" t="s">
        <v>2334</v>
      </c>
      <c r="K2663" s="492">
        <f t="shared" si="84"/>
        <v>2155.1205</v>
      </c>
    </row>
    <row r="2664" spans="1:11" hidden="1">
      <c r="A2664" s="559"/>
      <c r="F2664" s="635">
        <v>1.8550000000000001E-2</v>
      </c>
      <c r="G2664" s="489" t="s">
        <v>2334</v>
      </c>
      <c r="H2664" s="490" t="s">
        <v>3880</v>
      </c>
      <c r="I2664" s="492">
        <f t="shared" si="83"/>
        <v>3035</v>
      </c>
      <c r="J2664" s="500" t="s">
        <v>2334</v>
      </c>
      <c r="K2664" s="492">
        <f t="shared" si="84"/>
        <v>56.299250000000001</v>
      </c>
    </row>
    <row r="2665" spans="1:11" hidden="1">
      <c r="A2665" s="559"/>
      <c r="F2665" s="635">
        <v>1.36</v>
      </c>
      <c r="G2665" s="489" t="s">
        <v>2788</v>
      </c>
      <c r="H2665" s="490" t="s">
        <v>3881</v>
      </c>
      <c r="I2665" s="492">
        <f t="shared" si="83"/>
        <v>385.89</v>
      </c>
      <c r="J2665" s="500" t="s">
        <v>2788</v>
      </c>
      <c r="K2665" s="492">
        <f t="shared" si="84"/>
        <v>524.81040000000007</v>
      </c>
    </row>
    <row r="2666" spans="1:11" hidden="1">
      <c r="A2666" s="559"/>
      <c r="F2666" s="635">
        <v>2.0499999999999998</v>
      </c>
      <c r="G2666" s="489" t="s">
        <v>2788</v>
      </c>
      <c r="H2666" s="490" t="s">
        <v>3882</v>
      </c>
      <c r="I2666" s="492">
        <f t="shared" si="83"/>
        <v>287</v>
      </c>
      <c r="J2666" s="500" t="s">
        <v>2788</v>
      </c>
      <c r="K2666" s="492">
        <f t="shared" si="84"/>
        <v>588.34999999999991</v>
      </c>
    </row>
    <row r="2667" spans="1:11" hidden="1">
      <c r="A2667" s="559"/>
      <c r="F2667" s="492">
        <v>2</v>
      </c>
      <c r="G2667" s="489" t="s">
        <v>2342</v>
      </c>
      <c r="H2667" s="490" t="s">
        <v>4356</v>
      </c>
      <c r="I2667" s="492">
        <f t="shared" si="83"/>
        <v>25</v>
      </c>
      <c r="J2667" s="500" t="s">
        <v>2342</v>
      </c>
      <c r="K2667" s="492">
        <f t="shared" si="84"/>
        <v>50</v>
      </c>
    </row>
    <row r="2668" spans="1:11" hidden="1">
      <c r="A2668" s="559"/>
      <c r="F2668" s="492">
        <v>6</v>
      </c>
      <c r="G2668" s="489" t="s">
        <v>2342</v>
      </c>
      <c r="H2668" s="490" t="s">
        <v>3849</v>
      </c>
      <c r="I2668" s="492">
        <f t="shared" si="83"/>
        <v>25</v>
      </c>
      <c r="J2668" s="500" t="s">
        <v>2342</v>
      </c>
      <c r="K2668" s="492">
        <f t="shared" si="84"/>
        <v>150</v>
      </c>
    </row>
    <row r="2669" spans="1:11" hidden="1">
      <c r="A2669" s="559"/>
      <c r="F2669" s="492">
        <v>2</v>
      </c>
      <c r="G2669" s="489" t="s">
        <v>2342</v>
      </c>
      <c r="H2669" s="490" t="s">
        <v>4538</v>
      </c>
      <c r="I2669" s="492">
        <f t="shared" si="83"/>
        <v>35</v>
      </c>
      <c r="J2669" s="500" t="s">
        <v>2342</v>
      </c>
      <c r="K2669" s="492">
        <f t="shared" si="84"/>
        <v>70</v>
      </c>
    </row>
    <row r="2670" spans="1:11" hidden="1">
      <c r="A2670" s="559"/>
      <c r="F2670" s="492">
        <v>1</v>
      </c>
      <c r="G2670" s="489" t="s">
        <v>2342</v>
      </c>
      <c r="H2670" s="490" t="s">
        <v>3885</v>
      </c>
      <c r="I2670" s="492">
        <f t="shared" si="83"/>
        <v>60</v>
      </c>
      <c r="J2670" s="500" t="s">
        <v>2342</v>
      </c>
      <c r="K2670" s="492">
        <f t="shared" si="84"/>
        <v>60</v>
      </c>
    </row>
    <row r="2671" spans="1:11" hidden="1">
      <c r="A2671" s="559"/>
      <c r="F2671" s="492">
        <v>2.52</v>
      </c>
      <c r="G2671" s="489" t="s">
        <v>2788</v>
      </c>
      <c r="H2671" s="490" t="s">
        <v>3886</v>
      </c>
      <c r="I2671" s="492">
        <f t="shared" si="83"/>
        <v>51.25</v>
      </c>
      <c r="J2671" s="500" t="s">
        <v>2788</v>
      </c>
      <c r="K2671" s="492">
        <f t="shared" si="84"/>
        <v>129.15</v>
      </c>
    </row>
    <row r="2672" spans="1:11" hidden="1">
      <c r="A2672" s="559"/>
      <c r="F2672" s="2"/>
      <c r="G2672" s="485"/>
      <c r="H2672" s="490" t="s">
        <v>3887</v>
      </c>
      <c r="I2672" s="500" t="s">
        <v>2346</v>
      </c>
      <c r="J2672" s="463"/>
      <c r="K2672" s="492">
        <v>0.28000000000000003</v>
      </c>
    </row>
    <row r="2673" spans="1:11" hidden="1">
      <c r="A2673" s="559"/>
      <c r="F2673" s="2"/>
      <c r="G2673" s="485"/>
      <c r="H2673" s="2"/>
      <c r="I2673" s="2"/>
      <c r="J2673" s="463"/>
      <c r="K2673" s="491" t="s">
        <v>442</v>
      </c>
    </row>
    <row r="2674" spans="1:11" hidden="1">
      <c r="A2674" s="559"/>
      <c r="F2674" s="2"/>
      <c r="G2674" s="485"/>
      <c r="H2674" s="500" t="s">
        <v>3888</v>
      </c>
      <c r="I2674" s="2"/>
      <c r="J2674" s="463"/>
      <c r="K2674" s="492">
        <f>SUM(K2662:K2672)</f>
        <v>4555.9661499999993</v>
      </c>
    </row>
    <row r="2675" spans="1:11" hidden="1">
      <c r="A2675" s="559"/>
      <c r="F2675" s="2"/>
      <c r="G2675" s="489" t="s">
        <v>30</v>
      </c>
      <c r="H2675" s="2"/>
      <c r="I2675" s="2"/>
      <c r="J2675" s="463"/>
      <c r="K2675" s="491" t="s">
        <v>442</v>
      </c>
    </row>
    <row r="2676" spans="1:11" hidden="1">
      <c r="A2676" s="559"/>
      <c r="F2676" s="2"/>
      <c r="G2676" s="485"/>
      <c r="H2676" s="500" t="s">
        <v>2355</v>
      </c>
      <c r="I2676" s="2"/>
      <c r="J2676" s="463"/>
      <c r="K2676" s="492">
        <f>K2674/F2671</f>
        <v>1807.9230753968252</v>
      </c>
    </row>
    <row r="2677" spans="1:11" hidden="1">
      <c r="A2677" s="559"/>
      <c r="F2677" s="2"/>
      <c r="G2677" s="485"/>
      <c r="H2677" s="2"/>
      <c r="I2677" s="2"/>
      <c r="J2677" s="463"/>
      <c r="K2677" s="491" t="s">
        <v>29</v>
      </c>
    </row>
    <row r="2678" spans="1:11" hidden="1">
      <c r="A2678" s="559"/>
      <c r="F2678" s="506">
        <v>44.4</v>
      </c>
      <c r="G2678" s="506"/>
      <c r="H2678" s="506" t="s">
        <v>4539</v>
      </c>
      <c r="I2678" s="506"/>
      <c r="J2678" s="506"/>
      <c r="K2678" s="506"/>
    </row>
    <row r="2679" spans="1:11" hidden="1">
      <c r="A2679" s="559"/>
      <c r="F2679" s="506"/>
      <c r="G2679" s="506"/>
      <c r="H2679" s="633" t="s">
        <v>442</v>
      </c>
      <c r="I2679" s="506"/>
      <c r="J2679" s="506"/>
      <c r="K2679" s="506"/>
    </row>
    <row r="2680" spans="1:11" hidden="1">
      <c r="A2680" s="559"/>
      <c r="F2680" s="506">
        <v>4.9000000000000004</v>
      </c>
      <c r="G2680" s="506" t="s">
        <v>12</v>
      </c>
      <c r="H2680" s="506" t="s">
        <v>4540</v>
      </c>
      <c r="I2680" s="506">
        <v>49.01</v>
      </c>
      <c r="J2680" s="506" t="s">
        <v>12</v>
      </c>
      <c r="K2680" s="506">
        <f>F2680*I2680</f>
        <v>240.149</v>
      </c>
    </row>
    <row r="2681" spans="1:11" hidden="1">
      <c r="A2681" s="559"/>
      <c r="F2681" s="506">
        <v>0.12</v>
      </c>
      <c r="G2681" s="506" t="s">
        <v>2334</v>
      </c>
      <c r="H2681" s="506" t="s">
        <v>4541</v>
      </c>
      <c r="I2681" s="506" t="e">
        <f>AC15</f>
        <v>#REF!</v>
      </c>
      <c r="J2681" s="506" t="s">
        <v>2334</v>
      </c>
      <c r="K2681" s="506" t="e">
        <f>F2681*I2681</f>
        <v>#REF!</v>
      </c>
    </row>
    <row r="2682" spans="1:11" hidden="1">
      <c r="A2682" s="559"/>
      <c r="F2682" s="642">
        <v>0.18</v>
      </c>
      <c r="G2682" s="506" t="s">
        <v>2334</v>
      </c>
      <c r="H2682" s="506" t="s">
        <v>4542</v>
      </c>
      <c r="I2682" s="506" t="e">
        <f>AC14</f>
        <v>#REF!</v>
      </c>
      <c r="J2682" s="506" t="s">
        <v>2334</v>
      </c>
      <c r="K2682" s="506" t="e">
        <f>F2682*I2682</f>
        <v>#REF!</v>
      </c>
    </row>
    <row r="2683" spans="1:11" hidden="1">
      <c r="A2683" s="559"/>
      <c r="F2683" s="506">
        <v>0.05</v>
      </c>
      <c r="G2683" s="506" t="s">
        <v>2334</v>
      </c>
      <c r="H2683" s="506" t="s">
        <v>4543</v>
      </c>
      <c r="I2683" s="506" t="e">
        <f>AC16</f>
        <v>#REF!</v>
      </c>
      <c r="J2683" s="506" t="s">
        <v>2334</v>
      </c>
      <c r="K2683" s="506" t="e">
        <f>F2683*I2683</f>
        <v>#REF!</v>
      </c>
    </row>
    <row r="2684" spans="1:11" hidden="1">
      <c r="A2684" s="559"/>
      <c r="F2684" s="506"/>
      <c r="G2684" s="506"/>
      <c r="H2684" s="506"/>
      <c r="I2684" s="506"/>
      <c r="J2684" s="506"/>
      <c r="K2684" s="640" t="s">
        <v>442</v>
      </c>
    </row>
    <row r="2685" spans="1:11" hidden="1">
      <c r="A2685" s="559"/>
      <c r="F2685" s="506"/>
      <c r="G2685" s="506"/>
      <c r="H2685" s="506" t="s">
        <v>4544</v>
      </c>
      <c r="I2685" s="506"/>
      <c r="J2685" s="506"/>
      <c r="K2685" s="506" t="e">
        <f>SUM(K2680:K2684)</f>
        <v>#REF!</v>
      </c>
    </row>
    <row r="2686" spans="1:11" hidden="1">
      <c r="A2686" s="559"/>
      <c r="F2686" s="506"/>
      <c r="G2686" s="506"/>
      <c r="H2686" s="506"/>
      <c r="I2686" s="506"/>
      <c r="J2686" s="506"/>
      <c r="K2686" s="640" t="s">
        <v>442</v>
      </c>
    </row>
    <row r="2687" spans="1:11" hidden="1">
      <c r="A2687" s="559"/>
      <c r="F2687" s="506"/>
      <c r="G2687" s="506"/>
      <c r="H2687" s="506" t="s">
        <v>4545</v>
      </c>
      <c r="I2687" s="506"/>
      <c r="J2687" s="506"/>
      <c r="K2687" s="506" t="e">
        <f>K2685/F2680</f>
        <v>#REF!</v>
      </c>
    </row>
    <row r="2688" spans="1:11" hidden="1">
      <c r="A2688" s="559"/>
      <c r="F2688" s="506"/>
      <c r="G2688" s="506"/>
      <c r="H2688" s="506"/>
      <c r="I2688" s="506"/>
      <c r="J2688" s="506"/>
      <c r="K2688" s="640" t="s">
        <v>29</v>
      </c>
    </row>
    <row r="2689" spans="1:11" ht="63" hidden="1">
      <c r="A2689" s="559"/>
      <c r="F2689" s="506">
        <v>44.5</v>
      </c>
      <c r="G2689" s="506"/>
      <c r="H2689" s="506" t="s">
        <v>4546</v>
      </c>
      <c r="I2689" s="506"/>
      <c r="J2689" s="506"/>
      <c r="K2689" s="506"/>
    </row>
    <row r="2690" spans="1:11" hidden="1">
      <c r="A2690" s="559"/>
      <c r="F2690" s="506"/>
      <c r="G2690" s="506"/>
      <c r="H2690" s="633" t="s">
        <v>442</v>
      </c>
      <c r="I2690" s="506"/>
      <c r="J2690" s="506"/>
      <c r="K2690" s="506"/>
    </row>
    <row r="2691" spans="1:11" hidden="1">
      <c r="A2691" s="559"/>
      <c r="F2691" s="506">
        <v>0.38</v>
      </c>
      <c r="G2691" s="506" t="s">
        <v>19</v>
      </c>
      <c r="H2691" s="506" t="s">
        <v>4101</v>
      </c>
      <c r="I2691" s="506">
        <f>I2613</f>
        <v>52.933333333333337</v>
      </c>
      <c r="J2691" s="506" t="s">
        <v>2334</v>
      </c>
      <c r="K2691" s="506">
        <f>I2691*F2691</f>
        <v>20.114666666666668</v>
      </c>
    </row>
    <row r="2692" spans="1:11" hidden="1">
      <c r="A2692" s="559"/>
      <c r="F2692" s="506">
        <v>0.38</v>
      </c>
      <c r="G2692" s="506" t="s">
        <v>19</v>
      </c>
      <c r="H2692" s="506" t="s">
        <v>4547</v>
      </c>
      <c r="I2692" s="506" t="e">
        <f>AC15</f>
        <v>#REF!</v>
      </c>
      <c r="J2692" s="506" t="s">
        <v>2334</v>
      </c>
      <c r="K2692" s="506" t="e">
        <f>I2692*F2692</f>
        <v>#REF!</v>
      </c>
    </row>
    <row r="2693" spans="1:11" hidden="1">
      <c r="A2693" s="559"/>
      <c r="F2693" s="506">
        <v>0.12</v>
      </c>
      <c r="G2693" s="485" t="s">
        <v>19</v>
      </c>
      <c r="H2693" s="506" t="s">
        <v>4548</v>
      </c>
      <c r="I2693" s="2" t="e">
        <f>K614</f>
        <v>#REF!</v>
      </c>
      <c r="J2693" s="506" t="s">
        <v>2334</v>
      </c>
      <c r="K2693" s="506" t="e">
        <f>I2693*F2693</f>
        <v>#REF!</v>
      </c>
    </row>
    <row r="2694" spans="1:11" hidden="1">
      <c r="A2694" s="559"/>
      <c r="F2694" s="506">
        <v>9.6</v>
      </c>
      <c r="G2694" s="506" t="s">
        <v>40</v>
      </c>
      <c r="H2694" s="506" t="s">
        <v>4549</v>
      </c>
      <c r="I2694" s="2">
        <f>AC32</f>
        <v>28000</v>
      </c>
      <c r="J2694" s="506" t="s">
        <v>22</v>
      </c>
      <c r="K2694" s="506">
        <f>I2694*F2694/1000</f>
        <v>268.8</v>
      </c>
    </row>
    <row r="2695" spans="1:11" hidden="1">
      <c r="A2695" s="559"/>
      <c r="F2695" s="2"/>
      <c r="G2695" s="485"/>
      <c r="H2695" s="2"/>
      <c r="I2695" s="2"/>
      <c r="J2695" s="463"/>
      <c r="K2695" s="633" t="s">
        <v>442</v>
      </c>
    </row>
    <row r="2696" spans="1:11" hidden="1">
      <c r="A2696" s="559"/>
      <c r="F2696" s="2"/>
      <c r="G2696" s="485"/>
      <c r="H2696" s="506" t="s">
        <v>4550</v>
      </c>
      <c r="I2696" s="2"/>
      <c r="J2696" s="463"/>
      <c r="K2696" s="2" t="e">
        <f>SUM(K2691:K2695)</f>
        <v>#REF!</v>
      </c>
    </row>
    <row r="2697" spans="1:11" hidden="1">
      <c r="A2697" s="559"/>
      <c r="F2697" s="2"/>
      <c r="G2697" s="485"/>
      <c r="H2697" s="2"/>
      <c r="I2697" s="2"/>
      <c r="J2697" s="463"/>
      <c r="K2697" s="633" t="s">
        <v>29</v>
      </c>
    </row>
    <row r="2698" spans="1:11" ht="63" hidden="1">
      <c r="A2698" s="559"/>
      <c r="F2698" s="643">
        <v>71.3</v>
      </c>
      <c r="G2698" s="644"/>
      <c r="H2698" s="645" t="s">
        <v>4551</v>
      </c>
      <c r="I2698" s="502"/>
      <c r="J2698" s="646"/>
      <c r="K2698" s="502"/>
    </row>
    <row r="2699" spans="1:11" hidden="1">
      <c r="A2699" s="559"/>
      <c r="F2699" s="502"/>
      <c r="G2699" s="644"/>
      <c r="H2699" s="647" t="s">
        <v>4552</v>
      </c>
      <c r="I2699" s="502"/>
      <c r="J2699" s="646"/>
      <c r="K2699" s="502"/>
    </row>
    <row r="2700" spans="1:11" hidden="1">
      <c r="A2700" s="559"/>
      <c r="F2700" s="502">
        <v>1</v>
      </c>
      <c r="G2700" s="644" t="s">
        <v>5</v>
      </c>
      <c r="H2700" s="502" t="s">
        <v>4553</v>
      </c>
      <c r="I2700" s="502"/>
      <c r="J2700" s="646">
        <v>1880</v>
      </c>
      <c r="K2700" s="502">
        <f>J2700*F2700</f>
        <v>1880</v>
      </c>
    </row>
    <row r="2701" spans="1:11" hidden="1">
      <c r="A2701" s="559"/>
      <c r="F2701" s="502">
        <v>1</v>
      </c>
      <c r="G2701" s="644" t="s">
        <v>5</v>
      </c>
      <c r="H2701" s="502" t="s">
        <v>4554</v>
      </c>
      <c r="I2701" s="502"/>
      <c r="J2701" s="646">
        <v>480</v>
      </c>
      <c r="K2701" s="502">
        <f>J2701*F2701</f>
        <v>480</v>
      </c>
    </row>
    <row r="2702" spans="1:11" hidden="1">
      <c r="A2702" s="559"/>
      <c r="F2702" s="502"/>
      <c r="G2702" s="644"/>
      <c r="H2702" s="502" t="s">
        <v>4555</v>
      </c>
      <c r="I2702" s="502"/>
      <c r="J2702" s="646"/>
      <c r="K2702" s="502">
        <v>35.67</v>
      </c>
    </row>
    <row r="2703" spans="1:11" hidden="1">
      <c r="A2703" s="559"/>
      <c r="F2703" s="502"/>
      <c r="G2703" s="644"/>
      <c r="H2703" s="502" t="s">
        <v>4556</v>
      </c>
      <c r="I2703" s="502"/>
      <c r="J2703" s="646"/>
      <c r="K2703" s="502">
        <f>K2711</f>
        <v>104.33333333333333</v>
      </c>
    </row>
    <row r="2704" spans="1:11" hidden="1">
      <c r="A2704" s="559"/>
      <c r="F2704" s="502"/>
      <c r="G2704" s="644"/>
      <c r="H2704" s="502"/>
      <c r="I2704" s="502"/>
      <c r="J2704" s="646"/>
      <c r="K2704" s="648" t="s">
        <v>4519</v>
      </c>
    </row>
    <row r="2705" spans="1:11" hidden="1">
      <c r="A2705" s="559"/>
      <c r="F2705" s="502"/>
      <c r="G2705" s="644"/>
      <c r="H2705" s="502"/>
      <c r="I2705" s="502"/>
      <c r="J2705" s="646"/>
      <c r="K2705" s="502">
        <f>SUM(K2700:K2704)</f>
        <v>2500.0033333333336</v>
      </c>
    </row>
    <row r="2706" spans="1:11" hidden="1">
      <c r="A2706" s="559"/>
      <c r="F2706" s="502"/>
      <c r="G2706" s="644"/>
      <c r="H2706" s="502" t="s">
        <v>2389</v>
      </c>
      <c r="I2706" s="502"/>
      <c r="J2706" s="646"/>
      <c r="K2706" s="648" t="s">
        <v>31</v>
      </c>
    </row>
    <row r="2707" spans="1:11" hidden="1">
      <c r="A2707" s="559"/>
      <c r="F2707" s="502">
        <v>1</v>
      </c>
      <c r="G2707" s="644" t="s">
        <v>5</v>
      </c>
      <c r="H2707" s="502" t="s">
        <v>4557</v>
      </c>
      <c r="I2707" s="502">
        <v>131</v>
      </c>
      <c r="J2707" s="646" t="s">
        <v>556</v>
      </c>
      <c r="K2707" s="502">
        <f>I2707*F2707</f>
        <v>131</v>
      </c>
    </row>
    <row r="2708" spans="1:11" hidden="1">
      <c r="A2708" s="559"/>
      <c r="F2708" s="502">
        <v>2</v>
      </c>
      <c r="G2708" s="644" t="s">
        <v>13</v>
      </c>
      <c r="H2708" s="502" t="s">
        <v>4558</v>
      </c>
      <c r="I2708" s="502">
        <v>91</v>
      </c>
      <c r="J2708" s="646" t="s">
        <v>556</v>
      </c>
      <c r="K2708" s="502">
        <f>I2708*F2708</f>
        <v>182</v>
      </c>
    </row>
    <row r="2709" spans="1:11" hidden="1">
      <c r="A2709" s="559"/>
      <c r="F2709" s="502"/>
      <c r="G2709" s="644"/>
      <c r="H2709" s="502"/>
      <c r="I2709" s="502"/>
      <c r="J2709" s="646"/>
      <c r="K2709" s="648" t="s">
        <v>4559</v>
      </c>
    </row>
    <row r="2710" spans="1:11" hidden="1">
      <c r="A2710" s="559"/>
      <c r="F2710" s="502"/>
      <c r="G2710" s="644"/>
      <c r="H2710" s="644" t="s">
        <v>4560</v>
      </c>
      <c r="I2710" s="502"/>
      <c r="J2710" s="646"/>
      <c r="K2710" s="502">
        <f>SUM(K2707:K2709)</f>
        <v>313</v>
      </c>
    </row>
    <row r="2711" spans="1:11" hidden="1">
      <c r="A2711" s="559"/>
      <c r="F2711" s="502"/>
      <c r="G2711" s="644"/>
      <c r="H2711" s="644" t="s">
        <v>4561</v>
      </c>
      <c r="I2711" s="502"/>
      <c r="J2711" s="646"/>
      <c r="K2711" s="502">
        <f>K2710/3</f>
        <v>104.33333333333333</v>
      </c>
    </row>
    <row r="2712" spans="1:11" hidden="1">
      <c r="A2712" s="559"/>
      <c r="F2712" s="2"/>
      <c r="G2712" s="485"/>
      <c r="H2712" s="2"/>
      <c r="I2712" s="2"/>
      <c r="J2712" s="463"/>
      <c r="K2712" s="2"/>
    </row>
    <row r="2713" spans="1:11" ht="30" hidden="1" customHeight="1">
      <c r="A2713" s="559"/>
      <c r="F2713" s="649">
        <v>79.400000000000006</v>
      </c>
      <c r="G2713" s="650"/>
      <c r="H2713" s="1622" t="s">
        <v>4562</v>
      </c>
      <c r="I2713" s="1622"/>
      <c r="J2713" s="651"/>
      <c r="K2713" s="652"/>
    </row>
    <row r="2714" spans="1:11" hidden="1">
      <c r="A2714" s="559"/>
      <c r="F2714" s="653"/>
      <c r="G2714" s="650"/>
      <c r="H2714" s="654"/>
      <c r="I2714" s="654"/>
      <c r="J2714" s="651"/>
      <c r="K2714" s="652"/>
    </row>
    <row r="2715" spans="1:11" hidden="1">
      <c r="A2715" s="559"/>
      <c r="F2715" s="652">
        <v>3</v>
      </c>
      <c r="G2715" s="650" t="s">
        <v>13</v>
      </c>
      <c r="H2715" s="652" t="s">
        <v>4563</v>
      </c>
      <c r="I2715" s="501">
        <v>190</v>
      </c>
      <c r="J2715" s="651" t="s">
        <v>556</v>
      </c>
      <c r="K2715" s="652">
        <f>I2715*F2715</f>
        <v>570</v>
      </c>
    </row>
    <row r="2716" spans="1:11" hidden="1">
      <c r="A2716" s="559"/>
      <c r="F2716" s="652">
        <v>1</v>
      </c>
      <c r="G2716" s="650" t="s">
        <v>5</v>
      </c>
      <c r="H2716" s="652" t="s">
        <v>4564</v>
      </c>
      <c r="I2716" s="652">
        <v>223.63</v>
      </c>
      <c r="J2716" s="651" t="s">
        <v>556</v>
      </c>
      <c r="K2716" s="652">
        <f>I2716*F2716</f>
        <v>223.63</v>
      </c>
    </row>
    <row r="2717" spans="1:11" hidden="1">
      <c r="A2717" s="559"/>
      <c r="F2717" s="652"/>
      <c r="G2717" s="650"/>
      <c r="H2717" s="652" t="s">
        <v>2389</v>
      </c>
      <c r="I2717" s="652"/>
      <c r="J2717" s="651"/>
      <c r="K2717" s="652">
        <f>K2728</f>
        <v>76.5</v>
      </c>
    </row>
    <row r="2718" spans="1:11" hidden="1">
      <c r="A2718" s="559"/>
      <c r="F2718" s="652"/>
      <c r="G2718" s="650"/>
      <c r="H2718" s="652" t="s">
        <v>4565</v>
      </c>
      <c r="I2718" s="652"/>
      <c r="J2718" s="651"/>
      <c r="K2718" s="652">
        <v>4.87</v>
      </c>
    </row>
    <row r="2719" spans="1:11" hidden="1">
      <c r="A2719" s="559"/>
      <c r="F2719" s="652"/>
      <c r="G2719" s="650"/>
      <c r="H2719" s="652"/>
      <c r="I2719" s="652"/>
      <c r="J2719" s="651"/>
      <c r="K2719" s="655" t="s">
        <v>4445</v>
      </c>
    </row>
    <row r="2720" spans="1:11" hidden="1">
      <c r="A2720" s="559"/>
      <c r="F2720" s="652"/>
      <c r="G2720" s="650"/>
      <c r="H2720" s="652"/>
      <c r="I2720" s="652"/>
      <c r="J2720" s="651"/>
      <c r="K2720" s="652">
        <f>SUM(K2715:K2719)</f>
        <v>875</v>
      </c>
    </row>
    <row r="2721" spans="1:11" hidden="1">
      <c r="A2721" s="559"/>
      <c r="F2721" s="652"/>
      <c r="G2721" s="650"/>
      <c r="H2721" s="652"/>
      <c r="I2721" s="652"/>
      <c r="J2721" s="651"/>
      <c r="K2721" s="655" t="s">
        <v>4486</v>
      </c>
    </row>
    <row r="2722" spans="1:11" hidden="1">
      <c r="A2722" s="559"/>
      <c r="F2722" s="652"/>
      <c r="G2722" s="650"/>
      <c r="H2722" s="652" t="s">
        <v>2389</v>
      </c>
      <c r="I2722" s="652"/>
      <c r="J2722" s="651"/>
      <c r="K2722" s="652"/>
    </row>
    <row r="2723" spans="1:11" hidden="1">
      <c r="A2723" s="559"/>
      <c r="F2723" s="652">
        <v>1</v>
      </c>
      <c r="G2723" s="650" t="s">
        <v>5</v>
      </c>
      <c r="H2723" s="652" t="s">
        <v>4566</v>
      </c>
      <c r="I2723" s="652">
        <v>131</v>
      </c>
      <c r="J2723" s="651" t="s">
        <v>556</v>
      </c>
      <c r="K2723" s="652">
        <f>I2723*F2723</f>
        <v>131</v>
      </c>
    </row>
    <row r="2724" spans="1:11" hidden="1">
      <c r="A2724" s="559"/>
      <c r="F2724" s="652">
        <v>1</v>
      </c>
      <c r="G2724" s="650" t="s">
        <v>5</v>
      </c>
      <c r="H2724" s="652" t="s">
        <v>4567</v>
      </c>
      <c r="I2724" s="652">
        <v>117</v>
      </c>
      <c r="J2724" s="651" t="s">
        <v>556</v>
      </c>
      <c r="K2724" s="652">
        <f>I2724*F2724</f>
        <v>117</v>
      </c>
    </row>
    <row r="2725" spans="1:11" hidden="1">
      <c r="A2725" s="559"/>
      <c r="F2725" s="652">
        <v>4</v>
      </c>
      <c r="G2725" s="650" t="s">
        <v>13</v>
      </c>
      <c r="H2725" s="652" t="s">
        <v>4558</v>
      </c>
      <c r="I2725" s="652">
        <v>91</v>
      </c>
      <c r="J2725" s="651" t="s">
        <v>556</v>
      </c>
      <c r="K2725" s="652">
        <f>I2725*F2725</f>
        <v>364</v>
      </c>
    </row>
    <row r="2726" spans="1:11" hidden="1">
      <c r="A2726" s="559"/>
      <c r="F2726" s="652"/>
      <c r="G2726" s="650"/>
      <c r="H2726" s="652"/>
      <c r="I2726" s="652"/>
      <c r="J2726" s="651"/>
      <c r="K2726" s="655" t="s">
        <v>4568</v>
      </c>
    </row>
    <row r="2727" spans="1:11" hidden="1">
      <c r="A2727" s="559"/>
      <c r="F2727" s="652"/>
      <c r="G2727" s="650"/>
      <c r="H2727" s="652" t="s">
        <v>4569</v>
      </c>
      <c r="I2727" s="652"/>
      <c r="J2727" s="651"/>
      <c r="K2727" s="652">
        <f>SUM(K2723:K2726)</f>
        <v>612</v>
      </c>
    </row>
    <row r="2728" spans="1:11" hidden="1">
      <c r="A2728" s="559"/>
      <c r="F2728" s="652"/>
      <c r="G2728" s="650"/>
      <c r="H2728" s="652" t="s">
        <v>4570</v>
      </c>
      <c r="I2728" s="652"/>
      <c r="J2728" s="651"/>
      <c r="K2728" s="652">
        <f>K2727/8</f>
        <v>76.5</v>
      </c>
    </row>
    <row r="2729" spans="1:11" hidden="1">
      <c r="A2729" s="559"/>
      <c r="F2729" s="2"/>
      <c r="G2729" s="485"/>
      <c r="H2729" s="2"/>
      <c r="I2729" s="2"/>
      <c r="J2729" s="463"/>
      <c r="K2729" s="2"/>
    </row>
    <row r="2730" spans="1:11" ht="31.5" hidden="1">
      <c r="A2730" s="559"/>
      <c r="F2730" s="656">
        <v>170</v>
      </c>
      <c r="G2730" s="485"/>
      <c r="H2730" s="1" t="s">
        <v>4571</v>
      </c>
      <c r="I2730" s="2"/>
      <c r="J2730" s="463"/>
      <c r="K2730" s="2"/>
    </row>
    <row r="2731" spans="1:11" hidden="1">
      <c r="A2731" s="559"/>
      <c r="F2731" s="2"/>
      <c r="G2731" s="485"/>
      <c r="H2731" s="633" t="s">
        <v>442</v>
      </c>
      <c r="I2731" s="2"/>
      <c r="J2731" s="463"/>
      <c r="K2731" s="2"/>
    </row>
    <row r="2732" spans="1:11" hidden="1">
      <c r="A2732" s="559"/>
      <c r="F2732" s="2">
        <v>1</v>
      </c>
      <c r="G2732" s="485" t="s">
        <v>5</v>
      </c>
      <c r="H2732" s="2" t="s">
        <v>4572</v>
      </c>
      <c r="I2732" s="2">
        <v>2400</v>
      </c>
      <c r="J2732" s="463" t="s">
        <v>556</v>
      </c>
      <c r="K2732" s="2">
        <f>I2732*F2732</f>
        <v>2400</v>
      </c>
    </row>
    <row r="2733" spans="1:11" hidden="1">
      <c r="A2733" s="559"/>
      <c r="F2733" s="2">
        <v>1</v>
      </c>
      <c r="G2733" s="485" t="s">
        <v>5</v>
      </c>
      <c r="H2733" s="2" t="s">
        <v>4573</v>
      </c>
      <c r="I2733" s="2">
        <v>485</v>
      </c>
      <c r="J2733" s="463" t="s">
        <v>556</v>
      </c>
      <c r="K2733" s="2">
        <f>I2733*F2733</f>
        <v>485</v>
      </c>
    </row>
    <row r="2734" spans="1:11" hidden="1">
      <c r="A2734" s="559"/>
      <c r="F2734" s="2">
        <v>4</v>
      </c>
      <c r="G2734" s="485" t="s">
        <v>13</v>
      </c>
      <c r="H2734" s="2" t="s">
        <v>4574</v>
      </c>
      <c r="I2734" s="2">
        <v>525</v>
      </c>
      <c r="J2734" s="463" t="s">
        <v>556</v>
      </c>
      <c r="K2734" s="2">
        <f>I2734*F2734</f>
        <v>2100</v>
      </c>
    </row>
    <row r="2735" spans="1:11" hidden="1">
      <c r="A2735" s="559"/>
      <c r="F2735" s="2">
        <v>4.5</v>
      </c>
      <c r="G2735" s="485" t="s">
        <v>40</v>
      </c>
      <c r="H2735" s="2" t="s">
        <v>4575</v>
      </c>
      <c r="I2735" s="2">
        <v>27</v>
      </c>
      <c r="J2735" s="463" t="s">
        <v>40</v>
      </c>
      <c r="K2735" s="2">
        <f>I2735*F2735</f>
        <v>121.5</v>
      </c>
    </row>
    <row r="2736" spans="1:11" hidden="1">
      <c r="A2736" s="559"/>
      <c r="F2736" s="2"/>
      <c r="G2736" s="485"/>
      <c r="H2736" s="2" t="s">
        <v>4576</v>
      </c>
      <c r="I2736" s="2"/>
      <c r="J2736" s="463"/>
      <c r="K2736" s="2">
        <f>SUM(K2732:K2735)*1%-0.57</f>
        <v>50.494999999999997</v>
      </c>
    </row>
    <row r="2737" spans="1:11" hidden="1">
      <c r="A2737" s="559"/>
      <c r="F2737" s="2"/>
      <c r="G2737" s="485"/>
      <c r="H2737" s="2" t="s">
        <v>2401</v>
      </c>
      <c r="I2737" s="2"/>
      <c r="J2737" s="463"/>
      <c r="K2737" s="2">
        <v>298</v>
      </c>
    </row>
    <row r="2738" spans="1:11" hidden="1">
      <c r="A2738" s="559"/>
      <c r="F2738" s="2"/>
      <c r="G2738" s="485"/>
      <c r="H2738" s="2"/>
      <c r="I2738" s="2"/>
      <c r="J2738" s="463"/>
      <c r="K2738" s="633" t="s">
        <v>442</v>
      </c>
    </row>
    <row r="2739" spans="1:11" hidden="1">
      <c r="A2739" s="559"/>
      <c r="F2739" s="2"/>
      <c r="G2739" s="485"/>
      <c r="H2739" s="2"/>
      <c r="I2739" s="2"/>
      <c r="J2739" s="463"/>
      <c r="K2739" s="2">
        <f>SUM(K2732:K2738)</f>
        <v>5454.9949999999999</v>
      </c>
    </row>
    <row r="2740" spans="1:11" hidden="1">
      <c r="A2740" s="559"/>
      <c r="F2740" s="2"/>
      <c r="G2740" s="485"/>
      <c r="H2740" s="2"/>
      <c r="I2740" s="2"/>
      <c r="J2740" s="463"/>
      <c r="K2740" s="633" t="s">
        <v>29</v>
      </c>
    </row>
    <row r="2741" spans="1:11" hidden="1">
      <c r="A2741" s="559"/>
      <c r="F2741" s="656">
        <v>180</v>
      </c>
      <c r="G2741" s="485"/>
      <c r="H2741" s="2" t="s">
        <v>4577</v>
      </c>
      <c r="I2741" s="2"/>
      <c r="J2741" s="463"/>
      <c r="K2741" s="2"/>
    </row>
    <row r="2742" spans="1:11" hidden="1">
      <c r="A2742" s="559"/>
      <c r="F2742" s="2"/>
      <c r="G2742" s="485"/>
      <c r="H2742" s="633" t="s">
        <v>442</v>
      </c>
      <c r="I2742" s="2"/>
      <c r="J2742" s="463"/>
      <c r="K2742" s="2"/>
    </row>
    <row r="2743" spans="1:11" hidden="1">
      <c r="A2743" s="559"/>
      <c r="F2743" s="2">
        <v>0.8</v>
      </c>
      <c r="G2743" s="485" t="s">
        <v>40</v>
      </c>
      <c r="H2743" s="2" t="s">
        <v>4578</v>
      </c>
      <c r="I2743" s="2">
        <v>230</v>
      </c>
      <c r="J2743" s="463" t="s">
        <v>40</v>
      </c>
      <c r="K2743" s="2">
        <f>I2743*F2743</f>
        <v>184</v>
      </c>
    </row>
    <row r="2744" spans="1:11" hidden="1">
      <c r="A2744" s="559"/>
      <c r="F2744" s="2">
        <v>3</v>
      </c>
      <c r="G2744" s="485" t="s">
        <v>13</v>
      </c>
      <c r="H2744" s="2" t="s">
        <v>4579</v>
      </c>
      <c r="I2744" s="2">
        <v>20</v>
      </c>
      <c r="J2744" s="463" t="s">
        <v>556</v>
      </c>
      <c r="K2744" s="2">
        <f>I2744*F2744</f>
        <v>60</v>
      </c>
    </row>
    <row r="2745" spans="1:11" hidden="1">
      <c r="A2745" s="559"/>
      <c r="F2745" s="2"/>
      <c r="G2745" s="485"/>
      <c r="H2745" s="2" t="s">
        <v>4576</v>
      </c>
      <c r="I2745" s="2"/>
      <c r="J2745" s="463"/>
      <c r="K2745" s="2">
        <f>SUM(K2743:K2744)*1%+1.16</f>
        <v>3.5999999999999996</v>
      </c>
    </row>
    <row r="2746" spans="1:11" hidden="1">
      <c r="A2746" s="559"/>
      <c r="F2746" s="2"/>
      <c r="G2746" s="485"/>
      <c r="H2746" s="2" t="s">
        <v>2401</v>
      </c>
      <c r="I2746" s="2"/>
      <c r="J2746" s="463"/>
      <c r="K2746" s="2">
        <v>32.4</v>
      </c>
    </row>
    <row r="2747" spans="1:11" hidden="1">
      <c r="A2747" s="559"/>
      <c r="F2747" s="2"/>
      <c r="G2747" s="485"/>
      <c r="H2747" s="2"/>
      <c r="I2747" s="2"/>
      <c r="J2747" s="463"/>
      <c r="K2747" s="633" t="s">
        <v>442</v>
      </c>
    </row>
    <row r="2748" spans="1:11" hidden="1">
      <c r="A2748" s="559"/>
      <c r="F2748" s="2"/>
      <c r="G2748" s="485"/>
      <c r="H2748" s="2"/>
      <c r="I2748" s="2"/>
      <c r="J2748" s="463"/>
      <c r="K2748" s="2">
        <f>SUM(K2743:K2747)</f>
        <v>280</v>
      </c>
    </row>
    <row r="2749" spans="1:11" hidden="1">
      <c r="A2749" s="559"/>
      <c r="F2749" s="2"/>
      <c r="G2749" s="485"/>
      <c r="H2749" s="2"/>
      <c r="I2749" s="2"/>
      <c r="J2749" s="463"/>
      <c r="K2749" s="633" t="s">
        <v>29</v>
      </c>
    </row>
    <row r="2750" spans="1:11" ht="31.5" hidden="1">
      <c r="A2750" s="559"/>
      <c r="F2750" s="656">
        <v>184</v>
      </c>
      <c r="G2750" s="485"/>
      <c r="H2750" s="1" t="s">
        <v>4580</v>
      </c>
      <c r="I2750" s="2"/>
      <c r="J2750" s="463"/>
      <c r="K2750" s="2"/>
    </row>
    <row r="2751" spans="1:11" hidden="1">
      <c r="A2751" s="559"/>
      <c r="F2751" s="2"/>
      <c r="G2751" s="485"/>
      <c r="H2751" s="633" t="s">
        <v>442</v>
      </c>
      <c r="I2751" s="2"/>
      <c r="J2751" s="463"/>
      <c r="K2751" s="2"/>
    </row>
    <row r="2752" spans="1:11" hidden="1">
      <c r="A2752" s="559"/>
      <c r="F2752" s="2">
        <v>1</v>
      </c>
      <c r="G2752" s="485" t="s">
        <v>5</v>
      </c>
      <c r="H2752" s="2" t="s">
        <v>4581</v>
      </c>
      <c r="I2752" s="2">
        <v>1860</v>
      </c>
      <c r="J2752" s="463" t="s">
        <v>556</v>
      </c>
      <c r="K2752" s="2">
        <f t="shared" ref="K2752:K2760" si="85">I2752*F2752</f>
        <v>1860</v>
      </c>
    </row>
    <row r="2753" spans="1:11" hidden="1">
      <c r="A2753" s="559"/>
      <c r="F2753" s="2">
        <v>2</v>
      </c>
      <c r="G2753" s="485" t="s">
        <v>5</v>
      </c>
      <c r="H2753" s="2" t="s">
        <v>4582</v>
      </c>
      <c r="I2753" s="2">
        <v>46</v>
      </c>
      <c r="J2753" s="463" t="s">
        <v>556</v>
      </c>
      <c r="K2753" s="2">
        <f t="shared" si="85"/>
        <v>92</v>
      </c>
    </row>
    <row r="2754" spans="1:11" hidden="1">
      <c r="A2754" s="559"/>
      <c r="F2754" s="2">
        <v>1.5</v>
      </c>
      <c r="G2754" s="485" t="s">
        <v>12</v>
      </c>
      <c r="H2754" s="2" t="s">
        <v>4583</v>
      </c>
      <c r="I2754" s="2">
        <v>31</v>
      </c>
      <c r="J2754" s="463" t="s">
        <v>12</v>
      </c>
      <c r="K2754" s="2">
        <f t="shared" si="85"/>
        <v>46.5</v>
      </c>
    </row>
    <row r="2755" spans="1:11" hidden="1">
      <c r="A2755" s="559"/>
      <c r="F2755" s="2">
        <v>2</v>
      </c>
      <c r="G2755" s="485" t="s">
        <v>5</v>
      </c>
      <c r="H2755" s="2" t="s">
        <v>4584</v>
      </c>
      <c r="I2755" s="2">
        <v>6</v>
      </c>
      <c r="J2755" s="463" t="s">
        <v>556</v>
      </c>
      <c r="K2755" s="2">
        <f t="shared" si="85"/>
        <v>12</v>
      </c>
    </row>
    <row r="2756" spans="1:11" hidden="1">
      <c r="A2756" s="559"/>
      <c r="F2756" s="2">
        <v>2</v>
      </c>
      <c r="G2756" s="485" t="s">
        <v>5</v>
      </c>
      <c r="H2756" s="2" t="s">
        <v>4585</v>
      </c>
      <c r="I2756" s="2">
        <v>12</v>
      </c>
      <c r="J2756" s="463" t="s">
        <v>556</v>
      </c>
      <c r="K2756" s="2">
        <f t="shared" si="85"/>
        <v>24</v>
      </c>
    </row>
    <row r="2757" spans="1:11" hidden="1">
      <c r="A2757" s="559"/>
      <c r="F2757" s="2">
        <v>2</v>
      </c>
      <c r="G2757" s="485" t="s">
        <v>12</v>
      </c>
      <c r="H2757" s="2" t="s">
        <v>4586</v>
      </c>
      <c r="I2757" s="2">
        <v>7.8</v>
      </c>
      <c r="J2757" s="463" t="s">
        <v>12</v>
      </c>
      <c r="K2757" s="2">
        <f t="shared" si="85"/>
        <v>15.6</v>
      </c>
    </row>
    <row r="2758" spans="1:11" hidden="1">
      <c r="A2758" s="559"/>
      <c r="F2758" s="2">
        <v>0.1</v>
      </c>
      <c r="G2758" s="485" t="s">
        <v>5</v>
      </c>
      <c r="H2758" s="2" t="s">
        <v>4566</v>
      </c>
      <c r="I2758" s="2">
        <f>I2867</f>
        <v>636</v>
      </c>
      <c r="J2758" s="463" t="s">
        <v>556</v>
      </c>
      <c r="K2758" s="2">
        <f t="shared" si="85"/>
        <v>63.6</v>
      </c>
    </row>
    <row r="2759" spans="1:11" hidden="1">
      <c r="A2759" s="559"/>
      <c r="F2759" s="2">
        <v>0.2</v>
      </c>
      <c r="G2759" s="485" t="s">
        <v>5</v>
      </c>
      <c r="H2759" s="2" t="s">
        <v>4567</v>
      </c>
      <c r="I2759" s="2">
        <f>I2868</f>
        <v>633</v>
      </c>
      <c r="J2759" s="463" t="s">
        <v>556</v>
      </c>
      <c r="K2759" s="2">
        <f t="shared" si="85"/>
        <v>126.60000000000001</v>
      </c>
    </row>
    <row r="2760" spans="1:11" hidden="1">
      <c r="A2760" s="559"/>
      <c r="F2760" s="2">
        <v>0.3</v>
      </c>
      <c r="G2760" s="485" t="s">
        <v>5</v>
      </c>
      <c r="H2760" s="2" t="s">
        <v>2410</v>
      </c>
      <c r="I2760" s="2">
        <f>I2869</f>
        <v>497</v>
      </c>
      <c r="J2760" s="463" t="s">
        <v>556</v>
      </c>
      <c r="K2760" s="2">
        <f t="shared" si="85"/>
        <v>149.1</v>
      </c>
    </row>
    <row r="2761" spans="1:11" hidden="1">
      <c r="A2761" s="559"/>
      <c r="F2761" s="2"/>
      <c r="G2761" s="485"/>
      <c r="H2761" s="2" t="s">
        <v>4576</v>
      </c>
      <c r="I2761" s="2"/>
      <c r="J2761" s="463"/>
      <c r="K2761" s="2">
        <f>SUM(K2752:K2760)*1%-0.63</f>
        <v>23.263999999999999</v>
      </c>
    </row>
    <row r="2762" spans="1:11" hidden="1">
      <c r="A2762" s="559"/>
      <c r="F2762" s="2"/>
      <c r="G2762" s="485"/>
      <c r="H2762" s="2"/>
      <c r="I2762" s="2"/>
      <c r="J2762" s="463"/>
      <c r="K2762" s="2"/>
    </row>
    <row r="2763" spans="1:11" hidden="1">
      <c r="A2763" s="559"/>
      <c r="F2763" s="2"/>
      <c r="G2763" s="485"/>
      <c r="H2763" s="2"/>
      <c r="I2763" s="2"/>
      <c r="J2763" s="463"/>
      <c r="K2763" s="633" t="s">
        <v>442</v>
      </c>
    </row>
    <row r="2764" spans="1:11" hidden="1">
      <c r="A2764" s="559"/>
      <c r="F2764" s="2"/>
      <c r="G2764" s="485"/>
      <c r="H2764" s="2"/>
      <c r="I2764" s="2"/>
      <c r="J2764" s="463"/>
      <c r="K2764" s="2">
        <f>SUM(K2752:K2763)</f>
        <v>2412.6639999999998</v>
      </c>
    </row>
    <row r="2765" spans="1:11" hidden="1">
      <c r="A2765" s="559"/>
      <c r="F2765" s="2"/>
      <c r="G2765" s="485"/>
      <c r="H2765" s="2"/>
      <c r="I2765" s="2"/>
      <c r="J2765" s="463"/>
      <c r="K2765" s="633" t="s">
        <v>29</v>
      </c>
    </row>
    <row r="2766" spans="1:11" hidden="1">
      <c r="A2766" s="559"/>
      <c r="F2766" s="641">
        <v>53.4</v>
      </c>
      <c r="G2766" s="485"/>
      <c r="H2766" s="490" t="s">
        <v>4352</v>
      </c>
      <c r="I2766" s="2"/>
      <c r="J2766" s="463" t="s">
        <v>556</v>
      </c>
      <c r="K2766" s="2">
        <v>957</v>
      </c>
    </row>
    <row r="2767" spans="1:11" hidden="1">
      <c r="A2767" s="559"/>
      <c r="F2767" s="2"/>
      <c r="G2767" s="485"/>
      <c r="H2767" s="2"/>
      <c r="I2767" s="2"/>
      <c r="J2767" s="463"/>
      <c r="K2767" s="2"/>
    </row>
    <row r="2768" spans="1:11" ht="31.5" hidden="1">
      <c r="A2768" s="559"/>
      <c r="F2768" s="657">
        <v>383</v>
      </c>
      <c r="G2768" s="485"/>
      <c r="H2768" s="1" t="s">
        <v>4357</v>
      </c>
      <c r="I2768" s="2"/>
      <c r="J2768" s="463" t="s">
        <v>556</v>
      </c>
      <c r="K2768" s="2">
        <v>600</v>
      </c>
    </row>
    <row r="2769" spans="1:11" hidden="1">
      <c r="A2769" s="559"/>
      <c r="F2769" s="2"/>
      <c r="G2769" s="485"/>
      <c r="H2769" s="2"/>
      <c r="I2769" s="2"/>
      <c r="J2769" s="463"/>
      <c r="K2769" s="2"/>
    </row>
    <row r="2770" spans="1:11" hidden="1">
      <c r="A2770" s="559"/>
      <c r="F2770" s="2"/>
      <c r="G2770" s="485"/>
      <c r="H2770" s="2"/>
      <c r="I2770" s="2"/>
      <c r="J2770" s="463"/>
      <c r="K2770" s="2"/>
    </row>
    <row r="2771" spans="1:11" hidden="1">
      <c r="A2771" s="559"/>
      <c r="F2771" s="658">
        <v>344.2</v>
      </c>
      <c r="G2771" s="485"/>
      <c r="H2771" s="1" t="s">
        <v>4358</v>
      </c>
      <c r="I2771" s="2"/>
      <c r="J2771" s="463" t="s">
        <v>556</v>
      </c>
      <c r="K2771" s="2">
        <v>300</v>
      </c>
    </row>
    <row r="2772" spans="1:11" hidden="1">
      <c r="A2772" s="559"/>
      <c r="F2772" s="657"/>
      <c r="G2772" s="485"/>
      <c r="H2772" s="2"/>
      <c r="I2772" s="2"/>
      <c r="J2772" s="463"/>
      <c r="K2772" s="2"/>
    </row>
    <row r="2773" spans="1:11" hidden="1">
      <c r="A2773" s="559"/>
      <c r="F2773" s="657"/>
      <c r="G2773" s="485"/>
      <c r="H2773" s="2"/>
      <c r="I2773" s="2"/>
      <c r="J2773" s="463"/>
      <c r="K2773" s="2"/>
    </row>
    <row r="2774" spans="1:11" hidden="1">
      <c r="A2774" s="559"/>
      <c r="F2774" s="657"/>
      <c r="G2774" s="485"/>
      <c r="H2774" s="2"/>
      <c r="I2774" s="2"/>
      <c r="J2774" s="463"/>
      <c r="K2774" s="2"/>
    </row>
    <row r="2775" spans="1:11" hidden="1">
      <c r="A2775" s="559"/>
      <c r="F2775" s="658">
        <v>344.1</v>
      </c>
      <c r="G2775" s="485"/>
      <c r="H2775" s="1" t="s">
        <v>4359</v>
      </c>
      <c r="I2775" s="2"/>
      <c r="J2775" s="463" t="s">
        <v>556</v>
      </c>
      <c r="K2775" s="2">
        <v>260</v>
      </c>
    </row>
    <row r="2776" spans="1:11" hidden="1">
      <c r="A2776" s="559"/>
      <c r="F2776" s="632"/>
      <c r="G2776" s="485"/>
      <c r="H2776" s="2"/>
      <c r="I2776" s="2"/>
      <c r="J2776" s="463"/>
      <c r="K2776" s="2"/>
    </row>
    <row r="2777" spans="1:11" hidden="1">
      <c r="A2777" s="559"/>
      <c r="F2777" s="632"/>
      <c r="G2777" s="485"/>
      <c r="H2777" s="2"/>
      <c r="I2777" s="2"/>
      <c r="J2777" s="463"/>
      <c r="K2777" s="2"/>
    </row>
    <row r="2778" spans="1:11" hidden="1">
      <c r="A2778" s="559"/>
      <c r="F2778" s="2">
        <v>384</v>
      </c>
      <c r="G2778" s="485"/>
      <c r="H2778" s="2"/>
      <c r="I2778" s="2"/>
      <c r="J2778" s="463"/>
      <c r="K2778" s="2"/>
    </row>
    <row r="2779" spans="1:11" hidden="1">
      <c r="A2779" s="559"/>
      <c r="F2779" s="2"/>
      <c r="G2779" s="485"/>
      <c r="H2779" s="1" t="s">
        <v>4360</v>
      </c>
      <c r="I2779" s="2"/>
      <c r="J2779" s="463" t="s">
        <v>556</v>
      </c>
      <c r="K2779" s="2">
        <v>650</v>
      </c>
    </row>
    <row r="2780" spans="1:11" hidden="1">
      <c r="A2780" s="559"/>
      <c r="F2780" s="2"/>
      <c r="G2780" s="485"/>
      <c r="H2780" s="2"/>
      <c r="I2780" s="2"/>
      <c r="J2780" s="463"/>
      <c r="K2780" s="2"/>
    </row>
    <row r="2781" spans="1:11" ht="19.5" hidden="1">
      <c r="A2781" s="559"/>
      <c r="F2781" s="659">
        <v>385</v>
      </c>
      <c r="G2781" s="485"/>
      <c r="H2781" s="2" t="s">
        <v>4587</v>
      </c>
      <c r="I2781" s="2"/>
      <c r="J2781" s="463"/>
      <c r="K2781" s="2"/>
    </row>
    <row r="2782" spans="1:11" hidden="1">
      <c r="A2782" s="559"/>
      <c r="F2782" s="2"/>
      <c r="G2782" s="485"/>
      <c r="H2782" s="627" t="s">
        <v>4588</v>
      </c>
      <c r="I2782" s="2"/>
      <c r="J2782" s="463"/>
      <c r="K2782" s="2"/>
    </row>
    <row r="2783" spans="1:11" hidden="1">
      <c r="A2783" s="559"/>
      <c r="F2783" s="2">
        <v>4</v>
      </c>
      <c r="G2783" s="485" t="s">
        <v>12</v>
      </c>
      <c r="H2783" s="2" t="s">
        <v>4589</v>
      </c>
      <c r="I2783" s="2">
        <v>110</v>
      </c>
      <c r="J2783" s="485" t="s">
        <v>12</v>
      </c>
      <c r="K2783" s="2">
        <f t="shared" ref="K2783:K2790" si="86">I2783*F2783</f>
        <v>440</v>
      </c>
    </row>
    <row r="2784" spans="1:11" hidden="1">
      <c r="A2784" s="559"/>
      <c r="F2784" s="2">
        <v>2.52</v>
      </c>
      <c r="G2784" s="485" t="s">
        <v>40</v>
      </c>
      <c r="H2784" s="2" t="s">
        <v>4590</v>
      </c>
      <c r="I2784" s="2">
        <v>30</v>
      </c>
      <c r="J2784" s="485" t="s">
        <v>40</v>
      </c>
      <c r="K2784" s="2">
        <f t="shared" si="86"/>
        <v>75.599999999999994</v>
      </c>
    </row>
    <row r="2785" spans="1:11" hidden="1">
      <c r="A2785" s="559"/>
      <c r="F2785" s="2">
        <v>1.1299999999999999</v>
      </c>
      <c r="G2785" s="485" t="s">
        <v>40</v>
      </c>
      <c r="H2785" s="2" t="s">
        <v>4591</v>
      </c>
      <c r="I2785" s="2">
        <v>30</v>
      </c>
      <c r="J2785" s="485" t="s">
        <v>40</v>
      </c>
      <c r="K2785" s="2">
        <f t="shared" si="86"/>
        <v>33.9</v>
      </c>
    </row>
    <row r="2786" spans="1:11" hidden="1">
      <c r="A2786" s="559"/>
      <c r="F2786" s="2">
        <v>0.35</v>
      </c>
      <c r="G2786" s="485" t="s">
        <v>40</v>
      </c>
      <c r="H2786" s="2" t="s">
        <v>4592</v>
      </c>
      <c r="I2786" s="2">
        <v>30</v>
      </c>
      <c r="J2786" s="485" t="s">
        <v>40</v>
      </c>
      <c r="K2786" s="2">
        <f t="shared" si="86"/>
        <v>10.5</v>
      </c>
    </row>
    <row r="2787" spans="1:11" hidden="1">
      <c r="A2787" s="559"/>
      <c r="F2787" s="2">
        <v>4</v>
      </c>
      <c r="G2787" s="485" t="s">
        <v>40</v>
      </c>
      <c r="H2787" s="2" t="s">
        <v>4593</v>
      </c>
      <c r="I2787" s="2">
        <v>12.25</v>
      </c>
      <c r="J2787" s="485" t="s">
        <v>40</v>
      </c>
      <c r="K2787" s="2">
        <f t="shared" si="86"/>
        <v>49</v>
      </c>
    </row>
    <row r="2788" spans="1:11" hidden="1">
      <c r="A2788" s="559"/>
      <c r="F2788" s="2">
        <v>6</v>
      </c>
      <c r="G2788" s="485" t="s">
        <v>13</v>
      </c>
      <c r="H2788" s="2" t="s">
        <v>4594</v>
      </c>
      <c r="I2788" s="2">
        <v>1</v>
      </c>
      <c r="J2788" s="485" t="s">
        <v>13</v>
      </c>
      <c r="K2788" s="2">
        <f t="shared" si="86"/>
        <v>6</v>
      </c>
    </row>
    <row r="2789" spans="1:11" hidden="1">
      <c r="A2789" s="559"/>
      <c r="F2789" s="2">
        <v>0.5</v>
      </c>
      <c r="G2789" s="485" t="s">
        <v>13</v>
      </c>
      <c r="H2789" s="2" t="s">
        <v>4521</v>
      </c>
      <c r="I2789" s="2">
        <f>C12</f>
        <v>95</v>
      </c>
      <c r="J2789" s="485" t="s">
        <v>556</v>
      </c>
      <c r="K2789" s="2">
        <f t="shared" si="86"/>
        <v>47.5</v>
      </c>
    </row>
    <row r="2790" spans="1:11" hidden="1">
      <c r="A2790" s="559"/>
      <c r="F2790" s="2">
        <v>0.5</v>
      </c>
      <c r="G2790" s="485" t="s">
        <v>13</v>
      </c>
      <c r="H2790" s="2" t="s">
        <v>4595</v>
      </c>
      <c r="I2790" s="2">
        <f>C13</f>
        <v>85</v>
      </c>
      <c r="J2790" s="485" t="s">
        <v>556</v>
      </c>
      <c r="K2790" s="2">
        <f t="shared" si="86"/>
        <v>42.5</v>
      </c>
    </row>
    <row r="2791" spans="1:11" hidden="1">
      <c r="A2791" s="559"/>
      <c r="F2791" s="2"/>
      <c r="G2791" s="485"/>
      <c r="H2791" s="2"/>
      <c r="I2791" s="2"/>
      <c r="J2791" s="485"/>
      <c r="K2791" s="627" t="s">
        <v>4568</v>
      </c>
    </row>
    <row r="2792" spans="1:11" hidden="1">
      <c r="A2792" s="559"/>
      <c r="F2792" s="2"/>
      <c r="G2792" s="485"/>
      <c r="H2792" s="2" t="s">
        <v>4596</v>
      </c>
      <c r="I2792" s="2"/>
      <c r="J2792" s="463"/>
      <c r="K2792" s="2">
        <f>SUM(K2783:K2791)</f>
        <v>705</v>
      </c>
    </row>
    <row r="2793" spans="1:11" hidden="1">
      <c r="A2793" s="559"/>
      <c r="F2793" s="2"/>
      <c r="G2793" s="485"/>
      <c r="H2793" s="2"/>
      <c r="I2793" s="2"/>
      <c r="J2793" s="463"/>
      <c r="K2793" s="627" t="s">
        <v>4519</v>
      </c>
    </row>
    <row r="2794" spans="1:11" hidden="1">
      <c r="A2794" s="559"/>
      <c r="F2794" s="2"/>
      <c r="G2794" s="485"/>
      <c r="H2794" s="2" t="s">
        <v>2373</v>
      </c>
      <c r="I2794" s="2"/>
      <c r="J2794" s="463"/>
      <c r="K2794" s="2">
        <f>K2792/2</f>
        <v>352.5</v>
      </c>
    </row>
    <row r="2795" spans="1:11" hidden="1">
      <c r="A2795" s="559"/>
      <c r="F2795" s="2"/>
      <c r="G2795" s="485"/>
      <c r="H2795" s="2"/>
      <c r="I2795" s="2"/>
      <c r="J2795" s="463"/>
      <c r="K2795" s="627" t="s">
        <v>31</v>
      </c>
    </row>
    <row r="2796" spans="1:11" ht="19.5" hidden="1">
      <c r="A2796" s="559"/>
      <c r="F2796" s="634">
        <v>112.1</v>
      </c>
      <c r="G2796" s="485"/>
      <c r="H2796" s="660" t="s">
        <v>4597</v>
      </c>
      <c r="I2796" s="2"/>
      <c r="J2796" s="463"/>
      <c r="K2796" s="2"/>
    </row>
    <row r="2797" spans="1:11" hidden="1">
      <c r="A2797" s="559"/>
      <c r="F2797" s="2"/>
      <c r="G2797" s="485"/>
      <c r="H2797" s="627" t="s">
        <v>4598</v>
      </c>
      <c r="I2797" s="2"/>
      <c r="J2797" s="463"/>
      <c r="K2797" s="2"/>
    </row>
    <row r="2798" spans="1:11" hidden="1">
      <c r="A2798" s="559"/>
      <c r="F2798" s="2">
        <v>1</v>
      </c>
      <c r="G2798" s="485" t="s">
        <v>5</v>
      </c>
      <c r="H2798" s="1" t="s">
        <v>4597</v>
      </c>
      <c r="I2798" s="546">
        <v>1059</v>
      </c>
      <c r="J2798" s="463" t="s">
        <v>556</v>
      </c>
      <c r="K2798" s="2">
        <f>I2798*F2798</f>
        <v>1059</v>
      </c>
    </row>
    <row r="2799" spans="1:11" hidden="1">
      <c r="A2799" s="559"/>
      <c r="F2799" s="2">
        <v>1</v>
      </c>
      <c r="G2799" s="485" t="s">
        <v>5</v>
      </c>
      <c r="H2799" s="1" t="s">
        <v>4599</v>
      </c>
      <c r="I2799" s="2">
        <v>95</v>
      </c>
      <c r="J2799" s="463" t="s">
        <v>556</v>
      </c>
      <c r="K2799" s="2">
        <f>I2799*F2799</f>
        <v>95</v>
      </c>
    </row>
    <row r="2800" spans="1:11" ht="31.5" hidden="1">
      <c r="A2800" s="559"/>
      <c r="F2800" s="2" t="s">
        <v>2346</v>
      </c>
      <c r="G2800" s="485"/>
      <c r="H2800" s="1" t="s">
        <v>4600</v>
      </c>
      <c r="I2800" s="2"/>
      <c r="J2800" s="463" t="s">
        <v>2346</v>
      </c>
      <c r="K2800" s="2">
        <v>16.64</v>
      </c>
    </row>
    <row r="2801" spans="1:11" hidden="1">
      <c r="A2801" s="559"/>
      <c r="F2801" s="2"/>
      <c r="G2801" s="485"/>
      <c r="H2801" s="2" t="s">
        <v>4601</v>
      </c>
      <c r="I2801" s="2"/>
      <c r="J2801" s="463"/>
      <c r="K2801" s="2">
        <v>10.11</v>
      </c>
    </row>
    <row r="2802" spans="1:11" hidden="1">
      <c r="A2802" s="559"/>
      <c r="F2802" s="2"/>
      <c r="G2802" s="485"/>
      <c r="H2802" s="2" t="s">
        <v>3498</v>
      </c>
      <c r="I2802" s="2"/>
      <c r="J2802" s="463" t="s">
        <v>556</v>
      </c>
      <c r="K2802" s="2">
        <f>K2811</f>
        <v>78.25</v>
      </c>
    </row>
    <row r="2803" spans="1:11" hidden="1">
      <c r="A2803" s="559"/>
      <c r="F2803" s="2"/>
      <c r="G2803" s="485"/>
      <c r="H2803" s="2"/>
      <c r="I2803" s="2"/>
      <c r="J2803" s="463"/>
      <c r="K2803" s="627" t="s">
        <v>4485</v>
      </c>
    </row>
    <row r="2804" spans="1:11" hidden="1">
      <c r="A2804" s="559"/>
      <c r="F2804" s="2"/>
      <c r="G2804" s="485"/>
      <c r="H2804" s="2"/>
      <c r="I2804" s="2"/>
      <c r="J2804" s="463"/>
      <c r="K2804" s="2">
        <f>SUM(K2798:K2803)</f>
        <v>1259</v>
      </c>
    </row>
    <row r="2805" spans="1:11" hidden="1">
      <c r="A2805" s="559"/>
      <c r="F2805" s="2"/>
      <c r="G2805" s="485"/>
      <c r="H2805" s="2"/>
      <c r="I2805" s="2"/>
      <c r="J2805" s="463"/>
      <c r="K2805" s="627" t="s">
        <v>4602</v>
      </c>
    </row>
    <row r="2806" spans="1:11" hidden="1">
      <c r="A2806" s="559"/>
      <c r="F2806" s="2" t="s">
        <v>2401</v>
      </c>
      <c r="G2806" s="485"/>
      <c r="H2806" s="2"/>
      <c r="I2806" s="2"/>
      <c r="J2806" s="463"/>
      <c r="K2806" s="2"/>
    </row>
    <row r="2807" spans="1:11" hidden="1">
      <c r="A2807" s="559"/>
      <c r="F2807" s="2">
        <v>1</v>
      </c>
      <c r="G2807" s="485" t="s">
        <v>5</v>
      </c>
      <c r="H2807" s="2" t="s">
        <v>4603</v>
      </c>
      <c r="I2807" s="2">
        <v>131</v>
      </c>
      <c r="J2807" s="463" t="s">
        <v>556</v>
      </c>
      <c r="K2807" s="2">
        <f>I2807*F2807</f>
        <v>131</v>
      </c>
    </row>
    <row r="2808" spans="1:11" hidden="1">
      <c r="A2808" s="559"/>
      <c r="F2808" s="2">
        <v>2</v>
      </c>
      <c r="G2808" s="485" t="s">
        <v>13</v>
      </c>
      <c r="H2808" s="2" t="s">
        <v>2410</v>
      </c>
      <c r="I2808" s="2">
        <v>91</v>
      </c>
      <c r="J2808" s="463" t="s">
        <v>556</v>
      </c>
      <c r="K2808" s="2">
        <f>I2808*F2808</f>
        <v>182</v>
      </c>
    </row>
    <row r="2809" spans="1:11" hidden="1">
      <c r="A2809" s="559"/>
      <c r="F2809" s="2"/>
      <c r="G2809" s="485"/>
      <c r="H2809" s="2"/>
      <c r="I2809" s="2"/>
      <c r="J2809" s="463"/>
      <c r="K2809" s="627" t="s">
        <v>4485</v>
      </c>
    </row>
    <row r="2810" spans="1:11" hidden="1">
      <c r="A2810" s="559"/>
      <c r="F2810" s="2"/>
      <c r="G2810" s="485"/>
      <c r="H2810" s="2" t="s">
        <v>4604</v>
      </c>
      <c r="I2810" s="2"/>
      <c r="J2810" s="463"/>
      <c r="K2810" s="2">
        <f>SUM(K2807:K2809)</f>
        <v>313</v>
      </c>
    </row>
    <row r="2811" spans="1:11" hidden="1">
      <c r="A2811" s="559"/>
      <c r="F2811" s="2"/>
      <c r="G2811" s="485"/>
      <c r="H2811" s="2" t="s">
        <v>4605</v>
      </c>
      <c r="I2811" s="2"/>
      <c r="J2811" s="463"/>
      <c r="K2811" s="2">
        <f>K2810/4</f>
        <v>78.25</v>
      </c>
    </row>
    <row r="2812" spans="1:11" hidden="1">
      <c r="A2812" s="559"/>
      <c r="F2812" s="2"/>
      <c r="G2812" s="485"/>
      <c r="H2812" s="526"/>
      <c r="I2812" s="2"/>
      <c r="J2812" s="463"/>
      <c r="K2812" s="492"/>
    </row>
    <row r="2813" spans="1:11" hidden="1">
      <c r="A2813" s="559"/>
      <c r="F2813" s="2">
        <v>70.5</v>
      </c>
      <c r="G2813" s="485"/>
      <c r="H2813" s="2" t="s">
        <v>4606</v>
      </c>
      <c r="I2813" s="2"/>
      <c r="J2813" s="463"/>
      <c r="K2813" s="2"/>
    </row>
    <row r="2814" spans="1:11" hidden="1">
      <c r="A2814" s="559"/>
      <c r="F2814" s="2"/>
      <c r="G2814" s="485"/>
      <c r="H2814" s="633" t="s">
        <v>442</v>
      </c>
      <c r="I2814" s="2"/>
      <c r="J2814" s="463"/>
      <c r="K2814" s="2"/>
    </row>
    <row r="2815" spans="1:11" ht="47.25" hidden="1">
      <c r="A2815" s="559"/>
      <c r="F2815" s="506">
        <v>1</v>
      </c>
      <c r="G2815" s="506" t="s">
        <v>5</v>
      </c>
      <c r="H2815" s="506" t="s">
        <v>4607</v>
      </c>
      <c r="I2815" s="2">
        <v>322</v>
      </c>
      <c r="J2815" s="463" t="s">
        <v>556</v>
      </c>
      <c r="K2815" s="2">
        <f>F2815*I2815</f>
        <v>322</v>
      </c>
    </row>
    <row r="2816" spans="1:11" hidden="1">
      <c r="A2816" s="559"/>
      <c r="F2816" s="506">
        <v>1</v>
      </c>
      <c r="G2816" s="506" t="s">
        <v>5</v>
      </c>
      <c r="H2816" s="2" t="s">
        <v>4608</v>
      </c>
      <c r="I2816" s="546">
        <v>37</v>
      </c>
      <c r="J2816" s="463" t="s">
        <v>556</v>
      </c>
      <c r="K2816" s="2">
        <f>F2816*I2816</f>
        <v>37</v>
      </c>
    </row>
    <row r="2817" spans="1:11" hidden="1">
      <c r="A2817" s="559"/>
      <c r="F2817" s="506">
        <v>2</v>
      </c>
      <c r="G2817" s="506" t="s">
        <v>5</v>
      </c>
      <c r="H2817" s="2" t="s">
        <v>4609</v>
      </c>
      <c r="I2817" s="2">
        <v>600</v>
      </c>
      <c r="J2817" s="463" t="s">
        <v>4610</v>
      </c>
      <c r="K2817" s="2">
        <f>(F2817*I2817)/100</f>
        <v>12</v>
      </c>
    </row>
    <row r="2818" spans="1:11" hidden="1">
      <c r="A2818" s="559"/>
      <c r="F2818" s="506">
        <v>2</v>
      </c>
      <c r="G2818" s="506" t="s">
        <v>5</v>
      </c>
      <c r="H2818" s="2" t="s">
        <v>4611</v>
      </c>
      <c r="I2818" s="2">
        <v>914.1</v>
      </c>
      <c r="J2818" s="463" t="s">
        <v>4612</v>
      </c>
      <c r="K2818" s="2">
        <f>(F2818*I2818)/100</f>
        <v>18.282</v>
      </c>
    </row>
    <row r="2819" spans="1:11" hidden="1">
      <c r="A2819" s="559"/>
      <c r="F2819" s="506"/>
      <c r="G2819" s="506"/>
      <c r="H2819" s="2" t="s">
        <v>4613</v>
      </c>
      <c r="I2819" s="2">
        <f>K2830</f>
        <v>49.25</v>
      </c>
      <c r="J2819" s="463" t="s">
        <v>2346</v>
      </c>
      <c r="K2819" s="2">
        <f>I2819</f>
        <v>49.25</v>
      </c>
    </row>
    <row r="2820" spans="1:11" hidden="1">
      <c r="A2820" s="559"/>
      <c r="F2820" s="2"/>
      <c r="G2820" s="485"/>
      <c r="H2820" s="2" t="s">
        <v>4614</v>
      </c>
      <c r="I2820" s="2"/>
      <c r="J2820" s="463" t="s">
        <v>2346</v>
      </c>
      <c r="K2820" s="2">
        <v>1.84</v>
      </c>
    </row>
    <row r="2821" spans="1:11" hidden="1">
      <c r="A2821" s="559"/>
      <c r="F2821" s="2"/>
      <c r="G2821" s="485"/>
      <c r="H2821" s="2"/>
      <c r="I2821" s="2"/>
      <c r="J2821" s="463"/>
      <c r="K2821" s="633" t="s">
        <v>442</v>
      </c>
    </row>
    <row r="2822" spans="1:11" hidden="1">
      <c r="A2822" s="559"/>
      <c r="F2822" s="2"/>
      <c r="G2822" s="485"/>
      <c r="H2822" s="2" t="s">
        <v>28</v>
      </c>
      <c r="I2822" s="2"/>
      <c r="J2822" s="463"/>
      <c r="K2822" s="2">
        <f>SUM(K2815:K2821)</f>
        <v>440.37199999999996</v>
      </c>
    </row>
    <row r="2823" spans="1:11" hidden="1">
      <c r="A2823" s="559"/>
      <c r="F2823" s="2"/>
      <c r="G2823" s="485"/>
      <c r="H2823" s="2"/>
      <c r="I2823" s="2"/>
      <c r="J2823" s="463"/>
      <c r="K2823" s="633" t="s">
        <v>29</v>
      </c>
    </row>
    <row r="2824" spans="1:11" hidden="1">
      <c r="A2824" s="559"/>
      <c r="F2824" s="2"/>
      <c r="G2824" s="485"/>
      <c r="H2824" s="2" t="s">
        <v>4615</v>
      </c>
      <c r="I2824" s="2"/>
      <c r="J2824" s="463"/>
      <c r="K2824" s="2"/>
    </row>
    <row r="2825" spans="1:11" hidden="1">
      <c r="A2825" s="559"/>
      <c r="F2825" s="2">
        <v>1</v>
      </c>
      <c r="G2825" s="485" t="s">
        <v>5</v>
      </c>
      <c r="H2825" s="2" t="s">
        <v>4531</v>
      </c>
      <c r="I2825" s="2">
        <v>160</v>
      </c>
      <c r="J2825" s="463" t="s">
        <v>556</v>
      </c>
      <c r="K2825" s="2">
        <f>F2825*I2825</f>
        <v>160</v>
      </c>
    </row>
    <row r="2826" spans="1:11" hidden="1">
      <c r="A2826" s="559"/>
      <c r="F2826" s="2">
        <v>2</v>
      </c>
      <c r="G2826" s="485" t="s">
        <v>5</v>
      </c>
      <c r="H2826" s="2" t="s">
        <v>4532</v>
      </c>
      <c r="I2826" s="2">
        <v>149</v>
      </c>
      <c r="J2826" s="463" t="s">
        <v>556</v>
      </c>
      <c r="K2826" s="2">
        <f>F2826*I2826</f>
        <v>298</v>
      </c>
    </row>
    <row r="2827" spans="1:11" hidden="1">
      <c r="A2827" s="559"/>
      <c r="F2827" s="2">
        <v>3</v>
      </c>
      <c r="G2827" s="485" t="s">
        <v>5</v>
      </c>
      <c r="H2827" s="2" t="s">
        <v>2410</v>
      </c>
      <c r="I2827" s="2">
        <v>110</v>
      </c>
      <c r="J2827" s="463" t="s">
        <v>556</v>
      </c>
      <c r="K2827" s="2">
        <f>F2827*I2827</f>
        <v>330</v>
      </c>
    </row>
    <row r="2828" spans="1:11" hidden="1">
      <c r="A2828" s="559"/>
      <c r="F2828" s="2"/>
      <c r="G2828" s="485"/>
      <c r="H2828" s="2"/>
      <c r="I2828" s="2"/>
      <c r="J2828" s="463"/>
      <c r="K2828" s="633" t="s">
        <v>442</v>
      </c>
    </row>
    <row r="2829" spans="1:11" hidden="1">
      <c r="A2829" s="559"/>
      <c r="F2829" s="2"/>
      <c r="G2829" s="485"/>
      <c r="H2829" s="2" t="s">
        <v>4616</v>
      </c>
      <c r="I2829" s="2"/>
      <c r="J2829" s="463"/>
      <c r="K2829" s="2">
        <f>SUM(K2825:K2828)</f>
        <v>788</v>
      </c>
    </row>
    <row r="2830" spans="1:11" hidden="1">
      <c r="A2830" s="559"/>
      <c r="F2830" s="2"/>
      <c r="G2830" s="485"/>
      <c r="H2830" s="2" t="s">
        <v>4617</v>
      </c>
      <c r="I2830" s="2"/>
      <c r="J2830" s="463"/>
      <c r="K2830" s="2">
        <f>K2829/16</f>
        <v>49.25</v>
      </c>
    </row>
    <row r="2831" spans="1:11" hidden="1">
      <c r="A2831" s="559"/>
      <c r="F2831" s="2"/>
      <c r="G2831" s="485"/>
      <c r="H2831" s="2"/>
      <c r="I2831" s="2"/>
      <c r="J2831" s="463"/>
      <c r="K2831" s="633" t="s">
        <v>442</v>
      </c>
    </row>
    <row r="2832" spans="1:11" ht="9" customHeight="1">
      <c r="A2832" s="559"/>
    </row>
    <row r="2833" spans="1:18" ht="19.5">
      <c r="A2833" s="559"/>
      <c r="H2833" s="661" t="s">
        <v>4618</v>
      </c>
    </row>
    <row r="2834" spans="1:18">
      <c r="A2834" s="559"/>
      <c r="H2834" s="662" t="s">
        <v>4619</v>
      </c>
    </row>
    <row r="2835" spans="1:18" ht="9" customHeight="1">
      <c r="A2835" s="559"/>
    </row>
    <row r="2836" spans="1:18" ht="20.25" customHeight="1">
      <c r="A2836" s="559"/>
      <c r="H2836" s="663" t="s">
        <v>4620</v>
      </c>
    </row>
    <row r="2837" spans="1:18" ht="20.25" customHeight="1">
      <c r="A2837" s="559"/>
      <c r="H2837" s="664" t="s">
        <v>4621</v>
      </c>
      <c r="O2837" s="665" t="s">
        <v>1519</v>
      </c>
    </row>
    <row r="2838" spans="1:18" ht="16.5" customHeight="1">
      <c r="A2838" s="559"/>
      <c r="H2838" s="664" t="s">
        <v>4622</v>
      </c>
    </row>
    <row r="2839" spans="1:18">
      <c r="A2839" s="559"/>
      <c r="H2839" s="666"/>
    </row>
    <row r="2840" spans="1:18" ht="25.5" customHeight="1">
      <c r="A2840" s="559"/>
      <c r="H2840" s="664" t="s">
        <v>4623</v>
      </c>
    </row>
    <row r="2841" spans="1:18" ht="1.5" customHeight="1">
      <c r="A2841" s="559"/>
    </row>
    <row r="2842" spans="1:18" ht="167.25" customHeight="1">
      <c r="A2842" s="559"/>
      <c r="H2842" s="667" t="s">
        <v>4624</v>
      </c>
      <c r="M2842" s="668"/>
      <c r="N2842" s="668"/>
      <c r="O2842" s="667" t="s">
        <v>4625</v>
      </c>
      <c r="P2842" s="668"/>
      <c r="Q2842" s="668"/>
      <c r="R2842" s="668"/>
    </row>
    <row r="2843" spans="1:18" ht="36.75" customHeight="1">
      <c r="A2843" s="559"/>
      <c r="F2843" s="668">
        <v>90</v>
      </c>
      <c r="G2843" s="668" t="s">
        <v>12</v>
      </c>
      <c r="H2843" s="669" t="s">
        <v>4626</v>
      </c>
      <c r="I2843" s="670">
        <f>[3]Elec.Data!I2843</f>
        <v>13.5</v>
      </c>
      <c r="J2843" s="668" t="s">
        <v>2388</v>
      </c>
      <c r="K2843" s="668">
        <f>F2843*I2843</f>
        <v>1215</v>
      </c>
      <c r="M2843" s="668"/>
      <c r="N2843" s="668"/>
      <c r="O2843" s="665"/>
      <c r="P2843" s="668"/>
      <c r="Q2843" s="668"/>
      <c r="R2843" s="668"/>
    </row>
    <row r="2844" spans="1:18" ht="42.75" customHeight="1">
      <c r="A2844" s="559"/>
      <c r="E2844" s="668"/>
      <c r="F2844" s="668">
        <v>45</v>
      </c>
      <c r="G2844" s="668" t="s">
        <v>12</v>
      </c>
      <c r="H2844" s="667" t="s">
        <v>4627</v>
      </c>
      <c r="I2844" s="670">
        <f>[3]Elec.Data!I2844</f>
        <v>17.100000000000001</v>
      </c>
      <c r="J2844" s="668" t="s">
        <v>4628</v>
      </c>
      <c r="K2844" s="668">
        <f>F2844*I2844</f>
        <v>769.50000000000011</v>
      </c>
      <c r="L2844" s="668"/>
      <c r="M2844" s="668"/>
      <c r="N2844" s="668"/>
      <c r="P2844" s="668" t="s">
        <v>30</v>
      </c>
      <c r="Q2844" s="668"/>
      <c r="R2844" s="668"/>
    </row>
    <row r="2845" spans="1:18" ht="24.95" customHeight="1">
      <c r="A2845" s="559"/>
      <c r="E2845" s="668"/>
      <c r="F2845" s="668">
        <v>20</v>
      </c>
      <c r="G2845" s="668" t="s">
        <v>5</v>
      </c>
      <c r="H2845" s="668" t="s">
        <v>4629</v>
      </c>
      <c r="I2845" s="670">
        <f>[3]Elec.Data!I2845</f>
        <v>2.7</v>
      </c>
      <c r="J2845" s="668" t="s">
        <v>5</v>
      </c>
      <c r="K2845" s="668">
        <f>F2845*I2845</f>
        <v>54</v>
      </c>
      <c r="L2845" s="668"/>
      <c r="M2845" s="668"/>
      <c r="N2845" s="668"/>
      <c r="O2845" s="668"/>
      <c r="P2845" s="668"/>
      <c r="Q2845" s="668"/>
      <c r="R2845" s="668"/>
    </row>
    <row r="2846" spans="1:18" ht="19.5" customHeight="1">
      <c r="A2846" s="559"/>
      <c r="E2846" s="668"/>
      <c r="F2846" s="668">
        <v>10</v>
      </c>
      <c r="G2846" s="668" t="s">
        <v>5</v>
      </c>
      <c r="H2846" s="668" t="s">
        <v>4630</v>
      </c>
      <c r="I2846" s="670">
        <f>[3]Elec.Data!I2846</f>
        <v>1.1399999999999999</v>
      </c>
      <c r="J2846" s="668" t="s">
        <v>5</v>
      </c>
      <c r="K2846" s="668">
        <f>F2846*I2846</f>
        <v>11.399999999999999</v>
      </c>
      <c r="L2846" s="668"/>
      <c r="M2846" s="668">
        <v>90</v>
      </c>
      <c r="N2846" s="668" t="s">
        <v>12</v>
      </c>
      <c r="O2846" s="571" t="s">
        <v>2383</v>
      </c>
      <c r="P2846" s="668">
        <f>I2856</f>
        <v>13.5</v>
      </c>
      <c r="Q2846" s="668" t="s">
        <v>12</v>
      </c>
      <c r="R2846" s="668">
        <f>M2846*P2846</f>
        <v>1215</v>
      </c>
    </row>
    <row r="2847" spans="1:18" ht="42.75" customHeight="1">
      <c r="A2847" s="559"/>
      <c r="E2847" s="668"/>
      <c r="F2847" s="668">
        <v>1</v>
      </c>
      <c r="G2847" s="668" t="s">
        <v>5</v>
      </c>
      <c r="H2847" s="460" t="s">
        <v>4631</v>
      </c>
      <c r="I2847" s="671">
        <v>58</v>
      </c>
      <c r="J2847" s="668" t="s">
        <v>5</v>
      </c>
      <c r="K2847" s="668">
        <f>F2847*I2847</f>
        <v>58</v>
      </c>
      <c r="L2847" s="668"/>
      <c r="M2847" s="668">
        <v>45</v>
      </c>
      <c r="N2847" s="668" t="s">
        <v>12</v>
      </c>
      <c r="O2847" s="667" t="s">
        <v>2384</v>
      </c>
      <c r="P2847" s="668">
        <f>I2844</f>
        <v>17.100000000000001</v>
      </c>
      <c r="Q2847" s="668" t="s">
        <v>4628</v>
      </c>
      <c r="R2847" s="668">
        <f>M2847*P2847</f>
        <v>769.50000000000011</v>
      </c>
    </row>
    <row r="2848" spans="1:18" hidden="1">
      <c r="A2848" s="559"/>
      <c r="E2848" s="668"/>
      <c r="F2848" s="668"/>
      <c r="G2848" s="668"/>
      <c r="H2848" s="668"/>
      <c r="I2848" s="668"/>
      <c r="J2848" s="668"/>
      <c r="K2848" s="668"/>
      <c r="L2848" s="668"/>
      <c r="M2848" s="668">
        <v>75</v>
      </c>
      <c r="N2848" s="668" t="s">
        <v>5</v>
      </c>
      <c r="O2848" s="668" t="s">
        <v>4632</v>
      </c>
      <c r="P2848" s="670">
        <v>3.85</v>
      </c>
      <c r="Q2848" s="668" t="s">
        <v>4633</v>
      </c>
      <c r="R2848" s="668">
        <f>M2848*P2848/12</f>
        <v>24.0625</v>
      </c>
    </row>
    <row r="2849" spans="1:20" ht="34.5" customHeight="1">
      <c r="A2849" s="559"/>
      <c r="E2849" s="668"/>
      <c r="F2849" s="672">
        <v>1.4999999999999999E-2</v>
      </c>
      <c r="G2849" s="668" t="s">
        <v>26</v>
      </c>
      <c r="H2849" s="668" t="s">
        <v>4634</v>
      </c>
      <c r="I2849" s="670">
        <f>[3]Elec.Data!I2849</f>
        <v>563</v>
      </c>
      <c r="J2849" s="668" t="s">
        <v>26</v>
      </c>
      <c r="K2849" s="668">
        <f t="shared" ref="K2849:K2856" si="87">F2849*I2849</f>
        <v>8.4450000000000003</v>
      </c>
      <c r="L2849" s="668"/>
      <c r="M2849" s="668">
        <v>12</v>
      </c>
      <c r="N2849" s="668" t="s">
        <v>5</v>
      </c>
      <c r="O2849" s="668" t="s">
        <v>4635</v>
      </c>
      <c r="P2849" s="668">
        <f>I2845</f>
        <v>2.7</v>
      </c>
      <c r="Q2849" s="668" t="s">
        <v>5</v>
      </c>
      <c r="R2849" s="668">
        <f>M2849*P2849</f>
        <v>32.400000000000006</v>
      </c>
    </row>
    <row r="2850" spans="1:20" ht="24.95" customHeight="1">
      <c r="A2850" s="559"/>
      <c r="E2850" s="668"/>
      <c r="F2850" s="668">
        <v>10</v>
      </c>
      <c r="G2850" s="668" t="s">
        <v>5</v>
      </c>
      <c r="H2850" s="668" t="s">
        <v>4636</v>
      </c>
      <c r="I2850" s="670">
        <f>[3]Elec.Data!I2850</f>
        <v>15.89</v>
      </c>
      <c r="J2850" s="668" t="s">
        <v>5</v>
      </c>
      <c r="K2850" s="668">
        <f t="shared" si="87"/>
        <v>158.9</v>
      </c>
      <c r="L2850" s="668"/>
      <c r="M2850" s="668">
        <v>6</v>
      </c>
      <c r="N2850" s="668" t="s">
        <v>5</v>
      </c>
      <c r="O2850" s="668" t="s">
        <v>4637</v>
      </c>
      <c r="P2850" s="668">
        <f>I2846</f>
        <v>1.1399999999999999</v>
      </c>
      <c r="Q2850" s="668" t="s">
        <v>5</v>
      </c>
      <c r="R2850" s="668">
        <f>M2850*P2850</f>
        <v>6.84</v>
      </c>
    </row>
    <row r="2851" spans="1:20" ht="24.95" customHeight="1">
      <c r="A2851" s="559"/>
      <c r="E2851" s="668"/>
      <c r="F2851" s="668">
        <v>10</v>
      </c>
      <c r="G2851" s="668" t="s">
        <v>5</v>
      </c>
      <c r="H2851" s="668" t="s">
        <v>4638</v>
      </c>
      <c r="I2851" s="670">
        <f>[3]Elec.Data!I2851</f>
        <v>13.6</v>
      </c>
      <c r="J2851" s="668" t="s">
        <v>5</v>
      </c>
      <c r="K2851" s="668">
        <f t="shared" si="87"/>
        <v>136</v>
      </c>
      <c r="L2851" s="668"/>
      <c r="M2851" s="668">
        <v>150</v>
      </c>
      <c r="N2851" s="668" t="s">
        <v>13</v>
      </c>
      <c r="O2851" s="668" t="s">
        <v>4639</v>
      </c>
      <c r="P2851" s="668">
        <f>[3]Elec.Data!P2851</f>
        <v>287</v>
      </c>
      <c r="Q2851" s="668">
        <v>1000</v>
      </c>
      <c r="R2851" s="668">
        <f>(M2851*P2851)/1000</f>
        <v>43.05</v>
      </c>
    </row>
    <row r="2852" spans="1:20" ht="24.95" customHeight="1">
      <c r="A2852" s="559"/>
      <c r="E2852" s="668"/>
      <c r="F2852" s="668">
        <v>10</v>
      </c>
      <c r="G2852" s="668" t="s">
        <v>5</v>
      </c>
      <c r="H2852" s="668" t="s">
        <v>4640</v>
      </c>
      <c r="I2852" s="670">
        <f>[3]Elec.Data!I2852</f>
        <v>36.799999999999997</v>
      </c>
      <c r="J2852" s="668" t="s">
        <v>5</v>
      </c>
      <c r="K2852" s="668">
        <f t="shared" si="87"/>
        <v>368</v>
      </c>
      <c r="L2852" s="668"/>
      <c r="M2852" s="672">
        <v>7</v>
      </c>
      <c r="N2852" s="668" t="s">
        <v>13</v>
      </c>
      <c r="O2852" s="668" t="s">
        <v>4641</v>
      </c>
      <c r="P2852" s="668">
        <f>I2852</f>
        <v>36.799999999999997</v>
      </c>
      <c r="Q2852" s="668" t="s">
        <v>5</v>
      </c>
      <c r="R2852" s="668">
        <f>M2852*P2852</f>
        <v>257.59999999999997</v>
      </c>
    </row>
    <row r="2853" spans="1:20" ht="24.95" customHeight="1">
      <c r="A2853" s="559"/>
      <c r="E2853" s="668"/>
      <c r="F2853" s="668">
        <v>1.25</v>
      </c>
      <c r="G2853" s="668" t="s">
        <v>2385</v>
      </c>
      <c r="H2853" s="668" t="s">
        <v>2386</v>
      </c>
      <c r="I2853" s="670">
        <f>[3]Elec.Data!I2853</f>
        <v>290</v>
      </c>
      <c r="J2853" s="668" t="s">
        <v>2385</v>
      </c>
      <c r="K2853" s="668">
        <f t="shared" si="87"/>
        <v>362.5</v>
      </c>
      <c r="L2853" s="668"/>
      <c r="M2853" s="668">
        <v>6</v>
      </c>
      <c r="N2853" s="668" t="s">
        <v>5</v>
      </c>
      <c r="O2853" s="668" t="s">
        <v>4642</v>
      </c>
      <c r="P2853" s="668">
        <f>I2851</f>
        <v>13.6</v>
      </c>
      <c r="Q2853" s="668" t="s">
        <v>556</v>
      </c>
      <c r="R2853" s="668">
        <f>M2853*P2853</f>
        <v>81.599999999999994</v>
      </c>
    </row>
    <row r="2854" spans="1:20" ht="24.95" customHeight="1">
      <c r="A2854" s="559"/>
      <c r="E2854" s="668"/>
      <c r="F2854" s="668">
        <v>10</v>
      </c>
      <c r="G2854" s="668" t="s">
        <v>5</v>
      </c>
      <c r="H2854" s="460" t="s">
        <v>4631</v>
      </c>
      <c r="I2854" s="671">
        <f>I2847</f>
        <v>58</v>
      </c>
      <c r="J2854" s="668" t="s">
        <v>5</v>
      </c>
      <c r="K2854" s="668">
        <f t="shared" si="87"/>
        <v>580</v>
      </c>
      <c r="L2854" s="668"/>
      <c r="M2854" s="668">
        <v>6</v>
      </c>
      <c r="N2854" s="668" t="s">
        <v>5</v>
      </c>
      <c r="O2854" s="668" t="s">
        <v>4643</v>
      </c>
      <c r="P2854" s="668">
        <f>[3]Elec.Data!P2854</f>
        <v>175.24</v>
      </c>
      <c r="Q2854" s="668" t="s">
        <v>4633</v>
      </c>
      <c r="R2854" s="668">
        <f>(M2854*P2854)/12</f>
        <v>87.62</v>
      </c>
    </row>
    <row r="2855" spans="1:20" ht="24.95" customHeight="1">
      <c r="A2855" s="559"/>
      <c r="E2855" s="668"/>
      <c r="F2855" s="668">
        <v>0.15</v>
      </c>
      <c r="G2855" s="668" t="s">
        <v>26</v>
      </c>
      <c r="H2855" s="668" t="s">
        <v>4634</v>
      </c>
      <c r="I2855" s="670">
        <f>[3]Elec.Data!I2855</f>
        <v>563</v>
      </c>
      <c r="J2855" s="668" t="s">
        <v>26</v>
      </c>
      <c r="K2855" s="668">
        <f t="shared" si="87"/>
        <v>84.45</v>
      </c>
      <c r="L2855" s="668"/>
      <c r="M2855" s="668">
        <v>1</v>
      </c>
      <c r="N2855" s="668" t="s">
        <v>2413</v>
      </c>
      <c r="O2855" s="668" t="s">
        <v>4644</v>
      </c>
      <c r="P2855" s="668">
        <v>84.1</v>
      </c>
      <c r="Q2855" s="668" t="s">
        <v>2413</v>
      </c>
      <c r="R2855" s="668">
        <f>(M2855*P2855)</f>
        <v>84.1</v>
      </c>
    </row>
    <row r="2856" spans="1:20" ht="44.25" customHeight="1">
      <c r="A2856" s="559"/>
      <c r="E2856" s="668"/>
      <c r="F2856" s="668">
        <v>45</v>
      </c>
      <c r="G2856" s="668" t="s">
        <v>12</v>
      </c>
      <c r="H2856" s="669" t="s">
        <v>4645</v>
      </c>
      <c r="I2856" s="670">
        <f>[3]Elec.Data!I2856</f>
        <v>13.5</v>
      </c>
      <c r="J2856" s="668" t="s">
        <v>4646</v>
      </c>
      <c r="K2856" s="668">
        <f t="shared" si="87"/>
        <v>607.5</v>
      </c>
      <c r="L2856" s="668"/>
      <c r="M2856" s="668">
        <v>6</v>
      </c>
      <c r="N2856" s="668" t="s">
        <v>13</v>
      </c>
      <c r="O2856" s="667" t="s">
        <v>4647</v>
      </c>
      <c r="P2856" s="668">
        <v>168.95</v>
      </c>
      <c r="Q2856" s="668" t="s">
        <v>2385</v>
      </c>
      <c r="R2856" s="668">
        <f>M2856*P2856</f>
        <v>1013.6999999999999</v>
      </c>
    </row>
    <row r="2857" spans="1:20" ht="24.95" customHeight="1">
      <c r="A2857" s="559"/>
      <c r="E2857" s="668"/>
      <c r="F2857" s="668" t="s">
        <v>170</v>
      </c>
      <c r="G2857" s="668"/>
      <c r="H2857" s="668" t="s">
        <v>2389</v>
      </c>
      <c r="I2857" s="668"/>
      <c r="J2857" s="668" t="s">
        <v>170</v>
      </c>
      <c r="K2857" s="668">
        <f>K2873</f>
        <v>9313</v>
      </c>
      <c r="L2857" s="668"/>
      <c r="M2857" s="673">
        <v>0.16666666666666666</v>
      </c>
      <c r="N2857" s="668" t="s">
        <v>4648</v>
      </c>
      <c r="O2857" s="668" t="s">
        <v>2386</v>
      </c>
      <c r="P2857" s="670">
        <f>I2853</f>
        <v>290</v>
      </c>
      <c r="Q2857" s="668" t="s">
        <v>4648</v>
      </c>
      <c r="R2857" s="668">
        <f>M2857*P2857</f>
        <v>48.333333333333329</v>
      </c>
    </row>
    <row r="2858" spans="1:20" ht="20.25" customHeight="1">
      <c r="A2858" s="559"/>
      <c r="E2858" s="668"/>
      <c r="F2858" s="668" t="s">
        <v>170</v>
      </c>
      <c r="G2858" s="668"/>
      <c r="H2858" s="668" t="s">
        <v>2390</v>
      </c>
      <c r="I2858" s="668"/>
      <c r="J2858" s="668" t="s">
        <v>170</v>
      </c>
      <c r="K2858" s="668">
        <f>38.8+1.8</f>
        <v>40.599999999999994</v>
      </c>
      <c r="L2858" s="668"/>
      <c r="M2858" s="668">
        <v>45</v>
      </c>
      <c r="N2858" s="668" t="s">
        <v>34</v>
      </c>
      <c r="O2858" s="571" t="s">
        <v>2387</v>
      </c>
      <c r="P2858" s="668">
        <f>P2846</f>
        <v>13.5</v>
      </c>
      <c r="Q2858" s="668" t="s">
        <v>26</v>
      </c>
      <c r="R2858" s="668">
        <f>M2858*P2858</f>
        <v>607.5</v>
      </c>
    </row>
    <row r="2859" spans="1:20" ht="24.95" customHeight="1">
      <c r="A2859" s="559"/>
      <c r="E2859" s="668"/>
      <c r="F2859" s="668"/>
      <c r="G2859" s="668"/>
      <c r="H2859" s="674" t="s">
        <v>4649</v>
      </c>
      <c r="I2859" s="668"/>
      <c r="J2859" s="668"/>
      <c r="K2859" s="675">
        <f>SUM(K2843:K2858)</f>
        <v>13767.295</v>
      </c>
      <c r="L2859" s="668"/>
      <c r="M2859" s="668">
        <v>6</v>
      </c>
      <c r="N2859" s="668" t="s">
        <v>4650</v>
      </c>
      <c r="O2859" s="668" t="s">
        <v>2389</v>
      </c>
      <c r="P2859" s="668">
        <f>R2877</f>
        <v>981.5</v>
      </c>
      <c r="Q2859" s="668" t="s">
        <v>4650</v>
      </c>
      <c r="R2859" s="668">
        <f>M2859*P2859</f>
        <v>5889</v>
      </c>
    </row>
    <row r="2860" spans="1:20" ht="21.75" customHeight="1">
      <c r="A2860" s="559"/>
      <c r="E2860" s="668"/>
      <c r="F2860" s="668"/>
      <c r="G2860" s="668"/>
      <c r="H2860" s="676" t="s">
        <v>4651</v>
      </c>
      <c r="I2860" s="668"/>
      <c r="J2860" s="668"/>
      <c r="K2860" s="460">
        <f>K2859/10</f>
        <v>1376.7294999999999</v>
      </c>
      <c r="L2860" s="668">
        <f>K2859/10</f>
        <v>1376.7294999999999</v>
      </c>
      <c r="M2860" s="668"/>
      <c r="N2860" s="668" t="s">
        <v>4444</v>
      </c>
      <c r="O2860" s="668" t="s">
        <v>4652</v>
      </c>
      <c r="P2860" s="668"/>
      <c r="Q2860" s="668"/>
      <c r="R2860" s="668">
        <f>18.56+1.91</f>
        <v>20.47</v>
      </c>
    </row>
    <row r="2861" spans="1:20" ht="9" customHeight="1">
      <c r="A2861" s="559"/>
      <c r="E2861" s="668"/>
      <c r="F2861" s="668"/>
      <c r="G2861" s="668"/>
      <c r="H2861" s="668"/>
      <c r="I2861" s="668"/>
      <c r="J2861" s="668"/>
      <c r="K2861" s="668"/>
      <c r="L2861" s="668"/>
      <c r="M2861" s="668"/>
      <c r="N2861" s="668"/>
      <c r="P2861" s="668"/>
      <c r="Q2861" s="668"/>
      <c r="R2861" s="668"/>
    </row>
    <row r="2862" spans="1:20" ht="16.5" customHeight="1">
      <c r="A2862" s="559"/>
      <c r="E2862" s="668"/>
      <c r="F2862" s="668"/>
      <c r="G2862" s="668"/>
      <c r="H2862" s="460" t="s">
        <v>4653</v>
      </c>
      <c r="I2862" s="668"/>
      <c r="J2862" s="668"/>
      <c r="K2862" s="668"/>
      <c r="L2862" s="668">
        <f>L2860-K2859</f>
        <v>-12390.565500000001</v>
      </c>
      <c r="M2862" s="668"/>
      <c r="N2862" s="668"/>
      <c r="O2862" s="674" t="s">
        <v>4654</v>
      </c>
      <c r="P2862" s="668"/>
      <c r="Q2862" s="668"/>
      <c r="R2862" s="675">
        <f>SUM(R2846:R2861)</f>
        <v>10180.775833333331</v>
      </c>
    </row>
    <row r="2863" spans="1:20" ht="15.75" customHeight="1">
      <c r="A2863" s="559"/>
      <c r="E2863" s="668"/>
      <c r="F2863" s="668"/>
      <c r="G2863" s="668"/>
      <c r="H2863" s="668"/>
      <c r="I2863" s="668"/>
      <c r="J2863" s="668"/>
      <c r="K2863" s="668"/>
      <c r="L2863" s="668"/>
      <c r="M2863" s="668"/>
      <c r="N2863" s="668"/>
      <c r="O2863" s="676" t="s">
        <v>4651</v>
      </c>
      <c r="P2863" s="668"/>
      <c r="Q2863" s="668"/>
      <c r="R2863" s="460">
        <f>R2862/6</f>
        <v>1696.795972222222</v>
      </c>
      <c r="T2863" s="511">
        <f>1382*6</f>
        <v>8292</v>
      </c>
    </row>
    <row r="2864" spans="1:20" ht="19.5" customHeight="1">
      <c r="A2864" s="559"/>
      <c r="E2864" s="668"/>
      <c r="F2864" s="668"/>
      <c r="G2864" s="668"/>
      <c r="H2864" s="460" t="s">
        <v>4430</v>
      </c>
      <c r="I2864" s="668"/>
      <c r="J2864" s="668"/>
      <c r="K2864" s="668"/>
      <c r="L2864" s="668"/>
      <c r="M2864" s="668"/>
      <c r="N2864" s="668"/>
      <c r="O2864" s="668"/>
      <c r="P2864" s="668"/>
      <c r="Q2864" s="668"/>
      <c r="R2864" s="668"/>
      <c r="T2864" s="511">
        <f>T2863-R2862</f>
        <v>-1888.7758333333313</v>
      </c>
    </row>
    <row r="2865" spans="1:18" ht="6.75" customHeight="1">
      <c r="A2865" s="559"/>
      <c r="E2865" s="668"/>
      <c r="F2865" s="668"/>
      <c r="G2865" s="668"/>
      <c r="H2865" s="668"/>
      <c r="I2865" s="668"/>
      <c r="J2865" s="668"/>
      <c r="K2865" s="668"/>
      <c r="L2865" s="668"/>
      <c r="M2865" s="668"/>
    </row>
    <row r="2866" spans="1:18" ht="20.25" customHeight="1">
      <c r="A2866" s="559"/>
      <c r="E2866" s="668"/>
      <c r="F2866" s="668">
        <v>1</v>
      </c>
      <c r="G2866" s="668" t="s">
        <v>5</v>
      </c>
      <c r="H2866" s="668" t="s">
        <v>4655</v>
      </c>
      <c r="I2866" s="670">
        <f>[3]Elec.Data!I2866</f>
        <v>730</v>
      </c>
      <c r="J2866" s="668" t="s">
        <v>5</v>
      </c>
      <c r="K2866" s="668">
        <f>F2866*I2866</f>
        <v>730</v>
      </c>
      <c r="L2866" s="668"/>
      <c r="M2866" s="668"/>
      <c r="N2866" s="460" t="s">
        <v>4653</v>
      </c>
      <c r="O2866" s="668"/>
      <c r="P2866" s="668"/>
      <c r="Q2866" s="668"/>
    </row>
    <row r="2867" spans="1:18" ht="20.25" customHeight="1">
      <c r="A2867" s="559"/>
      <c r="E2867" s="668"/>
      <c r="F2867" s="668">
        <v>2</v>
      </c>
      <c r="G2867" s="668" t="s">
        <v>5</v>
      </c>
      <c r="H2867" s="668" t="s">
        <v>4656</v>
      </c>
      <c r="I2867" s="670">
        <f>[3]Elec.Data!I2867</f>
        <v>636</v>
      </c>
      <c r="J2867" s="668" t="s">
        <v>5</v>
      </c>
      <c r="K2867" s="668">
        <f>F2867*I2867</f>
        <v>1272</v>
      </c>
      <c r="L2867" s="668"/>
      <c r="M2867" s="668"/>
      <c r="N2867" s="668"/>
      <c r="O2867" s="668"/>
      <c r="P2867" s="668"/>
      <c r="Q2867" s="668"/>
    </row>
    <row r="2868" spans="1:18" ht="20.25" customHeight="1">
      <c r="A2868" s="559"/>
      <c r="E2868" s="668"/>
      <c r="F2868" s="668">
        <v>3</v>
      </c>
      <c r="G2868" s="668" t="s">
        <v>5</v>
      </c>
      <c r="H2868" s="668" t="s">
        <v>4657</v>
      </c>
      <c r="I2868" s="670">
        <f>[3]Elec.Data!I2868</f>
        <v>633</v>
      </c>
      <c r="J2868" s="668" t="s">
        <v>5</v>
      </c>
      <c r="K2868" s="668">
        <f>F2868*I2868</f>
        <v>1899</v>
      </c>
      <c r="L2868" s="668"/>
      <c r="M2868" s="668"/>
      <c r="N2868" s="460" t="s">
        <v>4430</v>
      </c>
      <c r="O2868" s="668"/>
      <c r="P2868" s="668"/>
      <c r="Q2868" s="668"/>
    </row>
    <row r="2869" spans="1:18" ht="20.25" customHeight="1">
      <c r="A2869" s="559"/>
      <c r="E2869" s="668"/>
      <c r="F2869" s="668">
        <v>4</v>
      </c>
      <c r="G2869" s="668" t="s">
        <v>5</v>
      </c>
      <c r="H2869" s="668" t="s">
        <v>2410</v>
      </c>
      <c r="I2869" s="670">
        <f>[3]Elec.Data!I2869</f>
        <v>497</v>
      </c>
      <c r="J2869" s="668" t="s">
        <v>5</v>
      </c>
      <c r="K2869" s="668">
        <f>F2869*I2869</f>
        <v>1988</v>
      </c>
      <c r="L2869" s="668"/>
      <c r="M2869" s="668"/>
      <c r="N2869" s="668"/>
      <c r="O2869" s="668"/>
      <c r="P2869" s="668"/>
      <c r="Q2869" s="668"/>
    </row>
    <row r="2870" spans="1:18" ht="24.95" customHeight="1">
      <c r="A2870" s="559"/>
      <c r="E2870" s="668"/>
      <c r="F2870" s="668"/>
      <c r="G2870" s="668"/>
      <c r="H2870" s="460" t="s">
        <v>4658</v>
      </c>
      <c r="I2870" s="670">
        <f>[3]Elec.Data!I2870</f>
        <v>0</v>
      </c>
      <c r="J2870" s="668"/>
      <c r="K2870" s="668"/>
      <c r="M2870" s="668">
        <v>1</v>
      </c>
      <c r="N2870" s="668" t="s">
        <v>5</v>
      </c>
      <c r="O2870" s="668" t="s">
        <v>4655</v>
      </c>
      <c r="P2870" s="668">
        <f>I2866</f>
        <v>730</v>
      </c>
      <c r="Q2870" s="668" t="s">
        <v>5</v>
      </c>
      <c r="R2870" s="668">
        <f>M2870*P2870</f>
        <v>730</v>
      </c>
    </row>
    <row r="2871" spans="1:18" ht="24.95" customHeight="1">
      <c r="A2871" s="559"/>
      <c r="E2871" s="668"/>
      <c r="F2871" s="668">
        <v>2</v>
      </c>
      <c r="G2871" s="668" t="s">
        <v>5</v>
      </c>
      <c r="H2871" s="668" t="s">
        <v>4659</v>
      </c>
      <c r="I2871" s="670">
        <f>[3]Elec.Data!I2871</f>
        <v>718</v>
      </c>
      <c r="J2871" s="668" t="s">
        <v>5</v>
      </c>
      <c r="K2871" s="668">
        <f>F2871*I2871</f>
        <v>1436</v>
      </c>
      <c r="M2871" s="668">
        <v>2</v>
      </c>
      <c r="N2871" s="668" t="s">
        <v>5</v>
      </c>
      <c r="O2871" s="668" t="s">
        <v>4656</v>
      </c>
      <c r="P2871" s="668">
        <f>I2867</f>
        <v>636</v>
      </c>
      <c r="Q2871" s="668" t="s">
        <v>5</v>
      </c>
      <c r="R2871" s="668">
        <f>M2871*P2871</f>
        <v>1272</v>
      </c>
    </row>
    <row r="2872" spans="1:18" ht="24.95" customHeight="1">
      <c r="A2872" s="559"/>
      <c r="E2872" s="668"/>
      <c r="F2872" s="668">
        <v>4</v>
      </c>
      <c r="G2872" s="668" t="s">
        <v>5</v>
      </c>
      <c r="H2872" s="668" t="s">
        <v>4558</v>
      </c>
      <c r="I2872" s="670">
        <f>[3]Elec.Data!I2872</f>
        <v>497</v>
      </c>
      <c r="J2872" s="668" t="s">
        <v>5</v>
      </c>
      <c r="K2872" s="668">
        <f>F2872*I2872</f>
        <v>1988</v>
      </c>
      <c r="M2872" s="668">
        <v>3</v>
      </c>
      <c r="N2872" s="668" t="s">
        <v>5</v>
      </c>
      <c r="O2872" s="668" t="s">
        <v>4657</v>
      </c>
      <c r="P2872" s="668">
        <f>I2868</f>
        <v>633</v>
      </c>
      <c r="Q2872" s="668" t="s">
        <v>5</v>
      </c>
      <c r="R2872" s="668">
        <f>M2872*P2872</f>
        <v>1899</v>
      </c>
    </row>
    <row r="2873" spans="1:18" ht="20.25" customHeight="1">
      <c r="A2873" s="559"/>
      <c r="E2873" s="668"/>
      <c r="F2873" s="668"/>
      <c r="G2873" s="668"/>
      <c r="H2873" s="668"/>
      <c r="I2873" s="668"/>
      <c r="J2873" s="668"/>
      <c r="K2873" s="677">
        <f>SUM(K2866:K2872)</f>
        <v>9313</v>
      </c>
      <c r="M2873" s="668">
        <v>4</v>
      </c>
      <c r="N2873" s="668" t="s">
        <v>5</v>
      </c>
      <c r="O2873" s="668" t="s">
        <v>2410</v>
      </c>
      <c r="P2873" s="668">
        <f>I2869</f>
        <v>497</v>
      </c>
      <c r="Q2873" s="668" t="s">
        <v>5</v>
      </c>
      <c r="R2873" s="668">
        <f>M2873*P2873</f>
        <v>1988</v>
      </c>
    </row>
    <row r="2874" spans="1:18" ht="5.25" hidden="1" customHeight="1">
      <c r="A2874" s="559"/>
      <c r="E2874" s="668"/>
      <c r="F2874" s="668"/>
      <c r="G2874" s="668"/>
      <c r="H2874" s="668"/>
      <c r="I2874" s="668"/>
      <c r="J2874" s="668"/>
      <c r="K2874" s="675"/>
      <c r="M2874" s="668"/>
      <c r="N2874" s="668"/>
      <c r="O2874" s="668"/>
      <c r="P2874" s="668"/>
      <c r="Q2874" s="668"/>
      <c r="R2874" s="668"/>
    </row>
    <row r="2875" spans="1:18" ht="39.950000000000003" customHeight="1">
      <c r="A2875" s="559"/>
      <c r="E2875" s="668"/>
      <c r="F2875" s="668"/>
      <c r="G2875" s="668"/>
      <c r="H2875" s="562" t="s">
        <v>4660</v>
      </c>
      <c r="I2875" s="668"/>
      <c r="J2875" s="668"/>
      <c r="K2875" s="668"/>
      <c r="L2875" s="668"/>
      <c r="M2875" s="668"/>
      <c r="O2875" s="678" t="s">
        <v>4661</v>
      </c>
      <c r="R2875" s="679">
        <f>SUM(R2870:R2873)</f>
        <v>5889</v>
      </c>
    </row>
    <row r="2876" spans="1:18" ht="30.75" customHeight="1">
      <c r="A2876" s="559"/>
      <c r="E2876" s="668"/>
      <c r="F2876" s="668"/>
      <c r="G2876" s="668"/>
      <c r="H2876" s="562" t="s">
        <v>4662</v>
      </c>
      <c r="I2876" s="668"/>
      <c r="J2876" s="668"/>
      <c r="K2876" s="668"/>
      <c r="L2876" s="668"/>
      <c r="M2876" s="668"/>
    </row>
    <row r="2877" spans="1:18">
      <c r="A2877" s="559"/>
      <c r="E2877" s="668"/>
      <c r="F2877" s="668"/>
      <c r="G2877" s="668"/>
      <c r="H2877" s="668"/>
      <c r="I2877" s="668"/>
      <c r="J2877" s="668"/>
      <c r="K2877" s="668"/>
      <c r="L2877" s="668"/>
      <c r="M2877" s="668"/>
      <c r="Q2877" s="680" t="s">
        <v>4663</v>
      </c>
      <c r="R2877" s="681">
        <f>R2875/6</f>
        <v>981.5</v>
      </c>
    </row>
    <row r="2878" spans="1:18" ht="186.75" customHeight="1">
      <c r="A2878" s="559"/>
      <c r="E2878" s="668"/>
      <c r="F2878" s="668"/>
      <c r="G2878" s="668"/>
      <c r="H2878" s="667" t="s">
        <v>4664</v>
      </c>
      <c r="I2878" s="668"/>
      <c r="J2878" s="668"/>
      <c r="K2878" s="668"/>
      <c r="L2878" s="668"/>
      <c r="M2878" s="668"/>
      <c r="O2878" s="667" t="s">
        <v>4665</v>
      </c>
    </row>
    <row r="2879" spans="1:18" ht="30" customHeight="1">
      <c r="A2879" s="559"/>
      <c r="E2879" s="668"/>
      <c r="F2879" s="668"/>
      <c r="G2879" s="668"/>
      <c r="H2879" s="668" t="s">
        <v>4666</v>
      </c>
      <c r="I2879" s="668"/>
      <c r="J2879" s="668"/>
      <c r="K2879" s="668">
        <f>K2859-K2858</f>
        <v>13726.695</v>
      </c>
      <c r="L2879" s="668"/>
      <c r="M2879" s="668">
        <v>90</v>
      </c>
      <c r="N2879" s="668" t="s">
        <v>12</v>
      </c>
      <c r="O2879" s="571" t="s">
        <v>2383</v>
      </c>
      <c r="P2879" s="668">
        <f t="shared" ref="P2879:P2887" si="88">P2846</f>
        <v>13.5</v>
      </c>
      <c r="Q2879" s="668" t="s">
        <v>12</v>
      </c>
      <c r="R2879" s="668">
        <f>M2879*P2879</f>
        <v>1215</v>
      </c>
    </row>
    <row r="2880" spans="1:18" ht="30" customHeight="1">
      <c r="A2880" s="559"/>
      <c r="E2880" s="668"/>
      <c r="F2880" s="668"/>
      <c r="G2880" s="668"/>
      <c r="H2880" s="668" t="s">
        <v>4667</v>
      </c>
      <c r="I2880" s="668"/>
      <c r="J2880" s="668"/>
      <c r="K2880" s="668">
        <f>K2851</f>
        <v>136</v>
      </c>
      <c r="L2880" s="668"/>
      <c r="M2880" s="668">
        <v>45</v>
      </c>
      <c r="N2880" s="668" t="s">
        <v>12</v>
      </c>
      <c r="O2880" s="667" t="s">
        <v>2384</v>
      </c>
      <c r="P2880" s="668">
        <f t="shared" si="88"/>
        <v>17.100000000000001</v>
      </c>
      <c r="Q2880" s="668" t="s">
        <v>4628</v>
      </c>
      <c r="R2880" s="668">
        <f>M2880*P2880</f>
        <v>769.50000000000011</v>
      </c>
    </row>
    <row r="2881" spans="1:19" ht="30" customHeight="1">
      <c r="A2881" s="559"/>
      <c r="E2881" s="668"/>
      <c r="F2881" s="668"/>
      <c r="G2881" s="668"/>
      <c r="H2881" s="670" t="s">
        <v>4668</v>
      </c>
      <c r="I2881" s="670"/>
      <c r="J2881" s="670"/>
      <c r="K2881" s="670">
        <f>[3]Elec.Data!K2881</f>
        <v>163.5</v>
      </c>
      <c r="L2881" s="668"/>
      <c r="M2881" s="668">
        <v>75</v>
      </c>
      <c r="N2881" s="668" t="s">
        <v>5</v>
      </c>
      <c r="O2881" s="668" t="s">
        <v>4669</v>
      </c>
      <c r="P2881" s="668">
        <f t="shared" si="88"/>
        <v>3.85</v>
      </c>
      <c r="Q2881" s="668" t="s">
        <v>4633</v>
      </c>
      <c r="R2881" s="668">
        <f>M2881*P2881/12</f>
        <v>24.0625</v>
      </c>
    </row>
    <row r="2882" spans="1:19" ht="30" customHeight="1">
      <c r="A2882" s="559"/>
      <c r="E2882" s="668"/>
      <c r="F2882" s="668"/>
      <c r="G2882" s="668"/>
      <c r="H2882" s="668" t="s">
        <v>2390</v>
      </c>
      <c r="I2882" s="668"/>
      <c r="J2882" s="668"/>
      <c r="K2882" s="668">
        <v>43.1</v>
      </c>
      <c r="L2882" s="668"/>
      <c r="M2882" s="668">
        <v>12</v>
      </c>
      <c r="N2882" s="668" t="s">
        <v>5</v>
      </c>
      <c r="O2882" s="668" t="s">
        <v>4635</v>
      </c>
      <c r="P2882" s="668">
        <f t="shared" si="88"/>
        <v>2.7</v>
      </c>
      <c r="Q2882" s="668" t="s">
        <v>5</v>
      </c>
      <c r="R2882" s="668">
        <f>M2882*P2882</f>
        <v>32.400000000000006</v>
      </c>
    </row>
    <row r="2883" spans="1:19" ht="39.950000000000003" customHeight="1">
      <c r="A2883" s="559"/>
      <c r="E2883" s="668"/>
      <c r="F2883" s="668"/>
      <c r="G2883" s="668"/>
      <c r="H2883" s="674" t="s">
        <v>4670</v>
      </c>
      <c r="I2883" s="668"/>
      <c r="J2883" s="668"/>
      <c r="K2883" s="675">
        <f>K2879-K2880+K2881+K2882</f>
        <v>13797.295</v>
      </c>
      <c r="L2883" s="668"/>
      <c r="M2883" s="668">
        <v>6</v>
      </c>
      <c r="N2883" s="668" t="s">
        <v>5</v>
      </c>
      <c r="O2883" s="668" t="s">
        <v>4637</v>
      </c>
      <c r="P2883" s="668">
        <f t="shared" si="88"/>
        <v>1.1399999999999999</v>
      </c>
      <c r="Q2883" s="668" t="s">
        <v>5</v>
      </c>
      <c r="R2883" s="668">
        <f>M2883*P2883</f>
        <v>6.84</v>
      </c>
    </row>
    <row r="2884" spans="1:19" ht="25.5" customHeight="1">
      <c r="A2884" s="559"/>
      <c r="E2884" s="668"/>
      <c r="F2884" s="668"/>
      <c r="G2884" s="668"/>
      <c r="H2884" s="676" t="s">
        <v>4671</v>
      </c>
      <c r="I2884" s="668"/>
      <c r="J2884" s="668"/>
      <c r="K2884" s="460">
        <f>K2883/10</f>
        <v>1379.7294999999999</v>
      </c>
      <c r="L2884" s="668">
        <f>1078*10</f>
        <v>10780</v>
      </c>
      <c r="M2884" s="668">
        <v>150</v>
      </c>
      <c r="N2884" s="668" t="s">
        <v>13</v>
      </c>
      <c r="O2884" s="668" t="s">
        <v>4639</v>
      </c>
      <c r="P2884" s="668">
        <f t="shared" si="88"/>
        <v>287</v>
      </c>
      <c r="Q2884" s="668">
        <v>1000</v>
      </c>
      <c r="R2884" s="668">
        <f>(M2884*P2884)/1000</f>
        <v>43.05</v>
      </c>
    </row>
    <row r="2885" spans="1:19">
      <c r="A2885" s="559"/>
      <c r="E2885" s="668"/>
      <c r="F2885" s="668"/>
      <c r="G2885" s="668"/>
      <c r="H2885" s="668"/>
      <c r="I2885" s="668"/>
      <c r="J2885" s="668"/>
      <c r="K2885" s="668"/>
      <c r="L2885" s="668">
        <f>L2884-K2883</f>
        <v>-3017.2950000000001</v>
      </c>
      <c r="M2885" s="672">
        <v>7</v>
      </c>
      <c r="N2885" s="668" t="s">
        <v>13</v>
      </c>
      <c r="O2885" s="668" t="s">
        <v>4641</v>
      </c>
      <c r="P2885" s="668">
        <f t="shared" si="88"/>
        <v>36.799999999999997</v>
      </c>
      <c r="Q2885" s="668" t="s">
        <v>5</v>
      </c>
      <c r="R2885" s="668">
        <f>M2885*P2885</f>
        <v>257.59999999999997</v>
      </c>
    </row>
    <row r="2886" spans="1:19" ht="24.95" customHeight="1">
      <c r="A2886" s="559"/>
      <c r="E2886" s="668"/>
      <c r="F2886" s="668"/>
      <c r="G2886" s="668"/>
      <c r="H2886" s="460" t="s">
        <v>4672</v>
      </c>
      <c r="I2886" s="668"/>
      <c r="J2886" s="668"/>
      <c r="K2886" s="668"/>
      <c r="L2886" s="668"/>
      <c r="M2886" s="668">
        <v>6</v>
      </c>
      <c r="N2886" s="668" t="s">
        <v>5</v>
      </c>
      <c r="O2886" s="668" t="s">
        <v>4642</v>
      </c>
      <c r="P2886" s="668">
        <f t="shared" si="88"/>
        <v>13.6</v>
      </c>
      <c r="Q2886" s="668" t="s">
        <v>556</v>
      </c>
      <c r="R2886" s="668">
        <f>M2886*P2886</f>
        <v>81.599999999999994</v>
      </c>
    </row>
    <row r="2887" spans="1:19" ht="56.25" customHeight="1">
      <c r="A2887" s="559"/>
      <c r="E2887" s="668"/>
      <c r="F2887" s="668"/>
      <c r="G2887" s="668"/>
      <c r="H2887" s="665" t="s">
        <v>4673</v>
      </c>
      <c r="I2887" s="668"/>
      <c r="J2887" s="668"/>
      <c r="K2887" s="668"/>
      <c r="L2887" s="668"/>
      <c r="M2887" s="668">
        <v>6</v>
      </c>
      <c r="N2887" s="668" t="s">
        <v>5</v>
      </c>
      <c r="O2887" s="668" t="s">
        <v>4643</v>
      </c>
      <c r="P2887" s="668">
        <f t="shared" si="88"/>
        <v>175.24</v>
      </c>
      <c r="Q2887" s="668" t="s">
        <v>4633</v>
      </c>
      <c r="R2887" s="668">
        <f>(M2887*P2887)/12</f>
        <v>87.62</v>
      </c>
    </row>
    <row r="2888" spans="1:19">
      <c r="A2888" s="559"/>
      <c r="E2888" s="668"/>
      <c r="F2888" s="668"/>
      <c r="G2888" s="668"/>
      <c r="H2888" s="668"/>
      <c r="I2888" s="668"/>
      <c r="J2888" s="668"/>
      <c r="K2888" s="668"/>
      <c r="L2888" s="668"/>
      <c r="M2888" s="668">
        <v>1</v>
      </c>
      <c r="N2888" s="668" t="s">
        <v>2413</v>
      </c>
      <c r="O2888" s="668" t="s">
        <v>4644</v>
      </c>
      <c r="P2888" s="668">
        <f>P2855</f>
        <v>84.1</v>
      </c>
      <c r="Q2888" s="668" t="s">
        <v>2413</v>
      </c>
      <c r="R2888" s="668">
        <f>(M2888*P2888)</f>
        <v>84.1</v>
      </c>
    </row>
    <row r="2889" spans="1:19" ht="186" customHeight="1">
      <c r="A2889" s="559"/>
      <c r="E2889" s="668"/>
      <c r="F2889" s="668"/>
      <c r="G2889" s="668"/>
      <c r="H2889" s="667" t="s">
        <v>4674</v>
      </c>
      <c r="I2889" s="668"/>
      <c r="J2889" s="668"/>
      <c r="K2889" s="668"/>
      <c r="L2889" s="668"/>
      <c r="M2889" s="668">
        <v>6</v>
      </c>
      <c r="N2889" s="668" t="s">
        <v>13</v>
      </c>
      <c r="O2889" s="667" t="s">
        <v>4675</v>
      </c>
      <c r="P2889" s="668">
        <v>42.25</v>
      </c>
      <c r="Q2889" s="668" t="s">
        <v>2385</v>
      </c>
      <c r="R2889" s="668">
        <f>M2889*P2889</f>
        <v>253.5</v>
      </c>
    </row>
    <row r="2890" spans="1:19" ht="21.75" customHeight="1">
      <c r="A2890" s="559"/>
      <c r="E2890" s="668"/>
      <c r="F2890" s="668"/>
      <c r="G2890" s="668"/>
      <c r="H2890" s="668" t="s">
        <v>4676</v>
      </c>
      <c r="I2890" s="668"/>
      <c r="J2890" s="668"/>
      <c r="K2890" s="668">
        <f>K2879</f>
        <v>13726.695</v>
      </c>
      <c r="L2890" s="668"/>
      <c r="M2890" s="673">
        <v>0.16666666666666666</v>
      </c>
      <c r="N2890" s="668" t="s">
        <v>4648</v>
      </c>
      <c r="O2890" s="668" t="s">
        <v>2386</v>
      </c>
      <c r="P2890" s="668">
        <f>P2857</f>
        <v>290</v>
      </c>
      <c r="Q2890" s="668" t="s">
        <v>4648</v>
      </c>
      <c r="R2890" s="668">
        <f>M2890*P2890</f>
        <v>48.333333333333329</v>
      </c>
    </row>
    <row r="2891" spans="1:19" ht="30" customHeight="1">
      <c r="A2891" s="559"/>
      <c r="E2891" s="668"/>
      <c r="F2891" s="668"/>
      <c r="G2891" s="668"/>
      <c r="H2891" s="668" t="s">
        <v>4677</v>
      </c>
      <c r="I2891" s="668"/>
      <c r="J2891" s="668"/>
      <c r="K2891" s="668">
        <f>K2880</f>
        <v>136</v>
      </c>
      <c r="L2891" s="668"/>
      <c r="M2891" s="668"/>
      <c r="N2891" s="668"/>
      <c r="O2891" s="571"/>
      <c r="P2891" s="668"/>
      <c r="Q2891" s="668"/>
      <c r="R2891" s="668"/>
    </row>
    <row r="2892" spans="1:19" ht="30" customHeight="1">
      <c r="A2892" s="559"/>
      <c r="E2892" s="668"/>
      <c r="F2892" s="668"/>
      <c r="G2892" s="668"/>
      <c r="H2892" s="668" t="s">
        <v>4678</v>
      </c>
      <c r="I2892" s="668"/>
      <c r="J2892" s="668"/>
      <c r="K2892" s="668">
        <f>K2852</f>
        <v>368</v>
      </c>
      <c r="L2892" s="668"/>
      <c r="M2892" s="668">
        <v>6</v>
      </c>
      <c r="N2892" s="668" t="s">
        <v>4650</v>
      </c>
      <c r="O2892" s="668" t="s">
        <v>2389</v>
      </c>
      <c r="P2892" s="668">
        <f>R2877</f>
        <v>981.5</v>
      </c>
      <c r="Q2892" s="668" t="s">
        <v>4650</v>
      </c>
      <c r="R2892" s="668">
        <f>M2892*P2892</f>
        <v>5889</v>
      </c>
    </row>
    <row r="2893" spans="1:19" ht="30" customHeight="1">
      <c r="A2893" s="559"/>
      <c r="E2893" s="668"/>
      <c r="F2893" s="668"/>
      <c r="G2893" s="668"/>
      <c r="H2893" s="668" t="s">
        <v>4679</v>
      </c>
      <c r="I2893" s="668"/>
      <c r="J2893" s="668"/>
      <c r="K2893" s="668">
        <f>K2850</f>
        <v>158.9</v>
      </c>
      <c r="L2893" s="668"/>
      <c r="M2893" s="668"/>
      <c r="N2893" s="668" t="s">
        <v>4444</v>
      </c>
      <c r="O2893" s="668" t="s">
        <v>4652</v>
      </c>
      <c r="P2893" s="668"/>
      <c r="Q2893" s="668"/>
      <c r="R2893" s="668">
        <v>13.68</v>
      </c>
    </row>
    <row r="2894" spans="1:19" ht="30" customHeight="1">
      <c r="A2894" s="559"/>
      <c r="E2894" s="668"/>
      <c r="F2894" s="668"/>
      <c r="G2894" s="668"/>
      <c r="H2894" s="668" t="s">
        <v>4680</v>
      </c>
      <c r="I2894" s="668"/>
      <c r="J2894" s="668"/>
      <c r="K2894" s="670">
        <f>[3]Elec.Data!K2894</f>
        <v>409</v>
      </c>
      <c r="L2894" s="668"/>
      <c r="M2894" s="668"/>
      <c r="N2894" s="668"/>
      <c r="P2894" s="668"/>
      <c r="Q2894" s="668"/>
      <c r="R2894" s="668"/>
    </row>
    <row r="2895" spans="1:19" ht="30" customHeight="1">
      <c r="A2895" s="559"/>
      <c r="E2895" s="668"/>
      <c r="F2895" s="668"/>
      <c r="G2895" s="668"/>
      <c r="H2895" s="668" t="s">
        <v>4681</v>
      </c>
      <c r="I2895" s="668"/>
      <c r="J2895" s="668"/>
      <c r="K2895" s="668">
        <f>10*9</f>
        <v>90</v>
      </c>
      <c r="L2895" s="668"/>
      <c r="M2895" s="668"/>
      <c r="N2895" s="668"/>
      <c r="O2895" s="674" t="s">
        <v>4654</v>
      </c>
      <c r="P2895" s="668"/>
      <c r="Q2895" s="668"/>
      <c r="R2895" s="675">
        <f>SUM(R2879:R2894)</f>
        <v>8806.2858333333334</v>
      </c>
    </row>
    <row r="2896" spans="1:19" ht="30" customHeight="1">
      <c r="A2896" s="559"/>
      <c r="E2896" s="668"/>
      <c r="F2896" s="668"/>
      <c r="G2896" s="668"/>
      <c r="H2896" s="668" t="s">
        <v>4682</v>
      </c>
      <c r="I2896" s="668"/>
      <c r="J2896" s="668"/>
      <c r="K2896" s="670">
        <f>[3]Elec.Data!K2896</f>
        <v>165</v>
      </c>
      <c r="L2896" s="668"/>
      <c r="M2896" s="668"/>
      <c r="N2896" s="668"/>
      <c r="O2896" s="676" t="s">
        <v>4651</v>
      </c>
      <c r="P2896" s="668"/>
      <c r="Q2896" s="668"/>
      <c r="R2896" s="460">
        <f>R2895/6</f>
        <v>1467.7143055555555</v>
      </c>
      <c r="S2896" s="511">
        <f>1199*6</f>
        <v>7194</v>
      </c>
    </row>
    <row r="2897" spans="1:19" ht="30" customHeight="1">
      <c r="A2897" s="559"/>
      <c r="E2897" s="668"/>
      <c r="F2897" s="668"/>
      <c r="G2897" s="668"/>
      <c r="H2897" s="668" t="s">
        <v>2390</v>
      </c>
      <c r="I2897" s="668"/>
      <c r="J2897" s="668"/>
      <c r="K2897" s="668">
        <v>32.200000000000003</v>
      </c>
      <c r="L2897" s="668"/>
      <c r="M2897" s="668"/>
      <c r="S2897" s="511">
        <f>S2896-R2895</f>
        <v>-1612.2858333333334</v>
      </c>
    </row>
    <row r="2898" spans="1:19" ht="25.5" customHeight="1">
      <c r="A2898" s="559"/>
      <c r="E2898" s="668"/>
      <c r="F2898" s="668"/>
      <c r="G2898" s="668"/>
      <c r="H2898" s="674" t="s">
        <v>4670</v>
      </c>
      <c r="I2898" s="668"/>
      <c r="J2898" s="668"/>
      <c r="K2898" s="675">
        <f>(K2890-K2891-K2892-K2893)+(K2894+K2895+K2896+K2897)</f>
        <v>13759.995000000001</v>
      </c>
      <c r="L2898" s="668"/>
      <c r="M2898" s="668"/>
    </row>
    <row r="2899" spans="1:19" ht="27.75" customHeight="1">
      <c r="A2899" s="559"/>
      <c r="E2899" s="668"/>
      <c r="F2899" s="668"/>
      <c r="G2899" s="668"/>
      <c r="H2899" s="676" t="s">
        <v>2378</v>
      </c>
      <c r="I2899" s="668"/>
      <c r="J2899" s="668"/>
      <c r="K2899" s="460">
        <f>K2898/10</f>
        <v>1375.9995000000001</v>
      </c>
      <c r="L2899" s="668">
        <f>1107*10</f>
        <v>11070</v>
      </c>
      <c r="M2899" s="668"/>
    </row>
    <row r="2900" spans="1:19">
      <c r="A2900" s="559"/>
      <c r="E2900" s="668"/>
      <c r="F2900" s="668"/>
      <c r="G2900" s="668"/>
      <c r="H2900" s="668"/>
      <c r="I2900" s="668"/>
      <c r="J2900" s="668"/>
      <c r="K2900" s="668"/>
      <c r="L2900" s="668">
        <f>L2899-K2898</f>
        <v>-2689.9950000000008</v>
      </c>
      <c r="M2900" s="668"/>
    </row>
    <row r="2901" spans="1:19">
      <c r="A2901" s="559"/>
      <c r="E2901" s="668"/>
      <c r="F2901" s="668"/>
      <c r="G2901" s="668"/>
      <c r="H2901" s="460" t="s">
        <v>4683</v>
      </c>
      <c r="I2901" s="668"/>
      <c r="J2901" s="668"/>
      <c r="K2901" s="668"/>
      <c r="L2901" s="668"/>
      <c r="M2901" s="668"/>
    </row>
    <row r="2902" spans="1:19">
      <c r="A2902" s="559"/>
      <c r="E2902" s="668"/>
      <c r="F2902" s="668"/>
      <c r="G2902" s="668"/>
      <c r="H2902" s="460" t="s">
        <v>4684</v>
      </c>
      <c r="I2902" s="668"/>
      <c r="J2902" s="668"/>
      <c r="K2902" s="668"/>
      <c r="L2902" s="668"/>
      <c r="M2902" s="668"/>
    </row>
    <row r="2903" spans="1:19" ht="157.5">
      <c r="A2903" s="559"/>
      <c r="E2903" s="668"/>
      <c r="F2903" s="668"/>
      <c r="G2903" s="668"/>
      <c r="H2903" s="667" t="s">
        <v>4685</v>
      </c>
      <c r="I2903" s="668"/>
      <c r="J2903" s="668"/>
      <c r="K2903" s="668"/>
      <c r="L2903" s="668"/>
      <c r="M2903" s="668"/>
    </row>
    <row r="2904" spans="1:19">
      <c r="A2904" s="559"/>
      <c r="E2904" s="668"/>
      <c r="F2904" s="668"/>
      <c r="G2904" s="668"/>
      <c r="H2904" s="668"/>
      <c r="I2904" s="668"/>
      <c r="J2904" s="668"/>
      <c r="K2904" s="668"/>
      <c r="L2904" s="668"/>
      <c r="M2904" s="668"/>
    </row>
    <row r="2905" spans="1:19" ht="31.5">
      <c r="A2905" s="559"/>
      <c r="E2905" s="668"/>
      <c r="F2905" s="668">
        <v>90</v>
      </c>
      <c r="G2905" s="668" t="s">
        <v>12</v>
      </c>
      <c r="H2905" s="571" t="str">
        <f>H2843</f>
        <v>1.5 sqmm copper PVC insulated unsheathed single core cable (P-79 it-2/b)</v>
      </c>
      <c r="I2905" s="668">
        <f>I2843</f>
        <v>13.5</v>
      </c>
      <c r="J2905" s="668" t="s">
        <v>4646</v>
      </c>
      <c r="K2905" s="668">
        <f t="shared" ref="K2905:K2917" si="89">F2905*I2905</f>
        <v>1215</v>
      </c>
      <c r="L2905" s="668"/>
      <c r="M2905" s="668"/>
    </row>
    <row r="2906" spans="1:19" ht="31.5">
      <c r="A2906" s="559"/>
      <c r="E2906" s="668"/>
      <c r="F2906" s="668">
        <v>45</v>
      </c>
      <c r="G2906" s="668" t="s">
        <v>12</v>
      </c>
      <c r="H2906" s="667" t="s">
        <v>4627</v>
      </c>
      <c r="I2906" s="668">
        <f>I2844</f>
        <v>17.100000000000001</v>
      </c>
      <c r="J2906" s="668" t="s">
        <v>12</v>
      </c>
      <c r="K2906" s="668">
        <f t="shared" si="89"/>
        <v>769.50000000000011</v>
      </c>
      <c r="L2906" s="668"/>
      <c r="M2906" s="668"/>
    </row>
    <row r="2907" spans="1:19">
      <c r="A2907" s="559"/>
      <c r="E2907" s="668"/>
      <c r="F2907" s="668">
        <v>20</v>
      </c>
      <c r="G2907" s="668" t="s">
        <v>5</v>
      </c>
      <c r="H2907" s="668" t="s">
        <v>4629</v>
      </c>
      <c r="I2907" s="668">
        <f>I2845</f>
        <v>2.7</v>
      </c>
      <c r="J2907" s="668" t="s">
        <v>5</v>
      </c>
      <c r="K2907" s="668">
        <f t="shared" si="89"/>
        <v>54</v>
      </c>
      <c r="L2907" s="668"/>
      <c r="M2907" s="668"/>
    </row>
    <row r="2908" spans="1:19">
      <c r="A2908" s="559"/>
      <c r="E2908" s="668"/>
      <c r="F2908" s="668">
        <v>10</v>
      </c>
      <c r="G2908" s="668" t="s">
        <v>5</v>
      </c>
      <c r="H2908" s="668" t="s">
        <v>4630</v>
      </c>
      <c r="I2908" s="668">
        <f>I2846</f>
        <v>1.1399999999999999</v>
      </c>
      <c r="J2908" s="668" t="s">
        <v>5</v>
      </c>
      <c r="K2908" s="668">
        <f t="shared" si="89"/>
        <v>11.399999999999999</v>
      </c>
      <c r="L2908" s="668"/>
      <c r="M2908" s="668"/>
    </row>
    <row r="2909" spans="1:19">
      <c r="A2909" s="559"/>
      <c r="E2909" s="668"/>
      <c r="F2909" s="668">
        <v>10</v>
      </c>
      <c r="G2909" s="668" t="s">
        <v>5</v>
      </c>
      <c r="H2909" s="668" t="str">
        <f>H2852</f>
        <v>19 mm PVC junction box  ( p-83,6-b( 44.8/12=3.73)</v>
      </c>
      <c r="I2909" s="668">
        <f>I2852</f>
        <v>36.799999999999997</v>
      </c>
      <c r="J2909" s="668" t="s">
        <v>5</v>
      </c>
      <c r="K2909" s="668">
        <f t="shared" si="89"/>
        <v>368</v>
      </c>
      <c r="L2909" s="668"/>
      <c r="M2909" s="668"/>
    </row>
    <row r="2910" spans="1:19">
      <c r="A2910" s="559"/>
      <c r="E2910" s="668"/>
      <c r="F2910" s="668">
        <v>10</v>
      </c>
      <c r="G2910" s="668" t="s">
        <v>5</v>
      </c>
      <c r="H2910" s="668" t="str">
        <f>H2851</f>
        <v>Ceiling rose p-70 it-23</v>
      </c>
      <c r="I2910" s="668">
        <f>I2851</f>
        <v>13.6</v>
      </c>
      <c r="J2910" s="668" t="s">
        <v>5</v>
      </c>
      <c r="K2910" s="668">
        <f t="shared" si="89"/>
        <v>136</v>
      </c>
      <c r="L2910" s="668"/>
      <c r="M2910" s="668"/>
    </row>
    <row r="2911" spans="1:19">
      <c r="A2911" s="559"/>
      <c r="E2911" s="668"/>
      <c r="F2911" s="668">
        <v>10</v>
      </c>
      <c r="G2911" s="668" t="s">
        <v>5</v>
      </c>
      <c r="H2911" s="668" t="str">
        <f>H2850</f>
        <v>5 amps flush type switch p-72, Part-C,1 a ( 207/12=17.25)</v>
      </c>
      <c r="I2911" s="668">
        <f>I2850</f>
        <v>15.89</v>
      </c>
      <c r="J2911" s="668" t="s">
        <v>5</v>
      </c>
      <c r="K2911" s="668">
        <f t="shared" si="89"/>
        <v>158.9</v>
      </c>
      <c r="L2911" s="668"/>
      <c r="M2911" s="668"/>
    </row>
    <row r="2912" spans="1:19">
      <c r="A2912" s="559"/>
      <c r="E2912" s="668"/>
      <c r="F2912" s="668">
        <v>10</v>
      </c>
      <c r="G2912" s="668" t="s">
        <v>5</v>
      </c>
      <c r="H2912" s="460" t="s">
        <v>4686</v>
      </c>
      <c r="I2912" s="682">
        <v>85</v>
      </c>
      <c r="J2912" s="668" t="s">
        <v>5</v>
      </c>
      <c r="K2912" s="668">
        <f t="shared" si="89"/>
        <v>850</v>
      </c>
      <c r="L2912" s="668"/>
      <c r="M2912" s="668"/>
    </row>
    <row r="2913" spans="1:13">
      <c r="A2913" s="559"/>
      <c r="E2913" s="668"/>
      <c r="F2913" s="668">
        <v>0.6</v>
      </c>
      <c r="G2913" s="668" t="s">
        <v>26</v>
      </c>
      <c r="H2913" s="668" t="s">
        <v>4687</v>
      </c>
      <c r="I2913" s="668">
        <f>I2849</f>
        <v>563</v>
      </c>
      <c r="J2913" s="668" t="s">
        <v>26</v>
      </c>
      <c r="K2913" s="668">
        <f t="shared" si="89"/>
        <v>337.8</v>
      </c>
      <c r="L2913" s="668"/>
      <c r="M2913" s="668"/>
    </row>
    <row r="2914" spans="1:13">
      <c r="A2914" s="559"/>
      <c r="E2914" s="668"/>
      <c r="F2914" s="668">
        <v>1</v>
      </c>
      <c r="G2914" s="668" t="s">
        <v>5</v>
      </c>
      <c r="H2914" s="460" t="s">
        <v>4631</v>
      </c>
      <c r="I2914" s="683">
        <f>I2854</f>
        <v>58</v>
      </c>
      <c r="J2914" s="668" t="s">
        <v>5</v>
      </c>
      <c r="K2914" s="668">
        <f t="shared" si="89"/>
        <v>58</v>
      </c>
      <c r="L2914" s="668"/>
      <c r="M2914" s="668"/>
    </row>
    <row r="2915" spans="1:13">
      <c r="A2915" s="559"/>
      <c r="E2915" s="668"/>
      <c r="F2915" s="672">
        <v>1.4999999999999999E-2</v>
      </c>
      <c r="G2915" s="668" t="s">
        <v>26</v>
      </c>
      <c r="H2915" s="668" t="s">
        <v>4634</v>
      </c>
      <c r="I2915" s="668">
        <f>I2913</f>
        <v>563</v>
      </c>
      <c r="J2915" s="668" t="s">
        <v>26</v>
      </c>
      <c r="K2915" s="668">
        <f t="shared" si="89"/>
        <v>8.4450000000000003</v>
      </c>
      <c r="L2915" s="668"/>
      <c r="M2915" s="668"/>
    </row>
    <row r="2916" spans="1:13">
      <c r="A2916" s="559"/>
      <c r="E2916" s="668"/>
      <c r="F2916" s="668">
        <v>1.25</v>
      </c>
      <c r="G2916" s="668" t="s">
        <v>2385</v>
      </c>
      <c r="H2916" s="668" t="s">
        <v>2386</v>
      </c>
      <c r="I2916" s="668">
        <f>I2853</f>
        <v>290</v>
      </c>
      <c r="J2916" s="668" t="s">
        <v>2385</v>
      </c>
      <c r="K2916" s="668">
        <f t="shared" si="89"/>
        <v>362.5</v>
      </c>
      <c r="L2916" s="668"/>
      <c r="M2916" s="668"/>
    </row>
    <row r="2917" spans="1:13" ht="31.5">
      <c r="A2917" s="559"/>
      <c r="E2917" s="668"/>
      <c r="F2917" s="668">
        <v>45</v>
      </c>
      <c r="G2917" s="668" t="s">
        <v>12</v>
      </c>
      <c r="H2917" s="669" t="s">
        <v>4645</v>
      </c>
      <c r="I2917" s="668">
        <f>I2843</f>
        <v>13.5</v>
      </c>
      <c r="J2917" s="668" t="s">
        <v>4646</v>
      </c>
      <c r="K2917" s="668">
        <f t="shared" si="89"/>
        <v>607.5</v>
      </c>
      <c r="L2917" s="668"/>
      <c r="M2917" s="668"/>
    </row>
    <row r="2918" spans="1:13">
      <c r="A2918" s="559"/>
      <c r="E2918" s="668"/>
      <c r="F2918" s="668" t="s">
        <v>170</v>
      </c>
      <c r="G2918" s="668"/>
      <c r="H2918" s="668" t="s">
        <v>2389</v>
      </c>
      <c r="I2918" s="668"/>
      <c r="J2918" s="668"/>
      <c r="K2918" s="668">
        <f>K2873</f>
        <v>9313</v>
      </c>
      <c r="L2918" s="668"/>
      <c r="M2918" s="668"/>
    </row>
    <row r="2919" spans="1:13">
      <c r="A2919" s="559"/>
      <c r="E2919" s="668"/>
      <c r="F2919" s="668" t="s">
        <v>170</v>
      </c>
      <c r="G2919" s="668"/>
      <c r="H2919" s="668" t="s">
        <v>2390</v>
      </c>
      <c r="I2919" s="668"/>
      <c r="J2919" s="668"/>
      <c r="K2919" s="668">
        <v>27.25</v>
      </c>
      <c r="L2919" s="668"/>
      <c r="M2919" s="668"/>
    </row>
    <row r="2920" spans="1:13">
      <c r="A2920" s="559"/>
      <c r="E2920" s="668"/>
      <c r="F2920" s="668"/>
      <c r="G2920" s="668"/>
      <c r="H2920" s="674" t="s">
        <v>4670</v>
      </c>
      <c r="I2920" s="668"/>
      <c r="J2920" s="668"/>
      <c r="K2920" s="675">
        <f>SUM(K2905:K2919)</f>
        <v>14277.295</v>
      </c>
      <c r="L2920" s="668"/>
      <c r="M2920" s="668"/>
    </row>
    <row r="2921" spans="1:13">
      <c r="A2921" s="559"/>
      <c r="E2921" s="668"/>
      <c r="F2921" s="668"/>
      <c r="G2921" s="668"/>
      <c r="H2921" s="676" t="s">
        <v>2378</v>
      </c>
      <c r="I2921" s="668"/>
      <c r="J2921" s="668"/>
      <c r="K2921" s="460">
        <f>K2920/10</f>
        <v>1427.7294999999999</v>
      </c>
      <c r="L2921" s="668">
        <f>K2920-11250</f>
        <v>3027.2950000000001</v>
      </c>
      <c r="M2921" s="668"/>
    </row>
    <row r="2922" spans="1:13" hidden="1">
      <c r="A2922" s="559"/>
      <c r="E2922" s="668"/>
      <c r="F2922" s="668"/>
      <c r="G2922" s="668"/>
      <c r="H2922" s="460" t="s">
        <v>4688</v>
      </c>
      <c r="I2922" s="668"/>
      <c r="J2922" s="668"/>
      <c r="K2922" s="460"/>
      <c r="L2922" s="668"/>
      <c r="M2922" s="668"/>
    </row>
    <row r="2923" spans="1:13" hidden="1">
      <c r="A2923" s="559"/>
      <c r="E2923" s="668"/>
      <c r="F2923" s="668"/>
      <c r="G2923" s="668"/>
      <c r="H2923" s="684" t="s">
        <v>4689</v>
      </c>
      <c r="I2923" s="668">
        <f>90</f>
        <v>90</v>
      </c>
      <c r="J2923" s="668"/>
      <c r="K2923" s="460"/>
      <c r="L2923" s="668"/>
      <c r="M2923" s="668"/>
    </row>
    <row r="2924" spans="1:13" hidden="1">
      <c r="A2924" s="559"/>
      <c r="E2924" s="668"/>
      <c r="F2924" s="668"/>
      <c r="G2924" s="668"/>
      <c r="H2924" s="684" t="s">
        <v>4690</v>
      </c>
      <c r="I2924" s="685">
        <v>8.2500000000000004E-2</v>
      </c>
      <c r="J2924" s="668"/>
      <c r="K2924" s="460"/>
      <c r="L2924" s="668"/>
      <c r="M2924" s="668"/>
    </row>
    <row r="2925" spans="1:13" ht="18" hidden="1">
      <c r="A2925" s="559"/>
      <c r="E2925" s="668"/>
      <c r="F2925" s="668"/>
      <c r="G2925" s="668"/>
      <c r="H2925" s="684" t="s">
        <v>4691</v>
      </c>
      <c r="I2925" s="672">
        <v>0.13500000000000001</v>
      </c>
      <c r="J2925" s="668"/>
      <c r="K2925" s="460">
        <f>I2923*I2925/I2924</f>
        <v>147.27272727272728</v>
      </c>
      <c r="L2925" s="668"/>
      <c r="M2925" s="668"/>
    </row>
    <row r="2926" spans="1:13">
      <c r="A2926" s="559"/>
      <c r="E2926" s="668"/>
      <c r="F2926" s="668"/>
      <c r="G2926" s="668"/>
      <c r="H2926" s="676"/>
      <c r="I2926" s="668"/>
      <c r="J2926" s="668"/>
      <c r="K2926" s="460"/>
      <c r="L2926" s="668">
        <f>L2921-K2920</f>
        <v>-11250</v>
      </c>
      <c r="M2926" s="668"/>
    </row>
    <row r="2927" spans="1:13" ht="6" customHeight="1">
      <c r="A2927" s="559"/>
      <c r="E2927" s="668"/>
      <c r="F2927" s="668"/>
      <c r="G2927" s="668"/>
      <c r="H2927" s="668"/>
      <c r="I2927" s="668"/>
      <c r="J2927" s="668"/>
      <c r="K2927" s="668"/>
      <c r="L2927" s="668"/>
      <c r="M2927" s="668"/>
    </row>
    <row r="2928" spans="1:13" ht="24.75" customHeight="1">
      <c r="A2928" s="559"/>
      <c r="E2928" s="668"/>
      <c r="F2928" s="668"/>
      <c r="G2928" s="668"/>
      <c r="H2928" s="460" t="s">
        <v>4692</v>
      </c>
      <c r="I2928" s="668"/>
      <c r="J2928" s="668"/>
      <c r="K2928" s="668"/>
      <c r="L2928" s="668"/>
      <c r="M2928" s="668"/>
    </row>
    <row r="2929" spans="1:13" ht="29.25" customHeight="1">
      <c r="A2929" s="559"/>
      <c r="E2929" s="668"/>
      <c r="F2929" s="668"/>
      <c r="G2929" s="668"/>
      <c r="H2929" s="460" t="s">
        <v>4693</v>
      </c>
      <c r="I2929" s="668"/>
      <c r="J2929" s="668"/>
      <c r="K2929" s="668"/>
      <c r="L2929" s="668"/>
      <c r="M2929" s="668"/>
    </row>
    <row r="2930" spans="1:13" ht="177.75" customHeight="1">
      <c r="A2930" s="559"/>
      <c r="E2930" s="668"/>
      <c r="F2930" s="668"/>
      <c r="G2930" s="668"/>
      <c r="H2930" s="667" t="s">
        <v>4694</v>
      </c>
      <c r="I2930" s="668"/>
      <c r="J2930" s="668"/>
      <c r="K2930" s="668"/>
      <c r="L2930" s="668"/>
      <c r="M2930" s="668"/>
    </row>
    <row r="2931" spans="1:13" ht="31.5">
      <c r="A2931" s="559"/>
      <c r="E2931" s="668"/>
      <c r="F2931" s="668">
        <v>90</v>
      </c>
      <c r="G2931" s="668" t="s">
        <v>12</v>
      </c>
      <c r="H2931" s="669" t="s">
        <v>4626</v>
      </c>
      <c r="I2931" s="668">
        <f>I2843</f>
        <v>13.5</v>
      </c>
      <c r="J2931" s="668" t="s">
        <v>2388</v>
      </c>
      <c r="K2931" s="668">
        <f t="shared" ref="K2931:K2941" si="90">F2931*I2931</f>
        <v>1215</v>
      </c>
      <c r="L2931" s="668"/>
      <c r="M2931" s="668"/>
    </row>
    <row r="2932" spans="1:13" ht="31.5">
      <c r="A2932" s="559"/>
      <c r="E2932" s="668"/>
      <c r="F2932" s="668">
        <v>30</v>
      </c>
      <c r="G2932" s="668" t="s">
        <v>12</v>
      </c>
      <c r="H2932" s="667" t="s">
        <v>4627</v>
      </c>
      <c r="I2932" s="668">
        <f>I2906</f>
        <v>17.100000000000001</v>
      </c>
      <c r="J2932" s="668" t="s">
        <v>12</v>
      </c>
      <c r="K2932" s="668">
        <f t="shared" si="90"/>
        <v>513</v>
      </c>
      <c r="L2932" s="668"/>
      <c r="M2932" s="668"/>
    </row>
    <row r="2933" spans="1:13">
      <c r="A2933" s="559"/>
      <c r="E2933" s="668"/>
      <c r="F2933" s="668">
        <v>10</v>
      </c>
      <c r="G2933" s="668" t="s">
        <v>5</v>
      </c>
      <c r="H2933" s="668" t="s">
        <v>4629</v>
      </c>
      <c r="I2933" s="668">
        <f>I2907</f>
        <v>2.7</v>
      </c>
      <c r="J2933" s="668" t="s">
        <v>5</v>
      </c>
      <c r="K2933" s="668">
        <f t="shared" si="90"/>
        <v>27</v>
      </c>
      <c r="L2933" s="668"/>
      <c r="M2933" s="668"/>
    </row>
    <row r="2934" spans="1:13">
      <c r="A2934" s="559"/>
      <c r="E2934" s="668"/>
      <c r="F2934" s="668">
        <v>5</v>
      </c>
      <c r="G2934" s="668" t="s">
        <v>5</v>
      </c>
      <c r="H2934" s="668" t="s">
        <v>4630</v>
      </c>
      <c r="I2934" s="668">
        <f>I2908</f>
        <v>1.1399999999999999</v>
      </c>
      <c r="J2934" s="668" t="s">
        <v>5</v>
      </c>
      <c r="K2934" s="668">
        <f t="shared" si="90"/>
        <v>5.6999999999999993</v>
      </c>
      <c r="L2934" s="668"/>
      <c r="M2934" s="668"/>
    </row>
    <row r="2935" spans="1:13">
      <c r="A2935" s="559"/>
      <c r="E2935" s="668"/>
      <c r="F2935" s="668">
        <v>10</v>
      </c>
      <c r="G2935" s="668" t="s">
        <v>5</v>
      </c>
      <c r="H2935" s="668" t="s">
        <v>4695</v>
      </c>
      <c r="I2935" s="670">
        <f>ROUND(237/12,2)</f>
        <v>19.75</v>
      </c>
      <c r="J2935" s="668" t="s">
        <v>5</v>
      </c>
      <c r="K2935" s="668">
        <f t="shared" si="90"/>
        <v>197.5</v>
      </c>
      <c r="L2935" s="668"/>
      <c r="M2935" s="668">
        <f>253/12</f>
        <v>21.083333333333332</v>
      </c>
    </row>
    <row r="2936" spans="1:13">
      <c r="A2936" s="559"/>
      <c r="E2936" s="668"/>
      <c r="F2936" s="668">
        <v>5</v>
      </c>
      <c r="G2936" s="668" t="s">
        <v>5</v>
      </c>
      <c r="H2936" s="668" t="str">
        <f>H2910</f>
        <v>Ceiling rose p-70 it-23</v>
      </c>
      <c r="I2936" s="668">
        <f>I2910</f>
        <v>13.6</v>
      </c>
      <c r="J2936" s="668" t="s">
        <v>5</v>
      </c>
      <c r="K2936" s="668">
        <f t="shared" si="90"/>
        <v>68</v>
      </c>
      <c r="L2936" s="668"/>
      <c r="M2936" s="668"/>
    </row>
    <row r="2937" spans="1:13">
      <c r="A2937" s="559"/>
      <c r="E2937" s="668"/>
      <c r="F2937" s="668">
        <v>5</v>
      </c>
      <c r="G2937" s="668" t="s">
        <v>5</v>
      </c>
      <c r="H2937" s="668" t="str">
        <f>H2909</f>
        <v>19 mm PVC junction box  ( p-83,6-b( 44.8/12=3.73)</v>
      </c>
      <c r="I2937" s="668">
        <f>I2909</f>
        <v>36.799999999999997</v>
      </c>
      <c r="J2937" s="668" t="s">
        <v>5</v>
      </c>
      <c r="K2937" s="668">
        <f t="shared" si="90"/>
        <v>184</v>
      </c>
      <c r="L2937" s="668"/>
      <c r="M2937" s="668"/>
    </row>
    <row r="2938" spans="1:13">
      <c r="A2938" s="559"/>
      <c r="E2938" s="668"/>
      <c r="F2938" s="668">
        <v>6</v>
      </c>
      <c r="G2938" s="668" t="s">
        <v>5</v>
      </c>
      <c r="H2938" s="460" t="s">
        <v>4631</v>
      </c>
      <c r="I2938" s="460">
        <f>I2914</f>
        <v>58</v>
      </c>
      <c r="J2938" s="668" t="s">
        <v>5</v>
      </c>
      <c r="K2938" s="668">
        <f t="shared" si="90"/>
        <v>348</v>
      </c>
      <c r="L2938" s="668"/>
      <c r="M2938" s="668"/>
    </row>
    <row r="2939" spans="1:13">
      <c r="A2939" s="559"/>
      <c r="E2939" s="668"/>
      <c r="F2939" s="668">
        <v>0.09</v>
      </c>
      <c r="G2939" s="668" t="s">
        <v>26</v>
      </c>
      <c r="H2939" s="668" t="s">
        <v>4634</v>
      </c>
      <c r="I2939" s="668">
        <f>I2913</f>
        <v>563</v>
      </c>
      <c r="J2939" s="668" t="s">
        <v>26</v>
      </c>
      <c r="K2939" s="668">
        <f t="shared" si="90"/>
        <v>50.669999999999995</v>
      </c>
      <c r="L2939" s="668"/>
      <c r="M2939" s="668"/>
    </row>
    <row r="2940" spans="1:13">
      <c r="A2940" s="559"/>
      <c r="E2940" s="668"/>
      <c r="F2940" s="668">
        <v>1.25</v>
      </c>
      <c r="G2940" s="668" t="s">
        <v>2385</v>
      </c>
      <c r="H2940" s="668" t="s">
        <v>2386</v>
      </c>
      <c r="I2940" s="668">
        <f>I2916</f>
        <v>290</v>
      </c>
      <c r="J2940" s="668" t="s">
        <v>2385</v>
      </c>
      <c r="K2940" s="668">
        <f t="shared" si="90"/>
        <v>362.5</v>
      </c>
      <c r="L2940" s="668"/>
      <c r="M2940" s="668"/>
    </row>
    <row r="2941" spans="1:13" ht="31.5">
      <c r="A2941" s="559"/>
      <c r="E2941" s="668"/>
      <c r="F2941" s="668">
        <v>30</v>
      </c>
      <c r="G2941" s="668" t="s">
        <v>12</v>
      </c>
      <c r="H2941" s="669" t="s">
        <v>4645</v>
      </c>
      <c r="I2941" s="668">
        <f>I2931</f>
        <v>13.5</v>
      </c>
      <c r="J2941" s="668" t="s">
        <v>4646</v>
      </c>
      <c r="K2941" s="668">
        <f t="shared" si="90"/>
        <v>405</v>
      </c>
      <c r="L2941" s="668"/>
      <c r="M2941" s="668"/>
    </row>
    <row r="2942" spans="1:13">
      <c r="A2942" s="559"/>
      <c r="E2942" s="668"/>
      <c r="F2942" s="668"/>
      <c r="G2942" s="668"/>
      <c r="H2942" s="668" t="s">
        <v>2389</v>
      </c>
      <c r="I2942" s="668"/>
      <c r="J2942" s="668"/>
      <c r="K2942" s="668">
        <f>K2873</f>
        <v>9313</v>
      </c>
      <c r="L2942" s="668"/>
      <c r="M2942" s="668"/>
    </row>
    <row r="2943" spans="1:13">
      <c r="A2943" s="559"/>
      <c r="E2943" s="668"/>
      <c r="F2943" s="668"/>
      <c r="G2943" s="668"/>
      <c r="H2943" s="668" t="s">
        <v>2390</v>
      </c>
      <c r="I2943" s="668"/>
      <c r="J2943" s="668"/>
      <c r="K2943" s="686">
        <v>24.28</v>
      </c>
      <c r="L2943" s="668"/>
      <c r="M2943" s="668"/>
    </row>
    <row r="2944" spans="1:13">
      <c r="A2944" s="559"/>
      <c r="E2944" s="668"/>
      <c r="F2944" s="668"/>
      <c r="G2944" s="668"/>
      <c r="H2944" s="674" t="s">
        <v>4696</v>
      </c>
      <c r="I2944" s="668"/>
      <c r="J2944" s="668"/>
      <c r="K2944" s="675">
        <f>SUM(K2931:K2943)</f>
        <v>12713.65</v>
      </c>
      <c r="L2944" s="668"/>
      <c r="M2944" s="668"/>
    </row>
    <row r="2945" spans="1:14">
      <c r="A2945" s="559"/>
      <c r="E2945" s="668"/>
      <c r="F2945" s="668"/>
      <c r="G2945" s="668"/>
      <c r="H2945" s="676" t="s">
        <v>2378</v>
      </c>
      <c r="I2945" s="668"/>
      <c r="J2945" s="668"/>
      <c r="K2945" s="460">
        <f>K2944/5</f>
        <v>2542.73</v>
      </c>
      <c r="L2945" s="668">
        <f>1983*5</f>
        <v>9915</v>
      </c>
      <c r="M2945" s="668"/>
    </row>
    <row r="2946" spans="1:14">
      <c r="A2946" s="559"/>
      <c r="E2946" s="668"/>
      <c r="F2946" s="668"/>
      <c r="G2946" s="668"/>
      <c r="H2946" s="668"/>
      <c r="I2946" s="668"/>
      <c r="J2946" s="668"/>
      <c r="K2946" s="668"/>
      <c r="L2946" s="668">
        <f>L2945-K2944</f>
        <v>-2798.6499999999996</v>
      </c>
      <c r="M2946" s="668"/>
    </row>
    <row r="2947" spans="1:14">
      <c r="A2947" s="559"/>
      <c r="E2947" s="668"/>
      <c r="F2947" s="668"/>
      <c r="G2947" s="668"/>
      <c r="H2947" s="460" t="s">
        <v>4697</v>
      </c>
      <c r="I2947" s="668"/>
      <c r="J2947" s="668"/>
      <c r="K2947" s="668"/>
      <c r="L2947" s="668"/>
      <c r="M2947" s="668"/>
    </row>
    <row r="2948" spans="1:14">
      <c r="A2948" s="559"/>
      <c r="E2948" s="668"/>
      <c r="F2948" s="668"/>
      <c r="G2948" s="668"/>
      <c r="H2948" s="460" t="s">
        <v>4698</v>
      </c>
      <c r="I2948" s="668"/>
      <c r="J2948" s="668"/>
      <c r="K2948" s="668"/>
      <c r="L2948" s="668"/>
      <c r="M2948" s="668"/>
    </row>
    <row r="2949" spans="1:14" ht="6.75" customHeight="1">
      <c r="A2949" s="559"/>
      <c r="E2949" s="668"/>
      <c r="F2949" s="668"/>
      <c r="G2949" s="668"/>
      <c r="H2949" s="668"/>
      <c r="I2949" s="668"/>
      <c r="J2949" s="668"/>
      <c r="K2949" s="668"/>
      <c r="L2949" s="668"/>
      <c r="M2949" s="668"/>
    </row>
    <row r="2950" spans="1:14" ht="147.75" customHeight="1">
      <c r="A2950" s="559"/>
      <c r="E2950" s="668"/>
      <c r="F2950" s="668"/>
      <c r="G2950" s="668"/>
      <c r="H2950" s="667" t="s">
        <v>4699</v>
      </c>
      <c r="I2950" s="668"/>
      <c r="J2950" s="668"/>
      <c r="K2950" s="668"/>
      <c r="L2950" s="668"/>
      <c r="M2950" s="668"/>
    </row>
    <row r="2951" spans="1:14" ht="31.5">
      <c r="A2951" s="559"/>
      <c r="E2951" s="668"/>
      <c r="F2951" s="668">
        <v>90</v>
      </c>
      <c r="G2951" s="668" t="s">
        <v>12</v>
      </c>
      <c r="H2951" s="571" t="s">
        <v>2383</v>
      </c>
      <c r="I2951" s="668">
        <f>I2931</f>
        <v>13.5</v>
      </c>
      <c r="J2951" s="668" t="s">
        <v>4646</v>
      </c>
      <c r="K2951" s="668">
        <f t="shared" ref="K2951:K2961" si="91">F2951*I2951</f>
        <v>1215</v>
      </c>
      <c r="L2951" s="668"/>
      <c r="M2951" s="668"/>
    </row>
    <row r="2952" spans="1:14" ht="31.5">
      <c r="E2952" s="668"/>
      <c r="F2952" s="668">
        <v>45</v>
      </c>
      <c r="G2952" s="668" t="s">
        <v>12</v>
      </c>
      <c r="H2952" s="667" t="s">
        <v>2384</v>
      </c>
      <c r="I2952" s="668">
        <f>I2932</f>
        <v>17.100000000000001</v>
      </c>
      <c r="J2952" s="668" t="s">
        <v>12</v>
      </c>
      <c r="K2952" s="668">
        <f t="shared" si="91"/>
        <v>769.50000000000011</v>
      </c>
      <c r="L2952" s="668"/>
      <c r="M2952" s="668"/>
    </row>
    <row r="2953" spans="1:14" ht="20.100000000000001" customHeight="1">
      <c r="E2953" s="668"/>
      <c r="F2953" s="668">
        <v>20</v>
      </c>
      <c r="G2953" s="668" t="s">
        <v>5</v>
      </c>
      <c r="H2953" s="668" t="s">
        <v>4635</v>
      </c>
      <c r="I2953" s="668">
        <f>I2933</f>
        <v>2.7</v>
      </c>
      <c r="J2953" s="668" t="s">
        <v>4633</v>
      </c>
      <c r="K2953" s="668">
        <f t="shared" si="91"/>
        <v>54</v>
      </c>
      <c r="L2953" s="668"/>
      <c r="M2953" s="668"/>
    </row>
    <row r="2954" spans="1:14" ht="20.100000000000001" customHeight="1">
      <c r="E2954" s="668"/>
      <c r="F2954" s="668">
        <v>10</v>
      </c>
      <c r="G2954" s="668" t="s">
        <v>5</v>
      </c>
      <c r="H2954" s="668" t="s">
        <v>4637</v>
      </c>
      <c r="I2954" s="668">
        <f>I2934</f>
        <v>1.1399999999999999</v>
      </c>
      <c r="J2954" s="668" t="s">
        <v>4633</v>
      </c>
      <c r="K2954" s="668">
        <f t="shared" si="91"/>
        <v>11.399999999999999</v>
      </c>
      <c r="L2954" s="668"/>
      <c r="M2954" s="668"/>
    </row>
    <row r="2955" spans="1:14" ht="20.100000000000001" customHeight="1">
      <c r="E2955" s="668"/>
      <c r="F2955" s="668">
        <v>1</v>
      </c>
      <c r="G2955" s="668" t="s">
        <v>5</v>
      </c>
      <c r="H2955" s="460" t="s">
        <v>4631</v>
      </c>
      <c r="I2955" s="460">
        <f>I2938</f>
        <v>58</v>
      </c>
      <c r="J2955" s="668" t="s">
        <v>5</v>
      </c>
      <c r="K2955" s="668">
        <f t="shared" si="91"/>
        <v>58</v>
      </c>
      <c r="L2955" s="668"/>
      <c r="M2955" s="668"/>
    </row>
    <row r="2956" spans="1:14" ht="20.100000000000001" customHeight="1">
      <c r="E2956" s="668"/>
      <c r="F2956" s="672">
        <v>1.4999999999999999E-2</v>
      </c>
      <c r="G2956" s="668" t="s">
        <v>26</v>
      </c>
      <c r="H2956" s="668" t="s">
        <v>4700</v>
      </c>
      <c r="I2956" s="668">
        <f>I2849</f>
        <v>563</v>
      </c>
      <c r="J2956" s="668" t="s">
        <v>26</v>
      </c>
      <c r="K2956" s="668">
        <f t="shared" si="91"/>
        <v>8.4450000000000003</v>
      </c>
      <c r="L2956" s="668"/>
      <c r="M2956" s="668"/>
    </row>
    <row r="2957" spans="1:14" ht="31.5" customHeight="1">
      <c r="E2957" s="668"/>
      <c r="F2957" s="668">
        <v>15</v>
      </c>
      <c r="G2957" s="668" t="s">
        <v>5</v>
      </c>
      <c r="H2957" s="667" t="s">
        <v>4701</v>
      </c>
      <c r="I2957" s="670">
        <f>[3]Elec.Data!I2957</f>
        <v>39.590000000000003</v>
      </c>
      <c r="J2957" s="668" t="s">
        <v>5</v>
      </c>
      <c r="K2957" s="668">
        <f t="shared" si="91"/>
        <v>593.85</v>
      </c>
      <c r="L2957" s="687">
        <f>185+230</f>
        <v>415</v>
      </c>
      <c r="M2957" s="668">
        <f>L2957/12</f>
        <v>34.583333333333336</v>
      </c>
      <c r="N2957" s="511">
        <f>M2957/12</f>
        <v>2.8819444444444446</v>
      </c>
    </row>
    <row r="2958" spans="1:14" ht="20.100000000000001" customHeight="1">
      <c r="E2958" s="668"/>
      <c r="F2958" s="668">
        <v>15</v>
      </c>
      <c r="G2958" s="668" t="s">
        <v>5</v>
      </c>
      <c r="H2958" s="460" t="s">
        <v>4631</v>
      </c>
      <c r="I2958" s="668">
        <f>I2955</f>
        <v>58</v>
      </c>
      <c r="J2958" s="668" t="s">
        <v>5</v>
      </c>
      <c r="K2958" s="668">
        <f t="shared" si="91"/>
        <v>870</v>
      </c>
      <c r="L2958" s="668"/>
      <c r="M2958" s="668"/>
    </row>
    <row r="2959" spans="1:14" ht="20.100000000000001" customHeight="1">
      <c r="E2959" s="668"/>
      <c r="F2959" s="672">
        <v>0.22500000000000001</v>
      </c>
      <c r="G2959" s="668" t="s">
        <v>26</v>
      </c>
      <c r="H2959" s="668" t="s">
        <v>4634</v>
      </c>
      <c r="I2959" s="668">
        <f>I2956</f>
        <v>563</v>
      </c>
      <c r="J2959" s="668" t="s">
        <v>4702</v>
      </c>
      <c r="K2959" s="668">
        <f t="shared" si="91"/>
        <v>126.675</v>
      </c>
      <c r="L2959" s="668"/>
      <c r="M2959" s="668"/>
    </row>
    <row r="2960" spans="1:14" ht="20.100000000000001" customHeight="1">
      <c r="E2960" s="668"/>
      <c r="F2960" s="668">
        <v>1.25</v>
      </c>
      <c r="G2960" s="668" t="s">
        <v>2385</v>
      </c>
      <c r="H2960" s="668" t="s">
        <v>2386</v>
      </c>
      <c r="I2960" s="668">
        <f>I2940</f>
        <v>290</v>
      </c>
      <c r="J2960" s="668" t="s">
        <v>2385</v>
      </c>
      <c r="K2960" s="668">
        <f t="shared" si="91"/>
        <v>362.5</v>
      </c>
      <c r="L2960" s="668"/>
      <c r="M2960" s="668"/>
    </row>
    <row r="2961" spans="5:15" ht="31.5">
      <c r="E2961" s="668"/>
      <c r="F2961" s="668">
        <v>45</v>
      </c>
      <c r="G2961" s="668" t="s">
        <v>26</v>
      </c>
      <c r="H2961" s="669" t="s">
        <v>4645</v>
      </c>
      <c r="I2961" s="668">
        <f>I2951</f>
        <v>13.5</v>
      </c>
      <c r="J2961" s="668" t="s">
        <v>4646</v>
      </c>
      <c r="K2961" s="668">
        <f t="shared" si="91"/>
        <v>607.5</v>
      </c>
      <c r="L2961" s="668"/>
      <c r="M2961" s="668"/>
    </row>
    <row r="2962" spans="5:15" ht="15.75" customHeight="1">
      <c r="E2962" s="668"/>
      <c r="F2962" s="668"/>
      <c r="G2962" s="668"/>
      <c r="H2962" s="668" t="s">
        <v>2389</v>
      </c>
      <c r="I2962" s="668"/>
      <c r="J2962" s="668"/>
      <c r="K2962" s="668">
        <f>K2918</f>
        <v>9313</v>
      </c>
      <c r="L2962" s="668"/>
      <c r="M2962" s="668"/>
    </row>
    <row r="2963" spans="5:15" ht="17.25" customHeight="1">
      <c r="E2963" s="668"/>
      <c r="F2963" s="668"/>
      <c r="G2963" s="668"/>
      <c r="H2963" s="668" t="s">
        <v>2390</v>
      </c>
      <c r="I2963" s="668"/>
      <c r="J2963" s="668"/>
      <c r="K2963" s="668">
        <v>65.12</v>
      </c>
      <c r="L2963" s="668"/>
      <c r="M2963" s="668"/>
    </row>
    <row r="2964" spans="5:15">
      <c r="E2964" s="668"/>
      <c r="F2964" s="668"/>
      <c r="G2964" s="668"/>
      <c r="H2964" s="674" t="s">
        <v>4703</v>
      </c>
      <c r="I2964" s="668"/>
      <c r="J2964" s="668"/>
      <c r="K2964" s="675">
        <f>SUM(K2951:K2963)</f>
        <v>14054.990000000002</v>
      </c>
      <c r="L2964" s="668"/>
      <c r="M2964" s="668"/>
    </row>
    <row r="2965" spans="5:15">
      <c r="E2965" s="668"/>
      <c r="F2965" s="668"/>
      <c r="G2965" s="668"/>
      <c r="H2965" s="676" t="s">
        <v>2378</v>
      </c>
      <c r="I2965" s="668"/>
      <c r="J2965" s="668"/>
      <c r="K2965" s="460">
        <f>K2964/15</f>
        <v>936.99933333333342</v>
      </c>
      <c r="L2965" s="668">
        <f>758*15</f>
        <v>11370</v>
      </c>
      <c r="M2965" s="668">
        <f>846-K2965</f>
        <v>-90.999333333333425</v>
      </c>
      <c r="N2965" s="511">
        <f>M2965*15</f>
        <v>-1364.9900000000014</v>
      </c>
      <c r="O2965" s="511">
        <f>N2965+69.13</f>
        <v>-1295.8600000000015</v>
      </c>
    </row>
    <row r="2966" spans="5:15" ht="16.5" customHeight="1">
      <c r="E2966" s="668"/>
      <c r="F2966" s="668"/>
      <c r="G2966" s="668"/>
      <c r="H2966" s="668"/>
      <c r="I2966" s="668"/>
      <c r="J2966" s="668"/>
      <c r="K2966" s="668"/>
      <c r="L2966" s="668">
        <f>K2964-L2965</f>
        <v>2684.9900000000016</v>
      </c>
      <c r="M2966" s="668"/>
    </row>
    <row r="2967" spans="5:15">
      <c r="E2967" s="668"/>
      <c r="F2967" s="668"/>
      <c r="G2967" s="668"/>
      <c r="H2967" s="460" t="s">
        <v>4704</v>
      </c>
      <c r="I2967" s="668"/>
      <c r="J2967" s="668"/>
      <c r="K2967" s="668"/>
      <c r="L2967" s="668"/>
      <c r="M2967" s="668"/>
    </row>
    <row r="2968" spans="5:15">
      <c r="E2968" s="668"/>
      <c r="F2968" s="668"/>
      <c r="G2968" s="668"/>
      <c r="H2968" s="460" t="s">
        <v>4705</v>
      </c>
      <c r="I2968" s="668"/>
      <c r="J2968" s="668"/>
      <c r="K2968" s="668"/>
      <c r="L2968" s="668"/>
      <c r="M2968" s="668"/>
    </row>
    <row r="2969" spans="5:15" ht="3.75" customHeight="1">
      <c r="E2969" s="668"/>
      <c r="F2969" s="668"/>
      <c r="G2969" s="668"/>
      <c r="H2969" s="668"/>
      <c r="I2969" s="668"/>
      <c r="J2969" s="668"/>
      <c r="K2969" s="668"/>
      <c r="L2969" s="668"/>
      <c r="M2969" s="668"/>
    </row>
    <row r="2970" spans="5:15" ht="147.75" customHeight="1">
      <c r="E2970" s="668"/>
      <c r="F2970" s="668"/>
      <c r="G2970" s="668"/>
      <c r="H2970" s="667" t="s">
        <v>4706</v>
      </c>
      <c r="I2970" s="668"/>
      <c r="J2970" s="668"/>
      <c r="K2970" s="668"/>
      <c r="L2970" s="668"/>
      <c r="M2970" s="668"/>
    </row>
    <row r="2971" spans="5:15" ht="2.25" hidden="1" customHeight="1">
      <c r="E2971" s="668"/>
      <c r="F2971" s="668"/>
      <c r="G2971" s="668"/>
      <c r="H2971" s="668"/>
      <c r="I2971" s="668"/>
      <c r="J2971" s="668"/>
      <c r="K2971" s="668"/>
      <c r="L2971" s="668"/>
      <c r="M2971" s="668"/>
    </row>
    <row r="2972" spans="5:15" ht="31.5">
      <c r="E2972" s="668"/>
      <c r="F2972" s="668">
        <v>5</v>
      </c>
      <c r="G2972" s="668" t="s">
        <v>12</v>
      </c>
      <c r="H2972" s="571" t="s">
        <v>2383</v>
      </c>
      <c r="I2972" s="668">
        <f>I2951</f>
        <v>13.5</v>
      </c>
      <c r="J2972" s="668" t="s">
        <v>4628</v>
      </c>
      <c r="K2972" s="668">
        <f>F2972*I2972</f>
        <v>67.5</v>
      </c>
      <c r="L2972" s="668"/>
      <c r="M2972" s="668"/>
    </row>
    <row r="2973" spans="5:15" ht="24.75" customHeight="1">
      <c r="E2973" s="668"/>
      <c r="F2973" s="668">
        <v>2.5</v>
      </c>
      <c r="G2973" s="668" t="s">
        <v>12</v>
      </c>
      <c r="H2973" s="667" t="s">
        <v>2384</v>
      </c>
      <c r="I2973" s="668">
        <f>I2952</f>
        <v>17.100000000000001</v>
      </c>
      <c r="J2973" s="668" t="s">
        <v>12</v>
      </c>
      <c r="K2973" s="668">
        <f>F2973*I2973</f>
        <v>42.75</v>
      </c>
      <c r="L2973" s="668"/>
      <c r="M2973" s="668"/>
    </row>
    <row r="2974" spans="5:15" ht="39.75" customHeight="1">
      <c r="E2974" s="668"/>
      <c r="F2974" s="668">
        <v>1</v>
      </c>
      <c r="G2974" s="668" t="s">
        <v>5</v>
      </c>
      <c r="H2974" s="667" t="s">
        <v>4707</v>
      </c>
      <c r="I2974" s="670">
        <f>I2957</f>
        <v>39.590000000000003</v>
      </c>
      <c r="J2974" s="668" t="s">
        <v>5</v>
      </c>
      <c r="K2974" s="668">
        <f>F2974*I2974</f>
        <v>39.590000000000003</v>
      </c>
      <c r="L2974" s="668"/>
      <c r="M2974" s="668"/>
    </row>
    <row r="2975" spans="5:15">
      <c r="E2975" s="668"/>
      <c r="F2975" s="668"/>
      <c r="G2975" s="668"/>
      <c r="H2975" s="668" t="s">
        <v>2389</v>
      </c>
      <c r="I2975" s="668"/>
      <c r="J2975" s="668"/>
      <c r="K2975" s="668">
        <f>ROUND(K2873*5/90,2)</f>
        <v>517.39</v>
      </c>
      <c r="L2975" s="668"/>
      <c r="M2975" s="668"/>
    </row>
    <row r="2976" spans="5:15">
      <c r="E2976" s="668"/>
      <c r="F2976" s="668"/>
      <c r="G2976" s="668"/>
      <c r="H2976" s="668" t="s">
        <v>2390</v>
      </c>
      <c r="I2976" s="668"/>
      <c r="J2976" s="668"/>
      <c r="K2976" s="668">
        <v>20.77</v>
      </c>
      <c r="L2976" s="668"/>
      <c r="M2976" s="668"/>
    </row>
    <row r="2977" spans="5:13" ht="16.5" customHeight="1">
      <c r="E2977" s="668"/>
      <c r="F2977" s="668"/>
      <c r="G2977" s="668"/>
      <c r="H2977" s="676" t="s">
        <v>2378</v>
      </c>
      <c r="I2977" s="668"/>
      <c r="J2977" s="668"/>
      <c r="K2977" s="677">
        <f>SUM(K2972:K2976)</f>
        <v>688</v>
      </c>
      <c r="L2977" s="668">
        <f>540-K2977</f>
        <v>-148</v>
      </c>
      <c r="M2977" s="668"/>
    </row>
    <row r="2978" spans="5:13" ht="0.75" customHeight="1">
      <c r="E2978" s="668"/>
      <c r="F2978" s="668"/>
      <c r="G2978" s="668"/>
      <c r="H2978" s="668"/>
      <c r="I2978" s="668"/>
      <c r="J2978" s="668"/>
      <c r="K2978" s="668"/>
      <c r="L2978" s="668"/>
      <c r="M2978" s="668"/>
    </row>
    <row r="2979" spans="5:13">
      <c r="E2979" s="668"/>
      <c r="F2979" s="668"/>
      <c r="G2979" s="668"/>
      <c r="H2979" s="460" t="s">
        <v>4708</v>
      </c>
      <c r="I2979" s="668"/>
      <c r="J2979" s="668"/>
      <c r="K2979" s="668"/>
      <c r="L2979" s="668"/>
      <c r="M2979" s="668"/>
    </row>
    <row r="2980" spans="5:13" ht="14.25" customHeight="1">
      <c r="E2980" s="668"/>
      <c r="F2980" s="668"/>
      <c r="G2980" s="668"/>
      <c r="H2980" s="460" t="s">
        <v>4709</v>
      </c>
      <c r="I2980" s="668"/>
      <c r="J2980" s="668"/>
      <c r="K2980" s="668"/>
      <c r="L2980" s="668"/>
      <c r="M2980" s="668"/>
    </row>
    <row r="2981" spans="5:13" ht="1.5" customHeight="1">
      <c r="E2981" s="668"/>
      <c r="F2981" s="668"/>
      <c r="G2981" s="668"/>
      <c r="H2981" s="668"/>
      <c r="I2981" s="668"/>
      <c r="J2981" s="668"/>
      <c r="K2981" s="668"/>
      <c r="L2981" s="668"/>
      <c r="M2981" s="668"/>
    </row>
    <row r="2982" spans="5:13" ht="65.25" customHeight="1">
      <c r="E2982" s="668"/>
      <c r="F2982" s="668"/>
      <c r="G2982" s="668"/>
      <c r="H2982" s="667" t="s">
        <v>4710</v>
      </c>
      <c r="I2982" s="668"/>
      <c r="J2982" s="668"/>
      <c r="K2982" s="668"/>
      <c r="L2982" s="668"/>
      <c r="M2982" s="668"/>
    </row>
    <row r="2983" spans="5:13" ht="2.25" customHeight="1">
      <c r="E2983" s="668"/>
      <c r="F2983" s="668"/>
      <c r="G2983" s="668"/>
      <c r="H2983" s="668"/>
      <c r="I2983" s="668"/>
      <c r="J2983" s="668"/>
      <c r="K2983" s="668"/>
      <c r="L2983" s="668"/>
      <c r="M2983" s="668"/>
    </row>
    <row r="2984" spans="5:13" ht="17.25" customHeight="1">
      <c r="E2984" s="668"/>
      <c r="F2984" s="668">
        <v>1</v>
      </c>
      <c r="G2984" s="668" t="s">
        <v>5</v>
      </c>
      <c r="H2984" s="668" t="s">
        <v>4711</v>
      </c>
      <c r="I2984" s="670">
        <f>[3]Elec.Data!I2984</f>
        <v>53.5</v>
      </c>
      <c r="J2984" s="668" t="s">
        <v>5</v>
      </c>
      <c r="K2984" s="668">
        <f>F2984*I2984</f>
        <v>53.5</v>
      </c>
      <c r="L2984" s="668"/>
      <c r="M2984" s="668"/>
    </row>
    <row r="2985" spans="5:13" ht="14.25" customHeight="1">
      <c r="E2985" s="668"/>
      <c r="F2985" s="668">
        <v>1</v>
      </c>
      <c r="G2985" s="668" t="s">
        <v>5</v>
      </c>
      <c r="H2985" s="460" t="s">
        <v>4631</v>
      </c>
      <c r="I2985" s="668">
        <f>I2955</f>
        <v>58</v>
      </c>
      <c r="J2985" s="668" t="s">
        <v>5</v>
      </c>
      <c r="K2985" s="668">
        <f>F2985*I2985</f>
        <v>58</v>
      </c>
      <c r="L2985" s="668"/>
      <c r="M2985" s="668"/>
    </row>
    <row r="2986" spans="5:13" ht="13.5" customHeight="1">
      <c r="E2986" s="668"/>
      <c r="F2986" s="672">
        <v>1.4999999999999999E-2</v>
      </c>
      <c r="G2986" s="668" t="s">
        <v>26</v>
      </c>
      <c r="H2986" s="668" t="s">
        <v>4712</v>
      </c>
      <c r="I2986" s="668">
        <f>I2956</f>
        <v>563</v>
      </c>
      <c r="J2986" s="668" t="s">
        <v>26</v>
      </c>
      <c r="K2986" s="668">
        <f>F2986*I2986</f>
        <v>8.4450000000000003</v>
      </c>
      <c r="L2986" s="668"/>
      <c r="M2986" s="668"/>
    </row>
    <row r="2987" spans="5:13" ht="17.25" customHeight="1">
      <c r="E2987" s="668"/>
      <c r="F2987" s="668" t="s">
        <v>170</v>
      </c>
      <c r="G2987" s="668"/>
      <c r="H2987" s="668" t="s">
        <v>4713</v>
      </c>
      <c r="I2987" s="668"/>
      <c r="J2987" s="668"/>
      <c r="K2987" s="668">
        <v>12.05</v>
      </c>
      <c r="L2987" s="668"/>
      <c r="M2987" s="668"/>
    </row>
    <row r="2988" spans="5:13" ht="20.25" customHeight="1">
      <c r="E2988" s="668"/>
      <c r="F2988" s="668"/>
      <c r="G2988" s="668"/>
      <c r="H2988" s="676" t="s">
        <v>4714</v>
      </c>
      <c r="I2988" s="668"/>
      <c r="J2988" s="668"/>
      <c r="K2988" s="677">
        <f>SUM(K2984:K2987)</f>
        <v>131.995</v>
      </c>
      <c r="L2988" s="668">
        <f>K2988-131</f>
        <v>0.99500000000000455</v>
      </c>
      <c r="M2988" s="668"/>
    </row>
    <row r="2989" spans="5:13">
      <c r="E2989" s="668"/>
      <c r="F2989" s="668"/>
      <c r="G2989" s="668"/>
      <c r="H2989" s="668"/>
      <c r="I2989" s="668"/>
      <c r="J2989" s="668"/>
      <c r="K2989" s="668"/>
      <c r="L2989" s="668"/>
      <c r="M2989" s="668"/>
    </row>
    <row r="2990" spans="5:13">
      <c r="E2990" s="668"/>
      <c r="F2990" s="668"/>
      <c r="G2990" s="668"/>
      <c r="H2990" s="460" t="s">
        <v>4715</v>
      </c>
      <c r="I2990" s="668"/>
      <c r="J2990" s="668"/>
      <c r="K2990" s="668"/>
      <c r="L2990" s="668"/>
      <c r="M2990" s="668"/>
    </row>
    <row r="2991" spans="5:13" ht="47.25">
      <c r="E2991" s="668"/>
      <c r="F2991" s="668"/>
      <c r="G2991" s="668"/>
      <c r="H2991" s="665" t="s">
        <v>1517</v>
      </c>
      <c r="I2991" s="668"/>
      <c r="J2991" s="668"/>
      <c r="K2991" s="668"/>
      <c r="L2991" s="668"/>
      <c r="M2991" s="668"/>
    </row>
    <row r="2992" spans="5:13">
      <c r="E2992" s="668"/>
      <c r="F2992" s="668"/>
      <c r="G2992" s="668"/>
      <c r="H2992" s="665"/>
      <c r="I2992" s="668"/>
      <c r="J2992" s="668"/>
      <c r="K2992" s="668"/>
      <c r="L2992" s="668"/>
      <c r="M2992" s="668"/>
    </row>
    <row r="2993" spans="5:13" ht="210.75" customHeight="1">
      <c r="E2993" s="668"/>
      <c r="F2993" s="668"/>
      <c r="G2993" s="668"/>
      <c r="H2993" s="667" t="s">
        <v>4716</v>
      </c>
      <c r="I2993" s="668"/>
      <c r="J2993" s="668"/>
      <c r="K2993" s="668"/>
      <c r="L2993" s="668"/>
      <c r="M2993" s="668"/>
    </row>
    <row r="2994" spans="5:13">
      <c r="E2994" s="668"/>
      <c r="F2994" s="668"/>
      <c r="G2994" s="668"/>
      <c r="H2994" s="668"/>
      <c r="I2994" s="668"/>
      <c r="J2994" s="668"/>
      <c r="K2994" s="668"/>
      <c r="L2994" s="668"/>
      <c r="M2994" s="668"/>
    </row>
    <row r="2995" spans="5:13" ht="31.5">
      <c r="E2995" s="668"/>
      <c r="F2995" s="668">
        <v>90</v>
      </c>
      <c r="G2995" s="668" t="s">
        <v>12</v>
      </c>
      <c r="H2995" s="571" t="s">
        <v>2383</v>
      </c>
      <c r="I2995" s="668">
        <f>I2843</f>
        <v>13.5</v>
      </c>
      <c r="J2995" s="668" t="s">
        <v>12</v>
      </c>
      <c r="K2995" s="668">
        <f t="shared" ref="K2995:K3007" si="92">F2995*I2995</f>
        <v>1215</v>
      </c>
      <c r="L2995" s="668"/>
      <c r="M2995" s="668"/>
    </row>
    <row r="2996" spans="5:13" ht="31.5">
      <c r="E2996" s="668"/>
      <c r="F2996" s="668">
        <v>45</v>
      </c>
      <c r="G2996" s="668" t="s">
        <v>12</v>
      </c>
      <c r="H2996" s="667" t="s">
        <v>2384</v>
      </c>
      <c r="I2996" s="668">
        <f>I2844</f>
        <v>17.100000000000001</v>
      </c>
      <c r="J2996" s="668" t="s">
        <v>4628</v>
      </c>
      <c r="K2996" s="668">
        <f t="shared" si="92"/>
        <v>769.50000000000011</v>
      </c>
      <c r="L2996" s="668"/>
      <c r="M2996" s="668"/>
    </row>
    <row r="2997" spans="5:13">
      <c r="E2997" s="668"/>
      <c r="F2997" s="668">
        <v>12</v>
      </c>
      <c r="G2997" s="668" t="s">
        <v>5</v>
      </c>
      <c r="H2997" s="668" t="s">
        <v>4635</v>
      </c>
      <c r="I2997" s="668">
        <f>I2845</f>
        <v>2.7</v>
      </c>
      <c r="J2997" s="668" t="s">
        <v>5</v>
      </c>
      <c r="K2997" s="668">
        <f t="shared" si="92"/>
        <v>32.400000000000006</v>
      </c>
      <c r="L2997" s="668"/>
      <c r="M2997" s="668"/>
    </row>
    <row r="2998" spans="5:13">
      <c r="E2998" s="668"/>
      <c r="F2998" s="668">
        <v>6</v>
      </c>
      <c r="G2998" s="668" t="s">
        <v>5</v>
      </c>
      <c r="H2998" s="668" t="s">
        <v>4637</v>
      </c>
      <c r="I2998" s="668">
        <f>I2846</f>
        <v>1.1399999999999999</v>
      </c>
      <c r="J2998" s="668" t="s">
        <v>5</v>
      </c>
      <c r="K2998" s="668">
        <f t="shared" si="92"/>
        <v>6.84</v>
      </c>
      <c r="L2998" s="668"/>
      <c r="M2998" s="668"/>
    </row>
    <row r="2999" spans="5:13">
      <c r="E2999" s="668"/>
      <c r="F2999" s="668">
        <v>1</v>
      </c>
      <c r="G2999" s="668" t="s">
        <v>5</v>
      </c>
      <c r="H2999" s="460" t="s">
        <v>4631</v>
      </c>
      <c r="I2999" s="683">
        <f>I2847</f>
        <v>58</v>
      </c>
      <c r="J2999" s="668" t="s">
        <v>5</v>
      </c>
      <c r="K2999" s="668">
        <f t="shared" si="92"/>
        <v>58</v>
      </c>
      <c r="L2999" s="668"/>
      <c r="M2999" s="668"/>
    </row>
    <row r="3000" spans="5:13">
      <c r="E3000" s="668"/>
      <c r="F3000" s="672">
        <v>1.4999999999999999E-2</v>
      </c>
      <c r="G3000" s="668" t="s">
        <v>26</v>
      </c>
      <c r="H3000" s="668" t="s">
        <v>4717</v>
      </c>
      <c r="I3000" s="668">
        <f t="shared" ref="I3000:I3007" si="93">I2849</f>
        <v>563</v>
      </c>
      <c r="J3000" s="668" t="s">
        <v>26</v>
      </c>
      <c r="K3000" s="668">
        <f t="shared" si="92"/>
        <v>8.4450000000000003</v>
      </c>
      <c r="L3000" s="668"/>
      <c r="M3000" s="668"/>
    </row>
    <row r="3001" spans="5:13">
      <c r="E3001" s="668"/>
      <c r="F3001" s="668">
        <v>6</v>
      </c>
      <c r="G3001" s="668" t="s">
        <v>5</v>
      </c>
      <c r="H3001" s="668" t="s">
        <v>4718</v>
      </c>
      <c r="I3001" s="668">
        <f t="shared" si="93"/>
        <v>15.89</v>
      </c>
      <c r="J3001" s="668" t="s">
        <v>4633</v>
      </c>
      <c r="K3001" s="668">
        <f t="shared" si="92"/>
        <v>95.34</v>
      </c>
      <c r="L3001" s="668"/>
      <c r="M3001" s="668"/>
    </row>
    <row r="3002" spans="5:13">
      <c r="E3002" s="668"/>
      <c r="F3002" s="668">
        <v>6</v>
      </c>
      <c r="G3002" s="668" t="s">
        <v>5</v>
      </c>
      <c r="H3002" s="668" t="s">
        <v>4642</v>
      </c>
      <c r="I3002" s="668">
        <f t="shared" si="93"/>
        <v>13.6</v>
      </c>
      <c r="J3002" s="668" t="s">
        <v>5</v>
      </c>
      <c r="K3002" s="668">
        <f t="shared" si="92"/>
        <v>81.599999999999994</v>
      </c>
      <c r="L3002" s="668"/>
      <c r="M3002" s="668"/>
    </row>
    <row r="3003" spans="5:13">
      <c r="E3003" s="668"/>
      <c r="F3003" s="668">
        <v>6</v>
      </c>
      <c r="G3003" s="668" t="s">
        <v>5</v>
      </c>
      <c r="H3003" s="668" t="s">
        <v>4719</v>
      </c>
      <c r="I3003" s="668">
        <f t="shared" si="93"/>
        <v>36.799999999999997</v>
      </c>
      <c r="J3003" s="668" t="s">
        <v>5</v>
      </c>
      <c r="K3003" s="668">
        <f t="shared" si="92"/>
        <v>220.79999999999998</v>
      </c>
      <c r="L3003" s="668"/>
      <c r="M3003" s="668"/>
    </row>
    <row r="3004" spans="5:13">
      <c r="E3004" s="668"/>
      <c r="F3004" s="668">
        <v>1.25</v>
      </c>
      <c r="G3004" s="668" t="s">
        <v>2385</v>
      </c>
      <c r="H3004" s="668" t="s">
        <v>2386</v>
      </c>
      <c r="I3004" s="668">
        <f t="shared" si="93"/>
        <v>290</v>
      </c>
      <c r="J3004" s="668" t="s">
        <v>2385</v>
      </c>
      <c r="K3004" s="668">
        <f t="shared" si="92"/>
        <v>362.5</v>
      </c>
      <c r="L3004" s="668"/>
      <c r="M3004" s="668"/>
    </row>
    <row r="3005" spans="5:13">
      <c r="E3005" s="668"/>
      <c r="F3005" s="668">
        <v>6</v>
      </c>
      <c r="G3005" s="668" t="s">
        <v>5</v>
      </c>
      <c r="H3005" s="460" t="s">
        <v>4631</v>
      </c>
      <c r="I3005" s="683">
        <f t="shared" si="93"/>
        <v>58</v>
      </c>
      <c r="J3005" s="668" t="s">
        <v>5</v>
      </c>
      <c r="K3005" s="668">
        <f t="shared" si="92"/>
        <v>348</v>
      </c>
      <c r="L3005" s="668"/>
      <c r="M3005" s="668"/>
    </row>
    <row r="3006" spans="5:13">
      <c r="E3006" s="668"/>
      <c r="F3006" s="668">
        <v>0.09</v>
      </c>
      <c r="G3006" s="668" t="s">
        <v>26</v>
      </c>
      <c r="H3006" s="668" t="s">
        <v>4687</v>
      </c>
      <c r="I3006" s="668">
        <f t="shared" si="93"/>
        <v>563</v>
      </c>
      <c r="J3006" s="668" t="s">
        <v>26</v>
      </c>
      <c r="K3006" s="668">
        <f t="shared" si="92"/>
        <v>50.669999999999995</v>
      </c>
      <c r="L3006" s="668"/>
      <c r="M3006" s="668"/>
    </row>
    <row r="3007" spans="5:13" ht="31.5">
      <c r="E3007" s="668"/>
      <c r="F3007" s="668">
        <v>45</v>
      </c>
      <c r="G3007" s="668"/>
      <c r="H3007" s="571" t="s">
        <v>2387</v>
      </c>
      <c r="I3007" s="668">
        <f t="shared" si="93"/>
        <v>13.5</v>
      </c>
      <c r="J3007" s="668" t="s">
        <v>4646</v>
      </c>
      <c r="K3007" s="668">
        <f t="shared" si="92"/>
        <v>607.5</v>
      </c>
      <c r="L3007" s="668"/>
      <c r="M3007" s="668"/>
    </row>
    <row r="3008" spans="5:13">
      <c r="E3008" s="668"/>
      <c r="F3008" s="668"/>
      <c r="G3008" s="668"/>
      <c r="H3008" s="668" t="s">
        <v>2389</v>
      </c>
      <c r="I3008" s="668"/>
      <c r="J3008" s="668" t="s">
        <v>170</v>
      </c>
      <c r="K3008" s="668">
        <f>K2857</f>
        <v>9313</v>
      </c>
      <c r="L3008" s="668"/>
      <c r="M3008" s="668"/>
    </row>
    <row r="3009" spans="5:14">
      <c r="E3009" s="668"/>
      <c r="F3009" s="668"/>
      <c r="G3009" s="668"/>
      <c r="H3009" s="668" t="s">
        <v>2390</v>
      </c>
      <c r="I3009" s="668"/>
      <c r="J3009" s="668" t="s">
        <v>170</v>
      </c>
      <c r="K3009" s="668">
        <f>37.25+2.97+4.89+2.67</f>
        <v>47.78</v>
      </c>
      <c r="L3009" s="668"/>
      <c r="M3009" s="668"/>
    </row>
    <row r="3010" spans="5:14" ht="30" customHeight="1">
      <c r="E3010" s="668"/>
      <c r="F3010" s="668"/>
      <c r="G3010" s="668"/>
      <c r="H3010" s="674" t="s">
        <v>4654</v>
      </c>
      <c r="I3010" s="668"/>
      <c r="J3010" s="668"/>
      <c r="K3010" s="675">
        <f>SUM(K2995:K3009)</f>
        <v>13217.375000000002</v>
      </c>
      <c r="L3010" s="668"/>
      <c r="M3010" s="668"/>
    </row>
    <row r="3011" spans="5:14" ht="30" customHeight="1">
      <c r="E3011" s="668"/>
      <c r="F3011" s="668"/>
      <c r="G3011" s="668"/>
      <c r="H3011" s="676" t="s">
        <v>4651</v>
      </c>
      <c r="I3011" s="668"/>
      <c r="J3011" s="668"/>
      <c r="K3011" s="460">
        <f>K3010/6</f>
        <v>2202.8958333333335</v>
      </c>
      <c r="L3011" s="668">
        <f>1724*6</f>
        <v>10344</v>
      </c>
      <c r="M3011" s="668"/>
    </row>
    <row r="3012" spans="5:14">
      <c r="E3012" s="668"/>
      <c r="F3012" s="668"/>
      <c r="G3012" s="668"/>
      <c r="H3012" s="668"/>
      <c r="I3012" s="668"/>
      <c r="J3012" s="668"/>
      <c r="K3012" s="668"/>
      <c r="L3012" s="668">
        <f>L3011-K3010</f>
        <v>-2873.3750000000018</v>
      </c>
      <c r="M3012" s="668"/>
    </row>
    <row r="3013" spans="5:14" ht="30" customHeight="1">
      <c r="E3013" s="668"/>
      <c r="F3013" s="668"/>
      <c r="G3013" s="668"/>
      <c r="H3013" s="460" t="s">
        <v>4720</v>
      </c>
      <c r="I3013" s="668"/>
      <c r="J3013" s="668"/>
      <c r="K3013" s="668"/>
      <c r="L3013" s="668"/>
      <c r="M3013" s="668"/>
    </row>
    <row r="3014" spans="5:14" ht="47.25">
      <c r="E3014" s="668"/>
      <c r="F3014" s="668"/>
      <c r="G3014" s="668"/>
      <c r="H3014" s="665" t="s">
        <v>1518</v>
      </c>
      <c r="I3014" s="668"/>
      <c r="J3014" s="668"/>
      <c r="K3014" s="668"/>
      <c r="L3014" s="668"/>
      <c r="M3014" s="668"/>
    </row>
    <row r="3015" spans="5:14">
      <c r="E3015" s="668"/>
      <c r="F3015" s="668"/>
      <c r="G3015" s="668"/>
      <c r="H3015" s="668"/>
      <c r="I3015" s="668"/>
      <c r="J3015" s="668"/>
      <c r="K3015" s="668"/>
      <c r="L3015" s="668"/>
      <c r="M3015" s="668"/>
    </row>
    <row r="3016" spans="5:14" ht="194.25" customHeight="1">
      <c r="E3016" s="668"/>
      <c r="F3016" s="668"/>
      <c r="G3016" s="668"/>
      <c r="H3016" s="667" t="s">
        <v>4721</v>
      </c>
      <c r="I3016" s="668"/>
      <c r="J3016" s="668"/>
      <c r="K3016" s="668"/>
      <c r="L3016" s="668"/>
      <c r="M3016" s="668"/>
    </row>
    <row r="3017" spans="5:14" hidden="1">
      <c r="E3017" s="668"/>
      <c r="F3017" s="668"/>
      <c r="G3017" s="668"/>
      <c r="H3017" s="668"/>
      <c r="I3017" s="668"/>
      <c r="J3017" s="668"/>
      <c r="K3017" s="668"/>
      <c r="L3017" s="668"/>
      <c r="M3017" s="668"/>
    </row>
    <row r="3018" spans="5:14" ht="15.75" customHeight="1">
      <c r="E3018" s="668"/>
      <c r="F3018" s="668"/>
      <c r="G3018" s="668"/>
      <c r="H3018" s="668" t="s">
        <v>4722</v>
      </c>
      <c r="I3018" s="668"/>
      <c r="J3018" s="668"/>
      <c r="K3018" s="668">
        <f>K3010-K3009</f>
        <v>13169.595000000001</v>
      </c>
      <c r="L3018" s="668"/>
      <c r="M3018" s="668"/>
    </row>
    <row r="3019" spans="5:14" ht="19.5" customHeight="1">
      <c r="E3019" s="668"/>
      <c r="F3019" s="668"/>
      <c r="G3019" s="668"/>
      <c r="H3019" s="668" t="s">
        <v>4723</v>
      </c>
      <c r="I3019" s="668"/>
      <c r="J3019" s="668"/>
      <c r="K3019" s="668">
        <f>K3002</f>
        <v>81.599999999999994</v>
      </c>
      <c r="L3019" s="668"/>
      <c r="M3019" s="668"/>
    </row>
    <row r="3020" spans="5:14" ht="21.75" customHeight="1">
      <c r="E3020" s="668"/>
      <c r="F3020" s="668"/>
      <c r="G3020" s="668"/>
      <c r="H3020" s="668" t="s">
        <v>4724</v>
      </c>
      <c r="I3020" s="668"/>
      <c r="J3020" s="668"/>
      <c r="K3020" s="670">
        <f>15.8*6</f>
        <v>94.800000000000011</v>
      </c>
      <c r="L3020" s="668"/>
      <c r="M3020" s="668"/>
    </row>
    <row r="3021" spans="5:14" ht="16.5" customHeight="1">
      <c r="E3021" s="668"/>
      <c r="F3021" s="668"/>
      <c r="G3021" s="668"/>
      <c r="H3021" s="668" t="s">
        <v>2390</v>
      </c>
      <c r="I3021" s="668"/>
      <c r="J3021" s="668"/>
      <c r="K3021" s="668">
        <f>32.33+11.82-0.27</f>
        <v>43.879999999999995</v>
      </c>
      <c r="L3021" s="668"/>
      <c r="M3021" s="668"/>
    </row>
    <row r="3022" spans="5:14" ht="15.75" customHeight="1">
      <c r="E3022" s="668"/>
      <c r="F3022" s="668"/>
      <c r="G3022" s="668"/>
      <c r="H3022" s="674" t="s">
        <v>4725</v>
      </c>
      <c r="I3022" s="668"/>
      <c r="J3022" s="668"/>
      <c r="K3022" s="675">
        <f>(K3018-K3019)+K3020+K3021</f>
        <v>13226.674999999999</v>
      </c>
      <c r="L3022" s="668"/>
      <c r="M3022" s="668"/>
    </row>
    <row r="3023" spans="5:14" ht="24" customHeight="1">
      <c r="E3023" s="668"/>
      <c r="F3023" s="668"/>
      <c r="G3023" s="668"/>
      <c r="H3023" s="676" t="s">
        <v>4726</v>
      </c>
      <c r="I3023" s="668"/>
      <c r="J3023" s="668"/>
      <c r="K3023" s="460">
        <f>K3022/6</f>
        <v>2204.4458333333332</v>
      </c>
      <c r="L3023" s="668"/>
      <c r="M3023" s="668">
        <f>1726*6</f>
        <v>10356</v>
      </c>
      <c r="N3023" s="511">
        <f>M3023-K3022</f>
        <v>-2870.6749999999993</v>
      </c>
    </row>
    <row r="3024" spans="5:14">
      <c r="E3024" s="668"/>
      <c r="F3024" s="668"/>
      <c r="G3024" s="668"/>
      <c r="H3024" s="668"/>
      <c r="I3024" s="668"/>
      <c r="J3024" s="668"/>
      <c r="K3024" s="668"/>
      <c r="L3024" s="668"/>
      <c r="M3024" s="668">
        <f>M3023-K3022</f>
        <v>-2870.6749999999993</v>
      </c>
    </row>
    <row r="3025" spans="5:13">
      <c r="E3025" s="668"/>
      <c r="F3025" s="668"/>
      <c r="G3025" s="668"/>
      <c r="H3025" s="460" t="s">
        <v>4727</v>
      </c>
      <c r="I3025" s="668"/>
      <c r="J3025" s="668"/>
      <c r="K3025" s="668"/>
      <c r="L3025" s="668"/>
      <c r="M3025" s="668"/>
    </row>
    <row r="3026" spans="5:13" ht="30.75" customHeight="1">
      <c r="E3026" s="668"/>
      <c r="F3026" s="668"/>
      <c r="G3026" s="668"/>
      <c r="H3026" s="665" t="s">
        <v>1519</v>
      </c>
      <c r="I3026" s="668"/>
      <c r="J3026" s="668"/>
      <c r="K3026" s="668"/>
      <c r="L3026" s="668"/>
      <c r="M3026" s="668"/>
    </row>
    <row r="3027" spans="5:13" ht="173.25">
      <c r="E3027" s="668"/>
      <c r="F3027" s="668"/>
      <c r="G3027" s="668"/>
      <c r="H3027" s="667" t="s">
        <v>4728</v>
      </c>
      <c r="I3027" s="668"/>
      <c r="J3027" s="668"/>
      <c r="K3027" s="668"/>
      <c r="L3027" s="668"/>
      <c r="M3027" s="668"/>
    </row>
    <row r="3028" spans="5:13" ht="30.75" customHeight="1">
      <c r="E3028" s="668"/>
      <c r="F3028" s="668">
        <v>90</v>
      </c>
      <c r="G3028" s="668" t="s">
        <v>12</v>
      </c>
      <c r="H3028" s="571" t="s">
        <v>2383</v>
      </c>
      <c r="I3028" s="668">
        <f t="shared" ref="I3028:I3040" si="94">I2905</f>
        <v>13.5</v>
      </c>
      <c r="J3028" s="668" t="s">
        <v>2388</v>
      </c>
      <c r="K3028" s="668">
        <f t="shared" ref="K3028:K3040" si="95">F3028*I3028</f>
        <v>1215</v>
      </c>
      <c r="L3028" s="668"/>
      <c r="M3028" s="668"/>
    </row>
    <row r="3029" spans="5:13" ht="27.75" customHeight="1">
      <c r="E3029" s="668"/>
      <c r="F3029" s="668">
        <v>45</v>
      </c>
      <c r="G3029" s="668" t="s">
        <v>12</v>
      </c>
      <c r="H3029" s="667" t="s">
        <v>2384</v>
      </c>
      <c r="I3029" s="668">
        <f t="shared" si="94"/>
        <v>17.100000000000001</v>
      </c>
      <c r="J3029" s="668" t="s">
        <v>12</v>
      </c>
      <c r="K3029" s="668">
        <f t="shared" si="95"/>
        <v>769.50000000000011</v>
      </c>
      <c r="L3029" s="668"/>
      <c r="M3029" s="668"/>
    </row>
    <row r="3030" spans="5:13">
      <c r="E3030" s="668"/>
      <c r="F3030" s="668">
        <v>12</v>
      </c>
      <c r="G3030" s="668" t="s">
        <v>5</v>
      </c>
      <c r="H3030" s="668" t="s">
        <v>4635</v>
      </c>
      <c r="I3030" s="668">
        <f t="shared" si="94"/>
        <v>2.7</v>
      </c>
      <c r="J3030" s="668" t="s">
        <v>5</v>
      </c>
      <c r="K3030" s="668">
        <f t="shared" si="95"/>
        <v>32.400000000000006</v>
      </c>
      <c r="L3030" s="668"/>
      <c r="M3030" s="668"/>
    </row>
    <row r="3031" spans="5:13">
      <c r="E3031" s="668"/>
      <c r="F3031" s="668">
        <v>6</v>
      </c>
      <c r="G3031" s="668" t="s">
        <v>5</v>
      </c>
      <c r="H3031" s="668" t="s">
        <v>4637</v>
      </c>
      <c r="I3031" s="668">
        <f t="shared" si="94"/>
        <v>1.1399999999999999</v>
      </c>
      <c r="J3031" s="668" t="s">
        <v>5</v>
      </c>
      <c r="K3031" s="668">
        <f t="shared" si="95"/>
        <v>6.84</v>
      </c>
      <c r="L3031" s="668"/>
      <c r="M3031" s="668"/>
    </row>
    <row r="3032" spans="5:13">
      <c r="E3032" s="668"/>
      <c r="F3032" s="668">
        <v>6</v>
      </c>
      <c r="G3032" s="668" t="s">
        <v>5</v>
      </c>
      <c r="H3032" s="668" t="s">
        <v>4729</v>
      </c>
      <c r="I3032" s="668">
        <f t="shared" si="94"/>
        <v>36.799999999999997</v>
      </c>
      <c r="J3032" s="668" t="s">
        <v>5</v>
      </c>
      <c r="K3032" s="668">
        <f t="shared" si="95"/>
        <v>220.79999999999998</v>
      </c>
      <c r="L3032" s="668"/>
      <c r="M3032" s="668"/>
    </row>
    <row r="3033" spans="5:13">
      <c r="E3033" s="668"/>
      <c r="F3033" s="668">
        <v>6</v>
      </c>
      <c r="G3033" s="668" t="s">
        <v>5</v>
      </c>
      <c r="H3033" s="668" t="s">
        <v>4642</v>
      </c>
      <c r="I3033" s="668">
        <f t="shared" si="94"/>
        <v>13.6</v>
      </c>
      <c r="J3033" s="668" t="s">
        <v>5</v>
      </c>
      <c r="K3033" s="668">
        <f t="shared" si="95"/>
        <v>81.599999999999994</v>
      </c>
      <c r="L3033" s="668"/>
      <c r="M3033" s="668"/>
    </row>
    <row r="3034" spans="5:13">
      <c r="E3034" s="668"/>
      <c r="F3034" s="668">
        <v>6</v>
      </c>
      <c r="G3034" s="668" t="s">
        <v>5</v>
      </c>
      <c r="H3034" s="668" t="s">
        <v>4718</v>
      </c>
      <c r="I3034" s="668">
        <f t="shared" si="94"/>
        <v>15.89</v>
      </c>
      <c r="J3034" s="668" t="s">
        <v>4633</v>
      </c>
      <c r="K3034" s="668">
        <f t="shared" si="95"/>
        <v>95.34</v>
      </c>
      <c r="L3034" s="668"/>
      <c r="M3034" s="668"/>
    </row>
    <row r="3035" spans="5:13">
      <c r="E3035" s="668"/>
      <c r="F3035" s="668">
        <v>6</v>
      </c>
      <c r="G3035" s="668" t="s">
        <v>5</v>
      </c>
      <c r="H3035" s="460" t="s">
        <v>4686</v>
      </c>
      <c r="I3035" s="668">
        <f t="shared" si="94"/>
        <v>85</v>
      </c>
      <c r="J3035" s="668" t="s">
        <v>5</v>
      </c>
      <c r="K3035" s="668">
        <f t="shared" si="95"/>
        <v>510</v>
      </c>
      <c r="L3035" s="668"/>
      <c r="M3035" s="668"/>
    </row>
    <row r="3036" spans="5:13">
      <c r="E3036" s="668"/>
      <c r="F3036" s="668">
        <v>0.36</v>
      </c>
      <c r="G3036" s="668" t="s">
        <v>26</v>
      </c>
      <c r="H3036" s="668" t="s">
        <v>4687</v>
      </c>
      <c r="I3036" s="668">
        <f t="shared" si="94"/>
        <v>563</v>
      </c>
      <c r="J3036" s="668" t="s">
        <v>26</v>
      </c>
      <c r="K3036" s="668">
        <f t="shared" si="95"/>
        <v>202.67999999999998</v>
      </c>
      <c r="L3036" s="668"/>
      <c r="M3036" s="668"/>
    </row>
    <row r="3037" spans="5:13">
      <c r="E3037" s="668"/>
      <c r="F3037" s="668">
        <v>1</v>
      </c>
      <c r="G3037" s="668" t="s">
        <v>5</v>
      </c>
      <c r="H3037" s="460" t="s">
        <v>4631</v>
      </c>
      <c r="I3037" s="668">
        <f t="shared" si="94"/>
        <v>58</v>
      </c>
      <c r="J3037" s="668" t="s">
        <v>5</v>
      </c>
      <c r="K3037" s="668">
        <f t="shared" si="95"/>
        <v>58</v>
      </c>
      <c r="L3037" s="668"/>
      <c r="M3037" s="668"/>
    </row>
    <row r="3038" spans="5:13">
      <c r="E3038" s="668"/>
      <c r="F3038" s="672">
        <v>1.4999999999999999E-2</v>
      </c>
      <c r="G3038" s="668" t="s">
        <v>26</v>
      </c>
      <c r="H3038" s="668" t="s">
        <v>4634</v>
      </c>
      <c r="I3038" s="668">
        <f t="shared" si="94"/>
        <v>563</v>
      </c>
      <c r="J3038" s="668" t="s">
        <v>26</v>
      </c>
      <c r="K3038" s="668">
        <f t="shared" si="95"/>
        <v>8.4450000000000003</v>
      </c>
      <c r="L3038" s="668"/>
      <c r="M3038" s="668"/>
    </row>
    <row r="3039" spans="5:13">
      <c r="E3039" s="668"/>
      <c r="F3039" s="668">
        <v>1.25</v>
      </c>
      <c r="G3039" s="668" t="s">
        <v>2385</v>
      </c>
      <c r="H3039" s="668" t="s">
        <v>2386</v>
      </c>
      <c r="I3039" s="668">
        <f t="shared" si="94"/>
        <v>290</v>
      </c>
      <c r="J3039" s="668" t="s">
        <v>2385</v>
      </c>
      <c r="K3039" s="668">
        <f t="shared" si="95"/>
        <v>362.5</v>
      </c>
      <c r="L3039" s="668"/>
      <c r="M3039" s="668"/>
    </row>
    <row r="3040" spans="5:13" ht="31.5">
      <c r="E3040" s="668"/>
      <c r="F3040" s="668">
        <v>45</v>
      </c>
      <c r="G3040" s="668" t="s">
        <v>12</v>
      </c>
      <c r="H3040" s="669" t="s">
        <v>4645</v>
      </c>
      <c r="I3040" s="668">
        <f t="shared" si="94"/>
        <v>13.5</v>
      </c>
      <c r="J3040" s="668" t="s">
        <v>2388</v>
      </c>
      <c r="K3040" s="668">
        <f t="shared" si="95"/>
        <v>607.5</v>
      </c>
      <c r="L3040" s="668"/>
      <c r="M3040" s="668"/>
    </row>
    <row r="3041" spans="5:13">
      <c r="E3041" s="668"/>
      <c r="F3041" s="668"/>
      <c r="G3041" s="668"/>
      <c r="H3041" s="668" t="s">
        <v>2389</v>
      </c>
      <c r="I3041" s="668"/>
      <c r="J3041" s="668"/>
      <c r="K3041" s="668">
        <f>K2918</f>
        <v>9313</v>
      </c>
      <c r="L3041" s="668"/>
      <c r="M3041" s="668"/>
    </row>
    <row r="3042" spans="5:13">
      <c r="E3042" s="668"/>
      <c r="F3042" s="668"/>
      <c r="G3042" s="668"/>
      <c r="H3042" s="668" t="s">
        <v>2390</v>
      </c>
      <c r="I3042" s="668"/>
      <c r="J3042" s="668"/>
      <c r="K3042" s="668">
        <f>34.1+1.17+4.26+1.26</f>
        <v>40.79</v>
      </c>
      <c r="L3042" s="668"/>
      <c r="M3042" s="668"/>
    </row>
    <row r="3043" spans="5:13">
      <c r="E3043" s="668"/>
      <c r="F3043" s="668"/>
      <c r="G3043" s="668"/>
      <c r="H3043" s="674" t="s">
        <v>4725</v>
      </c>
      <c r="I3043" s="668"/>
      <c r="J3043" s="668"/>
      <c r="K3043" s="675">
        <f>SUM(K3028:K3042)</f>
        <v>13524.395</v>
      </c>
      <c r="L3043" s="668"/>
      <c r="M3043" s="668"/>
    </row>
    <row r="3044" spans="5:13">
      <c r="E3044" s="668"/>
      <c r="F3044" s="668"/>
      <c r="G3044" s="668"/>
      <c r="H3044" s="676" t="s">
        <v>2378</v>
      </c>
      <c r="I3044" s="668"/>
      <c r="J3044" s="668"/>
      <c r="K3044" s="460">
        <f>K3043/6</f>
        <v>2254.0658333333336</v>
      </c>
      <c r="L3044" s="668">
        <f>1774*6</f>
        <v>10644</v>
      </c>
      <c r="M3044" s="668"/>
    </row>
    <row r="3045" spans="5:13" ht="21.75" customHeight="1">
      <c r="E3045" s="668"/>
      <c r="F3045" s="668"/>
      <c r="G3045" s="668"/>
      <c r="H3045" s="668"/>
      <c r="I3045" s="668"/>
      <c r="J3045" s="668"/>
      <c r="K3045" s="668"/>
      <c r="L3045" s="668">
        <f>L3044-K3043</f>
        <v>-2880.3950000000004</v>
      </c>
      <c r="M3045" s="668"/>
    </row>
    <row r="3046" spans="5:13">
      <c r="E3046" s="668"/>
      <c r="F3046" s="668"/>
      <c r="G3046" s="668"/>
      <c r="H3046" s="460" t="s">
        <v>4730</v>
      </c>
      <c r="I3046" s="668"/>
      <c r="J3046" s="668"/>
      <c r="K3046" s="668"/>
      <c r="L3046" s="668"/>
      <c r="M3046" s="668"/>
    </row>
    <row r="3047" spans="5:13" ht="34.5" customHeight="1">
      <c r="E3047" s="668"/>
      <c r="F3047" s="668"/>
      <c r="G3047" s="668"/>
      <c r="H3047" s="665" t="s">
        <v>1520</v>
      </c>
      <c r="I3047" s="668"/>
      <c r="J3047" s="668"/>
      <c r="K3047" s="668"/>
      <c r="L3047" s="668"/>
      <c r="M3047" s="668"/>
    </row>
    <row r="3048" spans="5:13" ht="192.75" customHeight="1">
      <c r="E3048" s="668"/>
      <c r="F3048" s="668"/>
      <c r="G3048" s="668"/>
      <c r="H3048" s="667" t="s">
        <v>4731</v>
      </c>
      <c r="I3048" s="668"/>
      <c r="J3048" s="668"/>
      <c r="K3048" s="668"/>
      <c r="L3048" s="668"/>
      <c r="M3048" s="668"/>
    </row>
    <row r="3049" spans="5:13" ht="30" customHeight="1">
      <c r="E3049" s="668"/>
      <c r="F3049" s="668">
        <v>90</v>
      </c>
      <c r="G3049" s="668" t="s">
        <v>12</v>
      </c>
      <c r="H3049" s="571" t="s">
        <v>2383</v>
      </c>
      <c r="I3049" s="668">
        <f t="shared" ref="I3049:I3059" si="96">I2931</f>
        <v>13.5</v>
      </c>
      <c r="J3049" s="668" t="s">
        <v>2388</v>
      </c>
      <c r="K3049" s="668">
        <f t="shared" ref="K3049:K3059" si="97">F3049*I3049</f>
        <v>1215</v>
      </c>
      <c r="L3049" s="668"/>
      <c r="M3049" s="668"/>
    </row>
    <row r="3050" spans="5:13" ht="27.75" customHeight="1">
      <c r="E3050" s="668"/>
      <c r="F3050" s="668">
        <v>30</v>
      </c>
      <c r="G3050" s="668" t="s">
        <v>12</v>
      </c>
      <c r="H3050" s="667" t="s">
        <v>2384</v>
      </c>
      <c r="I3050" s="668">
        <f t="shared" si="96"/>
        <v>17.100000000000001</v>
      </c>
      <c r="J3050" s="668" t="s">
        <v>12</v>
      </c>
      <c r="K3050" s="668">
        <f t="shared" si="97"/>
        <v>513</v>
      </c>
      <c r="L3050" s="668"/>
      <c r="M3050" s="668"/>
    </row>
    <row r="3051" spans="5:13">
      <c r="E3051" s="668"/>
      <c r="F3051" s="668">
        <v>6</v>
      </c>
      <c r="G3051" s="668" t="s">
        <v>5</v>
      </c>
      <c r="H3051" s="668" t="s">
        <v>4635</v>
      </c>
      <c r="I3051" s="668">
        <f t="shared" si="96"/>
        <v>2.7</v>
      </c>
      <c r="J3051" s="668" t="s">
        <v>5</v>
      </c>
      <c r="K3051" s="668">
        <f t="shared" si="97"/>
        <v>16.200000000000003</v>
      </c>
      <c r="L3051" s="668"/>
      <c r="M3051" s="668"/>
    </row>
    <row r="3052" spans="5:13">
      <c r="E3052" s="668"/>
      <c r="F3052" s="668">
        <v>3</v>
      </c>
      <c r="G3052" s="668" t="s">
        <v>5</v>
      </c>
      <c r="H3052" s="668" t="s">
        <v>4637</v>
      </c>
      <c r="I3052" s="668">
        <f t="shared" si="96"/>
        <v>1.1399999999999999</v>
      </c>
      <c r="J3052" s="668" t="s">
        <v>5</v>
      </c>
      <c r="K3052" s="668">
        <f t="shared" si="97"/>
        <v>3.42</v>
      </c>
      <c r="L3052" s="668"/>
      <c r="M3052" s="668"/>
    </row>
    <row r="3053" spans="5:13">
      <c r="E3053" s="668"/>
      <c r="F3053" s="668">
        <v>6</v>
      </c>
      <c r="G3053" s="668" t="s">
        <v>5</v>
      </c>
      <c r="H3053" s="668" t="s">
        <v>4732</v>
      </c>
      <c r="I3053" s="668">
        <f t="shared" si="96"/>
        <v>19.75</v>
      </c>
      <c r="J3053" s="668" t="s">
        <v>5</v>
      </c>
      <c r="K3053" s="668">
        <f t="shared" si="97"/>
        <v>118.5</v>
      </c>
      <c r="L3053" s="668"/>
      <c r="M3053" s="668"/>
    </row>
    <row r="3054" spans="5:13">
      <c r="E3054" s="668"/>
      <c r="F3054" s="668">
        <v>3</v>
      </c>
      <c r="G3054" s="668" t="s">
        <v>5</v>
      </c>
      <c r="H3054" s="668" t="s">
        <v>4642</v>
      </c>
      <c r="I3054" s="668">
        <f t="shared" si="96"/>
        <v>13.6</v>
      </c>
      <c r="J3054" s="668" t="s">
        <v>5</v>
      </c>
      <c r="K3054" s="668">
        <f t="shared" si="97"/>
        <v>40.799999999999997</v>
      </c>
      <c r="L3054" s="668"/>
      <c r="M3054" s="668"/>
    </row>
    <row r="3055" spans="5:13">
      <c r="E3055" s="668"/>
      <c r="F3055" s="668">
        <v>3</v>
      </c>
      <c r="G3055" s="668" t="s">
        <v>5</v>
      </c>
      <c r="H3055" s="668" t="s">
        <v>4719</v>
      </c>
      <c r="I3055" s="668">
        <f t="shared" si="96"/>
        <v>36.799999999999997</v>
      </c>
      <c r="J3055" s="668" t="s">
        <v>5</v>
      </c>
      <c r="K3055" s="668">
        <f t="shared" si="97"/>
        <v>110.39999999999999</v>
      </c>
      <c r="L3055" s="668"/>
      <c r="M3055" s="668"/>
    </row>
    <row r="3056" spans="5:13">
      <c r="E3056" s="668"/>
      <c r="F3056" s="668">
        <v>3</v>
      </c>
      <c r="G3056" s="668" t="s">
        <v>5</v>
      </c>
      <c r="H3056" s="460" t="s">
        <v>4631</v>
      </c>
      <c r="I3056" s="668">
        <f t="shared" si="96"/>
        <v>58</v>
      </c>
      <c r="J3056" s="668" t="s">
        <v>5</v>
      </c>
      <c r="K3056" s="668">
        <f t="shared" si="97"/>
        <v>174</v>
      </c>
      <c r="L3056" s="668"/>
      <c r="M3056" s="668"/>
    </row>
    <row r="3057" spans="5:18">
      <c r="E3057" s="668"/>
      <c r="F3057" s="672">
        <v>5.3999999999999999E-2</v>
      </c>
      <c r="G3057" s="668" t="s">
        <v>26</v>
      </c>
      <c r="H3057" s="668" t="s">
        <v>4634</v>
      </c>
      <c r="I3057" s="668">
        <f t="shared" si="96"/>
        <v>563</v>
      </c>
      <c r="J3057" s="668" t="s">
        <v>26</v>
      </c>
      <c r="K3057" s="668">
        <f t="shared" si="97"/>
        <v>30.402000000000001</v>
      </c>
      <c r="L3057" s="668"/>
      <c r="M3057" s="668"/>
    </row>
    <row r="3058" spans="5:18">
      <c r="E3058" s="668"/>
      <c r="F3058" s="668">
        <v>1.25</v>
      </c>
      <c r="G3058" s="668" t="s">
        <v>2385</v>
      </c>
      <c r="H3058" s="668" t="s">
        <v>2386</v>
      </c>
      <c r="I3058" s="668">
        <f t="shared" si="96"/>
        <v>290</v>
      </c>
      <c r="J3058" s="668" t="s">
        <v>2385</v>
      </c>
      <c r="K3058" s="668">
        <f t="shared" si="97"/>
        <v>362.5</v>
      </c>
      <c r="L3058" s="668"/>
      <c r="M3058" s="668"/>
    </row>
    <row r="3059" spans="5:18" ht="35.25" customHeight="1">
      <c r="E3059" s="668"/>
      <c r="F3059" s="668">
        <v>30</v>
      </c>
      <c r="G3059" s="668" t="s">
        <v>12</v>
      </c>
      <c r="H3059" s="669" t="s">
        <v>4645</v>
      </c>
      <c r="I3059" s="668">
        <f t="shared" si="96"/>
        <v>13.5</v>
      </c>
      <c r="J3059" s="668" t="s">
        <v>2388</v>
      </c>
      <c r="K3059" s="668">
        <f t="shared" si="97"/>
        <v>405</v>
      </c>
      <c r="L3059" s="668"/>
      <c r="M3059" s="668"/>
    </row>
    <row r="3060" spans="5:18">
      <c r="E3060" s="668"/>
      <c r="F3060" s="668"/>
      <c r="G3060" s="668"/>
      <c r="H3060" s="668" t="s">
        <v>2389</v>
      </c>
      <c r="I3060" s="668"/>
      <c r="J3060" s="668"/>
      <c r="K3060" s="668">
        <f>K2942</f>
        <v>9313</v>
      </c>
      <c r="L3060" s="668"/>
      <c r="M3060" s="668"/>
    </row>
    <row r="3061" spans="5:18">
      <c r="E3061" s="668"/>
      <c r="F3061" s="668"/>
      <c r="G3061" s="668"/>
      <c r="H3061" s="668" t="s">
        <v>2390</v>
      </c>
      <c r="I3061" s="668"/>
      <c r="J3061" s="668"/>
      <c r="K3061" s="668">
        <f>17.25+1.77+2.32+0.92</f>
        <v>22.26</v>
      </c>
      <c r="L3061" s="668"/>
      <c r="M3061" s="668"/>
    </row>
    <row r="3062" spans="5:18">
      <c r="E3062" s="668"/>
      <c r="F3062" s="668"/>
      <c r="G3062" s="668"/>
      <c r="H3062" s="674" t="s">
        <v>4733</v>
      </c>
      <c r="I3062" s="668"/>
      <c r="J3062" s="668"/>
      <c r="K3062" s="675">
        <f>SUM(K3049:K3061)</f>
        <v>12324.482</v>
      </c>
      <c r="L3062" s="668"/>
      <c r="M3062" s="668"/>
    </row>
    <row r="3063" spans="5:18">
      <c r="E3063" s="668"/>
      <c r="F3063" s="668"/>
      <c r="G3063" s="668"/>
      <c r="H3063" s="676" t="s">
        <v>2378</v>
      </c>
      <c r="I3063" s="668"/>
      <c r="J3063" s="668"/>
      <c r="K3063" s="460">
        <f>K3062/3</f>
        <v>4108.1606666666667</v>
      </c>
      <c r="L3063" s="668">
        <f>3196*3</f>
        <v>9588</v>
      </c>
      <c r="M3063" s="668"/>
    </row>
    <row r="3064" spans="5:18">
      <c r="E3064" s="668"/>
      <c r="F3064" s="668"/>
      <c r="G3064" s="668"/>
      <c r="H3064" s="668"/>
      <c r="I3064" s="668"/>
      <c r="J3064" s="668"/>
      <c r="K3064" s="668"/>
      <c r="L3064" s="668">
        <f>L3063-K3062</f>
        <v>-2736.482</v>
      </c>
      <c r="M3064" s="668"/>
    </row>
    <row r="3065" spans="5:18" ht="22.5" customHeight="1">
      <c r="E3065" s="668"/>
      <c r="F3065" s="668"/>
      <c r="G3065" s="668"/>
      <c r="H3065" s="688" t="s">
        <v>2379</v>
      </c>
      <c r="I3065" s="668"/>
      <c r="J3065" s="668"/>
      <c r="K3065" s="668"/>
      <c r="L3065" s="668"/>
      <c r="M3065" s="668"/>
    </row>
    <row r="3066" spans="5:18">
      <c r="E3066" s="668"/>
      <c r="F3066" s="668"/>
      <c r="G3066" s="668"/>
      <c r="H3066" s="668"/>
      <c r="I3066" s="668"/>
      <c r="J3066" s="668"/>
      <c r="K3066" s="668"/>
      <c r="L3066" s="668"/>
      <c r="M3066" s="668"/>
    </row>
    <row r="3067" spans="5:18" ht="24.75" customHeight="1">
      <c r="E3067" s="668"/>
      <c r="F3067" s="668"/>
      <c r="G3067" s="668"/>
      <c r="H3067" s="460" t="s">
        <v>2380</v>
      </c>
      <c r="I3067" s="668"/>
      <c r="J3067" s="668"/>
      <c r="K3067" s="668"/>
      <c r="L3067" s="668"/>
      <c r="M3067" s="668"/>
      <c r="N3067" s="668"/>
      <c r="O3067" s="460" t="s">
        <v>4734</v>
      </c>
      <c r="P3067" s="668"/>
      <c r="Q3067" s="668"/>
      <c r="R3067" s="668"/>
    </row>
    <row r="3068" spans="5:18" ht="23.25" customHeight="1">
      <c r="E3068" s="668"/>
      <c r="F3068" s="668"/>
      <c r="G3068" s="668"/>
      <c r="H3068" s="460" t="s">
        <v>2381</v>
      </c>
      <c r="I3068" s="668"/>
      <c r="J3068" s="668"/>
      <c r="K3068" s="668"/>
      <c r="L3068" s="668"/>
      <c r="M3068" s="668"/>
      <c r="N3068" s="668"/>
      <c r="O3068" s="460" t="s">
        <v>4735</v>
      </c>
      <c r="P3068" s="668"/>
      <c r="Q3068" s="668"/>
      <c r="R3068" s="668"/>
    </row>
    <row r="3069" spans="5:18">
      <c r="E3069" s="668"/>
      <c r="F3069" s="668"/>
      <c r="G3069" s="668"/>
      <c r="H3069" s="668"/>
      <c r="I3069" s="668"/>
      <c r="J3069" s="668"/>
      <c r="K3069" s="668"/>
      <c r="L3069" s="668"/>
      <c r="M3069" s="668"/>
      <c r="N3069" s="668"/>
      <c r="O3069" s="668"/>
      <c r="P3069" s="668"/>
      <c r="Q3069" s="668"/>
      <c r="R3069" s="668"/>
    </row>
    <row r="3070" spans="5:18" ht="114.75" customHeight="1">
      <c r="E3070" s="668"/>
      <c r="F3070" s="668"/>
      <c r="G3070" s="668"/>
      <c r="H3070" s="667" t="s">
        <v>1476</v>
      </c>
      <c r="I3070" s="668"/>
      <c r="J3070" s="668"/>
      <c r="K3070" s="668"/>
      <c r="L3070" s="668"/>
      <c r="M3070" s="668"/>
      <c r="N3070" s="668"/>
      <c r="O3070" s="667" t="s">
        <v>4736</v>
      </c>
      <c r="P3070" s="668"/>
      <c r="Q3070" s="668"/>
      <c r="R3070" s="668"/>
    </row>
    <row r="3071" spans="5:18" ht="31.5">
      <c r="E3071" s="668"/>
      <c r="F3071" s="668"/>
      <c r="G3071" s="668"/>
      <c r="H3071" s="668"/>
      <c r="I3071" s="668"/>
      <c r="J3071" s="668"/>
      <c r="K3071" s="668"/>
      <c r="L3071" s="668"/>
      <c r="M3071" s="668">
        <v>180</v>
      </c>
      <c r="N3071" s="668" t="s">
        <v>12</v>
      </c>
      <c r="O3071" s="571" t="s">
        <v>4737</v>
      </c>
      <c r="P3071" s="670">
        <v>53.75</v>
      </c>
      <c r="Q3071" s="668" t="s">
        <v>2388</v>
      </c>
      <c r="R3071" s="668">
        <f>M3071*P3071</f>
        <v>9675</v>
      </c>
    </row>
    <row r="3072" spans="5:18" ht="38.25" customHeight="1">
      <c r="E3072" s="668"/>
      <c r="F3072" s="668">
        <v>180</v>
      </c>
      <c r="G3072" s="668" t="s">
        <v>12</v>
      </c>
      <c r="H3072" s="669" t="s">
        <v>2383</v>
      </c>
      <c r="I3072" s="668">
        <f>I3049</f>
        <v>13.5</v>
      </c>
      <c r="J3072" s="668" t="s">
        <v>12</v>
      </c>
      <c r="K3072" s="668">
        <f>F3072*I3072</f>
        <v>2430</v>
      </c>
      <c r="L3072" s="668"/>
      <c r="M3072" s="668">
        <v>90</v>
      </c>
      <c r="N3072" s="668" t="s">
        <v>12</v>
      </c>
      <c r="O3072" s="667" t="s">
        <v>2384</v>
      </c>
      <c r="P3072" s="670">
        <f>I3099</f>
        <v>17.100000000000001</v>
      </c>
      <c r="Q3072" s="668" t="s">
        <v>12</v>
      </c>
      <c r="R3072" s="668">
        <f>M3072*P3072</f>
        <v>1539.0000000000002</v>
      </c>
    </row>
    <row r="3073" spans="5:18" ht="37.5" customHeight="1">
      <c r="E3073" s="668"/>
      <c r="F3073" s="668">
        <v>90</v>
      </c>
      <c r="G3073" s="668" t="s">
        <v>12</v>
      </c>
      <c r="H3073" s="667" t="s">
        <v>2384</v>
      </c>
      <c r="I3073" s="668">
        <f>I3050</f>
        <v>17.100000000000001</v>
      </c>
      <c r="J3073" s="668" t="s">
        <v>12</v>
      </c>
      <c r="K3073" s="668">
        <f>F3073*I3073</f>
        <v>1539.0000000000002</v>
      </c>
      <c r="L3073" s="668"/>
      <c r="M3073" s="668">
        <v>3</v>
      </c>
      <c r="N3073" s="668" t="s">
        <v>2385</v>
      </c>
      <c r="O3073" s="668" t="s">
        <v>2386</v>
      </c>
      <c r="P3073" s="670">
        <f>I3100</f>
        <v>290</v>
      </c>
      <c r="Q3073" s="668" t="s">
        <v>2385</v>
      </c>
      <c r="R3073" s="668">
        <f>M3073*P3073</f>
        <v>870</v>
      </c>
    </row>
    <row r="3074" spans="5:18" ht="35.25" customHeight="1">
      <c r="E3074" s="668"/>
      <c r="F3074" s="668">
        <v>3</v>
      </c>
      <c r="G3074" s="668" t="s">
        <v>2385</v>
      </c>
      <c r="H3074" s="668" t="s">
        <v>2386</v>
      </c>
      <c r="I3074" s="668">
        <f>I3058</f>
        <v>290</v>
      </c>
      <c r="J3074" s="668" t="s">
        <v>2385</v>
      </c>
      <c r="K3074" s="668">
        <f>F3074*I3074</f>
        <v>870</v>
      </c>
      <c r="L3074" s="668"/>
      <c r="M3074" s="668">
        <v>90</v>
      </c>
      <c r="N3074" s="668" t="s">
        <v>12</v>
      </c>
      <c r="O3074" s="571" t="s">
        <v>4738</v>
      </c>
      <c r="P3074" s="670">
        <f>I3101</f>
        <v>20.3</v>
      </c>
      <c r="Q3074" s="668" t="s">
        <v>2388</v>
      </c>
      <c r="R3074" s="668">
        <f>M3074*P3074</f>
        <v>1827</v>
      </c>
    </row>
    <row r="3075" spans="5:18" ht="39.75" customHeight="1">
      <c r="E3075" s="668"/>
      <c r="F3075" s="668">
        <v>90</v>
      </c>
      <c r="G3075" s="668" t="s">
        <v>12</v>
      </c>
      <c r="H3075" s="669" t="s">
        <v>2387</v>
      </c>
      <c r="I3075" s="668">
        <f>I3072</f>
        <v>13.5</v>
      </c>
      <c r="J3075" s="668" t="s">
        <v>2388</v>
      </c>
      <c r="K3075" s="668">
        <f>F3075*I3075</f>
        <v>1215</v>
      </c>
      <c r="L3075" s="668"/>
      <c r="M3075" s="668"/>
      <c r="N3075" s="668"/>
      <c r="O3075" s="668" t="s">
        <v>2389</v>
      </c>
      <c r="P3075" s="668"/>
      <c r="Q3075" s="668"/>
      <c r="R3075" s="668">
        <f>K3102</f>
        <v>9313</v>
      </c>
    </row>
    <row r="3076" spans="5:18" ht="20.25" customHeight="1">
      <c r="E3076" s="668"/>
      <c r="F3076" s="668"/>
      <c r="G3076" s="668"/>
      <c r="H3076" s="668" t="s">
        <v>2389</v>
      </c>
      <c r="I3076" s="668"/>
      <c r="J3076" s="668"/>
      <c r="K3076" s="668">
        <f>K3060</f>
        <v>9313</v>
      </c>
      <c r="L3076" s="668"/>
      <c r="M3076" s="668"/>
      <c r="N3076" s="668"/>
      <c r="O3076" s="668" t="s">
        <v>2390</v>
      </c>
      <c r="P3076" s="668"/>
      <c r="Q3076" s="668"/>
      <c r="R3076" s="668">
        <v>24</v>
      </c>
    </row>
    <row r="3077" spans="5:18">
      <c r="E3077" s="668"/>
      <c r="F3077" s="668"/>
      <c r="G3077" s="668"/>
      <c r="H3077" s="668"/>
      <c r="I3077" s="668"/>
      <c r="J3077" s="668"/>
      <c r="K3077" s="668">
        <f>SUM(K3072:K3076)</f>
        <v>15367</v>
      </c>
      <c r="L3077" s="668"/>
      <c r="M3077" s="668"/>
      <c r="N3077" s="668"/>
      <c r="O3077" s="674" t="s">
        <v>2391</v>
      </c>
      <c r="P3077" s="668"/>
      <c r="Q3077" s="668"/>
      <c r="R3077" s="675">
        <f>SUM(R3071:R3076)</f>
        <v>23248</v>
      </c>
    </row>
    <row r="3078" spans="5:18" ht="20.25" customHeight="1">
      <c r="E3078" s="668"/>
      <c r="F3078" s="668"/>
      <c r="G3078" s="668"/>
      <c r="H3078" s="668" t="s">
        <v>2390</v>
      </c>
      <c r="I3078" s="668"/>
      <c r="J3078" s="668"/>
      <c r="K3078" s="668">
        <f>29.99-0.59</f>
        <v>29.4</v>
      </c>
      <c r="L3078" s="668"/>
      <c r="M3078" s="668"/>
      <c r="N3078" s="668"/>
      <c r="O3078" s="676" t="s">
        <v>2392</v>
      </c>
      <c r="P3078" s="668"/>
      <c r="Q3078" s="668"/>
      <c r="R3078" s="460">
        <f>R3077/90</f>
        <v>258.31111111111113</v>
      </c>
    </row>
    <row r="3079" spans="5:18">
      <c r="E3079" s="668"/>
      <c r="F3079" s="668"/>
      <c r="G3079" s="668"/>
      <c r="H3079" s="674" t="s">
        <v>2391</v>
      </c>
      <c r="I3079" s="668"/>
      <c r="J3079" s="668"/>
      <c r="K3079" s="675">
        <f>SUM(K3077:K3078)</f>
        <v>15396.4</v>
      </c>
      <c r="L3079" s="668"/>
      <c r="M3079" s="668"/>
      <c r="N3079" s="668"/>
      <c r="O3079" s="668"/>
      <c r="P3079" s="668"/>
      <c r="Q3079" s="668"/>
      <c r="R3079" s="668"/>
    </row>
    <row r="3080" spans="5:18" ht="21.75" customHeight="1">
      <c r="E3080" s="668"/>
      <c r="F3080" s="668"/>
      <c r="G3080" s="668"/>
      <c r="H3080" s="676" t="s">
        <v>2392</v>
      </c>
      <c r="I3080" s="668"/>
      <c r="J3080" s="668"/>
      <c r="K3080" s="460">
        <f>K3079/90</f>
        <v>171.07111111111109</v>
      </c>
      <c r="L3080" s="668">
        <f>131*90</f>
        <v>11790</v>
      </c>
      <c r="M3080" s="668"/>
    </row>
    <row r="3081" spans="5:18">
      <c r="E3081" s="668"/>
      <c r="F3081" s="668"/>
      <c r="G3081" s="668"/>
      <c r="H3081" s="668"/>
      <c r="I3081" s="668"/>
      <c r="J3081" s="668"/>
      <c r="K3081" s="668"/>
      <c r="L3081" s="668">
        <f>K3079-L3080</f>
        <v>3606.3999999999996</v>
      </c>
      <c r="M3081" s="668"/>
    </row>
    <row r="3082" spans="5:18">
      <c r="E3082" s="668"/>
      <c r="F3082" s="668"/>
      <c r="G3082" s="668"/>
      <c r="H3082" s="460" t="s">
        <v>2393</v>
      </c>
      <c r="I3082" s="668"/>
      <c r="J3082" s="668"/>
      <c r="K3082" s="668"/>
      <c r="L3082" s="668"/>
      <c r="M3082" s="668"/>
    </row>
    <row r="3083" spans="5:18">
      <c r="E3083" s="668"/>
      <c r="F3083" s="668"/>
      <c r="G3083" s="668"/>
      <c r="H3083" s="460" t="s">
        <v>1521</v>
      </c>
      <c r="I3083" s="668"/>
      <c r="J3083" s="668"/>
      <c r="K3083" s="668"/>
      <c r="L3083" s="668"/>
      <c r="M3083" s="668"/>
    </row>
    <row r="3084" spans="5:18">
      <c r="E3084" s="668"/>
      <c r="F3084" s="668"/>
      <c r="G3084" s="668"/>
      <c r="H3084" s="668"/>
      <c r="I3084" s="668"/>
      <c r="J3084" s="668"/>
      <c r="K3084" s="668"/>
      <c r="L3084" s="668"/>
      <c r="M3084" s="668"/>
    </row>
    <row r="3085" spans="5:18" ht="113.25" customHeight="1">
      <c r="E3085" s="668"/>
      <c r="F3085" s="668"/>
      <c r="G3085" s="668"/>
      <c r="H3085" s="667" t="s">
        <v>4739</v>
      </c>
      <c r="I3085" s="668"/>
      <c r="J3085" s="668"/>
      <c r="K3085" s="668"/>
      <c r="L3085" s="668"/>
      <c r="M3085" s="668"/>
    </row>
    <row r="3086" spans="5:18">
      <c r="E3086" s="668"/>
      <c r="F3086" s="668"/>
      <c r="G3086" s="668"/>
      <c r="H3086" s="668"/>
      <c r="I3086" s="668"/>
      <c r="J3086" s="668"/>
      <c r="K3086" s="668"/>
      <c r="L3086" s="668"/>
      <c r="M3086" s="668"/>
    </row>
    <row r="3087" spans="5:18">
      <c r="E3087" s="668"/>
      <c r="F3087" s="668"/>
      <c r="G3087" s="668"/>
      <c r="H3087" s="668" t="s">
        <v>4740</v>
      </c>
      <c r="I3087" s="668"/>
      <c r="J3087" s="668"/>
      <c r="K3087" s="668">
        <f>K3077</f>
        <v>15367</v>
      </c>
      <c r="L3087" s="668"/>
      <c r="M3087" s="668"/>
    </row>
    <row r="3088" spans="5:18" ht="34.5" customHeight="1">
      <c r="E3088" s="668"/>
      <c r="F3088" s="668">
        <v>180</v>
      </c>
      <c r="G3088" s="668" t="s">
        <v>12</v>
      </c>
      <c r="H3088" s="667" t="s">
        <v>4741</v>
      </c>
      <c r="I3088" s="670">
        <v>20.3</v>
      </c>
      <c r="J3088" s="668" t="s">
        <v>12</v>
      </c>
      <c r="K3088" s="668">
        <f>F3088*I3088</f>
        <v>3654</v>
      </c>
      <c r="L3088" s="668"/>
      <c r="M3088" s="668"/>
    </row>
    <row r="3089" spans="5:18" ht="36.75" customHeight="1">
      <c r="E3089" s="668"/>
      <c r="F3089" s="668">
        <v>180</v>
      </c>
      <c r="G3089" s="668" t="s">
        <v>12</v>
      </c>
      <c r="H3089" s="667" t="s">
        <v>4742</v>
      </c>
      <c r="I3089" s="668">
        <f>I3075</f>
        <v>13.5</v>
      </c>
      <c r="J3089" s="668" t="s">
        <v>2388</v>
      </c>
      <c r="K3089" s="668">
        <f>F3089*I3089</f>
        <v>2430</v>
      </c>
      <c r="L3089" s="668"/>
      <c r="M3089" s="668"/>
    </row>
    <row r="3090" spans="5:18" ht="25.5" customHeight="1">
      <c r="E3090" s="668"/>
      <c r="F3090" s="668"/>
      <c r="G3090" s="668"/>
      <c r="H3090" s="668" t="s">
        <v>2390</v>
      </c>
      <c r="I3090" s="668"/>
      <c r="J3090" s="668"/>
      <c r="K3090" s="668">
        <f>47.4+13.1</f>
        <v>60.5</v>
      </c>
      <c r="L3090" s="668"/>
      <c r="M3090" s="668"/>
    </row>
    <row r="3091" spans="5:18">
      <c r="E3091" s="668"/>
      <c r="F3091" s="668"/>
      <c r="G3091" s="668"/>
      <c r="H3091" s="674" t="s">
        <v>4743</v>
      </c>
      <c r="I3091" s="668"/>
      <c r="J3091" s="668"/>
      <c r="K3091" s="675">
        <f>K3087+K3088-K3089+K3090</f>
        <v>16651.5</v>
      </c>
      <c r="L3091" s="668"/>
      <c r="M3091" s="668"/>
    </row>
    <row r="3092" spans="5:18">
      <c r="E3092" s="668"/>
      <c r="F3092" s="668"/>
      <c r="G3092" s="668"/>
      <c r="H3092" s="676" t="s">
        <v>2392</v>
      </c>
      <c r="I3092" s="668"/>
      <c r="J3092" s="668"/>
      <c r="K3092" s="460">
        <f>K3091/90</f>
        <v>185.01666666666668</v>
      </c>
      <c r="L3092" s="668">
        <f>152*90</f>
        <v>13680</v>
      </c>
      <c r="M3092" s="668"/>
    </row>
    <row r="3093" spans="5:18">
      <c r="E3093" s="668"/>
      <c r="F3093" s="668"/>
      <c r="G3093" s="668"/>
      <c r="H3093" s="668"/>
      <c r="I3093" s="668"/>
      <c r="J3093" s="668"/>
      <c r="K3093" s="668"/>
      <c r="L3093" s="668">
        <f>L3092-K3091</f>
        <v>-2971.5</v>
      </c>
      <c r="M3093" s="668"/>
    </row>
    <row r="3094" spans="5:18">
      <c r="E3094" s="668"/>
      <c r="F3094" s="668"/>
      <c r="G3094" s="668"/>
      <c r="H3094" s="460" t="s">
        <v>4734</v>
      </c>
      <c r="I3094" s="668"/>
      <c r="J3094" s="668"/>
      <c r="K3094" s="668"/>
      <c r="L3094" s="668"/>
      <c r="M3094" s="668"/>
    </row>
    <row r="3095" spans="5:18">
      <c r="E3095" s="668"/>
      <c r="F3095" s="668"/>
      <c r="G3095" s="668"/>
      <c r="H3095" s="460" t="s">
        <v>1522</v>
      </c>
      <c r="I3095" s="668"/>
      <c r="J3095" s="668"/>
      <c r="K3095" s="668"/>
      <c r="L3095" s="668"/>
      <c r="M3095" s="668"/>
    </row>
    <row r="3096" spans="5:18">
      <c r="E3096" s="668"/>
      <c r="F3096" s="668"/>
      <c r="G3096" s="668"/>
      <c r="H3096" s="668"/>
      <c r="I3096" s="668"/>
      <c r="J3096" s="668"/>
      <c r="K3096" s="668"/>
      <c r="L3096" s="668"/>
      <c r="M3096" s="668"/>
    </row>
    <row r="3097" spans="5:18" ht="111.75" customHeight="1">
      <c r="E3097" s="668"/>
      <c r="F3097" s="668"/>
      <c r="G3097" s="668"/>
      <c r="H3097" s="667" t="s">
        <v>4736</v>
      </c>
      <c r="I3097" s="668"/>
      <c r="J3097" s="668"/>
      <c r="K3097" s="668"/>
      <c r="L3097" s="668"/>
      <c r="M3097" s="668"/>
      <c r="N3097" s="668"/>
      <c r="O3097" s="667"/>
      <c r="P3097" s="668"/>
      <c r="Q3097" s="668"/>
      <c r="R3097" s="668"/>
    </row>
    <row r="3098" spans="5:18" ht="36" customHeight="1">
      <c r="E3098" s="668"/>
      <c r="F3098" s="668">
        <v>180</v>
      </c>
      <c r="G3098" s="668" t="s">
        <v>12</v>
      </c>
      <c r="H3098" s="669" t="s">
        <v>4744</v>
      </c>
      <c r="I3098" s="670">
        <v>32.200000000000003</v>
      </c>
      <c r="J3098" s="668" t="s">
        <v>2388</v>
      </c>
      <c r="K3098" s="668">
        <f>F3098*I3098</f>
        <v>5796.0000000000009</v>
      </c>
      <c r="L3098" s="668"/>
      <c r="M3098" s="668"/>
      <c r="N3098" s="668"/>
      <c r="O3098" s="571"/>
      <c r="P3098" s="668"/>
      <c r="Q3098" s="668"/>
      <c r="R3098" s="668"/>
    </row>
    <row r="3099" spans="5:18" ht="39" customHeight="1">
      <c r="E3099" s="668"/>
      <c r="F3099" s="668">
        <v>90</v>
      </c>
      <c r="G3099" s="668" t="s">
        <v>12</v>
      </c>
      <c r="H3099" s="667" t="s">
        <v>2384</v>
      </c>
      <c r="I3099" s="668">
        <f>I3073</f>
        <v>17.100000000000001</v>
      </c>
      <c r="J3099" s="668" t="s">
        <v>12</v>
      </c>
      <c r="K3099" s="668">
        <f>F3099*I3099</f>
        <v>1539.0000000000002</v>
      </c>
      <c r="L3099" s="668"/>
      <c r="M3099" s="668"/>
      <c r="N3099" s="668"/>
      <c r="O3099" s="667"/>
      <c r="P3099" s="668"/>
      <c r="Q3099" s="668"/>
      <c r="R3099" s="668"/>
    </row>
    <row r="3100" spans="5:18" ht="23.25" customHeight="1">
      <c r="E3100" s="668"/>
      <c r="F3100" s="668">
        <v>3</v>
      </c>
      <c r="G3100" s="668" t="s">
        <v>2385</v>
      </c>
      <c r="H3100" s="668" t="s">
        <v>2386</v>
      </c>
      <c r="I3100" s="668">
        <f>I3074</f>
        <v>290</v>
      </c>
      <c r="J3100" s="668" t="s">
        <v>2385</v>
      </c>
      <c r="K3100" s="668">
        <f>F3100*I3100</f>
        <v>870</v>
      </c>
      <c r="L3100" s="668"/>
      <c r="M3100" s="668"/>
      <c r="N3100" s="668"/>
      <c r="O3100" s="668"/>
      <c r="P3100" s="668"/>
      <c r="Q3100" s="668"/>
      <c r="R3100" s="668"/>
    </row>
    <row r="3101" spans="5:18" ht="38.25" customHeight="1">
      <c r="E3101" s="668"/>
      <c r="F3101" s="668">
        <v>90</v>
      </c>
      <c r="G3101" s="668" t="s">
        <v>12</v>
      </c>
      <c r="H3101" s="669" t="s">
        <v>4738</v>
      </c>
      <c r="I3101" s="668">
        <f>I3088</f>
        <v>20.3</v>
      </c>
      <c r="J3101" s="668" t="s">
        <v>2388</v>
      </c>
      <c r="K3101" s="668">
        <f>F3101*I3101</f>
        <v>1827</v>
      </c>
      <c r="L3101" s="668"/>
      <c r="M3101" s="668"/>
      <c r="N3101" s="668"/>
      <c r="O3101" s="571"/>
      <c r="P3101" s="668"/>
      <c r="Q3101" s="668"/>
      <c r="R3101" s="668"/>
    </row>
    <row r="3102" spans="5:18">
      <c r="E3102" s="668"/>
      <c r="F3102" s="668"/>
      <c r="G3102" s="668"/>
      <c r="H3102" s="668" t="s">
        <v>2389</v>
      </c>
      <c r="I3102" s="668"/>
      <c r="J3102" s="668"/>
      <c r="K3102" s="668">
        <f>K3076</f>
        <v>9313</v>
      </c>
      <c r="L3102" s="668"/>
      <c r="M3102" s="668"/>
      <c r="N3102" s="668"/>
      <c r="O3102" s="668"/>
      <c r="P3102" s="668"/>
      <c r="Q3102" s="668"/>
      <c r="R3102" s="668"/>
    </row>
    <row r="3103" spans="5:18">
      <c r="E3103" s="668"/>
      <c r="F3103" s="668"/>
      <c r="G3103" s="668"/>
      <c r="H3103" s="668" t="s">
        <v>2390</v>
      </c>
      <c r="I3103" s="668"/>
      <c r="J3103" s="668"/>
      <c r="K3103" s="668">
        <v>60.5</v>
      </c>
      <c r="L3103" s="668"/>
      <c r="M3103" s="668"/>
      <c r="N3103" s="668"/>
      <c r="O3103" s="668"/>
      <c r="P3103" s="668"/>
      <c r="Q3103" s="668"/>
      <c r="R3103" s="668"/>
    </row>
    <row r="3104" spans="5:18">
      <c r="E3104" s="668"/>
      <c r="F3104" s="668"/>
      <c r="G3104" s="668"/>
      <c r="H3104" s="674" t="s">
        <v>2391</v>
      </c>
      <c r="I3104" s="668"/>
      <c r="J3104" s="668"/>
      <c r="K3104" s="675">
        <f>SUM(K3098:K3103)</f>
        <v>19405.5</v>
      </c>
      <c r="L3104" s="668"/>
      <c r="M3104" s="668"/>
      <c r="N3104" s="668"/>
      <c r="O3104" s="674"/>
      <c r="P3104" s="668"/>
      <c r="Q3104" s="668"/>
      <c r="R3104" s="675"/>
    </row>
    <row r="3105" spans="5:19">
      <c r="E3105" s="668"/>
      <c r="F3105" s="668"/>
      <c r="G3105" s="668"/>
      <c r="H3105" s="676" t="s">
        <v>2392</v>
      </c>
      <c r="I3105" s="668"/>
      <c r="J3105" s="668"/>
      <c r="K3105" s="460">
        <f>K3104/90</f>
        <v>215.61666666666667</v>
      </c>
      <c r="L3105" s="668">
        <f>189*90</f>
        <v>17010</v>
      </c>
      <c r="M3105" s="668"/>
      <c r="N3105" s="668"/>
      <c r="O3105" s="676"/>
      <c r="P3105" s="668"/>
      <c r="Q3105" s="668"/>
      <c r="R3105" s="460"/>
    </row>
    <row r="3106" spans="5:19">
      <c r="E3106" s="668"/>
      <c r="F3106" s="668"/>
      <c r="G3106" s="668"/>
      <c r="H3106" s="668"/>
      <c r="I3106" s="668"/>
      <c r="J3106" s="668"/>
      <c r="K3106" s="668"/>
      <c r="L3106" s="668">
        <f>L3105-K3104</f>
        <v>-2395.5</v>
      </c>
      <c r="M3106" s="668"/>
    </row>
    <row r="3107" spans="5:19">
      <c r="E3107" s="668"/>
      <c r="F3107" s="668"/>
      <c r="G3107" s="668"/>
      <c r="H3107" s="668"/>
      <c r="I3107" s="668"/>
      <c r="J3107" s="668"/>
      <c r="K3107" s="668"/>
      <c r="L3107" s="668"/>
      <c r="M3107" s="668"/>
    </row>
    <row r="3108" spans="5:19">
      <c r="E3108" s="668"/>
      <c r="F3108" s="668"/>
      <c r="G3108" s="668"/>
      <c r="H3108" s="460" t="s">
        <v>4745</v>
      </c>
      <c r="I3108" s="668"/>
      <c r="J3108" s="668"/>
      <c r="K3108" s="668"/>
      <c r="L3108" s="668"/>
      <c r="M3108" s="668"/>
      <c r="N3108" s="668"/>
      <c r="O3108" s="460" t="s">
        <v>4745</v>
      </c>
      <c r="P3108" s="668"/>
      <c r="Q3108" s="668"/>
      <c r="R3108" s="668"/>
      <c r="S3108" s="668"/>
    </row>
    <row r="3109" spans="5:19">
      <c r="E3109" s="668"/>
      <c r="F3109" s="668"/>
      <c r="G3109" s="668"/>
      <c r="H3109" s="460" t="s">
        <v>1523</v>
      </c>
      <c r="I3109" s="668"/>
      <c r="J3109" s="668"/>
      <c r="K3109" s="668"/>
      <c r="L3109" s="668"/>
      <c r="M3109" s="668"/>
      <c r="N3109" s="668"/>
      <c r="O3109" s="460" t="s">
        <v>4746</v>
      </c>
      <c r="P3109" s="668"/>
      <c r="Q3109" s="668"/>
      <c r="R3109" s="668"/>
      <c r="S3109" s="668"/>
    </row>
    <row r="3110" spans="5:19">
      <c r="E3110" s="668"/>
      <c r="F3110" s="668"/>
      <c r="G3110" s="668"/>
      <c r="H3110" s="668"/>
      <c r="I3110" s="668"/>
      <c r="J3110" s="668"/>
      <c r="K3110" s="668"/>
      <c r="L3110" s="668"/>
      <c r="M3110" s="668"/>
      <c r="N3110" s="668"/>
      <c r="O3110" s="668"/>
      <c r="P3110" s="668"/>
      <c r="Q3110" s="668"/>
      <c r="R3110" s="668"/>
      <c r="S3110" s="668"/>
    </row>
    <row r="3111" spans="5:19" ht="115.5" customHeight="1">
      <c r="E3111" s="668"/>
      <c r="F3111" s="668"/>
      <c r="G3111" s="668"/>
      <c r="H3111" s="667" t="s">
        <v>4747</v>
      </c>
      <c r="I3111" s="668"/>
      <c r="J3111" s="668"/>
      <c r="K3111" s="668"/>
      <c r="L3111" s="668"/>
      <c r="M3111" s="668"/>
      <c r="N3111" s="668"/>
      <c r="O3111" s="1630" t="s">
        <v>4748</v>
      </c>
      <c r="P3111" s="1630"/>
      <c r="Q3111" s="668"/>
      <c r="R3111" s="668"/>
      <c r="S3111" s="668"/>
    </row>
    <row r="3112" spans="5:19" ht="34.5" customHeight="1">
      <c r="E3112" s="668"/>
      <c r="F3112" s="668">
        <v>360</v>
      </c>
      <c r="G3112" s="668"/>
      <c r="H3112" s="669" t="s">
        <v>4749</v>
      </c>
      <c r="I3112" s="670">
        <f>I3098</f>
        <v>32.200000000000003</v>
      </c>
      <c r="J3112" s="668" t="s">
        <v>2388</v>
      </c>
      <c r="K3112" s="668">
        <f>F3112*I3112</f>
        <v>11592.000000000002</v>
      </c>
      <c r="L3112" s="668"/>
      <c r="M3112" s="668">
        <v>360</v>
      </c>
      <c r="N3112" s="668"/>
      <c r="O3112" s="689" t="s">
        <v>4737</v>
      </c>
      <c r="P3112" s="670">
        <f>P3071</f>
        <v>53.75</v>
      </c>
      <c r="Q3112" s="668" t="s">
        <v>2388</v>
      </c>
      <c r="R3112" s="668">
        <f>M3112*P3112</f>
        <v>19350</v>
      </c>
      <c r="S3112" s="668"/>
    </row>
    <row r="3113" spans="5:19" ht="36" customHeight="1">
      <c r="E3113" s="668"/>
      <c r="F3113" s="668">
        <v>90</v>
      </c>
      <c r="G3113" s="668"/>
      <c r="H3113" s="667" t="s">
        <v>4750</v>
      </c>
      <c r="I3113" s="670">
        <v>24.2</v>
      </c>
      <c r="J3113" s="668" t="s">
        <v>12</v>
      </c>
      <c r="K3113" s="668">
        <f>F3113*I3113</f>
        <v>2178</v>
      </c>
      <c r="L3113" s="668"/>
      <c r="M3113" s="668">
        <v>90</v>
      </c>
      <c r="N3113" s="668"/>
      <c r="O3113" s="667" t="s">
        <v>4751</v>
      </c>
      <c r="P3113" s="670">
        <f>I3113</f>
        <v>24.2</v>
      </c>
      <c r="Q3113" s="668" t="s">
        <v>12</v>
      </c>
      <c r="R3113" s="668">
        <f>M3113*P3113</f>
        <v>2178</v>
      </c>
      <c r="S3113" s="668"/>
    </row>
    <row r="3114" spans="5:19" ht="21" customHeight="1">
      <c r="E3114" s="668"/>
      <c r="F3114" s="668">
        <v>3</v>
      </c>
      <c r="G3114" s="668"/>
      <c r="H3114" s="668" t="s">
        <v>2386</v>
      </c>
      <c r="I3114" s="668">
        <f>I3100</f>
        <v>290</v>
      </c>
      <c r="J3114" s="668" t="s">
        <v>2385</v>
      </c>
      <c r="K3114" s="668">
        <f>F3114*I3114</f>
        <v>870</v>
      </c>
      <c r="L3114" s="668"/>
      <c r="M3114" s="668">
        <v>3</v>
      </c>
      <c r="N3114" s="668"/>
      <c r="O3114" s="668" t="s">
        <v>2386</v>
      </c>
      <c r="P3114" s="670">
        <f>I3114</f>
        <v>290</v>
      </c>
      <c r="Q3114" s="668" t="s">
        <v>2385</v>
      </c>
      <c r="R3114" s="668">
        <f>M3114*P3114</f>
        <v>870</v>
      </c>
      <c r="S3114" s="668"/>
    </row>
    <row r="3115" spans="5:19" ht="33.75" customHeight="1">
      <c r="E3115" s="668"/>
      <c r="F3115" s="668">
        <v>90</v>
      </c>
      <c r="G3115" s="668"/>
      <c r="H3115" s="669" t="s">
        <v>4738</v>
      </c>
      <c r="I3115" s="668">
        <f>I3101</f>
        <v>20.3</v>
      </c>
      <c r="J3115" s="668" t="s">
        <v>2388</v>
      </c>
      <c r="K3115" s="668">
        <f>F3115*I3115</f>
        <v>1827</v>
      </c>
      <c r="L3115" s="668"/>
      <c r="M3115" s="668">
        <v>90</v>
      </c>
      <c r="N3115" s="668"/>
      <c r="O3115" s="571" t="s">
        <v>4738</v>
      </c>
      <c r="P3115" s="670">
        <f>I3115</f>
        <v>20.3</v>
      </c>
      <c r="Q3115" s="668" t="s">
        <v>2388</v>
      </c>
      <c r="R3115" s="668">
        <f>M3115*P3115</f>
        <v>1827</v>
      </c>
      <c r="S3115" s="668"/>
    </row>
    <row r="3116" spans="5:19">
      <c r="E3116" s="668"/>
      <c r="F3116" s="668"/>
      <c r="G3116" s="668"/>
      <c r="H3116" s="668" t="s">
        <v>2389</v>
      </c>
      <c r="I3116" s="668"/>
      <c r="J3116" s="668"/>
      <c r="K3116" s="668">
        <f>I3122</f>
        <v>12257.5</v>
      </c>
      <c r="L3116" s="668"/>
      <c r="M3116" s="668"/>
      <c r="N3116" s="668"/>
      <c r="O3116" s="668" t="s">
        <v>2389</v>
      </c>
      <c r="P3116" s="668"/>
      <c r="Q3116" s="668"/>
      <c r="R3116" s="668">
        <f>K3116</f>
        <v>12257.5</v>
      </c>
      <c r="S3116" s="668"/>
    </row>
    <row r="3117" spans="5:19">
      <c r="E3117" s="668"/>
      <c r="F3117" s="668"/>
      <c r="G3117" s="668"/>
      <c r="H3117" s="668" t="s">
        <v>2390</v>
      </c>
      <c r="I3117" s="668"/>
      <c r="J3117" s="668"/>
      <c r="K3117" s="668">
        <v>25.5</v>
      </c>
      <c r="L3117" s="668"/>
      <c r="M3117" s="668"/>
      <c r="N3117" s="668"/>
      <c r="O3117" s="668" t="s">
        <v>2390</v>
      </c>
      <c r="P3117" s="668"/>
      <c r="Q3117" s="668"/>
      <c r="R3117" s="668">
        <v>28.5</v>
      </c>
      <c r="S3117" s="668"/>
    </row>
    <row r="3118" spans="5:19">
      <c r="E3118" s="668"/>
      <c r="F3118" s="668"/>
      <c r="G3118" s="668"/>
      <c r="H3118" s="674" t="s">
        <v>2391</v>
      </c>
      <c r="I3118" s="668"/>
      <c r="J3118" s="668"/>
      <c r="K3118" s="675">
        <f>SUM(K3112:K3117)</f>
        <v>28750</v>
      </c>
      <c r="L3118" s="668"/>
      <c r="M3118" s="668"/>
      <c r="N3118" s="668"/>
      <c r="O3118" s="674" t="s">
        <v>2391</v>
      </c>
      <c r="P3118" s="668"/>
      <c r="Q3118" s="668"/>
      <c r="R3118" s="675">
        <f>SUM(R3112:R3117)</f>
        <v>36511</v>
      </c>
      <c r="S3118" s="668">
        <f>217.3*90</f>
        <v>19557</v>
      </c>
    </row>
    <row r="3119" spans="5:19">
      <c r="E3119" s="668"/>
      <c r="F3119" s="668"/>
      <c r="G3119" s="668"/>
      <c r="H3119" s="676" t="s">
        <v>2392</v>
      </c>
      <c r="I3119" s="668"/>
      <c r="J3119" s="668"/>
      <c r="K3119" s="460">
        <f>K3118/90</f>
        <v>319.44444444444446</v>
      </c>
      <c r="L3119" s="668">
        <f>299*90</f>
        <v>26910</v>
      </c>
      <c r="M3119" s="668"/>
      <c r="N3119" s="668"/>
      <c r="O3119" s="676" t="s">
        <v>2392</v>
      </c>
      <c r="P3119" s="668"/>
      <c r="Q3119" s="668"/>
      <c r="R3119" s="460">
        <f>R3118/90</f>
        <v>405.67777777777781</v>
      </c>
      <c r="S3119" s="668">
        <f>S3118-R3118</f>
        <v>-16954</v>
      </c>
    </row>
    <row r="3120" spans="5:19">
      <c r="E3120" s="668"/>
      <c r="F3120" s="668"/>
      <c r="G3120" s="668"/>
      <c r="H3120" s="668"/>
      <c r="I3120" s="668"/>
      <c r="J3120" s="668"/>
      <c r="K3120" s="668"/>
      <c r="L3120" s="668">
        <f>L3119-K3118</f>
        <v>-1840</v>
      </c>
      <c r="M3120" s="668"/>
    </row>
    <row r="3121" spans="5:18">
      <c r="E3121" s="668"/>
      <c r="F3121" s="668"/>
      <c r="G3121" s="668"/>
      <c r="H3121" s="460" t="s">
        <v>4752</v>
      </c>
      <c r="I3121" s="668"/>
      <c r="J3121" s="668"/>
      <c r="K3121" s="668"/>
      <c r="L3121" s="668"/>
      <c r="M3121" s="668"/>
    </row>
    <row r="3122" spans="5:18" s="692" customFormat="1">
      <c r="E3122" s="690"/>
      <c r="F3122" s="690"/>
      <c r="G3122" s="690"/>
      <c r="H3122" s="690" t="s">
        <v>4753</v>
      </c>
      <c r="I3122" s="691">
        <f>(1.5*K2873)-((K2871+K2872)/2)</f>
        <v>12257.5</v>
      </c>
      <c r="J3122" s="690"/>
      <c r="K3122" s="690"/>
      <c r="L3122" s="690"/>
      <c r="M3122" s="668"/>
      <c r="N3122" s="668"/>
      <c r="O3122" s="460" t="s">
        <v>4745</v>
      </c>
      <c r="P3122" s="668"/>
      <c r="Q3122" s="668"/>
      <c r="R3122" s="668"/>
    </row>
    <row r="3123" spans="5:18">
      <c r="E3123" s="668"/>
      <c r="F3123" s="668"/>
      <c r="G3123" s="668"/>
      <c r="H3123" s="668">
        <f>1.5*K2873-(K2871+K2872)/2</f>
        <v>12257.5</v>
      </c>
      <c r="I3123" s="668"/>
      <c r="J3123" s="668"/>
      <c r="K3123" s="668"/>
      <c r="L3123" s="668"/>
      <c r="M3123" s="668"/>
      <c r="N3123" s="668"/>
      <c r="O3123" s="460" t="s">
        <v>4754</v>
      </c>
      <c r="P3123" s="668"/>
      <c r="Q3123" s="668"/>
      <c r="R3123" s="668"/>
    </row>
    <row r="3124" spans="5:18">
      <c r="E3124" s="668"/>
      <c r="F3124" s="668"/>
      <c r="G3124" s="668"/>
      <c r="H3124" s="668"/>
      <c r="I3124" s="668"/>
      <c r="J3124" s="668"/>
      <c r="K3124" s="668"/>
      <c r="L3124" s="668"/>
      <c r="M3124" s="668"/>
      <c r="N3124" s="668"/>
      <c r="O3124" s="668"/>
      <c r="P3124" s="668"/>
      <c r="Q3124" s="668"/>
      <c r="R3124" s="668"/>
    </row>
    <row r="3125" spans="5:18" ht="22.5" customHeight="1">
      <c r="E3125" s="668"/>
      <c r="F3125" s="668"/>
      <c r="G3125" s="668"/>
      <c r="H3125" s="688" t="s">
        <v>2422</v>
      </c>
      <c r="I3125" s="668"/>
      <c r="J3125" s="668"/>
      <c r="K3125" s="668"/>
      <c r="L3125" s="668"/>
      <c r="M3125" s="668"/>
      <c r="N3125" s="668"/>
      <c r="O3125" s="667" t="s">
        <v>1146</v>
      </c>
      <c r="P3125" s="668"/>
      <c r="Q3125" s="668"/>
      <c r="R3125" s="668"/>
    </row>
    <row r="3126" spans="5:18" ht="31.5">
      <c r="E3126" s="668"/>
      <c r="F3126" s="668"/>
      <c r="G3126" s="668"/>
      <c r="H3126" s="668"/>
      <c r="I3126" s="668"/>
      <c r="J3126" s="668"/>
      <c r="K3126" s="668"/>
      <c r="L3126" s="668"/>
      <c r="M3126" s="668">
        <v>360</v>
      </c>
      <c r="N3126" s="668"/>
      <c r="O3126" s="689" t="s">
        <v>4755</v>
      </c>
      <c r="P3126" s="670">
        <v>80.650000000000006</v>
      </c>
      <c r="Q3126" s="668" t="s">
        <v>2388</v>
      </c>
      <c r="R3126" s="668">
        <f>M3126*P3126</f>
        <v>29034.000000000004</v>
      </c>
    </row>
    <row r="3127" spans="5:18" ht="18" customHeight="1">
      <c r="E3127" s="668"/>
      <c r="F3127" s="668"/>
      <c r="G3127" s="668"/>
      <c r="H3127" s="460" t="s">
        <v>2423</v>
      </c>
      <c r="I3127" s="668"/>
      <c r="J3127" s="668"/>
      <c r="K3127" s="668"/>
      <c r="L3127" s="668"/>
      <c r="M3127" s="668">
        <v>90</v>
      </c>
      <c r="N3127" s="668"/>
      <c r="O3127" s="667" t="s">
        <v>4751</v>
      </c>
      <c r="P3127" s="670">
        <f>P3113</f>
        <v>24.2</v>
      </c>
      <c r="Q3127" s="668" t="s">
        <v>12</v>
      </c>
      <c r="R3127" s="668">
        <f>M3127*P3127</f>
        <v>2178</v>
      </c>
    </row>
    <row r="3128" spans="5:18">
      <c r="E3128" s="668"/>
      <c r="F3128" s="668"/>
      <c r="G3128" s="668"/>
      <c r="H3128" s="668"/>
      <c r="I3128" s="668"/>
      <c r="J3128" s="668"/>
      <c r="K3128" s="668"/>
      <c r="L3128" s="668"/>
      <c r="M3128" s="668">
        <v>3</v>
      </c>
      <c r="N3128" s="668"/>
      <c r="O3128" s="668" t="s">
        <v>2386</v>
      </c>
      <c r="P3128" s="670">
        <f>P3114</f>
        <v>290</v>
      </c>
      <c r="Q3128" s="668" t="s">
        <v>2385</v>
      </c>
      <c r="R3128" s="668">
        <f>M3128*P3128</f>
        <v>870</v>
      </c>
    </row>
    <row r="3129" spans="5:18" ht="23.25" customHeight="1">
      <c r="E3129" s="668"/>
      <c r="F3129" s="668"/>
      <c r="G3129" s="668"/>
      <c r="H3129" s="460" t="s">
        <v>2424</v>
      </c>
      <c r="I3129" s="668"/>
      <c r="J3129" s="668"/>
      <c r="K3129" s="668"/>
      <c r="L3129" s="668"/>
      <c r="M3129" s="668">
        <v>90</v>
      </c>
      <c r="N3129" s="668"/>
      <c r="O3129" s="571" t="s">
        <v>4738</v>
      </c>
      <c r="P3129" s="670">
        <f>P3115</f>
        <v>20.3</v>
      </c>
      <c r="Q3129" s="668" t="s">
        <v>2388</v>
      </c>
      <c r="R3129" s="668">
        <f>M3129*P3129</f>
        <v>1827</v>
      </c>
    </row>
    <row r="3130" spans="5:18">
      <c r="E3130" s="668"/>
      <c r="F3130" s="668"/>
      <c r="G3130" s="668"/>
      <c r="H3130" s="668"/>
      <c r="I3130" s="668"/>
      <c r="J3130" s="668"/>
      <c r="K3130" s="668"/>
      <c r="L3130" s="668"/>
      <c r="M3130" s="668"/>
      <c r="N3130" s="668"/>
      <c r="O3130" s="668" t="s">
        <v>2389</v>
      </c>
      <c r="P3130" s="668"/>
      <c r="Q3130" s="668"/>
      <c r="R3130" s="668">
        <f>R3116</f>
        <v>12257.5</v>
      </c>
    </row>
    <row r="3131" spans="5:18" ht="47.25">
      <c r="E3131" s="668"/>
      <c r="F3131" s="668"/>
      <c r="G3131" s="668"/>
      <c r="H3131" s="667" t="s">
        <v>2425</v>
      </c>
      <c r="I3131" s="668"/>
      <c r="J3131" s="668"/>
      <c r="K3131" s="668"/>
      <c r="L3131" s="668"/>
      <c r="M3131" s="668"/>
      <c r="N3131" s="668"/>
      <c r="O3131" s="668" t="s">
        <v>2390</v>
      </c>
      <c r="P3131" s="668"/>
      <c r="Q3131" s="668"/>
      <c r="R3131" s="668">
        <v>28.5</v>
      </c>
    </row>
    <row r="3132" spans="5:18">
      <c r="E3132" s="668"/>
      <c r="F3132" s="668">
        <v>1</v>
      </c>
      <c r="G3132" s="668" t="s">
        <v>5</v>
      </c>
      <c r="H3132" s="668" t="s">
        <v>4756</v>
      </c>
      <c r="I3132" s="670">
        <v>263.39999999999998</v>
      </c>
      <c r="J3132" s="668" t="s">
        <v>5</v>
      </c>
      <c r="K3132" s="668">
        <f>F3132*I3132</f>
        <v>263.39999999999998</v>
      </c>
      <c r="L3132" s="668"/>
      <c r="M3132" s="668"/>
      <c r="N3132" s="668"/>
      <c r="O3132" s="674" t="s">
        <v>2391</v>
      </c>
      <c r="P3132" s="668"/>
      <c r="Q3132" s="668"/>
      <c r="R3132" s="675">
        <f>SUM(R3126:R3131)</f>
        <v>46195</v>
      </c>
    </row>
    <row r="3133" spans="5:18">
      <c r="E3133" s="668"/>
      <c r="F3133" s="668"/>
      <c r="G3133" s="668"/>
      <c r="H3133" s="668" t="s">
        <v>2390</v>
      </c>
      <c r="I3133" s="668"/>
      <c r="J3133" s="668"/>
      <c r="K3133" s="668">
        <v>4.93</v>
      </c>
      <c r="L3133" s="668"/>
      <c r="M3133" s="668"/>
      <c r="N3133" s="668"/>
      <c r="O3133" s="676" t="s">
        <v>2392</v>
      </c>
      <c r="P3133" s="668"/>
      <c r="Q3133" s="668"/>
      <c r="R3133" s="460">
        <f>R3132/90</f>
        <v>513.27777777777783</v>
      </c>
    </row>
    <row r="3134" spans="5:18">
      <c r="E3134" s="668"/>
      <c r="F3134" s="668"/>
      <c r="G3134" s="668"/>
      <c r="H3134" s="668" t="s">
        <v>2389</v>
      </c>
      <c r="I3134" s="668"/>
      <c r="J3134" s="668"/>
      <c r="K3134" s="668">
        <f>K3142</f>
        <v>183.8</v>
      </c>
      <c r="L3134" s="668"/>
      <c r="M3134" s="668"/>
    </row>
    <row r="3135" spans="5:18">
      <c r="E3135" s="668"/>
      <c r="F3135" s="668"/>
      <c r="G3135" s="668"/>
      <c r="H3135" s="676" t="s">
        <v>2426</v>
      </c>
      <c r="I3135" s="668"/>
      <c r="J3135" s="668"/>
      <c r="K3135" s="460">
        <f>SUM(K3132:K3134)</f>
        <v>452.13</v>
      </c>
      <c r="L3135" s="668">
        <f>K3135-461</f>
        <v>-8.8700000000000045</v>
      </c>
      <c r="M3135" s="668"/>
    </row>
    <row r="3136" spans="5:18">
      <c r="E3136" s="668"/>
      <c r="F3136" s="668"/>
      <c r="G3136" s="668"/>
      <c r="H3136" s="668"/>
      <c r="I3136" s="668"/>
      <c r="J3136" s="668"/>
      <c r="K3136" s="668"/>
      <c r="L3136" s="668"/>
      <c r="M3136" s="668"/>
    </row>
    <row r="3137" spans="5:13">
      <c r="E3137" s="668"/>
      <c r="F3137" s="668"/>
      <c r="G3137" s="668"/>
      <c r="H3137" s="668"/>
      <c r="I3137" s="668"/>
      <c r="J3137" s="668"/>
      <c r="K3137" s="668"/>
      <c r="L3137" s="668"/>
      <c r="M3137" s="668"/>
    </row>
    <row r="3138" spans="5:13">
      <c r="E3138" s="668"/>
      <c r="F3138" s="668"/>
      <c r="G3138" s="668"/>
      <c r="H3138" s="677" t="s">
        <v>2427</v>
      </c>
      <c r="I3138" s="668"/>
      <c r="J3138" s="668"/>
      <c r="K3138" s="668"/>
      <c r="L3138" s="668"/>
      <c r="M3138" s="668"/>
    </row>
    <row r="3139" spans="5:13" ht="19.5" customHeight="1">
      <c r="E3139" s="668"/>
      <c r="F3139" s="668">
        <v>2</v>
      </c>
      <c r="G3139" s="668" t="s">
        <v>5</v>
      </c>
      <c r="H3139" s="668" t="s">
        <v>2419</v>
      </c>
      <c r="I3139" s="668">
        <f>I2868</f>
        <v>633</v>
      </c>
      <c r="J3139" s="668" t="s">
        <v>5</v>
      </c>
      <c r="K3139" s="668">
        <f>F3139*I3139</f>
        <v>1266</v>
      </c>
      <c r="L3139" s="668"/>
      <c r="M3139" s="668"/>
    </row>
    <row r="3140" spans="5:13" ht="19.5" customHeight="1">
      <c r="E3140" s="668"/>
      <c r="F3140" s="668">
        <v>3</v>
      </c>
      <c r="G3140" s="668" t="s">
        <v>5</v>
      </c>
      <c r="H3140" s="668" t="s">
        <v>4757</v>
      </c>
      <c r="I3140" s="668">
        <f>I2869</f>
        <v>497</v>
      </c>
      <c r="J3140" s="668" t="s">
        <v>5</v>
      </c>
      <c r="K3140" s="668">
        <f>F3140*I3140</f>
        <v>1491</v>
      </c>
      <c r="L3140" s="668"/>
      <c r="M3140" s="668"/>
    </row>
    <row r="3141" spans="5:13" ht="19.5" customHeight="1">
      <c r="E3141" s="668"/>
      <c r="F3141" s="668"/>
      <c r="G3141" s="668"/>
      <c r="H3141" s="674" t="s">
        <v>4758</v>
      </c>
      <c r="I3141" s="668"/>
      <c r="J3141" s="668"/>
      <c r="K3141" s="675">
        <f>SUM(K3139:K3140)</f>
        <v>2757</v>
      </c>
      <c r="L3141" s="668"/>
      <c r="M3141" s="668"/>
    </row>
    <row r="3142" spans="5:13" ht="19.5" customHeight="1">
      <c r="E3142" s="668"/>
      <c r="F3142" s="668"/>
      <c r="G3142" s="668"/>
      <c r="H3142" s="676" t="s">
        <v>2373</v>
      </c>
      <c r="I3142" s="668"/>
      <c r="J3142" s="668"/>
      <c r="K3142" s="460">
        <f>K3141/15</f>
        <v>183.8</v>
      </c>
      <c r="L3142" s="668"/>
      <c r="M3142" s="668"/>
    </row>
    <row r="3143" spans="5:13">
      <c r="E3143" s="668"/>
      <c r="F3143" s="668"/>
      <c r="G3143" s="668"/>
      <c r="H3143" s="668"/>
      <c r="I3143" s="668"/>
      <c r="J3143" s="668"/>
      <c r="K3143" s="668"/>
      <c r="L3143" s="668"/>
      <c r="M3143" s="668"/>
    </row>
    <row r="3144" spans="5:13">
      <c r="E3144" s="668"/>
      <c r="F3144" s="668"/>
      <c r="G3144" s="668"/>
      <c r="H3144" s="460" t="s">
        <v>4759</v>
      </c>
      <c r="I3144" s="668"/>
      <c r="J3144" s="668"/>
      <c r="K3144" s="668"/>
      <c r="L3144" s="668"/>
      <c r="M3144" s="668"/>
    </row>
    <row r="3145" spans="5:13">
      <c r="E3145" s="668"/>
      <c r="F3145" s="668"/>
      <c r="G3145" s="668"/>
      <c r="H3145" s="668"/>
      <c r="I3145" s="668"/>
      <c r="J3145" s="668"/>
      <c r="K3145" s="668"/>
      <c r="L3145" s="668"/>
      <c r="M3145" s="668"/>
    </row>
    <row r="3146" spans="5:13" ht="65.25" customHeight="1">
      <c r="E3146" s="668"/>
      <c r="F3146" s="668"/>
      <c r="G3146" s="668"/>
      <c r="H3146" s="665" t="s">
        <v>4760</v>
      </c>
      <c r="I3146" s="668"/>
      <c r="J3146" s="668"/>
      <c r="K3146" s="668"/>
      <c r="L3146" s="668"/>
      <c r="M3146" s="668"/>
    </row>
    <row r="3147" spans="5:13">
      <c r="E3147" s="668"/>
      <c r="F3147" s="668"/>
      <c r="G3147" s="668"/>
      <c r="H3147" s="668"/>
      <c r="I3147" s="668"/>
      <c r="J3147" s="668"/>
      <c r="K3147" s="668"/>
      <c r="L3147" s="668"/>
      <c r="M3147" s="668"/>
    </row>
    <row r="3148" spans="5:13" ht="78" customHeight="1">
      <c r="E3148" s="668"/>
      <c r="F3148" s="668"/>
      <c r="G3148" s="668"/>
      <c r="H3148" s="667" t="s">
        <v>4761</v>
      </c>
      <c r="I3148" s="668"/>
      <c r="J3148" s="668"/>
      <c r="K3148" s="668"/>
      <c r="L3148" s="668"/>
      <c r="M3148" s="668"/>
    </row>
    <row r="3149" spans="5:13">
      <c r="E3149" s="668"/>
      <c r="F3149" s="668"/>
      <c r="G3149" s="668"/>
      <c r="H3149" s="668"/>
      <c r="I3149" s="668"/>
      <c r="J3149" s="668"/>
      <c r="K3149" s="668"/>
      <c r="L3149" s="668"/>
      <c r="M3149" s="668"/>
    </row>
    <row r="3150" spans="5:13" s="696" customFormat="1">
      <c r="E3150" s="693"/>
      <c r="F3150" s="693">
        <v>1</v>
      </c>
      <c r="G3150" s="693" t="s">
        <v>5</v>
      </c>
      <c r="H3150" s="694" t="s">
        <v>4762</v>
      </c>
      <c r="I3150" s="695">
        <v>200</v>
      </c>
      <c r="J3150" s="693" t="s">
        <v>5</v>
      </c>
      <c r="K3150" s="693">
        <f>F3150*I3150</f>
        <v>200</v>
      </c>
      <c r="L3150" s="693"/>
      <c r="M3150" s="693"/>
    </row>
    <row r="3151" spans="5:13" s="696" customFormat="1" ht="31.5">
      <c r="E3151" s="693"/>
      <c r="F3151" s="693">
        <v>1</v>
      </c>
      <c r="G3151" s="693" t="s">
        <v>5</v>
      </c>
      <c r="H3151" s="694" t="s">
        <v>4763</v>
      </c>
      <c r="I3151" s="695">
        <v>81.349999999999994</v>
      </c>
      <c r="J3151" s="693" t="s">
        <v>5</v>
      </c>
      <c r="K3151" s="693">
        <f>F3151*I3151</f>
        <v>81.349999999999994</v>
      </c>
      <c r="L3151" s="693"/>
      <c r="M3151" s="693"/>
    </row>
    <row r="3152" spans="5:13" ht="31.5">
      <c r="E3152" s="668"/>
      <c r="F3152" s="668"/>
      <c r="G3152" s="668"/>
      <c r="H3152" s="667" t="s">
        <v>4764</v>
      </c>
      <c r="I3152" s="668"/>
      <c r="J3152" s="668"/>
      <c r="K3152" s="668">
        <v>9.15</v>
      </c>
      <c r="L3152" s="668"/>
      <c r="M3152" s="668"/>
    </row>
    <row r="3153" spans="5:13">
      <c r="E3153" s="668"/>
      <c r="F3153" s="668"/>
      <c r="G3153" s="668"/>
      <c r="H3153" s="668" t="s">
        <v>2389</v>
      </c>
      <c r="I3153" s="668"/>
      <c r="J3153" s="668"/>
      <c r="K3153" s="668">
        <f>K3161</f>
        <v>407.5</v>
      </c>
      <c r="L3153" s="668"/>
      <c r="M3153" s="668"/>
    </row>
    <row r="3154" spans="5:13" ht="19.5" customHeight="1">
      <c r="E3154" s="668"/>
      <c r="F3154" s="668"/>
      <c r="G3154" s="668"/>
      <c r="H3154" s="676" t="s">
        <v>2373</v>
      </c>
      <c r="I3154" s="668"/>
      <c r="J3154" s="668"/>
      <c r="K3154" s="460">
        <f>SUM(K3150:K3153)</f>
        <v>698</v>
      </c>
      <c r="L3154" s="668">
        <f>K3154-562</f>
        <v>136</v>
      </c>
      <c r="M3154" s="668"/>
    </row>
    <row r="3155" spans="5:13">
      <c r="E3155" s="668"/>
      <c r="F3155" s="668"/>
      <c r="G3155" s="668"/>
      <c r="H3155" s="668"/>
      <c r="I3155" s="668"/>
      <c r="J3155" s="668"/>
      <c r="K3155" s="668"/>
      <c r="L3155" s="668"/>
      <c r="M3155" s="668"/>
    </row>
    <row r="3156" spans="5:13">
      <c r="E3156" s="668"/>
      <c r="F3156" s="668"/>
      <c r="G3156" s="668"/>
      <c r="H3156" s="668"/>
      <c r="I3156" s="668"/>
      <c r="J3156" s="668"/>
      <c r="K3156" s="668"/>
      <c r="L3156" s="668"/>
      <c r="M3156" s="668"/>
    </row>
    <row r="3157" spans="5:13">
      <c r="E3157" s="668"/>
      <c r="F3157" s="668"/>
      <c r="G3157" s="668"/>
      <c r="H3157" s="677" t="s">
        <v>2389</v>
      </c>
      <c r="I3157" s="668"/>
      <c r="J3157" s="668"/>
      <c r="K3157" s="668"/>
      <c r="L3157" s="668"/>
      <c r="M3157" s="668"/>
    </row>
    <row r="3158" spans="5:13" ht="18.75" customHeight="1">
      <c r="E3158" s="668"/>
      <c r="F3158" s="668">
        <v>1</v>
      </c>
      <c r="G3158" s="668" t="s">
        <v>5</v>
      </c>
      <c r="H3158" s="668" t="s">
        <v>2418</v>
      </c>
      <c r="I3158" s="668">
        <f>I2867</f>
        <v>636</v>
      </c>
      <c r="J3158" s="668" t="s">
        <v>5</v>
      </c>
      <c r="K3158" s="668">
        <f>F3158*I3158</f>
        <v>636</v>
      </c>
      <c r="L3158" s="668"/>
      <c r="M3158" s="668"/>
    </row>
    <row r="3159" spans="5:13" ht="18.75" customHeight="1">
      <c r="E3159" s="668"/>
      <c r="F3159" s="668">
        <v>2</v>
      </c>
      <c r="G3159" s="668" t="s">
        <v>5</v>
      </c>
      <c r="H3159" s="668" t="s">
        <v>4757</v>
      </c>
      <c r="I3159" s="668">
        <f>I3140</f>
        <v>497</v>
      </c>
      <c r="J3159" s="668" t="s">
        <v>5</v>
      </c>
      <c r="K3159" s="668">
        <f>F3159*I3159</f>
        <v>994</v>
      </c>
      <c r="L3159" s="668"/>
      <c r="M3159" s="668"/>
    </row>
    <row r="3160" spans="5:13" ht="15" customHeight="1">
      <c r="E3160" s="668"/>
      <c r="F3160" s="668"/>
      <c r="G3160" s="668"/>
      <c r="H3160" s="674" t="s">
        <v>4765</v>
      </c>
      <c r="I3160" s="668"/>
      <c r="J3160" s="668"/>
      <c r="K3160" s="675">
        <f>SUM(K3158:K3159)</f>
        <v>1630</v>
      </c>
      <c r="L3160" s="668"/>
      <c r="M3160" s="668"/>
    </row>
    <row r="3161" spans="5:13" ht="20.25" customHeight="1">
      <c r="E3161" s="668"/>
      <c r="F3161" s="668"/>
      <c r="G3161" s="668"/>
      <c r="H3161" s="676" t="s">
        <v>4617</v>
      </c>
      <c r="I3161" s="668"/>
      <c r="J3161" s="668"/>
      <c r="K3161" s="460">
        <f>K3160/4</f>
        <v>407.5</v>
      </c>
      <c r="L3161" s="668"/>
      <c r="M3161" s="668"/>
    </row>
    <row r="3162" spans="5:13">
      <c r="E3162" s="668"/>
      <c r="F3162" s="668"/>
      <c r="G3162" s="668"/>
      <c r="H3162" s="668"/>
      <c r="I3162" s="668"/>
      <c r="J3162" s="668"/>
      <c r="K3162" s="668"/>
      <c r="L3162" s="668"/>
      <c r="M3162" s="668"/>
    </row>
    <row r="3163" spans="5:13">
      <c r="E3163" s="668"/>
      <c r="F3163" s="668"/>
      <c r="G3163" s="668"/>
      <c r="H3163" s="460" t="s">
        <v>4766</v>
      </c>
      <c r="I3163" s="668"/>
      <c r="J3163" s="668"/>
      <c r="K3163" s="668"/>
      <c r="L3163" s="668"/>
      <c r="M3163" s="668"/>
    </row>
    <row r="3164" spans="5:13">
      <c r="E3164" s="668"/>
      <c r="F3164" s="668"/>
      <c r="G3164" s="668"/>
      <c r="H3164" s="668"/>
      <c r="I3164" s="668"/>
      <c r="J3164" s="668"/>
      <c r="K3164" s="668"/>
      <c r="L3164" s="668"/>
      <c r="M3164" s="668"/>
    </row>
    <row r="3165" spans="5:13" ht="47.25">
      <c r="E3165" s="668"/>
      <c r="F3165" s="668"/>
      <c r="G3165" s="668"/>
      <c r="H3165" s="665" t="s">
        <v>1524</v>
      </c>
      <c r="I3165" s="668"/>
      <c r="J3165" s="668"/>
      <c r="K3165" s="668"/>
      <c r="L3165" s="668"/>
      <c r="M3165" s="668"/>
    </row>
    <row r="3166" spans="5:13">
      <c r="E3166" s="668"/>
      <c r="F3166" s="668"/>
      <c r="G3166" s="668"/>
      <c r="H3166" s="668"/>
      <c r="I3166" s="668"/>
      <c r="J3166" s="668"/>
      <c r="K3166" s="668"/>
      <c r="L3166" s="668"/>
      <c r="M3166" s="668"/>
    </row>
    <row r="3167" spans="5:13" ht="63">
      <c r="E3167" s="668"/>
      <c r="F3167" s="668"/>
      <c r="G3167" s="668"/>
      <c r="H3167" s="667" t="s">
        <v>4767</v>
      </c>
      <c r="I3167" s="668"/>
      <c r="J3167" s="668"/>
      <c r="K3167" s="668"/>
      <c r="L3167" s="668"/>
      <c r="M3167" s="668"/>
    </row>
    <row r="3168" spans="5:13">
      <c r="E3168" s="668"/>
      <c r="F3168" s="668"/>
      <c r="G3168" s="668"/>
      <c r="H3168" s="668"/>
      <c r="I3168" s="668"/>
      <c r="J3168" s="668"/>
      <c r="K3168" s="668"/>
      <c r="L3168" s="668"/>
      <c r="M3168" s="668"/>
    </row>
    <row r="3169" spans="5:13" s="696" customFormat="1" ht="39.75" customHeight="1">
      <c r="E3169" s="693"/>
      <c r="F3169" s="693">
        <v>1</v>
      </c>
      <c r="G3169" s="693" t="s">
        <v>5</v>
      </c>
      <c r="H3169" s="694" t="s">
        <v>4768</v>
      </c>
      <c r="I3169" s="695">
        <v>455</v>
      </c>
      <c r="J3169" s="693" t="s">
        <v>5</v>
      </c>
      <c r="K3169" s="693">
        <f>F3169*I3169</f>
        <v>455</v>
      </c>
      <c r="L3169" s="693"/>
      <c r="M3169" s="693"/>
    </row>
    <row r="3170" spans="5:13" s="696" customFormat="1" ht="39" customHeight="1">
      <c r="E3170" s="693"/>
      <c r="F3170" s="693">
        <v>1</v>
      </c>
      <c r="G3170" s="693" t="s">
        <v>5</v>
      </c>
      <c r="H3170" s="694" t="s">
        <v>4769</v>
      </c>
      <c r="I3170" s="693">
        <f>I3151</f>
        <v>81.349999999999994</v>
      </c>
      <c r="J3170" s="693" t="s">
        <v>5</v>
      </c>
      <c r="K3170" s="693">
        <f>F3170*I3170</f>
        <v>81.349999999999994</v>
      </c>
      <c r="L3170" s="693"/>
      <c r="M3170" s="693"/>
    </row>
    <row r="3171" spans="5:13" ht="42.75" customHeight="1">
      <c r="E3171" s="668"/>
      <c r="F3171" s="668"/>
      <c r="G3171" s="668"/>
      <c r="H3171" s="667" t="s">
        <v>4764</v>
      </c>
      <c r="I3171" s="668"/>
      <c r="J3171" s="668"/>
      <c r="K3171" s="668">
        <v>9.15</v>
      </c>
      <c r="L3171" s="668"/>
      <c r="M3171" s="668"/>
    </row>
    <row r="3172" spans="5:13" ht="20.100000000000001" customHeight="1">
      <c r="E3172" s="668"/>
      <c r="F3172" s="668"/>
      <c r="G3172" s="668"/>
      <c r="H3172" s="668" t="s">
        <v>2389</v>
      </c>
      <c r="I3172" s="668"/>
      <c r="J3172" s="668"/>
      <c r="K3172" s="668">
        <f>K3161</f>
        <v>407.5</v>
      </c>
      <c r="L3172" s="668"/>
      <c r="M3172" s="668"/>
    </row>
    <row r="3173" spans="5:13" ht="30" customHeight="1">
      <c r="E3173" s="668"/>
      <c r="F3173" s="668"/>
      <c r="G3173" s="668"/>
      <c r="H3173" s="676" t="s">
        <v>2373</v>
      </c>
      <c r="I3173" s="668"/>
      <c r="J3173" s="668"/>
      <c r="K3173" s="460">
        <f>SUM(K3169:K3172)</f>
        <v>953</v>
      </c>
      <c r="L3173" s="668">
        <f>806-K3173</f>
        <v>-147</v>
      </c>
      <c r="M3173" s="668"/>
    </row>
    <row r="3174" spans="5:13">
      <c r="E3174" s="668"/>
      <c r="F3174" s="668"/>
      <c r="G3174" s="668"/>
      <c r="H3174" s="668"/>
      <c r="I3174" s="668"/>
      <c r="J3174" s="668"/>
      <c r="K3174" s="668"/>
      <c r="L3174" s="668"/>
      <c r="M3174" s="668"/>
    </row>
    <row r="3175" spans="5:13">
      <c r="E3175" s="668"/>
      <c r="F3175" s="668"/>
      <c r="G3175" s="668"/>
      <c r="H3175" s="668"/>
      <c r="I3175" s="668"/>
      <c r="J3175" s="668"/>
      <c r="K3175" s="668"/>
      <c r="L3175" s="668"/>
      <c r="M3175" s="668"/>
    </row>
    <row r="3176" spans="5:13" ht="20.100000000000001" customHeight="1">
      <c r="E3176" s="668"/>
      <c r="F3176" s="668"/>
      <c r="G3176" s="668"/>
      <c r="H3176" s="460" t="s">
        <v>4770</v>
      </c>
      <c r="I3176" s="668"/>
      <c r="J3176" s="668"/>
      <c r="K3176" s="668"/>
      <c r="L3176" s="668"/>
      <c r="M3176" s="668"/>
    </row>
    <row r="3177" spans="5:13">
      <c r="E3177" s="668"/>
      <c r="F3177" s="668"/>
      <c r="G3177" s="668"/>
      <c r="H3177" s="668"/>
      <c r="I3177" s="668"/>
      <c r="J3177" s="668"/>
      <c r="K3177" s="668"/>
      <c r="L3177" s="668"/>
      <c r="M3177" s="668"/>
    </row>
    <row r="3178" spans="5:13" ht="58.5" customHeight="1">
      <c r="E3178" s="668"/>
      <c r="F3178" s="668"/>
      <c r="G3178" s="668"/>
      <c r="H3178" s="667" t="s">
        <v>1526</v>
      </c>
      <c r="I3178" s="668"/>
      <c r="J3178" s="668"/>
      <c r="K3178" s="668"/>
      <c r="L3178" s="668"/>
      <c r="M3178" s="668"/>
    </row>
    <row r="3179" spans="5:13">
      <c r="E3179" s="668"/>
      <c r="F3179" s="668"/>
      <c r="G3179" s="668"/>
      <c r="H3179" s="668"/>
      <c r="I3179" s="668"/>
      <c r="J3179" s="668"/>
      <c r="K3179" s="668"/>
      <c r="L3179" s="668"/>
      <c r="M3179" s="668"/>
    </row>
    <row r="3180" spans="5:13" ht="40.5" customHeight="1">
      <c r="E3180" s="668"/>
      <c r="F3180" s="668">
        <v>1</v>
      </c>
      <c r="G3180" s="668" t="s">
        <v>5</v>
      </c>
      <c r="H3180" s="667" t="s">
        <v>4771</v>
      </c>
      <c r="I3180" s="670">
        <v>439</v>
      </c>
      <c r="J3180" s="668" t="s">
        <v>5</v>
      </c>
      <c r="K3180" s="668">
        <f>F3180*I3180</f>
        <v>439</v>
      </c>
      <c r="L3180" s="668"/>
      <c r="M3180" s="668"/>
    </row>
    <row r="3181" spans="5:13" ht="20.100000000000001" customHeight="1">
      <c r="E3181" s="668"/>
      <c r="F3181" s="668">
        <v>1</v>
      </c>
      <c r="G3181" s="668" t="s">
        <v>5</v>
      </c>
      <c r="H3181" s="668" t="s">
        <v>4772</v>
      </c>
      <c r="I3181" s="668">
        <f>I3170</f>
        <v>81.349999999999994</v>
      </c>
      <c r="J3181" s="668" t="s">
        <v>5</v>
      </c>
      <c r="K3181" s="668">
        <f>F3181*I3181</f>
        <v>81.349999999999994</v>
      </c>
      <c r="L3181" s="668"/>
      <c r="M3181" s="668"/>
    </row>
    <row r="3182" spans="5:13" ht="20.100000000000001" customHeight="1">
      <c r="E3182" s="668"/>
      <c r="F3182" s="668"/>
      <c r="G3182" s="668"/>
      <c r="H3182" s="668" t="s">
        <v>2390</v>
      </c>
      <c r="I3182" s="668"/>
      <c r="J3182" s="668"/>
      <c r="K3182" s="668">
        <f>8.65+1.07+0.43</f>
        <v>10.15</v>
      </c>
      <c r="L3182" s="668"/>
      <c r="M3182" s="668"/>
    </row>
    <row r="3183" spans="5:13" ht="20.100000000000001" customHeight="1">
      <c r="E3183" s="668"/>
      <c r="F3183" s="668"/>
      <c r="G3183" s="668"/>
      <c r="H3183" s="668" t="s">
        <v>4773</v>
      </c>
      <c r="I3183" s="668"/>
      <c r="J3183" s="668"/>
      <c r="K3183" s="668">
        <f>K3161</f>
        <v>407.5</v>
      </c>
      <c r="L3183" s="668"/>
      <c r="M3183" s="668"/>
    </row>
    <row r="3184" spans="5:13" ht="30" customHeight="1">
      <c r="E3184" s="668"/>
      <c r="F3184" s="668"/>
      <c r="G3184" s="668"/>
      <c r="H3184" s="676" t="s">
        <v>4714</v>
      </c>
      <c r="I3184" s="668"/>
      <c r="J3184" s="668"/>
      <c r="K3184" s="460">
        <f>SUM(K3180:K3183)</f>
        <v>938</v>
      </c>
      <c r="L3184" s="668">
        <f>891-K3184</f>
        <v>-47</v>
      </c>
      <c r="M3184" s="668"/>
    </row>
    <row r="3185" spans="5:13">
      <c r="E3185" s="668"/>
      <c r="F3185" s="668"/>
      <c r="G3185" s="668"/>
      <c r="H3185" s="668"/>
      <c r="I3185" s="668"/>
      <c r="J3185" s="668"/>
      <c r="K3185" s="668"/>
      <c r="L3185" s="668"/>
      <c r="M3185" s="668"/>
    </row>
    <row r="3186" spans="5:13" ht="20.100000000000001" customHeight="1">
      <c r="E3186" s="668"/>
      <c r="F3186" s="668"/>
      <c r="G3186" s="668"/>
      <c r="H3186" s="460" t="s">
        <v>4766</v>
      </c>
      <c r="I3186" s="668"/>
      <c r="J3186" s="668"/>
      <c r="K3186" s="668"/>
      <c r="L3186" s="668"/>
      <c r="M3186" s="668"/>
    </row>
    <row r="3187" spans="5:13">
      <c r="E3187" s="668"/>
      <c r="F3187" s="668"/>
      <c r="G3187" s="668"/>
      <c r="H3187" s="668"/>
      <c r="I3187" s="668"/>
      <c r="J3187" s="668"/>
      <c r="K3187" s="668"/>
      <c r="L3187" s="668"/>
      <c r="M3187" s="668"/>
    </row>
    <row r="3188" spans="5:13" ht="52.5" customHeight="1">
      <c r="E3188" s="668"/>
      <c r="F3188" s="668"/>
      <c r="G3188" s="668"/>
      <c r="H3188" s="665" t="s">
        <v>1527</v>
      </c>
      <c r="I3188" s="668"/>
      <c r="J3188" s="668"/>
      <c r="K3188" s="668"/>
      <c r="L3188" s="668"/>
      <c r="M3188" s="668"/>
    </row>
    <row r="3189" spans="5:13">
      <c r="E3189" s="668"/>
      <c r="F3189" s="668"/>
      <c r="G3189" s="668"/>
      <c r="H3189" s="668"/>
      <c r="I3189" s="668"/>
      <c r="J3189" s="668"/>
      <c r="K3189" s="668"/>
      <c r="L3189" s="668"/>
      <c r="M3189" s="668"/>
    </row>
    <row r="3190" spans="5:13" ht="88.5" customHeight="1">
      <c r="E3190" s="668"/>
      <c r="F3190" s="668"/>
      <c r="G3190" s="668"/>
      <c r="H3190" s="667" t="s">
        <v>4774</v>
      </c>
      <c r="I3190" s="668"/>
      <c r="J3190" s="668"/>
      <c r="K3190" s="668"/>
      <c r="L3190" s="668"/>
      <c r="M3190" s="668"/>
    </row>
    <row r="3191" spans="5:13" ht="38.25" customHeight="1">
      <c r="E3191" s="668"/>
      <c r="F3191" s="668">
        <v>1</v>
      </c>
      <c r="G3191" s="668" t="s">
        <v>5</v>
      </c>
      <c r="H3191" s="667" t="s">
        <v>4775</v>
      </c>
      <c r="I3191" s="683">
        <v>480</v>
      </c>
      <c r="J3191" s="668" t="s">
        <v>5</v>
      </c>
      <c r="K3191" s="668">
        <f>F3191*I3191</f>
        <v>480</v>
      </c>
      <c r="L3191" s="668"/>
      <c r="M3191" s="668"/>
    </row>
    <row r="3192" spans="5:13" ht="40.5" customHeight="1">
      <c r="E3192" s="668"/>
      <c r="F3192" s="668">
        <v>1</v>
      </c>
      <c r="G3192" s="668" t="s">
        <v>5</v>
      </c>
      <c r="H3192" s="667" t="s">
        <v>4776</v>
      </c>
      <c r="I3192" s="668">
        <v>130</v>
      </c>
      <c r="J3192" s="668" t="s">
        <v>5</v>
      </c>
      <c r="K3192" s="668">
        <f>F3192*I3192</f>
        <v>130</v>
      </c>
      <c r="L3192" s="668"/>
      <c r="M3192" s="668"/>
    </row>
    <row r="3193" spans="5:13" ht="38.25" customHeight="1">
      <c r="E3193" s="668"/>
      <c r="F3193" s="668"/>
      <c r="G3193" s="668"/>
      <c r="H3193" s="667" t="s">
        <v>4777</v>
      </c>
      <c r="I3193" s="668"/>
      <c r="J3193" s="668"/>
      <c r="K3193" s="668">
        <v>12.67</v>
      </c>
      <c r="L3193" s="668"/>
      <c r="M3193" s="668"/>
    </row>
    <row r="3194" spans="5:13" ht="23.25" customHeight="1">
      <c r="E3194" s="668"/>
      <c r="F3194" s="668"/>
      <c r="G3194" s="668"/>
      <c r="H3194" s="668" t="s">
        <v>2389</v>
      </c>
      <c r="I3194" s="668"/>
      <c r="J3194" s="668"/>
      <c r="K3194" s="668">
        <f>K3201</f>
        <v>543.33333333333337</v>
      </c>
      <c r="L3194" s="668"/>
      <c r="M3194" s="668"/>
    </row>
    <row r="3195" spans="5:13" ht="30" customHeight="1">
      <c r="E3195" s="668"/>
      <c r="F3195" s="668"/>
      <c r="G3195" s="668"/>
      <c r="H3195" s="676" t="s">
        <v>4714</v>
      </c>
      <c r="I3195" s="668"/>
      <c r="J3195" s="668"/>
      <c r="K3195" s="460">
        <f>SUM(K3191:K3194)</f>
        <v>1166.0033333333333</v>
      </c>
      <c r="L3195" s="668">
        <f>968-K3195</f>
        <v>-198.00333333333333</v>
      </c>
      <c r="M3195" s="668"/>
    </row>
    <row r="3196" spans="5:13">
      <c r="E3196" s="668"/>
      <c r="F3196" s="668"/>
      <c r="G3196" s="668"/>
      <c r="H3196" s="668"/>
      <c r="I3196" s="668"/>
      <c r="J3196" s="668"/>
      <c r="K3196" s="668"/>
      <c r="L3196" s="668"/>
      <c r="M3196" s="668"/>
    </row>
    <row r="3197" spans="5:13" ht="20.100000000000001" customHeight="1">
      <c r="E3197" s="668"/>
      <c r="F3197" s="668"/>
      <c r="G3197" s="668"/>
      <c r="H3197" s="675" t="s">
        <v>2389</v>
      </c>
      <c r="I3197" s="668"/>
      <c r="J3197" s="668"/>
      <c r="K3197" s="668"/>
      <c r="L3197" s="668"/>
      <c r="M3197" s="668"/>
    </row>
    <row r="3198" spans="5:13">
      <c r="E3198" s="668"/>
      <c r="F3198" s="668">
        <v>1</v>
      </c>
      <c r="G3198" s="668" t="s">
        <v>5</v>
      </c>
      <c r="H3198" s="668" t="s">
        <v>4778</v>
      </c>
      <c r="I3198" s="668">
        <f>I3158</f>
        <v>636</v>
      </c>
      <c r="J3198" s="668" t="s">
        <v>5</v>
      </c>
      <c r="K3198" s="668">
        <f>F3198*I3198</f>
        <v>636</v>
      </c>
      <c r="L3198" s="668"/>
      <c r="M3198" s="668"/>
    </row>
    <row r="3199" spans="5:13">
      <c r="E3199" s="668"/>
      <c r="F3199" s="668">
        <v>2</v>
      </c>
      <c r="G3199" s="668" t="s">
        <v>5</v>
      </c>
      <c r="H3199" s="668" t="s">
        <v>4558</v>
      </c>
      <c r="I3199" s="668">
        <f>I3159</f>
        <v>497</v>
      </c>
      <c r="J3199" s="668" t="s">
        <v>5</v>
      </c>
      <c r="K3199" s="668">
        <f>F3199*I3199</f>
        <v>994</v>
      </c>
      <c r="L3199" s="668"/>
      <c r="M3199" s="668"/>
    </row>
    <row r="3200" spans="5:13" ht="20.100000000000001" customHeight="1">
      <c r="E3200" s="668"/>
      <c r="F3200" s="668"/>
      <c r="G3200" s="668"/>
      <c r="H3200" s="674" t="s">
        <v>4560</v>
      </c>
      <c r="I3200" s="668"/>
      <c r="J3200" s="668"/>
      <c r="K3200" s="668">
        <f>SUM(K3198:K3199)</f>
        <v>1630</v>
      </c>
      <c r="L3200" s="668"/>
      <c r="M3200" s="668"/>
    </row>
    <row r="3201" spans="5:13" ht="20.100000000000001" customHeight="1">
      <c r="E3201" s="668"/>
      <c r="F3201" s="668"/>
      <c r="G3201" s="668"/>
      <c r="H3201" s="676" t="s">
        <v>2373</v>
      </c>
      <c r="I3201" s="668"/>
      <c r="J3201" s="668"/>
      <c r="K3201" s="460">
        <f>K3200/3</f>
        <v>543.33333333333337</v>
      </c>
      <c r="L3201" s="668"/>
      <c r="M3201" s="668"/>
    </row>
    <row r="3202" spans="5:13">
      <c r="E3202" s="668"/>
      <c r="F3202" s="668"/>
      <c r="G3202" s="668"/>
      <c r="H3202" s="668"/>
      <c r="I3202" s="668"/>
      <c r="J3202" s="668"/>
      <c r="K3202" s="668"/>
      <c r="L3202" s="668"/>
      <c r="M3202" s="668"/>
    </row>
    <row r="3203" spans="5:13" ht="30" customHeight="1">
      <c r="E3203" s="668"/>
      <c r="F3203" s="668"/>
      <c r="G3203" s="668"/>
      <c r="H3203" s="460" t="s">
        <v>4779</v>
      </c>
      <c r="I3203" s="668"/>
      <c r="J3203" s="668"/>
      <c r="K3203" s="668"/>
      <c r="L3203" s="668"/>
      <c r="M3203" s="668"/>
    </row>
    <row r="3204" spans="5:13">
      <c r="E3204" s="668"/>
      <c r="F3204" s="668"/>
      <c r="G3204" s="668"/>
      <c r="H3204" s="668"/>
      <c r="I3204" s="668"/>
      <c r="J3204" s="668"/>
      <c r="K3204" s="668"/>
      <c r="L3204" s="668"/>
      <c r="M3204" s="668"/>
    </row>
    <row r="3205" spans="5:13" ht="91.5" customHeight="1">
      <c r="E3205" s="668"/>
      <c r="F3205" s="668"/>
      <c r="G3205" s="668"/>
      <c r="H3205" s="665" t="s">
        <v>4780</v>
      </c>
      <c r="I3205" s="668"/>
      <c r="J3205" s="668"/>
      <c r="K3205" s="668"/>
      <c r="L3205" s="668"/>
      <c r="M3205" s="668"/>
    </row>
    <row r="3206" spans="5:13" ht="30" customHeight="1">
      <c r="E3206" s="668"/>
      <c r="F3206" s="668">
        <v>1</v>
      </c>
      <c r="G3206" s="668" t="s">
        <v>5</v>
      </c>
      <c r="H3206" s="668" t="s">
        <v>4781</v>
      </c>
      <c r="I3206" s="683">
        <v>800</v>
      </c>
      <c r="J3206" s="668" t="s">
        <v>5</v>
      </c>
      <c r="K3206" s="668">
        <f>F3206*I3206</f>
        <v>800</v>
      </c>
      <c r="L3206" s="668"/>
      <c r="M3206" s="668"/>
    </row>
    <row r="3207" spans="5:13" ht="43.5" customHeight="1">
      <c r="E3207" s="668"/>
      <c r="F3207" s="668">
        <v>1</v>
      </c>
      <c r="G3207" s="668" t="s">
        <v>5</v>
      </c>
      <c r="H3207" s="667" t="s">
        <v>4776</v>
      </c>
      <c r="I3207" s="668">
        <f>I3192</f>
        <v>130</v>
      </c>
      <c r="J3207" s="668" t="s">
        <v>5</v>
      </c>
      <c r="K3207" s="668">
        <f>F3207*I3207</f>
        <v>130</v>
      </c>
      <c r="L3207" s="668"/>
      <c r="M3207" s="668"/>
    </row>
    <row r="3208" spans="5:13" ht="41.25" customHeight="1">
      <c r="E3208" s="668"/>
      <c r="F3208" s="668"/>
      <c r="G3208" s="668"/>
      <c r="H3208" s="667" t="s">
        <v>4777</v>
      </c>
      <c r="I3208" s="668"/>
      <c r="J3208" s="668"/>
      <c r="K3208" s="668">
        <v>10.67</v>
      </c>
      <c r="L3208" s="668"/>
      <c r="M3208" s="668"/>
    </row>
    <row r="3209" spans="5:13" ht="30" customHeight="1">
      <c r="E3209" s="668"/>
      <c r="F3209" s="668"/>
      <c r="G3209" s="668"/>
      <c r="H3209" s="668" t="s">
        <v>2389</v>
      </c>
      <c r="I3209" s="668"/>
      <c r="J3209" s="668"/>
      <c r="K3209" s="668">
        <f>K3201</f>
        <v>543.33333333333337</v>
      </c>
      <c r="L3209" s="668"/>
      <c r="M3209" s="668"/>
    </row>
    <row r="3210" spans="5:13" ht="30" customHeight="1">
      <c r="E3210" s="668"/>
      <c r="F3210" s="668"/>
      <c r="G3210" s="668"/>
      <c r="H3210" s="676" t="s">
        <v>4714</v>
      </c>
      <c r="I3210" s="668"/>
      <c r="J3210" s="668"/>
      <c r="K3210" s="460">
        <f>SUM(K3206:K3209)</f>
        <v>1484.0033333333333</v>
      </c>
      <c r="L3210" s="668">
        <f>1287-K3210</f>
        <v>-197.00333333333333</v>
      </c>
      <c r="M3210" s="668"/>
    </row>
    <row r="3211" spans="5:13">
      <c r="E3211" s="668"/>
      <c r="F3211" s="668"/>
      <c r="G3211" s="668"/>
      <c r="H3211" s="668"/>
      <c r="I3211" s="668"/>
      <c r="J3211" s="668"/>
      <c r="K3211" s="668"/>
      <c r="L3211" s="668"/>
      <c r="M3211" s="668"/>
    </row>
    <row r="3212" spans="5:13" ht="30" customHeight="1">
      <c r="E3212" s="668"/>
      <c r="F3212" s="668"/>
      <c r="G3212" s="668"/>
      <c r="H3212" s="460" t="s">
        <v>4782</v>
      </c>
      <c r="I3212" s="668"/>
      <c r="J3212" s="668"/>
      <c r="K3212" s="668"/>
      <c r="L3212" s="668"/>
      <c r="M3212" s="668"/>
    </row>
    <row r="3213" spans="5:13">
      <c r="E3213" s="668"/>
      <c r="F3213" s="668"/>
      <c r="G3213" s="668"/>
      <c r="H3213" s="668"/>
      <c r="I3213" s="668"/>
      <c r="J3213" s="668"/>
      <c r="K3213" s="668"/>
      <c r="L3213" s="668"/>
      <c r="M3213" s="668"/>
    </row>
    <row r="3214" spans="5:13" ht="74.25" customHeight="1">
      <c r="E3214" s="668"/>
      <c r="F3214" s="668"/>
      <c r="G3214" s="668"/>
      <c r="H3214" s="665" t="s">
        <v>1530</v>
      </c>
      <c r="I3214" s="668"/>
      <c r="J3214" s="668"/>
      <c r="K3214" s="668"/>
      <c r="L3214" s="668"/>
      <c r="M3214" s="668"/>
    </row>
    <row r="3215" spans="5:13" ht="95.25" customHeight="1">
      <c r="E3215" s="668"/>
      <c r="F3215" s="668"/>
      <c r="G3215" s="668"/>
      <c r="H3215" s="667" t="s">
        <v>4783</v>
      </c>
      <c r="I3215" s="668"/>
      <c r="J3215" s="668"/>
      <c r="K3215" s="668"/>
      <c r="L3215" s="668"/>
      <c r="M3215" s="668"/>
    </row>
    <row r="3216" spans="5:13">
      <c r="E3216" s="668"/>
      <c r="F3216" s="668"/>
      <c r="G3216" s="668"/>
      <c r="H3216" s="668"/>
      <c r="I3216" s="668"/>
      <c r="J3216" s="668"/>
      <c r="K3216" s="668"/>
      <c r="L3216" s="668"/>
      <c r="M3216" s="668"/>
    </row>
    <row r="3217" spans="5:14" ht="45" customHeight="1">
      <c r="E3217" s="668"/>
      <c r="F3217" s="668">
        <v>1</v>
      </c>
      <c r="G3217" s="668" t="s">
        <v>5</v>
      </c>
      <c r="H3217" s="667" t="s">
        <v>4784</v>
      </c>
      <c r="I3217" s="670">
        <v>2190</v>
      </c>
      <c r="J3217" s="668" t="s">
        <v>5</v>
      </c>
      <c r="K3217" s="668">
        <f>F3217*I3217</f>
        <v>2190</v>
      </c>
      <c r="L3217" s="668"/>
      <c r="M3217" s="668"/>
    </row>
    <row r="3218" spans="5:14" ht="30" customHeight="1">
      <c r="E3218" s="668"/>
      <c r="F3218" s="668">
        <v>1</v>
      </c>
      <c r="G3218" s="668" t="s">
        <v>5</v>
      </c>
      <c r="H3218" s="668" t="s">
        <v>4785</v>
      </c>
      <c r="I3218" s="670">
        <f>K3222</f>
        <v>433.59300000000007</v>
      </c>
      <c r="J3218" s="668" t="s">
        <v>5</v>
      </c>
      <c r="K3218" s="668">
        <f>F3218*I3218</f>
        <v>433.59300000000007</v>
      </c>
      <c r="L3218" s="668"/>
      <c r="M3218" s="668"/>
    </row>
    <row r="3219" spans="5:14" ht="44.25" customHeight="1">
      <c r="E3219" s="668"/>
      <c r="F3219" s="668"/>
      <c r="G3219" s="668"/>
      <c r="H3219" s="667" t="s">
        <v>4786</v>
      </c>
      <c r="I3219" s="668"/>
      <c r="J3219" s="668"/>
      <c r="K3219" s="668">
        <f>26.9+0.18</f>
        <v>27.08</v>
      </c>
      <c r="L3219" s="668"/>
      <c r="M3219" s="668"/>
    </row>
    <row r="3220" spans="5:14" ht="30" customHeight="1">
      <c r="E3220" s="668"/>
      <c r="F3220" s="668"/>
      <c r="G3220" s="668"/>
      <c r="H3220" s="668" t="s">
        <v>2389</v>
      </c>
      <c r="I3220" s="668"/>
      <c r="J3220" s="668"/>
      <c r="K3220" s="668">
        <f>K3201</f>
        <v>543.33333333333337</v>
      </c>
      <c r="L3220" s="668"/>
      <c r="M3220" s="668"/>
    </row>
    <row r="3221" spans="5:14" ht="30" customHeight="1">
      <c r="E3221" s="668"/>
      <c r="F3221" s="668"/>
      <c r="G3221" s="668"/>
      <c r="H3221" s="676" t="s">
        <v>4714</v>
      </c>
      <c r="I3221" s="668"/>
      <c r="J3221" s="668"/>
      <c r="K3221" s="460">
        <f>SUM(K3217:K3220)</f>
        <v>3194.0063333333333</v>
      </c>
      <c r="L3221" s="668">
        <f>K3221-3050</f>
        <v>144.00633333333326</v>
      </c>
      <c r="M3221" s="668"/>
    </row>
    <row r="3222" spans="5:14" ht="30" customHeight="1">
      <c r="E3222" s="668"/>
      <c r="F3222" s="668"/>
      <c r="G3222" s="668"/>
      <c r="H3222" s="668" t="s">
        <v>4787</v>
      </c>
      <c r="I3222" s="670">
        <f>N3222</f>
        <v>107060</v>
      </c>
      <c r="J3222" s="697">
        <f>0.75*0.45*0.012</f>
        <v>4.0500000000000006E-3</v>
      </c>
      <c r="K3222" s="668">
        <f>J3222*I3222</f>
        <v>433.59300000000007</v>
      </c>
      <c r="L3222" s="668"/>
      <c r="M3222" s="668">
        <f>6180+82300</f>
        <v>88480</v>
      </c>
      <c r="N3222" s="511">
        <f>7460+99600</f>
        <v>107060</v>
      </c>
    </row>
    <row r="3223" spans="5:14" ht="30" customHeight="1">
      <c r="E3223" s="668"/>
      <c r="F3223" s="668"/>
      <c r="G3223" s="668"/>
      <c r="H3223" s="460" t="s">
        <v>4788</v>
      </c>
      <c r="I3223" s="668"/>
      <c r="J3223" s="668"/>
      <c r="K3223" s="668"/>
      <c r="L3223" s="668"/>
      <c r="M3223" s="668"/>
    </row>
    <row r="3224" spans="5:14">
      <c r="E3224" s="668"/>
      <c r="F3224" s="668"/>
      <c r="G3224" s="668"/>
      <c r="H3224" s="668"/>
      <c r="I3224" s="668"/>
      <c r="J3224" s="668"/>
      <c r="K3224" s="668"/>
      <c r="L3224" s="668"/>
      <c r="M3224" s="668"/>
    </row>
    <row r="3225" spans="5:14" ht="92.25" customHeight="1">
      <c r="E3225" s="668"/>
      <c r="F3225" s="668"/>
      <c r="G3225" s="668"/>
      <c r="H3225" s="665" t="s">
        <v>1529</v>
      </c>
      <c r="I3225" s="668"/>
      <c r="J3225" s="668"/>
      <c r="K3225" s="668"/>
      <c r="L3225" s="668"/>
      <c r="M3225" s="668"/>
    </row>
    <row r="3226" spans="5:14">
      <c r="E3226" s="668"/>
      <c r="F3226" s="668"/>
      <c r="G3226" s="668"/>
      <c r="H3226" s="668"/>
      <c r="I3226" s="668"/>
      <c r="J3226" s="668"/>
      <c r="K3226" s="668"/>
      <c r="L3226" s="668"/>
      <c r="M3226" s="668"/>
    </row>
    <row r="3227" spans="5:14" ht="30" customHeight="1">
      <c r="E3227" s="668"/>
      <c r="F3227" s="668"/>
      <c r="G3227" s="668"/>
      <c r="H3227" s="668" t="s">
        <v>4789</v>
      </c>
      <c r="I3227" s="668"/>
      <c r="J3227" s="668"/>
      <c r="K3227" s="668"/>
      <c r="L3227" s="668"/>
      <c r="M3227" s="668"/>
    </row>
    <row r="3228" spans="5:14">
      <c r="E3228" s="668"/>
      <c r="F3228" s="668"/>
      <c r="G3228" s="668"/>
      <c r="H3228" s="668"/>
      <c r="I3228" s="668"/>
      <c r="J3228" s="668"/>
      <c r="K3228" s="668"/>
      <c r="L3228" s="668"/>
      <c r="M3228" s="668"/>
    </row>
    <row r="3229" spans="5:14" ht="30" customHeight="1">
      <c r="E3229" s="668"/>
      <c r="F3229" s="668"/>
      <c r="G3229" s="668"/>
      <c r="H3229" s="668" t="s">
        <v>4790</v>
      </c>
      <c r="I3229" s="668"/>
      <c r="J3229" s="668"/>
      <c r="K3229" s="668">
        <f>K3221</f>
        <v>3194.0063333333333</v>
      </c>
      <c r="L3229" s="668"/>
      <c r="M3229" s="668"/>
    </row>
    <row r="3230" spans="5:14" ht="30" customHeight="1">
      <c r="E3230" s="668"/>
      <c r="F3230" s="668">
        <v>1</v>
      </c>
      <c r="G3230" s="668" t="s">
        <v>5</v>
      </c>
      <c r="H3230" s="668" t="s">
        <v>4791</v>
      </c>
      <c r="I3230" s="670">
        <v>2925</v>
      </c>
      <c r="J3230" s="668" t="s">
        <v>5</v>
      </c>
      <c r="K3230" s="668">
        <f>F3230*I3230</f>
        <v>2925</v>
      </c>
      <c r="L3230" s="668"/>
      <c r="M3230" s="668"/>
    </row>
    <row r="3231" spans="5:14" ht="30" customHeight="1">
      <c r="E3231" s="668"/>
      <c r="F3231" s="668">
        <v>1</v>
      </c>
      <c r="G3231" s="668" t="s">
        <v>5</v>
      </c>
      <c r="H3231" s="668" t="s">
        <v>4792</v>
      </c>
      <c r="I3231" s="670">
        <f>I3217</f>
        <v>2190</v>
      </c>
      <c r="J3231" s="668" t="s">
        <v>5</v>
      </c>
      <c r="K3231" s="668">
        <f>F3231*I3231</f>
        <v>2190</v>
      </c>
      <c r="L3231" s="668"/>
      <c r="M3231" s="668"/>
    </row>
    <row r="3232" spans="5:14" ht="30" customHeight="1">
      <c r="E3232" s="668"/>
      <c r="F3232" s="668"/>
      <c r="G3232" s="668"/>
      <c r="H3232" s="668" t="s">
        <v>2390</v>
      </c>
      <c r="I3232" s="668"/>
      <c r="J3232" s="668"/>
      <c r="K3232" s="668">
        <f>1.31+0.69</f>
        <v>2</v>
      </c>
      <c r="L3232" s="668"/>
      <c r="M3232" s="668"/>
    </row>
    <row r="3233" spans="5:13" ht="30" customHeight="1">
      <c r="E3233" s="668"/>
      <c r="F3233" s="668"/>
      <c r="G3233" s="668"/>
      <c r="H3233" s="676" t="s">
        <v>4714</v>
      </c>
      <c r="I3233" s="668"/>
      <c r="J3233" s="668"/>
      <c r="K3233" s="460">
        <f>K3229+K3230-K3231+K3232</f>
        <v>3931.0063333333328</v>
      </c>
      <c r="L3233" s="668"/>
      <c r="M3233" s="668"/>
    </row>
    <row r="3234" spans="5:13" ht="39.75" customHeight="1">
      <c r="E3234" s="668"/>
      <c r="F3234" s="668"/>
      <c r="G3234" s="668"/>
      <c r="H3234" s="668"/>
      <c r="I3234" s="668"/>
      <c r="J3234" s="668"/>
      <c r="K3234" s="668"/>
      <c r="L3234" s="668"/>
      <c r="M3234" s="668"/>
    </row>
    <row r="3235" spans="5:13" ht="24.95" customHeight="1">
      <c r="E3235" s="668"/>
      <c r="F3235" s="668"/>
      <c r="G3235" s="668"/>
      <c r="H3235" s="460" t="s">
        <v>4779</v>
      </c>
      <c r="I3235" s="668"/>
      <c r="J3235" s="668"/>
      <c r="K3235" s="668"/>
      <c r="L3235" s="668"/>
      <c r="M3235" s="668"/>
    </row>
    <row r="3236" spans="5:13">
      <c r="E3236" s="668"/>
      <c r="F3236" s="668"/>
      <c r="G3236" s="668"/>
      <c r="H3236" s="668"/>
      <c r="I3236" s="668"/>
      <c r="J3236" s="668"/>
      <c r="K3236" s="668"/>
      <c r="L3236" s="668"/>
      <c r="M3236" s="668"/>
    </row>
    <row r="3237" spans="5:13" ht="39" customHeight="1">
      <c r="E3237" s="668"/>
      <c r="F3237" s="668"/>
      <c r="G3237" s="668"/>
      <c r="H3237" s="665" t="s">
        <v>1531</v>
      </c>
      <c r="I3237" s="668"/>
      <c r="J3237" s="668"/>
      <c r="K3237" s="668"/>
      <c r="L3237" s="668"/>
      <c r="M3237" s="668"/>
    </row>
    <row r="3238" spans="5:13">
      <c r="E3238" s="668"/>
      <c r="F3238" s="668"/>
      <c r="G3238" s="668"/>
      <c r="H3238" s="668"/>
      <c r="I3238" s="668"/>
      <c r="J3238" s="668"/>
      <c r="K3238" s="668"/>
      <c r="L3238" s="668"/>
      <c r="M3238" s="668"/>
    </row>
    <row r="3239" spans="5:13" ht="95.25" customHeight="1">
      <c r="E3239" s="668"/>
      <c r="F3239" s="668"/>
      <c r="G3239" s="668"/>
      <c r="H3239" s="667" t="s">
        <v>4793</v>
      </c>
      <c r="I3239" s="668"/>
      <c r="J3239" s="668"/>
      <c r="K3239" s="668"/>
      <c r="L3239" s="668"/>
      <c r="M3239" s="668"/>
    </row>
    <row r="3240" spans="5:13" ht="24.95" customHeight="1">
      <c r="E3240" s="668"/>
      <c r="F3240" s="668">
        <v>2</v>
      </c>
      <c r="G3240" s="668" t="s">
        <v>5</v>
      </c>
      <c r="H3240" s="668" t="s">
        <v>4794</v>
      </c>
      <c r="I3240" s="670">
        <v>527</v>
      </c>
      <c r="J3240" s="668" t="s">
        <v>4610</v>
      </c>
      <c r="K3240" s="668">
        <f>F3240*(I3240/100)</f>
        <v>10.54</v>
      </c>
      <c r="L3240" s="668"/>
      <c r="M3240" s="668"/>
    </row>
    <row r="3241" spans="5:13" ht="24.95" customHeight="1">
      <c r="E3241" s="668"/>
      <c r="F3241" s="668">
        <v>2</v>
      </c>
      <c r="G3241" s="668" t="s">
        <v>12</v>
      </c>
      <c r="H3241" s="668" t="s">
        <v>4795</v>
      </c>
      <c r="I3241" s="698">
        <v>914.1</v>
      </c>
      <c r="J3241" s="668" t="s">
        <v>4796</v>
      </c>
      <c r="K3241" s="668">
        <f>F3241*(I3241/100)</f>
        <v>18.282</v>
      </c>
      <c r="L3241" s="668"/>
      <c r="M3241" s="668"/>
    </row>
    <row r="3242" spans="5:13" ht="24.95" customHeight="1">
      <c r="E3242" s="668"/>
      <c r="F3242" s="668"/>
      <c r="G3242" s="668"/>
      <c r="H3242" s="668" t="s">
        <v>4797</v>
      </c>
      <c r="I3242" s="668"/>
      <c r="J3242" s="668"/>
      <c r="K3242" s="668">
        <v>7.93</v>
      </c>
      <c r="L3242" s="668"/>
      <c r="M3242" s="668"/>
    </row>
    <row r="3243" spans="5:13" ht="24.95" customHeight="1">
      <c r="E3243" s="668"/>
      <c r="F3243" s="668"/>
      <c r="G3243" s="668"/>
      <c r="H3243" s="668" t="s">
        <v>4798</v>
      </c>
      <c r="I3243" s="668"/>
      <c r="J3243" s="668"/>
      <c r="K3243" s="668">
        <f>K3251</f>
        <v>212.0625</v>
      </c>
      <c r="L3243" s="668"/>
      <c r="M3243" s="668"/>
    </row>
    <row r="3244" spans="5:13" ht="24.95" customHeight="1">
      <c r="E3244" s="668"/>
      <c r="F3244" s="668"/>
      <c r="G3244" s="668"/>
      <c r="H3244" s="676" t="s">
        <v>4714</v>
      </c>
      <c r="I3244" s="668"/>
      <c r="J3244" s="668"/>
      <c r="K3244" s="460">
        <f>SUM(K3240:K3243)</f>
        <v>248.81450000000001</v>
      </c>
      <c r="L3244" s="668"/>
      <c r="M3244" s="668"/>
    </row>
    <row r="3245" spans="5:13">
      <c r="E3245" s="668"/>
      <c r="F3245" s="668"/>
      <c r="G3245" s="668"/>
      <c r="H3245" s="668"/>
      <c r="I3245" s="668"/>
      <c r="J3245" s="668"/>
      <c r="K3245" s="668"/>
      <c r="L3245" s="668"/>
      <c r="M3245" s="668"/>
    </row>
    <row r="3246" spans="5:13">
      <c r="E3246" s="668"/>
      <c r="F3246" s="668"/>
      <c r="H3246" s="675" t="s">
        <v>4799</v>
      </c>
      <c r="I3246" s="668"/>
      <c r="J3246" s="668"/>
      <c r="K3246" s="668"/>
      <c r="L3246" s="668"/>
      <c r="M3246" s="668"/>
    </row>
    <row r="3247" spans="5:13">
      <c r="E3247" s="668"/>
      <c r="F3247" s="668">
        <v>1</v>
      </c>
      <c r="G3247" s="668" t="s">
        <v>5</v>
      </c>
      <c r="H3247" s="668" t="s">
        <v>2418</v>
      </c>
      <c r="I3247" s="668">
        <f>I2867</f>
        <v>636</v>
      </c>
      <c r="J3247" s="668" t="s">
        <v>5</v>
      </c>
      <c r="K3247" s="668">
        <f>F3247*I3247</f>
        <v>636</v>
      </c>
      <c r="L3247" s="668"/>
      <c r="M3247" s="668"/>
    </row>
    <row r="3248" spans="5:13">
      <c r="E3248" s="668"/>
      <c r="F3248" s="668">
        <v>2</v>
      </c>
      <c r="G3248" s="668" t="s">
        <v>5</v>
      </c>
      <c r="H3248" s="668" t="s">
        <v>2419</v>
      </c>
      <c r="I3248" s="668">
        <f>I2868</f>
        <v>633</v>
      </c>
      <c r="J3248" s="668" t="s">
        <v>5</v>
      </c>
      <c r="K3248" s="668">
        <f>F3248*I3248</f>
        <v>1266</v>
      </c>
      <c r="L3248" s="668"/>
      <c r="M3248" s="668"/>
    </row>
    <row r="3249" spans="5:13">
      <c r="E3249" s="668"/>
      <c r="F3249" s="668">
        <v>3</v>
      </c>
      <c r="G3249" s="668" t="s">
        <v>5</v>
      </c>
      <c r="H3249" s="668" t="s">
        <v>4558</v>
      </c>
      <c r="I3249" s="668">
        <f>I2869</f>
        <v>497</v>
      </c>
      <c r="J3249" s="668" t="s">
        <v>5</v>
      </c>
      <c r="K3249" s="668">
        <f>F3249*I3249</f>
        <v>1491</v>
      </c>
      <c r="L3249" s="668"/>
      <c r="M3249" s="668"/>
    </row>
    <row r="3250" spans="5:13">
      <c r="E3250" s="668"/>
      <c r="F3250" s="668"/>
      <c r="G3250" s="668"/>
      <c r="H3250" s="674" t="s">
        <v>4800</v>
      </c>
      <c r="I3250" s="668"/>
      <c r="J3250" s="668"/>
      <c r="K3250" s="675">
        <f>SUM(K3247:K3249)</f>
        <v>3393</v>
      </c>
      <c r="L3250" s="668"/>
      <c r="M3250" s="668"/>
    </row>
    <row r="3251" spans="5:13">
      <c r="E3251" s="668"/>
      <c r="F3251" s="668"/>
      <c r="G3251" s="668"/>
      <c r="H3251" s="676" t="s">
        <v>2373</v>
      </c>
      <c r="I3251" s="668"/>
      <c r="J3251" s="668"/>
      <c r="K3251" s="460">
        <f>K3250/16</f>
        <v>212.0625</v>
      </c>
      <c r="L3251" s="668"/>
      <c r="M3251" s="668"/>
    </row>
    <row r="3252" spans="5:13">
      <c r="E3252" s="668"/>
      <c r="F3252" s="668"/>
      <c r="G3252" s="668"/>
      <c r="H3252" s="668"/>
      <c r="I3252" s="668"/>
      <c r="J3252" s="668"/>
      <c r="K3252" s="668"/>
      <c r="L3252" s="668"/>
      <c r="M3252" s="668"/>
    </row>
    <row r="3253" spans="5:13">
      <c r="E3253" s="668"/>
      <c r="F3253" s="668"/>
      <c r="G3253" s="668"/>
      <c r="H3253" s="460" t="s">
        <v>4801</v>
      </c>
      <c r="I3253" s="668"/>
      <c r="J3253" s="668"/>
      <c r="K3253" s="668"/>
      <c r="L3253" s="668"/>
      <c r="M3253" s="668"/>
    </row>
    <row r="3254" spans="5:13" ht="36" customHeight="1">
      <c r="E3254" s="668"/>
      <c r="F3254" s="668"/>
      <c r="G3254" s="668"/>
      <c r="H3254" s="665" t="s">
        <v>1532</v>
      </c>
      <c r="I3254" s="668"/>
      <c r="J3254" s="668"/>
      <c r="K3254" s="668"/>
      <c r="L3254" s="668"/>
      <c r="M3254" s="668"/>
    </row>
    <row r="3255" spans="5:13">
      <c r="E3255" s="668"/>
      <c r="F3255" s="668"/>
      <c r="G3255" s="668"/>
      <c r="H3255" s="668"/>
      <c r="I3255" s="668"/>
      <c r="J3255" s="668"/>
      <c r="K3255" s="668"/>
      <c r="L3255" s="668"/>
      <c r="M3255" s="668"/>
    </row>
    <row r="3256" spans="5:13" ht="112.5" customHeight="1">
      <c r="E3256" s="668"/>
      <c r="F3256" s="668"/>
      <c r="G3256" s="668"/>
      <c r="H3256" s="667" t="s">
        <v>4802</v>
      </c>
      <c r="I3256" s="668"/>
      <c r="J3256" s="668"/>
      <c r="K3256" s="668"/>
      <c r="L3256" s="668"/>
      <c r="M3256" s="668"/>
    </row>
    <row r="3257" spans="5:13">
      <c r="E3257" s="668"/>
      <c r="F3257" s="668">
        <v>1.5</v>
      </c>
      <c r="G3257" s="668" t="s">
        <v>12</v>
      </c>
      <c r="H3257" s="668" t="s">
        <v>4803</v>
      </c>
      <c r="I3257" s="670">
        <v>27.2</v>
      </c>
      <c r="J3257" s="668" t="s">
        <v>12</v>
      </c>
      <c r="K3257" s="668">
        <f>F3257*I3257</f>
        <v>40.799999999999997</v>
      </c>
      <c r="L3257" s="668"/>
      <c r="M3257" s="668"/>
    </row>
    <row r="3258" spans="5:13">
      <c r="E3258" s="668"/>
      <c r="F3258" s="668">
        <v>2</v>
      </c>
      <c r="G3258" s="668" t="s">
        <v>5</v>
      </c>
      <c r="H3258" s="668" t="s">
        <v>4804</v>
      </c>
      <c r="I3258" s="668">
        <f>I3240</f>
        <v>527</v>
      </c>
      <c r="J3258" s="668" t="s">
        <v>4610</v>
      </c>
      <c r="K3258" s="668">
        <f>F3258*(I3258/100)</f>
        <v>10.54</v>
      </c>
      <c r="L3258" s="668"/>
      <c r="M3258" s="668"/>
    </row>
    <row r="3259" spans="5:13">
      <c r="E3259" s="668"/>
      <c r="F3259" s="668">
        <v>2</v>
      </c>
      <c r="G3259" s="668" t="s">
        <v>12</v>
      </c>
      <c r="H3259" s="668" t="s">
        <v>4795</v>
      </c>
      <c r="I3259" s="668">
        <f>I3241</f>
        <v>914.1</v>
      </c>
      <c r="J3259" s="668" t="s">
        <v>12</v>
      </c>
      <c r="K3259" s="668">
        <f>F3259*(I3259/100)</f>
        <v>18.282</v>
      </c>
      <c r="L3259" s="668"/>
      <c r="M3259" s="668"/>
    </row>
    <row r="3260" spans="5:13" ht="31.5" customHeight="1">
      <c r="E3260" s="668"/>
      <c r="F3260" s="668"/>
      <c r="G3260" s="668"/>
      <c r="H3260" s="667" t="s">
        <v>4805</v>
      </c>
      <c r="I3260" s="668"/>
      <c r="J3260" s="668"/>
      <c r="K3260" s="668">
        <v>5.98</v>
      </c>
      <c r="L3260" s="668"/>
      <c r="M3260" s="668"/>
    </row>
    <row r="3261" spans="5:13">
      <c r="E3261" s="668"/>
      <c r="F3261" s="668"/>
      <c r="G3261" s="668"/>
      <c r="H3261" s="668" t="s">
        <v>2389</v>
      </c>
      <c r="I3261" s="668"/>
      <c r="J3261" s="668"/>
      <c r="K3261" s="668">
        <f>K3269</f>
        <v>339.3</v>
      </c>
      <c r="L3261" s="668"/>
      <c r="M3261" s="668"/>
    </row>
    <row r="3262" spans="5:13" ht="24.95" customHeight="1">
      <c r="E3262" s="668"/>
      <c r="F3262" s="668"/>
      <c r="G3262" s="668"/>
      <c r="H3262" s="676" t="s">
        <v>4714</v>
      </c>
      <c r="I3262" s="668"/>
      <c r="J3262" s="668"/>
      <c r="K3262" s="460">
        <f>SUM(K3257:K3261)</f>
        <v>414.90200000000004</v>
      </c>
      <c r="L3262" s="668"/>
      <c r="M3262" s="668"/>
    </row>
    <row r="3263" spans="5:13">
      <c r="E3263" s="668"/>
      <c r="F3263" s="668"/>
      <c r="G3263" s="668"/>
      <c r="H3263" s="668"/>
      <c r="I3263" s="668"/>
      <c r="J3263" s="668"/>
      <c r="K3263" s="668"/>
      <c r="L3263" s="668"/>
      <c r="M3263" s="668"/>
    </row>
    <row r="3264" spans="5:13">
      <c r="E3264" s="668"/>
      <c r="F3264" s="668"/>
      <c r="G3264" s="668"/>
      <c r="H3264" s="460" t="s">
        <v>2401</v>
      </c>
      <c r="I3264" s="668"/>
      <c r="J3264" s="668"/>
      <c r="K3264" s="668"/>
      <c r="L3264" s="668"/>
      <c r="M3264" s="668"/>
    </row>
    <row r="3265" spans="5:13">
      <c r="E3265" s="668"/>
      <c r="F3265" s="668">
        <v>1</v>
      </c>
      <c r="G3265" s="668" t="s">
        <v>5</v>
      </c>
      <c r="H3265" s="668" t="s">
        <v>2418</v>
      </c>
      <c r="I3265" s="668">
        <f>I3247</f>
        <v>636</v>
      </c>
      <c r="J3265" s="668" t="s">
        <v>5</v>
      </c>
      <c r="K3265" s="668">
        <f>F3265*I3265</f>
        <v>636</v>
      </c>
      <c r="L3265" s="668"/>
      <c r="M3265" s="668"/>
    </row>
    <row r="3266" spans="5:13">
      <c r="E3266" s="668"/>
      <c r="F3266" s="668">
        <v>2</v>
      </c>
      <c r="G3266" s="668" t="s">
        <v>5</v>
      </c>
      <c r="H3266" s="668" t="s">
        <v>2419</v>
      </c>
      <c r="I3266" s="668">
        <f>I3248</f>
        <v>633</v>
      </c>
      <c r="J3266" s="668" t="s">
        <v>5</v>
      </c>
      <c r="K3266" s="668">
        <f>F3266*I3266</f>
        <v>1266</v>
      </c>
      <c r="L3266" s="668"/>
      <c r="M3266" s="668"/>
    </row>
    <row r="3267" spans="5:13">
      <c r="E3267" s="668"/>
      <c r="F3267" s="668">
        <v>3</v>
      </c>
      <c r="G3267" s="668" t="s">
        <v>5</v>
      </c>
      <c r="H3267" s="668" t="s">
        <v>4558</v>
      </c>
      <c r="I3267" s="668">
        <f>I3249</f>
        <v>497</v>
      </c>
      <c r="J3267" s="668" t="s">
        <v>5</v>
      </c>
      <c r="K3267" s="668">
        <f>F3267*I3267</f>
        <v>1491</v>
      </c>
      <c r="L3267" s="668"/>
      <c r="M3267" s="668"/>
    </row>
    <row r="3268" spans="5:13">
      <c r="E3268" s="668"/>
      <c r="F3268" s="668"/>
      <c r="G3268" s="668"/>
      <c r="H3268" s="674" t="s">
        <v>4806</v>
      </c>
      <c r="I3268" s="668"/>
      <c r="J3268" s="668"/>
      <c r="K3268" s="675">
        <f>SUM(K3265:K3267)</f>
        <v>3393</v>
      </c>
      <c r="L3268" s="668"/>
      <c r="M3268" s="668"/>
    </row>
    <row r="3269" spans="5:13">
      <c r="E3269" s="668"/>
      <c r="F3269" s="668"/>
      <c r="G3269" s="668"/>
      <c r="H3269" s="676" t="s">
        <v>2373</v>
      </c>
      <c r="I3269" s="668"/>
      <c r="J3269" s="668"/>
      <c r="K3269" s="460">
        <f>K3268/10</f>
        <v>339.3</v>
      </c>
      <c r="L3269" s="668"/>
      <c r="M3269" s="668"/>
    </row>
    <row r="3270" spans="5:13">
      <c r="E3270" s="668"/>
      <c r="F3270" s="668"/>
      <c r="G3270" s="668"/>
      <c r="H3270" s="668"/>
      <c r="I3270" s="668"/>
      <c r="J3270" s="668"/>
      <c r="K3270" s="668"/>
      <c r="L3270" s="668"/>
      <c r="M3270" s="668"/>
    </row>
    <row r="3271" spans="5:13">
      <c r="E3271" s="668"/>
      <c r="F3271" s="668"/>
      <c r="G3271" s="668"/>
      <c r="H3271" s="460" t="s">
        <v>4788</v>
      </c>
      <c r="I3271" s="668"/>
      <c r="J3271" s="668"/>
      <c r="K3271" s="668"/>
      <c r="L3271" s="668"/>
      <c r="M3271" s="668"/>
    </row>
    <row r="3272" spans="5:13" ht="83.25" customHeight="1">
      <c r="E3272" s="668"/>
      <c r="F3272" s="668"/>
      <c r="G3272" s="668"/>
      <c r="H3272" s="667" t="s">
        <v>4807</v>
      </c>
      <c r="I3272" s="668"/>
      <c r="J3272" s="668"/>
      <c r="K3272" s="668"/>
      <c r="L3272" s="668"/>
      <c r="M3272" s="668"/>
    </row>
    <row r="3273" spans="5:13">
      <c r="E3273" s="668"/>
      <c r="F3273" s="668"/>
      <c r="G3273" s="668"/>
      <c r="H3273" s="668"/>
      <c r="I3273" s="668"/>
      <c r="J3273" s="668"/>
      <c r="K3273" s="668"/>
      <c r="L3273" s="668"/>
      <c r="M3273" s="668"/>
    </row>
    <row r="3274" spans="5:13" ht="22.5" customHeight="1">
      <c r="E3274" s="668"/>
      <c r="F3274" s="668">
        <v>1</v>
      </c>
      <c r="G3274" s="668" t="s">
        <v>12</v>
      </c>
      <c r="H3274" s="668" t="s">
        <v>4795</v>
      </c>
      <c r="I3274" s="668">
        <f>I3259</f>
        <v>914.1</v>
      </c>
      <c r="J3274" s="668" t="s">
        <v>4808</v>
      </c>
      <c r="K3274" s="668">
        <f>F3274*(I3274/100)</f>
        <v>9.141</v>
      </c>
      <c r="L3274" s="668"/>
      <c r="M3274" s="668"/>
    </row>
    <row r="3275" spans="5:13" ht="24.95" customHeight="1">
      <c r="E3275" s="668"/>
      <c r="F3275" s="668"/>
      <c r="G3275" s="668"/>
      <c r="H3275" s="668" t="s">
        <v>2401</v>
      </c>
      <c r="I3275" s="668"/>
      <c r="J3275" s="668"/>
      <c r="K3275" s="668">
        <f>K3282</f>
        <v>452.6</v>
      </c>
      <c r="L3275" s="668"/>
      <c r="M3275" s="668"/>
    </row>
    <row r="3276" spans="5:13" ht="24.95" customHeight="1">
      <c r="E3276" s="668"/>
      <c r="F3276" s="668"/>
      <c r="G3276" s="668"/>
      <c r="H3276" s="668" t="s">
        <v>4484</v>
      </c>
      <c r="J3276" s="668"/>
      <c r="K3276" s="668">
        <v>4.8600000000000003</v>
      </c>
      <c r="L3276" s="668"/>
      <c r="M3276" s="668"/>
    </row>
    <row r="3277" spans="5:13" ht="24.95" customHeight="1">
      <c r="E3277" s="668"/>
      <c r="F3277" s="668"/>
      <c r="G3277" s="668"/>
      <c r="H3277" s="675" t="s">
        <v>4809</v>
      </c>
      <c r="I3277" s="460" t="s">
        <v>4714</v>
      </c>
      <c r="J3277" s="668"/>
      <c r="K3277" s="460">
        <f>SUM(K3274:K3276)</f>
        <v>466.60100000000006</v>
      </c>
      <c r="L3277" s="668">
        <f>304-K3277</f>
        <v>-162.60100000000006</v>
      </c>
      <c r="M3277" s="668"/>
    </row>
    <row r="3278" spans="5:13" ht="21" customHeight="1">
      <c r="E3278" s="668"/>
      <c r="F3278" s="668">
        <v>1</v>
      </c>
      <c r="G3278" s="668" t="s">
        <v>5</v>
      </c>
      <c r="H3278" s="668" t="s">
        <v>2418</v>
      </c>
      <c r="I3278" s="668">
        <f>I3265</f>
        <v>636</v>
      </c>
      <c r="J3278" s="668" t="s">
        <v>5</v>
      </c>
      <c r="K3278" s="668">
        <f>F3278*I3278</f>
        <v>636</v>
      </c>
      <c r="L3278" s="668"/>
      <c r="M3278" s="668"/>
    </row>
    <row r="3279" spans="5:13" ht="21" customHeight="1">
      <c r="E3279" s="668"/>
      <c r="F3279" s="668">
        <v>1</v>
      </c>
      <c r="G3279" s="668" t="s">
        <v>5</v>
      </c>
      <c r="H3279" s="668" t="s">
        <v>2419</v>
      </c>
      <c r="I3279" s="668">
        <f>I3266</f>
        <v>633</v>
      </c>
      <c r="J3279" s="668" t="s">
        <v>5</v>
      </c>
      <c r="K3279" s="668">
        <f>F3279*I3279</f>
        <v>633</v>
      </c>
      <c r="L3279" s="668"/>
      <c r="M3279" s="668"/>
    </row>
    <row r="3280" spans="5:13" ht="21" customHeight="1">
      <c r="E3280" s="668"/>
      <c r="F3280" s="668">
        <v>2</v>
      </c>
      <c r="G3280" s="668" t="s">
        <v>5</v>
      </c>
      <c r="H3280" s="668" t="s">
        <v>4558</v>
      </c>
      <c r="I3280" s="668">
        <f>I3267</f>
        <v>497</v>
      </c>
      <c r="J3280" s="668" t="s">
        <v>5</v>
      </c>
      <c r="K3280" s="668">
        <f>F3280*I3280</f>
        <v>994</v>
      </c>
      <c r="L3280" s="668"/>
      <c r="M3280" s="668"/>
    </row>
    <row r="3281" spans="5:13" ht="24.95" customHeight="1">
      <c r="E3281" s="668"/>
      <c r="F3281" s="668"/>
      <c r="G3281" s="668"/>
      <c r="H3281" s="674" t="s">
        <v>4810</v>
      </c>
      <c r="I3281" s="668"/>
      <c r="J3281" s="668"/>
      <c r="K3281" s="675">
        <f>SUM(K3278:K3280)</f>
        <v>2263</v>
      </c>
      <c r="L3281" s="668"/>
      <c r="M3281" s="668"/>
    </row>
    <row r="3282" spans="5:13" ht="19.5" customHeight="1">
      <c r="E3282" s="668"/>
      <c r="F3282" s="668"/>
      <c r="G3282" s="668"/>
      <c r="H3282" s="676" t="s">
        <v>4714</v>
      </c>
      <c r="I3282" s="668"/>
      <c r="J3282" s="668"/>
      <c r="K3282" s="460">
        <f>K3281/5</f>
        <v>452.6</v>
      </c>
      <c r="L3282" s="668"/>
      <c r="M3282" s="668"/>
    </row>
    <row r="3283" spans="5:13" ht="24.95" customHeight="1">
      <c r="E3283" s="668"/>
      <c r="F3283" s="668"/>
      <c r="G3283" s="668"/>
      <c r="H3283" s="699" t="s">
        <v>4811</v>
      </c>
      <c r="I3283" s="668"/>
      <c r="J3283" s="668"/>
      <c r="K3283" s="668"/>
      <c r="L3283" s="668"/>
      <c r="M3283" s="668"/>
    </row>
    <row r="3284" spans="5:13">
      <c r="E3284" s="668"/>
      <c r="F3284" s="668"/>
      <c r="G3284" s="668"/>
      <c r="H3284" s="460" t="s">
        <v>4812</v>
      </c>
      <c r="I3284" s="668"/>
      <c r="J3284" s="668"/>
      <c r="K3284" s="668"/>
      <c r="L3284" s="668"/>
      <c r="M3284" s="668"/>
    </row>
    <row r="3285" spans="5:13">
      <c r="E3285" s="668"/>
      <c r="F3285" s="668"/>
      <c r="G3285" s="668"/>
      <c r="H3285" s="460" t="s">
        <v>4813</v>
      </c>
      <c r="I3285" s="668"/>
      <c r="J3285" s="668"/>
      <c r="K3285" s="668"/>
      <c r="L3285" s="668"/>
      <c r="M3285" s="668"/>
    </row>
    <row r="3286" spans="5:13">
      <c r="E3286" s="668"/>
      <c r="F3286" s="668"/>
      <c r="G3286" s="668"/>
      <c r="H3286" s="686" t="s">
        <v>4814</v>
      </c>
      <c r="I3286" s="668"/>
      <c r="J3286" s="668"/>
      <c r="K3286" s="668"/>
      <c r="L3286" s="668"/>
      <c r="M3286" s="668"/>
    </row>
    <row r="3287" spans="5:13" ht="68.25" customHeight="1">
      <c r="E3287" s="668"/>
      <c r="F3287" s="668"/>
      <c r="G3287" s="668"/>
      <c r="H3287" s="667" t="s">
        <v>4815</v>
      </c>
      <c r="I3287" s="668"/>
      <c r="J3287" s="668"/>
      <c r="K3287" s="668"/>
      <c r="L3287" s="668"/>
      <c r="M3287" s="668"/>
    </row>
    <row r="3288" spans="5:13">
      <c r="E3288" s="668"/>
      <c r="F3288" s="668"/>
      <c r="G3288" s="668"/>
      <c r="H3288" s="668"/>
      <c r="I3288" s="668"/>
      <c r="J3288" s="668"/>
      <c r="K3288" s="668"/>
      <c r="L3288" s="668"/>
      <c r="M3288" s="668"/>
    </row>
    <row r="3289" spans="5:13">
      <c r="E3289" s="668"/>
      <c r="F3289" s="668">
        <v>9.5</v>
      </c>
      <c r="G3289" s="668" t="s">
        <v>40</v>
      </c>
      <c r="H3289" s="668" t="s">
        <v>4816</v>
      </c>
      <c r="I3289" s="670">
        <v>79.7</v>
      </c>
      <c r="J3289" s="668" t="s">
        <v>40</v>
      </c>
      <c r="K3289" s="668">
        <f>F3289*I3289</f>
        <v>757.15</v>
      </c>
      <c r="L3289" s="668"/>
      <c r="M3289" s="668"/>
    </row>
    <row r="3290" spans="5:13">
      <c r="E3290" s="668"/>
      <c r="F3290" s="668">
        <v>0.5</v>
      </c>
      <c r="G3290" s="668" t="s">
        <v>40</v>
      </c>
      <c r="H3290" s="668" t="s">
        <v>4817</v>
      </c>
      <c r="I3290" s="670">
        <v>19.22</v>
      </c>
      <c r="J3290" s="668"/>
      <c r="K3290" s="668">
        <f>F3290*I3290</f>
        <v>9.61</v>
      </c>
      <c r="L3290" s="668"/>
      <c r="M3290" s="668"/>
    </row>
    <row r="3291" spans="5:13">
      <c r="E3291" s="668"/>
      <c r="F3291" s="668"/>
      <c r="G3291" s="668"/>
      <c r="H3291" s="668" t="s">
        <v>4556</v>
      </c>
      <c r="I3291" s="668"/>
      <c r="J3291" s="668"/>
      <c r="K3291" s="668">
        <f>K3299</f>
        <v>1133</v>
      </c>
      <c r="L3291" s="668"/>
      <c r="M3291" s="668"/>
    </row>
    <row r="3292" spans="5:13">
      <c r="E3292" s="668"/>
      <c r="F3292" s="668"/>
      <c r="G3292" s="668"/>
      <c r="H3292" s="668" t="s">
        <v>2390</v>
      </c>
      <c r="I3292" s="668"/>
      <c r="J3292" s="668"/>
      <c r="K3292" s="668">
        <v>7.24</v>
      </c>
      <c r="L3292" s="668"/>
      <c r="M3292" s="668"/>
    </row>
    <row r="3293" spans="5:13">
      <c r="E3293" s="668"/>
      <c r="F3293" s="668"/>
      <c r="G3293" s="668"/>
      <c r="H3293" s="674" t="s">
        <v>4818</v>
      </c>
      <c r="I3293" s="668"/>
      <c r="J3293" s="668"/>
      <c r="K3293" s="675">
        <f>SUM(K3289:K3292)</f>
        <v>1907</v>
      </c>
      <c r="L3293" s="668"/>
      <c r="M3293" s="668"/>
    </row>
    <row r="3294" spans="5:13">
      <c r="E3294" s="668"/>
      <c r="F3294" s="668"/>
      <c r="G3294" s="668"/>
      <c r="H3294" s="676" t="s">
        <v>2405</v>
      </c>
      <c r="I3294" s="668"/>
      <c r="J3294" s="668"/>
      <c r="K3294" s="460">
        <f>K3293/90</f>
        <v>21.18888888888889</v>
      </c>
      <c r="L3294" s="668"/>
      <c r="M3294" s="668"/>
    </row>
    <row r="3295" spans="5:13">
      <c r="E3295" s="668"/>
      <c r="F3295" s="668"/>
      <c r="G3295" s="668"/>
      <c r="H3295" s="668"/>
      <c r="I3295" s="668"/>
      <c r="J3295" s="668"/>
      <c r="K3295" s="668"/>
      <c r="L3295" s="668"/>
      <c r="M3295" s="668"/>
    </row>
    <row r="3296" spans="5:13">
      <c r="E3296" s="668"/>
      <c r="F3296" s="668"/>
      <c r="G3296" s="668"/>
      <c r="H3296" s="675" t="s">
        <v>2416</v>
      </c>
      <c r="I3296" s="668"/>
      <c r="J3296" s="668"/>
      <c r="K3296" s="668"/>
      <c r="L3296" s="668"/>
      <c r="M3296" s="668"/>
    </row>
    <row r="3297" spans="5:13">
      <c r="E3297" s="668"/>
      <c r="F3297" s="668">
        <v>1</v>
      </c>
      <c r="G3297" s="668"/>
      <c r="H3297" s="668" t="s">
        <v>2418</v>
      </c>
      <c r="I3297" s="668">
        <f>I3278</f>
        <v>636</v>
      </c>
      <c r="J3297" s="668" t="s">
        <v>5</v>
      </c>
      <c r="K3297" s="668">
        <f>F3297*I3297</f>
        <v>636</v>
      </c>
      <c r="L3297" s="668"/>
      <c r="M3297" s="668"/>
    </row>
    <row r="3298" spans="5:13">
      <c r="E3298" s="668"/>
      <c r="F3298" s="668">
        <v>1</v>
      </c>
      <c r="G3298" s="668"/>
      <c r="H3298" s="668" t="s">
        <v>4558</v>
      </c>
      <c r="I3298" s="668">
        <f>I3280</f>
        <v>497</v>
      </c>
      <c r="J3298" s="668" t="s">
        <v>5</v>
      </c>
      <c r="K3298" s="668">
        <f>F3298*I3298</f>
        <v>497</v>
      </c>
      <c r="L3298" s="668"/>
      <c r="M3298" s="668"/>
    </row>
    <row r="3299" spans="5:13">
      <c r="E3299" s="668"/>
      <c r="F3299" s="668"/>
      <c r="G3299" s="668"/>
      <c r="H3299" s="668"/>
      <c r="I3299" s="668"/>
      <c r="J3299" s="668"/>
      <c r="K3299" s="460">
        <f>SUM(K3297:K3298)</f>
        <v>1133</v>
      </c>
      <c r="L3299" s="668"/>
      <c r="M3299" s="668"/>
    </row>
    <row r="3300" spans="5:13">
      <c r="E3300" s="668"/>
      <c r="F3300" s="668" t="s">
        <v>4819</v>
      </c>
      <c r="G3300" s="668"/>
      <c r="H3300" s="668"/>
      <c r="I3300" s="668"/>
      <c r="J3300" s="668"/>
      <c r="K3300" s="668"/>
      <c r="L3300" s="668"/>
      <c r="M3300" s="668"/>
    </row>
    <row r="3301" spans="5:13">
      <c r="E3301" s="668"/>
      <c r="F3301" s="668"/>
      <c r="G3301" s="668"/>
      <c r="H3301" s="668"/>
      <c r="I3301" s="668"/>
      <c r="J3301" s="668"/>
      <c r="K3301" s="668"/>
      <c r="L3301" s="668"/>
      <c r="M3301" s="668"/>
    </row>
    <row r="3302" spans="5:13">
      <c r="E3302" s="668"/>
      <c r="F3302" s="668"/>
      <c r="G3302" s="668"/>
      <c r="H3302" s="460" t="s">
        <v>4820</v>
      </c>
      <c r="I3302" s="668"/>
      <c r="J3302" s="668"/>
      <c r="K3302" s="668"/>
      <c r="L3302" s="668"/>
      <c r="M3302" s="668"/>
    </row>
    <row r="3303" spans="5:13">
      <c r="E3303" s="668"/>
      <c r="F3303" s="668"/>
      <c r="G3303" s="668"/>
      <c r="H3303" s="460" t="s">
        <v>4821</v>
      </c>
      <c r="I3303" s="668"/>
      <c r="J3303" s="668"/>
      <c r="K3303" s="668"/>
      <c r="L3303" s="668"/>
      <c r="M3303" s="668"/>
    </row>
    <row r="3304" spans="5:13">
      <c r="E3304" s="668"/>
      <c r="F3304" s="668"/>
      <c r="G3304" s="668"/>
      <c r="H3304" s="668"/>
      <c r="I3304" s="668"/>
      <c r="J3304" s="668"/>
      <c r="K3304" s="668"/>
      <c r="L3304" s="668"/>
      <c r="M3304" s="668"/>
    </row>
    <row r="3305" spans="5:13" ht="57" customHeight="1">
      <c r="E3305" s="668"/>
      <c r="F3305" s="668"/>
      <c r="G3305" s="668"/>
      <c r="H3305" s="667" t="s">
        <v>4822</v>
      </c>
      <c r="I3305" s="668"/>
      <c r="J3305" s="668"/>
      <c r="K3305" s="668"/>
      <c r="L3305" s="668"/>
      <c r="M3305" s="668"/>
    </row>
    <row r="3306" spans="5:13">
      <c r="E3306" s="668"/>
      <c r="F3306" s="668">
        <v>2.5</v>
      </c>
      <c r="G3306" s="668" t="s">
        <v>12</v>
      </c>
      <c r="H3306" s="668" t="s">
        <v>4823</v>
      </c>
      <c r="I3306" s="670">
        <f>[3]Elec.Data!I3306</f>
        <v>163</v>
      </c>
      <c r="J3306" s="668" t="s">
        <v>12</v>
      </c>
      <c r="K3306" s="668">
        <f>F3306*I3306</f>
        <v>407.5</v>
      </c>
      <c r="L3306" s="668"/>
      <c r="M3306" s="668"/>
    </row>
    <row r="3307" spans="5:13">
      <c r="E3307" s="668"/>
      <c r="F3307" s="668">
        <v>1</v>
      </c>
      <c r="G3307" s="668" t="s">
        <v>12</v>
      </c>
      <c r="H3307" s="668" t="s">
        <v>4824</v>
      </c>
      <c r="I3307" s="670">
        <f>[3]Elec.Data!I3307</f>
        <v>98.6</v>
      </c>
      <c r="J3307" s="668" t="s">
        <v>12</v>
      </c>
      <c r="K3307" s="668">
        <f>F3307*I3307</f>
        <v>98.6</v>
      </c>
      <c r="L3307" s="668"/>
      <c r="M3307" s="668"/>
    </row>
    <row r="3308" spans="5:13">
      <c r="E3308" s="668"/>
      <c r="F3308" s="668">
        <v>1</v>
      </c>
      <c r="G3308" s="668" t="s">
        <v>12</v>
      </c>
      <c r="H3308" s="668" t="s">
        <v>4825</v>
      </c>
      <c r="I3308" s="670">
        <f>[3]Elec.Data!I3308</f>
        <v>69.8</v>
      </c>
      <c r="J3308" s="668" t="s">
        <v>12</v>
      </c>
      <c r="K3308" s="668">
        <f>F3308*I3308</f>
        <v>69.8</v>
      </c>
      <c r="L3308" s="668"/>
      <c r="M3308" s="668"/>
    </row>
    <row r="3309" spans="5:13">
      <c r="E3309" s="668"/>
      <c r="F3309" s="668">
        <v>1</v>
      </c>
      <c r="G3309" s="668" t="s">
        <v>5</v>
      </c>
      <c r="H3309" s="668" t="s">
        <v>4826</v>
      </c>
      <c r="I3309" s="670">
        <f>[3]Elec.Data!I3309</f>
        <v>52</v>
      </c>
      <c r="J3309" s="668" t="s">
        <v>5</v>
      </c>
      <c r="K3309" s="668">
        <f>F3309*I3309</f>
        <v>52</v>
      </c>
      <c r="L3309" s="668"/>
      <c r="M3309" s="668"/>
    </row>
    <row r="3310" spans="5:13">
      <c r="E3310" s="668"/>
      <c r="F3310" s="668">
        <v>1</v>
      </c>
      <c r="G3310" s="668" t="s">
        <v>2105</v>
      </c>
      <c r="H3310" s="668" t="s">
        <v>4827</v>
      </c>
      <c r="I3310" s="670" t="str">
        <f>[3]Elec.Data!I3310</f>
        <v>LS</v>
      </c>
      <c r="J3310" s="668" t="s">
        <v>2105</v>
      </c>
      <c r="K3310" s="668">
        <v>15</v>
      </c>
      <c r="L3310" s="668"/>
      <c r="M3310" s="668"/>
    </row>
    <row r="3311" spans="5:13">
      <c r="E3311" s="668"/>
      <c r="F3311" s="668"/>
      <c r="G3311" s="668" t="s">
        <v>170</v>
      </c>
      <c r="H3311" s="668" t="s">
        <v>4828</v>
      </c>
      <c r="I3311" s="670" t="str">
        <f>[3]Elec.Data!I3311</f>
        <v>LS</v>
      </c>
      <c r="J3311" s="668" t="s">
        <v>170</v>
      </c>
      <c r="K3311" s="668">
        <v>150</v>
      </c>
      <c r="L3311" s="668"/>
      <c r="M3311" s="668"/>
    </row>
    <row r="3312" spans="5:13">
      <c r="E3312" s="668"/>
      <c r="F3312" s="668">
        <v>1</v>
      </c>
      <c r="G3312" s="668" t="s">
        <v>5</v>
      </c>
      <c r="H3312" s="668" t="s">
        <v>4829</v>
      </c>
      <c r="I3312" s="670">
        <f>[3]Elec.Data!I3312</f>
        <v>100</v>
      </c>
      <c r="J3312" s="668" t="s">
        <v>5</v>
      </c>
      <c r="K3312" s="668">
        <f>F3312*I3312</f>
        <v>100</v>
      </c>
      <c r="L3312" s="668"/>
      <c r="M3312" s="668"/>
    </row>
    <row r="3313" spans="5:13">
      <c r="E3313" s="668"/>
      <c r="F3313" s="668">
        <v>40</v>
      </c>
      <c r="G3313" s="668" t="s">
        <v>40</v>
      </c>
      <c r="H3313" s="668" t="s">
        <v>4830</v>
      </c>
      <c r="I3313" s="670">
        <f>[3]Elec.Data!I3313</f>
        <v>4.96</v>
      </c>
      <c r="J3313" s="668" t="s">
        <v>40</v>
      </c>
      <c r="K3313" s="668">
        <f>F3313*I3313</f>
        <v>198.4</v>
      </c>
      <c r="L3313" s="668"/>
      <c r="M3313" s="668"/>
    </row>
    <row r="3314" spans="5:13">
      <c r="E3314" s="668"/>
      <c r="F3314" s="668">
        <v>2</v>
      </c>
      <c r="G3314" s="668" t="s">
        <v>5</v>
      </c>
      <c r="H3314" s="668" t="s">
        <v>4831</v>
      </c>
      <c r="I3314" s="670">
        <f>[3]Elec.Data!I3314</f>
        <v>13.6</v>
      </c>
      <c r="J3314" s="668" t="s">
        <v>5</v>
      </c>
      <c r="K3314" s="668">
        <f>F3314*I3314</f>
        <v>27.2</v>
      </c>
      <c r="L3314" s="668"/>
      <c r="M3314" s="668"/>
    </row>
    <row r="3315" spans="5:13">
      <c r="E3315" s="668"/>
      <c r="F3315" s="668">
        <v>4</v>
      </c>
      <c r="G3315" s="668" t="s">
        <v>5</v>
      </c>
      <c r="H3315" s="668" t="s">
        <v>4832</v>
      </c>
      <c r="I3315" s="670">
        <f>[3]Elec.Data!I3315</f>
        <v>13.6</v>
      </c>
      <c r="J3315" s="668" t="s">
        <v>5</v>
      </c>
      <c r="K3315" s="668">
        <f>F3315*I3315</f>
        <v>54.4</v>
      </c>
      <c r="L3315" s="668"/>
      <c r="M3315" s="668"/>
    </row>
    <row r="3316" spans="5:13">
      <c r="E3316" s="668"/>
      <c r="F3316" s="668">
        <v>10</v>
      </c>
      <c r="G3316" s="668" t="s">
        <v>40</v>
      </c>
      <c r="H3316" s="668" t="s">
        <v>4833</v>
      </c>
      <c r="I3316" s="670">
        <f>[3]Elec.Data!I3316</f>
        <v>3.7</v>
      </c>
      <c r="J3316" s="668" t="s">
        <v>40</v>
      </c>
      <c r="K3316" s="668">
        <f>F3316*I3316</f>
        <v>37</v>
      </c>
      <c r="L3316" s="668"/>
      <c r="M3316" s="668"/>
    </row>
    <row r="3317" spans="5:13">
      <c r="E3317" s="668"/>
      <c r="F3317" s="668"/>
      <c r="G3317" s="668"/>
      <c r="H3317" s="668" t="s">
        <v>2390</v>
      </c>
      <c r="I3317" s="668"/>
      <c r="J3317" s="668"/>
      <c r="K3317" s="668">
        <v>11.85</v>
      </c>
      <c r="L3317" s="668"/>
      <c r="M3317" s="668"/>
    </row>
    <row r="3318" spans="5:13">
      <c r="E3318" s="668"/>
      <c r="F3318" s="668"/>
      <c r="G3318" s="668"/>
      <c r="H3318" s="668" t="s">
        <v>2389</v>
      </c>
      <c r="I3318" s="668"/>
      <c r="J3318" s="668"/>
      <c r="K3318" s="686">
        <f>K3324</f>
        <v>1133</v>
      </c>
      <c r="L3318" s="668"/>
      <c r="M3318" s="668"/>
    </row>
    <row r="3319" spans="5:13">
      <c r="E3319" s="668"/>
      <c r="F3319" s="668"/>
      <c r="G3319" s="668"/>
      <c r="H3319" s="676" t="s">
        <v>4714</v>
      </c>
      <c r="I3319" s="668"/>
      <c r="J3319" s="668"/>
      <c r="K3319" s="460">
        <f>SUM(K3306:K3318)</f>
        <v>2354.75</v>
      </c>
      <c r="L3319" s="668">
        <f>2035-K3319</f>
        <v>-319.75</v>
      </c>
      <c r="M3319" s="668"/>
    </row>
    <row r="3320" spans="5:13">
      <c r="E3320" s="668"/>
      <c r="F3320" s="668"/>
      <c r="G3320" s="668"/>
      <c r="H3320" s="668"/>
      <c r="I3320" s="668"/>
      <c r="J3320" s="668"/>
      <c r="K3320" s="668"/>
      <c r="L3320" s="668"/>
      <c r="M3320" s="668"/>
    </row>
    <row r="3321" spans="5:13">
      <c r="E3321" s="668"/>
      <c r="F3321" s="668"/>
      <c r="G3321" s="668"/>
      <c r="H3321" s="675" t="s">
        <v>2389</v>
      </c>
      <c r="I3321" s="668"/>
      <c r="J3321" s="668"/>
      <c r="K3321" s="668"/>
      <c r="L3321" s="668"/>
      <c r="M3321" s="668"/>
    </row>
    <row r="3322" spans="5:13">
      <c r="E3322" s="668"/>
      <c r="F3322" s="668">
        <v>1</v>
      </c>
      <c r="G3322" s="668" t="s">
        <v>5</v>
      </c>
      <c r="H3322" s="668" t="s">
        <v>2418</v>
      </c>
      <c r="I3322" s="668">
        <f>I3297</f>
        <v>636</v>
      </c>
      <c r="J3322" s="668" t="s">
        <v>5</v>
      </c>
      <c r="K3322" s="668">
        <f>F3322*I3322</f>
        <v>636</v>
      </c>
      <c r="L3322" s="668"/>
      <c r="M3322" s="668"/>
    </row>
    <row r="3323" spans="5:13">
      <c r="E3323" s="668"/>
      <c r="F3323" s="668">
        <v>1</v>
      </c>
      <c r="G3323" s="668" t="s">
        <v>5</v>
      </c>
      <c r="H3323" s="668" t="s">
        <v>4558</v>
      </c>
      <c r="I3323" s="668">
        <f>I3298</f>
        <v>497</v>
      </c>
      <c r="J3323" s="668" t="s">
        <v>5</v>
      </c>
      <c r="K3323" s="668">
        <f>F3323*I3323</f>
        <v>497</v>
      </c>
      <c r="L3323" s="668"/>
      <c r="M3323" s="668"/>
    </row>
    <row r="3324" spans="5:13">
      <c r="E3324" s="668"/>
      <c r="F3324" s="668"/>
      <c r="G3324" s="668"/>
      <c r="H3324" s="668"/>
      <c r="I3324" s="668"/>
      <c r="J3324" s="668"/>
      <c r="K3324" s="460">
        <f>SUM(K3322:K3323)</f>
        <v>1133</v>
      </c>
      <c r="L3324" s="668"/>
      <c r="M3324" s="668"/>
    </row>
    <row r="3325" spans="5:13">
      <c r="E3325" s="668"/>
      <c r="F3325" s="668"/>
      <c r="G3325" s="668"/>
      <c r="H3325" s="460" t="s">
        <v>4834</v>
      </c>
      <c r="I3325" s="668"/>
      <c r="J3325" s="668"/>
      <c r="K3325" s="668"/>
      <c r="L3325" s="668"/>
      <c r="M3325" s="668"/>
    </row>
    <row r="3326" spans="5:13">
      <c r="E3326" s="668"/>
      <c r="F3326" s="668"/>
      <c r="G3326" s="668"/>
      <c r="H3326" s="460" t="s">
        <v>4835</v>
      </c>
      <c r="I3326" s="668"/>
      <c r="J3326" s="668"/>
      <c r="K3326" s="668"/>
      <c r="L3326" s="668"/>
      <c r="M3326" s="668"/>
    </row>
    <row r="3327" spans="5:13">
      <c r="E3327" s="668"/>
      <c r="F3327" s="668"/>
      <c r="G3327" s="668"/>
      <c r="H3327" s="668"/>
      <c r="I3327" s="668"/>
      <c r="J3327" s="668"/>
      <c r="K3327" s="668"/>
      <c r="L3327" s="668"/>
      <c r="M3327" s="668"/>
    </row>
    <row r="3328" spans="5:13" ht="86.25" customHeight="1">
      <c r="E3328" s="668"/>
      <c r="F3328" s="668"/>
      <c r="G3328" s="668"/>
      <c r="H3328" s="667" t="s">
        <v>4836</v>
      </c>
      <c r="I3328" s="668"/>
      <c r="J3328" s="668"/>
      <c r="K3328" s="668"/>
      <c r="L3328" s="668"/>
      <c r="M3328" s="668"/>
    </row>
    <row r="3329" spans="5:13">
      <c r="E3329" s="668"/>
      <c r="F3329" s="668"/>
      <c r="G3329" s="668"/>
      <c r="H3329" s="668"/>
      <c r="I3329" s="668"/>
      <c r="J3329" s="668"/>
      <c r="K3329" s="668"/>
      <c r="L3329" s="668"/>
      <c r="M3329" s="668"/>
    </row>
    <row r="3330" spans="5:13">
      <c r="E3330" s="668"/>
      <c r="F3330" s="668">
        <v>1</v>
      </c>
      <c r="G3330" s="668" t="s">
        <v>5</v>
      </c>
      <c r="H3330" s="668" t="s">
        <v>2377</v>
      </c>
      <c r="I3330" s="668">
        <f>K3335</f>
        <v>64.239999999999995</v>
      </c>
      <c r="J3330" s="668" t="s">
        <v>556</v>
      </c>
      <c r="K3330" s="668">
        <f>F3330*I3330</f>
        <v>64.239999999999995</v>
      </c>
      <c r="L3330" s="668"/>
      <c r="M3330" s="668"/>
    </row>
    <row r="3331" spans="5:13" ht="56.25" customHeight="1">
      <c r="E3331" s="668"/>
      <c r="F3331" s="668"/>
      <c r="G3331" s="668"/>
      <c r="H3331" s="667" t="s">
        <v>4837</v>
      </c>
      <c r="I3331" s="668"/>
      <c r="J3331" s="668" t="s">
        <v>170</v>
      </c>
      <c r="K3331" s="668">
        <f>13.65+0.61</f>
        <v>14.26</v>
      </c>
      <c r="L3331" s="668"/>
      <c r="M3331" s="668"/>
    </row>
    <row r="3332" spans="5:13">
      <c r="E3332" s="668"/>
      <c r="F3332" s="668"/>
      <c r="G3332" s="668"/>
      <c r="H3332" s="668" t="s">
        <v>2401</v>
      </c>
      <c r="I3332" s="668"/>
      <c r="J3332" s="668"/>
      <c r="K3332" s="668">
        <f>K3340</f>
        <v>253.5</v>
      </c>
      <c r="L3332" s="668"/>
      <c r="M3332" s="668"/>
    </row>
    <row r="3333" spans="5:13">
      <c r="E3333" s="668"/>
      <c r="F3333" s="668"/>
      <c r="G3333" s="668"/>
      <c r="H3333" s="676" t="s">
        <v>4714</v>
      </c>
      <c r="I3333" s="668"/>
      <c r="J3333" s="668"/>
      <c r="K3333" s="460">
        <f>SUM(K3330:K3332)</f>
        <v>332</v>
      </c>
      <c r="L3333" s="668">
        <f>K3333-268</f>
        <v>64</v>
      </c>
      <c r="M3333" s="668"/>
    </row>
    <row r="3334" spans="5:13">
      <c r="E3334" s="668"/>
      <c r="F3334" s="668"/>
      <c r="G3334" s="668"/>
      <c r="H3334" s="668"/>
      <c r="I3334" s="668"/>
      <c r="J3334" s="668"/>
      <c r="K3334" s="668"/>
      <c r="L3334" s="668"/>
      <c r="M3334" s="668"/>
    </row>
    <row r="3335" spans="5:13">
      <c r="E3335" s="668"/>
      <c r="F3335" s="668"/>
      <c r="G3335" s="668"/>
      <c r="H3335" s="460" t="s">
        <v>4838</v>
      </c>
      <c r="I3335" s="686">
        <f>I3222</f>
        <v>107060</v>
      </c>
      <c r="J3335" s="700">
        <v>5.9999999999999995E-4</v>
      </c>
      <c r="K3335" s="686">
        <f>ROUND(I3335*J3335,2)</f>
        <v>64.239999999999995</v>
      </c>
      <c r="L3335" s="668"/>
      <c r="M3335" s="668"/>
    </row>
    <row r="3336" spans="5:13">
      <c r="E3336" s="668"/>
      <c r="F3336" s="668"/>
      <c r="G3336" s="668"/>
      <c r="H3336" s="668" t="s">
        <v>2401</v>
      </c>
      <c r="I3336" s="668"/>
      <c r="J3336" s="668"/>
      <c r="K3336" s="668"/>
      <c r="L3336" s="668"/>
      <c r="M3336" s="668"/>
    </row>
    <row r="3337" spans="5:13">
      <c r="E3337" s="668"/>
      <c r="F3337" s="668">
        <v>1</v>
      </c>
      <c r="G3337" s="668" t="s">
        <v>5</v>
      </c>
      <c r="H3337" s="668" t="s">
        <v>4839</v>
      </c>
      <c r="I3337" s="668">
        <f>I3278</f>
        <v>636</v>
      </c>
      <c r="J3337" s="668" t="s">
        <v>556</v>
      </c>
      <c r="K3337" s="668">
        <f>F3337*I3337</f>
        <v>636</v>
      </c>
      <c r="L3337" s="668"/>
      <c r="M3337" s="668"/>
    </row>
    <row r="3338" spans="5:13">
      <c r="E3338" s="668"/>
      <c r="F3338" s="668">
        <v>3</v>
      </c>
      <c r="G3338" s="668" t="s">
        <v>5</v>
      </c>
      <c r="H3338" s="668" t="s">
        <v>2419</v>
      </c>
      <c r="I3338" s="668">
        <f>I3279</f>
        <v>633</v>
      </c>
      <c r="J3338" s="668" t="s">
        <v>556</v>
      </c>
      <c r="K3338" s="668">
        <f>F3338*I3338</f>
        <v>1899</v>
      </c>
      <c r="L3338" s="668"/>
      <c r="M3338" s="668"/>
    </row>
    <row r="3339" spans="5:13">
      <c r="E3339" s="668"/>
      <c r="F3339" s="668"/>
      <c r="G3339" s="668"/>
      <c r="H3339" s="674" t="s">
        <v>4840</v>
      </c>
      <c r="I3339" s="668"/>
      <c r="J3339" s="668"/>
      <c r="K3339" s="686">
        <f>SUM(K3337:K3338)</f>
        <v>2535</v>
      </c>
      <c r="L3339" s="668"/>
      <c r="M3339" s="668"/>
    </row>
    <row r="3340" spans="5:13">
      <c r="E3340" s="668"/>
      <c r="F3340" s="668"/>
      <c r="G3340" s="668"/>
      <c r="H3340" s="674" t="s">
        <v>4841</v>
      </c>
      <c r="I3340" s="668"/>
      <c r="J3340" s="668"/>
      <c r="K3340" s="460">
        <f>K3339/10</f>
        <v>253.5</v>
      </c>
      <c r="L3340" s="668"/>
      <c r="M3340" s="668"/>
    </row>
    <row r="3341" spans="5:13">
      <c r="E3341" s="668"/>
      <c r="F3341" s="668"/>
      <c r="G3341" s="668"/>
      <c r="H3341" s="668"/>
      <c r="I3341" s="668"/>
      <c r="J3341" s="668"/>
      <c r="K3341" s="668"/>
      <c r="L3341" s="668"/>
      <c r="M3341" s="668"/>
    </row>
    <row r="3342" spans="5:13">
      <c r="E3342" s="668"/>
      <c r="F3342" s="668"/>
      <c r="G3342" s="668"/>
      <c r="H3342" s="460" t="s">
        <v>4842</v>
      </c>
      <c r="I3342" s="668"/>
      <c r="J3342" s="668"/>
      <c r="K3342" s="668"/>
      <c r="L3342" s="668"/>
      <c r="M3342" s="668"/>
    </row>
    <row r="3343" spans="5:13" ht="103.5" customHeight="1">
      <c r="E3343" s="668"/>
      <c r="F3343" s="668"/>
      <c r="G3343" s="668"/>
      <c r="H3343" s="667" t="s">
        <v>4843</v>
      </c>
      <c r="I3343" s="668"/>
      <c r="J3343" s="668"/>
      <c r="K3343" s="668"/>
      <c r="L3343" s="668"/>
      <c r="M3343" s="668"/>
    </row>
    <row r="3344" spans="5:13">
      <c r="E3344" s="668"/>
      <c r="F3344" s="668"/>
      <c r="G3344" s="668"/>
      <c r="H3344" s="668"/>
      <c r="I3344" s="668"/>
      <c r="J3344" s="668"/>
      <c r="K3344" s="668"/>
      <c r="L3344" s="668"/>
      <c r="M3344" s="668"/>
    </row>
    <row r="3345" spans="5:13">
      <c r="E3345" s="668"/>
      <c r="F3345" s="668">
        <v>1</v>
      </c>
      <c r="G3345" s="668" t="s">
        <v>5</v>
      </c>
      <c r="H3345" s="460" t="s">
        <v>4686</v>
      </c>
      <c r="I3345" s="701">
        <v>110</v>
      </c>
      <c r="J3345" s="668" t="s">
        <v>5</v>
      </c>
      <c r="K3345" s="668">
        <f>F3345*I3345</f>
        <v>110</v>
      </c>
      <c r="L3345" s="668"/>
      <c r="M3345" s="668"/>
    </row>
    <row r="3346" spans="5:13" ht="52.5" customHeight="1">
      <c r="E3346" s="668"/>
      <c r="F3346" s="668"/>
      <c r="G3346" s="668"/>
      <c r="H3346" s="667" t="s">
        <v>4844</v>
      </c>
      <c r="I3346" s="668"/>
      <c r="J3346" s="668"/>
      <c r="K3346" s="668">
        <v>22.75</v>
      </c>
      <c r="L3346" s="668"/>
      <c r="M3346" s="668"/>
    </row>
    <row r="3347" spans="5:13">
      <c r="E3347" s="668"/>
      <c r="F3347" s="668"/>
      <c r="G3347" s="668"/>
      <c r="H3347" s="668" t="s">
        <v>2389</v>
      </c>
      <c r="I3347" s="668"/>
      <c r="J3347" s="668"/>
      <c r="K3347" s="668">
        <f>K3356</f>
        <v>341.65</v>
      </c>
      <c r="L3347" s="668"/>
      <c r="M3347" s="668"/>
    </row>
    <row r="3348" spans="5:13">
      <c r="E3348" s="668"/>
      <c r="F3348" s="668"/>
      <c r="G3348" s="668"/>
      <c r="H3348" s="676" t="s">
        <v>4714</v>
      </c>
      <c r="I3348" s="668"/>
      <c r="J3348" s="668"/>
      <c r="K3348" s="460">
        <f>SUM(K3345:K3347)</f>
        <v>474.4</v>
      </c>
      <c r="L3348" s="668">
        <f>K3348-376</f>
        <v>98.399999999999977</v>
      </c>
      <c r="M3348" s="668"/>
    </row>
    <row r="3349" spans="5:13">
      <c r="E3349" s="668"/>
      <c r="F3349" s="668"/>
      <c r="G3349" s="668"/>
      <c r="H3349" s="676"/>
      <c r="I3349" s="668"/>
      <c r="J3349" s="668"/>
      <c r="K3349" s="460"/>
      <c r="L3349" s="668"/>
      <c r="M3349" s="668"/>
    </row>
    <row r="3350" spans="5:13">
      <c r="E3350" s="668"/>
      <c r="F3350" s="668"/>
      <c r="G3350" s="668"/>
      <c r="H3350" s="668" t="s">
        <v>2401</v>
      </c>
      <c r="I3350" s="668"/>
      <c r="J3350" s="668"/>
      <c r="K3350" s="668"/>
      <c r="L3350" s="668"/>
      <c r="M3350" s="668"/>
    </row>
    <row r="3351" spans="5:13">
      <c r="E3351" s="668"/>
      <c r="F3351" s="668">
        <v>1</v>
      </c>
      <c r="G3351" s="668"/>
      <c r="H3351" s="668" t="s">
        <v>2418</v>
      </c>
      <c r="I3351" s="668">
        <f>I2867</f>
        <v>636</v>
      </c>
      <c r="J3351" s="668" t="s">
        <v>5</v>
      </c>
      <c r="K3351" s="668">
        <f>F3351*I3351</f>
        <v>636</v>
      </c>
      <c r="L3351" s="668"/>
      <c r="M3351" s="668"/>
    </row>
    <row r="3352" spans="5:13">
      <c r="E3352" s="668"/>
      <c r="F3352" s="668">
        <v>3</v>
      </c>
      <c r="G3352" s="668"/>
      <c r="H3352" s="668" t="s">
        <v>2419</v>
      </c>
      <c r="I3352" s="668">
        <f>I2868</f>
        <v>633</v>
      </c>
      <c r="J3352" s="668" t="s">
        <v>5</v>
      </c>
      <c r="K3352" s="668">
        <f>F3352*I3352</f>
        <v>1899</v>
      </c>
      <c r="L3352" s="668"/>
      <c r="M3352" s="668"/>
    </row>
    <row r="3353" spans="5:13">
      <c r="E3353" s="668"/>
      <c r="F3353" s="668">
        <v>1</v>
      </c>
      <c r="G3353" s="668"/>
      <c r="H3353" s="668" t="s">
        <v>2410</v>
      </c>
      <c r="I3353" s="668">
        <f>I2869</f>
        <v>497</v>
      </c>
      <c r="J3353" s="668" t="s">
        <v>5</v>
      </c>
      <c r="K3353" s="668">
        <f>F3353*I3353</f>
        <v>497</v>
      </c>
      <c r="L3353" s="668"/>
      <c r="M3353" s="668"/>
    </row>
    <row r="3354" spans="5:13">
      <c r="E3354" s="668"/>
      <c r="F3354" s="668">
        <v>0.5</v>
      </c>
      <c r="G3354" s="668"/>
      <c r="H3354" s="668" t="str">
        <f>[3]Elec.Data!H3354</f>
        <v>Mason I ( it-29 /37  ,p-12)</v>
      </c>
      <c r="I3354" s="670">
        <f>[3]Elec.Data!I3354</f>
        <v>769</v>
      </c>
      <c r="J3354" s="668" t="s">
        <v>5</v>
      </c>
      <c r="K3354" s="668">
        <f>F3354*I3354</f>
        <v>384.5</v>
      </c>
      <c r="L3354" s="668"/>
      <c r="M3354" s="668"/>
    </row>
    <row r="3355" spans="5:13">
      <c r="E3355" s="668"/>
      <c r="F3355" s="668"/>
      <c r="G3355" s="668"/>
      <c r="H3355" s="674" t="s">
        <v>4845</v>
      </c>
      <c r="I3355" s="668"/>
      <c r="J3355" s="668"/>
      <c r="K3355" s="675">
        <f>SUM(K3351:K3354)</f>
        <v>3416.5</v>
      </c>
      <c r="L3355" s="668"/>
      <c r="M3355" s="668"/>
    </row>
    <row r="3356" spans="5:13">
      <c r="E3356" s="668"/>
      <c r="F3356" s="668"/>
      <c r="G3356" s="668"/>
      <c r="H3356" s="676" t="s">
        <v>4846</v>
      </c>
      <c r="I3356" s="460"/>
      <c r="J3356" s="460"/>
      <c r="K3356" s="460">
        <f>K3355/10</f>
        <v>341.65</v>
      </c>
      <c r="L3356" s="668"/>
      <c r="M3356" s="668"/>
    </row>
    <row r="3357" spans="5:13">
      <c r="E3357" s="668"/>
      <c r="F3357" s="668"/>
      <c r="G3357" s="668"/>
      <c r="H3357" s="668"/>
      <c r="I3357" s="668"/>
      <c r="J3357" s="668"/>
      <c r="K3357" s="668"/>
      <c r="L3357" s="668"/>
      <c r="M3357" s="668"/>
    </row>
    <row r="3358" spans="5:13">
      <c r="E3358" s="668"/>
      <c r="F3358" s="668"/>
      <c r="G3358" s="668"/>
      <c r="H3358" s="460" t="s">
        <v>4847</v>
      </c>
      <c r="I3358" s="668"/>
      <c r="J3358" s="668"/>
      <c r="K3358" s="668"/>
      <c r="L3358" s="668"/>
      <c r="M3358" s="668"/>
    </row>
    <row r="3359" spans="5:13">
      <c r="E3359" s="668"/>
      <c r="F3359" s="668"/>
      <c r="G3359" s="668"/>
      <c r="H3359" s="460" t="s">
        <v>4848</v>
      </c>
      <c r="I3359" s="668"/>
      <c r="J3359" s="668"/>
      <c r="K3359" s="668"/>
      <c r="L3359" s="668"/>
      <c r="M3359" s="668"/>
    </row>
    <row r="3360" spans="5:13">
      <c r="E3360" s="668"/>
      <c r="F3360" s="668"/>
      <c r="G3360" s="668"/>
      <c r="H3360" s="668"/>
      <c r="I3360" s="668"/>
      <c r="J3360" s="668"/>
      <c r="K3360" s="668"/>
      <c r="L3360" s="668"/>
      <c r="M3360" s="668"/>
    </row>
    <row r="3361" spans="5:13" ht="103.5" customHeight="1">
      <c r="E3361" s="668"/>
      <c r="F3361" s="668"/>
      <c r="G3361" s="668"/>
      <c r="H3361" s="667" t="s">
        <v>4849</v>
      </c>
      <c r="I3361" s="668"/>
      <c r="J3361" s="668"/>
      <c r="K3361" s="668"/>
      <c r="L3361" s="668"/>
      <c r="M3361" s="668"/>
    </row>
    <row r="3362" spans="5:13">
      <c r="E3362" s="668"/>
      <c r="F3362" s="668"/>
      <c r="G3362" s="668"/>
      <c r="H3362" s="668"/>
      <c r="I3362" s="668"/>
      <c r="J3362" s="668"/>
      <c r="K3362" s="668"/>
      <c r="L3362" s="668"/>
      <c r="M3362" s="668"/>
    </row>
    <row r="3363" spans="5:13">
      <c r="E3363" s="668"/>
      <c r="F3363" s="668">
        <v>1</v>
      </c>
      <c r="G3363" s="668" t="s">
        <v>5</v>
      </c>
      <c r="H3363" s="668" t="s">
        <v>4850</v>
      </c>
      <c r="I3363" s="668">
        <f>K3368</f>
        <v>128.47199999999998</v>
      </c>
      <c r="J3363" s="668" t="s">
        <v>556</v>
      </c>
      <c r="K3363" s="668">
        <f>F3363*I3363</f>
        <v>128.47199999999998</v>
      </c>
      <c r="L3363" s="668"/>
      <c r="M3363" s="668"/>
    </row>
    <row r="3364" spans="5:13" ht="51" customHeight="1">
      <c r="E3364" s="668"/>
      <c r="F3364" s="668" t="s">
        <v>170</v>
      </c>
      <c r="G3364" s="668" t="s">
        <v>170</v>
      </c>
      <c r="H3364" s="667" t="s">
        <v>4851</v>
      </c>
      <c r="I3364" s="668" t="s">
        <v>170</v>
      </c>
      <c r="J3364" s="668" t="s">
        <v>170</v>
      </c>
      <c r="K3364" s="668">
        <v>40.33</v>
      </c>
      <c r="L3364" s="668"/>
      <c r="M3364" s="668"/>
    </row>
    <row r="3365" spans="5:13">
      <c r="E3365" s="668"/>
      <c r="F3365" s="668"/>
      <c r="G3365" s="668"/>
      <c r="H3365" s="668" t="s">
        <v>2401</v>
      </c>
      <c r="I3365" s="668"/>
      <c r="J3365" s="668"/>
      <c r="K3365" s="668">
        <f>K3340</f>
        <v>253.5</v>
      </c>
      <c r="L3365" s="668"/>
      <c r="M3365" s="668"/>
    </row>
    <row r="3366" spans="5:13">
      <c r="E3366" s="668"/>
      <c r="F3366" s="668"/>
      <c r="G3366" s="668"/>
      <c r="H3366" s="676" t="s">
        <v>4714</v>
      </c>
      <c r="I3366" s="668"/>
      <c r="J3366" s="668"/>
      <c r="K3366" s="460">
        <f>SUM(K3363:K3365)</f>
        <v>422.30199999999996</v>
      </c>
      <c r="L3366" s="668"/>
      <c r="M3366" s="668"/>
    </row>
    <row r="3367" spans="5:13">
      <c r="E3367" s="668"/>
      <c r="F3367" s="668"/>
      <c r="G3367" s="668"/>
      <c r="H3367" s="668"/>
      <c r="I3367" s="668"/>
      <c r="J3367" s="668"/>
      <c r="K3367" s="460"/>
      <c r="L3367" s="668"/>
      <c r="M3367" s="668"/>
    </row>
    <row r="3368" spans="5:13">
      <c r="E3368" s="668"/>
      <c r="F3368" s="668"/>
      <c r="G3368" s="668"/>
      <c r="H3368" s="460" t="s">
        <v>4850</v>
      </c>
      <c r="I3368" s="668">
        <f>I3335</f>
        <v>107060</v>
      </c>
      <c r="J3368" s="685">
        <f>0.0012</f>
        <v>1.1999999999999999E-3</v>
      </c>
      <c r="K3368" s="460">
        <f>I3368*J3368</f>
        <v>128.47199999999998</v>
      </c>
      <c r="L3368" s="668"/>
      <c r="M3368" s="668"/>
    </row>
    <row r="3369" spans="5:13">
      <c r="E3369" s="668"/>
      <c r="F3369" s="668"/>
      <c r="G3369" s="668"/>
      <c r="H3369" s="668"/>
      <c r="I3369" s="668"/>
      <c r="J3369" s="668"/>
      <c r="K3369" s="668"/>
      <c r="L3369" s="668"/>
      <c r="M3369" s="668"/>
    </row>
    <row r="3370" spans="5:13">
      <c r="E3370" s="668"/>
      <c r="F3370" s="668"/>
      <c r="G3370" s="668"/>
      <c r="H3370" s="460" t="s">
        <v>4834</v>
      </c>
      <c r="I3370" s="668"/>
      <c r="J3370" s="668"/>
      <c r="K3370" s="668"/>
      <c r="L3370" s="668"/>
      <c r="M3370" s="668"/>
    </row>
    <row r="3371" spans="5:13">
      <c r="E3371" s="668"/>
      <c r="F3371" s="668"/>
      <c r="G3371" s="668"/>
      <c r="H3371" s="668"/>
      <c r="I3371" s="668"/>
      <c r="J3371" s="668"/>
      <c r="K3371" s="668"/>
      <c r="L3371" s="668"/>
      <c r="M3371" s="668"/>
    </row>
    <row r="3372" spans="5:13">
      <c r="E3372" s="668"/>
      <c r="F3372" s="668"/>
      <c r="G3372" s="668"/>
      <c r="H3372" s="460" t="s">
        <v>4852</v>
      </c>
      <c r="I3372" s="668"/>
      <c r="J3372" s="668"/>
      <c r="K3372" s="668"/>
      <c r="L3372" s="668"/>
      <c r="M3372" s="668"/>
    </row>
    <row r="3373" spans="5:13">
      <c r="E3373" s="668"/>
      <c r="F3373" s="668"/>
      <c r="G3373" s="668"/>
      <c r="H3373" s="668"/>
      <c r="I3373" s="668"/>
      <c r="J3373" s="668"/>
      <c r="K3373" s="668"/>
      <c r="L3373" s="668"/>
      <c r="M3373" s="668"/>
    </row>
    <row r="3374" spans="5:13" ht="102" customHeight="1">
      <c r="E3374" s="668"/>
      <c r="F3374" s="668"/>
      <c r="G3374" s="668"/>
      <c r="H3374" s="667" t="s">
        <v>4853</v>
      </c>
      <c r="I3374" s="668"/>
      <c r="J3374" s="668"/>
      <c r="K3374" s="668"/>
      <c r="L3374" s="668"/>
      <c r="M3374" s="668"/>
    </row>
    <row r="3375" spans="5:13">
      <c r="E3375" s="668"/>
      <c r="F3375" s="668"/>
      <c r="G3375" s="668"/>
      <c r="H3375" s="668"/>
      <c r="I3375" s="668"/>
      <c r="J3375" s="668"/>
      <c r="K3375" s="668"/>
      <c r="L3375" s="668"/>
      <c r="M3375" s="668"/>
    </row>
    <row r="3376" spans="5:13">
      <c r="E3376" s="668"/>
      <c r="F3376" s="668">
        <v>1</v>
      </c>
      <c r="G3376" s="668" t="s">
        <v>5</v>
      </c>
      <c r="H3376" s="460" t="s">
        <v>4686</v>
      </c>
      <c r="I3376" s="701">
        <v>110</v>
      </c>
      <c r="J3376" s="668" t="s">
        <v>5</v>
      </c>
      <c r="K3376" s="668">
        <f>F3376*I3376</f>
        <v>110</v>
      </c>
      <c r="L3376" s="668"/>
      <c r="M3376" s="668"/>
    </row>
    <row r="3377" spans="5:13" ht="31.5">
      <c r="E3377" s="668"/>
      <c r="F3377" s="668"/>
      <c r="G3377" s="668"/>
      <c r="H3377" s="667" t="s">
        <v>4844</v>
      </c>
      <c r="I3377" s="668"/>
      <c r="J3377" s="668"/>
      <c r="K3377" s="668">
        <v>35.75</v>
      </c>
      <c r="L3377" s="668"/>
      <c r="M3377" s="668"/>
    </row>
    <row r="3378" spans="5:13">
      <c r="E3378" s="668"/>
      <c r="F3378" s="668"/>
      <c r="G3378" s="668"/>
      <c r="H3378" s="668" t="s">
        <v>2389</v>
      </c>
      <c r="I3378" s="668"/>
      <c r="J3378" s="668"/>
      <c r="K3378" s="668">
        <f>K3356</f>
        <v>341.65</v>
      </c>
      <c r="L3378" s="668"/>
      <c r="M3378" s="668"/>
    </row>
    <row r="3379" spans="5:13">
      <c r="E3379" s="668"/>
      <c r="F3379" s="668"/>
      <c r="G3379" s="668"/>
      <c r="H3379" s="676" t="s">
        <v>4714</v>
      </c>
      <c r="I3379" s="668"/>
      <c r="J3379" s="668"/>
      <c r="K3379" s="460">
        <f>SUM(K3376:K3378)</f>
        <v>487.4</v>
      </c>
      <c r="L3379" s="668">
        <f>389-K3379</f>
        <v>-98.399999999999977</v>
      </c>
      <c r="M3379" s="668"/>
    </row>
    <row r="3380" spans="5:13">
      <c r="E3380" s="668"/>
      <c r="F3380" s="668"/>
      <c r="G3380" s="668"/>
      <c r="H3380" s="668"/>
      <c r="I3380" s="668"/>
      <c r="J3380" s="668"/>
      <c r="K3380" s="668"/>
      <c r="L3380" s="668"/>
      <c r="M3380" s="668"/>
    </row>
    <row r="3381" spans="5:13">
      <c r="E3381" s="668"/>
      <c r="F3381" s="668"/>
      <c r="G3381" s="668"/>
      <c r="H3381" s="460" t="s">
        <v>4854</v>
      </c>
      <c r="I3381" s="668"/>
      <c r="J3381" s="668"/>
      <c r="K3381" s="668"/>
      <c r="L3381" s="668"/>
      <c r="M3381" s="668"/>
    </row>
    <row r="3382" spans="5:13">
      <c r="E3382" s="668"/>
      <c r="F3382" s="668"/>
      <c r="G3382" s="668"/>
      <c r="H3382" s="460" t="s">
        <v>1537</v>
      </c>
      <c r="I3382" s="668"/>
      <c r="J3382" s="668"/>
      <c r="K3382" s="668"/>
      <c r="L3382" s="668"/>
      <c r="M3382" s="668"/>
    </row>
    <row r="3383" spans="5:13">
      <c r="E3383" s="668"/>
      <c r="F3383" s="668"/>
      <c r="G3383" s="668"/>
      <c r="H3383" s="668"/>
      <c r="I3383" s="668"/>
      <c r="J3383" s="668"/>
      <c r="K3383" s="668"/>
      <c r="L3383" s="668"/>
      <c r="M3383" s="668"/>
    </row>
    <row r="3384" spans="5:13" ht="39" customHeight="1">
      <c r="E3384" s="668"/>
      <c r="F3384" s="668">
        <v>1</v>
      </c>
      <c r="G3384" s="668" t="s">
        <v>5</v>
      </c>
      <c r="H3384" s="667" t="str">
        <f>[3]Elec.Data!H3384</f>
        <v>25 Amps rating single phase ELCB with 10 to 25 MA sensitivity (ISI make ) (DP) P-132   9-b havells  part -L</v>
      </c>
      <c r="I3384" s="670">
        <f>[3]Elec.Data!I3384</f>
        <v>1492</v>
      </c>
      <c r="J3384" s="668" t="s">
        <v>5</v>
      </c>
      <c r="K3384" s="460">
        <f>F3384*I3384</f>
        <v>1492</v>
      </c>
      <c r="L3384" s="668"/>
      <c r="M3384" s="668"/>
    </row>
    <row r="3385" spans="5:13">
      <c r="E3385" s="668"/>
      <c r="F3385" s="668"/>
      <c r="G3385" s="668"/>
      <c r="H3385" s="668"/>
      <c r="I3385" s="668"/>
      <c r="J3385" s="668"/>
      <c r="K3385" s="668"/>
      <c r="L3385" s="668"/>
      <c r="M3385" s="668"/>
    </row>
    <row r="3386" spans="5:13">
      <c r="E3386" s="668"/>
      <c r="F3386" s="668"/>
      <c r="G3386" s="668"/>
      <c r="H3386" s="460" t="s">
        <v>4855</v>
      </c>
      <c r="I3386" s="668"/>
      <c r="J3386" s="668"/>
      <c r="K3386" s="668"/>
      <c r="L3386" s="668"/>
      <c r="M3386" s="668"/>
    </row>
    <row r="3387" spans="5:13">
      <c r="E3387" s="668"/>
      <c r="F3387" s="668"/>
      <c r="G3387" s="668"/>
      <c r="H3387" s="460" t="s">
        <v>1174</v>
      </c>
      <c r="I3387" s="668"/>
      <c r="J3387" s="668"/>
      <c r="K3387" s="668"/>
      <c r="L3387" s="668"/>
      <c r="M3387" s="668"/>
    </row>
    <row r="3388" spans="5:13">
      <c r="E3388" s="668"/>
      <c r="F3388" s="668"/>
      <c r="G3388" s="668"/>
      <c r="H3388" s="668"/>
      <c r="I3388" s="668"/>
      <c r="J3388" s="668"/>
      <c r="K3388" s="668"/>
      <c r="L3388" s="668"/>
      <c r="M3388" s="668"/>
    </row>
    <row r="3389" spans="5:13" ht="36.75" customHeight="1">
      <c r="E3389" s="668"/>
      <c r="F3389" s="668">
        <v>1</v>
      </c>
      <c r="G3389" s="668" t="s">
        <v>5</v>
      </c>
      <c r="H3389" s="667" t="s">
        <v>4856</v>
      </c>
      <c r="I3389" s="670">
        <f>[3]Elec.Data!I3389</f>
        <v>1840</v>
      </c>
      <c r="J3389" s="668" t="s">
        <v>5</v>
      </c>
      <c r="K3389" s="682">
        <f>F3389*I3389</f>
        <v>1840</v>
      </c>
      <c r="L3389" s="668"/>
      <c r="M3389" s="668"/>
    </row>
    <row r="3390" spans="5:13" ht="7.5" customHeight="1">
      <c r="E3390" s="668"/>
      <c r="F3390" s="668"/>
      <c r="G3390" s="668"/>
      <c r="H3390" s="668"/>
      <c r="I3390" s="668"/>
      <c r="J3390" s="668"/>
      <c r="K3390" s="668"/>
      <c r="L3390" s="668"/>
      <c r="M3390" s="668"/>
    </row>
    <row r="3391" spans="5:13">
      <c r="E3391" s="668"/>
      <c r="F3391" s="668"/>
      <c r="G3391" s="668"/>
      <c r="H3391" s="460" t="s">
        <v>4857</v>
      </c>
      <c r="I3391" s="668"/>
      <c r="J3391" s="668"/>
      <c r="K3391" s="668"/>
      <c r="L3391" s="668"/>
      <c r="M3391" s="668"/>
    </row>
    <row r="3392" spans="5:13">
      <c r="E3392" s="668"/>
      <c r="F3392" s="668"/>
      <c r="G3392" s="668"/>
      <c r="H3392" s="460" t="s">
        <v>4858</v>
      </c>
      <c r="I3392" s="668"/>
      <c r="J3392" s="668"/>
      <c r="K3392" s="668"/>
      <c r="L3392" s="668"/>
      <c r="M3392" s="668"/>
    </row>
    <row r="3393" spans="5:15">
      <c r="E3393" s="668"/>
      <c r="F3393" s="668"/>
      <c r="G3393" s="668"/>
      <c r="H3393" s="675" t="s">
        <v>4859</v>
      </c>
      <c r="I3393" s="668"/>
      <c r="J3393" s="668"/>
      <c r="K3393" s="668"/>
      <c r="L3393" s="668"/>
      <c r="M3393" s="668"/>
    </row>
    <row r="3394" spans="5:15">
      <c r="E3394" s="668"/>
      <c r="F3394" s="668"/>
      <c r="G3394" s="668"/>
      <c r="H3394" s="668"/>
      <c r="I3394" s="668"/>
      <c r="J3394" s="668"/>
      <c r="K3394" s="668"/>
      <c r="L3394" s="668"/>
      <c r="M3394" s="668"/>
    </row>
    <row r="3395" spans="5:15" ht="63">
      <c r="E3395" s="668"/>
      <c r="F3395" s="668"/>
      <c r="G3395" s="668"/>
      <c r="H3395" s="667" t="s">
        <v>4860</v>
      </c>
      <c r="I3395" s="668"/>
      <c r="J3395" s="668"/>
      <c r="K3395" s="668"/>
      <c r="L3395" s="667" t="s">
        <v>4861</v>
      </c>
      <c r="M3395" s="667" t="s">
        <v>4862</v>
      </c>
      <c r="N3395" s="667" t="s">
        <v>4863</v>
      </c>
      <c r="O3395" s="667" t="s">
        <v>4864</v>
      </c>
    </row>
    <row r="3396" spans="5:15">
      <c r="E3396" s="668"/>
      <c r="F3396" s="668">
        <v>1</v>
      </c>
      <c r="G3396" s="668" t="s">
        <v>5</v>
      </c>
      <c r="H3396" s="668" t="s">
        <v>4865</v>
      </c>
      <c r="I3396" s="670">
        <f>[3]Elec.Data!I3396</f>
        <v>83.6</v>
      </c>
      <c r="J3396" s="668" t="s">
        <v>5</v>
      </c>
      <c r="K3396" s="668">
        <f>F3396*I3396</f>
        <v>83.6</v>
      </c>
      <c r="L3396" s="668">
        <f>[3]Elec.Data!L3396</f>
        <v>186.6</v>
      </c>
      <c r="M3396" s="668">
        <f>[3]Elec.Data!M3396</f>
        <v>47.2</v>
      </c>
      <c r="N3396" s="668">
        <f>[3]Elec.Data!N3396</f>
        <v>337</v>
      </c>
      <c r="O3396" s="680">
        <f>[3]Elec.Data!O3396</f>
        <v>545</v>
      </c>
    </row>
    <row r="3397" spans="5:15">
      <c r="E3397" s="668"/>
      <c r="F3397" s="668">
        <v>1</v>
      </c>
      <c r="G3397" s="668" t="s">
        <v>5</v>
      </c>
      <c r="H3397" s="668" t="s">
        <v>4866</v>
      </c>
      <c r="I3397" s="668">
        <f>K3402</f>
        <v>32.117999999999995</v>
      </c>
      <c r="J3397" s="668" t="s">
        <v>5</v>
      </c>
      <c r="K3397" s="668">
        <f>F3397*I3397</f>
        <v>32.117999999999995</v>
      </c>
      <c r="L3397" s="668">
        <f t="shared" ref="L3397:O3399" si="98">K3397</f>
        <v>32.117999999999995</v>
      </c>
      <c r="M3397" s="668">
        <f t="shared" si="98"/>
        <v>32.117999999999995</v>
      </c>
      <c r="N3397" s="668">
        <f t="shared" si="98"/>
        <v>32.117999999999995</v>
      </c>
      <c r="O3397" s="522">
        <f t="shared" si="98"/>
        <v>32.117999999999995</v>
      </c>
    </row>
    <row r="3398" spans="5:15">
      <c r="E3398" s="668"/>
      <c r="F3398" s="668"/>
      <c r="G3398" s="668"/>
      <c r="H3398" s="668" t="s">
        <v>2389</v>
      </c>
      <c r="I3398" s="668"/>
      <c r="J3398" s="668"/>
      <c r="K3398" s="668">
        <f>K3409</f>
        <v>345</v>
      </c>
      <c r="L3398" s="668">
        <f t="shared" si="98"/>
        <v>345</v>
      </c>
      <c r="M3398" s="668">
        <f t="shared" si="98"/>
        <v>345</v>
      </c>
      <c r="N3398" s="668">
        <f t="shared" si="98"/>
        <v>345</v>
      </c>
      <c r="O3398" s="522">
        <f t="shared" si="98"/>
        <v>345</v>
      </c>
    </row>
    <row r="3399" spans="5:15">
      <c r="E3399" s="668"/>
      <c r="F3399" s="668"/>
      <c r="G3399" s="668"/>
      <c r="H3399" s="668" t="s">
        <v>4867</v>
      </c>
      <c r="I3399" s="668" t="s">
        <v>170</v>
      </c>
      <c r="J3399" s="668"/>
      <c r="K3399" s="668">
        <v>5.05</v>
      </c>
      <c r="L3399" s="668">
        <f t="shared" si="98"/>
        <v>5.05</v>
      </c>
      <c r="M3399" s="668">
        <f t="shared" si="98"/>
        <v>5.05</v>
      </c>
      <c r="N3399" s="668">
        <f t="shared" si="98"/>
        <v>5.05</v>
      </c>
      <c r="O3399" s="522">
        <f t="shared" si="98"/>
        <v>5.05</v>
      </c>
    </row>
    <row r="3400" spans="5:15">
      <c r="E3400" s="668"/>
      <c r="F3400" s="668"/>
      <c r="G3400" s="668"/>
      <c r="H3400" s="676" t="s">
        <v>4714</v>
      </c>
      <c r="I3400" s="668"/>
      <c r="J3400" s="668"/>
      <c r="K3400" s="460">
        <f>SUM(K3396:K3399)</f>
        <v>465.76799999999997</v>
      </c>
      <c r="L3400" s="460">
        <f>SUM(L3396:L3399)</f>
        <v>568.76799999999992</v>
      </c>
      <c r="M3400" s="460">
        <f>SUM(M3396:M3399)</f>
        <v>429.36799999999999</v>
      </c>
      <c r="N3400" s="460">
        <f>SUM(N3396:N3399)</f>
        <v>719.16799999999989</v>
      </c>
      <c r="O3400" s="460">
        <f>SUM(O3396:O3399)</f>
        <v>927.16799999999989</v>
      </c>
    </row>
    <row r="3401" spans="5:15" ht="9.75" customHeight="1">
      <c r="E3401" s="668"/>
      <c r="F3401" s="668"/>
      <c r="G3401" s="668"/>
      <c r="H3401" s="668"/>
      <c r="I3401" s="668"/>
      <c r="J3401" s="668"/>
      <c r="K3401" s="668"/>
      <c r="L3401" s="668"/>
      <c r="M3401" s="668"/>
    </row>
    <row r="3402" spans="5:15">
      <c r="E3402" s="668"/>
      <c r="F3402" s="668"/>
      <c r="G3402" s="668"/>
      <c r="H3402" s="460" t="s">
        <v>4868</v>
      </c>
      <c r="I3402" s="668">
        <f>I3368</f>
        <v>107060</v>
      </c>
      <c r="J3402" s="685">
        <v>2.9999999999999997E-4</v>
      </c>
      <c r="K3402" s="460">
        <f>I3402*J3402</f>
        <v>32.117999999999995</v>
      </c>
      <c r="L3402" s="668"/>
      <c r="M3402" s="668"/>
    </row>
    <row r="3403" spans="5:15">
      <c r="E3403" s="668"/>
      <c r="F3403" s="668"/>
      <c r="G3403" s="668"/>
      <c r="H3403" s="668"/>
      <c r="I3403" s="668"/>
      <c r="J3403" s="668"/>
      <c r="K3403" s="668"/>
      <c r="L3403" s="668"/>
      <c r="M3403" s="668"/>
    </row>
    <row r="3404" spans="5:15">
      <c r="E3404" s="668"/>
      <c r="F3404" s="668"/>
      <c r="G3404" s="668"/>
      <c r="H3404" s="675" t="s">
        <v>2401</v>
      </c>
      <c r="I3404" s="668"/>
      <c r="J3404" s="668"/>
      <c r="K3404" s="668"/>
      <c r="L3404" s="668"/>
      <c r="M3404" s="668"/>
    </row>
    <row r="3405" spans="5:15">
      <c r="E3405" s="668"/>
      <c r="F3405" s="668">
        <v>1</v>
      </c>
      <c r="G3405" s="668" t="s">
        <v>5</v>
      </c>
      <c r="H3405" s="668" t="s">
        <v>2418</v>
      </c>
      <c r="I3405" s="668">
        <f>I3351</f>
        <v>636</v>
      </c>
      <c r="J3405" s="668" t="s">
        <v>5</v>
      </c>
      <c r="K3405" s="668">
        <f>F3405*I3405</f>
        <v>636</v>
      </c>
      <c r="L3405" s="668"/>
      <c r="M3405" s="668"/>
    </row>
    <row r="3406" spans="5:15">
      <c r="E3406" s="668"/>
      <c r="F3406" s="668">
        <v>1</v>
      </c>
      <c r="G3406" s="668" t="s">
        <v>5</v>
      </c>
      <c r="H3406" s="668" t="s">
        <v>2419</v>
      </c>
      <c r="I3406" s="668">
        <f>I3352</f>
        <v>633</v>
      </c>
      <c r="J3406" s="668" t="s">
        <v>5</v>
      </c>
      <c r="K3406" s="668">
        <f>F3406*I3406</f>
        <v>633</v>
      </c>
      <c r="L3406" s="668"/>
      <c r="M3406" s="668"/>
    </row>
    <row r="3407" spans="5:15">
      <c r="E3407" s="668"/>
      <c r="F3407" s="668">
        <v>3</v>
      </c>
      <c r="G3407" s="668" t="s">
        <v>5</v>
      </c>
      <c r="H3407" s="668" t="s">
        <v>2410</v>
      </c>
      <c r="I3407" s="668">
        <f>I3353</f>
        <v>497</v>
      </c>
      <c r="J3407" s="668" t="s">
        <v>5</v>
      </c>
      <c r="K3407" s="668">
        <f>F3407*I3407</f>
        <v>1491</v>
      </c>
      <c r="L3407" s="668"/>
      <c r="M3407" s="668"/>
    </row>
    <row r="3408" spans="5:15">
      <c r="E3408" s="668"/>
      <c r="F3408" s="668"/>
      <c r="G3408" s="668"/>
      <c r="H3408" s="674" t="s">
        <v>2372</v>
      </c>
      <c r="I3408" s="668"/>
      <c r="J3408" s="668"/>
      <c r="K3408" s="668">
        <f>SUM(K3405:K3407)</f>
        <v>2760</v>
      </c>
      <c r="L3408" s="668"/>
      <c r="M3408" s="668"/>
    </row>
    <row r="3409" spans="5:13">
      <c r="E3409" s="668"/>
      <c r="F3409" s="668"/>
      <c r="G3409" s="668"/>
      <c r="H3409" s="676" t="s">
        <v>2373</v>
      </c>
      <c r="I3409" s="668"/>
      <c r="J3409" s="668"/>
      <c r="K3409" s="460">
        <f>K3408/8</f>
        <v>345</v>
      </c>
      <c r="L3409" s="668"/>
      <c r="M3409" s="668"/>
    </row>
    <row r="3410" spans="5:13" ht="9" customHeight="1">
      <c r="E3410" s="668"/>
      <c r="F3410" s="668"/>
      <c r="G3410" s="668"/>
      <c r="H3410" s="668"/>
      <c r="I3410" s="668"/>
      <c r="J3410" s="668"/>
      <c r="K3410" s="668"/>
      <c r="L3410" s="668"/>
      <c r="M3410" s="668"/>
    </row>
    <row r="3411" spans="5:13">
      <c r="E3411" s="668"/>
      <c r="F3411" s="668"/>
      <c r="G3411" s="668"/>
      <c r="H3411" s="460" t="s">
        <v>2374</v>
      </c>
      <c r="I3411" s="668"/>
      <c r="J3411" s="668"/>
      <c r="K3411" s="668"/>
      <c r="L3411" s="668"/>
      <c r="M3411" s="668"/>
    </row>
    <row r="3412" spans="5:13">
      <c r="E3412" s="668"/>
      <c r="F3412" s="668"/>
      <c r="G3412" s="668"/>
      <c r="H3412" s="460" t="s">
        <v>2375</v>
      </c>
      <c r="I3412" s="668"/>
      <c r="J3412" s="668"/>
      <c r="K3412" s="668"/>
      <c r="L3412" s="668"/>
      <c r="M3412" s="668"/>
    </row>
    <row r="3413" spans="5:13">
      <c r="E3413" s="668"/>
      <c r="F3413" s="668"/>
      <c r="G3413" s="668"/>
      <c r="H3413" s="668"/>
      <c r="I3413" s="668"/>
      <c r="J3413" s="668"/>
      <c r="K3413" s="668"/>
      <c r="L3413" s="668"/>
      <c r="M3413" s="668"/>
    </row>
    <row r="3414" spans="5:13" ht="63">
      <c r="E3414" s="668"/>
      <c r="F3414" s="668"/>
      <c r="G3414" s="668"/>
      <c r="H3414" s="667" t="s">
        <v>2376</v>
      </c>
      <c r="I3414" s="668"/>
      <c r="J3414" s="668"/>
      <c r="K3414" s="668"/>
      <c r="L3414" s="668" t="s">
        <v>4869</v>
      </c>
      <c r="M3414" s="668"/>
    </row>
    <row r="3415" spans="5:13">
      <c r="E3415" s="668"/>
      <c r="F3415" s="668">
        <v>3</v>
      </c>
      <c r="G3415" s="668" t="s">
        <v>5</v>
      </c>
      <c r="H3415" s="668" t="s">
        <v>4865</v>
      </c>
      <c r="I3415" s="670">
        <f>I3396</f>
        <v>83.6</v>
      </c>
      <c r="J3415" s="668" t="s">
        <v>556</v>
      </c>
      <c r="K3415" s="668">
        <f>F3415*I3415</f>
        <v>250.79999999999998</v>
      </c>
      <c r="L3415" s="668">
        <f>L3396*3</f>
        <v>559.79999999999995</v>
      </c>
      <c r="M3415" s="668"/>
    </row>
    <row r="3416" spans="5:13">
      <c r="E3416" s="668"/>
      <c r="F3416" s="668">
        <v>1</v>
      </c>
      <c r="G3416" s="668" t="s">
        <v>5</v>
      </c>
      <c r="H3416" s="668" t="s">
        <v>2377</v>
      </c>
      <c r="I3416" s="668">
        <f>K3421</f>
        <v>64.23599999999999</v>
      </c>
      <c r="J3416" s="668" t="s">
        <v>5</v>
      </c>
      <c r="K3416" s="668">
        <f>F3416*I3416</f>
        <v>64.23599999999999</v>
      </c>
      <c r="L3416" s="668">
        <f>K3416</f>
        <v>64.23599999999999</v>
      </c>
      <c r="M3416" s="668"/>
    </row>
    <row r="3417" spans="5:13">
      <c r="E3417" s="668"/>
      <c r="F3417" s="668"/>
      <c r="G3417" s="668"/>
      <c r="H3417" s="668" t="s">
        <v>2389</v>
      </c>
      <c r="I3417" s="668"/>
      <c r="J3417" s="668"/>
      <c r="K3417" s="668">
        <f>K3428</f>
        <v>407.125</v>
      </c>
      <c r="L3417" s="668">
        <f>K3417</f>
        <v>407.125</v>
      </c>
      <c r="M3417" s="668"/>
    </row>
    <row r="3418" spans="5:13">
      <c r="E3418" s="668"/>
      <c r="F3418" s="668"/>
      <c r="G3418" s="668"/>
      <c r="H3418" s="668" t="s">
        <v>4867</v>
      </c>
      <c r="I3418" s="668" t="s">
        <v>170</v>
      </c>
      <c r="J3418" s="668"/>
      <c r="K3418" s="668">
        <v>8.5299999999999994</v>
      </c>
      <c r="L3418" s="668">
        <f>K3418</f>
        <v>8.5299999999999994</v>
      </c>
      <c r="M3418" s="668"/>
    </row>
    <row r="3419" spans="5:13">
      <c r="E3419" s="668"/>
      <c r="F3419" s="668"/>
      <c r="G3419" s="668"/>
      <c r="H3419" s="676" t="s">
        <v>4714</v>
      </c>
      <c r="I3419" s="668"/>
      <c r="J3419" s="668"/>
      <c r="K3419" s="460">
        <f>SUM(K3415:K3418)</f>
        <v>730.69099999999992</v>
      </c>
      <c r="L3419" s="460">
        <f>SUM(L3415:L3418)</f>
        <v>1039.691</v>
      </c>
      <c r="M3419" s="668"/>
    </row>
    <row r="3420" spans="5:13">
      <c r="E3420" s="668"/>
      <c r="F3420" s="668"/>
      <c r="G3420" s="668"/>
      <c r="H3420" s="676"/>
      <c r="I3420" s="668"/>
      <c r="J3420" s="668"/>
      <c r="K3420" s="460"/>
      <c r="L3420" s="668"/>
      <c r="M3420" s="668"/>
    </row>
    <row r="3421" spans="5:13">
      <c r="E3421" s="668"/>
      <c r="F3421" s="668"/>
      <c r="G3421" s="668"/>
      <c r="H3421" s="460" t="s">
        <v>2377</v>
      </c>
      <c r="I3421" s="668">
        <f>I3402</f>
        <v>107060</v>
      </c>
      <c r="J3421" s="685">
        <v>5.9999999999999995E-4</v>
      </c>
      <c r="K3421" s="460">
        <f>I3421*J3421</f>
        <v>64.23599999999999</v>
      </c>
      <c r="L3421" s="668"/>
      <c r="M3421" s="668"/>
    </row>
    <row r="3422" spans="5:13">
      <c r="E3422" s="668"/>
      <c r="F3422" s="668"/>
      <c r="G3422" s="668"/>
      <c r="H3422" s="676"/>
      <c r="I3422" s="668"/>
      <c r="J3422" s="668"/>
      <c r="K3422" s="668"/>
      <c r="L3422" s="668"/>
      <c r="M3422" s="668"/>
    </row>
    <row r="3423" spans="5:13">
      <c r="E3423" s="668"/>
      <c r="F3423" s="668"/>
      <c r="G3423" s="668"/>
      <c r="H3423" s="675" t="s">
        <v>2401</v>
      </c>
      <c r="I3423" s="668"/>
      <c r="J3423" s="668"/>
      <c r="K3423" s="668"/>
      <c r="L3423" s="668"/>
      <c r="M3423" s="668"/>
    </row>
    <row r="3424" spans="5:13">
      <c r="E3424" s="668"/>
      <c r="F3424" s="668">
        <v>1</v>
      </c>
      <c r="G3424" s="668" t="s">
        <v>5</v>
      </c>
      <c r="H3424" s="668" t="s">
        <v>2418</v>
      </c>
      <c r="I3424" s="668">
        <f>I3405</f>
        <v>636</v>
      </c>
      <c r="J3424" s="668" t="s">
        <v>5</v>
      </c>
      <c r="K3424" s="668">
        <f>F3424*I3424</f>
        <v>636</v>
      </c>
      <c r="L3424" s="668"/>
      <c r="M3424" s="668"/>
    </row>
    <row r="3425" spans="5:13">
      <c r="E3425" s="668"/>
      <c r="F3425" s="668">
        <v>1</v>
      </c>
      <c r="G3425" s="668" t="s">
        <v>5</v>
      </c>
      <c r="H3425" s="668" t="s">
        <v>2419</v>
      </c>
      <c r="I3425" s="668">
        <f>I3406</f>
        <v>633</v>
      </c>
      <c r="J3425" s="668" t="s">
        <v>5</v>
      </c>
      <c r="K3425" s="668">
        <f>F3425*I3425</f>
        <v>633</v>
      </c>
      <c r="L3425" s="668"/>
      <c r="M3425" s="668"/>
    </row>
    <row r="3426" spans="5:13">
      <c r="E3426" s="668"/>
      <c r="F3426" s="668">
        <v>4</v>
      </c>
      <c r="G3426" s="668" t="s">
        <v>5</v>
      </c>
      <c r="H3426" s="668" t="s">
        <v>2410</v>
      </c>
      <c r="I3426" s="668">
        <f>I3407</f>
        <v>497</v>
      </c>
      <c r="J3426" s="668" t="s">
        <v>5</v>
      </c>
      <c r="K3426" s="668">
        <f>F3426*I3426</f>
        <v>1988</v>
      </c>
      <c r="L3426" s="668"/>
      <c r="M3426" s="668"/>
    </row>
    <row r="3427" spans="5:13">
      <c r="E3427" s="668"/>
      <c r="F3427" s="668"/>
      <c r="G3427" s="668"/>
      <c r="H3427" s="674" t="s">
        <v>2372</v>
      </c>
      <c r="I3427" s="668"/>
      <c r="J3427" s="668"/>
      <c r="K3427" s="668">
        <f>SUM(K3424:K3426)</f>
        <v>3257</v>
      </c>
      <c r="L3427" s="668"/>
      <c r="M3427" s="668"/>
    </row>
    <row r="3428" spans="5:13">
      <c r="E3428" s="668"/>
      <c r="F3428" s="668"/>
      <c r="G3428" s="668"/>
      <c r="H3428" s="676" t="s">
        <v>4617</v>
      </c>
      <c r="I3428" s="668"/>
      <c r="J3428" s="668"/>
      <c r="K3428" s="460">
        <f>K3427/8</f>
        <v>407.125</v>
      </c>
      <c r="L3428" s="668"/>
      <c r="M3428" s="668"/>
    </row>
    <row r="3429" spans="5:13">
      <c r="E3429" s="668"/>
      <c r="F3429" s="668"/>
      <c r="G3429" s="668"/>
      <c r="H3429" s="668"/>
      <c r="I3429" s="668"/>
      <c r="J3429" s="668"/>
      <c r="K3429" s="668"/>
      <c r="L3429" s="668"/>
      <c r="M3429" s="668"/>
    </row>
    <row r="3430" spans="5:13">
      <c r="E3430" s="668"/>
      <c r="F3430" s="668"/>
      <c r="G3430" s="668"/>
      <c r="H3430" s="460" t="s">
        <v>4870</v>
      </c>
      <c r="I3430" s="668"/>
      <c r="J3430" s="668"/>
      <c r="K3430" s="668"/>
      <c r="L3430" s="668"/>
      <c r="M3430" s="668"/>
    </row>
    <row r="3431" spans="5:13">
      <c r="E3431" s="668"/>
      <c r="F3431" s="668"/>
      <c r="G3431" s="668"/>
      <c r="H3431" s="668"/>
      <c r="I3431" s="668"/>
      <c r="J3431" s="668"/>
      <c r="K3431" s="668"/>
      <c r="L3431" s="668"/>
      <c r="M3431" s="668"/>
    </row>
    <row r="3432" spans="5:13">
      <c r="E3432" s="668"/>
      <c r="F3432" s="668"/>
      <c r="G3432" s="668"/>
      <c r="H3432" s="460" t="s">
        <v>4871</v>
      </c>
      <c r="I3432" s="668"/>
      <c r="J3432" s="668"/>
      <c r="K3432" s="668"/>
      <c r="L3432" s="668"/>
      <c r="M3432" s="668"/>
    </row>
    <row r="3433" spans="5:13">
      <c r="E3433" s="668"/>
      <c r="F3433" s="668"/>
      <c r="G3433" s="668"/>
      <c r="H3433" s="668"/>
      <c r="I3433" s="668"/>
      <c r="J3433" s="668"/>
      <c r="K3433" s="668"/>
      <c r="L3433" s="668"/>
      <c r="M3433" s="668"/>
    </row>
    <row r="3434" spans="5:13" ht="81" customHeight="1">
      <c r="E3434" s="668"/>
      <c r="F3434" s="668"/>
      <c r="G3434" s="668"/>
      <c r="H3434" s="667" t="s">
        <v>4872</v>
      </c>
      <c r="I3434" s="668"/>
      <c r="J3434" s="668"/>
      <c r="K3434" s="668"/>
      <c r="L3434" s="668"/>
      <c r="M3434" s="668"/>
    </row>
    <row r="3435" spans="5:13">
      <c r="E3435" s="668"/>
      <c r="F3435" s="668"/>
      <c r="G3435" s="668"/>
      <c r="H3435" s="668"/>
      <c r="I3435" s="668"/>
      <c r="J3435" s="668"/>
      <c r="K3435" s="668"/>
      <c r="L3435" s="668"/>
      <c r="M3435" s="668"/>
    </row>
    <row r="3436" spans="5:13">
      <c r="E3436" s="668"/>
      <c r="F3436" s="668">
        <v>1</v>
      </c>
      <c r="G3436" s="668" t="s">
        <v>5</v>
      </c>
      <c r="H3436" s="668" t="s">
        <v>4873</v>
      </c>
      <c r="I3436" s="670">
        <v>45.6</v>
      </c>
      <c r="J3436" s="668" t="s">
        <v>5</v>
      </c>
      <c r="K3436" s="668">
        <f>F3436*I3436</f>
        <v>45.6</v>
      </c>
      <c r="L3436" s="668"/>
      <c r="M3436" s="668"/>
    </row>
    <row r="3437" spans="5:13">
      <c r="E3437" s="668"/>
      <c r="F3437" s="668">
        <v>1</v>
      </c>
      <c r="G3437" s="668" t="s">
        <v>5</v>
      </c>
      <c r="H3437" s="667" t="s">
        <v>4874</v>
      </c>
      <c r="I3437" s="668">
        <f>K3443</f>
        <v>240.88499999999999</v>
      </c>
      <c r="J3437" s="668" t="s">
        <v>5</v>
      </c>
      <c r="K3437" s="668">
        <f>F3437*I3437</f>
        <v>240.88499999999999</v>
      </c>
      <c r="L3437" s="668"/>
      <c r="M3437" s="668"/>
    </row>
    <row r="3438" spans="5:13">
      <c r="E3438" s="668"/>
      <c r="F3438" s="668">
        <v>1</v>
      </c>
      <c r="G3438" s="668" t="s">
        <v>5</v>
      </c>
      <c r="H3438" s="668" t="s">
        <v>2399</v>
      </c>
      <c r="I3438" s="698">
        <v>25</v>
      </c>
      <c r="J3438" s="668" t="s">
        <v>2400</v>
      </c>
      <c r="K3438" s="668">
        <f>F3438*I3438</f>
        <v>25</v>
      </c>
      <c r="L3438" s="668"/>
      <c r="M3438" s="668"/>
    </row>
    <row r="3439" spans="5:13">
      <c r="E3439" s="668"/>
      <c r="F3439" s="668"/>
      <c r="G3439" s="668"/>
      <c r="H3439" s="668" t="s">
        <v>2401</v>
      </c>
      <c r="I3439" s="668"/>
      <c r="J3439" s="668"/>
      <c r="K3439" s="668">
        <f>K3449</f>
        <v>407.5</v>
      </c>
      <c r="L3439" s="668"/>
      <c r="M3439" s="668"/>
    </row>
    <row r="3440" spans="5:13">
      <c r="E3440" s="668"/>
      <c r="F3440" s="668"/>
      <c r="G3440" s="668"/>
      <c r="H3440" s="668" t="s">
        <v>2402</v>
      </c>
      <c r="I3440" s="668"/>
      <c r="J3440" s="668"/>
      <c r="K3440" s="668">
        <v>8.01</v>
      </c>
      <c r="L3440" s="668"/>
      <c r="M3440" s="668"/>
    </row>
    <row r="3441" spans="5:13">
      <c r="E3441" s="668"/>
      <c r="F3441" s="668"/>
      <c r="G3441" s="668"/>
      <c r="H3441" s="676" t="s">
        <v>2420</v>
      </c>
      <c r="I3441" s="668"/>
      <c r="J3441" s="668"/>
      <c r="K3441" s="460">
        <f>SUM(K3436:K3440)</f>
        <v>726.995</v>
      </c>
      <c r="L3441" s="668"/>
      <c r="M3441" s="668"/>
    </row>
    <row r="3442" spans="5:13" ht="8.25" customHeight="1">
      <c r="E3442" s="668"/>
      <c r="F3442" s="668"/>
      <c r="G3442" s="668"/>
      <c r="H3442" s="668"/>
      <c r="I3442" s="668"/>
      <c r="J3442" s="668"/>
      <c r="K3442" s="668"/>
      <c r="L3442" s="668"/>
      <c r="M3442" s="668"/>
    </row>
    <row r="3443" spans="5:13">
      <c r="E3443" s="668"/>
      <c r="F3443" s="668"/>
      <c r="G3443" s="668"/>
      <c r="H3443" s="460" t="s">
        <v>4875</v>
      </c>
      <c r="I3443" s="668">
        <f>I3421</f>
        <v>107060</v>
      </c>
      <c r="J3443" s="702">
        <v>2.2499999999999998E-3</v>
      </c>
      <c r="K3443" s="668">
        <f>I3443*J3443</f>
        <v>240.88499999999999</v>
      </c>
      <c r="L3443" s="668"/>
      <c r="M3443" s="668"/>
    </row>
    <row r="3444" spans="5:13" ht="7.5" customHeight="1">
      <c r="E3444" s="668"/>
      <c r="F3444" s="668"/>
      <c r="G3444" s="668"/>
      <c r="H3444" s="668"/>
      <c r="I3444" s="668"/>
      <c r="J3444" s="668"/>
      <c r="K3444" s="668"/>
      <c r="L3444" s="668"/>
      <c r="M3444" s="668"/>
    </row>
    <row r="3445" spans="5:13">
      <c r="E3445" s="668"/>
      <c r="F3445" s="668"/>
      <c r="G3445" s="668"/>
      <c r="H3445" s="460" t="s">
        <v>2389</v>
      </c>
      <c r="I3445" s="668"/>
      <c r="J3445" s="668"/>
      <c r="K3445" s="668"/>
      <c r="L3445" s="668"/>
      <c r="M3445" s="668"/>
    </row>
    <row r="3446" spans="5:13">
      <c r="E3446" s="668"/>
      <c r="F3446" s="668">
        <v>1</v>
      </c>
      <c r="G3446" s="668" t="s">
        <v>5</v>
      </c>
      <c r="H3446" s="668" t="s">
        <v>2418</v>
      </c>
      <c r="I3446" s="522">
        <f>I3424</f>
        <v>636</v>
      </c>
      <c r="J3446" s="668" t="s">
        <v>5</v>
      </c>
      <c r="K3446" s="668">
        <f>F3446*I3446</f>
        <v>636</v>
      </c>
      <c r="L3446" s="668"/>
      <c r="M3446" s="668"/>
    </row>
    <row r="3447" spans="5:13">
      <c r="E3447" s="668"/>
      <c r="F3447" s="668">
        <v>2</v>
      </c>
      <c r="G3447" s="668" t="s">
        <v>5</v>
      </c>
      <c r="H3447" s="668" t="s">
        <v>4757</v>
      </c>
      <c r="I3447" s="522">
        <f>I3426</f>
        <v>497</v>
      </c>
      <c r="J3447" s="668" t="s">
        <v>5</v>
      </c>
      <c r="K3447" s="668">
        <f>F3447*I3447</f>
        <v>994</v>
      </c>
      <c r="L3447" s="668"/>
      <c r="M3447" s="668"/>
    </row>
    <row r="3448" spans="5:13">
      <c r="E3448" s="668"/>
      <c r="F3448" s="668"/>
      <c r="G3448" s="668"/>
      <c r="H3448" s="674" t="s">
        <v>4765</v>
      </c>
      <c r="I3448" s="668"/>
      <c r="J3448" s="668"/>
      <c r="K3448" s="668">
        <f>SUM(K3446:K3447)</f>
        <v>1630</v>
      </c>
      <c r="L3448" s="668"/>
      <c r="M3448" s="668"/>
    </row>
    <row r="3449" spans="5:13">
      <c r="E3449" s="668"/>
      <c r="F3449" s="668"/>
      <c r="G3449" s="668"/>
      <c r="H3449" s="676" t="s">
        <v>2373</v>
      </c>
      <c r="I3449" s="668"/>
      <c r="J3449" s="668"/>
      <c r="K3449" s="460">
        <f>K3448/4</f>
        <v>407.5</v>
      </c>
      <c r="L3449" s="668"/>
      <c r="M3449" s="668"/>
    </row>
    <row r="3450" spans="5:13">
      <c r="E3450" s="668"/>
      <c r="F3450" s="668"/>
      <c r="G3450" s="668"/>
      <c r="H3450" s="668"/>
      <c r="I3450" s="668"/>
      <c r="J3450" s="668"/>
      <c r="K3450" s="668"/>
      <c r="L3450" s="668"/>
      <c r="M3450" s="668"/>
    </row>
    <row r="3451" spans="5:13">
      <c r="E3451" s="668"/>
      <c r="F3451" s="668"/>
      <c r="G3451" s="668"/>
      <c r="H3451" s="460" t="s">
        <v>4876</v>
      </c>
      <c r="I3451" s="668"/>
      <c r="J3451" s="668"/>
      <c r="K3451" s="668"/>
      <c r="L3451" s="668"/>
      <c r="M3451" s="668"/>
    </row>
    <row r="3452" spans="5:13">
      <c r="E3452" s="668"/>
      <c r="F3452" s="668"/>
      <c r="G3452" s="668"/>
      <c r="H3452" s="460" t="s">
        <v>4877</v>
      </c>
      <c r="I3452" s="668"/>
      <c r="J3452" s="668"/>
      <c r="K3452" s="668"/>
      <c r="L3452" s="668"/>
      <c r="M3452" s="668"/>
    </row>
    <row r="3453" spans="5:13">
      <c r="E3453" s="668"/>
      <c r="F3453" s="668"/>
      <c r="G3453" s="668"/>
      <c r="H3453" s="668" t="s">
        <v>30</v>
      </c>
      <c r="I3453" s="668"/>
      <c r="J3453" s="668"/>
      <c r="K3453" s="668"/>
      <c r="L3453" s="668"/>
      <c r="M3453" s="668"/>
    </row>
    <row r="3454" spans="5:13">
      <c r="E3454" s="668"/>
      <c r="F3454" s="668">
        <v>1</v>
      </c>
      <c r="G3454" s="668" t="s">
        <v>5</v>
      </c>
      <c r="H3454" s="668" t="s">
        <v>4878</v>
      </c>
      <c r="I3454" s="670">
        <f>[3]Elec.Data!I3454</f>
        <v>1492</v>
      </c>
      <c r="J3454" s="668" t="s">
        <v>5</v>
      </c>
      <c r="K3454" s="668">
        <f>F3454*I3454</f>
        <v>1492</v>
      </c>
      <c r="L3454" s="668"/>
      <c r="M3454" s="668"/>
    </row>
    <row r="3455" spans="5:13">
      <c r="E3455" s="668"/>
      <c r="F3455" s="668">
        <v>3</v>
      </c>
      <c r="G3455" s="668" t="s">
        <v>5</v>
      </c>
      <c r="H3455" s="668" t="str">
        <f>[3]Elec.Data!H3455</f>
        <v>3 No of 30 amps MCB ( Part -L, P-131   6-a havells)</v>
      </c>
      <c r="I3455" s="670">
        <f>[3]Elec.Data!I3455</f>
        <v>126</v>
      </c>
      <c r="J3455" s="668" t="s">
        <v>5</v>
      </c>
      <c r="K3455" s="668">
        <f>F3455*I3455</f>
        <v>378</v>
      </c>
      <c r="L3455" s="668"/>
      <c r="M3455" s="668"/>
    </row>
    <row r="3456" spans="5:13">
      <c r="E3456" s="668"/>
      <c r="F3456" s="668"/>
      <c r="G3456" s="668"/>
      <c r="H3456" s="668" t="s">
        <v>4879</v>
      </c>
      <c r="I3456" s="668"/>
      <c r="J3456" s="668"/>
      <c r="K3456" s="668">
        <f>K3348</f>
        <v>474.4</v>
      </c>
      <c r="L3456" s="668"/>
      <c r="M3456" s="668"/>
    </row>
    <row r="3457" spans="5:13">
      <c r="E3457" s="668"/>
      <c r="F3457" s="668"/>
      <c r="G3457" s="668"/>
      <c r="H3457" s="668" t="s">
        <v>2390</v>
      </c>
      <c r="I3457" s="668"/>
      <c r="J3457" s="668"/>
      <c r="K3457" s="668">
        <v>0</v>
      </c>
      <c r="L3457" s="668"/>
      <c r="M3457" s="668"/>
    </row>
    <row r="3458" spans="5:13">
      <c r="E3458" s="668"/>
      <c r="F3458" s="668"/>
      <c r="G3458" s="668"/>
      <c r="H3458" s="676" t="s">
        <v>4880</v>
      </c>
      <c r="I3458" s="668"/>
      <c r="J3458" s="668"/>
      <c r="K3458" s="460">
        <f>SUM(K3454:K3457)</f>
        <v>2344.4</v>
      </c>
      <c r="L3458" s="668"/>
      <c r="M3458" s="668"/>
    </row>
    <row r="3459" spans="5:13">
      <c r="E3459" s="668"/>
      <c r="F3459" s="668"/>
      <c r="G3459" s="668"/>
      <c r="H3459" s="668"/>
      <c r="I3459" s="668"/>
      <c r="J3459" s="668"/>
      <c r="K3459" s="668"/>
      <c r="L3459" s="668"/>
      <c r="M3459" s="668"/>
    </row>
    <row r="3460" spans="5:13">
      <c r="E3460" s="668"/>
      <c r="F3460" s="668"/>
      <c r="G3460" s="668"/>
      <c r="H3460" s="460" t="s">
        <v>4876</v>
      </c>
      <c r="I3460" s="668"/>
      <c r="J3460" s="668"/>
      <c r="K3460" s="668"/>
      <c r="L3460" s="668"/>
      <c r="M3460" s="668"/>
    </row>
    <row r="3461" spans="5:13">
      <c r="E3461" s="668"/>
      <c r="F3461" s="668"/>
      <c r="G3461" s="668"/>
      <c r="H3461" s="668"/>
      <c r="I3461" s="668"/>
      <c r="J3461" s="668"/>
      <c r="K3461" s="668"/>
      <c r="L3461" s="668"/>
      <c r="M3461" s="668"/>
    </row>
    <row r="3462" spans="5:13">
      <c r="E3462" s="668"/>
      <c r="F3462" s="668"/>
      <c r="G3462" s="668"/>
      <c r="H3462" s="460" t="s">
        <v>1180</v>
      </c>
      <c r="I3462" s="668"/>
      <c r="J3462" s="668"/>
      <c r="K3462" s="668"/>
      <c r="L3462" s="668"/>
      <c r="M3462" s="668"/>
    </row>
    <row r="3463" spans="5:13">
      <c r="E3463" s="668"/>
      <c r="F3463" s="668"/>
      <c r="G3463" s="668"/>
      <c r="H3463" s="668"/>
      <c r="I3463" s="668"/>
      <c r="J3463" s="668"/>
      <c r="K3463" s="668"/>
      <c r="L3463" s="668"/>
      <c r="M3463" s="668"/>
    </row>
    <row r="3464" spans="5:13">
      <c r="E3464" s="668"/>
      <c r="F3464" s="668">
        <v>1</v>
      </c>
      <c r="G3464" s="668" t="s">
        <v>5</v>
      </c>
      <c r="H3464" s="668" t="str">
        <f>[3]Elec.Data!H3454</f>
        <v>Single phase ELCB (ISI 25 Amps 30 MA)P-94  9-b</v>
      </c>
      <c r="I3464" s="670">
        <f>K3389</f>
        <v>1840</v>
      </c>
      <c r="J3464" s="668" t="s">
        <v>5</v>
      </c>
      <c r="K3464" s="668">
        <f>F3464*I3464</f>
        <v>1840</v>
      </c>
      <c r="L3464" s="668"/>
      <c r="M3464" s="668"/>
    </row>
    <row r="3465" spans="5:13">
      <c r="E3465" s="668"/>
      <c r="F3465" s="668">
        <v>3</v>
      </c>
      <c r="G3465" s="668" t="s">
        <v>5</v>
      </c>
      <c r="H3465" s="668" t="str">
        <f>[3]Elec.Data!H3455</f>
        <v>3 No of 30 amps MCB ( Part -L, P-131   6-a havells)</v>
      </c>
      <c r="I3465" s="668">
        <f>I3455</f>
        <v>126</v>
      </c>
      <c r="J3465" s="668" t="s">
        <v>5</v>
      </c>
      <c r="K3465" s="668">
        <f>F3465*I3465</f>
        <v>378</v>
      </c>
      <c r="L3465" s="668"/>
      <c r="M3465" s="668"/>
    </row>
    <row r="3466" spans="5:13">
      <c r="E3466" s="668"/>
      <c r="F3466" s="668"/>
      <c r="G3466" s="668"/>
      <c r="H3466" s="668" t="s">
        <v>4881</v>
      </c>
      <c r="I3466" s="668"/>
      <c r="J3466" s="668"/>
      <c r="K3466" s="668">
        <f>K3379</f>
        <v>487.4</v>
      </c>
      <c r="L3466" s="668"/>
      <c r="M3466" s="668"/>
    </row>
    <row r="3467" spans="5:13">
      <c r="E3467" s="668"/>
      <c r="F3467" s="668"/>
      <c r="G3467" s="668"/>
      <c r="H3467" s="668" t="s">
        <v>2390</v>
      </c>
      <c r="I3467" s="668"/>
      <c r="J3467" s="668"/>
      <c r="K3467" s="668"/>
      <c r="L3467" s="668"/>
      <c r="M3467" s="668"/>
    </row>
    <row r="3468" spans="5:13">
      <c r="E3468" s="668"/>
      <c r="F3468" s="668"/>
      <c r="G3468" s="668"/>
      <c r="H3468" s="676" t="s">
        <v>2394</v>
      </c>
      <c r="I3468" s="668"/>
      <c r="J3468" s="668"/>
      <c r="K3468" s="460">
        <f>SUM(K3464:K3467)</f>
        <v>2705.4</v>
      </c>
      <c r="L3468" s="668"/>
      <c r="M3468" s="668"/>
    </row>
    <row r="3469" spans="5:13">
      <c r="E3469" s="668"/>
      <c r="F3469" s="668"/>
      <c r="G3469" s="668"/>
      <c r="H3469" s="668"/>
      <c r="I3469" s="668"/>
      <c r="J3469" s="668"/>
      <c r="K3469" s="668"/>
      <c r="L3469" s="668"/>
      <c r="M3469" s="668"/>
    </row>
    <row r="3470" spans="5:13">
      <c r="E3470" s="668"/>
      <c r="F3470" s="668"/>
      <c r="G3470" s="668"/>
      <c r="H3470" s="460" t="s">
        <v>2395</v>
      </c>
      <c r="I3470" s="668"/>
      <c r="J3470" s="668"/>
      <c r="K3470" s="668"/>
      <c r="L3470" s="668"/>
      <c r="M3470" s="668"/>
    </row>
    <row r="3471" spans="5:13">
      <c r="E3471" s="668"/>
      <c r="F3471" s="668"/>
      <c r="G3471" s="668"/>
      <c r="H3471" s="668"/>
      <c r="I3471" s="668"/>
      <c r="J3471" s="668"/>
      <c r="K3471" s="668"/>
      <c r="L3471" s="668"/>
      <c r="M3471" s="668"/>
    </row>
    <row r="3472" spans="5:13">
      <c r="E3472" s="668"/>
      <c r="F3472" s="668"/>
      <c r="G3472" s="668"/>
      <c r="H3472" s="460" t="s">
        <v>2396</v>
      </c>
      <c r="I3472" s="668"/>
      <c r="J3472" s="668"/>
      <c r="K3472" s="668"/>
      <c r="L3472" s="668"/>
      <c r="M3472" s="668"/>
    </row>
    <row r="3473" spans="5:13">
      <c r="E3473" s="668"/>
      <c r="F3473" s="668"/>
      <c r="G3473" s="668"/>
      <c r="H3473" s="668"/>
      <c r="I3473" s="668"/>
      <c r="J3473" s="668"/>
      <c r="K3473" s="668"/>
      <c r="L3473" s="668"/>
      <c r="M3473" s="668"/>
    </row>
    <row r="3474" spans="5:13" ht="76.5">
      <c r="E3474" s="668"/>
      <c r="F3474" s="668"/>
      <c r="G3474" s="668"/>
      <c r="H3474" s="667" t="s">
        <v>4882</v>
      </c>
      <c r="I3474" s="668"/>
      <c r="J3474" s="668"/>
      <c r="K3474" s="668"/>
      <c r="L3474" s="668"/>
      <c r="M3474" s="668"/>
    </row>
    <row r="3475" spans="5:13">
      <c r="E3475" s="668"/>
      <c r="F3475" s="668"/>
      <c r="G3475" s="668"/>
      <c r="H3475" s="668"/>
      <c r="I3475" s="668"/>
      <c r="J3475" s="668"/>
      <c r="K3475" s="668"/>
      <c r="L3475" s="668"/>
      <c r="M3475" s="668"/>
    </row>
    <row r="3476" spans="5:13" ht="24.95" customHeight="1">
      <c r="E3476" s="668"/>
      <c r="F3476" s="668">
        <v>3</v>
      </c>
      <c r="G3476" s="668" t="s">
        <v>5</v>
      </c>
      <c r="H3476" s="668" t="s">
        <v>2397</v>
      </c>
      <c r="I3476" s="668">
        <f>I3396</f>
        <v>83.6</v>
      </c>
      <c r="J3476" s="668" t="s">
        <v>5</v>
      </c>
      <c r="K3476" s="668">
        <f>F3476*I3476</f>
        <v>250.79999999999998</v>
      </c>
      <c r="L3476" s="668"/>
      <c r="M3476" s="668"/>
    </row>
    <row r="3477" spans="5:13" ht="24.95" customHeight="1">
      <c r="E3477" s="668"/>
      <c r="F3477" s="668">
        <v>1</v>
      </c>
      <c r="G3477" s="668" t="s">
        <v>5</v>
      </c>
      <c r="H3477" s="667" t="s">
        <v>2398</v>
      </c>
      <c r="I3477" s="668">
        <f>K3483</f>
        <v>361.32749999999999</v>
      </c>
      <c r="J3477" s="668" t="s">
        <v>5</v>
      </c>
      <c r="K3477" s="668">
        <f>F3477*I3477</f>
        <v>361.32749999999999</v>
      </c>
      <c r="L3477" s="668"/>
      <c r="M3477" s="668"/>
    </row>
    <row r="3478" spans="5:13" ht="24.95" customHeight="1">
      <c r="E3478" s="668"/>
      <c r="F3478" s="668">
        <v>1</v>
      </c>
      <c r="G3478" s="668" t="s">
        <v>5</v>
      </c>
      <c r="H3478" s="668" t="s">
        <v>2399</v>
      </c>
      <c r="I3478" s="668">
        <f>I3438</f>
        <v>25</v>
      </c>
      <c r="J3478" s="668" t="s">
        <v>2400</v>
      </c>
      <c r="K3478" s="668">
        <f>F3478*I3478</f>
        <v>25</v>
      </c>
      <c r="L3478" s="668"/>
      <c r="M3478" s="668"/>
    </row>
    <row r="3479" spans="5:13" ht="24.95" customHeight="1">
      <c r="E3479" s="668"/>
      <c r="F3479" s="668"/>
      <c r="G3479" s="668"/>
      <c r="H3479" s="668" t="s">
        <v>2401</v>
      </c>
      <c r="I3479" s="668"/>
      <c r="J3479" s="668"/>
      <c r="K3479" s="668">
        <f>K3489</f>
        <v>543.33333333333337</v>
      </c>
      <c r="L3479" s="668"/>
      <c r="M3479" s="668"/>
    </row>
    <row r="3480" spans="5:13">
      <c r="E3480" s="668"/>
      <c r="F3480" s="668"/>
      <c r="G3480" s="668"/>
      <c r="H3480" s="668" t="s">
        <v>2402</v>
      </c>
      <c r="I3480" s="668"/>
      <c r="J3480" s="668"/>
      <c r="K3480" s="668">
        <f>3.77+0.47</f>
        <v>4.24</v>
      </c>
      <c r="L3480" s="668"/>
      <c r="M3480" s="668"/>
    </row>
    <row r="3481" spans="5:13" ht="24.95" customHeight="1">
      <c r="E3481" s="668"/>
      <c r="F3481" s="668"/>
      <c r="G3481" s="668"/>
      <c r="H3481" s="676" t="s">
        <v>2420</v>
      </c>
      <c r="I3481" s="668"/>
      <c r="J3481" s="668"/>
      <c r="K3481" s="460">
        <f>SUM(K3476:K3480)</f>
        <v>1184.7008333333333</v>
      </c>
      <c r="L3481" s="668">
        <f>K3481-1032</f>
        <v>152.70083333333332</v>
      </c>
      <c r="M3481" s="668"/>
    </row>
    <row r="3482" spans="5:13">
      <c r="E3482" s="668"/>
      <c r="F3482" s="668"/>
      <c r="G3482" s="668"/>
      <c r="H3482" s="668"/>
      <c r="I3482" s="668"/>
      <c r="J3482" s="668"/>
      <c r="K3482" s="668"/>
      <c r="L3482" s="668"/>
      <c r="M3482" s="668"/>
    </row>
    <row r="3483" spans="5:13">
      <c r="E3483" s="668"/>
      <c r="F3483" s="668"/>
      <c r="G3483" s="668"/>
      <c r="H3483" s="460" t="s">
        <v>2421</v>
      </c>
      <c r="I3483" s="668">
        <f>I3443</f>
        <v>107060</v>
      </c>
      <c r="J3483" s="702">
        <v>3.375E-3</v>
      </c>
      <c r="K3483" s="668">
        <f>I3483*J3483</f>
        <v>361.32749999999999</v>
      </c>
      <c r="L3483" s="668"/>
      <c r="M3483" s="668"/>
    </row>
    <row r="3484" spans="5:13">
      <c r="E3484" s="668"/>
      <c r="F3484" s="668"/>
      <c r="G3484" s="668"/>
      <c r="H3484" s="668"/>
      <c r="I3484" s="668"/>
      <c r="J3484" s="668"/>
      <c r="K3484" s="668"/>
      <c r="L3484" s="668"/>
      <c r="M3484" s="668"/>
    </row>
    <row r="3485" spans="5:13" ht="21.75" customHeight="1">
      <c r="E3485" s="668"/>
      <c r="F3485" s="668"/>
      <c r="G3485" s="668"/>
      <c r="H3485" s="675" t="s">
        <v>2389</v>
      </c>
      <c r="I3485" s="668"/>
      <c r="J3485" s="668"/>
      <c r="K3485" s="668"/>
      <c r="L3485" s="668"/>
      <c r="M3485" s="668"/>
    </row>
    <row r="3486" spans="5:13" ht="21.75" customHeight="1">
      <c r="E3486" s="668"/>
      <c r="F3486" s="668">
        <v>1</v>
      </c>
      <c r="G3486" s="668" t="s">
        <v>5</v>
      </c>
      <c r="H3486" s="668" t="s">
        <v>2418</v>
      </c>
      <c r="I3486" s="668">
        <f>I3446</f>
        <v>636</v>
      </c>
      <c r="J3486" s="668" t="s">
        <v>5</v>
      </c>
      <c r="K3486" s="668">
        <f>F3486*I3486</f>
        <v>636</v>
      </c>
      <c r="L3486" s="668"/>
      <c r="M3486" s="668"/>
    </row>
    <row r="3487" spans="5:13" ht="21.75" customHeight="1">
      <c r="E3487" s="668"/>
      <c r="F3487" s="668">
        <v>2</v>
      </c>
      <c r="G3487" s="668" t="s">
        <v>5</v>
      </c>
      <c r="H3487" s="668" t="s">
        <v>4757</v>
      </c>
      <c r="I3487" s="668">
        <f>I3447</f>
        <v>497</v>
      </c>
      <c r="J3487" s="668" t="s">
        <v>5</v>
      </c>
      <c r="K3487" s="668">
        <f>F3487*I3487</f>
        <v>994</v>
      </c>
      <c r="L3487" s="668"/>
      <c r="M3487" s="668"/>
    </row>
    <row r="3488" spans="5:13" ht="21.75" customHeight="1">
      <c r="E3488" s="668"/>
      <c r="F3488" s="668"/>
      <c r="G3488" s="668"/>
      <c r="H3488" s="674" t="s">
        <v>4883</v>
      </c>
      <c r="I3488" s="668"/>
      <c r="J3488" s="460"/>
      <c r="K3488" s="686">
        <f>SUM(K3486:K3487)</f>
        <v>1630</v>
      </c>
      <c r="L3488" s="668"/>
      <c r="M3488" s="668"/>
    </row>
    <row r="3489" spans="5:18" ht="21.75" customHeight="1">
      <c r="E3489" s="668"/>
      <c r="F3489" s="668"/>
      <c r="G3489" s="668"/>
      <c r="H3489" s="676" t="s">
        <v>2373</v>
      </c>
      <c r="I3489" s="668"/>
      <c r="J3489" s="460"/>
      <c r="K3489" s="460">
        <f>K3488/3</f>
        <v>543.33333333333337</v>
      </c>
      <c r="L3489" s="668"/>
      <c r="M3489" s="668"/>
    </row>
    <row r="3490" spans="5:18">
      <c r="E3490" s="668"/>
      <c r="F3490" s="668"/>
      <c r="G3490" s="668"/>
      <c r="H3490" s="668"/>
      <c r="I3490" s="668"/>
      <c r="J3490" s="668"/>
      <c r="K3490" s="668"/>
      <c r="L3490" s="668"/>
      <c r="M3490" s="668"/>
    </row>
    <row r="3491" spans="5:18">
      <c r="E3491" s="668"/>
      <c r="F3491" s="668"/>
      <c r="G3491" s="668"/>
      <c r="H3491" s="460" t="s">
        <v>4884</v>
      </c>
      <c r="I3491" s="668"/>
      <c r="J3491" s="668"/>
      <c r="K3491" s="668"/>
      <c r="L3491" s="668"/>
      <c r="M3491" s="668"/>
    </row>
    <row r="3492" spans="5:18">
      <c r="E3492" s="668"/>
      <c r="F3492" s="668"/>
      <c r="G3492" s="668"/>
      <c r="H3492" s="668"/>
      <c r="I3492" s="668"/>
      <c r="J3492" s="668"/>
      <c r="K3492" s="668"/>
      <c r="L3492" s="668"/>
      <c r="M3492" s="668"/>
    </row>
    <row r="3493" spans="5:18" ht="61.5" customHeight="1">
      <c r="E3493" s="668"/>
      <c r="F3493" s="668"/>
      <c r="G3493" s="668"/>
      <c r="H3493" s="665" t="s">
        <v>2182</v>
      </c>
      <c r="I3493" s="668"/>
      <c r="J3493" s="668"/>
      <c r="K3493" s="668"/>
      <c r="L3493" s="668"/>
      <c r="M3493" s="668"/>
      <c r="N3493" s="668"/>
      <c r="O3493" s="665" t="s">
        <v>4885</v>
      </c>
      <c r="P3493" s="668"/>
      <c r="Q3493" s="668"/>
      <c r="R3493" s="668"/>
    </row>
    <row r="3494" spans="5:18" ht="36" customHeight="1">
      <c r="E3494" s="668"/>
      <c r="F3494" s="668">
        <v>180</v>
      </c>
      <c r="G3494" s="668" t="s">
        <v>12</v>
      </c>
      <c r="H3494" s="667" t="s">
        <v>4886</v>
      </c>
      <c r="I3494" s="670">
        <f>I3112</f>
        <v>32.200000000000003</v>
      </c>
      <c r="J3494" s="668" t="s">
        <v>12</v>
      </c>
      <c r="K3494" s="668">
        <f>F3494*I3494</f>
        <v>5796.0000000000009</v>
      </c>
      <c r="L3494" s="668"/>
      <c r="M3494" s="668">
        <v>180</v>
      </c>
      <c r="N3494" s="668" t="s">
        <v>12</v>
      </c>
      <c r="O3494" s="667" t="s">
        <v>4887</v>
      </c>
      <c r="P3494" s="670">
        <f>I3101</f>
        <v>20.3</v>
      </c>
      <c r="Q3494" s="668" t="s">
        <v>12</v>
      </c>
      <c r="R3494" s="668">
        <f>M3494*P3494</f>
        <v>3654</v>
      </c>
    </row>
    <row r="3495" spans="5:18" ht="24.95" customHeight="1">
      <c r="E3495" s="668"/>
      <c r="F3495" s="668">
        <v>4</v>
      </c>
      <c r="G3495" s="668" t="s">
        <v>40</v>
      </c>
      <c r="H3495" s="668" t="s">
        <v>4527</v>
      </c>
      <c r="I3495" s="670">
        <v>89.7</v>
      </c>
      <c r="J3495" s="668" t="s">
        <v>40</v>
      </c>
      <c r="K3495" s="668">
        <f>F3495*I3495</f>
        <v>358.8</v>
      </c>
      <c r="L3495" s="668"/>
      <c r="M3495" s="668">
        <v>4</v>
      </c>
      <c r="N3495" s="668" t="s">
        <v>40</v>
      </c>
      <c r="O3495" s="668" t="s">
        <v>4527</v>
      </c>
      <c r="P3495" s="670">
        <f>I3495</f>
        <v>89.7</v>
      </c>
      <c r="Q3495" s="668" t="s">
        <v>40</v>
      </c>
      <c r="R3495" s="668">
        <f>M3495*P3495</f>
        <v>358.8</v>
      </c>
    </row>
    <row r="3496" spans="5:18" ht="24.95" customHeight="1">
      <c r="E3496" s="668"/>
      <c r="F3496" s="668">
        <v>180</v>
      </c>
      <c r="G3496" s="668" t="s">
        <v>556</v>
      </c>
      <c r="H3496" s="668" t="s">
        <v>4888</v>
      </c>
      <c r="I3496" s="670">
        <f>ROUND(6.7/12,2)</f>
        <v>0.56000000000000005</v>
      </c>
      <c r="J3496" s="668" t="s">
        <v>556</v>
      </c>
      <c r="K3496" s="668">
        <f>F3496*I3496</f>
        <v>100.80000000000001</v>
      </c>
      <c r="L3496" s="668"/>
      <c r="M3496" s="668">
        <v>180</v>
      </c>
      <c r="N3496" s="668" t="s">
        <v>556</v>
      </c>
      <c r="O3496" s="668" t="s">
        <v>4888</v>
      </c>
      <c r="P3496" s="670">
        <f>I3496</f>
        <v>0.56000000000000005</v>
      </c>
      <c r="Q3496" s="668" t="s">
        <v>556</v>
      </c>
      <c r="R3496" s="668">
        <f>M3496*P3496</f>
        <v>100.80000000000001</v>
      </c>
    </row>
    <row r="3497" spans="5:18" ht="24.95" customHeight="1">
      <c r="E3497" s="668"/>
      <c r="F3497" s="668">
        <v>1</v>
      </c>
      <c r="G3497" s="668" t="s">
        <v>40</v>
      </c>
      <c r="H3497" s="668" t="s">
        <v>4889</v>
      </c>
      <c r="I3497" s="670">
        <f>I3495</f>
        <v>89.7</v>
      </c>
      <c r="J3497" s="668" t="s">
        <v>40</v>
      </c>
      <c r="K3497" s="668">
        <f>F3497*I3497</f>
        <v>89.7</v>
      </c>
      <c r="L3497" s="668"/>
      <c r="M3497" s="668">
        <v>1</v>
      </c>
      <c r="N3497" s="668" t="s">
        <v>40</v>
      </c>
      <c r="O3497" s="668" t="s">
        <v>4889</v>
      </c>
      <c r="P3497" s="670">
        <f>I3497</f>
        <v>89.7</v>
      </c>
      <c r="Q3497" s="668" t="s">
        <v>40</v>
      </c>
      <c r="R3497" s="668">
        <f>M3497*P3497</f>
        <v>89.7</v>
      </c>
    </row>
    <row r="3498" spans="5:18" ht="24.95" customHeight="1">
      <c r="E3498" s="668"/>
      <c r="F3498" s="668"/>
      <c r="G3498" s="668"/>
      <c r="H3498" s="668" t="s">
        <v>2389</v>
      </c>
      <c r="I3498" s="668"/>
      <c r="J3498" s="668"/>
      <c r="K3498" s="668">
        <f>K3507</f>
        <v>4759</v>
      </c>
      <c r="L3498" s="668"/>
      <c r="M3498" s="668"/>
      <c r="N3498" s="668"/>
      <c r="O3498" s="668" t="s">
        <v>2389</v>
      </c>
      <c r="P3498" s="668"/>
      <c r="Q3498" s="668"/>
      <c r="R3498" s="668">
        <f>R3507</f>
        <v>4759</v>
      </c>
    </row>
    <row r="3499" spans="5:18" ht="24.95" customHeight="1">
      <c r="E3499" s="668"/>
      <c r="F3499" s="668"/>
      <c r="G3499" s="668"/>
      <c r="H3499" s="668" t="s">
        <v>4890</v>
      </c>
      <c r="I3499" s="668"/>
      <c r="J3499" s="668"/>
      <c r="K3499" s="668">
        <v>38</v>
      </c>
      <c r="L3499" s="668">
        <v>26.5</v>
      </c>
      <c r="M3499" s="668"/>
      <c r="N3499" s="668"/>
      <c r="O3499" s="668" t="s">
        <v>4890</v>
      </c>
      <c r="P3499" s="668"/>
      <c r="Q3499" s="668"/>
      <c r="R3499" s="668">
        <v>30.7</v>
      </c>
    </row>
    <row r="3500" spans="5:18" ht="24.95" customHeight="1">
      <c r="E3500" s="668"/>
      <c r="F3500" s="668"/>
      <c r="G3500" s="668"/>
      <c r="H3500" s="674" t="s">
        <v>2409</v>
      </c>
      <c r="I3500" s="668"/>
      <c r="J3500" s="668"/>
      <c r="K3500" s="668">
        <f>SUM(K3494:K3499)</f>
        <v>11142.300000000001</v>
      </c>
      <c r="L3500" s="668"/>
      <c r="M3500" s="668"/>
      <c r="N3500" s="668"/>
      <c r="O3500" s="674" t="s">
        <v>2409</v>
      </c>
      <c r="P3500" s="668"/>
      <c r="Q3500" s="668"/>
      <c r="R3500" s="668">
        <v>30.7</v>
      </c>
    </row>
    <row r="3501" spans="5:18" ht="24.95" customHeight="1">
      <c r="E3501" s="668"/>
      <c r="F3501" s="668"/>
      <c r="G3501" s="668"/>
      <c r="H3501" s="676" t="s">
        <v>2392</v>
      </c>
      <c r="I3501" s="668"/>
      <c r="J3501" s="668"/>
      <c r="K3501" s="460">
        <f>K3500/90</f>
        <v>123.80333333333334</v>
      </c>
      <c r="L3501" s="668"/>
      <c r="M3501" s="668"/>
      <c r="N3501" s="668"/>
      <c r="O3501" s="676" t="s">
        <v>2392</v>
      </c>
      <c r="P3501" s="668"/>
      <c r="Q3501" s="668"/>
      <c r="R3501" s="460">
        <f>R3500/90</f>
        <v>0.34111111111111109</v>
      </c>
    </row>
    <row r="3502" spans="5:18">
      <c r="E3502" s="668"/>
      <c r="F3502" s="668"/>
      <c r="G3502" s="668"/>
      <c r="H3502" s="675" t="s">
        <v>2416</v>
      </c>
      <c r="I3502" s="668"/>
      <c r="J3502" s="668"/>
      <c r="K3502" s="668"/>
      <c r="L3502" s="668">
        <f>L3501-K3500</f>
        <v>-11142.300000000001</v>
      </c>
      <c r="M3502" s="668"/>
      <c r="N3502" s="668"/>
      <c r="O3502" s="675" t="s">
        <v>2416</v>
      </c>
      <c r="P3502" s="668"/>
      <c r="Q3502" s="668"/>
      <c r="R3502" s="668"/>
    </row>
    <row r="3503" spans="5:18">
      <c r="E3503" s="668"/>
      <c r="F3503" s="668">
        <v>1</v>
      </c>
      <c r="G3503" s="668" t="s">
        <v>5</v>
      </c>
      <c r="H3503" s="686" t="s">
        <v>4891</v>
      </c>
      <c r="I3503" s="668">
        <f>I2866</f>
        <v>730</v>
      </c>
      <c r="J3503" s="668" t="s">
        <v>5</v>
      </c>
      <c r="K3503" s="668">
        <f>F3503*I3503</f>
        <v>730</v>
      </c>
      <c r="L3503" s="668"/>
      <c r="M3503" s="668">
        <v>1</v>
      </c>
      <c r="N3503" s="668" t="s">
        <v>5</v>
      </c>
      <c r="O3503" s="686" t="s">
        <v>4891</v>
      </c>
      <c r="P3503" s="668">
        <f>I3503</f>
        <v>730</v>
      </c>
      <c r="Q3503" s="668" t="s">
        <v>5</v>
      </c>
      <c r="R3503" s="668">
        <f>M3503*P3503</f>
        <v>730</v>
      </c>
    </row>
    <row r="3504" spans="5:18">
      <c r="E3504" s="668"/>
      <c r="F3504" s="668">
        <v>2</v>
      </c>
      <c r="G3504" s="668" t="s">
        <v>5</v>
      </c>
      <c r="H3504" s="668" t="s">
        <v>2418</v>
      </c>
      <c r="I3504" s="668">
        <f>I2867</f>
        <v>636</v>
      </c>
      <c r="J3504" s="668" t="s">
        <v>5</v>
      </c>
      <c r="K3504" s="668">
        <f>F3504*I3504</f>
        <v>1272</v>
      </c>
      <c r="L3504" s="668"/>
      <c r="M3504" s="668">
        <v>2</v>
      </c>
      <c r="N3504" s="668" t="s">
        <v>5</v>
      </c>
      <c r="O3504" s="668" t="s">
        <v>2418</v>
      </c>
      <c r="P3504" s="668">
        <f>I3504</f>
        <v>636</v>
      </c>
      <c r="Q3504" s="668" t="s">
        <v>5</v>
      </c>
      <c r="R3504" s="668">
        <f>M3504*P3504</f>
        <v>1272</v>
      </c>
    </row>
    <row r="3505" spans="5:18">
      <c r="E3505" s="668"/>
      <c r="F3505" s="668">
        <v>2</v>
      </c>
      <c r="G3505" s="668" t="s">
        <v>5</v>
      </c>
      <c r="H3505" s="668" t="s">
        <v>2419</v>
      </c>
      <c r="I3505" s="668">
        <f>I2868</f>
        <v>633</v>
      </c>
      <c r="J3505" s="668" t="s">
        <v>5</v>
      </c>
      <c r="K3505" s="668">
        <f>F3505*I3505</f>
        <v>1266</v>
      </c>
      <c r="L3505" s="668"/>
      <c r="M3505" s="668">
        <v>2</v>
      </c>
      <c r="N3505" s="668" t="s">
        <v>5</v>
      </c>
      <c r="O3505" s="668" t="s">
        <v>2419</v>
      </c>
      <c r="P3505" s="668">
        <f>I3505</f>
        <v>633</v>
      </c>
      <c r="Q3505" s="668" t="s">
        <v>5</v>
      </c>
      <c r="R3505" s="668">
        <f>M3505*P3505</f>
        <v>1266</v>
      </c>
    </row>
    <row r="3506" spans="5:18">
      <c r="E3506" s="668"/>
      <c r="F3506" s="668">
        <v>3</v>
      </c>
      <c r="G3506" s="668" t="s">
        <v>5</v>
      </c>
      <c r="H3506" s="668" t="s">
        <v>2410</v>
      </c>
      <c r="I3506" s="668">
        <f>I2869</f>
        <v>497</v>
      </c>
      <c r="J3506" s="668" t="s">
        <v>5</v>
      </c>
      <c r="K3506" s="668">
        <f>F3506*I3506</f>
        <v>1491</v>
      </c>
      <c r="L3506" s="668"/>
      <c r="M3506" s="668">
        <v>3</v>
      </c>
      <c r="N3506" s="668" t="s">
        <v>5</v>
      </c>
      <c r="O3506" s="668" t="s">
        <v>2410</v>
      </c>
      <c r="P3506" s="668">
        <f>I3506</f>
        <v>497</v>
      </c>
      <c r="Q3506" s="668" t="s">
        <v>5</v>
      </c>
      <c r="R3506" s="668">
        <f>M3506*P3506</f>
        <v>1491</v>
      </c>
    </row>
    <row r="3507" spans="5:18" ht="24.95" customHeight="1">
      <c r="E3507" s="668"/>
      <c r="F3507" s="668"/>
      <c r="G3507" s="668"/>
      <c r="H3507" s="668"/>
      <c r="I3507" s="668"/>
      <c r="J3507" s="668"/>
      <c r="K3507" s="460">
        <f>SUM(K3503:K3506)</f>
        <v>4759</v>
      </c>
      <c r="L3507" s="668"/>
      <c r="M3507" s="668"/>
      <c r="N3507" s="668"/>
      <c r="O3507" s="668"/>
      <c r="P3507" s="668"/>
      <c r="Q3507" s="668"/>
      <c r="R3507" s="460">
        <f>SUM(R3503:R3506)</f>
        <v>4759</v>
      </c>
    </row>
    <row r="3508" spans="5:18" ht="21.75" customHeight="1">
      <c r="E3508" s="668"/>
      <c r="F3508" s="668"/>
      <c r="G3508" s="668"/>
      <c r="H3508" s="668"/>
      <c r="I3508" s="668"/>
      <c r="J3508" s="668"/>
      <c r="K3508" s="668"/>
      <c r="L3508" s="668"/>
      <c r="M3508" s="668"/>
    </row>
    <row r="3509" spans="5:18">
      <c r="E3509" s="668"/>
      <c r="F3509" s="668"/>
      <c r="G3509" s="668"/>
      <c r="H3509" s="460" t="s">
        <v>4892</v>
      </c>
      <c r="I3509" s="668"/>
      <c r="J3509" s="668"/>
      <c r="K3509" s="668"/>
      <c r="L3509" s="668"/>
      <c r="M3509" s="668"/>
    </row>
    <row r="3510" spans="5:18" ht="29.25" customHeight="1">
      <c r="E3510" s="668"/>
      <c r="F3510" s="668"/>
      <c r="G3510" s="668"/>
      <c r="H3510" s="665" t="s">
        <v>4893</v>
      </c>
      <c r="I3510" s="668"/>
      <c r="J3510" s="668"/>
      <c r="K3510" s="668"/>
      <c r="L3510" s="668"/>
      <c r="M3510" s="668"/>
    </row>
    <row r="3511" spans="5:18" ht="18" customHeight="1">
      <c r="E3511" s="668"/>
      <c r="F3511" s="668"/>
      <c r="G3511" s="668"/>
      <c r="H3511" s="668"/>
      <c r="I3511" s="668"/>
      <c r="J3511" s="668"/>
      <c r="K3511" s="668"/>
      <c r="L3511" s="668"/>
      <c r="M3511" s="668"/>
    </row>
    <row r="3512" spans="5:18" ht="47.25" customHeight="1">
      <c r="E3512" s="668"/>
      <c r="F3512" s="668"/>
      <c r="G3512" s="668"/>
      <c r="H3512" s="703" t="s">
        <v>4894</v>
      </c>
      <c r="I3512" s="668"/>
      <c r="J3512" s="668"/>
      <c r="K3512" s="668"/>
      <c r="L3512" s="668"/>
      <c r="M3512" s="668"/>
    </row>
    <row r="3513" spans="5:18">
      <c r="E3513" s="668"/>
      <c r="F3513" s="668">
        <v>1</v>
      </c>
      <c r="G3513" s="668" t="s">
        <v>12</v>
      </c>
      <c r="H3513" s="668" t="s">
        <v>4895</v>
      </c>
      <c r="I3513" s="670">
        <v>120.8</v>
      </c>
      <c r="J3513" s="668" t="s">
        <v>12</v>
      </c>
      <c r="K3513" s="674">
        <f>F3513*I3513</f>
        <v>120.8</v>
      </c>
      <c r="L3513" s="668"/>
      <c r="M3513" s="668"/>
    </row>
    <row r="3514" spans="5:18">
      <c r="E3514" s="668"/>
      <c r="F3514" s="668"/>
      <c r="G3514" s="668"/>
      <c r="H3514" s="668" t="s">
        <v>2390</v>
      </c>
      <c r="I3514" s="668"/>
      <c r="J3514" s="668"/>
      <c r="K3514" s="674">
        <f>1.87+0.33</f>
        <v>2.2000000000000002</v>
      </c>
      <c r="L3514" s="668"/>
      <c r="M3514" s="668"/>
    </row>
    <row r="3515" spans="5:18">
      <c r="E3515" s="668"/>
      <c r="F3515" s="668"/>
      <c r="G3515" s="668"/>
      <c r="H3515" s="676" t="s">
        <v>4896</v>
      </c>
      <c r="I3515" s="668"/>
      <c r="J3515" s="668"/>
      <c r="K3515" s="676">
        <f>SUM(K3513:K3514)</f>
        <v>123</v>
      </c>
      <c r="L3515" s="668"/>
      <c r="M3515" s="668"/>
    </row>
    <row r="3516" spans="5:18" ht="9.75" customHeight="1">
      <c r="E3516" s="668"/>
      <c r="F3516" s="668"/>
      <c r="G3516" s="668"/>
      <c r="H3516" s="668"/>
      <c r="I3516" s="668"/>
      <c r="J3516" s="668"/>
      <c r="K3516" s="668"/>
      <c r="L3516" s="668"/>
      <c r="M3516" s="668"/>
    </row>
    <row r="3517" spans="5:18">
      <c r="E3517" s="668"/>
      <c r="F3517" s="668"/>
      <c r="G3517" s="668"/>
      <c r="H3517" s="460" t="s">
        <v>4897</v>
      </c>
      <c r="I3517" s="668"/>
      <c r="J3517" s="668"/>
      <c r="K3517" s="668"/>
      <c r="L3517" s="668"/>
      <c r="M3517" s="668"/>
    </row>
    <row r="3518" spans="5:18">
      <c r="E3518" s="668"/>
      <c r="F3518" s="668"/>
      <c r="G3518" s="668"/>
      <c r="H3518" s="460" t="s">
        <v>4898</v>
      </c>
      <c r="I3518" s="668"/>
      <c r="J3518" s="668"/>
      <c r="K3518" s="668"/>
      <c r="L3518" s="668"/>
      <c r="M3518" s="668"/>
    </row>
    <row r="3519" spans="5:18">
      <c r="E3519" s="668"/>
      <c r="F3519" s="668"/>
      <c r="G3519" s="668"/>
      <c r="H3519" s="668"/>
      <c r="I3519" s="668"/>
      <c r="J3519" s="668"/>
      <c r="K3519" s="668"/>
      <c r="L3519" s="668"/>
      <c r="M3519" s="668"/>
    </row>
    <row r="3520" spans="5:18" ht="49.5" customHeight="1">
      <c r="E3520" s="668"/>
      <c r="F3520" s="668"/>
      <c r="G3520" s="668"/>
      <c r="H3520" s="703" t="s">
        <v>4899</v>
      </c>
      <c r="I3520" s="668"/>
      <c r="J3520" s="668"/>
      <c r="K3520" s="668"/>
      <c r="L3520" s="668"/>
      <c r="M3520" s="668"/>
    </row>
    <row r="3521" spans="5:13">
      <c r="E3521" s="668"/>
      <c r="F3521" s="668">
        <v>1</v>
      </c>
      <c r="G3521" s="668" t="s">
        <v>12</v>
      </c>
      <c r="H3521" s="668" t="s">
        <v>4900</v>
      </c>
      <c r="I3521" s="670">
        <v>43.9</v>
      </c>
      <c r="J3521" s="668" t="s">
        <v>4125</v>
      </c>
      <c r="K3521" s="668">
        <f>F3522*I3521</f>
        <v>142.67499999999998</v>
      </c>
      <c r="L3521" s="668"/>
      <c r="M3521" s="668"/>
    </row>
    <row r="3522" spans="5:13">
      <c r="E3522" s="668"/>
      <c r="F3522" s="668">
        <v>3.25</v>
      </c>
      <c r="G3522" s="668" t="s">
        <v>2404</v>
      </c>
      <c r="H3522" s="668"/>
      <c r="I3522" s="668"/>
      <c r="J3522" s="668"/>
      <c r="K3522" s="668"/>
      <c r="L3522" s="668"/>
      <c r="M3522" s="668"/>
    </row>
    <row r="3523" spans="5:13">
      <c r="E3523" s="668"/>
      <c r="F3523" s="668"/>
      <c r="G3523" s="668"/>
      <c r="H3523" s="668" t="s">
        <v>2390</v>
      </c>
      <c r="I3523" s="668"/>
      <c r="J3523" s="668"/>
      <c r="K3523" s="668">
        <f>1.95+0.64-0.27</f>
        <v>2.3199999999999998</v>
      </c>
      <c r="L3523" s="668"/>
      <c r="M3523" s="668"/>
    </row>
    <row r="3524" spans="5:13">
      <c r="E3524" s="668"/>
      <c r="F3524" s="668"/>
      <c r="G3524" s="668"/>
      <c r="H3524" s="676" t="s">
        <v>2405</v>
      </c>
      <c r="I3524" s="668"/>
      <c r="J3524" s="668"/>
      <c r="K3524" s="460">
        <f>SUM(K3521:K3523)</f>
        <v>144.99499999999998</v>
      </c>
      <c r="L3524" s="668">
        <f>169-K3524</f>
        <v>24.005000000000024</v>
      </c>
      <c r="M3524" s="668"/>
    </row>
    <row r="3525" spans="5:13">
      <c r="E3525" s="668"/>
      <c r="F3525" s="668"/>
      <c r="G3525" s="668"/>
      <c r="H3525" s="676"/>
      <c r="I3525" s="668"/>
      <c r="J3525" s="668"/>
      <c r="K3525" s="460"/>
      <c r="L3525" s="668"/>
      <c r="M3525" s="668"/>
    </row>
    <row r="3526" spans="5:13">
      <c r="E3526" s="668"/>
      <c r="F3526" s="668"/>
      <c r="G3526" s="668"/>
      <c r="H3526" s="460" t="s">
        <v>4901</v>
      </c>
      <c r="I3526" s="668"/>
      <c r="J3526" s="668"/>
      <c r="K3526" s="668"/>
      <c r="L3526" s="668"/>
      <c r="M3526" s="668"/>
    </row>
    <row r="3527" spans="5:13">
      <c r="E3527" s="668"/>
      <c r="F3527" s="668"/>
      <c r="G3527" s="668"/>
      <c r="H3527" s="668"/>
      <c r="I3527" s="668"/>
      <c r="J3527" s="668"/>
      <c r="K3527" s="668"/>
      <c r="L3527" s="668"/>
      <c r="M3527" s="668"/>
    </row>
    <row r="3528" spans="5:13" ht="45" customHeight="1">
      <c r="E3528" s="668"/>
      <c r="F3528" s="668"/>
      <c r="G3528" s="668"/>
      <c r="H3528" s="665" t="s">
        <v>1143</v>
      </c>
      <c r="I3528" s="668"/>
      <c r="J3528" s="668"/>
      <c r="K3528" s="668"/>
      <c r="L3528" s="668"/>
      <c r="M3528" s="668"/>
    </row>
    <row r="3529" spans="5:13">
      <c r="E3529" s="668"/>
      <c r="F3529" s="668"/>
      <c r="G3529" s="668"/>
      <c r="H3529" s="668"/>
      <c r="I3529" s="668"/>
      <c r="J3529" s="668"/>
      <c r="K3529" s="668"/>
      <c r="L3529" s="668"/>
      <c r="M3529" s="668"/>
    </row>
    <row r="3530" spans="5:13" ht="135.75" customHeight="1">
      <c r="E3530" s="668"/>
      <c r="F3530" s="668"/>
      <c r="G3530" s="668"/>
      <c r="H3530" s="703" t="s">
        <v>4902</v>
      </c>
      <c r="I3530" s="668"/>
      <c r="J3530" s="668"/>
      <c r="K3530" s="668"/>
      <c r="L3530" s="668"/>
      <c r="M3530" s="668"/>
    </row>
    <row r="3531" spans="5:13">
      <c r="E3531" s="668"/>
      <c r="F3531" s="668"/>
      <c r="G3531" s="668"/>
      <c r="H3531" s="668"/>
      <c r="I3531" s="668"/>
      <c r="J3531" s="668"/>
      <c r="K3531" s="668"/>
      <c r="L3531" s="668"/>
      <c r="M3531" s="668"/>
    </row>
    <row r="3532" spans="5:13" ht="29.25" customHeight="1">
      <c r="E3532" s="668"/>
      <c r="F3532" s="668">
        <v>360</v>
      </c>
      <c r="G3532" s="668" t="s">
        <v>12</v>
      </c>
      <c r="H3532" s="667" t="s">
        <v>4903</v>
      </c>
      <c r="I3532" s="668">
        <f>I3494</f>
        <v>32.200000000000003</v>
      </c>
      <c r="J3532" s="668" t="s">
        <v>12</v>
      </c>
      <c r="K3532" s="668">
        <f>F3532*I3532</f>
        <v>11592.000000000002</v>
      </c>
      <c r="L3532" s="668"/>
      <c r="M3532" s="668"/>
    </row>
    <row r="3533" spans="5:13" ht="15.75" customHeight="1">
      <c r="E3533" s="668"/>
      <c r="F3533" s="668">
        <v>4</v>
      </c>
      <c r="G3533" s="668" t="s">
        <v>40</v>
      </c>
      <c r="H3533" s="668" t="s">
        <v>4527</v>
      </c>
      <c r="I3533" s="668">
        <f>I3495</f>
        <v>89.7</v>
      </c>
      <c r="J3533" s="668" t="s">
        <v>40</v>
      </c>
      <c r="K3533" s="668">
        <f>F3533*I3533</f>
        <v>358.8</v>
      </c>
      <c r="L3533" s="668"/>
      <c r="M3533" s="668"/>
    </row>
    <row r="3534" spans="5:13">
      <c r="E3534" s="668"/>
      <c r="F3534" s="668">
        <v>360</v>
      </c>
      <c r="G3534" s="668" t="s">
        <v>556</v>
      </c>
      <c r="H3534" s="668" t="s">
        <v>4888</v>
      </c>
      <c r="I3534" s="668">
        <f>I3496</f>
        <v>0.56000000000000005</v>
      </c>
      <c r="J3534" s="668" t="s">
        <v>556</v>
      </c>
      <c r="K3534" s="668">
        <f>F3534*I3534</f>
        <v>201.60000000000002</v>
      </c>
      <c r="L3534" s="668"/>
      <c r="M3534" s="668"/>
    </row>
    <row r="3535" spans="5:13">
      <c r="E3535" s="668"/>
      <c r="F3535" s="668">
        <v>1.5</v>
      </c>
      <c r="G3535" s="668" t="s">
        <v>40</v>
      </c>
      <c r="H3535" s="668" t="s">
        <v>4889</v>
      </c>
      <c r="I3535" s="668">
        <f>I3497</f>
        <v>89.7</v>
      </c>
      <c r="J3535" s="668" t="s">
        <v>40</v>
      </c>
      <c r="K3535" s="668">
        <f>F3535*I3535</f>
        <v>134.55000000000001</v>
      </c>
      <c r="L3535" s="668"/>
      <c r="M3535" s="668"/>
    </row>
    <row r="3536" spans="5:13">
      <c r="E3536" s="668"/>
      <c r="F3536" s="668"/>
      <c r="G3536" s="668"/>
      <c r="H3536" s="668" t="s">
        <v>4904</v>
      </c>
      <c r="I3536" s="668"/>
      <c r="J3536" s="668"/>
      <c r="K3536" s="668">
        <f>K3507*1.5</f>
        <v>7138.5</v>
      </c>
      <c r="L3536" s="668"/>
      <c r="M3536" s="668"/>
    </row>
    <row r="3537" spans="5:13">
      <c r="E3537" s="668"/>
      <c r="F3537" s="668"/>
      <c r="G3537" s="668"/>
      <c r="H3537" s="668" t="s">
        <v>4890</v>
      </c>
      <c r="I3537" s="668"/>
      <c r="J3537" s="668"/>
      <c r="K3537" s="668">
        <v>167.55</v>
      </c>
      <c r="L3537" s="668"/>
      <c r="M3537" s="668"/>
    </row>
    <row r="3538" spans="5:13">
      <c r="E3538" s="668"/>
      <c r="F3538" s="668"/>
      <c r="G3538" s="668"/>
      <c r="H3538" s="674" t="s">
        <v>2409</v>
      </c>
      <c r="I3538" s="668"/>
      <c r="J3538" s="668"/>
      <c r="K3538" s="668">
        <f>SUM(K3532:K3537)</f>
        <v>19593</v>
      </c>
      <c r="L3538" s="668"/>
      <c r="M3538" s="668"/>
    </row>
    <row r="3539" spans="5:13">
      <c r="E3539" s="668"/>
      <c r="F3539" s="668"/>
      <c r="G3539" s="668"/>
      <c r="H3539" s="676" t="s">
        <v>2392</v>
      </c>
      <c r="I3539" s="668"/>
      <c r="J3539" s="668"/>
      <c r="K3539" s="460">
        <f>K3538/90</f>
        <v>217.7</v>
      </c>
      <c r="L3539" s="668"/>
      <c r="M3539" s="668"/>
    </row>
    <row r="3540" spans="5:13" ht="20.25" customHeight="1">
      <c r="E3540" s="668"/>
      <c r="F3540" s="668"/>
      <c r="G3540" s="668"/>
      <c r="H3540" s="668"/>
      <c r="I3540" s="668"/>
      <c r="J3540" s="668"/>
      <c r="K3540" s="668"/>
      <c r="L3540" s="668"/>
      <c r="M3540" s="668"/>
    </row>
    <row r="3541" spans="5:13">
      <c r="E3541" s="668"/>
      <c r="F3541" s="668"/>
      <c r="G3541" s="668"/>
      <c r="H3541" s="460" t="s">
        <v>4905</v>
      </c>
      <c r="I3541" s="668"/>
      <c r="J3541" s="668"/>
      <c r="K3541" s="668"/>
      <c r="L3541" s="668"/>
      <c r="M3541" s="668"/>
    </row>
    <row r="3542" spans="5:13" ht="32.25" customHeight="1">
      <c r="E3542" s="668"/>
      <c r="F3542" s="668"/>
      <c r="G3542" s="668"/>
      <c r="H3542" s="665" t="s">
        <v>4906</v>
      </c>
      <c r="I3542" s="668"/>
      <c r="J3542" s="668"/>
      <c r="K3542" s="668"/>
      <c r="L3542" s="668"/>
      <c r="M3542" s="668"/>
    </row>
    <row r="3543" spans="5:13">
      <c r="E3543" s="668"/>
      <c r="F3543" s="668"/>
      <c r="G3543" s="668"/>
      <c r="H3543" s="668"/>
      <c r="I3543" s="668"/>
      <c r="J3543" s="668"/>
      <c r="K3543" s="668"/>
      <c r="L3543" s="668"/>
      <c r="M3543" s="668"/>
    </row>
    <row r="3544" spans="5:13" ht="47.25" customHeight="1">
      <c r="E3544" s="668"/>
      <c r="F3544" s="668"/>
      <c r="G3544" s="668"/>
      <c r="H3544" s="703" t="s">
        <v>4907</v>
      </c>
      <c r="I3544" s="668"/>
      <c r="J3544" s="668"/>
      <c r="K3544" s="668"/>
      <c r="L3544" s="668"/>
      <c r="M3544" s="668"/>
    </row>
    <row r="3545" spans="5:13">
      <c r="E3545" s="668"/>
      <c r="F3545" s="668">
        <v>1</v>
      </c>
      <c r="G3545" s="668" t="s">
        <v>12</v>
      </c>
      <c r="H3545" s="668" t="str">
        <f>[3]Elec.Data!H3545</f>
        <v>GI pipe of 40 mm dia  (P-51 142 -iii)</v>
      </c>
      <c r="I3545" s="670">
        <f>[3]Elec.Data!I3545</f>
        <v>163</v>
      </c>
      <c r="J3545" s="668" t="s">
        <v>12</v>
      </c>
      <c r="K3545" s="674">
        <f>F3545*I3545</f>
        <v>163</v>
      </c>
      <c r="L3545" s="668"/>
      <c r="M3545" s="668"/>
    </row>
    <row r="3546" spans="5:13">
      <c r="E3546" s="668"/>
      <c r="F3546" s="668"/>
      <c r="G3546" s="668"/>
      <c r="H3546" s="668" t="s">
        <v>2390</v>
      </c>
      <c r="I3546" s="668"/>
      <c r="J3546" s="668"/>
      <c r="K3546" s="674">
        <v>1.1000000000000001</v>
      </c>
      <c r="L3546" s="668"/>
      <c r="M3546" s="668"/>
    </row>
    <row r="3547" spans="5:13">
      <c r="E3547" s="668"/>
      <c r="F3547" s="668"/>
      <c r="G3547" s="668"/>
      <c r="H3547" s="676" t="s">
        <v>4896</v>
      </c>
      <c r="I3547" s="668"/>
      <c r="J3547" s="668"/>
      <c r="K3547" s="676">
        <f>SUM(K3545:K3546)</f>
        <v>164.1</v>
      </c>
      <c r="L3547" s="668"/>
      <c r="M3547" s="668"/>
    </row>
    <row r="3548" spans="5:13" ht="7.5" customHeight="1">
      <c r="E3548" s="668"/>
      <c r="F3548" s="668"/>
      <c r="G3548" s="668"/>
      <c r="H3548" s="668"/>
      <c r="I3548" s="668"/>
      <c r="J3548" s="668"/>
      <c r="K3548" s="668"/>
      <c r="L3548" s="668"/>
      <c r="M3548" s="668"/>
    </row>
    <row r="3549" spans="5:13">
      <c r="E3549" s="668"/>
      <c r="F3549" s="668"/>
      <c r="G3549" s="668"/>
      <c r="H3549" s="460" t="s">
        <v>4908</v>
      </c>
      <c r="I3549" s="668"/>
      <c r="J3549" s="668"/>
      <c r="K3549" s="668"/>
      <c r="L3549" s="668"/>
      <c r="M3549" s="668"/>
    </row>
    <row r="3550" spans="5:13">
      <c r="E3550" s="668"/>
      <c r="F3550" s="668"/>
      <c r="G3550" s="668"/>
      <c r="H3550" s="460" t="s">
        <v>4898</v>
      </c>
      <c r="I3550" s="668"/>
      <c r="J3550" s="668"/>
      <c r="K3550" s="668"/>
      <c r="L3550" s="668"/>
      <c r="M3550" s="668"/>
    </row>
    <row r="3551" spans="5:13">
      <c r="E3551" s="668"/>
      <c r="F3551" s="668"/>
      <c r="G3551" s="668"/>
      <c r="H3551" s="668"/>
      <c r="I3551" s="668"/>
      <c r="J3551" s="668"/>
      <c r="K3551" s="668"/>
      <c r="L3551" s="668"/>
      <c r="M3551" s="668"/>
    </row>
    <row r="3552" spans="5:13" ht="47.25">
      <c r="E3552" s="668"/>
      <c r="F3552" s="668"/>
      <c r="G3552" s="668"/>
      <c r="H3552" s="703" t="s">
        <v>4899</v>
      </c>
      <c r="I3552" s="668"/>
      <c r="J3552" s="668"/>
      <c r="K3552" s="668"/>
      <c r="L3552" s="668"/>
      <c r="M3552" s="668"/>
    </row>
    <row r="3553" spans="5:15">
      <c r="E3553" s="668"/>
      <c r="F3553" s="668">
        <v>1</v>
      </c>
      <c r="G3553" s="668" t="s">
        <v>12</v>
      </c>
      <c r="H3553" s="668" t="str">
        <f>[3]Elec.Data!H3553</f>
        <v>40 x 40 x 6 mm MS angle (P-125  part -G)</v>
      </c>
      <c r="I3553" s="670">
        <f>I3521</f>
        <v>43.9</v>
      </c>
      <c r="J3553" s="668" t="s">
        <v>4125</v>
      </c>
      <c r="K3553" s="668">
        <f>F3554*I3553</f>
        <v>142.67499999999998</v>
      </c>
      <c r="L3553" s="668"/>
      <c r="M3553" s="668"/>
    </row>
    <row r="3554" spans="5:15">
      <c r="E3554" s="668"/>
      <c r="F3554" s="668">
        <v>3.25</v>
      </c>
      <c r="G3554" s="668" t="s">
        <v>2404</v>
      </c>
      <c r="H3554" s="668"/>
      <c r="I3554" s="668"/>
      <c r="J3554" s="668"/>
      <c r="K3554" s="668"/>
      <c r="L3554" s="668"/>
      <c r="M3554" s="668"/>
    </row>
    <row r="3555" spans="5:15">
      <c r="E3555" s="668"/>
      <c r="F3555" s="668"/>
      <c r="G3555" s="668"/>
      <c r="H3555" s="668" t="s">
        <v>2390</v>
      </c>
      <c r="I3555" s="668"/>
      <c r="J3555" s="668"/>
      <c r="K3555" s="668">
        <v>3.32</v>
      </c>
      <c r="L3555" s="668"/>
      <c r="M3555" s="668"/>
    </row>
    <row r="3556" spans="5:15">
      <c r="E3556" s="668"/>
      <c r="F3556" s="668"/>
      <c r="G3556" s="668"/>
      <c r="H3556" s="676" t="s">
        <v>2405</v>
      </c>
      <c r="I3556" s="668"/>
      <c r="J3556" s="668"/>
      <c r="K3556" s="460">
        <f>SUM(K3553:K3555)</f>
        <v>145.99499999999998</v>
      </c>
      <c r="L3556" s="668"/>
      <c r="M3556" s="668"/>
    </row>
    <row r="3557" spans="5:15">
      <c r="E3557" s="668"/>
      <c r="F3557" s="668"/>
      <c r="G3557" s="668"/>
      <c r="H3557" s="668"/>
      <c r="I3557" s="668"/>
      <c r="J3557" s="668"/>
      <c r="K3557" s="668"/>
      <c r="L3557" s="668"/>
      <c r="M3557" s="668"/>
    </row>
    <row r="3558" spans="5:15">
      <c r="E3558" s="668"/>
      <c r="F3558" s="668"/>
      <c r="G3558" s="668"/>
      <c r="H3558" s="460" t="s">
        <v>1540</v>
      </c>
      <c r="I3558" s="668"/>
      <c r="J3558" s="668"/>
      <c r="K3558" s="668"/>
      <c r="L3558" s="668"/>
      <c r="M3558" s="668"/>
    </row>
    <row r="3559" spans="5:15">
      <c r="E3559" s="668"/>
      <c r="F3559" s="668"/>
      <c r="G3559" s="668"/>
      <c r="H3559" s="668"/>
      <c r="I3559" s="668"/>
      <c r="J3559" s="668"/>
      <c r="K3559" s="668"/>
      <c r="L3559" s="668"/>
      <c r="M3559" s="668"/>
    </row>
    <row r="3560" spans="5:15" ht="80.25" customHeight="1">
      <c r="E3560" s="668"/>
      <c r="F3560" s="668"/>
      <c r="G3560" s="668"/>
      <c r="H3560" s="703" t="s">
        <v>4909</v>
      </c>
      <c r="I3560" s="668"/>
      <c r="J3560" s="668"/>
      <c r="K3560" s="668"/>
      <c r="L3560" s="668"/>
      <c r="M3560" s="668"/>
    </row>
    <row r="3561" spans="5:15" ht="15.75" customHeight="1">
      <c r="E3561" s="668"/>
      <c r="F3561" s="668">
        <v>30.42</v>
      </c>
      <c r="G3561" s="668" t="s">
        <v>19</v>
      </c>
      <c r="H3561" s="668" t="s">
        <v>4910</v>
      </c>
      <c r="I3561" s="695">
        <v>134.6</v>
      </c>
      <c r="J3561" s="668" t="s">
        <v>19</v>
      </c>
      <c r="K3561" s="668">
        <f>F3561*I3561</f>
        <v>4094.5320000000002</v>
      </c>
      <c r="L3561" s="668"/>
      <c r="M3561" s="668"/>
      <c r="O3561" s="511">
        <f>M3561+N3561</f>
        <v>0</v>
      </c>
    </row>
    <row r="3562" spans="5:15" ht="15.75" customHeight="1">
      <c r="E3562" s="668"/>
      <c r="F3562" s="668">
        <v>6.1</v>
      </c>
      <c r="G3562" s="668" t="s">
        <v>19</v>
      </c>
      <c r="H3562" s="490" t="s">
        <v>2407</v>
      </c>
      <c r="I3562" s="670">
        <v>168</v>
      </c>
      <c r="J3562" s="668" t="s">
        <v>19</v>
      </c>
      <c r="K3562" s="668">
        <f>F3562*I3562</f>
        <v>1024.8</v>
      </c>
      <c r="L3562" s="668"/>
      <c r="M3562" s="668"/>
    </row>
    <row r="3563" spans="5:15" ht="15.75" customHeight="1">
      <c r="E3563" s="668"/>
      <c r="F3563" s="668">
        <v>750</v>
      </c>
      <c r="G3563" s="668" t="s">
        <v>5</v>
      </c>
      <c r="H3563" s="668" t="s">
        <v>4911</v>
      </c>
      <c r="I3563" s="670">
        <f>[3]Data!Y18</f>
        <v>5438</v>
      </c>
      <c r="J3563" s="668" t="s">
        <v>2408</v>
      </c>
      <c r="K3563" s="668">
        <f>F3563*(I3563/1000)</f>
        <v>4078.5</v>
      </c>
      <c r="L3563" s="668"/>
      <c r="M3563" s="668"/>
    </row>
    <row r="3564" spans="5:15" ht="15.75" customHeight="1">
      <c r="E3564" s="668"/>
      <c r="F3564" s="668"/>
      <c r="G3564" s="668"/>
      <c r="H3564" s="668" t="s">
        <v>2389</v>
      </c>
      <c r="I3564" s="668"/>
      <c r="J3564" s="668"/>
      <c r="K3564" s="668">
        <f>K3573</f>
        <v>3354</v>
      </c>
      <c r="L3564" s="668"/>
      <c r="M3564" s="668"/>
    </row>
    <row r="3565" spans="5:15" ht="15.75" customHeight="1">
      <c r="E3565" s="668"/>
      <c r="F3565" s="668"/>
      <c r="G3565" s="668"/>
      <c r="H3565" s="668" t="s">
        <v>2390</v>
      </c>
      <c r="I3565" s="668"/>
      <c r="J3565" s="668"/>
      <c r="K3565" s="668">
        <v>112.17</v>
      </c>
      <c r="L3565" s="668"/>
      <c r="M3565" s="668"/>
    </row>
    <row r="3566" spans="5:15" ht="15.75" customHeight="1">
      <c r="E3566" s="668"/>
      <c r="F3566" s="668"/>
      <c r="G3566" s="668"/>
      <c r="H3566" s="674" t="s">
        <v>2409</v>
      </c>
      <c r="I3566" s="668"/>
      <c r="J3566" s="668"/>
      <c r="K3566" s="668">
        <f>SUM(K3561:K3565)</f>
        <v>12664.002</v>
      </c>
      <c r="L3566" s="668"/>
      <c r="M3566" s="668"/>
    </row>
    <row r="3567" spans="5:15" ht="15.75" customHeight="1">
      <c r="E3567" s="668"/>
      <c r="F3567" s="668"/>
      <c r="G3567" s="668"/>
      <c r="H3567" s="676" t="s">
        <v>2392</v>
      </c>
      <c r="I3567" s="668"/>
      <c r="J3567" s="668"/>
      <c r="K3567" s="460">
        <f>K3566/90</f>
        <v>140.71113333333335</v>
      </c>
      <c r="L3567" s="668"/>
      <c r="M3567" s="668"/>
    </row>
    <row r="3568" spans="5:15" ht="8.25" customHeight="1">
      <c r="E3568" s="668"/>
      <c r="F3568" s="668"/>
      <c r="G3568" s="668"/>
      <c r="H3568" s="668"/>
      <c r="I3568" s="668"/>
      <c r="J3568" s="668"/>
      <c r="K3568" s="668"/>
      <c r="L3568" s="668"/>
      <c r="M3568" s="668"/>
    </row>
    <row r="3569" spans="5:13" ht="15.75" customHeight="1">
      <c r="E3569" s="668"/>
      <c r="F3569" s="668"/>
      <c r="G3569" s="668"/>
      <c r="H3569" s="675" t="s">
        <v>2401</v>
      </c>
      <c r="K3569" s="668"/>
      <c r="L3569" s="668"/>
      <c r="M3569" s="668"/>
    </row>
    <row r="3570" spans="5:13" ht="15.75" customHeight="1">
      <c r="E3570" s="668"/>
      <c r="F3570" s="668">
        <v>1</v>
      </c>
      <c r="G3570" s="668" t="s">
        <v>5</v>
      </c>
      <c r="H3570" s="686" t="s">
        <v>4891</v>
      </c>
      <c r="I3570" s="522">
        <f>I3503</f>
        <v>730</v>
      </c>
      <c r="J3570" s="668" t="s">
        <v>5</v>
      </c>
      <c r="K3570" s="668">
        <f>F3570*I3570</f>
        <v>730</v>
      </c>
      <c r="L3570" s="668"/>
      <c r="M3570" s="668"/>
    </row>
    <row r="3571" spans="5:13" ht="15.75" customHeight="1">
      <c r="E3571" s="668"/>
      <c r="F3571" s="668">
        <v>1</v>
      </c>
      <c r="G3571" s="668" t="s">
        <v>5</v>
      </c>
      <c r="H3571" s="668" t="s">
        <v>2418</v>
      </c>
      <c r="I3571" s="522">
        <f>I3504</f>
        <v>636</v>
      </c>
      <c r="J3571" s="668" t="s">
        <v>5</v>
      </c>
      <c r="K3571" s="668">
        <f>F3571*I3571</f>
        <v>636</v>
      </c>
      <c r="L3571" s="668"/>
      <c r="M3571" s="668"/>
    </row>
    <row r="3572" spans="5:13" ht="15.75" customHeight="1">
      <c r="E3572" s="668"/>
      <c r="F3572" s="668">
        <v>4</v>
      </c>
      <c r="G3572" s="668" t="s">
        <v>5</v>
      </c>
      <c r="H3572" s="668" t="s">
        <v>2410</v>
      </c>
      <c r="I3572" s="668">
        <f>I3506</f>
        <v>497</v>
      </c>
      <c r="J3572" s="668" t="s">
        <v>5</v>
      </c>
      <c r="K3572" s="668">
        <f>F3572*I3572</f>
        <v>1988</v>
      </c>
      <c r="L3572" s="668"/>
      <c r="M3572" s="668"/>
    </row>
    <row r="3573" spans="5:13" ht="15.75" customHeight="1">
      <c r="E3573" s="668"/>
      <c r="F3573" s="668"/>
      <c r="G3573" s="668"/>
      <c r="H3573" s="668"/>
      <c r="I3573" s="668"/>
      <c r="J3573" s="668"/>
      <c r="K3573" s="460">
        <f>SUM(K3570:K3572)</f>
        <v>3354</v>
      </c>
      <c r="L3573" s="668"/>
      <c r="M3573" s="668"/>
    </row>
    <row r="3574" spans="5:13">
      <c r="E3574" s="668"/>
      <c r="F3574" s="668"/>
      <c r="G3574" s="668"/>
      <c r="H3574" s="460" t="s">
        <v>2411</v>
      </c>
      <c r="I3574" s="668"/>
      <c r="J3574" s="668"/>
      <c r="K3574" s="668"/>
      <c r="L3574" s="668"/>
      <c r="M3574" s="668"/>
    </row>
    <row r="3575" spans="5:13">
      <c r="E3575" s="668"/>
      <c r="F3575" s="668"/>
      <c r="G3575" s="668"/>
      <c r="H3575" s="668"/>
      <c r="I3575" s="668"/>
      <c r="J3575" s="668"/>
      <c r="K3575" s="668"/>
      <c r="L3575" s="668"/>
      <c r="M3575" s="668"/>
    </row>
    <row r="3576" spans="5:13" ht="29.25" customHeight="1">
      <c r="E3576" s="668"/>
      <c r="F3576" s="668"/>
      <c r="G3576" s="668"/>
      <c r="H3576" s="460" t="s">
        <v>1541</v>
      </c>
      <c r="I3576" s="668"/>
      <c r="J3576" s="668"/>
      <c r="K3576" s="668"/>
      <c r="L3576" s="668"/>
      <c r="M3576" s="668"/>
    </row>
    <row r="3577" spans="5:13" ht="75" customHeight="1">
      <c r="E3577" s="668"/>
      <c r="F3577" s="668"/>
      <c r="G3577" s="668"/>
      <c r="H3577" s="703" t="s">
        <v>2412</v>
      </c>
      <c r="I3577" s="668"/>
      <c r="J3577" s="668"/>
      <c r="K3577" s="668"/>
      <c r="L3577" s="668"/>
      <c r="M3577" s="668"/>
    </row>
    <row r="3578" spans="5:13" ht="26.25" customHeight="1">
      <c r="E3578" s="668"/>
      <c r="F3578" s="668">
        <v>1</v>
      </c>
      <c r="G3578" s="668" t="s">
        <v>2413</v>
      </c>
      <c r="H3578" s="668" t="str">
        <f>[3]Elec.Data!H3578</f>
        <v>M.S. Clamps/ Saddles 32mm (It- 3d p-131 ,part-L )</v>
      </c>
      <c r="I3578" s="670">
        <f>[3]Elec.Data!I3578</f>
        <v>59.1</v>
      </c>
      <c r="J3578" s="668" t="s">
        <v>2413</v>
      </c>
      <c r="K3578" s="668">
        <f>F3578*I3578</f>
        <v>59.1</v>
      </c>
      <c r="L3578" s="668"/>
      <c r="M3578" s="668"/>
    </row>
    <row r="3579" spans="5:13" ht="26.25" customHeight="1">
      <c r="E3579" s="668"/>
      <c r="F3579" s="668">
        <v>300</v>
      </c>
      <c r="G3579" s="668" t="s">
        <v>5</v>
      </c>
      <c r="H3579" s="668" t="str">
        <f>[3]Elec.Data!H3579</f>
        <v>Brass screws  ( 40 mm x 6 no) P130  Part-L 1-c</v>
      </c>
      <c r="I3579" s="670">
        <f>[3]Elec.Data!I3579</f>
        <v>68.2</v>
      </c>
      <c r="J3579" s="668" t="s">
        <v>2413</v>
      </c>
      <c r="K3579" s="668">
        <f>F3579*(I3579/144)</f>
        <v>142.08333333333334</v>
      </c>
      <c r="L3579" s="668"/>
      <c r="M3579" s="668"/>
    </row>
    <row r="3580" spans="5:13" ht="26.25" customHeight="1">
      <c r="E3580" s="668"/>
      <c r="F3580" s="668">
        <v>300</v>
      </c>
      <c r="G3580" s="668" t="s">
        <v>5</v>
      </c>
      <c r="H3580" s="668" t="str">
        <f>[3]Elec.Data!H3580</f>
        <v>TW plugs 1 1/2x 1'x2"( part-J 1-e P-129  )</v>
      </c>
      <c r="I3580" s="670">
        <f>[3]Elec.Data!I3580</f>
        <v>287</v>
      </c>
      <c r="J3580" s="668" t="s">
        <v>2408</v>
      </c>
      <c r="K3580" s="668">
        <f>F3580*(I3580/1000)</f>
        <v>86.1</v>
      </c>
      <c r="L3580" s="668"/>
      <c r="M3580" s="668"/>
    </row>
    <row r="3581" spans="5:13" ht="26.25" customHeight="1">
      <c r="E3581" s="668"/>
      <c r="F3581" s="668"/>
      <c r="G3581" s="668"/>
      <c r="H3581" s="668" t="s">
        <v>2414</v>
      </c>
      <c r="I3581" s="668"/>
      <c r="J3581" s="668"/>
      <c r="K3581" s="668">
        <v>63.36</v>
      </c>
      <c r="L3581" s="668"/>
      <c r="M3581" s="668"/>
    </row>
    <row r="3582" spans="5:13" ht="26.25" customHeight="1">
      <c r="E3582" s="668"/>
      <c r="F3582" s="668"/>
      <c r="G3582" s="668"/>
      <c r="H3582" s="668" t="s">
        <v>2389</v>
      </c>
      <c r="I3582" s="668"/>
      <c r="J3582" s="668"/>
      <c r="K3582" s="668">
        <f>K3592</f>
        <v>11856</v>
      </c>
      <c r="L3582" s="668"/>
      <c r="M3582" s="668"/>
    </row>
    <row r="3583" spans="5:13" ht="26.25" customHeight="1">
      <c r="E3583" s="668"/>
      <c r="F3583" s="668"/>
      <c r="G3583" s="668"/>
      <c r="H3583" s="674" t="s">
        <v>2415</v>
      </c>
      <c r="I3583" s="668"/>
      <c r="J3583" s="668"/>
      <c r="K3583" s="675">
        <f>SUM(K3578:K3582)</f>
        <v>12206.643333333333</v>
      </c>
      <c r="L3583" s="668"/>
      <c r="M3583" s="668"/>
    </row>
    <row r="3584" spans="5:13" ht="26.25" customHeight="1">
      <c r="E3584" s="668"/>
      <c r="F3584" s="668"/>
      <c r="G3584" s="668"/>
      <c r="H3584" s="676" t="s">
        <v>2405</v>
      </c>
      <c r="I3584" s="668"/>
      <c r="J3584" s="668"/>
      <c r="K3584" s="460">
        <f>K3583/90</f>
        <v>135.62937037037037</v>
      </c>
      <c r="L3584" s="668"/>
      <c r="M3584" s="668"/>
    </row>
    <row r="3585" spans="5:13">
      <c r="E3585" s="668"/>
      <c r="F3585" s="668"/>
      <c r="G3585" s="668"/>
      <c r="H3585" s="668"/>
      <c r="I3585" s="668"/>
      <c r="J3585" s="668"/>
      <c r="K3585" s="668"/>
      <c r="L3585" s="668"/>
      <c r="M3585" s="668"/>
    </row>
    <row r="3586" spans="5:13" ht="24.95" customHeight="1">
      <c r="E3586" s="668"/>
      <c r="F3586" s="668"/>
      <c r="G3586" s="668"/>
      <c r="H3586" s="675" t="s">
        <v>2416</v>
      </c>
      <c r="I3586" s="668"/>
      <c r="J3586" s="668"/>
      <c r="K3586" s="668"/>
      <c r="L3586" s="668"/>
      <c r="M3586" s="668"/>
    </row>
    <row r="3587" spans="5:13" ht="24.95" customHeight="1">
      <c r="E3587" s="668"/>
      <c r="F3587" s="668">
        <v>1</v>
      </c>
      <c r="G3587" s="668" t="s">
        <v>5</v>
      </c>
      <c r="H3587" s="686" t="s">
        <v>2417</v>
      </c>
      <c r="I3587" s="670">
        <f>I3354</f>
        <v>769</v>
      </c>
      <c r="J3587" s="668" t="s">
        <v>5</v>
      </c>
      <c r="K3587" s="668">
        <f>F3587*I3587</f>
        <v>769</v>
      </c>
      <c r="L3587" s="668"/>
      <c r="M3587" s="668"/>
    </row>
    <row r="3588" spans="5:13" ht="24.95" customHeight="1">
      <c r="E3588" s="668"/>
      <c r="F3588" s="668">
        <v>2</v>
      </c>
      <c r="G3588" s="668" t="s">
        <v>5</v>
      </c>
      <c r="H3588" s="668" t="s">
        <v>2418</v>
      </c>
      <c r="I3588" s="668">
        <f>I3504</f>
        <v>636</v>
      </c>
      <c r="J3588" s="668" t="s">
        <v>5</v>
      </c>
      <c r="K3588" s="668">
        <f>F3588*I3588</f>
        <v>1272</v>
      </c>
      <c r="L3588" s="668"/>
      <c r="M3588" s="668"/>
    </row>
    <row r="3589" spans="5:13" ht="24.95" customHeight="1">
      <c r="E3589" s="668"/>
      <c r="F3589" s="668">
        <v>3</v>
      </c>
      <c r="G3589" s="668" t="s">
        <v>5</v>
      </c>
      <c r="H3589" s="668" t="s">
        <v>2419</v>
      </c>
      <c r="I3589" s="668">
        <f>I3505</f>
        <v>633</v>
      </c>
      <c r="J3589" s="668" t="s">
        <v>5</v>
      </c>
      <c r="K3589" s="668">
        <f>F3589*I3589</f>
        <v>1899</v>
      </c>
      <c r="L3589" s="668"/>
      <c r="M3589" s="668"/>
    </row>
    <row r="3590" spans="5:13" ht="24.95" customHeight="1">
      <c r="E3590" s="668"/>
      <c r="F3590" s="668">
        <v>4</v>
      </c>
      <c r="G3590" s="668" t="s">
        <v>5</v>
      </c>
      <c r="H3590" s="668" t="s">
        <v>2410</v>
      </c>
      <c r="I3590" s="668">
        <f>I3506</f>
        <v>497</v>
      </c>
      <c r="J3590" s="668" t="s">
        <v>5</v>
      </c>
      <c r="K3590" s="668">
        <f>F3590*I3590</f>
        <v>1988</v>
      </c>
      <c r="L3590" s="668"/>
      <c r="M3590" s="668"/>
    </row>
    <row r="3591" spans="5:13" ht="24.95" customHeight="1">
      <c r="E3591" s="668"/>
      <c r="F3591" s="668"/>
      <c r="G3591" s="668"/>
      <c r="H3591" s="674" t="s">
        <v>4912</v>
      </c>
      <c r="I3591" s="668"/>
      <c r="J3591" s="668"/>
      <c r="K3591" s="668">
        <f>SUM(K3587:K3590)</f>
        <v>5928</v>
      </c>
      <c r="L3591" s="668"/>
      <c r="M3591" s="668"/>
    </row>
    <row r="3592" spans="5:13" ht="24.95" customHeight="1">
      <c r="E3592" s="668"/>
      <c r="F3592" s="668"/>
      <c r="G3592" s="668"/>
      <c r="H3592" s="676" t="s">
        <v>4913</v>
      </c>
      <c r="I3592" s="668"/>
      <c r="J3592" s="668"/>
      <c r="K3592" s="460">
        <f>K3591*2</f>
        <v>11856</v>
      </c>
      <c r="L3592" s="668"/>
      <c r="M3592" s="668"/>
    </row>
    <row r="3593" spans="5:13">
      <c r="E3593" s="668"/>
      <c r="F3593" s="668"/>
      <c r="G3593" s="668"/>
      <c r="H3593" s="668"/>
      <c r="I3593" s="668"/>
      <c r="J3593" s="668"/>
      <c r="K3593" s="668"/>
      <c r="L3593" s="668"/>
      <c r="M3593" s="668"/>
    </row>
    <row r="3594" spans="5:13" ht="21" customHeight="1">
      <c r="E3594" s="668"/>
      <c r="F3594" s="668"/>
      <c r="G3594" s="668"/>
      <c r="H3594" s="460" t="s">
        <v>4914</v>
      </c>
      <c r="I3594" s="668"/>
      <c r="J3594" s="668"/>
      <c r="K3594" s="668"/>
      <c r="L3594" s="668"/>
      <c r="M3594" s="668"/>
    </row>
    <row r="3595" spans="5:13">
      <c r="E3595" s="668"/>
      <c r="F3595" s="668"/>
      <c r="G3595" s="668"/>
      <c r="H3595" s="668"/>
      <c r="I3595" s="668"/>
      <c r="J3595" s="668"/>
      <c r="K3595" s="668"/>
      <c r="L3595" s="668"/>
      <c r="M3595" s="668"/>
    </row>
    <row r="3596" spans="5:13" ht="27" customHeight="1">
      <c r="E3596" s="668"/>
      <c r="F3596" s="668"/>
      <c r="G3596" s="668"/>
      <c r="H3596" s="460" t="s">
        <v>4915</v>
      </c>
      <c r="I3596" s="668"/>
      <c r="J3596" s="668"/>
      <c r="K3596" s="668"/>
      <c r="L3596" s="668"/>
      <c r="M3596" s="668"/>
    </row>
    <row r="3597" spans="5:13">
      <c r="E3597" s="668"/>
      <c r="F3597" s="668"/>
      <c r="G3597" s="668"/>
      <c r="H3597" s="668"/>
      <c r="I3597" s="668"/>
      <c r="J3597" s="668"/>
      <c r="K3597" s="668"/>
      <c r="L3597" s="668"/>
      <c r="M3597" s="668"/>
    </row>
    <row r="3598" spans="5:13" ht="182.25" customHeight="1">
      <c r="E3598" s="668"/>
      <c r="F3598" s="668"/>
      <c r="G3598" s="668"/>
      <c r="H3598" s="703" t="s">
        <v>4916</v>
      </c>
      <c r="I3598" s="668"/>
      <c r="J3598" s="668"/>
      <c r="K3598" s="668"/>
      <c r="L3598" s="668"/>
      <c r="M3598" s="668"/>
    </row>
    <row r="3599" spans="5:13" ht="26.25" customHeight="1">
      <c r="E3599" s="668"/>
      <c r="F3599" s="668"/>
      <c r="G3599" s="668"/>
      <c r="H3599" s="460" t="s">
        <v>4917</v>
      </c>
      <c r="I3599" s="668"/>
      <c r="J3599" s="668"/>
      <c r="K3599" s="668"/>
      <c r="L3599" s="668"/>
      <c r="M3599" s="668"/>
    </row>
    <row r="3600" spans="5:13">
      <c r="E3600" s="668"/>
      <c r="F3600" s="668"/>
      <c r="G3600" s="668"/>
      <c r="H3600" s="668"/>
      <c r="I3600" s="668"/>
      <c r="J3600" s="668"/>
      <c r="K3600" s="668"/>
      <c r="L3600" s="668"/>
      <c r="M3600" s="668"/>
    </row>
    <row r="3601" spans="5:18" ht="225" customHeight="1">
      <c r="E3601" s="668"/>
      <c r="F3601" s="668"/>
      <c r="G3601" s="668"/>
      <c r="H3601" s="703" t="s">
        <v>4918</v>
      </c>
      <c r="I3601" s="668"/>
      <c r="J3601" s="668"/>
      <c r="K3601" s="668"/>
      <c r="L3601" s="668"/>
      <c r="M3601" s="668"/>
    </row>
    <row r="3602" spans="5:18" ht="22.5" customHeight="1">
      <c r="E3602" s="668"/>
      <c r="F3602" s="668"/>
      <c r="G3602" s="668"/>
      <c r="H3602" s="675" t="s">
        <v>4919</v>
      </c>
      <c r="I3602" s="675" t="s">
        <v>4920</v>
      </c>
      <c r="J3602" s="675" t="s">
        <v>4921</v>
      </c>
      <c r="K3602" s="675" t="s">
        <v>4922</v>
      </c>
      <c r="L3602" s="675" t="s">
        <v>4923</v>
      </c>
      <c r="M3602" s="668"/>
    </row>
    <row r="3603" spans="5:18" ht="22.5" customHeight="1">
      <c r="E3603" s="668"/>
      <c r="F3603" s="668"/>
      <c r="G3603" s="668"/>
      <c r="H3603" s="668" t="s">
        <v>4924</v>
      </c>
      <c r="I3603" s="670">
        <v>2970</v>
      </c>
      <c r="J3603" s="670">
        <v>2970</v>
      </c>
      <c r="K3603" s="670">
        <v>2850</v>
      </c>
      <c r="L3603" s="670">
        <v>2890</v>
      </c>
      <c r="M3603" s="668"/>
    </row>
    <row r="3604" spans="5:18" ht="22.5" customHeight="1">
      <c r="E3604" s="668"/>
      <c r="F3604" s="668"/>
      <c r="G3604" s="668"/>
      <c r="H3604" s="668" t="s">
        <v>4925</v>
      </c>
      <c r="I3604" s="668">
        <v>166</v>
      </c>
      <c r="J3604" s="668">
        <v>405</v>
      </c>
      <c r="K3604" s="704">
        <v>548</v>
      </c>
      <c r="L3604" s="704">
        <v>639</v>
      </c>
      <c r="M3604" s="668"/>
    </row>
    <row r="3605" spans="5:18" ht="29.25" customHeight="1">
      <c r="E3605" s="668"/>
      <c r="F3605" s="668"/>
      <c r="G3605" s="668"/>
      <c r="H3605" s="676" t="s">
        <v>4926</v>
      </c>
      <c r="I3605" s="460">
        <f>SUM(I3603:I3604)</f>
        <v>3136</v>
      </c>
      <c r="J3605" s="460">
        <f>SUM(J3603:J3604)</f>
        <v>3375</v>
      </c>
      <c r="K3605" s="682">
        <f>SUM(K3603:K3604)</f>
        <v>3398</v>
      </c>
      <c r="L3605" s="682">
        <f>SUM(L3603:L3604)</f>
        <v>3529</v>
      </c>
      <c r="M3605" s="668"/>
    </row>
    <row r="3606" spans="5:18">
      <c r="E3606" s="668"/>
      <c r="F3606" s="668"/>
      <c r="G3606" s="668"/>
      <c r="H3606" s="668"/>
      <c r="I3606" s="668"/>
      <c r="J3606" s="668"/>
      <c r="K3606" s="668"/>
      <c r="L3606" s="668"/>
      <c r="M3606" s="668"/>
    </row>
    <row r="3607" spans="5:18">
      <c r="E3607" s="668"/>
      <c r="F3607" s="668"/>
      <c r="G3607" s="668"/>
      <c r="H3607" s="460" t="s">
        <v>4927</v>
      </c>
      <c r="I3607" s="668"/>
      <c r="J3607" s="668"/>
      <c r="K3607" s="668"/>
      <c r="L3607" s="668"/>
      <c r="M3607" s="668"/>
    </row>
    <row r="3608" spans="5:18" ht="15.75" customHeight="1">
      <c r="E3608" s="668"/>
      <c r="F3608" s="668"/>
      <c r="G3608" s="668"/>
      <c r="H3608" s="668"/>
      <c r="I3608" s="668"/>
      <c r="J3608" s="668"/>
      <c r="K3608" s="668"/>
      <c r="L3608" s="668"/>
      <c r="M3608" s="668"/>
    </row>
    <row r="3609" spans="5:18">
      <c r="E3609" s="668"/>
      <c r="F3609" s="668"/>
      <c r="G3609" s="668"/>
      <c r="H3609" s="460" t="s">
        <v>1542</v>
      </c>
      <c r="I3609" s="668"/>
      <c r="J3609" s="668"/>
      <c r="K3609" s="668"/>
      <c r="L3609" s="668"/>
      <c r="M3609" s="668"/>
    </row>
    <row r="3610" spans="5:18" ht="86.25" customHeight="1">
      <c r="E3610" s="668"/>
      <c r="F3610" s="668"/>
      <c r="G3610" s="668"/>
      <c r="H3610" s="703" t="s">
        <v>4928</v>
      </c>
      <c r="I3610" s="668"/>
      <c r="J3610" s="668"/>
      <c r="K3610" s="668"/>
      <c r="L3610" s="668"/>
      <c r="M3610" s="1631" t="s">
        <v>4929</v>
      </c>
      <c r="N3610" s="1631"/>
      <c r="O3610" s="1631"/>
      <c r="P3610" s="1631"/>
      <c r="Q3610" s="1631"/>
      <c r="R3610" s="1631"/>
    </row>
    <row r="3611" spans="5:18" ht="15.75" customHeight="1">
      <c r="E3611" s="668"/>
      <c r="F3611" s="668"/>
      <c r="G3611" s="668"/>
      <c r="H3611" s="668"/>
      <c r="I3611" s="668"/>
      <c r="J3611" s="668"/>
      <c r="K3611" s="668"/>
      <c r="L3611" s="668"/>
      <c r="M3611" s="1632" t="s">
        <v>4930</v>
      </c>
      <c r="N3611" s="1632"/>
      <c r="O3611" s="1632"/>
      <c r="P3611" s="1632"/>
      <c r="Q3611" s="1632"/>
      <c r="R3611" s="1632"/>
    </row>
    <row r="3612" spans="5:18" ht="26.25" customHeight="1">
      <c r="E3612" s="668"/>
      <c r="F3612" s="668">
        <v>2</v>
      </c>
      <c r="G3612" s="668" t="s">
        <v>12</v>
      </c>
      <c r="H3612" s="668" t="str">
        <f>[3]Elec.Data!H3612</f>
        <v>GI pipe of 20 mm dia  (P-50 142 -iv)</v>
      </c>
      <c r="I3612" s="670">
        <f>[3]Elec.Data!I3612</f>
        <v>98.6</v>
      </c>
      <c r="J3612" s="668" t="s">
        <v>12</v>
      </c>
      <c r="K3612" s="668">
        <f>F3612*I3612</f>
        <v>197.2</v>
      </c>
      <c r="L3612" s="668"/>
      <c r="M3612" s="705"/>
      <c r="N3612" s="705"/>
      <c r="O3612" s="705"/>
      <c r="P3612" s="705"/>
      <c r="Q3612" s="705"/>
      <c r="R3612" s="705"/>
    </row>
    <row r="3613" spans="5:18" ht="26.25" customHeight="1">
      <c r="E3613" s="668"/>
      <c r="F3613" s="668">
        <v>2</v>
      </c>
      <c r="G3613" s="668" t="s">
        <v>3868</v>
      </c>
      <c r="H3613" s="668" t="s">
        <v>4931</v>
      </c>
      <c r="I3613" s="668">
        <v>35</v>
      </c>
      <c r="J3613" s="668" t="s">
        <v>3868</v>
      </c>
      <c r="K3613" s="668">
        <f>F3613*I3613</f>
        <v>70</v>
      </c>
      <c r="L3613" s="668"/>
      <c r="M3613" s="706">
        <v>1.5</v>
      </c>
      <c r="N3613" s="705" t="s">
        <v>12</v>
      </c>
      <c r="O3613" s="705" t="s">
        <v>4932</v>
      </c>
      <c r="P3613" s="707">
        <v>136</v>
      </c>
      <c r="Q3613" s="705" t="s">
        <v>12</v>
      </c>
      <c r="R3613" s="706">
        <f>P3613*M3613</f>
        <v>204</v>
      </c>
    </row>
    <row r="3614" spans="5:18" ht="26.25" customHeight="1">
      <c r="E3614" s="668"/>
      <c r="F3614" s="668">
        <v>1</v>
      </c>
      <c r="G3614" s="668" t="s">
        <v>5</v>
      </c>
      <c r="H3614" s="668" t="s">
        <v>4933</v>
      </c>
      <c r="I3614" s="670">
        <f>[3]Elec.Data!I3614</f>
        <v>47.2</v>
      </c>
      <c r="J3614" s="668" t="s">
        <v>556</v>
      </c>
      <c r="K3614" s="668">
        <f>F3614*I3614</f>
        <v>47.2</v>
      </c>
      <c r="L3614" s="668"/>
      <c r="M3614" s="706">
        <v>2</v>
      </c>
      <c r="N3614" s="705" t="s">
        <v>3868</v>
      </c>
      <c r="O3614" s="705" t="s">
        <v>4931</v>
      </c>
      <c r="P3614" s="706">
        <f>I3613</f>
        <v>35</v>
      </c>
      <c r="Q3614" s="705" t="s">
        <v>3868</v>
      </c>
      <c r="R3614" s="706">
        <f>M3614*P3614</f>
        <v>70</v>
      </c>
    </row>
    <row r="3615" spans="5:18" ht="26.25" customHeight="1">
      <c r="E3615" s="668"/>
      <c r="F3615" s="668">
        <v>1</v>
      </c>
      <c r="G3615" s="668" t="s">
        <v>5</v>
      </c>
      <c r="H3615" s="668" t="s">
        <v>4934</v>
      </c>
      <c r="I3615" s="668">
        <f>K3628</f>
        <v>32.117999999999995</v>
      </c>
      <c r="J3615" s="668" t="s">
        <v>556</v>
      </c>
      <c r="K3615" s="668">
        <f>F3615*I3615</f>
        <v>32.117999999999995</v>
      </c>
      <c r="L3615" s="668"/>
      <c r="M3615" s="706"/>
      <c r="N3615" s="705"/>
      <c r="O3615" s="705"/>
      <c r="P3615" s="707"/>
      <c r="Q3615" s="705"/>
      <c r="R3615" s="706"/>
    </row>
    <row r="3616" spans="5:18" ht="26.25" customHeight="1">
      <c r="E3616" s="668"/>
      <c r="F3616" s="668">
        <v>8</v>
      </c>
      <c r="G3616" s="668" t="s">
        <v>12</v>
      </c>
      <c r="H3616" s="668" t="s">
        <v>4935</v>
      </c>
      <c r="I3616" s="668">
        <f>I3101</f>
        <v>20.3</v>
      </c>
      <c r="J3616" s="668" t="s">
        <v>4646</v>
      </c>
      <c r="K3616" s="668">
        <f>F3616*I3616</f>
        <v>162.4</v>
      </c>
      <c r="L3616" s="668"/>
      <c r="M3616" s="706"/>
      <c r="N3616" s="705"/>
      <c r="O3616" s="705"/>
      <c r="P3616" s="706"/>
      <c r="Q3616" s="705"/>
      <c r="R3616" s="706"/>
    </row>
    <row r="3617" spans="5:18" ht="51" customHeight="1">
      <c r="E3617" s="668"/>
      <c r="F3617" s="668">
        <v>1</v>
      </c>
      <c r="G3617" s="668" t="s">
        <v>5</v>
      </c>
      <c r="H3617" s="703" t="s">
        <v>4936</v>
      </c>
      <c r="I3617" s="668"/>
      <c r="J3617" s="668"/>
      <c r="K3617" s="668">
        <f>K3627</f>
        <v>1374.3333333333333</v>
      </c>
      <c r="L3617" s="668"/>
      <c r="M3617" s="706">
        <v>8</v>
      </c>
      <c r="N3617" s="705" t="s">
        <v>12</v>
      </c>
      <c r="O3617" s="708" t="s">
        <v>4935</v>
      </c>
      <c r="P3617" s="706">
        <f>I3616</f>
        <v>20.3</v>
      </c>
      <c r="Q3617" s="705" t="s">
        <v>4646</v>
      </c>
      <c r="R3617" s="706">
        <f>M3617*P3617</f>
        <v>162.4</v>
      </c>
    </row>
    <row r="3618" spans="5:18" ht="49.5" customHeight="1">
      <c r="E3618" s="668"/>
      <c r="F3618" s="668"/>
      <c r="G3618" s="668"/>
      <c r="H3618" s="703" t="s">
        <v>4937</v>
      </c>
      <c r="I3618" s="668" t="s">
        <v>170</v>
      </c>
      <c r="J3618" s="668"/>
      <c r="K3618" s="668">
        <f>15.7+0.31</f>
        <v>16.009999999999998</v>
      </c>
      <c r="L3618" s="668"/>
      <c r="M3618" s="706">
        <v>1</v>
      </c>
      <c r="N3618" s="705" t="s">
        <v>5</v>
      </c>
      <c r="O3618" s="708" t="s">
        <v>4936</v>
      </c>
      <c r="P3618" s="706">
        <f>R3628</f>
        <v>881.66666666666663</v>
      </c>
      <c r="Q3618" s="705" t="s">
        <v>556</v>
      </c>
      <c r="R3618" s="706">
        <f>R3628</f>
        <v>881.66666666666663</v>
      </c>
    </row>
    <row r="3619" spans="5:18" ht="29.25" customHeight="1">
      <c r="E3619" s="668"/>
      <c r="F3619" s="668"/>
      <c r="G3619" s="668"/>
      <c r="H3619" s="676" t="s">
        <v>2420</v>
      </c>
      <c r="I3619" s="668"/>
      <c r="J3619" s="668"/>
      <c r="K3619" s="460">
        <f>SUM(K3612:K3618)</f>
        <v>1899.2613333333331</v>
      </c>
      <c r="L3619" s="668">
        <f>K3619-1520</f>
        <v>379.26133333333314</v>
      </c>
      <c r="M3619" s="706"/>
      <c r="N3619" s="705"/>
      <c r="O3619" s="708" t="s">
        <v>4937</v>
      </c>
      <c r="P3619" s="1633" t="s">
        <v>170</v>
      </c>
      <c r="Q3619" s="1633"/>
      <c r="R3619" s="706">
        <v>15.73</v>
      </c>
    </row>
    <row r="3620" spans="5:18">
      <c r="E3620" s="668"/>
      <c r="F3620" s="668"/>
      <c r="G3620" s="668"/>
      <c r="H3620" s="668"/>
      <c r="I3620" s="668"/>
      <c r="J3620" s="668"/>
      <c r="K3620" s="668"/>
      <c r="L3620" s="668"/>
      <c r="M3620" s="706"/>
      <c r="N3620" s="705"/>
      <c r="O3620" s="709" t="s">
        <v>2420</v>
      </c>
      <c r="P3620" s="705"/>
      <c r="Q3620" s="705"/>
      <c r="R3620" s="709">
        <f>SUM(R3613:R3619)</f>
        <v>1333.7966666666666</v>
      </c>
    </row>
    <row r="3621" spans="5:18">
      <c r="E3621" s="668"/>
      <c r="F3621" s="668"/>
      <c r="G3621" s="668"/>
      <c r="H3621" s="675" t="s">
        <v>4938</v>
      </c>
      <c r="I3621" s="668"/>
      <c r="J3621" s="668"/>
      <c r="K3621" s="668"/>
      <c r="L3621" s="668"/>
      <c r="M3621" s="706"/>
      <c r="N3621" s="705"/>
      <c r="O3621" s="705"/>
      <c r="P3621" s="705"/>
      <c r="Q3621" s="705"/>
      <c r="R3621" s="705"/>
    </row>
    <row r="3622" spans="5:18">
      <c r="E3622" s="668"/>
      <c r="F3622" s="668">
        <v>1</v>
      </c>
      <c r="G3622" s="668" t="s">
        <v>5</v>
      </c>
      <c r="H3622" s="686" t="s">
        <v>4891</v>
      </c>
      <c r="I3622" s="668">
        <f>I3503</f>
        <v>730</v>
      </c>
      <c r="J3622" s="668" t="s">
        <v>5</v>
      </c>
      <c r="K3622" s="668">
        <f>F3622*I3622</f>
        <v>730</v>
      </c>
      <c r="L3622" s="668"/>
      <c r="M3622" s="706"/>
      <c r="N3622" s="705"/>
      <c r="O3622" s="710" t="s">
        <v>4938</v>
      </c>
      <c r="P3622" s="705"/>
      <c r="Q3622" s="705"/>
      <c r="R3622" s="705"/>
    </row>
    <row r="3623" spans="5:18">
      <c r="E3623" s="668"/>
      <c r="F3623" s="668">
        <v>1</v>
      </c>
      <c r="G3623" s="668" t="s">
        <v>5</v>
      </c>
      <c r="H3623" s="668" t="s">
        <v>2418</v>
      </c>
      <c r="I3623" s="668">
        <f>I3504</f>
        <v>636</v>
      </c>
      <c r="J3623" s="668" t="s">
        <v>5</v>
      </c>
      <c r="K3623" s="668">
        <f>F3623*I3623</f>
        <v>636</v>
      </c>
      <c r="L3623" s="668"/>
      <c r="M3623" s="706">
        <v>1</v>
      </c>
      <c r="N3623" s="705" t="s">
        <v>5</v>
      </c>
      <c r="O3623" s="705" t="s">
        <v>4891</v>
      </c>
      <c r="P3623" s="706">
        <v>471</v>
      </c>
      <c r="Q3623" s="705" t="s">
        <v>5</v>
      </c>
      <c r="R3623" s="705">
        <f>M3623*P3623</f>
        <v>471</v>
      </c>
    </row>
    <row r="3624" spans="5:18">
      <c r="E3624" s="668"/>
      <c r="F3624" s="668">
        <v>2</v>
      </c>
      <c r="G3624" s="668" t="s">
        <v>5</v>
      </c>
      <c r="H3624" s="668" t="s">
        <v>2419</v>
      </c>
      <c r="I3624" s="668">
        <f>I3505</f>
        <v>633</v>
      </c>
      <c r="J3624" s="668" t="s">
        <v>5</v>
      </c>
      <c r="K3624" s="668">
        <f>F3624*I3624</f>
        <v>1266</v>
      </c>
      <c r="L3624" s="668"/>
      <c r="M3624" s="706">
        <v>1</v>
      </c>
      <c r="N3624" s="705" t="s">
        <v>5</v>
      </c>
      <c r="O3624" s="705" t="s">
        <v>2418</v>
      </c>
      <c r="P3624" s="706">
        <v>432</v>
      </c>
      <c r="Q3624" s="705" t="s">
        <v>5</v>
      </c>
      <c r="R3624" s="705">
        <f>M3624*P3624</f>
        <v>432</v>
      </c>
    </row>
    <row r="3625" spans="5:18">
      <c r="E3625" s="668"/>
      <c r="F3625" s="668">
        <v>3</v>
      </c>
      <c r="G3625" s="668" t="s">
        <v>5</v>
      </c>
      <c r="H3625" s="668" t="s">
        <v>2410</v>
      </c>
      <c r="I3625" s="668">
        <f>I3506</f>
        <v>497</v>
      </c>
      <c r="J3625" s="668" t="s">
        <v>5</v>
      </c>
      <c r="K3625" s="668">
        <f>F3625*I3625</f>
        <v>1491</v>
      </c>
      <c r="L3625" s="668"/>
      <c r="M3625" s="706">
        <v>2</v>
      </c>
      <c r="N3625" s="705" t="s">
        <v>5</v>
      </c>
      <c r="O3625" s="705" t="s">
        <v>2419</v>
      </c>
      <c r="P3625" s="706">
        <v>409</v>
      </c>
      <c r="Q3625" s="705" t="s">
        <v>5</v>
      </c>
      <c r="R3625" s="705">
        <f>M3625*P3625</f>
        <v>818</v>
      </c>
    </row>
    <row r="3626" spans="5:18">
      <c r="E3626" s="668"/>
      <c r="F3626" s="668"/>
      <c r="G3626" s="668"/>
      <c r="H3626" s="674" t="s">
        <v>4883</v>
      </c>
      <c r="I3626" s="668"/>
      <c r="J3626" s="668"/>
      <c r="K3626" s="675">
        <f>SUM(K3622:K3625)</f>
        <v>4123</v>
      </c>
      <c r="L3626" s="668"/>
      <c r="M3626" s="706">
        <v>3</v>
      </c>
      <c r="N3626" s="705" t="s">
        <v>5</v>
      </c>
      <c r="O3626" s="705" t="s">
        <v>2410</v>
      </c>
      <c r="P3626" s="706">
        <v>308</v>
      </c>
      <c r="Q3626" s="705" t="s">
        <v>5</v>
      </c>
      <c r="R3626" s="705">
        <f>M3626*P3626</f>
        <v>924</v>
      </c>
    </row>
    <row r="3627" spans="5:18">
      <c r="E3627" s="668"/>
      <c r="F3627" s="668"/>
      <c r="G3627" s="668"/>
      <c r="H3627" s="676" t="s">
        <v>2373</v>
      </c>
      <c r="I3627" s="668"/>
      <c r="J3627" s="668"/>
      <c r="K3627" s="460">
        <f>K3626/3</f>
        <v>1374.3333333333333</v>
      </c>
      <c r="L3627" s="668"/>
      <c r="M3627" s="705"/>
      <c r="N3627" s="705"/>
      <c r="O3627" s="706" t="s">
        <v>4883</v>
      </c>
      <c r="P3627" s="705"/>
      <c r="Q3627" s="705"/>
      <c r="R3627" s="710">
        <f>SUM(R3623:R3626)</f>
        <v>2645</v>
      </c>
    </row>
    <row r="3628" spans="5:18">
      <c r="E3628" s="668"/>
      <c r="F3628" s="668"/>
      <c r="G3628" s="668"/>
      <c r="H3628" s="460" t="s">
        <v>4939</v>
      </c>
      <c r="I3628" s="668">
        <f>I3483</f>
        <v>107060</v>
      </c>
      <c r="J3628" s="685">
        <v>2.9999999999999997E-4</v>
      </c>
      <c r="K3628" s="460">
        <f>I3628*J3628</f>
        <v>32.117999999999995</v>
      </c>
      <c r="L3628" s="668"/>
      <c r="M3628" s="705"/>
      <c r="N3628" s="705"/>
      <c r="O3628" s="709" t="s">
        <v>2373</v>
      </c>
      <c r="P3628" s="705"/>
      <c r="Q3628" s="705"/>
      <c r="R3628" s="711">
        <f>R3627/3</f>
        <v>881.66666666666663</v>
      </c>
    </row>
    <row r="3629" spans="5:18">
      <c r="E3629" s="668"/>
      <c r="F3629" s="668"/>
      <c r="G3629" s="668"/>
      <c r="H3629" s="668"/>
      <c r="I3629" s="668"/>
      <c r="J3629" s="668"/>
      <c r="K3629" s="668"/>
      <c r="L3629" s="668"/>
      <c r="M3629" s="705"/>
      <c r="N3629" s="705"/>
      <c r="O3629" s="712"/>
      <c r="P3629" s="713"/>
      <c r="Q3629" s="714"/>
      <c r="R3629" s="712"/>
    </row>
    <row r="3630" spans="5:18" ht="23.25" customHeight="1">
      <c r="E3630" s="668"/>
      <c r="F3630" s="668"/>
      <c r="G3630" s="668"/>
      <c r="H3630" s="460" t="s">
        <v>4876</v>
      </c>
      <c r="I3630" s="668"/>
      <c r="J3630" s="668"/>
      <c r="K3630" s="668"/>
      <c r="L3630" s="668"/>
      <c r="M3630" s="705"/>
      <c r="N3630" s="705"/>
      <c r="O3630" s="705"/>
      <c r="P3630" s="705"/>
      <c r="Q3630" s="705"/>
      <c r="R3630" s="705"/>
    </row>
    <row r="3631" spans="5:18" ht="15.75" customHeight="1">
      <c r="E3631" s="668"/>
      <c r="F3631" s="668"/>
      <c r="G3631" s="668"/>
      <c r="H3631" s="668"/>
      <c r="I3631" s="668"/>
      <c r="J3631" s="668"/>
      <c r="K3631" s="668"/>
      <c r="L3631" s="668"/>
      <c r="M3631" s="705"/>
      <c r="N3631" s="705"/>
      <c r="O3631" s="711" t="s">
        <v>4876</v>
      </c>
      <c r="P3631" s="705"/>
      <c r="Q3631" s="705"/>
      <c r="R3631" s="705"/>
    </row>
    <row r="3632" spans="5:18" ht="24.95" customHeight="1">
      <c r="E3632" s="668"/>
      <c r="F3632" s="668"/>
      <c r="G3632" s="668"/>
      <c r="H3632" s="460" t="s">
        <v>4940</v>
      </c>
      <c r="I3632" s="668"/>
      <c r="J3632" s="668"/>
      <c r="K3632" s="668"/>
      <c r="L3632" s="668"/>
      <c r="M3632" s="705"/>
      <c r="N3632" s="705"/>
      <c r="O3632" s="711"/>
      <c r="P3632" s="705"/>
      <c r="Q3632" s="705"/>
      <c r="R3632" s="705"/>
    </row>
    <row r="3633" spans="5:18" ht="15.75" customHeight="1">
      <c r="E3633" s="668"/>
      <c r="F3633" s="668"/>
      <c r="G3633" s="668"/>
      <c r="H3633" s="668"/>
      <c r="I3633" s="668"/>
      <c r="J3633" s="668"/>
      <c r="K3633" s="668"/>
      <c r="L3633" s="668"/>
      <c r="M3633" s="705"/>
      <c r="N3633" s="705"/>
      <c r="O3633" s="711" t="s">
        <v>4941</v>
      </c>
      <c r="P3633" s="705"/>
      <c r="Q3633" s="705"/>
      <c r="R3633" s="705"/>
    </row>
    <row r="3634" spans="5:18" ht="24.95" customHeight="1">
      <c r="E3634" s="668"/>
      <c r="F3634" s="668">
        <v>1</v>
      </c>
      <c r="G3634" s="668" t="s">
        <v>5</v>
      </c>
      <c r="H3634" s="667" t="str">
        <f>[3]Elec.Data!H3634</f>
        <v>Tube light fittings P-111 ,11a-An-VII</v>
      </c>
      <c r="I3634" s="671">
        <f>[3]Elec.Data!I3634</f>
        <v>636</v>
      </c>
      <c r="J3634" s="668" t="s">
        <v>5</v>
      </c>
      <c r="K3634" s="668">
        <f>F3634*I3634</f>
        <v>636</v>
      </c>
      <c r="L3634" s="668"/>
      <c r="M3634" s="705"/>
      <c r="N3634" s="705"/>
      <c r="O3634" s="711"/>
      <c r="P3634" s="705"/>
      <c r="Q3634" s="705"/>
      <c r="R3634" s="705"/>
    </row>
    <row r="3635" spans="5:18" ht="24.95" customHeight="1">
      <c r="E3635" s="668"/>
      <c r="F3635" s="668">
        <v>1</v>
      </c>
      <c r="G3635" s="668" t="s">
        <v>5</v>
      </c>
      <c r="H3635" s="667" t="str">
        <f>[3]Elec.Data!H3635</f>
        <v>Tubular lamp P-110 ,4b</v>
      </c>
      <c r="I3635" s="671">
        <f>[3]Elec.Data!I3635</f>
        <v>35.6</v>
      </c>
      <c r="J3635" s="668" t="s">
        <v>5</v>
      </c>
      <c r="K3635" s="668">
        <f>F3635*I3635</f>
        <v>35.6</v>
      </c>
      <c r="L3635" s="668"/>
      <c r="M3635" s="705">
        <v>1</v>
      </c>
      <c r="N3635" s="705" t="s">
        <v>5</v>
      </c>
      <c r="O3635" s="708" t="s">
        <v>4942</v>
      </c>
      <c r="P3635" s="715">
        <v>1717.5</v>
      </c>
      <c r="Q3635" s="705" t="s">
        <v>5</v>
      </c>
      <c r="R3635" s="705">
        <f>M3635*P3635</f>
        <v>1717.5</v>
      </c>
    </row>
    <row r="3636" spans="5:18" ht="24.95" customHeight="1">
      <c r="E3636" s="668"/>
      <c r="F3636" s="668">
        <v>1</v>
      </c>
      <c r="G3636" s="668" t="s">
        <v>5</v>
      </c>
      <c r="H3636" s="703" t="s">
        <v>2389</v>
      </c>
      <c r="I3636" s="668">
        <f>K3619</f>
        <v>1899.2613333333331</v>
      </c>
      <c r="J3636" s="668" t="s">
        <v>5</v>
      </c>
      <c r="K3636" s="668">
        <f>F3636*I3636</f>
        <v>1899.2613333333331</v>
      </c>
      <c r="L3636" s="668"/>
      <c r="M3636" s="705">
        <v>1</v>
      </c>
      <c r="N3636" s="705" t="s">
        <v>5</v>
      </c>
      <c r="O3636" s="708" t="s">
        <v>2389</v>
      </c>
      <c r="P3636" s="715">
        <f>R3620</f>
        <v>1333.7966666666666</v>
      </c>
      <c r="Q3636" s="705" t="s">
        <v>5</v>
      </c>
      <c r="R3636" s="705">
        <f>M3636*P3636</f>
        <v>1333.7966666666666</v>
      </c>
    </row>
    <row r="3637" spans="5:18" ht="24.95" customHeight="1">
      <c r="E3637" s="668"/>
      <c r="F3637" s="668"/>
      <c r="G3637" s="668"/>
      <c r="H3637" s="667" t="s">
        <v>2390</v>
      </c>
      <c r="I3637" s="668"/>
      <c r="J3637" s="668"/>
      <c r="K3637" s="668">
        <f>2.5-0.9</f>
        <v>1.6</v>
      </c>
      <c r="L3637" s="668"/>
      <c r="M3637" s="705"/>
      <c r="N3637" s="705"/>
      <c r="O3637" s="708" t="s">
        <v>2390</v>
      </c>
      <c r="P3637" s="705"/>
      <c r="Q3637" s="705"/>
      <c r="R3637" s="705">
        <v>0.5</v>
      </c>
    </row>
    <row r="3638" spans="5:18" ht="24.95" customHeight="1">
      <c r="E3638" s="668"/>
      <c r="F3638" s="668"/>
      <c r="G3638" s="668"/>
      <c r="H3638" s="676" t="s">
        <v>4714</v>
      </c>
      <c r="I3638" s="668"/>
      <c r="J3638" s="668"/>
      <c r="K3638" s="460">
        <f>SUM(K3634:K3637)</f>
        <v>2572.4613333333332</v>
      </c>
      <c r="L3638" s="668">
        <f>K3638-2170</f>
        <v>402.46133333333319</v>
      </c>
      <c r="M3638" s="705"/>
      <c r="N3638" s="705"/>
      <c r="O3638" s="709" t="s">
        <v>4714</v>
      </c>
      <c r="P3638" s="705"/>
      <c r="Q3638" s="705"/>
      <c r="R3638" s="711">
        <f>SUM(R3635:R3637)</f>
        <v>3051.7966666666666</v>
      </c>
    </row>
    <row r="3639" spans="5:18">
      <c r="E3639" s="668"/>
      <c r="F3639" s="668"/>
      <c r="G3639" s="668"/>
      <c r="H3639" s="668"/>
      <c r="I3639" s="668"/>
      <c r="J3639" s="668"/>
      <c r="K3639" s="668"/>
      <c r="L3639" s="668"/>
      <c r="M3639" s="705"/>
      <c r="N3639" s="705"/>
      <c r="P3639" s="705"/>
      <c r="Q3639" s="705"/>
      <c r="R3639" s="711"/>
    </row>
    <row r="3640" spans="5:18" ht="24.75" customHeight="1">
      <c r="E3640" s="668"/>
      <c r="F3640" s="668"/>
      <c r="G3640" s="668"/>
      <c r="H3640" s="460" t="s">
        <v>4943</v>
      </c>
      <c r="I3640" s="668"/>
      <c r="J3640" s="668"/>
      <c r="K3640" s="668"/>
      <c r="L3640" s="668"/>
      <c r="M3640" s="668"/>
    </row>
    <row r="3641" spans="5:18" ht="63">
      <c r="E3641" s="668"/>
      <c r="F3641" s="668"/>
      <c r="G3641" s="668"/>
      <c r="H3641" s="703" t="s">
        <v>1543</v>
      </c>
      <c r="I3641" s="668"/>
      <c r="J3641" s="668"/>
      <c r="K3641" s="668"/>
      <c r="L3641" s="668"/>
      <c r="M3641" s="668"/>
    </row>
    <row r="3642" spans="5:18">
      <c r="E3642" s="668"/>
      <c r="F3642" s="668"/>
      <c r="G3642" s="668"/>
      <c r="H3642" s="668"/>
      <c r="I3642" s="668"/>
      <c r="J3642" s="668"/>
      <c r="K3642" s="668"/>
      <c r="L3642" s="668"/>
      <c r="M3642" s="668"/>
    </row>
    <row r="3643" spans="5:18" ht="24.75" customHeight="1">
      <c r="E3643" s="668"/>
      <c r="F3643" s="668">
        <v>1.5</v>
      </c>
      <c r="G3643" s="668" t="s">
        <v>12</v>
      </c>
      <c r="H3643" s="668" t="str">
        <f>[3]Elec.Data!H3643</f>
        <v>GI pipe B class of 50 mm dia  (P-51 150 -ii)</v>
      </c>
      <c r="I3643" s="670">
        <f>[3]Elec.Data!I3643</f>
        <v>209</v>
      </c>
      <c r="J3643" s="668" t="s">
        <v>12</v>
      </c>
      <c r="K3643" s="668">
        <f>F3643*I3643</f>
        <v>313.5</v>
      </c>
      <c r="L3643" s="668"/>
      <c r="M3643" s="668"/>
    </row>
    <row r="3644" spans="5:18" ht="24.75" customHeight="1">
      <c r="E3644" s="668"/>
      <c r="F3644" s="668">
        <v>2</v>
      </c>
      <c r="G3644" s="668" t="s">
        <v>4944</v>
      </c>
      <c r="H3644" s="668" t="s">
        <v>4945</v>
      </c>
      <c r="I3644" s="668">
        <f>I3613</f>
        <v>35</v>
      </c>
      <c r="J3644" s="668" t="s">
        <v>4944</v>
      </c>
      <c r="K3644" s="668">
        <f>F3644*I3644</f>
        <v>70</v>
      </c>
      <c r="L3644" s="668"/>
      <c r="M3644" s="668"/>
    </row>
    <row r="3645" spans="5:18" ht="24.75" customHeight="1">
      <c r="E3645" s="668"/>
      <c r="F3645" s="668">
        <v>1</v>
      </c>
      <c r="G3645" s="668" t="s">
        <v>5</v>
      </c>
      <c r="H3645" s="668" t="s">
        <v>4946</v>
      </c>
      <c r="I3645" s="668">
        <f>I3614</f>
        <v>47.2</v>
      </c>
      <c r="J3645" s="668" t="s">
        <v>5</v>
      </c>
      <c r="K3645" s="668">
        <f>F3645*I3645</f>
        <v>47.2</v>
      </c>
      <c r="L3645" s="668"/>
      <c r="M3645" s="668"/>
    </row>
    <row r="3646" spans="5:18" ht="24.75" customHeight="1">
      <c r="E3646" s="668"/>
      <c r="F3646" s="668">
        <v>1</v>
      </c>
      <c r="G3646" s="668" t="s">
        <v>5</v>
      </c>
      <c r="H3646" s="668" t="s">
        <v>4947</v>
      </c>
      <c r="I3646" s="668">
        <f>I3615</f>
        <v>32.117999999999995</v>
      </c>
      <c r="J3646" s="668" t="s">
        <v>5</v>
      </c>
      <c r="K3646" s="668">
        <f>F3646*I3646</f>
        <v>32.117999999999995</v>
      </c>
      <c r="L3646" s="668"/>
      <c r="M3646" s="668"/>
    </row>
    <row r="3647" spans="5:18" ht="24.75" customHeight="1">
      <c r="E3647" s="668"/>
      <c r="F3647" s="668">
        <v>8</v>
      </c>
      <c r="G3647" s="668" t="s">
        <v>12</v>
      </c>
      <c r="H3647" s="668" t="s">
        <v>4935</v>
      </c>
      <c r="I3647" s="668">
        <f>I3616</f>
        <v>20.3</v>
      </c>
      <c r="J3647" s="668" t="s">
        <v>4646</v>
      </c>
      <c r="K3647" s="668">
        <f>F3647*I3647</f>
        <v>162.4</v>
      </c>
      <c r="L3647" s="668"/>
      <c r="M3647" s="668"/>
    </row>
    <row r="3648" spans="5:18" ht="61.5" customHeight="1">
      <c r="E3648" s="668"/>
      <c r="F3648" s="668"/>
      <c r="G3648" s="668"/>
      <c r="H3648" s="703" t="s">
        <v>4936</v>
      </c>
      <c r="I3648" s="668"/>
      <c r="J3648" s="668"/>
      <c r="K3648" s="668">
        <f>K3627</f>
        <v>1374.3333333333333</v>
      </c>
      <c r="L3648" s="668"/>
      <c r="M3648" s="668"/>
    </row>
    <row r="3649" spans="5:13" ht="52.5" customHeight="1">
      <c r="E3649" s="668"/>
      <c r="F3649" s="668"/>
      <c r="G3649" s="668"/>
      <c r="H3649" s="703" t="s">
        <v>4937</v>
      </c>
      <c r="I3649" s="668"/>
      <c r="J3649" s="668" t="s">
        <v>170</v>
      </c>
      <c r="K3649" s="668">
        <f>14.2-0.69</f>
        <v>13.51</v>
      </c>
      <c r="L3649" s="668"/>
      <c r="M3649" s="668"/>
    </row>
    <row r="3650" spans="5:13" ht="24" customHeight="1">
      <c r="E3650" s="668"/>
      <c r="F3650" s="668"/>
      <c r="G3650" s="668"/>
      <c r="H3650" s="676" t="s">
        <v>2420</v>
      </c>
      <c r="I3650" s="668"/>
      <c r="J3650" s="668"/>
      <c r="K3650" s="460">
        <f>SUM(K3643:K3649)</f>
        <v>2013.0613333333333</v>
      </c>
      <c r="L3650" s="668"/>
      <c r="M3650" s="668"/>
    </row>
    <row r="3651" spans="5:13">
      <c r="E3651" s="668"/>
      <c r="F3651" s="668"/>
      <c r="G3651" s="668"/>
      <c r="H3651" s="668"/>
      <c r="I3651" s="668"/>
      <c r="J3651" s="668"/>
      <c r="K3651" s="668"/>
      <c r="L3651" s="668"/>
      <c r="M3651" s="668"/>
    </row>
    <row r="3652" spans="5:13">
      <c r="E3652" s="668"/>
      <c r="F3652" s="668"/>
      <c r="G3652" s="668"/>
      <c r="H3652" s="668"/>
      <c r="I3652" s="668"/>
      <c r="J3652" s="668"/>
      <c r="K3652" s="668"/>
      <c r="L3652" s="668"/>
      <c r="M3652" s="668"/>
    </row>
    <row r="3653" spans="5:13">
      <c r="E3653" s="668"/>
      <c r="F3653" s="668"/>
      <c r="G3653" s="668"/>
      <c r="H3653" s="668"/>
      <c r="I3653" s="668"/>
      <c r="J3653" s="668"/>
      <c r="K3653" s="668"/>
      <c r="L3653" s="668"/>
      <c r="M3653" s="668"/>
    </row>
    <row r="3654" spans="5:13">
      <c r="E3654" s="668"/>
      <c r="F3654" s="668"/>
      <c r="G3654" s="668"/>
      <c r="H3654" s="668"/>
      <c r="I3654" s="668"/>
      <c r="J3654" s="668"/>
      <c r="K3654" s="668"/>
      <c r="L3654" s="668"/>
      <c r="M3654" s="668"/>
    </row>
    <row r="3655" spans="5:13">
      <c r="E3655" s="668"/>
      <c r="F3655" s="668"/>
      <c r="G3655" s="668"/>
      <c r="H3655" s="682" t="s">
        <v>4927</v>
      </c>
      <c r="I3655" s="668"/>
      <c r="J3655" s="668"/>
      <c r="K3655" s="668"/>
      <c r="L3655" s="668"/>
      <c r="M3655" s="668"/>
    </row>
    <row r="3656" spans="5:13">
      <c r="E3656" s="668"/>
      <c r="F3656" s="668"/>
      <c r="G3656" s="668"/>
      <c r="H3656" s="668"/>
      <c r="I3656" s="668"/>
      <c r="J3656" s="668"/>
      <c r="K3656" s="668"/>
      <c r="L3656" s="668"/>
      <c r="M3656" s="668"/>
    </row>
    <row r="3657" spans="5:13">
      <c r="E3657" s="668"/>
      <c r="F3657" s="668"/>
      <c r="G3657" s="668"/>
      <c r="H3657" s="682" t="s">
        <v>4948</v>
      </c>
      <c r="I3657" s="668"/>
      <c r="J3657" s="668"/>
      <c r="K3657" s="668"/>
      <c r="L3657" s="668"/>
      <c r="M3657" s="668"/>
    </row>
    <row r="3658" spans="5:13">
      <c r="E3658" s="668"/>
      <c r="F3658" s="668"/>
      <c r="G3658" s="668"/>
      <c r="H3658" s="668"/>
      <c r="I3658" s="668"/>
      <c r="J3658" s="668"/>
      <c r="K3658" s="668"/>
      <c r="L3658" s="668"/>
      <c r="M3658" s="668"/>
    </row>
    <row r="3659" spans="5:13" ht="315">
      <c r="E3659" s="668"/>
      <c r="F3659" s="668"/>
      <c r="G3659" s="668"/>
      <c r="H3659" s="703" t="s">
        <v>4949</v>
      </c>
      <c r="I3659" s="668"/>
      <c r="J3659" s="668"/>
      <c r="K3659" s="668"/>
      <c r="L3659" s="668"/>
      <c r="M3659" s="668"/>
    </row>
    <row r="3660" spans="5:13">
      <c r="E3660" s="668"/>
      <c r="F3660" s="668"/>
      <c r="G3660" s="668"/>
      <c r="H3660" s="668"/>
      <c r="I3660" s="668"/>
      <c r="J3660" s="668"/>
      <c r="K3660" s="668"/>
      <c r="L3660" s="668"/>
      <c r="M3660" s="668"/>
    </row>
    <row r="3661" spans="5:13">
      <c r="E3661" s="668"/>
      <c r="F3661" s="668"/>
      <c r="G3661" s="668"/>
      <c r="H3661" s="460" t="s">
        <v>4950</v>
      </c>
      <c r="I3661" s="668"/>
      <c r="K3661" s="668"/>
      <c r="L3661" s="668"/>
      <c r="M3661" s="668"/>
    </row>
    <row r="3662" spans="5:13" ht="47.25">
      <c r="E3662" s="668"/>
      <c r="F3662" s="668">
        <v>1</v>
      </c>
      <c r="G3662" s="668" t="s">
        <v>5</v>
      </c>
      <c r="H3662" s="667" t="s">
        <v>4951</v>
      </c>
      <c r="I3662" s="670">
        <f>[3]Elec.Data!I3662</f>
        <v>270</v>
      </c>
      <c r="J3662" s="668" t="s">
        <v>5</v>
      </c>
      <c r="K3662" s="668">
        <f t="shared" ref="K3662:K3667" si="99">F3662*I3662</f>
        <v>270</v>
      </c>
      <c r="L3662" s="668"/>
      <c r="M3662" s="668"/>
    </row>
    <row r="3663" spans="5:13" ht="20.100000000000001" customHeight="1">
      <c r="E3663" s="668"/>
      <c r="F3663" s="668">
        <v>1</v>
      </c>
      <c r="G3663" s="668" t="s">
        <v>5</v>
      </c>
      <c r="H3663" s="668" t="s">
        <v>4952</v>
      </c>
      <c r="I3663" s="668">
        <f>K3677</f>
        <v>289.06200000000001</v>
      </c>
      <c r="J3663" s="668" t="s">
        <v>5</v>
      </c>
      <c r="K3663" s="668">
        <f t="shared" si="99"/>
        <v>289.06200000000001</v>
      </c>
      <c r="L3663" s="668"/>
      <c r="M3663" s="668"/>
    </row>
    <row r="3664" spans="5:13" ht="20.100000000000001" customHeight="1">
      <c r="E3664" s="668"/>
      <c r="F3664" s="668">
        <v>1</v>
      </c>
      <c r="G3664" s="668" t="s">
        <v>5</v>
      </c>
      <c r="H3664" s="668" t="s">
        <v>4953</v>
      </c>
      <c r="I3664" s="670">
        <f>[3]Elec.Data!I3664</f>
        <v>83.6</v>
      </c>
      <c r="J3664" s="668" t="s">
        <v>5</v>
      </c>
      <c r="K3664" s="668">
        <f t="shared" si="99"/>
        <v>83.6</v>
      </c>
      <c r="L3664" s="668"/>
      <c r="M3664" s="668"/>
    </row>
    <row r="3665" spans="4:13" ht="20.100000000000001" customHeight="1">
      <c r="E3665" s="668"/>
      <c r="F3665" s="668">
        <v>1</v>
      </c>
      <c r="G3665" s="668" t="s">
        <v>5</v>
      </c>
      <c r="H3665" s="668" t="s">
        <v>4954</v>
      </c>
      <c r="I3665" s="668">
        <f>I3478</f>
        <v>25</v>
      </c>
      <c r="J3665" s="668" t="s">
        <v>5</v>
      </c>
      <c r="K3665" s="668">
        <f t="shared" si="99"/>
        <v>25</v>
      </c>
      <c r="L3665" s="668"/>
      <c r="M3665" s="668"/>
    </row>
    <row r="3666" spans="4:13" ht="20.100000000000001" customHeight="1">
      <c r="E3666" s="668"/>
      <c r="F3666" s="668">
        <v>5</v>
      </c>
      <c r="G3666" s="668" t="s">
        <v>12</v>
      </c>
      <c r="H3666" s="668" t="s">
        <v>4955</v>
      </c>
      <c r="I3666" s="670">
        <f>[3]Elec.Data!I3666</f>
        <v>98.6</v>
      </c>
      <c r="J3666" s="668" t="s">
        <v>12</v>
      </c>
      <c r="K3666" s="668">
        <f t="shared" si="99"/>
        <v>493</v>
      </c>
      <c r="L3666" s="668"/>
      <c r="M3666" s="668"/>
    </row>
    <row r="3667" spans="4:13" ht="31.5">
      <c r="E3667" s="668"/>
      <c r="F3667" s="668">
        <v>20</v>
      </c>
      <c r="G3667" s="668" t="s">
        <v>12</v>
      </c>
      <c r="H3667" s="703" t="s">
        <v>4903</v>
      </c>
      <c r="I3667" s="668">
        <f>I3098</f>
        <v>32.200000000000003</v>
      </c>
      <c r="J3667" s="668" t="s">
        <v>12</v>
      </c>
      <c r="K3667" s="668">
        <f t="shared" si="99"/>
        <v>644</v>
      </c>
      <c r="L3667" s="668"/>
      <c r="M3667" s="668"/>
    </row>
    <row r="3668" spans="4:13" ht="20.100000000000001" customHeight="1">
      <c r="E3668" s="668"/>
      <c r="F3668" s="668"/>
      <c r="G3668" s="668"/>
      <c r="H3668" s="460" t="s">
        <v>4956</v>
      </c>
      <c r="I3668" s="668"/>
      <c r="J3668" s="668"/>
      <c r="K3668" s="668"/>
      <c r="L3668" s="668"/>
      <c r="M3668" s="668"/>
    </row>
    <row r="3669" spans="4:13" ht="56.25" customHeight="1">
      <c r="E3669" s="668"/>
      <c r="F3669" s="668">
        <v>1</v>
      </c>
      <c r="G3669" s="668" t="s">
        <v>5</v>
      </c>
      <c r="H3669" s="703" t="s">
        <v>4957</v>
      </c>
      <c r="I3669" s="668">
        <f>I3662</f>
        <v>270</v>
      </c>
      <c r="J3669" s="668" t="s">
        <v>5</v>
      </c>
      <c r="K3669" s="668">
        <f>F3669*I3669</f>
        <v>270</v>
      </c>
      <c r="L3669" s="668"/>
      <c r="M3669" s="668"/>
    </row>
    <row r="3670" spans="4:13">
      <c r="E3670" s="668"/>
      <c r="F3670" s="668">
        <v>1</v>
      </c>
      <c r="G3670" s="668" t="s">
        <v>5</v>
      </c>
      <c r="H3670" s="668" t="str">
        <f>[3]Elec.Data!H3670</f>
        <v>32 A DPIC switch p-118 2d, Part-C</v>
      </c>
      <c r="I3670" s="670">
        <f>[3]Elec.Data!I3670</f>
        <v>761</v>
      </c>
      <c r="J3670" s="668" t="s">
        <v>5</v>
      </c>
      <c r="K3670" s="668">
        <f>F3670*I3670</f>
        <v>761</v>
      </c>
      <c r="L3670" s="668"/>
      <c r="M3670" s="668"/>
    </row>
    <row r="3671" spans="4:13">
      <c r="E3671" s="668"/>
      <c r="F3671" s="668">
        <v>1</v>
      </c>
      <c r="G3671" s="668" t="s">
        <v>5</v>
      </c>
      <c r="H3671" s="668" t="s">
        <v>4958</v>
      </c>
      <c r="I3671" s="668">
        <v>93.5</v>
      </c>
      <c r="J3671" s="668" t="s">
        <v>5</v>
      </c>
      <c r="K3671" s="668">
        <f>F3671*I3671</f>
        <v>93.5</v>
      </c>
      <c r="L3671" s="668"/>
      <c r="M3671" s="668"/>
    </row>
    <row r="3672" spans="4:13">
      <c r="E3672" s="668"/>
      <c r="F3672" s="668">
        <v>1</v>
      </c>
      <c r="G3672" s="668" t="s">
        <v>5</v>
      </c>
      <c r="H3672" s="668" t="s">
        <v>4959</v>
      </c>
      <c r="I3672" s="668">
        <v>89.6</v>
      </c>
      <c r="J3672" s="668" t="s">
        <v>5</v>
      </c>
      <c r="K3672" s="668">
        <f>F3672*I3672</f>
        <v>89.6</v>
      </c>
      <c r="L3672" s="668"/>
      <c r="M3672" s="668"/>
    </row>
    <row r="3673" spans="4:13">
      <c r="E3673" s="668"/>
      <c r="F3673" s="668">
        <v>1</v>
      </c>
      <c r="G3673" s="668" t="s">
        <v>5</v>
      </c>
      <c r="H3673" s="668" t="s">
        <v>4952</v>
      </c>
      <c r="I3673" s="668">
        <f>K3677</f>
        <v>289.06200000000001</v>
      </c>
      <c r="J3673" s="668" t="s">
        <v>5</v>
      </c>
      <c r="K3673" s="668">
        <f>F3673*I3673</f>
        <v>289.06200000000001</v>
      </c>
      <c r="L3673" s="668"/>
      <c r="M3673" s="668"/>
    </row>
    <row r="3674" spans="4:13">
      <c r="D3674" s="716">
        <f>0.6*0.225*0.02</f>
        <v>2.7000000000000001E-3</v>
      </c>
      <c r="E3674" s="668"/>
      <c r="F3674" s="668"/>
      <c r="G3674" s="668"/>
      <c r="H3674" s="668" t="s">
        <v>4960</v>
      </c>
      <c r="I3674" s="668"/>
      <c r="J3674" s="668"/>
      <c r="K3674" s="668">
        <f>K3627</f>
        <v>1374.3333333333333</v>
      </c>
      <c r="L3674" s="668"/>
      <c r="M3674" s="668"/>
    </row>
    <row r="3675" spans="4:13" ht="41.25" customHeight="1">
      <c r="E3675" s="668"/>
      <c r="F3675" s="668"/>
      <c r="G3675" s="668"/>
      <c r="H3675" s="703" t="s">
        <v>4961</v>
      </c>
      <c r="I3675" s="668"/>
      <c r="J3675" s="668"/>
      <c r="K3675" s="668">
        <f>8-0.09</f>
        <v>7.91</v>
      </c>
      <c r="L3675" s="668"/>
      <c r="M3675" s="668"/>
    </row>
    <row r="3676" spans="4:13" ht="24.95" customHeight="1">
      <c r="E3676" s="668"/>
      <c r="F3676" s="668"/>
      <c r="G3676" s="668"/>
      <c r="H3676" s="674" t="s">
        <v>4714</v>
      </c>
      <c r="I3676" s="668"/>
      <c r="J3676" s="668"/>
      <c r="K3676" s="460">
        <f>SUM(K3662:K3675)</f>
        <v>4690.0673333333334</v>
      </c>
      <c r="L3676" s="668"/>
      <c r="M3676" s="668">
        <f>4254-K3676</f>
        <v>-436.06733333333341</v>
      </c>
    </row>
    <row r="3677" spans="4:13" ht="20.100000000000001" customHeight="1">
      <c r="E3677" s="668"/>
      <c r="F3677" s="668"/>
      <c r="G3677" s="668"/>
      <c r="H3677" s="460" t="s">
        <v>4850</v>
      </c>
      <c r="I3677" s="668">
        <f>I3628</f>
        <v>107060</v>
      </c>
      <c r="J3677" s="685">
        <v>2.7000000000000001E-3</v>
      </c>
      <c r="K3677" s="460">
        <f>I3677*J3677</f>
        <v>289.06200000000001</v>
      </c>
      <c r="L3677" s="668"/>
      <c r="M3677" s="668"/>
    </row>
    <row r="3678" spans="4:13">
      <c r="E3678" s="668"/>
      <c r="F3678" s="668"/>
      <c r="G3678" s="668"/>
      <c r="H3678" s="460" t="s">
        <v>4962</v>
      </c>
      <c r="I3678" s="668"/>
      <c r="J3678" s="668"/>
      <c r="K3678" s="668"/>
      <c r="L3678" s="668"/>
      <c r="M3678" s="668"/>
    </row>
    <row r="3679" spans="4:13">
      <c r="E3679" s="668"/>
      <c r="F3679" s="668"/>
      <c r="G3679" s="668"/>
      <c r="H3679" s="460"/>
      <c r="I3679" s="668"/>
      <c r="J3679" s="668"/>
      <c r="K3679" s="668"/>
      <c r="L3679" s="668"/>
      <c r="M3679" s="668"/>
    </row>
    <row r="3680" spans="4:13" ht="31.5">
      <c r="E3680" s="668"/>
      <c r="F3680" s="668"/>
      <c r="G3680" s="668"/>
      <c r="H3680" s="665" t="s">
        <v>4339</v>
      </c>
      <c r="I3680" s="668"/>
      <c r="J3680" s="668"/>
      <c r="K3680" s="668"/>
      <c r="L3680" s="668"/>
      <c r="M3680" s="668"/>
    </row>
    <row r="3681" spans="5:13">
      <c r="E3681" s="668"/>
      <c r="F3681" s="668"/>
      <c r="G3681" s="668"/>
      <c r="H3681" s="668" t="s">
        <v>4315</v>
      </c>
      <c r="I3681" s="668"/>
      <c r="J3681" s="668"/>
      <c r="K3681" s="668"/>
      <c r="L3681" s="668"/>
      <c r="M3681" s="668"/>
    </row>
    <row r="3682" spans="5:13" ht="35.25" customHeight="1">
      <c r="E3682" s="668"/>
      <c r="F3682" s="668">
        <v>90</v>
      </c>
      <c r="G3682" s="668" t="s">
        <v>4340</v>
      </c>
      <c r="H3682" s="667" t="s">
        <v>4341</v>
      </c>
      <c r="I3682" s="668">
        <f>I2996</f>
        <v>17.100000000000001</v>
      </c>
      <c r="J3682" s="668" t="s">
        <v>4340</v>
      </c>
      <c r="K3682" s="668">
        <f>F3682*I3682</f>
        <v>1539.0000000000002</v>
      </c>
      <c r="L3682" s="668"/>
      <c r="M3682" s="668"/>
    </row>
    <row r="3683" spans="5:13">
      <c r="E3683" s="668"/>
      <c r="F3683" s="668">
        <v>0.15</v>
      </c>
      <c r="G3683" s="668" t="s">
        <v>22</v>
      </c>
      <c r="H3683" s="668" t="s">
        <v>2517</v>
      </c>
      <c r="I3683" s="670">
        <f>[3]Elec.Data!I3683</f>
        <v>5800</v>
      </c>
      <c r="J3683" s="668" t="s">
        <v>22</v>
      </c>
      <c r="K3683" s="668">
        <f>F3683*I3683</f>
        <v>870</v>
      </c>
      <c r="L3683" s="668"/>
      <c r="M3683" s="668"/>
    </row>
    <row r="3684" spans="5:13">
      <c r="E3684" s="668"/>
      <c r="F3684" s="668">
        <v>1</v>
      </c>
      <c r="G3684" s="668" t="s">
        <v>2359</v>
      </c>
      <c r="H3684" s="668" t="s">
        <v>4342</v>
      </c>
      <c r="I3684" s="668">
        <f>I3623</f>
        <v>636</v>
      </c>
      <c r="J3684" s="668" t="s">
        <v>2359</v>
      </c>
      <c r="K3684" s="668">
        <f>F3684*I3684</f>
        <v>636</v>
      </c>
      <c r="L3684" s="668"/>
      <c r="M3684" s="668"/>
    </row>
    <row r="3685" spans="5:13">
      <c r="E3685" s="668"/>
      <c r="F3685" s="668">
        <v>2</v>
      </c>
      <c r="G3685" s="668" t="s">
        <v>2359</v>
      </c>
      <c r="H3685" s="668" t="s">
        <v>2343</v>
      </c>
      <c r="I3685" s="670">
        <f>I2871</f>
        <v>718</v>
      </c>
      <c r="J3685" s="668" t="s">
        <v>2359</v>
      </c>
      <c r="K3685" s="668">
        <f>F3685*I3685</f>
        <v>1436</v>
      </c>
      <c r="L3685" s="668"/>
      <c r="M3685" s="668"/>
    </row>
    <row r="3686" spans="5:13">
      <c r="E3686" s="668"/>
      <c r="F3686" s="668">
        <v>4</v>
      </c>
      <c r="G3686" s="668" t="s">
        <v>2359</v>
      </c>
      <c r="H3686" s="668" t="s">
        <v>3489</v>
      </c>
      <c r="I3686" s="668">
        <f>I3590</f>
        <v>497</v>
      </c>
      <c r="J3686" s="668" t="s">
        <v>2359</v>
      </c>
      <c r="K3686" s="668">
        <f>F3686*I3686</f>
        <v>1988</v>
      </c>
      <c r="L3686" s="668"/>
      <c r="M3686" s="668"/>
    </row>
    <row r="3687" spans="5:13" ht="30" customHeight="1">
      <c r="E3687" s="668"/>
      <c r="F3687" s="668"/>
      <c r="G3687" s="668"/>
      <c r="H3687" s="667" t="s">
        <v>4343</v>
      </c>
      <c r="I3687" s="668"/>
      <c r="J3687" s="668"/>
      <c r="K3687" s="668">
        <v>50.5</v>
      </c>
      <c r="L3687" s="668"/>
      <c r="M3687" s="668"/>
    </row>
    <row r="3688" spans="5:13" ht="18.75" customHeight="1">
      <c r="E3688" s="668"/>
      <c r="F3688" s="668"/>
      <c r="G3688" s="668"/>
      <c r="H3688" s="674" t="s">
        <v>4344</v>
      </c>
      <c r="I3688" s="668"/>
      <c r="J3688" s="668"/>
      <c r="K3688" s="668">
        <f>SUM(K3682:K3687)</f>
        <v>6519.5</v>
      </c>
      <c r="L3688" s="668"/>
      <c r="M3688" s="668"/>
    </row>
    <row r="3689" spans="5:13" ht="18.75" customHeight="1">
      <c r="E3689" s="668"/>
      <c r="F3689" s="668"/>
      <c r="G3689" s="668"/>
      <c r="H3689" s="676" t="s">
        <v>4266</v>
      </c>
      <c r="I3689" s="668"/>
      <c r="J3689" s="668"/>
      <c r="K3689" s="717">
        <f>K3688/90</f>
        <v>72.438888888888883</v>
      </c>
      <c r="L3689" s="668">
        <f>60.7*90</f>
        <v>5463</v>
      </c>
      <c r="M3689" s="668"/>
    </row>
    <row r="3690" spans="5:13">
      <c r="E3690" s="668"/>
      <c r="F3690" s="668"/>
      <c r="G3690" s="668"/>
      <c r="H3690" s="668"/>
      <c r="I3690" s="668"/>
      <c r="J3690" s="668"/>
      <c r="K3690" s="668"/>
      <c r="L3690" s="668">
        <f>L3689-K3688</f>
        <v>-1056.5</v>
      </c>
      <c r="M3690" s="668"/>
    </row>
    <row r="3691" spans="5:13" ht="20.25" customHeight="1">
      <c r="E3691" s="668"/>
      <c r="F3691" s="668"/>
      <c r="G3691" s="668"/>
      <c r="H3691" s="460" t="s">
        <v>4963</v>
      </c>
      <c r="I3691" s="668"/>
      <c r="J3691" s="668"/>
      <c r="K3691" s="668"/>
      <c r="L3691" s="668"/>
      <c r="M3691" s="668"/>
    </row>
    <row r="3692" spans="5:13" ht="20.25" customHeight="1">
      <c r="E3692" s="668"/>
      <c r="F3692" s="668"/>
      <c r="G3692" s="668"/>
      <c r="H3692" s="668" t="s">
        <v>4964</v>
      </c>
      <c r="I3692" s="668"/>
      <c r="J3692" s="668"/>
      <c r="K3692" s="668">
        <f>K3689</f>
        <v>72.438888888888883</v>
      </c>
      <c r="L3692" s="668"/>
      <c r="M3692" s="668"/>
    </row>
    <row r="3693" spans="5:13" ht="20.25" customHeight="1">
      <c r="E3693" s="668"/>
      <c r="F3693" s="668">
        <v>1</v>
      </c>
      <c r="G3693" s="668" t="s">
        <v>12</v>
      </c>
      <c r="H3693" s="668" t="s">
        <v>4965</v>
      </c>
      <c r="I3693" s="668">
        <f>I3682</f>
        <v>17.100000000000001</v>
      </c>
      <c r="J3693" s="668" t="s">
        <v>12</v>
      </c>
      <c r="K3693" s="668">
        <f>F3693*I3693</f>
        <v>17.100000000000001</v>
      </c>
      <c r="L3693" s="668"/>
      <c r="M3693" s="668"/>
    </row>
    <row r="3694" spans="5:13" ht="20.25" customHeight="1">
      <c r="E3694" s="668"/>
      <c r="F3694" s="668">
        <v>1</v>
      </c>
      <c r="G3694" s="668" t="s">
        <v>12</v>
      </c>
      <c r="H3694" s="668" t="str">
        <f>[3]Elec.Data!H3694</f>
        <v>Add cost of 25 mm dia PVC pipe heavy dutyp-89 part -I c</v>
      </c>
      <c r="I3694" s="670">
        <f>[3]Elec.Data!I3694</f>
        <v>25.4</v>
      </c>
      <c r="J3694" s="668" t="s">
        <v>12</v>
      </c>
      <c r="K3694" s="668">
        <f>F3694*I3694</f>
        <v>25.4</v>
      </c>
      <c r="L3694" s="668"/>
      <c r="M3694" s="668"/>
    </row>
    <row r="3695" spans="5:13" ht="20.25" customHeight="1">
      <c r="E3695" s="668"/>
      <c r="F3695" s="668"/>
      <c r="G3695" s="668"/>
      <c r="H3695" s="668"/>
      <c r="I3695" s="668"/>
      <c r="J3695" s="668"/>
      <c r="K3695" s="460">
        <f>(K3692-K3693)+K3694</f>
        <v>80.73888888888888</v>
      </c>
      <c r="L3695" s="668"/>
      <c r="M3695" s="668"/>
    </row>
    <row r="3696" spans="5:13" ht="20.25" customHeight="1">
      <c r="E3696" s="668"/>
      <c r="F3696" s="668"/>
      <c r="G3696" s="668"/>
      <c r="H3696" s="460" t="s">
        <v>4966</v>
      </c>
      <c r="I3696" s="668"/>
      <c r="J3696" s="668"/>
      <c r="K3696" s="668"/>
      <c r="L3696" s="668"/>
      <c r="M3696" s="668"/>
    </row>
    <row r="3697" spans="5:13">
      <c r="E3697" s="668"/>
      <c r="F3697" s="668"/>
      <c r="G3697" s="668"/>
      <c r="H3697" s="460"/>
      <c r="I3697" s="668"/>
      <c r="J3697" s="668"/>
      <c r="K3697" s="668"/>
      <c r="L3697" s="668"/>
      <c r="M3697" s="668"/>
    </row>
    <row r="3698" spans="5:13" ht="19.5" customHeight="1">
      <c r="E3698" s="668"/>
      <c r="F3698" s="668"/>
      <c r="G3698" s="668"/>
      <c r="H3698" s="460" t="s">
        <v>1547</v>
      </c>
      <c r="I3698" s="668"/>
      <c r="J3698" s="668"/>
      <c r="K3698" s="668"/>
      <c r="L3698" s="668"/>
      <c r="M3698" s="668"/>
    </row>
    <row r="3699" spans="5:13" ht="21.75" customHeight="1">
      <c r="E3699" s="668"/>
      <c r="F3699" s="668">
        <v>1</v>
      </c>
      <c r="G3699" s="668" t="s">
        <v>5</v>
      </c>
      <c r="H3699" s="668" t="str">
        <f>[3]Elec.Data!H3699</f>
        <v>TW board 8" x6" x3" (p-129, part-j/b)</v>
      </c>
      <c r="I3699" s="670">
        <f>[3]Elec.Data!I3699</f>
        <v>37.1</v>
      </c>
      <c r="J3699" s="668" t="s">
        <v>5</v>
      </c>
      <c r="K3699" s="668">
        <f>F3699*I3699</f>
        <v>37.1</v>
      </c>
      <c r="L3699" s="668"/>
      <c r="M3699" s="668"/>
    </row>
    <row r="3700" spans="5:13" ht="21.75" customHeight="1">
      <c r="E3700" s="668"/>
      <c r="F3700" s="672">
        <v>1.4999999999999999E-2</v>
      </c>
      <c r="G3700" s="668" t="s">
        <v>26</v>
      </c>
      <c r="H3700" s="703" t="s">
        <v>4967</v>
      </c>
      <c r="I3700" s="668">
        <f>I3000</f>
        <v>563</v>
      </c>
      <c r="J3700" s="668" t="s">
        <v>26</v>
      </c>
      <c r="K3700" s="668">
        <f>F3700*I3700</f>
        <v>8.4450000000000003</v>
      </c>
      <c r="L3700" s="668"/>
      <c r="M3700" s="668"/>
    </row>
    <row r="3701" spans="5:13" ht="21.75" customHeight="1">
      <c r="E3701" s="668"/>
      <c r="F3701" s="668"/>
      <c r="G3701" s="668"/>
      <c r="H3701" s="668" t="s">
        <v>4968</v>
      </c>
      <c r="I3701" s="668"/>
      <c r="J3701" s="668" t="s">
        <v>170</v>
      </c>
      <c r="K3701" s="668">
        <v>5.84</v>
      </c>
      <c r="L3701" s="668"/>
      <c r="M3701" s="668"/>
    </row>
    <row r="3702" spans="5:13" ht="21.75" customHeight="1">
      <c r="E3702" s="668"/>
      <c r="F3702" s="668"/>
      <c r="G3702" s="668"/>
      <c r="H3702" s="676" t="s">
        <v>4714</v>
      </c>
      <c r="I3702" s="668"/>
      <c r="J3702" s="668"/>
      <c r="K3702" s="460">
        <f>SUM(K3699:K3701)</f>
        <v>51.385000000000005</v>
      </c>
      <c r="L3702" s="668"/>
      <c r="M3702" s="668"/>
    </row>
    <row r="3703" spans="5:13">
      <c r="E3703" s="668"/>
      <c r="F3703" s="668"/>
      <c r="G3703" s="668"/>
      <c r="H3703" s="668"/>
      <c r="I3703" s="668"/>
      <c r="J3703" s="668"/>
      <c r="K3703" s="668"/>
      <c r="L3703" s="668"/>
      <c r="M3703" s="668"/>
    </row>
    <row r="3704" spans="5:13">
      <c r="E3704" s="668"/>
      <c r="F3704" s="668"/>
      <c r="G3704" s="668"/>
      <c r="H3704" s="460" t="s">
        <v>4969</v>
      </c>
      <c r="I3704" s="668"/>
      <c r="J3704" s="668"/>
      <c r="K3704" s="668"/>
      <c r="L3704" s="668"/>
      <c r="M3704" s="668"/>
    </row>
    <row r="3705" spans="5:13">
      <c r="E3705" s="668"/>
      <c r="F3705" s="668"/>
      <c r="G3705" s="668"/>
      <c r="H3705" s="668"/>
      <c r="I3705" s="668"/>
      <c r="J3705" s="668"/>
      <c r="K3705" s="668"/>
      <c r="L3705" s="668"/>
      <c r="M3705" s="668"/>
    </row>
    <row r="3706" spans="5:13" ht="57.75" customHeight="1">
      <c r="E3706" s="668"/>
      <c r="F3706" s="668"/>
      <c r="G3706" s="668"/>
      <c r="H3706" s="703" t="s">
        <v>4970</v>
      </c>
      <c r="I3706" s="668"/>
      <c r="J3706" s="668"/>
      <c r="K3706" s="668"/>
      <c r="L3706" s="668"/>
      <c r="M3706" s="668"/>
    </row>
    <row r="3707" spans="5:13">
      <c r="E3707" s="668"/>
      <c r="F3707" s="668"/>
      <c r="G3707" s="668"/>
      <c r="H3707" s="668"/>
      <c r="I3707" s="668"/>
      <c r="J3707" s="668"/>
      <c r="K3707" s="668"/>
      <c r="L3707" s="668"/>
      <c r="M3707" s="668"/>
    </row>
    <row r="3708" spans="5:13" ht="21.75" customHeight="1">
      <c r="E3708" s="668"/>
      <c r="F3708" s="668">
        <v>1</v>
      </c>
      <c r="G3708" s="668" t="s">
        <v>5</v>
      </c>
      <c r="H3708" s="668" t="str">
        <f>[3]Elec.Data!H3708</f>
        <v>TW board 4" x4" x3" (p-129, part-j/d)</v>
      </c>
      <c r="I3708" s="670">
        <f>[3]Elec.Data!I3708</f>
        <v>13.7</v>
      </c>
      <c r="J3708" s="668" t="s">
        <v>5</v>
      </c>
      <c r="K3708" s="668">
        <f>F3708*I3708</f>
        <v>13.7</v>
      </c>
      <c r="L3708" s="668"/>
      <c r="M3708" s="668"/>
    </row>
    <row r="3709" spans="5:13" ht="21.75" customHeight="1">
      <c r="E3709" s="668"/>
      <c r="F3709" s="668">
        <v>0.01</v>
      </c>
      <c r="G3709" s="668" t="s">
        <v>4971</v>
      </c>
      <c r="H3709" s="668" t="s">
        <v>4967</v>
      </c>
      <c r="I3709" s="668">
        <f>I3700</f>
        <v>563</v>
      </c>
      <c r="J3709" s="668" t="s">
        <v>26</v>
      </c>
      <c r="K3709" s="668">
        <f>F3709*I3709</f>
        <v>5.63</v>
      </c>
      <c r="L3709" s="668"/>
      <c r="M3709" s="668"/>
    </row>
    <row r="3710" spans="5:13" ht="21.75" customHeight="1">
      <c r="E3710" s="668"/>
      <c r="F3710" s="668">
        <v>1</v>
      </c>
      <c r="G3710" s="668" t="s">
        <v>5</v>
      </c>
      <c r="H3710" s="668" t="s">
        <v>4972</v>
      </c>
      <c r="I3710" s="683">
        <f>[3]Elec.Data!I3710</f>
        <v>49.5</v>
      </c>
      <c r="J3710" s="668" t="s">
        <v>5</v>
      </c>
      <c r="K3710" s="668">
        <f>F3710*I3710</f>
        <v>49.5</v>
      </c>
      <c r="L3710" s="668"/>
      <c r="M3710" s="668"/>
    </row>
    <row r="3711" spans="5:13" ht="21.75" customHeight="1">
      <c r="E3711" s="668"/>
      <c r="F3711" s="668"/>
      <c r="G3711" s="668"/>
      <c r="H3711" s="668" t="s">
        <v>4973</v>
      </c>
      <c r="I3711" s="668" t="s">
        <v>170</v>
      </c>
      <c r="J3711" s="668"/>
      <c r="K3711" s="668">
        <v>7.08</v>
      </c>
      <c r="L3711" s="668"/>
      <c r="M3711" s="668"/>
    </row>
    <row r="3712" spans="5:13" ht="21.75" customHeight="1">
      <c r="E3712" s="668"/>
      <c r="F3712" s="668"/>
      <c r="G3712" s="668"/>
      <c r="H3712" s="676" t="s">
        <v>4974</v>
      </c>
      <c r="I3712" s="668"/>
      <c r="J3712" s="668"/>
      <c r="K3712" s="460">
        <f>SUM(K3708:K3711)</f>
        <v>75.91</v>
      </c>
      <c r="L3712" s="668"/>
      <c r="M3712" s="668">
        <f>54-K3712</f>
        <v>-21.909999999999997</v>
      </c>
    </row>
    <row r="3713" spans="5:13">
      <c r="E3713" s="668"/>
      <c r="F3713" s="668"/>
      <c r="G3713" s="668"/>
      <c r="H3713" s="668"/>
      <c r="I3713" s="668"/>
      <c r="J3713" s="668"/>
      <c r="K3713" s="668"/>
      <c r="L3713" s="668"/>
      <c r="M3713" s="668"/>
    </row>
    <row r="3714" spans="5:13">
      <c r="E3714" s="668"/>
      <c r="F3714" s="668"/>
      <c r="G3714" s="668"/>
      <c r="H3714" s="460" t="s">
        <v>4975</v>
      </c>
      <c r="I3714" s="668"/>
      <c r="J3714" s="668"/>
      <c r="K3714" s="668"/>
      <c r="L3714" s="668"/>
      <c r="M3714" s="668"/>
    </row>
    <row r="3715" spans="5:13">
      <c r="E3715" s="668"/>
      <c r="F3715" s="668"/>
      <c r="G3715" s="668"/>
      <c r="H3715" s="668"/>
      <c r="I3715" s="668"/>
      <c r="J3715" s="668"/>
      <c r="K3715" s="668"/>
      <c r="L3715" s="668"/>
      <c r="M3715" s="668"/>
    </row>
    <row r="3716" spans="5:13" ht="287.25" customHeight="1">
      <c r="E3716" s="668"/>
      <c r="F3716" s="668"/>
      <c r="G3716" s="668"/>
      <c r="H3716" s="718" t="s">
        <v>4976</v>
      </c>
      <c r="I3716" s="668"/>
      <c r="J3716" s="668"/>
      <c r="K3716" s="668"/>
      <c r="L3716" s="668"/>
      <c r="M3716" s="668"/>
    </row>
    <row r="3717" spans="5:13">
      <c r="E3717" s="668"/>
      <c r="F3717" s="668"/>
      <c r="G3717" s="668"/>
      <c r="H3717" s="668"/>
      <c r="I3717" s="668"/>
      <c r="J3717" s="668"/>
      <c r="K3717" s="668"/>
      <c r="L3717" s="668"/>
      <c r="M3717" s="668"/>
    </row>
    <row r="3718" spans="5:13" ht="22.5" customHeight="1">
      <c r="F3718" s="668">
        <v>6</v>
      </c>
      <c r="G3718" s="668" t="s">
        <v>12</v>
      </c>
      <c r="H3718" s="668" t="str">
        <f>[3]Elec.Data!H3718</f>
        <v>65 mm dia GI pipe ' B' class p51,150-i</v>
      </c>
      <c r="I3718" s="670">
        <f>[3]Elec.Data!I3718</f>
        <v>244.4</v>
      </c>
      <c r="J3718" s="668" t="s">
        <v>12</v>
      </c>
      <c r="K3718" s="668">
        <f>F3718*I3718</f>
        <v>1466.4</v>
      </c>
      <c r="L3718" s="668"/>
      <c r="M3718" s="668"/>
    </row>
    <row r="3719" spans="5:13" ht="22.5" customHeight="1">
      <c r="F3719" s="668">
        <v>2</v>
      </c>
      <c r="G3719" s="668" t="s">
        <v>12</v>
      </c>
      <c r="H3719" s="668" t="str">
        <f>[3]Elec.Data!H3719</f>
        <v>20 mm dia 'B' class GI pipe p- 50 it-142 iv</v>
      </c>
      <c r="I3719" s="670">
        <f>[3]Elec.Data!I3719</f>
        <v>98.6</v>
      </c>
      <c r="J3719" s="668" t="s">
        <v>12</v>
      </c>
      <c r="K3719" s="668">
        <f>F3719*I3719</f>
        <v>197.2</v>
      </c>
      <c r="L3719" s="668"/>
      <c r="M3719" s="668"/>
    </row>
    <row r="3720" spans="5:13" ht="22.5" customHeight="1">
      <c r="F3720" s="668">
        <v>1</v>
      </c>
      <c r="G3720" s="668" t="s">
        <v>5</v>
      </c>
      <c r="H3720" s="668" t="s">
        <v>4977</v>
      </c>
      <c r="I3720" s="668">
        <v>130</v>
      </c>
      <c r="J3720" s="668" t="s">
        <v>5</v>
      </c>
      <c r="K3720" s="668">
        <f>F3720*I3720</f>
        <v>130</v>
      </c>
      <c r="L3720" s="668"/>
      <c r="M3720" s="668"/>
    </row>
    <row r="3721" spans="5:13" ht="22.5" customHeight="1">
      <c r="F3721" s="668">
        <v>1</v>
      </c>
      <c r="G3721" s="668" t="s">
        <v>5</v>
      </c>
      <c r="H3721" s="668" t="s">
        <v>4978</v>
      </c>
      <c r="I3721" s="670">
        <f>[3]Elec.Data!I3721</f>
        <v>89.3</v>
      </c>
      <c r="J3721" s="668" t="s">
        <v>5</v>
      </c>
      <c r="K3721" s="668">
        <f>F3721*I3721</f>
        <v>89.3</v>
      </c>
      <c r="L3721" s="668"/>
      <c r="M3721" s="668"/>
    </row>
    <row r="3722" spans="5:13" ht="22.5" customHeight="1">
      <c r="F3722" s="672">
        <v>0.23799999999999999</v>
      </c>
      <c r="G3722" s="668" t="s">
        <v>19</v>
      </c>
      <c r="H3722" s="668" t="s">
        <v>4979</v>
      </c>
      <c r="I3722" s="670">
        <f>[3]Elec.Data!I3722</f>
        <v>6400</v>
      </c>
      <c r="J3722" s="668" t="s">
        <v>19</v>
      </c>
      <c r="K3722" s="668">
        <f>F3722*I3722</f>
        <v>1523.1999999999998</v>
      </c>
      <c r="L3722" s="668"/>
      <c r="M3722" s="668"/>
    </row>
    <row r="3723" spans="5:13" ht="43.5" customHeight="1">
      <c r="F3723" s="668"/>
      <c r="G3723" s="668" t="s">
        <v>170</v>
      </c>
      <c r="H3723" s="703" t="s">
        <v>4980</v>
      </c>
      <c r="I3723" s="668" t="s">
        <v>170</v>
      </c>
      <c r="J3723" s="668"/>
      <c r="K3723" s="668">
        <v>226.3</v>
      </c>
      <c r="L3723" s="668"/>
      <c r="M3723" s="668"/>
    </row>
    <row r="3724" spans="5:13" ht="60.75" customHeight="1">
      <c r="F3724" s="668">
        <v>1</v>
      </c>
      <c r="G3724" s="668" t="s">
        <v>5</v>
      </c>
      <c r="H3724" s="667" t="s">
        <v>4981</v>
      </c>
      <c r="I3724" s="668" t="s">
        <v>170</v>
      </c>
      <c r="J3724" s="668"/>
      <c r="K3724" s="668">
        <v>64.3</v>
      </c>
      <c r="L3724" s="668">
        <f>5300-5225.8</f>
        <v>74.199999999999818</v>
      </c>
      <c r="M3724" s="668"/>
    </row>
    <row r="3725" spans="5:13" ht="37.5" customHeight="1">
      <c r="F3725" s="668">
        <v>8</v>
      </c>
      <c r="G3725" s="668" t="s">
        <v>12</v>
      </c>
      <c r="H3725" s="703" t="s">
        <v>4982</v>
      </c>
      <c r="I3725" s="668">
        <f>I2843</f>
        <v>13.5</v>
      </c>
      <c r="J3725" s="668"/>
      <c r="K3725" s="668">
        <f>F3725*I3725</f>
        <v>108</v>
      </c>
      <c r="L3725" s="668"/>
      <c r="M3725" s="668"/>
    </row>
    <row r="3726" spans="5:13">
      <c r="E3726" s="668"/>
      <c r="F3726" s="668"/>
      <c r="G3726" s="668"/>
      <c r="H3726" s="668" t="s">
        <v>2389</v>
      </c>
      <c r="I3726" s="668"/>
      <c r="J3726" s="668"/>
      <c r="K3726" s="668">
        <f>K3733</f>
        <v>2578</v>
      </c>
      <c r="L3726" s="668"/>
      <c r="M3726" s="668"/>
    </row>
    <row r="3727" spans="5:13">
      <c r="E3727" s="668"/>
      <c r="F3727" s="668"/>
      <c r="G3727" s="668"/>
      <c r="H3727" s="676" t="s">
        <v>4714</v>
      </c>
      <c r="I3727" s="668"/>
      <c r="J3727" s="668"/>
      <c r="K3727" s="460">
        <f>SUM(K3718:K3726)</f>
        <v>6382.7000000000007</v>
      </c>
      <c r="L3727" s="668"/>
      <c r="M3727" s="668">
        <f>5120-K3727</f>
        <v>-1262.7000000000007</v>
      </c>
    </row>
    <row r="3728" spans="5:13" ht="3.75" customHeight="1">
      <c r="E3728" s="668"/>
      <c r="F3728" s="668"/>
      <c r="G3728" s="668"/>
      <c r="H3728" s="668"/>
      <c r="I3728" s="668"/>
      <c r="J3728" s="668"/>
      <c r="K3728" s="668"/>
      <c r="L3728" s="668"/>
      <c r="M3728" s="668"/>
    </row>
    <row r="3729" spans="5:13">
      <c r="E3729" s="668"/>
      <c r="F3729" s="668"/>
      <c r="G3729" s="668"/>
      <c r="H3729" s="675" t="s">
        <v>2401</v>
      </c>
      <c r="I3729" s="668"/>
      <c r="J3729" s="668"/>
      <c r="K3729" s="668"/>
      <c r="L3729" s="668"/>
      <c r="M3729" s="668"/>
    </row>
    <row r="3730" spans="5:13">
      <c r="E3730" s="668"/>
      <c r="F3730" s="668">
        <v>0.5</v>
      </c>
      <c r="G3730" s="668" t="s">
        <v>5</v>
      </c>
      <c r="H3730" s="668" t="s">
        <v>2418</v>
      </c>
      <c r="I3730" s="668">
        <f>I3623</f>
        <v>636</v>
      </c>
      <c r="J3730" s="668" t="s">
        <v>5</v>
      </c>
      <c r="K3730" s="668">
        <f>F3730*I3730</f>
        <v>318</v>
      </c>
      <c r="L3730" s="668"/>
      <c r="M3730" s="668"/>
    </row>
    <row r="3731" spans="5:13">
      <c r="E3731" s="668"/>
      <c r="F3731" s="668">
        <v>2</v>
      </c>
      <c r="G3731" s="668" t="s">
        <v>5</v>
      </c>
      <c r="H3731" s="668" t="s">
        <v>2419</v>
      </c>
      <c r="I3731" s="668">
        <f>I3624</f>
        <v>633</v>
      </c>
      <c r="J3731" s="668" t="s">
        <v>5</v>
      </c>
      <c r="K3731" s="668">
        <f>F3731*I3731</f>
        <v>1266</v>
      </c>
      <c r="L3731" s="668"/>
      <c r="M3731" s="668"/>
    </row>
    <row r="3732" spans="5:13">
      <c r="E3732" s="668"/>
      <c r="F3732" s="668">
        <v>2</v>
      </c>
      <c r="G3732" s="668" t="s">
        <v>5</v>
      </c>
      <c r="H3732" s="668" t="s">
        <v>2410</v>
      </c>
      <c r="I3732" s="668">
        <f>I3625</f>
        <v>497</v>
      </c>
      <c r="J3732" s="668" t="s">
        <v>5</v>
      </c>
      <c r="K3732" s="668">
        <f>F3732*I3732</f>
        <v>994</v>
      </c>
      <c r="L3732" s="668"/>
      <c r="M3732" s="668"/>
    </row>
    <row r="3733" spans="5:13">
      <c r="E3733" s="668"/>
      <c r="F3733" s="668"/>
      <c r="G3733" s="668"/>
      <c r="H3733" s="668"/>
      <c r="I3733" s="668"/>
      <c r="J3733" s="668"/>
      <c r="K3733" s="675">
        <f>SUM(K3730:K3732)</f>
        <v>2578</v>
      </c>
      <c r="L3733" s="668"/>
      <c r="M3733" s="668"/>
    </row>
    <row r="3734" spans="5:13">
      <c r="E3734" s="668"/>
      <c r="F3734" s="668"/>
      <c r="G3734" s="668"/>
      <c r="H3734" s="668"/>
      <c r="I3734" s="668"/>
      <c r="J3734" s="668"/>
      <c r="K3734" s="668"/>
      <c r="L3734" s="668"/>
      <c r="M3734" s="668"/>
    </row>
    <row r="3735" spans="5:13" ht="24.95" customHeight="1">
      <c r="E3735" s="668"/>
      <c r="F3735" s="668"/>
      <c r="G3735" s="668"/>
      <c r="H3735" s="460" t="s">
        <v>4983</v>
      </c>
      <c r="I3735" s="668"/>
      <c r="J3735" s="668"/>
      <c r="K3735" s="668"/>
      <c r="L3735" s="668"/>
      <c r="M3735" s="668"/>
    </row>
    <row r="3736" spans="5:13">
      <c r="E3736" s="668"/>
      <c r="F3736" s="668"/>
      <c r="G3736" s="668"/>
      <c r="H3736" s="668"/>
      <c r="I3736" s="668"/>
      <c r="J3736" s="668"/>
      <c r="K3736" s="668"/>
      <c r="L3736" s="668"/>
      <c r="M3736" s="668"/>
    </row>
    <row r="3737" spans="5:13" ht="24.95" customHeight="1">
      <c r="E3737" s="668"/>
      <c r="F3737" s="668"/>
      <c r="G3737" s="668"/>
      <c r="H3737" s="460" t="s">
        <v>4984</v>
      </c>
      <c r="I3737" s="668"/>
      <c r="J3737" s="668"/>
      <c r="K3737" s="668"/>
      <c r="L3737" s="668"/>
      <c r="M3737" s="668"/>
    </row>
    <row r="3738" spans="5:13">
      <c r="E3738" s="668"/>
      <c r="F3738" s="668"/>
      <c r="G3738" s="668"/>
      <c r="H3738" s="668"/>
      <c r="I3738" s="668"/>
      <c r="J3738" s="668"/>
      <c r="K3738" s="668"/>
      <c r="L3738" s="668"/>
      <c r="M3738" s="668"/>
    </row>
    <row r="3739" spans="5:13">
      <c r="E3739" s="668"/>
      <c r="F3739" s="668">
        <v>1</v>
      </c>
      <c r="G3739" s="668" t="s">
        <v>5</v>
      </c>
      <c r="H3739" s="668" t="s">
        <v>4985</v>
      </c>
      <c r="I3739" s="704">
        <v>1155</v>
      </c>
      <c r="J3739" s="668" t="s">
        <v>5</v>
      </c>
      <c r="K3739" s="668">
        <f>F3739*I3739</f>
        <v>1155</v>
      </c>
      <c r="L3739" s="668"/>
      <c r="M3739" s="668"/>
    </row>
    <row r="3740" spans="5:13" ht="30.75" customHeight="1">
      <c r="E3740" s="668"/>
      <c r="F3740" s="668"/>
      <c r="G3740" s="668"/>
      <c r="H3740" s="668" t="s">
        <v>4599</v>
      </c>
      <c r="I3740" s="670">
        <v>197</v>
      </c>
      <c r="J3740" s="668" t="s">
        <v>5</v>
      </c>
      <c r="K3740" s="668">
        <f>I3740</f>
        <v>197</v>
      </c>
      <c r="L3740" s="668"/>
      <c r="M3740" s="668"/>
    </row>
    <row r="3741" spans="5:13" ht="39" customHeight="1">
      <c r="E3741" s="668"/>
      <c r="F3741" s="668"/>
      <c r="G3741" s="668"/>
      <c r="H3741" s="667" t="s">
        <v>4986</v>
      </c>
      <c r="I3741" s="668"/>
      <c r="J3741" s="668"/>
      <c r="K3741" s="670">
        <v>18.5</v>
      </c>
      <c r="L3741" s="668"/>
      <c r="M3741" s="668"/>
    </row>
    <row r="3742" spans="5:13">
      <c r="E3742" s="668"/>
      <c r="F3742" s="668"/>
      <c r="G3742" s="668"/>
      <c r="H3742" s="668" t="s">
        <v>4987</v>
      </c>
      <c r="I3742" s="668"/>
      <c r="J3742" s="686">
        <f>SUM(K3739:K3741)</f>
        <v>1370.5</v>
      </c>
      <c r="K3742" s="668">
        <f>J3742*1%</f>
        <v>13.705</v>
      </c>
      <c r="L3742" s="668"/>
      <c r="M3742" s="668"/>
    </row>
    <row r="3743" spans="5:13">
      <c r="E3743" s="668"/>
      <c r="F3743" s="668"/>
      <c r="G3743" s="668"/>
      <c r="H3743" s="668" t="s">
        <v>4988</v>
      </c>
      <c r="I3743" s="668"/>
      <c r="J3743" s="668"/>
      <c r="K3743" s="668">
        <f>K3750</f>
        <v>407.5</v>
      </c>
      <c r="L3743" s="668"/>
      <c r="M3743" s="668"/>
    </row>
    <row r="3744" spans="5:13" ht="24.95" customHeight="1">
      <c r="E3744" s="668"/>
      <c r="F3744" s="668"/>
      <c r="G3744" s="668"/>
      <c r="H3744" s="676" t="s">
        <v>4989</v>
      </c>
      <c r="I3744" s="668"/>
      <c r="J3744" s="668"/>
      <c r="K3744" s="460">
        <f>SUM(K3739:K3743)</f>
        <v>1791.7049999999999</v>
      </c>
      <c r="L3744" s="668"/>
      <c r="M3744" s="668">
        <f>1883-K3744</f>
        <v>91.295000000000073</v>
      </c>
    </row>
    <row r="3745" spans="5:13">
      <c r="E3745" s="668"/>
      <c r="F3745" s="668"/>
      <c r="G3745" s="668"/>
      <c r="H3745" s="668"/>
      <c r="I3745" s="668"/>
      <c r="J3745" s="668"/>
      <c r="K3745" s="668"/>
      <c r="L3745" s="668"/>
      <c r="M3745" s="668"/>
    </row>
    <row r="3746" spans="5:13">
      <c r="E3746" s="668"/>
      <c r="F3746" s="668"/>
      <c r="G3746" s="668"/>
      <c r="H3746" s="675" t="s">
        <v>2389</v>
      </c>
      <c r="I3746" s="668"/>
      <c r="J3746" s="668"/>
      <c r="K3746" s="668"/>
      <c r="L3746" s="668"/>
      <c r="M3746" s="668"/>
    </row>
    <row r="3747" spans="5:13">
      <c r="E3747" s="668"/>
      <c r="F3747" s="668">
        <v>1</v>
      </c>
      <c r="G3747" s="668" t="s">
        <v>5</v>
      </c>
      <c r="H3747" s="668" t="s">
        <v>2418</v>
      </c>
      <c r="I3747" s="668">
        <f>I3730</f>
        <v>636</v>
      </c>
      <c r="J3747" s="668" t="s">
        <v>5</v>
      </c>
      <c r="K3747" s="668">
        <f>F3747*I3747</f>
        <v>636</v>
      </c>
      <c r="L3747" s="668"/>
      <c r="M3747" s="668"/>
    </row>
    <row r="3748" spans="5:13">
      <c r="E3748" s="668"/>
      <c r="F3748" s="668">
        <v>2</v>
      </c>
      <c r="G3748" s="668" t="s">
        <v>5</v>
      </c>
      <c r="H3748" s="668" t="s">
        <v>2410</v>
      </c>
      <c r="I3748" s="668">
        <f>I3732</f>
        <v>497</v>
      </c>
      <c r="J3748" s="668" t="s">
        <v>5</v>
      </c>
      <c r="K3748" s="668">
        <f>F3748*I3748</f>
        <v>994</v>
      </c>
      <c r="L3748" s="668"/>
      <c r="M3748" s="668"/>
    </row>
    <row r="3749" spans="5:13">
      <c r="E3749" s="668"/>
      <c r="F3749" s="668"/>
      <c r="G3749" s="668"/>
      <c r="H3749" s="674" t="s">
        <v>4990</v>
      </c>
      <c r="I3749" s="668"/>
      <c r="J3749" s="668"/>
      <c r="K3749" s="675">
        <f>SUM(K3747:K3748)</f>
        <v>1630</v>
      </c>
      <c r="L3749" s="668"/>
      <c r="M3749" s="668"/>
    </row>
    <row r="3750" spans="5:13" ht="24.95" customHeight="1">
      <c r="E3750" s="668"/>
      <c r="F3750" s="668"/>
      <c r="G3750" s="668"/>
      <c r="H3750" s="676" t="s">
        <v>2373</v>
      </c>
      <c r="I3750" s="668"/>
      <c r="J3750" s="668"/>
      <c r="K3750" s="460">
        <f>K3749/4</f>
        <v>407.5</v>
      </c>
      <c r="L3750" s="668"/>
      <c r="M3750" s="668"/>
    </row>
    <row r="3751" spans="5:13">
      <c r="E3751" s="668"/>
      <c r="F3751" s="668"/>
      <c r="G3751" s="668"/>
      <c r="H3751" s="668"/>
      <c r="I3751" s="668"/>
      <c r="J3751" s="668"/>
      <c r="K3751" s="668"/>
      <c r="L3751" s="668"/>
      <c r="M3751" s="668"/>
    </row>
    <row r="3752" spans="5:13">
      <c r="E3752" s="668"/>
      <c r="F3752" s="668"/>
      <c r="G3752" s="668"/>
      <c r="H3752" s="668"/>
      <c r="I3752" s="668"/>
      <c r="J3752" s="668"/>
      <c r="K3752" s="668"/>
      <c r="L3752" s="668"/>
      <c r="M3752" s="668"/>
    </row>
    <row r="3753" spans="5:13" ht="24.95" customHeight="1">
      <c r="E3753" s="668"/>
      <c r="F3753" s="668"/>
      <c r="G3753" s="668"/>
      <c r="H3753" s="460" t="s">
        <v>4991</v>
      </c>
      <c r="I3753" s="668"/>
      <c r="J3753" s="668"/>
      <c r="K3753" s="668"/>
      <c r="L3753" s="668"/>
      <c r="M3753" s="668"/>
    </row>
    <row r="3754" spans="5:13">
      <c r="E3754" s="668"/>
      <c r="F3754" s="668"/>
      <c r="G3754" s="668"/>
      <c r="H3754" s="668"/>
      <c r="I3754" s="668"/>
      <c r="J3754" s="668"/>
      <c r="K3754" s="668"/>
      <c r="L3754" s="668"/>
      <c r="M3754" s="668"/>
    </row>
    <row r="3755" spans="5:13" ht="24.95" customHeight="1">
      <c r="E3755" s="668"/>
      <c r="F3755" s="668"/>
      <c r="G3755" s="668"/>
      <c r="H3755" s="460" t="s">
        <v>4992</v>
      </c>
      <c r="I3755" s="668"/>
      <c r="J3755" s="668"/>
      <c r="K3755" s="668"/>
      <c r="L3755" s="668"/>
      <c r="M3755" s="668"/>
    </row>
    <row r="3756" spans="5:13">
      <c r="E3756" s="668"/>
      <c r="F3756" s="668"/>
      <c r="G3756" s="668"/>
      <c r="H3756" s="668"/>
      <c r="I3756" s="668"/>
      <c r="J3756" s="668"/>
      <c r="K3756" s="668"/>
      <c r="L3756" s="668"/>
      <c r="M3756" s="668"/>
    </row>
    <row r="3757" spans="5:13">
      <c r="E3757" s="668"/>
      <c r="F3757" s="668"/>
      <c r="G3757" s="668"/>
      <c r="H3757" s="668" t="s">
        <v>4993</v>
      </c>
      <c r="I3757" s="704">
        <v>1010</v>
      </c>
      <c r="J3757" s="668" t="s">
        <v>5</v>
      </c>
      <c r="K3757" s="668">
        <f>I3757</f>
        <v>1010</v>
      </c>
      <c r="L3757" s="668"/>
      <c r="M3757" s="668"/>
    </row>
    <row r="3758" spans="5:13">
      <c r="E3758" s="668"/>
      <c r="F3758" s="668"/>
      <c r="G3758" s="668"/>
      <c r="H3758" s="668" t="s">
        <v>4599</v>
      </c>
      <c r="I3758" s="668">
        <f>I3740</f>
        <v>197</v>
      </c>
      <c r="J3758" s="668" t="s">
        <v>5</v>
      </c>
      <c r="K3758" s="668">
        <f>I3758</f>
        <v>197</v>
      </c>
      <c r="L3758" s="668"/>
      <c r="M3758" s="668"/>
    </row>
    <row r="3759" spans="5:13" ht="31.5">
      <c r="E3759" s="668"/>
      <c r="F3759" s="668"/>
      <c r="G3759" s="668"/>
      <c r="H3759" s="703" t="s">
        <v>4994</v>
      </c>
      <c r="I3759" s="668"/>
      <c r="J3759" s="668"/>
      <c r="K3759" s="668">
        <f>K3741</f>
        <v>18.5</v>
      </c>
      <c r="L3759" s="668"/>
      <c r="M3759" s="668"/>
    </row>
    <row r="3760" spans="5:13">
      <c r="E3760" s="668"/>
      <c r="F3760" s="668"/>
      <c r="G3760" s="668"/>
      <c r="H3760" s="668" t="s">
        <v>4987</v>
      </c>
      <c r="I3760" s="668"/>
      <c r="J3760" s="668"/>
      <c r="K3760" s="668">
        <f>K3742</f>
        <v>13.705</v>
      </c>
      <c r="L3760" s="668"/>
      <c r="M3760" s="668"/>
    </row>
    <row r="3761" spans="5:18">
      <c r="E3761" s="668"/>
      <c r="F3761" s="668"/>
      <c r="G3761" s="668"/>
      <c r="H3761" s="668" t="s">
        <v>4988</v>
      </c>
      <c r="I3761" s="668"/>
      <c r="J3761" s="668"/>
      <c r="K3761" s="668">
        <f>K3743</f>
        <v>407.5</v>
      </c>
      <c r="L3761" s="668"/>
      <c r="M3761" s="668"/>
    </row>
    <row r="3762" spans="5:18" ht="24.95" customHeight="1">
      <c r="E3762" s="668"/>
      <c r="F3762" s="668"/>
      <c r="G3762" s="668"/>
      <c r="H3762" s="676" t="s">
        <v>4989</v>
      </c>
      <c r="I3762" s="668"/>
      <c r="J3762" s="668"/>
      <c r="K3762" s="460">
        <f>SUM(K3757:K3761)</f>
        <v>1646.7049999999999</v>
      </c>
      <c r="L3762" s="668"/>
      <c r="M3762" s="668"/>
    </row>
    <row r="3763" spans="5:18">
      <c r="E3763" s="668"/>
      <c r="F3763" s="668"/>
      <c r="G3763" s="668"/>
      <c r="H3763" s="668"/>
      <c r="I3763" s="668"/>
      <c r="J3763" s="668"/>
      <c r="K3763" s="668"/>
      <c r="L3763" s="668"/>
      <c r="M3763" s="668"/>
    </row>
    <row r="3764" spans="5:18" ht="24.95" customHeight="1">
      <c r="E3764" s="668"/>
      <c r="F3764" s="668"/>
      <c r="G3764" s="668"/>
      <c r="H3764" s="460" t="s">
        <v>4995</v>
      </c>
      <c r="I3764" s="668"/>
      <c r="J3764" s="668"/>
      <c r="K3764" s="668"/>
      <c r="L3764" s="668"/>
      <c r="M3764" s="668"/>
    </row>
    <row r="3765" spans="5:18" ht="24.95" customHeight="1">
      <c r="E3765" s="668"/>
      <c r="F3765" s="668">
        <v>1</v>
      </c>
      <c r="G3765" s="668" t="s">
        <v>5</v>
      </c>
      <c r="H3765" s="668" t="str">
        <f>[3]Elec.Data!H3765</f>
        <v>1200mm A.C ceiling fan (without regulator)( Part- B 1 a p-115</v>
      </c>
      <c r="I3765" s="670">
        <f>[3]Elec.Data!I3765</f>
        <v>1130</v>
      </c>
      <c r="J3765" s="668" t="s">
        <v>5</v>
      </c>
      <c r="K3765" s="668">
        <f>F3765*I3765</f>
        <v>1130</v>
      </c>
      <c r="L3765" s="668"/>
      <c r="M3765" s="668"/>
    </row>
    <row r="3766" spans="5:18" ht="24.95" customHeight="1">
      <c r="E3766" s="668"/>
      <c r="F3766" s="668">
        <v>1</v>
      </c>
      <c r="G3766" s="668" t="s">
        <v>5</v>
      </c>
      <c r="H3766" s="668" t="s">
        <v>4996</v>
      </c>
      <c r="I3766" s="670">
        <f>[3]Elec.Data!I3766</f>
        <v>153.80000000000001</v>
      </c>
      <c r="J3766" s="668" t="s">
        <v>5</v>
      </c>
      <c r="K3766" s="668">
        <f>F3766*I3766</f>
        <v>153.80000000000001</v>
      </c>
      <c r="L3766" s="668"/>
      <c r="M3766" s="668"/>
    </row>
    <row r="3767" spans="5:18" ht="24.95" customHeight="1">
      <c r="E3767" s="668"/>
      <c r="F3767" s="668"/>
      <c r="G3767" s="668"/>
      <c r="H3767" s="676" t="s">
        <v>4989</v>
      </c>
      <c r="I3767" s="668"/>
      <c r="J3767" s="668"/>
      <c r="K3767" s="460">
        <f>SUM(K3765:K3766)</f>
        <v>1283.8</v>
      </c>
      <c r="L3767" s="668"/>
      <c r="M3767" s="668"/>
    </row>
    <row r="3768" spans="5:18" ht="23.25" customHeight="1">
      <c r="E3768" s="668"/>
      <c r="F3768" s="668"/>
      <c r="G3768" s="668"/>
      <c r="H3768" s="676"/>
      <c r="I3768" s="668"/>
      <c r="J3768" s="668"/>
      <c r="K3768" s="460"/>
      <c r="L3768" s="668"/>
      <c r="M3768" s="668"/>
    </row>
    <row r="3769" spans="5:18" ht="24.95" customHeight="1">
      <c r="E3769" s="668"/>
      <c r="F3769" s="668"/>
      <c r="G3769" s="668"/>
      <c r="H3769" s="719" t="s">
        <v>4997</v>
      </c>
      <c r="I3769" s="668"/>
      <c r="J3769" s="668"/>
      <c r="K3769" s="668"/>
      <c r="L3769" s="668"/>
      <c r="M3769" s="668"/>
      <c r="N3769" s="719" t="s">
        <v>4998</v>
      </c>
      <c r="O3769" s="668"/>
      <c r="P3769" s="668"/>
      <c r="Q3769" s="668"/>
    </row>
    <row r="3770" spans="5:18" ht="24.95" customHeight="1">
      <c r="E3770" s="668"/>
      <c r="F3770" s="668">
        <v>1</v>
      </c>
      <c r="G3770" s="668" t="s">
        <v>5</v>
      </c>
      <c r="H3770" s="668" t="str">
        <f>[3]Elec.Data!H3770</f>
        <v>4' tube 40' w light fitting with \electronic ballast (SD 88 P-  112 7 a)</v>
      </c>
      <c r="I3770" s="670">
        <f>[3]Elec.Data!I3770</f>
        <v>303</v>
      </c>
      <c r="J3770" s="668" t="s">
        <v>5</v>
      </c>
      <c r="K3770" s="668">
        <f>F3770*I3770</f>
        <v>303</v>
      </c>
      <c r="L3770" s="668">
        <v>1</v>
      </c>
      <c r="M3770" s="668" t="s">
        <v>5</v>
      </c>
      <c r="O3770" s="668" t="s">
        <v>4999</v>
      </c>
      <c r="P3770" s="670">
        <v>529</v>
      </c>
      <c r="Q3770" s="668" t="s">
        <v>5</v>
      </c>
      <c r="R3770" s="668">
        <f>L3770*P3770</f>
        <v>529</v>
      </c>
    </row>
    <row r="3771" spans="5:18" ht="24.95" customHeight="1">
      <c r="E3771" s="668"/>
      <c r="F3771" s="668">
        <v>1</v>
      </c>
      <c r="G3771" s="668" t="s">
        <v>5</v>
      </c>
      <c r="H3771" s="668" t="s">
        <v>5000</v>
      </c>
      <c r="I3771" s="704">
        <f>[3]Elec.Data!I3778</f>
        <v>35.6</v>
      </c>
      <c r="J3771" s="668" t="s">
        <v>5</v>
      </c>
      <c r="K3771" s="668">
        <f>F3771*I3771</f>
        <v>35.6</v>
      </c>
      <c r="L3771" s="668">
        <v>1</v>
      </c>
      <c r="M3771" s="668" t="s">
        <v>5</v>
      </c>
      <c r="O3771" s="668" t="s">
        <v>5001</v>
      </c>
      <c r="P3771" s="704">
        <v>42.3</v>
      </c>
      <c r="Q3771" s="668" t="s">
        <v>5</v>
      </c>
      <c r="R3771" s="668">
        <f>L3771*P3771</f>
        <v>42.3</v>
      </c>
    </row>
    <row r="3772" spans="5:18" ht="24.95" customHeight="1">
      <c r="E3772" s="668"/>
      <c r="F3772" s="668"/>
      <c r="G3772" s="668"/>
      <c r="H3772" s="668" t="s">
        <v>5002</v>
      </c>
      <c r="I3772" s="668"/>
      <c r="J3772" s="668"/>
      <c r="K3772" s="668">
        <f>K3244</f>
        <v>248.81450000000001</v>
      </c>
      <c r="L3772" s="668"/>
      <c r="M3772" s="668"/>
      <c r="O3772" s="668" t="s">
        <v>5002</v>
      </c>
      <c r="P3772" s="668"/>
      <c r="Q3772" s="668"/>
      <c r="R3772" s="668">
        <f>K3244</f>
        <v>248.81450000000001</v>
      </c>
    </row>
    <row r="3773" spans="5:18" ht="24.95" customHeight="1">
      <c r="E3773" s="668"/>
      <c r="F3773" s="668"/>
      <c r="G3773" s="668"/>
      <c r="H3773" s="668" t="s">
        <v>2390</v>
      </c>
      <c r="I3773" s="668"/>
      <c r="J3773" s="668"/>
      <c r="K3773" s="668">
        <v>1.4</v>
      </c>
      <c r="L3773" s="668"/>
      <c r="M3773" s="668"/>
      <c r="O3773" s="668" t="s">
        <v>2390</v>
      </c>
      <c r="P3773" s="668"/>
      <c r="Q3773" s="668"/>
      <c r="R3773" s="668">
        <v>0.7</v>
      </c>
    </row>
    <row r="3774" spans="5:18" ht="24.95" customHeight="1">
      <c r="E3774" s="668"/>
      <c r="F3774" s="668"/>
      <c r="G3774" s="668"/>
      <c r="H3774" s="676" t="s">
        <v>4989</v>
      </c>
      <c r="I3774" s="668"/>
      <c r="J3774" s="668"/>
      <c r="K3774" s="460">
        <f>SUM(K3770:K3773)</f>
        <v>588.81450000000007</v>
      </c>
      <c r="L3774" s="668"/>
      <c r="M3774" s="668"/>
      <c r="O3774" s="676" t="s">
        <v>4989</v>
      </c>
      <c r="P3774" s="668"/>
      <c r="Q3774" s="668"/>
      <c r="R3774" s="460">
        <f>SUM(R3770:R3773)</f>
        <v>820.81449999999995</v>
      </c>
    </row>
    <row r="3775" spans="5:18">
      <c r="E3775" s="668"/>
      <c r="F3775" s="668"/>
      <c r="G3775" s="668"/>
      <c r="H3775" s="668"/>
      <c r="I3775" s="668"/>
      <c r="J3775" s="668"/>
      <c r="K3775" s="668"/>
      <c r="L3775" s="668"/>
      <c r="M3775" s="668"/>
      <c r="O3775" s="668"/>
      <c r="P3775" s="668"/>
      <c r="Q3775" s="668"/>
      <c r="R3775" s="668"/>
    </row>
    <row r="3776" spans="5:18" ht="24.95" customHeight="1">
      <c r="E3776" s="668"/>
      <c r="F3776" s="668"/>
      <c r="G3776" s="668"/>
      <c r="H3776" s="719" t="s">
        <v>5003</v>
      </c>
      <c r="I3776" s="668"/>
      <c r="J3776" s="668"/>
      <c r="K3776" s="668"/>
      <c r="L3776" s="668"/>
      <c r="M3776" s="668"/>
      <c r="O3776" s="719" t="s">
        <v>5004</v>
      </c>
      <c r="P3776" s="668"/>
      <c r="Q3776" s="668"/>
      <c r="R3776" s="668"/>
    </row>
    <row r="3777" spans="5:18" ht="24.95" customHeight="1">
      <c r="E3777" s="668"/>
      <c r="F3777" s="668">
        <v>1</v>
      </c>
      <c r="G3777" s="668" t="s">
        <v>5</v>
      </c>
      <c r="H3777" s="668" t="str">
        <f>[3]Elec.Data!H3777</f>
        <v>4' tube light fitting with \electronic ballast p-111 it-20 c</v>
      </c>
      <c r="I3777" s="670">
        <f>[3]Elec.Data!I3777</f>
        <v>269</v>
      </c>
      <c r="J3777" s="668" t="s">
        <v>5</v>
      </c>
      <c r="K3777" s="668">
        <f>F3777*I3777</f>
        <v>269</v>
      </c>
      <c r="L3777" s="668">
        <v>1</v>
      </c>
      <c r="M3777" s="668" t="s">
        <v>5</v>
      </c>
      <c r="O3777" s="668" t="s">
        <v>4999</v>
      </c>
      <c r="P3777" s="670">
        <v>360</v>
      </c>
      <c r="Q3777" s="668" t="s">
        <v>5</v>
      </c>
      <c r="R3777" s="668">
        <f>L3777*P3777</f>
        <v>360</v>
      </c>
    </row>
    <row r="3778" spans="5:18" ht="24.95" customHeight="1">
      <c r="E3778" s="668"/>
      <c r="F3778" s="668">
        <v>1</v>
      </c>
      <c r="G3778" s="668" t="s">
        <v>5</v>
      </c>
      <c r="H3778" s="668" t="str">
        <f>H3771</f>
        <v>slim tube light 36 w</v>
      </c>
      <c r="I3778" s="704">
        <f>I3771</f>
        <v>35.6</v>
      </c>
      <c r="J3778" s="668" t="s">
        <v>5</v>
      </c>
      <c r="K3778" s="668">
        <f>F3778*I3778</f>
        <v>35.6</v>
      </c>
      <c r="L3778" s="668">
        <v>1</v>
      </c>
      <c r="M3778" s="668" t="s">
        <v>5</v>
      </c>
      <c r="O3778" s="668" t="str">
        <f>O3771</f>
        <v>slim tube light 40 w</v>
      </c>
      <c r="P3778" s="704">
        <f>P3771</f>
        <v>42.3</v>
      </c>
      <c r="Q3778" s="668" t="s">
        <v>5</v>
      </c>
      <c r="R3778" s="668">
        <f>L3778*P3778</f>
        <v>42.3</v>
      </c>
    </row>
    <row r="3779" spans="5:18" ht="24.95" customHeight="1">
      <c r="E3779" s="668"/>
      <c r="F3779" s="668"/>
      <c r="G3779" s="668"/>
      <c r="H3779" s="668" t="s">
        <v>5002</v>
      </c>
      <c r="I3779" s="668"/>
      <c r="J3779" s="668"/>
      <c r="K3779" s="668">
        <f>K3772</f>
        <v>248.81450000000001</v>
      </c>
      <c r="L3779" s="668"/>
      <c r="M3779" s="668"/>
      <c r="O3779" s="668" t="s">
        <v>5002</v>
      </c>
      <c r="P3779" s="668"/>
      <c r="Q3779" s="668"/>
      <c r="R3779" s="668">
        <f>R3772</f>
        <v>248.81450000000001</v>
      </c>
    </row>
    <row r="3780" spans="5:18" ht="24.95" customHeight="1">
      <c r="E3780" s="668"/>
      <c r="F3780" s="668"/>
      <c r="G3780" s="668"/>
      <c r="H3780" s="668" t="s">
        <v>2390</v>
      </c>
      <c r="I3780" s="668"/>
      <c r="J3780" s="668"/>
      <c r="K3780" s="668">
        <v>1.4</v>
      </c>
      <c r="L3780" s="668"/>
      <c r="M3780" s="668"/>
      <c r="O3780" s="668" t="s">
        <v>2390</v>
      </c>
      <c r="P3780" s="668"/>
      <c r="Q3780" s="668"/>
      <c r="R3780" s="668">
        <v>0.7</v>
      </c>
    </row>
    <row r="3781" spans="5:18" ht="24.95" customHeight="1">
      <c r="E3781" s="668"/>
      <c r="F3781" s="668"/>
      <c r="G3781" s="668"/>
      <c r="H3781" s="676" t="s">
        <v>4989</v>
      </c>
      <c r="I3781" s="668"/>
      <c r="J3781" s="668"/>
      <c r="K3781" s="460">
        <f>SUM(K3777:K3780)</f>
        <v>554.81450000000007</v>
      </c>
      <c r="L3781" s="668"/>
      <c r="M3781" s="668"/>
      <c r="O3781" s="676" t="s">
        <v>4989</v>
      </c>
      <c r="P3781" s="668"/>
      <c r="R3781" s="460">
        <f>SUM(R3777:R3780)</f>
        <v>651.81450000000007</v>
      </c>
    </row>
    <row r="3782" spans="5:18">
      <c r="E3782" s="668"/>
      <c r="F3782" s="668"/>
      <c r="G3782" s="668"/>
      <c r="H3782" s="668"/>
      <c r="I3782" s="668"/>
      <c r="J3782" s="668"/>
      <c r="K3782" s="668"/>
      <c r="L3782" s="668"/>
      <c r="M3782" s="668"/>
    </row>
    <row r="3783" spans="5:18">
      <c r="E3783" s="668"/>
      <c r="F3783" s="668"/>
      <c r="G3783" s="668"/>
      <c r="H3783" s="668"/>
      <c r="I3783" s="668"/>
      <c r="J3783" s="668"/>
      <c r="K3783" s="668"/>
      <c r="L3783" s="668"/>
      <c r="M3783" s="668"/>
    </row>
    <row r="3784" spans="5:18">
      <c r="E3784" s="668"/>
      <c r="F3784" s="668"/>
      <c r="G3784" s="668"/>
      <c r="H3784" s="668"/>
      <c r="I3784" s="668"/>
      <c r="J3784" s="668"/>
      <c r="K3784" s="668"/>
      <c r="L3784" s="668"/>
      <c r="M3784" s="668"/>
    </row>
    <row r="3785" spans="5:18">
      <c r="E3785" s="668"/>
      <c r="F3785" s="668"/>
      <c r="G3785" s="668"/>
      <c r="H3785" s="668"/>
      <c r="I3785" s="668"/>
      <c r="J3785" s="668"/>
      <c r="K3785" s="668"/>
      <c r="L3785" s="668"/>
      <c r="M3785" s="668"/>
    </row>
    <row r="3786" spans="5:18">
      <c r="E3786" s="668"/>
      <c r="F3786" s="668"/>
      <c r="G3786" s="668"/>
      <c r="H3786" s="668"/>
      <c r="I3786" s="668"/>
      <c r="J3786" s="668"/>
      <c r="K3786" s="668"/>
      <c r="L3786" s="668"/>
      <c r="M3786" s="668"/>
    </row>
    <row r="3787" spans="5:18">
      <c r="E3787" s="668"/>
      <c r="F3787" s="668"/>
      <c r="G3787" s="668"/>
      <c r="J3787" s="511"/>
      <c r="L3787" s="668"/>
      <c r="M3787" s="668"/>
    </row>
    <row r="3788" spans="5:18">
      <c r="E3788" s="668"/>
      <c r="F3788" s="668"/>
      <c r="G3788" s="668"/>
      <c r="H3788" s="668"/>
      <c r="I3788" s="668"/>
      <c r="J3788" s="668"/>
      <c r="K3788" s="460"/>
      <c r="L3788" s="668"/>
      <c r="M3788" s="668"/>
    </row>
    <row r="3789" spans="5:18">
      <c r="E3789" s="668"/>
      <c r="F3789" s="668"/>
      <c r="G3789" s="668"/>
      <c r="H3789" s="668"/>
      <c r="I3789" s="668"/>
      <c r="J3789" s="668"/>
      <c r="K3789" s="668"/>
      <c r="L3789" s="668"/>
      <c r="M3789" s="668"/>
    </row>
    <row r="3790" spans="5:18">
      <c r="E3790" s="668"/>
      <c r="H3790" s="562" t="s">
        <v>5005</v>
      </c>
      <c r="L3790" s="668"/>
      <c r="M3790" s="668"/>
    </row>
    <row r="3791" spans="5:18">
      <c r="E3791" s="668"/>
      <c r="L3791" s="668"/>
      <c r="M3791" s="668"/>
    </row>
    <row r="3792" spans="5:18">
      <c r="E3792" s="668"/>
      <c r="H3792" s="562" t="s">
        <v>1550</v>
      </c>
      <c r="L3792" s="668"/>
      <c r="M3792" s="668"/>
    </row>
    <row r="3793" spans="5:13">
      <c r="E3793" s="668"/>
      <c r="L3793" s="668"/>
      <c r="M3793" s="668"/>
    </row>
    <row r="3794" spans="5:13" ht="157.5">
      <c r="E3794" s="668"/>
      <c r="H3794" s="667" t="s">
        <v>5006</v>
      </c>
      <c r="L3794" s="668"/>
      <c r="M3794" s="668"/>
    </row>
    <row r="3795" spans="5:13" ht="31.5">
      <c r="E3795" s="668"/>
      <c r="F3795" s="668">
        <v>90</v>
      </c>
      <c r="G3795" s="668" t="s">
        <v>12</v>
      </c>
      <c r="H3795" s="571" t="s">
        <v>2383</v>
      </c>
      <c r="I3795" s="668">
        <f>I2843</f>
        <v>13.5</v>
      </c>
      <c r="J3795" s="668" t="s">
        <v>2388</v>
      </c>
      <c r="K3795" s="668">
        <f>F3795*I3795</f>
        <v>1215</v>
      </c>
      <c r="L3795" s="668"/>
      <c r="M3795" s="668"/>
    </row>
    <row r="3796" spans="5:13" ht="31.5">
      <c r="E3796" s="668"/>
      <c r="F3796" s="668">
        <v>45</v>
      </c>
      <c r="G3796" s="668" t="s">
        <v>12</v>
      </c>
      <c r="H3796" s="667" t="s">
        <v>2384</v>
      </c>
      <c r="I3796" s="668">
        <f>I2844</f>
        <v>17.100000000000001</v>
      </c>
      <c r="J3796" s="668" t="s">
        <v>4628</v>
      </c>
      <c r="K3796" s="668">
        <f>F3796*I3796</f>
        <v>769.50000000000011</v>
      </c>
      <c r="L3796" s="668"/>
      <c r="M3796" s="668"/>
    </row>
    <row r="3797" spans="5:13">
      <c r="E3797" s="668"/>
      <c r="F3797" s="668">
        <v>20</v>
      </c>
      <c r="G3797" s="668" t="s">
        <v>5</v>
      </c>
      <c r="H3797" s="668" t="s">
        <v>4635</v>
      </c>
      <c r="I3797" s="668">
        <f>I2845</f>
        <v>2.7</v>
      </c>
      <c r="J3797" s="668" t="s">
        <v>5</v>
      </c>
      <c r="K3797" s="668">
        <f>F3797*I3797</f>
        <v>54</v>
      </c>
      <c r="L3797" s="668"/>
      <c r="M3797" s="668"/>
    </row>
    <row r="3798" spans="5:13">
      <c r="E3798" s="668"/>
      <c r="F3798" s="668">
        <v>150</v>
      </c>
      <c r="G3798" s="668" t="s">
        <v>5</v>
      </c>
      <c r="H3798" s="668" t="s">
        <v>5007</v>
      </c>
      <c r="I3798" s="670">
        <v>347</v>
      </c>
      <c r="J3798" s="668" t="s">
        <v>5008</v>
      </c>
      <c r="K3798" s="668">
        <f>(F3798*I3798)/1000</f>
        <v>52.05</v>
      </c>
      <c r="L3798" s="668"/>
      <c r="M3798" s="668"/>
    </row>
    <row r="3799" spans="5:13">
      <c r="E3799" s="668"/>
      <c r="F3799" s="668">
        <v>10</v>
      </c>
      <c r="G3799" s="668" t="s">
        <v>5</v>
      </c>
      <c r="H3799" s="668" t="s">
        <v>4637</v>
      </c>
      <c r="I3799" s="668">
        <f>I2846</f>
        <v>1.1399999999999999</v>
      </c>
      <c r="J3799" s="668" t="s">
        <v>5</v>
      </c>
      <c r="K3799" s="668">
        <f>F3799*I3799</f>
        <v>11.399999999999999</v>
      </c>
      <c r="L3799" s="668"/>
      <c r="M3799" s="668"/>
    </row>
    <row r="3800" spans="5:13">
      <c r="E3800" s="668"/>
      <c r="F3800" s="668">
        <v>10</v>
      </c>
      <c r="G3800" s="668" t="s">
        <v>5</v>
      </c>
      <c r="H3800" s="668" t="s">
        <v>5009</v>
      </c>
      <c r="I3800" s="670">
        <v>44.8</v>
      </c>
      <c r="J3800" s="668" t="s">
        <v>4633</v>
      </c>
      <c r="K3800" s="668">
        <f>(F3800*I3800)/12</f>
        <v>37.333333333333336</v>
      </c>
      <c r="L3800" s="668"/>
      <c r="M3800" s="668"/>
    </row>
    <row r="3801" spans="5:13">
      <c r="E3801" s="668"/>
      <c r="F3801" s="672">
        <v>1.4999999999999999E-2</v>
      </c>
      <c r="G3801" s="668" t="s">
        <v>26</v>
      </c>
      <c r="H3801" s="668" t="s">
        <v>4717</v>
      </c>
      <c r="I3801" s="668">
        <f>I2849</f>
        <v>563</v>
      </c>
      <c r="J3801" s="668" t="s">
        <v>26</v>
      </c>
      <c r="K3801" s="668">
        <f>F3801*I3801</f>
        <v>8.4450000000000003</v>
      </c>
      <c r="L3801" s="668"/>
      <c r="M3801" s="668"/>
    </row>
    <row r="3802" spans="5:13">
      <c r="E3802" s="668"/>
      <c r="F3802" s="668">
        <v>10</v>
      </c>
      <c r="G3802" s="668" t="s">
        <v>5</v>
      </c>
      <c r="H3802" s="668" t="s">
        <v>4718</v>
      </c>
      <c r="I3802" s="668">
        <f>I2850</f>
        <v>15.89</v>
      </c>
      <c r="J3802" s="668" t="s">
        <v>5</v>
      </c>
      <c r="K3802" s="668">
        <f>(F3802*I3802)</f>
        <v>158.9</v>
      </c>
      <c r="L3802" s="668"/>
      <c r="M3802" s="668"/>
    </row>
    <row r="3803" spans="5:13">
      <c r="E3803" s="668"/>
      <c r="F3803" s="668">
        <v>10</v>
      </c>
      <c r="G3803" s="668" t="s">
        <v>5</v>
      </c>
      <c r="H3803" s="668" t="s">
        <v>4642</v>
      </c>
      <c r="I3803" s="668">
        <f>I2851</f>
        <v>13.6</v>
      </c>
      <c r="J3803" s="668" t="s">
        <v>5</v>
      </c>
      <c r="K3803" s="668">
        <f>F3803*I3803</f>
        <v>136</v>
      </c>
      <c r="L3803" s="668"/>
      <c r="M3803" s="668"/>
    </row>
    <row r="3804" spans="5:13">
      <c r="E3804" s="668"/>
      <c r="F3804" s="668">
        <v>1</v>
      </c>
      <c r="G3804" s="668" t="s">
        <v>2413</v>
      </c>
      <c r="H3804" s="668" t="s">
        <v>5010</v>
      </c>
      <c r="I3804" s="670">
        <v>84.1</v>
      </c>
      <c r="J3804" s="668" t="s">
        <v>2413</v>
      </c>
      <c r="K3804" s="668">
        <f>F3804*I3804</f>
        <v>84.1</v>
      </c>
      <c r="L3804" s="668"/>
      <c r="M3804" s="668"/>
    </row>
    <row r="3805" spans="5:13">
      <c r="E3805" s="668"/>
      <c r="F3805" s="668">
        <v>72</v>
      </c>
      <c r="G3805" s="668" t="s">
        <v>5</v>
      </c>
      <c r="H3805" s="668" t="s">
        <v>5011</v>
      </c>
      <c r="I3805" s="720">
        <v>47.7</v>
      </c>
      <c r="J3805" s="668" t="s">
        <v>2413</v>
      </c>
      <c r="K3805" s="668">
        <f>(F3805*I3805)/144</f>
        <v>23.85</v>
      </c>
      <c r="L3805" s="668"/>
      <c r="M3805" s="668"/>
    </row>
    <row r="3806" spans="5:13">
      <c r="E3806" s="668"/>
      <c r="F3806" s="673">
        <v>0.16666666666666666</v>
      </c>
      <c r="G3806" s="668" t="s">
        <v>2385</v>
      </c>
      <c r="H3806" s="668" t="s">
        <v>2386</v>
      </c>
      <c r="I3806" s="670">
        <f>6850/20</f>
        <v>342.5</v>
      </c>
      <c r="J3806" s="668" t="s">
        <v>2385</v>
      </c>
      <c r="K3806" s="668">
        <f t="shared" ref="K3806:K3811" si="100">F3806*I3806</f>
        <v>57.083333333333329</v>
      </c>
      <c r="L3806" s="668"/>
      <c r="M3806" s="668"/>
    </row>
    <row r="3807" spans="5:13">
      <c r="E3807" s="668"/>
      <c r="F3807" s="668">
        <v>10</v>
      </c>
      <c r="G3807" s="668" t="s">
        <v>5</v>
      </c>
      <c r="H3807" s="668" t="s">
        <v>5012</v>
      </c>
      <c r="I3807" s="670">
        <v>16.7</v>
      </c>
      <c r="J3807" s="668" t="s">
        <v>5</v>
      </c>
      <c r="K3807" s="668">
        <f t="shared" si="100"/>
        <v>167</v>
      </c>
      <c r="L3807" s="668"/>
      <c r="M3807" s="668"/>
    </row>
    <row r="3808" spans="5:13">
      <c r="E3808" s="668"/>
      <c r="F3808" s="668">
        <v>1</v>
      </c>
      <c r="G3808" s="668" t="s">
        <v>5</v>
      </c>
      <c r="H3808" s="668" t="s">
        <v>5013</v>
      </c>
      <c r="I3808" s="670">
        <v>20.100000000000001</v>
      </c>
      <c r="J3808" s="668" t="s">
        <v>5</v>
      </c>
      <c r="K3808" s="668">
        <f t="shared" si="100"/>
        <v>20.100000000000001</v>
      </c>
      <c r="L3808" s="668"/>
      <c r="M3808" s="668"/>
    </row>
    <row r="3809" spans="5:13">
      <c r="E3809" s="668"/>
      <c r="F3809" s="668">
        <v>0.1</v>
      </c>
      <c r="G3809" s="668" t="s">
        <v>26</v>
      </c>
      <c r="H3809" s="668" t="s">
        <v>5014</v>
      </c>
      <c r="I3809" s="668">
        <f>I2855</f>
        <v>563</v>
      </c>
      <c r="J3809" s="668" t="s">
        <v>26</v>
      </c>
      <c r="K3809" s="668">
        <f t="shared" si="100"/>
        <v>56.300000000000004</v>
      </c>
      <c r="L3809" s="668"/>
      <c r="M3809" s="668"/>
    </row>
    <row r="3810" spans="5:13" ht="31.5">
      <c r="E3810" s="668"/>
      <c r="F3810" s="668">
        <v>45</v>
      </c>
      <c r="G3810" s="668" t="s">
        <v>12</v>
      </c>
      <c r="H3810" s="571" t="s">
        <v>2387</v>
      </c>
      <c r="I3810" s="668">
        <f>I2856</f>
        <v>13.5</v>
      </c>
      <c r="J3810" s="668" t="s">
        <v>4646</v>
      </c>
      <c r="K3810" s="668">
        <f t="shared" si="100"/>
        <v>607.5</v>
      </c>
      <c r="L3810" s="668"/>
      <c r="M3810" s="668"/>
    </row>
    <row r="3811" spans="5:13">
      <c r="E3811" s="668"/>
      <c r="F3811" s="673">
        <v>0.5</v>
      </c>
      <c r="G3811" s="668" t="s">
        <v>5015</v>
      </c>
      <c r="H3811" s="571" t="s">
        <v>5016</v>
      </c>
      <c r="I3811" s="670">
        <v>247.4</v>
      </c>
      <c r="J3811" s="668" t="s">
        <v>5015</v>
      </c>
      <c r="K3811" s="668">
        <f t="shared" si="100"/>
        <v>123.7</v>
      </c>
      <c r="L3811" s="668"/>
      <c r="M3811" s="668"/>
    </row>
    <row r="3812" spans="5:13">
      <c r="E3812" s="668"/>
      <c r="F3812" s="668">
        <v>10</v>
      </c>
      <c r="G3812" s="668" t="s">
        <v>4650</v>
      </c>
      <c r="H3812" s="668" t="s">
        <v>2389</v>
      </c>
      <c r="I3812" s="668"/>
      <c r="J3812" s="668" t="s">
        <v>170</v>
      </c>
      <c r="K3812" s="668">
        <f>K3831</f>
        <v>3926</v>
      </c>
      <c r="L3812" s="668"/>
      <c r="M3812" s="668"/>
    </row>
    <row r="3813" spans="5:13">
      <c r="E3813" s="668"/>
      <c r="F3813" s="668" t="s">
        <v>170</v>
      </c>
      <c r="G3813" s="668"/>
      <c r="H3813" s="668" t="s">
        <v>5017</v>
      </c>
      <c r="I3813" s="668"/>
      <c r="J3813" s="668" t="s">
        <v>170</v>
      </c>
      <c r="K3813" s="668">
        <f>22+0.07</f>
        <v>22.07</v>
      </c>
      <c r="L3813" s="668"/>
      <c r="M3813" s="668"/>
    </row>
    <row r="3814" spans="5:13">
      <c r="E3814" s="668"/>
      <c r="F3814" s="668"/>
      <c r="G3814" s="668"/>
      <c r="H3814" s="674" t="s">
        <v>4649</v>
      </c>
      <c r="I3814" s="668"/>
      <c r="J3814" s="668"/>
      <c r="K3814" s="675">
        <f>SUM(K3795:K3813)</f>
        <v>7530.3316666666669</v>
      </c>
      <c r="L3814" s="668"/>
      <c r="M3814" s="668"/>
    </row>
    <row r="3815" spans="5:13">
      <c r="E3815" s="668"/>
      <c r="F3815" s="668"/>
      <c r="G3815" s="668"/>
      <c r="H3815" s="676" t="s">
        <v>4651</v>
      </c>
      <c r="I3815" s="668"/>
      <c r="J3815" s="668"/>
      <c r="K3815" s="460">
        <f>K3814/10</f>
        <v>753.03316666666672</v>
      </c>
      <c r="L3815" s="668">
        <f>K3815-639</f>
        <v>114.03316666666672</v>
      </c>
      <c r="M3815" s="668"/>
    </row>
    <row r="3816" spans="5:13">
      <c r="E3816" s="668"/>
      <c r="F3816" s="668"/>
      <c r="G3816" s="668"/>
      <c r="H3816" s="668"/>
      <c r="I3816" s="668"/>
      <c r="J3816" s="668"/>
      <c r="K3816" s="668"/>
      <c r="L3816" s="668"/>
      <c r="M3816" s="668"/>
    </row>
    <row r="3817" spans="5:13">
      <c r="E3817" s="668"/>
      <c r="F3817" s="668"/>
      <c r="G3817" s="668"/>
      <c r="H3817" s="668"/>
      <c r="I3817" s="668"/>
      <c r="J3817" s="668"/>
      <c r="K3817" s="668"/>
      <c r="L3817" s="668"/>
      <c r="M3817" s="668"/>
    </row>
    <row r="3818" spans="5:13">
      <c r="E3818" s="668"/>
      <c r="F3818" s="668"/>
      <c r="G3818" s="668"/>
      <c r="H3818" s="668"/>
      <c r="I3818" s="668"/>
      <c r="J3818" s="668"/>
      <c r="K3818" s="668"/>
      <c r="L3818" s="668"/>
      <c r="M3818" s="668"/>
    </row>
    <row r="3819" spans="5:13">
      <c r="E3819" s="668"/>
      <c r="F3819" s="668"/>
      <c r="G3819" s="668"/>
      <c r="H3819" s="668"/>
      <c r="I3819" s="668"/>
      <c r="J3819" s="668"/>
      <c r="K3819" s="668"/>
      <c r="L3819" s="668"/>
      <c r="M3819" s="668"/>
    </row>
    <row r="3820" spans="5:13">
      <c r="E3820" s="668"/>
      <c r="F3820" s="668"/>
      <c r="G3820" s="460" t="s">
        <v>4653</v>
      </c>
      <c r="H3820" s="668"/>
      <c r="I3820" s="668"/>
      <c r="J3820" s="668"/>
      <c r="M3820" s="668"/>
    </row>
    <row r="3821" spans="5:13">
      <c r="E3821" s="668"/>
      <c r="F3821" s="668"/>
      <c r="G3821" s="668"/>
      <c r="H3821" s="668"/>
      <c r="I3821" s="668"/>
      <c r="J3821" s="668"/>
      <c r="M3821" s="668"/>
    </row>
    <row r="3822" spans="5:13">
      <c r="E3822" s="668"/>
      <c r="F3822" s="668"/>
      <c r="G3822" s="460" t="s">
        <v>4430</v>
      </c>
      <c r="H3822" s="668"/>
      <c r="I3822" s="668"/>
      <c r="J3822" s="668"/>
      <c r="M3822" s="668"/>
    </row>
    <row r="3823" spans="5:13">
      <c r="E3823" s="668"/>
      <c r="F3823" s="668"/>
      <c r="G3823" s="668"/>
      <c r="H3823" s="668"/>
      <c r="I3823" s="668"/>
      <c r="J3823" s="668"/>
      <c r="M3823" s="668"/>
    </row>
    <row r="3824" spans="5:13">
      <c r="F3824" s="668">
        <v>1</v>
      </c>
      <c r="G3824" s="668" t="s">
        <v>5</v>
      </c>
      <c r="H3824" s="668" t="s">
        <v>4655</v>
      </c>
      <c r="I3824" s="668">
        <f>I2866</f>
        <v>730</v>
      </c>
      <c r="J3824" s="668" t="s">
        <v>5</v>
      </c>
      <c r="K3824" s="668">
        <f>F3824*I3824</f>
        <v>730</v>
      </c>
      <c r="L3824" s="668"/>
      <c r="M3824" s="668"/>
    </row>
    <row r="3825" spans="5:13">
      <c r="F3825" s="668">
        <v>2</v>
      </c>
      <c r="G3825" s="668" t="s">
        <v>5</v>
      </c>
      <c r="H3825" s="668" t="s">
        <v>4656</v>
      </c>
      <c r="I3825" s="668">
        <f>I2867</f>
        <v>636</v>
      </c>
      <c r="J3825" s="668" t="s">
        <v>5</v>
      </c>
      <c r="K3825" s="668">
        <f>F3825*I3825</f>
        <v>1272</v>
      </c>
      <c r="L3825" s="668"/>
      <c r="M3825" s="668"/>
    </row>
    <row r="3826" spans="5:13">
      <c r="F3826" s="668">
        <v>3</v>
      </c>
      <c r="G3826" s="668" t="s">
        <v>5</v>
      </c>
      <c r="H3826" s="668" t="s">
        <v>4657</v>
      </c>
      <c r="I3826" s="668">
        <f>I2868</f>
        <v>633</v>
      </c>
      <c r="J3826" s="668" t="s">
        <v>5</v>
      </c>
      <c r="K3826" s="668">
        <f>F3826*I3826</f>
        <v>1899</v>
      </c>
      <c r="L3826" s="668"/>
      <c r="M3826" s="668"/>
    </row>
    <row r="3827" spans="5:13">
      <c r="F3827" s="668">
        <v>4</v>
      </c>
      <c r="G3827" s="668" t="s">
        <v>5</v>
      </c>
      <c r="H3827" s="668" t="s">
        <v>2410</v>
      </c>
      <c r="I3827" s="668">
        <f>I2869</f>
        <v>497</v>
      </c>
      <c r="J3827" s="668" t="s">
        <v>5</v>
      </c>
      <c r="K3827" s="668">
        <f>F3827*I3827</f>
        <v>1988</v>
      </c>
      <c r="L3827" s="668"/>
      <c r="M3827" s="668"/>
    </row>
    <row r="3828" spans="5:13">
      <c r="F3828" s="668"/>
      <c r="G3828" s="668"/>
      <c r="H3828" s="668"/>
      <c r="I3828" s="668"/>
      <c r="J3828" s="668"/>
      <c r="K3828" s="668"/>
      <c r="L3828" s="668"/>
      <c r="M3828" s="668"/>
    </row>
    <row r="3829" spans="5:13" ht="51">
      <c r="E3829" s="668"/>
      <c r="F3829" s="668"/>
      <c r="G3829" s="511"/>
      <c r="H3829" s="678" t="s">
        <v>4661</v>
      </c>
      <c r="J3829" s="511"/>
      <c r="K3829" s="679">
        <f>SUM(K3824:K3827)</f>
        <v>5889</v>
      </c>
      <c r="L3829" s="679"/>
      <c r="M3829" s="668"/>
    </row>
    <row r="3830" spans="5:13">
      <c r="E3830" s="668"/>
      <c r="F3830" s="668"/>
      <c r="G3830" s="511"/>
      <c r="J3830" s="511"/>
      <c r="M3830" s="668"/>
    </row>
    <row r="3831" spans="5:13">
      <c r="E3831" s="668"/>
      <c r="F3831" s="668"/>
      <c r="G3831" s="511"/>
      <c r="J3831" s="680"/>
      <c r="K3831" s="681">
        <f>K3829*2/3</f>
        <v>3926</v>
      </c>
      <c r="L3831" s="681"/>
      <c r="M3831" s="668"/>
    </row>
    <row r="3832" spans="5:13">
      <c r="E3832" s="668"/>
      <c r="F3832" s="668"/>
      <c r="G3832" s="668"/>
      <c r="H3832" s="668"/>
      <c r="I3832" s="668"/>
      <c r="J3832" s="668"/>
      <c r="K3832" s="668"/>
      <c r="L3832" s="668"/>
      <c r="M3832" s="668"/>
    </row>
    <row r="3833" spans="5:13">
      <c r="E3833" s="668"/>
      <c r="F3833" s="668"/>
      <c r="G3833" s="668"/>
      <c r="H3833" s="562" t="s">
        <v>5018</v>
      </c>
      <c r="I3833" s="668"/>
      <c r="J3833" s="668"/>
      <c r="K3833" s="668"/>
      <c r="L3833" s="668"/>
      <c r="M3833" s="668"/>
    </row>
    <row r="3834" spans="5:13">
      <c r="E3834" s="668"/>
      <c r="F3834" s="668"/>
      <c r="G3834" s="668"/>
      <c r="H3834" s="668"/>
      <c r="I3834" s="668"/>
      <c r="J3834" s="668"/>
      <c r="K3834" s="668"/>
      <c r="L3834" s="668"/>
      <c r="M3834" s="668"/>
    </row>
    <row r="3835" spans="5:13" ht="173.25">
      <c r="E3835" s="668"/>
      <c r="F3835" s="668"/>
      <c r="G3835" s="668"/>
      <c r="H3835" s="667" t="s">
        <v>5019</v>
      </c>
      <c r="I3835" s="668"/>
      <c r="J3835" s="668"/>
      <c r="K3835" s="668"/>
      <c r="L3835" s="668"/>
      <c r="M3835" s="668"/>
    </row>
    <row r="3836" spans="5:13">
      <c r="E3836" s="668"/>
      <c r="F3836" s="668"/>
      <c r="G3836" s="668"/>
      <c r="H3836" s="668" t="s">
        <v>4666</v>
      </c>
      <c r="I3836" s="668"/>
      <c r="J3836" s="668"/>
      <c r="K3836" s="668">
        <f>K3814-K3813</f>
        <v>7508.2616666666672</v>
      </c>
      <c r="L3836" s="668"/>
      <c r="M3836" s="668"/>
    </row>
    <row r="3837" spans="5:13">
      <c r="E3837" s="668"/>
      <c r="F3837" s="668"/>
      <c r="G3837" s="668"/>
      <c r="H3837" s="668" t="s">
        <v>4667</v>
      </c>
      <c r="I3837" s="668"/>
      <c r="J3837" s="668"/>
      <c r="K3837" s="668">
        <f>K3803</f>
        <v>136</v>
      </c>
      <c r="L3837" s="668"/>
      <c r="M3837" s="668"/>
    </row>
    <row r="3838" spans="5:13">
      <c r="E3838" s="668"/>
      <c r="F3838" s="668"/>
      <c r="G3838" s="668"/>
      <c r="H3838" s="668" t="s">
        <v>4668</v>
      </c>
      <c r="I3838" s="668"/>
      <c r="J3838" s="668"/>
      <c r="K3838" s="670">
        <f>10*20.2</f>
        <v>202</v>
      </c>
      <c r="L3838" s="668"/>
      <c r="M3838" s="668"/>
    </row>
    <row r="3839" spans="5:13">
      <c r="E3839" s="668"/>
      <c r="F3839" s="668"/>
      <c r="G3839" s="668"/>
      <c r="H3839" s="668" t="s">
        <v>2390</v>
      </c>
      <c r="I3839" s="668"/>
      <c r="J3839" s="668"/>
      <c r="K3839" s="668">
        <v>22.11</v>
      </c>
      <c r="L3839" s="668"/>
      <c r="M3839" s="668"/>
    </row>
    <row r="3840" spans="5:13">
      <c r="E3840" s="668"/>
      <c r="F3840" s="668"/>
      <c r="G3840" s="668"/>
      <c r="H3840" s="674" t="s">
        <v>4670</v>
      </c>
      <c r="I3840" s="668"/>
      <c r="J3840" s="668"/>
      <c r="K3840" s="675">
        <f>K3836-K3837+K3838+K3839</f>
        <v>7596.3716666666669</v>
      </c>
      <c r="L3840" s="668"/>
      <c r="M3840" s="668"/>
    </row>
    <row r="3841" spans="5:14">
      <c r="E3841" s="668"/>
      <c r="F3841" s="668"/>
      <c r="G3841" s="668"/>
      <c r="H3841" s="676" t="s">
        <v>4671</v>
      </c>
      <c r="I3841" s="668"/>
      <c r="J3841" s="668"/>
      <c r="K3841" s="460">
        <f>K3840/10</f>
        <v>759.63716666666664</v>
      </c>
      <c r="L3841" s="668"/>
      <c r="M3841" s="668"/>
    </row>
    <row r="3842" spans="5:14">
      <c r="E3842" s="668"/>
      <c r="F3842" s="668"/>
      <c r="G3842" s="668"/>
      <c r="H3842" s="668"/>
      <c r="I3842" s="668"/>
      <c r="J3842" s="668"/>
      <c r="K3842" s="668"/>
      <c r="L3842" s="668"/>
      <c r="M3842" s="668"/>
    </row>
    <row r="3843" spans="5:14">
      <c r="E3843" s="668"/>
      <c r="F3843" s="668"/>
      <c r="G3843" s="668"/>
      <c r="H3843" s="668"/>
      <c r="I3843" s="668"/>
      <c r="J3843" s="668"/>
      <c r="K3843" s="668"/>
      <c r="L3843" s="668"/>
      <c r="M3843" s="668"/>
    </row>
    <row r="3844" spans="5:14">
      <c r="E3844" s="668"/>
      <c r="F3844" s="668"/>
      <c r="G3844" s="668"/>
      <c r="H3844" s="668"/>
      <c r="I3844" s="668"/>
      <c r="J3844" s="668"/>
      <c r="K3844" s="668"/>
      <c r="L3844" s="668"/>
      <c r="M3844" s="668"/>
    </row>
    <row r="3845" spans="5:14" ht="47.25">
      <c r="E3845" s="668"/>
      <c r="F3845" s="668"/>
      <c r="G3845" s="668"/>
      <c r="H3845" s="665" t="s">
        <v>5020</v>
      </c>
      <c r="I3845" s="668"/>
      <c r="J3845" s="668"/>
      <c r="K3845" s="668"/>
      <c r="L3845" s="668"/>
      <c r="M3845" s="668"/>
    </row>
    <row r="3846" spans="5:14">
      <c r="E3846" s="668"/>
      <c r="F3846" s="668"/>
      <c r="G3846" s="668"/>
      <c r="H3846" s="668"/>
      <c r="I3846" s="668"/>
      <c r="J3846" s="668"/>
      <c r="K3846" s="668"/>
      <c r="L3846" s="668"/>
      <c r="M3846" s="668"/>
    </row>
    <row r="3847" spans="5:14" ht="173.25">
      <c r="E3847" s="668"/>
      <c r="F3847" s="668"/>
      <c r="G3847" s="668"/>
      <c r="H3847" s="667" t="s">
        <v>5021</v>
      </c>
      <c r="I3847" s="668"/>
      <c r="J3847" s="668"/>
      <c r="K3847" s="668"/>
      <c r="L3847" s="668"/>
      <c r="M3847" s="668"/>
    </row>
    <row r="3848" spans="5:14">
      <c r="E3848" s="668"/>
      <c r="F3848" s="668"/>
      <c r="G3848" s="668"/>
      <c r="H3848" s="668" t="s">
        <v>4676</v>
      </c>
      <c r="I3848" s="668"/>
      <c r="J3848" s="668"/>
      <c r="K3848" s="668">
        <f>K3836</f>
        <v>7508.2616666666672</v>
      </c>
      <c r="L3848" s="668"/>
      <c r="M3848" s="668"/>
    </row>
    <row r="3849" spans="5:14">
      <c r="E3849" s="668"/>
      <c r="F3849" s="668"/>
      <c r="G3849" s="668"/>
      <c r="H3849" s="668" t="s">
        <v>4677</v>
      </c>
      <c r="I3849" s="668"/>
      <c r="J3849" s="668"/>
      <c r="K3849" s="668">
        <f>K3837</f>
        <v>136</v>
      </c>
      <c r="L3849" s="668"/>
      <c r="M3849" s="668"/>
    </row>
    <row r="3850" spans="5:14">
      <c r="E3850" s="668"/>
      <c r="F3850" s="668"/>
      <c r="G3850" s="668"/>
      <c r="H3850" s="668" t="s">
        <v>4678</v>
      </c>
      <c r="I3850" s="668"/>
      <c r="J3850" s="668"/>
      <c r="K3850" s="668">
        <f>K2892</f>
        <v>368</v>
      </c>
      <c r="L3850" s="668"/>
      <c r="M3850" s="668"/>
    </row>
    <row r="3851" spans="5:14">
      <c r="E3851" s="668"/>
      <c r="F3851" s="668"/>
      <c r="G3851" s="668"/>
      <c r="H3851" s="668" t="s">
        <v>4679</v>
      </c>
      <c r="I3851" s="668"/>
      <c r="J3851" s="668"/>
      <c r="K3851" s="668">
        <f>K2893</f>
        <v>158.9</v>
      </c>
      <c r="L3851" s="668"/>
      <c r="M3851" s="668"/>
    </row>
    <row r="3852" spans="5:14">
      <c r="E3852" s="668"/>
      <c r="F3852" s="668"/>
      <c r="G3852" s="668"/>
      <c r="H3852" s="668" t="s">
        <v>4680</v>
      </c>
      <c r="I3852" s="668"/>
      <c r="J3852" s="668"/>
      <c r="K3852" s="670">
        <f>50.4*10</f>
        <v>504</v>
      </c>
      <c r="L3852" s="668"/>
      <c r="M3852" s="668"/>
      <c r="N3852" s="511">
        <f>50.4*10</f>
        <v>504</v>
      </c>
    </row>
    <row r="3853" spans="5:14">
      <c r="E3853" s="668"/>
      <c r="F3853" s="668"/>
      <c r="G3853" s="668"/>
      <c r="H3853" s="668" t="s">
        <v>5022</v>
      </c>
      <c r="I3853" s="668"/>
      <c r="J3853" s="668"/>
      <c r="K3853" s="670">
        <f>10*17.25</f>
        <v>172.5</v>
      </c>
      <c r="L3853" s="668"/>
      <c r="M3853" s="668"/>
    </row>
    <row r="3854" spans="5:14">
      <c r="E3854" s="668"/>
      <c r="F3854" s="668"/>
      <c r="G3854" s="668"/>
      <c r="H3854" s="668" t="s">
        <v>4682</v>
      </c>
      <c r="I3854" s="668"/>
      <c r="J3854" s="668"/>
      <c r="K3854" s="670">
        <f>20.1*10</f>
        <v>201</v>
      </c>
      <c r="L3854" s="668"/>
      <c r="M3854" s="668"/>
    </row>
    <row r="3855" spans="5:14">
      <c r="E3855" s="668"/>
      <c r="F3855" s="668"/>
      <c r="G3855" s="668"/>
      <c r="H3855" s="668" t="s">
        <v>2390</v>
      </c>
      <c r="I3855" s="668"/>
      <c r="J3855" s="668"/>
      <c r="K3855" s="668">
        <v>16.41</v>
      </c>
      <c r="L3855" s="668"/>
      <c r="M3855" s="668"/>
    </row>
    <row r="3856" spans="5:14">
      <c r="E3856" s="668"/>
      <c r="F3856" s="668"/>
      <c r="G3856" s="668"/>
      <c r="H3856" s="674" t="s">
        <v>4670</v>
      </c>
      <c r="I3856" s="668"/>
      <c r="J3856" s="668"/>
      <c r="K3856" s="675">
        <f>(K3848-K3849-K3850-K3851)+(K3852+K3853+K3854+K3855)</f>
        <v>7739.2716666666674</v>
      </c>
      <c r="L3856" s="668"/>
      <c r="M3856" s="668"/>
      <c r="N3856" s="511">
        <f>17.25*10</f>
        <v>172.5</v>
      </c>
    </row>
    <row r="3857" spans="5:13">
      <c r="E3857" s="668"/>
      <c r="F3857" s="668"/>
      <c r="G3857" s="668"/>
      <c r="H3857" s="676" t="s">
        <v>2378</v>
      </c>
      <c r="I3857" s="668"/>
      <c r="J3857" s="668"/>
      <c r="K3857" s="460">
        <f>K3856/10</f>
        <v>773.92716666666672</v>
      </c>
      <c r="L3857" s="668"/>
      <c r="M3857" s="668"/>
    </row>
    <row r="3858" spans="5:13">
      <c r="E3858" s="668"/>
      <c r="F3858" s="668"/>
      <c r="G3858" s="668"/>
      <c r="H3858" s="668"/>
      <c r="I3858" s="668"/>
      <c r="J3858" s="668"/>
      <c r="K3858" s="668"/>
      <c r="L3858" s="668"/>
      <c r="M3858" s="668"/>
    </row>
    <row r="3859" spans="5:13">
      <c r="E3859" s="668"/>
      <c r="F3859" s="668"/>
      <c r="G3859" s="668"/>
      <c r="H3859" s="668"/>
      <c r="I3859" s="668"/>
      <c r="J3859" s="668"/>
      <c r="K3859" s="668"/>
      <c r="L3859" s="668"/>
      <c r="M3859" s="668"/>
    </row>
    <row r="3860" spans="5:13">
      <c r="E3860" s="668"/>
      <c r="F3860" s="668"/>
      <c r="G3860" s="668"/>
      <c r="H3860" s="668"/>
      <c r="I3860" s="668"/>
      <c r="J3860" s="668"/>
      <c r="K3860" s="668"/>
      <c r="L3860" s="668"/>
      <c r="M3860" s="668"/>
    </row>
    <row r="3861" spans="5:13">
      <c r="E3861" s="668"/>
      <c r="F3861" s="668"/>
      <c r="G3861" s="668"/>
      <c r="H3861" s="668"/>
      <c r="I3861" s="668"/>
      <c r="J3861" s="668"/>
      <c r="K3861" s="668"/>
      <c r="L3861" s="668"/>
      <c r="M3861" s="668"/>
    </row>
    <row r="3862" spans="5:13">
      <c r="E3862" s="668"/>
      <c r="F3862" s="668"/>
      <c r="G3862" s="668"/>
      <c r="H3862" s="668"/>
      <c r="I3862" s="668"/>
      <c r="J3862" s="668"/>
      <c r="K3862" s="668"/>
      <c r="L3862" s="668"/>
      <c r="M3862" s="668"/>
    </row>
    <row r="3863" spans="5:13" ht="31.5">
      <c r="E3863" s="668"/>
      <c r="F3863" s="668"/>
      <c r="G3863" s="668"/>
      <c r="H3863" s="665" t="s">
        <v>1519</v>
      </c>
      <c r="I3863" s="668"/>
      <c r="J3863" s="668"/>
      <c r="K3863" s="668"/>
      <c r="L3863" s="668"/>
      <c r="M3863" s="668"/>
    </row>
    <row r="3864" spans="5:13">
      <c r="E3864" s="668"/>
      <c r="F3864" s="668"/>
      <c r="G3864" s="668"/>
      <c r="I3864" s="668"/>
      <c r="J3864" s="668"/>
      <c r="K3864" s="668"/>
      <c r="L3864" s="668"/>
      <c r="M3864" s="668"/>
    </row>
    <row r="3865" spans="5:13">
      <c r="E3865" s="668"/>
      <c r="F3865" s="668"/>
      <c r="G3865" s="668"/>
      <c r="I3865" s="668"/>
      <c r="J3865" s="668"/>
      <c r="K3865" s="668"/>
      <c r="L3865" s="668"/>
      <c r="M3865" s="668"/>
    </row>
    <row r="3866" spans="5:13">
      <c r="E3866" s="668"/>
      <c r="F3866" s="668"/>
      <c r="G3866" s="668"/>
      <c r="I3866" s="668"/>
      <c r="J3866" s="668"/>
      <c r="K3866" s="668"/>
      <c r="L3866" s="668"/>
      <c r="M3866" s="668"/>
    </row>
    <row r="3867" spans="5:13">
      <c r="E3867" s="668"/>
      <c r="F3867" s="668"/>
      <c r="G3867" s="668"/>
      <c r="I3867" s="668"/>
      <c r="J3867" s="668"/>
      <c r="K3867" s="668"/>
      <c r="L3867" s="668"/>
      <c r="M3867" s="668"/>
    </row>
    <row r="3868" spans="5:13" ht="156.75">
      <c r="E3868" s="668"/>
      <c r="F3868" s="668"/>
      <c r="G3868" s="668"/>
      <c r="H3868" s="667" t="s">
        <v>4625</v>
      </c>
      <c r="I3868" s="668"/>
      <c r="J3868" s="668"/>
      <c r="K3868" s="668"/>
      <c r="L3868" s="668"/>
      <c r="M3868" s="668"/>
    </row>
    <row r="3869" spans="5:13">
      <c r="E3869" s="668"/>
      <c r="F3869" s="668"/>
      <c r="G3869" s="668"/>
      <c r="H3869" s="668"/>
      <c r="I3869" s="668"/>
      <c r="J3869" s="668"/>
      <c r="K3869" s="668"/>
      <c r="L3869" s="668"/>
      <c r="M3869" s="668"/>
    </row>
    <row r="3870" spans="5:13">
      <c r="E3870" s="668"/>
      <c r="F3870" s="668"/>
      <c r="G3870" s="668"/>
      <c r="H3870" s="668"/>
      <c r="I3870" s="668"/>
      <c r="J3870" s="668"/>
      <c r="K3870" s="668"/>
      <c r="L3870" s="668"/>
      <c r="M3870" s="668"/>
    </row>
    <row r="3871" spans="5:13">
      <c r="E3871" s="668"/>
      <c r="F3871" s="668"/>
      <c r="G3871" s="668"/>
      <c r="H3871" s="668"/>
      <c r="I3871" s="668"/>
      <c r="J3871" s="668"/>
      <c r="K3871" s="668"/>
      <c r="L3871" s="668"/>
      <c r="M3871" s="668"/>
    </row>
    <row r="3872" spans="5:13">
      <c r="E3872" s="668"/>
      <c r="F3872" s="668"/>
      <c r="G3872" s="668"/>
      <c r="H3872" s="668" t="s">
        <v>4666</v>
      </c>
      <c r="I3872" s="668"/>
      <c r="J3872" s="668"/>
      <c r="K3872" s="668">
        <f>K3814</f>
        <v>7530.3316666666669</v>
      </c>
      <c r="L3872" s="668"/>
      <c r="M3872" s="668"/>
    </row>
    <row r="3873" spans="5:13">
      <c r="E3873" s="668"/>
      <c r="F3873" s="668"/>
      <c r="G3873" s="668"/>
      <c r="H3873" s="668" t="s">
        <v>5023</v>
      </c>
      <c r="I3873" s="668"/>
      <c r="J3873" s="668"/>
      <c r="K3873" s="668">
        <f>K3807</f>
        <v>167</v>
      </c>
      <c r="L3873" s="668"/>
      <c r="M3873" s="668"/>
    </row>
    <row r="3874" spans="5:13">
      <c r="E3874" s="668"/>
      <c r="F3874" s="668"/>
      <c r="G3874" s="668"/>
      <c r="H3874" s="668" t="s">
        <v>5024</v>
      </c>
      <c r="I3874" s="668"/>
      <c r="J3874" s="668"/>
      <c r="K3874" s="668">
        <f>K3809</f>
        <v>56.300000000000004</v>
      </c>
      <c r="L3874" s="668"/>
      <c r="M3874" s="668"/>
    </row>
    <row r="3875" spans="5:13">
      <c r="E3875" s="668"/>
      <c r="F3875" s="668"/>
      <c r="G3875" s="668"/>
      <c r="H3875" s="668" t="s">
        <v>5025</v>
      </c>
      <c r="I3875" s="668"/>
      <c r="J3875" s="668"/>
      <c r="K3875" s="670">
        <f>84.2*10</f>
        <v>842</v>
      </c>
      <c r="L3875" s="668"/>
      <c r="M3875" s="668"/>
    </row>
    <row r="3876" spans="5:13">
      <c r="E3876" s="668"/>
      <c r="F3876" s="668"/>
      <c r="G3876" s="668"/>
      <c r="H3876" s="668" t="s">
        <v>5026</v>
      </c>
      <c r="I3876" s="668"/>
      <c r="J3876" s="668"/>
      <c r="K3876" s="670">
        <f>0.6*685</f>
        <v>411</v>
      </c>
      <c r="L3876" s="668"/>
      <c r="M3876" s="668"/>
    </row>
    <row r="3877" spans="5:13">
      <c r="E3877" s="668"/>
      <c r="F3877" s="668"/>
      <c r="G3877" s="668"/>
      <c r="H3877" s="668" t="s">
        <v>5027</v>
      </c>
      <c r="I3877" s="668"/>
      <c r="J3877" s="668"/>
      <c r="K3877" s="668">
        <v>12.5</v>
      </c>
      <c r="L3877" s="668"/>
      <c r="M3877" s="668"/>
    </row>
    <row r="3878" spans="5:13">
      <c r="E3878" s="668"/>
      <c r="F3878" s="668"/>
      <c r="G3878" s="668"/>
      <c r="H3878" s="674" t="s">
        <v>4670</v>
      </c>
      <c r="I3878" s="668"/>
      <c r="J3878" s="668"/>
      <c r="K3878" s="675">
        <f>K3872-K3873-K3874+K3875+K3876+K3877</f>
        <v>8572.5316666666658</v>
      </c>
      <c r="L3878" s="668"/>
      <c r="M3878" s="668"/>
    </row>
    <row r="3879" spans="5:13">
      <c r="E3879" s="668"/>
      <c r="F3879" s="668"/>
      <c r="G3879" s="668"/>
      <c r="H3879" s="676" t="s">
        <v>4671</v>
      </c>
      <c r="I3879" s="668"/>
      <c r="J3879" s="668"/>
      <c r="K3879" s="460">
        <f>K3878/10</f>
        <v>857.25316666666663</v>
      </c>
      <c r="L3879" s="668"/>
      <c r="M3879" s="668"/>
    </row>
    <row r="3880" spans="5:13">
      <c r="E3880" s="668"/>
      <c r="F3880" s="668"/>
      <c r="G3880" s="668"/>
      <c r="H3880" s="668"/>
      <c r="I3880" s="668"/>
      <c r="J3880" s="668"/>
      <c r="K3880" s="668"/>
      <c r="L3880" s="668"/>
      <c r="M3880" s="668"/>
    </row>
    <row r="3881" spans="5:13">
      <c r="E3881" s="668"/>
      <c r="F3881" s="668"/>
      <c r="G3881" s="668"/>
      <c r="H3881" s="668"/>
      <c r="I3881" s="668"/>
      <c r="J3881" s="668"/>
      <c r="K3881" s="668"/>
      <c r="L3881" s="668"/>
      <c r="M3881" s="668"/>
    </row>
    <row r="3882" spans="5:13">
      <c r="E3882" s="668"/>
      <c r="F3882" s="668"/>
      <c r="G3882" s="668"/>
      <c r="H3882" s="668"/>
      <c r="I3882" s="668"/>
      <c r="J3882" s="668"/>
      <c r="K3882" s="668"/>
      <c r="L3882" s="668"/>
      <c r="M3882" s="668"/>
    </row>
    <row r="3883" spans="5:13" ht="47.25">
      <c r="E3883" s="668"/>
      <c r="F3883" s="668"/>
      <c r="G3883" s="668"/>
      <c r="H3883" s="665" t="s">
        <v>5028</v>
      </c>
      <c r="I3883" s="668"/>
      <c r="J3883" s="668"/>
      <c r="K3883" s="668"/>
      <c r="L3883" s="668"/>
      <c r="M3883" s="668"/>
    </row>
    <row r="3884" spans="5:13" ht="189" customHeight="1">
      <c r="E3884" s="668"/>
      <c r="F3884" s="668"/>
      <c r="G3884" s="668"/>
      <c r="H3884" s="667" t="s">
        <v>5029</v>
      </c>
      <c r="I3884" s="668"/>
      <c r="J3884" s="668"/>
      <c r="K3884" s="668"/>
      <c r="L3884" s="668"/>
      <c r="M3884" s="668"/>
    </row>
    <row r="3885" spans="5:13" ht="31.5">
      <c r="E3885" s="668"/>
      <c r="F3885" s="668">
        <v>90</v>
      </c>
      <c r="G3885" s="668" t="s">
        <v>12</v>
      </c>
      <c r="H3885" s="571" t="s">
        <v>2383</v>
      </c>
      <c r="I3885" s="668">
        <f>I3049</f>
        <v>13.5</v>
      </c>
      <c r="J3885" s="668" t="s">
        <v>2388</v>
      </c>
      <c r="K3885" s="668">
        <f t="shared" ref="K3885:K3895" si="101">F3885*I3885</f>
        <v>1215</v>
      </c>
      <c r="L3885" s="668"/>
      <c r="M3885" s="668"/>
    </row>
    <row r="3886" spans="5:13" ht="31.5">
      <c r="E3886" s="668"/>
      <c r="F3886" s="668">
        <v>30</v>
      </c>
      <c r="G3886" s="668" t="s">
        <v>12</v>
      </c>
      <c r="H3886" s="667" t="s">
        <v>2384</v>
      </c>
      <c r="I3886" s="668">
        <f>I3050</f>
        <v>17.100000000000001</v>
      </c>
      <c r="J3886" s="668" t="s">
        <v>12</v>
      </c>
      <c r="K3886" s="668">
        <f t="shared" si="101"/>
        <v>513</v>
      </c>
      <c r="L3886" s="668"/>
      <c r="M3886" s="668"/>
    </row>
    <row r="3887" spans="5:13">
      <c r="E3887" s="668"/>
      <c r="F3887" s="668">
        <v>10</v>
      </c>
      <c r="G3887" s="668" t="s">
        <v>5</v>
      </c>
      <c r="H3887" s="668" t="s">
        <v>4635</v>
      </c>
      <c r="I3887" s="668">
        <f>I3051</f>
        <v>2.7</v>
      </c>
      <c r="J3887" s="668" t="s">
        <v>5</v>
      </c>
      <c r="K3887" s="668">
        <f t="shared" si="101"/>
        <v>27</v>
      </c>
      <c r="L3887" s="668"/>
      <c r="M3887" s="668"/>
    </row>
    <row r="3888" spans="5:13">
      <c r="E3888" s="668"/>
      <c r="F3888" s="668">
        <v>5</v>
      </c>
      <c r="G3888" s="668" t="s">
        <v>5</v>
      </c>
      <c r="H3888" s="668" t="s">
        <v>4637</v>
      </c>
      <c r="I3888" s="668">
        <f>I3052</f>
        <v>1.1399999999999999</v>
      </c>
      <c r="J3888" s="668" t="s">
        <v>5</v>
      </c>
      <c r="K3888" s="668">
        <f t="shared" si="101"/>
        <v>5.6999999999999993</v>
      </c>
      <c r="L3888" s="668"/>
      <c r="M3888" s="668"/>
    </row>
    <row r="3889" spans="5:13">
      <c r="E3889" s="668"/>
      <c r="F3889" s="668">
        <v>10</v>
      </c>
      <c r="G3889" s="668" t="s">
        <v>5</v>
      </c>
      <c r="H3889" s="668" t="s">
        <v>4732</v>
      </c>
      <c r="I3889" s="668">
        <f>I3053</f>
        <v>19.75</v>
      </c>
      <c r="J3889" s="668" t="s">
        <v>5</v>
      </c>
      <c r="K3889" s="668">
        <f t="shared" si="101"/>
        <v>197.5</v>
      </c>
      <c r="L3889" s="668"/>
      <c r="M3889" s="668"/>
    </row>
    <row r="3890" spans="5:13">
      <c r="E3890" s="668"/>
      <c r="F3890" s="668">
        <v>5</v>
      </c>
      <c r="G3890" s="668" t="s">
        <v>5</v>
      </c>
      <c r="H3890" s="668" t="s">
        <v>5030</v>
      </c>
      <c r="I3890" s="668">
        <v>2.5</v>
      </c>
      <c r="J3890" s="668" t="s">
        <v>556</v>
      </c>
      <c r="K3890" s="668">
        <f t="shared" si="101"/>
        <v>12.5</v>
      </c>
      <c r="L3890" s="668"/>
      <c r="M3890" s="668"/>
    </row>
    <row r="3891" spans="5:13">
      <c r="E3891" s="668"/>
      <c r="F3891" s="668">
        <v>5</v>
      </c>
      <c r="G3891" s="668" t="s">
        <v>5</v>
      </c>
      <c r="H3891" s="668" t="s">
        <v>4642</v>
      </c>
      <c r="I3891" s="668">
        <f>I3054</f>
        <v>13.6</v>
      </c>
      <c r="J3891" s="668" t="s">
        <v>5</v>
      </c>
      <c r="K3891" s="668">
        <f t="shared" si="101"/>
        <v>68</v>
      </c>
      <c r="L3891" s="668"/>
      <c r="M3891" s="668"/>
    </row>
    <row r="3892" spans="5:13">
      <c r="E3892" s="668"/>
      <c r="F3892" s="672">
        <v>0.09</v>
      </c>
      <c r="G3892" s="668" t="s">
        <v>26</v>
      </c>
      <c r="H3892" s="668" t="s">
        <v>4700</v>
      </c>
      <c r="I3892" s="668">
        <f>I3057</f>
        <v>563</v>
      </c>
      <c r="J3892" s="668" t="s">
        <v>26</v>
      </c>
      <c r="K3892" s="668">
        <f t="shared" si="101"/>
        <v>50.669999999999995</v>
      </c>
      <c r="L3892" s="668"/>
      <c r="M3892" s="668"/>
    </row>
    <row r="3893" spans="5:13">
      <c r="E3893" s="668"/>
      <c r="F3893" s="668">
        <v>1</v>
      </c>
      <c r="G3893" s="668" t="s">
        <v>2385</v>
      </c>
      <c r="H3893" s="668" t="s">
        <v>2386</v>
      </c>
      <c r="I3893" s="670">
        <f>6850/20</f>
        <v>342.5</v>
      </c>
      <c r="J3893" s="668" t="s">
        <v>2385</v>
      </c>
      <c r="K3893" s="668">
        <f t="shared" si="101"/>
        <v>342.5</v>
      </c>
      <c r="L3893" s="668"/>
      <c r="M3893" s="668">
        <f>1000/50</f>
        <v>20</v>
      </c>
    </row>
    <row r="3894" spans="5:13">
      <c r="E3894" s="668"/>
      <c r="F3894" s="668">
        <v>6</v>
      </c>
      <c r="G3894" s="668" t="s">
        <v>5</v>
      </c>
      <c r="H3894" s="668" t="s">
        <v>5031</v>
      </c>
      <c r="I3894" s="670">
        <v>20.100000000000001</v>
      </c>
      <c r="J3894" s="668" t="s">
        <v>556</v>
      </c>
      <c r="K3894" s="668">
        <f t="shared" si="101"/>
        <v>120.60000000000001</v>
      </c>
      <c r="L3894" s="668"/>
      <c r="M3894" s="668"/>
    </row>
    <row r="3895" spans="5:13" ht="31.5">
      <c r="E3895" s="668"/>
      <c r="F3895" s="668">
        <v>30</v>
      </c>
      <c r="G3895" s="668" t="s">
        <v>12</v>
      </c>
      <c r="H3895" s="571" t="s">
        <v>2387</v>
      </c>
      <c r="I3895" s="668">
        <f>I3885</f>
        <v>13.5</v>
      </c>
      <c r="J3895" s="668" t="s">
        <v>2388</v>
      </c>
      <c r="K3895" s="668">
        <f t="shared" si="101"/>
        <v>405</v>
      </c>
      <c r="L3895" s="668"/>
      <c r="M3895" s="668"/>
    </row>
    <row r="3896" spans="5:13">
      <c r="E3896" s="668"/>
      <c r="F3896" s="668"/>
      <c r="G3896" s="668"/>
      <c r="H3896" s="668" t="s">
        <v>2389</v>
      </c>
      <c r="I3896" s="668"/>
      <c r="J3896" s="668"/>
      <c r="K3896" s="668">
        <f>K3829</f>
        <v>5889</v>
      </c>
      <c r="L3896" s="668"/>
      <c r="M3896" s="668"/>
    </row>
    <row r="3897" spans="5:13">
      <c r="E3897" s="668"/>
      <c r="F3897" s="668"/>
      <c r="G3897" s="668"/>
      <c r="H3897" s="668" t="s">
        <v>2390</v>
      </c>
      <c r="I3897" s="668"/>
      <c r="J3897" s="668"/>
      <c r="K3897" s="668">
        <v>8.3000000000000007</v>
      </c>
      <c r="L3897" s="668"/>
      <c r="M3897" s="668"/>
    </row>
    <row r="3898" spans="5:13">
      <c r="E3898" s="668"/>
      <c r="F3898" s="668"/>
      <c r="G3898" s="668"/>
      <c r="H3898" s="674" t="s">
        <v>4696</v>
      </c>
      <c r="I3898" s="668"/>
      <c r="J3898" s="668"/>
      <c r="K3898" s="675">
        <f>SUM(K3885:K3897)</f>
        <v>8854.7699999999986</v>
      </c>
      <c r="L3898" s="668"/>
      <c r="M3898" s="668"/>
    </row>
    <row r="3899" spans="5:13">
      <c r="E3899" s="668"/>
      <c r="F3899" s="668"/>
      <c r="G3899" s="668"/>
      <c r="H3899" s="676" t="s">
        <v>2378</v>
      </c>
      <c r="I3899" s="668"/>
      <c r="J3899" s="668"/>
      <c r="K3899" s="460">
        <f>K3898/5</f>
        <v>1770.9539999999997</v>
      </c>
      <c r="L3899" s="668"/>
      <c r="M3899" s="668"/>
    </row>
    <row r="3900" spans="5:13">
      <c r="E3900" s="668"/>
      <c r="F3900" s="668"/>
      <c r="G3900" s="668"/>
      <c r="H3900" s="460"/>
      <c r="I3900" s="668"/>
      <c r="J3900" s="668"/>
      <c r="K3900" s="668"/>
      <c r="L3900" s="668"/>
      <c r="M3900" s="668"/>
    </row>
    <row r="3901" spans="5:13">
      <c r="E3901" s="668"/>
      <c r="F3901" s="668"/>
      <c r="G3901" s="668"/>
      <c r="H3901" s="460" t="s">
        <v>5032</v>
      </c>
      <c r="I3901" s="668"/>
      <c r="J3901" s="668"/>
      <c r="K3901" s="668"/>
      <c r="L3901" s="668"/>
      <c r="M3901" s="668"/>
    </row>
    <row r="3902" spans="5:13">
      <c r="E3902" s="668"/>
      <c r="F3902" s="668"/>
      <c r="G3902" s="668"/>
      <c r="H3902" s="668"/>
      <c r="I3902" s="668"/>
      <c r="J3902" s="668"/>
      <c r="K3902" s="668"/>
      <c r="L3902" s="668"/>
      <c r="M3902" s="668"/>
    </row>
    <row r="3903" spans="5:13" ht="157.5">
      <c r="E3903" s="668"/>
      <c r="F3903" s="668"/>
      <c r="G3903" s="668"/>
      <c r="H3903" s="667" t="s">
        <v>4699</v>
      </c>
      <c r="I3903" s="668"/>
      <c r="J3903" s="668"/>
      <c r="K3903" s="668"/>
      <c r="L3903" s="668"/>
      <c r="M3903" s="668"/>
    </row>
    <row r="3904" spans="5:13" ht="31.5">
      <c r="E3904" s="668"/>
      <c r="F3904" s="668">
        <v>90</v>
      </c>
      <c r="G3904" s="668" t="s">
        <v>12</v>
      </c>
      <c r="H3904" s="571" t="s">
        <v>2383</v>
      </c>
      <c r="I3904" s="668">
        <f t="shared" ref="I3904:I3914" si="102">I2951</f>
        <v>13.5</v>
      </c>
      <c r="J3904" s="668" t="s">
        <v>4646</v>
      </c>
      <c r="K3904" s="668">
        <f t="shared" ref="K3904:K3914" si="103">F3904*I3904</f>
        <v>1215</v>
      </c>
      <c r="L3904" s="668"/>
      <c r="M3904" s="668"/>
    </row>
    <row r="3905" spans="5:13" ht="31.5">
      <c r="E3905" s="668"/>
      <c r="F3905" s="668">
        <v>45</v>
      </c>
      <c r="G3905" s="668" t="s">
        <v>12</v>
      </c>
      <c r="H3905" s="667" t="s">
        <v>2384</v>
      </c>
      <c r="I3905" s="668">
        <f t="shared" si="102"/>
        <v>17.100000000000001</v>
      </c>
      <c r="J3905" s="668" t="s">
        <v>12</v>
      </c>
      <c r="K3905" s="668">
        <f t="shared" si="103"/>
        <v>769.50000000000011</v>
      </c>
      <c r="L3905" s="668"/>
      <c r="M3905" s="668"/>
    </row>
    <row r="3906" spans="5:13">
      <c r="E3906" s="668"/>
      <c r="F3906" s="668">
        <v>20</v>
      </c>
      <c r="G3906" s="668" t="s">
        <v>5</v>
      </c>
      <c r="H3906" s="668" t="s">
        <v>4635</v>
      </c>
      <c r="I3906" s="668">
        <f t="shared" si="102"/>
        <v>2.7</v>
      </c>
      <c r="J3906" s="668" t="s">
        <v>4633</v>
      </c>
      <c r="K3906" s="668">
        <f t="shared" si="103"/>
        <v>54</v>
      </c>
      <c r="L3906" s="668"/>
      <c r="M3906" s="668"/>
    </row>
    <row r="3907" spans="5:13">
      <c r="E3907" s="668"/>
      <c r="F3907" s="668">
        <v>10</v>
      </c>
      <c r="G3907" s="668" t="s">
        <v>5</v>
      </c>
      <c r="H3907" s="668" t="s">
        <v>4637</v>
      </c>
      <c r="I3907" s="668">
        <f t="shared" si="102"/>
        <v>1.1399999999999999</v>
      </c>
      <c r="J3907" s="668" t="s">
        <v>4633</v>
      </c>
      <c r="K3907" s="668">
        <f t="shared" si="103"/>
        <v>11.399999999999999</v>
      </c>
      <c r="L3907" s="668"/>
      <c r="M3907" s="668"/>
    </row>
    <row r="3908" spans="5:13">
      <c r="E3908" s="668"/>
      <c r="F3908" s="668">
        <v>1</v>
      </c>
      <c r="G3908" s="668" t="s">
        <v>5</v>
      </c>
      <c r="H3908" s="668" t="s">
        <v>5033</v>
      </c>
      <c r="I3908" s="670">
        <v>68.3</v>
      </c>
      <c r="J3908" s="668" t="s">
        <v>5</v>
      </c>
      <c r="K3908" s="668">
        <f t="shared" si="103"/>
        <v>68.3</v>
      </c>
      <c r="L3908" s="668"/>
      <c r="M3908" s="668"/>
    </row>
    <row r="3909" spans="5:13">
      <c r="E3909" s="668"/>
      <c r="F3909" s="672">
        <v>1.4999999999999999E-2</v>
      </c>
      <c r="G3909" s="668" t="s">
        <v>26</v>
      </c>
      <c r="H3909" s="668" t="s">
        <v>4700</v>
      </c>
      <c r="I3909" s="668">
        <f t="shared" si="102"/>
        <v>563</v>
      </c>
      <c r="J3909" s="668" t="s">
        <v>26</v>
      </c>
      <c r="K3909" s="668">
        <f t="shared" si="103"/>
        <v>8.4450000000000003</v>
      </c>
      <c r="L3909" s="668"/>
      <c r="M3909" s="668"/>
    </row>
    <row r="3910" spans="5:13">
      <c r="E3910" s="668"/>
      <c r="F3910" s="668">
        <v>15</v>
      </c>
      <c r="G3910" s="668" t="s">
        <v>5</v>
      </c>
      <c r="H3910" s="668" t="s">
        <v>5034</v>
      </c>
      <c r="I3910" s="668">
        <f t="shared" si="102"/>
        <v>39.590000000000003</v>
      </c>
      <c r="J3910" s="668" t="s">
        <v>5</v>
      </c>
      <c r="K3910" s="668">
        <f t="shared" si="103"/>
        <v>593.85</v>
      </c>
      <c r="L3910" s="668"/>
      <c r="M3910" s="668"/>
    </row>
    <row r="3911" spans="5:13">
      <c r="E3911" s="668"/>
      <c r="F3911" s="668">
        <v>15</v>
      </c>
      <c r="G3911" s="668" t="s">
        <v>5</v>
      </c>
      <c r="H3911" s="668" t="s">
        <v>5033</v>
      </c>
      <c r="I3911" s="668">
        <f>I3908</f>
        <v>68.3</v>
      </c>
      <c r="J3911" s="668" t="s">
        <v>5</v>
      </c>
      <c r="K3911" s="668">
        <f t="shared" si="103"/>
        <v>1024.5</v>
      </c>
      <c r="L3911" s="668"/>
      <c r="M3911" s="668"/>
    </row>
    <row r="3912" spans="5:13">
      <c r="E3912" s="668"/>
      <c r="F3912" s="672">
        <v>0.22500000000000001</v>
      </c>
      <c r="G3912" s="668" t="s">
        <v>26</v>
      </c>
      <c r="H3912" s="668" t="s">
        <v>4700</v>
      </c>
      <c r="I3912" s="668">
        <f t="shared" si="102"/>
        <v>563</v>
      </c>
      <c r="J3912" s="668" t="s">
        <v>4702</v>
      </c>
      <c r="K3912" s="668">
        <f t="shared" si="103"/>
        <v>126.675</v>
      </c>
      <c r="L3912" s="668"/>
      <c r="M3912" s="668"/>
    </row>
    <row r="3913" spans="5:13">
      <c r="E3913" s="668"/>
      <c r="F3913" s="668">
        <v>1.25</v>
      </c>
      <c r="G3913" s="668" t="s">
        <v>2385</v>
      </c>
      <c r="H3913" s="668" t="s">
        <v>2386</v>
      </c>
      <c r="I3913" s="668">
        <f t="shared" si="102"/>
        <v>290</v>
      </c>
      <c r="J3913" s="668" t="s">
        <v>2385</v>
      </c>
      <c r="K3913" s="668">
        <f t="shared" si="103"/>
        <v>362.5</v>
      </c>
      <c r="L3913" s="668"/>
      <c r="M3913" s="668"/>
    </row>
    <row r="3914" spans="5:13" ht="31.5">
      <c r="E3914" s="668"/>
      <c r="F3914" s="668">
        <v>45</v>
      </c>
      <c r="G3914" s="668" t="s">
        <v>26</v>
      </c>
      <c r="H3914" s="571" t="s">
        <v>2387</v>
      </c>
      <c r="I3914" s="668">
        <f t="shared" si="102"/>
        <v>13.5</v>
      </c>
      <c r="J3914" s="668" t="s">
        <v>4646</v>
      </c>
      <c r="K3914" s="668">
        <f t="shared" si="103"/>
        <v>607.5</v>
      </c>
      <c r="L3914" s="668"/>
      <c r="M3914" s="668"/>
    </row>
    <row r="3915" spans="5:13">
      <c r="E3915" s="668"/>
      <c r="F3915" s="668"/>
      <c r="G3915" s="668"/>
      <c r="H3915" s="668" t="s">
        <v>2389</v>
      </c>
      <c r="I3915" s="668"/>
      <c r="J3915" s="668"/>
      <c r="K3915" s="668">
        <f>K3831</f>
        <v>3926</v>
      </c>
      <c r="L3915" s="668"/>
      <c r="M3915" s="668"/>
    </row>
    <row r="3916" spans="5:13">
      <c r="E3916" s="668"/>
      <c r="F3916" s="668"/>
      <c r="G3916" s="668"/>
      <c r="H3916" s="668" t="s">
        <v>2390</v>
      </c>
      <c r="I3916" s="668"/>
      <c r="J3916" s="668"/>
      <c r="K3916" s="668">
        <v>28.51</v>
      </c>
      <c r="L3916" s="668"/>
      <c r="M3916" s="668"/>
    </row>
    <row r="3917" spans="5:13">
      <c r="E3917" s="668"/>
      <c r="F3917" s="668"/>
      <c r="G3917" s="668"/>
      <c r="H3917" s="674" t="s">
        <v>4703</v>
      </c>
      <c r="I3917" s="668"/>
      <c r="J3917" s="668"/>
      <c r="K3917" s="675">
        <f>SUM(K3904:K3916)</f>
        <v>8796.18</v>
      </c>
      <c r="L3917" s="668"/>
      <c r="M3917" s="668"/>
    </row>
    <row r="3918" spans="5:13">
      <c r="E3918" s="668"/>
      <c r="F3918" s="668"/>
      <c r="G3918" s="668"/>
      <c r="H3918" s="676" t="s">
        <v>2378</v>
      </c>
      <c r="I3918" s="668"/>
      <c r="J3918" s="668"/>
      <c r="K3918" s="460">
        <f>K3917/15</f>
        <v>586.41200000000003</v>
      </c>
      <c r="L3918" s="668"/>
      <c r="M3918" s="668"/>
    </row>
    <row r="3919" spans="5:13">
      <c r="E3919" s="668"/>
      <c r="F3919" s="668"/>
      <c r="G3919" s="668"/>
      <c r="H3919" s="460" t="s">
        <v>2389</v>
      </c>
      <c r="I3919" s="668"/>
      <c r="J3919" s="668"/>
      <c r="K3919" s="460"/>
      <c r="L3919" s="668"/>
      <c r="M3919" s="668"/>
    </row>
    <row r="3920" spans="5:13">
      <c r="E3920" s="668"/>
      <c r="F3920" s="668">
        <v>1</v>
      </c>
      <c r="G3920" s="668" t="s">
        <v>5</v>
      </c>
      <c r="H3920" s="668" t="s">
        <v>4655</v>
      </c>
      <c r="I3920" s="668">
        <f>I2866</f>
        <v>730</v>
      </c>
      <c r="J3920" s="668" t="s">
        <v>5</v>
      </c>
      <c r="K3920" s="668">
        <f>F3920*I3920</f>
        <v>730</v>
      </c>
      <c r="L3920" s="668"/>
      <c r="M3920" s="668"/>
    </row>
    <row r="3921" spans="5:13">
      <c r="E3921" s="668"/>
      <c r="F3921" s="668">
        <v>2</v>
      </c>
      <c r="G3921" s="668" t="s">
        <v>5</v>
      </c>
      <c r="H3921" s="668" t="s">
        <v>4656</v>
      </c>
      <c r="I3921" s="668">
        <f>I2867</f>
        <v>636</v>
      </c>
      <c r="J3921" s="668" t="s">
        <v>5</v>
      </c>
      <c r="K3921" s="668">
        <f>F3921*I3921</f>
        <v>1272</v>
      </c>
      <c r="L3921" s="668"/>
      <c r="M3921" s="668"/>
    </row>
    <row r="3922" spans="5:13">
      <c r="E3922" s="668"/>
      <c r="F3922" s="668">
        <v>3</v>
      </c>
      <c r="G3922" s="668" t="s">
        <v>5</v>
      </c>
      <c r="H3922" s="668" t="s">
        <v>4657</v>
      </c>
      <c r="I3922" s="668">
        <f>I2868</f>
        <v>633</v>
      </c>
      <c r="J3922" s="668" t="s">
        <v>5</v>
      </c>
      <c r="K3922" s="668">
        <f>F3922*I3922</f>
        <v>1899</v>
      </c>
      <c r="L3922" s="668"/>
      <c r="M3922" s="668"/>
    </row>
    <row r="3923" spans="5:13">
      <c r="E3923" s="668"/>
      <c r="F3923" s="668">
        <v>4</v>
      </c>
      <c r="G3923" s="668" t="s">
        <v>5</v>
      </c>
      <c r="H3923" s="668" t="s">
        <v>2410</v>
      </c>
      <c r="I3923" s="668">
        <f>I2869</f>
        <v>497</v>
      </c>
      <c r="J3923" s="668" t="s">
        <v>5</v>
      </c>
      <c r="K3923" s="668">
        <f>F3923*I3923</f>
        <v>1988</v>
      </c>
      <c r="L3923" s="668"/>
      <c r="M3923" s="668"/>
    </row>
    <row r="3924" spans="5:13">
      <c r="E3924" s="668"/>
      <c r="F3924" s="668"/>
      <c r="G3924" s="668"/>
      <c r="H3924" s="676"/>
      <c r="I3924" s="668"/>
      <c r="J3924" s="668"/>
      <c r="K3924" s="460">
        <f>SUM(K3920:K3923)</f>
        <v>5889</v>
      </c>
      <c r="L3924" s="668"/>
      <c r="M3924" s="668"/>
    </row>
    <row r="3925" spans="5:13">
      <c r="E3925" s="668"/>
      <c r="F3925" s="668"/>
      <c r="G3925" s="668"/>
      <c r="H3925" s="676"/>
      <c r="I3925" s="668"/>
      <c r="J3925" s="668"/>
      <c r="K3925" s="460"/>
      <c r="L3925" s="668"/>
      <c r="M3925" s="668"/>
    </row>
    <row r="3926" spans="5:13">
      <c r="E3926" s="668"/>
      <c r="F3926" s="668"/>
      <c r="G3926" s="668"/>
      <c r="H3926" s="676"/>
      <c r="I3926" s="668"/>
      <c r="J3926" s="668"/>
      <c r="K3926" s="460"/>
      <c r="L3926" s="668"/>
      <c r="M3926" s="668"/>
    </row>
    <row r="3927" spans="5:13">
      <c r="E3927" s="668"/>
      <c r="F3927" s="668"/>
      <c r="G3927" s="668"/>
      <c r="H3927" s="460" t="s">
        <v>2381</v>
      </c>
      <c r="I3927" s="668"/>
      <c r="J3927" s="668"/>
      <c r="K3927" s="668"/>
      <c r="L3927" s="668"/>
      <c r="M3927" s="668"/>
    </row>
    <row r="3928" spans="5:13">
      <c r="E3928" s="668"/>
      <c r="F3928" s="668"/>
      <c r="G3928" s="668"/>
      <c r="H3928" s="668"/>
      <c r="I3928" s="668"/>
      <c r="J3928" s="668"/>
      <c r="K3928" s="668"/>
      <c r="L3928" s="668"/>
      <c r="M3928" s="668"/>
    </row>
    <row r="3929" spans="5:13" ht="110.25">
      <c r="E3929" s="668"/>
      <c r="F3929" s="668"/>
      <c r="G3929" s="668"/>
      <c r="H3929" s="667" t="s">
        <v>5035</v>
      </c>
      <c r="I3929" s="668"/>
      <c r="J3929" s="668"/>
      <c r="K3929" s="668"/>
      <c r="L3929" s="668"/>
      <c r="M3929" s="668"/>
    </row>
    <row r="3930" spans="5:13">
      <c r="E3930" s="668"/>
      <c r="F3930" s="668"/>
      <c r="G3930" s="668"/>
      <c r="H3930" s="668"/>
      <c r="I3930" s="668"/>
      <c r="J3930" s="668"/>
      <c r="K3930" s="668"/>
      <c r="L3930" s="668"/>
      <c r="M3930" s="668"/>
    </row>
    <row r="3931" spans="5:13" ht="31.5">
      <c r="E3931" s="668"/>
      <c r="F3931" s="668">
        <v>180</v>
      </c>
      <c r="G3931" s="668" t="s">
        <v>12</v>
      </c>
      <c r="H3931" s="571" t="s">
        <v>2383</v>
      </c>
      <c r="I3931" s="668">
        <f>I3072</f>
        <v>13.5</v>
      </c>
      <c r="J3931" s="668" t="s">
        <v>12</v>
      </c>
      <c r="K3931" s="668">
        <f>I3931*F3931</f>
        <v>2430</v>
      </c>
      <c r="L3931" s="668"/>
      <c r="M3931" s="668"/>
    </row>
    <row r="3932" spans="5:13" ht="31.5">
      <c r="E3932" s="668"/>
      <c r="F3932" s="668">
        <v>90</v>
      </c>
      <c r="G3932" s="668" t="s">
        <v>12</v>
      </c>
      <c r="H3932" s="667" t="s">
        <v>2384</v>
      </c>
      <c r="I3932" s="668">
        <f>I3073</f>
        <v>17.100000000000001</v>
      </c>
      <c r="J3932" s="668" t="s">
        <v>12</v>
      </c>
      <c r="K3932" s="668">
        <f>I3932*F3932</f>
        <v>1539.0000000000002</v>
      </c>
      <c r="L3932" s="668"/>
      <c r="M3932" s="668"/>
    </row>
    <row r="3933" spans="5:13">
      <c r="E3933" s="668"/>
      <c r="F3933" s="668">
        <v>1</v>
      </c>
      <c r="G3933" s="668" t="s">
        <v>5036</v>
      </c>
      <c r="H3933" s="667" t="s">
        <v>5037</v>
      </c>
      <c r="I3933" s="670">
        <f>[3]Elec.Data!I3933</f>
        <v>38.700000000000003</v>
      </c>
      <c r="J3933" s="668" t="s">
        <v>5036</v>
      </c>
      <c r="K3933" s="668">
        <f>I3933*F3933</f>
        <v>38.700000000000003</v>
      </c>
      <c r="L3933" s="668"/>
      <c r="M3933" s="668"/>
    </row>
    <row r="3934" spans="5:13">
      <c r="E3934" s="668"/>
      <c r="F3934" s="668">
        <v>300</v>
      </c>
      <c r="G3934" s="668" t="s">
        <v>13</v>
      </c>
      <c r="H3934" s="667" t="s">
        <v>5038</v>
      </c>
      <c r="I3934" s="670">
        <f>[3]Elec.Data!I3934</f>
        <v>287</v>
      </c>
      <c r="J3934" s="668" t="s">
        <v>5039</v>
      </c>
      <c r="K3934" s="668">
        <f>(I3934*F3934)/1000</f>
        <v>86.1</v>
      </c>
      <c r="L3934" s="668"/>
      <c r="M3934" s="668"/>
    </row>
    <row r="3935" spans="5:13">
      <c r="E3935" s="668"/>
      <c r="F3935" s="668">
        <v>2</v>
      </c>
      <c r="G3935" s="668" t="s">
        <v>2413</v>
      </c>
      <c r="H3935" s="667" t="s">
        <v>5040</v>
      </c>
      <c r="I3935" s="668">
        <f>I3804</f>
        <v>84.1</v>
      </c>
      <c r="J3935" s="668" t="s">
        <v>5036</v>
      </c>
      <c r="K3935" s="668">
        <f>I3935*F3935</f>
        <v>168.2</v>
      </c>
      <c r="L3935" s="668"/>
      <c r="M3935" s="668"/>
    </row>
    <row r="3936" spans="5:13">
      <c r="E3936" s="668"/>
      <c r="F3936" s="668">
        <v>0.33</v>
      </c>
      <c r="G3936" s="668" t="s">
        <v>2385</v>
      </c>
      <c r="H3936" s="668" t="s">
        <v>2386</v>
      </c>
      <c r="I3936" s="668">
        <f>I3074</f>
        <v>290</v>
      </c>
      <c r="J3936" s="668" t="s">
        <v>2385</v>
      </c>
      <c r="K3936" s="668">
        <f>I3936*F3936</f>
        <v>95.7</v>
      </c>
      <c r="L3936" s="668"/>
      <c r="M3936" s="668"/>
    </row>
    <row r="3937" spans="5:13" ht="31.5">
      <c r="E3937" s="668"/>
      <c r="F3937" s="668">
        <v>90</v>
      </c>
      <c r="G3937" s="668" t="s">
        <v>12</v>
      </c>
      <c r="H3937" s="571" t="s">
        <v>2387</v>
      </c>
      <c r="I3937" s="668">
        <f>I3075</f>
        <v>13.5</v>
      </c>
      <c r="J3937" s="668" t="s">
        <v>2388</v>
      </c>
      <c r="K3937" s="668">
        <f>I3937*F3937</f>
        <v>1215</v>
      </c>
      <c r="L3937" s="668"/>
      <c r="M3937" s="668"/>
    </row>
    <row r="3938" spans="5:13">
      <c r="E3938" s="668"/>
      <c r="F3938" s="721" t="s">
        <v>5041</v>
      </c>
      <c r="G3938" s="668"/>
      <c r="H3938" s="668" t="s">
        <v>2389</v>
      </c>
      <c r="I3938" s="668">
        <f>K3924</f>
        <v>5889</v>
      </c>
      <c r="J3938" s="668"/>
      <c r="K3938" s="668">
        <f>2/3*I3938</f>
        <v>3926</v>
      </c>
      <c r="L3938" s="668"/>
      <c r="M3938" s="668"/>
    </row>
    <row r="3939" spans="5:13">
      <c r="E3939" s="668"/>
      <c r="F3939" s="668"/>
      <c r="G3939" s="668"/>
      <c r="H3939" s="668"/>
      <c r="I3939" s="668"/>
      <c r="J3939" s="668"/>
      <c r="K3939" s="668">
        <f>SUM(K3931:K3938)</f>
        <v>9498.7000000000007</v>
      </c>
      <c r="L3939" s="668"/>
      <c r="M3939" s="668"/>
    </row>
    <row r="3940" spans="5:13">
      <c r="E3940" s="668"/>
      <c r="F3940" s="668"/>
      <c r="G3940" s="668"/>
      <c r="H3940" s="668" t="s">
        <v>2390</v>
      </c>
      <c r="I3940" s="668"/>
      <c r="J3940" s="668"/>
      <c r="K3940" s="668">
        <v>52.28</v>
      </c>
      <c r="L3940" s="668"/>
      <c r="M3940" s="668"/>
    </row>
    <row r="3941" spans="5:13">
      <c r="E3941" s="668"/>
      <c r="F3941" s="668"/>
      <c r="G3941" s="668"/>
      <c r="H3941" s="674" t="s">
        <v>2391</v>
      </c>
      <c r="I3941" s="668"/>
      <c r="J3941" s="668"/>
      <c r="K3941" s="675">
        <f>SUM(K3939:K3940)</f>
        <v>9550.9800000000014</v>
      </c>
      <c r="L3941" s="668"/>
      <c r="M3941" s="668"/>
    </row>
    <row r="3942" spans="5:13">
      <c r="E3942" s="668"/>
      <c r="F3942" s="668"/>
      <c r="G3942" s="668"/>
      <c r="H3942" s="676" t="s">
        <v>2392</v>
      </c>
      <c r="I3942" s="668"/>
      <c r="J3942" s="668"/>
      <c r="K3942" s="460">
        <f>K3941/90</f>
        <v>106.12200000000001</v>
      </c>
      <c r="L3942" s="668"/>
      <c r="M3942" s="668"/>
    </row>
    <row r="3943" spans="5:13">
      <c r="E3943" s="668"/>
      <c r="F3943" s="668"/>
      <c r="G3943" s="668"/>
      <c r="H3943" s="668"/>
      <c r="I3943" s="668"/>
      <c r="J3943" s="668"/>
      <c r="K3943" s="668"/>
      <c r="L3943" s="668"/>
      <c r="M3943" s="668"/>
    </row>
    <row r="3944" spans="5:13">
      <c r="E3944" s="668"/>
      <c r="F3944" s="668"/>
      <c r="G3944" s="668"/>
      <c r="H3944" s="460" t="s">
        <v>5042</v>
      </c>
      <c r="I3944" s="668"/>
      <c r="J3944" s="668"/>
      <c r="K3944" s="668"/>
      <c r="L3944" s="668"/>
      <c r="M3944" s="668"/>
    </row>
    <row r="3945" spans="5:13">
      <c r="E3945" s="668"/>
      <c r="F3945" s="668"/>
      <c r="G3945" s="668"/>
      <c r="H3945" s="668"/>
      <c r="I3945" s="668"/>
      <c r="J3945" s="668"/>
      <c r="K3945" s="668"/>
      <c r="L3945" s="668"/>
      <c r="M3945" s="668"/>
    </row>
    <row r="3946" spans="5:13" ht="110.25">
      <c r="E3946" s="668"/>
      <c r="F3946" s="668"/>
      <c r="G3946" s="668"/>
      <c r="H3946" s="667" t="s">
        <v>4739</v>
      </c>
      <c r="I3946" s="668"/>
      <c r="J3946" s="668"/>
      <c r="K3946" s="668"/>
      <c r="L3946" s="668"/>
      <c r="M3946" s="668"/>
    </row>
    <row r="3947" spans="5:13">
      <c r="E3947" s="668"/>
      <c r="F3947" s="668"/>
      <c r="G3947" s="668"/>
      <c r="H3947" s="668"/>
      <c r="I3947" s="668"/>
      <c r="J3947" s="668"/>
      <c r="K3947" s="668"/>
      <c r="L3947" s="668"/>
      <c r="M3947" s="668"/>
    </row>
    <row r="3948" spans="5:13">
      <c r="E3948" s="668"/>
      <c r="F3948" s="668"/>
      <c r="G3948" s="668"/>
      <c r="H3948" s="668" t="s">
        <v>5043</v>
      </c>
      <c r="I3948" s="668"/>
      <c r="J3948" s="668"/>
      <c r="K3948" s="668">
        <f>K3941</f>
        <v>9550.9800000000014</v>
      </c>
      <c r="L3948" s="668"/>
      <c r="M3948" s="668"/>
    </row>
    <row r="3949" spans="5:13" ht="31.5">
      <c r="E3949" s="668"/>
      <c r="F3949" s="668">
        <v>180</v>
      </c>
      <c r="G3949" s="668" t="s">
        <v>12</v>
      </c>
      <c r="H3949" s="667" t="s">
        <v>5044</v>
      </c>
      <c r="I3949" s="668">
        <f>I3088</f>
        <v>20.3</v>
      </c>
      <c r="J3949" s="668" t="s">
        <v>12</v>
      </c>
      <c r="K3949" s="668">
        <f>F3949*I3949</f>
        <v>3654</v>
      </c>
      <c r="L3949" s="668"/>
      <c r="M3949" s="668"/>
    </row>
    <row r="3950" spans="5:13" ht="31.5">
      <c r="E3950" s="668"/>
      <c r="F3950" s="668">
        <v>180</v>
      </c>
      <c r="G3950" s="668" t="s">
        <v>12</v>
      </c>
      <c r="H3950" s="667" t="s">
        <v>4742</v>
      </c>
      <c r="I3950" s="668">
        <f>I3931</f>
        <v>13.5</v>
      </c>
      <c r="J3950" s="668" t="s">
        <v>2388</v>
      </c>
      <c r="K3950" s="668">
        <f>F3950*I3950</f>
        <v>2430</v>
      </c>
      <c r="L3950" s="668"/>
      <c r="M3950" s="668"/>
    </row>
    <row r="3951" spans="5:13">
      <c r="E3951" s="668"/>
      <c r="F3951" s="668"/>
      <c r="G3951" s="668"/>
      <c r="H3951" s="668" t="s">
        <v>2390</v>
      </c>
      <c r="I3951" s="668"/>
      <c r="J3951" s="668"/>
      <c r="K3951" s="668">
        <v>36</v>
      </c>
      <c r="L3951" s="668"/>
      <c r="M3951" s="668"/>
    </row>
    <row r="3952" spans="5:13">
      <c r="E3952" s="668"/>
      <c r="F3952" s="668"/>
      <c r="G3952" s="668"/>
      <c r="H3952" s="674" t="s">
        <v>4743</v>
      </c>
      <c r="I3952" s="668"/>
      <c r="J3952" s="668"/>
      <c r="K3952" s="675">
        <f>K3948+K3949-K3950+K3951</f>
        <v>10810.980000000001</v>
      </c>
      <c r="L3952" s="668"/>
      <c r="M3952" s="668"/>
    </row>
    <row r="3953" spans="5:13">
      <c r="E3953" s="668"/>
      <c r="F3953" s="668"/>
      <c r="G3953" s="668"/>
      <c r="H3953" s="676" t="s">
        <v>2392</v>
      </c>
      <c r="I3953" s="668"/>
      <c r="J3953" s="668"/>
      <c r="K3953" s="460">
        <f>K3952/90</f>
        <v>120.12200000000001</v>
      </c>
      <c r="L3953" s="668"/>
      <c r="M3953" s="668"/>
    </row>
    <row r="3954" spans="5:13">
      <c r="E3954" s="668"/>
      <c r="F3954" s="668"/>
      <c r="G3954" s="668"/>
      <c r="H3954" s="668"/>
      <c r="I3954" s="668"/>
      <c r="J3954" s="668"/>
      <c r="K3954" s="668"/>
      <c r="L3954" s="668"/>
      <c r="M3954" s="668"/>
    </row>
    <row r="3955" spans="5:13">
      <c r="E3955" s="668"/>
      <c r="F3955" s="668"/>
      <c r="G3955" s="668"/>
      <c r="H3955" s="668"/>
      <c r="I3955" s="668"/>
      <c r="J3955" s="668"/>
      <c r="K3955" s="668"/>
      <c r="L3955" s="668"/>
      <c r="M3955" s="668"/>
    </row>
    <row r="3956" spans="5:13">
      <c r="E3956" s="668"/>
      <c r="F3956" s="668"/>
      <c r="G3956" s="668"/>
      <c r="H3956" s="460"/>
      <c r="I3956" s="668"/>
      <c r="J3956" s="668"/>
      <c r="K3956" s="668"/>
      <c r="L3956" s="668"/>
      <c r="M3956" s="668"/>
    </row>
    <row r="3957" spans="5:13">
      <c r="E3957" s="668"/>
      <c r="F3957" s="668"/>
      <c r="G3957" s="668"/>
      <c r="H3957" s="667"/>
      <c r="I3957" s="668"/>
      <c r="J3957" s="668"/>
      <c r="K3957" s="668"/>
      <c r="L3957" s="668"/>
      <c r="M3957" s="668"/>
    </row>
    <row r="3958" spans="5:13">
      <c r="E3958" s="668"/>
      <c r="F3958" s="668"/>
      <c r="G3958" s="668"/>
      <c r="H3958" s="571"/>
      <c r="I3958" s="668"/>
      <c r="J3958" s="668"/>
      <c r="K3958" s="668"/>
      <c r="L3958" s="668"/>
      <c r="M3958" s="668"/>
    </row>
    <row r="3959" spans="5:13">
      <c r="E3959" s="668"/>
      <c r="F3959" s="668"/>
      <c r="G3959" s="668"/>
      <c r="H3959" s="667"/>
      <c r="I3959" s="668"/>
      <c r="J3959" s="668"/>
      <c r="K3959" s="668"/>
      <c r="L3959" s="668"/>
      <c r="M3959" s="668"/>
    </row>
    <row r="3960" spans="5:13">
      <c r="E3960" s="668"/>
      <c r="F3960" s="668"/>
      <c r="G3960" s="668"/>
      <c r="H3960" s="668"/>
      <c r="I3960" s="668"/>
      <c r="J3960" s="668"/>
      <c r="K3960" s="668"/>
      <c r="L3960" s="668"/>
      <c r="M3960" s="668"/>
    </row>
    <row r="3961" spans="5:13">
      <c r="E3961" s="668"/>
      <c r="F3961" s="668"/>
      <c r="G3961" s="668"/>
      <c r="H3961" s="668"/>
      <c r="I3961" s="668"/>
      <c r="J3961" s="668"/>
      <c r="K3961" s="668"/>
      <c r="L3961" s="668"/>
      <c r="M3961" s="668"/>
    </row>
    <row r="3962" spans="5:13">
      <c r="E3962" s="668"/>
      <c r="F3962" s="668"/>
      <c r="G3962" s="668"/>
      <c r="H3962" s="668"/>
      <c r="I3962" s="668"/>
      <c r="J3962" s="668"/>
      <c r="K3962" s="668"/>
      <c r="L3962" s="668"/>
      <c r="M3962" s="668"/>
    </row>
    <row r="3963" spans="5:13">
      <c r="E3963" s="668"/>
      <c r="F3963" s="668"/>
      <c r="G3963" s="668"/>
      <c r="H3963" s="668"/>
      <c r="I3963" s="668"/>
      <c r="J3963" s="668"/>
      <c r="K3963" s="668"/>
      <c r="L3963" s="668"/>
      <c r="M3963" s="668"/>
    </row>
    <row r="3964" spans="5:13">
      <c r="E3964" s="668"/>
      <c r="F3964" s="668"/>
      <c r="G3964" s="668"/>
      <c r="H3964" s="668"/>
      <c r="I3964" s="668"/>
      <c r="J3964" s="668"/>
      <c r="K3964" s="668"/>
      <c r="L3964" s="668"/>
      <c r="M3964" s="668"/>
    </row>
    <row r="3965" spans="5:13">
      <c r="E3965" s="668"/>
      <c r="F3965" s="668"/>
      <c r="G3965" s="668"/>
      <c r="H3965" s="668"/>
      <c r="I3965" s="668"/>
      <c r="J3965" s="668"/>
      <c r="K3965" s="668"/>
      <c r="L3965" s="668"/>
      <c r="M3965" s="668"/>
    </row>
    <row r="3966" spans="5:13">
      <c r="E3966" s="668"/>
      <c r="F3966" s="668"/>
      <c r="G3966" s="668"/>
      <c r="H3966" s="668"/>
      <c r="I3966" s="668"/>
      <c r="J3966" s="668"/>
      <c r="K3966" s="668"/>
      <c r="L3966" s="668"/>
      <c r="M3966" s="668"/>
    </row>
    <row r="3967" spans="5:13">
      <c r="E3967" s="668"/>
      <c r="F3967" s="668"/>
      <c r="G3967" s="668"/>
      <c r="H3967" s="668"/>
      <c r="I3967" s="668"/>
      <c r="J3967" s="668"/>
      <c r="K3967" s="668"/>
      <c r="L3967" s="668"/>
      <c r="M3967" s="668"/>
    </row>
    <row r="3968" spans="5:13">
      <c r="E3968" s="668"/>
      <c r="F3968" s="668"/>
      <c r="G3968" s="668"/>
      <c r="H3968" s="571"/>
      <c r="I3968" s="668"/>
      <c r="J3968" s="668"/>
      <c r="K3968" s="668"/>
      <c r="L3968" s="668"/>
      <c r="M3968" s="668"/>
    </row>
    <row r="3969" spans="5:13">
      <c r="E3969" s="668"/>
      <c r="F3969" s="668"/>
      <c r="G3969" s="668"/>
      <c r="H3969" s="668"/>
      <c r="I3969" s="668"/>
      <c r="J3969" s="668"/>
      <c r="K3969" s="668"/>
      <c r="L3969" s="668"/>
      <c r="M3969" s="668"/>
    </row>
    <row r="3970" spans="5:13">
      <c r="E3970" s="668"/>
      <c r="F3970" s="668"/>
      <c r="G3970" s="668"/>
      <c r="H3970" s="668"/>
      <c r="I3970" s="668"/>
      <c r="J3970" s="668"/>
      <c r="K3970" s="686"/>
      <c r="L3970" s="668"/>
      <c r="M3970" s="668"/>
    </row>
    <row r="3971" spans="5:13">
      <c r="E3971" s="668"/>
      <c r="F3971" s="668"/>
      <c r="G3971" s="668"/>
      <c r="H3971" s="674"/>
      <c r="I3971" s="668"/>
      <c r="J3971" s="668"/>
      <c r="K3971" s="675"/>
      <c r="L3971" s="668"/>
      <c r="M3971" s="668"/>
    </row>
    <row r="3972" spans="5:13">
      <c r="E3972" s="668"/>
      <c r="F3972" s="668"/>
      <c r="G3972" s="668"/>
      <c r="H3972" s="676"/>
      <c r="I3972" s="668"/>
      <c r="J3972" s="668"/>
      <c r="K3972" s="460"/>
      <c r="L3972" s="668"/>
      <c r="M3972" s="668"/>
    </row>
    <row r="3973" spans="5:13">
      <c r="E3973" s="668"/>
      <c r="F3973" s="668"/>
      <c r="G3973" s="668"/>
      <c r="H3973" s="668"/>
      <c r="I3973" s="668"/>
      <c r="J3973" s="668"/>
      <c r="K3973" s="668"/>
      <c r="L3973" s="668"/>
      <c r="M3973" s="668"/>
    </row>
    <row r="3974" spans="5:13">
      <c r="E3974" s="668"/>
      <c r="F3974" s="668"/>
      <c r="G3974" s="668"/>
      <c r="H3974" s="668"/>
      <c r="I3974" s="668"/>
      <c r="J3974" s="668"/>
      <c r="K3974" s="668"/>
      <c r="L3974" s="668"/>
      <c r="M3974" s="668"/>
    </row>
    <row r="3975" spans="5:13">
      <c r="E3975" s="668"/>
      <c r="F3975" s="668"/>
      <c r="G3975" s="668"/>
      <c r="H3975" s="668"/>
      <c r="I3975" s="668"/>
      <c r="J3975" s="668"/>
      <c r="K3975" s="668"/>
      <c r="L3975" s="668"/>
      <c r="M3975" s="668"/>
    </row>
    <row r="3976" spans="5:13">
      <c r="E3976" s="668"/>
      <c r="F3976" s="668"/>
      <c r="G3976" s="668"/>
      <c r="H3976" s="668"/>
      <c r="I3976" s="668"/>
      <c r="J3976" s="668"/>
      <c r="K3976" s="668"/>
      <c r="L3976" s="668"/>
      <c r="M3976" s="668"/>
    </row>
    <row r="3977" spans="5:13">
      <c r="E3977" s="668"/>
      <c r="F3977" s="668"/>
      <c r="G3977" s="668"/>
      <c r="H3977" s="668"/>
      <c r="I3977" s="668"/>
      <c r="J3977" s="668"/>
      <c r="K3977" s="668"/>
      <c r="L3977" s="668"/>
      <c r="M3977" s="668"/>
    </row>
    <row r="3978" spans="5:13">
      <c r="E3978" s="668"/>
      <c r="F3978" s="668"/>
      <c r="G3978" s="668"/>
      <c r="H3978" s="668"/>
      <c r="I3978" s="668"/>
      <c r="J3978" s="668"/>
      <c r="K3978" s="668"/>
      <c r="L3978" s="668"/>
      <c r="M3978" s="668"/>
    </row>
    <row r="3979" spans="5:13">
      <c r="E3979" s="668"/>
      <c r="F3979" s="668"/>
      <c r="G3979" s="668"/>
      <c r="H3979" s="668"/>
      <c r="I3979" s="668"/>
      <c r="J3979" s="668"/>
      <c r="K3979" s="668"/>
      <c r="L3979" s="668"/>
      <c r="M3979" s="668"/>
    </row>
    <row r="3980" spans="5:13">
      <c r="E3980" s="668"/>
      <c r="F3980" s="668"/>
      <c r="G3980" s="668"/>
      <c r="H3980" s="668"/>
      <c r="I3980" s="668"/>
      <c r="J3980" s="668"/>
      <c r="K3980" s="668"/>
      <c r="L3980" s="668"/>
      <c r="M3980" s="668"/>
    </row>
    <row r="3981" spans="5:13">
      <c r="E3981" s="668"/>
      <c r="F3981" s="668"/>
      <c r="G3981" s="668"/>
      <c r="H3981" s="668"/>
      <c r="I3981" s="668"/>
      <c r="J3981" s="668"/>
      <c r="K3981" s="668"/>
      <c r="L3981" s="668"/>
      <c r="M3981" s="668"/>
    </row>
    <row r="3982" spans="5:13">
      <c r="E3982" s="668"/>
      <c r="F3982" s="668"/>
      <c r="G3982" s="668"/>
      <c r="H3982" s="668"/>
      <c r="I3982" s="668"/>
      <c r="J3982" s="668"/>
      <c r="K3982" s="668"/>
      <c r="L3982" s="668"/>
      <c r="M3982" s="668"/>
    </row>
    <row r="3983" spans="5:13">
      <c r="E3983" s="668"/>
      <c r="F3983" s="668"/>
      <c r="G3983" s="668"/>
      <c r="H3983" s="668"/>
      <c r="I3983" s="668"/>
      <c r="J3983" s="668"/>
      <c r="K3983" s="668"/>
      <c r="L3983" s="668"/>
      <c r="M3983" s="668"/>
    </row>
    <row r="3984" spans="5:13">
      <c r="E3984" s="668"/>
      <c r="F3984" s="668"/>
      <c r="G3984" s="668"/>
      <c r="H3984" s="668"/>
      <c r="I3984" s="668"/>
      <c r="J3984" s="668"/>
      <c r="K3984" s="668"/>
      <c r="L3984" s="668"/>
      <c r="M3984" s="668"/>
    </row>
    <row r="3985" spans="5:13">
      <c r="E3985" s="668"/>
      <c r="F3985" s="668"/>
      <c r="G3985" s="668"/>
      <c r="H3985" s="668"/>
      <c r="I3985" s="668"/>
      <c r="J3985" s="668"/>
      <c r="K3985" s="668"/>
      <c r="L3985" s="668"/>
      <c r="M3985" s="668"/>
    </row>
    <row r="3986" spans="5:13">
      <c r="E3986" s="668"/>
      <c r="F3986" s="668"/>
      <c r="G3986" s="668"/>
      <c r="H3986" s="668"/>
      <c r="I3986" s="668"/>
      <c r="J3986" s="668"/>
      <c r="K3986" s="668"/>
      <c r="L3986" s="668"/>
      <c r="M3986" s="668"/>
    </row>
    <row r="3987" spans="5:13">
      <c r="E3987" s="668"/>
      <c r="F3987" s="668"/>
      <c r="G3987" s="668"/>
      <c r="H3987" s="668"/>
      <c r="I3987" s="668"/>
      <c r="J3987" s="668"/>
      <c r="K3987" s="668"/>
      <c r="L3987" s="668"/>
      <c r="M3987" s="668"/>
    </row>
    <row r="3988" spans="5:13">
      <c r="E3988" s="668"/>
      <c r="F3988" s="668"/>
      <c r="G3988" s="668"/>
      <c r="H3988" s="668"/>
      <c r="I3988" s="668"/>
      <c r="J3988" s="668"/>
      <c r="K3988" s="668"/>
      <c r="L3988" s="668"/>
      <c r="M3988" s="668"/>
    </row>
    <row r="3989" spans="5:13">
      <c r="E3989" s="668"/>
      <c r="F3989" s="668"/>
      <c r="G3989" s="668"/>
      <c r="H3989" s="668"/>
      <c r="I3989" s="668"/>
      <c r="J3989" s="668"/>
      <c r="K3989" s="668"/>
      <c r="L3989" s="668"/>
      <c r="M3989" s="668"/>
    </row>
    <row r="3990" spans="5:13">
      <c r="E3990" s="668"/>
      <c r="F3990" s="668"/>
      <c r="G3990" s="668"/>
      <c r="H3990" s="668"/>
      <c r="I3990" s="668"/>
      <c r="J3990" s="668"/>
      <c r="K3990" s="668"/>
      <c r="L3990" s="668"/>
      <c r="M3990" s="668"/>
    </row>
    <row r="3991" spans="5:13">
      <c r="E3991" s="668"/>
      <c r="F3991" s="668"/>
      <c r="G3991" s="668"/>
      <c r="H3991" s="668"/>
      <c r="I3991" s="668"/>
      <c r="J3991" s="668"/>
      <c r="K3991" s="668"/>
      <c r="L3991" s="668"/>
      <c r="M3991" s="668"/>
    </row>
    <row r="3992" spans="5:13">
      <c r="E3992" s="668"/>
      <c r="F3992" s="668"/>
      <c r="G3992" s="668"/>
      <c r="H3992" s="668"/>
      <c r="I3992" s="668"/>
      <c r="J3992" s="668"/>
      <c r="K3992" s="668"/>
      <c r="L3992" s="668"/>
      <c r="M3992" s="668"/>
    </row>
    <row r="3993" spans="5:13">
      <c r="E3993" s="668"/>
      <c r="F3993" s="668"/>
      <c r="G3993" s="668"/>
      <c r="H3993" s="668"/>
      <c r="I3993" s="668"/>
      <c r="J3993" s="668"/>
      <c r="K3993" s="668"/>
      <c r="L3993" s="668"/>
      <c r="M3993" s="668"/>
    </row>
    <row r="3994" spans="5:13">
      <c r="E3994" s="668"/>
      <c r="F3994" s="668"/>
      <c r="G3994" s="668"/>
      <c r="H3994" s="668"/>
      <c r="I3994" s="668"/>
      <c r="J3994" s="668"/>
      <c r="K3994" s="668"/>
      <c r="L3994" s="668"/>
      <c r="M3994" s="668"/>
    </row>
    <row r="3995" spans="5:13">
      <c r="E3995" s="668"/>
      <c r="F3995" s="668"/>
      <c r="G3995" s="668"/>
      <c r="H3995" s="668"/>
      <c r="I3995" s="668"/>
      <c r="J3995" s="668"/>
      <c r="K3995" s="668"/>
      <c r="L3995" s="668"/>
      <c r="M3995" s="668"/>
    </row>
    <row r="3996" spans="5:13">
      <c r="E3996" s="668"/>
      <c r="F3996" s="668"/>
      <c r="G3996" s="668"/>
      <c r="H3996" s="668"/>
      <c r="I3996" s="668"/>
      <c r="J3996" s="668"/>
      <c r="K3996" s="668"/>
      <c r="L3996" s="668"/>
      <c r="M3996" s="668"/>
    </row>
    <row r="3997" spans="5:13">
      <c r="E3997" s="668"/>
      <c r="F3997" s="668"/>
      <c r="G3997" s="668"/>
      <c r="H3997" s="668"/>
      <c r="I3997" s="668"/>
      <c r="J3997" s="668"/>
      <c r="K3997" s="668"/>
      <c r="L3997" s="668"/>
      <c r="M3997" s="668"/>
    </row>
    <row r="3998" spans="5:13">
      <c r="E3998" s="668"/>
      <c r="F3998" s="668"/>
      <c r="G3998" s="668"/>
      <c r="H3998" s="668"/>
      <c r="I3998" s="668"/>
      <c r="J3998" s="668"/>
      <c r="K3998" s="668"/>
      <c r="L3998" s="668"/>
      <c r="M3998" s="668"/>
    </row>
    <row r="3999" spans="5:13">
      <c r="E3999" s="668"/>
      <c r="F3999" s="668"/>
      <c r="G3999" s="668"/>
      <c r="H3999" s="668"/>
      <c r="I3999" s="668"/>
      <c r="J3999" s="668"/>
      <c r="K3999" s="668"/>
      <c r="L3999" s="668"/>
      <c r="M3999" s="668"/>
    </row>
    <row r="4000" spans="5:13">
      <c r="E4000" s="668"/>
      <c r="F4000" s="668"/>
      <c r="G4000" s="668"/>
      <c r="H4000" s="668"/>
      <c r="I4000" s="668"/>
      <c r="J4000" s="668"/>
      <c r="K4000" s="668"/>
      <c r="L4000" s="668"/>
      <c r="M4000" s="668"/>
    </row>
    <row r="4001" spans="5:13">
      <c r="E4001" s="668"/>
      <c r="F4001" s="668"/>
      <c r="G4001" s="668"/>
      <c r="H4001" s="668"/>
      <c r="I4001" s="668"/>
      <c r="J4001" s="668"/>
      <c r="K4001" s="668"/>
      <c r="L4001" s="668"/>
      <c r="M4001" s="668"/>
    </row>
    <row r="4002" spans="5:13">
      <c r="E4002" s="668"/>
      <c r="F4002" s="668"/>
      <c r="G4002" s="668"/>
      <c r="H4002" s="668"/>
      <c r="I4002" s="668"/>
      <c r="J4002" s="668"/>
      <c r="K4002" s="668"/>
      <c r="L4002" s="668"/>
      <c r="M4002" s="668"/>
    </row>
    <row r="4003" spans="5:13">
      <c r="E4003" s="668"/>
      <c r="F4003" s="668"/>
      <c r="G4003" s="668"/>
      <c r="H4003" s="668"/>
      <c r="I4003" s="668"/>
      <c r="J4003" s="668"/>
      <c r="K4003" s="668"/>
      <c r="L4003" s="668"/>
      <c r="M4003" s="668"/>
    </row>
    <row r="4004" spans="5:13">
      <c r="E4004" s="668"/>
      <c r="F4004" s="668"/>
      <c r="G4004" s="668"/>
      <c r="H4004" s="668"/>
      <c r="I4004" s="668"/>
      <c r="J4004" s="668"/>
      <c r="K4004" s="668"/>
      <c r="L4004" s="668"/>
      <c r="M4004" s="668"/>
    </row>
    <row r="4005" spans="5:13">
      <c r="E4005" s="668"/>
      <c r="F4005" s="668"/>
      <c r="G4005" s="668"/>
      <c r="H4005" s="668"/>
      <c r="I4005" s="668"/>
      <c r="J4005" s="668"/>
      <c r="K4005" s="668"/>
      <c r="L4005" s="668"/>
      <c r="M4005" s="668"/>
    </row>
    <row r="4006" spans="5:13">
      <c r="E4006" s="668"/>
      <c r="F4006" s="668"/>
      <c r="G4006" s="668"/>
      <c r="H4006" s="668"/>
      <c r="I4006" s="668"/>
      <c r="J4006" s="668"/>
      <c r="K4006" s="668"/>
      <c r="L4006" s="668"/>
      <c r="M4006" s="668"/>
    </row>
    <row r="4007" spans="5:13">
      <c r="E4007" s="668"/>
      <c r="F4007" s="668"/>
      <c r="G4007" s="668"/>
      <c r="H4007" s="668"/>
      <c r="I4007" s="668"/>
      <c r="J4007" s="668"/>
      <c r="K4007" s="668"/>
      <c r="L4007" s="668"/>
      <c r="M4007" s="668"/>
    </row>
    <row r="4008" spans="5:13">
      <c r="E4008" s="668"/>
      <c r="F4008" s="668"/>
      <c r="G4008" s="668"/>
      <c r="H4008" s="668"/>
      <c r="I4008" s="668"/>
      <c r="J4008" s="668"/>
      <c r="K4008" s="668"/>
      <c r="L4008" s="668"/>
      <c r="M4008" s="668"/>
    </row>
    <row r="4009" spans="5:13">
      <c r="E4009" s="668"/>
      <c r="F4009" s="668"/>
      <c r="G4009" s="668"/>
      <c r="H4009" s="668"/>
      <c r="I4009" s="668"/>
      <c r="J4009" s="668"/>
      <c r="K4009" s="668"/>
      <c r="L4009" s="668"/>
      <c r="M4009" s="668"/>
    </row>
    <row r="4010" spans="5:13">
      <c r="E4010" s="668"/>
      <c r="F4010" s="668"/>
      <c r="G4010" s="668"/>
      <c r="H4010" s="668"/>
      <c r="I4010" s="668"/>
      <c r="J4010" s="668"/>
      <c r="K4010" s="668"/>
      <c r="L4010" s="668"/>
      <c r="M4010" s="668"/>
    </row>
    <row r="4011" spans="5:13">
      <c r="E4011" s="668"/>
      <c r="F4011" s="668"/>
      <c r="G4011" s="668"/>
      <c r="H4011" s="668"/>
      <c r="I4011" s="668"/>
      <c r="J4011" s="668"/>
      <c r="K4011" s="668"/>
      <c r="L4011" s="668"/>
      <c r="M4011" s="668"/>
    </row>
    <row r="4012" spans="5:13">
      <c r="E4012" s="668"/>
      <c r="F4012" s="668"/>
      <c r="G4012" s="668"/>
      <c r="H4012" s="668"/>
      <c r="I4012" s="668"/>
      <c r="J4012" s="668"/>
      <c r="K4012" s="668"/>
      <c r="L4012" s="668"/>
      <c r="M4012" s="668"/>
    </row>
    <row r="4013" spans="5:13">
      <c r="E4013" s="668"/>
      <c r="F4013" s="668"/>
      <c r="G4013" s="668"/>
      <c r="H4013" s="668"/>
      <c r="I4013" s="668"/>
      <c r="J4013" s="668"/>
      <c r="K4013" s="668"/>
      <c r="L4013" s="668"/>
      <c r="M4013" s="668"/>
    </row>
    <row r="4014" spans="5:13">
      <c r="E4014" s="668"/>
      <c r="F4014" s="668"/>
      <c r="G4014" s="668"/>
      <c r="H4014" s="668"/>
      <c r="I4014" s="668"/>
      <c r="J4014" s="668"/>
      <c r="K4014" s="668"/>
      <c r="L4014" s="668"/>
      <c r="M4014" s="668"/>
    </row>
    <row r="4015" spans="5:13">
      <c r="E4015" s="668"/>
      <c r="F4015" s="668"/>
      <c r="G4015" s="668"/>
      <c r="H4015" s="668"/>
      <c r="I4015" s="668"/>
      <c r="J4015" s="668"/>
      <c r="K4015" s="668"/>
      <c r="L4015" s="668"/>
      <c r="M4015" s="668"/>
    </row>
    <row r="4016" spans="5:13">
      <c r="E4016" s="668"/>
      <c r="F4016" s="668"/>
      <c r="G4016" s="668"/>
      <c r="H4016" s="668"/>
      <c r="I4016" s="668"/>
      <c r="J4016" s="668"/>
      <c r="K4016" s="668"/>
      <c r="L4016" s="668"/>
      <c r="M4016" s="668"/>
    </row>
    <row r="4017" spans="5:13">
      <c r="E4017" s="668"/>
      <c r="F4017" s="668"/>
      <c r="G4017" s="668"/>
      <c r="H4017" s="668"/>
      <c r="I4017" s="668"/>
      <c r="J4017" s="668"/>
      <c r="K4017" s="668"/>
      <c r="L4017" s="668"/>
      <c r="M4017" s="668"/>
    </row>
    <row r="4018" spans="5:13">
      <c r="E4018" s="668"/>
      <c r="F4018" s="668"/>
      <c r="G4018" s="668"/>
      <c r="H4018" s="668"/>
      <c r="I4018" s="668"/>
      <c r="J4018" s="668"/>
      <c r="K4018" s="668"/>
      <c r="L4018" s="668"/>
      <c r="M4018" s="668"/>
    </row>
    <row r="4019" spans="5:13">
      <c r="E4019" s="668"/>
      <c r="F4019" s="668"/>
      <c r="G4019" s="668"/>
      <c r="H4019" s="668"/>
      <c r="I4019" s="668"/>
      <c r="J4019" s="668"/>
      <c r="K4019" s="668"/>
      <c r="L4019" s="668"/>
      <c r="M4019" s="668"/>
    </row>
    <row r="4020" spans="5:13">
      <c r="E4020" s="668"/>
      <c r="F4020" s="668"/>
      <c r="G4020" s="668"/>
      <c r="H4020" s="668"/>
      <c r="I4020" s="668"/>
      <c r="J4020" s="668"/>
      <c r="K4020" s="668"/>
      <c r="L4020" s="668"/>
      <c r="M4020" s="668"/>
    </row>
    <row r="4021" spans="5:13">
      <c r="E4021" s="668"/>
      <c r="F4021" s="668"/>
      <c r="G4021" s="668"/>
      <c r="H4021" s="668"/>
      <c r="I4021" s="668"/>
      <c r="J4021" s="668"/>
      <c r="K4021" s="668"/>
      <c r="L4021" s="668"/>
      <c r="M4021" s="668"/>
    </row>
    <row r="4022" spans="5:13">
      <c r="E4022" s="668"/>
      <c r="F4022" s="668"/>
      <c r="G4022" s="668"/>
      <c r="H4022" s="668"/>
      <c r="I4022" s="668"/>
      <c r="J4022" s="668"/>
      <c r="K4022" s="668"/>
      <c r="L4022" s="668"/>
      <c r="M4022" s="668"/>
    </row>
    <row r="4023" spans="5:13">
      <c r="E4023" s="668"/>
      <c r="F4023" s="668"/>
      <c r="G4023" s="668"/>
      <c r="H4023" s="668"/>
      <c r="I4023" s="668"/>
      <c r="J4023" s="668"/>
      <c r="K4023" s="668"/>
      <c r="L4023" s="668"/>
      <c r="M4023" s="668"/>
    </row>
    <row r="4024" spans="5:13">
      <c r="E4024" s="668"/>
      <c r="F4024" s="668"/>
      <c r="G4024" s="668"/>
      <c r="H4024" s="668"/>
      <c r="I4024" s="668"/>
      <c r="J4024" s="668"/>
      <c r="K4024" s="668"/>
      <c r="L4024" s="668"/>
      <c r="M4024" s="668"/>
    </row>
    <row r="4025" spans="5:13">
      <c r="E4025" s="668"/>
      <c r="F4025" s="668"/>
      <c r="G4025" s="668"/>
      <c r="H4025" s="668"/>
      <c r="I4025" s="668"/>
      <c r="J4025" s="668"/>
      <c r="K4025" s="668"/>
      <c r="L4025" s="668"/>
      <c r="M4025" s="668"/>
    </row>
    <row r="4026" spans="5:13">
      <c r="E4026" s="668"/>
      <c r="F4026" s="668"/>
      <c r="G4026" s="668"/>
      <c r="H4026" s="668"/>
      <c r="I4026" s="668"/>
      <c r="J4026" s="668"/>
      <c r="K4026" s="668"/>
      <c r="L4026" s="668"/>
      <c r="M4026" s="668"/>
    </row>
    <row r="4027" spans="5:13">
      <c r="E4027" s="668"/>
      <c r="F4027" s="668"/>
      <c r="G4027" s="668"/>
      <c r="H4027" s="668"/>
      <c r="I4027" s="668"/>
      <c r="J4027" s="668"/>
      <c r="K4027" s="668"/>
      <c r="L4027" s="668"/>
      <c r="M4027" s="668"/>
    </row>
    <row r="4028" spans="5:13">
      <c r="E4028" s="668"/>
      <c r="F4028" s="668"/>
      <c r="G4028" s="668"/>
      <c r="H4028" s="668"/>
      <c r="I4028" s="668"/>
      <c r="J4028" s="668"/>
      <c r="K4028" s="668"/>
      <c r="L4028" s="668"/>
      <c r="M4028" s="668"/>
    </row>
    <row r="4029" spans="5:13">
      <c r="E4029" s="668"/>
      <c r="F4029" s="668"/>
      <c r="G4029" s="668"/>
      <c r="H4029" s="668"/>
      <c r="I4029" s="668"/>
      <c r="J4029" s="668"/>
      <c r="K4029" s="668"/>
      <c r="L4029" s="668"/>
      <c r="M4029" s="668"/>
    </row>
    <row r="4030" spans="5:13">
      <c r="E4030" s="668"/>
      <c r="F4030" s="668"/>
      <c r="G4030" s="668"/>
      <c r="H4030" s="668"/>
      <c r="I4030" s="668"/>
      <c r="J4030" s="668"/>
      <c r="K4030" s="668"/>
      <c r="L4030" s="668"/>
      <c r="M4030" s="668"/>
    </row>
    <row r="4031" spans="5:13">
      <c r="E4031" s="668"/>
      <c r="F4031" s="668"/>
      <c r="G4031" s="668"/>
      <c r="H4031" s="668"/>
      <c r="I4031" s="668"/>
      <c r="J4031" s="668"/>
      <c r="K4031" s="668"/>
      <c r="L4031" s="668"/>
      <c r="M4031" s="668"/>
    </row>
    <row r="4032" spans="5:13">
      <c r="E4032" s="668"/>
      <c r="F4032" s="668"/>
      <c r="G4032" s="668"/>
      <c r="H4032" s="668"/>
      <c r="I4032" s="668"/>
      <c r="J4032" s="668"/>
      <c r="K4032" s="668"/>
      <c r="L4032" s="668"/>
      <c r="M4032" s="668"/>
    </row>
    <row r="4033" spans="5:13">
      <c r="E4033" s="668"/>
      <c r="F4033" s="668"/>
      <c r="G4033" s="668"/>
      <c r="H4033" s="668"/>
      <c r="I4033" s="668"/>
      <c r="J4033" s="668"/>
      <c r="K4033" s="668"/>
      <c r="L4033" s="668"/>
      <c r="M4033" s="668"/>
    </row>
    <row r="4034" spans="5:13">
      <c r="E4034" s="668"/>
      <c r="F4034" s="668"/>
      <c r="G4034" s="668"/>
      <c r="H4034" s="668"/>
      <c r="I4034" s="668"/>
      <c r="J4034" s="668"/>
      <c r="K4034" s="668"/>
      <c r="L4034" s="668"/>
      <c r="M4034" s="668"/>
    </row>
    <row r="4035" spans="5:13">
      <c r="E4035" s="668"/>
      <c r="F4035" s="668"/>
      <c r="G4035" s="668"/>
      <c r="H4035" s="668"/>
      <c r="I4035" s="668"/>
      <c r="J4035" s="668"/>
      <c r="K4035" s="668"/>
      <c r="L4035" s="668"/>
      <c r="M4035" s="668"/>
    </row>
    <row r="4036" spans="5:13">
      <c r="E4036" s="668"/>
      <c r="F4036" s="668"/>
      <c r="G4036" s="668"/>
      <c r="H4036" s="668"/>
      <c r="I4036" s="668"/>
      <c r="J4036" s="668"/>
      <c r="K4036" s="668"/>
      <c r="L4036" s="668"/>
      <c r="M4036" s="668"/>
    </row>
    <row r="4037" spans="5:13">
      <c r="E4037" s="668"/>
      <c r="F4037" s="668"/>
      <c r="G4037" s="668"/>
      <c r="H4037" s="668"/>
      <c r="I4037" s="668"/>
      <c r="J4037" s="668"/>
      <c r="K4037" s="668"/>
      <c r="L4037" s="668"/>
      <c r="M4037" s="668"/>
    </row>
    <row r="4038" spans="5:13">
      <c r="E4038" s="668"/>
      <c r="F4038" s="668"/>
      <c r="G4038" s="668"/>
      <c r="H4038" s="668"/>
      <c r="I4038" s="668"/>
      <c r="J4038" s="668"/>
      <c r="K4038" s="668"/>
      <c r="L4038" s="668"/>
      <c r="M4038" s="668"/>
    </row>
    <row r="4039" spans="5:13">
      <c r="E4039" s="668"/>
      <c r="F4039" s="668"/>
      <c r="G4039" s="668"/>
      <c r="H4039" s="668"/>
      <c r="I4039" s="668"/>
      <c r="J4039" s="668"/>
      <c r="K4039" s="668"/>
      <c r="L4039" s="668"/>
      <c r="M4039" s="668"/>
    </row>
    <row r="4040" spans="5:13">
      <c r="E4040" s="668"/>
      <c r="F4040" s="668"/>
      <c r="G4040" s="668"/>
      <c r="H4040" s="668"/>
      <c r="I4040" s="668"/>
      <c r="J4040" s="668"/>
      <c r="K4040" s="668"/>
      <c r="L4040" s="668"/>
      <c r="M4040" s="668"/>
    </row>
    <row r="4041" spans="5:13">
      <c r="E4041" s="668"/>
      <c r="F4041" s="668"/>
      <c r="G4041" s="668"/>
      <c r="H4041" s="668"/>
      <c r="I4041" s="668"/>
      <c r="J4041" s="668"/>
      <c r="K4041" s="668"/>
      <c r="L4041" s="668"/>
      <c r="M4041" s="668"/>
    </row>
    <row r="4042" spans="5:13">
      <c r="E4042" s="668"/>
      <c r="F4042" s="668"/>
      <c r="G4042" s="668"/>
      <c r="H4042" s="668"/>
      <c r="I4042" s="668"/>
      <c r="J4042" s="668"/>
      <c r="K4042" s="668"/>
      <c r="L4042" s="668"/>
      <c r="M4042" s="668"/>
    </row>
    <row r="4043" spans="5:13">
      <c r="E4043" s="668"/>
      <c r="F4043" s="668"/>
      <c r="G4043" s="668"/>
      <c r="H4043" s="668"/>
      <c r="I4043" s="668"/>
      <c r="J4043" s="668"/>
      <c r="K4043" s="668"/>
      <c r="L4043" s="668"/>
      <c r="M4043" s="668"/>
    </row>
    <row r="4044" spans="5:13">
      <c r="E4044" s="668"/>
      <c r="F4044" s="668"/>
      <c r="G4044" s="668"/>
      <c r="H4044" s="668"/>
      <c r="I4044" s="668"/>
      <c r="J4044" s="668"/>
      <c r="K4044" s="668"/>
      <c r="L4044" s="668"/>
      <c r="M4044" s="668"/>
    </row>
    <row r="4045" spans="5:13">
      <c r="E4045" s="668"/>
      <c r="F4045" s="668"/>
      <c r="G4045" s="668"/>
      <c r="H4045" s="668"/>
      <c r="I4045" s="668"/>
      <c r="J4045" s="668"/>
      <c r="K4045" s="668"/>
      <c r="L4045" s="668"/>
      <c r="M4045" s="668"/>
    </row>
    <row r="4046" spans="5:13">
      <c r="E4046" s="668"/>
      <c r="F4046" s="668"/>
      <c r="G4046" s="668"/>
      <c r="H4046" s="668"/>
      <c r="I4046" s="668"/>
      <c r="J4046" s="668"/>
      <c r="K4046" s="668"/>
      <c r="L4046" s="668"/>
      <c r="M4046" s="668"/>
    </row>
    <row r="4047" spans="5:13">
      <c r="E4047" s="668"/>
      <c r="F4047" s="668"/>
      <c r="G4047" s="668"/>
      <c r="H4047" s="668"/>
      <c r="I4047" s="668"/>
      <c r="J4047" s="668"/>
      <c r="K4047" s="668"/>
      <c r="L4047" s="668"/>
      <c r="M4047" s="668"/>
    </row>
    <row r="4048" spans="5:13">
      <c r="E4048" s="668"/>
      <c r="F4048" s="668"/>
      <c r="G4048" s="668"/>
      <c r="H4048" s="668"/>
      <c r="I4048" s="668"/>
      <c r="J4048" s="668"/>
      <c r="K4048" s="668"/>
      <c r="L4048" s="668"/>
      <c r="M4048" s="668"/>
    </row>
    <row r="4049" spans="5:13">
      <c r="E4049" s="668"/>
      <c r="F4049" s="668"/>
      <c r="G4049" s="668"/>
      <c r="H4049" s="668"/>
      <c r="I4049" s="668"/>
      <c r="J4049" s="668"/>
      <c r="K4049" s="668"/>
      <c r="L4049" s="668"/>
      <c r="M4049" s="668"/>
    </row>
    <row r="4050" spans="5:13">
      <c r="E4050" s="668"/>
      <c r="F4050" s="668"/>
      <c r="G4050" s="668"/>
      <c r="H4050" s="668"/>
      <c r="I4050" s="668"/>
      <c r="J4050" s="668"/>
      <c r="K4050" s="668"/>
      <c r="L4050" s="668"/>
      <c r="M4050" s="668"/>
    </row>
    <row r="4051" spans="5:13">
      <c r="E4051" s="668"/>
      <c r="F4051" s="668"/>
      <c r="G4051" s="668"/>
      <c r="H4051" s="668"/>
      <c r="I4051" s="668"/>
      <c r="J4051" s="668"/>
      <c r="K4051" s="668"/>
      <c r="L4051" s="668"/>
      <c r="M4051" s="668"/>
    </row>
    <row r="4052" spans="5:13">
      <c r="E4052" s="668"/>
      <c r="F4052" s="668"/>
      <c r="G4052" s="668"/>
      <c r="H4052" s="668"/>
      <c r="I4052" s="668"/>
      <c r="J4052" s="668"/>
      <c r="K4052" s="668"/>
      <c r="L4052" s="668"/>
      <c r="M4052" s="668"/>
    </row>
    <row r="4053" spans="5:13">
      <c r="E4053" s="668"/>
      <c r="F4053" s="668"/>
      <c r="G4053" s="668"/>
      <c r="H4053" s="668"/>
      <c r="I4053" s="668"/>
      <c r="J4053" s="668"/>
      <c r="K4053" s="668"/>
      <c r="L4053" s="668"/>
      <c r="M4053" s="668"/>
    </row>
    <row r="4054" spans="5:13">
      <c r="E4054" s="668"/>
      <c r="F4054" s="668"/>
      <c r="G4054" s="668"/>
      <c r="H4054" s="668"/>
      <c r="I4054" s="668"/>
      <c r="J4054" s="668"/>
      <c r="K4054" s="668"/>
      <c r="L4054" s="668"/>
      <c r="M4054" s="668"/>
    </row>
    <row r="4055" spans="5:13">
      <c r="E4055" s="668"/>
      <c r="F4055" s="668"/>
      <c r="G4055" s="668"/>
      <c r="H4055" s="668"/>
      <c r="I4055" s="668"/>
      <c r="J4055" s="668"/>
      <c r="K4055" s="668"/>
      <c r="L4055" s="668"/>
      <c r="M4055" s="668"/>
    </row>
    <row r="4056" spans="5:13">
      <c r="E4056" s="668"/>
      <c r="F4056" s="668"/>
      <c r="G4056" s="668"/>
      <c r="H4056" s="668"/>
      <c r="I4056" s="668"/>
      <c r="J4056" s="668"/>
      <c r="K4056" s="668"/>
      <c r="L4056" s="668"/>
      <c r="M4056" s="668"/>
    </row>
    <row r="4057" spans="5:13">
      <c r="E4057" s="668"/>
      <c r="F4057" s="668"/>
      <c r="G4057" s="668"/>
      <c r="H4057" s="668"/>
      <c r="I4057" s="668"/>
      <c r="J4057" s="668"/>
      <c r="K4057" s="668"/>
      <c r="L4057" s="668"/>
      <c r="M4057" s="668"/>
    </row>
    <row r="4058" spans="5:13">
      <c r="E4058" s="668"/>
      <c r="F4058" s="668"/>
      <c r="G4058" s="668"/>
      <c r="H4058" s="668"/>
      <c r="I4058" s="668"/>
      <c r="J4058" s="668"/>
      <c r="K4058" s="668"/>
      <c r="L4058" s="668"/>
      <c r="M4058" s="668"/>
    </row>
    <row r="4059" spans="5:13">
      <c r="E4059" s="668"/>
      <c r="F4059" s="668"/>
      <c r="G4059" s="668"/>
      <c r="H4059" s="668"/>
      <c r="I4059" s="668"/>
      <c r="J4059" s="668"/>
      <c r="K4059" s="668"/>
      <c r="L4059" s="668"/>
      <c r="M4059" s="668"/>
    </row>
    <row r="4060" spans="5:13">
      <c r="E4060" s="668"/>
      <c r="F4060" s="668"/>
      <c r="G4060" s="668"/>
      <c r="H4060" s="668"/>
      <c r="I4060" s="668"/>
      <c r="J4060" s="668"/>
      <c r="K4060" s="668"/>
      <c r="L4060" s="668"/>
      <c r="M4060" s="668"/>
    </row>
    <row r="4061" spans="5:13">
      <c r="E4061" s="668"/>
      <c r="F4061" s="668"/>
      <c r="G4061" s="668"/>
      <c r="H4061" s="668"/>
      <c r="I4061" s="668"/>
      <c r="J4061" s="668"/>
      <c r="K4061" s="668"/>
      <c r="L4061" s="668"/>
      <c r="M4061" s="668"/>
    </row>
    <row r="4062" spans="5:13">
      <c r="E4062" s="668"/>
      <c r="F4062" s="668"/>
      <c r="G4062" s="668"/>
      <c r="H4062" s="668"/>
      <c r="I4062" s="668"/>
      <c r="J4062" s="668"/>
      <c r="K4062" s="668"/>
      <c r="L4062" s="668"/>
      <c r="M4062" s="668"/>
    </row>
    <row r="4063" spans="5:13">
      <c r="E4063" s="668"/>
      <c r="F4063" s="668"/>
      <c r="G4063" s="668"/>
      <c r="H4063" s="668"/>
      <c r="I4063" s="668"/>
      <c r="J4063" s="668"/>
      <c r="K4063" s="668"/>
      <c r="L4063" s="668"/>
      <c r="M4063" s="668"/>
    </row>
    <row r="4064" spans="5:13">
      <c r="E4064" s="668"/>
      <c r="F4064" s="668"/>
      <c r="G4064" s="668"/>
      <c r="H4064" s="668"/>
      <c r="I4064" s="668"/>
      <c r="J4064" s="668"/>
      <c r="K4064" s="668"/>
      <c r="L4064" s="668"/>
      <c r="M4064" s="668"/>
    </row>
    <row r="4065" spans="5:13">
      <c r="E4065" s="668"/>
      <c r="F4065" s="668"/>
      <c r="G4065" s="668"/>
      <c r="H4065" s="668"/>
      <c r="I4065" s="668"/>
      <c r="J4065" s="668"/>
      <c r="K4065" s="668"/>
      <c r="L4065" s="668"/>
      <c r="M4065" s="668"/>
    </row>
    <row r="4066" spans="5:13">
      <c r="E4066" s="668"/>
      <c r="F4066" s="668"/>
      <c r="G4066" s="668"/>
      <c r="H4066" s="668"/>
      <c r="I4066" s="668"/>
      <c r="J4066" s="668"/>
      <c r="K4066" s="668"/>
      <c r="L4066" s="668"/>
      <c r="M4066" s="668"/>
    </row>
    <row r="4067" spans="5:13">
      <c r="E4067" s="668"/>
      <c r="F4067" s="668"/>
      <c r="G4067" s="668"/>
      <c r="H4067" s="668"/>
      <c r="I4067" s="668"/>
      <c r="J4067" s="668"/>
      <c r="K4067" s="668"/>
      <c r="L4067" s="668"/>
      <c r="M4067" s="668"/>
    </row>
    <row r="4068" spans="5:13">
      <c r="E4068" s="668"/>
      <c r="F4068" s="668"/>
      <c r="G4068" s="668"/>
      <c r="H4068" s="668"/>
      <c r="I4068" s="668"/>
      <c r="J4068" s="668"/>
      <c r="K4068" s="668"/>
      <c r="L4068" s="668"/>
      <c r="M4068" s="668"/>
    </row>
    <row r="4069" spans="5:13">
      <c r="E4069" s="668"/>
      <c r="F4069" s="668"/>
      <c r="G4069" s="668"/>
      <c r="H4069" s="668"/>
      <c r="I4069" s="668"/>
      <c r="J4069" s="668"/>
      <c r="K4069" s="668"/>
      <c r="L4069" s="668"/>
      <c r="M4069" s="668"/>
    </row>
    <row r="4070" spans="5:13">
      <c r="E4070" s="668"/>
      <c r="F4070" s="668"/>
      <c r="G4070" s="668"/>
      <c r="H4070" s="668"/>
      <c r="I4070" s="668"/>
      <c r="J4070" s="668"/>
      <c r="K4070" s="668"/>
      <c r="L4070" s="668"/>
      <c r="M4070" s="668"/>
    </row>
    <row r="4071" spans="5:13">
      <c r="E4071" s="668"/>
      <c r="F4071" s="668"/>
      <c r="G4071" s="668"/>
      <c r="H4071" s="668"/>
      <c r="I4071" s="668"/>
      <c r="J4071" s="668"/>
      <c r="K4071" s="668"/>
      <c r="L4071" s="668"/>
      <c r="M4071" s="668"/>
    </row>
    <row r="4072" spans="5:13">
      <c r="E4072" s="668"/>
      <c r="F4072" s="668"/>
      <c r="G4072" s="668"/>
      <c r="H4072" s="668"/>
      <c r="I4072" s="668"/>
      <c r="J4072" s="668"/>
      <c r="K4072" s="668"/>
      <c r="L4072" s="668"/>
      <c r="M4072" s="668"/>
    </row>
    <row r="4073" spans="5:13">
      <c r="E4073" s="668"/>
      <c r="F4073" s="668"/>
      <c r="G4073" s="668"/>
      <c r="H4073" s="668"/>
      <c r="I4073" s="668"/>
      <c r="J4073" s="668"/>
      <c r="K4073" s="668"/>
      <c r="L4073" s="668"/>
      <c r="M4073" s="668"/>
    </row>
    <row r="4074" spans="5:13">
      <c r="E4074" s="668"/>
      <c r="F4074" s="668"/>
      <c r="G4074" s="668"/>
      <c r="H4074" s="668"/>
      <c r="I4074" s="668"/>
      <c r="J4074" s="668"/>
      <c r="K4074" s="668"/>
      <c r="L4074" s="668"/>
      <c r="M4074" s="668"/>
    </row>
    <row r="4075" spans="5:13">
      <c r="E4075" s="668"/>
      <c r="F4075" s="668"/>
      <c r="G4075" s="668"/>
      <c r="H4075" s="668"/>
      <c r="I4075" s="668"/>
      <c r="J4075" s="668"/>
      <c r="K4075" s="668"/>
      <c r="L4075" s="668"/>
      <c r="M4075" s="668"/>
    </row>
    <row r="4076" spans="5:13">
      <c r="E4076" s="668"/>
      <c r="F4076" s="668"/>
      <c r="G4076" s="668"/>
      <c r="H4076" s="668"/>
      <c r="I4076" s="668"/>
      <c r="J4076" s="668"/>
      <c r="K4076" s="668"/>
      <c r="L4076" s="668"/>
      <c r="M4076" s="668"/>
    </row>
    <row r="4077" spans="5:13">
      <c r="E4077" s="668"/>
      <c r="F4077" s="668"/>
      <c r="G4077" s="668"/>
      <c r="H4077" s="668"/>
      <c r="I4077" s="668"/>
      <c r="J4077" s="668"/>
      <c r="K4077" s="668"/>
      <c r="L4077" s="668"/>
      <c r="M4077" s="668"/>
    </row>
    <row r="4078" spans="5:13">
      <c r="E4078" s="668"/>
      <c r="F4078" s="668"/>
      <c r="G4078" s="668"/>
      <c r="H4078" s="668"/>
      <c r="I4078" s="668"/>
      <c r="J4078" s="668"/>
      <c r="K4078" s="668"/>
      <c r="L4078" s="668"/>
      <c r="M4078" s="668"/>
    </row>
    <row r="4079" spans="5:13">
      <c r="E4079" s="668"/>
      <c r="F4079" s="668"/>
      <c r="G4079" s="668"/>
      <c r="H4079" s="668"/>
      <c r="I4079" s="668"/>
      <c r="J4079" s="668"/>
      <c r="K4079" s="668"/>
      <c r="L4079" s="668"/>
      <c r="M4079" s="668"/>
    </row>
    <row r="4080" spans="5:13">
      <c r="E4080" s="668"/>
      <c r="F4080" s="668"/>
      <c r="G4080" s="668"/>
      <c r="H4080" s="668"/>
      <c r="I4080" s="668"/>
      <c r="J4080" s="668"/>
      <c r="K4080" s="668"/>
      <c r="L4080" s="668"/>
      <c r="M4080" s="668"/>
    </row>
    <row r="4081" spans="5:13">
      <c r="E4081" s="668"/>
      <c r="F4081" s="668"/>
      <c r="G4081" s="668"/>
      <c r="H4081" s="668"/>
      <c r="I4081" s="668"/>
      <c r="J4081" s="668"/>
      <c r="K4081" s="668"/>
      <c r="L4081" s="668"/>
      <c r="M4081" s="668"/>
    </row>
    <row r="4082" spans="5:13">
      <c r="E4082" s="668"/>
      <c r="F4082" s="668"/>
      <c r="G4082" s="668"/>
      <c r="H4082" s="668"/>
      <c r="I4082" s="668"/>
      <c r="J4082" s="668"/>
      <c r="K4082" s="668"/>
      <c r="L4082" s="668"/>
      <c r="M4082" s="668"/>
    </row>
    <row r="4083" spans="5:13">
      <c r="E4083" s="668"/>
      <c r="F4083" s="668"/>
      <c r="G4083" s="668"/>
      <c r="H4083" s="668"/>
      <c r="I4083" s="668"/>
      <c r="J4083" s="668"/>
      <c r="K4083" s="668"/>
      <c r="L4083" s="668"/>
      <c r="M4083" s="668"/>
    </row>
    <row r="4084" spans="5:13">
      <c r="E4084" s="668"/>
      <c r="F4084" s="668"/>
      <c r="G4084" s="668"/>
      <c r="H4084" s="668"/>
      <c r="I4084" s="668"/>
      <c r="J4084" s="668"/>
      <c r="K4084" s="668"/>
      <c r="L4084" s="668"/>
      <c r="M4084" s="668"/>
    </row>
    <row r="4085" spans="5:13">
      <c r="E4085" s="668"/>
      <c r="F4085" s="668"/>
      <c r="G4085" s="668"/>
      <c r="H4085" s="668"/>
      <c r="I4085" s="668"/>
      <c r="J4085" s="668"/>
      <c r="K4085" s="668"/>
      <c r="L4085" s="668"/>
      <c r="M4085" s="668"/>
    </row>
    <row r="4086" spans="5:13">
      <c r="E4086" s="668"/>
      <c r="F4086" s="668"/>
      <c r="G4086" s="668"/>
      <c r="H4086" s="668"/>
      <c r="I4086" s="668"/>
      <c r="J4086" s="668"/>
      <c r="K4086" s="668"/>
      <c r="L4086" s="668"/>
      <c r="M4086" s="668"/>
    </row>
    <row r="4087" spans="5:13">
      <c r="E4087" s="668"/>
      <c r="F4087" s="668"/>
      <c r="G4087" s="668"/>
      <c r="H4087" s="668"/>
      <c r="I4087" s="668"/>
      <c r="J4087" s="668"/>
      <c r="K4087" s="668"/>
      <c r="L4087" s="668"/>
      <c r="M4087" s="668"/>
    </row>
    <row r="4088" spans="5:13">
      <c r="E4088" s="668"/>
      <c r="F4088" s="668"/>
      <c r="G4088" s="668"/>
      <c r="H4088" s="668"/>
      <c r="I4088" s="668"/>
      <c r="J4088" s="668"/>
      <c r="K4088" s="668"/>
      <c r="L4088" s="668"/>
      <c r="M4088" s="668"/>
    </row>
    <row r="4089" spans="5:13">
      <c r="E4089" s="668"/>
      <c r="F4089" s="668"/>
      <c r="G4089" s="668"/>
      <c r="H4089" s="668"/>
      <c r="I4089" s="668"/>
      <c r="J4089" s="668"/>
      <c r="K4089" s="668"/>
      <c r="L4089" s="668"/>
      <c r="M4089" s="668"/>
    </row>
    <row r="4090" spans="5:13">
      <c r="E4090" s="668"/>
      <c r="F4090" s="668"/>
      <c r="G4090" s="668"/>
      <c r="H4090" s="668"/>
      <c r="I4090" s="668"/>
      <c r="J4090" s="668"/>
      <c r="K4090" s="668"/>
      <c r="L4090" s="668"/>
      <c r="M4090" s="668"/>
    </row>
    <row r="4091" spans="5:13">
      <c r="E4091" s="668"/>
      <c r="F4091" s="668"/>
      <c r="G4091" s="668"/>
      <c r="H4091" s="668"/>
      <c r="I4091" s="668"/>
      <c r="J4091" s="668"/>
      <c r="K4091" s="668"/>
      <c r="L4091" s="668"/>
      <c r="M4091" s="668"/>
    </row>
    <row r="4092" spans="5:13">
      <c r="E4092" s="668"/>
      <c r="F4092" s="668"/>
      <c r="G4092" s="668"/>
      <c r="H4092" s="668"/>
      <c r="I4092" s="668"/>
      <c r="J4092" s="668"/>
      <c r="K4092" s="668"/>
      <c r="L4092" s="668"/>
      <c r="M4092" s="668"/>
    </row>
    <row r="4093" spans="5:13">
      <c r="E4093" s="668"/>
      <c r="F4093" s="668"/>
      <c r="G4093" s="668"/>
      <c r="H4093" s="668"/>
      <c r="I4093" s="668"/>
      <c r="J4093" s="668"/>
      <c r="K4093" s="668"/>
      <c r="L4093" s="668"/>
      <c r="M4093" s="668"/>
    </row>
    <row r="4094" spans="5:13">
      <c r="E4094" s="668"/>
      <c r="F4094" s="668"/>
      <c r="G4094" s="668"/>
      <c r="H4094" s="668"/>
      <c r="I4094" s="668"/>
      <c r="J4094" s="668"/>
      <c r="K4094" s="668"/>
      <c r="L4094" s="668"/>
      <c r="M4094" s="668"/>
    </row>
    <row r="4095" spans="5:13">
      <c r="E4095" s="668"/>
      <c r="F4095" s="668"/>
      <c r="G4095" s="668"/>
      <c r="H4095" s="668"/>
      <c r="I4095" s="668"/>
      <c r="J4095" s="668"/>
      <c r="K4095" s="668"/>
      <c r="L4095" s="668"/>
      <c r="M4095" s="668"/>
    </row>
    <row r="4096" spans="5:13">
      <c r="E4096" s="668"/>
      <c r="F4096" s="668"/>
      <c r="G4096" s="668"/>
      <c r="H4096" s="668"/>
      <c r="I4096" s="668"/>
      <c r="J4096" s="668"/>
      <c r="K4096" s="668"/>
      <c r="L4096" s="668"/>
      <c r="M4096" s="668"/>
    </row>
    <row r="4097" spans="5:13">
      <c r="E4097" s="668"/>
      <c r="F4097" s="668"/>
      <c r="G4097" s="668"/>
      <c r="H4097" s="668"/>
      <c r="I4097" s="668"/>
      <c r="J4097" s="668"/>
      <c r="K4097" s="668"/>
      <c r="L4097" s="668"/>
      <c r="M4097" s="668"/>
    </row>
    <row r="4098" spans="5:13">
      <c r="E4098" s="668"/>
      <c r="F4098" s="668"/>
      <c r="G4098" s="668"/>
      <c r="H4098" s="668"/>
      <c r="I4098" s="668"/>
      <c r="J4098" s="668"/>
      <c r="K4098" s="668"/>
      <c r="L4098" s="668"/>
      <c r="M4098" s="668"/>
    </row>
    <row r="4099" spans="5:13">
      <c r="E4099" s="668"/>
      <c r="F4099" s="668"/>
      <c r="G4099" s="668"/>
      <c r="H4099" s="668"/>
      <c r="I4099" s="668"/>
      <c r="J4099" s="668"/>
      <c r="K4099" s="668"/>
      <c r="L4099" s="668"/>
      <c r="M4099" s="668"/>
    </row>
    <row r="4100" spans="5:13">
      <c r="E4100" s="668"/>
      <c r="F4100" s="668"/>
      <c r="G4100" s="668"/>
      <c r="H4100" s="668"/>
      <c r="I4100" s="668"/>
      <c r="J4100" s="668"/>
      <c r="K4100" s="668"/>
      <c r="L4100" s="668"/>
      <c r="M4100" s="668"/>
    </row>
    <row r="4101" spans="5:13">
      <c r="E4101" s="668"/>
      <c r="F4101" s="668"/>
      <c r="G4101" s="668"/>
      <c r="H4101" s="668"/>
      <c r="I4101" s="668"/>
      <c r="J4101" s="668"/>
      <c r="K4101" s="668"/>
      <c r="L4101" s="668"/>
      <c r="M4101" s="668"/>
    </row>
    <row r="4102" spans="5:13">
      <c r="E4102" s="668"/>
      <c r="F4102" s="668"/>
      <c r="G4102" s="668"/>
      <c r="H4102" s="668"/>
      <c r="I4102" s="668"/>
      <c r="J4102" s="668"/>
      <c r="K4102" s="668"/>
      <c r="L4102" s="668"/>
      <c r="M4102" s="668"/>
    </row>
    <row r="4103" spans="5:13">
      <c r="E4103" s="668"/>
      <c r="F4103" s="668"/>
      <c r="G4103" s="668"/>
      <c r="H4103" s="668"/>
      <c r="I4103" s="668"/>
      <c r="J4103" s="668"/>
      <c r="K4103" s="668"/>
      <c r="L4103" s="668"/>
      <c r="M4103" s="668"/>
    </row>
    <row r="4104" spans="5:13">
      <c r="E4104" s="668"/>
      <c r="F4104" s="668"/>
      <c r="G4104" s="668"/>
      <c r="H4104" s="668"/>
      <c r="I4104" s="668"/>
      <c r="J4104" s="668"/>
      <c r="K4104" s="668"/>
      <c r="L4104" s="668"/>
      <c r="M4104" s="668"/>
    </row>
    <row r="4105" spans="5:13">
      <c r="E4105" s="668"/>
      <c r="F4105" s="668"/>
      <c r="G4105" s="668"/>
      <c r="H4105" s="668"/>
      <c r="I4105" s="668"/>
      <c r="J4105" s="668"/>
      <c r="K4105" s="668"/>
      <c r="L4105" s="668"/>
      <c r="M4105" s="668"/>
    </row>
    <row r="4106" spans="5:13">
      <c r="E4106" s="668"/>
      <c r="F4106" s="668"/>
      <c r="G4106" s="668"/>
      <c r="H4106" s="668"/>
      <c r="I4106" s="668"/>
      <c r="J4106" s="668"/>
      <c r="K4106" s="668"/>
      <c r="L4106" s="668"/>
      <c r="M4106" s="668"/>
    </row>
    <row r="4107" spans="5:13">
      <c r="E4107" s="668"/>
      <c r="F4107" s="668"/>
      <c r="G4107" s="668"/>
      <c r="H4107" s="668"/>
      <c r="I4107" s="668"/>
      <c r="J4107" s="668"/>
      <c r="K4107" s="668"/>
      <c r="L4107" s="668"/>
      <c r="M4107" s="668"/>
    </row>
    <row r="4108" spans="5:13">
      <c r="E4108" s="668"/>
      <c r="F4108" s="668"/>
      <c r="G4108" s="668"/>
      <c r="H4108" s="668"/>
      <c r="I4108" s="668"/>
      <c r="J4108" s="668"/>
      <c r="K4108" s="668"/>
      <c r="L4108" s="668"/>
      <c r="M4108" s="668"/>
    </row>
    <row r="4109" spans="5:13">
      <c r="E4109" s="668"/>
      <c r="F4109" s="668"/>
      <c r="G4109" s="668"/>
      <c r="H4109" s="668"/>
      <c r="I4109" s="668"/>
      <c r="J4109" s="668"/>
      <c r="K4109" s="668"/>
      <c r="L4109" s="668"/>
      <c r="M4109" s="668"/>
    </row>
    <row r="4110" spans="5:13">
      <c r="E4110" s="668"/>
      <c r="F4110" s="668"/>
      <c r="G4110" s="668"/>
      <c r="H4110" s="668"/>
      <c r="I4110" s="668"/>
      <c r="J4110" s="668"/>
      <c r="K4110" s="668"/>
      <c r="L4110" s="668"/>
      <c r="M4110" s="668"/>
    </row>
    <row r="4111" spans="5:13">
      <c r="E4111" s="668"/>
      <c r="F4111" s="668"/>
      <c r="G4111" s="668"/>
      <c r="H4111" s="668"/>
      <c r="I4111" s="668"/>
      <c r="J4111" s="668"/>
      <c r="K4111" s="668"/>
      <c r="L4111" s="668"/>
      <c r="M4111" s="668"/>
    </row>
    <row r="4112" spans="5:13">
      <c r="E4112" s="668"/>
      <c r="F4112" s="668"/>
      <c r="G4112" s="668"/>
      <c r="H4112" s="668"/>
      <c r="I4112" s="668"/>
      <c r="J4112" s="668"/>
      <c r="K4112" s="668"/>
      <c r="L4112" s="668"/>
      <c r="M4112" s="668"/>
    </row>
    <row r="4113" spans="5:13">
      <c r="E4113" s="668"/>
      <c r="F4113" s="668"/>
      <c r="G4113" s="668"/>
      <c r="H4113" s="668"/>
      <c r="I4113" s="668"/>
      <c r="J4113" s="668"/>
      <c r="K4113" s="668"/>
      <c r="L4113" s="668"/>
      <c r="M4113" s="668"/>
    </row>
    <row r="4114" spans="5:13">
      <c r="E4114" s="668"/>
      <c r="F4114" s="668"/>
      <c r="G4114" s="668"/>
      <c r="H4114" s="668"/>
      <c r="I4114" s="668"/>
      <c r="J4114" s="668"/>
      <c r="K4114" s="668"/>
      <c r="L4114" s="668"/>
      <c r="M4114" s="668"/>
    </row>
    <row r="4115" spans="5:13">
      <c r="E4115" s="668"/>
      <c r="F4115" s="668"/>
      <c r="G4115" s="668"/>
      <c r="H4115" s="668"/>
      <c r="I4115" s="668"/>
      <c r="J4115" s="668"/>
      <c r="K4115" s="668"/>
      <c r="L4115" s="668"/>
      <c r="M4115" s="668"/>
    </row>
    <row r="4116" spans="5:13">
      <c r="E4116" s="668"/>
      <c r="F4116" s="668"/>
      <c r="G4116" s="668"/>
      <c r="H4116" s="668"/>
      <c r="I4116" s="668"/>
      <c r="J4116" s="668"/>
      <c r="K4116" s="668"/>
      <c r="L4116" s="668"/>
      <c r="M4116" s="668"/>
    </row>
    <row r="4117" spans="5:13">
      <c r="E4117" s="668"/>
      <c r="F4117" s="668"/>
      <c r="G4117" s="668"/>
      <c r="H4117" s="668"/>
      <c r="I4117" s="668"/>
      <c r="J4117" s="668"/>
      <c r="K4117" s="668"/>
      <c r="L4117" s="668"/>
      <c r="M4117" s="668"/>
    </row>
    <row r="4118" spans="5:13">
      <c r="E4118" s="668"/>
      <c r="F4118" s="668"/>
      <c r="G4118" s="668"/>
      <c r="H4118" s="668"/>
      <c r="I4118" s="668"/>
      <c r="J4118" s="668"/>
      <c r="K4118" s="668"/>
      <c r="L4118" s="668"/>
      <c r="M4118" s="668"/>
    </row>
    <row r="4119" spans="5:13">
      <c r="E4119" s="668"/>
      <c r="F4119" s="668"/>
      <c r="G4119" s="668"/>
      <c r="H4119" s="668"/>
      <c r="I4119" s="668"/>
      <c r="J4119" s="668"/>
      <c r="K4119" s="668"/>
      <c r="L4119" s="668"/>
      <c r="M4119" s="668"/>
    </row>
    <row r="4120" spans="5:13">
      <c r="E4120" s="668"/>
      <c r="F4120" s="668"/>
      <c r="G4120" s="668"/>
      <c r="H4120" s="668"/>
      <c r="I4120" s="668"/>
      <c r="J4120" s="668"/>
      <c r="K4120" s="668"/>
      <c r="L4120" s="668"/>
      <c r="M4120" s="668"/>
    </row>
    <row r="4121" spans="5:13">
      <c r="E4121" s="668"/>
      <c r="F4121" s="668"/>
      <c r="G4121" s="668"/>
      <c r="H4121" s="668"/>
      <c r="I4121" s="668"/>
      <c r="J4121" s="668"/>
      <c r="K4121" s="668"/>
      <c r="L4121" s="668"/>
      <c r="M4121" s="668"/>
    </row>
    <row r="4122" spans="5:13">
      <c r="E4122" s="668"/>
      <c r="F4122" s="668"/>
      <c r="G4122" s="668"/>
      <c r="H4122" s="668"/>
      <c r="I4122" s="668"/>
      <c r="J4122" s="668"/>
      <c r="K4122" s="668"/>
      <c r="L4122" s="668"/>
      <c r="M4122" s="668"/>
    </row>
    <row r="4123" spans="5:13">
      <c r="E4123" s="668"/>
      <c r="F4123" s="668"/>
      <c r="G4123" s="668"/>
      <c r="H4123" s="668"/>
      <c r="I4123" s="668"/>
      <c r="J4123" s="668"/>
      <c r="K4123" s="668"/>
      <c r="L4123" s="668"/>
      <c r="M4123" s="668"/>
    </row>
    <row r="4124" spans="5:13">
      <c r="E4124" s="668"/>
      <c r="F4124" s="668"/>
      <c r="G4124" s="668"/>
      <c r="H4124" s="668"/>
      <c r="I4124" s="668"/>
      <c r="J4124" s="668"/>
      <c r="K4124" s="668"/>
      <c r="L4124" s="668"/>
      <c r="M4124" s="668"/>
    </row>
    <row r="4125" spans="5:13">
      <c r="E4125" s="668"/>
      <c r="F4125" s="668"/>
      <c r="G4125" s="668"/>
      <c r="H4125" s="668"/>
      <c r="I4125" s="668"/>
      <c r="J4125" s="668"/>
      <c r="K4125" s="668"/>
      <c r="L4125" s="668"/>
      <c r="M4125" s="668"/>
    </row>
    <row r="4126" spans="5:13">
      <c r="E4126" s="668"/>
      <c r="F4126" s="668"/>
      <c r="G4126" s="668"/>
      <c r="H4126" s="668"/>
      <c r="I4126" s="668"/>
      <c r="J4126" s="668"/>
      <c r="K4126" s="668"/>
      <c r="L4126" s="668"/>
      <c r="M4126" s="668"/>
    </row>
    <row r="4127" spans="5:13">
      <c r="E4127" s="668"/>
      <c r="F4127" s="668"/>
      <c r="G4127" s="668"/>
      <c r="H4127" s="668"/>
      <c r="I4127" s="668"/>
      <c r="J4127" s="668"/>
      <c r="K4127" s="668"/>
      <c r="L4127" s="668"/>
      <c r="M4127" s="668"/>
    </row>
    <row r="4128" spans="5:13">
      <c r="E4128" s="668"/>
      <c r="F4128" s="668"/>
      <c r="G4128" s="668"/>
      <c r="H4128" s="668"/>
      <c r="I4128" s="668"/>
      <c r="J4128" s="668"/>
      <c r="K4128" s="668"/>
      <c r="L4128" s="668"/>
      <c r="M4128" s="668"/>
    </row>
    <row r="4129" spans="5:13">
      <c r="E4129" s="668"/>
      <c r="F4129" s="668"/>
      <c r="G4129" s="668"/>
      <c r="H4129" s="668"/>
      <c r="I4129" s="668"/>
      <c r="J4129" s="668"/>
      <c r="K4129" s="668"/>
      <c r="L4129" s="668"/>
      <c r="M4129" s="668"/>
    </row>
    <row r="4130" spans="5:13">
      <c r="E4130" s="668"/>
      <c r="F4130" s="668"/>
      <c r="G4130" s="668"/>
      <c r="H4130" s="668"/>
      <c r="I4130" s="668"/>
      <c r="J4130" s="668"/>
      <c r="K4130" s="668"/>
      <c r="L4130" s="668"/>
      <c r="M4130" s="668"/>
    </row>
    <row r="4131" spans="5:13">
      <c r="E4131" s="668"/>
      <c r="F4131" s="668"/>
      <c r="G4131" s="668"/>
      <c r="H4131" s="668"/>
      <c r="I4131" s="668"/>
      <c r="J4131" s="668"/>
      <c r="K4131" s="668"/>
      <c r="L4131" s="668"/>
      <c r="M4131" s="668"/>
    </row>
    <row r="4132" spans="5:13">
      <c r="E4132" s="668"/>
      <c r="F4132" s="668"/>
      <c r="G4132" s="668"/>
      <c r="H4132" s="668"/>
      <c r="I4132" s="668"/>
      <c r="J4132" s="668"/>
      <c r="K4132" s="668"/>
      <c r="L4132" s="668"/>
      <c r="M4132" s="668"/>
    </row>
    <row r="4133" spans="5:13">
      <c r="E4133" s="668"/>
      <c r="F4133" s="668"/>
      <c r="G4133" s="668"/>
      <c r="H4133" s="668"/>
      <c r="I4133" s="668"/>
      <c r="J4133" s="668"/>
      <c r="K4133" s="668"/>
      <c r="L4133" s="668"/>
      <c r="M4133" s="668"/>
    </row>
    <row r="4134" spans="5:13">
      <c r="E4134" s="668"/>
      <c r="F4134" s="668"/>
      <c r="G4134" s="668"/>
      <c r="H4134" s="668"/>
      <c r="I4134" s="668"/>
      <c r="J4134" s="668"/>
      <c r="K4134" s="668"/>
      <c r="L4134" s="668"/>
      <c r="M4134" s="668"/>
    </row>
    <row r="4135" spans="5:13">
      <c r="E4135" s="668"/>
      <c r="F4135" s="668"/>
      <c r="G4135" s="668"/>
      <c r="H4135" s="668"/>
      <c r="I4135" s="668"/>
      <c r="J4135" s="668"/>
      <c r="K4135" s="668"/>
      <c r="L4135" s="668"/>
      <c r="M4135" s="668"/>
    </row>
    <row r="4136" spans="5:13">
      <c r="E4136" s="668"/>
      <c r="F4136" s="668"/>
      <c r="G4136" s="668"/>
      <c r="H4136" s="668"/>
      <c r="I4136" s="668"/>
      <c r="J4136" s="668"/>
      <c r="K4136" s="668"/>
      <c r="L4136" s="668"/>
      <c r="M4136" s="668"/>
    </row>
    <row r="4137" spans="5:13">
      <c r="E4137" s="668"/>
      <c r="F4137" s="668"/>
      <c r="G4137" s="668"/>
      <c r="H4137" s="668"/>
      <c r="I4137" s="668"/>
      <c r="J4137" s="668"/>
      <c r="K4137" s="668"/>
      <c r="L4137" s="668"/>
      <c r="M4137" s="668"/>
    </row>
    <row r="4138" spans="5:13">
      <c r="E4138" s="668"/>
      <c r="F4138" s="668"/>
      <c r="G4138" s="668"/>
      <c r="H4138" s="668"/>
      <c r="I4138" s="668"/>
      <c r="J4138" s="668"/>
      <c r="K4138" s="668"/>
      <c r="L4138" s="668"/>
      <c r="M4138" s="668"/>
    </row>
    <row r="4139" spans="5:13">
      <c r="E4139" s="668"/>
      <c r="F4139" s="668"/>
      <c r="G4139" s="668"/>
      <c r="H4139" s="668"/>
      <c r="I4139" s="668"/>
      <c r="J4139" s="668"/>
      <c r="K4139" s="668"/>
      <c r="L4139" s="668"/>
      <c r="M4139" s="668"/>
    </row>
    <row r="4140" spans="5:13">
      <c r="E4140" s="668"/>
      <c r="F4140" s="668"/>
      <c r="G4140" s="668"/>
      <c r="H4140" s="668"/>
      <c r="I4140" s="668"/>
      <c r="J4140" s="668"/>
      <c r="K4140" s="668"/>
      <c r="L4140" s="668"/>
      <c r="M4140" s="668"/>
    </row>
    <row r="4141" spans="5:13">
      <c r="E4141" s="668"/>
      <c r="F4141" s="668"/>
      <c r="G4141" s="668"/>
      <c r="H4141" s="668"/>
      <c r="I4141" s="668"/>
      <c r="J4141" s="668"/>
      <c r="K4141" s="668"/>
      <c r="L4141" s="668"/>
      <c r="M4141" s="668"/>
    </row>
    <row r="4142" spans="5:13">
      <c r="E4142" s="668"/>
      <c r="F4142" s="668"/>
      <c r="G4142" s="668"/>
      <c r="H4142" s="668"/>
      <c r="I4142" s="668"/>
      <c r="J4142" s="668"/>
      <c r="K4142" s="668"/>
      <c r="L4142" s="668"/>
      <c r="M4142" s="668"/>
    </row>
    <row r="4143" spans="5:13">
      <c r="E4143" s="668"/>
      <c r="F4143" s="668"/>
      <c r="G4143" s="668"/>
      <c r="H4143" s="668"/>
      <c r="I4143" s="668"/>
      <c r="J4143" s="668"/>
      <c r="K4143" s="668"/>
      <c r="L4143" s="668"/>
      <c r="M4143" s="668"/>
    </row>
    <row r="4144" spans="5:13">
      <c r="E4144" s="668"/>
      <c r="F4144" s="668"/>
      <c r="G4144" s="668"/>
      <c r="H4144" s="668"/>
      <c r="I4144" s="668"/>
      <c r="J4144" s="668"/>
      <c r="K4144" s="668"/>
      <c r="L4144" s="668"/>
      <c r="M4144" s="668"/>
    </row>
    <row r="4145" spans="5:13">
      <c r="E4145" s="668"/>
      <c r="F4145" s="668"/>
      <c r="G4145" s="668"/>
      <c r="H4145" s="668"/>
      <c r="I4145" s="668"/>
      <c r="J4145" s="668"/>
      <c r="K4145" s="668"/>
      <c r="L4145" s="668"/>
      <c r="M4145" s="668"/>
    </row>
    <row r="4146" spans="5:13">
      <c r="E4146" s="668"/>
      <c r="F4146" s="668"/>
      <c r="G4146" s="668"/>
      <c r="H4146" s="668"/>
      <c r="I4146" s="668"/>
      <c r="J4146" s="668"/>
      <c r="K4146" s="668"/>
      <c r="L4146" s="668"/>
      <c r="M4146" s="668"/>
    </row>
    <row r="4147" spans="5:13">
      <c r="E4147" s="668"/>
      <c r="F4147" s="668"/>
      <c r="G4147" s="668"/>
      <c r="H4147" s="668"/>
      <c r="I4147" s="668"/>
      <c r="J4147" s="668"/>
      <c r="K4147" s="668"/>
      <c r="L4147" s="668"/>
      <c r="M4147" s="668"/>
    </row>
    <row r="4148" spans="5:13">
      <c r="E4148" s="668"/>
      <c r="F4148" s="668"/>
      <c r="G4148" s="668"/>
      <c r="H4148" s="668"/>
      <c r="I4148" s="668"/>
      <c r="J4148" s="668"/>
      <c r="K4148" s="668"/>
      <c r="L4148" s="668"/>
      <c r="M4148" s="668"/>
    </row>
    <row r="4149" spans="5:13">
      <c r="E4149" s="668"/>
      <c r="F4149" s="668"/>
      <c r="G4149" s="668"/>
      <c r="H4149" s="668"/>
      <c r="I4149" s="668"/>
      <c r="J4149" s="668"/>
      <c r="K4149" s="668"/>
      <c r="L4149" s="668"/>
      <c r="M4149" s="668"/>
    </row>
    <row r="4150" spans="5:13">
      <c r="E4150" s="668"/>
      <c r="F4150" s="668"/>
      <c r="G4150" s="668"/>
      <c r="H4150" s="668"/>
      <c r="I4150" s="668"/>
      <c r="J4150" s="668"/>
      <c r="K4150" s="668"/>
      <c r="L4150" s="668"/>
      <c r="M4150" s="668"/>
    </row>
    <row r="4151" spans="5:13">
      <c r="E4151" s="668"/>
      <c r="F4151" s="668"/>
      <c r="G4151" s="668"/>
      <c r="H4151" s="668"/>
      <c r="I4151" s="668"/>
      <c r="J4151" s="668"/>
      <c r="K4151" s="668"/>
      <c r="L4151" s="668"/>
      <c r="M4151" s="668"/>
    </row>
    <row r="4152" spans="5:13">
      <c r="E4152" s="668"/>
      <c r="F4152" s="668"/>
      <c r="G4152" s="668"/>
      <c r="H4152" s="668"/>
      <c r="I4152" s="668"/>
      <c r="J4152" s="668"/>
      <c r="K4152" s="668"/>
      <c r="L4152" s="668"/>
      <c r="M4152" s="668"/>
    </row>
    <row r="4153" spans="5:13">
      <c r="E4153" s="668"/>
      <c r="F4153" s="668"/>
      <c r="G4153" s="668"/>
      <c r="H4153" s="668"/>
      <c r="I4153" s="668"/>
      <c r="J4153" s="668"/>
      <c r="K4153" s="668"/>
      <c r="L4153" s="668"/>
      <c r="M4153" s="668"/>
    </row>
    <row r="4154" spans="5:13">
      <c r="E4154" s="668"/>
      <c r="F4154" s="668"/>
      <c r="G4154" s="668"/>
      <c r="H4154" s="668"/>
      <c r="I4154" s="668"/>
      <c r="J4154" s="668"/>
      <c r="K4154" s="668"/>
      <c r="L4154" s="668"/>
      <c r="M4154" s="668"/>
    </row>
    <row r="4155" spans="5:13">
      <c r="E4155" s="668"/>
      <c r="F4155" s="668"/>
      <c r="G4155" s="668"/>
      <c r="H4155" s="668"/>
      <c r="I4155" s="668"/>
      <c r="J4155" s="668"/>
      <c r="K4155" s="668"/>
      <c r="L4155" s="668"/>
      <c r="M4155" s="668"/>
    </row>
    <row r="4156" spans="5:13">
      <c r="E4156" s="668"/>
      <c r="F4156" s="668"/>
      <c r="G4156" s="668"/>
      <c r="H4156" s="668"/>
      <c r="I4156" s="668"/>
      <c r="J4156" s="668"/>
      <c r="K4156" s="668"/>
      <c r="L4156" s="668"/>
      <c r="M4156" s="668"/>
    </row>
    <row r="4157" spans="5:13">
      <c r="E4157" s="668"/>
      <c r="F4157" s="668"/>
      <c r="G4157" s="668"/>
      <c r="H4157" s="668"/>
      <c r="I4157" s="668"/>
      <c r="J4157" s="668"/>
      <c r="K4157" s="668"/>
      <c r="L4157" s="668"/>
      <c r="M4157" s="668"/>
    </row>
    <row r="4158" spans="5:13">
      <c r="E4158" s="668"/>
      <c r="F4158" s="668"/>
      <c r="G4158" s="668"/>
      <c r="H4158" s="668"/>
      <c r="I4158" s="668"/>
      <c r="J4158" s="668"/>
      <c r="K4158" s="668"/>
      <c r="L4158" s="668"/>
      <c r="M4158" s="668"/>
    </row>
    <row r="4159" spans="5:13">
      <c r="E4159" s="668"/>
      <c r="F4159" s="668"/>
      <c r="G4159" s="668"/>
      <c r="H4159" s="668"/>
      <c r="I4159" s="668"/>
      <c r="J4159" s="668"/>
      <c r="K4159" s="668"/>
      <c r="L4159" s="668"/>
      <c r="M4159" s="668"/>
    </row>
    <row r="4160" spans="5:13">
      <c r="E4160" s="668"/>
      <c r="F4160" s="668"/>
      <c r="G4160" s="668"/>
      <c r="H4160" s="668"/>
      <c r="I4160" s="668"/>
      <c r="J4160" s="668"/>
      <c r="K4160" s="668"/>
      <c r="L4160" s="668"/>
      <c r="M4160" s="668"/>
    </row>
    <row r="4161" spans="5:13">
      <c r="E4161" s="668"/>
      <c r="F4161" s="668"/>
      <c r="G4161" s="668"/>
      <c r="H4161" s="668"/>
      <c r="I4161" s="668"/>
      <c r="J4161" s="668"/>
      <c r="K4161" s="668"/>
      <c r="L4161" s="668"/>
      <c r="M4161" s="668"/>
    </row>
    <row r="4162" spans="5:13">
      <c r="E4162" s="668"/>
      <c r="F4162" s="668"/>
      <c r="G4162" s="668"/>
      <c r="H4162" s="668"/>
      <c r="I4162" s="668"/>
      <c r="J4162" s="668"/>
      <c r="K4162" s="668"/>
      <c r="L4162" s="668"/>
      <c r="M4162" s="668"/>
    </row>
    <row r="4163" spans="5:13">
      <c r="E4163" s="668"/>
      <c r="F4163" s="668"/>
      <c r="G4163" s="668"/>
      <c r="H4163" s="668"/>
      <c r="I4163" s="668"/>
      <c r="J4163" s="668"/>
      <c r="K4163" s="668"/>
      <c r="L4163" s="668"/>
      <c r="M4163" s="668"/>
    </row>
    <row r="4164" spans="5:13">
      <c r="E4164" s="668"/>
      <c r="F4164" s="668"/>
      <c r="G4164" s="668"/>
      <c r="H4164" s="668"/>
      <c r="I4164" s="668"/>
      <c r="J4164" s="668"/>
      <c r="K4164" s="668"/>
      <c r="L4164" s="668"/>
      <c r="M4164" s="668"/>
    </row>
    <row r="4165" spans="5:13">
      <c r="E4165" s="668"/>
      <c r="F4165" s="668"/>
      <c r="G4165" s="668"/>
      <c r="H4165" s="668"/>
      <c r="I4165" s="668"/>
      <c r="J4165" s="668"/>
      <c r="K4165" s="668"/>
      <c r="L4165" s="668"/>
      <c r="M4165" s="668"/>
    </row>
    <row r="4166" spans="5:13">
      <c r="E4166" s="668"/>
      <c r="F4166" s="668"/>
      <c r="G4166" s="668"/>
      <c r="H4166" s="668"/>
      <c r="I4166" s="668"/>
      <c r="J4166" s="668"/>
      <c r="K4166" s="668"/>
      <c r="L4166" s="668"/>
      <c r="M4166" s="668"/>
    </row>
    <row r="4167" spans="5:13">
      <c r="E4167" s="668"/>
      <c r="F4167" s="668"/>
      <c r="G4167" s="668"/>
      <c r="H4167" s="668"/>
      <c r="I4167" s="668"/>
      <c r="J4167" s="668"/>
      <c r="K4167" s="668"/>
      <c r="L4167" s="668"/>
      <c r="M4167" s="668"/>
    </row>
    <row r="4168" spans="5:13">
      <c r="E4168" s="668"/>
      <c r="F4168" s="668"/>
      <c r="G4168" s="668"/>
      <c r="H4168" s="668"/>
      <c r="I4168" s="668"/>
      <c r="J4168" s="668"/>
      <c r="K4168" s="668"/>
      <c r="L4168" s="668"/>
      <c r="M4168" s="668"/>
    </row>
    <row r="4169" spans="5:13">
      <c r="E4169" s="668"/>
      <c r="F4169" s="668"/>
      <c r="G4169" s="668"/>
      <c r="H4169" s="668"/>
      <c r="I4169" s="668"/>
      <c r="J4169" s="668"/>
      <c r="K4169" s="668"/>
      <c r="L4169" s="668"/>
      <c r="M4169" s="668"/>
    </row>
    <row r="4170" spans="5:13">
      <c r="E4170" s="668"/>
      <c r="F4170" s="668"/>
      <c r="G4170" s="668"/>
      <c r="H4170" s="668"/>
      <c r="I4170" s="668"/>
      <c r="J4170" s="668"/>
      <c r="K4170" s="668"/>
      <c r="L4170" s="668"/>
      <c r="M4170" s="668"/>
    </row>
    <row r="4171" spans="5:13">
      <c r="E4171" s="668"/>
      <c r="F4171" s="668"/>
      <c r="G4171" s="668"/>
      <c r="H4171" s="668"/>
      <c r="I4171" s="668"/>
      <c r="J4171" s="668"/>
      <c r="K4171" s="668"/>
      <c r="L4171" s="668"/>
      <c r="M4171" s="668"/>
    </row>
    <row r="4172" spans="5:13">
      <c r="E4172" s="668"/>
      <c r="F4172" s="668"/>
      <c r="G4172" s="668"/>
      <c r="H4172" s="668"/>
      <c r="I4172" s="668"/>
      <c r="J4172" s="668"/>
      <c r="K4172" s="668"/>
      <c r="L4172" s="668"/>
      <c r="M4172" s="668"/>
    </row>
    <row r="4173" spans="5:13">
      <c r="E4173" s="668"/>
      <c r="F4173" s="668"/>
      <c r="G4173" s="668"/>
      <c r="H4173" s="668"/>
      <c r="I4173" s="668"/>
      <c r="J4173" s="668"/>
      <c r="K4173" s="668"/>
      <c r="L4173" s="668"/>
      <c r="M4173" s="668"/>
    </row>
    <row r="4174" spans="5:13">
      <c r="E4174" s="668"/>
      <c r="F4174" s="668"/>
      <c r="G4174" s="668"/>
      <c r="H4174" s="668"/>
      <c r="I4174" s="668"/>
      <c r="J4174" s="668"/>
      <c r="K4174" s="668"/>
      <c r="L4174" s="668"/>
      <c r="M4174" s="668"/>
    </row>
    <row r="4175" spans="5:13">
      <c r="E4175" s="668"/>
      <c r="F4175" s="668"/>
      <c r="G4175" s="668"/>
      <c r="H4175" s="668"/>
      <c r="I4175" s="668"/>
      <c r="J4175" s="668"/>
      <c r="K4175" s="668"/>
      <c r="L4175" s="668"/>
      <c r="M4175" s="668"/>
    </row>
    <row r="4176" spans="5:13">
      <c r="E4176" s="668"/>
      <c r="F4176" s="668"/>
      <c r="G4176" s="668"/>
      <c r="H4176" s="668"/>
      <c r="I4176" s="668"/>
      <c r="J4176" s="668"/>
      <c r="K4176" s="668"/>
      <c r="L4176" s="668"/>
      <c r="M4176" s="668"/>
    </row>
    <row r="4177" spans="5:13">
      <c r="E4177" s="668"/>
      <c r="F4177" s="668"/>
      <c r="G4177" s="668"/>
      <c r="H4177" s="668"/>
      <c r="I4177" s="668"/>
      <c r="J4177" s="668"/>
      <c r="K4177" s="668"/>
      <c r="L4177" s="668"/>
      <c r="M4177" s="668"/>
    </row>
    <row r="4178" spans="5:13">
      <c r="E4178" s="668"/>
      <c r="F4178" s="668"/>
      <c r="G4178" s="668"/>
      <c r="H4178" s="668"/>
      <c r="I4178" s="668"/>
      <c r="J4178" s="668"/>
      <c r="K4178" s="668"/>
      <c r="L4178" s="668"/>
      <c r="M4178" s="668"/>
    </row>
    <row r="4179" spans="5:13">
      <c r="E4179" s="668"/>
      <c r="F4179" s="668"/>
      <c r="G4179" s="668"/>
      <c r="H4179" s="668"/>
      <c r="I4179" s="668"/>
      <c r="J4179" s="668"/>
      <c r="K4179" s="668"/>
      <c r="L4179" s="668"/>
      <c r="M4179" s="668"/>
    </row>
    <row r="4180" spans="5:13">
      <c r="E4180" s="668"/>
      <c r="F4180" s="668"/>
      <c r="G4180" s="668"/>
      <c r="H4180" s="668"/>
      <c r="I4180" s="668"/>
      <c r="J4180" s="668"/>
      <c r="K4180" s="668"/>
      <c r="L4180" s="668"/>
      <c r="M4180" s="668"/>
    </row>
    <row r="4181" spans="5:13">
      <c r="E4181" s="668"/>
      <c r="F4181" s="668"/>
      <c r="G4181" s="668"/>
      <c r="H4181" s="668"/>
      <c r="I4181" s="668"/>
      <c r="J4181" s="668"/>
      <c r="K4181" s="668"/>
      <c r="L4181" s="668"/>
      <c r="M4181" s="668"/>
    </row>
    <row r="4182" spans="5:13">
      <c r="E4182" s="668"/>
      <c r="F4182" s="668"/>
      <c r="G4182" s="668"/>
      <c r="H4182" s="668"/>
      <c r="I4182" s="668"/>
      <c r="J4182" s="668"/>
      <c r="K4182" s="668"/>
      <c r="L4182" s="668"/>
      <c r="M4182" s="668"/>
    </row>
    <row r="4183" spans="5:13">
      <c r="E4183" s="668"/>
      <c r="F4183" s="668"/>
      <c r="G4183" s="668"/>
      <c r="H4183" s="668"/>
      <c r="I4183" s="668"/>
      <c r="J4183" s="668"/>
      <c r="K4183" s="668"/>
      <c r="L4183" s="668"/>
      <c r="M4183" s="668"/>
    </row>
    <row r="4184" spans="5:13">
      <c r="E4184" s="668"/>
      <c r="F4184" s="668"/>
      <c r="G4184" s="668"/>
      <c r="H4184" s="668"/>
      <c r="I4184" s="668"/>
      <c r="J4184" s="668"/>
      <c r="K4184" s="668"/>
      <c r="L4184" s="668"/>
      <c r="M4184" s="668"/>
    </row>
    <row r="4185" spans="5:13">
      <c r="E4185" s="668"/>
      <c r="F4185" s="668"/>
      <c r="G4185" s="668"/>
      <c r="H4185" s="668"/>
      <c r="I4185" s="668"/>
      <c r="J4185" s="668"/>
      <c r="K4185" s="668"/>
      <c r="L4185" s="668"/>
      <c r="M4185" s="668"/>
    </row>
    <row r="4186" spans="5:13">
      <c r="E4186" s="668"/>
      <c r="F4186" s="668"/>
      <c r="G4186" s="668"/>
      <c r="H4186" s="668"/>
      <c r="I4186" s="668"/>
      <c r="J4186" s="668"/>
      <c r="K4186" s="668"/>
      <c r="L4186" s="668"/>
      <c r="M4186" s="668"/>
    </row>
    <row r="4187" spans="5:13">
      <c r="E4187" s="668"/>
      <c r="F4187" s="668"/>
      <c r="G4187" s="668"/>
      <c r="H4187" s="668"/>
      <c r="I4187" s="668"/>
      <c r="J4187" s="668"/>
      <c r="K4187" s="668"/>
      <c r="L4187" s="668"/>
      <c r="M4187" s="668"/>
    </row>
    <row r="4188" spans="5:13">
      <c r="E4188" s="668"/>
      <c r="F4188" s="668"/>
      <c r="G4188" s="668"/>
      <c r="H4188" s="668"/>
      <c r="I4188" s="668"/>
      <c r="J4188" s="668"/>
      <c r="K4188" s="668"/>
      <c r="L4188" s="668"/>
      <c r="M4188" s="668"/>
    </row>
    <row r="4189" spans="5:13">
      <c r="E4189" s="668"/>
      <c r="F4189" s="668"/>
      <c r="G4189" s="668"/>
      <c r="H4189" s="668"/>
      <c r="I4189" s="668"/>
      <c r="J4189" s="668"/>
      <c r="K4189" s="668"/>
      <c r="L4189" s="668"/>
      <c r="M4189" s="668"/>
    </row>
    <row r="4190" spans="5:13">
      <c r="E4190" s="668"/>
      <c r="F4190" s="668"/>
      <c r="G4190" s="668"/>
      <c r="H4190" s="668"/>
      <c r="I4190" s="668"/>
      <c r="J4190" s="668"/>
      <c r="K4190" s="668"/>
      <c r="L4190" s="668"/>
      <c r="M4190" s="668"/>
    </row>
    <row r="4191" spans="5:13">
      <c r="E4191" s="668"/>
      <c r="F4191" s="668"/>
      <c r="G4191" s="668"/>
      <c r="H4191" s="668"/>
      <c r="I4191" s="668"/>
      <c r="J4191" s="668"/>
      <c r="K4191" s="668"/>
      <c r="L4191" s="668"/>
      <c r="M4191" s="668"/>
    </row>
    <row r="4192" spans="5:13">
      <c r="E4192" s="668"/>
      <c r="F4192" s="668"/>
      <c r="G4192" s="668"/>
      <c r="H4192" s="668"/>
      <c r="I4192" s="668"/>
      <c r="J4192" s="668"/>
      <c r="K4192" s="668"/>
      <c r="L4192" s="668"/>
      <c r="M4192" s="668"/>
    </row>
    <row r="4193" spans="5:13">
      <c r="E4193" s="668"/>
      <c r="F4193" s="668"/>
      <c r="G4193" s="668"/>
      <c r="H4193" s="668"/>
      <c r="I4193" s="668"/>
      <c r="J4193" s="668"/>
      <c r="K4193" s="668"/>
      <c r="L4193" s="668"/>
      <c r="M4193" s="668"/>
    </row>
    <row r="4194" spans="5:13">
      <c r="E4194" s="668"/>
      <c r="F4194" s="668"/>
      <c r="G4194" s="668"/>
      <c r="H4194" s="668"/>
      <c r="I4194" s="668"/>
      <c r="J4194" s="668"/>
      <c r="K4194" s="668"/>
      <c r="L4194" s="668"/>
      <c r="M4194" s="668"/>
    </row>
    <row r="4195" spans="5:13">
      <c r="E4195" s="668"/>
      <c r="F4195" s="668"/>
      <c r="G4195" s="668"/>
      <c r="H4195" s="668"/>
      <c r="I4195" s="668"/>
      <c r="J4195" s="668"/>
      <c r="K4195" s="668"/>
      <c r="L4195" s="668"/>
      <c r="M4195" s="668"/>
    </row>
    <row r="4196" spans="5:13">
      <c r="E4196" s="668"/>
      <c r="F4196" s="668"/>
      <c r="G4196" s="668"/>
      <c r="H4196" s="668"/>
      <c r="I4196" s="668"/>
      <c r="J4196" s="668"/>
      <c r="K4196" s="668"/>
      <c r="L4196" s="668"/>
      <c r="M4196" s="668"/>
    </row>
    <row r="4197" spans="5:13">
      <c r="E4197" s="668"/>
      <c r="F4197" s="668"/>
      <c r="G4197" s="668"/>
      <c r="H4197" s="668"/>
      <c r="I4197" s="668"/>
      <c r="J4197" s="668"/>
      <c r="K4197" s="668"/>
      <c r="L4197" s="668"/>
      <c r="M4197" s="668"/>
    </row>
    <row r="4198" spans="5:13">
      <c r="E4198" s="668"/>
      <c r="F4198" s="668"/>
      <c r="G4198" s="668"/>
      <c r="H4198" s="668"/>
      <c r="I4198" s="668"/>
      <c r="J4198" s="668"/>
      <c r="K4198" s="668"/>
      <c r="L4198" s="668"/>
      <c r="M4198" s="668"/>
    </row>
    <row r="4199" spans="5:13">
      <c r="E4199" s="668"/>
      <c r="F4199" s="668"/>
      <c r="G4199" s="668"/>
      <c r="H4199" s="668"/>
      <c r="I4199" s="668"/>
      <c r="J4199" s="668"/>
      <c r="K4199" s="668"/>
      <c r="L4199" s="668"/>
      <c r="M4199" s="668"/>
    </row>
    <row r="4200" spans="5:13">
      <c r="E4200" s="668"/>
      <c r="F4200" s="668"/>
      <c r="G4200" s="668"/>
      <c r="H4200" s="668"/>
      <c r="I4200" s="668"/>
      <c r="J4200" s="668"/>
      <c r="K4200" s="668"/>
      <c r="L4200" s="668"/>
      <c r="M4200" s="668"/>
    </row>
    <row r="4201" spans="5:13">
      <c r="E4201" s="668"/>
      <c r="F4201" s="668"/>
      <c r="G4201" s="668"/>
      <c r="H4201" s="668"/>
      <c r="I4201" s="668"/>
      <c r="J4201" s="668"/>
      <c r="K4201" s="668"/>
      <c r="L4201" s="668"/>
      <c r="M4201" s="668"/>
    </row>
    <row r="4202" spans="5:13">
      <c r="E4202" s="668"/>
      <c r="F4202" s="668"/>
      <c r="G4202" s="668"/>
      <c r="H4202" s="668"/>
      <c r="I4202" s="668"/>
      <c r="J4202" s="668"/>
      <c r="K4202" s="668"/>
      <c r="L4202" s="668"/>
      <c r="M4202" s="668"/>
    </row>
    <row r="4203" spans="5:13">
      <c r="E4203" s="668"/>
      <c r="F4203" s="668"/>
      <c r="G4203" s="668"/>
      <c r="H4203" s="668"/>
      <c r="I4203" s="668"/>
      <c r="J4203" s="668"/>
      <c r="K4203" s="668"/>
      <c r="L4203" s="668"/>
      <c r="M4203" s="668"/>
    </row>
    <row r="4204" spans="5:13">
      <c r="E4204" s="668"/>
      <c r="F4204" s="668"/>
      <c r="G4204" s="668"/>
      <c r="H4204" s="668"/>
      <c r="I4204" s="668"/>
      <c r="J4204" s="668"/>
      <c r="K4204" s="668"/>
      <c r="L4204" s="668"/>
      <c r="M4204" s="668"/>
    </row>
    <row r="4205" spans="5:13">
      <c r="E4205" s="668"/>
      <c r="F4205" s="668"/>
      <c r="G4205" s="668"/>
      <c r="H4205" s="668"/>
      <c r="I4205" s="668"/>
      <c r="J4205" s="668"/>
      <c r="K4205" s="668"/>
      <c r="L4205" s="668"/>
      <c r="M4205" s="668"/>
    </row>
    <row r="4206" spans="5:13">
      <c r="E4206" s="668"/>
      <c r="F4206" s="668"/>
      <c r="G4206" s="668"/>
      <c r="H4206" s="668"/>
      <c r="I4206" s="668"/>
      <c r="J4206" s="668"/>
      <c r="K4206" s="668"/>
      <c r="L4206" s="668"/>
      <c r="M4206" s="668"/>
    </row>
    <row r="4207" spans="5:13">
      <c r="E4207" s="668"/>
      <c r="F4207" s="668"/>
      <c r="G4207" s="668"/>
      <c r="H4207" s="668"/>
      <c r="I4207" s="668"/>
      <c r="J4207" s="668"/>
      <c r="K4207" s="668"/>
      <c r="L4207" s="668"/>
      <c r="M4207" s="668"/>
    </row>
    <row r="4208" spans="5:13">
      <c r="E4208" s="668"/>
      <c r="F4208" s="668"/>
      <c r="G4208" s="668"/>
      <c r="H4208" s="668"/>
      <c r="I4208" s="668"/>
      <c r="J4208" s="668"/>
      <c r="K4208" s="668"/>
      <c r="L4208" s="668"/>
      <c r="M4208" s="668"/>
    </row>
    <row r="4209" spans="5:13">
      <c r="E4209" s="668"/>
      <c r="F4209" s="668"/>
      <c r="G4209" s="668"/>
      <c r="H4209" s="668"/>
      <c r="I4209" s="668"/>
      <c r="J4209" s="668"/>
      <c r="K4209" s="668"/>
      <c r="L4209" s="668"/>
      <c r="M4209" s="668"/>
    </row>
    <row r="4210" spans="5:13">
      <c r="E4210" s="668"/>
      <c r="F4210" s="668"/>
      <c r="G4210" s="668"/>
      <c r="H4210" s="668"/>
      <c r="I4210" s="668"/>
      <c r="J4210" s="668"/>
      <c r="K4210" s="668"/>
      <c r="L4210" s="668"/>
      <c r="M4210" s="668"/>
    </row>
    <row r="4211" spans="5:13">
      <c r="E4211" s="668"/>
      <c r="F4211" s="668"/>
      <c r="G4211" s="668"/>
      <c r="H4211" s="668"/>
      <c r="I4211" s="668"/>
      <c r="J4211" s="668"/>
      <c r="K4211" s="668"/>
      <c r="L4211" s="668"/>
      <c r="M4211" s="668"/>
    </row>
    <row r="4212" spans="5:13">
      <c r="E4212" s="668"/>
      <c r="F4212" s="668"/>
      <c r="G4212" s="668"/>
      <c r="H4212" s="668"/>
      <c r="I4212" s="668"/>
      <c r="J4212" s="668"/>
      <c r="K4212" s="668"/>
      <c r="L4212" s="668"/>
      <c r="M4212" s="668"/>
    </row>
    <row r="4213" spans="5:13">
      <c r="E4213" s="668"/>
      <c r="F4213" s="668"/>
      <c r="G4213" s="668"/>
      <c r="H4213" s="668"/>
      <c r="I4213" s="668"/>
      <c r="J4213" s="668"/>
      <c r="K4213" s="668"/>
      <c r="L4213" s="668"/>
      <c r="M4213" s="668"/>
    </row>
    <row r="4214" spans="5:13">
      <c r="E4214" s="668"/>
      <c r="F4214" s="668"/>
      <c r="G4214" s="668"/>
      <c r="H4214" s="668"/>
      <c r="I4214" s="668"/>
      <c r="J4214" s="668"/>
      <c r="K4214" s="668"/>
      <c r="L4214" s="668"/>
      <c r="M4214" s="668"/>
    </row>
    <row r="4215" spans="5:13">
      <c r="E4215" s="668"/>
      <c r="F4215" s="668"/>
      <c r="G4215" s="668"/>
      <c r="H4215" s="668"/>
      <c r="I4215" s="668"/>
      <c r="J4215" s="668"/>
      <c r="K4215" s="668"/>
      <c r="L4215" s="668"/>
      <c r="M4215" s="668"/>
    </row>
    <row r="4216" spans="5:13">
      <c r="E4216" s="668"/>
      <c r="F4216" s="668"/>
      <c r="G4216" s="668"/>
      <c r="H4216" s="668"/>
      <c r="I4216" s="668"/>
      <c r="J4216" s="668"/>
      <c r="K4216" s="668"/>
      <c r="L4216" s="668"/>
      <c r="M4216" s="668"/>
    </row>
    <row r="4217" spans="5:13">
      <c r="E4217" s="668"/>
      <c r="F4217" s="668"/>
      <c r="G4217" s="668"/>
      <c r="H4217" s="668"/>
      <c r="I4217" s="668"/>
      <c r="J4217" s="668"/>
      <c r="K4217" s="668"/>
      <c r="L4217" s="668"/>
      <c r="M4217" s="668"/>
    </row>
    <row r="4218" spans="5:13">
      <c r="E4218" s="668"/>
      <c r="F4218" s="668"/>
      <c r="G4218" s="668"/>
      <c r="H4218" s="668"/>
      <c r="I4218" s="668"/>
      <c r="J4218" s="668"/>
      <c r="K4218" s="668"/>
      <c r="L4218" s="668"/>
      <c r="M4218" s="668"/>
    </row>
    <row r="4219" spans="5:13">
      <c r="E4219" s="668"/>
      <c r="F4219" s="668"/>
      <c r="G4219" s="668"/>
      <c r="H4219" s="668"/>
      <c r="I4219" s="668"/>
      <c r="J4219" s="668"/>
      <c r="K4219" s="668"/>
      <c r="L4219" s="668"/>
      <c r="M4219" s="668"/>
    </row>
    <row r="4220" spans="5:13">
      <c r="E4220" s="668"/>
      <c r="F4220" s="668"/>
      <c r="G4220" s="668"/>
      <c r="H4220" s="668"/>
      <c r="I4220" s="668"/>
      <c r="J4220" s="668"/>
      <c r="K4220" s="668"/>
      <c r="L4220" s="668"/>
      <c r="M4220" s="668"/>
    </row>
    <row r="4221" spans="5:13">
      <c r="E4221" s="668"/>
      <c r="F4221" s="668"/>
      <c r="G4221" s="668"/>
      <c r="H4221" s="668"/>
      <c r="I4221" s="668"/>
      <c r="J4221" s="668"/>
      <c r="K4221" s="668"/>
      <c r="L4221" s="668"/>
      <c r="M4221" s="668"/>
    </row>
    <row r="4222" spans="5:13">
      <c r="E4222" s="668"/>
      <c r="F4222" s="668"/>
      <c r="G4222" s="668"/>
      <c r="H4222" s="668"/>
      <c r="I4222" s="668"/>
      <c r="J4222" s="668"/>
      <c r="K4222" s="668"/>
      <c r="L4222" s="668"/>
      <c r="M4222" s="668"/>
    </row>
    <row r="4223" spans="5:13">
      <c r="E4223" s="668"/>
      <c r="F4223" s="668"/>
      <c r="G4223" s="668"/>
      <c r="H4223" s="668"/>
      <c r="I4223" s="668"/>
      <c r="J4223" s="668"/>
      <c r="K4223" s="668"/>
      <c r="L4223" s="668"/>
      <c r="M4223" s="668"/>
    </row>
    <row r="4224" spans="5:13">
      <c r="E4224" s="668"/>
      <c r="F4224" s="668"/>
      <c r="G4224" s="668"/>
      <c r="H4224" s="668"/>
      <c r="I4224" s="668"/>
      <c r="J4224" s="668"/>
      <c r="K4224" s="668"/>
      <c r="L4224" s="668"/>
      <c r="M4224" s="668"/>
    </row>
    <row r="4225" spans="5:13">
      <c r="E4225" s="668"/>
      <c r="F4225" s="668"/>
      <c r="G4225" s="668"/>
      <c r="H4225" s="668"/>
      <c r="I4225" s="668"/>
      <c r="J4225" s="668"/>
      <c r="K4225" s="668"/>
      <c r="L4225" s="668"/>
      <c r="M4225" s="668"/>
    </row>
    <row r="4226" spans="5:13">
      <c r="E4226" s="668"/>
      <c r="F4226" s="668"/>
      <c r="G4226" s="668"/>
      <c r="H4226" s="668"/>
      <c r="I4226" s="668"/>
      <c r="J4226" s="668"/>
      <c r="K4226" s="668"/>
      <c r="L4226" s="668"/>
      <c r="M4226" s="668"/>
    </row>
    <row r="4227" spans="5:13">
      <c r="E4227" s="668"/>
      <c r="F4227" s="668"/>
      <c r="G4227" s="668"/>
      <c r="H4227" s="668"/>
      <c r="I4227" s="668"/>
      <c r="J4227" s="668"/>
      <c r="K4227" s="668"/>
      <c r="L4227" s="668"/>
      <c r="M4227" s="668"/>
    </row>
    <row r="4228" spans="5:13">
      <c r="E4228" s="668"/>
      <c r="F4228" s="668"/>
      <c r="G4228" s="668"/>
      <c r="H4228" s="668"/>
      <c r="I4228" s="668"/>
      <c r="J4228" s="668"/>
      <c r="K4228" s="668"/>
      <c r="L4228" s="668"/>
      <c r="M4228" s="668"/>
    </row>
    <row r="4229" spans="5:13">
      <c r="E4229" s="668"/>
      <c r="F4229" s="668"/>
      <c r="G4229" s="668"/>
      <c r="H4229" s="668"/>
      <c r="I4229" s="668"/>
      <c r="J4229" s="668"/>
      <c r="K4229" s="668"/>
      <c r="L4229" s="668"/>
      <c r="M4229" s="668"/>
    </row>
    <row r="4230" spans="5:13">
      <c r="E4230" s="668"/>
      <c r="F4230" s="668"/>
      <c r="G4230" s="668"/>
      <c r="H4230" s="668"/>
      <c r="I4230" s="668"/>
      <c r="J4230" s="668"/>
      <c r="K4230" s="668"/>
      <c r="L4230" s="668"/>
      <c r="M4230" s="668"/>
    </row>
    <row r="4231" spans="5:13">
      <c r="E4231" s="668"/>
      <c r="F4231" s="668"/>
      <c r="G4231" s="668"/>
      <c r="H4231" s="668"/>
      <c r="I4231" s="668"/>
      <c r="J4231" s="668"/>
      <c r="K4231" s="668"/>
      <c r="L4231" s="668"/>
      <c r="M4231" s="668"/>
    </row>
    <row r="4232" spans="5:13">
      <c r="E4232" s="668"/>
      <c r="F4232" s="668"/>
      <c r="G4232" s="668"/>
      <c r="H4232" s="668"/>
      <c r="I4232" s="668"/>
      <c r="J4232" s="668"/>
      <c r="K4232" s="668"/>
      <c r="L4232" s="668"/>
      <c r="M4232" s="668"/>
    </row>
    <row r="4233" spans="5:13">
      <c r="E4233" s="668"/>
      <c r="F4233" s="668"/>
      <c r="G4233" s="668"/>
      <c r="H4233" s="668"/>
      <c r="I4233" s="668"/>
      <c r="J4233" s="668"/>
      <c r="K4233" s="668"/>
      <c r="L4233" s="668"/>
      <c r="M4233" s="668"/>
    </row>
    <row r="4234" spans="5:13">
      <c r="E4234" s="668"/>
      <c r="F4234" s="668"/>
      <c r="G4234" s="668"/>
      <c r="H4234" s="668"/>
      <c r="I4234" s="668"/>
      <c r="J4234" s="668"/>
      <c r="K4234" s="668"/>
      <c r="L4234" s="668"/>
      <c r="M4234" s="668"/>
    </row>
    <row r="4235" spans="5:13">
      <c r="E4235" s="668"/>
      <c r="F4235" s="668"/>
      <c r="G4235" s="668"/>
      <c r="H4235" s="668"/>
      <c r="I4235" s="668"/>
      <c r="J4235" s="668"/>
      <c r="K4235" s="668"/>
      <c r="L4235" s="668"/>
      <c r="M4235" s="668"/>
    </row>
    <row r="4236" spans="5:13">
      <c r="E4236" s="668"/>
      <c r="F4236" s="668"/>
      <c r="G4236" s="668"/>
      <c r="H4236" s="668"/>
      <c r="I4236" s="668"/>
      <c r="J4236" s="668"/>
      <c r="K4236" s="668"/>
      <c r="L4236" s="668"/>
      <c r="M4236" s="668"/>
    </row>
    <row r="4237" spans="5:13">
      <c r="E4237" s="668"/>
      <c r="F4237" s="668"/>
      <c r="G4237" s="668"/>
      <c r="H4237" s="668"/>
      <c r="I4237" s="668"/>
      <c r="J4237" s="668"/>
      <c r="K4237" s="668"/>
      <c r="L4237" s="668"/>
      <c r="M4237" s="668"/>
    </row>
    <row r="4238" spans="5:13">
      <c r="E4238" s="668"/>
      <c r="F4238" s="668"/>
      <c r="G4238" s="668"/>
      <c r="H4238" s="668"/>
      <c r="I4238" s="668"/>
      <c r="J4238" s="668"/>
      <c r="K4238" s="668"/>
      <c r="L4238" s="668"/>
      <c r="M4238" s="668"/>
    </row>
    <row r="4239" spans="5:13">
      <c r="E4239" s="668"/>
      <c r="F4239" s="668"/>
      <c r="G4239" s="668"/>
      <c r="H4239" s="668"/>
      <c r="I4239" s="668"/>
      <c r="J4239" s="668"/>
      <c r="K4239" s="668"/>
      <c r="L4239" s="668"/>
      <c r="M4239" s="668"/>
    </row>
    <row r="4240" spans="5:13">
      <c r="E4240" s="668"/>
      <c r="F4240" s="668"/>
      <c r="G4240" s="668"/>
      <c r="H4240" s="668"/>
      <c r="I4240" s="668"/>
      <c r="J4240" s="668"/>
      <c r="K4240" s="668"/>
      <c r="L4240" s="668"/>
      <c r="M4240" s="668"/>
    </row>
    <row r="4241" spans="5:13">
      <c r="E4241" s="668"/>
      <c r="F4241" s="668"/>
      <c r="G4241" s="668"/>
      <c r="H4241" s="668"/>
      <c r="I4241" s="668"/>
      <c r="J4241" s="668"/>
      <c r="K4241" s="668"/>
      <c r="L4241" s="668"/>
      <c r="M4241" s="668"/>
    </row>
    <row r="4242" spans="5:13">
      <c r="E4242" s="668"/>
      <c r="F4242" s="668"/>
      <c r="G4242" s="668"/>
      <c r="H4242" s="668"/>
      <c r="I4242" s="668"/>
      <c r="J4242" s="668"/>
      <c r="K4242" s="668"/>
      <c r="L4242" s="668"/>
      <c r="M4242" s="668"/>
    </row>
    <row r="4243" spans="5:13">
      <c r="E4243" s="668"/>
      <c r="F4243" s="668"/>
      <c r="G4243" s="668"/>
      <c r="H4243" s="668"/>
      <c r="I4243" s="668"/>
      <c r="J4243" s="668"/>
      <c r="K4243" s="668"/>
      <c r="L4243" s="668"/>
      <c r="M4243" s="668"/>
    </row>
    <row r="4244" spans="5:13">
      <c r="E4244" s="668"/>
      <c r="F4244" s="668"/>
      <c r="G4244" s="668"/>
      <c r="H4244" s="668"/>
      <c r="I4244" s="668"/>
      <c r="J4244" s="668"/>
      <c r="K4244" s="668"/>
      <c r="L4244" s="668"/>
      <c r="M4244" s="668"/>
    </row>
    <row r="4245" spans="5:13">
      <c r="E4245" s="668"/>
      <c r="F4245" s="668"/>
      <c r="G4245" s="668"/>
      <c r="H4245" s="668"/>
      <c r="I4245" s="668"/>
      <c r="J4245" s="668"/>
      <c r="K4245" s="668"/>
      <c r="L4245" s="668"/>
      <c r="M4245" s="668"/>
    </row>
    <row r="4246" spans="5:13">
      <c r="E4246" s="668"/>
      <c r="F4246" s="668"/>
      <c r="G4246" s="668"/>
      <c r="H4246" s="668"/>
      <c r="I4246" s="668"/>
      <c r="J4246" s="668"/>
      <c r="K4246" s="668"/>
      <c r="L4246" s="668"/>
      <c r="M4246" s="668"/>
    </row>
    <row r="4247" spans="5:13">
      <c r="E4247" s="668"/>
      <c r="F4247" s="668"/>
      <c r="G4247" s="668"/>
      <c r="H4247" s="668"/>
      <c r="I4247" s="668"/>
      <c r="J4247" s="668"/>
      <c r="K4247" s="668"/>
      <c r="L4247" s="668"/>
      <c r="M4247" s="668"/>
    </row>
    <row r="4248" spans="5:13">
      <c r="E4248" s="668"/>
      <c r="F4248" s="668"/>
      <c r="G4248" s="668"/>
      <c r="H4248" s="668"/>
      <c r="I4248" s="668"/>
      <c r="J4248" s="668"/>
      <c r="K4248" s="668"/>
      <c r="L4248" s="668"/>
      <c r="M4248" s="668"/>
    </row>
    <row r="4249" spans="5:13">
      <c r="E4249" s="668"/>
      <c r="F4249" s="668"/>
      <c r="G4249" s="668"/>
      <c r="H4249" s="668"/>
      <c r="I4249" s="668"/>
      <c r="J4249" s="668"/>
      <c r="K4249" s="668"/>
      <c r="L4249" s="668"/>
      <c r="M4249" s="668"/>
    </row>
    <row r="4250" spans="5:13">
      <c r="E4250" s="668"/>
      <c r="F4250" s="668"/>
      <c r="G4250" s="668"/>
      <c r="H4250" s="668"/>
      <c r="I4250" s="668"/>
      <c r="J4250" s="668"/>
      <c r="K4250" s="668"/>
      <c r="L4250" s="668"/>
      <c r="M4250" s="668"/>
    </row>
    <row r="4251" spans="5:13">
      <c r="E4251" s="668"/>
      <c r="F4251" s="668"/>
      <c r="G4251" s="668"/>
      <c r="H4251" s="668"/>
      <c r="I4251" s="668"/>
      <c r="J4251" s="668"/>
      <c r="K4251" s="668"/>
      <c r="L4251" s="668"/>
      <c r="M4251" s="668"/>
    </row>
    <row r="4252" spans="5:13">
      <c r="E4252" s="668"/>
      <c r="F4252" s="668"/>
      <c r="G4252" s="668"/>
      <c r="H4252" s="668"/>
      <c r="I4252" s="668"/>
      <c r="J4252" s="668"/>
      <c r="K4252" s="668"/>
      <c r="L4252" s="668"/>
      <c r="M4252" s="668"/>
    </row>
    <row r="4253" spans="5:13">
      <c r="E4253" s="668"/>
      <c r="F4253" s="668"/>
      <c r="G4253" s="668"/>
      <c r="H4253" s="668"/>
      <c r="I4253" s="668"/>
      <c r="J4253" s="668"/>
      <c r="K4253" s="668"/>
      <c r="L4253" s="668"/>
      <c r="M4253" s="668"/>
    </row>
    <row r="4254" spans="5:13">
      <c r="E4254" s="668"/>
      <c r="F4254" s="668"/>
      <c r="G4254" s="668"/>
      <c r="H4254" s="668"/>
      <c r="I4254" s="668"/>
      <c r="J4254" s="668"/>
      <c r="K4254" s="668"/>
      <c r="L4254" s="668"/>
      <c r="M4254" s="668"/>
    </row>
    <row r="4255" spans="5:13">
      <c r="E4255" s="668"/>
      <c r="F4255" s="668"/>
      <c r="G4255" s="668"/>
      <c r="H4255" s="668"/>
      <c r="I4255" s="668"/>
      <c r="J4255" s="668"/>
      <c r="K4255" s="668"/>
      <c r="L4255" s="668"/>
      <c r="M4255" s="668"/>
    </row>
    <row r="4256" spans="5:13">
      <c r="E4256" s="668"/>
      <c r="F4256" s="668"/>
      <c r="G4256" s="668"/>
      <c r="H4256" s="668"/>
      <c r="I4256" s="668"/>
      <c r="J4256" s="668"/>
      <c r="K4256" s="668"/>
      <c r="L4256" s="668"/>
      <c r="M4256" s="668"/>
    </row>
    <row r="4257" spans="5:13">
      <c r="E4257" s="668"/>
      <c r="F4257" s="668"/>
      <c r="G4257" s="668"/>
      <c r="H4257" s="668"/>
      <c r="I4257" s="668"/>
      <c r="J4257" s="668"/>
      <c r="K4257" s="668"/>
      <c r="L4257" s="668"/>
      <c r="M4257" s="668"/>
    </row>
    <row r="4258" spans="5:13">
      <c r="E4258" s="668"/>
      <c r="F4258" s="668"/>
      <c r="G4258" s="668"/>
      <c r="H4258" s="668"/>
      <c r="I4258" s="668"/>
      <c r="J4258" s="668"/>
      <c r="K4258" s="668"/>
      <c r="L4258" s="668"/>
      <c r="M4258" s="668"/>
    </row>
    <row r="4259" spans="5:13">
      <c r="E4259" s="668"/>
      <c r="F4259" s="668"/>
      <c r="G4259" s="668"/>
      <c r="H4259" s="668"/>
      <c r="I4259" s="668"/>
      <c r="J4259" s="668"/>
      <c r="K4259" s="668"/>
      <c r="L4259" s="668"/>
      <c r="M4259" s="668"/>
    </row>
    <row r="4260" spans="5:13">
      <c r="E4260" s="668"/>
      <c r="F4260" s="668"/>
      <c r="G4260" s="668"/>
      <c r="H4260" s="668"/>
      <c r="I4260" s="668"/>
      <c r="J4260" s="668"/>
      <c r="K4260" s="668"/>
      <c r="L4260" s="668"/>
      <c r="M4260" s="668"/>
    </row>
    <row r="4261" spans="5:13">
      <c r="E4261" s="668"/>
      <c r="F4261" s="668"/>
      <c r="G4261" s="668"/>
      <c r="H4261" s="668"/>
      <c r="I4261" s="668"/>
      <c r="J4261" s="668"/>
      <c r="K4261" s="668"/>
      <c r="L4261" s="668"/>
      <c r="M4261" s="668"/>
    </row>
    <row r="4262" spans="5:13">
      <c r="E4262" s="668"/>
      <c r="F4262" s="668"/>
      <c r="G4262" s="668"/>
      <c r="H4262" s="668"/>
      <c r="I4262" s="668"/>
      <c r="J4262" s="668"/>
      <c r="K4262" s="668"/>
      <c r="L4262" s="668"/>
      <c r="M4262" s="668"/>
    </row>
    <row r="4263" spans="5:13">
      <c r="E4263" s="668"/>
      <c r="F4263" s="668"/>
      <c r="G4263" s="668"/>
      <c r="H4263" s="668"/>
      <c r="I4263" s="668"/>
      <c r="J4263" s="668"/>
      <c r="K4263" s="668"/>
      <c r="L4263" s="668"/>
      <c r="M4263" s="668"/>
    </row>
    <row r="4264" spans="5:13">
      <c r="E4264" s="668"/>
      <c r="F4264" s="668"/>
      <c r="G4264" s="668"/>
      <c r="H4264" s="668"/>
      <c r="I4264" s="668"/>
      <c r="J4264" s="668"/>
      <c r="K4264" s="668"/>
      <c r="L4264" s="668"/>
      <c r="M4264" s="668"/>
    </row>
    <row r="4265" spans="5:13">
      <c r="E4265" s="668"/>
      <c r="F4265" s="668"/>
      <c r="G4265" s="668"/>
      <c r="H4265" s="668"/>
      <c r="I4265" s="668"/>
      <c r="J4265" s="668"/>
      <c r="K4265" s="668"/>
      <c r="L4265" s="668"/>
      <c r="M4265" s="668"/>
    </row>
    <row r="4266" spans="5:13">
      <c r="E4266" s="668"/>
      <c r="F4266" s="668"/>
      <c r="G4266" s="668"/>
      <c r="H4266" s="668"/>
      <c r="I4266" s="668"/>
      <c r="J4266" s="668"/>
      <c r="K4266" s="668"/>
      <c r="L4266" s="668"/>
      <c r="M4266" s="668"/>
    </row>
    <row r="4267" spans="5:13">
      <c r="E4267" s="668"/>
      <c r="F4267" s="668"/>
      <c r="G4267" s="668"/>
      <c r="H4267" s="668"/>
      <c r="I4267" s="668"/>
      <c r="J4267" s="668"/>
      <c r="K4267" s="668"/>
      <c r="L4267" s="668"/>
      <c r="M4267" s="668"/>
    </row>
    <row r="4268" spans="5:13">
      <c r="E4268" s="668"/>
      <c r="F4268" s="668"/>
      <c r="G4268" s="668"/>
      <c r="H4268" s="668"/>
      <c r="I4268" s="668"/>
      <c r="J4268" s="668"/>
      <c r="K4268" s="668"/>
      <c r="L4268" s="668"/>
      <c r="M4268" s="668"/>
    </row>
    <row r="4269" spans="5:13">
      <c r="E4269" s="668"/>
      <c r="F4269" s="668"/>
      <c r="G4269" s="668"/>
      <c r="H4269" s="668"/>
      <c r="I4269" s="668"/>
      <c r="J4269" s="668"/>
      <c r="K4269" s="668"/>
      <c r="L4269" s="668"/>
      <c r="M4269" s="668"/>
    </row>
    <row r="4270" spans="5:13">
      <c r="E4270" s="668"/>
      <c r="F4270" s="668"/>
      <c r="G4270" s="668"/>
      <c r="H4270" s="668"/>
      <c r="I4270" s="668"/>
      <c r="J4270" s="668"/>
      <c r="K4270" s="668"/>
      <c r="L4270" s="668"/>
      <c r="M4270" s="668"/>
    </row>
    <row r="4271" spans="5:13">
      <c r="E4271" s="668"/>
      <c r="F4271" s="668"/>
      <c r="G4271" s="668"/>
      <c r="H4271" s="668"/>
      <c r="I4271" s="668"/>
      <c r="J4271" s="668"/>
      <c r="K4271" s="668"/>
      <c r="L4271" s="668"/>
      <c r="M4271" s="668"/>
    </row>
    <row r="4272" spans="5:13">
      <c r="E4272" s="668"/>
      <c r="F4272" s="668"/>
      <c r="G4272" s="668"/>
      <c r="H4272" s="668"/>
      <c r="I4272" s="668"/>
      <c r="J4272" s="668"/>
      <c r="K4272" s="668"/>
      <c r="L4272" s="668"/>
      <c r="M4272" s="668"/>
    </row>
    <row r="4273" spans="5:13">
      <c r="E4273" s="668"/>
      <c r="F4273" s="668"/>
      <c r="G4273" s="668"/>
      <c r="H4273" s="668"/>
      <c r="I4273" s="668"/>
      <c r="J4273" s="668"/>
      <c r="K4273" s="668"/>
      <c r="L4273" s="668"/>
      <c r="M4273" s="668"/>
    </row>
    <row r="4274" spans="5:13">
      <c r="E4274" s="668"/>
      <c r="F4274" s="668"/>
      <c r="G4274" s="668"/>
      <c r="H4274" s="668"/>
      <c r="I4274" s="668"/>
      <c r="J4274" s="668"/>
      <c r="K4274" s="668"/>
      <c r="L4274" s="668"/>
      <c r="M4274" s="668"/>
    </row>
    <row r="4275" spans="5:13">
      <c r="E4275" s="668"/>
      <c r="F4275" s="668"/>
      <c r="G4275" s="668"/>
      <c r="H4275" s="668"/>
      <c r="I4275" s="668"/>
      <c r="J4275" s="668"/>
      <c r="K4275" s="668"/>
      <c r="L4275" s="668"/>
      <c r="M4275" s="668"/>
    </row>
    <row r="4276" spans="5:13">
      <c r="E4276" s="668"/>
      <c r="F4276" s="668"/>
      <c r="G4276" s="668"/>
      <c r="H4276" s="668"/>
      <c r="I4276" s="668"/>
      <c r="J4276" s="668"/>
      <c r="K4276" s="668"/>
      <c r="L4276" s="668"/>
      <c r="M4276" s="668"/>
    </row>
    <row r="4277" spans="5:13">
      <c r="E4277" s="668"/>
      <c r="F4277" s="668"/>
      <c r="G4277" s="668"/>
      <c r="H4277" s="668"/>
      <c r="I4277" s="668"/>
      <c r="J4277" s="668"/>
      <c r="K4277" s="668"/>
      <c r="L4277" s="668"/>
      <c r="M4277" s="668"/>
    </row>
    <row r="4278" spans="5:13">
      <c r="E4278" s="668"/>
      <c r="F4278" s="668"/>
      <c r="G4278" s="668"/>
      <c r="H4278" s="668"/>
      <c r="I4278" s="668"/>
      <c r="J4278" s="668"/>
      <c r="K4278" s="668"/>
      <c r="L4278" s="668"/>
      <c r="M4278" s="668"/>
    </row>
    <row r="4279" spans="5:13">
      <c r="E4279" s="668"/>
      <c r="F4279" s="668"/>
      <c r="G4279" s="668"/>
      <c r="H4279" s="668"/>
      <c r="I4279" s="668"/>
      <c r="J4279" s="668"/>
      <c r="K4279" s="668"/>
      <c r="L4279" s="668"/>
      <c r="M4279" s="668"/>
    </row>
    <row r="4280" spans="5:13">
      <c r="E4280" s="668"/>
      <c r="F4280" s="668"/>
      <c r="G4280" s="668"/>
      <c r="H4280" s="668"/>
      <c r="I4280" s="668"/>
      <c r="J4280" s="668"/>
      <c r="K4280" s="668"/>
      <c r="L4280" s="668"/>
      <c r="M4280" s="668"/>
    </row>
    <row r="4281" spans="5:13">
      <c r="E4281" s="668"/>
      <c r="F4281" s="668"/>
      <c r="G4281" s="668"/>
      <c r="H4281" s="668"/>
      <c r="I4281" s="668"/>
      <c r="J4281" s="668"/>
      <c r="K4281" s="668"/>
      <c r="L4281" s="668"/>
      <c r="M4281" s="668"/>
    </row>
    <row r="4282" spans="5:13">
      <c r="E4282" s="668"/>
      <c r="F4282" s="668"/>
      <c r="G4282" s="668"/>
      <c r="H4282" s="668"/>
      <c r="I4282" s="668"/>
      <c r="J4282" s="668"/>
      <c r="K4282" s="668"/>
      <c r="L4282" s="668"/>
      <c r="M4282" s="668"/>
    </row>
    <row r="4283" spans="5:13">
      <c r="E4283" s="668"/>
      <c r="F4283" s="668"/>
      <c r="G4283" s="668"/>
      <c r="H4283" s="668"/>
      <c r="I4283" s="668"/>
      <c r="J4283" s="668"/>
      <c r="K4283" s="668"/>
      <c r="L4283" s="668"/>
      <c r="M4283" s="668"/>
    </row>
    <row r="4284" spans="5:13">
      <c r="E4284" s="668"/>
      <c r="F4284" s="668"/>
      <c r="G4284" s="668"/>
      <c r="H4284" s="668"/>
      <c r="I4284" s="668"/>
      <c r="J4284" s="668"/>
      <c r="K4284" s="668"/>
      <c r="L4284" s="668"/>
      <c r="M4284" s="668"/>
    </row>
    <row r="4285" spans="5:13">
      <c r="E4285" s="668"/>
      <c r="F4285" s="668"/>
      <c r="G4285" s="668"/>
      <c r="H4285" s="668"/>
      <c r="I4285" s="668"/>
      <c r="J4285" s="668"/>
      <c r="K4285" s="668"/>
      <c r="L4285" s="668"/>
      <c r="M4285" s="668"/>
    </row>
    <row r="4286" spans="5:13">
      <c r="E4286" s="668"/>
      <c r="F4286" s="668"/>
      <c r="G4286" s="668"/>
      <c r="H4286" s="668"/>
      <c r="I4286" s="668"/>
      <c r="J4286" s="668"/>
      <c r="K4286" s="668"/>
      <c r="L4286" s="668"/>
      <c r="M4286" s="668"/>
    </row>
    <row r="4287" spans="5:13">
      <c r="E4287" s="668"/>
      <c r="F4287" s="668"/>
      <c r="G4287" s="668"/>
      <c r="H4287" s="668"/>
      <c r="I4287" s="668"/>
      <c r="J4287" s="668"/>
      <c r="K4287" s="668"/>
      <c r="L4287" s="668"/>
      <c r="M4287" s="668"/>
    </row>
    <row r="4288" spans="5:13">
      <c r="E4288" s="668"/>
      <c r="F4288" s="668"/>
      <c r="G4288" s="668"/>
      <c r="H4288" s="668"/>
      <c r="I4288" s="668"/>
      <c r="J4288" s="668"/>
      <c r="K4288" s="668"/>
      <c r="L4288" s="668"/>
      <c r="M4288" s="668"/>
    </row>
    <row r="4289" spans="5:13">
      <c r="E4289" s="668"/>
      <c r="F4289" s="668"/>
      <c r="G4289" s="668"/>
      <c r="H4289" s="668"/>
      <c r="I4289" s="668"/>
      <c r="J4289" s="668"/>
      <c r="K4289" s="668"/>
      <c r="L4289" s="668"/>
      <c r="M4289" s="668"/>
    </row>
    <row r="4290" spans="5:13">
      <c r="E4290" s="668"/>
      <c r="F4290" s="668"/>
      <c r="G4290" s="668"/>
      <c r="H4290" s="668"/>
      <c r="I4290" s="668"/>
      <c r="J4290" s="668"/>
      <c r="K4290" s="668"/>
      <c r="L4290" s="668"/>
      <c r="M4290" s="668"/>
    </row>
    <row r="4291" spans="5:13">
      <c r="E4291" s="668"/>
      <c r="F4291" s="668"/>
      <c r="G4291" s="668"/>
      <c r="H4291" s="668"/>
      <c r="I4291" s="668"/>
      <c r="J4291" s="668"/>
      <c r="K4291" s="668"/>
      <c r="L4291" s="668"/>
      <c r="M4291" s="668"/>
    </row>
    <row r="4292" spans="5:13">
      <c r="E4292" s="668"/>
      <c r="F4292" s="668"/>
      <c r="G4292" s="668"/>
      <c r="H4292" s="668"/>
      <c r="I4292" s="668"/>
      <c r="J4292" s="668"/>
      <c r="K4292" s="668"/>
      <c r="L4292" s="668"/>
      <c r="M4292" s="668"/>
    </row>
    <row r="4293" spans="5:13">
      <c r="E4293" s="668"/>
      <c r="F4293" s="668"/>
      <c r="G4293" s="668"/>
      <c r="H4293" s="668"/>
      <c r="I4293" s="668"/>
      <c r="J4293" s="668"/>
      <c r="K4293" s="668"/>
      <c r="L4293" s="668"/>
      <c r="M4293" s="668"/>
    </row>
    <row r="4294" spans="5:13">
      <c r="E4294" s="668"/>
      <c r="F4294" s="668"/>
      <c r="G4294" s="668"/>
      <c r="H4294" s="668"/>
      <c r="I4294" s="668"/>
      <c r="J4294" s="668"/>
      <c r="K4294" s="668"/>
      <c r="L4294" s="668"/>
      <c r="M4294" s="668"/>
    </row>
    <row r="4295" spans="5:13">
      <c r="E4295" s="668"/>
      <c r="F4295" s="668"/>
      <c r="G4295" s="668"/>
      <c r="H4295" s="668"/>
      <c r="I4295" s="668"/>
      <c r="J4295" s="668"/>
      <c r="K4295" s="668"/>
      <c r="L4295" s="668"/>
      <c r="M4295" s="668"/>
    </row>
    <row r="4296" spans="5:13">
      <c r="E4296" s="668"/>
      <c r="F4296" s="668"/>
      <c r="G4296" s="668"/>
      <c r="H4296" s="668"/>
      <c r="I4296" s="668"/>
      <c r="J4296" s="668"/>
      <c r="K4296" s="668"/>
      <c r="L4296" s="668"/>
      <c r="M4296" s="668"/>
    </row>
    <row r="4297" spans="5:13">
      <c r="E4297" s="668"/>
      <c r="F4297" s="668"/>
      <c r="G4297" s="668"/>
      <c r="H4297" s="668"/>
      <c r="I4297" s="668"/>
      <c r="J4297" s="668"/>
      <c r="K4297" s="668"/>
      <c r="L4297" s="668"/>
      <c r="M4297" s="668"/>
    </row>
    <row r="4298" spans="5:13">
      <c r="E4298" s="668"/>
      <c r="F4298" s="668"/>
      <c r="G4298" s="668"/>
      <c r="H4298" s="668"/>
      <c r="I4298" s="668"/>
      <c r="J4298" s="668"/>
      <c r="K4298" s="668"/>
      <c r="L4298" s="668"/>
      <c r="M4298" s="668"/>
    </row>
    <row r="4299" spans="5:13">
      <c r="E4299" s="668"/>
      <c r="F4299" s="668"/>
      <c r="G4299" s="668"/>
      <c r="H4299" s="668"/>
      <c r="I4299" s="668"/>
      <c r="J4299" s="668"/>
      <c r="K4299" s="668"/>
      <c r="L4299" s="668"/>
      <c r="M4299" s="668"/>
    </row>
    <row r="4300" spans="5:13">
      <c r="E4300" s="668"/>
      <c r="F4300" s="668"/>
      <c r="G4300" s="668"/>
      <c r="H4300" s="668"/>
      <c r="I4300" s="668"/>
      <c r="J4300" s="668"/>
      <c r="K4300" s="668"/>
      <c r="L4300" s="668"/>
      <c r="M4300" s="668"/>
    </row>
    <row r="4301" spans="5:13">
      <c r="E4301" s="668"/>
      <c r="F4301" s="668"/>
      <c r="G4301" s="668"/>
      <c r="H4301" s="668"/>
      <c r="I4301" s="668"/>
      <c r="J4301" s="668"/>
      <c r="K4301" s="668"/>
      <c r="L4301" s="668"/>
      <c r="M4301" s="668"/>
    </row>
    <row r="4302" spans="5:13">
      <c r="E4302" s="668"/>
      <c r="F4302" s="668"/>
      <c r="G4302" s="668"/>
      <c r="H4302" s="668"/>
      <c r="I4302" s="668"/>
      <c r="J4302" s="668"/>
      <c r="K4302" s="668"/>
      <c r="L4302" s="668"/>
      <c r="M4302" s="668"/>
    </row>
    <row r="4303" spans="5:13">
      <c r="E4303" s="668"/>
      <c r="F4303" s="668"/>
      <c r="G4303" s="668"/>
      <c r="H4303" s="668"/>
      <c r="I4303" s="668"/>
      <c r="J4303" s="668"/>
      <c r="K4303" s="668"/>
      <c r="L4303" s="668"/>
      <c r="M4303" s="668"/>
    </row>
    <row r="4304" spans="5:13">
      <c r="E4304" s="668"/>
      <c r="F4304" s="668"/>
      <c r="G4304" s="668"/>
      <c r="H4304" s="668"/>
      <c r="I4304" s="668"/>
      <c r="J4304" s="668"/>
      <c r="K4304" s="668"/>
      <c r="L4304" s="668"/>
      <c r="M4304" s="668"/>
    </row>
    <row r="4305" spans="5:13">
      <c r="E4305" s="668"/>
      <c r="F4305" s="668"/>
      <c r="G4305" s="668"/>
      <c r="H4305" s="668"/>
      <c r="I4305" s="668"/>
      <c r="J4305" s="668"/>
      <c r="K4305" s="668"/>
      <c r="L4305" s="668"/>
      <c r="M4305" s="668"/>
    </row>
    <row r="4306" spans="5:13">
      <c r="E4306" s="668"/>
      <c r="F4306" s="668"/>
      <c r="G4306" s="668"/>
      <c r="H4306" s="668"/>
      <c r="I4306" s="668"/>
      <c r="J4306" s="668"/>
      <c r="K4306" s="668"/>
      <c r="L4306" s="668"/>
      <c r="M4306" s="668"/>
    </row>
    <row r="4307" spans="5:13">
      <c r="E4307" s="668"/>
      <c r="F4307" s="668"/>
      <c r="G4307" s="668"/>
      <c r="H4307" s="668"/>
      <c r="I4307" s="668"/>
      <c r="J4307" s="668"/>
      <c r="K4307" s="668"/>
      <c r="L4307" s="668"/>
      <c r="M4307" s="668"/>
    </row>
    <row r="4308" spans="5:13">
      <c r="E4308" s="668"/>
      <c r="F4308" s="668"/>
      <c r="G4308" s="668"/>
      <c r="H4308" s="668"/>
      <c r="I4308" s="668"/>
      <c r="J4308" s="668"/>
      <c r="K4308" s="668"/>
      <c r="L4308" s="668"/>
      <c r="M4308" s="668"/>
    </row>
    <row r="4309" spans="5:13">
      <c r="E4309" s="668"/>
      <c r="F4309" s="668"/>
      <c r="G4309" s="668"/>
      <c r="H4309" s="668"/>
      <c r="I4309" s="668"/>
      <c r="J4309" s="668"/>
      <c r="K4309" s="668"/>
      <c r="L4309" s="668"/>
      <c r="M4309" s="668"/>
    </row>
    <row r="4310" spans="5:13">
      <c r="E4310" s="668"/>
      <c r="F4310" s="668"/>
      <c r="G4310" s="668"/>
      <c r="H4310" s="668"/>
      <c r="I4310" s="668"/>
      <c r="J4310" s="668"/>
      <c r="K4310" s="668"/>
      <c r="L4310" s="668"/>
      <c r="M4310" s="668"/>
    </row>
    <row r="4311" spans="5:13">
      <c r="E4311" s="668"/>
      <c r="F4311" s="668"/>
      <c r="G4311" s="668"/>
      <c r="H4311" s="668"/>
      <c r="I4311" s="668"/>
      <c r="J4311" s="668"/>
      <c r="K4311" s="668"/>
      <c r="L4311" s="668"/>
      <c r="M4311" s="668"/>
    </row>
    <row r="4312" spans="5:13">
      <c r="E4312" s="668"/>
      <c r="F4312" s="668"/>
      <c r="G4312" s="668"/>
      <c r="H4312" s="668"/>
      <c r="I4312" s="668"/>
      <c r="J4312" s="668"/>
      <c r="K4312" s="668"/>
      <c r="L4312" s="668"/>
      <c r="M4312" s="668"/>
    </row>
    <row r="4313" spans="5:13">
      <c r="E4313" s="668"/>
      <c r="F4313" s="668"/>
      <c r="G4313" s="668"/>
      <c r="H4313" s="668"/>
      <c r="I4313" s="668"/>
      <c r="J4313" s="668"/>
      <c r="K4313" s="668"/>
      <c r="L4313" s="668"/>
      <c r="M4313" s="668"/>
    </row>
    <row r="4314" spans="5:13">
      <c r="E4314" s="668"/>
      <c r="F4314" s="668"/>
      <c r="G4314" s="668"/>
      <c r="H4314" s="668"/>
      <c r="I4314" s="668"/>
      <c r="J4314" s="668"/>
      <c r="K4314" s="668"/>
      <c r="L4314" s="668"/>
      <c r="M4314" s="668"/>
    </row>
    <row r="4315" spans="5:13">
      <c r="E4315" s="668"/>
      <c r="F4315" s="668"/>
      <c r="G4315" s="668"/>
      <c r="H4315" s="668"/>
      <c r="I4315" s="668"/>
      <c r="J4315" s="668"/>
      <c r="K4315" s="668"/>
      <c r="L4315" s="668"/>
      <c r="M4315" s="668"/>
    </row>
    <row r="4316" spans="5:13">
      <c r="E4316" s="668"/>
      <c r="F4316" s="668"/>
      <c r="G4316" s="668"/>
      <c r="H4316" s="668"/>
      <c r="I4316" s="668"/>
      <c r="J4316" s="668"/>
      <c r="K4316" s="668"/>
      <c r="L4316" s="668"/>
      <c r="M4316" s="668"/>
    </row>
    <row r="4317" spans="5:13">
      <c r="E4317" s="668"/>
      <c r="F4317" s="668"/>
      <c r="G4317" s="668"/>
      <c r="H4317" s="668"/>
      <c r="I4317" s="668"/>
      <c r="J4317" s="668"/>
      <c r="K4317" s="668"/>
      <c r="L4317" s="668"/>
      <c r="M4317" s="668"/>
    </row>
    <row r="4318" spans="5:13">
      <c r="E4318" s="668"/>
      <c r="F4318" s="668"/>
      <c r="G4318" s="668"/>
      <c r="H4318" s="668"/>
      <c r="I4318" s="668"/>
      <c r="J4318" s="668"/>
      <c r="K4318" s="668"/>
      <c r="L4318" s="668"/>
      <c r="M4318" s="668"/>
    </row>
    <row r="4319" spans="5:13">
      <c r="E4319" s="668"/>
      <c r="F4319" s="668"/>
      <c r="G4319" s="668"/>
      <c r="H4319" s="668"/>
      <c r="I4319" s="668"/>
      <c r="J4319" s="668"/>
      <c r="K4319" s="668"/>
      <c r="L4319" s="668"/>
      <c r="M4319" s="668"/>
    </row>
    <row r="4320" spans="5:13">
      <c r="E4320" s="668"/>
      <c r="F4320" s="668"/>
      <c r="G4320" s="668"/>
      <c r="H4320" s="668"/>
      <c r="I4320" s="668"/>
      <c r="J4320" s="668"/>
      <c r="K4320" s="668"/>
      <c r="L4320" s="668"/>
      <c r="M4320" s="668"/>
    </row>
    <row r="4321" spans="5:13">
      <c r="E4321" s="668"/>
      <c r="F4321" s="668"/>
      <c r="G4321" s="668"/>
      <c r="H4321" s="668"/>
      <c r="I4321" s="668"/>
      <c r="J4321" s="668"/>
      <c r="K4321" s="668"/>
      <c r="L4321" s="668"/>
      <c r="M4321" s="668"/>
    </row>
    <row r="4322" spans="5:13">
      <c r="E4322" s="668"/>
      <c r="F4322" s="668"/>
      <c r="G4322" s="668"/>
      <c r="H4322" s="668"/>
      <c r="I4322" s="668"/>
      <c r="J4322" s="668"/>
      <c r="K4322" s="668"/>
      <c r="L4322" s="668"/>
      <c r="M4322" s="668"/>
    </row>
    <row r="4323" spans="5:13">
      <c r="E4323" s="668"/>
      <c r="F4323" s="668"/>
      <c r="G4323" s="668"/>
      <c r="H4323" s="668"/>
      <c r="I4323" s="668"/>
      <c r="J4323" s="668"/>
      <c r="K4323" s="668"/>
      <c r="L4323" s="668"/>
      <c r="M4323" s="668"/>
    </row>
    <row r="4324" spans="5:13">
      <c r="E4324" s="668"/>
      <c r="F4324" s="668"/>
      <c r="G4324" s="668"/>
      <c r="H4324" s="668"/>
      <c r="I4324" s="668"/>
      <c r="J4324" s="668"/>
      <c r="K4324" s="668"/>
      <c r="L4324" s="668"/>
      <c r="M4324" s="668"/>
    </row>
    <row r="4325" spans="5:13">
      <c r="E4325" s="668"/>
      <c r="F4325" s="668"/>
      <c r="G4325" s="668"/>
      <c r="H4325" s="668"/>
      <c r="I4325" s="668"/>
      <c r="J4325" s="668"/>
      <c r="K4325" s="668"/>
      <c r="L4325" s="668"/>
      <c r="M4325" s="668"/>
    </row>
    <row r="4326" spans="5:13">
      <c r="E4326" s="668"/>
      <c r="F4326" s="668"/>
      <c r="G4326" s="668"/>
      <c r="H4326" s="668"/>
      <c r="I4326" s="668"/>
      <c r="J4326" s="668"/>
      <c r="K4326" s="668"/>
      <c r="L4326" s="668"/>
      <c r="M4326" s="668"/>
    </row>
    <row r="4327" spans="5:13">
      <c r="E4327" s="668"/>
      <c r="F4327" s="668"/>
      <c r="G4327" s="668"/>
      <c r="H4327" s="668"/>
      <c r="I4327" s="668"/>
      <c r="J4327" s="668"/>
      <c r="K4327" s="668"/>
      <c r="L4327" s="668"/>
      <c r="M4327" s="668"/>
    </row>
    <row r="4328" spans="5:13">
      <c r="E4328" s="668"/>
      <c r="F4328" s="668"/>
      <c r="G4328" s="668"/>
      <c r="H4328" s="668"/>
      <c r="I4328" s="668"/>
      <c r="J4328" s="668"/>
      <c r="K4328" s="668"/>
      <c r="L4328" s="668"/>
      <c r="M4328" s="668"/>
    </row>
    <row r="4329" spans="5:13">
      <c r="E4329" s="668"/>
      <c r="F4329" s="668"/>
      <c r="G4329" s="668"/>
      <c r="H4329" s="668"/>
      <c r="I4329" s="668"/>
      <c r="J4329" s="668"/>
      <c r="K4329" s="668"/>
      <c r="L4329" s="668"/>
      <c r="M4329" s="668"/>
    </row>
    <row r="4330" spans="5:13">
      <c r="E4330" s="668"/>
      <c r="F4330" s="668"/>
      <c r="G4330" s="668"/>
      <c r="H4330" s="668"/>
      <c r="I4330" s="668"/>
      <c r="J4330" s="668"/>
      <c r="K4330" s="668"/>
      <c r="L4330" s="668"/>
      <c r="M4330" s="668"/>
    </row>
    <row r="4331" spans="5:13">
      <c r="E4331" s="668"/>
      <c r="F4331" s="668"/>
      <c r="G4331" s="668"/>
      <c r="H4331" s="668"/>
      <c r="I4331" s="668"/>
      <c r="J4331" s="668"/>
      <c r="K4331" s="668"/>
      <c r="L4331" s="668"/>
      <c r="M4331" s="668"/>
    </row>
    <row r="4332" spans="5:13">
      <c r="E4332" s="668"/>
      <c r="F4332" s="668"/>
      <c r="G4332" s="668"/>
      <c r="H4332" s="668"/>
      <c r="I4332" s="668"/>
      <c r="J4332" s="668"/>
      <c r="K4332" s="668"/>
      <c r="L4332" s="668"/>
      <c r="M4332" s="668"/>
    </row>
    <row r="4333" spans="5:13">
      <c r="E4333" s="668"/>
      <c r="F4333" s="668"/>
      <c r="G4333" s="668"/>
      <c r="H4333" s="668"/>
      <c r="I4333" s="668"/>
      <c r="J4333" s="668"/>
      <c r="K4333" s="668"/>
      <c r="L4333" s="668"/>
      <c r="M4333" s="668"/>
    </row>
    <row r="4334" spans="5:13">
      <c r="E4334" s="668"/>
      <c r="F4334" s="668"/>
      <c r="G4334" s="668"/>
      <c r="H4334" s="668"/>
      <c r="I4334" s="668"/>
      <c r="J4334" s="668"/>
      <c r="K4334" s="668"/>
      <c r="L4334" s="668"/>
      <c r="M4334" s="668"/>
    </row>
    <row r="4335" spans="5:13">
      <c r="E4335" s="668"/>
      <c r="F4335" s="668"/>
      <c r="G4335" s="668"/>
      <c r="H4335" s="668"/>
      <c r="I4335" s="668"/>
      <c r="J4335" s="668"/>
      <c r="K4335" s="668"/>
      <c r="L4335" s="668"/>
      <c r="M4335" s="668"/>
    </row>
    <row r="4336" spans="5:13">
      <c r="E4336" s="668"/>
      <c r="F4336" s="668"/>
      <c r="G4336" s="668"/>
      <c r="H4336" s="668"/>
      <c r="I4336" s="668"/>
      <c r="J4336" s="668"/>
      <c r="K4336" s="668"/>
      <c r="L4336" s="668"/>
      <c r="M4336" s="668"/>
    </row>
    <row r="4337" spans="5:13">
      <c r="E4337" s="668"/>
      <c r="F4337" s="668"/>
      <c r="G4337" s="668"/>
      <c r="H4337" s="668"/>
      <c r="I4337" s="668"/>
      <c r="J4337" s="668"/>
      <c r="K4337" s="668"/>
      <c r="L4337" s="668"/>
      <c r="M4337" s="668"/>
    </row>
    <row r="4338" spans="5:13">
      <c r="E4338" s="668"/>
      <c r="F4338" s="668"/>
      <c r="G4338" s="668"/>
      <c r="H4338" s="668"/>
      <c r="I4338" s="668"/>
      <c r="J4338" s="668"/>
      <c r="K4338" s="668"/>
      <c r="L4338" s="668"/>
      <c r="M4338" s="668"/>
    </row>
    <row r="4339" spans="5:13">
      <c r="E4339" s="668"/>
      <c r="F4339" s="668"/>
      <c r="G4339" s="668"/>
      <c r="H4339" s="668"/>
      <c r="I4339" s="668"/>
      <c r="J4339" s="668"/>
      <c r="K4339" s="668"/>
      <c r="L4339" s="668"/>
      <c r="M4339" s="668"/>
    </row>
    <row r="4340" spans="5:13">
      <c r="E4340" s="668"/>
      <c r="F4340" s="668"/>
      <c r="G4340" s="668"/>
      <c r="H4340" s="668"/>
      <c r="I4340" s="668"/>
      <c r="J4340" s="668"/>
      <c r="K4340" s="668"/>
      <c r="L4340" s="668"/>
      <c r="M4340" s="668"/>
    </row>
    <row r="4341" spans="5:13">
      <c r="E4341" s="668"/>
      <c r="F4341" s="668"/>
      <c r="G4341" s="668"/>
      <c r="H4341" s="668"/>
      <c r="I4341" s="668"/>
      <c r="J4341" s="668"/>
      <c r="K4341" s="668"/>
      <c r="L4341" s="668"/>
      <c r="M4341" s="668"/>
    </row>
    <row r="4342" spans="5:13">
      <c r="E4342" s="668"/>
      <c r="F4342" s="668"/>
      <c r="G4342" s="668"/>
      <c r="H4342" s="668"/>
      <c r="I4342" s="668"/>
      <c r="J4342" s="668"/>
      <c r="K4342" s="668"/>
      <c r="L4342" s="668"/>
      <c r="M4342" s="668"/>
    </row>
    <row r="4343" spans="5:13">
      <c r="E4343" s="668"/>
      <c r="F4343" s="668"/>
      <c r="G4343" s="668"/>
      <c r="H4343" s="668"/>
      <c r="I4343" s="668"/>
      <c r="J4343" s="668"/>
      <c r="K4343" s="668"/>
      <c r="L4343" s="668"/>
      <c r="M4343" s="668"/>
    </row>
    <row r="4344" spans="5:13">
      <c r="E4344" s="668"/>
      <c r="F4344" s="668"/>
      <c r="G4344" s="668"/>
      <c r="H4344" s="668"/>
      <c r="I4344" s="668"/>
      <c r="J4344" s="668"/>
      <c r="K4344" s="668"/>
      <c r="L4344" s="668"/>
      <c r="M4344" s="668"/>
    </row>
    <row r="4345" spans="5:13">
      <c r="E4345" s="668"/>
      <c r="F4345" s="668"/>
      <c r="G4345" s="668"/>
      <c r="H4345" s="668"/>
      <c r="I4345" s="668"/>
      <c r="J4345" s="668"/>
      <c r="K4345" s="668"/>
      <c r="L4345" s="668"/>
      <c r="M4345" s="668"/>
    </row>
    <row r="4346" spans="5:13">
      <c r="E4346" s="668"/>
      <c r="F4346" s="668"/>
      <c r="G4346" s="668"/>
      <c r="H4346" s="668"/>
      <c r="I4346" s="668"/>
      <c r="J4346" s="668"/>
      <c r="K4346" s="668"/>
      <c r="L4346" s="668"/>
      <c r="M4346" s="668"/>
    </row>
    <row r="4347" spans="5:13">
      <c r="E4347" s="668"/>
      <c r="F4347" s="668"/>
      <c r="G4347" s="668"/>
      <c r="H4347" s="668"/>
      <c r="I4347" s="668"/>
      <c r="J4347" s="668"/>
      <c r="K4347" s="668"/>
      <c r="L4347" s="668"/>
      <c r="M4347" s="668"/>
    </row>
    <row r="4348" spans="5:13">
      <c r="E4348" s="668"/>
      <c r="F4348" s="668"/>
      <c r="G4348" s="668"/>
      <c r="H4348" s="668"/>
      <c r="I4348" s="668"/>
      <c r="J4348" s="668"/>
      <c r="K4348" s="668"/>
      <c r="L4348" s="668"/>
      <c r="M4348" s="668"/>
    </row>
    <row r="4349" spans="5:13">
      <c r="E4349" s="668"/>
      <c r="F4349" s="668"/>
      <c r="G4349" s="668"/>
      <c r="H4349" s="668"/>
      <c r="I4349" s="668"/>
      <c r="J4349" s="668"/>
      <c r="K4349" s="668"/>
      <c r="L4349" s="668"/>
      <c r="M4349" s="668"/>
    </row>
    <row r="4350" spans="5:13">
      <c r="E4350" s="668"/>
      <c r="F4350" s="668"/>
      <c r="G4350" s="668"/>
      <c r="H4350" s="668"/>
      <c r="I4350" s="668"/>
      <c r="J4350" s="668"/>
      <c r="K4350" s="668"/>
      <c r="L4350" s="668"/>
      <c r="M4350" s="668"/>
    </row>
    <row r="4351" spans="5:13">
      <c r="E4351" s="668"/>
      <c r="F4351" s="668"/>
      <c r="G4351" s="668"/>
      <c r="H4351" s="668"/>
      <c r="I4351" s="668"/>
      <c r="J4351" s="668"/>
      <c r="K4351" s="668"/>
      <c r="L4351" s="668"/>
      <c r="M4351" s="668"/>
    </row>
    <row r="4352" spans="5:13">
      <c r="E4352" s="668"/>
      <c r="F4352" s="668"/>
      <c r="G4352" s="668"/>
      <c r="H4352" s="668"/>
      <c r="I4352" s="668"/>
      <c r="J4352" s="668"/>
      <c r="K4352" s="668"/>
      <c r="L4352" s="668"/>
      <c r="M4352" s="668"/>
    </row>
    <row r="4353" spans="5:13">
      <c r="E4353" s="668"/>
      <c r="F4353" s="668"/>
      <c r="G4353" s="668"/>
      <c r="H4353" s="668"/>
      <c r="I4353" s="668"/>
      <c r="J4353" s="668"/>
      <c r="K4353" s="668"/>
      <c r="L4353" s="668"/>
      <c r="M4353" s="668"/>
    </row>
    <row r="4354" spans="5:13">
      <c r="E4354" s="668"/>
      <c r="F4354" s="668"/>
      <c r="G4354" s="668"/>
      <c r="H4354" s="668"/>
      <c r="I4354" s="668"/>
      <c r="J4354" s="668"/>
      <c r="K4354" s="668"/>
      <c r="L4354" s="668"/>
      <c r="M4354" s="668"/>
    </row>
    <row r="4355" spans="5:13">
      <c r="E4355" s="668"/>
      <c r="F4355" s="668"/>
      <c r="G4355" s="668"/>
      <c r="H4355" s="668"/>
      <c r="I4355" s="668"/>
      <c r="J4355" s="668"/>
      <c r="K4355" s="668"/>
      <c r="L4355" s="668"/>
      <c r="M4355" s="668"/>
    </row>
    <row r="4356" spans="5:13">
      <c r="E4356" s="668"/>
      <c r="F4356" s="668"/>
      <c r="G4356" s="668"/>
      <c r="H4356" s="668"/>
      <c r="I4356" s="668"/>
      <c r="J4356" s="668"/>
      <c r="K4356" s="668"/>
      <c r="L4356" s="668"/>
      <c r="M4356" s="668"/>
    </row>
    <row r="4357" spans="5:13">
      <c r="E4357" s="668"/>
      <c r="F4357" s="668"/>
      <c r="G4357" s="668"/>
      <c r="H4357" s="668"/>
      <c r="I4357" s="668"/>
      <c r="J4357" s="668"/>
      <c r="K4357" s="668"/>
      <c r="L4357" s="668"/>
      <c r="M4357" s="668"/>
    </row>
    <row r="4358" spans="5:13">
      <c r="E4358" s="668"/>
      <c r="F4358" s="668"/>
      <c r="G4358" s="668"/>
      <c r="H4358" s="668"/>
      <c r="I4358" s="668"/>
      <c r="J4358" s="668"/>
      <c r="K4358" s="668"/>
      <c r="L4358" s="668"/>
      <c r="M4358" s="668"/>
    </row>
    <row r="4359" spans="5:13">
      <c r="E4359" s="668"/>
      <c r="F4359" s="668"/>
      <c r="G4359" s="668"/>
      <c r="H4359" s="668"/>
      <c r="I4359" s="668"/>
      <c r="J4359" s="668"/>
      <c r="K4359" s="668"/>
      <c r="L4359" s="668"/>
      <c r="M4359" s="668"/>
    </row>
    <row r="4360" spans="5:13">
      <c r="E4360" s="668"/>
      <c r="F4360" s="668"/>
      <c r="G4360" s="668"/>
      <c r="H4360" s="668"/>
      <c r="I4360" s="668"/>
      <c r="J4360" s="668"/>
      <c r="K4360" s="668"/>
      <c r="L4360" s="668"/>
      <c r="M4360" s="668"/>
    </row>
    <row r="4361" spans="5:13">
      <c r="E4361" s="668"/>
      <c r="F4361" s="668"/>
      <c r="G4361" s="668"/>
      <c r="H4361" s="668"/>
      <c r="I4361" s="668"/>
      <c r="J4361" s="668"/>
      <c r="K4361" s="668"/>
      <c r="L4361" s="668"/>
      <c r="M4361" s="668"/>
    </row>
    <row r="4362" spans="5:13">
      <c r="E4362" s="668"/>
      <c r="F4362" s="668"/>
      <c r="G4362" s="668"/>
      <c r="H4362" s="668"/>
      <c r="I4362" s="668"/>
      <c r="J4362" s="668"/>
      <c r="K4362" s="668"/>
      <c r="L4362" s="668"/>
      <c r="M4362" s="668"/>
    </row>
    <row r="4363" spans="5:13">
      <c r="E4363" s="668"/>
      <c r="F4363" s="668"/>
      <c r="G4363" s="668"/>
      <c r="H4363" s="668"/>
      <c r="I4363" s="668"/>
      <c r="J4363" s="668"/>
      <c r="K4363" s="668"/>
      <c r="L4363" s="668"/>
      <c r="M4363" s="668"/>
    </row>
    <row r="4364" spans="5:13">
      <c r="E4364" s="668"/>
      <c r="F4364" s="668"/>
      <c r="G4364" s="668"/>
      <c r="H4364" s="668"/>
      <c r="I4364" s="668"/>
      <c r="J4364" s="668"/>
      <c r="K4364" s="668"/>
      <c r="L4364" s="668"/>
      <c r="M4364" s="668"/>
    </row>
    <row r="4365" spans="5:13">
      <c r="E4365" s="668"/>
      <c r="F4365" s="668"/>
      <c r="G4365" s="668"/>
      <c r="H4365" s="668"/>
      <c r="I4365" s="668"/>
      <c r="J4365" s="668"/>
      <c r="K4365" s="668"/>
      <c r="L4365" s="668"/>
      <c r="M4365" s="668"/>
    </row>
    <row r="4366" spans="5:13">
      <c r="E4366" s="668"/>
      <c r="F4366" s="668"/>
      <c r="G4366" s="668"/>
      <c r="H4366" s="668"/>
      <c r="I4366" s="668"/>
      <c r="J4366" s="668"/>
      <c r="K4366" s="668"/>
      <c r="L4366" s="668"/>
      <c r="M4366" s="668"/>
    </row>
    <row r="4367" spans="5:13">
      <c r="E4367" s="668"/>
      <c r="F4367" s="668"/>
      <c r="G4367" s="668"/>
      <c r="H4367" s="668"/>
      <c r="I4367" s="668"/>
      <c r="J4367" s="668"/>
      <c r="K4367" s="668"/>
      <c r="L4367" s="668"/>
      <c r="M4367" s="668"/>
    </row>
    <row r="4368" spans="5:13">
      <c r="E4368" s="668"/>
      <c r="F4368" s="668"/>
      <c r="G4368" s="668"/>
      <c r="H4368" s="668"/>
      <c r="I4368" s="668"/>
      <c r="J4368" s="668"/>
      <c r="K4368" s="668"/>
      <c r="L4368" s="668"/>
      <c r="M4368" s="668"/>
    </row>
    <row r="4369" spans="5:13">
      <c r="E4369" s="668"/>
      <c r="F4369" s="668"/>
      <c r="G4369" s="668"/>
      <c r="H4369" s="668"/>
      <c r="I4369" s="668"/>
      <c r="J4369" s="668"/>
      <c r="K4369" s="668"/>
      <c r="L4369" s="668"/>
      <c r="M4369" s="668"/>
    </row>
    <row r="4370" spans="5:13">
      <c r="E4370" s="668"/>
      <c r="F4370" s="668"/>
      <c r="G4370" s="668"/>
      <c r="H4370" s="668"/>
      <c r="I4370" s="668"/>
      <c r="J4370" s="668"/>
      <c r="K4370" s="668"/>
      <c r="L4370" s="668"/>
      <c r="M4370" s="668"/>
    </row>
    <row r="4371" spans="5:13">
      <c r="E4371" s="668"/>
      <c r="F4371" s="668"/>
      <c r="G4371" s="668"/>
      <c r="H4371" s="668"/>
      <c r="I4371" s="668"/>
      <c r="J4371" s="668"/>
      <c r="K4371" s="668"/>
      <c r="L4371" s="668"/>
      <c r="M4371" s="668"/>
    </row>
    <row r="4372" spans="5:13">
      <c r="E4372" s="668"/>
      <c r="F4372" s="668"/>
      <c r="G4372" s="668"/>
      <c r="H4372" s="668"/>
      <c r="I4372" s="668"/>
      <c r="J4372" s="668"/>
      <c r="K4372" s="668"/>
      <c r="L4372" s="668"/>
      <c r="M4372" s="668"/>
    </row>
    <row r="4373" spans="5:13">
      <c r="E4373" s="668"/>
      <c r="F4373" s="668"/>
      <c r="G4373" s="668"/>
      <c r="H4373" s="668"/>
      <c r="I4373" s="668"/>
      <c r="J4373" s="668"/>
      <c r="K4373" s="668"/>
      <c r="L4373" s="668"/>
      <c r="M4373" s="668"/>
    </row>
    <row r="4374" spans="5:13">
      <c r="E4374" s="668"/>
      <c r="F4374" s="668"/>
      <c r="G4374" s="668"/>
      <c r="H4374" s="668"/>
      <c r="I4374" s="668"/>
      <c r="J4374" s="668"/>
      <c r="K4374" s="668"/>
      <c r="L4374" s="668"/>
      <c r="M4374" s="668"/>
    </row>
    <row r="4375" spans="5:13">
      <c r="E4375" s="668"/>
      <c r="F4375" s="668"/>
      <c r="G4375" s="668"/>
      <c r="H4375" s="668"/>
      <c r="I4375" s="668"/>
      <c r="J4375" s="668"/>
      <c r="K4375" s="668"/>
      <c r="L4375" s="668"/>
      <c r="M4375" s="668"/>
    </row>
    <row r="4376" spans="5:13">
      <c r="E4376" s="668"/>
      <c r="F4376" s="668"/>
      <c r="G4376" s="668"/>
      <c r="H4376" s="668"/>
      <c r="I4376" s="668"/>
      <c r="J4376" s="668"/>
      <c r="K4376" s="668"/>
      <c r="L4376" s="668"/>
      <c r="M4376" s="668"/>
    </row>
    <row r="4377" spans="5:13">
      <c r="E4377" s="668"/>
      <c r="F4377" s="668"/>
      <c r="G4377" s="668"/>
      <c r="H4377" s="668"/>
      <c r="I4377" s="668"/>
      <c r="J4377" s="668"/>
      <c r="K4377" s="668"/>
      <c r="L4377" s="668"/>
      <c r="M4377" s="668"/>
    </row>
    <row r="4378" spans="5:13">
      <c r="E4378" s="668"/>
      <c r="F4378" s="668"/>
      <c r="G4378" s="668"/>
      <c r="H4378" s="668"/>
      <c r="I4378" s="668"/>
      <c r="J4378" s="668"/>
      <c r="K4378" s="668"/>
      <c r="L4378" s="668"/>
      <c r="M4378" s="668"/>
    </row>
    <row r="4379" spans="5:13">
      <c r="E4379" s="668"/>
      <c r="F4379" s="668"/>
      <c r="G4379" s="668"/>
      <c r="H4379" s="668"/>
      <c r="I4379" s="668"/>
      <c r="J4379" s="668"/>
      <c r="K4379" s="668"/>
      <c r="L4379" s="668"/>
      <c r="M4379" s="668"/>
    </row>
    <row r="4380" spans="5:13">
      <c r="E4380" s="668"/>
      <c r="F4380" s="668"/>
      <c r="G4380" s="668"/>
      <c r="H4380" s="668"/>
      <c r="I4380" s="668"/>
      <c r="J4380" s="668"/>
      <c r="K4380" s="668"/>
      <c r="L4380" s="668"/>
      <c r="M4380" s="668"/>
    </row>
    <row r="4381" spans="5:13">
      <c r="E4381" s="668"/>
      <c r="F4381" s="668"/>
      <c r="G4381" s="668"/>
      <c r="H4381" s="668"/>
      <c r="I4381" s="668"/>
      <c r="J4381" s="668"/>
      <c r="K4381" s="668"/>
      <c r="L4381" s="668"/>
      <c r="M4381" s="668"/>
    </row>
    <row r="4382" spans="5:13">
      <c r="E4382" s="668"/>
      <c r="F4382" s="668"/>
      <c r="G4382" s="668"/>
      <c r="H4382" s="668"/>
      <c r="I4382" s="668"/>
      <c r="J4382" s="668"/>
      <c r="K4382" s="668"/>
      <c r="L4382" s="668"/>
      <c r="M4382" s="668"/>
    </row>
    <row r="4383" spans="5:13">
      <c r="E4383" s="668"/>
      <c r="F4383" s="668"/>
      <c r="G4383" s="668"/>
      <c r="H4383" s="668"/>
      <c r="I4383" s="668"/>
      <c r="J4383" s="668"/>
      <c r="K4383" s="668"/>
      <c r="L4383" s="668"/>
      <c r="M4383" s="668"/>
    </row>
    <row r="4384" spans="5:13">
      <c r="E4384" s="668"/>
      <c r="F4384" s="668"/>
      <c r="G4384" s="668"/>
      <c r="H4384" s="668"/>
      <c r="I4384" s="668"/>
      <c r="J4384" s="668"/>
      <c r="K4384" s="668"/>
      <c r="L4384" s="668"/>
      <c r="M4384" s="668"/>
    </row>
    <row r="4385" spans="5:13">
      <c r="E4385" s="668"/>
      <c r="F4385" s="668"/>
      <c r="G4385" s="668"/>
      <c r="H4385" s="668"/>
      <c r="I4385" s="668"/>
      <c r="J4385" s="668"/>
      <c r="K4385" s="668"/>
      <c r="L4385" s="668"/>
      <c r="M4385" s="668"/>
    </row>
    <row r="4386" spans="5:13">
      <c r="E4386" s="668"/>
      <c r="F4386" s="668"/>
      <c r="G4386" s="668"/>
      <c r="H4386" s="668"/>
      <c r="I4386" s="668"/>
      <c r="J4386" s="668"/>
      <c r="K4386" s="668"/>
      <c r="L4386" s="668"/>
      <c r="M4386" s="668"/>
    </row>
    <row r="4387" spans="5:13">
      <c r="E4387" s="668"/>
      <c r="F4387" s="668"/>
      <c r="G4387" s="668"/>
      <c r="H4387" s="668"/>
      <c r="I4387" s="668"/>
      <c r="J4387" s="668"/>
      <c r="K4387" s="668"/>
      <c r="L4387" s="668"/>
      <c r="M4387" s="668"/>
    </row>
    <row r="4388" spans="5:13">
      <c r="E4388" s="668"/>
      <c r="F4388" s="668"/>
      <c r="G4388" s="668"/>
      <c r="H4388" s="668"/>
      <c r="I4388" s="668"/>
      <c r="J4388" s="668"/>
      <c r="K4388" s="668"/>
      <c r="L4388" s="668"/>
      <c r="M4388" s="668"/>
    </row>
    <row r="4389" spans="5:13">
      <c r="E4389" s="668"/>
      <c r="F4389" s="668"/>
      <c r="G4389" s="668"/>
      <c r="H4389" s="668"/>
      <c r="I4389" s="668"/>
      <c r="J4389" s="668"/>
      <c r="K4389" s="668"/>
      <c r="L4389" s="668"/>
      <c r="M4389" s="668"/>
    </row>
    <row r="4390" spans="5:13">
      <c r="E4390" s="668"/>
      <c r="F4390" s="668"/>
      <c r="G4390" s="668"/>
      <c r="H4390" s="668"/>
      <c r="I4390" s="668"/>
      <c r="J4390" s="668"/>
      <c r="K4390" s="668"/>
      <c r="L4390" s="668"/>
      <c r="M4390" s="668"/>
    </row>
    <row r="4391" spans="5:13">
      <c r="E4391" s="668"/>
      <c r="F4391" s="668"/>
      <c r="G4391" s="668"/>
      <c r="H4391" s="668"/>
      <c r="I4391" s="668"/>
      <c r="J4391" s="668"/>
      <c r="K4391" s="668"/>
      <c r="L4391" s="668"/>
      <c r="M4391" s="668"/>
    </row>
    <row r="4392" spans="5:13">
      <c r="E4392" s="668"/>
      <c r="F4392" s="668"/>
      <c r="G4392" s="668"/>
      <c r="H4392" s="668"/>
      <c r="I4392" s="668"/>
      <c r="J4392" s="668"/>
      <c r="K4392" s="668"/>
      <c r="L4392" s="668"/>
      <c r="M4392" s="668"/>
    </row>
    <row r="4393" spans="5:13">
      <c r="E4393" s="668"/>
      <c r="F4393" s="668"/>
      <c r="G4393" s="668"/>
      <c r="H4393" s="668"/>
      <c r="I4393" s="668"/>
      <c r="J4393" s="668"/>
      <c r="K4393" s="668"/>
      <c r="L4393" s="668"/>
      <c r="M4393" s="668"/>
    </row>
    <row r="4394" spans="5:13">
      <c r="E4394" s="668"/>
      <c r="F4394" s="668"/>
      <c r="G4394" s="668"/>
      <c r="H4394" s="668"/>
      <c r="I4394" s="668"/>
      <c r="J4394" s="668"/>
      <c r="K4394" s="668"/>
      <c r="L4394" s="668"/>
      <c r="M4394" s="668"/>
    </row>
    <row r="4395" spans="5:13">
      <c r="E4395" s="668"/>
      <c r="F4395" s="668"/>
      <c r="G4395" s="668"/>
      <c r="H4395" s="668"/>
      <c r="I4395" s="668"/>
      <c r="J4395" s="668"/>
      <c r="K4395" s="668"/>
      <c r="L4395" s="668"/>
      <c r="M4395" s="668"/>
    </row>
    <row r="4396" spans="5:13">
      <c r="E4396" s="668"/>
      <c r="F4396" s="668"/>
      <c r="G4396" s="668"/>
      <c r="H4396" s="668"/>
      <c r="I4396" s="668"/>
      <c r="J4396" s="668"/>
      <c r="K4396" s="668"/>
      <c r="L4396" s="668"/>
      <c r="M4396" s="668"/>
    </row>
    <row r="4397" spans="5:13">
      <c r="E4397" s="668"/>
      <c r="F4397" s="668"/>
      <c r="G4397" s="668"/>
      <c r="H4397" s="668"/>
      <c r="I4397" s="668"/>
      <c r="J4397" s="668"/>
      <c r="K4397" s="668"/>
      <c r="L4397" s="668"/>
      <c r="M4397" s="668"/>
    </row>
    <row r="4398" spans="5:13">
      <c r="E4398" s="668"/>
      <c r="F4398" s="668"/>
      <c r="G4398" s="668"/>
      <c r="H4398" s="668"/>
      <c r="I4398" s="668"/>
      <c r="J4398" s="668"/>
      <c r="K4398" s="668"/>
      <c r="L4398" s="668"/>
      <c r="M4398" s="668"/>
    </row>
    <row r="4399" spans="5:13">
      <c r="E4399" s="668"/>
      <c r="F4399" s="668"/>
      <c r="G4399" s="668"/>
      <c r="H4399" s="668"/>
      <c r="I4399" s="668"/>
      <c r="J4399" s="668"/>
      <c r="K4399" s="668"/>
      <c r="L4399" s="668"/>
      <c r="M4399" s="668"/>
    </row>
    <row r="4400" spans="5:13">
      <c r="E4400" s="668"/>
      <c r="F4400" s="668"/>
      <c r="G4400" s="668"/>
      <c r="H4400" s="668"/>
      <c r="I4400" s="668"/>
      <c r="J4400" s="668"/>
      <c r="K4400" s="668"/>
      <c r="L4400" s="668"/>
      <c r="M4400" s="668"/>
    </row>
    <row r="4401" spans="5:13">
      <c r="E4401" s="668"/>
      <c r="F4401" s="668"/>
      <c r="G4401" s="668"/>
      <c r="H4401" s="668"/>
      <c r="I4401" s="668"/>
      <c r="J4401" s="668"/>
      <c r="K4401" s="668"/>
      <c r="L4401" s="668"/>
      <c r="M4401" s="668"/>
    </row>
    <row r="4402" spans="5:13">
      <c r="E4402" s="668"/>
      <c r="F4402" s="668"/>
      <c r="G4402" s="668"/>
      <c r="H4402" s="668"/>
      <c r="I4402" s="668"/>
      <c r="J4402" s="668"/>
      <c r="K4402" s="668"/>
      <c r="L4402" s="668"/>
      <c r="M4402" s="668"/>
    </row>
    <row r="4403" spans="5:13">
      <c r="E4403" s="668"/>
      <c r="F4403" s="668"/>
      <c r="G4403" s="668"/>
      <c r="H4403" s="668"/>
      <c r="I4403" s="668"/>
      <c r="J4403" s="668"/>
      <c r="K4403" s="668"/>
      <c r="L4403" s="668"/>
      <c r="M4403" s="668"/>
    </row>
    <row r="4404" spans="5:13">
      <c r="E4404" s="668"/>
      <c r="F4404" s="668"/>
      <c r="G4404" s="668"/>
      <c r="H4404" s="668"/>
      <c r="I4404" s="668"/>
      <c r="J4404" s="668"/>
      <c r="K4404" s="668"/>
      <c r="L4404" s="668"/>
      <c r="M4404" s="668"/>
    </row>
    <row r="4405" spans="5:13">
      <c r="E4405" s="668"/>
      <c r="F4405" s="668"/>
      <c r="G4405" s="668"/>
      <c r="H4405" s="668"/>
      <c r="I4405" s="668"/>
      <c r="J4405" s="668"/>
      <c r="K4405" s="668"/>
      <c r="L4405" s="668"/>
      <c r="M4405" s="668"/>
    </row>
    <row r="4406" spans="5:13">
      <c r="E4406" s="668"/>
      <c r="F4406" s="668"/>
      <c r="G4406" s="668"/>
      <c r="H4406" s="668"/>
      <c r="I4406" s="668"/>
      <c r="J4406" s="668"/>
      <c r="K4406" s="668"/>
      <c r="L4406" s="668"/>
      <c r="M4406" s="668"/>
    </row>
    <row r="4407" spans="5:13">
      <c r="E4407" s="668"/>
      <c r="F4407" s="668"/>
      <c r="G4407" s="668"/>
      <c r="H4407" s="668"/>
      <c r="I4407" s="668"/>
      <c r="J4407" s="668"/>
      <c r="K4407" s="668"/>
      <c r="L4407" s="668"/>
      <c r="M4407" s="668"/>
    </row>
    <row r="4408" spans="5:13">
      <c r="E4408" s="668"/>
      <c r="F4408" s="668"/>
      <c r="G4408" s="668"/>
      <c r="H4408" s="668"/>
      <c r="I4408" s="668"/>
      <c r="J4408" s="668"/>
      <c r="K4408" s="668"/>
      <c r="L4408" s="668"/>
      <c r="M4408" s="668"/>
    </row>
    <row r="4409" spans="5:13">
      <c r="E4409" s="668"/>
      <c r="F4409" s="668"/>
      <c r="G4409" s="668"/>
      <c r="H4409" s="668"/>
      <c r="I4409" s="668"/>
      <c r="J4409" s="668"/>
      <c r="K4409" s="668"/>
      <c r="L4409" s="668"/>
      <c r="M4409" s="668"/>
    </row>
    <row r="4410" spans="5:13">
      <c r="E4410" s="668"/>
      <c r="F4410" s="668"/>
      <c r="G4410" s="668"/>
      <c r="H4410" s="668"/>
      <c r="I4410" s="668"/>
      <c r="J4410" s="668"/>
      <c r="K4410" s="668"/>
      <c r="L4410" s="668"/>
      <c r="M4410" s="668"/>
    </row>
    <row r="4411" spans="5:13">
      <c r="E4411" s="668"/>
      <c r="F4411" s="668"/>
      <c r="G4411" s="668"/>
      <c r="H4411" s="668"/>
      <c r="I4411" s="668"/>
      <c r="J4411" s="668"/>
      <c r="K4411" s="668"/>
      <c r="L4411" s="668"/>
      <c r="M4411" s="668"/>
    </row>
    <row r="4412" spans="5:13">
      <c r="E4412" s="668"/>
      <c r="F4412" s="668"/>
      <c r="G4412" s="668"/>
      <c r="H4412" s="668"/>
      <c r="I4412" s="668"/>
      <c r="J4412" s="668"/>
      <c r="K4412" s="668"/>
      <c r="L4412" s="668"/>
      <c r="M4412" s="668"/>
    </row>
    <row r="4413" spans="5:13">
      <c r="E4413" s="668"/>
      <c r="F4413" s="668"/>
      <c r="G4413" s="668"/>
      <c r="H4413" s="668"/>
      <c r="I4413" s="668"/>
      <c r="J4413" s="668"/>
      <c r="K4413" s="668"/>
      <c r="L4413" s="668"/>
      <c r="M4413" s="668"/>
    </row>
    <row r="4414" spans="5:13">
      <c r="E4414" s="668"/>
      <c r="F4414" s="668"/>
      <c r="G4414" s="668"/>
      <c r="H4414" s="668"/>
      <c r="I4414" s="668"/>
      <c r="J4414" s="668"/>
      <c r="K4414" s="668"/>
      <c r="L4414" s="668"/>
      <c r="M4414" s="668"/>
    </row>
    <row r="4415" spans="5:13">
      <c r="E4415" s="668"/>
      <c r="F4415" s="668"/>
      <c r="G4415" s="668"/>
      <c r="H4415" s="668"/>
      <c r="I4415" s="668"/>
      <c r="J4415" s="668"/>
      <c r="K4415" s="668"/>
      <c r="L4415" s="668"/>
      <c r="M4415" s="668"/>
    </row>
    <row r="4416" spans="5:13">
      <c r="E4416" s="668"/>
      <c r="F4416" s="668"/>
      <c r="G4416" s="668"/>
      <c r="H4416" s="668"/>
      <c r="I4416" s="668"/>
      <c r="J4416" s="668"/>
      <c r="K4416" s="668"/>
      <c r="L4416" s="668"/>
      <c r="M4416" s="668"/>
    </row>
    <row r="4417" spans="5:13">
      <c r="E4417" s="668"/>
      <c r="F4417" s="668"/>
      <c r="G4417" s="668"/>
      <c r="H4417" s="668"/>
      <c r="I4417" s="668"/>
      <c r="J4417" s="668"/>
      <c r="K4417" s="668"/>
      <c r="L4417" s="668"/>
      <c r="M4417" s="668"/>
    </row>
    <row r="4418" spans="5:13">
      <c r="E4418" s="668"/>
      <c r="F4418" s="668"/>
      <c r="G4418" s="668"/>
      <c r="H4418" s="668"/>
      <c r="I4418" s="668"/>
      <c r="J4418" s="668"/>
      <c r="K4418" s="668"/>
      <c r="L4418" s="668"/>
      <c r="M4418" s="668"/>
    </row>
    <row r="4419" spans="5:13">
      <c r="E4419" s="668"/>
      <c r="F4419" s="668"/>
      <c r="G4419" s="668"/>
      <c r="H4419" s="668"/>
      <c r="I4419" s="668"/>
      <c r="J4419" s="668"/>
      <c r="K4419" s="668"/>
      <c r="L4419" s="668"/>
      <c r="M4419" s="668"/>
    </row>
    <row r="4420" spans="5:13">
      <c r="E4420" s="668"/>
      <c r="F4420" s="668"/>
      <c r="G4420" s="668"/>
      <c r="H4420" s="668"/>
      <c r="I4420" s="668"/>
      <c r="J4420" s="668"/>
      <c r="K4420" s="668"/>
      <c r="L4420" s="668"/>
      <c r="M4420" s="668"/>
    </row>
    <row r="4421" spans="5:13">
      <c r="E4421" s="668"/>
      <c r="F4421" s="668"/>
      <c r="G4421" s="668"/>
      <c r="H4421" s="668"/>
      <c r="I4421" s="668"/>
      <c r="J4421" s="668"/>
      <c r="K4421" s="668"/>
      <c r="L4421" s="668"/>
      <c r="M4421" s="668"/>
    </row>
    <row r="4422" spans="5:13">
      <c r="E4422" s="668"/>
      <c r="F4422" s="668"/>
      <c r="G4422" s="668"/>
      <c r="H4422" s="668"/>
      <c r="I4422" s="668"/>
      <c r="J4422" s="668"/>
      <c r="K4422" s="668"/>
      <c r="L4422" s="668"/>
      <c r="M4422" s="668"/>
    </row>
    <row r="4423" spans="5:13">
      <c r="E4423" s="668"/>
      <c r="F4423" s="668"/>
      <c r="G4423" s="668"/>
      <c r="H4423" s="668"/>
      <c r="I4423" s="668"/>
      <c r="J4423" s="668"/>
      <c r="K4423" s="668"/>
      <c r="L4423" s="668"/>
      <c r="M4423" s="668"/>
    </row>
    <row r="4424" spans="5:13">
      <c r="E4424" s="668"/>
      <c r="F4424" s="668"/>
      <c r="G4424" s="668"/>
      <c r="H4424" s="668"/>
      <c r="I4424" s="668"/>
      <c r="J4424" s="668"/>
      <c r="K4424" s="668"/>
      <c r="L4424" s="668"/>
      <c r="M4424" s="668"/>
    </row>
    <row r="4425" spans="5:13">
      <c r="E4425" s="668"/>
      <c r="F4425" s="668"/>
      <c r="G4425" s="668"/>
      <c r="H4425" s="668"/>
      <c r="I4425" s="668"/>
      <c r="J4425" s="668"/>
      <c r="K4425" s="668"/>
      <c r="L4425" s="668"/>
      <c r="M4425" s="668"/>
    </row>
    <row r="4426" spans="5:13">
      <c r="E4426" s="668"/>
      <c r="F4426" s="668"/>
      <c r="G4426" s="668"/>
      <c r="H4426" s="668"/>
      <c r="I4426" s="668"/>
      <c r="J4426" s="668"/>
      <c r="K4426" s="668"/>
      <c r="L4426" s="668"/>
      <c r="M4426" s="668"/>
    </row>
    <row r="4427" spans="5:13">
      <c r="E4427" s="668"/>
      <c r="F4427" s="668"/>
      <c r="G4427" s="668"/>
      <c r="H4427" s="668"/>
      <c r="I4427" s="668"/>
      <c r="J4427" s="668"/>
      <c r="K4427" s="668"/>
      <c r="L4427" s="668"/>
      <c r="M4427" s="668"/>
    </row>
    <row r="4428" spans="5:13">
      <c r="E4428" s="668"/>
      <c r="F4428" s="668"/>
      <c r="G4428" s="668"/>
      <c r="H4428" s="668"/>
      <c r="I4428" s="668"/>
      <c r="J4428" s="668"/>
      <c r="K4428" s="668"/>
      <c r="L4428" s="668"/>
      <c r="M4428" s="668"/>
    </row>
    <row r="4429" spans="5:13">
      <c r="E4429" s="668"/>
      <c r="F4429" s="668"/>
      <c r="G4429" s="668"/>
      <c r="H4429" s="668"/>
      <c r="I4429" s="668"/>
      <c r="J4429" s="668"/>
      <c r="K4429" s="668"/>
      <c r="L4429" s="668"/>
      <c r="M4429" s="668"/>
    </row>
    <row r="4430" spans="5:13">
      <c r="E4430" s="668"/>
      <c r="F4430" s="668"/>
      <c r="G4430" s="668"/>
      <c r="H4430" s="668"/>
      <c r="I4430" s="668"/>
      <c r="J4430" s="668"/>
      <c r="K4430" s="668"/>
      <c r="L4430" s="668"/>
      <c r="M4430" s="668"/>
    </row>
    <row r="4431" spans="5:13">
      <c r="E4431" s="668"/>
      <c r="F4431" s="668"/>
      <c r="G4431" s="668"/>
      <c r="H4431" s="668"/>
      <c r="I4431" s="668"/>
      <c r="J4431" s="668"/>
      <c r="K4431" s="668"/>
      <c r="L4431" s="668"/>
      <c r="M4431" s="668"/>
    </row>
    <row r="4432" spans="5:13">
      <c r="E4432" s="668"/>
      <c r="F4432" s="668"/>
      <c r="G4432" s="668"/>
      <c r="H4432" s="668"/>
      <c r="I4432" s="668"/>
      <c r="J4432" s="668"/>
      <c r="K4432" s="668"/>
      <c r="L4432" s="668"/>
      <c r="M4432" s="668"/>
    </row>
    <row r="4433" spans="5:13">
      <c r="E4433" s="668"/>
      <c r="F4433" s="668"/>
      <c r="G4433" s="668"/>
      <c r="H4433" s="668"/>
      <c r="I4433" s="668"/>
      <c r="J4433" s="668"/>
      <c r="K4433" s="668"/>
      <c r="L4433" s="668"/>
      <c r="M4433" s="668"/>
    </row>
    <row r="4434" spans="5:13">
      <c r="E4434" s="668"/>
      <c r="F4434" s="668"/>
      <c r="G4434" s="668"/>
      <c r="H4434" s="668"/>
      <c r="I4434" s="668"/>
      <c r="J4434" s="668"/>
      <c r="K4434" s="668"/>
      <c r="L4434" s="668"/>
      <c r="M4434" s="668"/>
    </row>
    <row r="4435" spans="5:13">
      <c r="E4435" s="668"/>
      <c r="F4435" s="668"/>
      <c r="G4435" s="668"/>
      <c r="H4435" s="668"/>
      <c r="I4435" s="668"/>
      <c r="J4435" s="668"/>
      <c r="K4435" s="668"/>
      <c r="L4435" s="668"/>
      <c r="M4435" s="668"/>
    </row>
    <row r="4436" spans="5:13">
      <c r="E4436" s="668"/>
      <c r="F4436" s="668"/>
      <c r="G4436" s="668"/>
      <c r="H4436" s="668"/>
      <c r="I4436" s="668"/>
      <c r="J4436" s="668"/>
      <c r="K4436" s="668"/>
      <c r="L4436" s="668"/>
      <c r="M4436" s="668"/>
    </row>
    <row r="4437" spans="5:13">
      <c r="E4437" s="668"/>
      <c r="F4437" s="668"/>
      <c r="G4437" s="668"/>
      <c r="H4437" s="668"/>
      <c r="I4437" s="668"/>
      <c r="J4437" s="668"/>
      <c r="K4437" s="668"/>
      <c r="L4437" s="668"/>
      <c r="M4437" s="668"/>
    </row>
    <row r="4438" spans="5:13">
      <c r="E4438" s="668"/>
      <c r="F4438" s="668"/>
      <c r="G4438" s="668"/>
      <c r="H4438" s="668"/>
      <c r="I4438" s="668"/>
      <c r="J4438" s="668"/>
      <c r="K4438" s="668"/>
      <c r="L4438" s="668"/>
      <c r="M4438" s="668"/>
    </row>
    <row r="4439" spans="5:13">
      <c r="E4439" s="668"/>
      <c r="F4439" s="668"/>
      <c r="G4439" s="668"/>
      <c r="H4439" s="668"/>
      <c r="I4439" s="668"/>
      <c r="J4439" s="668"/>
      <c r="K4439" s="668"/>
      <c r="L4439" s="668"/>
      <c r="M4439" s="668"/>
    </row>
    <row r="4440" spans="5:13">
      <c r="E4440" s="668"/>
      <c r="F4440" s="668"/>
      <c r="G4440" s="668"/>
      <c r="H4440" s="668"/>
      <c r="I4440" s="668"/>
      <c r="J4440" s="668"/>
      <c r="K4440" s="668"/>
      <c r="L4440" s="668"/>
      <c r="M4440" s="668"/>
    </row>
    <row r="4441" spans="5:13">
      <c r="E4441" s="668"/>
      <c r="F4441" s="668"/>
      <c r="G4441" s="668"/>
      <c r="H4441" s="668"/>
      <c r="I4441" s="668"/>
      <c r="J4441" s="668"/>
      <c r="K4441" s="668"/>
      <c r="L4441" s="668"/>
      <c r="M4441" s="668"/>
    </row>
    <row r="4442" spans="5:13">
      <c r="E4442" s="668"/>
      <c r="F4442" s="668"/>
      <c r="G4442" s="668"/>
      <c r="H4442" s="668"/>
      <c r="I4442" s="668"/>
      <c r="J4442" s="668"/>
      <c r="K4442" s="668"/>
      <c r="L4442" s="668"/>
      <c r="M4442" s="668"/>
    </row>
    <row r="4443" spans="5:13">
      <c r="E4443" s="668"/>
      <c r="F4443" s="668"/>
      <c r="G4443" s="668"/>
      <c r="H4443" s="668"/>
      <c r="I4443" s="668"/>
      <c r="J4443" s="668"/>
      <c r="K4443" s="668"/>
      <c r="L4443" s="668"/>
      <c r="M4443" s="668"/>
    </row>
    <row r="4444" spans="5:13">
      <c r="E4444" s="668"/>
      <c r="F4444" s="668"/>
      <c r="G4444" s="668"/>
      <c r="H4444" s="668"/>
      <c r="I4444" s="668"/>
      <c r="J4444" s="668"/>
      <c r="K4444" s="668"/>
      <c r="L4444" s="668"/>
      <c r="M4444" s="668"/>
    </row>
    <row r="4445" spans="5:13">
      <c r="E4445" s="668"/>
      <c r="F4445" s="668"/>
      <c r="G4445" s="668"/>
      <c r="H4445" s="668"/>
      <c r="I4445" s="668"/>
      <c r="J4445" s="668"/>
      <c r="K4445" s="668"/>
      <c r="L4445" s="668"/>
      <c r="M4445" s="668"/>
    </row>
    <row r="4446" spans="5:13">
      <c r="E4446" s="668"/>
      <c r="F4446" s="668"/>
      <c r="G4446" s="668"/>
      <c r="H4446" s="668"/>
      <c r="I4446" s="668"/>
      <c r="J4446" s="668"/>
      <c r="K4446" s="668"/>
      <c r="L4446" s="668"/>
      <c r="M4446" s="668"/>
    </row>
    <row r="4447" spans="5:13">
      <c r="E4447" s="668"/>
      <c r="F4447" s="668"/>
      <c r="G4447" s="668"/>
      <c r="H4447" s="668"/>
      <c r="I4447" s="668"/>
      <c r="J4447" s="668"/>
      <c r="K4447" s="668"/>
      <c r="L4447" s="668"/>
      <c r="M4447" s="668"/>
    </row>
    <row r="4448" spans="5:13">
      <c r="E4448" s="668"/>
      <c r="F4448" s="668"/>
      <c r="G4448" s="668"/>
      <c r="H4448" s="668"/>
      <c r="I4448" s="668"/>
      <c r="J4448" s="668"/>
      <c r="K4448" s="668"/>
      <c r="L4448" s="668"/>
      <c r="M4448" s="668"/>
    </row>
    <row r="4449" spans="5:13">
      <c r="E4449" s="668"/>
      <c r="F4449" s="668"/>
      <c r="G4449" s="668"/>
      <c r="H4449" s="668"/>
      <c r="I4449" s="668"/>
      <c r="J4449" s="668"/>
      <c r="K4449" s="668"/>
      <c r="L4449" s="668"/>
      <c r="M4449" s="668"/>
    </row>
    <row r="4450" spans="5:13">
      <c r="E4450" s="668"/>
      <c r="F4450" s="668"/>
      <c r="G4450" s="668"/>
      <c r="H4450" s="668"/>
      <c r="I4450" s="668"/>
      <c r="J4450" s="668"/>
      <c r="K4450" s="668"/>
      <c r="L4450" s="668"/>
      <c r="M4450" s="668"/>
    </row>
    <row r="4451" spans="5:13">
      <c r="E4451" s="668"/>
      <c r="F4451" s="668"/>
      <c r="G4451" s="668"/>
      <c r="H4451" s="668"/>
      <c r="I4451" s="668"/>
      <c r="J4451" s="668"/>
      <c r="K4451" s="668"/>
      <c r="L4451" s="668"/>
      <c r="M4451" s="668"/>
    </row>
    <row r="4452" spans="5:13">
      <c r="E4452" s="668"/>
      <c r="F4452" s="668"/>
      <c r="G4452" s="668"/>
      <c r="H4452" s="668"/>
      <c r="I4452" s="668"/>
      <c r="J4452" s="668"/>
      <c r="K4452" s="668"/>
      <c r="L4452" s="668"/>
      <c r="M4452" s="668"/>
    </row>
    <row r="4453" spans="5:13">
      <c r="E4453" s="668"/>
      <c r="F4453" s="668"/>
      <c r="G4453" s="668"/>
      <c r="H4453" s="668"/>
      <c r="I4453" s="668"/>
      <c r="J4453" s="668"/>
      <c r="K4453" s="668"/>
      <c r="L4453" s="668"/>
      <c r="M4453" s="668"/>
    </row>
    <row r="4454" spans="5:13">
      <c r="E4454" s="668"/>
      <c r="F4454" s="668"/>
      <c r="G4454" s="668"/>
      <c r="H4454" s="668"/>
      <c r="I4454" s="668"/>
      <c r="J4454" s="668"/>
      <c r="K4454" s="668"/>
      <c r="L4454" s="668"/>
      <c r="M4454" s="668"/>
    </row>
    <row r="4455" spans="5:13">
      <c r="E4455" s="668"/>
      <c r="F4455" s="668"/>
      <c r="G4455" s="668"/>
      <c r="H4455" s="668"/>
      <c r="I4455" s="668"/>
      <c r="J4455" s="668"/>
      <c r="K4455" s="668"/>
      <c r="L4455" s="668"/>
      <c r="M4455" s="668"/>
    </row>
    <row r="4456" spans="5:13">
      <c r="E4456" s="668"/>
      <c r="F4456" s="668"/>
      <c r="G4456" s="668"/>
      <c r="H4456" s="668"/>
      <c r="I4456" s="668"/>
      <c r="J4456" s="668"/>
      <c r="K4456" s="668"/>
      <c r="L4456" s="668"/>
      <c r="M4456" s="668"/>
    </row>
    <row r="4457" spans="5:13">
      <c r="E4457" s="668"/>
      <c r="F4457" s="668"/>
      <c r="G4457" s="668"/>
      <c r="H4457" s="668"/>
      <c r="I4457" s="668"/>
      <c r="J4457" s="668"/>
      <c r="K4457" s="668"/>
      <c r="L4457" s="668"/>
      <c r="M4457" s="668"/>
    </row>
    <row r="4458" spans="5:13">
      <c r="E4458" s="668"/>
      <c r="F4458" s="668"/>
      <c r="G4458" s="668"/>
      <c r="H4458" s="668"/>
      <c r="I4458" s="668"/>
      <c r="J4458" s="668"/>
      <c r="K4458" s="668"/>
      <c r="L4458" s="668"/>
      <c r="M4458" s="668"/>
    </row>
    <row r="4459" spans="5:13">
      <c r="E4459" s="668"/>
      <c r="F4459" s="668"/>
      <c r="G4459" s="668"/>
      <c r="H4459" s="668"/>
      <c r="I4459" s="668"/>
      <c r="J4459" s="668"/>
      <c r="K4459" s="668"/>
      <c r="L4459" s="668"/>
      <c r="M4459" s="668"/>
    </row>
    <row r="4460" spans="5:13">
      <c r="E4460" s="668"/>
      <c r="F4460" s="668"/>
      <c r="G4460" s="668"/>
      <c r="H4460" s="668"/>
      <c r="I4460" s="668"/>
      <c r="J4460" s="668"/>
      <c r="K4460" s="668"/>
      <c r="L4460" s="668"/>
      <c r="M4460" s="668"/>
    </row>
    <row r="4461" spans="5:13">
      <c r="E4461" s="668"/>
      <c r="F4461" s="668"/>
      <c r="G4461" s="668"/>
      <c r="H4461" s="668"/>
      <c r="I4461" s="668"/>
      <c r="J4461" s="668"/>
      <c r="K4461" s="668"/>
      <c r="L4461" s="668"/>
      <c r="M4461" s="668"/>
    </row>
    <row r="4462" spans="5:13">
      <c r="E4462" s="668"/>
      <c r="F4462" s="668"/>
      <c r="G4462" s="668"/>
      <c r="H4462" s="668"/>
      <c r="I4462" s="668"/>
      <c r="J4462" s="668"/>
      <c r="K4462" s="668"/>
      <c r="L4462" s="668"/>
      <c r="M4462" s="668"/>
    </row>
    <row r="4463" spans="5:13">
      <c r="E4463" s="668"/>
      <c r="F4463" s="668"/>
      <c r="G4463" s="668"/>
      <c r="H4463" s="668"/>
      <c r="I4463" s="668"/>
      <c r="J4463" s="668"/>
      <c r="K4463" s="668"/>
      <c r="L4463" s="668"/>
      <c r="M4463" s="668"/>
    </row>
    <row r="4464" spans="5:13">
      <c r="E4464" s="668"/>
      <c r="F4464" s="668"/>
      <c r="G4464" s="668"/>
      <c r="H4464" s="668"/>
      <c r="I4464" s="668"/>
      <c r="J4464" s="668"/>
      <c r="K4464" s="668"/>
      <c r="L4464" s="668"/>
      <c r="M4464" s="668"/>
    </row>
    <row r="4465" spans="5:13">
      <c r="E4465" s="668"/>
      <c r="F4465" s="668"/>
      <c r="G4465" s="668"/>
      <c r="H4465" s="668"/>
      <c r="I4465" s="668"/>
      <c r="J4465" s="668"/>
      <c r="K4465" s="668"/>
      <c r="L4465" s="668"/>
      <c r="M4465" s="668"/>
    </row>
    <row r="4466" spans="5:13">
      <c r="E4466" s="668"/>
      <c r="F4466" s="668"/>
      <c r="G4466" s="668"/>
      <c r="H4466" s="668"/>
      <c r="I4466" s="668"/>
      <c r="J4466" s="668"/>
      <c r="K4466" s="668"/>
      <c r="L4466" s="668"/>
      <c r="M4466" s="668"/>
    </row>
    <row r="4467" spans="5:13">
      <c r="E4467" s="668"/>
      <c r="F4467" s="668"/>
      <c r="G4467" s="668"/>
      <c r="H4467" s="668"/>
      <c r="I4467" s="668"/>
      <c r="J4467" s="668"/>
      <c r="K4467" s="668"/>
      <c r="L4467" s="668"/>
      <c r="M4467" s="668"/>
    </row>
    <row r="4468" spans="5:13">
      <c r="E4468" s="668"/>
      <c r="F4468" s="668"/>
      <c r="G4468" s="668"/>
      <c r="H4468" s="668"/>
      <c r="I4468" s="668"/>
      <c r="J4468" s="668"/>
      <c r="K4468" s="668"/>
      <c r="L4468" s="668"/>
      <c r="M4468" s="668"/>
    </row>
    <row r="4469" spans="5:13">
      <c r="E4469" s="668"/>
      <c r="F4469" s="668"/>
      <c r="G4469" s="668"/>
      <c r="H4469" s="668"/>
      <c r="I4469" s="668"/>
      <c r="J4469" s="668"/>
      <c r="K4469" s="668"/>
      <c r="L4469" s="668"/>
      <c r="M4469" s="668"/>
    </row>
    <row r="4470" spans="5:13">
      <c r="E4470" s="668"/>
      <c r="F4470" s="668"/>
      <c r="G4470" s="668"/>
      <c r="H4470" s="668"/>
      <c r="I4470" s="668"/>
      <c r="J4470" s="668"/>
      <c r="K4470" s="668"/>
      <c r="L4470" s="668"/>
      <c r="M4470" s="668"/>
    </row>
    <row r="4471" spans="5:13">
      <c r="E4471" s="668"/>
      <c r="F4471" s="668"/>
      <c r="G4471" s="668"/>
      <c r="H4471" s="668"/>
      <c r="I4471" s="668"/>
      <c r="J4471" s="668"/>
      <c r="K4471" s="668"/>
      <c r="L4471" s="668"/>
      <c r="M4471" s="668"/>
    </row>
    <row r="4472" spans="5:13">
      <c r="E4472" s="668"/>
      <c r="F4472" s="668"/>
      <c r="G4472" s="668"/>
      <c r="H4472" s="668"/>
      <c r="I4472" s="668"/>
      <c r="J4472" s="668"/>
      <c r="K4472" s="668"/>
      <c r="L4472" s="668"/>
      <c r="M4472" s="668"/>
    </row>
    <row r="4473" spans="5:13">
      <c r="E4473" s="668"/>
      <c r="F4473" s="668"/>
      <c r="G4473" s="668"/>
      <c r="H4473" s="668"/>
      <c r="I4473" s="668"/>
      <c r="J4473" s="668"/>
      <c r="K4473" s="668"/>
      <c r="L4473" s="668"/>
      <c r="M4473" s="668"/>
    </row>
    <row r="4474" spans="5:13">
      <c r="E4474" s="668"/>
      <c r="F4474" s="668"/>
      <c r="G4474" s="668"/>
      <c r="H4474" s="668"/>
      <c r="I4474" s="668"/>
      <c r="J4474" s="668"/>
      <c r="K4474" s="668"/>
      <c r="L4474" s="668"/>
      <c r="M4474" s="668"/>
    </row>
    <row r="4475" spans="5:13">
      <c r="E4475" s="668"/>
      <c r="F4475" s="668"/>
      <c r="G4475" s="668"/>
      <c r="H4475" s="668"/>
      <c r="I4475" s="668"/>
      <c r="J4475" s="668"/>
      <c r="K4475" s="668"/>
      <c r="L4475" s="668"/>
      <c r="M4475" s="668"/>
    </row>
    <row r="4476" spans="5:13">
      <c r="E4476" s="668"/>
      <c r="F4476" s="668"/>
      <c r="G4476" s="668"/>
      <c r="H4476" s="668"/>
      <c r="I4476" s="668"/>
      <c r="J4476" s="668"/>
      <c r="K4476" s="668"/>
      <c r="L4476" s="668"/>
      <c r="M4476" s="668"/>
    </row>
    <row r="4477" spans="5:13">
      <c r="E4477" s="668"/>
      <c r="F4477" s="668"/>
      <c r="G4477" s="668"/>
      <c r="H4477" s="668"/>
      <c r="I4477" s="668"/>
      <c r="J4477" s="668"/>
      <c r="K4477" s="668"/>
      <c r="L4477" s="668"/>
      <c r="M4477" s="668"/>
    </row>
    <row r="4478" spans="5:13">
      <c r="E4478" s="668"/>
      <c r="F4478" s="668"/>
      <c r="G4478" s="668"/>
      <c r="H4478" s="668"/>
      <c r="I4478" s="668"/>
      <c r="J4478" s="668"/>
      <c r="K4478" s="668"/>
      <c r="L4478" s="668"/>
      <c r="M4478" s="668"/>
    </row>
    <row r="4479" spans="5:13">
      <c r="E4479" s="668"/>
      <c r="F4479" s="668"/>
      <c r="G4479" s="668"/>
      <c r="H4479" s="668"/>
      <c r="I4479" s="668"/>
      <c r="J4479" s="668"/>
      <c r="K4479" s="668"/>
      <c r="L4479" s="668"/>
      <c r="M4479" s="668"/>
    </row>
    <row r="4480" spans="5:13">
      <c r="E4480" s="668"/>
      <c r="F4480" s="668"/>
      <c r="G4480" s="668"/>
      <c r="H4480" s="668"/>
      <c r="I4480" s="668"/>
      <c r="J4480" s="668"/>
      <c r="K4480" s="668"/>
      <c r="L4480" s="668"/>
      <c r="M4480" s="668"/>
    </row>
    <row r="4481" spans="5:13">
      <c r="E4481" s="668"/>
      <c r="F4481" s="668"/>
      <c r="G4481" s="668"/>
      <c r="H4481" s="668"/>
      <c r="I4481" s="668"/>
      <c r="J4481" s="668"/>
      <c r="K4481" s="668"/>
      <c r="L4481" s="668"/>
      <c r="M4481" s="668"/>
    </row>
    <row r="4482" spans="5:13">
      <c r="E4482" s="668"/>
      <c r="F4482" s="668"/>
      <c r="G4482" s="668"/>
      <c r="H4482" s="668"/>
      <c r="I4482" s="668"/>
      <c r="J4482" s="668"/>
      <c r="K4482" s="668"/>
      <c r="L4482" s="668"/>
      <c r="M4482" s="668"/>
    </row>
    <row r="4483" spans="5:13">
      <c r="E4483" s="668"/>
      <c r="F4483" s="668"/>
      <c r="G4483" s="668"/>
      <c r="H4483" s="668"/>
      <c r="I4483" s="668"/>
      <c r="J4483" s="668"/>
      <c r="K4483" s="668"/>
      <c r="L4483" s="668"/>
      <c r="M4483" s="668"/>
    </row>
    <row r="4484" spans="5:13">
      <c r="E4484" s="668"/>
      <c r="F4484" s="668"/>
      <c r="G4484" s="668"/>
      <c r="H4484" s="668"/>
      <c r="I4484" s="668"/>
      <c r="J4484" s="668"/>
      <c r="K4484" s="668"/>
      <c r="L4484" s="668"/>
      <c r="M4484" s="668"/>
    </row>
    <row r="4485" spans="5:13">
      <c r="E4485" s="668"/>
      <c r="F4485" s="668"/>
      <c r="G4485" s="668"/>
      <c r="H4485" s="668"/>
      <c r="I4485" s="668"/>
      <c r="J4485" s="668"/>
      <c r="K4485" s="668"/>
      <c r="L4485" s="668"/>
      <c r="M4485" s="668"/>
    </row>
    <row r="4486" spans="5:13">
      <c r="E4486" s="668"/>
      <c r="F4486" s="668"/>
      <c r="G4486" s="668"/>
      <c r="H4486" s="668"/>
      <c r="I4486" s="668"/>
      <c r="J4486" s="668"/>
      <c r="K4486" s="668"/>
      <c r="L4486" s="668"/>
      <c r="M4486" s="668"/>
    </row>
    <row r="4487" spans="5:13">
      <c r="E4487" s="668"/>
      <c r="F4487" s="668"/>
      <c r="G4487" s="668"/>
      <c r="H4487" s="668"/>
      <c r="I4487" s="668"/>
      <c r="J4487" s="668"/>
      <c r="K4487" s="668"/>
      <c r="L4487" s="668"/>
      <c r="M4487" s="668"/>
    </row>
    <row r="4488" spans="5:13">
      <c r="E4488" s="668"/>
      <c r="F4488" s="668"/>
      <c r="G4488" s="668"/>
      <c r="H4488" s="668"/>
      <c r="I4488" s="668"/>
      <c r="J4488" s="668"/>
      <c r="K4488" s="668"/>
      <c r="L4488" s="668"/>
      <c r="M4488" s="668"/>
    </row>
    <row r="4489" spans="5:13">
      <c r="E4489" s="668"/>
      <c r="F4489" s="668"/>
      <c r="G4489" s="668"/>
      <c r="H4489" s="668"/>
      <c r="I4489" s="668"/>
      <c r="J4489" s="668"/>
      <c r="K4489" s="668"/>
      <c r="L4489" s="668"/>
      <c r="M4489" s="668"/>
    </row>
    <row r="4490" spans="5:13">
      <c r="E4490" s="668"/>
      <c r="F4490" s="668"/>
      <c r="G4490" s="668"/>
      <c r="H4490" s="668"/>
      <c r="I4490" s="668"/>
      <c r="J4490" s="668"/>
      <c r="K4490" s="668"/>
      <c r="L4490" s="668"/>
      <c r="M4490" s="668"/>
    </row>
    <row r="4491" spans="5:13">
      <c r="E4491" s="668"/>
      <c r="F4491" s="668"/>
      <c r="G4491" s="668"/>
      <c r="H4491" s="668"/>
      <c r="I4491" s="668"/>
      <c r="J4491" s="668"/>
      <c r="K4491" s="668"/>
      <c r="L4491" s="668"/>
      <c r="M4491" s="668"/>
    </row>
    <row r="4492" spans="5:13">
      <c r="E4492" s="668"/>
      <c r="F4492" s="668"/>
      <c r="G4492" s="668"/>
      <c r="H4492" s="668"/>
      <c r="I4492" s="668"/>
      <c r="J4492" s="668"/>
      <c r="K4492" s="668"/>
      <c r="L4492" s="668"/>
      <c r="M4492" s="668"/>
    </row>
    <row r="4493" spans="5:13">
      <c r="E4493" s="668"/>
      <c r="F4493" s="668"/>
      <c r="G4493" s="668"/>
      <c r="H4493" s="668"/>
      <c r="I4493" s="668"/>
      <c r="J4493" s="668"/>
      <c r="K4493" s="668"/>
      <c r="L4493" s="668"/>
      <c r="M4493" s="668"/>
    </row>
    <row r="4494" spans="5:13">
      <c r="E4494" s="668"/>
      <c r="F4494" s="668"/>
      <c r="G4494" s="668"/>
      <c r="H4494" s="668"/>
      <c r="I4494" s="668"/>
      <c r="J4494" s="668"/>
      <c r="K4494" s="668"/>
      <c r="L4494" s="668"/>
      <c r="M4494" s="668"/>
    </row>
    <row r="4495" spans="5:13">
      <c r="E4495" s="668"/>
      <c r="F4495" s="668"/>
      <c r="G4495" s="668"/>
      <c r="H4495" s="668"/>
      <c r="I4495" s="668"/>
      <c r="J4495" s="668"/>
      <c r="K4495" s="668"/>
      <c r="L4495" s="668"/>
      <c r="M4495" s="668"/>
    </row>
    <row r="4496" spans="5:13">
      <c r="E4496" s="668"/>
      <c r="F4496" s="668"/>
      <c r="G4496" s="668"/>
      <c r="H4496" s="668"/>
      <c r="I4496" s="668"/>
      <c r="J4496" s="668"/>
      <c r="K4496" s="668"/>
      <c r="L4496" s="668"/>
      <c r="M4496" s="668"/>
    </row>
    <row r="4497" spans="5:13">
      <c r="E4497" s="668"/>
      <c r="F4497" s="668"/>
      <c r="G4497" s="668"/>
      <c r="H4497" s="668"/>
      <c r="I4497" s="668"/>
      <c r="J4497" s="668"/>
      <c r="K4497" s="668"/>
      <c r="L4497" s="668"/>
      <c r="M4497" s="668"/>
    </row>
    <row r="4498" spans="5:13">
      <c r="E4498" s="668"/>
      <c r="F4498" s="668"/>
      <c r="G4498" s="668"/>
      <c r="H4498" s="668"/>
      <c r="I4498" s="668"/>
      <c r="J4498" s="668"/>
      <c r="K4498" s="668"/>
      <c r="L4498" s="668"/>
      <c r="M4498" s="668"/>
    </row>
    <row r="4499" spans="5:13">
      <c r="E4499" s="668"/>
      <c r="F4499" s="668"/>
      <c r="G4499" s="668"/>
      <c r="H4499" s="668"/>
      <c r="I4499" s="668"/>
      <c r="J4499" s="668"/>
      <c r="K4499" s="668"/>
      <c r="L4499" s="668"/>
      <c r="M4499" s="668"/>
    </row>
    <row r="4500" spans="5:13">
      <c r="E4500" s="668"/>
      <c r="F4500" s="668"/>
      <c r="G4500" s="668"/>
      <c r="H4500" s="668"/>
      <c r="I4500" s="668"/>
      <c r="J4500" s="668"/>
      <c r="K4500" s="668"/>
      <c r="L4500" s="668"/>
      <c r="M4500" s="668"/>
    </row>
    <row r="4501" spans="5:13">
      <c r="E4501" s="668"/>
      <c r="F4501" s="668"/>
      <c r="G4501" s="668"/>
      <c r="H4501" s="668"/>
      <c r="I4501" s="668"/>
      <c r="J4501" s="668"/>
      <c r="K4501" s="668"/>
      <c r="L4501" s="668"/>
      <c r="M4501" s="668"/>
    </row>
    <row r="4502" spans="5:13">
      <c r="E4502" s="668"/>
      <c r="F4502" s="668"/>
      <c r="G4502" s="668"/>
      <c r="H4502" s="668"/>
      <c r="I4502" s="668"/>
      <c r="J4502" s="668"/>
      <c r="K4502" s="668"/>
      <c r="L4502" s="668"/>
      <c r="M4502" s="668"/>
    </row>
    <row r="4503" spans="5:13">
      <c r="E4503" s="668"/>
      <c r="F4503" s="668"/>
      <c r="G4503" s="668"/>
      <c r="H4503" s="668"/>
      <c r="I4503" s="668"/>
      <c r="J4503" s="668"/>
      <c r="K4503" s="668"/>
      <c r="L4503" s="668"/>
      <c r="M4503" s="668"/>
    </row>
    <row r="4504" spans="5:13">
      <c r="E4504" s="668"/>
      <c r="F4504" s="668"/>
      <c r="G4504" s="668"/>
      <c r="H4504" s="668"/>
      <c r="I4504" s="668"/>
      <c r="J4504" s="668"/>
      <c r="K4504" s="668"/>
      <c r="L4504" s="668"/>
      <c r="M4504" s="668"/>
    </row>
    <row r="4505" spans="5:13">
      <c r="E4505" s="668"/>
      <c r="F4505" s="668"/>
      <c r="G4505" s="668"/>
      <c r="H4505" s="668"/>
      <c r="I4505" s="668"/>
      <c r="J4505" s="668"/>
      <c r="K4505" s="668"/>
      <c r="L4505" s="668"/>
      <c r="M4505" s="668"/>
    </row>
    <row r="4506" spans="5:13">
      <c r="E4506" s="668"/>
      <c r="F4506" s="668"/>
      <c r="G4506" s="668"/>
      <c r="H4506" s="668"/>
      <c r="I4506" s="668"/>
      <c r="J4506" s="668"/>
      <c r="K4506" s="668"/>
      <c r="L4506" s="668"/>
      <c r="M4506" s="668"/>
    </row>
    <row r="4507" spans="5:13">
      <c r="E4507" s="668"/>
      <c r="F4507" s="668"/>
      <c r="G4507" s="668"/>
      <c r="H4507" s="668"/>
      <c r="I4507" s="668"/>
      <c r="J4507" s="668"/>
      <c r="K4507" s="668"/>
      <c r="L4507" s="668"/>
      <c r="M4507" s="668"/>
    </row>
    <row r="4508" spans="5:13">
      <c r="E4508" s="668"/>
      <c r="F4508" s="668"/>
      <c r="G4508" s="668"/>
      <c r="H4508" s="668"/>
      <c r="I4508" s="668"/>
      <c r="J4508" s="668"/>
      <c r="K4508" s="668"/>
      <c r="L4508" s="668"/>
      <c r="M4508" s="668"/>
    </row>
    <row r="4509" spans="5:13">
      <c r="E4509" s="668"/>
      <c r="F4509" s="668"/>
      <c r="G4509" s="668"/>
      <c r="H4509" s="668"/>
      <c r="I4509" s="668"/>
      <c r="J4509" s="668"/>
      <c r="K4509" s="668"/>
      <c r="L4509" s="668"/>
      <c r="M4509" s="668"/>
    </row>
    <row r="4510" spans="5:13">
      <c r="E4510" s="668"/>
      <c r="F4510" s="668"/>
      <c r="G4510" s="668"/>
      <c r="H4510" s="668"/>
      <c r="I4510" s="668"/>
      <c r="J4510" s="668"/>
      <c r="K4510" s="668"/>
      <c r="L4510" s="668"/>
      <c r="M4510" s="668"/>
    </row>
    <row r="4511" spans="5:13">
      <c r="E4511" s="668"/>
      <c r="F4511" s="668"/>
      <c r="G4511" s="668"/>
      <c r="H4511" s="668"/>
      <c r="I4511" s="668"/>
      <c r="J4511" s="668"/>
      <c r="K4511" s="668"/>
      <c r="L4511" s="668"/>
      <c r="M4511" s="668"/>
    </row>
    <row r="4512" spans="5:13">
      <c r="E4512" s="668"/>
      <c r="F4512" s="668"/>
      <c r="G4512" s="668"/>
      <c r="H4512" s="668"/>
      <c r="I4512" s="668"/>
      <c r="J4512" s="668"/>
      <c r="K4512" s="668"/>
      <c r="L4512" s="668"/>
      <c r="M4512" s="668"/>
    </row>
    <row r="4513" spans="5:13">
      <c r="E4513" s="668"/>
      <c r="F4513" s="668"/>
      <c r="G4513" s="668"/>
      <c r="H4513" s="668"/>
      <c r="I4513" s="668"/>
      <c r="J4513" s="668"/>
      <c r="K4513" s="668"/>
      <c r="L4513" s="668"/>
      <c r="M4513" s="668"/>
    </row>
    <row r="4514" spans="5:13">
      <c r="E4514" s="668"/>
      <c r="F4514" s="668"/>
      <c r="G4514" s="668"/>
      <c r="H4514" s="668"/>
      <c r="I4514" s="668"/>
      <c r="J4514" s="668"/>
      <c r="K4514" s="668"/>
      <c r="L4514" s="668"/>
      <c r="M4514" s="668"/>
    </row>
    <row r="4515" spans="5:13">
      <c r="E4515" s="668"/>
      <c r="F4515" s="668"/>
      <c r="G4515" s="668"/>
      <c r="H4515" s="668"/>
      <c r="I4515" s="668"/>
      <c r="J4515" s="668"/>
      <c r="K4515" s="668"/>
      <c r="L4515" s="668"/>
      <c r="M4515" s="668"/>
    </row>
    <row r="4516" spans="5:13">
      <c r="E4516" s="668"/>
      <c r="F4516" s="668"/>
      <c r="G4516" s="668"/>
      <c r="H4516" s="668"/>
      <c r="I4516" s="668"/>
      <c r="J4516" s="668"/>
      <c r="K4516" s="668"/>
      <c r="L4516" s="668"/>
      <c r="M4516" s="668"/>
    </row>
    <row r="4517" spans="5:13">
      <c r="E4517" s="668"/>
      <c r="F4517" s="668"/>
      <c r="G4517" s="668"/>
      <c r="H4517" s="668"/>
      <c r="I4517" s="668"/>
      <c r="J4517" s="668"/>
      <c r="K4517" s="668"/>
      <c r="L4517" s="668"/>
      <c r="M4517" s="668"/>
    </row>
    <row r="4518" spans="5:13">
      <c r="E4518" s="668"/>
      <c r="F4518" s="668"/>
      <c r="G4518" s="668"/>
      <c r="H4518" s="668"/>
      <c r="I4518" s="668"/>
      <c r="J4518" s="668"/>
      <c r="K4518" s="668"/>
      <c r="L4518" s="668"/>
      <c r="M4518" s="668"/>
    </row>
    <row r="4519" spans="5:13">
      <c r="E4519" s="668"/>
      <c r="F4519" s="668"/>
      <c r="G4519" s="668"/>
      <c r="H4519" s="668"/>
      <c r="I4519" s="668"/>
      <c r="J4519" s="668"/>
      <c r="K4519" s="668"/>
      <c r="L4519" s="668"/>
      <c r="M4519" s="668"/>
    </row>
    <row r="4520" spans="5:13">
      <c r="E4520" s="668"/>
      <c r="F4520" s="668"/>
      <c r="G4520" s="668"/>
      <c r="H4520" s="668"/>
      <c r="I4520" s="668"/>
      <c r="J4520" s="668"/>
      <c r="K4520" s="668"/>
      <c r="L4520" s="668"/>
      <c r="M4520" s="668"/>
    </row>
    <row r="4521" spans="5:13">
      <c r="E4521" s="668"/>
      <c r="F4521" s="668"/>
      <c r="G4521" s="668"/>
      <c r="H4521" s="668"/>
      <c r="I4521" s="668"/>
      <c r="J4521" s="668"/>
      <c r="K4521" s="668"/>
      <c r="L4521" s="668"/>
      <c r="M4521" s="668"/>
    </row>
    <row r="4522" spans="5:13">
      <c r="E4522" s="668"/>
      <c r="F4522" s="668"/>
      <c r="G4522" s="668"/>
      <c r="H4522" s="668"/>
      <c r="I4522" s="668"/>
      <c r="J4522" s="668"/>
      <c r="K4522" s="668"/>
      <c r="L4522" s="668"/>
      <c r="M4522" s="668"/>
    </row>
    <row r="4523" spans="5:13">
      <c r="E4523" s="668"/>
      <c r="F4523" s="668"/>
      <c r="G4523" s="668"/>
      <c r="H4523" s="668"/>
      <c r="I4523" s="668"/>
      <c r="J4523" s="668"/>
      <c r="K4523" s="668"/>
      <c r="L4523" s="668"/>
      <c r="M4523" s="668"/>
    </row>
    <row r="4524" spans="5:13">
      <c r="E4524" s="668"/>
      <c r="F4524" s="668"/>
      <c r="G4524" s="668"/>
      <c r="H4524" s="668"/>
      <c r="I4524" s="668"/>
      <c r="J4524" s="668"/>
      <c r="K4524" s="668"/>
      <c r="L4524" s="668"/>
      <c r="M4524" s="668"/>
    </row>
    <row r="4525" spans="5:13">
      <c r="E4525" s="668"/>
      <c r="F4525" s="668"/>
      <c r="G4525" s="668"/>
      <c r="H4525" s="668"/>
      <c r="I4525" s="668"/>
      <c r="J4525" s="668"/>
      <c r="K4525" s="668"/>
      <c r="L4525" s="668"/>
      <c r="M4525" s="668"/>
    </row>
    <row r="4526" spans="5:13">
      <c r="E4526" s="668"/>
      <c r="F4526" s="668"/>
      <c r="G4526" s="668"/>
      <c r="H4526" s="668"/>
      <c r="I4526" s="668"/>
      <c r="J4526" s="668"/>
      <c r="K4526" s="668"/>
      <c r="L4526" s="668"/>
      <c r="M4526" s="668"/>
    </row>
    <row r="4527" spans="5:13">
      <c r="E4527" s="668"/>
      <c r="F4527" s="668"/>
      <c r="G4527" s="668"/>
      <c r="H4527" s="668"/>
      <c r="I4527" s="668"/>
      <c r="J4527" s="668"/>
      <c r="K4527" s="668"/>
      <c r="L4527" s="668"/>
      <c r="M4527" s="668"/>
    </row>
    <row r="4528" spans="5:13">
      <c r="E4528" s="668"/>
      <c r="F4528" s="668"/>
      <c r="G4528" s="668"/>
      <c r="H4528" s="668"/>
      <c r="I4528" s="668"/>
      <c r="J4528" s="668"/>
      <c r="K4528" s="668"/>
      <c r="L4528" s="668"/>
      <c r="M4528" s="668"/>
    </row>
    <row r="4529" spans="5:13">
      <c r="E4529" s="668"/>
      <c r="F4529" s="668"/>
      <c r="G4529" s="668"/>
      <c r="H4529" s="668"/>
      <c r="I4529" s="668"/>
      <c r="J4529" s="668"/>
      <c r="K4529" s="668"/>
      <c r="L4529" s="668"/>
      <c r="M4529" s="668"/>
    </row>
    <row r="4530" spans="5:13">
      <c r="E4530" s="668"/>
      <c r="F4530" s="668"/>
      <c r="G4530" s="668"/>
      <c r="H4530" s="668"/>
      <c r="I4530" s="668"/>
      <c r="J4530" s="668"/>
      <c r="K4530" s="668"/>
      <c r="L4530" s="668"/>
      <c r="M4530" s="668"/>
    </row>
    <row r="4531" spans="5:13">
      <c r="E4531" s="668"/>
      <c r="F4531" s="668"/>
      <c r="G4531" s="668"/>
      <c r="H4531" s="668"/>
      <c r="I4531" s="668"/>
      <c r="J4531" s="668"/>
      <c r="K4531" s="668"/>
      <c r="L4531" s="668"/>
      <c r="M4531" s="668"/>
    </row>
    <row r="4532" spans="5:13">
      <c r="E4532" s="668"/>
      <c r="F4532" s="668"/>
      <c r="G4532" s="668"/>
      <c r="H4532" s="668"/>
      <c r="I4532" s="668"/>
      <c r="J4532" s="668"/>
      <c r="K4532" s="668"/>
      <c r="L4532" s="668"/>
      <c r="M4532" s="668"/>
    </row>
    <row r="4533" spans="5:13">
      <c r="E4533" s="668"/>
      <c r="F4533" s="668"/>
      <c r="G4533" s="668"/>
      <c r="H4533" s="668"/>
      <c r="I4533" s="668"/>
      <c r="J4533" s="668"/>
      <c r="K4533" s="668"/>
      <c r="L4533" s="668"/>
      <c r="M4533" s="668"/>
    </row>
    <row r="4534" spans="5:13">
      <c r="E4534" s="668"/>
      <c r="F4534" s="668"/>
      <c r="G4534" s="668"/>
      <c r="H4534" s="668"/>
      <c r="I4534" s="668"/>
      <c r="J4534" s="668"/>
      <c r="K4534" s="668"/>
      <c r="L4534" s="668"/>
      <c r="M4534" s="668"/>
    </row>
    <row r="4535" spans="5:13">
      <c r="E4535" s="668"/>
      <c r="F4535" s="668"/>
      <c r="G4535" s="668"/>
      <c r="H4535" s="668"/>
      <c r="I4535" s="668"/>
      <c r="J4535" s="668"/>
      <c r="K4535" s="668"/>
      <c r="L4535" s="668"/>
      <c r="M4535" s="668"/>
    </row>
    <row r="4536" spans="5:13">
      <c r="E4536" s="668"/>
      <c r="F4536" s="668"/>
      <c r="G4536" s="668"/>
      <c r="H4536" s="668"/>
      <c r="I4536" s="668"/>
      <c r="J4536" s="668"/>
      <c r="K4536" s="668"/>
      <c r="L4536" s="668"/>
      <c r="M4536" s="668"/>
    </row>
    <row r="4537" spans="5:13">
      <c r="E4537" s="668"/>
      <c r="F4537" s="668"/>
      <c r="G4537" s="668"/>
      <c r="H4537" s="668"/>
      <c r="I4537" s="668"/>
      <c r="J4537" s="668"/>
      <c r="K4537" s="668"/>
      <c r="L4537" s="668"/>
      <c r="M4537" s="668"/>
    </row>
    <row r="4538" spans="5:13">
      <c r="E4538" s="668"/>
      <c r="F4538" s="668"/>
      <c r="G4538" s="668"/>
      <c r="H4538" s="668"/>
      <c r="I4538" s="668"/>
      <c r="J4538" s="668"/>
      <c r="K4538" s="668"/>
      <c r="L4538" s="668"/>
      <c r="M4538" s="668"/>
    </row>
    <row r="4539" spans="5:13">
      <c r="E4539" s="668"/>
      <c r="F4539" s="668"/>
      <c r="G4539" s="668"/>
      <c r="H4539" s="668"/>
      <c r="I4539" s="668"/>
      <c r="J4539" s="668"/>
      <c r="K4539" s="668"/>
      <c r="L4539" s="668"/>
      <c r="M4539" s="668"/>
    </row>
    <row r="4540" spans="5:13">
      <c r="E4540" s="668"/>
      <c r="F4540" s="668"/>
      <c r="G4540" s="668"/>
      <c r="H4540" s="668"/>
      <c r="I4540" s="668"/>
      <c r="J4540" s="668"/>
      <c r="K4540" s="668"/>
      <c r="L4540" s="668"/>
      <c r="M4540" s="668"/>
    </row>
    <row r="4541" spans="5:13">
      <c r="E4541" s="668"/>
      <c r="F4541" s="668"/>
      <c r="G4541" s="668"/>
      <c r="H4541" s="668"/>
      <c r="I4541" s="668"/>
      <c r="J4541" s="668"/>
      <c r="K4541" s="668"/>
      <c r="L4541" s="668"/>
      <c r="M4541" s="668"/>
    </row>
    <row r="4542" spans="5:13">
      <c r="E4542" s="668"/>
      <c r="F4542" s="668"/>
      <c r="G4542" s="668"/>
      <c r="H4542" s="668"/>
      <c r="I4542" s="668"/>
      <c r="J4542" s="668"/>
      <c r="K4542" s="668"/>
      <c r="L4542" s="668"/>
      <c r="M4542" s="668"/>
    </row>
    <row r="4543" spans="5:13">
      <c r="E4543" s="668"/>
      <c r="F4543" s="668"/>
      <c r="G4543" s="668"/>
      <c r="H4543" s="668"/>
      <c r="I4543" s="668"/>
      <c r="J4543" s="668"/>
      <c r="K4543" s="668"/>
      <c r="L4543" s="668"/>
      <c r="M4543" s="668"/>
    </row>
    <row r="4544" spans="5:13">
      <c r="E4544" s="668"/>
      <c r="F4544" s="668"/>
      <c r="G4544" s="668"/>
      <c r="H4544" s="668"/>
      <c r="I4544" s="668"/>
      <c r="J4544" s="668"/>
      <c r="K4544" s="668"/>
      <c r="L4544" s="668"/>
      <c r="M4544" s="668"/>
    </row>
    <row r="4545" spans="5:13">
      <c r="E4545" s="668"/>
      <c r="F4545" s="668"/>
      <c r="G4545" s="668"/>
      <c r="H4545" s="668"/>
      <c r="I4545" s="668"/>
      <c r="J4545" s="668"/>
      <c r="K4545" s="668"/>
      <c r="L4545" s="668"/>
      <c r="M4545" s="668"/>
    </row>
    <row r="4546" spans="5:13">
      <c r="E4546" s="668"/>
      <c r="F4546" s="668"/>
      <c r="G4546" s="668"/>
      <c r="H4546" s="668"/>
      <c r="I4546" s="668"/>
      <c r="J4546" s="668"/>
      <c r="K4546" s="668"/>
      <c r="L4546" s="668"/>
      <c r="M4546" s="668"/>
    </row>
    <row r="4547" spans="5:13">
      <c r="E4547" s="668"/>
      <c r="F4547" s="668"/>
      <c r="G4547" s="668"/>
      <c r="H4547" s="668"/>
      <c r="I4547" s="668"/>
      <c r="J4547" s="668"/>
      <c r="K4547" s="668"/>
      <c r="L4547" s="668"/>
      <c r="M4547" s="668"/>
    </row>
    <row r="4548" spans="5:13">
      <c r="E4548" s="668"/>
      <c r="F4548" s="668"/>
      <c r="G4548" s="668"/>
      <c r="H4548" s="668"/>
      <c r="I4548" s="668"/>
      <c r="J4548" s="668"/>
      <c r="K4548" s="668"/>
      <c r="L4548" s="668"/>
      <c r="M4548" s="668"/>
    </row>
    <row r="4549" spans="5:13">
      <c r="E4549" s="668"/>
      <c r="F4549" s="668"/>
      <c r="G4549" s="668"/>
      <c r="H4549" s="668"/>
      <c r="I4549" s="668"/>
      <c r="J4549" s="668"/>
      <c r="K4549" s="668"/>
      <c r="L4549" s="668"/>
      <c r="M4549" s="668"/>
    </row>
    <row r="4550" spans="5:13">
      <c r="E4550" s="668"/>
      <c r="F4550" s="668"/>
      <c r="G4550" s="668"/>
      <c r="H4550" s="668"/>
      <c r="I4550" s="668"/>
      <c r="J4550" s="668"/>
      <c r="K4550" s="668"/>
      <c r="L4550" s="668"/>
      <c r="M4550" s="668"/>
    </row>
    <row r="4551" spans="5:13">
      <c r="E4551" s="668"/>
      <c r="F4551" s="668"/>
      <c r="G4551" s="668"/>
      <c r="H4551" s="668"/>
      <c r="I4551" s="668"/>
      <c r="J4551" s="668"/>
      <c r="K4551" s="668"/>
      <c r="L4551" s="668"/>
      <c r="M4551" s="668"/>
    </row>
    <row r="4552" spans="5:13">
      <c r="E4552" s="668"/>
      <c r="F4552" s="668"/>
      <c r="G4552" s="668"/>
      <c r="H4552" s="668"/>
      <c r="I4552" s="668"/>
      <c r="J4552" s="668"/>
      <c r="K4552" s="668"/>
      <c r="L4552" s="668"/>
      <c r="M4552" s="668"/>
    </row>
    <row r="4553" spans="5:13">
      <c r="E4553" s="668"/>
      <c r="F4553" s="668"/>
      <c r="G4553" s="668"/>
      <c r="H4553" s="668"/>
      <c r="I4553" s="668"/>
      <c r="J4553" s="668"/>
      <c r="K4553" s="668"/>
      <c r="L4553" s="668"/>
      <c r="M4553" s="668"/>
    </row>
    <row r="4554" spans="5:13">
      <c r="E4554" s="668"/>
      <c r="F4554" s="668"/>
      <c r="G4554" s="668"/>
      <c r="H4554" s="668"/>
      <c r="I4554" s="668"/>
      <c r="J4554" s="668"/>
      <c r="K4554" s="668"/>
      <c r="L4554" s="668"/>
      <c r="M4554" s="668"/>
    </row>
    <row r="4555" spans="5:13">
      <c r="E4555" s="668"/>
      <c r="F4555" s="668"/>
      <c r="G4555" s="668"/>
      <c r="H4555" s="668"/>
      <c r="I4555" s="668"/>
      <c r="J4555" s="668"/>
      <c r="K4555" s="668"/>
      <c r="L4555" s="668"/>
      <c r="M4555" s="668"/>
    </row>
    <row r="4556" spans="5:13">
      <c r="E4556" s="668"/>
      <c r="F4556" s="668"/>
      <c r="G4556" s="668"/>
      <c r="H4556" s="668"/>
      <c r="I4556" s="668"/>
      <c r="J4556" s="668"/>
      <c r="K4556" s="668"/>
      <c r="L4556" s="668"/>
      <c r="M4556" s="668"/>
    </row>
    <row r="4557" spans="5:13">
      <c r="E4557" s="668"/>
      <c r="F4557" s="668"/>
      <c r="G4557" s="668"/>
      <c r="H4557" s="668"/>
      <c r="I4557" s="668"/>
      <c r="J4557" s="668"/>
      <c r="K4557" s="668"/>
      <c r="L4557" s="668"/>
      <c r="M4557" s="668"/>
    </row>
    <row r="4558" spans="5:13">
      <c r="E4558" s="668"/>
      <c r="F4558" s="668"/>
      <c r="G4558" s="668"/>
      <c r="H4558" s="668"/>
      <c r="I4558" s="668"/>
      <c r="J4558" s="668"/>
      <c r="K4558" s="668"/>
      <c r="L4558" s="668"/>
      <c r="M4558" s="668"/>
    </row>
    <row r="4559" spans="5:13">
      <c r="E4559" s="668"/>
      <c r="F4559" s="668"/>
      <c r="G4559" s="668"/>
      <c r="H4559" s="668"/>
      <c r="I4559" s="668"/>
      <c r="J4559" s="668"/>
      <c r="K4559" s="668"/>
      <c r="L4559" s="668"/>
      <c r="M4559" s="668"/>
    </row>
    <row r="4560" spans="5:13">
      <c r="E4560" s="668"/>
      <c r="F4560" s="668"/>
      <c r="G4560" s="668"/>
      <c r="H4560" s="668"/>
      <c r="I4560" s="668"/>
      <c r="J4560" s="668"/>
      <c r="K4560" s="668"/>
      <c r="L4560" s="668"/>
      <c r="M4560" s="668"/>
    </row>
    <row r="4561" spans="5:13">
      <c r="E4561" s="668"/>
      <c r="F4561" s="668"/>
      <c r="G4561" s="668"/>
      <c r="H4561" s="668"/>
      <c r="I4561" s="668"/>
      <c r="J4561" s="668"/>
      <c r="K4561" s="668"/>
      <c r="L4561" s="668"/>
      <c r="M4561" s="668"/>
    </row>
    <row r="4562" spans="5:13">
      <c r="E4562" s="668"/>
      <c r="F4562" s="668"/>
      <c r="G4562" s="668"/>
      <c r="H4562" s="668"/>
      <c r="I4562" s="668"/>
      <c r="J4562" s="668"/>
      <c r="K4562" s="668"/>
      <c r="L4562" s="668"/>
      <c r="M4562" s="668"/>
    </row>
    <row r="4563" spans="5:13">
      <c r="E4563" s="668"/>
      <c r="F4563" s="668"/>
      <c r="G4563" s="668"/>
      <c r="H4563" s="668"/>
      <c r="I4563" s="668"/>
      <c r="J4563" s="668"/>
      <c r="K4563" s="668"/>
      <c r="L4563" s="668"/>
      <c r="M4563" s="668"/>
    </row>
    <row r="4564" spans="5:13">
      <c r="E4564" s="668"/>
      <c r="F4564" s="668"/>
      <c r="G4564" s="668"/>
      <c r="H4564" s="668"/>
      <c r="I4564" s="668"/>
      <c r="J4564" s="668"/>
      <c r="K4564" s="668"/>
      <c r="L4564" s="668"/>
      <c r="M4564" s="668"/>
    </row>
    <row r="4565" spans="5:13">
      <c r="E4565" s="668"/>
      <c r="F4565" s="668"/>
      <c r="G4565" s="668"/>
      <c r="H4565" s="668"/>
      <c r="I4565" s="668"/>
      <c r="J4565" s="668"/>
      <c r="K4565" s="668"/>
      <c r="L4565" s="668"/>
      <c r="M4565" s="668"/>
    </row>
    <row r="4566" spans="5:13">
      <c r="E4566" s="668"/>
      <c r="F4566" s="668"/>
      <c r="G4566" s="668"/>
      <c r="H4566" s="668"/>
      <c r="I4566" s="668"/>
      <c r="J4566" s="668"/>
      <c r="K4566" s="668"/>
      <c r="L4566" s="668"/>
      <c r="M4566" s="668"/>
    </row>
    <row r="4567" spans="5:13">
      <c r="E4567" s="668"/>
      <c r="F4567" s="668"/>
      <c r="G4567" s="668"/>
      <c r="H4567" s="668"/>
      <c r="I4567" s="668"/>
      <c r="J4567" s="668"/>
      <c r="K4567" s="668"/>
      <c r="L4567" s="668"/>
      <c r="M4567" s="668"/>
    </row>
    <row r="4568" spans="5:13">
      <c r="E4568" s="668"/>
      <c r="F4568" s="668"/>
      <c r="G4568" s="668"/>
      <c r="H4568" s="668"/>
      <c r="I4568" s="668"/>
      <c r="J4568" s="668"/>
      <c r="K4568" s="668"/>
      <c r="L4568" s="668"/>
      <c r="M4568" s="668"/>
    </row>
    <row r="4569" spans="5:13">
      <c r="E4569" s="668"/>
      <c r="F4569" s="668"/>
      <c r="G4569" s="668"/>
      <c r="H4569" s="668"/>
      <c r="I4569" s="668"/>
      <c r="J4569" s="668"/>
      <c r="K4569" s="668"/>
      <c r="L4569" s="668"/>
      <c r="M4569" s="668"/>
    </row>
    <row r="4570" spans="5:13">
      <c r="E4570" s="668"/>
      <c r="F4570" s="668"/>
      <c r="G4570" s="668"/>
      <c r="H4570" s="668"/>
      <c r="I4570" s="668"/>
      <c r="J4570" s="668"/>
      <c r="K4570" s="668"/>
      <c r="L4570" s="668"/>
      <c r="M4570" s="668"/>
    </row>
    <row r="4571" spans="5:13">
      <c r="E4571" s="668"/>
      <c r="F4571" s="668"/>
      <c r="G4571" s="668"/>
      <c r="H4571" s="668"/>
      <c r="I4571" s="668"/>
      <c r="J4571" s="668"/>
      <c r="K4571" s="668"/>
      <c r="L4571" s="668"/>
      <c r="M4571" s="668"/>
    </row>
    <row r="4572" spans="5:13">
      <c r="E4572" s="668"/>
      <c r="F4572" s="668"/>
      <c r="G4572" s="668"/>
      <c r="H4572" s="668"/>
      <c r="I4572" s="668"/>
      <c r="J4572" s="668"/>
      <c r="K4572" s="668"/>
      <c r="L4572" s="668"/>
      <c r="M4572" s="668"/>
    </row>
    <row r="4573" spans="5:13">
      <c r="E4573" s="668"/>
      <c r="F4573" s="668"/>
      <c r="G4573" s="668"/>
      <c r="H4573" s="668"/>
      <c r="I4573" s="668"/>
      <c r="J4573" s="668"/>
      <c r="K4573" s="668"/>
      <c r="L4573" s="668"/>
      <c r="M4573" s="668"/>
    </row>
    <row r="4574" spans="5:13">
      <c r="E4574" s="668"/>
      <c r="F4574" s="668"/>
      <c r="G4574" s="668"/>
      <c r="H4574" s="668"/>
      <c r="I4574" s="668"/>
      <c r="J4574" s="668"/>
      <c r="K4574" s="668"/>
      <c r="L4574" s="668"/>
      <c r="M4574" s="668"/>
    </row>
    <row r="4575" spans="5:13">
      <c r="E4575" s="668"/>
      <c r="F4575" s="668"/>
      <c r="G4575" s="668"/>
      <c r="H4575" s="668"/>
      <c r="I4575" s="668"/>
      <c r="J4575" s="668"/>
      <c r="K4575" s="668"/>
      <c r="L4575" s="668"/>
      <c r="M4575" s="668"/>
    </row>
    <row r="4576" spans="5:13">
      <c r="E4576" s="668"/>
      <c r="F4576" s="668"/>
      <c r="G4576" s="668"/>
      <c r="H4576" s="668"/>
      <c r="I4576" s="668"/>
      <c r="J4576" s="668"/>
      <c r="K4576" s="668"/>
      <c r="L4576" s="668"/>
      <c r="M4576" s="668"/>
    </row>
    <row r="4577" spans="5:13">
      <c r="E4577" s="668"/>
      <c r="F4577" s="668"/>
      <c r="G4577" s="668"/>
      <c r="H4577" s="668"/>
      <c r="I4577" s="668"/>
      <c r="J4577" s="668"/>
      <c r="K4577" s="668"/>
      <c r="L4577" s="668"/>
      <c r="M4577" s="668"/>
    </row>
    <row r="4578" spans="5:13">
      <c r="E4578" s="668"/>
      <c r="F4578" s="668"/>
      <c r="G4578" s="668"/>
      <c r="H4578" s="668"/>
      <c r="I4578" s="668"/>
      <c r="J4578" s="668"/>
      <c r="K4578" s="668"/>
      <c r="L4578" s="668"/>
      <c r="M4578" s="668"/>
    </row>
    <row r="4579" spans="5:13">
      <c r="E4579" s="668"/>
      <c r="F4579" s="668"/>
      <c r="G4579" s="668"/>
      <c r="H4579" s="668"/>
      <c r="I4579" s="668"/>
      <c r="J4579" s="668"/>
      <c r="K4579" s="668"/>
      <c r="L4579" s="668"/>
      <c r="M4579" s="668"/>
    </row>
    <row r="4580" spans="5:13">
      <c r="E4580" s="668"/>
      <c r="F4580" s="668"/>
      <c r="G4580" s="668"/>
      <c r="H4580" s="668"/>
      <c r="I4580" s="668"/>
      <c r="J4580" s="668"/>
      <c r="K4580" s="668"/>
      <c r="L4580" s="668"/>
      <c r="M4580" s="668"/>
    </row>
    <row r="4581" spans="5:13">
      <c r="E4581" s="668"/>
      <c r="F4581" s="668"/>
      <c r="G4581" s="668"/>
      <c r="H4581" s="668"/>
      <c r="I4581" s="668"/>
      <c r="J4581" s="668"/>
      <c r="K4581" s="668"/>
      <c r="L4581" s="668"/>
      <c r="M4581" s="668"/>
    </row>
    <row r="4582" spans="5:13">
      <c r="E4582" s="668"/>
      <c r="F4582" s="668"/>
      <c r="G4582" s="668"/>
      <c r="H4582" s="668"/>
      <c r="I4582" s="668"/>
      <c r="J4582" s="668"/>
      <c r="K4582" s="668"/>
      <c r="L4582" s="668"/>
      <c r="M4582" s="668"/>
    </row>
    <row r="4583" spans="5:13">
      <c r="E4583" s="668"/>
      <c r="F4583" s="668"/>
      <c r="G4583" s="668"/>
      <c r="H4583" s="668"/>
      <c r="I4583" s="668"/>
      <c r="J4583" s="668"/>
      <c r="K4583" s="668"/>
      <c r="L4583" s="668"/>
      <c r="M4583" s="668"/>
    </row>
    <row r="4584" spans="5:13">
      <c r="E4584" s="668"/>
      <c r="F4584" s="668"/>
      <c r="G4584" s="668"/>
      <c r="H4584" s="668"/>
      <c r="I4584" s="668"/>
      <c r="J4584" s="668"/>
      <c r="K4584" s="668"/>
      <c r="L4584" s="668"/>
      <c r="M4584" s="668"/>
    </row>
    <row r="4585" spans="5:13">
      <c r="E4585" s="668"/>
      <c r="F4585" s="668"/>
      <c r="G4585" s="668"/>
      <c r="H4585" s="668"/>
      <c r="I4585" s="668"/>
      <c r="J4585" s="668"/>
      <c r="K4585" s="668"/>
      <c r="L4585" s="668"/>
      <c r="M4585" s="668"/>
    </row>
    <row r="4586" spans="5:13">
      <c r="E4586" s="668"/>
      <c r="F4586" s="668"/>
      <c r="G4586" s="668"/>
      <c r="H4586" s="668"/>
      <c r="I4586" s="668"/>
      <c r="J4586" s="668"/>
      <c r="K4586" s="668"/>
      <c r="L4586" s="668"/>
      <c r="M4586" s="668"/>
    </row>
    <row r="4587" spans="5:13">
      <c r="E4587" s="668"/>
      <c r="F4587" s="668"/>
      <c r="G4587" s="668"/>
      <c r="H4587" s="668"/>
      <c r="I4587" s="668"/>
      <c r="J4587" s="668"/>
      <c r="K4587" s="668"/>
      <c r="L4587" s="668"/>
      <c r="M4587" s="668"/>
    </row>
    <row r="4588" spans="5:13">
      <c r="E4588" s="668"/>
      <c r="F4588" s="668"/>
      <c r="G4588" s="668"/>
      <c r="H4588" s="668"/>
      <c r="I4588" s="668"/>
      <c r="J4588" s="668"/>
      <c r="K4588" s="668"/>
      <c r="L4588" s="668"/>
      <c r="M4588" s="668"/>
    </row>
    <row r="4589" spans="5:13">
      <c r="E4589" s="668"/>
      <c r="F4589" s="668"/>
      <c r="G4589" s="668"/>
      <c r="H4589" s="668"/>
      <c r="I4589" s="668"/>
      <c r="J4589" s="668"/>
      <c r="K4589" s="668"/>
      <c r="L4589" s="668"/>
      <c r="M4589" s="668"/>
    </row>
    <row r="4590" spans="5:13">
      <c r="E4590" s="668"/>
      <c r="F4590" s="668"/>
      <c r="G4590" s="668"/>
      <c r="H4590" s="668"/>
      <c r="I4590" s="668"/>
      <c r="J4590" s="668"/>
      <c r="K4590" s="668"/>
      <c r="L4590" s="668"/>
      <c r="M4590" s="668"/>
    </row>
    <row r="4591" spans="5:13">
      <c r="E4591" s="668"/>
      <c r="F4591" s="668"/>
      <c r="G4591" s="668"/>
      <c r="H4591" s="668"/>
      <c r="I4591" s="668"/>
      <c r="J4591" s="668"/>
      <c r="K4591" s="668"/>
      <c r="L4591" s="668"/>
      <c r="M4591" s="668"/>
    </row>
    <row r="4592" spans="5:13">
      <c r="E4592" s="668"/>
      <c r="F4592" s="668"/>
      <c r="G4592" s="668"/>
      <c r="H4592" s="668"/>
      <c r="I4592" s="668"/>
      <c r="J4592" s="668"/>
      <c r="K4592" s="668"/>
      <c r="L4592" s="668"/>
      <c r="M4592" s="668"/>
    </row>
    <row r="4593" spans="5:13">
      <c r="E4593" s="668"/>
      <c r="F4593" s="668"/>
      <c r="G4593" s="668"/>
      <c r="H4593" s="668"/>
      <c r="I4593" s="668"/>
      <c r="J4593" s="668"/>
      <c r="K4593" s="668"/>
      <c r="L4593" s="668"/>
      <c r="M4593" s="668"/>
    </row>
    <row r="4594" spans="5:13">
      <c r="E4594" s="668"/>
      <c r="F4594" s="668"/>
      <c r="G4594" s="668"/>
      <c r="H4594" s="668"/>
      <c r="I4594" s="668"/>
      <c r="J4594" s="668"/>
      <c r="K4594" s="668"/>
      <c r="L4594" s="668"/>
      <c r="M4594" s="668"/>
    </row>
    <row r="4595" spans="5:13">
      <c r="E4595" s="668"/>
      <c r="F4595" s="668"/>
      <c r="G4595" s="668"/>
      <c r="H4595" s="668"/>
      <c r="I4595" s="668"/>
      <c r="J4595" s="668"/>
      <c r="K4595" s="668"/>
      <c r="L4595" s="668"/>
      <c r="M4595" s="668"/>
    </row>
    <row r="4596" spans="5:13">
      <c r="E4596" s="668"/>
      <c r="F4596" s="668"/>
      <c r="G4596" s="668"/>
      <c r="H4596" s="668"/>
      <c r="I4596" s="668"/>
      <c r="J4596" s="668"/>
      <c r="K4596" s="668"/>
      <c r="L4596" s="668"/>
      <c r="M4596" s="668"/>
    </row>
    <row r="4597" spans="5:13">
      <c r="E4597" s="668"/>
      <c r="F4597" s="668"/>
      <c r="G4597" s="668"/>
      <c r="H4597" s="668"/>
      <c r="I4597" s="668"/>
      <c r="J4597" s="668"/>
      <c r="K4597" s="668"/>
      <c r="L4597" s="668"/>
      <c r="M4597" s="668"/>
    </row>
    <row r="4598" spans="5:13">
      <c r="E4598" s="668"/>
      <c r="F4598" s="668"/>
      <c r="G4598" s="668"/>
      <c r="H4598" s="668"/>
      <c r="I4598" s="668"/>
      <c r="J4598" s="668"/>
      <c r="K4598" s="668"/>
      <c r="L4598" s="668"/>
      <c r="M4598" s="668"/>
    </row>
    <row r="4599" spans="5:13">
      <c r="E4599" s="668"/>
      <c r="F4599" s="668"/>
      <c r="G4599" s="668"/>
      <c r="H4599" s="668"/>
      <c r="I4599" s="668"/>
      <c r="J4599" s="668"/>
      <c r="K4599" s="668"/>
      <c r="L4599" s="668"/>
      <c r="M4599" s="668"/>
    </row>
    <row r="4600" spans="5:13">
      <c r="E4600" s="668"/>
      <c r="F4600" s="668"/>
      <c r="G4600" s="668"/>
      <c r="H4600" s="668"/>
      <c r="I4600" s="668"/>
      <c r="J4600" s="668"/>
      <c r="K4600" s="668"/>
      <c r="L4600" s="668"/>
      <c r="M4600" s="668"/>
    </row>
    <row r="4601" spans="5:13">
      <c r="E4601" s="668"/>
      <c r="F4601" s="668"/>
      <c r="G4601" s="668"/>
      <c r="H4601" s="668"/>
      <c r="I4601" s="668"/>
      <c r="J4601" s="668"/>
      <c r="K4601" s="668"/>
      <c r="L4601" s="668"/>
      <c r="M4601" s="668"/>
    </row>
    <row r="4602" spans="5:13">
      <c r="E4602" s="668"/>
      <c r="F4602" s="668"/>
      <c r="G4602" s="668"/>
      <c r="H4602" s="668"/>
      <c r="I4602" s="668"/>
      <c r="J4602" s="668"/>
      <c r="K4602" s="668"/>
      <c r="L4602" s="668"/>
      <c r="M4602" s="668"/>
    </row>
    <row r="4603" spans="5:13">
      <c r="E4603" s="668"/>
      <c r="F4603" s="668"/>
      <c r="G4603" s="668"/>
      <c r="H4603" s="668"/>
      <c r="I4603" s="668"/>
      <c r="J4603" s="668"/>
      <c r="K4603" s="668"/>
      <c r="L4603" s="668"/>
      <c r="M4603" s="668"/>
    </row>
    <row r="4604" spans="5:13">
      <c r="E4604" s="668"/>
      <c r="F4604" s="668"/>
      <c r="G4604" s="668"/>
      <c r="H4604" s="668"/>
      <c r="I4604" s="668"/>
      <c r="J4604" s="668"/>
      <c r="K4604" s="668"/>
      <c r="L4604" s="668"/>
      <c r="M4604" s="668"/>
    </row>
    <row r="4605" spans="5:13">
      <c r="E4605" s="668"/>
      <c r="F4605" s="668"/>
      <c r="G4605" s="668"/>
      <c r="H4605" s="668"/>
      <c r="I4605" s="668"/>
      <c r="J4605" s="668"/>
      <c r="K4605" s="668"/>
      <c r="L4605" s="668"/>
      <c r="M4605" s="668"/>
    </row>
    <row r="4606" spans="5:13">
      <c r="E4606" s="668"/>
      <c r="F4606" s="668"/>
      <c r="G4606" s="668"/>
      <c r="H4606" s="668"/>
      <c r="I4606" s="668"/>
      <c r="J4606" s="668"/>
      <c r="K4606" s="668"/>
      <c r="L4606" s="668"/>
      <c r="M4606" s="668"/>
    </row>
    <row r="4607" spans="5:13">
      <c r="E4607" s="668"/>
      <c r="F4607" s="668"/>
      <c r="G4607" s="668"/>
      <c r="H4607" s="668"/>
      <c r="I4607" s="668"/>
      <c r="J4607" s="668"/>
      <c r="K4607" s="668"/>
      <c r="L4607" s="668"/>
      <c r="M4607" s="668"/>
    </row>
    <row r="4608" spans="5:13">
      <c r="E4608" s="668"/>
      <c r="F4608" s="668"/>
      <c r="G4608" s="668"/>
      <c r="H4608" s="668"/>
      <c r="I4608" s="668"/>
      <c r="J4608" s="668"/>
      <c r="K4608" s="668"/>
      <c r="L4608" s="668"/>
      <c r="M4608" s="668"/>
    </row>
    <row r="4609" spans="5:13">
      <c r="E4609" s="668"/>
      <c r="F4609" s="668"/>
      <c r="G4609" s="668"/>
      <c r="H4609" s="668"/>
      <c r="I4609" s="668"/>
      <c r="J4609" s="668"/>
      <c r="K4609" s="668"/>
      <c r="L4609" s="668"/>
      <c r="M4609" s="668"/>
    </row>
    <row r="4610" spans="5:13">
      <c r="E4610" s="668"/>
      <c r="F4610" s="668"/>
      <c r="G4610" s="668"/>
      <c r="H4610" s="668"/>
      <c r="I4610" s="668"/>
      <c r="J4610" s="668"/>
      <c r="K4610" s="668"/>
      <c r="L4610" s="668"/>
      <c r="M4610" s="668"/>
    </row>
    <row r="4611" spans="5:13">
      <c r="E4611" s="668"/>
      <c r="F4611" s="668"/>
      <c r="G4611" s="668"/>
      <c r="H4611" s="668"/>
      <c r="I4611" s="668"/>
      <c r="J4611" s="668"/>
      <c r="K4611" s="668"/>
      <c r="L4611" s="668"/>
      <c r="M4611" s="668"/>
    </row>
    <row r="4612" spans="5:13">
      <c r="E4612" s="668"/>
      <c r="F4612" s="668"/>
      <c r="G4612" s="668"/>
      <c r="H4612" s="668"/>
      <c r="I4612" s="668"/>
      <c r="J4612" s="668"/>
      <c r="K4612" s="668"/>
      <c r="L4612" s="668"/>
      <c r="M4612" s="668"/>
    </row>
    <row r="4613" spans="5:13">
      <c r="E4613" s="668"/>
      <c r="F4613" s="668"/>
      <c r="G4613" s="668"/>
      <c r="H4613" s="668"/>
      <c r="I4613" s="668"/>
      <c r="J4613" s="668"/>
      <c r="K4613" s="668"/>
      <c r="L4613" s="668"/>
      <c r="M4613" s="668"/>
    </row>
    <row r="4614" spans="5:13">
      <c r="E4614" s="668"/>
      <c r="F4614" s="668"/>
      <c r="G4614" s="668"/>
      <c r="H4614" s="668"/>
      <c r="I4614" s="668"/>
      <c r="J4614" s="668"/>
      <c r="K4614" s="668"/>
      <c r="L4614" s="668"/>
      <c r="M4614" s="668"/>
    </row>
    <row r="4615" spans="5:13">
      <c r="E4615" s="668"/>
      <c r="F4615" s="668"/>
      <c r="G4615" s="668"/>
      <c r="H4615" s="668"/>
      <c r="I4615" s="668"/>
      <c r="J4615" s="668"/>
      <c r="K4615" s="668"/>
      <c r="L4615" s="668"/>
      <c r="M4615" s="668"/>
    </row>
    <row r="4616" spans="5:13">
      <c r="E4616" s="668"/>
      <c r="F4616" s="668"/>
      <c r="G4616" s="668"/>
      <c r="H4616" s="668"/>
      <c r="I4616" s="668"/>
      <c r="J4616" s="668"/>
      <c r="K4616" s="668"/>
      <c r="L4616" s="668"/>
      <c r="M4616" s="668"/>
    </row>
    <row r="4617" spans="5:13">
      <c r="E4617" s="668"/>
      <c r="F4617" s="668"/>
      <c r="G4617" s="668"/>
      <c r="H4617" s="668"/>
      <c r="I4617" s="668"/>
      <c r="J4617" s="668"/>
      <c r="K4617" s="668"/>
      <c r="L4617" s="668"/>
      <c r="M4617" s="668"/>
    </row>
    <row r="4618" spans="5:13">
      <c r="E4618" s="668"/>
      <c r="F4618" s="668"/>
      <c r="G4618" s="668"/>
      <c r="H4618" s="668"/>
      <c r="I4618" s="668"/>
      <c r="J4618" s="668"/>
      <c r="K4618" s="668"/>
      <c r="L4618" s="668"/>
      <c r="M4618" s="668"/>
    </row>
    <row r="4619" spans="5:13">
      <c r="E4619" s="668"/>
      <c r="F4619" s="668"/>
      <c r="G4619" s="668"/>
      <c r="H4619" s="668"/>
      <c r="I4619" s="668"/>
      <c r="J4619" s="668"/>
      <c r="K4619" s="668"/>
      <c r="L4619" s="668"/>
      <c r="M4619" s="668"/>
    </row>
    <row r="4620" spans="5:13">
      <c r="E4620" s="668"/>
      <c r="F4620" s="668"/>
      <c r="G4620" s="668"/>
      <c r="H4620" s="668"/>
      <c r="I4620" s="668"/>
      <c r="J4620" s="668"/>
      <c r="K4620" s="668"/>
      <c r="L4620" s="668"/>
      <c r="M4620" s="668"/>
    </row>
    <row r="4621" spans="5:13">
      <c r="E4621" s="668"/>
      <c r="F4621" s="668"/>
      <c r="G4621" s="668"/>
      <c r="H4621" s="668"/>
      <c r="I4621" s="668"/>
      <c r="J4621" s="668"/>
      <c r="K4621" s="668"/>
      <c r="L4621" s="668"/>
      <c r="M4621" s="668"/>
    </row>
    <row r="4622" spans="5:13">
      <c r="E4622" s="668"/>
      <c r="F4622" s="668"/>
      <c r="G4622" s="668"/>
      <c r="H4622" s="668"/>
      <c r="I4622" s="668"/>
      <c r="J4622" s="668"/>
      <c r="K4622" s="668"/>
      <c r="L4622" s="668"/>
      <c r="M4622" s="668"/>
    </row>
    <row r="4623" spans="5:13">
      <c r="E4623" s="668"/>
      <c r="F4623" s="668"/>
      <c r="G4623" s="668"/>
      <c r="H4623" s="668"/>
      <c r="I4623" s="668"/>
      <c r="J4623" s="668"/>
      <c r="K4623" s="668"/>
      <c r="L4623" s="668"/>
      <c r="M4623" s="668"/>
    </row>
    <row r="4624" spans="5:13">
      <c r="E4624" s="668"/>
      <c r="F4624" s="668"/>
      <c r="G4624" s="668"/>
      <c r="H4624" s="668"/>
      <c r="I4624" s="668"/>
      <c r="J4624" s="668"/>
      <c r="K4624" s="668"/>
      <c r="L4624" s="668"/>
      <c r="M4624" s="668"/>
    </row>
    <row r="4625" spans="5:13">
      <c r="E4625" s="668"/>
      <c r="F4625" s="668"/>
      <c r="G4625" s="668"/>
      <c r="H4625" s="668"/>
      <c r="I4625" s="668"/>
      <c r="J4625" s="668"/>
      <c r="K4625" s="668"/>
      <c r="L4625" s="668"/>
      <c r="M4625" s="668"/>
    </row>
    <row r="4626" spans="5:13">
      <c r="E4626" s="668"/>
      <c r="F4626" s="668"/>
      <c r="G4626" s="668"/>
      <c r="H4626" s="668"/>
      <c r="I4626" s="668"/>
      <c r="J4626" s="668"/>
      <c r="K4626" s="668"/>
      <c r="L4626" s="668"/>
      <c r="M4626" s="668"/>
    </row>
    <row r="4627" spans="5:13">
      <c r="E4627" s="668"/>
      <c r="F4627" s="668"/>
      <c r="G4627" s="668"/>
      <c r="H4627" s="668"/>
      <c r="I4627" s="668"/>
      <c r="J4627" s="668"/>
      <c r="K4627" s="668"/>
      <c r="L4627" s="668"/>
      <c r="M4627" s="668"/>
    </row>
    <row r="4628" spans="5:13">
      <c r="E4628" s="668"/>
      <c r="F4628" s="668"/>
      <c r="G4628" s="668"/>
      <c r="H4628" s="668"/>
      <c r="I4628" s="668"/>
      <c r="J4628" s="668"/>
      <c r="K4628" s="668"/>
      <c r="L4628" s="668"/>
      <c r="M4628" s="668"/>
    </row>
    <row r="4629" spans="5:13">
      <c r="E4629" s="668"/>
      <c r="F4629" s="668"/>
      <c r="G4629" s="668"/>
      <c r="H4629" s="668"/>
      <c r="I4629" s="668"/>
      <c r="J4629" s="668"/>
      <c r="K4629" s="668"/>
      <c r="L4629" s="668"/>
      <c r="M4629" s="668"/>
    </row>
    <row r="4630" spans="5:13">
      <c r="E4630" s="668"/>
      <c r="F4630" s="668"/>
      <c r="G4630" s="668"/>
      <c r="H4630" s="668"/>
      <c r="I4630" s="668"/>
      <c r="J4630" s="668"/>
      <c r="K4630" s="668"/>
      <c r="L4630" s="668"/>
      <c r="M4630" s="668"/>
    </row>
    <row r="4631" spans="5:13">
      <c r="E4631" s="668"/>
      <c r="F4631" s="668"/>
      <c r="G4631" s="668"/>
      <c r="H4631" s="668"/>
      <c r="I4631" s="668"/>
      <c r="J4631" s="668"/>
      <c r="K4631" s="668"/>
      <c r="L4631" s="668"/>
      <c r="M4631" s="668"/>
    </row>
    <row r="4632" spans="5:13">
      <c r="E4632" s="668"/>
      <c r="F4632" s="668"/>
      <c r="G4632" s="668"/>
      <c r="H4632" s="668"/>
      <c r="I4632" s="668"/>
      <c r="J4632" s="668"/>
      <c r="K4632" s="668"/>
      <c r="L4632" s="668"/>
      <c r="M4632" s="668"/>
    </row>
    <row r="4633" spans="5:13">
      <c r="E4633" s="668"/>
      <c r="F4633" s="668"/>
      <c r="G4633" s="668"/>
      <c r="H4633" s="668"/>
      <c r="I4633" s="668"/>
      <c r="J4633" s="668"/>
      <c r="K4633" s="668"/>
      <c r="L4633" s="668"/>
      <c r="M4633" s="668"/>
    </row>
    <row r="4634" spans="5:13">
      <c r="E4634" s="668"/>
      <c r="F4634" s="668"/>
      <c r="G4634" s="668"/>
      <c r="H4634" s="668"/>
      <c r="I4634" s="668"/>
      <c r="J4634" s="668"/>
      <c r="K4634" s="668"/>
      <c r="L4634" s="668"/>
      <c r="M4634" s="668"/>
    </row>
    <row r="4635" spans="5:13">
      <c r="E4635" s="668"/>
      <c r="F4635" s="668"/>
      <c r="G4635" s="668"/>
      <c r="H4635" s="668"/>
      <c r="I4635" s="668"/>
      <c r="J4635" s="668"/>
      <c r="K4635" s="668"/>
      <c r="L4635" s="668"/>
      <c r="M4635" s="668"/>
    </row>
    <row r="4636" spans="5:13">
      <c r="E4636" s="668"/>
      <c r="F4636" s="668"/>
      <c r="G4636" s="668"/>
      <c r="H4636" s="668"/>
      <c r="I4636" s="668"/>
      <c r="J4636" s="668"/>
      <c r="K4636" s="668"/>
      <c r="L4636" s="668"/>
      <c r="M4636" s="668"/>
    </row>
    <row r="4637" spans="5:13">
      <c r="E4637" s="668"/>
      <c r="F4637" s="668"/>
      <c r="G4637" s="668"/>
      <c r="H4637" s="668"/>
      <c r="I4637" s="668"/>
      <c r="J4637" s="668"/>
      <c r="K4637" s="668"/>
      <c r="L4637" s="668"/>
      <c r="M4637" s="668"/>
    </row>
    <row r="4638" spans="5:13">
      <c r="E4638" s="668"/>
      <c r="F4638" s="668"/>
      <c r="G4638" s="668"/>
      <c r="H4638" s="668"/>
      <c r="I4638" s="668"/>
      <c r="J4638" s="668"/>
      <c r="K4638" s="668"/>
      <c r="L4638" s="668"/>
      <c r="M4638" s="668"/>
    </row>
    <row r="4639" spans="5:13">
      <c r="E4639" s="668"/>
      <c r="F4639" s="668"/>
      <c r="G4639" s="668"/>
      <c r="H4639" s="668"/>
      <c r="I4639" s="668"/>
      <c r="J4639" s="668"/>
      <c r="K4639" s="668"/>
      <c r="L4639" s="668"/>
      <c r="M4639" s="668"/>
    </row>
    <row r="4640" spans="5:13">
      <c r="E4640" s="668"/>
      <c r="F4640" s="668"/>
      <c r="G4640" s="668"/>
      <c r="H4640" s="668"/>
      <c r="I4640" s="668"/>
      <c r="J4640" s="668"/>
      <c r="K4640" s="668"/>
      <c r="L4640" s="668"/>
      <c r="M4640" s="668"/>
    </row>
    <row r="4641" spans="5:13">
      <c r="E4641" s="668"/>
      <c r="F4641" s="668"/>
      <c r="G4641" s="668"/>
      <c r="H4641" s="668"/>
      <c r="I4641" s="668"/>
      <c r="J4641" s="668"/>
      <c r="K4641" s="668"/>
      <c r="L4641" s="668"/>
      <c r="M4641" s="668"/>
    </row>
    <row r="4642" spans="5:13">
      <c r="E4642" s="668"/>
      <c r="F4642" s="668"/>
      <c r="G4642" s="668"/>
      <c r="H4642" s="668"/>
      <c r="I4642" s="668"/>
      <c r="J4642" s="668"/>
      <c r="K4642" s="668"/>
      <c r="L4642" s="668"/>
      <c r="M4642" s="668"/>
    </row>
    <row r="4643" spans="5:13">
      <c r="E4643" s="668"/>
      <c r="F4643" s="668"/>
      <c r="G4643" s="668"/>
      <c r="H4643" s="668"/>
      <c r="I4643" s="668"/>
      <c r="J4643" s="668"/>
      <c r="K4643" s="668"/>
      <c r="L4643" s="668"/>
      <c r="M4643" s="668"/>
    </row>
    <row r="4644" spans="5:13">
      <c r="E4644" s="668"/>
      <c r="F4644" s="668"/>
      <c r="G4644" s="668"/>
      <c r="H4644" s="668"/>
      <c r="I4644" s="668"/>
      <c r="J4644" s="668"/>
      <c r="K4644" s="668"/>
      <c r="L4644" s="668"/>
      <c r="M4644" s="668"/>
    </row>
    <row r="4645" spans="5:13">
      <c r="E4645" s="668"/>
      <c r="F4645" s="668"/>
      <c r="G4645" s="668"/>
      <c r="H4645" s="668"/>
      <c r="I4645" s="668"/>
      <c r="J4645" s="668"/>
      <c r="K4645" s="668"/>
      <c r="L4645" s="668"/>
      <c r="M4645" s="668"/>
    </row>
    <row r="4646" spans="5:13">
      <c r="E4646" s="668"/>
      <c r="F4646" s="668"/>
      <c r="G4646" s="668"/>
      <c r="H4646" s="668"/>
      <c r="I4646" s="668"/>
      <c r="J4646" s="668"/>
      <c r="K4646" s="668"/>
      <c r="L4646" s="668"/>
      <c r="M4646" s="668"/>
    </row>
    <row r="4647" spans="5:13">
      <c r="E4647" s="668"/>
      <c r="F4647" s="668"/>
      <c r="G4647" s="668"/>
      <c r="H4647" s="668"/>
      <c r="I4647" s="668"/>
      <c r="J4647" s="668"/>
      <c r="K4647" s="668"/>
      <c r="L4647" s="668"/>
      <c r="M4647" s="668"/>
    </row>
    <row r="4648" spans="5:13">
      <c r="E4648" s="668"/>
      <c r="F4648" s="668"/>
      <c r="G4648" s="668"/>
      <c r="H4648" s="668"/>
      <c r="I4648" s="668"/>
      <c r="J4648" s="668"/>
      <c r="K4648" s="668"/>
      <c r="L4648" s="668"/>
      <c r="M4648" s="668"/>
    </row>
    <row r="4649" spans="5:13">
      <c r="E4649" s="668"/>
      <c r="F4649" s="668"/>
      <c r="G4649" s="668"/>
      <c r="H4649" s="668"/>
      <c r="I4649" s="668"/>
      <c r="J4649" s="668"/>
      <c r="K4649" s="668"/>
      <c r="L4649" s="668"/>
      <c r="M4649" s="668"/>
    </row>
    <row r="4650" spans="5:13">
      <c r="E4650" s="668"/>
      <c r="F4650" s="668"/>
      <c r="G4650" s="668"/>
      <c r="H4650" s="668"/>
      <c r="I4650" s="668"/>
      <c r="J4650" s="668"/>
      <c r="K4650" s="668"/>
      <c r="L4650" s="668"/>
      <c r="M4650" s="668"/>
    </row>
    <row r="4651" spans="5:13">
      <c r="E4651" s="668"/>
      <c r="F4651" s="668"/>
      <c r="G4651" s="668"/>
      <c r="H4651" s="668"/>
      <c r="I4651" s="668"/>
      <c r="J4651" s="668"/>
      <c r="K4651" s="668"/>
      <c r="L4651" s="668"/>
      <c r="M4651" s="668"/>
    </row>
    <row r="4652" spans="5:13">
      <c r="E4652" s="668"/>
      <c r="F4652" s="668"/>
      <c r="G4652" s="668"/>
      <c r="H4652" s="668"/>
      <c r="I4652" s="668"/>
      <c r="J4652" s="668"/>
      <c r="K4652" s="668"/>
      <c r="L4652" s="668"/>
      <c r="M4652" s="668"/>
    </row>
    <row r="4653" spans="5:13">
      <c r="E4653" s="668"/>
      <c r="F4653" s="668"/>
      <c r="G4653" s="668"/>
      <c r="H4653" s="668"/>
      <c r="I4653" s="668"/>
      <c r="J4653" s="668"/>
      <c r="K4653" s="668"/>
      <c r="L4653" s="668"/>
      <c r="M4653" s="668"/>
    </row>
    <row r="4654" spans="5:13">
      <c r="E4654" s="668"/>
      <c r="F4654" s="668"/>
      <c r="G4654" s="668"/>
      <c r="H4654" s="668"/>
      <c r="I4654" s="668"/>
      <c r="J4654" s="668"/>
      <c r="K4654" s="668"/>
      <c r="L4654" s="668"/>
      <c r="M4654" s="668"/>
    </row>
    <row r="4655" spans="5:13">
      <c r="E4655" s="668"/>
      <c r="F4655" s="668"/>
      <c r="G4655" s="668"/>
      <c r="H4655" s="668"/>
      <c r="I4655" s="668"/>
      <c r="J4655" s="668"/>
      <c r="K4655" s="668"/>
      <c r="L4655" s="668"/>
      <c r="M4655" s="668"/>
    </row>
    <row r="4656" spans="5:13">
      <c r="E4656" s="668"/>
      <c r="F4656" s="668"/>
      <c r="G4656" s="668"/>
      <c r="H4656" s="668"/>
      <c r="I4656" s="668"/>
      <c r="J4656" s="668"/>
      <c r="K4656" s="668"/>
      <c r="L4656" s="668"/>
      <c r="M4656" s="668"/>
    </row>
    <row r="4657" spans="5:13">
      <c r="E4657" s="668"/>
      <c r="F4657" s="668"/>
      <c r="G4657" s="668"/>
      <c r="H4657" s="668"/>
      <c r="I4657" s="668"/>
      <c r="J4657" s="668"/>
      <c r="K4657" s="668"/>
      <c r="L4657" s="668"/>
      <c r="M4657" s="668"/>
    </row>
    <row r="4658" spans="5:13">
      <c r="E4658" s="668"/>
      <c r="F4658" s="668"/>
      <c r="G4658" s="668"/>
      <c r="H4658" s="668"/>
      <c r="I4658" s="668"/>
      <c r="J4658" s="668"/>
      <c r="K4658" s="668"/>
      <c r="L4658" s="668"/>
      <c r="M4658" s="668"/>
    </row>
    <row r="4659" spans="5:13">
      <c r="E4659" s="668"/>
      <c r="F4659" s="668"/>
      <c r="G4659" s="668"/>
      <c r="H4659" s="668"/>
      <c r="I4659" s="668"/>
      <c r="J4659" s="668"/>
      <c r="K4659" s="668"/>
      <c r="L4659" s="668"/>
      <c r="M4659" s="668"/>
    </row>
    <row r="4660" spans="5:13">
      <c r="E4660" s="668"/>
      <c r="F4660" s="668"/>
      <c r="G4660" s="668"/>
      <c r="H4660" s="668"/>
      <c r="I4660" s="668"/>
      <c r="J4660" s="668"/>
      <c r="K4660" s="668"/>
      <c r="L4660" s="668"/>
      <c r="M4660" s="668"/>
    </row>
    <row r="4661" spans="5:13">
      <c r="E4661" s="668"/>
      <c r="F4661" s="668"/>
      <c r="G4661" s="668"/>
      <c r="H4661" s="668"/>
      <c r="I4661" s="668"/>
      <c r="J4661" s="668"/>
      <c r="K4661" s="668"/>
      <c r="L4661" s="668"/>
      <c r="M4661" s="668"/>
    </row>
    <row r="4662" spans="5:13">
      <c r="E4662" s="668"/>
      <c r="F4662" s="668"/>
      <c r="G4662" s="668"/>
      <c r="H4662" s="668"/>
      <c r="I4662" s="668"/>
      <c r="J4662" s="668"/>
      <c r="K4662" s="668"/>
      <c r="L4662" s="668"/>
      <c r="M4662" s="668"/>
    </row>
    <row r="4663" spans="5:13">
      <c r="E4663" s="668"/>
      <c r="F4663" s="668"/>
      <c r="G4663" s="668"/>
      <c r="H4663" s="668"/>
      <c r="I4663" s="668"/>
      <c r="J4663" s="668"/>
      <c r="K4663" s="668"/>
      <c r="L4663" s="668"/>
      <c r="M4663" s="668"/>
    </row>
    <row r="4664" spans="5:13">
      <c r="E4664" s="668"/>
      <c r="F4664" s="668"/>
      <c r="G4664" s="668"/>
      <c r="H4664" s="668"/>
      <c r="I4664" s="668"/>
      <c r="J4664" s="668"/>
      <c r="K4664" s="668"/>
      <c r="L4664" s="668"/>
      <c r="M4664" s="668"/>
    </row>
    <row r="4665" spans="5:13">
      <c r="E4665" s="668"/>
      <c r="F4665" s="668"/>
      <c r="G4665" s="668"/>
      <c r="H4665" s="668"/>
      <c r="I4665" s="668"/>
      <c r="J4665" s="668"/>
      <c r="K4665" s="668"/>
      <c r="L4665" s="668"/>
      <c r="M4665" s="668"/>
    </row>
    <row r="4666" spans="5:13">
      <c r="E4666" s="668"/>
      <c r="F4666" s="668"/>
      <c r="G4666" s="668"/>
      <c r="H4666" s="668"/>
      <c r="I4666" s="668"/>
      <c r="J4666" s="668"/>
      <c r="K4666" s="668"/>
      <c r="L4666" s="668"/>
      <c r="M4666" s="668"/>
    </row>
    <row r="4667" spans="5:13">
      <c r="E4667" s="668"/>
      <c r="F4667" s="668"/>
      <c r="G4667" s="668"/>
      <c r="H4667" s="668"/>
      <c r="I4667" s="668"/>
      <c r="J4667" s="668"/>
      <c r="K4667" s="668"/>
      <c r="L4667" s="668"/>
      <c r="M4667" s="668"/>
    </row>
    <row r="4668" spans="5:13">
      <c r="E4668" s="668"/>
      <c r="F4668" s="668"/>
      <c r="G4668" s="668"/>
      <c r="H4668" s="668"/>
      <c r="I4668" s="668"/>
      <c r="J4668" s="668"/>
      <c r="K4668" s="668"/>
      <c r="L4668" s="668"/>
      <c r="M4668" s="668"/>
    </row>
    <row r="4669" spans="5:13">
      <c r="E4669" s="668"/>
      <c r="F4669" s="668"/>
      <c r="G4669" s="668"/>
      <c r="H4669" s="668"/>
      <c r="I4669" s="668"/>
      <c r="J4669" s="668"/>
      <c r="K4669" s="668"/>
      <c r="L4669" s="668"/>
      <c r="M4669" s="668"/>
    </row>
    <row r="4670" spans="5:13">
      <c r="E4670" s="668"/>
      <c r="F4670" s="668"/>
      <c r="G4670" s="668"/>
      <c r="H4670" s="668"/>
      <c r="I4670" s="668"/>
      <c r="J4670" s="668"/>
      <c r="K4670" s="668"/>
      <c r="L4670" s="668"/>
      <c r="M4670" s="668"/>
    </row>
    <row r="4671" spans="5:13">
      <c r="E4671" s="668"/>
      <c r="F4671" s="668"/>
      <c r="G4671" s="668"/>
      <c r="H4671" s="668"/>
      <c r="I4671" s="668"/>
      <c r="J4671" s="668"/>
      <c r="K4671" s="668"/>
      <c r="L4671" s="668"/>
      <c r="M4671" s="668"/>
    </row>
    <row r="4672" spans="5:13">
      <c r="E4672" s="668"/>
      <c r="F4672" s="668"/>
      <c r="G4672" s="668"/>
      <c r="H4672" s="668"/>
      <c r="I4672" s="668"/>
      <c r="J4672" s="668"/>
      <c r="K4672" s="668"/>
      <c r="L4672" s="668"/>
      <c r="M4672" s="668"/>
    </row>
    <row r="4673" spans="5:13">
      <c r="E4673" s="668"/>
      <c r="F4673" s="668"/>
      <c r="G4673" s="668"/>
      <c r="H4673" s="668"/>
      <c r="I4673" s="668"/>
      <c r="J4673" s="668"/>
      <c r="K4673" s="668"/>
      <c r="L4673" s="668"/>
      <c r="M4673" s="668"/>
    </row>
    <row r="4674" spans="5:13">
      <c r="E4674" s="668"/>
      <c r="F4674" s="668"/>
      <c r="G4674" s="668"/>
      <c r="H4674" s="668"/>
      <c r="I4674" s="668"/>
      <c r="J4674" s="668"/>
      <c r="K4674" s="668"/>
      <c r="L4674" s="668"/>
      <c r="M4674" s="668"/>
    </row>
    <row r="4675" spans="5:13">
      <c r="E4675" s="668"/>
      <c r="F4675" s="668"/>
      <c r="G4675" s="668"/>
      <c r="H4675" s="668"/>
      <c r="I4675" s="668"/>
      <c r="J4675" s="668"/>
      <c r="K4675" s="668"/>
      <c r="L4675" s="668"/>
      <c r="M4675" s="668"/>
    </row>
    <row r="4676" spans="5:13">
      <c r="E4676" s="668"/>
      <c r="F4676" s="668"/>
      <c r="G4676" s="668"/>
      <c r="H4676" s="668"/>
      <c r="I4676" s="668"/>
      <c r="J4676" s="668"/>
      <c r="K4676" s="668"/>
      <c r="L4676" s="668"/>
      <c r="M4676" s="668"/>
    </row>
    <row r="4677" spans="5:13">
      <c r="E4677" s="668"/>
      <c r="F4677" s="668"/>
      <c r="G4677" s="668"/>
      <c r="H4677" s="668"/>
      <c r="I4677" s="668"/>
      <c r="J4677" s="668"/>
      <c r="K4677" s="668"/>
      <c r="L4677" s="668"/>
      <c r="M4677" s="668"/>
    </row>
    <row r="4678" spans="5:13">
      <c r="E4678" s="668"/>
      <c r="F4678" s="668"/>
      <c r="G4678" s="668"/>
      <c r="H4678" s="668"/>
      <c r="I4678" s="668"/>
      <c r="J4678" s="668"/>
      <c r="K4678" s="668"/>
      <c r="L4678" s="668"/>
      <c r="M4678" s="668"/>
    </row>
    <row r="4679" spans="5:13">
      <c r="E4679" s="668"/>
      <c r="F4679" s="668"/>
      <c r="G4679" s="668"/>
      <c r="H4679" s="668"/>
      <c r="I4679" s="668"/>
      <c r="J4679" s="668"/>
      <c r="K4679" s="668"/>
      <c r="L4679" s="668"/>
      <c r="M4679" s="668"/>
    </row>
    <row r="4680" spans="5:13">
      <c r="E4680" s="668"/>
      <c r="F4680" s="668"/>
      <c r="G4680" s="668"/>
      <c r="H4680" s="668"/>
      <c r="I4680" s="668"/>
      <c r="J4680" s="668"/>
      <c r="K4680" s="668"/>
      <c r="L4680" s="668"/>
      <c r="M4680" s="668"/>
    </row>
    <row r="4681" spans="5:13">
      <c r="E4681" s="668"/>
      <c r="F4681" s="668"/>
      <c r="G4681" s="668"/>
      <c r="H4681" s="668"/>
      <c r="I4681" s="668"/>
      <c r="J4681" s="668"/>
      <c r="K4681" s="668"/>
      <c r="L4681" s="668"/>
      <c r="M4681" s="668"/>
    </row>
    <row r="4682" spans="5:13">
      <c r="E4682" s="668"/>
      <c r="F4682" s="668"/>
      <c r="G4682" s="668"/>
      <c r="H4682" s="668"/>
      <c r="I4682" s="668"/>
      <c r="J4682" s="668"/>
      <c r="K4682" s="668"/>
      <c r="L4682" s="668"/>
      <c r="M4682" s="668"/>
    </row>
    <row r="4683" spans="5:13">
      <c r="E4683" s="668"/>
      <c r="F4683" s="668"/>
      <c r="G4683" s="668"/>
      <c r="H4683" s="668"/>
      <c r="I4683" s="668"/>
      <c r="J4683" s="668"/>
      <c r="K4683" s="668"/>
      <c r="L4683" s="668"/>
      <c r="M4683" s="668"/>
    </row>
    <row r="4684" spans="5:13">
      <c r="E4684" s="668"/>
      <c r="F4684" s="668"/>
      <c r="G4684" s="668"/>
      <c r="H4684" s="668"/>
      <c r="I4684" s="668"/>
      <c r="J4684" s="668"/>
      <c r="K4684" s="668"/>
      <c r="L4684" s="668"/>
      <c r="M4684" s="668"/>
    </row>
    <row r="4685" spans="5:13">
      <c r="E4685" s="668"/>
      <c r="F4685" s="668"/>
      <c r="G4685" s="668"/>
      <c r="H4685" s="668"/>
      <c r="I4685" s="668"/>
      <c r="J4685" s="668"/>
      <c r="K4685" s="668"/>
      <c r="L4685" s="668"/>
      <c r="M4685" s="668"/>
    </row>
    <row r="4686" spans="5:13">
      <c r="E4686" s="668"/>
      <c r="F4686" s="668"/>
      <c r="G4686" s="668"/>
      <c r="H4686" s="668"/>
      <c r="I4686" s="668"/>
      <c r="J4686" s="668"/>
      <c r="K4686" s="668"/>
      <c r="L4686" s="668"/>
      <c r="M4686" s="668"/>
    </row>
    <row r="4687" spans="5:13">
      <c r="E4687" s="668"/>
      <c r="F4687" s="668"/>
      <c r="G4687" s="668"/>
      <c r="H4687" s="668"/>
      <c r="I4687" s="668"/>
      <c r="J4687" s="668"/>
      <c r="K4687" s="668"/>
      <c r="L4687" s="668"/>
      <c r="M4687" s="668"/>
    </row>
    <row r="4688" spans="5:13">
      <c r="E4688" s="668"/>
      <c r="F4688" s="668"/>
      <c r="G4688" s="668"/>
      <c r="H4688" s="668"/>
      <c r="I4688" s="668"/>
      <c r="J4688" s="668"/>
      <c r="K4688" s="668"/>
      <c r="L4688" s="668"/>
      <c r="M4688" s="668"/>
    </row>
    <row r="4689" spans="5:13">
      <c r="E4689" s="668"/>
      <c r="F4689" s="668"/>
      <c r="G4689" s="668"/>
      <c r="H4689" s="668"/>
      <c r="I4689" s="668"/>
      <c r="J4689" s="668"/>
      <c r="K4689" s="668"/>
      <c r="L4689" s="668"/>
      <c r="M4689" s="668"/>
    </row>
    <row r="4690" spans="5:13">
      <c r="E4690" s="668"/>
      <c r="F4690" s="668"/>
      <c r="G4690" s="668"/>
      <c r="H4690" s="668"/>
      <c r="I4690" s="668"/>
      <c r="J4690" s="668"/>
      <c r="K4690" s="668"/>
      <c r="L4690" s="668"/>
      <c r="M4690" s="668"/>
    </row>
    <row r="4691" spans="5:13">
      <c r="E4691" s="668"/>
      <c r="F4691" s="668"/>
      <c r="G4691" s="668"/>
      <c r="H4691" s="668"/>
      <c r="I4691" s="668"/>
      <c r="J4691" s="668"/>
      <c r="K4691" s="668"/>
      <c r="L4691" s="668"/>
      <c r="M4691" s="668"/>
    </row>
    <row r="4692" spans="5:13">
      <c r="E4692" s="668"/>
      <c r="F4692" s="668"/>
      <c r="G4692" s="668"/>
      <c r="H4692" s="668"/>
      <c r="I4692" s="668"/>
      <c r="J4692" s="668"/>
      <c r="K4692" s="668"/>
      <c r="L4692" s="668"/>
      <c r="M4692" s="668"/>
    </row>
    <row r="4693" spans="5:13">
      <c r="E4693" s="668"/>
      <c r="F4693" s="668"/>
      <c r="G4693" s="668"/>
      <c r="H4693" s="668"/>
      <c r="I4693" s="668"/>
      <c r="J4693" s="668"/>
      <c r="K4693" s="668"/>
      <c r="L4693" s="668"/>
      <c r="M4693" s="668"/>
    </row>
    <row r="4694" spans="5:13">
      <c r="E4694" s="668"/>
      <c r="F4694" s="668"/>
      <c r="G4694" s="668"/>
      <c r="H4694" s="668"/>
      <c r="I4694" s="668"/>
      <c r="J4694" s="668"/>
      <c r="K4694" s="668"/>
      <c r="L4694" s="668"/>
      <c r="M4694" s="668"/>
    </row>
    <row r="4695" spans="5:13">
      <c r="E4695" s="668"/>
      <c r="F4695" s="668"/>
      <c r="G4695" s="668"/>
      <c r="H4695" s="668"/>
      <c r="I4695" s="668"/>
      <c r="J4695" s="668"/>
      <c r="K4695" s="668"/>
      <c r="L4695" s="668"/>
      <c r="M4695" s="668"/>
    </row>
    <row r="4696" spans="5:13">
      <c r="E4696" s="668"/>
      <c r="F4696" s="668"/>
      <c r="G4696" s="668"/>
      <c r="H4696" s="668"/>
      <c r="I4696" s="668"/>
      <c r="J4696" s="668"/>
      <c r="K4696" s="668"/>
      <c r="L4696" s="668"/>
      <c r="M4696" s="668"/>
    </row>
    <row r="4697" spans="5:13">
      <c r="E4697" s="668"/>
      <c r="F4697" s="668"/>
      <c r="G4697" s="668"/>
      <c r="H4697" s="668"/>
      <c r="I4697" s="668"/>
      <c r="J4697" s="668"/>
      <c r="K4697" s="668"/>
      <c r="L4697" s="668"/>
      <c r="M4697" s="668"/>
    </row>
    <row r="4698" spans="5:13">
      <c r="E4698" s="668"/>
      <c r="F4698" s="668"/>
      <c r="G4698" s="668"/>
      <c r="H4698" s="668"/>
      <c r="I4698" s="668"/>
      <c r="J4698" s="668"/>
      <c r="K4698" s="668"/>
      <c r="L4698" s="668"/>
      <c r="M4698" s="668"/>
    </row>
    <row r="4699" spans="5:13">
      <c r="E4699" s="668"/>
      <c r="F4699" s="668"/>
      <c r="G4699" s="668"/>
      <c r="H4699" s="668"/>
      <c r="I4699" s="668"/>
      <c r="J4699" s="668"/>
      <c r="K4699" s="668"/>
      <c r="L4699" s="668"/>
      <c r="M4699" s="668"/>
    </row>
    <row r="4700" spans="5:13">
      <c r="E4700" s="668"/>
      <c r="F4700" s="668"/>
      <c r="G4700" s="668"/>
      <c r="H4700" s="668"/>
      <c r="I4700" s="668"/>
      <c r="J4700" s="668"/>
      <c r="K4700" s="668"/>
      <c r="L4700" s="668"/>
      <c r="M4700" s="668"/>
    </row>
    <row r="4701" spans="5:13">
      <c r="E4701" s="668"/>
      <c r="F4701" s="668"/>
      <c r="G4701" s="668"/>
      <c r="H4701" s="668"/>
      <c r="I4701" s="668"/>
      <c r="J4701" s="668"/>
      <c r="K4701" s="668"/>
      <c r="L4701" s="668"/>
      <c r="M4701" s="668"/>
    </row>
    <row r="4702" spans="5:13">
      <c r="E4702" s="668"/>
      <c r="F4702" s="668"/>
      <c r="G4702" s="668"/>
      <c r="H4702" s="668"/>
      <c r="I4702" s="668"/>
      <c r="J4702" s="668"/>
      <c r="K4702" s="668"/>
      <c r="L4702" s="668"/>
      <c r="M4702" s="668"/>
    </row>
    <row r="4703" spans="5:13">
      <c r="E4703" s="668"/>
      <c r="F4703" s="668"/>
      <c r="G4703" s="668"/>
      <c r="H4703" s="668"/>
      <c r="I4703" s="668"/>
      <c r="J4703" s="668"/>
      <c r="K4703" s="668"/>
      <c r="L4703" s="668"/>
      <c r="M4703" s="668"/>
    </row>
    <row r="4704" spans="5:13">
      <c r="E4704" s="668"/>
      <c r="F4704" s="668"/>
      <c r="G4704" s="668"/>
      <c r="H4704" s="668"/>
      <c r="I4704" s="668"/>
      <c r="J4704" s="668"/>
      <c r="K4704" s="668"/>
      <c r="L4704" s="668"/>
      <c r="M4704" s="668"/>
    </row>
    <row r="4705" spans="5:13">
      <c r="E4705" s="668"/>
      <c r="F4705" s="668"/>
      <c r="G4705" s="668"/>
      <c r="H4705" s="668"/>
      <c r="I4705" s="668"/>
      <c r="J4705" s="668"/>
      <c r="K4705" s="668"/>
      <c r="L4705" s="668"/>
      <c r="M4705" s="668"/>
    </row>
    <row r="4706" spans="5:13">
      <c r="E4706" s="668"/>
      <c r="F4706" s="668"/>
      <c r="G4706" s="668"/>
      <c r="H4706" s="668"/>
      <c r="I4706" s="668"/>
      <c r="J4706" s="668"/>
      <c r="K4706" s="668"/>
      <c r="L4706" s="668"/>
      <c r="M4706" s="668"/>
    </row>
    <row r="4707" spans="5:13">
      <c r="E4707" s="668"/>
      <c r="F4707" s="668"/>
      <c r="G4707" s="668"/>
      <c r="H4707" s="668"/>
      <c r="I4707" s="668"/>
      <c r="J4707" s="668"/>
      <c r="K4707" s="668"/>
      <c r="L4707" s="668"/>
      <c r="M4707" s="668"/>
    </row>
    <row r="4708" spans="5:13">
      <c r="E4708" s="668"/>
      <c r="F4708" s="668"/>
      <c r="G4708" s="668"/>
      <c r="H4708" s="668"/>
      <c r="I4708" s="668"/>
      <c r="J4708" s="668"/>
      <c r="K4708" s="668"/>
      <c r="L4708" s="668"/>
      <c r="M4708" s="668"/>
    </row>
    <row r="4709" spans="5:13">
      <c r="E4709" s="668"/>
      <c r="F4709" s="668"/>
      <c r="G4709" s="668"/>
      <c r="H4709" s="668"/>
      <c r="I4709" s="668"/>
      <c r="J4709" s="668"/>
      <c r="K4709" s="668"/>
      <c r="L4709" s="668"/>
      <c r="M4709" s="668"/>
    </row>
    <row r="4710" spans="5:13">
      <c r="E4710" s="668"/>
      <c r="F4710" s="668"/>
      <c r="G4710" s="668"/>
      <c r="H4710" s="668"/>
      <c r="I4710" s="668"/>
      <c r="J4710" s="668"/>
      <c r="K4710" s="668"/>
      <c r="L4710" s="668"/>
      <c r="M4710" s="668"/>
    </row>
    <row r="4711" spans="5:13">
      <c r="E4711" s="668"/>
      <c r="F4711" s="668"/>
      <c r="G4711" s="668"/>
      <c r="H4711" s="668"/>
      <c r="I4711" s="668"/>
      <c r="J4711" s="668"/>
      <c r="K4711" s="668"/>
      <c r="L4711" s="668"/>
      <c r="M4711" s="668"/>
    </row>
    <row r="4712" spans="5:13">
      <c r="E4712" s="668"/>
      <c r="F4712" s="668"/>
      <c r="G4712" s="668"/>
      <c r="H4712" s="668"/>
      <c r="I4712" s="668"/>
      <c r="J4712" s="668"/>
      <c r="K4712" s="668"/>
      <c r="L4712" s="668"/>
      <c r="M4712" s="668"/>
    </row>
    <row r="4713" spans="5:13">
      <c r="E4713" s="668"/>
      <c r="F4713" s="668"/>
      <c r="G4713" s="668"/>
      <c r="H4713" s="668"/>
      <c r="I4713" s="668"/>
      <c r="J4713" s="668"/>
      <c r="K4713" s="668"/>
      <c r="L4713" s="668"/>
      <c r="M4713" s="668"/>
    </row>
    <row r="4714" spans="5:13">
      <c r="E4714" s="668"/>
      <c r="F4714" s="668"/>
      <c r="G4714" s="668"/>
      <c r="H4714" s="668"/>
      <c r="I4714" s="668"/>
      <c r="J4714" s="668"/>
      <c r="K4714" s="668"/>
      <c r="L4714" s="668"/>
      <c r="M4714" s="668"/>
    </row>
    <row r="4715" spans="5:13">
      <c r="E4715" s="668"/>
      <c r="F4715" s="668"/>
      <c r="G4715" s="668"/>
      <c r="H4715" s="668"/>
      <c r="I4715" s="668"/>
      <c r="J4715" s="668"/>
      <c r="K4715" s="668"/>
      <c r="L4715" s="668"/>
      <c r="M4715" s="668"/>
    </row>
    <row r="4716" spans="5:13">
      <c r="E4716" s="668"/>
      <c r="F4716" s="668"/>
      <c r="G4716" s="668"/>
      <c r="H4716" s="668"/>
      <c r="I4716" s="668"/>
      <c r="J4716" s="668"/>
      <c r="K4716" s="668"/>
      <c r="L4716" s="668"/>
      <c r="M4716" s="668"/>
    </row>
    <row r="4717" spans="5:13">
      <c r="E4717" s="668"/>
      <c r="F4717" s="668"/>
      <c r="G4717" s="668"/>
      <c r="H4717" s="668"/>
      <c r="I4717" s="668"/>
      <c r="J4717" s="668"/>
      <c r="K4717" s="668"/>
      <c r="L4717" s="668"/>
      <c r="M4717" s="668"/>
    </row>
    <row r="4718" spans="5:13">
      <c r="E4718" s="668"/>
      <c r="F4718" s="668"/>
      <c r="G4718" s="668"/>
      <c r="H4718" s="668"/>
      <c r="I4718" s="668"/>
      <c r="J4718" s="668"/>
      <c r="K4718" s="668"/>
      <c r="L4718" s="668"/>
      <c r="M4718" s="668"/>
    </row>
    <row r="4719" spans="5:13">
      <c r="E4719" s="668"/>
      <c r="F4719" s="668"/>
      <c r="G4719" s="668"/>
      <c r="H4719" s="668"/>
      <c r="I4719" s="668"/>
      <c r="J4719" s="668"/>
      <c r="K4719" s="668"/>
      <c r="L4719" s="668"/>
      <c r="M4719" s="668"/>
    </row>
    <row r="4720" spans="5:13">
      <c r="E4720" s="668"/>
      <c r="F4720" s="668"/>
      <c r="G4720" s="668"/>
      <c r="H4720" s="668"/>
      <c r="I4720" s="668"/>
      <c r="J4720" s="668"/>
      <c r="K4720" s="668"/>
      <c r="L4720" s="668"/>
      <c r="M4720" s="668"/>
    </row>
    <row r="4721" spans="5:13">
      <c r="E4721" s="668"/>
      <c r="F4721" s="668"/>
      <c r="G4721" s="668"/>
      <c r="H4721" s="668"/>
      <c r="I4721" s="668"/>
      <c r="J4721" s="668"/>
      <c r="K4721" s="668"/>
      <c r="L4721" s="668"/>
      <c r="M4721" s="668"/>
    </row>
    <row r="4722" spans="5:13">
      <c r="E4722" s="668"/>
      <c r="F4722" s="668"/>
      <c r="G4722" s="668"/>
      <c r="H4722" s="668"/>
      <c r="I4722" s="668"/>
      <c r="J4722" s="668"/>
      <c r="K4722" s="668"/>
      <c r="L4722" s="668"/>
      <c r="M4722" s="668"/>
    </row>
    <row r="4723" spans="5:13">
      <c r="E4723" s="668"/>
      <c r="F4723" s="668"/>
      <c r="G4723" s="668"/>
      <c r="H4723" s="668"/>
      <c r="I4723" s="668"/>
      <c r="J4723" s="668"/>
      <c r="K4723" s="668"/>
      <c r="L4723" s="668"/>
      <c r="M4723" s="668"/>
    </row>
    <row r="4724" spans="5:13">
      <c r="E4724" s="668"/>
      <c r="F4724" s="668"/>
      <c r="G4724" s="668"/>
      <c r="H4724" s="668"/>
      <c r="I4724" s="668"/>
      <c r="J4724" s="668"/>
      <c r="K4724" s="668"/>
      <c r="L4724" s="668"/>
      <c r="M4724" s="668"/>
    </row>
    <row r="4725" spans="5:13">
      <c r="E4725" s="668"/>
      <c r="F4725" s="668"/>
      <c r="G4725" s="668"/>
      <c r="H4725" s="668"/>
      <c r="I4725" s="668"/>
      <c r="J4725" s="668"/>
      <c r="K4725" s="668"/>
      <c r="L4725" s="668"/>
      <c r="M4725" s="668"/>
    </row>
    <row r="4726" spans="5:13">
      <c r="E4726" s="668"/>
      <c r="F4726" s="668"/>
      <c r="G4726" s="668"/>
      <c r="H4726" s="668"/>
      <c r="I4726" s="668"/>
      <c r="J4726" s="668"/>
      <c r="K4726" s="668"/>
      <c r="L4726" s="668"/>
      <c r="M4726" s="668"/>
    </row>
    <row r="4727" spans="5:13">
      <c r="E4727" s="668"/>
      <c r="F4727" s="668"/>
      <c r="G4727" s="668"/>
      <c r="H4727" s="668"/>
      <c r="I4727" s="668"/>
      <c r="J4727" s="668"/>
      <c r="K4727" s="668"/>
      <c r="L4727" s="668"/>
      <c r="M4727" s="668"/>
    </row>
    <row r="4728" spans="5:13">
      <c r="E4728" s="668"/>
      <c r="F4728" s="668"/>
      <c r="G4728" s="668"/>
      <c r="H4728" s="668"/>
      <c r="I4728" s="668"/>
      <c r="J4728" s="668"/>
      <c r="K4728" s="668"/>
      <c r="L4728" s="668"/>
      <c r="M4728" s="668"/>
    </row>
    <row r="4729" spans="5:13">
      <c r="E4729" s="668"/>
      <c r="F4729" s="668"/>
      <c r="G4729" s="668"/>
      <c r="H4729" s="668"/>
      <c r="I4729" s="668"/>
      <c r="J4729" s="668"/>
      <c r="K4729" s="668"/>
      <c r="L4729" s="668"/>
      <c r="M4729" s="668"/>
    </row>
    <row r="4730" spans="5:13">
      <c r="E4730" s="668"/>
      <c r="F4730" s="668"/>
      <c r="G4730" s="668"/>
      <c r="H4730" s="668"/>
      <c r="I4730" s="668"/>
      <c r="J4730" s="668"/>
      <c r="K4730" s="668"/>
      <c r="L4730" s="668"/>
      <c r="M4730" s="668"/>
    </row>
    <row r="4731" spans="5:13">
      <c r="E4731" s="668"/>
      <c r="F4731" s="668"/>
      <c r="G4731" s="668"/>
      <c r="H4731" s="668"/>
      <c r="I4731" s="668"/>
      <c r="J4731" s="668"/>
      <c r="K4731" s="668"/>
      <c r="L4731" s="668"/>
      <c r="M4731" s="668"/>
    </row>
    <row r="4732" spans="5:13">
      <c r="E4732" s="668"/>
      <c r="F4732" s="668"/>
      <c r="G4732" s="668"/>
      <c r="H4732" s="668"/>
      <c r="I4732" s="668"/>
      <c r="J4732" s="668"/>
      <c r="K4732" s="668"/>
      <c r="L4732" s="668"/>
      <c r="M4732" s="668"/>
    </row>
    <row r="4733" spans="5:13">
      <c r="E4733" s="668"/>
      <c r="F4733" s="668"/>
      <c r="G4733" s="668"/>
      <c r="H4733" s="668"/>
      <c r="I4733" s="668"/>
      <c r="J4733" s="668"/>
      <c r="K4733" s="668"/>
      <c r="L4733" s="668"/>
      <c r="M4733" s="668"/>
    </row>
    <row r="4734" spans="5:13">
      <c r="E4734" s="668"/>
      <c r="F4734" s="668"/>
      <c r="G4734" s="668"/>
      <c r="H4734" s="668"/>
      <c r="I4734" s="668"/>
      <c r="J4734" s="668"/>
      <c r="K4734" s="668"/>
      <c r="L4734" s="668"/>
      <c r="M4734" s="668"/>
    </row>
    <row r="4735" spans="5:13">
      <c r="E4735" s="668"/>
      <c r="F4735" s="668"/>
      <c r="G4735" s="668"/>
      <c r="H4735" s="668"/>
      <c r="I4735" s="668"/>
      <c r="J4735" s="668"/>
      <c r="K4735" s="668"/>
      <c r="L4735" s="668"/>
      <c r="M4735" s="668"/>
    </row>
    <row r="4736" spans="5:13">
      <c r="E4736" s="668"/>
      <c r="F4736" s="668"/>
      <c r="G4736" s="668"/>
      <c r="H4736" s="668"/>
      <c r="I4736" s="668"/>
      <c r="J4736" s="668"/>
      <c r="K4736" s="668"/>
      <c r="L4736" s="668"/>
      <c r="M4736" s="668"/>
    </row>
    <row r="4737" spans="5:13">
      <c r="E4737" s="668"/>
      <c r="F4737" s="668"/>
      <c r="G4737" s="668"/>
      <c r="H4737" s="668"/>
      <c r="I4737" s="668"/>
      <c r="J4737" s="668"/>
      <c r="K4737" s="668"/>
      <c r="L4737" s="668"/>
      <c r="M4737" s="668"/>
    </row>
    <row r="4738" spans="5:13">
      <c r="E4738" s="668"/>
      <c r="F4738" s="668"/>
      <c r="G4738" s="668"/>
      <c r="H4738" s="668"/>
      <c r="I4738" s="668"/>
      <c r="J4738" s="668"/>
      <c r="K4738" s="668"/>
      <c r="L4738" s="668"/>
      <c r="M4738" s="668"/>
    </row>
    <row r="4739" spans="5:13">
      <c r="E4739" s="668"/>
      <c r="F4739" s="668"/>
      <c r="G4739" s="668"/>
      <c r="H4739" s="668"/>
      <c r="I4739" s="668"/>
      <c r="J4739" s="668"/>
      <c r="K4739" s="668"/>
      <c r="L4739" s="668"/>
      <c r="M4739" s="668"/>
    </row>
    <row r="4740" spans="5:13">
      <c r="E4740" s="668"/>
      <c r="F4740" s="668"/>
      <c r="G4740" s="668"/>
      <c r="H4740" s="668"/>
      <c r="I4740" s="668"/>
      <c r="J4740" s="668"/>
      <c r="K4740" s="668"/>
      <c r="L4740" s="668"/>
      <c r="M4740" s="668"/>
    </row>
    <row r="4741" spans="5:13">
      <c r="E4741" s="668"/>
      <c r="F4741" s="668"/>
      <c r="G4741" s="668"/>
      <c r="H4741" s="668"/>
      <c r="I4741" s="668"/>
      <c r="J4741" s="668"/>
      <c r="K4741" s="668"/>
      <c r="L4741" s="668"/>
      <c r="M4741" s="668"/>
    </row>
    <row r="4742" spans="5:13">
      <c r="E4742" s="668"/>
      <c r="F4742" s="668"/>
      <c r="G4742" s="668"/>
      <c r="H4742" s="668"/>
      <c r="I4742" s="668"/>
      <c r="J4742" s="668"/>
      <c r="K4742" s="668"/>
      <c r="L4742" s="668"/>
      <c r="M4742" s="668"/>
    </row>
    <row r="4743" spans="5:13">
      <c r="E4743" s="668"/>
      <c r="F4743" s="668"/>
      <c r="G4743" s="668"/>
      <c r="H4743" s="668"/>
      <c r="I4743" s="668"/>
      <c r="J4743" s="668"/>
      <c r="K4743" s="668"/>
      <c r="L4743" s="668"/>
      <c r="M4743" s="668"/>
    </row>
    <row r="4744" spans="5:13">
      <c r="E4744" s="668"/>
      <c r="F4744" s="668"/>
      <c r="G4744" s="668"/>
      <c r="H4744" s="668"/>
      <c r="I4744" s="668"/>
      <c r="J4744" s="668"/>
      <c r="K4744" s="668"/>
      <c r="L4744" s="668"/>
      <c r="M4744" s="668"/>
    </row>
    <row r="4745" spans="5:13">
      <c r="E4745" s="668"/>
      <c r="F4745" s="668"/>
      <c r="G4745" s="668"/>
      <c r="H4745" s="668"/>
      <c r="I4745" s="668"/>
      <c r="J4745" s="668"/>
      <c r="K4745" s="668"/>
      <c r="L4745" s="668"/>
      <c r="M4745" s="668"/>
    </row>
    <row r="4746" spans="5:13">
      <c r="E4746" s="668"/>
      <c r="F4746" s="668"/>
      <c r="G4746" s="668"/>
      <c r="H4746" s="668"/>
      <c r="I4746" s="668"/>
      <c r="J4746" s="668"/>
      <c r="K4746" s="668"/>
      <c r="L4746" s="668"/>
      <c r="M4746" s="668"/>
    </row>
    <row r="4747" spans="5:13">
      <c r="E4747" s="668"/>
      <c r="F4747" s="668"/>
      <c r="G4747" s="668"/>
      <c r="H4747" s="668"/>
      <c r="I4747" s="668"/>
      <c r="J4747" s="668"/>
      <c r="K4747" s="668"/>
      <c r="L4747" s="668"/>
      <c r="M4747" s="668"/>
    </row>
    <row r="4748" spans="5:13">
      <c r="E4748" s="668"/>
      <c r="F4748" s="668"/>
      <c r="G4748" s="668"/>
      <c r="H4748" s="668"/>
      <c r="I4748" s="668"/>
      <c r="J4748" s="668"/>
      <c r="K4748" s="668"/>
      <c r="L4748" s="668"/>
      <c r="M4748" s="668"/>
    </row>
    <row r="4749" spans="5:13">
      <c r="E4749" s="668"/>
      <c r="F4749" s="668"/>
      <c r="G4749" s="668"/>
      <c r="H4749" s="668"/>
      <c r="I4749" s="668"/>
      <c r="J4749" s="668"/>
      <c r="K4749" s="668"/>
      <c r="L4749" s="668"/>
      <c r="M4749" s="668"/>
    </row>
    <row r="4750" spans="5:13">
      <c r="E4750" s="668"/>
      <c r="F4750" s="668"/>
      <c r="G4750" s="668"/>
      <c r="H4750" s="668"/>
      <c r="I4750" s="668"/>
      <c r="J4750" s="668"/>
      <c r="K4750" s="668"/>
      <c r="L4750" s="668"/>
      <c r="M4750" s="668"/>
    </row>
    <row r="4751" spans="5:13">
      <c r="E4751" s="668"/>
      <c r="F4751" s="668"/>
      <c r="G4751" s="668"/>
      <c r="H4751" s="668"/>
      <c r="I4751" s="668"/>
      <c r="J4751" s="668"/>
      <c r="K4751" s="668"/>
      <c r="L4751" s="668"/>
      <c r="M4751" s="668"/>
    </row>
    <row r="4752" spans="5:13">
      <c r="E4752" s="668"/>
      <c r="F4752" s="668"/>
      <c r="G4752" s="668"/>
      <c r="H4752" s="668"/>
      <c r="I4752" s="668"/>
      <c r="J4752" s="668"/>
      <c r="K4752" s="668"/>
      <c r="L4752" s="668"/>
      <c r="M4752" s="668"/>
    </row>
    <row r="4753" spans="5:13">
      <c r="E4753" s="668"/>
      <c r="F4753" s="668"/>
      <c r="G4753" s="668"/>
      <c r="H4753" s="668"/>
      <c r="I4753" s="668"/>
      <c r="J4753" s="668"/>
      <c r="K4753" s="668"/>
      <c r="L4753" s="668"/>
      <c r="M4753" s="668"/>
    </row>
    <row r="4754" spans="5:13">
      <c r="E4754" s="668"/>
      <c r="F4754" s="668"/>
      <c r="G4754" s="668"/>
      <c r="H4754" s="668"/>
      <c r="I4754" s="668"/>
      <c r="J4754" s="668"/>
      <c r="K4754" s="668"/>
      <c r="L4754" s="668"/>
      <c r="M4754" s="668"/>
    </row>
    <row r="4755" spans="5:13">
      <c r="E4755" s="668"/>
      <c r="F4755" s="668"/>
      <c r="G4755" s="668"/>
      <c r="H4755" s="668"/>
      <c r="I4755" s="668"/>
      <c r="J4755" s="668"/>
      <c r="K4755" s="668"/>
      <c r="L4755" s="668"/>
      <c r="M4755" s="668"/>
    </row>
    <row r="4756" spans="5:13">
      <c r="E4756" s="668"/>
      <c r="F4756" s="668"/>
      <c r="G4756" s="668"/>
      <c r="H4756" s="668"/>
      <c r="I4756" s="668"/>
      <c r="J4756" s="668"/>
      <c r="K4756" s="668"/>
      <c r="L4756" s="668"/>
      <c r="M4756" s="668"/>
    </row>
    <row r="4757" spans="5:13">
      <c r="E4757" s="668"/>
      <c r="F4757" s="668"/>
      <c r="G4757" s="668"/>
      <c r="H4757" s="668"/>
      <c r="I4757" s="668"/>
      <c r="J4757" s="668"/>
      <c r="K4757" s="668"/>
      <c r="L4757" s="668"/>
      <c r="M4757" s="668"/>
    </row>
    <row r="4758" spans="5:13">
      <c r="E4758" s="668"/>
      <c r="F4758" s="668"/>
      <c r="G4758" s="668"/>
      <c r="H4758" s="668"/>
      <c r="I4758" s="668"/>
      <c r="J4758" s="668"/>
      <c r="K4758" s="668"/>
      <c r="L4758" s="668"/>
      <c r="M4758" s="668"/>
    </row>
    <row r="4759" spans="5:13">
      <c r="E4759" s="668"/>
      <c r="F4759" s="668"/>
      <c r="G4759" s="668"/>
      <c r="H4759" s="668"/>
      <c r="I4759" s="668"/>
      <c r="J4759" s="668"/>
      <c r="K4759" s="668"/>
      <c r="L4759" s="668"/>
      <c r="M4759" s="668"/>
    </row>
    <row r="4760" spans="5:13">
      <c r="E4760" s="668"/>
      <c r="F4760" s="668"/>
      <c r="G4760" s="668"/>
      <c r="H4760" s="668"/>
      <c r="I4760" s="668"/>
      <c r="J4760" s="668"/>
      <c r="K4760" s="668"/>
      <c r="L4760" s="668"/>
      <c r="M4760" s="668"/>
    </row>
    <row r="4761" spans="5:13">
      <c r="E4761" s="668"/>
      <c r="F4761" s="668"/>
      <c r="G4761" s="668"/>
      <c r="H4761" s="668"/>
      <c r="I4761" s="668"/>
      <c r="J4761" s="668"/>
      <c r="K4761" s="668"/>
      <c r="L4761" s="668"/>
      <c r="M4761" s="668"/>
    </row>
    <row r="4762" spans="5:13">
      <c r="E4762" s="668"/>
      <c r="F4762" s="668"/>
      <c r="G4762" s="668"/>
      <c r="H4762" s="668"/>
      <c r="I4762" s="668"/>
      <c r="J4762" s="668"/>
      <c r="K4762" s="668"/>
      <c r="L4762" s="668"/>
      <c r="M4762" s="668"/>
    </row>
    <row r="4763" spans="5:13">
      <c r="E4763" s="668"/>
      <c r="F4763" s="668"/>
      <c r="G4763" s="668"/>
      <c r="H4763" s="668"/>
      <c r="I4763" s="668"/>
      <c r="J4763" s="668"/>
      <c r="K4763" s="668"/>
      <c r="L4763" s="668"/>
      <c r="M4763" s="668"/>
    </row>
    <row r="4764" spans="5:13">
      <c r="E4764" s="668"/>
      <c r="F4764" s="668"/>
      <c r="G4764" s="668"/>
      <c r="H4764" s="668"/>
      <c r="I4764" s="668"/>
      <c r="J4764" s="668"/>
      <c r="K4764" s="668"/>
      <c r="L4764" s="668"/>
      <c r="M4764" s="668"/>
    </row>
    <row r="4765" spans="5:13">
      <c r="E4765" s="668"/>
      <c r="F4765" s="668"/>
      <c r="G4765" s="668"/>
      <c r="H4765" s="668"/>
      <c r="I4765" s="668"/>
      <c r="J4765" s="668"/>
      <c r="K4765" s="668"/>
      <c r="L4765" s="668"/>
      <c r="M4765" s="668"/>
    </row>
    <row r="4766" spans="5:13">
      <c r="E4766" s="668"/>
      <c r="F4766" s="668"/>
      <c r="G4766" s="668"/>
      <c r="H4766" s="668"/>
      <c r="I4766" s="668"/>
      <c r="J4766" s="668"/>
      <c r="K4766" s="668"/>
      <c r="L4766" s="668"/>
      <c r="M4766" s="668"/>
    </row>
    <row r="4767" spans="5:13">
      <c r="E4767" s="668"/>
      <c r="F4767" s="668"/>
      <c r="G4767" s="668"/>
      <c r="H4767" s="668"/>
      <c r="I4767" s="668"/>
      <c r="J4767" s="668"/>
      <c r="K4767" s="668"/>
      <c r="L4767" s="668"/>
      <c r="M4767" s="668"/>
    </row>
    <row r="4768" spans="5:13">
      <c r="E4768" s="668"/>
      <c r="F4768" s="668"/>
      <c r="G4768" s="668"/>
      <c r="H4768" s="668"/>
      <c r="I4768" s="668"/>
      <c r="J4768" s="668"/>
      <c r="K4768" s="668"/>
      <c r="L4768" s="668"/>
      <c r="M4768" s="668"/>
    </row>
    <row r="4769" spans="5:13">
      <c r="E4769" s="668"/>
      <c r="F4769" s="668"/>
      <c r="G4769" s="668"/>
      <c r="H4769" s="668"/>
      <c r="I4769" s="668"/>
      <c r="J4769" s="668"/>
      <c r="K4769" s="668"/>
      <c r="L4769" s="668"/>
      <c r="M4769" s="668"/>
    </row>
    <row r="4770" spans="5:13">
      <c r="E4770" s="668"/>
      <c r="F4770" s="668"/>
      <c r="G4770" s="668"/>
      <c r="H4770" s="668"/>
      <c r="I4770" s="668"/>
      <c r="J4770" s="668"/>
      <c r="K4770" s="668"/>
      <c r="L4770" s="668"/>
      <c r="M4770" s="668"/>
    </row>
    <row r="4771" spans="5:13">
      <c r="E4771" s="668"/>
      <c r="F4771" s="668"/>
      <c r="G4771" s="668"/>
      <c r="H4771" s="668"/>
      <c r="I4771" s="668"/>
      <c r="J4771" s="668"/>
      <c r="K4771" s="668"/>
      <c r="L4771" s="668"/>
      <c r="M4771" s="668"/>
    </row>
    <row r="4772" spans="5:13">
      <c r="E4772" s="668"/>
      <c r="F4772" s="668"/>
      <c r="G4772" s="668"/>
      <c r="H4772" s="668"/>
      <c r="I4772" s="668"/>
      <c r="J4772" s="668"/>
      <c r="K4772" s="668"/>
      <c r="L4772" s="668"/>
      <c r="M4772" s="668"/>
    </row>
    <row r="4773" spans="5:13">
      <c r="E4773" s="668"/>
      <c r="F4773" s="668"/>
      <c r="G4773" s="668"/>
      <c r="H4773" s="668"/>
      <c r="I4773" s="668"/>
      <c r="J4773" s="668"/>
      <c r="K4773" s="668"/>
      <c r="L4773" s="668"/>
      <c r="M4773" s="668"/>
    </row>
    <row r="4774" spans="5:13">
      <c r="E4774" s="668"/>
      <c r="F4774" s="668"/>
      <c r="G4774" s="668"/>
      <c r="H4774" s="668"/>
      <c r="I4774" s="668"/>
      <c r="J4774" s="668"/>
      <c r="K4774" s="668"/>
      <c r="L4774" s="668"/>
      <c r="M4774" s="668"/>
    </row>
    <row r="4775" spans="5:13">
      <c r="E4775" s="668"/>
      <c r="F4775" s="668"/>
      <c r="G4775" s="668"/>
      <c r="H4775" s="668"/>
      <c r="I4775" s="668"/>
      <c r="J4775" s="668"/>
      <c r="K4775" s="668"/>
      <c r="L4775" s="668"/>
      <c r="M4775" s="668"/>
    </row>
    <row r="4776" spans="5:13">
      <c r="E4776" s="668"/>
      <c r="F4776" s="668"/>
      <c r="G4776" s="668"/>
      <c r="H4776" s="668"/>
      <c r="I4776" s="668"/>
      <c r="J4776" s="668"/>
      <c r="K4776" s="668"/>
      <c r="L4776" s="668"/>
      <c r="M4776" s="668"/>
    </row>
    <row r="4777" spans="5:13">
      <c r="E4777" s="668"/>
      <c r="F4777" s="668"/>
      <c r="G4777" s="668"/>
      <c r="H4777" s="668"/>
      <c r="I4777" s="668"/>
      <c r="J4777" s="668"/>
      <c r="K4777" s="668"/>
      <c r="L4777" s="668"/>
      <c r="M4777" s="668"/>
    </row>
    <row r="4778" spans="5:13">
      <c r="E4778" s="668"/>
      <c r="F4778" s="668"/>
      <c r="G4778" s="668"/>
      <c r="H4778" s="668"/>
      <c r="I4778" s="668"/>
      <c r="J4778" s="668"/>
      <c r="K4778" s="668"/>
      <c r="L4778" s="668"/>
      <c r="M4778" s="668"/>
    </row>
    <row r="4779" spans="5:13">
      <c r="E4779" s="668"/>
      <c r="F4779" s="668"/>
      <c r="G4779" s="668"/>
      <c r="H4779" s="668"/>
      <c r="I4779" s="668"/>
      <c r="J4779" s="668"/>
      <c r="K4779" s="668"/>
      <c r="L4779" s="668"/>
      <c r="M4779" s="668"/>
    </row>
    <row r="4780" spans="5:13">
      <c r="E4780" s="668"/>
      <c r="F4780" s="668"/>
      <c r="G4780" s="668"/>
      <c r="H4780" s="668"/>
      <c r="I4780" s="668"/>
      <c r="J4780" s="668"/>
      <c r="K4780" s="668"/>
      <c r="L4780" s="668"/>
      <c r="M4780" s="668"/>
    </row>
    <row r="4781" spans="5:13">
      <c r="E4781" s="668"/>
      <c r="F4781" s="668"/>
      <c r="G4781" s="668"/>
      <c r="H4781" s="668"/>
      <c r="I4781" s="668"/>
      <c r="J4781" s="668"/>
      <c r="K4781" s="668"/>
      <c r="L4781" s="668"/>
      <c r="M4781" s="668"/>
    </row>
    <row r="4782" spans="5:13">
      <c r="E4782" s="668"/>
      <c r="F4782" s="668"/>
      <c r="G4782" s="668"/>
      <c r="H4782" s="668"/>
      <c r="I4782" s="668"/>
      <c r="J4782" s="668"/>
      <c r="K4782" s="668"/>
      <c r="L4782" s="668"/>
      <c r="M4782" s="668"/>
    </row>
    <row r="4783" spans="5:13">
      <c r="E4783" s="668"/>
      <c r="F4783" s="668"/>
      <c r="G4783" s="668"/>
      <c r="H4783" s="668"/>
      <c r="I4783" s="668"/>
      <c r="J4783" s="668"/>
      <c r="K4783" s="668"/>
      <c r="L4783" s="668"/>
      <c r="M4783" s="668"/>
    </row>
    <row r="4784" spans="5:13">
      <c r="E4784" s="668"/>
      <c r="F4784" s="668"/>
      <c r="G4784" s="668"/>
      <c r="H4784" s="668"/>
      <c r="I4784" s="668"/>
      <c r="J4784" s="668"/>
      <c r="K4784" s="668"/>
      <c r="L4784" s="668"/>
      <c r="M4784" s="668"/>
    </row>
    <row r="4785" spans="5:13">
      <c r="E4785" s="668"/>
      <c r="F4785" s="668"/>
      <c r="G4785" s="668"/>
      <c r="H4785" s="668"/>
      <c r="I4785" s="668"/>
      <c r="J4785" s="668"/>
      <c r="K4785" s="668"/>
      <c r="L4785" s="668"/>
      <c r="M4785" s="668"/>
    </row>
    <row r="4786" spans="5:13">
      <c r="E4786" s="668"/>
      <c r="F4786" s="668"/>
      <c r="G4786" s="668"/>
      <c r="H4786" s="668"/>
      <c r="I4786" s="668"/>
      <c r="J4786" s="668"/>
      <c r="K4786" s="668"/>
      <c r="L4786" s="668"/>
      <c r="M4786" s="668"/>
    </row>
    <row r="4787" spans="5:13">
      <c r="E4787" s="668"/>
      <c r="F4787" s="668"/>
      <c r="G4787" s="668"/>
      <c r="H4787" s="668"/>
      <c r="I4787" s="668"/>
      <c r="J4787" s="668"/>
      <c r="K4787" s="668"/>
      <c r="L4787" s="668"/>
      <c r="M4787" s="668"/>
    </row>
    <row r="4788" spans="5:13">
      <c r="E4788" s="668"/>
      <c r="F4788" s="668"/>
      <c r="G4788" s="668"/>
      <c r="H4788" s="668"/>
      <c r="I4788" s="668"/>
      <c r="J4788" s="668"/>
      <c r="K4788" s="668"/>
      <c r="L4788" s="668"/>
      <c r="M4788" s="668"/>
    </row>
    <row r="4789" spans="5:13">
      <c r="E4789" s="668"/>
      <c r="F4789" s="668"/>
      <c r="G4789" s="668"/>
      <c r="H4789" s="668"/>
      <c r="I4789" s="668"/>
      <c r="J4789" s="668"/>
      <c r="K4789" s="668"/>
      <c r="L4789" s="668"/>
      <c r="M4789" s="668"/>
    </row>
    <row r="4790" spans="5:13">
      <c r="E4790" s="668"/>
      <c r="F4790" s="668"/>
      <c r="G4790" s="668"/>
      <c r="H4790" s="668"/>
      <c r="I4790" s="668"/>
      <c r="J4790" s="668"/>
      <c r="K4790" s="668"/>
      <c r="L4790" s="668"/>
      <c r="M4790" s="668"/>
    </row>
    <row r="4791" spans="5:13">
      <c r="E4791" s="668"/>
      <c r="F4791" s="668"/>
      <c r="G4791" s="668"/>
      <c r="H4791" s="668"/>
      <c r="I4791" s="668"/>
      <c r="J4791" s="668"/>
      <c r="K4791" s="668"/>
      <c r="L4791" s="668"/>
      <c r="M4791" s="668"/>
    </row>
    <row r="4792" spans="5:13">
      <c r="E4792" s="668"/>
      <c r="F4792" s="668"/>
      <c r="G4792" s="668"/>
      <c r="H4792" s="668"/>
      <c r="I4792" s="668"/>
      <c r="J4792" s="668"/>
      <c r="K4792" s="668"/>
      <c r="L4792" s="668"/>
      <c r="M4792" s="668"/>
    </row>
    <row r="4793" spans="5:13">
      <c r="E4793" s="668"/>
      <c r="F4793" s="668"/>
      <c r="G4793" s="668"/>
      <c r="H4793" s="668"/>
      <c r="I4793" s="668"/>
      <c r="J4793" s="668"/>
      <c r="K4793" s="668"/>
      <c r="L4793" s="668"/>
      <c r="M4793" s="668"/>
    </row>
    <row r="4794" spans="5:13">
      <c r="E4794" s="668"/>
      <c r="F4794" s="668"/>
      <c r="G4794" s="668"/>
      <c r="H4794" s="668"/>
      <c r="I4794" s="668"/>
      <c r="J4794" s="668"/>
      <c r="K4794" s="668"/>
      <c r="L4794" s="668"/>
      <c r="M4794" s="668"/>
    </row>
    <row r="4795" spans="5:13">
      <c r="E4795" s="668"/>
      <c r="F4795" s="668"/>
      <c r="G4795" s="668"/>
      <c r="H4795" s="668"/>
      <c r="I4795" s="668"/>
      <c r="J4795" s="668"/>
      <c r="K4795" s="668"/>
      <c r="L4795" s="668"/>
      <c r="M4795" s="668"/>
    </row>
    <row r="4796" spans="5:13">
      <c r="E4796" s="668"/>
      <c r="F4796" s="668"/>
      <c r="G4796" s="668"/>
      <c r="H4796" s="668"/>
      <c r="I4796" s="668"/>
      <c r="J4796" s="668"/>
      <c r="K4796" s="668"/>
      <c r="L4796" s="668"/>
      <c r="M4796" s="668"/>
    </row>
    <row r="4797" spans="5:13">
      <c r="E4797" s="668"/>
      <c r="F4797" s="668"/>
      <c r="G4797" s="668"/>
      <c r="H4797" s="668"/>
      <c r="I4797" s="668"/>
      <c r="J4797" s="668"/>
      <c r="K4797" s="668"/>
      <c r="L4797" s="668"/>
      <c r="M4797" s="668"/>
    </row>
    <row r="4798" spans="5:13">
      <c r="E4798" s="668"/>
      <c r="F4798" s="668"/>
      <c r="G4798" s="668"/>
      <c r="H4798" s="668"/>
      <c r="I4798" s="668"/>
      <c r="J4798" s="668"/>
      <c r="K4798" s="668"/>
      <c r="L4798" s="668"/>
      <c r="M4798" s="668"/>
    </row>
    <row r="4799" spans="5:13">
      <c r="E4799" s="668"/>
      <c r="F4799" s="668"/>
      <c r="G4799" s="668"/>
      <c r="H4799" s="668"/>
      <c r="I4799" s="668"/>
      <c r="J4799" s="668"/>
      <c r="K4799" s="668"/>
      <c r="L4799" s="668"/>
      <c r="M4799" s="668"/>
    </row>
    <row r="4800" spans="5:13">
      <c r="E4800" s="668"/>
      <c r="F4800" s="668"/>
      <c r="G4800" s="668"/>
      <c r="H4800" s="668"/>
      <c r="I4800" s="668"/>
      <c r="J4800" s="668"/>
      <c r="K4800" s="668"/>
      <c r="L4800" s="668"/>
      <c r="M4800" s="668"/>
    </row>
    <row r="4801" spans="5:13">
      <c r="E4801" s="668"/>
      <c r="F4801" s="668"/>
      <c r="G4801" s="668"/>
      <c r="H4801" s="668"/>
      <c r="I4801" s="668"/>
      <c r="J4801" s="668"/>
      <c r="K4801" s="668"/>
      <c r="L4801" s="668"/>
      <c r="M4801" s="668"/>
    </row>
    <row r="4802" spans="5:13">
      <c r="E4802" s="668"/>
      <c r="F4802" s="668"/>
      <c r="G4802" s="668"/>
      <c r="H4802" s="668"/>
      <c r="I4802" s="668"/>
      <c r="J4802" s="668"/>
      <c r="K4802" s="668"/>
      <c r="L4802" s="668"/>
      <c r="M4802" s="668"/>
    </row>
    <row r="4803" spans="5:13">
      <c r="E4803" s="668"/>
      <c r="F4803" s="668"/>
      <c r="G4803" s="668"/>
      <c r="H4803" s="668"/>
      <c r="I4803" s="668"/>
      <c r="J4803" s="668"/>
      <c r="K4803" s="668"/>
      <c r="L4803" s="668"/>
      <c r="M4803" s="668"/>
    </row>
    <row r="4804" spans="5:13">
      <c r="E4804" s="668"/>
      <c r="F4804" s="668"/>
      <c r="G4804" s="668"/>
      <c r="H4804" s="668"/>
      <c r="I4804" s="668"/>
      <c r="J4804" s="668"/>
      <c r="K4804" s="668"/>
      <c r="L4804" s="668"/>
      <c r="M4804" s="668"/>
    </row>
    <row r="4805" spans="5:13">
      <c r="E4805" s="668"/>
      <c r="F4805" s="668"/>
      <c r="G4805" s="668"/>
      <c r="H4805" s="668"/>
      <c r="I4805" s="668"/>
      <c r="J4805" s="668"/>
      <c r="K4805" s="668"/>
      <c r="L4805" s="668"/>
      <c r="M4805" s="668"/>
    </row>
    <row r="4806" spans="5:13">
      <c r="E4806" s="668"/>
      <c r="F4806" s="668"/>
      <c r="G4806" s="668"/>
      <c r="H4806" s="668"/>
      <c r="I4806" s="668"/>
      <c r="J4806" s="668"/>
      <c r="K4806" s="668"/>
      <c r="L4806" s="668"/>
      <c r="M4806" s="668"/>
    </row>
    <row r="4807" spans="5:13">
      <c r="E4807" s="668"/>
      <c r="F4807" s="668"/>
      <c r="G4807" s="668"/>
      <c r="H4807" s="668"/>
      <c r="I4807" s="668"/>
      <c r="J4807" s="668"/>
      <c r="K4807" s="668"/>
      <c r="L4807" s="668"/>
      <c r="M4807" s="668"/>
    </row>
    <row r="4808" spans="5:13">
      <c r="E4808" s="668"/>
      <c r="F4808" s="668"/>
      <c r="G4808" s="668"/>
      <c r="H4808" s="668"/>
      <c r="I4808" s="668"/>
      <c r="J4808" s="668"/>
      <c r="K4808" s="668"/>
      <c r="L4808" s="668"/>
      <c r="M4808" s="668"/>
    </row>
    <row r="4809" spans="5:13">
      <c r="E4809" s="668"/>
      <c r="F4809" s="668"/>
      <c r="G4809" s="668"/>
      <c r="H4809" s="668"/>
      <c r="I4809" s="668"/>
      <c r="J4809" s="668"/>
      <c r="K4809" s="668"/>
      <c r="L4809" s="668"/>
      <c r="M4809" s="668"/>
    </row>
    <row r="4810" spans="5:13">
      <c r="E4810" s="668"/>
      <c r="F4810" s="668"/>
      <c r="G4810" s="668"/>
      <c r="H4810" s="668"/>
      <c r="I4810" s="668"/>
      <c r="J4810" s="668"/>
      <c r="K4810" s="668"/>
      <c r="L4810" s="668"/>
      <c r="M4810" s="668"/>
    </row>
    <row r="4811" spans="5:13">
      <c r="E4811" s="668"/>
      <c r="F4811" s="668"/>
      <c r="G4811" s="668"/>
      <c r="H4811" s="668"/>
      <c r="I4811" s="668"/>
      <c r="J4811" s="668"/>
      <c r="K4811" s="668"/>
      <c r="L4811" s="668"/>
      <c r="M4811" s="668"/>
    </row>
    <row r="4812" spans="5:13">
      <c r="E4812" s="668"/>
      <c r="F4812" s="668"/>
      <c r="G4812" s="668"/>
      <c r="H4812" s="668"/>
      <c r="I4812" s="668"/>
      <c r="J4812" s="668"/>
      <c r="K4812" s="668"/>
      <c r="L4812" s="668"/>
      <c r="M4812" s="668"/>
    </row>
    <row r="4813" spans="5:13">
      <c r="E4813" s="668"/>
      <c r="F4813" s="668"/>
      <c r="G4813" s="668"/>
      <c r="H4813" s="668"/>
      <c r="I4813" s="668"/>
      <c r="J4813" s="668"/>
      <c r="K4813" s="668"/>
      <c r="L4813" s="668"/>
      <c r="M4813" s="668"/>
    </row>
    <row r="4814" spans="5:13">
      <c r="E4814" s="668"/>
      <c r="F4814" s="668"/>
      <c r="G4814" s="668"/>
      <c r="H4814" s="668"/>
      <c r="I4814" s="668"/>
      <c r="J4814" s="668"/>
      <c r="K4814" s="668"/>
      <c r="L4814" s="668"/>
      <c r="M4814" s="668"/>
    </row>
    <row r="4815" spans="5:13">
      <c r="E4815" s="668"/>
      <c r="F4815" s="668"/>
      <c r="G4815" s="668"/>
      <c r="H4815" s="668"/>
      <c r="I4815" s="668"/>
      <c r="J4815" s="668"/>
      <c r="K4815" s="668"/>
      <c r="L4815" s="668"/>
      <c r="M4815" s="668"/>
    </row>
    <row r="4816" spans="5:13">
      <c r="E4816" s="668"/>
      <c r="F4816" s="668"/>
      <c r="G4816" s="668"/>
      <c r="H4816" s="668"/>
      <c r="I4816" s="668"/>
      <c r="J4816" s="668"/>
      <c r="K4816" s="668"/>
      <c r="L4816" s="668"/>
      <c r="M4816" s="668"/>
    </row>
    <row r="4817" spans="5:13">
      <c r="E4817" s="668"/>
      <c r="F4817" s="668"/>
      <c r="G4817" s="668"/>
      <c r="H4817" s="668"/>
      <c r="I4817" s="668"/>
      <c r="J4817" s="668"/>
      <c r="K4817" s="668"/>
      <c r="L4817" s="668"/>
      <c r="M4817" s="668"/>
    </row>
    <row r="4818" spans="5:13">
      <c r="E4818" s="668"/>
      <c r="F4818" s="668"/>
      <c r="G4818" s="668"/>
      <c r="H4818" s="668"/>
      <c r="I4818" s="668"/>
      <c r="J4818" s="668"/>
      <c r="K4818" s="668"/>
      <c r="L4818" s="668"/>
      <c r="M4818" s="668"/>
    </row>
    <row r="4819" spans="5:13">
      <c r="E4819" s="668"/>
      <c r="F4819" s="668"/>
      <c r="G4819" s="668"/>
      <c r="H4819" s="668"/>
      <c r="I4819" s="668"/>
      <c r="J4819" s="668"/>
      <c r="K4819" s="668"/>
      <c r="L4819" s="668"/>
      <c r="M4819" s="668"/>
    </row>
    <row r="4820" spans="5:13">
      <c r="E4820" s="668"/>
      <c r="F4820" s="668"/>
      <c r="G4820" s="668"/>
      <c r="H4820" s="668"/>
      <c r="I4820" s="668"/>
      <c r="J4820" s="668"/>
      <c r="K4820" s="668"/>
      <c r="L4820" s="668"/>
      <c r="M4820" s="668"/>
    </row>
    <row r="4821" spans="5:13">
      <c r="E4821" s="668"/>
      <c r="F4821" s="668"/>
      <c r="G4821" s="668"/>
      <c r="H4821" s="668"/>
      <c r="I4821" s="668"/>
      <c r="J4821" s="668"/>
      <c r="K4821" s="668"/>
      <c r="L4821" s="668"/>
      <c r="M4821" s="668"/>
    </row>
    <row r="4822" spans="5:13">
      <c r="E4822" s="668"/>
      <c r="F4822" s="668"/>
      <c r="G4822" s="668"/>
      <c r="H4822" s="668"/>
      <c r="I4822" s="668"/>
      <c r="J4822" s="668"/>
      <c r="K4822" s="668"/>
      <c r="L4822" s="668"/>
      <c r="M4822" s="668"/>
    </row>
    <row r="4823" spans="5:13">
      <c r="E4823" s="668"/>
      <c r="F4823" s="668"/>
      <c r="G4823" s="668"/>
      <c r="H4823" s="668"/>
      <c r="I4823" s="668"/>
      <c r="J4823" s="668"/>
      <c r="K4823" s="668"/>
      <c r="L4823" s="668"/>
      <c r="M4823" s="668"/>
    </row>
    <row r="4824" spans="5:13">
      <c r="E4824" s="668"/>
      <c r="F4824" s="668"/>
      <c r="G4824" s="668"/>
      <c r="H4824" s="668"/>
      <c r="I4824" s="668"/>
      <c r="J4824" s="668"/>
      <c r="K4824" s="668"/>
      <c r="L4824" s="668"/>
      <c r="M4824" s="668"/>
    </row>
    <row r="4825" spans="5:13">
      <c r="E4825" s="668"/>
      <c r="F4825" s="668"/>
      <c r="G4825" s="668"/>
      <c r="H4825" s="668"/>
      <c r="I4825" s="668"/>
      <c r="J4825" s="668"/>
      <c r="K4825" s="668"/>
      <c r="L4825" s="668"/>
      <c r="M4825" s="668"/>
    </row>
    <row r="4826" spans="5:13">
      <c r="E4826" s="668"/>
      <c r="F4826" s="668"/>
      <c r="G4826" s="668"/>
      <c r="H4826" s="668"/>
      <c r="I4826" s="668"/>
      <c r="J4826" s="668"/>
      <c r="K4826" s="668"/>
      <c r="L4826" s="668"/>
      <c r="M4826" s="668"/>
    </row>
    <row r="4827" spans="5:13">
      <c r="E4827" s="668"/>
      <c r="F4827" s="668"/>
      <c r="G4827" s="668"/>
      <c r="H4827" s="668"/>
      <c r="I4827" s="668"/>
      <c r="J4827" s="668"/>
      <c r="K4827" s="668"/>
      <c r="L4827" s="668"/>
      <c r="M4827" s="668"/>
    </row>
    <row r="4828" spans="5:13">
      <c r="E4828" s="668"/>
      <c r="F4828" s="668"/>
      <c r="G4828" s="668"/>
      <c r="H4828" s="668"/>
      <c r="I4828" s="668"/>
      <c r="J4828" s="668"/>
      <c r="K4828" s="668"/>
      <c r="L4828" s="668"/>
      <c r="M4828" s="668"/>
    </row>
    <row r="4829" spans="5:13">
      <c r="E4829" s="668"/>
      <c r="F4829" s="668"/>
      <c r="G4829" s="668"/>
      <c r="H4829" s="668"/>
      <c r="I4829" s="668"/>
      <c r="J4829" s="668"/>
      <c r="K4829" s="668"/>
      <c r="L4829" s="668"/>
      <c r="M4829" s="668"/>
    </row>
    <row r="4830" spans="5:13">
      <c r="E4830" s="668"/>
      <c r="F4830" s="668"/>
      <c r="G4830" s="668"/>
      <c r="H4830" s="668"/>
      <c r="I4830" s="668"/>
      <c r="J4830" s="668"/>
      <c r="K4830" s="668"/>
      <c r="L4830" s="668"/>
      <c r="M4830" s="668"/>
    </row>
    <row r="4831" spans="5:13">
      <c r="E4831" s="668"/>
      <c r="F4831" s="668"/>
      <c r="G4831" s="668"/>
      <c r="H4831" s="668"/>
      <c r="I4831" s="668"/>
      <c r="J4831" s="668"/>
      <c r="K4831" s="668"/>
      <c r="L4831" s="668"/>
      <c r="M4831" s="668"/>
    </row>
    <row r="4832" spans="5:13">
      <c r="E4832" s="668"/>
      <c r="F4832" s="668"/>
      <c r="G4832" s="668"/>
      <c r="H4832" s="668"/>
      <c r="I4832" s="668"/>
      <c r="J4832" s="668"/>
      <c r="K4832" s="668"/>
      <c r="L4832" s="668"/>
      <c r="M4832" s="668"/>
    </row>
    <row r="4833" spans="5:13">
      <c r="E4833" s="668"/>
      <c r="F4833" s="668"/>
      <c r="G4833" s="668"/>
      <c r="H4833" s="668"/>
      <c r="I4833" s="668"/>
      <c r="J4833" s="668"/>
      <c r="K4833" s="668"/>
      <c r="L4833" s="668"/>
      <c r="M4833" s="668"/>
    </row>
    <row r="4834" spans="5:13">
      <c r="E4834" s="668"/>
      <c r="F4834" s="668"/>
      <c r="G4834" s="668"/>
      <c r="H4834" s="668"/>
      <c r="I4834" s="668"/>
      <c r="J4834" s="668"/>
      <c r="K4834" s="668"/>
      <c r="L4834" s="668"/>
      <c r="M4834" s="668"/>
    </row>
    <row r="4835" spans="5:13">
      <c r="E4835" s="668"/>
      <c r="F4835" s="668"/>
      <c r="G4835" s="668"/>
      <c r="H4835" s="668"/>
      <c r="I4835" s="668"/>
      <c r="J4835" s="668"/>
      <c r="K4835" s="668"/>
      <c r="L4835" s="668"/>
      <c r="M4835" s="668"/>
    </row>
    <row r="4836" spans="5:13">
      <c r="E4836" s="668"/>
      <c r="F4836" s="668"/>
      <c r="G4836" s="668"/>
      <c r="H4836" s="668"/>
      <c r="I4836" s="668"/>
      <c r="J4836" s="668"/>
      <c r="K4836" s="668"/>
      <c r="L4836" s="668"/>
      <c r="M4836" s="668"/>
    </row>
    <row r="4837" spans="5:13">
      <c r="E4837" s="668"/>
      <c r="F4837" s="668"/>
      <c r="G4837" s="668"/>
      <c r="H4837" s="668"/>
      <c r="I4837" s="668"/>
      <c r="J4837" s="668"/>
      <c r="K4837" s="668"/>
      <c r="L4837" s="668"/>
      <c r="M4837" s="668"/>
    </row>
    <row r="4838" spans="5:13">
      <c r="E4838" s="668"/>
      <c r="F4838" s="668"/>
      <c r="G4838" s="668"/>
      <c r="H4838" s="668"/>
      <c r="I4838" s="668"/>
      <c r="J4838" s="668"/>
      <c r="K4838" s="668"/>
      <c r="L4838" s="668"/>
      <c r="M4838" s="668"/>
    </row>
    <row r="4839" spans="5:13">
      <c r="E4839" s="668"/>
      <c r="F4839" s="668"/>
      <c r="G4839" s="668"/>
      <c r="H4839" s="668"/>
      <c r="I4839" s="668"/>
      <c r="J4839" s="668"/>
      <c r="K4839" s="668"/>
      <c r="L4839" s="668"/>
      <c r="M4839" s="668"/>
    </row>
    <row r="4840" spans="5:13">
      <c r="E4840" s="668"/>
      <c r="F4840" s="668"/>
      <c r="G4840" s="668"/>
      <c r="H4840" s="668"/>
      <c r="I4840" s="668"/>
      <c r="J4840" s="668"/>
      <c r="K4840" s="668"/>
      <c r="L4840" s="668"/>
      <c r="M4840" s="668"/>
    </row>
    <row r="4841" spans="5:13">
      <c r="E4841" s="668"/>
      <c r="F4841" s="668"/>
      <c r="G4841" s="668"/>
      <c r="H4841" s="668"/>
      <c r="I4841" s="668"/>
      <c r="J4841" s="668"/>
      <c r="K4841" s="668"/>
      <c r="L4841" s="668"/>
      <c r="M4841" s="668"/>
    </row>
    <row r="4842" spans="5:13">
      <c r="E4842" s="668"/>
      <c r="F4842" s="668"/>
      <c r="G4842" s="668"/>
      <c r="H4842" s="668"/>
      <c r="I4842" s="668"/>
      <c r="J4842" s="668"/>
      <c r="K4842" s="668"/>
      <c r="L4842" s="668"/>
      <c r="M4842" s="668"/>
    </row>
    <row r="4843" spans="5:13">
      <c r="E4843" s="668"/>
      <c r="F4843" s="668"/>
      <c r="G4843" s="668"/>
      <c r="H4843" s="668"/>
      <c r="I4843" s="668"/>
      <c r="J4843" s="668"/>
      <c r="K4843" s="668"/>
      <c r="L4843" s="668"/>
      <c r="M4843" s="668"/>
    </row>
    <row r="4844" spans="5:13">
      <c r="E4844" s="668"/>
      <c r="F4844" s="668"/>
      <c r="G4844" s="668"/>
      <c r="H4844" s="668"/>
      <c r="I4844" s="668"/>
      <c r="J4844" s="668"/>
      <c r="K4844" s="668"/>
      <c r="L4844" s="668"/>
      <c r="M4844" s="668"/>
    </row>
    <row r="4845" spans="5:13">
      <c r="E4845" s="668"/>
      <c r="F4845" s="668"/>
      <c r="G4845" s="668"/>
      <c r="H4845" s="668"/>
      <c r="I4845" s="668"/>
      <c r="J4845" s="668"/>
      <c r="K4845" s="668"/>
      <c r="L4845" s="668"/>
      <c r="M4845" s="668"/>
    </row>
    <row r="4846" spans="5:13">
      <c r="E4846" s="668"/>
      <c r="F4846" s="668"/>
      <c r="G4846" s="668"/>
      <c r="H4846" s="668"/>
      <c r="I4846" s="668"/>
      <c r="J4846" s="668"/>
      <c r="K4846" s="668"/>
      <c r="L4846" s="668"/>
      <c r="M4846" s="668"/>
    </row>
    <row r="4847" spans="5:13">
      <c r="E4847" s="668"/>
      <c r="F4847" s="668"/>
      <c r="G4847" s="668"/>
      <c r="H4847" s="668"/>
      <c r="I4847" s="668"/>
      <c r="J4847" s="668"/>
      <c r="K4847" s="668"/>
      <c r="L4847" s="668"/>
      <c r="M4847" s="668"/>
    </row>
    <row r="4848" spans="5:13">
      <c r="E4848" s="668"/>
      <c r="F4848" s="668"/>
      <c r="G4848" s="668"/>
      <c r="H4848" s="668"/>
      <c r="I4848" s="668"/>
      <c r="J4848" s="668"/>
      <c r="K4848" s="668"/>
      <c r="L4848" s="668"/>
      <c r="M4848" s="668"/>
    </row>
    <row r="4849" spans="5:13">
      <c r="E4849" s="668"/>
      <c r="F4849" s="668"/>
      <c r="G4849" s="668"/>
      <c r="H4849" s="668"/>
      <c r="I4849" s="668"/>
      <c r="J4849" s="668"/>
      <c r="K4849" s="668"/>
      <c r="L4849" s="668"/>
      <c r="M4849" s="668"/>
    </row>
    <row r="4850" spans="5:13">
      <c r="E4850" s="668"/>
      <c r="F4850" s="668"/>
      <c r="G4850" s="668"/>
      <c r="H4850" s="668"/>
      <c r="I4850" s="668"/>
      <c r="J4850" s="668"/>
      <c r="K4850" s="668"/>
      <c r="L4850" s="668"/>
      <c r="M4850" s="668"/>
    </row>
    <row r="4851" spans="5:13">
      <c r="E4851" s="668"/>
      <c r="F4851" s="668"/>
      <c r="G4851" s="668"/>
      <c r="H4851" s="668"/>
      <c r="I4851" s="668"/>
      <c r="J4851" s="668"/>
      <c r="K4851" s="668"/>
      <c r="L4851" s="668"/>
      <c r="M4851" s="668"/>
    </row>
    <row r="4852" spans="5:13">
      <c r="E4852" s="668"/>
      <c r="F4852" s="668"/>
      <c r="G4852" s="668"/>
      <c r="H4852" s="668"/>
      <c r="I4852" s="668"/>
      <c r="J4852" s="668"/>
      <c r="K4852" s="668"/>
      <c r="L4852" s="668"/>
      <c r="M4852" s="668"/>
    </row>
    <row r="4853" spans="5:13">
      <c r="E4853" s="668"/>
      <c r="F4853" s="668"/>
      <c r="G4853" s="668"/>
      <c r="H4853" s="668"/>
      <c r="I4853" s="668"/>
      <c r="J4853" s="668"/>
      <c r="K4853" s="668"/>
      <c r="L4853" s="668"/>
      <c r="M4853" s="668"/>
    </row>
    <row r="4854" spans="5:13">
      <c r="E4854" s="668"/>
      <c r="F4854" s="668"/>
      <c r="G4854" s="668"/>
      <c r="H4854" s="668"/>
      <c r="I4854" s="668"/>
      <c r="J4854" s="668"/>
      <c r="K4854" s="668"/>
      <c r="L4854" s="668"/>
      <c r="M4854" s="668"/>
    </row>
    <row r="4855" spans="5:13">
      <c r="E4855" s="668"/>
      <c r="F4855" s="668"/>
      <c r="G4855" s="668"/>
      <c r="H4855" s="668"/>
      <c r="I4855" s="668"/>
      <c r="J4855" s="668"/>
      <c r="K4855" s="668"/>
      <c r="L4855" s="668"/>
      <c r="M4855" s="668"/>
    </row>
    <row r="4856" spans="5:13">
      <c r="E4856" s="668"/>
      <c r="F4856" s="668"/>
      <c r="G4856" s="668"/>
      <c r="H4856" s="668"/>
      <c r="I4856" s="668"/>
      <c r="J4856" s="668"/>
      <c r="K4856" s="668"/>
      <c r="L4856" s="668"/>
      <c r="M4856" s="668"/>
    </row>
    <row r="4857" spans="5:13">
      <c r="E4857" s="668"/>
      <c r="F4857" s="668"/>
      <c r="G4857" s="668"/>
      <c r="H4857" s="668"/>
      <c r="I4857" s="668"/>
      <c r="J4857" s="668"/>
      <c r="K4857" s="668"/>
      <c r="L4857" s="668"/>
      <c r="M4857" s="668"/>
    </row>
    <row r="4858" spans="5:13">
      <c r="E4858" s="668"/>
      <c r="F4858" s="668"/>
      <c r="G4858" s="668"/>
      <c r="H4858" s="668"/>
      <c r="I4858" s="668"/>
      <c r="J4858" s="668"/>
      <c r="K4858" s="668"/>
      <c r="L4858" s="668"/>
      <c r="M4858" s="668"/>
    </row>
    <row r="4859" spans="5:13">
      <c r="E4859" s="668"/>
      <c r="F4859" s="668"/>
      <c r="G4859" s="668"/>
      <c r="H4859" s="668"/>
      <c r="I4859" s="668"/>
      <c r="J4859" s="668"/>
      <c r="K4859" s="668"/>
      <c r="L4859" s="668"/>
      <c r="M4859" s="668"/>
    </row>
    <row r="4860" spans="5:13">
      <c r="E4860" s="668"/>
      <c r="F4860" s="668"/>
      <c r="G4860" s="668"/>
      <c r="H4860" s="668"/>
      <c r="I4860" s="668"/>
      <c r="J4860" s="668"/>
      <c r="K4860" s="668"/>
      <c r="L4860" s="668"/>
      <c r="M4860" s="668"/>
    </row>
    <row r="4861" spans="5:13">
      <c r="E4861" s="668"/>
      <c r="F4861" s="668"/>
      <c r="G4861" s="668"/>
      <c r="H4861" s="668"/>
      <c r="I4861" s="668"/>
      <c r="J4861" s="668"/>
      <c r="K4861" s="668"/>
      <c r="L4861" s="668"/>
      <c r="M4861" s="668"/>
    </row>
    <row r="4862" spans="5:13">
      <c r="E4862" s="668"/>
      <c r="F4862" s="668"/>
      <c r="G4862" s="668"/>
      <c r="H4862" s="668"/>
      <c r="I4862" s="668"/>
      <c r="J4862" s="668"/>
      <c r="K4862" s="668"/>
      <c r="L4862" s="668"/>
      <c r="M4862" s="668"/>
    </row>
    <row r="4863" spans="5:13">
      <c r="E4863" s="668"/>
      <c r="F4863" s="668"/>
      <c r="G4863" s="668"/>
      <c r="H4863" s="668"/>
      <c r="I4863" s="668"/>
      <c r="J4863" s="668"/>
      <c r="K4863" s="668"/>
      <c r="L4863" s="668"/>
      <c r="M4863" s="668"/>
    </row>
    <row r="4864" spans="5:13">
      <c r="E4864" s="668"/>
      <c r="F4864" s="668"/>
      <c r="G4864" s="668"/>
      <c r="H4864" s="668"/>
      <c r="I4864" s="668"/>
      <c r="J4864" s="668"/>
      <c r="K4864" s="668"/>
      <c r="L4864" s="668"/>
      <c r="M4864" s="668"/>
    </row>
    <row r="4865" spans="5:13">
      <c r="E4865" s="668"/>
      <c r="F4865" s="668"/>
      <c r="G4865" s="668"/>
      <c r="H4865" s="668"/>
      <c r="I4865" s="668"/>
      <c r="J4865" s="668"/>
      <c r="K4865" s="668"/>
      <c r="L4865" s="668"/>
      <c r="M4865" s="668"/>
    </row>
    <row r="4866" spans="5:13">
      <c r="E4866" s="668"/>
      <c r="F4866" s="668"/>
      <c r="G4866" s="668"/>
      <c r="H4866" s="668"/>
      <c r="I4866" s="668"/>
      <c r="J4866" s="668"/>
      <c r="K4866" s="668"/>
      <c r="L4866" s="668"/>
      <c r="M4866" s="668"/>
    </row>
    <row r="4867" spans="5:13">
      <c r="E4867" s="668"/>
      <c r="F4867" s="668"/>
      <c r="G4867" s="668"/>
      <c r="H4867" s="668"/>
      <c r="I4867" s="668"/>
      <c r="J4867" s="668"/>
      <c r="K4867" s="668"/>
      <c r="L4867" s="668"/>
      <c r="M4867" s="668"/>
    </row>
    <row r="4868" spans="5:13">
      <c r="E4868" s="668"/>
      <c r="F4868" s="668"/>
      <c r="G4868" s="668"/>
      <c r="H4868" s="668"/>
      <c r="I4868" s="668"/>
      <c r="J4868" s="668"/>
      <c r="K4868" s="668"/>
      <c r="L4868" s="668"/>
      <c r="M4868" s="668"/>
    </row>
    <row r="4869" spans="5:13">
      <c r="E4869" s="668"/>
      <c r="F4869" s="668"/>
      <c r="G4869" s="668"/>
      <c r="H4869" s="668"/>
      <c r="I4869" s="668"/>
      <c r="J4869" s="668"/>
      <c r="K4869" s="668"/>
      <c r="L4869" s="668"/>
      <c r="M4869" s="668"/>
    </row>
    <row r="4870" spans="5:13">
      <c r="E4870" s="668"/>
      <c r="F4870" s="668"/>
      <c r="G4870" s="668"/>
      <c r="H4870" s="668"/>
      <c r="I4870" s="668"/>
      <c r="J4870" s="668"/>
      <c r="K4870" s="668"/>
      <c r="L4870" s="668"/>
      <c r="M4870" s="668"/>
    </row>
    <row r="4871" spans="5:13">
      <c r="E4871" s="668"/>
      <c r="F4871" s="668"/>
      <c r="G4871" s="668"/>
      <c r="H4871" s="668"/>
      <c r="I4871" s="668"/>
      <c r="J4871" s="668"/>
      <c r="K4871" s="668"/>
      <c r="L4871" s="668"/>
      <c r="M4871" s="668"/>
    </row>
    <row r="4872" spans="5:13">
      <c r="E4872" s="668"/>
      <c r="F4872" s="668"/>
      <c r="G4872" s="668"/>
      <c r="H4872" s="668"/>
      <c r="I4872" s="668"/>
      <c r="J4872" s="668"/>
      <c r="K4872" s="668"/>
      <c r="L4872" s="668"/>
      <c r="M4872" s="668"/>
    </row>
    <row r="4873" spans="5:13">
      <c r="E4873" s="668"/>
      <c r="F4873" s="668"/>
      <c r="G4873" s="668"/>
      <c r="H4873" s="668"/>
      <c r="I4873" s="668"/>
      <c r="J4873" s="668"/>
      <c r="K4873" s="668"/>
      <c r="L4873" s="668"/>
      <c r="M4873" s="668"/>
    </row>
    <row r="4874" spans="5:13">
      <c r="E4874" s="668"/>
      <c r="F4874" s="668"/>
      <c r="G4874" s="668"/>
      <c r="H4874" s="668"/>
      <c r="I4874" s="668"/>
      <c r="J4874" s="668"/>
      <c r="K4874" s="668"/>
      <c r="L4874" s="668"/>
      <c r="M4874" s="668"/>
    </row>
    <row r="4875" spans="5:13">
      <c r="E4875" s="668"/>
      <c r="F4875" s="668"/>
      <c r="G4875" s="668"/>
      <c r="H4875" s="668"/>
      <c r="I4875" s="668"/>
      <c r="J4875" s="668"/>
      <c r="K4875" s="668"/>
      <c r="L4875" s="668"/>
      <c r="M4875" s="668"/>
    </row>
    <row r="4876" spans="5:13">
      <c r="E4876" s="668"/>
      <c r="F4876" s="668"/>
      <c r="G4876" s="668"/>
      <c r="H4876" s="668"/>
      <c r="I4876" s="668"/>
      <c r="J4876" s="668"/>
      <c r="K4876" s="668"/>
      <c r="L4876" s="668"/>
      <c r="M4876" s="668"/>
    </row>
    <row r="4877" spans="5:13">
      <c r="E4877" s="668"/>
      <c r="F4877" s="668"/>
      <c r="G4877" s="668"/>
      <c r="H4877" s="668"/>
      <c r="I4877" s="668"/>
      <c r="J4877" s="668"/>
      <c r="K4877" s="668"/>
      <c r="L4877" s="668"/>
      <c r="M4877" s="668"/>
    </row>
    <row r="4878" spans="5:13">
      <c r="E4878" s="668"/>
      <c r="F4878" s="668"/>
      <c r="G4878" s="668"/>
      <c r="H4878" s="668"/>
      <c r="I4878" s="668"/>
      <c r="J4878" s="668"/>
      <c r="K4878" s="668"/>
      <c r="L4878" s="668"/>
      <c r="M4878" s="668"/>
    </row>
    <row r="4879" spans="5:13">
      <c r="E4879" s="668"/>
      <c r="F4879" s="668"/>
      <c r="G4879" s="668"/>
      <c r="H4879" s="668"/>
      <c r="I4879" s="668"/>
      <c r="J4879" s="668"/>
      <c r="K4879" s="668"/>
      <c r="L4879" s="668"/>
      <c r="M4879" s="668"/>
    </row>
    <row r="4880" spans="5:13">
      <c r="E4880" s="668"/>
      <c r="F4880" s="668"/>
      <c r="G4880" s="668"/>
      <c r="H4880" s="668"/>
      <c r="I4880" s="668"/>
      <c r="J4880" s="668"/>
      <c r="K4880" s="668"/>
      <c r="L4880" s="668"/>
      <c r="M4880" s="668"/>
    </row>
    <row r="4881" spans="5:13">
      <c r="E4881" s="668"/>
      <c r="F4881" s="668"/>
      <c r="G4881" s="668"/>
      <c r="H4881" s="668"/>
      <c r="I4881" s="668"/>
      <c r="J4881" s="668"/>
      <c r="K4881" s="668"/>
      <c r="L4881" s="668"/>
      <c r="M4881" s="668"/>
    </row>
    <row r="4882" spans="5:13">
      <c r="E4882" s="668"/>
      <c r="F4882" s="668"/>
      <c r="G4882" s="668"/>
      <c r="H4882" s="668"/>
      <c r="I4882" s="668"/>
      <c r="J4882" s="668"/>
      <c r="K4882" s="668"/>
      <c r="L4882" s="668"/>
      <c r="M4882" s="668"/>
    </row>
    <row r="4883" spans="5:13">
      <c r="E4883" s="668"/>
      <c r="F4883" s="668"/>
      <c r="G4883" s="668"/>
      <c r="H4883" s="668"/>
      <c r="I4883" s="668"/>
      <c r="J4883" s="668"/>
      <c r="K4883" s="668"/>
      <c r="L4883" s="668"/>
      <c r="M4883" s="668"/>
    </row>
    <row r="4884" spans="5:13">
      <c r="E4884" s="668"/>
      <c r="F4884" s="668"/>
      <c r="G4884" s="668"/>
      <c r="H4884" s="668"/>
      <c r="I4884" s="668"/>
      <c r="J4884" s="668"/>
      <c r="K4884" s="668"/>
      <c r="L4884" s="668"/>
      <c r="M4884" s="668"/>
    </row>
    <row r="4885" spans="5:13">
      <c r="E4885" s="668"/>
      <c r="F4885" s="668"/>
      <c r="G4885" s="668"/>
      <c r="H4885" s="668"/>
      <c r="I4885" s="668"/>
      <c r="J4885" s="668"/>
      <c r="K4885" s="668"/>
      <c r="L4885" s="668"/>
      <c r="M4885" s="668"/>
    </row>
    <row r="4886" spans="5:13">
      <c r="E4886" s="668"/>
      <c r="F4886" s="668"/>
      <c r="G4886" s="668"/>
      <c r="H4886" s="668"/>
      <c r="I4886" s="668"/>
      <c r="J4886" s="668"/>
      <c r="K4886" s="668"/>
      <c r="L4886" s="668"/>
      <c r="M4886" s="668"/>
    </row>
    <row r="4887" spans="5:13">
      <c r="E4887" s="668"/>
      <c r="F4887" s="668"/>
      <c r="G4887" s="668"/>
      <c r="H4887" s="668"/>
      <c r="I4887" s="668"/>
      <c r="J4887" s="668"/>
      <c r="K4887" s="668"/>
      <c r="L4887" s="668"/>
      <c r="M4887" s="668"/>
    </row>
    <row r="4888" spans="5:13">
      <c r="E4888" s="668"/>
      <c r="F4888" s="668"/>
      <c r="G4888" s="668"/>
      <c r="H4888" s="668"/>
      <c r="I4888" s="668"/>
      <c r="J4888" s="668"/>
      <c r="K4888" s="668"/>
      <c r="L4888" s="668"/>
      <c r="M4888" s="668"/>
    </row>
    <row r="4889" spans="5:13">
      <c r="E4889" s="668"/>
      <c r="F4889" s="668"/>
      <c r="G4889" s="668"/>
      <c r="H4889" s="668"/>
      <c r="I4889" s="668"/>
      <c r="J4889" s="668"/>
      <c r="K4889" s="668"/>
      <c r="L4889" s="668"/>
      <c r="M4889" s="668"/>
    </row>
    <row r="4890" spans="5:13">
      <c r="E4890" s="668"/>
      <c r="F4890" s="668"/>
      <c r="G4890" s="668"/>
      <c r="H4890" s="668"/>
      <c r="I4890" s="668"/>
      <c r="J4890" s="668"/>
      <c r="K4890" s="668"/>
      <c r="L4890" s="668"/>
      <c r="M4890" s="668"/>
    </row>
    <row r="4891" spans="5:13">
      <c r="E4891" s="668"/>
      <c r="F4891" s="668"/>
      <c r="G4891" s="668"/>
      <c r="H4891" s="668"/>
      <c r="I4891" s="668"/>
      <c r="J4891" s="668"/>
      <c r="K4891" s="668"/>
      <c r="L4891" s="668"/>
      <c r="M4891" s="668"/>
    </row>
    <row r="4892" spans="5:13">
      <c r="E4892" s="668"/>
      <c r="F4892" s="668"/>
      <c r="G4892" s="668"/>
      <c r="H4892" s="668"/>
      <c r="I4892" s="668"/>
      <c r="J4892" s="668"/>
      <c r="K4892" s="668"/>
      <c r="L4892" s="668"/>
      <c r="M4892" s="668"/>
    </row>
    <row r="4893" spans="5:13">
      <c r="E4893" s="668"/>
      <c r="F4893" s="668"/>
      <c r="G4893" s="668"/>
      <c r="H4893" s="668"/>
      <c r="I4893" s="668"/>
      <c r="J4893" s="668"/>
      <c r="K4893" s="668"/>
      <c r="L4893" s="668"/>
      <c r="M4893" s="668"/>
    </row>
    <row r="4894" spans="5:13">
      <c r="E4894" s="668"/>
      <c r="F4894" s="668"/>
      <c r="G4894" s="668"/>
      <c r="H4894" s="668"/>
      <c r="I4894" s="668"/>
      <c r="J4894" s="668"/>
      <c r="K4894" s="668"/>
      <c r="L4894" s="668"/>
      <c r="M4894" s="668"/>
    </row>
    <row r="4895" spans="5:13">
      <c r="E4895" s="668"/>
      <c r="F4895" s="668"/>
      <c r="G4895" s="668"/>
      <c r="H4895" s="668"/>
      <c r="I4895" s="668"/>
      <c r="J4895" s="668"/>
      <c r="K4895" s="668"/>
      <c r="L4895" s="668"/>
      <c r="M4895" s="668"/>
    </row>
    <row r="4896" spans="5:13">
      <c r="E4896" s="668"/>
      <c r="F4896" s="668"/>
      <c r="G4896" s="668"/>
      <c r="H4896" s="668"/>
      <c r="I4896" s="668"/>
      <c r="J4896" s="668"/>
      <c r="K4896" s="668"/>
      <c r="L4896" s="668"/>
      <c r="M4896" s="668"/>
    </row>
    <row r="4897" spans="5:13">
      <c r="E4897" s="668"/>
      <c r="F4897" s="668"/>
      <c r="G4897" s="668"/>
      <c r="H4897" s="668"/>
      <c r="I4897" s="668"/>
      <c r="J4897" s="668"/>
      <c r="K4897" s="668"/>
      <c r="L4897" s="668"/>
      <c r="M4897" s="668"/>
    </row>
    <row r="4898" spans="5:13">
      <c r="E4898" s="668"/>
      <c r="F4898" s="668"/>
      <c r="G4898" s="668"/>
      <c r="H4898" s="668"/>
      <c r="I4898" s="668"/>
      <c r="J4898" s="668"/>
      <c r="K4898" s="668"/>
      <c r="L4898" s="668"/>
      <c r="M4898" s="668"/>
    </row>
    <row r="4899" spans="5:13">
      <c r="E4899" s="668"/>
      <c r="F4899" s="668"/>
      <c r="G4899" s="668"/>
      <c r="H4899" s="668"/>
      <c r="I4899" s="668"/>
      <c r="J4899" s="668"/>
      <c r="K4899" s="668"/>
      <c r="L4899" s="668"/>
      <c r="M4899" s="668"/>
    </row>
    <row r="4900" spans="5:13">
      <c r="E4900" s="668"/>
      <c r="F4900" s="668"/>
      <c r="G4900" s="668"/>
      <c r="H4900" s="668"/>
      <c r="I4900" s="668"/>
      <c r="J4900" s="668"/>
      <c r="K4900" s="668"/>
      <c r="L4900" s="668"/>
      <c r="M4900" s="668"/>
    </row>
    <row r="4901" spans="5:13">
      <c r="E4901" s="668"/>
      <c r="F4901" s="668"/>
      <c r="G4901" s="668"/>
      <c r="H4901" s="668"/>
      <c r="I4901" s="668"/>
      <c r="J4901" s="668"/>
      <c r="K4901" s="668"/>
      <c r="L4901" s="668"/>
      <c r="M4901" s="668"/>
    </row>
    <row r="4902" spans="5:13">
      <c r="E4902" s="668"/>
      <c r="F4902" s="668"/>
      <c r="G4902" s="668"/>
      <c r="H4902" s="668"/>
      <c r="I4902" s="668"/>
      <c r="J4902" s="668"/>
      <c r="K4902" s="668"/>
      <c r="L4902" s="668"/>
      <c r="M4902" s="668"/>
    </row>
    <row r="4903" spans="5:13">
      <c r="E4903" s="668"/>
      <c r="F4903" s="668"/>
      <c r="G4903" s="668"/>
      <c r="H4903" s="668"/>
      <c r="I4903" s="668"/>
      <c r="J4903" s="668"/>
      <c r="K4903" s="668"/>
      <c r="L4903" s="668"/>
      <c r="M4903" s="668"/>
    </row>
    <row r="4904" spans="5:13">
      <c r="E4904" s="668"/>
      <c r="F4904" s="668"/>
      <c r="G4904" s="668"/>
      <c r="H4904" s="668"/>
      <c r="I4904" s="668"/>
      <c r="J4904" s="668"/>
      <c r="K4904" s="668"/>
      <c r="L4904" s="668"/>
      <c r="M4904" s="668"/>
    </row>
    <row r="4905" spans="5:13">
      <c r="E4905" s="668"/>
      <c r="F4905" s="668"/>
      <c r="G4905" s="668"/>
      <c r="H4905" s="668"/>
      <c r="I4905" s="668"/>
      <c r="J4905" s="668"/>
      <c r="K4905" s="668"/>
      <c r="L4905" s="668"/>
      <c r="M4905" s="668"/>
    </row>
    <row r="4906" spans="5:13">
      <c r="E4906" s="668"/>
      <c r="F4906" s="668"/>
      <c r="G4906" s="668"/>
      <c r="H4906" s="668"/>
      <c r="I4906" s="668"/>
      <c r="J4906" s="668"/>
      <c r="K4906" s="668"/>
      <c r="L4906" s="668"/>
      <c r="M4906" s="668"/>
    </row>
    <row r="4907" spans="5:13">
      <c r="E4907" s="668"/>
      <c r="F4907" s="668"/>
      <c r="G4907" s="668"/>
      <c r="H4907" s="668"/>
      <c r="I4907" s="668"/>
      <c r="J4907" s="668"/>
      <c r="K4907" s="668"/>
      <c r="L4907" s="668"/>
      <c r="M4907" s="668"/>
    </row>
    <row r="4908" spans="5:13">
      <c r="E4908" s="668"/>
      <c r="F4908" s="668"/>
      <c r="G4908" s="668"/>
      <c r="H4908" s="668"/>
      <c r="I4908" s="668"/>
      <c r="J4908" s="668"/>
      <c r="K4908" s="668"/>
      <c r="L4908" s="668"/>
      <c r="M4908" s="668"/>
    </row>
    <row r="4909" spans="5:13">
      <c r="E4909" s="668"/>
      <c r="F4909" s="668"/>
      <c r="G4909" s="668"/>
      <c r="H4909" s="668"/>
      <c r="I4909" s="668"/>
      <c r="J4909" s="668"/>
      <c r="K4909" s="668"/>
      <c r="L4909" s="668"/>
      <c r="M4909" s="668"/>
    </row>
    <row r="4910" spans="5:13">
      <c r="E4910" s="668"/>
      <c r="F4910" s="668"/>
      <c r="G4910" s="668"/>
      <c r="H4910" s="668"/>
      <c r="I4910" s="668"/>
      <c r="J4910" s="668"/>
      <c r="K4910" s="668"/>
      <c r="L4910" s="668"/>
      <c r="M4910" s="668"/>
    </row>
    <row r="4911" spans="5:13">
      <c r="E4911" s="668"/>
      <c r="F4911" s="668"/>
      <c r="G4911" s="668"/>
      <c r="H4911" s="668"/>
      <c r="I4911" s="668"/>
      <c r="J4911" s="668"/>
      <c r="K4911" s="668"/>
      <c r="L4911" s="668"/>
      <c r="M4911" s="668"/>
    </row>
    <row r="4912" spans="5:13">
      <c r="E4912" s="668"/>
      <c r="F4912" s="668"/>
      <c r="G4912" s="668"/>
      <c r="H4912" s="668"/>
      <c r="I4912" s="668"/>
      <c r="J4912" s="668"/>
      <c r="K4912" s="668"/>
      <c r="L4912" s="668"/>
      <c r="M4912" s="668"/>
    </row>
    <row r="4913" spans="5:13">
      <c r="E4913" s="668"/>
      <c r="F4913" s="668"/>
      <c r="G4913" s="668"/>
      <c r="H4913" s="668"/>
      <c r="I4913" s="668"/>
      <c r="J4913" s="668"/>
      <c r="K4913" s="668"/>
      <c r="L4913" s="668"/>
      <c r="M4913" s="668"/>
    </row>
    <row r="4914" spans="5:13">
      <c r="E4914" s="668"/>
      <c r="F4914" s="668"/>
      <c r="G4914" s="668"/>
      <c r="H4914" s="668"/>
      <c r="I4914" s="668"/>
      <c r="J4914" s="668"/>
      <c r="K4914" s="668"/>
      <c r="L4914" s="668"/>
      <c r="M4914" s="668"/>
    </row>
    <row r="4915" spans="5:13">
      <c r="E4915" s="668"/>
      <c r="F4915" s="668"/>
      <c r="G4915" s="668"/>
      <c r="H4915" s="668"/>
      <c r="I4915" s="668"/>
      <c r="J4915" s="668"/>
      <c r="K4915" s="668"/>
      <c r="L4915" s="668"/>
      <c r="M4915" s="668"/>
    </row>
    <row r="4916" spans="5:13">
      <c r="E4916" s="668"/>
      <c r="F4916" s="668"/>
      <c r="G4916" s="668"/>
      <c r="H4916" s="668"/>
      <c r="I4916" s="668"/>
      <c r="J4916" s="668"/>
      <c r="K4916" s="668"/>
      <c r="L4916" s="668"/>
      <c r="M4916" s="668"/>
    </row>
    <row r="4917" spans="5:13">
      <c r="E4917" s="668"/>
      <c r="F4917" s="668"/>
      <c r="G4917" s="668"/>
      <c r="H4917" s="668"/>
      <c r="I4917" s="668"/>
      <c r="J4917" s="668"/>
      <c r="K4917" s="668"/>
      <c r="L4917" s="668"/>
      <c r="M4917" s="668"/>
    </row>
    <row r="4918" spans="5:13">
      <c r="E4918" s="668"/>
      <c r="F4918" s="668"/>
      <c r="G4918" s="668"/>
      <c r="H4918" s="668"/>
      <c r="I4918" s="668"/>
      <c r="J4918" s="668"/>
      <c r="K4918" s="668"/>
      <c r="L4918" s="668"/>
      <c r="M4918" s="668"/>
    </row>
    <row r="4919" spans="5:13">
      <c r="E4919" s="668"/>
      <c r="F4919" s="668"/>
      <c r="G4919" s="668"/>
      <c r="H4919" s="668"/>
      <c r="I4919" s="668"/>
      <c r="J4919" s="668"/>
      <c r="K4919" s="668"/>
      <c r="L4919" s="668"/>
      <c r="M4919" s="668"/>
    </row>
    <row r="4920" spans="5:13">
      <c r="E4920" s="668"/>
      <c r="F4920" s="668"/>
      <c r="G4920" s="668"/>
      <c r="H4920" s="668"/>
      <c r="I4920" s="668"/>
      <c r="J4920" s="668"/>
      <c r="K4920" s="668"/>
      <c r="L4920" s="668"/>
      <c r="M4920" s="668"/>
    </row>
    <row r="4921" spans="5:13">
      <c r="E4921" s="668"/>
      <c r="F4921" s="668"/>
      <c r="G4921" s="668"/>
      <c r="H4921" s="668"/>
      <c r="I4921" s="668"/>
      <c r="J4921" s="668"/>
      <c r="K4921" s="668"/>
      <c r="L4921" s="668"/>
      <c r="M4921" s="668"/>
    </row>
    <row r="4922" spans="5:13">
      <c r="E4922" s="668"/>
      <c r="F4922" s="668"/>
      <c r="G4922" s="668"/>
      <c r="H4922" s="668"/>
      <c r="I4922" s="668"/>
      <c r="J4922" s="668"/>
      <c r="K4922" s="668"/>
      <c r="L4922" s="668"/>
      <c r="M4922" s="668"/>
    </row>
    <row r="4923" spans="5:13">
      <c r="E4923" s="668"/>
      <c r="F4923" s="668"/>
      <c r="G4923" s="668"/>
      <c r="H4923" s="668"/>
      <c r="I4923" s="668"/>
      <c r="J4923" s="668"/>
      <c r="K4923" s="668"/>
      <c r="L4923" s="668"/>
      <c r="M4923" s="668"/>
    </row>
    <row r="4924" spans="5:13">
      <c r="E4924" s="668"/>
      <c r="F4924" s="668"/>
      <c r="G4924" s="668"/>
      <c r="H4924" s="668"/>
      <c r="I4924" s="668"/>
      <c r="J4924" s="668"/>
      <c r="K4924" s="668"/>
      <c r="L4924" s="668"/>
      <c r="M4924" s="668"/>
    </row>
    <row r="4925" spans="5:13">
      <c r="E4925" s="668"/>
      <c r="F4925" s="668"/>
      <c r="G4925" s="668"/>
      <c r="H4925" s="668"/>
      <c r="I4925" s="668"/>
      <c r="J4925" s="668"/>
      <c r="K4925" s="668"/>
      <c r="L4925" s="668"/>
      <c r="M4925" s="668"/>
    </row>
    <row r="4926" spans="5:13">
      <c r="E4926" s="668"/>
      <c r="F4926" s="668"/>
      <c r="G4926" s="668"/>
      <c r="H4926" s="668"/>
      <c r="I4926" s="668"/>
      <c r="J4926" s="668"/>
      <c r="K4926" s="668"/>
      <c r="L4926" s="668"/>
      <c r="M4926" s="668"/>
    </row>
    <row r="4927" spans="5:13">
      <c r="E4927" s="668"/>
      <c r="F4927" s="668"/>
      <c r="G4927" s="668"/>
      <c r="H4927" s="668"/>
      <c r="I4927" s="668"/>
      <c r="J4927" s="668"/>
      <c r="K4927" s="668"/>
      <c r="L4927" s="668"/>
      <c r="M4927" s="668"/>
    </row>
    <row r="4928" spans="5:13">
      <c r="E4928" s="668"/>
      <c r="F4928" s="668"/>
      <c r="G4928" s="668"/>
      <c r="H4928" s="668"/>
      <c r="I4928" s="668"/>
      <c r="J4928" s="668"/>
      <c r="K4928" s="668"/>
      <c r="L4928" s="668"/>
      <c r="M4928" s="668"/>
    </row>
    <row r="4929" spans="5:13">
      <c r="E4929" s="668"/>
      <c r="F4929" s="668"/>
      <c r="G4929" s="668"/>
      <c r="H4929" s="668"/>
      <c r="I4929" s="668"/>
      <c r="J4929" s="668"/>
      <c r="K4929" s="668"/>
      <c r="L4929" s="668"/>
      <c r="M4929" s="668"/>
    </row>
    <row r="4930" spans="5:13">
      <c r="E4930" s="668"/>
      <c r="F4930" s="668"/>
      <c r="G4930" s="668"/>
      <c r="H4930" s="668"/>
      <c r="I4930" s="668"/>
      <c r="J4930" s="668"/>
      <c r="K4930" s="668"/>
      <c r="L4930" s="668"/>
      <c r="M4930" s="668"/>
    </row>
    <row r="4931" spans="5:13">
      <c r="E4931" s="668"/>
      <c r="F4931" s="668"/>
      <c r="G4931" s="668"/>
      <c r="H4931" s="668"/>
      <c r="I4931" s="668"/>
      <c r="J4931" s="668"/>
      <c r="K4931" s="668"/>
      <c r="L4931" s="668"/>
      <c r="M4931" s="668"/>
    </row>
    <row r="4932" spans="5:13">
      <c r="E4932" s="668"/>
      <c r="F4932" s="668"/>
      <c r="G4932" s="668"/>
      <c r="H4932" s="668"/>
      <c r="I4932" s="668"/>
      <c r="J4932" s="668"/>
      <c r="K4932" s="668"/>
      <c r="L4932" s="668"/>
      <c r="M4932" s="668"/>
    </row>
    <row r="4933" spans="5:13">
      <c r="E4933" s="668"/>
      <c r="F4933" s="668"/>
      <c r="G4933" s="668"/>
      <c r="H4933" s="668"/>
      <c r="I4933" s="668"/>
      <c r="J4933" s="668"/>
      <c r="K4933" s="668"/>
      <c r="L4933" s="668"/>
      <c r="M4933" s="668"/>
    </row>
    <row r="4934" spans="5:13">
      <c r="E4934" s="668"/>
      <c r="F4934" s="668"/>
      <c r="G4934" s="668"/>
      <c r="H4934" s="668"/>
      <c r="I4934" s="668"/>
      <c r="J4934" s="668"/>
      <c r="K4934" s="668"/>
      <c r="L4934" s="668"/>
      <c r="M4934" s="668"/>
    </row>
    <row r="4935" spans="5:13">
      <c r="E4935" s="668"/>
      <c r="F4935" s="668"/>
      <c r="G4935" s="668"/>
      <c r="H4935" s="668"/>
      <c r="I4935" s="668"/>
      <c r="J4935" s="668"/>
      <c r="K4935" s="668"/>
      <c r="L4935" s="668"/>
      <c r="M4935" s="668"/>
    </row>
    <row r="4936" spans="5:13">
      <c r="E4936" s="668"/>
      <c r="F4936" s="668"/>
      <c r="G4936" s="668"/>
      <c r="H4936" s="668"/>
      <c r="I4936" s="668"/>
      <c r="J4936" s="668"/>
      <c r="K4936" s="668"/>
      <c r="L4936" s="668"/>
      <c r="M4936" s="668"/>
    </row>
    <row r="4937" spans="5:13">
      <c r="E4937" s="668"/>
      <c r="F4937" s="668"/>
      <c r="G4937" s="668"/>
      <c r="H4937" s="668"/>
      <c r="I4937" s="668"/>
      <c r="J4937" s="668"/>
      <c r="K4937" s="668"/>
      <c r="L4937" s="668"/>
      <c r="M4937" s="668"/>
    </row>
    <row r="4938" spans="5:13">
      <c r="E4938" s="668"/>
      <c r="F4938" s="668"/>
      <c r="G4938" s="668"/>
      <c r="H4938" s="668"/>
      <c r="I4938" s="668"/>
      <c r="J4938" s="668"/>
      <c r="K4938" s="668"/>
      <c r="L4938" s="668"/>
      <c r="M4938" s="668"/>
    </row>
    <row r="4939" spans="5:13">
      <c r="E4939" s="668"/>
      <c r="F4939" s="668"/>
      <c r="G4939" s="668"/>
      <c r="H4939" s="668"/>
      <c r="I4939" s="668"/>
      <c r="J4939" s="668"/>
      <c r="K4939" s="668"/>
      <c r="L4939" s="668"/>
      <c r="M4939" s="668"/>
    </row>
    <row r="4940" spans="5:13">
      <c r="E4940" s="668"/>
      <c r="F4940" s="668"/>
      <c r="G4940" s="668"/>
      <c r="H4940" s="668"/>
      <c r="I4940" s="668"/>
      <c r="J4940" s="668"/>
      <c r="K4940" s="668"/>
      <c r="L4940" s="668"/>
      <c r="M4940" s="668"/>
    </row>
    <row r="4941" spans="5:13">
      <c r="E4941" s="668"/>
      <c r="F4941" s="668"/>
      <c r="G4941" s="668"/>
      <c r="H4941" s="668"/>
      <c r="I4941" s="668"/>
      <c r="J4941" s="668"/>
      <c r="K4941" s="668"/>
      <c r="L4941" s="668"/>
      <c r="M4941" s="668"/>
    </row>
    <row r="4942" spans="5:13">
      <c r="E4942" s="668"/>
      <c r="F4942" s="668"/>
      <c r="G4942" s="668"/>
      <c r="H4942" s="668"/>
      <c r="I4942" s="668"/>
      <c r="J4942" s="668"/>
      <c r="K4942" s="668"/>
      <c r="L4942" s="668"/>
      <c r="M4942" s="668"/>
    </row>
    <row r="4943" spans="5:13">
      <c r="E4943" s="668"/>
      <c r="F4943" s="668"/>
      <c r="G4943" s="668"/>
      <c r="H4943" s="668"/>
      <c r="I4943" s="668"/>
      <c r="J4943" s="668"/>
      <c r="K4943" s="668"/>
      <c r="L4943" s="668"/>
      <c r="M4943" s="668"/>
    </row>
    <row r="4944" spans="5:13">
      <c r="E4944" s="668"/>
      <c r="F4944" s="668"/>
      <c r="G4944" s="668"/>
      <c r="H4944" s="668"/>
      <c r="I4944" s="668"/>
      <c r="J4944" s="668"/>
      <c r="K4944" s="668"/>
      <c r="L4944" s="668"/>
      <c r="M4944" s="668"/>
    </row>
    <row r="4945" spans="5:13">
      <c r="E4945" s="668"/>
      <c r="F4945" s="668"/>
      <c r="G4945" s="668"/>
      <c r="H4945" s="668"/>
      <c r="I4945" s="668"/>
      <c r="J4945" s="668"/>
      <c r="K4945" s="668"/>
      <c r="L4945" s="668"/>
      <c r="M4945" s="668"/>
    </row>
    <row r="4946" spans="5:13">
      <c r="E4946" s="668"/>
      <c r="F4946" s="668"/>
      <c r="G4946" s="668"/>
      <c r="H4946" s="668"/>
      <c r="I4946" s="668"/>
      <c r="J4946" s="668"/>
      <c r="K4946" s="668"/>
      <c r="L4946" s="668"/>
      <c r="M4946" s="668"/>
    </row>
    <row r="4947" spans="5:13">
      <c r="E4947" s="668"/>
      <c r="F4947" s="668"/>
      <c r="G4947" s="668"/>
      <c r="H4947" s="668"/>
      <c r="I4947" s="668"/>
      <c r="J4947" s="668"/>
      <c r="K4947" s="668"/>
      <c r="L4947" s="668"/>
      <c r="M4947" s="668"/>
    </row>
    <row r="4948" spans="5:13">
      <c r="E4948" s="668"/>
      <c r="F4948" s="668"/>
      <c r="G4948" s="668"/>
      <c r="H4948" s="668"/>
      <c r="I4948" s="668"/>
      <c r="J4948" s="668"/>
      <c r="K4948" s="668"/>
      <c r="L4948" s="668"/>
      <c r="M4948" s="668"/>
    </row>
    <row r="4949" spans="5:13">
      <c r="E4949" s="668"/>
      <c r="F4949" s="668"/>
      <c r="G4949" s="668"/>
      <c r="H4949" s="668"/>
      <c r="I4949" s="668"/>
      <c r="J4949" s="668"/>
      <c r="K4949" s="668"/>
      <c r="L4949" s="668"/>
      <c r="M4949" s="668"/>
    </row>
    <row r="4950" spans="5:13">
      <c r="E4950" s="668"/>
      <c r="F4950" s="668"/>
      <c r="G4950" s="668"/>
      <c r="H4950" s="668"/>
      <c r="I4950" s="668"/>
      <c r="J4950" s="668"/>
      <c r="K4950" s="668"/>
      <c r="L4950" s="668"/>
      <c r="M4950" s="668"/>
    </row>
    <row r="4951" spans="5:13">
      <c r="E4951" s="668"/>
      <c r="F4951" s="668"/>
      <c r="G4951" s="668"/>
      <c r="H4951" s="668"/>
      <c r="I4951" s="668"/>
      <c r="J4951" s="668"/>
      <c r="K4951" s="668"/>
      <c r="L4951" s="668"/>
      <c r="M4951" s="668"/>
    </row>
    <row r="4952" spans="5:13">
      <c r="E4952" s="668"/>
      <c r="F4952" s="668"/>
      <c r="G4952" s="668"/>
      <c r="H4952" s="668"/>
      <c r="I4952" s="668"/>
      <c r="J4952" s="668"/>
      <c r="K4952" s="668"/>
      <c r="L4952" s="668"/>
      <c r="M4952" s="668"/>
    </row>
    <row r="4953" spans="5:13">
      <c r="E4953" s="668"/>
      <c r="F4953" s="668"/>
      <c r="G4953" s="668"/>
      <c r="H4953" s="668"/>
      <c r="I4953" s="668"/>
      <c r="J4953" s="668"/>
      <c r="K4953" s="668"/>
      <c r="L4953" s="668"/>
      <c r="M4953" s="668"/>
    </row>
    <row r="4954" spans="5:13">
      <c r="E4954" s="668"/>
      <c r="F4954" s="668"/>
      <c r="G4954" s="668"/>
      <c r="H4954" s="668"/>
      <c r="I4954" s="668"/>
      <c r="J4954" s="668"/>
      <c r="K4954" s="668"/>
      <c r="L4954" s="668"/>
      <c r="M4954" s="668"/>
    </row>
    <row r="4955" spans="5:13">
      <c r="E4955" s="668"/>
      <c r="F4955" s="668"/>
      <c r="G4955" s="668"/>
      <c r="H4955" s="668"/>
      <c r="I4955" s="668"/>
      <c r="J4955" s="668"/>
      <c r="K4955" s="668"/>
      <c r="L4955" s="668"/>
      <c r="M4955" s="668"/>
    </row>
    <row r="4956" spans="5:13">
      <c r="E4956" s="668"/>
      <c r="F4956" s="668"/>
      <c r="G4956" s="668"/>
      <c r="H4956" s="668"/>
      <c r="I4956" s="668"/>
      <c r="J4956" s="668"/>
      <c r="K4956" s="668"/>
      <c r="L4956" s="668"/>
      <c r="M4956" s="668"/>
    </row>
    <row r="4957" spans="5:13">
      <c r="E4957" s="668"/>
      <c r="F4957" s="668"/>
      <c r="G4957" s="668"/>
      <c r="H4957" s="668"/>
      <c r="I4957" s="668"/>
      <c r="J4957" s="668"/>
      <c r="K4957" s="668"/>
      <c r="L4957" s="668"/>
      <c r="M4957" s="668"/>
    </row>
    <row r="4958" spans="5:13">
      <c r="E4958" s="668"/>
      <c r="F4958" s="668"/>
      <c r="G4958" s="668"/>
      <c r="H4958" s="668"/>
      <c r="I4958" s="668"/>
      <c r="J4958" s="668"/>
      <c r="K4958" s="668"/>
      <c r="L4958" s="668"/>
      <c r="M4958" s="668"/>
    </row>
    <row r="4959" spans="5:13">
      <c r="E4959" s="668"/>
      <c r="F4959" s="668"/>
      <c r="G4959" s="668"/>
      <c r="H4959" s="668"/>
      <c r="I4959" s="668"/>
      <c r="J4959" s="668"/>
      <c r="K4959" s="668"/>
      <c r="L4959" s="668"/>
      <c r="M4959" s="668"/>
    </row>
    <row r="4960" spans="5:13">
      <c r="E4960" s="668"/>
      <c r="F4960" s="668"/>
      <c r="G4960" s="668"/>
      <c r="H4960" s="668"/>
      <c r="I4960" s="668"/>
      <c r="J4960" s="668"/>
      <c r="K4960" s="668"/>
      <c r="L4960" s="668"/>
      <c r="M4960" s="668"/>
    </row>
    <row r="4961" spans="5:13">
      <c r="E4961" s="668"/>
      <c r="F4961" s="668"/>
      <c r="G4961" s="668"/>
      <c r="H4961" s="668"/>
      <c r="I4961" s="668"/>
      <c r="J4961" s="668"/>
      <c r="K4961" s="668"/>
      <c r="L4961" s="668"/>
      <c r="M4961" s="668"/>
    </row>
    <row r="4962" spans="5:13">
      <c r="E4962" s="668"/>
      <c r="F4962" s="668"/>
      <c r="G4962" s="668"/>
      <c r="H4962" s="668"/>
      <c r="I4962" s="668"/>
      <c r="J4962" s="668"/>
      <c r="K4962" s="668"/>
      <c r="L4962" s="668"/>
      <c r="M4962" s="668"/>
    </row>
    <row r="4963" spans="5:13">
      <c r="E4963" s="668"/>
      <c r="F4963" s="668"/>
      <c r="G4963" s="668"/>
      <c r="H4963" s="668"/>
      <c r="I4963" s="668"/>
      <c r="J4963" s="668"/>
      <c r="K4963" s="668"/>
      <c r="L4963" s="668"/>
      <c r="M4963" s="668"/>
    </row>
    <row r="4964" spans="5:13">
      <c r="E4964" s="668"/>
      <c r="F4964" s="668"/>
      <c r="G4964" s="668"/>
      <c r="H4964" s="668"/>
      <c r="I4964" s="668"/>
      <c r="J4964" s="668"/>
      <c r="K4964" s="668"/>
      <c r="L4964" s="668"/>
      <c r="M4964" s="668"/>
    </row>
    <row r="4965" spans="5:13">
      <c r="E4965" s="668"/>
      <c r="F4965" s="668"/>
      <c r="G4965" s="668"/>
      <c r="H4965" s="668"/>
      <c r="I4965" s="668"/>
      <c r="J4965" s="668"/>
      <c r="K4965" s="668"/>
      <c r="L4965" s="668"/>
      <c r="M4965" s="668"/>
    </row>
    <row r="4966" spans="5:13">
      <c r="E4966" s="668"/>
      <c r="F4966" s="668"/>
      <c r="G4966" s="668"/>
      <c r="H4966" s="668"/>
      <c r="I4966" s="668"/>
      <c r="J4966" s="668"/>
      <c r="K4966" s="668"/>
      <c r="L4966" s="668"/>
      <c r="M4966" s="668"/>
    </row>
    <row r="4967" spans="5:13">
      <c r="E4967" s="668"/>
      <c r="F4967" s="668"/>
      <c r="G4967" s="668"/>
      <c r="H4967" s="668"/>
      <c r="I4967" s="668"/>
      <c r="J4967" s="668"/>
      <c r="K4967" s="668"/>
      <c r="L4967" s="668"/>
      <c r="M4967" s="668"/>
    </row>
    <row r="4968" spans="5:13">
      <c r="E4968" s="668"/>
      <c r="F4968" s="668"/>
      <c r="G4968" s="668"/>
      <c r="H4968" s="668"/>
      <c r="I4968" s="668"/>
      <c r="J4968" s="668"/>
      <c r="K4968" s="668"/>
      <c r="L4968" s="668"/>
      <c r="M4968" s="668"/>
    </row>
    <row r="4969" spans="5:13">
      <c r="E4969" s="668"/>
      <c r="F4969" s="668"/>
      <c r="G4969" s="668"/>
      <c r="H4969" s="668"/>
      <c r="I4969" s="668"/>
      <c r="J4969" s="668"/>
      <c r="K4969" s="668"/>
      <c r="L4969" s="668"/>
      <c r="M4969" s="668"/>
    </row>
    <row r="4970" spans="5:13">
      <c r="E4970" s="668"/>
      <c r="F4970" s="668"/>
      <c r="G4970" s="668"/>
      <c r="H4970" s="668"/>
      <c r="I4970" s="668"/>
      <c r="J4970" s="668"/>
      <c r="K4970" s="668"/>
      <c r="L4970" s="668"/>
      <c r="M4970" s="668"/>
    </row>
    <row r="4971" spans="5:13">
      <c r="E4971" s="668"/>
      <c r="F4971" s="668"/>
      <c r="G4971" s="668"/>
      <c r="H4971" s="668"/>
      <c r="I4971" s="668"/>
      <c r="J4971" s="668"/>
      <c r="K4971" s="668"/>
      <c r="L4971" s="668"/>
      <c r="M4971" s="668"/>
    </row>
    <row r="4972" spans="5:13">
      <c r="E4972" s="668"/>
      <c r="F4972" s="668"/>
      <c r="G4972" s="668"/>
      <c r="H4972" s="668"/>
      <c r="I4972" s="668"/>
      <c r="J4972" s="668"/>
      <c r="K4972" s="668"/>
      <c r="L4972" s="668"/>
      <c r="M4972" s="668"/>
    </row>
    <row r="4973" spans="5:13">
      <c r="E4973" s="668"/>
      <c r="F4973" s="668"/>
      <c r="G4973" s="668"/>
      <c r="H4973" s="668"/>
      <c r="I4973" s="668"/>
      <c r="J4973" s="668"/>
      <c r="K4973" s="668"/>
      <c r="L4973" s="668"/>
      <c r="M4973" s="668"/>
    </row>
    <row r="4974" spans="5:13">
      <c r="E4974" s="668"/>
      <c r="F4974" s="668"/>
      <c r="G4974" s="668"/>
      <c r="H4974" s="668"/>
      <c r="I4974" s="668"/>
      <c r="J4974" s="668"/>
      <c r="K4974" s="668"/>
      <c r="L4974" s="668"/>
      <c r="M4974" s="668"/>
    </row>
    <row r="4975" spans="5:13">
      <c r="E4975" s="668"/>
      <c r="F4975" s="668"/>
      <c r="G4975" s="668"/>
      <c r="H4975" s="668"/>
      <c r="I4975" s="668"/>
      <c r="J4975" s="668"/>
      <c r="K4975" s="668"/>
      <c r="L4975" s="668"/>
      <c r="M4975" s="668"/>
    </row>
    <row r="4976" spans="5:13">
      <c r="E4976" s="668"/>
      <c r="F4976" s="668"/>
      <c r="G4976" s="668"/>
      <c r="H4976" s="668"/>
      <c r="I4976" s="668"/>
      <c r="J4976" s="668"/>
      <c r="K4976" s="668"/>
      <c r="L4976" s="668"/>
      <c r="M4976" s="668"/>
    </row>
    <row r="4977" spans="5:13">
      <c r="E4977" s="668"/>
      <c r="F4977" s="668"/>
      <c r="G4977" s="668"/>
      <c r="H4977" s="668"/>
      <c r="I4977" s="668"/>
      <c r="J4977" s="668"/>
      <c r="K4977" s="668"/>
      <c r="L4977" s="668"/>
      <c r="M4977" s="668"/>
    </row>
    <row r="4978" spans="5:13">
      <c r="E4978" s="668"/>
      <c r="F4978" s="668"/>
      <c r="G4978" s="668"/>
      <c r="H4978" s="668"/>
      <c r="I4978" s="668"/>
      <c r="J4978" s="668"/>
      <c r="K4978" s="668"/>
      <c r="L4978" s="668"/>
      <c r="M4978" s="668"/>
    </row>
    <row r="4979" spans="5:13">
      <c r="E4979" s="668"/>
      <c r="F4979" s="668"/>
      <c r="G4979" s="668"/>
      <c r="H4979" s="668"/>
      <c r="I4979" s="668"/>
      <c r="J4979" s="668"/>
      <c r="K4979" s="668"/>
      <c r="L4979" s="668"/>
      <c r="M4979" s="668"/>
    </row>
    <row r="4980" spans="5:13">
      <c r="E4980" s="668"/>
      <c r="F4980" s="668"/>
      <c r="G4980" s="668"/>
      <c r="H4980" s="668"/>
      <c r="I4980" s="668"/>
      <c r="J4980" s="668"/>
      <c r="K4980" s="668"/>
      <c r="L4980" s="668"/>
      <c r="M4980" s="668"/>
    </row>
    <row r="4981" spans="5:13">
      <c r="E4981" s="668"/>
      <c r="F4981" s="668"/>
      <c r="G4981" s="668"/>
      <c r="H4981" s="668"/>
      <c r="I4981" s="668"/>
      <c r="J4981" s="668"/>
      <c r="K4981" s="668"/>
      <c r="L4981" s="668"/>
      <c r="M4981" s="668"/>
    </row>
    <row r="4982" spans="5:13">
      <c r="E4982" s="668"/>
      <c r="F4982" s="668"/>
      <c r="G4982" s="668"/>
      <c r="H4982" s="668"/>
      <c r="I4982" s="668"/>
      <c r="J4982" s="668"/>
      <c r="K4982" s="668"/>
      <c r="L4982" s="668"/>
      <c r="M4982" s="668"/>
    </row>
    <row r="4983" spans="5:13">
      <c r="E4983" s="668"/>
      <c r="F4983" s="668"/>
      <c r="G4983" s="668"/>
      <c r="H4983" s="668"/>
      <c r="I4983" s="668"/>
      <c r="J4983" s="668"/>
      <c r="K4983" s="668"/>
      <c r="L4983" s="668"/>
      <c r="M4983" s="668"/>
    </row>
    <row r="4984" spans="5:13">
      <c r="E4984" s="668"/>
      <c r="F4984" s="668"/>
      <c r="G4984" s="668"/>
      <c r="H4984" s="668"/>
      <c r="I4984" s="668"/>
      <c r="J4984" s="668"/>
      <c r="K4984" s="668"/>
      <c r="L4984" s="668"/>
      <c r="M4984" s="668"/>
    </row>
    <row r="4985" spans="5:13">
      <c r="E4985" s="668"/>
      <c r="F4985" s="668"/>
      <c r="G4985" s="668"/>
      <c r="H4985" s="668"/>
      <c r="I4985" s="668"/>
      <c r="J4985" s="668"/>
      <c r="K4985" s="668"/>
      <c r="L4985" s="668"/>
      <c r="M4985" s="668"/>
    </row>
    <row r="4986" spans="5:13">
      <c r="E4986" s="668"/>
      <c r="F4986" s="668"/>
      <c r="G4986" s="668"/>
      <c r="H4986" s="668"/>
      <c r="I4986" s="668"/>
      <c r="J4986" s="668"/>
      <c r="K4986" s="668"/>
      <c r="L4986" s="668"/>
      <c r="M4986" s="668"/>
    </row>
    <row r="4987" spans="5:13">
      <c r="E4987" s="668"/>
      <c r="F4987" s="668"/>
      <c r="G4987" s="668"/>
      <c r="H4987" s="668"/>
      <c r="I4987" s="668"/>
      <c r="J4987" s="668"/>
      <c r="K4987" s="668"/>
      <c r="L4987" s="668"/>
      <c r="M4987" s="668"/>
    </row>
    <row r="4988" spans="5:13">
      <c r="E4988" s="668"/>
      <c r="F4988" s="668"/>
      <c r="G4988" s="668"/>
      <c r="H4988" s="668"/>
      <c r="I4988" s="668"/>
      <c r="J4988" s="668"/>
      <c r="K4988" s="668"/>
      <c r="L4988" s="668"/>
      <c r="M4988" s="668"/>
    </row>
    <row r="4989" spans="5:13">
      <c r="E4989" s="668"/>
      <c r="F4989" s="668"/>
      <c r="G4989" s="668"/>
      <c r="H4989" s="668"/>
      <c r="I4989" s="668"/>
      <c r="J4989" s="668"/>
      <c r="K4989" s="668"/>
      <c r="L4989" s="668"/>
      <c r="M4989" s="668"/>
    </row>
    <row r="4990" spans="5:13">
      <c r="E4990" s="668"/>
      <c r="F4990" s="668"/>
      <c r="G4990" s="668"/>
      <c r="H4990" s="668"/>
      <c r="I4990" s="668"/>
      <c r="J4990" s="668"/>
      <c r="K4990" s="668"/>
      <c r="L4990" s="668"/>
      <c r="M4990" s="668"/>
    </row>
    <row r="4991" spans="5:13">
      <c r="E4991" s="668"/>
      <c r="F4991" s="668"/>
      <c r="G4991" s="668"/>
      <c r="H4991" s="668"/>
      <c r="I4991" s="668"/>
      <c r="J4991" s="668"/>
      <c r="K4991" s="668"/>
      <c r="L4991" s="668"/>
      <c r="M4991" s="668"/>
    </row>
    <row r="4992" spans="5:13">
      <c r="E4992" s="668"/>
      <c r="F4992" s="668"/>
      <c r="G4992" s="668"/>
      <c r="H4992" s="668"/>
      <c r="I4992" s="668"/>
      <c r="J4992" s="668"/>
      <c r="K4992" s="668"/>
      <c r="L4992" s="668"/>
      <c r="M4992" s="668"/>
    </row>
    <row r="4993" spans="5:13">
      <c r="E4993" s="668"/>
      <c r="F4993" s="668"/>
      <c r="G4993" s="668"/>
      <c r="H4993" s="668"/>
      <c r="I4993" s="668"/>
      <c r="J4993" s="668"/>
      <c r="K4993" s="668"/>
      <c r="L4993" s="668"/>
      <c r="M4993" s="668"/>
    </row>
    <row r="4994" spans="5:13">
      <c r="E4994" s="668"/>
      <c r="F4994" s="668"/>
      <c r="G4994" s="668"/>
      <c r="H4994" s="668"/>
      <c r="I4994" s="668"/>
      <c r="J4994" s="668"/>
      <c r="K4994" s="668"/>
      <c r="L4994" s="668"/>
      <c r="M4994" s="668"/>
    </row>
    <row r="4995" spans="5:13">
      <c r="E4995" s="668"/>
      <c r="F4995" s="668"/>
      <c r="G4995" s="668"/>
      <c r="H4995" s="668"/>
      <c r="I4995" s="668"/>
      <c r="J4995" s="668"/>
      <c r="K4995" s="668"/>
      <c r="L4995" s="668"/>
      <c r="M4995" s="668"/>
    </row>
    <row r="4996" spans="5:13">
      <c r="E4996" s="668"/>
      <c r="F4996" s="668"/>
      <c r="G4996" s="668"/>
      <c r="H4996" s="668"/>
      <c r="I4996" s="668"/>
      <c r="J4996" s="668"/>
      <c r="K4996" s="668"/>
      <c r="L4996" s="668"/>
      <c r="M4996" s="668"/>
    </row>
    <row r="4997" spans="5:13">
      <c r="E4997" s="668"/>
      <c r="F4997" s="668"/>
      <c r="G4997" s="668"/>
      <c r="H4997" s="668"/>
      <c r="I4997" s="668"/>
      <c r="J4997" s="668"/>
      <c r="K4997" s="668"/>
      <c r="L4997" s="668"/>
      <c r="M4997" s="668"/>
    </row>
    <row r="4998" spans="5:13">
      <c r="E4998" s="668"/>
      <c r="F4998" s="668"/>
      <c r="G4998" s="668"/>
      <c r="H4998" s="668"/>
      <c r="I4998" s="668"/>
      <c r="J4998" s="668"/>
      <c r="K4998" s="668"/>
      <c r="L4998" s="668"/>
      <c r="M4998" s="668"/>
    </row>
    <row r="4999" spans="5:13">
      <c r="E4999" s="668"/>
      <c r="F4999" s="668"/>
      <c r="G4999" s="668"/>
      <c r="H4999" s="668"/>
      <c r="I4999" s="668"/>
      <c r="J4999" s="668"/>
      <c r="K4999" s="668"/>
      <c r="L4999" s="668"/>
      <c r="M4999" s="668"/>
    </row>
    <row r="5000" spans="5:13">
      <c r="E5000" s="668"/>
      <c r="F5000" s="668"/>
      <c r="G5000" s="668"/>
      <c r="H5000" s="668"/>
      <c r="I5000" s="668"/>
      <c r="J5000" s="668"/>
      <c r="K5000" s="668"/>
      <c r="L5000" s="668"/>
      <c r="M5000" s="668"/>
    </row>
    <row r="5001" spans="5:13">
      <c r="E5001" s="668"/>
      <c r="F5001" s="668"/>
      <c r="G5001" s="668"/>
      <c r="H5001" s="668"/>
      <c r="I5001" s="668"/>
      <c r="J5001" s="668"/>
      <c r="K5001" s="668"/>
      <c r="L5001" s="668"/>
      <c r="M5001" s="668"/>
    </row>
    <row r="5002" spans="5:13">
      <c r="E5002" s="668"/>
      <c r="F5002" s="668"/>
      <c r="G5002" s="668"/>
      <c r="H5002" s="668"/>
      <c r="I5002" s="668"/>
      <c r="J5002" s="668"/>
      <c r="K5002" s="668"/>
      <c r="L5002" s="668"/>
      <c r="M5002" s="668"/>
    </row>
    <row r="5003" spans="5:13">
      <c r="E5003" s="668"/>
      <c r="F5003" s="668"/>
      <c r="G5003" s="668"/>
      <c r="H5003" s="668"/>
      <c r="I5003" s="668"/>
      <c r="J5003" s="668"/>
      <c r="K5003" s="668"/>
      <c r="L5003" s="668"/>
      <c r="M5003" s="668"/>
    </row>
    <row r="5004" spans="5:13">
      <c r="E5004" s="668"/>
      <c r="F5004" s="668"/>
      <c r="G5004" s="668"/>
      <c r="H5004" s="668"/>
      <c r="I5004" s="668"/>
      <c r="J5004" s="668"/>
      <c r="K5004" s="668"/>
      <c r="L5004" s="668"/>
      <c r="M5004" s="668"/>
    </row>
    <row r="5005" spans="5:13">
      <c r="E5005" s="668"/>
      <c r="F5005" s="668"/>
      <c r="G5005" s="668"/>
      <c r="H5005" s="668"/>
      <c r="I5005" s="668"/>
      <c r="J5005" s="668"/>
      <c r="K5005" s="668"/>
      <c r="L5005" s="668"/>
      <c r="M5005" s="668"/>
    </row>
    <row r="5006" spans="5:13">
      <c r="E5006" s="668"/>
      <c r="F5006" s="668"/>
      <c r="G5006" s="668"/>
      <c r="H5006" s="668"/>
      <c r="I5006" s="668"/>
      <c r="J5006" s="668"/>
      <c r="K5006" s="668"/>
      <c r="L5006" s="668"/>
      <c r="M5006" s="668"/>
    </row>
    <row r="5007" spans="5:13">
      <c r="E5007" s="668"/>
      <c r="F5007" s="668"/>
      <c r="G5007" s="668"/>
      <c r="H5007" s="668"/>
      <c r="I5007" s="668"/>
      <c r="J5007" s="668"/>
      <c r="K5007" s="668"/>
      <c r="L5007" s="668"/>
      <c r="M5007" s="668"/>
    </row>
    <row r="5008" spans="5:13">
      <c r="E5008" s="668"/>
      <c r="F5008" s="668"/>
      <c r="G5008" s="668"/>
      <c r="H5008" s="668"/>
      <c r="I5008" s="668"/>
      <c r="J5008" s="668"/>
      <c r="K5008" s="668"/>
      <c r="L5008" s="668"/>
      <c r="M5008" s="668"/>
    </row>
    <row r="5009" spans="5:13">
      <c r="E5009" s="668"/>
      <c r="F5009" s="668"/>
      <c r="G5009" s="668"/>
      <c r="H5009" s="668"/>
      <c r="I5009" s="668"/>
      <c r="J5009" s="668"/>
      <c r="K5009" s="668"/>
      <c r="L5009" s="668"/>
      <c r="M5009" s="668"/>
    </row>
    <row r="5010" spans="5:13">
      <c r="E5010" s="668"/>
      <c r="F5010" s="668"/>
      <c r="G5010" s="668"/>
      <c r="H5010" s="668"/>
      <c r="I5010" s="668"/>
      <c r="J5010" s="668"/>
      <c r="K5010" s="668"/>
      <c r="L5010" s="668"/>
      <c r="M5010" s="668"/>
    </row>
    <row r="5011" spans="5:13">
      <c r="E5011" s="668"/>
      <c r="F5011" s="668"/>
      <c r="G5011" s="668"/>
      <c r="H5011" s="668"/>
      <c r="I5011" s="668"/>
      <c r="J5011" s="668"/>
      <c r="K5011" s="668"/>
      <c r="L5011" s="668"/>
      <c r="M5011" s="668"/>
    </row>
    <row r="5012" spans="5:13">
      <c r="E5012" s="668"/>
      <c r="F5012" s="668"/>
      <c r="G5012" s="668"/>
      <c r="H5012" s="668"/>
      <c r="I5012" s="668"/>
      <c r="J5012" s="668"/>
      <c r="K5012" s="668"/>
      <c r="L5012" s="668"/>
      <c r="M5012" s="668"/>
    </row>
    <row r="5013" spans="5:13">
      <c r="E5013" s="668"/>
      <c r="F5013" s="668"/>
      <c r="G5013" s="668"/>
      <c r="H5013" s="668"/>
      <c r="I5013" s="668"/>
      <c r="J5013" s="668"/>
      <c r="K5013" s="668"/>
      <c r="L5013" s="668"/>
      <c r="M5013" s="668"/>
    </row>
    <row r="5014" spans="5:13">
      <c r="E5014" s="668"/>
      <c r="F5014" s="668"/>
      <c r="G5014" s="668"/>
      <c r="H5014" s="668"/>
      <c r="I5014" s="668"/>
      <c r="J5014" s="668"/>
      <c r="K5014" s="668"/>
      <c r="L5014" s="668"/>
      <c r="M5014" s="668"/>
    </row>
    <row r="5015" spans="5:13">
      <c r="E5015" s="668"/>
      <c r="F5015" s="668"/>
      <c r="G5015" s="668"/>
      <c r="H5015" s="668"/>
      <c r="I5015" s="668"/>
      <c r="J5015" s="668"/>
      <c r="K5015" s="668"/>
      <c r="L5015" s="668"/>
      <c r="M5015" s="668"/>
    </row>
    <row r="5016" spans="5:13">
      <c r="E5016" s="668"/>
      <c r="F5016" s="668"/>
      <c r="G5016" s="668"/>
      <c r="H5016" s="668"/>
      <c r="I5016" s="668"/>
      <c r="J5016" s="668"/>
      <c r="K5016" s="668"/>
      <c r="L5016" s="668"/>
      <c r="M5016" s="668"/>
    </row>
    <row r="5017" spans="5:13">
      <c r="E5017" s="668"/>
      <c r="F5017" s="668"/>
      <c r="G5017" s="668"/>
      <c r="H5017" s="668"/>
      <c r="I5017" s="668"/>
      <c r="J5017" s="668"/>
      <c r="K5017" s="668"/>
      <c r="L5017" s="668"/>
      <c r="M5017" s="668"/>
    </row>
    <row r="5018" spans="5:13">
      <c r="E5018" s="668"/>
      <c r="F5018" s="668"/>
      <c r="G5018" s="668"/>
      <c r="H5018" s="668"/>
      <c r="I5018" s="668"/>
      <c r="J5018" s="668"/>
      <c r="K5018" s="668"/>
      <c r="L5018" s="668"/>
      <c r="M5018" s="668"/>
    </row>
    <row r="5019" spans="5:13">
      <c r="E5019" s="668"/>
      <c r="F5019" s="668"/>
      <c r="G5019" s="668"/>
      <c r="H5019" s="668"/>
      <c r="I5019" s="668"/>
      <c r="J5019" s="668"/>
      <c r="K5019" s="668"/>
      <c r="L5019" s="668"/>
      <c r="M5019" s="668"/>
    </row>
    <row r="5020" spans="5:13">
      <c r="E5020" s="668"/>
      <c r="F5020" s="668"/>
      <c r="G5020" s="668"/>
      <c r="H5020" s="668"/>
      <c r="I5020" s="668"/>
      <c r="J5020" s="668"/>
      <c r="K5020" s="668"/>
      <c r="L5020" s="668"/>
      <c r="M5020" s="668"/>
    </row>
    <row r="5021" spans="5:13">
      <c r="E5021" s="668"/>
      <c r="F5021" s="668"/>
      <c r="G5021" s="668"/>
      <c r="H5021" s="668"/>
      <c r="I5021" s="668"/>
      <c r="J5021" s="668"/>
      <c r="K5021" s="668"/>
      <c r="L5021" s="668"/>
      <c r="M5021" s="668"/>
    </row>
    <row r="5022" spans="5:13">
      <c r="E5022" s="668"/>
      <c r="F5022" s="668"/>
      <c r="G5022" s="668"/>
      <c r="H5022" s="668"/>
      <c r="I5022" s="668"/>
      <c r="J5022" s="668"/>
      <c r="K5022" s="668"/>
      <c r="L5022" s="668"/>
      <c r="M5022" s="668"/>
    </row>
    <row r="5023" spans="5:13">
      <c r="E5023" s="668"/>
      <c r="F5023" s="668"/>
      <c r="G5023" s="668"/>
      <c r="H5023" s="668"/>
      <c r="I5023" s="668"/>
      <c r="J5023" s="668"/>
      <c r="K5023" s="668"/>
      <c r="L5023" s="668"/>
      <c r="M5023" s="668"/>
    </row>
    <row r="5024" spans="5:13">
      <c r="E5024" s="668"/>
      <c r="F5024" s="668"/>
      <c r="G5024" s="668"/>
      <c r="H5024" s="668"/>
      <c r="I5024" s="668"/>
      <c r="J5024" s="668"/>
      <c r="K5024" s="668"/>
      <c r="L5024" s="668"/>
      <c r="M5024" s="668"/>
    </row>
    <row r="5025" spans="5:13">
      <c r="E5025" s="668"/>
      <c r="F5025" s="668"/>
      <c r="G5025" s="668"/>
      <c r="H5025" s="668"/>
      <c r="I5025" s="668"/>
      <c r="J5025" s="668"/>
      <c r="K5025" s="668"/>
      <c r="L5025" s="668"/>
      <c r="M5025" s="668"/>
    </row>
    <row r="5026" spans="5:13">
      <c r="E5026" s="668"/>
      <c r="F5026" s="668"/>
      <c r="G5026" s="668"/>
      <c r="H5026" s="668"/>
      <c r="I5026" s="668"/>
      <c r="J5026" s="668"/>
      <c r="K5026" s="668"/>
      <c r="L5026" s="668"/>
      <c r="M5026" s="668"/>
    </row>
    <row r="5027" spans="5:13">
      <c r="E5027" s="668"/>
      <c r="F5027" s="668"/>
      <c r="G5027" s="668"/>
      <c r="H5027" s="668"/>
      <c r="I5027" s="668"/>
      <c r="J5027" s="668"/>
      <c r="K5027" s="668"/>
      <c r="L5027" s="668"/>
      <c r="M5027" s="668"/>
    </row>
    <row r="5028" spans="5:13">
      <c r="E5028" s="668"/>
      <c r="F5028" s="668"/>
      <c r="G5028" s="668"/>
      <c r="H5028" s="668"/>
      <c r="I5028" s="668"/>
      <c r="J5028" s="668"/>
      <c r="K5028" s="668"/>
      <c r="L5028" s="668"/>
      <c r="M5028" s="668"/>
    </row>
    <row r="5029" spans="5:13">
      <c r="E5029" s="668"/>
      <c r="F5029" s="668"/>
      <c r="G5029" s="668"/>
      <c r="H5029" s="668"/>
      <c r="I5029" s="668"/>
      <c r="J5029" s="668"/>
      <c r="K5029" s="668"/>
      <c r="L5029" s="668"/>
      <c r="M5029" s="668"/>
    </row>
    <row r="5030" spans="5:13">
      <c r="E5030" s="668"/>
      <c r="F5030" s="668"/>
      <c r="G5030" s="668"/>
      <c r="H5030" s="668"/>
      <c r="I5030" s="668"/>
      <c r="J5030" s="668"/>
      <c r="K5030" s="668"/>
      <c r="L5030" s="668"/>
      <c r="M5030" s="668"/>
    </row>
    <row r="5031" spans="5:13">
      <c r="E5031" s="668"/>
      <c r="F5031" s="668"/>
      <c r="G5031" s="668"/>
      <c r="H5031" s="668"/>
      <c r="I5031" s="668"/>
      <c r="J5031" s="668"/>
      <c r="K5031" s="668"/>
      <c r="L5031" s="668"/>
      <c r="M5031" s="668"/>
    </row>
    <row r="5032" spans="5:13">
      <c r="E5032" s="668"/>
      <c r="F5032" s="668"/>
      <c r="G5032" s="668"/>
      <c r="H5032" s="668"/>
      <c r="I5032" s="668"/>
      <c r="J5032" s="668"/>
      <c r="K5032" s="668"/>
      <c r="L5032" s="668"/>
      <c r="M5032" s="668"/>
    </row>
    <row r="5033" spans="5:13">
      <c r="E5033" s="668"/>
      <c r="F5033" s="668"/>
      <c r="G5033" s="668"/>
      <c r="H5033" s="668"/>
      <c r="I5033" s="668"/>
      <c r="J5033" s="668"/>
      <c r="K5033" s="668"/>
      <c r="L5033" s="668"/>
      <c r="M5033" s="668"/>
    </row>
    <row r="5034" spans="5:13">
      <c r="E5034" s="668"/>
      <c r="F5034" s="668"/>
      <c r="G5034" s="668"/>
      <c r="H5034" s="668"/>
      <c r="I5034" s="668"/>
      <c r="J5034" s="668"/>
      <c r="K5034" s="668"/>
      <c r="L5034" s="668"/>
      <c r="M5034" s="668"/>
    </row>
    <row r="5035" spans="5:13">
      <c r="E5035" s="668"/>
      <c r="F5035" s="668"/>
      <c r="G5035" s="668"/>
      <c r="H5035" s="668"/>
      <c r="I5035" s="668"/>
      <c r="J5035" s="668"/>
      <c r="K5035" s="668"/>
      <c r="L5035" s="668"/>
      <c r="M5035" s="668"/>
    </row>
    <row r="5036" spans="5:13">
      <c r="E5036" s="668"/>
      <c r="F5036" s="668"/>
      <c r="G5036" s="668"/>
      <c r="H5036" s="668"/>
      <c r="I5036" s="668"/>
      <c r="J5036" s="668"/>
      <c r="K5036" s="668"/>
      <c r="L5036" s="668"/>
      <c r="M5036" s="668"/>
    </row>
    <row r="5037" spans="5:13">
      <c r="E5037" s="668"/>
      <c r="F5037" s="668"/>
      <c r="G5037" s="668"/>
      <c r="H5037" s="668"/>
      <c r="I5037" s="668"/>
      <c r="J5037" s="668"/>
      <c r="K5037" s="668"/>
      <c r="L5037" s="668"/>
      <c r="M5037" s="668"/>
    </row>
    <row r="5038" spans="5:13">
      <c r="E5038" s="668"/>
      <c r="F5038" s="668"/>
      <c r="G5038" s="668"/>
      <c r="H5038" s="668"/>
      <c r="I5038" s="668"/>
      <c r="J5038" s="668"/>
      <c r="K5038" s="668"/>
      <c r="L5038" s="668"/>
      <c r="M5038" s="668"/>
    </row>
    <row r="5039" spans="5:13">
      <c r="E5039" s="668"/>
      <c r="F5039" s="668"/>
      <c r="G5039" s="668"/>
      <c r="H5039" s="668"/>
      <c r="I5039" s="668"/>
      <c r="J5039" s="668"/>
      <c r="K5039" s="668"/>
      <c r="L5039" s="668"/>
      <c r="M5039" s="668"/>
    </row>
    <row r="5040" spans="5:13">
      <c r="E5040" s="668"/>
      <c r="F5040" s="668"/>
      <c r="G5040" s="668"/>
      <c r="H5040" s="668"/>
      <c r="I5040" s="668"/>
      <c r="J5040" s="668"/>
      <c r="K5040" s="668"/>
      <c r="L5040" s="668"/>
      <c r="M5040" s="668"/>
    </row>
    <row r="5041" spans="5:13">
      <c r="E5041" s="668"/>
      <c r="F5041" s="668"/>
      <c r="G5041" s="668"/>
      <c r="H5041" s="668"/>
      <c r="I5041" s="668"/>
      <c r="J5041" s="668"/>
      <c r="K5041" s="668"/>
      <c r="L5041" s="668"/>
      <c r="M5041" s="668"/>
    </row>
    <row r="5042" spans="5:13">
      <c r="E5042" s="668"/>
      <c r="F5042" s="668"/>
      <c r="G5042" s="668"/>
      <c r="H5042" s="668"/>
      <c r="I5042" s="668"/>
      <c r="J5042" s="668"/>
      <c r="K5042" s="668"/>
      <c r="L5042" s="668"/>
      <c r="M5042" s="668"/>
    </row>
    <row r="5043" spans="5:13">
      <c r="E5043" s="668"/>
      <c r="F5043" s="668"/>
      <c r="G5043" s="668"/>
      <c r="H5043" s="668"/>
      <c r="I5043" s="668"/>
      <c r="J5043" s="668"/>
      <c r="K5043" s="668"/>
      <c r="L5043" s="668"/>
      <c r="M5043" s="668"/>
    </row>
    <row r="5044" spans="5:13">
      <c r="E5044" s="668"/>
      <c r="F5044" s="668"/>
      <c r="G5044" s="668"/>
      <c r="H5044" s="668"/>
      <c r="I5044" s="668"/>
      <c r="J5044" s="668"/>
      <c r="K5044" s="668"/>
      <c r="L5044" s="668"/>
      <c r="M5044" s="668"/>
    </row>
    <row r="5045" spans="5:13">
      <c r="E5045" s="668"/>
      <c r="F5045" s="668"/>
      <c r="G5045" s="668"/>
      <c r="H5045" s="668"/>
      <c r="I5045" s="668"/>
      <c r="J5045" s="668"/>
      <c r="K5045" s="668"/>
      <c r="L5045" s="668"/>
      <c r="M5045" s="668"/>
    </row>
    <row r="5046" spans="5:13">
      <c r="E5046" s="668"/>
      <c r="F5046" s="668"/>
      <c r="G5046" s="668"/>
      <c r="H5046" s="668"/>
      <c r="I5046" s="668"/>
      <c r="J5046" s="668"/>
      <c r="K5046" s="668"/>
      <c r="L5046" s="668"/>
      <c r="M5046" s="668"/>
    </row>
    <row r="5047" spans="5:13">
      <c r="E5047" s="668"/>
      <c r="F5047" s="668"/>
      <c r="G5047" s="668"/>
      <c r="H5047" s="668"/>
      <c r="I5047" s="668"/>
      <c r="J5047" s="668"/>
      <c r="K5047" s="668"/>
      <c r="L5047" s="668"/>
      <c r="M5047" s="668"/>
    </row>
    <row r="5048" spans="5:13">
      <c r="E5048" s="668"/>
      <c r="F5048" s="668"/>
      <c r="G5048" s="668"/>
      <c r="H5048" s="668"/>
      <c r="I5048" s="668"/>
      <c r="J5048" s="668"/>
      <c r="K5048" s="668"/>
      <c r="L5048" s="668"/>
      <c r="M5048" s="668"/>
    </row>
    <row r="5049" spans="5:13">
      <c r="E5049" s="668"/>
      <c r="F5049" s="668"/>
      <c r="G5049" s="668"/>
      <c r="H5049" s="668"/>
      <c r="I5049" s="668"/>
      <c r="J5049" s="668"/>
      <c r="K5049" s="668"/>
      <c r="L5049" s="668"/>
      <c r="M5049" s="668"/>
    </row>
    <row r="5050" spans="5:13">
      <c r="E5050" s="668"/>
      <c r="F5050" s="668"/>
      <c r="G5050" s="668"/>
      <c r="H5050" s="668"/>
      <c r="I5050" s="668"/>
      <c r="J5050" s="668"/>
      <c r="K5050" s="668"/>
      <c r="L5050" s="668"/>
      <c r="M5050" s="668"/>
    </row>
    <row r="5051" spans="5:13">
      <c r="E5051" s="668"/>
      <c r="F5051" s="668"/>
      <c r="G5051" s="668"/>
      <c r="H5051" s="668"/>
      <c r="I5051" s="668"/>
      <c r="J5051" s="668"/>
      <c r="K5051" s="668"/>
      <c r="L5051" s="668"/>
      <c r="M5051" s="668"/>
    </row>
    <row r="5052" spans="5:13">
      <c r="E5052" s="668"/>
      <c r="F5052" s="668"/>
      <c r="G5052" s="668"/>
      <c r="H5052" s="668"/>
      <c r="I5052" s="668"/>
      <c r="J5052" s="668"/>
      <c r="K5052" s="668"/>
      <c r="L5052" s="668"/>
      <c r="M5052" s="668"/>
    </row>
    <row r="5053" spans="5:13">
      <c r="E5053" s="668"/>
      <c r="F5053" s="668"/>
      <c r="G5053" s="668"/>
      <c r="H5053" s="668"/>
      <c r="I5053" s="668"/>
      <c r="J5053" s="668"/>
      <c r="K5053" s="668"/>
      <c r="L5053" s="668"/>
      <c r="M5053" s="668"/>
    </row>
    <row r="5054" spans="5:13">
      <c r="E5054" s="668"/>
      <c r="F5054" s="668"/>
      <c r="G5054" s="668"/>
      <c r="H5054" s="668"/>
      <c r="I5054" s="668"/>
      <c r="J5054" s="668"/>
      <c r="K5054" s="668"/>
      <c r="L5054" s="668"/>
      <c r="M5054" s="668"/>
    </row>
    <row r="5055" spans="5:13">
      <c r="E5055" s="668"/>
      <c r="F5055" s="668"/>
      <c r="G5055" s="668"/>
      <c r="H5055" s="668"/>
      <c r="I5055" s="668"/>
      <c r="J5055" s="668"/>
      <c r="K5055" s="668"/>
      <c r="L5055" s="668"/>
      <c r="M5055" s="668"/>
    </row>
    <row r="5056" spans="5:13">
      <c r="E5056" s="668"/>
      <c r="F5056" s="668"/>
      <c r="G5056" s="668"/>
      <c r="H5056" s="668"/>
      <c r="I5056" s="668"/>
      <c r="J5056" s="668"/>
      <c r="K5056" s="668"/>
      <c r="L5056" s="668"/>
      <c r="M5056" s="668"/>
    </row>
    <row r="5057" spans="5:13">
      <c r="E5057" s="668"/>
      <c r="F5057" s="668"/>
      <c r="G5057" s="668"/>
      <c r="H5057" s="668"/>
      <c r="I5057" s="668"/>
      <c r="J5057" s="668"/>
      <c r="K5057" s="668"/>
      <c r="L5057" s="668"/>
      <c r="M5057" s="668"/>
    </row>
    <row r="5058" spans="5:13">
      <c r="E5058" s="668"/>
      <c r="F5058" s="668"/>
      <c r="G5058" s="668"/>
      <c r="H5058" s="668"/>
      <c r="I5058" s="668"/>
      <c r="J5058" s="668"/>
      <c r="K5058" s="668"/>
      <c r="L5058" s="668"/>
      <c r="M5058" s="668"/>
    </row>
    <row r="5059" spans="5:13">
      <c r="E5059" s="668"/>
      <c r="F5059" s="668"/>
      <c r="G5059" s="668"/>
      <c r="H5059" s="668"/>
      <c r="I5059" s="668"/>
      <c r="J5059" s="668"/>
      <c r="K5059" s="668"/>
      <c r="L5059" s="668"/>
      <c r="M5059" s="668"/>
    </row>
    <row r="5060" spans="5:13">
      <c r="E5060" s="668"/>
      <c r="F5060" s="668"/>
      <c r="G5060" s="668"/>
      <c r="H5060" s="668"/>
      <c r="I5060" s="668"/>
      <c r="J5060" s="668"/>
      <c r="K5060" s="668"/>
      <c r="L5060" s="668"/>
      <c r="M5060" s="668"/>
    </row>
    <row r="5061" spans="5:13">
      <c r="E5061" s="668"/>
      <c r="F5061" s="668"/>
      <c r="G5061" s="668"/>
      <c r="H5061" s="668"/>
      <c r="I5061" s="668"/>
      <c r="J5061" s="668"/>
      <c r="K5061" s="668"/>
      <c r="L5061" s="668"/>
      <c r="M5061" s="668"/>
    </row>
    <row r="5062" spans="5:13">
      <c r="E5062" s="668"/>
      <c r="F5062" s="668"/>
      <c r="G5062" s="668"/>
      <c r="H5062" s="668"/>
      <c r="I5062" s="668"/>
      <c r="J5062" s="668"/>
      <c r="K5062" s="668"/>
      <c r="L5062" s="668"/>
      <c r="M5062" s="668"/>
    </row>
    <row r="5063" spans="5:13">
      <c r="E5063" s="668"/>
      <c r="F5063" s="668"/>
      <c r="G5063" s="668"/>
      <c r="H5063" s="668"/>
      <c r="I5063" s="668"/>
      <c r="J5063" s="668"/>
      <c r="K5063" s="668"/>
      <c r="L5063" s="668"/>
      <c r="M5063" s="668"/>
    </row>
    <row r="5064" spans="5:13">
      <c r="E5064" s="668"/>
      <c r="F5064" s="668"/>
      <c r="G5064" s="668"/>
      <c r="H5064" s="668"/>
      <c r="I5064" s="668"/>
      <c r="J5064" s="668"/>
      <c r="K5064" s="668"/>
      <c r="L5064" s="668"/>
      <c r="M5064" s="668"/>
    </row>
    <row r="5065" spans="5:13">
      <c r="E5065" s="668"/>
      <c r="F5065" s="668"/>
      <c r="G5065" s="668"/>
      <c r="H5065" s="668"/>
      <c r="I5065" s="668"/>
      <c r="J5065" s="668"/>
      <c r="K5065" s="668"/>
      <c r="L5065" s="668"/>
      <c r="M5065" s="668"/>
    </row>
    <row r="5066" spans="5:13">
      <c r="E5066" s="668"/>
      <c r="F5066" s="668"/>
      <c r="G5066" s="668"/>
      <c r="H5066" s="668"/>
      <c r="I5066" s="668"/>
      <c r="J5066" s="668"/>
      <c r="K5066" s="668"/>
      <c r="L5066" s="668"/>
      <c r="M5066" s="668"/>
    </row>
    <row r="5067" spans="5:13">
      <c r="E5067" s="668"/>
      <c r="F5067" s="668"/>
      <c r="G5067" s="668"/>
      <c r="H5067" s="668"/>
      <c r="I5067" s="668"/>
      <c r="J5067" s="668"/>
      <c r="K5067" s="668"/>
      <c r="L5067" s="668"/>
      <c r="M5067" s="668"/>
    </row>
    <row r="5068" spans="5:13">
      <c r="E5068" s="668"/>
      <c r="F5068" s="668"/>
      <c r="G5068" s="668"/>
      <c r="H5068" s="668"/>
      <c r="I5068" s="668"/>
      <c r="J5068" s="668"/>
      <c r="K5068" s="668"/>
      <c r="L5068" s="668"/>
      <c r="M5068" s="668"/>
    </row>
    <row r="5069" spans="5:13">
      <c r="E5069" s="668"/>
      <c r="F5069" s="668"/>
      <c r="G5069" s="668"/>
      <c r="H5069" s="668"/>
      <c r="I5069" s="668"/>
      <c r="J5069" s="668"/>
      <c r="K5069" s="668"/>
      <c r="L5069" s="668"/>
      <c r="M5069" s="668"/>
    </row>
    <row r="5070" spans="5:13">
      <c r="E5070" s="668"/>
      <c r="F5070" s="668"/>
      <c r="G5070" s="668"/>
      <c r="H5070" s="668"/>
      <c r="I5070" s="668"/>
      <c r="J5070" s="668"/>
      <c r="K5070" s="668"/>
      <c r="L5070" s="668"/>
      <c r="M5070" s="668"/>
    </row>
    <row r="5071" spans="5:13">
      <c r="E5071" s="668"/>
      <c r="F5071" s="668"/>
      <c r="G5071" s="668"/>
      <c r="H5071" s="668"/>
      <c r="I5071" s="668"/>
      <c r="J5071" s="668"/>
      <c r="K5071" s="668"/>
      <c r="L5071" s="668"/>
      <c r="M5071" s="668"/>
    </row>
    <row r="5072" spans="5:13">
      <c r="E5072" s="668"/>
      <c r="F5072" s="668"/>
      <c r="G5072" s="668"/>
      <c r="H5072" s="668"/>
      <c r="I5072" s="668"/>
      <c r="J5072" s="668"/>
      <c r="K5072" s="668"/>
      <c r="L5072" s="668"/>
      <c r="M5072" s="668"/>
    </row>
    <row r="5073" spans="5:13">
      <c r="E5073" s="668"/>
      <c r="F5073" s="668"/>
      <c r="G5073" s="668"/>
      <c r="H5073" s="668"/>
      <c r="I5073" s="668"/>
      <c r="J5073" s="668"/>
      <c r="K5073" s="668"/>
      <c r="L5073" s="668"/>
      <c r="M5073" s="668"/>
    </row>
    <row r="5074" spans="5:13">
      <c r="E5074" s="668"/>
      <c r="F5074" s="668"/>
      <c r="G5074" s="668"/>
      <c r="H5074" s="668"/>
      <c r="I5074" s="668"/>
      <c r="J5074" s="668"/>
      <c r="K5074" s="668"/>
      <c r="L5074" s="668"/>
      <c r="M5074" s="668"/>
    </row>
    <row r="5075" spans="5:13">
      <c r="E5075" s="668"/>
      <c r="F5075" s="668"/>
      <c r="G5075" s="668"/>
      <c r="H5075" s="668"/>
      <c r="I5075" s="668"/>
      <c r="J5075" s="668"/>
      <c r="K5075" s="668"/>
      <c r="L5075" s="668"/>
      <c r="M5075" s="668"/>
    </row>
    <row r="5076" spans="5:13">
      <c r="E5076" s="668"/>
      <c r="F5076" s="668"/>
      <c r="G5076" s="668"/>
      <c r="H5076" s="668"/>
      <c r="I5076" s="668"/>
      <c r="J5076" s="668"/>
      <c r="K5076" s="668"/>
      <c r="L5076" s="668"/>
      <c r="M5076" s="668"/>
    </row>
    <row r="5077" spans="5:13">
      <c r="E5077" s="668"/>
      <c r="F5077" s="668"/>
      <c r="G5077" s="668"/>
      <c r="H5077" s="668"/>
      <c r="I5077" s="668"/>
      <c r="J5077" s="668"/>
      <c r="K5077" s="668"/>
      <c r="L5077" s="668"/>
      <c r="M5077" s="668"/>
    </row>
    <row r="5078" spans="5:13">
      <c r="E5078" s="668"/>
      <c r="F5078" s="668"/>
      <c r="G5078" s="668"/>
      <c r="H5078" s="668"/>
      <c r="I5078" s="668"/>
      <c r="J5078" s="668"/>
      <c r="K5078" s="668"/>
      <c r="L5078" s="668"/>
      <c r="M5078" s="668"/>
    </row>
    <row r="5079" spans="5:13">
      <c r="E5079" s="668"/>
      <c r="F5079" s="668"/>
      <c r="G5079" s="668"/>
      <c r="H5079" s="668"/>
      <c r="I5079" s="668"/>
      <c r="J5079" s="668"/>
      <c r="K5079" s="668"/>
      <c r="L5079" s="668"/>
      <c r="M5079" s="668"/>
    </row>
    <row r="5080" spans="5:13">
      <c r="E5080" s="668"/>
      <c r="F5080" s="668"/>
      <c r="G5080" s="668"/>
      <c r="H5080" s="668"/>
      <c r="I5080" s="668"/>
      <c r="J5080" s="668"/>
      <c r="K5080" s="668"/>
      <c r="L5080" s="668"/>
      <c r="M5080" s="668"/>
    </row>
    <row r="5081" spans="5:13">
      <c r="E5081" s="668"/>
      <c r="F5081" s="668"/>
      <c r="G5081" s="668"/>
      <c r="H5081" s="668"/>
      <c r="I5081" s="668"/>
      <c r="J5081" s="668"/>
      <c r="K5081" s="668"/>
      <c r="L5081" s="668"/>
      <c r="M5081" s="668"/>
    </row>
    <row r="5082" spans="5:13">
      <c r="E5082" s="668"/>
      <c r="F5082" s="668"/>
      <c r="G5082" s="668"/>
      <c r="H5082" s="668"/>
      <c r="I5082" s="668"/>
      <c r="J5082" s="668"/>
      <c r="K5082" s="668"/>
      <c r="L5082" s="668"/>
      <c r="M5082" s="668"/>
    </row>
    <row r="5083" spans="5:13">
      <c r="E5083" s="668"/>
      <c r="F5083" s="668"/>
      <c r="G5083" s="668"/>
      <c r="H5083" s="668"/>
      <c r="I5083" s="668"/>
      <c r="J5083" s="668"/>
      <c r="K5083" s="668"/>
      <c r="L5083" s="668"/>
      <c r="M5083" s="668"/>
    </row>
    <row r="5084" spans="5:13">
      <c r="E5084" s="668"/>
      <c r="F5084" s="668"/>
      <c r="G5084" s="668"/>
      <c r="H5084" s="668"/>
      <c r="I5084" s="668"/>
      <c r="J5084" s="668"/>
      <c r="K5084" s="668"/>
      <c r="L5084" s="668"/>
      <c r="M5084" s="668"/>
    </row>
    <row r="5085" spans="5:13">
      <c r="E5085" s="668"/>
      <c r="F5085" s="668"/>
      <c r="G5085" s="668"/>
      <c r="H5085" s="668"/>
      <c r="I5085" s="668"/>
      <c r="J5085" s="668"/>
      <c r="K5085" s="668"/>
      <c r="L5085" s="668"/>
      <c r="M5085" s="668"/>
    </row>
    <row r="5086" spans="5:13">
      <c r="E5086" s="668"/>
      <c r="F5086" s="668"/>
      <c r="G5086" s="668"/>
      <c r="H5086" s="668"/>
      <c r="I5086" s="668"/>
      <c r="J5086" s="668"/>
      <c r="K5086" s="668"/>
      <c r="L5086" s="668"/>
      <c r="M5086" s="668"/>
    </row>
    <row r="5087" spans="5:13">
      <c r="E5087" s="668"/>
      <c r="F5087" s="668"/>
      <c r="G5087" s="668"/>
      <c r="H5087" s="668"/>
      <c r="I5087" s="668"/>
      <c r="J5087" s="668"/>
      <c r="K5087" s="668"/>
      <c r="L5087" s="668"/>
      <c r="M5087" s="668"/>
    </row>
    <row r="5088" spans="5:13">
      <c r="E5088" s="668"/>
      <c r="F5088" s="668"/>
      <c r="G5088" s="668"/>
      <c r="H5088" s="668"/>
      <c r="I5088" s="668"/>
      <c r="J5088" s="668"/>
      <c r="K5088" s="668"/>
      <c r="L5088" s="668"/>
      <c r="M5088" s="668"/>
    </row>
    <row r="5089" spans="5:13">
      <c r="E5089" s="668"/>
      <c r="F5089" s="668"/>
      <c r="G5089" s="668"/>
      <c r="H5089" s="668"/>
      <c r="I5089" s="668"/>
      <c r="J5089" s="668"/>
      <c r="K5089" s="668"/>
      <c r="L5089" s="668"/>
      <c r="M5089" s="668"/>
    </row>
    <row r="5090" spans="5:13">
      <c r="E5090" s="668"/>
      <c r="F5090" s="668"/>
      <c r="G5090" s="668"/>
      <c r="H5090" s="668"/>
      <c r="I5090" s="668"/>
      <c r="J5090" s="668"/>
      <c r="K5090" s="668"/>
      <c r="L5090" s="668"/>
      <c r="M5090" s="668"/>
    </row>
    <row r="5091" spans="5:13">
      <c r="E5091" s="668"/>
      <c r="F5091" s="668"/>
      <c r="G5091" s="668"/>
      <c r="H5091" s="668"/>
      <c r="I5091" s="668"/>
      <c r="J5091" s="668"/>
      <c r="K5091" s="668"/>
      <c r="L5091" s="668"/>
      <c r="M5091" s="668"/>
    </row>
    <row r="5092" spans="5:13">
      <c r="E5092" s="668"/>
      <c r="F5092" s="668"/>
      <c r="G5092" s="668"/>
      <c r="H5092" s="668"/>
      <c r="I5092" s="668"/>
      <c r="J5092" s="668"/>
      <c r="K5092" s="668"/>
      <c r="L5092" s="668"/>
      <c r="M5092" s="668"/>
    </row>
    <row r="5093" spans="5:13">
      <c r="E5093" s="668"/>
      <c r="F5093" s="668"/>
      <c r="G5093" s="668"/>
      <c r="H5093" s="668"/>
      <c r="I5093" s="668"/>
      <c r="J5093" s="668"/>
      <c r="K5093" s="668"/>
      <c r="L5093" s="668"/>
      <c r="M5093" s="668"/>
    </row>
    <row r="5094" spans="5:13">
      <c r="E5094" s="668"/>
      <c r="F5094" s="668"/>
      <c r="G5094" s="668"/>
      <c r="H5094" s="668"/>
      <c r="I5094" s="668"/>
      <c r="J5094" s="668"/>
      <c r="K5094" s="668"/>
      <c r="L5094" s="668"/>
      <c r="M5094" s="668"/>
    </row>
    <row r="5095" spans="5:13">
      <c r="E5095" s="668"/>
      <c r="F5095" s="668"/>
      <c r="G5095" s="668"/>
      <c r="H5095" s="668"/>
      <c r="I5095" s="668"/>
      <c r="J5095" s="668"/>
      <c r="K5095" s="668"/>
      <c r="L5095" s="668"/>
      <c r="M5095" s="668"/>
    </row>
    <row r="5096" spans="5:13">
      <c r="E5096" s="668"/>
      <c r="F5096" s="668"/>
      <c r="G5096" s="668"/>
      <c r="H5096" s="668"/>
      <c r="I5096" s="668"/>
      <c r="J5096" s="668"/>
      <c r="K5096" s="668"/>
      <c r="L5096" s="668"/>
      <c r="M5096" s="668"/>
    </row>
    <row r="5097" spans="5:13">
      <c r="E5097" s="668"/>
      <c r="F5097" s="668"/>
      <c r="G5097" s="668"/>
      <c r="H5097" s="668"/>
      <c r="I5097" s="668"/>
      <c r="J5097" s="668"/>
      <c r="K5097" s="668"/>
      <c r="L5097" s="668"/>
      <c r="M5097" s="668"/>
    </row>
    <row r="5098" spans="5:13">
      <c r="E5098" s="668"/>
      <c r="F5098" s="668"/>
      <c r="G5098" s="668"/>
      <c r="H5098" s="668"/>
      <c r="I5098" s="668"/>
      <c r="J5098" s="668"/>
      <c r="K5098" s="668"/>
      <c r="L5098" s="668"/>
      <c r="M5098" s="668"/>
    </row>
    <row r="5099" spans="5:13">
      <c r="E5099" s="668"/>
      <c r="F5099" s="668"/>
      <c r="G5099" s="668"/>
      <c r="H5099" s="668"/>
      <c r="I5099" s="668"/>
      <c r="J5099" s="668"/>
      <c r="K5099" s="668"/>
      <c r="L5099" s="668"/>
      <c r="M5099" s="668"/>
    </row>
    <row r="5100" spans="5:13">
      <c r="E5100" s="668"/>
      <c r="F5100" s="668"/>
      <c r="G5100" s="668"/>
      <c r="H5100" s="668"/>
      <c r="I5100" s="668"/>
      <c r="J5100" s="668"/>
      <c r="K5100" s="668"/>
      <c r="L5100" s="668"/>
      <c r="M5100" s="668"/>
    </row>
    <row r="5101" spans="5:13">
      <c r="E5101" s="668"/>
      <c r="F5101" s="668"/>
      <c r="G5101" s="668"/>
      <c r="H5101" s="668"/>
      <c r="I5101" s="668"/>
      <c r="J5101" s="668"/>
      <c r="K5101" s="668"/>
      <c r="L5101" s="668"/>
      <c r="M5101" s="668"/>
    </row>
    <row r="5102" spans="5:13">
      <c r="E5102" s="668"/>
      <c r="F5102" s="668"/>
      <c r="G5102" s="668"/>
      <c r="H5102" s="668"/>
      <c r="I5102" s="668"/>
      <c r="J5102" s="668"/>
      <c r="K5102" s="668"/>
      <c r="L5102" s="668"/>
      <c r="M5102" s="668"/>
    </row>
    <row r="5103" spans="5:13">
      <c r="E5103" s="668"/>
      <c r="F5103" s="668"/>
      <c r="G5103" s="668"/>
      <c r="H5103" s="668"/>
      <c r="I5103" s="668"/>
      <c r="J5103" s="668"/>
      <c r="K5103" s="668"/>
      <c r="L5103" s="668"/>
      <c r="M5103" s="668"/>
    </row>
    <row r="5104" spans="5:13">
      <c r="E5104" s="668"/>
      <c r="F5104" s="668"/>
      <c r="G5104" s="668"/>
      <c r="H5104" s="668"/>
      <c r="I5104" s="668"/>
      <c r="J5104" s="668"/>
      <c r="K5104" s="668"/>
      <c r="L5104" s="668"/>
      <c r="M5104" s="668"/>
    </row>
    <row r="5105" spans="5:13">
      <c r="E5105" s="668"/>
      <c r="F5105" s="668"/>
      <c r="G5105" s="668"/>
      <c r="H5105" s="668"/>
      <c r="I5105" s="668"/>
      <c r="J5105" s="668"/>
      <c r="K5105" s="668"/>
      <c r="L5105" s="668"/>
      <c r="M5105" s="668"/>
    </row>
    <row r="5106" spans="5:13">
      <c r="E5106" s="668"/>
      <c r="F5106" s="668"/>
      <c r="G5106" s="668"/>
      <c r="H5106" s="668"/>
      <c r="I5106" s="668"/>
      <c r="J5106" s="668"/>
      <c r="K5106" s="668"/>
      <c r="L5106" s="668"/>
      <c r="M5106" s="668"/>
    </row>
    <row r="5107" spans="5:13">
      <c r="E5107" s="668"/>
      <c r="F5107" s="668"/>
      <c r="G5107" s="668"/>
      <c r="H5107" s="668"/>
      <c r="I5107" s="668"/>
      <c r="J5107" s="668"/>
      <c r="K5107" s="668"/>
      <c r="L5107" s="668"/>
      <c r="M5107" s="668"/>
    </row>
    <row r="5108" spans="5:13">
      <c r="E5108" s="668"/>
      <c r="F5108" s="668"/>
      <c r="G5108" s="668"/>
      <c r="H5108" s="668"/>
      <c r="I5108" s="668"/>
      <c r="J5108" s="668"/>
      <c r="K5108" s="668"/>
      <c r="L5108" s="668"/>
      <c r="M5108" s="668"/>
    </row>
    <row r="5109" spans="5:13">
      <c r="E5109" s="668"/>
      <c r="F5109" s="668"/>
      <c r="G5109" s="668"/>
      <c r="H5109" s="668"/>
      <c r="I5109" s="668"/>
      <c r="J5109" s="668"/>
      <c r="K5109" s="668"/>
      <c r="L5109" s="668"/>
      <c r="M5109" s="668"/>
    </row>
    <row r="5110" spans="5:13">
      <c r="E5110" s="668"/>
      <c r="F5110" s="668"/>
      <c r="G5110" s="668"/>
      <c r="H5110" s="668"/>
      <c r="I5110" s="668"/>
      <c r="J5110" s="668"/>
      <c r="K5110" s="668"/>
      <c r="L5110" s="668"/>
      <c r="M5110" s="668"/>
    </row>
    <row r="5111" spans="5:13">
      <c r="E5111" s="668"/>
      <c r="F5111" s="668"/>
      <c r="G5111" s="668"/>
      <c r="H5111" s="668"/>
      <c r="I5111" s="668"/>
      <c r="J5111" s="668"/>
      <c r="K5111" s="668"/>
      <c r="L5111" s="668"/>
      <c r="M5111" s="668"/>
    </row>
    <row r="5112" spans="5:13">
      <c r="E5112" s="668"/>
      <c r="F5112" s="668"/>
      <c r="G5112" s="668"/>
      <c r="H5112" s="668"/>
      <c r="I5112" s="668"/>
      <c r="J5112" s="668"/>
      <c r="K5112" s="668"/>
      <c r="L5112" s="668"/>
      <c r="M5112" s="668"/>
    </row>
    <row r="5113" spans="5:13">
      <c r="E5113" s="668"/>
      <c r="F5113" s="668"/>
      <c r="G5113" s="668"/>
      <c r="H5113" s="668"/>
      <c r="I5113" s="668"/>
      <c r="J5113" s="668"/>
      <c r="K5113" s="668"/>
      <c r="L5113" s="668"/>
      <c r="M5113" s="668"/>
    </row>
    <row r="5114" spans="5:13">
      <c r="E5114" s="668"/>
      <c r="F5114" s="668"/>
      <c r="G5114" s="668"/>
      <c r="H5114" s="668"/>
      <c r="I5114" s="668"/>
      <c r="J5114" s="668"/>
      <c r="K5114" s="668"/>
      <c r="L5114" s="668"/>
      <c r="M5114" s="668"/>
    </row>
    <row r="5115" spans="5:13">
      <c r="E5115" s="668"/>
      <c r="F5115" s="668"/>
      <c r="G5115" s="668"/>
      <c r="H5115" s="668"/>
      <c r="I5115" s="668"/>
      <c r="J5115" s="668"/>
      <c r="K5115" s="668"/>
      <c r="L5115" s="668"/>
      <c r="M5115" s="668"/>
    </row>
    <row r="5116" spans="5:13">
      <c r="E5116" s="668"/>
      <c r="F5116" s="668"/>
      <c r="G5116" s="668"/>
      <c r="H5116" s="668"/>
      <c r="I5116" s="668"/>
      <c r="J5116" s="668"/>
      <c r="K5116" s="668"/>
      <c r="L5116" s="668"/>
      <c r="M5116" s="668"/>
    </row>
    <row r="5117" spans="5:13">
      <c r="E5117" s="668"/>
      <c r="F5117" s="668"/>
      <c r="G5117" s="668"/>
      <c r="H5117" s="668"/>
      <c r="I5117" s="668"/>
      <c r="J5117" s="668"/>
      <c r="K5117" s="668"/>
      <c r="L5117" s="668"/>
      <c r="M5117" s="668"/>
    </row>
    <row r="5118" spans="5:13">
      <c r="E5118" s="668"/>
      <c r="F5118" s="668"/>
      <c r="G5118" s="668"/>
      <c r="H5118" s="668"/>
      <c r="I5118" s="668"/>
      <c r="J5118" s="668"/>
      <c r="K5118" s="668"/>
      <c r="L5118" s="668"/>
      <c r="M5118" s="668"/>
    </row>
    <row r="5119" spans="5:13">
      <c r="E5119" s="668"/>
      <c r="F5119" s="668"/>
      <c r="G5119" s="668"/>
      <c r="H5119" s="668"/>
      <c r="I5119" s="668"/>
      <c r="J5119" s="668"/>
      <c r="K5119" s="668"/>
      <c r="L5119" s="668"/>
      <c r="M5119" s="668"/>
    </row>
    <row r="5120" spans="5:13">
      <c r="E5120" s="668"/>
      <c r="F5120" s="668"/>
      <c r="G5120" s="668"/>
      <c r="H5120" s="668"/>
      <c r="I5120" s="668"/>
      <c r="J5120" s="668"/>
      <c r="K5120" s="668"/>
      <c r="L5120" s="668"/>
      <c r="M5120" s="668"/>
    </row>
    <row r="5121" spans="5:13">
      <c r="E5121" s="668"/>
      <c r="F5121" s="668"/>
      <c r="G5121" s="668"/>
      <c r="H5121" s="668"/>
      <c r="I5121" s="668"/>
      <c r="J5121" s="668"/>
      <c r="K5121" s="668"/>
      <c r="L5121" s="668"/>
      <c r="M5121" s="668"/>
    </row>
    <row r="5122" spans="5:13">
      <c r="E5122" s="668"/>
      <c r="F5122" s="668"/>
      <c r="G5122" s="668"/>
      <c r="H5122" s="668"/>
      <c r="I5122" s="668"/>
      <c r="J5122" s="668"/>
      <c r="K5122" s="668"/>
      <c r="L5122" s="668"/>
      <c r="M5122" s="668"/>
    </row>
    <row r="5123" spans="5:13">
      <c r="E5123" s="668"/>
      <c r="F5123" s="668"/>
      <c r="G5123" s="668"/>
      <c r="H5123" s="668"/>
      <c r="I5123" s="668"/>
      <c r="J5123" s="668"/>
      <c r="K5123" s="668"/>
      <c r="L5123" s="668"/>
      <c r="M5123" s="668"/>
    </row>
    <row r="5124" spans="5:13">
      <c r="E5124" s="668"/>
      <c r="F5124" s="668"/>
      <c r="G5124" s="668"/>
      <c r="H5124" s="668"/>
      <c r="I5124" s="668"/>
      <c r="J5124" s="668"/>
      <c r="K5124" s="668"/>
      <c r="L5124" s="668"/>
      <c r="M5124" s="668"/>
    </row>
    <row r="5125" spans="5:13">
      <c r="E5125" s="668"/>
      <c r="F5125" s="668"/>
      <c r="G5125" s="668"/>
      <c r="H5125" s="668"/>
      <c r="I5125" s="668"/>
      <c r="J5125" s="668"/>
      <c r="K5125" s="668"/>
      <c r="L5125" s="668"/>
      <c r="M5125" s="668"/>
    </row>
    <row r="5126" spans="5:13">
      <c r="E5126" s="668"/>
      <c r="F5126" s="668"/>
      <c r="G5126" s="668"/>
      <c r="H5126" s="668"/>
      <c r="I5126" s="668"/>
      <c r="J5126" s="668"/>
      <c r="K5126" s="668"/>
      <c r="L5126" s="668"/>
      <c r="M5126" s="668"/>
    </row>
    <row r="5127" spans="5:13">
      <c r="E5127" s="668"/>
      <c r="F5127" s="668"/>
      <c r="G5127" s="668"/>
      <c r="H5127" s="668"/>
      <c r="I5127" s="668"/>
      <c r="J5127" s="668"/>
      <c r="K5127" s="668"/>
      <c r="L5127" s="668"/>
      <c r="M5127" s="668"/>
    </row>
    <row r="5128" spans="5:13">
      <c r="E5128" s="668"/>
      <c r="F5128" s="668"/>
      <c r="G5128" s="668"/>
      <c r="H5128" s="668"/>
      <c r="I5128" s="668"/>
      <c r="J5128" s="668"/>
      <c r="K5128" s="668"/>
      <c r="L5128" s="668"/>
      <c r="M5128" s="668"/>
    </row>
    <row r="5129" spans="5:13">
      <c r="E5129" s="668"/>
      <c r="F5129" s="668"/>
      <c r="G5129" s="668"/>
      <c r="H5129" s="668"/>
      <c r="I5129" s="668"/>
      <c r="J5129" s="668"/>
      <c r="K5129" s="668"/>
      <c r="L5129" s="668"/>
      <c r="M5129" s="668"/>
    </row>
    <row r="5130" spans="5:13">
      <c r="E5130" s="668"/>
      <c r="F5130" s="668"/>
      <c r="G5130" s="668"/>
      <c r="H5130" s="668"/>
      <c r="I5130" s="668"/>
      <c r="J5130" s="668"/>
      <c r="K5130" s="668"/>
      <c r="L5130" s="668"/>
      <c r="M5130" s="668"/>
    </row>
    <row r="5131" spans="5:13">
      <c r="E5131" s="668"/>
      <c r="F5131" s="668"/>
      <c r="G5131" s="668"/>
      <c r="H5131" s="668"/>
      <c r="I5131" s="668"/>
      <c r="J5131" s="668"/>
      <c r="K5131" s="668"/>
      <c r="L5131" s="668"/>
      <c r="M5131" s="668"/>
    </row>
    <row r="5132" spans="5:13">
      <c r="E5132" s="668"/>
      <c r="F5132" s="668"/>
      <c r="G5132" s="668"/>
      <c r="H5132" s="668"/>
      <c r="I5132" s="668"/>
      <c r="J5132" s="668"/>
      <c r="K5132" s="668"/>
      <c r="L5132" s="668"/>
      <c r="M5132" s="668"/>
    </row>
    <row r="5133" spans="5:13">
      <c r="E5133" s="668"/>
      <c r="F5133" s="668"/>
      <c r="G5133" s="668"/>
      <c r="H5133" s="668"/>
      <c r="I5133" s="668"/>
      <c r="J5133" s="668"/>
      <c r="K5133" s="668"/>
      <c r="L5133" s="668"/>
      <c r="M5133" s="668"/>
    </row>
    <row r="5134" spans="5:13">
      <c r="E5134" s="668"/>
      <c r="F5134" s="668"/>
      <c r="G5134" s="668"/>
      <c r="H5134" s="668"/>
      <c r="I5134" s="668"/>
      <c r="J5134" s="668"/>
      <c r="K5134" s="668"/>
      <c r="L5134" s="668"/>
      <c r="M5134" s="668"/>
    </row>
    <row r="5135" spans="5:13">
      <c r="E5135" s="668"/>
      <c r="F5135" s="668"/>
      <c r="G5135" s="668"/>
      <c r="H5135" s="668"/>
      <c r="I5135" s="668"/>
      <c r="J5135" s="668"/>
      <c r="K5135" s="668"/>
      <c r="L5135" s="668"/>
      <c r="M5135" s="668"/>
    </row>
    <row r="5136" spans="5:13">
      <c r="E5136" s="668"/>
      <c r="F5136" s="668"/>
      <c r="G5136" s="668"/>
      <c r="H5136" s="668"/>
      <c r="I5136" s="668"/>
      <c r="J5136" s="668"/>
      <c r="K5136" s="668"/>
      <c r="L5136" s="668"/>
      <c r="M5136" s="668"/>
    </row>
    <row r="5137" spans="5:13">
      <c r="E5137" s="668"/>
      <c r="F5137" s="668"/>
      <c r="G5137" s="668"/>
      <c r="H5137" s="668"/>
      <c r="I5137" s="668"/>
      <c r="J5137" s="668"/>
      <c r="K5137" s="668"/>
      <c r="L5137" s="668"/>
      <c r="M5137" s="668"/>
    </row>
    <row r="5138" spans="5:13">
      <c r="E5138" s="668"/>
      <c r="F5138" s="668"/>
      <c r="G5138" s="668"/>
      <c r="H5138" s="668"/>
      <c r="I5138" s="668"/>
      <c r="J5138" s="668"/>
      <c r="K5138" s="668"/>
      <c r="L5138" s="668"/>
      <c r="M5138" s="668"/>
    </row>
    <row r="5139" spans="5:13">
      <c r="E5139" s="668"/>
      <c r="F5139" s="668"/>
      <c r="G5139" s="668"/>
      <c r="H5139" s="668"/>
      <c r="I5139" s="668"/>
      <c r="J5139" s="668"/>
      <c r="K5139" s="668"/>
      <c r="L5139" s="668"/>
      <c r="M5139" s="668"/>
    </row>
    <row r="5140" spans="5:13">
      <c r="E5140" s="668"/>
      <c r="F5140" s="668"/>
      <c r="G5140" s="668"/>
      <c r="H5140" s="668"/>
      <c r="I5140" s="668"/>
      <c r="J5140" s="668"/>
      <c r="K5140" s="668"/>
      <c r="L5140" s="668"/>
      <c r="M5140" s="668"/>
    </row>
    <row r="5141" spans="5:13">
      <c r="E5141" s="668"/>
      <c r="F5141" s="668"/>
      <c r="G5141" s="668"/>
      <c r="H5141" s="668"/>
      <c r="I5141" s="668"/>
      <c r="J5141" s="668"/>
      <c r="K5141" s="668"/>
      <c r="L5141" s="668"/>
      <c r="M5141" s="668"/>
    </row>
    <row r="5142" spans="5:13">
      <c r="E5142" s="668"/>
      <c r="F5142" s="668"/>
      <c r="G5142" s="668"/>
      <c r="H5142" s="668"/>
      <c r="I5142" s="668"/>
      <c r="J5142" s="668"/>
      <c r="K5142" s="668"/>
      <c r="L5142" s="668"/>
      <c r="M5142" s="668"/>
    </row>
    <row r="5143" spans="5:13">
      <c r="E5143" s="668"/>
      <c r="F5143" s="668"/>
      <c r="G5143" s="668"/>
      <c r="H5143" s="668"/>
      <c r="I5143" s="668"/>
      <c r="J5143" s="668"/>
      <c r="K5143" s="668"/>
      <c r="L5143" s="668"/>
      <c r="M5143" s="668"/>
    </row>
    <row r="5144" spans="5:13">
      <c r="E5144" s="668"/>
      <c r="F5144" s="668"/>
      <c r="G5144" s="668"/>
      <c r="H5144" s="668"/>
      <c r="I5144" s="668"/>
      <c r="J5144" s="668"/>
      <c r="K5144" s="668"/>
      <c r="L5144" s="668"/>
      <c r="M5144" s="668"/>
    </row>
    <row r="5145" spans="5:13">
      <c r="E5145" s="668"/>
      <c r="F5145" s="668"/>
      <c r="G5145" s="668"/>
      <c r="H5145" s="668"/>
      <c r="I5145" s="668"/>
      <c r="J5145" s="668"/>
      <c r="K5145" s="668"/>
      <c r="L5145" s="668"/>
      <c r="M5145" s="668"/>
    </row>
    <row r="5146" spans="5:13">
      <c r="E5146" s="668"/>
      <c r="F5146" s="668"/>
      <c r="G5146" s="668"/>
      <c r="H5146" s="668"/>
      <c r="I5146" s="668"/>
      <c r="J5146" s="668"/>
      <c r="K5146" s="668"/>
      <c r="L5146" s="668"/>
      <c r="M5146" s="668"/>
    </row>
    <row r="5147" spans="5:13">
      <c r="E5147" s="668"/>
      <c r="F5147" s="668"/>
      <c r="G5147" s="668"/>
      <c r="H5147" s="668"/>
      <c r="I5147" s="668"/>
      <c r="J5147" s="668"/>
      <c r="K5147" s="668"/>
      <c r="L5147" s="668"/>
      <c r="M5147" s="668"/>
    </row>
    <row r="5148" spans="5:13">
      <c r="E5148" s="668"/>
      <c r="F5148" s="668"/>
      <c r="G5148" s="668"/>
      <c r="H5148" s="668"/>
      <c r="I5148" s="668"/>
      <c r="J5148" s="668"/>
      <c r="K5148" s="668"/>
      <c r="L5148" s="668"/>
      <c r="M5148" s="668"/>
    </row>
    <row r="5149" spans="5:13">
      <c r="E5149" s="668"/>
      <c r="F5149" s="668"/>
      <c r="G5149" s="668"/>
      <c r="H5149" s="668"/>
      <c r="I5149" s="668"/>
      <c r="J5149" s="668"/>
      <c r="K5149" s="668"/>
      <c r="L5149" s="668"/>
      <c r="M5149" s="668"/>
    </row>
    <row r="5150" spans="5:13">
      <c r="E5150" s="668"/>
      <c r="F5150" s="668"/>
      <c r="G5150" s="668"/>
      <c r="H5150" s="668"/>
      <c r="I5150" s="668"/>
      <c r="J5150" s="668"/>
      <c r="K5150" s="668"/>
      <c r="L5150" s="668"/>
      <c r="M5150" s="668"/>
    </row>
    <row r="5151" spans="5:13">
      <c r="E5151" s="668"/>
      <c r="F5151" s="668"/>
      <c r="G5151" s="668"/>
      <c r="H5151" s="668"/>
      <c r="I5151" s="668"/>
      <c r="J5151" s="668"/>
      <c r="K5151" s="668"/>
      <c r="L5151" s="668"/>
      <c r="M5151" s="668"/>
    </row>
    <row r="5152" spans="5:13">
      <c r="E5152" s="668"/>
      <c r="F5152" s="668"/>
      <c r="G5152" s="668"/>
      <c r="H5152" s="668"/>
      <c r="I5152" s="668"/>
      <c r="J5152" s="668"/>
      <c r="K5152" s="668"/>
      <c r="L5152" s="668"/>
      <c r="M5152" s="668"/>
    </row>
    <row r="5153" spans="5:13">
      <c r="E5153" s="668"/>
      <c r="F5153" s="668"/>
      <c r="G5153" s="668"/>
      <c r="H5153" s="668"/>
      <c r="I5153" s="668"/>
      <c r="J5153" s="668"/>
      <c r="K5153" s="668"/>
      <c r="L5153" s="668"/>
      <c r="M5153" s="668"/>
    </row>
    <row r="5154" spans="5:13">
      <c r="E5154" s="668"/>
      <c r="F5154" s="668"/>
      <c r="G5154" s="668"/>
      <c r="H5154" s="668"/>
      <c r="I5154" s="668"/>
      <c r="J5154" s="668"/>
      <c r="K5154" s="668"/>
      <c r="L5154" s="668"/>
      <c r="M5154" s="668"/>
    </row>
    <row r="5155" spans="5:13">
      <c r="E5155" s="668"/>
      <c r="F5155" s="668"/>
      <c r="G5155" s="668"/>
      <c r="H5155" s="668"/>
      <c r="I5155" s="668"/>
      <c r="J5155" s="668"/>
      <c r="K5155" s="668"/>
      <c r="L5155" s="668"/>
      <c r="M5155" s="668"/>
    </row>
    <row r="5156" spans="5:13">
      <c r="E5156" s="668"/>
      <c r="F5156" s="668"/>
      <c r="G5156" s="668"/>
      <c r="H5156" s="668"/>
      <c r="I5156" s="668"/>
      <c r="J5156" s="668"/>
      <c r="K5156" s="668"/>
      <c r="L5156" s="668"/>
      <c r="M5156" s="668"/>
    </row>
    <row r="5157" spans="5:13">
      <c r="E5157" s="668"/>
      <c r="F5157" s="668"/>
      <c r="G5157" s="668"/>
      <c r="H5157" s="668"/>
      <c r="I5157" s="668"/>
      <c r="J5157" s="668"/>
      <c r="K5157" s="668"/>
      <c r="L5157" s="668"/>
      <c r="M5157" s="668"/>
    </row>
    <row r="5158" spans="5:13">
      <c r="E5158" s="668"/>
      <c r="F5158" s="668"/>
      <c r="G5158" s="668"/>
      <c r="H5158" s="668"/>
      <c r="I5158" s="668"/>
      <c r="J5158" s="668"/>
      <c r="K5158" s="668"/>
      <c r="L5158" s="668"/>
      <c r="M5158" s="668"/>
    </row>
    <row r="5159" spans="5:13">
      <c r="E5159" s="668"/>
      <c r="F5159" s="668"/>
      <c r="G5159" s="668"/>
      <c r="H5159" s="668"/>
      <c r="I5159" s="668"/>
      <c r="J5159" s="668"/>
      <c r="K5159" s="668"/>
      <c r="L5159" s="668"/>
      <c r="M5159" s="668"/>
    </row>
    <row r="5160" spans="5:13">
      <c r="E5160" s="668"/>
      <c r="F5160" s="668"/>
      <c r="G5160" s="668"/>
      <c r="H5160" s="668"/>
      <c r="I5160" s="668"/>
      <c r="J5160" s="668"/>
      <c r="K5160" s="668"/>
      <c r="L5160" s="668"/>
      <c r="M5160" s="668"/>
    </row>
    <row r="5161" spans="5:13">
      <c r="E5161" s="668"/>
      <c r="F5161" s="668"/>
      <c r="G5161" s="668"/>
      <c r="H5161" s="668"/>
      <c r="I5161" s="668"/>
      <c r="J5161" s="668"/>
      <c r="K5161" s="668"/>
      <c r="L5161" s="668"/>
      <c r="M5161" s="668"/>
    </row>
    <row r="5162" spans="5:13">
      <c r="E5162" s="668"/>
      <c r="F5162" s="668"/>
      <c r="G5162" s="668"/>
      <c r="H5162" s="668"/>
      <c r="I5162" s="668"/>
      <c r="J5162" s="668"/>
      <c r="K5162" s="668"/>
      <c r="L5162" s="668"/>
      <c r="M5162" s="668"/>
    </row>
    <row r="5163" spans="5:13">
      <c r="E5163" s="668"/>
      <c r="F5163" s="668"/>
      <c r="G5163" s="668"/>
      <c r="H5163" s="668"/>
      <c r="I5163" s="668"/>
      <c r="J5163" s="668"/>
      <c r="K5163" s="668"/>
      <c r="L5163" s="668"/>
      <c r="M5163" s="668"/>
    </row>
    <row r="5164" spans="5:13">
      <c r="E5164" s="668"/>
      <c r="F5164" s="668"/>
      <c r="G5164" s="668"/>
      <c r="H5164" s="668"/>
      <c r="I5164" s="668"/>
      <c r="J5164" s="668"/>
      <c r="K5164" s="668"/>
      <c r="L5164" s="668"/>
      <c r="M5164" s="668"/>
    </row>
    <row r="5165" spans="5:13">
      <c r="E5165" s="668"/>
      <c r="F5165" s="668"/>
      <c r="G5165" s="668"/>
      <c r="H5165" s="668"/>
      <c r="I5165" s="668"/>
      <c r="J5165" s="668"/>
      <c r="K5165" s="668"/>
      <c r="L5165" s="668"/>
      <c r="M5165" s="668"/>
    </row>
    <row r="5166" spans="5:13">
      <c r="E5166" s="668"/>
      <c r="F5166" s="668"/>
      <c r="G5166" s="668"/>
      <c r="H5166" s="668"/>
      <c r="I5166" s="668"/>
      <c r="J5166" s="668"/>
      <c r="K5166" s="668"/>
      <c r="L5166" s="668"/>
      <c r="M5166" s="668"/>
    </row>
    <row r="5167" spans="5:13">
      <c r="E5167" s="668"/>
      <c r="F5167" s="668"/>
      <c r="G5167" s="668"/>
      <c r="H5167" s="668"/>
      <c r="I5167" s="668"/>
      <c r="J5167" s="668"/>
      <c r="K5167" s="668"/>
      <c r="L5167" s="668"/>
      <c r="M5167" s="668"/>
    </row>
    <row r="5168" spans="5:13">
      <c r="E5168" s="668"/>
      <c r="F5168" s="668"/>
      <c r="G5168" s="668"/>
      <c r="H5168" s="668"/>
      <c r="I5168" s="668"/>
      <c r="J5168" s="668"/>
      <c r="K5168" s="668"/>
      <c r="L5168" s="668"/>
      <c r="M5168" s="668"/>
    </row>
    <row r="5169" spans="5:13">
      <c r="E5169" s="668"/>
      <c r="F5169" s="668"/>
      <c r="G5169" s="668"/>
      <c r="H5169" s="668"/>
      <c r="I5169" s="668"/>
      <c r="J5169" s="668"/>
      <c r="K5169" s="668"/>
      <c r="L5169" s="668"/>
      <c r="M5169" s="668"/>
    </row>
    <row r="5170" spans="5:13">
      <c r="E5170" s="668"/>
      <c r="F5170" s="668"/>
      <c r="G5170" s="668"/>
      <c r="H5170" s="668"/>
      <c r="I5170" s="668"/>
      <c r="J5170" s="668"/>
      <c r="K5170" s="668"/>
      <c r="L5170" s="668"/>
      <c r="M5170" s="668"/>
    </row>
    <row r="5171" spans="5:13">
      <c r="E5171" s="668"/>
      <c r="F5171" s="668"/>
      <c r="G5171" s="668"/>
      <c r="H5171" s="668"/>
      <c r="I5171" s="668"/>
      <c r="J5171" s="668"/>
      <c r="K5171" s="668"/>
      <c r="L5171" s="668"/>
      <c r="M5171" s="668"/>
    </row>
    <row r="5172" spans="5:13">
      <c r="E5172" s="668"/>
      <c r="F5172" s="668"/>
      <c r="G5172" s="668"/>
      <c r="H5172" s="668"/>
      <c r="I5172" s="668"/>
      <c r="J5172" s="668"/>
      <c r="K5172" s="668"/>
      <c r="L5172" s="668"/>
      <c r="M5172" s="668"/>
    </row>
    <row r="5173" spans="5:13">
      <c r="E5173" s="668"/>
      <c r="F5173" s="668"/>
      <c r="G5173" s="668"/>
      <c r="H5173" s="668"/>
      <c r="I5173" s="668"/>
      <c r="J5173" s="668"/>
      <c r="K5173" s="668"/>
      <c r="L5173" s="668"/>
      <c r="M5173" s="668"/>
    </row>
    <row r="5174" spans="5:13">
      <c r="E5174" s="668"/>
      <c r="F5174" s="668"/>
      <c r="G5174" s="668"/>
      <c r="H5174" s="668"/>
      <c r="I5174" s="668"/>
      <c r="J5174" s="668"/>
      <c r="K5174" s="668"/>
      <c r="L5174" s="668"/>
      <c r="M5174" s="668"/>
    </row>
    <row r="5175" spans="5:13">
      <c r="E5175" s="668"/>
      <c r="F5175" s="668"/>
      <c r="G5175" s="668"/>
      <c r="H5175" s="668"/>
      <c r="I5175" s="668"/>
      <c r="J5175" s="668"/>
      <c r="K5175" s="668"/>
      <c r="L5175" s="668"/>
      <c r="M5175" s="668"/>
    </row>
    <row r="5176" spans="5:13">
      <c r="E5176" s="668"/>
      <c r="F5176" s="668"/>
      <c r="G5176" s="668"/>
      <c r="H5176" s="668"/>
      <c r="I5176" s="668"/>
      <c r="J5176" s="668"/>
      <c r="K5176" s="668"/>
      <c r="L5176" s="668"/>
      <c r="M5176" s="668"/>
    </row>
    <row r="5177" spans="5:13">
      <c r="E5177" s="668"/>
      <c r="F5177" s="668"/>
      <c r="G5177" s="668"/>
      <c r="H5177" s="668"/>
      <c r="I5177" s="668"/>
      <c r="J5177" s="668"/>
      <c r="K5177" s="668"/>
      <c r="L5177" s="668"/>
      <c r="M5177" s="668"/>
    </row>
    <row r="5178" spans="5:13">
      <c r="E5178" s="668"/>
      <c r="F5178" s="668"/>
      <c r="G5178" s="668"/>
      <c r="H5178" s="668"/>
      <c r="I5178" s="668"/>
      <c r="J5178" s="668"/>
      <c r="K5178" s="668"/>
      <c r="L5178" s="668"/>
      <c r="M5178" s="668"/>
    </row>
    <row r="5179" spans="5:13">
      <c r="E5179" s="668"/>
      <c r="F5179" s="668"/>
      <c r="G5179" s="668"/>
      <c r="H5179" s="668"/>
      <c r="I5179" s="668"/>
      <c r="J5179" s="668"/>
      <c r="K5179" s="668"/>
      <c r="L5179" s="668"/>
      <c r="M5179" s="668"/>
    </row>
    <row r="5180" spans="5:13">
      <c r="E5180" s="668"/>
      <c r="F5180" s="668"/>
      <c r="G5180" s="668"/>
      <c r="H5180" s="668"/>
      <c r="I5180" s="668"/>
      <c r="J5180" s="668"/>
      <c r="K5180" s="668"/>
      <c r="L5180" s="668"/>
      <c r="M5180" s="668"/>
    </row>
    <row r="5181" spans="5:13">
      <c r="E5181" s="668"/>
      <c r="F5181" s="668"/>
      <c r="G5181" s="668"/>
      <c r="H5181" s="668"/>
      <c r="I5181" s="668"/>
      <c r="J5181" s="668"/>
      <c r="K5181" s="668"/>
      <c r="L5181" s="668"/>
      <c r="M5181" s="668"/>
    </row>
    <row r="5182" spans="5:13">
      <c r="E5182" s="668"/>
      <c r="F5182" s="668"/>
      <c r="G5182" s="668"/>
      <c r="H5182" s="668"/>
      <c r="I5182" s="668"/>
      <c r="J5182" s="668"/>
      <c r="K5182" s="668"/>
      <c r="L5182" s="668"/>
      <c r="M5182" s="668"/>
    </row>
    <row r="5183" spans="5:13">
      <c r="E5183" s="668"/>
      <c r="F5183" s="668"/>
      <c r="G5183" s="668"/>
      <c r="H5183" s="668"/>
      <c r="I5183" s="668"/>
      <c r="J5183" s="668"/>
      <c r="K5183" s="668"/>
      <c r="L5183" s="668"/>
      <c r="M5183" s="668"/>
    </row>
    <row r="5184" spans="5:13">
      <c r="E5184" s="668"/>
      <c r="F5184" s="668"/>
      <c r="G5184" s="668"/>
      <c r="H5184" s="668"/>
      <c r="I5184" s="668"/>
      <c r="J5184" s="668"/>
      <c r="K5184" s="668"/>
      <c r="L5184" s="668"/>
      <c r="M5184" s="668"/>
    </row>
    <row r="5185" spans="5:13">
      <c r="E5185" s="668"/>
      <c r="F5185" s="668"/>
      <c r="G5185" s="668"/>
      <c r="H5185" s="668"/>
      <c r="I5185" s="668"/>
      <c r="J5185" s="668"/>
      <c r="K5185" s="668"/>
      <c r="L5185" s="668"/>
      <c r="M5185" s="668"/>
    </row>
    <row r="5186" spans="5:13">
      <c r="E5186" s="668"/>
      <c r="F5186" s="668"/>
      <c r="G5186" s="668"/>
      <c r="H5186" s="668"/>
      <c r="I5186" s="668"/>
      <c r="J5186" s="668"/>
      <c r="K5186" s="668"/>
      <c r="L5186" s="668"/>
      <c r="M5186" s="668"/>
    </row>
    <row r="5187" spans="5:13">
      <c r="E5187" s="668"/>
      <c r="F5187" s="668"/>
      <c r="G5187" s="668"/>
      <c r="H5187" s="668"/>
      <c r="I5187" s="668"/>
      <c r="J5187" s="668"/>
      <c r="K5187" s="668"/>
      <c r="L5187" s="668"/>
      <c r="M5187" s="668"/>
    </row>
    <row r="5188" spans="5:13">
      <c r="E5188" s="668"/>
      <c r="F5188" s="668"/>
      <c r="G5188" s="668"/>
      <c r="H5188" s="668"/>
      <c r="I5188" s="668"/>
      <c r="J5188" s="668"/>
      <c r="K5188" s="668"/>
      <c r="L5188" s="668"/>
      <c r="M5188" s="668"/>
    </row>
    <row r="5189" spans="5:13">
      <c r="E5189" s="668"/>
      <c r="F5189" s="668"/>
      <c r="G5189" s="668"/>
      <c r="H5189" s="668"/>
      <c r="I5189" s="668"/>
      <c r="J5189" s="668"/>
      <c r="K5189" s="668"/>
      <c r="L5189" s="668"/>
      <c r="M5189" s="668"/>
    </row>
    <row r="5190" spans="5:13">
      <c r="E5190" s="668"/>
      <c r="F5190" s="668"/>
      <c r="G5190" s="668"/>
      <c r="H5190" s="668"/>
      <c r="I5190" s="668"/>
      <c r="J5190" s="668"/>
      <c r="K5190" s="668"/>
      <c r="L5190" s="668"/>
      <c r="M5190" s="668"/>
    </row>
    <row r="5191" spans="5:13">
      <c r="E5191" s="668"/>
      <c r="F5191" s="668"/>
      <c r="G5191" s="668"/>
      <c r="H5191" s="668"/>
      <c r="I5191" s="668"/>
      <c r="J5191" s="668"/>
      <c r="K5191" s="668"/>
      <c r="L5191" s="668"/>
      <c r="M5191" s="668"/>
    </row>
    <row r="5192" spans="5:13">
      <c r="E5192" s="668"/>
      <c r="F5192" s="668"/>
      <c r="G5192" s="668"/>
      <c r="H5192" s="668"/>
      <c r="I5192" s="668"/>
      <c r="J5192" s="668"/>
      <c r="K5192" s="668"/>
      <c r="L5192" s="668"/>
      <c r="M5192" s="668"/>
    </row>
    <row r="5193" spans="5:13">
      <c r="E5193" s="668"/>
      <c r="F5193" s="668"/>
      <c r="G5193" s="668"/>
      <c r="H5193" s="668"/>
      <c r="I5193" s="668"/>
      <c r="J5193" s="668"/>
      <c r="K5193" s="668"/>
      <c r="L5193" s="668"/>
      <c r="M5193" s="668"/>
    </row>
    <row r="5194" spans="5:13">
      <c r="E5194" s="668"/>
      <c r="F5194" s="668"/>
      <c r="G5194" s="668"/>
      <c r="H5194" s="668"/>
      <c r="I5194" s="668"/>
      <c r="J5194" s="668"/>
      <c r="K5194" s="668"/>
      <c r="L5194" s="668"/>
      <c r="M5194" s="668"/>
    </row>
    <row r="5195" spans="5:13">
      <c r="E5195" s="668"/>
      <c r="F5195" s="668"/>
      <c r="G5195" s="668"/>
      <c r="H5195" s="668"/>
      <c r="I5195" s="668"/>
      <c r="J5195" s="668"/>
      <c r="K5195" s="668"/>
      <c r="L5195" s="668"/>
      <c r="M5195" s="668"/>
    </row>
    <row r="5196" spans="5:13">
      <c r="E5196" s="668"/>
      <c r="F5196" s="668"/>
      <c r="G5196" s="668"/>
      <c r="H5196" s="668"/>
      <c r="I5196" s="668"/>
      <c r="J5196" s="668"/>
      <c r="K5196" s="668"/>
      <c r="L5196" s="668"/>
      <c r="M5196" s="668"/>
    </row>
    <row r="5197" spans="5:13">
      <c r="E5197" s="668"/>
      <c r="F5197" s="668"/>
      <c r="G5197" s="668"/>
      <c r="H5197" s="668"/>
      <c r="I5197" s="668"/>
      <c r="J5197" s="668"/>
      <c r="K5197" s="668"/>
      <c r="L5197" s="668"/>
      <c r="M5197" s="668"/>
    </row>
    <row r="5198" spans="5:13">
      <c r="E5198" s="668"/>
      <c r="F5198" s="668"/>
      <c r="G5198" s="668"/>
      <c r="H5198" s="668"/>
      <c r="I5198" s="668"/>
      <c r="J5198" s="668"/>
      <c r="K5198" s="668"/>
      <c r="L5198" s="668"/>
      <c r="M5198" s="668"/>
    </row>
    <row r="5199" spans="5:13">
      <c r="E5199" s="668"/>
      <c r="F5199" s="668"/>
      <c r="G5199" s="668"/>
      <c r="H5199" s="668"/>
      <c r="I5199" s="668"/>
      <c r="J5199" s="668"/>
      <c r="K5199" s="668"/>
      <c r="L5199" s="668"/>
      <c r="M5199" s="668"/>
    </row>
    <row r="5200" spans="5:13">
      <c r="E5200" s="668"/>
      <c r="F5200" s="668"/>
      <c r="G5200" s="668"/>
      <c r="H5200" s="668"/>
      <c r="I5200" s="668"/>
      <c r="J5200" s="668"/>
      <c r="K5200" s="668"/>
      <c r="L5200" s="668"/>
      <c r="M5200" s="668"/>
    </row>
    <row r="5201" spans="5:13">
      <c r="E5201" s="668"/>
      <c r="F5201" s="668"/>
      <c r="G5201" s="668"/>
      <c r="H5201" s="668"/>
      <c r="I5201" s="668"/>
      <c r="J5201" s="668"/>
      <c r="K5201" s="668"/>
      <c r="L5201" s="668"/>
      <c r="M5201" s="668"/>
    </row>
    <row r="5202" spans="5:13">
      <c r="E5202" s="668"/>
      <c r="F5202" s="668"/>
      <c r="G5202" s="668"/>
      <c r="H5202" s="668"/>
      <c r="I5202" s="668"/>
      <c r="J5202" s="668"/>
      <c r="K5202" s="668"/>
      <c r="L5202" s="668"/>
      <c r="M5202" s="668"/>
    </row>
    <row r="5203" spans="5:13">
      <c r="E5203" s="668"/>
      <c r="F5203" s="668"/>
      <c r="G5203" s="668"/>
      <c r="H5203" s="668"/>
      <c r="I5203" s="668"/>
      <c r="J5203" s="668"/>
      <c r="K5203" s="668"/>
      <c r="L5203" s="668"/>
      <c r="M5203" s="668"/>
    </row>
    <row r="5204" spans="5:13">
      <c r="E5204" s="668"/>
      <c r="F5204" s="668"/>
      <c r="G5204" s="668"/>
      <c r="H5204" s="668"/>
      <c r="I5204" s="668"/>
      <c r="J5204" s="668"/>
      <c r="K5204" s="668"/>
      <c r="L5204" s="668"/>
      <c r="M5204" s="668"/>
    </row>
    <row r="5205" spans="5:13">
      <c r="E5205" s="668"/>
      <c r="F5205" s="668"/>
      <c r="G5205" s="668"/>
      <c r="H5205" s="668"/>
      <c r="I5205" s="668"/>
      <c r="J5205" s="668"/>
      <c r="K5205" s="668"/>
      <c r="L5205" s="668"/>
      <c r="M5205" s="668"/>
    </row>
    <row r="5206" spans="5:13">
      <c r="E5206" s="668"/>
      <c r="F5206" s="668"/>
      <c r="G5206" s="668"/>
      <c r="H5206" s="668"/>
      <c r="I5206" s="668"/>
      <c r="J5206" s="668"/>
      <c r="K5206" s="668"/>
      <c r="L5206" s="668"/>
      <c r="M5206" s="668"/>
    </row>
    <row r="5207" spans="5:13">
      <c r="E5207" s="668"/>
      <c r="F5207" s="668"/>
      <c r="G5207" s="668"/>
      <c r="H5207" s="668"/>
      <c r="I5207" s="668"/>
      <c r="J5207" s="668"/>
      <c r="K5207" s="668"/>
      <c r="L5207" s="668"/>
      <c r="M5207" s="668"/>
    </row>
    <row r="5208" spans="5:13">
      <c r="E5208" s="668"/>
      <c r="F5208" s="668"/>
      <c r="G5208" s="668"/>
      <c r="H5208" s="668"/>
      <c r="I5208" s="668"/>
      <c r="J5208" s="668"/>
      <c r="K5208" s="668"/>
      <c r="L5208" s="668"/>
      <c r="M5208" s="668"/>
    </row>
    <row r="5209" spans="5:13">
      <c r="E5209" s="668"/>
      <c r="F5209" s="668"/>
      <c r="G5209" s="668"/>
      <c r="H5209" s="668"/>
      <c r="I5209" s="668"/>
      <c r="J5209" s="668"/>
      <c r="K5209" s="668"/>
      <c r="L5209" s="668"/>
      <c r="M5209" s="668"/>
    </row>
    <row r="5210" spans="5:13">
      <c r="E5210" s="668"/>
      <c r="F5210" s="668"/>
      <c r="G5210" s="668"/>
      <c r="H5210" s="668"/>
      <c r="I5210" s="668"/>
      <c r="J5210" s="668"/>
      <c r="K5210" s="668"/>
      <c r="L5210" s="668"/>
      <c r="M5210" s="668"/>
    </row>
    <row r="5211" spans="5:13">
      <c r="E5211" s="668"/>
      <c r="F5211" s="668"/>
      <c r="G5211" s="668"/>
      <c r="H5211" s="668"/>
      <c r="I5211" s="668"/>
      <c r="J5211" s="668"/>
      <c r="K5211" s="668"/>
      <c r="L5211" s="668"/>
      <c r="M5211" s="668"/>
    </row>
    <row r="5212" spans="5:13">
      <c r="E5212" s="668"/>
      <c r="F5212" s="668"/>
      <c r="G5212" s="668"/>
      <c r="H5212" s="668"/>
      <c r="I5212" s="668"/>
      <c r="J5212" s="668"/>
      <c r="K5212" s="668"/>
      <c r="L5212" s="668"/>
      <c r="M5212" s="668"/>
    </row>
    <row r="5213" spans="5:13">
      <c r="E5213" s="668"/>
      <c r="F5213" s="668"/>
      <c r="G5213" s="668"/>
      <c r="H5213" s="668"/>
      <c r="I5213" s="668"/>
      <c r="J5213" s="668"/>
      <c r="K5213" s="668"/>
      <c r="L5213" s="668"/>
      <c r="M5213" s="668"/>
    </row>
    <row r="5214" spans="5:13">
      <c r="E5214" s="668"/>
      <c r="F5214" s="668"/>
      <c r="G5214" s="668"/>
      <c r="H5214" s="668"/>
      <c r="I5214" s="668"/>
      <c r="J5214" s="668"/>
      <c r="K5214" s="668"/>
      <c r="L5214" s="668"/>
      <c r="M5214" s="668"/>
    </row>
    <row r="5215" spans="5:13">
      <c r="E5215" s="668"/>
      <c r="F5215" s="668"/>
      <c r="G5215" s="668"/>
      <c r="H5215" s="668"/>
      <c r="I5215" s="668"/>
      <c r="J5215" s="668"/>
      <c r="K5215" s="668"/>
      <c r="L5215" s="668"/>
      <c r="M5215" s="668"/>
    </row>
    <row r="5216" spans="5:13">
      <c r="E5216" s="668"/>
      <c r="F5216" s="668"/>
      <c r="G5216" s="668"/>
      <c r="H5216" s="668"/>
      <c r="I5216" s="668"/>
      <c r="J5216" s="668"/>
      <c r="K5216" s="668"/>
      <c r="L5216" s="668"/>
      <c r="M5216" s="668"/>
    </row>
    <row r="5217" spans="5:13">
      <c r="E5217" s="668"/>
      <c r="F5217" s="668"/>
      <c r="G5217" s="668"/>
      <c r="H5217" s="668"/>
      <c r="I5217" s="668"/>
      <c r="J5217" s="668"/>
      <c r="K5217" s="668"/>
      <c r="L5217" s="668"/>
      <c r="M5217" s="668"/>
    </row>
    <row r="5218" spans="5:13">
      <c r="E5218" s="668"/>
      <c r="F5218" s="668"/>
      <c r="G5218" s="668"/>
      <c r="H5218" s="668"/>
      <c r="I5218" s="668"/>
      <c r="J5218" s="668"/>
      <c r="K5218" s="668"/>
      <c r="L5218" s="668"/>
      <c r="M5218" s="668"/>
    </row>
    <row r="5219" spans="5:13">
      <c r="E5219" s="668"/>
      <c r="F5219" s="668"/>
      <c r="G5219" s="668"/>
      <c r="H5219" s="668"/>
      <c r="I5219" s="668"/>
      <c r="J5219" s="668"/>
      <c r="K5219" s="668"/>
      <c r="L5219" s="668"/>
      <c r="M5219" s="668"/>
    </row>
    <row r="5220" spans="5:13">
      <c r="E5220" s="668"/>
      <c r="F5220" s="668"/>
      <c r="G5220" s="668"/>
      <c r="H5220" s="668"/>
      <c r="I5220" s="668"/>
      <c r="J5220" s="668"/>
      <c r="K5220" s="668"/>
      <c r="L5220" s="668"/>
      <c r="M5220" s="668"/>
    </row>
    <row r="5221" spans="5:13">
      <c r="E5221" s="668"/>
      <c r="F5221" s="668"/>
      <c r="G5221" s="668"/>
      <c r="H5221" s="668"/>
      <c r="I5221" s="668"/>
      <c r="J5221" s="668"/>
      <c r="K5221" s="668"/>
      <c r="L5221" s="668"/>
      <c r="M5221" s="668"/>
    </row>
    <row r="5222" spans="5:13">
      <c r="E5222" s="668"/>
      <c r="F5222" s="668"/>
      <c r="G5222" s="668"/>
      <c r="H5222" s="668"/>
      <c r="I5222" s="668"/>
      <c r="J5222" s="668"/>
      <c r="K5222" s="668"/>
      <c r="L5222" s="668"/>
      <c r="M5222" s="668"/>
    </row>
    <row r="5223" spans="5:13">
      <c r="E5223" s="668"/>
      <c r="F5223" s="668"/>
      <c r="G5223" s="668"/>
      <c r="H5223" s="668"/>
      <c r="I5223" s="668"/>
      <c r="J5223" s="668"/>
      <c r="K5223" s="668"/>
      <c r="L5223" s="668"/>
      <c r="M5223" s="668"/>
    </row>
    <row r="5224" spans="5:13">
      <c r="E5224" s="668"/>
      <c r="F5224" s="668"/>
      <c r="G5224" s="668"/>
      <c r="H5224" s="668"/>
      <c r="I5224" s="668"/>
      <c r="J5224" s="668"/>
      <c r="K5224" s="668"/>
      <c r="L5224" s="668"/>
      <c r="M5224" s="668"/>
    </row>
    <row r="5225" spans="5:13">
      <c r="E5225" s="668"/>
      <c r="F5225" s="668"/>
      <c r="G5225" s="668"/>
      <c r="H5225" s="668"/>
      <c r="I5225" s="668"/>
      <c r="J5225" s="668"/>
      <c r="K5225" s="668"/>
      <c r="L5225" s="668"/>
      <c r="M5225" s="668"/>
    </row>
    <row r="5226" spans="5:13">
      <c r="E5226" s="668"/>
      <c r="F5226" s="668"/>
      <c r="G5226" s="668"/>
      <c r="H5226" s="668"/>
      <c r="I5226" s="668"/>
      <c r="J5226" s="668"/>
      <c r="K5226" s="668"/>
      <c r="L5226" s="668"/>
      <c r="M5226" s="668"/>
    </row>
    <row r="5227" spans="5:13">
      <c r="E5227" s="668"/>
      <c r="F5227" s="668"/>
      <c r="G5227" s="668"/>
      <c r="H5227" s="668"/>
      <c r="I5227" s="668"/>
      <c r="J5227" s="668"/>
      <c r="K5227" s="668"/>
      <c r="L5227" s="668"/>
      <c r="M5227" s="668"/>
    </row>
    <row r="5228" spans="5:13">
      <c r="E5228" s="668"/>
      <c r="F5228" s="668"/>
      <c r="G5228" s="668"/>
      <c r="H5228" s="668"/>
      <c r="I5228" s="668"/>
      <c r="J5228" s="668"/>
      <c r="K5228" s="668"/>
      <c r="L5228" s="668"/>
      <c r="M5228" s="668"/>
    </row>
    <row r="5229" spans="5:13">
      <c r="E5229" s="668"/>
      <c r="F5229" s="668"/>
      <c r="G5229" s="668"/>
      <c r="H5229" s="668"/>
      <c r="I5229" s="668"/>
      <c r="J5229" s="668"/>
      <c r="K5229" s="668"/>
      <c r="L5229" s="668"/>
      <c r="M5229" s="668"/>
    </row>
    <row r="5230" spans="5:13">
      <c r="E5230" s="668"/>
      <c r="F5230" s="668"/>
      <c r="G5230" s="668"/>
      <c r="H5230" s="668"/>
      <c r="I5230" s="668"/>
      <c r="J5230" s="668"/>
      <c r="K5230" s="668"/>
      <c r="L5230" s="668"/>
      <c r="M5230" s="668"/>
    </row>
    <row r="5231" spans="5:13">
      <c r="E5231" s="668"/>
      <c r="F5231" s="668"/>
      <c r="G5231" s="668"/>
      <c r="H5231" s="668"/>
      <c r="I5231" s="668"/>
      <c r="J5231" s="668"/>
      <c r="K5231" s="668"/>
      <c r="L5231" s="668"/>
      <c r="M5231" s="668"/>
    </row>
    <row r="5232" spans="5:13">
      <c r="E5232" s="668"/>
      <c r="F5232" s="668"/>
      <c r="G5232" s="668"/>
      <c r="H5232" s="668"/>
      <c r="I5232" s="668"/>
      <c r="J5232" s="668"/>
      <c r="K5232" s="668"/>
      <c r="L5232" s="668"/>
      <c r="M5232" s="668"/>
    </row>
    <row r="5233" spans="5:13">
      <c r="E5233" s="668"/>
      <c r="F5233" s="668"/>
      <c r="G5233" s="668"/>
      <c r="H5233" s="668"/>
      <c r="I5233" s="668"/>
      <c r="J5233" s="668"/>
      <c r="K5233" s="668"/>
      <c r="L5233" s="668"/>
      <c r="M5233" s="668"/>
    </row>
    <row r="5234" spans="5:13">
      <c r="E5234" s="668"/>
      <c r="F5234" s="668"/>
      <c r="G5234" s="668"/>
      <c r="H5234" s="668"/>
      <c r="I5234" s="668"/>
      <c r="J5234" s="668"/>
      <c r="K5234" s="668"/>
      <c r="L5234" s="668"/>
      <c r="M5234" s="668"/>
    </row>
    <row r="5235" spans="5:13">
      <c r="E5235" s="668"/>
      <c r="F5235" s="668"/>
      <c r="G5235" s="668"/>
      <c r="H5235" s="668"/>
      <c r="I5235" s="668"/>
      <c r="J5235" s="668"/>
      <c r="K5235" s="668"/>
      <c r="L5235" s="668"/>
      <c r="M5235" s="668"/>
    </row>
    <row r="5236" spans="5:13">
      <c r="E5236" s="668"/>
      <c r="F5236" s="668"/>
      <c r="G5236" s="668"/>
      <c r="H5236" s="668"/>
      <c r="I5236" s="668"/>
      <c r="J5236" s="668"/>
      <c r="K5236" s="668"/>
      <c r="L5236" s="668"/>
      <c r="M5236" s="668"/>
    </row>
    <row r="5237" spans="5:13">
      <c r="E5237" s="668"/>
      <c r="F5237" s="668"/>
      <c r="G5237" s="668"/>
      <c r="H5237" s="668"/>
      <c r="I5237" s="668"/>
      <c r="J5237" s="668"/>
      <c r="K5237" s="668"/>
      <c r="L5237" s="668"/>
      <c r="M5237" s="668"/>
    </row>
    <row r="5238" spans="5:13">
      <c r="E5238" s="668"/>
      <c r="F5238" s="668"/>
      <c r="G5238" s="668"/>
      <c r="H5238" s="668"/>
      <c r="I5238" s="668"/>
      <c r="J5238" s="668"/>
      <c r="K5238" s="668"/>
      <c r="L5238" s="668"/>
      <c r="M5238" s="668"/>
    </row>
    <row r="5239" spans="5:13">
      <c r="E5239" s="668"/>
      <c r="F5239" s="668"/>
      <c r="G5239" s="668"/>
      <c r="H5239" s="668"/>
      <c r="I5239" s="668"/>
      <c r="J5239" s="668"/>
      <c r="K5239" s="668"/>
      <c r="L5239" s="668"/>
      <c r="M5239" s="668"/>
    </row>
    <row r="5240" spans="5:13">
      <c r="E5240" s="668"/>
      <c r="F5240" s="668"/>
      <c r="G5240" s="668"/>
      <c r="H5240" s="668"/>
      <c r="I5240" s="668"/>
      <c r="J5240" s="668"/>
      <c r="K5240" s="668"/>
      <c r="L5240" s="668"/>
      <c r="M5240" s="668"/>
    </row>
    <row r="5241" spans="5:13">
      <c r="E5241" s="668"/>
      <c r="F5241" s="668"/>
      <c r="G5241" s="668"/>
      <c r="H5241" s="668"/>
      <c r="I5241" s="668"/>
      <c r="J5241" s="668"/>
      <c r="K5241" s="668"/>
      <c r="L5241" s="668"/>
      <c r="M5241" s="668"/>
    </row>
    <row r="5242" spans="5:13">
      <c r="E5242" s="668"/>
      <c r="F5242" s="668"/>
      <c r="G5242" s="668"/>
      <c r="H5242" s="668"/>
      <c r="I5242" s="668"/>
      <c r="J5242" s="668"/>
      <c r="K5242" s="668"/>
      <c r="L5242" s="668"/>
      <c r="M5242" s="668"/>
    </row>
    <row r="5243" spans="5:13">
      <c r="E5243" s="668"/>
      <c r="F5243" s="668"/>
      <c r="G5243" s="668"/>
      <c r="H5243" s="668"/>
      <c r="I5243" s="668"/>
      <c r="J5243" s="668"/>
      <c r="K5243" s="668"/>
      <c r="L5243" s="668"/>
      <c r="M5243" s="668"/>
    </row>
    <row r="5244" spans="5:13">
      <c r="E5244" s="668"/>
      <c r="F5244" s="668"/>
      <c r="G5244" s="668"/>
      <c r="H5244" s="668"/>
      <c r="I5244" s="668"/>
      <c r="J5244" s="668"/>
      <c r="K5244" s="668"/>
      <c r="L5244" s="668"/>
      <c r="M5244" s="668"/>
    </row>
    <row r="5245" spans="5:13">
      <c r="E5245" s="668"/>
      <c r="F5245" s="668"/>
      <c r="G5245" s="668"/>
      <c r="H5245" s="668"/>
      <c r="I5245" s="668"/>
      <c r="J5245" s="668"/>
      <c r="K5245" s="668"/>
      <c r="L5245" s="668"/>
      <c r="M5245" s="668"/>
    </row>
    <row r="5246" spans="5:13">
      <c r="E5246" s="668"/>
      <c r="F5246" s="668"/>
      <c r="G5246" s="668"/>
      <c r="H5246" s="668"/>
      <c r="I5246" s="668"/>
      <c r="J5246" s="668"/>
      <c r="K5246" s="668"/>
      <c r="L5246" s="668"/>
      <c r="M5246" s="668"/>
    </row>
    <row r="5247" spans="5:13">
      <c r="E5247" s="668"/>
      <c r="F5247" s="668"/>
      <c r="G5247" s="668"/>
      <c r="H5247" s="668"/>
      <c r="I5247" s="668"/>
      <c r="J5247" s="668"/>
      <c r="K5247" s="668"/>
      <c r="L5247" s="668"/>
      <c r="M5247" s="668"/>
    </row>
    <row r="5248" spans="5:13">
      <c r="E5248" s="668"/>
      <c r="F5248" s="668"/>
      <c r="G5248" s="668"/>
      <c r="H5248" s="668"/>
      <c r="I5248" s="668"/>
      <c r="J5248" s="668"/>
      <c r="K5248" s="668"/>
      <c r="L5248" s="668"/>
      <c r="M5248" s="668"/>
    </row>
    <row r="5249" spans="5:13">
      <c r="E5249" s="668"/>
      <c r="F5249" s="668"/>
      <c r="G5249" s="668"/>
      <c r="H5249" s="668"/>
      <c r="I5249" s="668"/>
      <c r="J5249" s="668"/>
      <c r="K5249" s="668"/>
      <c r="L5249" s="668"/>
      <c r="M5249" s="668"/>
    </row>
    <row r="5250" spans="5:13">
      <c r="E5250" s="668"/>
      <c r="F5250" s="668"/>
      <c r="G5250" s="668"/>
      <c r="H5250" s="668"/>
      <c r="I5250" s="668"/>
      <c r="J5250" s="668"/>
      <c r="K5250" s="668"/>
      <c r="L5250" s="668"/>
      <c r="M5250" s="668"/>
    </row>
    <row r="5251" spans="5:13">
      <c r="E5251" s="668"/>
      <c r="F5251" s="668"/>
      <c r="G5251" s="668"/>
      <c r="H5251" s="668"/>
      <c r="I5251" s="668"/>
      <c r="J5251" s="668"/>
      <c r="K5251" s="668"/>
      <c r="L5251" s="668"/>
      <c r="M5251" s="668"/>
    </row>
    <row r="5252" spans="5:13">
      <c r="E5252" s="668"/>
      <c r="F5252" s="668"/>
      <c r="G5252" s="668"/>
      <c r="H5252" s="668"/>
      <c r="I5252" s="668"/>
      <c r="J5252" s="668"/>
      <c r="K5252" s="668"/>
      <c r="L5252" s="668"/>
      <c r="M5252" s="668"/>
    </row>
    <row r="5253" spans="5:13">
      <c r="E5253" s="668"/>
      <c r="F5253" s="668"/>
      <c r="G5253" s="668"/>
      <c r="H5253" s="668"/>
      <c r="I5253" s="668"/>
      <c r="J5253" s="668"/>
      <c r="K5253" s="668"/>
      <c r="L5253" s="668"/>
      <c r="M5253" s="668"/>
    </row>
    <row r="5254" spans="5:13">
      <c r="E5254" s="668"/>
      <c r="F5254" s="668"/>
      <c r="G5254" s="668"/>
      <c r="H5254" s="668"/>
      <c r="I5254" s="668"/>
      <c r="J5254" s="668"/>
      <c r="K5254" s="668"/>
      <c r="L5254" s="668"/>
      <c r="M5254" s="668"/>
    </row>
    <row r="5255" spans="5:13">
      <c r="E5255" s="668"/>
      <c r="F5255" s="668"/>
      <c r="G5255" s="668"/>
      <c r="H5255" s="668"/>
      <c r="I5255" s="668"/>
      <c r="J5255" s="668"/>
      <c r="K5255" s="668"/>
      <c r="L5255" s="668"/>
      <c r="M5255" s="668"/>
    </row>
    <row r="5256" spans="5:13">
      <c r="E5256" s="668"/>
      <c r="F5256" s="668"/>
      <c r="G5256" s="668"/>
      <c r="H5256" s="668"/>
      <c r="I5256" s="668"/>
      <c r="J5256" s="668"/>
      <c r="K5256" s="668"/>
      <c r="L5256" s="668"/>
      <c r="M5256" s="668"/>
    </row>
    <row r="5257" spans="5:13">
      <c r="E5257" s="668"/>
      <c r="F5257" s="668"/>
      <c r="G5257" s="668"/>
      <c r="H5257" s="668"/>
      <c r="I5257" s="668"/>
      <c r="J5257" s="668"/>
      <c r="K5257" s="668"/>
      <c r="L5257" s="668"/>
      <c r="M5257" s="668"/>
    </row>
    <row r="5258" spans="5:13">
      <c r="E5258" s="668"/>
      <c r="F5258" s="668"/>
      <c r="G5258" s="668"/>
      <c r="H5258" s="668"/>
      <c r="I5258" s="668"/>
      <c r="J5258" s="668"/>
      <c r="K5258" s="668"/>
      <c r="L5258" s="668"/>
      <c r="M5258" s="668"/>
    </row>
    <row r="5259" spans="5:13">
      <c r="E5259" s="668"/>
      <c r="F5259" s="668"/>
      <c r="G5259" s="668"/>
      <c r="H5259" s="668"/>
      <c r="I5259" s="668"/>
      <c r="J5259" s="668"/>
      <c r="K5259" s="668"/>
      <c r="L5259" s="668"/>
      <c r="M5259" s="668"/>
    </row>
    <row r="5260" spans="5:13">
      <c r="E5260" s="668"/>
      <c r="F5260" s="668"/>
      <c r="G5260" s="668"/>
      <c r="H5260" s="668"/>
      <c r="I5260" s="668"/>
      <c r="J5260" s="668"/>
      <c r="K5260" s="668"/>
      <c r="L5260" s="668"/>
      <c r="M5260" s="668"/>
    </row>
    <row r="5261" spans="5:13">
      <c r="E5261" s="668"/>
      <c r="F5261" s="668"/>
      <c r="G5261" s="668"/>
      <c r="H5261" s="668"/>
      <c r="I5261" s="668"/>
      <c r="J5261" s="668"/>
      <c r="K5261" s="668"/>
      <c r="L5261" s="668"/>
      <c r="M5261" s="668"/>
    </row>
    <row r="5262" spans="5:13">
      <c r="E5262" s="668"/>
      <c r="F5262" s="668"/>
      <c r="G5262" s="668"/>
      <c r="H5262" s="668"/>
      <c r="I5262" s="668"/>
      <c r="J5262" s="668"/>
      <c r="K5262" s="668"/>
      <c r="L5262" s="668"/>
      <c r="M5262" s="668"/>
    </row>
    <row r="5263" spans="5:13">
      <c r="E5263" s="668"/>
      <c r="F5263" s="668"/>
      <c r="G5263" s="668"/>
      <c r="H5263" s="668"/>
      <c r="I5263" s="668"/>
      <c r="J5263" s="668"/>
      <c r="K5263" s="668"/>
      <c r="L5263" s="668"/>
      <c r="M5263" s="668"/>
    </row>
    <row r="5264" spans="5:13">
      <c r="E5264" s="668"/>
      <c r="F5264" s="668"/>
      <c r="G5264" s="668"/>
      <c r="H5264" s="668"/>
      <c r="I5264" s="668"/>
      <c r="J5264" s="668"/>
      <c r="K5264" s="668"/>
      <c r="L5264" s="668"/>
      <c r="M5264" s="668"/>
    </row>
    <row r="5265" spans="5:13">
      <c r="E5265" s="668"/>
      <c r="F5265" s="668"/>
      <c r="G5265" s="668"/>
      <c r="H5265" s="668"/>
      <c r="I5265" s="668"/>
      <c r="J5265" s="668"/>
      <c r="K5265" s="668"/>
      <c r="L5265" s="668"/>
      <c r="M5265" s="668"/>
    </row>
    <row r="5266" spans="5:13">
      <c r="E5266" s="668"/>
      <c r="F5266" s="668"/>
      <c r="G5266" s="668"/>
      <c r="H5266" s="668"/>
      <c r="I5266" s="668"/>
      <c r="J5266" s="668"/>
      <c r="K5266" s="668"/>
      <c r="L5266" s="668"/>
      <c r="M5266" s="668"/>
    </row>
    <row r="5267" spans="5:13">
      <c r="E5267" s="668"/>
      <c r="F5267" s="668"/>
      <c r="G5267" s="668"/>
      <c r="H5267" s="668"/>
      <c r="I5267" s="668"/>
      <c r="J5267" s="668"/>
      <c r="K5267" s="668"/>
      <c r="L5267" s="668"/>
      <c r="M5267" s="668"/>
    </row>
    <row r="5268" spans="5:13">
      <c r="E5268" s="668"/>
      <c r="F5268" s="668"/>
      <c r="G5268" s="668"/>
      <c r="H5268" s="668"/>
      <c r="I5268" s="668"/>
      <c r="J5268" s="668"/>
      <c r="K5268" s="668"/>
      <c r="L5268" s="668"/>
      <c r="M5268" s="668"/>
    </row>
    <row r="5269" spans="5:13">
      <c r="E5269" s="668"/>
      <c r="F5269" s="668"/>
      <c r="G5269" s="668"/>
      <c r="H5269" s="668"/>
      <c r="I5269" s="668"/>
      <c r="J5269" s="668"/>
      <c r="K5269" s="668"/>
      <c r="L5269" s="668"/>
      <c r="M5269" s="668"/>
    </row>
    <row r="5270" spans="5:13">
      <c r="E5270" s="668"/>
      <c r="F5270" s="668"/>
      <c r="G5270" s="668"/>
      <c r="H5270" s="668"/>
      <c r="I5270" s="668"/>
      <c r="J5270" s="668"/>
      <c r="K5270" s="668"/>
      <c r="L5270" s="668"/>
      <c r="M5270" s="668"/>
    </row>
    <row r="5271" spans="5:13">
      <c r="E5271" s="668"/>
      <c r="F5271" s="668"/>
      <c r="G5271" s="668"/>
      <c r="H5271" s="668"/>
      <c r="I5271" s="668"/>
      <c r="J5271" s="668"/>
      <c r="K5271" s="668"/>
      <c r="L5271" s="668"/>
      <c r="M5271" s="668"/>
    </row>
    <row r="5272" spans="5:13">
      <c r="E5272" s="668"/>
      <c r="F5272" s="668"/>
      <c r="G5272" s="668"/>
      <c r="H5272" s="668"/>
      <c r="I5272" s="668"/>
      <c r="J5272" s="668"/>
      <c r="K5272" s="668"/>
      <c r="L5272" s="668"/>
      <c r="M5272" s="668"/>
    </row>
    <row r="5273" spans="5:13">
      <c r="E5273" s="668"/>
      <c r="F5273" s="668"/>
      <c r="G5273" s="668"/>
      <c r="H5273" s="668"/>
      <c r="I5273" s="668"/>
      <c r="J5273" s="668"/>
      <c r="K5273" s="668"/>
      <c r="L5273" s="668"/>
      <c r="M5273" s="668"/>
    </row>
    <row r="5274" spans="5:13">
      <c r="E5274" s="668"/>
      <c r="F5274" s="668"/>
      <c r="G5274" s="668"/>
      <c r="H5274" s="668"/>
      <c r="I5274" s="668"/>
      <c r="J5274" s="668"/>
      <c r="K5274" s="668"/>
      <c r="L5274" s="668"/>
      <c r="M5274" s="668"/>
    </row>
    <row r="5275" spans="5:13">
      <c r="E5275" s="668"/>
      <c r="F5275" s="668"/>
      <c r="G5275" s="668"/>
      <c r="H5275" s="668"/>
      <c r="I5275" s="668"/>
      <c r="J5275" s="668"/>
      <c r="K5275" s="668"/>
      <c r="L5275" s="668"/>
      <c r="M5275" s="668"/>
    </row>
    <row r="5276" spans="5:13">
      <c r="E5276" s="668"/>
      <c r="F5276" s="668"/>
      <c r="G5276" s="668"/>
      <c r="H5276" s="668"/>
      <c r="I5276" s="668"/>
      <c r="J5276" s="668"/>
      <c r="K5276" s="668"/>
      <c r="L5276" s="668"/>
      <c r="M5276" s="668"/>
    </row>
    <row r="5277" spans="5:13">
      <c r="E5277" s="668"/>
      <c r="F5277" s="668"/>
      <c r="G5277" s="668"/>
      <c r="H5277" s="668"/>
      <c r="I5277" s="668"/>
      <c r="J5277" s="668"/>
      <c r="K5277" s="668"/>
      <c r="L5277" s="668"/>
      <c r="M5277" s="668"/>
    </row>
    <row r="5278" spans="5:13">
      <c r="E5278" s="668"/>
      <c r="F5278" s="668"/>
      <c r="G5278" s="668"/>
      <c r="H5278" s="668"/>
      <c r="I5278" s="668"/>
      <c r="J5278" s="668"/>
      <c r="K5278" s="668"/>
      <c r="L5278" s="668"/>
      <c r="M5278" s="668"/>
    </row>
    <row r="5279" spans="5:13">
      <c r="E5279" s="668"/>
      <c r="F5279" s="668"/>
      <c r="G5279" s="668"/>
      <c r="H5279" s="668"/>
      <c r="I5279" s="668"/>
      <c r="J5279" s="668"/>
      <c r="K5279" s="668"/>
      <c r="L5279" s="668"/>
      <c r="M5279" s="668"/>
    </row>
    <row r="5280" spans="5:13">
      <c r="E5280" s="668"/>
      <c r="F5280" s="668"/>
      <c r="G5280" s="668"/>
      <c r="H5280" s="668"/>
      <c r="I5280" s="668"/>
      <c r="J5280" s="668"/>
      <c r="K5280" s="668"/>
      <c r="L5280" s="668"/>
      <c r="M5280" s="668"/>
    </row>
    <row r="5281" spans="5:13">
      <c r="E5281" s="668"/>
      <c r="F5281" s="668"/>
      <c r="G5281" s="668"/>
      <c r="H5281" s="668"/>
      <c r="I5281" s="668"/>
      <c r="J5281" s="668"/>
      <c r="K5281" s="668"/>
      <c r="L5281" s="668"/>
      <c r="M5281" s="668"/>
    </row>
    <row r="5282" spans="5:13">
      <c r="E5282" s="668"/>
      <c r="F5282" s="668"/>
      <c r="G5282" s="668"/>
      <c r="H5282" s="668"/>
      <c r="I5282" s="668"/>
      <c r="J5282" s="668"/>
      <c r="K5282" s="668"/>
      <c r="L5282" s="668"/>
      <c r="M5282" s="668"/>
    </row>
    <row r="5283" spans="5:13">
      <c r="E5283" s="668"/>
      <c r="F5283" s="668"/>
      <c r="G5283" s="668"/>
      <c r="H5283" s="668"/>
      <c r="I5283" s="668"/>
      <c r="J5283" s="668"/>
      <c r="K5283" s="668"/>
      <c r="L5283" s="668"/>
      <c r="M5283" s="668"/>
    </row>
    <row r="5284" spans="5:13">
      <c r="E5284" s="668"/>
      <c r="F5284" s="668"/>
      <c r="G5284" s="668"/>
      <c r="H5284" s="668"/>
      <c r="I5284" s="668"/>
      <c r="J5284" s="668"/>
      <c r="K5284" s="668"/>
      <c r="L5284" s="668"/>
      <c r="M5284" s="668"/>
    </row>
    <row r="5285" spans="5:13">
      <c r="E5285" s="668"/>
      <c r="F5285" s="668"/>
      <c r="G5285" s="668"/>
      <c r="H5285" s="668"/>
      <c r="I5285" s="668"/>
      <c r="J5285" s="668"/>
      <c r="K5285" s="668"/>
      <c r="L5285" s="668"/>
      <c r="M5285" s="668"/>
    </row>
    <row r="5286" spans="5:13">
      <c r="E5286" s="668"/>
      <c r="F5286" s="668"/>
      <c r="G5286" s="668"/>
      <c r="H5286" s="668"/>
      <c r="I5286" s="668"/>
      <c r="J5286" s="668"/>
      <c r="K5286" s="668"/>
      <c r="L5286" s="668"/>
      <c r="M5286" s="668"/>
    </row>
    <row r="5287" spans="5:13">
      <c r="E5287" s="668"/>
      <c r="F5287" s="668"/>
      <c r="G5287" s="668"/>
      <c r="H5287" s="668"/>
      <c r="I5287" s="668"/>
      <c r="J5287" s="668"/>
      <c r="K5287" s="668"/>
      <c r="L5287" s="668"/>
      <c r="M5287" s="668"/>
    </row>
    <row r="5288" spans="5:13">
      <c r="E5288" s="668"/>
      <c r="F5288" s="668"/>
      <c r="G5288" s="668"/>
      <c r="H5288" s="668"/>
      <c r="I5288" s="668"/>
      <c r="J5288" s="668"/>
      <c r="K5288" s="668"/>
      <c r="L5288" s="668"/>
      <c r="M5288" s="668"/>
    </row>
    <row r="5289" spans="5:13">
      <c r="E5289" s="668"/>
      <c r="F5289" s="668"/>
      <c r="G5289" s="668"/>
      <c r="H5289" s="668"/>
      <c r="I5289" s="668"/>
      <c r="J5289" s="668"/>
      <c r="K5289" s="668"/>
      <c r="L5289" s="668"/>
      <c r="M5289" s="668"/>
    </row>
    <row r="5290" spans="5:13">
      <c r="E5290" s="668"/>
      <c r="F5290" s="668"/>
      <c r="G5290" s="668"/>
      <c r="H5290" s="668"/>
      <c r="I5290" s="668"/>
      <c r="J5290" s="668"/>
      <c r="K5290" s="668"/>
      <c r="L5290" s="668"/>
      <c r="M5290" s="668"/>
    </row>
    <row r="5291" spans="5:13">
      <c r="E5291" s="668"/>
      <c r="F5291" s="668"/>
      <c r="G5291" s="668"/>
      <c r="H5291" s="668"/>
      <c r="I5291" s="668"/>
      <c r="J5291" s="668"/>
      <c r="K5291" s="668"/>
      <c r="L5291" s="668"/>
      <c r="M5291" s="668"/>
    </row>
    <row r="5292" spans="5:13">
      <c r="E5292" s="668"/>
      <c r="F5292" s="668"/>
      <c r="G5292" s="668"/>
      <c r="H5292" s="668"/>
      <c r="I5292" s="668"/>
      <c r="J5292" s="668"/>
      <c r="K5292" s="668"/>
      <c r="L5292" s="668"/>
      <c r="M5292" s="668"/>
    </row>
    <row r="5293" spans="5:13">
      <c r="E5293" s="668"/>
      <c r="F5293" s="668"/>
      <c r="G5293" s="668"/>
      <c r="H5293" s="668"/>
      <c r="I5293" s="668"/>
      <c r="J5293" s="668"/>
      <c r="K5293" s="668"/>
      <c r="L5293" s="668"/>
      <c r="M5293" s="668"/>
    </row>
    <row r="5294" spans="5:13">
      <c r="E5294" s="668"/>
      <c r="F5294" s="668"/>
      <c r="G5294" s="668"/>
      <c r="H5294" s="668"/>
      <c r="I5294" s="668"/>
      <c r="J5294" s="668"/>
      <c r="K5294" s="668"/>
      <c r="L5294" s="668"/>
      <c r="M5294" s="668"/>
    </row>
    <row r="5295" spans="5:13">
      <c r="E5295" s="668"/>
      <c r="F5295" s="668"/>
      <c r="G5295" s="668"/>
      <c r="H5295" s="668"/>
      <c r="I5295" s="668"/>
      <c r="J5295" s="668"/>
      <c r="K5295" s="668"/>
      <c r="L5295" s="668"/>
      <c r="M5295" s="668"/>
    </row>
    <row r="5296" spans="5:13">
      <c r="E5296" s="668"/>
      <c r="F5296" s="668"/>
      <c r="G5296" s="668"/>
      <c r="H5296" s="668"/>
      <c r="I5296" s="668"/>
      <c r="J5296" s="668"/>
      <c r="K5296" s="668"/>
      <c r="L5296" s="668"/>
      <c r="M5296" s="668"/>
    </row>
    <row r="5297" spans="5:13">
      <c r="E5297" s="668"/>
      <c r="F5297" s="668"/>
      <c r="G5297" s="668"/>
      <c r="H5297" s="668"/>
      <c r="I5297" s="668"/>
      <c r="J5297" s="668"/>
      <c r="K5297" s="668"/>
      <c r="L5297" s="668"/>
      <c r="M5297" s="668"/>
    </row>
    <row r="5298" spans="5:13">
      <c r="E5298" s="668"/>
      <c r="F5298" s="668"/>
      <c r="G5298" s="668"/>
      <c r="H5298" s="668"/>
      <c r="I5298" s="668"/>
      <c r="J5298" s="668"/>
      <c r="K5298" s="668"/>
      <c r="L5298" s="668"/>
      <c r="M5298" s="668"/>
    </row>
    <row r="5299" spans="5:13">
      <c r="E5299" s="668"/>
      <c r="F5299" s="668"/>
      <c r="G5299" s="668"/>
      <c r="H5299" s="668"/>
      <c r="I5299" s="668"/>
      <c r="J5299" s="668"/>
      <c r="K5299" s="668"/>
      <c r="L5299" s="668"/>
      <c r="M5299" s="668"/>
    </row>
    <row r="5300" spans="5:13">
      <c r="E5300" s="668"/>
      <c r="F5300" s="668"/>
      <c r="G5300" s="668"/>
      <c r="H5300" s="668"/>
      <c r="I5300" s="668"/>
      <c r="J5300" s="668"/>
      <c r="K5300" s="668"/>
      <c r="L5300" s="668"/>
      <c r="M5300" s="668"/>
    </row>
    <row r="5301" spans="5:13">
      <c r="E5301" s="668"/>
      <c r="F5301" s="668"/>
      <c r="G5301" s="668"/>
      <c r="H5301" s="668"/>
      <c r="I5301" s="668"/>
      <c r="J5301" s="668"/>
      <c r="K5301" s="668"/>
      <c r="L5301" s="668"/>
      <c r="M5301" s="668"/>
    </row>
    <row r="5302" spans="5:13">
      <c r="E5302" s="668"/>
      <c r="F5302" s="668"/>
      <c r="G5302" s="668"/>
      <c r="H5302" s="668"/>
      <c r="I5302" s="668"/>
      <c r="J5302" s="668"/>
      <c r="K5302" s="668"/>
      <c r="L5302" s="668"/>
      <c r="M5302" s="668"/>
    </row>
    <row r="5303" spans="5:13">
      <c r="E5303" s="668"/>
      <c r="F5303" s="668"/>
      <c r="G5303" s="668"/>
      <c r="H5303" s="668"/>
      <c r="I5303" s="668"/>
      <c r="J5303" s="668"/>
      <c r="K5303" s="668"/>
      <c r="L5303" s="668"/>
      <c r="M5303" s="668"/>
    </row>
    <row r="5304" spans="5:13">
      <c r="E5304" s="668"/>
      <c r="F5304" s="668"/>
      <c r="G5304" s="668"/>
      <c r="H5304" s="668"/>
      <c r="I5304" s="668"/>
      <c r="J5304" s="668"/>
      <c r="K5304" s="668"/>
      <c r="L5304" s="668"/>
      <c r="M5304" s="668"/>
    </row>
    <row r="5305" spans="5:13">
      <c r="E5305" s="668"/>
      <c r="F5305" s="668"/>
      <c r="G5305" s="668"/>
      <c r="H5305" s="668"/>
      <c r="I5305" s="668"/>
      <c r="J5305" s="668"/>
      <c r="K5305" s="668"/>
      <c r="L5305" s="668"/>
      <c r="M5305" s="668"/>
    </row>
    <row r="5306" spans="5:13">
      <c r="E5306" s="668"/>
      <c r="F5306" s="668"/>
      <c r="G5306" s="668"/>
      <c r="H5306" s="668"/>
      <c r="I5306" s="668"/>
      <c r="J5306" s="668"/>
      <c r="K5306" s="668"/>
      <c r="L5306" s="668"/>
      <c r="M5306" s="668"/>
    </row>
    <row r="5307" spans="5:13">
      <c r="E5307" s="668"/>
      <c r="F5307" s="668"/>
      <c r="G5307" s="668"/>
      <c r="H5307" s="668"/>
      <c r="I5307" s="668"/>
      <c r="J5307" s="668"/>
      <c r="K5307" s="668"/>
      <c r="L5307" s="668"/>
      <c r="M5307" s="668"/>
    </row>
    <row r="5308" spans="5:13">
      <c r="E5308" s="668"/>
      <c r="F5308" s="668"/>
      <c r="G5308" s="668"/>
      <c r="H5308" s="668"/>
      <c r="I5308" s="668"/>
      <c r="J5308" s="668"/>
      <c r="K5308" s="668"/>
      <c r="L5308" s="668"/>
      <c r="M5308" s="668"/>
    </row>
    <row r="5309" spans="5:13">
      <c r="E5309" s="668"/>
      <c r="F5309" s="668"/>
      <c r="G5309" s="668"/>
      <c r="H5309" s="668"/>
      <c r="I5309" s="668"/>
      <c r="J5309" s="668"/>
      <c r="K5309" s="668"/>
      <c r="L5309" s="668"/>
      <c r="M5309" s="668"/>
    </row>
    <row r="5310" spans="5:13">
      <c r="E5310" s="668"/>
      <c r="F5310" s="668"/>
      <c r="G5310" s="668"/>
      <c r="H5310" s="668"/>
      <c r="I5310" s="668"/>
      <c r="J5310" s="668"/>
      <c r="K5310" s="668"/>
      <c r="L5310" s="668"/>
      <c r="M5310" s="668"/>
    </row>
    <row r="5311" spans="5:13">
      <c r="E5311" s="668"/>
      <c r="F5311" s="668"/>
      <c r="G5311" s="668"/>
      <c r="H5311" s="668"/>
      <c r="I5311" s="668"/>
      <c r="J5311" s="668"/>
      <c r="K5311" s="668"/>
      <c r="L5311" s="668"/>
      <c r="M5311" s="668"/>
    </row>
    <row r="5312" spans="5:13">
      <c r="E5312" s="668"/>
      <c r="F5312" s="668"/>
      <c r="G5312" s="668"/>
      <c r="H5312" s="668"/>
      <c r="I5312" s="668"/>
      <c r="J5312" s="668"/>
      <c r="K5312" s="668"/>
      <c r="L5312" s="668"/>
      <c r="M5312" s="668"/>
    </row>
    <row r="5313" spans="5:13">
      <c r="E5313" s="668"/>
      <c r="F5313" s="668"/>
      <c r="G5313" s="668"/>
      <c r="H5313" s="668"/>
      <c r="I5313" s="668"/>
      <c r="J5313" s="668"/>
      <c r="K5313" s="668"/>
      <c r="L5313" s="668"/>
      <c r="M5313" s="668"/>
    </row>
    <row r="5314" spans="5:13">
      <c r="E5314" s="668"/>
      <c r="F5314" s="668"/>
      <c r="G5314" s="668"/>
      <c r="H5314" s="668"/>
      <c r="I5314" s="668"/>
      <c r="J5314" s="668"/>
      <c r="K5314" s="668"/>
      <c r="L5314" s="668"/>
      <c r="M5314" s="668"/>
    </row>
    <row r="5315" spans="5:13">
      <c r="E5315" s="668"/>
      <c r="F5315" s="668"/>
      <c r="G5315" s="668"/>
      <c r="H5315" s="668"/>
      <c r="I5315" s="668"/>
      <c r="J5315" s="668"/>
      <c r="K5315" s="668"/>
      <c r="L5315" s="668"/>
      <c r="M5315" s="668"/>
    </row>
    <row r="5316" spans="5:13">
      <c r="E5316" s="668"/>
      <c r="F5316" s="668"/>
      <c r="G5316" s="668"/>
      <c r="H5316" s="668"/>
      <c r="I5316" s="668"/>
      <c r="J5316" s="668"/>
      <c r="K5316" s="668"/>
      <c r="L5316" s="668"/>
      <c r="M5316" s="668"/>
    </row>
    <row r="5317" spans="5:13">
      <c r="E5317" s="668"/>
      <c r="F5317" s="668"/>
      <c r="G5317" s="668"/>
      <c r="H5317" s="668"/>
      <c r="I5317" s="668"/>
      <c r="J5317" s="668"/>
      <c r="K5317" s="668"/>
      <c r="L5317" s="668"/>
      <c r="M5317" s="668"/>
    </row>
    <row r="5318" spans="5:13">
      <c r="E5318" s="668"/>
      <c r="F5318" s="668"/>
      <c r="G5318" s="668"/>
      <c r="H5318" s="668"/>
      <c r="I5318" s="668"/>
      <c r="J5318" s="668"/>
      <c r="K5318" s="668"/>
      <c r="L5318" s="668"/>
      <c r="M5318" s="668"/>
    </row>
    <row r="5319" spans="5:13">
      <c r="E5319" s="668"/>
      <c r="F5319" s="668"/>
      <c r="G5319" s="668"/>
      <c r="H5319" s="668"/>
      <c r="I5319" s="668"/>
      <c r="J5319" s="668"/>
      <c r="K5319" s="668"/>
      <c r="L5319" s="668"/>
      <c r="M5319" s="668"/>
    </row>
    <row r="5320" spans="5:13">
      <c r="E5320" s="668"/>
      <c r="F5320" s="668"/>
      <c r="G5320" s="668"/>
      <c r="H5320" s="668"/>
      <c r="I5320" s="668"/>
      <c r="J5320" s="668"/>
      <c r="K5320" s="668"/>
      <c r="L5320" s="668"/>
      <c r="M5320" s="668"/>
    </row>
    <row r="5321" spans="5:13">
      <c r="E5321" s="668"/>
      <c r="F5321" s="668"/>
      <c r="G5321" s="668"/>
      <c r="H5321" s="668"/>
      <c r="I5321" s="668"/>
      <c r="J5321" s="668"/>
      <c r="K5321" s="668"/>
      <c r="L5321" s="668"/>
      <c r="M5321" s="668"/>
    </row>
    <row r="5322" spans="5:13">
      <c r="E5322" s="668"/>
      <c r="F5322" s="668"/>
      <c r="G5322" s="668"/>
      <c r="H5322" s="668"/>
      <c r="I5322" s="668"/>
      <c r="J5322" s="668"/>
      <c r="K5322" s="668"/>
      <c r="L5322" s="668"/>
      <c r="M5322" s="668"/>
    </row>
    <row r="5323" spans="5:13">
      <c r="E5323" s="668"/>
      <c r="F5323" s="668"/>
      <c r="G5323" s="668"/>
      <c r="H5323" s="668"/>
      <c r="I5323" s="668"/>
      <c r="J5323" s="668"/>
      <c r="K5323" s="668"/>
      <c r="L5323" s="668"/>
      <c r="M5323" s="668"/>
    </row>
    <row r="5324" spans="5:13">
      <c r="E5324" s="668"/>
      <c r="F5324" s="668"/>
      <c r="G5324" s="668"/>
      <c r="H5324" s="668"/>
      <c r="I5324" s="668"/>
      <c r="J5324" s="668"/>
      <c r="K5324" s="668"/>
      <c r="L5324" s="668"/>
      <c r="M5324" s="668"/>
    </row>
    <row r="5325" spans="5:13">
      <c r="E5325" s="668"/>
      <c r="F5325" s="668"/>
      <c r="G5325" s="668"/>
      <c r="H5325" s="668"/>
      <c r="I5325" s="668"/>
      <c r="J5325" s="668"/>
      <c r="K5325" s="668"/>
      <c r="L5325" s="668"/>
      <c r="M5325" s="668"/>
    </row>
    <row r="5326" spans="5:13">
      <c r="E5326" s="668"/>
      <c r="F5326" s="668"/>
      <c r="G5326" s="668"/>
      <c r="H5326" s="668"/>
      <c r="I5326" s="668"/>
      <c r="J5326" s="668"/>
      <c r="K5326" s="668"/>
      <c r="L5326" s="668"/>
      <c r="M5326" s="668"/>
    </row>
    <row r="5327" spans="5:13">
      <c r="E5327" s="668"/>
      <c r="F5327" s="668"/>
      <c r="G5327" s="668"/>
      <c r="H5327" s="668"/>
      <c r="I5327" s="668"/>
      <c r="J5327" s="668"/>
      <c r="K5327" s="668"/>
      <c r="L5327" s="668"/>
      <c r="M5327" s="668"/>
    </row>
    <row r="5328" spans="5:13">
      <c r="E5328" s="668"/>
      <c r="F5328" s="668"/>
      <c r="G5328" s="668"/>
      <c r="H5328" s="668"/>
      <c r="I5328" s="668"/>
      <c r="J5328" s="668"/>
      <c r="K5328" s="668"/>
      <c r="L5328" s="668"/>
      <c r="M5328" s="668"/>
    </row>
    <row r="5329" spans="5:13">
      <c r="E5329" s="668"/>
      <c r="F5329" s="668"/>
      <c r="G5329" s="668"/>
      <c r="H5329" s="668"/>
      <c r="I5329" s="668"/>
      <c r="J5329" s="668"/>
      <c r="K5329" s="668"/>
      <c r="L5329" s="668"/>
      <c r="M5329" s="668"/>
    </row>
    <row r="5330" spans="5:13">
      <c r="E5330" s="668"/>
      <c r="F5330" s="668"/>
      <c r="G5330" s="668"/>
      <c r="H5330" s="668"/>
      <c r="I5330" s="668"/>
      <c r="J5330" s="668"/>
      <c r="K5330" s="668"/>
      <c r="L5330" s="668"/>
      <c r="M5330" s="668"/>
    </row>
    <row r="5331" spans="5:13">
      <c r="E5331" s="668"/>
      <c r="F5331" s="668"/>
      <c r="G5331" s="668"/>
      <c r="H5331" s="668"/>
      <c r="I5331" s="668"/>
      <c r="J5331" s="668"/>
      <c r="K5331" s="668"/>
      <c r="L5331" s="668"/>
      <c r="M5331" s="668"/>
    </row>
    <row r="5332" spans="5:13">
      <c r="E5332" s="668"/>
      <c r="F5332" s="668"/>
      <c r="G5332" s="668"/>
      <c r="H5332" s="668"/>
      <c r="I5332" s="668"/>
      <c r="J5332" s="668"/>
      <c r="K5332" s="668"/>
      <c r="L5332" s="668"/>
      <c r="M5332" s="668"/>
    </row>
    <row r="5333" spans="5:13">
      <c r="E5333" s="668"/>
      <c r="F5333" s="668"/>
      <c r="G5333" s="668"/>
      <c r="H5333" s="668"/>
      <c r="I5333" s="668"/>
      <c r="J5333" s="668"/>
      <c r="K5333" s="668"/>
      <c r="L5333" s="668"/>
      <c r="M5333" s="668"/>
    </row>
    <row r="5334" spans="5:13">
      <c r="E5334" s="668"/>
      <c r="F5334" s="668"/>
      <c r="G5334" s="668"/>
      <c r="H5334" s="668"/>
      <c r="I5334" s="668"/>
      <c r="J5334" s="668"/>
      <c r="K5334" s="668"/>
      <c r="L5334" s="668"/>
      <c r="M5334" s="668"/>
    </row>
    <row r="5335" spans="5:13">
      <c r="E5335" s="668"/>
      <c r="F5335" s="668"/>
      <c r="G5335" s="668"/>
      <c r="H5335" s="668"/>
      <c r="I5335" s="668"/>
      <c r="J5335" s="668"/>
      <c r="K5335" s="668"/>
      <c r="L5335" s="668"/>
      <c r="M5335" s="668"/>
    </row>
    <row r="5336" spans="5:13">
      <c r="E5336" s="668"/>
      <c r="F5336" s="668"/>
      <c r="G5336" s="668"/>
      <c r="H5336" s="668"/>
      <c r="I5336" s="668"/>
      <c r="J5336" s="668"/>
      <c r="K5336" s="668"/>
      <c r="L5336" s="668"/>
      <c r="M5336" s="668"/>
    </row>
    <row r="5337" spans="5:13">
      <c r="E5337" s="668"/>
      <c r="F5337" s="668"/>
      <c r="G5337" s="668"/>
      <c r="H5337" s="668"/>
      <c r="I5337" s="668"/>
      <c r="J5337" s="668"/>
      <c r="K5337" s="668"/>
      <c r="L5337" s="668"/>
      <c r="M5337" s="668"/>
    </row>
    <row r="5338" spans="5:13">
      <c r="E5338" s="668"/>
      <c r="F5338" s="668"/>
      <c r="G5338" s="668"/>
      <c r="H5338" s="668"/>
      <c r="I5338" s="668"/>
      <c r="J5338" s="668"/>
      <c r="K5338" s="668"/>
      <c r="L5338" s="668"/>
      <c r="M5338" s="668"/>
    </row>
    <row r="5339" spans="5:13">
      <c r="E5339" s="668"/>
      <c r="F5339" s="668"/>
      <c r="G5339" s="668"/>
      <c r="H5339" s="668"/>
      <c r="I5339" s="668"/>
      <c r="J5339" s="668"/>
      <c r="K5339" s="668"/>
      <c r="L5339" s="668"/>
      <c r="M5339" s="668"/>
    </row>
    <row r="5340" spans="5:13">
      <c r="E5340" s="668"/>
      <c r="F5340" s="668"/>
      <c r="G5340" s="668"/>
      <c r="H5340" s="668"/>
      <c r="I5340" s="668"/>
      <c r="J5340" s="668"/>
      <c r="K5340" s="668"/>
      <c r="L5340" s="668"/>
      <c r="M5340" s="668"/>
    </row>
    <row r="5341" spans="5:13">
      <c r="E5341" s="668"/>
      <c r="F5341" s="668"/>
      <c r="G5341" s="668"/>
      <c r="H5341" s="668"/>
      <c r="I5341" s="668"/>
      <c r="J5341" s="668"/>
      <c r="K5341" s="668"/>
      <c r="L5341" s="668"/>
      <c r="M5341" s="668"/>
    </row>
    <row r="5342" spans="5:13">
      <c r="E5342" s="668"/>
      <c r="F5342" s="668"/>
      <c r="G5342" s="668"/>
      <c r="H5342" s="668"/>
      <c r="I5342" s="668"/>
      <c r="J5342" s="668"/>
      <c r="K5342" s="668"/>
      <c r="L5342" s="668"/>
      <c r="M5342" s="668"/>
    </row>
    <row r="5343" spans="5:13">
      <c r="E5343" s="668"/>
      <c r="F5343" s="668"/>
      <c r="G5343" s="668"/>
      <c r="H5343" s="668"/>
      <c r="I5343" s="668"/>
      <c r="J5343" s="668"/>
      <c r="K5343" s="668"/>
      <c r="L5343" s="668"/>
      <c r="M5343" s="668"/>
    </row>
    <row r="5344" spans="5:13">
      <c r="E5344" s="668"/>
      <c r="F5344" s="668"/>
      <c r="G5344" s="668"/>
      <c r="H5344" s="668"/>
      <c r="I5344" s="668"/>
      <c r="J5344" s="668"/>
      <c r="K5344" s="668"/>
      <c r="L5344" s="668"/>
      <c r="M5344" s="668"/>
    </row>
    <row r="5345" spans="5:13">
      <c r="E5345" s="668"/>
      <c r="F5345" s="668"/>
      <c r="G5345" s="668"/>
      <c r="H5345" s="668"/>
      <c r="I5345" s="668"/>
      <c r="J5345" s="668"/>
      <c r="K5345" s="668"/>
      <c r="L5345" s="668"/>
      <c r="M5345" s="668"/>
    </row>
    <row r="5346" spans="5:13">
      <c r="E5346" s="668"/>
      <c r="F5346" s="668"/>
      <c r="G5346" s="668"/>
      <c r="H5346" s="668"/>
      <c r="I5346" s="668"/>
      <c r="J5346" s="668"/>
      <c r="K5346" s="668"/>
      <c r="L5346" s="668"/>
      <c r="M5346" s="668"/>
    </row>
    <row r="5347" spans="5:13">
      <c r="E5347" s="668"/>
      <c r="F5347" s="668"/>
      <c r="G5347" s="668"/>
      <c r="H5347" s="668"/>
      <c r="I5347" s="668"/>
      <c r="J5347" s="668"/>
      <c r="K5347" s="668"/>
      <c r="L5347" s="668"/>
      <c r="M5347" s="668"/>
    </row>
    <row r="5348" spans="5:13">
      <c r="E5348" s="668"/>
      <c r="F5348" s="668"/>
      <c r="G5348" s="668"/>
      <c r="H5348" s="668"/>
      <c r="I5348" s="668"/>
      <c r="J5348" s="668"/>
      <c r="K5348" s="668"/>
      <c r="L5348" s="668"/>
      <c r="M5348" s="668"/>
    </row>
    <row r="5349" spans="5:13">
      <c r="E5349" s="668"/>
      <c r="F5349" s="668"/>
      <c r="G5349" s="668"/>
      <c r="H5349" s="668"/>
      <c r="I5349" s="668"/>
      <c r="J5349" s="668"/>
      <c r="K5349" s="668"/>
      <c r="L5349" s="668"/>
      <c r="M5349" s="668"/>
    </row>
    <row r="5350" spans="5:13">
      <c r="E5350" s="668"/>
      <c r="F5350" s="668"/>
      <c r="G5350" s="668"/>
      <c r="H5350" s="668"/>
      <c r="I5350" s="668"/>
      <c r="J5350" s="668"/>
      <c r="K5350" s="668"/>
      <c r="L5350" s="668"/>
      <c r="M5350" s="668"/>
    </row>
    <row r="5351" spans="5:13">
      <c r="E5351" s="668"/>
      <c r="F5351" s="668"/>
      <c r="G5351" s="668"/>
      <c r="H5351" s="668"/>
      <c r="I5351" s="668"/>
      <c r="J5351" s="668"/>
      <c r="K5351" s="668"/>
      <c r="L5351" s="668"/>
      <c r="M5351" s="668"/>
    </row>
    <row r="5352" spans="5:13">
      <c r="E5352" s="668"/>
      <c r="F5352" s="668"/>
      <c r="G5352" s="668"/>
      <c r="H5352" s="668"/>
      <c r="I5352" s="668"/>
      <c r="J5352" s="668"/>
      <c r="K5352" s="668"/>
      <c r="L5352" s="668"/>
      <c r="M5352" s="668"/>
    </row>
    <row r="5353" spans="5:13">
      <c r="E5353" s="668"/>
      <c r="F5353" s="668"/>
      <c r="G5353" s="668"/>
      <c r="H5353" s="668"/>
      <c r="I5353" s="668"/>
      <c r="J5353" s="668"/>
      <c r="K5353" s="668"/>
      <c r="L5353" s="668"/>
      <c r="M5353" s="668"/>
    </row>
    <row r="5354" spans="5:13">
      <c r="E5354" s="668"/>
      <c r="F5354" s="668"/>
      <c r="G5354" s="668"/>
      <c r="H5354" s="668"/>
      <c r="I5354" s="668"/>
      <c r="J5354" s="668"/>
      <c r="K5354" s="668"/>
      <c r="L5354" s="668"/>
      <c r="M5354" s="668"/>
    </row>
    <row r="5355" spans="5:13">
      <c r="E5355" s="668"/>
      <c r="F5355" s="668"/>
      <c r="G5355" s="668"/>
      <c r="H5355" s="668"/>
      <c r="I5355" s="668"/>
      <c r="J5355" s="668"/>
      <c r="K5355" s="668"/>
      <c r="L5355" s="668"/>
      <c r="M5355" s="668"/>
    </row>
    <row r="5356" spans="5:13">
      <c r="E5356" s="668"/>
      <c r="F5356" s="668"/>
      <c r="G5356" s="668"/>
      <c r="H5356" s="668"/>
      <c r="I5356" s="668"/>
      <c r="J5356" s="668"/>
      <c r="K5356" s="668"/>
      <c r="L5356" s="668"/>
      <c r="M5356" s="668"/>
    </row>
    <row r="5357" spans="5:13">
      <c r="E5357" s="668"/>
      <c r="F5357" s="668"/>
      <c r="G5357" s="668"/>
      <c r="H5357" s="668"/>
      <c r="I5357" s="668"/>
      <c r="J5357" s="668"/>
      <c r="K5357" s="668"/>
      <c r="L5357" s="668"/>
      <c r="M5357" s="668"/>
    </row>
    <row r="5358" spans="5:13">
      <c r="E5358" s="668"/>
      <c r="F5358" s="668"/>
      <c r="G5358" s="668"/>
      <c r="H5358" s="668"/>
      <c r="I5358" s="668"/>
      <c r="J5358" s="668"/>
      <c r="K5358" s="668"/>
      <c r="L5358" s="668"/>
      <c r="M5358" s="668"/>
    </row>
    <row r="5359" spans="5:13">
      <c r="E5359" s="668"/>
      <c r="F5359" s="668"/>
      <c r="G5359" s="668"/>
      <c r="H5359" s="668"/>
      <c r="I5359" s="668"/>
      <c r="J5359" s="668"/>
      <c r="K5359" s="668"/>
      <c r="L5359" s="668"/>
      <c r="M5359" s="668"/>
    </row>
    <row r="5360" spans="5:13">
      <c r="E5360" s="668"/>
      <c r="F5360" s="668"/>
      <c r="G5360" s="668"/>
      <c r="H5360" s="668"/>
      <c r="I5360" s="668"/>
      <c r="J5360" s="668"/>
      <c r="K5360" s="668"/>
      <c r="L5360" s="668"/>
      <c r="M5360" s="668"/>
    </row>
    <row r="5361" spans="5:13">
      <c r="E5361" s="668"/>
      <c r="F5361" s="668"/>
      <c r="G5361" s="668"/>
      <c r="H5361" s="668"/>
      <c r="I5361" s="668"/>
      <c r="J5361" s="668"/>
      <c r="K5361" s="668"/>
      <c r="L5361" s="668"/>
      <c r="M5361" s="668"/>
    </row>
    <row r="5362" spans="5:13">
      <c r="E5362" s="668"/>
      <c r="F5362" s="668"/>
      <c r="G5362" s="668"/>
      <c r="H5362" s="668"/>
      <c r="I5362" s="668"/>
      <c r="J5362" s="668"/>
      <c r="K5362" s="668"/>
      <c r="L5362" s="668"/>
      <c r="M5362" s="668"/>
    </row>
    <row r="5363" spans="5:13">
      <c r="E5363" s="668"/>
      <c r="F5363" s="668"/>
      <c r="G5363" s="668"/>
      <c r="H5363" s="668"/>
      <c r="I5363" s="668"/>
      <c r="J5363" s="668"/>
      <c r="K5363" s="668"/>
      <c r="L5363" s="668"/>
      <c r="M5363" s="668"/>
    </row>
    <row r="5364" spans="5:13">
      <c r="E5364" s="668"/>
      <c r="F5364" s="668"/>
      <c r="G5364" s="668"/>
      <c r="H5364" s="668"/>
      <c r="I5364" s="668"/>
      <c r="J5364" s="668"/>
      <c r="K5364" s="668"/>
      <c r="L5364" s="668"/>
      <c r="M5364" s="668"/>
    </row>
    <row r="5365" spans="5:13">
      <c r="E5365" s="668"/>
      <c r="F5365" s="668"/>
      <c r="G5365" s="668"/>
      <c r="H5365" s="668"/>
      <c r="I5365" s="668"/>
      <c r="J5365" s="668"/>
      <c r="K5365" s="668"/>
      <c r="L5365" s="668"/>
      <c r="M5365" s="668"/>
    </row>
    <row r="5366" spans="5:13">
      <c r="E5366" s="668"/>
      <c r="F5366" s="668"/>
      <c r="G5366" s="668"/>
      <c r="H5366" s="668"/>
      <c r="I5366" s="668"/>
      <c r="J5366" s="668"/>
      <c r="K5366" s="668"/>
      <c r="L5366" s="668"/>
      <c r="M5366" s="668"/>
    </row>
    <row r="5367" spans="5:13">
      <c r="E5367" s="668"/>
      <c r="F5367" s="668"/>
      <c r="G5367" s="668"/>
      <c r="H5367" s="668"/>
      <c r="I5367" s="668"/>
      <c r="J5367" s="668"/>
      <c r="K5367" s="668"/>
      <c r="L5367" s="668"/>
      <c r="M5367" s="668"/>
    </row>
    <row r="5368" spans="5:13">
      <c r="E5368" s="668"/>
      <c r="F5368" s="668"/>
      <c r="G5368" s="668"/>
      <c r="H5368" s="668"/>
      <c r="I5368" s="668"/>
      <c r="J5368" s="668"/>
      <c r="K5368" s="668"/>
      <c r="L5368" s="668"/>
      <c r="M5368" s="668"/>
    </row>
    <row r="5369" spans="5:13">
      <c r="E5369" s="668"/>
      <c r="F5369" s="668"/>
      <c r="G5369" s="668"/>
      <c r="H5369" s="668"/>
      <c r="I5369" s="668"/>
      <c r="J5369" s="668"/>
      <c r="K5369" s="668"/>
      <c r="L5369" s="668"/>
      <c r="M5369" s="668"/>
    </row>
    <row r="5370" spans="5:13">
      <c r="E5370" s="668"/>
      <c r="F5370" s="668"/>
      <c r="G5370" s="668"/>
      <c r="H5370" s="668"/>
      <c r="I5370" s="668"/>
      <c r="J5370" s="668"/>
      <c r="K5370" s="668"/>
      <c r="L5370" s="668"/>
      <c r="M5370" s="668"/>
    </row>
    <row r="5371" spans="5:13">
      <c r="E5371" s="668"/>
      <c r="F5371" s="668"/>
      <c r="G5371" s="668"/>
      <c r="H5371" s="668"/>
      <c r="I5371" s="668"/>
      <c r="J5371" s="668"/>
      <c r="K5371" s="668"/>
      <c r="L5371" s="668"/>
      <c r="M5371" s="668"/>
    </row>
    <row r="5372" spans="5:13">
      <c r="E5372" s="668"/>
      <c r="F5372" s="668"/>
      <c r="G5372" s="668"/>
      <c r="H5372" s="668"/>
      <c r="I5372" s="668"/>
      <c r="J5372" s="668"/>
      <c r="K5372" s="668"/>
      <c r="L5372" s="668"/>
      <c r="M5372" s="668"/>
    </row>
    <row r="5373" spans="5:13">
      <c r="E5373" s="668"/>
      <c r="F5373" s="668"/>
      <c r="G5373" s="668"/>
      <c r="H5373" s="668"/>
      <c r="I5373" s="668"/>
      <c r="J5373" s="668"/>
      <c r="K5373" s="668"/>
      <c r="L5373" s="668"/>
      <c r="M5373" s="668"/>
    </row>
    <row r="5374" spans="5:13">
      <c r="E5374" s="668"/>
      <c r="F5374" s="668"/>
      <c r="G5374" s="668"/>
      <c r="H5374" s="668"/>
      <c r="I5374" s="668"/>
      <c r="J5374" s="668"/>
      <c r="K5374" s="668"/>
      <c r="L5374" s="668"/>
      <c r="M5374" s="668"/>
    </row>
    <row r="5375" spans="5:13">
      <c r="E5375" s="668"/>
      <c r="F5375" s="668"/>
      <c r="G5375" s="668"/>
      <c r="H5375" s="668"/>
      <c r="I5375" s="668"/>
      <c r="J5375" s="668"/>
      <c r="K5375" s="668"/>
      <c r="L5375" s="668"/>
      <c r="M5375" s="668"/>
    </row>
    <row r="5376" spans="5:13">
      <c r="E5376" s="668"/>
      <c r="F5376" s="668"/>
      <c r="G5376" s="668"/>
      <c r="H5376" s="668"/>
      <c r="I5376" s="668"/>
      <c r="J5376" s="668"/>
      <c r="K5376" s="668"/>
      <c r="L5376" s="668"/>
      <c r="M5376" s="668"/>
    </row>
    <row r="5377" spans="5:13">
      <c r="E5377" s="668"/>
      <c r="F5377" s="668"/>
      <c r="G5377" s="668"/>
      <c r="H5377" s="668"/>
      <c r="I5377" s="668"/>
      <c r="J5377" s="668"/>
      <c r="K5377" s="668"/>
      <c r="L5377" s="668"/>
      <c r="M5377" s="668"/>
    </row>
    <row r="5378" spans="5:13">
      <c r="E5378" s="668"/>
      <c r="F5378" s="668"/>
      <c r="G5378" s="668"/>
      <c r="H5378" s="668"/>
      <c r="I5378" s="668"/>
      <c r="J5378" s="668"/>
      <c r="K5378" s="668"/>
      <c r="L5378" s="668"/>
      <c r="M5378" s="668"/>
    </row>
    <row r="5379" spans="5:13">
      <c r="E5379" s="668"/>
      <c r="F5379" s="668"/>
      <c r="G5379" s="668"/>
      <c r="H5379" s="668"/>
      <c r="I5379" s="668"/>
      <c r="J5379" s="668"/>
      <c r="K5379" s="668"/>
      <c r="L5379" s="668"/>
      <c r="M5379" s="668"/>
    </row>
    <row r="5380" spans="5:13">
      <c r="E5380" s="668"/>
      <c r="F5380" s="668"/>
      <c r="G5380" s="668"/>
      <c r="H5380" s="668"/>
      <c r="I5380" s="668"/>
      <c r="J5380" s="668"/>
      <c r="K5380" s="668"/>
      <c r="L5380" s="668"/>
      <c r="M5380" s="668"/>
    </row>
    <row r="5381" spans="5:13">
      <c r="E5381" s="668"/>
      <c r="F5381" s="668"/>
      <c r="G5381" s="668"/>
      <c r="H5381" s="668"/>
      <c r="I5381" s="668"/>
      <c r="J5381" s="668"/>
      <c r="K5381" s="668"/>
      <c r="L5381" s="668"/>
      <c r="M5381" s="668"/>
    </row>
    <row r="5382" spans="5:13">
      <c r="E5382" s="668"/>
      <c r="F5382" s="668"/>
      <c r="G5382" s="668"/>
      <c r="H5382" s="668"/>
      <c r="I5382" s="668"/>
      <c r="J5382" s="668"/>
      <c r="K5382" s="668"/>
      <c r="L5382" s="668"/>
      <c r="M5382" s="668"/>
    </row>
    <row r="5383" spans="5:13">
      <c r="E5383" s="668"/>
      <c r="F5383" s="668"/>
      <c r="G5383" s="668"/>
      <c r="H5383" s="668"/>
      <c r="I5383" s="668"/>
      <c r="J5383" s="668"/>
      <c r="K5383" s="668"/>
      <c r="L5383" s="668"/>
      <c r="M5383" s="668"/>
    </row>
    <row r="5384" spans="5:13">
      <c r="E5384" s="668"/>
      <c r="F5384" s="668"/>
      <c r="G5384" s="668"/>
      <c r="H5384" s="668"/>
      <c r="I5384" s="668"/>
      <c r="J5384" s="668"/>
      <c r="K5384" s="668"/>
      <c r="L5384" s="668"/>
      <c r="M5384" s="668"/>
    </row>
    <row r="5385" spans="5:13">
      <c r="E5385" s="668"/>
      <c r="F5385" s="668"/>
      <c r="G5385" s="668"/>
      <c r="H5385" s="668"/>
      <c r="I5385" s="668"/>
      <c r="J5385" s="668"/>
      <c r="K5385" s="668"/>
      <c r="L5385" s="668"/>
      <c r="M5385" s="668"/>
    </row>
    <row r="5386" spans="5:13">
      <c r="E5386" s="668"/>
      <c r="F5386" s="668"/>
      <c r="G5386" s="668"/>
      <c r="H5386" s="668"/>
      <c r="I5386" s="668"/>
      <c r="J5386" s="668"/>
      <c r="K5386" s="668"/>
      <c r="L5386" s="668"/>
      <c r="M5386" s="668"/>
    </row>
    <row r="5387" spans="5:13">
      <c r="E5387" s="668"/>
      <c r="F5387" s="668"/>
      <c r="G5387" s="668"/>
      <c r="H5387" s="668"/>
      <c r="I5387" s="668"/>
      <c r="J5387" s="668"/>
      <c r="K5387" s="668"/>
      <c r="L5387" s="668"/>
      <c r="M5387" s="668"/>
    </row>
    <row r="5388" spans="5:13">
      <c r="E5388" s="668"/>
      <c r="F5388" s="668"/>
      <c r="G5388" s="668"/>
      <c r="H5388" s="668"/>
      <c r="I5388" s="668"/>
      <c r="J5388" s="668"/>
      <c r="K5388" s="668"/>
      <c r="L5388" s="668"/>
      <c r="M5388" s="668"/>
    </row>
    <row r="5389" spans="5:13">
      <c r="E5389" s="668"/>
      <c r="F5389" s="668"/>
      <c r="G5389" s="668"/>
      <c r="H5389" s="668"/>
      <c r="I5389" s="668"/>
      <c r="J5389" s="668"/>
      <c r="K5389" s="668"/>
      <c r="L5389" s="668"/>
      <c r="M5389" s="668"/>
    </row>
    <row r="5390" spans="5:13">
      <c r="E5390" s="668"/>
      <c r="F5390" s="668"/>
      <c r="G5390" s="668"/>
      <c r="H5390" s="668"/>
      <c r="I5390" s="668"/>
      <c r="J5390" s="668"/>
      <c r="K5390" s="668"/>
      <c r="L5390" s="668"/>
      <c r="M5390" s="668"/>
    </row>
    <row r="5391" spans="5:13">
      <c r="E5391" s="668"/>
      <c r="F5391" s="668"/>
      <c r="G5391" s="668"/>
      <c r="H5391" s="668"/>
      <c r="I5391" s="668"/>
      <c r="J5391" s="668"/>
      <c r="K5391" s="668"/>
      <c r="L5391" s="668"/>
      <c r="M5391" s="668"/>
    </row>
    <row r="5392" spans="5:13">
      <c r="E5392" s="668"/>
      <c r="F5392" s="668"/>
      <c r="G5392" s="668"/>
      <c r="H5392" s="668"/>
      <c r="I5392" s="668"/>
      <c r="J5392" s="668"/>
      <c r="K5392" s="668"/>
      <c r="L5392" s="668"/>
      <c r="M5392" s="668"/>
    </row>
    <row r="5393" spans="5:13">
      <c r="E5393" s="668"/>
      <c r="F5393" s="668"/>
      <c r="G5393" s="668"/>
      <c r="H5393" s="668"/>
      <c r="I5393" s="668"/>
      <c r="J5393" s="668"/>
      <c r="K5393" s="668"/>
      <c r="L5393" s="668"/>
      <c r="M5393" s="668"/>
    </row>
    <row r="5394" spans="5:13">
      <c r="E5394" s="668"/>
      <c r="F5394" s="668"/>
      <c r="G5394" s="668"/>
      <c r="H5394" s="668"/>
      <c r="I5394" s="668"/>
      <c r="J5394" s="668"/>
      <c r="K5394" s="668"/>
      <c r="L5394" s="668"/>
      <c r="M5394" s="668"/>
    </row>
    <row r="5395" spans="5:13">
      <c r="E5395" s="668"/>
      <c r="F5395" s="668"/>
      <c r="G5395" s="668"/>
      <c r="H5395" s="668"/>
      <c r="I5395" s="668"/>
      <c r="J5395" s="668"/>
      <c r="K5395" s="668"/>
      <c r="L5395" s="668"/>
      <c r="M5395" s="668"/>
    </row>
    <row r="5396" spans="5:13">
      <c r="E5396" s="668"/>
      <c r="F5396" s="668"/>
      <c r="G5396" s="668"/>
      <c r="H5396" s="668"/>
      <c r="I5396" s="668"/>
      <c r="J5396" s="668"/>
      <c r="K5396" s="668"/>
      <c r="L5396" s="668"/>
      <c r="M5396" s="668"/>
    </row>
    <row r="5397" spans="5:13">
      <c r="E5397" s="668"/>
      <c r="F5397" s="668"/>
      <c r="G5397" s="668"/>
      <c r="H5397" s="668"/>
      <c r="I5397" s="668"/>
      <c r="J5397" s="668"/>
      <c r="K5397" s="668"/>
      <c r="L5397" s="668"/>
      <c r="M5397" s="668"/>
    </row>
    <row r="5398" spans="5:13">
      <c r="E5398" s="668"/>
      <c r="F5398" s="668"/>
      <c r="G5398" s="668"/>
      <c r="H5398" s="668"/>
      <c r="I5398" s="668"/>
      <c r="J5398" s="668"/>
      <c r="K5398" s="668"/>
      <c r="L5398" s="668"/>
      <c r="M5398" s="668"/>
    </row>
    <row r="5399" spans="5:13">
      <c r="E5399" s="668"/>
      <c r="F5399" s="668"/>
      <c r="G5399" s="668"/>
      <c r="H5399" s="668"/>
      <c r="I5399" s="668"/>
      <c r="J5399" s="668"/>
      <c r="K5399" s="668"/>
      <c r="L5399" s="668"/>
      <c r="M5399" s="668"/>
    </row>
    <row r="5400" spans="5:13">
      <c r="E5400" s="668"/>
      <c r="F5400" s="668"/>
      <c r="G5400" s="668"/>
      <c r="H5400" s="668"/>
      <c r="I5400" s="668"/>
      <c r="J5400" s="668"/>
      <c r="K5400" s="668"/>
      <c r="L5400" s="668"/>
      <c r="M5400" s="668"/>
    </row>
    <row r="5401" spans="5:13">
      <c r="E5401" s="668"/>
      <c r="F5401" s="668"/>
      <c r="G5401" s="668"/>
      <c r="H5401" s="668"/>
      <c r="I5401" s="668"/>
      <c r="J5401" s="668"/>
      <c r="K5401" s="668"/>
      <c r="L5401" s="668"/>
      <c r="M5401" s="668"/>
    </row>
    <row r="5402" spans="5:13">
      <c r="E5402" s="668"/>
      <c r="F5402" s="668"/>
      <c r="G5402" s="668"/>
      <c r="H5402" s="668"/>
      <c r="I5402" s="668"/>
      <c r="J5402" s="668"/>
      <c r="K5402" s="668"/>
      <c r="L5402" s="668"/>
      <c r="M5402" s="668"/>
    </row>
    <row r="5403" spans="5:13">
      <c r="E5403" s="668"/>
      <c r="F5403" s="668"/>
      <c r="G5403" s="668"/>
      <c r="H5403" s="668"/>
      <c r="I5403" s="668"/>
      <c r="J5403" s="668"/>
      <c r="K5403" s="668"/>
      <c r="L5403" s="668"/>
      <c r="M5403" s="668"/>
    </row>
    <row r="5404" spans="5:13">
      <c r="E5404" s="668"/>
      <c r="F5404" s="668"/>
      <c r="G5404" s="668"/>
      <c r="H5404" s="668"/>
      <c r="I5404" s="668"/>
      <c r="J5404" s="668"/>
      <c r="K5404" s="668"/>
      <c r="L5404" s="668"/>
      <c r="M5404" s="668"/>
    </row>
    <row r="5405" spans="5:13">
      <c r="E5405" s="668"/>
      <c r="F5405" s="668"/>
      <c r="G5405" s="668"/>
      <c r="H5405" s="668"/>
      <c r="I5405" s="668"/>
      <c r="J5405" s="668"/>
      <c r="K5405" s="668"/>
      <c r="L5405" s="668"/>
      <c r="M5405" s="668"/>
    </row>
    <row r="5406" spans="5:13">
      <c r="E5406" s="668"/>
      <c r="F5406" s="668"/>
      <c r="G5406" s="668"/>
      <c r="H5406" s="668"/>
      <c r="I5406" s="668"/>
      <c r="J5406" s="668"/>
      <c r="K5406" s="668"/>
      <c r="L5406" s="668"/>
      <c r="M5406" s="668"/>
    </row>
    <row r="5407" spans="5:13">
      <c r="E5407" s="668"/>
      <c r="F5407" s="668"/>
      <c r="G5407" s="668"/>
      <c r="H5407" s="668"/>
      <c r="I5407" s="668"/>
      <c r="J5407" s="668"/>
      <c r="K5407" s="668"/>
      <c r="L5407" s="668"/>
      <c r="M5407" s="668"/>
    </row>
    <row r="5408" spans="5:13">
      <c r="E5408" s="668"/>
      <c r="F5408" s="668"/>
      <c r="G5408" s="668"/>
      <c r="H5408" s="668"/>
      <c r="I5408" s="668"/>
      <c r="J5408" s="668"/>
      <c r="K5408" s="668"/>
      <c r="L5408" s="668"/>
      <c r="M5408" s="668"/>
    </row>
    <row r="5409" spans="5:13">
      <c r="E5409" s="668"/>
      <c r="F5409" s="668"/>
      <c r="G5409" s="668"/>
      <c r="H5409" s="668"/>
      <c r="I5409" s="668"/>
      <c r="J5409" s="668"/>
      <c r="K5409" s="668"/>
      <c r="L5409" s="668"/>
      <c r="M5409" s="668"/>
    </row>
    <row r="5410" spans="5:13">
      <c r="E5410" s="668"/>
      <c r="F5410" s="668"/>
      <c r="G5410" s="668"/>
      <c r="H5410" s="668"/>
      <c r="I5410" s="668"/>
      <c r="J5410" s="668"/>
      <c r="K5410" s="668"/>
      <c r="L5410" s="668"/>
      <c r="M5410" s="668"/>
    </row>
    <row r="5411" spans="5:13">
      <c r="E5411" s="668"/>
      <c r="F5411" s="668"/>
      <c r="G5411" s="668"/>
      <c r="H5411" s="668"/>
      <c r="I5411" s="668"/>
      <c r="J5411" s="668"/>
      <c r="K5411" s="668"/>
      <c r="L5411" s="668"/>
      <c r="M5411" s="668"/>
    </row>
    <row r="5412" spans="5:13">
      <c r="E5412" s="668"/>
      <c r="F5412" s="668"/>
      <c r="G5412" s="668"/>
      <c r="H5412" s="668"/>
      <c r="I5412" s="668"/>
      <c r="J5412" s="668"/>
      <c r="K5412" s="668"/>
      <c r="L5412" s="668"/>
      <c r="M5412" s="668"/>
    </row>
    <row r="5413" spans="5:13">
      <c r="E5413" s="668"/>
      <c r="F5413" s="668"/>
      <c r="G5413" s="668"/>
      <c r="H5413" s="668"/>
      <c r="I5413" s="668"/>
      <c r="J5413" s="668"/>
      <c r="K5413" s="668"/>
      <c r="L5413" s="668"/>
      <c r="M5413" s="668"/>
    </row>
    <row r="5414" spans="5:13">
      <c r="E5414" s="668"/>
      <c r="F5414" s="668"/>
      <c r="G5414" s="668"/>
      <c r="H5414" s="668"/>
      <c r="I5414" s="668"/>
      <c r="J5414" s="668"/>
      <c r="K5414" s="668"/>
      <c r="L5414" s="668"/>
      <c r="M5414" s="668"/>
    </row>
    <row r="5415" spans="5:13">
      <c r="E5415" s="668"/>
      <c r="F5415" s="668"/>
      <c r="G5415" s="668"/>
      <c r="H5415" s="668"/>
      <c r="I5415" s="668"/>
      <c r="J5415" s="668"/>
      <c r="K5415" s="668"/>
      <c r="L5415" s="668"/>
      <c r="M5415" s="668"/>
    </row>
    <row r="5416" spans="5:13">
      <c r="E5416" s="668"/>
      <c r="F5416" s="668"/>
      <c r="G5416" s="668"/>
      <c r="H5416" s="668"/>
      <c r="I5416" s="668"/>
      <c r="J5416" s="668"/>
      <c r="K5416" s="668"/>
      <c r="L5416" s="668"/>
      <c r="M5416" s="668"/>
    </row>
    <row r="5417" spans="5:13">
      <c r="E5417" s="668"/>
      <c r="F5417" s="668"/>
      <c r="G5417" s="668"/>
      <c r="H5417" s="668"/>
      <c r="I5417" s="668"/>
      <c r="J5417" s="668"/>
      <c r="K5417" s="668"/>
      <c r="L5417" s="668"/>
      <c r="M5417" s="668"/>
    </row>
    <row r="5418" spans="5:13">
      <c r="E5418" s="668"/>
      <c r="F5418" s="668"/>
      <c r="G5418" s="668"/>
      <c r="H5418" s="668"/>
      <c r="I5418" s="668"/>
      <c r="J5418" s="668"/>
      <c r="K5418" s="668"/>
      <c r="L5418" s="668"/>
      <c r="M5418" s="668"/>
    </row>
    <row r="5419" spans="5:13">
      <c r="E5419" s="668"/>
      <c r="F5419" s="668"/>
      <c r="G5419" s="668"/>
      <c r="H5419" s="668"/>
      <c r="I5419" s="668"/>
      <c r="J5419" s="668"/>
      <c r="K5419" s="668"/>
      <c r="L5419" s="668"/>
      <c r="M5419" s="668"/>
    </row>
    <row r="5420" spans="5:13">
      <c r="E5420" s="668"/>
      <c r="F5420" s="668"/>
      <c r="G5420" s="668"/>
      <c r="H5420" s="668"/>
      <c r="I5420" s="668"/>
      <c r="J5420" s="668"/>
      <c r="K5420" s="668"/>
      <c r="L5420" s="668"/>
      <c r="M5420" s="668"/>
    </row>
    <row r="5421" spans="5:13">
      <c r="E5421" s="668"/>
      <c r="F5421" s="668"/>
      <c r="G5421" s="668"/>
      <c r="H5421" s="668"/>
      <c r="I5421" s="668"/>
      <c r="J5421" s="668"/>
      <c r="K5421" s="668"/>
      <c r="L5421" s="668"/>
      <c r="M5421" s="668"/>
    </row>
    <row r="5422" spans="5:13">
      <c r="E5422" s="668"/>
      <c r="F5422" s="668"/>
      <c r="G5422" s="668"/>
      <c r="H5422" s="668"/>
      <c r="I5422" s="668"/>
      <c r="J5422" s="668"/>
      <c r="K5422" s="668"/>
      <c r="L5422" s="668"/>
      <c r="M5422" s="668"/>
    </row>
    <row r="5423" spans="5:13">
      <c r="E5423" s="668"/>
      <c r="F5423" s="668"/>
      <c r="G5423" s="668"/>
      <c r="H5423" s="668"/>
      <c r="I5423" s="668"/>
      <c r="J5423" s="668"/>
      <c r="K5423" s="668"/>
      <c r="L5423" s="668"/>
      <c r="M5423" s="668"/>
    </row>
    <row r="5424" spans="5:13">
      <c r="E5424" s="668"/>
      <c r="F5424" s="668"/>
      <c r="G5424" s="668"/>
      <c r="H5424" s="668"/>
      <c r="I5424" s="668"/>
      <c r="J5424" s="668"/>
      <c r="K5424" s="668"/>
      <c r="L5424" s="668"/>
      <c r="M5424" s="668"/>
    </row>
    <row r="5425" spans="5:13">
      <c r="E5425" s="668"/>
      <c r="F5425" s="668"/>
      <c r="G5425" s="668"/>
      <c r="H5425" s="668"/>
      <c r="I5425" s="668"/>
      <c r="J5425" s="668"/>
      <c r="K5425" s="668"/>
      <c r="L5425" s="668"/>
      <c r="M5425" s="668"/>
    </row>
    <row r="5426" spans="5:13">
      <c r="E5426" s="668"/>
      <c r="F5426" s="668"/>
      <c r="G5426" s="668"/>
      <c r="H5426" s="668"/>
      <c r="I5426" s="668"/>
      <c r="J5426" s="668"/>
      <c r="K5426" s="668"/>
      <c r="L5426" s="668"/>
      <c r="M5426" s="668"/>
    </row>
    <row r="5427" spans="5:13">
      <c r="E5427" s="668"/>
      <c r="F5427" s="668"/>
      <c r="G5427" s="668"/>
      <c r="H5427" s="668"/>
      <c r="I5427" s="668"/>
      <c r="J5427" s="668"/>
      <c r="K5427" s="668"/>
      <c r="L5427" s="668"/>
      <c r="M5427" s="668"/>
    </row>
    <row r="5428" spans="5:13">
      <c r="E5428" s="668"/>
      <c r="F5428" s="668"/>
      <c r="G5428" s="668"/>
      <c r="H5428" s="668"/>
      <c r="I5428" s="668"/>
      <c r="J5428" s="668"/>
      <c r="K5428" s="668"/>
      <c r="L5428" s="668"/>
      <c r="M5428" s="668"/>
    </row>
    <row r="5429" spans="5:13">
      <c r="E5429" s="668"/>
      <c r="F5429" s="668"/>
      <c r="G5429" s="668"/>
      <c r="H5429" s="668"/>
      <c r="I5429" s="668"/>
      <c r="J5429" s="668"/>
      <c r="K5429" s="668"/>
      <c r="L5429" s="668"/>
      <c r="M5429" s="668"/>
    </row>
    <row r="5430" spans="5:13">
      <c r="E5430" s="668"/>
      <c r="F5430" s="668"/>
      <c r="G5430" s="668"/>
      <c r="H5430" s="668"/>
      <c r="I5430" s="668"/>
      <c r="J5430" s="668"/>
      <c r="K5430" s="668"/>
      <c r="L5430" s="668"/>
      <c r="M5430" s="668"/>
    </row>
    <row r="5431" spans="5:13">
      <c r="E5431" s="668"/>
      <c r="F5431" s="668"/>
      <c r="G5431" s="668"/>
      <c r="H5431" s="668"/>
      <c r="I5431" s="668"/>
      <c r="J5431" s="668"/>
      <c r="K5431" s="668"/>
      <c r="L5431" s="668"/>
      <c r="M5431" s="668"/>
    </row>
    <row r="5432" spans="5:13">
      <c r="E5432" s="668"/>
      <c r="F5432" s="668"/>
      <c r="G5432" s="668"/>
      <c r="H5432" s="668"/>
      <c r="I5432" s="668"/>
      <c r="J5432" s="668"/>
      <c r="K5432" s="668"/>
      <c r="L5432" s="668"/>
      <c r="M5432" s="668"/>
    </row>
    <row r="5433" spans="5:13">
      <c r="E5433" s="668"/>
      <c r="F5433" s="668"/>
      <c r="G5433" s="668"/>
      <c r="H5433" s="668"/>
      <c r="I5433" s="668"/>
      <c r="J5433" s="668"/>
      <c r="K5433" s="668"/>
      <c r="L5433" s="668"/>
      <c r="M5433" s="668"/>
    </row>
    <row r="5434" spans="5:13">
      <c r="E5434" s="668"/>
      <c r="F5434" s="668"/>
      <c r="G5434" s="668"/>
      <c r="H5434" s="668"/>
      <c r="I5434" s="668"/>
      <c r="J5434" s="668"/>
      <c r="K5434" s="668"/>
      <c r="L5434" s="668"/>
      <c r="M5434" s="668"/>
    </row>
    <row r="5435" spans="5:13">
      <c r="E5435" s="668"/>
      <c r="F5435" s="668"/>
      <c r="G5435" s="668"/>
      <c r="H5435" s="668"/>
      <c r="I5435" s="668"/>
      <c r="J5435" s="668"/>
      <c r="K5435" s="668"/>
      <c r="L5435" s="668"/>
      <c r="M5435" s="668"/>
    </row>
    <row r="5436" spans="5:13">
      <c r="E5436" s="668"/>
      <c r="F5436" s="668"/>
      <c r="G5436" s="668"/>
      <c r="H5436" s="668"/>
      <c r="I5436" s="668"/>
      <c r="J5436" s="668"/>
      <c r="K5436" s="668"/>
      <c r="L5436" s="668"/>
      <c r="M5436" s="668"/>
    </row>
    <row r="5437" spans="5:13">
      <c r="E5437" s="668"/>
      <c r="F5437" s="668"/>
      <c r="G5437" s="668"/>
      <c r="H5437" s="668"/>
      <c r="I5437" s="668"/>
      <c r="J5437" s="668"/>
      <c r="K5437" s="668"/>
      <c r="L5437" s="668"/>
      <c r="M5437" s="668"/>
    </row>
    <row r="5438" spans="5:13">
      <c r="E5438" s="668"/>
      <c r="F5438" s="668"/>
      <c r="G5438" s="668"/>
      <c r="H5438" s="668"/>
      <c r="I5438" s="668"/>
      <c r="J5438" s="668"/>
      <c r="K5438" s="668"/>
      <c r="L5438" s="668"/>
      <c r="M5438" s="668"/>
    </row>
    <row r="5439" spans="5:13">
      <c r="E5439" s="668"/>
      <c r="F5439" s="668"/>
      <c r="G5439" s="668"/>
      <c r="H5439" s="668"/>
      <c r="I5439" s="668"/>
      <c r="J5439" s="668"/>
      <c r="K5439" s="668"/>
      <c r="L5439" s="668"/>
      <c r="M5439" s="668"/>
    </row>
    <row r="5440" spans="5:13">
      <c r="E5440" s="668"/>
      <c r="F5440" s="668"/>
      <c r="G5440" s="668"/>
      <c r="H5440" s="668"/>
      <c r="I5440" s="668"/>
      <c r="J5440" s="668"/>
      <c r="K5440" s="668"/>
      <c r="L5440" s="668"/>
      <c r="M5440" s="668"/>
    </row>
    <row r="5441" spans="5:13">
      <c r="E5441" s="668"/>
      <c r="F5441" s="668"/>
      <c r="G5441" s="668"/>
      <c r="H5441" s="668"/>
      <c r="I5441" s="668"/>
      <c r="J5441" s="668"/>
      <c r="K5441" s="668"/>
      <c r="L5441" s="668"/>
      <c r="M5441" s="668"/>
    </row>
    <row r="5442" spans="5:13">
      <c r="E5442" s="668"/>
      <c r="F5442" s="668"/>
      <c r="G5442" s="668"/>
      <c r="H5442" s="668"/>
      <c r="I5442" s="668"/>
      <c r="J5442" s="668"/>
      <c r="K5442" s="668"/>
      <c r="L5442" s="668"/>
      <c r="M5442" s="668"/>
    </row>
    <row r="5443" spans="5:13">
      <c r="E5443" s="668"/>
      <c r="F5443" s="668"/>
      <c r="G5443" s="668"/>
      <c r="H5443" s="668"/>
      <c r="I5443" s="668"/>
      <c r="J5443" s="668"/>
      <c r="K5443" s="668"/>
      <c r="L5443" s="668"/>
      <c r="M5443" s="668"/>
    </row>
    <row r="5444" spans="5:13">
      <c r="E5444" s="668"/>
      <c r="F5444" s="668"/>
      <c r="G5444" s="668"/>
      <c r="H5444" s="668"/>
      <c r="I5444" s="668"/>
      <c r="J5444" s="668"/>
      <c r="K5444" s="668"/>
      <c r="L5444" s="668"/>
      <c r="M5444" s="668"/>
    </row>
    <row r="5445" spans="5:13">
      <c r="E5445" s="668"/>
      <c r="F5445" s="668"/>
      <c r="G5445" s="668"/>
      <c r="H5445" s="668"/>
      <c r="I5445" s="668"/>
      <c r="J5445" s="668"/>
      <c r="K5445" s="668"/>
      <c r="L5445" s="668"/>
      <c r="M5445" s="668"/>
    </row>
    <row r="5446" spans="5:13">
      <c r="E5446" s="668"/>
      <c r="F5446" s="668"/>
      <c r="G5446" s="668"/>
      <c r="H5446" s="668"/>
      <c r="I5446" s="668"/>
      <c r="J5446" s="668"/>
      <c r="K5446" s="668"/>
      <c r="L5446" s="668"/>
      <c r="M5446" s="668"/>
    </row>
    <row r="5447" spans="5:13">
      <c r="E5447" s="668"/>
      <c r="F5447" s="668"/>
      <c r="G5447" s="668"/>
      <c r="H5447" s="668"/>
      <c r="I5447" s="668"/>
      <c r="J5447" s="668"/>
      <c r="K5447" s="668"/>
      <c r="L5447" s="668"/>
      <c r="M5447" s="668"/>
    </row>
    <row r="5448" spans="5:13">
      <c r="E5448" s="668"/>
      <c r="F5448" s="668"/>
      <c r="G5448" s="668"/>
      <c r="H5448" s="668"/>
      <c r="I5448" s="668"/>
      <c r="J5448" s="668"/>
      <c r="K5448" s="668"/>
      <c r="L5448" s="668"/>
      <c r="M5448" s="668"/>
    </row>
    <row r="5449" spans="5:13">
      <c r="E5449" s="668"/>
      <c r="F5449" s="668"/>
      <c r="G5449" s="668"/>
      <c r="H5449" s="668"/>
      <c r="I5449" s="668"/>
      <c r="J5449" s="668"/>
      <c r="K5449" s="668"/>
      <c r="L5449" s="668"/>
      <c r="M5449" s="668"/>
    </row>
    <row r="5450" spans="5:13">
      <c r="E5450" s="668"/>
      <c r="F5450" s="668"/>
      <c r="G5450" s="668"/>
      <c r="H5450" s="668"/>
      <c r="I5450" s="668"/>
      <c r="J5450" s="668"/>
      <c r="K5450" s="668"/>
      <c r="L5450" s="668"/>
      <c r="M5450" s="668"/>
    </row>
    <row r="5451" spans="5:13">
      <c r="E5451" s="668"/>
      <c r="F5451" s="668"/>
      <c r="G5451" s="668"/>
      <c r="H5451" s="668"/>
      <c r="I5451" s="668"/>
      <c r="J5451" s="668"/>
      <c r="K5451" s="668"/>
      <c r="L5451" s="668"/>
      <c r="M5451" s="668"/>
    </row>
    <row r="5452" spans="5:13">
      <c r="E5452" s="668"/>
      <c r="F5452" s="668"/>
      <c r="G5452" s="668"/>
      <c r="H5452" s="668"/>
      <c r="I5452" s="668"/>
      <c r="J5452" s="668"/>
      <c r="K5452" s="668"/>
      <c r="L5452" s="668"/>
      <c r="M5452" s="668"/>
    </row>
    <row r="5453" spans="5:13">
      <c r="E5453" s="668"/>
      <c r="F5453" s="668"/>
      <c r="G5453" s="668"/>
      <c r="H5453" s="668"/>
      <c r="I5453" s="668"/>
      <c r="J5453" s="668"/>
      <c r="K5453" s="668"/>
      <c r="L5453" s="668"/>
      <c r="M5453" s="668"/>
    </row>
    <row r="5454" spans="5:13">
      <c r="E5454" s="668"/>
      <c r="F5454" s="668"/>
      <c r="G5454" s="668"/>
      <c r="H5454" s="668"/>
      <c r="I5454" s="668"/>
      <c r="J5454" s="668"/>
      <c r="K5454" s="668"/>
      <c r="L5454" s="668"/>
      <c r="M5454" s="668"/>
    </row>
    <row r="5455" spans="5:13">
      <c r="E5455" s="668"/>
      <c r="F5455" s="668"/>
      <c r="G5455" s="668"/>
      <c r="H5455" s="668"/>
      <c r="I5455" s="668"/>
      <c r="J5455" s="668"/>
      <c r="K5455" s="668"/>
      <c r="L5455" s="668"/>
      <c r="M5455" s="668"/>
    </row>
    <row r="5456" spans="5:13">
      <c r="E5456" s="668"/>
      <c r="F5456" s="668"/>
      <c r="G5456" s="668"/>
      <c r="H5456" s="668"/>
      <c r="I5456" s="668"/>
      <c r="J5456" s="668"/>
      <c r="K5456" s="668"/>
      <c r="L5456" s="668"/>
      <c r="M5456" s="668"/>
    </row>
    <row r="5457" spans="5:13">
      <c r="E5457" s="668"/>
      <c r="F5457" s="668"/>
      <c r="G5457" s="668"/>
      <c r="H5457" s="668"/>
      <c r="I5457" s="668"/>
      <c r="J5457" s="668"/>
      <c r="K5457" s="668"/>
      <c r="L5457" s="668"/>
      <c r="M5457" s="668"/>
    </row>
    <row r="5458" spans="5:13">
      <c r="E5458" s="668"/>
      <c r="F5458" s="668"/>
      <c r="G5458" s="668"/>
      <c r="H5458" s="668"/>
      <c r="I5458" s="668"/>
      <c r="J5458" s="668"/>
      <c r="K5458" s="668"/>
      <c r="L5458" s="668"/>
      <c r="M5458" s="668"/>
    </row>
    <row r="5459" spans="5:13">
      <c r="E5459" s="668"/>
      <c r="F5459" s="668"/>
      <c r="G5459" s="668"/>
      <c r="H5459" s="668"/>
      <c r="I5459" s="668"/>
      <c r="J5459" s="668"/>
      <c r="K5459" s="668"/>
      <c r="L5459" s="668"/>
      <c r="M5459" s="668"/>
    </row>
    <row r="5460" spans="5:13">
      <c r="E5460" s="668"/>
      <c r="F5460" s="668"/>
      <c r="G5460" s="668"/>
      <c r="H5460" s="668"/>
      <c r="I5460" s="668"/>
      <c r="J5460" s="668"/>
      <c r="K5460" s="668"/>
      <c r="L5460" s="668"/>
      <c r="M5460" s="668"/>
    </row>
    <row r="5461" spans="5:13">
      <c r="E5461" s="668"/>
      <c r="F5461" s="668"/>
      <c r="G5461" s="668"/>
      <c r="H5461" s="668"/>
      <c r="I5461" s="668"/>
      <c r="J5461" s="668"/>
      <c r="K5461" s="668"/>
      <c r="L5461" s="668"/>
      <c r="M5461" s="668"/>
    </row>
    <row r="5462" spans="5:13">
      <c r="E5462" s="668"/>
      <c r="F5462" s="668"/>
      <c r="G5462" s="668"/>
      <c r="H5462" s="668"/>
      <c r="I5462" s="668"/>
      <c r="J5462" s="668"/>
      <c r="K5462" s="668"/>
      <c r="L5462" s="668"/>
      <c r="M5462" s="668"/>
    </row>
    <row r="5463" spans="5:13">
      <c r="E5463" s="668"/>
      <c r="F5463" s="668"/>
      <c r="G5463" s="668"/>
      <c r="H5463" s="668"/>
      <c r="I5463" s="668"/>
      <c r="J5463" s="668"/>
      <c r="K5463" s="668"/>
      <c r="L5463" s="668"/>
      <c r="M5463" s="668"/>
    </row>
    <row r="5464" spans="5:13">
      <c r="E5464" s="668"/>
      <c r="F5464" s="668"/>
      <c r="G5464" s="668"/>
      <c r="H5464" s="668"/>
      <c r="I5464" s="668"/>
      <c r="J5464" s="668"/>
      <c r="K5464" s="668"/>
      <c r="L5464" s="668"/>
      <c r="M5464" s="668"/>
    </row>
    <row r="5465" spans="5:13">
      <c r="E5465" s="668"/>
      <c r="F5465" s="668"/>
      <c r="G5465" s="668"/>
      <c r="H5465" s="668"/>
      <c r="I5465" s="668"/>
      <c r="J5465" s="668"/>
      <c r="K5465" s="668"/>
      <c r="L5465" s="668"/>
      <c r="M5465" s="668"/>
    </row>
    <row r="5466" spans="5:13">
      <c r="E5466" s="668"/>
      <c r="F5466" s="668"/>
      <c r="G5466" s="668"/>
      <c r="H5466" s="668"/>
      <c r="I5466" s="668"/>
      <c r="J5466" s="668"/>
      <c r="K5466" s="668"/>
      <c r="L5466" s="668"/>
      <c r="M5466" s="668"/>
    </row>
    <row r="5467" spans="5:13">
      <c r="E5467" s="668"/>
      <c r="F5467" s="668"/>
      <c r="G5467" s="668"/>
      <c r="H5467" s="668"/>
      <c r="I5467" s="668"/>
      <c r="J5467" s="668"/>
      <c r="K5467" s="668"/>
      <c r="L5467" s="668"/>
      <c r="M5467" s="668"/>
    </row>
    <row r="5468" spans="5:13">
      <c r="E5468" s="668"/>
      <c r="F5468" s="668"/>
      <c r="G5468" s="668"/>
      <c r="H5468" s="668"/>
      <c r="I5468" s="668"/>
      <c r="J5468" s="668"/>
      <c r="K5468" s="668"/>
      <c r="L5468" s="668"/>
      <c r="M5468" s="668"/>
    </row>
    <row r="5469" spans="5:13">
      <c r="E5469" s="668"/>
      <c r="F5469" s="668"/>
      <c r="G5469" s="668"/>
      <c r="H5469" s="668"/>
      <c r="I5469" s="668"/>
      <c r="J5469" s="668"/>
      <c r="K5469" s="668"/>
      <c r="L5469" s="668"/>
      <c r="M5469" s="668"/>
    </row>
    <row r="5470" spans="5:13">
      <c r="E5470" s="668"/>
      <c r="F5470" s="668"/>
      <c r="G5470" s="668"/>
      <c r="H5470" s="668"/>
      <c r="I5470" s="668"/>
      <c r="J5470" s="668"/>
      <c r="K5470" s="668"/>
      <c r="L5470" s="668"/>
      <c r="M5470" s="668"/>
    </row>
    <row r="5471" spans="5:13">
      <c r="E5471" s="668"/>
      <c r="F5471" s="668"/>
      <c r="G5471" s="668"/>
      <c r="H5471" s="668"/>
      <c r="I5471" s="668"/>
      <c r="J5471" s="668"/>
      <c r="K5471" s="668"/>
      <c r="L5471" s="668"/>
      <c r="M5471" s="668"/>
    </row>
    <row r="5472" spans="5:13">
      <c r="E5472" s="668"/>
      <c r="F5472" s="668"/>
      <c r="G5472" s="668"/>
      <c r="H5472" s="668"/>
      <c r="I5472" s="668"/>
      <c r="J5472" s="668"/>
      <c r="K5472" s="668"/>
      <c r="L5472" s="668"/>
      <c r="M5472" s="668"/>
    </row>
    <row r="5473" spans="5:13">
      <c r="E5473" s="668"/>
      <c r="F5473" s="668"/>
      <c r="G5473" s="668"/>
      <c r="H5473" s="668"/>
      <c r="I5473" s="668"/>
      <c r="J5473" s="668"/>
      <c r="K5473" s="668"/>
      <c r="L5473" s="668"/>
      <c r="M5473" s="668"/>
    </row>
    <row r="5474" spans="5:13">
      <c r="E5474" s="668"/>
      <c r="F5474" s="668"/>
      <c r="G5474" s="668"/>
      <c r="H5474" s="668"/>
      <c r="I5474" s="668"/>
      <c r="J5474" s="668"/>
      <c r="K5474" s="668"/>
      <c r="L5474" s="668"/>
      <c r="M5474" s="668"/>
    </row>
    <row r="5475" spans="5:13">
      <c r="E5475" s="668"/>
      <c r="F5475" s="668"/>
      <c r="G5475" s="668"/>
      <c r="H5475" s="668"/>
      <c r="I5475" s="668"/>
      <c r="J5475" s="668"/>
      <c r="K5475" s="668"/>
      <c r="L5475" s="668"/>
      <c r="M5475" s="668"/>
    </row>
    <row r="5476" spans="5:13">
      <c r="E5476" s="668"/>
      <c r="F5476" s="668"/>
      <c r="G5476" s="668"/>
      <c r="H5476" s="668"/>
      <c r="I5476" s="668"/>
      <c r="J5476" s="668"/>
      <c r="K5476" s="668"/>
      <c r="L5476" s="668"/>
      <c r="M5476" s="668"/>
    </row>
    <row r="5477" spans="5:13">
      <c r="E5477" s="668"/>
      <c r="F5477" s="668"/>
      <c r="G5477" s="668"/>
      <c r="H5477" s="668"/>
      <c r="I5477" s="668"/>
      <c r="J5477" s="668"/>
      <c r="K5477" s="668"/>
      <c r="L5477" s="668"/>
      <c r="M5477" s="668"/>
    </row>
    <row r="5478" spans="5:13">
      <c r="E5478" s="668"/>
      <c r="F5478" s="668"/>
      <c r="G5478" s="668"/>
      <c r="H5478" s="668"/>
      <c r="I5478" s="668"/>
      <c r="J5478" s="668"/>
      <c r="K5478" s="668"/>
      <c r="L5478" s="668"/>
      <c r="M5478" s="668"/>
    </row>
    <row r="5479" spans="5:13">
      <c r="E5479" s="668"/>
      <c r="F5479" s="668"/>
      <c r="G5479" s="668"/>
      <c r="H5479" s="668"/>
      <c r="I5479" s="668"/>
      <c r="J5479" s="668"/>
      <c r="K5479" s="668"/>
      <c r="L5479" s="668"/>
      <c r="M5479" s="668"/>
    </row>
    <row r="5480" spans="5:13">
      <c r="E5480" s="668"/>
      <c r="F5480" s="668"/>
      <c r="G5480" s="668"/>
      <c r="H5480" s="668"/>
      <c r="I5480" s="668"/>
      <c r="J5480" s="668"/>
      <c r="K5480" s="668"/>
      <c r="L5480" s="668"/>
      <c r="M5480" s="668"/>
    </row>
    <row r="5481" spans="5:13">
      <c r="E5481" s="668"/>
      <c r="F5481" s="668"/>
      <c r="G5481" s="668"/>
      <c r="H5481" s="668"/>
      <c r="I5481" s="668"/>
      <c r="J5481" s="668"/>
      <c r="K5481" s="668"/>
      <c r="L5481" s="668"/>
      <c r="M5481" s="668"/>
    </row>
    <row r="5482" spans="5:13">
      <c r="E5482" s="668"/>
      <c r="F5482" s="668"/>
      <c r="G5482" s="668"/>
      <c r="H5482" s="668"/>
      <c r="I5482" s="668"/>
      <c r="J5482" s="668"/>
      <c r="K5482" s="668"/>
      <c r="L5482" s="668"/>
      <c r="M5482" s="668"/>
    </row>
    <row r="5483" spans="5:13">
      <c r="E5483" s="668"/>
      <c r="F5483" s="668"/>
      <c r="G5483" s="668"/>
      <c r="H5483" s="668"/>
      <c r="I5483" s="668"/>
      <c r="J5483" s="668"/>
      <c r="K5483" s="668"/>
      <c r="L5483" s="668"/>
      <c r="M5483" s="668"/>
    </row>
    <row r="5484" spans="5:13">
      <c r="E5484" s="668"/>
      <c r="F5484" s="668"/>
      <c r="G5484" s="668"/>
      <c r="H5484" s="668"/>
      <c r="I5484" s="668"/>
      <c r="J5484" s="668"/>
      <c r="K5484" s="668"/>
      <c r="L5484" s="668"/>
      <c r="M5484" s="668"/>
    </row>
    <row r="5485" spans="5:13">
      <c r="E5485" s="668"/>
      <c r="F5485" s="668"/>
      <c r="G5485" s="668"/>
      <c r="H5485" s="668"/>
      <c r="I5485" s="668"/>
      <c r="J5485" s="668"/>
      <c r="K5485" s="668"/>
      <c r="L5485" s="668"/>
      <c r="M5485" s="668"/>
    </row>
    <row r="5486" spans="5:13">
      <c r="E5486" s="668"/>
      <c r="F5486" s="668"/>
      <c r="G5486" s="668"/>
      <c r="H5486" s="668"/>
      <c r="I5486" s="668"/>
      <c r="J5486" s="668"/>
      <c r="K5486" s="668"/>
      <c r="L5486" s="668"/>
      <c r="M5486" s="668"/>
    </row>
    <row r="5487" spans="5:13">
      <c r="E5487" s="668"/>
      <c r="F5487" s="668"/>
      <c r="G5487" s="668"/>
      <c r="H5487" s="668"/>
      <c r="I5487" s="668"/>
      <c r="J5487" s="668"/>
      <c r="K5487" s="668"/>
      <c r="L5487" s="668"/>
      <c r="M5487" s="668"/>
    </row>
    <row r="5488" spans="5:13">
      <c r="E5488" s="668"/>
      <c r="F5488" s="668"/>
      <c r="G5488" s="668"/>
      <c r="H5488" s="668"/>
      <c r="I5488" s="668"/>
      <c r="J5488" s="668"/>
      <c r="K5488" s="668"/>
      <c r="L5488" s="668"/>
      <c r="M5488" s="668"/>
    </row>
    <row r="5489" spans="5:13">
      <c r="E5489" s="668"/>
      <c r="F5489" s="668"/>
      <c r="G5489" s="668"/>
      <c r="H5489" s="668"/>
      <c r="I5489" s="668"/>
      <c r="J5489" s="668"/>
      <c r="K5489" s="668"/>
      <c r="L5489" s="668"/>
      <c r="M5489" s="668"/>
    </row>
    <row r="5490" spans="5:13">
      <c r="E5490" s="668"/>
      <c r="F5490" s="668"/>
      <c r="G5490" s="668"/>
      <c r="H5490" s="668"/>
      <c r="I5490" s="668"/>
      <c r="J5490" s="668"/>
      <c r="K5490" s="668"/>
      <c r="L5490" s="668"/>
      <c r="M5490" s="668"/>
    </row>
    <row r="5491" spans="5:13">
      <c r="E5491" s="668"/>
      <c r="F5491" s="668"/>
      <c r="G5491" s="668"/>
      <c r="H5491" s="668"/>
      <c r="I5491" s="668"/>
      <c r="J5491" s="668"/>
      <c r="K5491" s="668"/>
      <c r="L5491" s="668"/>
      <c r="M5491" s="668"/>
    </row>
    <row r="5492" spans="5:13">
      <c r="E5492" s="668"/>
      <c r="F5492" s="668"/>
      <c r="G5492" s="668"/>
      <c r="H5492" s="668"/>
      <c r="I5492" s="668"/>
      <c r="J5492" s="668"/>
      <c r="K5492" s="668"/>
      <c r="L5492" s="668"/>
      <c r="M5492" s="668"/>
    </row>
    <row r="5493" spans="5:13">
      <c r="E5493" s="668"/>
      <c r="F5493" s="668"/>
      <c r="G5493" s="668"/>
      <c r="H5493" s="668"/>
      <c r="I5493" s="668"/>
      <c r="J5493" s="668"/>
      <c r="K5493" s="668"/>
      <c r="L5493" s="668"/>
      <c r="M5493" s="668"/>
    </row>
    <row r="5494" spans="5:13">
      <c r="E5494" s="668"/>
      <c r="F5494" s="668"/>
      <c r="G5494" s="668"/>
      <c r="H5494" s="668"/>
      <c r="I5494" s="668"/>
      <c r="J5494" s="668"/>
      <c r="K5494" s="668"/>
      <c r="L5494" s="668"/>
      <c r="M5494" s="668"/>
    </row>
    <row r="5495" spans="5:13">
      <c r="E5495" s="668"/>
      <c r="F5495" s="668"/>
      <c r="G5495" s="668"/>
      <c r="H5495" s="668"/>
      <c r="I5495" s="668"/>
      <c r="J5495" s="668"/>
      <c r="K5495" s="668"/>
      <c r="L5495" s="668"/>
      <c r="M5495" s="668"/>
    </row>
    <row r="5496" spans="5:13">
      <c r="E5496" s="668"/>
      <c r="F5496" s="668"/>
      <c r="G5496" s="668"/>
      <c r="H5496" s="668"/>
      <c r="I5496" s="668"/>
      <c r="J5496" s="668"/>
      <c r="K5496" s="668"/>
      <c r="L5496" s="668"/>
      <c r="M5496" s="668"/>
    </row>
    <row r="5497" spans="5:13">
      <c r="E5497" s="668"/>
      <c r="F5497" s="668"/>
      <c r="G5497" s="668"/>
      <c r="H5497" s="668"/>
      <c r="I5497" s="668"/>
      <c r="J5497" s="668"/>
      <c r="K5497" s="668"/>
      <c r="L5497" s="668"/>
      <c r="M5497" s="668"/>
    </row>
    <row r="5498" spans="5:13">
      <c r="E5498" s="668"/>
      <c r="F5498" s="668"/>
      <c r="G5498" s="668"/>
      <c r="H5498" s="668"/>
      <c r="I5498" s="668"/>
      <c r="J5498" s="668"/>
      <c r="K5498" s="668"/>
      <c r="L5498" s="668"/>
      <c r="M5498" s="668"/>
    </row>
    <row r="5499" spans="5:13">
      <c r="E5499" s="668"/>
      <c r="F5499" s="668"/>
      <c r="G5499" s="668"/>
      <c r="H5499" s="668"/>
      <c r="I5499" s="668"/>
      <c r="J5499" s="668"/>
      <c r="K5499" s="668"/>
      <c r="L5499" s="668"/>
      <c r="M5499" s="668"/>
    </row>
    <row r="5500" spans="5:13">
      <c r="E5500" s="668"/>
      <c r="F5500" s="668"/>
      <c r="G5500" s="668"/>
      <c r="H5500" s="668"/>
      <c r="I5500" s="668"/>
      <c r="J5500" s="668"/>
      <c r="K5500" s="668"/>
      <c r="L5500" s="668"/>
      <c r="M5500" s="668"/>
    </row>
    <row r="5501" spans="5:13">
      <c r="E5501" s="668"/>
      <c r="F5501" s="668"/>
      <c r="G5501" s="668"/>
      <c r="H5501" s="668"/>
      <c r="I5501" s="668"/>
      <c r="J5501" s="668"/>
      <c r="K5501" s="668"/>
      <c r="L5501" s="668"/>
      <c r="M5501" s="668"/>
    </row>
    <row r="5502" spans="5:13">
      <c r="E5502" s="668"/>
      <c r="F5502" s="668"/>
      <c r="G5502" s="668"/>
      <c r="H5502" s="668"/>
      <c r="I5502" s="668"/>
      <c r="J5502" s="668"/>
      <c r="K5502" s="668"/>
      <c r="L5502" s="668"/>
      <c r="M5502" s="668"/>
    </row>
    <row r="5503" spans="5:13">
      <c r="E5503" s="668"/>
      <c r="F5503" s="668"/>
      <c r="G5503" s="668"/>
      <c r="H5503" s="668"/>
      <c r="I5503" s="668"/>
      <c r="J5503" s="668"/>
      <c r="K5503" s="668"/>
      <c r="L5503" s="668"/>
      <c r="M5503" s="668"/>
    </row>
    <row r="5504" spans="5:13">
      <c r="E5504" s="668"/>
      <c r="F5504" s="668"/>
      <c r="G5504" s="668"/>
      <c r="H5504" s="668"/>
      <c r="I5504" s="668"/>
      <c r="J5504" s="668"/>
      <c r="K5504" s="668"/>
      <c r="L5504" s="668"/>
      <c r="M5504" s="668"/>
    </row>
    <row r="5505" spans="5:13">
      <c r="E5505" s="668"/>
      <c r="F5505" s="668"/>
      <c r="G5505" s="668"/>
      <c r="H5505" s="668"/>
      <c r="I5505" s="668"/>
      <c r="J5505" s="668"/>
      <c r="K5505" s="668"/>
      <c r="L5505" s="668"/>
      <c r="M5505" s="668"/>
    </row>
    <row r="5506" spans="5:13">
      <c r="E5506" s="668"/>
      <c r="F5506" s="668"/>
      <c r="G5506" s="668"/>
      <c r="H5506" s="668"/>
      <c r="I5506" s="668"/>
      <c r="J5506" s="668"/>
      <c r="K5506" s="668"/>
      <c r="L5506" s="668"/>
      <c r="M5506" s="668"/>
    </row>
    <row r="5507" spans="5:13">
      <c r="E5507" s="668"/>
      <c r="F5507" s="668"/>
      <c r="G5507" s="668"/>
      <c r="H5507" s="668"/>
      <c r="I5507" s="668"/>
      <c r="J5507" s="668"/>
      <c r="K5507" s="668"/>
      <c r="L5507" s="668"/>
      <c r="M5507" s="668"/>
    </row>
    <row r="5508" spans="5:13">
      <c r="E5508" s="668"/>
      <c r="F5508" s="668"/>
      <c r="G5508" s="668"/>
      <c r="H5508" s="668"/>
      <c r="I5508" s="668"/>
      <c r="J5508" s="668"/>
      <c r="K5508" s="668"/>
      <c r="L5508" s="668"/>
      <c r="M5508" s="668"/>
    </row>
    <row r="5509" spans="5:13">
      <c r="E5509" s="668"/>
      <c r="F5509" s="668"/>
      <c r="G5509" s="668"/>
      <c r="H5509" s="668"/>
      <c r="I5509" s="668"/>
      <c r="J5509" s="668"/>
      <c r="K5509" s="668"/>
      <c r="L5509" s="668"/>
      <c r="M5509" s="668"/>
    </row>
    <row r="5510" spans="5:13">
      <c r="E5510" s="668"/>
      <c r="F5510" s="668"/>
      <c r="G5510" s="668"/>
      <c r="H5510" s="668"/>
      <c r="I5510" s="668"/>
      <c r="J5510" s="668"/>
      <c r="K5510" s="668"/>
      <c r="L5510" s="668"/>
      <c r="M5510" s="668"/>
    </row>
    <row r="5511" spans="5:13">
      <c r="E5511" s="668"/>
      <c r="F5511" s="668"/>
      <c r="G5511" s="668"/>
      <c r="H5511" s="668"/>
      <c r="I5511" s="668"/>
      <c r="J5511" s="668"/>
      <c r="K5511" s="668"/>
      <c r="L5511" s="668"/>
      <c r="M5511" s="668"/>
    </row>
    <row r="5512" spans="5:13">
      <c r="E5512" s="668"/>
      <c r="F5512" s="668"/>
      <c r="G5512" s="668"/>
      <c r="H5512" s="668"/>
      <c r="I5512" s="668"/>
      <c r="J5512" s="668"/>
      <c r="K5512" s="668"/>
      <c r="L5512" s="668"/>
      <c r="M5512" s="668"/>
    </row>
    <row r="5513" spans="5:13">
      <c r="E5513" s="668"/>
      <c r="F5513" s="668"/>
      <c r="G5513" s="668"/>
      <c r="H5513" s="668"/>
      <c r="I5513" s="668"/>
      <c r="J5513" s="668"/>
      <c r="K5513" s="668"/>
      <c r="L5513" s="668"/>
      <c r="M5513" s="668"/>
    </row>
    <row r="5514" spans="5:13">
      <c r="E5514" s="668"/>
      <c r="F5514" s="668"/>
      <c r="G5514" s="668"/>
      <c r="H5514" s="668"/>
      <c r="I5514" s="668"/>
      <c r="J5514" s="668"/>
      <c r="K5514" s="668"/>
      <c r="L5514" s="668"/>
      <c r="M5514" s="668"/>
    </row>
    <row r="5515" spans="5:13">
      <c r="E5515" s="668"/>
      <c r="F5515" s="668"/>
      <c r="G5515" s="668"/>
      <c r="H5515" s="668"/>
      <c r="I5515" s="668"/>
      <c r="J5515" s="668"/>
      <c r="K5515" s="668"/>
      <c r="L5515" s="668"/>
      <c r="M5515" s="668"/>
    </row>
    <row r="5516" spans="5:13">
      <c r="E5516" s="668"/>
      <c r="F5516" s="668"/>
      <c r="G5516" s="668"/>
      <c r="H5516" s="668"/>
      <c r="I5516" s="668"/>
      <c r="J5516" s="668"/>
      <c r="K5516" s="668"/>
      <c r="L5516" s="668"/>
      <c r="M5516" s="668"/>
    </row>
    <row r="5517" spans="5:13">
      <c r="E5517" s="668"/>
      <c r="F5517" s="668"/>
      <c r="G5517" s="668"/>
      <c r="H5517" s="668"/>
      <c r="I5517" s="668"/>
      <c r="J5517" s="668"/>
      <c r="K5517" s="668"/>
      <c r="L5517" s="668"/>
      <c r="M5517" s="668"/>
    </row>
    <row r="5518" spans="5:13">
      <c r="E5518" s="668"/>
      <c r="F5518" s="668"/>
      <c r="G5518" s="668"/>
      <c r="H5518" s="668"/>
      <c r="I5518" s="668"/>
      <c r="J5518" s="668"/>
      <c r="K5518" s="668"/>
      <c r="L5518" s="668"/>
      <c r="M5518" s="668"/>
    </row>
    <row r="5519" spans="5:13">
      <c r="E5519" s="668"/>
      <c r="F5519" s="668"/>
      <c r="G5519" s="668"/>
      <c r="H5519" s="668"/>
      <c r="I5519" s="668"/>
      <c r="J5519" s="668"/>
      <c r="K5519" s="668"/>
      <c r="L5519" s="668"/>
      <c r="M5519" s="668"/>
    </row>
    <row r="5520" spans="5:13">
      <c r="E5520" s="668"/>
      <c r="F5520" s="668"/>
      <c r="G5520" s="668"/>
      <c r="H5520" s="668"/>
      <c r="I5520" s="668"/>
      <c r="J5520" s="668"/>
      <c r="K5520" s="668"/>
      <c r="L5520" s="668"/>
      <c r="M5520" s="668"/>
    </row>
    <row r="5521" spans="5:13">
      <c r="E5521" s="668"/>
      <c r="F5521" s="668"/>
      <c r="G5521" s="668"/>
      <c r="H5521" s="668"/>
      <c r="I5521" s="668"/>
      <c r="J5521" s="668"/>
      <c r="K5521" s="668"/>
      <c r="L5521" s="668"/>
      <c r="M5521" s="668"/>
    </row>
    <row r="5522" spans="5:13">
      <c r="E5522" s="668"/>
      <c r="F5522" s="668"/>
      <c r="G5522" s="668"/>
      <c r="H5522" s="668"/>
      <c r="I5522" s="668"/>
      <c r="J5522" s="668"/>
      <c r="K5522" s="668"/>
      <c r="L5522" s="668"/>
      <c r="M5522" s="668"/>
    </row>
    <row r="5523" spans="5:13">
      <c r="E5523" s="668"/>
      <c r="F5523" s="668"/>
      <c r="G5523" s="668"/>
      <c r="H5523" s="668"/>
      <c r="I5523" s="668"/>
      <c r="J5523" s="668"/>
      <c r="K5523" s="668"/>
      <c r="L5523" s="668"/>
      <c r="M5523" s="668"/>
    </row>
    <row r="5524" spans="5:13">
      <c r="E5524" s="668"/>
      <c r="F5524" s="668"/>
      <c r="G5524" s="668"/>
      <c r="H5524" s="668"/>
      <c r="I5524" s="668"/>
      <c r="J5524" s="668"/>
      <c r="K5524" s="668"/>
      <c r="L5524" s="668"/>
      <c r="M5524" s="668"/>
    </row>
    <row r="5525" spans="5:13">
      <c r="E5525" s="668"/>
      <c r="F5525" s="668"/>
      <c r="G5525" s="668"/>
      <c r="H5525" s="668"/>
      <c r="I5525" s="668"/>
      <c r="J5525" s="668"/>
      <c r="K5525" s="668"/>
      <c r="L5525" s="668"/>
      <c r="M5525" s="668"/>
    </row>
    <row r="5526" spans="5:13">
      <c r="E5526" s="668"/>
      <c r="F5526" s="668"/>
      <c r="G5526" s="668"/>
      <c r="H5526" s="668"/>
      <c r="I5526" s="668"/>
      <c r="J5526" s="668"/>
      <c r="K5526" s="668"/>
      <c r="L5526" s="668"/>
      <c r="M5526" s="668"/>
    </row>
    <row r="5527" spans="5:13">
      <c r="E5527" s="668"/>
      <c r="F5527" s="668"/>
      <c r="G5527" s="668"/>
      <c r="H5527" s="668"/>
      <c r="I5527" s="668"/>
      <c r="J5527" s="668"/>
      <c r="K5527" s="668"/>
      <c r="L5527" s="668"/>
      <c r="M5527" s="668"/>
    </row>
    <row r="5528" spans="5:13">
      <c r="E5528" s="668"/>
      <c r="F5528" s="668"/>
      <c r="G5528" s="668"/>
      <c r="H5528" s="668"/>
      <c r="I5528" s="668"/>
      <c r="J5528" s="668"/>
      <c r="K5528" s="668"/>
      <c r="L5528" s="668"/>
      <c r="M5528" s="668"/>
    </row>
    <row r="5529" spans="5:13">
      <c r="E5529" s="668"/>
      <c r="F5529" s="668"/>
      <c r="G5529" s="668"/>
      <c r="H5529" s="668"/>
      <c r="I5529" s="668"/>
      <c r="J5529" s="668"/>
      <c r="K5529" s="668"/>
      <c r="L5529" s="668"/>
      <c r="M5529" s="668"/>
    </row>
    <row r="5530" spans="5:13">
      <c r="E5530" s="668"/>
      <c r="F5530" s="668"/>
      <c r="G5530" s="668"/>
      <c r="H5530" s="668"/>
      <c r="I5530" s="668"/>
      <c r="J5530" s="668"/>
      <c r="K5530" s="668"/>
      <c r="L5530" s="668"/>
      <c r="M5530" s="668"/>
    </row>
    <row r="5531" spans="5:13">
      <c r="E5531" s="668"/>
      <c r="F5531" s="668"/>
      <c r="G5531" s="668"/>
      <c r="H5531" s="668"/>
      <c r="I5531" s="668"/>
      <c r="J5531" s="668"/>
      <c r="K5531" s="668"/>
      <c r="L5531" s="668"/>
      <c r="M5531" s="668"/>
    </row>
    <row r="5532" spans="5:13">
      <c r="E5532" s="668"/>
      <c r="F5532" s="668"/>
      <c r="G5532" s="668"/>
      <c r="H5532" s="668"/>
      <c r="I5532" s="668"/>
      <c r="J5532" s="668"/>
      <c r="K5532" s="668"/>
      <c r="L5532" s="668"/>
      <c r="M5532" s="668"/>
    </row>
    <row r="5533" spans="5:13">
      <c r="E5533" s="668"/>
      <c r="F5533" s="668"/>
      <c r="G5533" s="668"/>
      <c r="H5533" s="668"/>
      <c r="I5533" s="668"/>
      <c r="J5533" s="668"/>
      <c r="K5533" s="668"/>
      <c r="L5533" s="668"/>
      <c r="M5533" s="668"/>
    </row>
    <row r="5534" spans="5:13">
      <c r="E5534" s="668"/>
      <c r="F5534" s="668"/>
      <c r="G5534" s="668"/>
      <c r="H5534" s="668"/>
      <c r="I5534" s="668"/>
      <c r="J5534" s="668"/>
      <c r="K5534" s="668"/>
      <c r="L5534" s="668"/>
      <c r="M5534" s="668"/>
    </row>
    <row r="5535" spans="5:13">
      <c r="E5535" s="668"/>
      <c r="F5535" s="668"/>
      <c r="G5535" s="668"/>
      <c r="H5535" s="668"/>
      <c r="I5535" s="668"/>
      <c r="J5535" s="668"/>
      <c r="K5535" s="668"/>
      <c r="L5535" s="668"/>
      <c r="M5535" s="668"/>
    </row>
    <row r="5536" spans="5:13">
      <c r="E5536" s="668"/>
      <c r="F5536" s="668"/>
      <c r="G5536" s="668"/>
      <c r="H5536" s="668"/>
      <c r="I5536" s="668"/>
      <c r="J5536" s="668"/>
      <c r="K5536" s="668"/>
      <c r="L5536" s="668"/>
      <c r="M5536" s="668"/>
    </row>
    <row r="5537" spans="5:13">
      <c r="E5537" s="668"/>
      <c r="F5537" s="668"/>
      <c r="G5537" s="668"/>
      <c r="H5537" s="668"/>
      <c r="I5537" s="668"/>
      <c r="J5537" s="668"/>
      <c r="K5537" s="668"/>
      <c r="L5537" s="668"/>
      <c r="M5537" s="668"/>
    </row>
    <row r="5538" spans="5:13">
      <c r="E5538" s="668"/>
      <c r="F5538" s="668"/>
      <c r="G5538" s="668"/>
      <c r="H5538" s="668"/>
      <c r="I5538" s="668"/>
      <c r="J5538" s="668"/>
      <c r="K5538" s="668"/>
      <c r="L5538" s="668"/>
      <c r="M5538" s="668"/>
    </row>
    <row r="5539" spans="5:13">
      <c r="E5539" s="668"/>
      <c r="F5539" s="668"/>
      <c r="G5539" s="668"/>
      <c r="H5539" s="668"/>
      <c r="I5539" s="668"/>
      <c r="J5539" s="668"/>
      <c r="K5539" s="668"/>
      <c r="L5539" s="668"/>
      <c r="M5539" s="668"/>
    </row>
    <row r="5540" spans="5:13">
      <c r="E5540" s="668"/>
      <c r="F5540" s="668"/>
      <c r="G5540" s="668"/>
      <c r="H5540" s="668"/>
      <c r="I5540" s="668"/>
      <c r="J5540" s="668"/>
      <c r="K5540" s="668"/>
      <c r="L5540" s="668"/>
      <c r="M5540" s="668"/>
    </row>
    <row r="5541" spans="5:13">
      <c r="E5541" s="668"/>
      <c r="F5541" s="668"/>
      <c r="G5541" s="668"/>
      <c r="H5541" s="668"/>
      <c r="I5541" s="668"/>
      <c r="J5541" s="668"/>
      <c r="K5541" s="668"/>
      <c r="L5541" s="668"/>
      <c r="M5541" s="668"/>
    </row>
    <row r="5542" spans="5:13">
      <c r="E5542" s="668"/>
      <c r="F5542" s="668"/>
      <c r="G5542" s="668"/>
      <c r="H5542" s="668"/>
      <c r="I5542" s="668"/>
      <c r="J5542" s="668"/>
      <c r="K5542" s="668"/>
      <c r="L5542" s="668"/>
      <c r="M5542" s="668"/>
    </row>
    <row r="5543" spans="5:13">
      <c r="E5543" s="668"/>
      <c r="F5543" s="668"/>
      <c r="G5543" s="668"/>
      <c r="H5543" s="668"/>
      <c r="I5543" s="668"/>
      <c r="J5543" s="668"/>
      <c r="K5543" s="668"/>
      <c r="L5543" s="668"/>
      <c r="M5543" s="668"/>
    </row>
    <row r="5544" spans="5:13">
      <c r="E5544" s="668"/>
      <c r="F5544" s="668"/>
      <c r="G5544" s="668"/>
      <c r="H5544" s="668"/>
      <c r="I5544" s="668"/>
      <c r="J5544" s="668"/>
      <c r="K5544" s="668"/>
      <c r="L5544" s="668"/>
      <c r="M5544" s="668"/>
    </row>
    <row r="5545" spans="5:13">
      <c r="E5545" s="668"/>
      <c r="F5545" s="668"/>
      <c r="G5545" s="668"/>
      <c r="H5545" s="668"/>
      <c r="I5545" s="668"/>
      <c r="J5545" s="668"/>
      <c r="K5545" s="668"/>
      <c r="L5545" s="668"/>
      <c r="M5545" s="668"/>
    </row>
    <row r="5546" spans="5:13">
      <c r="E5546" s="668"/>
      <c r="F5546" s="668"/>
      <c r="G5546" s="668"/>
      <c r="H5546" s="668"/>
      <c r="I5546" s="668"/>
      <c r="J5546" s="668"/>
      <c r="K5546" s="668"/>
      <c r="L5546" s="668"/>
      <c r="M5546" s="668"/>
    </row>
    <row r="5547" spans="5:13">
      <c r="E5547" s="668"/>
      <c r="F5547" s="668"/>
      <c r="G5547" s="668"/>
      <c r="H5547" s="668"/>
      <c r="I5547" s="668"/>
      <c r="J5547" s="668"/>
      <c r="K5547" s="668"/>
      <c r="L5547" s="668"/>
      <c r="M5547" s="668"/>
    </row>
    <row r="5548" spans="5:13">
      <c r="E5548" s="668"/>
      <c r="F5548" s="668"/>
      <c r="G5548" s="668"/>
      <c r="H5548" s="668"/>
      <c r="I5548" s="668"/>
      <c r="J5548" s="668"/>
      <c r="K5548" s="668"/>
      <c r="L5548" s="668"/>
      <c r="M5548" s="668"/>
    </row>
    <row r="5549" spans="5:13">
      <c r="E5549" s="668"/>
      <c r="F5549" s="668"/>
      <c r="G5549" s="668"/>
      <c r="H5549" s="668"/>
      <c r="I5549" s="668"/>
      <c r="J5549" s="668"/>
      <c r="K5549" s="668"/>
      <c r="L5549" s="668"/>
      <c r="M5549" s="668"/>
    </row>
    <row r="5550" spans="5:13">
      <c r="E5550" s="668"/>
      <c r="F5550" s="668"/>
      <c r="G5550" s="668"/>
      <c r="H5550" s="668"/>
      <c r="I5550" s="668"/>
      <c r="J5550" s="668"/>
      <c r="K5550" s="668"/>
      <c r="L5550" s="668"/>
      <c r="M5550" s="668"/>
    </row>
    <row r="5551" spans="5:13">
      <c r="E5551" s="668"/>
      <c r="F5551" s="668"/>
      <c r="G5551" s="668"/>
      <c r="H5551" s="668"/>
      <c r="I5551" s="668"/>
      <c r="J5551" s="668"/>
      <c r="K5551" s="668"/>
      <c r="L5551" s="668"/>
      <c r="M5551" s="668"/>
    </row>
    <row r="5552" spans="5:13">
      <c r="E5552" s="668"/>
      <c r="F5552" s="668"/>
      <c r="G5552" s="668"/>
      <c r="H5552" s="668"/>
      <c r="I5552" s="668"/>
      <c r="J5552" s="668"/>
      <c r="K5552" s="668"/>
      <c r="L5552" s="668"/>
      <c r="M5552" s="668"/>
    </row>
    <row r="5553" spans="5:13">
      <c r="E5553" s="668"/>
      <c r="F5553" s="668"/>
      <c r="G5553" s="668"/>
      <c r="H5553" s="668"/>
      <c r="I5553" s="668"/>
      <c r="J5553" s="668"/>
      <c r="K5553" s="668"/>
      <c r="L5553" s="668"/>
      <c r="M5553" s="668"/>
    </row>
    <row r="5554" spans="5:13">
      <c r="E5554" s="668"/>
      <c r="F5554" s="668"/>
      <c r="G5554" s="668"/>
      <c r="H5554" s="668"/>
      <c r="I5554" s="668"/>
      <c r="J5554" s="668"/>
      <c r="K5554" s="668"/>
      <c r="L5554" s="668"/>
      <c r="M5554" s="668"/>
    </row>
    <row r="5555" spans="5:13">
      <c r="E5555" s="668"/>
      <c r="F5555" s="668"/>
      <c r="G5555" s="668"/>
      <c r="H5555" s="668"/>
      <c r="I5555" s="668"/>
      <c r="J5555" s="668"/>
      <c r="K5555" s="668"/>
      <c r="L5555" s="668"/>
      <c r="M5555" s="668"/>
    </row>
    <row r="5556" spans="5:13">
      <c r="E5556" s="668"/>
      <c r="F5556" s="668"/>
      <c r="G5556" s="668"/>
      <c r="H5556" s="668"/>
      <c r="I5556" s="668"/>
      <c r="J5556" s="668"/>
      <c r="K5556" s="668"/>
      <c r="L5556" s="668"/>
      <c r="M5556" s="668"/>
    </row>
    <row r="5557" spans="5:13">
      <c r="E5557" s="668"/>
      <c r="F5557" s="668"/>
      <c r="G5557" s="668"/>
      <c r="H5557" s="668"/>
      <c r="I5557" s="668"/>
      <c r="J5557" s="668"/>
      <c r="K5557" s="668"/>
      <c r="L5557" s="668"/>
      <c r="M5557" s="668"/>
    </row>
    <row r="5558" spans="5:13">
      <c r="E5558" s="668"/>
      <c r="F5558" s="668"/>
      <c r="G5558" s="668"/>
      <c r="H5558" s="668"/>
      <c r="I5558" s="668"/>
      <c r="J5558" s="668"/>
      <c r="K5558" s="668"/>
      <c r="L5558" s="668"/>
      <c r="M5558" s="668"/>
    </row>
    <row r="5559" spans="5:13">
      <c r="E5559" s="668"/>
      <c r="F5559" s="668"/>
      <c r="G5559" s="668"/>
      <c r="H5559" s="668"/>
      <c r="I5559" s="668"/>
      <c r="J5559" s="668"/>
      <c r="K5559" s="668"/>
      <c r="L5559" s="668"/>
      <c r="M5559" s="668"/>
    </row>
    <row r="5560" spans="5:13">
      <c r="E5560" s="668"/>
      <c r="F5560" s="668"/>
      <c r="G5560" s="668"/>
      <c r="H5560" s="668"/>
      <c r="I5560" s="668"/>
      <c r="J5560" s="668"/>
      <c r="K5560" s="668"/>
      <c r="L5560" s="668"/>
      <c r="M5560" s="668"/>
    </row>
    <row r="5561" spans="5:13">
      <c r="E5561" s="668"/>
      <c r="F5561" s="668"/>
      <c r="G5561" s="668"/>
      <c r="H5561" s="668"/>
      <c r="I5561" s="668"/>
      <c r="J5561" s="668"/>
      <c r="K5561" s="668"/>
      <c r="L5561" s="668"/>
      <c r="M5561" s="668"/>
    </row>
    <row r="5562" spans="5:13">
      <c r="E5562" s="668"/>
      <c r="F5562" s="668"/>
      <c r="G5562" s="668"/>
      <c r="H5562" s="668"/>
      <c r="I5562" s="668"/>
      <c r="J5562" s="668"/>
      <c r="K5562" s="668"/>
      <c r="L5562" s="668"/>
      <c r="M5562" s="668"/>
    </row>
    <row r="5563" spans="5:13">
      <c r="E5563" s="668"/>
      <c r="F5563" s="668"/>
      <c r="G5563" s="668"/>
      <c r="H5563" s="668"/>
      <c r="I5563" s="668"/>
      <c r="J5563" s="668"/>
      <c r="K5563" s="668"/>
      <c r="L5563" s="668"/>
      <c r="M5563" s="668"/>
    </row>
    <row r="5564" spans="5:13">
      <c r="E5564" s="668"/>
      <c r="F5564" s="668"/>
      <c r="G5564" s="668"/>
      <c r="H5564" s="668"/>
      <c r="I5564" s="668"/>
      <c r="J5564" s="668"/>
      <c r="K5564" s="668"/>
      <c r="L5564" s="668"/>
      <c r="M5564" s="668"/>
    </row>
    <row r="5565" spans="5:13">
      <c r="E5565" s="668"/>
      <c r="F5565" s="668"/>
      <c r="G5565" s="668"/>
      <c r="H5565" s="668"/>
      <c r="I5565" s="668"/>
      <c r="J5565" s="668"/>
      <c r="K5565" s="668"/>
      <c r="L5565" s="668"/>
      <c r="M5565" s="668"/>
    </row>
    <row r="5566" spans="5:13">
      <c r="E5566" s="668"/>
      <c r="F5566" s="668"/>
      <c r="G5566" s="668"/>
      <c r="H5566" s="668"/>
      <c r="I5566" s="668"/>
      <c r="J5566" s="668"/>
      <c r="K5566" s="668"/>
      <c r="L5566" s="668"/>
      <c r="M5566" s="668"/>
    </row>
    <row r="5567" spans="5:13">
      <c r="E5567" s="668"/>
      <c r="F5567" s="668"/>
      <c r="G5567" s="668"/>
      <c r="H5567" s="668"/>
      <c r="I5567" s="668"/>
      <c r="J5567" s="668"/>
      <c r="K5567" s="668"/>
      <c r="L5567" s="668"/>
      <c r="M5567" s="668"/>
    </row>
    <row r="5568" spans="5:13">
      <c r="E5568" s="668"/>
      <c r="F5568" s="668"/>
      <c r="G5568" s="668"/>
      <c r="H5568" s="668"/>
      <c r="I5568" s="668"/>
      <c r="J5568" s="668"/>
      <c r="K5568" s="668"/>
      <c r="L5568" s="668"/>
      <c r="M5568" s="668"/>
    </row>
    <row r="5569" spans="5:13">
      <c r="E5569" s="668"/>
      <c r="F5569" s="668"/>
      <c r="G5569" s="668"/>
      <c r="H5569" s="668"/>
      <c r="I5569" s="668"/>
      <c r="J5569" s="668"/>
      <c r="K5569" s="668"/>
      <c r="L5569" s="668"/>
      <c r="M5569" s="668"/>
    </row>
    <row r="5570" spans="5:13">
      <c r="E5570" s="668"/>
      <c r="F5570" s="668"/>
      <c r="G5570" s="668"/>
      <c r="H5570" s="668"/>
      <c r="I5570" s="668"/>
      <c r="J5570" s="668"/>
      <c r="K5570" s="668"/>
      <c r="L5570" s="668"/>
      <c r="M5570" s="668"/>
    </row>
    <row r="5571" spans="5:13">
      <c r="E5571" s="668"/>
      <c r="F5571" s="668"/>
      <c r="G5571" s="668"/>
      <c r="H5571" s="668"/>
      <c r="I5571" s="668"/>
      <c r="J5571" s="668"/>
      <c r="K5571" s="668"/>
      <c r="L5571" s="668"/>
      <c r="M5571" s="668"/>
    </row>
    <row r="5572" spans="5:13">
      <c r="E5572" s="668"/>
      <c r="F5572" s="668"/>
      <c r="G5572" s="668"/>
      <c r="H5572" s="668"/>
      <c r="I5572" s="668"/>
      <c r="J5572" s="668"/>
      <c r="K5572" s="668"/>
      <c r="L5572" s="668"/>
      <c r="M5572" s="668"/>
    </row>
    <row r="5573" spans="5:13">
      <c r="E5573" s="668"/>
      <c r="F5573" s="668"/>
      <c r="G5573" s="668"/>
      <c r="H5573" s="668"/>
      <c r="I5573" s="668"/>
      <c r="J5573" s="668"/>
      <c r="K5573" s="668"/>
      <c r="L5573" s="668"/>
      <c r="M5573" s="668"/>
    </row>
    <row r="5574" spans="5:13">
      <c r="E5574" s="668"/>
      <c r="F5574" s="668"/>
      <c r="G5574" s="668"/>
      <c r="H5574" s="668"/>
      <c r="I5574" s="668"/>
      <c r="J5574" s="668"/>
      <c r="K5574" s="668"/>
      <c r="L5574" s="668"/>
      <c r="M5574" s="668"/>
    </row>
    <row r="5575" spans="5:13">
      <c r="E5575" s="668"/>
      <c r="F5575" s="668"/>
      <c r="G5575" s="668"/>
      <c r="H5575" s="668"/>
      <c r="I5575" s="668"/>
      <c r="J5575" s="668"/>
      <c r="K5575" s="668"/>
      <c r="L5575" s="668"/>
      <c r="M5575" s="668"/>
    </row>
    <row r="5576" spans="5:13">
      <c r="E5576" s="668"/>
      <c r="F5576" s="668"/>
      <c r="G5576" s="668"/>
      <c r="H5576" s="668"/>
      <c r="I5576" s="668"/>
      <c r="J5576" s="668"/>
      <c r="K5576" s="668"/>
      <c r="L5576" s="668"/>
      <c r="M5576" s="668"/>
    </row>
    <row r="5577" spans="5:13">
      <c r="E5577" s="668"/>
      <c r="F5577" s="668"/>
      <c r="G5577" s="668"/>
      <c r="H5577" s="668"/>
      <c r="I5577" s="668"/>
      <c r="J5577" s="668"/>
      <c r="K5577" s="668"/>
      <c r="L5577" s="668"/>
      <c r="M5577" s="668"/>
    </row>
    <row r="5578" spans="5:13">
      <c r="E5578" s="668"/>
      <c r="F5578" s="668"/>
      <c r="G5578" s="668"/>
      <c r="H5578" s="668"/>
      <c r="I5578" s="668"/>
      <c r="J5578" s="668"/>
      <c r="K5578" s="668"/>
      <c r="L5578" s="668"/>
      <c r="M5578" s="668"/>
    </row>
    <row r="5579" spans="5:13">
      <c r="E5579" s="668"/>
      <c r="F5579" s="668"/>
      <c r="G5579" s="668"/>
      <c r="H5579" s="668"/>
      <c r="I5579" s="668"/>
      <c r="J5579" s="668"/>
      <c r="K5579" s="668"/>
      <c r="L5579" s="668"/>
      <c r="M5579" s="668"/>
    </row>
    <row r="5580" spans="5:13">
      <c r="E5580" s="668"/>
      <c r="F5580" s="668"/>
      <c r="G5580" s="668"/>
      <c r="H5580" s="668"/>
      <c r="I5580" s="668"/>
      <c r="J5580" s="668"/>
      <c r="K5580" s="668"/>
      <c r="L5580" s="668"/>
      <c r="M5580" s="668"/>
    </row>
    <row r="5581" spans="5:13">
      <c r="E5581" s="668"/>
      <c r="F5581" s="668"/>
      <c r="G5581" s="668"/>
      <c r="H5581" s="668"/>
      <c r="I5581" s="668"/>
      <c r="J5581" s="668"/>
      <c r="K5581" s="668"/>
      <c r="L5581" s="668"/>
      <c r="M5581" s="668"/>
    </row>
    <row r="5582" spans="5:13">
      <c r="E5582" s="668"/>
      <c r="F5582" s="668"/>
      <c r="G5582" s="668"/>
      <c r="H5582" s="668"/>
      <c r="I5582" s="668"/>
      <c r="J5582" s="668"/>
      <c r="K5582" s="668"/>
      <c r="L5582" s="668"/>
      <c r="M5582" s="668"/>
    </row>
    <row r="5583" spans="5:13">
      <c r="E5583" s="668"/>
      <c r="F5583" s="668"/>
      <c r="G5583" s="668"/>
      <c r="H5583" s="668"/>
      <c r="I5583" s="668"/>
      <c r="J5583" s="668"/>
      <c r="K5583" s="668"/>
      <c r="L5583" s="668"/>
      <c r="M5583" s="668"/>
    </row>
    <row r="5584" spans="5:13">
      <c r="E5584" s="668"/>
      <c r="F5584" s="668"/>
      <c r="G5584" s="668"/>
      <c r="H5584" s="668"/>
      <c r="I5584" s="668"/>
      <c r="J5584" s="668"/>
      <c r="K5584" s="668"/>
      <c r="L5584" s="668"/>
      <c r="M5584" s="668"/>
    </row>
    <row r="5585" spans="5:13">
      <c r="E5585" s="668"/>
      <c r="F5585" s="668"/>
      <c r="G5585" s="668"/>
      <c r="H5585" s="668"/>
      <c r="I5585" s="668"/>
      <c r="J5585" s="668"/>
      <c r="K5585" s="668"/>
      <c r="L5585" s="668"/>
      <c r="M5585" s="668"/>
    </row>
    <row r="5586" spans="5:13">
      <c r="E5586" s="668"/>
      <c r="F5586" s="668"/>
      <c r="G5586" s="668"/>
      <c r="H5586" s="668"/>
      <c r="I5586" s="668"/>
      <c r="J5586" s="668"/>
      <c r="K5586" s="668"/>
      <c r="L5586" s="668"/>
      <c r="M5586" s="668"/>
    </row>
    <row r="5587" spans="5:13">
      <c r="E5587" s="668"/>
      <c r="F5587" s="668"/>
      <c r="G5587" s="668"/>
      <c r="H5587" s="668"/>
      <c r="I5587" s="668"/>
      <c r="J5587" s="668"/>
      <c r="K5587" s="668"/>
      <c r="L5587" s="668"/>
      <c r="M5587" s="668"/>
    </row>
    <row r="5588" spans="5:13">
      <c r="E5588" s="668"/>
      <c r="F5588" s="668"/>
      <c r="G5588" s="668"/>
      <c r="H5588" s="668"/>
      <c r="I5588" s="668"/>
      <c r="J5588" s="668"/>
      <c r="K5588" s="668"/>
      <c r="L5588" s="668"/>
      <c r="M5588" s="668"/>
    </row>
    <row r="5589" spans="5:13">
      <c r="E5589" s="668"/>
      <c r="F5589" s="668"/>
      <c r="G5589" s="668"/>
      <c r="H5589" s="668"/>
      <c r="I5589" s="668"/>
      <c r="J5589" s="668"/>
      <c r="K5589" s="668"/>
      <c r="L5589" s="668"/>
      <c r="M5589" s="668"/>
    </row>
    <row r="5590" spans="5:13">
      <c r="E5590" s="668"/>
      <c r="F5590" s="668"/>
      <c r="G5590" s="668"/>
      <c r="H5590" s="668"/>
      <c r="I5590" s="668"/>
      <c r="J5590" s="668"/>
      <c r="K5590" s="668"/>
      <c r="L5590" s="668"/>
      <c r="M5590" s="668"/>
    </row>
    <row r="5591" spans="5:13">
      <c r="E5591" s="668"/>
      <c r="F5591" s="668"/>
      <c r="G5591" s="668"/>
      <c r="H5591" s="668"/>
      <c r="I5591" s="668"/>
      <c r="J5591" s="668"/>
      <c r="K5591" s="668"/>
      <c r="L5591" s="668"/>
      <c r="M5591" s="668"/>
    </row>
    <row r="5592" spans="5:13">
      <c r="E5592" s="668"/>
      <c r="F5592" s="668"/>
      <c r="G5592" s="668"/>
      <c r="H5592" s="668"/>
      <c r="I5592" s="668"/>
      <c r="J5592" s="668"/>
      <c r="K5592" s="668"/>
      <c r="L5592" s="668"/>
      <c r="M5592" s="668"/>
    </row>
    <row r="5593" spans="5:13">
      <c r="E5593" s="668"/>
      <c r="F5593" s="668"/>
      <c r="G5593" s="668"/>
      <c r="H5593" s="668"/>
      <c r="I5593" s="668"/>
      <c r="J5593" s="668"/>
      <c r="K5593" s="668"/>
      <c r="L5593" s="668"/>
      <c r="M5593" s="668"/>
    </row>
    <row r="5594" spans="5:13">
      <c r="E5594" s="668"/>
      <c r="F5594" s="668"/>
      <c r="G5594" s="668"/>
      <c r="H5594" s="668"/>
      <c r="I5594" s="668"/>
      <c r="J5594" s="668"/>
      <c r="K5594" s="668"/>
      <c r="L5594" s="668"/>
      <c r="M5594" s="668"/>
    </row>
    <row r="5595" spans="5:13">
      <c r="E5595" s="668"/>
      <c r="F5595" s="668"/>
      <c r="G5595" s="668"/>
      <c r="H5595" s="668"/>
      <c r="I5595" s="668"/>
      <c r="J5595" s="668"/>
      <c r="K5595" s="668"/>
      <c r="L5595" s="668"/>
      <c r="M5595" s="668"/>
    </row>
    <row r="5596" spans="5:13">
      <c r="E5596" s="668"/>
      <c r="F5596" s="668"/>
      <c r="G5596" s="668"/>
      <c r="H5596" s="668"/>
      <c r="I5596" s="668"/>
      <c r="J5596" s="668"/>
      <c r="K5596" s="668"/>
      <c r="L5596" s="668"/>
      <c r="M5596" s="668"/>
    </row>
    <row r="5597" spans="5:13">
      <c r="E5597" s="668"/>
      <c r="F5597" s="668"/>
      <c r="G5597" s="668"/>
      <c r="H5597" s="668"/>
      <c r="I5597" s="668"/>
      <c r="J5597" s="668"/>
      <c r="K5597" s="668"/>
      <c r="L5597" s="668"/>
      <c r="M5597" s="668"/>
    </row>
    <row r="5598" spans="5:13">
      <c r="E5598" s="668"/>
      <c r="F5598" s="668"/>
      <c r="G5598" s="668"/>
      <c r="H5598" s="668"/>
      <c r="I5598" s="668"/>
      <c r="J5598" s="668"/>
      <c r="K5598" s="668"/>
      <c r="L5598" s="668"/>
      <c r="M5598" s="668"/>
    </row>
    <row r="5599" spans="5:13">
      <c r="E5599" s="668"/>
      <c r="F5599" s="668"/>
      <c r="G5599" s="668"/>
      <c r="H5599" s="668"/>
      <c r="I5599" s="668"/>
      <c r="J5599" s="668"/>
      <c r="K5599" s="668"/>
      <c r="L5599" s="668"/>
      <c r="M5599" s="668"/>
    </row>
    <row r="5600" spans="5:13">
      <c r="E5600" s="668"/>
      <c r="F5600" s="668"/>
      <c r="G5600" s="668"/>
      <c r="H5600" s="668"/>
      <c r="I5600" s="668"/>
      <c r="J5600" s="668"/>
      <c r="K5600" s="668"/>
      <c r="L5600" s="668"/>
      <c r="M5600" s="668"/>
    </row>
    <row r="5601" spans="5:13">
      <c r="E5601" s="668"/>
      <c r="F5601" s="668"/>
      <c r="G5601" s="668"/>
      <c r="H5601" s="668"/>
      <c r="I5601" s="668"/>
      <c r="J5601" s="668"/>
      <c r="K5601" s="668"/>
      <c r="L5601" s="668"/>
      <c r="M5601" s="668"/>
    </row>
    <row r="5602" spans="5:13">
      <c r="E5602" s="668"/>
      <c r="F5602" s="668"/>
      <c r="G5602" s="668"/>
      <c r="H5602" s="668"/>
      <c r="I5602" s="668"/>
      <c r="J5602" s="668"/>
      <c r="K5602" s="668"/>
      <c r="L5602" s="668"/>
      <c r="M5602" s="668"/>
    </row>
    <row r="5603" spans="5:13">
      <c r="E5603" s="668"/>
      <c r="F5603" s="668"/>
      <c r="G5603" s="668"/>
      <c r="H5603" s="668"/>
      <c r="I5603" s="668"/>
      <c r="J5603" s="668"/>
      <c r="K5603" s="668"/>
      <c r="L5603" s="668"/>
      <c r="M5603" s="668"/>
    </row>
    <row r="5604" spans="5:13">
      <c r="E5604" s="668"/>
      <c r="F5604" s="668"/>
      <c r="G5604" s="668"/>
      <c r="H5604" s="668"/>
      <c r="I5604" s="668"/>
      <c r="J5604" s="668"/>
      <c r="K5604" s="668"/>
      <c r="L5604" s="668"/>
      <c r="M5604" s="668"/>
    </row>
    <row r="5605" spans="5:13">
      <c r="E5605" s="668"/>
      <c r="F5605" s="668"/>
      <c r="G5605" s="668"/>
      <c r="H5605" s="668"/>
      <c r="I5605" s="668"/>
      <c r="J5605" s="668"/>
      <c r="K5605" s="668"/>
      <c r="L5605" s="668"/>
      <c r="M5605" s="668"/>
    </row>
    <row r="5606" spans="5:13">
      <c r="E5606" s="668"/>
      <c r="F5606" s="668"/>
      <c r="G5606" s="668"/>
      <c r="H5606" s="668"/>
      <c r="I5606" s="668"/>
      <c r="J5606" s="668"/>
      <c r="K5606" s="668"/>
      <c r="L5606" s="668"/>
      <c r="M5606" s="668"/>
    </row>
    <row r="5607" spans="5:13">
      <c r="E5607" s="668"/>
      <c r="F5607" s="668"/>
      <c r="G5607" s="668"/>
      <c r="H5607" s="668"/>
      <c r="I5607" s="668"/>
      <c r="J5607" s="668"/>
      <c r="K5607" s="668"/>
      <c r="L5607" s="668"/>
      <c r="M5607" s="668"/>
    </row>
    <row r="5608" spans="5:13">
      <c r="E5608" s="668"/>
      <c r="F5608" s="668"/>
      <c r="G5608" s="668"/>
      <c r="H5608" s="668"/>
      <c r="I5608" s="668"/>
      <c r="J5608" s="668"/>
      <c r="K5608" s="668"/>
      <c r="L5608" s="668"/>
      <c r="M5608" s="668"/>
    </row>
    <row r="5609" spans="5:13">
      <c r="E5609" s="668"/>
      <c r="F5609" s="668"/>
      <c r="G5609" s="668"/>
      <c r="H5609" s="668"/>
      <c r="I5609" s="668"/>
      <c r="J5609" s="668"/>
      <c r="K5609" s="668"/>
      <c r="L5609" s="668"/>
      <c r="M5609" s="668"/>
    </row>
    <row r="5610" spans="5:13">
      <c r="E5610" s="668"/>
      <c r="F5610" s="668"/>
      <c r="G5610" s="668"/>
      <c r="H5610" s="668"/>
      <c r="I5610" s="668"/>
      <c r="J5610" s="668"/>
      <c r="K5610" s="668"/>
      <c r="L5610" s="668"/>
      <c r="M5610" s="668"/>
    </row>
    <row r="5611" spans="5:13">
      <c r="E5611" s="668"/>
      <c r="F5611" s="668"/>
      <c r="G5611" s="668"/>
      <c r="H5611" s="668"/>
      <c r="I5611" s="668"/>
      <c r="J5611" s="668"/>
      <c r="K5611" s="668"/>
      <c r="L5611" s="668"/>
      <c r="M5611" s="668"/>
    </row>
    <row r="5612" spans="5:13">
      <c r="E5612" s="668"/>
      <c r="F5612" s="668"/>
      <c r="G5612" s="668"/>
      <c r="H5612" s="668"/>
      <c r="I5612" s="668"/>
      <c r="J5612" s="668"/>
      <c r="K5612" s="668"/>
      <c r="L5612" s="668"/>
      <c r="M5612" s="668"/>
    </row>
    <row r="5613" spans="5:13">
      <c r="E5613" s="668"/>
      <c r="F5613" s="668"/>
      <c r="G5613" s="668"/>
      <c r="H5613" s="668"/>
      <c r="I5613" s="668"/>
      <c r="J5613" s="668"/>
      <c r="K5613" s="668"/>
      <c r="L5613" s="668"/>
      <c r="M5613" s="668"/>
    </row>
    <row r="5614" spans="5:13">
      <c r="E5614" s="668"/>
      <c r="F5614" s="668"/>
      <c r="G5614" s="668"/>
      <c r="H5614" s="668"/>
      <c r="I5614" s="668"/>
      <c r="J5614" s="668"/>
      <c r="K5614" s="668"/>
      <c r="L5614" s="668"/>
      <c r="M5614" s="668"/>
    </row>
    <row r="5615" spans="5:13">
      <c r="E5615" s="668"/>
      <c r="F5615" s="668"/>
      <c r="G5615" s="668"/>
      <c r="H5615" s="668"/>
      <c r="I5615" s="668"/>
      <c r="J5615" s="668"/>
      <c r="K5615" s="668"/>
      <c r="L5615" s="668"/>
      <c r="M5615" s="668"/>
    </row>
    <row r="5616" spans="5:13">
      <c r="E5616" s="668"/>
      <c r="F5616" s="668"/>
      <c r="G5616" s="668"/>
      <c r="H5616" s="668"/>
      <c r="I5616" s="668"/>
      <c r="J5616" s="668"/>
      <c r="K5616" s="668"/>
      <c r="L5616" s="668"/>
      <c r="M5616" s="668"/>
    </row>
    <row r="5617" spans="5:13">
      <c r="E5617" s="668"/>
      <c r="F5617" s="668"/>
      <c r="G5617" s="668"/>
      <c r="H5617" s="668"/>
      <c r="I5617" s="668"/>
      <c r="J5617" s="668"/>
      <c r="K5617" s="668"/>
      <c r="L5617" s="668"/>
      <c r="M5617" s="668"/>
    </row>
    <row r="5618" spans="5:13">
      <c r="E5618" s="668"/>
      <c r="F5618" s="668"/>
      <c r="G5618" s="668"/>
      <c r="H5618" s="668"/>
      <c r="I5618" s="668"/>
      <c r="J5618" s="668"/>
      <c r="K5618" s="668"/>
      <c r="L5618" s="668"/>
      <c r="M5618" s="668"/>
    </row>
    <row r="5619" spans="5:13">
      <c r="E5619" s="668"/>
      <c r="F5619" s="668"/>
      <c r="G5619" s="668"/>
      <c r="H5619" s="668"/>
      <c r="I5619" s="668"/>
      <c r="J5619" s="668"/>
      <c r="K5619" s="668"/>
      <c r="L5619" s="668"/>
      <c r="M5619" s="668"/>
    </row>
    <row r="5620" spans="5:13">
      <c r="E5620" s="668"/>
      <c r="F5620" s="668"/>
      <c r="G5620" s="668"/>
      <c r="H5620" s="668"/>
      <c r="I5620" s="668"/>
      <c r="J5620" s="668"/>
      <c r="K5620" s="668"/>
      <c r="L5620" s="668"/>
      <c r="M5620" s="668"/>
    </row>
    <row r="5621" spans="5:13">
      <c r="E5621" s="668"/>
      <c r="F5621" s="668"/>
      <c r="G5621" s="668"/>
      <c r="H5621" s="668"/>
      <c r="I5621" s="668"/>
      <c r="J5621" s="668"/>
      <c r="K5621" s="668"/>
      <c r="L5621" s="668"/>
      <c r="M5621" s="668"/>
    </row>
    <row r="5622" spans="5:13">
      <c r="E5622" s="668"/>
      <c r="F5622" s="668"/>
      <c r="G5622" s="668"/>
      <c r="H5622" s="668"/>
      <c r="I5622" s="668"/>
      <c r="J5622" s="668"/>
      <c r="K5622" s="668"/>
      <c r="L5622" s="668"/>
      <c r="M5622" s="668"/>
    </row>
    <row r="5623" spans="5:13">
      <c r="E5623" s="668"/>
      <c r="F5623" s="668"/>
      <c r="G5623" s="668"/>
      <c r="H5623" s="668"/>
      <c r="I5623" s="668"/>
      <c r="J5623" s="668"/>
      <c r="K5623" s="668"/>
      <c r="L5623" s="668"/>
      <c r="M5623" s="668"/>
    </row>
    <row r="5624" spans="5:13">
      <c r="E5624" s="668"/>
      <c r="F5624" s="668"/>
      <c r="G5624" s="668"/>
      <c r="H5624" s="668"/>
      <c r="I5624" s="668"/>
      <c r="J5624" s="668"/>
      <c r="K5624" s="668"/>
      <c r="L5624" s="668"/>
      <c r="M5624" s="668"/>
    </row>
    <row r="5625" spans="5:13">
      <c r="E5625" s="668"/>
      <c r="F5625" s="668"/>
      <c r="G5625" s="668"/>
      <c r="H5625" s="668"/>
      <c r="I5625" s="668"/>
      <c r="J5625" s="668"/>
      <c r="K5625" s="668"/>
      <c r="L5625" s="668"/>
      <c r="M5625" s="668"/>
    </row>
    <row r="5626" spans="5:13">
      <c r="E5626" s="668"/>
      <c r="F5626" s="668"/>
      <c r="G5626" s="668"/>
      <c r="H5626" s="668"/>
      <c r="I5626" s="668"/>
      <c r="J5626" s="668"/>
      <c r="K5626" s="668"/>
      <c r="L5626" s="668"/>
      <c r="M5626" s="668"/>
    </row>
    <row r="5627" spans="5:13">
      <c r="E5627" s="668"/>
      <c r="F5627" s="668"/>
      <c r="G5627" s="668"/>
      <c r="H5627" s="668"/>
      <c r="I5627" s="668"/>
      <c r="J5627" s="668"/>
      <c r="K5627" s="668"/>
      <c r="L5627" s="668"/>
      <c r="M5627" s="668"/>
    </row>
    <row r="5628" spans="5:13">
      <c r="E5628" s="668"/>
      <c r="F5628" s="668"/>
      <c r="G5628" s="668"/>
      <c r="H5628" s="668"/>
      <c r="I5628" s="668"/>
      <c r="J5628" s="668"/>
      <c r="K5628" s="668"/>
      <c r="L5628" s="668"/>
      <c r="M5628" s="668"/>
    </row>
    <row r="5629" spans="5:13">
      <c r="E5629" s="668"/>
      <c r="F5629" s="668"/>
      <c r="G5629" s="668"/>
      <c r="H5629" s="668"/>
      <c r="I5629" s="668"/>
      <c r="J5629" s="668"/>
      <c r="K5629" s="668"/>
      <c r="L5629" s="668"/>
      <c r="M5629" s="668"/>
    </row>
    <row r="5630" spans="5:13">
      <c r="E5630" s="668"/>
      <c r="F5630" s="668"/>
      <c r="G5630" s="668"/>
      <c r="H5630" s="668"/>
      <c r="I5630" s="668"/>
      <c r="J5630" s="668"/>
      <c r="K5630" s="668"/>
      <c r="L5630" s="668"/>
      <c r="M5630" s="668"/>
    </row>
    <row r="5631" spans="5:13">
      <c r="E5631" s="668"/>
      <c r="F5631" s="668"/>
      <c r="G5631" s="668"/>
      <c r="H5631" s="668"/>
      <c r="I5631" s="668"/>
      <c r="J5631" s="668"/>
      <c r="K5631" s="668"/>
      <c r="L5631" s="668"/>
      <c r="M5631" s="668"/>
    </row>
    <row r="5632" spans="5:13">
      <c r="E5632" s="668"/>
      <c r="F5632" s="668"/>
      <c r="G5632" s="668"/>
      <c r="H5632" s="668"/>
      <c r="I5632" s="668"/>
      <c r="J5632" s="668"/>
      <c r="K5632" s="668"/>
      <c r="L5632" s="668"/>
      <c r="M5632" s="668"/>
    </row>
    <row r="5633" spans="5:13">
      <c r="E5633" s="668"/>
      <c r="F5633" s="668"/>
      <c r="G5633" s="668"/>
      <c r="H5633" s="668"/>
      <c r="I5633" s="668"/>
      <c r="J5633" s="668"/>
      <c r="K5633" s="668"/>
      <c r="L5633" s="668"/>
      <c r="M5633" s="668"/>
    </row>
    <row r="5634" spans="5:13">
      <c r="E5634" s="668"/>
      <c r="F5634" s="668"/>
      <c r="G5634" s="668"/>
      <c r="H5634" s="668"/>
      <c r="I5634" s="668"/>
      <c r="J5634" s="668"/>
      <c r="K5634" s="668"/>
      <c r="L5634" s="668"/>
      <c r="M5634" s="668"/>
    </row>
    <row r="5635" spans="5:13">
      <c r="E5635" s="668"/>
      <c r="F5635" s="668"/>
      <c r="G5635" s="668"/>
      <c r="H5635" s="668"/>
      <c r="I5635" s="668"/>
      <c r="J5635" s="668"/>
      <c r="K5635" s="668"/>
      <c r="L5635" s="668"/>
      <c r="M5635" s="668"/>
    </row>
    <row r="5636" spans="5:13">
      <c r="E5636" s="668"/>
      <c r="F5636" s="668"/>
      <c r="G5636" s="668"/>
      <c r="H5636" s="668"/>
      <c r="I5636" s="668"/>
      <c r="J5636" s="668"/>
      <c r="K5636" s="668"/>
      <c r="L5636" s="668"/>
      <c r="M5636" s="668"/>
    </row>
    <row r="5637" spans="5:13">
      <c r="E5637" s="668"/>
      <c r="F5637" s="668"/>
      <c r="G5637" s="668"/>
      <c r="H5637" s="668"/>
      <c r="I5637" s="668"/>
      <c r="J5637" s="668"/>
      <c r="K5637" s="668"/>
      <c r="L5637" s="668"/>
      <c r="M5637" s="668"/>
    </row>
    <row r="5638" spans="5:13">
      <c r="E5638" s="668"/>
      <c r="F5638" s="668"/>
      <c r="G5638" s="668"/>
      <c r="H5638" s="668"/>
      <c r="I5638" s="668"/>
      <c r="J5638" s="668"/>
      <c r="K5638" s="668"/>
      <c r="L5638" s="668"/>
      <c r="M5638" s="668"/>
    </row>
    <row r="5639" spans="5:13">
      <c r="E5639" s="668"/>
      <c r="F5639" s="668"/>
      <c r="G5639" s="668"/>
      <c r="H5639" s="668"/>
      <c r="I5639" s="668"/>
      <c r="J5639" s="668"/>
      <c r="K5639" s="668"/>
      <c r="L5639" s="668"/>
      <c r="M5639" s="668"/>
    </row>
    <row r="5640" spans="5:13">
      <c r="E5640" s="668"/>
      <c r="F5640" s="668"/>
      <c r="G5640" s="668"/>
      <c r="H5640" s="668"/>
      <c r="I5640" s="668"/>
      <c r="J5640" s="668"/>
      <c r="K5640" s="668"/>
      <c r="L5640" s="668"/>
      <c r="M5640" s="668"/>
    </row>
    <row r="5641" spans="5:13">
      <c r="E5641" s="668"/>
      <c r="F5641" s="668"/>
      <c r="G5641" s="668"/>
      <c r="H5641" s="668"/>
      <c r="I5641" s="668"/>
      <c r="J5641" s="668"/>
      <c r="K5641" s="668"/>
      <c r="L5641" s="668"/>
      <c r="M5641" s="668"/>
    </row>
    <row r="5642" spans="5:13">
      <c r="E5642" s="668"/>
      <c r="F5642" s="668"/>
      <c r="G5642" s="668"/>
      <c r="H5642" s="668"/>
      <c r="I5642" s="668"/>
      <c r="J5642" s="668"/>
      <c r="K5642" s="668"/>
      <c r="L5642" s="668"/>
      <c r="M5642" s="668"/>
    </row>
    <row r="5643" spans="5:13">
      <c r="E5643" s="668"/>
      <c r="F5643" s="668"/>
      <c r="G5643" s="668"/>
      <c r="H5643" s="668"/>
      <c r="I5643" s="668"/>
      <c r="J5643" s="668"/>
      <c r="K5643" s="668"/>
      <c r="L5643" s="668"/>
      <c r="M5643" s="668"/>
    </row>
    <row r="5644" spans="5:13">
      <c r="E5644" s="668"/>
      <c r="F5644" s="668"/>
      <c r="G5644" s="668"/>
      <c r="H5644" s="668"/>
      <c r="I5644" s="668"/>
      <c r="J5644" s="668"/>
      <c r="K5644" s="668"/>
      <c r="L5644" s="668"/>
      <c r="M5644" s="668"/>
    </row>
    <row r="5645" spans="5:13">
      <c r="E5645" s="668"/>
      <c r="F5645" s="668"/>
      <c r="G5645" s="668"/>
      <c r="H5645" s="668"/>
      <c r="I5645" s="668"/>
      <c r="J5645" s="668"/>
      <c r="K5645" s="668"/>
      <c r="L5645" s="668"/>
      <c r="M5645" s="668"/>
    </row>
    <row r="5646" spans="5:13">
      <c r="E5646" s="668"/>
      <c r="F5646" s="668"/>
      <c r="G5646" s="668"/>
      <c r="H5646" s="668"/>
      <c r="I5646" s="668"/>
      <c r="J5646" s="668"/>
      <c r="K5646" s="668"/>
      <c r="L5646" s="668"/>
      <c r="M5646" s="668"/>
    </row>
    <row r="5647" spans="5:13">
      <c r="E5647" s="668"/>
      <c r="F5647" s="668"/>
      <c r="G5647" s="668"/>
      <c r="H5647" s="668"/>
      <c r="I5647" s="668"/>
      <c r="J5647" s="668"/>
      <c r="K5647" s="668"/>
      <c r="L5647" s="668"/>
      <c r="M5647" s="668"/>
    </row>
    <row r="5648" spans="5:13">
      <c r="E5648" s="668"/>
      <c r="F5648" s="668"/>
      <c r="G5648" s="668"/>
      <c r="H5648" s="668"/>
      <c r="I5648" s="668"/>
      <c r="J5648" s="668"/>
      <c r="K5648" s="668"/>
      <c r="L5648" s="668"/>
      <c r="M5648" s="668"/>
    </row>
    <row r="5649" spans="5:13">
      <c r="E5649" s="668"/>
      <c r="F5649" s="668"/>
      <c r="G5649" s="668"/>
      <c r="H5649" s="668"/>
      <c r="I5649" s="668"/>
      <c r="J5649" s="668"/>
      <c r="K5649" s="668"/>
      <c r="L5649" s="668"/>
      <c r="M5649" s="668"/>
    </row>
    <row r="5650" spans="5:13">
      <c r="E5650" s="668"/>
      <c r="F5650" s="668"/>
      <c r="G5650" s="668"/>
      <c r="H5650" s="668"/>
      <c r="I5650" s="668"/>
      <c r="J5650" s="668"/>
      <c r="K5650" s="668"/>
      <c r="L5650" s="668"/>
      <c r="M5650" s="668"/>
    </row>
    <row r="5651" spans="5:13">
      <c r="E5651" s="668"/>
      <c r="F5651" s="668"/>
      <c r="G5651" s="668"/>
      <c r="H5651" s="668"/>
      <c r="I5651" s="668"/>
      <c r="J5651" s="668"/>
      <c r="K5651" s="668"/>
      <c r="L5651" s="668"/>
      <c r="M5651" s="668"/>
    </row>
    <row r="5652" spans="5:13">
      <c r="E5652" s="668"/>
      <c r="F5652" s="668"/>
      <c r="G5652" s="668"/>
      <c r="H5652" s="668"/>
      <c r="I5652" s="668"/>
      <c r="J5652" s="668"/>
      <c r="K5652" s="668"/>
      <c r="L5652" s="668"/>
      <c r="M5652" s="668"/>
    </row>
    <row r="5653" spans="5:13">
      <c r="E5653" s="668"/>
      <c r="F5653" s="668"/>
      <c r="G5653" s="668"/>
      <c r="H5653" s="668"/>
      <c r="I5653" s="668"/>
      <c r="J5653" s="668"/>
      <c r="K5653" s="668"/>
      <c r="L5653" s="668"/>
      <c r="M5653" s="668"/>
    </row>
    <row r="5654" spans="5:13">
      <c r="E5654" s="668"/>
      <c r="F5654" s="668"/>
      <c r="G5654" s="668"/>
      <c r="H5654" s="668"/>
      <c r="I5654" s="668"/>
      <c r="J5654" s="668"/>
      <c r="K5654" s="668"/>
      <c r="L5654" s="668"/>
      <c r="M5654" s="668"/>
    </row>
    <row r="5655" spans="5:13">
      <c r="E5655" s="668"/>
      <c r="F5655" s="668"/>
      <c r="G5655" s="668"/>
      <c r="H5655" s="668"/>
      <c r="I5655" s="668"/>
      <c r="J5655" s="668"/>
      <c r="K5655" s="668"/>
      <c r="L5655" s="668"/>
      <c r="M5655" s="668"/>
    </row>
    <row r="5656" spans="5:13">
      <c r="E5656" s="668"/>
      <c r="F5656" s="668"/>
      <c r="G5656" s="668"/>
      <c r="H5656" s="668"/>
      <c r="I5656" s="668"/>
      <c r="J5656" s="668"/>
      <c r="K5656" s="668"/>
      <c r="L5656" s="668"/>
      <c r="M5656" s="668"/>
    </row>
    <row r="5657" spans="5:13">
      <c r="E5657" s="668"/>
      <c r="F5657" s="668"/>
      <c r="G5657" s="668"/>
      <c r="H5657" s="668"/>
      <c r="I5657" s="668"/>
      <c r="J5657" s="668"/>
      <c r="K5657" s="668"/>
      <c r="L5657" s="668"/>
      <c r="M5657" s="668"/>
    </row>
    <row r="5658" spans="5:13">
      <c r="E5658" s="668"/>
      <c r="F5658" s="668"/>
      <c r="G5658" s="668"/>
      <c r="H5658" s="668"/>
      <c r="I5658" s="668"/>
      <c r="J5658" s="668"/>
      <c r="K5658" s="668"/>
      <c r="L5658" s="668"/>
      <c r="M5658" s="668"/>
    </row>
    <row r="5659" spans="5:13">
      <c r="E5659" s="668"/>
      <c r="F5659" s="668"/>
      <c r="G5659" s="668"/>
      <c r="H5659" s="668"/>
      <c r="I5659" s="668"/>
      <c r="J5659" s="668"/>
      <c r="K5659" s="668"/>
      <c r="L5659" s="668"/>
      <c r="M5659" s="668"/>
    </row>
    <row r="5660" spans="5:13">
      <c r="E5660" s="668"/>
      <c r="F5660" s="668"/>
      <c r="G5660" s="668"/>
      <c r="H5660" s="668"/>
      <c r="I5660" s="668"/>
      <c r="J5660" s="668"/>
      <c r="K5660" s="668"/>
      <c r="L5660" s="668"/>
      <c r="M5660" s="668"/>
    </row>
    <row r="5661" spans="5:13">
      <c r="E5661" s="668"/>
      <c r="F5661" s="668"/>
      <c r="G5661" s="668"/>
      <c r="H5661" s="668"/>
      <c r="I5661" s="668"/>
      <c r="J5661" s="668"/>
      <c r="K5661" s="668"/>
      <c r="L5661" s="668"/>
      <c r="M5661" s="668"/>
    </row>
    <row r="5662" spans="5:13">
      <c r="E5662" s="668"/>
      <c r="F5662" s="668"/>
      <c r="G5662" s="668"/>
      <c r="H5662" s="668"/>
      <c r="I5662" s="668"/>
      <c r="J5662" s="668"/>
      <c r="K5662" s="668"/>
      <c r="L5662" s="668"/>
      <c r="M5662" s="668"/>
    </row>
    <row r="5663" spans="5:13">
      <c r="E5663" s="668"/>
      <c r="F5663" s="668"/>
      <c r="G5663" s="668"/>
      <c r="H5663" s="668"/>
      <c r="I5663" s="668"/>
      <c r="J5663" s="668"/>
      <c r="K5663" s="668"/>
      <c r="L5663" s="668"/>
      <c r="M5663" s="668"/>
    </row>
    <row r="5664" spans="5:13">
      <c r="E5664" s="668"/>
      <c r="F5664" s="668"/>
      <c r="G5664" s="668"/>
      <c r="H5664" s="668"/>
      <c r="I5664" s="668"/>
      <c r="J5664" s="668"/>
      <c r="K5664" s="668"/>
      <c r="L5664" s="668"/>
      <c r="M5664" s="668"/>
    </row>
    <row r="5665" spans="5:13">
      <c r="E5665" s="668"/>
      <c r="F5665" s="668"/>
      <c r="G5665" s="668"/>
      <c r="H5665" s="668"/>
      <c r="I5665" s="668"/>
      <c r="J5665" s="668"/>
      <c r="K5665" s="668"/>
      <c r="L5665" s="668"/>
      <c r="M5665" s="668"/>
    </row>
    <row r="5666" spans="5:13">
      <c r="E5666" s="668"/>
      <c r="F5666" s="668"/>
      <c r="G5666" s="668"/>
      <c r="H5666" s="668"/>
      <c r="I5666" s="668"/>
      <c r="J5666" s="668"/>
      <c r="K5666" s="668"/>
      <c r="L5666" s="668"/>
      <c r="M5666" s="668"/>
    </row>
    <row r="5667" spans="5:13">
      <c r="E5667" s="668"/>
      <c r="F5667" s="668"/>
      <c r="G5667" s="668"/>
      <c r="H5667" s="668"/>
      <c r="I5667" s="668"/>
      <c r="J5667" s="668"/>
      <c r="K5667" s="668"/>
      <c r="L5667" s="668"/>
      <c r="M5667" s="668"/>
    </row>
    <row r="5668" spans="5:13">
      <c r="E5668" s="668"/>
      <c r="F5668" s="668"/>
      <c r="G5668" s="668"/>
      <c r="H5668" s="668"/>
      <c r="I5668" s="668"/>
      <c r="J5668" s="668"/>
      <c r="K5668" s="668"/>
      <c r="L5668" s="668"/>
      <c r="M5668" s="668"/>
    </row>
    <row r="5669" spans="5:13">
      <c r="E5669" s="668"/>
      <c r="F5669" s="668"/>
      <c r="G5669" s="668"/>
      <c r="H5669" s="668"/>
      <c r="I5669" s="668"/>
      <c r="J5669" s="668"/>
      <c r="K5669" s="668"/>
      <c r="L5669" s="668"/>
      <c r="M5669" s="668"/>
    </row>
    <row r="5670" spans="5:13">
      <c r="E5670" s="668"/>
      <c r="F5670" s="668"/>
      <c r="G5670" s="668"/>
      <c r="H5670" s="668"/>
      <c r="I5670" s="668"/>
      <c r="J5670" s="668"/>
      <c r="K5670" s="668"/>
      <c r="L5670" s="668"/>
      <c r="M5670" s="668"/>
    </row>
    <row r="5671" spans="5:13">
      <c r="E5671" s="668"/>
      <c r="F5671" s="668"/>
      <c r="G5671" s="668"/>
      <c r="H5671" s="668"/>
      <c r="I5671" s="668"/>
      <c r="J5671" s="668"/>
      <c r="K5671" s="668"/>
      <c r="L5671" s="668"/>
      <c r="M5671" s="668"/>
    </row>
    <row r="5672" spans="5:13">
      <c r="E5672" s="668"/>
      <c r="F5672" s="668"/>
      <c r="G5672" s="668"/>
      <c r="H5672" s="668"/>
      <c r="I5672" s="668"/>
      <c r="J5672" s="668"/>
      <c r="K5672" s="668"/>
      <c r="L5672" s="668"/>
      <c r="M5672" s="668"/>
    </row>
    <row r="5673" spans="5:13">
      <c r="E5673" s="668"/>
      <c r="F5673" s="668"/>
      <c r="G5673" s="668"/>
      <c r="H5673" s="668"/>
      <c r="I5673" s="668"/>
      <c r="J5673" s="668"/>
      <c r="K5673" s="668"/>
      <c r="L5673" s="668"/>
      <c r="M5673" s="668"/>
    </row>
    <row r="5674" spans="5:13">
      <c r="E5674" s="668"/>
      <c r="F5674" s="668"/>
      <c r="G5674" s="668"/>
      <c r="H5674" s="668"/>
      <c r="I5674" s="668"/>
      <c r="J5674" s="668"/>
      <c r="K5674" s="668"/>
      <c r="L5674" s="668"/>
      <c r="M5674" s="668"/>
    </row>
    <row r="5675" spans="5:13">
      <c r="E5675" s="668"/>
      <c r="F5675" s="668"/>
      <c r="G5675" s="668"/>
      <c r="H5675" s="668"/>
      <c r="I5675" s="668"/>
      <c r="J5675" s="668"/>
      <c r="K5675" s="668"/>
      <c r="L5675" s="668"/>
      <c r="M5675" s="668"/>
    </row>
    <row r="5676" spans="5:13">
      <c r="E5676" s="668"/>
      <c r="F5676" s="668"/>
      <c r="G5676" s="668"/>
      <c r="H5676" s="668"/>
      <c r="I5676" s="668"/>
      <c r="J5676" s="668"/>
      <c r="K5676" s="668"/>
      <c r="L5676" s="668"/>
      <c r="M5676" s="668"/>
    </row>
    <row r="5677" spans="5:13">
      <c r="E5677" s="668"/>
      <c r="F5677" s="668"/>
      <c r="G5677" s="668"/>
      <c r="H5677" s="668"/>
      <c r="I5677" s="668"/>
      <c r="J5677" s="668"/>
      <c r="K5677" s="668"/>
      <c r="L5677" s="668"/>
      <c r="M5677" s="668"/>
    </row>
    <row r="5678" spans="5:13">
      <c r="E5678" s="668"/>
      <c r="F5678" s="668"/>
      <c r="G5678" s="668"/>
      <c r="H5678" s="668"/>
      <c r="I5678" s="668"/>
      <c r="J5678" s="668"/>
      <c r="K5678" s="668"/>
      <c r="L5678" s="668"/>
      <c r="M5678" s="668"/>
    </row>
    <row r="5679" spans="5:13">
      <c r="E5679" s="668"/>
      <c r="F5679" s="668"/>
      <c r="G5679" s="668"/>
      <c r="H5679" s="668"/>
      <c r="I5679" s="668"/>
      <c r="J5679" s="668"/>
      <c r="K5679" s="668"/>
      <c r="L5679" s="668"/>
      <c r="M5679" s="668"/>
    </row>
    <row r="5680" spans="5:13">
      <c r="E5680" s="668"/>
      <c r="F5680" s="668"/>
      <c r="G5680" s="668"/>
      <c r="H5680" s="668"/>
      <c r="I5680" s="668"/>
      <c r="J5680" s="668"/>
      <c r="K5680" s="668"/>
      <c r="L5680" s="668"/>
      <c r="M5680" s="668"/>
    </row>
    <row r="5681" spans="5:13">
      <c r="E5681" s="668"/>
      <c r="F5681" s="668"/>
      <c r="G5681" s="668"/>
      <c r="H5681" s="668"/>
      <c r="I5681" s="668"/>
      <c r="J5681" s="668"/>
      <c r="K5681" s="668"/>
      <c r="L5681" s="668"/>
      <c r="M5681" s="668"/>
    </row>
    <row r="5682" spans="5:13">
      <c r="E5682" s="668"/>
      <c r="F5682" s="668"/>
      <c r="G5682" s="668"/>
      <c r="H5682" s="668"/>
      <c r="I5682" s="668"/>
      <c r="J5682" s="668"/>
      <c r="K5682" s="668"/>
      <c r="L5682" s="668"/>
      <c r="M5682" s="668"/>
    </row>
    <row r="5683" spans="5:13">
      <c r="E5683" s="668"/>
      <c r="F5683" s="668"/>
      <c r="G5683" s="668"/>
      <c r="H5683" s="668"/>
      <c r="I5683" s="668"/>
      <c r="J5683" s="668"/>
      <c r="K5683" s="668"/>
      <c r="L5683" s="668"/>
      <c r="M5683" s="668"/>
    </row>
    <row r="5684" spans="5:13">
      <c r="E5684" s="668"/>
      <c r="F5684" s="668"/>
      <c r="G5684" s="668"/>
      <c r="H5684" s="668"/>
      <c r="I5684" s="668"/>
      <c r="J5684" s="668"/>
      <c r="K5684" s="668"/>
      <c r="L5684" s="668"/>
      <c r="M5684" s="668"/>
    </row>
    <row r="5685" spans="5:13">
      <c r="E5685" s="668"/>
      <c r="F5685" s="668"/>
      <c r="G5685" s="668"/>
      <c r="H5685" s="668"/>
      <c r="I5685" s="668"/>
      <c r="J5685" s="668"/>
      <c r="K5685" s="668"/>
      <c r="L5685" s="668"/>
      <c r="M5685" s="668"/>
    </row>
    <row r="5686" spans="5:13">
      <c r="E5686" s="668"/>
      <c r="F5686" s="668"/>
      <c r="G5686" s="668"/>
      <c r="H5686" s="668"/>
      <c r="I5686" s="668"/>
      <c r="J5686" s="668"/>
      <c r="K5686" s="668"/>
      <c r="L5686" s="668"/>
      <c r="M5686" s="668"/>
    </row>
    <row r="5687" spans="5:13">
      <c r="E5687" s="668"/>
      <c r="F5687" s="668"/>
      <c r="G5687" s="668"/>
      <c r="H5687" s="668"/>
      <c r="I5687" s="668"/>
      <c r="J5687" s="668"/>
      <c r="K5687" s="668"/>
      <c r="L5687" s="668"/>
      <c r="M5687" s="668"/>
    </row>
    <row r="5688" spans="5:13">
      <c r="E5688" s="668"/>
      <c r="F5688" s="668"/>
      <c r="G5688" s="668"/>
      <c r="H5688" s="668"/>
      <c r="I5688" s="668"/>
      <c r="J5688" s="668"/>
      <c r="K5688" s="668"/>
      <c r="L5688" s="668"/>
      <c r="M5688" s="668"/>
    </row>
    <row r="5689" spans="5:13">
      <c r="E5689" s="668"/>
      <c r="F5689" s="668"/>
      <c r="G5689" s="668"/>
      <c r="H5689" s="668"/>
      <c r="I5689" s="668"/>
      <c r="J5689" s="668"/>
      <c r="K5689" s="668"/>
      <c r="L5689" s="668"/>
      <c r="M5689" s="668"/>
    </row>
    <row r="5690" spans="5:13">
      <c r="E5690" s="668"/>
      <c r="F5690" s="668"/>
      <c r="G5690" s="668"/>
      <c r="H5690" s="668"/>
      <c r="I5690" s="668"/>
      <c r="J5690" s="668"/>
      <c r="K5690" s="668"/>
      <c r="L5690" s="668"/>
      <c r="M5690" s="668"/>
    </row>
    <row r="5691" spans="5:13">
      <c r="E5691" s="668"/>
      <c r="F5691" s="668"/>
      <c r="G5691" s="668"/>
      <c r="H5691" s="668"/>
      <c r="I5691" s="668"/>
      <c r="J5691" s="668"/>
      <c r="K5691" s="668"/>
      <c r="L5691" s="668"/>
      <c r="M5691" s="668"/>
    </row>
    <row r="5692" spans="5:13">
      <c r="E5692" s="668"/>
      <c r="F5692" s="668"/>
      <c r="G5692" s="668"/>
      <c r="H5692" s="668"/>
      <c r="I5692" s="668"/>
      <c r="J5692" s="668"/>
      <c r="K5692" s="668"/>
      <c r="L5692" s="668"/>
      <c r="M5692" s="668"/>
    </row>
    <row r="5693" spans="5:13">
      <c r="E5693" s="668"/>
      <c r="F5693" s="668"/>
      <c r="G5693" s="668"/>
      <c r="H5693" s="668"/>
      <c r="I5693" s="668"/>
      <c r="J5693" s="668"/>
      <c r="K5693" s="668"/>
      <c r="L5693" s="668"/>
      <c r="M5693" s="668"/>
    </row>
    <row r="5694" spans="5:13">
      <c r="E5694" s="668"/>
      <c r="F5694" s="668"/>
      <c r="G5694" s="668"/>
      <c r="H5694" s="668"/>
      <c r="I5694" s="668"/>
      <c r="J5694" s="668"/>
      <c r="K5694" s="668"/>
      <c r="L5694" s="668"/>
      <c r="M5694" s="668"/>
    </row>
    <row r="5695" spans="5:13">
      <c r="E5695" s="668"/>
      <c r="F5695" s="668"/>
      <c r="G5695" s="668"/>
      <c r="H5695" s="668"/>
      <c r="I5695" s="668"/>
      <c r="J5695" s="668"/>
      <c r="K5695" s="668"/>
      <c r="L5695" s="668"/>
      <c r="M5695" s="668"/>
    </row>
    <row r="5696" spans="5:13">
      <c r="E5696" s="668"/>
      <c r="F5696" s="668"/>
      <c r="G5696" s="668"/>
      <c r="H5696" s="668"/>
      <c r="I5696" s="668"/>
      <c r="J5696" s="668"/>
      <c r="K5696" s="668"/>
      <c r="L5696" s="668"/>
      <c r="M5696" s="668"/>
    </row>
    <row r="5697" spans="5:13">
      <c r="E5697" s="668"/>
      <c r="F5697" s="668"/>
      <c r="G5697" s="668"/>
      <c r="H5697" s="668"/>
      <c r="I5697" s="668"/>
      <c r="J5697" s="668"/>
      <c r="K5697" s="668"/>
      <c r="L5697" s="668"/>
      <c r="M5697" s="668"/>
    </row>
    <row r="5698" spans="5:13">
      <c r="E5698" s="668"/>
      <c r="F5698" s="668"/>
      <c r="G5698" s="668"/>
      <c r="H5698" s="668"/>
      <c r="I5698" s="668"/>
      <c r="J5698" s="668"/>
      <c r="K5698" s="668"/>
      <c r="L5698" s="668"/>
      <c r="M5698" s="668"/>
    </row>
    <row r="5699" spans="5:13">
      <c r="E5699" s="668"/>
      <c r="F5699" s="668"/>
      <c r="G5699" s="668"/>
      <c r="H5699" s="668"/>
      <c r="I5699" s="668"/>
      <c r="J5699" s="668"/>
      <c r="K5699" s="668"/>
      <c r="L5699" s="668"/>
      <c r="M5699" s="668"/>
    </row>
    <row r="5700" spans="5:13">
      <c r="E5700" s="668"/>
      <c r="F5700" s="668"/>
      <c r="G5700" s="668"/>
      <c r="H5700" s="668"/>
      <c r="I5700" s="668"/>
      <c r="J5700" s="668"/>
      <c r="K5700" s="668"/>
      <c r="L5700" s="668"/>
      <c r="M5700" s="668"/>
    </row>
    <row r="5701" spans="5:13">
      <c r="E5701" s="668"/>
      <c r="F5701" s="668"/>
      <c r="G5701" s="668"/>
      <c r="H5701" s="668"/>
      <c r="I5701" s="668"/>
      <c r="J5701" s="668"/>
      <c r="K5701" s="668"/>
      <c r="L5701" s="668"/>
      <c r="M5701" s="668"/>
    </row>
    <row r="5702" spans="5:13">
      <c r="E5702" s="668"/>
      <c r="F5702" s="668"/>
      <c r="G5702" s="668"/>
      <c r="H5702" s="668"/>
      <c r="I5702" s="668"/>
      <c r="J5702" s="668"/>
      <c r="K5702" s="668"/>
      <c r="L5702" s="668"/>
      <c r="M5702" s="668"/>
    </row>
    <row r="5703" spans="5:13">
      <c r="E5703" s="668"/>
      <c r="F5703" s="668"/>
      <c r="G5703" s="668"/>
      <c r="H5703" s="668"/>
      <c r="I5703" s="668"/>
      <c r="J5703" s="668"/>
      <c r="K5703" s="668"/>
      <c r="L5703" s="668"/>
      <c r="M5703" s="668"/>
    </row>
    <row r="5704" spans="5:13">
      <c r="E5704" s="668"/>
      <c r="F5704" s="668"/>
      <c r="G5704" s="668"/>
      <c r="H5704" s="668"/>
      <c r="I5704" s="668"/>
      <c r="J5704" s="668"/>
      <c r="K5704" s="668"/>
      <c r="L5704" s="668"/>
      <c r="M5704" s="668"/>
    </row>
    <row r="5705" spans="5:13">
      <c r="E5705" s="668"/>
      <c r="F5705" s="668"/>
      <c r="G5705" s="668"/>
      <c r="H5705" s="668"/>
      <c r="I5705" s="668"/>
      <c r="J5705" s="668"/>
      <c r="K5705" s="668"/>
      <c r="L5705" s="668"/>
      <c r="M5705" s="668"/>
    </row>
    <row r="5706" spans="5:13">
      <c r="E5706" s="668"/>
      <c r="F5706" s="668"/>
      <c r="G5706" s="668"/>
      <c r="H5706" s="668"/>
      <c r="I5706" s="668"/>
      <c r="J5706" s="668"/>
      <c r="K5706" s="668"/>
      <c r="L5706" s="668"/>
      <c r="M5706" s="668"/>
    </row>
    <row r="5707" spans="5:13">
      <c r="E5707" s="668"/>
      <c r="F5707" s="668"/>
      <c r="G5707" s="668"/>
      <c r="H5707" s="668"/>
      <c r="I5707" s="668"/>
      <c r="J5707" s="668"/>
      <c r="K5707" s="668"/>
      <c r="L5707" s="668"/>
      <c r="M5707" s="668"/>
    </row>
    <row r="5708" spans="5:13">
      <c r="E5708" s="668"/>
      <c r="F5708" s="668"/>
      <c r="G5708" s="668"/>
      <c r="H5708" s="668"/>
      <c r="I5708" s="668"/>
      <c r="J5708" s="668"/>
      <c r="K5708" s="668"/>
      <c r="L5708" s="668"/>
      <c r="M5708" s="668"/>
    </row>
    <row r="5709" spans="5:13">
      <c r="E5709" s="668"/>
      <c r="F5709" s="668"/>
      <c r="G5709" s="668"/>
      <c r="H5709" s="668"/>
      <c r="I5709" s="668"/>
      <c r="J5709" s="668"/>
      <c r="K5709" s="668"/>
      <c r="L5709" s="668"/>
      <c r="M5709" s="668"/>
    </row>
    <row r="5710" spans="5:13">
      <c r="E5710" s="668"/>
      <c r="F5710" s="668"/>
      <c r="G5710" s="668"/>
      <c r="H5710" s="668"/>
      <c r="I5710" s="668"/>
      <c r="J5710" s="668"/>
      <c r="K5710" s="668"/>
      <c r="L5710" s="668"/>
      <c r="M5710" s="668"/>
    </row>
    <row r="5711" spans="5:13">
      <c r="E5711" s="668"/>
      <c r="F5711" s="668"/>
      <c r="G5711" s="668"/>
      <c r="H5711" s="668"/>
      <c r="I5711" s="668"/>
      <c r="J5711" s="668"/>
      <c r="K5711" s="668"/>
      <c r="L5711" s="668"/>
      <c r="M5711" s="668"/>
    </row>
    <row r="5712" spans="5:13">
      <c r="E5712" s="668"/>
      <c r="F5712" s="668"/>
      <c r="G5712" s="668"/>
      <c r="H5712" s="668"/>
      <c r="I5712" s="668"/>
      <c r="J5712" s="668"/>
      <c r="K5712" s="668"/>
      <c r="L5712" s="668"/>
      <c r="M5712" s="668"/>
    </row>
    <row r="5713" spans="5:13">
      <c r="E5713" s="668"/>
      <c r="F5713" s="668"/>
      <c r="G5713" s="668"/>
      <c r="H5713" s="668"/>
      <c r="I5713" s="668"/>
      <c r="J5713" s="668"/>
      <c r="K5713" s="668"/>
      <c r="L5713" s="668"/>
      <c r="M5713" s="668"/>
    </row>
    <row r="5714" spans="5:13">
      <c r="E5714" s="668"/>
      <c r="F5714" s="668"/>
      <c r="G5714" s="668"/>
      <c r="H5714" s="668"/>
      <c r="I5714" s="668"/>
      <c r="J5714" s="668"/>
      <c r="K5714" s="668"/>
      <c r="L5714" s="668"/>
      <c r="M5714" s="668"/>
    </row>
    <row r="5715" spans="5:13">
      <c r="E5715" s="668"/>
      <c r="F5715" s="668"/>
      <c r="G5715" s="668"/>
      <c r="H5715" s="668"/>
      <c r="I5715" s="668"/>
      <c r="J5715" s="668"/>
      <c r="K5715" s="668"/>
      <c r="L5715" s="668"/>
      <c r="M5715" s="668"/>
    </row>
    <row r="5716" spans="5:13">
      <c r="E5716" s="668"/>
      <c r="F5716" s="668"/>
      <c r="G5716" s="668"/>
      <c r="H5716" s="668"/>
      <c r="I5716" s="668"/>
      <c r="J5716" s="668"/>
      <c r="K5716" s="668"/>
      <c r="L5716" s="668"/>
      <c r="M5716" s="668"/>
    </row>
    <row r="5717" spans="5:13">
      <c r="E5717" s="668"/>
      <c r="F5717" s="668"/>
      <c r="G5717" s="668"/>
      <c r="H5717" s="668"/>
      <c r="I5717" s="668"/>
      <c r="J5717" s="668"/>
      <c r="K5717" s="668"/>
      <c r="L5717" s="668"/>
      <c r="M5717" s="668"/>
    </row>
    <row r="5718" spans="5:13">
      <c r="E5718" s="668"/>
      <c r="F5718" s="668"/>
      <c r="G5718" s="668"/>
      <c r="H5718" s="668"/>
      <c r="I5718" s="668"/>
      <c r="J5718" s="668"/>
      <c r="K5718" s="668"/>
      <c r="L5718" s="668"/>
      <c r="M5718" s="668"/>
    </row>
    <row r="5719" spans="5:13">
      <c r="E5719" s="668"/>
      <c r="F5719" s="668"/>
      <c r="G5719" s="668"/>
      <c r="H5719" s="668"/>
      <c r="I5719" s="668"/>
      <c r="J5719" s="668"/>
      <c r="K5719" s="668"/>
      <c r="L5719" s="668"/>
      <c r="M5719" s="668"/>
    </row>
    <row r="5720" spans="5:13">
      <c r="E5720" s="668"/>
      <c r="F5720" s="668"/>
      <c r="G5720" s="668"/>
      <c r="H5720" s="668"/>
      <c r="I5720" s="668"/>
      <c r="J5720" s="668"/>
      <c r="K5720" s="668"/>
      <c r="L5720" s="668"/>
      <c r="M5720" s="668"/>
    </row>
    <row r="5721" spans="5:13">
      <c r="E5721" s="668"/>
      <c r="F5721" s="668"/>
      <c r="G5721" s="668"/>
      <c r="H5721" s="668"/>
      <c r="I5721" s="668"/>
      <c r="J5721" s="668"/>
      <c r="K5721" s="668"/>
      <c r="L5721" s="668"/>
      <c r="M5721" s="668"/>
    </row>
    <row r="5722" spans="5:13">
      <c r="E5722" s="668"/>
      <c r="F5722" s="668"/>
      <c r="G5722" s="668"/>
      <c r="H5722" s="668"/>
      <c r="I5722" s="668"/>
      <c r="J5722" s="668"/>
      <c r="K5722" s="668"/>
      <c r="L5722" s="668"/>
      <c r="M5722" s="668"/>
    </row>
    <row r="5723" spans="5:13">
      <c r="E5723" s="668"/>
      <c r="F5723" s="668"/>
      <c r="G5723" s="668"/>
      <c r="H5723" s="668"/>
      <c r="I5723" s="668"/>
      <c r="J5723" s="668"/>
      <c r="K5723" s="668"/>
      <c r="L5723" s="668"/>
      <c r="M5723" s="668"/>
    </row>
    <row r="5724" spans="5:13">
      <c r="E5724" s="668"/>
      <c r="F5724" s="668"/>
      <c r="G5724" s="668"/>
      <c r="H5724" s="668"/>
      <c r="I5724" s="668"/>
      <c r="J5724" s="668"/>
      <c r="K5724" s="668"/>
      <c r="L5724" s="668"/>
      <c r="M5724" s="668"/>
    </row>
    <row r="5725" spans="5:13">
      <c r="E5725" s="668"/>
      <c r="F5725" s="668"/>
      <c r="G5725" s="668"/>
      <c r="H5725" s="668"/>
      <c r="I5725" s="668"/>
      <c r="J5725" s="668"/>
      <c r="K5725" s="668"/>
      <c r="L5725" s="668"/>
      <c r="M5725" s="668"/>
    </row>
    <row r="5726" spans="5:13">
      <c r="E5726" s="668"/>
      <c r="F5726" s="668"/>
      <c r="G5726" s="668"/>
      <c r="H5726" s="668"/>
      <c r="I5726" s="668"/>
      <c r="J5726" s="668"/>
      <c r="K5726" s="668"/>
      <c r="L5726" s="668"/>
      <c r="M5726" s="668"/>
    </row>
    <row r="5727" spans="5:13">
      <c r="E5727" s="668"/>
      <c r="F5727" s="668"/>
      <c r="G5727" s="668"/>
      <c r="H5727" s="668"/>
      <c r="I5727" s="668"/>
      <c r="J5727" s="668"/>
      <c r="K5727" s="668"/>
      <c r="L5727" s="668"/>
      <c r="M5727" s="668"/>
    </row>
    <row r="5728" spans="5:13">
      <c r="E5728" s="668"/>
      <c r="F5728" s="668"/>
      <c r="G5728" s="668"/>
      <c r="H5728" s="668"/>
      <c r="I5728" s="668"/>
      <c r="J5728" s="668"/>
      <c r="K5728" s="668"/>
      <c r="L5728" s="668"/>
      <c r="M5728" s="668"/>
    </row>
    <row r="5729" spans="5:13">
      <c r="E5729" s="668"/>
      <c r="F5729" s="668"/>
      <c r="G5729" s="668"/>
      <c r="H5729" s="668"/>
      <c r="I5729" s="668"/>
      <c r="J5729" s="668"/>
      <c r="K5729" s="668"/>
      <c r="L5729" s="668"/>
      <c r="M5729" s="668"/>
    </row>
    <row r="5730" spans="5:13">
      <c r="E5730" s="668"/>
      <c r="F5730" s="668"/>
      <c r="G5730" s="668"/>
      <c r="H5730" s="668"/>
      <c r="I5730" s="668"/>
      <c r="J5730" s="668"/>
      <c r="K5730" s="668"/>
      <c r="L5730" s="668"/>
      <c r="M5730" s="668"/>
    </row>
    <row r="5731" spans="5:13">
      <c r="E5731" s="668"/>
      <c r="F5731" s="668"/>
      <c r="G5731" s="668"/>
      <c r="H5731" s="668"/>
      <c r="I5731" s="668"/>
      <c r="J5731" s="668"/>
      <c r="K5731" s="668"/>
      <c r="L5731" s="668"/>
      <c r="M5731" s="668"/>
    </row>
    <row r="5732" spans="5:13">
      <c r="E5732" s="668"/>
      <c r="F5732" s="668"/>
      <c r="G5732" s="668"/>
      <c r="H5732" s="668"/>
      <c r="I5732" s="668"/>
      <c r="J5732" s="668"/>
      <c r="K5732" s="668"/>
      <c r="L5732" s="668"/>
      <c r="M5732" s="668"/>
    </row>
    <row r="5733" spans="5:13">
      <c r="E5733" s="668"/>
      <c r="F5733" s="668"/>
      <c r="G5733" s="668"/>
      <c r="H5733" s="668"/>
      <c r="I5733" s="668"/>
      <c r="J5733" s="668"/>
      <c r="K5733" s="668"/>
      <c r="L5733" s="668"/>
      <c r="M5733" s="668"/>
    </row>
    <row r="5734" spans="5:13">
      <c r="E5734" s="668"/>
      <c r="F5734" s="668"/>
      <c r="G5734" s="668"/>
      <c r="H5734" s="668"/>
      <c r="I5734" s="668"/>
      <c r="J5734" s="668"/>
      <c r="K5734" s="668"/>
      <c r="L5734" s="668"/>
      <c r="M5734" s="668"/>
    </row>
    <row r="5735" spans="5:13">
      <c r="E5735" s="668"/>
      <c r="F5735" s="668"/>
      <c r="G5735" s="668"/>
      <c r="H5735" s="668"/>
      <c r="I5735" s="668"/>
      <c r="J5735" s="668"/>
      <c r="K5735" s="668"/>
      <c r="L5735" s="668"/>
      <c r="M5735" s="668"/>
    </row>
    <row r="5736" spans="5:13">
      <c r="E5736" s="668"/>
      <c r="F5736" s="668"/>
      <c r="G5736" s="668"/>
      <c r="H5736" s="668"/>
      <c r="I5736" s="668"/>
      <c r="J5736" s="668"/>
      <c r="K5736" s="668"/>
      <c r="L5736" s="668"/>
      <c r="M5736" s="668"/>
    </row>
    <row r="5737" spans="5:13">
      <c r="E5737" s="668"/>
      <c r="F5737" s="668"/>
      <c r="G5737" s="668"/>
      <c r="H5737" s="668"/>
      <c r="I5737" s="668"/>
      <c r="J5737" s="668"/>
      <c r="K5737" s="668"/>
      <c r="L5737" s="668"/>
      <c r="M5737" s="668"/>
    </row>
    <row r="5738" spans="5:13">
      <c r="E5738" s="668"/>
      <c r="F5738" s="668"/>
      <c r="G5738" s="668"/>
      <c r="H5738" s="668"/>
      <c r="I5738" s="668"/>
      <c r="J5738" s="668"/>
      <c r="K5738" s="668"/>
      <c r="L5738" s="668"/>
      <c r="M5738" s="668"/>
    </row>
    <row r="5739" spans="5:13">
      <c r="E5739" s="668"/>
      <c r="F5739" s="668"/>
      <c r="G5739" s="668"/>
      <c r="H5739" s="668"/>
      <c r="I5739" s="668"/>
      <c r="J5739" s="668"/>
      <c r="K5739" s="668"/>
      <c r="L5739" s="668"/>
      <c r="M5739" s="668"/>
    </row>
    <row r="5740" spans="5:13">
      <c r="E5740" s="668"/>
      <c r="F5740" s="668"/>
      <c r="G5740" s="668"/>
      <c r="H5740" s="668"/>
      <c r="I5740" s="668"/>
      <c r="J5740" s="668"/>
      <c r="K5740" s="668"/>
      <c r="L5740" s="668"/>
      <c r="M5740" s="668"/>
    </row>
    <row r="5741" spans="5:13">
      <c r="E5741" s="668"/>
      <c r="F5741" s="668"/>
      <c r="G5741" s="668"/>
      <c r="H5741" s="668"/>
      <c r="I5741" s="668"/>
      <c r="J5741" s="668"/>
      <c r="K5741" s="668"/>
      <c r="L5741" s="668"/>
      <c r="M5741" s="668"/>
    </row>
    <row r="5742" spans="5:13">
      <c r="E5742" s="668"/>
      <c r="F5742" s="668"/>
      <c r="G5742" s="668"/>
      <c r="H5742" s="668"/>
      <c r="I5742" s="668"/>
      <c r="J5742" s="668"/>
      <c r="K5742" s="668"/>
      <c r="L5742" s="668"/>
      <c r="M5742" s="668"/>
    </row>
    <row r="5743" spans="5:13">
      <c r="E5743" s="668"/>
      <c r="F5743" s="668"/>
      <c r="G5743" s="668"/>
      <c r="H5743" s="668"/>
      <c r="I5743" s="668"/>
      <c r="J5743" s="668"/>
      <c r="K5743" s="668"/>
      <c r="L5743" s="668"/>
      <c r="M5743" s="668"/>
    </row>
    <row r="5744" spans="5:13">
      <c r="E5744" s="668"/>
      <c r="F5744" s="668"/>
      <c r="G5744" s="668"/>
      <c r="H5744" s="668"/>
      <c r="I5744" s="668"/>
      <c r="J5744" s="668"/>
      <c r="K5744" s="668"/>
      <c r="L5744" s="668"/>
      <c r="M5744" s="668"/>
    </row>
    <row r="5745" spans="5:13">
      <c r="E5745" s="668"/>
      <c r="F5745" s="668"/>
      <c r="G5745" s="668"/>
      <c r="H5745" s="668"/>
      <c r="I5745" s="668"/>
      <c r="J5745" s="668"/>
      <c r="K5745" s="668"/>
      <c r="L5745" s="668"/>
      <c r="M5745" s="668"/>
    </row>
    <row r="5746" spans="5:13">
      <c r="E5746" s="668"/>
      <c r="F5746" s="668"/>
      <c r="G5746" s="668"/>
      <c r="H5746" s="668"/>
      <c r="I5746" s="668"/>
      <c r="J5746" s="668"/>
      <c r="K5746" s="668"/>
      <c r="L5746" s="668"/>
      <c r="M5746" s="668"/>
    </row>
    <row r="5747" spans="5:13">
      <c r="E5747" s="668"/>
      <c r="F5747" s="668"/>
      <c r="G5747" s="668"/>
      <c r="H5747" s="668"/>
      <c r="I5747" s="668"/>
      <c r="J5747" s="668"/>
      <c r="K5747" s="668"/>
      <c r="L5747" s="668"/>
      <c r="M5747" s="668"/>
    </row>
    <row r="5748" spans="5:13">
      <c r="E5748" s="668"/>
      <c r="F5748" s="668"/>
      <c r="G5748" s="668"/>
      <c r="H5748" s="668"/>
      <c r="I5748" s="668"/>
      <c r="J5748" s="668"/>
      <c r="K5748" s="668"/>
      <c r="L5748" s="668"/>
      <c r="M5748" s="668"/>
    </row>
    <row r="5749" spans="5:13">
      <c r="E5749" s="668"/>
      <c r="F5749" s="668"/>
      <c r="G5749" s="668"/>
      <c r="H5749" s="668"/>
      <c r="I5749" s="668"/>
      <c r="J5749" s="668"/>
      <c r="K5749" s="668"/>
      <c r="L5749" s="668"/>
      <c r="M5749" s="668"/>
    </row>
    <row r="5750" spans="5:13">
      <c r="E5750" s="668"/>
      <c r="F5750" s="668"/>
      <c r="G5750" s="668"/>
      <c r="H5750" s="668"/>
      <c r="I5750" s="668"/>
      <c r="J5750" s="668"/>
      <c r="K5750" s="668"/>
      <c r="L5750" s="668"/>
      <c r="M5750" s="668"/>
    </row>
    <row r="5751" spans="5:13">
      <c r="E5751" s="668"/>
      <c r="F5751" s="668"/>
      <c r="G5751" s="668"/>
      <c r="H5751" s="668"/>
      <c r="I5751" s="668"/>
      <c r="J5751" s="668"/>
      <c r="K5751" s="668"/>
      <c r="L5751" s="668"/>
      <c r="M5751" s="668"/>
    </row>
    <row r="5752" spans="5:13">
      <c r="E5752" s="668"/>
      <c r="F5752" s="668"/>
      <c r="G5752" s="668"/>
      <c r="H5752" s="668"/>
      <c r="I5752" s="668"/>
      <c r="J5752" s="668"/>
      <c r="K5752" s="668"/>
      <c r="L5752" s="668"/>
      <c r="M5752" s="668"/>
    </row>
    <row r="5753" spans="5:13">
      <c r="E5753" s="668"/>
      <c r="F5753" s="668"/>
      <c r="G5753" s="668"/>
      <c r="H5753" s="668"/>
      <c r="I5753" s="668"/>
      <c r="J5753" s="668"/>
      <c r="K5753" s="668"/>
      <c r="L5753" s="668"/>
      <c r="M5753" s="668"/>
    </row>
    <row r="5754" spans="5:13">
      <c r="E5754" s="668"/>
      <c r="F5754" s="668"/>
      <c r="G5754" s="668"/>
      <c r="H5754" s="668"/>
      <c r="I5754" s="668"/>
      <c r="J5754" s="668"/>
      <c r="K5754" s="668"/>
      <c r="L5754" s="668"/>
      <c r="M5754" s="668"/>
    </row>
    <row r="5755" spans="5:13">
      <c r="E5755" s="668"/>
      <c r="F5755" s="668"/>
      <c r="G5755" s="668"/>
      <c r="H5755" s="668"/>
      <c r="I5755" s="668"/>
      <c r="J5755" s="668"/>
      <c r="K5755" s="668"/>
      <c r="L5755" s="668"/>
      <c r="M5755" s="668"/>
    </row>
    <row r="5756" spans="5:13">
      <c r="E5756" s="668"/>
      <c r="F5756" s="668"/>
      <c r="G5756" s="668"/>
      <c r="H5756" s="668"/>
      <c r="I5756" s="668"/>
      <c r="J5756" s="668"/>
      <c r="K5756" s="668"/>
      <c r="L5756" s="668"/>
      <c r="M5756" s="668"/>
    </row>
    <row r="5757" spans="5:13">
      <c r="E5757" s="668"/>
      <c r="F5757" s="668"/>
      <c r="G5757" s="668"/>
      <c r="H5757" s="668"/>
      <c r="I5757" s="668"/>
      <c r="J5757" s="668"/>
      <c r="K5757" s="668"/>
      <c r="L5757" s="668"/>
      <c r="M5757" s="668"/>
    </row>
    <row r="5758" spans="5:13">
      <c r="E5758" s="668"/>
      <c r="F5758" s="668"/>
      <c r="G5758" s="668"/>
      <c r="H5758" s="668"/>
      <c r="I5758" s="668"/>
      <c r="J5758" s="668"/>
      <c r="K5758" s="668"/>
      <c r="L5758" s="668"/>
      <c r="M5758" s="668"/>
    </row>
    <row r="5759" spans="5:13">
      <c r="E5759" s="668"/>
      <c r="F5759" s="668"/>
      <c r="G5759" s="668"/>
      <c r="H5759" s="668"/>
      <c r="I5759" s="668"/>
      <c r="J5759" s="668"/>
      <c r="K5759" s="668"/>
      <c r="L5759" s="668"/>
      <c r="M5759" s="668"/>
    </row>
    <row r="5760" spans="5:13">
      <c r="E5760" s="668"/>
      <c r="F5760" s="668"/>
      <c r="G5760" s="668"/>
      <c r="H5760" s="668"/>
      <c r="I5760" s="668"/>
      <c r="J5760" s="668"/>
      <c r="K5760" s="668"/>
      <c r="L5760" s="668"/>
      <c r="M5760" s="668"/>
    </row>
    <row r="5761" spans="5:13">
      <c r="E5761" s="668"/>
      <c r="F5761" s="668"/>
      <c r="G5761" s="668"/>
      <c r="H5761" s="668"/>
      <c r="I5761" s="668"/>
      <c r="J5761" s="668"/>
      <c r="K5761" s="668"/>
      <c r="L5761" s="668"/>
      <c r="M5761" s="668"/>
    </row>
    <row r="5762" spans="5:13">
      <c r="E5762" s="668"/>
      <c r="F5762" s="668"/>
      <c r="G5762" s="668"/>
      <c r="H5762" s="668"/>
      <c r="I5762" s="668"/>
      <c r="J5762" s="668"/>
      <c r="K5762" s="668"/>
      <c r="L5762" s="668"/>
      <c r="M5762" s="668"/>
    </row>
    <row r="5763" spans="5:13">
      <c r="E5763" s="668"/>
      <c r="F5763" s="668"/>
      <c r="G5763" s="668"/>
      <c r="H5763" s="668"/>
      <c r="I5763" s="668"/>
      <c r="J5763" s="668"/>
      <c r="K5763" s="668"/>
      <c r="L5763" s="668"/>
      <c r="M5763" s="668"/>
    </row>
    <row r="5764" spans="5:13">
      <c r="E5764" s="668"/>
      <c r="F5764" s="668"/>
      <c r="G5764" s="668"/>
      <c r="H5764" s="668"/>
      <c r="I5764" s="668"/>
      <c r="J5764" s="668"/>
      <c r="K5764" s="668"/>
      <c r="L5764" s="668"/>
      <c r="M5764" s="668"/>
    </row>
    <row r="5765" spans="5:13">
      <c r="E5765" s="668"/>
      <c r="F5765" s="668"/>
      <c r="G5765" s="668"/>
      <c r="H5765" s="668"/>
      <c r="I5765" s="668"/>
      <c r="J5765" s="668"/>
      <c r="K5765" s="668"/>
      <c r="L5765" s="668"/>
      <c r="M5765" s="668"/>
    </row>
    <row r="5766" spans="5:13">
      <c r="E5766" s="668"/>
      <c r="F5766" s="668"/>
      <c r="G5766" s="668"/>
      <c r="H5766" s="668"/>
      <c r="I5766" s="668"/>
      <c r="J5766" s="668"/>
      <c r="K5766" s="668"/>
      <c r="L5766" s="668"/>
      <c r="M5766" s="668"/>
    </row>
    <row r="5767" spans="5:13">
      <c r="E5767" s="668"/>
      <c r="F5767" s="668"/>
      <c r="G5767" s="668"/>
      <c r="H5767" s="668"/>
      <c r="I5767" s="668"/>
      <c r="J5767" s="668"/>
      <c r="K5767" s="668"/>
      <c r="L5767" s="668"/>
      <c r="M5767" s="668"/>
    </row>
    <row r="5768" spans="5:13">
      <c r="E5768" s="668"/>
      <c r="F5768" s="668"/>
      <c r="G5768" s="668"/>
      <c r="H5768" s="668"/>
      <c r="I5768" s="668"/>
      <c r="J5768" s="668"/>
      <c r="K5768" s="668"/>
      <c r="L5768" s="668"/>
      <c r="M5768" s="668"/>
    </row>
    <row r="5769" spans="5:13">
      <c r="E5769" s="668"/>
      <c r="F5769" s="668"/>
      <c r="G5769" s="668"/>
      <c r="H5769" s="668"/>
      <c r="I5769" s="668"/>
      <c r="J5769" s="668"/>
      <c r="K5769" s="668"/>
      <c r="L5769" s="668"/>
      <c r="M5769" s="668"/>
    </row>
    <row r="5770" spans="5:13">
      <c r="E5770" s="668"/>
      <c r="F5770" s="668"/>
      <c r="G5770" s="668"/>
      <c r="H5770" s="668"/>
      <c r="I5770" s="668"/>
      <c r="J5770" s="668"/>
      <c r="K5770" s="668"/>
      <c r="L5770" s="668"/>
      <c r="M5770" s="668"/>
    </row>
    <row r="5771" spans="5:13">
      <c r="E5771" s="668"/>
      <c r="F5771" s="668"/>
      <c r="G5771" s="668"/>
      <c r="H5771" s="668"/>
      <c r="I5771" s="668"/>
      <c r="J5771" s="668"/>
      <c r="K5771" s="668"/>
      <c r="L5771" s="668"/>
      <c r="M5771" s="668"/>
    </row>
    <row r="5772" spans="5:13">
      <c r="E5772" s="668"/>
      <c r="F5772" s="668"/>
      <c r="G5772" s="668"/>
      <c r="H5772" s="668"/>
      <c r="I5772" s="668"/>
      <c r="J5772" s="668"/>
      <c r="K5772" s="668"/>
      <c r="L5772" s="668"/>
      <c r="M5772" s="668"/>
    </row>
    <row r="5773" spans="5:13">
      <c r="E5773" s="668"/>
      <c r="F5773" s="668"/>
      <c r="G5773" s="668"/>
      <c r="H5773" s="668"/>
      <c r="I5773" s="668"/>
      <c r="J5773" s="668"/>
      <c r="K5773" s="668"/>
      <c r="L5773" s="668"/>
      <c r="M5773" s="668"/>
    </row>
    <row r="5774" spans="5:13">
      <c r="E5774" s="668"/>
      <c r="F5774" s="668"/>
      <c r="G5774" s="668"/>
      <c r="H5774" s="668"/>
      <c r="I5774" s="668"/>
      <c r="J5774" s="668"/>
      <c r="K5774" s="668"/>
      <c r="L5774" s="668"/>
      <c r="M5774" s="668"/>
    </row>
    <row r="5775" spans="5:13">
      <c r="E5775" s="668"/>
      <c r="F5775" s="668"/>
      <c r="G5775" s="668"/>
      <c r="H5775" s="668"/>
      <c r="I5775" s="668"/>
      <c r="J5775" s="668"/>
      <c r="K5775" s="668"/>
      <c r="L5775" s="668"/>
      <c r="M5775" s="668"/>
    </row>
    <row r="5776" spans="5:13">
      <c r="E5776" s="668"/>
      <c r="F5776" s="668"/>
      <c r="G5776" s="668"/>
      <c r="H5776" s="668"/>
      <c r="I5776" s="668"/>
      <c r="J5776" s="668"/>
      <c r="K5776" s="668"/>
      <c r="L5776" s="668"/>
      <c r="M5776" s="668"/>
    </row>
    <row r="5777" spans="5:13">
      <c r="E5777" s="668"/>
      <c r="F5777" s="668"/>
      <c r="G5777" s="668"/>
      <c r="H5777" s="668"/>
      <c r="I5777" s="668"/>
      <c r="J5777" s="668"/>
      <c r="K5777" s="668"/>
      <c r="L5777" s="668"/>
      <c r="M5777" s="668"/>
    </row>
    <row r="5778" spans="5:13">
      <c r="E5778" s="668"/>
      <c r="F5778" s="668"/>
      <c r="G5778" s="668"/>
      <c r="H5778" s="668"/>
      <c r="I5778" s="668"/>
      <c r="J5778" s="668"/>
      <c r="K5778" s="668"/>
      <c r="L5778" s="668"/>
      <c r="M5778" s="668"/>
    </row>
    <row r="5779" spans="5:13">
      <c r="E5779" s="668"/>
      <c r="F5779" s="668"/>
      <c r="G5779" s="668"/>
      <c r="H5779" s="668"/>
      <c r="I5779" s="668"/>
      <c r="J5779" s="668"/>
      <c r="K5779" s="668"/>
      <c r="L5779" s="668"/>
      <c r="M5779" s="668"/>
    </row>
    <row r="5780" spans="5:13">
      <c r="E5780" s="668"/>
      <c r="F5780" s="668"/>
      <c r="G5780" s="668"/>
      <c r="H5780" s="668"/>
      <c r="I5780" s="668"/>
      <c r="J5780" s="668"/>
      <c r="K5780" s="668"/>
      <c r="L5780" s="668"/>
      <c r="M5780" s="668"/>
    </row>
    <row r="5781" spans="5:13">
      <c r="E5781" s="668"/>
      <c r="F5781" s="668"/>
      <c r="G5781" s="668"/>
      <c r="H5781" s="668"/>
      <c r="I5781" s="668"/>
      <c r="J5781" s="668"/>
      <c r="K5781" s="668"/>
      <c r="L5781" s="668"/>
      <c r="M5781" s="668"/>
    </row>
    <row r="5782" spans="5:13">
      <c r="E5782" s="668"/>
      <c r="F5782" s="668"/>
      <c r="G5782" s="668"/>
      <c r="H5782" s="668"/>
      <c r="I5782" s="668"/>
      <c r="J5782" s="668"/>
      <c r="K5782" s="668"/>
      <c r="L5782" s="668"/>
      <c r="M5782" s="668"/>
    </row>
    <row r="5783" spans="5:13">
      <c r="E5783" s="668"/>
      <c r="F5783" s="668"/>
      <c r="G5783" s="668"/>
      <c r="H5783" s="668"/>
      <c r="I5783" s="668"/>
      <c r="J5783" s="668"/>
      <c r="K5783" s="668"/>
      <c r="L5783" s="668"/>
      <c r="M5783" s="668"/>
    </row>
    <row r="5784" spans="5:13">
      <c r="E5784" s="668"/>
      <c r="F5784" s="668"/>
      <c r="G5784" s="668"/>
      <c r="H5784" s="668"/>
      <c r="I5784" s="668"/>
      <c r="J5784" s="668"/>
      <c r="K5784" s="668"/>
      <c r="L5784" s="668"/>
      <c r="M5784" s="668"/>
    </row>
    <row r="5785" spans="5:13">
      <c r="E5785" s="668"/>
      <c r="F5785" s="668"/>
      <c r="G5785" s="668"/>
      <c r="H5785" s="668"/>
      <c r="I5785" s="668"/>
      <c r="J5785" s="668"/>
      <c r="K5785" s="668"/>
      <c r="L5785" s="668"/>
      <c r="M5785" s="668"/>
    </row>
    <row r="5786" spans="5:13">
      <c r="E5786" s="668"/>
      <c r="F5786" s="668"/>
      <c r="G5786" s="668"/>
      <c r="H5786" s="668"/>
      <c r="I5786" s="668"/>
      <c r="J5786" s="668"/>
      <c r="K5786" s="668"/>
      <c r="L5786" s="668"/>
      <c r="M5786" s="668"/>
    </row>
    <row r="5787" spans="5:13">
      <c r="E5787" s="668"/>
      <c r="F5787" s="668"/>
      <c r="G5787" s="668"/>
      <c r="H5787" s="668"/>
      <c r="I5787" s="668"/>
      <c r="J5787" s="668"/>
      <c r="K5787" s="668"/>
      <c r="L5787" s="668"/>
      <c r="M5787" s="668"/>
    </row>
    <row r="5788" spans="5:13">
      <c r="E5788" s="668"/>
      <c r="F5788" s="668"/>
      <c r="G5788" s="668"/>
      <c r="H5788" s="668"/>
      <c r="I5788" s="668"/>
      <c r="J5788" s="668"/>
      <c r="K5788" s="668"/>
      <c r="L5788" s="668"/>
      <c r="M5788" s="668"/>
    </row>
    <row r="5789" spans="5:13">
      <c r="E5789" s="668"/>
      <c r="F5789" s="668"/>
      <c r="G5789" s="668"/>
      <c r="H5789" s="668"/>
      <c r="I5789" s="668"/>
      <c r="J5789" s="668"/>
      <c r="K5789" s="668"/>
      <c r="L5789" s="668"/>
      <c r="M5789" s="668"/>
    </row>
    <row r="5790" spans="5:13">
      <c r="E5790" s="668"/>
      <c r="F5790" s="668"/>
      <c r="G5790" s="668"/>
      <c r="H5790" s="668"/>
      <c r="I5790" s="668"/>
      <c r="J5790" s="668"/>
      <c r="K5790" s="668"/>
      <c r="L5790" s="668"/>
      <c r="M5790" s="668"/>
    </row>
    <row r="5791" spans="5:13">
      <c r="E5791" s="668"/>
      <c r="F5791" s="668"/>
      <c r="G5791" s="668"/>
      <c r="H5791" s="668"/>
      <c r="I5791" s="668"/>
      <c r="J5791" s="668"/>
      <c r="K5791" s="668"/>
      <c r="L5791" s="668"/>
      <c r="M5791" s="668"/>
    </row>
    <row r="5792" spans="5:13">
      <c r="E5792" s="668"/>
      <c r="F5792" s="668"/>
      <c r="G5792" s="668"/>
      <c r="H5792" s="668"/>
      <c r="I5792" s="668"/>
      <c r="J5792" s="668"/>
      <c r="K5792" s="668"/>
      <c r="L5792" s="668"/>
      <c r="M5792" s="668"/>
    </row>
    <row r="5793" spans="5:13">
      <c r="E5793" s="668"/>
      <c r="F5793" s="668"/>
      <c r="G5793" s="668"/>
      <c r="H5793" s="668"/>
      <c r="I5793" s="668"/>
      <c r="J5793" s="668"/>
      <c r="K5793" s="668"/>
      <c r="L5793" s="668"/>
      <c r="M5793" s="668"/>
    </row>
    <row r="5794" spans="5:13">
      <c r="E5794" s="668"/>
      <c r="F5794" s="668"/>
      <c r="G5794" s="668"/>
      <c r="H5794" s="668"/>
      <c r="I5794" s="668"/>
      <c r="J5794" s="668"/>
      <c r="K5794" s="668"/>
      <c r="L5794" s="668"/>
      <c r="M5794" s="668"/>
    </row>
    <row r="5795" spans="5:13">
      <c r="E5795" s="668"/>
      <c r="F5795" s="668"/>
      <c r="G5795" s="668"/>
      <c r="H5795" s="668"/>
      <c r="I5795" s="668"/>
      <c r="J5795" s="668"/>
      <c r="K5795" s="668"/>
      <c r="L5795" s="668"/>
      <c r="M5795" s="668"/>
    </row>
    <row r="5796" spans="5:13">
      <c r="E5796" s="668"/>
      <c r="F5796" s="668"/>
      <c r="G5796" s="668"/>
      <c r="H5796" s="668"/>
      <c r="I5796" s="668"/>
      <c r="J5796" s="668"/>
      <c r="K5796" s="668"/>
      <c r="L5796" s="668"/>
      <c r="M5796" s="668"/>
    </row>
    <row r="5797" spans="5:13">
      <c r="E5797" s="668"/>
      <c r="F5797" s="668"/>
      <c r="G5797" s="668"/>
      <c r="H5797" s="668"/>
      <c r="I5797" s="668"/>
      <c r="J5797" s="668"/>
      <c r="K5797" s="668"/>
      <c r="L5797" s="668"/>
      <c r="M5797" s="668"/>
    </row>
    <row r="5798" spans="5:13">
      <c r="E5798" s="668"/>
      <c r="F5798" s="668"/>
      <c r="G5798" s="668"/>
      <c r="H5798" s="668"/>
      <c r="I5798" s="668"/>
      <c r="J5798" s="668"/>
      <c r="K5798" s="668"/>
      <c r="L5798" s="668"/>
      <c r="M5798" s="668"/>
    </row>
    <row r="5799" spans="5:13">
      <c r="E5799" s="668"/>
      <c r="F5799" s="668"/>
      <c r="G5799" s="668"/>
      <c r="H5799" s="668"/>
      <c r="I5799" s="668"/>
      <c r="J5799" s="668"/>
      <c r="K5799" s="668"/>
      <c r="L5799" s="668"/>
      <c r="M5799" s="668"/>
    </row>
    <row r="5800" spans="5:13">
      <c r="E5800" s="668"/>
      <c r="F5800" s="668"/>
      <c r="G5800" s="668"/>
      <c r="H5800" s="668"/>
      <c r="I5800" s="668"/>
      <c r="J5800" s="668"/>
      <c r="K5800" s="668"/>
      <c r="L5800" s="668"/>
      <c r="M5800" s="668"/>
    </row>
    <row r="5801" spans="5:13">
      <c r="E5801" s="668"/>
      <c r="F5801" s="668"/>
      <c r="G5801" s="668"/>
      <c r="H5801" s="668"/>
      <c r="I5801" s="668"/>
      <c r="J5801" s="668"/>
      <c r="K5801" s="668"/>
      <c r="L5801" s="668"/>
      <c r="M5801" s="668"/>
    </row>
    <row r="5802" spans="5:13">
      <c r="E5802" s="668"/>
      <c r="F5802" s="668"/>
      <c r="G5802" s="668"/>
      <c r="H5802" s="668"/>
      <c r="I5802" s="668"/>
      <c r="J5802" s="668"/>
      <c r="K5802" s="668"/>
      <c r="L5802" s="668"/>
      <c r="M5802" s="668"/>
    </row>
    <row r="5803" spans="5:13">
      <c r="E5803" s="668"/>
      <c r="F5803" s="668"/>
      <c r="G5803" s="668"/>
      <c r="H5803" s="668"/>
      <c r="I5803" s="668"/>
      <c r="J5803" s="668"/>
      <c r="K5803" s="668"/>
      <c r="L5803" s="668"/>
      <c r="M5803" s="668"/>
    </row>
    <row r="5804" spans="5:13">
      <c r="E5804" s="668"/>
      <c r="F5804" s="668"/>
      <c r="G5804" s="668"/>
      <c r="H5804" s="668"/>
      <c r="I5804" s="668"/>
      <c r="J5804" s="668"/>
      <c r="K5804" s="668"/>
      <c r="L5804" s="668"/>
      <c r="M5804" s="668"/>
    </row>
    <row r="5805" spans="5:13">
      <c r="E5805" s="668"/>
      <c r="F5805" s="668"/>
      <c r="G5805" s="668"/>
      <c r="H5805" s="668"/>
      <c r="I5805" s="668"/>
      <c r="J5805" s="668"/>
      <c r="K5805" s="668"/>
      <c r="L5805" s="668"/>
      <c r="M5805" s="668"/>
    </row>
    <row r="5806" spans="5:13">
      <c r="E5806" s="668"/>
      <c r="F5806" s="668"/>
      <c r="G5806" s="668"/>
      <c r="H5806" s="668"/>
      <c r="I5806" s="668"/>
      <c r="J5806" s="668"/>
      <c r="K5806" s="668"/>
      <c r="L5806" s="668"/>
      <c r="M5806" s="668"/>
    </row>
    <row r="5807" spans="5:13">
      <c r="E5807" s="668"/>
      <c r="F5807" s="668"/>
      <c r="G5807" s="668"/>
      <c r="H5807" s="668"/>
      <c r="I5807" s="668"/>
      <c r="J5807" s="668"/>
      <c r="K5807" s="668"/>
      <c r="L5807" s="668"/>
      <c r="M5807" s="668"/>
    </row>
    <row r="5808" spans="5:13">
      <c r="E5808" s="668"/>
      <c r="F5808" s="668"/>
      <c r="G5808" s="668"/>
      <c r="H5808" s="668"/>
      <c r="I5808" s="668"/>
      <c r="J5808" s="668"/>
      <c r="K5808" s="668"/>
      <c r="L5808" s="668"/>
      <c r="M5808" s="668"/>
    </row>
    <row r="5809" spans="5:13">
      <c r="E5809" s="668"/>
      <c r="F5809" s="668"/>
      <c r="G5809" s="668"/>
      <c r="H5809" s="668"/>
      <c r="I5809" s="668"/>
      <c r="J5809" s="668"/>
      <c r="K5809" s="668"/>
      <c r="L5809" s="668"/>
      <c r="M5809" s="668"/>
    </row>
    <row r="5810" spans="5:13">
      <c r="E5810" s="668"/>
      <c r="F5810" s="668"/>
      <c r="G5810" s="668"/>
      <c r="H5810" s="668"/>
      <c r="I5810" s="668"/>
      <c r="J5810" s="668"/>
      <c r="K5810" s="668"/>
      <c r="L5810" s="668"/>
      <c r="M5810" s="668"/>
    </row>
    <row r="5811" spans="5:13">
      <c r="E5811" s="668"/>
      <c r="F5811" s="668"/>
      <c r="G5811" s="668"/>
      <c r="H5811" s="668"/>
      <c r="I5811" s="668"/>
      <c r="J5811" s="668"/>
      <c r="K5811" s="668"/>
      <c r="L5811" s="668"/>
      <c r="M5811" s="668"/>
    </row>
    <row r="5812" spans="5:13">
      <c r="E5812" s="668"/>
      <c r="F5812" s="668"/>
      <c r="G5812" s="668"/>
      <c r="H5812" s="668"/>
      <c r="I5812" s="668"/>
      <c r="J5812" s="668"/>
      <c r="K5812" s="668"/>
      <c r="L5812" s="668"/>
      <c r="M5812" s="668"/>
    </row>
    <row r="5813" spans="5:13">
      <c r="E5813" s="668"/>
      <c r="F5813" s="668"/>
      <c r="G5813" s="668"/>
      <c r="H5813" s="668"/>
      <c r="I5813" s="668"/>
      <c r="J5813" s="668"/>
      <c r="K5813" s="668"/>
      <c r="L5813" s="668"/>
      <c r="M5813" s="668"/>
    </row>
    <row r="5814" spans="5:13">
      <c r="E5814" s="668"/>
      <c r="F5814" s="668"/>
      <c r="G5814" s="668"/>
      <c r="H5814" s="668"/>
      <c r="I5814" s="668"/>
      <c r="J5814" s="668"/>
      <c r="K5814" s="668"/>
      <c r="L5814" s="668"/>
      <c r="M5814" s="668"/>
    </row>
    <row r="5815" spans="5:13">
      <c r="E5815" s="668"/>
      <c r="F5815" s="668"/>
      <c r="G5815" s="668"/>
      <c r="H5815" s="668"/>
      <c r="I5815" s="668"/>
      <c r="J5815" s="668"/>
      <c r="K5815" s="668"/>
      <c r="L5815" s="668"/>
      <c r="M5815" s="668"/>
    </row>
    <row r="5816" spans="5:13">
      <c r="E5816" s="668"/>
      <c r="F5816" s="668"/>
      <c r="G5816" s="668"/>
      <c r="H5816" s="668"/>
      <c r="I5816" s="668"/>
      <c r="J5816" s="668"/>
      <c r="K5816" s="668"/>
      <c r="L5816" s="668"/>
      <c r="M5816" s="668"/>
    </row>
    <row r="5817" spans="5:13">
      <c r="E5817" s="668"/>
      <c r="F5817" s="668"/>
      <c r="G5817" s="668"/>
      <c r="H5817" s="668"/>
      <c r="I5817" s="668"/>
      <c r="J5817" s="668"/>
      <c r="K5817" s="668"/>
      <c r="L5817" s="668"/>
      <c r="M5817" s="668"/>
    </row>
    <row r="5818" spans="5:13">
      <c r="E5818" s="668"/>
      <c r="F5818" s="668"/>
      <c r="G5818" s="668"/>
      <c r="H5818" s="668"/>
      <c r="I5818" s="668"/>
      <c r="J5818" s="668"/>
      <c r="K5818" s="668"/>
      <c r="L5818" s="668"/>
      <c r="M5818" s="668"/>
    </row>
    <row r="5819" spans="5:13">
      <c r="E5819" s="668"/>
      <c r="F5819" s="668"/>
      <c r="G5819" s="668"/>
      <c r="H5819" s="668"/>
      <c r="I5819" s="668"/>
      <c r="J5819" s="668"/>
      <c r="K5819" s="668"/>
      <c r="L5819" s="668"/>
      <c r="M5819" s="668"/>
    </row>
    <row r="5820" spans="5:13">
      <c r="E5820" s="668"/>
      <c r="F5820" s="668"/>
      <c r="G5820" s="668"/>
      <c r="H5820" s="668"/>
      <c r="I5820" s="668"/>
      <c r="J5820" s="668"/>
      <c r="K5820" s="668"/>
      <c r="L5820" s="668"/>
      <c r="M5820" s="668"/>
    </row>
    <row r="5821" spans="5:13">
      <c r="E5821" s="668"/>
      <c r="F5821" s="668"/>
      <c r="G5821" s="668"/>
      <c r="H5821" s="668"/>
      <c r="I5821" s="668"/>
      <c r="J5821" s="668"/>
      <c r="K5821" s="668"/>
      <c r="L5821" s="668"/>
      <c r="M5821" s="668"/>
    </row>
    <row r="5822" spans="5:13">
      <c r="E5822" s="668"/>
      <c r="F5822" s="668"/>
      <c r="G5822" s="668"/>
      <c r="H5822" s="668"/>
      <c r="I5822" s="668"/>
      <c r="J5822" s="668"/>
      <c r="K5822" s="668"/>
      <c r="L5822" s="668"/>
      <c r="M5822" s="668"/>
    </row>
    <row r="5823" spans="5:13">
      <c r="E5823" s="668"/>
      <c r="F5823" s="668"/>
      <c r="G5823" s="668"/>
      <c r="H5823" s="668"/>
      <c r="I5823" s="668"/>
      <c r="J5823" s="668"/>
      <c r="K5823" s="668"/>
      <c r="L5823" s="668"/>
      <c r="M5823" s="668"/>
    </row>
    <row r="5824" spans="5:13">
      <c r="E5824" s="668"/>
      <c r="F5824" s="668"/>
      <c r="G5824" s="668"/>
      <c r="H5824" s="668"/>
      <c r="I5824" s="668"/>
      <c r="J5824" s="668"/>
      <c r="K5824" s="668"/>
      <c r="L5824" s="668"/>
      <c r="M5824" s="668"/>
    </row>
    <row r="5825" spans="5:13">
      <c r="E5825" s="668"/>
      <c r="F5825" s="668"/>
      <c r="G5825" s="668"/>
      <c r="H5825" s="668"/>
      <c r="I5825" s="668"/>
      <c r="J5825" s="668"/>
      <c r="K5825" s="668"/>
      <c r="L5825" s="668"/>
      <c r="M5825" s="668"/>
    </row>
    <row r="5826" spans="5:13">
      <c r="E5826" s="668"/>
      <c r="F5826" s="668"/>
      <c r="G5826" s="668"/>
      <c r="H5826" s="668"/>
      <c r="I5826" s="668"/>
      <c r="J5826" s="668"/>
      <c r="K5826" s="668"/>
      <c r="L5826" s="668"/>
      <c r="M5826" s="668"/>
    </row>
    <row r="5827" spans="5:13">
      <c r="E5827" s="668"/>
      <c r="F5827" s="668"/>
      <c r="G5827" s="668"/>
      <c r="H5827" s="668"/>
      <c r="I5827" s="668"/>
      <c r="J5827" s="668"/>
      <c r="K5827" s="668"/>
      <c r="L5827" s="668"/>
      <c r="M5827" s="668"/>
    </row>
    <row r="5828" spans="5:13">
      <c r="E5828" s="668"/>
      <c r="F5828" s="668"/>
      <c r="G5828" s="668"/>
      <c r="H5828" s="668"/>
      <c r="I5828" s="668"/>
      <c r="J5828" s="668"/>
      <c r="K5828" s="668"/>
      <c r="L5828" s="668"/>
      <c r="M5828" s="668"/>
    </row>
    <row r="5829" spans="5:13">
      <c r="E5829" s="668"/>
      <c r="F5829" s="668"/>
      <c r="G5829" s="668"/>
      <c r="H5829" s="668"/>
      <c r="I5829" s="668"/>
      <c r="J5829" s="668"/>
      <c r="K5829" s="668"/>
      <c r="L5829" s="668"/>
      <c r="M5829" s="668"/>
    </row>
    <row r="5830" spans="5:13">
      <c r="E5830" s="668"/>
      <c r="F5830" s="668"/>
      <c r="G5830" s="668"/>
      <c r="H5830" s="668"/>
      <c r="I5830" s="668"/>
      <c r="J5830" s="668"/>
      <c r="K5830" s="668"/>
      <c r="L5830" s="668"/>
      <c r="M5830" s="668"/>
    </row>
    <row r="5831" spans="5:13">
      <c r="E5831" s="668"/>
      <c r="F5831" s="668"/>
      <c r="G5831" s="668"/>
      <c r="H5831" s="668"/>
      <c r="I5831" s="668"/>
      <c r="J5831" s="668"/>
      <c r="K5831" s="668"/>
      <c r="L5831" s="668"/>
      <c r="M5831" s="668"/>
    </row>
    <row r="5832" spans="5:13">
      <c r="E5832" s="668"/>
      <c r="F5832" s="668"/>
      <c r="G5832" s="668"/>
      <c r="H5832" s="668"/>
      <c r="I5832" s="668"/>
      <c r="J5832" s="668"/>
      <c r="K5832" s="668"/>
      <c r="L5832" s="668"/>
      <c r="M5832" s="668"/>
    </row>
    <row r="5833" spans="5:13">
      <c r="E5833" s="668"/>
      <c r="F5833" s="668"/>
      <c r="G5833" s="668"/>
      <c r="H5833" s="668"/>
      <c r="I5833" s="668"/>
      <c r="J5833" s="668"/>
      <c r="K5833" s="668"/>
      <c r="L5833" s="668"/>
      <c r="M5833" s="668"/>
    </row>
    <row r="5834" spans="5:13">
      <c r="E5834" s="668"/>
      <c r="F5834" s="668"/>
      <c r="G5834" s="668"/>
      <c r="H5834" s="668"/>
      <c r="I5834" s="668"/>
      <c r="J5834" s="668"/>
      <c r="K5834" s="668"/>
      <c r="L5834" s="668"/>
      <c r="M5834" s="668"/>
    </row>
    <row r="5835" spans="5:13">
      <c r="E5835" s="668"/>
      <c r="F5835" s="668"/>
      <c r="G5835" s="668"/>
      <c r="H5835" s="668"/>
      <c r="I5835" s="668"/>
      <c r="J5835" s="668"/>
      <c r="K5835" s="668"/>
      <c r="L5835" s="668"/>
      <c r="M5835" s="668"/>
    </row>
    <row r="5836" spans="5:13">
      <c r="E5836" s="668"/>
      <c r="F5836" s="668"/>
      <c r="G5836" s="668"/>
      <c r="H5836" s="668"/>
      <c r="I5836" s="668"/>
      <c r="J5836" s="668"/>
      <c r="K5836" s="668"/>
      <c r="L5836" s="668"/>
      <c r="M5836" s="668"/>
    </row>
    <row r="5837" spans="5:13">
      <c r="E5837" s="668"/>
      <c r="F5837" s="668"/>
      <c r="G5837" s="668"/>
      <c r="H5837" s="668"/>
      <c r="I5837" s="668"/>
      <c r="J5837" s="668"/>
      <c r="K5837" s="668"/>
      <c r="L5837" s="668"/>
      <c r="M5837" s="668"/>
    </row>
    <row r="5838" spans="5:13">
      <c r="E5838" s="668"/>
      <c r="F5838" s="668"/>
      <c r="G5838" s="668"/>
      <c r="H5838" s="668"/>
      <c r="I5838" s="668"/>
      <c r="J5838" s="668"/>
      <c r="K5838" s="668"/>
      <c r="L5838" s="668"/>
      <c r="M5838" s="668"/>
    </row>
    <row r="5839" spans="5:13">
      <c r="E5839" s="668"/>
      <c r="F5839" s="668"/>
      <c r="G5839" s="668"/>
      <c r="H5839" s="668"/>
      <c r="I5839" s="668"/>
      <c r="J5839" s="668"/>
      <c r="K5839" s="668"/>
      <c r="L5839" s="668"/>
      <c r="M5839" s="668"/>
    </row>
    <row r="5840" spans="5:13">
      <c r="E5840" s="668"/>
      <c r="F5840" s="668"/>
      <c r="G5840" s="668"/>
      <c r="H5840" s="668"/>
      <c r="I5840" s="668"/>
      <c r="J5840" s="668"/>
      <c r="K5840" s="668"/>
      <c r="L5840" s="668"/>
      <c r="M5840" s="668"/>
    </row>
    <row r="5841" spans="5:13">
      <c r="E5841" s="668"/>
      <c r="F5841" s="668"/>
      <c r="G5841" s="668"/>
      <c r="H5841" s="668"/>
      <c r="I5841" s="668"/>
      <c r="J5841" s="668"/>
      <c r="K5841" s="668"/>
      <c r="L5841" s="668"/>
      <c r="M5841" s="668"/>
    </row>
    <row r="5842" spans="5:13">
      <c r="E5842" s="668"/>
      <c r="F5842" s="668"/>
      <c r="G5842" s="668"/>
      <c r="H5842" s="668"/>
      <c r="I5842" s="668"/>
      <c r="J5842" s="668"/>
      <c r="K5842" s="668"/>
      <c r="L5842" s="668"/>
      <c r="M5842" s="668"/>
    </row>
    <row r="5843" spans="5:13">
      <c r="E5843" s="668"/>
      <c r="F5843" s="668"/>
      <c r="G5843" s="668"/>
      <c r="H5843" s="668"/>
      <c r="I5843" s="668"/>
      <c r="J5843" s="668"/>
      <c r="K5843" s="668"/>
      <c r="L5843" s="668"/>
      <c r="M5843" s="668"/>
    </row>
    <row r="5844" spans="5:13">
      <c r="E5844" s="668"/>
      <c r="F5844" s="668"/>
      <c r="G5844" s="668"/>
      <c r="H5844" s="668"/>
      <c r="I5844" s="668"/>
      <c r="J5844" s="668"/>
      <c r="K5844" s="668"/>
      <c r="L5844" s="668"/>
      <c r="M5844" s="668"/>
    </row>
    <row r="5845" spans="5:13">
      <c r="E5845" s="668"/>
      <c r="F5845" s="668"/>
      <c r="G5845" s="668"/>
      <c r="H5845" s="668"/>
      <c r="I5845" s="668"/>
      <c r="J5845" s="668"/>
      <c r="K5845" s="668"/>
      <c r="L5845" s="668"/>
      <c r="M5845" s="668"/>
    </row>
    <row r="5846" spans="5:13">
      <c r="E5846" s="668"/>
      <c r="F5846" s="668"/>
      <c r="G5846" s="668"/>
      <c r="H5846" s="668"/>
      <c r="I5846" s="668"/>
      <c r="J5846" s="668"/>
      <c r="K5846" s="668"/>
      <c r="L5846" s="668"/>
      <c r="M5846" s="668"/>
    </row>
    <row r="5847" spans="5:13">
      <c r="E5847" s="668"/>
      <c r="F5847" s="668"/>
      <c r="G5847" s="668"/>
      <c r="H5847" s="668"/>
      <c r="I5847" s="668"/>
      <c r="J5847" s="668"/>
      <c r="K5847" s="668"/>
      <c r="L5847" s="668"/>
      <c r="M5847" s="668"/>
    </row>
    <row r="5848" spans="5:13">
      <c r="E5848" s="668"/>
      <c r="F5848" s="668"/>
      <c r="G5848" s="668"/>
      <c r="H5848" s="668"/>
      <c r="I5848" s="668"/>
      <c r="J5848" s="668"/>
      <c r="K5848" s="668"/>
      <c r="L5848" s="668"/>
      <c r="M5848" s="668"/>
    </row>
    <row r="5849" spans="5:13">
      <c r="E5849" s="668"/>
      <c r="F5849" s="668"/>
      <c r="G5849" s="668"/>
      <c r="H5849" s="668"/>
      <c r="I5849" s="668"/>
      <c r="J5849" s="668"/>
      <c r="K5849" s="668"/>
      <c r="L5849" s="668"/>
      <c r="M5849" s="668"/>
    </row>
    <row r="5850" spans="5:13">
      <c r="E5850" s="668"/>
      <c r="F5850" s="668"/>
      <c r="G5850" s="668"/>
      <c r="H5850" s="668"/>
      <c r="I5850" s="668"/>
      <c r="J5850" s="668"/>
      <c r="K5850" s="668"/>
      <c r="L5850" s="668"/>
      <c r="M5850" s="668"/>
    </row>
    <row r="5851" spans="5:13">
      <c r="E5851" s="668"/>
      <c r="F5851" s="668"/>
      <c r="G5851" s="668"/>
      <c r="H5851" s="668"/>
      <c r="I5851" s="668"/>
      <c r="J5851" s="668"/>
      <c r="K5851" s="668"/>
      <c r="L5851" s="668"/>
      <c r="M5851" s="668"/>
    </row>
    <row r="5852" spans="5:13">
      <c r="E5852" s="668"/>
      <c r="F5852" s="668"/>
      <c r="G5852" s="668"/>
      <c r="H5852" s="668"/>
      <c r="I5852" s="668"/>
      <c r="J5852" s="668"/>
      <c r="K5852" s="668"/>
      <c r="L5852" s="668"/>
      <c r="M5852" s="668"/>
    </row>
    <row r="5853" spans="5:13">
      <c r="E5853" s="668"/>
      <c r="F5853" s="668"/>
      <c r="G5853" s="668"/>
      <c r="H5853" s="668"/>
      <c r="I5853" s="668"/>
      <c r="J5853" s="668"/>
      <c r="K5853" s="668"/>
      <c r="L5853" s="668"/>
      <c r="M5853" s="668"/>
    </row>
    <row r="5854" spans="5:13">
      <c r="E5854" s="668"/>
      <c r="F5854" s="668"/>
      <c r="G5854" s="668"/>
      <c r="H5854" s="668"/>
      <c r="I5854" s="668"/>
      <c r="J5854" s="668"/>
      <c r="K5854" s="668"/>
      <c r="L5854" s="668"/>
      <c r="M5854" s="668"/>
    </row>
    <row r="5855" spans="5:13">
      <c r="E5855" s="668"/>
      <c r="F5855" s="668"/>
      <c r="G5855" s="668"/>
      <c r="H5855" s="668"/>
      <c r="I5855" s="668"/>
      <c r="J5855" s="668"/>
      <c r="K5855" s="668"/>
      <c r="L5855" s="668"/>
      <c r="M5855" s="668"/>
    </row>
    <row r="5856" spans="5:13">
      <c r="E5856" s="668"/>
      <c r="F5856" s="668"/>
      <c r="G5856" s="668"/>
      <c r="H5856" s="668"/>
      <c r="I5856" s="668"/>
      <c r="J5856" s="668"/>
      <c r="K5856" s="668"/>
      <c r="L5856" s="668"/>
      <c r="M5856" s="668"/>
    </row>
    <row r="5857" spans="5:13">
      <c r="E5857" s="668"/>
      <c r="F5857" s="668"/>
      <c r="G5857" s="668"/>
      <c r="H5857" s="668"/>
      <c r="I5857" s="668"/>
      <c r="J5857" s="668"/>
      <c r="K5857" s="668"/>
      <c r="L5857" s="668"/>
      <c r="M5857" s="668"/>
    </row>
    <row r="5858" spans="5:13">
      <c r="E5858" s="668"/>
      <c r="F5858" s="668"/>
      <c r="G5858" s="668"/>
      <c r="H5858" s="668"/>
      <c r="I5858" s="668"/>
      <c r="J5858" s="668"/>
      <c r="K5858" s="668"/>
      <c r="L5858" s="668"/>
      <c r="M5858" s="668"/>
    </row>
    <row r="5859" spans="5:13">
      <c r="E5859" s="668"/>
      <c r="F5859" s="668"/>
      <c r="G5859" s="668"/>
      <c r="H5859" s="668"/>
      <c r="I5859" s="668"/>
      <c r="J5859" s="668"/>
      <c r="K5859" s="668"/>
      <c r="L5859" s="668"/>
      <c r="M5859" s="668"/>
    </row>
    <row r="5860" spans="5:13">
      <c r="E5860" s="668"/>
      <c r="F5860" s="668"/>
      <c r="G5860" s="668"/>
      <c r="H5860" s="668"/>
      <c r="I5860" s="668"/>
      <c r="J5860" s="668"/>
      <c r="K5860" s="668"/>
      <c r="L5860" s="668"/>
      <c r="M5860" s="668"/>
    </row>
    <row r="5861" spans="5:13">
      <c r="E5861" s="668"/>
      <c r="F5861" s="668"/>
      <c r="G5861" s="668"/>
      <c r="H5861" s="668"/>
      <c r="I5861" s="668"/>
      <c r="J5861" s="668"/>
      <c r="K5861" s="668"/>
      <c r="L5861" s="668"/>
      <c r="M5861" s="668"/>
    </row>
    <row r="5862" spans="5:13">
      <c r="E5862" s="668"/>
      <c r="F5862" s="668"/>
      <c r="G5862" s="668"/>
      <c r="H5862" s="668"/>
      <c r="I5862" s="668"/>
      <c r="J5862" s="668"/>
      <c r="K5862" s="668"/>
      <c r="L5862" s="668"/>
      <c r="M5862" s="668"/>
    </row>
    <row r="5863" spans="5:13">
      <c r="E5863" s="668"/>
      <c r="F5863" s="668"/>
      <c r="G5863" s="668"/>
      <c r="H5863" s="668"/>
      <c r="I5863" s="668"/>
      <c r="J5863" s="668"/>
      <c r="K5863" s="668"/>
      <c r="L5863" s="668"/>
      <c r="M5863" s="668"/>
    </row>
    <row r="5864" spans="5:13">
      <c r="E5864" s="668"/>
      <c r="F5864" s="668"/>
      <c r="G5864" s="668"/>
      <c r="H5864" s="668"/>
      <c r="I5864" s="668"/>
      <c r="J5864" s="668"/>
      <c r="K5864" s="668"/>
      <c r="L5864" s="668"/>
      <c r="M5864" s="668"/>
    </row>
    <row r="5865" spans="5:13">
      <c r="E5865" s="668"/>
      <c r="F5865" s="668"/>
      <c r="G5865" s="668"/>
      <c r="H5865" s="668"/>
      <c r="I5865" s="668"/>
      <c r="J5865" s="668"/>
      <c r="K5865" s="668"/>
      <c r="L5865" s="668"/>
      <c r="M5865" s="668"/>
    </row>
    <row r="5866" spans="5:13">
      <c r="E5866" s="668"/>
      <c r="F5866" s="668"/>
      <c r="G5866" s="668"/>
      <c r="H5866" s="668"/>
      <c r="I5866" s="668"/>
      <c r="J5866" s="668"/>
      <c r="K5866" s="668"/>
      <c r="L5866" s="668"/>
      <c r="M5866" s="668"/>
    </row>
    <row r="5867" spans="5:13">
      <c r="E5867" s="668"/>
      <c r="F5867" s="668"/>
      <c r="G5867" s="668"/>
      <c r="H5867" s="668"/>
      <c r="I5867" s="668"/>
      <c r="J5867" s="668"/>
      <c r="K5867" s="668"/>
      <c r="L5867" s="668"/>
      <c r="M5867" s="668"/>
    </row>
    <row r="5868" spans="5:13">
      <c r="E5868" s="668"/>
      <c r="F5868" s="668"/>
      <c r="G5868" s="668"/>
      <c r="H5868" s="668"/>
      <c r="I5868" s="668"/>
      <c r="J5868" s="668"/>
      <c r="K5868" s="668"/>
      <c r="L5868" s="668"/>
      <c r="M5868" s="668"/>
    </row>
    <row r="5869" spans="5:13">
      <c r="E5869" s="668"/>
      <c r="F5869" s="668"/>
      <c r="G5869" s="668"/>
      <c r="H5869" s="668"/>
      <c r="I5869" s="668"/>
      <c r="J5869" s="668"/>
      <c r="K5869" s="668"/>
      <c r="L5869" s="668"/>
      <c r="M5869" s="668"/>
    </row>
    <row r="5870" spans="5:13">
      <c r="E5870" s="668"/>
      <c r="F5870" s="668"/>
      <c r="G5870" s="668"/>
      <c r="H5870" s="668"/>
      <c r="I5870" s="668"/>
      <c r="J5870" s="668"/>
      <c r="K5870" s="668"/>
      <c r="L5870" s="668"/>
      <c r="M5870" s="668"/>
    </row>
    <row r="5871" spans="5:13">
      <c r="E5871" s="668"/>
      <c r="F5871" s="668"/>
      <c r="G5871" s="668"/>
      <c r="H5871" s="668"/>
      <c r="I5871" s="668"/>
      <c r="J5871" s="668"/>
      <c r="K5871" s="668"/>
      <c r="L5871" s="668"/>
      <c r="M5871" s="668"/>
    </row>
    <row r="5872" spans="5:13">
      <c r="E5872" s="668"/>
      <c r="F5872" s="668"/>
      <c r="G5872" s="668"/>
      <c r="H5872" s="668"/>
      <c r="I5872" s="668"/>
      <c r="J5872" s="668"/>
      <c r="K5872" s="668"/>
      <c r="L5872" s="668"/>
      <c r="M5872" s="668"/>
    </row>
    <row r="5873" spans="5:13">
      <c r="E5873" s="668"/>
      <c r="F5873" s="668"/>
      <c r="G5873" s="668"/>
      <c r="H5873" s="668"/>
      <c r="I5873" s="668"/>
      <c r="J5873" s="668"/>
      <c r="K5873" s="668"/>
      <c r="L5873" s="668"/>
      <c r="M5873" s="668"/>
    </row>
    <row r="5874" spans="5:13">
      <c r="E5874" s="668"/>
      <c r="F5874" s="668"/>
      <c r="G5874" s="668"/>
      <c r="H5874" s="668"/>
      <c r="I5874" s="668"/>
      <c r="J5874" s="668"/>
      <c r="K5874" s="668"/>
      <c r="L5874" s="668"/>
      <c r="M5874" s="668"/>
    </row>
    <row r="5875" spans="5:13">
      <c r="E5875" s="668"/>
      <c r="F5875" s="668"/>
      <c r="G5875" s="668"/>
      <c r="H5875" s="668"/>
      <c r="I5875" s="668"/>
      <c r="J5875" s="668"/>
      <c r="K5875" s="668"/>
      <c r="L5875" s="668"/>
      <c r="M5875" s="668"/>
    </row>
    <row r="5876" spans="5:13">
      <c r="E5876" s="668"/>
      <c r="F5876" s="668"/>
      <c r="G5876" s="668"/>
      <c r="H5876" s="668"/>
      <c r="I5876" s="668"/>
      <c r="J5876" s="668"/>
      <c r="K5876" s="668"/>
      <c r="L5876" s="668"/>
      <c r="M5876" s="668"/>
    </row>
    <row r="5877" spans="5:13">
      <c r="E5877" s="668"/>
      <c r="F5877" s="668"/>
      <c r="G5877" s="668"/>
      <c r="H5877" s="668"/>
      <c r="I5877" s="668"/>
      <c r="J5877" s="668"/>
      <c r="K5877" s="668"/>
      <c r="L5877" s="668"/>
      <c r="M5877" s="668"/>
    </row>
    <row r="5878" spans="5:13">
      <c r="E5878" s="668"/>
      <c r="F5878" s="668"/>
      <c r="G5878" s="668"/>
      <c r="H5878" s="668"/>
      <c r="I5878" s="668"/>
      <c r="J5878" s="668"/>
      <c r="K5878" s="668"/>
      <c r="L5878" s="668"/>
      <c r="M5878" s="668"/>
    </row>
    <row r="5879" spans="5:13">
      <c r="E5879" s="668"/>
      <c r="F5879" s="668"/>
      <c r="G5879" s="668"/>
      <c r="H5879" s="668"/>
      <c r="I5879" s="668"/>
      <c r="J5879" s="668"/>
      <c r="K5879" s="668"/>
      <c r="L5879" s="668"/>
      <c r="M5879" s="668"/>
    </row>
    <row r="5880" spans="5:13">
      <c r="E5880" s="668"/>
      <c r="F5880" s="668"/>
      <c r="G5880" s="668"/>
      <c r="H5880" s="668"/>
      <c r="I5880" s="668"/>
      <c r="J5880" s="668"/>
      <c r="K5880" s="668"/>
      <c r="L5880" s="668"/>
      <c r="M5880" s="668"/>
    </row>
    <row r="5881" spans="5:13">
      <c r="E5881" s="668"/>
      <c r="F5881" s="668"/>
      <c r="G5881" s="668"/>
      <c r="H5881" s="668"/>
      <c r="I5881" s="668"/>
      <c r="J5881" s="668"/>
      <c r="K5881" s="668"/>
      <c r="L5881" s="668"/>
      <c r="M5881" s="668"/>
    </row>
    <row r="5882" spans="5:13">
      <c r="E5882" s="668"/>
      <c r="F5882" s="668"/>
      <c r="G5882" s="668"/>
      <c r="H5882" s="668"/>
      <c r="I5882" s="668"/>
      <c r="J5882" s="668"/>
      <c r="K5882" s="668"/>
      <c r="L5882" s="668"/>
      <c r="M5882" s="668"/>
    </row>
    <row r="5883" spans="5:13">
      <c r="E5883" s="668"/>
      <c r="F5883" s="668"/>
      <c r="G5883" s="668"/>
      <c r="H5883" s="668"/>
      <c r="I5883" s="668"/>
      <c r="J5883" s="668"/>
      <c r="K5883" s="668"/>
      <c r="L5883" s="668"/>
      <c r="M5883" s="668"/>
    </row>
    <row r="5884" spans="5:13">
      <c r="E5884" s="668"/>
      <c r="F5884" s="668"/>
      <c r="G5884" s="668"/>
      <c r="H5884" s="668"/>
      <c r="I5884" s="668"/>
      <c r="J5884" s="668"/>
      <c r="K5884" s="668"/>
      <c r="L5884" s="668"/>
      <c r="M5884" s="668"/>
    </row>
    <row r="5885" spans="5:13">
      <c r="E5885" s="668"/>
      <c r="F5885" s="668"/>
      <c r="G5885" s="668"/>
      <c r="H5885" s="668"/>
      <c r="I5885" s="668"/>
      <c r="J5885" s="668"/>
      <c r="K5885" s="668"/>
      <c r="L5885" s="668"/>
      <c r="M5885" s="668"/>
    </row>
    <row r="5886" spans="5:13">
      <c r="E5886" s="668"/>
      <c r="F5886" s="668"/>
      <c r="G5886" s="668"/>
      <c r="H5886" s="668"/>
      <c r="I5886" s="668"/>
      <c r="J5886" s="668"/>
      <c r="K5886" s="668"/>
      <c r="L5886" s="668"/>
      <c r="M5886" s="668"/>
    </row>
    <row r="5887" spans="5:13">
      <c r="E5887" s="668"/>
      <c r="F5887" s="668"/>
      <c r="G5887" s="668"/>
      <c r="H5887" s="668"/>
      <c r="I5887" s="668"/>
      <c r="J5887" s="668"/>
      <c r="K5887" s="668"/>
      <c r="L5887" s="668"/>
      <c r="M5887" s="668"/>
    </row>
    <row r="5888" spans="5:13">
      <c r="E5888" s="668"/>
      <c r="F5888" s="668"/>
      <c r="G5888" s="668"/>
      <c r="H5888" s="668"/>
      <c r="I5888" s="668"/>
      <c r="J5888" s="668"/>
      <c r="K5888" s="668"/>
      <c r="L5888" s="668"/>
      <c r="M5888" s="668"/>
    </row>
    <row r="5889" spans="5:13">
      <c r="E5889" s="668"/>
      <c r="F5889" s="668"/>
      <c r="G5889" s="668"/>
      <c r="H5889" s="668"/>
      <c r="I5889" s="668"/>
      <c r="J5889" s="668"/>
      <c r="K5889" s="668"/>
      <c r="L5889" s="668"/>
      <c r="M5889" s="668"/>
    </row>
    <row r="5890" spans="5:13">
      <c r="E5890" s="668"/>
      <c r="F5890" s="668"/>
      <c r="G5890" s="668"/>
      <c r="H5890" s="668"/>
      <c r="I5890" s="668"/>
      <c r="J5890" s="668"/>
      <c r="K5890" s="668"/>
      <c r="L5890" s="668"/>
      <c r="M5890" s="668"/>
    </row>
    <row r="5891" spans="5:13">
      <c r="E5891" s="668"/>
      <c r="F5891" s="668"/>
      <c r="G5891" s="668"/>
      <c r="H5891" s="668"/>
      <c r="I5891" s="668"/>
      <c r="J5891" s="668"/>
      <c r="K5891" s="668"/>
      <c r="L5891" s="668"/>
      <c r="M5891" s="668"/>
    </row>
    <row r="5892" spans="5:13">
      <c r="E5892" s="668"/>
      <c r="F5892" s="668"/>
      <c r="G5892" s="668"/>
      <c r="H5892" s="668"/>
      <c r="I5892" s="668"/>
      <c r="J5892" s="668"/>
      <c r="K5892" s="668"/>
      <c r="L5892" s="668"/>
      <c r="M5892" s="668"/>
    </row>
    <row r="5893" spans="5:13">
      <c r="E5893" s="668"/>
      <c r="F5893" s="668"/>
      <c r="G5893" s="668"/>
      <c r="H5893" s="668"/>
      <c r="I5893" s="668"/>
      <c r="J5893" s="668"/>
      <c r="K5893" s="668"/>
      <c r="L5893" s="668"/>
      <c r="M5893" s="668"/>
    </row>
    <row r="5894" spans="5:13">
      <c r="E5894" s="668"/>
      <c r="F5894" s="668"/>
      <c r="G5894" s="668"/>
      <c r="H5894" s="668"/>
      <c r="I5894" s="668"/>
      <c r="J5894" s="668"/>
      <c r="K5894" s="668"/>
      <c r="L5894" s="668"/>
      <c r="M5894" s="668"/>
    </row>
    <row r="5895" spans="5:13">
      <c r="E5895" s="668"/>
      <c r="F5895" s="668"/>
      <c r="G5895" s="668"/>
      <c r="H5895" s="668"/>
      <c r="I5895" s="668"/>
      <c r="J5895" s="668"/>
      <c r="K5895" s="668"/>
      <c r="L5895" s="668"/>
      <c r="M5895" s="668"/>
    </row>
    <row r="5896" spans="5:13">
      <c r="E5896" s="668"/>
      <c r="F5896" s="668"/>
      <c r="G5896" s="668"/>
      <c r="H5896" s="668"/>
      <c r="I5896" s="668"/>
      <c r="J5896" s="668"/>
      <c r="K5896" s="668"/>
      <c r="L5896" s="668"/>
      <c r="M5896" s="668"/>
    </row>
    <row r="5897" spans="5:13">
      <c r="E5897" s="668"/>
      <c r="F5897" s="668"/>
      <c r="G5897" s="668"/>
      <c r="H5897" s="668"/>
      <c r="I5897" s="668"/>
      <c r="J5897" s="668"/>
      <c r="K5897" s="668"/>
      <c r="L5897" s="668"/>
      <c r="M5897" s="668"/>
    </row>
    <row r="5898" spans="5:13">
      <c r="E5898" s="668"/>
      <c r="F5898" s="668"/>
      <c r="G5898" s="668"/>
      <c r="H5898" s="668"/>
      <c r="I5898" s="668"/>
      <c r="J5898" s="668"/>
      <c r="K5898" s="668"/>
      <c r="L5898" s="668"/>
      <c r="M5898" s="668"/>
    </row>
    <row r="5899" spans="5:13">
      <c r="E5899" s="668"/>
      <c r="F5899" s="668"/>
      <c r="G5899" s="668"/>
      <c r="H5899" s="668"/>
      <c r="I5899" s="668"/>
      <c r="J5899" s="668"/>
      <c r="K5899" s="668"/>
      <c r="L5899" s="668"/>
      <c r="M5899" s="668"/>
    </row>
    <row r="5900" spans="5:13">
      <c r="E5900" s="668"/>
      <c r="F5900" s="668"/>
      <c r="G5900" s="668"/>
      <c r="H5900" s="668"/>
      <c r="I5900" s="668"/>
      <c r="J5900" s="668"/>
      <c r="K5900" s="668"/>
      <c r="L5900" s="668"/>
      <c r="M5900" s="668"/>
    </row>
    <row r="5901" spans="5:13">
      <c r="E5901" s="668"/>
      <c r="F5901" s="668"/>
      <c r="G5901" s="668"/>
      <c r="H5901" s="668"/>
      <c r="I5901" s="668"/>
      <c r="J5901" s="668"/>
      <c r="K5901" s="668"/>
      <c r="L5901" s="668"/>
      <c r="M5901" s="668"/>
    </row>
    <row r="5902" spans="5:13">
      <c r="E5902" s="668"/>
      <c r="F5902" s="668"/>
      <c r="G5902" s="668"/>
      <c r="H5902" s="668"/>
      <c r="I5902" s="668"/>
      <c r="J5902" s="668"/>
      <c r="K5902" s="668"/>
      <c r="L5902" s="668"/>
      <c r="M5902" s="668"/>
    </row>
    <row r="5903" spans="5:13">
      <c r="E5903" s="668"/>
      <c r="F5903" s="668"/>
      <c r="G5903" s="668"/>
      <c r="H5903" s="668"/>
      <c r="I5903" s="668"/>
      <c r="J5903" s="668"/>
      <c r="K5903" s="668"/>
      <c r="L5903" s="668"/>
      <c r="M5903" s="668"/>
    </row>
    <row r="5904" spans="5:13">
      <c r="E5904" s="668"/>
      <c r="F5904" s="668"/>
      <c r="G5904" s="668"/>
      <c r="H5904" s="668"/>
      <c r="I5904" s="668"/>
      <c r="J5904" s="668"/>
      <c r="K5904" s="668"/>
      <c r="L5904" s="668"/>
      <c r="M5904" s="668"/>
    </row>
    <row r="5905" spans="5:13">
      <c r="E5905" s="668"/>
      <c r="F5905" s="668"/>
      <c r="G5905" s="668"/>
      <c r="H5905" s="668"/>
      <c r="I5905" s="668"/>
      <c r="J5905" s="668"/>
      <c r="K5905" s="668"/>
      <c r="L5905" s="668"/>
      <c r="M5905" s="668"/>
    </row>
    <row r="5906" spans="5:13">
      <c r="E5906" s="668"/>
      <c r="F5906" s="668"/>
      <c r="G5906" s="668"/>
      <c r="H5906" s="668"/>
      <c r="I5906" s="668"/>
      <c r="J5906" s="668"/>
      <c r="K5906" s="668"/>
      <c r="L5906" s="668"/>
      <c r="M5906" s="668"/>
    </row>
    <row r="5907" spans="5:13">
      <c r="E5907" s="668"/>
      <c r="F5907" s="668"/>
      <c r="G5907" s="668"/>
      <c r="H5907" s="668"/>
      <c r="I5907" s="668"/>
      <c r="J5907" s="668"/>
      <c r="K5907" s="668"/>
      <c r="L5907" s="668"/>
      <c r="M5907" s="668"/>
    </row>
    <row r="5908" spans="5:13">
      <c r="E5908" s="668"/>
      <c r="F5908" s="668"/>
      <c r="G5908" s="668"/>
      <c r="H5908" s="668"/>
      <c r="I5908" s="668"/>
      <c r="J5908" s="668"/>
      <c r="K5908" s="668"/>
      <c r="L5908" s="668"/>
      <c r="M5908" s="668"/>
    </row>
    <row r="5909" spans="5:13">
      <c r="E5909" s="668"/>
      <c r="F5909" s="668"/>
      <c r="G5909" s="668"/>
      <c r="H5909" s="668"/>
      <c r="I5909" s="668"/>
      <c r="J5909" s="668"/>
      <c r="K5909" s="668"/>
      <c r="L5909" s="668"/>
      <c r="M5909" s="668"/>
    </row>
    <row r="5910" spans="5:13">
      <c r="E5910" s="668"/>
      <c r="F5910" s="668"/>
      <c r="G5910" s="668"/>
      <c r="H5910" s="668"/>
      <c r="I5910" s="668"/>
      <c r="J5910" s="668"/>
      <c r="K5910" s="668"/>
      <c r="L5910" s="668"/>
      <c r="M5910" s="668"/>
    </row>
    <row r="5911" spans="5:13">
      <c r="E5911" s="668"/>
      <c r="F5911" s="668"/>
      <c r="G5911" s="668"/>
      <c r="H5911" s="668"/>
      <c r="I5911" s="668"/>
      <c r="J5911" s="668"/>
      <c r="K5911" s="668"/>
      <c r="L5911" s="668"/>
      <c r="M5911" s="668"/>
    </row>
    <row r="5912" spans="5:13">
      <c r="E5912" s="668"/>
      <c r="F5912" s="668"/>
      <c r="G5912" s="668"/>
      <c r="H5912" s="668"/>
      <c r="I5912" s="668"/>
      <c r="J5912" s="668"/>
      <c r="K5912" s="668"/>
      <c r="L5912" s="668"/>
      <c r="M5912" s="668"/>
    </row>
    <row r="5913" spans="5:13">
      <c r="E5913" s="668"/>
      <c r="F5913" s="668"/>
      <c r="G5913" s="668"/>
      <c r="H5913" s="668"/>
      <c r="I5913" s="668"/>
      <c r="J5913" s="668"/>
      <c r="K5913" s="668"/>
      <c r="L5913" s="668"/>
      <c r="M5913" s="668"/>
    </row>
    <row r="5914" spans="5:13">
      <c r="E5914" s="668"/>
      <c r="F5914" s="668"/>
      <c r="G5914" s="668"/>
      <c r="H5914" s="668"/>
      <c r="I5914" s="668"/>
      <c r="J5914" s="668"/>
      <c r="K5914" s="668"/>
      <c r="L5914" s="668"/>
      <c r="M5914" s="668"/>
    </row>
    <row r="5915" spans="5:13">
      <c r="E5915" s="668"/>
      <c r="F5915" s="668"/>
      <c r="G5915" s="668"/>
      <c r="H5915" s="668"/>
      <c r="I5915" s="668"/>
      <c r="J5915" s="668"/>
      <c r="K5915" s="668"/>
      <c r="L5915" s="668"/>
      <c r="M5915" s="668"/>
    </row>
    <row r="5916" spans="5:13">
      <c r="E5916" s="668"/>
      <c r="F5916" s="668"/>
      <c r="G5916" s="668"/>
      <c r="H5916" s="668"/>
      <c r="I5916" s="668"/>
      <c r="J5916" s="668"/>
      <c r="K5916" s="668"/>
      <c r="L5916" s="668"/>
      <c r="M5916" s="668"/>
    </row>
    <row r="5917" spans="5:13">
      <c r="E5917" s="668"/>
      <c r="F5917" s="668"/>
      <c r="G5917" s="668"/>
      <c r="H5917" s="668"/>
      <c r="I5917" s="668"/>
      <c r="J5917" s="668"/>
      <c r="K5917" s="668"/>
      <c r="L5917" s="668"/>
      <c r="M5917" s="668"/>
    </row>
    <row r="5918" spans="5:13">
      <c r="E5918" s="668"/>
      <c r="F5918" s="668"/>
      <c r="G5918" s="668"/>
      <c r="H5918" s="668"/>
      <c r="I5918" s="668"/>
      <c r="J5918" s="668"/>
      <c r="K5918" s="668"/>
      <c r="L5918" s="668"/>
      <c r="M5918" s="668"/>
    </row>
    <row r="5919" spans="5:13">
      <c r="E5919" s="668"/>
      <c r="F5919" s="668"/>
      <c r="G5919" s="668"/>
      <c r="H5919" s="668"/>
      <c r="I5919" s="668"/>
      <c r="J5919" s="668"/>
      <c r="K5919" s="668"/>
      <c r="L5919" s="668"/>
      <c r="M5919" s="668"/>
    </row>
    <row r="5920" spans="5:13">
      <c r="E5920" s="668"/>
      <c r="F5920" s="668"/>
      <c r="G5920" s="668"/>
      <c r="H5920" s="668"/>
      <c r="I5920" s="668"/>
      <c r="J5920" s="668"/>
      <c r="K5920" s="668"/>
      <c r="L5920" s="668"/>
      <c r="M5920" s="668"/>
    </row>
    <row r="5921" spans="5:13">
      <c r="E5921" s="668"/>
      <c r="F5921" s="668"/>
      <c r="G5921" s="668"/>
      <c r="H5921" s="668"/>
      <c r="I5921" s="668"/>
      <c r="J5921" s="668"/>
      <c r="K5921" s="668"/>
      <c r="L5921" s="668"/>
      <c r="M5921" s="668"/>
    </row>
    <row r="5922" spans="5:13">
      <c r="E5922" s="668"/>
      <c r="F5922" s="668"/>
      <c r="G5922" s="668"/>
      <c r="H5922" s="668"/>
      <c r="I5922" s="668"/>
      <c r="J5922" s="668"/>
      <c r="K5922" s="668"/>
      <c r="L5922" s="668"/>
      <c r="M5922" s="668"/>
    </row>
    <row r="5923" spans="5:13">
      <c r="E5923" s="668"/>
      <c r="F5923" s="668"/>
      <c r="G5923" s="668"/>
      <c r="H5923" s="668"/>
      <c r="I5923" s="668"/>
      <c r="J5923" s="668"/>
      <c r="K5923" s="668"/>
      <c r="L5923" s="668"/>
      <c r="M5923" s="668"/>
    </row>
    <row r="5924" spans="5:13">
      <c r="E5924" s="668"/>
      <c r="F5924" s="668"/>
      <c r="G5924" s="668"/>
      <c r="H5924" s="668"/>
      <c r="I5924" s="668"/>
      <c r="J5924" s="668"/>
      <c r="K5924" s="668"/>
      <c r="L5924" s="668"/>
      <c r="M5924" s="668"/>
    </row>
    <row r="5925" spans="5:13">
      <c r="E5925" s="668"/>
      <c r="F5925" s="668"/>
      <c r="G5925" s="668"/>
      <c r="H5925" s="668"/>
      <c r="I5925" s="668"/>
      <c r="J5925" s="668"/>
      <c r="K5925" s="668"/>
      <c r="L5925" s="668"/>
      <c r="M5925" s="668"/>
    </row>
    <row r="5926" spans="5:13">
      <c r="E5926" s="668"/>
      <c r="F5926" s="668"/>
      <c r="G5926" s="668"/>
      <c r="H5926" s="668"/>
      <c r="I5926" s="668"/>
      <c r="J5926" s="668"/>
      <c r="K5926" s="668"/>
      <c r="L5926" s="668"/>
      <c r="M5926" s="668"/>
    </row>
    <row r="5927" spans="5:13">
      <c r="E5927" s="668"/>
      <c r="F5927" s="668"/>
      <c r="G5927" s="668"/>
      <c r="H5927" s="668"/>
      <c r="I5927" s="668"/>
      <c r="J5927" s="668"/>
      <c r="K5927" s="668"/>
      <c r="L5927" s="668"/>
      <c r="M5927" s="668"/>
    </row>
    <row r="5928" spans="5:13">
      <c r="E5928" s="668"/>
      <c r="F5928" s="668"/>
      <c r="G5928" s="668"/>
      <c r="H5928" s="668"/>
      <c r="I5928" s="668"/>
      <c r="J5928" s="668"/>
      <c r="K5928" s="668"/>
      <c r="L5928" s="668"/>
      <c r="M5928" s="668"/>
    </row>
    <row r="5929" spans="5:13">
      <c r="E5929" s="668"/>
      <c r="F5929" s="668"/>
      <c r="G5929" s="668"/>
      <c r="H5929" s="668"/>
      <c r="I5929" s="668"/>
      <c r="J5929" s="668"/>
      <c r="K5929" s="668"/>
      <c r="L5929" s="668"/>
      <c r="M5929" s="668"/>
    </row>
    <row r="5930" spans="5:13">
      <c r="E5930" s="668"/>
      <c r="F5930" s="668"/>
      <c r="G5930" s="668"/>
      <c r="H5930" s="668"/>
      <c r="I5930" s="668"/>
      <c r="J5930" s="668"/>
      <c r="K5930" s="668"/>
      <c r="L5930" s="668"/>
      <c r="M5930" s="668"/>
    </row>
    <row r="5931" spans="5:13">
      <c r="E5931" s="668"/>
      <c r="F5931" s="668"/>
      <c r="G5931" s="668"/>
      <c r="H5931" s="668"/>
      <c r="I5931" s="668"/>
      <c r="J5931" s="668"/>
      <c r="K5931" s="668"/>
      <c r="L5931" s="668"/>
      <c r="M5931" s="668"/>
    </row>
    <row r="5932" spans="5:13">
      <c r="E5932" s="668"/>
      <c r="F5932" s="668"/>
      <c r="G5932" s="668"/>
      <c r="H5932" s="668"/>
      <c r="I5932" s="668"/>
      <c r="J5932" s="668"/>
      <c r="K5932" s="668"/>
      <c r="L5932" s="668"/>
      <c r="M5932" s="668"/>
    </row>
    <row r="5933" spans="5:13">
      <c r="E5933" s="668"/>
      <c r="F5933" s="668"/>
      <c r="G5933" s="668"/>
      <c r="H5933" s="668"/>
      <c r="I5933" s="668"/>
      <c r="J5933" s="668"/>
      <c r="K5933" s="668"/>
      <c r="L5933" s="668"/>
      <c r="M5933" s="668"/>
    </row>
    <row r="5934" spans="5:13">
      <c r="E5934" s="668"/>
      <c r="F5934" s="668"/>
      <c r="G5934" s="668"/>
      <c r="H5934" s="668"/>
      <c r="I5934" s="668"/>
      <c r="J5934" s="668"/>
      <c r="K5934" s="668"/>
      <c r="L5934" s="668"/>
      <c r="M5934" s="668"/>
    </row>
    <row r="5935" spans="5:13">
      <c r="E5935" s="668"/>
      <c r="F5935" s="668"/>
      <c r="G5935" s="668"/>
      <c r="H5935" s="668"/>
      <c r="I5935" s="668"/>
      <c r="J5935" s="668"/>
      <c r="K5935" s="668"/>
      <c r="L5935" s="668"/>
      <c r="M5935" s="668"/>
    </row>
    <row r="5936" spans="5:13">
      <c r="E5936" s="668"/>
      <c r="F5936" s="668"/>
      <c r="G5936" s="668"/>
      <c r="H5936" s="668"/>
      <c r="I5936" s="668"/>
      <c r="J5936" s="668"/>
      <c r="K5936" s="668"/>
      <c r="L5936" s="668"/>
      <c r="M5936" s="668"/>
    </row>
    <row r="5937" spans="5:13">
      <c r="E5937" s="668"/>
      <c r="F5937" s="668"/>
      <c r="G5937" s="668"/>
      <c r="H5937" s="668"/>
      <c r="I5937" s="668"/>
      <c r="J5937" s="668"/>
      <c r="K5937" s="668"/>
      <c r="L5937" s="668"/>
      <c r="M5937" s="668"/>
    </row>
    <row r="5938" spans="5:13">
      <c r="E5938" s="668"/>
      <c r="F5938" s="668"/>
      <c r="G5938" s="668"/>
      <c r="H5938" s="668"/>
      <c r="I5938" s="668"/>
      <c r="J5938" s="668"/>
      <c r="K5938" s="668"/>
      <c r="L5938" s="668"/>
      <c r="M5938" s="668"/>
    </row>
    <row r="5939" spans="5:13">
      <c r="E5939" s="668"/>
      <c r="F5939" s="668"/>
      <c r="G5939" s="668"/>
      <c r="H5939" s="668"/>
      <c r="I5939" s="668"/>
      <c r="J5939" s="668"/>
      <c r="K5939" s="668"/>
      <c r="L5939" s="668"/>
      <c r="M5939" s="668"/>
    </row>
    <row r="5940" spans="5:13">
      <c r="E5940" s="668"/>
      <c r="F5940" s="668"/>
      <c r="G5940" s="668"/>
      <c r="H5940" s="668"/>
      <c r="I5940" s="668"/>
      <c r="J5940" s="668"/>
      <c r="K5940" s="668"/>
      <c r="L5940" s="668"/>
      <c r="M5940" s="668"/>
    </row>
    <row r="5941" spans="5:13">
      <c r="E5941" s="668"/>
      <c r="F5941" s="668"/>
      <c r="G5941" s="668"/>
      <c r="H5941" s="668"/>
      <c r="I5941" s="668"/>
      <c r="J5941" s="668"/>
      <c r="K5941" s="668"/>
      <c r="L5941" s="668"/>
      <c r="M5941" s="668"/>
    </row>
    <row r="5942" spans="5:13">
      <c r="E5942" s="668"/>
      <c r="F5942" s="668"/>
      <c r="G5942" s="668"/>
      <c r="H5942" s="668"/>
      <c r="I5942" s="668"/>
      <c r="J5942" s="668"/>
      <c r="K5942" s="668"/>
      <c r="L5942" s="668"/>
      <c r="M5942" s="668"/>
    </row>
    <row r="5943" spans="5:13">
      <c r="E5943" s="668"/>
      <c r="F5943" s="668"/>
      <c r="G5943" s="668"/>
      <c r="H5943" s="668"/>
      <c r="I5943" s="668"/>
      <c r="J5943" s="668"/>
      <c r="K5943" s="668"/>
      <c r="L5943" s="668"/>
      <c r="M5943" s="668"/>
    </row>
    <row r="5944" spans="5:13">
      <c r="E5944" s="668"/>
      <c r="F5944" s="668"/>
      <c r="G5944" s="668"/>
      <c r="H5944" s="668"/>
      <c r="I5944" s="668"/>
      <c r="J5944" s="668"/>
      <c r="K5944" s="668"/>
      <c r="L5944" s="668"/>
      <c r="M5944" s="668"/>
    </row>
    <row r="5945" spans="5:13">
      <c r="E5945" s="668"/>
      <c r="F5945" s="668"/>
      <c r="G5945" s="668"/>
      <c r="H5945" s="668"/>
      <c r="I5945" s="668"/>
      <c r="J5945" s="668"/>
      <c r="K5945" s="668"/>
      <c r="L5945" s="668"/>
      <c r="M5945" s="668"/>
    </row>
    <row r="5946" spans="5:13">
      <c r="E5946" s="668"/>
      <c r="F5946" s="668"/>
      <c r="G5946" s="668"/>
      <c r="H5946" s="668"/>
      <c r="I5946" s="668"/>
      <c r="J5946" s="668"/>
      <c r="K5946" s="668"/>
      <c r="L5946" s="668"/>
      <c r="M5946" s="668"/>
    </row>
    <row r="5947" spans="5:13">
      <c r="E5947" s="668"/>
      <c r="F5947" s="668"/>
      <c r="G5947" s="668"/>
      <c r="H5947" s="668"/>
      <c r="I5947" s="668"/>
      <c r="J5947" s="668"/>
      <c r="K5947" s="668"/>
      <c r="L5947" s="668"/>
      <c r="M5947" s="668"/>
    </row>
    <row r="5948" spans="5:13">
      <c r="E5948" s="668"/>
      <c r="F5948" s="668"/>
      <c r="G5948" s="668"/>
      <c r="H5948" s="668"/>
      <c r="I5948" s="668"/>
      <c r="J5948" s="668"/>
      <c r="K5948" s="668"/>
      <c r="L5948" s="668"/>
      <c r="M5948" s="668"/>
    </row>
    <row r="5949" spans="5:13">
      <c r="E5949" s="668"/>
      <c r="F5949" s="668"/>
      <c r="G5949" s="668"/>
      <c r="H5949" s="668"/>
      <c r="I5949" s="668"/>
      <c r="J5949" s="668"/>
      <c r="K5949" s="668"/>
      <c r="L5949" s="668"/>
      <c r="M5949" s="668"/>
    </row>
    <row r="5950" spans="5:13">
      <c r="E5950" s="668"/>
      <c r="F5950" s="668"/>
      <c r="G5950" s="668"/>
      <c r="H5950" s="668"/>
      <c r="I5950" s="668"/>
      <c r="J5950" s="668"/>
      <c r="K5950" s="668"/>
      <c r="L5950" s="668"/>
      <c r="M5950" s="668"/>
    </row>
    <row r="5951" spans="5:13">
      <c r="E5951" s="668"/>
      <c r="F5951" s="668"/>
      <c r="G5951" s="668"/>
      <c r="H5951" s="668"/>
      <c r="I5951" s="668"/>
      <c r="J5951" s="668"/>
      <c r="K5951" s="668"/>
      <c r="L5951" s="668"/>
      <c r="M5951" s="668"/>
    </row>
    <row r="5952" spans="5:13">
      <c r="E5952" s="668"/>
      <c r="F5952" s="668"/>
      <c r="G5952" s="668"/>
      <c r="H5952" s="668"/>
      <c r="I5952" s="668"/>
      <c r="J5952" s="668"/>
      <c r="K5952" s="668"/>
      <c r="L5952" s="668"/>
      <c r="M5952" s="668"/>
    </row>
    <row r="5953" spans="5:13">
      <c r="E5953" s="668"/>
      <c r="F5953" s="668"/>
      <c r="G5953" s="668"/>
      <c r="H5953" s="668"/>
      <c r="I5953" s="668"/>
      <c r="J5953" s="668"/>
      <c r="K5953" s="668"/>
      <c r="L5953" s="668"/>
      <c r="M5953" s="668"/>
    </row>
    <row r="5954" spans="5:13">
      <c r="E5954" s="668"/>
      <c r="F5954" s="668"/>
      <c r="G5954" s="668"/>
      <c r="H5954" s="668"/>
      <c r="I5954" s="668"/>
      <c r="J5954" s="668"/>
      <c r="K5954" s="668"/>
      <c r="L5954" s="668"/>
      <c r="M5954" s="668"/>
    </row>
    <row r="5955" spans="5:13">
      <c r="E5955" s="668"/>
      <c r="F5955" s="668"/>
      <c r="G5955" s="668"/>
      <c r="H5955" s="668"/>
      <c r="I5955" s="668"/>
      <c r="J5955" s="668"/>
      <c r="K5955" s="668"/>
      <c r="L5955" s="668"/>
      <c r="M5955" s="668"/>
    </row>
    <row r="5956" spans="5:13">
      <c r="E5956" s="668"/>
      <c r="F5956" s="668"/>
      <c r="G5956" s="668"/>
      <c r="H5956" s="668"/>
      <c r="I5956" s="668"/>
      <c r="J5956" s="668"/>
      <c r="K5956" s="668"/>
      <c r="L5956" s="668"/>
      <c r="M5956" s="668"/>
    </row>
    <row r="5957" spans="5:13">
      <c r="E5957" s="668"/>
      <c r="F5957" s="668"/>
      <c r="G5957" s="668"/>
      <c r="H5957" s="668"/>
      <c r="I5957" s="668"/>
      <c r="J5957" s="668"/>
      <c r="K5957" s="668"/>
      <c r="L5957" s="668"/>
      <c r="M5957" s="668"/>
    </row>
    <row r="5958" spans="5:13">
      <c r="E5958" s="668"/>
      <c r="F5958" s="668"/>
      <c r="G5958" s="668"/>
      <c r="H5958" s="668"/>
      <c r="I5958" s="668"/>
      <c r="J5958" s="668"/>
      <c r="K5958" s="668"/>
      <c r="L5958" s="668"/>
      <c r="M5958" s="668"/>
    </row>
    <row r="5959" spans="5:13">
      <c r="E5959" s="668"/>
      <c r="F5959" s="668"/>
      <c r="G5959" s="668"/>
      <c r="H5959" s="668"/>
      <c r="I5959" s="668"/>
      <c r="J5959" s="668"/>
      <c r="K5959" s="668"/>
      <c r="L5959" s="668"/>
      <c r="M5959" s="668"/>
    </row>
    <row r="5960" spans="5:13">
      <c r="E5960" s="668"/>
      <c r="F5960" s="668"/>
      <c r="G5960" s="668"/>
      <c r="H5960" s="668"/>
      <c r="I5960" s="668"/>
      <c r="J5960" s="668"/>
      <c r="K5960" s="668"/>
      <c r="L5960" s="668"/>
      <c r="M5960" s="668"/>
    </row>
    <row r="5961" spans="5:13">
      <c r="E5961" s="668"/>
      <c r="F5961" s="668"/>
      <c r="G5961" s="668"/>
      <c r="H5961" s="668"/>
      <c r="I5961" s="668"/>
      <c r="J5961" s="668"/>
      <c r="K5961" s="668"/>
      <c r="L5961" s="668"/>
      <c r="M5961" s="668"/>
    </row>
    <row r="5962" spans="5:13">
      <c r="E5962" s="668"/>
      <c r="F5962" s="668"/>
      <c r="G5962" s="668"/>
      <c r="H5962" s="668"/>
      <c r="I5962" s="668"/>
      <c r="J5962" s="668"/>
      <c r="K5962" s="668"/>
      <c r="L5962" s="668"/>
      <c r="M5962" s="668"/>
    </row>
    <row r="5963" spans="5:13">
      <c r="E5963" s="668"/>
      <c r="F5963" s="668"/>
      <c r="G5963" s="668"/>
      <c r="H5963" s="668"/>
      <c r="I5963" s="668"/>
      <c r="J5963" s="668"/>
      <c r="K5963" s="668"/>
      <c r="L5963" s="668"/>
      <c r="M5963" s="668"/>
    </row>
    <row r="5964" spans="5:13">
      <c r="E5964" s="668"/>
      <c r="F5964" s="668"/>
      <c r="G5964" s="668"/>
      <c r="H5964" s="668"/>
      <c r="I5964" s="668"/>
      <c r="J5964" s="668"/>
      <c r="K5964" s="668"/>
      <c r="L5964" s="668"/>
      <c r="M5964" s="668"/>
    </row>
    <row r="5965" spans="5:13">
      <c r="E5965" s="668"/>
      <c r="F5965" s="668"/>
      <c r="G5965" s="668"/>
      <c r="H5965" s="668"/>
      <c r="I5965" s="668"/>
      <c r="J5965" s="668"/>
      <c r="K5965" s="668"/>
      <c r="L5965" s="668"/>
      <c r="M5965" s="668"/>
    </row>
    <row r="5966" spans="5:13">
      <c r="E5966" s="668"/>
      <c r="F5966" s="668"/>
      <c r="G5966" s="668"/>
      <c r="H5966" s="668"/>
      <c r="I5966" s="668"/>
      <c r="J5966" s="668"/>
      <c r="K5966" s="668"/>
      <c r="L5966" s="668"/>
      <c r="M5966" s="668"/>
    </row>
    <row r="5967" spans="5:13">
      <c r="E5967" s="668"/>
      <c r="F5967" s="668"/>
      <c r="G5967" s="668"/>
      <c r="H5967" s="668"/>
      <c r="I5967" s="668"/>
      <c r="J5967" s="668"/>
      <c r="K5967" s="668"/>
      <c r="L5967" s="668"/>
      <c r="M5967" s="668"/>
    </row>
    <row r="5968" spans="5:13">
      <c r="E5968" s="668"/>
      <c r="F5968" s="668"/>
      <c r="G5968" s="668"/>
      <c r="H5968" s="668"/>
      <c r="I5968" s="668"/>
      <c r="J5968" s="668"/>
      <c r="K5968" s="668"/>
      <c r="L5968" s="668"/>
      <c r="M5968" s="668"/>
    </row>
    <row r="5969" spans="5:13">
      <c r="E5969" s="668"/>
      <c r="F5969" s="668"/>
      <c r="G5969" s="668"/>
      <c r="H5969" s="668"/>
      <c r="I5969" s="668"/>
      <c r="J5969" s="668"/>
      <c r="K5969" s="668"/>
      <c r="L5969" s="668"/>
      <c r="M5969" s="668"/>
    </row>
    <row r="5970" spans="5:13">
      <c r="E5970" s="668"/>
      <c r="F5970" s="668"/>
      <c r="G5970" s="668"/>
      <c r="H5970" s="668"/>
      <c r="I5970" s="668"/>
      <c r="J5970" s="668"/>
      <c r="K5970" s="668"/>
      <c r="L5970" s="668"/>
      <c r="M5970" s="668"/>
    </row>
    <row r="5971" spans="5:13">
      <c r="E5971" s="668"/>
      <c r="F5971" s="668"/>
      <c r="G5971" s="668"/>
      <c r="H5971" s="668"/>
      <c r="I5971" s="668"/>
      <c r="J5971" s="668"/>
      <c r="K5971" s="668"/>
      <c r="L5971" s="668"/>
      <c r="M5971" s="668"/>
    </row>
    <row r="5972" spans="5:13">
      <c r="E5972" s="668"/>
      <c r="F5972" s="668"/>
      <c r="G5972" s="668"/>
      <c r="H5972" s="668"/>
      <c r="I5972" s="668"/>
      <c r="J5972" s="668"/>
      <c r="K5972" s="668"/>
      <c r="L5972" s="668"/>
      <c r="M5972" s="668"/>
    </row>
    <row r="5973" spans="5:13">
      <c r="E5973" s="668"/>
      <c r="F5973" s="668"/>
      <c r="G5973" s="668"/>
      <c r="H5973" s="668"/>
      <c r="I5973" s="668"/>
      <c r="J5973" s="668"/>
      <c r="K5973" s="668"/>
      <c r="L5973" s="668"/>
      <c r="M5973" s="668"/>
    </row>
    <row r="5974" spans="5:13">
      <c r="E5974" s="668"/>
      <c r="F5974" s="668"/>
      <c r="G5974" s="668"/>
      <c r="H5974" s="668"/>
      <c r="I5974" s="668"/>
      <c r="J5974" s="668"/>
      <c r="K5974" s="668"/>
      <c r="L5974" s="668"/>
      <c r="M5974" s="668"/>
    </row>
    <row r="5975" spans="5:13">
      <c r="E5975" s="668"/>
      <c r="F5975" s="668"/>
      <c r="G5975" s="668"/>
      <c r="H5975" s="668"/>
      <c r="I5975" s="668"/>
      <c r="J5975" s="668"/>
      <c r="K5975" s="668"/>
      <c r="L5975" s="668"/>
      <c r="M5975" s="668"/>
    </row>
    <row r="5976" spans="5:13">
      <c r="E5976" s="668"/>
      <c r="F5976" s="668"/>
      <c r="G5976" s="668"/>
      <c r="H5976" s="668"/>
      <c r="I5976" s="668"/>
      <c r="J5976" s="668"/>
      <c r="K5976" s="668"/>
      <c r="L5976" s="668"/>
      <c r="M5976" s="668"/>
    </row>
    <row r="5977" spans="5:13">
      <c r="E5977" s="668"/>
      <c r="F5977" s="668"/>
      <c r="G5977" s="668"/>
      <c r="H5977" s="668"/>
      <c r="I5977" s="668"/>
      <c r="J5977" s="668"/>
      <c r="K5977" s="668"/>
      <c r="L5977" s="668"/>
      <c r="M5977" s="668"/>
    </row>
    <row r="5978" spans="5:13">
      <c r="E5978" s="668"/>
      <c r="F5978" s="668"/>
      <c r="G5978" s="668"/>
      <c r="H5978" s="668"/>
      <c r="I5978" s="668"/>
      <c r="J5978" s="668"/>
      <c r="K5978" s="668"/>
      <c r="L5978" s="668"/>
      <c r="M5978" s="668"/>
    </row>
    <row r="5979" spans="5:13">
      <c r="E5979" s="668"/>
      <c r="F5979" s="668"/>
      <c r="G5979" s="668"/>
      <c r="H5979" s="668"/>
      <c r="I5979" s="668"/>
      <c r="J5979" s="668"/>
      <c r="K5979" s="668"/>
      <c r="L5979" s="668"/>
      <c r="M5979" s="668"/>
    </row>
    <row r="5980" spans="5:13">
      <c r="E5980" s="668"/>
      <c r="F5980" s="668"/>
      <c r="G5980" s="668"/>
      <c r="H5980" s="668"/>
      <c r="I5980" s="668"/>
      <c r="J5980" s="668"/>
      <c r="K5980" s="668"/>
      <c r="L5980" s="668"/>
      <c r="M5980" s="668"/>
    </row>
    <row r="5981" spans="5:13">
      <c r="E5981" s="668"/>
      <c r="F5981" s="668"/>
      <c r="G5981" s="668"/>
      <c r="H5981" s="668"/>
      <c r="I5981" s="668"/>
      <c r="J5981" s="668"/>
      <c r="K5981" s="668"/>
      <c r="L5981" s="668"/>
      <c r="M5981" s="668"/>
    </row>
    <row r="5982" spans="5:13">
      <c r="E5982" s="668"/>
      <c r="F5982" s="668"/>
      <c r="G5982" s="668"/>
      <c r="H5982" s="668"/>
      <c r="I5982" s="668"/>
      <c r="J5982" s="668"/>
      <c r="K5982" s="668"/>
      <c r="L5982" s="668"/>
      <c r="M5982" s="668"/>
    </row>
    <row r="5983" spans="5:13">
      <c r="E5983" s="668"/>
      <c r="F5983" s="668"/>
      <c r="G5983" s="668"/>
      <c r="H5983" s="668"/>
      <c r="I5983" s="668"/>
      <c r="J5983" s="668"/>
      <c r="K5983" s="668"/>
      <c r="L5983" s="668"/>
      <c r="M5983" s="668"/>
    </row>
    <row r="5984" spans="5:13">
      <c r="E5984" s="668"/>
      <c r="F5984" s="668"/>
      <c r="G5984" s="668"/>
      <c r="H5984" s="668"/>
      <c r="I5984" s="668"/>
      <c r="J5984" s="668"/>
      <c r="K5984" s="668"/>
      <c r="L5984" s="668"/>
      <c r="M5984" s="668"/>
    </row>
    <row r="5985" spans="5:13">
      <c r="E5985" s="668"/>
      <c r="F5985" s="668"/>
      <c r="G5985" s="668"/>
      <c r="H5985" s="668"/>
      <c r="I5985" s="668"/>
      <c r="J5985" s="668"/>
      <c r="K5985" s="668"/>
      <c r="L5985" s="668"/>
      <c r="M5985" s="668"/>
    </row>
    <row r="5986" spans="5:13">
      <c r="E5986" s="668"/>
      <c r="F5986" s="668"/>
      <c r="G5986" s="668"/>
      <c r="H5986" s="668"/>
      <c r="I5986" s="668"/>
      <c r="J5986" s="668"/>
      <c r="K5986" s="668"/>
      <c r="L5986" s="668"/>
      <c r="M5986" s="668"/>
    </row>
    <row r="5987" spans="5:13">
      <c r="E5987" s="668"/>
      <c r="F5987" s="668"/>
      <c r="G5987" s="668"/>
      <c r="H5987" s="668"/>
      <c r="I5987" s="668"/>
      <c r="J5987" s="668"/>
      <c r="K5987" s="668"/>
      <c r="L5987" s="668"/>
      <c r="M5987" s="668"/>
    </row>
    <row r="5988" spans="5:13">
      <c r="E5988" s="668"/>
      <c r="F5988" s="668"/>
      <c r="G5988" s="668"/>
      <c r="H5988" s="668"/>
      <c r="I5988" s="668"/>
      <c r="J5988" s="668"/>
      <c r="K5988" s="668"/>
      <c r="L5988" s="668"/>
      <c r="M5988" s="668"/>
    </row>
    <row r="5989" spans="5:13">
      <c r="E5989" s="668"/>
      <c r="F5989" s="668"/>
      <c r="G5989" s="668"/>
      <c r="H5989" s="668"/>
      <c r="I5989" s="668"/>
      <c r="J5989" s="668"/>
      <c r="K5989" s="668"/>
      <c r="L5989" s="668"/>
      <c r="M5989" s="668"/>
    </row>
    <row r="5990" spans="5:13">
      <c r="E5990" s="668"/>
      <c r="F5990" s="668"/>
      <c r="G5990" s="668"/>
      <c r="H5990" s="668"/>
      <c r="I5990" s="668"/>
      <c r="J5990" s="668"/>
      <c r="K5990" s="668"/>
      <c r="L5990" s="668"/>
      <c r="M5990" s="668"/>
    </row>
    <row r="5991" spans="5:13">
      <c r="E5991" s="668"/>
      <c r="F5991" s="668"/>
      <c r="G5991" s="668"/>
      <c r="H5991" s="668"/>
      <c r="I5991" s="668"/>
      <c r="J5991" s="668"/>
      <c r="K5991" s="668"/>
      <c r="L5991" s="668"/>
      <c r="M5991" s="668"/>
    </row>
    <row r="5992" spans="5:13">
      <c r="E5992" s="668"/>
      <c r="F5992" s="668"/>
      <c r="G5992" s="668"/>
      <c r="H5992" s="668"/>
      <c r="I5992" s="668"/>
      <c r="J5992" s="668"/>
      <c r="K5992" s="668"/>
      <c r="L5992" s="668"/>
      <c r="M5992" s="668"/>
    </row>
    <row r="5993" spans="5:13">
      <c r="E5993" s="668"/>
      <c r="F5993" s="668"/>
      <c r="G5993" s="668"/>
      <c r="H5993" s="668"/>
      <c r="I5993" s="668"/>
      <c r="J5993" s="668"/>
      <c r="K5993" s="668"/>
      <c r="L5993" s="668"/>
      <c r="M5993" s="668"/>
    </row>
    <row r="5994" spans="5:13">
      <c r="E5994" s="668"/>
      <c r="F5994" s="668"/>
      <c r="G5994" s="668"/>
      <c r="H5994" s="668"/>
      <c r="I5994" s="668"/>
      <c r="J5994" s="668"/>
      <c r="K5994" s="668"/>
      <c r="L5994" s="668"/>
      <c r="M5994" s="668"/>
    </row>
    <row r="5995" spans="5:13">
      <c r="E5995" s="668"/>
      <c r="F5995" s="668"/>
      <c r="G5995" s="668"/>
      <c r="H5995" s="668"/>
      <c r="I5995" s="668"/>
      <c r="J5995" s="668"/>
      <c r="K5995" s="668"/>
      <c r="L5995" s="668"/>
      <c r="M5995" s="668"/>
    </row>
    <row r="5996" spans="5:13">
      <c r="E5996" s="668"/>
      <c r="F5996" s="668"/>
      <c r="G5996" s="668"/>
      <c r="H5996" s="668"/>
      <c r="I5996" s="668"/>
      <c r="J5996" s="668"/>
      <c r="K5996" s="668"/>
      <c r="L5996" s="668"/>
      <c r="M5996" s="668"/>
    </row>
    <row r="5997" spans="5:13">
      <c r="E5997" s="668"/>
      <c r="F5997" s="668"/>
      <c r="G5997" s="668"/>
      <c r="H5997" s="668"/>
      <c r="I5997" s="668"/>
      <c r="J5997" s="668"/>
      <c r="K5997" s="668"/>
      <c r="L5997" s="668"/>
      <c r="M5997" s="668"/>
    </row>
    <row r="5998" spans="5:13">
      <c r="E5998" s="668"/>
      <c r="F5998" s="668"/>
      <c r="G5998" s="668"/>
      <c r="H5998" s="668"/>
      <c r="I5998" s="668"/>
      <c r="J5998" s="668"/>
      <c r="K5998" s="668"/>
      <c r="L5998" s="668"/>
      <c r="M5998" s="668"/>
    </row>
    <row r="5999" spans="5:13">
      <c r="E5999" s="668"/>
      <c r="F5999" s="668"/>
      <c r="G5999" s="668"/>
      <c r="H5999" s="668"/>
      <c r="I5999" s="668"/>
      <c r="J5999" s="668"/>
      <c r="K5999" s="668"/>
      <c r="L5999" s="668"/>
      <c r="M5999" s="668"/>
    </row>
    <row r="6000" spans="5:13">
      <c r="E6000" s="668"/>
      <c r="F6000" s="668"/>
      <c r="G6000" s="668"/>
      <c r="H6000" s="668"/>
      <c r="I6000" s="668"/>
      <c r="J6000" s="668"/>
      <c r="K6000" s="668"/>
      <c r="L6000" s="668"/>
      <c r="M6000" s="668"/>
    </row>
    <row r="6001" spans="5:13">
      <c r="E6001" s="668"/>
      <c r="F6001" s="668"/>
      <c r="G6001" s="668"/>
      <c r="H6001" s="668"/>
      <c r="I6001" s="668"/>
      <c r="J6001" s="668"/>
      <c r="K6001" s="668"/>
      <c r="L6001" s="668"/>
      <c r="M6001" s="668"/>
    </row>
    <row r="6002" spans="5:13">
      <c r="E6002" s="668"/>
      <c r="F6002" s="668"/>
      <c r="G6002" s="668"/>
      <c r="H6002" s="668"/>
      <c r="I6002" s="668"/>
      <c r="J6002" s="668"/>
      <c r="K6002" s="668"/>
      <c r="L6002" s="668"/>
      <c r="M6002" s="668"/>
    </row>
    <row r="6003" spans="5:13">
      <c r="E6003" s="668"/>
      <c r="F6003" s="668"/>
      <c r="G6003" s="668"/>
      <c r="H6003" s="668"/>
      <c r="I6003" s="668"/>
      <c r="J6003" s="668"/>
      <c r="K6003" s="668"/>
      <c r="L6003" s="668"/>
      <c r="M6003" s="668"/>
    </row>
    <row r="6004" spans="5:13">
      <c r="E6004" s="668"/>
      <c r="F6004" s="668"/>
      <c r="G6004" s="668"/>
      <c r="H6004" s="668"/>
      <c r="I6004" s="668"/>
      <c r="J6004" s="668"/>
      <c r="K6004" s="668"/>
      <c r="L6004" s="668"/>
      <c r="M6004" s="668"/>
    </row>
    <row r="6005" spans="5:13">
      <c r="E6005" s="668"/>
      <c r="F6005" s="668"/>
      <c r="G6005" s="668"/>
      <c r="H6005" s="668"/>
      <c r="I6005" s="668"/>
      <c r="J6005" s="668"/>
      <c r="K6005" s="668"/>
      <c r="L6005" s="668"/>
      <c r="M6005" s="668"/>
    </row>
    <row r="6006" spans="5:13">
      <c r="E6006" s="668"/>
      <c r="F6006" s="668"/>
      <c r="G6006" s="668"/>
      <c r="H6006" s="668"/>
      <c r="I6006" s="668"/>
      <c r="J6006" s="668"/>
      <c r="K6006" s="668"/>
      <c r="L6006" s="668"/>
      <c r="M6006" s="668"/>
    </row>
    <row r="6007" spans="5:13">
      <c r="E6007" s="668"/>
      <c r="F6007" s="668"/>
      <c r="G6007" s="668"/>
      <c r="H6007" s="668"/>
      <c r="I6007" s="668"/>
      <c r="J6007" s="668"/>
      <c r="K6007" s="668"/>
      <c r="L6007" s="668"/>
      <c r="M6007" s="668"/>
    </row>
    <row r="6008" spans="5:13">
      <c r="E6008" s="668"/>
      <c r="F6008" s="668"/>
      <c r="G6008" s="668"/>
      <c r="H6008" s="668"/>
      <c r="I6008" s="668"/>
      <c r="J6008" s="668"/>
      <c r="K6008" s="668"/>
      <c r="L6008" s="668"/>
      <c r="M6008" s="668"/>
    </row>
    <row r="6009" spans="5:13">
      <c r="E6009" s="668"/>
      <c r="F6009" s="668"/>
      <c r="G6009" s="668"/>
      <c r="H6009" s="668"/>
      <c r="I6009" s="668"/>
      <c r="J6009" s="668"/>
      <c r="K6009" s="668"/>
      <c r="L6009" s="668"/>
      <c r="M6009" s="668"/>
    </row>
    <row r="6010" spans="5:13">
      <c r="E6010" s="668"/>
      <c r="F6010" s="668"/>
      <c r="G6010" s="668"/>
      <c r="H6010" s="668"/>
      <c r="I6010" s="668"/>
      <c r="J6010" s="668"/>
      <c r="K6010" s="668"/>
      <c r="L6010" s="668"/>
      <c r="M6010" s="668"/>
    </row>
    <row r="6011" spans="5:13">
      <c r="E6011" s="668"/>
      <c r="F6011" s="668"/>
      <c r="G6011" s="668"/>
      <c r="H6011" s="668"/>
      <c r="I6011" s="668"/>
      <c r="J6011" s="668"/>
      <c r="K6011" s="668"/>
      <c r="L6011" s="668"/>
      <c r="M6011" s="668"/>
    </row>
    <row r="6012" spans="5:13">
      <c r="E6012" s="668"/>
      <c r="F6012" s="668"/>
      <c r="G6012" s="668"/>
      <c r="H6012" s="668"/>
      <c r="I6012" s="668"/>
      <c r="J6012" s="668"/>
      <c r="K6012" s="668"/>
      <c r="L6012" s="668"/>
      <c r="M6012" s="668"/>
    </row>
    <row r="6013" spans="5:13">
      <c r="E6013" s="668"/>
      <c r="F6013" s="668"/>
      <c r="G6013" s="668"/>
      <c r="H6013" s="668"/>
      <c r="I6013" s="668"/>
      <c r="J6013" s="668"/>
      <c r="K6013" s="668"/>
      <c r="L6013" s="668"/>
      <c r="M6013" s="668"/>
    </row>
    <row r="6014" spans="5:13">
      <c r="E6014" s="668"/>
      <c r="F6014" s="668"/>
      <c r="G6014" s="668"/>
      <c r="H6014" s="668"/>
      <c r="I6014" s="668"/>
      <c r="J6014" s="668"/>
      <c r="K6014" s="668"/>
      <c r="L6014" s="668"/>
      <c r="M6014" s="668"/>
    </row>
    <row r="6015" spans="5:13">
      <c r="E6015" s="668"/>
      <c r="F6015" s="668"/>
      <c r="G6015" s="668"/>
      <c r="H6015" s="668"/>
      <c r="I6015" s="668"/>
      <c r="J6015" s="668"/>
      <c r="K6015" s="668"/>
      <c r="L6015" s="668"/>
      <c r="M6015" s="668"/>
    </row>
    <row r="6016" spans="5:13">
      <c r="E6016" s="668"/>
      <c r="F6016" s="668"/>
      <c r="G6016" s="668"/>
      <c r="H6016" s="668"/>
      <c r="I6016" s="668"/>
      <c r="J6016" s="668"/>
      <c r="K6016" s="668"/>
      <c r="L6016" s="668"/>
      <c r="M6016" s="668"/>
    </row>
    <row r="6017" spans="5:13">
      <c r="E6017" s="668"/>
      <c r="F6017" s="668"/>
      <c r="G6017" s="668"/>
      <c r="H6017" s="668"/>
      <c r="I6017" s="668"/>
      <c r="J6017" s="668"/>
      <c r="K6017" s="668"/>
      <c r="L6017" s="668"/>
      <c r="M6017" s="668"/>
    </row>
    <row r="6018" spans="5:13">
      <c r="E6018" s="668"/>
      <c r="F6018" s="668"/>
      <c r="G6018" s="668"/>
      <c r="H6018" s="668"/>
      <c r="I6018" s="668"/>
      <c r="J6018" s="668"/>
      <c r="K6018" s="668"/>
      <c r="L6018" s="668"/>
      <c r="M6018" s="668"/>
    </row>
    <row r="6019" spans="5:13">
      <c r="E6019" s="668"/>
      <c r="F6019" s="668"/>
      <c r="G6019" s="668"/>
      <c r="H6019" s="668"/>
      <c r="I6019" s="668"/>
      <c r="J6019" s="668"/>
      <c r="K6019" s="668"/>
      <c r="L6019" s="668"/>
      <c r="M6019" s="668"/>
    </row>
    <row r="6020" spans="5:13">
      <c r="E6020" s="668"/>
      <c r="F6020" s="668"/>
      <c r="G6020" s="668"/>
      <c r="H6020" s="668"/>
      <c r="I6020" s="668"/>
      <c r="J6020" s="668"/>
      <c r="K6020" s="668"/>
      <c r="L6020" s="668"/>
      <c r="M6020" s="668"/>
    </row>
    <row r="6021" spans="5:13">
      <c r="E6021" s="668"/>
      <c r="F6021" s="668"/>
      <c r="G6021" s="668"/>
      <c r="H6021" s="668"/>
      <c r="I6021" s="668"/>
      <c r="J6021" s="668"/>
      <c r="K6021" s="668"/>
      <c r="L6021" s="668"/>
      <c r="M6021" s="668"/>
    </row>
    <row r="6022" spans="5:13">
      <c r="E6022" s="668"/>
      <c r="F6022" s="668"/>
      <c r="G6022" s="668"/>
      <c r="H6022" s="668"/>
      <c r="I6022" s="668"/>
      <c r="J6022" s="668"/>
      <c r="K6022" s="668"/>
      <c r="L6022" s="668"/>
      <c r="M6022" s="668"/>
    </row>
    <row r="6023" spans="5:13">
      <c r="E6023" s="668"/>
      <c r="F6023" s="668"/>
      <c r="G6023" s="668"/>
      <c r="H6023" s="668"/>
      <c r="I6023" s="668"/>
      <c r="J6023" s="668"/>
      <c r="K6023" s="668"/>
      <c r="L6023" s="668"/>
      <c r="M6023" s="668"/>
    </row>
    <row r="6024" spans="5:13">
      <c r="E6024" s="668"/>
      <c r="F6024" s="668"/>
      <c r="G6024" s="668"/>
      <c r="H6024" s="668"/>
      <c r="I6024" s="668"/>
      <c r="J6024" s="668"/>
      <c r="K6024" s="668"/>
      <c r="L6024" s="668"/>
      <c r="M6024" s="668"/>
    </row>
    <row r="6025" spans="5:13">
      <c r="E6025" s="668"/>
      <c r="F6025" s="668"/>
      <c r="G6025" s="668"/>
      <c r="H6025" s="668"/>
      <c r="I6025" s="668"/>
      <c r="J6025" s="668"/>
      <c r="K6025" s="668"/>
      <c r="L6025" s="668"/>
      <c r="M6025" s="668"/>
    </row>
    <row r="6026" spans="5:13">
      <c r="E6026" s="668"/>
      <c r="F6026" s="668"/>
      <c r="G6026" s="668"/>
      <c r="H6026" s="668"/>
      <c r="I6026" s="668"/>
      <c r="J6026" s="668"/>
      <c r="K6026" s="668"/>
      <c r="L6026" s="668"/>
      <c r="M6026" s="668"/>
    </row>
    <row r="6027" spans="5:13">
      <c r="E6027" s="668"/>
      <c r="F6027" s="668"/>
      <c r="G6027" s="668"/>
      <c r="H6027" s="668"/>
      <c r="I6027" s="668"/>
      <c r="J6027" s="668"/>
      <c r="K6027" s="668"/>
      <c r="L6027" s="668"/>
      <c r="M6027" s="668"/>
    </row>
    <row r="6028" spans="5:13">
      <c r="E6028" s="668"/>
      <c r="F6028" s="668"/>
      <c r="G6028" s="668"/>
      <c r="H6028" s="668"/>
      <c r="I6028" s="668"/>
      <c r="J6028" s="668"/>
      <c r="K6028" s="668"/>
      <c r="L6028" s="668"/>
      <c r="M6028" s="668"/>
    </row>
    <row r="6029" spans="5:13">
      <c r="E6029" s="668"/>
      <c r="F6029" s="668"/>
      <c r="G6029" s="668"/>
      <c r="H6029" s="668"/>
      <c r="I6029" s="668"/>
      <c r="J6029" s="668"/>
      <c r="K6029" s="668"/>
      <c r="L6029" s="668"/>
      <c r="M6029" s="668"/>
    </row>
    <row r="6030" spans="5:13">
      <c r="E6030" s="668"/>
      <c r="F6030" s="668"/>
      <c r="G6030" s="668"/>
      <c r="H6030" s="668"/>
      <c r="I6030" s="668"/>
      <c r="J6030" s="668"/>
      <c r="K6030" s="668"/>
      <c r="L6030" s="668"/>
      <c r="M6030" s="668"/>
    </row>
    <row r="6031" spans="5:13">
      <c r="E6031" s="668"/>
      <c r="F6031" s="668"/>
      <c r="G6031" s="668"/>
      <c r="H6031" s="668"/>
      <c r="I6031" s="668"/>
      <c r="J6031" s="668"/>
      <c r="K6031" s="668"/>
      <c r="L6031" s="668"/>
      <c r="M6031" s="668"/>
    </row>
    <row r="6032" spans="5:13">
      <c r="E6032" s="668"/>
      <c r="F6032" s="668"/>
      <c r="G6032" s="668"/>
      <c r="H6032" s="668"/>
      <c r="I6032" s="668"/>
      <c r="J6032" s="668"/>
      <c r="K6032" s="668"/>
      <c r="L6032" s="668"/>
      <c r="M6032" s="668"/>
    </row>
    <row r="6033" spans="5:13">
      <c r="E6033" s="668"/>
      <c r="F6033" s="668"/>
      <c r="G6033" s="668"/>
      <c r="H6033" s="668"/>
      <c r="I6033" s="668"/>
      <c r="J6033" s="668"/>
      <c r="K6033" s="668"/>
      <c r="L6033" s="668"/>
      <c r="M6033" s="668"/>
    </row>
    <row r="6034" spans="5:13">
      <c r="E6034" s="668"/>
      <c r="F6034" s="668"/>
      <c r="G6034" s="668"/>
      <c r="H6034" s="668"/>
      <c r="I6034" s="668"/>
      <c r="J6034" s="668"/>
      <c r="K6034" s="668"/>
      <c r="L6034" s="668"/>
      <c r="M6034" s="668"/>
    </row>
    <row r="6035" spans="5:13">
      <c r="E6035" s="668"/>
      <c r="F6035" s="668"/>
      <c r="G6035" s="668"/>
      <c r="H6035" s="668"/>
      <c r="I6035" s="668"/>
      <c r="J6035" s="668"/>
      <c r="K6035" s="668"/>
      <c r="L6035" s="668"/>
      <c r="M6035" s="668"/>
    </row>
    <row r="6036" spans="5:13">
      <c r="E6036" s="668"/>
      <c r="F6036" s="668"/>
      <c r="G6036" s="668"/>
      <c r="H6036" s="668"/>
      <c r="I6036" s="668"/>
      <c r="J6036" s="668"/>
      <c r="K6036" s="668"/>
      <c r="L6036" s="668"/>
      <c r="M6036" s="668"/>
    </row>
    <row r="6037" spans="5:13">
      <c r="E6037" s="668"/>
      <c r="F6037" s="668"/>
      <c r="G6037" s="668"/>
      <c r="H6037" s="668"/>
      <c r="I6037" s="668"/>
      <c r="J6037" s="668"/>
      <c r="K6037" s="668"/>
      <c r="L6037" s="668"/>
      <c r="M6037" s="668"/>
    </row>
    <row r="6038" spans="5:13">
      <c r="E6038" s="668"/>
      <c r="F6038" s="668"/>
      <c r="G6038" s="668"/>
      <c r="H6038" s="668"/>
      <c r="I6038" s="668"/>
      <c r="J6038" s="668"/>
      <c r="K6038" s="668"/>
      <c r="L6038" s="668"/>
      <c r="M6038" s="668"/>
    </row>
    <row r="6039" spans="5:13">
      <c r="E6039" s="668"/>
      <c r="F6039" s="668"/>
      <c r="G6039" s="668"/>
      <c r="H6039" s="668"/>
      <c r="I6039" s="668"/>
      <c r="J6039" s="668"/>
      <c r="K6039" s="668"/>
      <c r="L6039" s="668"/>
      <c r="M6039" s="668"/>
    </row>
    <row r="6040" spans="5:13">
      <c r="E6040" s="668"/>
      <c r="F6040" s="668"/>
      <c r="G6040" s="668"/>
      <c r="H6040" s="668"/>
      <c r="I6040" s="668"/>
      <c r="J6040" s="668"/>
      <c r="K6040" s="668"/>
      <c r="L6040" s="668"/>
      <c r="M6040" s="668"/>
    </row>
    <row r="6041" spans="5:13">
      <c r="E6041" s="668"/>
      <c r="F6041" s="668"/>
      <c r="G6041" s="668"/>
      <c r="H6041" s="668"/>
      <c r="I6041" s="668"/>
      <c r="J6041" s="668"/>
      <c r="K6041" s="668"/>
      <c r="L6041" s="668"/>
      <c r="M6041" s="668"/>
    </row>
    <row r="6042" spans="5:13">
      <c r="E6042" s="668"/>
      <c r="F6042" s="668"/>
      <c r="G6042" s="668"/>
      <c r="H6042" s="668"/>
      <c r="I6042" s="668"/>
      <c r="J6042" s="668"/>
      <c r="K6042" s="668"/>
      <c r="L6042" s="668"/>
      <c r="M6042" s="668"/>
    </row>
    <row r="6043" spans="5:13">
      <c r="E6043" s="668"/>
      <c r="F6043" s="668"/>
      <c r="G6043" s="668"/>
      <c r="H6043" s="668"/>
      <c r="I6043" s="668"/>
      <c r="J6043" s="668"/>
      <c r="K6043" s="668"/>
      <c r="L6043" s="668"/>
      <c r="M6043" s="668"/>
    </row>
    <row r="6044" spans="5:13">
      <c r="E6044" s="668"/>
      <c r="F6044" s="668"/>
      <c r="G6044" s="668"/>
      <c r="H6044" s="668"/>
      <c r="I6044" s="668"/>
      <c r="J6044" s="668"/>
      <c r="K6044" s="668"/>
      <c r="L6044" s="668"/>
      <c r="M6044" s="668"/>
    </row>
    <row r="6045" spans="5:13">
      <c r="E6045" s="668"/>
      <c r="F6045" s="668"/>
      <c r="G6045" s="668"/>
      <c r="H6045" s="668"/>
      <c r="I6045" s="668"/>
      <c r="J6045" s="668"/>
      <c r="K6045" s="668"/>
      <c r="L6045" s="668"/>
      <c r="M6045" s="668"/>
    </row>
    <row r="6046" spans="5:13">
      <c r="E6046" s="668"/>
      <c r="F6046" s="668"/>
      <c r="G6046" s="668"/>
      <c r="H6046" s="668"/>
      <c r="I6046" s="668"/>
      <c r="J6046" s="668"/>
      <c r="K6046" s="668"/>
      <c r="L6046" s="668"/>
      <c r="M6046" s="668"/>
    </row>
    <row r="6047" spans="5:13">
      <c r="E6047" s="668"/>
      <c r="F6047" s="668"/>
      <c r="G6047" s="668"/>
      <c r="H6047" s="668"/>
      <c r="I6047" s="668"/>
      <c r="J6047" s="668"/>
      <c r="K6047" s="668"/>
      <c r="L6047" s="668"/>
      <c r="M6047" s="668"/>
    </row>
    <row r="6048" spans="5:13">
      <c r="E6048" s="668"/>
      <c r="F6048" s="668"/>
      <c r="G6048" s="668"/>
      <c r="H6048" s="668"/>
      <c r="I6048" s="668"/>
      <c r="J6048" s="668"/>
      <c r="K6048" s="668"/>
      <c r="L6048" s="668"/>
      <c r="M6048" s="668"/>
    </row>
    <row r="6049" spans="5:13">
      <c r="E6049" s="668"/>
      <c r="F6049" s="668"/>
      <c r="G6049" s="668"/>
      <c r="H6049" s="668"/>
      <c r="I6049" s="668"/>
      <c r="J6049" s="668"/>
      <c r="K6049" s="668"/>
      <c r="L6049" s="668"/>
      <c r="M6049" s="668"/>
    </row>
    <row r="6050" spans="5:13">
      <c r="E6050" s="668"/>
      <c r="F6050" s="668"/>
      <c r="G6050" s="668"/>
      <c r="H6050" s="668"/>
      <c r="I6050" s="668"/>
      <c r="J6050" s="668"/>
      <c r="K6050" s="668"/>
      <c r="L6050" s="668"/>
      <c r="M6050" s="668"/>
    </row>
    <row r="6051" spans="5:13">
      <c r="E6051" s="668"/>
      <c r="F6051" s="668"/>
      <c r="G6051" s="668"/>
      <c r="H6051" s="668"/>
      <c r="I6051" s="668"/>
      <c r="J6051" s="668"/>
      <c r="K6051" s="668"/>
      <c r="L6051" s="668"/>
      <c r="M6051" s="668"/>
    </row>
    <row r="6052" spans="5:13">
      <c r="E6052" s="668"/>
      <c r="F6052" s="668"/>
      <c r="G6052" s="668"/>
      <c r="H6052" s="668"/>
      <c r="I6052" s="668"/>
      <c r="J6052" s="668"/>
      <c r="K6052" s="668"/>
      <c r="L6052" s="668"/>
      <c r="M6052" s="668"/>
    </row>
    <row r="6053" spans="5:13">
      <c r="E6053" s="668"/>
      <c r="F6053" s="668"/>
      <c r="G6053" s="668"/>
      <c r="H6053" s="668"/>
      <c r="I6053" s="668"/>
      <c r="J6053" s="668"/>
      <c r="K6053" s="668"/>
      <c r="L6053" s="668"/>
      <c r="M6053" s="668"/>
    </row>
    <row r="6054" spans="5:13">
      <c r="E6054" s="668"/>
      <c r="F6054" s="668"/>
      <c r="G6054" s="668"/>
      <c r="H6054" s="668"/>
      <c r="I6054" s="668"/>
      <c r="J6054" s="668"/>
      <c r="K6054" s="668"/>
      <c r="L6054" s="668"/>
      <c r="M6054" s="668"/>
    </row>
    <row r="6055" spans="5:13">
      <c r="E6055" s="668"/>
      <c r="F6055" s="668"/>
      <c r="G6055" s="668"/>
      <c r="H6055" s="668"/>
      <c r="I6055" s="668"/>
      <c r="J6055" s="668"/>
      <c r="K6055" s="668"/>
      <c r="L6055" s="668"/>
      <c r="M6055" s="668"/>
    </row>
    <row r="6056" spans="5:13">
      <c r="E6056" s="668"/>
      <c r="F6056" s="668"/>
      <c r="G6056" s="668"/>
      <c r="H6056" s="668"/>
      <c r="I6056" s="668"/>
      <c r="J6056" s="668"/>
      <c r="K6056" s="668"/>
      <c r="L6056" s="668"/>
      <c r="M6056" s="668"/>
    </row>
    <row r="6057" spans="5:13">
      <c r="E6057" s="668"/>
      <c r="F6057" s="668"/>
      <c r="G6057" s="668"/>
      <c r="H6057" s="668"/>
      <c r="I6057" s="668"/>
      <c r="J6057" s="668"/>
      <c r="K6057" s="668"/>
      <c r="L6057" s="668"/>
      <c r="M6057" s="668"/>
    </row>
    <row r="6058" spans="5:13">
      <c r="E6058" s="668"/>
      <c r="F6058" s="668"/>
      <c r="G6058" s="668"/>
      <c r="H6058" s="668"/>
      <c r="I6058" s="668"/>
      <c r="J6058" s="668"/>
      <c r="K6058" s="668"/>
      <c r="L6058" s="668"/>
      <c r="M6058" s="668"/>
    </row>
    <row r="6059" spans="5:13">
      <c r="E6059" s="668"/>
      <c r="F6059" s="668"/>
      <c r="G6059" s="668"/>
      <c r="H6059" s="668"/>
      <c r="I6059" s="668"/>
      <c r="J6059" s="668"/>
      <c r="K6059" s="668"/>
      <c r="L6059" s="668"/>
      <c r="M6059" s="668"/>
    </row>
    <row r="6060" spans="5:13">
      <c r="E6060" s="668"/>
      <c r="F6060" s="668"/>
      <c r="G6060" s="668"/>
      <c r="H6060" s="668"/>
      <c r="I6060" s="668"/>
      <c r="J6060" s="668"/>
      <c r="K6060" s="668"/>
      <c r="L6060" s="668"/>
      <c r="M6060" s="668"/>
    </row>
    <row r="6061" spans="5:13">
      <c r="E6061" s="668"/>
      <c r="F6061" s="668"/>
      <c r="G6061" s="668"/>
      <c r="H6061" s="668"/>
      <c r="I6061" s="668"/>
      <c r="J6061" s="668"/>
      <c r="K6061" s="668"/>
      <c r="L6061" s="668"/>
      <c r="M6061" s="668"/>
    </row>
    <row r="6062" spans="5:13">
      <c r="E6062" s="668"/>
      <c r="F6062" s="668"/>
      <c r="G6062" s="668"/>
      <c r="H6062" s="668"/>
      <c r="I6062" s="668"/>
      <c r="J6062" s="668"/>
      <c r="K6062" s="668"/>
      <c r="L6062" s="668"/>
      <c r="M6062" s="668"/>
    </row>
    <row r="6063" spans="5:13">
      <c r="E6063" s="668"/>
      <c r="F6063" s="668"/>
      <c r="G6063" s="668"/>
      <c r="H6063" s="668"/>
      <c r="I6063" s="668"/>
      <c r="J6063" s="668"/>
      <c r="K6063" s="668"/>
      <c r="L6063" s="668"/>
      <c r="M6063" s="668"/>
    </row>
    <row r="6064" spans="5:13">
      <c r="E6064" s="668"/>
      <c r="F6064" s="668"/>
      <c r="G6064" s="668"/>
      <c r="H6064" s="668"/>
      <c r="I6064" s="668"/>
      <c r="J6064" s="668"/>
      <c r="K6064" s="668"/>
      <c r="L6064" s="668"/>
      <c r="M6064" s="668"/>
    </row>
    <row r="6065" spans="5:13">
      <c r="E6065" s="668"/>
      <c r="F6065" s="668"/>
      <c r="G6065" s="668"/>
      <c r="H6065" s="668"/>
      <c r="I6065" s="668"/>
      <c r="J6065" s="668"/>
      <c r="K6065" s="668"/>
      <c r="L6065" s="668"/>
      <c r="M6065" s="668"/>
    </row>
    <row r="6066" spans="5:13">
      <c r="E6066" s="668"/>
      <c r="F6066" s="668"/>
      <c r="G6066" s="668"/>
      <c r="H6066" s="668"/>
      <c r="I6066" s="668"/>
      <c r="J6066" s="668"/>
      <c r="K6066" s="668"/>
      <c r="L6066" s="668"/>
      <c r="M6066" s="668"/>
    </row>
    <row r="6067" spans="5:13">
      <c r="E6067" s="668"/>
      <c r="F6067" s="668"/>
      <c r="G6067" s="668"/>
      <c r="H6067" s="668"/>
      <c r="I6067" s="668"/>
      <c r="J6067" s="668"/>
      <c r="K6067" s="668"/>
      <c r="L6067" s="668"/>
      <c r="M6067" s="668"/>
    </row>
    <row r="6068" spans="5:13">
      <c r="E6068" s="668"/>
      <c r="F6068" s="668"/>
      <c r="G6068" s="668"/>
      <c r="H6068" s="668"/>
      <c r="I6068" s="668"/>
      <c r="J6068" s="668"/>
      <c r="K6068" s="668"/>
      <c r="L6068" s="668"/>
      <c r="M6068" s="668"/>
    </row>
    <row r="6069" spans="5:13">
      <c r="E6069" s="668"/>
      <c r="F6069" s="668"/>
      <c r="G6069" s="668"/>
      <c r="H6069" s="668"/>
      <c r="I6069" s="668"/>
      <c r="J6069" s="668"/>
      <c r="K6069" s="668"/>
      <c r="L6069" s="668"/>
      <c r="M6069" s="668"/>
    </row>
    <row r="6070" spans="5:13">
      <c r="E6070" s="668"/>
      <c r="F6070" s="668"/>
      <c r="G6070" s="668"/>
      <c r="H6070" s="668"/>
      <c r="I6070" s="668"/>
      <c r="J6070" s="668"/>
      <c r="K6070" s="668"/>
      <c r="L6070" s="668"/>
      <c r="M6070" s="668"/>
    </row>
    <row r="6071" spans="5:13">
      <c r="E6071" s="668"/>
      <c r="F6071" s="668"/>
      <c r="G6071" s="668"/>
      <c r="H6071" s="668"/>
      <c r="I6071" s="668"/>
      <c r="J6071" s="668"/>
      <c r="K6071" s="668"/>
      <c r="L6071" s="668"/>
      <c r="M6071" s="668"/>
    </row>
    <row r="6072" spans="5:13">
      <c r="E6072" s="668"/>
      <c r="F6072" s="668"/>
      <c r="G6072" s="668"/>
      <c r="H6072" s="668"/>
      <c r="I6072" s="668"/>
      <c r="J6072" s="668"/>
      <c r="K6072" s="668"/>
      <c r="L6072" s="668"/>
      <c r="M6072" s="668"/>
    </row>
    <row r="6073" spans="5:13">
      <c r="E6073" s="668"/>
      <c r="F6073" s="668"/>
      <c r="G6073" s="668"/>
      <c r="H6073" s="668"/>
      <c r="I6073" s="668"/>
      <c r="J6073" s="668"/>
      <c r="K6073" s="668"/>
      <c r="L6073" s="668"/>
      <c r="M6073" s="668"/>
    </row>
    <row r="6074" spans="5:13">
      <c r="E6074" s="668"/>
      <c r="F6074" s="668"/>
      <c r="G6074" s="668"/>
      <c r="H6074" s="668"/>
      <c r="I6074" s="668"/>
      <c r="J6074" s="668"/>
      <c r="K6074" s="668"/>
      <c r="L6074" s="668"/>
      <c r="M6074" s="668"/>
    </row>
    <row r="6075" spans="5:13">
      <c r="E6075" s="668"/>
      <c r="F6075" s="668"/>
      <c r="G6075" s="668"/>
      <c r="H6075" s="668"/>
      <c r="I6075" s="668"/>
      <c r="J6075" s="668"/>
      <c r="K6075" s="668"/>
      <c r="L6075" s="668"/>
      <c r="M6075" s="668"/>
    </row>
    <row r="6076" spans="5:13">
      <c r="E6076" s="668"/>
      <c r="F6076" s="668"/>
      <c r="G6076" s="668"/>
      <c r="H6076" s="668"/>
      <c r="I6076" s="668"/>
      <c r="J6076" s="668"/>
      <c r="K6076" s="668"/>
      <c r="L6076" s="668"/>
      <c r="M6076" s="668"/>
    </row>
    <row r="6077" spans="5:13">
      <c r="E6077" s="668"/>
      <c r="F6077" s="668"/>
      <c r="G6077" s="668"/>
      <c r="H6077" s="668"/>
      <c r="I6077" s="668"/>
      <c r="J6077" s="668"/>
      <c r="K6077" s="668"/>
      <c r="L6077" s="668"/>
      <c r="M6077" s="668"/>
    </row>
    <row r="6078" spans="5:13">
      <c r="E6078" s="668"/>
      <c r="F6078" s="668"/>
      <c r="G6078" s="668"/>
      <c r="H6078" s="668"/>
      <c r="I6078" s="668"/>
      <c r="J6078" s="668"/>
      <c r="K6078" s="668"/>
      <c r="L6078" s="668"/>
      <c r="M6078" s="668"/>
    </row>
    <row r="6079" spans="5:13">
      <c r="E6079" s="668"/>
      <c r="F6079" s="668"/>
      <c r="G6079" s="668"/>
      <c r="H6079" s="668"/>
      <c r="I6079" s="668"/>
      <c r="J6079" s="668"/>
      <c r="K6079" s="668"/>
      <c r="L6079" s="668"/>
      <c r="M6079" s="668"/>
    </row>
    <row r="6080" spans="5:13">
      <c r="E6080" s="668"/>
      <c r="F6080" s="668"/>
      <c r="G6080" s="668"/>
      <c r="H6080" s="668"/>
      <c r="I6080" s="668"/>
      <c r="J6080" s="668"/>
      <c r="K6080" s="668"/>
      <c r="L6080" s="668"/>
      <c r="M6080" s="668"/>
    </row>
    <row r="6081" spans="5:13">
      <c r="E6081" s="668"/>
      <c r="F6081" s="668"/>
      <c r="G6081" s="668"/>
      <c r="H6081" s="668"/>
      <c r="I6081" s="668"/>
      <c r="J6081" s="668"/>
      <c r="K6081" s="668"/>
      <c r="L6081" s="668"/>
      <c r="M6081" s="668"/>
    </row>
    <row r="6082" spans="5:13">
      <c r="E6082" s="668"/>
      <c r="F6082" s="668"/>
      <c r="G6082" s="668"/>
      <c r="H6082" s="668"/>
      <c r="I6082" s="668"/>
      <c r="J6082" s="668"/>
      <c r="K6082" s="668"/>
      <c r="L6082" s="668"/>
      <c r="M6082" s="668"/>
    </row>
    <row r="6083" spans="5:13">
      <c r="E6083" s="668"/>
      <c r="F6083" s="668"/>
      <c r="G6083" s="668"/>
      <c r="H6083" s="668"/>
      <c r="I6083" s="668"/>
      <c r="J6083" s="668"/>
      <c r="K6083" s="668"/>
      <c r="L6083" s="668"/>
      <c r="M6083" s="668"/>
    </row>
    <row r="6084" spans="5:13">
      <c r="E6084" s="668"/>
      <c r="F6084" s="668"/>
      <c r="G6084" s="668"/>
      <c r="H6084" s="668"/>
      <c r="I6084" s="668"/>
      <c r="J6084" s="668"/>
      <c r="K6084" s="668"/>
      <c r="L6084" s="668"/>
      <c r="M6084" s="668"/>
    </row>
    <row r="6085" spans="5:13">
      <c r="E6085" s="668"/>
      <c r="F6085" s="668"/>
      <c r="G6085" s="668"/>
      <c r="H6085" s="668"/>
      <c r="I6085" s="668"/>
      <c r="J6085" s="668"/>
      <c r="K6085" s="668"/>
      <c r="L6085" s="668"/>
      <c r="M6085" s="668"/>
    </row>
    <row r="6086" spans="5:13">
      <c r="E6086" s="668"/>
      <c r="F6086" s="668"/>
      <c r="G6086" s="668"/>
      <c r="H6086" s="668"/>
      <c r="I6086" s="668"/>
      <c r="J6086" s="668"/>
      <c r="K6086" s="668"/>
      <c r="L6086" s="668"/>
      <c r="M6086" s="668"/>
    </row>
    <row r="6087" spans="5:13">
      <c r="E6087" s="668"/>
      <c r="F6087" s="668"/>
      <c r="G6087" s="668"/>
      <c r="H6087" s="668"/>
      <c r="I6087" s="668"/>
      <c r="J6087" s="668"/>
      <c r="K6087" s="668"/>
      <c r="L6087" s="668"/>
      <c r="M6087" s="668"/>
    </row>
    <row r="6088" spans="5:13">
      <c r="E6088" s="668"/>
      <c r="F6088" s="668"/>
      <c r="G6088" s="668"/>
      <c r="H6088" s="668"/>
      <c r="I6088" s="668"/>
      <c r="J6088" s="668"/>
      <c r="K6088" s="668"/>
      <c r="L6088" s="668"/>
      <c r="M6088" s="668"/>
    </row>
    <row r="6089" spans="5:13">
      <c r="E6089" s="668"/>
      <c r="F6089" s="668"/>
      <c r="G6089" s="668"/>
      <c r="H6089" s="668"/>
      <c r="I6089" s="668"/>
      <c r="J6089" s="668"/>
      <c r="K6089" s="668"/>
      <c r="L6089" s="668"/>
      <c r="M6089" s="668"/>
    </row>
    <row r="6090" spans="5:13">
      <c r="E6090" s="668"/>
      <c r="F6090" s="668"/>
      <c r="G6090" s="668"/>
      <c r="H6090" s="668"/>
      <c r="I6090" s="668"/>
      <c r="J6090" s="668"/>
      <c r="K6090" s="668"/>
      <c r="L6090" s="668"/>
      <c r="M6090" s="668"/>
    </row>
    <row r="6091" spans="5:13">
      <c r="E6091" s="668"/>
      <c r="F6091" s="668"/>
      <c r="G6091" s="668"/>
      <c r="H6091" s="668"/>
      <c r="I6091" s="668"/>
      <c r="J6091" s="668"/>
      <c r="K6091" s="668"/>
      <c r="L6091" s="668"/>
      <c r="M6091" s="668"/>
    </row>
    <row r="6092" spans="5:13">
      <c r="E6092" s="668"/>
      <c r="F6092" s="668"/>
      <c r="G6092" s="668"/>
      <c r="H6092" s="668"/>
      <c r="I6092" s="668"/>
      <c r="J6092" s="668"/>
      <c r="K6092" s="668"/>
      <c r="L6092" s="668"/>
      <c r="M6092" s="668"/>
    </row>
    <row r="6093" spans="5:13">
      <c r="E6093" s="668"/>
      <c r="F6093" s="668"/>
      <c r="G6093" s="668"/>
      <c r="H6093" s="668"/>
      <c r="I6093" s="668"/>
      <c r="J6093" s="668"/>
      <c r="K6093" s="668"/>
      <c r="L6093" s="668"/>
      <c r="M6093" s="668"/>
    </row>
    <row r="6094" spans="5:13">
      <c r="E6094" s="668"/>
      <c r="F6094" s="668"/>
      <c r="G6094" s="668"/>
      <c r="H6094" s="668"/>
      <c r="I6094" s="668"/>
      <c r="J6094" s="668"/>
      <c r="K6094" s="668"/>
      <c r="L6094" s="668"/>
      <c r="M6094" s="668"/>
    </row>
    <row r="6095" spans="5:13">
      <c r="E6095" s="668"/>
      <c r="F6095" s="668"/>
      <c r="G6095" s="668"/>
      <c r="H6095" s="668"/>
      <c r="I6095" s="668"/>
      <c r="J6095" s="668"/>
      <c r="K6095" s="668"/>
      <c r="L6095" s="668"/>
      <c r="M6095" s="668"/>
    </row>
    <row r="6096" spans="5:13">
      <c r="E6096" s="668"/>
      <c r="F6096" s="668"/>
      <c r="G6096" s="668"/>
      <c r="H6096" s="668"/>
      <c r="I6096" s="668"/>
      <c r="J6096" s="668"/>
      <c r="K6096" s="668"/>
      <c r="L6096" s="668"/>
      <c r="M6096" s="668"/>
    </row>
    <row r="6097" spans="5:13">
      <c r="E6097" s="668"/>
      <c r="F6097" s="668"/>
      <c r="G6097" s="668"/>
      <c r="H6097" s="668"/>
      <c r="I6097" s="668"/>
      <c r="J6097" s="668"/>
      <c r="K6097" s="668"/>
      <c r="L6097" s="668"/>
      <c r="M6097" s="668"/>
    </row>
    <row r="6098" spans="5:13">
      <c r="E6098" s="668"/>
      <c r="F6098" s="668"/>
      <c r="G6098" s="668"/>
      <c r="H6098" s="668"/>
      <c r="I6098" s="668"/>
      <c r="J6098" s="668"/>
      <c r="K6098" s="668"/>
      <c r="L6098" s="668"/>
      <c r="M6098" s="668"/>
    </row>
    <row r="6099" spans="5:13">
      <c r="E6099" s="668"/>
      <c r="F6099" s="668"/>
      <c r="G6099" s="668"/>
      <c r="H6099" s="668"/>
      <c r="I6099" s="668"/>
      <c r="J6099" s="668"/>
      <c r="K6099" s="668"/>
      <c r="L6099" s="668"/>
      <c r="M6099" s="668"/>
    </row>
    <row r="6100" spans="5:13">
      <c r="E6100" s="668"/>
      <c r="F6100" s="668"/>
      <c r="G6100" s="668"/>
      <c r="H6100" s="668"/>
      <c r="I6100" s="668"/>
      <c r="J6100" s="668"/>
      <c r="K6100" s="668"/>
      <c r="L6100" s="668"/>
      <c r="M6100" s="668"/>
    </row>
    <row r="6101" spans="5:13">
      <c r="E6101" s="668"/>
      <c r="F6101" s="668"/>
      <c r="G6101" s="668"/>
      <c r="H6101" s="668"/>
      <c r="I6101" s="668"/>
      <c r="J6101" s="668"/>
      <c r="K6101" s="668"/>
      <c r="L6101" s="668"/>
      <c r="M6101" s="668"/>
    </row>
    <row r="6102" spans="5:13">
      <c r="E6102" s="668"/>
      <c r="F6102" s="668"/>
      <c r="G6102" s="668"/>
      <c r="H6102" s="668"/>
      <c r="I6102" s="668"/>
      <c r="J6102" s="668"/>
      <c r="K6102" s="668"/>
      <c r="L6102" s="668"/>
      <c r="M6102" s="668"/>
    </row>
    <row r="6103" spans="5:13">
      <c r="E6103" s="668"/>
      <c r="F6103" s="668"/>
      <c r="G6103" s="668"/>
      <c r="H6103" s="668"/>
      <c r="I6103" s="668"/>
      <c r="J6103" s="668"/>
      <c r="K6103" s="668"/>
      <c r="L6103" s="668"/>
      <c r="M6103" s="668"/>
    </row>
    <row r="6104" spans="5:13">
      <c r="E6104" s="668"/>
      <c r="F6104" s="668"/>
      <c r="G6104" s="668"/>
      <c r="H6104" s="668"/>
      <c r="I6104" s="668"/>
      <c r="J6104" s="668"/>
      <c r="K6104" s="668"/>
      <c r="L6104" s="668"/>
      <c r="M6104" s="668"/>
    </row>
    <row r="6105" spans="5:13">
      <c r="E6105" s="668"/>
      <c r="F6105" s="668"/>
      <c r="G6105" s="668"/>
      <c r="H6105" s="668"/>
      <c r="I6105" s="668"/>
      <c r="J6105" s="668"/>
      <c r="K6105" s="668"/>
      <c r="L6105" s="668"/>
      <c r="M6105" s="668"/>
    </row>
    <row r="6106" spans="5:13">
      <c r="E6106" s="668"/>
      <c r="F6106" s="668"/>
      <c r="G6106" s="668"/>
      <c r="H6106" s="668"/>
      <c r="I6106" s="668"/>
      <c r="J6106" s="668"/>
      <c r="K6106" s="668"/>
      <c r="L6106" s="668"/>
      <c r="M6106" s="668"/>
    </row>
    <row r="6107" spans="5:13">
      <c r="E6107" s="668"/>
      <c r="F6107" s="668"/>
      <c r="G6107" s="668"/>
      <c r="H6107" s="668"/>
      <c r="I6107" s="668"/>
      <c r="J6107" s="668"/>
      <c r="K6107" s="668"/>
      <c r="L6107" s="668"/>
      <c r="M6107" s="668"/>
    </row>
    <row r="6108" spans="5:13">
      <c r="E6108" s="668"/>
      <c r="F6108" s="668"/>
      <c r="G6108" s="668"/>
      <c r="H6108" s="668"/>
      <c r="I6108" s="668"/>
      <c r="J6108" s="668"/>
      <c r="K6108" s="668"/>
      <c r="L6108" s="668"/>
      <c r="M6108" s="668"/>
    </row>
    <row r="6109" spans="5:13">
      <c r="E6109" s="668"/>
      <c r="F6109" s="668"/>
      <c r="G6109" s="668"/>
      <c r="H6109" s="668"/>
      <c r="I6109" s="668"/>
      <c r="J6109" s="668"/>
      <c r="K6109" s="668"/>
      <c r="L6109" s="668"/>
      <c r="M6109" s="668"/>
    </row>
    <row r="6110" spans="5:13">
      <c r="E6110" s="668"/>
      <c r="F6110" s="668"/>
      <c r="G6110" s="668"/>
      <c r="H6110" s="668"/>
      <c r="I6110" s="668"/>
      <c r="J6110" s="668"/>
      <c r="K6110" s="668"/>
      <c r="L6110" s="668"/>
      <c r="M6110" s="668"/>
    </row>
    <row r="6111" spans="5:13">
      <c r="E6111" s="668"/>
      <c r="F6111" s="668"/>
      <c r="G6111" s="668"/>
      <c r="H6111" s="668"/>
      <c r="I6111" s="668"/>
      <c r="J6111" s="668"/>
      <c r="K6111" s="668"/>
      <c r="L6111" s="668"/>
      <c r="M6111" s="668"/>
    </row>
    <row r="6112" spans="5:13">
      <c r="E6112" s="668"/>
      <c r="F6112" s="668"/>
      <c r="G6112" s="668"/>
      <c r="H6112" s="668"/>
      <c r="I6112" s="668"/>
      <c r="J6112" s="668"/>
      <c r="K6112" s="668"/>
      <c r="L6112" s="668"/>
      <c r="M6112" s="668"/>
    </row>
    <row r="6113" spans="5:13">
      <c r="E6113" s="668"/>
      <c r="F6113" s="668"/>
      <c r="G6113" s="668"/>
      <c r="H6113" s="668"/>
      <c r="I6113" s="668"/>
      <c r="J6113" s="668"/>
      <c r="K6113" s="668"/>
      <c r="L6113" s="668"/>
      <c r="M6113" s="668"/>
    </row>
    <row r="6114" spans="5:13">
      <c r="E6114" s="668"/>
      <c r="F6114" s="668"/>
      <c r="G6114" s="668"/>
      <c r="H6114" s="668"/>
      <c r="I6114" s="668"/>
      <c r="J6114" s="668"/>
      <c r="K6114" s="668"/>
      <c r="L6114" s="668"/>
      <c r="M6114" s="668"/>
    </row>
    <row r="6115" spans="5:13">
      <c r="E6115" s="668"/>
      <c r="F6115" s="668"/>
      <c r="G6115" s="668"/>
      <c r="H6115" s="668"/>
      <c r="I6115" s="668"/>
      <c r="J6115" s="668"/>
      <c r="K6115" s="668"/>
      <c r="L6115" s="668"/>
      <c r="M6115" s="668"/>
    </row>
    <row r="6116" spans="5:13">
      <c r="E6116" s="668"/>
      <c r="F6116" s="668"/>
      <c r="G6116" s="668"/>
      <c r="H6116" s="668"/>
      <c r="I6116" s="668"/>
      <c r="J6116" s="668"/>
      <c r="K6116" s="668"/>
      <c r="L6116" s="668"/>
      <c r="M6116" s="668"/>
    </row>
    <row r="6117" spans="5:13">
      <c r="E6117" s="668"/>
      <c r="F6117" s="668"/>
      <c r="G6117" s="668"/>
      <c r="H6117" s="668"/>
      <c r="I6117" s="668"/>
      <c r="J6117" s="668"/>
      <c r="K6117" s="668"/>
      <c r="L6117" s="668"/>
      <c r="M6117" s="668"/>
    </row>
    <row r="6118" spans="5:13">
      <c r="E6118" s="668"/>
      <c r="F6118" s="668"/>
      <c r="G6118" s="668"/>
      <c r="H6118" s="668"/>
      <c r="I6118" s="668"/>
      <c r="J6118" s="668"/>
      <c r="K6118" s="668"/>
      <c r="L6118" s="668"/>
      <c r="M6118" s="668"/>
    </row>
    <row r="6119" spans="5:13">
      <c r="E6119" s="668"/>
      <c r="F6119" s="668"/>
      <c r="G6119" s="668"/>
      <c r="H6119" s="668"/>
      <c r="I6119" s="668"/>
      <c r="J6119" s="668"/>
      <c r="K6119" s="668"/>
      <c r="L6119" s="668"/>
      <c r="M6119" s="668"/>
    </row>
    <row r="6120" spans="5:13">
      <c r="E6120" s="668"/>
      <c r="F6120" s="668"/>
      <c r="G6120" s="668"/>
      <c r="H6120" s="668"/>
      <c r="I6120" s="668"/>
      <c r="J6120" s="668"/>
      <c r="K6120" s="668"/>
      <c r="L6120" s="668"/>
      <c r="M6120" s="668"/>
    </row>
    <row r="6121" spans="5:13">
      <c r="E6121" s="668"/>
      <c r="F6121" s="668"/>
      <c r="G6121" s="668"/>
      <c r="H6121" s="668"/>
      <c r="I6121" s="668"/>
      <c r="J6121" s="668"/>
      <c r="K6121" s="668"/>
      <c r="L6121" s="668"/>
      <c r="M6121" s="668"/>
    </row>
    <row r="6122" spans="5:13">
      <c r="E6122" s="668"/>
      <c r="F6122" s="668"/>
      <c r="G6122" s="668"/>
      <c r="H6122" s="668"/>
      <c r="I6122" s="668"/>
      <c r="J6122" s="668"/>
      <c r="K6122" s="668"/>
      <c r="L6122" s="668"/>
      <c r="M6122" s="668"/>
    </row>
    <row r="6123" spans="5:13">
      <c r="E6123" s="668"/>
      <c r="F6123" s="668"/>
      <c r="G6123" s="668"/>
      <c r="H6123" s="668"/>
      <c r="I6123" s="668"/>
      <c r="J6123" s="668"/>
      <c r="K6123" s="668"/>
      <c r="L6123" s="668"/>
      <c r="M6123" s="668"/>
    </row>
    <row r="6124" spans="5:13">
      <c r="E6124" s="668"/>
      <c r="F6124" s="668"/>
      <c r="G6124" s="668"/>
      <c r="H6124" s="668"/>
      <c r="I6124" s="668"/>
      <c r="J6124" s="668"/>
      <c r="K6124" s="668"/>
      <c r="L6124" s="668"/>
      <c r="M6124" s="668"/>
    </row>
    <row r="6125" spans="5:13">
      <c r="E6125" s="668"/>
      <c r="F6125" s="668"/>
      <c r="G6125" s="668"/>
      <c r="H6125" s="668"/>
      <c r="I6125" s="668"/>
      <c r="J6125" s="668"/>
      <c r="K6125" s="668"/>
      <c r="L6125" s="668"/>
      <c r="M6125" s="668"/>
    </row>
    <row r="6126" spans="5:13">
      <c r="E6126" s="668"/>
      <c r="F6126" s="668"/>
      <c r="G6126" s="668"/>
      <c r="H6126" s="668"/>
      <c r="I6126" s="668"/>
      <c r="J6126" s="668"/>
      <c r="K6126" s="668"/>
      <c r="L6126" s="668"/>
      <c r="M6126" s="668"/>
    </row>
    <row r="6127" spans="5:13">
      <c r="E6127" s="668"/>
      <c r="F6127" s="668"/>
      <c r="G6127" s="668"/>
      <c r="H6127" s="668"/>
      <c r="I6127" s="668"/>
      <c r="J6127" s="668"/>
      <c r="K6127" s="668"/>
      <c r="L6127" s="668"/>
      <c r="M6127" s="668"/>
    </row>
    <row r="6128" spans="5:13">
      <c r="E6128" s="668"/>
      <c r="F6128" s="668"/>
      <c r="G6128" s="668"/>
      <c r="H6128" s="668"/>
      <c r="I6128" s="668"/>
      <c r="J6128" s="668"/>
      <c r="K6128" s="668"/>
      <c r="L6128" s="668"/>
      <c r="M6128" s="668"/>
    </row>
    <row r="6129" spans="5:13">
      <c r="E6129" s="668"/>
      <c r="F6129" s="668"/>
      <c r="G6129" s="668"/>
      <c r="H6129" s="668"/>
      <c r="I6129" s="668"/>
      <c r="J6129" s="668"/>
      <c r="K6129" s="668"/>
      <c r="L6129" s="668"/>
      <c r="M6129" s="668"/>
    </row>
    <row r="6130" spans="5:13">
      <c r="E6130" s="668"/>
      <c r="F6130" s="668"/>
      <c r="G6130" s="668"/>
      <c r="H6130" s="668"/>
      <c r="I6130" s="668"/>
      <c r="J6130" s="668"/>
      <c r="K6130" s="668"/>
      <c r="L6130" s="668"/>
      <c r="M6130" s="668"/>
    </row>
    <row r="6131" spans="5:13">
      <c r="E6131" s="668"/>
      <c r="F6131" s="668"/>
      <c r="G6131" s="668"/>
      <c r="H6131" s="668"/>
      <c r="I6131" s="668"/>
      <c r="J6131" s="668"/>
      <c r="K6131" s="668"/>
      <c r="L6131" s="668"/>
      <c r="M6131" s="668"/>
    </row>
    <row r="6132" spans="5:13">
      <c r="E6132" s="668"/>
      <c r="F6132" s="668"/>
      <c r="G6132" s="668"/>
      <c r="H6132" s="668"/>
      <c r="I6132" s="668"/>
      <c r="J6132" s="668"/>
      <c r="K6132" s="668"/>
      <c r="L6132" s="668"/>
      <c r="M6132" s="668"/>
    </row>
    <row r="6133" spans="5:13">
      <c r="E6133" s="668"/>
      <c r="F6133" s="668"/>
      <c r="G6133" s="668"/>
      <c r="H6133" s="668"/>
      <c r="I6133" s="668"/>
      <c r="J6133" s="668"/>
      <c r="K6133" s="668"/>
      <c r="L6133" s="668"/>
      <c r="M6133" s="668"/>
    </row>
    <row r="6134" spans="5:13">
      <c r="E6134" s="668"/>
      <c r="F6134" s="668"/>
      <c r="G6134" s="668"/>
      <c r="H6134" s="668"/>
      <c r="I6134" s="668"/>
      <c r="J6134" s="668"/>
      <c r="K6134" s="668"/>
      <c r="L6134" s="668"/>
      <c r="M6134" s="668"/>
    </row>
    <row r="6135" spans="5:13">
      <c r="E6135" s="668"/>
      <c r="F6135" s="668"/>
      <c r="G6135" s="668"/>
      <c r="H6135" s="668"/>
      <c r="I6135" s="668"/>
      <c r="J6135" s="668"/>
      <c r="K6135" s="668"/>
      <c r="L6135" s="668"/>
      <c r="M6135" s="668"/>
    </row>
    <row r="6136" spans="5:13">
      <c r="E6136" s="668"/>
      <c r="F6136" s="668"/>
      <c r="G6136" s="668"/>
      <c r="H6136" s="668"/>
      <c r="I6136" s="668"/>
      <c r="J6136" s="668"/>
      <c r="K6136" s="668"/>
      <c r="L6136" s="668"/>
      <c r="M6136" s="668"/>
    </row>
    <row r="6137" spans="5:13">
      <c r="E6137" s="668"/>
      <c r="F6137" s="668"/>
      <c r="G6137" s="668"/>
      <c r="H6137" s="668"/>
      <c r="I6137" s="668"/>
      <c r="J6137" s="668"/>
      <c r="K6137" s="668"/>
      <c r="L6137" s="668"/>
      <c r="M6137" s="668"/>
    </row>
    <row r="6138" spans="5:13">
      <c r="E6138" s="668"/>
      <c r="F6138" s="668"/>
      <c r="G6138" s="668"/>
      <c r="H6138" s="668"/>
      <c r="I6138" s="668"/>
      <c r="J6138" s="668"/>
      <c r="K6138" s="668"/>
      <c r="L6138" s="668"/>
      <c r="M6138" s="668"/>
    </row>
    <row r="6139" spans="5:13">
      <c r="E6139" s="668"/>
      <c r="F6139" s="668"/>
      <c r="G6139" s="668"/>
      <c r="H6139" s="668"/>
      <c r="I6139" s="668"/>
      <c r="J6139" s="668"/>
      <c r="K6139" s="668"/>
      <c r="L6139" s="668"/>
      <c r="M6139" s="668"/>
    </row>
    <row r="6140" spans="5:13">
      <c r="E6140" s="668"/>
      <c r="F6140" s="668"/>
      <c r="G6140" s="668"/>
      <c r="H6140" s="668"/>
      <c r="I6140" s="668"/>
      <c r="J6140" s="668"/>
      <c r="K6140" s="668"/>
      <c r="L6140" s="668"/>
      <c r="M6140" s="668"/>
    </row>
    <row r="6141" spans="5:13">
      <c r="E6141" s="668"/>
      <c r="F6141" s="668"/>
      <c r="G6141" s="668"/>
      <c r="H6141" s="668"/>
      <c r="I6141" s="668"/>
      <c r="J6141" s="668"/>
      <c r="K6141" s="668"/>
      <c r="L6141" s="668"/>
      <c r="M6141" s="668"/>
    </row>
    <row r="6142" spans="5:13">
      <c r="E6142" s="668"/>
      <c r="F6142" s="668"/>
      <c r="G6142" s="668"/>
      <c r="H6142" s="668"/>
      <c r="I6142" s="668"/>
      <c r="J6142" s="668"/>
      <c r="K6142" s="668"/>
      <c r="L6142" s="668"/>
      <c r="M6142" s="668"/>
    </row>
    <row r="6143" spans="5:13">
      <c r="E6143" s="668"/>
      <c r="F6143" s="668"/>
      <c r="G6143" s="668"/>
      <c r="H6143" s="668"/>
      <c r="I6143" s="668"/>
      <c r="J6143" s="668"/>
      <c r="K6143" s="668"/>
      <c r="L6143" s="668"/>
      <c r="M6143" s="668"/>
    </row>
    <row r="6144" spans="5:13">
      <c r="E6144" s="668"/>
      <c r="F6144" s="668"/>
      <c r="G6144" s="668"/>
      <c r="H6144" s="668"/>
      <c r="I6144" s="668"/>
      <c r="J6144" s="668"/>
      <c r="K6144" s="668"/>
      <c r="L6144" s="668"/>
      <c r="M6144" s="668"/>
    </row>
    <row r="6145" spans="5:13">
      <c r="E6145" s="668"/>
      <c r="F6145" s="668"/>
      <c r="G6145" s="668"/>
      <c r="H6145" s="668"/>
      <c r="I6145" s="668"/>
      <c r="J6145" s="668"/>
      <c r="K6145" s="668"/>
      <c r="L6145" s="668"/>
      <c r="M6145" s="668"/>
    </row>
    <row r="6146" spans="5:13">
      <c r="E6146" s="668"/>
      <c r="F6146" s="668"/>
      <c r="G6146" s="668"/>
      <c r="H6146" s="668"/>
      <c r="I6146" s="668"/>
      <c r="J6146" s="668"/>
      <c r="K6146" s="668"/>
      <c r="L6146" s="668"/>
      <c r="M6146" s="668"/>
    </row>
    <row r="6147" spans="5:13">
      <c r="E6147" s="668"/>
      <c r="F6147" s="668"/>
      <c r="G6147" s="668"/>
      <c r="H6147" s="668"/>
      <c r="I6147" s="668"/>
      <c r="J6147" s="668"/>
      <c r="K6147" s="668"/>
      <c r="L6147" s="668"/>
      <c r="M6147" s="668"/>
    </row>
    <row r="6148" spans="5:13">
      <c r="E6148" s="668"/>
      <c r="F6148" s="668"/>
      <c r="G6148" s="668"/>
      <c r="H6148" s="668"/>
      <c r="I6148" s="668"/>
      <c r="J6148" s="668"/>
      <c r="K6148" s="668"/>
      <c r="L6148" s="668"/>
      <c r="M6148" s="668"/>
    </row>
    <row r="6149" spans="5:13">
      <c r="E6149" s="668"/>
      <c r="F6149" s="668"/>
      <c r="G6149" s="668"/>
      <c r="H6149" s="668"/>
      <c r="I6149" s="668"/>
      <c r="J6149" s="668"/>
      <c r="K6149" s="668"/>
      <c r="L6149" s="668"/>
      <c r="M6149" s="668"/>
    </row>
    <row r="6150" spans="5:13">
      <c r="E6150" s="668"/>
      <c r="F6150" s="668"/>
      <c r="G6150" s="668"/>
      <c r="H6150" s="668"/>
      <c r="I6150" s="668"/>
      <c r="J6150" s="668"/>
      <c r="K6150" s="668"/>
      <c r="L6150" s="668"/>
      <c r="M6150" s="668"/>
    </row>
    <row r="6151" spans="5:13">
      <c r="E6151" s="668"/>
      <c r="F6151" s="668"/>
      <c r="G6151" s="668"/>
      <c r="H6151" s="668"/>
      <c r="I6151" s="668"/>
      <c r="J6151" s="668"/>
      <c r="K6151" s="668"/>
      <c r="L6151" s="668"/>
      <c r="M6151" s="668"/>
    </row>
    <row r="6152" spans="5:13">
      <c r="E6152" s="668"/>
      <c r="F6152" s="668"/>
      <c r="G6152" s="668"/>
      <c r="H6152" s="668"/>
      <c r="I6152" s="668"/>
      <c r="J6152" s="668"/>
      <c r="K6152" s="668"/>
      <c r="L6152" s="668"/>
      <c r="M6152" s="668"/>
    </row>
    <row r="6153" spans="5:13">
      <c r="E6153" s="668"/>
      <c r="F6153" s="668"/>
      <c r="G6153" s="668"/>
      <c r="H6153" s="668"/>
      <c r="I6153" s="668"/>
      <c r="J6153" s="668"/>
      <c r="K6153" s="668"/>
      <c r="L6153" s="668"/>
      <c r="M6153" s="668"/>
    </row>
    <row r="6154" spans="5:13">
      <c r="E6154" s="668"/>
      <c r="F6154" s="668"/>
      <c r="G6154" s="668"/>
      <c r="H6154" s="668"/>
      <c r="I6154" s="668"/>
      <c r="J6154" s="668"/>
      <c r="K6154" s="668"/>
      <c r="L6154" s="668"/>
      <c r="M6154" s="668"/>
    </row>
    <row r="6155" spans="5:13">
      <c r="E6155" s="668"/>
      <c r="F6155" s="668"/>
      <c r="G6155" s="668"/>
      <c r="H6155" s="668"/>
      <c r="I6155" s="668"/>
      <c r="J6155" s="668"/>
      <c r="K6155" s="668"/>
      <c r="L6155" s="668"/>
      <c r="M6155" s="668"/>
    </row>
    <row r="6156" spans="5:13">
      <c r="E6156" s="668"/>
      <c r="F6156" s="668"/>
      <c r="G6156" s="668"/>
      <c r="H6156" s="668"/>
      <c r="I6156" s="668"/>
      <c r="J6156" s="668"/>
      <c r="K6156" s="668"/>
      <c r="L6156" s="668"/>
      <c r="M6156" s="668"/>
    </row>
    <row r="6157" spans="5:13">
      <c r="E6157" s="668"/>
      <c r="F6157" s="668"/>
      <c r="G6157" s="668"/>
      <c r="H6157" s="668"/>
      <c r="I6157" s="668"/>
      <c r="J6157" s="668"/>
      <c r="K6157" s="668"/>
      <c r="L6157" s="668"/>
      <c r="M6157" s="668"/>
    </row>
    <row r="6158" spans="5:13">
      <c r="E6158" s="668"/>
      <c r="F6158" s="668"/>
      <c r="G6158" s="668"/>
      <c r="H6158" s="668"/>
      <c r="I6158" s="668"/>
      <c r="J6158" s="668"/>
      <c r="K6158" s="668"/>
      <c r="L6158" s="668"/>
      <c r="M6158" s="668"/>
    </row>
    <row r="6159" spans="5:13">
      <c r="E6159" s="668"/>
      <c r="F6159" s="668"/>
      <c r="G6159" s="668"/>
      <c r="H6159" s="668"/>
      <c r="I6159" s="668"/>
      <c r="J6159" s="668"/>
      <c r="K6159" s="668"/>
      <c r="L6159" s="668"/>
      <c r="M6159" s="668"/>
    </row>
    <row r="6160" spans="5:13">
      <c r="E6160" s="668"/>
      <c r="F6160" s="668"/>
      <c r="G6160" s="668"/>
      <c r="H6160" s="668"/>
      <c r="I6160" s="668"/>
      <c r="J6160" s="668"/>
      <c r="K6160" s="668"/>
      <c r="L6160" s="668"/>
      <c r="M6160" s="668"/>
    </row>
    <row r="6161" spans="5:13">
      <c r="E6161" s="668"/>
      <c r="F6161" s="668"/>
      <c r="G6161" s="668"/>
      <c r="H6161" s="668"/>
      <c r="I6161" s="668"/>
      <c r="J6161" s="668"/>
      <c r="K6161" s="668"/>
      <c r="L6161" s="668"/>
      <c r="M6161" s="668"/>
    </row>
    <row r="6162" spans="5:13">
      <c r="E6162" s="668"/>
      <c r="F6162" s="668"/>
      <c r="G6162" s="668"/>
      <c r="H6162" s="668"/>
      <c r="I6162" s="668"/>
      <c r="J6162" s="668"/>
      <c r="K6162" s="668"/>
      <c r="L6162" s="668"/>
      <c r="M6162" s="668"/>
    </row>
    <row r="6163" spans="5:13">
      <c r="E6163" s="668"/>
      <c r="F6163" s="668"/>
      <c r="G6163" s="668"/>
      <c r="H6163" s="668"/>
      <c r="I6163" s="668"/>
      <c r="J6163" s="668"/>
      <c r="K6163" s="668"/>
      <c r="L6163" s="668"/>
      <c r="M6163" s="668"/>
    </row>
    <row r="6164" spans="5:13">
      <c r="E6164" s="668"/>
      <c r="F6164" s="668"/>
      <c r="G6164" s="668"/>
      <c r="H6164" s="668"/>
      <c r="I6164" s="668"/>
      <c r="J6164" s="668"/>
      <c r="K6164" s="668"/>
      <c r="L6164" s="668"/>
      <c r="M6164" s="668"/>
    </row>
    <row r="6165" spans="5:13">
      <c r="E6165" s="668"/>
      <c r="F6165" s="668"/>
      <c r="G6165" s="668"/>
      <c r="H6165" s="668"/>
      <c r="I6165" s="668"/>
      <c r="J6165" s="668"/>
      <c r="K6165" s="668"/>
      <c r="L6165" s="668"/>
      <c r="M6165" s="668"/>
    </row>
    <row r="6166" spans="5:13">
      <c r="E6166" s="668"/>
      <c r="F6166" s="668"/>
      <c r="G6166" s="668"/>
      <c r="H6166" s="668"/>
      <c r="I6166" s="668"/>
      <c r="J6166" s="668"/>
      <c r="K6166" s="668"/>
      <c r="L6166" s="668"/>
      <c r="M6166" s="668"/>
    </row>
    <row r="6167" spans="5:13">
      <c r="E6167" s="668"/>
      <c r="F6167" s="668"/>
      <c r="G6167" s="668"/>
      <c r="H6167" s="668"/>
      <c r="I6167" s="668"/>
      <c r="J6167" s="668"/>
      <c r="K6167" s="668"/>
      <c r="L6167" s="668"/>
      <c r="M6167" s="668"/>
    </row>
    <row r="6168" spans="5:13">
      <c r="E6168" s="668"/>
      <c r="F6168" s="668"/>
      <c r="G6168" s="668"/>
      <c r="H6168" s="668"/>
      <c r="I6168" s="668"/>
      <c r="J6168" s="668"/>
      <c r="K6168" s="668"/>
      <c r="L6168" s="668"/>
      <c r="M6168" s="668"/>
    </row>
    <row r="6169" spans="5:13">
      <c r="E6169" s="668"/>
      <c r="F6169" s="668"/>
      <c r="G6169" s="668"/>
      <c r="H6169" s="668"/>
      <c r="I6169" s="668"/>
      <c r="J6169" s="668"/>
      <c r="K6169" s="668"/>
      <c r="L6169" s="668"/>
      <c r="M6169" s="668"/>
    </row>
    <row r="6170" spans="5:13">
      <c r="E6170" s="668"/>
      <c r="F6170" s="668"/>
      <c r="G6170" s="668"/>
      <c r="H6170" s="668"/>
      <c r="I6170" s="668"/>
      <c r="J6170" s="668"/>
      <c r="K6170" s="668"/>
      <c r="L6170" s="668"/>
      <c r="M6170" s="668"/>
    </row>
    <row r="6171" spans="5:13">
      <c r="E6171" s="668"/>
      <c r="F6171" s="668"/>
      <c r="G6171" s="668"/>
      <c r="H6171" s="668"/>
      <c r="I6171" s="668"/>
      <c r="J6171" s="668"/>
      <c r="K6171" s="668"/>
      <c r="L6171" s="668"/>
      <c r="M6171" s="668"/>
    </row>
    <row r="6172" spans="5:13">
      <c r="E6172" s="668"/>
      <c r="F6172" s="668"/>
      <c r="G6172" s="668"/>
      <c r="H6172" s="668"/>
      <c r="I6172" s="668"/>
      <c r="J6172" s="668"/>
      <c r="K6172" s="668"/>
      <c r="L6172" s="668"/>
      <c r="M6172" s="668"/>
    </row>
    <row r="6173" spans="5:13">
      <c r="E6173" s="668"/>
      <c r="F6173" s="668"/>
      <c r="G6173" s="668"/>
      <c r="H6173" s="668"/>
      <c r="I6173" s="668"/>
      <c r="J6173" s="668"/>
      <c r="K6173" s="668"/>
      <c r="L6173" s="668"/>
      <c r="M6173" s="668"/>
    </row>
    <row r="6174" spans="5:13">
      <c r="E6174" s="668"/>
      <c r="F6174" s="668"/>
      <c r="G6174" s="668"/>
      <c r="H6174" s="668"/>
      <c r="I6174" s="668"/>
      <c r="J6174" s="668"/>
      <c r="K6174" s="668"/>
      <c r="L6174" s="668"/>
      <c r="M6174" s="668"/>
    </row>
    <row r="6175" spans="5:13">
      <c r="E6175" s="668"/>
      <c r="F6175" s="668"/>
      <c r="G6175" s="668"/>
      <c r="H6175" s="668"/>
      <c r="I6175" s="668"/>
      <c r="J6175" s="668"/>
      <c r="K6175" s="668"/>
      <c r="L6175" s="668"/>
      <c r="M6175" s="668"/>
    </row>
    <row r="6176" spans="5:13">
      <c r="E6176" s="668"/>
      <c r="F6176" s="668"/>
      <c r="G6176" s="668"/>
      <c r="H6176" s="668"/>
      <c r="I6176" s="668"/>
      <c r="J6176" s="668"/>
      <c r="K6176" s="668"/>
      <c r="L6176" s="668"/>
      <c r="M6176" s="668"/>
    </row>
    <row r="6177" spans="5:13">
      <c r="E6177" s="668"/>
      <c r="F6177" s="668"/>
      <c r="G6177" s="668"/>
      <c r="H6177" s="668"/>
      <c r="I6177" s="668"/>
      <c r="J6177" s="668"/>
      <c r="K6177" s="668"/>
      <c r="L6177" s="668"/>
      <c r="M6177" s="668"/>
    </row>
    <row r="6178" spans="5:13">
      <c r="E6178" s="668"/>
      <c r="F6178" s="668"/>
      <c r="G6178" s="668"/>
      <c r="H6178" s="668"/>
      <c r="I6178" s="668"/>
      <c r="J6178" s="668"/>
      <c r="K6178" s="668"/>
      <c r="L6178" s="668"/>
      <c r="M6178" s="668"/>
    </row>
    <row r="6179" spans="5:13">
      <c r="E6179" s="668"/>
      <c r="F6179" s="668"/>
      <c r="G6179" s="668"/>
      <c r="H6179" s="668"/>
      <c r="I6179" s="668"/>
      <c r="J6179" s="668"/>
      <c r="K6179" s="668"/>
      <c r="L6179" s="668"/>
      <c r="M6179" s="668"/>
    </row>
    <row r="6180" spans="5:13">
      <c r="E6180" s="668"/>
      <c r="F6180" s="668"/>
      <c r="G6180" s="668"/>
      <c r="H6180" s="668"/>
      <c r="I6180" s="668"/>
      <c r="J6180" s="668"/>
      <c r="K6180" s="668"/>
      <c r="L6180" s="668"/>
      <c r="M6180" s="668"/>
    </row>
    <row r="6181" spans="5:13">
      <c r="E6181" s="668"/>
      <c r="F6181" s="668"/>
      <c r="G6181" s="668"/>
      <c r="H6181" s="668"/>
      <c r="I6181" s="668"/>
      <c r="J6181" s="668"/>
      <c r="K6181" s="668"/>
      <c r="L6181" s="668"/>
      <c r="M6181" s="668"/>
    </row>
    <row r="6182" spans="5:13">
      <c r="E6182" s="668"/>
      <c r="F6182" s="668"/>
      <c r="G6182" s="668"/>
      <c r="H6182" s="668"/>
      <c r="I6182" s="668"/>
      <c r="J6182" s="668"/>
      <c r="K6182" s="668"/>
      <c r="L6182" s="668"/>
      <c r="M6182" s="668"/>
    </row>
    <row r="6183" spans="5:13">
      <c r="E6183" s="668"/>
      <c r="F6183" s="668"/>
      <c r="G6183" s="668"/>
      <c r="H6183" s="668"/>
      <c r="I6183" s="668"/>
      <c r="J6183" s="668"/>
      <c r="K6183" s="668"/>
      <c r="L6183" s="668"/>
      <c r="M6183" s="668"/>
    </row>
    <row r="6184" spans="5:13">
      <c r="E6184" s="668"/>
      <c r="F6184" s="668"/>
      <c r="G6184" s="668"/>
      <c r="H6184" s="668"/>
      <c r="I6184" s="668"/>
      <c r="J6184" s="668"/>
      <c r="K6184" s="668"/>
      <c r="L6184" s="668"/>
      <c r="M6184" s="668"/>
    </row>
    <row r="6185" spans="5:13">
      <c r="E6185" s="668"/>
      <c r="F6185" s="668"/>
      <c r="G6185" s="668"/>
      <c r="H6185" s="668"/>
      <c r="I6185" s="668"/>
      <c r="J6185" s="668"/>
      <c r="K6185" s="668"/>
      <c r="L6185" s="668"/>
      <c r="M6185" s="668"/>
    </row>
    <row r="6186" spans="5:13">
      <c r="E6186" s="668"/>
      <c r="F6186" s="668"/>
      <c r="G6186" s="668"/>
      <c r="H6186" s="668"/>
      <c r="I6186" s="668"/>
      <c r="J6186" s="668"/>
      <c r="K6186" s="668"/>
      <c r="L6186" s="668"/>
      <c r="M6186" s="668"/>
    </row>
    <row r="6187" spans="5:13">
      <c r="E6187" s="668"/>
      <c r="F6187" s="668"/>
      <c r="G6187" s="668"/>
      <c r="H6187" s="668"/>
      <c r="I6187" s="668"/>
      <c r="J6187" s="668"/>
      <c r="K6187" s="668"/>
      <c r="L6187" s="668"/>
      <c r="M6187" s="668"/>
    </row>
    <row r="6188" spans="5:13">
      <c r="E6188" s="668"/>
      <c r="F6188" s="668"/>
      <c r="G6188" s="668"/>
      <c r="H6188" s="668"/>
      <c r="I6188" s="668"/>
      <c r="J6188" s="668"/>
      <c r="K6188" s="668"/>
      <c r="L6188" s="668"/>
      <c r="M6188" s="668"/>
    </row>
    <row r="6189" spans="5:13">
      <c r="E6189" s="668"/>
      <c r="F6189" s="668"/>
      <c r="G6189" s="668"/>
      <c r="H6189" s="668"/>
      <c r="I6189" s="668"/>
      <c r="J6189" s="668"/>
      <c r="K6189" s="668"/>
      <c r="L6189" s="668"/>
      <c r="M6189" s="668"/>
    </row>
    <row r="6190" spans="5:13">
      <c r="E6190" s="668"/>
      <c r="F6190" s="668"/>
      <c r="G6190" s="668"/>
      <c r="H6190" s="668"/>
      <c r="I6190" s="668"/>
      <c r="J6190" s="668"/>
      <c r="K6190" s="668"/>
      <c r="L6190" s="668"/>
      <c r="M6190" s="668"/>
    </row>
    <row r="6191" spans="5:13">
      <c r="E6191" s="668"/>
      <c r="F6191" s="668"/>
      <c r="G6191" s="668"/>
      <c r="H6191" s="668"/>
      <c r="I6191" s="668"/>
      <c r="J6191" s="668"/>
      <c r="K6191" s="668"/>
      <c r="L6191" s="668"/>
      <c r="M6191" s="668"/>
    </row>
    <row r="6192" spans="5:13">
      <c r="E6192" s="668"/>
      <c r="F6192" s="668"/>
      <c r="G6192" s="668"/>
      <c r="H6192" s="668"/>
      <c r="I6192" s="668"/>
      <c r="J6192" s="668"/>
      <c r="K6192" s="668"/>
      <c r="L6192" s="668"/>
      <c r="M6192" s="668"/>
    </row>
    <row r="6193" spans="5:13">
      <c r="E6193" s="668"/>
      <c r="F6193" s="668"/>
      <c r="G6193" s="668"/>
      <c r="H6193" s="668"/>
      <c r="I6193" s="668"/>
      <c r="J6193" s="668"/>
      <c r="K6193" s="668"/>
      <c r="L6193" s="668"/>
      <c r="M6193" s="668"/>
    </row>
    <row r="6194" spans="5:13">
      <c r="E6194" s="668"/>
      <c r="F6194" s="668"/>
      <c r="G6194" s="668"/>
      <c r="H6194" s="668"/>
      <c r="I6194" s="668"/>
      <c r="J6194" s="668"/>
      <c r="K6194" s="668"/>
      <c r="L6194" s="668"/>
      <c r="M6194" s="668"/>
    </row>
    <row r="6195" spans="5:13">
      <c r="E6195" s="668"/>
      <c r="F6195" s="668"/>
      <c r="G6195" s="668"/>
      <c r="H6195" s="668"/>
      <c r="I6195" s="668"/>
      <c r="J6195" s="668"/>
      <c r="K6195" s="668"/>
      <c r="L6195" s="668"/>
      <c r="M6195" s="668"/>
    </row>
    <row r="6196" spans="5:13">
      <c r="E6196" s="668"/>
      <c r="F6196" s="668"/>
      <c r="G6196" s="668"/>
      <c r="H6196" s="668"/>
      <c r="I6196" s="668"/>
      <c r="J6196" s="668"/>
      <c r="K6196" s="668"/>
      <c r="L6196" s="668"/>
      <c r="M6196" s="668"/>
    </row>
    <row r="6197" spans="5:13">
      <c r="E6197" s="668"/>
      <c r="F6197" s="668"/>
      <c r="G6197" s="668"/>
      <c r="H6197" s="668"/>
      <c r="I6197" s="668"/>
      <c r="J6197" s="668"/>
      <c r="K6197" s="668"/>
      <c r="L6197" s="668"/>
      <c r="M6197" s="668"/>
    </row>
    <row r="6198" spans="5:13">
      <c r="E6198" s="668"/>
      <c r="F6198" s="668"/>
      <c r="G6198" s="668"/>
      <c r="H6198" s="668"/>
      <c r="I6198" s="668"/>
      <c r="J6198" s="668"/>
      <c r="K6198" s="668"/>
      <c r="L6198" s="668"/>
      <c r="M6198" s="668"/>
    </row>
    <row r="6199" spans="5:13">
      <c r="E6199" s="668"/>
      <c r="F6199" s="668"/>
      <c r="G6199" s="668"/>
      <c r="H6199" s="668"/>
      <c r="I6199" s="668"/>
      <c r="J6199" s="668"/>
      <c r="K6199" s="668"/>
      <c r="L6199" s="668"/>
      <c r="M6199" s="668"/>
    </row>
    <row r="6200" spans="5:13">
      <c r="E6200" s="668"/>
      <c r="F6200" s="668"/>
      <c r="G6200" s="668"/>
      <c r="H6200" s="668"/>
      <c r="I6200" s="668"/>
      <c r="J6200" s="668"/>
      <c r="K6200" s="668"/>
      <c r="L6200" s="668"/>
      <c r="M6200" s="668"/>
    </row>
    <row r="6201" spans="5:13">
      <c r="E6201" s="668"/>
      <c r="F6201" s="668"/>
      <c r="G6201" s="668"/>
      <c r="H6201" s="668"/>
      <c r="I6201" s="668"/>
      <c r="J6201" s="668"/>
      <c r="K6201" s="668"/>
      <c r="L6201" s="668"/>
      <c r="M6201" s="668"/>
    </row>
    <row r="6202" spans="5:13">
      <c r="E6202" s="668"/>
      <c r="F6202" s="668"/>
      <c r="G6202" s="668"/>
      <c r="H6202" s="668"/>
      <c r="I6202" s="668"/>
      <c r="J6202" s="668"/>
      <c r="K6202" s="668"/>
      <c r="L6202" s="668"/>
      <c r="M6202" s="668"/>
    </row>
    <row r="6203" spans="5:13">
      <c r="E6203" s="668"/>
      <c r="F6203" s="668"/>
      <c r="G6203" s="668"/>
      <c r="H6203" s="668"/>
      <c r="I6203" s="668"/>
      <c r="J6203" s="668"/>
      <c r="K6203" s="668"/>
      <c r="L6203" s="668"/>
      <c r="M6203" s="668"/>
    </row>
    <row r="6204" spans="5:13">
      <c r="E6204" s="668"/>
      <c r="F6204" s="668"/>
      <c r="G6204" s="668"/>
      <c r="H6204" s="668"/>
      <c r="I6204" s="668"/>
      <c r="J6204" s="668"/>
      <c r="K6204" s="668"/>
      <c r="L6204" s="668"/>
      <c r="M6204" s="668"/>
    </row>
    <row r="6205" spans="5:13">
      <c r="E6205" s="668"/>
      <c r="F6205" s="668"/>
      <c r="G6205" s="668"/>
      <c r="H6205" s="668"/>
      <c r="I6205" s="668"/>
      <c r="J6205" s="668"/>
      <c r="K6205" s="668"/>
      <c r="L6205" s="668"/>
      <c r="M6205" s="668"/>
    </row>
    <row r="6206" spans="5:13">
      <c r="E6206" s="668"/>
      <c r="F6206" s="668"/>
      <c r="G6206" s="668"/>
      <c r="H6206" s="668"/>
      <c r="I6206" s="668"/>
      <c r="J6206" s="668"/>
      <c r="K6206" s="668"/>
      <c r="L6206" s="668"/>
      <c r="M6206" s="668"/>
    </row>
    <row r="6207" spans="5:13">
      <c r="E6207" s="668"/>
      <c r="F6207" s="668"/>
      <c r="G6207" s="668"/>
      <c r="H6207" s="668"/>
      <c r="I6207" s="668"/>
      <c r="J6207" s="668"/>
      <c r="K6207" s="668"/>
      <c r="L6207" s="668"/>
      <c r="M6207" s="668"/>
    </row>
    <row r="6208" spans="5:13">
      <c r="E6208" s="668"/>
      <c r="F6208" s="668"/>
      <c r="G6208" s="668"/>
      <c r="H6208" s="668"/>
      <c r="I6208" s="668"/>
      <c r="J6208" s="668"/>
      <c r="K6208" s="668"/>
      <c r="L6208" s="668"/>
      <c r="M6208" s="668"/>
    </row>
    <row r="6209" spans="5:13">
      <c r="E6209" s="668"/>
      <c r="F6209" s="668"/>
      <c r="G6209" s="668"/>
      <c r="H6209" s="668"/>
      <c r="I6209" s="668"/>
      <c r="J6209" s="668"/>
      <c r="K6209" s="668"/>
      <c r="L6209" s="668"/>
      <c r="M6209" s="668"/>
    </row>
    <row r="6210" spans="5:13">
      <c r="E6210" s="668"/>
      <c r="F6210" s="668"/>
      <c r="G6210" s="668"/>
      <c r="H6210" s="668"/>
      <c r="I6210" s="668"/>
      <c r="J6210" s="668"/>
      <c r="K6210" s="668"/>
      <c r="L6210" s="668"/>
      <c r="M6210" s="668"/>
    </row>
    <row r="6211" spans="5:13">
      <c r="E6211" s="668"/>
      <c r="F6211" s="668"/>
      <c r="G6211" s="668"/>
      <c r="H6211" s="668"/>
      <c r="I6211" s="668"/>
      <c r="J6211" s="668"/>
      <c r="K6211" s="668"/>
      <c r="L6211" s="668"/>
      <c r="M6211" s="668"/>
    </row>
    <row r="6212" spans="5:13">
      <c r="E6212" s="668"/>
      <c r="F6212" s="668"/>
      <c r="G6212" s="668"/>
      <c r="H6212" s="668"/>
      <c r="I6212" s="668"/>
      <c r="J6212" s="668"/>
      <c r="K6212" s="668"/>
      <c r="L6212" s="668"/>
      <c r="M6212" s="668"/>
    </row>
    <row r="6213" spans="5:13">
      <c r="E6213" s="668"/>
      <c r="F6213" s="668"/>
      <c r="G6213" s="668"/>
      <c r="H6213" s="668"/>
      <c r="I6213" s="668"/>
      <c r="J6213" s="668"/>
      <c r="K6213" s="668"/>
      <c r="L6213" s="668"/>
      <c r="M6213" s="668"/>
    </row>
    <row r="6214" spans="5:13">
      <c r="E6214" s="668"/>
      <c r="F6214" s="668"/>
      <c r="G6214" s="668"/>
      <c r="H6214" s="668"/>
      <c r="I6214" s="668"/>
      <c r="J6214" s="668"/>
      <c r="K6214" s="668"/>
      <c r="L6214" s="668"/>
      <c r="M6214" s="668"/>
    </row>
    <row r="6215" spans="5:13">
      <c r="E6215" s="668"/>
      <c r="F6215" s="668"/>
      <c r="G6215" s="668"/>
      <c r="H6215" s="668"/>
      <c r="I6215" s="668"/>
      <c r="J6215" s="668"/>
      <c r="K6215" s="668"/>
      <c r="L6215" s="668"/>
      <c r="M6215" s="668"/>
    </row>
    <row r="6216" spans="5:13">
      <c r="E6216" s="668"/>
      <c r="F6216" s="668"/>
      <c r="G6216" s="668"/>
      <c r="H6216" s="668"/>
      <c r="I6216" s="668"/>
      <c r="J6216" s="668"/>
      <c r="K6216" s="668"/>
      <c r="L6216" s="668"/>
      <c r="M6216" s="668"/>
    </row>
    <row r="6217" spans="5:13">
      <c r="E6217" s="668"/>
      <c r="F6217" s="668"/>
      <c r="G6217" s="668"/>
      <c r="H6217" s="668"/>
      <c r="I6217" s="668"/>
      <c r="J6217" s="668"/>
      <c r="K6217" s="668"/>
      <c r="L6217" s="668"/>
      <c r="M6217" s="668"/>
    </row>
    <row r="6218" spans="5:13">
      <c r="E6218" s="668"/>
      <c r="F6218" s="668"/>
      <c r="G6218" s="668"/>
      <c r="H6218" s="668"/>
      <c r="I6218" s="668"/>
      <c r="J6218" s="668"/>
      <c r="K6218" s="668"/>
      <c r="L6218" s="668"/>
      <c r="M6218" s="668"/>
    </row>
    <row r="6219" spans="5:13">
      <c r="E6219" s="668"/>
      <c r="F6219" s="668"/>
      <c r="G6219" s="668"/>
      <c r="H6219" s="668"/>
      <c r="I6219" s="668"/>
      <c r="J6219" s="668"/>
      <c r="K6219" s="668"/>
      <c r="L6219" s="668"/>
      <c r="M6219" s="668"/>
    </row>
    <row r="6220" spans="5:13">
      <c r="E6220" s="668"/>
      <c r="F6220" s="668"/>
      <c r="G6220" s="668"/>
      <c r="H6220" s="668"/>
      <c r="I6220" s="668"/>
      <c r="J6220" s="668"/>
      <c r="K6220" s="668"/>
      <c r="L6220" s="668"/>
      <c r="M6220" s="668"/>
    </row>
    <row r="6221" spans="5:13">
      <c r="E6221" s="668"/>
      <c r="F6221" s="668"/>
      <c r="G6221" s="668"/>
      <c r="H6221" s="668"/>
      <c r="I6221" s="668"/>
      <c r="J6221" s="668"/>
      <c r="K6221" s="668"/>
      <c r="L6221" s="668"/>
      <c r="M6221" s="668"/>
    </row>
    <row r="6222" spans="5:13">
      <c r="E6222" s="668"/>
      <c r="F6222" s="668"/>
      <c r="G6222" s="668"/>
      <c r="H6222" s="668"/>
      <c r="I6222" s="668"/>
      <c r="J6222" s="668"/>
      <c r="K6222" s="668"/>
      <c r="L6222" s="668"/>
      <c r="M6222" s="668"/>
    </row>
    <row r="6223" spans="5:13">
      <c r="E6223" s="668"/>
      <c r="F6223" s="668"/>
      <c r="G6223" s="668"/>
      <c r="H6223" s="668"/>
      <c r="I6223" s="668"/>
      <c r="J6223" s="668"/>
      <c r="K6223" s="668"/>
      <c r="L6223" s="668"/>
      <c r="M6223" s="668"/>
    </row>
    <row r="6224" spans="5:13">
      <c r="E6224" s="668"/>
      <c r="F6224" s="668"/>
      <c r="G6224" s="668"/>
      <c r="H6224" s="668"/>
      <c r="I6224" s="668"/>
      <c r="J6224" s="668"/>
      <c r="K6224" s="668"/>
      <c r="L6224" s="668"/>
      <c r="M6224" s="668"/>
    </row>
    <row r="6225" spans="5:13">
      <c r="E6225" s="668"/>
      <c r="F6225" s="668"/>
      <c r="G6225" s="668"/>
      <c r="H6225" s="668"/>
      <c r="I6225" s="668"/>
      <c r="J6225" s="668"/>
      <c r="K6225" s="668"/>
      <c r="L6225" s="668"/>
      <c r="M6225" s="668"/>
    </row>
    <row r="6226" spans="5:13">
      <c r="E6226" s="668"/>
      <c r="F6226" s="668"/>
      <c r="G6226" s="668"/>
      <c r="H6226" s="668"/>
      <c r="I6226" s="668"/>
      <c r="J6226" s="668"/>
      <c r="K6226" s="668"/>
      <c r="L6226" s="668"/>
      <c r="M6226" s="668"/>
    </row>
    <row r="6227" spans="5:13">
      <c r="E6227" s="668"/>
      <c r="F6227" s="668"/>
      <c r="G6227" s="668"/>
      <c r="H6227" s="668"/>
      <c r="I6227" s="668"/>
      <c r="J6227" s="668"/>
      <c r="K6227" s="668"/>
      <c r="L6227" s="668"/>
      <c r="M6227" s="668"/>
    </row>
    <row r="6228" spans="5:13">
      <c r="E6228" s="668"/>
      <c r="F6228" s="668"/>
      <c r="G6228" s="668"/>
      <c r="H6228" s="668"/>
      <c r="I6228" s="668"/>
      <c r="J6228" s="668"/>
      <c r="K6228" s="668"/>
      <c r="L6228" s="668"/>
      <c r="M6228" s="668"/>
    </row>
    <row r="6229" spans="5:13">
      <c r="E6229" s="668"/>
      <c r="F6229" s="668"/>
      <c r="G6229" s="668"/>
      <c r="H6229" s="668"/>
      <c r="I6229" s="668"/>
      <c r="J6229" s="668"/>
      <c r="K6229" s="668"/>
      <c r="L6229" s="668"/>
      <c r="M6229" s="668"/>
    </row>
    <row r="6230" spans="5:13">
      <c r="E6230" s="668"/>
      <c r="F6230" s="668"/>
      <c r="G6230" s="668"/>
      <c r="H6230" s="668"/>
      <c r="I6230" s="668"/>
      <c r="J6230" s="668"/>
      <c r="K6230" s="668"/>
      <c r="L6230" s="668"/>
      <c r="M6230" s="668"/>
    </row>
    <row r="6231" spans="5:13">
      <c r="E6231" s="668"/>
      <c r="F6231" s="668"/>
      <c r="G6231" s="668"/>
      <c r="H6231" s="668"/>
      <c r="I6231" s="668"/>
      <c r="J6231" s="668"/>
      <c r="K6231" s="668"/>
      <c r="L6231" s="668"/>
      <c r="M6231" s="668"/>
    </row>
    <row r="6232" spans="5:13">
      <c r="E6232" s="668"/>
      <c r="F6232" s="668"/>
      <c r="G6232" s="668"/>
      <c r="H6232" s="668"/>
      <c r="I6232" s="668"/>
      <c r="J6232" s="668"/>
      <c r="K6232" s="668"/>
      <c r="L6232" s="668"/>
      <c r="M6232" s="668"/>
    </row>
    <row r="6233" spans="5:13">
      <c r="E6233" s="668"/>
      <c r="F6233" s="668"/>
      <c r="G6233" s="668"/>
      <c r="H6233" s="668"/>
      <c r="I6233" s="668"/>
      <c r="J6233" s="668"/>
      <c r="K6233" s="668"/>
      <c r="L6233" s="668"/>
      <c r="M6233" s="668"/>
    </row>
    <row r="6234" spans="5:13">
      <c r="E6234" s="668"/>
      <c r="F6234" s="668"/>
      <c r="G6234" s="668"/>
      <c r="H6234" s="668"/>
      <c r="I6234" s="668"/>
      <c r="J6234" s="668"/>
      <c r="K6234" s="668"/>
      <c r="L6234" s="668"/>
      <c r="M6234" s="668"/>
    </row>
    <row r="6235" spans="5:13">
      <c r="E6235" s="668"/>
      <c r="F6235" s="668"/>
      <c r="G6235" s="668"/>
      <c r="H6235" s="668"/>
      <c r="I6235" s="668"/>
      <c r="J6235" s="668"/>
      <c r="K6235" s="668"/>
      <c r="L6235" s="668"/>
      <c r="M6235" s="668"/>
    </row>
    <row r="6236" spans="5:13">
      <c r="E6236" s="668"/>
      <c r="F6236" s="668"/>
      <c r="G6236" s="668"/>
      <c r="H6236" s="668"/>
      <c r="I6236" s="668"/>
      <c r="J6236" s="668"/>
      <c r="K6236" s="668"/>
      <c r="L6236" s="668"/>
      <c r="M6236" s="668"/>
    </row>
    <row r="6237" spans="5:13">
      <c r="E6237" s="668"/>
      <c r="F6237" s="668"/>
      <c r="G6237" s="668"/>
      <c r="H6237" s="668"/>
      <c r="I6237" s="668"/>
      <c r="J6237" s="668"/>
      <c r="K6237" s="668"/>
      <c r="L6237" s="668"/>
      <c r="M6237" s="668"/>
    </row>
    <row r="6238" spans="5:13">
      <c r="E6238" s="668"/>
      <c r="F6238" s="668"/>
      <c r="G6238" s="668"/>
      <c r="H6238" s="668"/>
      <c r="I6238" s="668"/>
      <c r="J6238" s="668"/>
      <c r="K6238" s="668"/>
      <c r="L6238" s="668"/>
      <c r="M6238" s="668"/>
    </row>
    <row r="6239" spans="5:13">
      <c r="E6239" s="668"/>
      <c r="F6239" s="668"/>
      <c r="G6239" s="668"/>
      <c r="H6239" s="668"/>
      <c r="I6239" s="668"/>
      <c r="J6239" s="668"/>
      <c r="K6239" s="668"/>
      <c r="L6239" s="668"/>
      <c r="M6239" s="668"/>
    </row>
    <row r="6240" spans="5:13">
      <c r="E6240" s="668"/>
      <c r="F6240" s="668"/>
      <c r="G6240" s="668"/>
      <c r="H6240" s="668"/>
      <c r="I6240" s="668"/>
      <c r="J6240" s="668"/>
      <c r="K6240" s="668"/>
      <c r="L6240" s="668"/>
      <c r="M6240" s="668"/>
    </row>
    <row r="6241" spans="5:13">
      <c r="E6241" s="668"/>
      <c r="F6241" s="668"/>
      <c r="G6241" s="668"/>
      <c r="H6241" s="668"/>
      <c r="I6241" s="668"/>
      <c r="J6241" s="668"/>
      <c r="K6241" s="668"/>
      <c r="L6241" s="668"/>
      <c r="M6241" s="668"/>
    </row>
    <row r="6242" spans="5:13">
      <c r="E6242" s="668"/>
      <c r="F6242" s="668"/>
      <c r="G6242" s="668"/>
      <c r="H6242" s="668"/>
      <c r="I6242" s="668"/>
      <c r="J6242" s="668"/>
      <c r="K6242" s="668"/>
      <c r="L6242" s="668"/>
      <c r="M6242" s="668"/>
    </row>
    <row r="6243" spans="5:13">
      <c r="E6243" s="668"/>
      <c r="F6243" s="668"/>
      <c r="G6243" s="668"/>
      <c r="H6243" s="668"/>
      <c r="I6243" s="668"/>
      <c r="J6243" s="668"/>
      <c r="K6243" s="668"/>
      <c r="L6243" s="668"/>
      <c r="M6243" s="668"/>
    </row>
    <row r="6244" spans="5:13">
      <c r="E6244" s="668"/>
      <c r="F6244" s="668"/>
      <c r="G6244" s="668"/>
      <c r="H6244" s="668"/>
      <c r="I6244" s="668"/>
      <c r="J6244" s="668"/>
      <c r="K6244" s="668"/>
      <c r="L6244" s="668"/>
      <c r="M6244" s="668"/>
    </row>
    <row r="6245" spans="5:13">
      <c r="E6245" s="668"/>
      <c r="F6245" s="668"/>
      <c r="G6245" s="668"/>
      <c r="H6245" s="668"/>
      <c r="I6245" s="668"/>
      <c r="J6245" s="668"/>
      <c r="K6245" s="668"/>
      <c r="L6245" s="668"/>
      <c r="M6245" s="668"/>
    </row>
    <row r="6246" spans="5:13">
      <c r="E6246" s="668"/>
      <c r="F6246" s="668"/>
      <c r="G6246" s="668"/>
      <c r="H6246" s="668"/>
      <c r="I6246" s="668"/>
      <c r="J6246" s="668"/>
      <c r="K6246" s="668"/>
      <c r="L6246" s="668"/>
      <c r="M6246" s="668"/>
    </row>
    <row r="6247" spans="5:13">
      <c r="E6247" s="668"/>
      <c r="F6247" s="668"/>
      <c r="G6247" s="668"/>
      <c r="H6247" s="668"/>
      <c r="I6247" s="668"/>
      <c r="J6247" s="668"/>
      <c r="K6247" s="668"/>
      <c r="L6247" s="668"/>
      <c r="M6247" s="668"/>
    </row>
    <row r="6248" spans="5:13">
      <c r="E6248" s="668"/>
      <c r="F6248" s="668"/>
      <c r="G6248" s="668"/>
      <c r="H6248" s="668"/>
      <c r="I6248" s="668"/>
      <c r="J6248" s="668"/>
      <c r="K6248" s="668"/>
      <c r="L6248" s="668"/>
      <c r="M6248" s="668"/>
    </row>
    <row r="6249" spans="5:13">
      <c r="E6249" s="668"/>
      <c r="F6249" s="668"/>
      <c r="G6249" s="668"/>
      <c r="H6249" s="668"/>
      <c r="I6249" s="668"/>
      <c r="J6249" s="668"/>
      <c r="K6249" s="668"/>
      <c r="L6249" s="668"/>
      <c r="M6249" s="668"/>
    </row>
    <row r="6250" spans="5:13">
      <c r="E6250" s="668"/>
      <c r="F6250" s="668"/>
      <c r="G6250" s="668"/>
      <c r="H6250" s="668"/>
      <c r="I6250" s="668"/>
      <c r="J6250" s="668"/>
      <c r="K6250" s="668"/>
      <c r="L6250" s="668"/>
      <c r="M6250" s="668"/>
    </row>
    <row r="6251" spans="5:13">
      <c r="E6251" s="668"/>
      <c r="F6251" s="668"/>
      <c r="G6251" s="668"/>
      <c r="H6251" s="668"/>
      <c r="I6251" s="668"/>
      <c r="J6251" s="668"/>
      <c r="K6251" s="668"/>
      <c r="L6251" s="668"/>
      <c r="M6251" s="668"/>
    </row>
    <row r="6252" spans="5:13">
      <c r="E6252" s="668"/>
      <c r="F6252" s="668"/>
      <c r="G6252" s="668"/>
      <c r="H6252" s="668"/>
      <c r="I6252" s="668"/>
      <c r="J6252" s="668"/>
      <c r="K6252" s="668"/>
      <c r="L6252" s="668"/>
      <c r="M6252" s="668"/>
    </row>
    <row r="6253" spans="5:13">
      <c r="E6253" s="668"/>
      <c r="F6253" s="668"/>
      <c r="G6253" s="668"/>
      <c r="H6253" s="668"/>
      <c r="I6253" s="668"/>
      <c r="J6253" s="668"/>
      <c r="K6253" s="668"/>
      <c r="L6253" s="668"/>
      <c r="M6253" s="668"/>
    </row>
    <row r="6254" spans="5:13">
      <c r="E6254" s="668"/>
      <c r="F6254" s="668"/>
      <c r="G6254" s="668"/>
      <c r="H6254" s="668"/>
      <c r="I6254" s="668"/>
      <c r="J6254" s="668"/>
      <c r="K6254" s="668"/>
      <c r="L6254" s="668"/>
      <c r="M6254" s="668"/>
    </row>
    <row r="6255" spans="5:13">
      <c r="E6255" s="668"/>
      <c r="F6255" s="668"/>
      <c r="G6255" s="668"/>
      <c r="H6255" s="668"/>
      <c r="I6255" s="668"/>
      <c r="J6255" s="668"/>
      <c r="K6255" s="668"/>
      <c r="L6255" s="668"/>
      <c r="M6255" s="668"/>
    </row>
    <row r="6256" spans="5:13">
      <c r="E6256" s="668"/>
      <c r="F6256" s="668"/>
      <c r="G6256" s="668"/>
      <c r="H6256" s="668"/>
      <c r="I6256" s="668"/>
      <c r="J6256" s="668"/>
      <c r="K6256" s="668"/>
      <c r="L6256" s="668"/>
      <c r="M6256" s="668"/>
    </row>
    <row r="6257" spans="5:13">
      <c r="E6257" s="668"/>
      <c r="F6257" s="668"/>
      <c r="G6257" s="668"/>
      <c r="H6257" s="668"/>
      <c r="I6257" s="668"/>
      <c r="J6257" s="668"/>
      <c r="K6257" s="668"/>
      <c r="L6257" s="668"/>
      <c r="M6257" s="668"/>
    </row>
    <row r="6258" spans="5:13">
      <c r="E6258" s="668"/>
      <c r="F6258" s="668"/>
      <c r="G6258" s="668"/>
      <c r="H6258" s="668"/>
      <c r="I6258" s="668"/>
      <c r="J6258" s="668"/>
      <c r="K6258" s="668"/>
      <c r="L6258" s="668"/>
      <c r="M6258" s="668"/>
    </row>
    <row r="6259" spans="5:13">
      <c r="E6259" s="668"/>
      <c r="F6259" s="668"/>
      <c r="G6259" s="668"/>
      <c r="H6259" s="668"/>
      <c r="I6259" s="668"/>
      <c r="J6259" s="668"/>
      <c r="K6259" s="668"/>
      <c r="L6259" s="668"/>
      <c r="M6259" s="668"/>
    </row>
    <row r="6260" spans="5:13">
      <c r="E6260" s="668"/>
      <c r="F6260" s="668"/>
      <c r="G6260" s="668"/>
      <c r="H6260" s="668"/>
      <c r="I6260" s="668"/>
      <c r="J6260" s="668"/>
      <c r="K6260" s="668"/>
      <c r="L6260" s="668"/>
      <c r="M6260" s="668"/>
    </row>
    <row r="6261" spans="5:13">
      <c r="E6261" s="668"/>
      <c r="F6261" s="668"/>
      <c r="G6261" s="668"/>
      <c r="H6261" s="668"/>
      <c r="I6261" s="668"/>
      <c r="J6261" s="668"/>
      <c r="K6261" s="668"/>
      <c r="L6261" s="668"/>
      <c r="M6261" s="668"/>
    </row>
    <row r="6262" spans="5:13">
      <c r="E6262" s="668"/>
      <c r="F6262" s="668"/>
      <c r="G6262" s="668"/>
      <c r="H6262" s="668"/>
      <c r="I6262" s="668"/>
      <c r="J6262" s="668"/>
      <c r="K6262" s="668"/>
      <c r="L6262" s="668"/>
      <c r="M6262" s="668"/>
    </row>
    <row r="6263" spans="5:13">
      <c r="E6263" s="668"/>
      <c r="F6263" s="668"/>
      <c r="G6263" s="668"/>
      <c r="H6263" s="668"/>
      <c r="I6263" s="668"/>
      <c r="J6263" s="668"/>
      <c r="K6263" s="668"/>
      <c r="L6263" s="668"/>
      <c r="M6263" s="668"/>
    </row>
    <row r="6264" spans="5:13">
      <c r="E6264" s="668"/>
      <c r="F6264" s="668"/>
      <c r="G6264" s="668"/>
      <c r="H6264" s="668"/>
      <c r="I6264" s="668"/>
      <c r="J6264" s="668"/>
      <c r="K6264" s="668"/>
      <c r="L6264" s="668"/>
      <c r="M6264" s="668"/>
    </row>
    <row r="6265" spans="5:13">
      <c r="E6265" s="668"/>
      <c r="F6265" s="668"/>
      <c r="G6265" s="668"/>
      <c r="H6265" s="668"/>
      <c r="I6265" s="668"/>
      <c r="J6265" s="668"/>
      <c r="K6265" s="668"/>
      <c r="L6265" s="668"/>
      <c r="M6265" s="668"/>
    </row>
    <row r="6266" spans="5:13">
      <c r="E6266" s="668"/>
      <c r="F6266" s="668"/>
      <c r="G6266" s="668"/>
      <c r="H6266" s="668"/>
      <c r="I6266" s="668"/>
      <c r="J6266" s="668"/>
      <c r="K6266" s="668"/>
      <c r="L6266" s="668"/>
      <c r="M6266" s="668"/>
    </row>
    <row r="6267" spans="5:13">
      <c r="E6267" s="668"/>
      <c r="F6267" s="668"/>
      <c r="G6267" s="668"/>
      <c r="H6267" s="668"/>
      <c r="I6267" s="668"/>
      <c r="J6267" s="668"/>
      <c r="K6267" s="668"/>
      <c r="L6267" s="668"/>
      <c r="M6267" s="668"/>
    </row>
    <row r="6268" spans="5:13">
      <c r="E6268" s="668"/>
      <c r="F6268" s="668"/>
      <c r="G6268" s="668"/>
      <c r="H6268" s="668"/>
      <c r="I6268" s="668"/>
      <c r="J6268" s="668"/>
      <c r="K6268" s="668"/>
      <c r="L6268" s="668"/>
      <c r="M6268" s="668"/>
    </row>
    <row r="6269" spans="5:13">
      <c r="E6269" s="668"/>
      <c r="F6269" s="668"/>
      <c r="G6269" s="668"/>
      <c r="H6269" s="668"/>
      <c r="I6269" s="668"/>
      <c r="J6269" s="668"/>
      <c r="K6269" s="668"/>
      <c r="L6269" s="668"/>
      <c r="M6269" s="668"/>
    </row>
    <row r="6270" spans="5:13">
      <c r="E6270" s="668"/>
      <c r="F6270" s="668"/>
      <c r="G6270" s="668"/>
      <c r="H6270" s="668"/>
      <c r="I6270" s="668"/>
      <c r="J6270" s="668"/>
      <c r="K6270" s="668"/>
      <c r="L6270" s="668"/>
      <c r="M6270" s="668"/>
    </row>
    <row r="6271" spans="5:13">
      <c r="E6271" s="668"/>
      <c r="F6271" s="668"/>
      <c r="G6271" s="668"/>
      <c r="H6271" s="668"/>
      <c r="I6271" s="668"/>
      <c r="J6271" s="668"/>
      <c r="K6271" s="668"/>
      <c r="L6271" s="668"/>
      <c r="M6271" s="668"/>
    </row>
    <row r="6272" spans="5:13">
      <c r="E6272" s="668"/>
      <c r="F6272" s="668"/>
      <c r="G6272" s="668"/>
      <c r="H6272" s="668"/>
      <c r="I6272" s="668"/>
      <c r="J6272" s="668"/>
      <c r="K6272" s="668"/>
      <c r="L6272" s="668"/>
      <c r="M6272" s="668"/>
    </row>
    <row r="6273" spans="5:13">
      <c r="E6273" s="668"/>
      <c r="F6273" s="668"/>
      <c r="G6273" s="668"/>
      <c r="H6273" s="668"/>
      <c r="I6273" s="668"/>
      <c r="J6273" s="668"/>
      <c r="K6273" s="668"/>
      <c r="L6273" s="668"/>
      <c r="M6273" s="668"/>
    </row>
    <row r="6274" spans="5:13">
      <c r="E6274" s="668"/>
      <c r="F6274" s="668"/>
      <c r="G6274" s="668"/>
      <c r="H6274" s="668"/>
      <c r="I6274" s="668"/>
      <c r="J6274" s="668"/>
      <c r="K6274" s="668"/>
      <c r="L6274" s="668"/>
      <c r="M6274" s="668"/>
    </row>
    <row r="6275" spans="5:13">
      <c r="E6275" s="668"/>
      <c r="F6275" s="668"/>
      <c r="G6275" s="668"/>
      <c r="H6275" s="668"/>
      <c r="I6275" s="668"/>
      <c r="J6275" s="668"/>
      <c r="K6275" s="668"/>
      <c r="L6275" s="668"/>
      <c r="M6275" s="668"/>
    </row>
    <row r="6276" spans="5:13">
      <c r="E6276" s="668"/>
      <c r="F6276" s="668"/>
      <c r="G6276" s="668"/>
      <c r="H6276" s="668"/>
      <c r="I6276" s="668"/>
      <c r="J6276" s="668"/>
      <c r="K6276" s="668"/>
      <c r="L6276" s="668"/>
      <c r="M6276" s="668"/>
    </row>
    <row r="6277" spans="5:13">
      <c r="E6277" s="668"/>
      <c r="F6277" s="668"/>
      <c r="G6277" s="668"/>
      <c r="H6277" s="668"/>
      <c r="I6277" s="668"/>
      <c r="J6277" s="668"/>
      <c r="K6277" s="668"/>
      <c r="L6277" s="668"/>
      <c r="M6277" s="668"/>
    </row>
    <row r="6278" spans="5:13">
      <c r="E6278" s="668"/>
      <c r="F6278" s="668"/>
      <c r="G6278" s="668"/>
      <c r="H6278" s="668"/>
      <c r="I6278" s="668"/>
      <c r="J6278" s="668"/>
      <c r="K6278" s="668"/>
      <c r="L6278" s="668"/>
      <c r="M6278" s="668"/>
    </row>
    <row r="6279" spans="5:13">
      <c r="E6279" s="668"/>
      <c r="F6279" s="668"/>
      <c r="G6279" s="668"/>
      <c r="H6279" s="668"/>
      <c r="I6279" s="668"/>
      <c r="J6279" s="668"/>
      <c r="K6279" s="668"/>
      <c r="L6279" s="668"/>
      <c r="M6279" s="668"/>
    </row>
    <row r="6280" spans="5:13">
      <c r="E6280" s="668"/>
      <c r="F6280" s="668"/>
      <c r="G6280" s="668"/>
      <c r="H6280" s="668"/>
      <c r="I6280" s="668"/>
      <c r="J6280" s="668"/>
      <c r="K6280" s="668"/>
      <c r="L6280" s="668"/>
      <c r="M6280" s="668"/>
    </row>
    <row r="6281" spans="5:13">
      <c r="E6281" s="668"/>
      <c r="F6281" s="668"/>
      <c r="G6281" s="668"/>
      <c r="H6281" s="668"/>
      <c r="I6281" s="668"/>
      <c r="J6281" s="668"/>
      <c r="K6281" s="668"/>
      <c r="L6281" s="668"/>
      <c r="M6281" s="668"/>
    </row>
    <row r="6282" spans="5:13">
      <c r="E6282" s="668"/>
      <c r="F6282" s="668"/>
      <c r="G6282" s="668"/>
      <c r="H6282" s="668"/>
      <c r="I6282" s="668"/>
      <c r="J6282" s="668"/>
      <c r="K6282" s="668"/>
      <c r="L6282" s="668"/>
      <c r="M6282" s="668"/>
    </row>
    <row r="6283" spans="5:13">
      <c r="E6283" s="668"/>
      <c r="F6283" s="668"/>
      <c r="G6283" s="668"/>
      <c r="H6283" s="668"/>
      <c r="I6283" s="668"/>
      <c r="J6283" s="668"/>
      <c r="K6283" s="668"/>
      <c r="L6283" s="668"/>
      <c r="M6283" s="668"/>
    </row>
    <row r="6284" spans="5:13">
      <c r="E6284" s="668"/>
      <c r="F6284" s="668"/>
      <c r="G6284" s="668"/>
      <c r="H6284" s="668"/>
      <c r="I6284" s="668"/>
      <c r="J6284" s="668"/>
      <c r="K6284" s="668"/>
      <c r="L6284" s="668"/>
      <c r="M6284" s="668"/>
    </row>
    <row r="6285" spans="5:13">
      <c r="E6285" s="668"/>
      <c r="F6285" s="668"/>
      <c r="G6285" s="668"/>
      <c r="H6285" s="668"/>
      <c r="I6285" s="668"/>
      <c r="J6285" s="668"/>
      <c r="K6285" s="668"/>
      <c r="L6285" s="668"/>
      <c r="M6285" s="668"/>
    </row>
    <row r="6286" spans="5:13">
      <c r="E6286" s="668"/>
      <c r="F6286" s="668"/>
      <c r="G6286" s="668"/>
      <c r="H6286" s="668"/>
      <c r="I6286" s="668"/>
      <c r="J6286" s="668"/>
      <c r="K6286" s="668"/>
      <c r="L6286" s="668"/>
      <c r="M6286" s="668"/>
    </row>
    <row r="6287" spans="5:13">
      <c r="E6287" s="668"/>
      <c r="F6287" s="668"/>
      <c r="G6287" s="668"/>
      <c r="H6287" s="668"/>
      <c r="I6287" s="668"/>
      <c r="J6287" s="668"/>
      <c r="K6287" s="668"/>
      <c r="L6287" s="668"/>
      <c r="M6287" s="668"/>
    </row>
    <row r="6288" spans="5:13">
      <c r="E6288" s="668"/>
      <c r="F6288" s="668"/>
      <c r="G6288" s="668"/>
      <c r="H6288" s="668"/>
      <c r="I6288" s="668"/>
      <c r="J6288" s="668"/>
      <c r="K6288" s="668"/>
      <c r="L6288" s="668"/>
      <c r="M6288" s="668"/>
    </row>
    <row r="6289" spans="5:13">
      <c r="E6289" s="668"/>
      <c r="F6289" s="668"/>
      <c r="G6289" s="668"/>
      <c r="H6289" s="668"/>
      <c r="I6289" s="668"/>
      <c r="J6289" s="668"/>
      <c r="K6289" s="668"/>
      <c r="L6289" s="668"/>
      <c r="M6289" s="668"/>
    </row>
    <row r="6290" spans="5:13">
      <c r="E6290" s="668"/>
      <c r="F6290" s="668"/>
      <c r="G6290" s="668"/>
      <c r="H6290" s="668"/>
      <c r="I6290" s="668"/>
      <c r="J6290" s="668"/>
      <c r="K6290" s="668"/>
      <c r="L6290" s="668"/>
      <c r="M6290" s="668"/>
    </row>
    <row r="6291" spans="5:13">
      <c r="E6291" s="668"/>
      <c r="F6291" s="668"/>
      <c r="G6291" s="668"/>
      <c r="H6291" s="668"/>
      <c r="I6291" s="668"/>
      <c r="J6291" s="668"/>
      <c r="K6291" s="668"/>
      <c r="L6291" s="668"/>
      <c r="M6291" s="668"/>
    </row>
    <row r="6292" spans="5:13">
      <c r="E6292" s="668"/>
      <c r="F6292" s="668"/>
      <c r="G6292" s="668"/>
      <c r="H6292" s="668"/>
      <c r="I6292" s="668"/>
      <c r="J6292" s="668"/>
      <c r="K6292" s="668"/>
      <c r="L6292" s="668"/>
      <c r="M6292" s="668"/>
    </row>
    <row r="6293" spans="5:13">
      <c r="E6293" s="668"/>
      <c r="F6293" s="668"/>
      <c r="G6293" s="668"/>
      <c r="H6293" s="668"/>
      <c r="I6293" s="668"/>
      <c r="J6293" s="668"/>
      <c r="K6293" s="668"/>
      <c r="L6293" s="668"/>
      <c r="M6293" s="668"/>
    </row>
    <row r="6294" spans="5:13">
      <c r="E6294" s="668"/>
      <c r="F6294" s="668"/>
      <c r="G6294" s="668"/>
      <c r="H6294" s="668"/>
      <c r="I6294" s="668"/>
      <c r="J6294" s="668"/>
      <c r="K6294" s="668"/>
      <c r="L6294" s="668"/>
      <c r="M6294" s="668"/>
    </row>
    <row r="6295" spans="5:13">
      <c r="E6295" s="668"/>
      <c r="F6295" s="668"/>
      <c r="G6295" s="668"/>
      <c r="H6295" s="668"/>
      <c r="I6295" s="668"/>
      <c r="J6295" s="668"/>
      <c r="K6295" s="668"/>
      <c r="L6295" s="668"/>
      <c r="M6295" s="668"/>
    </row>
    <row r="6296" spans="5:13">
      <c r="E6296" s="668"/>
      <c r="F6296" s="668"/>
      <c r="G6296" s="668"/>
      <c r="H6296" s="668"/>
      <c r="I6296" s="668"/>
      <c r="J6296" s="668"/>
      <c r="K6296" s="668"/>
      <c r="L6296" s="668"/>
      <c r="M6296" s="668"/>
    </row>
    <row r="6297" spans="5:13">
      <c r="E6297" s="668"/>
      <c r="F6297" s="668"/>
      <c r="G6297" s="668"/>
      <c r="H6297" s="668"/>
      <c r="I6297" s="668"/>
      <c r="J6297" s="668"/>
      <c r="K6297" s="668"/>
      <c r="L6297" s="668"/>
      <c r="M6297" s="668"/>
    </row>
    <row r="6298" spans="5:13">
      <c r="E6298" s="668"/>
      <c r="F6298" s="668"/>
      <c r="G6298" s="668"/>
      <c r="H6298" s="668"/>
      <c r="I6298" s="668"/>
      <c r="J6298" s="668"/>
      <c r="K6298" s="668"/>
      <c r="L6298" s="668"/>
      <c r="M6298" s="668"/>
    </row>
    <row r="6299" spans="5:13">
      <c r="E6299" s="668"/>
      <c r="F6299" s="668"/>
      <c r="G6299" s="668"/>
      <c r="H6299" s="668"/>
      <c r="I6299" s="668"/>
      <c r="J6299" s="668"/>
      <c r="K6299" s="668"/>
      <c r="L6299" s="668"/>
      <c r="M6299" s="668"/>
    </row>
    <row r="6300" spans="5:13">
      <c r="E6300" s="668"/>
      <c r="F6300" s="668"/>
      <c r="G6300" s="668"/>
      <c r="H6300" s="668"/>
      <c r="I6300" s="668"/>
      <c r="J6300" s="668"/>
      <c r="K6300" s="668"/>
      <c r="L6300" s="668"/>
      <c r="M6300" s="668"/>
    </row>
    <row r="6301" spans="5:13">
      <c r="E6301" s="668"/>
      <c r="F6301" s="668"/>
      <c r="G6301" s="668"/>
      <c r="H6301" s="668"/>
      <c r="I6301" s="668"/>
      <c r="J6301" s="668"/>
      <c r="K6301" s="668"/>
      <c r="L6301" s="668"/>
      <c r="M6301" s="668"/>
    </row>
    <row r="6302" spans="5:13">
      <c r="E6302" s="668"/>
      <c r="F6302" s="668"/>
      <c r="G6302" s="668"/>
      <c r="H6302" s="668"/>
      <c r="I6302" s="668"/>
      <c r="J6302" s="668"/>
      <c r="K6302" s="668"/>
      <c r="L6302" s="668"/>
      <c r="M6302" s="668"/>
    </row>
    <row r="6303" spans="5:13">
      <c r="E6303" s="668"/>
      <c r="F6303" s="668"/>
      <c r="G6303" s="668"/>
      <c r="H6303" s="668"/>
      <c r="I6303" s="668"/>
      <c r="J6303" s="668"/>
      <c r="K6303" s="668"/>
      <c r="L6303" s="668"/>
      <c r="M6303" s="668"/>
    </row>
    <row r="6304" spans="5:13">
      <c r="E6304" s="668"/>
      <c r="F6304" s="668"/>
      <c r="G6304" s="668"/>
      <c r="H6304" s="668"/>
      <c r="I6304" s="668"/>
      <c r="J6304" s="668"/>
      <c r="K6304" s="668"/>
      <c r="L6304" s="668"/>
      <c r="M6304" s="668"/>
    </row>
    <row r="6305" spans="5:13">
      <c r="E6305" s="668"/>
      <c r="F6305" s="668"/>
      <c r="G6305" s="668"/>
      <c r="H6305" s="668"/>
      <c r="I6305" s="668"/>
      <c r="J6305" s="668"/>
      <c r="K6305" s="668"/>
      <c r="L6305" s="668"/>
      <c r="M6305" s="668"/>
    </row>
    <row r="6306" spans="5:13">
      <c r="E6306" s="668"/>
      <c r="F6306" s="668"/>
      <c r="G6306" s="668"/>
      <c r="H6306" s="668"/>
      <c r="I6306" s="668"/>
      <c r="J6306" s="668"/>
      <c r="K6306" s="668"/>
      <c r="L6306" s="668"/>
      <c r="M6306" s="668"/>
    </row>
    <row r="6307" spans="5:13">
      <c r="E6307" s="668"/>
      <c r="F6307" s="668"/>
      <c r="G6307" s="668"/>
      <c r="H6307" s="668"/>
      <c r="I6307" s="668"/>
      <c r="J6307" s="668"/>
      <c r="K6307" s="668"/>
      <c r="L6307" s="668"/>
      <c r="M6307" s="668"/>
    </row>
    <row r="6308" spans="5:13">
      <c r="E6308" s="668"/>
      <c r="F6308" s="668"/>
      <c r="G6308" s="668"/>
      <c r="H6308" s="668"/>
      <c r="I6308" s="668"/>
      <c r="J6308" s="668"/>
      <c r="K6308" s="668"/>
      <c r="L6308" s="668"/>
      <c r="M6308" s="668"/>
    </row>
    <row r="6309" spans="5:13">
      <c r="E6309" s="668"/>
      <c r="F6309" s="668"/>
      <c r="G6309" s="668"/>
      <c r="H6309" s="668"/>
      <c r="I6309" s="668"/>
      <c r="J6309" s="668"/>
      <c r="K6309" s="668"/>
      <c r="L6309" s="668"/>
      <c r="M6309" s="668"/>
    </row>
    <row r="6310" spans="5:13">
      <c r="E6310" s="668"/>
      <c r="F6310" s="668"/>
      <c r="G6310" s="668"/>
      <c r="H6310" s="668"/>
      <c r="I6310" s="668"/>
      <c r="J6310" s="668"/>
      <c r="K6310" s="668"/>
      <c r="L6310" s="668"/>
      <c r="M6310" s="668"/>
    </row>
    <row r="6311" spans="5:13">
      <c r="E6311" s="668"/>
      <c r="F6311" s="668"/>
      <c r="G6311" s="668"/>
      <c r="H6311" s="668"/>
      <c r="I6311" s="668"/>
      <c r="J6311" s="668"/>
      <c r="K6311" s="668"/>
      <c r="L6311" s="668"/>
      <c r="M6311" s="668"/>
    </row>
    <row r="6312" spans="5:13">
      <c r="E6312" s="668"/>
      <c r="F6312" s="668"/>
      <c r="G6312" s="668"/>
      <c r="H6312" s="668"/>
      <c r="I6312" s="668"/>
      <c r="J6312" s="668"/>
      <c r="K6312" s="668"/>
      <c r="L6312" s="668"/>
      <c r="M6312" s="668"/>
    </row>
    <row r="6313" spans="5:13">
      <c r="E6313" s="668"/>
      <c r="F6313" s="668"/>
      <c r="G6313" s="668"/>
      <c r="H6313" s="668"/>
      <c r="I6313" s="668"/>
      <c r="J6313" s="668"/>
      <c r="K6313" s="668"/>
      <c r="L6313" s="668"/>
      <c r="M6313" s="668"/>
    </row>
    <row r="6314" spans="5:13">
      <c r="E6314" s="668"/>
      <c r="F6314" s="668"/>
      <c r="G6314" s="668"/>
      <c r="H6314" s="668"/>
      <c r="I6314" s="668"/>
      <c r="J6314" s="668"/>
      <c r="K6314" s="668"/>
      <c r="L6314" s="668"/>
      <c r="M6314" s="668"/>
    </row>
    <row r="6315" spans="5:13">
      <c r="E6315" s="668"/>
      <c r="F6315" s="668"/>
      <c r="G6315" s="668"/>
      <c r="H6315" s="668"/>
      <c r="I6315" s="668"/>
      <c r="J6315" s="668"/>
      <c r="K6315" s="668"/>
      <c r="L6315" s="668"/>
      <c r="M6315" s="668"/>
    </row>
    <row r="6316" spans="5:13">
      <c r="E6316" s="668"/>
      <c r="F6316" s="668"/>
      <c r="G6316" s="668"/>
      <c r="H6316" s="668"/>
      <c r="I6316" s="668"/>
      <c r="J6316" s="668"/>
      <c r="K6316" s="668"/>
      <c r="L6316" s="668"/>
      <c r="M6316" s="668"/>
    </row>
    <row r="6317" spans="5:13">
      <c r="E6317" s="668"/>
      <c r="F6317" s="668"/>
      <c r="G6317" s="668"/>
      <c r="H6317" s="668"/>
      <c r="I6317" s="668"/>
      <c r="J6317" s="668"/>
      <c r="K6317" s="668"/>
      <c r="L6317" s="668"/>
      <c r="M6317" s="668"/>
    </row>
    <row r="6318" spans="5:13">
      <c r="E6318" s="668"/>
      <c r="F6318" s="668"/>
      <c r="G6318" s="668"/>
      <c r="H6318" s="668"/>
      <c r="I6318" s="668"/>
      <c r="J6318" s="668"/>
      <c r="K6318" s="668"/>
      <c r="L6318" s="668"/>
      <c r="M6318" s="668"/>
    </row>
    <row r="6319" spans="5:13">
      <c r="E6319" s="668"/>
      <c r="F6319" s="668"/>
      <c r="G6319" s="668"/>
      <c r="H6319" s="668"/>
      <c r="I6319" s="668"/>
      <c r="J6319" s="668"/>
      <c r="K6319" s="668"/>
      <c r="L6319" s="668"/>
      <c r="M6319" s="668"/>
    </row>
    <row r="6320" spans="5:13">
      <c r="E6320" s="668"/>
      <c r="F6320" s="668"/>
      <c r="G6320" s="668"/>
      <c r="H6320" s="668"/>
      <c r="I6320" s="668"/>
      <c r="J6320" s="668"/>
      <c r="K6320" s="668"/>
      <c r="L6320" s="668"/>
      <c r="M6320" s="668"/>
    </row>
    <row r="6321" spans="5:13">
      <c r="E6321" s="668"/>
      <c r="F6321" s="668"/>
      <c r="G6321" s="668"/>
      <c r="H6321" s="668"/>
      <c r="I6321" s="668"/>
      <c r="J6321" s="668"/>
      <c r="K6321" s="668"/>
      <c r="L6321" s="668"/>
      <c r="M6321" s="668"/>
    </row>
    <row r="6322" spans="5:13">
      <c r="E6322" s="668"/>
      <c r="F6322" s="668"/>
      <c r="G6322" s="668"/>
      <c r="H6322" s="668"/>
      <c r="I6322" s="668"/>
      <c r="J6322" s="668"/>
      <c r="K6322" s="668"/>
      <c r="L6322" s="668"/>
      <c r="M6322" s="668"/>
    </row>
    <row r="6323" spans="5:13">
      <c r="E6323" s="668"/>
      <c r="F6323" s="668"/>
      <c r="G6323" s="668"/>
      <c r="H6323" s="668"/>
      <c r="I6323" s="668"/>
      <c r="J6323" s="668"/>
      <c r="K6323" s="668"/>
      <c r="L6323" s="668"/>
      <c r="M6323" s="668"/>
    </row>
    <row r="6324" spans="5:13">
      <c r="E6324" s="668"/>
      <c r="F6324" s="668"/>
      <c r="G6324" s="668"/>
      <c r="H6324" s="668"/>
      <c r="I6324" s="668"/>
      <c r="J6324" s="668"/>
      <c r="K6324" s="668"/>
      <c r="L6324" s="668"/>
      <c r="M6324" s="668"/>
    </row>
    <row r="6325" spans="5:13">
      <c r="E6325" s="668"/>
      <c r="F6325" s="668"/>
      <c r="G6325" s="668"/>
      <c r="H6325" s="668"/>
      <c r="I6325" s="668"/>
      <c r="J6325" s="668"/>
      <c r="K6325" s="668"/>
      <c r="L6325" s="668"/>
      <c r="M6325" s="668"/>
    </row>
    <row r="6326" spans="5:13">
      <c r="E6326" s="668"/>
      <c r="F6326" s="668"/>
      <c r="G6326" s="668"/>
      <c r="H6326" s="668"/>
      <c r="I6326" s="668"/>
      <c r="J6326" s="668"/>
      <c r="K6326" s="668"/>
      <c r="L6326" s="668"/>
      <c r="M6326" s="668"/>
    </row>
    <row r="6327" spans="5:13">
      <c r="E6327" s="668"/>
      <c r="F6327" s="668"/>
      <c r="G6327" s="668"/>
      <c r="H6327" s="668"/>
      <c r="I6327" s="668"/>
      <c r="J6327" s="668"/>
      <c r="K6327" s="668"/>
      <c r="L6327" s="668"/>
      <c r="M6327" s="668"/>
    </row>
    <row r="6328" spans="5:13">
      <c r="E6328" s="668"/>
      <c r="F6328" s="668"/>
      <c r="G6328" s="668"/>
      <c r="H6328" s="668"/>
      <c r="I6328" s="668"/>
      <c r="J6328" s="668"/>
      <c r="K6328" s="668"/>
      <c r="L6328" s="668"/>
      <c r="M6328" s="668"/>
    </row>
    <row r="6329" spans="5:13">
      <c r="E6329" s="668"/>
      <c r="F6329" s="668"/>
      <c r="G6329" s="668"/>
      <c r="H6329" s="668"/>
      <c r="I6329" s="668"/>
      <c r="J6329" s="668"/>
      <c r="K6329" s="668"/>
      <c r="L6329" s="668"/>
      <c r="M6329" s="668"/>
    </row>
    <row r="6330" spans="5:13">
      <c r="E6330" s="668"/>
      <c r="F6330" s="668"/>
      <c r="G6330" s="668"/>
      <c r="H6330" s="668"/>
      <c r="I6330" s="668"/>
      <c r="J6330" s="668"/>
      <c r="K6330" s="668"/>
      <c r="L6330" s="668"/>
      <c r="M6330" s="668"/>
    </row>
    <row r="6331" spans="5:13">
      <c r="E6331" s="668"/>
      <c r="F6331" s="668"/>
      <c r="G6331" s="668"/>
      <c r="H6331" s="668"/>
      <c r="I6331" s="668"/>
      <c r="J6331" s="668"/>
      <c r="K6331" s="668"/>
      <c r="L6331" s="668"/>
      <c r="M6331" s="668"/>
    </row>
    <row r="6332" spans="5:13">
      <c r="E6332" s="668"/>
      <c r="F6332" s="668"/>
      <c r="G6332" s="668"/>
      <c r="H6332" s="668"/>
      <c r="I6332" s="668"/>
      <c r="J6332" s="668"/>
      <c r="K6332" s="668"/>
      <c r="L6332" s="668"/>
      <c r="M6332" s="668"/>
    </row>
    <row r="6333" spans="5:13">
      <c r="E6333" s="668"/>
      <c r="F6333" s="668"/>
      <c r="G6333" s="668"/>
      <c r="H6333" s="668"/>
      <c r="I6333" s="668"/>
      <c r="J6333" s="668"/>
      <c r="K6333" s="668"/>
      <c r="L6333" s="668"/>
      <c r="M6333" s="668"/>
    </row>
    <row r="6334" spans="5:13">
      <c r="E6334" s="668"/>
      <c r="F6334" s="668"/>
      <c r="G6334" s="668"/>
      <c r="H6334" s="668"/>
      <c r="I6334" s="668"/>
      <c r="J6334" s="668"/>
      <c r="K6334" s="668"/>
      <c r="L6334" s="668"/>
      <c r="M6334" s="668"/>
    </row>
    <row r="6335" spans="5:13">
      <c r="E6335" s="668"/>
      <c r="F6335" s="668"/>
      <c r="G6335" s="668"/>
      <c r="H6335" s="668"/>
      <c r="I6335" s="668"/>
      <c r="J6335" s="668"/>
      <c r="K6335" s="668"/>
      <c r="L6335" s="668"/>
      <c r="M6335" s="668"/>
    </row>
    <row r="6336" spans="5:13">
      <c r="E6336" s="668"/>
      <c r="F6336" s="668"/>
      <c r="G6336" s="668"/>
      <c r="H6336" s="668"/>
      <c r="I6336" s="668"/>
      <c r="J6336" s="668"/>
      <c r="K6336" s="668"/>
      <c r="L6336" s="668"/>
      <c r="M6336" s="668"/>
    </row>
    <row r="6337" spans="5:13">
      <c r="E6337" s="668"/>
      <c r="F6337" s="668"/>
      <c r="G6337" s="668"/>
      <c r="H6337" s="668"/>
      <c r="I6337" s="668"/>
      <c r="J6337" s="668"/>
      <c r="K6337" s="668"/>
      <c r="L6337" s="668"/>
      <c r="M6337" s="668"/>
    </row>
    <row r="6338" spans="5:13">
      <c r="E6338" s="668"/>
      <c r="F6338" s="668"/>
      <c r="G6338" s="668"/>
      <c r="H6338" s="668"/>
      <c r="I6338" s="668"/>
      <c r="J6338" s="668"/>
      <c r="K6338" s="668"/>
      <c r="L6338" s="668"/>
      <c r="M6338" s="668"/>
    </row>
    <row r="6339" spans="5:13">
      <c r="E6339" s="668"/>
      <c r="F6339" s="668"/>
      <c r="G6339" s="668"/>
      <c r="H6339" s="668"/>
      <c r="I6339" s="668"/>
      <c r="J6339" s="668"/>
      <c r="K6339" s="668"/>
      <c r="L6339" s="668"/>
      <c r="M6339" s="668"/>
    </row>
    <row r="6340" spans="5:13">
      <c r="E6340" s="668"/>
      <c r="F6340" s="668"/>
      <c r="G6340" s="668"/>
      <c r="H6340" s="668"/>
      <c r="I6340" s="668"/>
      <c r="J6340" s="668"/>
      <c r="K6340" s="668"/>
      <c r="L6340" s="668"/>
      <c r="M6340" s="668"/>
    </row>
    <row r="6341" spans="5:13">
      <c r="E6341" s="668"/>
      <c r="F6341" s="668"/>
      <c r="G6341" s="668"/>
      <c r="H6341" s="668"/>
      <c r="I6341" s="668"/>
      <c r="J6341" s="668"/>
      <c r="K6341" s="668"/>
      <c r="L6341" s="668"/>
      <c r="M6341" s="668"/>
    </row>
    <row r="6342" spans="5:13">
      <c r="E6342" s="668"/>
      <c r="F6342" s="668"/>
      <c r="G6342" s="668"/>
      <c r="H6342" s="668"/>
      <c r="I6342" s="668"/>
      <c r="J6342" s="668"/>
      <c r="K6342" s="668"/>
      <c r="L6342" s="668"/>
      <c r="M6342" s="668"/>
    </row>
    <row r="6343" spans="5:13">
      <c r="E6343" s="668"/>
      <c r="F6343" s="668"/>
      <c r="G6343" s="668"/>
      <c r="H6343" s="668"/>
      <c r="I6343" s="668"/>
      <c r="J6343" s="668"/>
      <c r="K6343" s="668"/>
      <c r="L6343" s="668"/>
      <c r="M6343" s="668"/>
    </row>
    <row r="6344" spans="5:13">
      <c r="E6344" s="668"/>
      <c r="F6344" s="668"/>
      <c r="G6344" s="668"/>
      <c r="H6344" s="668"/>
      <c r="I6344" s="668"/>
      <c r="J6344" s="668"/>
      <c r="K6344" s="668"/>
      <c r="L6344" s="668"/>
      <c r="M6344" s="668"/>
    </row>
    <row r="6345" spans="5:13">
      <c r="E6345" s="668"/>
      <c r="F6345" s="668"/>
      <c r="G6345" s="668"/>
      <c r="H6345" s="668"/>
      <c r="I6345" s="668"/>
      <c r="J6345" s="668"/>
      <c r="K6345" s="668"/>
      <c r="L6345" s="668"/>
      <c r="M6345" s="668"/>
    </row>
    <row r="6346" spans="5:13">
      <c r="E6346" s="668"/>
      <c r="F6346" s="668"/>
      <c r="G6346" s="668"/>
      <c r="H6346" s="668"/>
      <c r="I6346" s="668"/>
      <c r="J6346" s="668"/>
      <c r="K6346" s="668"/>
      <c r="L6346" s="668"/>
      <c r="M6346" s="668"/>
    </row>
    <row r="6347" spans="5:13">
      <c r="E6347" s="668"/>
      <c r="F6347" s="668"/>
      <c r="G6347" s="668"/>
      <c r="H6347" s="668"/>
      <c r="I6347" s="668"/>
      <c r="J6347" s="668"/>
      <c r="K6347" s="668"/>
      <c r="L6347" s="668"/>
      <c r="M6347" s="668"/>
    </row>
    <row r="6348" spans="5:13">
      <c r="E6348" s="668"/>
      <c r="F6348" s="668"/>
      <c r="G6348" s="668"/>
      <c r="H6348" s="668"/>
      <c r="I6348" s="668"/>
      <c r="J6348" s="668"/>
      <c r="K6348" s="668"/>
      <c r="L6348" s="668"/>
      <c r="M6348" s="668"/>
    </row>
    <row r="6349" spans="5:13">
      <c r="E6349" s="668"/>
      <c r="F6349" s="668"/>
      <c r="G6349" s="668"/>
      <c r="H6349" s="668"/>
      <c r="I6349" s="668"/>
      <c r="J6349" s="668"/>
      <c r="K6349" s="668"/>
      <c r="L6349" s="668"/>
      <c r="M6349" s="668"/>
    </row>
    <row r="6350" spans="5:13">
      <c r="E6350" s="668"/>
      <c r="F6350" s="668"/>
      <c r="G6350" s="668"/>
      <c r="H6350" s="668"/>
      <c r="I6350" s="668"/>
      <c r="J6350" s="668"/>
      <c r="K6350" s="668"/>
      <c r="L6350" s="668"/>
      <c r="M6350" s="668"/>
    </row>
    <row r="6351" spans="5:13">
      <c r="E6351" s="668"/>
      <c r="F6351" s="668"/>
      <c r="G6351" s="668"/>
      <c r="H6351" s="668"/>
      <c r="I6351" s="668"/>
      <c r="J6351" s="668"/>
      <c r="K6351" s="668"/>
      <c r="L6351" s="668"/>
      <c r="M6351" s="668"/>
    </row>
    <row r="6352" spans="5:13">
      <c r="E6352" s="668"/>
      <c r="F6352" s="668"/>
      <c r="G6352" s="668"/>
      <c r="H6352" s="668"/>
      <c r="I6352" s="668"/>
      <c r="J6352" s="668"/>
      <c r="K6352" s="668"/>
      <c r="L6352" s="668"/>
      <c r="M6352" s="668"/>
    </row>
    <row r="6353" spans="5:13">
      <c r="E6353" s="668"/>
      <c r="F6353" s="668"/>
      <c r="G6353" s="668"/>
      <c r="H6353" s="668"/>
      <c r="I6353" s="668"/>
      <c r="J6353" s="668"/>
      <c r="K6353" s="668"/>
      <c r="L6353" s="668"/>
      <c r="M6353" s="668"/>
    </row>
    <row r="6354" spans="5:13">
      <c r="E6354" s="668"/>
      <c r="F6354" s="668"/>
      <c r="G6354" s="668"/>
      <c r="H6354" s="668"/>
      <c r="I6354" s="668"/>
      <c r="J6354" s="668"/>
      <c r="K6354" s="668"/>
      <c r="L6354" s="668"/>
      <c r="M6354" s="668"/>
    </row>
    <row r="6355" spans="5:13">
      <c r="E6355" s="668"/>
      <c r="F6355" s="668"/>
      <c r="G6355" s="668"/>
      <c r="H6355" s="668"/>
      <c r="I6355" s="668"/>
      <c r="J6355" s="668"/>
      <c r="K6355" s="668"/>
      <c r="L6355" s="668"/>
      <c r="M6355" s="668"/>
    </row>
    <row r="6356" spans="5:13">
      <c r="E6356" s="668"/>
      <c r="F6356" s="668"/>
      <c r="G6356" s="668"/>
      <c r="H6356" s="668"/>
      <c r="I6356" s="668"/>
      <c r="J6356" s="668"/>
      <c r="K6356" s="668"/>
      <c r="L6356" s="668"/>
      <c r="M6356" s="668"/>
    </row>
    <row r="6357" spans="5:13">
      <c r="E6357" s="668"/>
      <c r="F6357" s="668"/>
      <c r="G6357" s="668"/>
      <c r="H6357" s="668"/>
      <c r="I6357" s="668"/>
      <c r="J6357" s="668"/>
      <c r="K6357" s="668"/>
      <c r="L6357" s="668"/>
      <c r="M6357" s="668"/>
    </row>
    <row r="6358" spans="5:13">
      <c r="E6358" s="668"/>
      <c r="F6358" s="668"/>
      <c r="G6358" s="668"/>
      <c r="H6358" s="668"/>
      <c r="I6358" s="668"/>
      <c r="J6358" s="668"/>
      <c r="K6358" s="668"/>
      <c r="L6358" s="668"/>
      <c r="M6358" s="668"/>
    </row>
    <row r="6359" spans="5:13">
      <c r="E6359" s="668"/>
      <c r="F6359" s="668"/>
      <c r="G6359" s="668"/>
      <c r="H6359" s="668"/>
      <c r="I6359" s="668"/>
      <c r="J6359" s="668"/>
      <c r="K6359" s="668"/>
      <c r="L6359" s="668"/>
      <c r="M6359" s="668"/>
    </row>
    <row r="6360" spans="5:13">
      <c r="E6360" s="668"/>
      <c r="F6360" s="668"/>
      <c r="G6360" s="668"/>
      <c r="H6360" s="668"/>
      <c r="I6360" s="668"/>
      <c r="J6360" s="668"/>
      <c r="K6360" s="668"/>
      <c r="L6360" s="668"/>
      <c r="M6360" s="668"/>
    </row>
    <row r="6361" spans="5:13">
      <c r="E6361" s="668"/>
      <c r="F6361" s="668"/>
      <c r="G6361" s="668"/>
      <c r="H6361" s="668"/>
      <c r="I6361" s="668"/>
      <c r="J6361" s="668"/>
      <c r="K6361" s="668"/>
      <c r="L6361" s="668"/>
      <c r="M6361" s="668"/>
    </row>
    <row r="6362" spans="5:13">
      <c r="E6362" s="668"/>
      <c r="F6362" s="668"/>
      <c r="G6362" s="668"/>
      <c r="H6362" s="668"/>
      <c r="I6362" s="668"/>
      <c r="J6362" s="668"/>
      <c r="K6362" s="668"/>
      <c r="L6362" s="668"/>
      <c r="M6362" s="668"/>
    </row>
    <row r="6363" spans="5:13">
      <c r="E6363" s="668"/>
      <c r="F6363" s="668"/>
      <c r="G6363" s="668"/>
      <c r="H6363" s="668"/>
      <c r="I6363" s="668"/>
      <c r="J6363" s="668"/>
      <c r="K6363" s="668"/>
      <c r="L6363" s="668"/>
      <c r="M6363" s="668"/>
    </row>
    <row r="6364" spans="5:13">
      <c r="E6364" s="668"/>
      <c r="F6364" s="668"/>
      <c r="G6364" s="668"/>
      <c r="H6364" s="668"/>
      <c r="I6364" s="668"/>
      <c r="J6364" s="668"/>
      <c r="K6364" s="668"/>
      <c r="L6364" s="668"/>
      <c r="M6364" s="668"/>
    </row>
    <row r="6365" spans="5:13">
      <c r="E6365" s="668"/>
      <c r="F6365" s="668"/>
      <c r="G6365" s="668"/>
      <c r="H6365" s="668"/>
      <c r="I6365" s="668"/>
      <c r="J6365" s="668"/>
      <c r="K6365" s="668"/>
      <c r="L6365" s="668"/>
      <c r="M6365" s="668"/>
    </row>
    <row r="6366" spans="5:13">
      <c r="E6366" s="668"/>
      <c r="F6366" s="668"/>
      <c r="G6366" s="668"/>
      <c r="H6366" s="668"/>
      <c r="I6366" s="668"/>
      <c r="J6366" s="668"/>
      <c r="K6366" s="668"/>
      <c r="L6366" s="668"/>
      <c r="M6366" s="668"/>
    </row>
    <row r="6367" spans="5:13">
      <c r="E6367" s="668"/>
      <c r="F6367" s="668"/>
      <c r="G6367" s="668"/>
      <c r="H6367" s="668"/>
      <c r="I6367" s="668"/>
      <c r="J6367" s="668"/>
      <c r="K6367" s="668"/>
      <c r="L6367" s="668"/>
      <c r="M6367" s="668"/>
    </row>
    <row r="6368" spans="5:13">
      <c r="E6368" s="668"/>
      <c r="F6368" s="668"/>
      <c r="G6368" s="668"/>
      <c r="H6368" s="668"/>
      <c r="I6368" s="668"/>
      <c r="J6368" s="668"/>
      <c r="K6368" s="668"/>
      <c r="L6368" s="668"/>
      <c r="M6368" s="668"/>
    </row>
    <row r="6369" spans="5:13">
      <c r="E6369" s="668"/>
      <c r="F6369" s="668"/>
      <c r="G6369" s="668"/>
      <c r="H6369" s="668"/>
      <c r="I6369" s="668"/>
      <c r="J6369" s="668"/>
      <c r="K6369" s="668"/>
      <c r="L6369" s="668"/>
      <c r="M6369" s="668"/>
    </row>
    <row r="6370" spans="5:13">
      <c r="E6370" s="668"/>
      <c r="F6370" s="668"/>
      <c r="G6370" s="668"/>
      <c r="H6370" s="668"/>
      <c r="I6370" s="668"/>
      <c r="J6370" s="668"/>
      <c r="K6370" s="668"/>
      <c r="L6370" s="668"/>
      <c r="M6370" s="668"/>
    </row>
    <row r="6371" spans="5:13">
      <c r="E6371" s="668"/>
      <c r="F6371" s="668"/>
      <c r="G6371" s="668"/>
      <c r="H6371" s="668"/>
      <c r="I6371" s="668"/>
      <c r="J6371" s="668"/>
      <c r="K6371" s="668"/>
      <c r="L6371" s="668"/>
      <c r="M6371" s="668"/>
    </row>
    <row r="6372" spans="5:13">
      <c r="E6372" s="668"/>
      <c r="F6372" s="668"/>
      <c r="G6372" s="668"/>
      <c r="H6372" s="668"/>
      <c r="I6372" s="668"/>
      <c r="J6372" s="668"/>
      <c r="K6372" s="668"/>
      <c r="L6372" s="668"/>
      <c r="M6372" s="668"/>
    </row>
    <row r="6373" spans="5:13">
      <c r="E6373" s="668"/>
      <c r="F6373" s="668"/>
      <c r="G6373" s="668"/>
      <c r="H6373" s="668"/>
      <c r="I6373" s="668"/>
      <c r="J6373" s="668"/>
      <c r="K6373" s="668"/>
      <c r="L6373" s="668"/>
      <c r="M6373" s="668"/>
    </row>
    <row r="6374" spans="5:13">
      <c r="E6374" s="668"/>
      <c r="F6374" s="668"/>
      <c r="G6374" s="668"/>
      <c r="H6374" s="668"/>
      <c r="I6374" s="668"/>
      <c r="J6374" s="668"/>
      <c r="K6374" s="668"/>
      <c r="L6374" s="668"/>
      <c r="M6374" s="668"/>
    </row>
    <row r="6375" spans="5:13">
      <c r="E6375" s="668"/>
      <c r="F6375" s="668"/>
      <c r="G6375" s="668"/>
      <c r="H6375" s="668"/>
      <c r="I6375" s="668"/>
      <c r="J6375" s="668"/>
      <c r="K6375" s="668"/>
      <c r="L6375" s="668"/>
      <c r="M6375" s="668"/>
    </row>
    <row r="6376" spans="5:13">
      <c r="E6376" s="668"/>
      <c r="F6376" s="668"/>
      <c r="G6376" s="668"/>
      <c r="H6376" s="668"/>
      <c r="I6376" s="668"/>
      <c r="J6376" s="668"/>
      <c r="K6376" s="668"/>
      <c r="L6376" s="668"/>
      <c r="M6376" s="668"/>
    </row>
    <row r="6377" spans="5:13">
      <c r="E6377" s="668"/>
      <c r="F6377" s="668"/>
      <c r="G6377" s="668"/>
      <c r="H6377" s="668"/>
      <c r="I6377" s="668"/>
      <c r="J6377" s="668"/>
      <c r="K6377" s="668"/>
      <c r="L6377" s="668"/>
      <c r="M6377" s="668"/>
    </row>
    <row r="6378" spans="5:13">
      <c r="E6378" s="668"/>
      <c r="F6378" s="668"/>
      <c r="G6378" s="668"/>
      <c r="H6378" s="668"/>
      <c r="I6378" s="668"/>
      <c r="J6378" s="668"/>
      <c r="K6378" s="668"/>
      <c r="L6378" s="668"/>
      <c r="M6378" s="668"/>
    </row>
    <row r="6379" spans="5:13">
      <c r="E6379" s="668"/>
      <c r="F6379" s="668"/>
      <c r="G6379" s="668"/>
      <c r="H6379" s="668"/>
      <c r="I6379" s="668"/>
      <c r="J6379" s="668"/>
      <c r="K6379" s="668"/>
      <c r="L6379" s="668"/>
      <c r="M6379" s="668"/>
    </row>
    <row r="6380" spans="5:13">
      <c r="E6380" s="668"/>
      <c r="F6380" s="668"/>
      <c r="G6380" s="668"/>
      <c r="H6380" s="668"/>
      <c r="I6380" s="668"/>
      <c r="J6380" s="668"/>
      <c r="K6380" s="668"/>
      <c r="L6380" s="668"/>
      <c r="M6380" s="668"/>
    </row>
    <row r="6381" spans="5:13">
      <c r="E6381" s="668"/>
      <c r="F6381" s="668"/>
      <c r="G6381" s="668"/>
      <c r="H6381" s="668"/>
      <c r="I6381" s="668"/>
      <c r="J6381" s="668"/>
      <c r="K6381" s="668"/>
      <c r="L6381" s="668"/>
      <c r="M6381" s="668"/>
    </row>
    <row r="6382" spans="5:13">
      <c r="E6382" s="668"/>
      <c r="F6382" s="668"/>
      <c r="G6382" s="668"/>
      <c r="H6382" s="668"/>
      <c r="I6382" s="668"/>
      <c r="J6382" s="668"/>
      <c r="K6382" s="668"/>
      <c r="L6382" s="668"/>
      <c r="M6382" s="668"/>
    </row>
    <row r="6383" spans="5:13">
      <c r="E6383" s="668"/>
      <c r="F6383" s="668"/>
      <c r="G6383" s="668"/>
      <c r="H6383" s="668"/>
      <c r="I6383" s="668"/>
      <c r="J6383" s="668"/>
      <c r="K6383" s="668"/>
      <c r="L6383" s="668"/>
      <c r="M6383" s="668"/>
    </row>
    <row r="6384" spans="5:13">
      <c r="E6384" s="668"/>
      <c r="F6384" s="668"/>
      <c r="G6384" s="668"/>
      <c r="H6384" s="668"/>
      <c r="I6384" s="668"/>
      <c r="J6384" s="668"/>
      <c r="K6384" s="668"/>
      <c r="L6384" s="668"/>
      <c r="M6384" s="668"/>
    </row>
    <row r="6385" spans="5:13">
      <c r="E6385" s="668"/>
      <c r="F6385" s="668"/>
      <c r="G6385" s="668"/>
      <c r="H6385" s="668"/>
      <c r="I6385" s="668"/>
      <c r="J6385" s="668"/>
      <c r="K6385" s="668"/>
      <c r="L6385" s="668"/>
      <c r="M6385" s="668"/>
    </row>
    <row r="6386" spans="5:13">
      <c r="E6386" s="668"/>
      <c r="F6386" s="668"/>
      <c r="G6386" s="668"/>
      <c r="H6386" s="668"/>
      <c r="I6386" s="668"/>
      <c r="J6386" s="668"/>
      <c r="K6386" s="668"/>
      <c r="L6386" s="668"/>
      <c r="M6386" s="668"/>
    </row>
    <row r="6387" spans="5:13">
      <c r="E6387" s="668"/>
      <c r="F6387" s="668"/>
      <c r="G6387" s="668"/>
      <c r="H6387" s="668"/>
      <c r="I6387" s="668"/>
      <c r="J6387" s="668"/>
      <c r="K6387" s="668"/>
      <c r="L6387" s="668"/>
      <c r="M6387" s="668"/>
    </row>
    <row r="6388" spans="5:13">
      <c r="E6388" s="668"/>
      <c r="F6388" s="668"/>
      <c r="G6388" s="668"/>
      <c r="H6388" s="668"/>
      <c r="I6388" s="668"/>
      <c r="J6388" s="668"/>
      <c r="K6388" s="668"/>
      <c r="L6388" s="668"/>
      <c r="M6388" s="668"/>
    </row>
    <row r="6389" spans="5:13">
      <c r="E6389" s="668"/>
      <c r="F6389" s="668"/>
      <c r="G6389" s="668"/>
      <c r="H6389" s="668"/>
      <c r="I6389" s="668"/>
      <c r="J6389" s="668"/>
      <c r="K6389" s="668"/>
      <c r="L6389" s="668"/>
      <c r="M6389" s="668"/>
    </row>
    <row r="6390" spans="5:13">
      <c r="E6390" s="668"/>
      <c r="F6390" s="668"/>
      <c r="G6390" s="668"/>
      <c r="H6390" s="668"/>
      <c r="I6390" s="668"/>
      <c r="J6390" s="668"/>
      <c r="K6390" s="668"/>
      <c r="L6390" s="668"/>
      <c r="M6390" s="668"/>
    </row>
    <row r="6391" spans="5:13">
      <c r="E6391" s="668"/>
      <c r="F6391" s="668"/>
      <c r="G6391" s="668"/>
      <c r="H6391" s="668"/>
      <c r="I6391" s="668"/>
      <c r="J6391" s="668"/>
      <c r="K6391" s="668"/>
      <c r="L6391" s="668"/>
      <c r="M6391" s="668"/>
    </row>
    <row r="6392" spans="5:13">
      <c r="E6392" s="668"/>
      <c r="F6392" s="668"/>
      <c r="G6392" s="668"/>
      <c r="H6392" s="668"/>
      <c r="I6392" s="668"/>
      <c r="J6392" s="668"/>
      <c r="K6392" s="668"/>
      <c r="L6392" s="668"/>
      <c r="M6392" s="668"/>
    </row>
    <row r="6393" spans="5:13">
      <c r="E6393" s="668"/>
      <c r="F6393" s="668"/>
      <c r="G6393" s="668"/>
      <c r="H6393" s="668"/>
      <c r="I6393" s="668"/>
      <c r="J6393" s="668"/>
      <c r="K6393" s="668"/>
      <c r="L6393" s="668"/>
      <c r="M6393" s="668"/>
    </row>
    <row r="6394" spans="5:13">
      <c r="E6394" s="668"/>
      <c r="F6394" s="668"/>
      <c r="G6394" s="668"/>
      <c r="H6394" s="668"/>
      <c r="I6394" s="668"/>
      <c r="J6394" s="668"/>
      <c r="K6394" s="668"/>
      <c r="L6394" s="668"/>
      <c r="M6394" s="668"/>
    </row>
    <row r="6395" spans="5:13">
      <c r="E6395" s="668"/>
      <c r="F6395" s="668"/>
      <c r="G6395" s="668"/>
      <c r="H6395" s="668"/>
      <c r="I6395" s="668"/>
      <c r="J6395" s="668"/>
      <c r="K6395" s="668"/>
      <c r="L6395" s="668"/>
      <c r="M6395" s="668"/>
    </row>
    <row r="6396" spans="5:13">
      <c r="E6396" s="668"/>
      <c r="F6396" s="668"/>
      <c r="G6396" s="668"/>
      <c r="H6396" s="668"/>
      <c r="I6396" s="668"/>
      <c r="J6396" s="668"/>
      <c r="K6396" s="668"/>
      <c r="L6396" s="668"/>
      <c r="M6396" s="668"/>
    </row>
    <row r="6397" spans="5:13">
      <c r="E6397" s="668"/>
      <c r="F6397" s="668"/>
      <c r="G6397" s="668"/>
      <c r="H6397" s="668"/>
      <c r="I6397" s="668"/>
      <c r="J6397" s="668"/>
      <c r="K6397" s="668"/>
      <c r="L6397" s="668"/>
      <c r="M6397" s="668"/>
    </row>
    <row r="6398" spans="5:13">
      <c r="E6398" s="668"/>
      <c r="F6398" s="668"/>
      <c r="G6398" s="668"/>
      <c r="H6398" s="668"/>
      <c r="I6398" s="668"/>
      <c r="J6398" s="668"/>
      <c r="K6398" s="668"/>
      <c r="L6398" s="668"/>
      <c r="M6398" s="668"/>
    </row>
    <row r="6399" spans="5:13">
      <c r="E6399" s="668"/>
      <c r="F6399" s="668"/>
      <c r="G6399" s="668"/>
      <c r="H6399" s="668"/>
      <c r="I6399" s="668"/>
      <c r="J6399" s="668"/>
      <c r="K6399" s="668"/>
      <c r="L6399" s="668"/>
      <c r="M6399" s="668"/>
    </row>
    <row r="6400" spans="5:13">
      <c r="E6400" s="668"/>
      <c r="F6400" s="668"/>
      <c r="G6400" s="668"/>
      <c r="H6400" s="668"/>
      <c r="I6400" s="668"/>
      <c r="J6400" s="668"/>
      <c r="K6400" s="668"/>
      <c r="L6400" s="668"/>
      <c r="M6400" s="668"/>
    </row>
    <row r="6401" spans="5:13">
      <c r="E6401" s="668"/>
      <c r="F6401" s="668"/>
      <c r="G6401" s="668"/>
      <c r="H6401" s="668"/>
      <c r="I6401" s="668"/>
      <c r="J6401" s="668"/>
      <c r="K6401" s="668"/>
      <c r="L6401" s="668"/>
      <c r="M6401" s="668"/>
    </row>
    <row r="6402" spans="5:13">
      <c r="E6402" s="668"/>
      <c r="F6402" s="668"/>
      <c r="G6402" s="668"/>
      <c r="H6402" s="668"/>
      <c r="I6402" s="668"/>
      <c r="J6402" s="668"/>
      <c r="K6402" s="668"/>
      <c r="L6402" s="668"/>
      <c r="M6402" s="668"/>
    </row>
    <row r="6403" spans="5:13">
      <c r="E6403" s="668"/>
      <c r="F6403" s="668"/>
      <c r="G6403" s="668"/>
      <c r="H6403" s="668"/>
      <c r="I6403" s="668"/>
      <c r="J6403" s="668"/>
      <c r="K6403" s="668"/>
      <c r="L6403" s="668"/>
      <c r="M6403" s="668"/>
    </row>
    <row r="6404" spans="5:13">
      <c r="E6404" s="668"/>
      <c r="F6404" s="668"/>
      <c r="G6404" s="668"/>
      <c r="H6404" s="668"/>
      <c r="I6404" s="668"/>
      <c r="J6404" s="668"/>
      <c r="K6404" s="668"/>
      <c r="L6404" s="668"/>
      <c r="M6404" s="668"/>
    </row>
    <row r="6405" spans="5:13">
      <c r="E6405" s="668"/>
      <c r="F6405" s="668"/>
      <c r="G6405" s="668"/>
      <c r="H6405" s="668"/>
      <c r="I6405" s="668"/>
      <c r="J6405" s="668"/>
      <c r="K6405" s="668"/>
      <c r="L6405" s="668"/>
      <c r="M6405" s="668"/>
    </row>
    <row r="6406" spans="5:13">
      <c r="E6406" s="668"/>
      <c r="F6406" s="668"/>
      <c r="G6406" s="668"/>
      <c r="H6406" s="668"/>
      <c r="I6406" s="668"/>
      <c r="J6406" s="668"/>
      <c r="K6406" s="668"/>
      <c r="L6406" s="668"/>
      <c r="M6406" s="668"/>
    </row>
    <row r="6407" spans="5:13">
      <c r="E6407" s="668"/>
      <c r="F6407" s="668"/>
      <c r="G6407" s="668"/>
      <c r="H6407" s="668"/>
      <c r="I6407" s="668"/>
      <c r="J6407" s="668"/>
      <c r="K6407" s="668"/>
      <c r="L6407" s="668"/>
      <c r="M6407" s="668"/>
    </row>
    <row r="6408" spans="5:13">
      <c r="E6408" s="668"/>
      <c r="F6408" s="668"/>
      <c r="G6408" s="668"/>
      <c r="H6408" s="668"/>
      <c r="I6408" s="668"/>
      <c r="J6408" s="668"/>
      <c r="K6408" s="668"/>
      <c r="L6408" s="668"/>
      <c r="M6408" s="668"/>
    </row>
    <row r="6409" spans="5:13">
      <c r="E6409" s="668"/>
      <c r="F6409" s="668"/>
      <c r="G6409" s="668"/>
      <c r="H6409" s="668"/>
      <c r="I6409" s="668"/>
      <c r="J6409" s="668"/>
      <c r="K6409" s="668"/>
      <c r="L6409" s="668"/>
      <c r="M6409" s="668"/>
    </row>
    <row r="6410" spans="5:13">
      <c r="E6410" s="668"/>
      <c r="F6410" s="668"/>
      <c r="G6410" s="668"/>
      <c r="H6410" s="668"/>
      <c r="I6410" s="668"/>
      <c r="J6410" s="668"/>
      <c r="K6410" s="668"/>
      <c r="L6410" s="668"/>
      <c r="M6410" s="668"/>
    </row>
    <row r="6411" spans="5:13">
      <c r="E6411" s="668"/>
      <c r="F6411" s="668"/>
      <c r="G6411" s="668"/>
      <c r="H6411" s="668"/>
      <c r="I6411" s="668"/>
      <c r="J6411" s="668"/>
      <c r="K6411" s="668"/>
      <c r="L6411" s="668"/>
      <c r="M6411" s="668"/>
    </row>
    <row r="6412" spans="5:13">
      <c r="E6412" s="668"/>
      <c r="F6412" s="668"/>
      <c r="G6412" s="668"/>
      <c r="H6412" s="668"/>
      <c r="I6412" s="668"/>
      <c r="J6412" s="668"/>
      <c r="K6412" s="668"/>
      <c r="L6412" s="668"/>
      <c r="M6412" s="668"/>
    </row>
    <row r="6413" spans="5:13">
      <c r="E6413" s="668"/>
      <c r="F6413" s="668"/>
      <c r="G6413" s="668"/>
      <c r="H6413" s="668"/>
      <c r="I6413" s="668"/>
      <c r="J6413" s="668"/>
      <c r="K6413" s="668"/>
      <c r="L6413" s="668"/>
      <c r="M6413" s="668"/>
    </row>
    <row r="6414" spans="5:13">
      <c r="E6414" s="668"/>
      <c r="F6414" s="668"/>
      <c r="G6414" s="668"/>
      <c r="H6414" s="668"/>
      <c r="I6414" s="668"/>
      <c r="J6414" s="668"/>
      <c r="K6414" s="668"/>
      <c r="L6414" s="668"/>
      <c r="M6414" s="668"/>
    </row>
    <row r="6415" spans="5:13">
      <c r="E6415" s="668"/>
      <c r="F6415" s="668"/>
      <c r="G6415" s="668"/>
      <c r="H6415" s="668"/>
      <c r="I6415" s="668"/>
      <c r="J6415" s="668"/>
      <c r="K6415" s="668"/>
      <c r="L6415" s="668"/>
      <c r="M6415" s="668"/>
    </row>
    <row r="6416" spans="5:13">
      <c r="E6416" s="668"/>
      <c r="F6416" s="668"/>
      <c r="G6416" s="668"/>
      <c r="H6416" s="668"/>
      <c r="I6416" s="668"/>
      <c r="J6416" s="668"/>
      <c r="K6416" s="668"/>
      <c r="L6416" s="668"/>
      <c r="M6416" s="668"/>
    </row>
    <row r="6417" spans="5:13">
      <c r="E6417" s="668"/>
      <c r="F6417" s="668"/>
      <c r="G6417" s="668"/>
      <c r="H6417" s="668"/>
      <c r="I6417" s="668"/>
      <c r="J6417" s="668"/>
      <c r="K6417" s="668"/>
      <c r="L6417" s="668"/>
      <c r="M6417" s="668"/>
    </row>
    <row r="6418" spans="5:13">
      <c r="E6418" s="668"/>
      <c r="F6418" s="668"/>
      <c r="G6418" s="668"/>
      <c r="H6418" s="668"/>
      <c r="I6418" s="668"/>
      <c r="J6418" s="668"/>
      <c r="K6418" s="668"/>
      <c r="L6418" s="668"/>
      <c r="M6418" s="668"/>
    </row>
    <row r="6419" spans="5:13">
      <c r="E6419" s="668"/>
      <c r="F6419" s="668"/>
      <c r="G6419" s="668"/>
      <c r="H6419" s="668"/>
      <c r="I6419" s="668"/>
      <c r="J6419" s="668"/>
      <c r="K6419" s="668"/>
      <c r="L6419" s="668"/>
      <c r="M6419" s="668"/>
    </row>
    <row r="6420" spans="5:13">
      <c r="E6420" s="668"/>
      <c r="F6420" s="668"/>
      <c r="G6420" s="668"/>
      <c r="H6420" s="668"/>
      <c r="I6420" s="668"/>
      <c r="J6420" s="668"/>
      <c r="K6420" s="668"/>
      <c r="L6420" s="668"/>
      <c r="M6420" s="668"/>
    </row>
    <row r="6421" spans="5:13">
      <c r="E6421" s="668"/>
      <c r="F6421" s="668"/>
      <c r="G6421" s="668"/>
      <c r="H6421" s="668"/>
      <c r="I6421" s="668"/>
      <c r="J6421" s="668"/>
      <c r="K6421" s="668"/>
      <c r="L6421" s="668"/>
      <c r="M6421" s="668"/>
    </row>
    <row r="6422" spans="5:13">
      <c r="E6422" s="668"/>
      <c r="F6422" s="668"/>
      <c r="G6422" s="668"/>
      <c r="H6422" s="668"/>
      <c r="I6422" s="668"/>
      <c r="J6422" s="668"/>
      <c r="K6422" s="668"/>
      <c r="L6422" s="668"/>
      <c r="M6422" s="668"/>
    </row>
    <row r="6423" spans="5:13">
      <c r="E6423" s="668"/>
      <c r="F6423" s="668"/>
      <c r="G6423" s="668"/>
      <c r="H6423" s="668"/>
      <c r="I6423" s="668"/>
      <c r="J6423" s="668"/>
      <c r="K6423" s="668"/>
      <c r="L6423" s="668"/>
      <c r="M6423" s="668"/>
    </row>
    <row r="6424" spans="5:13">
      <c r="E6424" s="668"/>
      <c r="F6424" s="668"/>
      <c r="G6424" s="668"/>
      <c r="H6424" s="668"/>
      <c r="I6424" s="668"/>
      <c r="J6424" s="668"/>
      <c r="K6424" s="668"/>
      <c r="L6424" s="668"/>
      <c r="M6424" s="668"/>
    </row>
    <row r="6425" spans="5:13">
      <c r="E6425" s="668"/>
      <c r="F6425" s="668"/>
      <c r="G6425" s="668"/>
      <c r="H6425" s="668"/>
      <c r="I6425" s="668"/>
      <c r="J6425" s="668"/>
      <c r="K6425" s="668"/>
      <c r="L6425" s="668"/>
      <c r="M6425" s="668"/>
    </row>
    <row r="6426" spans="5:13">
      <c r="E6426" s="668"/>
      <c r="F6426" s="668"/>
      <c r="G6426" s="668"/>
      <c r="H6426" s="668"/>
      <c r="I6426" s="668"/>
      <c r="J6426" s="668"/>
      <c r="K6426" s="668"/>
      <c r="L6426" s="668"/>
      <c r="M6426" s="668"/>
    </row>
    <row r="6427" spans="5:13">
      <c r="E6427" s="668"/>
      <c r="F6427" s="668"/>
      <c r="G6427" s="668"/>
      <c r="H6427" s="668"/>
      <c r="I6427" s="668"/>
      <c r="J6427" s="668"/>
      <c r="K6427" s="668"/>
      <c r="L6427" s="668"/>
      <c r="M6427" s="668"/>
    </row>
    <row r="6428" spans="5:13">
      <c r="E6428" s="668"/>
      <c r="F6428" s="668"/>
      <c r="G6428" s="668"/>
      <c r="H6428" s="668"/>
      <c r="I6428" s="668"/>
      <c r="J6428" s="668"/>
      <c r="K6428" s="668"/>
      <c r="L6428" s="668"/>
      <c r="M6428" s="668"/>
    </row>
    <row r="6429" spans="5:13">
      <c r="E6429" s="668"/>
      <c r="F6429" s="668"/>
      <c r="G6429" s="668"/>
      <c r="H6429" s="668"/>
      <c r="I6429" s="668"/>
      <c r="J6429" s="668"/>
      <c r="K6429" s="668"/>
      <c r="L6429" s="668"/>
      <c r="M6429" s="668"/>
    </row>
    <row r="6430" spans="5:13">
      <c r="E6430" s="668"/>
      <c r="F6430" s="668"/>
      <c r="G6430" s="668"/>
      <c r="H6430" s="668"/>
      <c r="I6430" s="668"/>
      <c r="J6430" s="668"/>
      <c r="K6430" s="668"/>
      <c r="L6430" s="668"/>
      <c r="M6430" s="668"/>
    </row>
    <row r="6431" spans="5:13">
      <c r="E6431" s="668"/>
      <c r="F6431" s="668"/>
      <c r="G6431" s="668"/>
      <c r="H6431" s="668"/>
      <c r="I6431" s="668"/>
      <c r="J6431" s="668"/>
      <c r="K6431" s="668"/>
      <c r="L6431" s="668"/>
      <c r="M6431" s="668"/>
    </row>
    <row r="6432" spans="5:13">
      <c r="E6432" s="668"/>
      <c r="F6432" s="668"/>
      <c r="G6432" s="668"/>
      <c r="H6432" s="668"/>
      <c r="I6432" s="668"/>
      <c r="J6432" s="668"/>
      <c r="K6432" s="668"/>
      <c r="L6432" s="668"/>
      <c r="M6432" s="668"/>
    </row>
    <row r="6433" spans="5:13">
      <c r="E6433" s="668"/>
      <c r="F6433" s="668"/>
      <c r="G6433" s="668"/>
      <c r="H6433" s="668"/>
      <c r="I6433" s="668"/>
      <c r="J6433" s="668"/>
      <c r="K6433" s="668"/>
      <c r="L6433" s="668"/>
      <c r="M6433" s="668"/>
    </row>
    <row r="6434" spans="5:13">
      <c r="E6434" s="668"/>
      <c r="F6434" s="668"/>
      <c r="G6434" s="668"/>
      <c r="H6434" s="668"/>
      <c r="I6434" s="668"/>
      <c r="J6434" s="668"/>
      <c r="K6434" s="668"/>
      <c r="L6434" s="668"/>
      <c r="M6434" s="668"/>
    </row>
    <row r="6435" spans="5:13">
      <c r="E6435" s="668"/>
      <c r="F6435" s="668"/>
      <c r="G6435" s="668"/>
      <c r="H6435" s="668"/>
      <c r="I6435" s="668"/>
      <c r="J6435" s="668"/>
      <c r="K6435" s="668"/>
      <c r="L6435" s="668"/>
      <c r="M6435" s="668"/>
    </row>
    <row r="6436" spans="5:13">
      <c r="E6436" s="668"/>
      <c r="F6436" s="668"/>
      <c r="G6436" s="668"/>
      <c r="H6436" s="668"/>
      <c r="I6436" s="668"/>
      <c r="J6436" s="668"/>
      <c r="K6436" s="668"/>
      <c r="L6436" s="668"/>
      <c r="M6436" s="668"/>
    </row>
    <row r="6437" spans="5:13">
      <c r="E6437" s="668"/>
      <c r="F6437" s="668"/>
      <c r="G6437" s="668"/>
      <c r="H6437" s="668"/>
      <c r="I6437" s="668"/>
      <c r="J6437" s="668"/>
      <c r="K6437" s="668"/>
      <c r="L6437" s="668"/>
      <c r="M6437" s="668"/>
    </row>
    <row r="6438" spans="5:13">
      <c r="E6438" s="668"/>
      <c r="F6438" s="668"/>
      <c r="G6438" s="668"/>
      <c r="H6438" s="668"/>
      <c r="I6438" s="668"/>
      <c r="J6438" s="668"/>
      <c r="K6438" s="668"/>
      <c r="L6438" s="668"/>
      <c r="M6438" s="668"/>
    </row>
    <row r="6439" spans="5:13">
      <c r="E6439" s="668"/>
      <c r="F6439" s="668"/>
      <c r="G6439" s="668"/>
      <c r="H6439" s="668"/>
      <c r="I6439" s="668"/>
      <c r="J6439" s="668"/>
      <c r="K6439" s="668"/>
      <c r="L6439" s="668"/>
      <c r="M6439" s="668"/>
    </row>
    <row r="6440" spans="5:13">
      <c r="E6440" s="668"/>
      <c r="F6440" s="668"/>
      <c r="G6440" s="668"/>
      <c r="H6440" s="668"/>
      <c r="I6440" s="668"/>
      <c r="J6440" s="668"/>
      <c r="K6440" s="668"/>
      <c r="L6440" s="668"/>
      <c r="M6440" s="668"/>
    </row>
    <row r="6441" spans="5:13">
      <c r="E6441" s="668"/>
      <c r="F6441" s="668"/>
      <c r="G6441" s="668"/>
      <c r="H6441" s="668"/>
      <c r="I6441" s="668"/>
      <c r="J6441" s="668"/>
      <c r="K6441" s="668"/>
      <c r="L6441" s="668"/>
      <c r="M6441" s="668"/>
    </row>
    <row r="6442" spans="5:13">
      <c r="E6442" s="668"/>
      <c r="F6442" s="668"/>
      <c r="G6442" s="668"/>
      <c r="H6442" s="668"/>
      <c r="I6442" s="668"/>
      <c r="J6442" s="668"/>
      <c r="K6442" s="668"/>
      <c r="L6442" s="668"/>
      <c r="M6442" s="668"/>
    </row>
    <row r="6443" spans="5:13">
      <c r="E6443" s="668"/>
      <c r="F6443" s="668"/>
      <c r="G6443" s="668"/>
      <c r="H6443" s="668"/>
      <c r="I6443" s="668"/>
      <c r="J6443" s="668"/>
      <c r="K6443" s="668"/>
      <c r="L6443" s="668"/>
      <c r="M6443" s="668"/>
    </row>
    <row r="6444" spans="5:13">
      <c r="E6444" s="668"/>
      <c r="F6444" s="668"/>
      <c r="G6444" s="668"/>
      <c r="H6444" s="668"/>
      <c r="I6444" s="668"/>
      <c r="J6444" s="668"/>
      <c r="K6444" s="668"/>
      <c r="L6444" s="668"/>
      <c r="M6444" s="668"/>
    </row>
    <row r="6445" spans="5:13">
      <c r="E6445" s="668"/>
      <c r="F6445" s="668"/>
      <c r="G6445" s="668"/>
      <c r="H6445" s="668"/>
      <c r="I6445" s="668"/>
      <c r="J6445" s="668"/>
      <c r="K6445" s="668"/>
      <c r="L6445" s="668"/>
      <c r="M6445" s="668"/>
    </row>
    <row r="6446" spans="5:13">
      <c r="E6446" s="668"/>
      <c r="F6446" s="668"/>
      <c r="G6446" s="668"/>
      <c r="H6446" s="668"/>
      <c r="I6446" s="668"/>
      <c r="J6446" s="668"/>
      <c r="K6446" s="668"/>
      <c r="L6446" s="668"/>
      <c r="M6446" s="668"/>
    </row>
    <row r="6447" spans="5:13">
      <c r="E6447" s="668"/>
      <c r="F6447" s="668"/>
      <c r="G6447" s="668"/>
      <c r="H6447" s="668"/>
      <c r="I6447" s="668"/>
      <c r="J6447" s="668"/>
      <c r="K6447" s="668"/>
      <c r="L6447" s="668"/>
      <c r="M6447" s="668"/>
    </row>
    <row r="6448" spans="5:13">
      <c r="E6448" s="668"/>
      <c r="F6448" s="668"/>
      <c r="G6448" s="668"/>
      <c r="H6448" s="668"/>
      <c r="I6448" s="668"/>
      <c r="J6448" s="668"/>
      <c r="K6448" s="668"/>
      <c r="L6448" s="668"/>
      <c r="M6448" s="668"/>
    </row>
    <row r="6449" spans="5:13">
      <c r="E6449" s="668"/>
      <c r="F6449" s="668"/>
      <c r="G6449" s="668"/>
      <c r="H6449" s="668"/>
      <c r="I6449" s="668"/>
      <c r="J6449" s="668"/>
      <c r="K6449" s="668"/>
      <c r="L6449" s="668"/>
      <c r="M6449" s="668"/>
    </row>
    <row r="6450" spans="5:13">
      <c r="E6450" s="668"/>
      <c r="F6450" s="668"/>
      <c r="G6450" s="668"/>
      <c r="H6450" s="668"/>
      <c r="I6450" s="668"/>
      <c r="J6450" s="668"/>
      <c r="K6450" s="668"/>
      <c r="L6450" s="668"/>
      <c r="M6450" s="668"/>
    </row>
    <row r="6451" spans="5:13">
      <c r="E6451" s="668"/>
      <c r="F6451" s="668"/>
      <c r="G6451" s="668"/>
      <c r="H6451" s="668"/>
      <c r="I6451" s="668"/>
      <c r="J6451" s="668"/>
      <c r="K6451" s="668"/>
      <c r="L6451" s="668"/>
      <c r="M6451" s="668"/>
    </row>
    <row r="6452" spans="5:13">
      <c r="E6452" s="668"/>
      <c r="F6452" s="668"/>
      <c r="G6452" s="668"/>
      <c r="H6452" s="668"/>
      <c r="I6452" s="668"/>
      <c r="J6452" s="668"/>
      <c r="K6452" s="668"/>
      <c r="L6452" s="668"/>
      <c r="M6452" s="668"/>
    </row>
    <row r="6453" spans="5:13">
      <c r="E6453" s="668"/>
      <c r="F6453" s="668"/>
      <c r="G6453" s="668"/>
      <c r="H6453" s="668"/>
      <c r="I6453" s="668"/>
      <c r="J6453" s="668"/>
      <c r="K6453" s="668"/>
      <c r="L6453" s="668"/>
      <c r="M6453" s="668"/>
    </row>
    <row r="6454" spans="5:13">
      <c r="E6454" s="668"/>
      <c r="F6454" s="668"/>
      <c r="G6454" s="668"/>
      <c r="H6454" s="668"/>
      <c r="I6454" s="668"/>
      <c r="J6454" s="668"/>
      <c r="K6454" s="668"/>
      <c r="L6454" s="668"/>
      <c r="M6454" s="668"/>
    </row>
    <row r="6455" spans="5:13">
      <c r="E6455" s="668"/>
      <c r="F6455" s="668"/>
      <c r="G6455" s="668"/>
      <c r="H6455" s="668"/>
      <c r="I6455" s="668"/>
      <c r="J6455" s="668"/>
      <c r="K6455" s="668"/>
      <c r="L6455" s="668"/>
      <c r="M6455" s="668"/>
    </row>
    <row r="6456" spans="5:13">
      <c r="E6456" s="668"/>
      <c r="F6456" s="668"/>
      <c r="G6456" s="668"/>
      <c r="H6456" s="668"/>
      <c r="I6456" s="668"/>
      <c r="J6456" s="668"/>
      <c r="K6456" s="668"/>
      <c r="L6456" s="668"/>
      <c r="M6456" s="668"/>
    </row>
    <row r="6457" spans="5:13">
      <c r="E6457" s="668"/>
      <c r="F6457" s="668"/>
      <c r="G6457" s="668"/>
      <c r="H6457" s="668"/>
      <c r="I6457" s="668"/>
      <c r="J6457" s="668"/>
      <c r="K6457" s="668"/>
      <c r="L6457" s="668"/>
      <c r="M6457" s="668"/>
    </row>
    <row r="6458" spans="5:13">
      <c r="E6458" s="668"/>
      <c r="F6458" s="668"/>
      <c r="G6458" s="668"/>
      <c r="H6458" s="668"/>
      <c r="I6458" s="668"/>
      <c r="J6458" s="668"/>
      <c r="K6458" s="668"/>
      <c r="L6458" s="668"/>
      <c r="M6458" s="668"/>
    </row>
    <row r="6459" spans="5:13">
      <c r="E6459" s="668"/>
      <c r="F6459" s="668"/>
      <c r="G6459" s="668"/>
      <c r="H6459" s="668"/>
      <c r="I6459" s="668"/>
      <c r="J6459" s="668"/>
      <c r="K6459" s="668"/>
      <c r="L6459" s="668"/>
      <c r="M6459" s="668"/>
    </row>
    <row r="6460" spans="5:13">
      <c r="E6460" s="668"/>
      <c r="F6460" s="668"/>
      <c r="G6460" s="668"/>
      <c r="H6460" s="668"/>
      <c r="I6460" s="668"/>
      <c r="J6460" s="668"/>
      <c r="K6460" s="668"/>
      <c r="L6460" s="668"/>
      <c r="M6460" s="668"/>
    </row>
    <row r="6461" spans="5:13">
      <c r="E6461" s="668"/>
      <c r="F6461" s="668"/>
      <c r="G6461" s="668"/>
      <c r="H6461" s="668"/>
      <c r="I6461" s="668"/>
      <c r="J6461" s="668"/>
      <c r="K6461" s="668"/>
      <c r="L6461" s="668"/>
      <c r="M6461" s="668"/>
    </row>
    <row r="6462" spans="5:13">
      <c r="E6462" s="668"/>
      <c r="F6462" s="668"/>
      <c r="G6462" s="668"/>
      <c r="H6462" s="668"/>
      <c r="I6462" s="668"/>
      <c r="J6462" s="668"/>
      <c r="K6462" s="668"/>
      <c r="L6462" s="668"/>
      <c r="M6462" s="668"/>
    </row>
    <row r="6463" spans="5:13">
      <c r="E6463" s="668"/>
      <c r="F6463" s="668"/>
      <c r="G6463" s="668"/>
      <c r="H6463" s="668"/>
      <c r="I6463" s="668"/>
      <c r="J6463" s="668"/>
      <c r="K6463" s="668"/>
      <c r="L6463" s="668"/>
      <c r="M6463" s="668"/>
    </row>
    <row r="6464" spans="5:13">
      <c r="E6464" s="668"/>
      <c r="F6464" s="668"/>
      <c r="G6464" s="668"/>
      <c r="H6464" s="668"/>
      <c r="I6464" s="668"/>
      <c r="J6464" s="668"/>
      <c r="K6464" s="668"/>
      <c r="L6464" s="668"/>
      <c r="M6464" s="668"/>
    </row>
    <row r="6465" spans="5:13">
      <c r="E6465" s="668"/>
      <c r="F6465" s="668"/>
      <c r="G6465" s="668"/>
      <c r="H6465" s="668"/>
      <c r="I6465" s="668"/>
      <c r="J6465" s="668"/>
      <c r="K6465" s="668"/>
      <c r="L6465" s="668"/>
      <c r="M6465" s="668"/>
    </row>
    <row r="6466" spans="5:13">
      <c r="E6466" s="668"/>
      <c r="F6466" s="668"/>
      <c r="G6466" s="668"/>
      <c r="H6466" s="668"/>
      <c r="I6466" s="668"/>
      <c r="J6466" s="668"/>
      <c r="K6466" s="668"/>
      <c r="L6466" s="668"/>
      <c r="M6466" s="668"/>
    </row>
    <row r="6467" spans="5:13">
      <c r="E6467" s="668"/>
      <c r="F6467" s="668"/>
      <c r="G6467" s="668"/>
      <c r="H6467" s="668"/>
      <c r="I6467" s="668"/>
      <c r="J6467" s="668"/>
      <c r="K6467" s="668"/>
      <c r="L6467" s="668"/>
      <c r="M6467" s="668"/>
    </row>
    <row r="6468" spans="5:13">
      <c r="E6468" s="668"/>
      <c r="F6468" s="668"/>
      <c r="G6468" s="668"/>
      <c r="H6468" s="668"/>
      <c r="I6468" s="668"/>
      <c r="J6468" s="668"/>
      <c r="K6468" s="668"/>
      <c r="L6468" s="668"/>
      <c r="M6468" s="668"/>
    </row>
    <row r="6469" spans="5:13">
      <c r="E6469" s="668"/>
      <c r="F6469" s="668"/>
      <c r="G6469" s="668"/>
      <c r="H6469" s="668"/>
      <c r="I6469" s="668"/>
      <c r="J6469" s="668"/>
      <c r="K6469" s="668"/>
      <c r="L6469" s="668"/>
      <c r="M6469" s="668"/>
    </row>
    <row r="6470" spans="5:13">
      <c r="E6470" s="668"/>
      <c r="F6470" s="668"/>
      <c r="G6470" s="668"/>
      <c r="H6470" s="668"/>
      <c r="I6470" s="668"/>
      <c r="J6470" s="668"/>
      <c r="K6470" s="668"/>
      <c r="L6470" s="668"/>
      <c r="M6470" s="668"/>
    </row>
    <row r="6471" spans="5:13">
      <c r="E6471" s="668"/>
      <c r="F6471" s="668"/>
      <c r="G6471" s="668"/>
      <c r="H6471" s="668"/>
      <c r="I6471" s="668"/>
      <c r="J6471" s="668"/>
      <c r="K6471" s="668"/>
      <c r="L6471" s="668"/>
      <c r="M6471" s="668"/>
    </row>
    <row r="6472" spans="5:13">
      <c r="E6472" s="668"/>
      <c r="F6472" s="668"/>
      <c r="G6472" s="668"/>
      <c r="H6472" s="668"/>
      <c r="I6472" s="668"/>
      <c r="J6472" s="668"/>
      <c r="K6472" s="668"/>
      <c r="L6472" s="668"/>
      <c r="M6472" s="668"/>
    </row>
    <row r="6473" spans="5:13">
      <c r="E6473" s="668"/>
      <c r="F6473" s="668"/>
      <c r="G6473" s="668"/>
      <c r="H6473" s="668"/>
      <c r="I6473" s="668"/>
      <c r="J6473" s="668"/>
      <c r="K6473" s="668"/>
      <c r="L6473" s="668"/>
      <c r="M6473" s="668"/>
    </row>
    <row r="6474" spans="5:13">
      <c r="E6474" s="668"/>
      <c r="F6474" s="668"/>
      <c r="G6474" s="668"/>
      <c r="H6474" s="668"/>
      <c r="I6474" s="668"/>
      <c r="J6474" s="668"/>
      <c r="K6474" s="668"/>
      <c r="L6474" s="668"/>
      <c r="M6474" s="668"/>
    </row>
    <row r="6475" spans="5:13">
      <c r="E6475" s="668"/>
      <c r="F6475" s="668"/>
      <c r="G6475" s="668"/>
      <c r="H6475" s="668"/>
      <c r="I6475" s="668"/>
      <c r="J6475" s="668"/>
      <c r="K6475" s="668"/>
      <c r="L6475" s="668"/>
      <c r="M6475" s="668"/>
    </row>
    <row r="6476" spans="5:13">
      <c r="E6476" s="668"/>
      <c r="F6476" s="668"/>
      <c r="G6476" s="668"/>
      <c r="H6476" s="668"/>
      <c r="I6476" s="668"/>
      <c r="J6476" s="668"/>
      <c r="K6476" s="668"/>
      <c r="L6476" s="668"/>
      <c r="M6476" s="668"/>
    </row>
    <row r="6477" spans="5:13">
      <c r="E6477" s="668"/>
      <c r="F6477" s="668"/>
      <c r="G6477" s="668"/>
      <c r="H6477" s="668"/>
      <c r="I6477" s="668"/>
      <c r="J6477" s="668"/>
      <c r="K6477" s="668"/>
      <c r="L6477" s="668"/>
      <c r="M6477" s="668"/>
    </row>
    <row r="6478" spans="5:13">
      <c r="E6478" s="668"/>
      <c r="F6478" s="668"/>
      <c r="G6478" s="668"/>
      <c r="H6478" s="668"/>
      <c r="I6478" s="668"/>
      <c r="J6478" s="668"/>
      <c r="K6478" s="668"/>
      <c r="L6478" s="668"/>
      <c r="M6478" s="668"/>
    </row>
    <row r="6479" spans="5:13">
      <c r="E6479" s="668"/>
      <c r="F6479" s="668"/>
      <c r="G6479" s="668"/>
      <c r="H6479" s="668"/>
      <c r="I6479" s="668"/>
      <c r="J6479" s="668"/>
      <c r="K6479" s="668"/>
      <c r="L6479" s="668"/>
      <c r="M6479" s="668"/>
    </row>
    <row r="6480" spans="5:13">
      <c r="E6480" s="668"/>
      <c r="F6480" s="668"/>
      <c r="G6480" s="668"/>
      <c r="H6480" s="668"/>
      <c r="I6480" s="668"/>
      <c r="J6480" s="668"/>
      <c r="K6480" s="668"/>
      <c r="L6480" s="668"/>
      <c r="M6480" s="668"/>
    </row>
    <row r="6481" spans="5:13">
      <c r="E6481" s="668"/>
      <c r="F6481" s="668"/>
      <c r="G6481" s="668"/>
      <c r="H6481" s="668"/>
      <c r="I6481" s="668"/>
      <c r="J6481" s="668"/>
      <c r="K6481" s="668"/>
      <c r="L6481" s="668"/>
      <c r="M6481" s="668"/>
    </row>
    <row r="6482" spans="5:13">
      <c r="E6482" s="668"/>
      <c r="F6482" s="668"/>
      <c r="G6482" s="668"/>
      <c r="H6482" s="668"/>
      <c r="I6482" s="668"/>
      <c r="J6482" s="668"/>
      <c r="K6482" s="668"/>
      <c r="L6482" s="668"/>
      <c r="M6482" s="668"/>
    </row>
    <row r="6483" spans="5:13">
      <c r="E6483" s="668"/>
      <c r="F6483" s="668"/>
      <c r="G6483" s="668"/>
      <c r="H6483" s="668"/>
      <c r="I6483" s="668"/>
      <c r="J6483" s="668"/>
      <c r="K6483" s="668"/>
      <c r="L6483" s="668"/>
      <c r="M6483" s="668"/>
    </row>
    <row r="6484" spans="5:13">
      <c r="E6484" s="668"/>
      <c r="F6484" s="668"/>
      <c r="G6484" s="668"/>
      <c r="H6484" s="668"/>
      <c r="I6484" s="668"/>
      <c r="J6484" s="668"/>
      <c r="K6484" s="668"/>
      <c r="L6484" s="668"/>
      <c r="M6484" s="668"/>
    </row>
    <row r="6485" spans="5:13">
      <c r="E6485" s="668"/>
      <c r="F6485" s="668"/>
      <c r="G6485" s="668"/>
      <c r="H6485" s="668"/>
      <c r="I6485" s="668"/>
      <c r="J6485" s="668"/>
      <c r="K6485" s="668"/>
      <c r="L6485" s="668"/>
      <c r="M6485" s="668"/>
    </row>
    <row r="6486" spans="5:13">
      <c r="E6486" s="668"/>
      <c r="F6486" s="668"/>
      <c r="G6486" s="668"/>
      <c r="H6486" s="668"/>
      <c r="I6486" s="668"/>
      <c r="J6486" s="668"/>
      <c r="K6486" s="668"/>
      <c r="L6486" s="668"/>
      <c r="M6486" s="668"/>
    </row>
    <row r="6487" spans="5:13">
      <c r="E6487" s="668"/>
      <c r="F6487" s="668"/>
      <c r="G6487" s="668"/>
      <c r="H6487" s="668"/>
      <c r="I6487" s="668"/>
      <c r="J6487" s="668"/>
      <c r="K6487" s="668"/>
      <c r="L6487" s="668"/>
      <c r="M6487" s="668"/>
    </row>
    <row r="6488" spans="5:13">
      <c r="E6488" s="668"/>
      <c r="F6488" s="668"/>
      <c r="G6488" s="668"/>
      <c r="H6488" s="668"/>
      <c r="I6488" s="668"/>
      <c r="J6488" s="668"/>
      <c r="K6488" s="668"/>
      <c r="L6488" s="668"/>
      <c r="M6488" s="668"/>
    </row>
    <row r="6489" spans="5:13">
      <c r="E6489" s="668"/>
      <c r="F6489" s="668"/>
      <c r="G6489" s="668"/>
      <c r="H6489" s="668"/>
      <c r="I6489" s="668"/>
      <c r="J6489" s="668"/>
      <c r="K6489" s="668"/>
      <c r="L6489" s="668"/>
      <c r="M6489" s="668"/>
    </row>
    <row r="6490" spans="5:13">
      <c r="E6490" s="668"/>
      <c r="F6490" s="668"/>
      <c r="G6490" s="668"/>
      <c r="H6490" s="668"/>
      <c r="I6490" s="668"/>
      <c r="J6490" s="668"/>
      <c r="K6490" s="668"/>
      <c r="L6490" s="668"/>
      <c r="M6490" s="668"/>
    </row>
    <row r="6491" spans="5:13">
      <c r="E6491" s="668"/>
      <c r="F6491" s="668"/>
      <c r="G6491" s="668"/>
      <c r="H6491" s="668"/>
      <c r="I6491" s="668"/>
      <c r="J6491" s="668"/>
      <c r="K6491" s="668"/>
      <c r="L6491" s="668"/>
      <c r="M6491" s="668"/>
    </row>
    <row r="6492" spans="5:13">
      <c r="E6492" s="668"/>
      <c r="F6492" s="668"/>
      <c r="G6492" s="668"/>
      <c r="H6492" s="668"/>
      <c r="I6492" s="668"/>
      <c r="J6492" s="668"/>
      <c r="K6492" s="668"/>
      <c r="L6492" s="668"/>
      <c r="M6492" s="668"/>
    </row>
    <row r="6493" spans="5:13">
      <c r="E6493" s="668"/>
      <c r="F6493" s="668"/>
      <c r="G6493" s="668"/>
      <c r="H6493" s="668"/>
      <c r="I6493" s="668"/>
      <c r="J6493" s="668"/>
      <c r="K6493" s="668"/>
      <c r="L6493" s="668"/>
      <c r="M6493" s="668"/>
    </row>
    <row r="6494" spans="5:13">
      <c r="E6494" s="668"/>
      <c r="F6494" s="668"/>
      <c r="G6494" s="668"/>
      <c r="H6494" s="668"/>
      <c r="I6494" s="668"/>
      <c r="J6494" s="668"/>
      <c r="K6494" s="668"/>
      <c r="L6494" s="668"/>
      <c r="M6494" s="668"/>
    </row>
    <row r="6495" spans="5:13">
      <c r="E6495" s="668"/>
      <c r="F6495" s="668"/>
      <c r="G6495" s="668"/>
      <c r="H6495" s="668"/>
      <c r="I6495" s="668"/>
      <c r="J6495" s="668"/>
      <c r="K6495" s="668"/>
      <c r="L6495" s="668"/>
      <c r="M6495" s="668"/>
    </row>
    <row r="6496" spans="5:13">
      <c r="E6496" s="668"/>
      <c r="F6496" s="668"/>
      <c r="G6496" s="668"/>
      <c r="H6496" s="668"/>
      <c r="I6496" s="668"/>
      <c r="J6496" s="668"/>
      <c r="K6496" s="668"/>
      <c r="L6496" s="668"/>
      <c r="M6496" s="668"/>
    </row>
    <row r="6497" spans="5:13">
      <c r="E6497" s="668"/>
      <c r="F6497" s="668"/>
      <c r="G6497" s="668"/>
      <c r="H6497" s="668"/>
      <c r="I6497" s="668"/>
      <c r="J6497" s="668"/>
      <c r="K6497" s="668"/>
      <c r="L6497" s="668"/>
      <c r="M6497" s="668"/>
    </row>
    <row r="6498" spans="5:13">
      <c r="E6498" s="668"/>
      <c r="F6498" s="668"/>
      <c r="G6498" s="668"/>
      <c r="H6498" s="668"/>
      <c r="I6498" s="668"/>
      <c r="J6498" s="668"/>
      <c r="K6498" s="668"/>
      <c r="L6498" s="668"/>
      <c r="M6498" s="668"/>
    </row>
    <row r="6499" spans="5:13">
      <c r="E6499" s="668"/>
      <c r="F6499" s="668"/>
      <c r="G6499" s="668"/>
      <c r="H6499" s="668"/>
      <c r="I6499" s="668"/>
      <c r="J6499" s="668"/>
      <c r="K6499" s="668"/>
      <c r="L6499" s="668"/>
      <c r="M6499" s="668"/>
    </row>
    <row r="6500" spans="5:13">
      <c r="E6500" s="668"/>
      <c r="F6500" s="668"/>
      <c r="G6500" s="668"/>
      <c r="H6500" s="668"/>
      <c r="I6500" s="668"/>
      <c r="J6500" s="668"/>
      <c r="K6500" s="668"/>
      <c r="L6500" s="668"/>
      <c r="M6500" s="668"/>
    </row>
    <row r="6501" spans="5:13">
      <c r="E6501" s="668"/>
      <c r="F6501" s="668"/>
      <c r="G6501" s="668"/>
      <c r="H6501" s="668"/>
      <c r="I6501" s="668"/>
      <c r="J6501" s="668"/>
      <c r="K6501" s="668"/>
      <c r="L6501" s="668"/>
      <c r="M6501" s="668"/>
    </row>
    <row r="6502" spans="5:13">
      <c r="E6502" s="668"/>
      <c r="F6502" s="668"/>
      <c r="G6502" s="668"/>
      <c r="H6502" s="668"/>
      <c r="I6502" s="668"/>
      <c r="J6502" s="668"/>
      <c r="K6502" s="668"/>
      <c r="L6502" s="668"/>
      <c r="M6502" s="668"/>
    </row>
    <row r="6503" spans="5:13">
      <c r="E6503" s="668"/>
      <c r="F6503" s="668"/>
      <c r="G6503" s="668"/>
      <c r="H6503" s="668"/>
      <c r="I6503" s="668"/>
      <c r="J6503" s="668"/>
      <c r="K6503" s="668"/>
      <c r="L6503" s="668"/>
      <c r="M6503" s="668"/>
    </row>
    <row r="6504" spans="5:13">
      <c r="E6504" s="668"/>
      <c r="F6504" s="668"/>
      <c r="G6504" s="668"/>
      <c r="H6504" s="668"/>
      <c r="I6504" s="668"/>
      <c r="J6504" s="668"/>
      <c r="K6504" s="668"/>
      <c r="L6504" s="668"/>
      <c r="M6504" s="668"/>
    </row>
    <row r="6505" spans="5:13">
      <c r="E6505" s="668"/>
      <c r="F6505" s="668"/>
      <c r="G6505" s="668"/>
      <c r="H6505" s="668"/>
      <c r="I6505" s="668"/>
      <c r="J6505" s="668"/>
      <c r="K6505" s="668"/>
      <c r="L6505" s="668"/>
      <c r="M6505" s="668"/>
    </row>
    <row r="6506" spans="5:13">
      <c r="E6506" s="668"/>
      <c r="F6506" s="668"/>
      <c r="G6506" s="668"/>
      <c r="H6506" s="668"/>
      <c r="I6506" s="668"/>
      <c r="J6506" s="668"/>
      <c r="K6506" s="668"/>
      <c r="L6506" s="668"/>
      <c r="M6506" s="668"/>
    </row>
    <row r="6507" spans="5:13">
      <c r="E6507" s="668"/>
      <c r="F6507" s="668"/>
      <c r="G6507" s="668"/>
      <c r="H6507" s="668"/>
      <c r="I6507" s="668"/>
      <c r="J6507" s="668"/>
      <c r="K6507" s="668"/>
      <c r="L6507" s="668"/>
      <c r="M6507" s="668"/>
    </row>
    <row r="6508" spans="5:13">
      <c r="E6508" s="668"/>
      <c r="F6508" s="668"/>
      <c r="G6508" s="668"/>
      <c r="H6508" s="668"/>
      <c r="I6508" s="668"/>
      <c r="J6508" s="668"/>
      <c r="K6508" s="668"/>
      <c r="L6508" s="668"/>
      <c r="M6508" s="668"/>
    </row>
    <row r="6509" spans="5:13">
      <c r="E6509" s="668"/>
      <c r="F6509" s="668"/>
      <c r="G6509" s="668"/>
      <c r="H6509" s="668"/>
      <c r="I6509" s="668"/>
      <c r="J6509" s="668"/>
      <c r="K6509" s="668"/>
      <c r="L6509" s="668"/>
      <c r="M6509" s="668"/>
    </row>
    <row r="6510" spans="5:13">
      <c r="E6510" s="668"/>
      <c r="F6510" s="668"/>
      <c r="G6510" s="668"/>
      <c r="H6510" s="668"/>
      <c r="I6510" s="668"/>
      <c r="J6510" s="668"/>
      <c r="K6510" s="668"/>
      <c r="L6510" s="668"/>
      <c r="M6510" s="668"/>
    </row>
    <row r="6511" spans="5:13">
      <c r="E6511" s="668"/>
      <c r="F6511" s="668"/>
      <c r="G6511" s="668"/>
      <c r="H6511" s="668"/>
      <c r="I6511" s="668"/>
      <c r="J6511" s="668"/>
      <c r="K6511" s="668"/>
      <c r="L6511" s="668"/>
      <c r="M6511" s="668"/>
    </row>
    <row r="6512" spans="5:13">
      <c r="E6512" s="668"/>
      <c r="F6512" s="668"/>
      <c r="G6512" s="668"/>
      <c r="H6512" s="668"/>
      <c r="I6512" s="668"/>
      <c r="J6512" s="668"/>
      <c r="K6512" s="668"/>
      <c r="L6512" s="668"/>
      <c r="M6512" s="668"/>
    </row>
    <row r="6513" spans="5:13">
      <c r="E6513" s="668"/>
      <c r="F6513" s="668"/>
      <c r="G6513" s="668"/>
      <c r="H6513" s="668"/>
      <c r="I6513" s="668"/>
      <c r="J6513" s="668"/>
      <c r="K6513" s="668"/>
      <c r="L6513" s="668"/>
      <c r="M6513" s="668"/>
    </row>
    <row r="6514" spans="5:13">
      <c r="E6514" s="668"/>
      <c r="F6514" s="668"/>
      <c r="G6514" s="668"/>
      <c r="H6514" s="668"/>
      <c r="I6514" s="668"/>
      <c r="J6514" s="668"/>
      <c r="K6514" s="668"/>
      <c r="L6514" s="668"/>
      <c r="M6514" s="668"/>
    </row>
    <row r="6515" spans="5:13">
      <c r="E6515" s="668"/>
      <c r="F6515" s="668"/>
      <c r="G6515" s="668"/>
      <c r="H6515" s="668"/>
      <c r="I6515" s="668"/>
      <c r="J6515" s="668"/>
      <c r="K6515" s="668"/>
      <c r="L6515" s="668"/>
      <c r="M6515" s="668"/>
    </row>
    <row r="6516" spans="5:13">
      <c r="E6516" s="668"/>
      <c r="F6516" s="668"/>
      <c r="G6516" s="668"/>
      <c r="H6516" s="668"/>
      <c r="I6516" s="668"/>
      <c r="J6516" s="668"/>
      <c r="K6516" s="668"/>
      <c r="L6516" s="668"/>
      <c r="M6516" s="668"/>
    </row>
    <row r="6517" spans="5:13">
      <c r="E6517" s="668"/>
      <c r="F6517" s="668"/>
      <c r="G6517" s="668"/>
      <c r="H6517" s="668"/>
      <c r="I6517" s="668"/>
      <c r="J6517" s="668"/>
      <c r="K6517" s="668"/>
      <c r="L6517" s="668"/>
      <c r="M6517" s="668"/>
    </row>
    <row r="6518" spans="5:13">
      <c r="E6518" s="668"/>
      <c r="F6518" s="668"/>
      <c r="G6518" s="668"/>
      <c r="H6518" s="668"/>
      <c r="I6518" s="668"/>
      <c r="J6518" s="668"/>
      <c r="K6518" s="668"/>
      <c r="L6518" s="668"/>
      <c r="M6518" s="668"/>
    </row>
    <row r="6519" spans="5:13">
      <c r="E6519" s="668"/>
      <c r="F6519" s="668"/>
      <c r="G6519" s="668"/>
      <c r="H6519" s="668"/>
      <c r="I6519" s="668"/>
      <c r="J6519" s="668"/>
      <c r="K6519" s="668"/>
      <c r="L6519" s="668"/>
      <c r="M6519" s="668"/>
    </row>
    <row r="6520" spans="5:13">
      <c r="E6520" s="668"/>
      <c r="F6520" s="668"/>
      <c r="G6520" s="668"/>
      <c r="H6520" s="668"/>
      <c r="I6520" s="668"/>
      <c r="J6520" s="668"/>
      <c r="K6520" s="668"/>
      <c r="L6520" s="668"/>
      <c r="M6520" s="668"/>
    </row>
    <row r="6521" spans="5:13">
      <c r="E6521" s="668"/>
      <c r="F6521" s="668"/>
      <c r="G6521" s="668"/>
      <c r="H6521" s="668"/>
      <c r="I6521" s="668"/>
      <c r="J6521" s="668"/>
      <c r="K6521" s="668"/>
      <c r="L6521" s="668"/>
      <c r="M6521" s="668"/>
    </row>
    <row r="6522" spans="5:13">
      <c r="E6522" s="668"/>
      <c r="F6522" s="668"/>
      <c r="G6522" s="668"/>
      <c r="H6522" s="668"/>
      <c r="I6522" s="668"/>
      <c r="J6522" s="668"/>
      <c r="K6522" s="668"/>
      <c r="L6522" s="668"/>
      <c r="M6522" s="668"/>
    </row>
    <row r="6523" spans="5:13">
      <c r="E6523" s="668"/>
      <c r="F6523" s="668"/>
      <c r="G6523" s="668"/>
      <c r="H6523" s="668"/>
      <c r="I6523" s="668"/>
      <c r="J6523" s="668"/>
      <c r="K6523" s="668"/>
      <c r="L6523" s="668"/>
      <c r="M6523" s="668"/>
    </row>
    <row r="6524" spans="5:13">
      <c r="E6524" s="668"/>
      <c r="F6524" s="668"/>
      <c r="G6524" s="668"/>
      <c r="H6524" s="668"/>
      <c r="I6524" s="668"/>
      <c r="J6524" s="668"/>
      <c r="K6524" s="668"/>
      <c r="L6524" s="668"/>
      <c r="M6524" s="668"/>
    </row>
    <row r="6525" spans="5:13">
      <c r="E6525" s="668"/>
      <c r="F6525" s="668"/>
      <c r="G6525" s="668"/>
      <c r="H6525" s="668"/>
      <c r="I6525" s="668"/>
      <c r="J6525" s="668"/>
      <c r="K6525" s="668"/>
      <c r="L6525" s="668"/>
      <c r="M6525" s="668"/>
    </row>
    <row r="6526" spans="5:13">
      <c r="E6526" s="668"/>
      <c r="F6526" s="668"/>
      <c r="G6526" s="668"/>
      <c r="H6526" s="668"/>
      <c r="I6526" s="668"/>
      <c r="J6526" s="668"/>
      <c r="K6526" s="668"/>
      <c r="L6526" s="668"/>
      <c r="M6526" s="668"/>
    </row>
    <row r="6527" spans="5:13">
      <c r="E6527" s="668"/>
      <c r="F6527" s="668"/>
      <c r="G6527" s="668"/>
      <c r="H6527" s="668"/>
      <c r="I6527" s="668"/>
      <c r="J6527" s="668"/>
      <c r="K6527" s="668"/>
      <c r="L6527" s="668"/>
      <c r="M6527" s="668"/>
    </row>
    <row r="6528" spans="5:13">
      <c r="E6528" s="668"/>
      <c r="F6528" s="668"/>
      <c r="G6528" s="668"/>
      <c r="H6528" s="668"/>
      <c r="I6528" s="668"/>
      <c r="J6528" s="668"/>
      <c r="K6528" s="668"/>
      <c r="L6528" s="668"/>
      <c r="M6528" s="668"/>
    </row>
    <row r="6529" spans="5:13">
      <c r="E6529" s="668"/>
      <c r="F6529" s="668"/>
      <c r="G6529" s="668"/>
      <c r="H6529" s="668"/>
      <c r="I6529" s="668"/>
      <c r="J6529" s="668"/>
      <c r="K6529" s="668"/>
      <c r="L6529" s="668"/>
      <c r="M6529" s="668"/>
    </row>
    <row r="6530" spans="5:13">
      <c r="E6530" s="668"/>
      <c r="F6530" s="668"/>
      <c r="G6530" s="668"/>
      <c r="H6530" s="668"/>
      <c r="I6530" s="668"/>
      <c r="J6530" s="668"/>
      <c r="K6530" s="668"/>
      <c r="L6530" s="668"/>
      <c r="M6530" s="668"/>
    </row>
    <row r="6531" spans="5:13">
      <c r="E6531" s="668"/>
      <c r="F6531" s="668"/>
      <c r="G6531" s="668"/>
      <c r="H6531" s="668"/>
      <c r="I6531" s="668"/>
      <c r="J6531" s="668"/>
      <c r="K6531" s="668"/>
      <c r="L6531" s="668"/>
      <c r="M6531" s="668"/>
    </row>
    <row r="6532" spans="5:13">
      <c r="E6532" s="668"/>
      <c r="F6532" s="668"/>
      <c r="G6532" s="668"/>
      <c r="H6532" s="668"/>
      <c r="I6532" s="668"/>
      <c r="J6532" s="668"/>
      <c r="K6532" s="668"/>
      <c r="L6532" s="668"/>
      <c r="M6532" s="668"/>
    </row>
    <row r="6533" spans="5:13">
      <c r="E6533" s="668"/>
      <c r="F6533" s="668"/>
      <c r="G6533" s="668"/>
      <c r="H6533" s="668"/>
      <c r="I6533" s="668"/>
      <c r="J6533" s="668"/>
      <c r="K6533" s="668"/>
      <c r="L6533" s="668"/>
      <c r="M6533" s="668"/>
    </row>
    <row r="6534" spans="5:13">
      <c r="E6534" s="668"/>
      <c r="F6534" s="668"/>
      <c r="G6534" s="668"/>
      <c r="H6534" s="668"/>
      <c r="I6534" s="668"/>
      <c r="J6534" s="668"/>
      <c r="K6534" s="668"/>
      <c r="L6534" s="668"/>
      <c r="M6534" s="668"/>
    </row>
    <row r="6535" spans="5:13">
      <c r="E6535" s="668"/>
      <c r="F6535" s="668"/>
      <c r="G6535" s="668"/>
      <c r="H6535" s="668"/>
      <c r="I6535" s="668"/>
      <c r="J6535" s="668"/>
      <c r="K6535" s="668"/>
      <c r="L6535" s="668"/>
      <c r="M6535" s="668"/>
    </row>
    <row r="6536" spans="5:13">
      <c r="E6536" s="668"/>
      <c r="F6536" s="668"/>
      <c r="G6536" s="668"/>
      <c r="H6536" s="668"/>
      <c r="I6536" s="668"/>
      <c r="J6536" s="668"/>
      <c r="K6536" s="668"/>
      <c r="L6536" s="668"/>
      <c r="M6536" s="668"/>
    </row>
    <row r="6537" spans="5:13">
      <c r="E6537" s="668"/>
      <c r="F6537" s="668"/>
      <c r="G6537" s="668"/>
      <c r="H6537" s="668"/>
      <c r="I6537" s="668"/>
      <c r="J6537" s="668"/>
      <c r="K6537" s="668"/>
      <c r="L6537" s="668"/>
      <c r="M6537" s="668"/>
    </row>
    <row r="6538" spans="5:13">
      <c r="E6538" s="668"/>
      <c r="F6538" s="668"/>
      <c r="G6538" s="668"/>
      <c r="H6538" s="668"/>
      <c r="I6538" s="668"/>
      <c r="J6538" s="668"/>
      <c r="K6538" s="668"/>
      <c r="L6538" s="668"/>
      <c r="M6538" s="668"/>
    </row>
    <row r="6539" spans="5:13">
      <c r="E6539" s="668"/>
      <c r="F6539" s="668"/>
      <c r="G6539" s="668"/>
      <c r="H6539" s="668"/>
      <c r="I6539" s="668"/>
      <c r="J6539" s="668"/>
      <c r="K6539" s="668"/>
      <c r="L6539" s="668"/>
      <c r="M6539" s="668"/>
    </row>
    <row r="6540" spans="5:13">
      <c r="E6540" s="668"/>
      <c r="F6540" s="668"/>
      <c r="G6540" s="668"/>
      <c r="H6540" s="668"/>
      <c r="I6540" s="668"/>
      <c r="J6540" s="668"/>
      <c r="K6540" s="668"/>
      <c r="L6540" s="668"/>
      <c r="M6540" s="668"/>
    </row>
    <row r="6541" spans="5:13">
      <c r="E6541" s="668"/>
      <c r="F6541" s="668"/>
      <c r="G6541" s="668"/>
      <c r="H6541" s="668"/>
      <c r="I6541" s="668"/>
      <c r="J6541" s="668"/>
      <c r="K6541" s="668"/>
      <c r="L6541" s="668"/>
      <c r="M6541" s="668"/>
    </row>
    <row r="6542" spans="5:13">
      <c r="E6542" s="668"/>
      <c r="F6542" s="668"/>
      <c r="G6542" s="668"/>
      <c r="H6542" s="668"/>
      <c r="I6542" s="668"/>
      <c r="J6542" s="668"/>
      <c r="K6542" s="668"/>
      <c r="L6542" s="668"/>
      <c r="M6542" s="668"/>
    </row>
    <row r="6543" spans="5:13">
      <c r="E6543" s="668"/>
      <c r="F6543" s="668"/>
      <c r="G6543" s="668"/>
      <c r="H6543" s="668"/>
      <c r="I6543" s="668"/>
      <c r="J6543" s="668"/>
      <c r="K6543" s="668"/>
      <c r="L6543" s="668"/>
      <c r="M6543" s="668"/>
    </row>
    <row r="6544" spans="5:13">
      <c r="E6544" s="668"/>
      <c r="F6544" s="668"/>
      <c r="G6544" s="668"/>
      <c r="H6544" s="668"/>
      <c r="I6544" s="668"/>
      <c r="J6544" s="668"/>
      <c r="K6544" s="668"/>
      <c r="L6544" s="668"/>
      <c r="M6544" s="668"/>
    </row>
    <row r="6545" spans="5:13">
      <c r="E6545" s="668"/>
      <c r="F6545" s="668"/>
      <c r="G6545" s="668"/>
      <c r="H6545" s="668"/>
      <c r="I6545" s="668"/>
      <c r="J6545" s="668"/>
      <c r="K6545" s="668"/>
      <c r="L6545" s="668"/>
      <c r="M6545" s="668"/>
    </row>
    <row r="6546" spans="5:13">
      <c r="E6546" s="668"/>
      <c r="F6546" s="668"/>
      <c r="G6546" s="668"/>
      <c r="H6546" s="668"/>
      <c r="I6546" s="668"/>
      <c r="J6546" s="668"/>
      <c r="K6546" s="668"/>
      <c r="L6546" s="668"/>
      <c r="M6546" s="668"/>
    </row>
    <row r="6547" spans="5:13">
      <c r="E6547" s="668"/>
      <c r="F6547" s="668"/>
      <c r="G6547" s="668"/>
      <c r="H6547" s="668"/>
      <c r="I6547" s="668"/>
      <c r="J6547" s="668"/>
      <c r="K6547" s="668"/>
      <c r="L6547" s="668"/>
      <c r="M6547" s="668"/>
    </row>
    <row r="6548" spans="5:13">
      <c r="E6548" s="668"/>
      <c r="F6548" s="668"/>
      <c r="G6548" s="668"/>
      <c r="H6548" s="668"/>
      <c r="I6548" s="668"/>
      <c r="J6548" s="668"/>
      <c r="K6548" s="668"/>
      <c r="L6548" s="668"/>
      <c r="M6548" s="668"/>
    </row>
    <row r="6549" spans="5:13">
      <c r="E6549" s="668"/>
      <c r="F6549" s="668"/>
      <c r="G6549" s="668"/>
      <c r="H6549" s="668"/>
      <c r="I6549" s="668"/>
      <c r="J6549" s="668"/>
      <c r="K6549" s="668"/>
      <c r="L6549" s="668"/>
      <c r="M6549" s="668"/>
    </row>
    <row r="6550" spans="5:13">
      <c r="E6550" s="668"/>
      <c r="F6550" s="668"/>
      <c r="G6550" s="668"/>
      <c r="H6550" s="668"/>
      <c r="I6550" s="668"/>
      <c r="J6550" s="668"/>
      <c r="K6550" s="668"/>
      <c r="L6550" s="668"/>
      <c r="M6550" s="668"/>
    </row>
    <row r="6551" spans="5:13">
      <c r="E6551" s="668"/>
      <c r="F6551" s="668"/>
      <c r="G6551" s="668"/>
      <c r="H6551" s="668"/>
      <c r="I6551" s="668"/>
      <c r="J6551" s="668"/>
      <c r="K6551" s="668"/>
      <c r="L6551" s="668"/>
      <c r="M6551" s="668"/>
    </row>
    <row r="6552" spans="5:13">
      <c r="E6552" s="668"/>
      <c r="F6552" s="668"/>
      <c r="G6552" s="668"/>
      <c r="H6552" s="668"/>
      <c r="I6552" s="668"/>
      <c r="J6552" s="668"/>
      <c r="K6552" s="668"/>
      <c r="L6552" s="668"/>
      <c r="M6552" s="668"/>
    </row>
    <row r="6553" spans="5:13">
      <c r="E6553" s="668"/>
      <c r="F6553" s="668"/>
      <c r="G6553" s="668"/>
      <c r="H6553" s="668"/>
      <c r="I6553" s="668"/>
      <c r="J6553" s="668"/>
      <c r="K6553" s="668"/>
      <c r="L6553" s="668"/>
      <c r="M6553" s="668"/>
    </row>
    <row r="6554" spans="5:13">
      <c r="E6554" s="668"/>
      <c r="F6554" s="668"/>
      <c r="G6554" s="668"/>
      <c r="H6554" s="668"/>
      <c r="I6554" s="668"/>
      <c r="J6554" s="668"/>
      <c r="K6554" s="668"/>
      <c r="L6554" s="668"/>
      <c r="M6554" s="668"/>
    </row>
    <row r="6555" spans="5:13">
      <c r="E6555" s="668"/>
      <c r="F6555" s="668"/>
      <c r="G6555" s="668"/>
      <c r="H6555" s="668"/>
      <c r="I6555" s="668"/>
      <c r="J6555" s="668"/>
      <c r="K6555" s="668"/>
      <c r="L6555" s="668"/>
      <c r="M6555" s="668"/>
    </row>
    <row r="6556" spans="5:13">
      <c r="E6556" s="668"/>
      <c r="F6556" s="668"/>
      <c r="G6556" s="668"/>
      <c r="H6556" s="668"/>
      <c r="I6556" s="668"/>
      <c r="J6556" s="668"/>
      <c r="K6556" s="668"/>
      <c r="L6556" s="668"/>
      <c r="M6556" s="668"/>
    </row>
    <row r="6557" spans="5:13">
      <c r="E6557" s="668"/>
      <c r="F6557" s="668"/>
      <c r="G6557" s="668"/>
      <c r="H6557" s="668"/>
      <c r="I6557" s="668"/>
      <c r="J6557" s="668"/>
      <c r="K6557" s="668"/>
      <c r="L6557" s="668"/>
      <c r="M6557" s="668"/>
    </row>
    <row r="6558" spans="5:13">
      <c r="E6558" s="668"/>
      <c r="F6558" s="668"/>
      <c r="G6558" s="668"/>
      <c r="H6558" s="668"/>
      <c r="I6558" s="668"/>
      <c r="J6558" s="668"/>
      <c r="K6558" s="668"/>
      <c r="L6558" s="668"/>
      <c r="M6558" s="668"/>
    </row>
    <row r="6559" spans="5:13">
      <c r="E6559" s="668"/>
      <c r="F6559" s="668"/>
      <c r="G6559" s="668"/>
      <c r="H6559" s="668"/>
      <c r="I6559" s="668"/>
      <c r="J6559" s="668"/>
      <c r="K6559" s="668"/>
      <c r="L6559" s="668"/>
      <c r="M6559" s="668"/>
    </row>
    <row r="6560" spans="5:13">
      <c r="E6560" s="668"/>
      <c r="F6560" s="668"/>
      <c r="G6560" s="668"/>
      <c r="H6560" s="668"/>
      <c r="I6560" s="668"/>
      <c r="J6560" s="668"/>
      <c r="K6560" s="668"/>
      <c r="L6560" s="668"/>
      <c r="M6560" s="668"/>
    </row>
    <row r="6561" spans="5:13">
      <c r="E6561" s="668"/>
      <c r="F6561" s="668"/>
      <c r="G6561" s="668"/>
      <c r="H6561" s="668"/>
      <c r="I6561" s="668"/>
      <c r="J6561" s="668"/>
      <c r="K6561" s="668"/>
      <c r="L6561" s="668"/>
      <c r="M6561" s="668"/>
    </row>
    <row r="6562" spans="5:13">
      <c r="E6562" s="668"/>
      <c r="F6562" s="668"/>
      <c r="G6562" s="668"/>
      <c r="H6562" s="668"/>
      <c r="I6562" s="668"/>
      <c r="J6562" s="668"/>
      <c r="K6562" s="668"/>
      <c r="L6562" s="668"/>
      <c r="M6562" s="668"/>
    </row>
    <row r="6563" spans="5:13">
      <c r="E6563" s="668"/>
      <c r="F6563" s="668"/>
      <c r="G6563" s="668"/>
      <c r="H6563" s="668"/>
      <c r="I6563" s="668"/>
      <c r="J6563" s="668"/>
      <c r="K6563" s="668"/>
      <c r="L6563" s="668"/>
      <c r="M6563" s="668"/>
    </row>
    <row r="6564" spans="5:13">
      <c r="E6564" s="668"/>
      <c r="F6564" s="668"/>
      <c r="G6564" s="668"/>
      <c r="H6564" s="668"/>
      <c r="I6564" s="668"/>
      <c r="J6564" s="668"/>
      <c r="K6564" s="668"/>
      <c r="L6564" s="668"/>
      <c r="M6564" s="668"/>
    </row>
    <row r="6565" spans="5:13">
      <c r="E6565" s="668"/>
      <c r="F6565" s="668"/>
      <c r="G6565" s="668"/>
      <c r="H6565" s="668"/>
      <c r="I6565" s="668"/>
      <c r="J6565" s="668"/>
      <c r="K6565" s="668"/>
      <c r="L6565" s="668"/>
      <c r="M6565" s="668"/>
    </row>
    <row r="6566" spans="5:13">
      <c r="E6566" s="668"/>
      <c r="F6566" s="668"/>
      <c r="G6566" s="668"/>
      <c r="H6566" s="668"/>
      <c r="I6566" s="668"/>
      <c r="J6566" s="668"/>
      <c r="K6566" s="668"/>
      <c r="L6566" s="668"/>
      <c r="M6566" s="668"/>
    </row>
    <row r="6567" spans="5:13">
      <c r="E6567" s="668"/>
      <c r="F6567" s="668"/>
      <c r="G6567" s="668"/>
      <c r="H6567" s="668"/>
      <c r="I6567" s="668"/>
      <c r="J6567" s="668"/>
      <c r="K6567" s="668"/>
      <c r="L6567" s="668"/>
      <c r="M6567" s="668"/>
    </row>
    <row r="6568" spans="5:13">
      <c r="E6568" s="668"/>
      <c r="F6568" s="668"/>
      <c r="G6568" s="668"/>
      <c r="H6568" s="668"/>
      <c r="I6568" s="668"/>
      <c r="J6568" s="668"/>
      <c r="K6568" s="668"/>
      <c r="L6568" s="668"/>
      <c r="M6568" s="668"/>
    </row>
    <row r="6569" spans="5:13">
      <c r="E6569" s="668"/>
      <c r="F6569" s="668"/>
      <c r="G6569" s="668"/>
      <c r="H6569" s="668"/>
      <c r="I6569" s="668"/>
      <c r="J6569" s="668"/>
      <c r="K6569" s="668"/>
      <c r="L6569" s="668"/>
      <c r="M6569" s="668"/>
    </row>
    <row r="6570" spans="5:13">
      <c r="E6570" s="668"/>
      <c r="F6570" s="668"/>
      <c r="G6570" s="668"/>
      <c r="H6570" s="668"/>
      <c r="I6570" s="668"/>
      <c r="J6570" s="668"/>
      <c r="K6570" s="668"/>
      <c r="L6570" s="668"/>
      <c r="M6570" s="668"/>
    </row>
    <row r="6571" spans="5:13">
      <c r="E6571" s="668"/>
      <c r="F6571" s="668"/>
      <c r="G6571" s="668"/>
      <c r="H6571" s="668"/>
      <c r="I6571" s="668"/>
      <c r="J6571" s="668"/>
      <c r="K6571" s="668"/>
      <c r="L6571" s="668"/>
      <c r="M6571" s="668"/>
    </row>
    <row r="6572" spans="5:13">
      <c r="E6572" s="668"/>
      <c r="F6572" s="668"/>
      <c r="G6572" s="668"/>
      <c r="H6572" s="668"/>
      <c r="I6572" s="668"/>
      <c r="J6572" s="668"/>
      <c r="K6572" s="668"/>
      <c r="L6572" s="668"/>
      <c r="M6572" s="668"/>
    </row>
    <row r="6573" spans="5:13">
      <c r="E6573" s="668"/>
      <c r="F6573" s="668"/>
      <c r="G6573" s="668"/>
      <c r="H6573" s="668"/>
      <c r="I6573" s="668"/>
      <c r="J6573" s="668"/>
      <c r="K6573" s="668"/>
      <c r="L6573" s="668"/>
      <c r="M6573" s="668"/>
    </row>
    <row r="6574" spans="5:13">
      <c r="E6574" s="668"/>
      <c r="F6574" s="668"/>
      <c r="G6574" s="668"/>
      <c r="H6574" s="668"/>
      <c r="I6574" s="668"/>
      <c r="J6574" s="668"/>
      <c r="K6574" s="668"/>
      <c r="L6574" s="668"/>
      <c r="M6574" s="668"/>
    </row>
    <row r="6575" spans="5:13">
      <c r="E6575" s="668"/>
      <c r="F6575" s="668"/>
      <c r="G6575" s="668"/>
      <c r="H6575" s="668"/>
      <c r="I6575" s="668"/>
      <c r="J6575" s="668"/>
      <c r="K6575" s="668"/>
      <c r="L6575" s="668"/>
      <c r="M6575" s="668"/>
    </row>
    <row r="6576" spans="5:13">
      <c r="E6576" s="668"/>
      <c r="F6576" s="668"/>
      <c r="G6576" s="668"/>
      <c r="H6576" s="668"/>
      <c r="I6576" s="668"/>
      <c r="J6576" s="668"/>
      <c r="K6576" s="668"/>
      <c r="L6576" s="668"/>
      <c r="M6576" s="668"/>
    </row>
    <row r="6577" spans="5:13">
      <c r="E6577" s="668"/>
      <c r="F6577" s="668"/>
      <c r="G6577" s="668"/>
      <c r="H6577" s="668"/>
      <c r="I6577" s="668"/>
      <c r="J6577" s="668"/>
      <c r="K6577" s="668"/>
      <c r="L6577" s="668"/>
      <c r="M6577" s="668"/>
    </row>
    <row r="6578" spans="5:13">
      <c r="E6578" s="668"/>
      <c r="F6578" s="668"/>
      <c r="G6578" s="668"/>
      <c r="H6578" s="668"/>
      <c r="I6578" s="668"/>
      <c r="J6578" s="668"/>
      <c r="K6578" s="668"/>
      <c r="L6578" s="668"/>
      <c r="M6578" s="668"/>
    </row>
    <row r="6579" spans="5:13">
      <c r="E6579" s="668"/>
      <c r="F6579" s="668"/>
      <c r="G6579" s="668"/>
      <c r="H6579" s="668"/>
      <c r="I6579" s="668"/>
      <c r="J6579" s="668"/>
      <c r="K6579" s="668"/>
      <c r="L6579" s="668"/>
      <c r="M6579" s="668"/>
    </row>
    <row r="6580" spans="5:13">
      <c r="E6580" s="668"/>
      <c r="F6580" s="668"/>
      <c r="G6580" s="668"/>
      <c r="H6580" s="668"/>
      <c r="I6580" s="668"/>
      <c r="J6580" s="668"/>
      <c r="K6580" s="668"/>
      <c r="L6580" s="668"/>
      <c r="M6580" s="668"/>
    </row>
    <row r="6581" spans="5:13">
      <c r="E6581" s="668"/>
      <c r="F6581" s="668"/>
      <c r="G6581" s="668"/>
      <c r="H6581" s="668"/>
      <c r="I6581" s="668"/>
      <c r="J6581" s="668"/>
      <c r="K6581" s="668"/>
      <c r="L6581" s="668"/>
      <c r="M6581" s="668"/>
    </row>
    <row r="6582" spans="5:13">
      <c r="E6582" s="668"/>
      <c r="F6582" s="668"/>
      <c r="G6582" s="668"/>
      <c r="H6582" s="668"/>
      <c r="I6582" s="668"/>
      <c r="J6582" s="668"/>
      <c r="K6582" s="668"/>
      <c r="L6582" s="668"/>
      <c r="M6582" s="668"/>
    </row>
    <row r="6583" spans="5:13">
      <c r="E6583" s="668"/>
      <c r="F6583" s="668"/>
      <c r="G6583" s="668"/>
      <c r="H6583" s="668"/>
      <c r="I6583" s="668"/>
      <c r="J6583" s="668"/>
      <c r="K6583" s="668"/>
      <c r="L6583" s="668"/>
      <c r="M6583" s="668"/>
    </row>
    <row r="6584" spans="5:13">
      <c r="E6584" s="668"/>
      <c r="F6584" s="668"/>
      <c r="G6584" s="668"/>
      <c r="H6584" s="668"/>
      <c r="I6584" s="668"/>
      <c r="J6584" s="668"/>
      <c r="K6584" s="668"/>
      <c r="L6584" s="668"/>
      <c r="M6584" s="668"/>
    </row>
    <row r="6585" spans="5:13">
      <c r="E6585" s="668"/>
      <c r="F6585" s="668"/>
      <c r="G6585" s="668"/>
      <c r="H6585" s="668"/>
      <c r="I6585" s="668"/>
      <c r="J6585" s="668"/>
      <c r="K6585" s="668"/>
      <c r="L6585" s="668"/>
      <c r="M6585" s="668"/>
    </row>
    <row r="6586" spans="5:13">
      <c r="E6586" s="668"/>
      <c r="F6586" s="668"/>
      <c r="G6586" s="668"/>
      <c r="H6586" s="668"/>
      <c r="I6586" s="668"/>
      <c r="J6586" s="668"/>
      <c r="K6586" s="668"/>
      <c r="L6586" s="668"/>
      <c r="M6586" s="668"/>
    </row>
    <row r="6587" spans="5:13">
      <c r="E6587" s="668"/>
      <c r="F6587" s="668"/>
      <c r="G6587" s="668"/>
      <c r="H6587" s="668"/>
      <c r="I6587" s="668"/>
      <c r="J6587" s="668"/>
      <c r="K6587" s="668"/>
      <c r="L6587" s="668"/>
      <c r="M6587" s="668"/>
    </row>
    <row r="6588" spans="5:13">
      <c r="E6588" s="668"/>
      <c r="F6588" s="668"/>
      <c r="G6588" s="668"/>
      <c r="H6588" s="668"/>
      <c r="I6588" s="668"/>
      <c r="J6588" s="668"/>
      <c r="K6588" s="668"/>
      <c r="L6588" s="668"/>
      <c r="M6588" s="668"/>
    </row>
    <row r="6589" spans="5:13">
      <c r="E6589" s="668"/>
      <c r="F6589" s="668"/>
      <c r="G6589" s="668"/>
      <c r="H6589" s="668"/>
      <c r="I6589" s="668"/>
      <c r="J6589" s="668"/>
      <c r="K6589" s="668"/>
      <c r="L6589" s="668"/>
      <c r="M6589" s="668"/>
    </row>
    <row r="6590" spans="5:13">
      <c r="E6590" s="668"/>
      <c r="F6590" s="668"/>
      <c r="G6590" s="668"/>
      <c r="H6590" s="668"/>
      <c r="I6590" s="668"/>
      <c r="J6590" s="668"/>
      <c r="K6590" s="668"/>
      <c r="L6590" s="668"/>
      <c r="M6590" s="668"/>
    </row>
    <row r="6591" spans="5:13">
      <c r="E6591" s="668"/>
      <c r="F6591" s="668"/>
      <c r="G6591" s="668"/>
      <c r="H6591" s="668"/>
      <c r="I6591" s="668"/>
      <c r="J6591" s="668"/>
      <c r="K6591" s="668"/>
      <c r="L6591" s="668"/>
      <c r="M6591" s="668"/>
    </row>
    <row r="6592" spans="5:13">
      <c r="E6592" s="668"/>
      <c r="F6592" s="668"/>
      <c r="G6592" s="668"/>
      <c r="H6592" s="668"/>
      <c r="I6592" s="668"/>
      <c r="J6592" s="668"/>
      <c r="K6592" s="668"/>
      <c r="L6592" s="668"/>
      <c r="M6592" s="668"/>
    </row>
    <row r="6593" spans="5:13">
      <c r="E6593" s="668"/>
      <c r="F6593" s="668"/>
      <c r="G6593" s="668"/>
      <c r="H6593" s="668"/>
      <c r="I6593" s="668"/>
      <c r="J6593" s="668"/>
      <c r="K6593" s="668"/>
      <c r="L6593" s="668"/>
      <c r="M6593" s="668"/>
    </row>
    <row r="6594" spans="5:13">
      <c r="E6594" s="668"/>
      <c r="F6594" s="668"/>
      <c r="G6594" s="668"/>
      <c r="H6594" s="668"/>
      <c r="I6594" s="668"/>
      <c r="J6594" s="668"/>
      <c r="K6594" s="668"/>
      <c r="L6594" s="668"/>
      <c r="M6594" s="668"/>
    </row>
    <row r="6595" spans="5:13">
      <c r="E6595" s="668"/>
      <c r="F6595" s="668"/>
      <c r="G6595" s="668"/>
      <c r="H6595" s="668"/>
      <c r="I6595" s="668"/>
      <c r="J6595" s="668"/>
      <c r="K6595" s="668"/>
      <c r="L6595" s="668"/>
      <c r="M6595" s="668"/>
    </row>
    <row r="6596" spans="5:13">
      <c r="E6596" s="668"/>
      <c r="F6596" s="668"/>
      <c r="G6596" s="668"/>
      <c r="H6596" s="668"/>
      <c r="I6596" s="668"/>
      <c r="J6596" s="668"/>
      <c r="K6596" s="668"/>
      <c r="L6596" s="668"/>
      <c r="M6596" s="668"/>
    </row>
    <row r="6597" spans="5:13">
      <c r="E6597" s="668"/>
      <c r="F6597" s="668"/>
      <c r="G6597" s="668"/>
      <c r="H6597" s="668"/>
      <c r="I6597" s="668"/>
      <c r="J6597" s="668"/>
      <c r="K6597" s="668"/>
      <c r="L6597" s="668"/>
      <c r="M6597" s="668"/>
    </row>
    <row r="6598" spans="5:13">
      <c r="E6598" s="668"/>
      <c r="F6598" s="668"/>
      <c r="G6598" s="668"/>
      <c r="H6598" s="668"/>
      <c r="I6598" s="668"/>
      <c r="J6598" s="668"/>
      <c r="K6598" s="668"/>
      <c r="L6598" s="668"/>
      <c r="M6598" s="668"/>
    </row>
    <row r="6599" spans="5:13">
      <c r="E6599" s="668"/>
      <c r="F6599" s="668"/>
      <c r="G6599" s="668"/>
      <c r="H6599" s="668"/>
      <c r="I6599" s="668"/>
      <c r="J6599" s="668"/>
      <c r="K6599" s="668"/>
      <c r="L6599" s="668"/>
      <c r="M6599" s="668"/>
    </row>
    <row r="6600" spans="5:13">
      <c r="E6600" s="668"/>
      <c r="F6600" s="668"/>
      <c r="G6600" s="668"/>
      <c r="H6600" s="668"/>
      <c r="I6600" s="668"/>
      <c r="J6600" s="668"/>
      <c r="K6600" s="668"/>
      <c r="L6600" s="668"/>
      <c r="M6600" s="668"/>
    </row>
    <row r="6601" spans="5:13">
      <c r="E6601" s="668"/>
      <c r="F6601" s="668"/>
      <c r="G6601" s="668"/>
      <c r="H6601" s="668"/>
      <c r="I6601" s="668"/>
      <c r="J6601" s="668"/>
      <c r="K6601" s="668"/>
      <c r="L6601" s="668"/>
      <c r="M6601" s="668"/>
    </row>
    <row r="6602" spans="5:13">
      <c r="E6602" s="668"/>
      <c r="F6602" s="668"/>
      <c r="G6602" s="668"/>
      <c r="H6602" s="668"/>
      <c r="I6602" s="668"/>
      <c r="J6602" s="668"/>
      <c r="K6602" s="668"/>
      <c r="L6602" s="668"/>
      <c r="M6602" s="668"/>
    </row>
    <row r="6603" spans="5:13">
      <c r="E6603" s="668"/>
      <c r="F6603" s="668"/>
      <c r="G6603" s="668"/>
      <c r="H6603" s="668"/>
      <c r="I6603" s="668"/>
      <c r="J6603" s="668"/>
      <c r="K6603" s="668"/>
      <c r="L6603" s="668"/>
      <c r="M6603" s="668"/>
    </row>
    <row r="6604" spans="5:13">
      <c r="E6604" s="668"/>
      <c r="F6604" s="668"/>
      <c r="G6604" s="668"/>
      <c r="H6604" s="668"/>
      <c r="I6604" s="668"/>
      <c r="J6604" s="668"/>
      <c r="K6604" s="668"/>
      <c r="L6604" s="668"/>
      <c r="M6604" s="668"/>
    </row>
    <row r="6605" spans="5:13">
      <c r="E6605" s="668"/>
      <c r="F6605" s="668"/>
      <c r="G6605" s="668"/>
      <c r="H6605" s="668"/>
      <c r="I6605" s="668"/>
      <c r="J6605" s="668"/>
      <c r="K6605" s="668"/>
      <c r="L6605" s="668"/>
      <c r="M6605" s="668"/>
    </row>
    <row r="6606" spans="5:13">
      <c r="E6606" s="668"/>
      <c r="F6606" s="668"/>
      <c r="G6606" s="668"/>
      <c r="H6606" s="668"/>
      <c r="I6606" s="668"/>
      <c r="J6606" s="668"/>
      <c r="K6606" s="668"/>
      <c r="L6606" s="668"/>
      <c r="M6606" s="668"/>
    </row>
    <row r="6607" spans="5:13">
      <c r="E6607" s="668"/>
      <c r="F6607" s="668"/>
      <c r="G6607" s="668"/>
      <c r="H6607" s="668"/>
      <c r="I6607" s="668"/>
      <c r="J6607" s="668"/>
      <c r="K6607" s="668"/>
      <c r="L6607" s="668"/>
      <c r="M6607" s="668"/>
    </row>
    <row r="6608" spans="5:13">
      <c r="E6608" s="668"/>
      <c r="F6608" s="668"/>
      <c r="G6608" s="668"/>
      <c r="H6608" s="668"/>
      <c r="I6608" s="668"/>
      <c r="J6608" s="668"/>
      <c r="K6608" s="668"/>
      <c r="L6608" s="668"/>
      <c r="M6608" s="668"/>
    </row>
    <row r="6609" spans="5:13">
      <c r="E6609" s="668"/>
      <c r="F6609" s="668"/>
      <c r="G6609" s="668"/>
      <c r="H6609" s="668"/>
      <c r="I6609" s="668"/>
      <c r="J6609" s="668"/>
      <c r="K6609" s="668"/>
      <c r="L6609" s="668"/>
      <c r="M6609" s="668"/>
    </row>
    <row r="6610" spans="5:13">
      <c r="E6610" s="668"/>
      <c r="F6610" s="668"/>
      <c r="G6610" s="668"/>
      <c r="H6610" s="668"/>
      <c r="I6610" s="668"/>
      <c r="J6610" s="668"/>
      <c r="K6610" s="668"/>
      <c r="L6610" s="668"/>
      <c r="M6610" s="668"/>
    </row>
    <row r="6611" spans="5:13">
      <c r="E6611" s="668"/>
      <c r="F6611" s="668"/>
      <c r="G6611" s="668"/>
      <c r="H6611" s="668"/>
      <c r="I6611" s="668"/>
      <c r="J6611" s="668"/>
      <c r="K6611" s="668"/>
      <c r="L6611" s="668"/>
      <c r="M6611" s="668"/>
    </row>
    <row r="6612" spans="5:13">
      <c r="E6612" s="668"/>
      <c r="F6612" s="668"/>
      <c r="G6612" s="668"/>
      <c r="H6612" s="668"/>
      <c r="I6612" s="668"/>
      <c r="J6612" s="668"/>
      <c r="K6612" s="668"/>
      <c r="L6612" s="668"/>
      <c r="M6612" s="668"/>
    </row>
    <row r="6613" spans="5:13">
      <c r="E6613" s="668"/>
      <c r="F6613" s="668"/>
      <c r="G6613" s="668"/>
      <c r="H6613" s="668"/>
      <c r="I6613" s="668"/>
      <c r="J6613" s="668"/>
      <c r="K6613" s="668"/>
      <c r="L6613" s="668"/>
      <c r="M6613" s="668"/>
    </row>
    <row r="6614" spans="5:13">
      <c r="E6614" s="668"/>
      <c r="F6614" s="668"/>
      <c r="G6614" s="668"/>
      <c r="H6614" s="668"/>
      <c r="I6614" s="668"/>
      <c r="J6614" s="668"/>
      <c r="K6614" s="668"/>
      <c r="L6614" s="668"/>
      <c r="M6614" s="668"/>
    </row>
    <row r="6615" spans="5:13">
      <c r="E6615" s="668"/>
      <c r="F6615" s="668"/>
      <c r="G6615" s="668"/>
      <c r="H6615" s="668"/>
      <c r="I6615" s="668"/>
      <c r="J6615" s="668"/>
      <c r="K6615" s="668"/>
      <c r="L6615" s="668"/>
      <c r="M6615" s="668"/>
    </row>
    <row r="6616" spans="5:13">
      <c r="E6616" s="668"/>
      <c r="F6616" s="668"/>
      <c r="G6616" s="668"/>
      <c r="H6616" s="668"/>
      <c r="I6616" s="668"/>
      <c r="J6616" s="668"/>
      <c r="K6616" s="668"/>
      <c r="L6616" s="668"/>
      <c r="M6616" s="668"/>
    </row>
    <row r="6617" spans="5:13">
      <c r="E6617" s="668"/>
      <c r="F6617" s="668"/>
      <c r="G6617" s="668"/>
      <c r="H6617" s="668"/>
      <c r="I6617" s="668"/>
      <c r="J6617" s="668"/>
      <c r="K6617" s="668"/>
      <c r="L6617" s="668"/>
      <c r="M6617" s="668"/>
    </row>
    <row r="6618" spans="5:13">
      <c r="E6618" s="668"/>
      <c r="F6618" s="668"/>
      <c r="G6618" s="668"/>
      <c r="H6618" s="668"/>
      <c r="I6618" s="668"/>
      <c r="J6618" s="668"/>
      <c r="K6618" s="668"/>
      <c r="L6618" s="668"/>
      <c r="M6618" s="668"/>
    </row>
    <row r="6619" spans="5:13">
      <c r="E6619" s="668"/>
      <c r="F6619" s="668"/>
      <c r="G6619" s="668"/>
      <c r="H6619" s="668"/>
      <c r="I6619" s="668"/>
      <c r="J6619" s="668"/>
      <c r="K6619" s="668"/>
      <c r="L6619" s="668"/>
      <c r="M6619" s="668"/>
    </row>
    <row r="6620" spans="5:13">
      <c r="E6620" s="668"/>
      <c r="F6620" s="668"/>
      <c r="G6620" s="668"/>
      <c r="H6620" s="668"/>
      <c r="I6620" s="668"/>
      <c r="J6620" s="668"/>
      <c r="K6620" s="668"/>
      <c r="L6620" s="668"/>
      <c r="M6620" s="668"/>
    </row>
    <row r="6621" spans="5:13">
      <c r="E6621" s="668"/>
      <c r="F6621" s="668"/>
      <c r="G6621" s="668"/>
      <c r="H6621" s="668"/>
      <c r="I6621" s="668"/>
      <c r="J6621" s="668"/>
      <c r="K6621" s="668"/>
      <c r="L6621" s="668"/>
      <c r="M6621" s="668"/>
    </row>
    <row r="6622" spans="5:13">
      <c r="E6622" s="668"/>
      <c r="F6622" s="668"/>
      <c r="G6622" s="668"/>
      <c r="H6622" s="668"/>
      <c r="I6622" s="668"/>
      <c r="J6622" s="668"/>
      <c r="K6622" s="668"/>
      <c r="L6622" s="668"/>
      <c r="M6622" s="668"/>
    </row>
    <row r="6623" spans="5:13">
      <c r="E6623" s="668"/>
      <c r="F6623" s="668"/>
      <c r="G6623" s="668"/>
      <c r="H6623" s="668"/>
      <c r="I6623" s="668"/>
      <c r="J6623" s="668"/>
      <c r="K6623" s="668"/>
      <c r="L6623" s="668"/>
      <c r="M6623" s="668"/>
    </row>
    <row r="6624" spans="5:13">
      <c r="E6624" s="668"/>
      <c r="F6624" s="668"/>
      <c r="G6624" s="668"/>
      <c r="H6624" s="668"/>
      <c r="I6624" s="668"/>
      <c r="J6624" s="668"/>
      <c r="K6624" s="668"/>
      <c r="L6624" s="668"/>
      <c r="M6624" s="668"/>
    </row>
    <row r="6625" spans="5:13">
      <c r="E6625" s="668"/>
      <c r="F6625" s="668"/>
      <c r="G6625" s="668"/>
      <c r="H6625" s="668"/>
      <c r="I6625" s="668"/>
      <c r="J6625" s="668"/>
      <c r="K6625" s="668"/>
      <c r="L6625" s="668"/>
      <c r="M6625" s="668"/>
    </row>
    <row r="6626" spans="5:13">
      <c r="E6626" s="668"/>
      <c r="F6626" s="668"/>
      <c r="G6626" s="668"/>
      <c r="H6626" s="668"/>
      <c r="I6626" s="668"/>
      <c r="J6626" s="668"/>
      <c r="K6626" s="668"/>
      <c r="L6626" s="668"/>
      <c r="M6626" s="668"/>
    </row>
    <row r="6627" spans="5:13">
      <c r="E6627" s="668"/>
      <c r="F6627" s="668"/>
      <c r="G6627" s="668"/>
      <c r="H6627" s="668"/>
      <c r="I6627" s="668"/>
      <c r="J6627" s="668"/>
      <c r="K6627" s="668"/>
      <c r="L6627" s="668"/>
      <c r="M6627" s="668"/>
    </row>
    <row r="6628" spans="5:13">
      <c r="E6628" s="668"/>
      <c r="F6628" s="668"/>
      <c r="G6628" s="668"/>
      <c r="H6628" s="668"/>
      <c r="I6628" s="668"/>
      <c r="J6628" s="668"/>
      <c r="K6628" s="668"/>
      <c r="L6628" s="668"/>
      <c r="M6628" s="668"/>
    </row>
    <row r="6629" spans="5:13">
      <c r="E6629" s="668"/>
      <c r="F6629" s="668"/>
      <c r="G6629" s="668"/>
      <c r="H6629" s="668"/>
      <c r="I6629" s="668"/>
      <c r="J6629" s="668"/>
      <c r="K6629" s="668"/>
      <c r="L6629" s="668"/>
      <c r="M6629" s="668"/>
    </row>
    <row r="6630" spans="5:13">
      <c r="E6630" s="668"/>
      <c r="F6630" s="668"/>
      <c r="G6630" s="668"/>
      <c r="H6630" s="668"/>
      <c r="I6630" s="668"/>
      <c r="J6630" s="668"/>
      <c r="K6630" s="668"/>
      <c r="L6630" s="668"/>
      <c r="M6630" s="668"/>
    </row>
    <row r="6631" spans="5:13">
      <c r="E6631" s="668"/>
      <c r="F6631" s="668"/>
      <c r="G6631" s="668"/>
      <c r="H6631" s="668"/>
      <c r="I6631" s="668"/>
      <c r="J6631" s="668"/>
      <c r="K6631" s="668"/>
      <c r="L6631" s="668"/>
      <c r="M6631" s="668"/>
    </row>
    <row r="6632" spans="5:13">
      <c r="E6632" s="668"/>
      <c r="F6632" s="668"/>
      <c r="G6632" s="668"/>
      <c r="H6632" s="668"/>
      <c r="I6632" s="668"/>
      <c r="J6632" s="668"/>
      <c r="K6632" s="668"/>
      <c r="L6632" s="668"/>
      <c r="M6632" s="668"/>
    </row>
    <row r="6633" spans="5:13">
      <c r="E6633" s="668"/>
      <c r="F6633" s="668"/>
      <c r="G6633" s="668"/>
      <c r="H6633" s="668"/>
      <c r="I6633" s="668"/>
      <c r="J6633" s="668"/>
      <c r="K6633" s="668"/>
      <c r="L6633" s="668"/>
      <c r="M6633" s="668"/>
    </row>
    <row r="6634" spans="5:13">
      <c r="E6634" s="668"/>
      <c r="F6634" s="668"/>
      <c r="G6634" s="668"/>
      <c r="H6634" s="668"/>
      <c r="I6634" s="668"/>
      <c r="J6634" s="668"/>
      <c r="K6634" s="668"/>
      <c r="L6634" s="668"/>
      <c r="M6634" s="668"/>
    </row>
    <row r="6635" spans="5:13">
      <c r="E6635" s="668"/>
      <c r="F6635" s="668"/>
      <c r="G6635" s="668"/>
      <c r="H6635" s="668"/>
      <c r="I6635" s="668"/>
      <c r="J6635" s="668"/>
      <c r="K6635" s="668"/>
      <c r="L6635" s="668"/>
      <c r="M6635" s="668"/>
    </row>
    <row r="6636" spans="5:13">
      <c r="E6636" s="668"/>
      <c r="F6636" s="668"/>
      <c r="G6636" s="668"/>
      <c r="H6636" s="668"/>
      <c r="I6636" s="668"/>
      <c r="J6636" s="668"/>
      <c r="K6636" s="668"/>
      <c r="L6636" s="668"/>
      <c r="M6636" s="668"/>
    </row>
    <row r="6637" spans="5:13">
      <c r="E6637" s="668"/>
      <c r="F6637" s="668"/>
      <c r="G6637" s="668"/>
      <c r="H6637" s="668"/>
      <c r="I6637" s="668"/>
      <c r="J6637" s="668"/>
      <c r="K6637" s="668"/>
      <c r="L6637" s="668"/>
      <c r="M6637" s="668"/>
    </row>
    <row r="6638" spans="5:13">
      <c r="E6638" s="668"/>
      <c r="F6638" s="668"/>
      <c r="G6638" s="668"/>
      <c r="H6638" s="668"/>
      <c r="I6638" s="668"/>
      <c r="J6638" s="668"/>
      <c r="K6638" s="668"/>
      <c r="L6638" s="668"/>
      <c r="M6638" s="668"/>
    </row>
    <row r="6639" spans="5:13">
      <c r="E6639" s="668"/>
      <c r="F6639" s="668"/>
      <c r="G6639" s="668"/>
      <c r="H6639" s="668"/>
      <c r="I6639" s="668"/>
      <c r="J6639" s="668"/>
      <c r="K6639" s="668"/>
      <c r="L6639" s="668"/>
      <c r="M6639" s="668"/>
    </row>
    <row r="6640" spans="5:13">
      <c r="E6640" s="668"/>
      <c r="F6640" s="668"/>
      <c r="G6640" s="668"/>
      <c r="H6640" s="668"/>
      <c r="I6640" s="668"/>
      <c r="J6640" s="668"/>
      <c r="K6640" s="668"/>
      <c r="L6640" s="668"/>
      <c r="M6640" s="668"/>
    </row>
    <row r="6641" spans="5:13">
      <c r="E6641" s="668"/>
      <c r="F6641" s="668"/>
      <c r="G6641" s="668"/>
      <c r="H6641" s="668"/>
      <c r="I6641" s="668"/>
      <c r="J6641" s="668"/>
      <c r="K6641" s="668"/>
      <c r="L6641" s="668"/>
      <c r="M6641" s="668"/>
    </row>
    <row r="6642" spans="5:13">
      <c r="E6642" s="668"/>
      <c r="F6642" s="668"/>
      <c r="G6642" s="668"/>
      <c r="H6642" s="668"/>
      <c r="I6642" s="668"/>
      <c r="J6642" s="668"/>
      <c r="K6642" s="668"/>
      <c r="L6642" s="668"/>
      <c r="M6642" s="668"/>
    </row>
    <row r="6643" spans="5:13">
      <c r="E6643" s="668"/>
      <c r="F6643" s="668"/>
      <c r="G6643" s="668"/>
      <c r="H6643" s="668"/>
      <c r="I6643" s="668"/>
      <c r="J6643" s="668"/>
      <c r="K6643" s="668"/>
      <c r="L6643" s="668"/>
      <c r="M6643" s="668"/>
    </row>
    <row r="6644" spans="5:13">
      <c r="E6644" s="668"/>
      <c r="F6644" s="668"/>
      <c r="G6644" s="668"/>
      <c r="H6644" s="668"/>
      <c r="I6644" s="668"/>
      <c r="J6644" s="668"/>
      <c r="K6644" s="668"/>
      <c r="L6644" s="668"/>
      <c r="M6644" s="668"/>
    </row>
    <row r="6645" spans="5:13">
      <c r="E6645" s="668"/>
      <c r="F6645" s="668"/>
      <c r="G6645" s="668"/>
      <c r="H6645" s="668"/>
      <c r="I6645" s="668"/>
      <c r="J6645" s="668"/>
      <c r="K6645" s="668"/>
      <c r="L6645" s="668"/>
      <c r="M6645" s="668"/>
    </row>
    <row r="6646" spans="5:13">
      <c r="E6646" s="668"/>
      <c r="F6646" s="668"/>
      <c r="G6646" s="668"/>
      <c r="H6646" s="668"/>
      <c r="I6646" s="668"/>
      <c r="J6646" s="668"/>
      <c r="K6646" s="668"/>
      <c r="L6646" s="668"/>
      <c r="M6646" s="668"/>
    </row>
    <row r="6647" spans="5:13">
      <c r="E6647" s="668"/>
      <c r="F6647" s="668"/>
      <c r="G6647" s="668"/>
      <c r="H6647" s="668"/>
      <c r="I6647" s="668"/>
      <c r="J6647" s="668"/>
      <c r="K6647" s="668"/>
      <c r="L6647" s="668"/>
      <c r="M6647" s="668"/>
    </row>
    <row r="6648" spans="5:13">
      <c r="E6648" s="668"/>
      <c r="F6648" s="668"/>
      <c r="G6648" s="668"/>
      <c r="H6648" s="668"/>
      <c r="I6648" s="668"/>
      <c r="J6648" s="668"/>
      <c r="K6648" s="668"/>
      <c r="L6648" s="668"/>
      <c r="M6648" s="668"/>
    </row>
    <row r="6649" spans="5:13">
      <c r="E6649" s="668"/>
      <c r="F6649" s="668"/>
      <c r="G6649" s="668"/>
      <c r="H6649" s="668"/>
      <c r="I6649" s="668"/>
      <c r="J6649" s="668"/>
      <c r="K6649" s="668"/>
      <c r="L6649" s="668"/>
      <c r="M6649" s="668"/>
    </row>
    <row r="6650" spans="5:13">
      <c r="E6650" s="668"/>
      <c r="F6650" s="668"/>
      <c r="G6650" s="668"/>
      <c r="H6650" s="668"/>
      <c r="I6650" s="668"/>
      <c r="J6650" s="668"/>
      <c r="K6650" s="668"/>
      <c r="L6650" s="668"/>
      <c r="M6650" s="668"/>
    </row>
    <row r="6651" spans="5:13">
      <c r="E6651" s="668"/>
      <c r="F6651" s="668"/>
      <c r="G6651" s="668"/>
      <c r="H6651" s="668"/>
      <c r="I6651" s="668"/>
      <c r="J6651" s="668"/>
      <c r="K6651" s="668"/>
      <c r="L6651" s="668"/>
      <c r="M6651" s="668"/>
    </row>
    <row r="6652" spans="5:13">
      <c r="E6652" s="668"/>
      <c r="F6652" s="668"/>
      <c r="G6652" s="668"/>
      <c r="H6652" s="668"/>
      <c r="I6652" s="668"/>
      <c r="J6652" s="668"/>
      <c r="K6652" s="668"/>
      <c r="L6652" s="668"/>
      <c r="M6652" s="668"/>
    </row>
    <row r="6653" spans="5:13">
      <c r="E6653" s="668"/>
      <c r="F6653" s="668"/>
      <c r="G6653" s="668"/>
      <c r="H6653" s="668"/>
      <c r="I6653" s="668"/>
      <c r="J6653" s="668"/>
      <c r="K6653" s="668"/>
      <c r="L6653" s="668"/>
      <c r="M6653" s="668"/>
    </row>
    <row r="6654" spans="5:13">
      <c r="E6654" s="668"/>
      <c r="F6654" s="668"/>
      <c r="G6654" s="668"/>
      <c r="H6654" s="668"/>
      <c r="I6654" s="668"/>
      <c r="J6654" s="668"/>
      <c r="K6654" s="668"/>
      <c r="L6654" s="668"/>
      <c r="M6654" s="668"/>
    </row>
    <row r="6655" spans="5:13">
      <c r="E6655" s="668"/>
      <c r="F6655" s="668"/>
      <c r="G6655" s="668"/>
      <c r="H6655" s="668"/>
      <c r="I6655" s="668"/>
      <c r="J6655" s="668"/>
      <c r="K6655" s="668"/>
      <c r="L6655" s="668"/>
      <c r="M6655" s="668"/>
    </row>
    <row r="6656" spans="5:13">
      <c r="E6656" s="668"/>
      <c r="F6656" s="668"/>
      <c r="G6656" s="668"/>
      <c r="H6656" s="668"/>
      <c r="I6656" s="668"/>
      <c r="J6656" s="668"/>
      <c r="K6656" s="668"/>
      <c r="L6656" s="668"/>
      <c r="M6656" s="668"/>
    </row>
    <row r="6657" spans="5:13">
      <c r="E6657" s="668"/>
      <c r="F6657" s="668"/>
      <c r="G6657" s="668"/>
      <c r="H6657" s="668"/>
      <c r="I6657" s="668"/>
      <c r="J6657" s="668"/>
      <c r="K6657" s="668"/>
      <c r="L6657" s="668"/>
      <c r="M6657" s="668"/>
    </row>
    <row r="6658" spans="5:13">
      <c r="E6658" s="668"/>
      <c r="F6658" s="668"/>
      <c r="G6658" s="668"/>
      <c r="H6658" s="668"/>
      <c r="I6658" s="668"/>
      <c r="J6658" s="668"/>
      <c r="K6658" s="668"/>
      <c r="L6658" s="668"/>
      <c r="M6658" s="668"/>
    </row>
    <row r="6659" spans="5:13">
      <c r="E6659" s="668"/>
      <c r="F6659" s="668"/>
      <c r="G6659" s="668"/>
      <c r="H6659" s="668"/>
      <c r="I6659" s="668"/>
      <c r="J6659" s="668"/>
      <c r="K6659" s="668"/>
      <c r="L6659" s="668"/>
      <c r="M6659" s="668"/>
    </row>
    <row r="6660" spans="5:13">
      <c r="E6660" s="668"/>
      <c r="F6660" s="668"/>
      <c r="G6660" s="668"/>
      <c r="H6660" s="668"/>
      <c r="I6660" s="668"/>
      <c r="J6660" s="668"/>
      <c r="K6660" s="668"/>
      <c r="L6660" s="668"/>
      <c r="M6660" s="668"/>
    </row>
    <row r="6661" spans="5:13">
      <c r="E6661" s="668"/>
      <c r="F6661" s="668"/>
      <c r="G6661" s="668"/>
      <c r="H6661" s="668"/>
      <c r="I6661" s="668"/>
      <c r="J6661" s="668"/>
      <c r="K6661" s="668"/>
      <c r="L6661" s="668"/>
      <c r="M6661" s="668"/>
    </row>
    <row r="6662" spans="5:13">
      <c r="E6662" s="668"/>
      <c r="F6662" s="668"/>
      <c r="G6662" s="668"/>
      <c r="H6662" s="668"/>
      <c r="I6662" s="668"/>
      <c r="J6662" s="668"/>
      <c r="K6662" s="668"/>
      <c r="L6662" s="668"/>
      <c r="M6662" s="668"/>
    </row>
    <row r="6663" spans="5:13">
      <c r="E6663" s="668"/>
      <c r="F6663" s="668"/>
      <c r="G6663" s="668"/>
      <c r="H6663" s="668"/>
      <c r="I6663" s="668"/>
      <c r="J6663" s="668"/>
      <c r="K6663" s="668"/>
      <c r="L6663" s="668"/>
      <c r="M6663" s="668"/>
    </row>
    <row r="6664" spans="5:13">
      <c r="E6664" s="668"/>
      <c r="F6664" s="668"/>
      <c r="G6664" s="668"/>
      <c r="H6664" s="668"/>
      <c r="I6664" s="668"/>
      <c r="J6664" s="668"/>
      <c r="K6664" s="668"/>
      <c r="L6664" s="668"/>
      <c r="M6664" s="668"/>
    </row>
    <row r="6665" spans="5:13">
      <c r="E6665" s="668"/>
      <c r="F6665" s="668"/>
      <c r="G6665" s="668"/>
      <c r="H6665" s="668"/>
      <c r="I6665" s="668"/>
      <c r="J6665" s="668"/>
      <c r="K6665" s="668"/>
      <c r="L6665" s="668"/>
      <c r="M6665" s="668"/>
    </row>
    <row r="6666" spans="5:13">
      <c r="E6666" s="668"/>
      <c r="F6666" s="668"/>
      <c r="G6666" s="668"/>
      <c r="H6666" s="668"/>
      <c r="I6666" s="668"/>
      <c r="J6666" s="668"/>
      <c r="K6666" s="668"/>
      <c r="L6666" s="668"/>
      <c r="M6666" s="668"/>
    </row>
    <row r="6667" spans="5:13">
      <c r="E6667" s="668"/>
      <c r="F6667" s="668"/>
      <c r="G6667" s="668"/>
      <c r="H6667" s="668"/>
      <c r="I6667" s="668"/>
      <c r="J6667" s="668"/>
      <c r="K6667" s="668"/>
      <c r="L6667" s="668"/>
      <c r="M6667" s="668"/>
    </row>
    <row r="6668" spans="5:13">
      <c r="E6668" s="668"/>
      <c r="F6668" s="668"/>
      <c r="G6668" s="668"/>
      <c r="H6668" s="668"/>
      <c r="I6668" s="668"/>
      <c r="J6668" s="668"/>
      <c r="K6668" s="668"/>
      <c r="L6668" s="668"/>
      <c r="M6668" s="668"/>
    </row>
    <row r="6669" spans="5:13">
      <c r="E6669" s="668"/>
      <c r="F6669" s="668"/>
      <c r="G6669" s="668"/>
      <c r="H6669" s="668"/>
      <c r="I6669" s="668"/>
      <c r="J6669" s="668"/>
      <c r="K6669" s="668"/>
      <c r="L6669" s="668"/>
      <c r="M6669" s="668"/>
    </row>
    <row r="6670" spans="5:13">
      <c r="E6670" s="668"/>
      <c r="F6670" s="668"/>
      <c r="G6670" s="668"/>
      <c r="H6670" s="668"/>
      <c r="I6670" s="668"/>
      <c r="J6670" s="668"/>
      <c r="K6670" s="668"/>
      <c r="L6670" s="668"/>
      <c r="M6670" s="668"/>
    </row>
    <row r="6671" spans="5:13">
      <c r="E6671" s="668"/>
      <c r="F6671" s="668"/>
      <c r="G6671" s="668"/>
      <c r="H6671" s="668"/>
      <c r="I6671" s="668"/>
      <c r="J6671" s="668"/>
      <c r="K6671" s="668"/>
      <c r="L6671" s="668"/>
      <c r="M6671" s="668"/>
    </row>
    <row r="6672" spans="5:13">
      <c r="E6672" s="668"/>
      <c r="F6672" s="668"/>
      <c r="G6672" s="668"/>
      <c r="H6672" s="668"/>
      <c r="I6672" s="668"/>
      <c r="J6672" s="668"/>
      <c r="K6672" s="668"/>
      <c r="L6672" s="668"/>
      <c r="M6672" s="668"/>
    </row>
    <row r="6673" spans="5:13">
      <c r="E6673" s="668"/>
      <c r="F6673" s="668"/>
      <c r="G6673" s="668"/>
      <c r="H6673" s="668"/>
      <c r="I6673" s="668"/>
      <c r="J6673" s="668"/>
      <c r="K6673" s="668"/>
      <c r="L6673" s="668"/>
      <c r="M6673" s="668"/>
    </row>
    <row r="6674" spans="5:13">
      <c r="E6674" s="668"/>
      <c r="F6674" s="668"/>
      <c r="G6674" s="668"/>
      <c r="H6674" s="668"/>
      <c r="I6674" s="668"/>
      <c r="J6674" s="668"/>
      <c r="K6674" s="668"/>
      <c r="L6674" s="668"/>
      <c r="M6674" s="668"/>
    </row>
    <row r="6675" spans="5:13">
      <c r="E6675" s="668"/>
      <c r="F6675" s="668"/>
      <c r="G6675" s="668"/>
      <c r="H6675" s="668"/>
      <c r="I6675" s="668"/>
      <c r="J6675" s="668"/>
      <c r="K6675" s="668"/>
      <c r="L6675" s="668"/>
      <c r="M6675" s="668"/>
    </row>
    <row r="6676" spans="5:13">
      <c r="E6676" s="668"/>
      <c r="F6676" s="668"/>
      <c r="G6676" s="668"/>
      <c r="H6676" s="668"/>
      <c r="I6676" s="668"/>
      <c r="J6676" s="668"/>
      <c r="K6676" s="668"/>
      <c r="L6676" s="668"/>
      <c r="M6676" s="668"/>
    </row>
    <row r="6677" spans="5:13">
      <c r="E6677" s="668"/>
      <c r="F6677" s="668"/>
      <c r="G6677" s="668"/>
      <c r="H6677" s="668"/>
      <c r="I6677" s="668"/>
      <c r="J6677" s="668"/>
      <c r="K6677" s="668"/>
      <c r="L6677" s="668"/>
      <c r="M6677" s="668"/>
    </row>
    <row r="6678" spans="5:13">
      <c r="E6678" s="668"/>
      <c r="F6678" s="668"/>
      <c r="G6678" s="668"/>
      <c r="H6678" s="668"/>
      <c r="I6678" s="668"/>
      <c r="J6678" s="668"/>
      <c r="K6678" s="668"/>
      <c r="L6678" s="668"/>
      <c r="M6678" s="668"/>
    </row>
    <row r="6679" spans="5:13">
      <c r="E6679" s="668"/>
      <c r="F6679" s="668"/>
      <c r="G6679" s="668"/>
      <c r="H6679" s="668"/>
      <c r="I6679" s="668"/>
      <c r="J6679" s="668"/>
      <c r="K6679" s="668"/>
      <c r="L6679" s="668"/>
      <c r="M6679" s="668"/>
    </row>
    <row r="6680" spans="5:13">
      <c r="E6680" s="668"/>
      <c r="F6680" s="668"/>
      <c r="G6680" s="668"/>
      <c r="H6680" s="668"/>
      <c r="I6680" s="668"/>
      <c r="J6680" s="668"/>
      <c r="K6680" s="668"/>
      <c r="L6680" s="668"/>
      <c r="M6680" s="668"/>
    </row>
    <row r="6681" spans="5:13">
      <c r="E6681" s="668"/>
      <c r="F6681" s="668"/>
      <c r="G6681" s="668"/>
      <c r="H6681" s="668"/>
      <c r="I6681" s="668"/>
      <c r="J6681" s="668"/>
      <c r="K6681" s="668"/>
      <c r="L6681" s="668"/>
      <c r="M6681" s="668"/>
    </row>
    <row r="6682" spans="5:13">
      <c r="E6682" s="668"/>
      <c r="F6682" s="668"/>
      <c r="G6682" s="668"/>
      <c r="H6682" s="668"/>
      <c r="I6682" s="668"/>
      <c r="J6682" s="668"/>
      <c r="K6682" s="668"/>
      <c r="L6682" s="668"/>
      <c r="M6682" s="668"/>
    </row>
    <row r="6683" spans="5:13">
      <c r="E6683" s="668"/>
      <c r="F6683" s="668"/>
      <c r="G6683" s="668"/>
      <c r="H6683" s="668"/>
      <c r="I6683" s="668"/>
      <c r="J6683" s="668"/>
      <c r="K6683" s="668"/>
      <c r="L6683" s="668"/>
      <c r="M6683" s="668"/>
    </row>
    <row r="6684" spans="5:13">
      <c r="E6684" s="668"/>
      <c r="F6684" s="668"/>
      <c r="G6684" s="668"/>
      <c r="H6684" s="668"/>
      <c r="I6684" s="668"/>
      <c r="J6684" s="668"/>
      <c r="K6684" s="668"/>
      <c r="L6684" s="668"/>
      <c r="M6684" s="668"/>
    </row>
    <row r="6685" spans="5:13">
      <c r="E6685" s="668"/>
      <c r="F6685" s="668"/>
      <c r="G6685" s="668"/>
      <c r="H6685" s="668"/>
      <c r="I6685" s="668"/>
      <c r="J6685" s="668"/>
      <c r="K6685" s="668"/>
      <c r="L6685" s="668"/>
      <c r="M6685" s="668"/>
    </row>
    <row r="6686" spans="5:13">
      <c r="E6686" s="668"/>
      <c r="F6686" s="668"/>
      <c r="G6686" s="668"/>
      <c r="H6686" s="668"/>
      <c r="I6686" s="668"/>
      <c r="J6686" s="668"/>
      <c r="K6686" s="668"/>
      <c r="L6686" s="668"/>
      <c r="M6686" s="668"/>
    </row>
    <row r="6687" spans="5:13">
      <c r="E6687" s="668"/>
      <c r="F6687" s="668"/>
      <c r="G6687" s="668"/>
      <c r="H6687" s="668"/>
      <c r="I6687" s="668"/>
      <c r="J6687" s="668"/>
      <c r="K6687" s="668"/>
      <c r="L6687" s="668"/>
      <c r="M6687" s="668"/>
    </row>
    <row r="6688" spans="5:13">
      <c r="E6688" s="668"/>
      <c r="F6688" s="668"/>
      <c r="G6688" s="668"/>
      <c r="H6688" s="668"/>
      <c r="I6688" s="668"/>
      <c r="J6688" s="668"/>
      <c r="K6688" s="668"/>
      <c r="L6688" s="668"/>
      <c r="M6688" s="668"/>
    </row>
    <row r="6689" spans="5:13">
      <c r="E6689" s="668"/>
      <c r="F6689" s="668"/>
      <c r="G6689" s="668"/>
      <c r="H6689" s="668"/>
      <c r="I6689" s="668"/>
      <c r="J6689" s="668"/>
      <c r="K6689" s="668"/>
      <c r="L6689" s="668"/>
      <c r="M6689" s="668"/>
    </row>
    <row r="6690" spans="5:13">
      <c r="E6690" s="668"/>
      <c r="F6690" s="668"/>
      <c r="G6690" s="668"/>
      <c r="H6690" s="668"/>
      <c r="I6690" s="668"/>
      <c r="J6690" s="668"/>
      <c r="K6690" s="668"/>
      <c r="L6690" s="668"/>
      <c r="M6690" s="668"/>
    </row>
    <row r="6691" spans="5:13">
      <c r="E6691" s="668"/>
      <c r="F6691" s="668"/>
      <c r="G6691" s="668"/>
      <c r="H6691" s="668"/>
      <c r="I6691" s="668"/>
      <c r="J6691" s="668"/>
      <c r="K6691" s="668"/>
      <c r="L6691" s="668"/>
      <c r="M6691" s="668"/>
    </row>
    <row r="6692" spans="5:13">
      <c r="E6692" s="668"/>
      <c r="F6692" s="668"/>
      <c r="G6692" s="668"/>
      <c r="H6692" s="668"/>
      <c r="I6692" s="668"/>
      <c r="J6692" s="668"/>
      <c r="K6692" s="668"/>
      <c r="L6692" s="668"/>
      <c r="M6692" s="668"/>
    </row>
    <row r="6693" spans="5:13">
      <c r="E6693" s="668"/>
      <c r="F6693" s="668"/>
      <c r="G6693" s="668"/>
      <c r="H6693" s="668"/>
      <c r="I6693" s="668"/>
      <c r="J6693" s="668"/>
      <c r="K6693" s="668"/>
      <c r="L6693" s="668"/>
      <c r="M6693" s="668"/>
    </row>
    <row r="6694" spans="5:13">
      <c r="E6694" s="668"/>
      <c r="F6694" s="668"/>
      <c r="G6694" s="668"/>
      <c r="H6694" s="668"/>
      <c r="I6694" s="668"/>
      <c r="J6694" s="668"/>
      <c r="K6694" s="668"/>
      <c r="L6694" s="668"/>
      <c r="M6694" s="668"/>
    </row>
    <row r="6695" spans="5:13">
      <c r="E6695" s="668"/>
      <c r="F6695" s="668"/>
      <c r="G6695" s="668"/>
      <c r="H6695" s="668"/>
      <c r="I6695" s="668"/>
      <c r="J6695" s="668"/>
      <c r="K6695" s="668"/>
      <c r="L6695" s="668"/>
      <c r="M6695" s="668"/>
    </row>
    <row r="6696" spans="5:13">
      <c r="E6696" s="668"/>
      <c r="F6696" s="668"/>
      <c r="G6696" s="668"/>
      <c r="H6696" s="668"/>
      <c r="I6696" s="668"/>
      <c r="J6696" s="668"/>
      <c r="K6696" s="668"/>
      <c r="L6696" s="668"/>
      <c r="M6696" s="668"/>
    </row>
    <row r="6697" spans="5:13">
      <c r="E6697" s="668"/>
      <c r="F6697" s="668"/>
      <c r="G6697" s="668"/>
      <c r="H6697" s="668"/>
      <c r="I6697" s="668"/>
      <c r="J6697" s="668"/>
      <c r="K6697" s="668"/>
      <c r="L6697" s="668"/>
      <c r="M6697" s="668"/>
    </row>
    <row r="6698" spans="5:13">
      <c r="E6698" s="668"/>
      <c r="F6698" s="668"/>
      <c r="G6698" s="668"/>
      <c r="H6698" s="668"/>
      <c r="I6698" s="668"/>
      <c r="J6698" s="668"/>
      <c r="K6698" s="668"/>
      <c r="L6698" s="668"/>
      <c r="M6698" s="668"/>
    </row>
    <row r="6699" spans="5:13">
      <c r="E6699" s="668"/>
      <c r="F6699" s="668"/>
      <c r="G6699" s="668"/>
      <c r="H6699" s="668"/>
      <c r="I6699" s="668"/>
      <c r="J6699" s="668"/>
      <c r="K6699" s="668"/>
      <c r="L6699" s="668"/>
      <c r="M6699" s="668"/>
    </row>
    <row r="6700" spans="5:13">
      <c r="E6700" s="668"/>
      <c r="F6700" s="668"/>
      <c r="G6700" s="668"/>
      <c r="H6700" s="668"/>
      <c r="I6700" s="668"/>
      <c r="J6700" s="668"/>
      <c r="K6700" s="668"/>
      <c r="L6700" s="668"/>
      <c r="M6700" s="668"/>
    </row>
    <row r="6701" spans="5:13">
      <c r="E6701" s="668"/>
      <c r="F6701" s="668"/>
      <c r="G6701" s="668"/>
      <c r="H6701" s="668"/>
      <c r="I6701" s="668"/>
      <c r="J6701" s="668"/>
      <c r="K6701" s="668"/>
      <c r="L6701" s="668"/>
      <c r="M6701" s="668"/>
    </row>
    <row r="6702" spans="5:13">
      <c r="E6702" s="668"/>
      <c r="F6702" s="668"/>
      <c r="G6702" s="668"/>
      <c r="H6702" s="668"/>
      <c r="I6702" s="668"/>
      <c r="J6702" s="668"/>
      <c r="K6702" s="668"/>
      <c r="L6702" s="668"/>
      <c r="M6702" s="668"/>
    </row>
    <row r="6703" spans="5:13">
      <c r="E6703" s="668"/>
      <c r="F6703" s="668"/>
      <c r="G6703" s="668"/>
      <c r="H6703" s="668"/>
      <c r="I6703" s="668"/>
      <c r="J6703" s="668"/>
      <c r="K6703" s="668"/>
      <c r="L6703" s="668"/>
      <c r="M6703" s="668"/>
    </row>
    <row r="6704" spans="5:13">
      <c r="E6704" s="668"/>
      <c r="F6704" s="668"/>
      <c r="G6704" s="668"/>
      <c r="H6704" s="668"/>
      <c r="I6704" s="668"/>
      <c r="J6704" s="668"/>
      <c r="K6704" s="668"/>
      <c r="L6704" s="668"/>
      <c r="M6704" s="668"/>
    </row>
    <row r="6705" spans="5:13">
      <c r="E6705" s="668"/>
      <c r="F6705" s="668"/>
      <c r="G6705" s="668"/>
      <c r="H6705" s="668"/>
      <c r="I6705" s="668"/>
      <c r="J6705" s="668"/>
      <c r="K6705" s="668"/>
      <c r="L6705" s="668"/>
      <c r="M6705" s="668"/>
    </row>
    <row r="6706" spans="5:13">
      <c r="E6706" s="668"/>
      <c r="F6706" s="668"/>
      <c r="G6706" s="668"/>
      <c r="H6706" s="668"/>
      <c r="I6706" s="668"/>
      <c r="J6706" s="668"/>
      <c r="K6706" s="668"/>
      <c r="L6706" s="668"/>
      <c r="M6706" s="668"/>
    </row>
    <row r="6707" spans="5:13">
      <c r="E6707" s="668"/>
      <c r="F6707" s="668"/>
      <c r="G6707" s="668"/>
      <c r="H6707" s="668"/>
      <c r="I6707" s="668"/>
      <c r="J6707" s="668"/>
      <c r="K6707" s="668"/>
      <c r="L6707" s="668"/>
      <c r="M6707" s="668"/>
    </row>
    <row r="6708" spans="5:13">
      <c r="E6708" s="668"/>
      <c r="F6708" s="668"/>
      <c r="G6708" s="668"/>
      <c r="H6708" s="668"/>
      <c r="I6708" s="668"/>
      <c r="J6708" s="668"/>
      <c r="K6708" s="668"/>
      <c r="L6708" s="668"/>
      <c r="M6708" s="668"/>
    </row>
    <row r="6709" spans="5:13">
      <c r="E6709" s="668"/>
      <c r="F6709" s="668"/>
      <c r="G6709" s="668"/>
      <c r="H6709" s="668"/>
      <c r="I6709" s="668"/>
      <c r="J6709" s="668"/>
      <c r="K6709" s="668"/>
      <c r="L6709" s="668"/>
      <c r="M6709" s="668"/>
    </row>
    <row r="6710" spans="5:13">
      <c r="E6710" s="668"/>
      <c r="F6710" s="668"/>
      <c r="G6710" s="668"/>
      <c r="H6710" s="668"/>
      <c r="I6710" s="668"/>
      <c r="J6710" s="668"/>
      <c r="K6710" s="668"/>
      <c r="L6710" s="668"/>
      <c r="M6710" s="668"/>
    </row>
    <row r="6711" spans="5:13">
      <c r="E6711" s="668"/>
      <c r="F6711" s="668"/>
      <c r="G6711" s="668"/>
      <c r="H6711" s="668"/>
      <c r="I6711" s="668"/>
      <c r="J6711" s="668"/>
      <c r="K6711" s="668"/>
      <c r="L6711" s="668"/>
      <c r="M6711" s="668"/>
    </row>
    <row r="6712" spans="5:13">
      <c r="E6712" s="668"/>
      <c r="F6712" s="668"/>
      <c r="G6712" s="668"/>
      <c r="H6712" s="668"/>
      <c r="I6712" s="668"/>
      <c r="J6712" s="668"/>
      <c r="K6712" s="668"/>
      <c r="L6712" s="668"/>
      <c r="M6712" s="668"/>
    </row>
    <row r="6713" spans="5:13">
      <c r="E6713" s="668"/>
      <c r="F6713" s="668"/>
      <c r="G6713" s="668"/>
      <c r="H6713" s="668"/>
      <c r="I6713" s="668"/>
      <c r="J6713" s="668"/>
      <c r="K6713" s="668"/>
      <c r="L6713" s="668"/>
      <c r="M6713" s="668"/>
    </row>
    <row r="6714" spans="5:13">
      <c r="E6714" s="668"/>
      <c r="F6714" s="668"/>
      <c r="G6714" s="668"/>
      <c r="H6714" s="668"/>
      <c r="I6714" s="668"/>
      <c r="J6714" s="668"/>
      <c r="K6714" s="668"/>
      <c r="L6714" s="668"/>
      <c r="M6714" s="668"/>
    </row>
    <row r="6715" spans="5:13">
      <c r="E6715" s="668"/>
      <c r="F6715" s="668"/>
      <c r="G6715" s="668"/>
      <c r="H6715" s="668"/>
      <c r="I6715" s="668"/>
      <c r="J6715" s="668"/>
      <c r="K6715" s="668"/>
      <c r="L6715" s="668"/>
      <c r="M6715" s="668"/>
    </row>
    <row r="6716" spans="5:13">
      <c r="E6716" s="668"/>
      <c r="F6716" s="668"/>
      <c r="G6716" s="668"/>
      <c r="H6716" s="668"/>
      <c r="I6716" s="668"/>
      <c r="J6716" s="668"/>
      <c r="K6716" s="668"/>
      <c r="L6716" s="668"/>
      <c r="M6716" s="668"/>
    </row>
    <row r="6717" spans="5:13">
      <c r="E6717" s="668"/>
      <c r="F6717" s="668"/>
      <c r="G6717" s="668"/>
      <c r="H6717" s="668"/>
      <c r="I6717" s="668"/>
      <c r="J6717" s="668"/>
      <c r="K6717" s="668"/>
      <c r="L6717" s="668"/>
      <c r="M6717" s="668"/>
    </row>
    <row r="6718" spans="5:13">
      <c r="E6718" s="668"/>
      <c r="F6718" s="668"/>
      <c r="G6718" s="668"/>
      <c r="H6718" s="668"/>
      <c r="I6718" s="668"/>
      <c r="J6718" s="668"/>
      <c r="K6718" s="668"/>
      <c r="L6718" s="668"/>
      <c r="M6718" s="668"/>
    </row>
    <row r="6719" spans="5:13">
      <c r="E6719" s="668"/>
      <c r="F6719" s="668"/>
      <c r="G6719" s="668"/>
      <c r="H6719" s="668"/>
      <c r="I6719" s="668"/>
      <c r="J6719" s="668"/>
      <c r="K6719" s="668"/>
      <c r="L6719" s="668"/>
      <c r="M6719" s="668"/>
    </row>
    <row r="6720" spans="5:13">
      <c r="E6720" s="668"/>
      <c r="F6720" s="668"/>
      <c r="G6720" s="668"/>
      <c r="H6720" s="668"/>
      <c r="I6720" s="668"/>
      <c r="J6720" s="668"/>
      <c r="K6720" s="668"/>
      <c r="L6720" s="668"/>
      <c r="M6720" s="668"/>
    </row>
    <row r="6721" spans="5:13">
      <c r="E6721" s="668"/>
      <c r="F6721" s="668"/>
      <c r="G6721" s="668"/>
      <c r="H6721" s="668"/>
      <c r="I6721" s="668"/>
      <c r="J6721" s="668"/>
      <c r="K6721" s="668"/>
      <c r="L6721" s="668"/>
      <c r="M6721" s="668"/>
    </row>
    <row r="6722" spans="5:13">
      <c r="E6722" s="668"/>
      <c r="F6722" s="668"/>
      <c r="G6722" s="668"/>
      <c r="H6722" s="668"/>
      <c r="I6722" s="668"/>
      <c r="J6722" s="668"/>
      <c r="K6722" s="668"/>
      <c r="L6722" s="668"/>
      <c r="M6722" s="668"/>
    </row>
    <row r="6723" spans="5:13">
      <c r="E6723" s="668"/>
      <c r="F6723" s="668"/>
      <c r="G6723" s="668"/>
      <c r="H6723" s="668"/>
      <c r="I6723" s="668"/>
      <c r="J6723" s="668"/>
      <c r="K6723" s="668"/>
      <c r="L6723" s="668"/>
      <c r="M6723" s="668"/>
    </row>
    <row r="6724" spans="5:13">
      <c r="E6724" s="668"/>
      <c r="F6724" s="668"/>
      <c r="G6724" s="668"/>
      <c r="H6724" s="668"/>
      <c r="I6724" s="668"/>
      <c r="J6724" s="668"/>
      <c r="K6724" s="668"/>
      <c r="L6724" s="668"/>
      <c r="M6724" s="668"/>
    </row>
    <row r="6725" spans="5:13">
      <c r="E6725" s="668"/>
      <c r="F6725" s="668"/>
      <c r="G6725" s="668"/>
      <c r="H6725" s="668"/>
      <c r="I6725" s="668"/>
      <c r="J6725" s="668"/>
      <c r="K6725" s="668"/>
      <c r="L6725" s="668"/>
      <c r="M6725" s="668"/>
    </row>
    <row r="6726" spans="5:13">
      <c r="E6726" s="668"/>
      <c r="F6726" s="668"/>
      <c r="G6726" s="668"/>
      <c r="H6726" s="668"/>
      <c r="I6726" s="668"/>
      <c r="J6726" s="668"/>
      <c r="K6726" s="668"/>
      <c r="L6726" s="668"/>
      <c r="M6726" s="668"/>
    </row>
    <row r="6727" spans="5:13">
      <c r="E6727" s="668"/>
      <c r="F6727" s="668"/>
      <c r="G6727" s="668"/>
      <c r="H6727" s="668"/>
      <c r="I6727" s="668"/>
      <c r="J6727" s="668"/>
      <c r="K6727" s="668"/>
      <c r="L6727" s="668"/>
      <c r="M6727" s="668"/>
    </row>
    <row r="6728" spans="5:13">
      <c r="E6728" s="668"/>
      <c r="F6728" s="668"/>
      <c r="G6728" s="668"/>
      <c r="H6728" s="668"/>
      <c r="I6728" s="668"/>
      <c r="J6728" s="668"/>
      <c r="K6728" s="668"/>
      <c r="L6728" s="668"/>
      <c r="M6728" s="668"/>
    </row>
    <row r="6729" spans="5:13">
      <c r="E6729" s="668"/>
      <c r="F6729" s="668"/>
      <c r="G6729" s="668"/>
      <c r="H6729" s="668"/>
      <c r="I6729" s="668"/>
      <c r="J6729" s="668"/>
      <c r="K6729" s="668"/>
      <c r="L6729" s="668"/>
      <c r="M6729" s="668"/>
    </row>
    <row r="6730" spans="5:13">
      <c r="E6730" s="668"/>
      <c r="F6730" s="668"/>
      <c r="G6730" s="668"/>
      <c r="H6730" s="668"/>
      <c r="I6730" s="668"/>
      <c r="J6730" s="668"/>
      <c r="K6730" s="668"/>
      <c r="L6730" s="668"/>
      <c r="M6730" s="668"/>
    </row>
    <row r="6731" spans="5:13">
      <c r="E6731" s="668"/>
      <c r="F6731" s="668"/>
      <c r="G6731" s="668"/>
      <c r="H6731" s="668"/>
      <c r="I6731" s="668"/>
      <c r="J6731" s="668"/>
      <c r="K6731" s="668"/>
      <c r="L6731" s="668"/>
      <c r="M6731" s="668"/>
    </row>
    <row r="6732" spans="5:13">
      <c r="E6732" s="668"/>
      <c r="F6732" s="668"/>
      <c r="G6732" s="668"/>
      <c r="H6732" s="668"/>
      <c r="I6732" s="668"/>
      <c r="J6732" s="668"/>
      <c r="K6732" s="668"/>
      <c r="L6732" s="668"/>
      <c r="M6732" s="668"/>
    </row>
    <row r="6733" spans="5:13">
      <c r="E6733" s="668"/>
      <c r="F6733" s="668"/>
      <c r="G6733" s="668"/>
      <c r="H6733" s="668"/>
      <c r="I6733" s="668"/>
      <c r="J6733" s="668"/>
      <c r="K6733" s="668"/>
      <c r="L6733" s="668"/>
      <c r="M6733" s="668"/>
    </row>
    <row r="6734" spans="5:13">
      <c r="E6734" s="668"/>
      <c r="F6734" s="668"/>
      <c r="G6734" s="668"/>
      <c r="H6734" s="668"/>
      <c r="I6734" s="668"/>
      <c r="J6734" s="668"/>
      <c r="K6734" s="668"/>
      <c r="L6734" s="668"/>
      <c r="M6734" s="668"/>
    </row>
    <row r="6735" spans="5:13">
      <c r="E6735" s="668"/>
      <c r="F6735" s="668"/>
      <c r="G6735" s="668"/>
      <c r="H6735" s="668"/>
      <c r="I6735" s="668"/>
      <c r="J6735" s="668"/>
      <c r="K6735" s="668"/>
      <c r="L6735" s="668"/>
      <c r="M6735" s="668"/>
    </row>
    <row r="6736" spans="5:13">
      <c r="E6736" s="668"/>
      <c r="F6736" s="668"/>
      <c r="G6736" s="668"/>
      <c r="H6736" s="668"/>
      <c r="I6736" s="668"/>
      <c r="J6736" s="668"/>
      <c r="K6736" s="668"/>
      <c r="L6736" s="668"/>
      <c r="M6736" s="668"/>
    </row>
    <row r="6737" spans="5:13">
      <c r="E6737" s="668"/>
      <c r="F6737" s="668"/>
      <c r="G6737" s="668"/>
      <c r="H6737" s="668"/>
      <c r="I6737" s="668"/>
      <c r="J6737" s="668"/>
      <c r="K6737" s="668"/>
      <c r="L6737" s="668"/>
      <c r="M6737" s="668"/>
    </row>
    <row r="6738" spans="5:13">
      <c r="E6738" s="668"/>
      <c r="F6738" s="668"/>
      <c r="G6738" s="668"/>
      <c r="H6738" s="668"/>
      <c r="I6738" s="668"/>
      <c r="J6738" s="668"/>
      <c r="K6738" s="668"/>
      <c r="L6738" s="668"/>
      <c r="M6738" s="668"/>
    </row>
    <row r="6739" spans="5:13">
      <c r="E6739" s="668"/>
      <c r="F6739" s="668"/>
      <c r="G6739" s="668"/>
      <c r="H6739" s="668"/>
      <c r="I6739" s="668"/>
      <c r="J6739" s="668"/>
      <c r="K6739" s="668"/>
      <c r="L6739" s="668"/>
      <c r="M6739" s="668"/>
    </row>
    <row r="6740" spans="5:13">
      <c r="E6740" s="668"/>
      <c r="F6740" s="668"/>
      <c r="G6740" s="668"/>
      <c r="H6740" s="668"/>
      <c r="I6740" s="668"/>
      <c r="J6740" s="668"/>
      <c r="K6740" s="668"/>
      <c r="L6740" s="668"/>
      <c r="M6740" s="668"/>
    </row>
    <row r="6741" spans="5:13">
      <c r="E6741" s="668"/>
      <c r="F6741" s="668"/>
      <c r="G6741" s="668"/>
      <c r="H6741" s="668"/>
      <c r="I6741" s="668"/>
      <c r="J6741" s="668"/>
      <c r="K6741" s="668"/>
      <c r="L6741" s="668"/>
      <c r="M6741" s="668"/>
    </row>
    <row r="6742" spans="5:13">
      <c r="E6742" s="668"/>
      <c r="F6742" s="668"/>
      <c r="G6742" s="668"/>
      <c r="H6742" s="668"/>
      <c r="I6742" s="668"/>
      <c r="J6742" s="668"/>
      <c r="K6742" s="668"/>
      <c r="L6742" s="668"/>
      <c r="M6742" s="668"/>
    </row>
    <row r="6743" spans="5:13">
      <c r="E6743" s="668"/>
      <c r="F6743" s="668"/>
      <c r="G6743" s="668"/>
      <c r="H6743" s="668"/>
      <c r="I6743" s="668"/>
      <c r="J6743" s="668"/>
      <c r="K6743" s="668"/>
      <c r="L6743" s="668"/>
      <c r="M6743" s="668"/>
    </row>
    <row r="6744" spans="5:13">
      <c r="E6744" s="668"/>
      <c r="F6744" s="668"/>
      <c r="G6744" s="668"/>
      <c r="H6744" s="668"/>
      <c r="I6744" s="668"/>
      <c r="J6744" s="668"/>
      <c r="K6744" s="668"/>
      <c r="L6744" s="668"/>
      <c r="M6744" s="668"/>
    </row>
    <row r="6745" spans="5:13">
      <c r="E6745" s="668"/>
      <c r="F6745" s="668"/>
      <c r="G6745" s="668"/>
      <c r="H6745" s="668"/>
      <c r="I6745" s="668"/>
      <c r="J6745" s="668"/>
      <c r="K6745" s="668"/>
      <c r="L6745" s="668"/>
      <c r="M6745" s="668"/>
    </row>
    <row r="6746" spans="5:13">
      <c r="E6746" s="668"/>
      <c r="F6746" s="668"/>
      <c r="G6746" s="668"/>
      <c r="H6746" s="668"/>
      <c r="I6746" s="668"/>
      <c r="J6746" s="668"/>
      <c r="K6746" s="668"/>
      <c r="L6746" s="668"/>
      <c r="M6746" s="668"/>
    </row>
    <row r="6747" spans="5:13">
      <c r="E6747" s="668"/>
      <c r="F6747" s="668"/>
      <c r="G6747" s="668"/>
      <c r="H6747" s="668"/>
      <c r="I6747" s="668"/>
      <c r="J6747" s="668"/>
      <c r="K6747" s="668"/>
      <c r="L6747" s="668"/>
      <c r="M6747" s="668"/>
    </row>
    <row r="6748" spans="5:13">
      <c r="E6748" s="668"/>
      <c r="F6748" s="668"/>
      <c r="G6748" s="668"/>
      <c r="H6748" s="668"/>
      <c r="I6748" s="668"/>
      <c r="J6748" s="668"/>
      <c r="K6748" s="668"/>
      <c r="L6748" s="668"/>
      <c r="M6748" s="668"/>
    </row>
    <row r="6749" spans="5:13">
      <c r="E6749" s="668"/>
      <c r="F6749" s="668"/>
      <c r="G6749" s="668"/>
      <c r="H6749" s="668"/>
      <c r="I6749" s="668"/>
      <c r="J6749" s="668"/>
      <c r="K6749" s="668"/>
      <c r="L6749" s="668"/>
      <c r="M6749" s="668"/>
    </row>
    <row r="6750" spans="5:13">
      <c r="E6750" s="668"/>
      <c r="F6750" s="668"/>
      <c r="G6750" s="668"/>
      <c r="H6750" s="668"/>
      <c r="I6750" s="668"/>
      <c r="J6750" s="668"/>
      <c r="K6750" s="668"/>
      <c r="L6750" s="668"/>
      <c r="M6750" s="668"/>
    </row>
    <row r="6751" spans="5:13">
      <c r="E6751" s="668"/>
      <c r="F6751" s="668"/>
      <c r="G6751" s="668"/>
      <c r="H6751" s="668"/>
      <c r="I6751" s="668"/>
      <c r="J6751" s="668"/>
      <c r="K6751" s="668"/>
      <c r="L6751" s="668"/>
      <c r="M6751" s="668"/>
    </row>
    <row r="6752" spans="5:13">
      <c r="E6752" s="668"/>
      <c r="F6752" s="668"/>
      <c r="G6752" s="668"/>
      <c r="H6752" s="668"/>
      <c r="I6752" s="668"/>
      <c r="J6752" s="668"/>
      <c r="K6752" s="668"/>
      <c r="L6752" s="668"/>
      <c r="M6752" s="668"/>
    </row>
    <row r="6753" spans="5:13">
      <c r="E6753" s="668"/>
      <c r="F6753" s="668"/>
      <c r="G6753" s="668"/>
      <c r="H6753" s="668"/>
      <c r="I6753" s="668"/>
      <c r="J6753" s="668"/>
      <c r="K6753" s="668"/>
      <c r="L6753" s="668"/>
      <c r="M6753" s="668"/>
    </row>
    <row r="6754" spans="5:13">
      <c r="E6754" s="668"/>
      <c r="F6754" s="668"/>
      <c r="G6754" s="668"/>
      <c r="H6754" s="668"/>
      <c r="I6754" s="668"/>
      <c r="J6754" s="668"/>
      <c r="K6754" s="668"/>
      <c r="L6754" s="668"/>
      <c r="M6754" s="668"/>
    </row>
    <row r="6755" spans="5:13">
      <c r="E6755" s="668"/>
      <c r="F6755" s="668"/>
      <c r="G6755" s="668"/>
      <c r="H6755" s="668"/>
      <c r="I6755" s="668"/>
      <c r="J6755" s="668"/>
      <c r="K6755" s="668"/>
      <c r="L6755" s="668"/>
      <c r="M6755" s="668"/>
    </row>
    <row r="6756" spans="5:13">
      <c r="E6756" s="668"/>
      <c r="F6756" s="668"/>
      <c r="G6756" s="668"/>
      <c r="H6756" s="668"/>
      <c r="I6756" s="668"/>
      <c r="J6756" s="668"/>
      <c r="K6756" s="668"/>
      <c r="L6756" s="668"/>
      <c r="M6756" s="668"/>
    </row>
    <row r="6757" spans="5:13">
      <c r="E6757" s="668"/>
      <c r="F6757" s="668"/>
      <c r="G6757" s="668"/>
      <c r="H6757" s="668"/>
      <c r="I6757" s="668"/>
      <c r="J6757" s="668"/>
      <c r="K6757" s="668"/>
      <c r="L6757" s="668"/>
      <c r="M6757" s="668"/>
    </row>
    <row r="6758" spans="5:13">
      <c r="E6758" s="668"/>
      <c r="F6758" s="668"/>
      <c r="G6758" s="668"/>
      <c r="H6758" s="668"/>
      <c r="I6758" s="668"/>
      <c r="J6758" s="668"/>
      <c r="K6758" s="668"/>
      <c r="L6758" s="668"/>
      <c r="M6758" s="668"/>
    </row>
    <row r="6759" spans="5:13">
      <c r="E6759" s="668"/>
      <c r="F6759" s="668"/>
      <c r="G6759" s="668"/>
      <c r="H6759" s="668"/>
      <c r="I6759" s="668"/>
      <c r="J6759" s="668"/>
      <c r="K6759" s="668"/>
      <c r="L6759" s="668"/>
      <c r="M6759" s="668"/>
    </row>
    <row r="6760" spans="5:13">
      <c r="E6760" s="668"/>
      <c r="F6760" s="668"/>
      <c r="G6760" s="668"/>
      <c r="H6760" s="668"/>
      <c r="I6760" s="668"/>
      <c r="J6760" s="668"/>
      <c r="K6760" s="668"/>
      <c r="L6760" s="668"/>
      <c r="M6760" s="668"/>
    </row>
    <row r="6761" spans="5:13">
      <c r="E6761" s="668"/>
      <c r="F6761" s="668"/>
      <c r="G6761" s="668"/>
      <c r="H6761" s="668"/>
      <c r="I6761" s="668"/>
      <c r="J6761" s="668"/>
      <c r="K6761" s="668"/>
      <c r="L6761" s="668"/>
      <c r="M6761" s="668"/>
    </row>
    <row r="6762" spans="5:13">
      <c r="E6762" s="668"/>
      <c r="F6762" s="668"/>
      <c r="G6762" s="668"/>
      <c r="H6762" s="668"/>
      <c r="I6762" s="668"/>
      <c r="J6762" s="668"/>
      <c r="K6762" s="668"/>
      <c r="L6762" s="668"/>
      <c r="M6762" s="668"/>
    </row>
    <row r="6763" spans="5:13">
      <c r="E6763" s="668"/>
      <c r="F6763" s="668"/>
      <c r="G6763" s="668"/>
      <c r="H6763" s="668"/>
      <c r="I6763" s="668"/>
      <c r="J6763" s="668"/>
      <c r="K6763" s="668"/>
      <c r="L6763" s="668"/>
      <c r="M6763" s="668"/>
    </row>
    <row r="6764" spans="5:13">
      <c r="E6764" s="668"/>
      <c r="F6764" s="668"/>
      <c r="G6764" s="668"/>
      <c r="H6764" s="668"/>
      <c r="I6764" s="668"/>
      <c r="J6764" s="668"/>
      <c r="K6764" s="668"/>
      <c r="L6764" s="668"/>
      <c r="M6764" s="668"/>
    </row>
    <row r="6765" spans="5:13">
      <c r="E6765" s="668"/>
      <c r="F6765" s="668"/>
      <c r="G6765" s="668"/>
      <c r="H6765" s="668"/>
      <c r="I6765" s="668"/>
      <c r="J6765" s="668"/>
      <c r="K6765" s="668"/>
      <c r="L6765" s="668"/>
      <c r="M6765" s="668"/>
    </row>
    <row r="6766" spans="5:13">
      <c r="E6766" s="668"/>
      <c r="F6766" s="668"/>
      <c r="G6766" s="668"/>
      <c r="H6766" s="668"/>
      <c r="I6766" s="668"/>
      <c r="J6766" s="668"/>
      <c r="K6766" s="668"/>
      <c r="L6766" s="668"/>
      <c r="M6766" s="668"/>
    </row>
    <row r="6767" spans="5:13">
      <c r="E6767" s="668"/>
      <c r="F6767" s="668"/>
      <c r="G6767" s="668"/>
      <c r="H6767" s="668"/>
      <c r="I6767" s="668"/>
      <c r="J6767" s="668"/>
      <c r="K6767" s="668"/>
      <c r="L6767" s="668"/>
      <c r="M6767" s="668"/>
    </row>
    <row r="6768" spans="5:13">
      <c r="E6768" s="668"/>
      <c r="F6768" s="668"/>
      <c r="G6768" s="668"/>
      <c r="H6768" s="668"/>
      <c r="I6768" s="668"/>
      <c r="J6768" s="668"/>
      <c r="K6768" s="668"/>
      <c r="L6768" s="668"/>
      <c r="M6768" s="668"/>
    </row>
    <row r="6769" spans="5:13">
      <c r="E6769" s="668"/>
      <c r="F6769" s="668"/>
      <c r="G6769" s="668"/>
      <c r="H6769" s="668"/>
      <c r="I6769" s="668"/>
      <c r="J6769" s="668"/>
      <c r="K6769" s="668"/>
      <c r="L6769" s="668"/>
      <c r="M6769" s="668"/>
    </row>
    <row r="6770" spans="5:13">
      <c r="E6770" s="668"/>
      <c r="F6770" s="668"/>
      <c r="G6770" s="668"/>
      <c r="H6770" s="668"/>
      <c r="I6770" s="668"/>
      <c r="J6770" s="668"/>
      <c r="K6770" s="668"/>
      <c r="L6770" s="668"/>
      <c r="M6770" s="668"/>
    </row>
    <row r="6771" spans="5:13">
      <c r="E6771" s="668"/>
      <c r="F6771" s="668"/>
      <c r="G6771" s="668"/>
      <c r="H6771" s="668"/>
      <c r="I6771" s="668"/>
      <c r="J6771" s="668"/>
      <c r="K6771" s="668"/>
      <c r="L6771" s="668"/>
      <c r="M6771" s="668"/>
    </row>
    <row r="6772" spans="5:13">
      <c r="E6772" s="668"/>
      <c r="F6772" s="668"/>
      <c r="G6772" s="668"/>
      <c r="H6772" s="668"/>
      <c r="I6772" s="668"/>
      <c r="J6772" s="668"/>
      <c r="K6772" s="668"/>
      <c r="L6772" s="668"/>
      <c r="M6772" s="668"/>
    </row>
    <row r="6773" spans="5:13">
      <c r="E6773" s="668"/>
      <c r="F6773" s="668"/>
      <c r="G6773" s="668"/>
      <c r="H6773" s="668"/>
      <c r="I6773" s="668"/>
      <c r="J6773" s="668"/>
      <c r="K6773" s="668"/>
      <c r="L6773" s="668"/>
      <c r="M6773" s="668"/>
    </row>
    <row r="6774" spans="5:13">
      <c r="E6774" s="668"/>
      <c r="F6774" s="668"/>
      <c r="G6774" s="668"/>
      <c r="H6774" s="668"/>
      <c r="I6774" s="668"/>
      <c r="J6774" s="668"/>
      <c r="K6774" s="668"/>
      <c r="L6774" s="668"/>
      <c r="M6774" s="668"/>
    </row>
    <row r="6775" spans="5:13">
      <c r="E6775" s="668"/>
      <c r="F6775" s="668"/>
      <c r="G6775" s="668"/>
      <c r="H6775" s="668"/>
      <c r="I6775" s="668"/>
      <c r="J6775" s="668"/>
      <c r="K6775" s="668"/>
      <c r="L6775" s="668"/>
      <c r="M6775" s="668"/>
    </row>
    <row r="6776" spans="5:13">
      <c r="E6776" s="668"/>
      <c r="F6776" s="668"/>
      <c r="G6776" s="668"/>
      <c r="H6776" s="668"/>
      <c r="I6776" s="668"/>
      <c r="J6776" s="668"/>
      <c r="K6776" s="668"/>
      <c r="L6776" s="668"/>
      <c r="M6776" s="668"/>
    </row>
    <row r="6777" spans="5:13">
      <c r="E6777" s="668"/>
      <c r="F6777" s="668"/>
      <c r="G6777" s="668"/>
      <c r="H6777" s="668"/>
      <c r="I6777" s="668"/>
      <c r="J6777" s="668"/>
      <c r="K6777" s="668"/>
      <c r="L6777" s="668"/>
      <c r="M6777" s="668"/>
    </row>
    <row r="6778" spans="5:13">
      <c r="E6778" s="668"/>
      <c r="F6778" s="668"/>
      <c r="G6778" s="668"/>
      <c r="H6778" s="668"/>
      <c r="I6778" s="668"/>
      <c r="J6778" s="668"/>
      <c r="K6778" s="668"/>
      <c r="L6778" s="668"/>
      <c r="M6778" s="668"/>
    </row>
    <row r="6779" spans="5:13">
      <c r="E6779" s="668"/>
      <c r="F6779" s="668"/>
      <c r="G6779" s="668"/>
      <c r="H6779" s="668"/>
      <c r="I6779" s="668"/>
      <c r="J6779" s="668"/>
      <c r="K6779" s="668"/>
      <c r="L6779" s="668"/>
      <c r="M6779" s="668"/>
    </row>
    <row r="6780" spans="5:13">
      <c r="E6780" s="668"/>
      <c r="F6780" s="668"/>
      <c r="G6780" s="668"/>
      <c r="H6780" s="668"/>
      <c r="I6780" s="668"/>
      <c r="J6780" s="668"/>
      <c r="K6780" s="668"/>
      <c r="L6780" s="668"/>
      <c r="M6780" s="668"/>
    </row>
    <row r="6781" spans="5:13">
      <c r="E6781" s="668"/>
      <c r="F6781" s="668"/>
      <c r="G6781" s="668"/>
      <c r="H6781" s="668"/>
      <c r="I6781" s="668"/>
      <c r="J6781" s="668"/>
      <c r="K6781" s="668"/>
      <c r="L6781" s="668"/>
      <c r="M6781" s="668"/>
    </row>
    <row r="6782" spans="5:13">
      <c r="E6782" s="668"/>
      <c r="F6782" s="668"/>
      <c r="G6782" s="668"/>
      <c r="H6782" s="668"/>
      <c r="I6782" s="668"/>
      <c r="J6782" s="668"/>
      <c r="K6782" s="668"/>
      <c r="L6782" s="668"/>
      <c r="M6782" s="668"/>
    </row>
    <row r="6783" spans="5:13">
      <c r="E6783" s="668"/>
      <c r="F6783" s="668"/>
      <c r="G6783" s="668"/>
      <c r="H6783" s="668"/>
      <c r="I6783" s="668"/>
      <c r="J6783" s="668"/>
      <c r="K6783" s="668"/>
      <c r="L6783" s="668"/>
      <c r="M6783" s="668"/>
    </row>
    <row r="6784" spans="5:13">
      <c r="E6784" s="668"/>
      <c r="F6784" s="668"/>
      <c r="G6784" s="668"/>
      <c r="H6784" s="668"/>
      <c r="I6784" s="668"/>
      <c r="J6784" s="668"/>
      <c r="K6784" s="668"/>
      <c r="L6784" s="668"/>
      <c r="M6784" s="668"/>
    </row>
    <row r="6785" spans="5:13">
      <c r="E6785" s="668"/>
      <c r="F6785" s="668"/>
      <c r="G6785" s="668"/>
      <c r="H6785" s="668"/>
      <c r="I6785" s="668"/>
      <c r="J6785" s="668"/>
      <c r="K6785" s="668"/>
      <c r="L6785" s="668"/>
      <c r="M6785" s="668"/>
    </row>
    <row r="6786" spans="5:13">
      <c r="E6786" s="668"/>
      <c r="F6786" s="668"/>
      <c r="G6786" s="668"/>
      <c r="H6786" s="668"/>
      <c r="I6786" s="668"/>
      <c r="J6786" s="668"/>
      <c r="K6786" s="668"/>
      <c r="L6786" s="668"/>
      <c r="M6786" s="668"/>
    </row>
    <row r="6787" spans="5:13">
      <c r="E6787" s="668"/>
      <c r="F6787" s="668"/>
      <c r="G6787" s="668"/>
      <c r="H6787" s="668"/>
      <c r="I6787" s="668"/>
      <c r="J6787" s="668"/>
      <c r="K6787" s="668"/>
      <c r="L6787" s="668"/>
      <c r="M6787" s="668"/>
    </row>
    <row r="6788" spans="5:13">
      <c r="E6788" s="668"/>
      <c r="F6788" s="668"/>
      <c r="G6788" s="668"/>
      <c r="H6788" s="668"/>
      <c r="I6788" s="668"/>
      <c r="J6788" s="668"/>
      <c r="K6788" s="668"/>
      <c r="L6788" s="668"/>
      <c r="M6788" s="668"/>
    </row>
    <row r="6789" spans="5:13">
      <c r="E6789" s="668"/>
      <c r="F6789" s="668"/>
      <c r="G6789" s="668"/>
      <c r="H6789" s="668"/>
      <c r="I6789" s="668"/>
      <c r="J6789" s="668"/>
      <c r="K6789" s="668"/>
      <c r="L6789" s="668"/>
      <c r="M6789" s="668"/>
    </row>
    <row r="6790" spans="5:13">
      <c r="E6790" s="668"/>
      <c r="F6790" s="668"/>
      <c r="G6790" s="668"/>
      <c r="H6790" s="668"/>
      <c r="I6790" s="668"/>
      <c r="J6790" s="668"/>
      <c r="K6790" s="668"/>
      <c r="L6790" s="668"/>
      <c r="M6790" s="668"/>
    </row>
    <row r="6791" spans="5:13">
      <c r="E6791" s="668"/>
      <c r="F6791" s="668"/>
      <c r="G6791" s="668"/>
      <c r="H6791" s="668"/>
      <c r="I6791" s="668"/>
      <c r="J6791" s="668"/>
      <c r="K6791" s="668"/>
      <c r="L6791" s="668"/>
      <c r="M6791" s="668"/>
    </row>
    <row r="6792" spans="5:13">
      <c r="E6792" s="668"/>
      <c r="F6792" s="668"/>
      <c r="G6792" s="668"/>
      <c r="H6792" s="668"/>
      <c r="I6792" s="668"/>
      <c r="J6792" s="668"/>
      <c r="K6792" s="668"/>
      <c r="L6792" s="668"/>
      <c r="M6792" s="668"/>
    </row>
    <row r="6793" spans="5:13">
      <c r="E6793" s="668"/>
      <c r="F6793" s="668"/>
      <c r="G6793" s="668"/>
      <c r="H6793" s="668"/>
      <c r="I6793" s="668"/>
      <c r="J6793" s="668"/>
      <c r="K6793" s="668"/>
      <c r="L6793" s="668"/>
      <c r="M6793" s="668"/>
    </row>
    <row r="6794" spans="5:13">
      <c r="E6794" s="668"/>
      <c r="F6794" s="668"/>
      <c r="G6794" s="668"/>
      <c r="H6794" s="668"/>
      <c r="I6794" s="668"/>
      <c r="J6794" s="668"/>
      <c r="K6794" s="668"/>
      <c r="L6794" s="668"/>
      <c r="M6794" s="668"/>
    </row>
    <row r="6795" spans="5:13">
      <c r="E6795" s="668"/>
      <c r="F6795" s="668"/>
      <c r="G6795" s="668"/>
      <c r="H6795" s="668"/>
      <c r="I6795" s="668"/>
      <c r="J6795" s="668"/>
      <c r="K6795" s="668"/>
      <c r="L6795" s="668"/>
      <c r="M6795" s="668"/>
    </row>
    <row r="6796" spans="5:13">
      <c r="E6796" s="668"/>
      <c r="F6796" s="668"/>
      <c r="G6796" s="668"/>
      <c r="H6796" s="668"/>
      <c r="I6796" s="668"/>
      <c r="J6796" s="668"/>
      <c r="K6796" s="668"/>
      <c r="L6796" s="668"/>
      <c r="M6796" s="668"/>
    </row>
    <row r="6797" spans="5:13">
      <c r="E6797" s="668"/>
      <c r="F6797" s="668"/>
      <c r="G6797" s="668"/>
      <c r="H6797" s="668"/>
      <c r="I6797" s="668"/>
      <c r="J6797" s="668"/>
      <c r="K6797" s="668"/>
      <c r="L6797" s="668"/>
      <c r="M6797" s="668"/>
    </row>
    <row r="6798" spans="5:13">
      <c r="E6798" s="668"/>
      <c r="F6798" s="668"/>
      <c r="G6798" s="668"/>
      <c r="H6798" s="668"/>
      <c r="I6798" s="668"/>
      <c r="J6798" s="668"/>
      <c r="K6798" s="668"/>
      <c r="L6798" s="668"/>
      <c r="M6798" s="668"/>
    </row>
    <row r="6799" spans="5:13">
      <c r="E6799" s="668"/>
      <c r="F6799" s="668"/>
      <c r="G6799" s="668"/>
      <c r="H6799" s="668"/>
      <c r="I6799" s="668"/>
      <c r="J6799" s="668"/>
      <c r="K6799" s="668"/>
      <c r="L6799" s="668"/>
      <c r="M6799" s="668"/>
    </row>
    <row r="6800" spans="5:13">
      <c r="E6800" s="668"/>
      <c r="F6800" s="668"/>
      <c r="G6800" s="668"/>
      <c r="H6800" s="668"/>
      <c r="I6800" s="668"/>
      <c r="J6800" s="668"/>
      <c r="K6800" s="668"/>
      <c r="L6800" s="668"/>
      <c r="M6800" s="668"/>
    </row>
    <row r="6801" spans="5:13">
      <c r="E6801" s="668"/>
      <c r="F6801" s="668"/>
      <c r="G6801" s="668"/>
      <c r="H6801" s="668"/>
      <c r="I6801" s="668"/>
      <c r="J6801" s="668"/>
      <c r="K6801" s="668"/>
      <c r="L6801" s="668"/>
      <c r="M6801" s="668"/>
    </row>
    <row r="6802" spans="5:13">
      <c r="E6802" s="668"/>
      <c r="F6802" s="668"/>
      <c r="G6802" s="668"/>
      <c r="H6802" s="668"/>
      <c r="I6802" s="668"/>
      <c r="J6802" s="668"/>
      <c r="K6802" s="668"/>
      <c r="L6802" s="668"/>
      <c r="M6802" s="668"/>
    </row>
    <row r="6803" spans="5:13">
      <c r="E6803" s="668"/>
      <c r="F6803" s="668"/>
      <c r="G6803" s="668"/>
      <c r="H6803" s="668"/>
      <c r="I6803" s="668"/>
      <c r="J6803" s="668"/>
      <c r="K6803" s="668"/>
      <c r="L6803" s="668"/>
      <c r="M6803" s="668"/>
    </row>
    <row r="6804" spans="5:13">
      <c r="E6804" s="668"/>
      <c r="F6804" s="668"/>
      <c r="G6804" s="668"/>
      <c r="H6804" s="668"/>
      <c r="I6804" s="668"/>
      <c r="J6804" s="668"/>
      <c r="K6804" s="668"/>
      <c r="L6804" s="668"/>
      <c r="M6804" s="668"/>
    </row>
    <row r="6805" spans="5:13">
      <c r="E6805" s="668"/>
      <c r="F6805" s="668"/>
      <c r="G6805" s="668"/>
      <c r="H6805" s="668"/>
      <c r="I6805" s="668"/>
      <c r="J6805" s="668"/>
      <c r="K6805" s="668"/>
      <c r="L6805" s="668"/>
      <c r="M6805" s="668"/>
    </row>
    <row r="6806" spans="5:13">
      <c r="E6806" s="668"/>
      <c r="F6806" s="668"/>
      <c r="G6806" s="668"/>
      <c r="H6806" s="668"/>
      <c r="I6806" s="668"/>
      <c r="J6806" s="668"/>
      <c r="K6806" s="668"/>
      <c r="L6806" s="668"/>
      <c r="M6806" s="668"/>
    </row>
    <row r="6807" spans="5:13">
      <c r="E6807" s="668"/>
      <c r="F6807" s="668"/>
      <c r="G6807" s="668"/>
      <c r="H6807" s="668"/>
      <c r="I6807" s="668"/>
      <c r="J6807" s="668"/>
      <c r="K6807" s="668"/>
      <c r="L6807" s="668"/>
      <c r="M6807" s="668"/>
    </row>
    <row r="6808" spans="5:13">
      <c r="E6808" s="668"/>
      <c r="F6808" s="668"/>
      <c r="G6808" s="668"/>
      <c r="H6808" s="668"/>
      <c r="I6808" s="668"/>
      <c r="J6808" s="668"/>
      <c r="K6808" s="668"/>
      <c r="L6808" s="668"/>
      <c r="M6808" s="668"/>
    </row>
    <row r="6809" spans="5:13">
      <c r="E6809" s="668"/>
      <c r="F6809" s="668"/>
      <c r="G6809" s="668"/>
      <c r="H6809" s="668"/>
      <c r="I6809" s="668"/>
      <c r="J6809" s="668"/>
      <c r="K6809" s="668"/>
      <c r="L6809" s="668"/>
      <c r="M6809" s="668"/>
    </row>
    <row r="6810" spans="5:13">
      <c r="E6810" s="668"/>
      <c r="F6810" s="668"/>
      <c r="G6810" s="668"/>
      <c r="H6810" s="668"/>
      <c r="I6810" s="668"/>
      <c r="J6810" s="668"/>
      <c r="K6810" s="668"/>
      <c r="L6810" s="668"/>
      <c r="M6810" s="668"/>
    </row>
    <row r="6811" spans="5:13">
      <c r="E6811" s="668"/>
      <c r="F6811" s="668"/>
      <c r="G6811" s="668"/>
      <c r="H6811" s="668"/>
      <c r="I6811" s="668"/>
      <c r="J6811" s="668"/>
      <c r="K6811" s="668"/>
      <c r="L6811" s="668"/>
      <c r="M6811" s="668"/>
    </row>
    <row r="6812" spans="5:13">
      <c r="E6812" s="668"/>
      <c r="F6812" s="668"/>
      <c r="G6812" s="668"/>
      <c r="H6812" s="668"/>
      <c r="I6812" s="668"/>
      <c r="J6812" s="668"/>
      <c r="K6812" s="668"/>
      <c r="L6812" s="668"/>
      <c r="M6812" s="668"/>
    </row>
    <row r="6813" spans="5:13">
      <c r="E6813" s="668"/>
      <c r="F6813" s="668"/>
      <c r="G6813" s="668"/>
      <c r="H6813" s="668"/>
      <c r="I6813" s="668"/>
      <c r="J6813" s="668"/>
      <c r="K6813" s="668"/>
      <c r="L6813" s="668"/>
      <c r="M6813" s="668"/>
    </row>
    <row r="6814" spans="5:13">
      <c r="E6814" s="668"/>
      <c r="F6814" s="668"/>
      <c r="G6814" s="668"/>
      <c r="H6814" s="668"/>
      <c r="I6814" s="668"/>
      <c r="J6814" s="668"/>
      <c r="K6814" s="668"/>
      <c r="L6814" s="668"/>
      <c r="M6814" s="668"/>
    </row>
    <row r="6815" spans="5:13">
      <c r="E6815" s="668"/>
      <c r="F6815" s="668"/>
      <c r="G6815" s="668"/>
      <c r="H6815" s="668"/>
      <c r="I6815" s="668"/>
      <c r="J6815" s="668"/>
      <c r="K6815" s="668"/>
      <c r="L6815" s="668"/>
      <c r="M6815" s="668"/>
    </row>
    <row r="6816" spans="5:13">
      <c r="E6816" s="668"/>
      <c r="F6816" s="668"/>
      <c r="G6816" s="668"/>
      <c r="H6816" s="668"/>
      <c r="I6816" s="668"/>
      <c r="J6816" s="668"/>
      <c r="K6816" s="668"/>
      <c r="L6816" s="668"/>
      <c r="M6816" s="668"/>
    </row>
    <row r="6817" spans="5:13">
      <c r="E6817" s="668"/>
      <c r="F6817" s="668"/>
      <c r="G6817" s="668"/>
      <c r="H6817" s="668"/>
      <c r="I6817" s="668"/>
      <c r="J6817" s="668"/>
      <c r="K6817" s="668"/>
      <c r="L6817" s="668"/>
      <c r="M6817" s="668"/>
    </row>
    <row r="6818" spans="5:13">
      <c r="E6818" s="668"/>
      <c r="F6818" s="668"/>
      <c r="G6818" s="668"/>
      <c r="H6818" s="668"/>
      <c r="I6818" s="668"/>
      <c r="J6818" s="668"/>
      <c r="K6818" s="668"/>
      <c r="L6818" s="668"/>
      <c r="M6818" s="668"/>
    </row>
    <row r="6819" spans="5:13">
      <c r="E6819" s="668"/>
      <c r="F6819" s="668"/>
      <c r="G6819" s="668"/>
      <c r="H6819" s="668"/>
      <c r="I6819" s="668"/>
      <c r="J6819" s="668"/>
      <c r="K6819" s="668"/>
      <c r="L6819" s="668"/>
      <c r="M6819" s="668"/>
    </row>
    <row r="6820" spans="5:13">
      <c r="E6820" s="668"/>
      <c r="F6820" s="668"/>
      <c r="G6820" s="668"/>
      <c r="H6820" s="668"/>
      <c r="I6820" s="668"/>
      <c r="J6820" s="668"/>
      <c r="K6820" s="668"/>
      <c r="L6820" s="668"/>
      <c r="M6820" s="668"/>
    </row>
    <row r="6821" spans="5:13">
      <c r="E6821" s="668"/>
      <c r="F6821" s="668"/>
      <c r="G6821" s="668"/>
      <c r="H6821" s="668"/>
      <c r="I6821" s="668"/>
      <c r="J6821" s="668"/>
      <c r="K6821" s="668"/>
      <c r="L6821" s="668"/>
      <c r="M6821" s="668"/>
    </row>
    <row r="6822" spans="5:13">
      <c r="E6822" s="668"/>
      <c r="F6822" s="668"/>
      <c r="G6822" s="668"/>
      <c r="H6822" s="668"/>
      <c r="I6822" s="668"/>
      <c r="J6822" s="668"/>
      <c r="K6822" s="668"/>
      <c r="L6822" s="668"/>
      <c r="M6822" s="668"/>
    </row>
    <row r="6823" spans="5:13">
      <c r="E6823" s="668"/>
      <c r="F6823" s="668"/>
      <c r="G6823" s="668"/>
      <c r="H6823" s="668"/>
      <c r="I6823" s="668"/>
      <c r="J6823" s="668"/>
      <c r="K6823" s="668"/>
      <c r="L6823" s="668"/>
      <c r="M6823" s="668"/>
    </row>
    <row r="6824" spans="5:13">
      <c r="E6824" s="668"/>
      <c r="F6824" s="668"/>
      <c r="G6824" s="668"/>
      <c r="H6824" s="668"/>
      <c r="I6824" s="668"/>
      <c r="J6824" s="668"/>
      <c r="K6824" s="668"/>
      <c r="L6824" s="668"/>
      <c r="M6824" s="668"/>
    </row>
    <row r="6825" spans="5:13">
      <c r="E6825" s="668"/>
      <c r="F6825" s="668"/>
      <c r="G6825" s="668"/>
      <c r="H6825" s="668"/>
      <c r="I6825" s="668"/>
      <c r="J6825" s="668"/>
      <c r="K6825" s="668"/>
      <c r="L6825" s="668"/>
      <c r="M6825" s="668"/>
    </row>
    <row r="6826" spans="5:13">
      <c r="E6826" s="668"/>
      <c r="F6826" s="668"/>
      <c r="G6826" s="668"/>
      <c r="H6826" s="668"/>
      <c r="I6826" s="668"/>
      <c r="J6826" s="668"/>
      <c r="K6826" s="668"/>
      <c r="L6826" s="668"/>
      <c r="M6826" s="668"/>
    </row>
    <row r="6827" spans="5:13">
      <c r="E6827" s="668"/>
      <c r="F6827" s="668"/>
      <c r="G6827" s="668"/>
      <c r="H6827" s="668"/>
      <c r="I6827" s="668"/>
      <c r="J6827" s="668"/>
      <c r="K6827" s="668"/>
      <c r="L6827" s="668"/>
      <c r="M6827" s="668"/>
    </row>
    <row r="6828" spans="5:13">
      <c r="E6828" s="668"/>
      <c r="F6828" s="668"/>
      <c r="G6828" s="668"/>
      <c r="H6828" s="668"/>
      <c r="I6828" s="668"/>
      <c r="J6828" s="668"/>
      <c r="K6828" s="668"/>
      <c r="L6828" s="668"/>
      <c r="M6828" s="668"/>
    </row>
    <row r="6829" spans="5:13">
      <c r="E6829" s="668"/>
      <c r="F6829" s="668"/>
      <c r="G6829" s="668"/>
      <c r="H6829" s="668"/>
      <c r="I6829" s="668"/>
      <c r="J6829" s="668"/>
      <c r="K6829" s="668"/>
      <c r="L6829" s="668"/>
      <c r="M6829" s="668"/>
    </row>
    <row r="6830" spans="5:13">
      <c r="E6830" s="668"/>
      <c r="F6830" s="668"/>
      <c r="G6830" s="668"/>
      <c r="H6830" s="668"/>
      <c r="I6830" s="668"/>
      <c r="J6830" s="668"/>
      <c r="K6830" s="668"/>
      <c r="L6830" s="668"/>
      <c r="M6830" s="668"/>
    </row>
    <row r="6831" spans="5:13">
      <c r="E6831" s="668"/>
      <c r="F6831" s="668"/>
      <c r="G6831" s="668"/>
      <c r="H6831" s="668"/>
      <c r="I6831" s="668"/>
      <c r="J6831" s="668"/>
      <c r="K6831" s="668"/>
      <c r="L6831" s="668"/>
      <c r="M6831" s="668"/>
    </row>
    <row r="6832" spans="5:13">
      <c r="E6832" s="668"/>
      <c r="F6832" s="668"/>
      <c r="G6832" s="668"/>
      <c r="H6832" s="668"/>
      <c r="I6832" s="668"/>
      <c r="J6832" s="668"/>
      <c r="K6832" s="668"/>
      <c r="L6832" s="668"/>
      <c r="M6832" s="668"/>
    </row>
    <row r="6833" spans="5:13">
      <c r="E6833" s="668"/>
      <c r="F6833" s="668"/>
      <c r="G6833" s="668"/>
      <c r="H6833" s="668"/>
      <c r="I6833" s="668"/>
      <c r="J6833" s="668"/>
      <c r="K6833" s="668"/>
      <c r="L6833" s="668"/>
      <c r="M6833" s="668"/>
    </row>
    <row r="6834" spans="5:13">
      <c r="E6834" s="668"/>
      <c r="F6834" s="668"/>
      <c r="G6834" s="668"/>
      <c r="H6834" s="668"/>
      <c r="I6834" s="668"/>
      <c r="J6834" s="668"/>
      <c r="K6834" s="668"/>
      <c r="L6834" s="668"/>
      <c r="M6834" s="668"/>
    </row>
    <row r="6835" spans="5:13">
      <c r="E6835" s="668"/>
      <c r="F6835" s="668"/>
      <c r="G6835" s="668"/>
      <c r="H6835" s="668"/>
      <c r="I6835" s="668"/>
      <c r="J6835" s="668"/>
      <c r="K6835" s="668"/>
      <c r="L6835" s="668"/>
      <c r="M6835" s="668"/>
    </row>
    <row r="6836" spans="5:13">
      <c r="E6836" s="668"/>
      <c r="F6836" s="668"/>
      <c r="G6836" s="668"/>
      <c r="H6836" s="668"/>
      <c r="I6836" s="668"/>
      <c r="J6836" s="668"/>
      <c r="K6836" s="668"/>
      <c r="L6836" s="668"/>
      <c r="M6836" s="668"/>
    </row>
    <row r="6837" spans="5:13">
      <c r="E6837" s="668"/>
      <c r="F6837" s="668"/>
      <c r="G6837" s="668"/>
      <c r="H6837" s="668"/>
      <c r="I6837" s="668"/>
      <c r="J6837" s="668"/>
      <c r="K6837" s="668"/>
      <c r="L6837" s="668"/>
      <c r="M6837" s="668"/>
    </row>
    <row r="6838" spans="5:13">
      <c r="E6838" s="668"/>
      <c r="F6838" s="668"/>
      <c r="G6838" s="668"/>
      <c r="H6838" s="668"/>
      <c r="I6838" s="668"/>
      <c r="J6838" s="668"/>
      <c r="K6838" s="668"/>
      <c r="L6838" s="668"/>
      <c r="M6838" s="668"/>
    </row>
    <row r="6839" spans="5:13">
      <c r="E6839" s="668"/>
      <c r="F6839" s="668"/>
      <c r="G6839" s="668"/>
      <c r="H6839" s="668"/>
      <c r="I6839" s="668"/>
      <c r="J6839" s="668"/>
      <c r="K6839" s="668"/>
      <c r="L6839" s="668"/>
      <c r="M6839" s="668"/>
    </row>
    <row r="6840" spans="5:13">
      <c r="E6840" s="668"/>
      <c r="F6840" s="668"/>
      <c r="G6840" s="668"/>
      <c r="H6840" s="668"/>
      <c r="I6840" s="668"/>
      <c r="J6840" s="668"/>
      <c r="K6840" s="668"/>
      <c r="L6840" s="668"/>
      <c r="M6840" s="668"/>
    </row>
    <row r="6841" spans="5:13">
      <c r="E6841" s="668"/>
      <c r="F6841" s="668"/>
      <c r="G6841" s="668"/>
      <c r="H6841" s="668"/>
      <c r="I6841" s="668"/>
      <c r="J6841" s="668"/>
      <c r="K6841" s="668"/>
      <c r="L6841" s="668"/>
      <c r="M6841" s="668"/>
    </row>
    <row r="6842" spans="5:13">
      <c r="E6842" s="668"/>
      <c r="F6842" s="668"/>
      <c r="G6842" s="668"/>
      <c r="H6842" s="668"/>
      <c r="I6842" s="668"/>
      <c r="J6842" s="668"/>
      <c r="K6842" s="668"/>
      <c r="L6842" s="668"/>
      <c r="M6842" s="668"/>
    </row>
    <row r="6843" spans="5:13">
      <c r="E6843" s="668"/>
      <c r="F6843" s="668"/>
      <c r="G6843" s="668"/>
      <c r="H6843" s="668"/>
      <c r="I6843" s="668"/>
      <c r="J6843" s="668"/>
      <c r="K6843" s="668"/>
      <c r="L6843" s="668"/>
      <c r="M6843" s="668"/>
    </row>
    <row r="6844" spans="5:13">
      <c r="E6844" s="668"/>
      <c r="F6844" s="668"/>
      <c r="G6844" s="668"/>
      <c r="H6844" s="668"/>
      <c r="I6844" s="668"/>
      <c r="J6844" s="668"/>
      <c r="K6844" s="668"/>
      <c r="L6844" s="668"/>
      <c r="M6844" s="668"/>
    </row>
    <row r="6845" spans="5:13">
      <c r="E6845" s="668"/>
      <c r="F6845" s="668"/>
      <c r="G6845" s="668"/>
      <c r="H6845" s="668"/>
      <c r="I6845" s="668"/>
      <c r="J6845" s="668"/>
      <c r="K6845" s="668"/>
      <c r="L6845" s="668"/>
      <c r="M6845" s="668"/>
    </row>
    <row r="6846" spans="5:13">
      <c r="E6846" s="668"/>
      <c r="F6846" s="668"/>
      <c r="G6846" s="668"/>
      <c r="H6846" s="668"/>
      <c r="I6846" s="668"/>
      <c r="J6846" s="668"/>
      <c r="K6846" s="668"/>
      <c r="L6846" s="668"/>
      <c r="M6846" s="668"/>
    </row>
    <row r="6847" spans="5:13">
      <c r="E6847" s="668"/>
      <c r="F6847" s="668"/>
      <c r="G6847" s="668"/>
      <c r="H6847" s="668"/>
      <c r="I6847" s="668"/>
      <c r="J6847" s="668"/>
      <c r="K6847" s="668"/>
      <c r="L6847" s="668"/>
      <c r="M6847" s="668"/>
    </row>
    <row r="6848" spans="5:13">
      <c r="E6848" s="668"/>
      <c r="F6848" s="668"/>
      <c r="G6848" s="668"/>
      <c r="H6848" s="668"/>
      <c r="I6848" s="668"/>
      <c r="J6848" s="668"/>
      <c r="K6848" s="668"/>
      <c r="L6848" s="668"/>
      <c r="M6848" s="668"/>
    </row>
    <row r="6849" spans="5:13">
      <c r="E6849" s="668"/>
      <c r="F6849" s="668"/>
      <c r="G6849" s="668"/>
      <c r="H6849" s="668"/>
      <c r="I6849" s="668"/>
      <c r="J6849" s="668"/>
      <c r="K6849" s="668"/>
      <c r="L6849" s="668"/>
      <c r="M6849" s="668"/>
    </row>
    <row r="6850" spans="5:13">
      <c r="E6850" s="668"/>
      <c r="F6850" s="668"/>
      <c r="G6850" s="668"/>
      <c r="H6850" s="668"/>
      <c r="I6850" s="668"/>
      <c r="J6850" s="668"/>
      <c r="K6850" s="668"/>
      <c r="L6850" s="668"/>
      <c r="M6850" s="668"/>
    </row>
    <row r="6851" spans="5:13">
      <c r="E6851" s="668"/>
      <c r="F6851" s="668"/>
      <c r="G6851" s="668"/>
      <c r="H6851" s="668"/>
      <c r="I6851" s="668"/>
      <c r="J6851" s="668"/>
      <c r="K6851" s="668"/>
      <c r="L6851" s="668"/>
      <c r="M6851" s="668"/>
    </row>
    <row r="6852" spans="5:13">
      <c r="E6852" s="668"/>
      <c r="F6852" s="668"/>
      <c r="G6852" s="668"/>
      <c r="H6852" s="668"/>
      <c r="I6852" s="668"/>
      <c r="J6852" s="668"/>
      <c r="K6852" s="668"/>
      <c r="L6852" s="668"/>
      <c r="M6852" s="668"/>
    </row>
    <row r="6853" spans="5:13">
      <c r="E6853" s="668"/>
      <c r="F6853" s="668"/>
      <c r="G6853" s="668"/>
      <c r="H6853" s="668"/>
      <c r="I6853" s="668"/>
      <c r="J6853" s="668"/>
      <c r="K6853" s="668"/>
      <c r="L6853" s="668"/>
      <c r="M6853" s="668"/>
    </row>
    <row r="6854" spans="5:13">
      <c r="E6854" s="668"/>
      <c r="F6854" s="668"/>
      <c r="G6854" s="668"/>
      <c r="H6854" s="668"/>
      <c r="I6854" s="668"/>
      <c r="J6854" s="668"/>
      <c r="K6854" s="668"/>
      <c r="L6854" s="668"/>
      <c r="M6854" s="668"/>
    </row>
    <row r="6855" spans="5:13">
      <c r="E6855" s="668"/>
      <c r="F6855" s="668"/>
      <c r="G6855" s="668"/>
      <c r="H6855" s="668"/>
      <c r="I6855" s="668"/>
      <c r="J6855" s="668"/>
      <c r="K6855" s="668"/>
      <c r="L6855" s="668"/>
      <c r="M6855" s="668"/>
    </row>
    <row r="6856" spans="5:13">
      <c r="E6856" s="668"/>
      <c r="F6856" s="668"/>
      <c r="G6856" s="668"/>
      <c r="H6856" s="668"/>
      <c r="I6856" s="668"/>
      <c r="J6856" s="668"/>
      <c r="K6856" s="668"/>
      <c r="L6856" s="668"/>
      <c r="M6856" s="668"/>
    </row>
    <row r="6857" spans="5:13">
      <c r="E6857" s="668"/>
      <c r="F6857" s="668"/>
      <c r="G6857" s="668"/>
      <c r="H6857" s="668"/>
      <c r="I6857" s="668"/>
      <c r="J6857" s="668"/>
      <c r="K6857" s="668"/>
      <c r="L6857" s="668"/>
      <c r="M6857" s="668"/>
    </row>
    <row r="6858" spans="5:13">
      <c r="E6858" s="668"/>
      <c r="F6858" s="668"/>
      <c r="G6858" s="668"/>
      <c r="H6858" s="668"/>
      <c r="I6858" s="668"/>
      <c r="J6858" s="668"/>
      <c r="K6858" s="668"/>
      <c r="L6858" s="668"/>
      <c r="M6858" s="668"/>
    </row>
    <row r="6859" spans="5:13">
      <c r="E6859" s="668"/>
      <c r="F6859" s="668"/>
      <c r="G6859" s="668"/>
      <c r="H6859" s="668"/>
      <c r="I6859" s="668"/>
      <c r="J6859" s="668"/>
      <c r="K6859" s="668"/>
      <c r="L6859" s="668"/>
      <c r="M6859" s="668"/>
    </row>
    <row r="6860" spans="5:13">
      <c r="E6860" s="668"/>
      <c r="F6860" s="668"/>
      <c r="G6860" s="668"/>
      <c r="H6860" s="668"/>
      <c r="I6860" s="668"/>
      <c r="J6860" s="668"/>
      <c r="K6860" s="668"/>
      <c r="L6860" s="668"/>
      <c r="M6860" s="668"/>
    </row>
    <row r="6861" spans="5:13">
      <c r="E6861" s="668"/>
      <c r="F6861" s="668"/>
      <c r="G6861" s="668"/>
      <c r="H6861" s="668"/>
      <c r="I6861" s="668"/>
      <c r="J6861" s="668"/>
      <c r="K6861" s="668"/>
      <c r="L6861" s="668"/>
      <c r="M6861" s="668"/>
    </row>
    <row r="6862" spans="5:13">
      <c r="E6862" s="668"/>
      <c r="F6862" s="668"/>
      <c r="G6862" s="668"/>
      <c r="H6862" s="668"/>
      <c r="I6862" s="668"/>
      <c r="J6862" s="668"/>
      <c r="K6862" s="668"/>
      <c r="L6862" s="668"/>
      <c r="M6862" s="668"/>
    </row>
    <row r="6863" spans="5:13">
      <c r="E6863" s="668"/>
      <c r="F6863" s="668"/>
      <c r="G6863" s="668"/>
      <c r="H6863" s="668"/>
      <c r="I6863" s="668"/>
      <c r="J6863" s="668"/>
      <c r="K6863" s="668"/>
      <c r="L6863" s="668"/>
      <c r="M6863" s="668"/>
    </row>
    <row r="6864" spans="5:13">
      <c r="E6864" s="668"/>
      <c r="F6864" s="668"/>
      <c r="G6864" s="668"/>
      <c r="H6864" s="668"/>
      <c r="I6864" s="668"/>
      <c r="J6864" s="668"/>
      <c r="K6864" s="668"/>
      <c r="L6864" s="668"/>
      <c r="M6864" s="668"/>
    </row>
    <row r="6865" spans="5:13">
      <c r="E6865" s="668"/>
      <c r="F6865" s="668"/>
      <c r="G6865" s="668"/>
      <c r="H6865" s="668"/>
      <c r="I6865" s="668"/>
      <c r="J6865" s="668"/>
      <c r="K6865" s="668"/>
      <c r="L6865" s="668"/>
      <c r="M6865" s="668"/>
    </row>
    <row r="6866" spans="5:13">
      <c r="E6866" s="668"/>
      <c r="F6866" s="668"/>
      <c r="G6866" s="668"/>
      <c r="H6866" s="668"/>
      <c r="I6866" s="668"/>
      <c r="J6866" s="668"/>
      <c r="K6866" s="668"/>
      <c r="L6866" s="668"/>
      <c r="M6866" s="668"/>
    </row>
    <row r="6867" spans="5:13">
      <c r="E6867" s="668"/>
      <c r="F6867" s="668"/>
      <c r="G6867" s="668"/>
      <c r="H6867" s="668"/>
      <c r="I6867" s="668"/>
      <c r="J6867" s="668"/>
      <c r="K6867" s="668"/>
      <c r="L6867" s="668"/>
      <c r="M6867" s="668"/>
    </row>
    <row r="6868" spans="5:13">
      <c r="E6868" s="668"/>
      <c r="F6868" s="668"/>
      <c r="G6868" s="668"/>
      <c r="H6868" s="668"/>
      <c r="I6868" s="668"/>
      <c r="J6868" s="668"/>
      <c r="K6868" s="668"/>
      <c r="L6868" s="668"/>
      <c r="M6868" s="668"/>
    </row>
    <row r="6869" spans="5:13">
      <c r="E6869" s="668"/>
      <c r="F6869" s="668"/>
      <c r="G6869" s="668"/>
      <c r="H6869" s="668"/>
      <c r="I6869" s="668"/>
      <c r="J6869" s="668"/>
      <c r="K6869" s="668"/>
      <c r="L6869" s="668"/>
      <c r="M6869" s="668"/>
    </row>
    <row r="6870" spans="5:13">
      <c r="E6870" s="668"/>
      <c r="F6870" s="668"/>
      <c r="G6870" s="668"/>
      <c r="H6870" s="668"/>
      <c r="I6870" s="668"/>
      <c r="J6870" s="668"/>
      <c r="K6870" s="668"/>
      <c r="L6870" s="668"/>
      <c r="M6870" s="668"/>
    </row>
    <row r="6871" spans="5:13">
      <c r="E6871" s="668"/>
      <c r="F6871" s="668"/>
      <c r="G6871" s="668"/>
      <c r="H6871" s="668"/>
      <c r="I6871" s="668"/>
      <c r="J6871" s="668"/>
      <c r="K6871" s="668"/>
      <c r="L6871" s="668"/>
      <c r="M6871" s="668"/>
    </row>
    <row r="6872" spans="5:13">
      <c r="E6872" s="668"/>
      <c r="F6872" s="668"/>
      <c r="G6872" s="668"/>
      <c r="H6872" s="668"/>
      <c r="I6872" s="668"/>
      <c r="J6872" s="668"/>
      <c r="K6872" s="668"/>
      <c r="L6872" s="668"/>
      <c r="M6872" s="668"/>
    </row>
    <row r="6873" spans="5:13">
      <c r="E6873" s="668"/>
      <c r="F6873" s="668"/>
      <c r="G6873" s="668"/>
      <c r="H6873" s="668"/>
      <c r="I6873" s="668"/>
      <c r="J6873" s="668"/>
      <c r="K6873" s="668"/>
      <c r="L6873" s="668"/>
      <c r="M6873" s="668"/>
    </row>
    <row r="6874" spans="5:13">
      <c r="E6874" s="668"/>
      <c r="F6874" s="668"/>
      <c r="G6874" s="668"/>
      <c r="H6874" s="668"/>
      <c r="I6874" s="668"/>
      <c r="J6874" s="668"/>
      <c r="K6874" s="668"/>
      <c r="L6874" s="668"/>
      <c r="M6874" s="668"/>
    </row>
    <row r="6875" spans="5:13">
      <c r="E6875" s="668"/>
      <c r="F6875" s="668"/>
      <c r="G6875" s="668"/>
      <c r="H6875" s="668"/>
      <c r="I6875" s="668"/>
      <c r="J6875" s="668"/>
      <c r="K6875" s="668"/>
      <c r="L6875" s="668"/>
      <c r="M6875" s="668"/>
    </row>
    <row r="6876" spans="5:13">
      <c r="E6876" s="668"/>
      <c r="F6876" s="668"/>
      <c r="G6876" s="668"/>
      <c r="H6876" s="668"/>
      <c r="I6876" s="668"/>
      <c r="J6876" s="668"/>
      <c r="K6876" s="668"/>
      <c r="L6876" s="668"/>
      <c r="M6876" s="668"/>
    </row>
    <row r="6877" spans="5:13">
      <c r="E6877" s="668"/>
      <c r="F6877" s="668"/>
      <c r="G6877" s="668"/>
      <c r="H6877" s="668"/>
      <c r="I6877" s="668"/>
      <c r="J6877" s="668"/>
      <c r="K6877" s="668"/>
      <c r="L6877" s="668"/>
      <c r="M6877" s="668"/>
    </row>
    <row r="6878" spans="5:13">
      <c r="E6878" s="668"/>
      <c r="F6878" s="668"/>
      <c r="G6878" s="668"/>
      <c r="H6878" s="668"/>
      <c r="I6878" s="668"/>
      <c r="J6878" s="668"/>
      <c r="K6878" s="668"/>
      <c r="L6878" s="668"/>
      <c r="M6878" s="668"/>
    </row>
    <row r="6879" spans="5:13">
      <c r="E6879" s="668"/>
      <c r="F6879" s="668"/>
      <c r="G6879" s="668"/>
      <c r="H6879" s="668"/>
      <c r="I6879" s="668"/>
      <c r="J6879" s="668"/>
      <c r="K6879" s="668"/>
      <c r="L6879" s="668"/>
      <c r="M6879" s="668"/>
    </row>
    <row r="6880" spans="5:13">
      <c r="E6880" s="668"/>
      <c r="F6880" s="668"/>
      <c r="G6880" s="668"/>
      <c r="H6880" s="668"/>
      <c r="I6880" s="668"/>
      <c r="J6880" s="668"/>
      <c r="K6880" s="668"/>
      <c r="L6880" s="668"/>
      <c r="M6880" s="668"/>
    </row>
    <row r="6881" spans="5:13">
      <c r="E6881" s="668"/>
      <c r="F6881" s="668"/>
      <c r="G6881" s="668"/>
      <c r="H6881" s="668"/>
      <c r="I6881" s="668"/>
      <c r="J6881" s="668"/>
      <c r="K6881" s="668"/>
      <c r="L6881" s="668"/>
      <c r="M6881" s="668"/>
    </row>
    <row r="6882" spans="5:13">
      <c r="E6882" s="668"/>
      <c r="F6882" s="668"/>
      <c r="G6882" s="668"/>
      <c r="H6882" s="668"/>
      <c r="I6882" s="668"/>
      <c r="J6882" s="668"/>
      <c r="K6882" s="668"/>
      <c r="L6882" s="668"/>
      <c r="M6882" s="668"/>
    </row>
    <row r="6883" spans="5:13">
      <c r="E6883" s="668"/>
      <c r="F6883" s="668"/>
      <c r="G6883" s="668"/>
      <c r="H6883" s="668"/>
      <c r="I6883" s="668"/>
      <c r="J6883" s="668"/>
      <c r="K6883" s="668"/>
      <c r="L6883" s="668"/>
      <c r="M6883" s="668"/>
    </row>
    <row r="6884" spans="5:13">
      <c r="E6884" s="668"/>
      <c r="F6884" s="668"/>
      <c r="G6884" s="668"/>
      <c r="H6884" s="668"/>
      <c r="I6884" s="668"/>
      <c r="J6884" s="668"/>
      <c r="K6884" s="668"/>
      <c r="L6884" s="668"/>
      <c r="M6884" s="668"/>
    </row>
    <row r="6885" spans="5:13">
      <c r="E6885" s="668"/>
      <c r="F6885" s="668"/>
      <c r="G6885" s="668"/>
      <c r="H6885" s="668"/>
      <c r="I6885" s="668"/>
      <c r="J6885" s="668"/>
      <c r="K6885" s="668"/>
      <c r="L6885" s="668"/>
      <c r="M6885" s="668"/>
    </row>
    <row r="6886" spans="5:13">
      <c r="E6886" s="668"/>
      <c r="F6886" s="668"/>
      <c r="G6886" s="668"/>
      <c r="H6886" s="668"/>
      <c r="I6886" s="668"/>
      <c r="J6886" s="668"/>
      <c r="K6886" s="668"/>
      <c r="L6886" s="668"/>
      <c r="M6886" s="668"/>
    </row>
    <row r="6887" spans="5:13">
      <c r="E6887" s="668"/>
      <c r="F6887" s="668"/>
      <c r="G6887" s="668"/>
      <c r="H6887" s="668"/>
      <c r="I6887" s="668"/>
      <c r="J6887" s="668"/>
      <c r="K6887" s="668"/>
      <c r="L6887" s="668"/>
      <c r="M6887" s="668"/>
    </row>
    <row r="6888" spans="5:13">
      <c r="E6888" s="668"/>
      <c r="F6888" s="668"/>
      <c r="G6888" s="668"/>
      <c r="H6888" s="668"/>
      <c r="I6888" s="668"/>
      <c r="J6888" s="668"/>
      <c r="K6888" s="668"/>
      <c r="L6888" s="668"/>
      <c r="M6888" s="668"/>
    </row>
    <row r="6889" spans="5:13">
      <c r="E6889" s="668"/>
      <c r="F6889" s="668"/>
      <c r="G6889" s="668"/>
      <c r="H6889" s="668"/>
      <c r="I6889" s="668"/>
      <c r="J6889" s="668"/>
      <c r="K6889" s="668"/>
      <c r="L6889" s="668"/>
      <c r="M6889" s="668"/>
    </row>
    <row r="6890" spans="5:13">
      <c r="E6890" s="668"/>
      <c r="F6890" s="668"/>
      <c r="G6890" s="668"/>
      <c r="H6890" s="668"/>
      <c r="I6890" s="668"/>
      <c r="J6890" s="668"/>
      <c r="K6890" s="668"/>
      <c r="L6890" s="668"/>
      <c r="M6890" s="668"/>
    </row>
    <row r="6891" spans="5:13">
      <c r="E6891" s="668"/>
      <c r="F6891" s="668"/>
      <c r="G6891" s="668"/>
      <c r="H6891" s="668"/>
      <c r="I6891" s="668"/>
      <c r="J6891" s="668"/>
      <c r="K6891" s="668"/>
      <c r="L6891" s="668"/>
      <c r="M6891" s="668"/>
    </row>
    <row r="6892" spans="5:13">
      <c r="E6892" s="668"/>
      <c r="F6892" s="668"/>
      <c r="G6892" s="668"/>
      <c r="H6892" s="668"/>
      <c r="I6892" s="668"/>
      <c r="J6892" s="668"/>
      <c r="K6892" s="668"/>
      <c r="L6892" s="668"/>
      <c r="M6892" s="668"/>
    </row>
    <row r="6893" spans="5:13">
      <c r="E6893" s="668"/>
      <c r="F6893" s="668"/>
      <c r="G6893" s="668"/>
      <c r="H6893" s="668"/>
      <c r="I6893" s="668"/>
      <c r="J6893" s="668"/>
      <c r="K6893" s="668"/>
      <c r="L6893" s="668"/>
      <c r="M6893" s="668"/>
    </row>
    <row r="6894" spans="5:13">
      <c r="E6894" s="668"/>
      <c r="F6894" s="668"/>
      <c r="G6894" s="668"/>
      <c r="H6894" s="668"/>
      <c r="I6894" s="668"/>
      <c r="J6894" s="668"/>
      <c r="K6894" s="668"/>
      <c r="L6894" s="668"/>
      <c r="M6894" s="668"/>
    </row>
    <row r="6895" spans="5:13">
      <c r="E6895" s="668"/>
      <c r="F6895" s="668"/>
      <c r="G6895" s="668"/>
      <c r="H6895" s="668"/>
      <c r="I6895" s="668"/>
      <c r="J6895" s="668"/>
      <c r="K6895" s="668"/>
      <c r="L6895" s="668"/>
      <c r="M6895" s="668"/>
    </row>
    <row r="6896" spans="5:13">
      <c r="E6896" s="668"/>
      <c r="F6896" s="668"/>
      <c r="G6896" s="668"/>
      <c r="H6896" s="668"/>
      <c r="I6896" s="668"/>
      <c r="J6896" s="668"/>
      <c r="K6896" s="668"/>
      <c r="L6896" s="668"/>
      <c r="M6896" s="668"/>
    </row>
    <row r="6897" spans="5:13">
      <c r="E6897" s="668"/>
      <c r="F6897" s="668"/>
      <c r="G6897" s="668"/>
      <c r="H6897" s="668"/>
      <c r="I6897" s="668"/>
      <c r="J6897" s="668"/>
      <c r="K6897" s="668"/>
      <c r="L6897" s="668"/>
      <c r="M6897" s="668"/>
    </row>
    <row r="6898" spans="5:13">
      <c r="E6898" s="668"/>
      <c r="F6898" s="668"/>
      <c r="G6898" s="668"/>
      <c r="H6898" s="668"/>
      <c r="I6898" s="668"/>
      <c r="J6898" s="668"/>
      <c r="K6898" s="668"/>
      <c r="L6898" s="668"/>
      <c r="M6898" s="668"/>
    </row>
    <row r="6899" spans="5:13">
      <c r="E6899" s="668"/>
      <c r="F6899" s="668"/>
      <c r="G6899" s="668"/>
      <c r="H6899" s="668"/>
      <c r="I6899" s="668"/>
      <c r="J6899" s="668"/>
      <c r="K6899" s="668"/>
      <c r="L6899" s="668"/>
      <c r="M6899" s="668"/>
    </row>
    <row r="6900" spans="5:13">
      <c r="E6900" s="668"/>
      <c r="F6900" s="668"/>
      <c r="G6900" s="668"/>
      <c r="H6900" s="668"/>
      <c r="I6900" s="668"/>
      <c r="J6900" s="668"/>
      <c r="K6900" s="668"/>
      <c r="L6900" s="668"/>
      <c r="M6900" s="668"/>
    </row>
    <row r="6901" spans="5:13">
      <c r="E6901" s="668"/>
      <c r="F6901" s="668"/>
      <c r="G6901" s="668"/>
      <c r="H6901" s="668"/>
      <c r="I6901" s="668"/>
      <c r="J6901" s="668"/>
      <c r="K6901" s="668"/>
      <c r="L6901" s="668"/>
      <c r="M6901" s="668"/>
    </row>
    <row r="6902" spans="5:13">
      <c r="E6902" s="668"/>
      <c r="F6902" s="668"/>
      <c r="G6902" s="668"/>
      <c r="H6902" s="668"/>
      <c r="I6902" s="668"/>
      <c r="J6902" s="668"/>
      <c r="K6902" s="668"/>
      <c r="L6902" s="668"/>
      <c r="M6902" s="668"/>
    </row>
    <row r="6903" spans="5:13">
      <c r="E6903" s="668"/>
      <c r="F6903" s="668"/>
      <c r="G6903" s="668"/>
      <c r="H6903" s="668"/>
      <c r="I6903" s="668"/>
      <c r="J6903" s="668"/>
      <c r="K6903" s="668"/>
      <c r="L6903" s="668"/>
      <c r="M6903" s="668"/>
    </row>
    <row r="6904" spans="5:13">
      <c r="E6904" s="668"/>
      <c r="F6904" s="668"/>
      <c r="G6904" s="668"/>
      <c r="H6904" s="668"/>
      <c r="I6904" s="668"/>
      <c r="J6904" s="668"/>
      <c r="K6904" s="668"/>
      <c r="L6904" s="668"/>
      <c r="M6904" s="668"/>
    </row>
    <row r="6905" spans="5:13">
      <c r="E6905" s="668"/>
      <c r="F6905" s="668"/>
      <c r="G6905" s="668"/>
      <c r="H6905" s="668"/>
      <c r="I6905" s="668"/>
      <c r="J6905" s="668"/>
      <c r="K6905" s="668"/>
      <c r="L6905" s="668"/>
      <c r="M6905" s="668"/>
    </row>
    <row r="6906" spans="5:13">
      <c r="E6906" s="668"/>
      <c r="F6906" s="668"/>
      <c r="G6906" s="668"/>
      <c r="H6906" s="668"/>
      <c r="I6906" s="668"/>
      <c r="J6906" s="668"/>
      <c r="K6906" s="668"/>
      <c r="L6906" s="668"/>
      <c r="M6906" s="668"/>
    </row>
    <row r="6907" spans="5:13">
      <c r="E6907" s="668"/>
      <c r="F6907" s="668"/>
      <c r="G6907" s="668"/>
      <c r="H6907" s="668"/>
      <c r="I6907" s="668"/>
      <c r="J6907" s="668"/>
      <c r="K6907" s="668"/>
      <c r="L6907" s="668"/>
      <c r="M6907" s="668"/>
    </row>
    <row r="6908" spans="5:13">
      <c r="E6908" s="668"/>
      <c r="F6908" s="668"/>
      <c r="G6908" s="668"/>
      <c r="H6908" s="668"/>
      <c r="I6908" s="668"/>
      <c r="J6908" s="668"/>
      <c r="K6908" s="668"/>
      <c r="L6908" s="668"/>
      <c r="M6908" s="668"/>
    </row>
    <row r="6909" spans="5:13">
      <c r="E6909" s="668"/>
      <c r="F6909" s="668"/>
      <c r="G6909" s="668"/>
      <c r="H6909" s="668"/>
      <c r="I6909" s="668"/>
      <c r="J6909" s="668"/>
      <c r="K6909" s="668"/>
      <c r="L6909" s="668"/>
      <c r="M6909" s="668"/>
    </row>
    <row r="6910" spans="5:13">
      <c r="E6910" s="668"/>
      <c r="F6910" s="668"/>
      <c r="G6910" s="668"/>
      <c r="H6910" s="668"/>
      <c r="I6910" s="668"/>
      <c r="J6910" s="668"/>
      <c r="K6910" s="668"/>
      <c r="L6910" s="668"/>
      <c r="M6910" s="668"/>
    </row>
    <row r="6911" spans="5:13">
      <c r="E6911" s="668"/>
      <c r="F6911" s="668"/>
      <c r="G6911" s="668"/>
      <c r="H6911" s="668"/>
      <c r="I6911" s="668"/>
      <c r="J6911" s="668"/>
      <c r="K6911" s="668"/>
      <c r="L6911" s="668"/>
      <c r="M6911" s="668"/>
    </row>
    <row r="6912" spans="5:13">
      <c r="E6912" s="668"/>
      <c r="F6912" s="668"/>
      <c r="G6912" s="668"/>
      <c r="H6912" s="668"/>
      <c r="I6912" s="668"/>
      <c r="J6912" s="668"/>
      <c r="K6912" s="668"/>
      <c r="L6912" s="668"/>
      <c r="M6912" s="668"/>
    </row>
    <row r="6913" spans="5:13">
      <c r="E6913" s="668"/>
      <c r="F6913" s="668"/>
      <c r="G6913" s="668"/>
      <c r="H6913" s="668"/>
      <c r="I6913" s="668"/>
      <c r="J6913" s="668"/>
      <c r="K6913" s="668"/>
      <c r="L6913" s="668"/>
      <c r="M6913" s="668"/>
    </row>
    <row r="6914" spans="5:13">
      <c r="E6914" s="668"/>
      <c r="F6914" s="668"/>
      <c r="G6914" s="668"/>
      <c r="H6914" s="668"/>
      <c r="I6914" s="668"/>
      <c r="J6914" s="668"/>
      <c r="K6914" s="668"/>
      <c r="L6914" s="668"/>
      <c r="M6914" s="668"/>
    </row>
    <row r="6915" spans="5:13">
      <c r="E6915" s="668"/>
      <c r="F6915" s="668"/>
      <c r="G6915" s="668"/>
      <c r="H6915" s="668"/>
      <c r="I6915" s="668"/>
      <c r="J6915" s="668"/>
      <c r="K6915" s="668"/>
      <c r="L6915" s="668"/>
      <c r="M6915" s="668"/>
    </row>
    <row r="6916" spans="5:13">
      <c r="E6916" s="668"/>
      <c r="F6916" s="668"/>
      <c r="G6916" s="668"/>
      <c r="H6916" s="668"/>
      <c r="I6916" s="668"/>
      <c r="J6916" s="668"/>
      <c r="K6916" s="668"/>
      <c r="L6916" s="668"/>
      <c r="M6916" s="668"/>
    </row>
    <row r="6917" spans="5:13">
      <c r="E6917" s="668"/>
      <c r="F6917" s="668"/>
      <c r="G6917" s="668"/>
      <c r="H6917" s="668"/>
      <c r="I6917" s="668"/>
      <c r="J6917" s="668"/>
      <c r="K6917" s="668"/>
      <c r="L6917" s="668"/>
      <c r="M6917" s="668"/>
    </row>
    <row r="6918" spans="5:13">
      <c r="E6918" s="668"/>
      <c r="F6918" s="668"/>
      <c r="G6918" s="668"/>
      <c r="H6918" s="668"/>
      <c r="I6918" s="668"/>
      <c r="J6918" s="668"/>
      <c r="K6918" s="668"/>
      <c r="L6918" s="668"/>
      <c r="M6918" s="668"/>
    </row>
    <row r="6919" spans="5:13">
      <c r="E6919" s="668"/>
      <c r="F6919" s="668"/>
      <c r="G6919" s="668"/>
      <c r="H6919" s="668"/>
      <c r="I6919" s="668"/>
      <c r="J6919" s="668"/>
      <c r="K6919" s="668"/>
      <c r="L6919" s="668"/>
      <c r="M6919" s="668"/>
    </row>
    <row r="6920" spans="5:13">
      <c r="E6920" s="668"/>
      <c r="F6920" s="668"/>
      <c r="G6920" s="668"/>
      <c r="H6920" s="668"/>
      <c r="I6920" s="668"/>
      <c r="J6920" s="668"/>
      <c r="K6920" s="668"/>
      <c r="L6920" s="668"/>
      <c r="M6920" s="668"/>
    </row>
    <row r="6921" spans="5:13">
      <c r="E6921" s="668"/>
      <c r="F6921" s="668"/>
      <c r="G6921" s="668"/>
      <c r="H6921" s="668"/>
      <c r="I6921" s="668"/>
      <c r="J6921" s="668"/>
      <c r="K6921" s="668"/>
      <c r="L6921" s="668"/>
      <c r="M6921" s="668"/>
    </row>
    <row r="6922" spans="5:13">
      <c r="E6922" s="668"/>
      <c r="F6922" s="668"/>
      <c r="G6922" s="668"/>
      <c r="H6922" s="668"/>
      <c r="I6922" s="668"/>
      <c r="J6922" s="668"/>
      <c r="K6922" s="668"/>
      <c r="L6922" s="668"/>
      <c r="M6922" s="668"/>
    </row>
    <row r="6923" spans="5:13">
      <c r="E6923" s="668"/>
      <c r="F6923" s="668"/>
      <c r="G6923" s="668"/>
      <c r="H6923" s="668"/>
      <c r="I6923" s="668"/>
      <c r="J6923" s="668"/>
      <c r="K6923" s="668"/>
      <c r="L6923" s="668"/>
      <c r="M6923" s="668"/>
    </row>
    <row r="6924" spans="5:13">
      <c r="E6924" s="668"/>
      <c r="F6924" s="668"/>
      <c r="G6924" s="668"/>
      <c r="H6924" s="668"/>
      <c r="I6924" s="668"/>
      <c r="J6924" s="668"/>
      <c r="K6924" s="668"/>
      <c r="L6924" s="668"/>
      <c r="M6924" s="668"/>
    </row>
    <row r="6925" spans="5:13">
      <c r="E6925" s="668"/>
      <c r="F6925" s="668"/>
      <c r="G6925" s="668"/>
      <c r="H6925" s="668"/>
      <c r="I6925" s="668"/>
      <c r="J6925" s="668"/>
      <c r="K6925" s="668"/>
      <c r="L6925" s="668"/>
      <c r="M6925" s="668"/>
    </row>
    <row r="6926" spans="5:13">
      <c r="E6926" s="668"/>
      <c r="F6926" s="668"/>
      <c r="G6926" s="668"/>
      <c r="H6926" s="668"/>
      <c r="I6926" s="668"/>
      <c r="J6926" s="668"/>
      <c r="K6926" s="668"/>
      <c r="L6926" s="668"/>
      <c r="M6926" s="668"/>
    </row>
    <row r="6927" spans="5:13">
      <c r="E6927" s="668"/>
      <c r="F6927" s="668"/>
      <c r="G6927" s="668"/>
      <c r="H6927" s="668"/>
      <c r="I6927" s="668"/>
      <c r="J6927" s="668"/>
      <c r="K6927" s="668"/>
      <c r="L6927" s="668"/>
      <c r="M6927" s="668"/>
    </row>
    <row r="6928" spans="5:13">
      <c r="E6928" s="668"/>
      <c r="F6928" s="668"/>
      <c r="G6928" s="668"/>
      <c r="H6928" s="668"/>
      <c r="I6928" s="668"/>
      <c r="J6928" s="668"/>
      <c r="K6928" s="668"/>
      <c r="L6928" s="668"/>
      <c r="M6928" s="668"/>
    </row>
    <row r="6929" spans="5:13">
      <c r="E6929" s="668"/>
      <c r="F6929" s="668"/>
      <c r="G6929" s="668"/>
      <c r="H6929" s="668"/>
      <c r="I6929" s="668"/>
      <c r="J6929" s="668"/>
      <c r="K6929" s="668"/>
      <c r="L6929" s="668"/>
      <c r="M6929" s="668"/>
    </row>
    <row r="6930" spans="5:13">
      <c r="E6930" s="668"/>
      <c r="F6930" s="668"/>
      <c r="G6930" s="668"/>
      <c r="H6930" s="668"/>
      <c r="I6930" s="668"/>
      <c r="J6930" s="668"/>
      <c r="K6930" s="668"/>
      <c r="L6930" s="668"/>
      <c r="M6930" s="668"/>
    </row>
    <row r="6931" spans="5:13">
      <c r="E6931" s="668"/>
      <c r="F6931" s="668"/>
      <c r="G6931" s="668"/>
      <c r="H6931" s="668"/>
      <c r="I6931" s="668"/>
      <c r="J6931" s="668"/>
      <c r="K6931" s="668"/>
      <c r="L6931" s="668"/>
      <c r="M6931" s="668"/>
    </row>
    <row r="6932" spans="5:13">
      <c r="E6932" s="668"/>
      <c r="F6932" s="668"/>
      <c r="G6932" s="668"/>
      <c r="H6932" s="668"/>
      <c r="I6932" s="668"/>
      <c r="J6932" s="668"/>
      <c r="K6932" s="668"/>
      <c r="L6932" s="668"/>
      <c r="M6932" s="668"/>
    </row>
    <row r="6933" spans="5:13">
      <c r="E6933" s="668"/>
      <c r="F6933" s="668"/>
      <c r="G6933" s="668"/>
      <c r="H6933" s="668"/>
      <c r="I6933" s="668"/>
      <c r="J6933" s="668"/>
      <c r="K6933" s="668"/>
      <c r="L6933" s="668"/>
      <c r="M6933" s="668"/>
    </row>
    <row r="6934" spans="5:13">
      <c r="E6934" s="668"/>
      <c r="F6934" s="668"/>
      <c r="G6934" s="668"/>
      <c r="H6934" s="668"/>
      <c r="I6934" s="668"/>
      <c r="J6934" s="668"/>
      <c r="K6934" s="668"/>
      <c r="L6934" s="668"/>
      <c r="M6934" s="668"/>
    </row>
    <row r="6935" spans="5:13">
      <c r="E6935" s="668"/>
      <c r="F6935" s="668"/>
      <c r="G6935" s="668"/>
      <c r="H6935" s="668"/>
      <c r="I6935" s="668"/>
      <c r="J6935" s="668"/>
      <c r="K6935" s="668"/>
      <c r="L6935" s="668"/>
      <c r="M6935" s="668"/>
    </row>
    <row r="6936" spans="5:13">
      <c r="E6936" s="668"/>
      <c r="F6936" s="668"/>
      <c r="G6936" s="668"/>
      <c r="H6936" s="668"/>
      <c r="I6936" s="668"/>
      <c r="J6936" s="668"/>
      <c r="K6936" s="668"/>
      <c r="L6936" s="668"/>
      <c r="M6936" s="668"/>
    </row>
    <row r="6937" spans="5:13">
      <c r="E6937" s="668"/>
      <c r="F6937" s="668"/>
      <c r="G6937" s="668"/>
      <c r="H6937" s="668"/>
      <c r="I6937" s="668"/>
      <c r="J6937" s="668"/>
      <c r="K6937" s="668"/>
      <c r="L6937" s="668"/>
      <c r="M6937" s="668"/>
    </row>
    <row r="6938" spans="5:13">
      <c r="E6938" s="668"/>
      <c r="F6938" s="668"/>
      <c r="G6938" s="668"/>
      <c r="H6938" s="668"/>
      <c r="I6938" s="668"/>
      <c r="J6938" s="668"/>
      <c r="K6938" s="668"/>
      <c r="L6938" s="668"/>
      <c r="M6938" s="668"/>
    </row>
    <row r="6939" spans="5:13">
      <c r="E6939" s="668"/>
      <c r="F6939" s="668"/>
      <c r="G6939" s="668"/>
      <c r="H6939" s="668"/>
      <c r="I6939" s="668"/>
      <c r="J6939" s="668"/>
      <c r="K6939" s="668"/>
      <c r="L6939" s="668"/>
      <c r="M6939" s="668"/>
    </row>
    <row r="6940" spans="5:13">
      <c r="E6940" s="668"/>
      <c r="F6940" s="668"/>
      <c r="G6940" s="668"/>
      <c r="H6940" s="668"/>
      <c r="I6940" s="668"/>
      <c r="J6940" s="668"/>
      <c r="K6940" s="668"/>
      <c r="L6940" s="668"/>
      <c r="M6940" s="668"/>
    </row>
    <row r="6941" spans="5:13">
      <c r="E6941" s="668"/>
      <c r="F6941" s="668"/>
      <c r="G6941" s="668"/>
      <c r="H6941" s="668"/>
      <c r="I6941" s="668"/>
      <c r="J6941" s="668"/>
      <c r="K6941" s="668"/>
      <c r="L6941" s="668"/>
      <c r="M6941" s="668"/>
    </row>
    <row r="6942" spans="5:13">
      <c r="E6942" s="668"/>
      <c r="F6942" s="668"/>
      <c r="G6942" s="668"/>
      <c r="H6942" s="668"/>
      <c r="I6942" s="668"/>
      <c r="J6942" s="668"/>
      <c r="K6942" s="668"/>
      <c r="L6942" s="668"/>
      <c r="M6942" s="668"/>
    </row>
    <row r="6943" spans="5:13">
      <c r="E6943" s="668"/>
      <c r="F6943" s="668"/>
      <c r="G6943" s="668"/>
      <c r="H6943" s="668"/>
      <c r="I6943" s="668"/>
      <c r="J6943" s="668"/>
      <c r="K6943" s="668"/>
      <c r="L6943" s="668"/>
      <c r="M6943" s="668"/>
    </row>
    <row r="6944" spans="5:13">
      <c r="E6944" s="668"/>
      <c r="F6944" s="668"/>
      <c r="G6944" s="668"/>
      <c r="H6944" s="668"/>
      <c r="I6944" s="668"/>
      <c r="J6944" s="668"/>
      <c r="K6944" s="668"/>
      <c r="L6944" s="668"/>
      <c r="M6944" s="668"/>
    </row>
    <row r="6945" spans="5:13">
      <c r="E6945" s="668"/>
      <c r="F6945" s="668"/>
      <c r="G6945" s="668"/>
      <c r="H6945" s="668"/>
      <c r="I6945" s="668"/>
      <c r="J6945" s="668"/>
      <c r="K6945" s="668"/>
      <c r="L6945" s="668"/>
      <c r="M6945" s="668"/>
    </row>
    <row r="6946" spans="5:13">
      <c r="E6946" s="668"/>
      <c r="F6946" s="668"/>
      <c r="G6946" s="668"/>
      <c r="H6946" s="668"/>
      <c r="I6946" s="668"/>
      <c r="J6946" s="668"/>
      <c r="K6946" s="668"/>
      <c r="L6946" s="668"/>
      <c r="M6946" s="668"/>
    </row>
    <row r="6947" spans="5:13">
      <c r="E6947" s="668"/>
      <c r="F6947" s="668"/>
      <c r="G6947" s="668"/>
      <c r="H6947" s="668"/>
      <c r="I6947" s="668"/>
      <c r="J6947" s="668"/>
      <c r="K6947" s="668"/>
      <c r="L6947" s="668"/>
      <c r="M6947" s="668"/>
    </row>
    <row r="6948" spans="5:13">
      <c r="E6948" s="668"/>
      <c r="F6948" s="668"/>
      <c r="G6948" s="668"/>
      <c r="H6948" s="668"/>
      <c r="I6948" s="668"/>
      <c r="J6948" s="668"/>
      <c r="K6948" s="668"/>
      <c r="L6948" s="668"/>
      <c r="M6948" s="668"/>
    </row>
    <row r="6949" spans="5:13">
      <c r="E6949" s="668"/>
      <c r="F6949" s="668"/>
      <c r="G6949" s="668"/>
      <c r="H6949" s="668"/>
      <c r="I6949" s="668"/>
      <c r="J6949" s="668"/>
      <c r="K6949" s="668"/>
      <c r="L6949" s="668"/>
      <c r="M6949" s="668"/>
    </row>
    <row r="6950" spans="5:13">
      <c r="E6950" s="668"/>
      <c r="F6950" s="668"/>
      <c r="G6950" s="668"/>
      <c r="H6950" s="668"/>
      <c r="I6950" s="668"/>
      <c r="J6950" s="668"/>
      <c r="K6950" s="668"/>
      <c r="L6950" s="668"/>
      <c r="M6950" s="668"/>
    </row>
    <row r="6951" spans="5:13">
      <c r="E6951" s="668"/>
      <c r="F6951" s="668"/>
      <c r="G6951" s="668"/>
      <c r="H6951" s="668"/>
      <c r="I6951" s="668"/>
      <c r="J6951" s="668"/>
      <c r="K6951" s="668"/>
      <c r="L6951" s="668"/>
      <c r="M6951" s="668"/>
    </row>
    <row r="6952" spans="5:13">
      <c r="E6952" s="668"/>
      <c r="F6952" s="668"/>
      <c r="G6952" s="668"/>
      <c r="H6952" s="668"/>
      <c r="I6952" s="668"/>
      <c r="J6952" s="668"/>
      <c r="K6952" s="668"/>
      <c r="L6952" s="668"/>
      <c r="M6952" s="668"/>
    </row>
    <row r="6953" spans="5:13">
      <c r="E6953" s="668"/>
      <c r="F6953" s="668"/>
      <c r="G6953" s="668"/>
      <c r="H6953" s="668"/>
      <c r="I6953" s="668"/>
      <c r="J6953" s="668"/>
      <c r="K6953" s="668"/>
      <c r="L6953" s="668"/>
      <c r="M6953" s="668"/>
    </row>
    <row r="6954" spans="5:13">
      <c r="E6954" s="668"/>
      <c r="F6954" s="668"/>
      <c r="G6954" s="668"/>
      <c r="H6954" s="668"/>
      <c r="I6954" s="668"/>
      <c r="J6954" s="668"/>
      <c r="K6954" s="668"/>
      <c r="L6954" s="668"/>
      <c r="M6954" s="668"/>
    </row>
    <row r="6955" spans="5:13">
      <c r="E6955" s="668"/>
      <c r="F6955" s="668"/>
      <c r="G6955" s="668"/>
      <c r="H6955" s="668"/>
      <c r="I6955" s="668"/>
      <c r="J6955" s="668"/>
      <c r="K6955" s="668"/>
      <c r="L6955" s="668"/>
      <c r="M6955" s="668"/>
    </row>
    <row r="6956" spans="5:13">
      <c r="E6956" s="668"/>
      <c r="F6956" s="668"/>
      <c r="G6956" s="668"/>
      <c r="H6956" s="668"/>
      <c r="I6956" s="668"/>
      <c r="J6956" s="668"/>
      <c r="K6956" s="668"/>
      <c r="L6956" s="668"/>
      <c r="M6956" s="668"/>
    </row>
    <row r="6957" spans="5:13">
      <c r="E6957" s="668"/>
      <c r="F6957" s="668"/>
      <c r="G6957" s="668"/>
      <c r="H6957" s="668"/>
      <c r="I6957" s="668"/>
      <c r="J6957" s="668"/>
      <c r="K6957" s="668"/>
      <c r="L6957" s="668"/>
      <c r="M6957" s="668"/>
    </row>
    <row r="6958" spans="5:13">
      <c r="E6958" s="668"/>
      <c r="F6958" s="668"/>
      <c r="G6958" s="668"/>
      <c r="H6958" s="668"/>
      <c r="I6958" s="668"/>
      <c r="J6958" s="668"/>
      <c r="K6958" s="668"/>
      <c r="L6958" s="668"/>
      <c r="M6958" s="668"/>
    </row>
    <row r="6959" spans="5:13">
      <c r="E6959" s="668"/>
      <c r="F6959" s="668"/>
      <c r="G6959" s="668"/>
      <c r="H6959" s="668"/>
      <c r="I6959" s="668"/>
      <c r="J6959" s="668"/>
      <c r="K6959" s="668"/>
      <c r="L6959" s="668"/>
      <c r="M6959" s="668"/>
    </row>
    <row r="6960" spans="5:13">
      <c r="E6960" s="668"/>
      <c r="F6960" s="668"/>
      <c r="G6960" s="668"/>
      <c r="H6960" s="668"/>
      <c r="I6960" s="668"/>
      <c r="J6960" s="668"/>
      <c r="K6960" s="668"/>
      <c r="L6960" s="668"/>
      <c r="M6960" s="668"/>
    </row>
    <row r="6961" spans="5:13">
      <c r="E6961" s="668"/>
      <c r="F6961" s="668"/>
      <c r="G6961" s="668"/>
      <c r="H6961" s="668"/>
      <c r="I6961" s="668"/>
      <c r="J6961" s="668"/>
      <c r="K6961" s="668"/>
      <c r="L6961" s="668"/>
      <c r="M6961" s="668"/>
    </row>
    <row r="6962" spans="5:13">
      <c r="E6962" s="668"/>
      <c r="F6962" s="668"/>
      <c r="G6962" s="668"/>
      <c r="H6962" s="668"/>
      <c r="I6962" s="668"/>
      <c r="J6962" s="668"/>
      <c r="K6962" s="668"/>
      <c r="L6962" s="668"/>
      <c r="M6962" s="668"/>
    </row>
    <row r="6963" spans="5:13">
      <c r="E6963" s="668"/>
      <c r="F6963" s="668"/>
      <c r="G6963" s="668"/>
      <c r="H6963" s="668"/>
      <c r="I6963" s="668"/>
      <c r="J6963" s="668"/>
      <c r="K6963" s="668"/>
      <c r="L6963" s="668"/>
      <c r="M6963" s="668"/>
    </row>
    <row r="6964" spans="5:13">
      <c r="E6964" s="668"/>
      <c r="F6964" s="668"/>
      <c r="G6964" s="668"/>
      <c r="H6964" s="668"/>
      <c r="I6964" s="668"/>
      <c r="J6964" s="668"/>
      <c r="K6964" s="668"/>
      <c r="L6964" s="668"/>
      <c r="M6964" s="668"/>
    </row>
    <row r="6965" spans="5:13">
      <c r="E6965" s="668"/>
      <c r="F6965" s="668"/>
      <c r="G6965" s="668"/>
      <c r="H6965" s="668"/>
      <c r="I6965" s="668"/>
      <c r="J6965" s="668"/>
      <c r="K6965" s="668"/>
      <c r="L6965" s="668"/>
      <c r="M6965" s="668"/>
    </row>
    <row r="6966" spans="5:13">
      <c r="E6966" s="668"/>
      <c r="F6966" s="668"/>
      <c r="G6966" s="668"/>
      <c r="H6966" s="668"/>
      <c r="I6966" s="668"/>
      <c r="J6966" s="668"/>
      <c r="K6966" s="668"/>
      <c r="L6966" s="668"/>
      <c r="M6966" s="668"/>
    </row>
    <row r="6967" spans="5:13">
      <c r="E6967" s="668"/>
      <c r="F6967" s="668"/>
      <c r="G6967" s="668"/>
      <c r="H6967" s="668"/>
      <c r="I6967" s="668"/>
      <c r="J6967" s="668"/>
      <c r="K6967" s="668"/>
      <c r="L6967" s="668"/>
      <c r="M6967" s="668"/>
    </row>
    <row r="6968" spans="5:13">
      <c r="E6968" s="668"/>
      <c r="F6968" s="668"/>
      <c r="G6968" s="668"/>
      <c r="H6968" s="668"/>
      <c r="I6968" s="668"/>
      <c r="J6968" s="668"/>
      <c r="K6968" s="668"/>
      <c r="L6968" s="668"/>
      <c r="M6968" s="668"/>
    </row>
    <row r="6969" spans="5:13">
      <c r="E6969" s="668"/>
      <c r="F6969" s="668"/>
      <c r="G6969" s="668"/>
      <c r="H6969" s="668"/>
      <c r="I6969" s="668"/>
      <c r="J6969" s="668"/>
      <c r="K6969" s="668"/>
      <c r="L6969" s="668"/>
      <c r="M6969" s="668"/>
    </row>
    <row r="6970" spans="5:13">
      <c r="E6970" s="668"/>
      <c r="F6970" s="668"/>
      <c r="G6970" s="668"/>
      <c r="H6970" s="668"/>
      <c r="I6970" s="668"/>
      <c r="J6970" s="668"/>
      <c r="K6970" s="668"/>
      <c r="L6970" s="668"/>
      <c r="M6970" s="668"/>
    </row>
    <row r="6971" spans="5:13">
      <c r="E6971" s="668"/>
      <c r="F6971" s="668"/>
      <c r="G6971" s="668"/>
      <c r="H6971" s="668"/>
      <c r="I6971" s="668"/>
      <c r="J6971" s="668"/>
      <c r="K6971" s="668"/>
      <c r="L6971" s="668"/>
      <c r="M6971" s="668"/>
    </row>
    <row r="6972" spans="5:13">
      <c r="E6972" s="668"/>
      <c r="F6972" s="668"/>
      <c r="G6972" s="668"/>
      <c r="H6972" s="668"/>
      <c r="I6972" s="668"/>
      <c r="J6972" s="668"/>
      <c r="K6972" s="668"/>
      <c r="L6972" s="668"/>
      <c r="M6972" s="668"/>
    </row>
    <row r="6973" spans="5:13">
      <c r="E6973" s="668"/>
      <c r="F6973" s="668"/>
      <c r="G6973" s="668"/>
      <c r="H6973" s="668"/>
      <c r="I6973" s="668"/>
      <c r="J6973" s="668"/>
      <c r="K6973" s="668"/>
      <c r="L6973" s="668"/>
      <c r="M6973" s="668"/>
    </row>
    <row r="6974" spans="5:13">
      <c r="E6974" s="668"/>
      <c r="F6974" s="668"/>
      <c r="G6974" s="668"/>
      <c r="H6974" s="668"/>
      <c r="I6974" s="668"/>
      <c r="J6974" s="668"/>
      <c r="K6974" s="668"/>
      <c r="L6974" s="668"/>
      <c r="M6974" s="668"/>
    </row>
    <row r="6975" spans="5:13">
      <c r="E6975" s="668"/>
      <c r="F6975" s="668"/>
      <c r="G6975" s="668"/>
      <c r="H6975" s="668"/>
      <c r="I6975" s="668"/>
      <c r="J6975" s="668"/>
      <c r="K6975" s="668"/>
      <c r="L6975" s="668"/>
      <c r="M6975" s="668"/>
    </row>
    <row r="6976" spans="5:13">
      <c r="E6976" s="668"/>
      <c r="F6976" s="668"/>
      <c r="G6976" s="668"/>
      <c r="H6976" s="668"/>
      <c r="I6976" s="668"/>
      <c r="J6976" s="668"/>
      <c r="K6976" s="668"/>
      <c r="L6976" s="668"/>
      <c r="M6976" s="668"/>
    </row>
    <row r="6977" spans="5:13">
      <c r="E6977" s="668"/>
      <c r="F6977" s="668"/>
      <c r="G6977" s="668"/>
      <c r="H6977" s="668"/>
      <c r="I6977" s="668"/>
      <c r="J6977" s="668"/>
      <c r="K6977" s="668"/>
      <c r="L6977" s="668"/>
      <c r="M6977" s="668"/>
    </row>
    <row r="6978" spans="5:13">
      <c r="E6978" s="668"/>
      <c r="F6978" s="668"/>
      <c r="G6978" s="668"/>
      <c r="H6978" s="668"/>
      <c r="I6978" s="668"/>
      <c r="J6978" s="668"/>
      <c r="K6978" s="668"/>
      <c r="L6978" s="668"/>
      <c r="M6978" s="668"/>
    </row>
    <row r="6979" spans="5:13">
      <c r="E6979" s="668"/>
      <c r="F6979" s="668"/>
      <c r="G6979" s="668"/>
      <c r="H6979" s="668"/>
      <c r="I6979" s="668"/>
      <c r="J6979" s="668"/>
      <c r="K6979" s="668"/>
      <c r="L6979" s="668"/>
      <c r="M6979" s="668"/>
    </row>
    <row r="6980" spans="5:13">
      <c r="E6980" s="668"/>
      <c r="F6980" s="668"/>
      <c r="G6980" s="668"/>
      <c r="H6980" s="668"/>
      <c r="I6980" s="668"/>
      <c r="J6980" s="668"/>
      <c r="K6980" s="668"/>
      <c r="L6980" s="668"/>
      <c r="M6980" s="668"/>
    </row>
    <row r="6981" spans="5:13">
      <c r="E6981" s="668"/>
      <c r="F6981" s="668"/>
      <c r="G6981" s="668"/>
      <c r="H6981" s="668"/>
      <c r="I6981" s="668"/>
      <c r="J6981" s="668"/>
      <c r="K6981" s="668"/>
      <c r="L6981" s="668"/>
      <c r="M6981" s="668"/>
    </row>
    <row r="6982" spans="5:13">
      <c r="E6982" s="668"/>
      <c r="F6982" s="668"/>
      <c r="G6982" s="668"/>
      <c r="H6982" s="668"/>
      <c r="I6982" s="668"/>
      <c r="J6982" s="668"/>
      <c r="K6982" s="668"/>
      <c r="L6982" s="668"/>
      <c r="M6982" s="668"/>
    </row>
    <row r="6983" spans="5:13">
      <c r="E6983" s="668"/>
      <c r="F6983" s="668"/>
      <c r="G6983" s="668"/>
      <c r="H6983" s="668"/>
      <c r="I6983" s="668"/>
      <c r="J6983" s="668"/>
      <c r="K6983" s="668"/>
      <c r="L6983" s="668"/>
      <c r="M6983" s="668"/>
    </row>
    <row r="6984" spans="5:13">
      <c r="E6984" s="668"/>
      <c r="F6984" s="668"/>
      <c r="G6984" s="668"/>
      <c r="H6984" s="668"/>
      <c r="I6984" s="668"/>
      <c r="J6984" s="668"/>
      <c r="K6984" s="668"/>
      <c r="L6984" s="668"/>
      <c r="M6984" s="668"/>
    </row>
    <row r="6985" spans="5:13">
      <c r="E6985" s="668"/>
      <c r="F6985" s="668"/>
      <c r="G6985" s="668"/>
      <c r="H6985" s="668"/>
      <c r="I6985" s="668"/>
      <c r="J6985" s="668"/>
      <c r="K6985" s="668"/>
      <c r="L6985" s="668"/>
      <c r="M6985" s="668"/>
    </row>
    <row r="6986" spans="5:13">
      <c r="E6986" s="668"/>
      <c r="F6986" s="668"/>
      <c r="G6986" s="668"/>
      <c r="H6986" s="668"/>
      <c r="I6986" s="668"/>
      <c r="J6986" s="668"/>
      <c r="K6986" s="668"/>
      <c r="L6986" s="668"/>
      <c r="M6986" s="668"/>
    </row>
    <row r="6987" spans="5:13">
      <c r="E6987" s="668"/>
      <c r="F6987" s="668"/>
      <c r="G6987" s="668"/>
      <c r="H6987" s="668"/>
      <c r="I6987" s="668"/>
      <c r="J6987" s="668"/>
      <c r="K6987" s="668"/>
      <c r="L6987" s="668"/>
      <c r="M6987" s="668"/>
    </row>
    <row r="6988" spans="5:13">
      <c r="E6988" s="668"/>
      <c r="F6988" s="668"/>
      <c r="G6988" s="668"/>
      <c r="H6988" s="668"/>
      <c r="I6988" s="668"/>
      <c r="J6988" s="668"/>
      <c r="K6988" s="668"/>
      <c r="L6988" s="668"/>
      <c r="M6988" s="668"/>
    </row>
    <row r="6989" spans="5:13">
      <c r="E6989" s="668"/>
      <c r="F6989" s="668"/>
      <c r="G6989" s="668"/>
      <c r="H6989" s="668"/>
      <c r="I6989" s="668"/>
      <c r="J6989" s="668"/>
      <c r="K6989" s="668"/>
      <c r="L6989" s="668"/>
      <c r="M6989" s="668"/>
    </row>
    <row r="6990" spans="5:13">
      <c r="E6990" s="668"/>
      <c r="F6990" s="668"/>
      <c r="G6990" s="668"/>
      <c r="H6990" s="668"/>
      <c r="I6990" s="668"/>
      <c r="J6990" s="668"/>
      <c r="K6990" s="668"/>
      <c r="L6990" s="668"/>
      <c r="M6990" s="668"/>
    </row>
    <row r="6991" spans="5:13">
      <c r="E6991" s="668"/>
      <c r="F6991" s="668"/>
      <c r="G6991" s="668"/>
      <c r="H6991" s="668"/>
      <c r="I6991" s="668"/>
      <c r="J6991" s="668"/>
      <c r="K6991" s="668"/>
      <c r="L6991" s="668"/>
      <c r="M6991" s="668"/>
    </row>
    <row r="6992" spans="5:13">
      <c r="E6992" s="668"/>
      <c r="F6992" s="668"/>
      <c r="G6992" s="668"/>
      <c r="H6992" s="668"/>
      <c r="I6992" s="668"/>
      <c r="J6992" s="668"/>
      <c r="K6992" s="668"/>
      <c r="L6992" s="668"/>
      <c r="M6992" s="668"/>
    </row>
    <row r="6993" spans="5:13">
      <c r="E6993" s="668"/>
      <c r="F6993" s="668"/>
      <c r="G6993" s="668"/>
      <c r="H6993" s="668"/>
      <c r="I6993" s="668"/>
      <c r="J6993" s="668"/>
      <c r="K6993" s="668"/>
      <c r="L6993" s="668"/>
      <c r="M6993" s="668"/>
    </row>
    <row r="6994" spans="5:13">
      <c r="E6994" s="668"/>
      <c r="F6994" s="668"/>
      <c r="G6994" s="668"/>
      <c r="H6994" s="668"/>
      <c r="I6994" s="668"/>
      <c r="J6994" s="668"/>
      <c r="K6994" s="668"/>
      <c r="L6994" s="668"/>
      <c r="M6994" s="668"/>
    </row>
    <row r="6995" spans="5:13">
      <c r="E6995" s="668"/>
      <c r="F6995" s="668"/>
      <c r="G6995" s="668"/>
      <c r="H6995" s="668"/>
      <c r="I6995" s="668"/>
      <c r="J6995" s="668"/>
      <c r="K6995" s="668"/>
      <c r="L6995" s="668"/>
      <c r="M6995" s="668"/>
    </row>
    <row r="6996" spans="5:13">
      <c r="E6996" s="668"/>
      <c r="F6996" s="668"/>
      <c r="G6996" s="668"/>
      <c r="H6996" s="668"/>
      <c r="I6996" s="668"/>
      <c r="J6996" s="668"/>
      <c r="K6996" s="668"/>
      <c r="L6996" s="668"/>
      <c r="M6996" s="668"/>
    </row>
    <row r="6997" spans="5:13">
      <c r="E6997" s="668"/>
      <c r="F6997" s="668"/>
      <c r="G6997" s="668"/>
      <c r="H6997" s="668"/>
      <c r="I6997" s="668"/>
      <c r="J6997" s="668"/>
      <c r="K6997" s="668"/>
      <c r="L6997" s="668"/>
      <c r="M6997" s="668"/>
    </row>
    <row r="6998" spans="5:13">
      <c r="E6998" s="668"/>
      <c r="F6998" s="668"/>
      <c r="G6998" s="668"/>
      <c r="H6998" s="668"/>
      <c r="I6998" s="668"/>
      <c r="J6998" s="668"/>
      <c r="K6998" s="668"/>
      <c r="L6998" s="668"/>
      <c r="M6998" s="668"/>
    </row>
    <row r="6999" spans="5:13">
      <c r="E6999" s="668"/>
      <c r="F6999" s="668"/>
      <c r="G6999" s="668"/>
      <c r="H6999" s="668"/>
      <c r="I6999" s="668"/>
      <c r="J6999" s="668"/>
      <c r="K6999" s="668"/>
      <c r="L6999" s="668"/>
      <c r="M6999" s="668"/>
    </row>
    <row r="7000" spans="5:13">
      <c r="E7000" s="668"/>
      <c r="F7000" s="668"/>
      <c r="G7000" s="668"/>
      <c r="H7000" s="668"/>
      <c r="I7000" s="668"/>
      <c r="J7000" s="668"/>
      <c r="K7000" s="668"/>
      <c r="L7000" s="668"/>
      <c r="M7000" s="668"/>
    </row>
    <row r="7001" spans="5:13">
      <c r="E7001" s="668"/>
      <c r="F7001" s="668"/>
      <c r="G7001" s="668"/>
      <c r="H7001" s="668"/>
      <c r="I7001" s="668"/>
      <c r="J7001" s="668"/>
      <c r="K7001" s="668"/>
      <c r="L7001" s="668"/>
      <c r="M7001" s="668"/>
    </row>
    <row r="7002" spans="5:13">
      <c r="E7002" s="668"/>
      <c r="F7002" s="668"/>
      <c r="G7002" s="668"/>
      <c r="H7002" s="668"/>
      <c r="I7002" s="668"/>
      <c r="J7002" s="668"/>
      <c r="K7002" s="668"/>
      <c r="L7002" s="668"/>
      <c r="M7002" s="668"/>
    </row>
    <row r="7003" spans="5:13">
      <c r="E7003" s="668"/>
      <c r="F7003" s="668"/>
      <c r="G7003" s="668"/>
      <c r="H7003" s="668"/>
      <c r="I7003" s="668"/>
      <c r="J7003" s="668"/>
      <c r="K7003" s="668"/>
      <c r="L7003" s="668"/>
      <c r="M7003" s="668"/>
    </row>
    <row r="7004" spans="5:13">
      <c r="E7004" s="668"/>
      <c r="F7004" s="668"/>
      <c r="G7004" s="668"/>
      <c r="H7004" s="668"/>
      <c r="I7004" s="668"/>
      <c r="J7004" s="668"/>
      <c r="K7004" s="668"/>
      <c r="L7004" s="668"/>
      <c r="M7004" s="668"/>
    </row>
    <row r="7005" spans="5:13">
      <c r="E7005" s="668"/>
      <c r="F7005" s="668"/>
      <c r="G7005" s="668"/>
      <c r="H7005" s="668"/>
      <c r="I7005" s="668"/>
      <c r="J7005" s="668"/>
      <c r="K7005" s="668"/>
      <c r="L7005" s="668"/>
      <c r="M7005" s="668"/>
    </row>
    <row r="7006" spans="5:13">
      <c r="E7006" s="668"/>
      <c r="F7006" s="668"/>
      <c r="G7006" s="668"/>
      <c r="H7006" s="668"/>
      <c r="I7006" s="668"/>
      <c r="J7006" s="668"/>
      <c r="K7006" s="668"/>
      <c r="L7006" s="668"/>
      <c r="M7006" s="668"/>
    </row>
    <row r="7007" spans="5:13">
      <c r="E7007" s="668"/>
      <c r="F7007" s="668"/>
      <c r="G7007" s="668"/>
      <c r="H7007" s="668"/>
      <c r="I7007" s="668"/>
      <c r="J7007" s="668"/>
      <c r="K7007" s="668"/>
      <c r="L7007" s="668"/>
      <c r="M7007" s="668"/>
    </row>
    <row r="7008" spans="5:13">
      <c r="E7008" s="668"/>
      <c r="F7008" s="668"/>
      <c r="G7008" s="668"/>
      <c r="H7008" s="668"/>
      <c r="I7008" s="668"/>
      <c r="J7008" s="668"/>
      <c r="K7008" s="668"/>
      <c r="L7008" s="668"/>
      <c r="M7008" s="668"/>
    </row>
    <row r="7009" spans="5:13">
      <c r="E7009" s="668"/>
      <c r="F7009" s="668"/>
      <c r="G7009" s="668"/>
      <c r="H7009" s="668"/>
      <c r="I7009" s="668"/>
      <c r="J7009" s="668"/>
      <c r="K7009" s="668"/>
      <c r="L7009" s="668"/>
      <c r="M7009" s="668"/>
    </row>
    <row r="7010" spans="5:13">
      <c r="E7010" s="668"/>
      <c r="F7010" s="668"/>
      <c r="G7010" s="668"/>
      <c r="H7010" s="668"/>
      <c r="I7010" s="668"/>
      <c r="J7010" s="668"/>
      <c r="K7010" s="668"/>
      <c r="L7010" s="668"/>
      <c r="M7010" s="668"/>
    </row>
    <row r="7011" spans="5:13">
      <c r="E7011" s="668"/>
      <c r="F7011" s="668"/>
      <c r="G7011" s="668"/>
      <c r="H7011" s="668"/>
      <c r="I7011" s="668"/>
      <c r="J7011" s="668"/>
      <c r="K7011" s="668"/>
      <c r="L7011" s="668"/>
      <c r="M7011" s="668"/>
    </row>
    <row r="7012" spans="5:13">
      <c r="E7012" s="668"/>
      <c r="F7012" s="668"/>
      <c r="G7012" s="668"/>
      <c r="H7012" s="668"/>
      <c r="I7012" s="668"/>
      <c r="J7012" s="668"/>
      <c r="K7012" s="668"/>
      <c r="L7012" s="668"/>
      <c r="M7012" s="668"/>
    </row>
    <row r="7013" spans="5:13">
      <c r="E7013" s="668"/>
      <c r="F7013" s="668"/>
      <c r="G7013" s="668"/>
      <c r="H7013" s="668"/>
      <c r="I7013" s="668"/>
      <c r="J7013" s="668"/>
      <c r="K7013" s="668"/>
      <c r="L7013" s="668"/>
      <c r="M7013" s="668"/>
    </row>
    <row r="7014" spans="5:13">
      <c r="E7014" s="668"/>
      <c r="F7014" s="668"/>
      <c r="G7014" s="668"/>
      <c r="H7014" s="668"/>
      <c r="I7014" s="668"/>
      <c r="J7014" s="668"/>
      <c r="K7014" s="668"/>
      <c r="L7014" s="668"/>
      <c r="M7014" s="668"/>
    </row>
    <row r="7015" spans="5:13">
      <c r="E7015" s="668"/>
      <c r="F7015" s="668"/>
      <c r="G7015" s="668"/>
      <c r="H7015" s="668"/>
      <c r="I7015" s="668"/>
      <c r="J7015" s="668"/>
      <c r="K7015" s="668"/>
      <c r="L7015" s="668"/>
      <c r="M7015" s="668"/>
    </row>
    <row r="7016" spans="5:13">
      <c r="E7016" s="668"/>
      <c r="F7016" s="668"/>
      <c r="G7016" s="668"/>
      <c r="H7016" s="668"/>
      <c r="I7016" s="668"/>
      <c r="J7016" s="668"/>
      <c r="K7016" s="668"/>
      <c r="L7016" s="668"/>
      <c r="M7016" s="668"/>
    </row>
    <row r="7017" spans="5:13">
      <c r="E7017" s="668"/>
      <c r="F7017" s="668"/>
      <c r="G7017" s="668"/>
      <c r="H7017" s="668"/>
      <c r="I7017" s="668"/>
      <c r="J7017" s="668"/>
      <c r="K7017" s="668"/>
      <c r="L7017" s="668"/>
      <c r="M7017" s="668"/>
    </row>
    <row r="7018" spans="5:13">
      <c r="E7018" s="668"/>
      <c r="F7018" s="668"/>
      <c r="G7018" s="668"/>
      <c r="H7018" s="668"/>
      <c r="I7018" s="668"/>
      <c r="J7018" s="668"/>
      <c r="K7018" s="668"/>
      <c r="L7018" s="668"/>
      <c r="M7018" s="668"/>
    </row>
    <row r="7019" spans="5:13">
      <c r="E7019" s="668"/>
      <c r="F7019" s="668"/>
      <c r="G7019" s="668"/>
      <c r="H7019" s="668"/>
      <c r="I7019" s="668"/>
      <c r="J7019" s="668"/>
      <c r="K7019" s="668"/>
      <c r="L7019" s="668"/>
      <c r="M7019" s="668"/>
    </row>
    <row r="7020" spans="5:13">
      <c r="E7020" s="668"/>
      <c r="F7020" s="668"/>
      <c r="G7020" s="668"/>
      <c r="H7020" s="668"/>
      <c r="I7020" s="668"/>
      <c r="J7020" s="668"/>
      <c r="K7020" s="668"/>
      <c r="L7020" s="668"/>
      <c r="M7020" s="668"/>
    </row>
    <row r="7021" spans="5:13">
      <c r="E7021" s="668"/>
      <c r="F7021" s="668"/>
      <c r="G7021" s="668"/>
      <c r="H7021" s="668"/>
      <c r="I7021" s="668"/>
      <c r="J7021" s="668"/>
      <c r="K7021" s="668"/>
      <c r="L7021" s="668"/>
      <c r="M7021" s="668"/>
    </row>
    <row r="7022" spans="5:13">
      <c r="E7022" s="668"/>
      <c r="F7022" s="668"/>
      <c r="G7022" s="668"/>
      <c r="H7022" s="668"/>
      <c r="I7022" s="668"/>
      <c r="J7022" s="668"/>
      <c r="K7022" s="668"/>
      <c r="L7022" s="668"/>
      <c r="M7022" s="668"/>
    </row>
    <row r="7023" spans="5:13">
      <c r="E7023" s="668"/>
      <c r="F7023" s="668"/>
      <c r="G7023" s="668"/>
      <c r="H7023" s="668"/>
      <c r="I7023" s="668"/>
      <c r="J7023" s="668"/>
      <c r="K7023" s="668"/>
      <c r="L7023" s="668"/>
      <c r="M7023" s="668"/>
    </row>
    <row r="7024" spans="5:13">
      <c r="E7024" s="668"/>
      <c r="F7024" s="668"/>
      <c r="G7024" s="668"/>
      <c r="H7024" s="668"/>
      <c r="I7024" s="668"/>
      <c r="J7024" s="668"/>
      <c r="K7024" s="668"/>
      <c r="L7024" s="668"/>
      <c r="M7024" s="668"/>
    </row>
    <row r="7025" spans="5:13">
      <c r="E7025" s="668"/>
      <c r="F7025" s="668"/>
      <c r="G7025" s="668"/>
      <c r="H7025" s="668"/>
      <c r="I7025" s="668"/>
      <c r="J7025" s="668"/>
      <c r="K7025" s="668"/>
      <c r="L7025" s="668"/>
      <c r="M7025" s="668"/>
    </row>
    <row r="7026" spans="5:13">
      <c r="E7026" s="668"/>
      <c r="F7026" s="668"/>
      <c r="G7026" s="668"/>
      <c r="H7026" s="668"/>
      <c r="I7026" s="668"/>
      <c r="J7026" s="668"/>
      <c r="K7026" s="668"/>
      <c r="L7026" s="668"/>
      <c r="M7026" s="668"/>
    </row>
    <row r="7027" spans="5:13">
      <c r="E7027" s="668"/>
      <c r="F7027" s="668"/>
      <c r="G7027" s="668"/>
      <c r="H7027" s="668"/>
      <c r="I7027" s="668"/>
      <c r="J7027" s="668"/>
      <c r="K7027" s="668"/>
      <c r="L7027" s="668"/>
      <c r="M7027" s="668"/>
    </row>
    <row r="7028" spans="5:13">
      <c r="E7028" s="668"/>
      <c r="F7028" s="668"/>
      <c r="G7028" s="668"/>
      <c r="H7028" s="668"/>
      <c r="I7028" s="668"/>
      <c r="J7028" s="668"/>
      <c r="K7028" s="668"/>
      <c r="L7028" s="668"/>
      <c r="M7028" s="668"/>
    </row>
    <row r="7029" spans="5:13">
      <c r="E7029" s="668"/>
      <c r="F7029" s="668"/>
      <c r="G7029" s="668"/>
      <c r="H7029" s="668"/>
      <c r="I7029" s="668"/>
      <c r="J7029" s="668"/>
      <c r="K7029" s="668"/>
      <c r="L7029" s="668"/>
      <c r="M7029" s="668"/>
    </row>
    <row r="7030" spans="5:13">
      <c r="E7030" s="668"/>
      <c r="F7030" s="668"/>
      <c r="G7030" s="668"/>
      <c r="H7030" s="668"/>
      <c r="I7030" s="668"/>
      <c r="J7030" s="668"/>
      <c r="K7030" s="668"/>
      <c r="L7030" s="668"/>
      <c r="M7030" s="668"/>
    </row>
    <row r="7031" spans="5:13">
      <c r="E7031" s="668"/>
      <c r="F7031" s="668"/>
      <c r="G7031" s="668"/>
      <c r="H7031" s="668"/>
      <c r="I7031" s="668"/>
      <c r="J7031" s="668"/>
      <c r="K7031" s="668"/>
      <c r="L7031" s="668"/>
      <c r="M7031" s="668"/>
    </row>
    <row r="7032" spans="5:13">
      <c r="E7032" s="668"/>
      <c r="F7032" s="668"/>
      <c r="G7032" s="668"/>
      <c r="H7032" s="668"/>
      <c r="I7032" s="668"/>
      <c r="J7032" s="668"/>
      <c r="K7032" s="668"/>
      <c r="L7032" s="668"/>
      <c r="M7032" s="668"/>
    </row>
    <row r="7033" spans="5:13">
      <c r="E7033" s="668"/>
      <c r="F7033" s="668"/>
      <c r="G7033" s="668"/>
      <c r="H7033" s="668"/>
      <c r="I7033" s="668"/>
      <c r="J7033" s="668"/>
      <c r="K7033" s="668"/>
      <c r="L7033" s="668"/>
      <c r="M7033" s="668"/>
    </row>
    <row r="7034" spans="5:13">
      <c r="E7034" s="668"/>
      <c r="F7034" s="668"/>
      <c r="G7034" s="668"/>
      <c r="H7034" s="668"/>
      <c r="I7034" s="668"/>
      <c r="J7034" s="668"/>
      <c r="K7034" s="668"/>
      <c r="L7034" s="668"/>
      <c r="M7034" s="668"/>
    </row>
    <row r="7035" spans="5:13">
      <c r="E7035" s="668"/>
      <c r="F7035" s="668"/>
      <c r="G7035" s="668"/>
      <c r="H7035" s="668"/>
      <c r="I7035" s="668"/>
      <c r="J7035" s="668"/>
      <c r="K7035" s="668"/>
      <c r="L7035" s="668"/>
      <c r="M7035" s="668"/>
    </row>
    <row r="7036" spans="5:13">
      <c r="E7036" s="668"/>
      <c r="F7036" s="668"/>
      <c r="G7036" s="668"/>
      <c r="H7036" s="668"/>
      <c r="I7036" s="668"/>
      <c r="J7036" s="668"/>
      <c r="K7036" s="668"/>
      <c r="L7036" s="668"/>
      <c r="M7036" s="668"/>
    </row>
    <row r="7037" spans="5:13">
      <c r="E7037" s="668"/>
      <c r="F7037" s="668"/>
      <c r="G7037" s="668"/>
      <c r="H7037" s="668"/>
      <c r="I7037" s="668"/>
      <c r="J7037" s="668"/>
      <c r="K7037" s="668"/>
      <c r="L7037" s="668"/>
      <c r="M7037" s="668"/>
    </row>
    <row r="7038" spans="5:13">
      <c r="E7038" s="668"/>
      <c r="F7038" s="668"/>
      <c r="G7038" s="668"/>
      <c r="H7038" s="668"/>
      <c r="I7038" s="668"/>
      <c r="J7038" s="668"/>
      <c r="K7038" s="668"/>
      <c r="L7038" s="668"/>
      <c r="M7038" s="668"/>
    </row>
    <row r="7039" spans="5:13">
      <c r="E7039" s="668"/>
      <c r="F7039" s="668"/>
      <c r="G7039" s="668"/>
      <c r="H7039" s="668"/>
      <c r="I7039" s="668"/>
      <c r="J7039" s="668"/>
      <c r="K7039" s="668"/>
      <c r="L7039" s="668"/>
      <c r="M7039" s="668"/>
    </row>
    <row r="7040" spans="5:13">
      <c r="E7040" s="668"/>
      <c r="F7040" s="668"/>
      <c r="G7040" s="668"/>
      <c r="H7040" s="668"/>
      <c r="I7040" s="668"/>
      <c r="J7040" s="668"/>
      <c r="K7040" s="668"/>
      <c r="L7040" s="668"/>
      <c r="M7040" s="668"/>
    </row>
    <row r="7041" spans="5:13">
      <c r="E7041" s="668"/>
      <c r="F7041" s="668"/>
      <c r="G7041" s="668"/>
      <c r="H7041" s="668"/>
      <c r="I7041" s="668"/>
      <c r="J7041" s="668"/>
      <c r="K7041" s="668"/>
      <c r="L7041" s="668"/>
      <c r="M7041" s="668"/>
    </row>
    <row r="7042" spans="5:13">
      <c r="E7042" s="668"/>
      <c r="F7042" s="668"/>
      <c r="G7042" s="668"/>
      <c r="H7042" s="668"/>
      <c r="I7042" s="668"/>
      <c r="J7042" s="668"/>
      <c r="K7042" s="668"/>
      <c r="L7042" s="668"/>
      <c r="M7042" s="668"/>
    </row>
    <row r="7043" spans="5:13">
      <c r="E7043" s="668"/>
      <c r="F7043" s="668"/>
      <c r="G7043" s="668"/>
      <c r="H7043" s="668"/>
      <c r="I7043" s="668"/>
      <c r="J7043" s="668"/>
      <c r="K7043" s="668"/>
      <c r="L7043" s="668"/>
      <c r="M7043" s="668"/>
    </row>
    <row r="7044" spans="5:13">
      <c r="E7044" s="668"/>
      <c r="F7044" s="668"/>
      <c r="G7044" s="668"/>
      <c r="H7044" s="668"/>
      <c r="I7044" s="668"/>
      <c r="J7044" s="668"/>
      <c r="K7044" s="668"/>
      <c r="L7044" s="668"/>
      <c r="M7044" s="668"/>
    </row>
    <row r="7045" spans="5:13">
      <c r="E7045" s="668"/>
      <c r="F7045" s="668"/>
      <c r="G7045" s="668"/>
      <c r="H7045" s="668"/>
      <c r="I7045" s="668"/>
      <c r="J7045" s="668"/>
      <c r="K7045" s="668"/>
      <c r="L7045" s="668"/>
      <c r="M7045" s="668"/>
    </row>
    <row r="7046" spans="5:13">
      <c r="E7046" s="668"/>
      <c r="F7046" s="668"/>
      <c r="G7046" s="668"/>
      <c r="H7046" s="668"/>
      <c r="I7046" s="668"/>
      <c r="J7046" s="668"/>
      <c r="K7046" s="668"/>
      <c r="L7046" s="668"/>
      <c r="M7046" s="668"/>
    </row>
    <row r="7047" spans="5:13">
      <c r="E7047" s="668"/>
      <c r="F7047" s="668"/>
      <c r="G7047" s="668"/>
      <c r="H7047" s="668"/>
      <c r="I7047" s="668"/>
      <c r="J7047" s="668"/>
      <c r="K7047" s="668"/>
      <c r="L7047" s="668"/>
      <c r="M7047" s="668"/>
    </row>
    <row r="7048" spans="5:13">
      <c r="E7048" s="668"/>
      <c r="F7048" s="668"/>
      <c r="G7048" s="668"/>
      <c r="H7048" s="668"/>
      <c r="I7048" s="668"/>
      <c r="J7048" s="668"/>
      <c r="K7048" s="668"/>
      <c r="L7048" s="668"/>
      <c r="M7048" s="668"/>
    </row>
    <row r="7049" spans="5:13">
      <c r="E7049" s="668"/>
      <c r="F7049" s="668"/>
      <c r="G7049" s="668"/>
      <c r="H7049" s="668"/>
      <c r="I7049" s="668"/>
      <c r="J7049" s="668"/>
      <c r="K7049" s="668"/>
      <c r="L7049" s="668"/>
      <c r="M7049" s="668"/>
    </row>
    <row r="7050" spans="5:13">
      <c r="E7050" s="668"/>
      <c r="F7050" s="668"/>
      <c r="G7050" s="668"/>
      <c r="H7050" s="668"/>
      <c r="I7050" s="668"/>
      <c r="J7050" s="668"/>
      <c r="K7050" s="668"/>
      <c r="L7050" s="668"/>
      <c r="M7050" s="668"/>
    </row>
    <row r="7051" spans="5:13">
      <c r="E7051" s="668"/>
      <c r="F7051" s="668"/>
      <c r="G7051" s="668"/>
      <c r="H7051" s="668"/>
      <c r="I7051" s="668"/>
      <c r="J7051" s="668"/>
      <c r="K7051" s="668"/>
      <c r="L7051" s="668"/>
      <c r="M7051" s="668"/>
    </row>
    <row r="7052" spans="5:13">
      <c r="E7052" s="668"/>
      <c r="F7052" s="668"/>
      <c r="G7052" s="668"/>
      <c r="H7052" s="668"/>
      <c r="I7052" s="668"/>
      <c r="J7052" s="668"/>
      <c r="K7052" s="668"/>
      <c r="L7052" s="668"/>
      <c r="M7052" s="668"/>
    </row>
    <row r="7053" spans="5:13">
      <c r="E7053" s="668"/>
      <c r="F7053" s="668"/>
      <c r="G7053" s="668"/>
      <c r="H7053" s="668"/>
      <c r="I7053" s="668"/>
      <c r="J7053" s="668"/>
      <c r="K7053" s="668"/>
      <c r="L7053" s="668"/>
      <c r="M7053" s="668"/>
    </row>
    <row r="7054" spans="5:13">
      <c r="E7054" s="668"/>
      <c r="F7054" s="668"/>
      <c r="G7054" s="668"/>
      <c r="H7054" s="668"/>
      <c r="I7054" s="668"/>
      <c r="J7054" s="668"/>
      <c r="K7054" s="668"/>
      <c r="L7054" s="668"/>
      <c r="M7054" s="668"/>
    </row>
    <row r="7055" spans="5:13">
      <c r="E7055" s="668"/>
      <c r="F7055" s="668"/>
      <c r="G7055" s="668"/>
      <c r="H7055" s="668"/>
      <c r="I7055" s="668"/>
      <c r="J7055" s="668"/>
      <c r="K7055" s="668"/>
      <c r="L7055" s="668"/>
      <c r="M7055" s="668"/>
    </row>
    <row r="7056" spans="5:13">
      <c r="E7056" s="668"/>
      <c r="F7056" s="668"/>
      <c r="G7056" s="668"/>
      <c r="H7056" s="668"/>
      <c r="I7056" s="668"/>
      <c r="J7056" s="668"/>
      <c r="K7056" s="668"/>
      <c r="L7056" s="668"/>
      <c r="M7056" s="668"/>
    </row>
    <row r="7057" spans="5:13">
      <c r="E7057" s="668"/>
      <c r="F7057" s="668"/>
      <c r="G7057" s="668"/>
      <c r="H7057" s="668"/>
      <c r="I7057" s="668"/>
      <c r="J7057" s="668"/>
      <c r="K7057" s="668"/>
      <c r="L7057" s="668"/>
      <c r="M7057" s="668"/>
    </row>
    <row r="7058" spans="5:13">
      <c r="E7058" s="668"/>
      <c r="F7058" s="668"/>
      <c r="G7058" s="668"/>
      <c r="H7058" s="668"/>
      <c r="I7058" s="668"/>
      <c r="J7058" s="668"/>
      <c r="K7058" s="668"/>
      <c r="L7058" s="668"/>
      <c r="M7058" s="668"/>
    </row>
    <row r="7059" spans="5:13">
      <c r="E7059" s="668"/>
      <c r="F7059" s="668"/>
      <c r="G7059" s="668"/>
      <c r="H7059" s="668"/>
      <c r="I7059" s="668"/>
      <c r="J7059" s="668"/>
      <c r="K7059" s="668"/>
      <c r="L7059" s="668"/>
      <c r="M7059" s="668"/>
    </row>
    <row r="7060" spans="5:13">
      <c r="E7060" s="668"/>
      <c r="F7060" s="668"/>
      <c r="G7060" s="668"/>
      <c r="H7060" s="668"/>
      <c r="I7060" s="668"/>
      <c r="J7060" s="668"/>
      <c r="K7060" s="668"/>
      <c r="L7060" s="668"/>
      <c r="M7060" s="668"/>
    </row>
    <row r="7061" spans="5:13">
      <c r="E7061" s="668"/>
      <c r="F7061" s="668"/>
      <c r="G7061" s="668"/>
      <c r="H7061" s="668"/>
      <c r="I7061" s="668"/>
      <c r="J7061" s="668"/>
      <c r="K7061" s="668"/>
      <c r="L7061" s="668"/>
      <c r="M7061" s="668"/>
    </row>
    <row r="7062" spans="5:13">
      <c r="E7062" s="668"/>
      <c r="F7062" s="668"/>
      <c r="G7062" s="668"/>
      <c r="H7062" s="668"/>
      <c r="I7062" s="668"/>
      <c r="J7062" s="668"/>
      <c r="K7062" s="668"/>
      <c r="L7062" s="668"/>
      <c r="M7062" s="668"/>
    </row>
    <row r="7063" spans="5:13">
      <c r="E7063" s="668"/>
      <c r="F7063" s="668"/>
      <c r="G7063" s="668"/>
      <c r="H7063" s="668"/>
      <c r="I7063" s="668"/>
      <c r="J7063" s="668"/>
      <c r="K7063" s="668"/>
      <c r="L7063" s="668"/>
      <c r="M7063" s="668"/>
    </row>
    <row r="7064" spans="5:13">
      <c r="E7064" s="668"/>
      <c r="F7064" s="668"/>
      <c r="G7064" s="668"/>
      <c r="H7064" s="668"/>
      <c r="I7064" s="668"/>
      <c r="J7064" s="668"/>
      <c r="K7064" s="668"/>
      <c r="L7064" s="668"/>
      <c r="M7064" s="668"/>
    </row>
    <row r="7065" spans="5:13">
      <c r="E7065" s="668"/>
      <c r="F7065" s="668"/>
      <c r="G7065" s="668"/>
      <c r="H7065" s="668"/>
      <c r="I7065" s="668"/>
      <c r="J7065" s="668"/>
      <c r="K7065" s="668"/>
      <c r="L7065" s="668"/>
      <c r="M7065" s="668"/>
    </row>
    <row r="7066" spans="5:13">
      <c r="E7066" s="668"/>
      <c r="F7066" s="668"/>
      <c r="G7066" s="668"/>
      <c r="H7066" s="668"/>
      <c r="I7066" s="668"/>
      <c r="J7066" s="668"/>
      <c r="K7066" s="668"/>
      <c r="L7066" s="668"/>
      <c r="M7066" s="668"/>
    </row>
    <row r="7067" spans="5:13">
      <c r="E7067" s="668"/>
      <c r="F7067" s="668"/>
      <c r="G7067" s="668"/>
      <c r="H7067" s="668"/>
      <c r="I7067" s="668"/>
      <c r="J7067" s="668"/>
      <c r="K7067" s="668"/>
      <c r="L7067" s="668"/>
      <c r="M7067" s="668"/>
    </row>
    <row r="7068" spans="5:13">
      <c r="E7068" s="668"/>
      <c r="F7068" s="668"/>
      <c r="G7068" s="668"/>
      <c r="H7068" s="668"/>
      <c r="I7068" s="668"/>
      <c r="J7068" s="668"/>
      <c r="K7068" s="668"/>
      <c r="L7068" s="668"/>
      <c r="M7068" s="668"/>
    </row>
    <row r="7069" spans="5:13">
      <c r="E7069" s="668"/>
      <c r="F7069" s="668"/>
      <c r="G7069" s="668"/>
      <c r="H7069" s="668"/>
      <c r="I7069" s="668"/>
      <c r="J7069" s="668"/>
      <c r="K7069" s="668"/>
      <c r="L7069" s="668"/>
      <c r="M7069" s="668"/>
    </row>
    <row r="7070" spans="5:13">
      <c r="E7070" s="668"/>
      <c r="F7070" s="668"/>
      <c r="G7070" s="668"/>
      <c r="H7070" s="668"/>
      <c r="I7070" s="668"/>
      <c r="J7070" s="668"/>
      <c r="K7070" s="668"/>
      <c r="L7070" s="668"/>
      <c r="M7070" s="668"/>
    </row>
    <row r="7071" spans="5:13">
      <c r="E7071" s="668"/>
      <c r="F7071" s="668"/>
      <c r="G7071" s="668"/>
      <c r="H7071" s="668"/>
      <c r="I7071" s="668"/>
      <c r="J7071" s="668"/>
      <c r="K7071" s="668"/>
      <c r="L7071" s="668"/>
      <c r="M7071" s="668"/>
    </row>
    <row r="7072" spans="5:13">
      <c r="E7072" s="668"/>
      <c r="F7072" s="668"/>
      <c r="G7072" s="668"/>
      <c r="H7072" s="668"/>
      <c r="I7072" s="668"/>
      <c r="J7072" s="668"/>
      <c r="K7072" s="668"/>
      <c r="L7072" s="668"/>
      <c r="M7072" s="668"/>
    </row>
    <row r="7073" spans="5:13">
      <c r="E7073" s="668"/>
      <c r="F7073" s="668"/>
      <c r="G7073" s="668"/>
      <c r="H7073" s="668"/>
      <c r="I7073" s="668"/>
      <c r="J7073" s="668"/>
      <c r="K7073" s="668"/>
      <c r="L7073" s="668"/>
      <c r="M7073" s="668"/>
    </row>
    <row r="7074" spans="5:13">
      <c r="E7074" s="668"/>
      <c r="F7074" s="668"/>
      <c r="G7074" s="668"/>
      <c r="H7074" s="668"/>
      <c r="I7074" s="668"/>
      <c r="J7074" s="668"/>
      <c r="K7074" s="668"/>
      <c r="L7074" s="668"/>
      <c r="M7074" s="668"/>
    </row>
    <row r="7075" spans="5:13">
      <c r="E7075" s="668"/>
      <c r="F7075" s="668"/>
      <c r="G7075" s="668"/>
      <c r="H7075" s="668"/>
      <c r="I7075" s="668"/>
      <c r="J7075" s="668"/>
      <c r="K7075" s="668"/>
      <c r="L7075" s="668"/>
      <c r="M7075" s="668"/>
    </row>
    <row r="7076" spans="5:13">
      <c r="E7076" s="668"/>
      <c r="F7076" s="668"/>
      <c r="G7076" s="668"/>
      <c r="H7076" s="668"/>
      <c r="I7076" s="668"/>
      <c r="J7076" s="668"/>
      <c r="K7076" s="668"/>
      <c r="L7076" s="668"/>
      <c r="M7076" s="668"/>
    </row>
    <row r="7077" spans="5:13">
      <c r="E7077" s="668"/>
      <c r="F7077" s="668"/>
      <c r="G7077" s="668"/>
      <c r="H7077" s="668"/>
      <c r="I7077" s="668"/>
      <c r="J7077" s="668"/>
      <c r="K7077" s="668"/>
      <c r="L7077" s="668"/>
      <c r="M7077" s="668"/>
    </row>
    <row r="7078" spans="5:13">
      <c r="E7078" s="668"/>
      <c r="F7078" s="668"/>
      <c r="G7078" s="668"/>
      <c r="H7078" s="668"/>
      <c r="I7078" s="668"/>
      <c r="J7078" s="668"/>
      <c r="K7078" s="668"/>
      <c r="L7078" s="668"/>
      <c r="M7078" s="668"/>
    </row>
    <row r="7079" spans="5:13">
      <c r="E7079" s="668"/>
      <c r="F7079" s="668"/>
      <c r="G7079" s="668"/>
      <c r="H7079" s="668"/>
      <c r="I7079" s="668"/>
      <c r="J7079" s="668"/>
      <c r="K7079" s="668"/>
      <c r="L7079" s="668"/>
      <c r="M7079" s="668"/>
    </row>
    <row r="7080" spans="5:13">
      <c r="E7080" s="668"/>
      <c r="F7080" s="668"/>
      <c r="G7080" s="668"/>
      <c r="H7080" s="668"/>
      <c r="I7080" s="668"/>
      <c r="J7080" s="668"/>
      <c r="K7080" s="668"/>
      <c r="L7080" s="668"/>
      <c r="M7080" s="668"/>
    </row>
    <row r="7081" spans="5:13">
      <c r="E7081" s="668"/>
      <c r="F7081" s="668"/>
      <c r="G7081" s="668"/>
      <c r="H7081" s="668"/>
      <c r="I7081" s="668"/>
      <c r="J7081" s="668"/>
      <c r="K7081" s="668"/>
      <c r="L7081" s="668"/>
      <c r="M7081" s="668"/>
    </row>
    <row r="7082" spans="5:13">
      <c r="E7082" s="668"/>
      <c r="F7082" s="668"/>
      <c r="G7082" s="668"/>
      <c r="H7082" s="668"/>
      <c r="I7082" s="668"/>
      <c r="J7082" s="668"/>
      <c r="K7082" s="668"/>
      <c r="L7082" s="668"/>
      <c r="M7082" s="668"/>
    </row>
    <row r="7083" spans="5:13">
      <c r="E7083" s="668"/>
      <c r="F7083" s="668"/>
      <c r="G7083" s="668"/>
      <c r="H7083" s="668"/>
      <c r="I7083" s="668"/>
      <c r="J7083" s="668"/>
      <c r="K7083" s="668"/>
      <c r="L7083" s="668"/>
      <c r="M7083" s="668"/>
    </row>
    <row r="7084" spans="5:13">
      <c r="E7084" s="668"/>
      <c r="F7084" s="668"/>
      <c r="G7084" s="668"/>
      <c r="H7084" s="668"/>
      <c r="I7084" s="668"/>
      <c r="J7084" s="668"/>
      <c r="K7084" s="668"/>
      <c r="L7084" s="668"/>
      <c r="M7084" s="668"/>
    </row>
    <row r="7085" spans="5:13">
      <c r="E7085" s="668"/>
      <c r="F7085" s="668"/>
      <c r="G7085" s="668"/>
      <c r="H7085" s="668"/>
      <c r="I7085" s="668"/>
      <c r="J7085" s="668"/>
      <c r="K7085" s="668"/>
      <c r="L7085" s="668"/>
      <c r="M7085" s="668"/>
    </row>
    <row r="7086" spans="5:13">
      <c r="E7086" s="668"/>
      <c r="F7086" s="668"/>
      <c r="G7086" s="668"/>
      <c r="H7086" s="668"/>
      <c r="I7086" s="668"/>
      <c r="J7086" s="668"/>
      <c r="K7086" s="668"/>
      <c r="L7086" s="668"/>
      <c r="M7086" s="668"/>
    </row>
    <row r="7087" spans="5:13">
      <c r="E7087" s="668"/>
      <c r="F7087" s="668"/>
      <c r="G7087" s="668"/>
      <c r="H7087" s="668"/>
      <c r="I7087" s="668"/>
      <c r="J7087" s="668"/>
      <c r="K7087" s="668"/>
      <c r="L7087" s="668"/>
      <c r="M7087" s="668"/>
    </row>
    <row r="7088" spans="5:13">
      <c r="E7088" s="668"/>
      <c r="F7088" s="668"/>
      <c r="G7088" s="668"/>
      <c r="H7088" s="668"/>
      <c r="I7088" s="668"/>
      <c r="J7088" s="668"/>
      <c r="K7088" s="668"/>
      <c r="L7088" s="668"/>
      <c r="M7088" s="668"/>
    </row>
    <row r="7089" spans="5:13">
      <c r="E7089" s="668"/>
      <c r="F7089" s="668"/>
      <c r="G7089" s="668"/>
      <c r="H7089" s="668"/>
      <c r="I7089" s="668"/>
      <c r="J7089" s="668"/>
      <c r="K7089" s="668"/>
      <c r="L7089" s="668"/>
      <c r="M7089" s="668"/>
    </row>
    <row r="7090" spans="5:13">
      <c r="E7090" s="668"/>
      <c r="F7090" s="668"/>
      <c r="G7090" s="668"/>
      <c r="H7090" s="668"/>
      <c r="I7090" s="668"/>
      <c r="J7090" s="668"/>
      <c r="K7090" s="668"/>
      <c r="L7090" s="668"/>
      <c r="M7090" s="668"/>
    </row>
    <row r="7091" spans="5:13">
      <c r="E7091" s="668"/>
      <c r="F7091" s="668"/>
      <c r="G7091" s="668"/>
      <c r="H7091" s="668"/>
      <c r="I7091" s="668"/>
      <c r="J7091" s="668"/>
      <c r="K7091" s="668"/>
      <c r="L7091" s="668"/>
      <c r="M7091" s="668"/>
    </row>
    <row r="7092" spans="5:13">
      <c r="E7092" s="668"/>
      <c r="F7092" s="668"/>
      <c r="G7092" s="668"/>
      <c r="H7092" s="668"/>
      <c r="I7092" s="668"/>
      <c r="J7092" s="668"/>
      <c r="K7092" s="668"/>
      <c r="L7092" s="668"/>
      <c r="M7092" s="668"/>
    </row>
    <row r="7093" spans="5:13">
      <c r="E7093" s="668"/>
      <c r="F7093" s="668"/>
      <c r="G7093" s="668"/>
      <c r="H7093" s="668"/>
      <c r="I7093" s="668"/>
      <c r="J7093" s="668"/>
      <c r="K7093" s="668"/>
      <c r="L7093" s="668"/>
      <c r="M7093" s="668"/>
    </row>
    <row r="7094" spans="5:13">
      <c r="E7094" s="668"/>
      <c r="F7094" s="668"/>
      <c r="G7094" s="668"/>
      <c r="H7094" s="668"/>
      <c r="I7094" s="668"/>
      <c r="J7094" s="668"/>
      <c r="K7094" s="668"/>
      <c r="L7094" s="668"/>
      <c r="M7094" s="668"/>
    </row>
    <row r="7095" spans="5:13">
      <c r="E7095" s="668"/>
      <c r="F7095" s="668"/>
      <c r="G7095" s="668"/>
      <c r="H7095" s="668"/>
      <c r="I7095" s="668"/>
      <c r="J7095" s="668"/>
      <c r="K7095" s="668"/>
      <c r="L7095" s="668"/>
      <c r="M7095" s="668"/>
    </row>
    <row r="7096" spans="5:13">
      <c r="E7096" s="668"/>
      <c r="F7096" s="668"/>
      <c r="G7096" s="668"/>
      <c r="H7096" s="668"/>
      <c r="I7096" s="668"/>
      <c r="J7096" s="668"/>
      <c r="K7096" s="668"/>
      <c r="L7096" s="668"/>
      <c r="M7096" s="668"/>
    </row>
    <row r="7097" spans="5:13">
      <c r="E7097" s="668"/>
      <c r="F7097" s="668"/>
      <c r="G7097" s="668"/>
      <c r="H7097" s="668"/>
      <c r="I7097" s="668"/>
      <c r="J7097" s="668"/>
      <c r="K7097" s="668"/>
      <c r="L7097" s="668"/>
      <c r="M7097" s="668"/>
    </row>
    <row r="7098" spans="5:13">
      <c r="E7098" s="668"/>
      <c r="F7098" s="668"/>
      <c r="G7098" s="668"/>
      <c r="H7098" s="668"/>
      <c r="I7098" s="668"/>
      <c r="J7098" s="668"/>
      <c r="K7098" s="668"/>
      <c r="L7098" s="668"/>
      <c r="M7098" s="668"/>
    </row>
    <row r="7099" spans="5:13">
      <c r="E7099" s="668"/>
      <c r="F7099" s="668"/>
      <c r="G7099" s="668"/>
      <c r="H7099" s="668"/>
      <c r="I7099" s="668"/>
      <c r="J7099" s="668"/>
      <c r="K7099" s="668"/>
      <c r="L7099" s="668"/>
      <c r="M7099" s="668"/>
    </row>
    <row r="7100" spans="5:13">
      <c r="E7100" s="668"/>
      <c r="F7100" s="668"/>
      <c r="G7100" s="668"/>
      <c r="H7100" s="668"/>
      <c r="I7100" s="668"/>
      <c r="J7100" s="668"/>
      <c r="K7100" s="668"/>
      <c r="L7100" s="668"/>
      <c r="M7100" s="668"/>
    </row>
    <row r="7101" spans="5:13">
      <c r="E7101" s="668"/>
      <c r="F7101" s="668"/>
      <c r="G7101" s="668"/>
      <c r="H7101" s="668"/>
      <c r="I7101" s="668"/>
      <c r="J7101" s="668"/>
      <c r="K7101" s="668"/>
      <c r="L7101" s="668"/>
      <c r="M7101" s="668"/>
    </row>
    <row r="7102" spans="5:13">
      <c r="E7102" s="668"/>
      <c r="F7102" s="668"/>
      <c r="G7102" s="668"/>
      <c r="H7102" s="668"/>
      <c r="I7102" s="668"/>
      <c r="J7102" s="668"/>
      <c r="K7102" s="668"/>
      <c r="L7102" s="668"/>
      <c r="M7102" s="668"/>
    </row>
    <row r="7103" spans="5:13">
      <c r="E7103" s="668"/>
      <c r="F7103" s="668"/>
      <c r="G7103" s="668"/>
      <c r="H7103" s="668"/>
      <c r="I7103" s="668"/>
      <c r="J7103" s="668"/>
      <c r="K7103" s="668"/>
      <c r="L7103" s="668"/>
      <c r="M7103" s="668"/>
    </row>
    <row r="7104" spans="5:13">
      <c r="E7104" s="668"/>
      <c r="F7104" s="668"/>
      <c r="G7104" s="668"/>
      <c r="H7104" s="668"/>
      <c r="I7104" s="668"/>
      <c r="J7104" s="668"/>
      <c r="K7104" s="668"/>
      <c r="L7104" s="668"/>
      <c r="M7104" s="668"/>
    </row>
    <row r="7105" spans="5:13">
      <c r="E7105" s="668"/>
      <c r="F7105" s="668"/>
      <c r="G7105" s="668"/>
      <c r="H7105" s="668"/>
      <c r="I7105" s="668"/>
      <c r="J7105" s="668"/>
      <c r="K7105" s="668"/>
      <c r="L7105" s="668"/>
      <c r="M7105" s="668"/>
    </row>
    <row r="7106" spans="5:13">
      <c r="E7106" s="668"/>
      <c r="F7106" s="668"/>
      <c r="G7106" s="668"/>
      <c r="H7106" s="668"/>
      <c r="I7106" s="668"/>
      <c r="J7106" s="668"/>
      <c r="K7106" s="668"/>
      <c r="L7106" s="668"/>
      <c r="M7106" s="668"/>
    </row>
    <row r="7107" spans="5:13">
      <c r="E7107" s="668"/>
      <c r="F7107" s="668"/>
      <c r="G7107" s="668"/>
      <c r="H7107" s="668"/>
      <c r="I7107" s="668"/>
      <c r="J7107" s="668"/>
      <c r="K7107" s="668"/>
      <c r="L7107" s="668"/>
      <c r="M7107" s="668"/>
    </row>
    <row r="7108" spans="5:13">
      <c r="E7108" s="668"/>
      <c r="F7108" s="668"/>
      <c r="G7108" s="668"/>
      <c r="H7108" s="668"/>
      <c r="I7108" s="668"/>
      <c r="J7108" s="668"/>
      <c r="K7108" s="668"/>
      <c r="L7108" s="668"/>
      <c r="M7108" s="668"/>
    </row>
    <row r="7109" spans="5:13">
      <c r="E7109" s="668"/>
      <c r="F7109" s="668"/>
      <c r="G7109" s="668"/>
      <c r="H7109" s="668"/>
      <c r="I7109" s="668"/>
      <c r="J7109" s="668"/>
      <c r="K7109" s="668"/>
      <c r="L7109" s="668"/>
      <c r="M7109" s="668"/>
    </row>
    <row r="7110" spans="5:13">
      <c r="E7110" s="668"/>
      <c r="F7110" s="668"/>
      <c r="G7110" s="668"/>
      <c r="H7110" s="668"/>
      <c r="I7110" s="668"/>
      <c r="J7110" s="668"/>
      <c r="K7110" s="668"/>
      <c r="L7110" s="668"/>
      <c r="M7110" s="668"/>
    </row>
    <row r="7111" spans="5:13">
      <c r="E7111" s="668"/>
      <c r="F7111" s="668"/>
      <c r="G7111" s="668"/>
      <c r="H7111" s="668"/>
      <c r="I7111" s="668"/>
      <c r="J7111" s="668"/>
      <c r="K7111" s="668"/>
      <c r="L7111" s="668"/>
      <c r="M7111" s="668"/>
    </row>
    <row r="7112" spans="5:13">
      <c r="E7112" s="668"/>
      <c r="F7112" s="668"/>
      <c r="G7112" s="668"/>
      <c r="H7112" s="668"/>
      <c r="I7112" s="668"/>
      <c r="J7112" s="668"/>
      <c r="K7112" s="668"/>
      <c r="L7112" s="668"/>
      <c r="M7112" s="668"/>
    </row>
    <row r="7113" spans="5:13">
      <c r="E7113" s="668"/>
      <c r="F7113" s="668"/>
      <c r="G7113" s="668"/>
      <c r="H7113" s="668"/>
      <c r="I7113" s="668"/>
      <c r="J7113" s="668"/>
      <c r="K7113" s="668"/>
      <c r="L7113" s="668"/>
      <c r="M7113" s="668"/>
    </row>
    <row r="7114" spans="5:13">
      <c r="E7114" s="668"/>
      <c r="F7114" s="668"/>
      <c r="G7114" s="668"/>
      <c r="H7114" s="668"/>
      <c r="I7114" s="668"/>
      <c r="J7114" s="668"/>
      <c r="K7114" s="668"/>
      <c r="L7114" s="668"/>
      <c r="M7114" s="668"/>
    </row>
    <row r="7115" spans="5:13">
      <c r="E7115" s="668"/>
      <c r="F7115" s="668"/>
      <c r="G7115" s="668"/>
      <c r="H7115" s="668"/>
      <c r="I7115" s="668"/>
      <c r="J7115" s="668"/>
      <c r="K7115" s="668"/>
      <c r="L7115" s="668"/>
      <c r="M7115" s="668"/>
    </row>
    <row r="7116" spans="5:13">
      <c r="E7116" s="668"/>
      <c r="F7116" s="668"/>
      <c r="G7116" s="668"/>
      <c r="H7116" s="668"/>
      <c r="I7116" s="668"/>
      <c r="J7116" s="668"/>
      <c r="K7116" s="668"/>
      <c r="L7116" s="668"/>
      <c r="M7116" s="668"/>
    </row>
    <row r="7117" spans="5:13">
      <c r="E7117" s="668"/>
      <c r="F7117" s="668"/>
      <c r="G7117" s="668"/>
      <c r="H7117" s="668"/>
      <c r="I7117" s="668"/>
      <c r="J7117" s="668"/>
      <c r="K7117" s="668"/>
      <c r="L7117" s="668"/>
      <c r="M7117" s="668"/>
    </row>
    <row r="7118" spans="5:13">
      <c r="E7118" s="668"/>
      <c r="F7118" s="668"/>
      <c r="G7118" s="668"/>
      <c r="H7118" s="668"/>
      <c r="I7118" s="668"/>
      <c r="J7118" s="668"/>
      <c r="K7118" s="668"/>
      <c r="L7118" s="668"/>
      <c r="M7118" s="668"/>
    </row>
    <row r="7119" spans="5:13">
      <c r="E7119" s="668"/>
      <c r="F7119" s="668"/>
      <c r="G7119" s="668"/>
      <c r="H7119" s="668"/>
      <c r="I7119" s="668"/>
      <c r="J7119" s="668"/>
      <c r="K7119" s="668"/>
      <c r="L7119" s="668"/>
      <c r="M7119" s="668"/>
    </row>
    <row r="7120" spans="5:13">
      <c r="E7120" s="668"/>
      <c r="F7120" s="668"/>
      <c r="G7120" s="668"/>
      <c r="H7120" s="668"/>
      <c r="I7120" s="668"/>
      <c r="J7120" s="668"/>
      <c r="K7120" s="668"/>
      <c r="L7120" s="668"/>
      <c r="M7120" s="668"/>
    </row>
    <row r="7121" spans="5:13">
      <c r="E7121" s="668"/>
      <c r="F7121" s="668"/>
      <c r="G7121" s="668"/>
      <c r="H7121" s="668"/>
      <c r="I7121" s="668"/>
      <c r="J7121" s="668"/>
      <c r="K7121" s="668"/>
      <c r="L7121" s="668"/>
      <c r="M7121" s="668"/>
    </row>
    <row r="7122" spans="5:13">
      <c r="E7122" s="668"/>
      <c r="F7122" s="668"/>
      <c r="G7122" s="668"/>
      <c r="H7122" s="668"/>
      <c r="I7122" s="668"/>
      <c r="J7122" s="668"/>
      <c r="K7122" s="668"/>
      <c r="L7122" s="668"/>
      <c r="M7122" s="668"/>
    </row>
    <row r="7123" spans="5:13">
      <c r="E7123" s="668"/>
      <c r="F7123" s="668"/>
      <c r="G7123" s="668"/>
      <c r="H7123" s="668"/>
      <c r="I7123" s="668"/>
      <c r="J7123" s="668"/>
      <c r="K7123" s="668"/>
      <c r="L7123" s="668"/>
      <c r="M7123" s="668"/>
    </row>
    <row r="7124" spans="5:13">
      <c r="E7124" s="668"/>
      <c r="F7124" s="668"/>
      <c r="G7124" s="668"/>
      <c r="H7124" s="668"/>
      <c r="I7124" s="668"/>
      <c r="J7124" s="668"/>
      <c r="K7124" s="668"/>
      <c r="L7124" s="668"/>
      <c r="M7124" s="668"/>
    </row>
    <row r="7125" spans="5:13">
      <c r="E7125" s="668"/>
      <c r="F7125" s="668"/>
      <c r="G7125" s="668"/>
      <c r="H7125" s="668"/>
      <c r="I7125" s="668"/>
      <c r="J7125" s="668"/>
      <c r="K7125" s="668"/>
      <c r="L7125" s="668"/>
      <c r="M7125" s="668"/>
    </row>
    <row r="7126" spans="5:13">
      <c r="E7126" s="668"/>
      <c r="F7126" s="668"/>
      <c r="G7126" s="668"/>
      <c r="H7126" s="668"/>
      <c r="I7126" s="668"/>
      <c r="J7126" s="668"/>
      <c r="K7126" s="668"/>
      <c r="L7126" s="668"/>
      <c r="M7126" s="668"/>
    </row>
    <row r="7127" spans="5:13">
      <c r="E7127" s="668"/>
      <c r="F7127" s="668"/>
      <c r="G7127" s="668"/>
      <c r="H7127" s="668"/>
      <c r="I7127" s="668"/>
      <c r="J7127" s="668"/>
      <c r="K7127" s="668"/>
      <c r="L7127" s="668"/>
      <c r="M7127" s="668"/>
    </row>
    <row r="7128" spans="5:13">
      <c r="E7128" s="668"/>
      <c r="F7128" s="668"/>
      <c r="G7128" s="668"/>
      <c r="H7128" s="668"/>
      <c r="I7128" s="668"/>
      <c r="J7128" s="668"/>
      <c r="K7128" s="668"/>
      <c r="L7128" s="668"/>
      <c r="M7128" s="668"/>
    </row>
    <row r="7129" spans="5:13">
      <c r="E7129" s="668"/>
      <c r="F7129" s="668"/>
      <c r="G7129" s="668"/>
      <c r="H7129" s="668"/>
      <c r="I7129" s="668"/>
      <c r="J7129" s="668"/>
      <c r="K7129" s="668"/>
      <c r="L7129" s="668"/>
      <c r="M7129" s="668"/>
    </row>
    <row r="7130" spans="5:13">
      <c r="E7130" s="668"/>
      <c r="F7130" s="668"/>
      <c r="G7130" s="668"/>
      <c r="H7130" s="668"/>
      <c r="I7130" s="668"/>
      <c r="J7130" s="668"/>
      <c r="K7130" s="668"/>
      <c r="L7130" s="668"/>
      <c r="M7130" s="668"/>
    </row>
    <row r="7131" spans="5:13">
      <c r="E7131" s="668"/>
      <c r="F7131" s="668"/>
      <c r="G7131" s="668"/>
      <c r="H7131" s="668"/>
      <c r="I7131" s="668"/>
      <c r="J7131" s="668"/>
      <c r="K7131" s="668"/>
      <c r="L7131" s="668"/>
      <c r="M7131" s="668"/>
    </row>
    <row r="7132" spans="5:13">
      <c r="E7132" s="668"/>
      <c r="F7132" s="668"/>
      <c r="G7132" s="668"/>
      <c r="H7132" s="668"/>
      <c r="I7132" s="668"/>
      <c r="J7132" s="668"/>
      <c r="K7132" s="668"/>
      <c r="L7132" s="668"/>
      <c r="M7132" s="668"/>
    </row>
    <row r="7133" spans="5:13">
      <c r="E7133" s="668"/>
      <c r="F7133" s="668"/>
      <c r="G7133" s="668"/>
      <c r="H7133" s="668"/>
      <c r="I7133" s="668"/>
      <c r="J7133" s="668"/>
      <c r="K7133" s="668"/>
      <c r="L7133" s="668"/>
      <c r="M7133" s="668"/>
    </row>
    <row r="7134" spans="5:13">
      <c r="E7134" s="668"/>
      <c r="F7134" s="668"/>
      <c r="G7134" s="668"/>
      <c r="H7134" s="668"/>
      <c r="I7134" s="668"/>
      <c r="J7134" s="668"/>
      <c r="K7134" s="668"/>
      <c r="L7134" s="668"/>
      <c r="M7134" s="668"/>
    </row>
    <row r="7135" spans="5:13">
      <c r="E7135" s="668"/>
      <c r="F7135" s="668"/>
      <c r="G7135" s="668"/>
      <c r="H7135" s="668"/>
      <c r="I7135" s="668"/>
      <c r="J7135" s="668"/>
      <c r="K7135" s="668"/>
      <c r="L7135" s="668"/>
      <c r="M7135" s="668"/>
    </row>
    <row r="7136" spans="5:13">
      <c r="E7136" s="668"/>
      <c r="F7136" s="668"/>
      <c r="G7136" s="668"/>
      <c r="H7136" s="668"/>
      <c r="I7136" s="668"/>
      <c r="J7136" s="668"/>
      <c r="K7136" s="668"/>
      <c r="L7136" s="668"/>
      <c r="M7136" s="668"/>
    </row>
    <row r="7137" spans="5:13">
      <c r="E7137" s="668"/>
      <c r="F7137" s="668"/>
      <c r="G7137" s="668"/>
      <c r="H7137" s="668"/>
      <c r="I7137" s="668"/>
      <c r="J7137" s="668"/>
      <c r="K7137" s="668"/>
      <c r="L7137" s="668"/>
      <c r="M7137" s="668"/>
    </row>
    <row r="7138" spans="5:13">
      <c r="E7138" s="668"/>
      <c r="F7138" s="668"/>
      <c r="G7138" s="668"/>
      <c r="H7138" s="668"/>
      <c r="I7138" s="668"/>
      <c r="J7138" s="668"/>
      <c r="K7138" s="668"/>
      <c r="L7138" s="668"/>
      <c r="M7138" s="668"/>
    </row>
    <row r="7139" spans="5:13">
      <c r="E7139" s="668"/>
      <c r="F7139" s="668"/>
      <c r="G7139" s="668"/>
      <c r="H7139" s="668"/>
      <c r="I7139" s="668"/>
      <c r="J7139" s="668"/>
      <c r="K7139" s="668"/>
      <c r="L7139" s="668"/>
      <c r="M7139" s="668"/>
    </row>
    <row r="7140" spans="5:13">
      <c r="E7140" s="668"/>
      <c r="F7140" s="668"/>
      <c r="G7140" s="668"/>
      <c r="H7140" s="668"/>
      <c r="I7140" s="668"/>
      <c r="J7140" s="668"/>
      <c r="K7140" s="668"/>
      <c r="L7140" s="668"/>
      <c r="M7140" s="668"/>
    </row>
    <row r="7141" spans="5:13">
      <c r="E7141" s="668"/>
      <c r="F7141" s="668"/>
      <c r="G7141" s="668"/>
      <c r="H7141" s="668"/>
      <c r="I7141" s="668"/>
      <c r="J7141" s="668"/>
      <c r="K7141" s="668"/>
      <c r="L7141" s="668"/>
      <c r="M7141" s="668"/>
    </row>
    <row r="7142" spans="5:13">
      <c r="E7142" s="668"/>
      <c r="F7142" s="668"/>
      <c r="G7142" s="668"/>
      <c r="H7142" s="668"/>
      <c r="I7142" s="668"/>
      <c r="J7142" s="668"/>
      <c r="K7142" s="668"/>
      <c r="L7142" s="668"/>
      <c r="M7142" s="668"/>
    </row>
    <row r="7143" spans="5:13">
      <c r="E7143" s="668"/>
      <c r="F7143" s="668"/>
      <c r="G7143" s="668"/>
      <c r="H7143" s="668"/>
      <c r="I7143" s="668"/>
      <c r="J7143" s="668"/>
      <c r="K7143" s="668"/>
      <c r="L7143" s="668"/>
      <c r="M7143" s="668"/>
    </row>
    <row r="7144" spans="5:13">
      <c r="E7144" s="668"/>
      <c r="F7144" s="668"/>
      <c r="G7144" s="668"/>
      <c r="H7144" s="668"/>
      <c r="I7144" s="668"/>
      <c r="J7144" s="668"/>
      <c r="K7144" s="668"/>
      <c r="L7144" s="668"/>
      <c r="M7144" s="668"/>
    </row>
    <row r="7145" spans="5:13">
      <c r="E7145" s="668"/>
      <c r="F7145" s="668"/>
      <c r="G7145" s="668"/>
      <c r="H7145" s="668"/>
      <c r="I7145" s="668"/>
      <c r="J7145" s="668"/>
      <c r="K7145" s="668"/>
      <c r="L7145" s="668"/>
      <c r="M7145" s="668"/>
    </row>
    <row r="7146" spans="5:13">
      <c r="E7146" s="668"/>
      <c r="F7146" s="668"/>
      <c r="G7146" s="668"/>
      <c r="H7146" s="668"/>
      <c r="I7146" s="668"/>
      <c r="J7146" s="668"/>
      <c r="K7146" s="668"/>
      <c r="L7146" s="668"/>
      <c r="M7146" s="668"/>
    </row>
    <row r="7147" spans="5:13">
      <c r="E7147" s="668"/>
      <c r="F7147" s="668"/>
      <c r="G7147" s="668"/>
      <c r="H7147" s="668"/>
      <c r="I7147" s="668"/>
      <c r="J7147" s="668"/>
      <c r="K7147" s="668"/>
      <c r="L7147" s="668"/>
      <c r="M7147" s="668"/>
    </row>
    <row r="7148" spans="5:13">
      <c r="E7148" s="668"/>
      <c r="F7148" s="668"/>
      <c r="G7148" s="668"/>
      <c r="H7148" s="668"/>
      <c r="I7148" s="668"/>
      <c r="J7148" s="668"/>
      <c r="K7148" s="668"/>
      <c r="L7148" s="668"/>
      <c r="M7148" s="668"/>
    </row>
    <row r="7149" spans="5:13">
      <c r="E7149" s="668"/>
      <c r="F7149" s="668"/>
      <c r="G7149" s="668"/>
      <c r="H7149" s="668"/>
      <c r="I7149" s="668"/>
      <c r="J7149" s="668"/>
      <c r="K7149" s="668"/>
      <c r="L7149" s="668"/>
      <c r="M7149" s="668"/>
    </row>
    <row r="7150" spans="5:13">
      <c r="E7150" s="668"/>
      <c r="F7150" s="668"/>
      <c r="G7150" s="668"/>
      <c r="H7150" s="668"/>
      <c r="I7150" s="668"/>
      <c r="J7150" s="668"/>
      <c r="K7150" s="668"/>
      <c r="L7150" s="668"/>
      <c r="M7150" s="668"/>
    </row>
    <row r="7151" spans="5:13">
      <c r="E7151" s="668"/>
      <c r="F7151" s="668"/>
      <c r="G7151" s="668"/>
      <c r="H7151" s="668"/>
      <c r="I7151" s="668"/>
      <c r="J7151" s="668"/>
      <c r="K7151" s="668"/>
      <c r="L7151" s="668"/>
      <c r="M7151" s="668"/>
    </row>
    <row r="7152" spans="5:13">
      <c r="E7152" s="668"/>
      <c r="F7152" s="668"/>
      <c r="G7152" s="668"/>
      <c r="H7152" s="668"/>
      <c r="I7152" s="668"/>
      <c r="J7152" s="668"/>
      <c r="K7152" s="668"/>
      <c r="L7152" s="668"/>
      <c r="M7152" s="668"/>
    </row>
    <row r="7153" spans="5:13">
      <c r="E7153" s="668"/>
      <c r="F7153" s="668"/>
      <c r="G7153" s="668"/>
      <c r="H7153" s="668"/>
      <c r="I7153" s="668"/>
      <c r="J7153" s="668"/>
      <c r="K7153" s="668"/>
      <c r="L7153" s="668"/>
      <c r="M7153" s="668"/>
    </row>
    <row r="7154" spans="5:13">
      <c r="E7154" s="668"/>
      <c r="F7154" s="668"/>
      <c r="G7154" s="668"/>
      <c r="H7154" s="668"/>
      <c r="I7154" s="668"/>
      <c r="J7154" s="668"/>
      <c r="K7154" s="668"/>
      <c r="L7154" s="668"/>
      <c r="M7154" s="668"/>
    </row>
    <row r="7155" spans="5:13">
      <c r="E7155" s="668"/>
      <c r="F7155" s="668"/>
      <c r="G7155" s="668"/>
      <c r="H7155" s="668"/>
      <c r="I7155" s="668"/>
      <c r="J7155" s="668"/>
      <c r="K7155" s="668"/>
      <c r="L7155" s="668"/>
      <c r="M7155" s="668"/>
    </row>
    <row r="7156" spans="5:13">
      <c r="E7156" s="668"/>
      <c r="F7156" s="668"/>
      <c r="G7156" s="668"/>
      <c r="H7156" s="668"/>
      <c r="I7156" s="668"/>
      <c r="J7156" s="668"/>
      <c r="K7156" s="668"/>
      <c r="L7156" s="668"/>
      <c r="M7156" s="668"/>
    </row>
    <row r="7157" spans="5:13">
      <c r="E7157" s="668"/>
      <c r="F7157" s="668"/>
      <c r="G7157" s="668"/>
      <c r="H7157" s="668"/>
      <c r="I7157" s="668"/>
      <c r="J7157" s="668"/>
      <c r="K7157" s="668"/>
      <c r="L7157" s="668"/>
      <c r="M7157" s="668"/>
    </row>
    <row r="7158" spans="5:13">
      <c r="E7158" s="668"/>
      <c r="F7158" s="668"/>
      <c r="G7158" s="668"/>
      <c r="H7158" s="668"/>
      <c r="I7158" s="668"/>
      <c r="J7158" s="668"/>
      <c r="K7158" s="668"/>
      <c r="L7158" s="668"/>
      <c r="M7158" s="668"/>
    </row>
    <row r="7159" spans="5:13">
      <c r="E7159" s="668"/>
      <c r="F7159" s="668"/>
      <c r="G7159" s="668"/>
      <c r="H7159" s="668"/>
      <c r="I7159" s="668"/>
      <c r="J7159" s="668"/>
      <c r="K7159" s="668"/>
      <c r="L7159" s="668"/>
      <c r="M7159" s="668"/>
    </row>
    <row r="7160" spans="5:13">
      <c r="E7160" s="668"/>
      <c r="F7160" s="668"/>
      <c r="G7160" s="668"/>
      <c r="H7160" s="668"/>
      <c r="I7160" s="668"/>
      <c r="J7160" s="668"/>
      <c r="K7160" s="668"/>
      <c r="L7160" s="668"/>
      <c r="M7160" s="668"/>
    </row>
    <row r="7161" spans="5:13">
      <c r="E7161" s="668"/>
      <c r="F7161" s="668"/>
      <c r="G7161" s="668"/>
      <c r="H7161" s="668"/>
      <c r="I7161" s="668"/>
      <c r="J7161" s="668"/>
      <c r="K7161" s="668"/>
      <c r="L7161" s="668"/>
      <c r="M7161" s="668"/>
    </row>
    <row r="7162" spans="5:13">
      <c r="E7162" s="668"/>
      <c r="F7162" s="668"/>
      <c r="G7162" s="668"/>
      <c r="H7162" s="668"/>
      <c r="I7162" s="668"/>
      <c r="J7162" s="668"/>
      <c r="K7162" s="668"/>
      <c r="L7162" s="668"/>
      <c r="M7162" s="668"/>
    </row>
    <row r="7163" spans="5:13">
      <c r="E7163" s="668"/>
      <c r="F7163" s="668"/>
      <c r="G7163" s="668"/>
      <c r="H7163" s="668"/>
      <c r="I7163" s="668"/>
      <c r="J7163" s="668"/>
      <c r="K7163" s="668"/>
      <c r="L7163" s="668"/>
      <c r="M7163" s="668"/>
    </row>
    <row r="7164" spans="5:13">
      <c r="E7164" s="668"/>
      <c r="F7164" s="668"/>
      <c r="G7164" s="668"/>
      <c r="H7164" s="668"/>
      <c r="I7164" s="668"/>
      <c r="J7164" s="668"/>
      <c r="K7164" s="668"/>
      <c r="L7164" s="668"/>
      <c r="M7164" s="668"/>
    </row>
    <row r="7165" spans="5:13">
      <c r="E7165" s="668"/>
      <c r="F7165" s="668"/>
      <c r="G7165" s="668"/>
      <c r="H7165" s="668"/>
      <c r="I7165" s="668"/>
      <c r="J7165" s="668"/>
      <c r="K7165" s="668"/>
      <c r="L7165" s="668"/>
      <c r="M7165" s="668"/>
    </row>
    <row r="7166" spans="5:13">
      <c r="E7166" s="668"/>
      <c r="F7166" s="668"/>
      <c r="G7166" s="668"/>
      <c r="H7166" s="668"/>
      <c r="I7166" s="668"/>
      <c r="J7166" s="668"/>
      <c r="K7166" s="668"/>
      <c r="L7166" s="668"/>
      <c r="M7166" s="668"/>
    </row>
    <row r="7167" spans="5:13">
      <c r="E7167" s="668"/>
      <c r="F7167" s="668"/>
      <c r="G7167" s="668"/>
      <c r="H7167" s="668"/>
      <c r="I7167" s="668"/>
      <c r="J7167" s="668"/>
      <c r="K7167" s="668"/>
      <c r="L7167" s="668"/>
      <c r="M7167" s="668"/>
    </row>
    <row r="7168" spans="5:13">
      <c r="E7168" s="668"/>
      <c r="F7168" s="668"/>
      <c r="G7168" s="668"/>
      <c r="H7168" s="668"/>
      <c r="I7168" s="668"/>
      <c r="J7168" s="668"/>
      <c r="K7168" s="668"/>
      <c r="L7168" s="668"/>
      <c r="M7168" s="668"/>
    </row>
    <row r="7169" spans="5:13">
      <c r="E7169" s="668"/>
      <c r="F7169" s="668"/>
      <c r="G7169" s="668"/>
      <c r="H7169" s="668"/>
      <c r="I7169" s="668"/>
      <c r="J7169" s="668"/>
      <c r="K7169" s="668"/>
      <c r="L7169" s="668"/>
      <c r="M7169" s="668"/>
    </row>
    <row r="7170" spans="5:13">
      <c r="E7170" s="668"/>
      <c r="F7170" s="668"/>
      <c r="G7170" s="668"/>
      <c r="H7170" s="668"/>
      <c r="I7170" s="668"/>
      <c r="J7170" s="668"/>
      <c r="K7170" s="668"/>
      <c r="L7170" s="668"/>
      <c r="M7170" s="668"/>
    </row>
    <row r="7171" spans="5:13">
      <c r="E7171" s="668"/>
      <c r="F7171" s="668"/>
      <c r="G7171" s="668"/>
      <c r="H7171" s="668"/>
      <c r="I7171" s="668"/>
      <c r="J7171" s="668"/>
      <c r="K7171" s="668"/>
      <c r="L7171" s="668"/>
      <c r="M7171" s="668"/>
    </row>
    <row r="7172" spans="5:13">
      <c r="E7172" s="668"/>
      <c r="F7172" s="668"/>
      <c r="G7172" s="668"/>
      <c r="H7172" s="668"/>
      <c r="I7172" s="668"/>
      <c r="J7172" s="668"/>
      <c r="K7172" s="668"/>
      <c r="L7172" s="668"/>
      <c r="M7172" s="668"/>
    </row>
    <row r="7173" spans="5:13">
      <c r="E7173" s="668"/>
      <c r="F7173" s="668"/>
      <c r="G7173" s="668"/>
      <c r="H7173" s="668"/>
      <c r="I7173" s="668"/>
      <c r="J7173" s="668"/>
      <c r="K7173" s="668"/>
      <c r="L7173" s="668"/>
      <c r="M7173" s="668"/>
    </row>
    <row r="7174" spans="5:13">
      <c r="E7174" s="668"/>
      <c r="F7174" s="668"/>
      <c r="G7174" s="668"/>
      <c r="H7174" s="668"/>
      <c r="I7174" s="668"/>
      <c r="J7174" s="668"/>
      <c r="K7174" s="668"/>
      <c r="L7174" s="668"/>
      <c r="M7174" s="668"/>
    </row>
    <row r="7175" spans="5:13">
      <c r="E7175" s="668"/>
      <c r="F7175" s="668"/>
      <c r="G7175" s="668"/>
      <c r="H7175" s="668"/>
      <c r="I7175" s="668"/>
      <c r="J7175" s="668"/>
      <c r="K7175" s="668"/>
      <c r="L7175" s="668"/>
      <c r="M7175" s="668"/>
    </row>
    <row r="7176" spans="5:13">
      <c r="E7176" s="668"/>
      <c r="F7176" s="668"/>
      <c r="G7176" s="668"/>
      <c r="H7176" s="668"/>
      <c r="I7176" s="668"/>
      <c r="J7176" s="668"/>
      <c r="K7176" s="668"/>
      <c r="L7176" s="668"/>
      <c r="M7176" s="668"/>
    </row>
    <row r="7177" spans="5:13">
      <c r="E7177" s="668"/>
      <c r="F7177" s="668"/>
      <c r="G7177" s="668"/>
      <c r="H7177" s="668"/>
      <c r="I7177" s="668"/>
      <c r="J7177" s="668"/>
      <c r="K7177" s="668"/>
      <c r="L7177" s="668"/>
      <c r="M7177" s="668"/>
    </row>
    <row r="7178" spans="5:13">
      <c r="E7178" s="668"/>
      <c r="F7178" s="668"/>
      <c r="G7178" s="668"/>
      <c r="H7178" s="668"/>
      <c r="I7178" s="668"/>
      <c r="J7178" s="668"/>
      <c r="K7178" s="668"/>
      <c r="L7178" s="668"/>
      <c r="M7178" s="668"/>
    </row>
    <row r="7179" spans="5:13">
      <c r="E7179" s="668"/>
      <c r="F7179" s="668"/>
      <c r="G7179" s="668"/>
      <c r="H7179" s="668"/>
      <c r="I7179" s="668"/>
      <c r="J7179" s="668"/>
      <c r="K7179" s="668"/>
      <c r="L7179" s="668"/>
      <c r="M7179" s="668"/>
    </row>
    <row r="7180" spans="5:13">
      <c r="E7180" s="668"/>
      <c r="F7180" s="668"/>
      <c r="G7180" s="668"/>
      <c r="H7180" s="668"/>
      <c r="I7180" s="668"/>
      <c r="J7180" s="668"/>
      <c r="K7180" s="668"/>
      <c r="L7180" s="668"/>
      <c r="M7180" s="668"/>
    </row>
    <row r="7181" spans="5:13">
      <c r="E7181" s="668"/>
      <c r="F7181" s="668"/>
      <c r="G7181" s="668"/>
      <c r="H7181" s="668"/>
      <c r="I7181" s="668"/>
      <c r="J7181" s="668"/>
      <c r="K7181" s="668"/>
      <c r="L7181" s="668"/>
      <c r="M7181" s="668"/>
    </row>
    <row r="7182" spans="5:13">
      <c r="E7182" s="668"/>
      <c r="F7182" s="668"/>
      <c r="G7182" s="668"/>
      <c r="H7182" s="668"/>
      <c r="I7182" s="668"/>
      <c r="J7182" s="668"/>
      <c r="K7182" s="668"/>
      <c r="L7182" s="668"/>
      <c r="M7182" s="668"/>
    </row>
    <row r="7183" spans="5:13">
      <c r="E7183" s="668"/>
      <c r="F7183" s="668"/>
      <c r="G7183" s="668"/>
      <c r="H7183" s="668"/>
      <c r="I7183" s="668"/>
      <c r="J7183" s="668"/>
      <c r="K7183" s="668"/>
      <c r="L7183" s="668"/>
      <c r="M7183" s="668"/>
    </row>
    <row r="7184" spans="5:13">
      <c r="E7184" s="668"/>
      <c r="F7184" s="668"/>
      <c r="G7184" s="668"/>
      <c r="H7184" s="668"/>
      <c r="I7184" s="668"/>
      <c r="J7184" s="668"/>
      <c r="K7184" s="668"/>
      <c r="L7184" s="668"/>
      <c r="M7184" s="668"/>
    </row>
    <row r="7185" spans="5:13">
      <c r="E7185" s="668"/>
      <c r="F7185" s="668"/>
      <c r="G7185" s="668"/>
      <c r="H7185" s="668"/>
      <c r="I7185" s="668"/>
      <c r="J7185" s="668"/>
      <c r="K7185" s="668"/>
      <c r="L7185" s="668"/>
      <c r="M7185" s="668"/>
    </row>
    <row r="7186" spans="5:13">
      <c r="E7186" s="668"/>
      <c r="F7186" s="668"/>
      <c r="G7186" s="668"/>
      <c r="H7186" s="668"/>
      <c r="I7186" s="668"/>
      <c r="J7186" s="668"/>
      <c r="K7186" s="668"/>
      <c r="L7186" s="668"/>
      <c r="M7186" s="668"/>
    </row>
    <row r="7187" spans="5:13">
      <c r="E7187" s="668"/>
      <c r="F7187" s="668"/>
      <c r="G7187" s="668"/>
      <c r="H7187" s="668"/>
      <c r="I7187" s="668"/>
      <c r="J7187" s="668"/>
      <c r="K7187" s="668"/>
      <c r="L7187" s="668"/>
      <c r="M7187" s="668"/>
    </row>
    <row r="7188" spans="5:13">
      <c r="E7188" s="668"/>
      <c r="F7188" s="668"/>
      <c r="G7188" s="668"/>
      <c r="H7188" s="668"/>
      <c r="I7188" s="668"/>
      <c r="J7188" s="668"/>
      <c r="K7188" s="668"/>
      <c r="L7188" s="668"/>
      <c r="M7188" s="668"/>
    </row>
    <row r="7189" spans="5:13">
      <c r="E7189" s="668"/>
      <c r="F7189" s="668"/>
      <c r="G7189" s="668"/>
      <c r="H7189" s="668"/>
      <c r="I7189" s="668"/>
      <c r="J7189" s="668"/>
      <c r="K7189" s="668"/>
      <c r="L7189" s="668"/>
      <c r="M7189" s="668"/>
    </row>
    <row r="7190" spans="5:13">
      <c r="E7190" s="668"/>
      <c r="F7190" s="668"/>
      <c r="G7190" s="668"/>
      <c r="H7190" s="668"/>
      <c r="I7190" s="668"/>
      <c r="J7190" s="668"/>
      <c r="K7190" s="668"/>
      <c r="L7190" s="668"/>
      <c r="M7190" s="668"/>
    </row>
    <row r="7191" spans="5:13">
      <c r="E7191" s="668"/>
      <c r="F7191" s="668"/>
      <c r="G7191" s="668"/>
      <c r="H7191" s="668"/>
      <c r="I7191" s="668"/>
      <c r="J7191" s="668"/>
      <c r="K7191" s="668"/>
      <c r="L7191" s="668"/>
      <c r="M7191" s="668"/>
    </row>
    <row r="7192" spans="5:13">
      <c r="E7192" s="668"/>
      <c r="F7192" s="668"/>
      <c r="G7192" s="668"/>
      <c r="H7192" s="668"/>
      <c r="I7192" s="668"/>
      <c r="J7192" s="668"/>
      <c r="K7192" s="668"/>
      <c r="L7192" s="668"/>
      <c r="M7192" s="668"/>
    </row>
    <row r="7193" spans="5:13">
      <c r="E7193" s="668"/>
      <c r="F7193" s="668"/>
      <c r="G7193" s="668"/>
      <c r="H7193" s="668"/>
      <c r="I7193" s="668"/>
      <c r="J7193" s="668"/>
      <c r="K7193" s="668"/>
      <c r="L7193" s="668"/>
      <c r="M7193" s="668"/>
    </row>
    <row r="7194" spans="5:13">
      <c r="E7194" s="668"/>
      <c r="F7194" s="668"/>
      <c r="G7194" s="668"/>
      <c r="H7194" s="668"/>
      <c r="I7194" s="668"/>
      <c r="J7194" s="668"/>
      <c r="K7194" s="668"/>
      <c r="L7194" s="668"/>
      <c r="M7194" s="668"/>
    </row>
    <row r="7195" spans="5:13">
      <c r="E7195" s="668"/>
      <c r="F7195" s="668"/>
      <c r="G7195" s="668"/>
      <c r="H7195" s="668"/>
      <c r="I7195" s="668"/>
      <c r="J7195" s="668"/>
      <c r="K7195" s="668"/>
      <c r="L7195" s="668"/>
      <c r="M7195" s="668"/>
    </row>
    <row r="7196" spans="5:13">
      <c r="E7196" s="668"/>
      <c r="F7196" s="668"/>
      <c r="G7196" s="668"/>
      <c r="H7196" s="668"/>
      <c r="I7196" s="668"/>
      <c r="J7196" s="668"/>
      <c r="K7196" s="668"/>
      <c r="L7196" s="668"/>
      <c r="M7196" s="668"/>
    </row>
    <row r="7197" spans="5:13">
      <c r="E7197" s="668"/>
      <c r="F7197" s="668"/>
      <c r="G7197" s="668"/>
      <c r="H7197" s="668"/>
      <c r="I7197" s="668"/>
      <c r="J7197" s="668"/>
      <c r="K7197" s="668"/>
      <c r="L7197" s="668"/>
      <c r="M7197" s="668"/>
    </row>
    <row r="7198" spans="5:13">
      <c r="E7198" s="668"/>
      <c r="F7198" s="668"/>
      <c r="G7198" s="668"/>
      <c r="H7198" s="668"/>
      <c r="I7198" s="668"/>
      <c r="J7198" s="668"/>
      <c r="K7198" s="668"/>
      <c r="L7198" s="668"/>
      <c r="M7198" s="668"/>
    </row>
    <row r="7199" spans="5:13">
      <c r="E7199" s="668"/>
      <c r="F7199" s="668"/>
      <c r="G7199" s="668"/>
      <c r="H7199" s="668"/>
      <c r="I7199" s="668"/>
      <c r="J7199" s="668"/>
      <c r="K7199" s="668"/>
      <c r="L7199" s="668"/>
      <c r="M7199" s="668"/>
    </row>
    <row r="7200" spans="5:13">
      <c r="E7200" s="668"/>
      <c r="F7200" s="668"/>
      <c r="G7200" s="668"/>
      <c r="H7200" s="668"/>
      <c r="I7200" s="668"/>
      <c r="J7200" s="668"/>
      <c r="K7200" s="668"/>
      <c r="L7200" s="668"/>
      <c r="M7200" s="668"/>
    </row>
    <row r="7201" spans="5:13">
      <c r="E7201" s="668"/>
      <c r="F7201" s="668"/>
      <c r="G7201" s="668"/>
      <c r="H7201" s="668"/>
      <c r="I7201" s="668"/>
      <c r="J7201" s="668"/>
      <c r="K7201" s="668"/>
      <c r="L7201" s="668"/>
      <c r="M7201" s="668"/>
    </row>
    <row r="7202" spans="5:13">
      <c r="E7202" s="668"/>
      <c r="F7202" s="668"/>
      <c r="G7202" s="668"/>
      <c r="H7202" s="668"/>
      <c r="I7202" s="668"/>
      <c r="J7202" s="668"/>
      <c r="K7202" s="668"/>
      <c r="L7202" s="668"/>
      <c r="M7202" s="668"/>
    </row>
    <row r="7203" spans="5:13">
      <c r="E7203" s="668"/>
      <c r="F7203" s="668"/>
      <c r="G7203" s="668"/>
      <c r="H7203" s="668"/>
      <c r="I7203" s="668"/>
      <c r="J7203" s="668"/>
      <c r="K7203" s="668"/>
      <c r="L7203" s="668"/>
      <c r="M7203" s="668"/>
    </row>
    <row r="7204" spans="5:13">
      <c r="E7204" s="668"/>
      <c r="F7204" s="668"/>
      <c r="G7204" s="668"/>
      <c r="H7204" s="668"/>
      <c r="I7204" s="668"/>
      <c r="J7204" s="668"/>
      <c r="K7204" s="668"/>
      <c r="L7204" s="668"/>
      <c r="M7204" s="668"/>
    </row>
    <row r="7205" spans="5:13">
      <c r="E7205" s="668"/>
      <c r="F7205" s="668"/>
      <c r="G7205" s="668"/>
      <c r="H7205" s="668"/>
      <c r="I7205" s="668"/>
      <c r="J7205" s="668"/>
      <c r="K7205" s="668"/>
      <c r="L7205" s="668"/>
      <c r="M7205" s="668"/>
    </row>
    <row r="7206" spans="5:13">
      <c r="E7206" s="668"/>
      <c r="F7206" s="668"/>
      <c r="G7206" s="668"/>
      <c r="H7206" s="668"/>
      <c r="I7206" s="668"/>
      <c r="J7206" s="668"/>
      <c r="K7206" s="668"/>
      <c r="L7206" s="668"/>
      <c r="M7206" s="668"/>
    </row>
    <row r="7207" spans="5:13">
      <c r="E7207" s="668"/>
      <c r="F7207" s="668"/>
      <c r="G7207" s="668"/>
      <c r="H7207" s="668"/>
      <c r="I7207" s="668"/>
      <c r="J7207" s="668"/>
      <c r="K7207" s="668"/>
      <c r="L7207" s="668"/>
      <c r="M7207" s="668"/>
    </row>
    <row r="7208" spans="5:13">
      <c r="E7208" s="668"/>
      <c r="F7208" s="668"/>
      <c r="G7208" s="668"/>
      <c r="H7208" s="668"/>
      <c r="I7208" s="668"/>
      <c r="J7208" s="668"/>
      <c r="K7208" s="668"/>
      <c r="L7208" s="668"/>
      <c r="M7208" s="668"/>
    </row>
    <row r="7209" spans="5:13">
      <c r="E7209" s="668"/>
      <c r="F7209" s="668"/>
      <c r="G7209" s="668"/>
      <c r="H7209" s="668"/>
      <c r="I7209" s="668"/>
      <c r="J7209" s="668"/>
      <c r="K7209" s="668"/>
      <c r="L7209" s="668"/>
      <c r="M7209" s="668"/>
    </row>
    <row r="7210" spans="5:13">
      <c r="E7210" s="668"/>
      <c r="F7210" s="668"/>
      <c r="G7210" s="668"/>
      <c r="H7210" s="668"/>
      <c r="I7210" s="668"/>
      <c r="J7210" s="668"/>
      <c r="K7210" s="668"/>
      <c r="L7210" s="668"/>
      <c r="M7210" s="668"/>
    </row>
    <row r="7211" spans="5:13">
      <c r="E7211" s="668"/>
      <c r="F7211" s="668"/>
      <c r="G7211" s="668"/>
      <c r="H7211" s="668"/>
      <c r="I7211" s="668"/>
      <c r="J7211" s="668"/>
      <c r="K7211" s="668"/>
      <c r="L7211" s="668"/>
      <c r="M7211" s="668"/>
    </row>
    <row r="7212" spans="5:13">
      <c r="E7212" s="668"/>
      <c r="F7212" s="668"/>
      <c r="G7212" s="668"/>
      <c r="H7212" s="668"/>
      <c r="I7212" s="668"/>
      <c r="J7212" s="668"/>
      <c r="K7212" s="668"/>
      <c r="L7212" s="668"/>
      <c r="M7212" s="668"/>
    </row>
    <row r="7213" spans="5:13">
      <c r="E7213" s="668"/>
      <c r="F7213" s="668"/>
      <c r="G7213" s="668"/>
      <c r="H7213" s="668"/>
      <c r="I7213" s="668"/>
      <c r="J7213" s="668"/>
      <c r="K7213" s="668"/>
      <c r="L7213" s="668"/>
      <c r="M7213" s="668"/>
    </row>
    <row r="7214" spans="5:13">
      <c r="E7214" s="668"/>
      <c r="F7214" s="668"/>
      <c r="G7214" s="668"/>
      <c r="H7214" s="668"/>
      <c r="I7214" s="668"/>
      <c r="J7214" s="668"/>
      <c r="K7214" s="668"/>
      <c r="L7214" s="668"/>
      <c r="M7214" s="668"/>
    </row>
    <row r="7215" spans="5:13">
      <c r="E7215" s="668"/>
      <c r="F7215" s="668"/>
      <c r="G7215" s="668"/>
      <c r="H7215" s="668"/>
      <c r="I7215" s="668"/>
      <c r="J7215" s="668"/>
      <c r="K7215" s="668"/>
      <c r="L7215" s="668"/>
      <c r="M7215" s="668"/>
    </row>
    <row r="7216" spans="5:13">
      <c r="E7216" s="668"/>
      <c r="F7216" s="668"/>
      <c r="G7216" s="668"/>
      <c r="H7216" s="668"/>
      <c r="I7216" s="668"/>
      <c r="J7216" s="668"/>
      <c r="K7216" s="668"/>
      <c r="L7216" s="668"/>
      <c r="M7216" s="668"/>
    </row>
    <row r="7217" spans="5:13">
      <c r="E7217" s="668"/>
      <c r="F7217" s="668"/>
      <c r="G7217" s="668"/>
      <c r="H7217" s="668"/>
      <c r="I7217" s="668"/>
      <c r="J7217" s="668"/>
      <c r="K7217" s="668"/>
      <c r="L7217" s="668"/>
      <c r="M7217" s="668"/>
    </row>
    <row r="7218" spans="5:13">
      <c r="E7218" s="668"/>
      <c r="F7218" s="668"/>
      <c r="G7218" s="668"/>
      <c r="H7218" s="668"/>
      <c r="I7218" s="668"/>
      <c r="J7218" s="668"/>
      <c r="K7218" s="668"/>
      <c r="L7218" s="668"/>
      <c r="M7218" s="668"/>
    </row>
    <row r="7219" spans="5:13">
      <c r="E7219" s="668"/>
      <c r="F7219" s="668"/>
      <c r="G7219" s="668"/>
      <c r="H7219" s="668"/>
      <c r="I7219" s="668"/>
      <c r="J7219" s="668"/>
      <c r="K7219" s="668"/>
      <c r="L7219" s="668"/>
      <c r="M7219" s="668"/>
    </row>
    <row r="7220" spans="5:13">
      <c r="E7220" s="668"/>
      <c r="F7220" s="668"/>
      <c r="G7220" s="668"/>
      <c r="H7220" s="668"/>
      <c r="I7220" s="668"/>
      <c r="J7220" s="668"/>
      <c r="K7220" s="668"/>
      <c r="L7220" s="668"/>
      <c r="M7220" s="668"/>
    </row>
    <row r="7221" spans="5:13">
      <c r="E7221" s="668"/>
      <c r="F7221" s="668"/>
      <c r="G7221" s="668"/>
      <c r="H7221" s="668"/>
      <c r="I7221" s="668"/>
      <c r="J7221" s="668"/>
      <c r="K7221" s="668"/>
      <c r="L7221" s="668"/>
      <c r="M7221" s="668"/>
    </row>
    <row r="7222" spans="5:13">
      <c r="E7222" s="668"/>
      <c r="F7222" s="668"/>
      <c r="G7222" s="668"/>
      <c r="H7222" s="668"/>
      <c r="I7222" s="668"/>
      <c r="J7222" s="668"/>
      <c r="K7222" s="668"/>
      <c r="L7222" s="668"/>
      <c r="M7222" s="668"/>
    </row>
    <row r="7223" spans="5:13">
      <c r="E7223" s="668"/>
      <c r="F7223" s="668"/>
      <c r="G7223" s="668"/>
      <c r="H7223" s="668"/>
      <c r="I7223" s="668"/>
      <c r="J7223" s="668"/>
      <c r="K7223" s="668"/>
      <c r="L7223" s="668"/>
      <c r="M7223" s="668"/>
    </row>
    <row r="7224" spans="5:13">
      <c r="E7224" s="668"/>
      <c r="F7224" s="668"/>
      <c r="G7224" s="668"/>
      <c r="H7224" s="668"/>
      <c r="I7224" s="668"/>
      <c r="J7224" s="668"/>
      <c r="K7224" s="668"/>
      <c r="L7224" s="668"/>
      <c r="M7224" s="668"/>
    </row>
    <row r="7225" spans="5:13">
      <c r="E7225" s="668"/>
      <c r="F7225" s="668"/>
      <c r="G7225" s="668"/>
      <c r="H7225" s="668"/>
      <c r="I7225" s="668"/>
      <c r="J7225" s="668"/>
      <c r="K7225" s="668"/>
      <c r="L7225" s="668"/>
      <c r="M7225" s="668"/>
    </row>
    <row r="7226" spans="5:13">
      <c r="E7226" s="668"/>
      <c r="F7226" s="668"/>
      <c r="G7226" s="668"/>
      <c r="H7226" s="668"/>
      <c r="I7226" s="668"/>
      <c r="J7226" s="668"/>
      <c r="K7226" s="668"/>
      <c r="L7226" s="668"/>
      <c r="M7226" s="668"/>
    </row>
    <row r="7227" spans="5:13">
      <c r="E7227" s="668"/>
      <c r="F7227" s="668"/>
      <c r="G7227" s="668"/>
      <c r="H7227" s="668"/>
      <c r="I7227" s="668"/>
      <c r="J7227" s="668"/>
      <c r="K7227" s="668"/>
      <c r="L7227" s="668"/>
      <c r="M7227" s="668"/>
    </row>
    <row r="7228" spans="5:13">
      <c r="E7228" s="668"/>
      <c r="F7228" s="668"/>
      <c r="G7228" s="668"/>
      <c r="H7228" s="668"/>
      <c r="I7228" s="668"/>
      <c r="J7228" s="668"/>
      <c r="K7228" s="668"/>
      <c r="L7228" s="668"/>
      <c r="M7228" s="668"/>
    </row>
    <row r="7229" spans="5:13">
      <c r="E7229" s="668"/>
      <c r="F7229" s="668"/>
      <c r="G7229" s="668"/>
      <c r="H7229" s="668"/>
      <c r="I7229" s="668"/>
      <c r="J7229" s="668"/>
      <c r="K7229" s="668"/>
      <c r="L7229" s="668"/>
      <c r="M7229" s="668"/>
    </row>
    <row r="7230" spans="5:13">
      <c r="E7230" s="668"/>
      <c r="F7230" s="668"/>
      <c r="G7230" s="668"/>
      <c r="H7230" s="668"/>
      <c r="I7230" s="668"/>
      <c r="J7230" s="668"/>
      <c r="K7230" s="668"/>
      <c r="L7230" s="668"/>
      <c r="M7230" s="668"/>
    </row>
    <row r="7231" spans="5:13">
      <c r="E7231" s="668"/>
      <c r="F7231" s="668"/>
      <c r="G7231" s="668"/>
      <c r="H7231" s="668"/>
      <c r="I7231" s="668"/>
      <c r="J7231" s="668"/>
      <c r="K7231" s="668"/>
      <c r="L7231" s="668"/>
      <c r="M7231" s="668"/>
    </row>
    <row r="7232" spans="5:13">
      <c r="E7232" s="668"/>
      <c r="F7232" s="668"/>
      <c r="G7232" s="668"/>
      <c r="H7232" s="668"/>
      <c r="I7232" s="668"/>
      <c r="J7232" s="668"/>
      <c r="K7232" s="668"/>
      <c r="L7232" s="668"/>
      <c r="M7232" s="668"/>
    </row>
    <row r="7233" spans="5:13">
      <c r="E7233" s="668"/>
      <c r="F7233" s="668"/>
      <c r="G7233" s="668"/>
      <c r="H7233" s="668"/>
      <c r="I7233" s="668"/>
      <c r="J7233" s="668"/>
      <c r="K7233" s="668"/>
      <c r="L7233" s="668"/>
      <c r="M7233" s="668"/>
    </row>
    <row r="7234" spans="5:13">
      <c r="E7234" s="668"/>
      <c r="F7234" s="668"/>
      <c r="G7234" s="668"/>
      <c r="H7234" s="668"/>
      <c r="I7234" s="668"/>
      <c r="J7234" s="668"/>
      <c r="K7234" s="668"/>
      <c r="L7234" s="668"/>
      <c r="M7234" s="668"/>
    </row>
    <row r="7235" spans="5:13">
      <c r="E7235" s="668"/>
      <c r="F7235" s="668"/>
      <c r="G7235" s="668"/>
      <c r="H7235" s="668"/>
      <c r="I7235" s="668"/>
      <c r="J7235" s="668"/>
      <c r="K7235" s="668"/>
      <c r="L7235" s="668"/>
      <c r="M7235" s="668"/>
    </row>
    <row r="7236" spans="5:13">
      <c r="E7236" s="668"/>
      <c r="F7236" s="668"/>
      <c r="G7236" s="668"/>
      <c r="H7236" s="668"/>
      <c r="I7236" s="668"/>
      <c r="J7236" s="668"/>
      <c r="K7236" s="668"/>
      <c r="L7236" s="668"/>
      <c r="M7236" s="668"/>
    </row>
    <row r="7237" spans="5:13">
      <c r="E7237" s="668"/>
      <c r="F7237" s="668"/>
      <c r="G7237" s="668"/>
      <c r="H7237" s="668"/>
      <c r="I7237" s="668"/>
      <c r="J7237" s="668"/>
      <c r="K7237" s="668"/>
      <c r="L7237" s="668"/>
      <c r="M7237" s="668"/>
    </row>
    <row r="7238" spans="5:13">
      <c r="E7238" s="668"/>
      <c r="F7238" s="668"/>
      <c r="G7238" s="668"/>
      <c r="H7238" s="668"/>
      <c r="I7238" s="668"/>
      <c r="J7238" s="668"/>
      <c r="K7238" s="668"/>
      <c r="L7238" s="668"/>
      <c r="M7238" s="668"/>
    </row>
    <row r="7239" spans="5:13">
      <c r="E7239" s="668"/>
      <c r="F7239" s="668"/>
      <c r="G7239" s="668"/>
      <c r="H7239" s="668"/>
      <c r="I7239" s="668"/>
      <c r="J7239" s="668"/>
      <c r="K7239" s="668"/>
      <c r="L7239" s="668"/>
      <c r="M7239" s="668"/>
    </row>
    <row r="7240" spans="5:13">
      <c r="E7240" s="668"/>
      <c r="F7240" s="668"/>
      <c r="G7240" s="668"/>
      <c r="H7240" s="668"/>
      <c r="I7240" s="668"/>
      <c r="J7240" s="668"/>
      <c r="K7240" s="668"/>
      <c r="L7240" s="668"/>
      <c r="M7240" s="668"/>
    </row>
    <row r="7241" spans="5:13">
      <c r="E7241" s="668"/>
      <c r="F7241" s="668"/>
      <c r="G7241" s="668"/>
      <c r="H7241" s="668"/>
      <c r="I7241" s="668"/>
      <c r="J7241" s="668"/>
      <c r="K7241" s="668"/>
      <c r="L7241" s="668"/>
      <c r="M7241" s="668"/>
    </row>
    <row r="7242" spans="5:13">
      <c r="E7242" s="668"/>
      <c r="F7242" s="668"/>
      <c r="G7242" s="668"/>
      <c r="H7242" s="668"/>
      <c r="I7242" s="668"/>
      <c r="J7242" s="668"/>
      <c r="K7242" s="668"/>
      <c r="L7242" s="668"/>
      <c r="M7242" s="668"/>
    </row>
    <row r="7243" spans="5:13">
      <c r="E7243" s="668"/>
      <c r="F7243" s="668"/>
      <c r="G7243" s="668"/>
      <c r="H7243" s="668"/>
      <c r="I7243" s="668"/>
      <c r="J7243" s="668"/>
      <c r="K7243" s="668"/>
      <c r="L7243" s="668"/>
      <c r="M7243" s="668"/>
    </row>
    <row r="7244" spans="5:13">
      <c r="E7244" s="668"/>
      <c r="F7244" s="668"/>
      <c r="G7244" s="668"/>
      <c r="H7244" s="668"/>
      <c r="I7244" s="668"/>
      <c r="J7244" s="668"/>
      <c r="K7244" s="668"/>
      <c r="L7244" s="668"/>
      <c r="M7244" s="668"/>
    </row>
    <row r="7245" spans="5:13">
      <c r="E7245" s="668"/>
      <c r="F7245" s="668"/>
      <c r="G7245" s="668"/>
      <c r="H7245" s="668"/>
      <c r="I7245" s="668"/>
      <c r="J7245" s="668"/>
      <c r="K7245" s="668"/>
      <c r="L7245" s="668"/>
      <c r="M7245" s="668"/>
    </row>
    <row r="7246" spans="5:13">
      <c r="E7246" s="668"/>
      <c r="F7246" s="668"/>
      <c r="G7246" s="668"/>
      <c r="H7246" s="668"/>
      <c r="I7246" s="668"/>
      <c r="J7246" s="668"/>
      <c r="K7246" s="668"/>
      <c r="L7246" s="668"/>
      <c r="M7246" s="668"/>
    </row>
    <row r="7247" spans="5:13">
      <c r="E7247" s="668"/>
      <c r="F7247" s="668"/>
      <c r="G7247" s="668"/>
      <c r="H7247" s="668"/>
      <c r="I7247" s="668"/>
      <c r="J7247" s="668"/>
      <c r="K7247" s="668"/>
      <c r="L7247" s="668"/>
      <c r="M7247" s="668"/>
    </row>
    <row r="7248" spans="5:13">
      <c r="E7248" s="668"/>
      <c r="F7248" s="668"/>
      <c r="G7248" s="668"/>
      <c r="H7248" s="668"/>
      <c r="I7248" s="668"/>
      <c r="J7248" s="668"/>
      <c r="K7248" s="668"/>
      <c r="L7248" s="668"/>
      <c r="M7248" s="668"/>
    </row>
    <row r="7249" spans="5:13">
      <c r="E7249" s="668"/>
      <c r="F7249" s="668"/>
      <c r="G7249" s="668"/>
      <c r="H7249" s="668"/>
      <c r="I7249" s="668"/>
      <c r="J7249" s="668"/>
      <c r="K7249" s="668"/>
      <c r="L7249" s="668"/>
      <c r="M7249" s="668"/>
    </row>
    <row r="7250" spans="5:13">
      <c r="E7250" s="668"/>
      <c r="F7250" s="668"/>
      <c r="G7250" s="668"/>
      <c r="H7250" s="668"/>
      <c r="I7250" s="668"/>
      <c r="J7250" s="668"/>
      <c r="K7250" s="668"/>
      <c r="L7250" s="668"/>
      <c r="M7250" s="668"/>
    </row>
    <row r="7251" spans="5:13">
      <c r="E7251" s="668"/>
      <c r="F7251" s="668"/>
      <c r="G7251" s="668"/>
      <c r="H7251" s="668"/>
      <c r="I7251" s="668"/>
      <c r="J7251" s="668"/>
      <c r="K7251" s="668"/>
      <c r="L7251" s="668"/>
      <c r="M7251" s="668"/>
    </row>
    <row r="7252" spans="5:13">
      <c r="E7252" s="668"/>
      <c r="F7252" s="668"/>
      <c r="G7252" s="668"/>
      <c r="H7252" s="668"/>
      <c r="I7252" s="668"/>
      <c r="J7252" s="668"/>
      <c r="K7252" s="668"/>
      <c r="L7252" s="668"/>
      <c r="M7252" s="668"/>
    </row>
    <row r="7253" spans="5:13">
      <c r="E7253" s="668"/>
      <c r="F7253" s="668"/>
      <c r="G7253" s="668"/>
      <c r="H7253" s="668"/>
      <c r="I7253" s="668"/>
      <c r="J7253" s="668"/>
      <c r="K7253" s="668"/>
      <c r="L7253" s="668"/>
      <c r="M7253" s="668"/>
    </row>
    <row r="7254" spans="5:13">
      <c r="E7254" s="668"/>
      <c r="F7254" s="668"/>
      <c r="G7254" s="668"/>
      <c r="H7254" s="668"/>
      <c r="I7254" s="668"/>
      <c r="J7254" s="668"/>
      <c r="K7254" s="668"/>
      <c r="L7254" s="668"/>
      <c r="M7254" s="668"/>
    </row>
    <row r="7255" spans="5:13">
      <c r="E7255" s="668"/>
      <c r="F7255" s="668"/>
      <c r="G7255" s="668"/>
      <c r="H7255" s="668"/>
      <c r="I7255" s="668"/>
      <c r="J7255" s="668"/>
      <c r="K7255" s="668"/>
      <c r="L7255" s="668"/>
      <c r="M7255" s="668"/>
    </row>
    <row r="7256" spans="5:13">
      <c r="E7256" s="668"/>
      <c r="F7256" s="668"/>
      <c r="G7256" s="668"/>
      <c r="H7256" s="668"/>
      <c r="I7256" s="668"/>
      <c r="J7256" s="668"/>
      <c r="K7256" s="668"/>
      <c r="L7256" s="668"/>
      <c r="M7256" s="668"/>
    </row>
    <row r="7257" spans="5:13">
      <c r="E7257" s="668"/>
      <c r="F7257" s="668"/>
      <c r="G7257" s="668"/>
      <c r="H7257" s="668"/>
      <c r="I7257" s="668"/>
      <c r="J7257" s="668"/>
      <c r="K7257" s="668"/>
      <c r="L7257" s="668"/>
      <c r="M7257" s="668"/>
    </row>
    <row r="7258" spans="5:13">
      <c r="E7258" s="668"/>
      <c r="F7258" s="668"/>
      <c r="G7258" s="668"/>
      <c r="H7258" s="668"/>
      <c r="I7258" s="668"/>
      <c r="J7258" s="668"/>
      <c r="K7258" s="668"/>
      <c r="L7258" s="668"/>
      <c r="M7258" s="668"/>
    </row>
    <row r="7259" spans="5:13">
      <c r="E7259" s="668"/>
      <c r="F7259" s="668"/>
      <c r="G7259" s="668"/>
      <c r="H7259" s="668"/>
      <c r="I7259" s="668"/>
      <c r="J7259" s="668"/>
      <c r="K7259" s="668"/>
      <c r="L7259" s="668"/>
      <c r="M7259" s="668"/>
    </row>
    <row r="7260" spans="5:13">
      <c r="E7260" s="668"/>
      <c r="F7260" s="668"/>
      <c r="G7260" s="668"/>
      <c r="H7260" s="668"/>
      <c r="I7260" s="668"/>
      <c r="J7260" s="668"/>
      <c r="K7260" s="668"/>
      <c r="L7260" s="668"/>
      <c r="M7260" s="668"/>
    </row>
    <row r="7261" spans="5:13">
      <c r="E7261" s="668"/>
      <c r="F7261" s="668"/>
      <c r="G7261" s="668"/>
      <c r="H7261" s="668"/>
      <c r="I7261" s="668"/>
      <c r="J7261" s="668"/>
      <c r="K7261" s="668"/>
      <c r="L7261" s="668"/>
      <c r="M7261" s="668"/>
    </row>
    <row r="7262" spans="5:13">
      <c r="E7262" s="668"/>
      <c r="F7262" s="668"/>
      <c r="G7262" s="668"/>
      <c r="H7262" s="668"/>
      <c r="I7262" s="668"/>
      <c r="J7262" s="668"/>
      <c r="K7262" s="668"/>
      <c r="L7262" s="668"/>
      <c r="M7262" s="668"/>
    </row>
    <row r="7263" spans="5:13">
      <c r="E7263" s="668"/>
      <c r="F7263" s="668"/>
      <c r="G7263" s="668"/>
      <c r="H7263" s="668"/>
      <c r="I7263" s="668"/>
      <c r="J7263" s="668"/>
      <c r="K7263" s="668"/>
      <c r="L7263" s="668"/>
      <c r="M7263" s="668"/>
    </row>
    <row r="7264" spans="5:13">
      <c r="E7264" s="668"/>
      <c r="F7264" s="668"/>
      <c r="G7264" s="668"/>
      <c r="H7264" s="668"/>
      <c r="I7264" s="668"/>
      <c r="J7264" s="668"/>
      <c r="K7264" s="668"/>
      <c r="L7264" s="668"/>
      <c r="M7264" s="668"/>
    </row>
    <row r="7265" spans="5:13">
      <c r="E7265" s="668"/>
      <c r="F7265" s="668"/>
      <c r="G7265" s="668"/>
      <c r="H7265" s="668"/>
      <c r="I7265" s="668"/>
      <c r="J7265" s="668"/>
      <c r="K7265" s="668"/>
      <c r="L7265" s="668"/>
      <c r="M7265" s="668"/>
    </row>
    <row r="7266" spans="5:13">
      <c r="E7266" s="668"/>
      <c r="F7266" s="668"/>
      <c r="G7266" s="668"/>
      <c r="H7266" s="668"/>
      <c r="I7266" s="668"/>
      <c r="J7266" s="668"/>
      <c r="K7266" s="668"/>
      <c r="L7266" s="668"/>
      <c r="M7266" s="668"/>
    </row>
    <row r="7267" spans="5:13">
      <c r="E7267" s="668"/>
      <c r="F7267" s="668"/>
      <c r="G7267" s="668"/>
      <c r="H7267" s="668"/>
      <c r="I7267" s="668"/>
      <c r="J7267" s="668"/>
      <c r="K7267" s="668"/>
      <c r="L7267" s="668"/>
      <c r="M7267" s="668"/>
    </row>
    <row r="7268" spans="5:13">
      <c r="E7268" s="668"/>
      <c r="F7268" s="668"/>
      <c r="G7268" s="668"/>
      <c r="H7268" s="668"/>
      <c r="I7268" s="668"/>
      <c r="J7268" s="668"/>
      <c r="K7268" s="668"/>
      <c r="L7268" s="668"/>
      <c r="M7268" s="668"/>
    </row>
    <row r="7269" spans="5:13">
      <c r="E7269" s="668"/>
      <c r="F7269" s="668"/>
      <c r="G7269" s="668"/>
      <c r="H7269" s="668"/>
      <c r="I7269" s="668"/>
      <c r="J7269" s="668"/>
      <c r="K7269" s="668"/>
      <c r="L7269" s="668"/>
      <c r="M7269" s="668"/>
    </row>
    <row r="7270" spans="5:13">
      <c r="E7270" s="668"/>
      <c r="F7270" s="668"/>
      <c r="G7270" s="668"/>
      <c r="H7270" s="668"/>
      <c r="I7270" s="668"/>
      <c r="J7270" s="668"/>
      <c r="K7270" s="668"/>
      <c r="L7270" s="668"/>
      <c r="M7270" s="668"/>
    </row>
    <row r="7271" spans="5:13">
      <c r="E7271" s="668"/>
      <c r="F7271" s="668"/>
      <c r="G7271" s="668"/>
      <c r="H7271" s="668"/>
      <c r="I7271" s="668"/>
      <c r="J7271" s="668"/>
      <c r="K7271" s="668"/>
      <c r="L7271" s="668"/>
      <c r="M7271" s="668"/>
    </row>
    <row r="7272" spans="5:13">
      <c r="E7272" s="668"/>
      <c r="F7272" s="668"/>
      <c r="G7272" s="668"/>
      <c r="H7272" s="668"/>
      <c r="I7272" s="668"/>
      <c r="J7272" s="668"/>
      <c r="K7272" s="668"/>
      <c r="L7272" s="668"/>
      <c r="M7272" s="668"/>
    </row>
    <row r="7273" spans="5:13">
      <c r="E7273" s="668"/>
      <c r="F7273" s="668"/>
      <c r="G7273" s="668"/>
      <c r="H7273" s="668"/>
      <c r="I7273" s="668"/>
      <c r="J7273" s="668"/>
      <c r="K7273" s="668"/>
      <c r="L7273" s="668"/>
      <c r="M7273" s="668"/>
    </row>
    <row r="7274" spans="5:13">
      <c r="E7274" s="668"/>
      <c r="F7274" s="668"/>
      <c r="G7274" s="668"/>
      <c r="H7274" s="668"/>
      <c r="I7274" s="668"/>
      <c r="J7274" s="668"/>
      <c r="K7274" s="668"/>
      <c r="L7274" s="668"/>
      <c r="M7274" s="668"/>
    </row>
    <row r="7275" spans="5:13">
      <c r="E7275" s="668"/>
      <c r="F7275" s="668"/>
      <c r="G7275" s="668"/>
      <c r="H7275" s="668"/>
      <c r="I7275" s="668"/>
      <c r="J7275" s="668"/>
      <c r="K7275" s="668"/>
      <c r="L7275" s="668"/>
      <c r="M7275" s="668"/>
    </row>
    <row r="7276" spans="5:13">
      <c r="E7276" s="668"/>
      <c r="F7276" s="668"/>
      <c r="G7276" s="668"/>
      <c r="H7276" s="668"/>
      <c r="I7276" s="668"/>
      <c r="J7276" s="668"/>
      <c r="K7276" s="668"/>
      <c r="L7276" s="668"/>
      <c r="M7276" s="668"/>
    </row>
    <row r="7277" spans="5:13">
      <c r="E7277" s="668"/>
      <c r="F7277" s="668"/>
      <c r="G7277" s="668"/>
      <c r="H7277" s="668"/>
      <c r="I7277" s="668"/>
      <c r="J7277" s="668"/>
      <c r="K7277" s="668"/>
      <c r="L7277" s="668"/>
      <c r="M7277" s="668"/>
    </row>
    <row r="7278" spans="5:13">
      <c r="E7278" s="668"/>
      <c r="F7278" s="668"/>
      <c r="G7278" s="668"/>
      <c r="H7278" s="668"/>
      <c r="I7278" s="668"/>
      <c r="J7278" s="668"/>
      <c r="K7278" s="668"/>
      <c r="L7278" s="668"/>
      <c r="M7278" s="668"/>
    </row>
    <row r="7279" spans="5:13">
      <c r="E7279" s="668"/>
      <c r="F7279" s="668"/>
      <c r="G7279" s="668"/>
      <c r="H7279" s="668"/>
      <c r="I7279" s="668"/>
      <c r="J7279" s="668"/>
      <c r="K7279" s="668"/>
      <c r="L7279" s="668"/>
      <c r="M7279" s="668"/>
    </row>
    <row r="7280" spans="5:13">
      <c r="E7280" s="668"/>
      <c r="F7280" s="668"/>
      <c r="G7280" s="668"/>
      <c r="H7280" s="668"/>
      <c r="I7280" s="668"/>
      <c r="J7280" s="668"/>
      <c r="K7280" s="668"/>
      <c r="L7280" s="668"/>
      <c r="M7280" s="668"/>
    </row>
    <row r="7281" spans="5:13">
      <c r="E7281" s="668"/>
      <c r="F7281" s="668"/>
      <c r="G7281" s="668"/>
      <c r="H7281" s="668"/>
      <c r="I7281" s="668"/>
      <c r="J7281" s="668"/>
      <c r="K7281" s="668"/>
      <c r="L7281" s="668"/>
      <c r="M7281" s="668"/>
    </row>
    <row r="7282" spans="5:13">
      <c r="E7282" s="668"/>
      <c r="F7282" s="668"/>
      <c r="G7282" s="668"/>
      <c r="H7282" s="668"/>
      <c r="I7282" s="668"/>
      <c r="J7282" s="668"/>
      <c r="K7282" s="668"/>
      <c r="L7282" s="668"/>
      <c r="M7282" s="668"/>
    </row>
    <row r="7283" spans="5:13">
      <c r="E7283" s="668"/>
      <c r="F7283" s="668"/>
      <c r="G7283" s="668"/>
      <c r="H7283" s="668"/>
      <c r="I7283" s="668"/>
      <c r="J7283" s="668"/>
      <c r="K7283" s="668"/>
      <c r="L7283" s="668"/>
      <c r="M7283" s="668"/>
    </row>
    <row r="7284" spans="5:13">
      <c r="E7284" s="668"/>
      <c r="F7284" s="668"/>
      <c r="G7284" s="668"/>
      <c r="H7284" s="668"/>
      <c r="I7284" s="668"/>
      <c r="J7284" s="668"/>
      <c r="K7284" s="668"/>
      <c r="L7284" s="668"/>
      <c r="M7284" s="668"/>
    </row>
    <row r="7285" spans="5:13">
      <c r="E7285" s="668"/>
      <c r="F7285" s="668"/>
      <c r="G7285" s="668"/>
      <c r="H7285" s="668"/>
      <c r="I7285" s="668"/>
      <c r="J7285" s="668"/>
      <c r="K7285" s="668"/>
      <c r="L7285" s="668"/>
      <c r="M7285" s="668"/>
    </row>
    <row r="7286" spans="5:13">
      <c r="E7286" s="668"/>
      <c r="F7286" s="668"/>
      <c r="G7286" s="668"/>
      <c r="H7286" s="668"/>
      <c r="I7286" s="668"/>
      <c r="J7286" s="668"/>
      <c r="K7286" s="668"/>
      <c r="L7286" s="668"/>
      <c r="M7286" s="668"/>
    </row>
    <row r="7287" spans="5:13">
      <c r="E7287" s="668"/>
      <c r="F7287" s="668"/>
      <c r="G7287" s="668"/>
      <c r="H7287" s="668"/>
      <c r="I7287" s="668"/>
      <c r="J7287" s="668"/>
      <c r="K7287" s="668"/>
      <c r="L7287" s="668"/>
      <c r="M7287" s="668"/>
    </row>
    <row r="7288" spans="5:13">
      <c r="E7288" s="668"/>
      <c r="F7288" s="668"/>
      <c r="G7288" s="668"/>
      <c r="H7288" s="668"/>
      <c r="I7288" s="668"/>
      <c r="J7288" s="668"/>
      <c r="K7288" s="668"/>
      <c r="L7288" s="668"/>
      <c r="M7288" s="668"/>
    </row>
    <row r="7289" spans="5:13">
      <c r="E7289" s="668"/>
      <c r="F7289" s="668"/>
      <c r="G7289" s="668"/>
      <c r="H7289" s="668"/>
      <c r="I7289" s="668"/>
      <c r="J7289" s="668"/>
      <c r="K7289" s="668"/>
      <c r="L7289" s="668"/>
      <c r="M7289" s="668"/>
    </row>
    <row r="7290" spans="5:13">
      <c r="E7290" s="668"/>
      <c r="F7290" s="668"/>
      <c r="G7290" s="668"/>
      <c r="H7290" s="668"/>
      <c r="I7290" s="668"/>
      <c r="J7290" s="668"/>
      <c r="K7290" s="668"/>
      <c r="L7290" s="668"/>
      <c r="M7290" s="668"/>
    </row>
    <row r="7291" spans="5:13">
      <c r="E7291" s="668"/>
      <c r="F7291" s="668"/>
      <c r="G7291" s="668"/>
      <c r="H7291" s="668"/>
      <c r="I7291" s="668"/>
      <c r="J7291" s="668"/>
      <c r="K7291" s="668"/>
      <c r="L7291" s="668"/>
      <c r="M7291" s="668"/>
    </row>
    <row r="7292" spans="5:13">
      <c r="E7292" s="668"/>
      <c r="F7292" s="668"/>
      <c r="G7292" s="668"/>
      <c r="H7292" s="668"/>
      <c r="I7292" s="668"/>
      <c r="J7292" s="668"/>
      <c r="K7292" s="668"/>
      <c r="L7292" s="668"/>
      <c r="M7292" s="668"/>
    </row>
    <row r="7293" spans="5:13">
      <c r="E7293" s="668"/>
      <c r="F7293" s="668"/>
      <c r="G7293" s="668"/>
      <c r="H7293" s="668"/>
      <c r="I7293" s="668"/>
      <c r="J7293" s="668"/>
      <c r="K7293" s="668"/>
      <c r="L7293" s="668"/>
      <c r="M7293" s="668"/>
    </row>
    <row r="7294" spans="5:13">
      <c r="E7294" s="668"/>
      <c r="F7294" s="668"/>
      <c r="G7294" s="668"/>
      <c r="H7294" s="668"/>
      <c r="I7294" s="668"/>
      <c r="J7294" s="668"/>
      <c r="K7294" s="668"/>
      <c r="L7294" s="668"/>
      <c r="M7294" s="668"/>
    </row>
    <row r="7295" spans="5:13">
      <c r="E7295" s="668"/>
      <c r="F7295" s="668"/>
      <c r="G7295" s="668"/>
      <c r="H7295" s="668"/>
      <c r="I7295" s="668"/>
      <c r="J7295" s="668"/>
      <c r="K7295" s="668"/>
      <c r="L7295" s="668"/>
      <c r="M7295" s="668"/>
    </row>
    <row r="7296" spans="5:13">
      <c r="E7296" s="668"/>
      <c r="F7296" s="668"/>
      <c r="G7296" s="668"/>
      <c r="H7296" s="668"/>
      <c r="I7296" s="668"/>
      <c r="J7296" s="668"/>
      <c r="K7296" s="668"/>
      <c r="L7296" s="668"/>
      <c r="M7296" s="668"/>
    </row>
    <row r="7297" spans="5:13">
      <c r="E7297" s="668"/>
      <c r="F7297" s="668"/>
      <c r="G7297" s="668"/>
      <c r="H7297" s="668"/>
      <c r="I7297" s="668"/>
      <c r="J7297" s="668"/>
      <c r="K7297" s="668"/>
      <c r="L7297" s="668"/>
      <c r="M7297" s="668"/>
    </row>
    <row r="7298" spans="5:13">
      <c r="E7298" s="668"/>
      <c r="F7298" s="668"/>
      <c r="G7298" s="668"/>
      <c r="H7298" s="668"/>
      <c r="I7298" s="668"/>
      <c r="J7298" s="668"/>
      <c r="K7298" s="668"/>
      <c r="L7298" s="668"/>
      <c r="M7298" s="668"/>
    </row>
    <row r="7299" spans="5:13">
      <c r="E7299" s="668"/>
      <c r="F7299" s="668"/>
      <c r="G7299" s="668"/>
      <c r="H7299" s="668"/>
      <c r="I7299" s="668"/>
      <c r="J7299" s="668"/>
      <c r="K7299" s="668"/>
      <c r="L7299" s="668"/>
      <c r="M7299" s="668"/>
    </row>
    <row r="7300" spans="5:13">
      <c r="E7300" s="668"/>
      <c r="F7300" s="668"/>
      <c r="G7300" s="668"/>
      <c r="H7300" s="668"/>
      <c r="I7300" s="668"/>
      <c r="J7300" s="668"/>
      <c r="K7300" s="668"/>
      <c r="L7300" s="668"/>
      <c r="M7300" s="668"/>
    </row>
    <row r="7301" spans="5:13">
      <c r="E7301" s="668"/>
      <c r="F7301" s="668"/>
      <c r="G7301" s="668"/>
      <c r="H7301" s="668"/>
      <c r="I7301" s="668"/>
      <c r="J7301" s="668"/>
      <c r="K7301" s="668"/>
      <c r="L7301" s="668"/>
      <c r="M7301" s="668"/>
    </row>
    <row r="7302" spans="5:13">
      <c r="E7302" s="668"/>
      <c r="F7302" s="668"/>
      <c r="G7302" s="668"/>
      <c r="H7302" s="668"/>
      <c r="I7302" s="668"/>
      <c r="J7302" s="668"/>
      <c r="K7302" s="668"/>
      <c r="L7302" s="668"/>
      <c r="M7302" s="668"/>
    </row>
    <row r="7303" spans="5:13">
      <c r="E7303" s="668"/>
      <c r="F7303" s="668"/>
      <c r="G7303" s="668"/>
      <c r="H7303" s="668"/>
      <c r="I7303" s="668"/>
      <c r="J7303" s="668"/>
      <c r="K7303" s="668"/>
      <c r="L7303" s="668"/>
      <c r="M7303" s="668"/>
    </row>
    <row r="7304" spans="5:13">
      <c r="E7304" s="668"/>
      <c r="F7304" s="668"/>
      <c r="G7304" s="668"/>
      <c r="H7304" s="668"/>
      <c r="I7304" s="668"/>
      <c r="J7304" s="668"/>
      <c r="K7304" s="668"/>
      <c r="L7304" s="668"/>
      <c r="M7304" s="668"/>
    </row>
    <row r="7305" spans="5:13">
      <c r="E7305" s="668"/>
      <c r="F7305" s="668"/>
      <c r="G7305" s="668"/>
      <c r="H7305" s="668"/>
      <c r="I7305" s="668"/>
      <c r="J7305" s="668"/>
      <c r="K7305" s="668"/>
      <c r="L7305" s="668"/>
      <c r="M7305" s="668"/>
    </row>
    <row r="7306" spans="5:13">
      <c r="E7306" s="668"/>
      <c r="F7306" s="668"/>
      <c r="G7306" s="668"/>
      <c r="H7306" s="668"/>
      <c r="I7306" s="668"/>
      <c r="J7306" s="668"/>
      <c r="K7306" s="668"/>
      <c r="L7306" s="668"/>
      <c r="M7306" s="668"/>
    </row>
    <row r="7307" spans="5:13">
      <c r="E7307" s="668"/>
      <c r="F7307" s="668"/>
      <c r="G7307" s="668"/>
      <c r="H7307" s="668"/>
      <c r="I7307" s="668"/>
      <c r="J7307" s="668"/>
      <c r="K7307" s="668"/>
      <c r="L7307" s="668"/>
      <c r="M7307" s="668"/>
    </row>
    <row r="7308" spans="5:13">
      <c r="E7308" s="668"/>
      <c r="F7308" s="668"/>
      <c r="G7308" s="668"/>
      <c r="H7308" s="668"/>
      <c r="I7308" s="668"/>
      <c r="J7308" s="668"/>
      <c r="K7308" s="668"/>
      <c r="L7308" s="668"/>
      <c r="M7308" s="668"/>
    </row>
    <row r="7309" spans="5:13">
      <c r="E7309" s="668"/>
      <c r="F7309" s="668"/>
      <c r="G7309" s="668"/>
      <c r="H7309" s="668"/>
      <c r="I7309" s="668"/>
      <c r="J7309" s="668"/>
      <c r="K7309" s="668"/>
      <c r="L7309" s="668"/>
      <c r="M7309" s="668"/>
    </row>
    <row r="7310" spans="5:13">
      <c r="E7310" s="668"/>
      <c r="F7310" s="668"/>
      <c r="G7310" s="668"/>
      <c r="H7310" s="668"/>
      <c r="I7310" s="668"/>
      <c r="J7310" s="668"/>
      <c r="K7310" s="668"/>
      <c r="L7310" s="668"/>
      <c r="M7310" s="668"/>
    </row>
    <row r="7311" spans="5:13">
      <c r="E7311" s="668"/>
      <c r="F7311" s="668"/>
      <c r="G7311" s="668"/>
      <c r="H7311" s="668"/>
      <c r="I7311" s="668"/>
      <c r="J7311" s="668"/>
      <c r="K7311" s="668"/>
      <c r="L7311" s="668"/>
      <c r="M7311" s="668"/>
    </row>
    <row r="7312" spans="5:13">
      <c r="E7312" s="668"/>
      <c r="F7312" s="668"/>
      <c r="G7312" s="668"/>
      <c r="H7312" s="668"/>
      <c r="I7312" s="668"/>
      <c r="J7312" s="668"/>
      <c r="K7312" s="668"/>
      <c r="L7312" s="668"/>
      <c r="M7312" s="668"/>
    </row>
    <row r="7313" spans="5:13">
      <c r="E7313" s="668"/>
      <c r="F7313" s="668"/>
      <c r="G7313" s="668"/>
      <c r="H7313" s="668"/>
      <c r="I7313" s="668"/>
      <c r="J7313" s="668"/>
      <c r="K7313" s="668"/>
      <c r="L7313" s="668"/>
      <c r="M7313" s="668"/>
    </row>
    <row r="7314" spans="5:13">
      <c r="E7314" s="668"/>
      <c r="F7314" s="668"/>
      <c r="G7314" s="668"/>
      <c r="H7314" s="668"/>
      <c r="I7314" s="668"/>
      <c r="J7314" s="668"/>
      <c r="K7314" s="668"/>
      <c r="L7314" s="668"/>
      <c r="M7314" s="668"/>
    </row>
    <row r="7315" spans="5:13">
      <c r="E7315" s="668"/>
      <c r="F7315" s="668"/>
      <c r="G7315" s="668"/>
      <c r="H7315" s="668"/>
      <c r="I7315" s="668"/>
      <c r="J7315" s="668"/>
      <c r="K7315" s="668"/>
      <c r="L7315" s="668"/>
      <c r="M7315" s="668"/>
    </row>
    <row r="7316" spans="5:13">
      <c r="E7316" s="668"/>
      <c r="F7316" s="668"/>
      <c r="G7316" s="668"/>
      <c r="H7316" s="668"/>
      <c r="I7316" s="668"/>
      <c r="J7316" s="668"/>
      <c r="K7316" s="668"/>
      <c r="L7316" s="668"/>
      <c r="M7316" s="668"/>
    </row>
    <row r="7317" spans="5:13">
      <c r="E7317" s="668"/>
      <c r="F7317" s="668"/>
      <c r="G7317" s="668"/>
      <c r="H7317" s="668"/>
      <c r="I7317" s="668"/>
      <c r="J7317" s="668"/>
      <c r="K7317" s="668"/>
      <c r="L7317" s="668"/>
      <c r="M7317" s="668"/>
    </row>
    <row r="7318" spans="5:13">
      <c r="E7318" s="668"/>
      <c r="F7318" s="668"/>
      <c r="G7318" s="668"/>
      <c r="H7318" s="668"/>
      <c r="I7318" s="668"/>
      <c r="J7318" s="668"/>
      <c r="K7318" s="668"/>
      <c r="L7318" s="668"/>
      <c r="M7318" s="668"/>
    </row>
    <row r="7319" spans="5:13">
      <c r="E7319" s="668"/>
      <c r="F7319" s="668"/>
      <c r="G7319" s="668"/>
      <c r="H7319" s="668"/>
      <c r="I7319" s="668"/>
      <c r="J7319" s="668"/>
      <c r="K7319" s="668"/>
      <c r="L7319" s="668"/>
      <c r="M7319" s="668"/>
    </row>
    <row r="7320" spans="5:13">
      <c r="E7320" s="668"/>
      <c r="F7320" s="668"/>
      <c r="G7320" s="668"/>
      <c r="H7320" s="668"/>
      <c r="I7320" s="668"/>
      <c r="J7320" s="668"/>
      <c r="K7320" s="668"/>
      <c r="L7320" s="668"/>
      <c r="M7320" s="668"/>
    </row>
    <row r="7321" spans="5:13">
      <c r="E7321" s="668"/>
      <c r="F7321" s="668"/>
      <c r="G7321" s="668"/>
      <c r="H7321" s="668"/>
      <c r="I7321" s="668"/>
      <c r="J7321" s="668"/>
      <c r="K7321" s="668"/>
      <c r="L7321" s="668"/>
      <c r="M7321" s="668"/>
    </row>
    <row r="7322" spans="5:13">
      <c r="E7322" s="668"/>
      <c r="F7322" s="668"/>
      <c r="G7322" s="668"/>
      <c r="H7322" s="668"/>
      <c r="I7322" s="668"/>
      <c r="J7322" s="668"/>
      <c r="K7322" s="668"/>
      <c r="L7322" s="668"/>
      <c r="M7322" s="668"/>
    </row>
    <row r="7323" spans="5:13">
      <c r="E7323" s="668"/>
      <c r="F7323" s="668"/>
      <c r="G7323" s="668"/>
      <c r="H7323" s="668"/>
      <c r="I7323" s="668"/>
      <c r="J7323" s="668"/>
      <c r="K7323" s="668"/>
      <c r="L7323" s="668"/>
      <c r="M7323" s="668"/>
    </row>
    <row r="7324" spans="5:13">
      <c r="E7324" s="668"/>
      <c r="F7324" s="668"/>
      <c r="G7324" s="668"/>
      <c r="H7324" s="668"/>
      <c r="I7324" s="668"/>
      <c r="J7324" s="668"/>
      <c r="K7324" s="668"/>
      <c r="L7324" s="668"/>
      <c r="M7324" s="668"/>
    </row>
    <row r="7325" spans="5:13">
      <c r="E7325" s="668"/>
      <c r="F7325" s="668"/>
      <c r="G7325" s="668"/>
      <c r="H7325" s="668"/>
      <c r="I7325" s="668"/>
      <c r="J7325" s="668"/>
      <c r="K7325" s="668"/>
      <c r="L7325" s="668"/>
      <c r="M7325" s="668"/>
    </row>
    <row r="7326" spans="5:13">
      <c r="E7326" s="668"/>
      <c r="F7326" s="668"/>
      <c r="G7326" s="668"/>
      <c r="H7326" s="668"/>
      <c r="I7326" s="668"/>
      <c r="J7326" s="668"/>
      <c r="K7326" s="668"/>
      <c r="L7326" s="668"/>
      <c r="M7326" s="668"/>
    </row>
    <row r="7327" spans="5:13">
      <c r="E7327" s="668"/>
      <c r="F7327" s="668"/>
      <c r="G7327" s="668"/>
      <c r="H7327" s="668"/>
      <c r="I7327" s="668"/>
      <c r="J7327" s="668"/>
      <c r="K7327" s="668"/>
      <c r="L7327" s="668"/>
      <c r="M7327" s="668"/>
    </row>
    <row r="7328" spans="5:13">
      <c r="E7328" s="668"/>
      <c r="F7328" s="668"/>
      <c r="G7328" s="668"/>
      <c r="H7328" s="668"/>
      <c r="I7328" s="668"/>
      <c r="J7328" s="668"/>
      <c r="K7328" s="668"/>
      <c r="L7328" s="668"/>
      <c r="M7328" s="668"/>
    </row>
    <row r="7329" spans="5:13">
      <c r="E7329" s="668"/>
      <c r="F7329" s="668"/>
      <c r="G7329" s="668"/>
      <c r="H7329" s="668"/>
      <c r="I7329" s="668"/>
      <c r="J7329" s="668"/>
      <c r="K7329" s="668"/>
      <c r="L7329" s="668"/>
      <c r="M7329" s="668"/>
    </row>
    <row r="7330" spans="5:13">
      <c r="E7330" s="668"/>
      <c r="F7330" s="668"/>
      <c r="G7330" s="668"/>
      <c r="H7330" s="668"/>
      <c r="I7330" s="668"/>
      <c r="J7330" s="668"/>
      <c r="K7330" s="668"/>
      <c r="L7330" s="668"/>
      <c r="M7330" s="668"/>
    </row>
    <row r="7331" spans="5:13">
      <c r="E7331" s="668"/>
      <c r="F7331" s="668"/>
      <c r="G7331" s="668"/>
      <c r="H7331" s="668"/>
      <c r="I7331" s="668"/>
      <c r="J7331" s="668"/>
      <c r="K7331" s="668"/>
      <c r="L7331" s="668"/>
      <c r="M7331" s="668"/>
    </row>
    <row r="7332" spans="5:13">
      <c r="E7332" s="668"/>
      <c r="F7332" s="668"/>
      <c r="G7332" s="668"/>
      <c r="H7332" s="668"/>
      <c r="I7332" s="668"/>
      <c r="J7332" s="668"/>
      <c r="K7332" s="668"/>
      <c r="L7332" s="668"/>
      <c r="M7332" s="668"/>
    </row>
    <row r="7333" spans="5:13">
      <c r="E7333" s="668"/>
      <c r="F7333" s="668"/>
      <c r="G7333" s="668"/>
      <c r="H7333" s="668"/>
      <c r="I7333" s="668"/>
      <c r="J7333" s="668"/>
      <c r="K7333" s="668"/>
      <c r="L7333" s="668"/>
      <c r="M7333" s="668"/>
    </row>
    <row r="7334" spans="5:13">
      <c r="E7334" s="668"/>
      <c r="F7334" s="668"/>
      <c r="G7334" s="668"/>
      <c r="H7334" s="668"/>
      <c r="I7334" s="668"/>
      <c r="J7334" s="668"/>
      <c r="K7334" s="668"/>
      <c r="L7334" s="668"/>
      <c r="M7334" s="668"/>
    </row>
    <row r="7335" spans="5:13">
      <c r="E7335" s="668"/>
      <c r="F7335" s="668"/>
      <c r="G7335" s="668"/>
      <c r="H7335" s="668"/>
      <c r="I7335" s="668"/>
      <c r="J7335" s="668"/>
      <c r="K7335" s="668"/>
      <c r="L7335" s="668"/>
      <c r="M7335" s="668"/>
    </row>
    <row r="7336" spans="5:13">
      <c r="E7336" s="668"/>
      <c r="F7336" s="668"/>
      <c r="G7336" s="668"/>
      <c r="H7336" s="668"/>
      <c r="I7336" s="668"/>
      <c r="J7336" s="668"/>
      <c r="K7336" s="668"/>
      <c r="L7336" s="668"/>
      <c r="M7336" s="668"/>
    </row>
    <row r="7337" spans="5:13">
      <c r="E7337" s="668"/>
      <c r="F7337" s="668"/>
      <c r="G7337" s="668"/>
      <c r="H7337" s="668"/>
      <c r="I7337" s="668"/>
      <c r="J7337" s="668"/>
      <c r="K7337" s="668"/>
      <c r="L7337" s="668"/>
      <c r="M7337" s="668"/>
    </row>
    <row r="7338" spans="5:13">
      <c r="E7338" s="668"/>
      <c r="F7338" s="668"/>
      <c r="G7338" s="668"/>
      <c r="H7338" s="668"/>
      <c r="I7338" s="668"/>
      <c r="J7338" s="668"/>
      <c r="K7338" s="668"/>
      <c r="L7338" s="668"/>
      <c r="M7338" s="668"/>
    </row>
    <row r="7339" spans="5:13">
      <c r="E7339" s="668"/>
      <c r="F7339" s="668"/>
      <c r="G7339" s="668"/>
      <c r="H7339" s="668"/>
      <c r="I7339" s="668"/>
      <c r="J7339" s="668"/>
      <c r="K7339" s="668"/>
      <c r="L7339" s="668"/>
      <c r="M7339" s="668"/>
    </row>
    <row r="7340" spans="5:13">
      <c r="E7340" s="668"/>
      <c r="F7340" s="668"/>
      <c r="G7340" s="668"/>
      <c r="H7340" s="668"/>
      <c r="I7340" s="668"/>
      <c r="J7340" s="668"/>
      <c r="K7340" s="668"/>
      <c r="L7340" s="668"/>
      <c r="M7340" s="668"/>
    </row>
    <row r="7341" spans="5:13">
      <c r="E7341" s="668"/>
      <c r="F7341" s="668"/>
      <c r="G7341" s="668"/>
      <c r="H7341" s="668"/>
      <c r="I7341" s="668"/>
      <c r="J7341" s="668"/>
      <c r="K7341" s="668"/>
      <c r="L7341" s="668"/>
      <c r="M7341" s="668"/>
    </row>
    <row r="7342" spans="5:13">
      <c r="E7342" s="668"/>
      <c r="F7342" s="668"/>
      <c r="G7342" s="668"/>
      <c r="H7342" s="668"/>
      <c r="I7342" s="668"/>
      <c r="J7342" s="668"/>
      <c r="K7342" s="668"/>
      <c r="L7342" s="668"/>
      <c r="M7342" s="668"/>
    </row>
    <row r="7343" spans="5:13">
      <c r="E7343" s="668"/>
      <c r="F7343" s="668"/>
      <c r="G7343" s="668"/>
      <c r="H7343" s="668"/>
      <c r="I7343" s="668"/>
      <c r="J7343" s="668"/>
      <c r="K7343" s="668"/>
      <c r="L7343" s="668"/>
      <c r="M7343" s="668"/>
    </row>
    <row r="7344" spans="5:13">
      <c r="E7344" s="668"/>
      <c r="F7344" s="668"/>
      <c r="G7344" s="668"/>
      <c r="H7344" s="668"/>
      <c r="I7344" s="668"/>
      <c r="J7344" s="668"/>
      <c r="K7344" s="668"/>
      <c r="L7344" s="668"/>
      <c r="M7344" s="668"/>
    </row>
    <row r="7345" spans="5:13">
      <c r="E7345" s="668"/>
      <c r="F7345" s="668"/>
      <c r="G7345" s="668"/>
      <c r="H7345" s="668"/>
      <c r="I7345" s="668"/>
      <c r="J7345" s="668"/>
      <c r="K7345" s="668"/>
      <c r="L7345" s="668"/>
      <c r="M7345" s="668"/>
    </row>
    <row r="7346" spans="5:13">
      <c r="E7346" s="668"/>
      <c r="F7346" s="668"/>
      <c r="G7346" s="668"/>
      <c r="H7346" s="668"/>
      <c r="I7346" s="668"/>
      <c r="J7346" s="668"/>
      <c r="K7346" s="668"/>
      <c r="L7346" s="668"/>
      <c r="M7346" s="668"/>
    </row>
    <row r="7347" spans="5:13">
      <c r="E7347" s="668"/>
      <c r="F7347" s="668"/>
      <c r="G7347" s="668"/>
      <c r="H7347" s="668"/>
      <c r="I7347" s="668"/>
      <c r="J7347" s="668"/>
      <c r="K7347" s="668"/>
      <c r="L7347" s="668"/>
      <c r="M7347" s="668"/>
    </row>
    <row r="7348" spans="5:13">
      <c r="E7348" s="668"/>
      <c r="F7348" s="668"/>
      <c r="G7348" s="668"/>
      <c r="H7348" s="668"/>
      <c r="I7348" s="668"/>
      <c r="J7348" s="668"/>
      <c r="K7348" s="668"/>
      <c r="L7348" s="668"/>
      <c r="M7348" s="668"/>
    </row>
    <row r="7349" spans="5:13">
      <c r="E7349" s="668"/>
      <c r="F7349" s="668"/>
      <c r="G7349" s="668"/>
      <c r="H7349" s="668"/>
      <c r="I7349" s="668"/>
      <c r="J7349" s="668"/>
      <c r="K7349" s="668"/>
      <c r="L7349" s="668"/>
      <c r="M7349" s="668"/>
    </row>
    <row r="7350" spans="5:13">
      <c r="E7350" s="668"/>
      <c r="F7350" s="668"/>
      <c r="G7350" s="668"/>
      <c r="H7350" s="668"/>
      <c r="I7350" s="668"/>
      <c r="J7350" s="668"/>
      <c r="K7350" s="668"/>
      <c r="L7350" s="668"/>
      <c r="M7350" s="668"/>
    </row>
    <row r="7351" spans="5:13">
      <c r="E7351" s="668"/>
      <c r="F7351" s="668"/>
      <c r="G7351" s="668"/>
      <c r="H7351" s="668"/>
      <c r="I7351" s="668"/>
      <c r="J7351" s="668"/>
      <c r="K7351" s="668"/>
      <c r="L7351" s="668"/>
      <c r="M7351" s="668"/>
    </row>
    <row r="7352" spans="5:13">
      <c r="E7352" s="668"/>
      <c r="F7352" s="668"/>
      <c r="G7352" s="668"/>
      <c r="H7352" s="668"/>
      <c r="I7352" s="668"/>
      <c r="J7352" s="668"/>
      <c r="K7352" s="668"/>
      <c r="L7352" s="668"/>
      <c r="M7352" s="668"/>
    </row>
    <row r="7353" spans="5:13">
      <c r="E7353" s="668"/>
      <c r="F7353" s="668"/>
      <c r="G7353" s="668"/>
      <c r="H7353" s="668"/>
      <c r="I7353" s="668"/>
      <c r="J7353" s="668"/>
      <c r="K7353" s="668"/>
      <c r="L7353" s="668"/>
      <c r="M7353" s="668"/>
    </row>
    <row r="7354" spans="5:13">
      <c r="E7354" s="668"/>
      <c r="F7354" s="668"/>
      <c r="G7354" s="668"/>
      <c r="H7354" s="668"/>
      <c r="I7354" s="668"/>
      <c r="J7354" s="668"/>
      <c r="K7354" s="668"/>
      <c r="L7354" s="668"/>
      <c r="M7354" s="668"/>
    </row>
    <row r="7355" spans="5:13">
      <c r="E7355" s="668"/>
      <c r="F7355" s="668"/>
      <c r="G7355" s="668"/>
      <c r="H7355" s="668"/>
      <c r="I7355" s="668"/>
      <c r="J7355" s="668"/>
      <c r="K7355" s="668"/>
      <c r="L7355" s="668"/>
      <c r="M7355" s="668"/>
    </row>
    <row r="7356" spans="5:13">
      <c r="E7356" s="668"/>
      <c r="F7356" s="668"/>
      <c r="G7356" s="668"/>
      <c r="H7356" s="668"/>
      <c r="I7356" s="668"/>
      <c r="J7356" s="668"/>
      <c r="K7356" s="668"/>
      <c r="L7356" s="668"/>
      <c r="M7356" s="668"/>
    </row>
    <row r="7357" spans="5:13">
      <c r="E7357" s="668"/>
      <c r="F7357" s="668"/>
      <c r="G7357" s="668"/>
      <c r="H7357" s="668"/>
      <c r="I7357" s="668"/>
      <c r="J7357" s="668"/>
      <c r="K7357" s="668"/>
      <c r="L7357" s="668"/>
      <c r="M7357" s="668"/>
    </row>
    <row r="7358" spans="5:13">
      <c r="E7358" s="668"/>
      <c r="F7358" s="668"/>
      <c r="G7358" s="668"/>
      <c r="H7358" s="668"/>
      <c r="I7358" s="668"/>
      <c r="J7358" s="668"/>
      <c r="K7358" s="668"/>
      <c r="L7358" s="668"/>
      <c r="M7358" s="668"/>
    </row>
    <row r="7359" spans="5:13">
      <c r="E7359" s="668"/>
      <c r="F7359" s="668"/>
      <c r="G7359" s="668"/>
      <c r="H7359" s="668"/>
      <c r="I7359" s="668"/>
      <c r="J7359" s="668"/>
      <c r="K7359" s="668"/>
      <c r="L7359" s="668"/>
      <c r="M7359" s="668"/>
    </row>
    <row r="7360" spans="5:13">
      <c r="E7360" s="668"/>
      <c r="F7360" s="668"/>
      <c r="G7360" s="668"/>
      <c r="H7360" s="668"/>
      <c r="I7360" s="668"/>
      <c r="J7360" s="668"/>
      <c r="K7360" s="668"/>
      <c r="L7360" s="668"/>
      <c r="M7360" s="668"/>
    </row>
    <row r="7361" spans="5:13">
      <c r="E7361" s="668"/>
      <c r="F7361" s="668"/>
      <c r="G7361" s="668"/>
      <c r="H7361" s="668"/>
      <c r="I7361" s="668"/>
      <c r="J7361" s="668"/>
      <c r="K7361" s="668"/>
      <c r="L7361" s="668"/>
      <c r="M7361" s="668"/>
    </row>
    <row r="7362" spans="5:13">
      <c r="E7362" s="668"/>
      <c r="F7362" s="668"/>
      <c r="G7362" s="668"/>
      <c r="H7362" s="668"/>
      <c r="I7362" s="668"/>
      <c r="J7362" s="668"/>
      <c r="K7362" s="668"/>
      <c r="L7362" s="668"/>
      <c r="M7362" s="668"/>
    </row>
    <row r="7363" spans="5:13">
      <c r="E7363" s="668"/>
      <c r="F7363" s="668"/>
      <c r="G7363" s="668"/>
      <c r="H7363" s="668"/>
      <c r="I7363" s="668"/>
      <c r="J7363" s="668"/>
      <c r="K7363" s="668"/>
      <c r="L7363" s="668"/>
      <c r="M7363" s="668"/>
    </row>
    <row r="7364" spans="5:13">
      <c r="E7364" s="668"/>
      <c r="F7364" s="668"/>
      <c r="G7364" s="668"/>
      <c r="H7364" s="668"/>
      <c r="I7364" s="668"/>
      <c r="J7364" s="668"/>
      <c r="K7364" s="668"/>
      <c r="L7364" s="668"/>
      <c r="M7364" s="668"/>
    </row>
    <row r="7365" spans="5:13">
      <c r="E7365" s="668"/>
      <c r="F7365" s="668"/>
      <c r="G7365" s="668"/>
      <c r="H7365" s="668"/>
      <c r="I7365" s="668"/>
      <c r="J7365" s="668"/>
      <c r="K7365" s="668"/>
      <c r="L7365" s="668"/>
      <c r="M7365" s="668"/>
    </row>
    <row r="7366" spans="5:13">
      <c r="E7366" s="668"/>
      <c r="F7366" s="668"/>
      <c r="G7366" s="668"/>
      <c r="H7366" s="668"/>
      <c r="I7366" s="668"/>
      <c r="J7366" s="668"/>
      <c r="K7366" s="668"/>
      <c r="L7366" s="668"/>
      <c r="M7366" s="668"/>
    </row>
    <row r="7367" spans="5:13">
      <c r="E7367" s="668"/>
      <c r="F7367" s="668"/>
      <c r="G7367" s="668"/>
      <c r="H7367" s="668"/>
      <c r="I7367" s="668"/>
      <c r="J7367" s="668"/>
      <c r="K7367" s="668"/>
      <c r="L7367" s="668"/>
      <c r="M7367" s="668"/>
    </row>
    <row r="7368" spans="5:13">
      <c r="E7368" s="668"/>
      <c r="F7368" s="668"/>
      <c r="G7368" s="668"/>
      <c r="H7368" s="668"/>
      <c r="I7368" s="668"/>
      <c r="J7368" s="668"/>
      <c r="K7368" s="668"/>
      <c r="L7368" s="668"/>
      <c r="M7368" s="668"/>
    </row>
    <row r="7369" spans="5:13">
      <c r="E7369" s="668"/>
      <c r="F7369" s="668"/>
      <c r="G7369" s="668"/>
      <c r="H7369" s="668"/>
      <c r="I7369" s="668"/>
      <c r="J7369" s="668"/>
      <c r="K7369" s="668"/>
      <c r="L7369" s="668"/>
      <c r="M7369" s="668"/>
    </row>
    <row r="7370" spans="5:13">
      <c r="E7370" s="668"/>
      <c r="F7370" s="668"/>
      <c r="G7370" s="668"/>
      <c r="H7370" s="668"/>
      <c r="I7370" s="668"/>
      <c r="J7370" s="668"/>
      <c r="K7370" s="668"/>
      <c r="L7370" s="668"/>
      <c r="M7370" s="668"/>
    </row>
    <row r="7371" spans="5:13">
      <c r="E7371" s="668"/>
      <c r="F7371" s="668"/>
      <c r="G7371" s="668"/>
      <c r="H7371" s="668"/>
      <c r="I7371" s="668"/>
      <c r="J7371" s="668"/>
      <c r="K7371" s="668"/>
      <c r="L7371" s="668"/>
      <c r="M7371" s="668"/>
    </row>
    <row r="7372" spans="5:13">
      <c r="E7372" s="668"/>
      <c r="F7372" s="668"/>
      <c r="G7372" s="668"/>
      <c r="H7372" s="668"/>
      <c r="I7372" s="668"/>
      <c r="J7372" s="668"/>
      <c r="K7372" s="668"/>
      <c r="L7372" s="668"/>
      <c r="M7372" s="668"/>
    </row>
    <row r="7373" spans="5:13">
      <c r="E7373" s="668"/>
      <c r="F7373" s="668"/>
      <c r="G7373" s="668"/>
      <c r="H7373" s="668"/>
      <c r="I7373" s="668"/>
      <c r="J7373" s="668"/>
      <c r="K7373" s="668"/>
      <c r="L7373" s="668"/>
      <c r="M7373" s="668"/>
    </row>
    <row r="7374" spans="5:13">
      <c r="E7374" s="668"/>
      <c r="F7374" s="668"/>
      <c r="G7374" s="668"/>
      <c r="H7374" s="668"/>
      <c r="I7374" s="668"/>
      <c r="J7374" s="668"/>
      <c r="K7374" s="668"/>
      <c r="L7374" s="668"/>
      <c r="M7374" s="668"/>
    </row>
    <row r="7375" spans="5:13">
      <c r="E7375" s="668"/>
      <c r="F7375" s="668"/>
      <c r="G7375" s="668"/>
      <c r="H7375" s="668"/>
      <c r="I7375" s="668"/>
      <c r="J7375" s="668"/>
      <c r="K7375" s="668"/>
      <c r="L7375" s="668"/>
      <c r="M7375" s="668"/>
    </row>
    <row r="7376" spans="5:13">
      <c r="E7376" s="668"/>
      <c r="F7376" s="668"/>
      <c r="G7376" s="668"/>
      <c r="H7376" s="668"/>
      <c r="I7376" s="668"/>
      <c r="J7376" s="668"/>
      <c r="K7376" s="668"/>
      <c r="L7376" s="668"/>
      <c r="M7376" s="668"/>
    </row>
    <row r="7377" spans="5:13">
      <c r="E7377" s="668"/>
      <c r="F7377" s="668"/>
      <c r="G7377" s="668"/>
      <c r="H7377" s="668"/>
      <c r="I7377" s="668"/>
      <c r="J7377" s="668"/>
      <c r="K7377" s="668"/>
      <c r="L7377" s="668"/>
      <c r="M7377" s="668"/>
    </row>
    <row r="7378" spans="5:13">
      <c r="E7378" s="668"/>
      <c r="F7378" s="668"/>
      <c r="G7378" s="668"/>
      <c r="H7378" s="668"/>
      <c r="I7378" s="668"/>
      <c r="J7378" s="668"/>
      <c r="K7378" s="668"/>
      <c r="L7378" s="668"/>
      <c r="M7378" s="668"/>
    </row>
    <row r="7379" spans="5:13">
      <c r="E7379" s="668"/>
      <c r="F7379" s="668"/>
      <c r="G7379" s="668"/>
      <c r="H7379" s="668"/>
      <c r="I7379" s="668"/>
      <c r="J7379" s="668"/>
      <c r="K7379" s="668"/>
      <c r="L7379" s="668"/>
      <c r="M7379" s="668"/>
    </row>
    <row r="7380" spans="5:13">
      <c r="E7380" s="668"/>
      <c r="F7380" s="668"/>
      <c r="G7380" s="668"/>
      <c r="H7380" s="668"/>
      <c r="I7380" s="668"/>
      <c r="J7380" s="668"/>
      <c r="K7380" s="668"/>
      <c r="L7380" s="668"/>
      <c r="M7380" s="668"/>
    </row>
    <row r="7381" spans="5:13">
      <c r="E7381" s="668"/>
      <c r="F7381" s="668"/>
      <c r="G7381" s="668"/>
      <c r="H7381" s="668"/>
      <c r="I7381" s="668"/>
      <c r="J7381" s="668"/>
      <c r="K7381" s="668"/>
      <c r="L7381" s="668"/>
      <c r="M7381" s="668"/>
    </row>
    <row r="7382" spans="5:13">
      <c r="E7382" s="668"/>
      <c r="F7382" s="668"/>
      <c r="G7382" s="668"/>
      <c r="H7382" s="668"/>
      <c r="I7382" s="668"/>
      <c r="J7382" s="668"/>
      <c r="K7382" s="668"/>
      <c r="L7382" s="668"/>
      <c r="M7382" s="668"/>
    </row>
    <row r="7383" spans="5:13">
      <c r="E7383" s="668"/>
      <c r="F7383" s="668"/>
      <c r="G7383" s="668"/>
      <c r="H7383" s="668"/>
      <c r="I7383" s="668"/>
      <c r="J7383" s="668"/>
      <c r="K7383" s="668"/>
      <c r="L7383" s="668"/>
      <c r="M7383" s="668"/>
    </row>
    <row r="7384" spans="5:13">
      <c r="E7384" s="668"/>
      <c r="F7384" s="668"/>
      <c r="G7384" s="668"/>
      <c r="H7384" s="668"/>
      <c r="I7384" s="668"/>
      <c r="J7384" s="668"/>
      <c r="K7384" s="668"/>
      <c r="L7384" s="668"/>
      <c r="M7384" s="668"/>
    </row>
    <row r="7385" spans="5:13">
      <c r="E7385" s="668"/>
      <c r="F7385" s="668"/>
      <c r="G7385" s="668"/>
      <c r="H7385" s="668"/>
      <c r="I7385" s="668"/>
      <c r="J7385" s="668"/>
      <c r="K7385" s="668"/>
      <c r="L7385" s="668"/>
      <c r="M7385" s="668"/>
    </row>
    <row r="7386" spans="5:13">
      <c r="E7386" s="668"/>
      <c r="F7386" s="668"/>
      <c r="G7386" s="668"/>
      <c r="H7386" s="668"/>
      <c r="I7386" s="668"/>
      <c r="J7386" s="668"/>
      <c r="K7386" s="668"/>
      <c r="L7386" s="668"/>
      <c r="M7386" s="668"/>
    </row>
    <row r="7387" spans="5:13">
      <c r="E7387" s="668"/>
      <c r="F7387" s="668"/>
      <c r="G7387" s="668"/>
      <c r="H7387" s="668"/>
      <c r="I7387" s="668"/>
      <c r="J7387" s="668"/>
      <c r="K7387" s="668"/>
      <c r="L7387" s="668"/>
      <c r="M7387" s="668"/>
    </row>
    <row r="7388" spans="5:13">
      <c r="E7388" s="668"/>
      <c r="F7388" s="668"/>
      <c r="G7388" s="668"/>
      <c r="H7388" s="668"/>
      <c r="I7388" s="668"/>
      <c r="J7388" s="668"/>
      <c r="K7388" s="668"/>
      <c r="L7388" s="668"/>
      <c r="M7388" s="668"/>
    </row>
    <row r="7389" spans="5:13">
      <c r="E7389" s="668"/>
      <c r="F7389" s="668"/>
      <c r="G7389" s="668"/>
      <c r="H7389" s="668"/>
      <c r="I7389" s="668"/>
      <c r="J7389" s="668"/>
      <c r="K7389" s="668"/>
      <c r="L7389" s="668"/>
      <c r="M7389" s="668"/>
    </row>
    <row r="7390" spans="5:13">
      <c r="E7390" s="668"/>
      <c r="F7390" s="668"/>
      <c r="G7390" s="668"/>
      <c r="H7390" s="668"/>
      <c r="I7390" s="668"/>
      <c r="J7390" s="668"/>
      <c r="K7390" s="668"/>
      <c r="L7390" s="668"/>
      <c r="M7390" s="668"/>
    </row>
    <row r="7391" spans="5:13">
      <c r="E7391" s="668"/>
      <c r="F7391" s="668"/>
      <c r="G7391" s="668"/>
      <c r="H7391" s="668"/>
      <c r="I7391" s="668"/>
      <c r="J7391" s="668"/>
      <c r="K7391" s="668"/>
      <c r="L7391" s="668"/>
      <c r="M7391" s="668"/>
    </row>
    <row r="7392" spans="5:13">
      <c r="E7392" s="668"/>
      <c r="F7392" s="668"/>
      <c r="G7392" s="668"/>
      <c r="H7392" s="668"/>
      <c r="I7392" s="668"/>
      <c r="J7392" s="668"/>
      <c r="K7392" s="668"/>
      <c r="L7392" s="668"/>
      <c r="M7392" s="668"/>
    </row>
    <row r="7393" spans="5:13">
      <c r="E7393" s="668"/>
      <c r="F7393" s="668"/>
      <c r="G7393" s="668"/>
      <c r="H7393" s="668"/>
      <c r="I7393" s="668"/>
      <c r="J7393" s="668"/>
      <c r="K7393" s="668"/>
      <c r="L7393" s="668"/>
      <c r="M7393" s="668"/>
    </row>
    <row r="7394" spans="5:13">
      <c r="E7394" s="668"/>
      <c r="F7394" s="668"/>
      <c r="G7394" s="668"/>
      <c r="H7394" s="668"/>
      <c r="I7394" s="668"/>
      <c r="J7394" s="668"/>
      <c r="K7394" s="668"/>
      <c r="L7394" s="668"/>
      <c r="M7394" s="668"/>
    </row>
    <row r="7395" spans="5:13">
      <c r="E7395" s="668"/>
      <c r="F7395" s="668"/>
      <c r="G7395" s="668"/>
      <c r="H7395" s="668"/>
      <c r="I7395" s="668"/>
      <c r="J7395" s="668"/>
      <c r="K7395" s="668"/>
      <c r="L7395" s="668"/>
      <c r="M7395" s="668"/>
    </row>
    <row r="7396" spans="5:13">
      <c r="E7396" s="668"/>
      <c r="F7396" s="668"/>
      <c r="G7396" s="668"/>
      <c r="H7396" s="668"/>
      <c r="I7396" s="668"/>
      <c r="J7396" s="668"/>
      <c r="K7396" s="668"/>
      <c r="L7396" s="668"/>
      <c r="M7396" s="668"/>
    </row>
    <row r="7397" spans="5:13">
      <c r="E7397" s="668"/>
      <c r="F7397" s="668"/>
      <c r="G7397" s="668"/>
      <c r="H7397" s="668"/>
      <c r="I7397" s="668"/>
      <c r="J7397" s="668"/>
      <c r="K7397" s="668"/>
      <c r="L7397" s="668"/>
      <c r="M7397" s="668"/>
    </row>
    <row r="7398" spans="5:13">
      <c r="E7398" s="668"/>
      <c r="F7398" s="668"/>
      <c r="G7398" s="668"/>
      <c r="H7398" s="668"/>
      <c r="I7398" s="668"/>
      <c r="J7398" s="668"/>
      <c r="K7398" s="668"/>
      <c r="L7398" s="668"/>
      <c r="M7398" s="668"/>
    </row>
    <row r="7399" spans="5:13">
      <c r="E7399" s="668"/>
      <c r="F7399" s="668"/>
      <c r="G7399" s="668"/>
      <c r="H7399" s="668"/>
      <c r="I7399" s="668"/>
      <c r="J7399" s="668"/>
      <c r="K7399" s="668"/>
      <c r="L7399" s="668"/>
      <c r="M7399" s="668"/>
    </row>
    <row r="7400" spans="5:13">
      <c r="E7400" s="668"/>
      <c r="F7400" s="668"/>
      <c r="G7400" s="668"/>
      <c r="H7400" s="668"/>
      <c r="I7400" s="668"/>
      <c r="J7400" s="668"/>
      <c r="K7400" s="668"/>
      <c r="L7400" s="668"/>
      <c r="M7400" s="668"/>
    </row>
    <row r="7401" spans="5:13">
      <c r="E7401" s="668"/>
      <c r="F7401" s="668"/>
      <c r="G7401" s="668"/>
      <c r="H7401" s="668"/>
      <c r="I7401" s="668"/>
      <c r="J7401" s="668"/>
      <c r="K7401" s="668"/>
      <c r="L7401" s="668"/>
      <c r="M7401" s="668"/>
    </row>
    <row r="7402" spans="5:13">
      <c r="E7402" s="668"/>
      <c r="F7402" s="668"/>
      <c r="G7402" s="668"/>
      <c r="H7402" s="668"/>
      <c r="I7402" s="668"/>
      <c r="J7402" s="668"/>
      <c r="K7402" s="668"/>
      <c r="L7402" s="668"/>
      <c r="M7402" s="668"/>
    </row>
    <row r="7403" spans="5:13">
      <c r="E7403" s="668"/>
      <c r="F7403" s="668"/>
      <c r="G7403" s="668"/>
      <c r="H7403" s="668"/>
      <c r="I7403" s="668"/>
      <c r="J7403" s="668"/>
      <c r="K7403" s="668"/>
      <c r="L7403" s="668"/>
      <c r="M7403" s="668"/>
    </row>
    <row r="7404" spans="5:13">
      <c r="E7404" s="668"/>
      <c r="F7404" s="668"/>
      <c r="G7404" s="668"/>
      <c r="H7404" s="668"/>
      <c r="I7404" s="668"/>
      <c r="J7404" s="668"/>
      <c r="K7404" s="668"/>
      <c r="L7404" s="668"/>
      <c r="M7404" s="668"/>
    </row>
    <row r="7405" spans="5:13">
      <c r="E7405" s="668"/>
      <c r="F7405" s="668"/>
      <c r="G7405" s="668"/>
      <c r="H7405" s="668"/>
      <c r="I7405" s="668"/>
      <c r="J7405" s="668"/>
      <c r="K7405" s="668"/>
      <c r="L7405" s="668"/>
      <c r="M7405" s="668"/>
    </row>
    <row r="7406" spans="5:13">
      <c r="E7406" s="668"/>
      <c r="F7406" s="668"/>
      <c r="G7406" s="668"/>
      <c r="H7406" s="668"/>
      <c r="I7406" s="668"/>
      <c r="J7406" s="668"/>
      <c r="K7406" s="668"/>
      <c r="L7406" s="668"/>
      <c r="M7406" s="668"/>
    </row>
    <row r="7407" spans="5:13">
      <c r="E7407" s="668"/>
      <c r="F7407" s="668"/>
      <c r="G7407" s="668"/>
      <c r="H7407" s="668"/>
      <c r="I7407" s="668"/>
      <c r="J7407" s="668"/>
      <c r="K7407" s="668"/>
      <c r="L7407" s="668"/>
      <c r="M7407" s="668"/>
    </row>
    <row r="7408" spans="5:13">
      <c r="E7408" s="668"/>
      <c r="F7408" s="668"/>
      <c r="G7408" s="668"/>
      <c r="H7408" s="668"/>
      <c r="I7408" s="668"/>
      <c r="J7408" s="668"/>
      <c r="K7408" s="668"/>
      <c r="L7408" s="668"/>
      <c r="M7408" s="668"/>
    </row>
    <row r="7409" spans="5:13">
      <c r="E7409" s="668"/>
      <c r="F7409" s="668"/>
      <c r="G7409" s="668"/>
      <c r="H7409" s="668"/>
      <c r="I7409" s="668"/>
      <c r="J7409" s="668"/>
      <c r="K7409" s="668"/>
      <c r="L7409" s="668"/>
      <c r="M7409" s="668"/>
    </row>
    <row r="7410" spans="5:13">
      <c r="E7410" s="668"/>
      <c r="F7410" s="668"/>
      <c r="G7410" s="668"/>
      <c r="H7410" s="668"/>
      <c r="I7410" s="668"/>
      <c r="J7410" s="668"/>
      <c r="K7410" s="668"/>
      <c r="L7410" s="668"/>
      <c r="M7410" s="668"/>
    </row>
    <row r="7411" spans="5:13">
      <c r="E7411" s="668"/>
      <c r="F7411" s="668"/>
      <c r="G7411" s="668"/>
      <c r="H7411" s="668"/>
      <c r="I7411" s="668"/>
      <c r="J7411" s="668"/>
      <c r="K7411" s="668"/>
      <c r="L7411" s="668"/>
      <c r="M7411" s="668"/>
    </row>
    <row r="7412" spans="5:13">
      <c r="E7412" s="668"/>
      <c r="F7412" s="668"/>
      <c r="G7412" s="668"/>
      <c r="H7412" s="668"/>
      <c r="I7412" s="668"/>
      <c r="J7412" s="668"/>
      <c r="K7412" s="668"/>
      <c r="L7412" s="668"/>
      <c r="M7412" s="668"/>
    </row>
    <row r="7413" spans="5:13">
      <c r="E7413" s="668"/>
      <c r="F7413" s="668"/>
      <c r="G7413" s="668"/>
      <c r="H7413" s="668"/>
      <c r="I7413" s="668"/>
      <c r="J7413" s="668"/>
      <c r="K7413" s="668"/>
      <c r="L7413" s="668"/>
      <c r="M7413" s="668"/>
    </row>
    <row r="7414" spans="5:13">
      <c r="E7414" s="668"/>
      <c r="F7414" s="668"/>
      <c r="G7414" s="668"/>
      <c r="H7414" s="668"/>
      <c r="I7414" s="668"/>
      <c r="J7414" s="668"/>
      <c r="K7414" s="668"/>
      <c r="L7414" s="668"/>
      <c r="M7414" s="668"/>
    </row>
    <row r="7415" spans="5:13">
      <c r="E7415" s="668"/>
      <c r="F7415" s="668"/>
      <c r="G7415" s="668"/>
      <c r="H7415" s="668"/>
      <c r="I7415" s="668"/>
      <c r="J7415" s="668"/>
      <c r="K7415" s="668"/>
      <c r="L7415" s="668"/>
      <c r="M7415" s="668"/>
    </row>
    <row r="7416" spans="5:13">
      <c r="E7416" s="668"/>
      <c r="F7416" s="668"/>
      <c r="G7416" s="668"/>
      <c r="H7416" s="668"/>
      <c r="I7416" s="668"/>
      <c r="J7416" s="668"/>
      <c r="K7416" s="668"/>
      <c r="L7416" s="668"/>
      <c r="M7416" s="668"/>
    </row>
    <row r="7417" spans="5:13">
      <c r="E7417" s="668"/>
      <c r="F7417" s="668"/>
      <c r="G7417" s="668"/>
      <c r="H7417" s="668"/>
      <c r="I7417" s="668"/>
      <c r="J7417" s="668"/>
      <c r="K7417" s="668"/>
      <c r="L7417" s="668"/>
      <c r="M7417" s="668"/>
    </row>
    <row r="7418" spans="5:13">
      <c r="E7418" s="668"/>
      <c r="F7418" s="668"/>
      <c r="G7418" s="668"/>
      <c r="H7418" s="668"/>
      <c r="I7418" s="668"/>
      <c r="J7418" s="668"/>
      <c r="K7418" s="668"/>
      <c r="L7418" s="668"/>
      <c r="M7418" s="668"/>
    </row>
    <row r="7419" spans="5:13">
      <c r="E7419" s="668"/>
      <c r="F7419" s="668"/>
      <c r="G7419" s="668"/>
      <c r="H7419" s="668"/>
      <c r="I7419" s="668"/>
      <c r="J7419" s="668"/>
      <c r="K7419" s="668"/>
      <c r="L7419" s="668"/>
      <c r="M7419" s="668"/>
    </row>
    <row r="7420" spans="5:13">
      <c r="E7420" s="668"/>
      <c r="F7420" s="668"/>
      <c r="G7420" s="668"/>
      <c r="H7420" s="668"/>
      <c r="I7420" s="668"/>
      <c r="J7420" s="668"/>
      <c r="K7420" s="668"/>
      <c r="L7420" s="668"/>
      <c r="M7420" s="668"/>
    </row>
    <row r="7421" spans="5:13">
      <c r="E7421" s="668"/>
      <c r="F7421" s="668"/>
      <c r="G7421" s="668"/>
      <c r="H7421" s="668"/>
      <c r="I7421" s="668"/>
      <c r="J7421" s="668"/>
      <c r="K7421" s="668"/>
      <c r="L7421" s="668"/>
      <c r="M7421" s="668"/>
    </row>
    <row r="7422" spans="5:13">
      <c r="E7422" s="668"/>
      <c r="F7422" s="668"/>
      <c r="G7422" s="668"/>
      <c r="H7422" s="668"/>
      <c r="I7422" s="668"/>
      <c r="J7422" s="668"/>
      <c r="K7422" s="668"/>
      <c r="L7422" s="668"/>
      <c r="M7422" s="668"/>
    </row>
    <row r="7423" spans="5:13">
      <c r="E7423" s="668"/>
      <c r="F7423" s="668"/>
      <c r="G7423" s="668"/>
      <c r="H7423" s="668"/>
      <c r="I7423" s="668"/>
      <c r="J7423" s="668"/>
      <c r="K7423" s="668"/>
      <c r="L7423" s="668"/>
      <c r="M7423" s="668"/>
    </row>
    <row r="7424" spans="5:13">
      <c r="E7424" s="668"/>
      <c r="F7424" s="668"/>
      <c r="G7424" s="668"/>
      <c r="H7424" s="668"/>
      <c r="I7424" s="668"/>
      <c r="J7424" s="668"/>
      <c r="K7424" s="668"/>
      <c r="L7424" s="668"/>
      <c r="M7424" s="668"/>
    </row>
    <row r="7425" spans="5:13">
      <c r="E7425" s="668"/>
      <c r="F7425" s="668"/>
      <c r="G7425" s="668"/>
      <c r="H7425" s="668"/>
      <c r="I7425" s="668"/>
      <c r="J7425" s="668"/>
      <c r="K7425" s="668"/>
      <c r="L7425" s="668"/>
      <c r="M7425" s="668"/>
    </row>
    <row r="7426" spans="5:13">
      <c r="E7426" s="668"/>
      <c r="F7426" s="668"/>
      <c r="G7426" s="668"/>
      <c r="H7426" s="668"/>
      <c r="I7426" s="668"/>
      <c r="J7426" s="668"/>
      <c r="K7426" s="668"/>
      <c r="L7426" s="668"/>
      <c r="M7426" s="668"/>
    </row>
    <row r="7427" spans="5:13">
      <c r="E7427" s="668"/>
      <c r="F7427" s="668"/>
      <c r="G7427" s="668"/>
      <c r="H7427" s="668"/>
      <c r="I7427" s="668"/>
      <c r="J7427" s="668"/>
      <c r="K7427" s="668"/>
      <c r="L7427" s="668"/>
      <c r="M7427" s="668"/>
    </row>
    <row r="7428" spans="5:13">
      <c r="E7428" s="668"/>
      <c r="F7428" s="668"/>
      <c r="G7428" s="668"/>
      <c r="H7428" s="668"/>
      <c r="I7428" s="668"/>
      <c r="J7428" s="668"/>
      <c r="K7428" s="668"/>
      <c r="L7428" s="668"/>
      <c r="M7428" s="668"/>
    </row>
    <row r="7429" spans="5:13">
      <c r="E7429" s="668"/>
      <c r="F7429" s="668"/>
      <c r="G7429" s="668"/>
      <c r="H7429" s="668"/>
      <c r="I7429" s="668"/>
      <c r="J7429" s="668"/>
      <c r="K7429" s="668"/>
      <c r="L7429" s="668"/>
      <c r="M7429" s="668"/>
    </row>
    <row r="7430" spans="5:13">
      <c r="E7430" s="668"/>
      <c r="F7430" s="668"/>
      <c r="G7430" s="668"/>
      <c r="H7430" s="668"/>
      <c r="I7430" s="668"/>
      <c r="J7430" s="668"/>
      <c r="K7430" s="668"/>
      <c r="L7430" s="668"/>
      <c r="M7430" s="668"/>
    </row>
    <row r="7431" spans="5:13">
      <c r="E7431" s="668"/>
      <c r="F7431" s="668"/>
      <c r="G7431" s="668"/>
      <c r="H7431" s="668"/>
      <c r="I7431" s="668"/>
      <c r="J7431" s="668"/>
      <c r="K7431" s="668"/>
      <c r="L7431" s="668"/>
      <c r="M7431" s="668"/>
    </row>
    <row r="7432" spans="5:13">
      <c r="E7432" s="668"/>
      <c r="F7432" s="668"/>
      <c r="G7432" s="668"/>
      <c r="H7432" s="668"/>
      <c r="I7432" s="668"/>
      <c r="J7432" s="668"/>
      <c r="K7432" s="668"/>
      <c r="L7432" s="668"/>
      <c r="M7432" s="668"/>
    </row>
    <row r="7433" spans="5:13">
      <c r="E7433" s="668"/>
      <c r="F7433" s="668"/>
      <c r="G7433" s="668"/>
      <c r="H7433" s="668"/>
      <c r="I7433" s="668"/>
      <c r="J7433" s="668"/>
      <c r="K7433" s="668"/>
      <c r="L7433" s="668"/>
      <c r="M7433" s="668"/>
    </row>
    <row r="7434" spans="5:13">
      <c r="E7434" s="668"/>
      <c r="F7434" s="668"/>
      <c r="G7434" s="668"/>
      <c r="H7434" s="668"/>
      <c r="I7434" s="668"/>
      <c r="J7434" s="668"/>
      <c r="K7434" s="668"/>
      <c r="L7434" s="668"/>
      <c r="M7434" s="668"/>
    </row>
    <row r="7435" spans="5:13">
      <c r="E7435" s="668"/>
      <c r="F7435" s="668"/>
      <c r="G7435" s="668"/>
      <c r="H7435" s="668"/>
      <c r="I7435" s="668"/>
      <c r="J7435" s="668"/>
      <c r="K7435" s="668"/>
      <c r="L7435" s="668"/>
      <c r="M7435" s="668"/>
    </row>
    <row r="7436" spans="5:13">
      <c r="E7436" s="668"/>
      <c r="F7436" s="668"/>
      <c r="G7436" s="668"/>
      <c r="H7436" s="668"/>
      <c r="I7436" s="668"/>
      <c r="J7436" s="668"/>
      <c r="K7436" s="668"/>
      <c r="L7436" s="668"/>
      <c r="M7436" s="668"/>
    </row>
    <row r="7437" spans="5:13">
      <c r="E7437" s="668"/>
      <c r="F7437" s="668"/>
      <c r="G7437" s="668"/>
      <c r="H7437" s="668"/>
      <c r="I7437" s="668"/>
      <c r="J7437" s="668"/>
      <c r="K7437" s="668"/>
      <c r="L7437" s="668"/>
      <c r="M7437" s="668"/>
    </row>
    <row r="7438" spans="5:13">
      <c r="E7438" s="668"/>
      <c r="F7438" s="668"/>
      <c r="G7438" s="668"/>
      <c r="H7438" s="668"/>
      <c r="I7438" s="668"/>
      <c r="J7438" s="668"/>
      <c r="K7438" s="668"/>
      <c r="L7438" s="668"/>
      <c r="M7438" s="668"/>
    </row>
    <row r="7439" spans="5:13">
      <c r="E7439" s="668"/>
      <c r="F7439" s="668"/>
      <c r="G7439" s="668"/>
      <c r="H7439" s="668"/>
      <c r="I7439" s="668"/>
      <c r="J7439" s="668"/>
      <c r="K7439" s="668"/>
      <c r="L7439" s="668"/>
      <c r="M7439" s="668"/>
    </row>
    <row r="7440" spans="5:13">
      <c r="E7440" s="668"/>
      <c r="F7440" s="668"/>
      <c r="G7440" s="668"/>
      <c r="H7440" s="668"/>
      <c r="I7440" s="668"/>
      <c r="J7440" s="668"/>
      <c r="K7440" s="668"/>
      <c r="L7440" s="668"/>
      <c r="M7440" s="668"/>
    </row>
    <row r="7441" spans="5:13">
      <c r="E7441" s="668"/>
      <c r="F7441" s="668"/>
      <c r="G7441" s="668"/>
      <c r="H7441" s="668"/>
      <c r="I7441" s="668"/>
      <c r="J7441" s="668"/>
      <c r="K7441" s="668"/>
      <c r="L7441" s="668"/>
      <c r="M7441" s="668"/>
    </row>
    <row r="7442" spans="5:13">
      <c r="E7442" s="668"/>
      <c r="F7442" s="668"/>
      <c r="G7442" s="668"/>
      <c r="H7442" s="668"/>
      <c r="I7442" s="668"/>
      <c r="J7442" s="668"/>
      <c r="K7442" s="668"/>
      <c r="L7442" s="668"/>
      <c r="M7442" s="668"/>
    </row>
    <row r="7443" spans="5:13">
      <c r="E7443" s="668"/>
      <c r="F7443" s="668"/>
      <c r="G7443" s="668"/>
      <c r="H7443" s="668"/>
      <c r="I7443" s="668"/>
      <c r="J7443" s="668"/>
      <c r="K7443" s="668"/>
      <c r="L7443" s="668"/>
      <c r="M7443" s="668"/>
    </row>
    <row r="7444" spans="5:13">
      <c r="E7444" s="668"/>
      <c r="F7444" s="668"/>
      <c r="G7444" s="668"/>
      <c r="H7444" s="668"/>
      <c r="I7444" s="668"/>
      <c r="J7444" s="668"/>
      <c r="K7444" s="668"/>
      <c r="L7444" s="668"/>
      <c r="M7444" s="668"/>
    </row>
    <row r="7445" spans="5:13">
      <c r="E7445" s="668"/>
      <c r="F7445" s="668"/>
      <c r="G7445" s="668"/>
      <c r="H7445" s="668"/>
      <c r="I7445" s="668"/>
      <c r="J7445" s="668"/>
      <c r="K7445" s="668"/>
      <c r="L7445" s="668"/>
      <c r="M7445" s="668"/>
    </row>
    <row r="7446" spans="5:13">
      <c r="E7446" s="668"/>
      <c r="F7446" s="668"/>
      <c r="G7446" s="668"/>
      <c r="H7446" s="668"/>
      <c r="I7446" s="668"/>
      <c r="J7446" s="668"/>
      <c r="K7446" s="668"/>
      <c r="L7446" s="668"/>
      <c r="M7446" s="668"/>
    </row>
    <row r="7447" spans="5:13">
      <c r="E7447" s="668"/>
      <c r="F7447" s="668"/>
      <c r="G7447" s="668"/>
      <c r="H7447" s="668"/>
      <c r="I7447" s="668"/>
      <c r="J7447" s="668"/>
      <c r="K7447" s="668"/>
      <c r="L7447" s="668"/>
      <c r="M7447" s="668"/>
    </row>
    <row r="7448" spans="5:13">
      <c r="E7448" s="668"/>
      <c r="F7448" s="668"/>
      <c r="G7448" s="668"/>
      <c r="H7448" s="668"/>
      <c r="I7448" s="668"/>
      <c r="J7448" s="668"/>
      <c r="K7448" s="668"/>
      <c r="L7448" s="668"/>
      <c r="M7448" s="668"/>
    </row>
    <row r="7449" spans="5:13">
      <c r="E7449" s="668"/>
      <c r="F7449" s="668"/>
      <c r="G7449" s="668"/>
      <c r="H7449" s="668"/>
      <c r="I7449" s="668"/>
      <c r="J7449" s="668"/>
      <c r="K7449" s="668"/>
      <c r="L7449" s="668"/>
      <c r="M7449" s="668"/>
    </row>
    <row r="7450" spans="5:13">
      <c r="E7450" s="668"/>
      <c r="F7450" s="668"/>
      <c r="G7450" s="668"/>
      <c r="H7450" s="668"/>
      <c r="I7450" s="668"/>
      <c r="J7450" s="668"/>
      <c r="K7450" s="668"/>
      <c r="L7450" s="668"/>
      <c r="M7450" s="668"/>
    </row>
    <row r="7451" spans="5:13">
      <c r="E7451" s="668"/>
      <c r="F7451" s="668"/>
      <c r="G7451" s="668"/>
      <c r="H7451" s="668"/>
      <c r="I7451" s="668"/>
      <c r="J7451" s="668"/>
      <c r="K7451" s="668"/>
      <c r="L7451" s="668"/>
      <c r="M7451" s="668"/>
    </row>
    <row r="7452" spans="5:13">
      <c r="E7452" s="668"/>
      <c r="F7452" s="668"/>
      <c r="G7452" s="668"/>
      <c r="H7452" s="668"/>
      <c r="I7452" s="668"/>
      <c r="J7452" s="668"/>
      <c r="K7452" s="668"/>
      <c r="L7452" s="668"/>
      <c r="M7452" s="668"/>
    </row>
    <row r="7453" spans="5:13">
      <c r="E7453" s="668"/>
      <c r="F7453" s="668"/>
      <c r="G7453" s="668"/>
      <c r="H7453" s="668"/>
      <c r="I7453" s="668"/>
      <c r="J7453" s="668"/>
      <c r="K7453" s="668"/>
      <c r="L7453" s="668"/>
      <c r="M7453" s="668"/>
    </row>
    <row r="7454" spans="5:13">
      <c r="E7454" s="668"/>
      <c r="F7454" s="668"/>
      <c r="G7454" s="668"/>
      <c r="H7454" s="668"/>
      <c r="I7454" s="668"/>
      <c r="J7454" s="668"/>
      <c r="K7454" s="668"/>
      <c r="L7454" s="668"/>
      <c r="M7454" s="668"/>
    </row>
    <row r="7455" spans="5:13">
      <c r="E7455" s="668"/>
      <c r="F7455" s="668"/>
      <c r="G7455" s="668"/>
      <c r="H7455" s="668"/>
      <c r="I7455" s="668"/>
      <c r="J7455" s="668"/>
      <c r="K7455" s="668"/>
      <c r="L7455" s="668"/>
      <c r="M7455" s="668"/>
    </row>
    <row r="7456" spans="5:13">
      <c r="E7456" s="668"/>
      <c r="F7456" s="668"/>
      <c r="G7456" s="668"/>
      <c r="H7456" s="668"/>
      <c r="I7456" s="668"/>
      <c r="J7456" s="668"/>
      <c r="K7456" s="668"/>
      <c r="L7456" s="668"/>
      <c r="M7456" s="668"/>
    </row>
    <row r="7457" spans="5:13">
      <c r="E7457" s="668"/>
      <c r="F7457" s="668"/>
      <c r="G7457" s="668"/>
      <c r="H7457" s="668"/>
      <c r="I7457" s="668"/>
      <c r="J7457" s="668"/>
      <c r="K7457" s="668"/>
      <c r="L7457" s="668"/>
      <c r="M7457" s="668"/>
    </row>
    <row r="7458" spans="5:13">
      <c r="E7458" s="668"/>
      <c r="F7458" s="668"/>
      <c r="G7458" s="668"/>
      <c r="H7458" s="668"/>
      <c r="I7458" s="668"/>
      <c r="J7458" s="668"/>
      <c r="K7458" s="668"/>
      <c r="L7458" s="668"/>
      <c r="M7458" s="668"/>
    </row>
    <row r="7459" spans="5:13">
      <c r="E7459" s="668"/>
      <c r="F7459" s="668"/>
      <c r="G7459" s="668"/>
      <c r="H7459" s="668"/>
      <c r="I7459" s="668"/>
      <c r="J7459" s="668"/>
      <c r="K7459" s="668"/>
      <c r="L7459" s="668"/>
      <c r="M7459" s="668"/>
    </row>
    <row r="7460" spans="5:13">
      <c r="E7460" s="668"/>
      <c r="F7460" s="668"/>
      <c r="G7460" s="668"/>
      <c r="H7460" s="668"/>
      <c r="I7460" s="668"/>
      <c r="J7460" s="668"/>
      <c r="K7460" s="668"/>
      <c r="L7460" s="668"/>
      <c r="M7460" s="668"/>
    </row>
    <row r="7461" spans="5:13">
      <c r="E7461" s="668"/>
      <c r="F7461" s="668"/>
      <c r="G7461" s="668"/>
      <c r="H7461" s="668"/>
      <c r="I7461" s="668"/>
      <c r="J7461" s="668"/>
      <c r="K7461" s="668"/>
      <c r="L7461" s="668"/>
      <c r="M7461" s="668"/>
    </row>
    <row r="7462" spans="5:13">
      <c r="E7462" s="668"/>
      <c r="F7462" s="668"/>
      <c r="G7462" s="668"/>
      <c r="H7462" s="668"/>
      <c r="I7462" s="668"/>
      <c r="J7462" s="668"/>
      <c r="K7462" s="668"/>
      <c r="L7462" s="668"/>
      <c r="M7462" s="668"/>
    </row>
    <row r="7463" spans="5:13">
      <c r="E7463" s="668"/>
      <c r="F7463" s="668"/>
      <c r="G7463" s="668"/>
      <c r="H7463" s="668"/>
      <c r="I7463" s="668"/>
      <c r="J7463" s="668"/>
      <c r="K7463" s="668"/>
      <c r="L7463" s="668"/>
      <c r="M7463" s="668"/>
    </row>
    <row r="7464" spans="5:13">
      <c r="E7464" s="668"/>
      <c r="F7464" s="668"/>
      <c r="G7464" s="668"/>
      <c r="H7464" s="668"/>
      <c r="I7464" s="668"/>
      <c r="J7464" s="668"/>
      <c r="K7464" s="668"/>
      <c r="L7464" s="668"/>
      <c r="M7464" s="668"/>
    </row>
    <row r="7465" spans="5:13">
      <c r="E7465" s="668"/>
      <c r="F7465" s="668"/>
      <c r="G7465" s="668"/>
      <c r="H7465" s="668"/>
      <c r="I7465" s="668"/>
      <c r="J7465" s="668"/>
      <c r="K7465" s="668"/>
      <c r="L7465" s="668"/>
      <c r="M7465" s="668"/>
    </row>
    <row r="7466" spans="5:13">
      <c r="E7466" s="668"/>
      <c r="F7466" s="668"/>
      <c r="G7466" s="668"/>
      <c r="H7466" s="668"/>
      <c r="I7466" s="668"/>
      <c r="J7466" s="668"/>
      <c r="K7466" s="668"/>
      <c r="L7466" s="668"/>
      <c r="M7466" s="668"/>
    </row>
    <row r="7467" spans="5:13">
      <c r="E7467" s="668"/>
      <c r="F7467" s="668"/>
      <c r="G7467" s="668"/>
      <c r="H7467" s="668"/>
      <c r="I7467" s="668"/>
      <c r="J7467" s="668"/>
      <c r="K7467" s="668"/>
      <c r="L7467" s="668"/>
      <c r="M7467" s="668"/>
    </row>
    <row r="7468" spans="5:13">
      <c r="E7468" s="668"/>
      <c r="F7468" s="668"/>
      <c r="G7468" s="668"/>
      <c r="H7468" s="668"/>
      <c r="I7468" s="668"/>
      <c r="J7468" s="668"/>
      <c r="K7468" s="668"/>
      <c r="L7468" s="668"/>
      <c r="M7468" s="668"/>
    </row>
    <row r="7469" spans="5:13">
      <c r="E7469" s="668"/>
      <c r="F7469" s="668"/>
      <c r="G7469" s="668"/>
      <c r="H7469" s="668"/>
      <c r="I7469" s="668"/>
      <c r="J7469" s="668"/>
      <c r="K7469" s="668"/>
      <c r="L7469" s="668"/>
      <c r="M7469" s="668"/>
    </row>
    <row r="7470" spans="5:13">
      <c r="E7470" s="668"/>
      <c r="F7470" s="668"/>
      <c r="G7470" s="668"/>
      <c r="H7470" s="668"/>
      <c r="I7470" s="668"/>
      <c r="J7470" s="668"/>
      <c r="K7470" s="668"/>
      <c r="L7470" s="668"/>
      <c r="M7470" s="668"/>
    </row>
    <row r="7471" spans="5:13">
      <c r="E7471" s="668"/>
      <c r="F7471" s="668"/>
      <c r="G7471" s="668"/>
      <c r="H7471" s="668"/>
      <c r="I7471" s="668"/>
      <c r="J7471" s="668"/>
      <c r="K7471" s="668"/>
      <c r="L7471" s="668"/>
      <c r="M7471" s="668"/>
    </row>
    <row r="7472" spans="5:13">
      <c r="E7472" s="668"/>
      <c r="F7472" s="668"/>
      <c r="G7472" s="668"/>
      <c r="H7472" s="668"/>
      <c r="I7472" s="668"/>
      <c r="J7472" s="668"/>
      <c r="K7472" s="668"/>
      <c r="L7472" s="668"/>
      <c r="M7472" s="668"/>
    </row>
    <row r="7473" spans="5:13">
      <c r="E7473" s="668"/>
      <c r="F7473" s="668"/>
      <c r="G7473" s="668"/>
      <c r="H7473" s="668"/>
      <c r="I7473" s="668"/>
      <c r="J7473" s="668"/>
      <c r="K7473" s="668"/>
      <c r="L7473" s="668"/>
      <c r="M7473" s="668"/>
    </row>
    <row r="7474" spans="5:13">
      <c r="E7474" s="668"/>
      <c r="F7474" s="668"/>
      <c r="G7474" s="668"/>
      <c r="H7474" s="668"/>
      <c r="I7474" s="668"/>
      <c r="J7474" s="668"/>
      <c r="K7474" s="668"/>
      <c r="L7474" s="668"/>
      <c r="M7474" s="668"/>
    </row>
    <row r="7475" spans="5:13">
      <c r="E7475" s="668"/>
      <c r="F7475" s="668"/>
      <c r="G7475" s="668"/>
      <c r="H7475" s="668"/>
      <c r="I7475" s="668"/>
      <c r="J7475" s="668"/>
      <c r="K7475" s="668"/>
      <c r="L7475" s="668"/>
      <c r="M7475" s="668"/>
    </row>
    <row r="7476" spans="5:13">
      <c r="E7476" s="668"/>
      <c r="F7476" s="668"/>
      <c r="G7476" s="668"/>
      <c r="H7476" s="668"/>
      <c r="I7476" s="668"/>
      <c r="J7476" s="668"/>
      <c r="K7476" s="668"/>
      <c r="L7476" s="668"/>
      <c r="M7476" s="668"/>
    </row>
    <row r="7477" spans="5:13">
      <c r="E7477" s="668"/>
      <c r="F7477" s="668"/>
      <c r="G7477" s="668"/>
      <c r="H7477" s="668"/>
      <c r="I7477" s="668"/>
      <c r="J7477" s="668"/>
      <c r="K7477" s="668"/>
      <c r="L7477" s="668"/>
      <c r="M7477" s="668"/>
    </row>
    <row r="7478" spans="5:13">
      <c r="E7478" s="668"/>
      <c r="F7478" s="668"/>
      <c r="G7478" s="668"/>
      <c r="H7478" s="668"/>
      <c r="I7478" s="668"/>
      <c r="J7478" s="668"/>
      <c r="K7478" s="668"/>
      <c r="L7478" s="668"/>
      <c r="M7478" s="668"/>
    </row>
    <row r="7479" spans="5:13">
      <c r="E7479" s="668"/>
      <c r="F7479" s="668"/>
      <c r="G7479" s="668"/>
      <c r="H7479" s="668"/>
      <c r="I7479" s="668"/>
      <c r="J7479" s="668"/>
      <c r="K7479" s="668"/>
      <c r="L7479" s="668"/>
      <c r="M7479" s="668"/>
    </row>
    <row r="7480" spans="5:13">
      <c r="E7480" s="668"/>
      <c r="F7480" s="668"/>
      <c r="G7480" s="668"/>
      <c r="H7480" s="668"/>
      <c r="I7480" s="668"/>
      <c r="J7480" s="668"/>
      <c r="K7480" s="668"/>
      <c r="L7480" s="668"/>
      <c r="M7480" s="668"/>
    </row>
    <row r="7481" spans="5:13">
      <c r="E7481" s="668"/>
      <c r="F7481" s="668"/>
      <c r="G7481" s="668"/>
      <c r="H7481" s="668"/>
      <c r="I7481" s="668"/>
      <c r="J7481" s="668"/>
      <c r="K7481" s="668"/>
      <c r="L7481" s="668"/>
      <c r="M7481" s="668"/>
    </row>
    <row r="7482" spans="5:13">
      <c r="E7482" s="668"/>
      <c r="F7482" s="668"/>
      <c r="G7482" s="668"/>
      <c r="H7482" s="668"/>
      <c r="I7482" s="668"/>
      <c r="J7482" s="668"/>
      <c r="K7482" s="668"/>
      <c r="L7482" s="668"/>
      <c r="M7482" s="668"/>
    </row>
    <row r="7483" spans="5:13">
      <c r="E7483" s="668"/>
      <c r="F7483" s="668"/>
      <c r="G7483" s="668"/>
      <c r="H7483" s="668"/>
      <c r="I7483" s="668"/>
      <c r="J7483" s="668"/>
      <c r="K7483" s="668"/>
      <c r="L7483" s="668"/>
      <c r="M7483" s="668"/>
    </row>
    <row r="7484" spans="5:13">
      <c r="E7484" s="668"/>
      <c r="F7484" s="668"/>
      <c r="G7484" s="668"/>
      <c r="H7484" s="668"/>
      <c r="I7484" s="668"/>
      <c r="J7484" s="668"/>
      <c r="K7484" s="668"/>
      <c r="L7484" s="668"/>
      <c r="M7484" s="668"/>
    </row>
    <row r="7485" spans="5:13">
      <c r="E7485" s="668"/>
      <c r="F7485" s="668"/>
      <c r="G7485" s="668"/>
      <c r="H7485" s="668"/>
      <c r="I7485" s="668"/>
      <c r="J7485" s="668"/>
      <c r="K7485" s="668"/>
      <c r="L7485" s="668"/>
      <c r="M7485" s="668"/>
    </row>
    <row r="7486" spans="5:13">
      <c r="E7486" s="668"/>
      <c r="F7486" s="668"/>
      <c r="G7486" s="668"/>
      <c r="H7486" s="668"/>
      <c r="I7486" s="668"/>
      <c r="J7486" s="668"/>
      <c r="K7486" s="668"/>
      <c r="L7486" s="668"/>
      <c r="M7486" s="668"/>
    </row>
    <row r="7487" spans="5:13">
      <c r="E7487" s="668"/>
      <c r="F7487" s="668"/>
      <c r="G7487" s="668"/>
      <c r="H7487" s="668"/>
      <c r="I7487" s="668"/>
      <c r="J7487" s="668"/>
      <c r="K7487" s="668"/>
      <c r="L7487" s="668"/>
      <c r="M7487" s="668"/>
    </row>
    <row r="7488" spans="5:13">
      <c r="E7488" s="668"/>
      <c r="F7488" s="668"/>
      <c r="G7488" s="668"/>
      <c r="H7488" s="668"/>
      <c r="I7488" s="668"/>
      <c r="J7488" s="668"/>
      <c r="K7488" s="668"/>
      <c r="L7488" s="668"/>
      <c r="M7488" s="668"/>
    </row>
    <row r="7489" spans="5:13">
      <c r="E7489" s="668"/>
      <c r="F7489" s="668"/>
      <c r="G7489" s="668"/>
      <c r="H7489" s="668"/>
      <c r="I7489" s="668"/>
      <c r="J7489" s="668"/>
      <c r="K7489" s="668"/>
      <c r="L7489" s="668"/>
      <c r="M7489" s="668"/>
    </row>
    <row r="7490" spans="5:13">
      <c r="E7490" s="668"/>
      <c r="F7490" s="668"/>
      <c r="G7490" s="668"/>
      <c r="H7490" s="668"/>
      <c r="I7490" s="668"/>
      <c r="J7490" s="668"/>
      <c r="K7490" s="668"/>
      <c r="L7490" s="668"/>
      <c r="M7490" s="668"/>
    </row>
    <row r="7491" spans="5:13">
      <c r="E7491" s="668"/>
      <c r="F7491" s="668"/>
      <c r="G7491" s="668"/>
      <c r="H7491" s="668"/>
      <c r="I7491" s="668"/>
      <c r="J7491" s="668"/>
      <c r="K7491" s="668"/>
      <c r="L7491" s="668"/>
      <c r="M7491" s="668"/>
    </row>
    <row r="7492" spans="5:13">
      <c r="E7492" s="668"/>
      <c r="F7492" s="668"/>
      <c r="G7492" s="668"/>
      <c r="H7492" s="668"/>
      <c r="I7492" s="668"/>
      <c r="J7492" s="668"/>
      <c r="K7492" s="668"/>
      <c r="L7492" s="668"/>
      <c r="M7492" s="668"/>
    </row>
    <row r="7493" spans="5:13">
      <c r="E7493" s="668"/>
      <c r="F7493" s="668"/>
      <c r="G7493" s="668"/>
      <c r="H7493" s="668"/>
      <c r="I7493" s="668"/>
      <c r="J7493" s="668"/>
      <c r="K7493" s="668"/>
      <c r="L7493" s="668"/>
      <c r="M7493" s="668"/>
    </row>
    <row r="7494" spans="5:13">
      <c r="E7494" s="668"/>
      <c r="F7494" s="668"/>
      <c r="G7494" s="668"/>
      <c r="H7494" s="668"/>
      <c r="I7494" s="668"/>
      <c r="J7494" s="668"/>
      <c r="K7494" s="668"/>
      <c r="L7494" s="668"/>
      <c r="M7494" s="668"/>
    </row>
    <row r="7495" spans="5:13">
      <c r="E7495" s="668"/>
      <c r="F7495" s="668"/>
      <c r="G7495" s="668"/>
      <c r="H7495" s="668"/>
      <c r="I7495" s="668"/>
      <c r="J7495" s="668"/>
      <c r="K7495" s="668"/>
      <c r="L7495" s="668"/>
      <c r="M7495" s="668"/>
    </row>
    <row r="7496" spans="5:13">
      <c r="E7496" s="668"/>
      <c r="F7496" s="668"/>
      <c r="G7496" s="668"/>
      <c r="H7496" s="668"/>
      <c r="I7496" s="668"/>
      <c r="J7496" s="668"/>
      <c r="K7496" s="668"/>
      <c r="L7496" s="668"/>
      <c r="M7496" s="668"/>
    </row>
    <row r="7497" spans="5:13">
      <c r="E7497" s="668"/>
      <c r="F7497" s="668"/>
      <c r="G7497" s="668"/>
      <c r="H7497" s="668"/>
      <c r="I7497" s="668"/>
      <c r="J7497" s="668"/>
      <c r="K7497" s="668"/>
      <c r="L7497" s="668"/>
      <c r="M7497" s="668"/>
    </row>
    <row r="7498" spans="5:13">
      <c r="E7498" s="668"/>
      <c r="F7498" s="668"/>
      <c r="G7498" s="668"/>
      <c r="H7498" s="668"/>
      <c r="I7498" s="668"/>
      <c r="J7498" s="668"/>
      <c r="K7498" s="668"/>
      <c r="L7498" s="668"/>
      <c r="M7498" s="668"/>
    </row>
    <row r="7499" spans="5:13">
      <c r="E7499" s="668"/>
      <c r="F7499" s="668"/>
      <c r="G7499" s="668"/>
      <c r="H7499" s="668"/>
      <c r="I7499" s="668"/>
      <c r="J7499" s="668"/>
      <c r="K7499" s="668"/>
      <c r="L7499" s="668"/>
      <c r="M7499" s="668"/>
    </row>
    <row r="7500" spans="5:13">
      <c r="E7500" s="668"/>
      <c r="F7500" s="668"/>
      <c r="G7500" s="668"/>
      <c r="H7500" s="668"/>
      <c r="I7500" s="668"/>
      <c r="J7500" s="668"/>
      <c r="K7500" s="668"/>
      <c r="L7500" s="668"/>
      <c r="M7500" s="668"/>
    </row>
    <row r="7501" spans="5:13">
      <c r="E7501" s="668"/>
      <c r="F7501" s="668"/>
      <c r="G7501" s="668"/>
      <c r="H7501" s="668"/>
      <c r="I7501" s="668"/>
      <c r="J7501" s="668"/>
      <c r="K7501" s="668"/>
      <c r="L7501" s="668"/>
      <c r="M7501" s="668"/>
    </row>
    <row r="7502" spans="5:13">
      <c r="E7502" s="668"/>
      <c r="F7502" s="668"/>
      <c r="G7502" s="668"/>
      <c r="H7502" s="668"/>
      <c r="I7502" s="668"/>
      <c r="J7502" s="668"/>
      <c r="K7502" s="668"/>
      <c r="L7502" s="668"/>
      <c r="M7502" s="668"/>
    </row>
    <row r="7503" spans="5:13">
      <c r="E7503" s="668"/>
      <c r="F7503" s="668"/>
      <c r="G7503" s="668"/>
      <c r="H7503" s="668"/>
      <c r="I7503" s="668"/>
      <c r="J7503" s="668"/>
      <c r="K7503" s="668"/>
      <c r="L7503" s="668"/>
      <c r="M7503" s="668"/>
    </row>
    <row r="7504" spans="5:13">
      <c r="E7504" s="668"/>
      <c r="F7504" s="668"/>
      <c r="G7504" s="668"/>
      <c r="H7504" s="668"/>
      <c r="I7504" s="668"/>
      <c r="J7504" s="668"/>
      <c r="K7504" s="668"/>
      <c r="L7504" s="668"/>
      <c r="M7504" s="668"/>
    </row>
    <row r="7505" spans="5:13">
      <c r="E7505" s="668"/>
      <c r="F7505" s="668"/>
      <c r="G7505" s="668"/>
      <c r="H7505" s="668"/>
      <c r="I7505" s="668"/>
      <c r="J7505" s="668"/>
      <c r="K7505" s="668"/>
      <c r="L7505" s="668"/>
      <c r="M7505" s="668"/>
    </row>
    <row r="7506" spans="5:13">
      <c r="E7506" s="668"/>
      <c r="F7506" s="668"/>
      <c r="G7506" s="668"/>
      <c r="H7506" s="668"/>
      <c r="I7506" s="668"/>
      <c r="J7506" s="668"/>
      <c r="K7506" s="668"/>
      <c r="L7506" s="668"/>
      <c r="M7506" s="668"/>
    </row>
    <row r="7507" spans="5:13">
      <c r="E7507" s="668"/>
      <c r="F7507" s="668"/>
      <c r="G7507" s="668"/>
      <c r="H7507" s="668"/>
      <c r="I7507" s="668"/>
      <c r="J7507" s="668"/>
      <c r="K7507" s="668"/>
      <c r="L7507" s="668"/>
      <c r="M7507" s="668"/>
    </row>
    <row r="7508" spans="5:13">
      <c r="E7508" s="668"/>
      <c r="F7508" s="668"/>
      <c r="G7508" s="668"/>
      <c r="H7508" s="668"/>
      <c r="I7508" s="668"/>
      <c r="J7508" s="668"/>
      <c r="K7508" s="668"/>
      <c r="L7508" s="668"/>
      <c r="M7508" s="668"/>
    </row>
    <row r="7509" spans="5:13">
      <c r="E7509" s="668"/>
      <c r="F7509" s="668"/>
      <c r="G7509" s="668"/>
      <c r="H7509" s="668"/>
      <c r="I7509" s="668"/>
      <c r="J7509" s="668"/>
      <c r="K7509" s="668"/>
      <c r="L7509" s="668"/>
      <c r="M7509" s="668"/>
    </row>
    <row r="7510" spans="5:13">
      <c r="E7510" s="668"/>
      <c r="F7510" s="668"/>
      <c r="G7510" s="668"/>
      <c r="H7510" s="668"/>
      <c r="I7510" s="668"/>
      <c r="J7510" s="668"/>
      <c r="K7510" s="668"/>
      <c r="L7510" s="668"/>
      <c r="M7510" s="668"/>
    </row>
    <row r="7511" spans="5:13">
      <c r="E7511" s="668"/>
      <c r="F7511" s="668"/>
      <c r="G7511" s="668"/>
      <c r="H7511" s="668"/>
      <c r="I7511" s="668"/>
      <c r="J7511" s="668"/>
      <c r="K7511" s="668"/>
      <c r="L7511" s="668"/>
      <c r="M7511" s="668"/>
    </row>
    <row r="7512" spans="5:13">
      <c r="E7512" s="668"/>
      <c r="F7512" s="668"/>
      <c r="G7512" s="668"/>
      <c r="H7512" s="668"/>
      <c r="I7512" s="668"/>
      <c r="J7512" s="668"/>
      <c r="K7512" s="668"/>
      <c r="L7512" s="668"/>
      <c r="M7512" s="668"/>
    </row>
    <row r="7513" spans="5:13">
      <c r="E7513" s="668"/>
      <c r="F7513" s="668"/>
      <c r="G7513" s="668"/>
      <c r="H7513" s="668"/>
      <c r="I7513" s="668"/>
      <c r="J7513" s="668"/>
      <c r="K7513" s="668"/>
      <c r="L7513" s="668"/>
      <c r="M7513" s="668"/>
    </row>
    <row r="7514" spans="5:13">
      <c r="E7514" s="668"/>
      <c r="F7514" s="668"/>
      <c r="G7514" s="668"/>
      <c r="H7514" s="668"/>
      <c r="I7514" s="668"/>
      <c r="J7514" s="668"/>
      <c r="K7514" s="668"/>
      <c r="L7514" s="668"/>
      <c r="M7514" s="668"/>
    </row>
    <row r="7515" spans="5:13">
      <c r="E7515" s="668"/>
      <c r="F7515" s="668"/>
      <c r="G7515" s="668"/>
      <c r="H7515" s="668"/>
      <c r="I7515" s="668"/>
      <c r="J7515" s="668"/>
      <c r="K7515" s="668"/>
      <c r="L7515" s="668"/>
      <c r="M7515" s="668"/>
    </row>
    <row r="7516" spans="5:13">
      <c r="E7516" s="668"/>
      <c r="F7516" s="668"/>
      <c r="G7516" s="668"/>
      <c r="H7516" s="668"/>
      <c r="I7516" s="668"/>
      <c r="J7516" s="668"/>
      <c r="K7516" s="668"/>
      <c r="L7516" s="668"/>
      <c r="M7516" s="668"/>
    </row>
    <row r="7517" spans="5:13">
      <c r="E7517" s="668"/>
      <c r="F7517" s="668"/>
      <c r="G7517" s="668"/>
      <c r="H7517" s="668"/>
      <c r="I7517" s="668"/>
      <c r="J7517" s="668"/>
      <c r="K7517" s="668"/>
      <c r="L7517" s="668"/>
      <c r="M7517" s="668"/>
    </row>
    <row r="7518" spans="5:13">
      <c r="E7518" s="668"/>
      <c r="F7518" s="668"/>
      <c r="G7518" s="668"/>
      <c r="H7518" s="668"/>
      <c r="I7518" s="668"/>
      <c r="J7518" s="668"/>
      <c r="K7518" s="668"/>
      <c r="L7518" s="668"/>
      <c r="M7518" s="668"/>
    </row>
    <row r="7519" spans="5:13">
      <c r="E7519" s="668"/>
      <c r="F7519" s="668"/>
      <c r="G7519" s="668"/>
      <c r="H7519" s="668"/>
      <c r="I7519" s="668"/>
      <c r="J7519" s="668"/>
      <c r="K7519" s="668"/>
      <c r="L7519" s="668"/>
      <c r="M7519" s="668"/>
    </row>
    <row r="7520" spans="5:13">
      <c r="E7520" s="668"/>
      <c r="F7520" s="668"/>
      <c r="G7520" s="668"/>
      <c r="H7520" s="668"/>
      <c r="I7520" s="668"/>
      <c r="J7520" s="668"/>
      <c r="K7520" s="668"/>
      <c r="L7520" s="668"/>
      <c r="M7520" s="668"/>
    </row>
    <row r="7521" spans="5:13">
      <c r="E7521" s="668"/>
      <c r="F7521" s="668"/>
      <c r="G7521" s="668"/>
      <c r="H7521" s="668"/>
      <c r="I7521" s="668"/>
      <c r="J7521" s="668"/>
      <c r="K7521" s="668"/>
      <c r="L7521" s="668"/>
      <c r="M7521" s="668"/>
    </row>
    <row r="7522" spans="5:13">
      <c r="E7522" s="668"/>
      <c r="F7522" s="668"/>
      <c r="G7522" s="668"/>
      <c r="H7522" s="668"/>
      <c r="I7522" s="668"/>
      <c r="J7522" s="668"/>
      <c r="K7522" s="668"/>
      <c r="L7522" s="668"/>
      <c r="M7522" s="668"/>
    </row>
    <row r="7523" spans="5:13">
      <c r="E7523" s="668"/>
      <c r="F7523" s="668"/>
      <c r="G7523" s="668"/>
      <c r="H7523" s="668"/>
      <c r="I7523" s="668"/>
      <c r="J7523" s="668"/>
      <c r="K7523" s="668"/>
      <c r="L7523" s="668"/>
      <c r="M7523" s="668"/>
    </row>
    <row r="7524" spans="5:13">
      <c r="E7524" s="668"/>
      <c r="F7524" s="668"/>
      <c r="G7524" s="668"/>
      <c r="H7524" s="668"/>
      <c r="I7524" s="668"/>
      <c r="J7524" s="668"/>
      <c r="K7524" s="668"/>
      <c r="L7524" s="668"/>
      <c r="M7524" s="668"/>
    </row>
    <row r="7525" spans="5:13">
      <c r="E7525" s="668"/>
      <c r="F7525" s="668"/>
      <c r="G7525" s="668"/>
      <c r="H7525" s="668"/>
      <c r="I7525" s="668"/>
      <c r="J7525" s="668"/>
      <c r="K7525" s="668"/>
      <c r="L7525" s="668"/>
      <c r="M7525" s="668"/>
    </row>
    <row r="7526" spans="5:13">
      <c r="E7526" s="668"/>
      <c r="F7526" s="668"/>
      <c r="G7526" s="668"/>
      <c r="H7526" s="668"/>
      <c r="I7526" s="668"/>
      <c r="J7526" s="668"/>
      <c r="K7526" s="668"/>
      <c r="L7526" s="668"/>
      <c r="M7526" s="668"/>
    </row>
    <row r="7527" spans="5:13">
      <c r="E7527" s="668"/>
      <c r="F7527" s="668"/>
      <c r="G7527" s="668"/>
      <c r="H7527" s="668"/>
      <c r="I7527" s="668"/>
      <c r="J7527" s="668"/>
      <c r="K7527" s="668"/>
      <c r="L7527" s="668"/>
      <c r="M7527" s="668"/>
    </row>
    <row r="7528" spans="5:13">
      <c r="E7528" s="668"/>
      <c r="F7528" s="668"/>
      <c r="G7528" s="668"/>
      <c r="H7528" s="668"/>
      <c r="I7528" s="668"/>
      <c r="J7528" s="668"/>
      <c r="K7528" s="668"/>
      <c r="L7528" s="668"/>
      <c r="M7528" s="668"/>
    </row>
    <row r="7529" spans="5:13">
      <c r="E7529" s="668"/>
      <c r="F7529" s="668"/>
      <c r="G7529" s="668"/>
      <c r="H7529" s="668"/>
      <c r="I7529" s="668"/>
      <c r="J7529" s="668"/>
      <c r="K7529" s="668"/>
      <c r="L7529" s="668"/>
      <c r="M7529" s="668"/>
    </row>
    <row r="7530" spans="5:13">
      <c r="E7530" s="668"/>
      <c r="F7530" s="668"/>
      <c r="G7530" s="668"/>
      <c r="H7530" s="668"/>
      <c r="I7530" s="668"/>
      <c r="J7530" s="668"/>
      <c r="K7530" s="668"/>
      <c r="L7530" s="668"/>
      <c r="M7530" s="668"/>
    </row>
    <row r="7531" spans="5:13">
      <c r="E7531" s="668"/>
      <c r="F7531" s="668"/>
      <c r="G7531" s="668"/>
      <c r="H7531" s="668"/>
      <c r="I7531" s="668"/>
      <c r="J7531" s="668"/>
      <c r="K7531" s="668"/>
      <c r="L7531" s="668"/>
      <c r="M7531" s="668"/>
    </row>
    <row r="7532" spans="5:13">
      <c r="E7532" s="668"/>
      <c r="F7532" s="668"/>
      <c r="G7532" s="668"/>
      <c r="H7532" s="668"/>
      <c r="I7532" s="668"/>
      <c r="J7532" s="668"/>
      <c r="K7532" s="668"/>
      <c r="L7532" s="668"/>
      <c r="M7532" s="668"/>
    </row>
    <row r="7533" spans="5:13">
      <c r="E7533" s="668"/>
      <c r="F7533" s="668"/>
      <c r="G7533" s="668"/>
      <c r="H7533" s="668"/>
      <c r="I7533" s="668"/>
      <c r="J7533" s="668"/>
      <c r="K7533" s="668"/>
      <c r="L7533" s="668"/>
      <c r="M7533" s="668"/>
    </row>
    <row r="7534" spans="5:13">
      <c r="E7534" s="668"/>
      <c r="F7534" s="668"/>
      <c r="G7534" s="668"/>
      <c r="H7534" s="668"/>
      <c r="I7534" s="668"/>
      <c r="J7534" s="668"/>
      <c r="K7534" s="668"/>
      <c r="L7534" s="668"/>
      <c r="M7534" s="668"/>
    </row>
    <row r="7535" spans="5:13">
      <c r="E7535" s="668"/>
      <c r="F7535" s="668"/>
      <c r="G7535" s="668"/>
      <c r="H7535" s="668"/>
      <c r="I7535" s="668"/>
      <c r="J7535" s="668"/>
      <c r="K7535" s="668"/>
      <c r="L7535" s="668"/>
      <c r="M7535" s="668"/>
    </row>
    <row r="7536" spans="5:13">
      <c r="E7536" s="668"/>
      <c r="F7536" s="668"/>
      <c r="G7536" s="668"/>
      <c r="H7536" s="668"/>
      <c r="I7536" s="668"/>
      <c r="J7536" s="668"/>
      <c r="K7536" s="668"/>
      <c r="L7536" s="668"/>
      <c r="M7536" s="668"/>
    </row>
    <row r="7537" spans="5:13">
      <c r="E7537" s="668"/>
      <c r="F7537" s="668"/>
      <c r="G7537" s="668"/>
      <c r="H7537" s="668"/>
      <c r="I7537" s="668"/>
      <c r="J7537" s="668"/>
      <c r="K7537" s="668"/>
      <c r="L7537" s="668"/>
      <c r="M7537" s="668"/>
    </row>
    <row r="7538" spans="5:13">
      <c r="E7538" s="668"/>
      <c r="F7538" s="668"/>
      <c r="G7538" s="668"/>
      <c r="H7538" s="668"/>
      <c r="I7538" s="668"/>
      <c r="J7538" s="668"/>
      <c r="K7538" s="668"/>
      <c r="L7538" s="668"/>
      <c r="M7538" s="668"/>
    </row>
    <row r="7539" spans="5:13">
      <c r="E7539" s="668"/>
      <c r="F7539" s="668"/>
      <c r="G7539" s="668"/>
      <c r="H7539" s="668"/>
      <c r="I7539" s="668"/>
      <c r="J7539" s="668"/>
      <c r="K7539" s="668"/>
      <c r="L7539" s="668"/>
      <c r="M7539" s="668"/>
    </row>
    <row r="7540" spans="5:13">
      <c r="E7540" s="668"/>
      <c r="F7540" s="668"/>
      <c r="G7540" s="668"/>
      <c r="H7540" s="668"/>
      <c r="I7540" s="668"/>
      <c r="J7540" s="668"/>
      <c r="K7540" s="668"/>
      <c r="L7540" s="668"/>
      <c r="M7540" s="668"/>
    </row>
    <row r="7541" spans="5:13">
      <c r="E7541" s="668"/>
      <c r="F7541" s="668"/>
      <c r="G7541" s="668"/>
      <c r="H7541" s="668"/>
      <c r="I7541" s="668"/>
      <c r="J7541" s="668"/>
      <c r="K7541" s="668"/>
      <c r="L7541" s="668"/>
      <c r="M7541" s="668"/>
    </row>
    <row r="7542" spans="5:13">
      <c r="E7542" s="668"/>
      <c r="F7542" s="668"/>
      <c r="G7542" s="668"/>
      <c r="H7542" s="668"/>
      <c r="I7542" s="668"/>
      <c r="J7542" s="668"/>
      <c r="K7542" s="668"/>
      <c r="L7542" s="668"/>
      <c r="M7542" s="668"/>
    </row>
    <row r="7543" spans="5:13">
      <c r="E7543" s="668"/>
      <c r="F7543" s="668"/>
      <c r="G7543" s="668"/>
      <c r="H7543" s="668"/>
      <c r="I7543" s="668"/>
      <c r="J7543" s="668"/>
      <c r="K7543" s="668"/>
      <c r="L7543" s="668"/>
      <c r="M7543" s="668"/>
    </row>
    <row r="7544" spans="5:13">
      <c r="E7544" s="668"/>
      <c r="F7544" s="668"/>
      <c r="G7544" s="668"/>
      <c r="H7544" s="668"/>
      <c r="I7544" s="668"/>
      <c r="J7544" s="668"/>
      <c r="K7544" s="668"/>
      <c r="L7544" s="668"/>
      <c r="M7544" s="668"/>
    </row>
    <row r="7545" spans="5:13">
      <c r="E7545" s="668"/>
      <c r="F7545" s="668"/>
      <c r="G7545" s="668"/>
      <c r="H7545" s="668"/>
      <c r="I7545" s="668"/>
      <c r="J7545" s="668"/>
      <c r="K7545" s="668"/>
      <c r="L7545" s="668"/>
      <c r="M7545" s="668"/>
    </row>
    <row r="7546" spans="5:13">
      <c r="E7546" s="668"/>
      <c r="F7546" s="668"/>
      <c r="G7546" s="668"/>
      <c r="H7546" s="668"/>
      <c r="I7546" s="668"/>
      <c r="J7546" s="668"/>
      <c r="K7546" s="668"/>
      <c r="L7546" s="668"/>
      <c r="M7546" s="668"/>
    </row>
    <row r="7547" spans="5:13">
      <c r="E7547" s="668"/>
      <c r="F7547" s="668"/>
      <c r="G7547" s="668"/>
      <c r="H7547" s="668"/>
      <c r="I7547" s="668"/>
      <c r="J7547" s="668"/>
      <c r="K7547" s="668"/>
      <c r="L7547" s="668"/>
      <c r="M7547" s="668"/>
    </row>
    <row r="7548" spans="5:13">
      <c r="E7548" s="668"/>
      <c r="F7548" s="668"/>
      <c r="G7548" s="668"/>
      <c r="H7548" s="668"/>
      <c r="I7548" s="668"/>
      <c r="J7548" s="668"/>
      <c r="K7548" s="668"/>
      <c r="L7548" s="668"/>
      <c r="M7548" s="668"/>
    </row>
    <row r="7549" spans="5:13">
      <c r="E7549" s="668"/>
      <c r="F7549" s="668"/>
      <c r="G7549" s="668"/>
      <c r="H7549" s="668"/>
      <c r="I7549" s="668"/>
      <c r="J7549" s="668"/>
      <c r="K7549" s="668"/>
      <c r="L7549" s="668"/>
      <c r="M7549" s="668"/>
    </row>
    <row r="7550" spans="5:13">
      <c r="E7550" s="668"/>
      <c r="F7550" s="668"/>
      <c r="G7550" s="668"/>
      <c r="H7550" s="668"/>
      <c r="I7550" s="668"/>
      <c r="J7550" s="668"/>
      <c r="K7550" s="668"/>
      <c r="L7550" s="668"/>
      <c r="M7550" s="668"/>
    </row>
    <row r="7551" spans="5:13">
      <c r="E7551" s="668"/>
      <c r="F7551" s="668"/>
      <c r="G7551" s="668"/>
      <c r="H7551" s="668"/>
      <c r="I7551" s="668"/>
      <c r="J7551" s="668"/>
      <c r="K7551" s="668"/>
      <c r="L7551" s="668"/>
      <c r="M7551" s="668"/>
    </row>
    <row r="7552" spans="5:13">
      <c r="E7552" s="668"/>
      <c r="F7552" s="668"/>
      <c r="G7552" s="668"/>
      <c r="H7552" s="668"/>
      <c r="I7552" s="668"/>
      <c r="J7552" s="668"/>
      <c r="K7552" s="668"/>
      <c r="L7552" s="668"/>
      <c r="M7552" s="668"/>
    </row>
    <row r="7553" spans="5:13">
      <c r="E7553" s="668"/>
      <c r="F7553" s="668"/>
      <c r="G7553" s="668"/>
      <c r="H7553" s="668"/>
      <c r="I7553" s="668"/>
      <c r="J7553" s="668"/>
      <c r="K7553" s="668"/>
      <c r="L7553" s="668"/>
      <c r="M7553" s="668"/>
    </row>
    <row r="7554" spans="5:13">
      <c r="E7554" s="668"/>
      <c r="F7554" s="668"/>
      <c r="G7554" s="668"/>
      <c r="H7554" s="668"/>
      <c r="I7554" s="668"/>
      <c r="J7554" s="668"/>
      <c r="K7554" s="668"/>
      <c r="L7554" s="668"/>
      <c r="M7554" s="668"/>
    </row>
    <row r="7555" spans="5:13">
      <c r="E7555" s="668"/>
      <c r="F7555" s="668"/>
      <c r="G7555" s="668"/>
      <c r="H7555" s="668"/>
      <c r="I7555" s="668"/>
      <c r="J7555" s="668"/>
      <c r="K7555" s="668"/>
      <c r="L7555" s="668"/>
      <c r="M7555" s="668"/>
    </row>
    <row r="7556" spans="5:13">
      <c r="E7556" s="668"/>
      <c r="F7556" s="668"/>
      <c r="G7556" s="668"/>
      <c r="H7556" s="668"/>
      <c r="I7556" s="668"/>
      <c r="J7556" s="668"/>
      <c r="K7556" s="668"/>
      <c r="L7556" s="668"/>
      <c r="M7556" s="668"/>
    </row>
    <row r="7557" spans="5:13">
      <c r="E7557" s="668"/>
      <c r="F7557" s="668"/>
      <c r="G7557" s="668"/>
      <c r="H7557" s="668"/>
      <c r="I7557" s="668"/>
      <c r="J7557" s="668"/>
      <c r="K7557" s="668"/>
      <c r="L7557" s="668"/>
      <c r="M7557" s="668"/>
    </row>
    <row r="7558" spans="5:13">
      <c r="E7558" s="668"/>
      <c r="F7558" s="668"/>
      <c r="G7558" s="668"/>
      <c r="H7558" s="668"/>
      <c r="I7558" s="668"/>
      <c r="J7558" s="668"/>
      <c r="K7558" s="668"/>
      <c r="L7558" s="668"/>
      <c r="M7558" s="668"/>
    </row>
    <row r="7559" spans="5:13">
      <c r="E7559" s="668"/>
      <c r="F7559" s="668"/>
      <c r="G7559" s="668"/>
      <c r="H7559" s="668"/>
      <c r="I7559" s="668"/>
      <c r="J7559" s="668"/>
      <c r="K7559" s="668"/>
      <c r="L7559" s="668"/>
      <c r="M7559" s="668"/>
    </row>
    <row r="7560" spans="5:13">
      <c r="E7560" s="668"/>
      <c r="F7560" s="668"/>
      <c r="G7560" s="668"/>
      <c r="H7560" s="668"/>
      <c r="I7560" s="668"/>
      <c r="J7560" s="668"/>
      <c r="K7560" s="668"/>
      <c r="L7560" s="668"/>
      <c r="M7560" s="668"/>
    </row>
    <row r="7561" spans="5:13">
      <c r="E7561" s="668"/>
      <c r="F7561" s="668"/>
      <c r="G7561" s="668"/>
      <c r="H7561" s="668"/>
      <c r="I7561" s="668"/>
      <c r="J7561" s="668"/>
      <c r="K7561" s="668"/>
      <c r="L7561" s="668"/>
      <c r="M7561" s="668"/>
    </row>
    <row r="7562" spans="5:13">
      <c r="E7562" s="668"/>
      <c r="F7562" s="668"/>
      <c r="G7562" s="668"/>
      <c r="H7562" s="668"/>
      <c r="I7562" s="668"/>
      <c r="J7562" s="668"/>
      <c r="K7562" s="668"/>
      <c r="L7562" s="668"/>
      <c r="M7562" s="668"/>
    </row>
    <row r="7563" spans="5:13">
      <c r="E7563" s="668"/>
      <c r="F7563" s="668"/>
      <c r="G7563" s="668"/>
      <c r="H7563" s="668"/>
      <c r="I7563" s="668"/>
      <c r="J7563" s="668"/>
      <c r="K7563" s="668"/>
      <c r="L7563" s="668"/>
      <c r="M7563" s="668"/>
    </row>
    <row r="7564" spans="5:13">
      <c r="E7564" s="668"/>
      <c r="F7564" s="668"/>
      <c r="G7564" s="668"/>
      <c r="H7564" s="668"/>
      <c r="I7564" s="668"/>
      <c r="J7564" s="668"/>
      <c r="K7564" s="668"/>
      <c r="L7564" s="668"/>
      <c r="M7564" s="668"/>
    </row>
    <row r="7565" spans="5:13">
      <c r="E7565" s="668"/>
      <c r="F7565" s="668"/>
      <c r="G7565" s="668"/>
      <c r="H7565" s="668"/>
      <c r="I7565" s="668"/>
      <c r="J7565" s="668"/>
      <c r="K7565" s="668"/>
      <c r="L7565" s="668"/>
      <c r="M7565" s="668"/>
    </row>
    <row r="7566" spans="5:13">
      <c r="E7566" s="668"/>
      <c r="F7566" s="668"/>
      <c r="G7566" s="668"/>
      <c r="H7566" s="668"/>
      <c r="I7566" s="668"/>
      <c r="J7566" s="668"/>
      <c r="K7566" s="668"/>
      <c r="L7566" s="668"/>
      <c r="M7566" s="668"/>
    </row>
    <row r="7567" spans="5:13">
      <c r="E7567" s="668"/>
      <c r="F7567" s="668"/>
      <c r="G7567" s="668"/>
      <c r="H7567" s="668"/>
      <c r="I7567" s="668"/>
      <c r="J7567" s="668"/>
      <c r="K7567" s="668"/>
      <c r="L7567" s="668"/>
      <c r="M7567" s="668"/>
    </row>
    <row r="7568" spans="5:13">
      <c r="E7568" s="668"/>
      <c r="F7568" s="668"/>
      <c r="G7568" s="668"/>
      <c r="H7568" s="668"/>
      <c r="I7568" s="668"/>
      <c r="J7568" s="668"/>
      <c r="K7568" s="668"/>
      <c r="L7568" s="668"/>
      <c r="M7568" s="668"/>
    </row>
    <row r="7569" spans="5:13">
      <c r="E7569" s="668"/>
      <c r="F7569" s="668"/>
      <c r="G7569" s="668"/>
      <c r="H7569" s="668"/>
      <c r="I7569" s="668"/>
      <c r="J7569" s="668"/>
      <c r="K7569" s="668"/>
      <c r="L7569" s="668"/>
      <c r="M7569" s="668"/>
    </row>
    <row r="7570" spans="5:13">
      <c r="E7570" s="668"/>
      <c r="F7570" s="668"/>
      <c r="G7570" s="668"/>
      <c r="H7570" s="668"/>
      <c r="I7570" s="668"/>
      <c r="J7570" s="668"/>
      <c r="K7570" s="668"/>
      <c r="L7570" s="668"/>
      <c r="M7570" s="668"/>
    </row>
    <row r="7571" spans="5:13">
      <c r="E7571" s="668"/>
      <c r="F7571" s="668"/>
      <c r="G7571" s="668"/>
      <c r="H7571" s="668"/>
      <c r="I7571" s="668"/>
      <c r="J7571" s="668"/>
      <c r="K7571" s="668"/>
      <c r="L7571" s="668"/>
      <c r="M7571" s="668"/>
    </row>
    <row r="7572" spans="5:13">
      <c r="E7572" s="668"/>
      <c r="F7572" s="668"/>
      <c r="G7572" s="668"/>
      <c r="H7572" s="668"/>
      <c r="I7572" s="668"/>
      <c r="J7572" s="668"/>
      <c r="K7572" s="668"/>
      <c r="L7572" s="668"/>
      <c r="M7572" s="668"/>
    </row>
    <row r="7573" spans="5:13">
      <c r="E7573" s="668"/>
      <c r="F7573" s="668"/>
      <c r="G7573" s="668"/>
      <c r="H7573" s="668"/>
      <c r="I7573" s="668"/>
      <c r="J7573" s="668"/>
      <c r="K7573" s="668"/>
      <c r="L7573" s="668"/>
      <c r="M7573" s="668"/>
    </row>
    <row r="7574" spans="5:13">
      <c r="E7574" s="668"/>
      <c r="F7574" s="668"/>
      <c r="G7574" s="668"/>
      <c r="H7574" s="668"/>
      <c r="I7574" s="668"/>
      <c r="J7574" s="668"/>
      <c r="K7574" s="668"/>
      <c r="L7574" s="668"/>
      <c r="M7574" s="668"/>
    </row>
    <row r="7575" spans="5:13">
      <c r="E7575" s="668"/>
      <c r="F7575" s="668"/>
      <c r="G7575" s="668"/>
      <c r="H7575" s="668"/>
      <c r="I7575" s="668"/>
      <c r="J7575" s="668"/>
      <c r="K7575" s="668"/>
      <c r="L7575" s="668"/>
      <c r="M7575" s="668"/>
    </row>
    <row r="7576" spans="5:13">
      <c r="E7576" s="668"/>
      <c r="F7576" s="668"/>
      <c r="G7576" s="668"/>
      <c r="H7576" s="668"/>
      <c r="I7576" s="668"/>
      <c r="J7576" s="668"/>
      <c r="K7576" s="668"/>
      <c r="L7576" s="668"/>
      <c r="M7576" s="668"/>
    </row>
    <row r="7577" spans="5:13">
      <c r="E7577" s="668"/>
      <c r="F7577" s="668"/>
      <c r="G7577" s="668"/>
      <c r="H7577" s="668"/>
      <c r="I7577" s="668"/>
      <c r="J7577" s="668"/>
      <c r="K7577" s="668"/>
      <c r="L7577" s="668"/>
      <c r="M7577" s="668"/>
    </row>
    <row r="7578" spans="5:13">
      <c r="E7578" s="668"/>
      <c r="F7578" s="668"/>
      <c r="G7578" s="668"/>
      <c r="H7578" s="668"/>
      <c r="I7578" s="668"/>
      <c r="J7578" s="668"/>
      <c r="K7578" s="668"/>
      <c r="L7578" s="668"/>
      <c r="M7578" s="668"/>
    </row>
    <row r="7579" spans="5:13">
      <c r="E7579" s="668"/>
      <c r="F7579" s="668"/>
      <c r="G7579" s="668"/>
      <c r="H7579" s="668"/>
      <c r="I7579" s="668"/>
      <c r="J7579" s="668"/>
      <c r="K7579" s="668"/>
      <c r="L7579" s="668"/>
      <c r="M7579" s="668"/>
    </row>
    <row r="7580" spans="5:13">
      <c r="E7580" s="668"/>
      <c r="F7580" s="668"/>
      <c r="G7580" s="668"/>
      <c r="H7580" s="668"/>
      <c r="I7580" s="668"/>
      <c r="J7580" s="668"/>
      <c r="K7580" s="668"/>
      <c r="L7580" s="668"/>
      <c r="M7580" s="668"/>
    </row>
    <row r="7581" spans="5:13">
      <c r="E7581" s="668"/>
      <c r="F7581" s="668"/>
      <c r="G7581" s="668"/>
      <c r="H7581" s="668"/>
      <c r="I7581" s="668"/>
      <c r="J7581" s="668"/>
      <c r="K7581" s="668"/>
      <c r="L7581" s="668"/>
      <c r="M7581" s="668"/>
    </row>
    <row r="7582" spans="5:13">
      <c r="E7582" s="668"/>
      <c r="F7582" s="668"/>
      <c r="G7582" s="668"/>
      <c r="H7582" s="668"/>
      <c r="I7582" s="668"/>
      <c r="J7582" s="668"/>
      <c r="K7582" s="668"/>
      <c r="L7582" s="668"/>
      <c r="M7582" s="668"/>
    </row>
    <row r="7583" spans="5:13">
      <c r="E7583" s="668"/>
      <c r="F7583" s="668"/>
      <c r="G7583" s="668"/>
      <c r="H7583" s="668"/>
      <c r="I7583" s="668"/>
      <c r="J7583" s="668"/>
      <c r="K7583" s="668"/>
      <c r="L7583" s="668"/>
      <c r="M7583" s="668"/>
    </row>
    <row r="7584" spans="5:13">
      <c r="E7584" s="668"/>
      <c r="F7584" s="668"/>
      <c r="G7584" s="668"/>
      <c r="H7584" s="668"/>
      <c r="I7584" s="668"/>
      <c r="J7584" s="668"/>
      <c r="K7584" s="668"/>
      <c r="L7584" s="668"/>
      <c r="M7584" s="668"/>
    </row>
    <row r="7585" spans="5:13">
      <c r="E7585" s="668"/>
      <c r="F7585" s="668"/>
      <c r="G7585" s="668"/>
      <c r="H7585" s="668"/>
      <c r="I7585" s="668"/>
      <c r="J7585" s="668"/>
      <c r="K7585" s="668"/>
      <c r="L7585" s="668"/>
      <c r="M7585" s="668"/>
    </row>
    <row r="7586" spans="5:13">
      <c r="E7586" s="668"/>
      <c r="F7586" s="668"/>
      <c r="G7586" s="668"/>
      <c r="H7586" s="668"/>
      <c r="I7586" s="668"/>
      <c r="J7586" s="668"/>
      <c r="K7586" s="668"/>
      <c r="L7586" s="668"/>
      <c r="M7586" s="668"/>
    </row>
    <row r="7587" spans="5:13">
      <c r="E7587" s="668"/>
      <c r="F7587" s="668"/>
      <c r="G7587" s="668"/>
      <c r="H7587" s="668"/>
      <c r="I7587" s="668"/>
      <c r="J7587" s="668"/>
      <c r="K7587" s="668"/>
      <c r="L7587" s="668"/>
      <c r="M7587" s="668"/>
    </row>
    <row r="7588" spans="5:13">
      <c r="E7588" s="668"/>
      <c r="F7588" s="668"/>
      <c r="G7588" s="668"/>
      <c r="H7588" s="668"/>
      <c r="I7588" s="668"/>
      <c r="J7588" s="668"/>
      <c r="K7588" s="668"/>
      <c r="L7588" s="668"/>
      <c r="M7588" s="668"/>
    </row>
    <row r="7589" spans="5:13">
      <c r="E7589" s="668"/>
      <c r="F7589" s="668"/>
      <c r="G7589" s="668"/>
      <c r="H7589" s="668"/>
      <c r="I7589" s="668"/>
      <c r="J7589" s="668"/>
      <c r="K7589" s="668"/>
      <c r="L7589" s="668"/>
      <c r="M7589" s="668"/>
    </row>
    <row r="7590" spans="5:13">
      <c r="E7590" s="668"/>
      <c r="F7590" s="668"/>
      <c r="G7590" s="668"/>
      <c r="H7590" s="668"/>
      <c r="I7590" s="668"/>
      <c r="J7590" s="668"/>
      <c r="K7590" s="668"/>
      <c r="L7590" s="668"/>
      <c r="M7590" s="668"/>
    </row>
    <row r="7591" spans="5:13">
      <c r="E7591" s="668"/>
      <c r="F7591" s="668"/>
      <c r="G7591" s="668"/>
      <c r="H7591" s="668"/>
      <c r="I7591" s="668"/>
      <c r="J7591" s="668"/>
      <c r="K7591" s="668"/>
      <c r="L7591" s="668"/>
      <c r="M7591" s="668"/>
    </row>
    <row r="7592" spans="5:13">
      <c r="E7592" s="668"/>
      <c r="F7592" s="668"/>
      <c r="G7592" s="668"/>
      <c r="H7592" s="668"/>
      <c r="I7592" s="668"/>
      <c r="J7592" s="668"/>
      <c r="K7592" s="668"/>
      <c r="L7592" s="668"/>
      <c r="M7592" s="668"/>
    </row>
    <row r="7593" spans="5:13">
      <c r="E7593" s="668"/>
      <c r="F7593" s="668"/>
      <c r="G7593" s="668"/>
      <c r="H7593" s="668"/>
      <c r="I7593" s="668"/>
      <c r="J7593" s="668"/>
      <c r="K7593" s="668"/>
      <c r="L7593" s="668"/>
      <c r="M7593" s="668"/>
    </row>
    <row r="7594" spans="5:13">
      <c r="E7594" s="668"/>
      <c r="F7594" s="668"/>
      <c r="G7594" s="668"/>
      <c r="H7594" s="668"/>
      <c r="I7594" s="668"/>
      <c r="J7594" s="668"/>
      <c r="K7594" s="668"/>
      <c r="L7594" s="668"/>
      <c r="M7594" s="668"/>
    </row>
    <row r="7595" spans="5:13">
      <c r="E7595" s="668"/>
      <c r="F7595" s="668"/>
      <c r="G7595" s="668"/>
      <c r="H7595" s="668"/>
      <c r="I7595" s="668"/>
      <c r="J7595" s="668"/>
      <c r="K7595" s="668"/>
      <c r="L7595" s="668"/>
      <c r="M7595" s="668"/>
    </row>
    <row r="7596" spans="5:13">
      <c r="E7596" s="668"/>
      <c r="F7596" s="668"/>
      <c r="G7596" s="668"/>
      <c r="H7596" s="668"/>
      <c r="I7596" s="668"/>
      <c r="J7596" s="668"/>
      <c r="K7596" s="668"/>
      <c r="L7596" s="668"/>
      <c r="M7596" s="668"/>
    </row>
    <row r="7597" spans="5:13">
      <c r="E7597" s="668"/>
      <c r="F7597" s="668"/>
      <c r="G7597" s="668"/>
      <c r="H7597" s="668"/>
      <c r="I7597" s="668"/>
      <c r="J7597" s="668"/>
      <c r="K7597" s="668"/>
      <c r="L7597" s="668"/>
      <c r="M7597" s="668"/>
    </row>
    <row r="7598" spans="5:13">
      <c r="E7598" s="668"/>
      <c r="F7598" s="668"/>
      <c r="G7598" s="668"/>
      <c r="H7598" s="668"/>
      <c r="I7598" s="668"/>
      <c r="J7598" s="668"/>
      <c r="K7598" s="668"/>
      <c r="L7598" s="668"/>
      <c r="M7598" s="668"/>
    </row>
    <row r="7599" spans="5:13">
      <c r="E7599" s="668"/>
      <c r="F7599" s="668"/>
      <c r="G7599" s="668"/>
      <c r="H7599" s="668"/>
      <c r="I7599" s="668"/>
      <c r="J7599" s="668"/>
      <c r="K7599" s="668"/>
      <c r="L7599" s="668"/>
      <c r="M7599" s="668"/>
    </row>
    <row r="7600" spans="5:13">
      <c r="E7600" s="668"/>
      <c r="F7600" s="668"/>
      <c r="G7600" s="668"/>
      <c r="H7600" s="668"/>
      <c r="I7600" s="668"/>
      <c r="J7600" s="668"/>
      <c r="K7600" s="668"/>
      <c r="L7600" s="668"/>
      <c r="M7600" s="668"/>
    </row>
    <row r="7601" spans="5:13">
      <c r="E7601" s="668"/>
      <c r="F7601" s="668"/>
      <c r="G7601" s="668"/>
      <c r="H7601" s="668"/>
      <c r="I7601" s="668"/>
      <c r="J7601" s="668"/>
      <c r="K7601" s="668"/>
      <c r="L7601" s="668"/>
      <c r="M7601" s="668"/>
    </row>
    <row r="7602" spans="5:13">
      <c r="E7602" s="668"/>
      <c r="F7602" s="668"/>
      <c r="G7602" s="668"/>
      <c r="H7602" s="668"/>
      <c r="I7602" s="668"/>
      <c r="J7602" s="668"/>
      <c r="K7602" s="668"/>
      <c r="L7602" s="668"/>
      <c r="M7602" s="668"/>
    </row>
    <row r="7603" spans="5:13">
      <c r="E7603" s="668"/>
      <c r="F7603" s="668"/>
      <c r="G7603" s="668"/>
      <c r="H7603" s="668"/>
      <c r="I7603" s="668"/>
      <c r="J7603" s="668"/>
      <c r="K7603" s="668"/>
      <c r="L7603" s="668"/>
      <c r="M7603" s="668"/>
    </row>
    <row r="7604" spans="5:13">
      <c r="E7604" s="668"/>
      <c r="F7604" s="668"/>
      <c r="G7604" s="668"/>
      <c r="H7604" s="668"/>
      <c r="I7604" s="668"/>
      <c r="J7604" s="668"/>
      <c r="K7604" s="668"/>
      <c r="L7604" s="668"/>
      <c r="M7604" s="668"/>
    </row>
    <row r="7605" spans="5:13">
      <c r="E7605" s="668"/>
      <c r="F7605" s="668"/>
      <c r="G7605" s="668"/>
      <c r="H7605" s="668"/>
      <c r="I7605" s="668"/>
      <c r="J7605" s="668"/>
      <c r="K7605" s="668"/>
      <c r="L7605" s="668"/>
      <c r="M7605" s="668"/>
    </row>
    <row r="7606" spans="5:13">
      <c r="E7606" s="668"/>
      <c r="F7606" s="668"/>
      <c r="G7606" s="668"/>
      <c r="H7606" s="668"/>
      <c r="I7606" s="668"/>
      <c r="J7606" s="668"/>
      <c r="K7606" s="668"/>
      <c r="L7606" s="668"/>
      <c r="M7606" s="668"/>
    </row>
    <row r="7607" spans="5:13">
      <c r="E7607" s="668"/>
      <c r="F7607" s="668"/>
      <c r="G7607" s="668"/>
      <c r="H7607" s="668"/>
      <c r="I7607" s="668"/>
      <c r="J7607" s="668"/>
      <c r="K7607" s="668"/>
      <c r="L7607" s="668"/>
      <c r="M7607" s="668"/>
    </row>
    <row r="7608" spans="5:13">
      <c r="E7608" s="668"/>
      <c r="F7608" s="668"/>
      <c r="G7608" s="668"/>
      <c r="H7608" s="668"/>
      <c r="I7608" s="668"/>
      <c r="J7608" s="668"/>
      <c r="K7608" s="668"/>
      <c r="L7608" s="668"/>
      <c r="M7608" s="668"/>
    </row>
    <row r="7609" spans="5:13">
      <c r="E7609" s="668"/>
      <c r="F7609" s="668"/>
      <c r="G7609" s="668"/>
      <c r="H7609" s="668"/>
      <c r="I7609" s="668"/>
      <c r="J7609" s="668"/>
      <c r="K7609" s="668"/>
      <c r="L7609" s="668"/>
      <c r="M7609" s="668"/>
    </row>
    <row r="7610" spans="5:13">
      <c r="E7610" s="668"/>
      <c r="F7610" s="668"/>
      <c r="G7610" s="668"/>
      <c r="H7610" s="668"/>
      <c r="I7610" s="668"/>
      <c r="J7610" s="668"/>
      <c r="K7610" s="668"/>
      <c r="L7610" s="668"/>
      <c r="M7610" s="668"/>
    </row>
    <row r="7611" spans="5:13">
      <c r="E7611" s="668"/>
      <c r="F7611" s="668"/>
      <c r="G7611" s="668"/>
      <c r="H7611" s="668"/>
      <c r="I7611" s="668"/>
      <c r="J7611" s="668"/>
      <c r="K7611" s="668"/>
      <c r="L7611" s="668"/>
      <c r="M7611" s="668"/>
    </row>
    <row r="7612" spans="5:13">
      <c r="E7612" s="668"/>
      <c r="F7612" s="668"/>
      <c r="G7612" s="668"/>
      <c r="H7612" s="668"/>
      <c r="I7612" s="668"/>
      <c r="J7612" s="668"/>
      <c r="K7612" s="668"/>
      <c r="L7612" s="668"/>
      <c r="M7612" s="668"/>
    </row>
    <row r="7613" spans="5:13">
      <c r="E7613" s="668"/>
      <c r="F7613" s="668"/>
      <c r="G7613" s="668"/>
      <c r="H7613" s="668"/>
      <c r="I7613" s="668"/>
      <c r="J7613" s="668"/>
      <c r="K7613" s="668"/>
      <c r="L7613" s="668"/>
      <c r="M7613" s="668"/>
    </row>
    <row r="7614" spans="5:13">
      <c r="E7614" s="668"/>
      <c r="F7614" s="668"/>
      <c r="G7614" s="668"/>
      <c r="H7614" s="668"/>
      <c r="I7614" s="668"/>
      <c r="J7614" s="668"/>
      <c r="K7614" s="668"/>
      <c r="L7614" s="668"/>
      <c r="M7614" s="668"/>
    </row>
    <row r="7615" spans="5:13">
      <c r="E7615" s="668"/>
      <c r="F7615" s="668"/>
      <c r="G7615" s="668"/>
      <c r="H7615" s="668"/>
      <c r="I7615" s="668"/>
      <c r="J7615" s="668"/>
      <c r="K7615" s="668"/>
      <c r="L7615" s="668"/>
      <c r="M7615" s="668"/>
    </row>
    <row r="7616" spans="5:13">
      <c r="E7616" s="668"/>
      <c r="F7616" s="668"/>
      <c r="G7616" s="668"/>
      <c r="H7616" s="668"/>
      <c r="I7616" s="668"/>
      <c r="J7616" s="668"/>
      <c r="K7616" s="668"/>
      <c r="L7616" s="668"/>
      <c r="M7616" s="668"/>
    </row>
    <row r="7617" spans="5:13">
      <c r="E7617" s="668"/>
      <c r="F7617" s="668"/>
      <c r="G7617" s="668"/>
      <c r="H7617" s="668"/>
      <c r="I7617" s="668"/>
      <c r="J7617" s="668"/>
      <c r="K7617" s="668"/>
      <c r="L7617" s="668"/>
      <c r="M7617" s="668"/>
    </row>
    <row r="7618" spans="5:13">
      <c r="E7618" s="668"/>
      <c r="F7618" s="668"/>
      <c r="G7618" s="668"/>
      <c r="H7618" s="668"/>
      <c r="I7618" s="668"/>
      <c r="J7618" s="668"/>
      <c r="K7618" s="668"/>
      <c r="L7618" s="668"/>
      <c r="M7618" s="668"/>
    </row>
    <row r="7619" spans="5:13">
      <c r="E7619" s="668"/>
      <c r="F7619" s="668"/>
      <c r="G7619" s="668"/>
      <c r="H7619" s="668"/>
      <c r="I7619" s="668"/>
      <c r="J7619" s="668"/>
      <c r="K7619" s="668"/>
      <c r="L7619" s="668"/>
      <c r="M7619" s="668"/>
    </row>
    <row r="7620" spans="5:13">
      <c r="E7620" s="668"/>
      <c r="F7620" s="668"/>
      <c r="G7620" s="668"/>
      <c r="H7620" s="668"/>
      <c r="I7620" s="668"/>
      <c r="J7620" s="668"/>
      <c r="K7620" s="668"/>
      <c r="L7620" s="668"/>
      <c r="M7620" s="668"/>
    </row>
    <row r="7621" spans="5:13">
      <c r="E7621" s="668"/>
      <c r="F7621" s="668"/>
      <c r="G7621" s="668"/>
      <c r="H7621" s="668"/>
      <c r="I7621" s="668"/>
      <c r="J7621" s="668"/>
      <c r="K7621" s="668"/>
      <c r="L7621" s="668"/>
      <c r="M7621" s="668"/>
    </row>
    <row r="7622" spans="5:13">
      <c r="E7622" s="668"/>
      <c r="F7622" s="668"/>
      <c r="G7622" s="668"/>
      <c r="H7622" s="668"/>
      <c r="I7622" s="668"/>
      <c r="J7622" s="668"/>
      <c r="K7622" s="668"/>
      <c r="L7622" s="668"/>
      <c r="M7622" s="668"/>
    </row>
    <row r="7623" spans="5:13">
      <c r="E7623" s="668"/>
      <c r="F7623" s="668"/>
      <c r="G7623" s="668"/>
      <c r="H7623" s="668"/>
      <c r="I7623" s="668"/>
      <c r="J7623" s="668"/>
      <c r="K7623" s="668"/>
      <c r="L7623" s="668"/>
      <c r="M7623" s="668"/>
    </row>
    <row r="7624" spans="5:13">
      <c r="E7624" s="668"/>
      <c r="F7624" s="668"/>
      <c r="G7624" s="668"/>
      <c r="H7624" s="668"/>
      <c r="I7624" s="668"/>
      <c r="J7624" s="668"/>
      <c r="K7624" s="668"/>
      <c r="L7624" s="668"/>
      <c r="M7624" s="668"/>
    </row>
    <row r="7625" spans="5:13">
      <c r="E7625" s="668"/>
      <c r="F7625" s="668"/>
      <c r="G7625" s="668"/>
      <c r="H7625" s="668"/>
      <c r="I7625" s="668"/>
      <c r="J7625" s="668"/>
      <c r="K7625" s="668"/>
      <c r="L7625" s="668"/>
      <c r="M7625" s="668"/>
    </row>
    <row r="7626" spans="5:13">
      <c r="E7626" s="668"/>
      <c r="F7626" s="668"/>
      <c r="G7626" s="668"/>
      <c r="H7626" s="668"/>
      <c r="I7626" s="668"/>
      <c r="J7626" s="668"/>
      <c r="K7626" s="668"/>
      <c r="L7626" s="668"/>
      <c r="M7626" s="668"/>
    </row>
    <row r="7627" spans="5:13">
      <c r="E7627" s="668"/>
      <c r="F7627" s="668"/>
      <c r="G7627" s="668"/>
      <c r="H7627" s="668"/>
      <c r="I7627" s="668"/>
      <c r="J7627" s="668"/>
      <c r="K7627" s="668"/>
      <c r="L7627" s="668"/>
      <c r="M7627" s="668"/>
    </row>
    <row r="7628" spans="5:13">
      <c r="E7628" s="668"/>
      <c r="F7628" s="668"/>
      <c r="G7628" s="668"/>
      <c r="H7628" s="668"/>
      <c r="I7628" s="668"/>
      <c r="J7628" s="668"/>
      <c r="K7628" s="668"/>
      <c r="L7628" s="668"/>
      <c r="M7628" s="668"/>
    </row>
    <row r="7629" spans="5:13">
      <c r="E7629" s="668"/>
      <c r="F7629" s="668"/>
      <c r="G7629" s="668"/>
      <c r="H7629" s="668"/>
      <c r="I7629" s="668"/>
      <c r="J7629" s="668"/>
      <c r="K7629" s="668"/>
      <c r="L7629" s="668"/>
      <c r="M7629" s="668"/>
    </row>
    <row r="7630" spans="5:13">
      <c r="E7630" s="668"/>
      <c r="F7630" s="668"/>
      <c r="G7630" s="668"/>
      <c r="H7630" s="668"/>
      <c r="I7630" s="668"/>
      <c r="J7630" s="668"/>
      <c r="K7630" s="668"/>
      <c r="L7630" s="668"/>
      <c r="M7630" s="668"/>
    </row>
    <row r="7631" spans="5:13">
      <c r="E7631" s="668"/>
      <c r="F7631" s="668"/>
      <c r="G7631" s="668"/>
      <c r="H7631" s="668"/>
      <c r="I7631" s="668"/>
      <c r="J7631" s="668"/>
      <c r="K7631" s="668"/>
      <c r="L7631" s="668"/>
      <c r="M7631" s="668"/>
    </row>
    <row r="7632" spans="5:13">
      <c r="E7632" s="668"/>
      <c r="F7632" s="668"/>
      <c r="G7632" s="668"/>
      <c r="H7632" s="668"/>
      <c r="I7632" s="668"/>
      <c r="J7632" s="668"/>
      <c r="K7632" s="668"/>
      <c r="L7632" s="668"/>
      <c r="M7632" s="668"/>
    </row>
    <row r="7633" spans="5:13">
      <c r="E7633" s="668"/>
      <c r="F7633" s="668"/>
      <c r="G7633" s="668"/>
      <c r="H7633" s="668"/>
      <c r="I7633" s="668"/>
      <c r="J7633" s="668"/>
      <c r="K7633" s="668"/>
      <c r="L7633" s="668"/>
      <c r="M7633" s="668"/>
    </row>
    <row r="7634" spans="5:13">
      <c r="E7634" s="668"/>
      <c r="F7634" s="668"/>
      <c r="G7634" s="668"/>
      <c r="H7634" s="668"/>
      <c r="I7634" s="668"/>
      <c r="J7634" s="668"/>
      <c r="K7634" s="668"/>
      <c r="L7634" s="668"/>
      <c r="M7634" s="668"/>
    </row>
    <row r="7635" spans="5:13">
      <c r="E7635" s="668"/>
      <c r="F7635" s="668"/>
      <c r="G7635" s="668"/>
      <c r="H7635" s="668"/>
      <c r="I7635" s="668"/>
      <c r="J7635" s="668"/>
      <c r="K7635" s="668"/>
      <c r="L7635" s="668"/>
      <c r="M7635" s="668"/>
    </row>
    <row r="7636" spans="5:13">
      <c r="E7636" s="668"/>
      <c r="F7636" s="668"/>
      <c r="G7636" s="668"/>
      <c r="H7636" s="668"/>
      <c r="I7636" s="668"/>
      <c r="J7636" s="668"/>
      <c r="K7636" s="668"/>
      <c r="L7636" s="668"/>
      <c r="M7636" s="668"/>
    </row>
    <row r="7637" spans="5:13">
      <c r="E7637" s="668"/>
      <c r="F7637" s="668"/>
      <c r="G7637" s="668"/>
      <c r="H7637" s="668"/>
      <c r="I7637" s="668"/>
      <c r="J7637" s="668"/>
      <c r="K7637" s="668"/>
      <c r="L7637" s="668"/>
      <c r="M7637" s="668"/>
    </row>
    <row r="7638" spans="5:13">
      <c r="E7638" s="668"/>
      <c r="F7638" s="668"/>
      <c r="G7638" s="668"/>
      <c r="H7638" s="668"/>
      <c r="I7638" s="668"/>
      <c r="J7638" s="668"/>
      <c r="K7638" s="668"/>
      <c r="L7638" s="668"/>
      <c r="M7638" s="668"/>
    </row>
    <row r="7639" spans="5:13">
      <c r="E7639" s="668"/>
      <c r="F7639" s="668"/>
      <c r="G7639" s="668"/>
      <c r="H7639" s="668"/>
      <c r="I7639" s="668"/>
      <c r="J7639" s="668"/>
      <c r="K7639" s="668"/>
      <c r="L7639" s="668"/>
      <c r="M7639" s="668"/>
    </row>
    <row r="7640" spans="5:13">
      <c r="E7640" s="668"/>
      <c r="F7640" s="668"/>
      <c r="G7640" s="668"/>
      <c r="H7640" s="668"/>
      <c r="I7640" s="668"/>
      <c r="J7640" s="668"/>
      <c r="K7640" s="668"/>
      <c r="L7640" s="668"/>
      <c r="M7640" s="668"/>
    </row>
    <row r="7641" spans="5:13">
      <c r="E7641" s="668"/>
      <c r="F7641" s="668"/>
      <c r="G7641" s="668"/>
      <c r="H7641" s="668"/>
      <c r="I7641" s="668"/>
      <c r="J7641" s="668"/>
      <c r="K7641" s="668"/>
      <c r="L7641" s="668"/>
      <c r="M7641" s="668"/>
    </row>
    <row r="7642" spans="5:13">
      <c r="E7642" s="668"/>
      <c r="F7642" s="668"/>
      <c r="G7642" s="668"/>
      <c r="H7642" s="668"/>
      <c r="I7642" s="668"/>
      <c r="J7642" s="668"/>
      <c r="K7642" s="668"/>
      <c r="L7642" s="668"/>
      <c r="M7642" s="668"/>
    </row>
    <row r="7643" spans="5:13">
      <c r="E7643" s="668"/>
      <c r="F7643" s="668"/>
      <c r="G7643" s="668"/>
      <c r="H7643" s="668"/>
      <c r="I7643" s="668"/>
      <c r="J7643" s="668"/>
      <c r="K7643" s="668"/>
      <c r="L7643" s="668"/>
      <c r="M7643" s="668"/>
    </row>
    <row r="7644" spans="5:13">
      <c r="E7644" s="668"/>
      <c r="F7644" s="668"/>
      <c r="G7644" s="668"/>
      <c r="H7644" s="668"/>
      <c r="I7644" s="668"/>
      <c r="J7644" s="668"/>
      <c r="K7644" s="668"/>
      <c r="L7644" s="668"/>
      <c r="M7644" s="668"/>
    </row>
    <row r="7645" spans="5:13">
      <c r="E7645" s="668"/>
      <c r="F7645" s="668"/>
      <c r="G7645" s="668"/>
      <c r="H7645" s="668"/>
      <c r="I7645" s="668"/>
      <c r="J7645" s="668"/>
      <c r="K7645" s="668"/>
      <c r="L7645" s="668"/>
      <c r="M7645" s="668"/>
    </row>
    <row r="7646" spans="5:13">
      <c r="E7646" s="668"/>
      <c r="F7646" s="668"/>
      <c r="G7646" s="668"/>
      <c r="H7646" s="668"/>
      <c r="I7646" s="668"/>
      <c r="J7646" s="668"/>
      <c r="K7646" s="668"/>
      <c r="L7646" s="668"/>
      <c r="M7646" s="668"/>
    </row>
    <row r="7647" spans="5:13">
      <c r="E7647" s="668"/>
      <c r="F7647" s="668"/>
      <c r="G7647" s="668"/>
      <c r="H7647" s="668"/>
      <c r="I7647" s="668"/>
      <c r="J7647" s="668"/>
      <c r="K7647" s="668"/>
      <c r="L7647" s="668"/>
      <c r="M7647" s="668"/>
    </row>
    <row r="7648" spans="5:13">
      <c r="E7648" s="668"/>
      <c r="F7648" s="668"/>
      <c r="G7648" s="668"/>
      <c r="H7648" s="668"/>
      <c r="I7648" s="668"/>
      <c r="J7648" s="668"/>
      <c r="K7648" s="668"/>
      <c r="L7648" s="668"/>
      <c r="M7648" s="668"/>
    </row>
    <row r="7649" spans="5:13">
      <c r="E7649" s="668"/>
      <c r="F7649" s="668"/>
      <c r="G7649" s="668"/>
      <c r="H7649" s="668"/>
      <c r="I7649" s="668"/>
      <c r="J7649" s="668"/>
      <c r="K7649" s="668"/>
      <c r="L7649" s="668"/>
      <c r="M7649" s="668"/>
    </row>
    <row r="7650" spans="5:13">
      <c r="E7650" s="668"/>
      <c r="F7650" s="668"/>
      <c r="G7650" s="668"/>
      <c r="H7650" s="668"/>
      <c r="I7650" s="668"/>
      <c r="J7650" s="668"/>
      <c r="K7650" s="668"/>
      <c r="L7650" s="668"/>
      <c r="M7650" s="668"/>
    </row>
    <row r="7651" spans="5:13">
      <c r="E7651" s="668"/>
      <c r="F7651" s="668"/>
      <c r="G7651" s="668"/>
      <c r="H7651" s="668"/>
      <c r="I7651" s="668"/>
      <c r="J7651" s="668"/>
      <c r="K7651" s="668"/>
      <c r="L7651" s="668"/>
      <c r="M7651" s="668"/>
    </row>
    <row r="7652" spans="5:13">
      <c r="E7652" s="668"/>
      <c r="F7652" s="668"/>
      <c r="G7652" s="668"/>
      <c r="H7652" s="668"/>
      <c r="I7652" s="668"/>
      <c r="J7652" s="668"/>
      <c r="K7652" s="668"/>
      <c r="L7652" s="668"/>
      <c r="M7652" s="668"/>
    </row>
    <row r="7653" spans="5:13">
      <c r="E7653" s="668"/>
      <c r="F7653" s="668"/>
      <c r="G7653" s="668"/>
      <c r="H7653" s="668"/>
      <c r="I7653" s="668"/>
      <c r="J7653" s="668"/>
      <c r="K7653" s="668"/>
      <c r="L7653" s="668"/>
      <c r="M7653" s="668"/>
    </row>
    <row r="7654" spans="5:13">
      <c r="E7654" s="668"/>
      <c r="F7654" s="668"/>
      <c r="G7654" s="668"/>
      <c r="H7654" s="668"/>
      <c r="I7654" s="668"/>
      <c r="J7654" s="668"/>
      <c r="K7654" s="668"/>
      <c r="L7654" s="668"/>
      <c r="M7654" s="668"/>
    </row>
    <row r="7655" spans="5:13">
      <c r="E7655" s="668"/>
      <c r="F7655" s="668"/>
      <c r="G7655" s="668"/>
      <c r="H7655" s="668"/>
      <c r="I7655" s="668"/>
      <c r="J7655" s="668"/>
      <c r="K7655" s="668"/>
      <c r="L7655" s="668"/>
      <c r="M7655" s="668"/>
    </row>
    <row r="7656" spans="5:13">
      <c r="E7656" s="668"/>
      <c r="F7656" s="668"/>
      <c r="G7656" s="668"/>
      <c r="H7656" s="668"/>
      <c r="I7656" s="668"/>
      <c r="J7656" s="668"/>
      <c r="K7656" s="668"/>
      <c r="L7656" s="668"/>
      <c r="M7656" s="668"/>
    </row>
    <row r="7657" spans="5:13">
      <c r="E7657" s="668"/>
      <c r="F7657" s="668"/>
      <c r="G7657" s="668"/>
      <c r="H7657" s="668"/>
      <c r="I7657" s="668"/>
      <c r="J7657" s="668"/>
      <c r="K7657" s="668"/>
      <c r="L7657" s="668"/>
      <c r="M7657" s="668"/>
    </row>
    <row r="7658" spans="5:13">
      <c r="E7658" s="668"/>
      <c r="F7658" s="668"/>
      <c r="G7658" s="668"/>
      <c r="H7658" s="668"/>
      <c r="I7658" s="668"/>
      <c r="J7658" s="668"/>
      <c r="K7658" s="668"/>
      <c r="L7658" s="668"/>
      <c r="M7658" s="668"/>
    </row>
    <row r="7659" spans="5:13">
      <c r="E7659" s="668"/>
      <c r="F7659" s="668"/>
      <c r="G7659" s="668"/>
      <c r="H7659" s="668"/>
      <c r="I7659" s="668"/>
      <c r="J7659" s="668"/>
      <c r="K7659" s="668"/>
      <c r="L7659" s="668"/>
      <c r="M7659" s="668"/>
    </row>
    <row r="7660" spans="5:13">
      <c r="E7660" s="668"/>
      <c r="F7660" s="668"/>
      <c r="G7660" s="668"/>
      <c r="H7660" s="668"/>
      <c r="I7660" s="668"/>
      <c r="J7660" s="668"/>
      <c r="K7660" s="668"/>
      <c r="L7660" s="668"/>
      <c r="M7660" s="668"/>
    </row>
    <row r="7661" spans="5:13">
      <c r="E7661" s="668"/>
      <c r="F7661" s="668"/>
      <c r="G7661" s="668"/>
      <c r="H7661" s="668"/>
      <c r="I7661" s="668"/>
      <c r="J7661" s="668"/>
      <c r="K7661" s="668"/>
      <c r="L7661" s="668"/>
      <c r="M7661" s="668"/>
    </row>
    <row r="7662" spans="5:13">
      <c r="E7662" s="668"/>
      <c r="F7662" s="668"/>
      <c r="G7662" s="668"/>
      <c r="H7662" s="668"/>
      <c r="I7662" s="668"/>
      <c r="J7662" s="668"/>
      <c r="K7662" s="668"/>
      <c r="L7662" s="668"/>
      <c r="M7662" s="668"/>
    </row>
    <row r="7663" spans="5:13">
      <c r="E7663" s="668"/>
      <c r="F7663" s="668"/>
      <c r="G7663" s="668"/>
      <c r="H7663" s="668"/>
      <c r="I7663" s="668"/>
      <c r="J7663" s="668"/>
      <c r="K7663" s="668"/>
      <c r="L7663" s="668"/>
      <c r="M7663" s="668"/>
    </row>
    <row r="7664" spans="5:13">
      <c r="E7664" s="668"/>
      <c r="F7664" s="668"/>
      <c r="G7664" s="668"/>
      <c r="H7664" s="668"/>
      <c r="I7664" s="668"/>
      <c r="J7664" s="668"/>
      <c r="K7664" s="668"/>
      <c r="L7664" s="668"/>
      <c r="M7664" s="668"/>
    </row>
    <row r="7665" spans="5:13">
      <c r="E7665" s="668"/>
      <c r="F7665" s="668"/>
      <c r="G7665" s="668"/>
      <c r="H7665" s="668"/>
      <c r="I7665" s="668"/>
      <c r="J7665" s="668"/>
      <c r="K7665" s="668"/>
      <c r="L7665" s="668"/>
      <c r="M7665" s="668"/>
    </row>
    <row r="7666" spans="5:13">
      <c r="E7666" s="668"/>
      <c r="F7666" s="668"/>
      <c r="G7666" s="668"/>
      <c r="H7666" s="668"/>
      <c r="I7666" s="668"/>
      <c r="J7666" s="668"/>
      <c r="K7666" s="668"/>
      <c r="L7666" s="668"/>
      <c r="M7666" s="668"/>
    </row>
    <row r="7667" spans="5:13">
      <c r="E7667" s="668"/>
      <c r="F7667" s="668"/>
      <c r="G7667" s="668"/>
      <c r="H7667" s="668"/>
      <c r="I7667" s="668"/>
      <c r="J7667" s="668"/>
      <c r="K7667" s="668"/>
      <c r="L7667" s="668"/>
      <c r="M7667" s="668"/>
    </row>
    <row r="7668" spans="5:13">
      <c r="E7668" s="668"/>
      <c r="F7668" s="668"/>
      <c r="G7668" s="668"/>
      <c r="H7668" s="668"/>
      <c r="I7668" s="668"/>
      <c r="J7668" s="668"/>
      <c r="K7668" s="668"/>
      <c r="L7668" s="668"/>
      <c r="M7668" s="668"/>
    </row>
    <row r="7669" spans="5:13">
      <c r="E7669" s="668"/>
      <c r="F7669" s="668"/>
      <c r="G7669" s="668"/>
      <c r="H7669" s="668"/>
      <c r="I7669" s="668"/>
      <c r="J7669" s="668"/>
      <c r="K7669" s="668"/>
      <c r="L7669" s="668"/>
      <c r="M7669" s="668"/>
    </row>
    <row r="7670" spans="5:13">
      <c r="E7670" s="668"/>
      <c r="F7670" s="668"/>
      <c r="G7670" s="668"/>
      <c r="H7670" s="668"/>
      <c r="I7670" s="668"/>
      <c r="J7670" s="668"/>
      <c r="K7670" s="668"/>
      <c r="L7670" s="668"/>
      <c r="M7670" s="668"/>
    </row>
    <row r="7671" spans="5:13">
      <c r="E7671" s="668"/>
      <c r="F7671" s="668"/>
      <c r="G7671" s="668"/>
      <c r="H7671" s="668"/>
      <c r="I7671" s="668"/>
      <c r="J7671" s="668"/>
      <c r="K7671" s="668"/>
      <c r="L7671" s="668"/>
      <c r="M7671" s="668"/>
    </row>
    <row r="7672" spans="5:13">
      <c r="E7672" s="668"/>
      <c r="F7672" s="668"/>
      <c r="G7672" s="668"/>
      <c r="H7672" s="668"/>
      <c r="I7672" s="668"/>
      <c r="J7672" s="668"/>
      <c r="K7672" s="668"/>
      <c r="L7672" s="668"/>
      <c r="M7672" s="668"/>
    </row>
    <row r="7673" spans="5:13">
      <c r="E7673" s="668"/>
      <c r="F7673" s="668"/>
      <c r="G7673" s="668"/>
      <c r="H7673" s="668"/>
      <c r="I7673" s="668"/>
      <c r="J7673" s="668"/>
      <c r="K7673" s="668"/>
      <c r="L7673" s="668"/>
      <c r="M7673" s="668"/>
    </row>
    <row r="7674" spans="5:13">
      <c r="E7674" s="668"/>
      <c r="F7674" s="668"/>
      <c r="G7674" s="668"/>
      <c r="H7674" s="668"/>
      <c r="I7674" s="668"/>
      <c r="J7674" s="668"/>
      <c r="K7674" s="668"/>
      <c r="L7674" s="668"/>
      <c r="M7674" s="668"/>
    </row>
    <row r="7675" spans="5:13">
      <c r="E7675" s="668"/>
      <c r="F7675" s="668"/>
      <c r="G7675" s="668"/>
      <c r="H7675" s="668"/>
      <c r="I7675" s="668"/>
      <c r="J7675" s="668"/>
      <c r="K7675" s="668"/>
      <c r="L7675" s="668"/>
      <c r="M7675" s="668"/>
    </row>
    <row r="7676" spans="5:13">
      <c r="E7676" s="668"/>
      <c r="F7676" s="668"/>
      <c r="G7676" s="668"/>
      <c r="H7676" s="668"/>
      <c r="I7676" s="668"/>
      <c r="J7676" s="668"/>
      <c r="K7676" s="668"/>
      <c r="L7676" s="668"/>
      <c r="M7676" s="668"/>
    </row>
    <row r="7677" spans="5:13">
      <c r="E7677" s="668"/>
      <c r="F7677" s="668"/>
      <c r="G7677" s="668"/>
      <c r="H7677" s="668"/>
      <c r="I7677" s="668"/>
      <c r="J7677" s="668"/>
      <c r="K7677" s="668"/>
      <c r="L7677" s="668"/>
      <c r="M7677" s="668"/>
    </row>
    <row r="7678" spans="5:13">
      <c r="E7678" s="668"/>
      <c r="F7678" s="668"/>
      <c r="G7678" s="668"/>
      <c r="H7678" s="668"/>
      <c r="I7678" s="668"/>
      <c r="J7678" s="668"/>
      <c r="K7678" s="668"/>
      <c r="L7678" s="668"/>
      <c r="M7678" s="668"/>
    </row>
    <row r="7679" spans="5:13">
      <c r="E7679" s="668"/>
      <c r="F7679" s="668"/>
      <c r="G7679" s="668"/>
      <c r="H7679" s="668"/>
      <c r="I7679" s="668"/>
      <c r="J7679" s="668"/>
      <c r="K7679" s="668"/>
      <c r="L7679" s="668"/>
      <c r="M7679" s="668"/>
    </row>
    <row r="7680" spans="5:13">
      <c r="E7680" s="668"/>
      <c r="F7680" s="668"/>
      <c r="G7680" s="668"/>
      <c r="H7680" s="668"/>
      <c r="I7680" s="668"/>
      <c r="J7680" s="668"/>
      <c r="K7680" s="668"/>
      <c r="L7680" s="668"/>
      <c r="M7680" s="668"/>
    </row>
    <row r="7681" spans="5:13">
      <c r="E7681" s="668"/>
      <c r="F7681" s="668"/>
      <c r="G7681" s="668"/>
      <c r="H7681" s="668"/>
      <c r="I7681" s="668"/>
      <c r="J7681" s="668"/>
      <c r="K7681" s="668"/>
      <c r="L7681" s="668"/>
      <c r="M7681" s="668"/>
    </row>
    <row r="7682" spans="5:13">
      <c r="E7682" s="668"/>
      <c r="F7682" s="668"/>
      <c r="G7682" s="668"/>
      <c r="H7682" s="668"/>
      <c r="I7682" s="668"/>
      <c r="J7682" s="668"/>
      <c r="K7682" s="668"/>
      <c r="L7682" s="668"/>
      <c r="M7682" s="668"/>
    </row>
    <row r="7683" spans="5:13">
      <c r="E7683" s="668"/>
      <c r="F7683" s="668"/>
      <c r="G7683" s="668"/>
      <c r="H7683" s="668"/>
      <c r="I7683" s="668"/>
      <c r="J7683" s="668"/>
      <c r="K7683" s="668"/>
      <c r="L7683" s="668"/>
      <c r="M7683" s="668"/>
    </row>
    <row r="7684" spans="5:13">
      <c r="E7684" s="668"/>
      <c r="F7684" s="668"/>
      <c r="G7684" s="668"/>
      <c r="H7684" s="668"/>
      <c r="I7684" s="668"/>
      <c r="J7684" s="668"/>
      <c r="K7684" s="668"/>
      <c r="L7684" s="668"/>
      <c r="M7684" s="668"/>
    </row>
    <row r="7685" spans="5:13">
      <c r="E7685" s="668"/>
      <c r="F7685" s="668"/>
      <c r="G7685" s="668"/>
      <c r="H7685" s="668"/>
      <c r="I7685" s="668"/>
      <c r="J7685" s="668"/>
      <c r="K7685" s="668"/>
      <c r="L7685" s="668"/>
      <c r="M7685" s="668"/>
    </row>
    <row r="7686" spans="5:13">
      <c r="E7686" s="668"/>
      <c r="F7686" s="668"/>
      <c r="G7686" s="668"/>
      <c r="H7686" s="668"/>
      <c r="I7686" s="668"/>
      <c r="J7686" s="668"/>
      <c r="K7686" s="668"/>
      <c r="L7686" s="668"/>
      <c r="M7686" s="668"/>
    </row>
    <row r="7687" spans="5:13">
      <c r="E7687" s="668"/>
      <c r="F7687" s="668"/>
      <c r="G7687" s="668"/>
      <c r="H7687" s="668"/>
      <c r="I7687" s="668"/>
      <c r="J7687" s="668"/>
      <c r="K7687" s="668"/>
      <c r="L7687" s="668"/>
      <c r="M7687" s="668"/>
    </row>
    <row r="7688" spans="5:13">
      <c r="E7688" s="668"/>
      <c r="F7688" s="668"/>
      <c r="G7688" s="668"/>
      <c r="H7688" s="668"/>
      <c r="I7688" s="668"/>
      <c r="J7688" s="668"/>
      <c r="K7688" s="668"/>
      <c r="L7688" s="668"/>
      <c r="M7688" s="668"/>
    </row>
    <row r="7689" spans="5:13">
      <c r="E7689" s="668"/>
      <c r="F7689" s="668"/>
      <c r="G7689" s="668"/>
      <c r="H7689" s="668"/>
      <c r="I7689" s="668"/>
      <c r="J7689" s="668"/>
      <c r="K7689" s="668"/>
      <c r="L7689" s="668"/>
      <c r="M7689" s="668"/>
    </row>
    <row r="7690" spans="5:13">
      <c r="E7690" s="668"/>
      <c r="F7690" s="668"/>
      <c r="G7690" s="668"/>
      <c r="H7690" s="668"/>
      <c r="I7690" s="668"/>
      <c r="J7690" s="668"/>
      <c r="K7690" s="668"/>
      <c r="L7690" s="668"/>
      <c r="M7690" s="668"/>
    </row>
    <row r="7691" spans="5:13">
      <c r="E7691" s="668"/>
      <c r="F7691" s="668"/>
      <c r="G7691" s="668"/>
      <c r="H7691" s="668"/>
      <c r="I7691" s="668"/>
      <c r="J7691" s="668"/>
      <c r="K7691" s="668"/>
      <c r="L7691" s="668"/>
      <c r="M7691" s="668"/>
    </row>
    <row r="7692" spans="5:13">
      <c r="E7692" s="668"/>
      <c r="F7692" s="668"/>
      <c r="G7692" s="668"/>
      <c r="H7692" s="668"/>
      <c r="I7692" s="668"/>
      <c r="J7692" s="668"/>
      <c r="K7692" s="668"/>
      <c r="L7692" s="668"/>
      <c r="M7692" s="668"/>
    </row>
    <row r="7693" spans="5:13">
      <c r="E7693" s="668"/>
      <c r="F7693" s="668"/>
      <c r="G7693" s="668"/>
      <c r="H7693" s="668"/>
      <c r="I7693" s="668"/>
      <c r="J7693" s="668"/>
      <c r="K7693" s="668"/>
      <c r="L7693" s="668"/>
      <c r="M7693" s="668"/>
    </row>
    <row r="7694" spans="5:13">
      <c r="E7694" s="668"/>
      <c r="F7694" s="668"/>
      <c r="G7694" s="668"/>
      <c r="H7694" s="668"/>
      <c r="I7694" s="668"/>
      <c r="J7694" s="668"/>
      <c r="K7694" s="668"/>
      <c r="L7694" s="668"/>
      <c r="M7694" s="668"/>
    </row>
    <row r="7695" spans="5:13">
      <c r="E7695" s="668"/>
      <c r="F7695" s="668"/>
      <c r="G7695" s="668"/>
      <c r="H7695" s="668"/>
      <c r="I7695" s="668"/>
      <c r="J7695" s="668"/>
      <c r="K7695" s="668"/>
      <c r="L7695" s="668"/>
      <c r="M7695" s="668"/>
    </row>
    <row r="7696" spans="5:13">
      <c r="E7696" s="668"/>
      <c r="F7696" s="668"/>
      <c r="G7696" s="668"/>
      <c r="H7696" s="668"/>
      <c r="I7696" s="668"/>
      <c r="J7696" s="668"/>
      <c r="K7696" s="668"/>
      <c r="L7696" s="668"/>
      <c r="M7696" s="668"/>
    </row>
    <row r="7697" spans="5:13">
      <c r="E7697" s="668"/>
      <c r="F7697" s="668"/>
      <c r="G7697" s="668"/>
      <c r="H7697" s="668"/>
      <c r="I7697" s="668"/>
      <c r="J7697" s="668"/>
      <c r="K7697" s="668"/>
      <c r="L7697" s="668"/>
      <c r="M7697" s="668"/>
    </row>
    <row r="7698" spans="5:13">
      <c r="E7698" s="668"/>
      <c r="F7698" s="668"/>
      <c r="G7698" s="668"/>
      <c r="H7698" s="668"/>
      <c r="I7698" s="668"/>
      <c r="J7698" s="668"/>
      <c r="K7698" s="668"/>
      <c r="L7698" s="668"/>
      <c r="M7698" s="668"/>
    </row>
    <row r="7699" spans="5:13">
      <c r="E7699" s="668"/>
      <c r="F7699" s="668"/>
      <c r="G7699" s="668"/>
      <c r="H7699" s="668"/>
      <c r="I7699" s="668"/>
      <c r="J7699" s="668"/>
      <c r="K7699" s="668"/>
      <c r="L7699" s="668"/>
      <c r="M7699" s="668"/>
    </row>
    <row r="7700" spans="5:13">
      <c r="E7700" s="668"/>
      <c r="F7700" s="668"/>
      <c r="G7700" s="668"/>
      <c r="H7700" s="668"/>
      <c r="I7700" s="668"/>
      <c r="J7700" s="668"/>
      <c r="K7700" s="668"/>
      <c r="L7700" s="668"/>
      <c r="M7700" s="668"/>
    </row>
    <row r="7701" spans="5:13">
      <c r="E7701" s="668"/>
      <c r="F7701" s="668"/>
      <c r="G7701" s="668"/>
      <c r="H7701" s="668"/>
      <c r="I7701" s="668"/>
      <c r="J7701" s="668"/>
      <c r="K7701" s="668"/>
      <c r="L7701" s="668"/>
      <c r="M7701" s="668"/>
    </row>
    <row r="7702" spans="5:13">
      <c r="E7702" s="668"/>
      <c r="F7702" s="668"/>
      <c r="G7702" s="668"/>
      <c r="H7702" s="668"/>
      <c r="I7702" s="668"/>
      <c r="J7702" s="668"/>
      <c r="K7702" s="668"/>
      <c r="L7702" s="668"/>
      <c r="M7702" s="668"/>
    </row>
    <row r="7703" spans="5:13">
      <c r="E7703" s="668"/>
      <c r="F7703" s="668"/>
      <c r="G7703" s="668"/>
      <c r="H7703" s="668"/>
      <c r="I7703" s="668"/>
      <c r="J7703" s="668"/>
      <c r="K7703" s="668"/>
      <c r="L7703" s="668"/>
      <c r="M7703" s="668"/>
    </row>
    <row r="7704" spans="5:13">
      <c r="E7704" s="668"/>
      <c r="F7704" s="668"/>
      <c r="G7704" s="668"/>
      <c r="H7704" s="668"/>
      <c r="I7704" s="668"/>
      <c r="J7704" s="668"/>
      <c r="K7704" s="668"/>
      <c r="L7704" s="668"/>
      <c r="M7704" s="668"/>
    </row>
    <row r="7705" spans="5:13">
      <c r="E7705" s="668"/>
      <c r="F7705" s="668"/>
      <c r="G7705" s="668"/>
      <c r="H7705" s="668"/>
      <c r="I7705" s="668"/>
      <c r="J7705" s="668"/>
      <c r="K7705" s="668"/>
      <c r="L7705" s="668"/>
      <c r="M7705" s="668"/>
    </row>
    <row r="7706" spans="5:13">
      <c r="E7706" s="668"/>
      <c r="F7706" s="668"/>
      <c r="G7706" s="668"/>
      <c r="H7706" s="668"/>
      <c r="I7706" s="668"/>
      <c r="J7706" s="668"/>
      <c r="K7706" s="668"/>
      <c r="L7706" s="668"/>
      <c r="M7706" s="668"/>
    </row>
    <row r="7707" spans="5:13">
      <c r="E7707" s="668"/>
      <c r="F7707" s="668"/>
      <c r="G7707" s="668"/>
      <c r="H7707" s="668"/>
      <c r="I7707" s="668"/>
      <c r="J7707" s="668"/>
      <c r="K7707" s="668"/>
      <c r="L7707" s="668"/>
      <c r="M7707" s="668"/>
    </row>
    <row r="7708" spans="5:13">
      <c r="E7708" s="668"/>
      <c r="F7708" s="668"/>
      <c r="G7708" s="668"/>
      <c r="H7708" s="668"/>
      <c r="I7708" s="668"/>
      <c r="J7708" s="668"/>
      <c r="K7708" s="668"/>
      <c r="L7708" s="668"/>
      <c r="M7708" s="668"/>
    </row>
    <row r="7709" spans="5:13">
      <c r="E7709" s="668"/>
      <c r="F7709" s="668"/>
      <c r="G7709" s="668"/>
      <c r="H7709" s="668"/>
      <c r="I7709" s="668"/>
      <c r="J7709" s="668"/>
      <c r="K7709" s="668"/>
      <c r="L7709" s="668"/>
      <c r="M7709" s="668"/>
    </row>
    <row r="7710" spans="5:13">
      <c r="E7710" s="668"/>
      <c r="F7710" s="668"/>
      <c r="G7710" s="668"/>
      <c r="H7710" s="668"/>
      <c r="I7710" s="668"/>
      <c r="J7710" s="668"/>
      <c r="K7710" s="668"/>
      <c r="L7710" s="668"/>
      <c r="M7710" s="668"/>
    </row>
    <row r="7711" spans="5:13">
      <c r="E7711" s="668"/>
      <c r="F7711" s="668"/>
      <c r="G7711" s="668"/>
      <c r="H7711" s="668"/>
      <c r="I7711" s="668"/>
      <c r="J7711" s="668"/>
      <c r="K7711" s="668"/>
      <c r="L7711" s="668"/>
      <c r="M7711" s="668"/>
    </row>
    <row r="7712" spans="5:13">
      <c r="E7712" s="668"/>
      <c r="F7712" s="668"/>
      <c r="G7712" s="668"/>
      <c r="H7712" s="668"/>
      <c r="I7712" s="668"/>
      <c r="J7712" s="668"/>
      <c r="K7712" s="668"/>
      <c r="L7712" s="668"/>
      <c r="M7712" s="668"/>
    </row>
    <row r="7713" spans="5:13">
      <c r="E7713" s="668"/>
      <c r="F7713" s="668"/>
      <c r="G7713" s="668"/>
      <c r="H7713" s="668"/>
      <c r="I7713" s="668"/>
      <c r="J7713" s="668"/>
      <c r="K7713" s="668"/>
      <c r="L7713" s="668"/>
      <c r="M7713" s="668"/>
    </row>
    <row r="7714" spans="5:13">
      <c r="E7714" s="668"/>
      <c r="F7714" s="668"/>
      <c r="G7714" s="668"/>
      <c r="H7714" s="668"/>
      <c r="I7714" s="668"/>
      <c r="J7714" s="668"/>
      <c r="K7714" s="668"/>
      <c r="L7714" s="668"/>
      <c r="M7714" s="668"/>
    </row>
    <row r="7715" spans="5:13">
      <c r="E7715" s="668"/>
      <c r="F7715" s="668"/>
      <c r="G7715" s="668"/>
      <c r="H7715" s="668"/>
      <c r="I7715" s="668"/>
      <c r="J7715" s="668"/>
      <c r="K7715" s="668"/>
      <c r="L7715" s="668"/>
      <c r="M7715" s="668"/>
    </row>
    <row r="7716" spans="5:13">
      <c r="E7716" s="668"/>
      <c r="F7716" s="668"/>
      <c r="G7716" s="668"/>
      <c r="H7716" s="668"/>
      <c r="I7716" s="668"/>
      <c r="J7716" s="668"/>
      <c r="K7716" s="668"/>
      <c r="L7716" s="668"/>
      <c r="M7716" s="668"/>
    </row>
    <row r="7717" spans="5:13">
      <c r="E7717" s="668"/>
      <c r="F7717" s="668"/>
      <c r="G7717" s="668"/>
      <c r="H7717" s="668"/>
      <c r="I7717" s="668"/>
      <c r="J7717" s="668"/>
      <c r="K7717" s="668"/>
      <c r="L7717" s="668"/>
      <c r="M7717" s="668"/>
    </row>
    <row r="7718" spans="5:13">
      <c r="E7718" s="668"/>
      <c r="F7718" s="668"/>
      <c r="G7718" s="668"/>
      <c r="H7718" s="668"/>
      <c r="I7718" s="668"/>
      <c r="J7718" s="668"/>
      <c r="K7718" s="668"/>
      <c r="L7718" s="668"/>
      <c r="M7718" s="668"/>
    </row>
    <row r="7719" spans="5:13">
      <c r="E7719" s="668"/>
      <c r="F7719" s="668"/>
      <c r="G7719" s="668"/>
      <c r="H7719" s="668"/>
      <c r="I7719" s="668"/>
      <c r="J7719" s="668"/>
      <c r="K7719" s="668"/>
      <c r="L7719" s="668"/>
      <c r="M7719" s="668"/>
    </row>
    <row r="7720" spans="5:13">
      <c r="E7720" s="668"/>
      <c r="F7720" s="668"/>
      <c r="G7720" s="668"/>
      <c r="H7720" s="668"/>
      <c r="I7720" s="668"/>
      <c r="J7720" s="668"/>
      <c r="K7720" s="668"/>
      <c r="L7720" s="668"/>
      <c r="M7720" s="668"/>
    </row>
    <row r="7721" spans="5:13">
      <c r="E7721" s="668"/>
      <c r="F7721" s="668"/>
      <c r="G7721" s="668"/>
      <c r="H7721" s="668"/>
      <c r="I7721" s="668"/>
      <c r="J7721" s="668"/>
      <c r="K7721" s="668"/>
      <c r="L7721" s="668"/>
      <c r="M7721" s="668"/>
    </row>
    <row r="7722" spans="5:13">
      <c r="E7722" s="668"/>
      <c r="F7722" s="668"/>
      <c r="G7722" s="668"/>
      <c r="H7722" s="668"/>
      <c r="I7722" s="668"/>
      <c r="J7722" s="668"/>
      <c r="K7722" s="668"/>
      <c r="L7722" s="668"/>
      <c r="M7722" s="668"/>
    </row>
    <row r="7723" spans="5:13">
      <c r="E7723" s="668"/>
      <c r="F7723" s="668"/>
      <c r="G7723" s="668"/>
      <c r="H7723" s="668"/>
      <c r="I7723" s="668"/>
      <c r="J7723" s="668"/>
      <c r="K7723" s="668"/>
      <c r="L7723" s="668"/>
      <c r="M7723" s="668"/>
    </row>
    <row r="7724" spans="5:13">
      <c r="E7724" s="668"/>
      <c r="F7724" s="668"/>
      <c r="G7724" s="668"/>
      <c r="H7724" s="668"/>
      <c r="I7724" s="668"/>
      <c r="J7724" s="668"/>
      <c r="K7724" s="668"/>
      <c r="L7724" s="668"/>
      <c r="M7724" s="668"/>
    </row>
    <row r="7725" spans="5:13">
      <c r="E7725" s="668"/>
      <c r="F7725" s="668"/>
      <c r="G7725" s="668"/>
      <c r="H7725" s="668"/>
      <c r="I7725" s="668"/>
      <c r="J7725" s="668"/>
      <c r="K7725" s="668"/>
      <c r="L7725" s="668"/>
      <c r="M7725" s="668"/>
    </row>
    <row r="7726" spans="5:13">
      <c r="E7726" s="668"/>
      <c r="F7726" s="668"/>
      <c r="G7726" s="668"/>
      <c r="H7726" s="668"/>
      <c r="I7726" s="668"/>
      <c r="J7726" s="668"/>
      <c r="K7726" s="668"/>
      <c r="L7726" s="668"/>
      <c r="M7726" s="668"/>
    </row>
    <row r="7727" spans="5:13">
      <c r="E7727" s="668"/>
      <c r="F7727" s="668"/>
      <c r="G7727" s="668"/>
      <c r="H7727" s="668"/>
      <c r="I7727" s="668"/>
      <c r="J7727" s="668"/>
      <c r="K7727" s="668"/>
      <c r="L7727" s="668"/>
      <c r="M7727" s="668"/>
    </row>
    <row r="7728" spans="5:13">
      <c r="E7728" s="668"/>
      <c r="F7728" s="668"/>
      <c r="G7728" s="668"/>
      <c r="H7728" s="668"/>
      <c r="I7728" s="668"/>
      <c r="J7728" s="668"/>
      <c r="K7728" s="668"/>
      <c r="L7728" s="668"/>
      <c r="M7728" s="668"/>
    </row>
    <row r="7729" spans="5:13">
      <c r="E7729" s="668"/>
      <c r="F7729" s="668"/>
      <c r="G7729" s="668"/>
      <c r="H7729" s="668"/>
      <c r="I7729" s="668"/>
      <c r="J7729" s="668"/>
      <c r="K7729" s="668"/>
      <c r="L7729" s="668"/>
      <c r="M7729" s="668"/>
    </row>
    <row r="7730" spans="5:13">
      <c r="E7730" s="668"/>
      <c r="F7730" s="668"/>
      <c r="G7730" s="668"/>
      <c r="H7730" s="668"/>
      <c r="I7730" s="668"/>
      <c r="J7730" s="668"/>
      <c r="K7730" s="668"/>
      <c r="L7730" s="668"/>
      <c r="M7730" s="668"/>
    </row>
    <row r="7731" spans="5:13">
      <c r="E7731" s="668"/>
      <c r="F7731" s="668"/>
      <c r="G7731" s="668"/>
      <c r="H7731" s="668"/>
      <c r="I7731" s="668"/>
      <c r="J7731" s="668"/>
      <c r="K7731" s="668"/>
      <c r="L7731" s="668"/>
      <c r="M7731" s="668"/>
    </row>
    <row r="7732" spans="5:13">
      <c r="E7732" s="668"/>
      <c r="F7732" s="668"/>
      <c r="G7732" s="668"/>
      <c r="H7732" s="668"/>
      <c r="I7732" s="668"/>
      <c r="J7732" s="668"/>
      <c r="K7732" s="668"/>
      <c r="L7732" s="668"/>
      <c r="M7732" s="668"/>
    </row>
    <row r="7733" spans="5:13">
      <c r="E7733" s="668"/>
      <c r="F7733" s="668"/>
      <c r="G7733" s="668"/>
      <c r="H7733" s="668"/>
      <c r="I7733" s="668"/>
      <c r="J7733" s="668"/>
      <c r="K7733" s="668"/>
      <c r="L7733" s="668"/>
      <c r="M7733" s="668"/>
    </row>
    <row r="7734" spans="5:13">
      <c r="E7734" s="668"/>
      <c r="F7734" s="668"/>
      <c r="G7734" s="668"/>
      <c r="H7734" s="668"/>
      <c r="I7734" s="668"/>
      <c r="J7734" s="668"/>
      <c r="K7734" s="668"/>
      <c r="L7734" s="668"/>
      <c r="M7734" s="668"/>
    </row>
    <row r="7735" spans="5:13">
      <c r="E7735" s="668"/>
      <c r="F7735" s="668"/>
      <c r="G7735" s="668"/>
      <c r="H7735" s="668"/>
      <c r="I7735" s="668"/>
      <c r="J7735" s="668"/>
      <c r="K7735" s="668"/>
      <c r="L7735" s="668"/>
      <c r="M7735" s="668"/>
    </row>
    <row r="7736" spans="5:13">
      <c r="E7736" s="668"/>
      <c r="F7736" s="668"/>
      <c r="G7736" s="668"/>
      <c r="H7736" s="668"/>
      <c r="I7736" s="668"/>
      <c r="J7736" s="668"/>
      <c r="K7736" s="668"/>
      <c r="L7736" s="668"/>
      <c r="M7736" s="668"/>
    </row>
    <row r="7737" spans="5:13">
      <c r="E7737" s="668"/>
      <c r="F7737" s="668"/>
      <c r="G7737" s="668"/>
      <c r="H7737" s="668"/>
      <c r="I7737" s="668"/>
      <c r="J7737" s="668"/>
      <c r="K7737" s="668"/>
      <c r="L7737" s="668"/>
      <c r="M7737" s="668"/>
    </row>
    <row r="7738" spans="5:13">
      <c r="E7738" s="668"/>
      <c r="F7738" s="668"/>
      <c r="G7738" s="668"/>
      <c r="H7738" s="668"/>
      <c r="I7738" s="668"/>
      <c r="J7738" s="668"/>
      <c r="K7738" s="668"/>
      <c r="L7738" s="668"/>
      <c r="M7738" s="668"/>
    </row>
    <row r="7739" spans="5:13">
      <c r="E7739" s="668"/>
      <c r="F7739" s="668"/>
      <c r="G7739" s="668"/>
      <c r="H7739" s="668"/>
      <c r="I7739" s="668"/>
      <c r="J7739" s="668"/>
      <c r="K7739" s="668"/>
      <c r="L7739" s="668"/>
      <c r="M7739" s="668"/>
    </row>
    <row r="7740" spans="5:13">
      <c r="E7740" s="668"/>
      <c r="F7740" s="668"/>
      <c r="G7740" s="668"/>
      <c r="H7740" s="668"/>
      <c r="I7740" s="668"/>
      <c r="J7740" s="668"/>
      <c r="K7740" s="668"/>
      <c r="L7740" s="668"/>
      <c r="M7740" s="668"/>
    </row>
    <row r="7741" spans="5:13">
      <c r="E7741" s="668"/>
      <c r="F7741" s="668"/>
      <c r="G7741" s="668"/>
      <c r="H7741" s="668"/>
      <c r="I7741" s="668"/>
      <c r="J7741" s="668"/>
      <c r="K7741" s="668"/>
      <c r="L7741" s="668"/>
      <c r="M7741" s="668"/>
    </row>
    <row r="7742" spans="5:13">
      <c r="E7742" s="668"/>
      <c r="F7742" s="668"/>
      <c r="G7742" s="668"/>
      <c r="H7742" s="668"/>
      <c r="I7742" s="668"/>
      <c r="J7742" s="668"/>
      <c r="K7742" s="668"/>
      <c r="L7742" s="668"/>
      <c r="M7742" s="668"/>
    </row>
    <row r="7743" spans="5:13">
      <c r="E7743" s="668"/>
      <c r="F7743" s="668"/>
      <c r="G7743" s="668"/>
      <c r="H7743" s="668"/>
      <c r="I7743" s="668"/>
      <c r="J7743" s="668"/>
      <c r="K7743" s="668"/>
      <c r="L7743" s="668"/>
      <c r="M7743" s="668"/>
    </row>
    <row r="7744" spans="5:13">
      <c r="E7744" s="668"/>
      <c r="F7744" s="668"/>
      <c r="G7744" s="668"/>
      <c r="H7744" s="668"/>
      <c r="I7744" s="668"/>
      <c r="J7744" s="668"/>
      <c r="K7744" s="668"/>
      <c r="L7744" s="668"/>
      <c r="M7744" s="668"/>
    </row>
    <row r="7745" spans="5:13">
      <c r="E7745" s="668"/>
      <c r="F7745" s="668"/>
      <c r="G7745" s="668"/>
      <c r="H7745" s="668"/>
      <c r="I7745" s="668"/>
      <c r="J7745" s="668"/>
      <c r="K7745" s="668"/>
      <c r="L7745" s="668"/>
      <c r="M7745" s="668"/>
    </row>
    <row r="7746" spans="5:13">
      <c r="E7746" s="668"/>
      <c r="F7746" s="668"/>
      <c r="G7746" s="668"/>
      <c r="H7746" s="668"/>
      <c r="I7746" s="668"/>
      <c r="J7746" s="668"/>
      <c r="K7746" s="668"/>
      <c r="L7746" s="668"/>
      <c r="M7746" s="668"/>
    </row>
    <row r="7747" spans="5:13">
      <c r="E7747" s="668"/>
      <c r="F7747" s="668"/>
      <c r="G7747" s="668"/>
      <c r="H7747" s="668"/>
      <c r="I7747" s="668"/>
      <c r="J7747" s="668"/>
      <c r="K7747" s="668"/>
      <c r="L7747" s="668"/>
      <c r="M7747" s="668"/>
    </row>
    <row r="7748" spans="5:13">
      <c r="E7748" s="668"/>
      <c r="F7748" s="668"/>
      <c r="G7748" s="668"/>
      <c r="H7748" s="668"/>
      <c r="I7748" s="668"/>
      <c r="J7748" s="668"/>
      <c r="K7748" s="668"/>
      <c r="L7748" s="668"/>
      <c r="M7748" s="668"/>
    </row>
    <row r="7749" spans="5:13">
      <c r="E7749" s="668"/>
      <c r="F7749" s="668"/>
      <c r="G7749" s="668"/>
      <c r="H7749" s="668"/>
      <c r="I7749" s="668"/>
      <c r="J7749" s="668"/>
      <c r="K7749" s="668"/>
      <c r="L7749" s="668"/>
      <c r="M7749" s="668"/>
    </row>
    <row r="7750" spans="5:13">
      <c r="E7750" s="668"/>
      <c r="F7750" s="668"/>
      <c r="G7750" s="668"/>
      <c r="H7750" s="668"/>
      <c r="I7750" s="668"/>
      <c r="J7750" s="668"/>
      <c r="K7750" s="668"/>
      <c r="L7750" s="668"/>
      <c r="M7750" s="668"/>
    </row>
    <row r="7751" spans="5:13">
      <c r="E7751" s="668"/>
      <c r="F7751" s="668"/>
      <c r="G7751" s="668"/>
      <c r="H7751" s="668"/>
      <c r="I7751" s="668"/>
      <c r="J7751" s="668"/>
      <c r="K7751" s="668"/>
      <c r="L7751" s="668"/>
      <c r="M7751" s="668"/>
    </row>
    <row r="7752" spans="5:13">
      <c r="E7752" s="668"/>
      <c r="F7752" s="668"/>
      <c r="G7752" s="668"/>
      <c r="H7752" s="668"/>
      <c r="I7752" s="668"/>
      <c r="J7752" s="668"/>
      <c r="K7752" s="668"/>
      <c r="L7752" s="668"/>
      <c r="M7752" s="668"/>
    </row>
    <row r="7753" spans="5:13">
      <c r="E7753" s="668"/>
      <c r="F7753" s="668"/>
      <c r="G7753" s="668"/>
      <c r="H7753" s="668"/>
      <c r="I7753" s="668"/>
      <c r="J7753" s="668"/>
      <c r="K7753" s="668"/>
      <c r="L7753" s="668"/>
      <c r="M7753" s="668"/>
    </row>
    <row r="7754" spans="5:13">
      <c r="E7754" s="668"/>
      <c r="F7754" s="668"/>
      <c r="G7754" s="668"/>
      <c r="H7754" s="668"/>
      <c r="I7754" s="668"/>
      <c r="J7754" s="668"/>
      <c r="K7754" s="668"/>
      <c r="L7754" s="668"/>
      <c r="M7754" s="668"/>
    </row>
    <row r="7755" spans="5:13">
      <c r="E7755" s="668"/>
      <c r="F7755" s="668"/>
      <c r="G7755" s="668"/>
      <c r="H7755" s="668"/>
      <c r="I7755" s="668"/>
      <c r="J7755" s="668"/>
      <c r="K7755" s="668"/>
      <c r="L7755" s="668"/>
      <c r="M7755" s="668"/>
    </row>
    <row r="7756" spans="5:13">
      <c r="E7756" s="668"/>
      <c r="F7756" s="668"/>
      <c r="G7756" s="668"/>
      <c r="H7756" s="668"/>
      <c r="I7756" s="668"/>
      <c r="J7756" s="668"/>
      <c r="K7756" s="668"/>
      <c r="L7756" s="668"/>
      <c r="M7756" s="668"/>
    </row>
    <row r="7757" spans="5:13">
      <c r="E7757" s="668"/>
      <c r="F7757" s="668"/>
      <c r="G7757" s="668"/>
      <c r="H7757" s="668"/>
      <c r="I7757" s="668"/>
      <c r="J7757" s="668"/>
      <c r="K7757" s="668"/>
      <c r="L7757" s="668"/>
      <c r="M7757" s="668"/>
    </row>
    <row r="7758" spans="5:13">
      <c r="E7758" s="668"/>
      <c r="F7758" s="668"/>
      <c r="G7758" s="668"/>
      <c r="H7758" s="668"/>
      <c r="I7758" s="668"/>
      <c r="J7758" s="668"/>
      <c r="K7758" s="668"/>
      <c r="L7758" s="668"/>
      <c r="M7758" s="668"/>
    </row>
    <row r="7759" spans="5:13">
      <c r="E7759" s="668"/>
      <c r="F7759" s="668"/>
      <c r="G7759" s="668"/>
      <c r="H7759" s="668"/>
      <c r="I7759" s="668"/>
      <c r="J7759" s="668"/>
      <c r="K7759" s="668"/>
      <c r="L7759" s="668"/>
      <c r="M7759" s="668"/>
    </row>
    <row r="7760" spans="5:13">
      <c r="E7760" s="668"/>
      <c r="F7760" s="668"/>
      <c r="G7760" s="668"/>
      <c r="H7760" s="668"/>
      <c r="I7760" s="668"/>
      <c r="J7760" s="668"/>
      <c r="K7760" s="668"/>
      <c r="L7760" s="668"/>
      <c r="M7760" s="668"/>
    </row>
    <row r="7761" spans="5:13">
      <c r="E7761" s="668"/>
      <c r="F7761" s="668"/>
      <c r="G7761" s="668"/>
      <c r="H7761" s="668"/>
      <c r="I7761" s="668"/>
      <c r="J7761" s="668"/>
      <c r="K7761" s="668"/>
      <c r="L7761" s="668"/>
      <c r="M7761" s="668"/>
    </row>
    <row r="7762" spans="5:13">
      <c r="E7762" s="668"/>
      <c r="F7762" s="668"/>
      <c r="G7762" s="668"/>
      <c r="H7762" s="668"/>
      <c r="I7762" s="668"/>
      <c r="J7762" s="668"/>
      <c r="K7762" s="668"/>
      <c r="L7762" s="668"/>
      <c r="M7762" s="668"/>
    </row>
    <row r="7763" spans="5:13">
      <c r="E7763" s="668"/>
      <c r="F7763" s="668"/>
      <c r="G7763" s="668"/>
      <c r="H7763" s="668"/>
      <c r="I7763" s="668"/>
      <c r="J7763" s="668"/>
      <c r="K7763" s="668"/>
      <c r="L7763" s="668"/>
      <c r="M7763" s="668"/>
    </row>
    <row r="7764" spans="5:13">
      <c r="E7764" s="668"/>
      <c r="F7764" s="668"/>
      <c r="G7764" s="668"/>
      <c r="H7764" s="668"/>
      <c r="I7764" s="668"/>
      <c r="J7764" s="668"/>
      <c r="K7764" s="668"/>
      <c r="L7764" s="668"/>
      <c r="M7764" s="668"/>
    </row>
    <row r="7765" spans="5:13">
      <c r="E7765" s="668"/>
      <c r="F7765" s="668"/>
      <c r="G7765" s="668"/>
      <c r="H7765" s="668"/>
      <c r="I7765" s="668"/>
      <c r="J7765" s="668"/>
      <c r="K7765" s="668"/>
      <c r="L7765" s="668"/>
      <c r="M7765" s="668"/>
    </row>
    <row r="7766" spans="5:13">
      <c r="E7766" s="668"/>
      <c r="F7766" s="668"/>
      <c r="G7766" s="668"/>
      <c r="H7766" s="668"/>
      <c r="I7766" s="668"/>
      <c r="J7766" s="668"/>
      <c r="K7766" s="668"/>
      <c r="L7766" s="668"/>
      <c r="M7766" s="668"/>
    </row>
    <row r="7767" spans="5:13">
      <c r="E7767" s="668"/>
      <c r="F7767" s="668"/>
      <c r="G7767" s="668"/>
      <c r="H7767" s="668"/>
      <c r="I7767" s="668"/>
      <c r="J7767" s="668"/>
      <c r="K7767" s="668"/>
      <c r="L7767" s="668"/>
      <c r="M7767" s="668"/>
    </row>
    <row r="7768" spans="5:13">
      <c r="E7768" s="668"/>
      <c r="F7768" s="668"/>
      <c r="G7768" s="668"/>
      <c r="H7768" s="668"/>
      <c r="I7768" s="668"/>
      <c r="J7768" s="668"/>
      <c r="K7768" s="668"/>
      <c r="L7768" s="668"/>
      <c r="M7768" s="668"/>
    </row>
    <row r="7769" spans="5:13">
      <c r="E7769" s="668"/>
      <c r="F7769" s="668"/>
      <c r="G7769" s="668"/>
      <c r="H7769" s="668"/>
      <c r="I7769" s="668"/>
      <c r="J7769" s="668"/>
      <c r="K7769" s="668"/>
      <c r="L7769" s="668"/>
      <c r="M7769" s="668"/>
    </row>
    <row r="7770" spans="5:13">
      <c r="E7770" s="668"/>
      <c r="F7770" s="668"/>
      <c r="G7770" s="668"/>
      <c r="H7770" s="668"/>
      <c r="I7770" s="668"/>
      <c r="J7770" s="668"/>
      <c r="K7770" s="668"/>
      <c r="L7770" s="668"/>
      <c r="M7770" s="668"/>
    </row>
    <row r="7771" spans="5:13">
      <c r="E7771" s="668"/>
      <c r="F7771" s="668"/>
      <c r="G7771" s="668"/>
      <c r="H7771" s="668"/>
      <c r="I7771" s="668"/>
      <c r="J7771" s="668"/>
      <c r="K7771" s="668"/>
      <c r="L7771" s="668"/>
      <c r="M7771" s="668"/>
    </row>
    <row r="7772" spans="5:13">
      <c r="E7772" s="668"/>
      <c r="F7772" s="668"/>
      <c r="G7772" s="668"/>
      <c r="H7772" s="668"/>
      <c r="I7772" s="668"/>
      <c r="J7772" s="668"/>
      <c r="K7772" s="668"/>
      <c r="L7772" s="668"/>
      <c r="M7772" s="668"/>
    </row>
    <row r="7773" spans="5:13">
      <c r="E7773" s="668"/>
      <c r="F7773" s="668"/>
      <c r="G7773" s="668"/>
      <c r="H7773" s="668"/>
      <c r="I7773" s="668"/>
      <c r="J7773" s="668"/>
      <c r="K7773" s="668"/>
      <c r="L7773" s="668"/>
      <c r="M7773" s="668"/>
    </row>
    <row r="7774" spans="5:13">
      <c r="E7774" s="668"/>
      <c r="F7774" s="668"/>
      <c r="G7774" s="668"/>
      <c r="H7774" s="668"/>
      <c r="I7774" s="668"/>
      <c r="J7774" s="668"/>
      <c r="K7774" s="668"/>
      <c r="L7774" s="668"/>
      <c r="M7774" s="668"/>
    </row>
    <row r="7775" spans="5:13">
      <c r="E7775" s="668"/>
      <c r="F7775" s="668"/>
      <c r="G7775" s="668"/>
      <c r="H7775" s="668"/>
      <c r="I7775" s="668"/>
      <c r="J7775" s="668"/>
      <c r="K7775" s="668"/>
      <c r="L7775" s="668"/>
      <c r="M7775" s="668"/>
    </row>
    <row r="7776" spans="5:13">
      <c r="E7776" s="668"/>
      <c r="F7776" s="668"/>
      <c r="G7776" s="668"/>
      <c r="H7776" s="668"/>
      <c r="I7776" s="668"/>
      <c r="J7776" s="668"/>
      <c r="K7776" s="668"/>
      <c r="L7776" s="668"/>
      <c r="M7776" s="668"/>
    </row>
    <row r="7777" spans="5:13">
      <c r="E7777" s="668"/>
      <c r="F7777" s="668"/>
      <c r="G7777" s="668"/>
      <c r="H7777" s="668"/>
      <c r="I7777" s="668"/>
      <c r="J7777" s="668"/>
      <c r="K7777" s="668"/>
      <c r="L7777" s="668"/>
      <c r="M7777" s="668"/>
    </row>
    <row r="7778" spans="5:13">
      <c r="E7778" s="668"/>
      <c r="F7778" s="668"/>
      <c r="G7778" s="668"/>
      <c r="H7778" s="668"/>
      <c r="I7778" s="668"/>
      <c r="J7778" s="668"/>
      <c r="K7778" s="668"/>
      <c r="L7778" s="668"/>
      <c r="M7778" s="668"/>
    </row>
    <row r="7779" spans="5:13">
      <c r="E7779" s="668"/>
      <c r="F7779" s="668"/>
      <c r="G7779" s="668"/>
      <c r="H7779" s="668"/>
      <c r="I7779" s="668"/>
      <c r="J7779" s="668"/>
      <c r="K7779" s="668"/>
      <c r="L7779" s="668"/>
      <c r="M7779" s="668"/>
    </row>
    <row r="7780" spans="5:13">
      <c r="E7780" s="668"/>
      <c r="F7780" s="668"/>
      <c r="G7780" s="668"/>
      <c r="H7780" s="668"/>
      <c r="I7780" s="668"/>
      <c r="J7780" s="668"/>
      <c r="K7780" s="668"/>
      <c r="L7780" s="668"/>
      <c r="M7780" s="668"/>
    </row>
    <row r="7781" spans="5:13">
      <c r="E7781" s="668"/>
      <c r="F7781" s="668"/>
      <c r="G7781" s="668"/>
      <c r="H7781" s="668"/>
      <c r="I7781" s="668"/>
      <c r="J7781" s="668"/>
      <c r="K7781" s="668"/>
      <c r="L7781" s="668"/>
      <c r="M7781" s="668"/>
    </row>
    <row r="7782" spans="5:13">
      <c r="E7782" s="668"/>
      <c r="F7782" s="668"/>
      <c r="G7782" s="668"/>
      <c r="H7782" s="668"/>
      <c r="I7782" s="668"/>
      <c r="J7782" s="668"/>
      <c r="K7782" s="668"/>
      <c r="L7782" s="668"/>
      <c r="M7782" s="668"/>
    </row>
    <row r="7783" spans="5:13">
      <c r="E7783" s="668"/>
      <c r="F7783" s="668"/>
      <c r="G7783" s="668"/>
      <c r="H7783" s="668"/>
      <c r="I7783" s="668"/>
      <c r="J7783" s="668"/>
      <c r="K7783" s="668"/>
      <c r="L7783" s="668"/>
      <c r="M7783" s="668"/>
    </row>
    <row r="7784" spans="5:13">
      <c r="E7784" s="668"/>
      <c r="F7784" s="668"/>
      <c r="G7784" s="668"/>
      <c r="H7784" s="668"/>
      <c r="I7784" s="668"/>
      <c r="J7784" s="668"/>
      <c r="K7784" s="668"/>
      <c r="L7784" s="668"/>
      <c r="M7784" s="668"/>
    </row>
    <row r="7785" spans="5:13">
      <c r="E7785" s="668"/>
      <c r="F7785" s="668"/>
      <c r="G7785" s="668"/>
      <c r="H7785" s="668"/>
      <c r="I7785" s="668"/>
      <c r="J7785" s="668"/>
      <c r="K7785" s="668"/>
      <c r="L7785" s="668"/>
      <c r="M7785" s="668"/>
    </row>
    <row r="7786" spans="5:13">
      <c r="E7786" s="668"/>
      <c r="F7786" s="668"/>
      <c r="G7786" s="668"/>
      <c r="H7786" s="668"/>
      <c r="I7786" s="668"/>
      <c r="J7786" s="668"/>
      <c r="K7786" s="668"/>
      <c r="L7786" s="668"/>
      <c r="M7786" s="668"/>
    </row>
    <row r="7787" spans="5:13">
      <c r="E7787" s="668"/>
      <c r="F7787" s="668"/>
      <c r="G7787" s="668"/>
      <c r="H7787" s="668"/>
      <c r="I7787" s="668"/>
      <c r="J7787" s="668"/>
      <c r="K7787" s="668"/>
      <c r="L7787" s="668"/>
      <c r="M7787" s="668"/>
    </row>
    <row r="7788" spans="5:13">
      <c r="E7788" s="668"/>
      <c r="F7788" s="668"/>
      <c r="G7788" s="668"/>
      <c r="H7788" s="668"/>
      <c r="I7788" s="668"/>
      <c r="J7788" s="668"/>
      <c r="K7788" s="668"/>
      <c r="L7788" s="668"/>
      <c r="M7788" s="668"/>
    </row>
    <row r="7789" spans="5:13">
      <c r="E7789" s="668"/>
      <c r="F7789" s="668"/>
      <c r="G7789" s="668"/>
      <c r="H7789" s="668"/>
      <c r="I7789" s="668"/>
      <c r="J7789" s="668"/>
      <c r="K7789" s="668"/>
      <c r="L7789" s="668"/>
      <c r="M7789" s="668"/>
    </row>
    <row r="7790" spans="5:13">
      <c r="E7790" s="668"/>
      <c r="F7790" s="668"/>
      <c r="G7790" s="668"/>
      <c r="H7790" s="668"/>
      <c r="I7790" s="668"/>
      <c r="J7790" s="668"/>
      <c r="K7790" s="668"/>
      <c r="L7790" s="668"/>
      <c r="M7790" s="668"/>
    </row>
    <row r="7791" spans="5:13">
      <c r="E7791" s="668"/>
      <c r="F7791" s="668"/>
      <c r="G7791" s="668"/>
      <c r="H7791" s="668"/>
      <c r="I7791" s="668"/>
      <c r="J7791" s="668"/>
      <c r="K7791" s="668"/>
      <c r="L7791" s="668"/>
      <c r="M7791" s="668"/>
    </row>
    <row r="7792" spans="5:13">
      <c r="E7792" s="668"/>
      <c r="F7792" s="668"/>
      <c r="G7792" s="668"/>
      <c r="H7792" s="668"/>
      <c r="I7792" s="668"/>
      <c r="J7792" s="668"/>
      <c r="K7792" s="668"/>
      <c r="L7792" s="668"/>
      <c r="M7792" s="668"/>
    </row>
    <row r="7793" spans="5:13">
      <c r="E7793" s="668"/>
      <c r="F7793" s="668"/>
      <c r="G7793" s="668"/>
      <c r="H7793" s="668"/>
      <c r="I7793" s="668"/>
      <c r="J7793" s="668"/>
      <c r="K7793" s="668"/>
      <c r="L7793" s="668"/>
      <c r="M7793" s="668"/>
    </row>
    <row r="7794" spans="5:13">
      <c r="E7794" s="668"/>
      <c r="F7794" s="668"/>
      <c r="G7794" s="668"/>
      <c r="H7794" s="668"/>
      <c r="I7794" s="668"/>
      <c r="J7794" s="668"/>
      <c r="K7794" s="668"/>
      <c r="L7794" s="668"/>
      <c r="M7794" s="668"/>
    </row>
    <row r="7795" spans="5:13">
      <c r="E7795" s="668"/>
      <c r="F7795" s="668"/>
      <c r="G7795" s="668"/>
      <c r="H7795" s="668"/>
      <c r="I7795" s="668"/>
      <c r="J7795" s="668"/>
      <c r="K7795" s="668"/>
      <c r="L7795" s="668"/>
      <c r="M7795" s="668"/>
    </row>
    <row r="7796" spans="5:13">
      <c r="E7796" s="668"/>
      <c r="F7796" s="668"/>
      <c r="G7796" s="668"/>
      <c r="H7796" s="668"/>
      <c r="I7796" s="668"/>
      <c r="J7796" s="668"/>
      <c r="K7796" s="668"/>
      <c r="L7796" s="668"/>
      <c r="M7796" s="668"/>
    </row>
    <row r="7797" spans="5:13">
      <c r="E7797" s="668"/>
      <c r="F7797" s="668"/>
      <c r="G7797" s="668"/>
      <c r="H7797" s="668"/>
      <c r="I7797" s="668"/>
      <c r="J7797" s="668"/>
      <c r="K7797" s="668"/>
      <c r="L7797" s="668"/>
      <c r="M7797" s="668"/>
    </row>
    <row r="7798" spans="5:13">
      <c r="E7798" s="668"/>
      <c r="F7798" s="668"/>
      <c r="G7798" s="668"/>
      <c r="H7798" s="668"/>
      <c r="I7798" s="668"/>
      <c r="J7798" s="668"/>
      <c r="K7798" s="668"/>
      <c r="L7798" s="668"/>
      <c r="M7798" s="668"/>
    </row>
    <row r="7799" spans="5:13">
      <c r="E7799" s="668"/>
      <c r="F7799" s="668"/>
      <c r="G7799" s="668"/>
      <c r="H7799" s="668"/>
      <c r="I7799" s="668"/>
      <c r="J7799" s="668"/>
      <c r="K7799" s="668"/>
      <c r="L7799" s="668"/>
      <c r="M7799" s="668"/>
    </row>
    <row r="7800" spans="5:13">
      <c r="E7800" s="668"/>
      <c r="F7800" s="668"/>
      <c r="G7800" s="668"/>
      <c r="H7800" s="668"/>
      <c r="I7800" s="668"/>
      <c r="J7800" s="668"/>
      <c r="K7800" s="668"/>
      <c r="L7800" s="668"/>
      <c r="M7800" s="668"/>
    </row>
    <row r="7801" spans="5:13">
      <c r="E7801" s="668"/>
      <c r="F7801" s="668"/>
      <c r="G7801" s="668"/>
      <c r="H7801" s="668"/>
      <c r="I7801" s="668"/>
      <c r="J7801" s="668"/>
      <c r="K7801" s="668"/>
      <c r="L7801" s="668"/>
      <c r="M7801" s="668"/>
    </row>
    <row r="7802" spans="5:13">
      <c r="E7802" s="668"/>
      <c r="F7802" s="668"/>
      <c r="G7802" s="668"/>
      <c r="H7802" s="668"/>
      <c r="I7802" s="668"/>
      <c r="J7802" s="668"/>
      <c r="K7802" s="668"/>
      <c r="L7802" s="668"/>
      <c r="M7802" s="668"/>
    </row>
    <row r="7803" spans="5:13">
      <c r="E7803" s="668"/>
      <c r="F7803" s="668"/>
      <c r="G7803" s="668"/>
      <c r="H7803" s="668"/>
      <c r="I7803" s="668"/>
      <c r="J7803" s="668"/>
      <c r="K7803" s="668"/>
      <c r="L7803" s="668"/>
      <c r="M7803" s="668"/>
    </row>
    <row r="7804" spans="5:13">
      <c r="E7804" s="668"/>
      <c r="F7804" s="668"/>
      <c r="G7804" s="668"/>
      <c r="H7804" s="668"/>
      <c r="I7804" s="668"/>
      <c r="J7804" s="668"/>
      <c r="K7804" s="668"/>
      <c r="L7804" s="668"/>
      <c r="M7804" s="668"/>
    </row>
    <row r="7805" spans="5:13">
      <c r="E7805" s="668"/>
      <c r="F7805" s="668"/>
      <c r="G7805" s="668"/>
      <c r="H7805" s="668"/>
      <c r="I7805" s="668"/>
      <c r="J7805" s="668"/>
      <c r="K7805" s="668"/>
      <c r="L7805" s="668"/>
      <c r="M7805" s="668"/>
    </row>
    <row r="7806" spans="5:13">
      <c r="E7806" s="668"/>
      <c r="F7806" s="668"/>
      <c r="G7806" s="668"/>
      <c r="H7806" s="668"/>
      <c r="I7806" s="668"/>
      <c r="J7806" s="668"/>
      <c r="K7806" s="668"/>
      <c r="L7806" s="668"/>
      <c r="M7806" s="668"/>
    </row>
    <row r="7807" spans="5:13">
      <c r="E7807" s="668"/>
      <c r="F7807" s="668"/>
      <c r="G7807" s="668"/>
      <c r="H7807" s="668"/>
      <c r="I7807" s="668"/>
      <c r="J7807" s="668"/>
      <c r="K7807" s="668"/>
      <c r="L7807" s="668"/>
      <c r="M7807" s="668"/>
    </row>
    <row r="7808" spans="5:13">
      <c r="E7808" s="668"/>
      <c r="F7808" s="668"/>
      <c r="G7808" s="668"/>
      <c r="H7808" s="668"/>
      <c r="I7808" s="668"/>
      <c r="J7808" s="668"/>
      <c r="K7808" s="668"/>
      <c r="L7808" s="668"/>
      <c r="M7808" s="668"/>
    </row>
    <row r="7809" spans="5:13">
      <c r="E7809" s="668"/>
      <c r="F7809" s="668"/>
      <c r="G7809" s="668"/>
      <c r="H7809" s="668"/>
      <c r="I7809" s="668"/>
      <c r="J7809" s="668"/>
      <c r="K7809" s="668"/>
      <c r="L7809" s="668"/>
      <c r="M7809" s="668"/>
    </row>
    <row r="7810" spans="5:13">
      <c r="E7810" s="668"/>
      <c r="F7810" s="668"/>
      <c r="G7810" s="668"/>
      <c r="H7810" s="668"/>
      <c r="I7810" s="668"/>
      <c r="J7810" s="668"/>
      <c r="K7810" s="668"/>
      <c r="L7810" s="668"/>
      <c r="M7810" s="668"/>
    </row>
    <row r="7811" spans="5:13">
      <c r="E7811" s="668"/>
      <c r="F7811" s="668"/>
      <c r="G7811" s="668"/>
      <c r="H7811" s="668"/>
      <c r="I7811" s="668"/>
      <c r="J7811" s="668"/>
      <c r="K7811" s="668"/>
      <c r="L7811" s="668"/>
      <c r="M7811" s="668"/>
    </row>
    <row r="7812" spans="5:13">
      <c r="E7812" s="668"/>
      <c r="F7812" s="668"/>
      <c r="G7812" s="668"/>
      <c r="H7812" s="668"/>
      <c r="I7812" s="668"/>
      <c r="J7812" s="668"/>
      <c r="K7812" s="668"/>
      <c r="L7812" s="668"/>
      <c r="M7812" s="668"/>
    </row>
    <row r="7813" spans="5:13">
      <c r="E7813" s="668"/>
      <c r="F7813" s="668"/>
      <c r="G7813" s="668"/>
      <c r="H7813" s="668"/>
      <c r="I7813" s="668"/>
      <c r="J7813" s="668"/>
      <c r="K7813" s="668"/>
      <c r="L7813" s="668"/>
      <c r="M7813" s="668"/>
    </row>
    <row r="7814" spans="5:13">
      <c r="E7814" s="668"/>
      <c r="F7814" s="668"/>
      <c r="G7814" s="668"/>
      <c r="H7814" s="668"/>
      <c r="I7814" s="668"/>
      <c r="J7814" s="668"/>
      <c r="K7814" s="668"/>
      <c r="L7814" s="668"/>
      <c r="M7814" s="668"/>
    </row>
    <row r="7815" spans="5:13">
      <c r="E7815" s="668"/>
      <c r="F7815" s="668"/>
      <c r="G7815" s="668"/>
      <c r="H7815" s="668"/>
      <c r="I7815" s="668"/>
      <c r="J7815" s="668"/>
      <c r="K7815" s="668"/>
      <c r="L7815" s="668"/>
      <c r="M7815" s="668"/>
    </row>
    <row r="7816" spans="5:13">
      <c r="E7816" s="668"/>
      <c r="F7816" s="668"/>
      <c r="G7816" s="668"/>
      <c r="H7816" s="668"/>
      <c r="I7816" s="668"/>
      <c r="J7816" s="668"/>
      <c r="K7816" s="668"/>
      <c r="L7816" s="668"/>
      <c r="M7816" s="668"/>
    </row>
    <row r="7817" spans="5:13">
      <c r="E7817" s="668"/>
      <c r="F7817" s="668"/>
      <c r="G7817" s="668"/>
      <c r="H7817" s="668"/>
      <c r="I7817" s="668"/>
      <c r="J7817" s="668"/>
      <c r="K7817" s="668"/>
      <c r="L7817" s="668"/>
      <c r="M7817" s="668"/>
    </row>
    <row r="7818" spans="5:13">
      <c r="E7818" s="668"/>
      <c r="F7818" s="668"/>
      <c r="G7818" s="668"/>
      <c r="H7818" s="668"/>
      <c r="I7818" s="668"/>
      <c r="J7818" s="668"/>
      <c r="K7818" s="668"/>
      <c r="L7818" s="668"/>
      <c r="M7818" s="668"/>
    </row>
    <row r="7819" spans="5:13">
      <c r="E7819" s="668"/>
      <c r="F7819" s="668"/>
      <c r="G7819" s="668"/>
      <c r="H7819" s="668"/>
      <c r="I7819" s="668"/>
      <c r="J7819" s="668"/>
      <c r="K7819" s="668"/>
      <c r="L7819" s="668"/>
      <c r="M7819" s="668"/>
    </row>
    <row r="7820" spans="5:13">
      <c r="E7820" s="668"/>
      <c r="F7820" s="668"/>
      <c r="G7820" s="668"/>
      <c r="H7820" s="668"/>
      <c r="I7820" s="668"/>
      <c r="J7820" s="668"/>
      <c r="K7820" s="668"/>
      <c r="L7820" s="668"/>
      <c r="M7820" s="668"/>
    </row>
    <row r="7821" spans="5:13">
      <c r="E7821" s="668"/>
      <c r="F7821" s="668"/>
      <c r="G7821" s="668"/>
      <c r="H7821" s="668"/>
      <c r="I7821" s="668"/>
      <c r="J7821" s="668"/>
      <c r="K7821" s="668"/>
      <c r="L7821" s="668"/>
      <c r="M7821" s="668"/>
    </row>
    <row r="7822" spans="5:13">
      <c r="E7822" s="668"/>
      <c r="F7822" s="668"/>
      <c r="G7822" s="668"/>
      <c r="H7822" s="668"/>
      <c r="I7822" s="668"/>
      <c r="J7822" s="668"/>
      <c r="K7822" s="668"/>
      <c r="L7822" s="668"/>
      <c r="M7822" s="668"/>
    </row>
    <row r="7823" spans="5:13">
      <c r="E7823" s="668"/>
      <c r="F7823" s="668"/>
      <c r="G7823" s="668"/>
      <c r="H7823" s="668"/>
      <c r="I7823" s="668"/>
      <c r="J7823" s="668"/>
      <c r="K7823" s="668"/>
      <c r="L7823" s="668"/>
      <c r="M7823" s="668"/>
    </row>
    <row r="7824" spans="5:13">
      <c r="E7824" s="668"/>
      <c r="F7824" s="668"/>
      <c r="G7824" s="668"/>
      <c r="H7824" s="668"/>
      <c r="I7824" s="668"/>
      <c r="J7824" s="668"/>
      <c r="K7824" s="668"/>
      <c r="L7824" s="668"/>
      <c r="M7824" s="668"/>
    </row>
    <row r="7825" spans="5:13">
      <c r="E7825" s="668"/>
      <c r="F7825" s="668"/>
      <c r="G7825" s="668"/>
      <c r="H7825" s="668"/>
      <c r="I7825" s="668"/>
      <c r="J7825" s="668"/>
      <c r="K7825" s="668"/>
      <c r="L7825" s="668"/>
      <c r="M7825" s="668"/>
    </row>
    <row r="7826" spans="5:13">
      <c r="E7826" s="668"/>
      <c r="F7826" s="668"/>
      <c r="G7826" s="668"/>
      <c r="H7826" s="668"/>
      <c r="I7826" s="668"/>
      <c r="J7826" s="668"/>
      <c r="K7826" s="668"/>
      <c r="L7826" s="668"/>
      <c r="M7826" s="668"/>
    </row>
    <row r="7827" spans="5:13">
      <c r="E7827" s="668"/>
      <c r="F7827" s="668"/>
      <c r="G7827" s="668"/>
      <c r="H7827" s="668"/>
      <c r="I7827" s="668"/>
      <c r="J7827" s="668"/>
      <c r="K7827" s="668"/>
      <c r="L7827" s="668"/>
      <c r="M7827" s="668"/>
    </row>
    <row r="7828" spans="5:13">
      <c r="E7828" s="668"/>
      <c r="F7828" s="668"/>
      <c r="G7828" s="668"/>
      <c r="H7828" s="668"/>
      <c r="I7828" s="668"/>
      <c r="J7828" s="668"/>
      <c r="K7828" s="668"/>
      <c r="L7828" s="668"/>
      <c r="M7828" s="668"/>
    </row>
    <row r="7829" spans="5:13">
      <c r="E7829" s="668"/>
      <c r="F7829" s="668"/>
      <c r="G7829" s="668"/>
      <c r="H7829" s="668"/>
      <c r="I7829" s="668"/>
      <c r="J7829" s="668"/>
      <c r="K7829" s="668"/>
      <c r="L7829" s="668"/>
      <c r="M7829" s="668"/>
    </row>
    <row r="7830" spans="5:13">
      <c r="E7830" s="668"/>
      <c r="F7830" s="668"/>
      <c r="G7830" s="668"/>
      <c r="H7830" s="668"/>
      <c r="I7830" s="668"/>
      <c r="J7830" s="668"/>
      <c r="K7830" s="668"/>
      <c r="L7830" s="668"/>
      <c r="M7830" s="668"/>
    </row>
    <row r="7831" spans="5:13">
      <c r="E7831" s="668"/>
      <c r="F7831" s="668"/>
      <c r="G7831" s="668"/>
      <c r="H7831" s="668"/>
      <c r="I7831" s="668"/>
      <c r="J7831" s="668"/>
      <c r="K7831" s="668"/>
      <c r="L7831" s="668"/>
      <c r="M7831" s="668"/>
    </row>
    <row r="7832" spans="5:13">
      <c r="E7832" s="668"/>
      <c r="F7832" s="668"/>
      <c r="G7832" s="668"/>
      <c r="H7832" s="668"/>
      <c r="I7832" s="668"/>
      <c r="J7832" s="668"/>
      <c r="K7832" s="668"/>
      <c r="L7832" s="668"/>
      <c r="M7832" s="668"/>
    </row>
    <row r="7833" spans="5:13">
      <c r="E7833" s="668"/>
      <c r="F7833" s="668"/>
      <c r="G7833" s="668"/>
      <c r="H7833" s="668"/>
      <c r="I7833" s="668"/>
      <c r="J7833" s="668"/>
      <c r="K7833" s="668"/>
      <c r="L7833" s="668"/>
      <c r="M7833" s="668"/>
    </row>
    <row r="7834" spans="5:13">
      <c r="E7834" s="668"/>
      <c r="F7834" s="668"/>
      <c r="G7834" s="668"/>
      <c r="H7834" s="668"/>
      <c r="I7834" s="668"/>
      <c r="J7834" s="668"/>
      <c r="K7834" s="668"/>
      <c r="L7834" s="668"/>
      <c r="M7834" s="668"/>
    </row>
    <row r="7835" spans="5:13">
      <c r="E7835" s="668"/>
      <c r="F7835" s="668"/>
      <c r="G7835" s="668"/>
      <c r="H7835" s="668"/>
      <c r="I7835" s="668"/>
      <c r="J7835" s="668"/>
      <c r="K7835" s="668"/>
      <c r="L7835" s="668"/>
      <c r="M7835" s="668"/>
    </row>
    <row r="7836" spans="5:13">
      <c r="E7836" s="668"/>
      <c r="F7836" s="668"/>
      <c r="G7836" s="668"/>
      <c r="H7836" s="668"/>
      <c r="I7836" s="668"/>
      <c r="J7836" s="668"/>
      <c r="K7836" s="668"/>
      <c r="L7836" s="668"/>
      <c r="M7836" s="668"/>
    </row>
    <row r="7837" spans="5:13">
      <c r="E7837" s="668"/>
      <c r="F7837" s="668"/>
      <c r="G7837" s="668"/>
      <c r="H7837" s="668"/>
      <c r="I7837" s="668"/>
      <c r="J7837" s="668"/>
      <c r="K7837" s="668"/>
      <c r="L7837" s="668"/>
      <c r="M7837" s="668"/>
    </row>
    <row r="7838" spans="5:13">
      <c r="E7838" s="668"/>
      <c r="F7838" s="668"/>
      <c r="G7838" s="668"/>
      <c r="H7838" s="668"/>
      <c r="I7838" s="668"/>
      <c r="J7838" s="668"/>
      <c r="K7838" s="668"/>
      <c r="L7838" s="668"/>
      <c r="M7838" s="668"/>
    </row>
    <row r="7839" spans="5:13">
      <c r="E7839" s="668"/>
      <c r="F7839" s="668"/>
      <c r="G7839" s="668"/>
      <c r="H7839" s="668"/>
      <c r="I7839" s="668"/>
      <c r="J7839" s="668"/>
      <c r="K7839" s="668"/>
      <c r="L7839" s="668"/>
      <c r="M7839" s="668"/>
    </row>
    <row r="7840" spans="5:13">
      <c r="E7840" s="668"/>
      <c r="F7840" s="668"/>
      <c r="G7840" s="668"/>
      <c r="H7840" s="668"/>
      <c r="I7840" s="668"/>
      <c r="J7840" s="668"/>
      <c r="K7840" s="668"/>
      <c r="L7840" s="668"/>
      <c r="M7840" s="668"/>
    </row>
    <row r="7841" spans="5:13">
      <c r="E7841" s="668"/>
      <c r="F7841" s="668"/>
      <c r="G7841" s="668"/>
      <c r="H7841" s="668"/>
      <c r="I7841" s="668"/>
      <c r="J7841" s="668"/>
      <c r="K7841" s="668"/>
      <c r="L7841" s="668"/>
      <c r="M7841" s="668"/>
    </row>
    <row r="7842" spans="5:13">
      <c r="E7842" s="668"/>
      <c r="F7842" s="668"/>
      <c r="G7842" s="668"/>
      <c r="H7842" s="668"/>
      <c r="I7842" s="668"/>
      <c r="J7842" s="668"/>
      <c r="K7842" s="668"/>
      <c r="L7842" s="668"/>
      <c r="M7842" s="668"/>
    </row>
    <row r="7843" spans="5:13">
      <c r="E7843" s="668"/>
      <c r="F7843" s="668"/>
      <c r="G7843" s="668"/>
      <c r="H7843" s="668"/>
      <c r="I7843" s="668"/>
      <c r="J7843" s="668"/>
      <c r="K7843" s="668"/>
      <c r="L7843" s="668"/>
      <c r="M7843" s="668"/>
    </row>
    <row r="7844" spans="5:13">
      <c r="E7844" s="668"/>
      <c r="F7844" s="668"/>
      <c r="G7844" s="668"/>
      <c r="H7844" s="668"/>
      <c r="I7844" s="668"/>
      <c r="J7844" s="668"/>
      <c r="K7844" s="668"/>
      <c r="L7844" s="668"/>
      <c r="M7844" s="668"/>
    </row>
    <row r="7845" spans="5:13">
      <c r="E7845" s="668"/>
      <c r="F7845" s="668"/>
      <c r="G7845" s="668"/>
      <c r="H7845" s="668"/>
      <c r="I7845" s="668"/>
      <c r="J7845" s="668"/>
      <c r="K7845" s="668"/>
      <c r="L7845" s="668"/>
      <c r="M7845" s="668"/>
    </row>
    <row r="7846" spans="5:13">
      <c r="E7846" s="668"/>
      <c r="F7846" s="668"/>
      <c r="G7846" s="668"/>
      <c r="H7846" s="668"/>
      <c r="I7846" s="668"/>
      <c r="J7846" s="668"/>
      <c r="K7846" s="668"/>
      <c r="L7846" s="668"/>
      <c r="M7846" s="668"/>
    </row>
    <row r="7847" spans="5:13">
      <c r="E7847" s="668"/>
      <c r="F7847" s="668"/>
      <c r="G7847" s="668"/>
      <c r="H7847" s="668"/>
      <c r="I7847" s="668"/>
      <c r="J7847" s="668"/>
      <c r="K7847" s="668"/>
      <c r="L7847" s="668"/>
      <c r="M7847" s="668"/>
    </row>
    <row r="7848" spans="5:13">
      <c r="E7848" s="668"/>
      <c r="F7848" s="668"/>
      <c r="G7848" s="668"/>
      <c r="H7848" s="668"/>
      <c r="I7848" s="668"/>
      <c r="J7848" s="668"/>
      <c r="K7848" s="668"/>
      <c r="L7848" s="668"/>
      <c r="M7848" s="668"/>
    </row>
    <row r="7849" spans="5:13">
      <c r="E7849" s="668"/>
      <c r="F7849" s="668"/>
      <c r="G7849" s="668"/>
      <c r="H7849" s="668"/>
      <c r="I7849" s="668"/>
      <c r="J7849" s="668"/>
      <c r="K7849" s="668"/>
      <c r="L7849" s="668"/>
      <c r="M7849" s="668"/>
    </row>
    <row r="7850" spans="5:13">
      <c r="E7850" s="668"/>
      <c r="F7850" s="668"/>
      <c r="G7850" s="668"/>
      <c r="H7850" s="668"/>
      <c r="I7850" s="668"/>
      <c r="J7850" s="668"/>
      <c r="K7850" s="668"/>
      <c r="L7850" s="668"/>
      <c r="M7850" s="668"/>
    </row>
    <row r="7851" spans="5:13">
      <c r="E7851" s="668"/>
      <c r="F7851" s="668"/>
      <c r="G7851" s="668"/>
      <c r="H7851" s="668"/>
      <c r="I7851" s="668"/>
      <c r="J7851" s="668"/>
      <c r="K7851" s="668"/>
      <c r="L7851" s="668"/>
      <c r="M7851" s="668"/>
    </row>
    <row r="7852" spans="5:13">
      <c r="E7852" s="668"/>
      <c r="F7852" s="668"/>
      <c r="G7852" s="668"/>
      <c r="H7852" s="668"/>
      <c r="I7852" s="668"/>
      <c r="J7852" s="668"/>
      <c r="K7852" s="668"/>
      <c r="L7852" s="668"/>
      <c r="M7852" s="668"/>
    </row>
    <row r="7853" spans="5:13">
      <c r="E7853" s="668"/>
      <c r="F7853" s="668"/>
      <c r="G7853" s="668"/>
      <c r="H7853" s="668"/>
      <c r="I7853" s="668"/>
      <c r="J7853" s="668"/>
      <c r="K7853" s="668"/>
      <c r="L7853" s="668"/>
      <c r="M7853" s="668"/>
    </row>
    <row r="7854" spans="5:13">
      <c r="E7854" s="668"/>
      <c r="F7854" s="668"/>
      <c r="G7854" s="668"/>
      <c r="H7854" s="668"/>
      <c r="I7854" s="668"/>
      <c r="J7854" s="668"/>
      <c r="K7854" s="668"/>
      <c r="L7854" s="668"/>
      <c r="M7854" s="668"/>
    </row>
    <row r="7855" spans="5:13">
      <c r="E7855" s="668"/>
      <c r="F7855" s="668"/>
      <c r="G7855" s="668"/>
      <c r="H7855" s="668"/>
      <c r="I7855" s="668"/>
      <c r="J7855" s="668"/>
      <c r="K7855" s="668"/>
      <c r="L7855" s="668"/>
      <c r="M7855" s="668"/>
    </row>
    <row r="7856" spans="5:13">
      <c r="E7856" s="668"/>
      <c r="F7856" s="668"/>
      <c r="G7856" s="668"/>
      <c r="H7856" s="668"/>
      <c r="I7856" s="668"/>
      <c r="J7856" s="668"/>
      <c r="K7856" s="668"/>
      <c r="L7856" s="668"/>
      <c r="M7856" s="668"/>
    </row>
    <row r="7857" spans="5:13">
      <c r="E7857" s="668"/>
      <c r="F7857" s="668"/>
      <c r="G7857" s="668"/>
      <c r="H7857" s="668"/>
      <c r="I7857" s="668"/>
      <c r="J7857" s="668"/>
      <c r="K7857" s="668"/>
      <c r="L7857" s="668"/>
      <c r="M7857" s="668"/>
    </row>
    <row r="7858" spans="5:13">
      <c r="E7858" s="668"/>
      <c r="F7858" s="668"/>
      <c r="G7858" s="668"/>
      <c r="H7858" s="668"/>
      <c r="I7858" s="668"/>
      <c r="J7858" s="668"/>
      <c r="K7858" s="668"/>
      <c r="L7858" s="668"/>
      <c r="M7858" s="668"/>
    </row>
    <row r="7859" spans="5:13">
      <c r="E7859" s="668"/>
      <c r="F7859" s="668"/>
      <c r="G7859" s="668"/>
      <c r="H7859" s="668"/>
      <c r="I7859" s="668"/>
      <c r="J7859" s="668"/>
      <c r="K7859" s="668"/>
      <c r="L7859" s="668"/>
      <c r="M7859" s="668"/>
    </row>
    <row r="7860" spans="5:13">
      <c r="E7860" s="668"/>
      <c r="F7860" s="668"/>
      <c r="G7860" s="668"/>
      <c r="H7860" s="668"/>
      <c r="I7860" s="668"/>
      <c r="J7860" s="668"/>
      <c r="K7860" s="668"/>
      <c r="L7860" s="668"/>
      <c r="M7860" s="668"/>
    </row>
    <row r="7861" spans="5:13">
      <c r="E7861" s="668"/>
      <c r="F7861" s="668"/>
      <c r="G7861" s="668"/>
      <c r="H7861" s="668"/>
      <c r="I7861" s="668"/>
      <c r="J7861" s="668"/>
      <c r="K7861" s="668"/>
      <c r="L7861" s="668"/>
      <c r="M7861" s="668"/>
    </row>
    <row r="7862" spans="5:13">
      <c r="E7862" s="668"/>
      <c r="F7862" s="668"/>
      <c r="G7862" s="668"/>
      <c r="H7862" s="668"/>
      <c r="I7862" s="668"/>
      <c r="J7862" s="668"/>
      <c r="K7862" s="668"/>
      <c r="L7862" s="668"/>
      <c r="M7862" s="668"/>
    </row>
    <row r="7863" spans="5:13">
      <c r="E7863" s="668"/>
      <c r="F7863" s="668"/>
      <c r="G7863" s="668"/>
      <c r="H7863" s="668"/>
      <c r="I7863" s="668"/>
      <c r="J7863" s="668"/>
      <c r="K7863" s="668"/>
      <c r="L7863" s="668"/>
      <c r="M7863" s="668"/>
    </row>
    <row r="7864" spans="5:13">
      <c r="E7864" s="668"/>
      <c r="F7864" s="668"/>
      <c r="G7864" s="668"/>
      <c r="H7864" s="668"/>
      <c r="I7864" s="668"/>
      <c r="J7864" s="668"/>
      <c r="K7864" s="668"/>
      <c r="L7864" s="668"/>
      <c r="M7864" s="668"/>
    </row>
    <row r="7865" spans="5:13">
      <c r="E7865" s="668"/>
      <c r="F7865" s="668"/>
      <c r="G7865" s="668"/>
      <c r="H7865" s="668"/>
      <c r="I7865" s="668"/>
      <c r="J7865" s="668"/>
      <c r="K7865" s="668"/>
      <c r="L7865" s="668"/>
      <c r="M7865" s="668"/>
    </row>
    <row r="7866" spans="5:13">
      <c r="E7866" s="668"/>
      <c r="F7866" s="668"/>
      <c r="G7866" s="668"/>
      <c r="H7866" s="668"/>
      <c r="I7866" s="668"/>
      <c r="J7866" s="668"/>
      <c r="K7866" s="668"/>
      <c r="L7866" s="668"/>
      <c r="M7866" s="668"/>
    </row>
    <row r="7867" spans="5:13">
      <c r="E7867" s="668"/>
      <c r="F7867" s="668"/>
      <c r="G7867" s="668"/>
      <c r="H7867" s="668"/>
      <c r="I7867" s="668"/>
      <c r="J7867" s="668"/>
      <c r="K7867" s="668"/>
      <c r="L7867" s="668"/>
      <c r="M7867" s="668"/>
    </row>
    <row r="7868" spans="5:13">
      <c r="E7868" s="668"/>
      <c r="F7868" s="668"/>
      <c r="G7868" s="668"/>
      <c r="H7868" s="668"/>
      <c r="I7868" s="668"/>
      <c r="J7868" s="668"/>
      <c r="K7868" s="668"/>
      <c r="L7868" s="668"/>
      <c r="M7868" s="668"/>
    </row>
    <row r="7869" spans="5:13">
      <c r="E7869" s="668"/>
      <c r="F7869" s="668"/>
      <c r="G7869" s="668"/>
      <c r="H7869" s="668"/>
      <c r="I7869" s="668"/>
      <c r="J7869" s="668"/>
      <c r="K7869" s="668"/>
      <c r="L7869" s="668"/>
      <c r="M7869" s="668"/>
    </row>
    <row r="7870" spans="5:13">
      <c r="E7870" s="668"/>
      <c r="F7870" s="668"/>
      <c r="G7870" s="668"/>
      <c r="H7870" s="668"/>
      <c r="I7870" s="668"/>
      <c r="J7870" s="668"/>
      <c r="K7870" s="668"/>
      <c r="L7870" s="668"/>
      <c r="M7870" s="668"/>
    </row>
    <row r="7871" spans="5:13">
      <c r="E7871" s="668"/>
      <c r="F7871" s="668"/>
      <c r="G7871" s="668"/>
      <c r="H7871" s="668"/>
      <c r="I7871" s="668"/>
      <c r="J7871" s="668"/>
      <c r="K7871" s="668"/>
      <c r="L7871" s="668"/>
      <c r="M7871" s="668"/>
    </row>
    <row r="7872" spans="5:13">
      <c r="E7872" s="668"/>
      <c r="F7872" s="668"/>
      <c r="G7872" s="668"/>
      <c r="H7872" s="668"/>
      <c r="I7872" s="668"/>
      <c r="J7872" s="668"/>
      <c r="K7872" s="668"/>
      <c r="L7872" s="668"/>
      <c r="M7872" s="668"/>
    </row>
    <row r="7873" spans="5:13">
      <c r="E7873" s="668"/>
      <c r="F7873" s="668"/>
      <c r="G7873" s="668"/>
      <c r="H7873" s="668"/>
      <c r="I7873" s="668"/>
      <c r="J7873" s="668"/>
      <c r="K7873" s="668"/>
      <c r="L7873" s="668"/>
      <c r="M7873" s="668"/>
    </row>
    <row r="7874" spans="5:13">
      <c r="E7874" s="668"/>
      <c r="F7874" s="668"/>
      <c r="G7874" s="668"/>
      <c r="H7874" s="668"/>
      <c r="I7874" s="668"/>
      <c r="J7874" s="668"/>
      <c r="K7874" s="668"/>
      <c r="L7874" s="668"/>
      <c r="M7874" s="668"/>
    </row>
    <row r="7875" spans="5:13">
      <c r="E7875" s="668"/>
      <c r="F7875" s="668"/>
      <c r="G7875" s="668"/>
      <c r="H7875" s="668"/>
      <c r="I7875" s="668"/>
      <c r="J7875" s="668"/>
      <c r="K7875" s="668"/>
      <c r="L7875" s="668"/>
      <c r="M7875" s="668"/>
    </row>
    <row r="7876" spans="5:13">
      <c r="E7876" s="668"/>
      <c r="F7876" s="668"/>
      <c r="G7876" s="668"/>
      <c r="H7876" s="668"/>
      <c r="I7876" s="668"/>
      <c r="J7876" s="668"/>
      <c r="K7876" s="668"/>
      <c r="L7876" s="668"/>
      <c r="M7876" s="668"/>
    </row>
    <row r="7877" spans="5:13">
      <c r="E7877" s="668"/>
      <c r="F7877" s="668"/>
      <c r="G7877" s="668"/>
      <c r="H7877" s="668"/>
      <c r="I7877" s="668"/>
      <c r="J7877" s="668"/>
      <c r="K7877" s="668"/>
      <c r="L7877" s="668"/>
      <c r="M7877" s="668"/>
    </row>
    <row r="7878" spans="5:13">
      <c r="E7878" s="668"/>
      <c r="F7878" s="668"/>
      <c r="G7878" s="668"/>
      <c r="H7878" s="668"/>
      <c r="I7878" s="668"/>
      <c r="J7878" s="668"/>
      <c r="K7878" s="668"/>
      <c r="L7878" s="668"/>
      <c r="M7878" s="668"/>
    </row>
    <row r="7879" spans="5:13">
      <c r="E7879" s="668"/>
      <c r="F7879" s="668"/>
      <c r="G7879" s="668"/>
      <c r="H7879" s="668"/>
      <c r="I7879" s="668"/>
      <c r="J7879" s="668"/>
      <c r="K7879" s="668"/>
      <c r="L7879" s="668"/>
      <c r="M7879" s="668"/>
    </row>
    <row r="7880" spans="5:13">
      <c r="E7880" s="668"/>
      <c r="F7880" s="668"/>
      <c r="G7880" s="668"/>
      <c r="H7880" s="668"/>
      <c r="I7880" s="668"/>
      <c r="J7880" s="668"/>
      <c r="K7880" s="668"/>
      <c r="L7880" s="668"/>
      <c r="M7880" s="668"/>
    </row>
    <row r="7881" spans="5:13">
      <c r="E7881" s="668"/>
      <c r="F7881" s="668"/>
      <c r="G7881" s="668"/>
      <c r="H7881" s="668"/>
      <c r="I7881" s="668"/>
      <c r="J7881" s="668"/>
      <c r="K7881" s="668"/>
      <c r="L7881" s="668"/>
      <c r="M7881" s="668"/>
    </row>
    <row r="7882" spans="5:13">
      <c r="E7882" s="668"/>
      <c r="F7882" s="668"/>
      <c r="G7882" s="668"/>
      <c r="H7882" s="668"/>
      <c r="I7882" s="668"/>
      <c r="J7882" s="668"/>
      <c r="K7882" s="668"/>
      <c r="L7882" s="668"/>
      <c r="M7882" s="668"/>
    </row>
    <row r="7883" spans="5:13">
      <c r="E7883" s="668"/>
      <c r="F7883" s="668"/>
      <c r="G7883" s="668"/>
      <c r="H7883" s="668"/>
      <c r="I7883" s="668"/>
      <c r="J7883" s="668"/>
      <c r="K7883" s="668"/>
      <c r="L7883" s="668"/>
      <c r="M7883" s="668"/>
    </row>
    <row r="7884" spans="5:13">
      <c r="E7884" s="668"/>
      <c r="F7884" s="668"/>
      <c r="G7884" s="668"/>
      <c r="H7884" s="668"/>
      <c r="I7884" s="668"/>
      <c r="J7884" s="668"/>
      <c r="K7884" s="668"/>
      <c r="L7884" s="668"/>
      <c r="M7884" s="668"/>
    </row>
    <row r="7885" spans="5:13">
      <c r="E7885" s="668"/>
      <c r="F7885" s="668"/>
      <c r="G7885" s="668"/>
      <c r="H7885" s="668"/>
      <c r="I7885" s="668"/>
      <c r="J7885" s="668"/>
      <c r="K7885" s="668"/>
      <c r="L7885" s="668"/>
      <c r="M7885" s="668"/>
    </row>
    <row r="7886" spans="5:13">
      <c r="E7886" s="668"/>
      <c r="F7886" s="668"/>
      <c r="G7886" s="668"/>
      <c r="H7886" s="668"/>
      <c r="I7886" s="668"/>
      <c r="J7886" s="668"/>
      <c r="K7886" s="668"/>
      <c r="L7886" s="668"/>
      <c r="M7886" s="668"/>
    </row>
    <row r="7887" spans="5:13">
      <c r="E7887" s="668"/>
      <c r="F7887" s="668"/>
      <c r="G7887" s="668"/>
      <c r="H7887" s="668"/>
      <c r="I7887" s="668"/>
      <c r="J7887" s="668"/>
      <c r="K7887" s="668"/>
      <c r="L7887" s="668"/>
      <c r="M7887" s="668"/>
    </row>
    <row r="7888" spans="5:13">
      <c r="E7888" s="668"/>
      <c r="F7888" s="668"/>
      <c r="G7888" s="668"/>
      <c r="H7888" s="668"/>
      <c r="I7888" s="668"/>
      <c r="J7888" s="668"/>
      <c r="K7888" s="668"/>
      <c r="L7888" s="668"/>
      <c r="M7888" s="668"/>
    </row>
    <row r="7889" spans="5:13">
      <c r="E7889" s="668"/>
      <c r="F7889" s="668"/>
      <c r="G7889" s="668"/>
      <c r="H7889" s="668"/>
      <c r="I7889" s="668"/>
      <c r="J7889" s="668"/>
      <c r="K7889" s="668"/>
      <c r="L7889" s="668"/>
      <c r="M7889" s="668"/>
    </row>
    <row r="7890" spans="5:13">
      <c r="E7890" s="668"/>
      <c r="F7890" s="668"/>
      <c r="G7890" s="668"/>
      <c r="H7890" s="668"/>
      <c r="I7890" s="668"/>
      <c r="J7890" s="668"/>
      <c r="K7890" s="668"/>
      <c r="L7890" s="668"/>
      <c r="M7890" s="668"/>
    </row>
    <row r="7891" spans="5:13">
      <c r="E7891" s="668"/>
      <c r="F7891" s="668"/>
      <c r="G7891" s="668"/>
      <c r="H7891" s="668"/>
      <c r="I7891" s="668"/>
      <c r="J7891" s="668"/>
      <c r="K7891" s="668"/>
      <c r="L7891" s="668"/>
      <c r="M7891" s="668"/>
    </row>
    <row r="7892" spans="5:13">
      <c r="E7892" s="668"/>
      <c r="F7892" s="668"/>
      <c r="G7892" s="668"/>
      <c r="H7892" s="668"/>
      <c r="I7892" s="668"/>
      <c r="J7892" s="668"/>
      <c r="K7892" s="668"/>
      <c r="L7892" s="668"/>
      <c r="M7892" s="668"/>
    </row>
    <row r="7893" spans="5:13">
      <c r="E7893" s="668"/>
      <c r="F7893" s="668"/>
      <c r="G7893" s="668"/>
      <c r="H7893" s="668"/>
      <c r="I7893" s="668"/>
      <c r="J7893" s="668"/>
      <c r="K7893" s="668"/>
      <c r="L7893" s="668"/>
      <c r="M7893" s="668"/>
    </row>
    <row r="7894" spans="5:13">
      <c r="E7894" s="668"/>
      <c r="F7894" s="668"/>
      <c r="G7894" s="668"/>
      <c r="H7894" s="668"/>
      <c r="I7894" s="668"/>
      <c r="J7894" s="668"/>
      <c r="K7894" s="668"/>
      <c r="L7894" s="668"/>
      <c r="M7894" s="668"/>
    </row>
    <row r="7895" spans="5:13">
      <c r="E7895" s="668"/>
      <c r="F7895" s="668"/>
      <c r="G7895" s="668"/>
      <c r="H7895" s="668"/>
      <c r="I7895" s="668"/>
      <c r="J7895" s="668"/>
      <c r="K7895" s="668"/>
      <c r="L7895" s="668"/>
      <c r="M7895" s="668"/>
    </row>
    <row r="7896" spans="5:13">
      <c r="E7896" s="668"/>
      <c r="F7896" s="668"/>
      <c r="G7896" s="668"/>
      <c r="H7896" s="668"/>
      <c r="I7896" s="668"/>
      <c r="J7896" s="668"/>
      <c r="K7896" s="668"/>
      <c r="L7896" s="668"/>
      <c r="M7896" s="668"/>
    </row>
    <row r="7897" spans="5:13">
      <c r="E7897" s="668"/>
      <c r="F7897" s="668"/>
      <c r="G7897" s="668"/>
      <c r="H7897" s="668"/>
      <c r="I7897" s="668"/>
      <c r="J7897" s="668"/>
      <c r="K7897" s="668"/>
      <c r="L7897" s="668"/>
      <c r="M7897" s="668"/>
    </row>
    <row r="7898" spans="5:13">
      <c r="E7898" s="668"/>
      <c r="F7898" s="668"/>
      <c r="G7898" s="668"/>
      <c r="H7898" s="668"/>
      <c r="I7898" s="668"/>
      <c r="J7898" s="668"/>
      <c r="K7898" s="668"/>
      <c r="L7898" s="668"/>
      <c r="M7898" s="668"/>
    </row>
    <row r="7899" spans="5:13">
      <c r="E7899" s="668"/>
      <c r="F7899" s="668"/>
      <c r="G7899" s="668"/>
      <c r="H7899" s="668"/>
      <c r="I7899" s="668"/>
      <c r="J7899" s="668"/>
      <c r="K7899" s="668"/>
      <c r="L7899" s="668"/>
      <c r="M7899" s="668"/>
    </row>
    <row r="7900" spans="5:13">
      <c r="E7900" s="668"/>
      <c r="F7900" s="668"/>
      <c r="G7900" s="668"/>
      <c r="H7900" s="668"/>
      <c r="I7900" s="668"/>
      <c r="J7900" s="668"/>
      <c r="K7900" s="668"/>
      <c r="L7900" s="668"/>
      <c r="M7900" s="668"/>
    </row>
    <row r="7901" spans="5:13">
      <c r="E7901" s="668"/>
      <c r="F7901" s="668"/>
      <c r="G7901" s="668"/>
      <c r="H7901" s="668"/>
      <c r="I7901" s="668"/>
      <c r="J7901" s="668"/>
      <c r="K7901" s="668"/>
      <c r="L7901" s="668"/>
      <c r="M7901" s="668"/>
    </row>
    <row r="7902" spans="5:13">
      <c r="E7902" s="668"/>
      <c r="F7902" s="668"/>
      <c r="G7902" s="668"/>
      <c r="H7902" s="668"/>
      <c r="I7902" s="668"/>
      <c r="J7902" s="668"/>
      <c r="K7902" s="668"/>
      <c r="L7902" s="668"/>
      <c r="M7902" s="668"/>
    </row>
    <row r="7903" spans="5:13">
      <c r="E7903" s="668"/>
      <c r="F7903" s="668"/>
      <c r="G7903" s="668"/>
      <c r="H7903" s="668"/>
      <c r="I7903" s="668"/>
      <c r="J7903" s="668"/>
      <c r="K7903" s="668"/>
      <c r="L7903" s="668"/>
      <c r="M7903" s="668"/>
    </row>
    <row r="7904" spans="5:13">
      <c r="E7904" s="668"/>
      <c r="F7904" s="668"/>
      <c r="G7904" s="668"/>
      <c r="H7904" s="668"/>
      <c r="I7904" s="668"/>
      <c r="J7904" s="668"/>
      <c r="K7904" s="668"/>
      <c r="L7904" s="668"/>
      <c r="M7904" s="668"/>
    </row>
    <row r="7905" spans="8:8" s="511" customFormat="1">
      <c r="H7905" s="571"/>
    </row>
    <row r="7906" spans="8:8" s="511" customFormat="1">
      <c r="H7906" s="571"/>
    </row>
    <row r="7907" spans="8:8" s="511" customFormat="1">
      <c r="H7907" s="571"/>
    </row>
    <row r="7908" spans="8:8" s="511" customFormat="1">
      <c r="H7908" s="571"/>
    </row>
    <row r="7909" spans="8:8" s="511" customFormat="1">
      <c r="H7909" s="571"/>
    </row>
    <row r="7910" spans="8:8" s="511" customFormat="1">
      <c r="H7910" s="571"/>
    </row>
    <row r="7911" spans="8:8" s="511" customFormat="1">
      <c r="H7911" s="571"/>
    </row>
    <row r="7912" spans="8:8" s="511" customFormat="1">
      <c r="H7912" s="571"/>
    </row>
    <row r="7913" spans="8:8" s="511" customFormat="1">
      <c r="H7913" s="571"/>
    </row>
    <row r="7914" spans="8:8" s="511" customFormat="1">
      <c r="H7914" s="571"/>
    </row>
    <row r="7915" spans="8:8" s="511" customFormat="1">
      <c r="H7915" s="571"/>
    </row>
    <row r="7916" spans="8:8" s="511" customFormat="1">
      <c r="H7916" s="571"/>
    </row>
    <row r="7917" spans="8:8" s="511" customFormat="1">
      <c r="H7917" s="571"/>
    </row>
    <row r="7918" spans="8:8" s="511" customFormat="1">
      <c r="H7918" s="571"/>
    </row>
    <row r="7919" spans="8:8" s="511" customFormat="1">
      <c r="H7919" s="571"/>
    </row>
    <row r="7920" spans="8:8" s="511" customFormat="1">
      <c r="H7920" s="571"/>
    </row>
    <row r="7921" spans="8:8" s="511" customFormat="1">
      <c r="H7921" s="571"/>
    </row>
    <row r="7922" spans="8:8" s="511" customFormat="1">
      <c r="H7922" s="571"/>
    </row>
    <row r="7923" spans="8:8" s="511" customFormat="1">
      <c r="H7923" s="571"/>
    </row>
    <row r="7924" spans="8:8" s="511" customFormat="1">
      <c r="H7924" s="571"/>
    </row>
    <row r="7925" spans="8:8" s="511" customFormat="1">
      <c r="H7925" s="571"/>
    </row>
    <row r="7926" spans="8:8" s="511" customFormat="1">
      <c r="H7926" s="571"/>
    </row>
    <row r="7927" spans="8:8" s="511" customFormat="1">
      <c r="H7927" s="571"/>
    </row>
    <row r="7928" spans="8:8" s="511" customFormat="1">
      <c r="H7928" s="571"/>
    </row>
    <row r="7929" spans="8:8" s="511" customFormat="1">
      <c r="H7929" s="571"/>
    </row>
    <row r="7930" spans="8:8" s="511" customFormat="1">
      <c r="H7930" s="571"/>
    </row>
    <row r="7931" spans="8:8" s="511" customFormat="1">
      <c r="H7931" s="571"/>
    </row>
    <row r="7932" spans="8:8" s="511" customFormat="1">
      <c r="H7932" s="571"/>
    </row>
    <row r="7933" spans="8:8" s="511" customFormat="1">
      <c r="H7933" s="571"/>
    </row>
    <row r="7934" spans="8:8" s="511" customFormat="1">
      <c r="H7934" s="571"/>
    </row>
    <row r="7935" spans="8:8" s="511" customFormat="1">
      <c r="H7935" s="571"/>
    </row>
    <row r="7936" spans="8:8" s="511" customFormat="1">
      <c r="H7936" s="571"/>
    </row>
    <row r="7937" spans="8:8" s="511" customFormat="1">
      <c r="H7937" s="571"/>
    </row>
    <row r="7938" spans="8:8" s="511" customFormat="1">
      <c r="H7938" s="571"/>
    </row>
    <row r="7939" spans="8:8" s="511" customFormat="1">
      <c r="H7939" s="571"/>
    </row>
    <row r="7940" spans="8:8" s="511" customFormat="1">
      <c r="H7940" s="571"/>
    </row>
    <row r="7941" spans="8:8" s="511" customFormat="1">
      <c r="H7941" s="571"/>
    </row>
    <row r="7942" spans="8:8" s="511" customFormat="1">
      <c r="H7942" s="571"/>
    </row>
    <row r="7943" spans="8:8" s="511" customFormat="1">
      <c r="H7943" s="571"/>
    </row>
    <row r="7944" spans="8:8" s="511" customFormat="1">
      <c r="H7944" s="571"/>
    </row>
    <row r="7945" spans="8:8" s="511" customFormat="1">
      <c r="H7945" s="571"/>
    </row>
    <row r="7946" spans="8:8" s="511" customFormat="1">
      <c r="H7946" s="571"/>
    </row>
    <row r="7947" spans="8:8" s="511" customFormat="1">
      <c r="H7947" s="571"/>
    </row>
    <row r="7948" spans="8:8" s="511" customFormat="1">
      <c r="H7948" s="571"/>
    </row>
    <row r="7949" spans="8:8" s="511" customFormat="1">
      <c r="H7949" s="571"/>
    </row>
    <row r="7950" spans="8:8" s="511" customFormat="1">
      <c r="H7950" s="571"/>
    </row>
    <row r="7951" spans="8:8" s="511" customFormat="1">
      <c r="H7951" s="571"/>
    </row>
    <row r="7952" spans="8:8" s="511" customFormat="1">
      <c r="H7952" s="571"/>
    </row>
    <row r="7953" spans="8:8" s="511" customFormat="1">
      <c r="H7953" s="571"/>
    </row>
    <row r="7954" spans="8:8" s="511" customFormat="1">
      <c r="H7954" s="571"/>
    </row>
    <row r="7955" spans="8:8" s="511" customFormat="1">
      <c r="H7955" s="571"/>
    </row>
    <row r="7956" spans="8:8" s="511" customFormat="1">
      <c r="H7956" s="571"/>
    </row>
    <row r="7957" spans="8:8" s="511" customFormat="1">
      <c r="H7957" s="571"/>
    </row>
    <row r="7958" spans="8:8" s="511" customFormat="1">
      <c r="H7958" s="571"/>
    </row>
    <row r="7959" spans="8:8" s="511" customFormat="1">
      <c r="H7959" s="571"/>
    </row>
    <row r="7960" spans="8:8" s="511" customFormat="1">
      <c r="H7960" s="571"/>
    </row>
    <row r="7961" spans="8:8" s="511" customFormat="1">
      <c r="H7961" s="571"/>
    </row>
    <row r="7962" spans="8:8" s="511" customFormat="1">
      <c r="H7962" s="571"/>
    </row>
    <row r="7963" spans="8:8" s="511" customFormat="1">
      <c r="H7963" s="571"/>
    </row>
    <row r="7964" spans="8:8" s="511" customFormat="1">
      <c r="H7964" s="571"/>
    </row>
    <row r="7965" spans="8:8" s="511" customFormat="1">
      <c r="H7965" s="571"/>
    </row>
    <row r="7966" spans="8:8" s="511" customFormat="1">
      <c r="H7966" s="571"/>
    </row>
    <row r="7967" spans="8:8" s="511" customFormat="1">
      <c r="H7967" s="571"/>
    </row>
    <row r="7968" spans="8:8" s="511" customFormat="1">
      <c r="H7968" s="571"/>
    </row>
    <row r="7969" spans="8:8" s="511" customFormat="1">
      <c r="H7969" s="571"/>
    </row>
    <row r="7970" spans="8:8" s="511" customFormat="1">
      <c r="H7970" s="571"/>
    </row>
    <row r="7971" spans="8:8" s="511" customFormat="1">
      <c r="H7971" s="571"/>
    </row>
    <row r="7972" spans="8:8" s="511" customFormat="1">
      <c r="H7972" s="571"/>
    </row>
    <row r="7973" spans="8:8" s="511" customFormat="1">
      <c r="H7973" s="571"/>
    </row>
    <row r="7974" spans="8:8" s="511" customFormat="1">
      <c r="H7974" s="571"/>
    </row>
    <row r="7975" spans="8:8" s="511" customFormat="1">
      <c r="H7975" s="571"/>
    </row>
    <row r="7976" spans="8:8" s="511" customFormat="1">
      <c r="H7976" s="571"/>
    </row>
    <row r="7977" spans="8:8" s="511" customFormat="1">
      <c r="H7977" s="571"/>
    </row>
    <row r="7978" spans="8:8" s="511" customFormat="1">
      <c r="H7978" s="571"/>
    </row>
    <row r="7979" spans="8:8" s="511" customFormat="1">
      <c r="H7979" s="571"/>
    </row>
    <row r="7980" spans="8:8" s="511" customFormat="1">
      <c r="H7980" s="571"/>
    </row>
    <row r="7981" spans="8:8" s="511" customFormat="1">
      <c r="H7981" s="571"/>
    </row>
    <row r="7982" spans="8:8" s="511" customFormat="1">
      <c r="H7982" s="571"/>
    </row>
    <row r="7983" spans="8:8" s="511" customFormat="1">
      <c r="H7983" s="571"/>
    </row>
    <row r="7984" spans="8:8" s="511" customFormat="1">
      <c r="H7984" s="571"/>
    </row>
    <row r="7985" spans="8:8" s="511" customFormat="1">
      <c r="H7985" s="571"/>
    </row>
    <row r="7986" spans="8:8" s="511" customFormat="1">
      <c r="H7986" s="571"/>
    </row>
    <row r="7987" spans="8:8" s="511" customFormat="1">
      <c r="H7987" s="571"/>
    </row>
    <row r="7988" spans="8:8" s="511" customFormat="1">
      <c r="H7988" s="571"/>
    </row>
    <row r="7989" spans="8:8" s="511" customFormat="1">
      <c r="H7989" s="571"/>
    </row>
    <row r="7990" spans="8:8" s="511" customFormat="1">
      <c r="H7990" s="571"/>
    </row>
    <row r="7991" spans="8:8" s="511" customFormat="1">
      <c r="H7991" s="571"/>
    </row>
    <row r="7992" spans="8:8" s="511" customFormat="1">
      <c r="H7992" s="571"/>
    </row>
    <row r="7993" spans="8:8" s="511" customFormat="1">
      <c r="H7993" s="571"/>
    </row>
    <row r="7994" spans="8:8" s="511" customFormat="1">
      <c r="H7994" s="571"/>
    </row>
    <row r="7995" spans="8:8" s="511" customFormat="1">
      <c r="H7995" s="571"/>
    </row>
    <row r="7996" spans="8:8" s="511" customFormat="1">
      <c r="H7996" s="571"/>
    </row>
    <row r="7997" spans="8:8" s="511" customFormat="1">
      <c r="H7997" s="571"/>
    </row>
    <row r="7998" spans="8:8" s="511" customFormat="1">
      <c r="H7998" s="571"/>
    </row>
    <row r="7999" spans="8:8" s="511" customFormat="1">
      <c r="H7999" s="571"/>
    </row>
    <row r="8000" spans="8:8" s="511" customFormat="1">
      <c r="H8000" s="571"/>
    </row>
    <row r="8001" spans="8:8" s="511" customFormat="1">
      <c r="H8001" s="571"/>
    </row>
    <row r="8002" spans="8:8" s="511" customFormat="1">
      <c r="H8002" s="571"/>
    </row>
    <row r="8003" spans="8:8" s="511" customFormat="1">
      <c r="H8003" s="571"/>
    </row>
    <row r="8004" spans="8:8" s="511" customFormat="1">
      <c r="H8004" s="571"/>
    </row>
    <row r="8005" spans="8:8" s="511" customFormat="1">
      <c r="H8005" s="571"/>
    </row>
    <row r="8006" spans="8:8" s="511" customFormat="1">
      <c r="H8006" s="571"/>
    </row>
    <row r="8007" spans="8:8" s="511" customFormat="1">
      <c r="H8007" s="571"/>
    </row>
    <row r="8008" spans="8:8" s="511" customFormat="1">
      <c r="H8008" s="571"/>
    </row>
    <row r="8009" spans="8:8" s="511" customFormat="1">
      <c r="H8009" s="571"/>
    </row>
    <row r="8010" spans="8:8" s="511" customFormat="1">
      <c r="H8010" s="571"/>
    </row>
    <row r="8011" spans="8:8" s="511" customFormat="1">
      <c r="H8011" s="571"/>
    </row>
    <row r="8012" spans="8:8" s="511" customFormat="1">
      <c r="H8012" s="571"/>
    </row>
    <row r="8013" spans="8:8" s="511" customFormat="1">
      <c r="H8013" s="571"/>
    </row>
    <row r="8014" spans="8:8" s="511" customFormat="1">
      <c r="H8014" s="571"/>
    </row>
    <row r="8015" spans="8:8" s="511" customFormat="1">
      <c r="H8015" s="571"/>
    </row>
    <row r="8016" spans="8:8" s="511" customFormat="1">
      <c r="H8016" s="571"/>
    </row>
    <row r="8017" spans="8:8" s="511" customFormat="1">
      <c r="H8017" s="571"/>
    </row>
    <row r="8018" spans="8:8" s="511" customFormat="1">
      <c r="H8018" s="571"/>
    </row>
    <row r="8019" spans="8:8" s="511" customFormat="1">
      <c r="H8019" s="571"/>
    </row>
    <row r="8020" spans="8:8" s="511" customFormat="1">
      <c r="H8020" s="571"/>
    </row>
    <row r="8021" spans="8:8" s="511" customFormat="1">
      <c r="H8021" s="571"/>
    </row>
    <row r="8022" spans="8:8" s="511" customFormat="1">
      <c r="H8022" s="571"/>
    </row>
    <row r="8023" spans="8:8" s="511" customFormat="1">
      <c r="H8023" s="571"/>
    </row>
    <row r="8024" spans="8:8" s="511" customFormat="1">
      <c r="H8024" s="571"/>
    </row>
    <row r="8025" spans="8:8" s="511" customFormat="1">
      <c r="H8025" s="571"/>
    </row>
    <row r="8026" spans="8:8" s="511" customFormat="1">
      <c r="H8026" s="571"/>
    </row>
    <row r="8027" spans="8:8" s="511" customFormat="1">
      <c r="H8027" s="571"/>
    </row>
    <row r="8028" spans="8:8" s="511" customFormat="1">
      <c r="H8028" s="571"/>
    </row>
    <row r="8029" spans="8:8" s="511" customFormat="1">
      <c r="H8029" s="571"/>
    </row>
    <row r="8030" spans="8:8" s="511" customFormat="1">
      <c r="H8030" s="571"/>
    </row>
    <row r="8031" spans="8:8" s="511" customFormat="1">
      <c r="H8031" s="571"/>
    </row>
    <row r="8032" spans="8:8" s="511" customFormat="1">
      <c r="H8032" s="571"/>
    </row>
    <row r="8033" spans="8:8" s="511" customFormat="1">
      <c r="H8033" s="571"/>
    </row>
    <row r="8034" spans="8:8" s="511" customFormat="1">
      <c r="H8034" s="571"/>
    </row>
    <row r="8035" spans="8:8" s="511" customFormat="1">
      <c r="H8035" s="571"/>
    </row>
    <row r="8036" spans="8:8" s="511" customFormat="1">
      <c r="H8036" s="571"/>
    </row>
    <row r="8037" spans="8:8" s="511" customFormat="1">
      <c r="H8037" s="571"/>
    </row>
    <row r="8038" spans="8:8" s="511" customFormat="1">
      <c r="H8038" s="571"/>
    </row>
    <row r="8039" spans="8:8" s="511" customFormat="1">
      <c r="H8039" s="571"/>
    </row>
    <row r="8040" spans="8:8" s="511" customFormat="1">
      <c r="H8040" s="571"/>
    </row>
    <row r="8041" spans="8:8" s="511" customFormat="1">
      <c r="H8041" s="571"/>
    </row>
    <row r="8042" spans="8:8" s="511" customFormat="1">
      <c r="H8042" s="571"/>
    </row>
    <row r="8043" spans="8:8" s="511" customFormat="1">
      <c r="H8043" s="571"/>
    </row>
    <row r="8044" spans="8:8" s="511" customFormat="1">
      <c r="H8044" s="571"/>
    </row>
    <row r="8045" spans="8:8" s="511" customFormat="1">
      <c r="H8045" s="571"/>
    </row>
    <row r="8046" spans="8:8" s="511" customFormat="1">
      <c r="H8046" s="571"/>
    </row>
    <row r="8047" spans="8:8" s="511" customFormat="1">
      <c r="H8047" s="571"/>
    </row>
    <row r="8048" spans="8:8" s="511" customFormat="1">
      <c r="H8048" s="571"/>
    </row>
    <row r="8049" spans="8:8" s="511" customFormat="1">
      <c r="H8049" s="571"/>
    </row>
    <row r="8050" spans="8:8" s="511" customFormat="1">
      <c r="H8050" s="571"/>
    </row>
    <row r="8051" spans="8:8" s="511" customFormat="1">
      <c r="H8051" s="571"/>
    </row>
    <row r="8052" spans="8:8" s="511" customFormat="1">
      <c r="H8052" s="571"/>
    </row>
    <row r="8053" spans="8:8" s="511" customFormat="1">
      <c r="H8053" s="571"/>
    </row>
    <row r="8054" spans="8:8" s="511" customFormat="1">
      <c r="H8054" s="571"/>
    </row>
    <row r="8055" spans="8:8" s="511" customFormat="1">
      <c r="H8055" s="571"/>
    </row>
    <row r="8056" spans="8:8" s="511" customFormat="1">
      <c r="H8056" s="571"/>
    </row>
    <row r="8057" spans="8:8" s="511" customFormat="1">
      <c r="H8057" s="571"/>
    </row>
    <row r="8058" spans="8:8" s="511" customFormat="1">
      <c r="H8058" s="571"/>
    </row>
    <row r="8059" spans="8:8" s="511" customFormat="1">
      <c r="H8059" s="571"/>
    </row>
    <row r="8060" spans="8:8" s="511" customFormat="1">
      <c r="H8060" s="571"/>
    </row>
    <row r="8061" spans="8:8" s="511" customFormat="1">
      <c r="H8061" s="571"/>
    </row>
    <row r="8062" spans="8:8" s="511" customFormat="1">
      <c r="H8062" s="571"/>
    </row>
    <row r="8063" spans="8:8" s="511" customFormat="1">
      <c r="H8063" s="571"/>
    </row>
    <row r="8064" spans="8:8" s="511" customFormat="1">
      <c r="H8064" s="571"/>
    </row>
    <row r="8065" spans="8:8" s="511" customFormat="1">
      <c r="H8065" s="571"/>
    </row>
    <row r="8066" spans="8:8" s="511" customFormat="1">
      <c r="H8066" s="571"/>
    </row>
    <row r="8067" spans="8:8" s="511" customFormat="1">
      <c r="H8067" s="571"/>
    </row>
    <row r="8068" spans="8:8" s="511" customFormat="1">
      <c r="H8068" s="571"/>
    </row>
    <row r="8069" spans="8:8" s="511" customFormat="1">
      <c r="H8069" s="571"/>
    </row>
    <row r="8070" spans="8:8" s="511" customFormat="1">
      <c r="H8070" s="571"/>
    </row>
    <row r="8071" spans="8:8" s="511" customFormat="1">
      <c r="H8071" s="571"/>
    </row>
    <row r="8072" spans="8:8" s="511" customFormat="1">
      <c r="H8072" s="571"/>
    </row>
    <row r="8073" spans="8:8" s="511" customFormat="1">
      <c r="H8073" s="571"/>
    </row>
    <row r="8074" spans="8:8" s="511" customFormat="1">
      <c r="H8074" s="571"/>
    </row>
    <row r="8075" spans="8:8" s="511" customFormat="1">
      <c r="H8075" s="571"/>
    </row>
    <row r="8076" spans="8:8" s="511" customFormat="1">
      <c r="H8076" s="571"/>
    </row>
    <row r="8077" spans="8:8" s="511" customFormat="1">
      <c r="H8077" s="571"/>
    </row>
    <row r="8078" spans="8:8" s="511" customFormat="1">
      <c r="H8078" s="571"/>
    </row>
    <row r="8079" spans="8:8" s="511" customFormat="1">
      <c r="H8079" s="571"/>
    </row>
    <row r="8080" spans="8:8" s="511" customFormat="1">
      <c r="H8080" s="571"/>
    </row>
    <row r="8081" spans="8:8" s="511" customFormat="1">
      <c r="H8081" s="571"/>
    </row>
    <row r="8082" spans="8:8" s="511" customFormat="1">
      <c r="H8082" s="571"/>
    </row>
    <row r="8083" spans="8:8" s="511" customFormat="1">
      <c r="H8083" s="571"/>
    </row>
    <row r="8084" spans="8:8" s="511" customFormat="1">
      <c r="H8084" s="571"/>
    </row>
    <row r="8085" spans="8:8" s="511" customFormat="1">
      <c r="H8085" s="571"/>
    </row>
    <row r="8086" spans="8:8" s="511" customFormat="1">
      <c r="H8086" s="571"/>
    </row>
    <row r="8087" spans="8:8" s="511" customFormat="1">
      <c r="H8087" s="571"/>
    </row>
    <row r="8088" spans="8:8" s="511" customFormat="1">
      <c r="H8088" s="571"/>
    </row>
    <row r="8089" spans="8:8" s="511" customFormat="1">
      <c r="H8089" s="571"/>
    </row>
    <row r="8090" spans="8:8" s="511" customFormat="1">
      <c r="H8090" s="571"/>
    </row>
    <row r="8091" spans="8:8" s="511" customFormat="1">
      <c r="H8091" s="571"/>
    </row>
    <row r="8092" spans="8:8" s="511" customFormat="1">
      <c r="H8092" s="571"/>
    </row>
    <row r="8093" spans="8:8" s="511" customFormat="1">
      <c r="H8093" s="571"/>
    </row>
    <row r="8094" spans="8:8" s="511" customFormat="1">
      <c r="H8094" s="571"/>
    </row>
    <row r="8095" spans="8:8" s="511" customFormat="1">
      <c r="H8095" s="571"/>
    </row>
    <row r="8096" spans="8:8" s="511" customFormat="1">
      <c r="H8096" s="571"/>
    </row>
    <row r="8097" spans="8:8" s="511" customFormat="1">
      <c r="H8097" s="571"/>
    </row>
    <row r="8098" spans="8:8" s="511" customFormat="1">
      <c r="H8098" s="571"/>
    </row>
    <row r="8099" spans="8:8" s="511" customFormat="1">
      <c r="H8099" s="571"/>
    </row>
    <row r="8100" spans="8:8" s="511" customFormat="1">
      <c r="H8100" s="571"/>
    </row>
    <row r="8101" spans="8:8" s="511" customFormat="1">
      <c r="H8101" s="571"/>
    </row>
    <row r="8102" spans="8:8" s="511" customFormat="1">
      <c r="H8102" s="571"/>
    </row>
    <row r="8103" spans="8:8" s="511" customFormat="1">
      <c r="H8103" s="571"/>
    </row>
    <row r="8104" spans="8:8" s="511" customFormat="1">
      <c r="H8104" s="571"/>
    </row>
    <row r="8105" spans="8:8" s="511" customFormat="1">
      <c r="H8105" s="571"/>
    </row>
    <row r="8106" spans="8:8" s="511" customFormat="1">
      <c r="H8106" s="571"/>
    </row>
    <row r="8107" spans="8:8" s="511" customFormat="1">
      <c r="H8107" s="571"/>
    </row>
    <row r="8108" spans="8:8" s="511" customFormat="1">
      <c r="H8108" s="571"/>
    </row>
    <row r="8109" spans="8:8" s="511" customFormat="1">
      <c r="H8109" s="571"/>
    </row>
    <row r="8110" spans="8:8" s="511" customFormat="1">
      <c r="H8110" s="571"/>
    </row>
    <row r="8111" spans="8:8" s="511" customFormat="1">
      <c r="H8111" s="571"/>
    </row>
    <row r="8112" spans="8:8" s="511" customFormat="1">
      <c r="H8112" s="571"/>
    </row>
    <row r="8113" spans="8:8" s="511" customFormat="1">
      <c r="H8113" s="571"/>
    </row>
    <row r="8114" spans="8:8" s="511" customFormat="1">
      <c r="H8114" s="571"/>
    </row>
    <row r="8115" spans="8:8" s="511" customFormat="1">
      <c r="H8115" s="571"/>
    </row>
    <row r="8116" spans="8:8" s="511" customFormat="1">
      <c r="H8116" s="571"/>
    </row>
    <row r="8117" spans="8:8" s="511" customFormat="1">
      <c r="H8117" s="571"/>
    </row>
    <row r="8118" spans="8:8" s="511" customFormat="1">
      <c r="H8118" s="571"/>
    </row>
    <row r="8119" spans="8:8" s="511" customFormat="1">
      <c r="H8119" s="571"/>
    </row>
    <row r="8120" spans="8:8" s="511" customFormat="1">
      <c r="H8120" s="571"/>
    </row>
    <row r="8121" spans="8:8" s="511" customFormat="1">
      <c r="H8121" s="571"/>
    </row>
    <row r="8122" spans="8:8" s="511" customFormat="1">
      <c r="H8122" s="571"/>
    </row>
    <row r="8123" spans="8:8" s="511" customFormat="1">
      <c r="H8123" s="571"/>
    </row>
    <row r="8124" spans="8:8" s="511" customFormat="1">
      <c r="H8124" s="571"/>
    </row>
    <row r="8125" spans="8:8" s="511" customFormat="1">
      <c r="H8125" s="571"/>
    </row>
    <row r="8126" spans="8:8" s="511" customFormat="1">
      <c r="H8126" s="571"/>
    </row>
    <row r="8127" spans="8:8" s="511" customFormat="1">
      <c r="H8127" s="571"/>
    </row>
    <row r="8128" spans="8:8" s="511" customFormat="1">
      <c r="H8128" s="571"/>
    </row>
    <row r="8129" spans="8:8" s="511" customFormat="1">
      <c r="H8129" s="571"/>
    </row>
    <row r="8130" spans="8:8" s="511" customFormat="1">
      <c r="H8130" s="571"/>
    </row>
    <row r="8131" spans="8:8" s="511" customFormat="1">
      <c r="H8131" s="571"/>
    </row>
    <row r="8132" spans="8:8" s="511" customFormat="1">
      <c r="H8132" s="571"/>
    </row>
    <row r="8133" spans="8:8" s="511" customFormat="1">
      <c r="H8133" s="571"/>
    </row>
    <row r="8134" spans="8:8" s="511" customFormat="1">
      <c r="H8134" s="571"/>
    </row>
    <row r="8135" spans="8:8" s="511" customFormat="1">
      <c r="H8135" s="571"/>
    </row>
    <row r="8136" spans="8:8" s="511" customFormat="1">
      <c r="H8136" s="571"/>
    </row>
    <row r="8137" spans="8:8" s="511" customFormat="1">
      <c r="H8137" s="571"/>
    </row>
    <row r="8138" spans="8:8" s="511" customFormat="1">
      <c r="H8138" s="571"/>
    </row>
    <row r="8139" spans="8:8" s="511" customFormat="1">
      <c r="H8139" s="571"/>
    </row>
    <row r="8140" spans="8:8" s="511" customFormat="1">
      <c r="H8140" s="571"/>
    </row>
    <row r="8141" spans="8:8" s="511" customFormat="1">
      <c r="H8141" s="571"/>
    </row>
    <row r="8142" spans="8:8" s="511" customFormat="1">
      <c r="H8142" s="571"/>
    </row>
    <row r="8143" spans="8:8" s="511" customFormat="1">
      <c r="H8143" s="571"/>
    </row>
    <row r="8144" spans="8:8" s="511" customFormat="1">
      <c r="H8144" s="571"/>
    </row>
    <row r="8145" spans="8:8" s="511" customFormat="1">
      <c r="H8145" s="571"/>
    </row>
    <row r="8146" spans="8:8" s="511" customFormat="1">
      <c r="H8146" s="571"/>
    </row>
    <row r="8147" spans="8:8" s="511" customFormat="1">
      <c r="H8147" s="571"/>
    </row>
    <row r="8148" spans="8:8" s="511" customFormat="1">
      <c r="H8148" s="571"/>
    </row>
    <row r="8149" spans="8:8" s="511" customFormat="1">
      <c r="H8149" s="571"/>
    </row>
    <row r="8150" spans="8:8" s="511" customFormat="1">
      <c r="H8150" s="571"/>
    </row>
    <row r="8151" spans="8:8" s="511" customFormat="1">
      <c r="H8151" s="571"/>
    </row>
    <row r="8152" spans="8:8" s="511" customFormat="1">
      <c r="H8152" s="571"/>
    </row>
    <row r="8153" spans="8:8" s="511" customFormat="1">
      <c r="H8153" s="571"/>
    </row>
    <row r="8154" spans="8:8" s="511" customFormat="1">
      <c r="H8154" s="571"/>
    </row>
    <row r="8155" spans="8:8" s="511" customFormat="1">
      <c r="H8155" s="571"/>
    </row>
    <row r="8156" spans="8:8" s="511" customFormat="1">
      <c r="H8156" s="571"/>
    </row>
    <row r="8157" spans="8:8" s="511" customFormat="1">
      <c r="H8157" s="571"/>
    </row>
    <row r="8158" spans="8:8" s="511" customFormat="1">
      <c r="H8158" s="571"/>
    </row>
    <row r="8159" spans="8:8" s="511" customFormat="1">
      <c r="H8159" s="571"/>
    </row>
    <row r="8160" spans="8:8" s="511" customFormat="1">
      <c r="H8160" s="571"/>
    </row>
    <row r="8161" spans="8:8" s="511" customFormat="1">
      <c r="H8161" s="571"/>
    </row>
    <row r="8162" spans="8:8" s="511" customFormat="1">
      <c r="H8162" s="571"/>
    </row>
    <row r="8163" spans="8:8" s="511" customFormat="1">
      <c r="H8163" s="571"/>
    </row>
    <row r="8164" spans="8:8" s="511" customFormat="1">
      <c r="H8164" s="571"/>
    </row>
    <row r="8165" spans="8:8" s="511" customFormat="1">
      <c r="H8165" s="571"/>
    </row>
    <row r="8166" spans="8:8" s="511" customFormat="1">
      <c r="H8166" s="571"/>
    </row>
    <row r="8167" spans="8:8" s="511" customFormat="1">
      <c r="H8167" s="571"/>
    </row>
    <row r="8168" spans="8:8" s="511" customFormat="1">
      <c r="H8168" s="571"/>
    </row>
    <row r="8169" spans="8:8" s="511" customFormat="1">
      <c r="H8169" s="571"/>
    </row>
    <row r="8170" spans="8:8" s="511" customFormat="1">
      <c r="H8170" s="571"/>
    </row>
    <row r="8171" spans="8:8" s="511" customFormat="1">
      <c r="H8171" s="571"/>
    </row>
    <row r="8172" spans="8:8" s="511" customFormat="1">
      <c r="H8172" s="571"/>
    </row>
    <row r="8173" spans="8:8" s="511" customFormat="1">
      <c r="H8173" s="571"/>
    </row>
    <row r="8174" spans="8:8" s="511" customFormat="1">
      <c r="H8174" s="571"/>
    </row>
    <row r="8175" spans="8:8" s="511" customFormat="1">
      <c r="H8175" s="571"/>
    </row>
    <row r="8176" spans="8:8" s="511" customFormat="1">
      <c r="H8176" s="571"/>
    </row>
    <row r="8177" spans="8:8" s="511" customFormat="1">
      <c r="H8177" s="571"/>
    </row>
    <row r="8178" spans="8:8" s="511" customFormat="1">
      <c r="H8178" s="571"/>
    </row>
    <row r="8179" spans="8:8" s="511" customFormat="1">
      <c r="H8179" s="571"/>
    </row>
    <row r="8180" spans="8:8" s="511" customFormat="1">
      <c r="H8180" s="571"/>
    </row>
    <row r="8181" spans="8:8" s="511" customFormat="1">
      <c r="H8181" s="571"/>
    </row>
    <row r="8182" spans="8:8" s="511" customFormat="1">
      <c r="H8182" s="571"/>
    </row>
    <row r="8183" spans="8:8" s="511" customFormat="1">
      <c r="H8183" s="571"/>
    </row>
    <row r="8184" spans="8:8" s="511" customFormat="1">
      <c r="H8184" s="571"/>
    </row>
    <row r="8185" spans="8:8" s="511" customFormat="1">
      <c r="H8185" s="571"/>
    </row>
    <row r="8186" spans="8:8" s="511" customFormat="1">
      <c r="H8186" s="571"/>
    </row>
    <row r="8187" spans="8:8" s="511" customFormat="1">
      <c r="H8187" s="571"/>
    </row>
    <row r="8188" spans="8:8" s="511" customFormat="1">
      <c r="H8188" s="571"/>
    </row>
    <row r="8189" spans="8:8" s="511" customFormat="1">
      <c r="H8189" s="571"/>
    </row>
    <row r="8190" spans="8:8" s="511" customFormat="1">
      <c r="H8190" s="571"/>
    </row>
    <row r="8191" spans="8:8" s="511" customFormat="1">
      <c r="H8191" s="571"/>
    </row>
    <row r="8192" spans="8:8" s="511" customFormat="1">
      <c r="H8192" s="571"/>
    </row>
    <row r="8193" spans="8:8" s="511" customFormat="1">
      <c r="H8193" s="571"/>
    </row>
    <row r="8194" spans="8:8" s="511" customFormat="1">
      <c r="H8194" s="571"/>
    </row>
    <row r="8195" spans="8:8" s="511" customFormat="1">
      <c r="H8195" s="571"/>
    </row>
    <row r="8196" spans="8:8" s="511" customFormat="1">
      <c r="H8196" s="571"/>
    </row>
    <row r="8197" spans="8:8" s="511" customFormat="1">
      <c r="H8197" s="571"/>
    </row>
    <row r="8198" spans="8:8" s="511" customFormat="1">
      <c r="H8198" s="571"/>
    </row>
    <row r="8199" spans="8:8" s="511" customFormat="1">
      <c r="H8199" s="571"/>
    </row>
    <row r="8200" spans="8:8" s="511" customFormat="1">
      <c r="H8200" s="571"/>
    </row>
    <row r="8201" spans="8:8" s="511" customFormat="1">
      <c r="H8201" s="571"/>
    </row>
    <row r="8202" spans="8:8" s="511" customFormat="1">
      <c r="H8202" s="571"/>
    </row>
    <row r="8203" spans="8:8" s="511" customFormat="1">
      <c r="H8203" s="571"/>
    </row>
    <row r="8204" spans="8:8" s="511" customFormat="1">
      <c r="H8204" s="571"/>
    </row>
    <row r="8205" spans="8:8" s="511" customFormat="1">
      <c r="H8205" s="571"/>
    </row>
    <row r="8206" spans="8:8" s="511" customFormat="1">
      <c r="H8206" s="571"/>
    </row>
    <row r="8207" spans="8:8" s="511" customFormat="1">
      <c r="H8207" s="571"/>
    </row>
    <row r="8208" spans="8:8" s="511" customFormat="1">
      <c r="H8208" s="571"/>
    </row>
    <row r="8209" spans="8:8" s="511" customFormat="1">
      <c r="H8209" s="571"/>
    </row>
    <row r="8210" spans="8:8" s="511" customFormat="1">
      <c r="H8210" s="571"/>
    </row>
    <row r="8211" spans="8:8" s="511" customFormat="1">
      <c r="H8211" s="571"/>
    </row>
    <row r="8212" spans="8:8" s="511" customFormat="1">
      <c r="H8212" s="571"/>
    </row>
    <row r="8213" spans="8:8" s="511" customFormat="1">
      <c r="H8213" s="571"/>
    </row>
    <row r="8214" spans="8:8" s="511" customFormat="1">
      <c r="H8214" s="571"/>
    </row>
    <row r="8215" spans="8:8" s="511" customFormat="1">
      <c r="H8215" s="571"/>
    </row>
    <row r="8216" spans="8:8" s="511" customFormat="1">
      <c r="H8216" s="571"/>
    </row>
    <row r="8217" spans="8:8" s="511" customFormat="1">
      <c r="H8217" s="571"/>
    </row>
    <row r="8218" spans="8:8" s="511" customFormat="1">
      <c r="H8218" s="571"/>
    </row>
    <row r="8219" spans="8:8" s="511" customFormat="1">
      <c r="H8219" s="571"/>
    </row>
    <row r="8220" spans="8:8" s="511" customFormat="1">
      <c r="H8220" s="571"/>
    </row>
    <row r="8221" spans="8:8" s="511" customFormat="1">
      <c r="H8221" s="571"/>
    </row>
    <row r="8222" spans="8:8" s="511" customFormat="1">
      <c r="H8222" s="571"/>
    </row>
    <row r="8223" spans="8:8" s="511" customFormat="1">
      <c r="H8223" s="571"/>
    </row>
    <row r="8224" spans="8:8" s="511" customFormat="1">
      <c r="H8224" s="571"/>
    </row>
    <row r="8225" spans="8:8" s="511" customFormat="1">
      <c r="H8225" s="571"/>
    </row>
    <row r="8226" spans="8:8" s="511" customFormat="1">
      <c r="H8226" s="571"/>
    </row>
    <row r="8227" spans="8:8" s="511" customFormat="1">
      <c r="H8227" s="571"/>
    </row>
    <row r="8228" spans="8:8" s="511" customFormat="1">
      <c r="H8228" s="571"/>
    </row>
    <row r="8229" spans="8:8" s="511" customFormat="1">
      <c r="H8229" s="571"/>
    </row>
    <row r="8230" spans="8:8" s="511" customFormat="1">
      <c r="H8230" s="571"/>
    </row>
    <row r="8231" spans="8:8" s="511" customFormat="1">
      <c r="H8231" s="571"/>
    </row>
    <row r="8232" spans="8:8" s="511" customFormat="1">
      <c r="H8232" s="571"/>
    </row>
    <row r="8233" spans="8:8" s="511" customFormat="1">
      <c r="H8233" s="571"/>
    </row>
    <row r="8234" spans="8:8" s="511" customFormat="1">
      <c r="H8234" s="571"/>
    </row>
    <row r="8235" spans="8:8" s="511" customFormat="1">
      <c r="H8235" s="571"/>
    </row>
    <row r="8236" spans="8:8" s="511" customFormat="1">
      <c r="H8236" s="571"/>
    </row>
    <row r="8237" spans="8:8" s="511" customFormat="1">
      <c r="H8237" s="571"/>
    </row>
    <row r="8238" spans="8:8" s="511" customFormat="1">
      <c r="H8238" s="571"/>
    </row>
    <row r="8239" spans="8:8" s="511" customFormat="1">
      <c r="H8239" s="571"/>
    </row>
    <row r="8240" spans="8:8" s="511" customFormat="1">
      <c r="H8240" s="571"/>
    </row>
    <row r="8241" spans="8:8" s="511" customFormat="1">
      <c r="H8241" s="571"/>
    </row>
    <row r="8242" spans="8:8" s="511" customFormat="1">
      <c r="H8242" s="571"/>
    </row>
    <row r="8243" spans="8:8" s="511" customFormat="1">
      <c r="H8243" s="571"/>
    </row>
    <row r="8244" spans="8:8" s="511" customFormat="1">
      <c r="H8244" s="571"/>
    </row>
    <row r="8245" spans="8:8" s="511" customFormat="1">
      <c r="H8245" s="571"/>
    </row>
    <row r="8246" spans="8:8" s="511" customFormat="1">
      <c r="H8246" s="571"/>
    </row>
    <row r="8247" spans="8:8" s="511" customFormat="1">
      <c r="H8247" s="571"/>
    </row>
    <row r="8248" spans="8:8" s="511" customFormat="1">
      <c r="H8248" s="571"/>
    </row>
    <row r="8249" spans="8:8" s="511" customFormat="1">
      <c r="H8249" s="571"/>
    </row>
    <row r="8250" spans="8:8" s="511" customFormat="1">
      <c r="H8250" s="571"/>
    </row>
    <row r="8251" spans="8:8" s="511" customFormat="1">
      <c r="H8251" s="571"/>
    </row>
    <row r="8252" spans="8:8" s="511" customFormat="1">
      <c r="H8252" s="571"/>
    </row>
    <row r="8253" spans="8:8" s="511" customFormat="1">
      <c r="H8253" s="571"/>
    </row>
    <row r="8254" spans="8:8" s="511" customFormat="1">
      <c r="H8254" s="571"/>
    </row>
    <row r="8255" spans="8:8" s="511" customFormat="1">
      <c r="H8255" s="571"/>
    </row>
    <row r="8256" spans="8:8" s="511" customFormat="1">
      <c r="H8256" s="571"/>
    </row>
    <row r="8257" spans="8:8" s="511" customFormat="1">
      <c r="H8257" s="571"/>
    </row>
    <row r="8258" spans="8:8" s="511" customFormat="1">
      <c r="H8258" s="571"/>
    </row>
    <row r="8259" spans="8:8" s="511" customFormat="1">
      <c r="H8259" s="571"/>
    </row>
    <row r="8260" spans="8:8" s="511" customFormat="1">
      <c r="H8260" s="571"/>
    </row>
    <row r="8261" spans="8:8" s="511" customFormat="1">
      <c r="H8261" s="571"/>
    </row>
    <row r="8262" spans="8:8" s="511" customFormat="1">
      <c r="H8262" s="571"/>
    </row>
    <row r="8263" spans="8:8" s="511" customFormat="1">
      <c r="H8263" s="571"/>
    </row>
    <row r="8264" spans="8:8" s="511" customFormat="1">
      <c r="H8264" s="571"/>
    </row>
    <row r="8265" spans="8:8" s="511" customFormat="1">
      <c r="H8265" s="571"/>
    </row>
    <row r="8266" spans="8:8" s="511" customFormat="1">
      <c r="H8266" s="571"/>
    </row>
    <row r="8267" spans="8:8" s="511" customFormat="1">
      <c r="H8267" s="571"/>
    </row>
    <row r="8268" spans="8:8" s="511" customFormat="1">
      <c r="H8268" s="571"/>
    </row>
    <row r="8269" spans="8:8" s="511" customFormat="1">
      <c r="H8269" s="571"/>
    </row>
    <row r="8270" spans="8:8" s="511" customFormat="1">
      <c r="H8270" s="571"/>
    </row>
    <row r="8271" spans="8:8" s="511" customFormat="1">
      <c r="H8271" s="571"/>
    </row>
    <row r="8272" spans="8:8" s="511" customFormat="1">
      <c r="H8272" s="571"/>
    </row>
    <row r="8273" spans="8:8" s="511" customFormat="1">
      <c r="H8273" s="571"/>
    </row>
    <row r="8274" spans="8:8" s="511" customFormat="1">
      <c r="H8274" s="571"/>
    </row>
    <row r="8275" spans="8:8" s="511" customFormat="1">
      <c r="H8275" s="571"/>
    </row>
    <row r="8276" spans="8:8" s="511" customFormat="1">
      <c r="H8276" s="571"/>
    </row>
    <row r="8277" spans="8:8" s="511" customFormat="1">
      <c r="H8277" s="571"/>
    </row>
    <row r="8278" spans="8:8" s="511" customFormat="1">
      <c r="H8278" s="571"/>
    </row>
    <row r="8279" spans="8:8" s="511" customFormat="1">
      <c r="H8279" s="571"/>
    </row>
    <row r="8280" spans="8:8" s="511" customFormat="1">
      <c r="H8280" s="571"/>
    </row>
    <row r="8281" spans="8:8" s="511" customFormat="1">
      <c r="H8281" s="571"/>
    </row>
    <row r="8282" spans="8:8" s="511" customFormat="1">
      <c r="H8282" s="571"/>
    </row>
    <row r="8283" spans="8:8" s="511" customFormat="1">
      <c r="H8283" s="571"/>
    </row>
    <row r="8284" spans="8:8" s="511" customFormat="1">
      <c r="H8284" s="571"/>
    </row>
    <row r="8285" spans="8:8" s="511" customFormat="1">
      <c r="H8285" s="571"/>
    </row>
    <row r="8286" spans="8:8" s="511" customFormat="1">
      <c r="H8286" s="571"/>
    </row>
    <row r="8287" spans="8:8" s="511" customFormat="1">
      <c r="H8287" s="571"/>
    </row>
    <row r="8288" spans="8:8" s="511" customFormat="1">
      <c r="H8288" s="571"/>
    </row>
    <row r="8289" spans="8:8" s="511" customFormat="1">
      <c r="H8289" s="571"/>
    </row>
    <row r="8290" spans="8:8" s="511" customFormat="1">
      <c r="H8290" s="571"/>
    </row>
    <row r="8291" spans="8:8" s="511" customFormat="1">
      <c r="H8291" s="571"/>
    </row>
    <row r="8292" spans="8:8" s="511" customFormat="1">
      <c r="H8292" s="571"/>
    </row>
    <row r="8293" spans="8:8" s="511" customFormat="1">
      <c r="H8293" s="571"/>
    </row>
    <row r="8294" spans="8:8" s="511" customFormat="1">
      <c r="H8294" s="571"/>
    </row>
    <row r="8295" spans="8:8" s="511" customFormat="1">
      <c r="H8295" s="571"/>
    </row>
    <row r="8296" spans="8:8" s="511" customFormat="1">
      <c r="H8296" s="571"/>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10.xml><?xml version="1.0" encoding="utf-8"?>
<worksheet xmlns="http://schemas.openxmlformats.org/spreadsheetml/2006/main" xmlns:r="http://schemas.openxmlformats.org/officeDocument/2006/relationships">
  <sheetPr codeName="Sheet18"/>
  <dimension ref="A1:M226"/>
  <sheetViews>
    <sheetView view="pageBreakPreview" topLeftCell="A81" zoomScale="80" zoomScaleSheetLayoutView="80" workbookViewId="0">
      <selection activeCell="K118" sqref="K118"/>
    </sheetView>
  </sheetViews>
  <sheetFormatPr defaultRowHeight="15.75"/>
  <cols>
    <col min="1" max="1" width="16.42578125" style="2" customWidth="1"/>
    <col min="2" max="2" width="11.28515625" style="2" customWidth="1"/>
    <col min="3" max="3" width="66.42578125" style="2" customWidth="1"/>
    <col min="4" max="4" width="10.85546875" style="2" customWidth="1"/>
    <col min="5" max="5" width="9.42578125" style="2" customWidth="1"/>
    <col min="6" max="6" width="16.42578125" style="2" customWidth="1"/>
    <col min="7" max="7" width="11.7109375" style="2" customWidth="1"/>
    <col min="8" max="8" width="11.5703125" style="2" bestFit="1" customWidth="1"/>
    <col min="9" max="9" width="21.7109375" style="2" customWidth="1"/>
    <col min="10" max="256" width="9.140625" style="2"/>
    <col min="257" max="257" width="16.42578125" style="2" customWidth="1"/>
    <col min="258" max="258" width="11.28515625" style="2" customWidth="1"/>
    <col min="259" max="259" width="66.42578125" style="2" customWidth="1"/>
    <col min="260" max="260" width="10.85546875" style="2" customWidth="1"/>
    <col min="261" max="261" width="9.42578125" style="2" customWidth="1"/>
    <col min="262" max="262" width="16.42578125" style="2" customWidth="1"/>
    <col min="263" max="263" width="11.7109375" style="2" customWidth="1"/>
    <col min="264" max="264" width="11.5703125" style="2" bestFit="1" customWidth="1"/>
    <col min="265" max="265" width="21.7109375" style="2" customWidth="1"/>
    <col min="266" max="512" width="9.140625" style="2"/>
    <col min="513" max="513" width="16.42578125" style="2" customWidth="1"/>
    <col min="514" max="514" width="11.28515625" style="2" customWidth="1"/>
    <col min="515" max="515" width="66.42578125" style="2" customWidth="1"/>
    <col min="516" max="516" width="10.85546875" style="2" customWidth="1"/>
    <col min="517" max="517" width="9.42578125" style="2" customWidth="1"/>
    <col min="518" max="518" width="16.42578125" style="2" customWidth="1"/>
    <col min="519" max="519" width="11.7109375" style="2" customWidth="1"/>
    <col min="520" max="520" width="11.5703125" style="2" bestFit="1" customWidth="1"/>
    <col min="521" max="521" width="21.7109375" style="2" customWidth="1"/>
    <col min="522" max="768" width="9.140625" style="2"/>
    <col min="769" max="769" width="16.42578125" style="2" customWidth="1"/>
    <col min="770" max="770" width="11.28515625" style="2" customWidth="1"/>
    <col min="771" max="771" width="66.42578125" style="2" customWidth="1"/>
    <col min="772" max="772" width="10.85546875" style="2" customWidth="1"/>
    <col min="773" max="773" width="9.42578125" style="2" customWidth="1"/>
    <col min="774" max="774" width="16.42578125" style="2" customWidth="1"/>
    <col min="775" max="775" width="11.7109375" style="2" customWidth="1"/>
    <col min="776" max="776" width="11.5703125" style="2" bestFit="1" customWidth="1"/>
    <col min="777" max="777" width="21.7109375" style="2" customWidth="1"/>
    <col min="778" max="1024" width="9.140625" style="2"/>
    <col min="1025" max="1025" width="16.42578125" style="2" customWidth="1"/>
    <col min="1026" max="1026" width="11.28515625" style="2" customWidth="1"/>
    <col min="1027" max="1027" width="66.42578125" style="2" customWidth="1"/>
    <col min="1028" max="1028" width="10.85546875" style="2" customWidth="1"/>
    <col min="1029" max="1029" width="9.42578125" style="2" customWidth="1"/>
    <col min="1030" max="1030" width="16.42578125" style="2" customWidth="1"/>
    <col min="1031" max="1031" width="11.7109375" style="2" customWidth="1"/>
    <col min="1032" max="1032" width="11.5703125" style="2" bestFit="1" customWidth="1"/>
    <col min="1033" max="1033" width="21.7109375" style="2" customWidth="1"/>
    <col min="1034" max="1280" width="9.140625" style="2"/>
    <col min="1281" max="1281" width="16.42578125" style="2" customWidth="1"/>
    <col min="1282" max="1282" width="11.28515625" style="2" customWidth="1"/>
    <col min="1283" max="1283" width="66.42578125" style="2" customWidth="1"/>
    <col min="1284" max="1284" width="10.85546875" style="2" customWidth="1"/>
    <col min="1285" max="1285" width="9.42578125" style="2" customWidth="1"/>
    <col min="1286" max="1286" width="16.42578125" style="2" customWidth="1"/>
    <col min="1287" max="1287" width="11.7109375" style="2" customWidth="1"/>
    <col min="1288" max="1288" width="11.5703125" style="2" bestFit="1" customWidth="1"/>
    <col min="1289" max="1289" width="21.7109375" style="2" customWidth="1"/>
    <col min="1290" max="1536" width="9.140625" style="2"/>
    <col min="1537" max="1537" width="16.42578125" style="2" customWidth="1"/>
    <col min="1538" max="1538" width="11.28515625" style="2" customWidth="1"/>
    <col min="1539" max="1539" width="66.42578125" style="2" customWidth="1"/>
    <col min="1540" max="1540" width="10.85546875" style="2" customWidth="1"/>
    <col min="1541" max="1541" width="9.42578125" style="2" customWidth="1"/>
    <col min="1542" max="1542" width="16.42578125" style="2" customWidth="1"/>
    <col min="1543" max="1543" width="11.7109375" style="2" customWidth="1"/>
    <col min="1544" max="1544" width="11.5703125" style="2" bestFit="1" customWidth="1"/>
    <col min="1545" max="1545" width="21.7109375" style="2" customWidth="1"/>
    <col min="1546" max="1792" width="9.140625" style="2"/>
    <col min="1793" max="1793" width="16.42578125" style="2" customWidth="1"/>
    <col min="1794" max="1794" width="11.28515625" style="2" customWidth="1"/>
    <col min="1795" max="1795" width="66.42578125" style="2" customWidth="1"/>
    <col min="1796" max="1796" width="10.85546875" style="2" customWidth="1"/>
    <col min="1797" max="1797" width="9.42578125" style="2" customWidth="1"/>
    <col min="1798" max="1798" width="16.42578125" style="2" customWidth="1"/>
    <col min="1799" max="1799" width="11.7109375" style="2" customWidth="1"/>
    <col min="1800" max="1800" width="11.5703125" style="2" bestFit="1" customWidth="1"/>
    <col min="1801" max="1801" width="21.7109375" style="2" customWidth="1"/>
    <col min="1802" max="2048" width="9.140625" style="2"/>
    <col min="2049" max="2049" width="16.42578125" style="2" customWidth="1"/>
    <col min="2050" max="2050" width="11.28515625" style="2" customWidth="1"/>
    <col min="2051" max="2051" width="66.42578125" style="2" customWidth="1"/>
    <col min="2052" max="2052" width="10.85546875" style="2" customWidth="1"/>
    <col min="2053" max="2053" width="9.42578125" style="2" customWidth="1"/>
    <col min="2054" max="2054" width="16.42578125" style="2" customWidth="1"/>
    <col min="2055" max="2055" width="11.7109375" style="2" customWidth="1"/>
    <col min="2056" max="2056" width="11.5703125" style="2" bestFit="1" customWidth="1"/>
    <col min="2057" max="2057" width="21.7109375" style="2" customWidth="1"/>
    <col min="2058" max="2304" width="9.140625" style="2"/>
    <col min="2305" max="2305" width="16.42578125" style="2" customWidth="1"/>
    <col min="2306" max="2306" width="11.28515625" style="2" customWidth="1"/>
    <col min="2307" max="2307" width="66.42578125" style="2" customWidth="1"/>
    <col min="2308" max="2308" width="10.85546875" style="2" customWidth="1"/>
    <col min="2309" max="2309" width="9.42578125" style="2" customWidth="1"/>
    <col min="2310" max="2310" width="16.42578125" style="2" customWidth="1"/>
    <col min="2311" max="2311" width="11.7109375" style="2" customWidth="1"/>
    <col min="2312" max="2312" width="11.5703125" style="2" bestFit="1" customWidth="1"/>
    <col min="2313" max="2313" width="21.7109375" style="2" customWidth="1"/>
    <col min="2314" max="2560" width="9.140625" style="2"/>
    <col min="2561" max="2561" width="16.42578125" style="2" customWidth="1"/>
    <col min="2562" max="2562" width="11.28515625" style="2" customWidth="1"/>
    <col min="2563" max="2563" width="66.42578125" style="2" customWidth="1"/>
    <col min="2564" max="2564" width="10.85546875" style="2" customWidth="1"/>
    <col min="2565" max="2565" width="9.42578125" style="2" customWidth="1"/>
    <col min="2566" max="2566" width="16.42578125" style="2" customWidth="1"/>
    <col min="2567" max="2567" width="11.7109375" style="2" customWidth="1"/>
    <col min="2568" max="2568" width="11.5703125" style="2" bestFit="1" customWidth="1"/>
    <col min="2569" max="2569" width="21.7109375" style="2" customWidth="1"/>
    <col min="2570" max="2816" width="9.140625" style="2"/>
    <col min="2817" max="2817" width="16.42578125" style="2" customWidth="1"/>
    <col min="2818" max="2818" width="11.28515625" style="2" customWidth="1"/>
    <col min="2819" max="2819" width="66.42578125" style="2" customWidth="1"/>
    <col min="2820" max="2820" width="10.85546875" style="2" customWidth="1"/>
    <col min="2821" max="2821" width="9.42578125" style="2" customWidth="1"/>
    <col min="2822" max="2822" width="16.42578125" style="2" customWidth="1"/>
    <col min="2823" max="2823" width="11.7109375" style="2" customWidth="1"/>
    <col min="2824" max="2824" width="11.5703125" style="2" bestFit="1" customWidth="1"/>
    <col min="2825" max="2825" width="21.7109375" style="2" customWidth="1"/>
    <col min="2826" max="3072" width="9.140625" style="2"/>
    <col min="3073" max="3073" width="16.42578125" style="2" customWidth="1"/>
    <col min="3074" max="3074" width="11.28515625" style="2" customWidth="1"/>
    <col min="3075" max="3075" width="66.42578125" style="2" customWidth="1"/>
    <col min="3076" max="3076" width="10.85546875" style="2" customWidth="1"/>
    <col min="3077" max="3077" width="9.42578125" style="2" customWidth="1"/>
    <col min="3078" max="3078" width="16.42578125" style="2" customWidth="1"/>
    <col min="3079" max="3079" width="11.7109375" style="2" customWidth="1"/>
    <col min="3080" max="3080" width="11.5703125" style="2" bestFit="1" customWidth="1"/>
    <col min="3081" max="3081" width="21.7109375" style="2" customWidth="1"/>
    <col min="3082" max="3328" width="9.140625" style="2"/>
    <col min="3329" max="3329" width="16.42578125" style="2" customWidth="1"/>
    <col min="3330" max="3330" width="11.28515625" style="2" customWidth="1"/>
    <col min="3331" max="3331" width="66.42578125" style="2" customWidth="1"/>
    <col min="3332" max="3332" width="10.85546875" style="2" customWidth="1"/>
    <col min="3333" max="3333" width="9.42578125" style="2" customWidth="1"/>
    <col min="3334" max="3334" width="16.42578125" style="2" customWidth="1"/>
    <col min="3335" max="3335" width="11.7109375" style="2" customWidth="1"/>
    <col min="3336" max="3336" width="11.5703125" style="2" bestFit="1" customWidth="1"/>
    <col min="3337" max="3337" width="21.7109375" style="2" customWidth="1"/>
    <col min="3338" max="3584" width="9.140625" style="2"/>
    <col min="3585" max="3585" width="16.42578125" style="2" customWidth="1"/>
    <col min="3586" max="3586" width="11.28515625" style="2" customWidth="1"/>
    <col min="3587" max="3587" width="66.42578125" style="2" customWidth="1"/>
    <col min="3588" max="3588" width="10.85546875" style="2" customWidth="1"/>
    <col min="3589" max="3589" width="9.42578125" style="2" customWidth="1"/>
    <col min="3590" max="3590" width="16.42578125" style="2" customWidth="1"/>
    <col min="3591" max="3591" width="11.7109375" style="2" customWidth="1"/>
    <col min="3592" max="3592" width="11.5703125" style="2" bestFit="1" customWidth="1"/>
    <col min="3593" max="3593" width="21.7109375" style="2" customWidth="1"/>
    <col min="3594" max="3840" width="9.140625" style="2"/>
    <col min="3841" max="3841" width="16.42578125" style="2" customWidth="1"/>
    <col min="3842" max="3842" width="11.28515625" style="2" customWidth="1"/>
    <col min="3843" max="3843" width="66.42578125" style="2" customWidth="1"/>
    <col min="3844" max="3844" width="10.85546875" style="2" customWidth="1"/>
    <col min="3845" max="3845" width="9.42578125" style="2" customWidth="1"/>
    <col min="3846" max="3846" width="16.42578125" style="2" customWidth="1"/>
    <col min="3847" max="3847" width="11.7109375" style="2" customWidth="1"/>
    <col min="3848" max="3848" width="11.5703125" style="2" bestFit="1" customWidth="1"/>
    <col min="3849" max="3849" width="21.7109375" style="2" customWidth="1"/>
    <col min="3850" max="4096" width="9.140625" style="2"/>
    <col min="4097" max="4097" width="16.42578125" style="2" customWidth="1"/>
    <col min="4098" max="4098" width="11.28515625" style="2" customWidth="1"/>
    <col min="4099" max="4099" width="66.42578125" style="2" customWidth="1"/>
    <col min="4100" max="4100" width="10.85546875" style="2" customWidth="1"/>
    <col min="4101" max="4101" width="9.42578125" style="2" customWidth="1"/>
    <col min="4102" max="4102" width="16.42578125" style="2" customWidth="1"/>
    <col min="4103" max="4103" width="11.7109375" style="2" customWidth="1"/>
    <col min="4104" max="4104" width="11.5703125" style="2" bestFit="1" customWidth="1"/>
    <col min="4105" max="4105" width="21.7109375" style="2" customWidth="1"/>
    <col min="4106" max="4352" width="9.140625" style="2"/>
    <col min="4353" max="4353" width="16.42578125" style="2" customWidth="1"/>
    <col min="4354" max="4354" width="11.28515625" style="2" customWidth="1"/>
    <col min="4355" max="4355" width="66.42578125" style="2" customWidth="1"/>
    <col min="4356" max="4356" width="10.85546875" style="2" customWidth="1"/>
    <col min="4357" max="4357" width="9.42578125" style="2" customWidth="1"/>
    <col min="4358" max="4358" width="16.42578125" style="2" customWidth="1"/>
    <col min="4359" max="4359" width="11.7109375" style="2" customWidth="1"/>
    <col min="4360" max="4360" width="11.5703125" style="2" bestFit="1" customWidth="1"/>
    <col min="4361" max="4361" width="21.7109375" style="2" customWidth="1"/>
    <col min="4362" max="4608" width="9.140625" style="2"/>
    <col min="4609" max="4609" width="16.42578125" style="2" customWidth="1"/>
    <col min="4610" max="4610" width="11.28515625" style="2" customWidth="1"/>
    <col min="4611" max="4611" width="66.42578125" style="2" customWidth="1"/>
    <col min="4612" max="4612" width="10.85546875" style="2" customWidth="1"/>
    <col min="4613" max="4613" width="9.42578125" style="2" customWidth="1"/>
    <col min="4614" max="4614" width="16.42578125" style="2" customWidth="1"/>
    <col min="4615" max="4615" width="11.7109375" style="2" customWidth="1"/>
    <col min="4616" max="4616" width="11.5703125" style="2" bestFit="1" customWidth="1"/>
    <col min="4617" max="4617" width="21.7109375" style="2" customWidth="1"/>
    <col min="4618" max="4864" width="9.140625" style="2"/>
    <col min="4865" max="4865" width="16.42578125" style="2" customWidth="1"/>
    <col min="4866" max="4866" width="11.28515625" style="2" customWidth="1"/>
    <col min="4867" max="4867" width="66.42578125" style="2" customWidth="1"/>
    <col min="4868" max="4868" width="10.85546875" style="2" customWidth="1"/>
    <col min="4869" max="4869" width="9.42578125" style="2" customWidth="1"/>
    <col min="4870" max="4870" width="16.42578125" style="2" customWidth="1"/>
    <col min="4871" max="4871" width="11.7109375" style="2" customWidth="1"/>
    <col min="4872" max="4872" width="11.5703125" style="2" bestFit="1" customWidth="1"/>
    <col min="4873" max="4873" width="21.7109375" style="2" customWidth="1"/>
    <col min="4874" max="5120" width="9.140625" style="2"/>
    <col min="5121" max="5121" width="16.42578125" style="2" customWidth="1"/>
    <col min="5122" max="5122" width="11.28515625" style="2" customWidth="1"/>
    <col min="5123" max="5123" width="66.42578125" style="2" customWidth="1"/>
    <col min="5124" max="5124" width="10.85546875" style="2" customWidth="1"/>
    <col min="5125" max="5125" width="9.42578125" style="2" customWidth="1"/>
    <col min="5126" max="5126" width="16.42578125" style="2" customWidth="1"/>
    <col min="5127" max="5127" width="11.7109375" style="2" customWidth="1"/>
    <col min="5128" max="5128" width="11.5703125" style="2" bestFit="1" customWidth="1"/>
    <col min="5129" max="5129" width="21.7109375" style="2" customWidth="1"/>
    <col min="5130" max="5376" width="9.140625" style="2"/>
    <col min="5377" max="5377" width="16.42578125" style="2" customWidth="1"/>
    <col min="5378" max="5378" width="11.28515625" style="2" customWidth="1"/>
    <col min="5379" max="5379" width="66.42578125" style="2" customWidth="1"/>
    <col min="5380" max="5380" width="10.85546875" style="2" customWidth="1"/>
    <col min="5381" max="5381" width="9.42578125" style="2" customWidth="1"/>
    <col min="5382" max="5382" width="16.42578125" style="2" customWidth="1"/>
    <col min="5383" max="5383" width="11.7109375" style="2" customWidth="1"/>
    <col min="5384" max="5384" width="11.5703125" style="2" bestFit="1" customWidth="1"/>
    <col min="5385" max="5385" width="21.7109375" style="2" customWidth="1"/>
    <col min="5386" max="5632" width="9.140625" style="2"/>
    <col min="5633" max="5633" width="16.42578125" style="2" customWidth="1"/>
    <col min="5634" max="5634" width="11.28515625" style="2" customWidth="1"/>
    <col min="5635" max="5635" width="66.42578125" style="2" customWidth="1"/>
    <col min="5636" max="5636" width="10.85546875" style="2" customWidth="1"/>
    <col min="5637" max="5637" width="9.42578125" style="2" customWidth="1"/>
    <col min="5638" max="5638" width="16.42578125" style="2" customWidth="1"/>
    <col min="5639" max="5639" width="11.7109375" style="2" customWidth="1"/>
    <col min="5640" max="5640" width="11.5703125" style="2" bestFit="1" customWidth="1"/>
    <col min="5641" max="5641" width="21.7109375" style="2" customWidth="1"/>
    <col min="5642" max="5888" width="9.140625" style="2"/>
    <col min="5889" max="5889" width="16.42578125" style="2" customWidth="1"/>
    <col min="5890" max="5890" width="11.28515625" style="2" customWidth="1"/>
    <col min="5891" max="5891" width="66.42578125" style="2" customWidth="1"/>
    <col min="5892" max="5892" width="10.85546875" style="2" customWidth="1"/>
    <col min="5893" max="5893" width="9.42578125" style="2" customWidth="1"/>
    <col min="5894" max="5894" width="16.42578125" style="2" customWidth="1"/>
    <col min="5895" max="5895" width="11.7109375" style="2" customWidth="1"/>
    <col min="5896" max="5896" width="11.5703125" style="2" bestFit="1" customWidth="1"/>
    <col min="5897" max="5897" width="21.7109375" style="2" customWidth="1"/>
    <col min="5898" max="6144" width="9.140625" style="2"/>
    <col min="6145" max="6145" width="16.42578125" style="2" customWidth="1"/>
    <col min="6146" max="6146" width="11.28515625" style="2" customWidth="1"/>
    <col min="6147" max="6147" width="66.42578125" style="2" customWidth="1"/>
    <col min="6148" max="6148" width="10.85546875" style="2" customWidth="1"/>
    <col min="6149" max="6149" width="9.42578125" style="2" customWidth="1"/>
    <col min="6150" max="6150" width="16.42578125" style="2" customWidth="1"/>
    <col min="6151" max="6151" width="11.7109375" style="2" customWidth="1"/>
    <col min="6152" max="6152" width="11.5703125" style="2" bestFit="1" customWidth="1"/>
    <col min="6153" max="6153" width="21.7109375" style="2" customWidth="1"/>
    <col min="6154" max="6400" width="9.140625" style="2"/>
    <col min="6401" max="6401" width="16.42578125" style="2" customWidth="1"/>
    <col min="6402" max="6402" width="11.28515625" style="2" customWidth="1"/>
    <col min="6403" max="6403" width="66.42578125" style="2" customWidth="1"/>
    <col min="6404" max="6404" width="10.85546875" style="2" customWidth="1"/>
    <col min="6405" max="6405" width="9.42578125" style="2" customWidth="1"/>
    <col min="6406" max="6406" width="16.42578125" style="2" customWidth="1"/>
    <col min="6407" max="6407" width="11.7109375" style="2" customWidth="1"/>
    <col min="6408" max="6408" width="11.5703125" style="2" bestFit="1" customWidth="1"/>
    <col min="6409" max="6409" width="21.7109375" style="2" customWidth="1"/>
    <col min="6410" max="6656" width="9.140625" style="2"/>
    <col min="6657" max="6657" width="16.42578125" style="2" customWidth="1"/>
    <col min="6658" max="6658" width="11.28515625" style="2" customWidth="1"/>
    <col min="6659" max="6659" width="66.42578125" style="2" customWidth="1"/>
    <col min="6660" max="6660" width="10.85546875" style="2" customWidth="1"/>
    <col min="6661" max="6661" width="9.42578125" style="2" customWidth="1"/>
    <col min="6662" max="6662" width="16.42578125" style="2" customWidth="1"/>
    <col min="6663" max="6663" width="11.7109375" style="2" customWidth="1"/>
    <col min="6664" max="6664" width="11.5703125" style="2" bestFit="1" customWidth="1"/>
    <col min="6665" max="6665" width="21.7109375" style="2" customWidth="1"/>
    <col min="6666" max="6912" width="9.140625" style="2"/>
    <col min="6913" max="6913" width="16.42578125" style="2" customWidth="1"/>
    <col min="6914" max="6914" width="11.28515625" style="2" customWidth="1"/>
    <col min="6915" max="6915" width="66.42578125" style="2" customWidth="1"/>
    <col min="6916" max="6916" width="10.85546875" style="2" customWidth="1"/>
    <col min="6917" max="6917" width="9.42578125" style="2" customWidth="1"/>
    <col min="6918" max="6918" width="16.42578125" style="2" customWidth="1"/>
    <col min="6919" max="6919" width="11.7109375" style="2" customWidth="1"/>
    <col min="6920" max="6920" width="11.5703125" style="2" bestFit="1" customWidth="1"/>
    <col min="6921" max="6921" width="21.7109375" style="2" customWidth="1"/>
    <col min="6922" max="7168" width="9.140625" style="2"/>
    <col min="7169" max="7169" width="16.42578125" style="2" customWidth="1"/>
    <col min="7170" max="7170" width="11.28515625" style="2" customWidth="1"/>
    <col min="7171" max="7171" width="66.42578125" style="2" customWidth="1"/>
    <col min="7172" max="7172" width="10.85546875" style="2" customWidth="1"/>
    <col min="7173" max="7173" width="9.42578125" style="2" customWidth="1"/>
    <col min="7174" max="7174" width="16.42578125" style="2" customWidth="1"/>
    <col min="7175" max="7175" width="11.7109375" style="2" customWidth="1"/>
    <col min="7176" max="7176" width="11.5703125" style="2" bestFit="1" customWidth="1"/>
    <col min="7177" max="7177" width="21.7109375" style="2" customWidth="1"/>
    <col min="7178" max="7424" width="9.140625" style="2"/>
    <col min="7425" max="7425" width="16.42578125" style="2" customWidth="1"/>
    <col min="7426" max="7426" width="11.28515625" style="2" customWidth="1"/>
    <col min="7427" max="7427" width="66.42578125" style="2" customWidth="1"/>
    <col min="7428" max="7428" width="10.85546875" style="2" customWidth="1"/>
    <col min="7429" max="7429" width="9.42578125" style="2" customWidth="1"/>
    <col min="7430" max="7430" width="16.42578125" style="2" customWidth="1"/>
    <col min="7431" max="7431" width="11.7109375" style="2" customWidth="1"/>
    <col min="7432" max="7432" width="11.5703125" style="2" bestFit="1" customWidth="1"/>
    <col min="7433" max="7433" width="21.7109375" style="2" customWidth="1"/>
    <col min="7434" max="7680" width="9.140625" style="2"/>
    <col min="7681" max="7681" width="16.42578125" style="2" customWidth="1"/>
    <col min="7682" max="7682" width="11.28515625" style="2" customWidth="1"/>
    <col min="7683" max="7683" width="66.42578125" style="2" customWidth="1"/>
    <col min="7684" max="7684" width="10.85546875" style="2" customWidth="1"/>
    <col min="7685" max="7685" width="9.42578125" style="2" customWidth="1"/>
    <col min="7686" max="7686" width="16.42578125" style="2" customWidth="1"/>
    <col min="7687" max="7687" width="11.7109375" style="2" customWidth="1"/>
    <col min="7688" max="7688" width="11.5703125" style="2" bestFit="1" customWidth="1"/>
    <col min="7689" max="7689" width="21.7109375" style="2" customWidth="1"/>
    <col min="7690" max="7936" width="9.140625" style="2"/>
    <col min="7937" max="7937" width="16.42578125" style="2" customWidth="1"/>
    <col min="7938" max="7938" width="11.28515625" style="2" customWidth="1"/>
    <col min="7939" max="7939" width="66.42578125" style="2" customWidth="1"/>
    <col min="7940" max="7940" width="10.85546875" style="2" customWidth="1"/>
    <col min="7941" max="7941" width="9.42578125" style="2" customWidth="1"/>
    <col min="7942" max="7942" width="16.42578125" style="2" customWidth="1"/>
    <col min="7943" max="7943" width="11.7109375" style="2" customWidth="1"/>
    <col min="7944" max="7944" width="11.5703125" style="2" bestFit="1" customWidth="1"/>
    <col min="7945" max="7945" width="21.7109375" style="2" customWidth="1"/>
    <col min="7946" max="8192" width="9.140625" style="2"/>
    <col min="8193" max="8193" width="16.42578125" style="2" customWidth="1"/>
    <col min="8194" max="8194" width="11.28515625" style="2" customWidth="1"/>
    <col min="8195" max="8195" width="66.42578125" style="2" customWidth="1"/>
    <col min="8196" max="8196" width="10.85546875" style="2" customWidth="1"/>
    <col min="8197" max="8197" width="9.42578125" style="2" customWidth="1"/>
    <col min="8198" max="8198" width="16.42578125" style="2" customWidth="1"/>
    <col min="8199" max="8199" width="11.7109375" style="2" customWidth="1"/>
    <col min="8200" max="8200" width="11.5703125" style="2" bestFit="1" customWidth="1"/>
    <col min="8201" max="8201" width="21.7109375" style="2" customWidth="1"/>
    <col min="8202" max="8448" width="9.140625" style="2"/>
    <col min="8449" max="8449" width="16.42578125" style="2" customWidth="1"/>
    <col min="8450" max="8450" width="11.28515625" style="2" customWidth="1"/>
    <col min="8451" max="8451" width="66.42578125" style="2" customWidth="1"/>
    <col min="8452" max="8452" width="10.85546875" style="2" customWidth="1"/>
    <col min="8453" max="8453" width="9.42578125" style="2" customWidth="1"/>
    <col min="8454" max="8454" width="16.42578125" style="2" customWidth="1"/>
    <col min="8455" max="8455" width="11.7109375" style="2" customWidth="1"/>
    <col min="8456" max="8456" width="11.5703125" style="2" bestFit="1" customWidth="1"/>
    <col min="8457" max="8457" width="21.7109375" style="2" customWidth="1"/>
    <col min="8458" max="8704" width="9.140625" style="2"/>
    <col min="8705" max="8705" width="16.42578125" style="2" customWidth="1"/>
    <col min="8706" max="8706" width="11.28515625" style="2" customWidth="1"/>
    <col min="8707" max="8707" width="66.42578125" style="2" customWidth="1"/>
    <col min="8708" max="8708" width="10.85546875" style="2" customWidth="1"/>
    <col min="8709" max="8709" width="9.42578125" style="2" customWidth="1"/>
    <col min="8710" max="8710" width="16.42578125" style="2" customWidth="1"/>
    <col min="8711" max="8711" width="11.7109375" style="2" customWidth="1"/>
    <col min="8712" max="8712" width="11.5703125" style="2" bestFit="1" customWidth="1"/>
    <col min="8713" max="8713" width="21.7109375" style="2" customWidth="1"/>
    <col min="8714" max="8960" width="9.140625" style="2"/>
    <col min="8961" max="8961" width="16.42578125" style="2" customWidth="1"/>
    <col min="8962" max="8962" width="11.28515625" style="2" customWidth="1"/>
    <col min="8963" max="8963" width="66.42578125" style="2" customWidth="1"/>
    <col min="8964" max="8964" width="10.85546875" style="2" customWidth="1"/>
    <col min="8965" max="8965" width="9.42578125" style="2" customWidth="1"/>
    <col min="8966" max="8966" width="16.42578125" style="2" customWidth="1"/>
    <col min="8967" max="8967" width="11.7109375" style="2" customWidth="1"/>
    <col min="8968" max="8968" width="11.5703125" style="2" bestFit="1" customWidth="1"/>
    <col min="8969" max="8969" width="21.7109375" style="2" customWidth="1"/>
    <col min="8970" max="9216" width="9.140625" style="2"/>
    <col min="9217" max="9217" width="16.42578125" style="2" customWidth="1"/>
    <col min="9218" max="9218" width="11.28515625" style="2" customWidth="1"/>
    <col min="9219" max="9219" width="66.42578125" style="2" customWidth="1"/>
    <col min="9220" max="9220" width="10.85546875" style="2" customWidth="1"/>
    <col min="9221" max="9221" width="9.42578125" style="2" customWidth="1"/>
    <col min="9222" max="9222" width="16.42578125" style="2" customWidth="1"/>
    <col min="9223" max="9223" width="11.7109375" style="2" customWidth="1"/>
    <col min="9224" max="9224" width="11.5703125" style="2" bestFit="1" customWidth="1"/>
    <col min="9225" max="9225" width="21.7109375" style="2" customWidth="1"/>
    <col min="9226" max="9472" width="9.140625" style="2"/>
    <col min="9473" max="9473" width="16.42578125" style="2" customWidth="1"/>
    <col min="9474" max="9474" width="11.28515625" style="2" customWidth="1"/>
    <col min="9475" max="9475" width="66.42578125" style="2" customWidth="1"/>
    <col min="9476" max="9476" width="10.85546875" style="2" customWidth="1"/>
    <col min="9477" max="9477" width="9.42578125" style="2" customWidth="1"/>
    <col min="9478" max="9478" width="16.42578125" style="2" customWidth="1"/>
    <col min="9479" max="9479" width="11.7109375" style="2" customWidth="1"/>
    <col min="9480" max="9480" width="11.5703125" style="2" bestFit="1" customWidth="1"/>
    <col min="9481" max="9481" width="21.7109375" style="2" customWidth="1"/>
    <col min="9482" max="9728" width="9.140625" style="2"/>
    <col min="9729" max="9729" width="16.42578125" style="2" customWidth="1"/>
    <col min="9730" max="9730" width="11.28515625" style="2" customWidth="1"/>
    <col min="9731" max="9731" width="66.42578125" style="2" customWidth="1"/>
    <col min="9732" max="9732" width="10.85546875" style="2" customWidth="1"/>
    <col min="9733" max="9733" width="9.42578125" style="2" customWidth="1"/>
    <col min="9734" max="9734" width="16.42578125" style="2" customWidth="1"/>
    <col min="9735" max="9735" width="11.7109375" style="2" customWidth="1"/>
    <col min="9736" max="9736" width="11.5703125" style="2" bestFit="1" customWidth="1"/>
    <col min="9737" max="9737" width="21.7109375" style="2" customWidth="1"/>
    <col min="9738" max="9984" width="9.140625" style="2"/>
    <col min="9985" max="9985" width="16.42578125" style="2" customWidth="1"/>
    <col min="9986" max="9986" width="11.28515625" style="2" customWidth="1"/>
    <col min="9987" max="9987" width="66.42578125" style="2" customWidth="1"/>
    <col min="9988" max="9988" width="10.85546875" style="2" customWidth="1"/>
    <col min="9989" max="9989" width="9.42578125" style="2" customWidth="1"/>
    <col min="9990" max="9990" width="16.42578125" style="2" customWidth="1"/>
    <col min="9991" max="9991" width="11.7109375" style="2" customWidth="1"/>
    <col min="9992" max="9992" width="11.5703125" style="2" bestFit="1" customWidth="1"/>
    <col min="9993" max="9993" width="21.7109375" style="2" customWidth="1"/>
    <col min="9994" max="10240" width="9.140625" style="2"/>
    <col min="10241" max="10241" width="16.42578125" style="2" customWidth="1"/>
    <col min="10242" max="10242" width="11.28515625" style="2" customWidth="1"/>
    <col min="10243" max="10243" width="66.42578125" style="2" customWidth="1"/>
    <col min="10244" max="10244" width="10.85546875" style="2" customWidth="1"/>
    <col min="10245" max="10245" width="9.42578125" style="2" customWidth="1"/>
    <col min="10246" max="10246" width="16.42578125" style="2" customWidth="1"/>
    <col min="10247" max="10247" width="11.7109375" style="2" customWidth="1"/>
    <col min="10248" max="10248" width="11.5703125" style="2" bestFit="1" customWidth="1"/>
    <col min="10249" max="10249" width="21.7109375" style="2" customWidth="1"/>
    <col min="10250" max="10496" width="9.140625" style="2"/>
    <col min="10497" max="10497" width="16.42578125" style="2" customWidth="1"/>
    <col min="10498" max="10498" width="11.28515625" style="2" customWidth="1"/>
    <col min="10499" max="10499" width="66.42578125" style="2" customWidth="1"/>
    <col min="10500" max="10500" width="10.85546875" style="2" customWidth="1"/>
    <col min="10501" max="10501" width="9.42578125" style="2" customWidth="1"/>
    <col min="10502" max="10502" width="16.42578125" style="2" customWidth="1"/>
    <col min="10503" max="10503" width="11.7109375" style="2" customWidth="1"/>
    <col min="10504" max="10504" width="11.5703125" style="2" bestFit="1" customWidth="1"/>
    <col min="10505" max="10505" width="21.7109375" style="2" customWidth="1"/>
    <col min="10506" max="10752" width="9.140625" style="2"/>
    <col min="10753" max="10753" width="16.42578125" style="2" customWidth="1"/>
    <col min="10754" max="10754" width="11.28515625" style="2" customWidth="1"/>
    <col min="10755" max="10755" width="66.42578125" style="2" customWidth="1"/>
    <col min="10756" max="10756" width="10.85546875" style="2" customWidth="1"/>
    <col min="10757" max="10757" width="9.42578125" style="2" customWidth="1"/>
    <col min="10758" max="10758" width="16.42578125" style="2" customWidth="1"/>
    <col min="10759" max="10759" width="11.7109375" style="2" customWidth="1"/>
    <col min="10760" max="10760" width="11.5703125" style="2" bestFit="1" customWidth="1"/>
    <col min="10761" max="10761" width="21.7109375" style="2" customWidth="1"/>
    <col min="10762" max="11008" width="9.140625" style="2"/>
    <col min="11009" max="11009" width="16.42578125" style="2" customWidth="1"/>
    <col min="11010" max="11010" width="11.28515625" style="2" customWidth="1"/>
    <col min="11011" max="11011" width="66.42578125" style="2" customWidth="1"/>
    <col min="11012" max="11012" width="10.85546875" style="2" customWidth="1"/>
    <col min="11013" max="11013" width="9.42578125" style="2" customWidth="1"/>
    <col min="11014" max="11014" width="16.42578125" style="2" customWidth="1"/>
    <col min="11015" max="11015" width="11.7109375" style="2" customWidth="1"/>
    <col min="11016" max="11016" width="11.5703125" style="2" bestFit="1" customWidth="1"/>
    <col min="11017" max="11017" width="21.7109375" style="2" customWidth="1"/>
    <col min="11018" max="11264" width="9.140625" style="2"/>
    <col min="11265" max="11265" width="16.42578125" style="2" customWidth="1"/>
    <col min="11266" max="11266" width="11.28515625" style="2" customWidth="1"/>
    <col min="11267" max="11267" width="66.42578125" style="2" customWidth="1"/>
    <col min="11268" max="11268" width="10.85546875" style="2" customWidth="1"/>
    <col min="11269" max="11269" width="9.42578125" style="2" customWidth="1"/>
    <col min="11270" max="11270" width="16.42578125" style="2" customWidth="1"/>
    <col min="11271" max="11271" width="11.7109375" style="2" customWidth="1"/>
    <col min="11272" max="11272" width="11.5703125" style="2" bestFit="1" customWidth="1"/>
    <col min="11273" max="11273" width="21.7109375" style="2" customWidth="1"/>
    <col min="11274" max="11520" width="9.140625" style="2"/>
    <col min="11521" max="11521" width="16.42578125" style="2" customWidth="1"/>
    <col min="11522" max="11522" width="11.28515625" style="2" customWidth="1"/>
    <col min="11523" max="11523" width="66.42578125" style="2" customWidth="1"/>
    <col min="11524" max="11524" width="10.85546875" style="2" customWidth="1"/>
    <col min="11525" max="11525" width="9.42578125" style="2" customWidth="1"/>
    <col min="11526" max="11526" width="16.42578125" style="2" customWidth="1"/>
    <col min="11527" max="11527" width="11.7109375" style="2" customWidth="1"/>
    <col min="11528" max="11528" width="11.5703125" style="2" bestFit="1" customWidth="1"/>
    <col min="11529" max="11529" width="21.7109375" style="2" customWidth="1"/>
    <col min="11530" max="11776" width="9.140625" style="2"/>
    <col min="11777" max="11777" width="16.42578125" style="2" customWidth="1"/>
    <col min="11778" max="11778" width="11.28515625" style="2" customWidth="1"/>
    <col min="11779" max="11779" width="66.42578125" style="2" customWidth="1"/>
    <col min="11780" max="11780" width="10.85546875" style="2" customWidth="1"/>
    <col min="11781" max="11781" width="9.42578125" style="2" customWidth="1"/>
    <col min="11782" max="11782" width="16.42578125" style="2" customWidth="1"/>
    <col min="11783" max="11783" width="11.7109375" style="2" customWidth="1"/>
    <col min="11784" max="11784" width="11.5703125" style="2" bestFit="1" customWidth="1"/>
    <col min="11785" max="11785" width="21.7109375" style="2" customWidth="1"/>
    <col min="11786" max="12032" width="9.140625" style="2"/>
    <col min="12033" max="12033" width="16.42578125" style="2" customWidth="1"/>
    <col min="12034" max="12034" width="11.28515625" style="2" customWidth="1"/>
    <col min="12035" max="12035" width="66.42578125" style="2" customWidth="1"/>
    <col min="12036" max="12036" width="10.85546875" style="2" customWidth="1"/>
    <col min="12037" max="12037" width="9.42578125" style="2" customWidth="1"/>
    <col min="12038" max="12038" width="16.42578125" style="2" customWidth="1"/>
    <col min="12039" max="12039" width="11.7109375" style="2" customWidth="1"/>
    <col min="12040" max="12040" width="11.5703125" style="2" bestFit="1" customWidth="1"/>
    <col min="12041" max="12041" width="21.7109375" style="2" customWidth="1"/>
    <col min="12042" max="12288" width="9.140625" style="2"/>
    <col min="12289" max="12289" width="16.42578125" style="2" customWidth="1"/>
    <col min="12290" max="12290" width="11.28515625" style="2" customWidth="1"/>
    <col min="12291" max="12291" width="66.42578125" style="2" customWidth="1"/>
    <col min="12292" max="12292" width="10.85546875" style="2" customWidth="1"/>
    <col min="12293" max="12293" width="9.42578125" style="2" customWidth="1"/>
    <col min="12294" max="12294" width="16.42578125" style="2" customWidth="1"/>
    <col min="12295" max="12295" width="11.7109375" style="2" customWidth="1"/>
    <col min="12296" max="12296" width="11.5703125" style="2" bestFit="1" customWidth="1"/>
    <col min="12297" max="12297" width="21.7109375" style="2" customWidth="1"/>
    <col min="12298" max="12544" width="9.140625" style="2"/>
    <col min="12545" max="12545" width="16.42578125" style="2" customWidth="1"/>
    <col min="12546" max="12546" width="11.28515625" style="2" customWidth="1"/>
    <col min="12547" max="12547" width="66.42578125" style="2" customWidth="1"/>
    <col min="12548" max="12548" width="10.85546875" style="2" customWidth="1"/>
    <col min="12549" max="12549" width="9.42578125" style="2" customWidth="1"/>
    <col min="12550" max="12550" width="16.42578125" style="2" customWidth="1"/>
    <col min="12551" max="12551" width="11.7109375" style="2" customWidth="1"/>
    <col min="12552" max="12552" width="11.5703125" style="2" bestFit="1" customWidth="1"/>
    <col min="12553" max="12553" width="21.7109375" style="2" customWidth="1"/>
    <col min="12554" max="12800" width="9.140625" style="2"/>
    <col min="12801" max="12801" width="16.42578125" style="2" customWidth="1"/>
    <col min="12802" max="12802" width="11.28515625" style="2" customWidth="1"/>
    <col min="12803" max="12803" width="66.42578125" style="2" customWidth="1"/>
    <col min="12804" max="12804" width="10.85546875" style="2" customWidth="1"/>
    <col min="12805" max="12805" width="9.42578125" style="2" customWidth="1"/>
    <col min="12806" max="12806" width="16.42578125" style="2" customWidth="1"/>
    <col min="12807" max="12807" width="11.7109375" style="2" customWidth="1"/>
    <col min="12808" max="12808" width="11.5703125" style="2" bestFit="1" customWidth="1"/>
    <col min="12809" max="12809" width="21.7109375" style="2" customWidth="1"/>
    <col min="12810" max="13056" width="9.140625" style="2"/>
    <col min="13057" max="13057" width="16.42578125" style="2" customWidth="1"/>
    <col min="13058" max="13058" width="11.28515625" style="2" customWidth="1"/>
    <col min="13059" max="13059" width="66.42578125" style="2" customWidth="1"/>
    <col min="13060" max="13060" width="10.85546875" style="2" customWidth="1"/>
    <col min="13061" max="13061" width="9.42578125" style="2" customWidth="1"/>
    <col min="13062" max="13062" width="16.42578125" style="2" customWidth="1"/>
    <col min="13063" max="13063" width="11.7109375" style="2" customWidth="1"/>
    <col min="13064" max="13064" width="11.5703125" style="2" bestFit="1" customWidth="1"/>
    <col min="13065" max="13065" width="21.7109375" style="2" customWidth="1"/>
    <col min="13066" max="13312" width="9.140625" style="2"/>
    <col min="13313" max="13313" width="16.42578125" style="2" customWidth="1"/>
    <col min="13314" max="13314" width="11.28515625" style="2" customWidth="1"/>
    <col min="13315" max="13315" width="66.42578125" style="2" customWidth="1"/>
    <col min="13316" max="13316" width="10.85546875" style="2" customWidth="1"/>
    <col min="13317" max="13317" width="9.42578125" style="2" customWidth="1"/>
    <col min="13318" max="13318" width="16.42578125" style="2" customWidth="1"/>
    <col min="13319" max="13319" width="11.7109375" style="2" customWidth="1"/>
    <col min="13320" max="13320" width="11.5703125" style="2" bestFit="1" customWidth="1"/>
    <col min="13321" max="13321" width="21.7109375" style="2" customWidth="1"/>
    <col min="13322" max="13568" width="9.140625" style="2"/>
    <col min="13569" max="13569" width="16.42578125" style="2" customWidth="1"/>
    <col min="13570" max="13570" width="11.28515625" style="2" customWidth="1"/>
    <col min="13571" max="13571" width="66.42578125" style="2" customWidth="1"/>
    <col min="13572" max="13572" width="10.85546875" style="2" customWidth="1"/>
    <col min="13573" max="13573" width="9.42578125" style="2" customWidth="1"/>
    <col min="13574" max="13574" width="16.42578125" style="2" customWidth="1"/>
    <col min="13575" max="13575" width="11.7109375" style="2" customWidth="1"/>
    <col min="13576" max="13576" width="11.5703125" style="2" bestFit="1" customWidth="1"/>
    <col min="13577" max="13577" width="21.7109375" style="2" customWidth="1"/>
    <col min="13578" max="13824" width="9.140625" style="2"/>
    <col min="13825" max="13825" width="16.42578125" style="2" customWidth="1"/>
    <col min="13826" max="13826" width="11.28515625" style="2" customWidth="1"/>
    <col min="13827" max="13827" width="66.42578125" style="2" customWidth="1"/>
    <col min="13828" max="13828" width="10.85546875" style="2" customWidth="1"/>
    <col min="13829" max="13829" width="9.42578125" style="2" customWidth="1"/>
    <col min="13830" max="13830" width="16.42578125" style="2" customWidth="1"/>
    <col min="13831" max="13831" width="11.7109375" style="2" customWidth="1"/>
    <col min="13832" max="13832" width="11.5703125" style="2" bestFit="1" customWidth="1"/>
    <col min="13833" max="13833" width="21.7109375" style="2" customWidth="1"/>
    <col min="13834" max="14080" width="9.140625" style="2"/>
    <col min="14081" max="14081" width="16.42578125" style="2" customWidth="1"/>
    <col min="14082" max="14082" width="11.28515625" style="2" customWidth="1"/>
    <col min="14083" max="14083" width="66.42578125" style="2" customWidth="1"/>
    <col min="14084" max="14084" width="10.85546875" style="2" customWidth="1"/>
    <col min="14085" max="14085" width="9.42578125" style="2" customWidth="1"/>
    <col min="14086" max="14086" width="16.42578125" style="2" customWidth="1"/>
    <col min="14087" max="14087" width="11.7109375" style="2" customWidth="1"/>
    <col min="14088" max="14088" width="11.5703125" style="2" bestFit="1" customWidth="1"/>
    <col min="14089" max="14089" width="21.7109375" style="2" customWidth="1"/>
    <col min="14090" max="14336" width="9.140625" style="2"/>
    <col min="14337" max="14337" width="16.42578125" style="2" customWidth="1"/>
    <col min="14338" max="14338" width="11.28515625" style="2" customWidth="1"/>
    <col min="14339" max="14339" width="66.42578125" style="2" customWidth="1"/>
    <col min="14340" max="14340" width="10.85546875" style="2" customWidth="1"/>
    <col min="14341" max="14341" width="9.42578125" style="2" customWidth="1"/>
    <col min="14342" max="14342" width="16.42578125" style="2" customWidth="1"/>
    <col min="14343" max="14343" width="11.7109375" style="2" customWidth="1"/>
    <col min="14344" max="14344" width="11.5703125" style="2" bestFit="1" customWidth="1"/>
    <col min="14345" max="14345" width="21.7109375" style="2" customWidth="1"/>
    <col min="14346" max="14592" width="9.140625" style="2"/>
    <col min="14593" max="14593" width="16.42578125" style="2" customWidth="1"/>
    <col min="14594" max="14594" width="11.28515625" style="2" customWidth="1"/>
    <col min="14595" max="14595" width="66.42578125" style="2" customWidth="1"/>
    <col min="14596" max="14596" width="10.85546875" style="2" customWidth="1"/>
    <col min="14597" max="14597" width="9.42578125" style="2" customWidth="1"/>
    <col min="14598" max="14598" width="16.42578125" style="2" customWidth="1"/>
    <col min="14599" max="14599" width="11.7109375" style="2" customWidth="1"/>
    <col min="14600" max="14600" width="11.5703125" style="2" bestFit="1" customWidth="1"/>
    <col min="14601" max="14601" width="21.7109375" style="2" customWidth="1"/>
    <col min="14602" max="14848" width="9.140625" style="2"/>
    <col min="14849" max="14849" width="16.42578125" style="2" customWidth="1"/>
    <col min="14850" max="14850" width="11.28515625" style="2" customWidth="1"/>
    <col min="14851" max="14851" width="66.42578125" style="2" customWidth="1"/>
    <col min="14852" max="14852" width="10.85546875" style="2" customWidth="1"/>
    <col min="14853" max="14853" width="9.42578125" style="2" customWidth="1"/>
    <col min="14854" max="14854" width="16.42578125" style="2" customWidth="1"/>
    <col min="14855" max="14855" width="11.7109375" style="2" customWidth="1"/>
    <col min="14856" max="14856" width="11.5703125" style="2" bestFit="1" customWidth="1"/>
    <col min="14857" max="14857" width="21.7109375" style="2" customWidth="1"/>
    <col min="14858" max="15104" width="9.140625" style="2"/>
    <col min="15105" max="15105" width="16.42578125" style="2" customWidth="1"/>
    <col min="15106" max="15106" width="11.28515625" style="2" customWidth="1"/>
    <col min="15107" max="15107" width="66.42578125" style="2" customWidth="1"/>
    <col min="15108" max="15108" width="10.85546875" style="2" customWidth="1"/>
    <col min="15109" max="15109" width="9.42578125" style="2" customWidth="1"/>
    <col min="15110" max="15110" width="16.42578125" style="2" customWidth="1"/>
    <col min="15111" max="15111" width="11.7109375" style="2" customWidth="1"/>
    <col min="15112" max="15112" width="11.5703125" style="2" bestFit="1" customWidth="1"/>
    <col min="15113" max="15113" width="21.7109375" style="2" customWidth="1"/>
    <col min="15114" max="15360" width="9.140625" style="2"/>
    <col min="15361" max="15361" width="16.42578125" style="2" customWidth="1"/>
    <col min="15362" max="15362" width="11.28515625" style="2" customWidth="1"/>
    <col min="15363" max="15363" width="66.42578125" style="2" customWidth="1"/>
    <col min="15364" max="15364" width="10.85546875" style="2" customWidth="1"/>
    <col min="15365" max="15365" width="9.42578125" style="2" customWidth="1"/>
    <col min="15366" max="15366" width="16.42578125" style="2" customWidth="1"/>
    <col min="15367" max="15367" width="11.7109375" style="2" customWidth="1"/>
    <col min="15368" max="15368" width="11.5703125" style="2" bestFit="1" customWidth="1"/>
    <col min="15369" max="15369" width="21.7109375" style="2" customWidth="1"/>
    <col min="15370" max="15616" width="9.140625" style="2"/>
    <col min="15617" max="15617" width="16.42578125" style="2" customWidth="1"/>
    <col min="15618" max="15618" width="11.28515625" style="2" customWidth="1"/>
    <col min="15619" max="15619" width="66.42578125" style="2" customWidth="1"/>
    <col min="15620" max="15620" width="10.85546875" style="2" customWidth="1"/>
    <col min="15621" max="15621" width="9.42578125" style="2" customWidth="1"/>
    <col min="15622" max="15622" width="16.42578125" style="2" customWidth="1"/>
    <col min="15623" max="15623" width="11.7109375" style="2" customWidth="1"/>
    <col min="15624" max="15624" width="11.5703125" style="2" bestFit="1" customWidth="1"/>
    <col min="15625" max="15625" width="21.7109375" style="2" customWidth="1"/>
    <col min="15626" max="15872" width="9.140625" style="2"/>
    <col min="15873" max="15873" width="16.42578125" style="2" customWidth="1"/>
    <col min="15874" max="15874" width="11.28515625" style="2" customWidth="1"/>
    <col min="15875" max="15875" width="66.42578125" style="2" customWidth="1"/>
    <col min="15876" max="15876" width="10.85546875" style="2" customWidth="1"/>
    <col min="15877" max="15877" width="9.42578125" style="2" customWidth="1"/>
    <col min="15878" max="15878" width="16.42578125" style="2" customWidth="1"/>
    <col min="15879" max="15879" width="11.7109375" style="2" customWidth="1"/>
    <col min="15880" max="15880" width="11.5703125" style="2" bestFit="1" customWidth="1"/>
    <col min="15881" max="15881" width="21.7109375" style="2" customWidth="1"/>
    <col min="15882" max="16128" width="9.140625" style="2"/>
    <col min="16129" max="16129" width="16.42578125" style="2" customWidth="1"/>
    <col min="16130" max="16130" width="11.28515625" style="2" customWidth="1"/>
    <col min="16131" max="16131" width="66.42578125" style="2" customWidth="1"/>
    <col min="16132" max="16132" width="10.85546875" style="2" customWidth="1"/>
    <col min="16133" max="16133" width="9.42578125" style="2" customWidth="1"/>
    <col min="16134" max="16134" width="16.42578125" style="2" customWidth="1"/>
    <col min="16135" max="16135" width="11.7109375" style="2" customWidth="1"/>
    <col min="16136" max="16136" width="11.5703125" style="2" bestFit="1" customWidth="1"/>
    <col min="16137" max="16137" width="21.7109375" style="2" customWidth="1"/>
    <col min="16138" max="16384" width="9.140625" style="2"/>
  </cols>
  <sheetData>
    <row r="1" spans="1:7" ht="17.25">
      <c r="A1" s="1610" t="s">
        <v>0</v>
      </c>
      <c r="B1" s="1610"/>
      <c r="C1" s="1610"/>
      <c r="D1" s="1610"/>
      <c r="E1" s="1610"/>
      <c r="F1" s="1610"/>
    </row>
    <row r="2" spans="1:7" ht="17.25">
      <c r="A2" s="1610" t="s">
        <v>1</v>
      </c>
      <c r="B2" s="1610"/>
      <c r="C2" s="1610"/>
      <c r="D2" s="1610"/>
      <c r="E2" s="1610"/>
      <c r="F2" s="1610"/>
    </row>
    <row r="3" spans="1:7" ht="31.5" customHeight="1">
      <c r="A3" s="1611" t="s">
        <v>2428</v>
      </c>
      <c r="B3" s="1611"/>
      <c r="C3" s="1611"/>
      <c r="D3" s="1611"/>
      <c r="E3" s="1611"/>
      <c r="F3" s="1611"/>
    </row>
    <row r="4" spans="1:7" ht="17.25">
      <c r="A4" s="1612" t="s">
        <v>2429</v>
      </c>
      <c r="B4" s="1612"/>
      <c r="C4" s="1612"/>
      <c r="D4" s="1612"/>
      <c r="E4" s="1612"/>
      <c r="F4" s="461"/>
    </row>
    <row r="5" spans="1:7" ht="6" customHeight="1">
      <c r="A5" s="461"/>
      <c r="B5" s="461"/>
      <c r="C5" s="461"/>
      <c r="D5" s="461"/>
      <c r="E5" s="461"/>
      <c r="F5" s="461"/>
    </row>
    <row r="6" spans="1:7" ht="45.75" customHeight="1">
      <c r="B6" s="462"/>
      <c r="C6" s="1613" t="s">
        <v>2430</v>
      </c>
      <c r="D6" s="1613"/>
      <c r="E6" s="1613"/>
      <c r="F6" s="462"/>
      <c r="G6" s="463" t="s">
        <v>19</v>
      </c>
    </row>
    <row r="7" spans="1:7" ht="24" customHeight="1">
      <c r="A7" s="464"/>
      <c r="B7" s="1614" t="s">
        <v>2431</v>
      </c>
      <c r="C7" s="1614"/>
      <c r="D7" s="1614"/>
      <c r="E7" s="1614"/>
      <c r="F7" s="1614"/>
      <c r="G7" s="465">
        <v>1.57</v>
      </c>
    </row>
    <row r="8" spans="1:7" ht="28.5" customHeight="1">
      <c r="A8" s="466"/>
      <c r="B8" s="466"/>
      <c r="C8" s="467" t="s">
        <v>2432</v>
      </c>
      <c r="D8" s="466"/>
      <c r="E8" s="466"/>
      <c r="F8" s="466"/>
    </row>
    <row r="9" spans="1:7" ht="30.75" customHeight="1">
      <c r="A9" s="468">
        <f>G7</f>
        <v>1.57</v>
      </c>
      <c r="B9" s="466" t="s">
        <v>19</v>
      </c>
      <c r="C9" s="466" t="s">
        <v>2433</v>
      </c>
      <c r="D9" s="461"/>
      <c r="E9" s="469">
        <f>H54</f>
        <v>6800.09</v>
      </c>
      <c r="F9" s="469">
        <f>A9*E9</f>
        <v>10676.141300000001</v>
      </c>
    </row>
    <row r="10" spans="1:7" ht="30.75" customHeight="1">
      <c r="A10" s="470">
        <f>A9*10/100</f>
        <v>0.157</v>
      </c>
      <c r="B10" s="466" t="s">
        <v>22</v>
      </c>
      <c r="C10" s="466" t="s">
        <v>2434</v>
      </c>
      <c r="D10" s="461"/>
      <c r="E10" s="469">
        <v>4000</v>
      </c>
      <c r="F10" s="469">
        <f>A10*E10</f>
        <v>628</v>
      </c>
    </row>
    <row r="11" spans="1:7" ht="30.75" customHeight="1">
      <c r="A11" s="469">
        <v>8</v>
      </c>
      <c r="B11" s="466" t="s">
        <v>12</v>
      </c>
      <c r="C11" s="466" t="s">
        <v>2416</v>
      </c>
      <c r="D11" s="461"/>
      <c r="E11" s="469">
        <v>960</v>
      </c>
      <c r="F11" s="469">
        <f>A11*E11</f>
        <v>7680</v>
      </c>
    </row>
    <row r="12" spans="1:7" ht="21" customHeight="1">
      <c r="A12" s="466"/>
      <c r="B12" s="466"/>
      <c r="C12" s="466"/>
      <c r="D12" s="461"/>
      <c r="E12" s="466"/>
      <c r="F12" s="466"/>
    </row>
    <row r="13" spans="1:7" ht="21" customHeight="1">
      <c r="A13" s="466"/>
      <c r="B13" s="466"/>
      <c r="C13" s="466" t="s">
        <v>2435</v>
      </c>
      <c r="D13" s="461"/>
      <c r="E13" s="466"/>
      <c r="F13" s="469">
        <f>SUM(F9:F12)</f>
        <v>18984.141300000003</v>
      </c>
    </row>
    <row r="14" spans="1:7" ht="21" customHeight="1">
      <c r="A14" s="466"/>
      <c r="B14" s="466"/>
      <c r="C14" s="466" t="s">
        <v>2436</v>
      </c>
      <c r="D14" s="461"/>
      <c r="E14" s="466"/>
      <c r="F14" s="469">
        <f>F13/7</f>
        <v>2712.0201857142861</v>
      </c>
    </row>
    <row r="15" spans="1:7" ht="21" customHeight="1">
      <c r="A15" s="466"/>
      <c r="B15" s="466"/>
      <c r="C15" s="466" t="s">
        <v>2437</v>
      </c>
      <c r="D15" s="461"/>
      <c r="E15" s="466"/>
      <c r="F15" s="466">
        <f>1000/8</f>
        <v>125</v>
      </c>
    </row>
    <row r="16" spans="1:7" ht="21" customHeight="1">
      <c r="A16" s="466"/>
      <c r="B16" s="466"/>
      <c r="C16" s="466"/>
      <c r="D16" s="461"/>
      <c r="E16" s="466"/>
      <c r="F16" s="466"/>
    </row>
    <row r="17" spans="1:13" ht="21" customHeight="1">
      <c r="A17" s="466"/>
      <c r="B17" s="466"/>
      <c r="C17" s="466" t="s">
        <v>2436</v>
      </c>
      <c r="D17" s="461"/>
      <c r="E17" s="466"/>
      <c r="F17" s="471">
        <f>SUM(F14:F16)</f>
        <v>2837.0201857142861</v>
      </c>
    </row>
    <row r="18" spans="1:13" ht="21" customHeight="1">
      <c r="A18" s="466"/>
      <c r="B18" s="466"/>
      <c r="C18" s="466" t="s">
        <v>2438</v>
      </c>
      <c r="D18" s="466"/>
      <c r="E18" s="466"/>
      <c r="F18" s="466"/>
    </row>
    <row r="19" spans="1:13" ht="21" customHeight="1">
      <c r="A19" s="466"/>
      <c r="B19" s="466"/>
      <c r="C19" s="466"/>
      <c r="D19" s="466"/>
      <c r="E19" s="466"/>
      <c r="F19" s="466"/>
    </row>
    <row r="20" spans="1:13" ht="12.75" customHeight="1">
      <c r="A20" s="466"/>
      <c r="B20" s="466"/>
      <c r="C20" s="466"/>
      <c r="D20" s="466"/>
      <c r="E20" s="466"/>
      <c r="F20" s="466"/>
    </row>
    <row r="21" spans="1:13" s="473" customFormat="1" ht="42" customHeight="1">
      <c r="A21" s="472"/>
      <c r="B21" s="472"/>
      <c r="C21" s="1615" t="s">
        <v>2439</v>
      </c>
      <c r="D21" s="1615"/>
      <c r="E21" s="1615"/>
      <c r="F21" s="472"/>
    </row>
    <row r="22" spans="1:13" ht="30.75" customHeight="1">
      <c r="A22" s="474"/>
      <c r="B22" s="1614" t="s">
        <v>2440</v>
      </c>
      <c r="C22" s="1614"/>
      <c r="D22" s="1614"/>
      <c r="E22" s="1614"/>
      <c r="F22" s="1614"/>
      <c r="G22" s="465">
        <v>0.19600000000000001</v>
      </c>
    </row>
    <row r="23" spans="1:13" ht="30.75" customHeight="1">
      <c r="A23" s="466"/>
      <c r="B23" s="466"/>
      <c r="C23" s="475" t="s">
        <v>2441</v>
      </c>
      <c r="D23" s="466"/>
      <c r="E23" s="466"/>
      <c r="F23" s="466"/>
    </row>
    <row r="24" spans="1:13" ht="30.75" customHeight="1">
      <c r="A24" s="468">
        <f>G22</f>
        <v>0.19600000000000001</v>
      </c>
      <c r="B24" s="466" t="s">
        <v>19</v>
      </c>
      <c r="C24" s="466" t="s">
        <v>2442</v>
      </c>
      <c r="D24" s="461"/>
      <c r="E24" s="469">
        <f>4390</f>
        <v>4390</v>
      </c>
      <c r="F24" s="469">
        <f>A24*E24</f>
        <v>860.44</v>
      </c>
    </row>
    <row r="25" spans="1:13" ht="42.75" customHeight="1">
      <c r="A25" s="468">
        <f>+A24</f>
        <v>0.19600000000000001</v>
      </c>
      <c r="B25" s="466" t="s">
        <v>19</v>
      </c>
      <c r="C25" s="1609" t="s">
        <v>2443</v>
      </c>
      <c r="D25" s="1609"/>
      <c r="E25" s="469">
        <f>9.62*5</f>
        <v>48.099999999999994</v>
      </c>
      <c r="F25" s="469">
        <f>E25*A25</f>
        <v>9.4276</v>
      </c>
      <c r="I25" s="2">
        <f>8.69*0.125</f>
        <v>1.0862499999999999</v>
      </c>
    </row>
    <row r="26" spans="1:13" ht="36" customHeight="1">
      <c r="A26" s="468">
        <f>+A25</f>
        <v>0.19600000000000001</v>
      </c>
      <c r="B26" s="466" t="s">
        <v>19</v>
      </c>
      <c r="C26" s="466" t="s">
        <v>2444</v>
      </c>
      <c r="D26" s="461"/>
      <c r="E26" s="469">
        <v>33.11</v>
      </c>
      <c r="F26" s="469">
        <f>A26*E26</f>
        <v>6.48956</v>
      </c>
      <c r="I26" s="473">
        <f>0.125*26.3</f>
        <v>3.2875000000000001</v>
      </c>
    </row>
    <row r="27" spans="1:13" ht="17.25">
      <c r="A27" s="469"/>
      <c r="B27" s="466"/>
      <c r="C27" s="466"/>
      <c r="D27" s="461"/>
      <c r="E27" s="469"/>
      <c r="F27" s="469"/>
      <c r="I27" s="2">
        <f>26.58/3</f>
        <v>8.86</v>
      </c>
    </row>
    <row r="28" spans="1:13" ht="17.25">
      <c r="A28" s="466"/>
      <c r="B28" s="466"/>
      <c r="C28" s="466" t="s">
        <v>2436</v>
      </c>
      <c r="D28" s="461"/>
      <c r="E28" s="466"/>
      <c r="F28" s="471">
        <f>SUM(F24:F27)</f>
        <v>876.35716000000002</v>
      </c>
    </row>
    <row r="29" spans="1:13" ht="17.25">
      <c r="A29" s="461"/>
      <c r="B29" s="461"/>
      <c r="C29" s="461"/>
      <c r="D29" s="461"/>
      <c r="E29" s="461"/>
      <c r="F29" s="461"/>
    </row>
    <row r="30" spans="1:13" ht="51" customHeight="1">
      <c r="B30" s="476"/>
      <c r="C30" s="1608" t="s">
        <v>2445</v>
      </c>
      <c r="D30" s="1608"/>
      <c r="E30" s="1608"/>
      <c r="F30" s="476"/>
    </row>
    <row r="31" spans="1:13" ht="17.25">
      <c r="A31" s="461"/>
      <c r="B31" s="461"/>
      <c r="C31" s="461"/>
      <c r="D31" s="461"/>
      <c r="E31" s="461"/>
      <c r="F31" s="461"/>
      <c r="M31" s="2">
        <f>8.69*3</f>
        <v>26.07</v>
      </c>
    </row>
    <row r="32" spans="1:13" ht="60" customHeight="1">
      <c r="A32" s="477" t="s">
        <v>2446</v>
      </c>
      <c r="B32" s="477">
        <v>3</v>
      </c>
      <c r="C32" s="478" t="s">
        <v>2447</v>
      </c>
      <c r="E32" s="469">
        <v>9.16</v>
      </c>
      <c r="F32" s="469"/>
      <c r="G32" s="477">
        <f>E32*B32</f>
        <v>27.48</v>
      </c>
    </row>
    <row r="33" spans="1:10" ht="21.75" customHeight="1">
      <c r="A33" s="477" t="s">
        <v>2446</v>
      </c>
      <c r="B33" s="477">
        <v>3</v>
      </c>
      <c r="C33" s="479" t="s">
        <v>2448</v>
      </c>
      <c r="E33" s="469">
        <v>30.1</v>
      </c>
      <c r="F33" s="469"/>
      <c r="G33" s="477">
        <f>E33*B33</f>
        <v>90.300000000000011</v>
      </c>
      <c r="J33" s="2" t="s">
        <v>2449</v>
      </c>
    </row>
    <row r="34" spans="1:10" ht="17.25">
      <c r="A34" s="477"/>
      <c r="B34" s="477"/>
      <c r="C34" s="480"/>
      <c r="E34" s="469"/>
      <c r="F34" s="469"/>
      <c r="G34" s="477"/>
    </row>
    <row r="35" spans="1:10" ht="17.25">
      <c r="A35" s="477"/>
      <c r="B35" s="477"/>
      <c r="C35" s="480" t="s">
        <v>2450</v>
      </c>
      <c r="E35" s="477"/>
      <c r="F35" s="477"/>
      <c r="G35" s="481">
        <f>SUM(G32:G34)</f>
        <v>117.78000000000002</v>
      </c>
    </row>
    <row r="36" spans="1:10" ht="17.25">
      <c r="A36" s="461"/>
      <c r="B36" s="461"/>
      <c r="C36" s="461"/>
      <c r="E36" s="461"/>
      <c r="F36" s="461"/>
      <c r="G36" s="461"/>
    </row>
    <row r="37" spans="1:10" ht="17.25" hidden="1">
      <c r="A37" s="461"/>
      <c r="B37" s="461"/>
      <c r="C37" s="461"/>
      <c r="E37" s="461"/>
      <c r="F37" s="461"/>
      <c r="G37" s="461"/>
    </row>
    <row r="38" spans="1:10" ht="17.25" hidden="1">
      <c r="A38" s="461"/>
      <c r="B38" s="461"/>
      <c r="C38" s="461"/>
      <c r="E38" s="461"/>
      <c r="F38" s="461"/>
      <c r="G38" s="461"/>
    </row>
    <row r="39" spans="1:10" ht="3" customHeight="1">
      <c r="A39" s="482"/>
      <c r="B39" s="461"/>
      <c r="C39" s="482"/>
      <c r="E39" s="461"/>
      <c r="F39" s="461"/>
      <c r="G39" s="461"/>
    </row>
    <row r="40" spans="1:10" ht="24" customHeight="1">
      <c r="A40" s="483">
        <f>[3]Data!S718</f>
        <v>0</v>
      </c>
      <c r="B40" s="483">
        <f>[3]Data!T718</f>
        <v>0</v>
      </c>
      <c r="C40" s="483" t="str">
        <f>[3]Data!U718</f>
        <v>Standardised concrete Mix M20 Grade Concrete</v>
      </c>
      <c r="D40" s="483">
        <f>[3]Data!V718</f>
        <v>0</v>
      </c>
      <c r="E40" s="483">
        <f>[3]Data!W718</f>
        <v>0</v>
      </c>
      <c r="F40" s="483">
        <f>[3]Data!X718</f>
        <v>0</v>
      </c>
      <c r="G40" s="483">
        <f>[3]Data!Y718</f>
        <v>0</v>
      </c>
      <c r="H40" s="483">
        <f>[3]Data!Z718</f>
        <v>0</v>
      </c>
    </row>
    <row r="41" spans="1:10" ht="24" customHeight="1">
      <c r="A41" s="483">
        <f>[3]Data!S719</f>
        <v>5</v>
      </c>
      <c r="B41" s="483" t="str">
        <f>[3]Data!T719</f>
        <v>cum</v>
      </c>
      <c r="C41" s="483" t="str">
        <f>[3]Data!U719</f>
        <v>20mm HBG Machine crushed stone jelly    (7730 Kg)</v>
      </c>
      <c r="D41" s="483">
        <f>[3]Data!V719</f>
        <v>1460.4</v>
      </c>
      <c r="E41" s="483">
        <f>[3]Data!W719</f>
        <v>0</v>
      </c>
      <c r="F41" s="483">
        <f>[3]Data!X719</f>
        <v>7302</v>
      </c>
      <c r="G41" s="483">
        <f>[3]Data!Y719</f>
        <v>0</v>
      </c>
      <c r="H41" s="483">
        <f>[3]Data!Z719</f>
        <v>7302</v>
      </c>
    </row>
    <row r="42" spans="1:10" ht="24" customHeight="1">
      <c r="A42" s="483">
        <f>[3]Data!S720</f>
        <v>3.3</v>
      </c>
      <c r="B42" s="483" t="str">
        <f>[3]Data!T720</f>
        <v>cum</v>
      </c>
      <c r="C42" s="483" t="str">
        <f>[3]Data!U720</f>
        <v>10-12mm HBG Machine crushed stone jelly    (5156 Kg)</v>
      </c>
      <c r="D42" s="483">
        <f>[3]Data!V720</f>
        <v>1187.9000000000001</v>
      </c>
      <c r="E42" s="483">
        <f>[3]Data!W720</f>
        <v>0</v>
      </c>
      <c r="F42" s="483">
        <f>[3]Data!X720</f>
        <v>3920.07</v>
      </c>
      <c r="G42" s="483">
        <f>[3]Data!Y720</f>
        <v>0</v>
      </c>
      <c r="H42" s="483">
        <f>[3]Data!Z720</f>
        <v>3920.07</v>
      </c>
    </row>
    <row r="43" spans="1:10" ht="24" customHeight="1">
      <c r="A43" s="483">
        <f>[3]Data!S721</f>
        <v>4.79</v>
      </c>
      <c r="B43" s="483" t="str">
        <f>[3]Data!T721</f>
        <v>cum</v>
      </c>
      <c r="C43" s="483" t="str">
        <f>[3]Data!U721</f>
        <v>Sand    (7670 Kg)</v>
      </c>
      <c r="D43" s="483">
        <f>[3]Data!V721</f>
        <v>1603.3</v>
      </c>
      <c r="E43" s="483">
        <f>[3]Data!W721</f>
        <v>0</v>
      </c>
      <c r="F43" s="483">
        <f>[3]Data!X721</f>
        <v>7679.81</v>
      </c>
      <c r="G43" s="483">
        <f>[3]Data!Y721</f>
        <v>0</v>
      </c>
      <c r="H43" s="483">
        <f>[3]Data!Z721</f>
        <v>7679.81</v>
      </c>
    </row>
    <row r="44" spans="1:10" ht="24" customHeight="1">
      <c r="A44" s="483">
        <f>[3]Data!S722</f>
        <v>3.25</v>
      </c>
      <c r="B44" s="483" t="str">
        <f>[3]Data!T722</f>
        <v>MT</v>
      </c>
      <c r="C44" s="483" t="str">
        <f>[3]Data!U722</f>
        <v>Cement</v>
      </c>
      <c r="D44" s="483">
        <f>[3]Data!V722</f>
        <v>5800</v>
      </c>
      <c r="E44" s="483">
        <f>[3]Data!W722</f>
        <v>0</v>
      </c>
      <c r="F44" s="483">
        <f>[3]Data!X722</f>
        <v>18850</v>
      </c>
      <c r="G44" s="483">
        <f>[3]Data!Y722</f>
        <v>0</v>
      </c>
      <c r="H44" s="483">
        <f>[3]Data!Z722</f>
        <v>18850</v>
      </c>
    </row>
    <row r="45" spans="1:10" ht="24" customHeight="1">
      <c r="A45" s="483">
        <f>[3]Data!S723</f>
        <v>19.5</v>
      </c>
      <c r="B45" s="483" t="str">
        <f>[3]Data!T723</f>
        <v>Kg</v>
      </c>
      <c r="C45" s="483" t="str">
        <f>[3]Data!U723</f>
        <v>Plasticiser /Super plasticiser @ .60% of cement (P57 item NO.198</v>
      </c>
      <c r="D45" s="483">
        <f>[3]Data!V723</f>
        <v>42.4</v>
      </c>
      <c r="E45" s="483">
        <f>[3]Data!W723</f>
        <v>0</v>
      </c>
      <c r="F45" s="483">
        <f>[3]Data!X723</f>
        <v>826.8</v>
      </c>
      <c r="G45" s="483">
        <f>[3]Data!Y723</f>
        <v>0</v>
      </c>
      <c r="H45" s="483">
        <f>[3]Data!Z723</f>
        <v>826.8</v>
      </c>
    </row>
    <row r="46" spans="1:10" ht="24" customHeight="1">
      <c r="A46" s="483">
        <f>[3]Data!S724</f>
        <v>3.5</v>
      </c>
      <c r="B46" s="483" t="str">
        <f>[3]Data!T724</f>
        <v>Nos</v>
      </c>
      <c r="C46" s="483" t="str">
        <f>[3]Data!U724</f>
        <v>Mason II</v>
      </c>
      <c r="D46" s="483">
        <f>[3]Data!V724</f>
        <v>753.9</v>
      </c>
      <c r="E46" s="483">
        <f>[3]Data!W724</f>
        <v>0</v>
      </c>
      <c r="F46" s="483">
        <f>[3]Data!X724</f>
        <v>2638.65</v>
      </c>
      <c r="G46" s="483">
        <f>[3]Data!Y724</f>
        <v>0</v>
      </c>
      <c r="H46" s="483">
        <f>[3]Data!Z724</f>
        <v>2638.65</v>
      </c>
    </row>
    <row r="47" spans="1:10" ht="24" customHeight="1">
      <c r="A47" s="483">
        <f>[3]Data!S725</f>
        <v>21.2</v>
      </c>
      <c r="B47" s="483" t="str">
        <f>[3]Data!T725</f>
        <v>Nos</v>
      </c>
      <c r="C47" s="483" t="str">
        <f>[3]Data!U725</f>
        <v>Maz I</v>
      </c>
      <c r="D47" s="483">
        <f>[3]Data!V725</f>
        <v>527.1</v>
      </c>
      <c r="E47" s="483">
        <f>[3]Data!W725</f>
        <v>0</v>
      </c>
      <c r="F47" s="483">
        <f>[3]Data!X725</f>
        <v>11174.52</v>
      </c>
      <c r="G47" s="483">
        <f>[3]Data!Y725</f>
        <v>0</v>
      </c>
      <c r="H47" s="483">
        <f>[3]Data!Z725</f>
        <v>11174.52</v>
      </c>
    </row>
    <row r="48" spans="1:10" ht="24" customHeight="1">
      <c r="A48" s="483">
        <f>[3]Data!S726</f>
        <v>35.299999999999997</v>
      </c>
      <c r="B48" s="483" t="str">
        <f>[3]Data!T726</f>
        <v>Nos</v>
      </c>
      <c r="C48" s="483" t="str">
        <f>[3]Data!U726</f>
        <v>Maz II</v>
      </c>
      <c r="D48" s="483">
        <f>[3]Data!V726</f>
        <v>432.6</v>
      </c>
      <c r="E48" s="483">
        <f>[3]Data!W726</f>
        <v>0</v>
      </c>
      <c r="F48" s="483">
        <f>[3]Data!X726</f>
        <v>15270.78</v>
      </c>
      <c r="G48" s="483">
        <f>[3]Data!Y726</f>
        <v>0</v>
      </c>
      <c r="H48" s="483">
        <f>[3]Data!Z726</f>
        <v>15270.78</v>
      </c>
    </row>
    <row r="49" spans="1:8" ht="24" customHeight="1">
      <c r="A49" s="483">
        <f>[3]Data!S727</f>
        <v>0</v>
      </c>
      <c r="B49" s="483">
        <f>[3]Data!T727</f>
        <v>0</v>
      </c>
      <c r="C49" s="483" t="str">
        <f>[3]Data!U727</f>
        <v>Total for 10 cum</v>
      </c>
      <c r="D49" s="483">
        <f>[3]Data!V727</f>
        <v>0</v>
      </c>
      <c r="E49" s="483">
        <f>[3]Data!W727</f>
        <v>0</v>
      </c>
      <c r="F49" s="483">
        <f>[3]Data!X727</f>
        <v>67662.63</v>
      </c>
      <c r="G49" s="483">
        <f>[3]Data!Y727</f>
        <v>0</v>
      </c>
      <c r="H49" s="483">
        <f>[3]Data!Z727</f>
        <v>67662.63</v>
      </c>
    </row>
    <row r="50" spans="1:8" ht="24" customHeight="1">
      <c r="A50" s="483">
        <f>[3]Data!S728</f>
        <v>0</v>
      </c>
      <c r="B50" s="483">
        <f>[3]Data!T728</f>
        <v>0</v>
      </c>
      <c r="C50" s="483" t="str">
        <f>[3]Data!U728</f>
        <v>for 1 cum</v>
      </c>
      <c r="D50" s="483">
        <f>[3]Data!V728</f>
        <v>0</v>
      </c>
      <c r="E50" s="483">
        <f>[3]Data!W728</f>
        <v>0</v>
      </c>
      <c r="F50" s="483">
        <f>[3]Data!X728</f>
        <v>6766.26</v>
      </c>
      <c r="G50" s="483">
        <f>[3]Data!Y728</f>
        <v>0</v>
      </c>
      <c r="H50" s="483">
        <f>[3]Data!Z728</f>
        <v>6766.26</v>
      </c>
    </row>
    <row r="51" spans="1:8" ht="24" customHeight="1">
      <c r="A51" s="483">
        <f>[3]Data!S729</f>
        <v>1</v>
      </c>
      <c r="B51" s="483" t="str">
        <f>[3]Data!T729</f>
        <v>cum</v>
      </c>
      <c r="C51" s="483" t="str">
        <f>[3]Data!U729</f>
        <v>Vibrating charges p-28 /103</v>
      </c>
      <c r="D51" s="483">
        <f>[3]Data!V729</f>
        <v>74.239999999999995</v>
      </c>
      <c r="E51" s="483">
        <f>[3]Data!W729</f>
        <v>0</v>
      </c>
      <c r="F51" s="483">
        <f>[3]Data!X729</f>
        <v>74.239999999999995</v>
      </c>
      <c r="G51" s="483">
        <f>[3]Data!Y729</f>
        <v>0</v>
      </c>
      <c r="H51" s="483">
        <f>[3]Data!Z729</f>
        <v>0</v>
      </c>
    </row>
    <row r="52" spans="1:8" ht="24" customHeight="1">
      <c r="A52" s="483">
        <f>[3]Data!S730</f>
        <v>0</v>
      </c>
      <c r="B52" s="483">
        <f>[3]Data!T730</f>
        <v>0</v>
      </c>
      <c r="C52" s="483" t="str">
        <f>[3]Data!U730</f>
        <v>Sub Total</v>
      </c>
      <c r="D52" s="483">
        <f>[3]Data!V730</f>
        <v>0</v>
      </c>
      <c r="E52" s="483">
        <f>[3]Data!W730</f>
        <v>0</v>
      </c>
      <c r="F52" s="483">
        <f>[3]Data!X730</f>
        <v>6840.5</v>
      </c>
      <c r="G52" s="483">
        <f>[3]Data!Y730</f>
        <v>0</v>
      </c>
      <c r="H52" s="483">
        <f>[3]Data!Z730</f>
        <v>6766.26</v>
      </c>
    </row>
    <row r="53" spans="1:8">
      <c r="A53" s="483" t="str">
        <f>[3]Data!S731</f>
        <v>LS</v>
      </c>
      <c r="B53" s="483">
        <f>[3]Data!T731</f>
        <v>0</v>
      </c>
      <c r="C53" s="483" t="str">
        <f>[3]Data!U731</f>
        <v>Add for water charges &amp; other sundries (0.5 % of sub total</v>
      </c>
      <c r="D53" s="483" t="str">
        <f>[3]Data!V731</f>
        <v>LS</v>
      </c>
      <c r="E53" s="483">
        <f>[3]Data!W731</f>
        <v>0</v>
      </c>
      <c r="F53" s="483">
        <f>[3]Data!X731</f>
        <v>34.200000000000003</v>
      </c>
      <c r="G53" s="483">
        <f>[3]Data!Y731</f>
        <v>0</v>
      </c>
      <c r="H53" s="483">
        <f>[3]Data!Z731</f>
        <v>33.83</v>
      </c>
    </row>
    <row r="54" spans="1:8">
      <c r="A54" s="483">
        <f>[3]Data!S732</f>
        <v>0</v>
      </c>
      <c r="B54" s="483">
        <f>[3]Data!T732</f>
        <v>0</v>
      </c>
      <c r="C54" s="483" t="str">
        <f>[3]Data!U732</f>
        <v>Foundation &amp; Basement</v>
      </c>
      <c r="D54" s="483">
        <f>[3]Data!V732</f>
        <v>0</v>
      </c>
      <c r="E54" s="483">
        <f>[3]Data!W732</f>
        <v>0</v>
      </c>
      <c r="F54" s="483">
        <f>[3]Data!X732</f>
        <v>6874.7</v>
      </c>
      <c r="G54" s="483">
        <f>[3]Data!Y732</f>
        <v>0</v>
      </c>
      <c r="H54" s="483">
        <f>[3]Data!Z732</f>
        <v>6800.09</v>
      </c>
    </row>
    <row r="55" spans="1:8">
      <c r="A55" s="483">
        <f>[3]Data!S733</f>
        <v>0</v>
      </c>
      <c r="B55" s="483">
        <f>[3]Data!T733</f>
        <v>0</v>
      </c>
      <c r="C55" s="483">
        <f>[3]Data!U733</f>
        <v>0</v>
      </c>
      <c r="D55" s="483">
        <f>[3]Data!V733</f>
        <v>0</v>
      </c>
      <c r="E55" s="483">
        <f>[3]Data!W733</f>
        <v>0</v>
      </c>
      <c r="F55" s="483" t="str">
        <f>[3]Data!X733</f>
        <v>-</v>
      </c>
      <c r="G55" s="483">
        <f>[3]Data!Y733</f>
        <v>0</v>
      </c>
      <c r="H55" s="483">
        <f>[3]Data!Z733</f>
        <v>0</v>
      </c>
    </row>
    <row r="56" spans="1:8">
      <c r="A56" s="483">
        <f>[3]Data!S734</f>
        <v>0</v>
      </c>
      <c r="B56" s="483">
        <f>[3]Data!T734</f>
        <v>0</v>
      </c>
      <c r="C56" s="483" t="str">
        <f>[3]Data!U734</f>
        <v>G.F</v>
      </c>
      <c r="D56" s="483">
        <f>[3]Data!V734</f>
        <v>0</v>
      </c>
      <c r="E56" s="483">
        <f>[3]Data!W734</f>
        <v>0</v>
      </c>
      <c r="F56" s="483">
        <f>[3]Data!X734</f>
        <v>6969.1</v>
      </c>
      <c r="G56" s="483">
        <f>[3]Data!Y734</f>
        <v>0</v>
      </c>
      <c r="H56" s="483">
        <f>[3]Data!Z734</f>
        <v>0</v>
      </c>
    </row>
    <row r="57" spans="1:8">
      <c r="A57" s="483">
        <f>[3]Data!S735</f>
        <v>0</v>
      </c>
      <c r="B57" s="483">
        <f>[3]Data!T735</f>
        <v>0</v>
      </c>
      <c r="C57" s="483" t="str">
        <f>[3]Data!U735</f>
        <v>F.F</v>
      </c>
      <c r="D57" s="483">
        <f>[3]Data!V735</f>
        <v>0</v>
      </c>
      <c r="E57" s="483">
        <f>[3]Data!W735</f>
        <v>0</v>
      </c>
      <c r="F57" s="483">
        <f>[3]Data!X735</f>
        <v>7154.95</v>
      </c>
      <c r="G57" s="483">
        <f>[3]Data!Y735</f>
        <v>0</v>
      </c>
      <c r="H57" s="483">
        <f>[3]Data!Z735</f>
        <v>0</v>
      </c>
    </row>
    <row r="58" spans="1:8">
      <c r="A58" s="483">
        <f>[3]Data!S736</f>
        <v>0</v>
      </c>
      <c r="B58" s="483">
        <f>[3]Data!T736</f>
        <v>0</v>
      </c>
      <c r="C58" s="483" t="str">
        <f>[3]Data!U736</f>
        <v>S.F</v>
      </c>
      <c r="D58" s="483">
        <f>[3]Data!V736</f>
        <v>0</v>
      </c>
      <c r="E58" s="483">
        <f>[3]Data!W736</f>
        <v>0</v>
      </c>
      <c r="F58" s="483">
        <f>[3]Data!X736</f>
        <v>7340.8</v>
      </c>
      <c r="G58" s="483">
        <f>[3]Data!Y736</f>
        <v>0</v>
      </c>
      <c r="H58" s="483">
        <f>[3]Data!Z736</f>
        <v>0</v>
      </c>
    </row>
    <row r="59" spans="1:8">
      <c r="A59" s="483">
        <f>[3]Data!S737</f>
        <v>0</v>
      </c>
      <c r="B59" s="483">
        <f>[3]Data!T737</f>
        <v>0</v>
      </c>
      <c r="C59" s="483" t="str">
        <f>[3]Data!U737</f>
        <v>T.F</v>
      </c>
      <c r="D59" s="483">
        <f>[3]Data!V737</f>
        <v>0</v>
      </c>
      <c r="E59" s="483">
        <f>[3]Data!W737</f>
        <v>0</v>
      </c>
      <c r="F59" s="483">
        <f>[3]Data!X737</f>
        <v>7526.65</v>
      </c>
      <c r="G59" s="483">
        <f>[3]Data!Y737</f>
        <v>0</v>
      </c>
      <c r="H59" s="483">
        <f>[3]Data!Z737</f>
        <v>0</v>
      </c>
    </row>
    <row r="60" spans="1:8">
      <c r="A60" s="483">
        <f>[3]Data!S738</f>
        <v>0</v>
      </c>
      <c r="B60" s="483">
        <f>[3]Data!T738</f>
        <v>0</v>
      </c>
      <c r="C60" s="483" t="str">
        <f>[3]Data!U738</f>
        <v>Fourth Floor</v>
      </c>
      <c r="D60" s="483">
        <f>[3]Data!V738</f>
        <v>0</v>
      </c>
      <c r="E60" s="483">
        <f>[3]Data!W738</f>
        <v>0</v>
      </c>
      <c r="F60" s="483">
        <f>[3]Data!X738</f>
        <v>7712.5</v>
      </c>
      <c r="G60" s="483">
        <f>[3]Data!Y738</f>
        <v>0</v>
      </c>
      <c r="H60" s="483">
        <f>[3]Data!Z738</f>
        <v>0</v>
      </c>
    </row>
    <row r="61" spans="1:8" ht="17.25">
      <c r="A61" s="461"/>
      <c r="B61" s="461"/>
      <c r="C61" s="461"/>
      <c r="E61" s="461"/>
      <c r="F61" s="461"/>
      <c r="G61" s="461"/>
    </row>
    <row r="62" spans="1:8" ht="7.5" customHeight="1">
      <c r="A62" s="461"/>
      <c r="B62" s="461"/>
      <c r="C62" s="461"/>
      <c r="E62" s="461"/>
      <c r="F62" s="461"/>
      <c r="G62" s="461"/>
    </row>
    <row r="63" spans="1:8" ht="17.25" hidden="1">
      <c r="A63" s="461"/>
      <c r="B63" s="461"/>
      <c r="C63" s="461"/>
      <c r="E63" s="461"/>
      <c r="F63" s="461"/>
      <c r="G63" s="461"/>
    </row>
    <row r="64" spans="1:8" ht="17.25" hidden="1">
      <c r="A64" s="461"/>
      <c r="B64" s="461"/>
      <c r="C64" s="461"/>
      <c r="E64" s="461"/>
      <c r="F64" s="461"/>
      <c r="G64" s="461"/>
    </row>
    <row r="65" spans="1:7" ht="17.25">
      <c r="A65" s="1610" t="s">
        <v>0</v>
      </c>
      <c r="B65" s="1610"/>
      <c r="C65" s="1610"/>
      <c r="D65" s="1610"/>
      <c r="E65" s="1610"/>
      <c r="F65" s="1610"/>
    </row>
    <row r="66" spans="1:7" ht="17.25">
      <c r="A66" s="1610" t="s">
        <v>1</v>
      </c>
      <c r="B66" s="1610"/>
      <c r="C66" s="1610"/>
      <c r="D66" s="1610"/>
      <c r="E66" s="1610"/>
      <c r="F66" s="1610"/>
    </row>
    <row r="67" spans="1:7" ht="17.25">
      <c r="A67" s="1611" t="s">
        <v>2428</v>
      </c>
      <c r="B67" s="1611"/>
      <c r="C67" s="1611"/>
      <c r="D67" s="1611"/>
      <c r="E67" s="1611"/>
      <c r="F67" s="1611"/>
    </row>
    <row r="68" spans="1:7" ht="17.25">
      <c r="A68" s="1612" t="s">
        <v>2451</v>
      </c>
      <c r="B68" s="1612"/>
      <c r="C68" s="1612"/>
      <c r="D68" s="1612"/>
      <c r="E68" s="1612"/>
      <c r="F68" s="461"/>
    </row>
    <row r="69" spans="1:7" ht="17.25">
      <c r="A69" s="461"/>
      <c r="B69" s="461"/>
      <c r="C69" s="461"/>
      <c r="D69" s="461"/>
      <c r="E69" s="461"/>
      <c r="F69" s="461"/>
    </row>
    <row r="70" spans="1:7" ht="19.5">
      <c r="B70" s="462"/>
      <c r="C70" s="1613" t="s">
        <v>2452</v>
      </c>
      <c r="D70" s="1613"/>
      <c r="E70" s="1613"/>
      <c r="F70" s="462"/>
      <c r="G70" s="463" t="s">
        <v>19</v>
      </c>
    </row>
    <row r="71" spans="1:7" ht="20.25">
      <c r="A71" s="464"/>
      <c r="B71" s="1614" t="s">
        <v>2453</v>
      </c>
      <c r="C71" s="1614"/>
      <c r="D71" s="1614"/>
      <c r="E71" s="1614"/>
      <c r="F71" s="1614"/>
      <c r="G71" s="465">
        <f>3.14*0.45*0.45*8/4</f>
        <v>1.2717000000000001</v>
      </c>
    </row>
    <row r="72" spans="1:7" ht="39" customHeight="1">
      <c r="A72" s="466"/>
      <c r="B72" s="466"/>
      <c r="C72" s="467" t="s">
        <v>2454</v>
      </c>
      <c r="D72" s="466"/>
      <c r="E72" s="466"/>
      <c r="F72" s="466"/>
    </row>
    <row r="73" spans="1:7" ht="28.5" customHeight="1">
      <c r="A73" s="468">
        <f>G71</f>
        <v>1.2717000000000001</v>
      </c>
      <c r="B73" s="466" t="s">
        <v>19</v>
      </c>
      <c r="C73" s="466" t="s">
        <v>2433</v>
      </c>
      <c r="D73" s="461"/>
      <c r="E73" s="469">
        <f>H54</f>
        <v>6800.09</v>
      </c>
      <c r="F73" s="469">
        <f>A73*E73</f>
        <v>8647.6744530000014</v>
      </c>
    </row>
    <row r="74" spans="1:7" ht="28.5" customHeight="1">
      <c r="A74" s="470">
        <f>A73*10/100</f>
        <v>0.12717000000000001</v>
      </c>
      <c r="B74" s="466" t="s">
        <v>22</v>
      </c>
      <c r="C74" s="466" t="s">
        <v>2434</v>
      </c>
      <c r="D74" s="461"/>
      <c r="E74" s="469">
        <v>4000</v>
      </c>
      <c r="F74" s="469">
        <f>A74*E74</f>
        <v>508.68</v>
      </c>
    </row>
    <row r="75" spans="1:7" ht="28.5" customHeight="1">
      <c r="A75" s="469">
        <v>8</v>
      </c>
      <c r="B75" s="466" t="s">
        <v>12</v>
      </c>
      <c r="C75" s="466" t="s">
        <v>2416</v>
      </c>
      <c r="D75" s="461"/>
      <c r="E75" s="469">
        <v>960</v>
      </c>
      <c r="F75" s="469">
        <f>A75*E75</f>
        <v>7680</v>
      </c>
    </row>
    <row r="76" spans="1:7" ht="17.25">
      <c r="A76" s="466"/>
      <c r="B76" s="466"/>
      <c r="C76" s="466"/>
      <c r="D76" s="461"/>
      <c r="E76" s="466"/>
      <c r="F76" s="466"/>
    </row>
    <row r="77" spans="1:7" ht="17.25">
      <c r="A77" s="466"/>
      <c r="B77" s="466"/>
      <c r="C77" s="466" t="s">
        <v>2435</v>
      </c>
      <c r="D77" s="461"/>
      <c r="E77" s="466"/>
      <c r="F77" s="469">
        <f>SUM(F73:F76)</f>
        <v>16836.354453</v>
      </c>
    </row>
    <row r="78" spans="1:7" ht="17.25">
      <c r="A78" s="466"/>
      <c r="B78" s="466"/>
      <c r="C78" s="466" t="s">
        <v>2436</v>
      </c>
      <c r="D78" s="461"/>
      <c r="E78" s="466"/>
      <c r="F78" s="469">
        <f>F77/7</f>
        <v>2405.1934932857143</v>
      </c>
    </row>
    <row r="79" spans="1:7" ht="17.25">
      <c r="A79" s="466"/>
      <c r="B79" s="466"/>
      <c r="C79" s="466" t="s">
        <v>2437</v>
      </c>
      <c r="D79" s="461"/>
      <c r="E79" s="466"/>
      <c r="F79" s="466">
        <f>1000/8</f>
        <v>125</v>
      </c>
    </row>
    <row r="80" spans="1:7" ht="17.25">
      <c r="A80" s="466"/>
      <c r="B80" s="466"/>
      <c r="C80" s="466"/>
      <c r="D80" s="461"/>
      <c r="E80" s="466"/>
      <c r="F80" s="466"/>
    </row>
    <row r="81" spans="1:7" ht="17.25">
      <c r="A81" s="466"/>
      <c r="B81" s="466"/>
      <c r="C81" s="466" t="s">
        <v>2436</v>
      </c>
      <c r="D81" s="461"/>
      <c r="E81" s="466"/>
      <c r="F81" s="471">
        <f>SUM(F78:F80)</f>
        <v>2530.1934932857143</v>
      </c>
    </row>
    <row r="82" spans="1:7" ht="17.25">
      <c r="A82" s="466"/>
      <c r="B82" s="466"/>
      <c r="C82" s="466" t="s">
        <v>2438</v>
      </c>
      <c r="D82" s="466"/>
      <c r="E82" s="466"/>
      <c r="F82" s="466"/>
    </row>
    <row r="83" spans="1:7" ht="17.25">
      <c r="A83" s="466"/>
      <c r="B83" s="466"/>
      <c r="C83" s="466"/>
      <c r="D83" s="466"/>
      <c r="E83" s="466"/>
      <c r="F83" s="466"/>
    </row>
    <row r="84" spans="1:7" ht="17.25">
      <c r="A84" s="466"/>
      <c r="B84" s="466"/>
      <c r="C84" s="466"/>
      <c r="D84" s="466"/>
      <c r="E84" s="466"/>
      <c r="F84" s="466"/>
    </row>
    <row r="85" spans="1:7" ht="17.25">
      <c r="A85" s="472"/>
      <c r="B85" s="472"/>
      <c r="C85" s="1615" t="s">
        <v>2439</v>
      </c>
      <c r="D85" s="1615"/>
      <c r="E85" s="1615"/>
      <c r="F85" s="472"/>
      <c r="G85" s="473"/>
    </row>
    <row r="86" spans="1:7" ht="20.25">
      <c r="A86" s="474"/>
      <c r="B86" s="1614" t="s">
        <v>2455</v>
      </c>
      <c r="C86" s="1614"/>
      <c r="D86" s="1614"/>
      <c r="E86" s="1614"/>
      <c r="F86" s="1614"/>
      <c r="G86" s="465">
        <f>3.14*0.45*0.45/4</f>
        <v>0.15896250000000001</v>
      </c>
    </row>
    <row r="87" spans="1:7" ht="17.25">
      <c r="A87" s="466"/>
      <c r="B87" s="466"/>
      <c r="C87" s="475" t="s">
        <v>2441</v>
      </c>
      <c r="D87" s="466"/>
      <c r="E87" s="466"/>
      <c r="F87" s="466"/>
    </row>
    <row r="88" spans="1:7" ht="17.25">
      <c r="A88" s="468">
        <f>G86</f>
        <v>0.15896250000000001</v>
      </c>
      <c r="B88" s="466" t="s">
        <v>19</v>
      </c>
      <c r="C88" s="466" t="s">
        <v>2456</v>
      </c>
      <c r="D88" s="461"/>
      <c r="E88" s="469">
        <f>E24</f>
        <v>4390</v>
      </c>
      <c r="F88" s="469">
        <f>A88*E88</f>
        <v>697.84537499999999</v>
      </c>
    </row>
    <row r="89" spans="1:7" ht="17.25">
      <c r="A89" s="468">
        <f>+A88</f>
        <v>0.15896250000000001</v>
      </c>
      <c r="B89" s="466" t="s">
        <v>19</v>
      </c>
      <c r="C89" s="1609" t="s">
        <v>2443</v>
      </c>
      <c r="D89" s="1609"/>
      <c r="E89" s="469">
        <f>9.62*5</f>
        <v>48.099999999999994</v>
      </c>
      <c r="F89" s="469">
        <f>E89*A89</f>
        <v>7.6460962499999994</v>
      </c>
    </row>
    <row r="90" spans="1:7" ht="17.25">
      <c r="A90" s="468">
        <f>+A89</f>
        <v>0.15896250000000001</v>
      </c>
      <c r="B90" s="466" t="s">
        <v>19</v>
      </c>
      <c r="C90" s="466" t="s">
        <v>2444</v>
      </c>
      <c r="D90" s="461"/>
      <c r="E90" s="469">
        <v>33.11</v>
      </c>
      <c r="F90" s="469">
        <f>A90*E90</f>
        <v>5.2632483749999999</v>
      </c>
    </row>
    <row r="91" spans="1:7" ht="17.25">
      <c r="A91" s="469"/>
      <c r="B91" s="466"/>
      <c r="C91" s="466"/>
      <c r="D91" s="461"/>
      <c r="E91" s="469"/>
      <c r="F91" s="469"/>
    </row>
    <row r="92" spans="1:7" ht="17.25">
      <c r="A92" s="466"/>
      <c r="B92" s="466"/>
      <c r="C92" s="466" t="s">
        <v>2436</v>
      </c>
      <c r="D92" s="461"/>
      <c r="E92" s="466"/>
      <c r="F92" s="471">
        <f>SUM(F88:F91)</f>
        <v>710.75471962500001</v>
      </c>
    </row>
    <row r="93" spans="1:7" ht="17.25">
      <c r="A93" s="461"/>
      <c r="B93" s="461"/>
      <c r="C93" s="461"/>
      <c r="D93" s="461"/>
      <c r="E93" s="461"/>
      <c r="F93" s="461"/>
    </row>
    <row r="94" spans="1:7" ht="17.25">
      <c r="B94" s="476"/>
      <c r="C94" s="1608" t="s">
        <v>2445</v>
      </c>
      <c r="D94" s="1608"/>
      <c r="E94" s="1608"/>
      <c r="F94" s="476"/>
    </row>
    <row r="95" spans="1:7" ht="17.25">
      <c r="A95" s="461"/>
      <c r="B95" s="461"/>
      <c r="C95" s="461"/>
      <c r="D95" s="461"/>
      <c r="E95" s="461"/>
      <c r="F95" s="461"/>
    </row>
    <row r="96" spans="1:7" ht="34.5">
      <c r="A96" s="477" t="s">
        <v>2446</v>
      </c>
      <c r="B96" s="477">
        <v>3</v>
      </c>
      <c r="C96" s="478" t="s">
        <v>2447</v>
      </c>
      <c r="E96" s="477">
        <v>9.6199999999999992</v>
      </c>
      <c r="F96" s="477" t="s">
        <v>2019</v>
      </c>
      <c r="G96" s="477">
        <f>E96*B96</f>
        <v>28.86</v>
      </c>
    </row>
    <row r="97" spans="1:7" ht="17.25">
      <c r="A97" s="477" t="s">
        <v>2446</v>
      </c>
      <c r="B97" s="477">
        <v>3</v>
      </c>
      <c r="C97" s="479" t="s">
        <v>2448</v>
      </c>
      <c r="E97" s="477">
        <f>E90</f>
        <v>33.11</v>
      </c>
      <c r="F97" s="477" t="s">
        <v>2019</v>
      </c>
      <c r="G97" s="477">
        <f>E97*B97</f>
        <v>99.33</v>
      </c>
    </row>
    <row r="98" spans="1:7" ht="17.25">
      <c r="A98" s="477"/>
      <c r="B98" s="477"/>
      <c r="C98" s="480"/>
      <c r="E98" s="477"/>
      <c r="F98" s="477"/>
      <c r="G98" s="477"/>
    </row>
    <row r="99" spans="1:7" ht="17.25">
      <c r="A99" s="477"/>
      <c r="B99" s="477"/>
      <c r="C99" s="480" t="s">
        <v>2450</v>
      </c>
      <c r="E99" s="477"/>
      <c r="F99" s="477"/>
      <c r="G99" s="481">
        <f>SUM(G96:G98)</f>
        <v>128.19</v>
      </c>
    </row>
    <row r="100" spans="1:7" ht="17.25">
      <c r="A100" s="461"/>
      <c r="B100" s="461"/>
      <c r="C100" s="461"/>
      <c r="E100" s="461"/>
      <c r="F100" s="461"/>
      <c r="G100" s="461"/>
    </row>
    <row r="101" spans="1:7" ht="23.25" hidden="1" customHeight="1">
      <c r="A101" s="461"/>
      <c r="B101" s="461"/>
      <c r="C101" s="461"/>
      <c r="E101" s="461"/>
      <c r="F101" s="461"/>
      <c r="G101" s="461"/>
    </row>
    <row r="102" spans="1:7" ht="23.25" hidden="1" customHeight="1">
      <c r="A102" s="461"/>
      <c r="B102" s="461"/>
      <c r="C102" s="461"/>
      <c r="E102" s="461"/>
      <c r="F102" s="461"/>
      <c r="G102" s="461"/>
    </row>
    <row r="103" spans="1:7" ht="29.25" hidden="1" customHeight="1">
      <c r="A103" s="465"/>
      <c r="B103" s="473">
        <v>4.2</v>
      </c>
      <c r="C103" s="473" t="s">
        <v>996</v>
      </c>
    </row>
    <row r="104" spans="1:7" ht="30" hidden="1" customHeight="1">
      <c r="A104" s="465">
        <v>5</v>
      </c>
      <c r="B104" s="2" t="s">
        <v>2019</v>
      </c>
      <c r="C104" s="2" t="s">
        <v>2457</v>
      </c>
      <c r="D104" s="2">
        <f>D41</f>
        <v>1460.4</v>
      </c>
      <c r="F104" s="2">
        <f>D104*A104</f>
        <v>7302</v>
      </c>
    </row>
    <row r="105" spans="1:7" ht="30" hidden="1" customHeight="1">
      <c r="A105" s="465">
        <v>3.3</v>
      </c>
      <c r="B105" s="2" t="s">
        <v>2019</v>
      </c>
      <c r="C105" s="2" t="s">
        <v>2458</v>
      </c>
      <c r="D105" s="2">
        <f t="shared" ref="D105:D116" si="0">D42</f>
        <v>1187.9000000000001</v>
      </c>
      <c r="F105" s="2">
        <f t="shared" ref="F105:F111" si="1">D105*A105</f>
        <v>3920.07</v>
      </c>
    </row>
    <row r="106" spans="1:7" ht="30" hidden="1" customHeight="1">
      <c r="A106" s="465">
        <v>4.79</v>
      </c>
      <c r="B106" s="2" t="s">
        <v>2019</v>
      </c>
      <c r="C106" s="2" t="s">
        <v>2459</v>
      </c>
      <c r="D106" s="2">
        <f t="shared" si="0"/>
        <v>1603.3</v>
      </c>
      <c r="F106" s="2">
        <f t="shared" si="1"/>
        <v>7679.8069999999998</v>
      </c>
    </row>
    <row r="107" spans="1:7" ht="30" hidden="1" customHeight="1">
      <c r="A107" s="465">
        <v>4</v>
      </c>
      <c r="B107" s="2" t="s">
        <v>22</v>
      </c>
      <c r="C107" s="2" t="s">
        <v>2386</v>
      </c>
      <c r="D107" s="2">
        <f t="shared" si="0"/>
        <v>5800</v>
      </c>
      <c r="F107" s="2">
        <f t="shared" si="1"/>
        <v>23200</v>
      </c>
    </row>
    <row r="108" spans="1:7" ht="30" hidden="1" customHeight="1">
      <c r="A108" s="465">
        <v>40</v>
      </c>
      <c r="B108" s="2" t="s">
        <v>40</v>
      </c>
      <c r="C108" s="2" t="s">
        <v>2460</v>
      </c>
      <c r="D108" s="2">
        <f t="shared" si="0"/>
        <v>42.4</v>
      </c>
      <c r="F108" s="2">
        <f t="shared" si="1"/>
        <v>1696</v>
      </c>
    </row>
    <row r="109" spans="1:7" ht="30" hidden="1" customHeight="1">
      <c r="A109" s="465">
        <v>3.5</v>
      </c>
      <c r="B109" s="2" t="s">
        <v>13</v>
      </c>
      <c r="C109" s="2" t="s">
        <v>2461</v>
      </c>
      <c r="D109" s="2">
        <f t="shared" si="0"/>
        <v>753.9</v>
      </c>
      <c r="F109" s="2">
        <f>D109*A109</f>
        <v>2638.65</v>
      </c>
    </row>
    <row r="110" spans="1:7" ht="30" hidden="1" customHeight="1">
      <c r="A110" s="465">
        <v>21.2</v>
      </c>
      <c r="B110" s="2" t="s">
        <v>13</v>
      </c>
      <c r="C110" s="2" t="s">
        <v>2462</v>
      </c>
      <c r="D110" s="2">
        <f t="shared" si="0"/>
        <v>527.1</v>
      </c>
      <c r="F110" s="2">
        <f t="shared" si="1"/>
        <v>11174.52</v>
      </c>
    </row>
    <row r="111" spans="1:7" ht="30" hidden="1" customHeight="1">
      <c r="A111" s="465">
        <v>35.299999999999997</v>
      </c>
      <c r="B111" s="2" t="s">
        <v>13</v>
      </c>
      <c r="C111" s="2" t="s">
        <v>2463</v>
      </c>
      <c r="D111" s="2">
        <f t="shared" si="0"/>
        <v>432.6</v>
      </c>
      <c r="F111" s="2">
        <f t="shared" si="1"/>
        <v>15270.779999999999</v>
      </c>
    </row>
    <row r="112" spans="1:7" ht="30" hidden="1" customHeight="1">
      <c r="A112" s="465"/>
      <c r="C112" s="473" t="s">
        <v>2464</v>
      </c>
      <c r="D112" s="2">
        <f t="shared" si="0"/>
        <v>0</v>
      </c>
      <c r="F112" s="473">
        <f>SUM(F104:F111)</f>
        <v>72881.827000000005</v>
      </c>
    </row>
    <row r="113" spans="1:7" ht="30" hidden="1" customHeight="1">
      <c r="A113" s="465"/>
      <c r="C113" s="473" t="s">
        <v>2465</v>
      </c>
      <c r="D113" s="2">
        <f t="shared" si="0"/>
        <v>0</v>
      </c>
      <c r="F113" s="473">
        <f>F112/10</f>
        <v>7288.1827000000003</v>
      </c>
      <c r="G113" s="2">
        <f>F113</f>
        <v>7288.1827000000003</v>
      </c>
    </row>
    <row r="114" spans="1:7" ht="30" hidden="1" customHeight="1">
      <c r="A114" s="465">
        <v>1</v>
      </c>
      <c r="B114" s="2" t="s">
        <v>2019</v>
      </c>
      <c r="C114" s="2" t="s">
        <v>2466</v>
      </c>
      <c r="D114" s="2">
        <f t="shared" si="0"/>
        <v>74.239999999999995</v>
      </c>
      <c r="F114" s="2">
        <f>D114</f>
        <v>74.239999999999995</v>
      </c>
    </row>
    <row r="115" spans="1:7" ht="30" hidden="1" customHeight="1">
      <c r="A115" s="465"/>
      <c r="C115" s="2" t="s">
        <v>2467</v>
      </c>
      <c r="D115" s="2">
        <f t="shared" si="0"/>
        <v>0</v>
      </c>
      <c r="F115" s="473">
        <f>SUM(F113:F114)</f>
        <v>7362.4227000000001</v>
      </c>
      <c r="G115" s="2">
        <f>SUM(G113:G114)</f>
        <v>7288.1827000000003</v>
      </c>
    </row>
    <row r="116" spans="1:7" ht="30" hidden="1" customHeight="1">
      <c r="A116" s="484" t="s">
        <v>170</v>
      </c>
      <c r="C116" s="2" t="s">
        <v>2468</v>
      </c>
      <c r="D116" s="2" t="str">
        <f t="shared" si="0"/>
        <v>LS</v>
      </c>
      <c r="F116" s="2">
        <f>F115*0.5%</f>
        <v>36.812113500000002</v>
      </c>
      <c r="G116" s="2">
        <f>G115*0.5/100</f>
        <v>36.440913500000001</v>
      </c>
    </row>
    <row r="117" spans="1:7" ht="30" hidden="1" customHeight="1">
      <c r="A117" s="465"/>
      <c r="B117" s="485"/>
      <c r="C117" s="473" t="s">
        <v>2469</v>
      </c>
      <c r="E117" s="486"/>
      <c r="F117" s="487">
        <f>SUM(F115:F116)</f>
        <v>7399.2348135000002</v>
      </c>
      <c r="G117" s="473">
        <f>SUM(G115:G116)</f>
        <v>7324.6236134999999</v>
      </c>
    </row>
    <row r="118" spans="1:7" ht="17.25" hidden="1">
      <c r="A118" s="461"/>
      <c r="B118" s="461"/>
      <c r="C118" s="461"/>
      <c r="E118" s="461"/>
      <c r="F118" s="461"/>
      <c r="G118" s="461"/>
    </row>
    <row r="119" spans="1:7" ht="17.25" hidden="1">
      <c r="A119" s="461"/>
      <c r="B119" s="461"/>
      <c r="C119" s="461"/>
      <c r="E119" s="461"/>
      <c r="F119" s="461"/>
      <c r="G119" s="461"/>
    </row>
    <row r="120" spans="1:7" ht="17.25" hidden="1">
      <c r="A120" s="461"/>
      <c r="B120" s="461"/>
      <c r="C120" s="461"/>
      <c r="E120" s="461"/>
      <c r="F120" s="461"/>
      <c r="G120" s="461"/>
    </row>
    <row r="121" spans="1:7" ht="17.25" hidden="1">
      <c r="A121" s="461"/>
      <c r="B121" s="461"/>
      <c r="C121" s="461"/>
      <c r="E121" s="461"/>
      <c r="F121" s="461"/>
      <c r="G121" s="482"/>
    </row>
    <row r="122" spans="1:7" ht="17.25" hidden="1">
      <c r="A122" s="461"/>
      <c r="B122" s="461"/>
      <c r="C122" s="461"/>
      <c r="E122" s="461"/>
      <c r="F122" s="461"/>
      <c r="G122" s="461"/>
    </row>
    <row r="123" spans="1:7" ht="17.25" hidden="1">
      <c r="A123" s="461"/>
      <c r="B123" s="461"/>
      <c r="C123" s="461"/>
      <c r="E123" s="461"/>
      <c r="F123" s="461"/>
      <c r="G123" s="461"/>
    </row>
    <row r="124" spans="1:7" ht="17.25" hidden="1">
      <c r="A124" s="461"/>
      <c r="B124" s="461"/>
      <c r="C124" s="461"/>
      <c r="E124" s="461"/>
      <c r="F124" s="461"/>
      <c r="G124" s="461"/>
    </row>
    <row r="125" spans="1:7" ht="17.25">
      <c r="A125" s="1610" t="s">
        <v>0</v>
      </c>
      <c r="B125" s="1610"/>
      <c r="C125" s="1610"/>
      <c r="D125" s="1610"/>
      <c r="E125" s="1610"/>
      <c r="F125" s="1610"/>
    </row>
    <row r="126" spans="1:7" ht="17.25">
      <c r="A126" s="1610" t="s">
        <v>1</v>
      </c>
      <c r="B126" s="1610"/>
      <c r="C126" s="1610"/>
      <c r="D126" s="1610"/>
      <c r="E126" s="1610"/>
      <c r="F126" s="1610"/>
    </row>
    <row r="127" spans="1:7" ht="17.25">
      <c r="A127" s="1611" t="s">
        <v>2428</v>
      </c>
      <c r="B127" s="1611"/>
      <c r="C127" s="1611"/>
      <c r="D127" s="1611"/>
      <c r="E127" s="1611"/>
      <c r="F127" s="1611"/>
    </row>
    <row r="128" spans="1:7" ht="17.25">
      <c r="A128" s="1612" t="s">
        <v>2451</v>
      </c>
      <c r="B128" s="1612"/>
      <c r="C128" s="1612"/>
      <c r="D128" s="1612"/>
      <c r="E128" s="1612"/>
      <c r="F128" s="461"/>
    </row>
    <row r="129" spans="1:7" ht="17.25">
      <c r="A129" s="461"/>
      <c r="B129" s="461"/>
      <c r="C129" s="461"/>
      <c r="D129" s="461"/>
      <c r="E129" s="461"/>
      <c r="F129" s="461"/>
    </row>
    <row r="130" spans="1:7" ht="19.5">
      <c r="B130" s="462"/>
      <c r="C130" s="1613" t="s">
        <v>2470</v>
      </c>
      <c r="D130" s="1613"/>
      <c r="E130" s="1613"/>
      <c r="F130" s="462"/>
      <c r="G130" s="463" t="s">
        <v>19</v>
      </c>
    </row>
    <row r="131" spans="1:7" ht="20.25">
      <c r="A131" s="464"/>
      <c r="B131" s="1614" t="s">
        <v>2471</v>
      </c>
      <c r="C131" s="1614"/>
      <c r="D131" s="1614"/>
      <c r="E131" s="1614"/>
      <c r="F131" s="1614"/>
      <c r="G131" s="465">
        <f>3.14*0.4*0.4*8/4</f>
        <v>1.0048000000000001</v>
      </c>
    </row>
    <row r="132" spans="1:7" ht="39.75" customHeight="1">
      <c r="A132" s="466"/>
      <c r="B132" s="466"/>
      <c r="C132" s="467" t="s">
        <v>2472</v>
      </c>
      <c r="D132" s="466"/>
      <c r="E132" s="466"/>
      <c r="F132" s="466"/>
    </row>
    <row r="133" spans="1:7" ht="17.25">
      <c r="A133" s="468">
        <f>G131</f>
        <v>1.0048000000000001</v>
      </c>
      <c r="B133" s="466" t="s">
        <v>19</v>
      </c>
      <c r="C133" s="466" t="s">
        <v>2473</v>
      </c>
      <c r="D133" s="461"/>
      <c r="E133" s="469">
        <f>E73</f>
        <v>6800.09</v>
      </c>
      <c r="F133" s="469">
        <f>A133*E133</f>
        <v>6832.7304320000012</v>
      </c>
    </row>
    <row r="134" spans="1:7" ht="17.25">
      <c r="A134" s="470">
        <f>A133*10/100</f>
        <v>0.10048000000000001</v>
      </c>
      <c r="B134" s="466" t="s">
        <v>22</v>
      </c>
      <c r="C134" s="466" t="s">
        <v>2434</v>
      </c>
      <c r="D134" s="461"/>
      <c r="E134" s="469">
        <v>4000</v>
      </c>
      <c r="F134" s="469">
        <f>A134*E134</f>
        <v>401.92000000000007</v>
      </c>
    </row>
    <row r="135" spans="1:7" ht="17.25">
      <c r="A135" s="469">
        <v>8</v>
      </c>
      <c r="B135" s="466" t="s">
        <v>12</v>
      </c>
      <c r="C135" s="466" t="s">
        <v>2416</v>
      </c>
      <c r="D135" s="461"/>
      <c r="E135" s="469">
        <v>960</v>
      </c>
      <c r="F135" s="469">
        <f>A135*E135</f>
        <v>7680</v>
      </c>
    </row>
    <row r="136" spans="1:7" ht="17.25">
      <c r="A136" s="466"/>
      <c r="B136" s="466"/>
      <c r="C136" s="466"/>
      <c r="D136" s="461"/>
      <c r="E136" s="466"/>
      <c r="F136" s="466"/>
    </row>
    <row r="137" spans="1:7" ht="17.25">
      <c r="A137" s="466"/>
      <c r="B137" s="466"/>
      <c r="C137" s="466" t="s">
        <v>2435</v>
      </c>
      <c r="D137" s="461"/>
      <c r="E137" s="466"/>
      <c r="F137" s="469">
        <f>SUM(F133:F136)</f>
        <v>14914.650432000002</v>
      </c>
    </row>
    <row r="138" spans="1:7" ht="17.25">
      <c r="A138" s="466"/>
      <c r="B138" s="466"/>
      <c r="C138" s="466" t="s">
        <v>2436</v>
      </c>
      <c r="D138" s="461"/>
      <c r="E138" s="466"/>
      <c r="F138" s="469">
        <f>F137/7</f>
        <v>2130.6643474285715</v>
      </c>
    </row>
    <row r="139" spans="1:7" ht="17.25">
      <c r="A139" s="466"/>
      <c r="B139" s="466"/>
      <c r="C139" s="466" t="s">
        <v>2437</v>
      </c>
      <c r="D139" s="461"/>
      <c r="E139" s="466"/>
      <c r="F139" s="466">
        <f>1000/8</f>
        <v>125</v>
      </c>
    </row>
    <row r="140" spans="1:7" ht="17.25">
      <c r="A140" s="466"/>
      <c r="B140" s="466"/>
      <c r="C140" s="466"/>
      <c r="D140" s="461"/>
      <c r="E140" s="466"/>
      <c r="F140" s="466"/>
    </row>
    <row r="141" spans="1:7" ht="17.25">
      <c r="A141" s="466"/>
      <c r="B141" s="466"/>
      <c r="C141" s="466" t="s">
        <v>2436</v>
      </c>
      <c r="D141" s="461"/>
      <c r="E141" s="466"/>
      <c r="F141" s="471">
        <f>SUM(F138:F140)</f>
        <v>2255.6643474285715</v>
      </c>
    </row>
    <row r="142" spans="1:7" ht="17.25">
      <c r="A142" s="466"/>
      <c r="B142" s="466"/>
      <c r="C142" s="466" t="s">
        <v>2438</v>
      </c>
      <c r="D142" s="466"/>
      <c r="E142" s="466"/>
      <c r="F142" s="466"/>
    </row>
    <row r="143" spans="1:7" ht="17.25">
      <c r="A143" s="466"/>
      <c r="B143" s="466"/>
      <c r="C143" s="466"/>
      <c r="D143" s="466"/>
      <c r="E143" s="466"/>
      <c r="F143" s="466"/>
    </row>
    <row r="144" spans="1:7" ht="17.25">
      <c r="A144" s="466"/>
      <c r="B144" s="466"/>
      <c r="C144" s="466"/>
      <c r="D144" s="466"/>
      <c r="E144" s="466"/>
      <c r="F144" s="466"/>
    </row>
    <row r="145" spans="1:7" ht="17.25">
      <c r="A145" s="472"/>
      <c r="B145" s="472"/>
      <c r="C145" s="1615" t="s">
        <v>2439</v>
      </c>
      <c r="D145" s="1615"/>
      <c r="E145" s="1615"/>
      <c r="F145" s="472"/>
      <c r="G145" s="473"/>
    </row>
    <row r="146" spans="1:7" ht="20.25">
      <c r="A146" s="474"/>
      <c r="B146" s="1614" t="s">
        <v>2474</v>
      </c>
      <c r="C146" s="1614"/>
      <c r="D146" s="1614"/>
      <c r="E146" s="1614"/>
      <c r="F146" s="1614"/>
      <c r="G146" s="465">
        <f>3.14*0.4*0.4/4</f>
        <v>0.12560000000000002</v>
      </c>
    </row>
    <row r="147" spans="1:7" ht="17.25">
      <c r="A147" s="466"/>
      <c r="B147" s="466"/>
      <c r="C147" s="475" t="s">
        <v>2475</v>
      </c>
      <c r="D147" s="466"/>
      <c r="E147" s="466"/>
      <c r="F147" s="466"/>
    </row>
    <row r="148" spans="1:7" ht="17.25">
      <c r="A148" s="468">
        <f>G146</f>
        <v>0.12560000000000002</v>
      </c>
      <c r="B148" s="466" t="s">
        <v>19</v>
      </c>
      <c r="C148" s="466" t="s">
        <v>2456</v>
      </c>
      <c r="D148" s="461"/>
      <c r="E148" s="469">
        <f>E88</f>
        <v>4390</v>
      </c>
      <c r="F148" s="469">
        <f>A148*E148</f>
        <v>551.38400000000013</v>
      </c>
    </row>
    <row r="149" spans="1:7" ht="17.25">
      <c r="A149" s="468">
        <f>+A148</f>
        <v>0.12560000000000002</v>
      </c>
      <c r="B149" s="466" t="s">
        <v>19</v>
      </c>
      <c r="C149" s="1609" t="s">
        <v>2476</v>
      </c>
      <c r="D149" s="1609"/>
      <c r="E149" s="469">
        <f>E89</f>
        <v>48.099999999999994</v>
      </c>
      <c r="F149" s="469">
        <f>E149*A149</f>
        <v>6.0413600000000001</v>
      </c>
    </row>
    <row r="150" spans="1:7" ht="17.25">
      <c r="A150" s="468">
        <f>+A149</f>
        <v>0.12560000000000002</v>
      </c>
      <c r="B150" s="466" t="s">
        <v>19</v>
      </c>
      <c r="C150" s="466" t="s">
        <v>2448</v>
      </c>
      <c r="D150" s="461"/>
      <c r="E150" s="469">
        <f>E90</f>
        <v>33.11</v>
      </c>
      <c r="F150" s="469">
        <f>A150*E150</f>
        <v>4.1586160000000003</v>
      </c>
    </row>
    <row r="151" spans="1:7" ht="17.25">
      <c r="A151" s="469"/>
      <c r="B151" s="466"/>
      <c r="C151" s="466"/>
      <c r="D151" s="461"/>
      <c r="E151" s="469"/>
      <c r="F151" s="469"/>
    </row>
    <row r="152" spans="1:7" ht="17.25">
      <c r="A152" s="466"/>
      <c r="B152" s="466"/>
      <c r="C152" s="466" t="s">
        <v>2436</v>
      </c>
      <c r="D152" s="461"/>
      <c r="E152" s="466"/>
      <c r="F152" s="471">
        <f>SUM(F148:F151)</f>
        <v>561.58397600000023</v>
      </c>
    </row>
    <row r="153" spans="1:7" ht="17.25">
      <c r="A153" s="461"/>
      <c r="B153" s="461"/>
      <c r="C153" s="461"/>
      <c r="D153" s="461"/>
      <c r="E153" s="461"/>
      <c r="F153" s="461"/>
    </row>
    <row r="154" spans="1:7" ht="17.25">
      <c r="B154" s="476"/>
      <c r="C154" s="1608" t="s">
        <v>2445</v>
      </c>
      <c r="D154" s="1608"/>
      <c r="E154" s="1608"/>
      <c r="F154" s="476"/>
    </row>
    <row r="155" spans="1:7" ht="17.25">
      <c r="A155" s="461"/>
      <c r="B155" s="461"/>
      <c r="C155" s="461"/>
      <c r="D155" s="461"/>
      <c r="E155" s="461"/>
      <c r="F155" s="461"/>
    </row>
    <row r="156" spans="1:7" ht="34.5">
      <c r="A156" s="477" t="s">
        <v>2446</v>
      </c>
      <c r="B156" s="477">
        <v>3</v>
      </c>
      <c r="C156" s="478" t="s">
        <v>2447</v>
      </c>
      <c r="E156" s="477">
        <f>E96</f>
        <v>9.6199999999999992</v>
      </c>
      <c r="F156" s="477" t="s">
        <v>2019</v>
      </c>
      <c r="G156" s="477">
        <f>E156*B156</f>
        <v>28.86</v>
      </c>
    </row>
    <row r="157" spans="1:7" ht="17.25">
      <c r="A157" s="477" t="s">
        <v>2446</v>
      </c>
      <c r="B157" s="477">
        <v>3</v>
      </c>
      <c r="C157" s="479" t="s">
        <v>2448</v>
      </c>
      <c r="E157" s="477">
        <f>E97</f>
        <v>33.11</v>
      </c>
      <c r="F157" s="477" t="s">
        <v>2019</v>
      </c>
      <c r="G157" s="477">
        <f>E157*B157</f>
        <v>99.33</v>
      </c>
    </row>
    <row r="158" spans="1:7" ht="17.25">
      <c r="A158" s="477"/>
      <c r="B158" s="477"/>
      <c r="C158" s="480"/>
      <c r="E158" s="477"/>
      <c r="F158" s="477"/>
      <c r="G158" s="477"/>
    </row>
    <row r="159" spans="1:7" ht="17.25">
      <c r="A159" s="477"/>
      <c r="B159" s="477"/>
      <c r="C159" s="480" t="s">
        <v>2450</v>
      </c>
      <c r="E159" s="477"/>
      <c r="F159" s="477"/>
      <c r="G159" s="481">
        <f>SUM(G156:G158)</f>
        <v>128.19</v>
      </c>
    </row>
    <row r="160" spans="1:7" ht="17.25">
      <c r="A160" s="461"/>
      <c r="B160" s="461"/>
      <c r="C160" s="461"/>
      <c r="E160" s="461"/>
      <c r="F160" s="461"/>
      <c r="G160" s="461"/>
    </row>
    <row r="161" spans="1:7" ht="17.25">
      <c r="A161" s="461"/>
      <c r="B161" s="461"/>
      <c r="C161" s="461"/>
      <c r="E161" s="461"/>
      <c r="F161" s="461"/>
      <c r="G161" s="461"/>
    </row>
    <row r="162" spans="1:7">
      <c r="A162" s="488"/>
      <c r="B162" s="489"/>
      <c r="C162" s="490"/>
    </row>
    <row r="163" spans="1:7">
      <c r="B163" s="485"/>
      <c r="C163" s="490"/>
    </row>
    <row r="164" spans="1:7">
      <c r="B164" s="485"/>
      <c r="C164" s="490"/>
    </row>
    <row r="165" spans="1:7">
      <c r="B165" s="485"/>
      <c r="C165" s="491"/>
    </row>
    <row r="166" spans="1:7">
      <c r="A166" s="492"/>
      <c r="B166" s="489"/>
      <c r="C166" s="490"/>
    </row>
    <row r="167" spans="1:7">
      <c r="A167" s="492"/>
      <c r="B167" s="489"/>
      <c r="C167" s="490"/>
    </row>
    <row r="168" spans="1:7">
      <c r="A168" s="492"/>
      <c r="B168" s="489"/>
      <c r="C168" s="490"/>
    </row>
    <row r="169" spans="1:7">
      <c r="A169" s="487"/>
      <c r="B169" s="493"/>
      <c r="C169" s="494"/>
    </row>
    <row r="170" spans="1:7">
      <c r="A170" s="492"/>
      <c r="B170" s="489"/>
      <c r="C170" s="490"/>
    </row>
    <row r="171" spans="1:7">
      <c r="A171" s="492"/>
      <c r="B171" s="489"/>
      <c r="C171" s="490"/>
    </row>
    <row r="172" spans="1:7">
      <c r="B172" s="489"/>
      <c r="C172" s="490"/>
    </row>
    <row r="173" spans="1:7">
      <c r="C173" s="490"/>
    </row>
    <row r="175" spans="1:7">
      <c r="C175" s="490"/>
      <c r="F175" s="473"/>
    </row>
    <row r="177" spans="1:6">
      <c r="B177" s="485"/>
      <c r="E177" s="486"/>
      <c r="F177" s="491"/>
    </row>
    <row r="178" spans="1:6">
      <c r="B178" s="485"/>
      <c r="C178" s="495"/>
      <c r="D178" s="473"/>
      <c r="E178" s="496"/>
      <c r="F178" s="487"/>
    </row>
    <row r="179" spans="1:6">
      <c r="B179" s="485"/>
      <c r="C179" s="490"/>
      <c r="E179" s="486"/>
      <c r="F179" s="491"/>
    </row>
    <row r="184" spans="1:6">
      <c r="A184" s="497"/>
      <c r="B184" s="489"/>
      <c r="C184" s="494"/>
      <c r="E184" s="486"/>
    </row>
    <row r="185" spans="1:6">
      <c r="A185" s="465"/>
      <c r="B185" s="485"/>
      <c r="C185" s="490"/>
      <c r="E185" s="486"/>
    </row>
    <row r="186" spans="1:6">
      <c r="A186" s="465"/>
      <c r="B186" s="485"/>
      <c r="C186" s="490"/>
      <c r="E186" s="486"/>
    </row>
    <row r="187" spans="1:6">
      <c r="A187" s="465"/>
      <c r="B187" s="485"/>
      <c r="C187" s="490"/>
      <c r="E187" s="486"/>
    </row>
    <row r="188" spans="1:6">
      <c r="A188" s="465"/>
      <c r="B188" s="485"/>
      <c r="C188" s="490"/>
      <c r="E188" s="486"/>
    </row>
    <row r="189" spans="1:6">
      <c r="A189" s="465"/>
      <c r="B189" s="485"/>
      <c r="C189" s="490"/>
      <c r="E189" s="486"/>
    </row>
    <row r="190" spans="1:6">
      <c r="A190" s="465"/>
      <c r="B190" s="485"/>
      <c r="C190" s="490"/>
      <c r="E190" s="486"/>
    </row>
    <row r="191" spans="1:6">
      <c r="A191" s="465"/>
      <c r="B191" s="485"/>
      <c r="C191" s="491"/>
      <c r="D191" s="491"/>
      <c r="E191" s="486"/>
    </row>
    <row r="192" spans="1:6">
      <c r="A192" s="465"/>
      <c r="B192" s="489"/>
      <c r="C192" s="490"/>
      <c r="E192" s="486"/>
    </row>
    <row r="193" spans="1:6">
      <c r="A193" s="465"/>
      <c r="B193" s="485"/>
      <c r="C193" s="490"/>
      <c r="E193" s="486"/>
    </row>
    <row r="194" spans="1:6">
      <c r="A194" s="498"/>
      <c r="B194" s="489"/>
      <c r="C194" s="490"/>
      <c r="D194" s="499"/>
      <c r="E194" s="490"/>
      <c r="F194" s="492"/>
    </row>
    <row r="195" spans="1:6">
      <c r="A195" s="498"/>
      <c r="B195" s="489"/>
      <c r="C195" s="490"/>
      <c r="D195" s="499"/>
      <c r="E195" s="490"/>
      <c r="F195" s="492"/>
    </row>
    <row r="196" spans="1:6">
      <c r="A196" s="498"/>
      <c r="B196" s="489"/>
      <c r="C196" s="490"/>
      <c r="D196" s="499"/>
      <c r="E196" s="490"/>
      <c r="F196" s="492"/>
    </row>
    <row r="197" spans="1:6">
      <c r="A197" s="465"/>
      <c r="B197" s="489"/>
      <c r="C197" s="490"/>
      <c r="D197" s="499"/>
      <c r="E197" s="490"/>
      <c r="F197" s="492"/>
    </row>
    <row r="198" spans="1:6">
      <c r="A198" s="465"/>
      <c r="B198" s="485"/>
      <c r="C198" s="490"/>
      <c r="E198" s="486"/>
      <c r="F198" s="491"/>
    </row>
    <row r="199" spans="1:6">
      <c r="A199" s="465"/>
      <c r="B199" s="485"/>
      <c r="C199" s="500"/>
      <c r="E199" s="486"/>
      <c r="F199" s="492"/>
    </row>
    <row r="200" spans="1:6">
      <c r="A200" s="465"/>
      <c r="B200" s="485"/>
      <c r="E200" s="486"/>
      <c r="F200" s="491"/>
    </row>
    <row r="201" spans="1:6">
      <c r="A201" s="465"/>
      <c r="B201" s="485"/>
      <c r="C201" s="500"/>
      <c r="E201" s="486"/>
      <c r="F201" s="492"/>
    </row>
    <row r="202" spans="1:6">
      <c r="A202" s="465"/>
      <c r="B202" s="485"/>
      <c r="C202" s="490"/>
      <c r="D202" s="492"/>
      <c r="E202" s="490"/>
      <c r="F202" s="487"/>
    </row>
    <row r="203" spans="1:6">
      <c r="A203" s="465"/>
      <c r="B203" s="485"/>
      <c r="C203" s="490"/>
      <c r="D203" s="492"/>
      <c r="E203" s="490"/>
      <c r="F203" s="487"/>
    </row>
    <row r="204" spans="1:6">
      <c r="A204" s="465"/>
      <c r="B204" s="485"/>
      <c r="C204" s="490"/>
      <c r="D204" s="492"/>
      <c r="E204" s="490"/>
      <c r="F204" s="487"/>
    </row>
    <row r="205" spans="1:6">
      <c r="A205" s="465"/>
      <c r="B205" s="485"/>
      <c r="C205" s="490"/>
      <c r="D205" s="492"/>
      <c r="E205" s="490"/>
      <c r="F205" s="487"/>
    </row>
    <row r="206" spans="1:6">
      <c r="A206" s="465"/>
      <c r="B206" s="485"/>
      <c r="C206" s="490"/>
      <c r="D206" s="492"/>
      <c r="E206" s="490"/>
      <c r="F206" s="487"/>
    </row>
    <row r="207" spans="1:6">
      <c r="A207" s="497"/>
      <c r="B207" s="489"/>
      <c r="C207" s="490"/>
      <c r="E207" s="486"/>
      <c r="F207" s="487"/>
    </row>
    <row r="208" spans="1:6">
      <c r="A208" s="465"/>
    </row>
    <row r="209" spans="1:13">
      <c r="A209" s="465"/>
    </row>
    <row r="210" spans="1:13">
      <c r="A210" s="465"/>
    </row>
    <row r="212" spans="1:13">
      <c r="J212" s="473"/>
    </row>
    <row r="213" spans="1:13">
      <c r="J213" s="473"/>
    </row>
    <row r="217" spans="1:13">
      <c r="D217" s="501"/>
    </row>
    <row r="218" spans="1:13">
      <c r="D218" s="501"/>
    </row>
    <row r="219" spans="1:13">
      <c r="M219" s="473"/>
    </row>
    <row r="221" spans="1:13">
      <c r="C221" s="502"/>
      <c r="E221" s="502"/>
      <c r="F221" s="502"/>
      <c r="J221" s="502"/>
      <c r="L221" s="503"/>
      <c r="M221" s="503"/>
    </row>
    <row r="222" spans="1:13">
      <c r="C222" s="502"/>
      <c r="D222" s="473"/>
      <c r="E222" s="504"/>
      <c r="F222" s="504"/>
      <c r="J222" s="504"/>
      <c r="K222" s="473"/>
      <c r="L222" s="473"/>
      <c r="M222" s="473"/>
    </row>
    <row r="223" spans="1:13">
      <c r="C223" s="504"/>
      <c r="E223" s="502"/>
      <c r="F223" s="502"/>
      <c r="J223" s="502"/>
      <c r="L223" s="502"/>
      <c r="M223" s="502"/>
    </row>
    <row r="224" spans="1:13">
      <c r="C224" s="502"/>
      <c r="E224" s="502"/>
      <c r="F224" s="502"/>
      <c r="L224" s="502"/>
      <c r="M224" s="502"/>
    </row>
    <row r="225" spans="3:13">
      <c r="C225" s="502"/>
      <c r="J225" s="502"/>
      <c r="L225" s="473"/>
      <c r="M225" s="473"/>
    </row>
    <row r="226" spans="3:13">
      <c r="C226" s="502"/>
      <c r="D226" s="502"/>
      <c r="E226" s="502"/>
      <c r="F226" s="502"/>
    </row>
  </sheetData>
  <mergeCells count="30">
    <mergeCell ref="B7:F7"/>
    <mergeCell ref="A1:F1"/>
    <mergeCell ref="A2:F2"/>
    <mergeCell ref="A3:F3"/>
    <mergeCell ref="A4:E4"/>
    <mergeCell ref="C6:E6"/>
    <mergeCell ref="B86:F86"/>
    <mergeCell ref="C21:E21"/>
    <mergeCell ref="B22:F22"/>
    <mergeCell ref="C25:D25"/>
    <mergeCell ref="C30:E30"/>
    <mergeCell ref="A65:F65"/>
    <mergeCell ref="A66:F66"/>
    <mergeCell ref="A67:F67"/>
    <mergeCell ref="A68:E68"/>
    <mergeCell ref="C70:E70"/>
    <mergeCell ref="B71:F71"/>
    <mergeCell ref="C85:E85"/>
    <mergeCell ref="C154:E154"/>
    <mergeCell ref="C89:D89"/>
    <mergeCell ref="C94:E94"/>
    <mergeCell ref="A125:F125"/>
    <mergeCell ref="A126:F126"/>
    <mergeCell ref="A127:F127"/>
    <mergeCell ref="A128:E128"/>
    <mergeCell ref="C130:E130"/>
    <mergeCell ref="B131:F131"/>
    <mergeCell ref="C145:E145"/>
    <mergeCell ref="B146:F146"/>
    <mergeCell ref="C149:D149"/>
  </mergeCells>
  <pageMargins left="1.0900000000000001" right="0.43" top="0.75" bottom="0.52" header="0.3" footer="0.3"/>
  <pageSetup paperSize="9" scale="57" orientation="portrait" verticalDpi="300" r:id="rId1"/>
  <rowBreaks count="1" manualBreakCount="1">
    <brk id="61" max="7" man="1"/>
  </rowBreaks>
</worksheet>
</file>

<file path=xl/worksheets/sheet11.xml><?xml version="1.0" encoding="utf-8"?>
<worksheet xmlns="http://schemas.openxmlformats.org/spreadsheetml/2006/main" xmlns:r="http://schemas.openxmlformats.org/officeDocument/2006/relationships">
  <sheetPr codeName="Sheet16">
    <tabColor rgb="FFFF0000"/>
  </sheetPr>
  <dimension ref="A1:AB1280"/>
  <sheetViews>
    <sheetView showZeros="0" view="pageBreakPreview" zoomScale="40" zoomScaleNormal="40" zoomScaleSheetLayoutView="40" workbookViewId="0">
      <pane xSplit="8" ySplit="4" topLeftCell="I1207" activePane="bottomRight" state="frozen"/>
      <selection activeCell="K118" sqref="K118"/>
      <selection pane="topRight" activeCell="K118" sqref="K118"/>
      <selection pane="bottomLeft" activeCell="K118" sqref="K118"/>
      <selection pane="bottomRight" activeCell="G1210" sqref="G1210"/>
    </sheetView>
  </sheetViews>
  <sheetFormatPr defaultRowHeight="25.5"/>
  <cols>
    <col min="1" max="1" width="11.85546875" style="223" customWidth="1"/>
    <col min="2" max="4" width="84" style="239" hidden="1" customWidth="1"/>
    <col min="5" max="5" width="87" style="263" customWidth="1"/>
    <col min="6" max="6" width="133.5703125" style="263" customWidth="1"/>
    <col min="7" max="7" width="21.140625" style="272" customWidth="1"/>
    <col min="8" max="8" width="12.7109375" style="272" customWidth="1"/>
    <col min="9" max="9" width="17.85546875" style="266" hidden="1" customWidth="1"/>
    <col min="10" max="10" width="24.85546875" style="269" hidden="1" customWidth="1"/>
    <col min="11" max="11" width="18" style="276" hidden="1" customWidth="1"/>
    <col min="12" max="12" width="19.28515625" style="276" hidden="1" customWidth="1"/>
    <col min="13" max="13" width="25.28515625" style="238" hidden="1" customWidth="1"/>
    <col min="14" max="14" width="19.28515625" style="238" hidden="1" customWidth="1"/>
    <col min="15" max="15" width="23.42578125" style="238" hidden="1" customWidth="1"/>
    <col min="16" max="16" width="16.7109375" style="238" hidden="1" customWidth="1"/>
    <col min="17" max="17" width="24.28515625" style="238" hidden="1" customWidth="1"/>
    <col min="18" max="18" width="17.140625" style="238" hidden="1" customWidth="1"/>
    <col min="19" max="19" width="23.5703125" style="238" hidden="1" customWidth="1"/>
    <col min="20" max="20" width="20.85546875" style="276" hidden="1" customWidth="1"/>
    <col min="21" max="21" width="26.5703125" style="238" hidden="1" customWidth="1"/>
    <col min="22" max="22" width="28.5703125" style="277" bestFit="1" customWidth="1"/>
    <col min="23" max="23" width="27.140625" style="277" bestFit="1" customWidth="1"/>
    <col min="24" max="24" width="9.140625" style="223"/>
    <col min="25" max="25" width="74.140625" style="223" customWidth="1"/>
    <col min="26" max="26" width="30.7109375" style="223" customWidth="1"/>
    <col min="27" max="27" width="9.140625" style="223"/>
    <col min="28" max="28" width="15" style="223" bestFit="1" customWidth="1"/>
    <col min="29" max="256" width="9.140625" style="223"/>
    <col min="257" max="257" width="11.85546875" style="223" customWidth="1"/>
    <col min="258" max="260" width="0" style="223" hidden="1" customWidth="1"/>
    <col min="261" max="261" width="87" style="223" customWidth="1"/>
    <col min="262" max="262" width="133.5703125" style="223" customWidth="1"/>
    <col min="263" max="263" width="21.140625" style="223" customWidth="1"/>
    <col min="264" max="264" width="12.7109375" style="223" customWidth="1"/>
    <col min="265" max="277" width="0" style="223" hidden="1" customWidth="1"/>
    <col min="278" max="278" width="28.5703125" style="223" bestFit="1" customWidth="1"/>
    <col min="279" max="279" width="27.140625" style="223" bestFit="1" customWidth="1"/>
    <col min="280" max="280" width="9.140625" style="223"/>
    <col min="281" max="281" width="74.140625" style="223" customWidth="1"/>
    <col min="282" max="282" width="30.7109375" style="223" customWidth="1"/>
    <col min="283" max="283" width="9.140625" style="223"/>
    <col min="284" max="284" width="15" style="223" bestFit="1" customWidth="1"/>
    <col min="285" max="512" width="9.140625" style="223"/>
    <col min="513" max="513" width="11.85546875" style="223" customWidth="1"/>
    <col min="514" max="516" width="0" style="223" hidden="1" customWidth="1"/>
    <col min="517" max="517" width="87" style="223" customWidth="1"/>
    <col min="518" max="518" width="133.5703125" style="223" customWidth="1"/>
    <col min="519" max="519" width="21.140625" style="223" customWidth="1"/>
    <col min="520" max="520" width="12.7109375" style="223" customWidth="1"/>
    <col min="521" max="533" width="0" style="223" hidden="1" customWidth="1"/>
    <col min="534" max="534" width="28.5703125" style="223" bestFit="1" customWidth="1"/>
    <col min="535" max="535" width="27.140625" style="223" bestFit="1" customWidth="1"/>
    <col min="536" max="536" width="9.140625" style="223"/>
    <col min="537" max="537" width="74.140625" style="223" customWidth="1"/>
    <col min="538" max="538" width="30.7109375" style="223" customWidth="1"/>
    <col min="539" max="539" width="9.140625" style="223"/>
    <col min="540" max="540" width="15" style="223" bestFit="1" customWidth="1"/>
    <col min="541" max="768" width="9.140625" style="223"/>
    <col min="769" max="769" width="11.85546875" style="223" customWidth="1"/>
    <col min="770" max="772" width="0" style="223" hidden="1" customWidth="1"/>
    <col min="773" max="773" width="87" style="223" customWidth="1"/>
    <col min="774" max="774" width="133.5703125" style="223" customWidth="1"/>
    <col min="775" max="775" width="21.140625" style="223" customWidth="1"/>
    <col min="776" max="776" width="12.7109375" style="223" customWidth="1"/>
    <col min="777" max="789" width="0" style="223" hidden="1" customWidth="1"/>
    <col min="790" max="790" width="28.5703125" style="223" bestFit="1" customWidth="1"/>
    <col min="791" max="791" width="27.140625" style="223" bestFit="1" customWidth="1"/>
    <col min="792" max="792" width="9.140625" style="223"/>
    <col min="793" max="793" width="74.140625" style="223" customWidth="1"/>
    <col min="794" max="794" width="30.7109375" style="223" customWidth="1"/>
    <col min="795" max="795" width="9.140625" style="223"/>
    <col min="796" max="796" width="15" style="223" bestFit="1" customWidth="1"/>
    <col min="797" max="1024" width="9.140625" style="223"/>
    <col min="1025" max="1025" width="11.85546875" style="223" customWidth="1"/>
    <col min="1026" max="1028" width="0" style="223" hidden="1" customWidth="1"/>
    <col min="1029" max="1029" width="87" style="223" customWidth="1"/>
    <col min="1030" max="1030" width="133.5703125" style="223" customWidth="1"/>
    <col min="1031" max="1031" width="21.140625" style="223" customWidth="1"/>
    <col min="1032" max="1032" width="12.7109375" style="223" customWidth="1"/>
    <col min="1033" max="1045" width="0" style="223" hidden="1" customWidth="1"/>
    <col min="1046" max="1046" width="28.5703125" style="223" bestFit="1" customWidth="1"/>
    <col min="1047" max="1047" width="27.140625" style="223" bestFit="1" customWidth="1"/>
    <col min="1048" max="1048" width="9.140625" style="223"/>
    <col min="1049" max="1049" width="74.140625" style="223" customWidth="1"/>
    <col min="1050" max="1050" width="30.7109375" style="223" customWidth="1"/>
    <col min="1051" max="1051" width="9.140625" style="223"/>
    <col min="1052" max="1052" width="15" style="223" bestFit="1" customWidth="1"/>
    <col min="1053" max="1280" width="9.140625" style="223"/>
    <col min="1281" max="1281" width="11.85546875" style="223" customWidth="1"/>
    <col min="1282" max="1284" width="0" style="223" hidden="1" customWidth="1"/>
    <col min="1285" max="1285" width="87" style="223" customWidth="1"/>
    <col min="1286" max="1286" width="133.5703125" style="223" customWidth="1"/>
    <col min="1287" max="1287" width="21.140625" style="223" customWidth="1"/>
    <col min="1288" max="1288" width="12.7109375" style="223" customWidth="1"/>
    <col min="1289" max="1301" width="0" style="223" hidden="1" customWidth="1"/>
    <col min="1302" max="1302" width="28.5703125" style="223" bestFit="1" customWidth="1"/>
    <col min="1303" max="1303" width="27.140625" style="223" bestFit="1" customWidth="1"/>
    <col min="1304" max="1304" width="9.140625" style="223"/>
    <col min="1305" max="1305" width="74.140625" style="223" customWidth="1"/>
    <col min="1306" max="1306" width="30.7109375" style="223" customWidth="1"/>
    <col min="1307" max="1307" width="9.140625" style="223"/>
    <col min="1308" max="1308" width="15" style="223" bestFit="1" customWidth="1"/>
    <col min="1309" max="1536" width="9.140625" style="223"/>
    <col min="1537" max="1537" width="11.85546875" style="223" customWidth="1"/>
    <col min="1538" max="1540" width="0" style="223" hidden="1" customWidth="1"/>
    <col min="1541" max="1541" width="87" style="223" customWidth="1"/>
    <col min="1542" max="1542" width="133.5703125" style="223" customWidth="1"/>
    <col min="1543" max="1543" width="21.140625" style="223" customWidth="1"/>
    <col min="1544" max="1544" width="12.7109375" style="223" customWidth="1"/>
    <col min="1545" max="1557" width="0" style="223" hidden="1" customWidth="1"/>
    <col min="1558" max="1558" width="28.5703125" style="223" bestFit="1" customWidth="1"/>
    <col min="1559" max="1559" width="27.140625" style="223" bestFit="1" customWidth="1"/>
    <col min="1560" max="1560" width="9.140625" style="223"/>
    <col min="1561" max="1561" width="74.140625" style="223" customWidth="1"/>
    <col min="1562" max="1562" width="30.7109375" style="223" customWidth="1"/>
    <col min="1563" max="1563" width="9.140625" style="223"/>
    <col min="1564" max="1564" width="15" style="223" bestFit="1" customWidth="1"/>
    <col min="1565" max="1792" width="9.140625" style="223"/>
    <col min="1793" max="1793" width="11.85546875" style="223" customWidth="1"/>
    <col min="1794" max="1796" width="0" style="223" hidden="1" customWidth="1"/>
    <col min="1797" max="1797" width="87" style="223" customWidth="1"/>
    <col min="1798" max="1798" width="133.5703125" style="223" customWidth="1"/>
    <col min="1799" max="1799" width="21.140625" style="223" customWidth="1"/>
    <col min="1800" max="1800" width="12.7109375" style="223" customWidth="1"/>
    <col min="1801" max="1813" width="0" style="223" hidden="1" customWidth="1"/>
    <col min="1814" max="1814" width="28.5703125" style="223" bestFit="1" customWidth="1"/>
    <col min="1815" max="1815" width="27.140625" style="223" bestFit="1" customWidth="1"/>
    <col min="1816" max="1816" width="9.140625" style="223"/>
    <col min="1817" max="1817" width="74.140625" style="223" customWidth="1"/>
    <col min="1818" max="1818" width="30.7109375" style="223" customWidth="1"/>
    <col min="1819" max="1819" width="9.140625" style="223"/>
    <col min="1820" max="1820" width="15" style="223" bestFit="1" customWidth="1"/>
    <col min="1821" max="2048" width="9.140625" style="223"/>
    <col min="2049" max="2049" width="11.85546875" style="223" customWidth="1"/>
    <col min="2050" max="2052" width="0" style="223" hidden="1" customWidth="1"/>
    <col min="2053" max="2053" width="87" style="223" customWidth="1"/>
    <col min="2054" max="2054" width="133.5703125" style="223" customWidth="1"/>
    <col min="2055" max="2055" width="21.140625" style="223" customWidth="1"/>
    <col min="2056" max="2056" width="12.7109375" style="223" customWidth="1"/>
    <col min="2057" max="2069" width="0" style="223" hidden="1" customWidth="1"/>
    <col min="2070" max="2070" width="28.5703125" style="223" bestFit="1" customWidth="1"/>
    <col min="2071" max="2071" width="27.140625" style="223" bestFit="1" customWidth="1"/>
    <col min="2072" max="2072" width="9.140625" style="223"/>
    <col min="2073" max="2073" width="74.140625" style="223" customWidth="1"/>
    <col min="2074" max="2074" width="30.7109375" style="223" customWidth="1"/>
    <col min="2075" max="2075" width="9.140625" style="223"/>
    <col min="2076" max="2076" width="15" style="223" bestFit="1" customWidth="1"/>
    <col min="2077" max="2304" width="9.140625" style="223"/>
    <col min="2305" max="2305" width="11.85546875" style="223" customWidth="1"/>
    <col min="2306" max="2308" width="0" style="223" hidden="1" customWidth="1"/>
    <col min="2309" max="2309" width="87" style="223" customWidth="1"/>
    <col min="2310" max="2310" width="133.5703125" style="223" customWidth="1"/>
    <col min="2311" max="2311" width="21.140625" style="223" customWidth="1"/>
    <col min="2312" max="2312" width="12.7109375" style="223" customWidth="1"/>
    <col min="2313" max="2325" width="0" style="223" hidden="1" customWidth="1"/>
    <col min="2326" max="2326" width="28.5703125" style="223" bestFit="1" customWidth="1"/>
    <col min="2327" max="2327" width="27.140625" style="223" bestFit="1" customWidth="1"/>
    <col min="2328" max="2328" width="9.140625" style="223"/>
    <col min="2329" max="2329" width="74.140625" style="223" customWidth="1"/>
    <col min="2330" max="2330" width="30.7109375" style="223" customWidth="1"/>
    <col min="2331" max="2331" width="9.140625" style="223"/>
    <col min="2332" max="2332" width="15" style="223" bestFit="1" customWidth="1"/>
    <col min="2333" max="2560" width="9.140625" style="223"/>
    <col min="2561" max="2561" width="11.85546875" style="223" customWidth="1"/>
    <col min="2562" max="2564" width="0" style="223" hidden="1" customWidth="1"/>
    <col min="2565" max="2565" width="87" style="223" customWidth="1"/>
    <col min="2566" max="2566" width="133.5703125" style="223" customWidth="1"/>
    <col min="2567" max="2567" width="21.140625" style="223" customWidth="1"/>
    <col min="2568" max="2568" width="12.7109375" style="223" customWidth="1"/>
    <col min="2569" max="2581" width="0" style="223" hidden="1" customWidth="1"/>
    <col min="2582" max="2582" width="28.5703125" style="223" bestFit="1" customWidth="1"/>
    <col min="2583" max="2583" width="27.140625" style="223" bestFit="1" customWidth="1"/>
    <col min="2584" max="2584" width="9.140625" style="223"/>
    <col min="2585" max="2585" width="74.140625" style="223" customWidth="1"/>
    <col min="2586" max="2586" width="30.7109375" style="223" customWidth="1"/>
    <col min="2587" max="2587" width="9.140625" style="223"/>
    <col min="2588" max="2588" width="15" style="223" bestFit="1" customWidth="1"/>
    <col min="2589" max="2816" width="9.140625" style="223"/>
    <col min="2817" max="2817" width="11.85546875" style="223" customWidth="1"/>
    <col min="2818" max="2820" width="0" style="223" hidden="1" customWidth="1"/>
    <col min="2821" max="2821" width="87" style="223" customWidth="1"/>
    <col min="2822" max="2822" width="133.5703125" style="223" customWidth="1"/>
    <col min="2823" max="2823" width="21.140625" style="223" customWidth="1"/>
    <col min="2824" max="2824" width="12.7109375" style="223" customWidth="1"/>
    <col min="2825" max="2837" width="0" style="223" hidden="1" customWidth="1"/>
    <col min="2838" max="2838" width="28.5703125" style="223" bestFit="1" customWidth="1"/>
    <col min="2839" max="2839" width="27.140625" style="223" bestFit="1" customWidth="1"/>
    <col min="2840" max="2840" width="9.140625" style="223"/>
    <col min="2841" max="2841" width="74.140625" style="223" customWidth="1"/>
    <col min="2842" max="2842" width="30.7109375" style="223" customWidth="1"/>
    <col min="2843" max="2843" width="9.140625" style="223"/>
    <col min="2844" max="2844" width="15" style="223" bestFit="1" customWidth="1"/>
    <col min="2845" max="3072" width="9.140625" style="223"/>
    <col min="3073" max="3073" width="11.85546875" style="223" customWidth="1"/>
    <col min="3074" max="3076" width="0" style="223" hidden="1" customWidth="1"/>
    <col min="3077" max="3077" width="87" style="223" customWidth="1"/>
    <col min="3078" max="3078" width="133.5703125" style="223" customWidth="1"/>
    <col min="3079" max="3079" width="21.140625" style="223" customWidth="1"/>
    <col min="3080" max="3080" width="12.7109375" style="223" customWidth="1"/>
    <col min="3081" max="3093" width="0" style="223" hidden="1" customWidth="1"/>
    <col min="3094" max="3094" width="28.5703125" style="223" bestFit="1" customWidth="1"/>
    <col min="3095" max="3095" width="27.140625" style="223" bestFit="1" customWidth="1"/>
    <col min="3096" max="3096" width="9.140625" style="223"/>
    <col min="3097" max="3097" width="74.140625" style="223" customWidth="1"/>
    <col min="3098" max="3098" width="30.7109375" style="223" customWidth="1"/>
    <col min="3099" max="3099" width="9.140625" style="223"/>
    <col min="3100" max="3100" width="15" style="223" bestFit="1" customWidth="1"/>
    <col min="3101" max="3328" width="9.140625" style="223"/>
    <col min="3329" max="3329" width="11.85546875" style="223" customWidth="1"/>
    <col min="3330" max="3332" width="0" style="223" hidden="1" customWidth="1"/>
    <col min="3333" max="3333" width="87" style="223" customWidth="1"/>
    <col min="3334" max="3334" width="133.5703125" style="223" customWidth="1"/>
    <col min="3335" max="3335" width="21.140625" style="223" customWidth="1"/>
    <col min="3336" max="3336" width="12.7109375" style="223" customWidth="1"/>
    <col min="3337" max="3349" width="0" style="223" hidden="1" customWidth="1"/>
    <col min="3350" max="3350" width="28.5703125" style="223" bestFit="1" customWidth="1"/>
    <col min="3351" max="3351" width="27.140625" style="223" bestFit="1" customWidth="1"/>
    <col min="3352" max="3352" width="9.140625" style="223"/>
    <col min="3353" max="3353" width="74.140625" style="223" customWidth="1"/>
    <col min="3354" max="3354" width="30.7109375" style="223" customWidth="1"/>
    <col min="3355" max="3355" width="9.140625" style="223"/>
    <col min="3356" max="3356" width="15" style="223" bestFit="1" customWidth="1"/>
    <col min="3357" max="3584" width="9.140625" style="223"/>
    <col min="3585" max="3585" width="11.85546875" style="223" customWidth="1"/>
    <col min="3586" max="3588" width="0" style="223" hidden="1" customWidth="1"/>
    <col min="3589" max="3589" width="87" style="223" customWidth="1"/>
    <col min="3590" max="3590" width="133.5703125" style="223" customWidth="1"/>
    <col min="3591" max="3591" width="21.140625" style="223" customWidth="1"/>
    <col min="3592" max="3592" width="12.7109375" style="223" customWidth="1"/>
    <col min="3593" max="3605" width="0" style="223" hidden="1" customWidth="1"/>
    <col min="3606" max="3606" width="28.5703125" style="223" bestFit="1" customWidth="1"/>
    <col min="3607" max="3607" width="27.140625" style="223" bestFit="1" customWidth="1"/>
    <col min="3608" max="3608" width="9.140625" style="223"/>
    <col min="3609" max="3609" width="74.140625" style="223" customWidth="1"/>
    <col min="3610" max="3610" width="30.7109375" style="223" customWidth="1"/>
    <col min="3611" max="3611" width="9.140625" style="223"/>
    <col min="3612" max="3612" width="15" style="223" bestFit="1" customWidth="1"/>
    <col min="3613" max="3840" width="9.140625" style="223"/>
    <col min="3841" max="3841" width="11.85546875" style="223" customWidth="1"/>
    <col min="3842" max="3844" width="0" style="223" hidden="1" customWidth="1"/>
    <col min="3845" max="3845" width="87" style="223" customWidth="1"/>
    <col min="3846" max="3846" width="133.5703125" style="223" customWidth="1"/>
    <col min="3847" max="3847" width="21.140625" style="223" customWidth="1"/>
    <col min="3848" max="3848" width="12.7109375" style="223" customWidth="1"/>
    <col min="3849" max="3861" width="0" style="223" hidden="1" customWidth="1"/>
    <col min="3862" max="3862" width="28.5703125" style="223" bestFit="1" customWidth="1"/>
    <col min="3863" max="3863" width="27.140625" style="223" bestFit="1" customWidth="1"/>
    <col min="3864" max="3864" width="9.140625" style="223"/>
    <col min="3865" max="3865" width="74.140625" style="223" customWidth="1"/>
    <col min="3866" max="3866" width="30.7109375" style="223" customWidth="1"/>
    <col min="3867" max="3867" width="9.140625" style="223"/>
    <col min="3868" max="3868" width="15" style="223" bestFit="1" customWidth="1"/>
    <col min="3869" max="4096" width="9.140625" style="223"/>
    <col min="4097" max="4097" width="11.85546875" style="223" customWidth="1"/>
    <col min="4098" max="4100" width="0" style="223" hidden="1" customWidth="1"/>
    <col min="4101" max="4101" width="87" style="223" customWidth="1"/>
    <col min="4102" max="4102" width="133.5703125" style="223" customWidth="1"/>
    <col min="4103" max="4103" width="21.140625" style="223" customWidth="1"/>
    <col min="4104" max="4104" width="12.7109375" style="223" customWidth="1"/>
    <col min="4105" max="4117" width="0" style="223" hidden="1" customWidth="1"/>
    <col min="4118" max="4118" width="28.5703125" style="223" bestFit="1" customWidth="1"/>
    <col min="4119" max="4119" width="27.140625" style="223" bestFit="1" customWidth="1"/>
    <col min="4120" max="4120" width="9.140625" style="223"/>
    <col min="4121" max="4121" width="74.140625" style="223" customWidth="1"/>
    <col min="4122" max="4122" width="30.7109375" style="223" customWidth="1"/>
    <col min="4123" max="4123" width="9.140625" style="223"/>
    <col min="4124" max="4124" width="15" style="223" bestFit="1" customWidth="1"/>
    <col min="4125" max="4352" width="9.140625" style="223"/>
    <col min="4353" max="4353" width="11.85546875" style="223" customWidth="1"/>
    <col min="4354" max="4356" width="0" style="223" hidden="1" customWidth="1"/>
    <col min="4357" max="4357" width="87" style="223" customWidth="1"/>
    <col min="4358" max="4358" width="133.5703125" style="223" customWidth="1"/>
    <col min="4359" max="4359" width="21.140625" style="223" customWidth="1"/>
    <col min="4360" max="4360" width="12.7109375" style="223" customWidth="1"/>
    <col min="4361" max="4373" width="0" style="223" hidden="1" customWidth="1"/>
    <col min="4374" max="4374" width="28.5703125" style="223" bestFit="1" customWidth="1"/>
    <col min="4375" max="4375" width="27.140625" style="223" bestFit="1" customWidth="1"/>
    <col min="4376" max="4376" width="9.140625" style="223"/>
    <col min="4377" max="4377" width="74.140625" style="223" customWidth="1"/>
    <col min="4378" max="4378" width="30.7109375" style="223" customWidth="1"/>
    <col min="4379" max="4379" width="9.140625" style="223"/>
    <col min="4380" max="4380" width="15" style="223" bestFit="1" customWidth="1"/>
    <col min="4381" max="4608" width="9.140625" style="223"/>
    <col min="4609" max="4609" width="11.85546875" style="223" customWidth="1"/>
    <col min="4610" max="4612" width="0" style="223" hidden="1" customWidth="1"/>
    <col min="4613" max="4613" width="87" style="223" customWidth="1"/>
    <col min="4614" max="4614" width="133.5703125" style="223" customWidth="1"/>
    <col min="4615" max="4615" width="21.140625" style="223" customWidth="1"/>
    <col min="4616" max="4616" width="12.7109375" style="223" customWidth="1"/>
    <col min="4617" max="4629" width="0" style="223" hidden="1" customWidth="1"/>
    <col min="4630" max="4630" width="28.5703125" style="223" bestFit="1" customWidth="1"/>
    <col min="4631" max="4631" width="27.140625" style="223" bestFit="1" customWidth="1"/>
    <col min="4632" max="4632" width="9.140625" style="223"/>
    <col min="4633" max="4633" width="74.140625" style="223" customWidth="1"/>
    <col min="4634" max="4634" width="30.7109375" style="223" customWidth="1"/>
    <col min="4635" max="4635" width="9.140625" style="223"/>
    <col min="4636" max="4636" width="15" style="223" bestFit="1" customWidth="1"/>
    <col min="4637" max="4864" width="9.140625" style="223"/>
    <col min="4865" max="4865" width="11.85546875" style="223" customWidth="1"/>
    <col min="4866" max="4868" width="0" style="223" hidden="1" customWidth="1"/>
    <col min="4869" max="4869" width="87" style="223" customWidth="1"/>
    <col min="4870" max="4870" width="133.5703125" style="223" customWidth="1"/>
    <col min="4871" max="4871" width="21.140625" style="223" customWidth="1"/>
    <col min="4872" max="4872" width="12.7109375" style="223" customWidth="1"/>
    <col min="4873" max="4885" width="0" style="223" hidden="1" customWidth="1"/>
    <col min="4886" max="4886" width="28.5703125" style="223" bestFit="1" customWidth="1"/>
    <col min="4887" max="4887" width="27.140625" style="223" bestFit="1" customWidth="1"/>
    <col min="4888" max="4888" width="9.140625" style="223"/>
    <col min="4889" max="4889" width="74.140625" style="223" customWidth="1"/>
    <col min="4890" max="4890" width="30.7109375" style="223" customWidth="1"/>
    <col min="4891" max="4891" width="9.140625" style="223"/>
    <col min="4892" max="4892" width="15" style="223" bestFit="1" customWidth="1"/>
    <col min="4893" max="5120" width="9.140625" style="223"/>
    <col min="5121" max="5121" width="11.85546875" style="223" customWidth="1"/>
    <col min="5122" max="5124" width="0" style="223" hidden="1" customWidth="1"/>
    <col min="5125" max="5125" width="87" style="223" customWidth="1"/>
    <col min="5126" max="5126" width="133.5703125" style="223" customWidth="1"/>
    <col min="5127" max="5127" width="21.140625" style="223" customWidth="1"/>
    <col min="5128" max="5128" width="12.7109375" style="223" customWidth="1"/>
    <col min="5129" max="5141" width="0" style="223" hidden="1" customWidth="1"/>
    <col min="5142" max="5142" width="28.5703125" style="223" bestFit="1" customWidth="1"/>
    <col min="5143" max="5143" width="27.140625" style="223" bestFit="1" customWidth="1"/>
    <col min="5144" max="5144" width="9.140625" style="223"/>
    <col min="5145" max="5145" width="74.140625" style="223" customWidth="1"/>
    <col min="5146" max="5146" width="30.7109375" style="223" customWidth="1"/>
    <col min="5147" max="5147" width="9.140625" style="223"/>
    <col min="5148" max="5148" width="15" style="223" bestFit="1" customWidth="1"/>
    <col min="5149" max="5376" width="9.140625" style="223"/>
    <col min="5377" max="5377" width="11.85546875" style="223" customWidth="1"/>
    <col min="5378" max="5380" width="0" style="223" hidden="1" customWidth="1"/>
    <col min="5381" max="5381" width="87" style="223" customWidth="1"/>
    <col min="5382" max="5382" width="133.5703125" style="223" customWidth="1"/>
    <col min="5383" max="5383" width="21.140625" style="223" customWidth="1"/>
    <col min="5384" max="5384" width="12.7109375" style="223" customWidth="1"/>
    <col min="5385" max="5397" width="0" style="223" hidden="1" customWidth="1"/>
    <col min="5398" max="5398" width="28.5703125" style="223" bestFit="1" customWidth="1"/>
    <col min="5399" max="5399" width="27.140625" style="223" bestFit="1" customWidth="1"/>
    <col min="5400" max="5400" width="9.140625" style="223"/>
    <col min="5401" max="5401" width="74.140625" style="223" customWidth="1"/>
    <col min="5402" max="5402" width="30.7109375" style="223" customWidth="1"/>
    <col min="5403" max="5403" width="9.140625" style="223"/>
    <col min="5404" max="5404" width="15" style="223" bestFit="1" customWidth="1"/>
    <col min="5405" max="5632" width="9.140625" style="223"/>
    <col min="5633" max="5633" width="11.85546875" style="223" customWidth="1"/>
    <col min="5634" max="5636" width="0" style="223" hidden="1" customWidth="1"/>
    <col min="5637" max="5637" width="87" style="223" customWidth="1"/>
    <col min="5638" max="5638" width="133.5703125" style="223" customWidth="1"/>
    <col min="5639" max="5639" width="21.140625" style="223" customWidth="1"/>
    <col min="5640" max="5640" width="12.7109375" style="223" customWidth="1"/>
    <col min="5641" max="5653" width="0" style="223" hidden="1" customWidth="1"/>
    <col min="5654" max="5654" width="28.5703125" style="223" bestFit="1" customWidth="1"/>
    <col min="5655" max="5655" width="27.140625" style="223" bestFit="1" customWidth="1"/>
    <col min="5656" max="5656" width="9.140625" style="223"/>
    <col min="5657" max="5657" width="74.140625" style="223" customWidth="1"/>
    <col min="5658" max="5658" width="30.7109375" style="223" customWidth="1"/>
    <col min="5659" max="5659" width="9.140625" style="223"/>
    <col min="5660" max="5660" width="15" style="223" bestFit="1" customWidth="1"/>
    <col min="5661" max="5888" width="9.140625" style="223"/>
    <col min="5889" max="5889" width="11.85546875" style="223" customWidth="1"/>
    <col min="5890" max="5892" width="0" style="223" hidden="1" customWidth="1"/>
    <col min="5893" max="5893" width="87" style="223" customWidth="1"/>
    <col min="5894" max="5894" width="133.5703125" style="223" customWidth="1"/>
    <col min="5895" max="5895" width="21.140625" style="223" customWidth="1"/>
    <col min="5896" max="5896" width="12.7109375" style="223" customWidth="1"/>
    <col min="5897" max="5909" width="0" style="223" hidden="1" customWidth="1"/>
    <col min="5910" max="5910" width="28.5703125" style="223" bestFit="1" customWidth="1"/>
    <col min="5911" max="5911" width="27.140625" style="223" bestFit="1" customWidth="1"/>
    <col min="5912" max="5912" width="9.140625" style="223"/>
    <col min="5913" max="5913" width="74.140625" style="223" customWidth="1"/>
    <col min="5914" max="5914" width="30.7109375" style="223" customWidth="1"/>
    <col min="5915" max="5915" width="9.140625" style="223"/>
    <col min="5916" max="5916" width="15" style="223" bestFit="1" customWidth="1"/>
    <col min="5917" max="6144" width="9.140625" style="223"/>
    <col min="6145" max="6145" width="11.85546875" style="223" customWidth="1"/>
    <col min="6146" max="6148" width="0" style="223" hidden="1" customWidth="1"/>
    <col min="6149" max="6149" width="87" style="223" customWidth="1"/>
    <col min="6150" max="6150" width="133.5703125" style="223" customWidth="1"/>
    <col min="6151" max="6151" width="21.140625" style="223" customWidth="1"/>
    <col min="6152" max="6152" width="12.7109375" style="223" customWidth="1"/>
    <col min="6153" max="6165" width="0" style="223" hidden="1" customWidth="1"/>
    <col min="6166" max="6166" width="28.5703125" style="223" bestFit="1" customWidth="1"/>
    <col min="6167" max="6167" width="27.140625" style="223" bestFit="1" customWidth="1"/>
    <col min="6168" max="6168" width="9.140625" style="223"/>
    <col min="6169" max="6169" width="74.140625" style="223" customWidth="1"/>
    <col min="6170" max="6170" width="30.7109375" style="223" customWidth="1"/>
    <col min="6171" max="6171" width="9.140625" style="223"/>
    <col min="6172" max="6172" width="15" style="223" bestFit="1" customWidth="1"/>
    <col min="6173" max="6400" width="9.140625" style="223"/>
    <col min="6401" max="6401" width="11.85546875" style="223" customWidth="1"/>
    <col min="6402" max="6404" width="0" style="223" hidden="1" customWidth="1"/>
    <col min="6405" max="6405" width="87" style="223" customWidth="1"/>
    <col min="6406" max="6406" width="133.5703125" style="223" customWidth="1"/>
    <col min="6407" max="6407" width="21.140625" style="223" customWidth="1"/>
    <col min="6408" max="6408" width="12.7109375" style="223" customWidth="1"/>
    <col min="6409" max="6421" width="0" style="223" hidden="1" customWidth="1"/>
    <col min="6422" max="6422" width="28.5703125" style="223" bestFit="1" customWidth="1"/>
    <col min="6423" max="6423" width="27.140625" style="223" bestFit="1" customWidth="1"/>
    <col min="6424" max="6424" width="9.140625" style="223"/>
    <col min="6425" max="6425" width="74.140625" style="223" customWidth="1"/>
    <col min="6426" max="6426" width="30.7109375" style="223" customWidth="1"/>
    <col min="6427" max="6427" width="9.140625" style="223"/>
    <col min="6428" max="6428" width="15" style="223" bestFit="1" customWidth="1"/>
    <col min="6429" max="6656" width="9.140625" style="223"/>
    <col min="6657" max="6657" width="11.85546875" style="223" customWidth="1"/>
    <col min="6658" max="6660" width="0" style="223" hidden="1" customWidth="1"/>
    <col min="6661" max="6661" width="87" style="223" customWidth="1"/>
    <col min="6662" max="6662" width="133.5703125" style="223" customWidth="1"/>
    <col min="6663" max="6663" width="21.140625" style="223" customWidth="1"/>
    <col min="6664" max="6664" width="12.7109375" style="223" customWidth="1"/>
    <col min="6665" max="6677" width="0" style="223" hidden="1" customWidth="1"/>
    <col min="6678" max="6678" width="28.5703125" style="223" bestFit="1" customWidth="1"/>
    <col min="6679" max="6679" width="27.140625" style="223" bestFit="1" customWidth="1"/>
    <col min="6680" max="6680" width="9.140625" style="223"/>
    <col min="6681" max="6681" width="74.140625" style="223" customWidth="1"/>
    <col min="6682" max="6682" width="30.7109375" style="223" customWidth="1"/>
    <col min="6683" max="6683" width="9.140625" style="223"/>
    <col min="6684" max="6684" width="15" style="223" bestFit="1" customWidth="1"/>
    <col min="6685" max="6912" width="9.140625" style="223"/>
    <col min="6913" max="6913" width="11.85546875" style="223" customWidth="1"/>
    <col min="6914" max="6916" width="0" style="223" hidden="1" customWidth="1"/>
    <col min="6917" max="6917" width="87" style="223" customWidth="1"/>
    <col min="6918" max="6918" width="133.5703125" style="223" customWidth="1"/>
    <col min="6919" max="6919" width="21.140625" style="223" customWidth="1"/>
    <col min="6920" max="6920" width="12.7109375" style="223" customWidth="1"/>
    <col min="6921" max="6933" width="0" style="223" hidden="1" customWidth="1"/>
    <col min="6934" max="6934" width="28.5703125" style="223" bestFit="1" customWidth="1"/>
    <col min="6935" max="6935" width="27.140625" style="223" bestFit="1" customWidth="1"/>
    <col min="6936" max="6936" width="9.140625" style="223"/>
    <col min="6937" max="6937" width="74.140625" style="223" customWidth="1"/>
    <col min="6938" max="6938" width="30.7109375" style="223" customWidth="1"/>
    <col min="6939" max="6939" width="9.140625" style="223"/>
    <col min="6940" max="6940" width="15" style="223" bestFit="1" customWidth="1"/>
    <col min="6941" max="7168" width="9.140625" style="223"/>
    <col min="7169" max="7169" width="11.85546875" style="223" customWidth="1"/>
    <col min="7170" max="7172" width="0" style="223" hidden="1" customWidth="1"/>
    <col min="7173" max="7173" width="87" style="223" customWidth="1"/>
    <col min="7174" max="7174" width="133.5703125" style="223" customWidth="1"/>
    <col min="7175" max="7175" width="21.140625" style="223" customWidth="1"/>
    <col min="7176" max="7176" width="12.7109375" style="223" customWidth="1"/>
    <col min="7177" max="7189" width="0" style="223" hidden="1" customWidth="1"/>
    <col min="7190" max="7190" width="28.5703125" style="223" bestFit="1" customWidth="1"/>
    <col min="7191" max="7191" width="27.140625" style="223" bestFit="1" customWidth="1"/>
    <col min="7192" max="7192" width="9.140625" style="223"/>
    <col min="7193" max="7193" width="74.140625" style="223" customWidth="1"/>
    <col min="7194" max="7194" width="30.7109375" style="223" customWidth="1"/>
    <col min="7195" max="7195" width="9.140625" style="223"/>
    <col min="7196" max="7196" width="15" style="223" bestFit="1" customWidth="1"/>
    <col min="7197" max="7424" width="9.140625" style="223"/>
    <col min="7425" max="7425" width="11.85546875" style="223" customWidth="1"/>
    <col min="7426" max="7428" width="0" style="223" hidden="1" customWidth="1"/>
    <col min="7429" max="7429" width="87" style="223" customWidth="1"/>
    <col min="7430" max="7430" width="133.5703125" style="223" customWidth="1"/>
    <col min="7431" max="7431" width="21.140625" style="223" customWidth="1"/>
    <col min="7432" max="7432" width="12.7109375" style="223" customWidth="1"/>
    <col min="7433" max="7445" width="0" style="223" hidden="1" customWidth="1"/>
    <col min="7446" max="7446" width="28.5703125" style="223" bestFit="1" customWidth="1"/>
    <col min="7447" max="7447" width="27.140625" style="223" bestFit="1" customWidth="1"/>
    <col min="7448" max="7448" width="9.140625" style="223"/>
    <col min="7449" max="7449" width="74.140625" style="223" customWidth="1"/>
    <col min="7450" max="7450" width="30.7109375" style="223" customWidth="1"/>
    <col min="7451" max="7451" width="9.140625" style="223"/>
    <col min="7452" max="7452" width="15" style="223" bestFit="1" customWidth="1"/>
    <col min="7453" max="7680" width="9.140625" style="223"/>
    <col min="7681" max="7681" width="11.85546875" style="223" customWidth="1"/>
    <col min="7682" max="7684" width="0" style="223" hidden="1" customWidth="1"/>
    <col min="7685" max="7685" width="87" style="223" customWidth="1"/>
    <col min="7686" max="7686" width="133.5703125" style="223" customWidth="1"/>
    <col min="7687" max="7687" width="21.140625" style="223" customWidth="1"/>
    <col min="7688" max="7688" width="12.7109375" style="223" customWidth="1"/>
    <col min="7689" max="7701" width="0" style="223" hidden="1" customWidth="1"/>
    <col min="7702" max="7702" width="28.5703125" style="223" bestFit="1" customWidth="1"/>
    <col min="7703" max="7703" width="27.140625" style="223" bestFit="1" customWidth="1"/>
    <col min="7704" max="7704" width="9.140625" style="223"/>
    <col min="7705" max="7705" width="74.140625" style="223" customWidth="1"/>
    <col min="7706" max="7706" width="30.7109375" style="223" customWidth="1"/>
    <col min="7707" max="7707" width="9.140625" style="223"/>
    <col min="7708" max="7708" width="15" style="223" bestFit="1" customWidth="1"/>
    <col min="7709" max="7936" width="9.140625" style="223"/>
    <col min="7937" max="7937" width="11.85546875" style="223" customWidth="1"/>
    <col min="7938" max="7940" width="0" style="223" hidden="1" customWidth="1"/>
    <col min="7941" max="7941" width="87" style="223" customWidth="1"/>
    <col min="7942" max="7942" width="133.5703125" style="223" customWidth="1"/>
    <col min="7943" max="7943" width="21.140625" style="223" customWidth="1"/>
    <col min="7944" max="7944" width="12.7109375" style="223" customWidth="1"/>
    <col min="7945" max="7957" width="0" style="223" hidden="1" customWidth="1"/>
    <col min="7958" max="7958" width="28.5703125" style="223" bestFit="1" customWidth="1"/>
    <col min="7959" max="7959" width="27.140625" style="223" bestFit="1" customWidth="1"/>
    <col min="7960" max="7960" width="9.140625" style="223"/>
    <col min="7961" max="7961" width="74.140625" style="223" customWidth="1"/>
    <col min="7962" max="7962" width="30.7109375" style="223" customWidth="1"/>
    <col min="7963" max="7963" width="9.140625" style="223"/>
    <col min="7964" max="7964" width="15" style="223" bestFit="1" customWidth="1"/>
    <col min="7965" max="8192" width="9.140625" style="223"/>
    <col min="8193" max="8193" width="11.85546875" style="223" customWidth="1"/>
    <col min="8194" max="8196" width="0" style="223" hidden="1" customWidth="1"/>
    <col min="8197" max="8197" width="87" style="223" customWidth="1"/>
    <col min="8198" max="8198" width="133.5703125" style="223" customWidth="1"/>
    <col min="8199" max="8199" width="21.140625" style="223" customWidth="1"/>
    <col min="8200" max="8200" width="12.7109375" style="223" customWidth="1"/>
    <col min="8201" max="8213" width="0" style="223" hidden="1" customWidth="1"/>
    <col min="8214" max="8214" width="28.5703125" style="223" bestFit="1" customWidth="1"/>
    <col min="8215" max="8215" width="27.140625" style="223" bestFit="1" customWidth="1"/>
    <col min="8216" max="8216" width="9.140625" style="223"/>
    <col min="8217" max="8217" width="74.140625" style="223" customWidth="1"/>
    <col min="8218" max="8218" width="30.7109375" style="223" customWidth="1"/>
    <col min="8219" max="8219" width="9.140625" style="223"/>
    <col min="8220" max="8220" width="15" style="223" bestFit="1" customWidth="1"/>
    <col min="8221" max="8448" width="9.140625" style="223"/>
    <col min="8449" max="8449" width="11.85546875" style="223" customWidth="1"/>
    <col min="8450" max="8452" width="0" style="223" hidden="1" customWidth="1"/>
    <col min="8453" max="8453" width="87" style="223" customWidth="1"/>
    <col min="8454" max="8454" width="133.5703125" style="223" customWidth="1"/>
    <col min="8455" max="8455" width="21.140625" style="223" customWidth="1"/>
    <col min="8456" max="8456" width="12.7109375" style="223" customWidth="1"/>
    <col min="8457" max="8469" width="0" style="223" hidden="1" customWidth="1"/>
    <col min="8470" max="8470" width="28.5703125" style="223" bestFit="1" customWidth="1"/>
    <col min="8471" max="8471" width="27.140625" style="223" bestFit="1" customWidth="1"/>
    <col min="8472" max="8472" width="9.140625" style="223"/>
    <col min="8473" max="8473" width="74.140625" style="223" customWidth="1"/>
    <col min="8474" max="8474" width="30.7109375" style="223" customWidth="1"/>
    <col min="8475" max="8475" width="9.140625" style="223"/>
    <col min="8476" max="8476" width="15" style="223" bestFit="1" customWidth="1"/>
    <col min="8477" max="8704" width="9.140625" style="223"/>
    <col min="8705" max="8705" width="11.85546875" style="223" customWidth="1"/>
    <col min="8706" max="8708" width="0" style="223" hidden="1" customWidth="1"/>
    <col min="8709" max="8709" width="87" style="223" customWidth="1"/>
    <col min="8710" max="8710" width="133.5703125" style="223" customWidth="1"/>
    <col min="8711" max="8711" width="21.140625" style="223" customWidth="1"/>
    <col min="8712" max="8712" width="12.7109375" style="223" customWidth="1"/>
    <col min="8713" max="8725" width="0" style="223" hidden="1" customWidth="1"/>
    <col min="8726" max="8726" width="28.5703125" style="223" bestFit="1" customWidth="1"/>
    <col min="8727" max="8727" width="27.140625" style="223" bestFit="1" customWidth="1"/>
    <col min="8728" max="8728" width="9.140625" style="223"/>
    <col min="8729" max="8729" width="74.140625" style="223" customWidth="1"/>
    <col min="8730" max="8730" width="30.7109375" style="223" customWidth="1"/>
    <col min="8731" max="8731" width="9.140625" style="223"/>
    <col min="8732" max="8732" width="15" style="223" bestFit="1" customWidth="1"/>
    <col min="8733" max="8960" width="9.140625" style="223"/>
    <col min="8961" max="8961" width="11.85546875" style="223" customWidth="1"/>
    <col min="8962" max="8964" width="0" style="223" hidden="1" customWidth="1"/>
    <col min="8965" max="8965" width="87" style="223" customWidth="1"/>
    <col min="8966" max="8966" width="133.5703125" style="223" customWidth="1"/>
    <col min="8967" max="8967" width="21.140625" style="223" customWidth="1"/>
    <col min="8968" max="8968" width="12.7109375" style="223" customWidth="1"/>
    <col min="8969" max="8981" width="0" style="223" hidden="1" customWidth="1"/>
    <col min="8982" max="8982" width="28.5703125" style="223" bestFit="1" customWidth="1"/>
    <col min="8983" max="8983" width="27.140625" style="223" bestFit="1" customWidth="1"/>
    <col min="8984" max="8984" width="9.140625" style="223"/>
    <col min="8985" max="8985" width="74.140625" style="223" customWidth="1"/>
    <col min="8986" max="8986" width="30.7109375" style="223" customWidth="1"/>
    <col min="8987" max="8987" width="9.140625" style="223"/>
    <col min="8988" max="8988" width="15" style="223" bestFit="1" customWidth="1"/>
    <col min="8989" max="9216" width="9.140625" style="223"/>
    <col min="9217" max="9217" width="11.85546875" style="223" customWidth="1"/>
    <col min="9218" max="9220" width="0" style="223" hidden="1" customWidth="1"/>
    <col min="9221" max="9221" width="87" style="223" customWidth="1"/>
    <col min="9222" max="9222" width="133.5703125" style="223" customWidth="1"/>
    <col min="9223" max="9223" width="21.140625" style="223" customWidth="1"/>
    <col min="9224" max="9224" width="12.7109375" style="223" customWidth="1"/>
    <col min="9225" max="9237" width="0" style="223" hidden="1" customWidth="1"/>
    <col min="9238" max="9238" width="28.5703125" style="223" bestFit="1" customWidth="1"/>
    <col min="9239" max="9239" width="27.140625" style="223" bestFit="1" customWidth="1"/>
    <col min="9240" max="9240" width="9.140625" style="223"/>
    <col min="9241" max="9241" width="74.140625" style="223" customWidth="1"/>
    <col min="9242" max="9242" width="30.7109375" style="223" customWidth="1"/>
    <col min="9243" max="9243" width="9.140625" style="223"/>
    <col min="9244" max="9244" width="15" style="223" bestFit="1" customWidth="1"/>
    <col min="9245" max="9472" width="9.140625" style="223"/>
    <col min="9473" max="9473" width="11.85546875" style="223" customWidth="1"/>
    <col min="9474" max="9476" width="0" style="223" hidden="1" customWidth="1"/>
    <col min="9477" max="9477" width="87" style="223" customWidth="1"/>
    <col min="9478" max="9478" width="133.5703125" style="223" customWidth="1"/>
    <col min="9479" max="9479" width="21.140625" style="223" customWidth="1"/>
    <col min="9480" max="9480" width="12.7109375" style="223" customWidth="1"/>
    <col min="9481" max="9493" width="0" style="223" hidden="1" customWidth="1"/>
    <col min="9494" max="9494" width="28.5703125" style="223" bestFit="1" customWidth="1"/>
    <col min="9495" max="9495" width="27.140625" style="223" bestFit="1" customWidth="1"/>
    <col min="9496" max="9496" width="9.140625" style="223"/>
    <col min="9497" max="9497" width="74.140625" style="223" customWidth="1"/>
    <col min="9498" max="9498" width="30.7109375" style="223" customWidth="1"/>
    <col min="9499" max="9499" width="9.140625" style="223"/>
    <col min="9500" max="9500" width="15" style="223" bestFit="1" customWidth="1"/>
    <col min="9501" max="9728" width="9.140625" style="223"/>
    <col min="9729" max="9729" width="11.85546875" style="223" customWidth="1"/>
    <col min="9730" max="9732" width="0" style="223" hidden="1" customWidth="1"/>
    <col min="9733" max="9733" width="87" style="223" customWidth="1"/>
    <col min="9734" max="9734" width="133.5703125" style="223" customWidth="1"/>
    <col min="9735" max="9735" width="21.140625" style="223" customWidth="1"/>
    <col min="9736" max="9736" width="12.7109375" style="223" customWidth="1"/>
    <col min="9737" max="9749" width="0" style="223" hidden="1" customWidth="1"/>
    <col min="9750" max="9750" width="28.5703125" style="223" bestFit="1" customWidth="1"/>
    <col min="9751" max="9751" width="27.140625" style="223" bestFit="1" customWidth="1"/>
    <col min="9752" max="9752" width="9.140625" style="223"/>
    <col min="9753" max="9753" width="74.140625" style="223" customWidth="1"/>
    <col min="9754" max="9754" width="30.7109375" style="223" customWidth="1"/>
    <col min="9755" max="9755" width="9.140625" style="223"/>
    <col min="9756" max="9756" width="15" style="223" bestFit="1" customWidth="1"/>
    <col min="9757" max="9984" width="9.140625" style="223"/>
    <col min="9985" max="9985" width="11.85546875" style="223" customWidth="1"/>
    <col min="9986" max="9988" width="0" style="223" hidden="1" customWidth="1"/>
    <col min="9989" max="9989" width="87" style="223" customWidth="1"/>
    <col min="9990" max="9990" width="133.5703125" style="223" customWidth="1"/>
    <col min="9991" max="9991" width="21.140625" style="223" customWidth="1"/>
    <col min="9992" max="9992" width="12.7109375" style="223" customWidth="1"/>
    <col min="9993" max="10005" width="0" style="223" hidden="1" customWidth="1"/>
    <col min="10006" max="10006" width="28.5703125" style="223" bestFit="1" customWidth="1"/>
    <col min="10007" max="10007" width="27.140625" style="223" bestFit="1" customWidth="1"/>
    <col min="10008" max="10008" width="9.140625" style="223"/>
    <col min="10009" max="10009" width="74.140625" style="223" customWidth="1"/>
    <col min="10010" max="10010" width="30.7109375" style="223" customWidth="1"/>
    <col min="10011" max="10011" width="9.140625" style="223"/>
    <col min="10012" max="10012" width="15" style="223" bestFit="1" customWidth="1"/>
    <col min="10013" max="10240" width="9.140625" style="223"/>
    <col min="10241" max="10241" width="11.85546875" style="223" customWidth="1"/>
    <col min="10242" max="10244" width="0" style="223" hidden="1" customWidth="1"/>
    <col min="10245" max="10245" width="87" style="223" customWidth="1"/>
    <col min="10246" max="10246" width="133.5703125" style="223" customWidth="1"/>
    <col min="10247" max="10247" width="21.140625" style="223" customWidth="1"/>
    <col min="10248" max="10248" width="12.7109375" style="223" customWidth="1"/>
    <col min="10249" max="10261" width="0" style="223" hidden="1" customWidth="1"/>
    <col min="10262" max="10262" width="28.5703125" style="223" bestFit="1" customWidth="1"/>
    <col min="10263" max="10263" width="27.140625" style="223" bestFit="1" customWidth="1"/>
    <col min="10264" max="10264" width="9.140625" style="223"/>
    <col min="10265" max="10265" width="74.140625" style="223" customWidth="1"/>
    <col min="10266" max="10266" width="30.7109375" style="223" customWidth="1"/>
    <col min="10267" max="10267" width="9.140625" style="223"/>
    <col min="10268" max="10268" width="15" style="223" bestFit="1" customWidth="1"/>
    <col min="10269" max="10496" width="9.140625" style="223"/>
    <col min="10497" max="10497" width="11.85546875" style="223" customWidth="1"/>
    <col min="10498" max="10500" width="0" style="223" hidden="1" customWidth="1"/>
    <col min="10501" max="10501" width="87" style="223" customWidth="1"/>
    <col min="10502" max="10502" width="133.5703125" style="223" customWidth="1"/>
    <col min="10503" max="10503" width="21.140625" style="223" customWidth="1"/>
    <col min="10504" max="10504" width="12.7109375" style="223" customWidth="1"/>
    <col min="10505" max="10517" width="0" style="223" hidden="1" customWidth="1"/>
    <col min="10518" max="10518" width="28.5703125" style="223" bestFit="1" customWidth="1"/>
    <col min="10519" max="10519" width="27.140625" style="223" bestFit="1" customWidth="1"/>
    <col min="10520" max="10520" width="9.140625" style="223"/>
    <col min="10521" max="10521" width="74.140625" style="223" customWidth="1"/>
    <col min="10522" max="10522" width="30.7109375" style="223" customWidth="1"/>
    <col min="10523" max="10523" width="9.140625" style="223"/>
    <col min="10524" max="10524" width="15" style="223" bestFit="1" customWidth="1"/>
    <col min="10525" max="10752" width="9.140625" style="223"/>
    <col min="10753" max="10753" width="11.85546875" style="223" customWidth="1"/>
    <col min="10754" max="10756" width="0" style="223" hidden="1" customWidth="1"/>
    <col min="10757" max="10757" width="87" style="223" customWidth="1"/>
    <col min="10758" max="10758" width="133.5703125" style="223" customWidth="1"/>
    <col min="10759" max="10759" width="21.140625" style="223" customWidth="1"/>
    <col min="10760" max="10760" width="12.7109375" style="223" customWidth="1"/>
    <col min="10761" max="10773" width="0" style="223" hidden="1" customWidth="1"/>
    <col min="10774" max="10774" width="28.5703125" style="223" bestFit="1" customWidth="1"/>
    <col min="10775" max="10775" width="27.140625" style="223" bestFit="1" customWidth="1"/>
    <col min="10776" max="10776" width="9.140625" style="223"/>
    <col min="10777" max="10777" width="74.140625" style="223" customWidth="1"/>
    <col min="10778" max="10778" width="30.7109375" style="223" customWidth="1"/>
    <col min="10779" max="10779" width="9.140625" style="223"/>
    <col min="10780" max="10780" width="15" style="223" bestFit="1" customWidth="1"/>
    <col min="10781" max="11008" width="9.140625" style="223"/>
    <col min="11009" max="11009" width="11.85546875" style="223" customWidth="1"/>
    <col min="11010" max="11012" width="0" style="223" hidden="1" customWidth="1"/>
    <col min="11013" max="11013" width="87" style="223" customWidth="1"/>
    <col min="11014" max="11014" width="133.5703125" style="223" customWidth="1"/>
    <col min="11015" max="11015" width="21.140625" style="223" customWidth="1"/>
    <col min="11016" max="11016" width="12.7109375" style="223" customWidth="1"/>
    <col min="11017" max="11029" width="0" style="223" hidden="1" customWidth="1"/>
    <col min="11030" max="11030" width="28.5703125" style="223" bestFit="1" customWidth="1"/>
    <col min="11031" max="11031" width="27.140625" style="223" bestFit="1" customWidth="1"/>
    <col min="11032" max="11032" width="9.140625" style="223"/>
    <col min="11033" max="11033" width="74.140625" style="223" customWidth="1"/>
    <col min="11034" max="11034" width="30.7109375" style="223" customWidth="1"/>
    <col min="11035" max="11035" width="9.140625" style="223"/>
    <col min="11036" max="11036" width="15" style="223" bestFit="1" customWidth="1"/>
    <col min="11037" max="11264" width="9.140625" style="223"/>
    <col min="11265" max="11265" width="11.85546875" style="223" customWidth="1"/>
    <col min="11266" max="11268" width="0" style="223" hidden="1" customWidth="1"/>
    <col min="11269" max="11269" width="87" style="223" customWidth="1"/>
    <col min="11270" max="11270" width="133.5703125" style="223" customWidth="1"/>
    <col min="11271" max="11271" width="21.140625" style="223" customWidth="1"/>
    <col min="11272" max="11272" width="12.7109375" style="223" customWidth="1"/>
    <col min="11273" max="11285" width="0" style="223" hidden="1" customWidth="1"/>
    <col min="11286" max="11286" width="28.5703125" style="223" bestFit="1" customWidth="1"/>
    <col min="11287" max="11287" width="27.140625" style="223" bestFit="1" customWidth="1"/>
    <col min="11288" max="11288" width="9.140625" style="223"/>
    <col min="11289" max="11289" width="74.140625" style="223" customWidth="1"/>
    <col min="11290" max="11290" width="30.7109375" style="223" customWidth="1"/>
    <col min="11291" max="11291" width="9.140625" style="223"/>
    <col min="11292" max="11292" width="15" style="223" bestFit="1" customWidth="1"/>
    <col min="11293" max="11520" width="9.140625" style="223"/>
    <col min="11521" max="11521" width="11.85546875" style="223" customWidth="1"/>
    <col min="11522" max="11524" width="0" style="223" hidden="1" customWidth="1"/>
    <col min="11525" max="11525" width="87" style="223" customWidth="1"/>
    <col min="11526" max="11526" width="133.5703125" style="223" customWidth="1"/>
    <col min="11527" max="11527" width="21.140625" style="223" customWidth="1"/>
    <col min="11528" max="11528" width="12.7109375" style="223" customWidth="1"/>
    <col min="11529" max="11541" width="0" style="223" hidden="1" customWidth="1"/>
    <col min="11542" max="11542" width="28.5703125" style="223" bestFit="1" customWidth="1"/>
    <col min="11543" max="11543" width="27.140625" style="223" bestFit="1" customWidth="1"/>
    <col min="11544" max="11544" width="9.140625" style="223"/>
    <col min="11545" max="11545" width="74.140625" style="223" customWidth="1"/>
    <col min="11546" max="11546" width="30.7109375" style="223" customWidth="1"/>
    <col min="11547" max="11547" width="9.140625" style="223"/>
    <col min="11548" max="11548" width="15" style="223" bestFit="1" customWidth="1"/>
    <col min="11549" max="11776" width="9.140625" style="223"/>
    <col min="11777" max="11777" width="11.85546875" style="223" customWidth="1"/>
    <col min="11778" max="11780" width="0" style="223" hidden="1" customWidth="1"/>
    <col min="11781" max="11781" width="87" style="223" customWidth="1"/>
    <col min="11782" max="11782" width="133.5703125" style="223" customWidth="1"/>
    <col min="11783" max="11783" width="21.140625" style="223" customWidth="1"/>
    <col min="11784" max="11784" width="12.7109375" style="223" customWidth="1"/>
    <col min="11785" max="11797" width="0" style="223" hidden="1" customWidth="1"/>
    <col min="11798" max="11798" width="28.5703125" style="223" bestFit="1" customWidth="1"/>
    <col min="11799" max="11799" width="27.140625" style="223" bestFit="1" customWidth="1"/>
    <col min="11800" max="11800" width="9.140625" style="223"/>
    <col min="11801" max="11801" width="74.140625" style="223" customWidth="1"/>
    <col min="11802" max="11802" width="30.7109375" style="223" customWidth="1"/>
    <col min="11803" max="11803" width="9.140625" style="223"/>
    <col min="11804" max="11804" width="15" style="223" bestFit="1" customWidth="1"/>
    <col min="11805" max="12032" width="9.140625" style="223"/>
    <col min="12033" max="12033" width="11.85546875" style="223" customWidth="1"/>
    <col min="12034" max="12036" width="0" style="223" hidden="1" customWidth="1"/>
    <col min="12037" max="12037" width="87" style="223" customWidth="1"/>
    <col min="12038" max="12038" width="133.5703125" style="223" customWidth="1"/>
    <col min="12039" max="12039" width="21.140625" style="223" customWidth="1"/>
    <col min="12040" max="12040" width="12.7109375" style="223" customWidth="1"/>
    <col min="12041" max="12053" width="0" style="223" hidden="1" customWidth="1"/>
    <col min="12054" max="12054" width="28.5703125" style="223" bestFit="1" customWidth="1"/>
    <col min="12055" max="12055" width="27.140625" style="223" bestFit="1" customWidth="1"/>
    <col min="12056" max="12056" width="9.140625" style="223"/>
    <col min="12057" max="12057" width="74.140625" style="223" customWidth="1"/>
    <col min="12058" max="12058" width="30.7109375" style="223" customWidth="1"/>
    <col min="12059" max="12059" width="9.140625" style="223"/>
    <col min="12060" max="12060" width="15" style="223" bestFit="1" customWidth="1"/>
    <col min="12061" max="12288" width="9.140625" style="223"/>
    <col min="12289" max="12289" width="11.85546875" style="223" customWidth="1"/>
    <col min="12290" max="12292" width="0" style="223" hidden="1" customWidth="1"/>
    <col min="12293" max="12293" width="87" style="223" customWidth="1"/>
    <col min="12294" max="12294" width="133.5703125" style="223" customWidth="1"/>
    <col min="12295" max="12295" width="21.140625" style="223" customWidth="1"/>
    <col min="12296" max="12296" width="12.7109375" style="223" customWidth="1"/>
    <col min="12297" max="12309" width="0" style="223" hidden="1" customWidth="1"/>
    <col min="12310" max="12310" width="28.5703125" style="223" bestFit="1" customWidth="1"/>
    <col min="12311" max="12311" width="27.140625" style="223" bestFit="1" customWidth="1"/>
    <col min="12312" max="12312" width="9.140625" style="223"/>
    <col min="12313" max="12313" width="74.140625" style="223" customWidth="1"/>
    <col min="12314" max="12314" width="30.7109375" style="223" customWidth="1"/>
    <col min="12315" max="12315" width="9.140625" style="223"/>
    <col min="12316" max="12316" width="15" style="223" bestFit="1" customWidth="1"/>
    <col min="12317" max="12544" width="9.140625" style="223"/>
    <col min="12545" max="12545" width="11.85546875" style="223" customWidth="1"/>
    <col min="12546" max="12548" width="0" style="223" hidden="1" customWidth="1"/>
    <col min="12549" max="12549" width="87" style="223" customWidth="1"/>
    <col min="12550" max="12550" width="133.5703125" style="223" customWidth="1"/>
    <col min="12551" max="12551" width="21.140625" style="223" customWidth="1"/>
    <col min="12552" max="12552" width="12.7109375" style="223" customWidth="1"/>
    <col min="12553" max="12565" width="0" style="223" hidden="1" customWidth="1"/>
    <col min="12566" max="12566" width="28.5703125" style="223" bestFit="1" customWidth="1"/>
    <col min="12567" max="12567" width="27.140625" style="223" bestFit="1" customWidth="1"/>
    <col min="12568" max="12568" width="9.140625" style="223"/>
    <col min="12569" max="12569" width="74.140625" style="223" customWidth="1"/>
    <col min="12570" max="12570" width="30.7109375" style="223" customWidth="1"/>
    <col min="12571" max="12571" width="9.140625" style="223"/>
    <col min="12572" max="12572" width="15" style="223" bestFit="1" customWidth="1"/>
    <col min="12573" max="12800" width="9.140625" style="223"/>
    <col min="12801" max="12801" width="11.85546875" style="223" customWidth="1"/>
    <col min="12802" max="12804" width="0" style="223" hidden="1" customWidth="1"/>
    <col min="12805" max="12805" width="87" style="223" customWidth="1"/>
    <col min="12806" max="12806" width="133.5703125" style="223" customWidth="1"/>
    <col min="12807" max="12807" width="21.140625" style="223" customWidth="1"/>
    <col min="12808" max="12808" width="12.7109375" style="223" customWidth="1"/>
    <col min="12809" max="12821" width="0" style="223" hidden="1" customWidth="1"/>
    <col min="12822" max="12822" width="28.5703125" style="223" bestFit="1" customWidth="1"/>
    <col min="12823" max="12823" width="27.140625" style="223" bestFit="1" customWidth="1"/>
    <col min="12824" max="12824" width="9.140625" style="223"/>
    <col min="12825" max="12825" width="74.140625" style="223" customWidth="1"/>
    <col min="12826" max="12826" width="30.7109375" style="223" customWidth="1"/>
    <col min="12827" max="12827" width="9.140625" style="223"/>
    <col min="12828" max="12828" width="15" style="223" bestFit="1" customWidth="1"/>
    <col min="12829" max="13056" width="9.140625" style="223"/>
    <col min="13057" max="13057" width="11.85546875" style="223" customWidth="1"/>
    <col min="13058" max="13060" width="0" style="223" hidden="1" customWidth="1"/>
    <col min="13061" max="13061" width="87" style="223" customWidth="1"/>
    <col min="13062" max="13062" width="133.5703125" style="223" customWidth="1"/>
    <col min="13063" max="13063" width="21.140625" style="223" customWidth="1"/>
    <col min="13064" max="13064" width="12.7109375" style="223" customWidth="1"/>
    <col min="13065" max="13077" width="0" style="223" hidden="1" customWidth="1"/>
    <col min="13078" max="13078" width="28.5703125" style="223" bestFit="1" customWidth="1"/>
    <col min="13079" max="13079" width="27.140625" style="223" bestFit="1" customWidth="1"/>
    <col min="13080" max="13080" width="9.140625" style="223"/>
    <col min="13081" max="13081" width="74.140625" style="223" customWidth="1"/>
    <col min="13082" max="13082" width="30.7109375" style="223" customWidth="1"/>
    <col min="13083" max="13083" width="9.140625" style="223"/>
    <col min="13084" max="13084" width="15" style="223" bestFit="1" customWidth="1"/>
    <col min="13085" max="13312" width="9.140625" style="223"/>
    <col min="13313" max="13313" width="11.85546875" style="223" customWidth="1"/>
    <col min="13314" max="13316" width="0" style="223" hidden="1" customWidth="1"/>
    <col min="13317" max="13317" width="87" style="223" customWidth="1"/>
    <col min="13318" max="13318" width="133.5703125" style="223" customWidth="1"/>
    <col min="13319" max="13319" width="21.140625" style="223" customWidth="1"/>
    <col min="13320" max="13320" width="12.7109375" style="223" customWidth="1"/>
    <col min="13321" max="13333" width="0" style="223" hidden="1" customWidth="1"/>
    <col min="13334" max="13334" width="28.5703125" style="223" bestFit="1" customWidth="1"/>
    <col min="13335" max="13335" width="27.140625" style="223" bestFit="1" customWidth="1"/>
    <col min="13336" max="13336" width="9.140625" style="223"/>
    <col min="13337" max="13337" width="74.140625" style="223" customWidth="1"/>
    <col min="13338" max="13338" width="30.7109375" style="223" customWidth="1"/>
    <col min="13339" max="13339" width="9.140625" style="223"/>
    <col min="13340" max="13340" width="15" style="223" bestFit="1" customWidth="1"/>
    <col min="13341" max="13568" width="9.140625" style="223"/>
    <col min="13569" max="13569" width="11.85546875" style="223" customWidth="1"/>
    <col min="13570" max="13572" width="0" style="223" hidden="1" customWidth="1"/>
    <col min="13573" max="13573" width="87" style="223" customWidth="1"/>
    <col min="13574" max="13574" width="133.5703125" style="223" customWidth="1"/>
    <col min="13575" max="13575" width="21.140625" style="223" customWidth="1"/>
    <col min="13576" max="13576" width="12.7109375" style="223" customWidth="1"/>
    <col min="13577" max="13589" width="0" style="223" hidden="1" customWidth="1"/>
    <col min="13590" max="13590" width="28.5703125" style="223" bestFit="1" customWidth="1"/>
    <col min="13591" max="13591" width="27.140625" style="223" bestFit="1" customWidth="1"/>
    <col min="13592" max="13592" width="9.140625" style="223"/>
    <col min="13593" max="13593" width="74.140625" style="223" customWidth="1"/>
    <col min="13594" max="13594" width="30.7109375" style="223" customWidth="1"/>
    <col min="13595" max="13595" width="9.140625" style="223"/>
    <col min="13596" max="13596" width="15" style="223" bestFit="1" customWidth="1"/>
    <col min="13597" max="13824" width="9.140625" style="223"/>
    <col min="13825" max="13825" width="11.85546875" style="223" customWidth="1"/>
    <col min="13826" max="13828" width="0" style="223" hidden="1" customWidth="1"/>
    <col min="13829" max="13829" width="87" style="223" customWidth="1"/>
    <col min="13830" max="13830" width="133.5703125" style="223" customWidth="1"/>
    <col min="13831" max="13831" width="21.140625" style="223" customWidth="1"/>
    <col min="13832" max="13832" width="12.7109375" style="223" customWidth="1"/>
    <col min="13833" max="13845" width="0" style="223" hidden="1" customWidth="1"/>
    <col min="13846" max="13846" width="28.5703125" style="223" bestFit="1" customWidth="1"/>
    <col min="13847" max="13847" width="27.140625" style="223" bestFit="1" customWidth="1"/>
    <col min="13848" max="13848" width="9.140625" style="223"/>
    <col min="13849" max="13849" width="74.140625" style="223" customWidth="1"/>
    <col min="13850" max="13850" width="30.7109375" style="223" customWidth="1"/>
    <col min="13851" max="13851" width="9.140625" style="223"/>
    <col min="13852" max="13852" width="15" style="223" bestFit="1" customWidth="1"/>
    <col min="13853" max="14080" width="9.140625" style="223"/>
    <col min="14081" max="14081" width="11.85546875" style="223" customWidth="1"/>
    <col min="14082" max="14084" width="0" style="223" hidden="1" customWidth="1"/>
    <col min="14085" max="14085" width="87" style="223" customWidth="1"/>
    <col min="14086" max="14086" width="133.5703125" style="223" customWidth="1"/>
    <col min="14087" max="14087" width="21.140625" style="223" customWidth="1"/>
    <col min="14088" max="14088" width="12.7109375" style="223" customWidth="1"/>
    <col min="14089" max="14101" width="0" style="223" hidden="1" customWidth="1"/>
    <col min="14102" max="14102" width="28.5703125" style="223" bestFit="1" customWidth="1"/>
    <col min="14103" max="14103" width="27.140625" style="223" bestFit="1" customWidth="1"/>
    <col min="14104" max="14104" width="9.140625" style="223"/>
    <col min="14105" max="14105" width="74.140625" style="223" customWidth="1"/>
    <col min="14106" max="14106" width="30.7109375" style="223" customWidth="1"/>
    <col min="14107" max="14107" width="9.140625" style="223"/>
    <col min="14108" max="14108" width="15" style="223" bestFit="1" customWidth="1"/>
    <col min="14109" max="14336" width="9.140625" style="223"/>
    <col min="14337" max="14337" width="11.85546875" style="223" customWidth="1"/>
    <col min="14338" max="14340" width="0" style="223" hidden="1" customWidth="1"/>
    <col min="14341" max="14341" width="87" style="223" customWidth="1"/>
    <col min="14342" max="14342" width="133.5703125" style="223" customWidth="1"/>
    <col min="14343" max="14343" width="21.140625" style="223" customWidth="1"/>
    <col min="14344" max="14344" width="12.7109375" style="223" customWidth="1"/>
    <col min="14345" max="14357" width="0" style="223" hidden="1" customWidth="1"/>
    <col min="14358" max="14358" width="28.5703125" style="223" bestFit="1" customWidth="1"/>
    <col min="14359" max="14359" width="27.140625" style="223" bestFit="1" customWidth="1"/>
    <col min="14360" max="14360" width="9.140625" style="223"/>
    <col min="14361" max="14361" width="74.140625" style="223" customWidth="1"/>
    <col min="14362" max="14362" width="30.7109375" style="223" customWidth="1"/>
    <col min="14363" max="14363" width="9.140625" style="223"/>
    <col min="14364" max="14364" width="15" style="223" bestFit="1" customWidth="1"/>
    <col min="14365" max="14592" width="9.140625" style="223"/>
    <col min="14593" max="14593" width="11.85546875" style="223" customWidth="1"/>
    <col min="14594" max="14596" width="0" style="223" hidden="1" customWidth="1"/>
    <col min="14597" max="14597" width="87" style="223" customWidth="1"/>
    <col min="14598" max="14598" width="133.5703125" style="223" customWidth="1"/>
    <col min="14599" max="14599" width="21.140625" style="223" customWidth="1"/>
    <col min="14600" max="14600" width="12.7109375" style="223" customWidth="1"/>
    <col min="14601" max="14613" width="0" style="223" hidden="1" customWidth="1"/>
    <col min="14614" max="14614" width="28.5703125" style="223" bestFit="1" customWidth="1"/>
    <col min="14615" max="14615" width="27.140625" style="223" bestFit="1" customWidth="1"/>
    <col min="14616" max="14616" width="9.140625" style="223"/>
    <col min="14617" max="14617" width="74.140625" style="223" customWidth="1"/>
    <col min="14618" max="14618" width="30.7109375" style="223" customWidth="1"/>
    <col min="14619" max="14619" width="9.140625" style="223"/>
    <col min="14620" max="14620" width="15" style="223" bestFit="1" customWidth="1"/>
    <col min="14621" max="14848" width="9.140625" style="223"/>
    <col min="14849" max="14849" width="11.85546875" style="223" customWidth="1"/>
    <col min="14850" max="14852" width="0" style="223" hidden="1" customWidth="1"/>
    <col min="14853" max="14853" width="87" style="223" customWidth="1"/>
    <col min="14854" max="14854" width="133.5703125" style="223" customWidth="1"/>
    <col min="14855" max="14855" width="21.140625" style="223" customWidth="1"/>
    <col min="14856" max="14856" width="12.7109375" style="223" customWidth="1"/>
    <col min="14857" max="14869" width="0" style="223" hidden="1" customWidth="1"/>
    <col min="14870" max="14870" width="28.5703125" style="223" bestFit="1" customWidth="1"/>
    <col min="14871" max="14871" width="27.140625" style="223" bestFit="1" customWidth="1"/>
    <col min="14872" max="14872" width="9.140625" style="223"/>
    <col min="14873" max="14873" width="74.140625" style="223" customWidth="1"/>
    <col min="14874" max="14874" width="30.7109375" style="223" customWidth="1"/>
    <col min="14875" max="14875" width="9.140625" style="223"/>
    <col min="14876" max="14876" width="15" style="223" bestFit="1" customWidth="1"/>
    <col min="14877" max="15104" width="9.140625" style="223"/>
    <col min="15105" max="15105" width="11.85546875" style="223" customWidth="1"/>
    <col min="15106" max="15108" width="0" style="223" hidden="1" customWidth="1"/>
    <col min="15109" max="15109" width="87" style="223" customWidth="1"/>
    <col min="15110" max="15110" width="133.5703125" style="223" customWidth="1"/>
    <col min="15111" max="15111" width="21.140625" style="223" customWidth="1"/>
    <col min="15112" max="15112" width="12.7109375" style="223" customWidth="1"/>
    <col min="15113" max="15125" width="0" style="223" hidden="1" customWidth="1"/>
    <col min="15126" max="15126" width="28.5703125" style="223" bestFit="1" customWidth="1"/>
    <col min="15127" max="15127" width="27.140625" style="223" bestFit="1" customWidth="1"/>
    <col min="15128" max="15128" width="9.140625" style="223"/>
    <col min="15129" max="15129" width="74.140625" style="223" customWidth="1"/>
    <col min="15130" max="15130" width="30.7109375" style="223" customWidth="1"/>
    <col min="15131" max="15131" width="9.140625" style="223"/>
    <col min="15132" max="15132" width="15" style="223" bestFit="1" customWidth="1"/>
    <col min="15133" max="15360" width="9.140625" style="223"/>
    <col min="15361" max="15361" width="11.85546875" style="223" customWidth="1"/>
    <col min="15362" max="15364" width="0" style="223" hidden="1" customWidth="1"/>
    <col min="15365" max="15365" width="87" style="223" customWidth="1"/>
    <col min="15366" max="15366" width="133.5703125" style="223" customWidth="1"/>
    <col min="15367" max="15367" width="21.140625" style="223" customWidth="1"/>
    <col min="15368" max="15368" width="12.7109375" style="223" customWidth="1"/>
    <col min="15369" max="15381" width="0" style="223" hidden="1" customWidth="1"/>
    <col min="15382" max="15382" width="28.5703125" style="223" bestFit="1" customWidth="1"/>
    <col min="15383" max="15383" width="27.140625" style="223" bestFit="1" customWidth="1"/>
    <col min="15384" max="15384" width="9.140625" style="223"/>
    <col min="15385" max="15385" width="74.140625" style="223" customWidth="1"/>
    <col min="15386" max="15386" width="30.7109375" style="223" customWidth="1"/>
    <col min="15387" max="15387" width="9.140625" style="223"/>
    <col min="15388" max="15388" width="15" style="223" bestFit="1" customWidth="1"/>
    <col min="15389" max="15616" width="9.140625" style="223"/>
    <col min="15617" max="15617" width="11.85546875" style="223" customWidth="1"/>
    <col min="15618" max="15620" width="0" style="223" hidden="1" customWidth="1"/>
    <col min="15621" max="15621" width="87" style="223" customWidth="1"/>
    <col min="15622" max="15622" width="133.5703125" style="223" customWidth="1"/>
    <col min="15623" max="15623" width="21.140625" style="223" customWidth="1"/>
    <col min="15624" max="15624" width="12.7109375" style="223" customWidth="1"/>
    <col min="15625" max="15637" width="0" style="223" hidden="1" customWidth="1"/>
    <col min="15638" max="15638" width="28.5703125" style="223" bestFit="1" customWidth="1"/>
    <col min="15639" max="15639" width="27.140625" style="223" bestFit="1" customWidth="1"/>
    <col min="15640" max="15640" width="9.140625" style="223"/>
    <col min="15641" max="15641" width="74.140625" style="223" customWidth="1"/>
    <col min="15642" max="15642" width="30.7109375" style="223" customWidth="1"/>
    <col min="15643" max="15643" width="9.140625" style="223"/>
    <col min="15644" max="15644" width="15" style="223" bestFit="1" customWidth="1"/>
    <col min="15645" max="15872" width="9.140625" style="223"/>
    <col min="15873" max="15873" width="11.85546875" style="223" customWidth="1"/>
    <col min="15874" max="15876" width="0" style="223" hidden="1" customWidth="1"/>
    <col min="15877" max="15877" width="87" style="223" customWidth="1"/>
    <col min="15878" max="15878" width="133.5703125" style="223" customWidth="1"/>
    <col min="15879" max="15879" width="21.140625" style="223" customWidth="1"/>
    <col min="15880" max="15880" width="12.7109375" style="223" customWidth="1"/>
    <col min="15881" max="15893" width="0" style="223" hidden="1" customWidth="1"/>
    <col min="15894" max="15894" width="28.5703125" style="223" bestFit="1" customWidth="1"/>
    <col min="15895" max="15895" width="27.140625" style="223" bestFit="1" customWidth="1"/>
    <col min="15896" max="15896" width="9.140625" style="223"/>
    <col min="15897" max="15897" width="74.140625" style="223" customWidth="1"/>
    <col min="15898" max="15898" width="30.7109375" style="223" customWidth="1"/>
    <col min="15899" max="15899" width="9.140625" style="223"/>
    <col min="15900" max="15900" width="15" style="223" bestFit="1" customWidth="1"/>
    <col min="15901" max="16128" width="9.140625" style="223"/>
    <col min="16129" max="16129" width="11.85546875" style="223" customWidth="1"/>
    <col min="16130" max="16132" width="0" style="223" hidden="1" customWidth="1"/>
    <col min="16133" max="16133" width="87" style="223" customWidth="1"/>
    <col min="16134" max="16134" width="133.5703125" style="223" customWidth="1"/>
    <col min="16135" max="16135" width="21.140625" style="223" customWidth="1"/>
    <col min="16136" max="16136" width="12.7109375" style="223" customWidth="1"/>
    <col min="16137" max="16149" width="0" style="223" hidden="1" customWidth="1"/>
    <col min="16150" max="16150" width="28.5703125" style="223" bestFit="1" customWidth="1"/>
    <col min="16151" max="16151" width="27.140625" style="223" bestFit="1" customWidth="1"/>
    <col min="16152" max="16152" width="9.140625" style="223"/>
    <col min="16153" max="16153" width="74.140625" style="223" customWidth="1"/>
    <col min="16154" max="16154" width="30.7109375" style="223" customWidth="1"/>
    <col min="16155" max="16155" width="9.140625" style="223"/>
    <col min="16156" max="16156" width="15" style="223" bestFit="1" customWidth="1"/>
    <col min="16157" max="16384" width="9.140625" style="223"/>
  </cols>
  <sheetData>
    <row r="1" spans="1:26" ht="63" customHeight="1">
      <c r="A1" s="1624" t="s">
        <v>561</v>
      </c>
      <c r="B1" s="1624"/>
      <c r="C1" s="1624"/>
      <c r="D1" s="1624"/>
      <c r="E1" s="1624"/>
      <c r="F1" s="1624"/>
      <c r="G1" s="1624"/>
      <c r="H1" s="1624"/>
      <c r="I1" s="1624"/>
      <c r="J1" s="1624"/>
      <c r="K1" s="1624"/>
      <c r="L1" s="1624"/>
      <c r="M1" s="1624"/>
      <c r="N1" s="1624"/>
      <c r="O1" s="1624"/>
      <c r="P1" s="1624"/>
      <c r="Q1" s="1624"/>
      <c r="R1" s="1624"/>
      <c r="S1" s="1624"/>
      <c r="T1" s="1624"/>
      <c r="U1" s="1624"/>
      <c r="V1" s="1624"/>
      <c r="W1" s="1624"/>
    </row>
    <row r="2" spans="1:26" s="226" customFormat="1" ht="23.25">
      <c r="A2" s="1624" t="s">
        <v>562</v>
      </c>
      <c r="B2" s="1624" t="s">
        <v>1675</v>
      </c>
      <c r="C2" s="224"/>
      <c r="D2" s="224"/>
      <c r="E2" s="225"/>
      <c r="F2" s="1624" t="s">
        <v>4</v>
      </c>
      <c r="G2" s="1624" t="s">
        <v>563</v>
      </c>
      <c r="H2" s="1624" t="s">
        <v>564</v>
      </c>
      <c r="I2" s="1624" t="s">
        <v>565</v>
      </c>
      <c r="J2" s="1624"/>
      <c r="K2" s="1624" t="s">
        <v>566</v>
      </c>
      <c r="L2" s="1624"/>
      <c r="M2" s="1624"/>
      <c r="N2" s="1624" t="s">
        <v>567</v>
      </c>
      <c r="O2" s="1624"/>
      <c r="P2" s="1624" t="s">
        <v>568</v>
      </c>
      <c r="Q2" s="1624"/>
      <c r="R2" s="1624" t="s">
        <v>569</v>
      </c>
      <c r="S2" s="1624"/>
      <c r="T2" s="1624" t="s">
        <v>570</v>
      </c>
      <c r="U2" s="1624"/>
      <c r="V2" s="1624" t="s">
        <v>7</v>
      </c>
      <c r="W2" s="1624" t="s">
        <v>571</v>
      </c>
    </row>
    <row r="3" spans="1:26" s="226" customFormat="1" ht="46.5">
      <c r="A3" s="1624"/>
      <c r="B3" s="1624"/>
      <c r="C3" s="224"/>
      <c r="D3" s="224"/>
      <c r="E3" s="225"/>
      <c r="F3" s="1624"/>
      <c r="G3" s="1624"/>
      <c r="H3" s="1624"/>
      <c r="I3" s="227" t="s">
        <v>7</v>
      </c>
      <c r="J3" s="228" t="s">
        <v>571</v>
      </c>
      <c r="K3" s="228" t="s">
        <v>572</v>
      </c>
      <c r="L3" s="229" t="s">
        <v>573</v>
      </c>
      <c r="M3" s="228" t="s">
        <v>571</v>
      </c>
      <c r="N3" s="228" t="s">
        <v>7</v>
      </c>
      <c r="O3" s="228" t="s">
        <v>571</v>
      </c>
      <c r="P3" s="228" t="s">
        <v>7</v>
      </c>
      <c r="Q3" s="228" t="s">
        <v>571</v>
      </c>
      <c r="R3" s="228" t="s">
        <v>7</v>
      </c>
      <c r="S3" s="228" t="s">
        <v>571</v>
      </c>
      <c r="T3" s="229" t="s">
        <v>7</v>
      </c>
      <c r="U3" s="230" t="s">
        <v>571</v>
      </c>
      <c r="V3" s="1624"/>
      <c r="W3" s="1624"/>
    </row>
    <row r="4" spans="1:26" s="226" customFormat="1" ht="43.5">
      <c r="A4" s="231"/>
      <c r="B4" s="278"/>
      <c r="C4" s="232"/>
      <c r="D4" s="232"/>
      <c r="E4" s="279" t="s">
        <v>15</v>
      </c>
      <c r="F4" s="280" t="s">
        <v>16</v>
      </c>
      <c r="G4" s="281" t="s">
        <v>17</v>
      </c>
      <c r="H4" s="282" t="s">
        <v>18</v>
      </c>
      <c r="I4" s="283"/>
      <c r="J4" s="284"/>
      <c r="K4" s="285"/>
      <c r="L4" s="285"/>
      <c r="M4" s="286"/>
      <c r="N4" s="286"/>
      <c r="O4" s="286"/>
      <c r="P4" s="286"/>
      <c r="Q4" s="286"/>
      <c r="R4" s="286"/>
      <c r="S4" s="286"/>
      <c r="T4" s="287"/>
      <c r="U4" s="288"/>
      <c r="V4" s="233"/>
      <c r="W4" s="233"/>
    </row>
    <row r="5" spans="1:26" ht="49.5" customHeight="1">
      <c r="A5" s="234"/>
      <c r="B5" s="289" t="s">
        <v>1676</v>
      </c>
      <c r="C5" s="290" t="s">
        <v>265</v>
      </c>
      <c r="D5" s="235" t="str">
        <f>IF(B5=C5," OK","nun")</f>
        <v xml:space="preserve"> OK</v>
      </c>
      <c r="E5" s="2" t="s">
        <v>16</v>
      </c>
      <c r="F5" s="2" t="s">
        <v>17</v>
      </c>
      <c r="G5" s="2" t="s">
        <v>15</v>
      </c>
      <c r="H5" s="2" t="s">
        <v>30</v>
      </c>
      <c r="I5" s="291"/>
      <c r="J5" s="292"/>
      <c r="K5" s="293"/>
      <c r="L5" s="293"/>
      <c r="M5" s="294"/>
      <c r="N5" s="294"/>
      <c r="O5" s="294"/>
      <c r="P5" s="294"/>
      <c r="Q5" s="294"/>
      <c r="R5" s="294"/>
      <c r="S5" s="294"/>
      <c r="T5" s="295"/>
      <c r="U5" s="296"/>
      <c r="V5" s="233"/>
      <c r="W5" s="233" t="s">
        <v>575</v>
      </c>
    </row>
    <row r="6" spans="1:26" ht="49.5" customHeight="1">
      <c r="A6" s="234">
        <v>1.1000000000000001</v>
      </c>
      <c r="B6" s="289"/>
      <c r="C6" s="290"/>
      <c r="D6" s="235"/>
      <c r="E6" s="297" t="s">
        <v>265</v>
      </c>
      <c r="F6" s="297" t="s">
        <v>574</v>
      </c>
      <c r="G6" s="298"/>
      <c r="H6" s="2"/>
      <c r="I6" s="291"/>
      <c r="J6" s="292"/>
      <c r="K6" s="293"/>
      <c r="L6" s="293"/>
      <c r="M6" s="294"/>
      <c r="N6" s="294"/>
      <c r="O6" s="294"/>
      <c r="P6" s="294"/>
      <c r="Q6" s="294"/>
      <c r="R6" s="294"/>
      <c r="S6" s="294"/>
      <c r="T6" s="295"/>
      <c r="U6" s="296"/>
      <c r="V6" s="233"/>
      <c r="W6" s="233"/>
      <c r="Y6" s="223" t="str">
        <f>'[4]Development - i'!E5</f>
        <v>Earth work excavation in all soils (including refilling)</v>
      </c>
      <c r="Z6" s="223" t="str">
        <f>IF(Y6=E6,"-----------------------","ERRR")</f>
        <v>-----------------------</v>
      </c>
    </row>
    <row r="7" spans="1:26" ht="43.5">
      <c r="A7" s="234"/>
      <c r="B7" s="289" t="s">
        <v>1677</v>
      </c>
      <c r="C7" s="290" t="s">
        <v>1677</v>
      </c>
      <c r="D7" s="235" t="str">
        <f t="shared" ref="D7:D75" si="0">IF(B7=C7," OK","nun")</f>
        <v xml:space="preserve"> OK</v>
      </c>
      <c r="E7" s="254" t="s">
        <v>1678</v>
      </c>
      <c r="F7" s="254" t="s">
        <v>576</v>
      </c>
      <c r="G7" s="298">
        <f>ROUND([3]Data!K93,2)</f>
        <v>186.66</v>
      </c>
      <c r="H7" s="298" t="s">
        <v>1679</v>
      </c>
      <c r="I7" s="299"/>
      <c r="J7" s="300"/>
      <c r="K7" s="270"/>
      <c r="L7" s="301"/>
      <c r="M7" s="270"/>
      <c r="N7" s="270"/>
      <c r="O7" s="270"/>
      <c r="P7" s="270"/>
      <c r="Q7" s="270"/>
      <c r="R7" s="270"/>
      <c r="S7" s="270"/>
      <c r="T7" s="301"/>
      <c r="U7" s="302"/>
      <c r="V7" s="236">
        <f>'[3]Precast Compound wall '!H109</f>
        <v>4.3</v>
      </c>
      <c r="W7" s="233">
        <f t="shared" ref="W7:W17" si="1">ROUND(G8,2)*ROUND(V7,2)</f>
        <v>837.46799999999996</v>
      </c>
      <c r="Y7" s="223" t="str">
        <f>'[4]Development - i'!E6</f>
        <v xml:space="preserve">a. 0 to 2 mt.  Earth work excavation in all soils (including refilling) </v>
      </c>
      <c r="Z7" s="223" t="str">
        <f t="shared" ref="Z7:Z70" si="2">IF(Y7=E7,"-----------------------","ERRR")</f>
        <v>ERRR</v>
      </c>
    </row>
    <row r="8" spans="1:26" s="239" customFormat="1" ht="76.5">
      <c r="A8" s="303"/>
      <c r="B8" s="304" t="s">
        <v>1680</v>
      </c>
      <c r="C8" s="304" t="s">
        <v>1680</v>
      </c>
      <c r="D8" s="235" t="str">
        <f t="shared" si="0"/>
        <v xml:space="preserve"> OK</v>
      </c>
      <c r="E8" s="254" t="s">
        <v>1681</v>
      </c>
      <c r="F8" s="254" t="s">
        <v>577</v>
      </c>
      <c r="G8" s="298">
        <f>ROUND([3]Data!K94,2)</f>
        <v>194.76</v>
      </c>
      <c r="H8" s="298" t="s">
        <v>1679</v>
      </c>
      <c r="I8" s="300"/>
      <c r="J8" s="300"/>
      <c r="K8" s="270"/>
      <c r="L8" s="301"/>
      <c r="M8" s="270"/>
      <c r="N8" s="270"/>
      <c r="O8" s="270"/>
      <c r="P8" s="270"/>
      <c r="Q8" s="270"/>
      <c r="R8" s="270"/>
      <c r="S8" s="270"/>
      <c r="T8" s="301"/>
      <c r="U8" s="270"/>
      <c r="V8" s="237"/>
      <c r="W8" s="238">
        <f t="shared" si="1"/>
        <v>0</v>
      </c>
      <c r="Y8" s="223" t="str">
        <f>'[4]Development - i'!E7</f>
        <v xml:space="preserve">b. 2 to 3 mt.  Earth work excavation in all soils (including refilling) </v>
      </c>
      <c r="Z8" s="223" t="str">
        <f t="shared" si="2"/>
        <v>ERRR</v>
      </c>
    </row>
    <row r="9" spans="1:26" s="241" customFormat="1" ht="130.5">
      <c r="A9" s="305">
        <v>1.2</v>
      </c>
      <c r="B9" s="306" t="s">
        <v>1682</v>
      </c>
      <c r="C9" s="306" t="s">
        <v>578</v>
      </c>
      <c r="D9" s="235" t="str">
        <f t="shared" si="0"/>
        <v xml:space="preserve"> OK</v>
      </c>
      <c r="E9" s="254" t="s">
        <v>1683</v>
      </c>
      <c r="F9" s="254" t="s">
        <v>579</v>
      </c>
      <c r="G9" s="298"/>
      <c r="H9" s="298"/>
      <c r="I9" s="300"/>
      <c r="J9" s="300"/>
      <c r="K9" s="270"/>
      <c r="L9" s="301"/>
      <c r="M9" s="270"/>
      <c r="N9" s="270"/>
      <c r="O9" s="270"/>
      <c r="P9" s="270"/>
      <c r="Q9" s="270"/>
      <c r="R9" s="270"/>
      <c r="S9" s="270"/>
      <c r="T9" s="301"/>
      <c r="U9" s="270"/>
      <c r="V9" s="240"/>
      <c r="W9" s="238">
        <f t="shared" si="1"/>
        <v>0</v>
      </c>
      <c r="Y9" s="223" t="str">
        <f>'[4]Development - i'!E8</f>
        <v>Earth work excavation in all soils (excluding refilling)</v>
      </c>
      <c r="Z9" s="223" t="str">
        <f t="shared" si="2"/>
        <v>-----------------------</v>
      </c>
    </row>
    <row r="10" spans="1:26" s="241" customFormat="1" ht="46.5">
      <c r="A10" s="305"/>
      <c r="B10" s="306" t="s">
        <v>1677</v>
      </c>
      <c r="C10" s="306" t="s">
        <v>1677</v>
      </c>
      <c r="D10" s="235" t="str">
        <f t="shared" si="0"/>
        <v xml:space="preserve"> OK</v>
      </c>
      <c r="E10" s="254" t="s">
        <v>1684</v>
      </c>
      <c r="F10" s="254" t="s">
        <v>580</v>
      </c>
      <c r="G10" s="298">
        <f>ROUND([3]Data!K95,2)</f>
        <v>176.4</v>
      </c>
      <c r="H10" s="298" t="s">
        <v>1679</v>
      </c>
      <c r="I10" s="300"/>
      <c r="J10" s="300"/>
      <c r="K10" s="270"/>
      <c r="L10" s="301"/>
      <c r="M10" s="270"/>
      <c r="N10" s="270"/>
      <c r="O10" s="270"/>
      <c r="P10" s="270"/>
      <c r="Q10" s="270"/>
      <c r="R10" s="270"/>
      <c r="S10" s="270"/>
      <c r="T10" s="301"/>
      <c r="U10" s="270"/>
      <c r="V10" s="240"/>
      <c r="W10" s="238">
        <f t="shared" si="1"/>
        <v>0</v>
      </c>
      <c r="Y10" s="223" t="str">
        <f>'[4]Development - i'!E9</f>
        <v>a. 0 to 2 mt. Earth work excavation in all soils (excluding refilling)</v>
      </c>
      <c r="Z10" s="223" t="str">
        <f t="shared" si="2"/>
        <v>-----------------------</v>
      </c>
    </row>
    <row r="11" spans="1:26" s="241" customFormat="1" ht="46.5">
      <c r="A11" s="305"/>
      <c r="B11" s="306" t="s">
        <v>1680</v>
      </c>
      <c r="C11" s="306" t="s">
        <v>1680</v>
      </c>
      <c r="D11" s="235" t="str">
        <f t="shared" si="0"/>
        <v xml:space="preserve"> OK</v>
      </c>
      <c r="E11" s="254" t="s">
        <v>1685</v>
      </c>
      <c r="F11" s="254" t="s">
        <v>581</v>
      </c>
      <c r="G11" s="298">
        <f>ROUND([3]Data!K96,2)</f>
        <v>184.5</v>
      </c>
      <c r="H11" s="298" t="s">
        <v>1679</v>
      </c>
      <c r="I11" s="300"/>
      <c r="J11" s="300"/>
      <c r="K11" s="270"/>
      <c r="L11" s="301"/>
      <c r="M11" s="270"/>
      <c r="N11" s="270"/>
      <c r="O11" s="270"/>
      <c r="P11" s="270"/>
      <c r="Q11" s="270"/>
      <c r="R11" s="270"/>
      <c r="S11" s="270"/>
      <c r="T11" s="301"/>
      <c r="U11" s="270"/>
      <c r="V11" s="240"/>
      <c r="W11" s="238">
        <f t="shared" si="1"/>
        <v>0</v>
      </c>
      <c r="Y11" s="223" t="str">
        <f>'[4]Development - i'!E10</f>
        <v>b. 2 to 3 mt. Earth work excavation in all soils (excluding refilling)</v>
      </c>
      <c r="Z11" s="223" t="str">
        <f t="shared" si="2"/>
        <v>-----------------------</v>
      </c>
    </row>
    <row r="12" spans="1:26" s="239" customFormat="1" ht="152.25">
      <c r="A12" s="307">
        <v>1.3</v>
      </c>
      <c r="B12" s="308" t="s">
        <v>1686</v>
      </c>
      <c r="C12" s="308" t="s">
        <v>582</v>
      </c>
      <c r="D12" s="235" t="str">
        <f t="shared" si="0"/>
        <v xml:space="preserve"> OK</v>
      </c>
      <c r="E12" s="254" t="s">
        <v>1687</v>
      </c>
      <c r="F12" s="254" t="s">
        <v>583</v>
      </c>
      <c r="G12" s="298"/>
      <c r="H12" s="298" t="s">
        <v>30</v>
      </c>
      <c r="I12" s="300"/>
      <c r="J12" s="300"/>
      <c r="K12" s="270"/>
      <c r="L12" s="301"/>
      <c r="M12" s="270"/>
      <c r="N12" s="270"/>
      <c r="O12" s="270"/>
      <c r="P12" s="270"/>
      <c r="Q12" s="270"/>
      <c r="R12" s="270"/>
      <c r="S12" s="270"/>
      <c r="T12" s="301"/>
      <c r="U12" s="270"/>
      <c r="V12" s="240"/>
      <c r="W12" s="238">
        <f t="shared" si="1"/>
        <v>0</v>
      </c>
      <c r="Y12" s="223" t="str">
        <f>'[4]Development - i'!E11</f>
        <v>Earth work excavation in Soft disintegrated rock  (including refilling)</v>
      </c>
      <c r="Z12" s="223" t="str">
        <f t="shared" si="2"/>
        <v>-----------------------</v>
      </c>
    </row>
    <row r="13" spans="1:26" s="239" customFormat="1" ht="51">
      <c r="A13" s="307"/>
      <c r="B13" s="308" t="s">
        <v>1677</v>
      </c>
      <c r="C13" s="308" t="s">
        <v>1677</v>
      </c>
      <c r="D13" s="235" t="str">
        <f t="shared" si="0"/>
        <v xml:space="preserve"> OK</v>
      </c>
      <c r="E13" s="254" t="s">
        <v>1688</v>
      </c>
      <c r="F13" s="254" t="s">
        <v>584</v>
      </c>
      <c r="G13" s="298">
        <f>ROUND([3]Data!K106,2)</f>
        <v>273.18</v>
      </c>
      <c r="H13" s="298" t="s">
        <v>1679</v>
      </c>
      <c r="I13" s="300"/>
      <c r="J13" s="300"/>
      <c r="K13" s="270"/>
      <c r="L13" s="301"/>
      <c r="M13" s="270"/>
      <c r="N13" s="270"/>
      <c r="O13" s="270"/>
      <c r="P13" s="270"/>
      <c r="Q13" s="270"/>
      <c r="R13" s="270"/>
      <c r="S13" s="270"/>
      <c r="T13" s="301"/>
      <c r="U13" s="270"/>
      <c r="V13" s="240"/>
      <c r="W13" s="238">
        <f t="shared" si="1"/>
        <v>0</v>
      </c>
      <c r="Y13" s="223" t="str">
        <f>'[4]Development - i'!E12</f>
        <v>a. 0 to 2 mt. Earth work excavation in Soft disintegrated rock  (including refilling)</v>
      </c>
      <c r="Z13" s="223" t="str">
        <f t="shared" si="2"/>
        <v>-----------------------</v>
      </c>
    </row>
    <row r="14" spans="1:26" s="241" customFormat="1" ht="46.5">
      <c r="A14" s="309"/>
      <c r="B14" s="310" t="s">
        <v>1680</v>
      </c>
      <c r="C14" s="310" t="s">
        <v>1680</v>
      </c>
      <c r="D14" s="235" t="str">
        <f t="shared" si="0"/>
        <v xml:space="preserve"> OK</v>
      </c>
      <c r="E14" s="254" t="s">
        <v>1689</v>
      </c>
      <c r="F14" s="254" t="s">
        <v>577</v>
      </c>
      <c r="G14" s="298">
        <f>ROUND([3]Data!K107,2)</f>
        <v>281.27999999999997</v>
      </c>
      <c r="H14" s="298" t="s">
        <v>1679</v>
      </c>
      <c r="I14" s="300"/>
      <c r="J14" s="300"/>
      <c r="K14" s="270"/>
      <c r="L14" s="301"/>
      <c r="M14" s="270"/>
      <c r="N14" s="270"/>
      <c r="O14" s="270"/>
      <c r="P14" s="270"/>
      <c r="Q14" s="270"/>
      <c r="R14" s="270"/>
      <c r="S14" s="270"/>
      <c r="T14" s="301"/>
      <c r="U14" s="270"/>
      <c r="V14" s="240"/>
      <c r="W14" s="238">
        <f t="shared" si="1"/>
        <v>0</v>
      </c>
      <c r="Y14" s="223" t="str">
        <f>'[4]Development - i'!E13</f>
        <v xml:space="preserve">b. 2 to 3 mt.  Earth work excavation in all soils (including refilling) </v>
      </c>
      <c r="Z14" s="223" t="str">
        <f t="shared" si="2"/>
        <v>ERRR</v>
      </c>
    </row>
    <row r="15" spans="1:26" s="241" customFormat="1" ht="152.25">
      <c r="A15" s="305">
        <v>1.4</v>
      </c>
      <c r="B15" s="306" t="s">
        <v>1690</v>
      </c>
      <c r="C15" s="306" t="s">
        <v>585</v>
      </c>
      <c r="D15" s="235" t="str">
        <f t="shared" si="0"/>
        <v xml:space="preserve"> OK</v>
      </c>
      <c r="E15" s="254" t="s">
        <v>1691</v>
      </c>
      <c r="F15" s="254" t="s">
        <v>586</v>
      </c>
      <c r="G15" s="298"/>
      <c r="H15" s="298"/>
      <c r="I15" s="300"/>
      <c r="J15" s="300"/>
      <c r="K15" s="270"/>
      <c r="L15" s="301"/>
      <c r="M15" s="270"/>
      <c r="N15" s="270"/>
      <c r="O15" s="270"/>
      <c r="P15" s="270"/>
      <c r="Q15" s="270"/>
      <c r="R15" s="270"/>
      <c r="S15" s="270"/>
      <c r="T15" s="301"/>
      <c r="U15" s="270"/>
      <c r="V15" s="240"/>
      <c r="W15" s="238">
        <f t="shared" si="1"/>
        <v>0</v>
      </c>
      <c r="Y15" s="223" t="str">
        <f>'[4]Development - i'!E14</f>
        <v>Earth work excavation for Open foundation (including refilling)</v>
      </c>
      <c r="Z15" s="223" t="str">
        <f t="shared" si="2"/>
        <v>-----------------------</v>
      </c>
    </row>
    <row r="16" spans="1:26" s="241" customFormat="1" ht="46.5">
      <c r="A16" s="305"/>
      <c r="B16" s="306" t="s">
        <v>1677</v>
      </c>
      <c r="C16" s="306" t="s">
        <v>1677</v>
      </c>
      <c r="D16" s="235" t="str">
        <f t="shared" si="0"/>
        <v xml:space="preserve"> OK</v>
      </c>
      <c r="E16" s="254" t="s">
        <v>1692</v>
      </c>
      <c r="F16" s="254" t="s">
        <v>584</v>
      </c>
      <c r="G16" s="298">
        <f>ROUND([3]Data!K121,2)</f>
        <v>98.46</v>
      </c>
      <c r="H16" s="298" t="s">
        <v>1679</v>
      </c>
      <c r="I16" s="300"/>
      <c r="J16" s="300"/>
      <c r="K16" s="270"/>
      <c r="L16" s="301"/>
      <c r="M16" s="270"/>
      <c r="N16" s="270"/>
      <c r="O16" s="270"/>
      <c r="P16" s="270"/>
      <c r="Q16" s="270"/>
      <c r="R16" s="270"/>
      <c r="S16" s="270"/>
      <c r="T16" s="301"/>
      <c r="U16" s="270"/>
      <c r="V16" s="240"/>
      <c r="W16" s="238">
        <f t="shared" si="1"/>
        <v>0</v>
      </c>
      <c r="Y16" s="223" t="str">
        <f>'[4]Development - i'!E15</f>
        <v>a. 0 to 2 mt.Earth work excavation for Open foundation (including refilling)</v>
      </c>
      <c r="Z16" s="223" t="str">
        <f t="shared" si="2"/>
        <v>-----------------------</v>
      </c>
    </row>
    <row r="17" spans="1:26" s="241" customFormat="1" ht="46.5">
      <c r="A17" s="311"/>
      <c r="B17" s="306" t="s">
        <v>1680</v>
      </c>
      <c r="C17" s="306" t="s">
        <v>1680</v>
      </c>
      <c r="D17" s="235" t="str">
        <f t="shared" si="0"/>
        <v xml:space="preserve"> OK</v>
      </c>
      <c r="E17" s="254" t="s">
        <v>1693</v>
      </c>
      <c r="F17" s="254" t="s">
        <v>587</v>
      </c>
      <c r="G17" s="298">
        <f>ROUND([3]Data!L121,2)</f>
        <v>106.56</v>
      </c>
      <c r="H17" s="298" t="s">
        <v>1679</v>
      </c>
      <c r="I17" s="300"/>
      <c r="J17" s="300"/>
      <c r="K17" s="270"/>
      <c r="L17" s="301"/>
      <c r="M17" s="270"/>
      <c r="N17" s="270"/>
      <c r="O17" s="270"/>
      <c r="P17" s="270"/>
      <c r="Q17" s="270"/>
      <c r="R17" s="270"/>
      <c r="S17" s="270"/>
      <c r="T17" s="301"/>
      <c r="U17" s="270"/>
      <c r="V17" s="242"/>
      <c r="W17" s="238">
        <f t="shared" si="1"/>
        <v>0</v>
      </c>
      <c r="Y17" s="223" t="str">
        <f>'[4]Development - i'!E16</f>
        <v>b. 2 to 3 mt. Earth work excavation in Soft disintegrated rock  (including refilling)</v>
      </c>
      <c r="Z17" s="223" t="str">
        <f t="shared" si="2"/>
        <v>-----------------------</v>
      </c>
    </row>
    <row r="18" spans="1:26" ht="130.5">
      <c r="A18" s="234">
        <v>1.5</v>
      </c>
      <c r="B18" s="289" t="s">
        <v>1694</v>
      </c>
      <c r="C18" s="290" t="s">
        <v>588</v>
      </c>
      <c r="D18" s="235" t="str">
        <f t="shared" si="0"/>
        <v xml:space="preserve"> OK</v>
      </c>
      <c r="E18" s="254" t="s">
        <v>1695</v>
      </c>
      <c r="F18" s="254" t="s">
        <v>589</v>
      </c>
      <c r="G18" s="298"/>
      <c r="H18" s="298" t="s">
        <v>30</v>
      </c>
      <c r="I18" s="299"/>
      <c r="J18" s="300"/>
      <c r="K18" s="270"/>
      <c r="L18" s="301"/>
      <c r="M18" s="270"/>
      <c r="N18" s="270"/>
      <c r="O18" s="270"/>
      <c r="P18" s="270"/>
      <c r="Q18" s="270"/>
      <c r="R18" s="270"/>
      <c r="S18" s="270"/>
      <c r="T18" s="312"/>
      <c r="U18" s="302"/>
      <c r="V18" s="236"/>
      <c r="W18" s="233"/>
      <c r="Y18" s="223" t="str">
        <f>'[4]Development - i'!E17</f>
        <v>Earth work excavation for Open foundation (excluding refilling)</v>
      </c>
      <c r="Z18" s="223" t="str">
        <f t="shared" si="2"/>
        <v>-----------------------</v>
      </c>
    </row>
    <row r="19" spans="1:26" ht="43.5">
      <c r="A19" s="234"/>
      <c r="B19" s="289" t="s">
        <v>1677</v>
      </c>
      <c r="C19" s="290" t="s">
        <v>1677</v>
      </c>
      <c r="D19" s="235" t="str">
        <f t="shared" si="0"/>
        <v xml:space="preserve"> OK</v>
      </c>
      <c r="E19" s="254" t="s">
        <v>1696</v>
      </c>
      <c r="F19" s="254" t="s">
        <v>584</v>
      </c>
      <c r="G19" s="298">
        <f>ROUND([3]Data!K123,2)</f>
        <v>88.2</v>
      </c>
      <c r="H19" s="298" t="s">
        <v>1679</v>
      </c>
      <c r="I19" s="299"/>
      <c r="J19" s="300"/>
      <c r="K19" s="270"/>
      <c r="L19" s="301"/>
      <c r="M19" s="270"/>
      <c r="N19" s="270"/>
      <c r="O19" s="270"/>
      <c r="P19" s="270"/>
      <c r="Q19" s="270"/>
      <c r="R19" s="270"/>
      <c r="S19" s="270"/>
      <c r="T19" s="301"/>
      <c r="U19" s="302"/>
      <c r="V19" s="236"/>
      <c r="W19" s="233">
        <f t="shared" ref="W19:W31" si="3">ROUND(G20,2)*ROUND(V19,2)</f>
        <v>0</v>
      </c>
      <c r="Y19" s="223" t="str">
        <f>'[4]Development - i'!E18</f>
        <v>a. 0 to 2 mt.Earth work excavation for Open foundation (excluding refilling)</v>
      </c>
      <c r="Z19" s="223" t="str">
        <f t="shared" si="2"/>
        <v>-----------------------</v>
      </c>
    </row>
    <row r="20" spans="1:26" s="239" customFormat="1" ht="46.5">
      <c r="A20" s="303"/>
      <c r="B20" s="304" t="s">
        <v>1680</v>
      </c>
      <c r="C20" s="304" t="s">
        <v>1680</v>
      </c>
      <c r="D20" s="235" t="str">
        <f t="shared" si="0"/>
        <v xml:space="preserve"> OK</v>
      </c>
      <c r="E20" s="254" t="s">
        <v>1697</v>
      </c>
      <c r="F20" s="254" t="s">
        <v>587</v>
      </c>
      <c r="G20" s="298">
        <f>ROUND([3]Data!K124,2)</f>
        <v>96.3</v>
      </c>
      <c r="H20" s="298" t="s">
        <v>1679</v>
      </c>
      <c r="I20" s="300"/>
      <c r="J20" s="300"/>
      <c r="K20" s="270"/>
      <c r="L20" s="301"/>
      <c r="M20" s="270"/>
      <c r="N20" s="270"/>
      <c r="O20" s="270"/>
      <c r="P20" s="270"/>
      <c r="Q20" s="270"/>
      <c r="R20" s="270"/>
      <c r="S20" s="270"/>
      <c r="T20" s="301"/>
      <c r="U20" s="270"/>
      <c r="V20" s="237"/>
      <c r="W20" s="238">
        <f t="shared" si="3"/>
        <v>0</v>
      </c>
      <c r="Y20" s="223" t="str">
        <f>'[4]Development - i'!E19</f>
        <v>b. 2 to 3 mt.Earth work excavation for Open foundation (excluding refilling)</v>
      </c>
      <c r="Z20" s="223" t="str">
        <f t="shared" si="2"/>
        <v>-----------------------</v>
      </c>
    </row>
    <row r="21" spans="1:26" s="241" customFormat="1" ht="46.5">
      <c r="A21" s="305"/>
      <c r="B21" s="306" t="s">
        <v>590</v>
      </c>
      <c r="C21" s="306" t="s">
        <v>590</v>
      </c>
      <c r="D21" s="235" t="str">
        <f t="shared" si="0"/>
        <v xml:space="preserve"> OK</v>
      </c>
      <c r="E21" s="254" t="s">
        <v>1698</v>
      </c>
      <c r="F21" s="254" t="s">
        <v>590</v>
      </c>
      <c r="G21" s="298">
        <f>ROUND([3]Data!K125,2)</f>
        <v>104.4</v>
      </c>
      <c r="H21" s="298" t="s">
        <v>1679</v>
      </c>
      <c r="I21" s="300"/>
      <c r="J21" s="300"/>
      <c r="K21" s="270"/>
      <c r="L21" s="301"/>
      <c r="M21" s="270"/>
      <c r="N21" s="270"/>
      <c r="O21" s="270"/>
      <c r="P21" s="270"/>
      <c r="Q21" s="270"/>
      <c r="R21" s="270"/>
      <c r="S21" s="270"/>
      <c r="T21" s="301"/>
      <c r="U21" s="270"/>
      <c r="V21" s="240"/>
      <c r="W21" s="238">
        <f t="shared" si="3"/>
        <v>0</v>
      </c>
      <c r="Y21" s="223" t="str">
        <f>'[4]Development - i'!E20</f>
        <v>c. 3 to 4 mt.Earth work excavation for Open foundation (excluding refilling)</v>
      </c>
      <c r="Z21" s="223" t="str">
        <f t="shared" si="2"/>
        <v>-----------------------</v>
      </c>
    </row>
    <row r="22" spans="1:26" s="241" customFormat="1" ht="46.5">
      <c r="A22" s="305"/>
      <c r="B22" s="306" t="s">
        <v>591</v>
      </c>
      <c r="C22" s="306" t="s">
        <v>591</v>
      </c>
      <c r="D22" s="235" t="str">
        <f t="shared" si="0"/>
        <v xml:space="preserve"> OK</v>
      </c>
      <c r="E22" s="254" t="s">
        <v>1699</v>
      </c>
      <c r="F22" s="254" t="s">
        <v>591</v>
      </c>
      <c r="G22" s="298">
        <f>ROUND([3]Data!K126,2)</f>
        <v>112.5</v>
      </c>
      <c r="H22" s="298" t="s">
        <v>1679</v>
      </c>
      <c r="I22" s="300"/>
      <c r="J22" s="300"/>
      <c r="K22" s="270"/>
      <c r="L22" s="301"/>
      <c r="M22" s="270"/>
      <c r="N22" s="270"/>
      <c r="O22" s="270"/>
      <c r="P22" s="270"/>
      <c r="Q22" s="270"/>
      <c r="R22" s="270"/>
      <c r="S22" s="270"/>
      <c r="T22" s="301"/>
      <c r="U22" s="270"/>
      <c r="V22" s="240"/>
      <c r="W22" s="238">
        <f t="shared" si="3"/>
        <v>0</v>
      </c>
      <c r="Y22" s="223" t="str">
        <f>'[4]Development - i'!E21</f>
        <v>d. 4 to 5 mt.Earth work excavation for Open foundation (excluding refilling)</v>
      </c>
      <c r="Z22" s="223" t="str">
        <f t="shared" si="2"/>
        <v>-----------------------</v>
      </c>
    </row>
    <row r="23" spans="1:26" s="241" customFormat="1" ht="152.25">
      <c r="A23" s="305">
        <v>1.6</v>
      </c>
      <c r="B23" s="306" t="s">
        <v>1700</v>
      </c>
      <c r="C23" s="306" t="s">
        <v>592</v>
      </c>
      <c r="D23" s="235" t="str">
        <f t="shared" si="0"/>
        <v xml:space="preserve"> OK</v>
      </c>
      <c r="E23" s="254" t="s">
        <v>1701</v>
      </c>
      <c r="F23" s="254" t="s">
        <v>593</v>
      </c>
      <c r="G23" s="298"/>
      <c r="H23" s="298"/>
      <c r="I23" s="300"/>
      <c r="J23" s="300"/>
      <c r="K23" s="270"/>
      <c r="L23" s="301"/>
      <c r="M23" s="270"/>
      <c r="N23" s="270"/>
      <c r="O23" s="270"/>
      <c r="P23" s="270"/>
      <c r="Q23" s="270"/>
      <c r="R23" s="270"/>
      <c r="S23" s="270"/>
      <c r="T23" s="301"/>
      <c r="U23" s="270"/>
      <c r="V23" s="240"/>
      <c r="W23" s="238">
        <f t="shared" si="3"/>
        <v>0</v>
      </c>
      <c r="Y23" s="223" t="str">
        <f>'[4]Development - i'!E22</f>
        <v>Earth work excavation for Open foundation  for drains (excluding refilling) width  upto 1.25 m</v>
      </c>
      <c r="Z23" s="223" t="str">
        <f t="shared" si="2"/>
        <v>-----------------------</v>
      </c>
    </row>
    <row r="24" spans="1:26" s="241" customFormat="1" ht="69.75">
      <c r="A24" s="305"/>
      <c r="B24" s="306" t="s">
        <v>1677</v>
      </c>
      <c r="C24" s="306" t="s">
        <v>1677</v>
      </c>
      <c r="D24" s="235" t="str">
        <f t="shared" si="0"/>
        <v xml:space="preserve"> OK</v>
      </c>
      <c r="E24" s="254" t="s">
        <v>1702</v>
      </c>
      <c r="F24" s="254" t="s">
        <v>584</v>
      </c>
      <c r="G24" s="298">
        <f>ROUND([3]Data!K138,2)</f>
        <v>132.30000000000001</v>
      </c>
      <c r="H24" s="298" t="s">
        <v>1679</v>
      </c>
      <c r="I24" s="300"/>
      <c r="J24" s="300"/>
      <c r="K24" s="270"/>
      <c r="L24" s="301"/>
      <c r="M24" s="270"/>
      <c r="N24" s="270"/>
      <c r="O24" s="270"/>
      <c r="P24" s="270"/>
      <c r="Q24" s="270"/>
      <c r="R24" s="270"/>
      <c r="S24" s="270"/>
      <c r="T24" s="301"/>
      <c r="U24" s="270"/>
      <c r="V24" s="240"/>
      <c r="W24" s="238">
        <f t="shared" si="3"/>
        <v>0</v>
      </c>
      <c r="Y24" s="223" t="str">
        <f>'[4]Development - i'!E23</f>
        <v>a. 0 to 2 mt.Earth work excavation for Open foundation  for drains (excluding refilling) width  upto 1.25 m</v>
      </c>
      <c r="Z24" s="223" t="str">
        <f t="shared" si="2"/>
        <v>-----------------------</v>
      </c>
    </row>
    <row r="25" spans="1:26" s="241" customFormat="1" ht="69.75">
      <c r="A25" s="309"/>
      <c r="B25" s="310" t="s">
        <v>1680</v>
      </c>
      <c r="C25" s="310" t="s">
        <v>1680</v>
      </c>
      <c r="D25" s="235" t="str">
        <f t="shared" si="0"/>
        <v xml:space="preserve"> OK</v>
      </c>
      <c r="E25" s="254" t="s">
        <v>1703</v>
      </c>
      <c r="F25" s="254" t="s">
        <v>587</v>
      </c>
      <c r="G25" s="298">
        <f>ROUND([3]Data!K139,2)</f>
        <v>140.4</v>
      </c>
      <c r="H25" s="298" t="s">
        <v>1679</v>
      </c>
      <c r="I25" s="300"/>
      <c r="J25" s="300"/>
      <c r="K25" s="270"/>
      <c r="L25" s="301"/>
      <c r="M25" s="270"/>
      <c r="N25" s="270"/>
      <c r="O25" s="270"/>
      <c r="P25" s="270"/>
      <c r="Q25" s="270"/>
      <c r="R25" s="270"/>
      <c r="S25" s="270"/>
      <c r="T25" s="301"/>
      <c r="U25" s="270"/>
      <c r="V25" s="240"/>
      <c r="W25" s="238">
        <f t="shared" si="3"/>
        <v>0</v>
      </c>
      <c r="Y25" s="223" t="str">
        <f>'[4]Development - i'!E24</f>
        <v>b. 2 to 3 mt.Earth work excavation for Open foundation  for drains (excluding refilling) width  upto 1.25 m</v>
      </c>
      <c r="Z25" s="223" t="str">
        <f t="shared" si="2"/>
        <v>-----------------------</v>
      </c>
    </row>
    <row r="26" spans="1:26" s="241" customFormat="1" ht="152.25">
      <c r="A26" s="305">
        <v>1.7</v>
      </c>
      <c r="B26" s="306" t="s">
        <v>1704</v>
      </c>
      <c r="C26" s="306" t="s">
        <v>47</v>
      </c>
      <c r="D26" s="235" t="str">
        <f t="shared" si="0"/>
        <v xml:space="preserve"> OK</v>
      </c>
      <c r="E26" s="254" t="s">
        <v>1705</v>
      </c>
      <c r="F26" s="254" t="s">
        <v>594</v>
      </c>
      <c r="G26" s="298"/>
      <c r="H26" s="298" t="s">
        <v>30</v>
      </c>
      <c r="I26" s="300"/>
      <c r="J26" s="300"/>
      <c r="K26" s="270"/>
      <c r="L26" s="301"/>
      <c r="M26" s="270"/>
      <c r="N26" s="270"/>
      <c r="O26" s="270"/>
      <c r="P26" s="270"/>
      <c r="Q26" s="270"/>
      <c r="R26" s="270"/>
      <c r="S26" s="270"/>
      <c r="T26" s="301"/>
      <c r="U26" s="270"/>
      <c r="V26" s="240"/>
      <c r="W26" s="238">
        <f t="shared" si="3"/>
        <v>0</v>
      </c>
      <c r="Y26" s="223" t="str">
        <f>'[4]Development - i'!E25</f>
        <v>Earth work excavation in Soft disintegrated rock (Excluding refilling)</v>
      </c>
      <c r="Z26" s="223" t="str">
        <f t="shared" si="2"/>
        <v>ERRR</v>
      </c>
    </row>
    <row r="27" spans="1:26" s="241" customFormat="1" ht="69.75">
      <c r="A27" s="305"/>
      <c r="B27" s="306" t="s">
        <v>1677</v>
      </c>
      <c r="C27" s="306" t="s">
        <v>1677</v>
      </c>
      <c r="D27" s="235" t="str">
        <f t="shared" si="0"/>
        <v xml:space="preserve"> OK</v>
      </c>
      <c r="E27" s="254" t="s">
        <v>1706</v>
      </c>
      <c r="F27" s="254" t="s">
        <v>584</v>
      </c>
      <c r="G27" s="298">
        <f>ROUND([3]Data!K109,2)</f>
        <v>262.92</v>
      </c>
      <c r="H27" s="298" t="s">
        <v>1679</v>
      </c>
      <c r="I27" s="300"/>
      <c r="J27" s="300"/>
      <c r="K27" s="270"/>
      <c r="L27" s="301"/>
      <c r="M27" s="270"/>
      <c r="N27" s="270"/>
      <c r="O27" s="270"/>
      <c r="P27" s="270"/>
      <c r="Q27" s="270"/>
      <c r="R27" s="270"/>
      <c r="S27" s="270"/>
      <c r="T27" s="301"/>
      <c r="U27" s="270"/>
      <c r="V27" s="240"/>
      <c r="W27" s="238">
        <f t="shared" si="3"/>
        <v>0</v>
      </c>
      <c r="Y27" s="223" t="str">
        <f>'[4]Development - i'!E26</f>
        <v>a. 0 to 2 mt.Earth work excavation in Soft disintegrated rock (Excluding refilling)</v>
      </c>
      <c r="Z27" s="223" t="str">
        <f t="shared" si="2"/>
        <v>ERRR</v>
      </c>
    </row>
    <row r="28" spans="1:26" s="241" customFormat="1" ht="69.75">
      <c r="A28" s="305"/>
      <c r="B28" s="306" t="s">
        <v>1680</v>
      </c>
      <c r="C28" s="306" t="s">
        <v>1680</v>
      </c>
      <c r="D28" s="235" t="str">
        <f t="shared" si="0"/>
        <v xml:space="preserve"> OK</v>
      </c>
      <c r="E28" s="254" t="s">
        <v>1707</v>
      </c>
      <c r="F28" s="254" t="s">
        <v>587</v>
      </c>
      <c r="G28" s="298">
        <f>ROUND([3]Data!K110,2)</f>
        <v>271.02</v>
      </c>
      <c r="H28" s="298" t="s">
        <v>1679</v>
      </c>
      <c r="I28" s="300"/>
      <c r="J28" s="300"/>
      <c r="K28" s="270"/>
      <c r="L28" s="301"/>
      <c r="M28" s="270"/>
      <c r="N28" s="270"/>
      <c r="O28" s="270"/>
      <c r="P28" s="270"/>
      <c r="Q28" s="270"/>
      <c r="R28" s="270"/>
      <c r="S28" s="270"/>
      <c r="T28" s="301"/>
      <c r="U28" s="270"/>
      <c r="V28" s="240"/>
      <c r="W28" s="238">
        <f t="shared" si="3"/>
        <v>0</v>
      </c>
      <c r="Y28" s="223" t="str">
        <f>'[4]Development - i'!E27</f>
        <v>b. 2 to 3 mt.Earth work excavation in Soft disintegrated rock (Excluding refilling)</v>
      </c>
      <c r="Z28" s="223" t="str">
        <f t="shared" si="2"/>
        <v>ERRR</v>
      </c>
    </row>
    <row r="29" spans="1:26" s="241" customFormat="1" ht="130.5">
      <c r="A29" s="305">
        <v>1.8</v>
      </c>
      <c r="B29" s="306" t="s">
        <v>1708</v>
      </c>
      <c r="C29" s="306" t="s">
        <v>595</v>
      </c>
      <c r="D29" s="235" t="str">
        <f t="shared" si="0"/>
        <v xml:space="preserve"> OK</v>
      </c>
      <c r="E29" s="254" t="s">
        <v>1709</v>
      </c>
      <c r="F29" s="254" t="s">
        <v>596</v>
      </c>
      <c r="G29" s="298"/>
      <c r="H29" s="298" t="s">
        <v>30</v>
      </c>
      <c r="I29" s="300"/>
      <c r="J29" s="300"/>
      <c r="K29" s="270"/>
      <c r="L29" s="301"/>
      <c r="M29" s="270"/>
      <c r="N29" s="270"/>
      <c r="O29" s="270"/>
      <c r="P29" s="270"/>
      <c r="Q29" s="270"/>
      <c r="R29" s="270"/>
      <c r="S29" s="270"/>
      <c r="T29" s="301"/>
      <c r="U29" s="270"/>
      <c r="V29" s="240"/>
      <c r="W29" s="238">
        <f t="shared" si="3"/>
        <v>0</v>
      </c>
      <c r="Y29" s="223" t="str">
        <f>'[4]Development - i'!E28</f>
        <v>Earth work excavation in SDR for Open foundation  (excluding refilling)</v>
      </c>
      <c r="Z29" s="223" t="str">
        <f t="shared" si="2"/>
        <v>-----------------------</v>
      </c>
    </row>
    <row r="30" spans="1:26" s="243" customFormat="1" ht="46.5">
      <c r="A30" s="305"/>
      <c r="B30" s="306" t="s">
        <v>1677</v>
      </c>
      <c r="C30" s="306" t="s">
        <v>1677</v>
      </c>
      <c r="D30" s="235" t="str">
        <f t="shared" si="0"/>
        <v xml:space="preserve"> OK</v>
      </c>
      <c r="E30" s="254" t="s">
        <v>1710</v>
      </c>
      <c r="F30" s="254" t="s">
        <v>584</v>
      </c>
      <c r="G30" s="298">
        <f>ROUND([3]Data!K134,2)</f>
        <v>131.46</v>
      </c>
      <c r="H30" s="298" t="s">
        <v>1679</v>
      </c>
      <c r="I30" s="300"/>
      <c r="J30" s="300"/>
      <c r="K30" s="270"/>
      <c r="L30" s="301"/>
      <c r="M30" s="270"/>
      <c r="N30" s="270"/>
      <c r="O30" s="270"/>
      <c r="P30" s="270"/>
      <c r="Q30" s="270"/>
      <c r="R30" s="270"/>
      <c r="S30" s="270"/>
      <c r="T30" s="301"/>
      <c r="U30" s="270"/>
      <c r="V30" s="240"/>
      <c r="W30" s="238">
        <f t="shared" si="3"/>
        <v>0</v>
      </c>
      <c r="Y30" s="223" t="str">
        <f>'[4]Development - i'!E29</f>
        <v>a. 0 to 2 mt.Earth work excavation in SDR for Open foundation  (excluding refilling)</v>
      </c>
      <c r="Z30" s="223" t="str">
        <f t="shared" si="2"/>
        <v>-----------------------</v>
      </c>
    </row>
    <row r="31" spans="1:26" s="241" customFormat="1" ht="46.5">
      <c r="A31" s="305"/>
      <c r="B31" s="306" t="s">
        <v>1680</v>
      </c>
      <c r="C31" s="306" t="s">
        <v>1680</v>
      </c>
      <c r="D31" s="235" t="str">
        <f t="shared" si="0"/>
        <v xml:space="preserve"> OK</v>
      </c>
      <c r="E31" s="254" t="s">
        <v>1711</v>
      </c>
      <c r="F31" s="254" t="s">
        <v>587</v>
      </c>
      <c r="G31" s="298">
        <f>ROUND([3]Data!K135,2)</f>
        <v>139.56</v>
      </c>
      <c r="H31" s="298" t="s">
        <v>1679</v>
      </c>
      <c r="I31" s="300"/>
      <c r="J31" s="300"/>
      <c r="K31" s="270"/>
      <c r="L31" s="301"/>
      <c r="M31" s="270"/>
      <c r="N31" s="270"/>
      <c r="O31" s="270"/>
      <c r="P31" s="270"/>
      <c r="Q31" s="270"/>
      <c r="R31" s="270"/>
      <c r="S31" s="270"/>
      <c r="T31" s="301"/>
      <c r="U31" s="270"/>
      <c r="V31" s="240"/>
      <c r="W31" s="238">
        <f t="shared" si="3"/>
        <v>0</v>
      </c>
      <c r="Y31" s="223" t="str">
        <f>'[4]Development - i'!E30</f>
        <v>b. 2 to 3 mt.Earth work excavation in SDR for Open foundation  (excluding refilling)</v>
      </c>
      <c r="Z31" s="223" t="str">
        <f t="shared" si="2"/>
        <v>-----------------------</v>
      </c>
    </row>
    <row r="32" spans="1:26" s="241" customFormat="1" ht="108.75">
      <c r="A32" s="305"/>
      <c r="B32" s="306"/>
      <c r="C32" s="306"/>
      <c r="D32" s="235"/>
      <c r="E32" s="254" t="s">
        <v>597</v>
      </c>
      <c r="F32" s="254" t="s">
        <v>598</v>
      </c>
      <c r="G32" s="298"/>
      <c r="H32" s="298"/>
      <c r="I32" s="300"/>
      <c r="J32" s="300"/>
      <c r="K32" s="270"/>
      <c r="L32" s="301"/>
      <c r="M32" s="270"/>
      <c r="N32" s="270"/>
      <c r="O32" s="270"/>
      <c r="P32" s="270"/>
      <c r="Q32" s="270"/>
      <c r="R32" s="270"/>
      <c r="S32" s="270"/>
      <c r="T32" s="301"/>
      <c r="U32" s="270"/>
      <c r="V32" s="240"/>
      <c r="W32" s="238"/>
      <c r="Y32" s="223" t="str">
        <f>'[4]Development - i'!E31</f>
        <v>Earth work excavation and depositing on bank withinitiallead of 10m and lift of 2.00m in narrow trenches for laying of pipes for water supply and sewerage works in the following types of soil strata as directed by departmental officers</v>
      </c>
      <c r="Z32" s="223" t="str">
        <f t="shared" si="2"/>
        <v>ERRR</v>
      </c>
    </row>
    <row r="33" spans="1:26" s="241" customFormat="1" ht="43.5">
      <c r="A33" s="305"/>
      <c r="B33" s="306"/>
      <c r="C33" s="306"/>
      <c r="D33" s="235"/>
      <c r="E33" s="254" t="s">
        <v>599</v>
      </c>
      <c r="F33" s="254" t="s">
        <v>600</v>
      </c>
      <c r="G33" s="298"/>
      <c r="H33" s="298"/>
      <c r="I33" s="300"/>
      <c r="J33" s="300"/>
      <c r="K33" s="270"/>
      <c r="L33" s="301"/>
      <c r="M33" s="270"/>
      <c r="N33" s="270"/>
      <c r="O33" s="270"/>
      <c r="P33" s="270"/>
      <c r="Q33" s="270"/>
      <c r="R33" s="270"/>
      <c r="S33" s="270"/>
      <c r="T33" s="301"/>
      <c r="U33" s="270"/>
      <c r="V33" s="240"/>
      <c r="W33" s="238"/>
      <c r="Y33" s="223" t="str">
        <f>'[4]Development - i'!E32</f>
        <v>In Medium rock and dense medium rock not requiringblasting.</v>
      </c>
      <c r="Z33" s="223" t="str">
        <f t="shared" si="2"/>
        <v>ERRR</v>
      </c>
    </row>
    <row r="34" spans="1:26" s="241" customFormat="1" ht="46.5">
      <c r="A34" s="305"/>
      <c r="B34" s="306"/>
      <c r="C34" s="306"/>
      <c r="D34" s="235"/>
      <c r="E34" s="254" t="s">
        <v>1712</v>
      </c>
      <c r="F34" s="254" t="s">
        <v>584</v>
      </c>
      <c r="G34" s="298">
        <v>439.6</v>
      </c>
      <c r="H34" s="298" t="s">
        <v>1679</v>
      </c>
      <c r="I34" s="300"/>
      <c r="J34" s="300"/>
      <c r="K34" s="270"/>
      <c r="L34" s="301"/>
      <c r="M34" s="270"/>
      <c r="N34" s="270"/>
      <c r="O34" s="270"/>
      <c r="P34" s="270"/>
      <c r="Q34" s="270"/>
      <c r="R34" s="270"/>
      <c r="S34" s="270"/>
      <c r="T34" s="301"/>
      <c r="U34" s="270"/>
      <c r="V34" s="240"/>
      <c r="W34" s="238"/>
      <c r="Y34" s="223" t="str">
        <f>'[4]Development - i'!E33</f>
        <v>a. 0 to 2 mt.In Medium rock and dense medium rock not requiring blasting.</v>
      </c>
      <c r="Z34" s="223" t="str">
        <f t="shared" si="2"/>
        <v>-----------------------</v>
      </c>
    </row>
    <row r="35" spans="1:26" s="241" customFormat="1" ht="46.5">
      <c r="A35" s="305"/>
      <c r="B35" s="306"/>
      <c r="C35" s="306"/>
      <c r="D35" s="235"/>
      <c r="E35" s="254" t="s">
        <v>1713</v>
      </c>
      <c r="F35" s="254" t="s">
        <v>587</v>
      </c>
      <c r="G35" s="298">
        <f ca="1">G35+8.1</f>
        <v>12581.500000000347</v>
      </c>
      <c r="H35" s="298" t="s">
        <v>1679</v>
      </c>
      <c r="I35" s="300"/>
      <c r="J35" s="300"/>
      <c r="K35" s="270"/>
      <c r="L35" s="301"/>
      <c r="M35" s="270"/>
      <c r="N35" s="270"/>
      <c r="O35" s="270"/>
      <c r="P35" s="270"/>
      <c r="Q35" s="270"/>
      <c r="R35" s="270"/>
      <c r="S35" s="270"/>
      <c r="T35" s="301"/>
      <c r="U35" s="270"/>
      <c r="V35" s="240"/>
      <c r="W35" s="238"/>
      <c r="Y35" s="223" t="str">
        <f>'[4]Development - i'!E34</f>
        <v>b. 2 to 3 mt. In Medium rock and dense medium rock not requiring blasting.</v>
      </c>
      <c r="Z35" s="223" t="str">
        <f t="shared" si="2"/>
        <v>-----------------------</v>
      </c>
    </row>
    <row r="36" spans="1:26" s="241" customFormat="1" ht="46.5">
      <c r="A36" s="305"/>
      <c r="B36" s="306"/>
      <c r="C36" s="306"/>
      <c r="D36" s="235"/>
      <c r="E36" s="254" t="s">
        <v>1714</v>
      </c>
      <c r="F36" s="254" t="s">
        <v>601</v>
      </c>
      <c r="G36" s="298">
        <f ca="1">G36+8.1</f>
        <v>12589.600000000348</v>
      </c>
      <c r="H36" s="298" t="s">
        <v>1679</v>
      </c>
      <c r="I36" s="300"/>
      <c r="J36" s="300"/>
      <c r="K36" s="270"/>
      <c r="L36" s="301"/>
      <c r="M36" s="270"/>
      <c r="N36" s="270"/>
      <c r="O36" s="270"/>
      <c r="P36" s="270"/>
      <c r="Q36" s="270"/>
      <c r="R36" s="270"/>
      <c r="S36" s="270"/>
      <c r="T36" s="301"/>
      <c r="U36" s="270"/>
      <c r="V36" s="240"/>
      <c r="W36" s="238"/>
      <c r="Y36" s="223" t="str">
        <f>'[4]Development - i'!E35</f>
        <v>c. 3 to 4 mt. In Medium rock and dense medium rock not requiring blasting.</v>
      </c>
      <c r="Z36" s="223" t="str">
        <f t="shared" si="2"/>
        <v>-----------------------</v>
      </c>
    </row>
    <row r="37" spans="1:26" s="241" customFormat="1">
      <c r="A37" s="305">
        <v>1.9</v>
      </c>
      <c r="B37" s="306" t="s">
        <v>602</v>
      </c>
      <c r="C37" s="306" t="s">
        <v>602</v>
      </c>
      <c r="D37" s="235" t="str">
        <f t="shared" si="0"/>
        <v xml:space="preserve"> OK</v>
      </c>
      <c r="E37" s="254" t="s">
        <v>602</v>
      </c>
      <c r="F37" s="254">
        <v>0</v>
      </c>
      <c r="G37" s="298"/>
      <c r="H37" s="298"/>
      <c r="I37" s="300"/>
      <c r="J37" s="300"/>
      <c r="K37" s="270"/>
      <c r="L37" s="301"/>
      <c r="M37" s="270"/>
      <c r="N37" s="270"/>
      <c r="O37" s="270"/>
      <c r="P37" s="270"/>
      <c r="Q37" s="270"/>
      <c r="R37" s="270"/>
      <c r="S37" s="270"/>
      <c r="T37" s="301"/>
      <c r="U37" s="270"/>
      <c r="V37" s="240"/>
      <c r="W37" s="238">
        <f t="shared" ref="W37:W50" si="4">ROUND(G38,2)*ROUND(V37,2)</f>
        <v>0</v>
      </c>
      <c r="Y37" s="223" t="str">
        <f>'[4]Development - i'!E36</f>
        <v>Providing Driven PILES</v>
      </c>
      <c r="Z37" s="223" t="str">
        <f t="shared" si="2"/>
        <v>-----------------------</v>
      </c>
    </row>
    <row r="38" spans="1:26" s="241" customFormat="1">
      <c r="A38" s="305"/>
      <c r="B38" s="306" t="s">
        <v>603</v>
      </c>
      <c r="C38" s="306" t="s">
        <v>603</v>
      </c>
      <c r="D38" s="235" t="str">
        <f t="shared" si="0"/>
        <v xml:space="preserve"> OK</v>
      </c>
      <c r="E38" s="254" t="s">
        <v>603</v>
      </c>
      <c r="F38" s="254">
        <v>0</v>
      </c>
      <c r="G38" s="298"/>
      <c r="H38" s="298" t="s">
        <v>12</v>
      </c>
      <c r="I38" s="300"/>
      <c r="J38" s="300"/>
      <c r="K38" s="270"/>
      <c r="L38" s="301"/>
      <c r="M38" s="270"/>
      <c r="N38" s="270"/>
      <c r="O38" s="270"/>
      <c r="P38" s="270"/>
      <c r="Q38" s="270"/>
      <c r="R38" s="270"/>
      <c r="S38" s="270"/>
      <c r="T38" s="301"/>
      <c r="U38" s="270"/>
      <c r="V38" s="240"/>
      <c r="W38" s="238">
        <f t="shared" si="4"/>
        <v>0</v>
      </c>
      <c r="Y38" s="223" t="str">
        <f>'[4]Development - i'!E37</f>
        <v>a.300mm dia</v>
      </c>
      <c r="Z38" s="223" t="str">
        <f t="shared" si="2"/>
        <v>-----------------------</v>
      </c>
    </row>
    <row r="39" spans="1:26" s="241" customFormat="1">
      <c r="A39" s="305"/>
      <c r="B39" s="306" t="s">
        <v>604</v>
      </c>
      <c r="C39" s="306" t="s">
        <v>604</v>
      </c>
      <c r="D39" s="235" t="str">
        <f t="shared" si="0"/>
        <v xml:space="preserve"> OK</v>
      </c>
      <c r="E39" s="254" t="s">
        <v>604</v>
      </c>
      <c r="F39" s="254">
        <v>0</v>
      </c>
      <c r="G39" s="298"/>
      <c r="H39" s="298" t="s">
        <v>12</v>
      </c>
      <c r="I39" s="300"/>
      <c r="J39" s="300"/>
      <c r="K39" s="270"/>
      <c r="L39" s="301"/>
      <c r="M39" s="270"/>
      <c r="N39" s="270"/>
      <c r="O39" s="270"/>
      <c r="P39" s="270"/>
      <c r="Q39" s="270"/>
      <c r="R39" s="270"/>
      <c r="S39" s="270"/>
      <c r="T39" s="301"/>
      <c r="U39" s="270"/>
      <c r="V39" s="240"/>
      <c r="W39" s="238">
        <f t="shared" si="4"/>
        <v>0</v>
      </c>
      <c r="Y39" s="223" t="str">
        <f>'[4]Development - i'!E38</f>
        <v>b.330mm dia</v>
      </c>
      <c r="Z39" s="223" t="str">
        <f t="shared" si="2"/>
        <v>-----------------------</v>
      </c>
    </row>
    <row r="40" spans="1:26" s="241" customFormat="1">
      <c r="A40" s="305"/>
      <c r="B40" s="306" t="s">
        <v>605</v>
      </c>
      <c r="C40" s="306" t="s">
        <v>605</v>
      </c>
      <c r="D40" s="235" t="str">
        <f t="shared" si="0"/>
        <v xml:space="preserve"> OK</v>
      </c>
      <c r="E40" s="254" t="s">
        <v>605</v>
      </c>
      <c r="F40" s="254">
        <v>0</v>
      </c>
      <c r="G40" s="298"/>
      <c r="H40" s="298" t="s">
        <v>12</v>
      </c>
      <c r="I40" s="300"/>
      <c r="J40" s="300"/>
      <c r="K40" s="270"/>
      <c r="L40" s="301"/>
      <c r="M40" s="270"/>
      <c r="N40" s="270"/>
      <c r="O40" s="270"/>
      <c r="P40" s="270"/>
      <c r="Q40" s="270"/>
      <c r="R40" s="270"/>
      <c r="S40" s="270"/>
      <c r="T40" s="301"/>
      <c r="U40" s="270"/>
      <c r="V40" s="240"/>
      <c r="W40" s="238">
        <f t="shared" si="4"/>
        <v>0</v>
      </c>
      <c r="Y40" s="223" t="str">
        <f>'[4]Development - i'!E39</f>
        <v>c.375mm dia</v>
      </c>
      <c r="Z40" s="223" t="str">
        <f t="shared" si="2"/>
        <v>-----------------------</v>
      </c>
    </row>
    <row r="41" spans="1:26" s="241" customFormat="1">
      <c r="A41" s="305"/>
      <c r="B41" s="306" t="s">
        <v>606</v>
      </c>
      <c r="C41" s="306" t="s">
        <v>606</v>
      </c>
      <c r="D41" s="235" t="str">
        <f t="shared" si="0"/>
        <v xml:space="preserve"> OK</v>
      </c>
      <c r="E41" s="254" t="s">
        <v>606</v>
      </c>
      <c r="F41" s="254">
        <v>0</v>
      </c>
      <c r="G41" s="298"/>
      <c r="H41" s="298" t="s">
        <v>12</v>
      </c>
      <c r="I41" s="300"/>
      <c r="J41" s="300"/>
      <c r="K41" s="270"/>
      <c r="L41" s="301"/>
      <c r="M41" s="270"/>
      <c r="N41" s="270"/>
      <c r="O41" s="270"/>
      <c r="P41" s="270"/>
      <c r="Q41" s="270"/>
      <c r="R41" s="270"/>
      <c r="S41" s="270"/>
      <c r="T41" s="301"/>
      <c r="U41" s="270"/>
      <c r="V41" s="240"/>
      <c r="W41" s="238">
        <f t="shared" si="4"/>
        <v>0</v>
      </c>
      <c r="Y41" s="223" t="str">
        <f>'[4]Development - i'!E40</f>
        <v>d.400mm dia</v>
      </c>
      <c r="Z41" s="223" t="str">
        <f t="shared" si="2"/>
        <v>-----------------------</v>
      </c>
    </row>
    <row r="42" spans="1:26" s="241" customFormat="1">
      <c r="A42" s="305"/>
      <c r="B42" s="306" t="s">
        <v>607</v>
      </c>
      <c r="C42" s="306" t="s">
        <v>607</v>
      </c>
      <c r="D42" s="235" t="str">
        <f t="shared" si="0"/>
        <v xml:space="preserve"> OK</v>
      </c>
      <c r="E42" s="254" t="s">
        <v>607</v>
      </c>
      <c r="F42" s="254">
        <v>0</v>
      </c>
      <c r="G42" s="298"/>
      <c r="H42" s="298" t="s">
        <v>12</v>
      </c>
      <c r="I42" s="300"/>
      <c r="J42" s="300"/>
      <c r="K42" s="270"/>
      <c r="L42" s="301"/>
      <c r="M42" s="270"/>
      <c r="N42" s="270"/>
      <c r="O42" s="270"/>
      <c r="P42" s="270"/>
      <c r="Q42" s="270"/>
      <c r="R42" s="270"/>
      <c r="S42" s="270"/>
      <c r="T42" s="301"/>
      <c r="U42" s="270"/>
      <c r="V42" s="240"/>
      <c r="W42" s="238">
        <f t="shared" si="4"/>
        <v>0</v>
      </c>
      <c r="Y42" s="223" t="str">
        <f>'[4]Development - i'!E41</f>
        <v>e.450mm dia</v>
      </c>
      <c r="Z42" s="223" t="str">
        <f t="shared" si="2"/>
        <v>-----------------------</v>
      </c>
    </row>
    <row r="43" spans="1:26" s="241" customFormat="1">
      <c r="A43" s="311"/>
      <c r="B43" s="306" t="s">
        <v>608</v>
      </c>
      <c r="C43" s="306" t="s">
        <v>608</v>
      </c>
      <c r="D43" s="235" t="str">
        <f t="shared" si="0"/>
        <v xml:space="preserve"> OK</v>
      </c>
      <c r="E43" s="254" t="s">
        <v>608</v>
      </c>
      <c r="F43" s="254">
        <v>0</v>
      </c>
      <c r="G43" s="298"/>
      <c r="H43" s="298" t="s">
        <v>12</v>
      </c>
      <c r="I43" s="300"/>
      <c r="J43" s="300"/>
      <c r="K43" s="270"/>
      <c r="L43" s="301"/>
      <c r="M43" s="270"/>
      <c r="N43" s="270"/>
      <c r="O43" s="270"/>
      <c r="P43" s="270"/>
      <c r="Q43" s="270"/>
      <c r="R43" s="270"/>
      <c r="S43" s="270"/>
      <c r="T43" s="301"/>
      <c r="U43" s="270"/>
      <c r="V43" s="242"/>
      <c r="W43" s="238">
        <f t="shared" si="4"/>
        <v>0</v>
      </c>
      <c r="Y43" s="223" t="str">
        <f>'[4]Development - i'!E42</f>
        <v>f.500mm dia</v>
      </c>
      <c r="Z43" s="223" t="str">
        <f t="shared" si="2"/>
        <v>-----------------------</v>
      </c>
    </row>
    <row r="44" spans="1:26" s="244" customFormat="1" ht="65.25">
      <c r="A44" s="234">
        <v>2.1</v>
      </c>
      <c r="B44" s="289" t="s">
        <v>52</v>
      </c>
      <c r="C44" s="290" t="s">
        <v>52</v>
      </c>
      <c r="D44" s="235" t="str">
        <f t="shared" si="0"/>
        <v xml:space="preserve"> OK</v>
      </c>
      <c r="E44" s="254" t="s">
        <v>52</v>
      </c>
      <c r="F44" s="254" t="s">
        <v>146</v>
      </c>
      <c r="G44" s="298">
        <f>ROUND([3]Data!K149,2)</f>
        <v>1630.29</v>
      </c>
      <c r="H44" s="298" t="s">
        <v>1679</v>
      </c>
      <c r="I44" s="299"/>
      <c r="J44" s="300"/>
      <c r="K44" s="270"/>
      <c r="L44" s="301"/>
      <c r="M44" s="270"/>
      <c r="N44" s="270"/>
      <c r="O44" s="270"/>
      <c r="P44" s="270"/>
      <c r="Q44" s="270"/>
      <c r="R44" s="270"/>
      <c r="S44" s="270"/>
      <c r="T44" s="301"/>
      <c r="U44" s="302"/>
      <c r="V44" s="236">
        <f>'[3]Precast Compound wall '!H120</f>
        <v>9.6999999999999993</v>
      </c>
      <c r="W44" s="233">
        <f t="shared" si="4"/>
        <v>14159.284</v>
      </c>
      <c r="Y44" s="223" t="str">
        <f>'[4]Development - i'!E43</f>
        <v>Filling sand</v>
      </c>
      <c r="Z44" s="223" t="str">
        <f t="shared" si="2"/>
        <v>-----------------------</v>
      </c>
    </row>
    <row r="45" spans="1:26" s="241" customFormat="1" ht="174">
      <c r="A45" s="309">
        <v>2.2000000000000002</v>
      </c>
      <c r="B45" s="310" t="s">
        <v>609</v>
      </c>
      <c r="C45" s="310" t="s">
        <v>609</v>
      </c>
      <c r="D45" s="235" t="str">
        <f t="shared" si="0"/>
        <v xml:space="preserve"> OK</v>
      </c>
      <c r="E45" s="254" t="s">
        <v>609</v>
      </c>
      <c r="F45" s="254" t="s">
        <v>610</v>
      </c>
      <c r="G45" s="298">
        <f>ROUND([3]Data!K166,2)</f>
        <v>1459.72</v>
      </c>
      <c r="H45" s="298" t="s">
        <v>1679</v>
      </c>
      <c r="I45" s="300"/>
      <c r="J45" s="300"/>
      <c r="K45" s="270"/>
      <c r="L45" s="301"/>
      <c r="M45" s="270"/>
      <c r="N45" s="270"/>
      <c r="O45" s="270"/>
      <c r="P45" s="270"/>
      <c r="Q45" s="270"/>
      <c r="R45" s="270"/>
      <c r="S45" s="270"/>
      <c r="T45" s="301"/>
      <c r="U45" s="270"/>
      <c r="V45" s="237"/>
      <c r="W45" s="238">
        <f t="shared" si="4"/>
        <v>0</v>
      </c>
      <c r="Y45" s="223" t="str">
        <f>'[4]Development - i'!E44</f>
        <v>Sand Gravel Mix</v>
      </c>
      <c r="Z45" s="223" t="str">
        <f t="shared" si="2"/>
        <v>-----------------------</v>
      </c>
    </row>
    <row r="46" spans="1:26" s="239" customFormat="1" ht="65.25">
      <c r="A46" s="307">
        <v>2.2999999999999998</v>
      </c>
      <c r="B46" s="308" t="s">
        <v>53</v>
      </c>
      <c r="C46" s="308" t="s">
        <v>53</v>
      </c>
      <c r="D46" s="235" t="str">
        <f t="shared" si="0"/>
        <v xml:space="preserve"> OK</v>
      </c>
      <c r="E46" s="254" t="s">
        <v>53</v>
      </c>
      <c r="F46" s="254" t="s">
        <v>611</v>
      </c>
      <c r="G46" s="298">
        <f>ROUND([3]Data!C170,2)</f>
        <v>774.17</v>
      </c>
      <c r="H46" s="298" t="s">
        <v>1679</v>
      </c>
      <c r="I46" s="300"/>
      <c r="J46" s="300"/>
      <c r="K46" s="270"/>
      <c r="L46" s="301"/>
      <c r="M46" s="270"/>
      <c r="N46" s="270"/>
      <c r="O46" s="270"/>
      <c r="P46" s="270"/>
      <c r="Q46" s="270"/>
      <c r="R46" s="270"/>
      <c r="S46" s="270"/>
      <c r="T46" s="301"/>
      <c r="U46" s="270"/>
      <c r="V46" s="240"/>
      <c r="W46" s="238">
        <f t="shared" si="4"/>
        <v>0</v>
      </c>
      <c r="Y46" s="223" t="str">
        <f>'[4]Development - i'!E45</f>
        <v>Supply and filling of 40 mm Brick jelly</v>
      </c>
      <c r="Z46" s="223" t="str">
        <f t="shared" si="2"/>
        <v>-----------------------</v>
      </c>
    </row>
    <row r="47" spans="1:26" s="239" customFormat="1" ht="65.25">
      <c r="A47" s="307">
        <v>2.4</v>
      </c>
      <c r="B47" s="308" t="s">
        <v>55</v>
      </c>
      <c r="C47" s="308" t="s">
        <v>55</v>
      </c>
      <c r="D47" s="235" t="str">
        <f t="shared" si="0"/>
        <v xml:space="preserve"> OK</v>
      </c>
      <c r="E47" s="254" t="s">
        <v>55</v>
      </c>
      <c r="F47" s="254" t="s">
        <v>612</v>
      </c>
      <c r="G47" s="298">
        <f>ROUND([3]Data!C171,2)</f>
        <v>851.17</v>
      </c>
      <c r="H47" s="298" t="s">
        <v>1679</v>
      </c>
      <c r="I47" s="300"/>
      <c r="J47" s="300"/>
      <c r="K47" s="270"/>
      <c r="L47" s="301"/>
      <c r="M47" s="270"/>
      <c r="N47" s="270"/>
      <c r="O47" s="270"/>
      <c r="P47" s="270"/>
      <c r="Q47" s="270"/>
      <c r="R47" s="270"/>
      <c r="S47" s="270"/>
      <c r="T47" s="301"/>
      <c r="U47" s="270"/>
      <c r="V47" s="240"/>
      <c r="W47" s="238">
        <f t="shared" si="4"/>
        <v>0</v>
      </c>
      <c r="Y47" s="223" t="str">
        <f>'[4]Development - i'!E46</f>
        <v>Supply and filling of 20 mm Brick jelly</v>
      </c>
      <c r="Z47" s="223" t="str">
        <f t="shared" si="2"/>
        <v>-----------------------</v>
      </c>
    </row>
    <row r="48" spans="1:26" s="241" customFormat="1" ht="130.5">
      <c r="A48" s="305">
        <v>2.5</v>
      </c>
      <c r="B48" s="306" t="s">
        <v>613</v>
      </c>
      <c r="C48" s="306" t="s">
        <v>613</v>
      </c>
      <c r="D48" s="235" t="str">
        <f t="shared" si="0"/>
        <v xml:space="preserve"> OK</v>
      </c>
      <c r="E48" s="254" t="s">
        <v>613</v>
      </c>
      <c r="F48" s="254" t="s">
        <v>614</v>
      </c>
      <c r="G48" s="298">
        <f>ROUND([3]Data!K194,2)</f>
        <v>332.65</v>
      </c>
      <c r="H48" s="298" t="s">
        <v>1679</v>
      </c>
      <c r="I48" s="300"/>
      <c r="J48" s="300"/>
      <c r="K48" s="270"/>
      <c r="L48" s="301"/>
      <c r="M48" s="270"/>
      <c r="N48" s="270"/>
      <c r="O48" s="270"/>
      <c r="P48" s="270"/>
      <c r="Q48" s="270"/>
      <c r="R48" s="270"/>
      <c r="S48" s="270"/>
      <c r="T48" s="301"/>
      <c r="U48" s="270"/>
      <c r="V48" s="240"/>
      <c r="W48" s="238">
        <f t="shared" si="4"/>
        <v>0</v>
      </c>
      <c r="Y48" s="223" t="str">
        <f>'[4]Development - i'!E47</f>
        <v>Gravel soling</v>
      </c>
      <c r="Z48" s="223" t="str">
        <f t="shared" si="2"/>
        <v>-----------------------</v>
      </c>
    </row>
    <row r="49" spans="1:26" s="241" customFormat="1" ht="65.25">
      <c r="A49" s="305">
        <v>2.6</v>
      </c>
      <c r="B49" s="306" t="s">
        <v>615</v>
      </c>
      <c r="C49" s="306" t="s">
        <v>615</v>
      </c>
      <c r="D49" s="235" t="str">
        <f t="shared" si="0"/>
        <v xml:space="preserve"> OK</v>
      </c>
      <c r="E49" s="254" t="s">
        <v>615</v>
      </c>
      <c r="F49" s="254" t="s">
        <v>616</v>
      </c>
      <c r="G49" s="298">
        <f>ROUND([3]Data!K176,2)</f>
        <v>1097.17</v>
      </c>
      <c r="H49" s="298" t="s">
        <v>1679</v>
      </c>
      <c r="I49" s="300"/>
      <c r="J49" s="300"/>
      <c r="K49" s="270"/>
      <c r="L49" s="301"/>
      <c r="M49" s="270"/>
      <c r="N49" s="270"/>
      <c r="O49" s="270"/>
      <c r="P49" s="270"/>
      <c r="Q49" s="270"/>
      <c r="R49" s="270"/>
      <c r="S49" s="270"/>
      <c r="T49" s="301"/>
      <c r="U49" s="270"/>
      <c r="V49" s="240"/>
      <c r="W49" s="238">
        <f t="shared" si="4"/>
        <v>0</v>
      </c>
      <c r="Y49" s="223" t="str">
        <f>'[4]Development - i'!E48</f>
        <v>Supply and filling of 40 mm HBSJ</v>
      </c>
      <c r="Z49" s="223" t="str">
        <f t="shared" si="2"/>
        <v>-----------------------</v>
      </c>
    </row>
    <row r="50" spans="1:26" s="241" customFormat="1" ht="65.25">
      <c r="A50" s="311">
        <v>2.7</v>
      </c>
      <c r="B50" s="306" t="s">
        <v>617</v>
      </c>
      <c r="C50" s="306" t="s">
        <v>617</v>
      </c>
      <c r="D50" s="235" t="str">
        <f t="shared" si="0"/>
        <v xml:space="preserve"> OK</v>
      </c>
      <c r="E50" s="254" t="s">
        <v>617</v>
      </c>
      <c r="F50" s="254" t="s">
        <v>618</v>
      </c>
      <c r="G50" s="298">
        <f>ROUND([3]Data!K184,2)</f>
        <v>1491.17</v>
      </c>
      <c r="H50" s="298" t="s">
        <v>1679</v>
      </c>
      <c r="I50" s="300"/>
      <c r="J50" s="300"/>
      <c r="K50" s="270"/>
      <c r="L50" s="301"/>
      <c r="M50" s="270"/>
      <c r="N50" s="270"/>
      <c r="O50" s="270"/>
      <c r="P50" s="270"/>
      <c r="Q50" s="270"/>
      <c r="R50" s="270"/>
      <c r="S50" s="270"/>
      <c r="T50" s="301"/>
      <c r="U50" s="270"/>
      <c r="V50" s="242"/>
      <c r="W50" s="238">
        <f t="shared" si="4"/>
        <v>0</v>
      </c>
      <c r="Y50" s="223" t="str">
        <f>'[4]Development - i'!E49</f>
        <v>Supply and filling of 20 mm HBSJ</v>
      </c>
      <c r="Z50" s="223" t="str">
        <f t="shared" si="2"/>
        <v>-----------------------</v>
      </c>
    </row>
    <row r="51" spans="1:26" s="244" customFormat="1" ht="108.75">
      <c r="A51" s="234">
        <v>3.1</v>
      </c>
      <c r="B51" s="313" t="s">
        <v>56</v>
      </c>
      <c r="C51" s="306" t="s">
        <v>56</v>
      </c>
      <c r="D51" s="235" t="str">
        <f t="shared" si="0"/>
        <v xml:space="preserve"> OK</v>
      </c>
      <c r="E51" s="254" t="s">
        <v>56</v>
      </c>
      <c r="F51" s="254" t="s">
        <v>147</v>
      </c>
      <c r="G51" s="298">
        <f>ROUND([3]Data!K209,2)</f>
        <v>4152.67</v>
      </c>
      <c r="H51" s="298" t="s">
        <v>1679</v>
      </c>
      <c r="I51" s="299"/>
      <c r="J51" s="300"/>
      <c r="K51" s="270"/>
      <c r="L51" s="301"/>
      <c r="M51" s="270"/>
      <c r="N51" s="270"/>
      <c r="O51" s="270"/>
      <c r="P51" s="270"/>
      <c r="Q51" s="270"/>
      <c r="R51" s="270"/>
      <c r="S51" s="270"/>
      <c r="T51" s="301"/>
      <c r="U51" s="302"/>
      <c r="V51" s="236"/>
      <c r="W51" s="233"/>
      <c r="Y51" s="223" t="str">
        <f>'[4]Development - i'!E50</f>
        <v>C.C.1:5:10 for Foundation &amp; Basement</v>
      </c>
      <c r="Z51" s="223" t="str">
        <f t="shared" si="2"/>
        <v>-----------------------</v>
      </c>
    </row>
    <row r="52" spans="1:26" ht="87">
      <c r="A52" s="234">
        <v>3.2</v>
      </c>
      <c r="B52" s="313" t="s">
        <v>157</v>
      </c>
      <c r="C52" s="306" t="s">
        <v>157</v>
      </c>
      <c r="D52" s="235" t="str">
        <f t="shared" si="0"/>
        <v xml:space="preserve"> OK</v>
      </c>
      <c r="E52" s="254" t="s">
        <v>157</v>
      </c>
      <c r="F52" s="254" t="s">
        <v>619</v>
      </c>
      <c r="G52" s="298">
        <f>ROUND([3]Data!K224,2)</f>
        <v>5634.79</v>
      </c>
      <c r="H52" s="298" t="s">
        <v>1679</v>
      </c>
      <c r="I52" s="299"/>
      <c r="J52" s="300"/>
      <c r="K52" s="270"/>
      <c r="L52" s="301"/>
      <c r="M52" s="270"/>
      <c r="N52" s="270"/>
      <c r="O52" s="270"/>
      <c r="P52" s="270"/>
      <c r="Q52" s="270"/>
      <c r="R52" s="270"/>
      <c r="S52" s="270"/>
      <c r="T52" s="301"/>
      <c r="U52" s="302"/>
      <c r="V52" s="236"/>
      <c r="W52" s="233"/>
      <c r="Y52" s="223" t="str">
        <f>'[4]Development - i'!E51</f>
        <v>P.C.C. 1:2:4 for Foundation &amp; Basement and other similar works</v>
      </c>
      <c r="Z52" s="223" t="str">
        <f t="shared" si="2"/>
        <v>-----------------------</v>
      </c>
    </row>
    <row r="53" spans="1:26" s="241" customFormat="1" ht="108.75">
      <c r="A53" s="309">
        <v>3.3</v>
      </c>
      <c r="B53" s="310" t="s">
        <v>620</v>
      </c>
      <c r="C53" s="310" t="s">
        <v>620</v>
      </c>
      <c r="D53" s="235" t="str">
        <f t="shared" si="0"/>
        <v xml:space="preserve"> OK</v>
      </c>
      <c r="E53" s="254" t="s">
        <v>620</v>
      </c>
      <c r="F53" s="254" t="s">
        <v>148</v>
      </c>
      <c r="G53" s="298">
        <f>ROUND([3]Data!K239,2)</f>
        <v>3649.39</v>
      </c>
      <c r="H53" s="298" t="s">
        <v>1679</v>
      </c>
      <c r="I53" s="300"/>
      <c r="J53" s="300"/>
      <c r="K53" s="270"/>
      <c r="L53" s="301"/>
      <c r="M53" s="270"/>
      <c r="N53" s="270"/>
      <c r="O53" s="270"/>
      <c r="P53" s="270"/>
      <c r="Q53" s="270"/>
      <c r="R53" s="270"/>
      <c r="S53" s="270"/>
      <c r="T53" s="301"/>
      <c r="U53" s="270"/>
      <c r="V53" s="240"/>
      <c r="W53" s="238">
        <f t="shared" ref="W53:W116" si="5">ROUND(G54,2)*ROUND(V53,2)</f>
        <v>0</v>
      </c>
      <c r="Y53" s="223" t="str">
        <f>'[4]Development - i'!E52</f>
        <v>P.C.C. 1:8:16 using 20 mm broken brick jelly</v>
      </c>
      <c r="Z53" s="223" t="str">
        <f t="shared" si="2"/>
        <v>-----------------------</v>
      </c>
    </row>
    <row r="54" spans="1:26" s="241" customFormat="1" ht="195.75">
      <c r="A54" s="305">
        <v>3.4</v>
      </c>
      <c r="B54" s="306" t="s">
        <v>621</v>
      </c>
      <c r="C54" s="306" t="s">
        <v>621</v>
      </c>
      <c r="D54" s="235" t="str">
        <f t="shared" si="0"/>
        <v xml:space="preserve"> OK</v>
      </c>
      <c r="E54" s="254" t="s">
        <v>621</v>
      </c>
      <c r="F54" s="254" t="s">
        <v>622</v>
      </c>
      <c r="G54" s="298"/>
      <c r="H54" s="298" t="s">
        <v>1715</v>
      </c>
      <c r="I54" s="300"/>
      <c r="J54" s="300"/>
      <c r="K54" s="270"/>
      <c r="L54" s="301"/>
      <c r="M54" s="270"/>
      <c r="N54" s="270"/>
      <c r="O54" s="270"/>
      <c r="P54" s="270"/>
      <c r="Q54" s="270"/>
      <c r="R54" s="270"/>
      <c r="S54" s="270"/>
      <c r="T54" s="301"/>
      <c r="U54" s="270"/>
      <c r="V54" s="240"/>
      <c r="W54" s="238">
        <f t="shared" si="5"/>
        <v>0</v>
      </c>
      <c r="Y54" s="223" t="str">
        <f>'[4]Development - i'!E53</f>
        <v>Providing  WBM 125  mm consolidated thick with gravel blindage</v>
      </c>
      <c r="Z54" s="223" t="str">
        <f t="shared" si="2"/>
        <v>-----------------------</v>
      </c>
    </row>
    <row r="55" spans="1:26" s="241" customFormat="1" ht="174">
      <c r="A55" s="305">
        <v>3.5</v>
      </c>
      <c r="B55" s="306" t="s">
        <v>623</v>
      </c>
      <c r="C55" s="306" t="s">
        <v>623</v>
      </c>
      <c r="D55" s="235" t="str">
        <f t="shared" si="0"/>
        <v xml:space="preserve"> OK</v>
      </c>
      <c r="E55" s="254" t="s">
        <v>623</v>
      </c>
      <c r="F55" s="254" t="s">
        <v>624</v>
      </c>
      <c r="G55" s="298"/>
      <c r="H55" s="298" t="s">
        <v>1715</v>
      </c>
      <c r="I55" s="300"/>
      <c r="J55" s="300"/>
      <c r="K55" s="270"/>
      <c r="L55" s="301"/>
      <c r="M55" s="270"/>
      <c r="N55" s="270"/>
      <c r="O55" s="270"/>
      <c r="P55" s="270"/>
      <c r="Q55" s="270"/>
      <c r="R55" s="270"/>
      <c r="S55" s="270"/>
      <c r="T55" s="301"/>
      <c r="U55" s="270"/>
      <c r="V55" s="240"/>
      <c r="W55" s="238">
        <f t="shared" si="5"/>
        <v>0</v>
      </c>
      <c r="Y55" s="223" t="str">
        <f>'[4]Development - i'!E54</f>
        <v>Surface dressing over WBM  25 mm thick</v>
      </c>
      <c r="Z55" s="223" t="str">
        <f t="shared" si="2"/>
        <v>-----------------------</v>
      </c>
    </row>
    <row r="56" spans="1:26" s="241" customFormat="1" ht="195.75">
      <c r="A56" s="305">
        <v>3.6</v>
      </c>
      <c r="B56" s="306" t="s">
        <v>625</v>
      </c>
      <c r="C56" s="306" t="s">
        <v>625</v>
      </c>
      <c r="D56" s="235" t="str">
        <f t="shared" si="0"/>
        <v xml:space="preserve"> OK</v>
      </c>
      <c r="E56" s="254" t="s">
        <v>625</v>
      </c>
      <c r="F56" s="254" t="s">
        <v>626</v>
      </c>
      <c r="G56" s="298">
        <f>ROUND([3]Data!K254,2)</f>
        <v>139.38999999999999</v>
      </c>
      <c r="H56" s="298" t="s">
        <v>1715</v>
      </c>
      <c r="I56" s="300"/>
      <c r="J56" s="300"/>
      <c r="K56" s="270"/>
      <c r="L56" s="301"/>
      <c r="M56" s="270"/>
      <c r="N56" s="270"/>
      <c r="O56" s="270"/>
      <c r="P56" s="270"/>
      <c r="Q56" s="270"/>
      <c r="R56" s="270"/>
      <c r="S56" s="270"/>
      <c r="T56" s="301"/>
      <c r="U56" s="270"/>
      <c r="V56" s="240"/>
      <c r="W56" s="238">
        <f t="shared" si="5"/>
        <v>0</v>
      </c>
      <c r="Y56" s="223" t="str">
        <f>'[4]Development - i'!E55</f>
        <v>Providing  WBM 125  mm consolidated thick with gravel blindage(IRC 63 to 45mm for 75mm thick and 37.5 to 26.5mm for 50.mm thick)</v>
      </c>
      <c r="Z56" s="223" t="str">
        <f t="shared" si="2"/>
        <v>ERRR</v>
      </c>
    </row>
    <row r="57" spans="1:26" s="241" customFormat="1" ht="195.75">
      <c r="A57" s="305">
        <v>3.7</v>
      </c>
      <c r="B57" s="306" t="s">
        <v>627</v>
      </c>
      <c r="C57" s="306" t="s">
        <v>627</v>
      </c>
      <c r="D57" s="235" t="str">
        <f t="shared" si="0"/>
        <v xml:space="preserve"> OK</v>
      </c>
      <c r="E57" s="254" t="s">
        <v>627</v>
      </c>
      <c r="F57" s="254" t="s">
        <v>628</v>
      </c>
      <c r="G57" s="298">
        <f>ROUND([3]Data!K266,2)</f>
        <v>137.97999999999999</v>
      </c>
      <c r="H57" s="298" t="s">
        <v>1715</v>
      </c>
      <c r="I57" s="300"/>
      <c r="J57" s="300"/>
      <c r="K57" s="270"/>
      <c r="L57" s="301"/>
      <c r="M57" s="270"/>
      <c r="N57" s="270"/>
      <c r="O57" s="270"/>
      <c r="P57" s="270"/>
      <c r="Q57" s="270"/>
      <c r="R57" s="270"/>
      <c r="S57" s="270"/>
      <c r="T57" s="301"/>
      <c r="U57" s="270"/>
      <c r="V57" s="240"/>
      <c r="W57" s="238">
        <f t="shared" si="5"/>
        <v>0</v>
      </c>
      <c r="Y57" s="223" t="str">
        <f>'[4]Development - i'!E56</f>
        <v>Surface dressing over WBM  25 mm tk.with pre-coated chips using 11.2mm size IRC</v>
      </c>
      <c r="Z57" s="223" t="str">
        <f t="shared" si="2"/>
        <v>ERRR</v>
      </c>
    </row>
    <row r="58" spans="1:26" s="241" customFormat="1" ht="108.75">
      <c r="A58" s="305">
        <v>4.0999999999999996</v>
      </c>
      <c r="B58" s="314" t="s">
        <v>1716</v>
      </c>
      <c r="C58" s="314" t="s">
        <v>629</v>
      </c>
      <c r="D58" s="235" t="str">
        <f t="shared" si="0"/>
        <v xml:space="preserve"> OK</v>
      </c>
      <c r="E58" s="254" t="s">
        <v>1717</v>
      </c>
      <c r="F58" s="254" t="s">
        <v>630</v>
      </c>
      <c r="G58" s="298">
        <f>ROUND([3]Data!K290,2)</f>
        <v>6892.46</v>
      </c>
      <c r="H58" s="298" t="s">
        <v>1679</v>
      </c>
      <c r="I58" s="300"/>
      <c r="J58" s="300"/>
      <c r="K58" s="270"/>
      <c r="L58" s="301"/>
      <c r="M58" s="270"/>
      <c r="N58" s="270"/>
      <c r="O58" s="270"/>
      <c r="P58" s="270"/>
      <c r="Q58" s="270"/>
      <c r="R58" s="270"/>
      <c r="S58" s="270"/>
      <c r="T58" s="301"/>
      <c r="U58" s="270"/>
      <c r="V58" s="240"/>
      <c r="W58" s="238">
        <f t="shared" si="5"/>
        <v>0</v>
      </c>
      <c r="Y58" s="223" t="str">
        <f>'[4]Development - i'!E57</f>
        <v>R.C.C. 1:2:4 Foundation and Basement</v>
      </c>
      <c r="Z58" s="223" t="str">
        <f t="shared" si="2"/>
        <v>-----------------------</v>
      </c>
    </row>
    <row r="59" spans="1:26" s="241" customFormat="1" ht="152.25">
      <c r="A59" s="305">
        <v>4.2</v>
      </c>
      <c r="B59" s="314" t="s">
        <v>1718</v>
      </c>
      <c r="C59" s="314" t="s">
        <v>631</v>
      </c>
      <c r="D59" s="235" t="str">
        <f t="shared" si="0"/>
        <v xml:space="preserve"> OK</v>
      </c>
      <c r="E59" s="254" t="s">
        <v>1719</v>
      </c>
      <c r="F59" s="254" t="s">
        <v>632</v>
      </c>
      <c r="G59" s="298">
        <f>[3]Data!K835</f>
        <v>7517.12</v>
      </c>
      <c r="H59" s="298" t="s">
        <v>1679</v>
      </c>
      <c r="I59" s="300"/>
      <c r="J59" s="300"/>
      <c r="K59" s="270"/>
      <c r="L59" s="301"/>
      <c r="M59" s="270"/>
      <c r="N59" s="270"/>
      <c r="O59" s="270"/>
      <c r="P59" s="270"/>
      <c r="Q59" s="270"/>
      <c r="R59" s="270"/>
      <c r="S59" s="270"/>
      <c r="T59" s="301"/>
      <c r="U59" s="270"/>
      <c r="V59" s="240"/>
      <c r="W59" s="238">
        <f t="shared" si="5"/>
        <v>0</v>
      </c>
      <c r="Y59" s="223" t="str">
        <f>'[4]Development - i'!E58</f>
        <v>R.C.C. 1: 11/2: 3 Foundation and Basement</v>
      </c>
      <c r="Z59" s="223" t="str">
        <f t="shared" si="2"/>
        <v>-----------------------</v>
      </c>
    </row>
    <row r="60" spans="1:26" s="239" customFormat="1" ht="87">
      <c r="A60" s="307">
        <v>5</v>
      </c>
      <c r="B60" s="308" t="s">
        <v>633</v>
      </c>
      <c r="C60" s="308" t="s">
        <v>633</v>
      </c>
      <c r="D60" s="235" t="str">
        <f t="shared" si="0"/>
        <v xml:space="preserve"> OK</v>
      </c>
      <c r="E60" s="254" t="s">
        <v>633</v>
      </c>
      <c r="F60" s="254" t="s">
        <v>634</v>
      </c>
      <c r="G60" s="298">
        <f>ROUND([3]Data!K311,2)</f>
        <v>4438.3599999999997</v>
      </c>
      <c r="H60" s="298" t="s">
        <v>1679</v>
      </c>
      <c r="I60" s="300"/>
      <c r="J60" s="300"/>
      <c r="K60" s="270"/>
      <c r="L60" s="301"/>
      <c r="M60" s="270"/>
      <c r="N60" s="270"/>
      <c r="O60" s="270"/>
      <c r="P60" s="270"/>
      <c r="Q60" s="270"/>
      <c r="R60" s="270"/>
      <c r="S60" s="270"/>
      <c r="T60" s="301"/>
      <c r="U60" s="270"/>
      <c r="V60" s="240"/>
      <c r="W60" s="238">
        <f t="shared" si="5"/>
        <v>0</v>
      </c>
      <c r="Y60" s="223" t="str">
        <f>'[4]Development - i'!E59</f>
        <v>R.R. masonry in C.M. 1:5 Foundation and Basment</v>
      </c>
      <c r="Z60" s="223" t="str">
        <f t="shared" si="2"/>
        <v>-----------------------</v>
      </c>
    </row>
    <row r="61" spans="1:26" s="241" customFormat="1" ht="69.75">
      <c r="A61" s="305">
        <v>6.1</v>
      </c>
      <c r="B61" s="314" t="s">
        <v>1720</v>
      </c>
      <c r="C61" s="314" t="s">
        <v>635</v>
      </c>
      <c r="D61" s="235" t="str">
        <f t="shared" si="0"/>
        <v xml:space="preserve"> OK</v>
      </c>
      <c r="E61" s="254" t="s">
        <v>1721</v>
      </c>
      <c r="F61" s="254">
        <v>0</v>
      </c>
      <c r="G61" s="298">
        <f>[3]Data!X326</f>
        <v>6104.08</v>
      </c>
      <c r="H61" s="298" t="s">
        <v>1679</v>
      </c>
      <c r="I61" s="300"/>
      <c r="J61" s="300"/>
      <c r="K61" s="270"/>
      <c r="L61" s="301"/>
      <c r="M61" s="270"/>
      <c r="N61" s="270"/>
      <c r="O61" s="270"/>
      <c r="P61" s="270"/>
      <c r="Q61" s="270"/>
      <c r="R61" s="270"/>
      <c r="S61" s="270"/>
      <c r="T61" s="301"/>
      <c r="U61" s="270"/>
      <c r="V61" s="240"/>
      <c r="W61" s="238">
        <f t="shared" si="5"/>
        <v>0</v>
      </c>
      <c r="Y61" s="223" t="str">
        <f>'[4]Development - i'!E60</f>
        <v>Brick work in C.M. 1:5 (F&amp; B) using Chamber Burnt brick of size 23 x 11.2 x 7 cm (9" x 4 3/8" x 2 3/4")</v>
      </c>
      <c r="Z61" s="223" t="str">
        <f t="shared" si="2"/>
        <v>-----------------------</v>
      </c>
    </row>
    <row r="62" spans="1:26" s="241" customFormat="1" ht="108.75">
      <c r="A62" s="305">
        <v>6.2</v>
      </c>
      <c r="B62" s="314" t="s">
        <v>1722</v>
      </c>
      <c r="C62" s="314" t="s">
        <v>636</v>
      </c>
      <c r="D62" s="235" t="str">
        <f t="shared" si="0"/>
        <v xml:space="preserve"> OK</v>
      </c>
      <c r="E62" s="254" t="s">
        <v>1723</v>
      </c>
      <c r="F62" s="254" t="s">
        <v>637</v>
      </c>
      <c r="G62" s="298">
        <f>ROUND([3]Data!AG326,2)</f>
        <v>5788.96</v>
      </c>
      <c r="H62" s="298" t="s">
        <v>1679</v>
      </c>
      <c r="I62" s="300"/>
      <c r="J62" s="300"/>
      <c r="K62" s="270"/>
      <c r="L62" s="301"/>
      <c r="M62" s="270"/>
      <c r="N62" s="270"/>
      <c r="O62" s="270"/>
      <c r="P62" s="270"/>
      <c r="Q62" s="270"/>
      <c r="R62" s="270"/>
      <c r="S62" s="270"/>
      <c r="T62" s="301"/>
      <c r="U62" s="270"/>
      <c r="V62" s="240"/>
      <c r="W62" s="238">
        <f t="shared" si="5"/>
        <v>0</v>
      </c>
      <c r="Y62" s="223" t="str">
        <f>'[4]Development - i'!E61</f>
        <v>Brick work in C.M. 1:5 (F&amp; B) using chamber Burnt bricks of size 23 x 11.4 x 7.5 cm (9" x 4 1/2"x 3")</v>
      </c>
      <c r="Z62" s="223" t="str">
        <f t="shared" si="2"/>
        <v>-----------------------</v>
      </c>
    </row>
    <row r="63" spans="1:26" s="241" customFormat="1" ht="69.75">
      <c r="A63" s="305">
        <v>6.3</v>
      </c>
      <c r="B63" s="314" t="s">
        <v>1724</v>
      </c>
      <c r="C63" s="314" t="s">
        <v>638</v>
      </c>
      <c r="D63" s="235" t="str">
        <f t="shared" si="0"/>
        <v xml:space="preserve"> OK</v>
      </c>
      <c r="E63" s="254" t="s">
        <v>1725</v>
      </c>
      <c r="F63" s="254">
        <v>0</v>
      </c>
      <c r="G63" s="298"/>
      <c r="H63" s="298" t="s">
        <v>1679</v>
      </c>
      <c r="I63" s="300"/>
      <c r="J63" s="300"/>
      <c r="K63" s="270"/>
      <c r="L63" s="301"/>
      <c r="M63" s="270"/>
      <c r="N63" s="270"/>
      <c r="O63" s="270"/>
      <c r="P63" s="270"/>
      <c r="Q63" s="270"/>
      <c r="R63" s="270"/>
      <c r="S63" s="270"/>
      <c r="T63" s="301"/>
      <c r="U63" s="270"/>
      <c r="V63" s="240"/>
      <c r="W63" s="238">
        <f t="shared" si="5"/>
        <v>0</v>
      </c>
      <c r="Y63" s="223" t="str">
        <f>'[4]Development - i'!E62</f>
        <v>Brick work in C.M. 1:5 (F&amp; B) using Chamber Burnt brick of size 23 x 11 x 7 cm (9" x 4 1/4" x 2 3/4")</v>
      </c>
      <c r="Z63" s="223" t="str">
        <f t="shared" si="2"/>
        <v>-----------------------</v>
      </c>
    </row>
    <row r="64" spans="1:26" s="241" customFormat="1" ht="69.75">
      <c r="A64" s="311">
        <v>6.4</v>
      </c>
      <c r="B64" s="314" t="s">
        <v>1726</v>
      </c>
      <c r="C64" s="314" t="s">
        <v>639</v>
      </c>
      <c r="D64" s="235" t="str">
        <f t="shared" si="0"/>
        <v xml:space="preserve"> OK</v>
      </c>
      <c r="E64" s="254" t="s">
        <v>1727</v>
      </c>
      <c r="F64" s="254">
        <v>0</v>
      </c>
      <c r="G64" s="298"/>
      <c r="H64" s="298" t="s">
        <v>1679</v>
      </c>
      <c r="I64" s="300"/>
      <c r="J64" s="300"/>
      <c r="K64" s="270"/>
      <c r="L64" s="301"/>
      <c r="M64" s="270"/>
      <c r="N64" s="270"/>
      <c r="O64" s="270"/>
      <c r="P64" s="270"/>
      <c r="Q64" s="270"/>
      <c r="R64" s="270"/>
      <c r="S64" s="270"/>
      <c r="T64" s="301"/>
      <c r="U64" s="270"/>
      <c r="V64" s="242"/>
      <c r="W64" s="238">
        <f t="shared" si="5"/>
        <v>0</v>
      </c>
      <c r="Y64" s="223" t="str">
        <f>'[4]Development - i'!E63</f>
        <v>Brick work in C.M. 1:5 (F&amp; B) using Chamber Burnt brick of size 22 x 11 x 7 cm (8 3/4" x 4 1/4" x 2 3/4")</v>
      </c>
      <c r="Z64" s="223" t="str">
        <f t="shared" si="2"/>
        <v>-----------------------</v>
      </c>
    </row>
    <row r="65" spans="1:26" ht="87">
      <c r="A65" s="234">
        <v>6.5</v>
      </c>
      <c r="B65" s="315" t="s">
        <v>1728</v>
      </c>
      <c r="C65" s="316" t="s">
        <v>286</v>
      </c>
      <c r="D65" s="235" t="str">
        <f t="shared" si="0"/>
        <v xml:space="preserve"> OK</v>
      </c>
      <c r="E65" s="254" t="s">
        <v>1729</v>
      </c>
      <c r="F65" s="254" t="s">
        <v>150</v>
      </c>
      <c r="G65" s="298">
        <f>[3]Data!K326</f>
        <v>5866.74</v>
      </c>
      <c r="H65" s="298" t="s">
        <v>1679</v>
      </c>
      <c r="I65" s="299"/>
      <c r="J65" s="300"/>
      <c r="K65" s="270"/>
      <c r="L65" s="301"/>
      <c r="M65" s="270"/>
      <c r="N65" s="270"/>
      <c r="O65" s="270"/>
      <c r="P65" s="270"/>
      <c r="Q65" s="270"/>
      <c r="R65" s="270"/>
      <c r="S65" s="270"/>
      <c r="T65" s="301"/>
      <c r="U65" s="302"/>
      <c r="V65" s="236">
        <f>'[3]Precast Compound wall '!H149</f>
        <v>5</v>
      </c>
      <c r="W65" s="233">
        <f t="shared" si="5"/>
        <v>0</v>
      </c>
      <c r="Y65" s="223" t="str">
        <f>'[4]Development - i'!E64</f>
        <v>Brick work in C.M. 1:5 (F&amp; B) using Kiln Burnt Country bricks of size 22 x 11 x 7 cm (8 3/4" x 4 1/4" x 2 3/4")</v>
      </c>
      <c r="Z65" s="223" t="str">
        <f t="shared" si="2"/>
        <v>-----------------------</v>
      </c>
    </row>
    <row r="66" spans="1:26" s="241" customFormat="1" ht="69.75">
      <c r="A66" s="309">
        <v>6.6</v>
      </c>
      <c r="B66" s="317" t="s">
        <v>1730</v>
      </c>
      <c r="C66" s="317" t="s">
        <v>640</v>
      </c>
      <c r="D66" s="235" t="str">
        <f t="shared" si="0"/>
        <v xml:space="preserve"> OK</v>
      </c>
      <c r="E66" s="254" t="s">
        <v>1731</v>
      </c>
      <c r="F66" s="254">
        <v>0</v>
      </c>
      <c r="G66" s="298"/>
      <c r="H66" s="298" t="s">
        <v>1679</v>
      </c>
      <c r="I66" s="300"/>
      <c r="J66" s="300"/>
      <c r="K66" s="270"/>
      <c r="L66" s="301"/>
      <c r="M66" s="270"/>
      <c r="N66" s="270"/>
      <c r="O66" s="270"/>
      <c r="P66" s="270"/>
      <c r="Q66" s="270"/>
      <c r="R66" s="270"/>
      <c r="S66" s="270"/>
      <c r="T66" s="301"/>
      <c r="U66" s="270"/>
      <c r="V66" s="237"/>
      <c r="W66" s="238">
        <f t="shared" si="5"/>
        <v>0</v>
      </c>
      <c r="Y66" s="223" t="str">
        <f>'[4]Development - i'!E65</f>
        <v>Brick work in C.M. 1:5 (F&amp; B) using Kiln Burnt Country bricks of size 22 x 11 x 5.7 cm (8 3/4" x 4 1/4" x 2 1/4")</v>
      </c>
      <c r="Z66" s="223" t="str">
        <f t="shared" si="2"/>
        <v>-----------------------</v>
      </c>
    </row>
    <row r="67" spans="1:26" s="241" customFormat="1" ht="108.75">
      <c r="A67" s="305">
        <v>7.1</v>
      </c>
      <c r="B67" s="314" t="s">
        <v>1732</v>
      </c>
      <c r="C67" s="314" t="s">
        <v>641</v>
      </c>
      <c r="D67" s="235" t="str">
        <f t="shared" si="0"/>
        <v xml:space="preserve"> OK</v>
      </c>
      <c r="E67" s="254" t="s">
        <v>1733</v>
      </c>
      <c r="F67" s="254" t="s">
        <v>642</v>
      </c>
      <c r="G67" s="298"/>
      <c r="H67" s="298" t="s">
        <v>1715</v>
      </c>
      <c r="I67" s="300"/>
      <c r="J67" s="300"/>
      <c r="K67" s="270"/>
      <c r="L67" s="301"/>
      <c r="M67" s="270"/>
      <c r="N67" s="270"/>
      <c r="O67" s="270"/>
      <c r="P67" s="270"/>
      <c r="Q67" s="270"/>
      <c r="R67" s="270"/>
      <c r="S67" s="270"/>
      <c r="T67" s="301"/>
      <c r="U67" s="270"/>
      <c r="V67" s="240"/>
      <c r="W67" s="238">
        <f t="shared" si="5"/>
        <v>0</v>
      </c>
      <c r="Y67" s="223" t="str">
        <f>'[4]Development - i'!E66</f>
        <v>Damp Proof Coursein C.M. 1:4, 12 MM thick mixed with Crude oil</v>
      </c>
      <c r="Z67" s="223" t="str">
        <f t="shared" si="2"/>
        <v>ERRR</v>
      </c>
    </row>
    <row r="68" spans="1:26" s="241" customFormat="1" ht="87">
      <c r="A68" s="305">
        <v>7.2</v>
      </c>
      <c r="B68" s="306" t="s">
        <v>1734</v>
      </c>
      <c r="C68" s="306" t="s">
        <v>643</v>
      </c>
      <c r="D68" s="235" t="str">
        <f t="shared" si="0"/>
        <v xml:space="preserve"> OK</v>
      </c>
      <c r="E68" s="254" t="s">
        <v>1735</v>
      </c>
      <c r="F68" s="254" t="s">
        <v>644</v>
      </c>
      <c r="G68" s="298">
        <f>ROUND([3]Data!K334,2)</f>
        <v>705</v>
      </c>
      <c r="H68" s="298" t="s">
        <v>1715</v>
      </c>
      <c r="I68" s="300"/>
      <c r="J68" s="300"/>
      <c r="K68" s="270"/>
      <c r="L68" s="301"/>
      <c r="M68" s="270"/>
      <c r="N68" s="270"/>
      <c r="O68" s="270"/>
      <c r="P68" s="270"/>
      <c r="Q68" s="270"/>
      <c r="R68" s="270"/>
      <c r="S68" s="270"/>
      <c r="T68" s="301"/>
      <c r="U68" s="270"/>
      <c r="V68" s="240"/>
      <c r="W68" s="238">
        <f t="shared" si="5"/>
        <v>0</v>
      </c>
      <c r="Y68" s="223" t="str">
        <f>'[4]Development - i'!E67</f>
        <v>Supply and fixing of Bituminous filler pad, 20 mm tk. for expansion joint</v>
      </c>
      <c r="Z68" s="223" t="str">
        <f t="shared" si="2"/>
        <v>-----------------------</v>
      </c>
    </row>
    <row r="69" spans="1:26" s="241" customFormat="1" ht="46.5">
      <c r="A69" s="309">
        <v>7.3</v>
      </c>
      <c r="B69" s="317" t="s">
        <v>1736</v>
      </c>
      <c r="C69" s="317" t="s">
        <v>645</v>
      </c>
      <c r="D69" s="235" t="str">
        <f t="shared" si="0"/>
        <v xml:space="preserve"> OK</v>
      </c>
      <c r="E69" s="254" t="s">
        <v>1737</v>
      </c>
      <c r="F69" s="254">
        <v>0</v>
      </c>
      <c r="G69" s="298">
        <f>ROUND([3]Data!K511,2)</f>
        <v>263.10000000000002</v>
      </c>
      <c r="H69" s="298" t="s">
        <v>1715</v>
      </c>
      <c r="I69" s="300"/>
      <c r="J69" s="300"/>
      <c r="K69" s="270"/>
      <c r="L69" s="301"/>
      <c r="M69" s="270"/>
      <c r="N69" s="270"/>
      <c r="O69" s="270"/>
      <c r="P69" s="270"/>
      <c r="Q69" s="270"/>
      <c r="R69" s="270"/>
      <c r="S69" s="270"/>
      <c r="T69" s="301"/>
      <c r="U69" s="270"/>
      <c r="V69" s="240"/>
      <c r="W69" s="238">
        <f t="shared" si="5"/>
        <v>0</v>
      </c>
      <c r="Y69" s="223" t="str">
        <f>'[4]Development - i'!E68</f>
        <v>Damp Proof Course in C.M. 1:4, 12 MM thick mixed with Water proofing compound</v>
      </c>
      <c r="Z69" s="223" t="str">
        <f t="shared" si="2"/>
        <v>-----------------------</v>
      </c>
    </row>
    <row r="70" spans="1:26" s="243" customFormat="1" ht="152.25">
      <c r="A70" s="305">
        <v>8.1</v>
      </c>
      <c r="B70" s="314" t="s">
        <v>646</v>
      </c>
      <c r="C70" s="314" t="s">
        <v>646</v>
      </c>
      <c r="D70" s="235" t="str">
        <f t="shared" si="0"/>
        <v xml:space="preserve"> OK</v>
      </c>
      <c r="E70" s="254" t="s">
        <v>646</v>
      </c>
      <c r="F70" s="254" t="s">
        <v>647</v>
      </c>
      <c r="G70" s="298"/>
      <c r="H70" s="298"/>
      <c r="I70" s="300"/>
      <c r="J70" s="300"/>
      <c r="K70" s="270"/>
      <c r="L70" s="301"/>
      <c r="M70" s="270"/>
      <c r="N70" s="270"/>
      <c r="O70" s="270"/>
      <c r="P70" s="270"/>
      <c r="Q70" s="270"/>
      <c r="R70" s="270"/>
      <c r="S70" s="270"/>
      <c r="T70" s="301"/>
      <c r="U70" s="270"/>
      <c r="V70" s="240"/>
      <c r="W70" s="238">
        <f t="shared" si="5"/>
        <v>0</v>
      </c>
      <c r="Y70" s="223" t="str">
        <f>'[4]Development - i'!E69</f>
        <v>R.C.C.1:2:4</v>
      </c>
      <c r="Z70" s="223" t="str">
        <f t="shared" si="2"/>
        <v>-----------------------</v>
      </c>
    </row>
    <row r="71" spans="1:26" s="243" customFormat="1">
      <c r="A71" s="305"/>
      <c r="B71" s="306" t="s">
        <v>655</v>
      </c>
      <c r="C71" s="306" t="s">
        <v>655</v>
      </c>
      <c r="D71" s="235" t="str">
        <f t="shared" si="0"/>
        <v xml:space="preserve"> OK</v>
      </c>
      <c r="E71" s="254" t="s">
        <v>1738</v>
      </c>
      <c r="F71" s="254" t="s">
        <v>648</v>
      </c>
      <c r="G71" s="298">
        <f>ROUND([3]Data!K292,2)</f>
        <v>6986.86</v>
      </c>
      <c r="H71" s="298" t="s">
        <v>1679</v>
      </c>
      <c r="I71" s="300"/>
      <c r="J71" s="300"/>
      <c r="K71" s="270"/>
      <c r="L71" s="301"/>
      <c r="M71" s="270"/>
      <c r="N71" s="270"/>
      <c r="O71" s="270"/>
      <c r="P71" s="270"/>
      <c r="Q71" s="270"/>
      <c r="R71" s="270"/>
      <c r="S71" s="270"/>
      <c r="T71" s="301"/>
      <c r="U71" s="270"/>
      <c r="V71" s="240"/>
      <c r="W71" s="238">
        <f t="shared" si="5"/>
        <v>0</v>
      </c>
      <c r="Y71" s="223" t="str">
        <f>'[4]Development - i'!E70</f>
        <v>a. In Ground floor R.C.C.1:2:4</v>
      </c>
      <c r="Z71" s="223" t="str">
        <f t="shared" ref="Z71:Z134" si="6">IF(Y71=E71,"-----------------------","ERRR")</f>
        <v>-----------------------</v>
      </c>
    </row>
    <row r="72" spans="1:26" s="243" customFormat="1">
      <c r="A72" s="305"/>
      <c r="B72" s="306" t="s">
        <v>656</v>
      </c>
      <c r="C72" s="306" t="s">
        <v>656</v>
      </c>
      <c r="D72" s="235" t="str">
        <f t="shared" si="0"/>
        <v xml:space="preserve"> OK</v>
      </c>
      <c r="E72" s="254" t="s">
        <v>1739</v>
      </c>
      <c r="F72" s="254" t="s">
        <v>649</v>
      </c>
      <c r="G72" s="298">
        <f>ROUND([3]Data!K293,2)</f>
        <v>7172.71</v>
      </c>
      <c r="H72" s="298" t="s">
        <v>1679</v>
      </c>
      <c r="I72" s="300"/>
      <c r="J72" s="300"/>
      <c r="K72" s="270"/>
      <c r="L72" s="301"/>
      <c r="M72" s="270"/>
      <c r="N72" s="270"/>
      <c r="O72" s="270"/>
      <c r="P72" s="270"/>
      <c r="Q72" s="270"/>
      <c r="R72" s="270"/>
      <c r="S72" s="270"/>
      <c r="T72" s="301"/>
      <c r="U72" s="270"/>
      <c r="V72" s="240"/>
      <c r="W72" s="238">
        <f t="shared" si="5"/>
        <v>0</v>
      </c>
      <c r="Y72" s="223" t="str">
        <f>'[4]Development - i'!E71</f>
        <v>b. In First floorR.C.C.1:2:4</v>
      </c>
      <c r="Z72" s="223" t="str">
        <f t="shared" si="6"/>
        <v>-----------------------</v>
      </c>
    </row>
    <row r="73" spans="1:26" s="243" customFormat="1">
      <c r="A73" s="305"/>
      <c r="B73" s="306" t="s">
        <v>657</v>
      </c>
      <c r="C73" s="306" t="s">
        <v>657</v>
      </c>
      <c r="D73" s="235" t="str">
        <f t="shared" si="0"/>
        <v xml:space="preserve"> OK</v>
      </c>
      <c r="E73" s="254" t="s">
        <v>1740</v>
      </c>
      <c r="F73" s="254" t="s">
        <v>650</v>
      </c>
      <c r="G73" s="298">
        <f>ROUND([3]Data!K294,2)</f>
        <v>7358.56</v>
      </c>
      <c r="H73" s="298" t="s">
        <v>1679</v>
      </c>
      <c r="I73" s="300"/>
      <c r="J73" s="300"/>
      <c r="K73" s="270"/>
      <c r="L73" s="301"/>
      <c r="M73" s="270"/>
      <c r="N73" s="270"/>
      <c r="O73" s="270"/>
      <c r="P73" s="270"/>
      <c r="Q73" s="270"/>
      <c r="R73" s="270"/>
      <c r="S73" s="270"/>
      <c r="T73" s="301"/>
      <c r="U73" s="270"/>
      <c r="V73" s="240"/>
      <c r="W73" s="238">
        <f t="shared" si="5"/>
        <v>0</v>
      </c>
      <c r="Y73" s="223" t="str">
        <f>'[4]Development - i'!E72</f>
        <v>c. In Second floor R.C.C.1:2:4</v>
      </c>
      <c r="Z73" s="223" t="str">
        <f t="shared" si="6"/>
        <v>-----------------------</v>
      </c>
    </row>
    <row r="74" spans="1:26" s="243" customFormat="1">
      <c r="A74" s="305"/>
      <c r="B74" s="306" t="s">
        <v>658</v>
      </c>
      <c r="C74" s="306" t="s">
        <v>658</v>
      </c>
      <c r="D74" s="235" t="str">
        <f t="shared" si="0"/>
        <v xml:space="preserve"> OK</v>
      </c>
      <c r="E74" s="254" t="s">
        <v>1741</v>
      </c>
      <c r="F74" s="254" t="s">
        <v>651</v>
      </c>
      <c r="G74" s="298">
        <f>ROUND([3]Data!K295,2)</f>
        <v>7544.41</v>
      </c>
      <c r="H74" s="298" t="s">
        <v>1679</v>
      </c>
      <c r="I74" s="300"/>
      <c r="J74" s="300"/>
      <c r="K74" s="270"/>
      <c r="L74" s="301"/>
      <c r="M74" s="270"/>
      <c r="N74" s="270"/>
      <c r="O74" s="270"/>
      <c r="P74" s="270"/>
      <c r="Q74" s="270"/>
      <c r="R74" s="270"/>
      <c r="S74" s="270"/>
      <c r="T74" s="301"/>
      <c r="U74" s="270"/>
      <c r="V74" s="240"/>
      <c r="W74" s="238">
        <f t="shared" si="5"/>
        <v>0</v>
      </c>
      <c r="Y74" s="223" t="str">
        <f>'[4]Development - i'!E73</f>
        <v>d. In Third floor R.C.C.1:2:4</v>
      </c>
      <c r="Z74" s="223" t="str">
        <f t="shared" si="6"/>
        <v>-----------------------</v>
      </c>
    </row>
    <row r="75" spans="1:26" s="243" customFormat="1">
      <c r="A75" s="318"/>
      <c r="B75" s="306" t="s">
        <v>659</v>
      </c>
      <c r="C75" s="306" t="s">
        <v>659</v>
      </c>
      <c r="D75" s="235" t="str">
        <f t="shared" si="0"/>
        <v xml:space="preserve"> OK</v>
      </c>
      <c r="E75" s="254" t="s">
        <v>1742</v>
      </c>
      <c r="F75" s="254" t="s">
        <v>652</v>
      </c>
      <c r="G75" s="298">
        <f>ROUND([3]Data!K296,2)</f>
        <v>7730.26</v>
      </c>
      <c r="H75" s="298" t="s">
        <v>1679</v>
      </c>
      <c r="I75" s="300"/>
      <c r="J75" s="300"/>
      <c r="K75" s="270"/>
      <c r="L75" s="301"/>
      <c r="M75" s="270"/>
      <c r="N75" s="270"/>
      <c r="O75" s="270"/>
      <c r="P75" s="270"/>
      <c r="Q75" s="270"/>
      <c r="R75" s="270"/>
      <c r="S75" s="270"/>
      <c r="T75" s="301"/>
      <c r="U75" s="270"/>
      <c r="V75" s="240"/>
      <c r="W75" s="238">
        <f t="shared" si="5"/>
        <v>0</v>
      </c>
      <c r="Y75" s="223" t="str">
        <f>'[4]Development - i'!E74</f>
        <v>e.  In Fourth floor R.C.C.1:2:4</v>
      </c>
      <c r="Z75" s="223" t="str">
        <f t="shared" si="6"/>
        <v>-----------------------</v>
      </c>
    </row>
    <row r="76" spans="1:26" s="241" customFormat="1" ht="152.25">
      <c r="A76" s="305">
        <v>8.1999999999999993</v>
      </c>
      <c r="B76" s="314" t="s">
        <v>653</v>
      </c>
      <c r="C76" s="314" t="s">
        <v>653</v>
      </c>
      <c r="D76" s="235" t="str">
        <f t="shared" ref="D76:D143" si="7">IF(B76=C76," OK","nun")</f>
        <v xml:space="preserve"> OK</v>
      </c>
      <c r="E76" s="254" t="s">
        <v>653</v>
      </c>
      <c r="F76" s="254" t="s">
        <v>654</v>
      </c>
      <c r="G76" s="298"/>
      <c r="H76" s="298"/>
      <c r="I76" s="300"/>
      <c r="J76" s="300"/>
      <c r="K76" s="270"/>
      <c r="L76" s="301"/>
      <c r="M76" s="270"/>
      <c r="N76" s="270"/>
      <c r="O76" s="270"/>
      <c r="P76" s="270"/>
      <c r="Q76" s="270"/>
      <c r="R76" s="270"/>
      <c r="S76" s="270"/>
      <c r="T76" s="301"/>
      <c r="U76" s="270"/>
      <c r="V76" s="240"/>
      <c r="W76" s="238">
        <f t="shared" si="5"/>
        <v>0</v>
      </c>
      <c r="Y76" s="223" t="str">
        <f>'[4]Development - i'!E75</f>
        <v>R.C.C.1: 1 1/2 :3</v>
      </c>
      <c r="Z76" s="223" t="str">
        <f t="shared" si="6"/>
        <v>-----------------------</v>
      </c>
    </row>
    <row r="77" spans="1:26" s="241" customFormat="1">
      <c r="A77" s="306"/>
      <c r="B77" s="306" t="s">
        <v>655</v>
      </c>
      <c r="C77" s="306" t="s">
        <v>655</v>
      </c>
      <c r="D77" s="235" t="str">
        <f t="shared" si="7"/>
        <v xml:space="preserve"> OK</v>
      </c>
      <c r="E77" s="254" t="s">
        <v>1743</v>
      </c>
      <c r="F77" s="254" t="s">
        <v>655</v>
      </c>
      <c r="G77" s="298">
        <f>ROUND([3]Data!K837,2)</f>
        <v>7611.52</v>
      </c>
      <c r="H77" s="298" t="s">
        <v>1679</v>
      </c>
      <c r="I77" s="300"/>
      <c r="J77" s="300"/>
      <c r="K77" s="270"/>
      <c r="L77" s="301"/>
      <c r="M77" s="270"/>
      <c r="N77" s="270"/>
      <c r="O77" s="270"/>
      <c r="P77" s="270"/>
      <c r="Q77" s="270"/>
      <c r="R77" s="270"/>
      <c r="S77" s="270"/>
      <c r="T77" s="301"/>
      <c r="U77" s="270"/>
      <c r="V77" s="240"/>
      <c r="W77" s="238">
        <f t="shared" si="5"/>
        <v>0</v>
      </c>
      <c r="Y77" s="223" t="str">
        <f>'[4]Development - i'!E76</f>
        <v>a. In Ground floor R.C.C.1: 1 1/2 :3</v>
      </c>
      <c r="Z77" s="223" t="str">
        <f t="shared" si="6"/>
        <v>-----------------------</v>
      </c>
    </row>
    <row r="78" spans="1:26" s="241" customFormat="1">
      <c r="A78" s="306"/>
      <c r="B78" s="306" t="s">
        <v>656</v>
      </c>
      <c r="C78" s="306" t="s">
        <v>656</v>
      </c>
      <c r="D78" s="235" t="str">
        <f t="shared" si="7"/>
        <v xml:space="preserve"> OK</v>
      </c>
      <c r="E78" s="254" t="s">
        <v>1744</v>
      </c>
      <c r="F78" s="254" t="s">
        <v>656</v>
      </c>
      <c r="G78" s="298">
        <f>ROUND([3]Data!K838,2)</f>
        <v>7797.37</v>
      </c>
      <c r="H78" s="298" t="s">
        <v>1679</v>
      </c>
      <c r="I78" s="300"/>
      <c r="J78" s="300"/>
      <c r="K78" s="270"/>
      <c r="L78" s="301"/>
      <c r="M78" s="270"/>
      <c r="N78" s="270"/>
      <c r="O78" s="270"/>
      <c r="P78" s="270"/>
      <c r="Q78" s="270"/>
      <c r="R78" s="270"/>
      <c r="S78" s="270"/>
      <c r="T78" s="301"/>
      <c r="U78" s="270"/>
      <c r="V78" s="240"/>
      <c r="W78" s="238">
        <f t="shared" si="5"/>
        <v>0</v>
      </c>
      <c r="Y78" s="223" t="str">
        <f>'[4]Development - i'!E77</f>
        <v>b. In First floor R.C.C.1: 1 1/2 :3</v>
      </c>
      <c r="Z78" s="223" t="str">
        <f t="shared" si="6"/>
        <v>-----------------------</v>
      </c>
    </row>
    <row r="79" spans="1:26" s="241" customFormat="1">
      <c r="A79" s="306"/>
      <c r="B79" s="306" t="s">
        <v>657</v>
      </c>
      <c r="C79" s="306" t="s">
        <v>657</v>
      </c>
      <c r="D79" s="235" t="str">
        <f t="shared" si="7"/>
        <v xml:space="preserve"> OK</v>
      </c>
      <c r="E79" s="254" t="s">
        <v>1745</v>
      </c>
      <c r="F79" s="254" t="s">
        <v>657</v>
      </c>
      <c r="G79" s="298">
        <f>ROUND([3]Data!K839,2)</f>
        <v>7983.22</v>
      </c>
      <c r="H79" s="298" t="s">
        <v>1679</v>
      </c>
      <c r="I79" s="300"/>
      <c r="J79" s="300"/>
      <c r="K79" s="270"/>
      <c r="L79" s="301"/>
      <c r="M79" s="270"/>
      <c r="N79" s="270"/>
      <c r="O79" s="270"/>
      <c r="P79" s="270"/>
      <c r="Q79" s="270"/>
      <c r="R79" s="270"/>
      <c r="S79" s="270"/>
      <c r="T79" s="301"/>
      <c r="U79" s="270"/>
      <c r="V79" s="240"/>
      <c r="W79" s="238">
        <f t="shared" si="5"/>
        <v>0</v>
      </c>
      <c r="Y79" s="223" t="str">
        <f>'[4]Development - i'!E78</f>
        <v>c. In Second floor R.C.C.1: 1 1/2 :3</v>
      </c>
      <c r="Z79" s="223" t="str">
        <f t="shared" si="6"/>
        <v>-----------------------</v>
      </c>
    </row>
    <row r="80" spans="1:26" s="241" customFormat="1">
      <c r="A80" s="306"/>
      <c r="B80" s="306" t="s">
        <v>658</v>
      </c>
      <c r="C80" s="306" t="s">
        <v>658</v>
      </c>
      <c r="D80" s="235" t="str">
        <f t="shared" si="7"/>
        <v xml:space="preserve"> OK</v>
      </c>
      <c r="E80" s="254" t="s">
        <v>1746</v>
      </c>
      <c r="F80" s="254" t="s">
        <v>658</v>
      </c>
      <c r="G80" s="298">
        <f>ROUND([3]Data!K840,2)</f>
        <v>8169.07</v>
      </c>
      <c r="H80" s="298" t="s">
        <v>1679</v>
      </c>
      <c r="I80" s="300"/>
      <c r="J80" s="300"/>
      <c r="K80" s="270"/>
      <c r="L80" s="301"/>
      <c r="M80" s="270"/>
      <c r="N80" s="270"/>
      <c r="O80" s="270"/>
      <c r="P80" s="270"/>
      <c r="Q80" s="270"/>
      <c r="R80" s="270"/>
      <c r="S80" s="270"/>
      <c r="T80" s="301"/>
      <c r="U80" s="270"/>
      <c r="V80" s="240"/>
      <c r="W80" s="238">
        <f t="shared" si="5"/>
        <v>0</v>
      </c>
      <c r="Y80" s="223" t="str">
        <f>'[4]Development - i'!E79</f>
        <v>d. In Third floor R.C.C.1: 1 1/2 :3</v>
      </c>
      <c r="Z80" s="223" t="str">
        <f t="shared" si="6"/>
        <v>-----------------------</v>
      </c>
    </row>
    <row r="81" spans="1:26" s="241" customFormat="1">
      <c r="A81" s="305"/>
      <c r="B81" s="306" t="s">
        <v>659</v>
      </c>
      <c r="C81" s="306" t="s">
        <v>659</v>
      </c>
      <c r="D81" s="235" t="str">
        <f t="shared" si="7"/>
        <v xml:space="preserve"> OK</v>
      </c>
      <c r="E81" s="254" t="s">
        <v>1747</v>
      </c>
      <c r="F81" s="254" t="s">
        <v>659</v>
      </c>
      <c r="G81" s="298">
        <f>ROUND([3]Data!K841,2)</f>
        <v>8354.92</v>
      </c>
      <c r="H81" s="298" t="s">
        <v>1679</v>
      </c>
      <c r="I81" s="300"/>
      <c r="J81" s="300"/>
      <c r="K81" s="270"/>
      <c r="L81" s="301"/>
      <c r="M81" s="270"/>
      <c r="N81" s="270"/>
      <c r="O81" s="270"/>
      <c r="P81" s="270"/>
      <c r="Q81" s="270"/>
      <c r="R81" s="270"/>
      <c r="S81" s="270"/>
      <c r="T81" s="301"/>
      <c r="U81" s="270"/>
      <c r="V81" s="240"/>
      <c r="W81" s="238">
        <f t="shared" si="5"/>
        <v>0</v>
      </c>
      <c r="Y81" s="223" t="str">
        <f>'[4]Development - i'!E80</f>
        <v>e.  In Fourth floor R.C.C.1: 1 1/2 :3</v>
      </c>
      <c r="Z81" s="223" t="str">
        <f t="shared" si="6"/>
        <v>-----------------------</v>
      </c>
    </row>
    <row r="82" spans="1:26" s="241" customFormat="1">
      <c r="A82" s="305"/>
      <c r="B82" s="306" t="s">
        <v>660</v>
      </c>
      <c r="C82" s="306" t="s">
        <v>660</v>
      </c>
      <c r="D82" s="235" t="str">
        <f t="shared" si="7"/>
        <v xml:space="preserve"> OK</v>
      </c>
      <c r="E82" s="254" t="s">
        <v>1748</v>
      </c>
      <c r="F82" s="254" t="s">
        <v>660</v>
      </c>
      <c r="G82" s="298">
        <f>ROUND([3]Data!K842,2)</f>
        <v>8540.77</v>
      </c>
      <c r="H82" s="298" t="s">
        <v>1679</v>
      </c>
      <c r="I82" s="300"/>
      <c r="J82" s="300"/>
      <c r="K82" s="270"/>
      <c r="L82" s="301"/>
      <c r="M82" s="270"/>
      <c r="N82" s="270"/>
      <c r="O82" s="270"/>
      <c r="P82" s="270"/>
      <c r="Q82" s="270"/>
      <c r="R82" s="270"/>
      <c r="S82" s="270"/>
      <c r="T82" s="301"/>
      <c r="U82" s="270"/>
      <c r="V82" s="240"/>
      <c r="W82" s="238">
        <f t="shared" si="5"/>
        <v>0</v>
      </c>
      <c r="Y82" s="223" t="str">
        <f>'[4]Development - i'!E81</f>
        <v>f.  In Fifth floor R.C.C.1: 1 1/2 :3</v>
      </c>
      <c r="Z82" s="223" t="str">
        <f t="shared" si="6"/>
        <v>-----------------------</v>
      </c>
    </row>
    <row r="83" spans="1:26" s="241" customFormat="1">
      <c r="A83" s="305"/>
      <c r="B83" s="306" t="s">
        <v>661</v>
      </c>
      <c r="C83" s="306" t="s">
        <v>661</v>
      </c>
      <c r="D83" s="235" t="str">
        <f t="shared" si="7"/>
        <v xml:space="preserve"> OK</v>
      </c>
      <c r="E83" s="254" t="s">
        <v>1749</v>
      </c>
      <c r="F83" s="254" t="s">
        <v>661</v>
      </c>
      <c r="G83" s="298">
        <f>ROUND([3]Data!K843,2)</f>
        <v>8726.6200000000008</v>
      </c>
      <c r="H83" s="298" t="s">
        <v>1679</v>
      </c>
      <c r="I83" s="300"/>
      <c r="J83" s="300"/>
      <c r="K83" s="270"/>
      <c r="L83" s="301"/>
      <c r="M83" s="270"/>
      <c r="N83" s="270"/>
      <c r="O83" s="270"/>
      <c r="P83" s="270"/>
      <c r="Q83" s="270"/>
      <c r="R83" s="270"/>
      <c r="S83" s="270"/>
      <c r="T83" s="301"/>
      <c r="U83" s="270"/>
      <c r="V83" s="240"/>
      <c r="W83" s="238">
        <f t="shared" si="5"/>
        <v>0</v>
      </c>
      <c r="Y83" s="223" t="str">
        <f>'[4]Development - i'!E82</f>
        <v>g.  In sixth floor R.C.C.1: 1 1/2 :3</v>
      </c>
      <c r="Z83" s="223" t="str">
        <f t="shared" si="6"/>
        <v>-----------------------</v>
      </c>
    </row>
    <row r="84" spans="1:26" s="241" customFormat="1">
      <c r="A84" s="305"/>
      <c r="B84" s="306" t="s">
        <v>662</v>
      </c>
      <c r="C84" s="306" t="s">
        <v>662</v>
      </c>
      <c r="D84" s="235" t="str">
        <f t="shared" si="7"/>
        <v xml:space="preserve"> OK</v>
      </c>
      <c r="E84" s="254" t="s">
        <v>1750</v>
      </c>
      <c r="F84" s="254" t="s">
        <v>662</v>
      </c>
      <c r="G84" s="298">
        <f>ROUND([3]Data!K844,2)</f>
        <v>8912.4699999999993</v>
      </c>
      <c r="H84" s="298" t="s">
        <v>1679</v>
      </c>
      <c r="I84" s="300"/>
      <c r="J84" s="300"/>
      <c r="K84" s="270"/>
      <c r="L84" s="301"/>
      <c r="M84" s="270"/>
      <c r="N84" s="270"/>
      <c r="O84" s="270"/>
      <c r="P84" s="270"/>
      <c r="Q84" s="270"/>
      <c r="R84" s="270"/>
      <c r="S84" s="270"/>
      <c r="T84" s="301"/>
      <c r="U84" s="270"/>
      <c r="V84" s="240"/>
      <c r="W84" s="238">
        <f t="shared" si="5"/>
        <v>0</v>
      </c>
      <c r="Y84" s="223" t="str">
        <f>'[4]Development - i'!E83</f>
        <v>h.  In seventh floor R.C.C.1: 1 1/2 :3</v>
      </c>
      <c r="Z84" s="223" t="str">
        <f t="shared" si="6"/>
        <v>-----------------------</v>
      </c>
    </row>
    <row r="85" spans="1:26" s="241" customFormat="1">
      <c r="A85" s="305"/>
      <c r="B85" s="306" t="s">
        <v>663</v>
      </c>
      <c r="C85" s="306" t="s">
        <v>663</v>
      </c>
      <c r="D85" s="235" t="str">
        <f t="shared" si="7"/>
        <v xml:space="preserve"> OK</v>
      </c>
      <c r="E85" s="254" t="s">
        <v>1751</v>
      </c>
      <c r="F85" s="254" t="s">
        <v>663</v>
      </c>
      <c r="G85" s="298">
        <f>ROUND([3]Data!K845,2)</f>
        <v>9098.32</v>
      </c>
      <c r="H85" s="298" t="s">
        <v>1679</v>
      </c>
      <c r="I85" s="300"/>
      <c r="J85" s="300"/>
      <c r="K85" s="270"/>
      <c r="L85" s="301"/>
      <c r="M85" s="270"/>
      <c r="N85" s="270"/>
      <c r="O85" s="270"/>
      <c r="P85" s="270"/>
      <c r="Q85" s="270"/>
      <c r="R85" s="270"/>
      <c r="S85" s="270"/>
      <c r="T85" s="301"/>
      <c r="U85" s="270"/>
      <c r="V85" s="240"/>
      <c r="W85" s="238">
        <f t="shared" si="5"/>
        <v>0</v>
      </c>
      <c r="Y85" s="223" t="str">
        <f>'[4]Development - i'!E84</f>
        <v>i.  In eighth floor R.C.C.1: 1 1/2 :3</v>
      </c>
      <c r="Z85" s="223" t="str">
        <f t="shared" si="6"/>
        <v>-----------------------</v>
      </c>
    </row>
    <row r="86" spans="1:26" s="241" customFormat="1">
      <c r="A86" s="305"/>
      <c r="B86" s="306" t="s">
        <v>664</v>
      </c>
      <c r="C86" s="306" t="s">
        <v>664</v>
      </c>
      <c r="D86" s="235" t="str">
        <f t="shared" si="7"/>
        <v xml:space="preserve"> OK</v>
      </c>
      <c r="E86" s="254" t="s">
        <v>1752</v>
      </c>
      <c r="F86" s="254" t="s">
        <v>664</v>
      </c>
      <c r="G86" s="298">
        <f>ROUND([3]Data!K846,2)</f>
        <v>9284.17</v>
      </c>
      <c r="H86" s="298" t="s">
        <v>1679</v>
      </c>
      <c r="I86" s="300"/>
      <c r="J86" s="300"/>
      <c r="K86" s="270"/>
      <c r="L86" s="301"/>
      <c r="M86" s="270"/>
      <c r="N86" s="270"/>
      <c r="O86" s="270"/>
      <c r="P86" s="270"/>
      <c r="Q86" s="270"/>
      <c r="R86" s="270"/>
      <c r="S86" s="270"/>
      <c r="T86" s="301"/>
      <c r="U86" s="270"/>
      <c r="V86" s="240"/>
      <c r="W86" s="238">
        <f t="shared" si="5"/>
        <v>0</v>
      </c>
      <c r="Y86" s="223" t="str">
        <f>'[4]Development - i'!E85</f>
        <v>j.  In Ninth floor R.C.C.1: 1 1/2 :3</v>
      </c>
      <c r="Z86" s="223" t="str">
        <f t="shared" si="6"/>
        <v>-----------------------</v>
      </c>
    </row>
    <row r="87" spans="1:26" s="241" customFormat="1">
      <c r="A87" s="305"/>
      <c r="B87" s="306" t="s">
        <v>665</v>
      </c>
      <c r="C87" s="306" t="s">
        <v>665</v>
      </c>
      <c r="D87" s="235" t="str">
        <f t="shared" si="7"/>
        <v xml:space="preserve"> OK</v>
      </c>
      <c r="E87" s="254" t="s">
        <v>1753</v>
      </c>
      <c r="F87" s="254" t="s">
        <v>665</v>
      </c>
      <c r="G87" s="298">
        <f>ROUND([3]Data!K847,2)</f>
        <v>9470.02</v>
      </c>
      <c r="H87" s="298" t="s">
        <v>1679</v>
      </c>
      <c r="I87" s="300"/>
      <c r="J87" s="300"/>
      <c r="K87" s="270"/>
      <c r="L87" s="301"/>
      <c r="M87" s="270"/>
      <c r="N87" s="270"/>
      <c r="O87" s="270"/>
      <c r="P87" s="270"/>
      <c r="Q87" s="270"/>
      <c r="R87" s="270"/>
      <c r="S87" s="270"/>
      <c r="T87" s="301"/>
      <c r="U87" s="270"/>
      <c r="V87" s="240"/>
      <c r="W87" s="238">
        <f t="shared" si="5"/>
        <v>0</v>
      </c>
      <c r="Y87" s="223" t="str">
        <f>'[4]Development - i'!E86</f>
        <v>k.  In Tenth floor R.C.C.1: 1 1/2 :3</v>
      </c>
      <c r="Z87" s="223" t="str">
        <f t="shared" si="6"/>
        <v>-----------------------</v>
      </c>
    </row>
    <row r="88" spans="1:26" s="241" customFormat="1">
      <c r="A88" s="305"/>
      <c r="B88" s="306" t="s">
        <v>666</v>
      </c>
      <c r="C88" s="306" t="s">
        <v>666</v>
      </c>
      <c r="D88" s="235" t="str">
        <f t="shared" si="7"/>
        <v xml:space="preserve"> OK</v>
      </c>
      <c r="E88" s="254" t="s">
        <v>1754</v>
      </c>
      <c r="F88" s="254" t="s">
        <v>666</v>
      </c>
      <c r="G88" s="298">
        <f>ROUND([3]Data!K848,2)</f>
        <v>9655.8700000000008</v>
      </c>
      <c r="H88" s="298" t="s">
        <v>1679</v>
      </c>
      <c r="I88" s="300"/>
      <c r="J88" s="300"/>
      <c r="K88" s="270"/>
      <c r="L88" s="301"/>
      <c r="M88" s="270"/>
      <c r="N88" s="270"/>
      <c r="O88" s="270"/>
      <c r="P88" s="270"/>
      <c r="Q88" s="270"/>
      <c r="R88" s="270"/>
      <c r="S88" s="270"/>
      <c r="T88" s="301"/>
      <c r="U88" s="270"/>
      <c r="V88" s="240"/>
      <c r="W88" s="238">
        <f t="shared" si="5"/>
        <v>0</v>
      </c>
      <c r="Y88" s="223" t="str">
        <f>'[4]Development - i'!E87</f>
        <v>l.  In Eleventh floor R.C.C.1: 1 1/2 :3</v>
      </c>
      <c r="Z88" s="223" t="str">
        <f t="shared" si="6"/>
        <v>-----------------------</v>
      </c>
    </row>
    <row r="89" spans="1:26" s="241" customFormat="1">
      <c r="A89" s="305"/>
      <c r="B89" s="306" t="s">
        <v>667</v>
      </c>
      <c r="C89" s="306" t="s">
        <v>667</v>
      </c>
      <c r="D89" s="235" t="str">
        <f t="shared" si="7"/>
        <v xml:space="preserve"> OK</v>
      </c>
      <c r="E89" s="254" t="s">
        <v>1755</v>
      </c>
      <c r="F89" s="254" t="s">
        <v>667</v>
      </c>
      <c r="G89" s="298">
        <f>ROUND([3]Data!K849,2)</f>
        <v>9841.7199999999993</v>
      </c>
      <c r="H89" s="298" t="s">
        <v>1679</v>
      </c>
      <c r="I89" s="300"/>
      <c r="J89" s="300"/>
      <c r="K89" s="270"/>
      <c r="L89" s="301"/>
      <c r="M89" s="270"/>
      <c r="N89" s="270"/>
      <c r="O89" s="270"/>
      <c r="P89" s="270"/>
      <c r="Q89" s="270"/>
      <c r="R89" s="270"/>
      <c r="S89" s="270"/>
      <c r="T89" s="301"/>
      <c r="U89" s="270"/>
      <c r="V89" s="240"/>
      <c r="W89" s="238">
        <f t="shared" si="5"/>
        <v>0</v>
      </c>
      <c r="Y89" s="223" t="str">
        <f>'[4]Development - i'!E88</f>
        <v>m.  In Twelth floor R.C.C.1: 1 1/2 :3</v>
      </c>
      <c r="Z89" s="223" t="str">
        <f t="shared" si="6"/>
        <v>-----------------------</v>
      </c>
    </row>
    <row r="90" spans="1:26" s="241" customFormat="1" ht="46.5">
      <c r="A90" s="305">
        <v>9.1</v>
      </c>
      <c r="B90" s="306" t="s">
        <v>668</v>
      </c>
      <c r="C90" s="306" t="s">
        <v>668</v>
      </c>
      <c r="D90" s="235" t="str">
        <f t="shared" si="7"/>
        <v xml:space="preserve"> OK</v>
      </c>
      <c r="E90" s="254" t="s">
        <v>668</v>
      </c>
      <c r="F90" s="254">
        <v>0</v>
      </c>
      <c r="G90" s="298"/>
      <c r="H90" s="298"/>
      <c r="I90" s="300"/>
      <c r="J90" s="300"/>
      <c r="K90" s="270"/>
      <c r="L90" s="301"/>
      <c r="M90" s="270"/>
      <c r="N90" s="270"/>
      <c r="O90" s="270"/>
      <c r="P90" s="270"/>
      <c r="Q90" s="270"/>
      <c r="R90" s="270"/>
      <c r="S90" s="270"/>
      <c r="T90" s="301"/>
      <c r="U90" s="270"/>
      <c r="V90" s="240"/>
      <c r="W90" s="238">
        <f t="shared" si="5"/>
        <v>0</v>
      </c>
      <c r="Y90" s="223" t="str">
        <f>'[4]Development - i'!E89</f>
        <v>Brick work in C.M. 1:6  using Chamber Burnt brick of size 23 x 11.2 x 7 cm (9" x 4 3/8" x 2 3/4")</v>
      </c>
      <c r="Z90" s="223" t="str">
        <f t="shared" si="6"/>
        <v>-----------------------</v>
      </c>
    </row>
    <row r="91" spans="1:26" s="241" customFormat="1" ht="69.75">
      <c r="A91" s="305"/>
      <c r="B91" s="306" t="s">
        <v>961</v>
      </c>
      <c r="C91" s="306" t="s">
        <v>961</v>
      </c>
      <c r="D91" s="235" t="str">
        <f t="shared" si="7"/>
        <v xml:space="preserve"> OK</v>
      </c>
      <c r="E91" s="254" t="s">
        <v>1756</v>
      </c>
      <c r="F91" s="254">
        <v>0</v>
      </c>
      <c r="G91" s="298">
        <f>[3]Data!X352</f>
        <v>6096.64</v>
      </c>
      <c r="H91" s="298" t="s">
        <v>1679</v>
      </c>
      <c r="I91" s="300"/>
      <c r="J91" s="300"/>
      <c r="K91" s="270"/>
      <c r="L91" s="301"/>
      <c r="M91" s="270"/>
      <c r="N91" s="270"/>
      <c r="O91" s="270"/>
      <c r="P91" s="270"/>
      <c r="Q91" s="270"/>
      <c r="R91" s="270"/>
      <c r="S91" s="270"/>
      <c r="T91" s="301"/>
      <c r="U91" s="270"/>
      <c r="V91" s="240"/>
      <c r="W91" s="238">
        <f t="shared" si="5"/>
        <v>0</v>
      </c>
      <c r="Y91" s="223" t="str">
        <f>'[4]Development - i'!E90</f>
        <v>a. In Ground Floor Brick work in C.M. 1:6  using Chamber Burnt brick of size 23 x 11.2 x 7 cm (9" x 4 3/8" x 2 3/4")</v>
      </c>
      <c r="Z91" s="223" t="str">
        <f t="shared" si="6"/>
        <v>-----------------------</v>
      </c>
    </row>
    <row r="92" spans="1:26" s="241" customFormat="1" ht="69.75">
      <c r="A92" s="305"/>
      <c r="B92" s="306" t="s">
        <v>672</v>
      </c>
      <c r="C92" s="306" t="s">
        <v>672</v>
      </c>
      <c r="D92" s="235" t="str">
        <f t="shared" si="7"/>
        <v xml:space="preserve"> OK</v>
      </c>
      <c r="E92" s="254" t="s">
        <v>1757</v>
      </c>
      <c r="F92" s="254">
        <v>0</v>
      </c>
      <c r="G92" s="298">
        <f>[3]Data!X353</f>
        <v>6221.91</v>
      </c>
      <c r="H92" s="298" t="s">
        <v>1679</v>
      </c>
      <c r="I92" s="300"/>
      <c r="J92" s="300"/>
      <c r="K92" s="270"/>
      <c r="L92" s="301"/>
      <c r="M92" s="270"/>
      <c r="N92" s="270"/>
      <c r="O92" s="270"/>
      <c r="P92" s="270"/>
      <c r="Q92" s="270"/>
      <c r="R92" s="270"/>
      <c r="S92" s="270"/>
      <c r="T92" s="301"/>
      <c r="U92" s="270"/>
      <c r="V92" s="240"/>
      <c r="W92" s="238">
        <f t="shared" si="5"/>
        <v>0</v>
      </c>
      <c r="Y92" s="223" t="str">
        <f>'[4]Development - i'!E91</f>
        <v>b. In First floor Brick work in C.M. 1:6  using Chamber Burnt brick of size 23 x 11.2 x 7 cm (9" x 4 3/8" x 2 3/4")</v>
      </c>
      <c r="Z92" s="223" t="str">
        <f t="shared" si="6"/>
        <v>-----------------------</v>
      </c>
    </row>
    <row r="93" spans="1:26" s="241" customFormat="1" ht="69.75">
      <c r="A93" s="305"/>
      <c r="B93" s="306" t="s">
        <v>673</v>
      </c>
      <c r="C93" s="306" t="s">
        <v>673</v>
      </c>
      <c r="D93" s="235" t="str">
        <f t="shared" si="7"/>
        <v xml:space="preserve"> OK</v>
      </c>
      <c r="E93" s="254" t="s">
        <v>1758</v>
      </c>
      <c r="F93" s="254">
        <v>0</v>
      </c>
      <c r="G93" s="298">
        <f>[3]Data!X354</f>
        <v>6347.18</v>
      </c>
      <c r="H93" s="298" t="s">
        <v>1679</v>
      </c>
      <c r="I93" s="300"/>
      <c r="J93" s="300"/>
      <c r="K93" s="270"/>
      <c r="L93" s="301"/>
      <c r="M93" s="270"/>
      <c r="N93" s="270"/>
      <c r="O93" s="270"/>
      <c r="P93" s="270"/>
      <c r="Q93" s="270"/>
      <c r="R93" s="270"/>
      <c r="S93" s="270"/>
      <c r="T93" s="301"/>
      <c r="U93" s="270"/>
      <c r="V93" s="240"/>
      <c r="W93" s="238">
        <f t="shared" si="5"/>
        <v>0</v>
      </c>
      <c r="Y93" s="223" t="str">
        <f>'[4]Development - i'!E92</f>
        <v>c. In Second Floor Brick work in C.M. 1:6  using Chamber Burnt brick of size 23 x 11.2 x 7 cm (9" x 4 3/8" x 2 3/4")</v>
      </c>
      <c r="Z93" s="223" t="str">
        <f t="shared" si="6"/>
        <v>-----------------------</v>
      </c>
    </row>
    <row r="94" spans="1:26" s="241" customFormat="1" ht="69.75">
      <c r="A94" s="305"/>
      <c r="B94" s="306" t="s">
        <v>674</v>
      </c>
      <c r="C94" s="306" t="s">
        <v>674</v>
      </c>
      <c r="D94" s="235" t="str">
        <f t="shared" si="7"/>
        <v xml:space="preserve"> OK</v>
      </c>
      <c r="E94" s="254" t="s">
        <v>1759</v>
      </c>
      <c r="F94" s="254">
        <v>0</v>
      </c>
      <c r="G94" s="298">
        <f>[3]Data!X355</f>
        <v>6472.45</v>
      </c>
      <c r="H94" s="298" t="s">
        <v>1679</v>
      </c>
      <c r="I94" s="300"/>
      <c r="J94" s="300"/>
      <c r="K94" s="270"/>
      <c r="L94" s="301"/>
      <c r="M94" s="270"/>
      <c r="N94" s="270"/>
      <c r="O94" s="270"/>
      <c r="P94" s="270"/>
      <c r="Q94" s="270"/>
      <c r="R94" s="270"/>
      <c r="S94" s="270"/>
      <c r="T94" s="301"/>
      <c r="U94" s="270"/>
      <c r="V94" s="240"/>
      <c r="W94" s="238">
        <f t="shared" si="5"/>
        <v>0</v>
      </c>
      <c r="Y94" s="223" t="str">
        <f>'[4]Development - i'!E93</f>
        <v>d. In Third Floor Brick work in C.M. 1:6  using Chamber Burnt brick of size 23 x 11.2 x 7 cm (9" x 4 3/8" x 2 3/4")</v>
      </c>
      <c r="Z94" s="223" t="str">
        <f t="shared" si="6"/>
        <v>-----------------------</v>
      </c>
    </row>
    <row r="95" spans="1:26" s="241" customFormat="1" ht="69.75">
      <c r="A95" s="305"/>
      <c r="B95" s="306" t="s">
        <v>675</v>
      </c>
      <c r="C95" s="306" t="s">
        <v>675</v>
      </c>
      <c r="D95" s="235" t="str">
        <f t="shared" si="7"/>
        <v xml:space="preserve"> OK</v>
      </c>
      <c r="E95" s="254" t="s">
        <v>1760</v>
      </c>
      <c r="F95" s="254">
        <v>0</v>
      </c>
      <c r="G95" s="298">
        <f>[3]Data!X356</f>
        <v>6597.72</v>
      </c>
      <c r="H95" s="298" t="s">
        <v>1679</v>
      </c>
      <c r="I95" s="300"/>
      <c r="J95" s="300"/>
      <c r="K95" s="270"/>
      <c r="L95" s="301"/>
      <c r="M95" s="270"/>
      <c r="N95" s="270"/>
      <c r="O95" s="270"/>
      <c r="P95" s="270"/>
      <c r="Q95" s="270"/>
      <c r="R95" s="270"/>
      <c r="S95" s="270"/>
      <c r="T95" s="301"/>
      <c r="U95" s="270"/>
      <c r="V95" s="240"/>
      <c r="W95" s="238">
        <f t="shared" si="5"/>
        <v>0</v>
      </c>
      <c r="Y95" s="223" t="str">
        <f>'[4]Development - i'!E94</f>
        <v>e. In Fourth Floor Brick work in C.M. 1:6  using Chamber Burnt brick of size 23 x 11.2 x 7 cm (9" x 4 3/8" x 2 3/4")</v>
      </c>
      <c r="Z95" s="223" t="str">
        <f t="shared" si="6"/>
        <v>-----------------------</v>
      </c>
    </row>
    <row r="96" spans="1:26" s="241" customFormat="1" ht="108.75">
      <c r="A96" s="305">
        <v>9.1999999999999993</v>
      </c>
      <c r="B96" s="314" t="s">
        <v>1761</v>
      </c>
      <c r="C96" s="314" t="s">
        <v>669</v>
      </c>
      <c r="D96" s="235" t="str">
        <f t="shared" si="7"/>
        <v xml:space="preserve"> OK</v>
      </c>
      <c r="E96" s="254" t="s">
        <v>1762</v>
      </c>
      <c r="F96" s="254" t="s">
        <v>670</v>
      </c>
      <c r="G96" s="298"/>
      <c r="H96" s="298"/>
      <c r="I96" s="300"/>
      <c r="J96" s="300"/>
      <c r="K96" s="270"/>
      <c r="L96" s="301"/>
      <c r="M96" s="270"/>
      <c r="N96" s="270"/>
      <c r="O96" s="270"/>
      <c r="P96" s="270"/>
      <c r="Q96" s="270"/>
      <c r="R96" s="270"/>
      <c r="S96" s="270"/>
      <c r="T96" s="301"/>
      <c r="U96" s="270"/>
      <c r="V96" s="240"/>
      <c r="W96" s="238">
        <f t="shared" si="5"/>
        <v>0</v>
      </c>
      <c r="Y96" s="223" t="str">
        <f>'[4]Development - i'!E95</f>
        <v>Brick work in C.M. 1:6 using chamber Burnt bricks of size 23 x 11.4 x 7.5 cm (9" x 4 1/2"x 3")</v>
      </c>
      <c r="Z96" s="223" t="str">
        <f t="shared" si="6"/>
        <v>-----------------------</v>
      </c>
    </row>
    <row r="97" spans="1:26" s="241" customFormat="1" ht="69.75">
      <c r="A97" s="305"/>
      <c r="B97" s="306" t="s">
        <v>671</v>
      </c>
      <c r="C97" s="306" t="s">
        <v>671</v>
      </c>
      <c r="D97" s="235" t="str">
        <f t="shared" si="7"/>
        <v xml:space="preserve"> OK</v>
      </c>
      <c r="E97" s="254" t="s">
        <v>1763</v>
      </c>
      <c r="F97" s="254" t="s">
        <v>671</v>
      </c>
      <c r="G97" s="298">
        <f>ROUND([3]Data!AG352,2)</f>
        <v>5795.44</v>
      </c>
      <c r="H97" s="298" t="s">
        <v>1679</v>
      </c>
      <c r="I97" s="300"/>
      <c r="J97" s="300"/>
      <c r="K97" s="270"/>
      <c r="L97" s="301"/>
      <c r="M97" s="270"/>
      <c r="N97" s="270"/>
      <c r="O97" s="270"/>
      <c r="P97" s="270"/>
      <c r="Q97" s="270"/>
      <c r="R97" s="270"/>
      <c r="S97" s="270"/>
      <c r="T97" s="301"/>
      <c r="U97" s="270"/>
      <c r="V97" s="240"/>
      <c r="W97" s="238">
        <f t="shared" si="5"/>
        <v>0</v>
      </c>
      <c r="Y97" s="223" t="str">
        <f>'[4]Development - i'!E96</f>
        <v>a. In Ground Floor/Stilt floor Brick work in C.M. 1:6 using chamber Burnt bricks of size 23 x 11.4 x 7.5 cm (9" x 4 1/2"x 3")</v>
      </c>
      <c r="Z97" s="223" t="str">
        <f t="shared" si="6"/>
        <v>-----------------------</v>
      </c>
    </row>
    <row r="98" spans="1:26" s="241" customFormat="1" ht="46.5">
      <c r="A98" s="305"/>
      <c r="B98" s="306" t="s">
        <v>672</v>
      </c>
      <c r="C98" s="306" t="s">
        <v>672</v>
      </c>
      <c r="D98" s="235" t="str">
        <f t="shared" si="7"/>
        <v xml:space="preserve"> OK</v>
      </c>
      <c r="E98" s="254" t="s">
        <v>1764</v>
      </c>
      <c r="F98" s="254" t="s">
        <v>672</v>
      </c>
      <c r="G98" s="298">
        <f>ROUND([3]Data!AG353,2)</f>
        <v>5920.71</v>
      </c>
      <c r="H98" s="298" t="s">
        <v>1679</v>
      </c>
      <c r="I98" s="300"/>
      <c r="J98" s="300"/>
      <c r="K98" s="270"/>
      <c r="L98" s="301"/>
      <c r="M98" s="270"/>
      <c r="N98" s="270"/>
      <c r="O98" s="270"/>
      <c r="P98" s="270"/>
      <c r="Q98" s="270"/>
      <c r="R98" s="270"/>
      <c r="S98" s="270"/>
      <c r="T98" s="301"/>
      <c r="U98" s="270"/>
      <c r="V98" s="240"/>
      <c r="W98" s="238">
        <f t="shared" si="5"/>
        <v>0</v>
      </c>
      <c r="Y98" s="223" t="str">
        <f>'[4]Development - i'!E97</f>
        <v>b. In First Floor Brick work in C.M. 1:6 using chamber Burnt bricks of size 23 x 11.4 x 7.5 cm (9" x 4 1/2"x 3")</v>
      </c>
      <c r="Z98" s="223" t="str">
        <f t="shared" si="6"/>
        <v>-----------------------</v>
      </c>
    </row>
    <row r="99" spans="1:26" s="241" customFormat="1" ht="69.75">
      <c r="A99" s="305"/>
      <c r="B99" s="306" t="s">
        <v>673</v>
      </c>
      <c r="C99" s="306" t="s">
        <v>673</v>
      </c>
      <c r="D99" s="235" t="str">
        <f t="shared" si="7"/>
        <v xml:space="preserve"> OK</v>
      </c>
      <c r="E99" s="254" t="s">
        <v>1765</v>
      </c>
      <c r="F99" s="254" t="s">
        <v>673</v>
      </c>
      <c r="G99" s="298">
        <f>ROUND([3]Data!AG354,2)</f>
        <v>6045.98</v>
      </c>
      <c r="H99" s="298" t="s">
        <v>1679</v>
      </c>
      <c r="I99" s="300"/>
      <c r="J99" s="300"/>
      <c r="K99" s="270"/>
      <c r="L99" s="301"/>
      <c r="M99" s="270"/>
      <c r="N99" s="270"/>
      <c r="O99" s="270"/>
      <c r="P99" s="270"/>
      <c r="Q99" s="270"/>
      <c r="R99" s="270"/>
      <c r="S99" s="270"/>
      <c r="T99" s="301"/>
      <c r="U99" s="270"/>
      <c r="V99" s="240"/>
      <c r="W99" s="238">
        <f t="shared" si="5"/>
        <v>0</v>
      </c>
      <c r="Y99" s="223" t="str">
        <f>'[4]Development - i'!E98</f>
        <v>c. In Second Floor Brick work in C.M. 1:6 using chamber Burnt bricks of size 23 x 11.4 x 7.5 cm (9" x 4 1/2"x 3")</v>
      </c>
      <c r="Z99" s="223" t="str">
        <f t="shared" si="6"/>
        <v>-----------------------</v>
      </c>
    </row>
    <row r="100" spans="1:26" s="241" customFormat="1" ht="46.5">
      <c r="A100" s="305"/>
      <c r="B100" s="306" t="s">
        <v>674</v>
      </c>
      <c r="C100" s="306" t="s">
        <v>674</v>
      </c>
      <c r="D100" s="235" t="str">
        <f t="shared" si="7"/>
        <v xml:space="preserve"> OK</v>
      </c>
      <c r="E100" s="254" t="s">
        <v>1766</v>
      </c>
      <c r="F100" s="254" t="s">
        <v>674</v>
      </c>
      <c r="G100" s="298">
        <f>ROUND([3]Data!AG355,2)</f>
        <v>6171.25</v>
      </c>
      <c r="H100" s="298" t="s">
        <v>1679</v>
      </c>
      <c r="I100" s="300"/>
      <c r="J100" s="300"/>
      <c r="K100" s="270"/>
      <c r="L100" s="301"/>
      <c r="M100" s="270"/>
      <c r="N100" s="270"/>
      <c r="O100" s="270"/>
      <c r="P100" s="270"/>
      <c r="Q100" s="270"/>
      <c r="R100" s="270"/>
      <c r="S100" s="270"/>
      <c r="T100" s="301"/>
      <c r="U100" s="270"/>
      <c r="V100" s="240"/>
      <c r="W100" s="238">
        <f t="shared" si="5"/>
        <v>0</v>
      </c>
      <c r="Y100" s="223" t="str">
        <f>'[4]Development - i'!E99</f>
        <v>d. In Third Floor Brick work in C.M. 1:6 using chamber Burnt bricks of size 23 x 11.4 x 7.5 cm (9" x 4 1/2"x 3")</v>
      </c>
      <c r="Z100" s="223" t="str">
        <f t="shared" si="6"/>
        <v>-----------------------</v>
      </c>
    </row>
    <row r="101" spans="1:26" s="241" customFormat="1" ht="69.75">
      <c r="A101" s="305"/>
      <c r="B101" s="306" t="s">
        <v>675</v>
      </c>
      <c r="C101" s="306" t="s">
        <v>675</v>
      </c>
      <c r="D101" s="235" t="str">
        <f t="shared" si="7"/>
        <v xml:space="preserve"> OK</v>
      </c>
      <c r="E101" s="254" t="s">
        <v>1767</v>
      </c>
      <c r="F101" s="254" t="s">
        <v>675</v>
      </c>
      <c r="G101" s="298">
        <f>ROUND([3]Data!AG356,2)</f>
        <v>6296.52</v>
      </c>
      <c r="H101" s="298" t="s">
        <v>1679</v>
      </c>
      <c r="I101" s="300"/>
      <c r="J101" s="300"/>
      <c r="K101" s="270"/>
      <c r="L101" s="301"/>
      <c r="M101" s="270"/>
      <c r="N101" s="270"/>
      <c r="O101" s="270"/>
      <c r="P101" s="270"/>
      <c r="Q101" s="270"/>
      <c r="R101" s="270"/>
      <c r="S101" s="270"/>
      <c r="T101" s="301"/>
      <c r="U101" s="270"/>
      <c r="V101" s="240"/>
      <c r="W101" s="238">
        <f t="shared" si="5"/>
        <v>0</v>
      </c>
      <c r="Y101" s="223" t="str">
        <f>'[4]Development - i'!E100</f>
        <v>e. In Fourth Floor Brick work in C.M. 1:6 using chamber Burnt bricks of size 23 x 11.4 x 7.5 cm (9" x 4 1/2"x 3")</v>
      </c>
      <c r="Z101" s="223" t="str">
        <f t="shared" si="6"/>
        <v>-----------------------</v>
      </c>
    </row>
    <row r="102" spans="1:26" s="241" customFormat="1" ht="46.5">
      <c r="A102" s="305"/>
      <c r="B102" s="306" t="s">
        <v>660</v>
      </c>
      <c r="C102" s="306" t="s">
        <v>660</v>
      </c>
      <c r="D102" s="235" t="str">
        <f t="shared" si="7"/>
        <v xml:space="preserve"> OK</v>
      </c>
      <c r="E102" s="254" t="s">
        <v>1768</v>
      </c>
      <c r="F102" s="254" t="s">
        <v>660</v>
      </c>
      <c r="G102" s="298">
        <f>ROUND([3]Data!AG360,2)</f>
        <v>6421.79</v>
      </c>
      <c r="H102" s="298" t="s">
        <v>1679</v>
      </c>
      <c r="I102" s="300"/>
      <c r="J102" s="300"/>
      <c r="K102" s="270"/>
      <c r="L102" s="301"/>
      <c r="M102" s="270"/>
      <c r="N102" s="270"/>
      <c r="O102" s="270"/>
      <c r="P102" s="270"/>
      <c r="Q102" s="270"/>
      <c r="R102" s="270"/>
      <c r="S102" s="270"/>
      <c r="T102" s="301"/>
      <c r="U102" s="270"/>
      <c r="V102" s="240"/>
      <c r="W102" s="238">
        <f t="shared" si="5"/>
        <v>0</v>
      </c>
      <c r="Y102" s="223" t="str">
        <f>'[4]Development - i'!E101</f>
        <v>f.  In Fifth floor Brick work in C.M. 1:6 using chamber Burnt bricks of size 23 x 11.4 x 7.5 cm (9" x 4 1/2"x 3")</v>
      </c>
      <c r="Z102" s="223" t="str">
        <f t="shared" si="6"/>
        <v>-----------------------</v>
      </c>
    </row>
    <row r="103" spans="1:26" s="241" customFormat="1" ht="46.5">
      <c r="A103" s="305"/>
      <c r="B103" s="306" t="s">
        <v>661</v>
      </c>
      <c r="C103" s="306" t="s">
        <v>661</v>
      </c>
      <c r="D103" s="235" t="str">
        <f t="shared" si="7"/>
        <v xml:space="preserve"> OK</v>
      </c>
      <c r="E103" s="254" t="s">
        <v>1769</v>
      </c>
      <c r="F103" s="254" t="s">
        <v>661</v>
      </c>
      <c r="G103" s="298">
        <f>ROUND([3]Data!AG361,2)</f>
        <v>6547.06</v>
      </c>
      <c r="H103" s="298" t="s">
        <v>1679</v>
      </c>
      <c r="I103" s="300"/>
      <c r="J103" s="300"/>
      <c r="K103" s="270"/>
      <c r="L103" s="301"/>
      <c r="M103" s="270"/>
      <c r="N103" s="270"/>
      <c r="O103" s="270"/>
      <c r="P103" s="270"/>
      <c r="Q103" s="270"/>
      <c r="R103" s="270"/>
      <c r="S103" s="270"/>
      <c r="T103" s="301"/>
      <c r="U103" s="270"/>
      <c r="V103" s="240"/>
      <c r="W103" s="238">
        <f t="shared" si="5"/>
        <v>0</v>
      </c>
      <c r="Y103" s="223" t="str">
        <f>'[4]Development - i'!E102</f>
        <v>g.  In sixth floor Brick work in C.M. 1:6 using chamber Burnt bricks of size 23 x 11.4 x 7.5 cm (9" x 4 1/2"x 3")</v>
      </c>
      <c r="Z103" s="223" t="str">
        <f t="shared" si="6"/>
        <v>-----------------------</v>
      </c>
    </row>
    <row r="104" spans="1:26" s="241" customFormat="1" ht="69.75">
      <c r="A104" s="305"/>
      <c r="B104" s="306" t="s">
        <v>662</v>
      </c>
      <c r="C104" s="306" t="s">
        <v>662</v>
      </c>
      <c r="D104" s="235" t="str">
        <f t="shared" si="7"/>
        <v xml:space="preserve"> OK</v>
      </c>
      <c r="E104" s="254" t="s">
        <v>1770</v>
      </c>
      <c r="F104" s="254" t="s">
        <v>662</v>
      </c>
      <c r="G104" s="298">
        <f>ROUND([3]Data!AG362,2)</f>
        <v>6672.33</v>
      </c>
      <c r="H104" s="298" t="s">
        <v>1679</v>
      </c>
      <c r="I104" s="300"/>
      <c r="J104" s="300"/>
      <c r="K104" s="270"/>
      <c r="L104" s="301"/>
      <c r="M104" s="270"/>
      <c r="N104" s="270"/>
      <c r="O104" s="270"/>
      <c r="P104" s="270"/>
      <c r="Q104" s="270"/>
      <c r="R104" s="270"/>
      <c r="S104" s="270"/>
      <c r="T104" s="301"/>
      <c r="U104" s="270"/>
      <c r="V104" s="240"/>
      <c r="W104" s="238">
        <f t="shared" si="5"/>
        <v>0</v>
      </c>
      <c r="Y104" s="223" t="str">
        <f>'[4]Development - i'!E103</f>
        <v>h.  In seventh floor Brick work in C.M. 1:6 using chamber Burnt bricks of size 23 x 11.4 x 7.5 cm (9" x 4 1/2"x 3")</v>
      </c>
      <c r="Z104" s="223" t="str">
        <f t="shared" si="6"/>
        <v>-----------------------</v>
      </c>
    </row>
    <row r="105" spans="1:26" s="241" customFormat="1" ht="46.5">
      <c r="A105" s="305"/>
      <c r="B105" s="306" t="s">
        <v>663</v>
      </c>
      <c r="C105" s="306" t="s">
        <v>663</v>
      </c>
      <c r="D105" s="235" t="str">
        <f t="shared" si="7"/>
        <v xml:space="preserve"> OK</v>
      </c>
      <c r="E105" s="254" t="s">
        <v>1771</v>
      </c>
      <c r="F105" s="254" t="s">
        <v>663</v>
      </c>
      <c r="G105" s="298">
        <f>ROUND([3]Data!AG363,2)</f>
        <v>6797.6</v>
      </c>
      <c r="H105" s="298" t="s">
        <v>1679</v>
      </c>
      <c r="I105" s="300"/>
      <c r="J105" s="300"/>
      <c r="K105" s="270"/>
      <c r="L105" s="301"/>
      <c r="M105" s="270"/>
      <c r="N105" s="270"/>
      <c r="O105" s="270"/>
      <c r="P105" s="270"/>
      <c r="Q105" s="270"/>
      <c r="R105" s="270"/>
      <c r="S105" s="270"/>
      <c r="T105" s="301"/>
      <c r="U105" s="270"/>
      <c r="V105" s="240"/>
      <c r="W105" s="238">
        <f t="shared" si="5"/>
        <v>0</v>
      </c>
      <c r="Y105" s="223" t="str">
        <f>'[4]Development - i'!E104</f>
        <v>i.  In eighth floor Brick work in C.M. 1:6 using chamber Burnt bricks of size 23 x 11.4 x 7.5 cm (9" x 4 1/2"x 3")</v>
      </c>
      <c r="Z105" s="223" t="str">
        <f t="shared" si="6"/>
        <v>-----------------------</v>
      </c>
    </row>
    <row r="106" spans="1:26" s="241" customFormat="1" ht="46.5">
      <c r="A106" s="305"/>
      <c r="B106" s="306" t="s">
        <v>664</v>
      </c>
      <c r="C106" s="306" t="s">
        <v>664</v>
      </c>
      <c r="D106" s="235" t="str">
        <f t="shared" si="7"/>
        <v xml:space="preserve"> OK</v>
      </c>
      <c r="E106" s="254" t="s">
        <v>1772</v>
      </c>
      <c r="F106" s="254" t="s">
        <v>664</v>
      </c>
      <c r="G106" s="298">
        <f>ROUND([3]Data!AG364,2)</f>
        <v>6922.87</v>
      </c>
      <c r="H106" s="298" t="s">
        <v>1679</v>
      </c>
      <c r="I106" s="300"/>
      <c r="J106" s="300"/>
      <c r="K106" s="270"/>
      <c r="L106" s="301"/>
      <c r="M106" s="270"/>
      <c r="N106" s="270"/>
      <c r="O106" s="270"/>
      <c r="P106" s="270"/>
      <c r="Q106" s="270"/>
      <c r="R106" s="270"/>
      <c r="S106" s="270"/>
      <c r="T106" s="301"/>
      <c r="U106" s="270"/>
      <c r="V106" s="240"/>
      <c r="W106" s="238">
        <f t="shared" si="5"/>
        <v>0</v>
      </c>
      <c r="Y106" s="223" t="str">
        <f>'[4]Development - i'!E105</f>
        <v>j.  In Ninth floor Brick work in C.M. 1:6 using chamber Burnt bricks of size 23 x 11.4 x 7.5 cm (9" x 4 1/2"x 3")</v>
      </c>
      <c r="Z106" s="223" t="str">
        <f t="shared" si="6"/>
        <v>-----------------------</v>
      </c>
    </row>
    <row r="107" spans="1:26" s="241" customFormat="1" ht="46.5">
      <c r="A107" s="305"/>
      <c r="B107" s="306" t="s">
        <v>665</v>
      </c>
      <c r="C107" s="306" t="s">
        <v>665</v>
      </c>
      <c r="D107" s="235" t="str">
        <f t="shared" si="7"/>
        <v xml:space="preserve"> OK</v>
      </c>
      <c r="E107" s="254" t="s">
        <v>1773</v>
      </c>
      <c r="F107" s="254" t="s">
        <v>665</v>
      </c>
      <c r="G107" s="298">
        <f>ROUND([3]Data!AG365,2)</f>
        <v>7048.14</v>
      </c>
      <c r="H107" s="298" t="s">
        <v>1679</v>
      </c>
      <c r="I107" s="300"/>
      <c r="J107" s="300"/>
      <c r="K107" s="270"/>
      <c r="L107" s="301"/>
      <c r="M107" s="270"/>
      <c r="N107" s="270"/>
      <c r="O107" s="270"/>
      <c r="P107" s="270"/>
      <c r="Q107" s="270"/>
      <c r="R107" s="270"/>
      <c r="S107" s="270"/>
      <c r="T107" s="301"/>
      <c r="U107" s="270"/>
      <c r="V107" s="240"/>
      <c r="W107" s="238">
        <f t="shared" si="5"/>
        <v>0</v>
      </c>
      <c r="Y107" s="223" t="str">
        <f>'[4]Development - i'!E106</f>
        <v>k.  In Tenth floor Brick work in C.M. 1:6 using chamber Burnt bricks of size 23 x 11.4 x 7.5 cm (9" x 4 1/2"x 3")</v>
      </c>
      <c r="Z107" s="223" t="str">
        <f t="shared" si="6"/>
        <v>-----------------------</v>
      </c>
    </row>
    <row r="108" spans="1:26" s="241" customFormat="1" ht="69.75">
      <c r="A108" s="305"/>
      <c r="B108" s="306" t="s">
        <v>666</v>
      </c>
      <c r="C108" s="306" t="s">
        <v>666</v>
      </c>
      <c r="D108" s="235" t="str">
        <f t="shared" si="7"/>
        <v xml:space="preserve"> OK</v>
      </c>
      <c r="E108" s="254" t="s">
        <v>1774</v>
      </c>
      <c r="F108" s="254" t="s">
        <v>666</v>
      </c>
      <c r="G108" s="298">
        <f>ROUND([3]Data!AG366,2)</f>
        <v>7173.41</v>
      </c>
      <c r="H108" s="298" t="s">
        <v>1679</v>
      </c>
      <c r="I108" s="300"/>
      <c r="J108" s="300"/>
      <c r="K108" s="270"/>
      <c r="L108" s="301"/>
      <c r="M108" s="270"/>
      <c r="N108" s="270"/>
      <c r="O108" s="270"/>
      <c r="P108" s="270"/>
      <c r="Q108" s="270"/>
      <c r="R108" s="270"/>
      <c r="S108" s="270"/>
      <c r="T108" s="301"/>
      <c r="U108" s="270"/>
      <c r="V108" s="240"/>
      <c r="W108" s="238">
        <f t="shared" si="5"/>
        <v>0</v>
      </c>
      <c r="Y108" s="223" t="str">
        <f>'[4]Development - i'!E107</f>
        <v>l.  In Eleventh floor Brick work in C.M. 1:6 using chamber Burnt bricks of size 23 x 11.4 x 7.5 cm (9" x 4 1/2"x 3")</v>
      </c>
      <c r="Z108" s="223" t="str">
        <f t="shared" si="6"/>
        <v>-----------------------</v>
      </c>
    </row>
    <row r="109" spans="1:26" s="241" customFormat="1" ht="69.75">
      <c r="A109" s="305"/>
      <c r="B109" s="306" t="s">
        <v>667</v>
      </c>
      <c r="C109" s="306" t="s">
        <v>667</v>
      </c>
      <c r="D109" s="235" t="str">
        <f t="shared" si="7"/>
        <v xml:space="preserve"> OK</v>
      </c>
      <c r="E109" s="254" t="s">
        <v>1775</v>
      </c>
      <c r="F109" s="254" t="s">
        <v>667</v>
      </c>
      <c r="G109" s="298">
        <f>ROUND([3]Data!AG367,2)</f>
        <v>7298.68</v>
      </c>
      <c r="H109" s="298" t="s">
        <v>1679</v>
      </c>
      <c r="I109" s="300"/>
      <c r="J109" s="300"/>
      <c r="K109" s="270"/>
      <c r="L109" s="301"/>
      <c r="M109" s="270"/>
      <c r="N109" s="270"/>
      <c r="O109" s="270"/>
      <c r="P109" s="270"/>
      <c r="Q109" s="270"/>
      <c r="R109" s="270"/>
      <c r="S109" s="270"/>
      <c r="T109" s="301"/>
      <c r="U109" s="270"/>
      <c r="V109" s="240"/>
      <c r="W109" s="238">
        <f t="shared" si="5"/>
        <v>0</v>
      </c>
      <c r="Y109" s="223" t="str">
        <f>'[4]Development - i'!E108</f>
        <v>m.  In Twelth floor Brick work in C.M. 1:6 using chamber Burnt bricks of size 23 x 11.4 x 7.5 cm (9" x 4 1/2"x 3")</v>
      </c>
      <c r="Z109" s="223" t="str">
        <f t="shared" si="6"/>
        <v>-----------------------</v>
      </c>
    </row>
    <row r="110" spans="1:26" s="241" customFormat="1" ht="69.75">
      <c r="A110" s="305"/>
      <c r="B110" s="306" t="s">
        <v>676</v>
      </c>
      <c r="C110" s="306" t="s">
        <v>676</v>
      </c>
      <c r="D110" s="235" t="str">
        <f t="shared" si="7"/>
        <v xml:space="preserve"> OK</v>
      </c>
      <c r="E110" s="254" t="s">
        <v>1776</v>
      </c>
      <c r="F110" s="254" t="s">
        <v>676</v>
      </c>
      <c r="G110" s="298">
        <f>ROUND([3]Data!AG368,2)</f>
        <v>7423.95</v>
      </c>
      <c r="H110" s="298" t="s">
        <v>1679</v>
      </c>
      <c r="I110" s="300"/>
      <c r="J110" s="300"/>
      <c r="K110" s="270"/>
      <c r="L110" s="301"/>
      <c r="M110" s="270"/>
      <c r="N110" s="270"/>
      <c r="O110" s="270"/>
      <c r="P110" s="270"/>
      <c r="Q110" s="270"/>
      <c r="R110" s="270"/>
      <c r="S110" s="270"/>
      <c r="T110" s="301"/>
      <c r="U110" s="270"/>
      <c r="V110" s="240"/>
      <c r="W110" s="238">
        <f t="shared" si="5"/>
        <v>0</v>
      </c>
      <c r="Y110" s="223" t="str">
        <f>'[4]Development - i'!E109</f>
        <v>n. In thirteen floor Brick work in C.M. 1:6 using chamber Burnt bricks of size 23 x 11.4 x 7.5 cm (9" x 4 1/2"x 3")</v>
      </c>
      <c r="Z110" s="223" t="str">
        <f t="shared" si="6"/>
        <v>-----------------------</v>
      </c>
    </row>
    <row r="111" spans="1:26" s="241" customFormat="1" ht="46.5">
      <c r="A111" s="305">
        <v>9.3000000000000007</v>
      </c>
      <c r="B111" s="306" t="s">
        <v>677</v>
      </c>
      <c r="C111" s="306" t="s">
        <v>677</v>
      </c>
      <c r="D111" s="235" t="str">
        <f t="shared" si="7"/>
        <v xml:space="preserve"> OK</v>
      </c>
      <c r="E111" s="254" t="s">
        <v>677</v>
      </c>
      <c r="F111" s="254">
        <v>0</v>
      </c>
      <c r="G111" s="298"/>
      <c r="H111" s="298"/>
      <c r="I111" s="300"/>
      <c r="J111" s="300"/>
      <c r="K111" s="270"/>
      <c r="L111" s="301"/>
      <c r="M111" s="270"/>
      <c r="N111" s="270"/>
      <c r="O111" s="270"/>
      <c r="P111" s="270"/>
      <c r="Q111" s="270"/>
      <c r="R111" s="270"/>
      <c r="S111" s="270"/>
      <c r="T111" s="301"/>
      <c r="U111" s="270"/>
      <c r="V111" s="240"/>
      <c r="W111" s="238">
        <f t="shared" si="5"/>
        <v>0</v>
      </c>
      <c r="Y111" s="223" t="str">
        <f>'[4]Development - i'!E110</f>
        <v>Brick work in C.M. 1:6  using Chamber Burnt brick of size 23 x 11 x 7 cm (9" x 4 1/4" x 2 3/4")</v>
      </c>
      <c r="Z111" s="223" t="str">
        <f t="shared" si="6"/>
        <v>-----------------------</v>
      </c>
    </row>
    <row r="112" spans="1:26" s="241" customFormat="1" ht="69.75">
      <c r="A112" s="305"/>
      <c r="B112" s="306" t="s">
        <v>961</v>
      </c>
      <c r="C112" s="306" t="s">
        <v>961</v>
      </c>
      <c r="D112" s="235" t="str">
        <f t="shared" si="7"/>
        <v xml:space="preserve"> OK</v>
      </c>
      <c r="E112" s="254" t="s">
        <v>1777</v>
      </c>
      <c r="F112" s="254">
        <v>0</v>
      </c>
      <c r="G112" s="298"/>
      <c r="H112" s="298" t="s">
        <v>1679</v>
      </c>
      <c r="I112" s="300"/>
      <c r="J112" s="300"/>
      <c r="K112" s="270"/>
      <c r="L112" s="301"/>
      <c r="M112" s="270"/>
      <c r="N112" s="270"/>
      <c r="O112" s="270"/>
      <c r="P112" s="270"/>
      <c r="Q112" s="270"/>
      <c r="R112" s="270"/>
      <c r="S112" s="270"/>
      <c r="T112" s="301"/>
      <c r="U112" s="270"/>
      <c r="V112" s="240"/>
      <c r="W112" s="238">
        <f t="shared" si="5"/>
        <v>0</v>
      </c>
      <c r="Y112" s="223" t="str">
        <f>'[4]Development - i'!E111</f>
        <v>a. In Ground Floor Brick work in C.M. 1:6  using Chamber Burnt brick of size 23 x 11 x 7 cm (9" x 4 1/4" x 2 3/4")</v>
      </c>
      <c r="Z112" s="223" t="str">
        <f t="shared" si="6"/>
        <v>-----------------------</v>
      </c>
    </row>
    <row r="113" spans="1:26" s="241" customFormat="1" ht="46.5">
      <c r="A113" s="305"/>
      <c r="B113" s="306" t="s">
        <v>672</v>
      </c>
      <c r="C113" s="306" t="s">
        <v>672</v>
      </c>
      <c r="D113" s="235" t="str">
        <f t="shared" si="7"/>
        <v xml:space="preserve"> OK</v>
      </c>
      <c r="E113" s="254" t="s">
        <v>1778</v>
      </c>
      <c r="F113" s="254">
        <v>0</v>
      </c>
      <c r="G113" s="298"/>
      <c r="H113" s="298" t="s">
        <v>1679</v>
      </c>
      <c r="I113" s="300"/>
      <c r="J113" s="300"/>
      <c r="K113" s="270"/>
      <c r="L113" s="301"/>
      <c r="M113" s="270"/>
      <c r="N113" s="270"/>
      <c r="O113" s="270"/>
      <c r="P113" s="270"/>
      <c r="Q113" s="270"/>
      <c r="R113" s="270"/>
      <c r="S113" s="270"/>
      <c r="T113" s="301"/>
      <c r="U113" s="270"/>
      <c r="V113" s="240"/>
      <c r="W113" s="238">
        <f t="shared" si="5"/>
        <v>0</v>
      </c>
      <c r="Y113" s="223" t="str">
        <f>'[4]Development - i'!E112</f>
        <v>b. In First Floor Brick work in C.M. 1:6  using Chamber Burnt brick of size 23 x 11 x 7 cm (9" x 4 1/4" x 2 3/4")</v>
      </c>
      <c r="Z113" s="223" t="str">
        <f t="shared" si="6"/>
        <v>-----------------------</v>
      </c>
    </row>
    <row r="114" spans="1:26" s="241" customFormat="1" ht="69.75">
      <c r="A114" s="305"/>
      <c r="B114" s="306" t="s">
        <v>673</v>
      </c>
      <c r="C114" s="306" t="s">
        <v>673</v>
      </c>
      <c r="D114" s="235" t="str">
        <f t="shared" si="7"/>
        <v xml:space="preserve"> OK</v>
      </c>
      <c r="E114" s="254" t="s">
        <v>1779</v>
      </c>
      <c r="F114" s="254">
        <v>0</v>
      </c>
      <c r="G114" s="298"/>
      <c r="H114" s="298" t="s">
        <v>1679</v>
      </c>
      <c r="I114" s="300"/>
      <c r="J114" s="300"/>
      <c r="K114" s="270"/>
      <c r="L114" s="301"/>
      <c r="M114" s="270"/>
      <c r="N114" s="270"/>
      <c r="O114" s="270"/>
      <c r="P114" s="270"/>
      <c r="Q114" s="270"/>
      <c r="R114" s="270"/>
      <c r="S114" s="270"/>
      <c r="T114" s="301"/>
      <c r="U114" s="270"/>
      <c r="V114" s="240"/>
      <c r="W114" s="238">
        <f t="shared" si="5"/>
        <v>0</v>
      </c>
      <c r="Y114" s="223" t="str">
        <f>'[4]Development - i'!E113</f>
        <v>c. In Second Floor Brick work in C.M. 1:6  using Chamber Burnt brick of size 23 x 11 x 7 cm (9" x 4 1/4" x 2 3/4")</v>
      </c>
      <c r="Z114" s="223" t="str">
        <f t="shared" si="6"/>
        <v>-----------------------</v>
      </c>
    </row>
    <row r="115" spans="1:26" s="241" customFormat="1" ht="69.75">
      <c r="A115" s="305"/>
      <c r="B115" s="306" t="s">
        <v>674</v>
      </c>
      <c r="C115" s="306" t="s">
        <v>674</v>
      </c>
      <c r="D115" s="235" t="str">
        <f t="shared" si="7"/>
        <v xml:space="preserve"> OK</v>
      </c>
      <c r="E115" s="254" t="s">
        <v>1780</v>
      </c>
      <c r="F115" s="254">
        <v>0</v>
      </c>
      <c r="G115" s="298"/>
      <c r="H115" s="298" t="s">
        <v>1679</v>
      </c>
      <c r="I115" s="300"/>
      <c r="J115" s="300"/>
      <c r="K115" s="270"/>
      <c r="L115" s="301"/>
      <c r="M115" s="270"/>
      <c r="N115" s="270"/>
      <c r="O115" s="270"/>
      <c r="P115" s="270"/>
      <c r="Q115" s="270"/>
      <c r="R115" s="270"/>
      <c r="S115" s="270"/>
      <c r="T115" s="301"/>
      <c r="U115" s="270"/>
      <c r="V115" s="240"/>
      <c r="W115" s="238">
        <f t="shared" si="5"/>
        <v>0</v>
      </c>
      <c r="Y115" s="223" t="str">
        <f>'[4]Development - i'!E114</f>
        <v>d. In Third Floor Brick work in C.M. 1:6  using Chamber Burnt brick of size 23 x 11 x 7 cm (9" x 4 1/4" x 2 3/4")</v>
      </c>
      <c r="Z115" s="223" t="str">
        <f t="shared" si="6"/>
        <v>-----------------------</v>
      </c>
    </row>
    <row r="116" spans="1:26" s="241" customFormat="1" ht="69.75">
      <c r="A116" s="319"/>
      <c r="B116" s="306" t="s">
        <v>675</v>
      </c>
      <c r="C116" s="306" t="s">
        <v>675</v>
      </c>
      <c r="D116" s="235" t="str">
        <f t="shared" si="7"/>
        <v xml:space="preserve"> OK</v>
      </c>
      <c r="E116" s="254" t="s">
        <v>1781</v>
      </c>
      <c r="F116" s="254">
        <v>0</v>
      </c>
      <c r="G116" s="298"/>
      <c r="H116" s="298" t="s">
        <v>1679</v>
      </c>
      <c r="I116" s="300"/>
      <c r="J116" s="300"/>
      <c r="K116" s="270"/>
      <c r="L116" s="301"/>
      <c r="M116" s="270"/>
      <c r="N116" s="270"/>
      <c r="O116" s="270"/>
      <c r="P116" s="270"/>
      <c r="Q116" s="270"/>
      <c r="R116" s="270"/>
      <c r="S116" s="270"/>
      <c r="T116" s="301"/>
      <c r="U116" s="270"/>
      <c r="V116" s="240"/>
      <c r="W116" s="238">
        <f t="shared" si="5"/>
        <v>0</v>
      </c>
      <c r="Y116" s="223" t="str">
        <f>'[4]Development - i'!E115</f>
        <v>e. In Fourth Floor Brick work in C.M. 1:6  using Chamber Burnt brick of size 23 x 11 x 7 cm (9" x 4 1/4" x 2 3/4")</v>
      </c>
      <c r="Z116" s="223" t="str">
        <f t="shared" si="6"/>
        <v>-----------------------</v>
      </c>
    </row>
    <row r="117" spans="1:26" s="241" customFormat="1" ht="46.5">
      <c r="A117" s="305">
        <v>9.4</v>
      </c>
      <c r="B117" s="306" t="s">
        <v>1782</v>
      </c>
      <c r="C117" s="306" t="s">
        <v>678</v>
      </c>
      <c r="D117" s="235" t="str">
        <f t="shared" si="7"/>
        <v xml:space="preserve"> OK</v>
      </c>
      <c r="E117" s="254" t="s">
        <v>1783</v>
      </c>
      <c r="F117" s="254">
        <v>0</v>
      </c>
      <c r="G117" s="298"/>
      <c r="H117" s="298"/>
      <c r="I117" s="300"/>
      <c r="J117" s="300"/>
      <c r="K117" s="270"/>
      <c r="L117" s="301"/>
      <c r="M117" s="270"/>
      <c r="N117" s="270"/>
      <c r="O117" s="270"/>
      <c r="P117" s="270"/>
      <c r="Q117" s="270"/>
      <c r="R117" s="270"/>
      <c r="S117" s="270"/>
      <c r="T117" s="301"/>
      <c r="U117" s="270"/>
      <c r="V117" s="240"/>
      <c r="W117" s="238">
        <f t="shared" ref="W117:W128" si="8">ROUND(G118,2)*ROUND(V117,2)</f>
        <v>0</v>
      </c>
      <c r="Y117" s="223" t="str">
        <f>'[4]Development - i'!E116</f>
        <v>Brick work in C.M. 1:6  using Chamber Burnt brick of size 22 x 11 x 7 cm (8 3/4" x 4 1/4" x 2 3/4")</v>
      </c>
      <c r="Z117" s="223" t="str">
        <f t="shared" si="6"/>
        <v>-----------------------</v>
      </c>
    </row>
    <row r="118" spans="1:26" s="241" customFormat="1" ht="69.75">
      <c r="A118" s="305"/>
      <c r="B118" s="306" t="s">
        <v>961</v>
      </c>
      <c r="C118" s="306" t="s">
        <v>961</v>
      </c>
      <c r="D118" s="235" t="str">
        <f t="shared" si="7"/>
        <v xml:space="preserve"> OK</v>
      </c>
      <c r="E118" s="254" t="s">
        <v>1784</v>
      </c>
      <c r="F118" s="254">
        <v>0</v>
      </c>
      <c r="G118" s="298"/>
      <c r="H118" s="298" t="s">
        <v>1679</v>
      </c>
      <c r="I118" s="300"/>
      <c r="J118" s="300"/>
      <c r="K118" s="270"/>
      <c r="L118" s="301"/>
      <c r="M118" s="270"/>
      <c r="N118" s="270"/>
      <c r="O118" s="270"/>
      <c r="P118" s="270"/>
      <c r="Q118" s="270"/>
      <c r="R118" s="270"/>
      <c r="S118" s="270"/>
      <c r="T118" s="301"/>
      <c r="U118" s="270"/>
      <c r="V118" s="240"/>
      <c r="W118" s="238">
        <f t="shared" si="8"/>
        <v>0</v>
      </c>
      <c r="Y118" s="223" t="str">
        <f>'[4]Development - i'!E117</f>
        <v>a. In Ground Floor Brick work in C.M. 1:6  using Chamber Burnt brick of size 22 x 11 x 7 cm (8 3/4" x 4 1/4" x 2 3/4")</v>
      </c>
      <c r="Z118" s="223" t="str">
        <f t="shared" si="6"/>
        <v>-----------------------</v>
      </c>
    </row>
    <row r="119" spans="1:26" s="241" customFormat="1" ht="69.75">
      <c r="A119" s="305"/>
      <c r="B119" s="306" t="s">
        <v>672</v>
      </c>
      <c r="C119" s="306" t="s">
        <v>672</v>
      </c>
      <c r="D119" s="235" t="str">
        <f t="shared" si="7"/>
        <v xml:space="preserve"> OK</v>
      </c>
      <c r="E119" s="254" t="s">
        <v>1785</v>
      </c>
      <c r="F119" s="254">
        <v>0</v>
      </c>
      <c r="G119" s="298"/>
      <c r="H119" s="298" t="s">
        <v>1679</v>
      </c>
      <c r="I119" s="300"/>
      <c r="J119" s="300"/>
      <c r="K119" s="270"/>
      <c r="L119" s="301"/>
      <c r="M119" s="270"/>
      <c r="N119" s="270"/>
      <c r="O119" s="270"/>
      <c r="P119" s="270"/>
      <c r="Q119" s="270"/>
      <c r="R119" s="270"/>
      <c r="S119" s="270"/>
      <c r="T119" s="301"/>
      <c r="U119" s="270"/>
      <c r="V119" s="240"/>
      <c r="W119" s="238">
        <f t="shared" si="8"/>
        <v>0</v>
      </c>
      <c r="Y119" s="223" t="str">
        <f>'[4]Development - i'!E118</f>
        <v>b. In First Floor Brick work in C.M. 1:6  using Chamber Burnt brick of size 22 x 11 x 7 cm (8 3/4" x 4 1/4" x 2 3/4")</v>
      </c>
      <c r="Z119" s="223" t="str">
        <f t="shared" si="6"/>
        <v>-----------------------</v>
      </c>
    </row>
    <row r="120" spans="1:26" s="241" customFormat="1" ht="69.75">
      <c r="A120" s="305"/>
      <c r="B120" s="306" t="s">
        <v>673</v>
      </c>
      <c r="C120" s="306" t="s">
        <v>673</v>
      </c>
      <c r="D120" s="235" t="str">
        <f t="shared" si="7"/>
        <v xml:space="preserve"> OK</v>
      </c>
      <c r="E120" s="254" t="s">
        <v>1786</v>
      </c>
      <c r="F120" s="254">
        <v>0</v>
      </c>
      <c r="G120" s="298"/>
      <c r="H120" s="298" t="s">
        <v>1679</v>
      </c>
      <c r="I120" s="300"/>
      <c r="J120" s="300"/>
      <c r="K120" s="270"/>
      <c r="L120" s="301"/>
      <c r="M120" s="270"/>
      <c r="N120" s="270"/>
      <c r="O120" s="270"/>
      <c r="P120" s="270"/>
      <c r="Q120" s="270"/>
      <c r="R120" s="270"/>
      <c r="S120" s="270"/>
      <c r="T120" s="301"/>
      <c r="U120" s="270"/>
      <c r="V120" s="240"/>
      <c r="W120" s="238">
        <f t="shared" si="8"/>
        <v>0</v>
      </c>
      <c r="Y120" s="223" t="str">
        <f>'[4]Development - i'!E119</f>
        <v>c. In Second Floor Brick work in C.M. 1:6  using Chamber Burnt brick of size 22 x 11 x 7 cm (8 3/4" x 4 1/4" x 2 3/4")</v>
      </c>
      <c r="Z120" s="223" t="str">
        <f t="shared" si="6"/>
        <v>-----------------------</v>
      </c>
    </row>
    <row r="121" spans="1:26" s="241" customFormat="1" ht="69.75">
      <c r="A121" s="305"/>
      <c r="B121" s="306" t="s">
        <v>674</v>
      </c>
      <c r="C121" s="306" t="s">
        <v>674</v>
      </c>
      <c r="D121" s="235" t="str">
        <f t="shared" si="7"/>
        <v xml:space="preserve"> OK</v>
      </c>
      <c r="E121" s="254" t="s">
        <v>1787</v>
      </c>
      <c r="F121" s="254">
        <v>0</v>
      </c>
      <c r="G121" s="298"/>
      <c r="H121" s="298" t="s">
        <v>1679</v>
      </c>
      <c r="I121" s="300"/>
      <c r="J121" s="300"/>
      <c r="K121" s="270"/>
      <c r="L121" s="301"/>
      <c r="M121" s="270"/>
      <c r="N121" s="270"/>
      <c r="O121" s="270"/>
      <c r="P121" s="270"/>
      <c r="Q121" s="270"/>
      <c r="R121" s="270"/>
      <c r="S121" s="270"/>
      <c r="T121" s="301"/>
      <c r="U121" s="270"/>
      <c r="V121" s="240"/>
      <c r="W121" s="238">
        <f t="shared" si="8"/>
        <v>0</v>
      </c>
      <c r="Y121" s="223" t="str">
        <f>'[4]Development - i'!E120</f>
        <v>d. In Third Floor Brick work in C.M. 1:6  using Chamber Burnt brick of size 22 x 11 x 7 cm (8 3/4" x 4 1/4" x 2 3/4")</v>
      </c>
      <c r="Z121" s="223" t="str">
        <f t="shared" si="6"/>
        <v>-----------------------</v>
      </c>
    </row>
    <row r="122" spans="1:26" s="241" customFormat="1" ht="69.75">
      <c r="A122" s="319"/>
      <c r="B122" s="306" t="s">
        <v>675</v>
      </c>
      <c r="C122" s="306" t="s">
        <v>675</v>
      </c>
      <c r="D122" s="235" t="str">
        <f t="shared" si="7"/>
        <v xml:space="preserve"> OK</v>
      </c>
      <c r="E122" s="254" t="s">
        <v>1788</v>
      </c>
      <c r="F122" s="254">
        <v>0</v>
      </c>
      <c r="G122" s="298"/>
      <c r="H122" s="298" t="s">
        <v>1679</v>
      </c>
      <c r="I122" s="300"/>
      <c r="J122" s="300"/>
      <c r="K122" s="270"/>
      <c r="L122" s="301"/>
      <c r="M122" s="270"/>
      <c r="N122" s="270"/>
      <c r="O122" s="270"/>
      <c r="P122" s="270"/>
      <c r="Q122" s="270"/>
      <c r="R122" s="270"/>
      <c r="S122" s="270"/>
      <c r="T122" s="301"/>
      <c r="U122" s="270"/>
      <c r="V122" s="240"/>
      <c r="W122" s="238">
        <f t="shared" si="8"/>
        <v>0</v>
      </c>
      <c r="Y122" s="223" t="str">
        <f>'[4]Development - i'!E121</f>
        <v>e. In Fourth Floor Brick work in C.M. 1:6  using Chamber Burnt brick of size 22 x 11 x 7 cm (8 3/4" x 4 1/4" x 2 3/4")</v>
      </c>
      <c r="Z122" s="223" t="str">
        <f t="shared" si="6"/>
        <v>-----------------------</v>
      </c>
    </row>
    <row r="123" spans="1:26" s="239" customFormat="1" ht="108.75">
      <c r="A123" s="320">
        <v>9.5</v>
      </c>
      <c r="B123" s="316" t="s">
        <v>334</v>
      </c>
      <c r="C123" s="316" t="s">
        <v>334</v>
      </c>
      <c r="D123" s="235" t="str">
        <f t="shared" si="7"/>
        <v xml:space="preserve"> OK</v>
      </c>
      <c r="E123" s="254" t="s">
        <v>334</v>
      </c>
      <c r="F123" s="254" t="s">
        <v>679</v>
      </c>
      <c r="G123" s="298"/>
      <c r="H123" s="298"/>
      <c r="I123" s="300"/>
      <c r="J123" s="300"/>
      <c r="K123" s="270"/>
      <c r="L123" s="301"/>
      <c r="M123" s="270"/>
      <c r="N123" s="270"/>
      <c r="O123" s="270"/>
      <c r="P123" s="270"/>
      <c r="Q123" s="270"/>
      <c r="R123" s="270"/>
      <c r="S123" s="270"/>
      <c r="T123" s="312"/>
      <c r="U123" s="270"/>
      <c r="V123" s="240"/>
      <c r="W123" s="238">
        <f t="shared" si="8"/>
        <v>0</v>
      </c>
      <c r="Y123" s="223" t="str">
        <f>'[4]Development - i'!E122</f>
        <v>Brick work in C.M. 1:6  using Kiln Burnt Country bricks of size 22 x 11 x 7 cm ( 8 3/4" x 4 1/4" x 2 3/4")</v>
      </c>
      <c r="Z123" s="223" t="str">
        <f t="shared" si="6"/>
        <v>-----------------------</v>
      </c>
    </row>
    <row r="124" spans="1:26" s="239" customFormat="1" ht="69.75">
      <c r="A124" s="320"/>
      <c r="B124" s="290" t="s">
        <v>961</v>
      </c>
      <c r="C124" s="290" t="s">
        <v>961</v>
      </c>
      <c r="D124" s="235" t="str">
        <f t="shared" si="7"/>
        <v xml:space="preserve"> OK</v>
      </c>
      <c r="E124" s="254" t="s">
        <v>1789</v>
      </c>
      <c r="F124" s="254" t="s">
        <v>680</v>
      </c>
      <c r="G124" s="298">
        <f>ROUND([3]Data!K352,2)</f>
        <v>5859.3</v>
      </c>
      <c r="H124" s="298" t="s">
        <v>1679</v>
      </c>
      <c r="I124" s="300"/>
      <c r="J124" s="300"/>
      <c r="K124" s="270"/>
      <c r="L124" s="301"/>
      <c r="M124" s="270"/>
      <c r="N124" s="270"/>
      <c r="O124" s="270"/>
      <c r="P124" s="270"/>
      <c r="Q124" s="270"/>
      <c r="R124" s="270"/>
      <c r="S124" s="270"/>
      <c r="T124" s="301"/>
      <c r="U124" s="270"/>
      <c r="V124" s="240"/>
      <c r="W124" s="238">
        <f t="shared" si="8"/>
        <v>0</v>
      </c>
      <c r="Y124" s="223" t="str">
        <f>'[4]Development - i'!E123</f>
        <v>a. In Ground Floor Brick work in C.M. 1:6  using Kiln Burnt Country bricks of size 22 x 11 x 7 cm ( 8 3/4" x 4 1/4" x 2 3/4")</v>
      </c>
      <c r="Z124" s="223" t="str">
        <f t="shared" si="6"/>
        <v>-----------------------</v>
      </c>
    </row>
    <row r="125" spans="1:26" s="239" customFormat="1" ht="69.75">
      <c r="A125" s="320"/>
      <c r="B125" s="290" t="s">
        <v>672</v>
      </c>
      <c r="C125" s="290" t="s">
        <v>672</v>
      </c>
      <c r="D125" s="235" t="str">
        <f t="shared" si="7"/>
        <v xml:space="preserve"> OK</v>
      </c>
      <c r="E125" s="254" t="s">
        <v>1790</v>
      </c>
      <c r="F125" s="254" t="s">
        <v>681</v>
      </c>
      <c r="G125" s="298">
        <f>ROUND([3]Data!K353,2)</f>
        <v>5984.57</v>
      </c>
      <c r="H125" s="298" t="s">
        <v>1679</v>
      </c>
      <c r="I125" s="300"/>
      <c r="J125" s="300"/>
      <c r="K125" s="270"/>
      <c r="L125" s="301"/>
      <c r="M125" s="270"/>
      <c r="N125" s="270"/>
      <c r="O125" s="270"/>
      <c r="P125" s="270"/>
      <c r="Q125" s="270"/>
      <c r="R125" s="270"/>
      <c r="S125" s="270"/>
      <c r="T125" s="301"/>
      <c r="U125" s="270"/>
      <c r="V125" s="240"/>
      <c r="W125" s="238">
        <f t="shared" si="8"/>
        <v>0</v>
      </c>
      <c r="Y125" s="223" t="str">
        <f>'[4]Development - i'!E124</f>
        <v>b. In First Floor Brick work in C.M. 1:6  using Kiln Burnt Country bricks of size 22 x 11 x 7 cm ( 8 3/4" x 4 1/4" x 2 3/4")</v>
      </c>
      <c r="Z125" s="223" t="str">
        <f t="shared" si="6"/>
        <v>-----------------------</v>
      </c>
    </row>
    <row r="126" spans="1:26" s="239" customFormat="1" ht="69.75">
      <c r="A126" s="321"/>
      <c r="B126" s="322" t="s">
        <v>673</v>
      </c>
      <c r="C126" s="322" t="s">
        <v>673</v>
      </c>
      <c r="D126" s="235" t="str">
        <f t="shared" si="7"/>
        <v xml:space="preserve"> OK</v>
      </c>
      <c r="E126" s="254" t="s">
        <v>1791</v>
      </c>
      <c r="F126" s="254" t="s">
        <v>682</v>
      </c>
      <c r="G126" s="298">
        <f>ROUND([3]Data!K354,2)</f>
        <v>6109.84</v>
      </c>
      <c r="H126" s="298" t="s">
        <v>1679</v>
      </c>
      <c r="I126" s="300"/>
      <c r="J126" s="300"/>
      <c r="K126" s="270"/>
      <c r="L126" s="301"/>
      <c r="M126" s="270"/>
      <c r="N126" s="270"/>
      <c r="O126" s="270"/>
      <c r="P126" s="270"/>
      <c r="Q126" s="270"/>
      <c r="R126" s="270"/>
      <c r="S126" s="270"/>
      <c r="T126" s="301"/>
      <c r="U126" s="270"/>
      <c r="V126" s="240"/>
      <c r="W126" s="238">
        <f t="shared" si="8"/>
        <v>0</v>
      </c>
      <c r="Y126" s="223" t="str">
        <f>'[4]Development - i'!E125</f>
        <v>c. In Second Floor Brick work in C.M. 1:6  using Kiln Burnt Country bricks of size 22 x 11 x 7 cm ( 8 3/4" x 4 1/4" x 2 3/4")</v>
      </c>
      <c r="Z126" s="223" t="str">
        <f t="shared" si="6"/>
        <v>-----------------------</v>
      </c>
    </row>
    <row r="127" spans="1:26" s="239" customFormat="1" ht="69.75">
      <c r="A127" s="320"/>
      <c r="B127" s="290" t="s">
        <v>674</v>
      </c>
      <c r="C127" s="290" t="s">
        <v>674</v>
      </c>
      <c r="D127" s="235" t="str">
        <f t="shared" si="7"/>
        <v xml:space="preserve"> OK</v>
      </c>
      <c r="E127" s="254" t="s">
        <v>1792</v>
      </c>
      <c r="F127" s="254" t="s">
        <v>683</v>
      </c>
      <c r="G127" s="298">
        <f>ROUND([3]Data!K355,2)</f>
        <v>6235.11</v>
      </c>
      <c r="H127" s="298" t="s">
        <v>1679</v>
      </c>
      <c r="I127" s="300"/>
      <c r="J127" s="300"/>
      <c r="K127" s="270"/>
      <c r="L127" s="301"/>
      <c r="M127" s="270"/>
      <c r="N127" s="270"/>
      <c r="O127" s="270"/>
      <c r="P127" s="270"/>
      <c r="Q127" s="270"/>
      <c r="R127" s="270"/>
      <c r="S127" s="270"/>
      <c r="T127" s="301"/>
      <c r="U127" s="270"/>
      <c r="V127" s="240"/>
      <c r="W127" s="238">
        <f t="shared" si="8"/>
        <v>0</v>
      </c>
      <c r="Y127" s="223" t="str">
        <f>'[4]Development - i'!E126</f>
        <v>d. In Third Floor Brick work in C.M. 1:6  using Kiln Burnt Country bricks of size 22 x 11 x 7 cm ( 8 3/4" x 4 1/4" x 2 3/4")</v>
      </c>
      <c r="Z127" s="223" t="str">
        <f t="shared" si="6"/>
        <v>-----------------------</v>
      </c>
    </row>
    <row r="128" spans="1:26" s="239" customFormat="1" ht="69.75">
      <c r="A128" s="323"/>
      <c r="B128" s="290" t="s">
        <v>675</v>
      </c>
      <c r="C128" s="290" t="s">
        <v>675</v>
      </c>
      <c r="D128" s="235" t="str">
        <f t="shared" si="7"/>
        <v xml:space="preserve"> OK</v>
      </c>
      <c r="E128" s="254" t="s">
        <v>1793</v>
      </c>
      <c r="F128" s="254" t="s">
        <v>684</v>
      </c>
      <c r="G128" s="298">
        <f>ROUND([3]Data!K356,2)</f>
        <v>6360.38</v>
      </c>
      <c r="H128" s="298" t="s">
        <v>1679</v>
      </c>
      <c r="I128" s="300"/>
      <c r="J128" s="300"/>
      <c r="K128" s="270"/>
      <c r="L128" s="301"/>
      <c r="M128" s="270"/>
      <c r="N128" s="270"/>
      <c r="O128" s="270"/>
      <c r="P128" s="270"/>
      <c r="Q128" s="270"/>
      <c r="R128" s="270"/>
      <c r="S128" s="270"/>
      <c r="T128" s="301"/>
      <c r="U128" s="270"/>
      <c r="V128" s="240"/>
      <c r="W128" s="238">
        <f t="shared" si="8"/>
        <v>0</v>
      </c>
      <c r="Y128" s="223" t="str">
        <f>'[4]Development - i'!E127</f>
        <v>e. In Fourth Floor Brick work in C.M. 1:6  using Kiln Burnt Country bricks of size 22 x 11 x 7 cm ( 8 3/4" x 4 1/4" x 2 3/4")</v>
      </c>
      <c r="Z128" s="223" t="str">
        <f t="shared" si="6"/>
        <v>-----------------------</v>
      </c>
    </row>
    <row r="129" spans="1:26" s="239" customFormat="1" ht="65.25">
      <c r="A129" s="323"/>
      <c r="B129" s="290"/>
      <c r="C129" s="290"/>
      <c r="D129" s="235"/>
      <c r="E129" s="254" t="s">
        <v>1794</v>
      </c>
      <c r="F129" s="254" t="s">
        <v>685</v>
      </c>
      <c r="G129" s="298"/>
      <c r="H129" s="298"/>
      <c r="I129" s="300"/>
      <c r="J129" s="300"/>
      <c r="K129" s="270"/>
      <c r="L129" s="301"/>
      <c r="M129" s="270"/>
      <c r="N129" s="270"/>
      <c r="O129" s="270"/>
      <c r="P129" s="270"/>
      <c r="Q129" s="270"/>
      <c r="R129" s="270"/>
      <c r="S129" s="270"/>
      <c r="T129" s="301"/>
      <c r="U129" s="270"/>
      <c r="V129" s="240"/>
      <c r="W129" s="238"/>
      <c r="Y129" s="223" t="str">
        <f>'[4]Development - i'!E128</f>
        <v>f. In Fifth Floor Brick work in C.M. 1:6  using Kiln Burnt Country bricks of size 22 x 11 x 7 cm ( 8 3/4" x 4 1/4" x 2 3/4")</v>
      </c>
      <c r="Z129" s="223" t="str">
        <f t="shared" si="6"/>
        <v>-----------------------</v>
      </c>
    </row>
    <row r="130" spans="1:26" s="239" customFormat="1" ht="65.25">
      <c r="A130" s="323"/>
      <c r="B130" s="290"/>
      <c r="C130" s="290"/>
      <c r="D130" s="235"/>
      <c r="E130" s="254" t="s">
        <v>1795</v>
      </c>
      <c r="F130" s="254" t="s">
        <v>686</v>
      </c>
      <c r="G130" s="298"/>
      <c r="H130" s="298"/>
      <c r="I130" s="300"/>
      <c r="J130" s="300"/>
      <c r="K130" s="270"/>
      <c r="L130" s="301"/>
      <c r="M130" s="270"/>
      <c r="N130" s="270"/>
      <c r="O130" s="270"/>
      <c r="P130" s="270"/>
      <c r="Q130" s="270"/>
      <c r="R130" s="270"/>
      <c r="S130" s="270"/>
      <c r="T130" s="301"/>
      <c r="U130" s="270"/>
      <c r="V130" s="240"/>
      <c r="W130" s="238"/>
      <c r="Y130" s="223" t="str">
        <f>'[4]Development - i'!E129</f>
        <v>g. In Sixth Floor Brick work in C.M. 1:6  using Kiln Burnt Country bricks of size 22 x 11 x 7 cm ( 8 3/4" x 4 1/4" x 2 3/4")</v>
      </c>
      <c r="Z130" s="223" t="str">
        <f t="shared" si="6"/>
        <v>-----------------------</v>
      </c>
    </row>
    <row r="131" spans="1:26" s="239" customFormat="1" ht="65.25">
      <c r="A131" s="323"/>
      <c r="B131" s="290"/>
      <c r="C131" s="290"/>
      <c r="D131" s="235"/>
      <c r="E131" s="254" t="s">
        <v>1796</v>
      </c>
      <c r="F131" s="254" t="s">
        <v>687</v>
      </c>
      <c r="G131" s="298"/>
      <c r="H131" s="298"/>
      <c r="I131" s="300"/>
      <c r="J131" s="300"/>
      <c r="K131" s="270"/>
      <c r="L131" s="301"/>
      <c r="M131" s="270"/>
      <c r="N131" s="270"/>
      <c r="O131" s="270"/>
      <c r="P131" s="270"/>
      <c r="Q131" s="270"/>
      <c r="R131" s="270"/>
      <c r="S131" s="270"/>
      <c r="T131" s="301"/>
      <c r="U131" s="270"/>
      <c r="V131" s="240"/>
      <c r="W131" s="238"/>
      <c r="Y131" s="223" t="str">
        <f>'[4]Development - i'!E130</f>
        <v>h. In Seventh Floor Brick work in C.M. 1:6  using Kiln Burnt Country bricks of size 22 x 11 x 7 cm ( 8 3/4" x 4 1/4" x 2 3/4")</v>
      </c>
      <c r="Z131" s="223" t="str">
        <f t="shared" si="6"/>
        <v>-----------------------</v>
      </c>
    </row>
    <row r="132" spans="1:26" s="239" customFormat="1">
      <c r="A132" s="323"/>
      <c r="B132" s="290"/>
      <c r="C132" s="290"/>
      <c r="D132" s="235"/>
      <c r="E132" s="254"/>
      <c r="F132" s="254">
        <v>0</v>
      </c>
      <c r="G132" s="298"/>
      <c r="H132" s="298"/>
      <c r="I132" s="300"/>
      <c r="J132" s="300"/>
      <c r="K132" s="270"/>
      <c r="L132" s="301"/>
      <c r="M132" s="270"/>
      <c r="N132" s="270"/>
      <c r="O132" s="270"/>
      <c r="P132" s="270"/>
      <c r="Q132" s="270"/>
      <c r="R132" s="270"/>
      <c r="S132" s="270"/>
      <c r="T132" s="301"/>
      <c r="U132" s="270"/>
      <c r="V132" s="240"/>
      <c r="W132" s="238"/>
      <c r="Y132" s="223">
        <f>'[4]Development - i'!E131</f>
        <v>0</v>
      </c>
      <c r="Z132" s="223" t="str">
        <f t="shared" si="6"/>
        <v>-----------------------</v>
      </c>
    </row>
    <row r="133" spans="1:26" s="241" customFormat="1" ht="69.75">
      <c r="A133" s="305">
        <v>9.6</v>
      </c>
      <c r="B133" s="306" t="s">
        <v>688</v>
      </c>
      <c r="C133" s="306" t="s">
        <v>688</v>
      </c>
      <c r="D133" s="235" t="str">
        <f t="shared" si="7"/>
        <v xml:space="preserve"> OK</v>
      </c>
      <c r="E133" s="254" t="s">
        <v>688</v>
      </c>
      <c r="F133" s="254">
        <v>0</v>
      </c>
      <c r="G133" s="298"/>
      <c r="H133" s="298"/>
      <c r="I133" s="300"/>
      <c r="J133" s="300"/>
      <c r="K133" s="270"/>
      <c r="L133" s="301"/>
      <c r="M133" s="270"/>
      <c r="N133" s="270"/>
      <c r="O133" s="270"/>
      <c r="P133" s="270"/>
      <c r="Q133" s="270"/>
      <c r="R133" s="270"/>
      <c r="S133" s="270"/>
      <c r="T133" s="301"/>
      <c r="U133" s="270"/>
      <c r="V133" s="240"/>
      <c r="W133" s="238">
        <f t="shared" ref="W133:W175" si="9">ROUND(G134,2)*ROUND(V133,2)</f>
        <v>0</v>
      </c>
      <c r="Y133" s="223" t="str">
        <f>'[4]Development - i'!E132</f>
        <v>Brick work in C.M. 1:6  using Kiln Burnt Country bricks of size 22 x 11 x 5.7 cm (8 3/4" x 4 1/4" x 2 1/4")</v>
      </c>
      <c r="Z133" s="223" t="str">
        <f t="shared" si="6"/>
        <v>-----------------------</v>
      </c>
    </row>
    <row r="134" spans="1:26" s="241" customFormat="1" ht="69.75">
      <c r="A134" s="305"/>
      <c r="B134" s="306" t="s">
        <v>961</v>
      </c>
      <c r="C134" s="306" t="s">
        <v>961</v>
      </c>
      <c r="D134" s="235" t="str">
        <f t="shared" si="7"/>
        <v xml:space="preserve"> OK</v>
      </c>
      <c r="E134" s="254" t="s">
        <v>1797</v>
      </c>
      <c r="F134" s="254">
        <v>0</v>
      </c>
      <c r="G134" s="298"/>
      <c r="H134" s="298" t="s">
        <v>1679</v>
      </c>
      <c r="I134" s="300"/>
      <c r="J134" s="300"/>
      <c r="K134" s="270"/>
      <c r="L134" s="301"/>
      <c r="M134" s="270"/>
      <c r="N134" s="270"/>
      <c r="O134" s="270"/>
      <c r="P134" s="270"/>
      <c r="Q134" s="270"/>
      <c r="R134" s="270"/>
      <c r="S134" s="270"/>
      <c r="T134" s="301"/>
      <c r="U134" s="270"/>
      <c r="V134" s="240"/>
      <c r="W134" s="238">
        <f t="shared" si="9"/>
        <v>0</v>
      </c>
      <c r="Y134" s="223" t="str">
        <f>'[4]Development - i'!E133</f>
        <v>a. In Ground Floor Brick work in C.M. 1:6  using Kiln Burnt Country bricks of size 22 x 11 x 5.7 cm (8 3/4" x 4 1/4" x 2 1/4")</v>
      </c>
      <c r="Z134" s="223" t="str">
        <f t="shared" si="6"/>
        <v>-----------------------</v>
      </c>
    </row>
    <row r="135" spans="1:26" s="241" customFormat="1" ht="69.75">
      <c r="A135" s="305"/>
      <c r="B135" s="306" t="s">
        <v>672</v>
      </c>
      <c r="C135" s="306" t="s">
        <v>672</v>
      </c>
      <c r="D135" s="235" t="str">
        <f t="shared" si="7"/>
        <v xml:space="preserve"> OK</v>
      </c>
      <c r="E135" s="254" t="s">
        <v>1798</v>
      </c>
      <c r="F135" s="254">
        <v>0</v>
      </c>
      <c r="G135" s="298"/>
      <c r="H135" s="298" t="s">
        <v>1679</v>
      </c>
      <c r="I135" s="300"/>
      <c r="J135" s="300"/>
      <c r="K135" s="270"/>
      <c r="L135" s="301"/>
      <c r="M135" s="270"/>
      <c r="N135" s="270"/>
      <c r="O135" s="270"/>
      <c r="P135" s="270"/>
      <c r="Q135" s="270"/>
      <c r="R135" s="270"/>
      <c r="S135" s="270"/>
      <c r="T135" s="301"/>
      <c r="U135" s="270"/>
      <c r="V135" s="240"/>
      <c r="W135" s="238">
        <f t="shared" si="9"/>
        <v>0</v>
      </c>
      <c r="Y135" s="223" t="str">
        <f>'[4]Development - i'!E134</f>
        <v>b. In First Floor Brick work in C.M. 1:6  using Kiln Burnt Country bricks of size 22 x 11 x 5.7 cm (8 3/4" x 4 1/4" x 2 1/4")</v>
      </c>
      <c r="Z135" s="223" t="str">
        <f t="shared" ref="Z135:Z198" si="10">IF(Y135=E135,"-----------------------","ERRR")</f>
        <v>-----------------------</v>
      </c>
    </row>
    <row r="136" spans="1:26" s="241" customFormat="1" ht="69.75">
      <c r="A136" s="305"/>
      <c r="B136" s="306" t="s">
        <v>673</v>
      </c>
      <c r="C136" s="306" t="s">
        <v>673</v>
      </c>
      <c r="D136" s="235" t="str">
        <f t="shared" si="7"/>
        <v xml:space="preserve"> OK</v>
      </c>
      <c r="E136" s="254" t="s">
        <v>1799</v>
      </c>
      <c r="F136" s="254">
        <v>0</v>
      </c>
      <c r="G136" s="298"/>
      <c r="H136" s="298" t="s">
        <v>1679</v>
      </c>
      <c r="I136" s="300"/>
      <c r="J136" s="300"/>
      <c r="K136" s="270"/>
      <c r="L136" s="301"/>
      <c r="M136" s="270"/>
      <c r="N136" s="270"/>
      <c r="O136" s="270"/>
      <c r="P136" s="270"/>
      <c r="Q136" s="270"/>
      <c r="R136" s="270"/>
      <c r="S136" s="270"/>
      <c r="T136" s="301"/>
      <c r="U136" s="270"/>
      <c r="V136" s="240"/>
      <c r="W136" s="238">
        <f t="shared" si="9"/>
        <v>0</v>
      </c>
      <c r="Y136" s="223" t="str">
        <f>'[4]Development - i'!E135</f>
        <v>c. In Second Floor Brick work in C.M. 1:6  using Kiln Burnt Country bricks of size 22 x 11 x 5.7 cm (8 3/4" x 4 1/4" x 2 1/4")</v>
      </c>
      <c r="Z136" s="223" t="str">
        <f t="shared" si="10"/>
        <v>-----------------------</v>
      </c>
    </row>
    <row r="137" spans="1:26" s="241" customFormat="1" ht="69.75">
      <c r="A137" s="305"/>
      <c r="B137" s="306" t="s">
        <v>674</v>
      </c>
      <c r="C137" s="306" t="s">
        <v>674</v>
      </c>
      <c r="D137" s="235" t="str">
        <f t="shared" si="7"/>
        <v xml:space="preserve"> OK</v>
      </c>
      <c r="E137" s="254" t="s">
        <v>1800</v>
      </c>
      <c r="F137" s="254">
        <v>0</v>
      </c>
      <c r="G137" s="298"/>
      <c r="H137" s="298" t="s">
        <v>1679</v>
      </c>
      <c r="I137" s="300"/>
      <c r="J137" s="300"/>
      <c r="K137" s="270"/>
      <c r="L137" s="301"/>
      <c r="M137" s="270"/>
      <c r="N137" s="270"/>
      <c r="O137" s="270"/>
      <c r="P137" s="270"/>
      <c r="Q137" s="270"/>
      <c r="R137" s="270"/>
      <c r="S137" s="270"/>
      <c r="T137" s="301"/>
      <c r="U137" s="270"/>
      <c r="V137" s="240"/>
      <c r="W137" s="238">
        <f t="shared" si="9"/>
        <v>0</v>
      </c>
      <c r="Y137" s="223" t="str">
        <f>'[4]Development - i'!E136</f>
        <v>d. In Third Floor Brick work in C.M. 1:6  using Kiln Burnt Country bricks of size 22 x 11 x 5.7 cm (8 3/4" x 4 1/4" x 2 1/4")</v>
      </c>
      <c r="Z137" s="223" t="str">
        <f t="shared" si="10"/>
        <v>-----------------------</v>
      </c>
    </row>
    <row r="138" spans="1:26" s="241" customFormat="1" ht="69.75">
      <c r="A138" s="319"/>
      <c r="B138" s="306" t="s">
        <v>675</v>
      </c>
      <c r="C138" s="306" t="s">
        <v>675</v>
      </c>
      <c r="D138" s="235" t="str">
        <f t="shared" si="7"/>
        <v xml:space="preserve"> OK</v>
      </c>
      <c r="E138" s="254" t="s">
        <v>1801</v>
      </c>
      <c r="F138" s="254">
        <v>0</v>
      </c>
      <c r="G138" s="298"/>
      <c r="H138" s="298" t="s">
        <v>1679</v>
      </c>
      <c r="I138" s="300"/>
      <c r="J138" s="300"/>
      <c r="K138" s="270"/>
      <c r="L138" s="301"/>
      <c r="M138" s="270"/>
      <c r="N138" s="270"/>
      <c r="O138" s="270"/>
      <c r="P138" s="270"/>
      <c r="Q138" s="270"/>
      <c r="R138" s="270"/>
      <c r="S138" s="270"/>
      <c r="T138" s="301"/>
      <c r="U138" s="270"/>
      <c r="V138" s="240"/>
      <c r="W138" s="238">
        <f t="shared" si="9"/>
        <v>0</v>
      </c>
      <c r="Y138" s="223" t="str">
        <f>'[4]Development - i'!E137</f>
        <v>e. In Fourth Floor Brick work in C.M. 1:6  using Kiln Burnt Country bricks of size 22 x 11 x 5.7 cm (8 3/4" x 4 1/4" x 2 1/4")</v>
      </c>
      <c r="Z138" s="223" t="str">
        <f t="shared" si="10"/>
        <v>-----------------------</v>
      </c>
    </row>
    <row r="139" spans="1:26" s="241" customFormat="1" ht="69.75">
      <c r="A139" s="305">
        <v>10.1</v>
      </c>
      <c r="B139" s="314" t="s">
        <v>1802</v>
      </c>
      <c r="C139" s="314" t="s">
        <v>689</v>
      </c>
      <c r="D139" s="235" t="str">
        <f t="shared" si="7"/>
        <v xml:space="preserve"> OK</v>
      </c>
      <c r="E139" s="254" t="s">
        <v>1803</v>
      </c>
      <c r="F139" s="254">
        <v>0</v>
      </c>
      <c r="G139" s="298"/>
      <c r="H139" s="298"/>
      <c r="I139" s="300"/>
      <c r="J139" s="300"/>
      <c r="K139" s="270"/>
      <c r="L139" s="301"/>
      <c r="M139" s="270"/>
      <c r="N139" s="270"/>
      <c r="O139" s="270"/>
      <c r="P139" s="270"/>
      <c r="Q139" s="270"/>
      <c r="R139" s="270"/>
      <c r="S139" s="270"/>
      <c r="T139" s="301"/>
      <c r="U139" s="270"/>
      <c r="V139" s="240"/>
      <c r="W139" s="238">
        <f t="shared" si="9"/>
        <v>0</v>
      </c>
      <c r="Y139" s="223" t="str">
        <f>'[4]Development - i'!E138</f>
        <v>Brick partition work in C.M. 1:4 Chamber Burnt brick of size 23 x 11.2 x 7 cm (9" x 4 3/8" x 2 3/4")112 mm tk (B.P.)</v>
      </c>
      <c r="Z139" s="223" t="str">
        <f t="shared" si="10"/>
        <v>ERRR</v>
      </c>
    </row>
    <row r="140" spans="1:26" s="241" customFormat="1" ht="93">
      <c r="A140" s="305"/>
      <c r="B140" s="306" t="s">
        <v>692</v>
      </c>
      <c r="C140" s="306" t="s">
        <v>692</v>
      </c>
      <c r="D140" s="235" t="str">
        <f t="shared" si="7"/>
        <v xml:space="preserve"> OK</v>
      </c>
      <c r="E140" s="254" t="s">
        <v>1804</v>
      </c>
      <c r="F140" s="254">
        <v>0</v>
      </c>
      <c r="G140" s="298">
        <f>ROUND([3]Data!X408,2)</f>
        <v>739.64</v>
      </c>
      <c r="H140" s="298" t="s">
        <v>1715</v>
      </c>
      <c r="I140" s="300"/>
      <c r="J140" s="300"/>
      <c r="K140" s="270"/>
      <c r="L140" s="301"/>
      <c r="M140" s="270"/>
      <c r="N140" s="270"/>
      <c r="O140" s="270"/>
      <c r="P140" s="270"/>
      <c r="Q140" s="270"/>
      <c r="R140" s="270"/>
      <c r="S140" s="270"/>
      <c r="T140" s="301"/>
      <c r="U140" s="270"/>
      <c r="V140" s="240"/>
      <c r="W140" s="238">
        <f t="shared" si="9"/>
        <v>0</v>
      </c>
      <c r="Y140" s="223" t="str">
        <f>'[4]Development - i'!E139</f>
        <v>a. In Foundation and basement Brick partition work in C.M. 1:4 Chamber Burnt brick of size 23 x 11.2 x 7 cm (9" x 4 3/8" x 2 3/4")112 mm tk (B.P.)</v>
      </c>
      <c r="Z140" s="223" t="str">
        <f t="shared" si="10"/>
        <v>ERRR</v>
      </c>
    </row>
    <row r="141" spans="1:26" s="241" customFormat="1" ht="69.75">
      <c r="A141" s="305"/>
      <c r="B141" s="306" t="s">
        <v>965</v>
      </c>
      <c r="C141" s="306" t="s">
        <v>965</v>
      </c>
      <c r="D141" s="235" t="str">
        <f t="shared" si="7"/>
        <v xml:space="preserve"> OK</v>
      </c>
      <c r="E141" s="254" t="s">
        <v>1805</v>
      </c>
      <c r="F141" s="254">
        <v>0</v>
      </c>
      <c r="G141" s="298">
        <f>ROUND([3]Data!X410,2)</f>
        <v>746.6</v>
      </c>
      <c r="H141" s="298" t="s">
        <v>1715</v>
      </c>
      <c r="I141" s="300"/>
      <c r="J141" s="300"/>
      <c r="K141" s="270"/>
      <c r="L141" s="301"/>
      <c r="M141" s="270"/>
      <c r="N141" s="270"/>
      <c r="O141" s="270"/>
      <c r="P141" s="270"/>
      <c r="Q141" s="270"/>
      <c r="R141" s="270"/>
      <c r="S141" s="270"/>
      <c r="T141" s="301"/>
      <c r="U141" s="270"/>
      <c r="V141" s="240"/>
      <c r="W141" s="238">
        <f t="shared" si="9"/>
        <v>0</v>
      </c>
      <c r="Y141" s="223" t="str">
        <f>'[4]Development - i'!E140</f>
        <v>b. In Ground Floor Brick partition work in C.M. 1:4 Chamber Burnt brick of size 23 x 11.2 x 7 cm (9" x 4 3/8" x 2 3/4")112 mm tk (B.P.)</v>
      </c>
      <c r="Z141" s="223" t="str">
        <f t="shared" si="10"/>
        <v>ERRR</v>
      </c>
    </row>
    <row r="142" spans="1:26" s="241" customFormat="1" ht="69.75">
      <c r="A142" s="305"/>
      <c r="B142" s="306" t="s">
        <v>694</v>
      </c>
      <c r="C142" s="306" t="s">
        <v>694</v>
      </c>
      <c r="D142" s="235" t="str">
        <f t="shared" si="7"/>
        <v xml:space="preserve"> OK</v>
      </c>
      <c r="E142" s="254" t="s">
        <v>1806</v>
      </c>
      <c r="F142" s="254">
        <v>0</v>
      </c>
      <c r="G142" s="298">
        <f>ROUND([3]Data!X411,2)</f>
        <v>760.63</v>
      </c>
      <c r="H142" s="298" t="s">
        <v>1715</v>
      </c>
      <c r="I142" s="300"/>
      <c r="J142" s="300"/>
      <c r="K142" s="270"/>
      <c r="L142" s="301"/>
      <c r="M142" s="270"/>
      <c r="N142" s="270"/>
      <c r="O142" s="270"/>
      <c r="P142" s="270"/>
      <c r="Q142" s="270"/>
      <c r="R142" s="270"/>
      <c r="S142" s="270"/>
      <c r="T142" s="301"/>
      <c r="U142" s="270"/>
      <c r="V142" s="240"/>
      <c r="W142" s="238">
        <f t="shared" si="9"/>
        <v>0</v>
      </c>
      <c r="Y142" s="223" t="str">
        <f>'[4]Development - i'!E141</f>
        <v>c. In First Floor Brick partition work in C.M. 1:4 Chamber Burnt brick of size 23 x 11.2 x 7 cm (9" x 4 3/8" x 2 3/4")112 mm tk (B.P.)</v>
      </c>
      <c r="Z142" s="223" t="str">
        <f t="shared" si="10"/>
        <v>ERRR</v>
      </c>
    </row>
    <row r="143" spans="1:26" s="241" customFormat="1" ht="69.75">
      <c r="A143" s="305"/>
      <c r="B143" s="306" t="s">
        <v>695</v>
      </c>
      <c r="C143" s="306" t="s">
        <v>695</v>
      </c>
      <c r="D143" s="235" t="str">
        <f t="shared" si="7"/>
        <v xml:space="preserve"> OK</v>
      </c>
      <c r="E143" s="254" t="s">
        <v>1807</v>
      </c>
      <c r="F143" s="254">
        <v>0</v>
      </c>
      <c r="G143" s="298">
        <f>ROUND([3]Data!X412,2)</f>
        <v>774.66</v>
      </c>
      <c r="H143" s="298" t="s">
        <v>1715</v>
      </c>
      <c r="I143" s="300"/>
      <c r="J143" s="300"/>
      <c r="K143" s="270"/>
      <c r="L143" s="301"/>
      <c r="M143" s="270"/>
      <c r="N143" s="270"/>
      <c r="O143" s="270"/>
      <c r="P143" s="270"/>
      <c r="Q143" s="270"/>
      <c r="R143" s="270"/>
      <c r="S143" s="270"/>
      <c r="T143" s="301"/>
      <c r="U143" s="270"/>
      <c r="V143" s="240"/>
      <c r="W143" s="238">
        <f t="shared" si="9"/>
        <v>0</v>
      </c>
      <c r="Y143" s="223" t="str">
        <f>'[4]Development - i'!E142</f>
        <v>d. In Second Floor Brick partition work in C.M. 1:4 Chamber Burnt brick of size 23 x 11.2 x 7 cm (9" x 4 3/8" x 2 3/4")112 mm tk (B.P.)</v>
      </c>
      <c r="Z143" s="223" t="str">
        <f t="shared" si="10"/>
        <v>ERRR</v>
      </c>
    </row>
    <row r="144" spans="1:26" s="241" customFormat="1" ht="69.75">
      <c r="A144" s="305"/>
      <c r="B144" s="306" t="s">
        <v>696</v>
      </c>
      <c r="C144" s="306" t="s">
        <v>696</v>
      </c>
      <c r="D144" s="235" t="str">
        <f t="shared" ref="D144:D210" si="11">IF(B144=C144," OK","nun")</f>
        <v xml:space="preserve"> OK</v>
      </c>
      <c r="E144" s="254" t="s">
        <v>1808</v>
      </c>
      <c r="F144" s="254">
        <v>0</v>
      </c>
      <c r="G144" s="298">
        <f>ROUND([3]Data!X413,2)</f>
        <v>788.69</v>
      </c>
      <c r="H144" s="298" t="s">
        <v>1715</v>
      </c>
      <c r="I144" s="300"/>
      <c r="J144" s="300"/>
      <c r="K144" s="270"/>
      <c r="L144" s="301"/>
      <c r="M144" s="270"/>
      <c r="N144" s="270"/>
      <c r="O144" s="270"/>
      <c r="P144" s="270"/>
      <c r="Q144" s="270"/>
      <c r="R144" s="270"/>
      <c r="S144" s="270"/>
      <c r="T144" s="301"/>
      <c r="U144" s="270"/>
      <c r="V144" s="240"/>
      <c r="W144" s="238">
        <f t="shared" si="9"/>
        <v>0</v>
      </c>
      <c r="Y144" s="223" t="str">
        <f>'[4]Development - i'!E143</f>
        <v>e. In Third Floor Brick partition work in C.M. 1:4 Chamber Burnt brick of size 23 x 11.2 x 7 cm (9" x 4 3/8" x 2 3/4")112 mm tk (B.P.)</v>
      </c>
      <c r="Z144" s="223" t="str">
        <f t="shared" si="10"/>
        <v>ERRR</v>
      </c>
    </row>
    <row r="145" spans="1:26" s="241" customFormat="1" ht="69.75">
      <c r="A145" s="319"/>
      <c r="B145" s="306" t="s">
        <v>697</v>
      </c>
      <c r="C145" s="306" t="s">
        <v>697</v>
      </c>
      <c r="D145" s="235" t="str">
        <f t="shared" si="11"/>
        <v xml:space="preserve"> OK</v>
      </c>
      <c r="E145" s="254" t="s">
        <v>1809</v>
      </c>
      <c r="F145" s="254">
        <v>0</v>
      </c>
      <c r="G145" s="298">
        <f>ROUND([3]Data!X414,2)</f>
        <v>802.72</v>
      </c>
      <c r="H145" s="298" t="s">
        <v>1715</v>
      </c>
      <c r="I145" s="300"/>
      <c r="J145" s="300"/>
      <c r="K145" s="270"/>
      <c r="L145" s="301"/>
      <c r="M145" s="270"/>
      <c r="N145" s="270"/>
      <c r="O145" s="270"/>
      <c r="P145" s="270"/>
      <c r="Q145" s="270"/>
      <c r="R145" s="270"/>
      <c r="S145" s="270"/>
      <c r="T145" s="301"/>
      <c r="U145" s="270"/>
      <c r="V145" s="240"/>
      <c r="W145" s="238">
        <f t="shared" si="9"/>
        <v>0</v>
      </c>
      <c r="Y145" s="223" t="str">
        <f>'[4]Development - i'!E144</f>
        <v>f. In Fourth Floor Brick partition work in C.M. 1:4 Chamber Burnt brick of size 23 x 11.2 x 7 cm (9" x 4 3/8" x 2 3/4")112 mm tk (B.P.)</v>
      </c>
      <c r="Z145" s="223" t="str">
        <f t="shared" si="10"/>
        <v>ERRR</v>
      </c>
    </row>
    <row r="146" spans="1:26" s="241" customFormat="1" ht="152.25">
      <c r="A146" s="305">
        <v>10.199999999999999</v>
      </c>
      <c r="B146" s="314" t="s">
        <v>1810</v>
      </c>
      <c r="C146" s="314" t="s">
        <v>690</v>
      </c>
      <c r="D146" s="235" t="str">
        <f t="shared" si="11"/>
        <v xml:space="preserve"> OK</v>
      </c>
      <c r="E146" s="254" t="s">
        <v>1811</v>
      </c>
      <c r="F146" s="254" t="s">
        <v>691</v>
      </c>
      <c r="G146" s="298"/>
      <c r="H146" s="298"/>
      <c r="I146" s="300"/>
      <c r="J146" s="300"/>
      <c r="K146" s="270"/>
      <c r="L146" s="301"/>
      <c r="M146" s="270"/>
      <c r="N146" s="270"/>
      <c r="O146" s="270"/>
      <c r="P146" s="270"/>
      <c r="Q146" s="270"/>
      <c r="R146" s="270"/>
      <c r="S146" s="270"/>
      <c r="T146" s="301"/>
      <c r="U146" s="270"/>
      <c r="V146" s="240"/>
      <c r="W146" s="238">
        <f t="shared" si="9"/>
        <v>0</v>
      </c>
      <c r="Y146" s="223" t="str">
        <f>'[4]Development - i'!E145</f>
        <v>Brick partition work in C.M. 1:4 using chamber Burnt bricks of size 23 x 11.4 x 7.5 cm (9" x 4 1/2"x 3") 114 mm tk (B.P.)</v>
      </c>
      <c r="Z146" s="223" t="str">
        <f t="shared" si="10"/>
        <v>-----------------------</v>
      </c>
    </row>
    <row r="147" spans="1:26" s="241" customFormat="1" ht="69.75">
      <c r="A147" s="305"/>
      <c r="B147" s="306" t="s">
        <v>692</v>
      </c>
      <c r="C147" s="306" t="s">
        <v>692</v>
      </c>
      <c r="D147" s="235" t="str">
        <f t="shared" si="11"/>
        <v xml:space="preserve"> OK</v>
      </c>
      <c r="E147" s="254" t="s">
        <v>1812</v>
      </c>
      <c r="F147" s="254" t="s">
        <v>692</v>
      </c>
      <c r="G147" s="298">
        <f>ROUND([3]Data!AG423,2)</f>
        <v>720.87</v>
      </c>
      <c r="H147" s="298" t="s">
        <v>1715</v>
      </c>
      <c r="I147" s="300"/>
      <c r="J147" s="300"/>
      <c r="K147" s="270"/>
      <c r="L147" s="301"/>
      <c r="M147" s="270"/>
      <c r="N147" s="270"/>
      <c r="O147" s="270"/>
      <c r="P147" s="270"/>
      <c r="Q147" s="270"/>
      <c r="R147" s="270"/>
      <c r="S147" s="270"/>
      <c r="T147" s="301"/>
      <c r="U147" s="270"/>
      <c r="V147" s="240"/>
      <c r="W147" s="238">
        <f t="shared" si="9"/>
        <v>0</v>
      </c>
      <c r="Y147" s="223" t="str">
        <f>'[4]Development - i'!E146</f>
        <v>a. In Foundation and basementBrick partition work in C.M. 1:4 using chamber Burnt bricks of size 23 x 11.4 x 7.5 cm (9" x 4 1/2"x 3") 114 mm tk (B.P.)</v>
      </c>
      <c r="Z147" s="223" t="str">
        <f t="shared" si="10"/>
        <v>-----------------------</v>
      </c>
    </row>
    <row r="148" spans="1:26" s="241" customFormat="1" ht="69.75">
      <c r="A148" s="305"/>
      <c r="B148" s="306" t="s">
        <v>693</v>
      </c>
      <c r="C148" s="306" t="s">
        <v>693</v>
      </c>
      <c r="D148" s="235" t="str">
        <f t="shared" si="11"/>
        <v xml:space="preserve"> OK</v>
      </c>
      <c r="E148" s="254" t="s">
        <v>1813</v>
      </c>
      <c r="F148" s="254" t="s">
        <v>693</v>
      </c>
      <c r="G148" s="298">
        <f>ROUND([3]Data!AG425,2)</f>
        <v>727.96</v>
      </c>
      <c r="H148" s="298" t="s">
        <v>1715</v>
      </c>
      <c r="I148" s="300"/>
      <c r="J148" s="300"/>
      <c r="K148" s="270"/>
      <c r="L148" s="301"/>
      <c r="M148" s="270"/>
      <c r="N148" s="270"/>
      <c r="O148" s="270"/>
      <c r="P148" s="270"/>
      <c r="Q148" s="270"/>
      <c r="R148" s="270"/>
      <c r="S148" s="270"/>
      <c r="T148" s="301"/>
      <c r="U148" s="270"/>
      <c r="V148" s="240"/>
      <c r="W148" s="238">
        <f t="shared" si="9"/>
        <v>0</v>
      </c>
      <c r="Y148" s="223" t="str">
        <f>'[4]Development - i'!E147</f>
        <v>b. In Ground Floor/stilt floorBrick partition work in C.M. 1:4 using chamber Burnt bricks of size 23 x 11.4 x 7.5 cm (9" x 4 1/2"x 3") 114 mm tk (B.P.)</v>
      </c>
      <c r="Z148" s="223" t="str">
        <f t="shared" si="10"/>
        <v>-----------------------</v>
      </c>
    </row>
    <row r="149" spans="1:26" s="241" customFormat="1" ht="69.75">
      <c r="A149" s="305"/>
      <c r="B149" s="306" t="s">
        <v>694</v>
      </c>
      <c r="C149" s="306" t="s">
        <v>694</v>
      </c>
      <c r="D149" s="235" t="str">
        <f t="shared" si="11"/>
        <v xml:space="preserve"> OK</v>
      </c>
      <c r="E149" s="254" t="s">
        <v>1814</v>
      </c>
      <c r="F149" s="254" t="s">
        <v>694</v>
      </c>
      <c r="G149" s="298">
        <f>ROUND([3]Data!AG426,2)</f>
        <v>742.24</v>
      </c>
      <c r="H149" s="298" t="s">
        <v>1715</v>
      </c>
      <c r="I149" s="300"/>
      <c r="J149" s="300"/>
      <c r="K149" s="270"/>
      <c r="L149" s="301"/>
      <c r="M149" s="270"/>
      <c r="N149" s="270"/>
      <c r="O149" s="270"/>
      <c r="P149" s="270"/>
      <c r="Q149" s="270"/>
      <c r="R149" s="270"/>
      <c r="S149" s="270"/>
      <c r="T149" s="301"/>
      <c r="U149" s="270"/>
      <c r="V149" s="240"/>
      <c r="W149" s="238">
        <f t="shared" si="9"/>
        <v>0</v>
      </c>
      <c r="Y149" s="223" t="str">
        <f>'[4]Development - i'!E148</f>
        <v>c. In First Floor Brick partition work in C.M. 1:4 using chamber Burnt bricks of size 23 x 11.4 x 7.5 cm (9" x 4 1/2"x 3") 114 mm tk (B.P.)</v>
      </c>
      <c r="Z149" s="223" t="str">
        <f t="shared" si="10"/>
        <v>-----------------------</v>
      </c>
    </row>
    <row r="150" spans="1:26" s="241" customFormat="1" ht="69.75">
      <c r="A150" s="305"/>
      <c r="B150" s="306" t="s">
        <v>695</v>
      </c>
      <c r="C150" s="306" t="s">
        <v>695</v>
      </c>
      <c r="D150" s="235" t="str">
        <f t="shared" si="11"/>
        <v xml:space="preserve"> OK</v>
      </c>
      <c r="E150" s="254" t="s">
        <v>1815</v>
      </c>
      <c r="F150" s="254" t="s">
        <v>695</v>
      </c>
      <c r="G150" s="298">
        <f>ROUND([3]Data!AG427,2)</f>
        <v>756.52</v>
      </c>
      <c r="H150" s="298" t="s">
        <v>1715</v>
      </c>
      <c r="I150" s="300"/>
      <c r="J150" s="300"/>
      <c r="K150" s="270"/>
      <c r="L150" s="301"/>
      <c r="M150" s="270"/>
      <c r="N150" s="270"/>
      <c r="O150" s="270"/>
      <c r="P150" s="270"/>
      <c r="Q150" s="270"/>
      <c r="R150" s="270"/>
      <c r="S150" s="270"/>
      <c r="T150" s="301"/>
      <c r="U150" s="270"/>
      <c r="V150" s="240"/>
      <c r="W150" s="238">
        <f t="shared" si="9"/>
        <v>0</v>
      </c>
      <c r="Y150" s="223" t="str">
        <f>'[4]Development - i'!E149</f>
        <v>d. In Second Floor Brick partition work in C.M. 1:4 using chamber Burnt bricks of size 23 x 11.4 x 7.5 cm (9" x 4 1/2"x 3") 114 mm tk (B.P.)</v>
      </c>
      <c r="Z150" s="223" t="str">
        <f t="shared" si="10"/>
        <v>-----------------------</v>
      </c>
    </row>
    <row r="151" spans="1:26" s="241" customFormat="1" ht="69.75">
      <c r="A151" s="305"/>
      <c r="B151" s="306" t="s">
        <v>696</v>
      </c>
      <c r="C151" s="306" t="s">
        <v>696</v>
      </c>
      <c r="D151" s="235" t="str">
        <f t="shared" si="11"/>
        <v xml:space="preserve"> OK</v>
      </c>
      <c r="E151" s="254" t="s">
        <v>1816</v>
      </c>
      <c r="F151" s="254" t="s">
        <v>696</v>
      </c>
      <c r="G151" s="298">
        <f>ROUND([3]Data!AG428,2)</f>
        <v>770.8</v>
      </c>
      <c r="H151" s="298" t="s">
        <v>1715</v>
      </c>
      <c r="I151" s="300"/>
      <c r="J151" s="300"/>
      <c r="K151" s="270"/>
      <c r="L151" s="301"/>
      <c r="M151" s="270"/>
      <c r="N151" s="270"/>
      <c r="O151" s="270"/>
      <c r="P151" s="270"/>
      <c r="Q151" s="270"/>
      <c r="R151" s="270"/>
      <c r="S151" s="270"/>
      <c r="T151" s="301"/>
      <c r="U151" s="270"/>
      <c r="V151" s="240"/>
      <c r="W151" s="238">
        <f t="shared" si="9"/>
        <v>0</v>
      </c>
      <c r="Y151" s="223" t="str">
        <f>'[4]Development - i'!E150</f>
        <v>e. In Third Floor Brick partition work in C.M. 1:4 using chamber Burnt bricks of size 23 x 11.4 x 7.5 cm (9" x 4 1/2"x 3") 114 mm tk (B.P.)</v>
      </c>
      <c r="Z151" s="223" t="str">
        <f t="shared" si="10"/>
        <v>-----------------------</v>
      </c>
    </row>
    <row r="152" spans="1:26" s="241" customFormat="1" ht="69.75">
      <c r="A152" s="319"/>
      <c r="B152" s="306" t="s">
        <v>697</v>
      </c>
      <c r="C152" s="306" t="s">
        <v>697</v>
      </c>
      <c r="D152" s="235" t="str">
        <f t="shared" si="11"/>
        <v xml:space="preserve"> OK</v>
      </c>
      <c r="E152" s="254" t="s">
        <v>1817</v>
      </c>
      <c r="F152" s="254" t="s">
        <v>697</v>
      </c>
      <c r="G152" s="298">
        <f>ROUND([3]Data!AG429,2)</f>
        <v>785.08</v>
      </c>
      <c r="H152" s="298" t="s">
        <v>1715</v>
      </c>
      <c r="I152" s="300"/>
      <c r="J152" s="300"/>
      <c r="K152" s="270"/>
      <c r="L152" s="301"/>
      <c r="M152" s="270"/>
      <c r="N152" s="270"/>
      <c r="O152" s="270"/>
      <c r="P152" s="270"/>
      <c r="Q152" s="270"/>
      <c r="R152" s="270"/>
      <c r="S152" s="270"/>
      <c r="T152" s="301"/>
      <c r="U152" s="270"/>
      <c r="V152" s="240"/>
      <c r="W152" s="238">
        <f t="shared" si="9"/>
        <v>0</v>
      </c>
      <c r="Y152" s="223" t="str">
        <f>'[4]Development - i'!E151</f>
        <v>f. In Fourth FloorBrick partition work in C.M. 1:4 using chamber Burnt bricks of size 23 x 11.4 x 7.5 cm (9" x 4 1/2"x 3") 114 mm tk (B.P.)</v>
      </c>
      <c r="Z152" s="223" t="str">
        <f t="shared" si="10"/>
        <v>-----------------------</v>
      </c>
    </row>
    <row r="153" spans="1:26" s="241" customFormat="1" ht="69.75">
      <c r="A153" s="319"/>
      <c r="B153" s="306" t="s">
        <v>660</v>
      </c>
      <c r="C153" s="306" t="s">
        <v>660</v>
      </c>
      <c r="D153" s="235" t="str">
        <f t="shared" si="11"/>
        <v xml:space="preserve"> OK</v>
      </c>
      <c r="E153" s="254" t="s">
        <v>1818</v>
      </c>
      <c r="F153" s="254" t="s">
        <v>660</v>
      </c>
      <c r="G153" s="298">
        <f>ROUND([3]Data!AG430,2)</f>
        <v>799.36</v>
      </c>
      <c r="H153" s="298" t="s">
        <v>1715</v>
      </c>
      <c r="I153" s="300"/>
      <c r="J153" s="300"/>
      <c r="K153" s="270"/>
      <c r="L153" s="301"/>
      <c r="M153" s="270"/>
      <c r="N153" s="270"/>
      <c r="O153" s="270"/>
      <c r="P153" s="270"/>
      <c r="Q153" s="270"/>
      <c r="R153" s="270"/>
      <c r="S153" s="270"/>
      <c r="T153" s="301"/>
      <c r="U153" s="270"/>
      <c r="V153" s="240"/>
      <c r="W153" s="238">
        <f t="shared" si="9"/>
        <v>0</v>
      </c>
      <c r="Y153" s="223" t="str">
        <f>'[4]Development - i'!E152</f>
        <v>f.  In Fifth floor Brick partition work in C.M. 1:4 using chamber Burnt bricks of size 23 x 11.4 x 7.5 cm (9" x 4 1/2"x 3") 114 mm tk (B.P.)</v>
      </c>
      <c r="Z153" s="223" t="str">
        <f t="shared" si="10"/>
        <v>-----------------------</v>
      </c>
    </row>
    <row r="154" spans="1:26" s="241" customFormat="1" ht="69.75">
      <c r="A154" s="319"/>
      <c r="B154" s="306" t="s">
        <v>661</v>
      </c>
      <c r="C154" s="306" t="s">
        <v>661</v>
      </c>
      <c r="D154" s="235" t="str">
        <f t="shared" si="11"/>
        <v xml:space="preserve"> OK</v>
      </c>
      <c r="E154" s="254" t="s">
        <v>1819</v>
      </c>
      <c r="F154" s="254" t="s">
        <v>661</v>
      </c>
      <c r="G154" s="298">
        <f>ROUND([3]Data!AG431,2)</f>
        <v>813.64</v>
      </c>
      <c r="H154" s="298" t="s">
        <v>1715</v>
      </c>
      <c r="I154" s="300"/>
      <c r="J154" s="300"/>
      <c r="K154" s="270"/>
      <c r="L154" s="301"/>
      <c r="M154" s="270"/>
      <c r="N154" s="270"/>
      <c r="O154" s="270"/>
      <c r="P154" s="270"/>
      <c r="Q154" s="270"/>
      <c r="R154" s="270"/>
      <c r="S154" s="270"/>
      <c r="T154" s="301"/>
      <c r="U154" s="270"/>
      <c r="V154" s="240"/>
      <c r="W154" s="238">
        <f t="shared" si="9"/>
        <v>0</v>
      </c>
      <c r="Y154" s="223" t="str">
        <f>'[4]Development - i'!E153</f>
        <v>g.  In sixth floor Brick partition work in C.M. 1:4 using chamber Burnt bricks of size 23 x 11.4 x 7.5 cm (9" x 4 1/2"x 3") 114 mm tk (B.P.)</v>
      </c>
      <c r="Z154" s="223" t="str">
        <f t="shared" si="10"/>
        <v>-----------------------</v>
      </c>
    </row>
    <row r="155" spans="1:26" s="241" customFormat="1" ht="69.75">
      <c r="A155" s="319"/>
      <c r="B155" s="306" t="s">
        <v>662</v>
      </c>
      <c r="C155" s="306" t="s">
        <v>662</v>
      </c>
      <c r="D155" s="235" t="str">
        <f t="shared" si="11"/>
        <v xml:space="preserve"> OK</v>
      </c>
      <c r="E155" s="254" t="s">
        <v>1820</v>
      </c>
      <c r="F155" s="254" t="s">
        <v>662</v>
      </c>
      <c r="G155" s="298">
        <f>ROUND([3]Data!AG432,2)</f>
        <v>827.92</v>
      </c>
      <c r="H155" s="298" t="s">
        <v>1715</v>
      </c>
      <c r="I155" s="300"/>
      <c r="J155" s="300"/>
      <c r="K155" s="270"/>
      <c r="L155" s="301"/>
      <c r="M155" s="270"/>
      <c r="N155" s="270"/>
      <c r="O155" s="270"/>
      <c r="P155" s="270"/>
      <c r="Q155" s="270"/>
      <c r="R155" s="270"/>
      <c r="S155" s="270"/>
      <c r="T155" s="301"/>
      <c r="U155" s="270"/>
      <c r="V155" s="240"/>
      <c r="W155" s="238">
        <f t="shared" si="9"/>
        <v>0</v>
      </c>
      <c r="Y155" s="223" t="str">
        <f>'[4]Development - i'!E154</f>
        <v>h.  In seventh floor Brick partition work in C.M. 1:4 using chamber Burnt bricks of size 23 x 11.4 x 7.5 cm (9" x 4 1/2"x 3") 114 mm tk (B.P.)</v>
      </c>
      <c r="Z155" s="223" t="str">
        <f t="shared" si="10"/>
        <v>-----------------------</v>
      </c>
    </row>
    <row r="156" spans="1:26" s="241" customFormat="1" ht="69.75">
      <c r="A156" s="319"/>
      <c r="B156" s="306" t="s">
        <v>663</v>
      </c>
      <c r="C156" s="306" t="s">
        <v>663</v>
      </c>
      <c r="D156" s="235" t="str">
        <f t="shared" si="11"/>
        <v xml:space="preserve"> OK</v>
      </c>
      <c r="E156" s="254" t="s">
        <v>1821</v>
      </c>
      <c r="F156" s="254" t="s">
        <v>663</v>
      </c>
      <c r="G156" s="298">
        <f>ROUND([3]Data!AG433,2)</f>
        <v>842.2</v>
      </c>
      <c r="H156" s="298" t="s">
        <v>1715</v>
      </c>
      <c r="I156" s="300"/>
      <c r="J156" s="300"/>
      <c r="K156" s="270"/>
      <c r="L156" s="301"/>
      <c r="M156" s="270"/>
      <c r="N156" s="270"/>
      <c r="O156" s="270"/>
      <c r="P156" s="270"/>
      <c r="Q156" s="270"/>
      <c r="R156" s="270"/>
      <c r="S156" s="270"/>
      <c r="T156" s="301"/>
      <c r="U156" s="270"/>
      <c r="V156" s="240"/>
      <c r="W156" s="238">
        <f t="shared" si="9"/>
        <v>0</v>
      </c>
      <c r="Y156" s="223" t="str">
        <f>'[4]Development - i'!E155</f>
        <v>i.  In eighth floor Brick partition work in C.M. 1:4 using chamber Burnt bricks of size 23 x 11.4 x 7.5 cm (9" x 4 1/2"x 3") 114 mm tk (B.P.)</v>
      </c>
      <c r="Z156" s="223" t="str">
        <f t="shared" si="10"/>
        <v>-----------------------</v>
      </c>
    </row>
    <row r="157" spans="1:26" s="241" customFormat="1" ht="69.75">
      <c r="A157" s="319"/>
      <c r="B157" s="306" t="s">
        <v>664</v>
      </c>
      <c r="C157" s="306" t="s">
        <v>664</v>
      </c>
      <c r="D157" s="235" t="str">
        <f t="shared" si="11"/>
        <v xml:space="preserve"> OK</v>
      </c>
      <c r="E157" s="254" t="s">
        <v>1822</v>
      </c>
      <c r="F157" s="254" t="s">
        <v>664</v>
      </c>
      <c r="G157" s="298">
        <f>ROUND([3]Data!AG434,2)</f>
        <v>856.48</v>
      </c>
      <c r="H157" s="298" t="s">
        <v>1715</v>
      </c>
      <c r="I157" s="300"/>
      <c r="J157" s="300"/>
      <c r="K157" s="270"/>
      <c r="L157" s="301"/>
      <c r="M157" s="270"/>
      <c r="N157" s="270"/>
      <c r="O157" s="270"/>
      <c r="P157" s="270"/>
      <c r="Q157" s="270"/>
      <c r="R157" s="270"/>
      <c r="S157" s="270"/>
      <c r="T157" s="301"/>
      <c r="U157" s="270"/>
      <c r="V157" s="240"/>
      <c r="W157" s="238">
        <f t="shared" si="9"/>
        <v>0</v>
      </c>
      <c r="Y157" s="223" t="str">
        <f>'[4]Development - i'!E156</f>
        <v>j.  In Ninth floor Brick partition work in C.M. 1:4 using chamber Burnt bricks of size 23 x 11.4 x 7.5 cm (9" x 4 1/2"x 3") 114 mm tk (B.P.)</v>
      </c>
      <c r="Z157" s="223" t="str">
        <f t="shared" si="10"/>
        <v>-----------------------</v>
      </c>
    </row>
    <row r="158" spans="1:26" s="241" customFormat="1" ht="69.75">
      <c r="A158" s="319"/>
      <c r="B158" s="306" t="s">
        <v>665</v>
      </c>
      <c r="C158" s="306" t="s">
        <v>665</v>
      </c>
      <c r="D158" s="235" t="str">
        <f t="shared" si="11"/>
        <v xml:space="preserve"> OK</v>
      </c>
      <c r="E158" s="254" t="s">
        <v>1823</v>
      </c>
      <c r="F158" s="254" t="s">
        <v>665</v>
      </c>
      <c r="G158" s="298">
        <f>ROUND([3]Data!AG435,2)</f>
        <v>870.76</v>
      </c>
      <c r="H158" s="298" t="s">
        <v>1715</v>
      </c>
      <c r="I158" s="300"/>
      <c r="J158" s="300"/>
      <c r="K158" s="270"/>
      <c r="L158" s="301"/>
      <c r="M158" s="270"/>
      <c r="N158" s="270"/>
      <c r="O158" s="270"/>
      <c r="P158" s="270"/>
      <c r="Q158" s="270"/>
      <c r="R158" s="270"/>
      <c r="S158" s="270"/>
      <c r="T158" s="301"/>
      <c r="U158" s="270"/>
      <c r="V158" s="240"/>
      <c r="W158" s="238">
        <f t="shared" si="9"/>
        <v>0</v>
      </c>
      <c r="Y158" s="223" t="str">
        <f>'[4]Development - i'!E157</f>
        <v>k.  In Tenth floor Brick partition work in C.M. 1:4 using chamber Burnt bricks of size 23 x 11.4 x 7.5 cm (9" x 4 1/2"x 3") 114 mm tk (B.P.)</v>
      </c>
      <c r="Z158" s="223" t="str">
        <f t="shared" si="10"/>
        <v>-----------------------</v>
      </c>
    </row>
    <row r="159" spans="1:26" s="241" customFormat="1" ht="69.75">
      <c r="A159" s="319"/>
      <c r="B159" s="306" t="s">
        <v>666</v>
      </c>
      <c r="C159" s="306" t="s">
        <v>666</v>
      </c>
      <c r="D159" s="235" t="str">
        <f t="shared" si="11"/>
        <v xml:space="preserve"> OK</v>
      </c>
      <c r="E159" s="254" t="s">
        <v>1824</v>
      </c>
      <c r="F159" s="254" t="s">
        <v>666</v>
      </c>
      <c r="G159" s="298">
        <f>ROUND([3]Data!AG436,2)</f>
        <v>885.04</v>
      </c>
      <c r="H159" s="298" t="s">
        <v>1715</v>
      </c>
      <c r="I159" s="300"/>
      <c r="J159" s="300"/>
      <c r="K159" s="270"/>
      <c r="L159" s="301"/>
      <c r="M159" s="270"/>
      <c r="N159" s="270"/>
      <c r="O159" s="270"/>
      <c r="P159" s="270"/>
      <c r="Q159" s="270"/>
      <c r="R159" s="270"/>
      <c r="S159" s="270"/>
      <c r="T159" s="301"/>
      <c r="U159" s="270"/>
      <c r="V159" s="240"/>
      <c r="W159" s="238">
        <f t="shared" si="9"/>
        <v>0</v>
      </c>
      <c r="Y159" s="223" t="str">
        <f>'[4]Development - i'!E158</f>
        <v>l.  In Eleventh floor Brick partition work in C.M. 1:4 using chamber Burnt bricks of size 23 x 11.4 x 7.5 cm (9" x 4 1/2"x 3") 114 mm tk (B.P.)</v>
      </c>
      <c r="Z159" s="223" t="str">
        <f t="shared" si="10"/>
        <v>-----------------------</v>
      </c>
    </row>
    <row r="160" spans="1:26" s="241" customFormat="1" ht="69.75">
      <c r="A160" s="319"/>
      <c r="B160" s="306" t="s">
        <v>667</v>
      </c>
      <c r="C160" s="306" t="s">
        <v>667</v>
      </c>
      <c r="D160" s="235" t="str">
        <f t="shared" si="11"/>
        <v xml:space="preserve"> OK</v>
      </c>
      <c r="E160" s="254" t="s">
        <v>1825</v>
      </c>
      <c r="F160" s="254" t="s">
        <v>667</v>
      </c>
      <c r="G160" s="298">
        <f>[3]Data!AI436</f>
        <v>899.32</v>
      </c>
      <c r="H160" s="298" t="s">
        <v>1715</v>
      </c>
      <c r="I160" s="300"/>
      <c r="J160" s="300"/>
      <c r="K160" s="270"/>
      <c r="L160" s="301"/>
      <c r="M160" s="270"/>
      <c r="N160" s="270"/>
      <c r="O160" s="270"/>
      <c r="P160" s="270"/>
      <c r="Q160" s="270"/>
      <c r="R160" s="270"/>
      <c r="S160" s="270"/>
      <c r="T160" s="301"/>
      <c r="U160" s="270"/>
      <c r="V160" s="240"/>
      <c r="W160" s="238">
        <f t="shared" si="9"/>
        <v>0</v>
      </c>
      <c r="Y160" s="223" t="str">
        <f>'[4]Development - i'!E159</f>
        <v>m.  In Twelth floor Brick partition work in C.M. 1:4 using chamber Burnt bricks of size 23 x 11.4 x 7.5 cm (9" x 4 1/2"x 3") 114 mm tk (B.P.)</v>
      </c>
      <c r="Z160" s="223" t="str">
        <f t="shared" si="10"/>
        <v>-----------------------</v>
      </c>
    </row>
    <row r="161" spans="1:26" s="241" customFormat="1" ht="69.75">
      <c r="A161" s="319"/>
      <c r="B161" s="306" t="s">
        <v>676</v>
      </c>
      <c r="C161" s="306" t="s">
        <v>676</v>
      </c>
      <c r="D161" s="235" t="str">
        <f t="shared" si="11"/>
        <v xml:space="preserve"> OK</v>
      </c>
      <c r="E161" s="254" t="s">
        <v>1826</v>
      </c>
      <c r="F161" s="254" t="s">
        <v>676</v>
      </c>
      <c r="G161" s="298">
        <f>[3]Data!AI437</f>
        <v>913.6</v>
      </c>
      <c r="H161" s="298" t="s">
        <v>1715</v>
      </c>
      <c r="I161" s="300"/>
      <c r="J161" s="300"/>
      <c r="K161" s="270"/>
      <c r="L161" s="301"/>
      <c r="M161" s="270"/>
      <c r="N161" s="270"/>
      <c r="O161" s="270"/>
      <c r="P161" s="270"/>
      <c r="Q161" s="270"/>
      <c r="R161" s="270"/>
      <c r="S161" s="270"/>
      <c r="T161" s="301"/>
      <c r="U161" s="270"/>
      <c r="V161" s="240"/>
      <c r="W161" s="238">
        <f t="shared" si="9"/>
        <v>0</v>
      </c>
      <c r="Y161" s="223" t="str">
        <f>'[4]Development - i'!E160</f>
        <v>n. In thirteen floor Brick partition work in C.M. 1:4 using chamber Burnt bricks of size 23 x 11.4 x 7.5 cm (9" x 4 1/2"x 3") 114 mm tk (B.P.)</v>
      </c>
      <c r="Z161" s="223" t="str">
        <f t="shared" si="10"/>
        <v>-----------------------</v>
      </c>
    </row>
    <row r="162" spans="1:26" s="241" customFormat="1" ht="69.75">
      <c r="A162" s="305">
        <v>10.3</v>
      </c>
      <c r="B162" s="314" t="s">
        <v>1827</v>
      </c>
      <c r="C162" s="314" t="s">
        <v>698</v>
      </c>
      <c r="D162" s="235" t="str">
        <f t="shared" si="11"/>
        <v xml:space="preserve"> OK</v>
      </c>
      <c r="E162" s="254" t="s">
        <v>1828</v>
      </c>
      <c r="F162" s="254">
        <v>0</v>
      </c>
      <c r="G162" s="298"/>
      <c r="H162" s="298"/>
      <c r="I162" s="300"/>
      <c r="J162" s="300"/>
      <c r="K162" s="270"/>
      <c r="L162" s="301"/>
      <c r="M162" s="270"/>
      <c r="N162" s="270"/>
      <c r="O162" s="270"/>
      <c r="P162" s="270"/>
      <c r="Q162" s="270"/>
      <c r="R162" s="270"/>
      <c r="S162" s="270"/>
      <c r="T162" s="301"/>
      <c r="U162" s="270"/>
      <c r="V162" s="240"/>
      <c r="W162" s="238">
        <f t="shared" si="9"/>
        <v>0</v>
      </c>
      <c r="Y162" s="223" t="str">
        <f>'[4]Development - i'!E161</f>
        <v>Brick partition work in C.M. 1:4 Chamber Burnt brick of size 23 x 11 x 7 cm (9" x 4 1/4" x 2 3/4") 110 mm tk (B.P.)</v>
      </c>
      <c r="Z162" s="223" t="str">
        <f t="shared" si="10"/>
        <v>ERRR</v>
      </c>
    </row>
    <row r="163" spans="1:26" s="241" customFormat="1" ht="93">
      <c r="A163" s="305"/>
      <c r="B163" s="306" t="s">
        <v>692</v>
      </c>
      <c r="C163" s="306" t="s">
        <v>692</v>
      </c>
      <c r="D163" s="235" t="str">
        <f t="shared" si="11"/>
        <v xml:space="preserve"> OK</v>
      </c>
      <c r="E163" s="254" t="s">
        <v>1829</v>
      </c>
      <c r="F163" s="254">
        <v>0</v>
      </c>
      <c r="G163" s="298"/>
      <c r="H163" s="298" t="s">
        <v>1715</v>
      </c>
      <c r="I163" s="300"/>
      <c r="J163" s="300"/>
      <c r="K163" s="270"/>
      <c r="L163" s="301"/>
      <c r="M163" s="270"/>
      <c r="N163" s="270"/>
      <c r="O163" s="270"/>
      <c r="P163" s="270"/>
      <c r="Q163" s="270"/>
      <c r="R163" s="270"/>
      <c r="S163" s="270"/>
      <c r="T163" s="301"/>
      <c r="U163" s="270"/>
      <c r="V163" s="240"/>
      <c r="W163" s="238">
        <f t="shared" si="9"/>
        <v>0</v>
      </c>
      <c r="Y163" s="223" t="str">
        <f>'[4]Development - i'!E162</f>
        <v>a. In Foundation and basement Brick partition work in C.M. 1:4 Chamber Burnt brick of size 23 x 11 x 7 cm (9" x 4 1/4" x 2 3/4") 110 mm tk (B.P.)</v>
      </c>
      <c r="Z163" s="223" t="str">
        <f t="shared" si="10"/>
        <v>ERRR</v>
      </c>
    </row>
    <row r="164" spans="1:26" s="241" customFormat="1" ht="93">
      <c r="A164" s="305"/>
      <c r="B164" s="306" t="s">
        <v>965</v>
      </c>
      <c r="C164" s="306" t="s">
        <v>965</v>
      </c>
      <c r="D164" s="235" t="str">
        <f t="shared" si="11"/>
        <v xml:space="preserve"> OK</v>
      </c>
      <c r="E164" s="254" t="s">
        <v>1830</v>
      </c>
      <c r="F164" s="254">
        <v>0</v>
      </c>
      <c r="G164" s="298"/>
      <c r="H164" s="298" t="s">
        <v>1715</v>
      </c>
      <c r="I164" s="300"/>
      <c r="J164" s="300"/>
      <c r="K164" s="270"/>
      <c r="L164" s="301"/>
      <c r="M164" s="270"/>
      <c r="N164" s="270"/>
      <c r="O164" s="270"/>
      <c r="P164" s="270"/>
      <c r="Q164" s="270"/>
      <c r="R164" s="270"/>
      <c r="S164" s="270"/>
      <c r="T164" s="301"/>
      <c r="U164" s="270"/>
      <c r="V164" s="240"/>
      <c r="W164" s="238">
        <f t="shared" si="9"/>
        <v>0</v>
      </c>
      <c r="Y164" s="223" t="str">
        <f>'[4]Development - i'!E163</f>
        <v>b. In Ground Floor Brick partition work in C.M. 1:4 Chamber Burnt brick of size 23 x 11 x 7 cm (9" x 4 1/4" x 2 3/4") 110 mm tk (B.P.)</v>
      </c>
      <c r="Z164" s="223" t="str">
        <f t="shared" si="10"/>
        <v>ERRR</v>
      </c>
    </row>
    <row r="165" spans="1:26" s="241" customFormat="1" ht="93">
      <c r="A165" s="305"/>
      <c r="B165" s="306" t="s">
        <v>694</v>
      </c>
      <c r="C165" s="306" t="s">
        <v>694</v>
      </c>
      <c r="D165" s="235" t="str">
        <f t="shared" si="11"/>
        <v xml:space="preserve"> OK</v>
      </c>
      <c r="E165" s="254" t="s">
        <v>1831</v>
      </c>
      <c r="F165" s="254">
        <v>0</v>
      </c>
      <c r="G165" s="298"/>
      <c r="H165" s="298" t="s">
        <v>1715</v>
      </c>
      <c r="I165" s="300"/>
      <c r="J165" s="300"/>
      <c r="K165" s="270"/>
      <c r="L165" s="301"/>
      <c r="M165" s="270"/>
      <c r="N165" s="270"/>
      <c r="O165" s="270"/>
      <c r="P165" s="270"/>
      <c r="Q165" s="270"/>
      <c r="R165" s="270"/>
      <c r="S165" s="270"/>
      <c r="T165" s="301"/>
      <c r="U165" s="270"/>
      <c r="V165" s="240"/>
      <c r="W165" s="238">
        <f t="shared" si="9"/>
        <v>0</v>
      </c>
      <c r="Y165" s="223" t="str">
        <f>'[4]Development - i'!E164</f>
        <v>c. In First Floor  Brick partition work in C.M. 1:4 Chamber Burnt brick of size 23 x 11 x 7 cm (9" x 4 1/4" x 2 3/4") 110 mm tk (B.P.)</v>
      </c>
      <c r="Z165" s="223" t="str">
        <f t="shared" si="10"/>
        <v>ERRR</v>
      </c>
    </row>
    <row r="166" spans="1:26" s="241" customFormat="1" ht="93">
      <c r="A166" s="305"/>
      <c r="B166" s="306" t="s">
        <v>695</v>
      </c>
      <c r="C166" s="306" t="s">
        <v>695</v>
      </c>
      <c r="D166" s="235" t="str">
        <f t="shared" si="11"/>
        <v xml:space="preserve"> OK</v>
      </c>
      <c r="E166" s="254" t="s">
        <v>1832</v>
      </c>
      <c r="F166" s="254">
        <v>0</v>
      </c>
      <c r="G166" s="298"/>
      <c r="H166" s="298" t="s">
        <v>1715</v>
      </c>
      <c r="I166" s="300"/>
      <c r="J166" s="300"/>
      <c r="K166" s="270"/>
      <c r="L166" s="301"/>
      <c r="M166" s="270"/>
      <c r="N166" s="270"/>
      <c r="O166" s="270"/>
      <c r="P166" s="270"/>
      <c r="Q166" s="270"/>
      <c r="R166" s="270"/>
      <c r="S166" s="270"/>
      <c r="T166" s="301"/>
      <c r="U166" s="270"/>
      <c r="V166" s="240"/>
      <c r="W166" s="238">
        <f t="shared" si="9"/>
        <v>0</v>
      </c>
      <c r="Y166" s="223" t="str">
        <f>'[4]Development - i'!E165</f>
        <v>d. In Second Floor Brick partition work in C.M. 1:4 Chamber Burnt brick of size 23 x 11 x 7 cm (9" x 4 1/4" x 2 3/4") 110 mm tk (B.P.)</v>
      </c>
      <c r="Z166" s="223" t="str">
        <f t="shared" si="10"/>
        <v>ERRR</v>
      </c>
    </row>
    <row r="167" spans="1:26" s="241" customFormat="1" ht="93">
      <c r="A167" s="305"/>
      <c r="B167" s="306" t="s">
        <v>696</v>
      </c>
      <c r="C167" s="306" t="s">
        <v>696</v>
      </c>
      <c r="D167" s="235" t="str">
        <f t="shared" si="11"/>
        <v xml:space="preserve"> OK</v>
      </c>
      <c r="E167" s="254" t="s">
        <v>1833</v>
      </c>
      <c r="F167" s="254">
        <v>0</v>
      </c>
      <c r="G167" s="298"/>
      <c r="H167" s="298" t="s">
        <v>1715</v>
      </c>
      <c r="I167" s="300"/>
      <c r="J167" s="300"/>
      <c r="K167" s="270"/>
      <c r="L167" s="301"/>
      <c r="M167" s="270"/>
      <c r="N167" s="270"/>
      <c r="O167" s="270"/>
      <c r="P167" s="270"/>
      <c r="Q167" s="270"/>
      <c r="R167" s="270"/>
      <c r="S167" s="270"/>
      <c r="T167" s="301"/>
      <c r="U167" s="270"/>
      <c r="V167" s="240"/>
      <c r="W167" s="238">
        <f t="shared" si="9"/>
        <v>0</v>
      </c>
      <c r="Y167" s="223" t="str">
        <f>'[4]Development - i'!E166</f>
        <v>e. In Third FloorBrick partition work in C.M. 1:4 Chamber Burnt brick of size 23 x 11 x 7 cm (9" x 4 1/4" x 2 3/4") 110 mm tk (B.P.)</v>
      </c>
      <c r="Z167" s="223" t="str">
        <f t="shared" si="10"/>
        <v>ERRR</v>
      </c>
    </row>
    <row r="168" spans="1:26" s="241" customFormat="1" ht="93">
      <c r="A168" s="319"/>
      <c r="B168" s="306" t="s">
        <v>697</v>
      </c>
      <c r="C168" s="306" t="s">
        <v>697</v>
      </c>
      <c r="D168" s="235" t="str">
        <f t="shared" si="11"/>
        <v xml:space="preserve"> OK</v>
      </c>
      <c r="E168" s="254" t="s">
        <v>1834</v>
      </c>
      <c r="F168" s="254">
        <v>0</v>
      </c>
      <c r="G168" s="298"/>
      <c r="H168" s="298" t="s">
        <v>1715</v>
      </c>
      <c r="I168" s="300"/>
      <c r="J168" s="300"/>
      <c r="K168" s="270"/>
      <c r="L168" s="301"/>
      <c r="M168" s="270"/>
      <c r="N168" s="270"/>
      <c r="O168" s="270"/>
      <c r="P168" s="270"/>
      <c r="Q168" s="270"/>
      <c r="R168" s="270"/>
      <c r="S168" s="270"/>
      <c r="T168" s="301"/>
      <c r="U168" s="270"/>
      <c r="V168" s="240"/>
      <c r="W168" s="238">
        <f t="shared" si="9"/>
        <v>0</v>
      </c>
      <c r="Y168" s="223" t="str">
        <f>'[4]Development - i'!E167</f>
        <v>f. In Fourth Floor Brick partition work in C.M. 1:4 Chamber Burnt brick of size 23 x 11 x 7 cm (9" x 4 1/4" x 2 3/4") 110 mm tk (B.P.)</v>
      </c>
      <c r="Z168" s="223" t="str">
        <f t="shared" si="10"/>
        <v>ERRR</v>
      </c>
    </row>
    <row r="169" spans="1:26" s="241" customFormat="1" ht="69.75">
      <c r="A169" s="305">
        <v>10.4</v>
      </c>
      <c r="B169" s="314" t="s">
        <v>1835</v>
      </c>
      <c r="C169" s="314" t="s">
        <v>699</v>
      </c>
      <c r="D169" s="235" t="str">
        <f t="shared" si="11"/>
        <v xml:space="preserve"> OK</v>
      </c>
      <c r="E169" s="254" t="s">
        <v>1836</v>
      </c>
      <c r="F169" s="254">
        <v>0</v>
      </c>
      <c r="G169" s="298"/>
      <c r="H169" s="298"/>
      <c r="I169" s="300"/>
      <c r="J169" s="300"/>
      <c r="K169" s="270"/>
      <c r="L169" s="301"/>
      <c r="M169" s="270"/>
      <c r="N169" s="270"/>
      <c r="O169" s="270"/>
      <c r="P169" s="270"/>
      <c r="Q169" s="270"/>
      <c r="R169" s="270"/>
      <c r="S169" s="270"/>
      <c r="T169" s="301"/>
      <c r="U169" s="270"/>
      <c r="V169" s="240"/>
      <c r="W169" s="238">
        <f t="shared" si="9"/>
        <v>0</v>
      </c>
      <c r="Y169" s="223" t="str">
        <f>'[4]Development - i'!E168</f>
        <v>Brick partition work in C.M. 1:4 Chamber Burnt brick of size 22 x 11 x 7 cm (8 3/4" x 4 1/4" x 2 3/4") 110 mm tk (B.P.)</v>
      </c>
      <c r="Z169" s="223" t="str">
        <f t="shared" si="10"/>
        <v>ERRR</v>
      </c>
    </row>
    <row r="170" spans="1:26" s="241" customFormat="1" ht="93">
      <c r="A170" s="305"/>
      <c r="B170" s="306" t="s">
        <v>692</v>
      </c>
      <c r="C170" s="306" t="s">
        <v>692</v>
      </c>
      <c r="D170" s="235" t="str">
        <f t="shared" si="11"/>
        <v xml:space="preserve"> OK</v>
      </c>
      <c r="E170" s="254" t="s">
        <v>1837</v>
      </c>
      <c r="F170" s="254">
        <v>0</v>
      </c>
      <c r="G170" s="298"/>
      <c r="H170" s="298" t="s">
        <v>1715</v>
      </c>
      <c r="I170" s="300"/>
      <c r="J170" s="300"/>
      <c r="K170" s="270"/>
      <c r="L170" s="301"/>
      <c r="M170" s="270"/>
      <c r="N170" s="270"/>
      <c r="O170" s="270"/>
      <c r="P170" s="270"/>
      <c r="Q170" s="270"/>
      <c r="R170" s="270"/>
      <c r="S170" s="270"/>
      <c r="T170" s="301"/>
      <c r="U170" s="270"/>
      <c r="V170" s="240"/>
      <c r="W170" s="238">
        <f t="shared" si="9"/>
        <v>0</v>
      </c>
      <c r="Y170" s="223" t="str">
        <f>'[4]Development - i'!E169</f>
        <v>a. In Foundation and basement Brick partition work in C.M. 1:4 Chamber Burnt brick of size 22 x 11 x 7 cm (8 3/4" x 4 1/4" x 2 3/4") 110 mm tk (B.P.)</v>
      </c>
      <c r="Z170" s="223" t="str">
        <f t="shared" si="10"/>
        <v>ERRR</v>
      </c>
    </row>
    <row r="171" spans="1:26" s="241" customFormat="1" ht="69.75">
      <c r="A171" s="305"/>
      <c r="B171" s="306" t="s">
        <v>965</v>
      </c>
      <c r="C171" s="306" t="s">
        <v>965</v>
      </c>
      <c r="D171" s="235" t="str">
        <f t="shared" si="11"/>
        <v xml:space="preserve"> OK</v>
      </c>
      <c r="E171" s="254" t="s">
        <v>1838</v>
      </c>
      <c r="F171" s="254">
        <v>0</v>
      </c>
      <c r="G171" s="298"/>
      <c r="H171" s="298" t="s">
        <v>1715</v>
      </c>
      <c r="I171" s="300"/>
      <c r="J171" s="300"/>
      <c r="K171" s="270"/>
      <c r="L171" s="301"/>
      <c r="M171" s="270"/>
      <c r="N171" s="270"/>
      <c r="O171" s="270"/>
      <c r="P171" s="270"/>
      <c r="Q171" s="270"/>
      <c r="R171" s="270"/>
      <c r="S171" s="270"/>
      <c r="T171" s="301"/>
      <c r="U171" s="270"/>
      <c r="V171" s="240"/>
      <c r="W171" s="238">
        <f t="shared" si="9"/>
        <v>0</v>
      </c>
      <c r="Y171" s="223" t="str">
        <f>'[4]Development - i'!E170</f>
        <v>b. In Ground FloorBrick partition work in C.M. 1:4 Chamber Burnt brick of size 22 x 11 x 7 cm (8 3/4" x 4 1/4" x 2 3/4") 110 mm tk (B.P.)</v>
      </c>
      <c r="Z171" s="223" t="str">
        <f t="shared" si="10"/>
        <v>ERRR</v>
      </c>
    </row>
    <row r="172" spans="1:26" s="241" customFormat="1" ht="69.75">
      <c r="A172" s="305"/>
      <c r="B172" s="306" t="s">
        <v>694</v>
      </c>
      <c r="C172" s="306" t="s">
        <v>694</v>
      </c>
      <c r="D172" s="235" t="str">
        <f t="shared" si="11"/>
        <v xml:space="preserve"> OK</v>
      </c>
      <c r="E172" s="254" t="s">
        <v>1839</v>
      </c>
      <c r="F172" s="254">
        <v>0</v>
      </c>
      <c r="G172" s="298"/>
      <c r="H172" s="298" t="s">
        <v>1715</v>
      </c>
      <c r="I172" s="300"/>
      <c r="J172" s="300"/>
      <c r="K172" s="270"/>
      <c r="L172" s="301"/>
      <c r="M172" s="270"/>
      <c r="N172" s="270"/>
      <c r="O172" s="270"/>
      <c r="P172" s="270"/>
      <c r="Q172" s="270"/>
      <c r="R172" s="270"/>
      <c r="S172" s="270"/>
      <c r="T172" s="301"/>
      <c r="U172" s="270"/>
      <c r="V172" s="240"/>
      <c r="W172" s="238">
        <f t="shared" si="9"/>
        <v>0</v>
      </c>
      <c r="Y172" s="223" t="str">
        <f>'[4]Development - i'!E171</f>
        <v>c. In First Floor Brick partition work in C.M. 1:4 Chamber Burnt brick of size 22 x 11 x 7 cm (8 3/4" x 4 1/4" x 2 3/4") 110 mm tk (B.P.)</v>
      </c>
      <c r="Z172" s="223" t="str">
        <f t="shared" si="10"/>
        <v>ERRR</v>
      </c>
    </row>
    <row r="173" spans="1:26" s="241" customFormat="1" ht="69.75">
      <c r="A173" s="305"/>
      <c r="B173" s="306" t="s">
        <v>695</v>
      </c>
      <c r="C173" s="306" t="s">
        <v>695</v>
      </c>
      <c r="D173" s="235" t="str">
        <f t="shared" si="11"/>
        <v xml:space="preserve"> OK</v>
      </c>
      <c r="E173" s="254" t="s">
        <v>1840</v>
      </c>
      <c r="F173" s="254">
        <v>0</v>
      </c>
      <c r="G173" s="298"/>
      <c r="H173" s="298" t="s">
        <v>1715</v>
      </c>
      <c r="I173" s="300"/>
      <c r="J173" s="300"/>
      <c r="K173" s="270"/>
      <c r="L173" s="301"/>
      <c r="M173" s="270"/>
      <c r="N173" s="270"/>
      <c r="O173" s="270"/>
      <c r="P173" s="270"/>
      <c r="Q173" s="270"/>
      <c r="R173" s="270"/>
      <c r="S173" s="270"/>
      <c r="T173" s="301"/>
      <c r="U173" s="270"/>
      <c r="V173" s="240"/>
      <c r="W173" s="238">
        <f t="shared" si="9"/>
        <v>0</v>
      </c>
      <c r="Y173" s="223" t="str">
        <f>'[4]Development - i'!E172</f>
        <v>d. In Second FloorBrick partition work in C.M. 1:4 Chamber Burnt brick of size 22 x 11 x 7 cm (8 3/4" x 4 1/4" x 2 3/4") 110 mm tk (B.P.)</v>
      </c>
      <c r="Z173" s="223" t="str">
        <f t="shared" si="10"/>
        <v>ERRR</v>
      </c>
    </row>
    <row r="174" spans="1:26" s="241" customFormat="1" ht="69.75">
      <c r="A174" s="305"/>
      <c r="B174" s="306" t="s">
        <v>696</v>
      </c>
      <c r="C174" s="306" t="s">
        <v>696</v>
      </c>
      <c r="D174" s="235" t="str">
        <f t="shared" si="11"/>
        <v xml:space="preserve"> OK</v>
      </c>
      <c r="E174" s="254" t="s">
        <v>1841</v>
      </c>
      <c r="F174" s="254">
        <v>0</v>
      </c>
      <c r="G174" s="298"/>
      <c r="H174" s="298" t="s">
        <v>1715</v>
      </c>
      <c r="I174" s="300"/>
      <c r="J174" s="300"/>
      <c r="K174" s="270"/>
      <c r="L174" s="301"/>
      <c r="M174" s="270"/>
      <c r="N174" s="270"/>
      <c r="O174" s="270"/>
      <c r="P174" s="270"/>
      <c r="Q174" s="270"/>
      <c r="R174" s="270"/>
      <c r="S174" s="270"/>
      <c r="T174" s="301"/>
      <c r="U174" s="270"/>
      <c r="V174" s="240"/>
      <c r="W174" s="238">
        <f t="shared" si="9"/>
        <v>0</v>
      </c>
      <c r="Y174" s="223" t="str">
        <f>'[4]Development - i'!E173</f>
        <v>e. In Third Floor Brick partition work in C.M. 1:4 Chamber Burnt brick of size 22 x 11 x 7 cm (8 3/4" x 4 1/4" x 2 3/4") 110 mm tk (B.P.)</v>
      </c>
      <c r="Z174" s="223" t="str">
        <f t="shared" si="10"/>
        <v>ERRR</v>
      </c>
    </row>
    <row r="175" spans="1:26" s="241" customFormat="1" ht="69.75">
      <c r="A175" s="324"/>
      <c r="B175" s="306" t="s">
        <v>697</v>
      </c>
      <c r="C175" s="306" t="s">
        <v>697</v>
      </c>
      <c r="D175" s="235" t="str">
        <f t="shared" si="11"/>
        <v xml:space="preserve"> OK</v>
      </c>
      <c r="E175" s="254" t="s">
        <v>1842</v>
      </c>
      <c r="F175" s="254">
        <v>0</v>
      </c>
      <c r="G175" s="298"/>
      <c r="H175" s="298" t="s">
        <v>1715</v>
      </c>
      <c r="I175" s="300"/>
      <c r="J175" s="300"/>
      <c r="K175" s="270"/>
      <c r="L175" s="301"/>
      <c r="M175" s="270"/>
      <c r="N175" s="270"/>
      <c r="O175" s="270"/>
      <c r="P175" s="270"/>
      <c r="Q175" s="270"/>
      <c r="R175" s="270"/>
      <c r="S175" s="270"/>
      <c r="T175" s="301"/>
      <c r="U175" s="270"/>
      <c r="V175" s="242"/>
      <c r="W175" s="238">
        <f t="shared" si="9"/>
        <v>0</v>
      </c>
      <c r="Y175" s="223" t="str">
        <f>'[4]Development - i'!E174</f>
        <v>f. In Fourth FloorBrick partition work in C.M. 1:4 Chamber Burnt brick of size 22 x 11 x 7 cm (8 3/4" x 4 1/4" x 2 3/4") 110 mm tk (B.P.)</v>
      </c>
      <c r="Z175" s="223" t="str">
        <f t="shared" si="10"/>
        <v>ERRR</v>
      </c>
    </row>
    <row r="176" spans="1:26" ht="108.75">
      <c r="A176" s="234">
        <v>10.5</v>
      </c>
      <c r="B176" s="315" t="s">
        <v>1843</v>
      </c>
      <c r="C176" s="316" t="s">
        <v>63</v>
      </c>
      <c r="D176" s="235" t="str">
        <f t="shared" si="11"/>
        <v xml:space="preserve"> OK</v>
      </c>
      <c r="E176" s="254" t="s">
        <v>1844</v>
      </c>
      <c r="F176" s="254" t="s">
        <v>700</v>
      </c>
      <c r="G176" s="298"/>
      <c r="H176" s="298"/>
      <c r="I176" s="299"/>
      <c r="J176" s="300"/>
      <c r="K176" s="270"/>
      <c r="L176" s="301"/>
      <c r="M176" s="270"/>
      <c r="N176" s="270"/>
      <c r="O176" s="270"/>
      <c r="P176" s="270"/>
      <c r="Q176" s="270"/>
      <c r="R176" s="270"/>
      <c r="S176" s="270"/>
      <c r="T176" s="312"/>
      <c r="U176" s="302"/>
      <c r="V176" s="236"/>
      <c r="W176" s="233" t="s">
        <v>575</v>
      </c>
      <c r="Y176" s="223" t="str">
        <f>'[4]Development - i'!E175</f>
        <v>Brick partition work in C.M. 1:4 Kiln Burnt Country bricks of size 22 x 11 x 7 cm (8 3/4" x 4 1/4" x 2 3/4") 110 mm tk (B.P.)</v>
      </c>
      <c r="Z176" s="223" t="str">
        <f t="shared" si="10"/>
        <v>-----------------------</v>
      </c>
    </row>
    <row r="177" spans="1:26" s="239" customFormat="1" ht="69.75">
      <c r="A177" s="325"/>
      <c r="B177" s="290" t="s">
        <v>692</v>
      </c>
      <c r="C177" s="290" t="s">
        <v>692</v>
      </c>
      <c r="D177" s="235" t="str">
        <f t="shared" si="11"/>
        <v xml:space="preserve"> OK</v>
      </c>
      <c r="E177" s="254" t="s">
        <v>1845</v>
      </c>
      <c r="F177" s="254" t="s">
        <v>701</v>
      </c>
      <c r="G177" s="298">
        <f>ROUND([3]Data!K408,2)</f>
        <v>701.77</v>
      </c>
      <c r="H177" s="298" t="s">
        <v>1715</v>
      </c>
      <c r="I177" s="300"/>
      <c r="J177" s="300"/>
      <c r="K177" s="270"/>
      <c r="L177" s="301"/>
      <c r="M177" s="270"/>
      <c r="N177" s="270"/>
      <c r="O177" s="270"/>
      <c r="P177" s="270"/>
      <c r="Q177" s="270"/>
      <c r="R177" s="270"/>
      <c r="S177" s="270"/>
      <c r="T177" s="301"/>
      <c r="U177" s="270"/>
      <c r="V177" s="245"/>
      <c r="W177" s="238">
        <f t="shared" ref="W177:W182" si="12">ROUND(G178,2)*ROUND(V177,2)</f>
        <v>0</v>
      </c>
      <c r="Y177" s="223" t="str">
        <f>'[4]Development - i'!E176</f>
        <v>a. In Foundation and basementBrick partition work in C.M. 1:4 Kiln Burnt Country bricks of size 22 x 11 x 7 cm (8 3/4" x 4 1/4" x 2 3/4") 110 mm tk (B.P.)</v>
      </c>
      <c r="Z177" s="223" t="str">
        <f t="shared" si="10"/>
        <v>-----------------------</v>
      </c>
    </row>
    <row r="178" spans="1:26" ht="65.25">
      <c r="A178" s="234"/>
      <c r="B178" s="289" t="s">
        <v>965</v>
      </c>
      <c r="C178" s="290" t="s">
        <v>965</v>
      </c>
      <c r="D178" s="235" t="str">
        <f t="shared" si="11"/>
        <v xml:space="preserve"> OK</v>
      </c>
      <c r="E178" s="254" t="s">
        <v>1846</v>
      </c>
      <c r="F178" s="254" t="s">
        <v>702</v>
      </c>
      <c r="G178" s="298">
        <f>ROUND([3]Data!K410,2)</f>
        <v>708.61</v>
      </c>
      <c r="H178" s="298" t="s">
        <v>1715</v>
      </c>
      <c r="I178" s="299"/>
      <c r="J178" s="300"/>
      <c r="K178" s="270"/>
      <c r="L178" s="301"/>
      <c r="M178" s="270"/>
      <c r="N178" s="270"/>
      <c r="O178" s="270"/>
      <c r="P178" s="270"/>
      <c r="Q178" s="270"/>
      <c r="R178" s="270"/>
      <c r="S178" s="270"/>
      <c r="T178" s="301"/>
      <c r="U178" s="302"/>
      <c r="V178" s="236">
        <f>'[3]Precast Compound wall '!H158</f>
        <v>8</v>
      </c>
      <c r="W178" s="233">
        <f t="shared" si="12"/>
        <v>5779.12</v>
      </c>
      <c r="Y178" s="223" t="str">
        <f>'[4]Development - i'!E177</f>
        <v>b. In Ground FloorBrick partition work in C.M. 1:4 Kiln Burnt Country bricks of size 22 x 11 x 7 cm (8 3/4" x 4 1/4" x 2 3/4") 110 mm tk (B.P.)</v>
      </c>
      <c r="Z178" s="223" t="str">
        <f t="shared" si="10"/>
        <v>-----------------------</v>
      </c>
    </row>
    <row r="179" spans="1:26" s="239" customFormat="1" ht="69.75">
      <c r="A179" s="321"/>
      <c r="B179" s="290" t="s">
        <v>694</v>
      </c>
      <c r="C179" s="290" t="s">
        <v>694</v>
      </c>
      <c r="D179" s="235" t="str">
        <f t="shared" si="11"/>
        <v xml:space="preserve"> OK</v>
      </c>
      <c r="E179" s="254" t="s">
        <v>1847</v>
      </c>
      <c r="F179" s="254" t="s">
        <v>703</v>
      </c>
      <c r="G179" s="298">
        <f>ROUND([3]Data!K411,2)</f>
        <v>722.39</v>
      </c>
      <c r="H179" s="298" t="s">
        <v>1715</v>
      </c>
      <c r="I179" s="300"/>
      <c r="J179" s="300"/>
      <c r="K179" s="270"/>
      <c r="L179" s="301"/>
      <c r="M179" s="270"/>
      <c r="N179" s="270"/>
      <c r="O179" s="270"/>
      <c r="P179" s="270"/>
      <c r="Q179" s="270"/>
      <c r="R179" s="270"/>
      <c r="S179" s="270"/>
      <c r="T179" s="301"/>
      <c r="U179" s="270"/>
      <c r="V179" s="237"/>
      <c r="W179" s="238">
        <f t="shared" si="12"/>
        <v>0</v>
      </c>
      <c r="Y179" s="223" t="str">
        <f>'[4]Development - i'!E178</f>
        <v>c. In First Floor Brick partition work in C.M. 1:4 Kiln Burnt Country bricks of size 22 x 11 x 7 cm (8 3/4" x 4 1/4" x 2 3/4") 110 mm tk (B.P.)</v>
      </c>
      <c r="Z179" s="223" t="str">
        <f t="shared" si="10"/>
        <v>-----------------------</v>
      </c>
    </row>
    <row r="180" spans="1:26" s="239" customFormat="1" ht="69.75">
      <c r="A180" s="321"/>
      <c r="B180" s="322" t="s">
        <v>695</v>
      </c>
      <c r="C180" s="322" t="s">
        <v>695</v>
      </c>
      <c r="D180" s="235" t="str">
        <f t="shared" si="11"/>
        <v xml:space="preserve"> OK</v>
      </c>
      <c r="E180" s="254" t="s">
        <v>1848</v>
      </c>
      <c r="F180" s="254" t="s">
        <v>704</v>
      </c>
      <c r="G180" s="298">
        <f>ROUND([3]Data!K412,2)</f>
        <v>736.17</v>
      </c>
      <c r="H180" s="298" t="s">
        <v>1715</v>
      </c>
      <c r="I180" s="300"/>
      <c r="J180" s="300"/>
      <c r="K180" s="270"/>
      <c r="L180" s="301"/>
      <c r="M180" s="270"/>
      <c r="N180" s="270"/>
      <c r="O180" s="270"/>
      <c r="P180" s="270"/>
      <c r="Q180" s="270"/>
      <c r="R180" s="270"/>
      <c r="S180" s="270"/>
      <c r="T180" s="301"/>
      <c r="U180" s="270"/>
      <c r="V180" s="240"/>
      <c r="W180" s="238">
        <f t="shared" si="12"/>
        <v>0</v>
      </c>
      <c r="Y180" s="223" t="str">
        <f>'[4]Development - i'!E179</f>
        <v>d. In Second FloorBrick partition work in C.M. 1:4 Kiln Burnt Country bricks of size 22 x 11 x 7 cm (8 3/4" x 4 1/4" x 2 3/4") 110 mm tk (B.P.)</v>
      </c>
      <c r="Z180" s="223" t="str">
        <f t="shared" si="10"/>
        <v>-----------------------</v>
      </c>
    </row>
    <row r="181" spans="1:26" s="239" customFormat="1" ht="69.75">
      <c r="A181" s="320"/>
      <c r="B181" s="290" t="s">
        <v>696</v>
      </c>
      <c r="C181" s="290" t="s">
        <v>696</v>
      </c>
      <c r="D181" s="235" t="str">
        <f t="shared" si="11"/>
        <v xml:space="preserve"> OK</v>
      </c>
      <c r="E181" s="254" t="s">
        <v>1849</v>
      </c>
      <c r="F181" s="254" t="s">
        <v>705</v>
      </c>
      <c r="G181" s="298">
        <f>ROUND([3]Data!K413,2)</f>
        <v>749.95</v>
      </c>
      <c r="H181" s="298" t="s">
        <v>1715</v>
      </c>
      <c r="I181" s="300"/>
      <c r="J181" s="300"/>
      <c r="K181" s="270"/>
      <c r="L181" s="301"/>
      <c r="M181" s="270"/>
      <c r="N181" s="270"/>
      <c r="O181" s="270"/>
      <c r="P181" s="270"/>
      <c r="Q181" s="270"/>
      <c r="R181" s="270"/>
      <c r="S181" s="270"/>
      <c r="T181" s="301"/>
      <c r="U181" s="270"/>
      <c r="V181" s="240"/>
      <c r="W181" s="238">
        <f t="shared" si="12"/>
        <v>0</v>
      </c>
      <c r="Y181" s="223" t="str">
        <f>'[4]Development - i'!E180</f>
        <v>e. In Third FloorBrick partition work in C.M. 1:4 Kiln Burnt Country bricks of size 22 x 11 x 7 cm (8 3/4" x 4 1/4" x 2 3/4") 110 mm tk (B.P.)</v>
      </c>
      <c r="Z181" s="223" t="str">
        <f t="shared" si="10"/>
        <v>-----------------------</v>
      </c>
    </row>
    <row r="182" spans="1:26" s="241" customFormat="1" ht="69.75">
      <c r="A182" s="318"/>
      <c r="B182" s="306" t="s">
        <v>697</v>
      </c>
      <c r="C182" s="306" t="s">
        <v>697</v>
      </c>
      <c r="D182" s="235" t="str">
        <f t="shared" si="11"/>
        <v xml:space="preserve"> OK</v>
      </c>
      <c r="E182" s="254" t="s">
        <v>1850</v>
      </c>
      <c r="F182" s="254" t="s">
        <v>706</v>
      </c>
      <c r="G182" s="298">
        <f>ROUND([3]Data!K414,2)</f>
        <v>763.73</v>
      </c>
      <c r="H182" s="298" t="s">
        <v>1715</v>
      </c>
      <c r="I182" s="300"/>
      <c r="J182" s="300"/>
      <c r="K182" s="270"/>
      <c r="L182" s="301"/>
      <c r="M182" s="270"/>
      <c r="N182" s="270"/>
      <c r="O182" s="270"/>
      <c r="P182" s="270"/>
      <c r="Q182" s="270"/>
      <c r="R182" s="270"/>
      <c r="S182" s="270"/>
      <c r="T182" s="301"/>
      <c r="U182" s="270"/>
      <c r="V182" s="240"/>
      <c r="W182" s="238">
        <f t="shared" si="12"/>
        <v>0</v>
      </c>
      <c r="Y182" s="223" t="str">
        <f>'[4]Development - i'!E181</f>
        <v>f. In Fourth FloorBrick partition work in C.M. 1:4 Kiln Burnt Country bricks of size 22 x 11 x 7 cm (8 3/4" x 4 1/4" x 2 3/4") 110 mm tk (B.P.)</v>
      </c>
      <c r="Z182" s="223" t="str">
        <f t="shared" si="10"/>
        <v>-----------------------</v>
      </c>
    </row>
    <row r="183" spans="1:26" s="241" customFormat="1" ht="65.25">
      <c r="A183" s="318"/>
      <c r="B183" s="306"/>
      <c r="C183" s="306"/>
      <c r="D183" s="235"/>
      <c r="E183" s="254" t="s">
        <v>1851</v>
      </c>
      <c r="F183" s="254" t="s">
        <v>707</v>
      </c>
      <c r="G183" s="298">
        <f>ROUND([3]Data!K415,2)</f>
        <v>777.51</v>
      </c>
      <c r="H183" s="298" t="s">
        <v>1715</v>
      </c>
      <c r="I183" s="300"/>
      <c r="J183" s="300"/>
      <c r="K183" s="270"/>
      <c r="L183" s="301"/>
      <c r="M183" s="270"/>
      <c r="N183" s="270"/>
      <c r="O183" s="270"/>
      <c r="P183" s="270"/>
      <c r="Q183" s="270"/>
      <c r="R183" s="270"/>
      <c r="S183" s="270"/>
      <c r="T183" s="301"/>
      <c r="U183" s="270"/>
      <c r="V183" s="240"/>
      <c r="W183" s="238"/>
      <c r="Y183" s="223" t="str">
        <f>'[4]Development - i'!E182</f>
        <v>g.  In Fifth floorBrick partition work in C.M. 1:4 Kiln Burnt Country bricks of size 22 x 11 x 7 cm (8 3/4" x 4 1/4" x 2 3/4") 110 mm tk (B.P.)</v>
      </c>
      <c r="Z183" s="223" t="str">
        <f t="shared" si="10"/>
        <v>-----------------------</v>
      </c>
    </row>
    <row r="184" spans="1:26" s="241" customFormat="1" ht="65.25">
      <c r="A184" s="318"/>
      <c r="B184" s="306"/>
      <c r="C184" s="306"/>
      <c r="D184" s="235"/>
      <c r="E184" s="254" t="s">
        <v>1852</v>
      </c>
      <c r="F184" s="254" t="s">
        <v>708</v>
      </c>
      <c r="G184" s="298">
        <f>ROUND([3]Data!K416,2)</f>
        <v>791.29</v>
      </c>
      <c r="H184" s="298" t="s">
        <v>1715</v>
      </c>
      <c r="I184" s="300"/>
      <c r="J184" s="300"/>
      <c r="K184" s="270"/>
      <c r="L184" s="301"/>
      <c r="M184" s="270"/>
      <c r="N184" s="270"/>
      <c r="O184" s="270"/>
      <c r="P184" s="270"/>
      <c r="Q184" s="270"/>
      <c r="R184" s="270"/>
      <c r="S184" s="270"/>
      <c r="T184" s="301"/>
      <c r="U184" s="270"/>
      <c r="V184" s="240"/>
      <c r="W184" s="238"/>
      <c r="Y184" s="223" t="str">
        <f>'[4]Development - i'!E183</f>
        <v>h.  In sixth floor Brick partition work in C.M. 1:4 Kiln Burnt Country bricks of size 22 x 11 x 7 cm (8 3/4" x 4 1/4" x 2 3/4") 110 mm tk (B.P.)</v>
      </c>
      <c r="Z184" s="223" t="str">
        <f t="shared" si="10"/>
        <v>-----------------------</v>
      </c>
    </row>
    <row r="185" spans="1:26" s="241" customFormat="1" ht="69.75">
      <c r="A185" s="318"/>
      <c r="B185" s="306"/>
      <c r="C185" s="306"/>
      <c r="D185" s="235"/>
      <c r="E185" s="254" t="s">
        <v>1853</v>
      </c>
      <c r="F185" s="254" t="s">
        <v>708</v>
      </c>
      <c r="G185" s="298">
        <f>ROUND([3]Data!K417,2)</f>
        <v>805.07</v>
      </c>
      <c r="H185" s="298" t="s">
        <v>1715</v>
      </c>
      <c r="I185" s="300"/>
      <c r="J185" s="300"/>
      <c r="K185" s="270"/>
      <c r="L185" s="301"/>
      <c r="M185" s="270"/>
      <c r="N185" s="270"/>
      <c r="O185" s="270"/>
      <c r="P185" s="270"/>
      <c r="Q185" s="270"/>
      <c r="R185" s="270"/>
      <c r="S185" s="270"/>
      <c r="T185" s="301"/>
      <c r="U185" s="270"/>
      <c r="V185" s="240"/>
      <c r="W185" s="238"/>
      <c r="Y185" s="223" t="str">
        <f>'[4]Development - i'!E184</f>
        <v>i.  In seventh floor Brick partition work in C.M. 1:4 Kiln Burnt Country bricks of size 22 x 11 x 7 cm (8 3/4" x 4 1/4" x 2 3/4") 110 mm tk (B.P.)</v>
      </c>
      <c r="Z185" s="223" t="str">
        <f t="shared" si="10"/>
        <v>-----------------------</v>
      </c>
    </row>
    <row r="186" spans="1:26" s="241" customFormat="1" ht="69.75">
      <c r="A186" s="305">
        <v>10.6</v>
      </c>
      <c r="B186" s="314" t="s">
        <v>1854</v>
      </c>
      <c r="C186" s="314" t="s">
        <v>709</v>
      </c>
      <c r="D186" s="235" t="str">
        <f t="shared" si="11"/>
        <v xml:space="preserve"> OK</v>
      </c>
      <c r="E186" s="254" t="s">
        <v>1855</v>
      </c>
      <c r="F186" s="254">
        <v>0</v>
      </c>
      <c r="G186" s="298"/>
      <c r="H186" s="298"/>
      <c r="I186" s="300"/>
      <c r="J186" s="300"/>
      <c r="K186" s="270"/>
      <c r="L186" s="301"/>
      <c r="M186" s="270"/>
      <c r="N186" s="270"/>
      <c r="O186" s="270"/>
      <c r="P186" s="270"/>
      <c r="Q186" s="270"/>
      <c r="R186" s="270"/>
      <c r="S186" s="270"/>
      <c r="T186" s="301"/>
      <c r="U186" s="270"/>
      <c r="V186" s="240"/>
      <c r="W186" s="238">
        <f t="shared" ref="W186:W234" si="13">ROUND(G187,2)*ROUND(V186,2)</f>
        <v>0</v>
      </c>
      <c r="Y186" s="223" t="str">
        <f>'[4]Development - i'!E185</f>
        <v>Brick partition work in C.M. 1:4 Kiln Burnt Country bricks of size 22 x 11 x 5.7 cm (8 3/4" x 4 1/4" x 2 1/4") 110 mm tk (B.P.)</v>
      </c>
      <c r="Z186" s="223" t="str">
        <f t="shared" si="10"/>
        <v>-----------------------</v>
      </c>
    </row>
    <row r="187" spans="1:26" s="241" customFormat="1" ht="69.75">
      <c r="A187" s="305"/>
      <c r="B187" s="306" t="s">
        <v>692</v>
      </c>
      <c r="C187" s="306" t="s">
        <v>692</v>
      </c>
      <c r="D187" s="235" t="str">
        <f t="shared" si="11"/>
        <v xml:space="preserve"> OK</v>
      </c>
      <c r="E187" s="254" t="s">
        <v>1856</v>
      </c>
      <c r="F187" s="254">
        <v>0</v>
      </c>
      <c r="G187" s="298"/>
      <c r="H187" s="298" t="s">
        <v>1715</v>
      </c>
      <c r="I187" s="300"/>
      <c r="J187" s="300"/>
      <c r="K187" s="270"/>
      <c r="L187" s="301"/>
      <c r="M187" s="270"/>
      <c r="N187" s="270"/>
      <c r="O187" s="270"/>
      <c r="P187" s="270"/>
      <c r="Q187" s="270"/>
      <c r="R187" s="270"/>
      <c r="S187" s="270"/>
      <c r="T187" s="301"/>
      <c r="U187" s="270"/>
      <c r="V187" s="240"/>
      <c r="W187" s="238">
        <f t="shared" si="13"/>
        <v>0</v>
      </c>
      <c r="Y187" s="223" t="str">
        <f>'[4]Development - i'!E186</f>
        <v>a. In Foundation and basement  Brick partition work in C.M. 1:4 Kiln Burnt Country bricks of size 22 x 11 x 5.7 cm (8 3/4" x 4 1/4" x 2 1/4") 110 mm tk (B.P.)</v>
      </c>
      <c r="Z187" s="223" t="str">
        <f t="shared" si="10"/>
        <v>-----------------------</v>
      </c>
    </row>
    <row r="188" spans="1:26" s="241" customFormat="1" ht="69.75">
      <c r="A188" s="305"/>
      <c r="B188" s="306" t="s">
        <v>965</v>
      </c>
      <c r="C188" s="306" t="s">
        <v>965</v>
      </c>
      <c r="D188" s="235" t="str">
        <f t="shared" si="11"/>
        <v xml:space="preserve"> OK</v>
      </c>
      <c r="E188" s="254" t="s">
        <v>1857</v>
      </c>
      <c r="F188" s="254">
        <v>0</v>
      </c>
      <c r="G188" s="298"/>
      <c r="H188" s="298" t="s">
        <v>1715</v>
      </c>
      <c r="I188" s="300"/>
      <c r="J188" s="300"/>
      <c r="K188" s="270"/>
      <c r="L188" s="301"/>
      <c r="M188" s="270"/>
      <c r="N188" s="270"/>
      <c r="O188" s="270"/>
      <c r="P188" s="270"/>
      <c r="Q188" s="270"/>
      <c r="R188" s="270"/>
      <c r="S188" s="270"/>
      <c r="T188" s="301"/>
      <c r="U188" s="270"/>
      <c r="V188" s="240"/>
      <c r="W188" s="238">
        <f t="shared" si="13"/>
        <v>0</v>
      </c>
      <c r="Y188" s="223" t="str">
        <f>'[4]Development - i'!E187</f>
        <v>b. In Ground Floor Brick partition work in C.M. 1:4 Kiln Burnt Country bricks of size 22 x 11 x 5.7 cm (8 3/4" x 4 1/4" x 2 1/4") 110 mm tk (B.P.)</v>
      </c>
      <c r="Z188" s="223" t="str">
        <f t="shared" si="10"/>
        <v>-----------------------</v>
      </c>
    </row>
    <row r="189" spans="1:26" s="241" customFormat="1" ht="69.75">
      <c r="A189" s="305"/>
      <c r="B189" s="306" t="s">
        <v>694</v>
      </c>
      <c r="C189" s="306" t="s">
        <v>694</v>
      </c>
      <c r="D189" s="235" t="str">
        <f t="shared" si="11"/>
        <v xml:space="preserve"> OK</v>
      </c>
      <c r="E189" s="254" t="s">
        <v>1858</v>
      </c>
      <c r="F189" s="254">
        <v>0</v>
      </c>
      <c r="G189" s="298"/>
      <c r="H189" s="298" t="s">
        <v>1715</v>
      </c>
      <c r="I189" s="300"/>
      <c r="J189" s="300"/>
      <c r="K189" s="270"/>
      <c r="L189" s="301"/>
      <c r="M189" s="270"/>
      <c r="N189" s="270"/>
      <c r="O189" s="270"/>
      <c r="P189" s="270"/>
      <c r="Q189" s="270"/>
      <c r="R189" s="270"/>
      <c r="S189" s="270"/>
      <c r="T189" s="301"/>
      <c r="U189" s="270"/>
      <c r="V189" s="240"/>
      <c r="W189" s="238">
        <f t="shared" si="13"/>
        <v>0</v>
      </c>
      <c r="Y189" s="223" t="str">
        <f>'[4]Development - i'!E188</f>
        <v>c. In First Floor Brick partition work in C.M. 1:4 Kiln Burnt Country bricks of size 22 x 11 x 5.7 cm (8 3/4" x 4 1/4" x 2 1/4") 110 mm tk (B.P.)</v>
      </c>
      <c r="Z189" s="223" t="str">
        <f t="shared" si="10"/>
        <v>-----------------------</v>
      </c>
    </row>
    <row r="190" spans="1:26" s="241" customFormat="1" ht="69.75">
      <c r="A190" s="305"/>
      <c r="B190" s="306" t="s">
        <v>695</v>
      </c>
      <c r="C190" s="306" t="s">
        <v>695</v>
      </c>
      <c r="D190" s="235" t="str">
        <f t="shared" si="11"/>
        <v xml:space="preserve"> OK</v>
      </c>
      <c r="E190" s="254" t="s">
        <v>1859</v>
      </c>
      <c r="F190" s="254">
        <v>0</v>
      </c>
      <c r="G190" s="298"/>
      <c r="H190" s="298" t="s">
        <v>1715</v>
      </c>
      <c r="I190" s="300"/>
      <c r="J190" s="300"/>
      <c r="K190" s="270"/>
      <c r="L190" s="301"/>
      <c r="M190" s="270"/>
      <c r="N190" s="270"/>
      <c r="O190" s="270"/>
      <c r="P190" s="270"/>
      <c r="Q190" s="270"/>
      <c r="R190" s="270"/>
      <c r="S190" s="270"/>
      <c r="T190" s="301"/>
      <c r="U190" s="270"/>
      <c r="V190" s="240"/>
      <c r="W190" s="238">
        <f t="shared" si="13"/>
        <v>0</v>
      </c>
      <c r="Y190" s="223" t="str">
        <f>'[4]Development - i'!E189</f>
        <v>d. In Second Floor Brick partition work in C.M. 1:4 Kiln Burnt Country bricks of size 22 x 11 x 5.7 cm (8 3/4" x 4 1/4" x 2 1/4") 110 mm tk (B.P.)</v>
      </c>
      <c r="Z190" s="223" t="str">
        <f t="shared" si="10"/>
        <v>-----------------------</v>
      </c>
    </row>
    <row r="191" spans="1:26" s="241" customFormat="1" ht="69.75">
      <c r="A191" s="305"/>
      <c r="B191" s="306" t="s">
        <v>696</v>
      </c>
      <c r="C191" s="306" t="s">
        <v>696</v>
      </c>
      <c r="D191" s="235" t="str">
        <f t="shared" si="11"/>
        <v xml:space="preserve"> OK</v>
      </c>
      <c r="E191" s="254" t="s">
        <v>1860</v>
      </c>
      <c r="F191" s="254">
        <v>0</v>
      </c>
      <c r="G191" s="298"/>
      <c r="H191" s="298" t="s">
        <v>1715</v>
      </c>
      <c r="I191" s="300"/>
      <c r="J191" s="300"/>
      <c r="K191" s="270"/>
      <c r="L191" s="301"/>
      <c r="M191" s="270"/>
      <c r="N191" s="270"/>
      <c r="O191" s="270"/>
      <c r="P191" s="270"/>
      <c r="Q191" s="270"/>
      <c r="R191" s="270"/>
      <c r="S191" s="270"/>
      <c r="T191" s="301"/>
      <c r="U191" s="270"/>
      <c r="V191" s="240"/>
      <c r="W191" s="238">
        <f t="shared" si="13"/>
        <v>0</v>
      </c>
      <c r="Y191" s="223" t="str">
        <f>'[4]Development - i'!E190</f>
        <v>e. In Third Floor Brick partition work in C.M. 1:4 Kiln Burnt Country bricks of size 22 x 11 x 5.7 cm (8 3/4" x 4 1/4" x 2 1/4") 110 mm tk (B.P.)</v>
      </c>
      <c r="Z191" s="223" t="str">
        <f t="shared" si="10"/>
        <v>-----------------------</v>
      </c>
    </row>
    <row r="192" spans="1:26" s="241" customFormat="1" ht="69.75">
      <c r="A192" s="319"/>
      <c r="B192" s="306" t="s">
        <v>697</v>
      </c>
      <c r="C192" s="306" t="s">
        <v>697</v>
      </c>
      <c r="D192" s="235" t="str">
        <f t="shared" si="11"/>
        <v xml:space="preserve"> OK</v>
      </c>
      <c r="E192" s="254" t="s">
        <v>1861</v>
      </c>
      <c r="F192" s="254">
        <v>0</v>
      </c>
      <c r="G192" s="298"/>
      <c r="H192" s="298" t="s">
        <v>1715</v>
      </c>
      <c r="I192" s="300"/>
      <c r="J192" s="300"/>
      <c r="K192" s="270"/>
      <c r="L192" s="301"/>
      <c r="M192" s="270"/>
      <c r="N192" s="270"/>
      <c r="O192" s="270"/>
      <c r="P192" s="270"/>
      <c r="Q192" s="270"/>
      <c r="R192" s="270"/>
      <c r="S192" s="270"/>
      <c r="T192" s="301"/>
      <c r="U192" s="270"/>
      <c r="V192" s="240"/>
      <c r="W192" s="238">
        <f t="shared" si="13"/>
        <v>0</v>
      </c>
      <c r="Y192" s="223" t="str">
        <f>'[4]Development - i'!E191</f>
        <v>f. In Fourth Floor Brick partition work in C.M. 1:4 Kiln Burnt Country bricks of size 22 x 11 x 5.7 cm (8 3/4" x 4 1/4" x 2 1/4") 110 mm tk (B.P.)</v>
      </c>
      <c r="Z192" s="223" t="str">
        <f t="shared" si="10"/>
        <v>-----------------------</v>
      </c>
    </row>
    <row r="193" spans="1:26" s="241" customFormat="1" ht="69.75">
      <c r="A193" s="305">
        <v>11.1</v>
      </c>
      <c r="B193" s="314" t="s">
        <v>1862</v>
      </c>
      <c r="C193" s="314" t="s">
        <v>710</v>
      </c>
      <c r="D193" s="235" t="str">
        <f t="shared" si="11"/>
        <v xml:space="preserve"> OK</v>
      </c>
      <c r="E193" s="254" t="s">
        <v>1863</v>
      </c>
      <c r="F193" s="254">
        <v>0</v>
      </c>
      <c r="G193" s="298"/>
      <c r="H193" s="298"/>
      <c r="I193" s="300"/>
      <c r="J193" s="300"/>
      <c r="K193" s="270"/>
      <c r="L193" s="301"/>
      <c r="M193" s="270"/>
      <c r="N193" s="270"/>
      <c r="O193" s="270"/>
      <c r="P193" s="270"/>
      <c r="Q193" s="270"/>
      <c r="R193" s="270"/>
      <c r="S193" s="270"/>
      <c r="T193" s="301"/>
      <c r="U193" s="270"/>
      <c r="V193" s="240"/>
      <c r="W193" s="238">
        <f t="shared" si="13"/>
        <v>0</v>
      </c>
      <c r="Y193" s="223" t="str">
        <f>'[4]Development - i'!E192</f>
        <v>Brick work in C.M. 1:4 Chamber Burnt brick of size 23 x 11.2 x 7 cm (9" x 4 3/8" x 2 3/4")70 mm tk (B.P.)</v>
      </c>
      <c r="Z193" s="223" t="str">
        <f t="shared" si="10"/>
        <v>-----------------------</v>
      </c>
    </row>
    <row r="194" spans="1:26" s="241" customFormat="1" ht="69.75">
      <c r="A194" s="305"/>
      <c r="B194" s="306" t="s">
        <v>961</v>
      </c>
      <c r="C194" s="306" t="s">
        <v>961</v>
      </c>
      <c r="D194" s="235" t="str">
        <f t="shared" si="11"/>
        <v xml:space="preserve"> OK</v>
      </c>
      <c r="E194" s="254" t="s">
        <v>1864</v>
      </c>
      <c r="F194" s="254">
        <v>0</v>
      </c>
      <c r="G194" s="298">
        <f>ROUND([3]Data!X448,2)</f>
        <v>496.91</v>
      </c>
      <c r="H194" s="298" t="s">
        <v>1715</v>
      </c>
      <c r="I194" s="300"/>
      <c r="J194" s="300"/>
      <c r="K194" s="270"/>
      <c r="L194" s="301"/>
      <c r="M194" s="270"/>
      <c r="N194" s="270"/>
      <c r="O194" s="270"/>
      <c r="P194" s="270"/>
      <c r="Q194" s="270"/>
      <c r="R194" s="270"/>
      <c r="S194" s="270"/>
      <c r="T194" s="301"/>
      <c r="U194" s="270"/>
      <c r="V194" s="240"/>
      <c r="W194" s="238">
        <f t="shared" si="13"/>
        <v>0</v>
      </c>
      <c r="Y194" s="223" t="str">
        <f>'[4]Development - i'!E193</f>
        <v>a. In Ground Floor Brick work in C.M. 1:4 Chamber Burnt brick of size 23 x 11.2 x 7 cm (9" x 4 3/8" x 2 3/4")70 mm tk (B.P.)</v>
      </c>
      <c r="Z194" s="223" t="str">
        <f t="shared" si="10"/>
        <v>-----------------------</v>
      </c>
    </row>
    <row r="195" spans="1:26" s="241" customFormat="1" ht="69.75">
      <c r="A195" s="305"/>
      <c r="B195" s="306" t="s">
        <v>672</v>
      </c>
      <c r="C195" s="306" t="s">
        <v>672</v>
      </c>
      <c r="D195" s="235" t="str">
        <f t="shared" si="11"/>
        <v xml:space="preserve"> OK</v>
      </c>
      <c r="E195" s="254" t="s">
        <v>1865</v>
      </c>
      <c r="F195" s="254">
        <v>0</v>
      </c>
      <c r="G195" s="298">
        <f>ROUND([3]Data!X449,2)</f>
        <v>505.68</v>
      </c>
      <c r="H195" s="298" t="s">
        <v>1715</v>
      </c>
      <c r="I195" s="300"/>
      <c r="J195" s="300"/>
      <c r="K195" s="270"/>
      <c r="L195" s="301"/>
      <c r="M195" s="270"/>
      <c r="N195" s="270"/>
      <c r="O195" s="270"/>
      <c r="P195" s="270"/>
      <c r="Q195" s="270"/>
      <c r="R195" s="270"/>
      <c r="S195" s="270"/>
      <c r="T195" s="301"/>
      <c r="U195" s="270"/>
      <c r="V195" s="240"/>
      <c r="W195" s="238">
        <f t="shared" si="13"/>
        <v>0</v>
      </c>
      <c r="Y195" s="223" t="str">
        <f>'[4]Development - i'!E194</f>
        <v>b. In First FloorBrick work in C.M. 1:4 Chamber Burnt brick of size 23 x 11.2 x 7 cm (9" x 4 3/8" x 2 3/4")70 mm tk (B.P.)</v>
      </c>
      <c r="Z195" s="223" t="str">
        <f t="shared" si="10"/>
        <v>-----------------------</v>
      </c>
    </row>
    <row r="196" spans="1:26" s="241" customFormat="1" ht="69.75">
      <c r="A196" s="305"/>
      <c r="B196" s="306" t="s">
        <v>673</v>
      </c>
      <c r="C196" s="306" t="s">
        <v>673</v>
      </c>
      <c r="D196" s="235" t="str">
        <f t="shared" si="11"/>
        <v xml:space="preserve"> OK</v>
      </c>
      <c r="E196" s="254" t="s">
        <v>1866</v>
      </c>
      <c r="F196" s="254">
        <v>0</v>
      </c>
      <c r="G196" s="298">
        <f>ROUND([3]Data!X450,2)</f>
        <v>514.45000000000005</v>
      </c>
      <c r="H196" s="298" t="s">
        <v>1715</v>
      </c>
      <c r="I196" s="300"/>
      <c r="J196" s="300"/>
      <c r="K196" s="270"/>
      <c r="L196" s="301"/>
      <c r="M196" s="270"/>
      <c r="N196" s="270"/>
      <c r="O196" s="270"/>
      <c r="P196" s="270"/>
      <c r="Q196" s="270"/>
      <c r="R196" s="270"/>
      <c r="S196" s="270"/>
      <c r="T196" s="301"/>
      <c r="U196" s="270"/>
      <c r="V196" s="240"/>
      <c r="W196" s="238">
        <f t="shared" si="13"/>
        <v>0</v>
      </c>
      <c r="Y196" s="223" t="str">
        <f>'[4]Development - i'!E195</f>
        <v>c. In Second Floor Brick work in C.M. 1:4 Chamber Burnt brick of size 23 x 11.2 x 7 cm (9" x 4 3/8" x 2 3/4")70 mm tk (B.P.)</v>
      </c>
      <c r="Z196" s="223" t="str">
        <f t="shared" si="10"/>
        <v>-----------------------</v>
      </c>
    </row>
    <row r="197" spans="1:26" s="241" customFormat="1" ht="69.75">
      <c r="A197" s="305"/>
      <c r="B197" s="306" t="s">
        <v>674</v>
      </c>
      <c r="C197" s="306" t="s">
        <v>674</v>
      </c>
      <c r="D197" s="235" t="str">
        <f t="shared" si="11"/>
        <v xml:space="preserve"> OK</v>
      </c>
      <c r="E197" s="254" t="s">
        <v>1867</v>
      </c>
      <c r="F197" s="254">
        <v>0</v>
      </c>
      <c r="G197" s="298">
        <f>ROUND([3]Data!X451,2)</f>
        <v>523.22</v>
      </c>
      <c r="H197" s="298" t="s">
        <v>1715</v>
      </c>
      <c r="I197" s="300"/>
      <c r="J197" s="300"/>
      <c r="K197" s="270"/>
      <c r="L197" s="301"/>
      <c r="M197" s="270"/>
      <c r="N197" s="270"/>
      <c r="O197" s="270"/>
      <c r="P197" s="270"/>
      <c r="Q197" s="270"/>
      <c r="R197" s="270"/>
      <c r="S197" s="270"/>
      <c r="T197" s="301"/>
      <c r="U197" s="270"/>
      <c r="V197" s="240"/>
      <c r="W197" s="238">
        <f t="shared" si="13"/>
        <v>0</v>
      </c>
      <c r="Y197" s="223" t="str">
        <f>'[4]Development - i'!E196</f>
        <v>d. In Third Floor Brick work in C.M. 1:4 Chamber Burnt brick of size 23 x 11.2 x 7 cm (9" x 4 3/8" x 2 3/4")70 mm tk (B.P.)</v>
      </c>
      <c r="Z197" s="223" t="str">
        <f t="shared" si="10"/>
        <v>-----------------------</v>
      </c>
    </row>
    <row r="198" spans="1:26" s="241" customFormat="1" ht="69.75">
      <c r="A198" s="319"/>
      <c r="B198" s="306" t="s">
        <v>675</v>
      </c>
      <c r="C198" s="306" t="s">
        <v>675</v>
      </c>
      <c r="D198" s="235" t="str">
        <f t="shared" si="11"/>
        <v xml:space="preserve"> OK</v>
      </c>
      <c r="E198" s="254" t="s">
        <v>1868</v>
      </c>
      <c r="F198" s="254">
        <v>0</v>
      </c>
      <c r="G198" s="298">
        <f>ROUND([3]Data!X452,2)</f>
        <v>531.99</v>
      </c>
      <c r="H198" s="298" t="s">
        <v>1715</v>
      </c>
      <c r="I198" s="300"/>
      <c r="J198" s="300"/>
      <c r="K198" s="270"/>
      <c r="L198" s="301"/>
      <c r="M198" s="270"/>
      <c r="N198" s="270"/>
      <c r="O198" s="270"/>
      <c r="P198" s="270"/>
      <c r="Q198" s="270"/>
      <c r="R198" s="270"/>
      <c r="S198" s="270"/>
      <c r="T198" s="301"/>
      <c r="U198" s="270"/>
      <c r="V198" s="240"/>
      <c r="W198" s="238">
        <f t="shared" si="13"/>
        <v>0</v>
      </c>
      <c r="Y198" s="223" t="str">
        <f>'[4]Development - i'!E197</f>
        <v>e. In Fourth FloorBrick work in C.M. 1:4 Chamber Burnt brick of size 23 x 11.2 x 7 cm (9" x 4 3/8" x 2 3/4")70 mm tk (B.P.)</v>
      </c>
      <c r="Z198" s="223" t="str">
        <f t="shared" si="10"/>
        <v>-----------------------</v>
      </c>
    </row>
    <row r="199" spans="1:26" s="241" customFormat="1" ht="87">
      <c r="A199" s="305">
        <v>11.2</v>
      </c>
      <c r="B199" s="314" t="s">
        <v>1869</v>
      </c>
      <c r="C199" s="314" t="s">
        <v>711</v>
      </c>
      <c r="D199" s="235" t="str">
        <f t="shared" si="11"/>
        <v xml:space="preserve"> OK</v>
      </c>
      <c r="E199" s="254" t="s">
        <v>1870</v>
      </c>
      <c r="F199" s="254" t="s">
        <v>712</v>
      </c>
      <c r="G199" s="298"/>
      <c r="H199" s="298"/>
      <c r="I199" s="300"/>
      <c r="J199" s="300"/>
      <c r="K199" s="270"/>
      <c r="L199" s="301"/>
      <c r="M199" s="270"/>
      <c r="N199" s="270"/>
      <c r="O199" s="270"/>
      <c r="P199" s="270"/>
      <c r="Q199" s="270"/>
      <c r="R199" s="270"/>
      <c r="S199" s="270"/>
      <c r="T199" s="301"/>
      <c r="U199" s="270"/>
      <c r="V199" s="240"/>
      <c r="W199" s="238">
        <f t="shared" si="13"/>
        <v>0</v>
      </c>
      <c r="Y199" s="223" t="str">
        <f>'[4]Development - i'!E198</f>
        <v>Brick work in C.M. 1:4 using chamber Burnt bricks of size 23 x 11.4 x 7.5 cm (9" x 4 1/2"x 3") 75 mm tk (B.P.)</v>
      </c>
      <c r="Z199" s="223" t="str">
        <f t="shared" ref="Z199:Z262" si="14">IF(Y199=E199,"-----------------------","ERRR")</f>
        <v>-----------------------</v>
      </c>
    </row>
    <row r="200" spans="1:26" s="241" customFormat="1" ht="69.75">
      <c r="A200" s="305"/>
      <c r="B200" s="306" t="s">
        <v>961</v>
      </c>
      <c r="C200" s="306" t="s">
        <v>961</v>
      </c>
      <c r="D200" s="235" t="str">
        <f t="shared" si="11"/>
        <v xml:space="preserve"> OK</v>
      </c>
      <c r="E200" s="254" t="s">
        <v>1871</v>
      </c>
      <c r="F200" s="254" t="s">
        <v>713</v>
      </c>
      <c r="G200" s="298">
        <f>ROUND([3]Data!AG462,2)</f>
        <v>506.54</v>
      </c>
      <c r="H200" s="298" t="s">
        <v>1715</v>
      </c>
      <c r="I200" s="300"/>
      <c r="J200" s="300"/>
      <c r="K200" s="270"/>
      <c r="L200" s="301"/>
      <c r="M200" s="270"/>
      <c r="N200" s="270"/>
      <c r="O200" s="270"/>
      <c r="P200" s="270"/>
      <c r="Q200" s="270"/>
      <c r="R200" s="270"/>
      <c r="S200" s="270"/>
      <c r="T200" s="301"/>
      <c r="U200" s="270"/>
      <c r="V200" s="240"/>
      <c r="W200" s="238">
        <f t="shared" si="13"/>
        <v>0</v>
      </c>
      <c r="Y200" s="223" t="str">
        <f>'[4]Development - i'!E199</f>
        <v>a. In Ground Floor Brick work in C.M. 1:4 using chamber Burnt bricks of size 23 x 11.4 x 7.5 cm (9" x 4 1/2"x 3") 75 mm tk (B.P.)</v>
      </c>
      <c r="Z200" s="223" t="str">
        <f t="shared" si="14"/>
        <v>-----------------------</v>
      </c>
    </row>
    <row r="201" spans="1:26" s="241" customFormat="1" ht="69.75">
      <c r="A201" s="305"/>
      <c r="B201" s="306" t="s">
        <v>672</v>
      </c>
      <c r="C201" s="306" t="s">
        <v>672</v>
      </c>
      <c r="D201" s="235" t="str">
        <f t="shared" si="11"/>
        <v xml:space="preserve"> OK</v>
      </c>
      <c r="E201" s="254" t="s">
        <v>1872</v>
      </c>
      <c r="F201" s="254" t="s">
        <v>702</v>
      </c>
      <c r="G201" s="298">
        <f>ROUND([3]Data!AG463,2)</f>
        <v>515.94000000000005</v>
      </c>
      <c r="H201" s="298" t="s">
        <v>1715</v>
      </c>
      <c r="I201" s="300"/>
      <c r="J201" s="300"/>
      <c r="K201" s="270"/>
      <c r="L201" s="301"/>
      <c r="M201" s="270"/>
      <c r="N201" s="270"/>
      <c r="O201" s="270"/>
      <c r="P201" s="270"/>
      <c r="Q201" s="270"/>
      <c r="R201" s="270"/>
      <c r="S201" s="270"/>
      <c r="T201" s="301"/>
      <c r="U201" s="270"/>
      <c r="V201" s="240"/>
      <c r="W201" s="238">
        <f t="shared" si="13"/>
        <v>0</v>
      </c>
      <c r="Y201" s="223" t="str">
        <f>'[4]Development - i'!E200</f>
        <v>b. In First Floor Brick work in C.M. 1:4 using chamber Burnt bricks of size 23 x 11.4 x 7.5 cm (9" x 4 1/2"x 3") 75 mm tk (B.P.)</v>
      </c>
      <c r="Z201" s="223" t="str">
        <f t="shared" si="14"/>
        <v>-----------------------</v>
      </c>
    </row>
    <row r="202" spans="1:26" s="241" customFormat="1" ht="69.75">
      <c r="A202" s="305"/>
      <c r="B202" s="306" t="s">
        <v>673</v>
      </c>
      <c r="C202" s="306" t="s">
        <v>673</v>
      </c>
      <c r="D202" s="235" t="str">
        <f t="shared" si="11"/>
        <v xml:space="preserve"> OK</v>
      </c>
      <c r="E202" s="254" t="s">
        <v>1873</v>
      </c>
      <c r="F202" s="254" t="s">
        <v>714</v>
      </c>
      <c r="G202" s="298">
        <f>ROUND([3]Data!AG464,2)</f>
        <v>525.34</v>
      </c>
      <c r="H202" s="298" t="s">
        <v>1715</v>
      </c>
      <c r="I202" s="300"/>
      <c r="J202" s="300"/>
      <c r="K202" s="270"/>
      <c r="L202" s="301"/>
      <c r="M202" s="270"/>
      <c r="N202" s="270"/>
      <c r="O202" s="270"/>
      <c r="P202" s="270"/>
      <c r="Q202" s="270"/>
      <c r="R202" s="270"/>
      <c r="S202" s="270"/>
      <c r="T202" s="301"/>
      <c r="U202" s="270"/>
      <c r="V202" s="240"/>
      <c r="W202" s="238">
        <f t="shared" si="13"/>
        <v>0</v>
      </c>
      <c r="Y202" s="223" t="str">
        <f>'[4]Development - i'!E201</f>
        <v>c. In Second Floor Brick work in C.M. 1:4 using chamber Burnt bricks of size 23 x 11.4 x 7.5 cm (9" x 4 1/2"x 3") 75 mm tk (B.P.)</v>
      </c>
      <c r="Z202" s="223" t="str">
        <f t="shared" si="14"/>
        <v>-----------------------</v>
      </c>
    </row>
    <row r="203" spans="1:26" s="241" customFormat="1" ht="69.75">
      <c r="A203" s="305"/>
      <c r="B203" s="306" t="s">
        <v>674</v>
      </c>
      <c r="C203" s="306" t="s">
        <v>674</v>
      </c>
      <c r="D203" s="235" t="str">
        <f t="shared" si="11"/>
        <v xml:space="preserve"> OK</v>
      </c>
      <c r="E203" s="254" t="s">
        <v>1874</v>
      </c>
      <c r="F203" s="254" t="s">
        <v>715</v>
      </c>
      <c r="G203" s="298">
        <f>ROUND([3]Data!AG465,2)</f>
        <v>534.74</v>
      </c>
      <c r="H203" s="298" t="s">
        <v>1715</v>
      </c>
      <c r="I203" s="300"/>
      <c r="J203" s="300"/>
      <c r="K203" s="270"/>
      <c r="L203" s="301"/>
      <c r="M203" s="270"/>
      <c r="N203" s="270"/>
      <c r="O203" s="270"/>
      <c r="P203" s="270"/>
      <c r="Q203" s="270"/>
      <c r="R203" s="270"/>
      <c r="S203" s="270"/>
      <c r="T203" s="301"/>
      <c r="U203" s="270"/>
      <c r="V203" s="240"/>
      <c r="W203" s="238">
        <f t="shared" si="13"/>
        <v>0</v>
      </c>
      <c r="Y203" s="223" t="str">
        <f>'[4]Development - i'!E202</f>
        <v>d. In Third Floor Brick work in C.M. 1:4 using chamber Burnt bricks of size 23 x 11.4 x 7.5 cm (9" x 4 1/2"x 3") 75 mm tk (B.P.)</v>
      </c>
      <c r="Z203" s="223" t="str">
        <f t="shared" si="14"/>
        <v>-----------------------</v>
      </c>
    </row>
    <row r="204" spans="1:26" s="241" customFormat="1" ht="69.75">
      <c r="A204" s="319"/>
      <c r="B204" s="306" t="s">
        <v>675</v>
      </c>
      <c r="C204" s="306" t="s">
        <v>675</v>
      </c>
      <c r="D204" s="235" t="str">
        <f t="shared" si="11"/>
        <v xml:space="preserve"> OK</v>
      </c>
      <c r="E204" s="254" t="s">
        <v>1875</v>
      </c>
      <c r="F204" s="254" t="s">
        <v>705</v>
      </c>
      <c r="G204" s="298">
        <f>ROUND([3]Data!AG466,2)</f>
        <v>544.14</v>
      </c>
      <c r="H204" s="298" t="s">
        <v>1715</v>
      </c>
      <c r="I204" s="300"/>
      <c r="J204" s="300"/>
      <c r="K204" s="270"/>
      <c r="L204" s="301"/>
      <c r="M204" s="270"/>
      <c r="N204" s="270"/>
      <c r="O204" s="270"/>
      <c r="P204" s="270"/>
      <c r="Q204" s="270"/>
      <c r="R204" s="270"/>
      <c r="S204" s="270"/>
      <c r="T204" s="301"/>
      <c r="U204" s="270"/>
      <c r="V204" s="240"/>
      <c r="W204" s="238">
        <f t="shared" si="13"/>
        <v>0</v>
      </c>
      <c r="Y204" s="223" t="str">
        <f>'[4]Development - i'!E203</f>
        <v>e. In Fourth Floor Brick work in C.M. 1:4 using chamber Burnt bricks of size 23 x 11.4 x 7.5 cm (9" x 4 1/2"x 3") 75 mm tk (B.P.)</v>
      </c>
      <c r="Z204" s="223" t="str">
        <f t="shared" si="14"/>
        <v>-----------------------</v>
      </c>
    </row>
    <row r="205" spans="1:26" s="241" customFormat="1" ht="69.75">
      <c r="A205" s="305">
        <v>11.3</v>
      </c>
      <c r="B205" s="314" t="s">
        <v>1876</v>
      </c>
      <c r="C205" s="314" t="s">
        <v>716</v>
      </c>
      <c r="D205" s="235" t="str">
        <f t="shared" si="11"/>
        <v xml:space="preserve"> OK</v>
      </c>
      <c r="E205" s="254" t="s">
        <v>1877</v>
      </c>
      <c r="F205" s="254">
        <v>0</v>
      </c>
      <c r="G205" s="298"/>
      <c r="H205" s="298"/>
      <c r="I205" s="300"/>
      <c r="J205" s="300"/>
      <c r="K205" s="270"/>
      <c r="L205" s="301"/>
      <c r="M205" s="270"/>
      <c r="N205" s="270"/>
      <c r="O205" s="270"/>
      <c r="P205" s="270"/>
      <c r="Q205" s="270"/>
      <c r="R205" s="270"/>
      <c r="S205" s="270"/>
      <c r="T205" s="301"/>
      <c r="U205" s="270"/>
      <c r="V205" s="240"/>
      <c r="W205" s="238">
        <f t="shared" si="13"/>
        <v>0</v>
      </c>
      <c r="Y205" s="223" t="str">
        <f>'[4]Development - i'!E204</f>
        <v>Brick work in C.M. 1:4 Chamber Burnt brick: of size 23 x 11 x 7 cm (9" x 4 1/4" x 2 3/4") 70 mm tk (B.P.)</v>
      </c>
      <c r="Z205" s="223" t="str">
        <f t="shared" si="14"/>
        <v>ERRR</v>
      </c>
    </row>
    <row r="206" spans="1:26" s="241" customFormat="1" ht="93">
      <c r="A206" s="305"/>
      <c r="B206" s="306" t="s">
        <v>961</v>
      </c>
      <c r="C206" s="306" t="s">
        <v>961</v>
      </c>
      <c r="D206" s="235" t="str">
        <f t="shared" si="11"/>
        <v xml:space="preserve"> OK</v>
      </c>
      <c r="E206" s="254" t="s">
        <v>1878</v>
      </c>
      <c r="F206" s="254">
        <v>0</v>
      </c>
      <c r="G206" s="298"/>
      <c r="H206" s="298" t="s">
        <v>1715</v>
      </c>
      <c r="I206" s="300"/>
      <c r="J206" s="300"/>
      <c r="K206" s="270"/>
      <c r="L206" s="301"/>
      <c r="M206" s="270"/>
      <c r="N206" s="270"/>
      <c r="O206" s="270"/>
      <c r="P206" s="270"/>
      <c r="Q206" s="270"/>
      <c r="R206" s="270"/>
      <c r="S206" s="270"/>
      <c r="T206" s="301"/>
      <c r="U206" s="270"/>
      <c r="V206" s="240"/>
      <c r="W206" s="238">
        <f t="shared" si="13"/>
        <v>0</v>
      </c>
      <c r="Y206" s="223" t="str">
        <f>'[4]Development - i'!E205</f>
        <v>a. In Ground Floor Brick work in C.M. 1:4 Chamber Burnt brick: of size 23 x 11 x 7 cm (9" x 4 1/4" x 2 3/4") 70 mm tk (B.P.)</v>
      </c>
      <c r="Z206" s="223" t="str">
        <f t="shared" si="14"/>
        <v>ERRR</v>
      </c>
    </row>
    <row r="207" spans="1:26" s="241" customFormat="1" ht="93">
      <c r="A207" s="305"/>
      <c r="B207" s="306" t="s">
        <v>672</v>
      </c>
      <c r="C207" s="306" t="s">
        <v>672</v>
      </c>
      <c r="D207" s="235" t="str">
        <f t="shared" si="11"/>
        <v xml:space="preserve"> OK</v>
      </c>
      <c r="E207" s="254" t="s">
        <v>1879</v>
      </c>
      <c r="F207" s="254">
        <v>0</v>
      </c>
      <c r="G207" s="298"/>
      <c r="H207" s="298" t="s">
        <v>1715</v>
      </c>
      <c r="I207" s="300"/>
      <c r="J207" s="300"/>
      <c r="K207" s="270"/>
      <c r="L207" s="301"/>
      <c r="M207" s="270"/>
      <c r="N207" s="270"/>
      <c r="O207" s="270"/>
      <c r="P207" s="270"/>
      <c r="Q207" s="270"/>
      <c r="R207" s="270"/>
      <c r="S207" s="270"/>
      <c r="T207" s="301"/>
      <c r="U207" s="270"/>
      <c r="V207" s="240"/>
      <c r="W207" s="238">
        <f t="shared" si="13"/>
        <v>0</v>
      </c>
      <c r="Y207" s="223" t="str">
        <f>'[4]Development - i'!E206</f>
        <v>b. In First Floor Brick work in C.M. 1:4 Chamber Burnt brick: of size 23 x 11 x 7 cm (9" x 4 1/4" x 2 3/4") 70 mm tk (B.P.)</v>
      </c>
      <c r="Z207" s="223" t="str">
        <f t="shared" si="14"/>
        <v>ERRR</v>
      </c>
    </row>
    <row r="208" spans="1:26" s="241" customFormat="1" ht="93">
      <c r="A208" s="305"/>
      <c r="B208" s="306" t="s">
        <v>673</v>
      </c>
      <c r="C208" s="306" t="s">
        <v>673</v>
      </c>
      <c r="D208" s="235" t="str">
        <f t="shared" si="11"/>
        <v xml:space="preserve"> OK</v>
      </c>
      <c r="E208" s="254" t="s">
        <v>1880</v>
      </c>
      <c r="F208" s="254">
        <v>0</v>
      </c>
      <c r="G208" s="298"/>
      <c r="H208" s="298" t="s">
        <v>1715</v>
      </c>
      <c r="I208" s="300"/>
      <c r="J208" s="300"/>
      <c r="K208" s="270"/>
      <c r="L208" s="301"/>
      <c r="M208" s="270"/>
      <c r="N208" s="270"/>
      <c r="O208" s="270"/>
      <c r="P208" s="270"/>
      <c r="Q208" s="270"/>
      <c r="R208" s="270"/>
      <c r="S208" s="270"/>
      <c r="T208" s="301"/>
      <c r="U208" s="270"/>
      <c r="V208" s="240"/>
      <c r="W208" s="238">
        <f t="shared" si="13"/>
        <v>0</v>
      </c>
      <c r="Y208" s="223" t="str">
        <f>'[4]Development - i'!E207</f>
        <v>c. In Second Floor Brick work in C.M. 1:4 Chamber Burnt brick: of size 23 x 11 x 7 cm (9" x 4 1/4" x 2 3/4") 70 mm tk (B.P.)</v>
      </c>
      <c r="Z208" s="223" t="str">
        <f t="shared" si="14"/>
        <v>ERRR</v>
      </c>
    </row>
    <row r="209" spans="1:26" s="241" customFormat="1" ht="93">
      <c r="A209" s="305"/>
      <c r="B209" s="306" t="s">
        <v>674</v>
      </c>
      <c r="C209" s="306" t="s">
        <v>674</v>
      </c>
      <c r="D209" s="235" t="str">
        <f t="shared" si="11"/>
        <v xml:space="preserve"> OK</v>
      </c>
      <c r="E209" s="254" t="s">
        <v>1881</v>
      </c>
      <c r="F209" s="254">
        <v>0</v>
      </c>
      <c r="G209" s="298"/>
      <c r="H209" s="298" t="s">
        <v>1715</v>
      </c>
      <c r="I209" s="300"/>
      <c r="J209" s="300"/>
      <c r="K209" s="270"/>
      <c r="L209" s="301"/>
      <c r="M209" s="270"/>
      <c r="N209" s="270"/>
      <c r="O209" s="270"/>
      <c r="P209" s="270"/>
      <c r="Q209" s="270"/>
      <c r="R209" s="270"/>
      <c r="S209" s="270"/>
      <c r="T209" s="301"/>
      <c r="U209" s="270"/>
      <c r="V209" s="240"/>
      <c r="W209" s="238">
        <f t="shared" si="13"/>
        <v>0</v>
      </c>
      <c r="Y209" s="223" t="str">
        <f>'[4]Development - i'!E208</f>
        <v>d. In Third Floor Brick work in C.M. 1:4 Chamber Burnt brick: of size 23 x 11 x 7 cm (9" x 4 1/4" x 2 3/4") 70 mm tk (B.P.)</v>
      </c>
      <c r="Z209" s="223" t="str">
        <f t="shared" si="14"/>
        <v>ERRR</v>
      </c>
    </row>
    <row r="210" spans="1:26" s="241" customFormat="1" ht="93">
      <c r="A210" s="319"/>
      <c r="B210" s="306" t="s">
        <v>675</v>
      </c>
      <c r="C210" s="306" t="s">
        <v>675</v>
      </c>
      <c r="D210" s="235" t="str">
        <f t="shared" si="11"/>
        <v xml:space="preserve"> OK</v>
      </c>
      <c r="E210" s="254" t="s">
        <v>1882</v>
      </c>
      <c r="F210" s="254">
        <v>0</v>
      </c>
      <c r="G210" s="298"/>
      <c r="H210" s="298" t="s">
        <v>1715</v>
      </c>
      <c r="I210" s="300"/>
      <c r="J210" s="300"/>
      <c r="K210" s="270"/>
      <c r="L210" s="301"/>
      <c r="M210" s="270"/>
      <c r="N210" s="270"/>
      <c r="O210" s="270"/>
      <c r="P210" s="270"/>
      <c r="Q210" s="270"/>
      <c r="R210" s="270"/>
      <c r="S210" s="270"/>
      <c r="T210" s="301"/>
      <c r="U210" s="270"/>
      <c r="V210" s="240"/>
      <c r="W210" s="238">
        <f t="shared" si="13"/>
        <v>0</v>
      </c>
      <c r="Y210" s="223" t="str">
        <f>'[4]Development - i'!E209</f>
        <v>e. In Fourth Floor Brick work in C.M. 1:4 Chamber Burnt brick: of size 23 x 11 x 7 cm (9" x 4 1/4" x 2 3/4") 70 mm tk (B.P.)</v>
      </c>
      <c r="Z210" s="223" t="str">
        <f t="shared" si="14"/>
        <v>ERRR</v>
      </c>
    </row>
    <row r="211" spans="1:26" s="241" customFormat="1" ht="69.75">
      <c r="A211" s="305">
        <v>11.4</v>
      </c>
      <c r="B211" s="314" t="s">
        <v>1883</v>
      </c>
      <c r="C211" s="314" t="s">
        <v>717</v>
      </c>
      <c r="D211" s="235" t="str">
        <f t="shared" ref="D211:D277" si="15">IF(B211=C211," OK","nun")</f>
        <v xml:space="preserve"> OK</v>
      </c>
      <c r="E211" s="254" t="s">
        <v>1884</v>
      </c>
      <c r="F211" s="254">
        <v>0</v>
      </c>
      <c r="G211" s="298"/>
      <c r="H211" s="298"/>
      <c r="I211" s="300"/>
      <c r="J211" s="300"/>
      <c r="K211" s="270"/>
      <c r="L211" s="301"/>
      <c r="M211" s="270"/>
      <c r="N211" s="270"/>
      <c r="O211" s="270"/>
      <c r="P211" s="270"/>
      <c r="Q211" s="270"/>
      <c r="R211" s="270"/>
      <c r="S211" s="270"/>
      <c r="T211" s="301"/>
      <c r="U211" s="270"/>
      <c r="V211" s="240"/>
      <c r="W211" s="238">
        <f t="shared" si="13"/>
        <v>0</v>
      </c>
      <c r="Y211" s="223" t="str">
        <f>'[4]Development - i'!E210</f>
        <v>Brick work in C.M. 1:4 Chamber Burnt brick of size 22 x 11 x 7 cm (8 3/4" x 4 1/4" x 2 3/4") 70 mm tk (B.P.)</v>
      </c>
      <c r="Z211" s="223" t="str">
        <f t="shared" si="14"/>
        <v>-----------------------</v>
      </c>
    </row>
    <row r="212" spans="1:26" s="241" customFormat="1" ht="69.75">
      <c r="A212" s="306"/>
      <c r="B212" s="306" t="s">
        <v>961</v>
      </c>
      <c r="C212" s="306" t="s">
        <v>961</v>
      </c>
      <c r="D212" s="235" t="str">
        <f t="shared" si="15"/>
        <v xml:space="preserve"> OK</v>
      </c>
      <c r="E212" s="254" t="s">
        <v>1885</v>
      </c>
      <c r="F212" s="254">
        <v>0</v>
      </c>
      <c r="G212" s="298"/>
      <c r="H212" s="298" t="s">
        <v>1715</v>
      </c>
      <c r="I212" s="300"/>
      <c r="J212" s="300"/>
      <c r="K212" s="270"/>
      <c r="L212" s="301"/>
      <c r="M212" s="270"/>
      <c r="N212" s="270"/>
      <c r="O212" s="270"/>
      <c r="P212" s="270"/>
      <c r="Q212" s="270"/>
      <c r="R212" s="270"/>
      <c r="S212" s="270"/>
      <c r="T212" s="301"/>
      <c r="U212" s="270"/>
      <c r="V212" s="240"/>
      <c r="W212" s="238">
        <f t="shared" si="13"/>
        <v>0</v>
      </c>
      <c r="Y212" s="223" t="str">
        <f>'[4]Development - i'!E211</f>
        <v>a. In Ground Floor Brick work in C.M. 1:4 Chamber Burnt brick of size 22 x 11 x 7 cm (8 3/4" x 4 1/4" x 2 3/4") 70 mm tk (B.P.)</v>
      </c>
      <c r="Z212" s="223" t="str">
        <f t="shared" si="14"/>
        <v>-----------------------</v>
      </c>
    </row>
    <row r="213" spans="1:26" s="241" customFormat="1" ht="69.75">
      <c r="A213" s="306"/>
      <c r="B213" s="306" t="s">
        <v>672</v>
      </c>
      <c r="C213" s="306" t="s">
        <v>672</v>
      </c>
      <c r="D213" s="235" t="str">
        <f t="shared" si="15"/>
        <v xml:space="preserve"> OK</v>
      </c>
      <c r="E213" s="254" t="s">
        <v>1886</v>
      </c>
      <c r="F213" s="254">
        <v>0</v>
      </c>
      <c r="G213" s="298"/>
      <c r="H213" s="298" t="s">
        <v>1715</v>
      </c>
      <c r="I213" s="300"/>
      <c r="J213" s="300"/>
      <c r="K213" s="270"/>
      <c r="L213" s="301"/>
      <c r="M213" s="270"/>
      <c r="N213" s="270"/>
      <c r="O213" s="270"/>
      <c r="P213" s="270"/>
      <c r="Q213" s="270"/>
      <c r="R213" s="270"/>
      <c r="S213" s="270"/>
      <c r="T213" s="301"/>
      <c r="U213" s="270"/>
      <c r="V213" s="240"/>
      <c r="W213" s="238">
        <f t="shared" si="13"/>
        <v>0</v>
      </c>
      <c r="Y213" s="223" t="str">
        <f>'[4]Development - i'!E212</f>
        <v>b. In First Floor Brick work in C.M. 1:4 Chamber Burnt brick of size 22 x 11 x 7 cm (8 3/4" x 4 1/4" x 2 3/4") 70 mm tk (B.P.)</v>
      </c>
      <c r="Z213" s="223" t="str">
        <f t="shared" si="14"/>
        <v>-----------------------</v>
      </c>
    </row>
    <row r="214" spans="1:26" s="241" customFormat="1" ht="69.75">
      <c r="A214" s="306"/>
      <c r="B214" s="306" t="s">
        <v>673</v>
      </c>
      <c r="C214" s="306" t="s">
        <v>673</v>
      </c>
      <c r="D214" s="235" t="str">
        <f t="shared" si="15"/>
        <v xml:space="preserve"> OK</v>
      </c>
      <c r="E214" s="254" t="s">
        <v>1887</v>
      </c>
      <c r="F214" s="254">
        <v>0</v>
      </c>
      <c r="G214" s="298"/>
      <c r="H214" s="298" t="s">
        <v>1715</v>
      </c>
      <c r="I214" s="300"/>
      <c r="J214" s="300"/>
      <c r="K214" s="270"/>
      <c r="L214" s="301"/>
      <c r="M214" s="270"/>
      <c r="N214" s="270"/>
      <c r="O214" s="270"/>
      <c r="P214" s="270"/>
      <c r="Q214" s="270"/>
      <c r="R214" s="270"/>
      <c r="S214" s="270"/>
      <c r="T214" s="301"/>
      <c r="U214" s="270"/>
      <c r="V214" s="240"/>
      <c r="W214" s="238">
        <f t="shared" si="13"/>
        <v>0</v>
      </c>
      <c r="Y214" s="223" t="str">
        <f>'[4]Development - i'!E213</f>
        <v>c. In Second Floor Brick work in C.M. 1:4 Chamber Burnt brick of size 22 x 11 x 7 cm (8 3/4" x 4 1/4" x 2 3/4") 70 mm tk (B.P.)</v>
      </c>
      <c r="Z214" s="223" t="str">
        <f t="shared" si="14"/>
        <v>-----------------------</v>
      </c>
    </row>
    <row r="215" spans="1:26" s="241" customFormat="1" ht="69.75">
      <c r="A215" s="306"/>
      <c r="B215" s="306" t="s">
        <v>674</v>
      </c>
      <c r="C215" s="306" t="s">
        <v>674</v>
      </c>
      <c r="D215" s="235" t="str">
        <f t="shared" si="15"/>
        <v xml:space="preserve"> OK</v>
      </c>
      <c r="E215" s="254" t="s">
        <v>1888</v>
      </c>
      <c r="F215" s="254">
        <v>0</v>
      </c>
      <c r="G215" s="298"/>
      <c r="H215" s="298" t="s">
        <v>1715</v>
      </c>
      <c r="I215" s="300"/>
      <c r="J215" s="300"/>
      <c r="K215" s="270"/>
      <c r="L215" s="301"/>
      <c r="M215" s="270"/>
      <c r="N215" s="270"/>
      <c r="O215" s="270"/>
      <c r="P215" s="270"/>
      <c r="Q215" s="270"/>
      <c r="R215" s="270"/>
      <c r="S215" s="270"/>
      <c r="T215" s="301"/>
      <c r="U215" s="270"/>
      <c r="V215" s="240"/>
      <c r="W215" s="238">
        <f t="shared" si="13"/>
        <v>0</v>
      </c>
      <c r="Y215" s="223" t="str">
        <f>'[4]Development - i'!E214</f>
        <v>d. In Third FloorBrick work in C.M. 1:4 Chamber Burnt brick of size 22 x 11 x 7 cm (8 3/4" x 4 1/4" x 2 3/4") 70 mm tk (B.P.)</v>
      </c>
      <c r="Z215" s="223" t="str">
        <f t="shared" si="14"/>
        <v>-----------------------</v>
      </c>
    </row>
    <row r="216" spans="1:26" s="241" customFormat="1" ht="69.75">
      <c r="A216" s="326"/>
      <c r="B216" s="306" t="s">
        <v>675</v>
      </c>
      <c r="C216" s="306" t="s">
        <v>675</v>
      </c>
      <c r="D216" s="235" t="str">
        <f t="shared" si="15"/>
        <v xml:space="preserve"> OK</v>
      </c>
      <c r="E216" s="254" t="s">
        <v>1889</v>
      </c>
      <c r="F216" s="254">
        <v>0</v>
      </c>
      <c r="G216" s="298"/>
      <c r="H216" s="298" t="s">
        <v>1715</v>
      </c>
      <c r="I216" s="300"/>
      <c r="J216" s="300"/>
      <c r="K216" s="270"/>
      <c r="L216" s="301"/>
      <c r="M216" s="270"/>
      <c r="N216" s="270"/>
      <c r="O216" s="270"/>
      <c r="P216" s="270"/>
      <c r="Q216" s="270"/>
      <c r="R216" s="270"/>
      <c r="S216" s="270"/>
      <c r="T216" s="301"/>
      <c r="U216" s="270"/>
      <c r="V216" s="240"/>
      <c r="W216" s="238">
        <f t="shared" si="13"/>
        <v>0</v>
      </c>
      <c r="Y216" s="223" t="str">
        <f>'[4]Development - i'!E215</f>
        <v>e. In Fourth Floor Brick work in C.M. 1:4 Chamber Burnt brick of size 22 x 11 x 7 cm (8 3/4" x 4 1/4" x 2 3/4") 70 mm tk (B.P.)</v>
      </c>
      <c r="Z216" s="223" t="str">
        <f t="shared" si="14"/>
        <v>-----------------------</v>
      </c>
    </row>
    <row r="217" spans="1:26" s="239" customFormat="1" ht="87">
      <c r="A217" s="327">
        <v>11.5</v>
      </c>
      <c r="B217" s="316" t="s">
        <v>1890</v>
      </c>
      <c r="C217" s="316" t="s">
        <v>352</v>
      </c>
      <c r="D217" s="235" t="str">
        <f t="shared" si="15"/>
        <v xml:space="preserve"> OK</v>
      </c>
      <c r="E217" s="254" t="s">
        <v>1891</v>
      </c>
      <c r="F217" s="254" t="s">
        <v>718</v>
      </c>
      <c r="G217" s="298"/>
      <c r="H217" s="298"/>
      <c r="I217" s="300"/>
      <c r="J217" s="300"/>
      <c r="K217" s="270"/>
      <c r="L217" s="301"/>
      <c r="M217" s="270"/>
      <c r="N217" s="270"/>
      <c r="O217" s="270"/>
      <c r="P217" s="270"/>
      <c r="Q217" s="270"/>
      <c r="R217" s="270"/>
      <c r="S217" s="270"/>
      <c r="T217" s="301"/>
      <c r="U217" s="270"/>
      <c r="V217" s="240"/>
      <c r="W217" s="238">
        <f t="shared" si="13"/>
        <v>0</v>
      </c>
      <c r="Y217" s="223" t="str">
        <f>'[4]Development - i'!E216</f>
        <v>Brick work in C.M. 1:4 Kiln Burnt Country bricks of size 22 x 11 x 7 cm (8 3/4" x 4 1/4" x 2 3/4") 70 mm tk (B.P.)</v>
      </c>
      <c r="Z217" s="223" t="str">
        <f t="shared" si="14"/>
        <v>-----------------------</v>
      </c>
    </row>
    <row r="218" spans="1:26" s="239" customFormat="1" ht="69.75">
      <c r="A218" s="328"/>
      <c r="B218" s="322" t="s">
        <v>961</v>
      </c>
      <c r="C218" s="322" t="s">
        <v>961</v>
      </c>
      <c r="D218" s="235" t="str">
        <f t="shared" si="15"/>
        <v xml:space="preserve"> OK</v>
      </c>
      <c r="E218" s="254" t="s">
        <v>1892</v>
      </c>
      <c r="F218" s="254" t="s">
        <v>719</v>
      </c>
      <c r="G218" s="298">
        <f>ROUND([3]Data!K448,2)</f>
        <v>480.29</v>
      </c>
      <c r="H218" s="298" t="s">
        <v>1715</v>
      </c>
      <c r="I218" s="300"/>
      <c r="J218" s="300"/>
      <c r="K218" s="270"/>
      <c r="L218" s="301"/>
      <c r="M218" s="270"/>
      <c r="N218" s="270"/>
      <c r="O218" s="270"/>
      <c r="P218" s="270"/>
      <c r="Q218" s="270"/>
      <c r="R218" s="270"/>
      <c r="S218" s="270"/>
      <c r="T218" s="301"/>
      <c r="U218" s="270"/>
      <c r="V218" s="240"/>
      <c r="W218" s="238">
        <f t="shared" si="13"/>
        <v>0</v>
      </c>
      <c r="Y218" s="223" t="str">
        <f>'[4]Development - i'!E217</f>
        <v>a. In Ground Floor  Brick work in C.M. 1:4 Kiln Burnt Country bricks of size 22 x 11 x 7 cm (8 3/4" x 4 1/4" x 2 3/4") 70 mm tk (B.P.)</v>
      </c>
      <c r="Z218" s="223" t="str">
        <f t="shared" si="14"/>
        <v>-----------------------</v>
      </c>
    </row>
    <row r="219" spans="1:26" s="239" customFormat="1" ht="69.75">
      <c r="A219" s="327"/>
      <c r="B219" s="290" t="s">
        <v>672</v>
      </c>
      <c r="C219" s="290" t="s">
        <v>672</v>
      </c>
      <c r="D219" s="235" t="str">
        <f t="shared" si="15"/>
        <v xml:space="preserve"> OK</v>
      </c>
      <c r="E219" s="254" t="s">
        <v>1893</v>
      </c>
      <c r="F219" s="254" t="s">
        <v>720</v>
      </c>
      <c r="G219" s="298">
        <f>ROUND([3]Data!K449,2)</f>
        <v>489.06</v>
      </c>
      <c r="H219" s="298" t="s">
        <v>1715</v>
      </c>
      <c r="I219" s="300"/>
      <c r="J219" s="300"/>
      <c r="K219" s="270"/>
      <c r="L219" s="301"/>
      <c r="M219" s="270"/>
      <c r="N219" s="270"/>
      <c r="O219" s="270"/>
      <c r="P219" s="270"/>
      <c r="Q219" s="270"/>
      <c r="R219" s="270"/>
      <c r="S219" s="270"/>
      <c r="T219" s="301"/>
      <c r="U219" s="270"/>
      <c r="V219" s="240"/>
      <c r="W219" s="238">
        <f t="shared" si="13"/>
        <v>0</v>
      </c>
      <c r="Y219" s="223" t="str">
        <f>'[4]Development - i'!E218</f>
        <v>b. In First Floor  Brick work in C.M. 1:4 Kiln Burnt Country bricks of size 22 x 11 x 7 cm (8 3/4" x 4 1/4" x 2 3/4") 70 mm tk (B.P.)</v>
      </c>
      <c r="Z219" s="223" t="str">
        <f t="shared" si="14"/>
        <v>-----------------------</v>
      </c>
    </row>
    <row r="220" spans="1:26" s="239" customFormat="1" ht="69.75">
      <c r="A220" s="328"/>
      <c r="B220" s="322" t="s">
        <v>673</v>
      </c>
      <c r="C220" s="322" t="s">
        <v>673</v>
      </c>
      <c r="D220" s="235" t="str">
        <f t="shared" si="15"/>
        <v xml:space="preserve"> OK</v>
      </c>
      <c r="E220" s="254" t="s">
        <v>1894</v>
      </c>
      <c r="F220" s="254" t="s">
        <v>720</v>
      </c>
      <c r="G220" s="298">
        <f>ROUND([3]Data!K450,2)</f>
        <v>497.83</v>
      </c>
      <c r="H220" s="298" t="s">
        <v>1715</v>
      </c>
      <c r="I220" s="300"/>
      <c r="J220" s="300"/>
      <c r="K220" s="270"/>
      <c r="L220" s="301"/>
      <c r="M220" s="270"/>
      <c r="N220" s="270"/>
      <c r="O220" s="270"/>
      <c r="P220" s="270"/>
      <c r="Q220" s="270"/>
      <c r="R220" s="270"/>
      <c r="S220" s="270"/>
      <c r="T220" s="301"/>
      <c r="U220" s="270"/>
      <c r="V220" s="240"/>
      <c r="W220" s="238">
        <f t="shared" si="13"/>
        <v>0</v>
      </c>
      <c r="Y220" s="223" t="str">
        <f>'[4]Development - i'!E219</f>
        <v>c. In Second Floor Brick work in C.M. 1:4 Kiln Burnt Country bricks of size 22 x 11 x 7 cm (8 3/4" x 4 1/4" x 2 3/4") 70 mm tk (B.P.)</v>
      </c>
      <c r="Z220" s="223" t="str">
        <f t="shared" si="14"/>
        <v>-----------------------</v>
      </c>
    </row>
    <row r="221" spans="1:26" s="239" customFormat="1" ht="69.75">
      <c r="A221" s="327"/>
      <c r="B221" s="290" t="s">
        <v>674</v>
      </c>
      <c r="C221" s="290" t="s">
        <v>674</v>
      </c>
      <c r="D221" s="235" t="str">
        <f t="shared" si="15"/>
        <v xml:space="preserve"> OK</v>
      </c>
      <c r="E221" s="254" t="s">
        <v>1895</v>
      </c>
      <c r="F221" s="254" t="s">
        <v>674</v>
      </c>
      <c r="G221" s="298">
        <f>ROUND([3]Data!K451,2)</f>
        <v>506.6</v>
      </c>
      <c r="H221" s="298" t="s">
        <v>1715</v>
      </c>
      <c r="I221" s="300"/>
      <c r="J221" s="300"/>
      <c r="K221" s="270"/>
      <c r="L221" s="301"/>
      <c r="M221" s="270"/>
      <c r="N221" s="270"/>
      <c r="O221" s="270"/>
      <c r="P221" s="270"/>
      <c r="Q221" s="270"/>
      <c r="R221" s="270"/>
      <c r="S221" s="270"/>
      <c r="T221" s="301"/>
      <c r="U221" s="270"/>
      <c r="V221" s="240"/>
      <c r="W221" s="238">
        <f t="shared" si="13"/>
        <v>0</v>
      </c>
      <c r="Y221" s="223" t="str">
        <f>'[4]Development - i'!E220</f>
        <v>d. In Third Floor Brick work in C.M. 1:4 Kiln Burnt Country bricks of size 22 x 11 x 7 cm (8 3/4" x 4 1/4" x 2 3/4") 70 mm tk (B.P.)</v>
      </c>
      <c r="Z221" s="223" t="str">
        <f t="shared" si="14"/>
        <v>-----------------------</v>
      </c>
    </row>
    <row r="222" spans="1:26" s="241" customFormat="1" ht="69.75">
      <c r="A222" s="329"/>
      <c r="B222" s="306" t="s">
        <v>675</v>
      </c>
      <c r="C222" s="306" t="s">
        <v>675</v>
      </c>
      <c r="D222" s="235" t="str">
        <f t="shared" si="15"/>
        <v xml:space="preserve"> OK</v>
      </c>
      <c r="E222" s="254" t="s">
        <v>1896</v>
      </c>
      <c r="F222" s="254" t="s">
        <v>675</v>
      </c>
      <c r="G222" s="298">
        <f>ROUND([3]Data!K452,2)</f>
        <v>515.37</v>
      </c>
      <c r="H222" s="298" t="s">
        <v>1715</v>
      </c>
      <c r="I222" s="300"/>
      <c r="J222" s="300"/>
      <c r="K222" s="270"/>
      <c r="L222" s="301"/>
      <c r="M222" s="270"/>
      <c r="N222" s="270"/>
      <c r="O222" s="270"/>
      <c r="P222" s="270"/>
      <c r="Q222" s="270"/>
      <c r="R222" s="270"/>
      <c r="S222" s="270"/>
      <c r="T222" s="301"/>
      <c r="U222" s="270"/>
      <c r="V222" s="240"/>
      <c r="W222" s="238">
        <f t="shared" si="13"/>
        <v>0</v>
      </c>
      <c r="Y222" s="223" t="str">
        <f>'[4]Development - i'!E221</f>
        <v>e. In Fourth Floor Brick work in C.M. 1:4 Kiln Burnt Country bricks of size 22 x 11 x 7 cm (8 3/4" x 4 1/4" x 2 3/4") 70 mm tk (B.P.)</v>
      </c>
      <c r="Z222" s="223" t="str">
        <f t="shared" si="14"/>
        <v>-----------------------</v>
      </c>
    </row>
    <row r="223" spans="1:26" s="241" customFormat="1" ht="69.75">
      <c r="A223" s="330">
        <v>11.6</v>
      </c>
      <c r="B223" s="314" t="s">
        <v>1897</v>
      </c>
      <c r="C223" s="314" t="s">
        <v>721</v>
      </c>
      <c r="D223" s="235" t="str">
        <f t="shared" si="15"/>
        <v xml:space="preserve"> OK</v>
      </c>
      <c r="E223" s="254" t="s">
        <v>1898</v>
      </c>
      <c r="F223" s="254">
        <v>0</v>
      </c>
      <c r="G223" s="298"/>
      <c r="H223" s="298"/>
      <c r="I223" s="300"/>
      <c r="J223" s="300"/>
      <c r="K223" s="270"/>
      <c r="L223" s="301"/>
      <c r="M223" s="270"/>
      <c r="N223" s="270"/>
      <c r="O223" s="270"/>
      <c r="P223" s="270"/>
      <c r="Q223" s="270"/>
      <c r="R223" s="270"/>
      <c r="S223" s="270"/>
      <c r="T223" s="301"/>
      <c r="U223" s="270"/>
      <c r="V223" s="240"/>
      <c r="W223" s="238">
        <f t="shared" si="13"/>
        <v>0</v>
      </c>
      <c r="Y223" s="223" t="str">
        <f>'[4]Development - i'!E222</f>
        <v>Brick work in C.M. 1:4 Kiln Burnt Country bricks of size 22 x 11 x 5.7 cm (8 3/4" x 4 1/4" x 2 1/4") 57 mm tk (B.P.)</v>
      </c>
      <c r="Z223" s="223" t="str">
        <f t="shared" si="14"/>
        <v>-----------------------</v>
      </c>
    </row>
    <row r="224" spans="1:26" s="241" customFormat="1" ht="69.75">
      <c r="A224" s="330"/>
      <c r="B224" s="306" t="s">
        <v>961</v>
      </c>
      <c r="C224" s="306" t="s">
        <v>961</v>
      </c>
      <c r="D224" s="235" t="str">
        <f t="shared" si="15"/>
        <v xml:space="preserve"> OK</v>
      </c>
      <c r="E224" s="254" t="s">
        <v>1899</v>
      </c>
      <c r="F224" s="254">
        <v>0</v>
      </c>
      <c r="G224" s="298"/>
      <c r="H224" s="298" t="s">
        <v>1715</v>
      </c>
      <c r="I224" s="300"/>
      <c r="J224" s="300"/>
      <c r="K224" s="270"/>
      <c r="L224" s="301"/>
      <c r="M224" s="270"/>
      <c r="N224" s="270"/>
      <c r="O224" s="270"/>
      <c r="P224" s="270"/>
      <c r="Q224" s="270"/>
      <c r="R224" s="270"/>
      <c r="S224" s="270"/>
      <c r="T224" s="301"/>
      <c r="U224" s="270"/>
      <c r="V224" s="240"/>
      <c r="W224" s="238">
        <f t="shared" si="13"/>
        <v>0</v>
      </c>
      <c r="Y224" s="223" t="str">
        <f>'[4]Development - i'!E223</f>
        <v>a. In Ground FloorBrick work in C.M. 1:4 Kiln Burnt Country bricks of size 22 x 11 x 5.7 cm (8 3/4" x 4 1/4" x 2 1/4") 57 mm tk (B.P.)</v>
      </c>
      <c r="Z224" s="223" t="str">
        <f t="shared" si="14"/>
        <v>-----------------------</v>
      </c>
    </row>
    <row r="225" spans="1:26" s="241" customFormat="1">
      <c r="A225" s="330"/>
      <c r="B225" s="306" t="s">
        <v>672</v>
      </c>
      <c r="C225" s="306" t="s">
        <v>672</v>
      </c>
      <c r="D225" s="235" t="str">
        <f t="shared" si="15"/>
        <v xml:space="preserve"> OK</v>
      </c>
      <c r="E225" s="254" t="s">
        <v>672</v>
      </c>
      <c r="F225" s="254">
        <v>0</v>
      </c>
      <c r="G225" s="298"/>
      <c r="H225" s="298" t="s">
        <v>1715</v>
      </c>
      <c r="I225" s="300"/>
      <c r="J225" s="300"/>
      <c r="K225" s="270"/>
      <c r="L225" s="301"/>
      <c r="M225" s="270"/>
      <c r="N225" s="270"/>
      <c r="O225" s="270"/>
      <c r="P225" s="270"/>
      <c r="Q225" s="270"/>
      <c r="R225" s="270"/>
      <c r="S225" s="270"/>
      <c r="T225" s="301"/>
      <c r="U225" s="270"/>
      <c r="V225" s="240"/>
      <c r="W225" s="238">
        <f t="shared" si="13"/>
        <v>0</v>
      </c>
      <c r="Y225" s="223" t="str">
        <f>'[4]Development - i'!E224</f>
        <v>b. In First Floor</v>
      </c>
      <c r="Z225" s="223" t="str">
        <f t="shared" si="14"/>
        <v>-----------------------</v>
      </c>
    </row>
    <row r="226" spans="1:26" s="241" customFormat="1" ht="69.75">
      <c r="A226" s="330"/>
      <c r="B226" s="306" t="s">
        <v>673</v>
      </c>
      <c r="C226" s="306" t="s">
        <v>673</v>
      </c>
      <c r="D226" s="235" t="str">
        <f t="shared" si="15"/>
        <v xml:space="preserve"> OK</v>
      </c>
      <c r="E226" s="254" t="s">
        <v>1900</v>
      </c>
      <c r="F226" s="254">
        <v>0</v>
      </c>
      <c r="G226" s="298"/>
      <c r="H226" s="298" t="s">
        <v>1715</v>
      </c>
      <c r="I226" s="300"/>
      <c r="J226" s="300"/>
      <c r="K226" s="270"/>
      <c r="L226" s="301"/>
      <c r="M226" s="270"/>
      <c r="N226" s="270"/>
      <c r="O226" s="270"/>
      <c r="P226" s="270"/>
      <c r="Q226" s="270"/>
      <c r="R226" s="270"/>
      <c r="S226" s="270"/>
      <c r="T226" s="301"/>
      <c r="U226" s="270"/>
      <c r="V226" s="240"/>
      <c r="W226" s="238">
        <f t="shared" si="13"/>
        <v>0</v>
      </c>
      <c r="Y226" s="223" t="str">
        <f>'[4]Development - i'!E225</f>
        <v>c. In Second FloorBrick work in C.M. 1:4 Kiln Burnt Country bricks of size 22 x 11 x 5.7 cm (8 3/4" x 4 1/4" x 2 1/4") 57 mm tk (B.P.)</v>
      </c>
      <c r="Z226" s="223" t="str">
        <f t="shared" si="14"/>
        <v>-----------------------</v>
      </c>
    </row>
    <row r="227" spans="1:26" s="241" customFormat="1" ht="69.75">
      <c r="A227" s="330"/>
      <c r="B227" s="306" t="s">
        <v>674</v>
      </c>
      <c r="C227" s="306" t="s">
        <v>674</v>
      </c>
      <c r="D227" s="235" t="str">
        <f t="shared" si="15"/>
        <v xml:space="preserve"> OK</v>
      </c>
      <c r="E227" s="254" t="s">
        <v>1901</v>
      </c>
      <c r="F227" s="254">
        <v>0</v>
      </c>
      <c r="G227" s="298"/>
      <c r="H227" s="298" t="s">
        <v>1715</v>
      </c>
      <c r="I227" s="300"/>
      <c r="J227" s="300"/>
      <c r="K227" s="270"/>
      <c r="L227" s="301"/>
      <c r="M227" s="270"/>
      <c r="N227" s="270"/>
      <c r="O227" s="270"/>
      <c r="P227" s="270"/>
      <c r="Q227" s="270"/>
      <c r="R227" s="270"/>
      <c r="S227" s="270"/>
      <c r="T227" s="301"/>
      <c r="U227" s="270"/>
      <c r="V227" s="240"/>
      <c r="W227" s="238">
        <f t="shared" si="13"/>
        <v>0</v>
      </c>
      <c r="Y227" s="223" t="str">
        <f>'[4]Development - i'!E226</f>
        <v>d. In Third FloorBrick work in C.M. 1:4 Kiln Burnt Country bricks of size 22 x 11 x 5.7 cm (8 3/4" x 4 1/4" x 2 1/4") 57 mm tk (B.P.)</v>
      </c>
      <c r="Z227" s="223" t="str">
        <f t="shared" si="14"/>
        <v>-----------------------</v>
      </c>
    </row>
    <row r="228" spans="1:26" s="241" customFormat="1" ht="69.75">
      <c r="A228" s="329"/>
      <c r="B228" s="306" t="s">
        <v>675</v>
      </c>
      <c r="C228" s="306" t="s">
        <v>675</v>
      </c>
      <c r="D228" s="235" t="str">
        <f t="shared" si="15"/>
        <v xml:space="preserve"> OK</v>
      </c>
      <c r="E228" s="254" t="s">
        <v>1902</v>
      </c>
      <c r="F228" s="254">
        <v>0</v>
      </c>
      <c r="G228" s="298"/>
      <c r="H228" s="298" t="s">
        <v>1715</v>
      </c>
      <c r="I228" s="300"/>
      <c r="J228" s="300"/>
      <c r="K228" s="270"/>
      <c r="L228" s="301"/>
      <c r="M228" s="270"/>
      <c r="N228" s="270"/>
      <c r="O228" s="270"/>
      <c r="P228" s="270"/>
      <c r="Q228" s="270"/>
      <c r="R228" s="270"/>
      <c r="S228" s="270"/>
      <c r="T228" s="301"/>
      <c r="U228" s="270"/>
      <c r="V228" s="240"/>
      <c r="W228" s="238">
        <f t="shared" si="13"/>
        <v>0</v>
      </c>
      <c r="Y228" s="223" t="str">
        <f>'[4]Development - i'!E227</f>
        <v>e. In Fourth Floor Brick work in C.M. 1:4 Kiln Burnt Country bricks of size 22 x 11 x 5.7 cm (8 3/4" x 4 1/4" x 2 1/4") 57 mm tk (B.P.)</v>
      </c>
      <c r="Z228" s="223" t="str">
        <f t="shared" si="14"/>
        <v>-----------------------</v>
      </c>
    </row>
    <row r="229" spans="1:26" s="239" customFormat="1" ht="87">
      <c r="A229" s="320">
        <v>12.1</v>
      </c>
      <c r="B229" s="316" t="s">
        <v>358</v>
      </c>
      <c r="C229" s="316" t="s">
        <v>358</v>
      </c>
      <c r="D229" s="235" t="str">
        <f t="shared" si="15"/>
        <v xml:space="preserve"> OK</v>
      </c>
      <c r="E229" s="254" t="s">
        <v>1903</v>
      </c>
      <c r="F229" s="254" t="s">
        <v>722</v>
      </c>
      <c r="G229" s="298"/>
      <c r="H229" s="298"/>
      <c r="I229" s="300"/>
      <c r="J229" s="300"/>
      <c r="K229" s="270"/>
      <c r="L229" s="301"/>
      <c r="M229" s="270"/>
      <c r="N229" s="270"/>
      <c r="O229" s="270"/>
      <c r="P229" s="270"/>
      <c r="Q229" s="270"/>
      <c r="R229" s="270"/>
      <c r="S229" s="270"/>
      <c r="T229" s="301"/>
      <c r="U229" s="270"/>
      <c r="V229" s="240"/>
      <c r="W229" s="238">
        <f t="shared" si="13"/>
        <v>0</v>
      </c>
      <c r="Y229" s="223" t="str">
        <f>'[4]Development - i'!E228</f>
        <v>Brick partition in C.M. 1:4 using country bricks of size 22 x11x5cm 50 mm thick</v>
      </c>
      <c r="Z229" s="223" t="str">
        <f t="shared" si="14"/>
        <v>-----------------------</v>
      </c>
    </row>
    <row r="230" spans="1:26" s="246" customFormat="1" ht="46.5">
      <c r="A230" s="290"/>
      <c r="B230" s="290" t="s">
        <v>961</v>
      </c>
      <c r="C230" s="290" t="s">
        <v>961</v>
      </c>
      <c r="D230" s="235" t="str">
        <f t="shared" si="15"/>
        <v xml:space="preserve"> OK</v>
      </c>
      <c r="E230" s="254" t="s">
        <v>1904</v>
      </c>
      <c r="F230" s="254" t="s">
        <v>648</v>
      </c>
      <c r="G230" s="298">
        <f>ROUND([3]Data!K481,2)</f>
        <v>348.43</v>
      </c>
      <c r="H230" s="298" t="s">
        <v>1715</v>
      </c>
      <c r="I230" s="300"/>
      <c r="J230" s="300"/>
      <c r="K230" s="270"/>
      <c r="L230" s="301"/>
      <c r="M230" s="270"/>
      <c r="N230" s="270"/>
      <c r="O230" s="270"/>
      <c r="P230" s="270"/>
      <c r="Q230" s="270"/>
      <c r="R230" s="270"/>
      <c r="S230" s="270"/>
      <c r="T230" s="301"/>
      <c r="U230" s="270"/>
      <c r="V230" s="240"/>
      <c r="W230" s="238">
        <f t="shared" si="13"/>
        <v>0</v>
      </c>
      <c r="Y230" s="223" t="str">
        <f>'[4]Development - i'!E229</f>
        <v>a. In Ground FloorBrick partition in C.M. 1:4 using country bricks of size 22 x11x5cm 50 mm thick</v>
      </c>
      <c r="Z230" s="223" t="str">
        <f t="shared" si="14"/>
        <v>-----------------------</v>
      </c>
    </row>
    <row r="231" spans="1:26" s="246" customFormat="1" ht="46.5">
      <c r="A231" s="322"/>
      <c r="B231" s="322" t="s">
        <v>672</v>
      </c>
      <c r="C231" s="322" t="s">
        <v>672</v>
      </c>
      <c r="D231" s="235" t="str">
        <f t="shared" si="15"/>
        <v xml:space="preserve"> OK</v>
      </c>
      <c r="E231" s="254" t="s">
        <v>1905</v>
      </c>
      <c r="F231" s="254" t="s">
        <v>649</v>
      </c>
      <c r="G231" s="298">
        <f>ROUND([3]Data!K482,2)</f>
        <v>354.69</v>
      </c>
      <c r="H231" s="298" t="s">
        <v>1715</v>
      </c>
      <c r="I231" s="300"/>
      <c r="J231" s="300"/>
      <c r="K231" s="270"/>
      <c r="L231" s="301"/>
      <c r="M231" s="270"/>
      <c r="N231" s="270"/>
      <c r="O231" s="270"/>
      <c r="P231" s="270"/>
      <c r="Q231" s="270"/>
      <c r="R231" s="270"/>
      <c r="S231" s="270"/>
      <c r="T231" s="301"/>
      <c r="U231" s="270"/>
      <c r="V231" s="240"/>
      <c r="W231" s="238">
        <f t="shared" si="13"/>
        <v>0</v>
      </c>
      <c r="Y231" s="223" t="str">
        <f>'[4]Development - i'!E230</f>
        <v>b. In First FloorBrick partition in C.M. 1:4 using country bricks of size 22 x11x5cm 50 mm thick</v>
      </c>
      <c r="Z231" s="223" t="str">
        <f t="shared" si="14"/>
        <v>-----------------------</v>
      </c>
    </row>
    <row r="232" spans="1:26" s="246" customFormat="1" ht="46.5">
      <c r="A232" s="290"/>
      <c r="B232" s="290" t="s">
        <v>673</v>
      </c>
      <c r="C232" s="290" t="s">
        <v>673</v>
      </c>
      <c r="D232" s="235" t="str">
        <f t="shared" si="15"/>
        <v xml:space="preserve"> OK</v>
      </c>
      <c r="E232" s="254" t="s">
        <v>1906</v>
      </c>
      <c r="F232" s="254" t="s">
        <v>650</v>
      </c>
      <c r="G232" s="298">
        <f>ROUND([3]Data!K483,2)</f>
        <v>360.95</v>
      </c>
      <c r="H232" s="298" t="s">
        <v>1715</v>
      </c>
      <c r="I232" s="300"/>
      <c r="J232" s="300"/>
      <c r="K232" s="270"/>
      <c r="L232" s="301"/>
      <c r="M232" s="270"/>
      <c r="N232" s="270"/>
      <c r="O232" s="270"/>
      <c r="P232" s="270"/>
      <c r="Q232" s="270"/>
      <c r="R232" s="270"/>
      <c r="S232" s="270"/>
      <c r="T232" s="301"/>
      <c r="U232" s="270"/>
      <c r="V232" s="240"/>
      <c r="W232" s="238">
        <f t="shared" si="13"/>
        <v>0</v>
      </c>
      <c r="Y232" s="223" t="str">
        <f>'[4]Development - i'!E231</f>
        <v>c. In Second FloorBrick partition in C.M. 1:4 using country bricks of size 22 x11x5cm 50 mm thick</v>
      </c>
      <c r="Z232" s="223" t="str">
        <f t="shared" si="14"/>
        <v>-----------------------</v>
      </c>
    </row>
    <row r="233" spans="1:26" s="246" customFormat="1" ht="46.5">
      <c r="A233" s="290"/>
      <c r="B233" s="290" t="s">
        <v>674</v>
      </c>
      <c r="C233" s="290" t="s">
        <v>674</v>
      </c>
      <c r="D233" s="235" t="str">
        <f t="shared" si="15"/>
        <v xml:space="preserve"> OK</v>
      </c>
      <c r="E233" s="254" t="s">
        <v>1907</v>
      </c>
      <c r="F233" s="254" t="s">
        <v>651</v>
      </c>
      <c r="G233" s="298">
        <f>ROUND([3]Data!K484,2)</f>
        <v>367.21</v>
      </c>
      <c r="H233" s="298" t="s">
        <v>1715</v>
      </c>
      <c r="I233" s="300"/>
      <c r="J233" s="300"/>
      <c r="K233" s="270"/>
      <c r="L233" s="301"/>
      <c r="M233" s="270"/>
      <c r="N233" s="270"/>
      <c r="O233" s="270"/>
      <c r="P233" s="270"/>
      <c r="Q233" s="270"/>
      <c r="R233" s="270"/>
      <c r="S233" s="270"/>
      <c r="T233" s="301"/>
      <c r="U233" s="270"/>
      <c r="V233" s="240"/>
      <c r="W233" s="238">
        <f t="shared" si="13"/>
        <v>0</v>
      </c>
      <c r="Y233" s="223" t="str">
        <f>'[4]Development - i'!E232</f>
        <v>d. In Third FloorBrick partition in C.M. 1:4 using country bricks of size 22 x11x5cm 50 mm thick</v>
      </c>
      <c r="Z233" s="223" t="str">
        <f t="shared" si="14"/>
        <v>-----------------------</v>
      </c>
    </row>
    <row r="234" spans="1:26" s="241" customFormat="1" ht="46.5">
      <c r="A234" s="326"/>
      <c r="B234" s="306" t="s">
        <v>675</v>
      </c>
      <c r="C234" s="306" t="s">
        <v>675</v>
      </c>
      <c r="D234" s="235" t="str">
        <f t="shared" si="15"/>
        <v xml:space="preserve"> OK</v>
      </c>
      <c r="E234" s="254" t="s">
        <v>1908</v>
      </c>
      <c r="F234" s="254" t="s">
        <v>652</v>
      </c>
      <c r="G234" s="298">
        <f>ROUND([3]Data!K485,2)</f>
        <v>373.47</v>
      </c>
      <c r="H234" s="298" t="s">
        <v>1715</v>
      </c>
      <c r="I234" s="300"/>
      <c r="J234" s="300"/>
      <c r="K234" s="270"/>
      <c r="L234" s="301"/>
      <c r="M234" s="270"/>
      <c r="N234" s="270"/>
      <c r="O234" s="270"/>
      <c r="P234" s="270"/>
      <c r="Q234" s="270"/>
      <c r="R234" s="270"/>
      <c r="S234" s="270"/>
      <c r="T234" s="301"/>
      <c r="U234" s="270"/>
      <c r="V234" s="240"/>
      <c r="W234" s="238">
        <f t="shared" si="13"/>
        <v>0</v>
      </c>
      <c r="Y234" s="223" t="str">
        <f>'[4]Development - i'!E233</f>
        <v>e. In Fourth Floor Brick partition in C.M. 1:4 using country bricks of size 22 x11x5cm 50 mm thick</v>
      </c>
      <c r="Z234" s="223" t="str">
        <f t="shared" si="14"/>
        <v>-----------------------</v>
      </c>
    </row>
    <row r="235" spans="1:26" s="241" customFormat="1" ht="46.5">
      <c r="A235" s="326"/>
      <c r="B235" s="306"/>
      <c r="C235" s="306"/>
      <c r="D235" s="235"/>
      <c r="E235" s="254" t="s">
        <v>1909</v>
      </c>
      <c r="F235" s="254" t="s">
        <v>728</v>
      </c>
      <c r="G235" s="298">
        <f>ROUND([3]Data!K486,2)</f>
        <v>379.73</v>
      </c>
      <c r="H235" s="298" t="s">
        <v>1715</v>
      </c>
      <c r="I235" s="300"/>
      <c r="J235" s="300"/>
      <c r="K235" s="270"/>
      <c r="L235" s="301"/>
      <c r="M235" s="270"/>
      <c r="N235" s="270"/>
      <c r="O235" s="270"/>
      <c r="P235" s="270"/>
      <c r="Q235" s="270"/>
      <c r="R235" s="270"/>
      <c r="S235" s="270"/>
      <c r="T235" s="301"/>
      <c r="U235" s="270"/>
      <c r="V235" s="240"/>
      <c r="W235" s="238"/>
      <c r="Y235" s="223" t="str">
        <f>'[4]Development - i'!E234</f>
        <v>g. In Fifth Floor Brick partition in C.M. 1:4 using country bricks of size 22 x11x5cm 50 mm thick</v>
      </c>
      <c r="Z235" s="223" t="str">
        <f t="shared" si="14"/>
        <v>-----------------------</v>
      </c>
    </row>
    <row r="236" spans="1:26" s="241" customFormat="1" ht="46.5">
      <c r="A236" s="326"/>
      <c r="B236" s="306"/>
      <c r="C236" s="306"/>
      <c r="D236" s="235"/>
      <c r="E236" s="254" t="s">
        <v>1910</v>
      </c>
      <c r="F236" s="254" t="s">
        <v>729</v>
      </c>
      <c r="G236" s="298">
        <f>ROUND([3]Data!K487,2)</f>
        <v>385.99</v>
      </c>
      <c r="H236" s="298" t="s">
        <v>1715</v>
      </c>
      <c r="I236" s="300"/>
      <c r="J236" s="300"/>
      <c r="K236" s="270"/>
      <c r="L236" s="301"/>
      <c r="M236" s="270"/>
      <c r="N236" s="270"/>
      <c r="O236" s="270"/>
      <c r="P236" s="270"/>
      <c r="Q236" s="270"/>
      <c r="R236" s="270"/>
      <c r="S236" s="270"/>
      <c r="T236" s="301"/>
      <c r="U236" s="270"/>
      <c r="V236" s="240"/>
      <c r="W236" s="238"/>
      <c r="Y236" s="223" t="str">
        <f>'[4]Development - i'!E235</f>
        <v>h. In Sixth Floor Brick partition in C.M. 1:4 using country bricks of size 22 x11x5cm 50 mm thick</v>
      </c>
      <c r="Z236" s="223" t="str">
        <f t="shared" si="14"/>
        <v>-----------------------</v>
      </c>
    </row>
    <row r="237" spans="1:26" s="241" customFormat="1" ht="46.5">
      <c r="A237" s="326"/>
      <c r="B237" s="306"/>
      <c r="C237" s="306"/>
      <c r="D237" s="235"/>
      <c r="E237" s="254" t="s">
        <v>1911</v>
      </c>
      <c r="F237" s="254" t="s">
        <v>730</v>
      </c>
      <c r="G237" s="298">
        <f>ROUND([3]Data!K488,2)</f>
        <v>392.25</v>
      </c>
      <c r="H237" s="298" t="s">
        <v>1715</v>
      </c>
      <c r="I237" s="300"/>
      <c r="J237" s="300"/>
      <c r="K237" s="270"/>
      <c r="L237" s="301"/>
      <c r="M237" s="270"/>
      <c r="N237" s="270"/>
      <c r="O237" s="270"/>
      <c r="P237" s="270"/>
      <c r="Q237" s="270"/>
      <c r="R237" s="270"/>
      <c r="S237" s="270"/>
      <c r="T237" s="301"/>
      <c r="U237" s="270"/>
      <c r="V237" s="240"/>
      <c r="W237" s="238"/>
      <c r="Y237" s="223" t="str">
        <f>'[4]Development - i'!E236</f>
        <v>i. In Seventh Floor Brick partition in C.M. 1:4 using country bricks of size 22 x11x5cm 50 mm thick</v>
      </c>
      <c r="Z237" s="223" t="str">
        <f t="shared" si="14"/>
        <v>-----------------------</v>
      </c>
    </row>
    <row r="238" spans="1:26" s="241" customFormat="1" ht="69.75">
      <c r="A238" s="305">
        <v>12.2</v>
      </c>
      <c r="B238" s="306" t="s">
        <v>731</v>
      </c>
      <c r="C238" s="306" t="s">
        <v>731</v>
      </c>
      <c r="D238" s="235" t="str">
        <f t="shared" si="15"/>
        <v xml:space="preserve"> OK</v>
      </c>
      <c r="E238" s="254" t="s">
        <v>731</v>
      </c>
      <c r="F238" s="254">
        <v>0</v>
      </c>
      <c r="G238" s="298"/>
      <c r="H238" s="298"/>
      <c r="I238" s="300"/>
      <c r="J238" s="300"/>
      <c r="K238" s="270"/>
      <c r="L238" s="301"/>
      <c r="M238" s="270"/>
      <c r="N238" s="270"/>
      <c r="O238" s="270"/>
      <c r="P238" s="270"/>
      <c r="Q238" s="270"/>
      <c r="R238" s="270"/>
      <c r="S238" s="270"/>
      <c r="T238" s="301"/>
      <c r="U238" s="270"/>
      <c r="V238" s="240"/>
      <c r="W238" s="238">
        <f t="shared" ref="W238:W301" si="16">ROUND(G239,2)*ROUND(V238,2)</f>
        <v>0</v>
      </c>
      <c r="Y238" s="223" t="str">
        <f>'[4]Development - i'!E237</f>
        <v xml:space="preserve">Brick partition in C.M. 1:4 50 mm tk. (B.P.)Kiln Burnt Country brick: 23 x 11 x 5 cm (9" x 4 1/4" x 2") </v>
      </c>
      <c r="Z238" s="223" t="str">
        <f t="shared" si="14"/>
        <v>ERRR</v>
      </c>
    </row>
    <row r="239" spans="1:26" s="241" customFormat="1" ht="93">
      <c r="A239" s="306"/>
      <c r="B239" s="306" t="s">
        <v>961</v>
      </c>
      <c r="C239" s="306" t="s">
        <v>961</v>
      </c>
      <c r="D239" s="235" t="str">
        <f t="shared" si="15"/>
        <v xml:space="preserve"> OK</v>
      </c>
      <c r="E239" s="254" t="s">
        <v>1912</v>
      </c>
      <c r="F239" s="254">
        <v>0</v>
      </c>
      <c r="G239" s="298"/>
      <c r="H239" s="298" t="s">
        <v>1715</v>
      </c>
      <c r="I239" s="300"/>
      <c r="J239" s="300"/>
      <c r="K239" s="270"/>
      <c r="L239" s="301"/>
      <c r="M239" s="270"/>
      <c r="N239" s="270"/>
      <c r="O239" s="270"/>
      <c r="P239" s="270"/>
      <c r="Q239" s="270"/>
      <c r="R239" s="270"/>
      <c r="S239" s="270"/>
      <c r="T239" s="301"/>
      <c r="U239" s="270"/>
      <c r="V239" s="240"/>
      <c r="W239" s="238">
        <f t="shared" si="16"/>
        <v>0</v>
      </c>
      <c r="Y239" s="223" t="str">
        <f>'[4]Development - i'!E238</f>
        <v xml:space="preserve">a. In Ground Floor Brick partition in C.M. 1:4 50 mm tk. (B.P.)Kiln Burnt Country brick: 23 x 11 x 5 cm (9" x 4 1/4" x 2") </v>
      </c>
      <c r="Z239" s="223" t="str">
        <f t="shared" si="14"/>
        <v>ERRR</v>
      </c>
    </row>
    <row r="240" spans="1:26" s="241" customFormat="1" ht="93">
      <c r="A240" s="306"/>
      <c r="B240" s="306" t="s">
        <v>672</v>
      </c>
      <c r="C240" s="306" t="s">
        <v>672</v>
      </c>
      <c r="D240" s="235" t="str">
        <f t="shared" si="15"/>
        <v xml:space="preserve"> OK</v>
      </c>
      <c r="E240" s="254" t="s">
        <v>1913</v>
      </c>
      <c r="F240" s="254">
        <v>0</v>
      </c>
      <c r="G240" s="298"/>
      <c r="H240" s="298" t="s">
        <v>1715</v>
      </c>
      <c r="I240" s="300"/>
      <c r="J240" s="300"/>
      <c r="K240" s="270"/>
      <c r="L240" s="301"/>
      <c r="M240" s="270"/>
      <c r="N240" s="270"/>
      <c r="O240" s="270"/>
      <c r="P240" s="270"/>
      <c r="Q240" s="270"/>
      <c r="R240" s="270"/>
      <c r="S240" s="270"/>
      <c r="T240" s="301"/>
      <c r="U240" s="270"/>
      <c r="V240" s="240"/>
      <c r="W240" s="238">
        <f t="shared" si="16"/>
        <v>0</v>
      </c>
      <c r="Y240" s="223" t="str">
        <f>'[4]Development - i'!E239</f>
        <v xml:space="preserve">b. In First FloorBrick partition in C.M. 1:4 50 mm tk. (B.P.)Kiln Burnt Country brick: 23 x 11 x 5 cm (9" x 4 1/4" x 2") </v>
      </c>
      <c r="Z240" s="223" t="str">
        <f t="shared" si="14"/>
        <v>ERRR</v>
      </c>
    </row>
    <row r="241" spans="1:26" s="241" customFormat="1" ht="93">
      <c r="A241" s="306"/>
      <c r="B241" s="306" t="s">
        <v>673</v>
      </c>
      <c r="C241" s="306" t="s">
        <v>673</v>
      </c>
      <c r="D241" s="235" t="str">
        <f t="shared" si="15"/>
        <v xml:space="preserve"> OK</v>
      </c>
      <c r="E241" s="254" t="s">
        <v>1914</v>
      </c>
      <c r="F241" s="254">
        <v>0</v>
      </c>
      <c r="G241" s="298"/>
      <c r="H241" s="298" t="s">
        <v>1715</v>
      </c>
      <c r="I241" s="300"/>
      <c r="J241" s="300"/>
      <c r="K241" s="270"/>
      <c r="L241" s="301"/>
      <c r="M241" s="270"/>
      <c r="N241" s="270"/>
      <c r="O241" s="270"/>
      <c r="P241" s="270"/>
      <c r="Q241" s="270"/>
      <c r="R241" s="270"/>
      <c r="S241" s="270"/>
      <c r="T241" s="301"/>
      <c r="U241" s="270"/>
      <c r="V241" s="240"/>
      <c r="W241" s="238">
        <f t="shared" si="16"/>
        <v>0</v>
      </c>
      <c r="Y241" s="223" t="str">
        <f>'[4]Development - i'!E240</f>
        <v xml:space="preserve">c. In Second FloorBrick partition in C.M. 1:4 50 mm tk. (B.P.)Kiln Burnt Country brick: 23 x 11 x 5 cm (9" x 4 1/4" x 2") </v>
      </c>
      <c r="Z241" s="223" t="str">
        <f t="shared" si="14"/>
        <v>ERRR</v>
      </c>
    </row>
    <row r="242" spans="1:26" s="241" customFormat="1" ht="93">
      <c r="A242" s="306"/>
      <c r="B242" s="306" t="s">
        <v>674</v>
      </c>
      <c r="C242" s="306" t="s">
        <v>674</v>
      </c>
      <c r="D242" s="235" t="str">
        <f t="shared" si="15"/>
        <v xml:space="preserve"> OK</v>
      </c>
      <c r="E242" s="254" t="s">
        <v>1915</v>
      </c>
      <c r="F242" s="254">
        <v>0</v>
      </c>
      <c r="G242" s="298"/>
      <c r="H242" s="298" t="s">
        <v>1715</v>
      </c>
      <c r="I242" s="300"/>
      <c r="J242" s="300"/>
      <c r="K242" s="270"/>
      <c r="L242" s="301"/>
      <c r="M242" s="270"/>
      <c r="N242" s="270"/>
      <c r="O242" s="270"/>
      <c r="P242" s="270"/>
      <c r="Q242" s="270"/>
      <c r="R242" s="270"/>
      <c r="S242" s="270"/>
      <c r="T242" s="301"/>
      <c r="U242" s="270"/>
      <c r="V242" s="240"/>
      <c r="W242" s="238">
        <f t="shared" si="16"/>
        <v>0</v>
      </c>
      <c r="Y242" s="223" t="str">
        <f>'[4]Development - i'!E241</f>
        <v xml:space="preserve">d. In Third FloorBrick partition in C.M. 1:4 50 mm tk. (B.P.)Kiln Burnt Country brick: 23 x 11 x 5 cm (9" x 4 1/4" x 2") </v>
      </c>
      <c r="Z242" s="223" t="str">
        <f t="shared" si="14"/>
        <v>ERRR</v>
      </c>
    </row>
    <row r="243" spans="1:26" s="241" customFormat="1" ht="93">
      <c r="A243" s="326"/>
      <c r="B243" s="306" t="s">
        <v>675</v>
      </c>
      <c r="C243" s="306" t="s">
        <v>675</v>
      </c>
      <c r="D243" s="235" t="str">
        <f t="shared" si="15"/>
        <v xml:space="preserve"> OK</v>
      </c>
      <c r="E243" s="254" t="s">
        <v>1916</v>
      </c>
      <c r="F243" s="254">
        <v>0</v>
      </c>
      <c r="G243" s="298"/>
      <c r="H243" s="298" t="s">
        <v>1715</v>
      </c>
      <c r="I243" s="300"/>
      <c r="J243" s="300"/>
      <c r="K243" s="270"/>
      <c r="L243" s="301"/>
      <c r="M243" s="270"/>
      <c r="N243" s="270"/>
      <c r="O243" s="270"/>
      <c r="P243" s="270"/>
      <c r="Q243" s="270"/>
      <c r="R243" s="270"/>
      <c r="S243" s="270"/>
      <c r="T243" s="301"/>
      <c r="U243" s="270"/>
      <c r="V243" s="240"/>
      <c r="W243" s="238">
        <f t="shared" si="16"/>
        <v>0</v>
      </c>
      <c r="Y243" s="223" t="str">
        <f>'[4]Development - i'!E242</f>
        <v xml:space="preserve">e. In Fourth FloorBrick partition in C.M. 1:4 50 mm tk. (B.P.)Kiln Burnt Country brick: 23 x 11 x 5 cm (9" x 4 1/4" x 2") </v>
      </c>
      <c r="Z243" s="223" t="str">
        <f t="shared" si="14"/>
        <v>ERRR</v>
      </c>
    </row>
    <row r="244" spans="1:26" s="241" customFormat="1">
      <c r="A244" s="326"/>
      <c r="B244" s="306"/>
      <c r="C244" s="306"/>
      <c r="D244" s="235" t="str">
        <f t="shared" si="15"/>
        <v xml:space="preserve"> OK</v>
      </c>
      <c r="E244" s="254"/>
      <c r="F244" s="254">
        <v>0</v>
      </c>
      <c r="G244" s="298"/>
      <c r="H244" s="298"/>
      <c r="I244" s="300"/>
      <c r="J244" s="300"/>
      <c r="K244" s="270"/>
      <c r="L244" s="301"/>
      <c r="M244" s="270"/>
      <c r="N244" s="270"/>
      <c r="O244" s="270"/>
      <c r="P244" s="270"/>
      <c r="Q244" s="270"/>
      <c r="R244" s="270"/>
      <c r="S244" s="270"/>
      <c r="T244" s="301"/>
      <c r="U244" s="270"/>
      <c r="V244" s="240"/>
      <c r="W244" s="238">
        <f t="shared" si="16"/>
        <v>0</v>
      </c>
      <c r="Y244" s="223">
        <f>'[4]Development - i'!E243</f>
        <v>0</v>
      </c>
      <c r="Z244" s="223" t="str">
        <f t="shared" si="14"/>
        <v>-----------------------</v>
      </c>
    </row>
    <row r="245" spans="1:26" s="247" customFormat="1" ht="65.25">
      <c r="A245" s="331">
        <v>13.1</v>
      </c>
      <c r="B245" s="332" t="s">
        <v>271</v>
      </c>
      <c r="C245" s="332" t="s">
        <v>271</v>
      </c>
      <c r="D245" s="235" t="str">
        <f t="shared" si="15"/>
        <v xml:space="preserve"> OK</v>
      </c>
      <c r="E245" s="254" t="s">
        <v>271</v>
      </c>
      <c r="F245" s="254" t="s">
        <v>732</v>
      </c>
      <c r="G245" s="298">
        <f>ROUND([3]Data!K496,2)</f>
        <v>30.77</v>
      </c>
      <c r="H245" s="298" t="s">
        <v>1679</v>
      </c>
      <c r="I245" s="300"/>
      <c r="J245" s="300"/>
      <c r="K245" s="270"/>
      <c r="L245" s="301"/>
      <c r="M245" s="270"/>
      <c r="N245" s="270"/>
      <c r="O245" s="270"/>
      <c r="P245" s="270"/>
      <c r="Q245" s="270"/>
      <c r="R245" s="270"/>
      <c r="S245" s="270"/>
      <c r="T245" s="301"/>
      <c r="U245" s="270"/>
      <c r="V245" s="240"/>
      <c r="W245" s="238">
        <f t="shared" si="16"/>
        <v>0</v>
      </c>
      <c r="Y245" s="223" t="str">
        <f>'[4]Development - i'!E244</f>
        <v>Filling with Excavated Earth</v>
      </c>
      <c r="Z245" s="223" t="str">
        <f t="shared" si="14"/>
        <v>-----------------------</v>
      </c>
    </row>
    <row r="246" spans="1:26" s="241" customFormat="1" ht="130.5">
      <c r="A246" s="333">
        <v>13.2</v>
      </c>
      <c r="B246" s="334" t="s">
        <v>733</v>
      </c>
      <c r="C246" s="334" t="s">
        <v>733</v>
      </c>
      <c r="D246" s="235" t="str">
        <f t="shared" si="15"/>
        <v xml:space="preserve"> OK</v>
      </c>
      <c r="E246" s="254" t="s">
        <v>733</v>
      </c>
      <c r="F246" s="254" t="s">
        <v>734</v>
      </c>
      <c r="G246" s="298"/>
      <c r="H246" s="298" t="s">
        <v>1679</v>
      </c>
      <c r="I246" s="300"/>
      <c r="J246" s="300"/>
      <c r="K246" s="270"/>
      <c r="L246" s="301"/>
      <c r="M246" s="270"/>
      <c r="N246" s="270"/>
      <c r="O246" s="270"/>
      <c r="P246" s="270"/>
      <c r="Q246" s="270"/>
      <c r="R246" s="270"/>
      <c r="S246" s="270"/>
      <c r="T246" s="301"/>
      <c r="U246" s="270"/>
      <c r="V246" s="240"/>
      <c r="W246" s="238">
        <f t="shared" si="16"/>
        <v>0</v>
      </c>
      <c r="Y246" s="223" t="str">
        <f>'[4]Development - i'!E245</f>
        <v>Filling with Excavated Earth Mixed with lime in the proporation 1:4 (one of lime &amp; four of earth)</v>
      </c>
      <c r="Z246" s="223" t="str">
        <f t="shared" si="14"/>
        <v>-----------------------</v>
      </c>
    </row>
    <row r="247" spans="1:26" s="243" customFormat="1" ht="65.25">
      <c r="A247" s="335" t="s">
        <v>1917</v>
      </c>
      <c r="B247" s="336" t="s">
        <v>735</v>
      </c>
      <c r="C247" s="336" t="s">
        <v>735</v>
      </c>
      <c r="D247" s="235" t="str">
        <f t="shared" si="15"/>
        <v xml:space="preserve"> OK</v>
      </c>
      <c r="E247" s="254" t="s">
        <v>735</v>
      </c>
      <c r="F247" s="254" t="s">
        <v>736</v>
      </c>
      <c r="G247" s="298"/>
      <c r="H247" s="298"/>
      <c r="I247" s="300"/>
      <c r="J247" s="300"/>
      <c r="K247" s="270"/>
      <c r="L247" s="301"/>
      <c r="M247" s="270"/>
      <c r="N247" s="270"/>
      <c r="O247" s="270"/>
      <c r="P247" s="270"/>
      <c r="Q247" s="270"/>
      <c r="R247" s="270"/>
      <c r="S247" s="270"/>
      <c r="T247" s="301"/>
      <c r="U247" s="270"/>
      <c r="V247" s="240"/>
      <c r="W247" s="238">
        <f t="shared" si="16"/>
        <v>0</v>
      </c>
      <c r="Y247" s="223" t="str">
        <f>'[4]Development - i'!E246</f>
        <v>Precast Cupboard slab 20 mm tk.</v>
      </c>
      <c r="Z247" s="223" t="str">
        <f t="shared" si="14"/>
        <v>-----------------------</v>
      </c>
    </row>
    <row r="248" spans="1:26" s="243" customFormat="1">
      <c r="A248" s="337"/>
      <c r="B248" s="337" t="s">
        <v>655</v>
      </c>
      <c r="C248" s="337" t="s">
        <v>655</v>
      </c>
      <c r="D248" s="235" t="str">
        <f t="shared" si="15"/>
        <v xml:space="preserve"> OK</v>
      </c>
      <c r="E248" s="254" t="s">
        <v>1918</v>
      </c>
      <c r="F248" s="254" t="s">
        <v>655</v>
      </c>
      <c r="G248" s="298">
        <f>ROUND([3]Data!K549,2)</f>
        <v>1202.81</v>
      </c>
      <c r="H248" s="298" t="s">
        <v>1715</v>
      </c>
      <c r="I248" s="300"/>
      <c r="J248" s="300"/>
      <c r="K248" s="270"/>
      <c r="L248" s="301"/>
      <c r="M248" s="270"/>
      <c r="N248" s="270"/>
      <c r="O248" s="270"/>
      <c r="P248" s="270"/>
      <c r="Q248" s="270"/>
      <c r="R248" s="270"/>
      <c r="S248" s="270"/>
      <c r="T248" s="301"/>
      <c r="U248" s="270"/>
      <c r="V248" s="240"/>
      <c r="W248" s="238">
        <f t="shared" si="16"/>
        <v>0</v>
      </c>
      <c r="Y248" s="223" t="str">
        <f>'[4]Development - i'!E247</f>
        <v>a. In Ground floor Precast Cupboard slab 20 mm tk.</v>
      </c>
      <c r="Z248" s="223" t="str">
        <f t="shared" si="14"/>
        <v>-----------------------</v>
      </c>
    </row>
    <row r="249" spans="1:26" s="243" customFormat="1">
      <c r="A249" s="306"/>
      <c r="B249" s="306" t="s">
        <v>656</v>
      </c>
      <c r="C249" s="306" t="s">
        <v>656</v>
      </c>
      <c r="D249" s="235" t="str">
        <f t="shared" si="15"/>
        <v xml:space="preserve"> OK</v>
      </c>
      <c r="E249" s="254" t="s">
        <v>1919</v>
      </c>
      <c r="F249" s="254" t="s">
        <v>656</v>
      </c>
      <c r="G249" s="298">
        <f>ROUND([3]Data!K550,2)</f>
        <v>1206.56</v>
      </c>
      <c r="H249" s="298" t="s">
        <v>1715</v>
      </c>
      <c r="I249" s="300"/>
      <c r="J249" s="300"/>
      <c r="K249" s="270"/>
      <c r="L249" s="301"/>
      <c r="M249" s="270"/>
      <c r="N249" s="270"/>
      <c r="O249" s="270"/>
      <c r="P249" s="270"/>
      <c r="Q249" s="270"/>
      <c r="R249" s="270"/>
      <c r="S249" s="270"/>
      <c r="T249" s="301"/>
      <c r="U249" s="270"/>
      <c r="V249" s="240"/>
      <c r="W249" s="238">
        <f t="shared" si="16"/>
        <v>0</v>
      </c>
      <c r="Y249" s="223" t="str">
        <f>'[4]Development - i'!E248</f>
        <v>b. In First floor Precast Cupboard slab 20 mm tk.</v>
      </c>
      <c r="Z249" s="223" t="str">
        <f t="shared" si="14"/>
        <v>-----------------------</v>
      </c>
    </row>
    <row r="250" spans="1:26" s="243" customFormat="1">
      <c r="A250" s="306"/>
      <c r="B250" s="306" t="s">
        <v>657</v>
      </c>
      <c r="C250" s="306" t="s">
        <v>657</v>
      </c>
      <c r="D250" s="235" t="str">
        <f t="shared" si="15"/>
        <v xml:space="preserve"> OK</v>
      </c>
      <c r="E250" s="254" t="s">
        <v>1920</v>
      </c>
      <c r="F250" s="254" t="s">
        <v>657</v>
      </c>
      <c r="G250" s="298">
        <f>ROUND([3]Data!K551,2)</f>
        <v>1210.31</v>
      </c>
      <c r="H250" s="298" t="s">
        <v>1715</v>
      </c>
      <c r="I250" s="300"/>
      <c r="J250" s="300"/>
      <c r="K250" s="270"/>
      <c r="L250" s="301"/>
      <c r="M250" s="270"/>
      <c r="N250" s="270"/>
      <c r="O250" s="270"/>
      <c r="P250" s="270"/>
      <c r="Q250" s="270"/>
      <c r="R250" s="270"/>
      <c r="S250" s="270"/>
      <c r="T250" s="301"/>
      <c r="U250" s="270"/>
      <c r="V250" s="240"/>
      <c r="W250" s="238">
        <f t="shared" si="16"/>
        <v>0</v>
      </c>
      <c r="Y250" s="223" t="str">
        <f>'[4]Development - i'!E249</f>
        <v>c. In Second floor Precast Cupboard slab 20 mm tk.</v>
      </c>
      <c r="Z250" s="223" t="str">
        <f t="shared" si="14"/>
        <v>-----------------------</v>
      </c>
    </row>
    <row r="251" spans="1:26" s="243" customFormat="1">
      <c r="A251" s="306"/>
      <c r="B251" s="306" t="s">
        <v>658</v>
      </c>
      <c r="C251" s="306" t="s">
        <v>658</v>
      </c>
      <c r="D251" s="235" t="str">
        <f t="shared" si="15"/>
        <v xml:space="preserve"> OK</v>
      </c>
      <c r="E251" s="254" t="s">
        <v>1921</v>
      </c>
      <c r="F251" s="254" t="s">
        <v>658</v>
      </c>
      <c r="G251" s="298">
        <f>ROUND([3]Data!K552,2)</f>
        <v>1214.06</v>
      </c>
      <c r="H251" s="298" t="s">
        <v>1715</v>
      </c>
      <c r="I251" s="300"/>
      <c r="J251" s="300"/>
      <c r="K251" s="270"/>
      <c r="L251" s="301"/>
      <c r="M251" s="270"/>
      <c r="N251" s="270"/>
      <c r="O251" s="270"/>
      <c r="P251" s="270"/>
      <c r="Q251" s="270"/>
      <c r="R251" s="270"/>
      <c r="S251" s="270"/>
      <c r="T251" s="301"/>
      <c r="U251" s="270"/>
      <c r="V251" s="240"/>
      <c r="W251" s="238">
        <f t="shared" si="16"/>
        <v>0</v>
      </c>
      <c r="Y251" s="223" t="str">
        <f>'[4]Development - i'!E250</f>
        <v>d. In Third floor Precast Cupboard slab 20 mm tk.</v>
      </c>
      <c r="Z251" s="223" t="str">
        <f t="shared" si="14"/>
        <v>-----------------------</v>
      </c>
    </row>
    <row r="252" spans="1:26" s="241" customFormat="1">
      <c r="A252" s="326"/>
      <c r="B252" s="306" t="s">
        <v>659</v>
      </c>
      <c r="C252" s="306" t="s">
        <v>659</v>
      </c>
      <c r="D252" s="235" t="str">
        <f t="shared" si="15"/>
        <v xml:space="preserve"> OK</v>
      </c>
      <c r="E252" s="254" t="s">
        <v>1922</v>
      </c>
      <c r="F252" s="254" t="s">
        <v>659</v>
      </c>
      <c r="G252" s="298">
        <f>ROUND([3]Data!K553,2)</f>
        <v>1217.81</v>
      </c>
      <c r="H252" s="298" t="s">
        <v>1715</v>
      </c>
      <c r="I252" s="300"/>
      <c r="J252" s="300"/>
      <c r="K252" s="270"/>
      <c r="L252" s="301"/>
      <c r="M252" s="270"/>
      <c r="N252" s="270"/>
      <c r="O252" s="270"/>
      <c r="P252" s="270"/>
      <c r="Q252" s="270"/>
      <c r="R252" s="270"/>
      <c r="S252" s="270"/>
      <c r="T252" s="301"/>
      <c r="U252" s="270"/>
      <c r="V252" s="240"/>
      <c r="W252" s="238">
        <f t="shared" si="16"/>
        <v>0</v>
      </c>
      <c r="Y252" s="223" t="str">
        <f>'[4]Development - i'!E251</f>
        <v>e.  In Fourth floor Precast Cupboard slab 20 mm tk.</v>
      </c>
      <c r="Z252" s="223" t="str">
        <f t="shared" si="14"/>
        <v>-----------------------</v>
      </c>
    </row>
    <row r="253" spans="1:26" s="241" customFormat="1">
      <c r="A253" s="326"/>
      <c r="B253" s="306" t="s">
        <v>660</v>
      </c>
      <c r="C253" s="306" t="s">
        <v>660</v>
      </c>
      <c r="D253" s="235" t="str">
        <f t="shared" si="15"/>
        <v xml:space="preserve"> OK</v>
      </c>
      <c r="E253" s="254" t="s">
        <v>1923</v>
      </c>
      <c r="F253" s="254" t="s">
        <v>660</v>
      </c>
      <c r="G253" s="298">
        <f>ROUND([3]Data!K554,2)</f>
        <v>1221.56</v>
      </c>
      <c r="H253" s="298" t="s">
        <v>1715</v>
      </c>
      <c r="I253" s="300"/>
      <c r="J253" s="300"/>
      <c r="K253" s="270"/>
      <c r="L253" s="301"/>
      <c r="M253" s="270"/>
      <c r="N253" s="270"/>
      <c r="O253" s="270"/>
      <c r="P253" s="270"/>
      <c r="Q253" s="270"/>
      <c r="R253" s="270"/>
      <c r="S253" s="270"/>
      <c r="T253" s="301"/>
      <c r="U253" s="270"/>
      <c r="V253" s="240"/>
      <c r="W253" s="238">
        <f t="shared" si="16"/>
        <v>0</v>
      </c>
      <c r="Y253" s="223" t="str">
        <f>'[4]Development - i'!E252</f>
        <v>f.  In Fifth floor Precast Cupboard slab 20 mm tk.</v>
      </c>
      <c r="Z253" s="223" t="str">
        <f t="shared" si="14"/>
        <v>-----------------------</v>
      </c>
    </row>
    <row r="254" spans="1:26" s="241" customFormat="1">
      <c r="A254" s="326"/>
      <c r="B254" s="306" t="s">
        <v>661</v>
      </c>
      <c r="C254" s="306" t="s">
        <v>661</v>
      </c>
      <c r="D254" s="235" t="str">
        <f t="shared" si="15"/>
        <v xml:space="preserve"> OK</v>
      </c>
      <c r="E254" s="254" t="s">
        <v>1924</v>
      </c>
      <c r="F254" s="254" t="s">
        <v>661</v>
      </c>
      <c r="G254" s="298">
        <f>ROUND([3]Data!K555,2)</f>
        <v>1225.31</v>
      </c>
      <c r="H254" s="298" t="s">
        <v>1715</v>
      </c>
      <c r="I254" s="300"/>
      <c r="J254" s="300"/>
      <c r="K254" s="270"/>
      <c r="L254" s="301"/>
      <c r="M254" s="270"/>
      <c r="N254" s="270"/>
      <c r="O254" s="270"/>
      <c r="P254" s="270"/>
      <c r="Q254" s="270"/>
      <c r="R254" s="270"/>
      <c r="S254" s="270"/>
      <c r="T254" s="301"/>
      <c r="U254" s="270"/>
      <c r="V254" s="240"/>
      <c r="W254" s="238">
        <f t="shared" si="16"/>
        <v>0</v>
      </c>
      <c r="Y254" s="223" t="str">
        <f>'[4]Development - i'!E253</f>
        <v>g.  In sixth floor Precast Cupboard slab 20 mm tk.</v>
      </c>
      <c r="Z254" s="223" t="str">
        <f t="shared" si="14"/>
        <v>-----------------------</v>
      </c>
    </row>
    <row r="255" spans="1:26" s="241" customFormat="1">
      <c r="A255" s="326"/>
      <c r="B255" s="306" t="s">
        <v>662</v>
      </c>
      <c r="C255" s="306" t="s">
        <v>662</v>
      </c>
      <c r="D255" s="235" t="str">
        <f t="shared" si="15"/>
        <v xml:space="preserve"> OK</v>
      </c>
      <c r="E255" s="254" t="s">
        <v>1925</v>
      </c>
      <c r="F255" s="254" t="s">
        <v>662</v>
      </c>
      <c r="G255" s="298">
        <f>ROUND([3]Data!K556,2)</f>
        <v>1229.06</v>
      </c>
      <c r="H255" s="298" t="s">
        <v>1715</v>
      </c>
      <c r="I255" s="300"/>
      <c r="J255" s="300"/>
      <c r="K255" s="270"/>
      <c r="L255" s="301"/>
      <c r="M255" s="270"/>
      <c r="N255" s="270"/>
      <c r="O255" s="270"/>
      <c r="P255" s="270"/>
      <c r="Q255" s="270"/>
      <c r="R255" s="270"/>
      <c r="S255" s="270"/>
      <c r="T255" s="301"/>
      <c r="U255" s="270"/>
      <c r="V255" s="240"/>
      <c r="W255" s="238">
        <f t="shared" si="16"/>
        <v>0</v>
      </c>
      <c r="Y255" s="223" t="str">
        <f>'[4]Development - i'!E254</f>
        <v>h.  In seventh floor Precast Cupboard slab 20 mm tk.</v>
      </c>
      <c r="Z255" s="223" t="str">
        <f t="shared" si="14"/>
        <v>-----------------------</v>
      </c>
    </row>
    <row r="256" spans="1:26" s="241" customFormat="1">
      <c r="A256" s="326"/>
      <c r="B256" s="306" t="s">
        <v>663</v>
      </c>
      <c r="C256" s="306" t="s">
        <v>663</v>
      </c>
      <c r="D256" s="235" t="str">
        <f t="shared" si="15"/>
        <v xml:space="preserve"> OK</v>
      </c>
      <c r="E256" s="254" t="s">
        <v>1926</v>
      </c>
      <c r="F256" s="254" t="s">
        <v>663</v>
      </c>
      <c r="G256" s="298">
        <f>ROUND([3]Data!K557,2)</f>
        <v>1232.81</v>
      </c>
      <c r="H256" s="298" t="s">
        <v>1715</v>
      </c>
      <c r="I256" s="300"/>
      <c r="J256" s="300"/>
      <c r="K256" s="270"/>
      <c r="L256" s="301"/>
      <c r="M256" s="270"/>
      <c r="N256" s="270"/>
      <c r="O256" s="270"/>
      <c r="P256" s="270"/>
      <c r="Q256" s="270"/>
      <c r="R256" s="270"/>
      <c r="S256" s="270"/>
      <c r="T256" s="301"/>
      <c r="U256" s="270"/>
      <c r="V256" s="240"/>
      <c r="W256" s="238">
        <f t="shared" si="16"/>
        <v>0</v>
      </c>
      <c r="Y256" s="223" t="str">
        <f>'[4]Development - i'!E255</f>
        <v>i.  In eighth floorPrecast Cupboard slab 20 mm tk.</v>
      </c>
      <c r="Z256" s="223" t="str">
        <f t="shared" si="14"/>
        <v>-----------------------</v>
      </c>
    </row>
    <row r="257" spans="1:26" s="241" customFormat="1">
      <c r="A257" s="326"/>
      <c r="B257" s="306" t="s">
        <v>664</v>
      </c>
      <c r="C257" s="306" t="s">
        <v>664</v>
      </c>
      <c r="D257" s="235" t="str">
        <f t="shared" si="15"/>
        <v xml:space="preserve"> OK</v>
      </c>
      <c r="E257" s="254" t="s">
        <v>1927</v>
      </c>
      <c r="F257" s="254" t="s">
        <v>664</v>
      </c>
      <c r="G257" s="298">
        <f>ROUND([3]Data!K558,2)</f>
        <v>1236.56</v>
      </c>
      <c r="H257" s="298" t="s">
        <v>1715</v>
      </c>
      <c r="I257" s="300"/>
      <c r="J257" s="300"/>
      <c r="K257" s="270"/>
      <c r="L257" s="301"/>
      <c r="M257" s="270"/>
      <c r="N257" s="270"/>
      <c r="O257" s="270"/>
      <c r="P257" s="270"/>
      <c r="Q257" s="270"/>
      <c r="R257" s="270"/>
      <c r="S257" s="270"/>
      <c r="T257" s="301"/>
      <c r="U257" s="270"/>
      <c r="V257" s="240"/>
      <c r="W257" s="238">
        <f t="shared" si="16"/>
        <v>0</v>
      </c>
      <c r="Y257" s="223" t="str">
        <f>'[4]Development - i'!E256</f>
        <v>j.  In Ninth floorPrecast Cupboard slab 20 mm tk.</v>
      </c>
      <c r="Z257" s="223" t="str">
        <f t="shared" si="14"/>
        <v>-----------------------</v>
      </c>
    </row>
    <row r="258" spans="1:26" s="241" customFormat="1">
      <c r="A258" s="326"/>
      <c r="B258" s="306" t="s">
        <v>665</v>
      </c>
      <c r="C258" s="306" t="s">
        <v>665</v>
      </c>
      <c r="D258" s="235" t="str">
        <f t="shared" si="15"/>
        <v xml:space="preserve"> OK</v>
      </c>
      <c r="E258" s="254" t="s">
        <v>1928</v>
      </c>
      <c r="F258" s="254" t="s">
        <v>665</v>
      </c>
      <c r="G258" s="298">
        <f>ROUND([3]Data!K559,2)</f>
        <v>1240.31</v>
      </c>
      <c r="H258" s="298" t="s">
        <v>1715</v>
      </c>
      <c r="I258" s="300"/>
      <c r="J258" s="300"/>
      <c r="K258" s="270"/>
      <c r="L258" s="301"/>
      <c r="M258" s="270"/>
      <c r="N258" s="270"/>
      <c r="O258" s="270"/>
      <c r="P258" s="270"/>
      <c r="Q258" s="270"/>
      <c r="R258" s="270"/>
      <c r="S258" s="270"/>
      <c r="T258" s="301"/>
      <c r="U258" s="270"/>
      <c r="V258" s="240"/>
      <c r="W258" s="238">
        <f t="shared" si="16"/>
        <v>0</v>
      </c>
      <c r="Y258" s="223" t="str">
        <f>'[4]Development - i'!E257</f>
        <v>k.  In Tenth floorPrecast Cupboard slab 20 mm tk.</v>
      </c>
      <c r="Z258" s="223" t="str">
        <f t="shared" si="14"/>
        <v>-----------------------</v>
      </c>
    </row>
    <row r="259" spans="1:26" s="241" customFormat="1">
      <c r="A259" s="326"/>
      <c r="B259" s="306" t="s">
        <v>666</v>
      </c>
      <c r="C259" s="306" t="s">
        <v>666</v>
      </c>
      <c r="D259" s="235" t="str">
        <f t="shared" si="15"/>
        <v xml:space="preserve"> OK</v>
      </c>
      <c r="E259" s="254" t="s">
        <v>1929</v>
      </c>
      <c r="F259" s="254" t="s">
        <v>666</v>
      </c>
      <c r="G259" s="298">
        <f>ROUND([3]Data!K560,2)</f>
        <v>1244.06</v>
      </c>
      <c r="H259" s="298" t="s">
        <v>1715</v>
      </c>
      <c r="I259" s="300"/>
      <c r="J259" s="300"/>
      <c r="K259" s="270"/>
      <c r="L259" s="301"/>
      <c r="M259" s="270"/>
      <c r="N259" s="270"/>
      <c r="O259" s="270"/>
      <c r="P259" s="270"/>
      <c r="Q259" s="270"/>
      <c r="R259" s="270"/>
      <c r="S259" s="270"/>
      <c r="T259" s="301"/>
      <c r="U259" s="270"/>
      <c r="V259" s="240"/>
      <c r="W259" s="238">
        <f t="shared" si="16"/>
        <v>0</v>
      </c>
      <c r="Y259" s="223" t="str">
        <f>'[4]Development - i'!E258</f>
        <v>l.  In Eleventh floorPrecast Cupboard slab 20 mm tk.</v>
      </c>
      <c r="Z259" s="223" t="str">
        <f t="shared" si="14"/>
        <v>-----------------------</v>
      </c>
    </row>
    <row r="260" spans="1:26" s="243" customFormat="1" ht="65.25">
      <c r="A260" s="338" t="s">
        <v>75</v>
      </c>
      <c r="B260" s="314" t="s">
        <v>737</v>
      </c>
      <c r="C260" s="314" t="s">
        <v>737</v>
      </c>
      <c r="D260" s="235" t="str">
        <f t="shared" si="15"/>
        <v xml:space="preserve"> OK</v>
      </c>
      <c r="E260" s="254" t="s">
        <v>737</v>
      </c>
      <c r="F260" s="254" t="s">
        <v>736</v>
      </c>
      <c r="G260" s="298"/>
      <c r="H260" s="298"/>
      <c r="I260" s="300"/>
      <c r="J260" s="300"/>
      <c r="K260" s="270"/>
      <c r="L260" s="301"/>
      <c r="M260" s="270"/>
      <c r="N260" s="270"/>
      <c r="O260" s="270"/>
      <c r="P260" s="270"/>
      <c r="Q260" s="270"/>
      <c r="R260" s="270"/>
      <c r="S260" s="270"/>
      <c r="T260" s="301"/>
      <c r="U260" s="270"/>
      <c r="V260" s="240"/>
      <c r="W260" s="238">
        <f t="shared" si="16"/>
        <v>0</v>
      </c>
      <c r="Y260" s="223" t="str">
        <f>'[4]Development - i'!E259</f>
        <v>Precast cupboard slab 40 mm tk.</v>
      </c>
      <c r="Z260" s="223" t="str">
        <f t="shared" si="14"/>
        <v>-----------------------</v>
      </c>
    </row>
    <row r="261" spans="1:26" s="243" customFormat="1" ht="46.5">
      <c r="A261" s="306"/>
      <c r="B261" s="306" t="s">
        <v>738</v>
      </c>
      <c r="C261" s="306" t="s">
        <v>738</v>
      </c>
      <c r="D261" s="235" t="str">
        <f t="shared" si="15"/>
        <v xml:space="preserve"> OK</v>
      </c>
      <c r="E261" s="254" t="s">
        <v>1930</v>
      </c>
      <c r="F261" s="254" t="s">
        <v>738</v>
      </c>
      <c r="G261" s="298">
        <f>ROUND([3]Data!K571,2)</f>
        <v>1326.35</v>
      </c>
      <c r="H261" s="298" t="s">
        <v>1715</v>
      </c>
      <c r="I261" s="300"/>
      <c r="J261" s="300"/>
      <c r="K261" s="270"/>
      <c r="L261" s="301"/>
      <c r="M261" s="270"/>
      <c r="N261" s="270"/>
      <c r="O261" s="270"/>
      <c r="P261" s="270"/>
      <c r="Q261" s="270"/>
      <c r="R261" s="270"/>
      <c r="S261" s="270"/>
      <c r="T261" s="301"/>
      <c r="U261" s="270"/>
      <c r="V261" s="240"/>
      <c r="W261" s="238">
        <f t="shared" si="16"/>
        <v>0</v>
      </c>
      <c r="Y261" s="223" t="str">
        <f>'[4]Development - i'!E260</f>
        <v>a. In Foundation &amp; basement Precast cupboard slab 40 mm tk.</v>
      </c>
      <c r="Z261" s="223" t="str">
        <f t="shared" si="14"/>
        <v>-----------------------</v>
      </c>
    </row>
    <row r="262" spans="1:26" s="243" customFormat="1">
      <c r="A262" s="306"/>
      <c r="B262" s="306" t="s">
        <v>739</v>
      </c>
      <c r="C262" s="306" t="s">
        <v>739</v>
      </c>
      <c r="D262" s="235" t="str">
        <f t="shared" si="15"/>
        <v xml:space="preserve"> OK</v>
      </c>
      <c r="E262" s="254" t="s">
        <v>1931</v>
      </c>
      <c r="F262" s="254" t="s">
        <v>739</v>
      </c>
      <c r="G262" s="298">
        <f>ROUND([3]Data!K573,2)</f>
        <v>1330.16</v>
      </c>
      <c r="H262" s="298" t="s">
        <v>1715</v>
      </c>
      <c r="I262" s="300"/>
      <c r="J262" s="300"/>
      <c r="K262" s="270"/>
      <c r="L262" s="301"/>
      <c r="M262" s="270"/>
      <c r="N262" s="270"/>
      <c r="O262" s="270"/>
      <c r="P262" s="270"/>
      <c r="Q262" s="270"/>
      <c r="R262" s="270"/>
      <c r="S262" s="270"/>
      <c r="T262" s="301"/>
      <c r="U262" s="270"/>
      <c r="V262" s="240"/>
      <c r="W262" s="238">
        <f t="shared" si="16"/>
        <v>0</v>
      </c>
      <c r="Y262" s="223" t="str">
        <f>'[4]Development - i'!E261</f>
        <v>b. In Ground floor Precast cupboard slab 40 mm tk.</v>
      </c>
      <c r="Z262" s="223" t="str">
        <f t="shared" si="14"/>
        <v>-----------------------</v>
      </c>
    </row>
    <row r="263" spans="1:26" s="243" customFormat="1">
      <c r="A263" s="306"/>
      <c r="B263" s="306" t="s">
        <v>740</v>
      </c>
      <c r="C263" s="306" t="s">
        <v>740</v>
      </c>
      <c r="D263" s="235" t="str">
        <f t="shared" si="15"/>
        <v xml:space="preserve"> OK</v>
      </c>
      <c r="E263" s="254" t="s">
        <v>1932</v>
      </c>
      <c r="F263" s="254" t="s">
        <v>740</v>
      </c>
      <c r="G263" s="298">
        <f>ROUND([3]Data!K574,2)</f>
        <v>1337.66</v>
      </c>
      <c r="H263" s="298" t="s">
        <v>1715</v>
      </c>
      <c r="I263" s="300"/>
      <c r="J263" s="300"/>
      <c r="K263" s="270"/>
      <c r="L263" s="301"/>
      <c r="M263" s="270"/>
      <c r="N263" s="270"/>
      <c r="O263" s="270"/>
      <c r="P263" s="270"/>
      <c r="Q263" s="270"/>
      <c r="R263" s="270"/>
      <c r="S263" s="270"/>
      <c r="T263" s="301"/>
      <c r="U263" s="270"/>
      <c r="V263" s="240"/>
      <c r="W263" s="238">
        <f t="shared" si="16"/>
        <v>0</v>
      </c>
      <c r="Y263" s="223" t="str">
        <f>'[4]Development - i'!E262</f>
        <v>c. In First floor Precast cupboard slab 40 mm tk.</v>
      </c>
      <c r="Z263" s="223" t="str">
        <f t="shared" ref="Z263:Z326" si="17">IF(Y263=E263,"-----------------------","ERRR")</f>
        <v>-----------------------</v>
      </c>
    </row>
    <row r="264" spans="1:26" s="243" customFormat="1">
      <c r="A264" s="306"/>
      <c r="B264" s="306" t="s">
        <v>741</v>
      </c>
      <c r="C264" s="306" t="s">
        <v>741</v>
      </c>
      <c r="D264" s="235" t="str">
        <f t="shared" si="15"/>
        <v xml:space="preserve"> OK</v>
      </c>
      <c r="E264" s="254" t="s">
        <v>1933</v>
      </c>
      <c r="F264" s="254" t="s">
        <v>741</v>
      </c>
      <c r="G264" s="298">
        <f>ROUND([3]Data!K575,2)</f>
        <v>1345.16</v>
      </c>
      <c r="H264" s="298" t="s">
        <v>1715</v>
      </c>
      <c r="I264" s="300"/>
      <c r="J264" s="300"/>
      <c r="K264" s="270"/>
      <c r="L264" s="301"/>
      <c r="M264" s="270"/>
      <c r="N264" s="270"/>
      <c r="O264" s="270"/>
      <c r="P264" s="270"/>
      <c r="Q264" s="270"/>
      <c r="R264" s="270"/>
      <c r="S264" s="270"/>
      <c r="T264" s="301"/>
      <c r="U264" s="270"/>
      <c r="V264" s="240"/>
      <c r="W264" s="238">
        <f t="shared" si="16"/>
        <v>0</v>
      </c>
      <c r="Y264" s="223" t="str">
        <f>'[4]Development - i'!E263</f>
        <v>d. In Second floorPrecast cupboard slab 40 mm tk.</v>
      </c>
      <c r="Z264" s="223" t="str">
        <f t="shared" si="17"/>
        <v>-----------------------</v>
      </c>
    </row>
    <row r="265" spans="1:26" s="243" customFormat="1">
      <c r="A265" s="306"/>
      <c r="B265" s="306" t="s">
        <v>742</v>
      </c>
      <c r="C265" s="306" t="s">
        <v>742</v>
      </c>
      <c r="D265" s="235" t="str">
        <f t="shared" si="15"/>
        <v xml:space="preserve"> OK</v>
      </c>
      <c r="E265" s="254" t="s">
        <v>1934</v>
      </c>
      <c r="F265" s="254" t="s">
        <v>742</v>
      </c>
      <c r="G265" s="298">
        <f>ROUND([3]Data!K576,2)</f>
        <v>1352.66</v>
      </c>
      <c r="H265" s="298" t="s">
        <v>1715</v>
      </c>
      <c r="I265" s="300"/>
      <c r="J265" s="300"/>
      <c r="K265" s="270"/>
      <c r="L265" s="301"/>
      <c r="M265" s="270"/>
      <c r="N265" s="270"/>
      <c r="O265" s="270"/>
      <c r="P265" s="270"/>
      <c r="Q265" s="270"/>
      <c r="R265" s="270"/>
      <c r="S265" s="270"/>
      <c r="T265" s="301"/>
      <c r="U265" s="270"/>
      <c r="V265" s="240"/>
      <c r="W265" s="238">
        <f t="shared" si="16"/>
        <v>0</v>
      </c>
      <c r="Y265" s="223" t="str">
        <f>'[4]Development - i'!E264</f>
        <v>e. In Third floor Precast cupboard slab 40 mm tk.</v>
      </c>
      <c r="Z265" s="223" t="str">
        <f t="shared" si="17"/>
        <v>-----------------------</v>
      </c>
    </row>
    <row r="266" spans="1:26" s="241" customFormat="1">
      <c r="A266" s="326"/>
      <c r="B266" s="306" t="s">
        <v>743</v>
      </c>
      <c r="C266" s="306" t="s">
        <v>743</v>
      </c>
      <c r="D266" s="235" t="str">
        <f t="shared" si="15"/>
        <v xml:space="preserve"> OK</v>
      </c>
      <c r="E266" s="254" t="s">
        <v>1935</v>
      </c>
      <c r="F266" s="254" t="s">
        <v>743</v>
      </c>
      <c r="G266" s="298">
        <f>ROUND([3]Data!K577,2)</f>
        <v>1360.16</v>
      </c>
      <c r="H266" s="298" t="s">
        <v>1715</v>
      </c>
      <c r="I266" s="300"/>
      <c r="J266" s="300"/>
      <c r="K266" s="270"/>
      <c r="L266" s="301"/>
      <c r="M266" s="270"/>
      <c r="N266" s="270"/>
      <c r="O266" s="270"/>
      <c r="P266" s="270"/>
      <c r="Q266" s="270"/>
      <c r="R266" s="270"/>
      <c r="S266" s="270"/>
      <c r="T266" s="301"/>
      <c r="U266" s="270"/>
      <c r="V266" s="240"/>
      <c r="W266" s="238">
        <f t="shared" si="16"/>
        <v>0</v>
      </c>
      <c r="Y266" s="223" t="str">
        <f>'[4]Development - i'!E265</f>
        <v>f.  In Fourth floorPrecast cupboard slab 40 mm tk.</v>
      </c>
      <c r="Z266" s="223" t="str">
        <f t="shared" si="17"/>
        <v>-----------------------</v>
      </c>
    </row>
    <row r="267" spans="1:26" s="241" customFormat="1">
      <c r="A267" s="305">
        <v>15.1</v>
      </c>
      <c r="B267" s="314" t="s">
        <v>744</v>
      </c>
      <c r="C267" s="314" t="s">
        <v>744</v>
      </c>
      <c r="D267" s="235" t="str">
        <f t="shared" si="15"/>
        <v xml:space="preserve"> OK</v>
      </c>
      <c r="E267" s="254" t="s">
        <v>744</v>
      </c>
      <c r="F267" s="254">
        <v>0</v>
      </c>
      <c r="G267" s="298"/>
      <c r="H267" s="298"/>
      <c r="I267" s="300"/>
      <c r="J267" s="300"/>
      <c r="K267" s="270"/>
      <c r="L267" s="301"/>
      <c r="M267" s="270"/>
      <c r="N267" s="270"/>
      <c r="O267" s="270"/>
      <c r="P267" s="270"/>
      <c r="Q267" s="270"/>
      <c r="R267" s="270"/>
      <c r="S267" s="270"/>
      <c r="T267" s="301"/>
      <c r="U267" s="270"/>
      <c r="V267" s="240"/>
      <c r="W267" s="238">
        <f t="shared" si="16"/>
        <v>0</v>
      </c>
      <c r="Y267" s="223" t="str">
        <f>'[4]Development - i'!E266</f>
        <v>Cuddappa slab 20 mm tk.</v>
      </c>
      <c r="Z267" s="223" t="str">
        <f t="shared" si="17"/>
        <v>-----------------------</v>
      </c>
    </row>
    <row r="268" spans="1:26" s="241" customFormat="1">
      <c r="A268" s="305"/>
      <c r="B268" s="306" t="s">
        <v>655</v>
      </c>
      <c r="C268" s="306" t="s">
        <v>655</v>
      </c>
      <c r="D268" s="235" t="str">
        <f t="shared" si="15"/>
        <v xml:space="preserve"> OK</v>
      </c>
      <c r="E268" s="254" t="s">
        <v>1936</v>
      </c>
      <c r="F268" s="254">
        <v>0</v>
      </c>
      <c r="G268" s="298">
        <f>ROUND([3]Data!K604,2)</f>
        <v>513.35</v>
      </c>
      <c r="H268" s="298" t="s">
        <v>1715</v>
      </c>
      <c r="I268" s="300"/>
      <c r="J268" s="300"/>
      <c r="K268" s="270"/>
      <c r="L268" s="301"/>
      <c r="M268" s="270"/>
      <c r="N268" s="270"/>
      <c r="O268" s="270"/>
      <c r="P268" s="270"/>
      <c r="Q268" s="270"/>
      <c r="R268" s="270"/>
      <c r="S268" s="270"/>
      <c r="T268" s="301"/>
      <c r="U268" s="270"/>
      <c r="V268" s="240"/>
      <c r="W268" s="238">
        <f t="shared" si="16"/>
        <v>0</v>
      </c>
      <c r="Y268" s="223" t="str">
        <f>'[4]Development - i'!E267</f>
        <v>a. In Ground floor Cuddappa slab 20 mm tk.</v>
      </c>
      <c r="Z268" s="223" t="str">
        <f t="shared" si="17"/>
        <v>-----------------------</v>
      </c>
    </row>
    <row r="269" spans="1:26" s="241" customFormat="1">
      <c r="A269" s="305"/>
      <c r="B269" s="306" t="s">
        <v>656</v>
      </c>
      <c r="C269" s="306" t="s">
        <v>656</v>
      </c>
      <c r="D269" s="235" t="str">
        <f t="shared" si="15"/>
        <v xml:space="preserve"> OK</v>
      </c>
      <c r="E269" s="254" t="s">
        <v>1937</v>
      </c>
      <c r="F269" s="254">
        <v>0</v>
      </c>
      <c r="G269" s="298">
        <f>ROUND([3]Data!K605,2)</f>
        <v>517.07000000000005</v>
      </c>
      <c r="H269" s="298" t="s">
        <v>1715</v>
      </c>
      <c r="I269" s="300"/>
      <c r="J269" s="300"/>
      <c r="K269" s="270"/>
      <c r="L269" s="301"/>
      <c r="M269" s="270"/>
      <c r="N269" s="270"/>
      <c r="O269" s="270"/>
      <c r="P269" s="270"/>
      <c r="Q269" s="270"/>
      <c r="R269" s="270"/>
      <c r="S269" s="270"/>
      <c r="T269" s="301"/>
      <c r="U269" s="270"/>
      <c r="V269" s="240"/>
      <c r="W269" s="238">
        <f t="shared" si="16"/>
        <v>0</v>
      </c>
      <c r="Y269" s="223" t="str">
        <f>'[4]Development - i'!E268</f>
        <v>b. In First floor Cuddappa slab 20 mm tk.</v>
      </c>
      <c r="Z269" s="223" t="str">
        <f t="shared" si="17"/>
        <v>-----------------------</v>
      </c>
    </row>
    <row r="270" spans="1:26" s="241" customFormat="1">
      <c r="A270" s="305"/>
      <c r="B270" s="306" t="s">
        <v>657</v>
      </c>
      <c r="C270" s="306" t="s">
        <v>657</v>
      </c>
      <c r="D270" s="235" t="str">
        <f t="shared" si="15"/>
        <v xml:space="preserve"> OK</v>
      </c>
      <c r="E270" s="254" t="s">
        <v>1938</v>
      </c>
      <c r="F270" s="254">
        <v>0</v>
      </c>
      <c r="G270" s="298">
        <f>ROUND([3]Data!K606,2)</f>
        <v>520.79</v>
      </c>
      <c r="H270" s="298" t="s">
        <v>1715</v>
      </c>
      <c r="I270" s="300"/>
      <c r="J270" s="300"/>
      <c r="K270" s="270"/>
      <c r="L270" s="301"/>
      <c r="M270" s="270"/>
      <c r="N270" s="270"/>
      <c r="O270" s="270"/>
      <c r="P270" s="270"/>
      <c r="Q270" s="270"/>
      <c r="R270" s="270"/>
      <c r="S270" s="270"/>
      <c r="T270" s="301"/>
      <c r="U270" s="270"/>
      <c r="V270" s="240"/>
      <c r="W270" s="238">
        <f t="shared" si="16"/>
        <v>0</v>
      </c>
      <c r="Y270" s="223" t="str">
        <f>'[4]Development - i'!E269</f>
        <v>c. In Second floor Cuddappa slab 20 mm tk.</v>
      </c>
      <c r="Z270" s="223" t="str">
        <f t="shared" si="17"/>
        <v>-----------------------</v>
      </c>
    </row>
    <row r="271" spans="1:26" s="241" customFormat="1">
      <c r="A271" s="305"/>
      <c r="B271" s="306" t="s">
        <v>658</v>
      </c>
      <c r="C271" s="306" t="s">
        <v>658</v>
      </c>
      <c r="D271" s="235" t="str">
        <f t="shared" si="15"/>
        <v xml:space="preserve"> OK</v>
      </c>
      <c r="E271" s="254" t="s">
        <v>1939</v>
      </c>
      <c r="F271" s="254">
        <v>0</v>
      </c>
      <c r="G271" s="298">
        <f>ROUND([3]Data!K607,2)</f>
        <v>524.51</v>
      </c>
      <c r="H271" s="298" t="s">
        <v>1715</v>
      </c>
      <c r="I271" s="300"/>
      <c r="J271" s="300"/>
      <c r="K271" s="270"/>
      <c r="L271" s="301"/>
      <c r="M271" s="270"/>
      <c r="N271" s="270"/>
      <c r="O271" s="270"/>
      <c r="P271" s="270"/>
      <c r="Q271" s="270"/>
      <c r="R271" s="270"/>
      <c r="S271" s="270"/>
      <c r="T271" s="301"/>
      <c r="U271" s="270"/>
      <c r="V271" s="240"/>
      <c r="W271" s="238">
        <f t="shared" si="16"/>
        <v>0</v>
      </c>
      <c r="Y271" s="223" t="str">
        <f>'[4]Development - i'!E270</f>
        <v>d. In Third floor Cuddappa slab 20 mm tk.</v>
      </c>
      <c r="Z271" s="223" t="str">
        <f t="shared" si="17"/>
        <v>-----------------------</v>
      </c>
    </row>
    <row r="272" spans="1:26" s="241" customFormat="1">
      <c r="A272" s="319"/>
      <c r="B272" s="306" t="s">
        <v>659</v>
      </c>
      <c r="C272" s="306" t="s">
        <v>659</v>
      </c>
      <c r="D272" s="235" t="str">
        <f t="shared" si="15"/>
        <v xml:space="preserve"> OK</v>
      </c>
      <c r="E272" s="254" t="s">
        <v>1940</v>
      </c>
      <c r="F272" s="254">
        <v>0</v>
      </c>
      <c r="G272" s="298">
        <f>ROUND([3]Data!K608,2)</f>
        <v>528.23</v>
      </c>
      <c r="H272" s="298" t="s">
        <v>1715</v>
      </c>
      <c r="I272" s="300"/>
      <c r="J272" s="300"/>
      <c r="K272" s="270"/>
      <c r="L272" s="301"/>
      <c r="M272" s="270"/>
      <c r="N272" s="270"/>
      <c r="O272" s="270"/>
      <c r="P272" s="270"/>
      <c r="Q272" s="270"/>
      <c r="R272" s="270"/>
      <c r="S272" s="270"/>
      <c r="T272" s="301"/>
      <c r="U272" s="270"/>
      <c r="V272" s="240"/>
      <c r="W272" s="238">
        <f t="shared" si="16"/>
        <v>0</v>
      </c>
      <c r="Y272" s="223" t="str">
        <f>'[4]Development - i'!E271</f>
        <v>e.  In Fourth floor Cuddappa slab 20 mm tk.</v>
      </c>
      <c r="Z272" s="223" t="str">
        <f t="shared" si="17"/>
        <v>-----------------------</v>
      </c>
    </row>
    <row r="273" spans="1:26" s="241" customFormat="1">
      <c r="A273" s="305">
        <v>15.2</v>
      </c>
      <c r="B273" s="314" t="s">
        <v>745</v>
      </c>
      <c r="C273" s="314" t="s">
        <v>745</v>
      </c>
      <c r="D273" s="235" t="str">
        <f t="shared" si="15"/>
        <v xml:space="preserve"> OK</v>
      </c>
      <c r="E273" s="254" t="s">
        <v>745</v>
      </c>
      <c r="F273" s="254">
        <v>0</v>
      </c>
      <c r="G273" s="298"/>
      <c r="H273" s="298"/>
      <c r="I273" s="300"/>
      <c r="J273" s="300"/>
      <c r="K273" s="270"/>
      <c r="L273" s="301"/>
      <c r="M273" s="270"/>
      <c r="N273" s="270"/>
      <c r="O273" s="270"/>
      <c r="P273" s="270"/>
      <c r="Q273" s="270"/>
      <c r="R273" s="270"/>
      <c r="S273" s="270"/>
      <c r="T273" s="301"/>
      <c r="U273" s="270"/>
      <c r="V273" s="240"/>
      <c r="W273" s="238">
        <f t="shared" si="16"/>
        <v>0</v>
      </c>
      <c r="Y273" s="223" t="str">
        <f>'[4]Development - i'!E272</f>
        <v>Cuddappa slab 40 mm tk.</v>
      </c>
      <c r="Z273" s="223" t="str">
        <f t="shared" si="17"/>
        <v>-----------------------</v>
      </c>
    </row>
    <row r="274" spans="1:26" s="241" customFormat="1">
      <c r="A274" s="306"/>
      <c r="B274" s="306" t="s">
        <v>655</v>
      </c>
      <c r="C274" s="306" t="s">
        <v>655</v>
      </c>
      <c r="D274" s="235" t="str">
        <f t="shared" si="15"/>
        <v xml:space="preserve"> OK</v>
      </c>
      <c r="E274" s="254" t="s">
        <v>1941</v>
      </c>
      <c r="F274" s="254">
        <v>0</v>
      </c>
      <c r="G274" s="298">
        <f>ROUND([3]Data!K626,2)</f>
        <v>1753.93</v>
      </c>
      <c r="H274" s="298" t="s">
        <v>1715</v>
      </c>
      <c r="I274" s="300"/>
      <c r="J274" s="300"/>
      <c r="K274" s="270"/>
      <c r="L274" s="301"/>
      <c r="M274" s="270"/>
      <c r="N274" s="270"/>
      <c r="O274" s="270"/>
      <c r="P274" s="270"/>
      <c r="Q274" s="270"/>
      <c r="R274" s="270"/>
      <c r="S274" s="270"/>
      <c r="T274" s="301"/>
      <c r="U274" s="270"/>
      <c r="V274" s="240"/>
      <c r="W274" s="238">
        <f t="shared" si="16"/>
        <v>0</v>
      </c>
      <c r="Y274" s="223" t="str">
        <f>'[4]Development - i'!E273</f>
        <v>a. In Ground floor Cuddappa slab 40 mm tk.</v>
      </c>
      <c r="Z274" s="223" t="str">
        <f t="shared" si="17"/>
        <v>-----------------------</v>
      </c>
    </row>
    <row r="275" spans="1:26" s="241" customFormat="1">
      <c r="A275" s="306"/>
      <c r="B275" s="306" t="s">
        <v>656</v>
      </c>
      <c r="C275" s="306" t="s">
        <v>656</v>
      </c>
      <c r="D275" s="235" t="str">
        <f t="shared" si="15"/>
        <v xml:space="preserve"> OK</v>
      </c>
      <c r="E275" s="254" t="s">
        <v>1942</v>
      </c>
      <c r="F275" s="254">
        <v>0</v>
      </c>
      <c r="G275" s="298">
        <f>ROUND([3]Data!K627,2)</f>
        <v>1761.36</v>
      </c>
      <c r="H275" s="298" t="s">
        <v>1715</v>
      </c>
      <c r="I275" s="300"/>
      <c r="J275" s="300"/>
      <c r="K275" s="270"/>
      <c r="L275" s="301"/>
      <c r="M275" s="270"/>
      <c r="N275" s="270"/>
      <c r="O275" s="270"/>
      <c r="P275" s="270"/>
      <c r="Q275" s="270"/>
      <c r="R275" s="270"/>
      <c r="S275" s="270"/>
      <c r="T275" s="301"/>
      <c r="U275" s="270"/>
      <c r="V275" s="240"/>
      <c r="W275" s="238">
        <f t="shared" si="16"/>
        <v>0</v>
      </c>
      <c r="Y275" s="223" t="str">
        <f>'[4]Development - i'!E274</f>
        <v>b. In First floor Cuddappa slab 40 mm tk.</v>
      </c>
      <c r="Z275" s="223" t="str">
        <f t="shared" si="17"/>
        <v>-----------------------</v>
      </c>
    </row>
    <row r="276" spans="1:26" s="241" customFormat="1">
      <c r="A276" s="306"/>
      <c r="B276" s="306" t="s">
        <v>657</v>
      </c>
      <c r="C276" s="306" t="s">
        <v>657</v>
      </c>
      <c r="D276" s="235" t="str">
        <f t="shared" si="15"/>
        <v xml:space="preserve"> OK</v>
      </c>
      <c r="E276" s="254" t="s">
        <v>1943</v>
      </c>
      <c r="F276" s="254">
        <v>0</v>
      </c>
      <c r="G276" s="298">
        <f>ROUND([3]Data!K628,2)</f>
        <v>1768.79</v>
      </c>
      <c r="H276" s="298" t="s">
        <v>1715</v>
      </c>
      <c r="I276" s="300"/>
      <c r="J276" s="300"/>
      <c r="K276" s="270"/>
      <c r="L276" s="301"/>
      <c r="M276" s="270"/>
      <c r="N276" s="270"/>
      <c r="O276" s="270"/>
      <c r="P276" s="270"/>
      <c r="Q276" s="270"/>
      <c r="R276" s="270"/>
      <c r="S276" s="270"/>
      <c r="T276" s="301"/>
      <c r="U276" s="270"/>
      <c r="V276" s="240"/>
      <c r="W276" s="238">
        <f t="shared" si="16"/>
        <v>0</v>
      </c>
      <c r="Y276" s="223" t="str">
        <f>'[4]Development - i'!E275</f>
        <v>c. In Second floor Cuddappa slab 40 mm tk.</v>
      </c>
      <c r="Z276" s="223" t="str">
        <f t="shared" si="17"/>
        <v>-----------------------</v>
      </c>
    </row>
    <row r="277" spans="1:26" s="241" customFormat="1">
      <c r="A277" s="306"/>
      <c r="B277" s="306" t="s">
        <v>658</v>
      </c>
      <c r="C277" s="306" t="s">
        <v>658</v>
      </c>
      <c r="D277" s="235" t="str">
        <f t="shared" si="15"/>
        <v xml:space="preserve"> OK</v>
      </c>
      <c r="E277" s="254" t="s">
        <v>1944</v>
      </c>
      <c r="F277" s="254">
        <v>0</v>
      </c>
      <c r="G277" s="298">
        <f>ROUND([3]Data!K629,2)</f>
        <v>1776.22</v>
      </c>
      <c r="H277" s="298" t="s">
        <v>1715</v>
      </c>
      <c r="I277" s="300"/>
      <c r="J277" s="300"/>
      <c r="K277" s="270"/>
      <c r="L277" s="301"/>
      <c r="M277" s="270"/>
      <c r="N277" s="270"/>
      <c r="O277" s="270"/>
      <c r="P277" s="270"/>
      <c r="Q277" s="270"/>
      <c r="R277" s="270"/>
      <c r="S277" s="270"/>
      <c r="T277" s="301"/>
      <c r="U277" s="270"/>
      <c r="V277" s="240"/>
      <c r="W277" s="238">
        <f t="shared" si="16"/>
        <v>0</v>
      </c>
      <c r="Y277" s="223" t="str">
        <f>'[4]Development - i'!E276</f>
        <v>d. In Third floor Cuddappa slab 40 mm tk.</v>
      </c>
      <c r="Z277" s="223" t="str">
        <f t="shared" si="17"/>
        <v>-----------------------</v>
      </c>
    </row>
    <row r="278" spans="1:26" s="241" customFormat="1">
      <c r="A278" s="326"/>
      <c r="B278" s="306" t="s">
        <v>659</v>
      </c>
      <c r="C278" s="306" t="s">
        <v>659</v>
      </c>
      <c r="D278" s="235" t="str">
        <f t="shared" ref="D278:D341" si="18">IF(B278=C278," OK","nun")</f>
        <v xml:space="preserve"> OK</v>
      </c>
      <c r="E278" s="254" t="s">
        <v>1945</v>
      </c>
      <c r="F278" s="254">
        <v>0</v>
      </c>
      <c r="G278" s="298">
        <f>ROUND([3]Data!K630,2)</f>
        <v>1783.65</v>
      </c>
      <c r="H278" s="298" t="s">
        <v>1715</v>
      </c>
      <c r="I278" s="300"/>
      <c r="J278" s="300"/>
      <c r="K278" s="270"/>
      <c r="L278" s="301"/>
      <c r="M278" s="270"/>
      <c r="N278" s="270"/>
      <c r="O278" s="270"/>
      <c r="P278" s="270"/>
      <c r="Q278" s="270"/>
      <c r="R278" s="270"/>
      <c r="S278" s="270"/>
      <c r="T278" s="301"/>
      <c r="U278" s="270"/>
      <c r="V278" s="240"/>
      <c r="W278" s="238">
        <f t="shared" si="16"/>
        <v>0</v>
      </c>
      <c r="Y278" s="223" t="str">
        <f>'[4]Development - i'!E277</f>
        <v>e.  In Fourth floor Cuddappa slab 40 mm tk.</v>
      </c>
      <c r="Z278" s="223" t="str">
        <f t="shared" si="17"/>
        <v>-----------------------</v>
      </c>
    </row>
    <row r="279" spans="1:26" s="243" customFormat="1">
      <c r="A279" s="305">
        <v>16.100000000000001</v>
      </c>
      <c r="B279" s="306" t="s">
        <v>1946</v>
      </c>
      <c r="C279" s="306" t="s">
        <v>746</v>
      </c>
      <c r="D279" s="235" t="str">
        <f t="shared" si="18"/>
        <v xml:space="preserve"> OK</v>
      </c>
      <c r="E279" s="254" t="s">
        <v>1947</v>
      </c>
      <c r="F279" s="254" t="s">
        <v>747</v>
      </c>
      <c r="G279" s="298"/>
      <c r="H279" s="298"/>
      <c r="I279" s="300"/>
      <c r="J279" s="300"/>
      <c r="K279" s="270"/>
      <c r="L279" s="301"/>
      <c r="M279" s="270"/>
      <c r="N279" s="270"/>
      <c r="O279" s="270"/>
      <c r="P279" s="270"/>
      <c r="Q279" s="270"/>
      <c r="R279" s="270"/>
      <c r="S279" s="270"/>
      <c r="T279" s="301"/>
      <c r="U279" s="270"/>
      <c r="V279" s="240"/>
      <c r="W279" s="238">
        <f t="shared" si="16"/>
        <v>0</v>
      </c>
      <c r="Y279" s="223" t="str">
        <f>'[4]Development - i'!E278</f>
        <v>Precast Jally ventilator 50mm tk.</v>
      </c>
      <c r="Z279" s="223" t="str">
        <f t="shared" si="17"/>
        <v>-----------------------</v>
      </c>
    </row>
    <row r="280" spans="1:26" s="243" customFormat="1">
      <c r="A280" s="305"/>
      <c r="B280" s="306" t="s">
        <v>961</v>
      </c>
      <c r="C280" s="306" t="s">
        <v>961</v>
      </c>
      <c r="D280" s="235" t="str">
        <f t="shared" si="18"/>
        <v xml:space="preserve"> OK</v>
      </c>
      <c r="E280" s="254" t="s">
        <v>1948</v>
      </c>
      <c r="F280" s="254" t="s">
        <v>748</v>
      </c>
      <c r="G280" s="298">
        <f>[3]Data!K673</f>
        <v>2412.4699999999998</v>
      </c>
      <c r="H280" s="298" t="s">
        <v>1715</v>
      </c>
      <c r="I280" s="300"/>
      <c r="J280" s="300"/>
      <c r="K280" s="270"/>
      <c r="L280" s="301"/>
      <c r="M280" s="270"/>
      <c r="N280" s="270"/>
      <c r="O280" s="270"/>
      <c r="P280" s="270"/>
      <c r="Q280" s="270"/>
      <c r="R280" s="270"/>
      <c r="S280" s="270"/>
      <c r="T280" s="301"/>
      <c r="U280" s="270"/>
      <c r="V280" s="240"/>
      <c r="W280" s="238">
        <f t="shared" si="16"/>
        <v>0</v>
      </c>
      <c r="Y280" s="223" t="str">
        <f>'[4]Development - i'!E279</f>
        <v>a. In Ground Floor Precast Jally ventilator 50mm tk.</v>
      </c>
      <c r="Z280" s="223" t="str">
        <f t="shared" si="17"/>
        <v>-----------------------</v>
      </c>
    </row>
    <row r="281" spans="1:26" s="243" customFormat="1">
      <c r="A281" s="305"/>
      <c r="B281" s="306" t="s">
        <v>656</v>
      </c>
      <c r="C281" s="306" t="s">
        <v>656</v>
      </c>
      <c r="D281" s="235" t="str">
        <f t="shared" si="18"/>
        <v xml:space="preserve"> OK</v>
      </c>
      <c r="E281" s="254" t="s">
        <v>1949</v>
      </c>
      <c r="F281" s="254" t="s">
        <v>749</v>
      </c>
      <c r="G281" s="298">
        <f>ROUND([3]Data!K674,2)</f>
        <v>2419.46</v>
      </c>
      <c r="H281" s="298" t="s">
        <v>1715</v>
      </c>
      <c r="I281" s="300"/>
      <c r="J281" s="300"/>
      <c r="K281" s="270"/>
      <c r="L281" s="301"/>
      <c r="M281" s="270"/>
      <c r="N281" s="270"/>
      <c r="O281" s="270"/>
      <c r="P281" s="270"/>
      <c r="Q281" s="270"/>
      <c r="R281" s="270"/>
      <c r="S281" s="270"/>
      <c r="T281" s="301"/>
      <c r="U281" s="270"/>
      <c r="V281" s="240"/>
      <c r="W281" s="238">
        <f t="shared" si="16"/>
        <v>0</v>
      </c>
      <c r="Y281" s="223" t="str">
        <f>'[4]Development - i'!E280</f>
        <v>b. In First floor Precast Jally ventilator 50mm tk.</v>
      </c>
      <c r="Z281" s="223" t="str">
        <f t="shared" si="17"/>
        <v>-----------------------</v>
      </c>
    </row>
    <row r="282" spans="1:26" s="243" customFormat="1">
      <c r="A282" s="305"/>
      <c r="B282" s="306" t="s">
        <v>657</v>
      </c>
      <c r="C282" s="306" t="s">
        <v>657</v>
      </c>
      <c r="D282" s="235" t="str">
        <f t="shared" si="18"/>
        <v xml:space="preserve"> OK</v>
      </c>
      <c r="E282" s="254" t="s">
        <v>1950</v>
      </c>
      <c r="F282" s="254" t="s">
        <v>682</v>
      </c>
      <c r="G282" s="298">
        <f>ROUND([3]Data!K675,2)</f>
        <v>2426.4499999999998</v>
      </c>
      <c r="H282" s="298" t="s">
        <v>1715</v>
      </c>
      <c r="I282" s="300"/>
      <c r="J282" s="300"/>
      <c r="K282" s="270"/>
      <c r="L282" s="301"/>
      <c r="M282" s="270"/>
      <c r="N282" s="270"/>
      <c r="O282" s="270"/>
      <c r="P282" s="270"/>
      <c r="Q282" s="270"/>
      <c r="R282" s="270"/>
      <c r="S282" s="270"/>
      <c r="T282" s="301"/>
      <c r="U282" s="270"/>
      <c r="V282" s="240"/>
      <c r="W282" s="238">
        <f t="shared" si="16"/>
        <v>0</v>
      </c>
      <c r="Y282" s="223" t="str">
        <f>'[4]Development - i'!E281</f>
        <v>c. In Second floor Precast Jally ventilator 50mm tk.</v>
      </c>
      <c r="Z282" s="223" t="str">
        <f t="shared" si="17"/>
        <v>-----------------------</v>
      </c>
    </row>
    <row r="283" spans="1:26" s="243" customFormat="1">
      <c r="A283" s="305"/>
      <c r="B283" s="306" t="s">
        <v>658</v>
      </c>
      <c r="C283" s="306" t="s">
        <v>658</v>
      </c>
      <c r="D283" s="235" t="str">
        <f t="shared" si="18"/>
        <v xml:space="preserve"> OK</v>
      </c>
      <c r="E283" s="254" t="s">
        <v>1951</v>
      </c>
      <c r="F283" s="254" t="s">
        <v>683</v>
      </c>
      <c r="G283" s="298">
        <f>ROUND([3]Data!K676,2)</f>
        <v>2433.44</v>
      </c>
      <c r="H283" s="298" t="s">
        <v>1715</v>
      </c>
      <c r="I283" s="300"/>
      <c r="J283" s="300"/>
      <c r="K283" s="270"/>
      <c r="L283" s="301"/>
      <c r="M283" s="270"/>
      <c r="N283" s="270"/>
      <c r="O283" s="270"/>
      <c r="P283" s="270"/>
      <c r="Q283" s="270"/>
      <c r="R283" s="270"/>
      <c r="S283" s="270"/>
      <c r="T283" s="301"/>
      <c r="U283" s="270"/>
      <c r="V283" s="240"/>
      <c r="W283" s="238">
        <f t="shared" si="16"/>
        <v>0</v>
      </c>
      <c r="Y283" s="223" t="str">
        <f>'[4]Development - i'!E282</f>
        <v>d. In Third floor Precast Jally ventilator 50mm tk.</v>
      </c>
      <c r="Z283" s="223" t="str">
        <f t="shared" si="17"/>
        <v>-----------------------</v>
      </c>
    </row>
    <row r="284" spans="1:26" s="243" customFormat="1">
      <c r="A284" s="318"/>
      <c r="B284" s="306" t="s">
        <v>659</v>
      </c>
      <c r="C284" s="306" t="s">
        <v>659</v>
      </c>
      <c r="D284" s="235" t="str">
        <f t="shared" si="18"/>
        <v xml:space="preserve"> OK</v>
      </c>
      <c r="E284" s="254" t="s">
        <v>1952</v>
      </c>
      <c r="F284" s="254" t="s">
        <v>684</v>
      </c>
      <c r="G284" s="298">
        <f>ROUND([3]Data!K677,2)</f>
        <v>2440.4299999999998</v>
      </c>
      <c r="H284" s="298" t="s">
        <v>1715</v>
      </c>
      <c r="I284" s="300"/>
      <c r="J284" s="300"/>
      <c r="K284" s="270"/>
      <c r="L284" s="301"/>
      <c r="M284" s="270"/>
      <c r="N284" s="270"/>
      <c r="O284" s="270"/>
      <c r="P284" s="270"/>
      <c r="Q284" s="270"/>
      <c r="R284" s="270"/>
      <c r="S284" s="270"/>
      <c r="T284" s="301"/>
      <c r="U284" s="270"/>
      <c r="V284" s="240"/>
      <c r="W284" s="238">
        <f t="shared" si="16"/>
        <v>0</v>
      </c>
      <c r="Y284" s="223" t="str">
        <f>'[4]Development - i'!E283</f>
        <v>e.  In Fourth floor Precast Jally ventilator 50mm tk.</v>
      </c>
      <c r="Z284" s="223" t="str">
        <f t="shared" si="17"/>
        <v>-----------------------</v>
      </c>
    </row>
    <row r="285" spans="1:26" s="241" customFormat="1" ht="87">
      <c r="A285" s="305">
        <v>16.2</v>
      </c>
      <c r="B285" s="306" t="s">
        <v>750</v>
      </c>
      <c r="C285" s="306" t="s">
        <v>750</v>
      </c>
      <c r="D285" s="235" t="str">
        <f t="shared" si="18"/>
        <v xml:space="preserve"> OK</v>
      </c>
      <c r="E285" s="254" t="s">
        <v>750</v>
      </c>
      <c r="F285" s="254" t="s">
        <v>751</v>
      </c>
      <c r="G285" s="298"/>
      <c r="H285" s="298"/>
      <c r="I285" s="300"/>
      <c r="J285" s="300"/>
      <c r="K285" s="270"/>
      <c r="L285" s="301"/>
      <c r="M285" s="270"/>
      <c r="N285" s="270"/>
      <c r="O285" s="270"/>
      <c r="P285" s="270"/>
      <c r="Q285" s="270"/>
      <c r="R285" s="270"/>
      <c r="S285" s="270"/>
      <c r="T285" s="301"/>
      <c r="U285" s="270"/>
      <c r="V285" s="240"/>
      <c r="W285" s="238">
        <f t="shared" si="16"/>
        <v>0</v>
      </c>
      <c r="Y285" s="223" t="str">
        <f>'[4]Development - i'!E284</f>
        <v>Supplying &amp; fixing of Terra cotta jolly (not less than 50mm)</v>
      </c>
      <c r="Z285" s="223" t="str">
        <f t="shared" si="17"/>
        <v>-----------------------</v>
      </c>
    </row>
    <row r="286" spans="1:26" s="241" customFormat="1" ht="46.5">
      <c r="A286" s="306"/>
      <c r="B286" s="306" t="s">
        <v>961</v>
      </c>
      <c r="C286" s="306" t="s">
        <v>961</v>
      </c>
      <c r="D286" s="235" t="str">
        <f t="shared" si="18"/>
        <v xml:space="preserve"> OK</v>
      </c>
      <c r="E286" s="254" t="s">
        <v>1953</v>
      </c>
      <c r="F286" s="254" t="s">
        <v>648</v>
      </c>
      <c r="G286" s="298">
        <f>ROUND([3]Data!K700,2)</f>
        <v>483.11</v>
      </c>
      <c r="H286" s="298" t="s">
        <v>1715</v>
      </c>
      <c r="I286" s="300"/>
      <c r="J286" s="300"/>
      <c r="K286" s="270"/>
      <c r="L286" s="301"/>
      <c r="M286" s="270"/>
      <c r="N286" s="270"/>
      <c r="O286" s="270"/>
      <c r="P286" s="270"/>
      <c r="Q286" s="270"/>
      <c r="R286" s="270"/>
      <c r="S286" s="270"/>
      <c r="T286" s="301"/>
      <c r="U286" s="270"/>
      <c r="V286" s="240"/>
      <c r="W286" s="238">
        <f t="shared" si="16"/>
        <v>0</v>
      </c>
      <c r="Y286" s="223" t="str">
        <f>'[4]Development - i'!E285</f>
        <v>a. In Ground Floor Supplying &amp; fixing of Terra cotta jolly (not less than 50mm)</v>
      </c>
      <c r="Z286" s="223" t="str">
        <f t="shared" si="17"/>
        <v>-----------------------</v>
      </c>
    </row>
    <row r="287" spans="1:26" s="241" customFormat="1" ht="46.5">
      <c r="A287" s="306"/>
      <c r="B287" s="306" t="s">
        <v>672</v>
      </c>
      <c r="C287" s="306" t="s">
        <v>672</v>
      </c>
      <c r="D287" s="235" t="str">
        <f t="shared" si="18"/>
        <v xml:space="preserve"> OK</v>
      </c>
      <c r="E287" s="254" t="s">
        <v>1954</v>
      </c>
      <c r="F287" s="254" t="s">
        <v>649</v>
      </c>
      <c r="G287" s="298">
        <f>ROUND([3]Data!K701,2)</f>
        <v>489.37</v>
      </c>
      <c r="H287" s="298" t="s">
        <v>1715</v>
      </c>
      <c r="I287" s="300"/>
      <c r="J287" s="300"/>
      <c r="K287" s="270"/>
      <c r="L287" s="301"/>
      <c r="M287" s="270"/>
      <c r="N287" s="270"/>
      <c r="O287" s="270"/>
      <c r="P287" s="270"/>
      <c r="Q287" s="270"/>
      <c r="R287" s="270"/>
      <c r="S287" s="270"/>
      <c r="T287" s="301"/>
      <c r="U287" s="270"/>
      <c r="V287" s="240"/>
      <c r="W287" s="238">
        <f t="shared" si="16"/>
        <v>0</v>
      </c>
      <c r="Y287" s="223" t="str">
        <f>'[4]Development - i'!E286</f>
        <v>b. In First Floor Supplying &amp; fixing of Terra cotta jolly (not less than 50mm)</v>
      </c>
      <c r="Z287" s="223" t="str">
        <f t="shared" si="17"/>
        <v>-----------------------</v>
      </c>
    </row>
    <row r="288" spans="1:26" s="241" customFormat="1" ht="46.5">
      <c r="A288" s="306"/>
      <c r="B288" s="306" t="s">
        <v>673</v>
      </c>
      <c r="C288" s="306" t="s">
        <v>673</v>
      </c>
      <c r="D288" s="235" t="str">
        <f t="shared" si="18"/>
        <v xml:space="preserve"> OK</v>
      </c>
      <c r="E288" s="254" t="s">
        <v>1955</v>
      </c>
      <c r="F288" s="254" t="s">
        <v>650</v>
      </c>
      <c r="G288" s="298">
        <f>ROUND([3]Data!K702,2)</f>
        <v>495.63</v>
      </c>
      <c r="H288" s="298" t="s">
        <v>1715</v>
      </c>
      <c r="I288" s="300"/>
      <c r="J288" s="300"/>
      <c r="K288" s="270"/>
      <c r="L288" s="301"/>
      <c r="M288" s="270"/>
      <c r="N288" s="270"/>
      <c r="O288" s="270"/>
      <c r="P288" s="270"/>
      <c r="Q288" s="270"/>
      <c r="R288" s="270"/>
      <c r="S288" s="270"/>
      <c r="T288" s="301"/>
      <c r="U288" s="270"/>
      <c r="V288" s="240"/>
      <c r="W288" s="238">
        <f t="shared" si="16"/>
        <v>0</v>
      </c>
      <c r="Y288" s="223" t="str">
        <f>'[4]Development - i'!E287</f>
        <v>c. In Second Floor Supplying &amp; fixing of Terra cotta jolly (not less than 50mm)</v>
      </c>
      <c r="Z288" s="223" t="str">
        <f t="shared" si="17"/>
        <v>-----------------------</v>
      </c>
    </row>
    <row r="289" spans="1:26" s="241" customFormat="1" ht="46.5">
      <c r="A289" s="306"/>
      <c r="B289" s="306" t="s">
        <v>674</v>
      </c>
      <c r="C289" s="306" t="s">
        <v>674</v>
      </c>
      <c r="D289" s="235" t="str">
        <f t="shared" si="18"/>
        <v xml:space="preserve"> OK</v>
      </c>
      <c r="E289" s="254" t="s">
        <v>1956</v>
      </c>
      <c r="F289" s="254" t="s">
        <v>651</v>
      </c>
      <c r="G289" s="298">
        <f>ROUND([3]Data!K703,2)</f>
        <v>501.89</v>
      </c>
      <c r="H289" s="298" t="s">
        <v>1715</v>
      </c>
      <c r="I289" s="300"/>
      <c r="J289" s="300"/>
      <c r="K289" s="270"/>
      <c r="L289" s="301"/>
      <c r="M289" s="270"/>
      <c r="N289" s="270"/>
      <c r="O289" s="270"/>
      <c r="P289" s="270"/>
      <c r="Q289" s="270"/>
      <c r="R289" s="270"/>
      <c r="S289" s="270"/>
      <c r="T289" s="301"/>
      <c r="U289" s="270"/>
      <c r="V289" s="240"/>
      <c r="W289" s="238">
        <f t="shared" si="16"/>
        <v>0</v>
      </c>
      <c r="Y289" s="223" t="str">
        <f>'[4]Development - i'!E288</f>
        <v>d. In Third Floor Supplying &amp; fixing of Terra cotta jolly (not less than 50mm)</v>
      </c>
      <c r="Z289" s="223" t="str">
        <f t="shared" si="17"/>
        <v>-----------------------</v>
      </c>
    </row>
    <row r="290" spans="1:26" s="241" customFormat="1" ht="46.5">
      <c r="A290" s="326"/>
      <c r="B290" s="306" t="s">
        <v>675</v>
      </c>
      <c r="C290" s="306" t="s">
        <v>675</v>
      </c>
      <c r="D290" s="235" t="str">
        <f t="shared" si="18"/>
        <v xml:space="preserve"> OK</v>
      </c>
      <c r="E290" s="254" t="s">
        <v>1957</v>
      </c>
      <c r="F290" s="254" t="s">
        <v>652</v>
      </c>
      <c r="G290" s="298">
        <f>ROUND([3]Data!K704,2)</f>
        <v>508.15</v>
      </c>
      <c r="H290" s="298" t="s">
        <v>1715</v>
      </c>
      <c r="I290" s="300"/>
      <c r="J290" s="300"/>
      <c r="K290" s="270"/>
      <c r="L290" s="301"/>
      <c r="M290" s="270"/>
      <c r="N290" s="270"/>
      <c r="O290" s="270"/>
      <c r="P290" s="270"/>
      <c r="Q290" s="270"/>
      <c r="R290" s="270"/>
      <c r="S290" s="270"/>
      <c r="T290" s="301"/>
      <c r="U290" s="270"/>
      <c r="V290" s="240"/>
      <c r="W290" s="238">
        <f t="shared" si="16"/>
        <v>0</v>
      </c>
      <c r="Y290" s="223" t="str">
        <f>'[4]Development - i'!E289</f>
        <v>e. In Fourth Floor Supplying &amp; fixing of Terra cotta jolly (not less than 50mm)</v>
      </c>
      <c r="Z290" s="223" t="str">
        <f t="shared" si="17"/>
        <v>-----------------------</v>
      </c>
    </row>
    <row r="291" spans="1:26" s="241" customFormat="1" ht="87">
      <c r="A291" s="305">
        <v>16.3</v>
      </c>
      <c r="B291" s="306" t="s">
        <v>752</v>
      </c>
      <c r="C291" s="306" t="s">
        <v>752</v>
      </c>
      <c r="D291" s="235" t="str">
        <f t="shared" si="18"/>
        <v xml:space="preserve"> OK</v>
      </c>
      <c r="E291" s="254" t="s">
        <v>752</v>
      </c>
      <c r="F291" s="254" t="s">
        <v>753</v>
      </c>
      <c r="G291" s="298"/>
      <c r="H291" s="298"/>
      <c r="I291" s="300"/>
      <c r="J291" s="300"/>
      <c r="K291" s="270"/>
      <c r="L291" s="301"/>
      <c r="M291" s="270"/>
      <c r="N291" s="270"/>
      <c r="O291" s="270"/>
      <c r="P291" s="270"/>
      <c r="Q291" s="270"/>
      <c r="R291" s="270"/>
      <c r="S291" s="270"/>
      <c r="T291" s="301"/>
      <c r="U291" s="270"/>
      <c r="V291" s="240"/>
      <c r="W291" s="238">
        <f t="shared" si="16"/>
        <v>0</v>
      </c>
      <c r="Y291" s="223" t="str">
        <f>'[4]Development - i'!E290</f>
        <v>Supplying &amp; fixing of Terra cotta jolly (more than  50mm  upto 110 mm)</v>
      </c>
      <c r="Z291" s="223" t="str">
        <f t="shared" si="17"/>
        <v>-----------------------</v>
      </c>
    </row>
    <row r="292" spans="1:26" s="241" customFormat="1" ht="46.5">
      <c r="A292" s="305"/>
      <c r="B292" s="306" t="s">
        <v>961</v>
      </c>
      <c r="C292" s="306" t="s">
        <v>961</v>
      </c>
      <c r="D292" s="235" t="str">
        <f t="shared" si="18"/>
        <v xml:space="preserve"> OK</v>
      </c>
      <c r="E292" s="254" t="s">
        <v>1958</v>
      </c>
      <c r="F292" s="254" t="s">
        <v>648</v>
      </c>
      <c r="G292" s="298">
        <f>ROUND([3]Data!K720,2)</f>
        <v>656.84</v>
      </c>
      <c r="H292" s="298" t="s">
        <v>1715</v>
      </c>
      <c r="I292" s="300"/>
      <c r="J292" s="300"/>
      <c r="K292" s="270"/>
      <c r="L292" s="301"/>
      <c r="M292" s="270"/>
      <c r="N292" s="270"/>
      <c r="O292" s="270"/>
      <c r="P292" s="270"/>
      <c r="Q292" s="270"/>
      <c r="R292" s="270"/>
      <c r="S292" s="270"/>
      <c r="T292" s="301"/>
      <c r="U292" s="270"/>
      <c r="V292" s="240"/>
      <c r="W292" s="238">
        <f t="shared" si="16"/>
        <v>0</v>
      </c>
      <c r="Y292" s="223" t="str">
        <f>'[4]Development - i'!E291</f>
        <v>a. In Ground Floor Supplying &amp; fixing of Terra cotta jolly (more than  50mm  upto 110 mm)</v>
      </c>
      <c r="Z292" s="223" t="str">
        <f t="shared" si="17"/>
        <v>-----------------------</v>
      </c>
    </row>
    <row r="293" spans="1:26" s="241" customFormat="1" ht="46.5">
      <c r="A293" s="305"/>
      <c r="B293" s="306" t="s">
        <v>672</v>
      </c>
      <c r="C293" s="306" t="s">
        <v>672</v>
      </c>
      <c r="D293" s="235" t="str">
        <f t="shared" si="18"/>
        <v xml:space="preserve"> OK</v>
      </c>
      <c r="E293" s="254" t="s">
        <v>1959</v>
      </c>
      <c r="F293" s="254" t="s">
        <v>649</v>
      </c>
      <c r="G293" s="298">
        <f>ROUND([3]Data!K721,2)</f>
        <v>670.62</v>
      </c>
      <c r="H293" s="298" t="s">
        <v>1715</v>
      </c>
      <c r="I293" s="300"/>
      <c r="J293" s="300"/>
      <c r="K293" s="270"/>
      <c r="L293" s="301"/>
      <c r="M293" s="270"/>
      <c r="N293" s="270"/>
      <c r="O293" s="270"/>
      <c r="P293" s="270"/>
      <c r="Q293" s="270"/>
      <c r="R293" s="270"/>
      <c r="S293" s="270"/>
      <c r="T293" s="301"/>
      <c r="U293" s="270"/>
      <c r="V293" s="240"/>
      <c r="W293" s="238">
        <f t="shared" si="16"/>
        <v>0</v>
      </c>
      <c r="Y293" s="223" t="str">
        <f>'[4]Development - i'!E292</f>
        <v>b. In First Floor Supplying &amp; fixing of Terra cotta jolly (more than  50mm  upto 110 mm)</v>
      </c>
      <c r="Z293" s="223" t="str">
        <f t="shared" si="17"/>
        <v>-----------------------</v>
      </c>
    </row>
    <row r="294" spans="1:26" s="241" customFormat="1" ht="46.5">
      <c r="A294" s="305"/>
      <c r="B294" s="306" t="s">
        <v>673</v>
      </c>
      <c r="C294" s="306" t="s">
        <v>673</v>
      </c>
      <c r="D294" s="235" t="str">
        <f t="shared" si="18"/>
        <v xml:space="preserve"> OK</v>
      </c>
      <c r="E294" s="254" t="s">
        <v>1960</v>
      </c>
      <c r="F294" s="254" t="s">
        <v>650</v>
      </c>
      <c r="G294" s="298">
        <f>ROUND([3]Data!K722,2)</f>
        <v>684.4</v>
      </c>
      <c r="H294" s="298" t="s">
        <v>1715</v>
      </c>
      <c r="I294" s="300"/>
      <c r="J294" s="300"/>
      <c r="K294" s="270"/>
      <c r="L294" s="301"/>
      <c r="M294" s="270"/>
      <c r="N294" s="270"/>
      <c r="O294" s="270"/>
      <c r="P294" s="270"/>
      <c r="Q294" s="270"/>
      <c r="R294" s="270"/>
      <c r="S294" s="270"/>
      <c r="T294" s="301"/>
      <c r="U294" s="270"/>
      <c r="V294" s="240"/>
      <c r="W294" s="238">
        <f t="shared" si="16"/>
        <v>0</v>
      </c>
      <c r="Y294" s="223" t="str">
        <f>'[4]Development - i'!E293</f>
        <v>c. In Second Floor Supplying &amp; fixing of Terra cotta jolly (more than  50mm  upto 110 mm)</v>
      </c>
      <c r="Z294" s="223" t="str">
        <f t="shared" si="17"/>
        <v>-----------------------</v>
      </c>
    </row>
    <row r="295" spans="1:26" s="241" customFormat="1" ht="46.5">
      <c r="A295" s="306"/>
      <c r="B295" s="306" t="s">
        <v>674</v>
      </c>
      <c r="C295" s="306" t="s">
        <v>674</v>
      </c>
      <c r="D295" s="235" t="str">
        <f t="shared" si="18"/>
        <v xml:space="preserve"> OK</v>
      </c>
      <c r="E295" s="254" t="s">
        <v>1961</v>
      </c>
      <c r="F295" s="254" t="s">
        <v>651</v>
      </c>
      <c r="G295" s="298">
        <f>ROUND([3]Data!K723,2)</f>
        <v>698.18</v>
      </c>
      <c r="H295" s="298" t="s">
        <v>1715</v>
      </c>
      <c r="I295" s="300"/>
      <c r="J295" s="300"/>
      <c r="K295" s="270"/>
      <c r="L295" s="301"/>
      <c r="M295" s="270"/>
      <c r="N295" s="270"/>
      <c r="O295" s="270"/>
      <c r="P295" s="270"/>
      <c r="Q295" s="270"/>
      <c r="R295" s="270"/>
      <c r="S295" s="270"/>
      <c r="T295" s="301"/>
      <c r="U295" s="270"/>
      <c r="V295" s="240"/>
      <c r="W295" s="238">
        <f t="shared" si="16"/>
        <v>0</v>
      </c>
      <c r="Y295" s="223" t="str">
        <f>'[4]Development - i'!E294</f>
        <v>d. In Third Floor Supplying &amp; fixing of Terra cotta jolly (more than  50mm  upto 110 mm)</v>
      </c>
      <c r="Z295" s="223" t="str">
        <f t="shared" si="17"/>
        <v>-----------------------</v>
      </c>
    </row>
    <row r="296" spans="1:26" s="241" customFormat="1" ht="46.5">
      <c r="A296" s="326"/>
      <c r="B296" s="306" t="s">
        <v>675</v>
      </c>
      <c r="C296" s="306" t="s">
        <v>675</v>
      </c>
      <c r="D296" s="235" t="str">
        <f t="shared" si="18"/>
        <v xml:space="preserve"> OK</v>
      </c>
      <c r="E296" s="254" t="s">
        <v>1962</v>
      </c>
      <c r="F296" s="254" t="s">
        <v>652</v>
      </c>
      <c r="G296" s="298">
        <f>ROUND([3]Data!K724,2)</f>
        <v>711.96</v>
      </c>
      <c r="H296" s="298" t="s">
        <v>1715</v>
      </c>
      <c r="I296" s="300"/>
      <c r="J296" s="300"/>
      <c r="K296" s="270"/>
      <c r="L296" s="301"/>
      <c r="M296" s="270"/>
      <c r="N296" s="270"/>
      <c r="O296" s="270"/>
      <c r="P296" s="270"/>
      <c r="Q296" s="270"/>
      <c r="R296" s="270"/>
      <c r="S296" s="270"/>
      <c r="T296" s="301"/>
      <c r="U296" s="270"/>
      <c r="V296" s="240"/>
      <c r="W296" s="238">
        <f t="shared" si="16"/>
        <v>0</v>
      </c>
      <c r="Y296" s="223" t="str">
        <f>'[4]Development - i'!E295</f>
        <v>e. In Fourth Floor Supplying &amp; fixing of Terra cotta jolly (more than  50mm  upto 110 mm)</v>
      </c>
      <c r="Z296" s="223" t="str">
        <f t="shared" si="17"/>
        <v>-----------------------</v>
      </c>
    </row>
    <row r="297" spans="1:26" s="241" customFormat="1">
      <c r="A297" s="305">
        <v>17</v>
      </c>
      <c r="B297" s="306" t="s">
        <v>1963</v>
      </c>
      <c r="C297" s="306" t="s">
        <v>754</v>
      </c>
      <c r="D297" s="235" t="str">
        <f t="shared" si="18"/>
        <v xml:space="preserve"> OK</v>
      </c>
      <c r="E297" s="254" t="s">
        <v>1964</v>
      </c>
      <c r="F297" s="254">
        <v>0</v>
      </c>
      <c r="G297" s="298"/>
      <c r="H297" s="298" t="s">
        <v>1715</v>
      </c>
      <c r="I297" s="300"/>
      <c r="J297" s="300"/>
      <c r="K297" s="270"/>
      <c r="L297" s="301"/>
      <c r="M297" s="270"/>
      <c r="N297" s="270"/>
      <c r="O297" s="270"/>
      <c r="P297" s="270"/>
      <c r="Q297" s="270"/>
      <c r="R297" s="270"/>
      <c r="S297" s="270"/>
      <c r="T297" s="301"/>
      <c r="U297" s="270"/>
      <c r="V297" s="240"/>
      <c r="W297" s="238">
        <f t="shared" si="16"/>
        <v>0</v>
      </c>
      <c r="Y297" s="223" t="str">
        <f>'[4]Development - i'!E296</f>
        <v>Form work- Lintel (C.W. planks)</v>
      </c>
      <c r="Z297" s="223" t="str">
        <f t="shared" si="17"/>
        <v>-----------------------</v>
      </c>
    </row>
    <row r="298" spans="1:26" s="241" customFormat="1">
      <c r="A298" s="305">
        <v>18</v>
      </c>
      <c r="B298" s="306" t="s">
        <v>1965</v>
      </c>
      <c r="C298" s="306" t="s">
        <v>755</v>
      </c>
      <c r="D298" s="235" t="str">
        <f t="shared" si="18"/>
        <v xml:space="preserve"> OK</v>
      </c>
      <c r="E298" s="254" t="s">
        <v>1966</v>
      </c>
      <c r="F298" s="254">
        <v>0</v>
      </c>
      <c r="G298" s="298"/>
      <c r="H298" s="298" t="s">
        <v>1715</v>
      </c>
      <c r="I298" s="300"/>
      <c r="J298" s="300"/>
      <c r="K298" s="270"/>
      <c r="L298" s="301"/>
      <c r="M298" s="270"/>
      <c r="N298" s="270"/>
      <c r="O298" s="270"/>
      <c r="P298" s="270"/>
      <c r="Q298" s="270"/>
      <c r="R298" s="270"/>
      <c r="S298" s="270"/>
      <c r="T298" s="301"/>
      <c r="U298" s="270"/>
      <c r="V298" s="240"/>
      <c r="W298" s="238">
        <f t="shared" si="16"/>
        <v>0</v>
      </c>
      <c r="Y298" s="223" t="str">
        <f>'[4]Development - i'!E297</f>
        <v>Form work - M.S. Sheet (slab)</v>
      </c>
      <c r="Z298" s="223" t="str">
        <f t="shared" si="17"/>
        <v>-----------------------</v>
      </c>
    </row>
    <row r="299" spans="1:26" s="241" customFormat="1">
      <c r="A299" s="305">
        <v>19</v>
      </c>
      <c r="B299" s="306" t="s">
        <v>1967</v>
      </c>
      <c r="C299" s="306" t="s">
        <v>756</v>
      </c>
      <c r="D299" s="235" t="str">
        <f t="shared" si="18"/>
        <v xml:space="preserve"> OK</v>
      </c>
      <c r="E299" s="254" t="s">
        <v>1968</v>
      </c>
      <c r="F299" s="254">
        <v>0</v>
      </c>
      <c r="G299" s="298"/>
      <c r="H299" s="298" t="s">
        <v>1715</v>
      </c>
      <c r="I299" s="300"/>
      <c r="J299" s="300"/>
      <c r="K299" s="270"/>
      <c r="L299" s="301"/>
      <c r="M299" s="270"/>
      <c r="N299" s="270"/>
      <c r="O299" s="270"/>
      <c r="P299" s="270"/>
      <c r="Q299" s="270"/>
      <c r="R299" s="270"/>
      <c r="S299" s="270"/>
      <c r="T299" s="301"/>
      <c r="U299" s="270"/>
      <c r="V299" s="240"/>
      <c r="W299" s="238">
        <f t="shared" si="16"/>
        <v>0</v>
      </c>
      <c r="Y299" s="223" t="str">
        <f>'[4]Development - i'!E298</f>
        <v>Form work - Small quantities  (M.S. Sheet)</v>
      </c>
      <c r="Z299" s="223" t="str">
        <f t="shared" si="17"/>
        <v>-----------------------</v>
      </c>
    </row>
    <row r="300" spans="1:26" s="241" customFormat="1">
      <c r="A300" s="305">
        <v>20</v>
      </c>
      <c r="B300" s="306" t="s">
        <v>757</v>
      </c>
      <c r="C300" s="306" t="s">
        <v>757</v>
      </c>
      <c r="D300" s="235" t="str">
        <f t="shared" si="18"/>
        <v xml:space="preserve"> OK</v>
      </c>
      <c r="E300" s="254" t="s">
        <v>757</v>
      </c>
      <c r="F300" s="254">
        <v>0</v>
      </c>
      <c r="G300" s="298"/>
      <c r="H300" s="298" t="s">
        <v>1715</v>
      </c>
      <c r="I300" s="300"/>
      <c r="J300" s="300"/>
      <c r="K300" s="270"/>
      <c r="L300" s="301"/>
      <c r="M300" s="270"/>
      <c r="N300" s="270"/>
      <c r="O300" s="270"/>
      <c r="P300" s="270"/>
      <c r="Q300" s="270"/>
      <c r="R300" s="270"/>
      <c r="S300" s="270"/>
      <c r="T300" s="301"/>
      <c r="U300" s="270"/>
      <c r="V300" s="240"/>
      <c r="W300" s="238">
        <f t="shared" si="16"/>
        <v>0</v>
      </c>
      <c r="Y300" s="223" t="str">
        <f>'[4]Development - i'!E299</f>
        <v>Form work - Plinth beam (C.W. planks)</v>
      </c>
      <c r="Z300" s="223" t="str">
        <f t="shared" si="17"/>
        <v>-----------------------</v>
      </c>
    </row>
    <row r="301" spans="1:26" s="241" customFormat="1">
      <c r="A301" s="305">
        <v>21.1</v>
      </c>
      <c r="B301" s="314" t="s">
        <v>758</v>
      </c>
      <c r="C301" s="314" t="s">
        <v>758</v>
      </c>
      <c r="D301" s="235" t="str">
        <f t="shared" si="18"/>
        <v xml:space="preserve"> OK</v>
      </c>
      <c r="E301" s="254" t="s">
        <v>758</v>
      </c>
      <c r="F301" s="254">
        <v>0</v>
      </c>
      <c r="G301" s="298"/>
      <c r="H301" s="298"/>
      <c r="I301" s="300"/>
      <c r="J301" s="300"/>
      <c r="K301" s="270"/>
      <c r="L301" s="301"/>
      <c r="M301" s="270"/>
      <c r="N301" s="270"/>
      <c r="O301" s="270"/>
      <c r="P301" s="270"/>
      <c r="Q301" s="270"/>
      <c r="R301" s="270"/>
      <c r="S301" s="270"/>
      <c r="T301" s="301"/>
      <c r="U301" s="270"/>
      <c r="V301" s="240"/>
      <c r="W301" s="238">
        <f t="shared" si="16"/>
        <v>0</v>
      </c>
      <c r="Y301" s="223" t="str">
        <f>'[4]Development - i'!E300</f>
        <v>R.C.C.Door frame</v>
      </c>
      <c r="Z301" s="223" t="str">
        <f t="shared" si="17"/>
        <v>-----------------------</v>
      </c>
    </row>
    <row r="302" spans="1:26" s="241" customFormat="1">
      <c r="A302" s="305"/>
      <c r="B302" s="306" t="s">
        <v>759</v>
      </c>
      <c r="C302" s="306" t="s">
        <v>759</v>
      </c>
      <c r="D302" s="235" t="str">
        <f t="shared" si="18"/>
        <v xml:space="preserve"> OK</v>
      </c>
      <c r="E302" s="254" t="s">
        <v>759</v>
      </c>
      <c r="F302" s="254">
        <v>0</v>
      </c>
      <c r="G302" s="298">
        <f>ROUND([3]Data!K903,2)</f>
        <v>2273.63</v>
      </c>
      <c r="H302" s="298" t="s">
        <v>556</v>
      </c>
      <c r="I302" s="300"/>
      <c r="J302" s="300"/>
      <c r="K302" s="270"/>
      <c r="L302" s="301"/>
      <c r="M302" s="270"/>
      <c r="N302" s="270"/>
      <c r="O302" s="270"/>
      <c r="P302" s="270"/>
      <c r="Q302" s="270"/>
      <c r="R302" s="270"/>
      <c r="S302" s="270"/>
      <c r="T302" s="301"/>
      <c r="U302" s="270"/>
      <c r="V302" s="240"/>
      <c r="W302" s="238">
        <f t="shared" ref="W302:W365" si="19">ROUND(G303,2)*ROUND(V302,2)</f>
        <v>0</v>
      </c>
      <c r="Y302" s="223" t="str">
        <f>'[4]Development - i'!E301</f>
        <v>a. 900 x 2100 mm</v>
      </c>
      <c r="Z302" s="223" t="str">
        <f t="shared" si="17"/>
        <v>-----------------------</v>
      </c>
    </row>
    <row r="303" spans="1:26" s="241" customFormat="1">
      <c r="A303" s="305"/>
      <c r="B303" s="306" t="s">
        <v>760</v>
      </c>
      <c r="C303" s="306" t="s">
        <v>760</v>
      </c>
      <c r="D303" s="235" t="str">
        <f t="shared" si="18"/>
        <v xml:space="preserve"> OK</v>
      </c>
      <c r="E303" s="254" t="s">
        <v>760</v>
      </c>
      <c r="F303" s="254">
        <v>0</v>
      </c>
      <c r="G303" s="298">
        <f>ROUND([3]Data!K919,2)</f>
        <v>2243.25</v>
      </c>
      <c r="H303" s="298" t="s">
        <v>556</v>
      </c>
      <c r="I303" s="300"/>
      <c r="J303" s="300"/>
      <c r="K303" s="270"/>
      <c r="L303" s="301"/>
      <c r="M303" s="270"/>
      <c r="N303" s="270"/>
      <c r="O303" s="270"/>
      <c r="P303" s="270"/>
      <c r="Q303" s="270"/>
      <c r="R303" s="270"/>
      <c r="S303" s="270"/>
      <c r="T303" s="301"/>
      <c r="U303" s="270"/>
      <c r="V303" s="240"/>
      <c r="W303" s="238">
        <f t="shared" si="19"/>
        <v>0</v>
      </c>
      <c r="Y303" s="223" t="str">
        <f>'[4]Development - i'!E302</f>
        <v>b. 700 x 2100 mm</v>
      </c>
      <c r="Z303" s="223" t="str">
        <f t="shared" si="17"/>
        <v>-----------------------</v>
      </c>
    </row>
    <row r="304" spans="1:26" s="241" customFormat="1">
      <c r="A304" s="319"/>
      <c r="B304" s="306" t="s">
        <v>761</v>
      </c>
      <c r="C304" s="306" t="s">
        <v>761</v>
      </c>
      <c r="D304" s="235" t="str">
        <f t="shared" si="18"/>
        <v xml:space="preserve"> OK</v>
      </c>
      <c r="E304" s="254" t="s">
        <v>761</v>
      </c>
      <c r="F304" s="254">
        <v>0</v>
      </c>
      <c r="G304" s="298">
        <f>ROUND([3]Data!K885,2)</f>
        <v>2291.41</v>
      </c>
      <c r="H304" s="298" t="s">
        <v>556</v>
      </c>
      <c r="I304" s="300"/>
      <c r="J304" s="300"/>
      <c r="K304" s="270"/>
      <c r="L304" s="301"/>
      <c r="M304" s="270"/>
      <c r="N304" s="270"/>
      <c r="O304" s="270"/>
      <c r="P304" s="270"/>
      <c r="Q304" s="270"/>
      <c r="R304" s="270"/>
      <c r="S304" s="270"/>
      <c r="T304" s="301"/>
      <c r="U304" s="270"/>
      <c r="V304" s="240"/>
      <c r="W304" s="238">
        <f t="shared" si="19"/>
        <v>0</v>
      </c>
      <c r="Y304" s="223" t="str">
        <f>'[4]Development - i'!E303</f>
        <v>c. 1000 x 2100 mm</v>
      </c>
      <c r="Z304" s="223" t="str">
        <f t="shared" si="17"/>
        <v>-----------------------</v>
      </c>
    </row>
    <row r="305" spans="1:26" s="239" customFormat="1" ht="87">
      <c r="A305" s="320">
        <v>21.2</v>
      </c>
      <c r="B305" s="316" t="s">
        <v>363</v>
      </c>
      <c r="C305" s="316" t="s">
        <v>363</v>
      </c>
      <c r="D305" s="235" t="str">
        <f t="shared" si="18"/>
        <v xml:space="preserve"> OK</v>
      </c>
      <c r="E305" s="254" t="s">
        <v>363</v>
      </c>
      <c r="F305" s="254" t="s">
        <v>762</v>
      </c>
      <c r="G305" s="298"/>
      <c r="H305" s="298"/>
      <c r="I305" s="300"/>
      <c r="J305" s="300"/>
      <c r="K305" s="270"/>
      <c r="L305" s="301"/>
      <c r="M305" s="270"/>
      <c r="N305" s="270"/>
      <c r="O305" s="270"/>
      <c r="P305" s="270"/>
      <c r="Q305" s="270"/>
      <c r="R305" s="270"/>
      <c r="S305" s="270"/>
      <c r="T305" s="301"/>
      <c r="U305" s="270"/>
      <c r="V305" s="240"/>
      <c r="W305" s="238">
        <f t="shared" si="19"/>
        <v>0</v>
      </c>
      <c r="Y305" s="223" t="str">
        <f>'[4]Development - i'!E304</f>
        <v>Teak wood Wrought &amp; Put up</v>
      </c>
      <c r="Z305" s="223" t="str">
        <f t="shared" si="17"/>
        <v>-----------------------</v>
      </c>
    </row>
    <row r="306" spans="1:26" s="239" customFormat="1" ht="43.5">
      <c r="A306" s="320"/>
      <c r="B306" s="290" t="s">
        <v>364</v>
      </c>
      <c r="C306" s="290" t="s">
        <v>364</v>
      </c>
      <c r="D306" s="235" t="str">
        <f t="shared" si="18"/>
        <v xml:space="preserve"> OK</v>
      </c>
      <c r="E306" s="254" t="s">
        <v>364</v>
      </c>
      <c r="F306" s="254" t="s">
        <v>763</v>
      </c>
      <c r="G306" s="298">
        <f>ROUND([3]Data!K937,2)</f>
        <v>122388.75</v>
      </c>
      <c r="H306" s="298" t="s">
        <v>1679</v>
      </c>
      <c r="I306" s="339"/>
      <c r="J306" s="300"/>
      <c r="K306" s="301"/>
      <c r="L306" s="301"/>
      <c r="M306" s="270"/>
      <c r="N306" s="270"/>
      <c r="O306" s="270"/>
      <c r="P306" s="270"/>
      <c r="Q306" s="270"/>
      <c r="R306" s="270"/>
      <c r="S306" s="270"/>
      <c r="T306" s="301"/>
      <c r="U306" s="270"/>
      <c r="V306" s="240"/>
      <c r="W306" s="238">
        <f t="shared" si="19"/>
        <v>0</v>
      </c>
      <c r="Y306" s="223" t="str">
        <f>'[4]Development - i'!E305</f>
        <v>a. T.W. over 2 m &amp; below 3 m</v>
      </c>
      <c r="Z306" s="223" t="str">
        <f t="shared" si="17"/>
        <v>-----------------------</v>
      </c>
    </row>
    <row r="307" spans="1:26" s="239" customFormat="1" ht="65.25">
      <c r="A307" s="323"/>
      <c r="B307" s="290" t="s">
        <v>369</v>
      </c>
      <c r="C307" s="290" t="s">
        <v>369</v>
      </c>
      <c r="D307" s="235" t="str">
        <f t="shared" si="18"/>
        <v xml:space="preserve"> OK</v>
      </c>
      <c r="E307" s="254" t="s">
        <v>369</v>
      </c>
      <c r="F307" s="254" t="s">
        <v>764</v>
      </c>
      <c r="G307" s="298">
        <f>ROUND([3]Data!K944,2)</f>
        <v>110188.75</v>
      </c>
      <c r="H307" s="298" t="s">
        <v>1679</v>
      </c>
      <c r="I307" s="339"/>
      <c r="J307" s="300"/>
      <c r="K307" s="301"/>
      <c r="L307" s="301"/>
      <c r="M307" s="270"/>
      <c r="N307" s="270"/>
      <c r="O307" s="270"/>
      <c r="P307" s="270"/>
      <c r="Q307" s="270"/>
      <c r="R307" s="270"/>
      <c r="S307" s="270"/>
      <c r="T307" s="301"/>
      <c r="U307" s="270"/>
      <c r="V307" s="240"/>
      <c r="W307" s="238">
        <f t="shared" si="19"/>
        <v>0</v>
      </c>
      <c r="Y307" s="223" t="str">
        <f>'[4]Development - i'!E306</f>
        <v>b. T.W. below 2 m length.</v>
      </c>
      <c r="Z307" s="223" t="str">
        <f t="shared" si="17"/>
        <v>-----------------------</v>
      </c>
    </row>
    <row r="308" spans="1:26" s="241" customFormat="1" ht="217.5">
      <c r="A308" s="309">
        <v>21.3</v>
      </c>
      <c r="B308" s="310" t="s">
        <v>765</v>
      </c>
      <c r="C308" s="310" t="s">
        <v>765</v>
      </c>
      <c r="D308" s="235" t="str">
        <f t="shared" si="18"/>
        <v xml:space="preserve"> OK</v>
      </c>
      <c r="E308" s="254" t="s">
        <v>765</v>
      </c>
      <c r="F308" s="254" t="s">
        <v>766</v>
      </c>
      <c r="G308" s="298">
        <f>ROUND([3]Data!K926,2)</f>
        <v>2828</v>
      </c>
      <c r="H308" s="298" t="s">
        <v>1715</v>
      </c>
      <c r="I308" s="300"/>
      <c r="J308" s="300"/>
      <c r="K308" s="270"/>
      <c r="L308" s="301"/>
      <c r="M308" s="270"/>
      <c r="N308" s="270"/>
      <c r="O308" s="270"/>
      <c r="P308" s="270"/>
      <c r="Q308" s="270"/>
      <c r="R308" s="270"/>
      <c r="S308" s="270"/>
      <c r="T308" s="301"/>
      <c r="U308" s="270"/>
      <c r="V308" s="240"/>
      <c r="W308" s="238">
        <f t="shared" si="19"/>
        <v>0</v>
      </c>
      <c r="Y308" s="223" t="str">
        <f>'[4]Development - i'!E307</f>
        <v xml:space="preserve">PVC Door frame &amp; shutter  </v>
      </c>
      <c r="Z308" s="223" t="str">
        <f t="shared" si="17"/>
        <v>ERRR</v>
      </c>
    </row>
    <row r="309" spans="1:26" s="241" customFormat="1">
      <c r="A309" s="305">
        <v>22.1</v>
      </c>
      <c r="B309" s="306" t="s">
        <v>767</v>
      </c>
      <c r="C309" s="306" t="s">
        <v>767</v>
      </c>
      <c r="D309" s="235" t="str">
        <f t="shared" si="18"/>
        <v xml:space="preserve"> OK</v>
      </c>
      <c r="E309" s="254" t="s">
        <v>767</v>
      </c>
      <c r="F309" s="254">
        <v>0</v>
      </c>
      <c r="G309" s="298"/>
      <c r="H309" s="298"/>
      <c r="I309" s="300"/>
      <c r="J309" s="300"/>
      <c r="K309" s="270"/>
      <c r="L309" s="301"/>
      <c r="M309" s="270"/>
      <c r="N309" s="270"/>
      <c r="O309" s="270"/>
      <c r="P309" s="270"/>
      <c r="Q309" s="270"/>
      <c r="R309" s="270"/>
      <c r="S309" s="270"/>
      <c r="T309" s="301"/>
      <c r="U309" s="270"/>
      <c r="V309" s="240"/>
      <c r="W309" s="238">
        <f t="shared" si="19"/>
        <v>0</v>
      </c>
      <c r="Y309" s="223" t="str">
        <f>'[4]Development - i'!E308</f>
        <v>Teak wood panelled door shutters</v>
      </c>
      <c r="Z309" s="223" t="str">
        <f t="shared" si="17"/>
        <v>-----------------------</v>
      </c>
    </row>
    <row r="310" spans="1:26" s="241" customFormat="1">
      <c r="A310" s="306"/>
      <c r="B310" s="306" t="s">
        <v>768</v>
      </c>
      <c r="C310" s="306" t="s">
        <v>768</v>
      </c>
      <c r="D310" s="235" t="str">
        <f t="shared" si="18"/>
        <v xml:space="preserve"> OK</v>
      </c>
      <c r="E310" s="254" t="s">
        <v>1969</v>
      </c>
      <c r="F310" s="254" t="s">
        <v>768</v>
      </c>
      <c r="G310" s="298">
        <f>ROUND([3]Data!K978,2)</f>
        <v>4590.84</v>
      </c>
      <c r="H310" s="298" t="s">
        <v>1715</v>
      </c>
      <c r="I310" s="300"/>
      <c r="J310" s="300"/>
      <c r="K310" s="270"/>
      <c r="L310" s="301"/>
      <c r="M310" s="270"/>
      <c r="N310" s="270"/>
      <c r="O310" s="270"/>
      <c r="P310" s="270"/>
      <c r="Q310" s="270"/>
      <c r="R310" s="270"/>
      <c r="S310" s="270"/>
      <c r="T310" s="301"/>
      <c r="U310" s="270"/>
      <c r="V310" s="240"/>
      <c r="W310" s="238">
        <f t="shared" si="19"/>
        <v>0</v>
      </c>
      <c r="Y310" s="223" t="str">
        <f>'[4]Development - i'!E309</f>
        <v>a. 1000 x 2100 mm Teak wood panelled door shutters</v>
      </c>
      <c r="Z310" s="223" t="str">
        <f t="shared" si="17"/>
        <v>-----------------------</v>
      </c>
    </row>
    <row r="311" spans="1:26" s="241" customFormat="1">
      <c r="A311" s="306"/>
      <c r="B311" s="306" t="s">
        <v>769</v>
      </c>
      <c r="C311" s="306" t="s">
        <v>769</v>
      </c>
      <c r="D311" s="235" t="str">
        <f t="shared" si="18"/>
        <v xml:space="preserve"> OK</v>
      </c>
      <c r="E311" s="254" t="s">
        <v>1970</v>
      </c>
      <c r="F311" s="254" t="s">
        <v>769</v>
      </c>
      <c r="G311" s="298">
        <f>ROUND([3]Data!K1014,2)</f>
        <v>4672.99</v>
      </c>
      <c r="H311" s="298" t="s">
        <v>1715</v>
      </c>
      <c r="I311" s="300"/>
      <c r="J311" s="300"/>
      <c r="K311" s="270"/>
      <c r="L311" s="301"/>
      <c r="M311" s="270"/>
      <c r="N311" s="270"/>
      <c r="O311" s="270"/>
      <c r="P311" s="270"/>
      <c r="Q311" s="270"/>
      <c r="R311" s="270"/>
      <c r="S311" s="270"/>
      <c r="T311" s="301"/>
      <c r="U311" s="270"/>
      <c r="V311" s="240"/>
      <c r="W311" s="238">
        <f t="shared" si="19"/>
        <v>0</v>
      </c>
      <c r="Y311" s="223" t="str">
        <f>'[4]Development - i'!E310</f>
        <v>b. 900 x 2100 mm Teak wood panelled door shutters</v>
      </c>
      <c r="Z311" s="223" t="str">
        <f t="shared" si="17"/>
        <v>-----------------------</v>
      </c>
    </row>
    <row r="312" spans="1:26" s="241" customFormat="1">
      <c r="A312" s="326"/>
      <c r="B312" s="306" t="s">
        <v>770</v>
      </c>
      <c r="C312" s="306" t="s">
        <v>770</v>
      </c>
      <c r="D312" s="235" t="str">
        <f t="shared" si="18"/>
        <v xml:space="preserve"> OK</v>
      </c>
      <c r="E312" s="254" t="s">
        <v>1971</v>
      </c>
      <c r="F312" s="254" t="s">
        <v>770</v>
      </c>
      <c r="G312" s="298">
        <f>ROUND([3]Data!K1044,2)</f>
        <v>4680.3999999999996</v>
      </c>
      <c r="H312" s="298" t="s">
        <v>1715</v>
      </c>
      <c r="I312" s="300"/>
      <c r="J312" s="300"/>
      <c r="K312" s="270"/>
      <c r="L312" s="301"/>
      <c r="M312" s="270"/>
      <c r="N312" s="270"/>
      <c r="O312" s="270"/>
      <c r="P312" s="270"/>
      <c r="Q312" s="270"/>
      <c r="R312" s="270"/>
      <c r="S312" s="270"/>
      <c r="T312" s="301"/>
      <c r="U312" s="270"/>
      <c r="V312" s="240"/>
      <c r="W312" s="238">
        <f t="shared" si="19"/>
        <v>0</v>
      </c>
      <c r="Y312" s="223" t="str">
        <f>'[4]Development - i'!E311</f>
        <v>c. 700 x 2100 mm Teak wood panelled door shutters</v>
      </c>
      <c r="Z312" s="223" t="str">
        <f t="shared" si="17"/>
        <v>-----------------------</v>
      </c>
    </row>
    <row r="313" spans="1:26" s="241" customFormat="1" ht="46.5">
      <c r="A313" s="326"/>
      <c r="B313" s="306" t="s">
        <v>771</v>
      </c>
      <c r="C313" s="306" t="s">
        <v>771</v>
      </c>
      <c r="D313" s="235" t="str">
        <f t="shared" si="18"/>
        <v xml:space="preserve"> OK</v>
      </c>
      <c r="E313" s="254" t="s">
        <v>1972</v>
      </c>
      <c r="F313" s="254" t="s">
        <v>771</v>
      </c>
      <c r="G313" s="298">
        <f>[3]Data!R2852</f>
        <v>5171.0200000000004</v>
      </c>
      <c r="H313" s="298" t="s">
        <v>1715</v>
      </c>
      <c r="I313" s="300"/>
      <c r="J313" s="300"/>
      <c r="K313" s="270"/>
      <c r="L313" s="301"/>
      <c r="M313" s="270"/>
      <c r="N313" s="270"/>
      <c r="O313" s="270"/>
      <c r="P313" s="270"/>
      <c r="Q313" s="270"/>
      <c r="R313" s="270"/>
      <c r="S313" s="270"/>
      <c r="T313" s="301"/>
      <c r="U313" s="270"/>
      <c r="V313" s="240"/>
      <c r="W313" s="238">
        <f t="shared" si="19"/>
        <v>0</v>
      </c>
      <c r="Y313" s="223" t="str">
        <f>'[4]Development - i'!E312</f>
        <v>d. 1200 x 2100 mm (Single) annexure item Teak wood panelled door shutters</v>
      </c>
      <c r="Z313" s="223" t="str">
        <f t="shared" si="17"/>
        <v>-----------------------</v>
      </c>
    </row>
    <row r="314" spans="1:26" s="241" customFormat="1">
      <c r="A314" s="305">
        <v>22.2</v>
      </c>
      <c r="B314" s="314" t="s">
        <v>772</v>
      </c>
      <c r="C314" s="314" t="s">
        <v>772</v>
      </c>
      <c r="D314" s="235" t="str">
        <f t="shared" si="18"/>
        <v xml:space="preserve"> OK</v>
      </c>
      <c r="E314" s="254" t="s">
        <v>772</v>
      </c>
      <c r="F314" s="254">
        <v>0</v>
      </c>
      <c r="G314" s="298"/>
      <c r="H314" s="298"/>
      <c r="I314" s="300"/>
      <c r="J314" s="300"/>
      <c r="K314" s="270"/>
      <c r="L314" s="301"/>
      <c r="M314" s="270"/>
      <c r="N314" s="270"/>
      <c r="O314" s="270"/>
      <c r="P314" s="270"/>
      <c r="Q314" s="270"/>
      <c r="R314" s="270"/>
      <c r="S314" s="270"/>
      <c r="T314" s="301"/>
      <c r="U314" s="270"/>
      <c r="V314" s="240"/>
      <c r="W314" s="238">
        <f t="shared" si="19"/>
        <v>0</v>
      </c>
      <c r="Y314" s="223" t="str">
        <f>'[4]Development - i'!E313</f>
        <v>Teak wood "Window" &amp;  Ventilator Shutter</v>
      </c>
      <c r="Z314" s="223" t="str">
        <f t="shared" si="17"/>
        <v>-----------------------</v>
      </c>
    </row>
    <row r="315" spans="1:26" s="241" customFormat="1">
      <c r="A315" s="306"/>
      <c r="B315" s="306" t="s">
        <v>773</v>
      </c>
      <c r="C315" s="306" t="s">
        <v>773</v>
      </c>
      <c r="D315" s="235" t="str">
        <f t="shared" si="18"/>
        <v xml:space="preserve"> OK</v>
      </c>
      <c r="E315" s="254" t="s">
        <v>773</v>
      </c>
      <c r="F315" s="254">
        <v>0</v>
      </c>
      <c r="G315" s="298">
        <f>ROUND([3]Data!K1095,2)</f>
        <v>3235.61</v>
      </c>
      <c r="H315" s="298" t="s">
        <v>1715</v>
      </c>
      <c r="I315" s="300"/>
      <c r="J315" s="300"/>
      <c r="K315" s="270"/>
      <c r="L315" s="301"/>
      <c r="M315" s="270"/>
      <c r="N315" s="270"/>
      <c r="O315" s="270"/>
      <c r="P315" s="270"/>
      <c r="Q315" s="270"/>
      <c r="R315" s="270"/>
      <c r="S315" s="270"/>
      <c r="T315" s="301"/>
      <c r="U315" s="270"/>
      <c r="V315" s="240"/>
      <c r="W315" s="238">
        <f t="shared" si="19"/>
        <v>0</v>
      </c>
      <c r="Y315" s="223" t="str">
        <f>'[4]Development - i'!E314</f>
        <v>a. Window: 135 cm ht.</v>
      </c>
      <c r="Z315" s="223" t="str">
        <f t="shared" si="17"/>
        <v>-----------------------</v>
      </c>
    </row>
    <row r="316" spans="1:26" s="241" customFormat="1">
      <c r="A316" s="306"/>
      <c r="B316" s="306" t="s">
        <v>774</v>
      </c>
      <c r="C316" s="306" t="s">
        <v>774</v>
      </c>
      <c r="D316" s="235" t="str">
        <f t="shared" si="18"/>
        <v xml:space="preserve"> OK</v>
      </c>
      <c r="E316" s="254" t="s">
        <v>774</v>
      </c>
      <c r="F316" s="254">
        <v>0</v>
      </c>
      <c r="G316" s="298"/>
      <c r="H316" s="298" t="s">
        <v>1715</v>
      </c>
      <c r="I316" s="300"/>
      <c r="J316" s="300"/>
      <c r="K316" s="270"/>
      <c r="L316" s="301"/>
      <c r="M316" s="270"/>
      <c r="N316" s="270"/>
      <c r="O316" s="270"/>
      <c r="P316" s="270"/>
      <c r="Q316" s="270"/>
      <c r="R316" s="270"/>
      <c r="S316" s="270"/>
      <c r="T316" s="301"/>
      <c r="U316" s="270"/>
      <c r="V316" s="240"/>
      <c r="W316" s="238">
        <f t="shared" si="19"/>
        <v>0</v>
      </c>
      <c r="Y316" s="223" t="str">
        <f>'[4]Development - i'!E315</f>
        <v>b. Window: 120 cm ht.</v>
      </c>
      <c r="Z316" s="223" t="str">
        <f t="shared" si="17"/>
        <v>-----------------------</v>
      </c>
    </row>
    <row r="317" spans="1:26" s="241" customFormat="1">
      <c r="A317" s="306"/>
      <c r="B317" s="306" t="s">
        <v>775</v>
      </c>
      <c r="C317" s="306" t="s">
        <v>775</v>
      </c>
      <c r="D317" s="235" t="str">
        <f t="shared" si="18"/>
        <v xml:space="preserve"> OK</v>
      </c>
      <c r="E317" s="254" t="s">
        <v>775</v>
      </c>
      <c r="F317" s="254">
        <v>0</v>
      </c>
      <c r="G317" s="298">
        <f>ROUND([3]Data!K1111,2)</f>
        <v>3417.82</v>
      </c>
      <c r="H317" s="298" t="s">
        <v>1715</v>
      </c>
      <c r="I317" s="300"/>
      <c r="J317" s="300"/>
      <c r="K317" s="270"/>
      <c r="L317" s="301"/>
      <c r="M317" s="270"/>
      <c r="N317" s="270"/>
      <c r="O317" s="270"/>
      <c r="P317" s="270"/>
      <c r="Q317" s="270"/>
      <c r="R317" s="270"/>
      <c r="S317" s="270"/>
      <c r="T317" s="301"/>
      <c r="U317" s="270"/>
      <c r="V317" s="240"/>
      <c r="W317" s="238">
        <f t="shared" si="19"/>
        <v>0</v>
      </c>
      <c r="Y317" s="223" t="str">
        <f>'[4]Development - i'!E316</f>
        <v>c. Window: 105 cm ht.</v>
      </c>
      <c r="Z317" s="223" t="str">
        <f t="shared" si="17"/>
        <v>-----------------------</v>
      </c>
    </row>
    <row r="318" spans="1:26" s="241" customFormat="1">
      <c r="A318" s="326"/>
      <c r="B318" s="306" t="s">
        <v>776</v>
      </c>
      <c r="C318" s="306" t="s">
        <v>776</v>
      </c>
      <c r="D318" s="235" t="str">
        <f t="shared" si="18"/>
        <v xml:space="preserve"> OK</v>
      </c>
      <c r="E318" s="254" t="s">
        <v>776</v>
      </c>
      <c r="F318" s="254">
        <v>0</v>
      </c>
      <c r="G318" s="298">
        <f>ROUND([3]Data!K1126,2)</f>
        <v>2552.9</v>
      </c>
      <c r="H318" s="298" t="s">
        <v>1715</v>
      </c>
      <c r="I318" s="300"/>
      <c r="J318" s="300"/>
      <c r="K318" s="270"/>
      <c r="L318" s="301"/>
      <c r="M318" s="270"/>
      <c r="N318" s="270"/>
      <c r="O318" s="270"/>
      <c r="P318" s="270"/>
      <c r="Q318" s="270"/>
      <c r="R318" s="270"/>
      <c r="S318" s="270"/>
      <c r="T318" s="301"/>
      <c r="U318" s="270"/>
      <c r="V318" s="240"/>
      <c r="W318" s="238">
        <f t="shared" si="19"/>
        <v>0</v>
      </c>
      <c r="Y318" s="223" t="str">
        <f>'[4]Development - i'!E317</f>
        <v>d. Ventilator: (90 x 60 cm)</v>
      </c>
      <c r="Z318" s="223" t="str">
        <f t="shared" si="17"/>
        <v>-----------------------</v>
      </c>
    </row>
    <row r="319" spans="1:26" s="241" customFormat="1">
      <c r="A319" s="305">
        <v>22.3</v>
      </c>
      <c r="B319" s="306" t="s">
        <v>777</v>
      </c>
      <c r="C319" s="306" t="s">
        <v>777</v>
      </c>
      <c r="D319" s="235" t="str">
        <f t="shared" si="18"/>
        <v xml:space="preserve"> OK</v>
      </c>
      <c r="E319" s="254" t="s">
        <v>777</v>
      </c>
      <c r="F319" s="254">
        <v>0</v>
      </c>
      <c r="G319" s="298"/>
      <c r="H319" s="298" t="s">
        <v>1715</v>
      </c>
      <c r="I319" s="300"/>
      <c r="J319" s="300"/>
      <c r="K319" s="270"/>
      <c r="L319" s="301"/>
      <c r="M319" s="270"/>
      <c r="N319" s="270"/>
      <c r="O319" s="270"/>
      <c r="P319" s="270"/>
      <c r="Q319" s="270"/>
      <c r="R319" s="270"/>
      <c r="S319" s="270"/>
      <c r="T319" s="301"/>
      <c r="U319" s="270"/>
      <c r="V319" s="240"/>
      <c r="W319" s="238">
        <f t="shared" si="19"/>
        <v>0</v>
      </c>
      <c r="Y319" s="223" t="str">
        <f>'[4]Development - i'!E318</f>
        <v>T.W. double leaf shutters for cup board/ ward robes</v>
      </c>
      <c r="Z319" s="223" t="str">
        <f t="shared" si="17"/>
        <v>-----------------------</v>
      </c>
    </row>
    <row r="320" spans="1:26" s="241" customFormat="1" ht="46.5">
      <c r="A320" s="305">
        <v>23.1</v>
      </c>
      <c r="B320" s="306" t="s">
        <v>778</v>
      </c>
      <c r="C320" s="306" t="s">
        <v>778</v>
      </c>
      <c r="D320" s="235" t="str">
        <f t="shared" si="18"/>
        <v xml:space="preserve"> OK</v>
      </c>
      <c r="E320" s="254" t="s">
        <v>778</v>
      </c>
      <c r="F320" s="254">
        <v>0</v>
      </c>
      <c r="G320" s="298"/>
      <c r="H320" s="298" t="s">
        <v>1715</v>
      </c>
      <c r="I320" s="300"/>
      <c r="J320" s="300"/>
      <c r="K320" s="270"/>
      <c r="L320" s="301"/>
      <c r="M320" s="270"/>
      <c r="N320" s="270"/>
      <c r="O320" s="270"/>
      <c r="P320" s="270"/>
      <c r="Q320" s="270"/>
      <c r="R320" s="270"/>
      <c r="S320" s="270"/>
      <c r="T320" s="301"/>
      <c r="U320" s="270"/>
      <c r="V320" s="240"/>
      <c r="W320" s="238">
        <f t="shared" si="19"/>
        <v>0</v>
      </c>
      <c r="Y320" s="223" t="str">
        <f>'[4]Development - i'!E319</f>
        <v>T.W. single leaf  Door shutters using    9 mm tk. phynol bonded BWR plywood</v>
      </c>
      <c r="Z320" s="223" t="str">
        <f t="shared" si="17"/>
        <v>-----------------------</v>
      </c>
    </row>
    <row r="321" spans="1:26" s="241" customFormat="1">
      <c r="A321" s="326"/>
      <c r="B321" s="306" t="s">
        <v>759</v>
      </c>
      <c r="C321" s="306" t="s">
        <v>759</v>
      </c>
      <c r="D321" s="235" t="str">
        <f t="shared" si="18"/>
        <v xml:space="preserve"> OK</v>
      </c>
      <c r="E321" s="254" t="s">
        <v>759</v>
      </c>
      <c r="F321" s="254">
        <v>0</v>
      </c>
      <c r="G321" s="298">
        <f>ROUND([3]Data!K1080,2)</f>
        <v>3311.83</v>
      </c>
      <c r="H321" s="298" t="s">
        <v>1715</v>
      </c>
      <c r="I321" s="300"/>
      <c r="J321" s="300"/>
      <c r="K321" s="270"/>
      <c r="L321" s="301"/>
      <c r="M321" s="270"/>
      <c r="N321" s="270"/>
      <c r="O321" s="270"/>
      <c r="P321" s="270"/>
      <c r="Q321" s="270"/>
      <c r="R321" s="270"/>
      <c r="S321" s="270"/>
      <c r="T321" s="301"/>
      <c r="U321" s="270"/>
      <c r="V321" s="240"/>
      <c r="W321" s="238">
        <f t="shared" si="19"/>
        <v>0</v>
      </c>
      <c r="Y321" s="223" t="str">
        <f>'[4]Development - i'!E320</f>
        <v>a. 900 x 2100 mm</v>
      </c>
      <c r="Z321" s="223" t="str">
        <f t="shared" si="17"/>
        <v>-----------------------</v>
      </c>
    </row>
    <row r="322" spans="1:26" s="241" customFormat="1">
      <c r="A322" s="305">
        <v>23.2</v>
      </c>
      <c r="B322" s="306" t="s">
        <v>779</v>
      </c>
      <c r="C322" s="306" t="s">
        <v>779</v>
      </c>
      <c r="D322" s="235" t="str">
        <f t="shared" si="18"/>
        <v xml:space="preserve"> OK</v>
      </c>
      <c r="E322" s="254" t="s">
        <v>779</v>
      </c>
      <c r="F322" s="254">
        <v>0</v>
      </c>
      <c r="G322" s="298">
        <f>ROUND([3]Data!K1203,2)</f>
        <v>696.5</v>
      </c>
      <c r="H322" s="298" t="s">
        <v>1715</v>
      </c>
      <c r="I322" s="300"/>
      <c r="J322" s="300"/>
      <c r="K322" s="270"/>
      <c r="L322" s="301"/>
      <c r="M322" s="270"/>
      <c r="N322" s="270"/>
      <c r="O322" s="270"/>
      <c r="P322" s="270"/>
      <c r="Q322" s="270"/>
      <c r="R322" s="270"/>
      <c r="S322" s="270"/>
      <c r="T322" s="301"/>
      <c r="U322" s="270"/>
      <c r="V322" s="240"/>
      <c r="W322" s="238">
        <f t="shared" si="19"/>
        <v>0</v>
      </c>
      <c r="Y322" s="223" t="str">
        <f>'[4]Development - i'!E321</f>
        <v>Glass panels with Aluminium beedings</v>
      </c>
      <c r="Z322" s="223" t="str">
        <f t="shared" si="17"/>
        <v>-----------------------</v>
      </c>
    </row>
    <row r="323" spans="1:26" s="246" customFormat="1" ht="87">
      <c r="A323" s="320">
        <v>23.3</v>
      </c>
      <c r="B323" s="290" t="s">
        <v>370</v>
      </c>
      <c r="C323" s="290" t="s">
        <v>370</v>
      </c>
      <c r="D323" s="235" t="str">
        <f t="shared" si="18"/>
        <v xml:space="preserve"> OK</v>
      </c>
      <c r="E323" s="254" t="s">
        <v>370</v>
      </c>
      <c r="F323" s="254" t="s">
        <v>780</v>
      </c>
      <c r="G323" s="298">
        <f>[3]Data!K1184</f>
        <v>52</v>
      </c>
      <c r="H323" s="298" t="s">
        <v>556</v>
      </c>
      <c r="I323" s="300"/>
      <c r="J323" s="300"/>
      <c r="K323" s="270"/>
      <c r="L323" s="301"/>
      <c r="M323" s="270"/>
      <c r="N323" s="270"/>
      <c r="O323" s="270"/>
      <c r="P323" s="270"/>
      <c r="Q323" s="270"/>
      <c r="R323" s="270"/>
      <c r="S323" s="270"/>
      <c r="T323" s="301"/>
      <c r="U323" s="270"/>
      <c r="V323" s="240"/>
      <c r="W323" s="238">
        <f t="shared" si="19"/>
        <v>0</v>
      </c>
      <c r="Y323" s="223" t="str">
        <f>'[4]Development - i'!E322</f>
        <v>S&amp;F of Magnetic door catches</v>
      </c>
      <c r="Z323" s="223" t="str">
        <f t="shared" si="17"/>
        <v>-----------------------</v>
      </c>
    </row>
    <row r="324" spans="1:26" s="241" customFormat="1" ht="46.5">
      <c r="A324" s="309">
        <v>23.4</v>
      </c>
      <c r="B324" s="310" t="s">
        <v>781</v>
      </c>
      <c r="C324" s="310" t="s">
        <v>781</v>
      </c>
      <c r="D324" s="235" t="str">
        <f t="shared" si="18"/>
        <v xml:space="preserve"> OK</v>
      </c>
      <c r="E324" s="254" t="s">
        <v>781</v>
      </c>
      <c r="F324" s="254">
        <v>0</v>
      </c>
      <c r="G324" s="298"/>
      <c r="H324" s="298"/>
      <c r="I324" s="300"/>
      <c r="J324" s="300"/>
      <c r="K324" s="270"/>
      <c r="L324" s="301"/>
      <c r="M324" s="270"/>
      <c r="N324" s="270"/>
      <c r="O324" s="270"/>
      <c r="P324" s="270"/>
      <c r="Q324" s="270"/>
      <c r="R324" s="270"/>
      <c r="S324" s="270"/>
      <c r="T324" s="301"/>
      <c r="U324" s="270"/>
      <c r="V324" s="240"/>
      <c r="W324" s="238">
        <f t="shared" si="19"/>
        <v>0</v>
      </c>
      <c r="Y324" s="223" t="str">
        <f>'[4]Development - i'!E323</f>
        <v xml:space="preserve">Supply and fixing of Aluminium window with 3mm thick Glass </v>
      </c>
      <c r="Z324" s="223" t="str">
        <f t="shared" si="17"/>
        <v>-----------------------</v>
      </c>
    </row>
    <row r="325" spans="1:26" s="241" customFormat="1">
      <c r="A325" s="306"/>
      <c r="B325" s="306" t="s">
        <v>782</v>
      </c>
      <c r="C325" s="306" t="s">
        <v>782</v>
      </c>
      <c r="D325" s="235" t="str">
        <f t="shared" si="18"/>
        <v xml:space="preserve"> OK</v>
      </c>
      <c r="E325" s="254" t="s">
        <v>782</v>
      </c>
      <c r="F325" s="254">
        <v>0</v>
      </c>
      <c r="G325" s="298">
        <f>[3]Data!X1417</f>
        <v>13866.51</v>
      </c>
      <c r="H325" s="298" t="s">
        <v>556</v>
      </c>
      <c r="I325" s="300"/>
      <c r="J325" s="300"/>
      <c r="K325" s="270"/>
      <c r="L325" s="301"/>
      <c r="M325" s="270"/>
      <c r="N325" s="270"/>
      <c r="O325" s="270"/>
      <c r="P325" s="270"/>
      <c r="Q325" s="270"/>
      <c r="R325" s="270"/>
      <c r="S325" s="270"/>
      <c r="T325" s="301"/>
      <c r="U325" s="270"/>
      <c r="V325" s="240"/>
      <c r="W325" s="238">
        <f t="shared" si="19"/>
        <v>0</v>
      </c>
      <c r="Y325" s="223" t="str">
        <f>'[4]Development - i'!E324</f>
        <v>a. 1.8 x 1.35 mt.window</v>
      </c>
      <c r="Z325" s="223" t="str">
        <f t="shared" si="17"/>
        <v>-----------------------</v>
      </c>
    </row>
    <row r="326" spans="1:26" s="241" customFormat="1">
      <c r="A326" s="306"/>
      <c r="B326" s="306" t="s">
        <v>783</v>
      </c>
      <c r="C326" s="306" t="s">
        <v>783</v>
      </c>
      <c r="D326" s="235" t="str">
        <f t="shared" si="18"/>
        <v xml:space="preserve"> OK</v>
      </c>
      <c r="E326" s="254" t="s">
        <v>783</v>
      </c>
      <c r="F326" s="254">
        <v>0</v>
      </c>
      <c r="G326" s="298">
        <f>[3]Data!R1422</f>
        <v>10454.030000000001</v>
      </c>
      <c r="H326" s="298" t="s">
        <v>556</v>
      </c>
      <c r="I326" s="300"/>
      <c r="J326" s="300"/>
      <c r="K326" s="270"/>
      <c r="L326" s="301"/>
      <c r="M326" s="270"/>
      <c r="N326" s="270"/>
      <c r="O326" s="270"/>
      <c r="P326" s="270"/>
      <c r="Q326" s="270"/>
      <c r="R326" s="270"/>
      <c r="S326" s="270"/>
      <c r="T326" s="301"/>
      <c r="U326" s="270"/>
      <c r="V326" s="240"/>
      <c r="W326" s="238">
        <f t="shared" si="19"/>
        <v>0</v>
      </c>
      <c r="Y326" s="223" t="str">
        <f>'[4]Development - i'!E325</f>
        <v>b. 1.35 x 1.35 mt.window</v>
      </c>
      <c r="Z326" s="223" t="str">
        <f t="shared" si="17"/>
        <v>-----------------------</v>
      </c>
    </row>
    <row r="327" spans="1:26" s="241" customFormat="1">
      <c r="A327" s="306"/>
      <c r="B327" s="306" t="s">
        <v>784</v>
      </c>
      <c r="C327" s="306" t="s">
        <v>784</v>
      </c>
      <c r="D327" s="235" t="str">
        <f t="shared" si="18"/>
        <v xml:space="preserve"> OK</v>
      </c>
      <c r="E327" s="254" t="s">
        <v>784</v>
      </c>
      <c r="F327" s="254">
        <v>0</v>
      </c>
      <c r="G327" s="298">
        <f>[3]Data!X1383</f>
        <v>8934</v>
      </c>
      <c r="H327" s="298" t="s">
        <v>556</v>
      </c>
      <c r="I327" s="300"/>
      <c r="J327" s="300"/>
      <c r="K327" s="270"/>
      <c r="L327" s="301"/>
      <c r="M327" s="270"/>
      <c r="N327" s="270"/>
      <c r="O327" s="270"/>
      <c r="P327" s="270"/>
      <c r="Q327" s="270"/>
      <c r="R327" s="270"/>
      <c r="S327" s="270"/>
      <c r="T327" s="301"/>
      <c r="U327" s="270"/>
      <c r="V327" s="240"/>
      <c r="W327" s="238">
        <f t="shared" si="19"/>
        <v>0</v>
      </c>
      <c r="Y327" s="223" t="str">
        <f>'[4]Development - i'!E326</f>
        <v>c. 1.35 x  1.05 mt window</v>
      </c>
      <c r="Z327" s="223" t="str">
        <f t="shared" ref="Z327:Z390" si="20">IF(Y327=E327,"-----------------------","ERRR")</f>
        <v>-----------------------</v>
      </c>
    </row>
    <row r="328" spans="1:26" s="241" customFormat="1">
      <c r="A328" s="306"/>
      <c r="B328" s="306" t="s">
        <v>785</v>
      </c>
      <c r="C328" s="306" t="s">
        <v>785</v>
      </c>
      <c r="D328" s="235" t="str">
        <f t="shared" si="18"/>
        <v xml:space="preserve"> OK</v>
      </c>
      <c r="E328" s="254" t="s">
        <v>785</v>
      </c>
      <c r="F328" s="254">
        <v>0</v>
      </c>
      <c r="G328" s="298">
        <f>[3]Data!R1439</f>
        <v>8300.31</v>
      </c>
      <c r="H328" s="298" t="s">
        <v>556</v>
      </c>
      <c r="I328" s="300"/>
      <c r="J328" s="300"/>
      <c r="K328" s="270"/>
      <c r="L328" s="301"/>
      <c r="M328" s="270"/>
      <c r="N328" s="270"/>
      <c r="O328" s="270"/>
      <c r="P328" s="270"/>
      <c r="Q328" s="270"/>
      <c r="R328" s="270"/>
      <c r="S328" s="270"/>
      <c r="T328" s="301"/>
      <c r="U328" s="270"/>
      <c r="V328" s="240"/>
      <c r="W328" s="238">
        <f t="shared" si="19"/>
        <v>0</v>
      </c>
      <c r="Y328" s="223" t="str">
        <f>'[4]Development - i'!E327</f>
        <v>d. 1.2 x 1.35 mt window</v>
      </c>
      <c r="Z328" s="223" t="str">
        <f t="shared" si="20"/>
        <v>-----------------------</v>
      </c>
    </row>
    <row r="329" spans="1:26" s="241" customFormat="1">
      <c r="A329" s="306"/>
      <c r="B329" s="306" t="s">
        <v>786</v>
      </c>
      <c r="C329" s="306" t="s">
        <v>786</v>
      </c>
      <c r="D329" s="235" t="str">
        <f t="shared" si="18"/>
        <v xml:space="preserve"> OK</v>
      </c>
      <c r="E329" s="254" t="s">
        <v>786</v>
      </c>
      <c r="F329" s="254">
        <v>0</v>
      </c>
      <c r="G329" s="298">
        <f>[3]Data!X1481</f>
        <v>6887.19</v>
      </c>
      <c r="H329" s="298" t="s">
        <v>556</v>
      </c>
      <c r="I329" s="300"/>
      <c r="J329" s="300"/>
      <c r="K329" s="270"/>
      <c r="L329" s="301"/>
      <c r="M329" s="270"/>
      <c r="N329" s="270"/>
      <c r="O329" s="270"/>
      <c r="P329" s="270"/>
      <c r="Q329" s="270"/>
      <c r="R329" s="270"/>
      <c r="S329" s="270"/>
      <c r="T329" s="301"/>
      <c r="U329" s="270"/>
      <c r="V329" s="240"/>
      <c r="W329" s="238">
        <f t="shared" si="19"/>
        <v>0</v>
      </c>
      <c r="Y329" s="223" t="str">
        <f>'[4]Development - i'!E328</f>
        <v>e. 1.2 x 1.05 mt window</v>
      </c>
      <c r="Z329" s="223" t="str">
        <f t="shared" si="20"/>
        <v>-----------------------</v>
      </c>
    </row>
    <row r="330" spans="1:26" s="241" customFormat="1">
      <c r="A330" s="306"/>
      <c r="B330" s="306" t="s">
        <v>787</v>
      </c>
      <c r="C330" s="306" t="s">
        <v>787</v>
      </c>
      <c r="D330" s="235" t="str">
        <f t="shared" si="18"/>
        <v xml:space="preserve"> OK</v>
      </c>
      <c r="E330" s="254" t="s">
        <v>787</v>
      </c>
      <c r="F330" s="254">
        <v>0</v>
      </c>
      <c r="G330" s="298">
        <f>[3]Data!AD1398</f>
        <v>7669.17</v>
      </c>
      <c r="H330" s="298" t="s">
        <v>556</v>
      </c>
      <c r="I330" s="300"/>
      <c r="J330" s="300"/>
      <c r="K330" s="270"/>
      <c r="L330" s="301"/>
      <c r="M330" s="270"/>
      <c r="N330" s="270"/>
      <c r="O330" s="270"/>
      <c r="P330" s="270"/>
      <c r="Q330" s="270"/>
      <c r="R330" s="270"/>
      <c r="S330" s="270"/>
      <c r="T330" s="301"/>
      <c r="U330" s="270"/>
      <c r="V330" s="240"/>
      <c r="W330" s="238">
        <f t="shared" si="19"/>
        <v>0</v>
      </c>
      <c r="Y330" s="223" t="str">
        <f>'[4]Development - i'!E329</f>
        <v>f. 1.05 x 1.35 mt window</v>
      </c>
      <c r="Z330" s="223" t="str">
        <f t="shared" si="20"/>
        <v>-----------------------</v>
      </c>
    </row>
    <row r="331" spans="1:26" s="241" customFormat="1">
      <c r="A331" s="306"/>
      <c r="B331" s="306" t="s">
        <v>788</v>
      </c>
      <c r="C331" s="306" t="s">
        <v>788</v>
      </c>
      <c r="D331" s="235" t="str">
        <f t="shared" si="18"/>
        <v xml:space="preserve"> OK</v>
      </c>
      <c r="E331" s="254" t="s">
        <v>788</v>
      </c>
      <c r="F331" s="254">
        <v>0</v>
      </c>
      <c r="G331" s="298">
        <f>[3]Data!X1400</f>
        <v>7034.25</v>
      </c>
      <c r="H331" s="298" t="s">
        <v>556</v>
      </c>
      <c r="I331" s="300"/>
      <c r="J331" s="300"/>
      <c r="K331" s="270"/>
      <c r="L331" s="301"/>
      <c r="M331" s="270"/>
      <c r="N331" s="270"/>
      <c r="O331" s="270"/>
      <c r="P331" s="270"/>
      <c r="Q331" s="270"/>
      <c r="R331" s="270"/>
      <c r="S331" s="270"/>
      <c r="T331" s="301"/>
      <c r="U331" s="270"/>
      <c r="V331" s="240"/>
      <c r="W331" s="238">
        <f t="shared" si="19"/>
        <v>0</v>
      </c>
      <c r="Y331" s="223" t="str">
        <f>'[4]Development - i'!E330</f>
        <v>g. 0.9 x 1.35 mt window</v>
      </c>
      <c r="Z331" s="223" t="str">
        <f t="shared" si="20"/>
        <v>-----------------------</v>
      </c>
    </row>
    <row r="332" spans="1:26" s="241" customFormat="1">
      <c r="A332" s="306"/>
      <c r="B332" s="306" t="s">
        <v>789</v>
      </c>
      <c r="C332" s="306" t="s">
        <v>789</v>
      </c>
      <c r="D332" s="235" t="str">
        <f t="shared" si="18"/>
        <v xml:space="preserve"> OK</v>
      </c>
      <c r="E332" s="254" t="s">
        <v>789</v>
      </c>
      <c r="F332" s="254">
        <v>0</v>
      </c>
      <c r="G332" s="298">
        <f>[3]Data!AD1381</f>
        <v>6012.6</v>
      </c>
      <c r="H332" s="298" t="s">
        <v>556</v>
      </c>
      <c r="I332" s="300"/>
      <c r="J332" s="300"/>
      <c r="K332" s="270"/>
      <c r="L332" s="301"/>
      <c r="M332" s="270"/>
      <c r="N332" s="270"/>
      <c r="O332" s="270"/>
      <c r="P332" s="270"/>
      <c r="Q332" s="270"/>
      <c r="R332" s="270"/>
      <c r="S332" s="270"/>
      <c r="T332" s="301"/>
      <c r="U332" s="270"/>
      <c r="V332" s="240"/>
      <c r="W332" s="238">
        <f t="shared" si="19"/>
        <v>0</v>
      </c>
      <c r="Y332" s="223" t="str">
        <f>'[4]Development - i'!E331</f>
        <v>h. 0.9 x 1.05 mt window</v>
      </c>
      <c r="Z332" s="223" t="str">
        <f t="shared" si="20"/>
        <v>-----------------------</v>
      </c>
    </row>
    <row r="333" spans="1:26" s="241" customFormat="1">
      <c r="A333" s="306"/>
      <c r="B333" s="306" t="s">
        <v>790</v>
      </c>
      <c r="C333" s="306" t="s">
        <v>790</v>
      </c>
      <c r="D333" s="235" t="str">
        <f t="shared" si="18"/>
        <v xml:space="preserve"> OK</v>
      </c>
      <c r="E333" s="254" t="s">
        <v>790</v>
      </c>
      <c r="F333" s="254">
        <v>0</v>
      </c>
      <c r="G333" s="298">
        <f>[3]Data!AD1415</f>
        <v>3827.88</v>
      </c>
      <c r="H333" s="298" t="s">
        <v>556</v>
      </c>
      <c r="I333" s="300"/>
      <c r="J333" s="300"/>
      <c r="K333" s="270"/>
      <c r="L333" s="301"/>
      <c r="M333" s="270"/>
      <c r="N333" s="270"/>
      <c r="O333" s="270"/>
      <c r="P333" s="270"/>
      <c r="Q333" s="270"/>
      <c r="R333" s="270"/>
      <c r="S333" s="270"/>
      <c r="T333" s="301"/>
      <c r="U333" s="270"/>
      <c r="V333" s="240"/>
      <c r="W333" s="238">
        <f t="shared" si="19"/>
        <v>0</v>
      </c>
      <c r="Y333" s="223" t="str">
        <f>'[4]Development - i'!E332</f>
        <v>i. 0.5 x 1.35 mt window</v>
      </c>
      <c r="Z333" s="223" t="str">
        <f t="shared" si="20"/>
        <v>-----------------------</v>
      </c>
    </row>
    <row r="334" spans="1:26" s="241" customFormat="1">
      <c r="A334" s="306"/>
      <c r="B334" s="306" t="s">
        <v>791</v>
      </c>
      <c r="C334" s="306" t="s">
        <v>791</v>
      </c>
      <c r="D334" s="235" t="str">
        <f t="shared" si="18"/>
        <v xml:space="preserve"> OK</v>
      </c>
      <c r="E334" s="254" t="s">
        <v>791</v>
      </c>
      <c r="F334" s="254">
        <v>0</v>
      </c>
      <c r="G334" s="298">
        <f>[3]Data!R1456</f>
        <v>3617.83</v>
      </c>
      <c r="H334" s="298" t="s">
        <v>556</v>
      </c>
      <c r="I334" s="300"/>
      <c r="J334" s="300"/>
      <c r="K334" s="270"/>
      <c r="L334" s="301"/>
      <c r="M334" s="270"/>
      <c r="N334" s="270"/>
      <c r="O334" s="270"/>
      <c r="P334" s="270"/>
      <c r="Q334" s="270"/>
      <c r="R334" s="270"/>
      <c r="S334" s="270"/>
      <c r="T334" s="301"/>
      <c r="U334" s="270"/>
      <c r="V334" s="240"/>
      <c r="W334" s="238">
        <f t="shared" si="19"/>
        <v>0</v>
      </c>
      <c r="Y334" s="223" t="str">
        <f>'[4]Development - i'!E333</f>
        <v>j. 0.45 x 1.35 mt window</v>
      </c>
      <c r="Z334" s="223" t="str">
        <f t="shared" si="20"/>
        <v>-----------------------</v>
      </c>
    </row>
    <row r="335" spans="1:26" s="241" customFormat="1">
      <c r="A335" s="306"/>
      <c r="B335" s="306" t="s">
        <v>792</v>
      </c>
      <c r="C335" s="306" t="s">
        <v>792</v>
      </c>
      <c r="D335" s="235" t="str">
        <f t="shared" si="18"/>
        <v xml:space="preserve"> OK</v>
      </c>
      <c r="E335" s="254" t="s">
        <v>792</v>
      </c>
      <c r="F335" s="254">
        <v>0</v>
      </c>
      <c r="G335" s="298">
        <f>[3]Data!R1497</f>
        <v>4307.8100000000004</v>
      </c>
      <c r="H335" s="298" t="s">
        <v>556</v>
      </c>
      <c r="I335" s="300"/>
      <c r="J335" s="300"/>
      <c r="K335" s="270"/>
      <c r="L335" s="301"/>
      <c r="M335" s="270"/>
      <c r="N335" s="270"/>
      <c r="O335" s="270"/>
      <c r="P335" s="270"/>
      <c r="Q335" s="270"/>
      <c r="R335" s="270"/>
      <c r="S335" s="270"/>
      <c r="T335" s="301"/>
      <c r="U335" s="270"/>
      <c r="V335" s="240"/>
      <c r="W335" s="238">
        <f t="shared" si="19"/>
        <v>0</v>
      </c>
      <c r="Y335" s="223" t="str">
        <f>'[4]Development - i'!E334</f>
        <v>k.0.90 x 0.60 mt.Ventilator</v>
      </c>
      <c r="Z335" s="223" t="str">
        <f t="shared" si="20"/>
        <v>-----------------------</v>
      </c>
    </row>
    <row r="336" spans="1:26" s="241" customFormat="1">
      <c r="A336" s="326"/>
      <c r="B336" s="306" t="s">
        <v>793</v>
      </c>
      <c r="C336" s="306" t="s">
        <v>793</v>
      </c>
      <c r="D336" s="235" t="str">
        <f t="shared" si="18"/>
        <v xml:space="preserve"> OK</v>
      </c>
      <c r="E336" s="254" t="s">
        <v>793</v>
      </c>
      <c r="F336" s="254">
        <v>0</v>
      </c>
      <c r="G336" s="298">
        <f>[3]Data!X1458</f>
        <v>4806.6099999999997</v>
      </c>
      <c r="H336" s="298" t="s">
        <v>556</v>
      </c>
      <c r="I336" s="300"/>
      <c r="J336" s="300"/>
      <c r="K336" s="270"/>
      <c r="L336" s="301"/>
      <c r="M336" s="270"/>
      <c r="N336" s="270"/>
      <c r="O336" s="270"/>
      <c r="P336" s="270"/>
      <c r="Q336" s="270"/>
      <c r="R336" s="270"/>
      <c r="S336" s="270"/>
      <c r="T336" s="301"/>
      <c r="U336" s="270"/>
      <c r="V336" s="240"/>
      <c r="W336" s="238">
        <f t="shared" si="19"/>
        <v>0</v>
      </c>
      <c r="Y336" s="223" t="str">
        <f>'[4]Development - i'!E335</f>
        <v>l. 0.60 x 0.60 mt.Ventilator</v>
      </c>
      <c r="Z336" s="223" t="str">
        <f t="shared" si="20"/>
        <v>-----------------------</v>
      </c>
    </row>
    <row r="337" spans="1:28" s="239" customFormat="1" ht="174">
      <c r="A337" s="320">
        <v>24</v>
      </c>
      <c r="B337" s="290" t="s">
        <v>794</v>
      </c>
      <c r="C337" s="290" t="s">
        <v>794</v>
      </c>
      <c r="D337" s="235" t="str">
        <f t="shared" si="18"/>
        <v xml:space="preserve"> OK</v>
      </c>
      <c r="E337" s="254" t="s">
        <v>794</v>
      </c>
      <c r="F337" s="254" t="s">
        <v>795</v>
      </c>
      <c r="G337" s="298">
        <f>[3]Data!K1209</f>
        <v>61.5</v>
      </c>
      <c r="H337" s="298" t="s">
        <v>1973</v>
      </c>
      <c r="I337" s="300"/>
      <c r="J337" s="300"/>
      <c r="K337" s="270"/>
      <c r="L337" s="301"/>
      <c r="M337" s="270"/>
      <c r="N337" s="270"/>
      <c r="O337" s="270"/>
      <c r="P337" s="270"/>
      <c r="Q337" s="270"/>
      <c r="R337" s="270"/>
      <c r="S337" s="270"/>
      <c r="T337" s="301"/>
      <c r="U337" s="270"/>
      <c r="V337" s="240"/>
      <c r="W337" s="238">
        <f t="shared" si="19"/>
        <v>0</v>
      </c>
      <c r="Y337" s="223" t="str">
        <f>'[4]Development - i'!E336</f>
        <v>Manufacturing &amp; supply of steel windows (Weight basis)</v>
      </c>
      <c r="Z337" s="223" t="str">
        <f t="shared" si="20"/>
        <v>-----------------------</v>
      </c>
    </row>
    <row r="338" spans="1:28" s="239" customFormat="1" ht="43.5">
      <c r="A338" s="340">
        <v>25</v>
      </c>
      <c r="B338" s="290" t="s">
        <v>374</v>
      </c>
      <c r="C338" s="290" t="s">
        <v>374</v>
      </c>
      <c r="D338" s="235" t="str">
        <f t="shared" si="18"/>
        <v xml:space="preserve"> OK</v>
      </c>
      <c r="E338" s="254" t="s">
        <v>374</v>
      </c>
      <c r="F338" s="254" t="s">
        <v>796</v>
      </c>
      <c r="G338" s="298">
        <f>ROUND([3]Data!K1212,2)</f>
        <v>9.6</v>
      </c>
      <c r="H338" s="298" t="s">
        <v>556</v>
      </c>
      <c r="I338" s="300"/>
      <c r="J338" s="300"/>
      <c r="K338" s="270"/>
      <c r="L338" s="301"/>
      <c r="M338" s="270"/>
      <c r="N338" s="270"/>
      <c r="O338" s="270"/>
      <c r="P338" s="270"/>
      <c r="Q338" s="270"/>
      <c r="R338" s="270"/>
      <c r="S338" s="270"/>
      <c r="T338" s="301"/>
      <c r="U338" s="270"/>
      <c r="V338" s="242"/>
      <c r="W338" s="238">
        <f t="shared" si="19"/>
        <v>0</v>
      </c>
      <c r="Y338" s="223" t="str">
        <f>'[4]Development - i'!E337</f>
        <v>M.S.Holdfast</v>
      </c>
      <c r="Z338" s="223" t="str">
        <f t="shared" si="20"/>
        <v>-----------------------</v>
      </c>
    </row>
    <row r="339" spans="1:28" ht="87">
      <c r="A339" s="234">
        <v>26</v>
      </c>
      <c r="B339" s="289" t="s">
        <v>375</v>
      </c>
      <c r="C339" s="290" t="s">
        <v>375</v>
      </c>
      <c r="D339" s="235" t="str">
        <f t="shared" si="18"/>
        <v xml:space="preserve"> OK</v>
      </c>
      <c r="E339" s="254" t="s">
        <v>375</v>
      </c>
      <c r="F339" s="254" t="s">
        <v>797</v>
      </c>
      <c r="G339" s="298">
        <f>ROUND([3]Data!K209,2)</f>
        <v>4152.67</v>
      </c>
      <c r="H339" s="298" t="s">
        <v>1679</v>
      </c>
      <c r="I339" s="299"/>
      <c r="J339" s="300"/>
      <c r="K339" s="270"/>
      <c r="L339" s="301"/>
      <c r="M339" s="270"/>
      <c r="N339" s="270"/>
      <c r="O339" s="270"/>
      <c r="P339" s="270"/>
      <c r="Q339" s="270"/>
      <c r="R339" s="270"/>
      <c r="S339" s="270"/>
      <c r="T339" s="301"/>
      <c r="U339" s="302"/>
      <c r="V339" s="236">
        <f>'[3]Precast Compound wall '!H175</f>
        <v>5</v>
      </c>
      <c r="W339" s="233">
        <f t="shared" si="19"/>
        <v>31666.399999999998</v>
      </c>
      <c r="Y339" s="223" t="str">
        <f>'[4]Development - i'!E338</f>
        <v>Flooring in C.C.1:5:10</v>
      </c>
      <c r="Z339" s="223" t="str">
        <f t="shared" si="20"/>
        <v>-----------------------</v>
      </c>
    </row>
    <row r="340" spans="1:28" s="241" customFormat="1" ht="46.5">
      <c r="A340" s="309">
        <v>27.1</v>
      </c>
      <c r="B340" s="310" t="s">
        <v>798</v>
      </c>
      <c r="C340" s="310" t="s">
        <v>798</v>
      </c>
      <c r="D340" s="235" t="str">
        <f t="shared" si="18"/>
        <v xml:space="preserve"> OK</v>
      </c>
      <c r="E340" s="254" t="s">
        <v>798</v>
      </c>
      <c r="F340" s="254">
        <v>0</v>
      </c>
      <c r="G340" s="298">
        <f>ROUND([3]Data!Y376,2)</f>
        <v>6333.28</v>
      </c>
      <c r="H340" s="298" t="s">
        <v>1679</v>
      </c>
      <c r="I340" s="300"/>
      <c r="J340" s="300"/>
      <c r="K340" s="270"/>
      <c r="L340" s="301"/>
      <c r="M340" s="270"/>
      <c r="N340" s="270"/>
      <c r="O340" s="270"/>
      <c r="P340" s="270"/>
      <c r="Q340" s="270"/>
      <c r="R340" s="270"/>
      <c r="S340" s="270"/>
      <c r="T340" s="301"/>
      <c r="U340" s="270"/>
      <c r="V340" s="237"/>
      <c r="W340" s="238">
        <f t="shared" si="19"/>
        <v>0</v>
      </c>
      <c r="Y340" s="223" t="str">
        <f>'[4]Development - i'!E339</f>
        <v>B.w. in C.M. 1:4 for staircase steps Chamber burnt bricks 23 x 11.2 x 7 cm.</v>
      </c>
      <c r="Z340" s="223" t="str">
        <f t="shared" si="20"/>
        <v>ERRR</v>
      </c>
    </row>
    <row r="341" spans="1:28" s="241" customFormat="1" ht="65.25">
      <c r="A341" s="305">
        <v>27.2</v>
      </c>
      <c r="B341" s="306" t="s">
        <v>799</v>
      </c>
      <c r="C341" s="306" t="s">
        <v>799</v>
      </c>
      <c r="D341" s="235" t="str">
        <f t="shared" si="18"/>
        <v xml:space="preserve"> OK</v>
      </c>
      <c r="E341" s="254" t="s">
        <v>799</v>
      </c>
      <c r="F341" s="254" t="s">
        <v>800</v>
      </c>
      <c r="G341" s="298">
        <f>ROUND([3]Data!AG389,2)</f>
        <v>6122.55</v>
      </c>
      <c r="H341" s="298" t="s">
        <v>1679</v>
      </c>
      <c r="I341" s="300"/>
      <c r="J341" s="300"/>
      <c r="K341" s="270"/>
      <c r="L341" s="301"/>
      <c r="M341" s="270"/>
      <c r="N341" s="270"/>
      <c r="O341" s="270"/>
      <c r="P341" s="270"/>
      <c r="Q341" s="270"/>
      <c r="R341" s="270"/>
      <c r="S341" s="270"/>
      <c r="T341" s="301"/>
      <c r="U341" s="270"/>
      <c r="V341" s="240"/>
      <c r="W341" s="238">
        <f t="shared" si="19"/>
        <v>0</v>
      </c>
      <c r="Y341" s="223" t="str">
        <f>'[4]Development - i'!E340</f>
        <v>B.w. in C.M. 1:4 for staircase steps Chamber burnt bricks 23 x 11.4 x 7.5 cm.</v>
      </c>
      <c r="Z341" s="223" t="str">
        <f t="shared" si="20"/>
        <v>ERRR</v>
      </c>
    </row>
    <row r="342" spans="1:28" s="241" customFormat="1" ht="46.5">
      <c r="A342" s="305">
        <v>27.3</v>
      </c>
      <c r="B342" s="306" t="s">
        <v>801</v>
      </c>
      <c r="C342" s="306" t="s">
        <v>801</v>
      </c>
      <c r="D342" s="235" t="str">
        <f t="shared" ref="D342:D405" si="21">IF(B342=C342," OK","nun")</f>
        <v xml:space="preserve"> OK</v>
      </c>
      <c r="E342" s="254" t="s">
        <v>801</v>
      </c>
      <c r="F342" s="254">
        <v>0</v>
      </c>
      <c r="G342" s="298"/>
      <c r="H342" s="298" t="s">
        <v>1679</v>
      </c>
      <c r="I342" s="300"/>
      <c r="J342" s="300"/>
      <c r="K342" s="270"/>
      <c r="L342" s="301"/>
      <c r="M342" s="270"/>
      <c r="N342" s="270"/>
      <c r="O342" s="270"/>
      <c r="P342" s="270"/>
      <c r="Q342" s="270"/>
      <c r="R342" s="270"/>
      <c r="S342" s="270"/>
      <c r="T342" s="301"/>
      <c r="U342" s="270"/>
      <c r="V342" s="240"/>
      <c r="W342" s="238">
        <f t="shared" si="19"/>
        <v>0</v>
      </c>
      <c r="Y342" s="223" t="str">
        <f>'[4]Development - i'!E341</f>
        <v>B.w. in C.M. 1:4 for staircase steps Chamber burnt bricks  23 x 11 x 7 cm.</v>
      </c>
      <c r="Z342" s="223" t="str">
        <f t="shared" si="20"/>
        <v>ERRR</v>
      </c>
    </row>
    <row r="343" spans="1:28" s="241" customFormat="1" ht="46.5">
      <c r="A343" s="305">
        <v>27.4</v>
      </c>
      <c r="B343" s="306" t="s">
        <v>802</v>
      </c>
      <c r="C343" s="306" t="s">
        <v>802</v>
      </c>
      <c r="D343" s="235" t="str">
        <f t="shared" si="21"/>
        <v xml:space="preserve"> OK</v>
      </c>
      <c r="E343" s="254" t="s">
        <v>802</v>
      </c>
      <c r="F343" s="254">
        <v>0</v>
      </c>
      <c r="G343" s="298"/>
      <c r="H343" s="298" t="s">
        <v>1679</v>
      </c>
      <c r="I343" s="300"/>
      <c r="J343" s="300"/>
      <c r="K343" s="270"/>
      <c r="L343" s="301"/>
      <c r="M343" s="270"/>
      <c r="N343" s="270"/>
      <c r="O343" s="270"/>
      <c r="P343" s="270"/>
      <c r="Q343" s="270"/>
      <c r="R343" s="270"/>
      <c r="S343" s="270"/>
      <c r="T343" s="301"/>
      <c r="U343" s="270"/>
      <c r="V343" s="240"/>
      <c r="W343" s="238">
        <f t="shared" si="19"/>
        <v>0</v>
      </c>
      <c r="Y343" s="223" t="str">
        <f>'[4]Development - i'!E342</f>
        <v>B.w. in C.M. 1:4 for staircase steps Chamber burnt bricks 22 x 11 x 7 cm.</v>
      </c>
      <c r="Z343" s="223" t="str">
        <f t="shared" si="20"/>
        <v>ERRR</v>
      </c>
    </row>
    <row r="344" spans="1:28" s="241" customFormat="1" ht="46.5">
      <c r="A344" s="305">
        <v>27.5</v>
      </c>
      <c r="B344" s="306" t="s">
        <v>803</v>
      </c>
      <c r="C344" s="306" t="s">
        <v>803</v>
      </c>
      <c r="D344" s="235" t="str">
        <f t="shared" si="21"/>
        <v xml:space="preserve"> OK</v>
      </c>
      <c r="E344" s="254" t="s">
        <v>803</v>
      </c>
      <c r="F344" s="254">
        <v>0</v>
      </c>
      <c r="G344" s="298">
        <f>ROUND([3]Data!K380,2)</f>
        <v>6221.21</v>
      </c>
      <c r="H344" s="298" t="s">
        <v>1679</v>
      </c>
      <c r="I344" s="300"/>
      <c r="J344" s="300"/>
      <c r="K344" s="270"/>
      <c r="L344" s="301"/>
      <c r="M344" s="270"/>
      <c r="N344" s="270"/>
      <c r="O344" s="270"/>
      <c r="P344" s="270"/>
      <c r="Q344" s="270"/>
      <c r="R344" s="270"/>
      <c r="S344" s="270"/>
      <c r="T344" s="301"/>
      <c r="U344" s="270"/>
      <c r="V344" s="240"/>
      <c r="W344" s="238">
        <f t="shared" si="19"/>
        <v>0</v>
      </c>
      <c r="Y344" s="223" t="str">
        <f>'[4]Development - i'!E343</f>
        <v>B.w. in C.M. 1:4 for staircase steps Kiln burnt country bricks 22 x 11 x 7 cm.</v>
      </c>
      <c r="Z344" s="223" t="str">
        <f t="shared" si="20"/>
        <v>-----------------------</v>
      </c>
    </row>
    <row r="345" spans="1:28" s="241" customFormat="1" ht="46.5">
      <c r="A345" s="311">
        <v>27.6</v>
      </c>
      <c r="B345" s="306" t="s">
        <v>804</v>
      </c>
      <c r="C345" s="306" t="s">
        <v>804</v>
      </c>
      <c r="D345" s="235" t="str">
        <f t="shared" si="21"/>
        <v xml:space="preserve"> OK</v>
      </c>
      <c r="E345" s="254" t="s">
        <v>804</v>
      </c>
      <c r="F345" s="254">
        <v>0</v>
      </c>
      <c r="G345" s="298"/>
      <c r="H345" s="298" t="s">
        <v>1679</v>
      </c>
      <c r="I345" s="300"/>
      <c r="J345" s="300"/>
      <c r="K345" s="270"/>
      <c r="L345" s="301"/>
      <c r="M345" s="270"/>
      <c r="N345" s="270"/>
      <c r="O345" s="270"/>
      <c r="P345" s="270"/>
      <c r="Q345" s="270"/>
      <c r="R345" s="270"/>
      <c r="S345" s="270"/>
      <c r="T345" s="301"/>
      <c r="U345" s="270"/>
      <c r="V345" s="242"/>
      <c r="W345" s="238">
        <f t="shared" si="19"/>
        <v>0</v>
      </c>
      <c r="Y345" s="223" t="str">
        <f>'[4]Development - i'!E344</f>
        <v>B.w. in C.M. 1:4 for staircase steps Kiln burnt country bricks 22 x 11 x 5.7 cm.</v>
      </c>
      <c r="Z345" s="223" t="str">
        <f t="shared" si="20"/>
        <v>-----------------------</v>
      </c>
    </row>
    <row r="346" spans="1:28" ht="87">
      <c r="A346" s="234">
        <v>28</v>
      </c>
      <c r="B346" s="315" t="s">
        <v>1974</v>
      </c>
      <c r="C346" s="316" t="s">
        <v>376</v>
      </c>
      <c r="D346" s="235" t="str">
        <f t="shared" si="21"/>
        <v xml:space="preserve"> OK</v>
      </c>
      <c r="E346" s="254" t="s">
        <v>1975</v>
      </c>
      <c r="F346" s="254" t="s">
        <v>151</v>
      </c>
      <c r="G346" s="298">
        <f>ROUND([3]Data!K1231,2)</f>
        <v>426.14</v>
      </c>
      <c r="H346" s="298" t="s">
        <v>1715</v>
      </c>
      <c r="I346" s="299"/>
      <c r="J346" s="300"/>
      <c r="K346" s="270"/>
      <c r="L346" s="301"/>
      <c r="M346" s="270"/>
      <c r="N346" s="270"/>
      <c r="O346" s="270"/>
      <c r="P346" s="270"/>
      <c r="Q346" s="270"/>
      <c r="R346" s="270"/>
      <c r="S346" s="270"/>
      <c r="T346" s="301"/>
      <c r="U346" s="302"/>
      <c r="V346" s="236">
        <f>'[3]Precast Compound wall '!H197</f>
        <v>48</v>
      </c>
      <c r="W346" s="233">
        <f t="shared" si="19"/>
        <v>0</v>
      </c>
      <c r="Y346" s="223" t="str">
        <f>'[4]Development - i'!E345</f>
        <v>Floor plastering in C.M. 1:4, 20 mm tk.</v>
      </c>
      <c r="Z346" s="223" t="str">
        <f t="shared" si="20"/>
        <v>-----------------------</v>
      </c>
    </row>
    <row r="347" spans="1:28" s="241" customFormat="1">
      <c r="A347" s="309">
        <v>29.1</v>
      </c>
      <c r="B347" s="317" t="s">
        <v>1976</v>
      </c>
      <c r="C347" s="317" t="s">
        <v>805</v>
      </c>
      <c r="D347" s="235" t="str">
        <f t="shared" si="21"/>
        <v xml:space="preserve"> OK</v>
      </c>
      <c r="E347" s="254" t="s">
        <v>1977</v>
      </c>
      <c r="F347" s="254">
        <v>0</v>
      </c>
      <c r="G347" s="298"/>
      <c r="H347" s="298" t="s">
        <v>1715</v>
      </c>
      <c r="I347" s="300"/>
      <c r="J347" s="300"/>
      <c r="K347" s="270"/>
      <c r="L347" s="301"/>
      <c r="M347" s="270"/>
      <c r="N347" s="270"/>
      <c r="O347" s="270"/>
      <c r="P347" s="270"/>
      <c r="Q347" s="270"/>
      <c r="R347" s="270"/>
      <c r="S347" s="270"/>
      <c r="T347" s="301"/>
      <c r="U347" s="270"/>
      <c r="V347" s="237"/>
      <c r="W347" s="238">
        <f t="shared" si="19"/>
        <v>0</v>
      </c>
      <c r="Y347" s="223" t="str">
        <f>'[4]Development - i'!E346</f>
        <v>Mosaic tiles 20 cm x 20 cm x 2 cm.</v>
      </c>
      <c r="Z347" s="223" t="str">
        <f t="shared" si="20"/>
        <v>-----------------------</v>
      </c>
    </row>
    <row r="348" spans="1:28" s="241" customFormat="1">
      <c r="A348" s="305">
        <v>29.2</v>
      </c>
      <c r="B348" s="314" t="s">
        <v>1978</v>
      </c>
      <c r="C348" s="314" t="s">
        <v>806</v>
      </c>
      <c r="D348" s="235" t="str">
        <f t="shared" si="21"/>
        <v xml:space="preserve"> OK</v>
      </c>
      <c r="E348" s="254" t="s">
        <v>1979</v>
      </c>
      <c r="F348" s="254">
        <v>0</v>
      </c>
      <c r="G348" s="298">
        <f>ROUND([3]Data!K1259,2)</f>
        <v>1046.23</v>
      </c>
      <c r="H348" s="298" t="s">
        <v>1715</v>
      </c>
      <c r="I348" s="300"/>
      <c r="J348" s="300"/>
      <c r="K348" s="270"/>
      <c r="L348" s="301"/>
      <c r="M348" s="270"/>
      <c r="N348" s="270"/>
      <c r="O348" s="270"/>
      <c r="P348" s="270"/>
      <c r="Q348" s="270"/>
      <c r="R348" s="270"/>
      <c r="S348" s="270"/>
      <c r="T348" s="301"/>
      <c r="U348" s="270"/>
      <c r="V348" s="240"/>
      <c r="W348" s="238">
        <f t="shared" si="19"/>
        <v>0</v>
      </c>
      <c r="Y348" s="223" t="str">
        <f>'[4]Development - i'!E347</f>
        <v>Mosaic tiles 25 cm x 25 cm x 2 cm.</v>
      </c>
      <c r="Z348" s="223" t="str">
        <f t="shared" si="20"/>
        <v>-----------------------</v>
      </c>
    </row>
    <row r="349" spans="1:28" s="241" customFormat="1">
      <c r="A349" s="305">
        <v>29.3</v>
      </c>
      <c r="B349" s="306" t="s">
        <v>807</v>
      </c>
      <c r="C349" s="306" t="s">
        <v>807</v>
      </c>
      <c r="D349" s="235" t="str">
        <f t="shared" si="21"/>
        <v xml:space="preserve"> OK</v>
      </c>
      <c r="E349" s="254" t="s">
        <v>807</v>
      </c>
      <c r="F349" s="254">
        <v>0</v>
      </c>
      <c r="G349" s="298">
        <f>ROUND([3]Data!K1282,2)</f>
        <v>1036.46</v>
      </c>
      <c r="H349" s="298" t="s">
        <v>1715</v>
      </c>
      <c r="I349" s="300"/>
      <c r="J349" s="300"/>
      <c r="K349" s="270"/>
      <c r="L349" s="301"/>
      <c r="M349" s="270"/>
      <c r="N349" s="270"/>
      <c r="O349" s="270"/>
      <c r="P349" s="270"/>
      <c r="Q349" s="270"/>
      <c r="R349" s="270"/>
      <c r="S349" s="270"/>
      <c r="T349" s="301"/>
      <c r="U349" s="270"/>
      <c r="V349" s="240"/>
      <c r="W349" s="238">
        <f t="shared" si="19"/>
        <v>0</v>
      </c>
      <c r="Y349" s="223" t="str">
        <f>'[4]Development - i'!E348</f>
        <v>Floor ceramic tiles</v>
      </c>
      <c r="Z349" s="223" t="str">
        <f t="shared" si="20"/>
        <v>-----------------------</v>
      </c>
    </row>
    <row r="350" spans="1:28" s="241" customFormat="1">
      <c r="A350" s="305">
        <v>29.4</v>
      </c>
      <c r="B350" s="306" t="s">
        <v>808</v>
      </c>
      <c r="C350" s="306" t="s">
        <v>808</v>
      </c>
      <c r="D350" s="235" t="str">
        <f t="shared" si="21"/>
        <v xml:space="preserve"> OK</v>
      </c>
      <c r="E350" s="254" t="s">
        <v>808</v>
      </c>
      <c r="F350" s="254">
        <v>0</v>
      </c>
      <c r="G350" s="298">
        <f>ROUND([3]Data!K1296,2)</f>
        <v>1173.3900000000001</v>
      </c>
      <c r="H350" s="298" t="s">
        <v>1715</v>
      </c>
      <c r="I350" s="300"/>
      <c r="J350" s="300"/>
      <c r="K350" s="270"/>
      <c r="L350" s="301"/>
      <c r="M350" s="270"/>
      <c r="N350" s="270"/>
      <c r="O350" s="270"/>
      <c r="P350" s="270"/>
      <c r="Q350" s="270"/>
      <c r="R350" s="270"/>
      <c r="S350" s="270"/>
      <c r="T350" s="301"/>
      <c r="U350" s="270"/>
      <c r="V350" s="240"/>
      <c r="W350" s="238">
        <f t="shared" si="19"/>
        <v>0</v>
      </c>
      <c r="Y350" s="223" t="str">
        <f>'[4]Development - i'!E349</f>
        <v>Glazed tiles</v>
      </c>
      <c r="Z350" s="223" t="str">
        <f t="shared" si="20"/>
        <v>-----------------------</v>
      </c>
    </row>
    <row r="351" spans="1:28" s="241" customFormat="1">
      <c r="A351" s="305">
        <v>29.5</v>
      </c>
      <c r="B351" s="306" t="s">
        <v>809</v>
      </c>
      <c r="C351" s="306" t="s">
        <v>809</v>
      </c>
      <c r="D351" s="235" t="str">
        <f t="shared" si="21"/>
        <v xml:space="preserve"> OK</v>
      </c>
      <c r="E351" s="254" t="s">
        <v>809</v>
      </c>
      <c r="F351" s="254">
        <v>0</v>
      </c>
      <c r="G351" s="298">
        <f>G350</f>
        <v>1173.3900000000001</v>
      </c>
      <c r="H351" s="298" t="s">
        <v>1715</v>
      </c>
      <c r="I351" s="300"/>
      <c r="J351" s="300"/>
      <c r="K351" s="270"/>
      <c r="L351" s="301"/>
      <c r="M351" s="270"/>
      <c r="N351" s="270"/>
      <c r="O351" s="270"/>
      <c r="P351" s="270"/>
      <c r="Q351" s="270"/>
      <c r="R351" s="270"/>
      <c r="S351" s="270"/>
      <c r="T351" s="301"/>
      <c r="U351" s="270"/>
      <c r="V351" s="240"/>
      <c r="W351" s="238">
        <f t="shared" si="19"/>
        <v>0</v>
      </c>
      <c r="Y351" s="223" t="str">
        <f>'[4]Development - i'!E350</f>
        <v>Floor ceramic tiles (Anti-skid)</v>
      </c>
      <c r="Z351" s="223" t="str">
        <f t="shared" si="20"/>
        <v>-----------------------</v>
      </c>
    </row>
    <row r="352" spans="1:28" s="239" customFormat="1" ht="87">
      <c r="A352" s="320">
        <v>30</v>
      </c>
      <c r="B352" s="290" t="s">
        <v>386</v>
      </c>
      <c r="C352" s="290" t="s">
        <v>386</v>
      </c>
      <c r="D352" s="235" t="str">
        <f t="shared" si="21"/>
        <v xml:space="preserve"> OK</v>
      </c>
      <c r="E352" s="254" t="s">
        <v>386</v>
      </c>
      <c r="F352" s="254" t="s">
        <v>810</v>
      </c>
      <c r="G352" s="298">
        <f>ROUND([3]Data!K1330,2)</f>
        <v>371.17</v>
      </c>
      <c r="H352" s="298" t="s">
        <v>1715</v>
      </c>
      <c r="I352" s="300"/>
      <c r="J352" s="300"/>
      <c r="K352" s="270"/>
      <c r="L352" s="301"/>
      <c r="M352" s="270"/>
      <c r="N352" s="270"/>
      <c r="O352" s="270"/>
      <c r="P352" s="270"/>
      <c r="Q352" s="270"/>
      <c r="R352" s="270"/>
      <c r="S352" s="270"/>
      <c r="T352" s="301"/>
      <c r="U352" s="270"/>
      <c r="V352" s="240"/>
      <c r="W352" s="238">
        <f t="shared" si="19"/>
        <v>0</v>
      </c>
      <c r="Y352" s="223" t="str">
        <f>'[4]Development - i'!E351</f>
        <v>Ellispattern</v>
      </c>
      <c r="Z352" s="223" t="str">
        <f t="shared" si="20"/>
        <v>-----------------------</v>
      </c>
      <c r="AB352" s="239">
        <f>146-34.2</f>
        <v>111.8</v>
      </c>
    </row>
    <row r="353" spans="1:26" s="239" customFormat="1" ht="108.75">
      <c r="A353" s="320">
        <v>31</v>
      </c>
      <c r="B353" s="290" t="s">
        <v>387</v>
      </c>
      <c r="C353" s="290" t="s">
        <v>387</v>
      </c>
      <c r="D353" s="235" t="str">
        <f t="shared" si="21"/>
        <v xml:space="preserve"> OK</v>
      </c>
      <c r="E353" s="254" t="s">
        <v>387</v>
      </c>
      <c r="F353" s="254" t="s">
        <v>811</v>
      </c>
      <c r="G353" s="298">
        <f>ROUND([3]Data!K1348,2)</f>
        <v>3226.6</v>
      </c>
      <c r="H353" s="298" t="s">
        <v>1679</v>
      </c>
      <c r="I353" s="300"/>
      <c r="J353" s="300"/>
      <c r="K353" s="270"/>
      <c r="L353" s="301"/>
      <c r="M353" s="270"/>
      <c r="N353" s="270"/>
      <c r="O353" s="270"/>
      <c r="P353" s="270"/>
      <c r="Q353" s="270"/>
      <c r="R353" s="270"/>
      <c r="S353" s="270"/>
      <c r="T353" s="301"/>
      <c r="U353" s="270"/>
      <c r="V353" s="240"/>
      <c r="W353" s="238">
        <f t="shared" si="19"/>
        <v>0</v>
      </c>
      <c r="Y353" s="223" t="str">
        <f>'[4]Development - i'!E352</f>
        <v>Weathering course</v>
      </c>
      <c r="Z353" s="223" t="str">
        <f t="shared" si="20"/>
        <v>-----------------------</v>
      </c>
    </row>
    <row r="354" spans="1:26" s="241" customFormat="1" ht="46.5">
      <c r="A354" s="309">
        <v>32</v>
      </c>
      <c r="B354" s="310" t="s">
        <v>812</v>
      </c>
      <c r="C354" s="310" t="s">
        <v>812</v>
      </c>
      <c r="D354" s="235" t="str">
        <f t="shared" si="21"/>
        <v xml:space="preserve"> OK</v>
      </c>
      <c r="E354" s="254" t="s">
        <v>812</v>
      </c>
      <c r="F354" s="254">
        <v>0</v>
      </c>
      <c r="G354" s="298"/>
      <c r="H354" s="298" t="s">
        <v>1715</v>
      </c>
      <c r="I354" s="300"/>
      <c r="J354" s="300"/>
      <c r="K354" s="270"/>
      <c r="L354" s="301"/>
      <c r="M354" s="270"/>
      <c r="N354" s="270"/>
      <c r="O354" s="270"/>
      <c r="P354" s="270"/>
      <c r="Q354" s="270"/>
      <c r="R354" s="270"/>
      <c r="S354" s="270"/>
      <c r="T354" s="301"/>
      <c r="U354" s="270"/>
      <c r="V354" s="240"/>
      <c r="W354" s="238">
        <f t="shared" si="19"/>
        <v>0</v>
      </c>
      <c r="Y354" s="223" t="str">
        <f>'[4]Development - i'!E353</f>
        <v>Pressed tiles (23cmx23cmx20mm) mixed with Crude oil</v>
      </c>
      <c r="Z354" s="223" t="str">
        <f t="shared" si="20"/>
        <v>-----------------------</v>
      </c>
    </row>
    <row r="355" spans="1:26" s="241" customFormat="1" ht="130.5">
      <c r="A355" s="305">
        <v>32.1</v>
      </c>
      <c r="B355" s="306" t="s">
        <v>813</v>
      </c>
      <c r="C355" s="306" t="s">
        <v>813</v>
      </c>
      <c r="D355" s="235" t="str">
        <f t="shared" si="21"/>
        <v xml:space="preserve"> OK</v>
      </c>
      <c r="E355" s="254" t="s">
        <v>813</v>
      </c>
      <c r="F355" s="254" t="s">
        <v>814</v>
      </c>
      <c r="G355" s="298">
        <f>ROUND([3]Data!K1383,2)</f>
        <v>1034.6099999999999</v>
      </c>
      <c r="H355" s="298" t="s">
        <v>1715</v>
      </c>
      <c r="I355" s="300"/>
      <c r="J355" s="300"/>
      <c r="K355" s="270"/>
      <c r="L355" s="301"/>
      <c r="M355" s="270"/>
      <c r="N355" s="270"/>
      <c r="O355" s="270"/>
      <c r="P355" s="270"/>
      <c r="Q355" s="270"/>
      <c r="R355" s="270"/>
      <c r="S355" s="270"/>
      <c r="T355" s="301"/>
      <c r="U355" s="270"/>
      <c r="V355" s="240"/>
      <c r="W355" s="238">
        <f t="shared" si="19"/>
        <v>0</v>
      </c>
      <c r="Y355" s="223" t="str">
        <f>'[4]Development - i'!E354</f>
        <v>Pressed tiles (23cmx23cmx20mm) mixed with Water proofing compound</v>
      </c>
      <c r="Z355" s="223" t="str">
        <f t="shared" si="20"/>
        <v>-----------------------</v>
      </c>
    </row>
    <row r="356" spans="1:26" s="241" customFormat="1" ht="46.5">
      <c r="A356" s="311">
        <v>32.200000000000003</v>
      </c>
      <c r="B356" s="306" t="s">
        <v>815</v>
      </c>
      <c r="C356" s="306" t="s">
        <v>815</v>
      </c>
      <c r="D356" s="235" t="str">
        <f t="shared" si="21"/>
        <v xml:space="preserve"> OK</v>
      </c>
      <c r="E356" s="254" t="s">
        <v>815</v>
      </c>
      <c r="F356" s="254">
        <v>0</v>
      </c>
      <c r="G356" s="298"/>
      <c r="H356" s="298" t="s">
        <v>1715</v>
      </c>
      <c r="I356" s="300"/>
      <c r="J356" s="300"/>
      <c r="K356" s="270"/>
      <c r="L356" s="301"/>
      <c r="M356" s="270"/>
      <c r="N356" s="270"/>
      <c r="O356" s="270"/>
      <c r="P356" s="270"/>
      <c r="Q356" s="270"/>
      <c r="R356" s="270"/>
      <c r="S356" s="270"/>
      <c r="T356" s="301"/>
      <c r="U356" s="270"/>
      <c r="V356" s="242"/>
      <c r="W356" s="238">
        <f t="shared" si="19"/>
        <v>0</v>
      </c>
      <c r="Y356" s="223" t="str">
        <f>'[4]Development - i'!E355</f>
        <v>Pressed tiles (23cmx23cmx18mm) mixed with Water proofing compound</v>
      </c>
      <c r="Z356" s="223" t="str">
        <f t="shared" si="20"/>
        <v>-----------------------</v>
      </c>
    </row>
    <row r="357" spans="1:26" ht="65.25">
      <c r="A357" s="234">
        <v>33</v>
      </c>
      <c r="B357" s="289" t="s">
        <v>396</v>
      </c>
      <c r="C357" s="290" t="s">
        <v>396</v>
      </c>
      <c r="D357" s="235" t="str">
        <f t="shared" si="21"/>
        <v xml:space="preserve"> OK</v>
      </c>
      <c r="E357" s="254" t="s">
        <v>396</v>
      </c>
      <c r="F357" s="254" t="s">
        <v>27</v>
      </c>
      <c r="G357" s="298">
        <f>ROUND([3]Data!K1418,2)</f>
        <v>210.37</v>
      </c>
      <c r="H357" s="298" t="s">
        <v>1715</v>
      </c>
      <c r="I357" s="299"/>
      <c r="J357" s="300"/>
      <c r="K357" s="270"/>
      <c r="L357" s="301"/>
      <c r="M357" s="270"/>
      <c r="N357" s="270"/>
      <c r="O357" s="270"/>
      <c r="P357" s="270"/>
      <c r="Q357" s="270"/>
      <c r="R357" s="270"/>
      <c r="S357" s="270"/>
      <c r="T357" s="301"/>
      <c r="U357" s="302"/>
      <c r="V357" s="236">
        <f>'[3]Precast Compound wall '!H187</f>
        <v>29</v>
      </c>
      <c r="W357" s="233">
        <f t="shared" si="19"/>
        <v>6270.38</v>
      </c>
      <c r="Y357" s="223" t="str">
        <f>'[4]Development - i'!E356</f>
        <v>Plastering in C.M. 1:5, 12 mm tk.</v>
      </c>
      <c r="Z357" s="223" t="str">
        <f t="shared" si="20"/>
        <v>-----------------------</v>
      </c>
    </row>
    <row r="358" spans="1:26" s="239" customFormat="1" ht="65.25">
      <c r="A358" s="321">
        <v>34</v>
      </c>
      <c r="B358" s="290" t="s">
        <v>406</v>
      </c>
      <c r="C358" s="290" t="s">
        <v>406</v>
      </c>
      <c r="D358" s="235" t="str">
        <f t="shared" si="21"/>
        <v xml:space="preserve"> OK</v>
      </c>
      <c r="E358" s="254" t="s">
        <v>406</v>
      </c>
      <c r="F358" s="254" t="s">
        <v>153</v>
      </c>
      <c r="G358" s="298">
        <f>ROUND([3]Data!K1432,2)</f>
        <v>216.22</v>
      </c>
      <c r="H358" s="298" t="s">
        <v>1715</v>
      </c>
      <c r="I358" s="300"/>
      <c r="J358" s="300"/>
      <c r="K358" s="270"/>
      <c r="L358" s="301"/>
      <c r="M358" s="270"/>
      <c r="N358" s="270"/>
      <c r="O358" s="270"/>
      <c r="P358" s="270"/>
      <c r="Q358" s="270"/>
      <c r="R358" s="270"/>
      <c r="S358" s="270"/>
      <c r="T358" s="301"/>
      <c r="U358" s="270"/>
      <c r="V358" s="237"/>
      <c r="W358" s="238">
        <f t="shared" si="19"/>
        <v>0</v>
      </c>
      <c r="Y358" s="223" t="str">
        <f>'[4]Development - i'!E357</f>
        <v>Plastering in C.M. 1:4, 12 mm tk.</v>
      </c>
      <c r="Z358" s="223" t="str">
        <f t="shared" si="20"/>
        <v>-----------------------</v>
      </c>
    </row>
    <row r="359" spans="1:26" s="239" customFormat="1" ht="87">
      <c r="A359" s="320">
        <v>35</v>
      </c>
      <c r="B359" s="290" t="s">
        <v>407</v>
      </c>
      <c r="C359" s="290" t="s">
        <v>407</v>
      </c>
      <c r="D359" s="235" t="str">
        <f t="shared" si="21"/>
        <v xml:space="preserve"> OK</v>
      </c>
      <c r="E359" s="254" t="s">
        <v>407</v>
      </c>
      <c r="F359" s="254" t="s">
        <v>35</v>
      </c>
      <c r="G359" s="298">
        <f>ROUND([3]Data!K1444,2)</f>
        <v>239.67</v>
      </c>
      <c r="H359" s="298" t="s">
        <v>1715</v>
      </c>
      <c r="I359" s="300"/>
      <c r="J359" s="300"/>
      <c r="K359" s="270"/>
      <c r="L359" s="301"/>
      <c r="M359" s="270"/>
      <c r="N359" s="270"/>
      <c r="O359" s="270"/>
      <c r="P359" s="270"/>
      <c r="Q359" s="270"/>
      <c r="R359" s="270"/>
      <c r="S359" s="270"/>
      <c r="T359" s="301"/>
      <c r="U359" s="270"/>
      <c r="V359" s="240"/>
      <c r="W359" s="238">
        <f t="shared" si="19"/>
        <v>0</v>
      </c>
      <c r="Y359" s="223" t="str">
        <f>'[4]Development - i'!E358</f>
        <v>Spl. Ceiling plastering in C.M. 1:3, 10 mm tk.</v>
      </c>
      <c r="Z359" s="223" t="str">
        <f t="shared" si="20"/>
        <v>ERRR</v>
      </c>
    </row>
    <row r="360" spans="1:26" s="239" customFormat="1" ht="65.25">
      <c r="A360" s="320">
        <v>36</v>
      </c>
      <c r="B360" s="316" t="s">
        <v>414</v>
      </c>
      <c r="C360" s="316" t="s">
        <v>414</v>
      </c>
      <c r="D360" s="235" t="str">
        <f t="shared" si="21"/>
        <v xml:space="preserve"> OK</v>
      </c>
      <c r="E360" s="254" t="s">
        <v>414</v>
      </c>
      <c r="F360" s="254" t="s">
        <v>816</v>
      </c>
      <c r="G360" s="298"/>
      <c r="H360" s="298"/>
      <c r="I360" s="300"/>
      <c r="J360" s="300"/>
      <c r="K360" s="270"/>
      <c r="L360" s="301"/>
      <c r="M360" s="270"/>
      <c r="N360" s="270"/>
      <c r="O360" s="270"/>
      <c r="P360" s="270"/>
      <c r="Q360" s="270"/>
      <c r="R360" s="270"/>
      <c r="S360" s="270"/>
      <c r="T360" s="312"/>
      <c r="U360" s="270"/>
      <c r="V360" s="240"/>
      <c r="W360" s="238">
        <f t="shared" si="19"/>
        <v>0</v>
      </c>
      <c r="Y360" s="223" t="str">
        <f>'[4]Development - i'!E359</f>
        <v>Cement mortar Border in  C.M. 1:5, 12 mm tk.</v>
      </c>
      <c r="Z360" s="223" t="str">
        <f t="shared" si="20"/>
        <v>-----------------------</v>
      </c>
    </row>
    <row r="361" spans="1:26" s="239" customFormat="1">
      <c r="A361" s="290" t="s">
        <v>30</v>
      </c>
      <c r="B361" s="290" t="s">
        <v>415</v>
      </c>
      <c r="C361" s="290" t="s">
        <v>415</v>
      </c>
      <c r="D361" s="235" t="str">
        <f t="shared" si="21"/>
        <v xml:space="preserve"> OK</v>
      </c>
      <c r="E361" s="254" t="s">
        <v>415</v>
      </c>
      <c r="F361" s="254" t="s">
        <v>817</v>
      </c>
      <c r="G361" s="298">
        <f>ROUND([3]Data!K1478,2)</f>
        <v>66.099999999999994</v>
      </c>
      <c r="H361" s="298" t="s">
        <v>12</v>
      </c>
      <c r="I361" s="300"/>
      <c r="J361" s="300"/>
      <c r="K361" s="270"/>
      <c r="L361" s="301"/>
      <c r="M361" s="270"/>
      <c r="N361" s="270"/>
      <c r="O361" s="270"/>
      <c r="P361" s="270"/>
      <c r="Q361" s="270"/>
      <c r="R361" s="270"/>
      <c r="S361" s="270"/>
      <c r="T361" s="301"/>
      <c r="U361" s="270"/>
      <c r="V361" s="240"/>
      <c r="W361" s="238">
        <f t="shared" si="19"/>
        <v>0</v>
      </c>
      <c r="Y361" s="223" t="str">
        <f>'[4]Development - i'!E360</f>
        <v>a. 150 mm wide</v>
      </c>
      <c r="Z361" s="223" t="str">
        <f t="shared" si="20"/>
        <v>-----------------------</v>
      </c>
    </row>
    <row r="362" spans="1:26" s="239" customFormat="1">
      <c r="A362" s="290"/>
      <c r="B362" s="290" t="s">
        <v>417</v>
      </c>
      <c r="C362" s="290" t="s">
        <v>417</v>
      </c>
      <c r="D362" s="235" t="str">
        <f t="shared" si="21"/>
        <v xml:space="preserve"> OK</v>
      </c>
      <c r="E362" s="254" t="s">
        <v>417</v>
      </c>
      <c r="F362" s="254" t="s">
        <v>818</v>
      </c>
      <c r="G362" s="298">
        <f>ROUND([3]Data!K1490,2)</f>
        <v>42.91</v>
      </c>
      <c r="H362" s="298" t="s">
        <v>12</v>
      </c>
      <c r="I362" s="300"/>
      <c r="J362" s="300"/>
      <c r="K362" s="270"/>
      <c r="L362" s="301"/>
      <c r="M362" s="270"/>
      <c r="N362" s="270"/>
      <c r="O362" s="270"/>
      <c r="P362" s="270"/>
      <c r="Q362" s="270"/>
      <c r="R362" s="270"/>
      <c r="S362" s="270"/>
      <c r="T362" s="301"/>
      <c r="U362" s="270"/>
      <c r="V362" s="240"/>
      <c r="W362" s="238">
        <f t="shared" si="19"/>
        <v>0</v>
      </c>
      <c r="Y362" s="223" t="str">
        <f>'[4]Development - i'!E361</f>
        <v>b. 75 mm wide</v>
      </c>
      <c r="Z362" s="223" t="str">
        <f t="shared" si="20"/>
        <v>-----------------------</v>
      </c>
    </row>
    <row r="363" spans="1:26" s="239" customFormat="1">
      <c r="A363" s="341"/>
      <c r="B363" s="322" t="s">
        <v>418</v>
      </c>
      <c r="C363" s="322" t="s">
        <v>418</v>
      </c>
      <c r="D363" s="235" t="str">
        <f t="shared" si="21"/>
        <v xml:space="preserve"> OK</v>
      </c>
      <c r="E363" s="254" t="s">
        <v>418</v>
      </c>
      <c r="F363" s="254" t="s">
        <v>819</v>
      </c>
      <c r="G363" s="298">
        <f>ROUND([3]Data!K1503,2)</f>
        <v>31.91</v>
      </c>
      <c r="H363" s="298" t="s">
        <v>12</v>
      </c>
      <c r="I363" s="300"/>
      <c r="J363" s="300"/>
      <c r="K363" s="270"/>
      <c r="L363" s="301"/>
      <c r="M363" s="270"/>
      <c r="N363" s="270"/>
      <c r="O363" s="270"/>
      <c r="P363" s="270"/>
      <c r="Q363" s="270"/>
      <c r="R363" s="270"/>
      <c r="S363" s="270"/>
      <c r="T363" s="301"/>
      <c r="U363" s="270"/>
      <c r="V363" s="240"/>
      <c r="W363" s="238">
        <f t="shared" si="19"/>
        <v>0</v>
      </c>
      <c r="Y363" s="223" t="str">
        <f>'[4]Development - i'!E362</f>
        <v>c. 50 mm wide</v>
      </c>
      <c r="Z363" s="223" t="str">
        <f t="shared" si="20"/>
        <v>-----------------------</v>
      </c>
    </row>
    <row r="364" spans="1:26" s="239" customFormat="1" ht="43.5">
      <c r="A364" s="320">
        <v>37.1</v>
      </c>
      <c r="B364" s="290" t="s">
        <v>1980</v>
      </c>
      <c r="C364" s="290" t="s">
        <v>820</v>
      </c>
      <c r="D364" s="235" t="str">
        <f t="shared" si="21"/>
        <v xml:space="preserve"> OK</v>
      </c>
      <c r="E364" s="254" t="s">
        <v>1981</v>
      </c>
      <c r="F364" s="254" t="s">
        <v>37</v>
      </c>
      <c r="G364" s="298">
        <f>ROUND([3]Data!K1516,2)</f>
        <v>36.840000000000003</v>
      </c>
      <c r="H364" s="298" t="s">
        <v>1715</v>
      </c>
      <c r="I364" s="300"/>
      <c r="J364" s="300"/>
      <c r="K364" s="270"/>
      <c r="L364" s="301"/>
      <c r="M364" s="270"/>
      <c r="N364" s="270"/>
      <c r="O364" s="270"/>
      <c r="P364" s="270"/>
      <c r="Q364" s="270"/>
      <c r="R364" s="270"/>
      <c r="S364" s="270"/>
      <c r="T364" s="301"/>
      <c r="U364" s="270"/>
      <c r="V364" s="240"/>
      <c r="W364" s="238">
        <f t="shared" si="19"/>
        <v>0</v>
      </c>
      <c r="Y364" s="223" t="str">
        <f>'[4]Development - i'!E363</f>
        <v>White washing 3 coats  (slaked)</v>
      </c>
      <c r="Z364" s="223" t="str">
        <f t="shared" si="20"/>
        <v>-----------------------</v>
      </c>
    </row>
    <row r="365" spans="1:26" s="241" customFormat="1">
      <c r="A365" s="309">
        <v>37.200000000000003</v>
      </c>
      <c r="B365" s="310" t="s">
        <v>1982</v>
      </c>
      <c r="C365" s="310" t="s">
        <v>821</v>
      </c>
      <c r="D365" s="235" t="str">
        <f t="shared" si="21"/>
        <v xml:space="preserve"> OK</v>
      </c>
      <c r="E365" s="254" t="s">
        <v>1983</v>
      </c>
      <c r="F365" s="254">
        <v>0</v>
      </c>
      <c r="G365" s="298"/>
      <c r="H365" s="298" t="s">
        <v>1715</v>
      </c>
      <c r="I365" s="300"/>
      <c r="J365" s="300"/>
      <c r="K365" s="270"/>
      <c r="L365" s="301"/>
      <c r="M365" s="270"/>
      <c r="N365" s="270"/>
      <c r="O365" s="270"/>
      <c r="P365" s="270"/>
      <c r="Q365" s="270"/>
      <c r="R365" s="270"/>
      <c r="S365" s="270"/>
      <c r="T365" s="301"/>
      <c r="U365" s="270"/>
      <c r="V365" s="240"/>
      <c r="W365" s="238">
        <f t="shared" si="19"/>
        <v>0</v>
      </c>
      <c r="Y365" s="223" t="str">
        <f>'[4]Development - i'!E364</f>
        <v>Colour washing  ( slaked)</v>
      </c>
      <c r="Z365" s="223" t="str">
        <f t="shared" si="20"/>
        <v>-----------------------</v>
      </c>
    </row>
    <row r="366" spans="1:26" s="241" customFormat="1">
      <c r="A366" s="305">
        <v>38.1</v>
      </c>
      <c r="B366" s="306" t="s">
        <v>822</v>
      </c>
      <c r="C366" s="306" t="s">
        <v>822</v>
      </c>
      <c r="D366" s="235" t="str">
        <f t="shared" si="21"/>
        <v xml:space="preserve"> OK</v>
      </c>
      <c r="E366" s="254" t="s">
        <v>822</v>
      </c>
      <c r="F366" s="254">
        <v>0</v>
      </c>
      <c r="G366" s="298">
        <f>ROUND([3]Data!K1531,2)</f>
        <v>163.52000000000001</v>
      </c>
      <c r="H366" s="298" t="s">
        <v>1715</v>
      </c>
      <c r="I366" s="300"/>
      <c r="J366" s="300"/>
      <c r="K366" s="270"/>
      <c r="L366" s="301"/>
      <c r="M366" s="270"/>
      <c r="N366" s="270"/>
      <c r="O366" s="270"/>
      <c r="P366" s="270"/>
      <c r="Q366" s="270"/>
      <c r="R366" s="270"/>
      <c r="S366" s="270"/>
      <c r="T366" s="301"/>
      <c r="U366" s="270"/>
      <c r="V366" s="240"/>
      <c r="W366" s="238">
        <f t="shared" ref="W366:W429" si="22">ROUND(G367,2)*ROUND(V366,2)</f>
        <v>0</v>
      </c>
      <c r="Y366" s="223" t="str">
        <f>'[4]Development - i'!E365</f>
        <v>Cement paint</v>
      </c>
      <c r="Z366" s="223" t="str">
        <f t="shared" si="20"/>
        <v>-----------------------</v>
      </c>
    </row>
    <row r="367" spans="1:26" s="241" customFormat="1">
      <c r="A367" s="305">
        <v>38.200000000000003</v>
      </c>
      <c r="B367" s="306" t="s">
        <v>823</v>
      </c>
      <c r="C367" s="306" t="s">
        <v>823</v>
      </c>
      <c r="D367" s="235" t="str">
        <f t="shared" si="21"/>
        <v xml:space="preserve"> OK</v>
      </c>
      <c r="E367" s="254" t="s">
        <v>823</v>
      </c>
      <c r="F367" s="254">
        <v>0</v>
      </c>
      <c r="G367" s="298">
        <f>ROUND([3]Data!K1544,2)</f>
        <v>141.13999999999999</v>
      </c>
      <c r="H367" s="298" t="s">
        <v>1715</v>
      </c>
      <c r="I367" s="300"/>
      <c r="J367" s="300"/>
      <c r="K367" s="270"/>
      <c r="L367" s="301"/>
      <c r="M367" s="270"/>
      <c r="N367" s="270"/>
      <c r="O367" s="270"/>
      <c r="P367" s="270"/>
      <c r="Q367" s="270"/>
      <c r="R367" s="270"/>
      <c r="S367" s="270"/>
      <c r="T367" s="301"/>
      <c r="U367" s="270"/>
      <c r="V367" s="240"/>
      <c r="W367" s="238">
        <f t="shared" si="22"/>
        <v>0</v>
      </c>
      <c r="Y367" s="223" t="str">
        <f>'[4]Development - i'!E366</f>
        <v>Matt paint</v>
      </c>
      <c r="Z367" s="223" t="str">
        <f t="shared" si="20"/>
        <v>-----------------------</v>
      </c>
    </row>
    <row r="368" spans="1:26" s="239" customFormat="1" ht="43.5">
      <c r="A368" s="320">
        <v>39</v>
      </c>
      <c r="B368" s="290" t="s">
        <v>371</v>
      </c>
      <c r="C368" s="290" t="s">
        <v>371</v>
      </c>
      <c r="D368" s="235" t="str">
        <f t="shared" si="21"/>
        <v xml:space="preserve"> OK</v>
      </c>
      <c r="E368" s="254" t="s">
        <v>371</v>
      </c>
      <c r="F368" s="254" t="s">
        <v>39</v>
      </c>
      <c r="G368" s="298">
        <f>[3]Data!K1211</f>
        <v>54.5</v>
      </c>
      <c r="H368" s="298" t="s">
        <v>1973</v>
      </c>
      <c r="I368" s="300"/>
      <c r="J368" s="300"/>
      <c r="K368" s="270"/>
      <c r="L368" s="301"/>
      <c r="M368" s="270"/>
      <c r="N368" s="270"/>
      <c r="O368" s="270"/>
      <c r="P368" s="270"/>
      <c r="Q368" s="270"/>
      <c r="R368" s="270"/>
      <c r="S368" s="270"/>
      <c r="T368" s="301"/>
      <c r="U368" s="270"/>
      <c r="V368" s="240"/>
      <c r="W368" s="238">
        <f t="shared" si="22"/>
        <v>0</v>
      </c>
      <c r="Y368" s="223" t="str">
        <f>'[4]Development - i'!E367</f>
        <v>M.s Grills</v>
      </c>
      <c r="Z368" s="223" t="str">
        <f t="shared" si="20"/>
        <v>-----------------------</v>
      </c>
    </row>
    <row r="369" spans="1:26" s="239" customFormat="1" ht="108.75">
      <c r="A369" s="340">
        <v>40</v>
      </c>
      <c r="B369" s="290" t="s">
        <v>423</v>
      </c>
      <c r="C369" s="290" t="s">
        <v>423</v>
      </c>
      <c r="D369" s="235" t="str">
        <f t="shared" si="21"/>
        <v xml:space="preserve"> OK</v>
      </c>
      <c r="E369" s="254" t="s">
        <v>423</v>
      </c>
      <c r="F369" s="254" t="s">
        <v>824</v>
      </c>
      <c r="G369" s="298">
        <f>ROUND([3]Data!K1558,2)</f>
        <v>203.43</v>
      </c>
      <c r="H369" s="298" t="s">
        <v>1715</v>
      </c>
      <c r="I369" s="300"/>
      <c r="J369" s="300"/>
      <c r="K369" s="270"/>
      <c r="L369" s="301"/>
      <c r="M369" s="270"/>
      <c r="N369" s="270"/>
      <c r="O369" s="270"/>
      <c r="P369" s="270"/>
      <c r="Q369" s="270"/>
      <c r="R369" s="270"/>
      <c r="S369" s="270"/>
      <c r="T369" s="301"/>
      <c r="U369" s="270"/>
      <c r="V369" s="242"/>
      <c r="W369" s="238">
        <f t="shared" si="22"/>
        <v>0</v>
      </c>
      <c r="Y369" s="223" t="str">
        <f>'[4]Development - i'!E368</f>
        <v>Painting - New "wood work"</v>
      </c>
      <c r="Z369" s="223" t="str">
        <f t="shared" si="20"/>
        <v>-----------------------</v>
      </c>
    </row>
    <row r="370" spans="1:26" ht="108.75">
      <c r="A370" s="234">
        <v>41</v>
      </c>
      <c r="B370" s="289" t="s">
        <v>424</v>
      </c>
      <c r="C370" s="290" t="s">
        <v>424</v>
      </c>
      <c r="D370" s="235" t="str">
        <f t="shared" si="21"/>
        <v xml:space="preserve"> OK</v>
      </c>
      <c r="E370" s="254" t="s">
        <v>424</v>
      </c>
      <c r="F370" s="254" t="s">
        <v>43</v>
      </c>
      <c r="G370" s="298">
        <f>ROUND([3]Data!K1571,2)</f>
        <v>120.73</v>
      </c>
      <c r="H370" s="298" t="s">
        <v>1715</v>
      </c>
      <c r="I370" s="299"/>
      <c r="J370" s="300"/>
      <c r="K370" s="270"/>
      <c r="L370" s="301"/>
      <c r="M370" s="270"/>
      <c r="N370" s="270"/>
      <c r="O370" s="270"/>
      <c r="P370" s="270"/>
      <c r="Q370" s="270"/>
      <c r="R370" s="270"/>
      <c r="S370" s="270"/>
      <c r="T370" s="301"/>
      <c r="U370" s="302"/>
      <c r="V370" s="236">
        <f>'[3]Precast Compound wall '!H429</f>
        <v>54</v>
      </c>
      <c r="W370" s="233">
        <f t="shared" si="22"/>
        <v>0</v>
      </c>
      <c r="Y370" s="223" t="str">
        <f>'[4]Development - i'!E369</f>
        <v>Painting - New "iron work"</v>
      </c>
      <c r="Z370" s="223" t="str">
        <f t="shared" si="20"/>
        <v>-----------------------</v>
      </c>
    </row>
    <row r="371" spans="1:26" s="241" customFormat="1" ht="108.75">
      <c r="A371" s="309">
        <v>42</v>
      </c>
      <c r="B371" s="310" t="s">
        <v>1984</v>
      </c>
      <c r="C371" s="310" t="s">
        <v>825</v>
      </c>
      <c r="D371" s="235" t="str">
        <f t="shared" si="21"/>
        <v xml:space="preserve"> OK</v>
      </c>
      <c r="E371" s="254" t="s">
        <v>1985</v>
      </c>
      <c r="F371" s="254" t="s">
        <v>826</v>
      </c>
      <c r="G371" s="298"/>
      <c r="H371" s="298"/>
      <c r="I371" s="300"/>
      <c r="J371" s="300"/>
      <c r="K371" s="270"/>
      <c r="L371" s="301"/>
      <c r="M371" s="270"/>
      <c r="N371" s="270"/>
      <c r="O371" s="270"/>
      <c r="P371" s="270"/>
      <c r="Q371" s="270"/>
      <c r="R371" s="270"/>
      <c r="S371" s="270"/>
      <c r="T371" s="301"/>
      <c r="U371" s="270"/>
      <c r="V371" s="240"/>
      <c r="W371" s="238">
        <f t="shared" si="22"/>
        <v>0</v>
      </c>
      <c r="Y371" s="223" t="str">
        <f>'[4]Development - i'!E370</f>
        <v>Fabrication of Mild steel / RTS grills(with cement slurry wash)</v>
      </c>
      <c r="Z371" s="223" t="str">
        <f t="shared" si="20"/>
        <v>ERRR</v>
      </c>
    </row>
    <row r="372" spans="1:26" s="241" customFormat="1" ht="69.75">
      <c r="A372" s="306"/>
      <c r="B372" s="306" t="s">
        <v>1986</v>
      </c>
      <c r="C372" s="306" t="s">
        <v>1986</v>
      </c>
      <c r="D372" s="235" t="str">
        <f t="shared" si="21"/>
        <v xml:space="preserve"> OK</v>
      </c>
      <c r="E372" s="254" t="s">
        <v>1987</v>
      </c>
      <c r="F372" s="254" t="s">
        <v>827</v>
      </c>
      <c r="G372" s="298">
        <f>ROUND([3]Data!K1600,2)</f>
        <v>71587.100000000006</v>
      </c>
      <c r="H372" s="298" t="s">
        <v>22</v>
      </c>
      <c r="I372" s="300"/>
      <c r="J372" s="300"/>
      <c r="K372" s="270"/>
      <c r="L372" s="301"/>
      <c r="M372" s="270"/>
      <c r="N372" s="270"/>
      <c r="O372" s="270"/>
      <c r="P372" s="270"/>
      <c r="Q372" s="270"/>
      <c r="R372" s="270"/>
      <c r="S372" s="270"/>
      <c r="T372" s="301"/>
      <c r="U372" s="270"/>
      <c r="V372" s="240"/>
      <c r="W372" s="238">
        <f t="shared" si="22"/>
        <v>0</v>
      </c>
      <c r="Y372" s="223" t="str">
        <f>'[4]Development - i'!E371</f>
        <v>a. upto 16mm dia rods Fabrication of Mild steel / RTS grills(with cement slurry wash)</v>
      </c>
      <c r="Z372" s="223" t="str">
        <f t="shared" si="20"/>
        <v>ERRR</v>
      </c>
    </row>
    <row r="373" spans="1:26" s="241" customFormat="1" ht="69.75">
      <c r="A373" s="326"/>
      <c r="B373" s="306" t="s">
        <v>1988</v>
      </c>
      <c r="C373" s="306" t="s">
        <v>1988</v>
      </c>
      <c r="D373" s="235" t="str">
        <f t="shared" si="21"/>
        <v xml:space="preserve"> OK</v>
      </c>
      <c r="E373" s="254" t="s">
        <v>1989</v>
      </c>
      <c r="F373" s="254" t="s">
        <v>828</v>
      </c>
      <c r="G373" s="298">
        <f>ROUND([3]Data!K1613,2)</f>
        <v>71587.100000000006</v>
      </c>
      <c r="H373" s="298" t="s">
        <v>22</v>
      </c>
      <c r="I373" s="300"/>
      <c r="J373" s="300"/>
      <c r="K373" s="270"/>
      <c r="L373" s="301"/>
      <c r="M373" s="270"/>
      <c r="N373" s="270"/>
      <c r="O373" s="270"/>
      <c r="P373" s="270"/>
      <c r="Q373" s="270"/>
      <c r="R373" s="270"/>
      <c r="S373" s="270"/>
      <c r="T373" s="301"/>
      <c r="U373" s="270"/>
      <c r="V373" s="240"/>
      <c r="W373" s="238">
        <f t="shared" si="22"/>
        <v>0</v>
      </c>
      <c r="Y373" s="223" t="str">
        <f>'[4]Development - i'!E372</f>
        <v>b. above 16mm dia rods Fabrication of Mild steel / RTS grills(with cement slurry wash)</v>
      </c>
      <c r="Z373" s="223" t="str">
        <f t="shared" si="20"/>
        <v>ERRR</v>
      </c>
    </row>
    <row r="374" spans="1:26" s="241" customFormat="1" ht="65.25">
      <c r="A374" s="305">
        <v>43</v>
      </c>
      <c r="B374" s="306" t="s">
        <v>1990</v>
      </c>
      <c r="C374" s="306" t="s">
        <v>829</v>
      </c>
      <c r="D374" s="235" t="str">
        <f t="shared" si="21"/>
        <v xml:space="preserve"> OK</v>
      </c>
      <c r="E374" s="254" t="s">
        <v>1991</v>
      </c>
      <c r="F374" s="254" t="s">
        <v>830</v>
      </c>
      <c r="G374" s="298"/>
      <c r="H374" s="298"/>
      <c r="I374" s="300"/>
      <c r="J374" s="300"/>
      <c r="K374" s="270"/>
      <c r="L374" s="301"/>
      <c r="M374" s="270"/>
      <c r="N374" s="270"/>
      <c r="O374" s="270"/>
      <c r="P374" s="270"/>
      <c r="Q374" s="270"/>
      <c r="R374" s="270"/>
      <c r="S374" s="270"/>
      <c r="T374" s="301"/>
      <c r="U374" s="270"/>
      <c r="V374" s="240"/>
      <c r="W374" s="238">
        <f t="shared" si="22"/>
        <v>0</v>
      </c>
      <c r="Y374" s="223" t="str">
        <f>'[4]Development - i'!E373</f>
        <v xml:space="preserve">Fabrication of Mild steel / RTS grills </v>
      </c>
      <c r="Z374" s="223" t="str">
        <f t="shared" si="20"/>
        <v>ERRR</v>
      </c>
    </row>
    <row r="375" spans="1:26" s="241" customFormat="1" ht="46.5">
      <c r="A375" s="306"/>
      <c r="B375" s="306" t="s">
        <v>1986</v>
      </c>
      <c r="C375" s="306" t="s">
        <v>1986</v>
      </c>
      <c r="D375" s="235" t="str">
        <f t="shared" si="21"/>
        <v xml:space="preserve"> OK</v>
      </c>
      <c r="E375" s="254" t="s">
        <v>1992</v>
      </c>
      <c r="F375" s="254" t="s">
        <v>827</v>
      </c>
      <c r="G375" s="298">
        <f>ROUND([3]Data!K1626,2)</f>
        <v>69949.8</v>
      </c>
      <c r="H375" s="298" t="s">
        <v>22</v>
      </c>
      <c r="I375" s="300"/>
      <c r="J375" s="300"/>
      <c r="K375" s="270"/>
      <c r="L375" s="301"/>
      <c r="M375" s="270"/>
      <c r="N375" s="270"/>
      <c r="O375" s="270"/>
      <c r="P375" s="270"/>
      <c r="Q375" s="270"/>
      <c r="R375" s="270"/>
      <c r="S375" s="270"/>
      <c r="T375" s="301"/>
      <c r="U375" s="270"/>
      <c r="V375" s="240"/>
      <c r="W375" s="238">
        <f t="shared" si="22"/>
        <v>0</v>
      </c>
      <c r="Y375" s="223" t="str">
        <f>'[4]Development - i'!E374</f>
        <v xml:space="preserve">a. upto 16mm dia rods Fabrication of Mild steel / RTS grills </v>
      </c>
      <c r="Z375" s="223" t="str">
        <f t="shared" si="20"/>
        <v>-----------------------</v>
      </c>
    </row>
    <row r="376" spans="1:26" s="241" customFormat="1" ht="46.5">
      <c r="A376" s="326"/>
      <c r="B376" s="306" t="s">
        <v>1988</v>
      </c>
      <c r="C376" s="306" t="s">
        <v>1988</v>
      </c>
      <c r="D376" s="235" t="str">
        <f t="shared" si="21"/>
        <v xml:space="preserve"> OK</v>
      </c>
      <c r="E376" s="254" t="s">
        <v>1993</v>
      </c>
      <c r="F376" s="254" t="s">
        <v>828</v>
      </c>
      <c r="G376" s="298">
        <f>ROUND([3]Data!K1638,2)</f>
        <v>69949.8</v>
      </c>
      <c r="H376" s="298" t="s">
        <v>22</v>
      </c>
      <c r="I376" s="300"/>
      <c r="J376" s="300"/>
      <c r="K376" s="270"/>
      <c r="L376" s="301"/>
      <c r="M376" s="270"/>
      <c r="N376" s="270"/>
      <c r="O376" s="270"/>
      <c r="P376" s="270"/>
      <c r="Q376" s="270"/>
      <c r="R376" s="270"/>
      <c r="S376" s="270"/>
      <c r="T376" s="301"/>
      <c r="U376" s="270"/>
      <c r="V376" s="240"/>
      <c r="W376" s="238">
        <f t="shared" si="22"/>
        <v>0</v>
      </c>
      <c r="Y376" s="223" t="str">
        <f>'[4]Development - i'!E375</f>
        <v xml:space="preserve">b. above 16mm dia rodsFabrication of Mild steel / RTS grills </v>
      </c>
      <c r="Z376" s="223" t="str">
        <f t="shared" si="20"/>
        <v>-----------------------</v>
      </c>
    </row>
    <row r="377" spans="1:26" s="241" customFormat="1">
      <c r="A377" s="305">
        <v>44.1</v>
      </c>
      <c r="B377" s="306" t="s">
        <v>1994</v>
      </c>
      <c r="C377" s="306" t="s">
        <v>831</v>
      </c>
      <c r="D377" s="235" t="str">
        <f t="shared" si="21"/>
        <v xml:space="preserve"> OK</v>
      </c>
      <c r="E377" s="254" t="s">
        <v>1995</v>
      </c>
      <c r="F377" s="254">
        <v>0</v>
      </c>
      <c r="G377" s="298">
        <f>ROUND([3]Data!K1656,2)</f>
        <v>310.89999999999998</v>
      </c>
      <c r="H377" s="298" t="s">
        <v>12</v>
      </c>
      <c r="I377" s="300"/>
      <c r="J377" s="300"/>
      <c r="K377" s="270"/>
      <c r="L377" s="301"/>
      <c r="M377" s="270"/>
      <c r="N377" s="270"/>
      <c r="O377" s="270"/>
      <c r="P377" s="270"/>
      <c r="Q377" s="270"/>
      <c r="R377" s="270"/>
      <c r="S377" s="270"/>
      <c r="T377" s="301"/>
      <c r="U377" s="270"/>
      <c r="V377" s="240"/>
      <c r="W377" s="238">
        <f t="shared" si="22"/>
        <v>0</v>
      </c>
      <c r="Y377" s="223" t="str">
        <f>'[4]Development - i'!E376</f>
        <v>PVC SWR 110 mm dia Rain water pipe</v>
      </c>
      <c r="Z377" s="223" t="str">
        <f t="shared" si="20"/>
        <v>-----------------------</v>
      </c>
    </row>
    <row r="378" spans="1:26" s="241" customFormat="1" ht="46.5">
      <c r="A378" s="305">
        <v>44.2</v>
      </c>
      <c r="B378" s="306" t="s">
        <v>832</v>
      </c>
      <c r="C378" s="306" t="s">
        <v>832</v>
      </c>
      <c r="D378" s="235" t="str">
        <f t="shared" si="21"/>
        <v xml:space="preserve"> OK</v>
      </c>
      <c r="E378" s="254" t="s">
        <v>832</v>
      </c>
      <c r="F378" s="254">
        <v>0</v>
      </c>
      <c r="G378" s="298"/>
      <c r="H378" s="298" t="s">
        <v>556</v>
      </c>
      <c r="I378" s="300"/>
      <c r="J378" s="300"/>
      <c r="K378" s="270"/>
      <c r="L378" s="301"/>
      <c r="M378" s="270"/>
      <c r="N378" s="270"/>
      <c r="O378" s="270"/>
      <c r="P378" s="270"/>
      <c r="Q378" s="270"/>
      <c r="R378" s="270"/>
      <c r="S378" s="270"/>
      <c r="T378" s="301"/>
      <c r="U378" s="270"/>
      <c r="V378" s="240"/>
      <c r="W378" s="238">
        <f t="shared" si="22"/>
        <v>0</v>
      </c>
      <c r="Y378" s="223" t="str">
        <f>'[4]Development - i'!E377</f>
        <v>Rain Water Harvesting using Defunct borewell method</v>
      </c>
      <c r="Z378" s="223" t="str">
        <f t="shared" si="20"/>
        <v>-----------------------</v>
      </c>
    </row>
    <row r="379" spans="1:26" s="239" customFormat="1" ht="87">
      <c r="A379" s="307">
        <v>45</v>
      </c>
      <c r="B379" s="342" t="s">
        <v>1996</v>
      </c>
      <c r="C379" s="342" t="s">
        <v>833</v>
      </c>
      <c r="D379" s="235" t="str">
        <f t="shared" si="21"/>
        <v xml:space="preserve"> OK</v>
      </c>
      <c r="E379" s="254" t="s">
        <v>1997</v>
      </c>
      <c r="F379" s="254" t="s">
        <v>834</v>
      </c>
      <c r="G379" s="298">
        <f>ROUND([3]Data!K1671,2)</f>
        <v>265.14</v>
      </c>
      <c r="H379" s="298" t="s">
        <v>1715</v>
      </c>
      <c r="I379" s="300"/>
      <c r="J379" s="300"/>
      <c r="K379" s="270"/>
      <c r="L379" s="301"/>
      <c r="M379" s="270"/>
      <c r="N379" s="270"/>
      <c r="O379" s="270"/>
      <c r="P379" s="270"/>
      <c r="Q379" s="270"/>
      <c r="R379" s="270"/>
      <c r="S379" s="270"/>
      <c r="T379" s="301"/>
      <c r="U379" s="270"/>
      <c r="V379" s="240"/>
      <c r="W379" s="238">
        <f t="shared" si="22"/>
        <v>0</v>
      </c>
      <c r="Y379" s="223" t="str">
        <f>'[4]Development - i'!E378</f>
        <v>Stucco plastering 12 mm tk.</v>
      </c>
      <c r="Z379" s="223" t="str">
        <f t="shared" si="20"/>
        <v>-----------------------</v>
      </c>
    </row>
    <row r="380" spans="1:26" s="239" customFormat="1" ht="65.25">
      <c r="A380" s="320">
        <v>46</v>
      </c>
      <c r="B380" s="290" t="s">
        <v>441</v>
      </c>
      <c r="C380" s="290" t="s">
        <v>441</v>
      </c>
      <c r="D380" s="235" t="str">
        <f t="shared" si="21"/>
        <v xml:space="preserve"> OK</v>
      </c>
      <c r="E380" s="254" t="s">
        <v>441</v>
      </c>
      <c r="F380" s="254" t="s">
        <v>835</v>
      </c>
      <c r="G380" s="298">
        <f>ROUND([3]Data!K1688,2)</f>
        <v>58</v>
      </c>
      <c r="H380" s="298" t="s">
        <v>12</v>
      </c>
      <c r="I380" s="300"/>
      <c r="J380" s="300"/>
      <c r="K380" s="270"/>
      <c r="L380" s="301"/>
      <c r="M380" s="270"/>
      <c r="N380" s="270"/>
      <c r="O380" s="270"/>
      <c r="P380" s="270"/>
      <c r="Q380" s="270"/>
      <c r="R380" s="270"/>
      <c r="S380" s="270"/>
      <c r="T380" s="301"/>
      <c r="U380" s="270"/>
      <c r="V380" s="240"/>
      <c r="W380" s="238">
        <f t="shared" si="22"/>
        <v>0</v>
      </c>
      <c r="Y380" s="223" t="str">
        <f>'[4]Development - i'!E379</f>
        <v>S &amp; F 20 mm dia Alu. Hanger Rod</v>
      </c>
      <c r="Z380" s="223" t="str">
        <f t="shared" si="20"/>
        <v>-----------------------</v>
      </c>
    </row>
    <row r="381" spans="1:26" s="239" customFormat="1" ht="65.25">
      <c r="A381" s="320">
        <v>47</v>
      </c>
      <c r="B381" s="290" t="s">
        <v>443</v>
      </c>
      <c r="C381" s="290" t="s">
        <v>443</v>
      </c>
      <c r="D381" s="235" t="str">
        <f t="shared" si="21"/>
        <v xml:space="preserve"> OK</v>
      </c>
      <c r="E381" s="254" t="s">
        <v>443</v>
      </c>
      <c r="F381" s="254" t="s">
        <v>836</v>
      </c>
      <c r="G381" s="298">
        <f>ROUND([3]Data!K1700,2)</f>
        <v>95</v>
      </c>
      <c r="H381" s="298" t="s">
        <v>556</v>
      </c>
      <c r="I381" s="300"/>
      <c r="J381" s="300"/>
      <c r="K381" s="270"/>
      <c r="L381" s="301"/>
      <c r="M381" s="270"/>
      <c r="N381" s="270"/>
      <c r="O381" s="270"/>
      <c r="P381" s="270"/>
      <c r="Q381" s="270"/>
      <c r="R381" s="270"/>
      <c r="S381" s="270"/>
      <c r="T381" s="301"/>
      <c r="U381" s="270"/>
      <c r="V381" s="240"/>
      <c r="W381" s="238">
        <f t="shared" si="22"/>
        <v>0</v>
      </c>
      <c r="Y381" s="223" t="str">
        <f>'[4]Development - i'!E380</f>
        <v>S &amp; F Alu  Towel rail 75 cm long</v>
      </c>
      <c r="Z381" s="223" t="str">
        <f t="shared" si="20"/>
        <v>-----------------------</v>
      </c>
    </row>
    <row r="382" spans="1:26" s="239" customFormat="1" ht="65.25">
      <c r="A382" s="320">
        <v>48</v>
      </c>
      <c r="B382" s="290" t="s">
        <v>445</v>
      </c>
      <c r="C382" s="290" t="s">
        <v>445</v>
      </c>
      <c r="D382" s="235" t="str">
        <f t="shared" si="21"/>
        <v xml:space="preserve"> OK</v>
      </c>
      <c r="E382" s="254" t="s">
        <v>445</v>
      </c>
      <c r="F382" s="254" t="s">
        <v>837</v>
      </c>
      <c r="G382" s="298">
        <f>ROUND([3]Data!K1708,2)</f>
        <v>55</v>
      </c>
      <c r="H382" s="298" t="s">
        <v>556</v>
      </c>
      <c r="I382" s="300"/>
      <c r="J382" s="300"/>
      <c r="K382" s="270"/>
      <c r="L382" s="301"/>
      <c r="M382" s="270"/>
      <c r="N382" s="270"/>
      <c r="O382" s="270"/>
      <c r="P382" s="270"/>
      <c r="Q382" s="270"/>
      <c r="R382" s="270"/>
      <c r="S382" s="270"/>
      <c r="T382" s="301"/>
      <c r="U382" s="270"/>
      <c r="V382" s="240"/>
      <c r="W382" s="238">
        <f t="shared" si="22"/>
        <v>0</v>
      </c>
      <c r="Y382" s="223" t="str">
        <f>'[4]Development - i'!E381</f>
        <v>S &amp; F 5 pin Coat stand</v>
      </c>
      <c r="Z382" s="223" t="str">
        <f t="shared" si="20"/>
        <v>-----------------------</v>
      </c>
    </row>
    <row r="383" spans="1:26" s="239" customFormat="1" ht="43.5">
      <c r="A383" s="320">
        <v>49</v>
      </c>
      <c r="B383" s="290" t="s">
        <v>446</v>
      </c>
      <c r="C383" s="290" t="s">
        <v>446</v>
      </c>
      <c r="D383" s="235" t="str">
        <f t="shared" si="21"/>
        <v xml:space="preserve"> OK</v>
      </c>
      <c r="E383" s="254" t="s">
        <v>446</v>
      </c>
      <c r="F383" s="254" t="s">
        <v>838</v>
      </c>
      <c r="G383" s="298">
        <f>ROUND([3]Data!K1715,2)</f>
        <v>1.5</v>
      </c>
      <c r="H383" s="298" t="s">
        <v>556</v>
      </c>
      <c r="I383" s="300"/>
      <c r="J383" s="300"/>
      <c r="K383" s="270"/>
      <c r="L383" s="301"/>
      <c r="M383" s="270"/>
      <c r="N383" s="270"/>
      <c r="O383" s="270"/>
      <c r="P383" s="270"/>
      <c r="Q383" s="270"/>
      <c r="R383" s="270"/>
      <c r="S383" s="270"/>
      <c r="T383" s="301"/>
      <c r="U383" s="270"/>
      <c r="V383" s="240"/>
      <c r="W383" s="238">
        <f t="shared" si="22"/>
        <v>0</v>
      </c>
      <c r="Y383" s="223" t="str">
        <f>'[4]Development - i'!E382</f>
        <v>S &amp; F chromium plated 8 guage Picture Hook</v>
      </c>
      <c r="Z383" s="223" t="str">
        <f t="shared" si="20"/>
        <v>-----------------------</v>
      </c>
    </row>
    <row r="384" spans="1:26" s="241" customFormat="1">
      <c r="A384" s="309">
        <v>50.1</v>
      </c>
      <c r="B384" s="310" t="s">
        <v>839</v>
      </c>
      <c r="C384" s="310" t="s">
        <v>839</v>
      </c>
      <c r="D384" s="235" t="str">
        <f t="shared" si="21"/>
        <v xml:space="preserve"> OK</v>
      </c>
      <c r="E384" s="254" t="s">
        <v>839</v>
      </c>
      <c r="F384" s="254">
        <v>0</v>
      </c>
      <c r="G384" s="298"/>
      <c r="H384" s="298" t="s">
        <v>1715</v>
      </c>
      <c r="I384" s="300"/>
      <c r="J384" s="300"/>
      <c r="K384" s="270"/>
      <c r="L384" s="301"/>
      <c r="M384" s="270"/>
      <c r="N384" s="270"/>
      <c r="O384" s="270"/>
      <c r="P384" s="270"/>
      <c r="Q384" s="270"/>
      <c r="R384" s="270"/>
      <c r="S384" s="270"/>
      <c r="T384" s="301"/>
      <c r="U384" s="270"/>
      <c r="V384" s="240"/>
      <c r="W384" s="238">
        <f t="shared" si="22"/>
        <v>0</v>
      </c>
      <c r="Y384" s="223" t="str">
        <f>'[4]Development - i'!E383</f>
        <v>Precast slab 50 mm tk.in C.C. 1:3:6</v>
      </c>
      <c r="Z384" s="223" t="str">
        <f t="shared" si="20"/>
        <v>-----------------------</v>
      </c>
    </row>
    <row r="385" spans="1:26" s="239" customFormat="1" ht="87">
      <c r="A385" s="307">
        <v>50.2</v>
      </c>
      <c r="B385" s="290" t="s">
        <v>840</v>
      </c>
      <c r="C385" s="290" t="s">
        <v>840</v>
      </c>
      <c r="D385" s="235" t="str">
        <f t="shared" si="21"/>
        <v xml:space="preserve"> OK</v>
      </c>
      <c r="E385" s="254" t="s">
        <v>840</v>
      </c>
      <c r="F385" s="254" t="s">
        <v>841</v>
      </c>
      <c r="G385" s="298">
        <f>ROUND([3]Data!K1764,2)</f>
        <v>230.76</v>
      </c>
      <c r="H385" s="298" t="s">
        <v>12</v>
      </c>
      <c r="I385" s="300"/>
      <c r="J385" s="300"/>
      <c r="K385" s="270"/>
      <c r="L385" s="301"/>
      <c r="M385" s="270"/>
      <c r="N385" s="270"/>
      <c r="O385" s="270"/>
      <c r="P385" s="270"/>
      <c r="Q385" s="270"/>
      <c r="R385" s="270"/>
      <c r="S385" s="270"/>
      <c r="T385" s="301"/>
      <c r="U385" s="270"/>
      <c r="V385" s="240"/>
      <c r="W385" s="238">
        <f t="shared" si="22"/>
        <v>0</v>
      </c>
      <c r="Y385" s="223" t="str">
        <f>'[4]Development - i'!E384</f>
        <v xml:space="preserve">Providing precast Kerb stone in C.C. 1:3:6,  450 x 300 x 150 mm </v>
      </c>
      <c r="Z385" s="223" t="str">
        <f t="shared" si="20"/>
        <v>-----------------------</v>
      </c>
    </row>
    <row r="386" spans="1:26" s="239" customFormat="1" ht="152.25">
      <c r="A386" s="320">
        <v>50.3</v>
      </c>
      <c r="B386" s="290" t="s">
        <v>447</v>
      </c>
      <c r="C386" s="290" t="s">
        <v>447</v>
      </c>
      <c r="D386" s="235" t="str">
        <f t="shared" si="21"/>
        <v xml:space="preserve"> OK</v>
      </c>
      <c r="E386" s="254" t="s">
        <v>447</v>
      </c>
      <c r="F386" s="254" t="s">
        <v>842</v>
      </c>
      <c r="G386" s="298">
        <f>ROUND([3]Data!K1780,2)</f>
        <v>353.01</v>
      </c>
      <c r="H386" s="298" t="s">
        <v>556</v>
      </c>
      <c r="I386" s="300"/>
      <c r="J386" s="300"/>
      <c r="K386" s="270"/>
      <c r="L386" s="301"/>
      <c r="M386" s="270"/>
      <c r="N386" s="270"/>
      <c r="O386" s="270"/>
      <c r="P386" s="270"/>
      <c r="Q386" s="270"/>
      <c r="R386" s="270"/>
      <c r="S386" s="270"/>
      <c r="T386" s="301"/>
      <c r="U386" s="270"/>
      <c r="V386" s="240"/>
      <c r="W386" s="238">
        <f t="shared" si="22"/>
        <v>0</v>
      </c>
      <c r="Y386" s="223" t="str">
        <f>'[4]Development - i'!E385</f>
        <v>Supply and planting avenue trees</v>
      </c>
      <c r="Z386" s="223" t="str">
        <f t="shared" si="20"/>
        <v>-----------------------</v>
      </c>
    </row>
    <row r="387" spans="1:26" s="239" customFormat="1" ht="87">
      <c r="A387" s="320">
        <v>50.4</v>
      </c>
      <c r="B387" s="290" t="s">
        <v>449</v>
      </c>
      <c r="C387" s="290" t="s">
        <v>449</v>
      </c>
      <c r="D387" s="235" t="str">
        <f t="shared" si="21"/>
        <v xml:space="preserve"> OK</v>
      </c>
      <c r="E387" s="254" t="s">
        <v>449</v>
      </c>
      <c r="F387" s="254" t="s">
        <v>843</v>
      </c>
      <c r="G387" s="298">
        <f>ROUND([3]Data!K1793,2)</f>
        <v>774.12</v>
      </c>
      <c r="H387" s="298" t="s">
        <v>556</v>
      </c>
      <c r="I387" s="300"/>
      <c r="J387" s="300"/>
      <c r="K387" s="270"/>
      <c r="L387" s="301"/>
      <c r="M387" s="270"/>
      <c r="N387" s="270"/>
      <c r="O387" s="270"/>
      <c r="P387" s="270"/>
      <c r="Q387" s="270"/>
      <c r="R387" s="270"/>
      <c r="S387" s="270"/>
      <c r="T387" s="301"/>
      <c r="U387" s="270"/>
      <c r="V387" s="240"/>
      <c r="W387" s="238">
        <f t="shared" si="22"/>
        <v>0</v>
      </c>
      <c r="Y387" s="223" t="str">
        <f>'[4]Development - i'!E386</f>
        <v>Providing Tree guard</v>
      </c>
      <c r="Z387" s="223" t="str">
        <f t="shared" si="20"/>
        <v>-----------------------</v>
      </c>
    </row>
    <row r="388" spans="1:26" s="239" customFormat="1" ht="217.5">
      <c r="A388" s="320">
        <v>50.5</v>
      </c>
      <c r="B388" s="290" t="s">
        <v>844</v>
      </c>
      <c r="C388" s="290" t="s">
        <v>844</v>
      </c>
      <c r="D388" s="235" t="str">
        <f t="shared" si="21"/>
        <v xml:space="preserve"> OK</v>
      </c>
      <c r="E388" s="254" t="s">
        <v>844</v>
      </c>
      <c r="F388" s="254" t="s">
        <v>845</v>
      </c>
      <c r="G388" s="298">
        <f>ROUND([3]Data!K1808,2)</f>
        <v>15447.31</v>
      </c>
      <c r="H388" s="298" t="s">
        <v>556</v>
      </c>
      <c r="I388" s="300"/>
      <c r="J388" s="300"/>
      <c r="K388" s="270"/>
      <c r="L388" s="301"/>
      <c r="M388" s="270"/>
      <c r="N388" s="270"/>
      <c r="O388" s="270"/>
      <c r="P388" s="270"/>
      <c r="Q388" s="270"/>
      <c r="R388" s="270"/>
      <c r="S388" s="270"/>
      <c r="T388" s="301"/>
      <c r="U388" s="270"/>
      <c r="V388" s="240"/>
      <c r="W388" s="238">
        <f t="shared" si="22"/>
        <v>0</v>
      </c>
      <c r="Y388" s="223" t="str">
        <f>'[4]Development - i'!E387</f>
        <v>Supplying. Fabricating and erection of M.S Scheme Name board</v>
      </c>
      <c r="Z388" s="223" t="str">
        <f t="shared" si="20"/>
        <v>-----------------------</v>
      </c>
    </row>
    <row r="389" spans="1:26" s="241" customFormat="1" ht="174">
      <c r="A389" s="309">
        <v>51</v>
      </c>
      <c r="B389" s="310" t="s">
        <v>846</v>
      </c>
      <c r="C389" s="310" t="s">
        <v>846</v>
      </c>
      <c r="D389" s="235" t="str">
        <f t="shared" si="21"/>
        <v xml:space="preserve"> OK</v>
      </c>
      <c r="E389" s="254" t="s">
        <v>846</v>
      </c>
      <c r="F389" s="254" t="s">
        <v>847</v>
      </c>
      <c r="G389" s="298">
        <f>ROUND([3]Data!K1814,2)</f>
        <v>6020</v>
      </c>
      <c r="H389" s="298" t="s">
        <v>556</v>
      </c>
      <c r="I389" s="300"/>
      <c r="J389" s="300"/>
      <c r="K389" s="270"/>
      <c r="L389" s="301"/>
      <c r="M389" s="270"/>
      <c r="N389" s="270"/>
      <c r="O389" s="270"/>
      <c r="P389" s="270"/>
      <c r="Q389" s="270"/>
      <c r="R389" s="270"/>
      <c r="S389" s="270"/>
      <c r="T389" s="301"/>
      <c r="U389" s="270"/>
      <c r="V389" s="240"/>
      <c r="W389" s="238">
        <f t="shared" si="22"/>
        <v>0</v>
      </c>
      <c r="Y389" s="223" t="str">
        <f>'[4]Development - i'!E388</f>
        <v>HDPE water tank 700 lit capacity with ISI mark</v>
      </c>
      <c r="Z389" s="223" t="str">
        <f t="shared" si="20"/>
        <v>-----------------------</v>
      </c>
    </row>
    <row r="390" spans="1:26" s="246" customFormat="1" ht="152.25">
      <c r="A390" s="320">
        <v>52</v>
      </c>
      <c r="B390" s="316" t="s">
        <v>450</v>
      </c>
      <c r="C390" s="316" t="s">
        <v>450</v>
      </c>
      <c r="D390" s="235" t="str">
        <f t="shared" si="21"/>
        <v xml:space="preserve"> OK</v>
      </c>
      <c r="E390" s="254" t="s">
        <v>450</v>
      </c>
      <c r="F390" s="254" t="s">
        <v>848</v>
      </c>
      <c r="G390" s="298"/>
      <c r="H390" s="298"/>
      <c r="I390" s="300"/>
      <c r="J390" s="300"/>
      <c r="K390" s="270"/>
      <c r="L390" s="301"/>
      <c r="M390" s="270"/>
      <c r="N390" s="270"/>
      <c r="O390" s="270"/>
      <c r="P390" s="270"/>
      <c r="Q390" s="270"/>
      <c r="R390" s="270"/>
      <c r="S390" s="270"/>
      <c r="T390" s="301"/>
      <c r="U390" s="270"/>
      <c r="V390" s="240"/>
      <c r="W390" s="238">
        <f t="shared" si="22"/>
        <v>0</v>
      </c>
      <c r="Y390" s="223" t="str">
        <f>'[4]Development - i'!E389</f>
        <v>PVC Water supply (ASTM)</v>
      </c>
      <c r="Z390" s="223" t="str">
        <f t="shared" si="20"/>
        <v>-----------------------</v>
      </c>
    </row>
    <row r="391" spans="1:26" s="246" customFormat="1">
      <c r="A391" s="290"/>
      <c r="B391" s="290" t="s">
        <v>1998</v>
      </c>
      <c r="C391" s="290" t="s">
        <v>1998</v>
      </c>
      <c r="D391" s="235" t="str">
        <f t="shared" si="21"/>
        <v xml:space="preserve"> OK</v>
      </c>
      <c r="E391" s="254" t="s">
        <v>1999</v>
      </c>
      <c r="F391" s="254" t="s">
        <v>849</v>
      </c>
      <c r="G391" s="298">
        <f>ROUND([3]Data!K1908,2)</f>
        <v>216.76</v>
      </c>
      <c r="H391" s="298" t="s">
        <v>12</v>
      </c>
      <c r="I391" s="300"/>
      <c r="J391" s="300"/>
      <c r="K391" s="270"/>
      <c r="L391" s="301"/>
      <c r="M391" s="270"/>
      <c r="N391" s="270"/>
      <c r="O391" s="270"/>
      <c r="P391" s="270"/>
      <c r="Q391" s="270"/>
      <c r="R391" s="270"/>
      <c r="S391" s="270"/>
      <c r="T391" s="301"/>
      <c r="U391" s="270"/>
      <c r="V391" s="240"/>
      <c r="W391" s="238">
        <f t="shared" si="22"/>
        <v>0</v>
      </c>
      <c r="Y391" s="223" t="str">
        <f>'[4]Development - i'!E390</f>
        <v>a. 32 mm dia  PVC Water supply (ASTM)</v>
      </c>
      <c r="Z391" s="223" t="str">
        <f t="shared" ref="Z391:Z454" si="23">IF(Y391=E391,"-----------------------","ERRR")</f>
        <v>-----------------------</v>
      </c>
    </row>
    <row r="392" spans="1:26" s="246" customFormat="1">
      <c r="A392" s="290"/>
      <c r="B392" s="290" t="s">
        <v>2000</v>
      </c>
      <c r="C392" s="290" t="s">
        <v>2000</v>
      </c>
      <c r="D392" s="235" t="str">
        <f t="shared" si="21"/>
        <v xml:space="preserve"> OK</v>
      </c>
      <c r="E392" s="254" t="s">
        <v>2001</v>
      </c>
      <c r="F392" s="254" t="s">
        <v>850</v>
      </c>
      <c r="G392" s="298">
        <f>ROUND([3]Data!K1900,2)</f>
        <v>200.94</v>
      </c>
      <c r="H392" s="298" t="s">
        <v>12</v>
      </c>
      <c r="I392" s="300"/>
      <c r="J392" s="300"/>
      <c r="K392" s="270"/>
      <c r="L392" s="301"/>
      <c r="M392" s="270"/>
      <c r="N392" s="270"/>
      <c r="O392" s="270"/>
      <c r="P392" s="270"/>
      <c r="Q392" s="270"/>
      <c r="R392" s="270"/>
      <c r="S392" s="270"/>
      <c r="T392" s="301"/>
      <c r="U392" s="270"/>
      <c r="V392" s="240"/>
      <c r="W392" s="238">
        <f t="shared" si="22"/>
        <v>0</v>
      </c>
      <c r="Y392" s="223" t="str">
        <f>'[4]Development - i'!E391</f>
        <v>b. 25 mm dia PVC Water supply (ASTM)</v>
      </c>
      <c r="Z392" s="223" t="str">
        <f t="shared" si="23"/>
        <v>-----------------------</v>
      </c>
    </row>
    <row r="393" spans="1:26" s="241" customFormat="1">
      <c r="A393" s="343"/>
      <c r="B393" s="310" t="s">
        <v>2002</v>
      </c>
      <c r="C393" s="310" t="s">
        <v>2002</v>
      </c>
      <c r="D393" s="235" t="str">
        <f t="shared" si="21"/>
        <v xml:space="preserve"> OK</v>
      </c>
      <c r="E393" s="254" t="s">
        <v>2003</v>
      </c>
      <c r="F393" s="254" t="s">
        <v>851</v>
      </c>
      <c r="G393" s="298">
        <f>ROUND([3]Data!K1892,2)</f>
        <v>193.3</v>
      </c>
      <c r="H393" s="298" t="s">
        <v>12</v>
      </c>
      <c r="I393" s="300"/>
      <c r="J393" s="300"/>
      <c r="K393" s="270"/>
      <c r="L393" s="301"/>
      <c r="M393" s="270"/>
      <c r="N393" s="270"/>
      <c r="O393" s="270"/>
      <c r="P393" s="270"/>
      <c r="Q393" s="270"/>
      <c r="R393" s="270"/>
      <c r="S393" s="270"/>
      <c r="T393" s="301"/>
      <c r="U393" s="270"/>
      <c r="V393" s="240"/>
      <c r="W393" s="238">
        <f t="shared" si="22"/>
        <v>0</v>
      </c>
      <c r="Y393" s="223" t="str">
        <f>'[4]Development - i'!E392</f>
        <v>c. 20 mm dia PVC Water supply (ASTM)</v>
      </c>
      <c r="Z393" s="223" t="str">
        <f t="shared" si="23"/>
        <v>-----------------------</v>
      </c>
    </row>
    <row r="394" spans="1:26" s="239" customFormat="1" ht="108.75">
      <c r="A394" s="320">
        <v>52.1</v>
      </c>
      <c r="B394" s="290" t="s">
        <v>852</v>
      </c>
      <c r="C394" s="290" t="s">
        <v>852</v>
      </c>
      <c r="D394" s="235" t="str">
        <f t="shared" si="21"/>
        <v xml:space="preserve"> OK</v>
      </c>
      <c r="E394" s="254" t="s">
        <v>852</v>
      </c>
      <c r="F394" s="254" t="s">
        <v>853</v>
      </c>
      <c r="G394" s="298">
        <f>ROUND([3]Data!K1945,2)</f>
        <v>281.02999999999997</v>
      </c>
      <c r="H394" s="298" t="s">
        <v>12</v>
      </c>
      <c r="I394" s="300"/>
      <c r="J394" s="300"/>
      <c r="K394" s="270"/>
      <c r="L394" s="301"/>
      <c r="M394" s="270"/>
      <c r="N394" s="270"/>
      <c r="O394" s="270"/>
      <c r="P394" s="270"/>
      <c r="Q394" s="270"/>
      <c r="R394" s="270"/>
      <c r="S394" s="270"/>
      <c r="T394" s="301"/>
      <c r="U394" s="270"/>
      <c r="V394" s="240"/>
      <c r="W394" s="238">
        <f t="shared" si="22"/>
        <v>0</v>
      </c>
      <c r="Y394" s="223" t="str">
        <f>'[4]Development - i'!E393</f>
        <v>G.I Pipe 20mm dia for Hot water line (Fully Concealed in walls)</v>
      </c>
      <c r="Z394" s="223" t="str">
        <f t="shared" si="23"/>
        <v>-----------------------</v>
      </c>
    </row>
    <row r="395" spans="1:26" s="241" customFormat="1">
      <c r="A395" s="309">
        <v>53.1</v>
      </c>
      <c r="B395" s="310" t="s">
        <v>854</v>
      </c>
      <c r="C395" s="310" t="s">
        <v>854</v>
      </c>
      <c r="D395" s="235" t="str">
        <f t="shared" si="21"/>
        <v xml:space="preserve"> OK</v>
      </c>
      <c r="E395" s="254" t="s">
        <v>854</v>
      </c>
      <c r="F395" s="254">
        <v>0</v>
      </c>
      <c r="G395" s="298">
        <f>ROUND([3]Data!K1966,2)</f>
        <v>3004.83</v>
      </c>
      <c r="H395" s="298" t="s">
        <v>556</v>
      </c>
      <c r="I395" s="300"/>
      <c r="J395" s="300"/>
      <c r="K395" s="270"/>
      <c r="L395" s="301"/>
      <c r="M395" s="270"/>
      <c r="N395" s="270"/>
      <c r="O395" s="270"/>
      <c r="P395" s="270"/>
      <c r="Q395" s="270"/>
      <c r="R395" s="270"/>
      <c r="S395" s="270"/>
      <c r="T395" s="301"/>
      <c r="U395" s="270"/>
      <c r="V395" s="240"/>
      <c r="W395" s="238">
        <f t="shared" si="22"/>
        <v>0</v>
      </c>
      <c r="Y395" s="223" t="str">
        <f>'[4]Development - i'!E394</f>
        <v>Wash basin</v>
      </c>
      <c r="Z395" s="223" t="str">
        <f t="shared" si="23"/>
        <v>-----------------------</v>
      </c>
    </row>
    <row r="396" spans="1:26" s="241" customFormat="1" ht="46.5">
      <c r="A396" s="305">
        <v>53.2</v>
      </c>
      <c r="B396" s="306" t="s">
        <v>855</v>
      </c>
      <c r="C396" s="306" t="s">
        <v>855</v>
      </c>
      <c r="D396" s="235" t="str">
        <f t="shared" si="21"/>
        <v xml:space="preserve"> OK</v>
      </c>
      <c r="E396" s="254" t="s">
        <v>855</v>
      </c>
      <c r="F396" s="254">
        <v>0</v>
      </c>
      <c r="G396" s="298"/>
      <c r="H396" s="298" t="s">
        <v>556</v>
      </c>
      <c r="I396" s="300"/>
      <c r="J396" s="300"/>
      <c r="K396" s="270"/>
      <c r="L396" s="301"/>
      <c r="M396" s="270"/>
      <c r="N396" s="270"/>
      <c r="O396" s="270"/>
      <c r="P396" s="270"/>
      <c r="Q396" s="270"/>
      <c r="R396" s="270"/>
      <c r="S396" s="270"/>
      <c r="T396" s="301"/>
      <c r="U396" s="270"/>
      <c r="V396" s="240"/>
      <c r="W396" s="238">
        <f t="shared" si="22"/>
        <v>0</v>
      </c>
      <c r="Y396" s="223" t="str">
        <f>'[4]Development - i'!E395</f>
        <v>S &amp; F  of  C.I. Manhole cover 45 x 45 cm (20 kg. weight)</v>
      </c>
      <c r="Z396" s="223" t="str">
        <f t="shared" si="23"/>
        <v>ERRR</v>
      </c>
    </row>
    <row r="397" spans="1:26" s="239" customFormat="1" ht="108.75">
      <c r="A397" s="320">
        <v>53.3</v>
      </c>
      <c r="B397" s="290" t="s">
        <v>856</v>
      </c>
      <c r="C397" s="290" t="s">
        <v>856</v>
      </c>
      <c r="D397" s="235" t="str">
        <f t="shared" si="21"/>
        <v xml:space="preserve"> OK</v>
      </c>
      <c r="E397" s="254" t="s">
        <v>856</v>
      </c>
      <c r="F397" s="254" t="s">
        <v>857</v>
      </c>
      <c r="G397" s="298">
        <f>ROUND([3]Data!K1970,2)</f>
        <v>30</v>
      </c>
      <c r="H397" s="298" t="s">
        <v>556</v>
      </c>
      <c r="I397" s="300"/>
      <c r="J397" s="300"/>
      <c r="K397" s="270"/>
      <c r="L397" s="301"/>
      <c r="M397" s="270"/>
      <c r="N397" s="270"/>
      <c r="O397" s="270"/>
      <c r="P397" s="270"/>
      <c r="Q397" s="270"/>
      <c r="R397" s="270"/>
      <c r="S397" s="270"/>
      <c r="T397" s="301"/>
      <c r="U397" s="270"/>
      <c r="V397" s="240"/>
      <c r="W397" s="238">
        <f t="shared" si="22"/>
        <v>0</v>
      </c>
      <c r="Y397" s="223" t="str">
        <f>'[4]Development - i'!E396</f>
        <v>C.I. Steps ( 5 kg)</v>
      </c>
      <c r="Z397" s="223" t="str">
        <f t="shared" si="23"/>
        <v>-----------------------</v>
      </c>
    </row>
    <row r="398" spans="1:26" s="241" customFormat="1" ht="87">
      <c r="A398" s="344">
        <v>54</v>
      </c>
      <c r="B398" s="310" t="s">
        <v>858</v>
      </c>
      <c r="C398" s="310" t="s">
        <v>858</v>
      </c>
      <c r="D398" s="235" t="str">
        <f t="shared" si="21"/>
        <v xml:space="preserve"> OK</v>
      </c>
      <c r="E398" s="254" t="s">
        <v>858</v>
      </c>
      <c r="F398" s="254" t="s">
        <v>859</v>
      </c>
      <c r="G398" s="298">
        <f>ROUND([3]Data!K1972,2)</f>
        <v>202</v>
      </c>
      <c r="H398" s="298" t="s">
        <v>556</v>
      </c>
      <c r="I398" s="300"/>
      <c r="J398" s="300"/>
      <c r="K398" s="270"/>
      <c r="L398" s="301"/>
      <c r="M398" s="270"/>
      <c r="N398" s="270"/>
      <c r="O398" s="270"/>
      <c r="P398" s="270"/>
      <c r="Q398" s="270"/>
      <c r="R398" s="270"/>
      <c r="S398" s="270"/>
      <c r="T398" s="301"/>
      <c r="U398" s="270"/>
      <c r="V398" s="240"/>
      <c r="W398" s="238">
        <f t="shared" si="22"/>
        <v>0</v>
      </c>
      <c r="Y398" s="223" t="str">
        <f>'[4]Development - i'!E397</f>
        <v>Brass tap (with ISI mark)</v>
      </c>
      <c r="Z398" s="223" t="str">
        <f t="shared" si="23"/>
        <v>-----------------------</v>
      </c>
    </row>
    <row r="399" spans="1:26" s="241" customFormat="1" ht="87">
      <c r="A399" s="305">
        <v>54.1</v>
      </c>
      <c r="B399" s="306" t="s">
        <v>860</v>
      </c>
      <c r="C399" s="306" t="s">
        <v>860</v>
      </c>
      <c r="D399" s="235" t="str">
        <f t="shared" si="21"/>
        <v xml:space="preserve"> OK</v>
      </c>
      <c r="E399" s="254" t="s">
        <v>860</v>
      </c>
      <c r="F399" s="254" t="s">
        <v>861</v>
      </c>
      <c r="G399" s="298">
        <f>ROUND([3]Data!K1975,2)</f>
        <v>300</v>
      </c>
      <c r="H399" s="298" t="s">
        <v>556</v>
      </c>
      <c r="I399" s="300"/>
      <c r="J399" s="300"/>
      <c r="K399" s="270"/>
      <c r="L399" s="301"/>
      <c r="M399" s="270"/>
      <c r="N399" s="270"/>
      <c r="O399" s="270"/>
      <c r="P399" s="270"/>
      <c r="Q399" s="270"/>
      <c r="R399" s="270"/>
      <c r="S399" s="270"/>
      <c r="T399" s="301"/>
      <c r="U399" s="270"/>
      <c r="V399" s="240"/>
      <c r="W399" s="238">
        <f t="shared" si="22"/>
        <v>0</v>
      </c>
      <c r="Y399" s="223" t="str">
        <f>'[4]Development - i'!E398</f>
        <v xml:space="preserve">C.P tap long body </v>
      </c>
      <c r="Z399" s="223" t="str">
        <f t="shared" si="23"/>
        <v>-----------------------</v>
      </c>
    </row>
    <row r="400" spans="1:26" s="241" customFormat="1" ht="87">
      <c r="A400" s="305">
        <v>54.2</v>
      </c>
      <c r="B400" s="306" t="s">
        <v>862</v>
      </c>
      <c r="C400" s="306" t="s">
        <v>862</v>
      </c>
      <c r="D400" s="235" t="str">
        <f t="shared" si="21"/>
        <v xml:space="preserve"> OK</v>
      </c>
      <c r="E400" s="254" t="s">
        <v>862</v>
      </c>
      <c r="F400" s="254" t="s">
        <v>863</v>
      </c>
      <c r="G400" s="298">
        <f>ROUND([3]Data!K1978,2)</f>
        <v>250</v>
      </c>
      <c r="H400" s="298" t="s">
        <v>556</v>
      </c>
      <c r="I400" s="300"/>
      <c r="J400" s="300"/>
      <c r="K400" s="270"/>
      <c r="L400" s="301"/>
      <c r="M400" s="270"/>
      <c r="N400" s="270"/>
      <c r="O400" s="270"/>
      <c r="P400" s="270"/>
      <c r="Q400" s="270"/>
      <c r="R400" s="270"/>
      <c r="S400" s="270"/>
      <c r="T400" s="301"/>
      <c r="U400" s="270"/>
      <c r="V400" s="240"/>
      <c r="W400" s="238">
        <f t="shared" si="22"/>
        <v>0</v>
      </c>
      <c r="Y400" s="223" t="str">
        <f>'[4]Development - i'!E399</f>
        <v xml:space="preserve">C.P tap short body </v>
      </c>
      <c r="Z400" s="223" t="str">
        <f t="shared" si="23"/>
        <v>-----------------------</v>
      </c>
    </row>
    <row r="401" spans="1:26" s="241" customFormat="1" ht="87">
      <c r="A401" s="305">
        <v>55.1</v>
      </c>
      <c r="B401" s="306" t="s">
        <v>864</v>
      </c>
      <c r="C401" s="306" t="s">
        <v>864</v>
      </c>
      <c r="D401" s="235" t="str">
        <f t="shared" si="21"/>
        <v xml:space="preserve"> OK</v>
      </c>
      <c r="E401" s="254" t="s">
        <v>864</v>
      </c>
      <c r="F401" s="254" t="s">
        <v>865</v>
      </c>
      <c r="G401" s="298">
        <f>[3]Data!K2421</f>
        <v>795.45</v>
      </c>
      <c r="H401" s="298" t="s">
        <v>556</v>
      </c>
      <c r="I401" s="300"/>
      <c r="J401" s="300"/>
      <c r="K401" s="270"/>
      <c r="L401" s="301"/>
      <c r="M401" s="270"/>
      <c r="N401" s="270"/>
      <c r="O401" s="270"/>
      <c r="P401" s="270"/>
      <c r="Q401" s="270"/>
      <c r="R401" s="270"/>
      <c r="S401" s="270"/>
      <c r="T401" s="301"/>
      <c r="U401" s="270"/>
      <c r="V401" s="240"/>
      <c r="W401" s="238">
        <f t="shared" si="22"/>
        <v>0</v>
      </c>
      <c r="Y401" s="223" t="str">
        <f>'[4]Development - i'!E400</f>
        <v>Squat Urinal</v>
      </c>
      <c r="Z401" s="223" t="str">
        <f t="shared" si="23"/>
        <v>-----------------------</v>
      </c>
    </row>
    <row r="402" spans="1:26" s="241" customFormat="1" ht="87">
      <c r="A402" s="305">
        <v>55.2</v>
      </c>
      <c r="B402" s="306" t="s">
        <v>866</v>
      </c>
      <c r="C402" s="306" t="s">
        <v>866</v>
      </c>
      <c r="D402" s="235" t="str">
        <f t="shared" si="21"/>
        <v xml:space="preserve"> OK</v>
      </c>
      <c r="E402" s="254" t="s">
        <v>866</v>
      </c>
      <c r="F402" s="254" t="s">
        <v>867</v>
      </c>
      <c r="G402" s="298">
        <f>[3]Data!K2433</f>
        <v>1939.71</v>
      </c>
      <c r="H402" s="298" t="s">
        <v>556</v>
      </c>
      <c r="I402" s="300"/>
      <c r="J402" s="300"/>
      <c r="K402" s="270"/>
      <c r="L402" s="301"/>
      <c r="M402" s="270"/>
      <c r="N402" s="270"/>
      <c r="O402" s="270"/>
      <c r="P402" s="270"/>
      <c r="Q402" s="270"/>
      <c r="R402" s="270"/>
      <c r="S402" s="270"/>
      <c r="T402" s="301"/>
      <c r="U402" s="270"/>
      <c r="V402" s="240"/>
      <c r="W402" s="238">
        <f t="shared" si="22"/>
        <v>0</v>
      </c>
      <c r="Y402" s="223" t="str">
        <f>'[4]Development - i'!E401</f>
        <v>Flat Back Urinal</v>
      </c>
      <c r="Z402" s="223" t="str">
        <f t="shared" si="23"/>
        <v>-----------------------</v>
      </c>
    </row>
    <row r="403" spans="1:26" s="241" customFormat="1">
      <c r="A403" s="305">
        <v>56.1</v>
      </c>
      <c r="B403" s="306" t="s">
        <v>868</v>
      </c>
      <c r="C403" s="306" t="s">
        <v>868</v>
      </c>
      <c r="D403" s="235" t="str">
        <f t="shared" si="21"/>
        <v xml:space="preserve"> OK</v>
      </c>
      <c r="E403" s="254" t="s">
        <v>868</v>
      </c>
      <c r="F403" s="254">
        <v>0</v>
      </c>
      <c r="G403" s="298">
        <f>ROUND([3]Data!K1995,2)</f>
        <v>2944.29</v>
      </c>
      <c r="H403" s="298" t="s">
        <v>556</v>
      </c>
      <c r="I403" s="300"/>
      <c r="J403" s="300"/>
      <c r="K403" s="270"/>
      <c r="L403" s="301"/>
      <c r="M403" s="270"/>
      <c r="N403" s="270"/>
      <c r="O403" s="270"/>
      <c r="P403" s="270"/>
      <c r="Q403" s="270"/>
      <c r="R403" s="270"/>
      <c r="S403" s="270"/>
      <c r="T403" s="301"/>
      <c r="U403" s="270"/>
      <c r="V403" s="240"/>
      <c r="W403" s="238">
        <f t="shared" si="22"/>
        <v>0</v>
      </c>
      <c r="Y403" s="223" t="str">
        <f>'[4]Development - i'!E402</f>
        <v xml:space="preserve">S &amp; F of Orissapan  - in G.F.  </v>
      </c>
      <c r="Z403" s="223" t="str">
        <f t="shared" si="23"/>
        <v>-----------------------</v>
      </c>
    </row>
    <row r="404" spans="1:26" s="241" customFormat="1">
      <c r="A404" s="305">
        <v>56.2</v>
      </c>
      <c r="B404" s="306" t="s">
        <v>869</v>
      </c>
      <c r="C404" s="306" t="s">
        <v>869</v>
      </c>
      <c r="D404" s="235" t="str">
        <f t="shared" si="21"/>
        <v xml:space="preserve"> OK</v>
      </c>
      <c r="E404" s="254" t="s">
        <v>869</v>
      </c>
      <c r="F404" s="254">
        <v>0</v>
      </c>
      <c r="G404" s="298">
        <f>ROUND([3]Data!K2016,2)</f>
        <v>4561.54</v>
      </c>
      <c r="H404" s="298" t="s">
        <v>556</v>
      </c>
      <c r="I404" s="300"/>
      <c r="J404" s="300"/>
      <c r="K404" s="270"/>
      <c r="L404" s="301"/>
      <c r="M404" s="270"/>
      <c r="N404" s="270"/>
      <c r="O404" s="270"/>
      <c r="P404" s="270"/>
      <c r="Q404" s="270"/>
      <c r="R404" s="270"/>
      <c r="S404" s="270"/>
      <c r="T404" s="301"/>
      <c r="U404" s="270"/>
      <c r="V404" s="240"/>
      <c r="W404" s="238">
        <f t="shared" si="22"/>
        <v>0</v>
      </c>
      <c r="Y404" s="223" t="str">
        <f>'[4]Development - i'!E403</f>
        <v xml:space="preserve">S &amp; F of Orissapan - other than G.F. </v>
      </c>
      <c r="Z404" s="223" t="str">
        <f t="shared" si="23"/>
        <v>-----------------------</v>
      </c>
    </row>
    <row r="405" spans="1:26" s="241" customFormat="1" ht="130.5">
      <c r="A405" s="345">
        <v>57</v>
      </c>
      <c r="B405" s="306" t="s">
        <v>462</v>
      </c>
      <c r="C405" s="306" t="s">
        <v>462</v>
      </c>
      <c r="D405" s="235" t="str">
        <f t="shared" si="21"/>
        <v xml:space="preserve"> OK</v>
      </c>
      <c r="E405" s="254" t="s">
        <v>462</v>
      </c>
      <c r="F405" s="254" t="s">
        <v>870</v>
      </c>
      <c r="G405" s="298">
        <f>ROUND([3]Data!K2033,2)</f>
        <v>6285.18</v>
      </c>
      <c r="H405" s="298" t="s">
        <v>556</v>
      </c>
      <c r="I405" s="300"/>
      <c r="J405" s="300"/>
      <c r="K405" s="270"/>
      <c r="L405" s="301"/>
      <c r="M405" s="270"/>
      <c r="N405" s="270"/>
      <c r="O405" s="270"/>
      <c r="P405" s="270"/>
      <c r="Q405" s="270"/>
      <c r="R405" s="270"/>
      <c r="S405" s="270"/>
      <c r="T405" s="301"/>
      <c r="U405" s="270"/>
      <c r="V405" s="240"/>
      <c r="W405" s="238">
        <f t="shared" si="22"/>
        <v>0</v>
      </c>
      <c r="Y405" s="223" t="str">
        <f>'[4]Development - i'!E404</f>
        <v>S &amp; F of E.W.C.(white)</v>
      </c>
      <c r="Z405" s="223" t="str">
        <f t="shared" si="23"/>
        <v>-----------------------</v>
      </c>
    </row>
    <row r="406" spans="1:26" s="241" customFormat="1" ht="130.5">
      <c r="A406" s="305">
        <v>57.1</v>
      </c>
      <c r="B406" s="306" t="s">
        <v>871</v>
      </c>
      <c r="C406" s="306" t="s">
        <v>871</v>
      </c>
      <c r="D406" s="235" t="str">
        <f t="shared" ref="D406:D471" si="24">IF(B406=C406," OK","nun")</f>
        <v xml:space="preserve"> OK</v>
      </c>
      <c r="E406" s="254" t="s">
        <v>871</v>
      </c>
      <c r="F406" s="254" t="s">
        <v>872</v>
      </c>
      <c r="G406" s="298">
        <f>ROUND([3]Data!K2052,2)</f>
        <v>6675.18</v>
      </c>
      <c r="H406" s="298" t="s">
        <v>556</v>
      </c>
      <c r="I406" s="300"/>
      <c r="J406" s="300"/>
      <c r="K406" s="270"/>
      <c r="L406" s="301"/>
      <c r="M406" s="270"/>
      <c r="N406" s="270"/>
      <c r="O406" s="270"/>
      <c r="P406" s="270"/>
      <c r="Q406" s="270"/>
      <c r="R406" s="270"/>
      <c r="S406" s="270"/>
      <c r="T406" s="301"/>
      <c r="U406" s="270"/>
      <c r="V406" s="240"/>
      <c r="W406" s="238">
        <f t="shared" si="22"/>
        <v>0</v>
      </c>
      <c r="Y406" s="223" t="str">
        <f>'[4]Development - i'!E405</f>
        <v>S &amp; F of E.W.C.(colour)</v>
      </c>
      <c r="Z406" s="223" t="str">
        <f t="shared" si="23"/>
        <v>-----------------------</v>
      </c>
    </row>
    <row r="407" spans="1:26" s="241" customFormat="1">
      <c r="A407" s="305">
        <v>58.1</v>
      </c>
      <c r="B407" s="306" t="s">
        <v>873</v>
      </c>
      <c r="C407" s="306" t="s">
        <v>873</v>
      </c>
      <c r="D407" s="235" t="str">
        <f t="shared" si="24"/>
        <v xml:space="preserve"> OK</v>
      </c>
      <c r="E407" s="254" t="s">
        <v>873</v>
      </c>
      <c r="F407" s="254">
        <v>0</v>
      </c>
      <c r="G407" s="298"/>
      <c r="H407" s="298"/>
      <c r="I407" s="300"/>
      <c r="J407" s="300"/>
      <c r="K407" s="270"/>
      <c r="L407" s="301"/>
      <c r="M407" s="270"/>
      <c r="N407" s="270"/>
      <c r="O407" s="270"/>
      <c r="P407" s="270"/>
      <c r="Q407" s="270"/>
      <c r="R407" s="270"/>
      <c r="S407" s="270"/>
      <c r="T407" s="301"/>
      <c r="U407" s="270"/>
      <c r="V407" s="240"/>
      <c r="W407" s="238">
        <f t="shared" si="22"/>
        <v>0</v>
      </c>
      <c r="Y407" s="223" t="str">
        <f>'[4]Development - i'!E406</f>
        <v>PVC SWR pipe (Soil line)</v>
      </c>
      <c r="Z407" s="223" t="str">
        <f t="shared" si="23"/>
        <v>-----------------------</v>
      </c>
    </row>
    <row r="408" spans="1:26" s="241" customFormat="1">
      <c r="A408" s="306"/>
      <c r="B408" s="306" t="s">
        <v>874</v>
      </c>
      <c r="C408" s="306" t="s">
        <v>874</v>
      </c>
      <c r="D408" s="235" t="str">
        <f t="shared" si="24"/>
        <v xml:space="preserve"> OK</v>
      </c>
      <c r="E408" s="254" t="s">
        <v>874</v>
      </c>
      <c r="F408" s="254">
        <v>0</v>
      </c>
      <c r="G408" s="298">
        <f>ROUND([3]Data!K2081,2)</f>
        <v>626.17999999999995</v>
      </c>
      <c r="H408" s="298" t="s">
        <v>12</v>
      </c>
      <c r="I408" s="300"/>
      <c r="J408" s="300"/>
      <c r="K408" s="270"/>
      <c r="L408" s="301"/>
      <c r="M408" s="270"/>
      <c r="N408" s="270"/>
      <c r="O408" s="270"/>
      <c r="P408" s="270"/>
      <c r="Q408" s="270"/>
      <c r="R408" s="270"/>
      <c r="S408" s="270"/>
      <c r="T408" s="301"/>
      <c r="U408" s="270"/>
      <c r="V408" s="240"/>
      <c r="W408" s="238">
        <f t="shared" si="22"/>
        <v>0</v>
      </c>
      <c r="Y408" s="223" t="str">
        <f>'[4]Development - i'!E407</f>
        <v>a. 110 mm dia.</v>
      </c>
      <c r="Z408" s="223" t="str">
        <f t="shared" si="23"/>
        <v>-----------------------</v>
      </c>
    </row>
    <row r="409" spans="1:26" s="241" customFormat="1">
      <c r="A409" s="326"/>
      <c r="B409" s="306" t="s">
        <v>875</v>
      </c>
      <c r="C409" s="306" t="s">
        <v>875</v>
      </c>
      <c r="D409" s="235" t="str">
        <f t="shared" si="24"/>
        <v xml:space="preserve"> OK</v>
      </c>
      <c r="E409" s="254" t="s">
        <v>875</v>
      </c>
      <c r="F409" s="254">
        <v>0</v>
      </c>
      <c r="G409" s="298">
        <f>ROUND([3]Data!K2105,2)</f>
        <v>513.38</v>
      </c>
      <c r="H409" s="298" t="s">
        <v>12</v>
      </c>
      <c r="I409" s="300"/>
      <c r="J409" s="300"/>
      <c r="K409" s="270"/>
      <c r="L409" s="301"/>
      <c r="M409" s="270"/>
      <c r="N409" s="270"/>
      <c r="O409" s="270"/>
      <c r="P409" s="270"/>
      <c r="Q409" s="270"/>
      <c r="R409" s="270"/>
      <c r="S409" s="270"/>
      <c r="T409" s="301"/>
      <c r="U409" s="270"/>
      <c r="V409" s="240"/>
      <c r="W409" s="238">
        <f t="shared" si="22"/>
        <v>0</v>
      </c>
      <c r="Y409" s="223" t="str">
        <f>'[4]Development - i'!E408</f>
        <v>b. 75 mm dia.</v>
      </c>
      <c r="Z409" s="223" t="str">
        <f t="shared" si="23"/>
        <v>-----------------------</v>
      </c>
    </row>
    <row r="410" spans="1:26" s="241" customFormat="1">
      <c r="A410" s="305">
        <v>58.2</v>
      </c>
      <c r="B410" s="306" t="s">
        <v>876</v>
      </c>
      <c r="C410" s="306" t="s">
        <v>876</v>
      </c>
      <c r="D410" s="235" t="str">
        <f t="shared" si="24"/>
        <v xml:space="preserve"> OK</v>
      </c>
      <c r="E410" s="254" t="s">
        <v>876</v>
      </c>
      <c r="F410" s="254">
        <v>0</v>
      </c>
      <c r="G410" s="298">
        <f>ROUND([3]Data!K2116,2)</f>
        <v>441.7</v>
      </c>
      <c r="H410" s="298" t="s">
        <v>556</v>
      </c>
      <c r="I410" s="300"/>
      <c r="J410" s="300"/>
      <c r="K410" s="270"/>
      <c r="L410" s="301"/>
      <c r="M410" s="270"/>
      <c r="N410" s="270"/>
      <c r="O410" s="270"/>
      <c r="P410" s="270"/>
      <c r="Q410" s="270"/>
      <c r="R410" s="270"/>
      <c r="S410" s="270"/>
      <c r="T410" s="301"/>
      <c r="U410" s="270"/>
      <c r="V410" s="240"/>
      <c r="W410" s="238">
        <f t="shared" si="22"/>
        <v>0</v>
      </c>
      <c r="Y410" s="223" t="str">
        <f>'[4]Development - i'!E409</f>
        <v>PVC Ventilating shaft with cowl</v>
      </c>
      <c r="Z410" s="223" t="str">
        <f t="shared" si="23"/>
        <v>-----------------------</v>
      </c>
    </row>
    <row r="411" spans="1:26" s="241" customFormat="1" ht="46.5">
      <c r="A411" s="311">
        <v>59.1</v>
      </c>
      <c r="B411" s="306" t="s">
        <v>877</v>
      </c>
      <c r="C411" s="306" t="s">
        <v>877</v>
      </c>
      <c r="D411" s="235" t="str">
        <f t="shared" si="24"/>
        <v xml:space="preserve"> OK</v>
      </c>
      <c r="E411" s="254" t="s">
        <v>877</v>
      </c>
      <c r="F411" s="254">
        <v>0</v>
      </c>
      <c r="G411" s="298"/>
      <c r="H411" s="298" t="s">
        <v>556</v>
      </c>
      <c r="I411" s="300"/>
      <c r="J411" s="300"/>
      <c r="K411" s="270"/>
      <c r="L411" s="301"/>
      <c r="M411" s="270"/>
      <c r="N411" s="270"/>
      <c r="O411" s="270"/>
      <c r="P411" s="270"/>
      <c r="Q411" s="270"/>
      <c r="R411" s="270"/>
      <c r="S411" s="270"/>
      <c r="T411" s="301"/>
      <c r="U411" s="270"/>
      <c r="V411" s="242"/>
      <c r="W411" s="238">
        <f t="shared" si="22"/>
        <v>0</v>
      </c>
      <c r="Y411" s="223" t="str">
        <f>'[4]Development - i'!E410</f>
        <v>Gully Trap using Chamber burnt bricks 23 x 11.2 x 7 cm.</v>
      </c>
      <c r="Z411" s="223" t="str">
        <f t="shared" si="23"/>
        <v>-----------------------</v>
      </c>
    </row>
    <row r="412" spans="1:26" ht="130.5">
      <c r="A412" s="234">
        <v>59.2</v>
      </c>
      <c r="B412" s="313" t="s">
        <v>468</v>
      </c>
      <c r="C412" s="306" t="s">
        <v>468</v>
      </c>
      <c r="D412" s="235" t="str">
        <f t="shared" si="24"/>
        <v xml:space="preserve"> OK</v>
      </c>
      <c r="E412" s="254" t="s">
        <v>468</v>
      </c>
      <c r="F412" s="254" t="s">
        <v>878</v>
      </c>
      <c r="G412" s="298">
        <f>ROUND([3]Data!K2129,2)</f>
        <v>1656.52</v>
      </c>
      <c r="H412" s="298" t="s">
        <v>556</v>
      </c>
      <c r="I412" s="299"/>
      <c r="J412" s="300"/>
      <c r="K412" s="270"/>
      <c r="L412" s="301"/>
      <c r="M412" s="270"/>
      <c r="N412" s="270"/>
      <c r="O412" s="270"/>
      <c r="P412" s="270"/>
      <c r="Q412" s="270"/>
      <c r="R412" s="270"/>
      <c r="S412" s="270"/>
      <c r="T412" s="301"/>
      <c r="U412" s="302"/>
      <c r="V412" s="236">
        <f>'[3]Precast Compound wall '!H241</f>
        <v>2</v>
      </c>
      <c r="W412" s="233">
        <f t="shared" si="22"/>
        <v>0</v>
      </c>
      <c r="Y412" s="223" t="str">
        <f>'[4]Development - i'!E411</f>
        <v>Gully Trap using chamber burnt bricks of size 23x11.4x7.5cm</v>
      </c>
      <c r="Z412" s="223" t="str">
        <f t="shared" si="23"/>
        <v>-----------------------</v>
      </c>
    </row>
    <row r="413" spans="1:26" s="241" customFormat="1" ht="46.5">
      <c r="A413" s="309">
        <v>59.3</v>
      </c>
      <c r="B413" s="306" t="s">
        <v>879</v>
      </c>
      <c r="C413" s="306" t="s">
        <v>879</v>
      </c>
      <c r="D413" s="235" t="str">
        <f t="shared" si="24"/>
        <v xml:space="preserve"> OK</v>
      </c>
      <c r="E413" s="254" t="s">
        <v>879</v>
      </c>
      <c r="F413" s="254">
        <v>0</v>
      </c>
      <c r="G413" s="298"/>
      <c r="H413" s="298" t="s">
        <v>556</v>
      </c>
      <c r="I413" s="300"/>
      <c r="J413" s="300"/>
      <c r="K413" s="270"/>
      <c r="L413" s="301"/>
      <c r="M413" s="270"/>
      <c r="N413" s="270"/>
      <c r="O413" s="270"/>
      <c r="P413" s="270"/>
      <c r="Q413" s="270"/>
      <c r="R413" s="270"/>
      <c r="S413" s="270"/>
      <c r="T413" s="301"/>
      <c r="U413" s="270"/>
      <c r="V413" s="237"/>
      <c r="W413" s="238">
        <f t="shared" si="22"/>
        <v>0</v>
      </c>
      <c r="Y413" s="223" t="str">
        <f>'[4]Development - i'!E412</f>
        <v>Gully Trap using Chamber burnt bricks 23 x 11 x 7 cm.</v>
      </c>
      <c r="Z413" s="223" t="str">
        <f t="shared" si="23"/>
        <v>-----------------------</v>
      </c>
    </row>
    <row r="414" spans="1:26" s="241" customFormat="1" ht="46.5">
      <c r="A414" s="305">
        <v>59.4</v>
      </c>
      <c r="B414" s="306" t="s">
        <v>880</v>
      </c>
      <c r="C414" s="306" t="s">
        <v>880</v>
      </c>
      <c r="D414" s="235" t="str">
        <f t="shared" si="24"/>
        <v xml:space="preserve"> OK</v>
      </c>
      <c r="E414" s="254" t="s">
        <v>880</v>
      </c>
      <c r="F414" s="254">
        <v>0</v>
      </c>
      <c r="G414" s="298"/>
      <c r="H414" s="298" t="s">
        <v>556</v>
      </c>
      <c r="I414" s="300"/>
      <c r="J414" s="300"/>
      <c r="K414" s="270"/>
      <c r="L414" s="301"/>
      <c r="M414" s="270"/>
      <c r="N414" s="270"/>
      <c r="O414" s="270"/>
      <c r="P414" s="270"/>
      <c r="Q414" s="270"/>
      <c r="R414" s="270"/>
      <c r="S414" s="270"/>
      <c r="T414" s="301"/>
      <c r="U414" s="270"/>
      <c r="V414" s="240"/>
      <c r="W414" s="238">
        <f t="shared" si="22"/>
        <v>0</v>
      </c>
      <c r="Y414" s="223" t="str">
        <f>'[4]Development - i'!E413</f>
        <v>Gully Trap using Chamber burnt bricks 22 x 11 x 7 cm.</v>
      </c>
      <c r="Z414" s="223" t="str">
        <f t="shared" si="23"/>
        <v>-----------------------</v>
      </c>
    </row>
    <row r="415" spans="1:26" s="239" customFormat="1" ht="130.5">
      <c r="A415" s="320">
        <v>59.5</v>
      </c>
      <c r="B415" s="290" t="s">
        <v>881</v>
      </c>
      <c r="C415" s="290" t="s">
        <v>881</v>
      </c>
      <c r="D415" s="235" t="str">
        <f t="shared" si="24"/>
        <v xml:space="preserve"> OK</v>
      </c>
      <c r="E415" s="254" t="s">
        <v>881</v>
      </c>
      <c r="F415" s="254" t="s">
        <v>882</v>
      </c>
      <c r="G415" s="298">
        <f>[3]Data!K2129</f>
        <v>1656.52</v>
      </c>
      <c r="H415" s="298" t="s">
        <v>556</v>
      </c>
      <c r="I415" s="300"/>
      <c r="J415" s="300"/>
      <c r="K415" s="270"/>
      <c r="L415" s="301"/>
      <c r="M415" s="270"/>
      <c r="N415" s="270"/>
      <c r="O415" s="270"/>
      <c r="P415" s="270"/>
      <c r="Q415" s="270"/>
      <c r="R415" s="270"/>
      <c r="S415" s="270"/>
      <c r="T415" s="301"/>
      <c r="U415" s="270"/>
      <c r="V415" s="240"/>
      <c r="W415" s="238">
        <f t="shared" si="22"/>
        <v>0</v>
      </c>
      <c r="Y415" s="223" t="str">
        <f>'[4]Development - i'!E414</f>
        <v>Gully Trap using Kiln burnt country bricks 22 x 11 x 7 cm.</v>
      </c>
      <c r="Z415" s="223" t="str">
        <f t="shared" si="23"/>
        <v>-----------------------</v>
      </c>
    </row>
    <row r="416" spans="1:26" s="241" customFormat="1" ht="46.5">
      <c r="A416" s="309">
        <v>59.6</v>
      </c>
      <c r="B416" s="310" t="s">
        <v>883</v>
      </c>
      <c r="C416" s="310" t="s">
        <v>883</v>
      </c>
      <c r="D416" s="235" t="str">
        <f t="shared" si="24"/>
        <v xml:space="preserve"> OK</v>
      </c>
      <c r="E416" s="254" t="s">
        <v>883</v>
      </c>
      <c r="F416" s="254">
        <v>0</v>
      </c>
      <c r="G416" s="298"/>
      <c r="H416" s="298" t="s">
        <v>556</v>
      </c>
      <c r="I416" s="300"/>
      <c r="J416" s="300"/>
      <c r="K416" s="270"/>
      <c r="L416" s="301"/>
      <c r="M416" s="270"/>
      <c r="N416" s="270"/>
      <c r="O416" s="270"/>
      <c r="P416" s="270"/>
      <c r="Q416" s="270"/>
      <c r="R416" s="270"/>
      <c r="S416" s="270"/>
      <c r="T416" s="301"/>
      <c r="U416" s="270"/>
      <c r="V416" s="240"/>
      <c r="W416" s="238">
        <f t="shared" si="22"/>
        <v>0</v>
      </c>
      <c r="Y416" s="223" t="str">
        <f>'[4]Development - i'!E415</f>
        <v>Gully Trap using Kiln burnt country bricks 22 x 11 x 5.7 cm.</v>
      </c>
      <c r="Z416" s="223" t="str">
        <f t="shared" si="23"/>
        <v>-----------------------</v>
      </c>
    </row>
    <row r="417" spans="1:26" s="239" customFormat="1" ht="130.5">
      <c r="A417" s="320">
        <v>60</v>
      </c>
      <c r="B417" s="290" t="s">
        <v>470</v>
      </c>
      <c r="C417" s="290" t="s">
        <v>470</v>
      </c>
      <c r="D417" s="235" t="str">
        <f t="shared" si="24"/>
        <v xml:space="preserve"> OK</v>
      </c>
      <c r="E417" s="254" t="s">
        <v>470</v>
      </c>
      <c r="F417" s="254" t="s">
        <v>884</v>
      </c>
      <c r="G417" s="298">
        <f>ROUND([3]Data!K2137,2)</f>
        <v>136.69999999999999</v>
      </c>
      <c r="H417" s="298" t="s">
        <v>556</v>
      </c>
      <c r="I417" s="300"/>
      <c r="J417" s="300"/>
      <c r="K417" s="270"/>
      <c r="L417" s="301"/>
      <c r="M417" s="270"/>
      <c r="N417" s="270"/>
      <c r="O417" s="270"/>
      <c r="P417" s="270"/>
      <c r="Q417" s="270"/>
      <c r="R417" s="270"/>
      <c r="S417" s="270"/>
      <c r="T417" s="301"/>
      <c r="U417" s="270"/>
      <c r="V417" s="240"/>
      <c r="W417" s="238">
        <f t="shared" si="22"/>
        <v>0</v>
      </c>
      <c r="Y417" s="223" t="str">
        <f>'[4]Development - i'!E416</f>
        <v>PVC Nahani trap (4way/2way)</v>
      </c>
      <c r="Z417" s="223" t="str">
        <f t="shared" si="23"/>
        <v>-----------------------</v>
      </c>
    </row>
    <row r="418" spans="1:26" s="241" customFormat="1" ht="130.5">
      <c r="A418" s="309">
        <v>61.1</v>
      </c>
      <c r="B418" s="310" t="s">
        <v>885</v>
      </c>
      <c r="C418" s="310" t="s">
        <v>885</v>
      </c>
      <c r="D418" s="235" t="str">
        <f t="shared" si="24"/>
        <v xml:space="preserve"> OK</v>
      </c>
      <c r="E418" s="254" t="s">
        <v>885</v>
      </c>
      <c r="F418" s="254" t="s">
        <v>884</v>
      </c>
      <c r="G418" s="298"/>
      <c r="H418" s="298"/>
      <c r="I418" s="300"/>
      <c r="J418" s="300"/>
      <c r="K418" s="270"/>
      <c r="L418" s="301"/>
      <c r="M418" s="270"/>
      <c r="N418" s="270"/>
      <c r="O418" s="270"/>
      <c r="P418" s="270"/>
      <c r="Q418" s="270"/>
      <c r="R418" s="270"/>
      <c r="S418" s="270"/>
      <c r="T418" s="301"/>
      <c r="U418" s="270"/>
      <c r="V418" s="240"/>
      <c r="W418" s="238">
        <f t="shared" si="22"/>
        <v>0</v>
      </c>
      <c r="Y418" s="223" t="str">
        <f>'[4]Development - i'!E417</f>
        <v>Stoneware pipe</v>
      </c>
      <c r="Z418" s="223" t="str">
        <f t="shared" si="23"/>
        <v>-----------------------</v>
      </c>
    </row>
    <row r="419" spans="1:26" s="241" customFormat="1">
      <c r="A419" s="306"/>
      <c r="B419" s="306" t="s">
        <v>2004</v>
      </c>
      <c r="C419" s="306" t="s">
        <v>2004</v>
      </c>
      <c r="D419" s="235" t="str">
        <f t="shared" si="24"/>
        <v xml:space="preserve"> OK</v>
      </c>
      <c r="E419" s="254" t="s">
        <v>2005</v>
      </c>
      <c r="F419" s="254" t="s">
        <v>886</v>
      </c>
      <c r="G419" s="298">
        <f>ROUND([3]Data!K2156,2)</f>
        <v>477.8</v>
      </c>
      <c r="H419" s="298" t="s">
        <v>12</v>
      </c>
      <c r="I419" s="300"/>
      <c r="J419" s="300"/>
      <c r="K419" s="270"/>
      <c r="L419" s="301"/>
      <c r="M419" s="270"/>
      <c r="N419" s="270"/>
      <c r="O419" s="270"/>
      <c r="P419" s="270"/>
      <c r="Q419" s="270"/>
      <c r="R419" s="270"/>
      <c r="S419" s="270"/>
      <c r="T419" s="301"/>
      <c r="U419" s="270"/>
      <c r="V419" s="240"/>
      <c r="W419" s="238">
        <f t="shared" si="22"/>
        <v>0</v>
      </c>
      <c r="Y419" s="223" t="str">
        <f>'[4]Development - i'!E418</f>
        <v>a. 100 mm S.W. pipe Stoneware pipe</v>
      </c>
      <c r="Z419" s="223" t="str">
        <f t="shared" si="23"/>
        <v>-----------------------</v>
      </c>
    </row>
    <row r="420" spans="1:26" s="241" customFormat="1">
      <c r="A420" s="326"/>
      <c r="B420" s="306" t="s">
        <v>2006</v>
      </c>
      <c r="C420" s="306" t="s">
        <v>2006</v>
      </c>
      <c r="D420" s="235" t="str">
        <f t="shared" si="24"/>
        <v xml:space="preserve"> OK</v>
      </c>
      <c r="E420" s="254" t="s">
        <v>2007</v>
      </c>
      <c r="F420" s="254" t="s">
        <v>887</v>
      </c>
      <c r="G420" s="298">
        <f>ROUND([3]Data!K2176,2)</f>
        <v>637.16999999999996</v>
      </c>
      <c r="H420" s="298" t="s">
        <v>12</v>
      </c>
      <c r="I420" s="300"/>
      <c r="J420" s="300"/>
      <c r="K420" s="270"/>
      <c r="L420" s="301"/>
      <c r="M420" s="270"/>
      <c r="N420" s="270"/>
      <c r="O420" s="270"/>
      <c r="P420" s="270"/>
      <c r="Q420" s="270"/>
      <c r="R420" s="270"/>
      <c r="S420" s="270"/>
      <c r="T420" s="301"/>
      <c r="U420" s="270"/>
      <c r="V420" s="240"/>
      <c r="W420" s="238">
        <f t="shared" si="22"/>
        <v>0</v>
      </c>
      <c r="Y420" s="223" t="str">
        <f>'[4]Development - i'!E419</f>
        <v>b. 150 mm S.W. pipe Stoneware pipe</v>
      </c>
      <c r="Z420" s="223" t="str">
        <f t="shared" si="23"/>
        <v>-----------------------</v>
      </c>
    </row>
    <row r="421" spans="1:26" s="241" customFormat="1" ht="87">
      <c r="A421" s="305">
        <v>61.2</v>
      </c>
      <c r="B421" s="314" t="s">
        <v>888</v>
      </c>
      <c r="C421" s="314" t="s">
        <v>888</v>
      </c>
      <c r="D421" s="235" t="str">
        <f t="shared" si="24"/>
        <v xml:space="preserve"> OK</v>
      </c>
      <c r="E421" s="254" t="s">
        <v>888</v>
      </c>
      <c r="F421" s="254" t="s">
        <v>889</v>
      </c>
      <c r="G421" s="298"/>
      <c r="H421" s="298"/>
      <c r="I421" s="300"/>
      <c r="J421" s="300"/>
      <c r="K421" s="270"/>
      <c r="L421" s="301"/>
      <c r="M421" s="270"/>
      <c r="N421" s="270"/>
      <c r="O421" s="270"/>
      <c r="P421" s="270"/>
      <c r="Q421" s="270"/>
      <c r="R421" s="270"/>
      <c r="S421" s="270"/>
      <c r="T421" s="301"/>
      <c r="U421" s="270"/>
      <c r="V421" s="240"/>
      <c r="W421" s="238">
        <f t="shared" si="22"/>
        <v>0</v>
      </c>
      <c r="Y421" s="223" t="str">
        <f>'[4]Development - i'!E420</f>
        <v>Stoneware pipe dry condition</v>
      </c>
      <c r="Z421" s="223" t="str">
        <f t="shared" si="23"/>
        <v>-----------------------</v>
      </c>
    </row>
    <row r="422" spans="1:26" s="241" customFormat="1">
      <c r="A422" s="306"/>
      <c r="B422" s="306" t="s">
        <v>2008</v>
      </c>
      <c r="C422" s="306" t="s">
        <v>2008</v>
      </c>
      <c r="D422" s="235" t="str">
        <f t="shared" si="24"/>
        <v xml:space="preserve"> OK</v>
      </c>
      <c r="E422" s="254" t="s">
        <v>2009</v>
      </c>
      <c r="F422" s="254" t="s">
        <v>886</v>
      </c>
      <c r="G422" s="298">
        <f>ROUND([3]Data!K2187,2)</f>
        <v>214.22</v>
      </c>
      <c r="H422" s="298" t="s">
        <v>12</v>
      </c>
      <c r="I422" s="300"/>
      <c r="J422" s="300"/>
      <c r="K422" s="270"/>
      <c r="L422" s="301"/>
      <c r="M422" s="270"/>
      <c r="N422" s="270"/>
      <c r="O422" s="270"/>
      <c r="P422" s="270"/>
      <c r="Q422" s="270"/>
      <c r="R422" s="270"/>
      <c r="S422" s="270"/>
      <c r="T422" s="301"/>
      <c r="U422" s="270"/>
      <c r="V422" s="240"/>
      <c r="W422" s="238">
        <f t="shared" si="22"/>
        <v>0</v>
      </c>
      <c r="Y422" s="223" t="str">
        <f>'[4]Development - i'!E421</f>
        <v>a. 100 mm dia Stoneware pipe dry condition</v>
      </c>
      <c r="Z422" s="223" t="str">
        <f t="shared" si="23"/>
        <v>-----------------------</v>
      </c>
    </row>
    <row r="423" spans="1:26" s="241" customFormat="1">
      <c r="A423" s="326"/>
      <c r="B423" s="306" t="s">
        <v>2010</v>
      </c>
      <c r="C423" s="306" t="s">
        <v>2010</v>
      </c>
      <c r="D423" s="235" t="str">
        <f t="shared" si="24"/>
        <v xml:space="preserve"> OK</v>
      </c>
      <c r="E423" s="254" t="s">
        <v>2011</v>
      </c>
      <c r="F423" s="254" t="s">
        <v>887</v>
      </c>
      <c r="G423" s="298">
        <f>ROUND([3]Data!K2202,2)</f>
        <v>317.39999999999998</v>
      </c>
      <c r="H423" s="298" t="s">
        <v>12</v>
      </c>
      <c r="I423" s="300"/>
      <c r="J423" s="300"/>
      <c r="K423" s="270"/>
      <c r="L423" s="301"/>
      <c r="M423" s="270"/>
      <c r="N423" s="270"/>
      <c r="O423" s="270"/>
      <c r="P423" s="270"/>
      <c r="Q423" s="270"/>
      <c r="R423" s="270"/>
      <c r="S423" s="270"/>
      <c r="T423" s="301"/>
      <c r="U423" s="270"/>
      <c r="V423" s="240"/>
      <c r="W423" s="238">
        <f t="shared" si="22"/>
        <v>0</v>
      </c>
      <c r="Y423" s="223" t="str">
        <f>'[4]Development - i'!E422</f>
        <v>b. 150 mm dia Stoneware pipe dry condition</v>
      </c>
      <c r="Z423" s="223" t="str">
        <f t="shared" si="23"/>
        <v>-----------------------</v>
      </c>
    </row>
    <row r="424" spans="1:26" s="241" customFormat="1" ht="65.25">
      <c r="A424" s="305">
        <v>62.1</v>
      </c>
      <c r="B424" s="306" t="s">
        <v>890</v>
      </c>
      <c r="C424" s="306" t="s">
        <v>890</v>
      </c>
      <c r="D424" s="235" t="str">
        <f t="shared" si="24"/>
        <v xml:space="preserve"> OK</v>
      </c>
      <c r="E424" s="254" t="s">
        <v>890</v>
      </c>
      <c r="F424" s="254" t="s">
        <v>891</v>
      </c>
      <c r="G424" s="298"/>
      <c r="H424" s="298"/>
      <c r="I424" s="300"/>
      <c r="J424" s="300"/>
      <c r="K424" s="270"/>
      <c r="L424" s="301"/>
      <c r="M424" s="270"/>
      <c r="N424" s="270"/>
      <c r="O424" s="270"/>
      <c r="P424" s="270"/>
      <c r="Q424" s="270"/>
      <c r="R424" s="270"/>
      <c r="S424" s="270"/>
      <c r="T424" s="301"/>
      <c r="U424" s="270"/>
      <c r="V424" s="240"/>
      <c r="W424" s="238">
        <f t="shared" si="22"/>
        <v>0</v>
      </c>
      <c r="Y424" s="223" t="str">
        <f>'[4]Development - i'!E423</f>
        <v>Stoneware bend</v>
      </c>
      <c r="Z424" s="223" t="str">
        <f t="shared" si="23"/>
        <v>-----------------------</v>
      </c>
    </row>
    <row r="425" spans="1:26" s="241" customFormat="1">
      <c r="A425" s="306"/>
      <c r="B425" s="306" t="s">
        <v>2008</v>
      </c>
      <c r="C425" s="306" t="s">
        <v>2008</v>
      </c>
      <c r="D425" s="235" t="str">
        <f t="shared" si="24"/>
        <v xml:space="preserve"> OK</v>
      </c>
      <c r="E425" s="254" t="s">
        <v>892</v>
      </c>
      <c r="F425" s="254" t="s">
        <v>893</v>
      </c>
      <c r="G425" s="298">
        <f>ROUND([3]Data!K2211,2)</f>
        <v>102.1</v>
      </c>
      <c r="H425" s="298" t="s">
        <v>556</v>
      </c>
      <c r="I425" s="300"/>
      <c r="J425" s="300"/>
      <c r="K425" s="270"/>
      <c r="L425" s="301"/>
      <c r="M425" s="270"/>
      <c r="N425" s="270"/>
      <c r="O425" s="270"/>
      <c r="P425" s="270"/>
      <c r="Q425" s="270"/>
      <c r="R425" s="270"/>
      <c r="S425" s="270"/>
      <c r="T425" s="301"/>
      <c r="U425" s="270"/>
      <c r="V425" s="240"/>
      <c r="W425" s="238">
        <f t="shared" si="22"/>
        <v>0</v>
      </c>
      <c r="Y425" s="223" t="str">
        <f>'[4]Development - i'!E424</f>
        <v>a. 100 mm dia Stoneware bend</v>
      </c>
      <c r="Z425" s="223" t="str">
        <f t="shared" si="23"/>
        <v>-----------------------</v>
      </c>
    </row>
    <row r="426" spans="1:26" s="241" customFormat="1">
      <c r="A426" s="326"/>
      <c r="B426" s="306" t="s">
        <v>2010</v>
      </c>
      <c r="C426" s="306" t="s">
        <v>2010</v>
      </c>
      <c r="D426" s="235" t="str">
        <f t="shared" si="24"/>
        <v xml:space="preserve"> OK</v>
      </c>
      <c r="E426" s="254" t="s">
        <v>894</v>
      </c>
      <c r="F426" s="254" t="s">
        <v>895</v>
      </c>
      <c r="G426" s="298">
        <f>ROUND([3]Data!K2218,2)</f>
        <v>140.5</v>
      </c>
      <c r="H426" s="298" t="s">
        <v>556</v>
      </c>
      <c r="I426" s="300"/>
      <c r="J426" s="300"/>
      <c r="K426" s="270"/>
      <c r="L426" s="301"/>
      <c r="M426" s="270"/>
      <c r="N426" s="270"/>
      <c r="O426" s="270"/>
      <c r="P426" s="270"/>
      <c r="Q426" s="270"/>
      <c r="R426" s="270"/>
      <c r="S426" s="270"/>
      <c r="T426" s="301"/>
      <c r="U426" s="270"/>
      <c r="V426" s="240"/>
      <c r="W426" s="238">
        <f t="shared" si="22"/>
        <v>0</v>
      </c>
      <c r="Y426" s="223" t="str">
        <f>'[4]Development - i'!E425</f>
        <v>b. 150 mm dia Stoneware bend</v>
      </c>
      <c r="Z426" s="223" t="str">
        <f t="shared" si="23"/>
        <v>-----------------------</v>
      </c>
    </row>
    <row r="427" spans="1:26" s="241" customFormat="1" ht="65.25">
      <c r="A427" s="305">
        <v>62.2</v>
      </c>
      <c r="B427" s="314" t="s">
        <v>896</v>
      </c>
      <c r="C427" s="314" t="s">
        <v>896</v>
      </c>
      <c r="D427" s="235" t="str">
        <f t="shared" si="24"/>
        <v xml:space="preserve"> OK</v>
      </c>
      <c r="E427" s="254" t="s">
        <v>896</v>
      </c>
      <c r="F427" s="254" t="s">
        <v>897</v>
      </c>
      <c r="G427" s="298"/>
      <c r="H427" s="298"/>
      <c r="I427" s="300"/>
      <c r="J427" s="300"/>
      <c r="K427" s="270"/>
      <c r="L427" s="301"/>
      <c r="M427" s="270"/>
      <c r="N427" s="270"/>
      <c r="O427" s="270"/>
      <c r="P427" s="270"/>
      <c r="Q427" s="270"/>
      <c r="R427" s="270"/>
      <c r="S427" s="270"/>
      <c r="T427" s="301"/>
      <c r="U427" s="270"/>
      <c r="V427" s="240"/>
      <c r="W427" s="238">
        <f t="shared" si="22"/>
        <v>0</v>
      </c>
      <c r="Y427" s="223" t="str">
        <f>'[4]Development - i'!E426</f>
        <v>Stoneware Tee</v>
      </c>
      <c r="Z427" s="223" t="str">
        <f t="shared" si="23"/>
        <v>-----------------------</v>
      </c>
    </row>
    <row r="428" spans="1:26" s="241" customFormat="1">
      <c r="A428" s="306"/>
      <c r="B428" s="306" t="s">
        <v>2008</v>
      </c>
      <c r="C428" s="306" t="s">
        <v>2008</v>
      </c>
      <c r="D428" s="235" t="str">
        <f t="shared" si="24"/>
        <v xml:space="preserve"> OK</v>
      </c>
      <c r="E428" s="254" t="s">
        <v>898</v>
      </c>
      <c r="F428" s="254" t="s">
        <v>899</v>
      </c>
      <c r="G428" s="298">
        <f>ROUND([3]Data!K2224,2)</f>
        <v>128.6</v>
      </c>
      <c r="H428" s="298" t="s">
        <v>556</v>
      </c>
      <c r="I428" s="300"/>
      <c r="J428" s="300"/>
      <c r="K428" s="270"/>
      <c r="L428" s="301"/>
      <c r="M428" s="270"/>
      <c r="N428" s="270"/>
      <c r="O428" s="270"/>
      <c r="P428" s="270"/>
      <c r="Q428" s="270"/>
      <c r="R428" s="270"/>
      <c r="S428" s="270"/>
      <c r="T428" s="301"/>
      <c r="U428" s="270"/>
      <c r="V428" s="240"/>
      <c r="W428" s="238">
        <f t="shared" si="22"/>
        <v>0</v>
      </c>
      <c r="Y428" s="223" t="str">
        <f>'[4]Development - i'!E427</f>
        <v>a. 100 mm dia Stoneware Tee</v>
      </c>
      <c r="Z428" s="223" t="str">
        <f t="shared" si="23"/>
        <v>-----------------------</v>
      </c>
    </row>
    <row r="429" spans="1:26" s="241" customFormat="1">
      <c r="A429" s="326"/>
      <c r="B429" s="306" t="s">
        <v>2010</v>
      </c>
      <c r="C429" s="306" t="s">
        <v>2010</v>
      </c>
      <c r="D429" s="235" t="str">
        <f t="shared" si="24"/>
        <v xml:space="preserve"> OK</v>
      </c>
      <c r="E429" s="254" t="s">
        <v>900</v>
      </c>
      <c r="F429" s="254" t="s">
        <v>901</v>
      </c>
      <c r="G429" s="298">
        <f>ROUND([3]Data!K2234,2)</f>
        <v>165.9</v>
      </c>
      <c r="H429" s="298" t="s">
        <v>556</v>
      </c>
      <c r="I429" s="300"/>
      <c r="J429" s="300"/>
      <c r="K429" s="270"/>
      <c r="L429" s="301"/>
      <c r="M429" s="270"/>
      <c r="N429" s="270"/>
      <c r="O429" s="270"/>
      <c r="P429" s="270"/>
      <c r="Q429" s="270"/>
      <c r="R429" s="270"/>
      <c r="S429" s="270"/>
      <c r="T429" s="301"/>
      <c r="U429" s="270"/>
      <c r="V429" s="240"/>
      <c r="W429" s="238">
        <f t="shared" si="22"/>
        <v>0</v>
      </c>
      <c r="Y429" s="223" t="str">
        <f>'[4]Development - i'!E428</f>
        <v>b. 150 mm dia Stoneware Tee</v>
      </c>
      <c r="Z429" s="223" t="str">
        <f t="shared" si="23"/>
        <v>-----------------------</v>
      </c>
    </row>
    <row r="430" spans="1:26" s="241" customFormat="1">
      <c r="A430" s="305">
        <v>63</v>
      </c>
      <c r="B430" s="306" t="s">
        <v>902</v>
      </c>
      <c r="C430" s="306" t="s">
        <v>902</v>
      </c>
      <c r="D430" s="235" t="str">
        <f t="shared" si="24"/>
        <v xml:space="preserve"> OK</v>
      </c>
      <c r="E430" s="254" t="s">
        <v>902</v>
      </c>
      <c r="F430" s="254">
        <v>0</v>
      </c>
      <c r="G430" s="298">
        <f>ROUND([3]Data!K2243,2)</f>
        <v>31.87</v>
      </c>
      <c r="H430" s="298" t="s">
        <v>556</v>
      </c>
      <c r="I430" s="300"/>
      <c r="J430" s="300"/>
      <c r="K430" s="270"/>
      <c r="L430" s="301"/>
      <c r="M430" s="270"/>
      <c r="N430" s="270"/>
      <c r="O430" s="270"/>
      <c r="P430" s="270"/>
      <c r="Q430" s="270"/>
      <c r="R430" s="270"/>
      <c r="S430" s="270"/>
      <c r="T430" s="301"/>
      <c r="U430" s="270"/>
      <c r="V430" s="240"/>
      <c r="W430" s="238">
        <f t="shared" ref="W430:W495" si="25">ROUND(G431,2)*ROUND(V430,2)</f>
        <v>0</v>
      </c>
      <c r="Y430" s="223" t="str">
        <f>'[4]Development - i'!E429</f>
        <v>32 mm dia PVC waste pipe</v>
      </c>
      <c r="Z430" s="223" t="str">
        <f t="shared" si="23"/>
        <v>-----------------------</v>
      </c>
    </row>
    <row r="431" spans="1:26" s="239" customFormat="1">
      <c r="A431" s="320"/>
      <c r="B431" s="316" t="s">
        <v>160</v>
      </c>
      <c r="C431" s="316" t="s">
        <v>160</v>
      </c>
      <c r="D431" s="235" t="str">
        <f t="shared" si="24"/>
        <v xml:space="preserve"> OK</v>
      </c>
      <c r="E431" s="254" t="s">
        <v>160</v>
      </c>
      <c r="F431" s="254">
        <v>0</v>
      </c>
      <c r="G431" s="298"/>
      <c r="H431" s="298"/>
      <c r="I431" s="300"/>
      <c r="J431" s="300"/>
      <c r="K431" s="270"/>
      <c r="L431" s="301"/>
      <c r="M431" s="270"/>
      <c r="N431" s="270"/>
      <c r="O431" s="270"/>
      <c r="P431" s="270"/>
      <c r="Q431" s="270"/>
      <c r="R431" s="270"/>
      <c r="S431" s="270"/>
      <c r="T431" s="301"/>
      <c r="U431" s="270"/>
      <c r="V431" s="240"/>
      <c r="W431" s="238">
        <f t="shared" si="25"/>
        <v>0</v>
      </c>
      <c r="Y431" s="223" t="str">
        <f>'[4]Development - i'!E430</f>
        <v>Electrical arrangements</v>
      </c>
      <c r="Z431" s="223" t="str">
        <f t="shared" si="23"/>
        <v>-----------------------</v>
      </c>
    </row>
    <row r="432" spans="1:26" s="241" customFormat="1">
      <c r="A432" s="309">
        <v>64</v>
      </c>
      <c r="B432" s="310" t="s">
        <v>41</v>
      </c>
      <c r="C432" s="310" t="s">
        <v>41</v>
      </c>
      <c r="D432" s="235" t="str">
        <f t="shared" si="24"/>
        <v xml:space="preserve"> OK</v>
      </c>
      <c r="E432" s="254" t="s">
        <v>41</v>
      </c>
      <c r="F432" s="254">
        <v>0</v>
      </c>
      <c r="G432" s="298">
        <f>[3]Data!K2279</f>
        <v>1340</v>
      </c>
      <c r="H432" s="298" t="s">
        <v>556</v>
      </c>
      <c r="I432" s="300"/>
      <c r="J432" s="300"/>
      <c r="K432" s="270"/>
      <c r="L432" s="301"/>
      <c r="M432" s="270"/>
      <c r="N432" s="270"/>
      <c r="O432" s="270"/>
      <c r="P432" s="270"/>
      <c r="Q432" s="270"/>
      <c r="R432" s="270"/>
      <c r="S432" s="270"/>
      <c r="T432" s="301"/>
      <c r="U432" s="270"/>
      <c r="V432" s="240"/>
      <c r="W432" s="238">
        <f t="shared" si="25"/>
        <v>0</v>
      </c>
      <c r="Y432" s="223" t="str">
        <f>'[4]Development - i'!E431</f>
        <v>a. Light point with ceiling rose</v>
      </c>
      <c r="Z432" s="223" t="str">
        <f t="shared" si="23"/>
        <v>-----------------------</v>
      </c>
    </row>
    <row r="433" spans="1:26" s="241" customFormat="1">
      <c r="A433" s="306"/>
      <c r="B433" s="306" t="s">
        <v>42</v>
      </c>
      <c r="C433" s="306" t="s">
        <v>42</v>
      </c>
      <c r="D433" s="235" t="str">
        <f t="shared" si="24"/>
        <v xml:space="preserve"> OK</v>
      </c>
      <c r="E433" s="254" t="s">
        <v>42</v>
      </c>
      <c r="F433" s="254">
        <v>0</v>
      </c>
      <c r="G433" s="298"/>
      <c r="H433" s="298" t="s">
        <v>556</v>
      </c>
      <c r="I433" s="300"/>
      <c r="J433" s="300"/>
      <c r="K433" s="270"/>
      <c r="L433" s="301"/>
      <c r="M433" s="270"/>
      <c r="N433" s="270"/>
      <c r="O433" s="270"/>
      <c r="P433" s="270"/>
      <c r="Q433" s="270"/>
      <c r="R433" s="270"/>
      <c r="S433" s="270"/>
      <c r="T433" s="301"/>
      <c r="U433" s="270"/>
      <c r="V433" s="240"/>
      <c r="W433" s="238">
        <f t="shared" si="25"/>
        <v>0</v>
      </c>
      <c r="Y433" s="223" t="str">
        <f>'[4]Development - i'!E432</f>
        <v>b. Light point without ceiling rose</v>
      </c>
      <c r="Z433" s="223" t="str">
        <f t="shared" si="23"/>
        <v>-----------------------</v>
      </c>
    </row>
    <row r="434" spans="1:26" s="241" customFormat="1">
      <c r="A434" s="326"/>
      <c r="B434" s="306" t="s">
        <v>903</v>
      </c>
      <c r="C434" s="306" t="s">
        <v>903</v>
      </c>
      <c r="D434" s="235" t="str">
        <f t="shared" si="24"/>
        <v xml:space="preserve"> OK</v>
      </c>
      <c r="E434" s="254" t="s">
        <v>903</v>
      </c>
      <c r="F434" s="254">
        <v>0</v>
      </c>
      <c r="G434" s="298">
        <f>[3]Data!K2281</f>
        <v>1372</v>
      </c>
      <c r="H434" s="298" t="s">
        <v>556</v>
      </c>
      <c r="I434" s="300"/>
      <c r="J434" s="300"/>
      <c r="K434" s="270"/>
      <c r="L434" s="301"/>
      <c r="M434" s="270"/>
      <c r="N434" s="270"/>
      <c r="O434" s="270"/>
      <c r="P434" s="270"/>
      <c r="Q434" s="270"/>
      <c r="R434" s="270"/>
      <c r="S434" s="270"/>
      <c r="T434" s="301"/>
      <c r="U434" s="270"/>
      <c r="V434" s="240"/>
      <c r="W434" s="238">
        <f t="shared" si="25"/>
        <v>0</v>
      </c>
      <c r="Y434" s="223" t="str">
        <f>'[4]Development - i'!E433</f>
        <v>c. Calling bell point with Buzzer/Calling bell</v>
      </c>
      <c r="Z434" s="223" t="str">
        <f t="shared" si="23"/>
        <v>-----------------------</v>
      </c>
    </row>
    <row r="435" spans="1:26" s="241" customFormat="1">
      <c r="A435" s="305">
        <v>65</v>
      </c>
      <c r="B435" s="306" t="s">
        <v>904</v>
      </c>
      <c r="C435" s="306" t="s">
        <v>904</v>
      </c>
      <c r="D435" s="235" t="str">
        <f t="shared" si="24"/>
        <v xml:space="preserve"> OK</v>
      </c>
      <c r="E435" s="254" t="s">
        <v>904</v>
      </c>
      <c r="F435" s="254">
        <v>0</v>
      </c>
      <c r="G435" s="298">
        <f>[3]Data!K2282</f>
        <v>1398</v>
      </c>
      <c r="H435" s="298" t="s">
        <v>556</v>
      </c>
      <c r="I435" s="300"/>
      <c r="J435" s="300"/>
      <c r="K435" s="270"/>
      <c r="L435" s="301"/>
      <c r="M435" s="270"/>
      <c r="N435" s="270"/>
      <c r="O435" s="270"/>
      <c r="P435" s="270"/>
      <c r="Q435" s="270"/>
      <c r="R435" s="270"/>
      <c r="S435" s="270"/>
      <c r="T435" s="301"/>
      <c r="U435" s="270"/>
      <c r="V435" s="240"/>
      <c r="W435" s="238">
        <f t="shared" si="25"/>
        <v>0</v>
      </c>
      <c r="Y435" s="223" t="str">
        <f>'[4]Development - i'!E434</f>
        <v xml:space="preserve">Fan point </v>
      </c>
      <c r="Z435" s="223" t="str">
        <f t="shared" si="23"/>
        <v>-----------------------</v>
      </c>
    </row>
    <row r="436" spans="1:26" s="241" customFormat="1">
      <c r="A436" s="305">
        <v>66</v>
      </c>
      <c r="B436" s="306" t="s">
        <v>905</v>
      </c>
      <c r="C436" s="306" t="s">
        <v>905</v>
      </c>
      <c r="D436" s="235" t="str">
        <f t="shared" si="24"/>
        <v xml:space="preserve"> OK</v>
      </c>
      <c r="E436" s="254" t="s">
        <v>905</v>
      </c>
      <c r="F436" s="254">
        <v>0</v>
      </c>
      <c r="G436" s="298">
        <f>[3]Data!K2283</f>
        <v>2539.73</v>
      </c>
      <c r="H436" s="298" t="s">
        <v>556</v>
      </c>
      <c r="I436" s="300"/>
      <c r="J436" s="300"/>
      <c r="K436" s="270"/>
      <c r="L436" s="301"/>
      <c r="M436" s="270"/>
      <c r="N436" s="270"/>
      <c r="O436" s="270"/>
      <c r="P436" s="270"/>
      <c r="Q436" s="270"/>
      <c r="R436" s="270"/>
      <c r="S436" s="270"/>
      <c r="T436" s="301"/>
      <c r="U436" s="270"/>
      <c r="V436" s="240"/>
      <c r="W436" s="238">
        <f t="shared" si="25"/>
        <v>0</v>
      </c>
      <c r="Y436" s="223" t="str">
        <f>'[4]Development - i'!E435</f>
        <v>Staircase light point</v>
      </c>
      <c r="Z436" s="223" t="str">
        <f t="shared" si="23"/>
        <v>-----------------------</v>
      </c>
    </row>
    <row r="437" spans="1:26" s="241" customFormat="1">
      <c r="A437" s="305">
        <v>67</v>
      </c>
      <c r="B437" s="306" t="s">
        <v>906</v>
      </c>
      <c r="C437" s="306" t="s">
        <v>906</v>
      </c>
      <c r="D437" s="235" t="str">
        <f t="shared" si="24"/>
        <v xml:space="preserve"> OK</v>
      </c>
      <c r="E437" s="254" t="s">
        <v>906</v>
      </c>
      <c r="F437" s="254">
        <v>0</v>
      </c>
      <c r="G437" s="298">
        <f>[3]Data!K2284</f>
        <v>688</v>
      </c>
      <c r="H437" s="298" t="s">
        <v>556</v>
      </c>
      <c r="I437" s="300"/>
      <c r="J437" s="300"/>
      <c r="K437" s="270"/>
      <c r="L437" s="301"/>
      <c r="M437" s="270"/>
      <c r="N437" s="270"/>
      <c r="O437" s="270"/>
      <c r="P437" s="270"/>
      <c r="Q437" s="270"/>
      <c r="R437" s="270"/>
      <c r="S437" s="270"/>
      <c r="T437" s="301"/>
      <c r="U437" s="270"/>
      <c r="V437" s="240"/>
      <c r="W437" s="238">
        <f t="shared" si="25"/>
        <v>0</v>
      </c>
      <c r="Y437" s="223" t="str">
        <f>'[4]Development - i'!E436</f>
        <v>5 amps 5 pin Plug point (Switch board itself)</v>
      </c>
      <c r="Z437" s="223" t="str">
        <f t="shared" si="23"/>
        <v>-----------------------</v>
      </c>
    </row>
    <row r="438" spans="1:26" s="241" customFormat="1">
      <c r="A438" s="305">
        <v>68</v>
      </c>
      <c r="B438" s="306" t="s">
        <v>907</v>
      </c>
      <c r="C438" s="306" t="s">
        <v>907</v>
      </c>
      <c r="D438" s="235" t="str">
        <f t="shared" si="24"/>
        <v xml:space="preserve"> OK</v>
      </c>
      <c r="E438" s="254" t="s">
        <v>907</v>
      </c>
      <c r="F438" s="254">
        <v>0</v>
      </c>
      <c r="G438" s="298">
        <f>[3]Data!K2285</f>
        <v>932</v>
      </c>
      <c r="H438" s="298" t="s">
        <v>556</v>
      </c>
      <c r="I438" s="300"/>
      <c r="J438" s="300"/>
      <c r="K438" s="270"/>
      <c r="L438" s="301"/>
      <c r="M438" s="270"/>
      <c r="N438" s="270"/>
      <c r="O438" s="270"/>
      <c r="P438" s="270"/>
      <c r="Q438" s="270"/>
      <c r="R438" s="270"/>
      <c r="S438" s="270"/>
      <c r="T438" s="301"/>
      <c r="U438" s="270"/>
      <c r="V438" s="240"/>
      <c r="W438" s="238">
        <f t="shared" si="25"/>
        <v>0</v>
      </c>
      <c r="Y438" s="223" t="str">
        <f>'[4]Development - i'!E437</f>
        <v>5 amps 5 pin Plug point (Convenient places)</v>
      </c>
      <c r="Z438" s="223" t="str">
        <f t="shared" si="23"/>
        <v>-----------------------</v>
      </c>
    </row>
    <row r="439" spans="1:26" s="239" customFormat="1" ht="65.25">
      <c r="A439" s="320">
        <v>69</v>
      </c>
      <c r="B439" s="290" t="s">
        <v>496</v>
      </c>
      <c r="C439" s="290" t="s">
        <v>496</v>
      </c>
      <c r="D439" s="235" t="str">
        <f t="shared" si="24"/>
        <v xml:space="preserve"> OK</v>
      </c>
      <c r="E439" s="254" t="s">
        <v>496</v>
      </c>
      <c r="F439" s="254" t="s">
        <v>908</v>
      </c>
      <c r="G439" s="298">
        <f>[3]Data!K2286</f>
        <v>129</v>
      </c>
      <c r="H439" s="298" t="s">
        <v>556</v>
      </c>
      <c r="I439" s="300"/>
      <c r="J439" s="300"/>
      <c r="K439" s="270"/>
      <c r="L439" s="301"/>
      <c r="M439" s="270"/>
      <c r="N439" s="270"/>
      <c r="O439" s="270"/>
      <c r="P439" s="270"/>
      <c r="Q439" s="270"/>
      <c r="R439" s="270"/>
      <c r="S439" s="270"/>
      <c r="T439" s="301"/>
      <c r="U439" s="270"/>
      <c r="V439" s="240"/>
      <c r="W439" s="238">
        <f t="shared" si="25"/>
        <v>0</v>
      </c>
      <c r="Y439" s="223" t="str">
        <f>'[4]Development - i'!E438</f>
        <v>15 Amp. Power plug</v>
      </c>
      <c r="Z439" s="223" t="str">
        <f t="shared" si="23"/>
        <v>-----------------------</v>
      </c>
    </row>
    <row r="440" spans="1:26" s="241" customFormat="1" ht="43.5">
      <c r="A440" s="309">
        <v>70.099999999999994</v>
      </c>
      <c r="B440" s="310" t="s">
        <v>497</v>
      </c>
      <c r="C440" s="310" t="s">
        <v>497</v>
      </c>
      <c r="D440" s="235" t="str">
        <f t="shared" si="24"/>
        <v xml:space="preserve"> OK</v>
      </c>
      <c r="E440" s="254" t="s">
        <v>497</v>
      </c>
      <c r="F440" s="254" t="s">
        <v>909</v>
      </c>
      <c r="G440" s="298">
        <f>[3]Data!K2287</f>
        <v>462</v>
      </c>
      <c r="H440" s="298" t="s">
        <v>556</v>
      </c>
      <c r="I440" s="300"/>
      <c r="J440" s="300"/>
      <c r="K440" s="270"/>
      <c r="L440" s="301"/>
      <c r="M440" s="270"/>
      <c r="N440" s="270"/>
      <c r="O440" s="270"/>
      <c r="P440" s="270"/>
      <c r="Q440" s="270"/>
      <c r="R440" s="270"/>
      <c r="S440" s="270"/>
      <c r="T440" s="301"/>
      <c r="U440" s="270"/>
      <c r="V440" s="240"/>
      <c r="W440" s="238">
        <f t="shared" si="25"/>
        <v>0</v>
      </c>
      <c r="Y440" s="223" t="str">
        <f>'[4]Development - i'!E439</f>
        <v>Bulk head fitting</v>
      </c>
      <c r="Z440" s="223" t="str">
        <f t="shared" si="23"/>
        <v>-----------------------</v>
      </c>
    </row>
    <row r="441" spans="1:26" s="241" customFormat="1" ht="87">
      <c r="A441" s="305">
        <v>70.2</v>
      </c>
      <c r="B441" s="306" t="s">
        <v>910</v>
      </c>
      <c r="C441" s="306" t="s">
        <v>910</v>
      </c>
      <c r="D441" s="235" t="str">
        <f t="shared" si="24"/>
        <v xml:space="preserve"> OK</v>
      </c>
      <c r="E441" s="254" t="s">
        <v>910</v>
      </c>
      <c r="F441" s="254" t="s">
        <v>911</v>
      </c>
      <c r="G441" s="298"/>
      <c r="H441" s="298" t="s">
        <v>556</v>
      </c>
      <c r="I441" s="300"/>
      <c r="J441" s="300"/>
      <c r="K441" s="270"/>
      <c r="L441" s="301"/>
      <c r="M441" s="270"/>
      <c r="N441" s="270"/>
      <c r="O441" s="270"/>
      <c r="P441" s="270"/>
      <c r="Q441" s="270"/>
      <c r="R441" s="270"/>
      <c r="S441" s="270"/>
      <c r="T441" s="301"/>
      <c r="U441" s="270"/>
      <c r="V441" s="240"/>
      <c r="W441" s="238">
        <f t="shared" si="25"/>
        <v>0</v>
      </c>
      <c r="Y441" s="223" t="str">
        <f>'[4]Development - i'!E440</f>
        <v>S &amp; F of Tube light with fittings</v>
      </c>
      <c r="Z441" s="223" t="str">
        <f t="shared" si="23"/>
        <v>-----------------------</v>
      </c>
    </row>
    <row r="442" spans="1:26" s="241" customFormat="1" ht="43.5">
      <c r="A442" s="305">
        <v>70.3</v>
      </c>
      <c r="B442" s="306" t="s">
        <v>912</v>
      </c>
      <c r="C442" s="306" t="s">
        <v>912</v>
      </c>
      <c r="D442" s="235" t="str">
        <f t="shared" si="24"/>
        <v xml:space="preserve"> OK</v>
      </c>
      <c r="E442" s="254" t="s">
        <v>912</v>
      </c>
      <c r="F442" s="254" t="s">
        <v>913</v>
      </c>
      <c r="G442" s="298">
        <f>[3]Data!K2289</f>
        <v>12</v>
      </c>
      <c r="H442" s="298" t="s">
        <v>556</v>
      </c>
      <c r="I442" s="300"/>
      <c r="J442" s="300"/>
      <c r="K442" s="270"/>
      <c r="L442" s="301"/>
      <c r="M442" s="270"/>
      <c r="N442" s="270"/>
      <c r="O442" s="270"/>
      <c r="P442" s="270"/>
      <c r="Q442" s="270"/>
      <c r="R442" s="270"/>
      <c r="S442" s="270"/>
      <c r="T442" s="301"/>
      <c r="U442" s="270"/>
      <c r="V442" s="240"/>
      <c r="W442" s="238">
        <f t="shared" si="25"/>
        <v>0</v>
      </c>
      <c r="Y442" s="223" t="str">
        <f>'[4]Development - i'!E441</f>
        <v>S &amp; F of 40/ 60 w bulb</v>
      </c>
      <c r="Z442" s="223" t="str">
        <f t="shared" si="23"/>
        <v>-----------------------</v>
      </c>
    </row>
    <row r="443" spans="1:26" s="241" customFormat="1" ht="87">
      <c r="A443" s="305">
        <v>70.400000000000006</v>
      </c>
      <c r="B443" s="306" t="s">
        <v>914</v>
      </c>
      <c r="C443" s="306" t="s">
        <v>914</v>
      </c>
      <c r="D443" s="235" t="str">
        <f t="shared" si="24"/>
        <v xml:space="preserve"> OK</v>
      </c>
      <c r="E443" s="254" t="s">
        <v>914</v>
      </c>
      <c r="F443" s="254" t="s">
        <v>915</v>
      </c>
      <c r="G443" s="298">
        <f>[3]Data!K2290</f>
        <v>10</v>
      </c>
      <c r="H443" s="298" t="s">
        <v>556</v>
      </c>
      <c r="I443" s="300"/>
      <c r="J443" s="300"/>
      <c r="K443" s="270"/>
      <c r="L443" s="301"/>
      <c r="M443" s="270"/>
      <c r="N443" s="270"/>
      <c r="O443" s="270"/>
      <c r="P443" s="270"/>
      <c r="Q443" s="270"/>
      <c r="R443" s="270"/>
      <c r="S443" s="270"/>
      <c r="T443" s="301"/>
      <c r="U443" s="270"/>
      <c r="V443" s="240"/>
      <c r="W443" s="238">
        <f t="shared" si="25"/>
        <v>0</v>
      </c>
      <c r="Y443" s="223" t="str">
        <f>'[4]Development - i'!E442</f>
        <v>S &amp; F of plastic  shade</v>
      </c>
      <c r="Z443" s="223" t="str">
        <f t="shared" si="23"/>
        <v>-----------------------</v>
      </c>
    </row>
    <row r="444" spans="1:26" s="241" customFormat="1" ht="65.25">
      <c r="A444" s="305">
        <v>71</v>
      </c>
      <c r="B444" s="306" t="s">
        <v>916</v>
      </c>
      <c r="C444" s="306" t="s">
        <v>916</v>
      </c>
      <c r="D444" s="235" t="str">
        <f t="shared" si="24"/>
        <v xml:space="preserve"> OK</v>
      </c>
      <c r="E444" s="254" t="s">
        <v>916</v>
      </c>
      <c r="F444" s="254" t="s">
        <v>917</v>
      </c>
      <c r="G444" s="298">
        <f>[3]Data!K2291</f>
        <v>815</v>
      </c>
      <c r="H444" s="298" t="s">
        <v>556</v>
      </c>
      <c r="I444" s="300"/>
      <c r="J444" s="300"/>
      <c r="K444" s="270"/>
      <c r="L444" s="301"/>
      <c r="M444" s="270"/>
      <c r="N444" s="270"/>
      <c r="O444" s="270"/>
      <c r="P444" s="270"/>
      <c r="Q444" s="270"/>
      <c r="R444" s="270"/>
      <c r="S444" s="270"/>
      <c r="T444" s="301"/>
      <c r="U444" s="270"/>
      <c r="V444" s="240"/>
      <c r="W444" s="238">
        <f t="shared" si="25"/>
        <v>0</v>
      </c>
      <c r="Y444" s="223" t="str">
        <f>'[4]Development - i'!E443</f>
        <v>Double pole main switch</v>
      </c>
      <c r="Z444" s="223" t="str">
        <f t="shared" si="23"/>
        <v>-----------------------</v>
      </c>
    </row>
    <row r="445" spans="1:26" s="239" customFormat="1" ht="87">
      <c r="A445" s="320">
        <v>72</v>
      </c>
      <c r="B445" s="290" t="s">
        <v>507</v>
      </c>
      <c r="C445" s="290" t="s">
        <v>507</v>
      </c>
      <c r="D445" s="235" t="str">
        <f t="shared" si="24"/>
        <v xml:space="preserve"> OK</v>
      </c>
      <c r="E445" s="254" t="s">
        <v>507</v>
      </c>
      <c r="F445" s="254" t="s">
        <v>918</v>
      </c>
      <c r="G445" s="298">
        <f>[3]Data!K2292</f>
        <v>33.9</v>
      </c>
      <c r="H445" s="298" t="s">
        <v>556</v>
      </c>
      <c r="I445" s="300"/>
      <c r="J445" s="300"/>
      <c r="K445" s="270"/>
      <c r="L445" s="301"/>
      <c r="M445" s="270"/>
      <c r="N445" s="270"/>
      <c r="O445" s="270"/>
      <c r="P445" s="270"/>
      <c r="Q445" s="270"/>
      <c r="R445" s="270"/>
      <c r="S445" s="270"/>
      <c r="T445" s="301"/>
      <c r="U445" s="270"/>
      <c r="V445" s="240"/>
      <c r="W445" s="238">
        <f t="shared" si="25"/>
        <v>0</v>
      </c>
      <c r="Y445" s="223" t="str">
        <f>'[4]Development - i'!E444</f>
        <v>Box type Fibre Fan hook</v>
      </c>
      <c r="Z445" s="223" t="str">
        <f t="shared" si="23"/>
        <v>-----------------------</v>
      </c>
    </row>
    <row r="446" spans="1:26" s="239" customFormat="1" ht="65.25">
      <c r="A446" s="322">
        <v>73.099999999999994</v>
      </c>
      <c r="B446" s="322" t="s">
        <v>919</v>
      </c>
      <c r="C446" s="322" t="s">
        <v>919</v>
      </c>
      <c r="D446" s="235" t="str">
        <f t="shared" si="24"/>
        <v xml:space="preserve"> OK</v>
      </c>
      <c r="E446" s="254" t="s">
        <v>919</v>
      </c>
      <c r="F446" s="254" t="s">
        <v>920</v>
      </c>
      <c r="G446" s="298">
        <f>[3]Data!K2293</f>
        <v>4016</v>
      </c>
      <c r="H446" s="298" t="s">
        <v>556</v>
      </c>
      <c r="I446" s="300"/>
      <c r="J446" s="300"/>
      <c r="K446" s="270"/>
      <c r="L446" s="301"/>
      <c r="M446" s="270"/>
      <c r="N446" s="270"/>
      <c r="O446" s="270"/>
      <c r="P446" s="270"/>
      <c r="Q446" s="270"/>
      <c r="R446" s="270"/>
      <c r="S446" s="270"/>
      <c r="T446" s="301"/>
      <c r="U446" s="270"/>
      <c r="V446" s="240"/>
      <c r="W446" s="238">
        <f t="shared" si="25"/>
        <v>0</v>
      </c>
      <c r="Y446" s="223" t="str">
        <f>'[4]Development - i'!E445</f>
        <v>6 way - D.B.</v>
      </c>
      <c r="Z446" s="223" t="str">
        <f t="shared" si="23"/>
        <v>-----------------------</v>
      </c>
    </row>
    <row r="447" spans="1:26" s="241" customFormat="1" ht="65.25">
      <c r="A447" s="305">
        <v>73.2</v>
      </c>
      <c r="B447" s="306" t="s">
        <v>921</v>
      </c>
      <c r="C447" s="306" t="s">
        <v>921</v>
      </c>
      <c r="D447" s="235" t="str">
        <f t="shared" si="24"/>
        <v xml:space="preserve"> OK</v>
      </c>
      <c r="E447" s="254" t="s">
        <v>921</v>
      </c>
      <c r="F447" s="254" t="s">
        <v>922</v>
      </c>
      <c r="G447" s="298">
        <f>[3]Data!K2294</f>
        <v>3250</v>
      </c>
      <c r="H447" s="298" t="s">
        <v>556</v>
      </c>
      <c r="I447" s="300"/>
      <c r="J447" s="300"/>
      <c r="K447" s="270"/>
      <c r="L447" s="301"/>
      <c r="M447" s="270"/>
      <c r="N447" s="270"/>
      <c r="O447" s="270"/>
      <c r="P447" s="270"/>
      <c r="Q447" s="270"/>
      <c r="R447" s="270"/>
      <c r="S447" s="270"/>
      <c r="T447" s="301"/>
      <c r="U447" s="270"/>
      <c r="V447" s="240"/>
      <c r="W447" s="238">
        <f t="shared" si="25"/>
        <v>0</v>
      </c>
      <c r="Y447" s="223" t="str">
        <f>'[4]Development - i'!E446</f>
        <v>4 way - D.B.</v>
      </c>
      <c r="Z447" s="223" t="str">
        <f t="shared" si="23"/>
        <v>-----------------------</v>
      </c>
    </row>
    <row r="448" spans="1:26" s="239" customFormat="1" ht="65.25">
      <c r="A448" s="320">
        <v>74</v>
      </c>
      <c r="B448" s="290" t="s">
        <v>508</v>
      </c>
      <c r="C448" s="290" t="s">
        <v>508</v>
      </c>
      <c r="D448" s="235" t="str">
        <f t="shared" si="24"/>
        <v xml:space="preserve"> OK</v>
      </c>
      <c r="E448" s="254" t="s">
        <v>508</v>
      </c>
      <c r="F448" s="254" t="s">
        <v>923</v>
      </c>
      <c r="G448" s="298">
        <f>[3]Data!K2295</f>
        <v>467</v>
      </c>
      <c r="H448" s="298" t="s">
        <v>556</v>
      </c>
      <c r="I448" s="300"/>
      <c r="J448" s="300"/>
      <c r="K448" s="270"/>
      <c r="L448" s="301"/>
      <c r="M448" s="270"/>
      <c r="N448" s="270"/>
      <c r="O448" s="270"/>
      <c r="P448" s="270"/>
      <c r="Q448" s="270"/>
      <c r="R448" s="270"/>
      <c r="S448" s="270"/>
      <c r="T448" s="301"/>
      <c r="U448" s="270"/>
      <c r="V448" s="240"/>
      <c r="W448" s="238">
        <f t="shared" si="25"/>
        <v>0</v>
      </c>
      <c r="Y448" s="223" t="str">
        <f>'[4]Development - i'!E447</f>
        <v>Charges for fixing of "Fan"</v>
      </c>
      <c r="Z448" s="223" t="str">
        <f t="shared" si="23"/>
        <v>-----------------------</v>
      </c>
    </row>
    <row r="449" spans="1:26" s="241" customFormat="1">
      <c r="A449" s="309">
        <v>75</v>
      </c>
      <c r="B449" s="317" t="s">
        <v>924</v>
      </c>
      <c r="C449" s="317" t="s">
        <v>924</v>
      </c>
      <c r="D449" s="235" t="str">
        <f t="shared" si="24"/>
        <v xml:space="preserve"> OK</v>
      </c>
      <c r="E449" s="254" t="s">
        <v>924</v>
      </c>
      <c r="F449" s="254">
        <v>0</v>
      </c>
      <c r="G449" s="298"/>
      <c r="H449" s="298"/>
      <c r="I449" s="300"/>
      <c r="J449" s="300"/>
      <c r="K449" s="270"/>
      <c r="L449" s="301"/>
      <c r="M449" s="270"/>
      <c r="N449" s="270"/>
      <c r="O449" s="270"/>
      <c r="P449" s="270"/>
      <c r="Q449" s="270"/>
      <c r="R449" s="270"/>
      <c r="S449" s="270"/>
      <c r="T449" s="301"/>
      <c r="U449" s="270"/>
      <c r="V449" s="240"/>
      <c r="W449" s="238">
        <f t="shared" si="25"/>
        <v>0</v>
      </c>
      <c r="Y449" s="223" t="str">
        <f>'[4]Development - i'!E448</f>
        <v>Supply and delivery of Fan</v>
      </c>
      <c r="Z449" s="223" t="str">
        <f t="shared" si="23"/>
        <v>-----------------------</v>
      </c>
    </row>
    <row r="450" spans="1:26" s="241" customFormat="1">
      <c r="A450" s="306"/>
      <c r="B450" s="306" t="s">
        <v>925</v>
      </c>
      <c r="C450" s="306" t="s">
        <v>925</v>
      </c>
      <c r="D450" s="235" t="str">
        <f t="shared" si="24"/>
        <v xml:space="preserve"> OK</v>
      </c>
      <c r="E450" s="254" t="s">
        <v>925</v>
      </c>
      <c r="F450" s="254">
        <v>0</v>
      </c>
      <c r="G450" s="298"/>
      <c r="H450" s="298" t="s">
        <v>556</v>
      </c>
      <c r="I450" s="300"/>
      <c r="J450" s="300"/>
      <c r="K450" s="270"/>
      <c r="L450" s="301"/>
      <c r="M450" s="270"/>
      <c r="N450" s="270"/>
      <c r="O450" s="270"/>
      <c r="P450" s="270"/>
      <c r="Q450" s="270"/>
      <c r="R450" s="270"/>
      <c r="S450" s="270"/>
      <c r="T450" s="301"/>
      <c r="U450" s="270"/>
      <c r="V450" s="240"/>
      <c r="W450" s="238">
        <f t="shared" si="25"/>
        <v>0</v>
      </c>
      <c r="Y450" s="223" t="str">
        <f>'[4]Development - i'!E449</f>
        <v>a. 48" (1200 mm)</v>
      </c>
      <c r="Z450" s="223" t="str">
        <f t="shared" si="23"/>
        <v>-----------------------</v>
      </c>
    </row>
    <row r="451" spans="1:26" s="241" customFormat="1">
      <c r="A451" s="326"/>
      <c r="B451" s="306" t="s">
        <v>926</v>
      </c>
      <c r="C451" s="306" t="s">
        <v>926</v>
      </c>
      <c r="D451" s="235" t="str">
        <f t="shared" si="24"/>
        <v xml:space="preserve"> OK</v>
      </c>
      <c r="E451" s="254" t="s">
        <v>926</v>
      </c>
      <c r="F451" s="254">
        <v>0</v>
      </c>
      <c r="G451" s="298"/>
      <c r="H451" s="298" t="s">
        <v>556</v>
      </c>
      <c r="I451" s="300"/>
      <c r="J451" s="300"/>
      <c r="K451" s="270"/>
      <c r="L451" s="301"/>
      <c r="M451" s="270"/>
      <c r="N451" s="270"/>
      <c r="O451" s="270"/>
      <c r="P451" s="270"/>
      <c r="Q451" s="270"/>
      <c r="R451" s="270"/>
      <c r="S451" s="270"/>
      <c r="T451" s="301"/>
      <c r="U451" s="270"/>
      <c r="V451" s="240"/>
      <c r="W451" s="238">
        <f t="shared" si="25"/>
        <v>0</v>
      </c>
      <c r="Y451" s="223" t="str">
        <f>'[4]Development - i'!E450</f>
        <v>b. 42" (1050 mm)</v>
      </c>
      <c r="Z451" s="223" t="str">
        <f t="shared" si="23"/>
        <v>-----------------------</v>
      </c>
    </row>
    <row r="452" spans="1:26" s="239" customFormat="1" ht="65.25">
      <c r="A452" s="320">
        <v>76</v>
      </c>
      <c r="B452" s="290" t="s">
        <v>509</v>
      </c>
      <c r="C452" s="290" t="s">
        <v>509</v>
      </c>
      <c r="D452" s="235" t="str">
        <f t="shared" si="24"/>
        <v xml:space="preserve"> OK</v>
      </c>
      <c r="E452" s="254" t="s">
        <v>509</v>
      </c>
      <c r="F452" s="254" t="s">
        <v>927</v>
      </c>
      <c r="G452" s="298">
        <f>[3]Elec.Data!K3294</f>
        <v>21</v>
      </c>
      <c r="H452" s="298" t="s">
        <v>12</v>
      </c>
      <c r="I452" s="300"/>
      <c r="J452" s="300"/>
      <c r="K452" s="270"/>
      <c r="L452" s="301"/>
      <c r="M452" s="270"/>
      <c r="N452" s="270"/>
      <c r="O452" s="270"/>
      <c r="P452" s="270"/>
      <c r="Q452" s="270"/>
      <c r="R452" s="270"/>
      <c r="S452" s="270"/>
      <c r="T452" s="301"/>
      <c r="U452" s="270"/>
      <c r="V452" s="240"/>
      <c r="W452" s="238">
        <f>ROUND(G454,2)*ROUND(V452,2)</f>
        <v>0</v>
      </c>
      <c r="Y452" s="223" t="str">
        <f>'[4]Development - i'!E451</f>
        <v>8 SWG wire</v>
      </c>
      <c r="Z452" s="223" t="str">
        <f t="shared" si="23"/>
        <v>-----------------------</v>
      </c>
    </row>
    <row r="453" spans="1:26" s="239" customFormat="1" ht="43.5">
      <c r="A453" s="321"/>
      <c r="B453" s="322"/>
      <c r="C453" s="322"/>
      <c r="D453" s="235"/>
      <c r="E453" s="254" t="s">
        <v>928</v>
      </c>
      <c r="F453" s="254" t="s">
        <v>928</v>
      </c>
      <c r="G453" s="298">
        <v>380</v>
      </c>
      <c r="H453" s="298" t="s">
        <v>556</v>
      </c>
      <c r="I453" s="300"/>
      <c r="J453" s="300"/>
      <c r="K453" s="270"/>
      <c r="L453" s="301"/>
      <c r="M453" s="270"/>
      <c r="N453" s="270"/>
      <c r="O453" s="270"/>
      <c r="P453" s="270"/>
      <c r="Q453" s="270"/>
      <c r="R453" s="270"/>
      <c r="S453" s="270"/>
      <c r="T453" s="301"/>
      <c r="U453" s="270"/>
      <c r="V453" s="240"/>
      <c r="W453" s="238"/>
      <c r="Y453" s="223" t="str">
        <f>'[4]Development - i'!E452</f>
        <v>Providing and fixing 25mm x 3mm copper strip on surface or in recess for connections as required -</v>
      </c>
      <c r="Z453" s="223" t="str">
        <f t="shared" si="23"/>
        <v>-----------------------</v>
      </c>
    </row>
    <row r="454" spans="1:26" s="241" customFormat="1">
      <c r="A454" s="309">
        <v>77</v>
      </c>
      <c r="B454" s="310" t="s">
        <v>2012</v>
      </c>
      <c r="C454" s="310" t="s">
        <v>2012</v>
      </c>
      <c r="D454" s="235" t="str">
        <f t="shared" si="24"/>
        <v xml:space="preserve"> OK</v>
      </c>
      <c r="E454" s="254" t="s">
        <v>929</v>
      </c>
      <c r="F454" s="254">
        <v>0</v>
      </c>
      <c r="G454" s="298">
        <f>ROUND([3]Data!K2300,2)</f>
        <v>172</v>
      </c>
      <c r="H454" s="298" t="s">
        <v>12</v>
      </c>
      <c r="I454" s="300"/>
      <c r="J454" s="300"/>
      <c r="K454" s="270"/>
      <c r="L454" s="301"/>
      <c r="M454" s="270"/>
      <c r="N454" s="270"/>
      <c r="O454" s="270"/>
      <c r="P454" s="270"/>
      <c r="Q454" s="270"/>
      <c r="R454" s="270"/>
      <c r="S454" s="270"/>
      <c r="T454" s="301"/>
      <c r="U454" s="270"/>
      <c r="V454" s="240"/>
      <c r="W454" s="238">
        <f t="shared" si="25"/>
        <v>0</v>
      </c>
      <c r="Y454" s="223" t="str">
        <f>'[4]Development - i'!E453</f>
        <v>Run of main 2 wires of 1.50 Sqm.m.</v>
      </c>
      <c r="Z454" s="223" t="str">
        <f t="shared" si="23"/>
        <v>-----------------------</v>
      </c>
    </row>
    <row r="455" spans="1:26" s="241" customFormat="1" ht="46.5">
      <c r="A455" s="305">
        <v>77.099999999999994</v>
      </c>
      <c r="B455" s="306" t="s">
        <v>2013</v>
      </c>
      <c r="C455" s="306" t="s">
        <v>2013</v>
      </c>
      <c r="D455" s="235" t="str">
        <f t="shared" si="24"/>
        <v xml:space="preserve"> OK</v>
      </c>
      <c r="E455" s="254" t="s">
        <v>930</v>
      </c>
      <c r="F455" s="254">
        <v>0</v>
      </c>
      <c r="G455" s="298">
        <f>ROUND([3]Data!K2301,2)</f>
        <v>219</v>
      </c>
      <c r="H455" s="298" t="s">
        <v>12</v>
      </c>
      <c r="I455" s="300"/>
      <c r="J455" s="300"/>
      <c r="K455" s="270"/>
      <c r="L455" s="301"/>
      <c r="M455" s="270"/>
      <c r="N455" s="270"/>
      <c r="O455" s="270"/>
      <c r="P455" s="270"/>
      <c r="Q455" s="270"/>
      <c r="R455" s="270"/>
      <c r="S455" s="270"/>
      <c r="T455" s="301"/>
      <c r="U455" s="270"/>
      <c r="V455" s="240"/>
      <c r="W455" s="238">
        <f t="shared" si="25"/>
        <v>0</v>
      </c>
      <c r="Y455" s="223" t="str">
        <f>'[4]Development - i'!E454</f>
        <v>Run of 2 wires of 4 Sqm.m with continuous earth by means of 2.5Sqm.m</v>
      </c>
      <c r="Z455" s="223" t="str">
        <f t="shared" ref="Z455:Z518" si="26">IF(Y455=E455,"-----------------------","ERRR")</f>
        <v>-----------------------</v>
      </c>
    </row>
    <row r="456" spans="1:26" s="241" customFormat="1" ht="130.5">
      <c r="A456" s="305">
        <v>77.2</v>
      </c>
      <c r="B456" s="306" t="s">
        <v>535</v>
      </c>
      <c r="C456" s="306" t="s">
        <v>535</v>
      </c>
      <c r="D456" s="235" t="str">
        <f t="shared" si="24"/>
        <v xml:space="preserve"> OK</v>
      </c>
      <c r="E456" s="254" t="s">
        <v>535</v>
      </c>
      <c r="F456" s="254" t="s">
        <v>931</v>
      </c>
      <c r="G456" s="298">
        <f>[3]Data!K2302</f>
        <v>1830</v>
      </c>
      <c r="H456" s="298" t="s">
        <v>556</v>
      </c>
      <c r="I456" s="300"/>
      <c r="J456" s="300"/>
      <c r="K456" s="270"/>
      <c r="L456" s="301"/>
      <c r="M456" s="270"/>
      <c r="N456" s="270"/>
      <c r="O456" s="270"/>
      <c r="P456" s="270"/>
      <c r="Q456" s="270"/>
      <c r="R456" s="270"/>
      <c r="S456" s="270"/>
      <c r="T456" s="301"/>
      <c r="U456" s="270"/>
      <c r="V456" s="240"/>
      <c r="W456" s="238">
        <f t="shared" si="25"/>
        <v>0</v>
      </c>
      <c r="Y456" s="223" t="str">
        <f>'[4]Development - i'!E455</f>
        <v>S &amp; F of A/C metal clad switch</v>
      </c>
      <c r="Z456" s="223" t="str">
        <f t="shared" si="26"/>
        <v>-----------------------</v>
      </c>
    </row>
    <row r="457" spans="1:26" s="239" customFormat="1" ht="65.25">
      <c r="A457" s="320">
        <v>77.3</v>
      </c>
      <c r="B457" s="290" t="s">
        <v>530</v>
      </c>
      <c r="C457" s="290" t="s">
        <v>530</v>
      </c>
      <c r="D457" s="235" t="str">
        <f t="shared" si="24"/>
        <v xml:space="preserve"> OK</v>
      </c>
      <c r="E457" s="254" t="s">
        <v>530</v>
      </c>
      <c r="F457" s="254" t="s">
        <v>932</v>
      </c>
      <c r="G457" s="298">
        <f>[3]Data!K2303</f>
        <v>76</v>
      </c>
      <c r="H457" s="298" t="s">
        <v>556</v>
      </c>
      <c r="I457" s="300"/>
      <c r="J457" s="300"/>
      <c r="K457" s="270"/>
      <c r="L457" s="301"/>
      <c r="M457" s="270"/>
      <c r="N457" s="270"/>
      <c r="O457" s="270"/>
      <c r="P457" s="270"/>
      <c r="Q457" s="270"/>
      <c r="R457" s="270"/>
      <c r="S457" s="270"/>
      <c r="T457" s="301"/>
      <c r="U457" s="270"/>
      <c r="V457" s="240"/>
      <c r="W457" s="238">
        <f t="shared" si="25"/>
        <v>0</v>
      </c>
      <c r="Y457" s="223" t="str">
        <f>'[4]Development - i'!E456</f>
        <v>S&amp;F of TV/Telephone line Socket</v>
      </c>
      <c r="Z457" s="223" t="str">
        <f t="shared" si="26"/>
        <v>-----------------------</v>
      </c>
    </row>
    <row r="458" spans="1:26" s="239" customFormat="1" ht="65.25">
      <c r="A458" s="320">
        <v>77.400000000000006</v>
      </c>
      <c r="B458" s="290" t="s">
        <v>531</v>
      </c>
      <c r="C458" s="290" t="s">
        <v>531</v>
      </c>
      <c r="D458" s="235" t="str">
        <f t="shared" si="24"/>
        <v xml:space="preserve"> OK</v>
      </c>
      <c r="E458" s="254" t="s">
        <v>531</v>
      </c>
      <c r="F458" s="254" t="s">
        <v>933</v>
      </c>
      <c r="G458" s="298">
        <f>[3]Data!K2322</f>
        <v>72.8</v>
      </c>
      <c r="H458" s="298" t="s">
        <v>12</v>
      </c>
      <c r="I458" s="300"/>
      <c r="J458" s="300"/>
      <c r="K458" s="270"/>
      <c r="L458" s="301"/>
      <c r="M458" s="270"/>
      <c r="N458" s="270"/>
      <c r="O458" s="270"/>
      <c r="P458" s="270"/>
      <c r="Q458" s="270"/>
      <c r="R458" s="270"/>
      <c r="S458" s="270"/>
      <c r="T458" s="301"/>
      <c r="U458" s="270"/>
      <c r="V458" s="240"/>
      <c r="W458" s="238">
        <f t="shared" si="25"/>
        <v>0</v>
      </c>
      <c r="Y458" s="223" t="str">
        <f>'[4]Development - i'!E457</f>
        <v>S&amp;F of 20mm dia PVC pipe for TV/Telephone line</v>
      </c>
      <c r="Z458" s="223" t="str">
        <f t="shared" si="26"/>
        <v>-----------------------</v>
      </c>
    </row>
    <row r="459" spans="1:26" s="239" customFormat="1" ht="108.75">
      <c r="A459" s="320">
        <v>78</v>
      </c>
      <c r="B459" s="290" t="s">
        <v>532</v>
      </c>
      <c r="C459" s="290" t="s">
        <v>532</v>
      </c>
      <c r="D459" s="235" t="str">
        <f t="shared" si="24"/>
        <v xml:space="preserve"> OK</v>
      </c>
      <c r="E459" s="254" t="s">
        <v>532</v>
      </c>
      <c r="F459" s="254" t="s">
        <v>934</v>
      </c>
      <c r="G459" s="298">
        <f>[3]Data!K2304</f>
        <v>2588</v>
      </c>
      <c r="H459" s="298" t="s">
        <v>556</v>
      </c>
      <c r="I459" s="300"/>
      <c r="J459" s="300"/>
      <c r="K459" s="270"/>
      <c r="L459" s="301"/>
      <c r="M459" s="270"/>
      <c r="N459" s="270"/>
      <c r="O459" s="270"/>
      <c r="P459" s="270"/>
      <c r="Q459" s="270"/>
      <c r="R459" s="270"/>
      <c r="S459" s="270"/>
      <c r="T459" s="301"/>
      <c r="U459" s="270"/>
      <c r="V459" s="240"/>
      <c r="W459" s="238">
        <f>ROUND(G461,2)*ROUND(V459,2)</f>
        <v>0</v>
      </c>
      <c r="Y459" s="223" t="str">
        <f>'[4]Development - i'!E458</f>
        <v>Earthing Station IS3043 (Type I)</v>
      </c>
      <c r="Z459" s="223" t="str">
        <f t="shared" si="26"/>
        <v>-----------------------</v>
      </c>
    </row>
    <row r="460" spans="1:26" s="239" customFormat="1" ht="87">
      <c r="A460" s="321"/>
      <c r="B460" s="322"/>
      <c r="C460" s="322"/>
      <c r="D460" s="235"/>
      <c r="E460" s="254" t="s">
        <v>935</v>
      </c>
      <c r="F460" s="254" t="s">
        <v>936</v>
      </c>
      <c r="G460" s="298">
        <v>10245</v>
      </c>
      <c r="H460" s="298" t="s">
        <v>556</v>
      </c>
      <c r="I460" s="300"/>
      <c r="J460" s="300"/>
      <c r="K460" s="270"/>
      <c r="L460" s="301"/>
      <c r="M460" s="270"/>
      <c r="N460" s="270"/>
      <c r="O460" s="270"/>
      <c r="P460" s="270"/>
      <c r="Q460" s="270"/>
      <c r="R460" s="270"/>
      <c r="S460" s="270"/>
      <c r="T460" s="301"/>
      <c r="U460" s="270"/>
      <c r="V460" s="240"/>
      <c r="W460" s="238"/>
      <c r="Y460" s="223" t="str">
        <f>'[4]Development - i'!E459</f>
        <v xml:space="preserve">Plate earthing with copper plate of size 600 x 600 x 3 mm </v>
      </c>
      <c r="Z460" s="223" t="str">
        <f t="shared" si="26"/>
        <v>-----------------------</v>
      </c>
    </row>
    <row r="461" spans="1:26" s="241" customFormat="1" ht="108.75">
      <c r="A461" s="309">
        <v>78.099999999999994</v>
      </c>
      <c r="B461" s="310" t="s">
        <v>937</v>
      </c>
      <c r="C461" s="310" t="s">
        <v>937</v>
      </c>
      <c r="D461" s="235" t="str">
        <f t="shared" si="24"/>
        <v xml:space="preserve"> OK</v>
      </c>
      <c r="E461" s="254" t="s">
        <v>937</v>
      </c>
      <c r="F461" s="254" t="s">
        <v>938</v>
      </c>
      <c r="G461" s="298"/>
      <c r="H461" s="298" t="s">
        <v>556</v>
      </c>
      <c r="I461" s="300"/>
      <c r="J461" s="300"/>
      <c r="K461" s="270"/>
      <c r="L461" s="301"/>
      <c r="M461" s="270"/>
      <c r="N461" s="270"/>
      <c r="O461" s="270"/>
      <c r="P461" s="270"/>
      <c r="Q461" s="270"/>
      <c r="R461" s="270"/>
      <c r="S461" s="270"/>
      <c r="T461" s="301"/>
      <c r="U461" s="270"/>
      <c r="V461" s="240"/>
      <c r="W461" s="238">
        <f t="shared" si="25"/>
        <v>0</v>
      </c>
      <c r="Y461" s="223" t="str">
        <f>'[4]Development - i'!E460</f>
        <v>Earthing Station (Type II)</v>
      </c>
      <c r="Z461" s="223" t="str">
        <f t="shared" si="26"/>
        <v>-----------------------</v>
      </c>
    </row>
    <row r="462" spans="1:26" s="241" customFormat="1">
      <c r="A462" s="305">
        <v>79.099999999999994</v>
      </c>
      <c r="B462" s="306" t="s">
        <v>939</v>
      </c>
      <c r="C462" s="306" t="s">
        <v>939</v>
      </c>
      <c r="D462" s="235" t="str">
        <f t="shared" si="24"/>
        <v xml:space="preserve"> OK</v>
      </c>
      <c r="E462" s="254" t="s">
        <v>939</v>
      </c>
      <c r="F462" s="254">
        <v>0</v>
      </c>
      <c r="G462" s="298">
        <f>[3]Elec.Data!K3400</f>
        <v>466</v>
      </c>
      <c r="H462" s="298" t="s">
        <v>556</v>
      </c>
      <c r="I462" s="300"/>
      <c r="J462" s="300"/>
      <c r="K462" s="270"/>
      <c r="L462" s="301"/>
      <c r="M462" s="270"/>
      <c r="N462" s="270"/>
      <c r="O462" s="270"/>
      <c r="P462" s="270"/>
      <c r="Q462" s="270"/>
      <c r="R462" s="270"/>
      <c r="S462" s="270"/>
      <c r="T462" s="301"/>
      <c r="U462" s="270"/>
      <c r="V462" s="240"/>
      <c r="W462" s="238">
        <f t="shared" si="25"/>
        <v>0</v>
      </c>
      <c r="Y462" s="223" t="str">
        <f>'[4]Development - i'!E461</f>
        <v>1 No.of 30Amps - Fuse Unit</v>
      </c>
      <c r="Z462" s="223" t="str">
        <f t="shared" si="26"/>
        <v>-----------------------</v>
      </c>
    </row>
    <row r="463" spans="1:26" s="241" customFormat="1" ht="65.25">
      <c r="A463" s="305">
        <v>79.2</v>
      </c>
      <c r="B463" s="306" t="s">
        <v>940</v>
      </c>
      <c r="C463" s="306" t="s">
        <v>940</v>
      </c>
      <c r="D463" s="235" t="str">
        <f t="shared" si="24"/>
        <v xml:space="preserve"> OK</v>
      </c>
      <c r="E463" s="254" t="s">
        <v>940</v>
      </c>
      <c r="F463" s="254" t="s">
        <v>941</v>
      </c>
      <c r="G463" s="298">
        <f>[3]Elec.Data!K3419</f>
        <v>725</v>
      </c>
      <c r="H463" s="298" t="s">
        <v>556</v>
      </c>
      <c r="I463" s="300"/>
      <c r="J463" s="300"/>
      <c r="K463" s="270"/>
      <c r="L463" s="301"/>
      <c r="M463" s="270"/>
      <c r="N463" s="270"/>
      <c r="O463" s="270"/>
      <c r="P463" s="270"/>
      <c r="Q463" s="270"/>
      <c r="R463" s="270"/>
      <c r="S463" s="270"/>
      <c r="T463" s="301"/>
      <c r="U463" s="270"/>
      <c r="V463" s="240"/>
      <c r="W463" s="238">
        <f t="shared" si="25"/>
        <v>0</v>
      </c>
      <c r="Y463" s="223" t="str">
        <f>'[4]Development - i'!E462</f>
        <v>3 Nos.of 30Amps - Fuse Unit</v>
      </c>
      <c r="Z463" s="223" t="str">
        <f t="shared" si="26"/>
        <v>-----------------------</v>
      </c>
    </row>
    <row r="464" spans="1:26" s="241" customFormat="1" ht="87">
      <c r="A464" s="305">
        <v>80</v>
      </c>
      <c r="B464" s="306" t="s">
        <v>942</v>
      </c>
      <c r="C464" s="306" t="s">
        <v>942</v>
      </c>
      <c r="D464" s="235" t="str">
        <f t="shared" si="24"/>
        <v xml:space="preserve"> OK</v>
      </c>
      <c r="E464" s="254" t="s">
        <v>942</v>
      </c>
      <c r="F464" s="254" t="s">
        <v>943</v>
      </c>
      <c r="G464" s="298">
        <f>[3]Data!K2305</f>
        <v>718</v>
      </c>
      <c r="H464" s="298" t="s">
        <v>556</v>
      </c>
      <c r="I464" s="300"/>
      <c r="J464" s="300"/>
      <c r="K464" s="270"/>
      <c r="L464" s="301"/>
      <c r="M464" s="270"/>
      <c r="N464" s="270"/>
      <c r="O464" s="270"/>
      <c r="P464" s="270"/>
      <c r="Q464" s="270"/>
      <c r="R464" s="270"/>
      <c r="S464" s="270"/>
      <c r="T464" s="301"/>
      <c r="U464" s="270"/>
      <c r="V464" s="240"/>
      <c r="W464" s="238">
        <f t="shared" si="25"/>
        <v>0</v>
      </c>
      <c r="Y464" s="223" t="str">
        <f>'[4]Development - i'!E463</f>
        <v>375 x 300 x 20 mm T.W. plank</v>
      </c>
      <c r="Z464" s="223" t="str">
        <f t="shared" si="26"/>
        <v>-----------------------</v>
      </c>
    </row>
    <row r="465" spans="1:26" s="239" customFormat="1" ht="152.25">
      <c r="A465" s="320">
        <v>81</v>
      </c>
      <c r="B465" s="290" t="s">
        <v>944</v>
      </c>
      <c r="C465" s="290" t="s">
        <v>944</v>
      </c>
      <c r="D465" s="235" t="str">
        <f t="shared" si="24"/>
        <v xml:space="preserve"> OK</v>
      </c>
      <c r="E465" s="254" t="s">
        <v>944</v>
      </c>
      <c r="F465" s="254" t="s">
        <v>945</v>
      </c>
      <c r="G465" s="298">
        <f>ROUND([3]Data!K2306,2)</f>
        <v>2251.83</v>
      </c>
      <c r="H465" s="298" t="s">
        <v>26</v>
      </c>
      <c r="I465" s="300"/>
      <c r="J465" s="300"/>
      <c r="K465" s="270"/>
      <c r="L465" s="301"/>
      <c r="M465" s="270"/>
      <c r="N465" s="270"/>
      <c r="O465" s="270"/>
      <c r="P465" s="270"/>
      <c r="Q465" s="270"/>
      <c r="R465" s="270"/>
      <c r="S465" s="270"/>
      <c r="T465" s="301"/>
      <c r="U465" s="270"/>
      <c r="V465" s="240"/>
      <c r="W465" s="238">
        <f t="shared" si="25"/>
        <v>0</v>
      </c>
      <c r="Y465" s="223" t="str">
        <f>'[4]Development - i'!E464</f>
        <v>Meter cupboard</v>
      </c>
      <c r="Z465" s="223" t="str">
        <f t="shared" si="26"/>
        <v>-----------------------</v>
      </c>
    </row>
    <row r="466" spans="1:26" s="241" customFormat="1" ht="174">
      <c r="A466" s="346">
        <v>82</v>
      </c>
      <c r="B466" s="310" t="s">
        <v>946</v>
      </c>
      <c r="C466" s="310" t="s">
        <v>946</v>
      </c>
      <c r="D466" s="235" t="str">
        <f t="shared" si="24"/>
        <v xml:space="preserve"> OK</v>
      </c>
      <c r="E466" s="254" t="s">
        <v>946</v>
      </c>
      <c r="F466" s="254" t="s">
        <v>947</v>
      </c>
      <c r="G466" s="298">
        <f>ROUND([3]Data!K2307,2)</f>
        <v>2579</v>
      </c>
      <c r="H466" s="298" t="s">
        <v>556</v>
      </c>
      <c r="I466" s="300"/>
      <c r="J466" s="300"/>
      <c r="K466" s="270"/>
      <c r="L466" s="301"/>
      <c r="M466" s="270"/>
      <c r="N466" s="270"/>
      <c r="O466" s="270"/>
      <c r="P466" s="270"/>
      <c r="Q466" s="270"/>
      <c r="R466" s="270"/>
      <c r="S466" s="270"/>
      <c r="T466" s="301"/>
      <c r="U466" s="270"/>
      <c r="V466" s="240"/>
      <c r="W466" s="238">
        <f t="shared" si="25"/>
        <v>0</v>
      </c>
      <c r="Y466" s="223" t="str">
        <f>'[4]Development - i'!E465</f>
        <v>Street lights</v>
      </c>
      <c r="Z466" s="223" t="str">
        <f t="shared" si="26"/>
        <v>-----------------------</v>
      </c>
    </row>
    <row r="467" spans="1:26" s="241" customFormat="1" ht="108.75">
      <c r="A467" s="305">
        <v>83</v>
      </c>
      <c r="B467" s="306" t="s">
        <v>948</v>
      </c>
      <c r="C467" s="306" t="s">
        <v>948</v>
      </c>
      <c r="D467" s="235" t="str">
        <f t="shared" si="24"/>
        <v xml:space="preserve"> OK</v>
      </c>
      <c r="E467" s="254" t="s">
        <v>948</v>
      </c>
      <c r="F467" s="254" t="s">
        <v>949</v>
      </c>
      <c r="G467" s="298">
        <f>[3]Elec.Data!K3556</f>
        <v>148</v>
      </c>
      <c r="H467" s="298" t="s">
        <v>12</v>
      </c>
      <c r="I467" s="300"/>
      <c r="J467" s="300"/>
      <c r="K467" s="270"/>
      <c r="L467" s="301"/>
      <c r="M467" s="270"/>
      <c r="N467" s="270"/>
      <c r="O467" s="270"/>
      <c r="P467" s="270"/>
      <c r="Q467" s="270"/>
      <c r="R467" s="270"/>
      <c r="S467" s="270"/>
      <c r="T467" s="301"/>
      <c r="U467" s="270"/>
      <c r="V467" s="240"/>
      <c r="W467" s="238">
        <f t="shared" si="25"/>
        <v>0</v>
      </c>
      <c r="Y467" s="223" t="str">
        <f>'[4]Development - i'!E466</f>
        <v>M.S Angle</v>
      </c>
      <c r="Z467" s="223" t="str">
        <f t="shared" si="26"/>
        <v>-----------------------</v>
      </c>
    </row>
    <row r="468" spans="1:26" s="241" customFormat="1" ht="130.5">
      <c r="A468" s="305">
        <v>84</v>
      </c>
      <c r="B468" s="306" t="s">
        <v>2014</v>
      </c>
      <c r="C468" s="306" t="s">
        <v>2014</v>
      </c>
      <c r="D468" s="235" t="str">
        <f t="shared" si="24"/>
        <v xml:space="preserve"> OK</v>
      </c>
      <c r="E468" s="254" t="s">
        <v>514</v>
      </c>
      <c r="F468" s="254" t="s">
        <v>950</v>
      </c>
      <c r="G468" s="298"/>
      <c r="H468" s="298" t="s">
        <v>12</v>
      </c>
      <c r="I468" s="300"/>
      <c r="J468" s="300"/>
      <c r="K468" s="270"/>
      <c r="L468" s="301"/>
      <c r="M468" s="270"/>
      <c r="N468" s="270"/>
      <c r="O468" s="270"/>
      <c r="P468" s="270"/>
      <c r="Q468" s="270"/>
      <c r="R468" s="270"/>
      <c r="S468" s="270"/>
      <c r="T468" s="301"/>
      <c r="U468" s="270"/>
      <c r="V468" s="240"/>
      <c r="W468" s="238">
        <f t="shared" si="25"/>
        <v>0</v>
      </c>
      <c r="Y468" s="223" t="str">
        <f>'[4]Development - i'!E467</f>
        <v>Run of 2 wires of 4 Sqm.m</v>
      </c>
      <c r="Z468" s="223" t="str">
        <f t="shared" si="26"/>
        <v>-----------------------</v>
      </c>
    </row>
    <row r="469" spans="1:26" s="241" customFormat="1" ht="43.5">
      <c r="A469" s="305">
        <v>85</v>
      </c>
      <c r="B469" s="306" t="s">
        <v>951</v>
      </c>
      <c r="C469" s="306" t="s">
        <v>951</v>
      </c>
      <c r="D469" s="235" t="str">
        <f t="shared" si="24"/>
        <v xml:space="preserve"> OK</v>
      </c>
      <c r="E469" s="254" t="s">
        <v>951</v>
      </c>
      <c r="F469" s="254" t="s">
        <v>952</v>
      </c>
      <c r="G469" s="298">
        <f>[3]Elec.Data!K3515</f>
        <v>130</v>
      </c>
      <c r="H469" s="298" t="s">
        <v>12</v>
      </c>
      <c r="I469" s="300"/>
      <c r="J469" s="300"/>
      <c r="K469" s="270"/>
      <c r="L469" s="301"/>
      <c r="M469" s="270"/>
      <c r="N469" s="270"/>
      <c r="O469" s="270"/>
      <c r="P469" s="270"/>
      <c r="Q469" s="270"/>
      <c r="R469" s="270"/>
      <c r="S469" s="270"/>
      <c r="T469" s="301"/>
      <c r="U469" s="270"/>
      <c r="V469" s="240"/>
      <c r="W469" s="238">
        <f t="shared" si="25"/>
        <v>0</v>
      </c>
      <c r="Y469" s="223" t="str">
        <f>'[4]Development - i'!E468</f>
        <v>Supply of G.I pipe 25mm dia</v>
      </c>
      <c r="Z469" s="223" t="str">
        <f t="shared" si="26"/>
        <v>-----------------------</v>
      </c>
    </row>
    <row r="470" spans="1:26" s="239" customFormat="1" ht="195.75">
      <c r="A470" s="347">
        <v>86</v>
      </c>
      <c r="B470" s="290" t="s">
        <v>953</v>
      </c>
      <c r="C470" s="290" t="s">
        <v>953</v>
      </c>
      <c r="D470" s="235" t="str">
        <f t="shared" si="24"/>
        <v xml:space="preserve"> OK</v>
      </c>
      <c r="E470" s="254" t="s">
        <v>953</v>
      </c>
      <c r="F470" s="254" t="s">
        <v>954</v>
      </c>
      <c r="G470" s="298">
        <v>34</v>
      </c>
      <c r="H470" s="298" t="s">
        <v>1715</v>
      </c>
      <c r="I470" s="300"/>
      <c r="J470" s="300"/>
      <c r="K470" s="270"/>
      <c r="L470" s="301"/>
      <c r="M470" s="270"/>
      <c r="N470" s="270"/>
      <c r="O470" s="270"/>
      <c r="P470" s="270"/>
      <c r="Q470" s="270"/>
      <c r="R470" s="270"/>
      <c r="S470" s="270"/>
      <c r="T470" s="301"/>
      <c r="U470" s="270"/>
      <c r="V470" s="240"/>
      <c r="W470" s="238">
        <f t="shared" si="25"/>
        <v>0</v>
      </c>
      <c r="Y470" s="223" t="str">
        <f>'[4]Development - i'!E469</f>
        <v>Anti termite treatment</v>
      </c>
      <c r="Z470" s="223" t="str">
        <f t="shared" si="26"/>
        <v>-----------------------</v>
      </c>
    </row>
    <row r="471" spans="1:26" s="241" customFormat="1" ht="195.75">
      <c r="A471" s="346">
        <v>87</v>
      </c>
      <c r="B471" s="310" t="s">
        <v>955</v>
      </c>
      <c r="C471" s="310" t="s">
        <v>955</v>
      </c>
      <c r="D471" s="235" t="str">
        <f t="shared" si="24"/>
        <v xml:space="preserve"> OK</v>
      </c>
      <c r="E471" s="254" t="s">
        <v>955</v>
      </c>
      <c r="F471" s="254" t="s">
        <v>956</v>
      </c>
      <c r="G471" s="298">
        <f>ROUND([3]Data!K2308,2)</f>
        <v>2505</v>
      </c>
      <c r="H471" s="298" t="s">
        <v>556</v>
      </c>
      <c r="I471" s="300"/>
      <c r="J471" s="300"/>
      <c r="K471" s="270"/>
      <c r="L471" s="301"/>
      <c r="M471" s="270"/>
      <c r="N471" s="270"/>
      <c r="O471" s="270"/>
      <c r="P471" s="270"/>
      <c r="Q471" s="270"/>
      <c r="R471" s="270"/>
      <c r="S471" s="270"/>
      <c r="T471" s="301"/>
      <c r="U471" s="270"/>
      <c r="V471" s="240"/>
      <c r="W471" s="238">
        <f t="shared" si="25"/>
        <v>0</v>
      </c>
      <c r="Y471" s="223" t="str">
        <f>'[4]Development - i'!E470</f>
        <v>ELCB Single phase</v>
      </c>
      <c r="Z471" s="223" t="str">
        <f t="shared" si="26"/>
        <v>-----------------------</v>
      </c>
    </row>
    <row r="472" spans="1:26" s="241" customFormat="1" ht="108.75">
      <c r="A472" s="305">
        <v>112</v>
      </c>
      <c r="B472" s="306" t="s">
        <v>545</v>
      </c>
      <c r="C472" s="306" t="s">
        <v>545</v>
      </c>
      <c r="D472" s="235" t="str">
        <f t="shared" ref="D472:D535" si="27">IF(B472=C472," OK","nun")</f>
        <v xml:space="preserve"> OK</v>
      </c>
      <c r="E472" s="254" t="s">
        <v>545</v>
      </c>
      <c r="F472" s="254" t="s">
        <v>957</v>
      </c>
      <c r="G472" s="298">
        <f>ROUND([3]Data!K2298,2)</f>
        <v>1919</v>
      </c>
      <c r="H472" s="298" t="s">
        <v>556</v>
      </c>
      <c r="I472" s="300"/>
      <c r="J472" s="300"/>
      <c r="K472" s="270"/>
      <c r="L472" s="301"/>
      <c r="M472" s="270"/>
      <c r="N472" s="270"/>
      <c r="O472" s="270"/>
      <c r="P472" s="270"/>
      <c r="Q472" s="270"/>
      <c r="R472" s="270"/>
      <c r="S472" s="270"/>
      <c r="T472" s="301"/>
      <c r="U472" s="270"/>
      <c r="V472" s="240"/>
      <c r="W472" s="238">
        <f t="shared" si="25"/>
        <v>0</v>
      </c>
      <c r="Y472" s="223" t="str">
        <f>'[4]Development - i'!E471</f>
        <v>S &amp; F of Exsaust Fan 300 mm dia</v>
      </c>
      <c r="Z472" s="223" t="str">
        <f t="shared" si="26"/>
        <v>-----------------------</v>
      </c>
    </row>
    <row r="473" spans="1:26" s="241" customFormat="1" ht="130.5">
      <c r="A473" s="348">
        <v>238</v>
      </c>
      <c r="B473" s="306" t="s">
        <v>2015</v>
      </c>
      <c r="C473" s="306" t="s">
        <v>958</v>
      </c>
      <c r="D473" s="235" t="str">
        <f t="shared" si="27"/>
        <v xml:space="preserve"> OK</v>
      </c>
      <c r="E473" s="254" t="s">
        <v>2016</v>
      </c>
      <c r="F473" s="254" t="s">
        <v>959</v>
      </c>
      <c r="G473" s="298">
        <f>ROUND([3]Data!K1585,2)</f>
        <v>4292.38</v>
      </c>
      <c r="H473" s="298" t="s">
        <v>22</v>
      </c>
      <c r="I473" s="339"/>
      <c r="J473" s="300"/>
      <c r="K473" s="301"/>
      <c r="L473" s="301"/>
      <c r="M473" s="270"/>
      <c r="N473" s="301"/>
      <c r="O473" s="270"/>
      <c r="P473" s="270"/>
      <c r="Q473" s="270"/>
      <c r="R473" s="270"/>
      <c r="S473" s="270"/>
      <c r="T473" s="301"/>
      <c r="U473" s="270"/>
      <c r="V473" s="240"/>
      <c r="W473" s="238">
        <f t="shared" si="25"/>
        <v>0</v>
      </c>
      <c r="Y473" s="223" t="str">
        <f>'[4]Development - i'!E472</f>
        <v>Anticorrosive treatment for steel grills</v>
      </c>
      <c r="Z473" s="223" t="str">
        <f t="shared" si="26"/>
        <v>-----------------------</v>
      </c>
    </row>
    <row r="474" spans="1:26" s="239" customFormat="1" ht="26.25">
      <c r="A474" s="347"/>
      <c r="B474" s="349" t="s">
        <v>960</v>
      </c>
      <c r="C474" s="349" t="s">
        <v>960</v>
      </c>
      <c r="D474" s="235" t="str">
        <f t="shared" si="27"/>
        <v xml:space="preserve"> OK</v>
      </c>
      <c r="E474" s="254" t="s">
        <v>960</v>
      </c>
      <c r="F474" s="254">
        <v>0</v>
      </c>
      <c r="G474" s="298"/>
      <c r="H474" s="298"/>
      <c r="I474" s="300"/>
      <c r="J474" s="300"/>
      <c r="K474" s="270"/>
      <c r="L474" s="301"/>
      <c r="M474" s="270"/>
      <c r="N474" s="270"/>
      <c r="O474" s="270"/>
      <c r="P474" s="270"/>
      <c r="Q474" s="270"/>
      <c r="R474" s="270"/>
      <c r="S474" s="270"/>
      <c r="T474" s="312"/>
      <c r="U474" s="270"/>
      <c r="V474" s="240"/>
      <c r="W474" s="238">
        <f t="shared" si="25"/>
        <v>0</v>
      </c>
      <c r="Y474" s="223" t="str">
        <f>'[4]Development - i'!E473</f>
        <v>ANNEXURE</v>
      </c>
      <c r="Z474" s="223" t="str">
        <f t="shared" si="26"/>
        <v>-----------------------</v>
      </c>
    </row>
    <row r="475" spans="1:26" s="239" customFormat="1" ht="51.75">
      <c r="A475" s="350">
        <v>6</v>
      </c>
      <c r="B475" s="351" t="s">
        <v>2017</v>
      </c>
      <c r="C475" s="351" t="s">
        <v>2017</v>
      </c>
      <c r="D475" s="235" t="str">
        <f t="shared" si="27"/>
        <v xml:space="preserve"> OK</v>
      </c>
      <c r="E475" s="254" t="s">
        <v>2018</v>
      </c>
      <c r="F475" s="254">
        <v>0</v>
      </c>
      <c r="G475" s="298">
        <f>[3]Data!AS78</f>
        <v>6098.15</v>
      </c>
      <c r="H475" s="298" t="s">
        <v>2019</v>
      </c>
      <c r="I475" s="300"/>
      <c r="J475" s="300"/>
      <c r="K475" s="270"/>
      <c r="L475" s="301"/>
      <c r="M475" s="270"/>
      <c r="N475" s="270"/>
      <c r="O475" s="270"/>
      <c r="P475" s="270"/>
      <c r="Q475" s="270"/>
      <c r="R475" s="270"/>
      <c r="S475" s="270"/>
      <c r="T475" s="301"/>
      <c r="U475" s="270"/>
      <c r="V475" s="240"/>
      <c r="W475" s="238">
        <f t="shared" si="25"/>
        <v>0</v>
      </c>
      <c r="Y475" s="223" t="str">
        <f>'[4]Development - i'!E474</f>
        <v xml:space="preserve">Brick work in C.M. 1:5 (F&amp; B) using Fly ash bricks of size 23 x 11 x 7 cm </v>
      </c>
      <c r="Z475" s="223" t="str">
        <f t="shared" si="26"/>
        <v>ERRR</v>
      </c>
    </row>
    <row r="476" spans="1:26" s="239" customFormat="1" ht="51.75">
      <c r="A476" s="350">
        <v>9</v>
      </c>
      <c r="B476" s="351" t="s">
        <v>2020</v>
      </c>
      <c r="C476" s="351" t="s">
        <v>2020</v>
      </c>
      <c r="D476" s="235" t="str">
        <f t="shared" si="27"/>
        <v xml:space="preserve"> OK</v>
      </c>
      <c r="E476" s="254" t="s">
        <v>2021</v>
      </c>
      <c r="F476" s="254">
        <v>0</v>
      </c>
      <c r="G476" s="298"/>
      <c r="H476" s="298"/>
      <c r="I476" s="300"/>
      <c r="J476" s="300"/>
      <c r="K476" s="270"/>
      <c r="L476" s="301"/>
      <c r="M476" s="270"/>
      <c r="N476" s="270"/>
      <c r="O476" s="270"/>
      <c r="P476" s="270"/>
      <c r="Q476" s="270"/>
      <c r="R476" s="270"/>
      <c r="S476" s="270"/>
      <c r="T476" s="301"/>
      <c r="U476" s="270"/>
      <c r="V476" s="240"/>
      <c r="W476" s="238">
        <f t="shared" si="25"/>
        <v>0</v>
      </c>
      <c r="Y476" s="223" t="str">
        <f>'[4]Development - i'!E475</f>
        <v xml:space="preserve">Brick work in C.M. 1:6 using Fly ash  bricks of size 23 x 11 x 7 cm </v>
      </c>
      <c r="Z476" s="223" t="str">
        <f t="shared" si="26"/>
        <v>ERRR</v>
      </c>
    </row>
    <row r="477" spans="1:26" s="239" customFormat="1">
      <c r="A477" s="350"/>
      <c r="B477" s="352" t="s">
        <v>961</v>
      </c>
      <c r="C477" s="352" t="s">
        <v>961</v>
      </c>
      <c r="D477" s="235" t="str">
        <f t="shared" si="27"/>
        <v xml:space="preserve"> OK</v>
      </c>
      <c r="E477" s="254" t="s">
        <v>961</v>
      </c>
      <c r="F477" s="254">
        <v>0</v>
      </c>
      <c r="G477" s="298">
        <f>[3]Data!AS104</f>
        <v>6090.7</v>
      </c>
      <c r="H477" s="298" t="s">
        <v>2019</v>
      </c>
      <c r="I477" s="300"/>
      <c r="J477" s="300"/>
      <c r="K477" s="270"/>
      <c r="L477" s="301"/>
      <c r="M477" s="270"/>
      <c r="N477" s="270"/>
      <c r="O477" s="270"/>
      <c r="P477" s="270"/>
      <c r="Q477" s="270"/>
      <c r="R477" s="270"/>
      <c r="S477" s="270"/>
      <c r="T477" s="301"/>
      <c r="U477" s="270"/>
      <c r="V477" s="240"/>
      <c r="W477" s="238">
        <f t="shared" si="25"/>
        <v>0</v>
      </c>
      <c r="Y477" s="223" t="str">
        <f>'[4]Development - i'!E476</f>
        <v>a. In Ground Floor</v>
      </c>
      <c r="Z477" s="223" t="str">
        <f t="shared" si="26"/>
        <v>-----------------------</v>
      </c>
    </row>
    <row r="478" spans="1:26" s="239" customFormat="1">
      <c r="A478" s="350"/>
      <c r="B478" s="352" t="s">
        <v>672</v>
      </c>
      <c r="C478" s="352" t="s">
        <v>672</v>
      </c>
      <c r="D478" s="235" t="str">
        <f t="shared" si="27"/>
        <v xml:space="preserve"> OK</v>
      </c>
      <c r="E478" s="254" t="s">
        <v>672</v>
      </c>
      <c r="F478" s="254">
        <v>0</v>
      </c>
      <c r="G478" s="298">
        <f>[3]Data!AS105</f>
        <v>6215.97</v>
      </c>
      <c r="H478" s="298" t="s">
        <v>2019</v>
      </c>
      <c r="I478" s="300"/>
      <c r="J478" s="300"/>
      <c r="K478" s="270"/>
      <c r="L478" s="301"/>
      <c r="M478" s="270"/>
      <c r="N478" s="270"/>
      <c r="O478" s="270"/>
      <c r="P478" s="270"/>
      <c r="Q478" s="270"/>
      <c r="R478" s="270"/>
      <c r="S478" s="270"/>
      <c r="T478" s="301"/>
      <c r="U478" s="270"/>
      <c r="V478" s="240"/>
      <c r="W478" s="238">
        <f t="shared" si="25"/>
        <v>0</v>
      </c>
      <c r="Y478" s="223" t="str">
        <f>'[4]Development - i'!E477</f>
        <v>b. In First Floor</v>
      </c>
      <c r="Z478" s="223" t="str">
        <f t="shared" si="26"/>
        <v>-----------------------</v>
      </c>
    </row>
    <row r="479" spans="1:26" s="239" customFormat="1">
      <c r="A479" s="350"/>
      <c r="B479" s="352" t="s">
        <v>673</v>
      </c>
      <c r="C479" s="352" t="s">
        <v>673</v>
      </c>
      <c r="D479" s="235" t="str">
        <f t="shared" si="27"/>
        <v xml:space="preserve"> OK</v>
      </c>
      <c r="E479" s="254" t="s">
        <v>673</v>
      </c>
      <c r="F479" s="254">
        <v>0</v>
      </c>
      <c r="G479" s="298">
        <f>[3]Data!AS106</f>
        <v>6341.24</v>
      </c>
      <c r="H479" s="298" t="s">
        <v>2019</v>
      </c>
      <c r="I479" s="300"/>
      <c r="J479" s="300"/>
      <c r="K479" s="270"/>
      <c r="L479" s="301"/>
      <c r="M479" s="270"/>
      <c r="N479" s="270"/>
      <c r="O479" s="270"/>
      <c r="P479" s="270"/>
      <c r="Q479" s="270"/>
      <c r="R479" s="270"/>
      <c r="S479" s="270"/>
      <c r="T479" s="301"/>
      <c r="U479" s="270"/>
      <c r="V479" s="240"/>
      <c r="W479" s="238">
        <f t="shared" si="25"/>
        <v>0</v>
      </c>
      <c r="Y479" s="223" t="str">
        <f>'[4]Development - i'!E478</f>
        <v>c. In Second Floor</v>
      </c>
      <c r="Z479" s="223" t="str">
        <f t="shared" si="26"/>
        <v>-----------------------</v>
      </c>
    </row>
    <row r="480" spans="1:26" s="239" customFormat="1">
      <c r="A480" s="350"/>
      <c r="B480" s="306" t="s">
        <v>962</v>
      </c>
      <c r="C480" s="306" t="s">
        <v>962</v>
      </c>
      <c r="D480" s="235" t="str">
        <f t="shared" si="27"/>
        <v xml:space="preserve"> OK</v>
      </c>
      <c r="E480" s="254" t="s">
        <v>962</v>
      </c>
      <c r="F480" s="254">
        <v>0</v>
      </c>
      <c r="G480" s="298">
        <f>[3]Data!AS107</f>
        <v>6466.51</v>
      </c>
      <c r="H480" s="298" t="s">
        <v>2019</v>
      </c>
      <c r="I480" s="300"/>
      <c r="J480" s="300"/>
      <c r="K480" s="270"/>
      <c r="L480" s="301"/>
      <c r="M480" s="270"/>
      <c r="N480" s="270"/>
      <c r="O480" s="270"/>
      <c r="P480" s="270"/>
      <c r="Q480" s="270"/>
      <c r="R480" s="270"/>
      <c r="S480" s="270"/>
      <c r="T480" s="301"/>
      <c r="U480" s="270"/>
      <c r="V480" s="240"/>
      <c r="W480" s="238">
        <f t="shared" si="25"/>
        <v>0</v>
      </c>
      <c r="Y480" s="223" t="str">
        <f>'[4]Development - i'!E479</f>
        <v>c. In Third Floor</v>
      </c>
      <c r="Z480" s="223" t="str">
        <f t="shared" si="26"/>
        <v>-----------------------</v>
      </c>
    </row>
    <row r="481" spans="1:26" s="239" customFormat="1">
      <c r="A481" s="353"/>
      <c r="B481" s="354" t="s">
        <v>963</v>
      </c>
      <c r="C481" s="354" t="s">
        <v>963</v>
      </c>
      <c r="D481" s="235" t="str">
        <f t="shared" si="27"/>
        <v xml:space="preserve"> OK</v>
      </c>
      <c r="E481" s="254" t="s">
        <v>963</v>
      </c>
      <c r="F481" s="254">
        <v>0</v>
      </c>
      <c r="G481" s="298">
        <f>[3]Data!AS108</f>
        <v>6591.78</v>
      </c>
      <c r="H481" s="298" t="s">
        <v>2019</v>
      </c>
      <c r="I481" s="300"/>
      <c r="J481" s="300"/>
      <c r="K481" s="270"/>
      <c r="L481" s="301"/>
      <c r="M481" s="270"/>
      <c r="N481" s="270"/>
      <c r="O481" s="270"/>
      <c r="P481" s="270"/>
      <c r="Q481" s="270"/>
      <c r="R481" s="270"/>
      <c r="S481" s="270"/>
      <c r="T481" s="301"/>
      <c r="U481" s="270"/>
      <c r="V481" s="240"/>
      <c r="W481" s="238">
        <f t="shared" si="25"/>
        <v>0</v>
      </c>
      <c r="Y481" s="223" t="str">
        <f>'[4]Development - i'!E480</f>
        <v>c. In fourth Floor</v>
      </c>
      <c r="Z481" s="223" t="str">
        <f t="shared" si="26"/>
        <v>-----------------------</v>
      </c>
    </row>
    <row r="482" spans="1:26" s="239" customFormat="1" ht="78.75">
      <c r="A482" s="350">
        <v>10</v>
      </c>
      <c r="B482" s="351" t="s">
        <v>2022</v>
      </c>
      <c r="C482" s="351" t="s">
        <v>2022</v>
      </c>
      <c r="D482" s="235" t="str">
        <f t="shared" si="27"/>
        <v xml:space="preserve"> OK</v>
      </c>
      <c r="E482" s="254" t="s">
        <v>2023</v>
      </c>
      <c r="F482" s="254">
        <v>0</v>
      </c>
      <c r="G482" s="298"/>
      <c r="H482" s="298"/>
      <c r="I482" s="300"/>
      <c r="J482" s="300"/>
      <c r="K482" s="270"/>
      <c r="L482" s="301"/>
      <c r="M482" s="270"/>
      <c r="N482" s="270"/>
      <c r="O482" s="270"/>
      <c r="P482" s="270"/>
      <c r="Q482" s="270"/>
      <c r="R482" s="270"/>
      <c r="S482" s="270"/>
      <c r="T482" s="301"/>
      <c r="U482" s="270"/>
      <c r="V482" s="240"/>
      <c r="W482" s="238">
        <f t="shared" si="25"/>
        <v>0</v>
      </c>
      <c r="Y482" s="223" t="str">
        <f>'[4]Development - i'!E481</f>
        <v>Brick partition work in C.M. 1:4 using Fly ash  bricks of size 23 x 11 x 7 cm  110 mm tk (B.P.)</v>
      </c>
      <c r="Z482" s="223" t="str">
        <f t="shared" si="26"/>
        <v>-----------------------</v>
      </c>
    </row>
    <row r="483" spans="1:26" s="239" customFormat="1">
      <c r="A483" s="350"/>
      <c r="B483" s="352" t="s">
        <v>964</v>
      </c>
      <c r="C483" s="352" t="s">
        <v>964</v>
      </c>
      <c r="D483" s="235" t="str">
        <f t="shared" si="27"/>
        <v xml:space="preserve"> OK</v>
      </c>
      <c r="E483" s="254" t="s">
        <v>964</v>
      </c>
      <c r="F483" s="254">
        <v>0</v>
      </c>
      <c r="G483" s="298">
        <f>[3]Data!AS158</f>
        <v>763.03</v>
      </c>
      <c r="H483" s="298" t="s">
        <v>2019</v>
      </c>
      <c r="I483" s="300"/>
      <c r="J483" s="300"/>
      <c r="K483" s="270"/>
      <c r="L483" s="301"/>
      <c r="M483" s="270"/>
      <c r="N483" s="270"/>
      <c r="O483" s="270"/>
      <c r="P483" s="270"/>
      <c r="Q483" s="270"/>
      <c r="R483" s="270"/>
      <c r="S483" s="270"/>
      <c r="T483" s="301"/>
      <c r="U483" s="270"/>
      <c r="V483" s="240"/>
      <c r="W483" s="238">
        <f t="shared" si="25"/>
        <v>0</v>
      </c>
      <c r="Y483" s="223" t="str">
        <f>'[4]Development - i'!E482</f>
        <v>a. Foundation &amp; basement</v>
      </c>
      <c r="Z483" s="223" t="str">
        <f t="shared" si="26"/>
        <v>-----------------------</v>
      </c>
    </row>
    <row r="484" spans="1:26" s="239" customFormat="1">
      <c r="A484" s="350"/>
      <c r="B484" s="352" t="s">
        <v>965</v>
      </c>
      <c r="C484" s="352" t="s">
        <v>965</v>
      </c>
      <c r="D484" s="235" t="str">
        <f t="shared" si="27"/>
        <v xml:space="preserve"> OK</v>
      </c>
      <c r="E484" s="254" t="s">
        <v>965</v>
      </c>
      <c r="F484" s="254">
        <v>0</v>
      </c>
      <c r="G484" s="298">
        <f>[3]Data!AS160</f>
        <v>769.87</v>
      </c>
      <c r="H484" s="298" t="s">
        <v>2019</v>
      </c>
      <c r="I484" s="300"/>
      <c r="J484" s="300"/>
      <c r="K484" s="270"/>
      <c r="L484" s="301"/>
      <c r="M484" s="270"/>
      <c r="N484" s="270"/>
      <c r="O484" s="270"/>
      <c r="P484" s="270"/>
      <c r="Q484" s="270"/>
      <c r="R484" s="270"/>
      <c r="S484" s="270"/>
      <c r="T484" s="301"/>
      <c r="U484" s="270"/>
      <c r="V484" s="240"/>
      <c r="W484" s="238">
        <f t="shared" si="25"/>
        <v>0</v>
      </c>
      <c r="Y484" s="223" t="str">
        <f>'[4]Development - i'!E483</f>
        <v>b. In Ground Floor</v>
      </c>
      <c r="Z484" s="223" t="str">
        <f t="shared" si="26"/>
        <v>-----------------------</v>
      </c>
    </row>
    <row r="485" spans="1:26" s="239" customFormat="1">
      <c r="A485" s="350"/>
      <c r="B485" s="352" t="s">
        <v>694</v>
      </c>
      <c r="C485" s="352" t="s">
        <v>694</v>
      </c>
      <c r="D485" s="235" t="str">
        <f t="shared" si="27"/>
        <v xml:space="preserve"> OK</v>
      </c>
      <c r="E485" s="254" t="s">
        <v>694</v>
      </c>
      <c r="F485" s="254">
        <v>0</v>
      </c>
      <c r="G485" s="298">
        <f>[3]Data!AS161</f>
        <v>783.65</v>
      </c>
      <c r="H485" s="298" t="s">
        <v>2019</v>
      </c>
      <c r="I485" s="300"/>
      <c r="J485" s="300"/>
      <c r="K485" s="270"/>
      <c r="L485" s="301"/>
      <c r="M485" s="270"/>
      <c r="N485" s="270"/>
      <c r="O485" s="270"/>
      <c r="P485" s="270"/>
      <c r="Q485" s="270"/>
      <c r="R485" s="270"/>
      <c r="S485" s="270"/>
      <c r="T485" s="301"/>
      <c r="U485" s="270"/>
      <c r="V485" s="240"/>
      <c r="W485" s="238">
        <f t="shared" si="25"/>
        <v>0</v>
      </c>
      <c r="Y485" s="223" t="str">
        <f>'[4]Development - i'!E484</f>
        <v>c. In First Floor</v>
      </c>
      <c r="Z485" s="223" t="str">
        <f t="shared" si="26"/>
        <v>-----------------------</v>
      </c>
    </row>
    <row r="486" spans="1:26" s="239" customFormat="1">
      <c r="A486" s="350"/>
      <c r="B486" s="352" t="s">
        <v>695</v>
      </c>
      <c r="C486" s="352" t="s">
        <v>695</v>
      </c>
      <c r="D486" s="235" t="str">
        <f t="shared" si="27"/>
        <v xml:space="preserve"> OK</v>
      </c>
      <c r="E486" s="254" t="s">
        <v>695</v>
      </c>
      <c r="F486" s="254">
        <v>0</v>
      </c>
      <c r="G486" s="298">
        <f>[3]Data!AS162</f>
        <v>797.43</v>
      </c>
      <c r="H486" s="298" t="s">
        <v>2019</v>
      </c>
      <c r="I486" s="300"/>
      <c r="J486" s="300"/>
      <c r="K486" s="270"/>
      <c r="L486" s="301"/>
      <c r="M486" s="270"/>
      <c r="N486" s="270"/>
      <c r="O486" s="270"/>
      <c r="P486" s="270"/>
      <c r="Q486" s="270"/>
      <c r="R486" s="270"/>
      <c r="S486" s="270"/>
      <c r="T486" s="301"/>
      <c r="U486" s="270"/>
      <c r="V486" s="240"/>
      <c r="W486" s="238">
        <f t="shared" si="25"/>
        <v>0</v>
      </c>
      <c r="Y486" s="223" t="str">
        <f>'[4]Development - i'!E485</f>
        <v>d. In Second Floor</v>
      </c>
      <c r="Z486" s="223" t="str">
        <f t="shared" si="26"/>
        <v>-----------------------</v>
      </c>
    </row>
    <row r="487" spans="1:26" s="239" customFormat="1">
      <c r="A487" s="350"/>
      <c r="B487" s="306" t="s">
        <v>962</v>
      </c>
      <c r="C487" s="306" t="s">
        <v>962</v>
      </c>
      <c r="D487" s="235" t="str">
        <f t="shared" si="27"/>
        <v xml:space="preserve"> OK</v>
      </c>
      <c r="E487" s="254" t="s">
        <v>962</v>
      </c>
      <c r="F487" s="254">
        <v>0</v>
      </c>
      <c r="G487" s="298">
        <f>[3]Data!AS163</f>
        <v>811.21</v>
      </c>
      <c r="H487" s="298" t="s">
        <v>2019</v>
      </c>
      <c r="I487" s="300"/>
      <c r="J487" s="300"/>
      <c r="K487" s="270"/>
      <c r="L487" s="301"/>
      <c r="M487" s="270"/>
      <c r="N487" s="270"/>
      <c r="O487" s="270"/>
      <c r="P487" s="270"/>
      <c r="Q487" s="270"/>
      <c r="R487" s="270"/>
      <c r="S487" s="270"/>
      <c r="T487" s="301"/>
      <c r="U487" s="270"/>
      <c r="V487" s="240"/>
      <c r="W487" s="238">
        <f t="shared" si="25"/>
        <v>0</v>
      </c>
      <c r="Y487" s="223" t="str">
        <f>'[4]Development - i'!E486</f>
        <v>c. In Third Floor</v>
      </c>
      <c r="Z487" s="223" t="str">
        <f t="shared" si="26"/>
        <v>-----------------------</v>
      </c>
    </row>
    <row r="488" spans="1:26" s="239" customFormat="1">
      <c r="A488" s="353"/>
      <c r="B488" s="354" t="s">
        <v>963</v>
      </c>
      <c r="C488" s="354" t="s">
        <v>963</v>
      </c>
      <c r="D488" s="235" t="str">
        <f t="shared" si="27"/>
        <v xml:space="preserve"> OK</v>
      </c>
      <c r="E488" s="254" t="s">
        <v>963</v>
      </c>
      <c r="F488" s="254">
        <v>0</v>
      </c>
      <c r="G488" s="298">
        <f>[3]Data!AS164</f>
        <v>824.99</v>
      </c>
      <c r="H488" s="298" t="s">
        <v>2019</v>
      </c>
      <c r="I488" s="300"/>
      <c r="J488" s="300"/>
      <c r="K488" s="270"/>
      <c r="L488" s="301"/>
      <c r="M488" s="270"/>
      <c r="N488" s="270"/>
      <c r="O488" s="270"/>
      <c r="P488" s="270"/>
      <c r="Q488" s="270"/>
      <c r="R488" s="270"/>
      <c r="S488" s="270"/>
      <c r="T488" s="301"/>
      <c r="U488" s="270"/>
      <c r="V488" s="240"/>
      <c r="W488" s="238">
        <f t="shared" si="25"/>
        <v>0</v>
      </c>
      <c r="Y488" s="223" t="str">
        <f>'[4]Development - i'!E487</f>
        <v>c. In fourth Floor</v>
      </c>
      <c r="Z488" s="223" t="str">
        <f t="shared" si="26"/>
        <v>-----------------------</v>
      </c>
    </row>
    <row r="489" spans="1:26" s="239" customFormat="1" ht="78.75">
      <c r="A489" s="350">
        <v>11</v>
      </c>
      <c r="B489" s="351" t="s">
        <v>2024</v>
      </c>
      <c r="C489" s="351" t="s">
        <v>2024</v>
      </c>
      <c r="D489" s="235" t="str">
        <f t="shared" si="27"/>
        <v xml:space="preserve"> OK</v>
      </c>
      <c r="E489" s="254" t="s">
        <v>2025</v>
      </c>
      <c r="F489" s="254">
        <v>0</v>
      </c>
      <c r="G489" s="298"/>
      <c r="H489" s="298"/>
      <c r="I489" s="300"/>
      <c r="J489" s="300"/>
      <c r="K489" s="270"/>
      <c r="L489" s="301"/>
      <c r="M489" s="270"/>
      <c r="N489" s="270"/>
      <c r="O489" s="270"/>
      <c r="P489" s="270"/>
      <c r="Q489" s="270"/>
      <c r="R489" s="270"/>
      <c r="S489" s="270"/>
      <c r="T489" s="301"/>
      <c r="U489" s="270"/>
      <c r="V489" s="240"/>
      <c r="W489" s="238">
        <f t="shared" si="25"/>
        <v>0</v>
      </c>
      <c r="Y489" s="223" t="str">
        <f>'[4]Development - i'!E488</f>
        <v>Brick work in C.M. 1:4 using  using Fly ash  burnt bricks bricks of size 23 x 11 x 7 cm  70 mm tk (B.P.)</v>
      </c>
      <c r="Z489" s="223" t="str">
        <f t="shared" si="26"/>
        <v>-----------------------</v>
      </c>
    </row>
    <row r="490" spans="1:26" s="239" customFormat="1">
      <c r="A490" s="350"/>
      <c r="B490" s="352" t="s">
        <v>961</v>
      </c>
      <c r="C490" s="352" t="s">
        <v>961</v>
      </c>
      <c r="D490" s="235" t="str">
        <f t="shared" si="27"/>
        <v xml:space="preserve"> OK</v>
      </c>
      <c r="E490" s="254" t="s">
        <v>961</v>
      </c>
      <c r="F490" s="254">
        <v>0</v>
      </c>
      <c r="G490" s="298">
        <f>[3]Data!AS192</f>
        <v>519.27</v>
      </c>
      <c r="H490" s="298" t="s">
        <v>2019</v>
      </c>
      <c r="I490" s="300"/>
      <c r="J490" s="300"/>
      <c r="K490" s="270"/>
      <c r="L490" s="301"/>
      <c r="M490" s="270"/>
      <c r="N490" s="270"/>
      <c r="O490" s="270"/>
      <c r="P490" s="270"/>
      <c r="Q490" s="270"/>
      <c r="R490" s="270"/>
      <c r="S490" s="270"/>
      <c r="T490" s="301"/>
      <c r="U490" s="270"/>
      <c r="V490" s="240"/>
      <c r="W490" s="238">
        <f t="shared" si="25"/>
        <v>0</v>
      </c>
      <c r="Y490" s="223" t="str">
        <f>'[4]Development - i'!E489</f>
        <v>a. In Ground Floor</v>
      </c>
      <c r="Z490" s="223" t="str">
        <f t="shared" si="26"/>
        <v>-----------------------</v>
      </c>
    </row>
    <row r="491" spans="1:26" s="239" customFormat="1">
      <c r="A491" s="347"/>
      <c r="B491" s="352" t="s">
        <v>694</v>
      </c>
      <c r="C491" s="352" t="s">
        <v>694</v>
      </c>
      <c r="D491" s="235" t="str">
        <f t="shared" si="27"/>
        <v xml:space="preserve"> OK</v>
      </c>
      <c r="E491" s="254" t="s">
        <v>694</v>
      </c>
      <c r="F491" s="254">
        <v>0</v>
      </c>
      <c r="G491" s="298">
        <f>[3]Data!AS193</f>
        <v>528.04</v>
      </c>
      <c r="H491" s="298" t="s">
        <v>2019</v>
      </c>
      <c r="I491" s="300"/>
      <c r="J491" s="300"/>
      <c r="K491" s="270"/>
      <c r="L491" s="301"/>
      <c r="M491" s="270"/>
      <c r="N491" s="270"/>
      <c r="O491" s="270"/>
      <c r="P491" s="270"/>
      <c r="Q491" s="270"/>
      <c r="R491" s="270"/>
      <c r="S491" s="270"/>
      <c r="T491" s="301"/>
      <c r="U491" s="270"/>
      <c r="V491" s="240"/>
      <c r="W491" s="238">
        <f t="shared" si="25"/>
        <v>0</v>
      </c>
      <c r="Y491" s="223" t="str">
        <f>'[4]Development - i'!E490</f>
        <v>c. In First Floor</v>
      </c>
      <c r="Z491" s="223" t="str">
        <f t="shared" si="26"/>
        <v>-----------------------</v>
      </c>
    </row>
    <row r="492" spans="1:26" s="239" customFormat="1">
      <c r="A492" s="347"/>
      <c r="B492" s="352" t="s">
        <v>695</v>
      </c>
      <c r="C492" s="352" t="s">
        <v>695</v>
      </c>
      <c r="D492" s="235" t="str">
        <f t="shared" si="27"/>
        <v xml:space="preserve"> OK</v>
      </c>
      <c r="E492" s="254" t="s">
        <v>695</v>
      </c>
      <c r="F492" s="254">
        <v>0</v>
      </c>
      <c r="G492" s="298">
        <f>[3]Data!AS194</f>
        <v>536.80999999999995</v>
      </c>
      <c r="H492" s="298" t="s">
        <v>2019</v>
      </c>
      <c r="I492" s="300"/>
      <c r="J492" s="300"/>
      <c r="K492" s="270"/>
      <c r="L492" s="301"/>
      <c r="M492" s="270"/>
      <c r="N492" s="270"/>
      <c r="O492" s="270"/>
      <c r="P492" s="270"/>
      <c r="Q492" s="270"/>
      <c r="R492" s="270"/>
      <c r="S492" s="270"/>
      <c r="T492" s="301"/>
      <c r="U492" s="270"/>
      <c r="V492" s="240"/>
      <c r="W492" s="238">
        <f t="shared" si="25"/>
        <v>0</v>
      </c>
      <c r="Y492" s="223" t="str">
        <f>'[4]Development - i'!E491</f>
        <v>d. In Second Floor</v>
      </c>
      <c r="Z492" s="223" t="str">
        <f t="shared" si="26"/>
        <v>-----------------------</v>
      </c>
    </row>
    <row r="493" spans="1:26" s="239" customFormat="1">
      <c r="A493" s="347"/>
      <c r="B493" s="306" t="s">
        <v>962</v>
      </c>
      <c r="C493" s="306" t="s">
        <v>962</v>
      </c>
      <c r="D493" s="235" t="str">
        <f t="shared" si="27"/>
        <v xml:space="preserve"> OK</v>
      </c>
      <c r="E493" s="254" t="s">
        <v>962</v>
      </c>
      <c r="F493" s="254">
        <v>0</v>
      </c>
      <c r="G493" s="298">
        <f>[3]Data!AS195</f>
        <v>545.58000000000004</v>
      </c>
      <c r="H493" s="298" t="s">
        <v>2019</v>
      </c>
      <c r="I493" s="300"/>
      <c r="J493" s="300"/>
      <c r="K493" s="270"/>
      <c r="L493" s="301"/>
      <c r="M493" s="270"/>
      <c r="N493" s="270"/>
      <c r="O493" s="270"/>
      <c r="P493" s="270"/>
      <c r="Q493" s="270"/>
      <c r="R493" s="270"/>
      <c r="S493" s="270"/>
      <c r="T493" s="301"/>
      <c r="U493" s="270"/>
      <c r="V493" s="240"/>
      <c r="W493" s="238">
        <f t="shared" si="25"/>
        <v>0</v>
      </c>
      <c r="Y493" s="223" t="str">
        <f>'[4]Development - i'!E492</f>
        <v>c. In Third Floor</v>
      </c>
      <c r="Z493" s="223" t="str">
        <f t="shared" si="26"/>
        <v>-----------------------</v>
      </c>
    </row>
    <row r="494" spans="1:26" s="246" customFormat="1" ht="152.25">
      <c r="A494" s="355" t="s">
        <v>1917</v>
      </c>
      <c r="B494" s="316" t="s">
        <v>966</v>
      </c>
      <c r="C494" s="316" t="s">
        <v>966</v>
      </c>
      <c r="D494" s="235" t="str">
        <f t="shared" si="27"/>
        <v xml:space="preserve"> OK</v>
      </c>
      <c r="E494" s="254" t="s">
        <v>966</v>
      </c>
      <c r="F494" s="254" t="s">
        <v>967</v>
      </c>
      <c r="G494" s="298"/>
      <c r="H494" s="298"/>
      <c r="I494" s="300"/>
      <c r="J494" s="300"/>
      <c r="K494" s="270"/>
      <c r="L494" s="301"/>
      <c r="M494" s="270"/>
      <c r="N494" s="270"/>
      <c r="O494" s="270"/>
      <c r="P494" s="270"/>
      <c r="Q494" s="270"/>
      <c r="R494" s="270"/>
      <c r="S494" s="270"/>
      <c r="T494" s="301"/>
      <c r="U494" s="270"/>
      <c r="V494" s="240"/>
      <c r="W494" s="238">
        <f t="shared" si="25"/>
        <v>0</v>
      </c>
      <c r="X494" s="248"/>
      <c r="Y494" s="223" t="str">
        <f>'[4]Development - i'!E493</f>
        <v>Precast Cupboard slab 20 mm tk.using standardised concrete mix M20 (annexure)</v>
      </c>
      <c r="Z494" s="223" t="str">
        <f t="shared" si="26"/>
        <v>-----------------------</v>
      </c>
    </row>
    <row r="495" spans="1:26" s="246" customFormat="1" ht="46.5">
      <c r="A495" s="290"/>
      <c r="B495" s="290" t="s">
        <v>655</v>
      </c>
      <c r="C495" s="290" t="s">
        <v>655</v>
      </c>
      <c r="D495" s="235" t="str">
        <f t="shared" si="27"/>
        <v xml:space="preserve"> OK</v>
      </c>
      <c r="E495" s="254" t="s">
        <v>2026</v>
      </c>
      <c r="F495" s="254" t="s">
        <v>680</v>
      </c>
      <c r="G495" s="298">
        <f>[3]Data!X551</f>
        <v>1205.17</v>
      </c>
      <c r="H495" s="298" t="s">
        <v>1715</v>
      </c>
      <c r="I495" s="300"/>
      <c r="J495" s="300"/>
      <c r="K495" s="270"/>
      <c r="L495" s="301"/>
      <c r="M495" s="270"/>
      <c r="N495" s="270"/>
      <c r="O495" s="270"/>
      <c r="P495" s="270"/>
      <c r="Q495" s="270"/>
      <c r="R495" s="270"/>
      <c r="S495" s="270"/>
      <c r="T495" s="301"/>
      <c r="U495" s="270"/>
      <c r="V495" s="240"/>
      <c r="W495" s="238">
        <f t="shared" si="25"/>
        <v>0</v>
      </c>
      <c r="X495" s="248"/>
      <c r="Y495" s="223" t="str">
        <f>'[4]Development - i'!E494</f>
        <v>a. In Ground floor Precast Cupboard slab 20 mm tk.using standardised concrete mix M20 (annexure)</v>
      </c>
      <c r="Z495" s="223" t="str">
        <f t="shared" si="26"/>
        <v>-----------------------</v>
      </c>
    </row>
    <row r="496" spans="1:26" s="246" customFormat="1" ht="46.5">
      <c r="A496" s="290"/>
      <c r="B496" s="290" t="s">
        <v>656</v>
      </c>
      <c r="C496" s="290" t="s">
        <v>656</v>
      </c>
      <c r="D496" s="235" t="str">
        <f t="shared" si="27"/>
        <v xml:space="preserve"> OK</v>
      </c>
      <c r="E496" s="254" t="s">
        <v>2027</v>
      </c>
      <c r="F496" s="254" t="s">
        <v>649</v>
      </c>
      <c r="G496" s="298">
        <f>[3]Data!X552</f>
        <v>1208.92</v>
      </c>
      <c r="H496" s="298" t="s">
        <v>1715</v>
      </c>
      <c r="I496" s="300"/>
      <c r="J496" s="300"/>
      <c r="K496" s="270"/>
      <c r="L496" s="301"/>
      <c r="M496" s="270"/>
      <c r="N496" s="270"/>
      <c r="O496" s="270"/>
      <c r="P496" s="270"/>
      <c r="Q496" s="270"/>
      <c r="R496" s="270"/>
      <c r="S496" s="270"/>
      <c r="T496" s="301"/>
      <c r="U496" s="270"/>
      <c r="V496" s="240"/>
      <c r="W496" s="238">
        <f t="shared" ref="W496:W552" si="28">ROUND(G497,2)*ROUND(V496,2)</f>
        <v>0</v>
      </c>
      <c r="X496" s="248"/>
      <c r="Y496" s="223" t="str">
        <f>'[4]Development - i'!E495</f>
        <v>b. In First floor Precast Cupboard slab 20 mm tk.using standardised concrete mix M20 (annexure)</v>
      </c>
      <c r="Z496" s="223" t="str">
        <f t="shared" si="26"/>
        <v>-----------------------</v>
      </c>
    </row>
    <row r="497" spans="1:26" s="246" customFormat="1" ht="46.5">
      <c r="A497" s="322"/>
      <c r="B497" s="322" t="s">
        <v>657</v>
      </c>
      <c r="C497" s="322" t="s">
        <v>657</v>
      </c>
      <c r="D497" s="235" t="str">
        <f t="shared" si="27"/>
        <v xml:space="preserve"> OK</v>
      </c>
      <c r="E497" s="254" t="s">
        <v>2028</v>
      </c>
      <c r="F497" s="254" t="s">
        <v>650</v>
      </c>
      <c r="G497" s="298">
        <f>[3]Data!X553</f>
        <v>1212.67</v>
      </c>
      <c r="H497" s="298" t="s">
        <v>1715</v>
      </c>
      <c r="I497" s="300"/>
      <c r="J497" s="300"/>
      <c r="K497" s="270"/>
      <c r="L497" s="301"/>
      <c r="M497" s="270"/>
      <c r="N497" s="270"/>
      <c r="O497" s="270"/>
      <c r="P497" s="270"/>
      <c r="Q497" s="270"/>
      <c r="R497" s="270"/>
      <c r="S497" s="270"/>
      <c r="T497" s="301"/>
      <c r="U497" s="270"/>
      <c r="V497" s="240"/>
      <c r="W497" s="238">
        <f t="shared" si="28"/>
        <v>0</v>
      </c>
      <c r="X497" s="248"/>
      <c r="Y497" s="223" t="str">
        <f>'[4]Development - i'!E496</f>
        <v>c. In Second floor Precast Cupboard slab 20 mm tk.using standardised concrete mix M20 (annexure)</v>
      </c>
      <c r="Z497" s="223" t="str">
        <f t="shared" si="26"/>
        <v>-----------------------</v>
      </c>
    </row>
    <row r="498" spans="1:26" s="246" customFormat="1" ht="46.5">
      <c r="A498" s="322"/>
      <c r="B498" s="322" t="s">
        <v>658</v>
      </c>
      <c r="C498" s="322" t="s">
        <v>658</v>
      </c>
      <c r="D498" s="235" t="str">
        <f t="shared" si="27"/>
        <v xml:space="preserve"> OK</v>
      </c>
      <c r="E498" s="254" t="s">
        <v>2029</v>
      </c>
      <c r="F498" s="254" t="s">
        <v>651</v>
      </c>
      <c r="G498" s="298">
        <f>[3]Data!X554</f>
        <v>1216.42</v>
      </c>
      <c r="H498" s="298" t="s">
        <v>1715</v>
      </c>
      <c r="I498" s="300"/>
      <c r="J498" s="300"/>
      <c r="K498" s="270"/>
      <c r="L498" s="301"/>
      <c r="M498" s="270"/>
      <c r="N498" s="270"/>
      <c r="O498" s="270"/>
      <c r="P498" s="270"/>
      <c r="Q498" s="270"/>
      <c r="R498" s="270"/>
      <c r="S498" s="270"/>
      <c r="T498" s="301"/>
      <c r="U498" s="270"/>
      <c r="V498" s="240"/>
      <c r="W498" s="238">
        <f t="shared" si="28"/>
        <v>0</v>
      </c>
      <c r="X498" s="248"/>
      <c r="Y498" s="223" t="str">
        <f>'[4]Development - i'!E497</f>
        <v>d. In Third floor Precast Cupboard slab 20 mm tk.using standardised concrete mix M20 (annexure)</v>
      </c>
      <c r="Z498" s="223" t="str">
        <f t="shared" si="26"/>
        <v>-----------------------</v>
      </c>
    </row>
    <row r="499" spans="1:26" s="241" customFormat="1" ht="46.5">
      <c r="A499" s="356"/>
      <c r="B499" s="354" t="s">
        <v>659</v>
      </c>
      <c r="C499" s="354" t="s">
        <v>659</v>
      </c>
      <c r="D499" s="235" t="str">
        <f t="shared" si="27"/>
        <v xml:space="preserve"> OK</v>
      </c>
      <c r="E499" s="254" t="s">
        <v>2030</v>
      </c>
      <c r="F499" s="254" t="s">
        <v>973</v>
      </c>
      <c r="G499" s="298">
        <f>[3]Data!X555</f>
        <v>1220.17</v>
      </c>
      <c r="H499" s="298" t="s">
        <v>1715</v>
      </c>
      <c r="I499" s="300"/>
      <c r="J499" s="300"/>
      <c r="K499" s="270"/>
      <c r="L499" s="301"/>
      <c r="M499" s="270"/>
      <c r="N499" s="270"/>
      <c r="O499" s="270"/>
      <c r="P499" s="270"/>
      <c r="Q499" s="270"/>
      <c r="R499" s="270"/>
      <c r="S499" s="270"/>
      <c r="T499" s="301"/>
      <c r="U499" s="270"/>
      <c r="V499" s="240"/>
      <c r="W499" s="238">
        <f t="shared" si="28"/>
        <v>0</v>
      </c>
      <c r="X499" s="249"/>
      <c r="Y499" s="223" t="str">
        <f>'[4]Development - i'!E498</f>
        <v>e.  In Fourth floor Precast Cupboard slab 20 mm tk.using standardised concrete mix M20 (annexure)</v>
      </c>
      <c r="Z499" s="223" t="str">
        <f t="shared" si="26"/>
        <v>-----------------------</v>
      </c>
    </row>
    <row r="500" spans="1:26" s="246" customFormat="1" ht="152.25">
      <c r="A500" s="355" t="s">
        <v>75</v>
      </c>
      <c r="B500" s="357" t="s">
        <v>359</v>
      </c>
      <c r="C500" s="357" t="s">
        <v>359</v>
      </c>
      <c r="D500" s="235" t="str">
        <f t="shared" si="27"/>
        <v xml:space="preserve"> OK</v>
      </c>
      <c r="E500" s="254" t="s">
        <v>359</v>
      </c>
      <c r="F500" s="254" t="s">
        <v>974</v>
      </c>
      <c r="G500" s="298"/>
      <c r="H500" s="298"/>
      <c r="I500" s="300"/>
      <c r="J500" s="300"/>
      <c r="K500" s="270"/>
      <c r="L500" s="301"/>
      <c r="M500" s="270"/>
      <c r="N500" s="270"/>
      <c r="O500" s="270"/>
      <c r="P500" s="270"/>
      <c r="Q500" s="270"/>
      <c r="R500" s="270"/>
      <c r="S500" s="270"/>
      <c r="T500" s="301"/>
      <c r="U500" s="270"/>
      <c r="V500" s="240"/>
      <c r="W500" s="238">
        <f t="shared" si="28"/>
        <v>0</v>
      </c>
      <c r="X500" s="248"/>
      <c r="Y500" s="223" t="str">
        <f>'[4]Development - i'!E499</f>
        <v>Precast cupboard slab 40 mm tkusing standardised concrete mix M20 (annexure)</v>
      </c>
      <c r="Z500" s="223" t="str">
        <f t="shared" si="26"/>
        <v>-----------------------</v>
      </c>
    </row>
    <row r="501" spans="1:26" s="246" customFormat="1" ht="69.75">
      <c r="A501" s="290"/>
      <c r="B501" s="290" t="s">
        <v>738</v>
      </c>
      <c r="C501" s="290" t="s">
        <v>738</v>
      </c>
      <c r="D501" s="235" t="str">
        <f t="shared" si="27"/>
        <v xml:space="preserve"> OK</v>
      </c>
      <c r="E501" s="254" t="s">
        <v>2031</v>
      </c>
      <c r="F501" s="254" t="s">
        <v>738</v>
      </c>
      <c r="G501" s="298">
        <f>[3]Data!X573</f>
        <v>1331.05</v>
      </c>
      <c r="H501" s="298" t="s">
        <v>1715</v>
      </c>
      <c r="I501" s="300"/>
      <c r="J501" s="300"/>
      <c r="K501" s="270"/>
      <c r="L501" s="301"/>
      <c r="M501" s="270"/>
      <c r="N501" s="270"/>
      <c r="O501" s="270"/>
      <c r="P501" s="270"/>
      <c r="Q501" s="270"/>
      <c r="R501" s="270"/>
      <c r="S501" s="270"/>
      <c r="T501" s="301"/>
      <c r="U501" s="270"/>
      <c r="V501" s="240"/>
      <c r="W501" s="238">
        <f t="shared" si="28"/>
        <v>0</v>
      </c>
      <c r="X501" s="248"/>
      <c r="Y501" s="223" t="str">
        <f>'[4]Development - i'!E500</f>
        <v>a. In Foundation &amp; basement Precast cupboard slab 40 mm tkusing standardised concrete mix M20 (annexure)</v>
      </c>
      <c r="Z501" s="223" t="str">
        <f t="shared" si="26"/>
        <v>-----------------------</v>
      </c>
    </row>
    <row r="502" spans="1:26" s="246" customFormat="1" ht="46.5">
      <c r="A502" s="322"/>
      <c r="B502" s="322" t="s">
        <v>739</v>
      </c>
      <c r="C502" s="322" t="s">
        <v>739</v>
      </c>
      <c r="D502" s="235" t="str">
        <f t="shared" si="27"/>
        <v xml:space="preserve"> OK</v>
      </c>
      <c r="E502" s="254" t="s">
        <v>2032</v>
      </c>
      <c r="F502" s="254" t="s">
        <v>680</v>
      </c>
      <c r="G502" s="298">
        <f>[3]Data!X575</f>
        <v>1334.86</v>
      </c>
      <c r="H502" s="298" t="s">
        <v>1715</v>
      </c>
      <c r="I502" s="300"/>
      <c r="J502" s="300"/>
      <c r="K502" s="270"/>
      <c r="L502" s="301"/>
      <c r="M502" s="270"/>
      <c r="N502" s="270"/>
      <c r="O502" s="270"/>
      <c r="P502" s="270"/>
      <c r="Q502" s="270"/>
      <c r="R502" s="270"/>
      <c r="S502" s="270"/>
      <c r="T502" s="301"/>
      <c r="U502" s="270"/>
      <c r="V502" s="240"/>
      <c r="W502" s="238">
        <f t="shared" si="28"/>
        <v>0</v>
      </c>
      <c r="X502" s="248"/>
      <c r="Y502" s="223" t="str">
        <f>'[4]Development - i'!E501</f>
        <v>b. In Ground floor Precast cupboard slab 40 mm tkusing standardised concrete mix M20 (annexure)</v>
      </c>
      <c r="Z502" s="223" t="str">
        <f t="shared" si="26"/>
        <v>-----------------------</v>
      </c>
    </row>
    <row r="503" spans="1:26" s="246" customFormat="1" ht="46.5">
      <c r="A503" s="290"/>
      <c r="B503" s="290" t="s">
        <v>740</v>
      </c>
      <c r="C503" s="290" t="s">
        <v>740</v>
      </c>
      <c r="D503" s="235" t="str">
        <f t="shared" si="27"/>
        <v xml:space="preserve"> OK</v>
      </c>
      <c r="E503" s="254" t="s">
        <v>2033</v>
      </c>
      <c r="F503" s="254" t="s">
        <v>649</v>
      </c>
      <c r="G503" s="298">
        <f>[3]Data!X576</f>
        <v>1342.36</v>
      </c>
      <c r="H503" s="298" t="s">
        <v>1715</v>
      </c>
      <c r="I503" s="300"/>
      <c r="J503" s="300"/>
      <c r="K503" s="270"/>
      <c r="L503" s="301"/>
      <c r="M503" s="270"/>
      <c r="N503" s="270"/>
      <c r="O503" s="270"/>
      <c r="P503" s="270"/>
      <c r="Q503" s="270"/>
      <c r="R503" s="270"/>
      <c r="S503" s="270"/>
      <c r="T503" s="301"/>
      <c r="U503" s="270"/>
      <c r="V503" s="240"/>
      <c r="W503" s="238">
        <f t="shared" si="28"/>
        <v>0</v>
      </c>
      <c r="X503" s="248"/>
      <c r="Y503" s="223" t="str">
        <f>'[4]Development - i'!E502</f>
        <v>c. In First floor Precast cupboard slab 40 mm tkusing standardised concrete mix M20 (annexure)</v>
      </c>
      <c r="Z503" s="223" t="str">
        <f t="shared" si="26"/>
        <v>-----------------------</v>
      </c>
    </row>
    <row r="504" spans="1:26" s="246" customFormat="1" ht="46.5">
      <c r="A504" s="322"/>
      <c r="B504" s="322" t="s">
        <v>741</v>
      </c>
      <c r="C504" s="322" t="s">
        <v>741</v>
      </c>
      <c r="D504" s="235" t="str">
        <f t="shared" si="27"/>
        <v xml:space="preserve"> OK</v>
      </c>
      <c r="E504" s="254" t="s">
        <v>2034</v>
      </c>
      <c r="F504" s="254" t="s">
        <v>650</v>
      </c>
      <c r="G504" s="298">
        <f>[3]Data!X577</f>
        <v>1349.86</v>
      </c>
      <c r="H504" s="298" t="s">
        <v>1715</v>
      </c>
      <c r="I504" s="300"/>
      <c r="J504" s="300"/>
      <c r="K504" s="270"/>
      <c r="L504" s="301"/>
      <c r="M504" s="270"/>
      <c r="N504" s="270"/>
      <c r="O504" s="270"/>
      <c r="P504" s="270"/>
      <c r="Q504" s="270"/>
      <c r="R504" s="270"/>
      <c r="S504" s="270"/>
      <c r="T504" s="301"/>
      <c r="U504" s="270"/>
      <c r="V504" s="240"/>
      <c r="W504" s="238">
        <f t="shared" si="28"/>
        <v>0</v>
      </c>
      <c r="X504" s="248"/>
      <c r="Y504" s="223" t="str">
        <f>'[4]Development - i'!E503</f>
        <v>d. In Second floor Precast cupboard slab 40 mm tkusing standardised concrete mix M20 (annexure)</v>
      </c>
      <c r="Z504" s="223" t="str">
        <f t="shared" si="26"/>
        <v>-----------------------</v>
      </c>
    </row>
    <row r="505" spans="1:26" s="246" customFormat="1">
      <c r="A505" s="290"/>
      <c r="B505" s="290" t="s">
        <v>742</v>
      </c>
      <c r="C505" s="290" t="s">
        <v>742</v>
      </c>
      <c r="D505" s="235" t="str">
        <f t="shared" si="27"/>
        <v xml:space="preserve"> OK</v>
      </c>
      <c r="E505" s="254" t="s">
        <v>742</v>
      </c>
      <c r="F505" s="254" t="s">
        <v>651</v>
      </c>
      <c r="G505" s="298">
        <f>[3]Data!X578</f>
        <v>1357.36</v>
      </c>
      <c r="H505" s="298" t="s">
        <v>1715</v>
      </c>
      <c r="I505" s="300"/>
      <c r="J505" s="300"/>
      <c r="K505" s="270"/>
      <c r="L505" s="301"/>
      <c r="M505" s="270"/>
      <c r="N505" s="270"/>
      <c r="O505" s="270"/>
      <c r="P505" s="270"/>
      <c r="Q505" s="270"/>
      <c r="R505" s="270"/>
      <c r="S505" s="270"/>
      <c r="T505" s="301"/>
      <c r="U505" s="270"/>
      <c r="V505" s="240"/>
      <c r="W505" s="238">
        <f t="shared" si="28"/>
        <v>0</v>
      </c>
      <c r="X505" s="248"/>
      <c r="Y505" s="223" t="str">
        <f>'[4]Development - i'!E504</f>
        <v>e. In Third floor</v>
      </c>
      <c r="Z505" s="223" t="str">
        <f t="shared" si="26"/>
        <v>-----------------------</v>
      </c>
    </row>
    <row r="506" spans="1:26" s="241" customFormat="1" ht="46.5">
      <c r="A506" s="243"/>
      <c r="B506" s="358" t="s">
        <v>743</v>
      </c>
      <c r="C506" s="358" t="s">
        <v>743</v>
      </c>
      <c r="D506" s="235" t="str">
        <f t="shared" si="27"/>
        <v xml:space="preserve"> OK</v>
      </c>
      <c r="E506" s="254" t="s">
        <v>2035</v>
      </c>
      <c r="F506" s="254" t="s">
        <v>975</v>
      </c>
      <c r="G506" s="298">
        <f>[3]Data!X579</f>
        <v>1364.86</v>
      </c>
      <c r="H506" s="298" t="s">
        <v>1715</v>
      </c>
      <c r="I506" s="300"/>
      <c r="J506" s="300"/>
      <c r="K506" s="270"/>
      <c r="L506" s="301"/>
      <c r="M506" s="270"/>
      <c r="N506" s="270"/>
      <c r="O506" s="270"/>
      <c r="P506" s="270"/>
      <c r="Q506" s="270"/>
      <c r="R506" s="270"/>
      <c r="S506" s="270"/>
      <c r="T506" s="301"/>
      <c r="U506" s="270"/>
      <c r="V506" s="240"/>
      <c r="W506" s="238">
        <f t="shared" si="28"/>
        <v>0</v>
      </c>
      <c r="X506" s="249"/>
      <c r="Y506" s="223" t="str">
        <f>'[4]Development - i'!E505</f>
        <v>f.  In Fourth floor Precast cupboard slab 40 mm tkusing standardised concrete mix M20 (annexure)</v>
      </c>
      <c r="Z506" s="223" t="str">
        <f t="shared" si="26"/>
        <v>-----------------------</v>
      </c>
    </row>
    <row r="507" spans="1:26" s="241" customFormat="1" ht="46.5">
      <c r="A507" s="355" t="s">
        <v>1917</v>
      </c>
      <c r="B507" s="316" t="s">
        <v>976</v>
      </c>
      <c r="C507" s="316" t="s">
        <v>976</v>
      </c>
      <c r="D507" s="235" t="str">
        <f t="shared" si="27"/>
        <v xml:space="preserve"> OK</v>
      </c>
      <c r="E507" s="254" t="s">
        <v>976</v>
      </c>
      <c r="F507" s="254">
        <v>0</v>
      </c>
      <c r="G507" s="298"/>
      <c r="H507" s="298"/>
      <c r="I507" s="300"/>
      <c r="J507" s="300"/>
      <c r="K507" s="270"/>
      <c r="L507" s="301"/>
      <c r="M507" s="270"/>
      <c r="N507" s="270"/>
      <c r="O507" s="270"/>
      <c r="P507" s="270"/>
      <c r="Q507" s="270"/>
      <c r="R507" s="270"/>
      <c r="S507" s="270"/>
      <c r="T507" s="301"/>
      <c r="U507" s="270"/>
      <c r="V507" s="240"/>
      <c r="W507" s="238">
        <f t="shared" si="28"/>
        <v>0</v>
      </c>
      <c r="X507" s="249"/>
      <c r="Y507" s="223" t="str">
        <f>'[4]Development - i'!E506</f>
        <v>Precast Cupboard slab 20 mm tk.using standardised concrete mix M25 (annexure)</v>
      </c>
      <c r="Z507" s="223" t="str">
        <f t="shared" si="26"/>
        <v>-----------------------</v>
      </c>
    </row>
    <row r="508" spans="1:26" s="241" customFormat="1">
      <c r="A508" s="290"/>
      <c r="B508" s="290" t="s">
        <v>655</v>
      </c>
      <c r="C508" s="290" t="s">
        <v>655</v>
      </c>
      <c r="D508" s="235" t="str">
        <f t="shared" si="27"/>
        <v xml:space="preserve"> OK</v>
      </c>
      <c r="E508" s="254" t="s">
        <v>655</v>
      </c>
      <c r="F508" s="254">
        <v>0</v>
      </c>
      <c r="G508" s="298">
        <f>[3]Data!AK551</f>
        <v>1208.8399999999999</v>
      </c>
      <c r="H508" s="298" t="s">
        <v>1715</v>
      </c>
      <c r="I508" s="300"/>
      <c r="J508" s="300"/>
      <c r="K508" s="270"/>
      <c r="L508" s="301"/>
      <c r="M508" s="270"/>
      <c r="N508" s="270"/>
      <c r="O508" s="270"/>
      <c r="P508" s="270"/>
      <c r="Q508" s="270"/>
      <c r="R508" s="270"/>
      <c r="S508" s="270"/>
      <c r="T508" s="301"/>
      <c r="U508" s="270"/>
      <c r="V508" s="240"/>
      <c r="W508" s="238">
        <f t="shared" si="28"/>
        <v>0</v>
      </c>
      <c r="X508" s="249"/>
      <c r="Y508" s="223" t="str">
        <f>'[4]Development - i'!E507</f>
        <v>a. In Ground floor</v>
      </c>
      <c r="Z508" s="223" t="str">
        <f t="shared" si="26"/>
        <v>-----------------------</v>
      </c>
    </row>
    <row r="509" spans="1:26" s="241" customFormat="1">
      <c r="A509" s="290"/>
      <c r="B509" s="290" t="s">
        <v>656</v>
      </c>
      <c r="C509" s="290" t="s">
        <v>656</v>
      </c>
      <c r="D509" s="235" t="str">
        <f t="shared" si="27"/>
        <v xml:space="preserve"> OK</v>
      </c>
      <c r="E509" s="254" t="s">
        <v>656</v>
      </c>
      <c r="F509" s="254">
        <v>0</v>
      </c>
      <c r="G509" s="298">
        <f>[3]Data!AK552</f>
        <v>1212.5899999999999</v>
      </c>
      <c r="H509" s="298" t="s">
        <v>1715</v>
      </c>
      <c r="I509" s="300"/>
      <c r="J509" s="300"/>
      <c r="K509" s="270"/>
      <c r="L509" s="301"/>
      <c r="M509" s="270"/>
      <c r="N509" s="270"/>
      <c r="O509" s="270"/>
      <c r="P509" s="270"/>
      <c r="Q509" s="270"/>
      <c r="R509" s="270"/>
      <c r="S509" s="270"/>
      <c r="T509" s="301"/>
      <c r="U509" s="270"/>
      <c r="V509" s="240"/>
      <c r="W509" s="238">
        <f t="shared" si="28"/>
        <v>0</v>
      </c>
      <c r="X509" s="249"/>
      <c r="Y509" s="223" t="str">
        <f>'[4]Development - i'!E508</f>
        <v>b. In First floor</v>
      </c>
      <c r="Z509" s="223" t="str">
        <f t="shared" si="26"/>
        <v>-----------------------</v>
      </c>
    </row>
    <row r="510" spans="1:26" s="241" customFormat="1">
      <c r="A510" s="322"/>
      <c r="B510" s="322" t="s">
        <v>657</v>
      </c>
      <c r="C510" s="322" t="s">
        <v>657</v>
      </c>
      <c r="D510" s="235" t="str">
        <f t="shared" si="27"/>
        <v xml:space="preserve"> OK</v>
      </c>
      <c r="E510" s="254" t="s">
        <v>657</v>
      </c>
      <c r="F510" s="254">
        <v>0</v>
      </c>
      <c r="G510" s="298">
        <f>[3]Data!AK553</f>
        <v>1216.3399999999999</v>
      </c>
      <c r="H510" s="298" t="s">
        <v>1715</v>
      </c>
      <c r="I510" s="300"/>
      <c r="J510" s="300"/>
      <c r="K510" s="270"/>
      <c r="L510" s="301"/>
      <c r="M510" s="270"/>
      <c r="N510" s="270"/>
      <c r="O510" s="270"/>
      <c r="P510" s="270"/>
      <c r="Q510" s="270"/>
      <c r="R510" s="270"/>
      <c r="S510" s="270"/>
      <c r="T510" s="301"/>
      <c r="U510" s="270"/>
      <c r="V510" s="240"/>
      <c r="W510" s="238">
        <f t="shared" si="28"/>
        <v>0</v>
      </c>
      <c r="X510" s="249"/>
      <c r="Y510" s="223" t="str">
        <f>'[4]Development - i'!E509</f>
        <v>c. In Second floor</v>
      </c>
      <c r="Z510" s="223" t="str">
        <f t="shared" si="26"/>
        <v>-----------------------</v>
      </c>
    </row>
    <row r="511" spans="1:26" s="241" customFormat="1">
      <c r="A511" s="322"/>
      <c r="B511" s="322" t="s">
        <v>658</v>
      </c>
      <c r="C511" s="322" t="s">
        <v>658</v>
      </c>
      <c r="D511" s="235" t="str">
        <f t="shared" si="27"/>
        <v xml:space="preserve"> OK</v>
      </c>
      <c r="E511" s="254" t="s">
        <v>658</v>
      </c>
      <c r="F511" s="254">
        <v>0</v>
      </c>
      <c r="G511" s="298">
        <f>[3]Data!AK554</f>
        <v>1220.0899999999999</v>
      </c>
      <c r="H511" s="298" t="s">
        <v>1715</v>
      </c>
      <c r="I511" s="300"/>
      <c r="J511" s="300"/>
      <c r="K511" s="270"/>
      <c r="L511" s="301"/>
      <c r="M511" s="270"/>
      <c r="N511" s="270"/>
      <c r="O511" s="270"/>
      <c r="P511" s="270"/>
      <c r="Q511" s="270"/>
      <c r="R511" s="270"/>
      <c r="S511" s="270"/>
      <c r="T511" s="301"/>
      <c r="U511" s="270"/>
      <c r="V511" s="240"/>
      <c r="W511" s="238">
        <f t="shared" si="28"/>
        <v>0</v>
      </c>
      <c r="X511" s="249"/>
      <c r="Y511" s="223" t="str">
        <f>'[4]Development - i'!E510</f>
        <v>d. In Third floor</v>
      </c>
      <c r="Z511" s="223" t="str">
        <f t="shared" si="26"/>
        <v>-----------------------</v>
      </c>
    </row>
    <row r="512" spans="1:26" s="241" customFormat="1">
      <c r="A512" s="356"/>
      <c r="B512" s="354" t="s">
        <v>659</v>
      </c>
      <c r="C512" s="354" t="s">
        <v>659</v>
      </c>
      <c r="D512" s="235" t="str">
        <f t="shared" si="27"/>
        <v xml:space="preserve"> OK</v>
      </c>
      <c r="E512" s="254" t="s">
        <v>659</v>
      </c>
      <c r="F512" s="254">
        <v>0</v>
      </c>
      <c r="G512" s="298">
        <f>[3]Data!AK555</f>
        <v>1223.8399999999999</v>
      </c>
      <c r="H512" s="298" t="s">
        <v>1715</v>
      </c>
      <c r="I512" s="300"/>
      <c r="J512" s="300"/>
      <c r="K512" s="270"/>
      <c r="L512" s="301"/>
      <c r="M512" s="270"/>
      <c r="N512" s="270"/>
      <c r="O512" s="270"/>
      <c r="P512" s="270"/>
      <c r="Q512" s="270"/>
      <c r="R512" s="270"/>
      <c r="S512" s="270"/>
      <c r="T512" s="301"/>
      <c r="U512" s="270"/>
      <c r="V512" s="240"/>
      <c r="W512" s="238">
        <f t="shared" si="28"/>
        <v>0</v>
      </c>
      <c r="X512" s="249"/>
      <c r="Y512" s="223" t="str">
        <f>'[4]Development - i'!E511</f>
        <v>e.  In Fourth floor</v>
      </c>
      <c r="Z512" s="223" t="str">
        <f t="shared" si="26"/>
        <v>-----------------------</v>
      </c>
    </row>
    <row r="513" spans="1:26" s="241" customFormat="1" ht="48">
      <c r="A513" s="355" t="s">
        <v>75</v>
      </c>
      <c r="B513" s="357" t="s">
        <v>977</v>
      </c>
      <c r="C513" s="357" t="s">
        <v>977</v>
      </c>
      <c r="D513" s="235" t="str">
        <f t="shared" si="27"/>
        <v xml:space="preserve"> OK</v>
      </c>
      <c r="E513" s="254" t="s">
        <v>977</v>
      </c>
      <c r="F513" s="254">
        <v>0</v>
      </c>
      <c r="G513" s="298"/>
      <c r="H513" s="298"/>
      <c r="I513" s="300"/>
      <c r="J513" s="300"/>
      <c r="K513" s="270"/>
      <c r="L513" s="301"/>
      <c r="M513" s="270"/>
      <c r="N513" s="270"/>
      <c r="O513" s="270"/>
      <c r="P513" s="270"/>
      <c r="Q513" s="270"/>
      <c r="R513" s="270"/>
      <c r="S513" s="270"/>
      <c r="T513" s="301"/>
      <c r="U513" s="270"/>
      <c r="V513" s="240"/>
      <c r="W513" s="238">
        <f t="shared" si="28"/>
        <v>0</v>
      </c>
      <c r="X513" s="249"/>
      <c r="Y513" s="223" t="str">
        <f>'[4]Development - i'!E512</f>
        <v>Precast cupboard slab 40 mm tkusing standardised concrete mix M25 (annexure)</v>
      </c>
      <c r="Z513" s="223" t="str">
        <f t="shared" si="26"/>
        <v>-----------------------</v>
      </c>
    </row>
    <row r="514" spans="1:26" s="241" customFormat="1">
      <c r="A514" s="290"/>
      <c r="B514" s="290" t="s">
        <v>738</v>
      </c>
      <c r="C514" s="290" t="s">
        <v>738</v>
      </c>
      <c r="D514" s="235" t="str">
        <f t="shared" si="27"/>
        <v xml:space="preserve"> OK</v>
      </c>
      <c r="E514" s="254" t="s">
        <v>738</v>
      </c>
      <c r="F514" s="254">
        <v>0</v>
      </c>
      <c r="G514" s="298">
        <f>[3]Data!AK573</f>
        <v>1338.4</v>
      </c>
      <c r="H514" s="298" t="s">
        <v>1715</v>
      </c>
      <c r="I514" s="300"/>
      <c r="J514" s="300"/>
      <c r="K514" s="270"/>
      <c r="L514" s="301"/>
      <c r="M514" s="270"/>
      <c r="N514" s="270"/>
      <c r="O514" s="270"/>
      <c r="P514" s="270"/>
      <c r="Q514" s="270"/>
      <c r="R514" s="270"/>
      <c r="S514" s="270"/>
      <c r="T514" s="301"/>
      <c r="U514" s="270"/>
      <c r="V514" s="240"/>
      <c r="W514" s="238">
        <f t="shared" si="28"/>
        <v>0</v>
      </c>
      <c r="X514" s="249"/>
      <c r="Y514" s="223" t="str">
        <f>'[4]Development - i'!E513</f>
        <v>a. In Foundation &amp; basement</v>
      </c>
      <c r="Z514" s="223" t="str">
        <f t="shared" si="26"/>
        <v>-----------------------</v>
      </c>
    </row>
    <row r="515" spans="1:26" s="241" customFormat="1">
      <c r="A515" s="322"/>
      <c r="B515" s="322" t="s">
        <v>739</v>
      </c>
      <c r="C515" s="322" t="s">
        <v>739</v>
      </c>
      <c r="D515" s="235" t="str">
        <f t="shared" si="27"/>
        <v xml:space="preserve"> OK</v>
      </c>
      <c r="E515" s="254" t="s">
        <v>739</v>
      </c>
      <c r="F515" s="254">
        <v>0</v>
      </c>
      <c r="G515" s="298">
        <f>[3]Data!AK575</f>
        <v>1342.21</v>
      </c>
      <c r="H515" s="298" t="s">
        <v>1715</v>
      </c>
      <c r="I515" s="300"/>
      <c r="J515" s="300"/>
      <c r="K515" s="270"/>
      <c r="L515" s="301"/>
      <c r="M515" s="270"/>
      <c r="N515" s="270"/>
      <c r="O515" s="270"/>
      <c r="P515" s="270"/>
      <c r="Q515" s="270"/>
      <c r="R515" s="270"/>
      <c r="S515" s="270"/>
      <c r="T515" s="301"/>
      <c r="U515" s="270"/>
      <c r="V515" s="240"/>
      <c r="W515" s="238">
        <f t="shared" si="28"/>
        <v>0</v>
      </c>
      <c r="X515" s="249"/>
      <c r="Y515" s="223" t="str">
        <f>'[4]Development - i'!E514</f>
        <v>b. In Ground floor</v>
      </c>
      <c r="Z515" s="223" t="str">
        <f t="shared" si="26"/>
        <v>-----------------------</v>
      </c>
    </row>
    <row r="516" spans="1:26" s="241" customFormat="1">
      <c r="A516" s="290"/>
      <c r="B516" s="290" t="s">
        <v>740</v>
      </c>
      <c r="C516" s="290" t="s">
        <v>740</v>
      </c>
      <c r="D516" s="235" t="str">
        <f t="shared" si="27"/>
        <v xml:space="preserve"> OK</v>
      </c>
      <c r="E516" s="254" t="s">
        <v>740</v>
      </c>
      <c r="F516" s="254">
        <v>0</v>
      </c>
      <c r="G516" s="298">
        <f>[3]Data!AK576</f>
        <v>1349.71</v>
      </c>
      <c r="H516" s="298" t="s">
        <v>1715</v>
      </c>
      <c r="I516" s="300"/>
      <c r="J516" s="300"/>
      <c r="K516" s="270"/>
      <c r="L516" s="301"/>
      <c r="M516" s="270"/>
      <c r="N516" s="270"/>
      <c r="O516" s="270"/>
      <c r="P516" s="270"/>
      <c r="Q516" s="270"/>
      <c r="R516" s="270"/>
      <c r="S516" s="270"/>
      <c r="T516" s="301"/>
      <c r="U516" s="270"/>
      <c r="V516" s="240"/>
      <c r="W516" s="238">
        <f t="shared" si="28"/>
        <v>0</v>
      </c>
      <c r="X516" s="249"/>
      <c r="Y516" s="223" t="str">
        <f>'[4]Development - i'!E515</f>
        <v>c. In First floor</v>
      </c>
      <c r="Z516" s="223" t="str">
        <f t="shared" si="26"/>
        <v>-----------------------</v>
      </c>
    </row>
    <row r="517" spans="1:26" s="241" customFormat="1">
      <c r="A517" s="322"/>
      <c r="B517" s="322" t="s">
        <v>741</v>
      </c>
      <c r="C517" s="322" t="s">
        <v>741</v>
      </c>
      <c r="D517" s="235" t="str">
        <f t="shared" si="27"/>
        <v xml:space="preserve"> OK</v>
      </c>
      <c r="E517" s="254" t="s">
        <v>741</v>
      </c>
      <c r="F517" s="254">
        <v>0</v>
      </c>
      <c r="G517" s="298">
        <f>[3]Data!AK577</f>
        <v>1357.21</v>
      </c>
      <c r="H517" s="298" t="s">
        <v>1715</v>
      </c>
      <c r="I517" s="300"/>
      <c r="J517" s="300"/>
      <c r="K517" s="270"/>
      <c r="L517" s="301"/>
      <c r="M517" s="270"/>
      <c r="N517" s="270"/>
      <c r="O517" s="270"/>
      <c r="P517" s="270"/>
      <c r="Q517" s="270"/>
      <c r="R517" s="270"/>
      <c r="S517" s="270"/>
      <c r="T517" s="301"/>
      <c r="U517" s="270"/>
      <c r="V517" s="240"/>
      <c r="W517" s="238">
        <f t="shared" si="28"/>
        <v>0</v>
      </c>
      <c r="X517" s="249"/>
      <c r="Y517" s="223" t="str">
        <f>'[4]Development - i'!E516</f>
        <v>d. In Second floor</v>
      </c>
      <c r="Z517" s="223" t="str">
        <f t="shared" si="26"/>
        <v>-----------------------</v>
      </c>
    </row>
    <row r="518" spans="1:26" s="241" customFormat="1">
      <c r="A518" s="290"/>
      <c r="B518" s="290" t="s">
        <v>742</v>
      </c>
      <c r="C518" s="290" t="s">
        <v>742</v>
      </c>
      <c r="D518" s="235" t="str">
        <f t="shared" si="27"/>
        <v xml:space="preserve"> OK</v>
      </c>
      <c r="E518" s="254" t="s">
        <v>742</v>
      </c>
      <c r="F518" s="254">
        <v>0</v>
      </c>
      <c r="G518" s="298">
        <f>[3]Data!AK578</f>
        <v>1364.71</v>
      </c>
      <c r="H518" s="298" t="s">
        <v>1715</v>
      </c>
      <c r="I518" s="300"/>
      <c r="J518" s="300"/>
      <c r="K518" s="270"/>
      <c r="L518" s="301"/>
      <c r="M518" s="270"/>
      <c r="N518" s="270"/>
      <c r="O518" s="270"/>
      <c r="P518" s="270"/>
      <c r="Q518" s="270"/>
      <c r="R518" s="270"/>
      <c r="S518" s="270"/>
      <c r="T518" s="301"/>
      <c r="U518" s="270"/>
      <c r="V518" s="240"/>
      <c r="W518" s="238">
        <f t="shared" si="28"/>
        <v>0</v>
      </c>
      <c r="X518" s="249"/>
      <c r="Y518" s="223" t="str">
        <f>'[4]Development - i'!E517</f>
        <v>e. In Third floor</v>
      </c>
      <c r="Z518" s="223" t="str">
        <f t="shared" si="26"/>
        <v>-----------------------</v>
      </c>
    </row>
    <row r="519" spans="1:26" s="241" customFormat="1">
      <c r="A519" s="243"/>
      <c r="B519" s="358" t="s">
        <v>743</v>
      </c>
      <c r="C519" s="358" t="s">
        <v>743</v>
      </c>
      <c r="D519" s="235" t="str">
        <f t="shared" si="27"/>
        <v xml:space="preserve"> OK</v>
      </c>
      <c r="E519" s="254" t="s">
        <v>743</v>
      </c>
      <c r="F519" s="254">
        <v>0</v>
      </c>
      <c r="G519" s="298">
        <f>[3]Data!AK579</f>
        <v>1372.21</v>
      </c>
      <c r="H519" s="298" t="s">
        <v>1715</v>
      </c>
      <c r="I519" s="300"/>
      <c r="J519" s="300"/>
      <c r="K519" s="270"/>
      <c r="L519" s="301"/>
      <c r="M519" s="270"/>
      <c r="N519" s="270"/>
      <c r="O519" s="270"/>
      <c r="P519" s="270"/>
      <c r="Q519" s="270"/>
      <c r="R519" s="270"/>
      <c r="S519" s="270"/>
      <c r="T519" s="301"/>
      <c r="U519" s="270"/>
      <c r="V519" s="240"/>
      <c r="W519" s="238">
        <f t="shared" si="28"/>
        <v>0</v>
      </c>
      <c r="X519" s="249"/>
      <c r="Y519" s="223" t="str">
        <f>'[4]Development - i'!E518</f>
        <v>f.  In Fourth floor</v>
      </c>
      <c r="Z519" s="223" t="str">
        <f t="shared" ref="Z519:Z582" si="29">IF(Y519=E519,"-----------------------","ERRR")</f>
        <v>-----------------------</v>
      </c>
    </row>
    <row r="520" spans="1:26" s="241" customFormat="1" ht="152.25">
      <c r="A520" s="359" t="s">
        <v>1917</v>
      </c>
      <c r="B520" s="360" t="s">
        <v>978</v>
      </c>
      <c r="C520" s="360" t="s">
        <v>978</v>
      </c>
      <c r="D520" s="235" t="str">
        <f t="shared" si="27"/>
        <v xml:space="preserve"> OK</v>
      </c>
      <c r="E520" s="254" t="s">
        <v>978</v>
      </c>
      <c r="F520" s="254" t="s">
        <v>979</v>
      </c>
      <c r="G520" s="298"/>
      <c r="H520" s="298"/>
      <c r="I520" s="300"/>
      <c r="J520" s="300"/>
      <c r="K520" s="270"/>
      <c r="L520" s="301"/>
      <c r="M520" s="270"/>
      <c r="N520" s="270"/>
      <c r="O520" s="270"/>
      <c r="P520" s="270"/>
      <c r="Q520" s="270"/>
      <c r="R520" s="270"/>
      <c r="S520" s="270"/>
      <c r="T520" s="301"/>
      <c r="U520" s="270"/>
      <c r="V520" s="240"/>
      <c r="W520" s="238">
        <f t="shared" si="28"/>
        <v>0</v>
      </c>
      <c r="X520" s="249"/>
      <c r="Y520" s="223" t="str">
        <f>'[4]Development - i'!E519</f>
        <v>Precast Cupboard slab 20 mm tk.using standardised concrete mix M30 (annexure)</v>
      </c>
      <c r="Z520" s="223" t="str">
        <f t="shared" si="29"/>
        <v>-----------------------</v>
      </c>
    </row>
    <row r="521" spans="1:26" s="241" customFormat="1" ht="46.5">
      <c r="A521" s="358"/>
      <c r="B521" s="358" t="s">
        <v>655</v>
      </c>
      <c r="C521" s="358" t="s">
        <v>655</v>
      </c>
      <c r="D521" s="235" t="str">
        <f t="shared" si="27"/>
        <v xml:space="preserve"> OK</v>
      </c>
      <c r="E521" s="254" t="s">
        <v>2036</v>
      </c>
      <c r="F521" s="254" t="s">
        <v>655</v>
      </c>
      <c r="G521" s="298">
        <f>[3]Data!AD551</f>
        <v>1215.76</v>
      </c>
      <c r="H521" s="298" t="s">
        <v>1715</v>
      </c>
      <c r="I521" s="300"/>
      <c r="J521" s="300"/>
      <c r="K521" s="270"/>
      <c r="L521" s="301"/>
      <c r="M521" s="270"/>
      <c r="N521" s="270"/>
      <c r="O521" s="270"/>
      <c r="P521" s="270"/>
      <c r="Q521" s="270"/>
      <c r="R521" s="270"/>
      <c r="S521" s="270"/>
      <c r="T521" s="301"/>
      <c r="U521" s="270"/>
      <c r="V521" s="240"/>
      <c r="W521" s="238">
        <f t="shared" si="28"/>
        <v>0</v>
      </c>
      <c r="X521" s="249"/>
      <c r="Y521" s="223" t="str">
        <f>'[4]Development - i'!E520</f>
        <v>a. In Ground floor Precast Cupboard slab 20 mm tk.using standardised concrete mix M30 (annexure)</v>
      </c>
      <c r="Z521" s="223" t="str">
        <f t="shared" si="29"/>
        <v>-----------------------</v>
      </c>
    </row>
    <row r="522" spans="1:26" s="241" customFormat="1" ht="46.5">
      <c r="A522" s="358"/>
      <c r="B522" s="358" t="s">
        <v>656</v>
      </c>
      <c r="C522" s="358" t="s">
        <v>656</v>
      </c>
      <c r="D522" s="235" t="str">
        <f t="shared" si="27"/>
        <v xml:space="preserve"> OK</v>
      </c>
      <c r="E522" s="254" t="s">
        <v>2037</v>
      </c>
      <c r="F522" s="254" t="s">
        <v>656</v>
      </c>
      <c r="G522" s="298">
        <f>[3]Data!AD552</f>
        <v>1219.51</v>
      </c>
      <c r="H522" s="298" t="s">
        <v>1715</v>
      </c>
      <c r="I522" s="300"/>
      <c r="J522" s="300"/>
      <c r="K522" s="270"/>
      <c r="L522" s="301"/>
      <c r="M522" s="270"/>
      <c r="N522" s="270"/>
      <c r="O522" s="270"/>
      <c r="P522" s="270"/>
      <c r="Q522" s="270"/>
      <c r="R522" s="270"/>
      <c r="S522" s="270"/>
      <c r="T522" s="301"/>
      <c r="U522" s="270"/>
      <c r="V522" s="240"/>
      <c r="W522" s="238">
        <f t="shared" si="28"/>
        <v>0</v>
      </c>
      <c r="X522" s="249"/>
      <c r="Y522" s="223" t="str">
        <f>'[4]Development - i'!E521</f>
        <v>b. In First floor Precast Cupboard slab 20 mm tk.using standardised concrete mix M30 (annexure)</v>
      </c>
      <c r="Z522" s="223" t="str">
        <f t="shared" si="29"/>
        <v>-----------------------</v>
      </c>
    </row>
    <row r="523" spans="1:26" s="241" customFormat="1" ht="46.5">
      <c r="A523" s="358"/>
      <c r="B523" s="358" t="s">
        <v>657</v>
      </c>
      <c r="C523" s="358" t="s">
        <v>657</v>
      </c>
      <c r="D523" s="235" t="str">
        <f t="shared" si="27"/>
        <v xml:space="preserve"> OK</v>
      </c>
      <c r="E523" s="254" t="s">
        <v>2038</v>
      </c>
      <c r="F523" s="254" t="s">
        <v>657</v>
      </c>
      <c r="G523" s="298">
        <f>[3]Data!AD553</f>
        <v>1223.26</v>
      </c>
      <c r="H523" s="298" t="s">
        <v>1715</v>
      </c>
      <c r="I523" s="300"/>
      <c r="J523" s="300"/>
      <c r="K523" s="270"/>
      <c r="L523" s="301"/>
      <c r="M523" s="270"/>
      <c r="N523" s="270"/>
      <c r="O523" s="270"/>
      <c r="P523" s="270"/>
      <c r="Q523" s="270"/>
      <c r="R523" s="270"/>
      <c r="S523" s="270"/>
      <c r="T523" s="301"/>
      <c r="U523" s="270"/>
      <c r="V523" s="240"/>
      <c r="W523" s="238">
        <f t="shared" si="28"/>
        <v>0</v>
      </c>
      <c r="X523" s="249"/>
      <c r="Y523" s="223" t="str">
        <f>'[4]Development - i'!E522</f>
        <v>c. In Second floor Precast Cupboard slab 20 mm tk.using standardised concrete mix M30 (annexure)</v>
      </c>
      <c r="Z523" s="223" t="str">
        <f t="shared" si="29"/>
        <v>-----------------------</v>
      </c>
    </row>
    <row r="524" spans="1:26" s="241" customFormat="1" ht="46.5">
      <c r="A524" s="361"/>
      <c r="B524" s="361" t="s">
        <v>658</v>
      </c>
      <c r="C524" s="361" t="s">
        <v>658</v>
      </c>
      <c r="D524" s="235" t="str">
        <f t="shared" si="27"/>
        <v xml:space="preserve"> OK</v>
      </c>
      <c r="E524" s="254" t="s">
        <v>2039</v>
      </c>
      <c r="F524" s="254" t="s">
        <v>658</v>
      </c>
      <c r="G524" s="298">
        <f>[3]Data!AD554</f>
        <v>1227.01</v>
      </c>
      <c r="H524" s="298" t="s">
        <v>1715</v>
      </c>
      <c r="I524" s="300"/>
      <c r="J524" s="300"/>
      <c r="K524" s="270"/>
      <c r="L524" s="301"/>
      <c r="M524" s="270"/>
      <c r="N524" s="270"/>
      <c r="O524" s="270"/>
      <c r="P524" s="270"/>
      <c r="Q524" s="270"/>
      <c r="R524" s="270"/>
      <c r="S524" s="270"/>
      <c r="T524" s="301"/>
      <c r="U524" s="270"/>
      <c r="V524" s="240"/>
      <c r="W524" s="238">
        <f t="shared" si="28"/>
        <v>0</v>
      </c>
      <c r="X524" s="249"/>
      <c r="Y524" s="223" t="str">
        <f>'[4]Development - i'!E523</f>
        <v>d. In Third floor Precast Cupboard slab 20 mm tk.using standardised concrete mix M30 (annexure)</v>
      </c>
      <c r="Z524" s="223" t="str">
        <f t="shared" si="29"/>
        <v>-----------------------</v>
      </c>
    </row>
    <row r="525" spans="1:26" s="241" customFormat="1" ht="46.5">
      <c r="A525" s="362"/>
      <c r="B525" s="363" t="s">
        <v>659</v>
      </c>
      <c r="C525" s="363" t="s">
        <v>659</v>
      </c>
      <c r="D525" s="235" t="str">
        <f t="shared" si="27"/>
        <v xml:space="preserve"> OK</v>
      </c>
      <c r="E525" s="254" t="s">
        <v>2040</v>
      </c>
      <c r="F525" s="254" t="s">
        <v>659</v>
      </c>
      <c r="G525" s="298">
        <f>[3]Data!AD555</f>
        <v>1230.76</v>
      </c>
      <c r="H525" s="298" t="s">
        <v>1715</v>
      </c>
      <c r="I525" s="300"/>
      <c r="J525" s="300"/>
      <c r="K525" s="270"/>
      <c r="L525" s="301"/>
      <c r="M525" s="270"/>
      <c r="N525" s="270"/>
      <c r="O525" s="270"/>
      <c r="P525" s="270"/>
      <c r="Q525" s="270"/>
      <c r="R525" s="270"/>
      <c r="S525" s="270"/>
      <c r="T525" s="301"/>
      <c r="U525" s="270"/>
      <c r="V525" s="240"/>
      <c r="W525" s="238">
        <f t="shared" si="28"/>
        <v>0</v>
      </c>
      <c r="X525" s="249"/>
      <c r="Y525" s="223" t="str">
        <f>'[4]Development - i'!E524</f>
        <v>e.  In Fourth floor Precast Cupboard slab 20 mm tk.using standardised concrete mix M30 (annexure)</v>
      </c>
      <c r="Z525" s="223" t="str">
        <f t="shared" si="29"/>
        <v>-----------------------</v>
      </c>
    </row>
    <row r="526" spans="1:26" s="241" customFormat="1" ht="152.25">
      <c r="A526" s="359" t="s">
        <v>75</v>
      </c>
      <c r="B526" s="314" t="s">
        <v>980</v>
      </c>
      <c r="C526" s="314" t="s">
        <v>980</v>
      </c>
      <c r="D526" s="235" t="str">
        <f t="shared" si="27"/>
        <v xml:space="preserve"> OK</v>
      </c>
      <c r="E526" s="254" t="s">
        <v>980</v>
      </c>
      <c r="F526" s="254" t="s">
        <v>979</v>
      </c>
      <c r="G526" s="298"/>
      <c r="H526" s="298"/>
      <c r="I526" s="300"/>
      <c r="J526" s="300"/>
      <c r="K526" s="270"/>
      <c r="L526" s="301"/>
      <c r="M526" s="270"/>
      <c r="N526" s="270"/>
      <c r="O526" s="270"/>
      <c r="P526" s="270"/>
      <c r="Q526" s="270"/>
      <c r="R526" s="270"/>
      <c r="S526" s="270"/>
      <c r="T526" s="312"/>
      <c r="U526" s="270"/>
      <c r="V526" s="240"/>
      <c r="W526" s="238">
        <f t="shared" si="28"/>
        <v>0</v>
      </c>
      <c r="X526" s="249"/>
      <c r="Y526" s="223" t="str">
        <f>'[4]Development - i'!E525</f>
        <v>Precast cupboard slab 40 mm tkusing standardised concrete mix M30 (annexure)</v>
      </c>
      <c r="Z526" s="223" t="str">
        <f t="shared" si="29"/>
        <v>-----------------------</v>
      </c>
    </row>
    <row r="527" spans="1:26" s="241" customFormat="1" ht="69.75">
      <c r="A527" s="358"/>
      <c r="B527" s="306" t="s">
        <v>738</v>
      </c>
      <c r="C527" s="306" t="s">
        <v>738</v>
      </c>
      <c r="D527" s="235" t="str">
        <f t="shared" si="27"/>
        <v xml:space="preserve"> OK</v>
      </c>
      <c r="E527" s="254" t="s">
        <v>2041</v>
      </c>
      <c r="F527" s="254" t="s">
        <v>981</v>
      </c>
      <c r="G527" s="298">
        <f>[3]Data!AD573</f>
        <v>1352.23</v>
      </c>
      <c r="H527" s="298" t="s">
        <v>1715</v>
      </c>
      <c r="I527" s="300"/>
      <c r="J527" s="300"/>
      <c r="K527" s="270"/>
      <c r="L527" s="301"/>
      <c r="M527" s="270"/>
      <c r="N527" s="270"/>
      <c r="O527" s="270"/>
      <c r="P527" s="270"/>
      <c r="Q527" s="270"/>
      <c r="R527" s="270"/>
      <c r="S527" s="270"/>
      <c r="T527" s="301"/>
      <c r="U527" s="270"/>
      <c r="V527" s="240"/>
      <c r="W527" s="238">
        <f t="shared" si="28"/>
        <v>0</v>
      </c>
      <c r="X527" s="249"/>
      <c r="Y527" s="223" t="str">
        <f>'[4]Development - i'!E526</f>
        <v>a. In Foundation &amp; basement Precast cupboard slab 40 mm tkusing standardised concrete mix M30 (annexure)</v>
      </c>
      <c r="Z527" s="223" t="str">
        <f t="shared" si="29"/>
        <v>-----------------------</v>
      </c>
    </row>
    <row r="528" spans="1:26" s="241" customFormat="1" ht="46.5">
      <c r="A528" s="358"/>
      <c r="B528" s="358" t="s">
        <v>739</v>
      </c>
      <c r="C528" s="358" t="s">
        <v>739</v>
      </c>
      <c r="D528" s="235" t="str">
        <f t="shared" si="27"/>
        <v xml:space="preserve"> OK</v>
      </c>
      <c r="E528" s="254" t="s">
        <v>2042</v>
      </c>
      <c r="F528" s="254" t="s">
        <v>680</v>
      </c>
      <c r="G528" s="298">
        <f>[3]Data!AD575</f>
        <v>1356.04</v>
      </c>
      <c r="H528" s="298" t="s">
        <v>1715</v>
      </c>
      <c r="I528" s="300"/>
      <c r="J528" s="300"/>
      <c r="K528" s="270"/>
      <c r="L528" s="301"/>
      <c r="M528" s="270"/>
      <c r="N528" s="270"/>
      <c r="O528" s="270"/>
      <c r="P528" s="270"/>
      <c r="Q528" s="270"/>
      <c r="R528" s="270"/>
      <c r="S528" s="270"/>
      <c r="T528" s="301"/>
      <c r="U528" s="270"/>
      <c r="V528" s="240"/>
      <c r="W528" s="238">
        <f t="shared" si="28"/>
        <v>0</v>
      </c>
      <c r="X528" s="249"/>
      <c r="Y528" s="223" t="str">
        <f>'[4]Development - i'!E527</f>
        <v>b. In Ground floor Precast cupboard slab 40 mm tkusing standardised concrete mix M30 (annexure)</v>
      </c>
      <c r="Z528" s="223" t="str">
        <f t="shared" si="29"/>
        <v>-----------------------</v>
      </c>
    </row>
    <row r="529" spans="1:26" s="241" customFormat="1" ht="46.5">
      <c r="A529" s="358"/>
      <c r="B529" s="358" t="s">
        <v>740</v>
      </c>
      <c r="C529" s="358" t="s">
        <v>740</v>
      </c>
      <c r="D529" s="235" t="str">
        <f t="shared" si="27"/>
        <v xml:space="preserve"> OK</v>
      </c>
      <c r="E529" s="254" t="s">
        <v>2043</v>
      </c>
      <c r="F529" s="254" t="s">
        <v>649</v>
      </c>
      <c r="G529" s="298">
        <f>[3]Data!AD576</f>
        <v>1363.54</v>
      </c>
      <c r="H529" s="298" t="s">
        <v>1715</v>
      </c>
      <c r="I529" s="300"/>
      <c r="J529" s="300"/>
      <c r="K529" s="270"/>
      <c r="L529" s="301"/>
      <c r="M529" s="270"/>
      <c r="N529" s="270"/>
      <c r="O529" s="270"/>
      <c r="P529" s="270"/>
      <c r="Q529" s="270"/>
      <c r="R529" s="270"/>
      <c r="S529" s="270"/>
      <c r="T529" s="301"/>
      <c r="U529" s="270"/>
      <c r="V529" s="240"/>
      <c r="W529" s="238">
        <f t="shared" si="28"/>
        <v>0</v>
      </c>
      <c r="X529" s="249"/>
      <c r="Y529" s="223" t="str">
        <f>'[4]Development - i'!E528</f>
        <v>c. In First floor Precast cupboard slab 40 mm tkusing standardised concrete mix M30 (annexure)</v>
      </c>
      <c r="Z529" s="223" t="str">
        <f t="shared" si="29"/>
        <v>-----------------------</v>
      </c>
    </row>
    <row r="530" spans="1:26" s="241" customFormat="1" ht="46.5">
      <c r="A530" s="361"/>
      <c r="B530" s="361" t="s">
        <v>741</v>
      </c>
      <c r="C530" s="361" t="s">
        <v>741</v>
      </c>
      <c r="D530" s="235" t="str">
        <f t="shared" si="27"/>
        <v xml:space="preserve"> OK</v>
      </c>
      <c r="E530" s="254" t="s">
        <v>2044</v>
      </c>
      <c r="F530" s="254" t="s">
        <v>650</v>
      </c>
      <c r="G530" s="298">
        <f>[3]Data!AD577</f>
        <v>1371.04</v>
      </c>
      <c r="H530" s="298" t="s">
        <v>1715</v>
      </c>
      <c r="I530" s="300"/>
      <c r="J530" s="300"/>
      <c r="K530" s="270"/>
      <c r="L530" s="301"/>
      <c r="M530" s="270"/>
      <c r="N530" s="270"/>
      <c r="O530" s="270"/>
      <c r="P530" s="270"/>
      <c r="Q530" s="270"/>
      <c r="R530" s="270"/>
      <c r="S530" s="270"/>
      <c r="T530" s="301"/>
      <c r="U530" s="270"/>
      <c r="V530" s="240"/>
      <c r="W530" s="238">
        <f t="shared" si="28"/>
        <v>0</v>
      </c>
      <c r="X530" s="249"/>
      <c r="Y530" s="223" t="str">
        <f>'[4]Development - i'!E529</f>
        <v>d. In Second floor Precast cupboard slab 40 mm tkusing standardised concrete mix M30 (annexure)</v>
      </c>
      <c r="Z530" s="223" t="str">
        <f t="shared" si="29"/>
        <v>-----------------------</v>
      </c>
    </row>
    <row r="531" spans="1:26" s="241" customFormat="1" ht="46.5">
      <c r="A531" s="358"/>
      <c r="B531" s="358" t="s">
        <v>742</v>
      </c>
      <c r="C531" s="358" t="s">
        <v>742</v>
      </c>
      <c r="D531" s="235" t="str">
        <f t="shared" si="27"/>
        <v xml:space="preserve"> OK</v>
      </c>
      <c r="E531" s="254" t="s">
        <v>2045</v>
      </c>
      <c r="F531" s="254" t="s">
        <v>651</v>
      </c>
      <c r="G531" s="298">
        <f>[3]Data!AD578</f>
        <v>1378.54</v>
      </c>
      <c r="H531" s="298" t="s">
        <v>1715</v>
      </c>
      <c r="I531" s="300"/>
      <c r="J531" s="300"/>
      <c r="K531" s="270"/>
      <c r="L531" s="301"/>
      <c r="M531" s="270"/>
      <c r="N531" s="270"/>
      <c r="O531" s="270"/>
      <c r="P531" s="270"/>
      <c r="Q531" s="270"/>
      <c r="R531" s="270"/>
      <c r="S531" s="270"/>
      <c r="T531" s="301"/>
      <c r="U531" s="270"/>
      <c r="V531" s="240"/>
      <c r="W531" s="238">
        <f t="shared" si="28"/>
        <v>0</v>
      </c>
      <c r="X531" s="249"/>
      <c r="Y531" s="223" t="str">
        <f>'[4]Development - i'!E530</f>
        <v>e. In Third floor Precast cupboard slab 40 mm tkusing standardised concrete mix M30 (annexure)</v>
      </c>
      <c r="Z531" s="223" t="str">
        <f t="shared" si="29"/>
        <v>-----------------------</v>
      </c>
    </row>
    <row r="532" spans="1:26" s="241" customFormat="1" ht="46.5">
      <c r="A532" s="243"/>
      <c r="B532" s="358" t="s">
        <v>743</v>
      </c>
      <c r="C532" s="358" t="s">
        <v>743</v>
      </c>
      <c r="D532" s="235" t="str">
        <f t="shared" si="27"/>
        <v xml:space="preserve"> OK</v>
      </c>
      <c r="E532" s="254" t="s">
        <v>2046</v>
      </c>
      <c r="F532" s="254" t="s">
        <v>743</v>
      </c>
      <c r="G532" s="298">
        <f>[3]Data!AD579</f>
        <v>1386.04</v>
      </c>
      <c r="H532" s="298" t="s">
        <v>1715</v>
      </c>
      <c r="I532" s="300"/>
      <c r="J532" s="300"/>
      <c r="K532" s="270"/>
      <c r="L532" s="301"/>
      <c r="M532" s="270"/>
      <c r="N532" s="270"/>
      <c r="O532" s="270"/>
      <c r="P532" s="270"/>
      <c r="Q532" s="270"/>
      <c r="R532" s="270"/>
      <c r="S532" s="270"/>
      <c r="T532" s="301"/>
      <c r="U532" s="270"/>
      <c r="V532" s="240"/>
      <c r="W532" s="238">
        <f t="shared" si="28"/>
        <v>0</v>
      </c>
      <c r="X532" s="249"/>
      <c r="Y532" s="223" t="str">
        <f>'[4]Development - i'!E531</f>
        <v>f.  In Fourth floor Precast cupboard slab 40 mm tkusing standardised concrete mix M30 (annexure)</v>
      </c>
      <c r="Z532" s="223" t="str">
        <f t="shared" si="29"/>
        <v>-----------------------</v>
      </c>
    </row>
    <row r="533" spans="1:26" s="241" customFormat="1" ht="69.75">
      <c r="A533" s="243"/>
      <c r="B533" s="364" t="s">
        <v>2047</v>
      </c>
      <c r="C533" s="365" t="s">
        <v>982</v>
      </c>
      <c r="D533" s="235" t="str">
        <f t="shared" si="27"/>
        <v xml:space="preserve"> OK</v>
      </c>
      <c r="E533" s="254" t="s">
        <v>2048</v>
      </c>
      <c r="F533" s="254">
        <v>0</v>
      </c>
      <c r="G533" s="298"/>
      <c r="H533" s="298"/>
      <c r="I533" s="300"/>
      <c r="J533" s="300"/>
      <c r="K533" s="270"/>
      <c r="L533" s="301"/>
      <c r="M533" s="270"/>
      <c r="N533" s="270"/>
      <c r="O533" s="270"/>
      <c r="P533" s="270"/>
      <c r="Q533" s="270"/>
      <c r="R533" s="270"/>
      <c r="S533" s="270"/>
      <c r="T533" s="301"/>
      <c r="U533" s="270"/>
      <c r="V533" s="240"/>
      <c r="W533" s="238">
        <f t="shared" si="28"/>
        <v>0</v>
      </c>
      <c r="X533" s="249"/>
      <c r="Y533" s="223" t="str">
        <f>'[4]Development - i'!E532</f>
        <v>Precast Jally ventilator 50mm tk.using standardised concrete mix M30 (annexure) without vibrating charges</v>
      </c>
      <c r="Z533" s="223" t="str">
        <f t="shared" si="29"/>
        <v>-----------------------</v>
      </c>
    </row>
    <row r="534" spans="1:26" s="241" customFormat="1">
      <c r="A534" s="243"/>
      <c r="B534" s="366" t="s">
        <v>983</v>
      </c>
      <c r="C534" s="366" t="s">
        <v>983</v>
      </c>
      <c r="D534" s="235" t="str">
        <f t="shared" si="27"/>
        <v xml:space="preserve"> OK</v>
      </c>
      <c r="E534" s="254" t="s">
        <v>983</v>
      </c>
      <c r="F534" s="254" t="s">
        <v>701</v>
      </c>
      <c r="G534" s="298">
        <f>[3]Data!AD500</f>
        <v>2431.56</v>
      </c>
      <c r="H534" s="298" t="s">
        <v>1715</v>
      </c>
      <c r="I534" s="300"/>
      <c r="J534" s="300"/>
      <c r="K534" s="270"/>
      <c r="L534" s="301"/>
      <c r="M534" s="270"/>
      <c r="N534" s="270"/>
      <c r="O534" s="270"/>
      <c r="P534" s="270"/>
      <c r="Q534" s="270"/>
      <c r="R534" s="270"/>
      <c r="S534" s="270"/>
      <c r="T534" s="301"/>
      <c r="U534" s="270"/>
      <c r="V534" s="240"/>
      <c r="W534" s="238">
        <f t="shared" si="28"/>
        <v>0</v>
      </c>
      <c r="X534" s="249"/>
      <c r="Y534" s="223" t="str">
        <f>'[4]Development - i'!E533</f>
        <v xml:space="preserve">a. In Ground floor </v>
      </c>
      <c r="Z534" s="223" t="str">
        <f t="shared" si="29"/>
        <v>-----------------------</v>
      </c>
    </row>
    <row r="535" spans="1:26" s="241" customFormat="1">
      <c r="A535" s="243"/>
      <c r="B535" s="367" t="s">
        <v>656</v>
      </c>
      <c r="C535" s="366" t="s">
        <v>656</v>
      </c>
      <c r="D535" s="235" t="str">
        <f t="shared" si="27"/>
        <v xml:space="preserve"> OK</v>
      </c>
      <c r="E535" s="254" t="s">
        <v>656</v>
      </c>
      <c r="F535" s="254">
        <v>0</v>
      </c>
      <c r="G535" s="298">
        <f>[3]Data!AD501</f>
        <v>2438.5500000000002</v>
      </c>
      <c r="H535" s="298" t="s">
        <v>1715</v>
      </c>
      <c r="I535" s="300"/>
      <c r="J535" s="300"/>
      <c r="K535" s="270"/>
      <c r="L535" s="301"/>
      <c r="M535" s="270"/>
      <c r="N535" s="270"/>
      <c r="O535" s="270"/>
      <c r="P535" s="270"/>
      <c r="Q535" s="270"/>
      <c r="R535" s="270"/>
      <c r="S535" s="270"/>
      <c r="T535" s="301"/>
      <c r="U535" s="270"/>
      <c r="V535" s="240"/>
      <c r="W535" s="238">
        <f t="shared" si="28"/>
        <v>0</v>
      </c>
      <c r="X535" s="249"/>
      <c r="Y535" s="223" t="str">
        <f>'[4]Development - i'!E534</f>
        <v>b. In First floor</v>
      </c>
      <c r="Z535" s="223" t="str">
        <f t="shared" si="29"/>
        <v>-----------------------</v>
      </c>
    </row>
    <row r="536" spans="1:26" s="241" customFormat="1">
      <c r="A536" s="243"/>
      <c r="B536" s="358" t="s">
        <v>657</v>
      </c>
      <c r="C536" s="368" t="s">
        <v>657</v>
      </c>
      <c r="D536" s="235" t="str">
        <f t="shared" ref="D536:D600" si="30">IF(B536=C536," OK","nun")</f>
        <v xml:space="preserve"> OK</v>
      </c>
      <c r="E536" s="254" t="s">
        <v>657</v>
      </c>
      <c r="F536" s="254" t="s">
        <v>714</v>
      </c>
      <c r="G536" s="298">
        <f>[3]Data!AD502</f>
        <v>2445.54</v>
      </c>
      <c r="H536" s="298" t="s">
        <v>1715</v>
      </c>
      <c r="I536" s="300"/>
      <c r="J536" s="300"/>
      <c r="K536" s="270"/>
      <c r="L536" s="301"/>
      <c r="M536" s="270"/>
      <c r="N536" s="270"/>
      <c r="O536" s="270"/>
      <c r="P536" s="270"/>
      <c r="Q536" s="270"/>
      <c r="R536" s="270"/>
      <c r="S536" s="270"/>
      <c r="T536" s="301"/>
      <c r="U536" s="270"/>
      <c r="V536" s="240"/>
      <c r="W536" s="238">
        <f t="shared" si="28"/>
        <v>0</v>
      </c>
      <c r="X536" s="249"/>
      <c r="Y536" s="223" t="str">
        <f>'[4]Development - i'!E535</f>
        <v>c. In Second floor</v>
      </c>
      <c r="Z536" s="223" t="str">
        <f t="shared" si="29"/>
        <v>-----------------------</v>
      </c>
    </row>
    <row r="537" spans="1:26" s="241" customFormat="1">
      <c r="A537" s="243"/>
      <c r="B537" s="361" t="s">
        <v>658</v>
      </c>
      <c r="C537" s="368" t="s">
        <v>658</v>
      </c>
      <c r="D537" s="235" t="str">
        <f t="shared" si="30"/>
        <v xml:space="preserve"> OK</v>
      </c>
      <c r="E537" s="254" t="s">
        <v>658</v>
      </c>
      <c r="F537" s="254" t="s">
        <v>715</v>
      </c>
      <c r="G537" s="298">
        <f>[3]Data!AD503</f>
        <v>2452.5300000000002</v>
      </c>
      <c r="H537" s="298" t="s">
        <v>1715</v>
      </c>
      <c r="I537" s="300"/>
      <c r="J537" s="300"/>
      <c r="K537" s="270"/>
      <c r="L537" s="301"/>
      <c r="M537" s="270"/>
      <c r="N537" s="270"/>
      <c r="O537" s="270"/>
      <c r="P537" s="270"/>
      <c r="Q537" s="270"/>
      <c r="R537" s="270"/>
      <c r="S537" s="270"/>
      <c r="T537" s="301"/>
      <c r="U537" s="270"/>
      <c r="V537" s="240"/>
      <c r="W537" s="238">
        <f t="shared" si="28"/>
        <v>0</v>
      </c>
      <c r="X537" s="249"/>
      <c r="Y537" s="223" t="str">
        <f>'[4]Development - i'!E536</f>
        <v>d. In Third floor</v>
      </c>
      <c r="Z537" s="223" t="str">
        <f t="shared" si="29"/>
        <v>-----------------------</v>
      </c>
    </row>
    <row r="538" spans="1:26" s="241" customFormat="1">
      <c r="A538" s="243"/>
      <c r="B538" s="363" t="s">
        <v>659</v>
      </c>
      <c r="C538" s="368" t="s">
        <v>659</v>
      </c>
      <c r="D538" s="235" t="str">
        <f t="shared" si="30"/>
        <v xml:space="preserve"> OK</v>
      </c>
      <c r="E538" s="254" t="s">
        <v>659</v>
      </c>
      <c r="F538" s="254">
        <v>0</v>
      </c>
      <c r="G538" s="298">
        <f>[3]Data!AD504</f>
        <v>2459.52</v>
      </c>
      <c r="H538" s="298" t="s">
        <v>1715</v>
      </c>
      <c r="I538" s="300"/>
      <c r="J538" s="300"/>
      <c r="K538" s="270"/>
      <c r="L538" s="301"/>
      <c r="M538" s="270"/>
      <c r="N538" s="270"/>
      <c r="O538" s="270"/>
      <c r="P538" s="270"/>
      <c r="Q538" s="270"/>
      <c r="R538" s="270"/>
      <c r="S538" s="270"/>
      <c r="T538" s="301"/>
      <c r="U538" s="270"/>
      <c r="V538" s="240"/>
      <c r="W538" s="238">
        <f t="shared" si="28"/>
        <v>0</v>
      </c>
      <c r="X538" s="249"/>
      <c r="Y538" s="223" t="str">
        <f>'[4]Development - i'!E537</f>
        <v>e.  In Fourth floor</v>
      </c>
      <c r="Z538" s="223" t="str">
        <f t="shared" si="29"/>
        <v>-----------------------</v>
      </c>
    </row>
    <row r="539" spans="1:26" s="241" customFormat="1" ht="42">
      <c r="A539" s="243"/>
      <c r="B539" s="364" t="s">
        <v>2049</v>
      </c>
      <c r="C539" s="364" t="s">
        <v>2049</v>
      </c>
      <c r="D539" s="235" t="str">
        <f t="shared" si="30"/>
        <v xml:space="preserve"> OK</v>
      </c>
      <c r="E539" s="254" t="s">
        <v>2050</v>
      </c>
      <c r="F539" s="254">
        <v>0</v>
      </c>
      <c r="G539" s="298"/>
      <c r="H539" s="298"/>
      <c r="I539" s="300"/>
      <c r="J539" s="300"/>
      <c r="K539" s="270"/>
      <c r="L539" s="301"/>
      <c r="M539" s="270"/>
      <c r="N539" s="270"/>
      <c r="O539" s="270"/>
      <c r="P539" s="270"/>
      <c r="Q539" s="270"/>
      <c r="R539" s="270"/>
      <c r="S539" s="270"/>
      <c r="T539" s="301"/>
      <c r="U539" s="270"/>
      <c r="V539" s="240"/>
      <c r="W539" s="238">
        <f t="shared" si="28"/>
        <v>0</v>
      </c>
      <c r="X539" s="249"/>
      <c r="Y539" s="223" t="str">
        <f>'[4]Development - i'!E538</f>
        <v>Precast Jally ventilator 50mm tk.using standardised concrete mix M25 (annexure) without vibrating charges</v>
      </c>
      <c r="Z539" s="223" t="str">
        <f t="shared" si="29"/>
        <v>-----------------------</v>
      </c>
    </row>
    <row r="540" spans="1:26" s="241" customFormat="1">
      <c r="A540" s="243"/>
      <c r="B540" s="366" t="s">
        <v>983</v>
      </c>
      <c r="C540" s="366" t="s">
        <v>983</v>
      </c>
      <c r="D540" s="235" t="str">
        <f t="shared" si="30"/>
        <v xml:space="preserve"> OK</v>
      </c>
      <c r="E540" s="254" t="s">
        <v>983</v>
      </c>
      <c r="F540" s="254">
        <v>0</v>
      </c>
      <c r="G540" s="298">
        <f>[3]Data!AD534</f>
        <v>2418.66</v>
      </c>
      <c r="H540" s="298" t="s">
        <v>1715</v>
      </c>
      <c r="I540" s="300"/>
      <c r="J540" s="300"/>
      <c r="K540" s="270"/>
      <c r="L540" s="301"/>
      <c r="M540" s="270"/>
      <c r="N540" s="270"/>
      <c r="O540" s="270"/>
      <c r="P540" s="270"/>
      <c r="Q540" s="270"/>
      <c r="R540" s="270"/>
      <c r="S540" s="270"/>
      <c r="T540" s="301"/>
      <c r="U540" s="270"/>
      <c r="V540" s="240"/>
      <c r="W540" s="238">
        <f t="shared" si="28"/>
        <v>0</v>
      </c>
      <c r="X540" s="249"/>
      <c r="Y540" s="223" t="str">
        <f>'[4]Development - i'!E539</f>
        <v xml:space="preserve">a. In Ground floor </v>
      </c>
      <c r="Z540" s="223" t="str">
        <f t="shared" si="29"/>
        <v>-----------------------</v>
      </c>
    </row>
    <row r="541" spans="1:26" s="241" customFormat="1">
      <c r="A541" s="243"/>
      <c r="B541" s="367" t="s">
        <v>656</v>
      </c>
      <c r="C541" s="367" t="s">
        <v>656</v>
      </c>
      <c r="D541" s="235" t="str">
        <f t="shared" si="30"/>
        <v xml:space="preserve"> OK</v>
      </c>
      <c r="E541" s="254" t="s">
        <v>656</v>
      </c>
      <c r="F541" s="254">
        <v>0</v>
      </c>
      <c r="G541" s="298">
        <f>[3]Data!AD535</f>
        <v>2425.65</v>
      </c>
      <c r="H541" s="298" t="s">
        <v>1715</v>
      </c>
      <c r="I541" s="300"/>
      <c r="J541" s="300"/>
      <c r="K541" s="270"/>
      <c r="L541" s="301"/>
      <c r="M541" s="270"/>
      <c r="N541" s="270"/>
      <c r="O541" s="270"/>
      <c r="P541" s="270"/>
      <c r="Q541" s="270"/>
      <c r="R541" s="270"/>
      <c r="S541" s="270"/>
      <c r="T541" s="301"/>
      <c r="U541" s="270"/>
      <c r="V541" s="240"/>
      <c r="W541" s="238">
        <f t="shared" si="28"/>
        <v>0</v>
      </c>
      <c r="X541" s="249"/>
      <c r="Y541" s="223" t="str">
        <f>'[4]Development - i'!E540</f>
        <v>b. In First floor</v>
      </c>
      <c r="Z541" s="223" t="str">
        <f t="shared" si="29"/>
        <v>-----------------------</v>
      </c>
    </row>
    <row r="542" spans="1:26" s="241" customFormat="1">
      <c r="A542" s="243"/>
      <c r="B542" s="358" t="s">
        <v>657</v>
      </c>
      <c r="C542" s="358" t="s">
        <v>657</v>
      </c>
      <c r="D542" s="235" t="str">
        <f t="shared" si="30"/>
        <v xml:space="preserve"> OK</v>
      </c>
      <c r="E542" s="254" t="s">
        <v>657</v>
      </c>
      <c r="F542" s="254">
        <v>0</v>
      </c>
      <c r="G542" s="298">
        <f>[3]Data!AD536</f>
        <v>2432.64</v>
      </c>
      <c r="H542" s="298" t="s">
        <v>1715</v>
      </c>
      <c r="I542" s="300"/>
      <c r="J542" s="300"/>
      <c r="K542" s="270"/>
      <c r="L542" s="301"/>
      <c r="M542" s="270"/>
      <c r="N542" s="270"/>
      <c r="O542" s="270"/>
      <c r="P542" s="270"/>
      <c r="Q542" s="270"/>
      <c r="R542" s="270"/>
      <c r="S542" s="270"/>
      <c r="T542" s="301"/>
      <c r="U542" s="270"/>
      <c r="V542" s="240"/>
      <c r="W542" s="238">
        <f t="shared" si="28"/>
        <v>0</v>
      </c>
      <c r="X542" s="249"/>
      <c r="Y542" s="223" t="str">
        <f>'[4]Development - i'!E541</f>
        <v>c. In Second floor</v>
      </c>
      <c r="Z542" s="223" t="str">
        <f t="shared" si="29"/>
        <v>-----------------------</v>
      </c>
    </row>
    <row r="543" spans="1:26" s="241" customFormat="1">
      <c r="A543" s="243"/>
      <c r="B543" s="361" t="s">
        <v>658</v>
      </c>
      <c r="C543" s="361" t="s">
        <v>658</v>
      </c>
      <c r="D543" s="235" t="str">
        <f t="shared" si="30"/>
        <v xml:space="preserve"> OK</v>
      </c>
      <c r="E543" s="254" t="s">
        <v>658</v>
      </c>
      <c r="F543" s="254">
        <v>0</v>
      </c>
      <c r="G543" s="298">
        <f>[3]Data!AD537</f>
        <v>2439.63</v>
      </c>
      <c r="H543" s="298" t="s">
        <v>1715</v>
      </c>
      <c r="I543" s="300"/>
      <c r="J543" s="300"/>
      <c r="K543" s="270"/>
      <c r="L543" s="301"/>
      <c r="M543" s="270"/>
      <c r="N543" s="270"/>
      <c r="O543" s="270"/>
      <c r="P543" s="270"/>
      <c r="Q543" s="270"/>
      <c r="R543" s="270"/>
      <c r="S543" s="270"/>
      <c r="T543" s="301"/>
      <c r="U543" s="270"/>
      <c r="V543" s="240"/>
      <c r="W543" s="238">
        <f t="shared" si="28"/>
        <v>0</v>
      </c>
      <c r="X543" s="249"/>
      <c r="Y543" s="223" t="str">
        <f>'[4]Development - i'!E542</f>
        <v>d. In Third floor</v>
      </c>
      <c r="Z543" s="223" t="str">
        <f t="shared" si="29"/>
        <v>-----------------------</v>
      </c>
    </row>
    <row r="544" spans="1:26" s="241" customFormat="1">
      <c r="A544" s="243"/>
      <c r="B544" s="363" t="s">
        <v>659</v>
      </c>
      <c r="C544" s="363" t="s">
        <v>659</v>
      </c>
      <c r="D544" s="235" t="str">
        <f t="shared" si="30"/>
        <v xml:space="preserve"> OK</v>
      </c>
      <c r="E544" s="254" t="s">
        <v>659</v>
      </c>
      <c r="F544" s="254">
        <v>0</v>
      </c>
      <c r="G544" s="298">
        <f>[3]Data!AD538</f>
        <v>2446.62</v>
      </c>
      <c r="H544" s="298" t="s">
        <v>1715</v>
      </c>
      <c r="I544" s="300"/>
      <c r="J544" s="300"/>
      <c r="K544" s="270"/>
      <c r="L544" s="301"/>
      <c r="M544" s="270"/>
      <c r="N544" s="270"/>
      <c r="O544" s="270"/>
      <c r="P544" s="270"/>
      <c r="Q544" s="270"/>
      <c r="R544" s="270"/>
      <c r="S544" s="270"/>
      <c r="T544" s="301"/>
      <c r="U544" s="270"/>
      <c r="V544" s="240"/>
      <c r="W544" s="238">
        <f t="shared" si="28"/>
        <v>0</v>
      </c>
      <c r="X544" s="249"/>
      <c r="Y544" s="223" t="str">
        <f>'[4]Development - i'!E543</f>
        <v>e.  In Fourth floor</v>
      </c>
      <c r="Z544" s="223" t="str">
        <f t="shared" si="29"/>
        <v>-----------------------</v>
      </c>
    </row>
    <row r="545" spans="1:26" s="246" customFormat="1" ht="108.75">
      <c r="A545" s="369"/>
      <c r="B545" s="290" t="s">
        <v>2051</v>
      </c>
      <c r="C545" s="290" t="s">
        <v>984</v>
      </c>
      <c r="D545" s="235" t="str">
        <f t="shared" si="30"/>
        <v xml:space="preserve"> OK</v>
      </c>
      <c r="E545" s="254" t="s">
        <v>2052</v>
      </c>
      <c r="F545" s="254" t="s">
        <v>985</v>
      </c>
      <c r="G545" s="298"/>
      <c r="H545" s="298"/>
      <c r="I545" s="300"/>
      <c r="J545" s="300"/>
      <c r="K545" s="270"/>
      <c r="L545" s="301"/>
      <c r="M545" s="270"/>
      <c r="N545" s="270"/>
      <c r="O545" s="270"/>
      <c r="P545" s="270"/>
      <c r="Q545" s="270"/>
      <c r="R545" s="270"/>
      <c r="S545" s="270"/>
      <c r="T545" s="301"/>
      <c r="U545" s="270"/>
      <c r="V545" s="240"/>
      <c r="W545" s="238">
        <f t="shared" si="28"/>
        <v>0</v>
      </c>
      <c r="X545" s="248"/>
      <c r="Y545" s="223" t="str">
        <f>'[4]Development - i'!E544</f>
        <v>Precast Jally ventilator 50mm tk.using standardised concrete mix M20 (annexure) without vibrating charges</v>
      </c>
      <c r="Z545" s="223" t="str">
        <f t="shared" si="29"/>
        <v>-----------------------</v>
      </c>
    </row>
    <row r="546" spans="1:26" s="246" customFormat="1" ht="69.75">
      <c r="A546" s="320"/>
      <c r="B546" s="290" t="s">
        <v>961</v>
      </c>
      <c r="C546" s="290" t="s">
        <v>961</v>
      </c>
      <c r="D546" s="235" t="str">
        <f t="shared" si="30"/>
        <v xml:space="preserve"> OK</v>
      </c>
      <c r="E546" s="254" t="s">
        <v>2053</v>
      </c>
      <c r="F546" s="254" t="s">
        <v>961</v>
      </c>
      <c r="G546" s="298">
        <f>[3]Data!X500</f>
        <v>2411.8000000000002</v>
      </c>
      <c r="H546" s="298" t="s">
        <v>1715</v>
      </c>
      <c r="I546" s="300"/>
      <c r="J546" s="300"/>
      <c r="K546" s="270"/>
      <c r="L546" s="301"/>
      <c r="M546" s="270"/>
      <c r="N546" s="270"/>
      <c r="O546" s="270"/>
      <c r="P546" s="270"/>
      <c r="Q546" s="270"/>
      <c r="R546" s="270"/>
      <c r="S546" s="270"/>
      <c r="T546" s="301"/>
      <c r="U546" s="270"/>
      <c r="V546" s="240"/>
      <c r="W546" s="238">
        <f t="shared" si="28"/>
        <v>0</v>
      </c>
      <c r="X546" s="248"/>
      <c r="Y546" s="223" t="str">
        <f>'[4]Development - i'!E545</f>
        <v>a. In Ground Floor Precast Jally ventilator 50mm tk.using standardised concrete mix M20 (annexure) without vibrating charges</v>
      </c>
      <c r="Z546" s="223" t="str">
        <f t="shared" si="29"/>
        <v>-----------------------</v>
      </c>
    </row>
    <row r="547" spans="1:26" s="246" customFormat="1" ht="69.75">
      <c r="A547" s="320"/>
      <c r="B547" s="290" t="s">
        <v>656</v>
      </c>
      <c r="C547" s="290" t="s">
        <v>656</v>
      </c>
      <c r="D547" s="235" t="str">
        <f t="shared" si="30"/>
        <v xml:space="preserve"> OK</v>
      </c>
      <c r="E547" s="254" t="s">
        <v>2054</v>
      </c>
      <c r="F547" s="254" t="s">
        <v>656</v>
      </c>
      <c r="G547" s="298">
        <f>[3]Data!X501</f>
        <v>2418.79</v>
      </c>
      <c r="H547" s="298" t="s">
        <v>1715</v>
      </c>
      <c r="I547" s="300"/>
      <c r="J547" s="300"/>
      <c r="K547" s="270"/>
      <c r="L547" s="301"/>
      <c r="M547" s="270"/>
      <c r="N547" s="270"/>
      <c r="O547" s="270"/>
      <c r="P547" s="270"/>
      <c r="Q547" s="270"/>
      <c r="R547" s="270"/>
      <c r="S547" s="270"/>
      <c r="T547" s="301"/>
      <c r="U547" s="270"/>
      <c r="V547" s="240"/>
      <c r="W547" s="238">
        <f t="shared" si="28"/>
        <v>0</v>
      </c>
      <c r="X547" s="248"/>
      <c r="Y547" s="223" t="str">
        <f>'[4]Development - i'!E546</f>
        <v>b. In First floor Precast Jally ventilator 50mm tk.using standardised concrete mix M20 (annexure) without vibrating charges</v>
      </c>
      <c r="Z547" s="223" t="str">
        <f t="shared" si="29"/>
        <v>-----------------------</v>
      </c>
    </row>
    <row r="548" spans="1:26" s="246" customFormat="1" ht="69.75">
      <c r="A548" s="320"/>
      <c r="B548" s="290" t="s">
        <v>657</v>
      </c>
      <c r="C548" s="290" t="s">
        <v>657</v>
      </c>
      <c r="D548" s="235" t="str">
        <f t="shared" si="30"/>
        <v xml:space="preserve"> OK</v>
      </c>
      <c r="E548" s="254" t="s">
        <v>2055</v>
      </c>
      <c r="F548" s="254" t="s">
        <v>657</v>
      </c>
      <c r="G548" s="298">
        <f>[3]Data!X502</f>
        <v>2425.7800000000002</v>
      </c>
      <c r="H548" s="298" t="s">
        <v>1715</v>
      </c>
      <c r="I548" s="300"/>
      <c r="J548" s="300"/>
      <c r="K548" s="270"/>
      <c r="L548" s="301"/>
      <c r="M548" s="270"/>
      <c r="N548" s="270"/>
      <c r="O548" s="270"/>
      <c r="P548" s="270"/>
      <c r="Q548" s="270"/>
      <c r="R548" s="270"/>
      <c r="S548" s="270"/>
      <c r="T548" s="301"/>
      <c r="U548" s="270"/>
      <c r="V548" s="240"/>
      <c r="W548" s="238">
        <f t="shared" si="28"/>
        <v>0</v>
      </c>
      <c r="X548" s="248"/>
      <c r="Y548" s="223" t="str">
        <f>'[4]Development - i'!E547</f>
        <v>c. In Second floor Precast Jally ventilator 50mm tk.using standardised concrete mix M20 (annexure) without vibrating charges</v>
      </c>
      <c r="Z548" s="223" t="str">
        <f t="shared" si="29"/>
        <v>-----------------------</v>
      </c>
    </row>
    <row r="549" spans="1:26" s="246" customFormat="1" ht="69.75">
      <c r="A549" s="320"/>
      <c r="B549" s="290" t="s">
        <v>658</v>
      </c>
      <c r="C549" s="290" t="s">
        <v>658</v>
      </c>
      <c r="D549" s="235" t="str">
        <f t="shared" si="30"/>
        <v xml:space="preserve"> OK</v>
      </c>
      <c r="E549" s="254" t="s">
        <v>2056</v>
      </c>
      <c r="F549" s="254" t="s">
        <v>658</v>
      </c>
      <c r="G549" s="298">
        <f>[3]Data!X503</f>
        <v>2432.77</v>
      </c>
      <c r="H549" s="298" t="s">
        <v>1715</v>
      </c>
      <c r="I549" s="300"/>
      <c r="J549" s="300"/>
      <c r="K549" s="270"/>
      <c r="L549" s="301"/>
      <c r="M549" s="270"/>
      <c r="N549" s="270"/>
      <c r="O549" s="270"/>
      <c r="P549" s="270"/>
      <c r="Q549" s="270"/>
      <c r="R549" s="270"/>
      <c r="S549" s="270"/>
      <c r="T549" s="301"/>
      <c r="U549" s="270"/>
      <c r="V549" s="240"/>
      <c r="W549" s="238">
        <f t="shared" si="28"/>
        <v>0</v>
      </c>
      <c r="X549" s="248"/>
      <c r="Y549" s="223" t="str">
        <f>'[4]Development - i'!E548</f>
        <v>d. In Third floor Precast Jally ventilator 50mm tk.using standardised concrete mix M20 (annexure) without vibrating charges</v>
      </c>
      <c r="Z549" s="223" t="str">
        <f t="shared" si="29"/>
        <v>-----------------------</v>
      </c>
    </row>
    <row r="550" spans="1:26" s="246" customFormat="1" ht="69.75">
      <c r="A550" s="370"/>
      <c r="B550" s="290" t="s">
        <v>659</v>
      </c>
      <c r="C550" s="290" t="s">
        <v>659</v>
      </c>
      <c r="D550" s="235" t="str">
        <f t="shared" si="30"/>
        <v xml:space="preserve"> OK</v>
      </c>
      <c r="E550" s="254" t="s">
        <v>2057</v>
      </c>
      <c r="F550" s="254" t="s">
        <v>659</v>
      </c>
      <c r="G550" s="298">
        <f>[3]Data!X504</f>
        <v>2439.7600000000002</v>
      </c>
      <c r="H550" s="298" t="s">
        <v>1715</v>
      </c>
      <c r="I550" s="300"/>
      <c r="J550" s="300"/>
      <c r="K550" s="270"/>
      <c r="L550" s="301"/>
      <c r="M550" s="270"/>
      <c r="N550" s="270"/>
      <c r="O550" s="270"/>
      <c r="P550" s="270"/>
      <c r="Q550" s="270"/>
      <c r="R550" s="270"/>
      <c r="S550" s="270"/>
      <c r="T550" s="301"/>
      <c r="U550" s="270"/>
      <c r="V550" s="240"/>
      <c r="W550" s="238">
        <f t="shared" si="28"/>
        <v>0</v>
      </c>
      <c r="X550" s="248"/>
      <c r="Y550" s="223" t="str">
        <f>'[4]Development - i'!E549</f>
        <v>e.  In Fourth floor Precast Jally ventilator 50mm tk.using standardised concrete mix M20 (annexure) without vibrating charges</v>
      </c>
      <c r="Z550" s="223" t="str">
        <f t="shared" si="29"/>
        <v>-----------------------</v>
      </c>
    </row>
    <row r="551" spans="1:26" s="251" customFormat="1" ht="69.75">
      <c r="A551" s="371"/>
      <c r="B551" s="364" t="s">
        <v>660</v>
      </c>
      <c r="C551" s="364" t="s">
        <v>660</v>
      </c>
      <c r="D551" s="235" t="str">
        <f t="shared" si="30"/>
        <v xml:space="preserve"> OK</v>
      </c>
      <c r="E551" s="254" t="s">
        <v>2058</v>
      </c>
      <c r="F551" s="254" t="s">
        <v>660</v>
      </c>
      <c r="G551" s="298">
        <f>[3]Data!X505</f>
        <v>0</v>
      </c>
      <c r="H551" s="298" t="s">
        <v>1715</v>
      </c>
      <c r="I551" s="300"/>
      <c r="J551" s="300"/>
      <c r="K551" s="270"/>
      <c r="L551" s="301"/>
      <c r="M551" s="270"/>
      <c r="N551" s="270"/>
      <c r="O551" s="270"/>
      <c r="P551" s="270"/>
      <c r="Q551" s="270"/>
      <c r="R551" s="270"/>
      <c r="S551" s="270"/>
      <c r="T551" s="301"/>
      <c r="U551" s="270"/>
      <c r="V551" s="240"/>
      <c r="W551" s="238">
        <f t="shared" si="28"/>
        <v>0</v>
      </c>
      <c r="X551" s="250"/>
      <c r="Y551" s="223" t="str">
        <f>'[4]Development - i'!E550</f>
        <v>f.  In Fifth floor Precast Jally ventilator 50mm tk.using standardised concrete mix M20 (annexure) without vibrating charges</v>
      </c>
      <c r="Z551" s="223" t="str">
        <f t="shared" si="29"/>
        <v>-----------------------</v>
      </c>
    </row>
    <row r="552" spans="1:26" s="239" customFormat="1" ht="108.75">
      <c r="A552" s="347">
        <v>4.0999999999999996</v>
      </c>
      <c r="B552" s="357" t="s">
        <v>280</v>
      </c>
      <c r="C552" s="357" t="s">
        <v>280</v>
      </c>
      <c r="D552" s="235" t="str">
        <f t="shared" si="30"/>
        <v xml:space="preserve"> OK</v>
      </c>
      <c r="E552" s="254" t="s">
        <v>280</v>
      </c>
      <c r="F552" s="254" t="s">
        <v>986</v>
      </c>
      <c r="G552" s="298"/>
      <c r="H552" s="298"/>
      <c r="I552" s="300"/>
      <c r="J552" s="300"/>
      <c r="K552" s="270"/>
      <c r="L552" s="301"/>
      <c r="M552" s="270"/>
      <c r="N552" s="270"/>
      <c r="O552" s="270"/>
      <c r="P552" s="270"/>
      <c r="Q552" s="270"/>
      <c r="R552" s="270"/>
      <c r="S552" s="270"/>
      <c r="T552" s="301"/>
      <c r="U552" s="270"/>
      <c r="V552" s="240"/>
      <c r="W552" s="238">
        <f t="shared" si="28"/>
        <v>0</v>
      </c>
      <c r="Y552" s="223" t="str">
        <f>'[4]Development - i'!E551</f>
        <v>Standardised concrete Mix M20 Grade Concrete</v>
      </c>
      <c r="Z552" s="223" t="str">
        <f t="shared" si="29"/>
        <v>-----------------------</v>
      </c>
    </row>
    <row r="553" spans="1:26" s="239" customFormat="1" ht="60.75" customHeight="1">
      <c r="A553" s="347"/>
      <c r="B553" s="357"/>
      <c r="C553" s="357"/>
      <c r="D553" s="235"/>
      <c r="E553" s="254" t="s">
        <v>2059</v>
      </c>
      <c r="F553" s="254" t="s">
        <v>988</v>
      </c>
      <c r="G553" s="298">
        <f>[3]Data!X740</f>
        <v>6963.2</v>
      </c>
      <c r="H553" s="298" t="s">
        <v>19</v>
      </c>
      <c r="I553" s="300"/>
      <c r="J553" s="300"/>
      <c r="K553" s="270"/>
      <c r="L553" s="301"/>
      <c r="M553" s="270"/>
      <c r="N553" s="270"/>
      <c r="O553" s="270"/>
      <c r="P553" s="270"/>
      <c r="Q553" s="270"/>
      <c r="R553" s="270"/>
      <c r="S553" s="270"/>
      <c r="T553" s="301"/>
      <c r="U553" s="270"/>
      <c r="V553" s="240"/>
      <c r="W553" s="238"/>
      <c r="Y553" s="223" t="str">
        <f>'[4]Development - i'!E552</f>
        <v>A. In Foundation and basement 1.5 m to 4.0 m Standardised concrete Mix M20 Grade Concrete</v>
      </c>
      <c r="Z553" s="223" t="str">
        <f t="shared" si="29"/>
        <v>-----------------------</v>
      </c>
    </row>
    <row r="554" spans="1:26" s="239" customFormat="1" ht="46.5">
      <c r="A554" s="347"/>
      <c r="B554" s="290" t="s">
        <v>692</v>
      </c>
      <c r="C554" s="290" t="s">
        <v>692</v>
      </c>
      <c r="D554" s="235" t="str">
        <f t="shared" si="30"/>
        <v xml:space="preserve"> OK</v>
      </c>
      <c r="E554" s="254" t="s">
        <v>2060</v>
      </c>
      <c r="F554" s="254" t="s">
        <v>692</v>
      </c>
      <c r="G554" s="298">
        <f>[3]Data!X732</f>
        <v>6874.7</v>
      </c>
      <c r="H554" s="298" t="s">
        <v>19</v>
      </c>
      <c r="I554" s="300"/>
      <c r="J554" s="300"/>
      <c r="K554" s="270"/>
      <c r="L554" s="301"/>
      <c r="M554" s="270"/>
      <c r="N554" s="270"/>
      <c r="O554" s="270"/>
      <c r="P554" s="270"/>
      <c r="Q554" s="270"/>
      <c r="R554" s="270"/>
      <c r="S554" s="270"/>
      <c r="T554" s="301"/>
      <c r="U554" s="270"/>
      <c r="V554" s="240"/>
      <c r="W554" s="238">
        <f t="shared" ref="W554:W617" si="31">ROUND(G555,2)*ROUND(V554,2)</f>
        <v>0</v>
      </c>
      <c r="Y554" s="223" t="str">
        <f>'[4]Development - i'!E553</f>
        <v>a. In Foundation and basement Standardised concrete Mix M20 Grade Concrete</v>
      </c>
      <c r="Z554" s="223" t="str">
        <f t="shared" si="29"/>
        <v>-----------------------</v>
      </c>
    </row>
    <row r="555" spans="1:26" s="239" customFormat="1" ht="46.5">
      <c r="A555" s="347">
        <v>8.1</v>
      </c>
      <c r="B555" s="290" t="s">
        <v>990</v>
      </c>
      <c r="C555" s="290" t="s">
        <v>990</v>
      </c>
      <c r="D555" s="235" t="str">
        <f t="shared" si="30"/>
        <v xml:space="preserve"> OK</v>
      </c>
      <c r="E555" s="254" t="s">
        <v>2061</v>
      </c>
      <c r="F555" s="254" t="s">
        <v>990</v>
      </c>
      <c r="G555" s="298">
        <f>[3]Data!X734</f>
        <v>6969.1</v>
      </c>
      <c r="H555" s="298" t="s">
        <v>19</v>
      </c>
      <c r="I555" s="300"/>
      <c r="J555" s="300"/>
      <c r="K555" s="270"/>
      <c r="L555" s="301"/>
      <c r="M555" s="270"/>
      <c r="N555" s="270"/>
      <c r="O555" s="270"/>
      <c r="P555" s="270"/>
      <c r="Q555" s="270"/>
      <c r="R555" s="270"/>
      <c r="S555" s="270"/>
      <c r="T555" s="301"/>
      <c r="U555" s="270"/>
      <c r="V555" s="240"/>
      <c r="W555" s="238">
        <f t="shared" si="31"/>
        <v>0</v>
      </c>
      <c r="Y555" s="223" t="str">
        <f>'[4]Development - i'!E554</f>
        <v>b. Ground Floor Standardised concrete Mix M20 Grade Concrete</v>
      </c>
      <c r="Z555" s="223" t="str">
        <f t="shared" si="29"/>
        <v>-----------------------</v>
      </c>
    </row>
    <row r="556" spans="1:26" s="239" customFormat="1" ht="46.5">
      <c r="A556" s="347"/>
      <c r="B556" s="290" t="s">
        <v>694</v>
      </c>
      <c r="C556" s="290" t="s">
        <v>694</v>
      </c>
      <c r="D556" s="235" t="str">
        <f t="shared" si="30"/>
        <v xml:space="preserve"> OK</v>
      </c>
      <c r="E556" s="254" t="s">
        <v>2062</v>
      </c>
      <c r="F556" s="254" t="s">
        <v>694</v>
      </c>
      <c r="G556" s="298">
        <f>[3]Data!X735</f>
        <v>7154.95</v>
      </c>
      <c r="H556" s="298" t="s">
        <v>19</v>
      </c>
      <c r="I556" s="300"/>
      <c r="J556" s="300"/>
      <c r="K556" s="270"/>
      <c r="L556" s="301"/>
      <c r="M556" s="270"/>
      <c r="N556" s="270"/>
      <c r="O556" s="270"/>
      <c r="P556" s="270"/>
      <c r="Q556" s="270"/>
      <c r="R556" s="270"/>
      <c r="S556" s="270"/>
      <c r="T556" s="301"/>
      <c r="U556" s="270"/>
      <c r="V556" s="240"/>
      <c r="W556" s="238">
        <f t="shared" si="31"/>
        <v>0</v>
      </c>
      <c r="Y556" s="223" t="str">
        <f>'[4]Development - i'!E555</f>
        <v>c. In First Floor Standardised concrete Mix M20 Grade Concrete</v>
      </c>
      <c r="Z556" s="223" t="str">
        <f t="shared" si="29"/>
        <v>-----------------------</v>
      </c>
    </row>
    <row r="557" spans="1:26" s="239" customFormat="1" ht="46.5">
      <c r="A557" s="372"/>
      <c r="B557" s="322" t="s">
        <v>695</v>
      </c>
      <c r="C557" s="322" t="s">
        <v>695</v>
      </c>
      <c r="D557" s="235" t="str">
        <f t="shared" si="30"/>
        <v xml:space="preserve"> OK</v>
      </c>
      <c r="E557" s="254" t="s">
        <v>2063</v>
      </c>
      <c r="F557" s="254" t="s">
        <v>695</v>
      </c>
      <c r="G557" s="298">
        <f>[3]Data!X736</f>
        <v>7340.8</v>
      </c>
      <c r="H557" s="298" t="s">
        <v>19</v>
      </c>
      <c r="I557" s="300"/>
      <c r="J557" s="300"/>
      <c r="K557" s="270"/>
      <c r="L557" s="301"/>
      <c r="M557" s="270"/>
      <c r="N557" s="270"/>
      <c r="O557" s="270"/>
      <c r="P557" s="270"/>
      <c r="Q557" s="270"/>
      <c r="R557" s="270"/>
      <c r="S557" s="270"/>
      <c r="T557" s="301"/>
      <c r="U557" s="270"/>
      <c r="V557" s="240"/>
      <c r="W557" s="238">
        <f t="shared" si="31"/>
        <v>0</v>
      </c>
      <c r="Y557" s="223" t="str">
        <f>'[4]Development - i'!E556</f>
        <v>d. In Second Floor Standardised concrete Mix M20 Grade Concrete</v>
      </c>
      <c r="Z557" s="223" t="str">
        <f t="shared" si="29"/>
        <v>-----------------------</v>
      </c>
    </row>
    <row r="558" spans="1:26" s="239" customFormat="1" ht="46.5">
      <c r="A558" s="372"/>
      <c r="B558" s="290" t="s">
        <v>742</v>
      </c>
      <c r="C558" s="322" t="s">
        <v>742</v>
      </c>
      <c r="D558" s="235" t="str">
        <f t="shared" si="30"/>
        <v xml:space="preserve"> OK</v>
      </c>
      <c r="E558" s="254" t="s">
        <v>2064</v>
      </c>
      <c r="F558" s="254" t="s">
        <v>742</v>
      </c>
      <c r="G558" s="298">
        <f>[3]Data!X737</f>
        <v>7526.65</v>
      </c>
      <c r="H558" s="298" t="s">
        <v>19</v>
      </c>
      <c r="I558" s="300"/>
      <c r="J558" s="300"/>
      <c r="K558" s="270"/>
      <c r="L558" s="301"/>
      <c r="M558" s="270"/>
      <c r="N558" s="270"/>
      <c r="O558" s="270"/>
      <c r="P558" s="270"/>
      <c r="Q558" s="270"/>
      <c r="R558" s="270"/>
      <c r="S558" s="270"/>
      <c r="T558" s="301"/>
      <c r="U558" s="270"/>
      <c r="V558" s="240"/>
      <c r="W558" s="238">
        <f t="shared" si="31"/>
        <v>0</v>
      </c>
      <c r="Y558" s="223" t="str">
        <f>'[4]Development - i'!E557</f>
        <v>e. In Third floor Standardised concrete Mix M20 Grade Concrete</v>
      </c>
      <c r="Z558" s="223" t="str">
        <f t="shared" si="29"/>
        <v>-----------------------</v>
      </c>
    </row>
    <row r="559" spans="1:26" s="239" customFormat="1" ht="46.5">
      <c r="A559" s="372"/>
      <c r="B559" s="322" t="s">
        <v>995</v>
      </c>
      <c r="C559" s="322" t="s">
        <v>995</v>
      </c>
      <c r="D559" s="235" t="str">
        <f t="shared" si="30"/>
        <v xml:space="preserve"> OK</v>
      </c>
      <c r="E559" s="254" t="s">
        <v>2065</v>
      </c>
      <c r="F559" s="254" t="s">
        <v>995</v>
      </c>
      <c r="G559" s="298">
        <f>[3]Data!X738</f>
        <v>7712.5</v>
      </c>
      <c r="H559" s="298" t="s">
        <v>19</v>
      </c>
      <c r="I559" s="300"/>
      <c r="J559" s="300"/>
      <c r="K559" s="270"/>
      <c r="L559" s="301"/>
      <c r="M559" s="270"/>
      <c r="N559" s="270"/>
      <c r="O559" s="270"/>
      <c r="P559" s="270"/>
      <c r="Q559" s="270"/>
      <c r="R559" s="270"/>
      <c r="S559" s="270"/>
      <c r="T559" s="301"/>
      <c r="U559" s="270"/>
      <c r="V559" s="240"/>
      <c r="W559" s="238">
        <f t="shared" si="31"/>
        <v>0</v>
      </c>
      <c r="Y559" s="223" t="str">
        <f>'[4]Development - i'!E558</f>
        <v>f.In fourth floor Standardised concrete Mix M20 Grade Concrete</v>
      </c>
      <c r="Z559" s="223" t="str">
        <f t="shared" si="29"/>
        <v>-----------------------</v>
      </c>
    </row>
    <row r="560" spans="1:26" s="241" customFormat="1" ht="108.75">
      <c r="A560" s="348" t="s">
        <v>2066</v>
      </c>
      <c r="B560" s="314" t="s">
        <v>996</v>
      </c>
      <c r="C560" s="314" t="s">
        <v>996</v>
      </c>
      <c r="D560" s="235" t="str">
        <f t="shared" si="30"/>
        <v xml:space="preserve"> OK</v>
      </c>
      <c r="E560" s="254" t="s">
        <v>996</v>
      </c>
      <c r="F560" s="254" t="s">
        <v>997</v>
      </c>
      <c r="G560" s="298"/>
      <c r="H560" s="298"/>
      <c r="I560" s="300"/>
      <c r="J560" s="300"/>
      <c r="K560" s="270"/>
      <c r="L560" s="301"/>
      <c r="M560" s="270"/>
      <c r="N560" s="270"/>
      <c r="O560" s="270"/>
      <c r="P560" s="270"/>
      <c r="Q560" s="270"/>
      <c r="R560" s="270"/>
      <c r="S560" s="270"/>
      <c r="T560" s="312"/>
      <c r="U560" s="270"/>
      <c r="V560" s="240"/>
      <c r="W560" s="238">
        <f t="shared" si="31"/>
        <v>0</v>
      </c>
      <c r="Y560" s="223" t="str">
        <f>'[4]Development - i'!E559</f>
        <v>Standardised concrete Mix M30 Grade Concrete</v>
      </c>
      <c r="Z560" s="223" t="str">
        <f t="shared" si="29"/>
        <v>-----------------------</v>
      </c>
    </row>
    <row r="561" spans="1:26" s="241" customFormat="1" ht="46.5">
      <c r="A561" s="348"/>
      <c r="B561" s="306" t="s">
        <v>692</v>
      </c>
      <c r="C561" s="306" t="s">
        <v>692</v>
      </c>
      <c r="D561" s="235" t="str">
        <f t="shared" si="30"/>
        <v xml:space="preserve"> OK</v>
      </c>
      <c r="E561" s="254" t="s">
        <v>2067</v>
      </c>
      <c r="F561" s="254" t="s">
        <v>692</v>
      </c>
      <c r="G561" s="298">
        <f>[3]Data!X702</f>
        <v>7399.23</v>
      </c>
      <c r="H561" s="298" t="s">
        <v>19</v>
      </c>
      <c r="I561" s="300"/>
      <c r="J561" s="300"/>
      <c r="K561" s="270"/>
      <c r="L561" s="301"/>
      <c r="M561" s="270"/>
      <c r="N561" s="270"/>
      <c r="O561" s="270"/>
      <c r="P561" s="270"/>
      <c r="Q561" s="270"/>
      <c r="R561" s="270"/>
      <c r="S561" s="270"/>
      <c r="T561" s="301"/>
      <c r="U561" s="270"/>
      <c r="V561" s="240"/>
      <c r="W561" s="238">
        <f t="shared" si="31"/>
        <v>0</v>
      </c>
      <c r="Y561" s="223" t="str">
        <f>'[4]Development - i'!E560</f>
        <v>a. In Foundation and basement Standardised concrete Mix M30 Grade Concrete</v>
      </c>
      <c r="Z561" s="223" t="str">
        <f t="shared" si="29"/>
        <v>-----------------------</v>
      </c>
    </row>
    <row r="562" spans="1:26" s="241" customFormat="1" ht="46.5">
      <c r="A562" s="348"/>
      <c r="B562" s="306" t="s">
        <v>965</v>
      </c>
      <c r="C562" s="306" t="s">
        <v>965</v>
      </c>
      <c r="D562" s="235" t="str">
        <f t="shared" si="30"/>
        <v xml:space="preserve"> OK</v>
      </c>
      <c r="E562" s="254" t="s">
        <v>2068</v>
      </c>
      <c r="F562" s="254" t="s">
        <v>990</v>
      </c>
      <c r="G562" s="298">
        <f>[3]Data!X704</f>
        <v>7493.63</v>
      </c>
      <c r="H562" s="298" t="s">
        <v>19</v>
      </c>
      <c r="I562" s="300"/>
      <c r="J562" s="300"/>
      <c r="K562" s="270"/>
      <c r="L562" s="301"/>
      <c r="M562" s="270"/>
      <c r="N562" s="270"/>
      <c r="O562" s="270"/>
      <c r="P562" s="270"/>
      <c r="Q562" s="270"/>
      <c r="R562" s="270"/>
      <c r="S562" s="270"/>
      <c r="T562" s="301"/>
      <c r="U562" s="270"/>
      <c r="V562" s="240"/>
      <c r="W562" s="238">
        <f t="shared" si="31"/>
        <v>0</v>
      </c>
      <c r="Y562" s="223" t="str">
        <f>'[4]Development - i'!E561</f>
        <v>b. Ground Floor Standardised concrete Mix M30 Grade Concrete</v>
      </c>
      <c r="Z562" s="223" t="str">
        <f t="shared" si="29"/>
        <v>-----------------------</v>
      </c>
    </row>
    <row r="563" spans="1:26" s="241" customFormat="1" ht="46.5">
      <c r="A563" s="348"/>
      <c r="B563" s="306" t="s">
        <v>694</v>
      </c>
      <c r="C563" s="306" t="s">
        <v>694</v>
      </c>
      <c r="D563" s="235" t="str">
        <f t="shared" si="30"/>
        <v xml:space="preserve"> OK</v>
      </c>
      <c r="E563" s="254" t="s">
        <v>2069</v>
      </c>
      <c r="F563" s="254" t="s">
        <v>694</v>
      </c>
      <c r="G563" s="298">
        <f>[3]Data!X705</f>
        <v>7679.48</v>
      </c>
      <c r="H563" s="298" t="s">
        <v>19</v>
      </c>
      <c r="I563" s="300"/>
      <c r="J563" s="300"/>
      <c r="K563" s="270"/>
      <c r="L563" s="301"/>
      <c r="M563" s="270"/>
      <c r="N563" s="270"/>
      <c r="O563" s="270"/>
      <c r="P563" s="270"/>
      <c r="Q563" s="270"/>
      <c r="R563" s="270"/>
      <c r="S563" s="270"/>
      <c r="T563" s="301"/>
      <c r="U563" s="270"/>
      <c r="V563" s="240"/>
      <c r="W563" s="238">
        <f t="shared" si="31"/>
        <v>0</v>
      </c>
      <c r="Y563" s="223" t="str">
        <f>'[4]Development - i'!E562</f>
        <v>c. In First Floor Standardised concrete Mix M30 Grade Concrete</v>
      </c>
      <c r="Z563" s="223" t="str">
        <f t="shared" si="29"/>
        <v>-----------------------</v>
      </c>
    </row>
    <row r="564" spans="1:26" s="241" customFormat="1" ht="46.5">
      <c r="A564" s="373"/>
      <c r="B564" s="358" t="s">
        <v>695</v>
      </c>
      <c r="C564" s="361" t="s">
        <v>695</v>
      </c>
      <c r="D564" s="235" t="str">
        <f t="shared" si="30"/>
        <v xml:space="preserve"> OK</v>
      </c>
      <c r="E564" s="254" t="s">
        <v>2070</v>
      </c>
      <c r="F564" s="254" t="s">
        <v>695</v>
      </c>
      <c r="G564" s="298">
        <f>[3]Data!X706</f>
        <v>7865.33</v>
      </c>
      <c r="H564" s="298" t="s">
        <v>19</v>
      </c>
      <c r="I564" s="300"/>
      <c r="J564" s="300"/>
      <c r="K564" s="270"/>
      <c r="L564" s="301"/>
      <c r="M564" s="270"/>
      <c r="N564" s="270"/>
      <c r="O564" s="270"/>
      <c r="P564" s="270"/>
      <c r="Q564" s="270"/>
      <c r="R564" s="270"/>
      <c r="S564" s="270"/>
      <c r="T564" s="301"/>
      <c r="U564" s="270"/>
      <c r="V564" s="240"/>
      <c r="W564" s="238">
        <f t="shared" si="31"/>
        <v>0</v>
      </c>
      <c r="Y564" s="223" t="str">
        <f>'[4]Development - i'!E563</f>
        <v>d. In Second Floor Standardised concrete Mix M30 Grade Concrete</v>
      </c>
      <c r="Z564" s="223" t="str">
        <f t="shared" si="29"/>
        <v>-----------------------</v>
      </c>
    </row>
    <row r="565" spans="1:26" s="241" customFormat="1" ht="46.5">
      <c r="A565" s="346"/>
      <c r="B565" s="306" t="s">
        <v>742</v>
      </c>
      <c r="C565" s="310" t="s">
        <v>742</v>
      </c>
      <c r="D565" s="235" t="str">
        <f t="shared" si="30"/>
        <v xml:space="preserve"> OK</v>
      </c>
      <c r="E565" s="254" t="s">
        <v>2071</v>
      </c>
      <c r="F565" s="254" t="s">
        <v>742</v>
      </c>
      <c r="G565" s="298">
        <f>[3]Data!X707</f>
        <v>8051.18</v>
      </c>
      <c r="H565" s="298" t="s">
        <v>19</v>
      </c>
      <c r="I565" s="300"/>
      <c r="J565" s="300"/>
      <c r="K565" s="270"/>
      <c r="L565" s="301"/>
      <c r="M565" s="270"/>
      <c r="N565" s="270"/>
      <c r="O565" s="270"/>
      <c r="P565" s="270"/>
      <c r="Q565" s="270"/>
      <c r="R565" s="270"/>
      <c r="S565" s="270"/>
      <c r="T565" s="301"/>
      <c r="U565" s="270"/>
      <c r="V565" s="240"/>
      <c r="W565" s="238">
        <f t="shared" si="31"/>
        <v>0</v>
      </c>
      <c r="Y565" s="223" t="str">
        <f>'[4]Development - i'!E564</f>
        <v>e. In Third floor Standardised concrete Mix M30 Grade Concrete</v>
      </c>
      <c r="Z565" s="223" t="str">
        <f t="shared" si="29"/>
        <v>-----------------------</v>
      </c>
    </row>
    <row r="566" spans="1:26" s="241" customFormat="1">
      <c r="A566" s="373"/>
      <c r="B566" s="358" t="s">
        <v>2072</v>
      </c>
      <c r="C566" s="361" t="s">
        <v>2072</v>
      </c>
      <c r="D566" s="235" t="str">
        <f t="shared" si="30"/>
        <v xml:space="preserve"> OK</v>
      </c>
      <c r="E566" s="254"/>
      <c r="F566" s="254">
        <v>0</v>
      </c>
      <c r="G566" s="298">
        <f>[3]Data!X708</f>
        <v>8237.0300000000007</v>
      </c>
      <c r="H566" s="298" t="s">
        <v>19</v>
      </c>
      <c r="I566" s="300"/>
      <c r="J566" s="300"/>
      <c r="K566" s="270"/>
      <c r="L566" s="301"/>
      <c r="M566" s="270"/>
      <c r="N566" s="270"/>
      <c r="O566" s="270"/>
      <c r="P566" s="270"/>
      <c r="Q566" s="270"/>
      <c r="R566" s="270"/>
      <c r="S566" s="270"/>
      <c r="T566" s="301"/>
      <c r="U566" s="270"/>
      <c r="V566" s="240"/>
      <c r="W566" s="238">
        <f t="shared" si="31"/>
        <v>0</v>
      </c>
      <c r="Y566" s="223">
        <f>'[4]Development - i'!E565</f>
        <v>0</v>
      </c>
      <c r="Z566" s="223" t="str">
        <f t="shared" si="29"/>
        <v>-----------------------</v>
      </c>
    </row>
    <row r="567" spans="1:26" s="241" customFormat="1" ht="130.5">
      <c r="A567" s="348"/>
      <c r="B567" s="374" t="s">
        <v>998</v>
      </c>
      <c r="C567" s="374" t="s">
        <v>998</v>
      </c>
      <c r="D567" s="235" t="str">
        <f t="shared" si="30"/>
        <v xml:space="preserve"> OK</v>
      </c>
      <c r="E567" s="254" t="s">
        <v>998</v>
      </c>
      <c r="F567" s="254" t="s">
        <v>999</v>
      </c>
      <c r="G567" s="298"/>
      <c r="H567" s="298"/>
      <c r="I567" s="300"/>
      <c r="J567" s="300"/>
      <c r="K567" s="270"/>
      <c r="L567" s="301"/>
      <c r="M567" s="270"/>
      <c r="N567" s="270"/>
      <c r="O567" s="270"/>
      <c r="P567" s="270"/>
      <c r="Q567" s="270"/>
      <c r="R567" s="270"/>
      <c r="S567" s="270"/>
      <c r="T567" s="301"/>
      <c r="U567" s="270"/>
      <c r="V567" s="240"/>
      <c r="W567" s="238">
        <f t="shared" si="31"/>
        <v>0</v>
      </c>
      <c r="Y567" s="223" t="str">
        <f>'[4]Development - i'!E566</f>
        <v>RCC M30 mix using hard broken stone jelly for foundation and basement</v>
      </c>
      <c r="Z567" s="223" t="str">
        <f t="shared" si="29"/>
        <v>-----------------------</v>
      </c>
    </row>
    <row r="568" spans="1:26" s="241" customFormat="1" ht="68.25">
      <c r="A568" s="348"/>
      <c r="B568" s="375" t="s">
        <v>964</v>
      </c>
      <c r="C568" s="375" t="s">
        <v>964</v>
      </c>
      <c r="D568" s="235" t="str">
        <f t="shared" si="30"/>
        <v xml:space="preserve"> OK</v>
      </c>
      <c r="E568" s="254" t="s">
        <v>2073</v>
      </c>
      <c r="F568" s="254" t="s">
        <v>964</v>
      </c>
      <c r="G568" s="298">
        <f>[3]Data!R1201</f>
        <v>7301.31</v>
      </c>
      <c r="H568" s="298" t="s">
        <v>19</v>
      </c>
      <c r="I568" s="300"/>
      <c r="J568" s="300"/>
      <c r="K568" s="270"/>
      <c r="L568" s="301"/>
      <c r="M568" s="270"/>
      <c r="N568" s="270"/>
      <c r="O568" s="270"/>
      <c r="P568" s="270"/>
      <c r="Q568" s="270"/>
      <c r="R568" s="270"/>
      <c r="S568" s="270"/>
      <c r="T568" s="301"/>
      <c r="U568" s="270"/>
      <c r="V568" s="240"/>
      <c r="W568" s="238">
        <f t="shared" si="31"/>
        <v>0</v>
      </c>
      <c r="Y568" s="223" t="str">
        <f>'[4]Development - i'!E567</f>
        <v>a. Foundation &amp; basement RCC M30 mix using hard broken stone jelly for foundation and basement</v>
      </c>
      <c r="Z568" s="223" t="str">
        <f t="shared" si="29"/>
        <v>ERRR</v>
      </c>
    </row>
    <row r="569" spans="1:26" s="241" customFormat="1" ht="68.25">
      <c r="A569" s="348"/>
      <c r="B569" s="375" t="s">
        <v>1000</v>
      </c>
      <c r="C569" s="375" t="s">
        <v>1000</v>
      </c>
      <c r="D569" s="235" t="str">
        <f t="shared" si="30"/>
        <v xml:space="preserve"> OK</v>
      </c>
      <c r="E569" s="254" t="s">
        <v>2074</v>
      </c>
      <c r="F569" s="254" t="s">
        <v>1000</v>
      </c>
      <c r="G569" s="298">
        <f>[3]Data!R1202</f>
        <v>7395.71</v>
      </c>
      <c r="H569" s="298" t="s">
        <v>19</v>
      </c>
      <c r="I569" s="300"/>
      <c r="J569" s="300"/>
      <c r="K569" s="270"/>
      <c r="L569" s="301"/>
      <c r="M569" s="270"/>
      <c r="N569" s="270"/>
      <c r="O569" s="270"/>
      <c r="P569" s="270"/>
      <c r="Q569" s="270"/>
      <c r="R569" s="270"/>
      <c r="S569" s="270"/>
      <c r="T569" s="301"/>
      <c r="U569" s="270"/>
      <c r="V569" s="240"/>
      <c r="W569" s="238">
        <f t="shared" si="31"/>
        <v>0</v>
      </c>
      <c r="Y569" s="223" t="str">
        <f>'[4]Development - i'!E568</f>
        <v>b.Stilt floorRCC M30 mix using hard broken stone jelly for foundation and basement</v>
      </c>
      <c r="Z569" s="223" t="str">
        <f t="shared" si="29"/>
        <v>ERRR</v>
      </c>
    </row>
    <row r="570" spans="1:26" s="241" customFormat="1" ht="108.75">
      <c r="A570" s="348" t="s">
        <v>2066</v>
      </c>
      <c r="B570" s="314" t="s">
        <v>301</v>
      </c>
      <c r="C570" s="314" t="s">
        <v>2075</v>
      </c>
      <c r="D570" s="235" t="str">
        <f t="shared" si="30"/>
        <v>nun</v>
      </c>
      <c r="E570" s="254" t="s">
        <v>301</v>
      </c>
      <c r="F570" s="254" t="s">
        <v>1001</v>
      </c>
      <c r="G570" s="298"/>
      <c r="H570" s="298"/>
      <c r="I570" s="300"/>
      <c r="J570" s="300"/>
      <c r="K570" s="270"/>
      <c r="L570" s="301"/>
      <c r="M570" s="270"/>
      <c r="N570" s="270"/>
      <c r="O570" s="270"/>
      <c r="P570" s="270"/>
      <c r="Q570" s="270"/>
      <c r="R570" s="270"/>
      <c r="S570" s="270"/>
      <c r="T570" s="301"/>
      <c r="U570" s="270"/>
      <c r="V570" s="240"/>
      <c r="W570" s="238">
        <f t="shared" si="31"/>
        <v>0</v>
      </c>
      <c r="Y570" s="223" t="str">
        <f>'[4]Development - i'!E569</f>
        <v>Cement Concrete using desing mix of grade M25 concrete</v>
      </c>
      <c r="Z570" s="223" t="str">
        <f t="shared" si="29"/>
        <v>-----------------------</v>
      </c>
    </row>
    <row r="571" spans="1:26" s="241" customFormat="1" ht="46.5">
      <c r="A571" s="348"/>
      <c r="B571" s="306" t="s">
        <v>692</v>
      </c>
      <c r="C571" s="306" t="s">
        <v>692</v>
      </c>
      <c r="D571" s="235" t="str">
        <f t="shared" si="30"/>
        <v xml:space="preserve"> OK</v>
      </c>
      <c r="E571" s="254" t="s">
        <v>2076</v>
      </c>
      <c r="F571" s="254" t="s">
        <v>692</v>
      </c>
      <c r="G571" s="298">
        <f>[3]Data!X756</f>
        <v>7056.65</v>
      </c>
      <c r="H571" s="298" t="s">
        <v>1679</v>
      </c>
      <c r="I571" s="300"/>
      <c r="J571" s="300"/>
      <c r="K571" s="270"/>
      <c r="L571" s="301"/>
      <c r="M571" s="270"/>
      <c r="N571" s="270"/>
      <c r="O571" s="270"/>
      <c r="P571" s="270"/>
      <c r="Q571" s="270"/>
      <c r="R571" s="270"/>
      <c r="S571" s="270"/>
      <c r="T571" s="301"/>
      <c r="U571" s="270"/>
      <c r="V571" s="240"/>
      <c r="W571" s="238">
        <f t="shared" si="31"/>
        <v>0</v>
      </c>
      <c r="Y571" s="223" t="str">
        <f>'[4]Development - i'!E570</f>
        <v>a. In Foundation and basement Cement Concrete using desing mix of grade M25 concrete</v>
      </c>
      <c r="Z571" s="223" t="str">
        <f t="shared" si="29"/>
        <v>-----------------------</v>
      </c>
    </row>
    <row r="572" spans="1:26" s="241" customFormat="1" ht="46.5">
      <c r="A572" s="348"/>
      <c r="B572" s="306" t="s">
        <v>1002</v>
      </c>
      <c r="C572" s="306" t="s">
        <v>1002</v>
      </c>
      <c r="D572" s="235" t="str">
        <f t="shared" si="30"/>
        <v xml:space="preserve"> OK</v>
      </c>
      <c r="E572" s="254" t="s">
        <v>2077</v>
      </c>
      <c r="F572" s="254" t="s">
        <v>1002</v>
      </c>
      <c r="G572" s="298">
        <f>[3]Data!X758</f>
        <v>7151.05</v>
      </c>
      <c r="H572" s="298" t="s">
        <v>1679</v>
      </c>
      <c r="I572" s="300"/>
      <c r="J572" s="300"/>
      <c r="K572" s="270"/>
      <c r="L572" s="301"/>
      <c r="M572" s="270"/>
      <c r="N572" s="270"/>
      <c r="O572" s="270"/>
      <c r="P572" s="270"/>
      <c r="Q572" s="270"/>
      <c r="R572" s="270"/>
      <c r="S572" s="270"/>
      <c r="T572" s="301"/>
      <c r="U572" s="270"/>
      <c r="V572" s="240">
        <f>G573-G572</f>
        <v>185.84999999999945</v>
      </c>
      <c r="W572" s="238">
        <f t="shared" si="31"/>
        <v>1363562.865</v>
      </c>
      <c r="Y572" s="223" t="str">
        <f>'[4]Development - i'!E571</f>
        <v>b. In Stilt /Ground Floor Cement Concrete using desing mix of grade M25 concrete</v>
      </c>
      <c r="Z572" s="223" t="str">
        <f t="shared" si="29"/>
        <v>-----------------------</v>
      </c>
    </row>
    <row r="573" spans="1:26" s="241" customFormat="1" ht="46.5">
      <c r="A573" s="348"/>
      <c r="B573" s="306" t="s">
        <v>694</v>
      </c>
      <c r="C573" s="306" t="s">
        <v>694</v>
      </c>
      <c r="D573" s="235" t="str">
        <f t="shared" si="30"/>
        <v xml:space="preserve"> OK</v>
      </c>
      <c r="E573" s="254" t="s">
        <v>2078</v>
      </c>
      <c r="F573" s="254" t="s">
        <v>694</v>
      </c>
      <c r="G573" s="298">
        <f>[3]Data!X759</f>
        <v>7336.9</v>
      </c>
      <c r="H573" s="298" t="s">
        <v>1679</v>
      </c>
      <c r="I573" s="300"/>
      <c r="J573" s="300"/>
      <c r="K573" s="270"/>
      <c r="L573" s="301"/>
      <c r="M573" s="270"/>
      <c r="N573" s="270"/>
      <c r="O573" s="270"/>
      <c r="P573" s="270"/>
      <c r="Q573" s="270"/>
      <c r="R573" s="270"/>
      <c r="S573" s="270"/>
      <c r="T573" s="301"/>
      <c r="U573" s="270"/>
      <c r="V573" s="240"/>
      <c r="W573" s="238">
        <f t="shared" si="31"/>
        <v>0</v>
      </c>
      <c r="Y573" s="223" t="str">
        <f>'[4]Development - i'!E572</f>
        <v>c. In First Floor Cement Concrete using desing mix of grade M25 concrete</v>
      </c>
      <c r="Z573" s="223" t="str">
        <f t="shared" si="29"/>
        <v>-----------------------</v>
      </c>
    </row>
    <row r="574" spans="1:26" s="241" customFormat="1" ht="46.5">
      <c r="A574" s="348"/>
      <c r="B574" s="306" t="s">
        <v>695</v>
      </c>
      <c r="C574" s="306" t="s">
        <v>695</v>
      </c>
      <c r="D574" s="235" t="str">
        <f t="shared" si="30"/>
        <v xml:space="preserve"> OK</v>
      </c>
      <c r="E574" s="254" t="s">
        <v>2079</v>
      </c>
      <c r="F574" s="254" t="s">
        <v>695</v>
      </c>
      <c r="G574" s="298">
        <f>[3]Data!X760</f>
        <v>7522.75</v>
      </c>
      <c r="H574" s="298" t="s">
        <v>1679</v>
      </c>
      <c r="I574" s="300"/>
      <c r="J574" s="300"/>
      <c r="K574" s="270"/>
      <c r="L574" s="301"/>
      <c r="M574" s="270"/>
      <c r="N574" s="270"/>
      <c r="O574" s="270"/>
      <c r="P574" s="270"/>
      <c r="Q574" s="270"/>
      <c r="R574" s="270"/>
      <c r="S574" s="270"/>
      <c r="T574" s="301"/>
      <c r="U574" s="270"/>
      <c r="V574" s="240"/>
      <c r="W574" s="238">
        <f t="shared" si="31"/>
        <v>0</v>
      </c>
      <c r="Y574" s="223" t="str">
        <f>'[4]Development - i'!E573</f>
        <v>d. In Second Floor Cement Concrete using desing mix of grade M25 concrete</v>
      </c>
      <c r="Z574" s="223" t="str">
        <f t="shared" si="29"/>
        <v>-----------------------</v>
      </c>
    </row>
    <row r="575" spans="1:26" s="241" customFormat="1" ht="46.5">
      <c r="A575" s="348"/>
      <c r="B575" s="306" t="s">
        <v>742</v>
      </c>
      <c r="C575" s="306" t="s">
        <v>742</v>
      </c>
      <c r="D575" s="235" t="str">
        <f t="shared" si="30"/>
        <v xml:space="preserve"> OK</v>
      </c>
      <c r="E575" s="254" t="s">
        <v>2080</v>
      </c>
      <c r="F575" s="254" t="s">
        <v>742</v>
      </c>
      <c r="G575" s="298">
        <f>[3]Data!X761</f>
        <v>7708.6</v>
      </c>
      <c r="H575" s="298" t="s">
        <v>1679</v>
      </c>
      <c r="I575" s="300"/>
      <c r="J575" s="300"/>
      <c r="K575" s="270"/>
      <c r="L575" s="301"/>
      <c r="M575" s="270"/>
      <c r="N575" s="270"/>
      <c r="O575" s="270"/>
      <c r="P575" s="270"/>
      <c r="Q575" s="270"/>
      <c r="R575" s="270"/>
      <c r="S575" s="270"/>
      <c r="T575" s="301"/>
      <c r="U575" s="270"/>
      <c r="V575" s="240"/>
      <c r="W575" s="238">
        <f t="shared" si="31"/>
        <v>0</v>
      </c>
      <c r="Y575" s="223" t="str">
        <f>'[4]Development - i'!E574</f>
        <v>e. In Third floor Cement Concrete using desing mix of grade M25 concrete</v>
      </c>
      <c r="Z575" s="223" t="str">
        <f t="shared" si="29"/>
        <v>-----------------------</v>
      </c>
    </row>
    <row r="576" spans="1:26" s="241" customFormat="1" ht="46.5">
      <c r="A576" s="348"/>
      <c r="B576" s="306" t="s">
        <v>697</v>
      </c>
      <c r="C576" s="306" t="s">
        <v>697</v>
      </c>
      <c r="D576" s="235" t="str">
        <f t="shared" si="30"/>
        <v xml:space="preserve"> OK</v>
      </c>
      <c r="E576" s="254" t="s">
        <v>2081</v>
      </c>
      <c r="F576" s="254" t="s">
        <v>697</v>
      </c>
      <c r="G576" s="298">
        <f>[3]Data!X762</f>
        <v>7894.45</v>
      </c>
      <c r="H576" s="298" t="s">
        <v>1679</v>
      </c>
      <c r="I576" s="300"/>
      <c r="J576" s="300"/>
      <c r="K576" s="270"/>
      <c r="L576" s="301"/>
      <c r="M576" s="270"/>
      <c r="N576" s="270"/>
      <c r="O576" s="270"/>
      <c r="P576" s="270"/>
      <c r="Q576" s="270"/>
      <c r="R576" s="270"/>
      <c r="S576" s="270"/>
      <c r="T576" s="301"/>
      <c r="U576" s="270"/>
      <c r="V576" s="240"/>
      <c r="W576" s="238">
        <f t="shared" si="31"/>
        <v>0</v>
      </c>
      <c r="Y576" s="223" t="str">
        <f>'[4]Development - i'!E575</f>
        <v>f. In Fourth Floor Cement Concrete using desing mix of grade M25 concrete</v>
      </c>
      <c r="Z576" s="223" t="str">
        <f t="shared" si="29"/>
        <v>-----------------------</v>
      </c>
    </row>
    <row r="577" spans="1:26" s="241" customFormat="1" ht="46.5">
      <c r="A577" s="348"/>
      <c r="B577" s="306" t="s">
        <v>728</v>
      </c>
      <c r="C577" s="306" t="s">
        <v>728</v>
      </c>
      <c r="D577" s="235" t="str">
        <f t="shared" si="30"/>
        <v xml:space="preserve"> OK</v>
      </c>
      <c r="E577" s="254" t="s">
        <v>2082</v>
      </c>
      <c r="F577" s="254" t="s">
        <v>728</v>
      </c>
      <c r="G577" s="298">
        <f>[3]Data!X763</f>
        <v>8080.3</v>
      </c>
      <c r="H577" s="298" t="s">
        <v>1679</v>
      </c>
      <c r="I577" s="300"/>
      <c r="J577" s="300"/>
      <c r="K577" s="270"/>
      <c r="L577" s="301"/>
      <c r="M577" s="270"/>
      <c r="N577" s="270"/>
      <c r="O577" s="270"/>
      <c r="P577" s="270"/>
      <c r="Q577" s="270"/>
      <c r="R577" s="270"/>
      <c r="S577" s="270"/>
      <c r="T577" s="301"/>
      <c r="U577" s="270"/>
      <c r="V577" s="240"/>
      <c r="W577" s="238">
        <f t="shared" si="31"/>
        <v>0</v>
      </c>
      <c r="Y577" s="223" t="str">
        <f>'[4]Development - i'!E576</f>
        <v>g. In Fifth Floor Cement Concrete using desing mix of grade M25 concrete</v>
      </c>
      <c r="Z577" s="223" t="str">
        <f t="shared" si="29"/>
        <v>-----------------------</v>
      </c>
    </row>
    <row r="578" spans="1:26" s="241" customFormat="1" ht="46.5">
      <c r="A578" s="348"/>
      <c r="B578" s="306" t="s">
        <v>729</v>
      </c>
      <c r="C578" s="306" t="s">
        <v>729</v>
      </c>
      <c r="D578" s="235" t="str">
        <f t="shared" si="30"/>
        <v xml:space="preserve"> OK</v>
      </c>
      <c r="E578" s="254" t="s">
        <v>2083</v>
      </c>
      <c r="F578" s="254" t="s">
        <v>729</v>
      </c>
      <c r="G578" s="298">
        <f>[3]Data!X764</f>
        <v>8266.15</v>
      </c>
      <c r="H578" s="298" t="s">
        <v>1679</v>
      </c>
      <c r="I578" s="300"/>
      <c r="J578" s="300"/>
      <c r="K578" s="270"/>
      <c r="L578" s="301"/>
      <c r="M578" s="270"/>
      <c r="N578" s="270"/>
      <c r="O578" s="270"/>
      <c r="P578" s="270"/>
      <c r="Q578" s="270"/>
      <c r="R578" s="270"/>
      <c r="S578" s="270"/>
      <c r="T578" s="301"/>
      <c r="U578" s="270"/>
      <c r="V578" s="240"/>
      <c r="W578" s="238">
        <f t="shared" si="31"/>
        <v>0</v>
      </c>
      <c r="Y578" s="223" t="str">
        <f>'[4]Development - i'!E577</f>
        <v>h. In Sixth Floor Cement Concrete using desing mix of grade M25 concrete</v>
      </c>
      <c r="Z578" s="223" t="str">
        <f t="shared" si="29"/>
        <v>-----------------------</v>
      </c>
    </row>
    <row r="579" spans="1:26" s="241" customFormat="1" ht="46.5">
      <c r="A579" s="348"/>
      <c r="B579" s="306" t="s">
        <v>730</v>
      </c>
      <c r="C579" s="306" t="s">
        <v>730</v>
      </c>
      <c r="D579" s="235" t="str">
        <f t="shared" si="30"/>
        <v xml:space="preserve"> OK</v>
      </c>
      <c r="E579" s="254" t="s">
        <v>2084</v>
      </c>
      <c r="F579" s="254" t="s">
        <v>730</v>
      </c>
      <c r="G579" s="298"/>
      <c r="H579" s="298" t="s">
        <v>1679</v>
      </c>
      <c r="I579" s="300"/>
      <c r="J579" s="300"/>
      <c r="K579" s="270"/>
      <c r="L579" s="301"/>
      <c r="M579" s="270"/>
      <c r="N579" s="270"/>
      <c r="O579" s="270"/>
      <c r="P579" s="270"/>
      <c r="Q579" s="270"/>
      <c r="R579" s="270"/>
      <c r="S579" s="270"/>
      <c r="T579" s="301"/>
      <c r="U579" s="270"/>
      <c r="V579" s="240"/>
      <c r="W579" s="238">
        <f t="shared" si="31"/>
        <v>0</v>
      </c>
      <c r="Y579" s="223" t="str">
        <f>'[4]Development - i'!E578</f>
        <v>i. In Seventh Floor Cement Concrete using desing mix of grade M25 concrete</v>
      </c>
      <c r="Z579" s="223" t="str">
        <f t="shared" si="29"/>
        <v>-----------------------</v>
      </c>
    </row>
    <row r="580" spans="1:26" s="241" customFormat="1" ht="46.5">
      <c r="A580" s="348"/>
      <c r="B580" s="375" t="s">
        <v>1003</v>
      </c>
      <c r="C580" s="375" t="s">
        <v>1003</v>
      </c>
      <c r="D580" s="235" t="str">
        <f t="shared" si="30"/>
        <v xml:space="preserve"> OK</v>
      </c>
      <c r="E580" s="254" t="s">
        <v>2085</v>
      </c>
      <c r="F580" s="254" t="s">
        <v>1003</v>
      </c>
      <c r="G580" s="298"/>
      <c r="H580" s="298" t="s">
        <v>1679</v>
      </c>
      <c r="I580" s="300"/>
      <c r="J580" s="300"/>
      <c r="K580" s="270"/>
      <c r="L580" s="301"/>
      <c r="M580" s="270"/>
      <c r="N580" s="270"/>
      <c r="O580" s="270"/>
      <c r="P580" s="270"/>
      <c r="Q580" s="270"/>
      <c r="R580" s="270"/>
      <c r="S580" s="270"/>
      <c r="T580" s="301"/>
      <c r="U580" s="270"/>
      <c r="V580" s="240"/>
      <c r="W580" s="238">
        <f t="shared" si="31"/>
        <v>0</v>
      </c>
      <c r="Y580" s="223" t="str">
        <f>'[4]Development - i'!E579</f>
        <v>j.in Eighth floor Cement Concrete using desing mix of grade M25 concrete</v>
      </c>
      <c r="Z580" s="223" t="str">
        <f t="shared" si="29"/>
        <v>-----------------------</v>
      </c>
    </row>
    <row r="581" spans="1:26" s="241" customFormat="1" ht="46.5">
      <c r="A581" s="348"/>
      <c r="B581" s="375" t="s">
        <v>1004</v>
      </c>
      <c r="C581" s="375" t="s">
        <v>1004</v>
      </c>
      <c r="D581" s="235" t="str">
        <f t="shared" si="30"/>
        <v xml:space="preserve"> OK</v>
      </c>
      <c r="E581" s="254" t="s">
        <v>2086</v>
      </c>
      <c r="F581" s="254" t="s">
        <v>1004</v>
      </c>
      <c r="G581" s="298"/>
      <c r="H581" s="298" t="s">
        <v>1679</v>
      </c>
      <c r="I581" s="300"/>
      <c r="J581" s="300"/>
      <c r="K581" s="270"/>
      <c r="L581" s="301"/>
      <c r="M581" s="270"/>
      <c r="N581" s="270"/>
      <c r="O581" s="270"/>
      <c r="P581" s="270"/>
      <c r="Q581" s="270"/>
      <c r="R581" s="270"/>
      <c r="S581" s="270"/>
      <c r="T581" s="301"/>
      <c r="U581" s="270"/>
      <c r="V581" s="240"/>
      <c r="W581" s="238">
        <f t="shared" si="31"/>
        <v>0</v>
      </c>
      <c r="Y581" s="223" t="str">
        <f>'[4]Development - i'!E580</f>
        <v>k.in Ninth floor Cement Concrete using desing mix of grade M25 concrete</v>
      </c>
      <c r="Z581" s="223" t="str">
        <f t="shared" si="29"/>
        <v>-----------------------</v>
      </c>
    </row>
    <row r="582" spans="1:26" s="241" customFormat="1" ht="46.5">
      <c r="A582" s="348"/>
      <c r="B582" s="375" t="s">
        <v>1005</v>
      </c>
      <c r="C582" s="375" t="s">
        <v>1005</v>
      </c>
      <c r="D582" s="235" t="str">
        <f t="shared" si="30"/>
        <v xml:space="preserve"> OK</v>
      </c>
      <c r="E582" s="254" t="s">
        <v>2087</v>
      </c>
      <c r="F582" s="254" t="s">
        <v>1005</v>
      </c>
      <c r="G582" s="298"/>
      <c r="H582" s="298" t="s">
        <v>1679</v>
      </c>
      <c r="I582" s="300"/>
      <c r="J582" s="300"/>
      <c r="K582" s="270"/>
      <c r="L582" s="301"/>
      <c r="M582" s="270"/>
      <c r="N582" s="270"/>
      <c r="O582" s="270"/>
      <c r="P582" s="270"/>
      <c r="Q582" s="270"/>
      <c r="R582" s="270"/>
      <c r="S582" s="270"/>
      <c r="T582" s="301"/>
      <c r="U582" s="270"/>
      <c r="V582" s="240"/>
      <c r="W582" s="238">
        <f t="shared" si="31"/>
        <v>0</v>
      </c>
      <c r="Y582" s="223" t="str">
        <f>'[4]Development - i'!E581</f>
        <v>l.in Tenth floor Cement Concrete using desing mix of grade M25 concrete</v>
      </c>
      <c r="Z582" s="223" t="str">
        <f t="shared" si="29"/>
        <v>-----------------------</v>
      </c>
    </row>
    <row r="583" spans="1:26" s="241" customFormat="1" ht="46.5">
      <c r="A583" s="348"/>
      <c r="B583" s="306" t="s">
        <v>666</v>
      </c>
      <c r="C583" s="306" t="s">
        <v>666</v>
      </c>
      <c r="D583" s="235" t="str">
        <f t="shared" si="30"/>
        <v xml:space="preserve"> OK</v>
      </c>
      <c r="E583" s="254" t="s">
        <v>2088</v>
      </c>
      <c r="F583" s="254" t="s">
        <v>666</v>
      </c>
      <c r="G583" s="298"/>
      <c r="H583" s="298" t="s">
        <v>1679</v>
      </c>
      <c r="I583" s="300"/>
      <c r="J583" s="300"/>
      <c r="K583" s="270"/>
      <c r="L583" s="301"/>
      <c r="M583" s="270"/>
      <c r="N583" s="270"/>
      <c r="O583" s="270"/>
      <c r="P583" s="270"/>
      <c r="Q583" s="270"/>
      <c r="R583" s="270"/>
      <c r="S583" s="270"/>
      <c r="T583" s="301"/>
      <c r="U583" s="270"/>
      <c r="V583" s="240"/>
      <c r="W583" s="238">
        <f t="shared" si="31"/>
        <v>0</v>
      </c>
      <c r="Y583" s="223" t="str">
        <f>'[4]Development - i'!E582</f>
        <v>l.  In Eleventh floor Cement Concrete using desing mix of grade M25 concrete</v>
      </c>
      <c r="Z583" s="223" t="str">
        <f t="shared" ref="Z583:Z646" si="32">IF(Y583=E583,"-----------------------","ERRR")</f>
        <v>-----------------------</v>
      </c>
    </row>
    <row r="584" spans="1:26" s="241" customFormat="1" ht="46.5">
      <c r="A584" s="348"/>
      <c r="B584" s="306" t="s">
        <v>667</v>
      </c>
      <c r="C584" s="306" t="s">
        <v>667</v>
      </c>
      <c r="D584" s="235" t="str">
        <f t="shared" si="30"/>
        <v xml:space="preserve"> OK</v>
      </c>
      <c r="E584" s="254" t="s">
        <v>2089</v>
      </c>
      <c r="F584" s="254" t="s">
        <v>667</v>
      </c>
      <c r="G584" s="298"/>
      <c r="H584" s="298" t="s">
        <v>1679</v>
      </c>
      <c r="I584" s="300"/>
      <c r="J584" s="300"/>
      <c r="K584" s="270"/>
      <c r="L584" s="301"/>
      <c r="M584" s="270"/>
      <c r="N584" s="270"/>
      <c r="O584" s="270"/>
      <c r="P584" s="270"/>
      <c r="Q584" s="270"/>
      <c r="R584" s="270"/>
      <c r="S584" s="270"/>
      <c r="T584" s="301"/>
      <c r="U584" s="270"/>
      <c r="V584" s="240"/>
      <c r="W584" s="238">
        <f t="shared" si="31"/>
        <v>0</v>
      </c>
      <c r="Y584" s="223" t="str">
        <f>'[4]Development - i'!E583</f>
        <v>m.  In Twelth floor Cement Concrete using desing mix of grade M25 concrete</v>
      </c>
      <c r="Z584" s="223" t="str">
        <f t="shared" si="32"/>
        <v>-----------------------</v>
      </c>
    </row>
    <row r="585" spans="1:26" s="241" customFormat="1" ht="46.5">
      <c r="A585" s="348"/>
      <c r="B585" s="306" t="s">
        <v>1006</v>
      </c>
      <c r="C585" s="306" t="s">
        <v>1006</v>
      </c>
      <c r="D585" s="235" t="str">
        <f t="shared" si="30"/>
        <v xml:space="preserve"> OK</v>
      </c>
      <c r="E585" s="254" t="s">
        <v>2090</v>
      </c>
      <c r="F585" s="254" t="s">
        <v>1006</v>
      </c>
      <c r="G585" s="298"/>
      <c r="H585" s="298" t="s">
        <v>1679</v>
      </c>
      <c r="I585" s="300"/>
      <c r="J585" s="300"/>
      <c r="K585" s="270"/>
      <c r="L585" s="301"/>
      <c r="M585" s="270"/>
      <c r="N585" s="270"/>
      <c r="O585" s="270"/>
      <c r="P585" s="270"/>
      <c r="Q585" s="270"/>
      <c r="R585" s="270"/>
      <c r="S585" s="270"/>
      <c r="T585" s="301"/>
      <c r="U585" s="270"/>
      <c r="V585" s="240"/>
      <c r="W585" s="238">
        <f t="shared" si="31"/>
        <v>0</v>
      </c>
      <c r="Y585" s="223" t="str">
        <f>'[4]Development - i'!E584</f>
        <v>n. In Thirteen floor Cement Concrete using desing mix of grade M25 concrete</v>
      </c>
      <c r="Z585" s="223" t="str">
        <f t="shared" si="32"/>
        <v>-----------------------</v>
      </c>
    </row>
    <row r="586" spans="1:26" s="241" customFormat="1" ht="108.75">
      <c r="A586" s="305">
        <v>9.1999999999999993</v>
      </c>
      <c r="B586" s="314" t="s">
        <v>1761</v>
      </c>
      <c r="C586" s="314" t="s">
        <v>669</v>
      </c>
      <c r="D586" s="235" t="str">
        <f t="shared" si="30"/>
        <v xml:space="preserve"> OK</v>
      </c>
      <c r="E586" s="254" t="s">
        <v>1762</v>
      </c>
      <c r="F586" s="254" t="s">
        <v>670</v>
      </c>
      <c r="G586" s="298"/>
      <c r="H586" s="298"/>
      <c r="I586" s="300"/>
      <c r="J586" s="300"/>
      <c r="K586" s="270"/>
      <c r="L586" s="301"/>
      <c r="M586" s="270"/>
      <c r="N586" s="270"/>
      <c r="O586" s="270"/>
      <c r="P586" s="270"/>
      <c r="Q586" s="270"/>
      <c r="R586" s="270"/>
      <c r="S586" s="270"/>
      <c r="T586" s="301"/>
      <c r="U586" s="270"/>
      <c r="V586" s="240"/>
      <c r="W586" s="238">
        <f t="shared" si="31"/>
        <v>0</v>
      </c>
      <c r="Y586" s="223" t="str">
        <f>'[4]Development - i'!E585</f>
        <v>Brick work in C.M. 1:6 using chamber Burnt bricks of size 23 x 11.4 x 7.5 cm (9" x 4 1/2"x 3")</v>
      </c>
      <c r="Z586" s="223" t="str">
        <f t="shared" si="32"/>
        <v>-----------------------</v>
      </c>
    </row>
    <row r="587" spans="1:26" s="241" customFormat="1">
      <c r="A587" s="348"/>
      <c r="B587" s="306" t="s">
        <v>728</v>
      </c>
      <c r="C587" s="306" t="s">
        <v>728</v>
      </c>
      <c r="D587" s="235" t="str">
        <f t="shared" si="30"/>
        <v xml:space="preserve"> OK</v>
      </c>
      <c r="E587" s="254" t="s">
        <v>728</v>
      </c>
      <c r="F587" s="254">
        <v>0</v>
      </c>
      <c r="G587" s="298">
        <f>[3]Data!AG360</f>
        <v>6421.79</v>
      </c>
      <c r="H587" s="298" t="s">
        <v>1679</v>
      </c>
      <c r="I587" s="300"/>
      <c r="J587" s="300"/>
      <c r="K587" s="270"/>
      <c r="L587" s="301"/>
      <c r="M587" s="270"/>
      <c r="N587" s="270"/>
      <c r="O587" s="270"/>
      <c r="P587" s="270"/>
      <c r="Q587" s="270"/>
      <c r="R587" s="270"/>
      <c r="S587" s="270"/>
      <c r="T587" s="301"/>
      <c r="U587" s="270"/>
      <c r="V587" s="240"/>
      <c r="W587" s="238">
        <f t="shared" si="31"/>
        <v>0</v>
      </c>
      <c r="Y587" s="223" t="str">
        <f>'[4]Development - i'!E586</f>
        <v>g. In Fifth Floor</v>
      </c>
      <c r="Z587" s="223" t="str">
        <f t="shared" si="32"/>
        <v>-----------------------</v>
      </c>
    </row>
    <row r="588" spans="1:26" s="241" customFormat="1">
      <c r="A588" s="348"/>
      <c r="B588" s="306" t="s">
        <v>729</v>
      </c>
      <c r="C588" s="306" t="s">
        <v>729</v>
      </c>
      <c r="D588" s="235" t="str">
        <f t="shared" si="30"/>
        <v xml:space="preserve"> OK</v>
      </c>
      <c r="E588" s="254" t="s">
        <v>729</v>
      </c>
      <c r="F588" s="254">
        <v>0</v>
      </c>
      <c r="G588" s="298">
        <f>[3]Data!AG361</f>
        <v>6547.06</v>
      </c>
      <c r="H588" s="298" t="s">
        <v>1679</v>
      </c>
      <c r="I588" s="300"/>
      <c r="J588" s="300"/>
      <c r="K588" s="270"/>
      <c r="L588" s="301"/>
      <c r="M588" s="270"/>
      <c r="N588" s="270"/>
      <c r="O588" s="270"/>
      <c r="P588" s="270"/>
      <c r="Q588" s="270"/>
      <c r="R588" s="270"/>
      <c r="S588" s="270"/>
      <c r="T588" s="301"/>
      <c r="U588" s="270"/>
      <c r="V588" s="240"/>
      <c r="W588" s="238">
        <f t="shared" si="31"/>
        <v>0</v>
      </c>
      <c r="Y588" s="223" t="str">
        <f>'[4]Development - i'!E587</f>
        <v>h. In Sixth Floor</v>
      </c>
      <c r="Z588" s="223" t="str">
        <f t="shared" si="32"/>
        <v>-----------------------</v>
      </c>
    </row>
    <row r="589" spans="1:26" s="241" customFormat="1">
      <c r="A589" s="348"/>
      <c r="B589" s="306" t="s">
        <v>730</v>
      </c>
      <c r="C589" s="306" t="s">
        <v>730</v>
      </c>
      <c r="D589" s="235" t="str">
        <f t="shared" si="30"/>
        <v xml:space="preserve"> OK</v>
      </c>
      <c r="E589" s="254" t="s">
        <v>730</v>
      </c>
      <c r="F589" s="254">
        <v>0</v>
      </c>
      <c r="G589" s="298">
        <f>[3]Data!AG362</f>
        <v>6672.33</v>
      </c>
      <c r="H589" s="298" t="s">
        <v>1679</v>
      </c>
      <c r="I589" s="300"/>
      <c r="J589" s="300"/>
      <c r="K589" s="270"/>
      <c r="L589" s="301"/>
      <c r="M589" s="270"/>
      <c r="N589" s="270"/>
      <c r="O589" s="270"/>
      <c r="P589" s="270"/>
      <c r="Q589" s="270"/>
      <c r="R589" s="270"/>
      <c r="S589" s="270"/>
      <c r="T589" s="301"/>
      <c r="U589" s="270"/>
      <c r="V589" s="240"/>
      <c r="W589" s="238">
        <f t="shared" si="31"/>
        <v>0</v>
      </c>
      <c r="Y589" s="223" t="str">
        <f>'[4]Development - i'!E588</f>
        <v>i. In Seventh Floor</v>
      </c>
      <c r="Z589" s="223" t="str">
        <f t="shared" si="32"/>
        <v>-----------------------</v>
      </c>
    </row>
    <row r="590" spans="1:26" s="241" customFormat="1">
      <c r="A590" s="348"/>
      <c r="B590" s="375" t="s">
        <v>1003</v>
      </c>
      <c r="C590" s="375" t="s">
        <v>1003</v>
      </c>
      <c r="D590" s="235" t="str">
        <f t="shared" si="30"/>
        <v xml:space="preserve"> OK</v>
      </c>
      <c r="E590" s="254" t="s">
        <v>1003</v>
      </c>
      <c r="F590" s="254">
        <v>0</v>
      </c>
      <c r="G590" s="298">
        <f>[3]Data!AG363</f>
        <v>6797.6</v>
      </c>
      <c r="H590" s="298" t="s">
        <v>1679</v>
      </c>
      <c r="I590" s="300"/>
      <c r="J590" s="300"/>
      <c r="K590" s="270"/>
      <c r="L590" s="301"/>
      <c r="M590" s="270"/>
      <c r="N590" s="270"/>
      <c r="O590" s="270"/>
      <c r="P590" s="270"/>
      <c r="Q590" s="270"/>
      <c r="R590" s="270"/>
      <c r="S590" s="270"/>
      <c r="T590" s="301"/>
      <c r="U590" s="270"/>
      <c r="V590" s="240"/>
      <c r="W590" s="238">
        <f t="shared" si="31"/>
        <v>0</v>
      </c>
      <c r="Y590" s="223" t="str">
        <f>'[4]Development - i'!E589</f>
        <v>j.in Eighth floor</v>
      </c>
      <c r="Z590" s="223" t="str">
        <f t="shared" si="32"/>
        <v>-----------------------</v>
      </c>
    </row>
    <row r="591" spans="1:26" s="241" customFormat="1">
      <c r="A591" s="348"/>
      <c r="B591" s="375" t="s">
        <v>1004</v>
      </c>
      <c r="C591" s="375" t="s">
        <v>1004</v>
      </c>
      <c r="D591" s="235" t="str">
        <f t="shared" si="30"/>
        <v xml:space="preserve"> OK</v>
      </c>
      <c r="E591" s="254" t="s">
        <v>1004</v>
      </c>
      <c r="F591" s="254">
        <v>0</v>
      </c>
      <c r="G591" s="298">
        <f>[3]Data!AG364</f>
        <v>6922.87</v>
      </c>
      <c r="H591" s="298" t="s">
        <v>1679</v>
      </c>
      <c r="I591" s="300"/>
      <c r="J591" s="300"/>
      <c r="K591" s="270"/>
      <c r="L591" s="301"/>
      <c r="M591" s="270"/>
      <c r="N591" s="270"/>
      <c r="O591" s="270"/>
      <c r="P591" s="270"/>
      <c r="Q591" s="270"/>
      <c r="R591" s="270"/>
      <c r="S591" s="270"/>
      <c r="T591" s="301"/>
      <c r="U591" s="270"/>
      <c r="V591" s="240"/>
      <c r="W591" s="238">
        <f t="shared" si="31"/>
        <v>0</v>
      </c>
      <c r="Y591" s="223" t="str">
        <f>'[4]Development - i'!E590</f>
        <v>k.in Ninth floor</v>
      </c>
      <c r="Z591" s="223" t="str">
        <f t="shared" si="32"/>
        <v>-----------------------</v>
      </c>
    </row>
    <row r="592" spans="1:26" s="241" customFormat="1">
      <c r="A592" s="348"/>
      <c r="B592" s="375" t="s">
        <v>1005</v>
      </c>
      <c r="C592" s="375" t="s">
        <v>1005</v>
      </c>
      <c r="D592" s="235" t="str">
        <f t="shared" si="30"/>
        <v xml:space="preserve"> OK</v>
      </c>
      <c r="E592" s="254" t="s">
        <v>1005</v>
      </c>
      <c r="F592" s="254">
        <v>0</v>
      </c>
      <c r="G592" s="298">
        <f>[3]Data!AG365</f>
        <v>7048.14</v>
      </c>
      <c r="H592" s="298"/>
      <c r="I592" s="300"/>
      <c r="J592" s="300"/>
      <c r="K592" s="270"/>
      <c r="L592" s="301"/>
      <c r="M592" s="270"/>
      <c r="N592" s="270"/>
      <c r="O592" s="270"/>
      <c r="P592" s="270"/>
      <c r="Q592" s="270"/>
      <c r="R592" s="270"/>
      <c r="S592" s="270"/>
      <c r="T592" s="301"/>
      <c r="U592" s="270"/>
      <c r="V592" s="240"/>
      <c r="W592" s="238">
        <f t="shared" si="31"/>
        <v>0</v>
      </c>
      <c r="Y592" s="223" t="str">
        <f>'[4]Development - i'!E591</f>
        <v>l.in Tenth floor</v>
      </c>
      <c r="Z592" s="223" t="str">
        <f t="shared" si="32"/>
        <v>-----------------------</v>
      </c>
    </row>
    <row r="593" spans="1:26" s="241" customFormat="1" ht="152.25">
      <c r="A593" s="305">
        <v>10.199999999999999</v>
      </c>
      <c r="B593" s="314" t="s">
        <v>1810</v>
      </c>
      <c r="C593" s="314" t="s">
        <v>690</v>
      </c>
      <c r="D593" s="235" t="str">
        <f t="shared" si="30"/>
        <v xml:space="preserve"> OK</v>
      </c>
      <c r="E593" s="254" t="s">
        <v>1811</v>
      </c>
      <c r="F593" s="254" t="s">
        <v>691</v>
      </c>
      <c r="G593" s="298"/>
      <c r="H593" s="298"/>
      <c r="I593" s="300"/>
      <c r="J593" s="300"/>
      <c r="K593" s="270"/>
      <c r="L593" s="301"/>
      <c r="M593" s="270"/>
      <c r="N593" s="270"/>
      <c r="O593" s="270"/>
      <c r="P593" s="270"/>
      <c r="Q593" s="270"/>
      <c r="R593" s="270"/>
      <c r="S593" s="270"/>
      <c r="T593" s="301"/>
      <c r="U593" s="270"/>
      <c r="V593" s="240"/>
      <c r="W593" s="238">
        <f t="shared" si="31"/>
        <v>0</v>
      </c>
      <c r="Y593" s="223" t="str">
        <f>'[4]Development - i'!E592</f>
        <v>Brick partition work in C.M. 1:4 using chamber Burnt bricks of size 23 x 11.4 x 7.5 cm (9" x 4 1/2"x 3") 114 mm tk (B.P.)</v>
      </c>
      <c r="Z593" s="223" t="str">
        <f t="shared" si="32"/>
        <v>-----------------------</v>
      </c>
    </row>
    <row r="594" spans="1:26" s="241" customFormat="1">
      <c r="A594" s="348"/>
      <c r="B594" s="306" t="s">
        <v>728</v>
      </c>
      <c r="C594" s="306" t="s">
        <v>728</v>
      </c>
      <c r="D594" s="235" t="str">
        <f t="shared" si="30"/>
        <v xml:space="preserve"> OK</v>
      </c>
      <c r="E594" s="254" t="s">
        <v>728</v>
      </c>
      <c r="F594" s="254">
        <v>0</v>
      </c>
      <c r="G594" s="298">
        <f>[3]Data!AG430</f>
        <v>799.36</v>
      </c>
      <c r="H594" s="298" t="s">
        <v>1679</v>
      </c>
      <c r="I594" s="300"/>
      <c r="J594" s="300"/>
      <c r="K594" s="270"/>
      <c r="L594" s="301"/>
      <c r="M594" s="270"/>
      <c r="N594" s="270"/>
      <c r="O594" s="270"/>
      <c r="P594" s="270"/>
      <c r="Q594" s="270"/>
      <c r="R594" s="270"/>
      <c r="S594" s="270"/>
      <c r="T594" s="301"/>
      <c r="U594" s="270"/>
      <c r="V594" s="240"/>
      <c r="W594" s="238">
        <f t="shared" si="31"/>
        <v>0</v>
      </c>
      <c r="Y594" s="223" t="str">
        <f>'[4]Development - i'!E593</f>
        <v>g. In Fifth Floor</v>
      </c>
      <c r="Z594" s="223" t="str">
        <f t="shared" si="32"/>
        <v>-----------------------</v>
      </c>
    </row>
    <row r="595" spans="1:26" s="241" customFormat="1">
      <c r="A595" s="348"/>
      <c r="B595" s="306" t="s">
        <v>729</v>
      </c>
      <c r="C595" s="306" t="s">
        <v>729</v>
      </c>
      <c r="D595" s="235" t="str">
        <f t="shared" si="30"/>
        <v xml:space="preserve"> OK</v>
      </c>
      <c r="E595" s="254" t="s">
        <v>729</v>
      </c>
      <c r="F595" s="254">
        <v>0</v>
      </c>
      <c r="G595" s="298">
        <f>[3]Data!AG431</f>
        <v>813.64</v>
      </c>
      <c r="H595" s="298" t="s">
        <v>1679</v>
      </c>
      <c r="I595" s="300"/>
      <c r="J595" s="300"/>
      <c r="K595" s="270"/>
      <c r="L595" s="301"/>
      <c r="M595" s="270"/>
      <c r="N595" s="270"/>
      <c r="O595" s="270"/>
      <c r="P595" s="270"/>
      <c r="Q595" s="270"/>
      <c r="R595" s="270"/>
      <c r="S595" s="270"/>
      <c r="T595" s="301"/>
      <c r="U595" s="270"/>
      <c r="V595" s="240"/>
      <c r="W595" s="238">
        <f t="shared" si="31"/>
        <v>0</v>
      </c>
      <c r="Y595" s="223" t="str">
        <f>'[4]Development - i'!E594</f>
        <v>h. In Sixth Floor</v>
      </c>
      <c r="Z595" s="223" t="str">
        <f t="shared" si="32"/>
        <v>-----------------------</v>
      </c>
    </row>
    <row r="596" spans="1:26" s="239" customFormat="1">
      <c r="A596" s="347"/>
      <c r="B596" s="290" t="s">
        <v>730</v>
      </c>
      <c r="C596" s="290" t="s">
        <v>730</v>
      </c>
      <c r="D596" s="235" t="str">
        <f t="shared" si="30"/>
        <v xml:space="preserve"> OK</v>
      </c>
      <c r="E596" s="254" t="s">
        <v>730</v>
      </c>
      <c r="F596" s="254">
        <v>0</v>
      </c>
      <c r="G596" s="298">
        <f>[3]Data!AG432</f>
        <v>827.92</v>
      </c>
      <c r="H596" s="298" t="s">
        <v>1679</v>
      </c>
      <c r="I596" s="300"/>
      <c r="J596" s="300"/>
      <c r="K596" s="270"/>
      <c r="L596" s="301"/>
      <c r="M596" s="270"/>
      <c r="N596" s="270"/>
      <c r="O596" s="270"/>
      <c r="P596" s="270"/>
      <c r="Q596" s="270"/>
      <c r="R596" s="270"/>
      <c r="S596" s="270"/>
      <c r="T596" s="301"/>
      <c r="U596" s="270"/>
      <c r="V596" s="240"/>
      <c r="W596" s="238">
        <f t="shared" si="31"/>
        <v>0</v>
      </c>
      <c r="Y596" s="223" t="str">
        <f>'[4]Development - i'!E595</f>
        <v>i. In Seventh Floor</v>
      </c>
      <c r="Z596" s="223" t="str">
        <f t="shared" si="32"/>
        <v>-----------------------</v>
      </c>
    </row>
    <row r="597" spans="1:26" s="241" customFormat="1">
      <c r="A597" s="348"/>
      <c r="B597" s="375" t="s">
        <v>1003</v>
      </c>
      <c r="C597" s="375" t="s">
        <v>1003</v>
      </c>
      <c r="D597" s="235" t="str">
        <f t="shared" si="30"/>
        <v xml:space="preserve"> OK</v>
      </c>
      <c r="E597" s="254" t="s">
        <v>1003</v>
      </c>
      <c r="F597" s="254">
        <v>0</v>
      </c>
      <c r="G597" s="298">
        <f>[3]Data!AG433</f>
        <v>842.2</v>
      </c>
      <c r="H597" s="298" t="s">
        <v>1679</v>
      </c>
      <c r="I597" s="300"/>
      <c r="J597" s="300"/>
      <c r="K597" s="270"/>
      <c r="L597" s="301"/>
      <c r="M597" s="270"/>
      <c r="N597" s="270"/>
      <c r="O597" s="270"/>
      <c r="P597" s="270"/>
      <c r="Q597" s="270"/>
      <c r="R597" s="270"/>
      <c r="S597" s="270"/>
      <c r="T597" s="301"/>
      <c r="U597" s="270"/>
      <c r="V597" s="240"/>
      <c r="W597" s="238">
        <f t="shared" si="31"/>
        <v>0</v>
      </c>
      <c r="Y597" s="223" t="str">
        <f>'[4]Development - i'!E596</f>
        <v>j.in Eighth floor</v>
      </c>
      <c r="Z597" s="223" t="str">
        <f t="shared" si="32"/>
        <v>-----------------------</v>
      </c>
    </row>
    <row r="598" spans="1:26" s="241" customFormat="1">
      <c r="A598" s="348"/>
      <c r="B598" s="375" t="s">
        <v>1004</v>
      </c>
      <c r="C598" s="375" t="s">
        <v>1004</v>
      </c>
      <c r="D598" s="235" t="str">
        <f t="shared" si="30"/>
        <v xml:space="preserve"> OK</v>
      </c>
      <c r="E598" s="254" t="s">
        <v>1004</v>
      </c>
      <c r="F598" s="254">
        <v>0</v>
      </c>
      <c r="G598" s="298">
        <f>[3]Data!AG434</f>
        <v>856.48</v>
      </c>
      <c r="H598" s="298" t="s">
        <v>1679</v>
      </c>
      <c r="I598" s="300"/>
      <c r="J598" s="300"/>
      <c r="K598" s="270"/>
      <c r="L598" s="301"/>
      <c r="M598" s="270"/>
      <c r="N598" s="270"/>
      <c r="O598" s="270"/>
      <c r="P598" s="270"/>
      <c r="Q598" s="270"/>
      <c r="R598" s="270"/>
      <c r="S598" s="270"/>
      <c r="T598" s="301"/>
      <c r="U598" s="270"/>
      <c r="V598" s="240"/>
      <c r="W598" s="238">
        <f t="shared" si="31"/>
        <v>0</v>
      </c>
      <c r="Y598" s="223" t="str">
        <f>'[4]Development - i'!E597</f>
        <v>k.in Ninth floor</v>
      </c>
      <c r="Z598" s="223" t="str">
        <f t="shared" si="32"/>
        <v>-----------------------</v>
      </c>
    </row>
    <row r="599" spans="1:26" s="241" customFormat="1" ht="87">
      <c r="A599" s="305">
        <v>11.2</v>
      </c>
      <c r="B599" s="314" t="s">
        <v>1869</v>
      </c>
      <c r="C599" s="314" t="s">
        <v>711</v>
      </c>
      <c r="D599" s="235" t="str">
        <f t="shared" si="30"/>
        <v xml:space="preserve"> OK</v>
      </c>
      <c r="E599" s="254" t="s">
        <v>1870</v>
      </c>
      <c r="F599" s="254" t="s">
        <v>712</v>
      </c>
      <c r="G599" s="298"/>
      <c r="H599" s="298"/>
      <c r="I599" s="300"/>
      <c r="J599" s="300"/>
      <c r="K599" s="270"/>
      <c r="L599" s="301"/>
      <c r="M599" s="270"/>
      <c r="N599" s="270"/>
      <c r="O599" s="270"/>
      <c r="P599" s="270"/>
      <c r="Q599" s="270"/>
      <c r="R599" s="270"/>
      <c r="S599" s="270"/>
      <c r="T599" s="301"/>
      <c r="U599" s="270"/>
      <c r="V599" s="240"/>
      <c r="W599" s="238">
        <f t="shared" si="31"/>
        <v>0</v>
      </c>
      <c r="Y599" s="223" t="str">
        <f>'[4]Development - i'!E598</f>
        <v>Brick work in C.M. 1:4 using chamber Burnt bricks of size 23 x 11.4 x 7.5 cm (9" x 4 1/2"x 3") 75 mm tk (B.P.)</v>
      </c>
      <c r="Z599" s="223" t="str">
        <f t="shared" si="32"/>
        <v>-----------------------</v>
      </c>
    </row>
    <row r="600" spans="1:26" s="241" customFormat="1">
      <c r="A600" s="348"/>
      <c r="B600" s="306" t="s">
        <v>728</v>
      </c>
      <c r="C600" s="306" t="s">
        <v>728</v>
      </c>
      <c r="D600" s="235" t="str">
        <f t="shared" si="30"/>
        <v xml:space="preserve"> OK</v>
      </c>
      <c r="E600" s="254" t="s">
        <v>728</v>
      </c>
      <c r="F600" s="254">
        <v>0</v>
      </c>
      <c r="G600" s="298">
        <f>[3]Data!AG469</f>
        <v>572.34</v>
      </c>
      <c r="H600" s="298" t="s">
        <v>26</v>
      </c>
      <c r="I600" s="300"/>
      <c r="J600" s="300"/>
      <c r="K600" s="270"/>
      <c r="L600" s="301"/>
      <c r="M600" s="270"/>
      <c r="N600" s="270"/>
      <c r="O600" s="270"/>
      <c r="P600" s="270"/>
      <c r="Q600" s="270"/>
      <c r="R600" s="270"/>
      <c r="S600" s="270"/>
      <c r="T600" s="301"/>
      <c r="U600" s="270"/>
      <c r="V600" s="240"/>
      <c r="W600" s="238">
        <f t="shared" si="31"/>
        <v>0</v>
      </c>
      <c r="Y600" s="223" t="str">
        <f>'[4]Development - i'!E599</f>
        <v>g. In Fifth Floor</v>
      </c>
      <c r="Z600" s="223" t="str">
        <f t="shared" si="32"/>
        <v>-----------------------</v>
      </c>
    </row>
    <row r="601" spans="1:26" s="241" customFormat="1">
      <c r="A601" s="348"/>
      <c r="B601" s="306" t="s">
        <v>729</v>
      </c>
      <c r="C601" s="306" t="s">
        <v>729</v>
      </c>
      <c r="D601" s="235" t="str">
        <f t="shared" ref="D601:D664" si="33">IF(B601=C601," OK","nun")</f>
        <v xml:space="preserve"> OK</v>
      </c>
      <c r="E601" s="254" t="s">
        <v>729</v>
      </c>
      <c r="F601" s="254">
        <v>0</v>
      </c>
      <c r="G601" s="298">
        <f>[3]Data!AG470</f>
        <v>581.74</v>
      </c>
      <c r="H601" s="298" t="s">
        <v>26</v>
      </c>
      <c r="I601" s="300"/>
      <c r="J601" s="300"/>
      <c r="K601" s="270"/>
      <c r="L601" s="301"/>
      <c r="M601" s="270"/>
      <c r="N601" s="270"/>
      <c r="O601" s="270"/>
      <c r="P601" s="270"/>
      <c r="Q601" s="270"/>
      <c r="R601" s="270"/>
      <c r="S601" s="270"/>
      <c r="T601" s="301"/>
      <c r="U601" s="270"/>
      <c r="V601" s="240"/>
      <c r="W601" s="238">
        <f t="shared" si="31"/>
        <v>0</v>
      </c>
      <c r="Y601" s="223" t="str">
        <f>'[4]Development - i'!E600</f>
        <v>h. In Sixth Floor</v>
      </c>
      <c r="Z601" s="223" t="str">
        <f t="shared" si="32"/>
        <v>-----------------------</v>
      </c>
    </row>
    <row r="602" spans="1:26" s="241" customFormat="1">
      <c r="A602" s="348"/>
      <c r="B602" s="306" t="s">
        <v>730</v>
      </c>
      <c r="C602" s="306" t="s">
        <v>730</v>
      </c>
      <c r="D602" s="235" t="str">
        <f t="shared" si="33"/>
        <v xml:space="preserve"> OK</v>
      </c>
      <c r="E602" s="254" t="s">
        <v>730</v>
      </c>
      <c r="F602" s="254">
        <v>0</v>
      </c>
      <c r="G602" s="298">
        <f>[3]Data!AG471</f>
        <v>591.14</v>
      </c>
      <c r="H602" s="298" t="s">
        <v>26</v>
      </c>
      <c r="I602" s="300"/>
      <c r="J602" s="300"/>
      <c r="K602" s="270"/>
      <c r="L602" s="301"/>
      <c r="M602" s="270"/>
      <c r="N602" s="270"/>
      <c r="O602" s="270"/>
      <c r="P602" s="270"/>
      <c r="Q602" s="270"/>
      <c r="R602" s="270"/>
      <c r="S602" s="270"/>
      <c r="T602" s="301"/>
      <c r="U602" s="270"/>
      <c r="V602" s="240"/>
      <c r="W602" s="238">
        <f t="shared" si="31"/>
        <v>0</v>
      </c>
      <c r="Y602" s="223" t="str">
        <f>'[4]Development - i'!E601</f>
        <v>i. In Seventh Floor</v>
      </c>
      <c r="Z602" s="223" t="str">
        <f t="shared" si="32"/>
        <v>-----------------------</v>
      </c>
    </row>
    <row r="603" spans="1:26" s="241" customFormat="1">
      <c r="A603" s="348"/>
      <c r="B603" s="375" t="s">
        <v>1007</v>
      </c>
      <c r="C603" s="375" t="s">
        <v>1007</v>
      </c>
      <c r="D603" s="235" t="str">
        <f t="shared" si="33"/>
        <v xml:space="preserve"> OK</v>
      </c>
      <c r="E603" s="254" t="s">
        <v>1007</v>
      </c>
      <c r="F603" s="254">
        <v>0</v>
      </c>
      <c r="G603" s="298">
        <f>[3]Data!AG472</f>
        <v>600.54</v>
      </c>
      <c r="H603" s="298" t="s">
        <v>26</v>
      </c>
      <c r="I603" s="300"/>
      <c r="J603" s="300"/>
      <c r="K603" s="270"/>
      <c r="L603" s="301"/>
      <c r="M603" s="270"/>
      <c r="N603" s="270"/>
      <c r="O603" s="270"/>
      <c r="P603" s="270"/>
      <c r="Q603" s="270"/>
      <c r="R603" s="270"/>
      <c r="S603" s="270"/>
      <c r="T603" s="301"/>
      <c r="U603" s="270"/>
      <c r="V603" s="240"/>
      <c r="W603" s="238">
        <f t="shared" si="31"/>
        <v>0</v>
      </c>
      <c r="Y603" s="223" t="str">
        <f>'[4]Development - i'!E602</f>
        <v>j. In Eighth floor</v>
      </c>
      <c r="Z603" s="223" t="str">
        <f t="shared" si="32"/>
        <v>-----------------------</v>
      </c>
    </row>
    <row r="604" spans="1:26" s="241" customFormat="1">
      <c r="A604" s="348"/>
      <c r="B604" s="375" t="s">
        <v>1004</v>
      </c>
      <c r="C604" s="375" t="s">
        <v>1004</v>
      </c>
      <c r="D604" s="235" t="str">
        <f t="shared" si="33"/>
        <v xml:space="preserve"> OK</v>
      </c>
      <c r="E604" s="254" t="s">
        <v>1004</v>
      </c>
      <c r="F604" s="254">
        <v>0</v>
      </c>
      <c r="G604" s="298">
        <f>[3]Data!AG473</f>
        <v>609.94000000000005</v>
      </c>
      <c r="H604" s="298" t="s">
        <v>26</v>
      </c>
      <c r="I604" s="300"/>
      <c r="J604" s="300"/>
      <c r="K604" s="270"/>
      <c r="L604" s="301"/>
      <c r="M604" s="270"/>
      <c r="N604" s="270"/>
      <c r="O604" s="270"/>
      <c r="P604" s="270"/>
      <c r="Q604" s="270"/>
      <c r="R604" s="270"/>
      <c r="S604" s="270"/>
      <c r="T604" s="301"/>
      <c r="U604" s="270"/>
      <c r="V604" s="240"/>
      <c r="W604" s="238">
        <f t="shared" si="31"/>
        <v>0</v>
      </c>
      <c r="Y604" s="223" t="str">
        <f>'[4]Development - i'!E603</f>
        <v>k.in Ninth floor</v>
      </c>
      <c r="Z604" s="223" t="str">
        <f t="shared" si="32"/>
        <v>-----------------------</v>
      </c>
    </row>
    <row r="605" spans="1:26" s="241" customFormat="1">
      <c r="A605" s="348"/>
      <c r="B605" s="306" t="s">
        <v>1008</v>
      </c>
      <c r="C605" s="306" t="s">
        <v>1008</v>
      </c>
      <c r="D605" s="235" t="str">
        <f t="shared" si="33"/>
        <v xml:space="preserve"> OK</v>
      </c>
      <c r="E605" s="254" t="s">
        <v>1008</v>
      </c>
      <c r="F605" s="254">
        <v>0</v>
      </c>
      <c r="G605" s="298">
        <v>2796.22</v>
      </c>
      <c r="H605" s="298" t="s">
        <v>19</v>
      </c>
      <c r="I605" s="300"/>
      <c r="J605" s="300"/>
      <c r="K605" s="270"/>
      <c r="L605" s="301"/>
      <c r="M605" s="270"/>
      <c r="N605" s="270"/>
      <c r="O605" s="270"/>
      <c r="P605" s="270"/>
      <c r="Q605" s="270"/>
      <c r="R605" s="270"/>
      <c r="S605" s="270"/>
      <c r="T605" s="301"/>
      <c r="U605" s="270"/>
      <c r="V605" s="240"/>
      <c r="W605" s="238">
        <f t="shared" si="31"/>
        <v>0</v>
      </c>
      <c r="Y605" s="223" t="str">
        <f>'[4]Development - i'!E604</f>
        <v xml:space="preserve">Supply and laying of Hard core layer 200mm </v>
      </c>
      <c r="Z605" s="223" t="str">
        <f t="shared" si="32"/>
        <v>-----------------------</v>
      </c>
    </row>
    <row r="606" spans="1:26" s="241" customFormat="1">
      <c r="A606" s="348"/>
      <c r="B606" s="375" t="s">
        <v>1009</v>
      </c>
      <c r="C606" s="375" t="s">
        <v>1009</v>
      </c>
      <c r="D606" s="235" t="str">
        <f t="shared" si="33"/>
        <v xml:space="preserve"> OK</v>
      </c>
      <c r="E606" s="254" t="s">
        <v>1009</v>
      </c>
      <c r="F606" s="254">
        <v>0</v>
      </c>
      <c r="G606" s="298">
        <f>[3]Data!R159</f>
        <v>150.87</v>
      </c>
      <c r="H606" s="298" t="s">
        <v>1679</v>
      </c>
      <c r="I606" s="300"/>
      <c r="J606" s="300"/>
      <c r="K606" s="270"/>
      <c r="L606" s="301"/>
      <c r="M606" s="270"/>
      <c r="N606" s="270"/>
      <c r="O606" s="270"/>
      <c r="P606" s="270"/>
      <c r="Q606" s="270"/>
      <c r="R606" s="270"/>
      <c r="S606" s="270"/>
      <c r="T606" s="301"/>
      <c r="U606" s="270"/>
      <c r="V606" s="240"/>
      <c r="W606" s="238">
        <f t="shared" si="31"/>
        <v>0</v>
      </c>
      <c r="Y606" s="223" t="str">
        <f>'[4]Development - i'!E605</f>
        <v>Supplying and filling stone dust</v>
      </c>
      <c r="Z606" s="223" t="str">
        <f t="shared" si="32"/>
        <v>-----------------------</v>
      </c>
    </row>
    <row r="607" spans="1:26" s="239" customFormat="1" ht="87">
      <c r="A607" s="376"/>
      <c r="B607" s="290" t="s">
        <v>378</v>
      </c>
      <c r="C607" s="290" t="s">
        <v>378</v>
      </c>
      <c r="D607" s="235" t="str">
        <f t="shared" si="33"/>
        <v xml:space="preserve"> OK</v>
      </c>
      <c r="E607" s="254" t="s">
        <v>378</v>
      </c>
      <c r="F607" s="254" t="s">
        <v>1010</v>
      </c>
      <c r="G607" s="298">
        <f>[3]Data!K1460</f>
        <v>234.34</v>
      </c>
      <c r="H607" s="298" t="s">
        <v>26</v>
      </c>
      <c r="I607" s="300"/>
      <c r="J607" s="300"/>
      <c r="K607" s="270"/>
      <c r="L607" s="301"/>
      <c r="M607" s="270"/>
      <c r="N607" s="270"/>
      <c r="O607" s="270"/>
      <c r="P607" s="270"/>
      <c r="Q607" s="270"/>
      <c r="R607" s="270"/>
      <c r="S607" s="270"/>
      <c r="T607" s="301"/>
      <c r="U607" s="270"/>
      <c r="V607" s="242"/>
      <c r="W607" s="238">
        <f t="shared" si="31"/>
        <v>0</v>
      </c>
      <c r="Y607" s="223" t="str">
        <f>'[4]Development - i'!E606</f>
        <v>Plastering with CM 1:3, 12mm with WPC</v>
      </c>
      <c r="Z607" s="223" t="str">
        <f t="shared" si="32"/>
        <v>-----------------------</v>
      </c>
    </row>
    <row r="608" spans="1:26" s="252" customFormat="1" ht="87">
      <c r="A608" s="377"/>
      <c r="B608" s="289" t="s">
        <v>278</v>
      </c>
      <c r="C608" s="290" t="s">
        <v>278</v>
      </c>
      <c r="D608" s="235" t="str">
        <f t="shared" si="33"/>
        <v xml:space="preserve"> OK</v>
      </c>
      <c r="E608" s="254" t="s">
        <v>278</v>
      </c>
      <c r="F608" s="254" t="s">
        <v>1011</v>
      </c>
      <c r="G608" s="298">
        <f>[3]Data!R149</f>
        <v>344.77</v>
      </c>
      <c r="H608" s="298" t="s">
        <v>19</v>
      </c>
      <c r="I608" s="299"/>
      <c r="J608" s="300"/>
      <c r="K608" s="270"/>
      <c r="L608" s="301"/>
      <c r="M608" s="270"/>
      <c r="N608" s="270"/>
      <c r="O608" s="270"/>
      <c r="P608" s="270"/>
      <c r="Q608" s="270"/>
      <c r="R608" s="270"/>
      <c r="S608" s="270"/>
      <c r="T608" s="301"/>
      <c r="U608" s="302"/>
      <c r="V608" s="236">
        <f>'[3]Precast Compound wall '!H166</f>
        <v>33</v>
      </c>
      <c r="W608" s="233">
        <f t="shared" si="31"/>
        <v>203232.81</v>
      </c>
      <c r="Y608" s="223" t="str">
        <f>'[4]Development - i'!E607</f>
        <v xml:space="preserve">Supplying and filling with gravel </v>
      </c>
      <c r="Z608" s="223" t="str">
        <f t="shared" si="32"/>
        <v>-----------------------</v>
      </c>
    </row>
    <row r="609" spans="1:26" s="239" customFormat="1" ht="46.5">
      <c r="A609" s="378"/>
      <c r="B609" s="322" t="s">
        <v>2091</v>
      </c>
      <c r="C609" s="322" t="s">
        <v>1012</v>
      </c>
      <c r="D609" s="235" t="str">
        <f t="shared" si="33"/>
        <v xml:space="preserve"> OK</v>
      </c>
      <c r="E609" s="254" t="s">
        <v>2092</v>
      </c>
      <c r="F609" s="254">
        <v>0</v>
      </c>
      <c r="G609" s="298">
        <f>[3]Data!K376</f>
        <v>6158.57</v>
      </c>
      <c r="H609" s="298" t="s">
        <v>19</v>
      </c>
      <c r="I609" s="300"/>
      <c r="J609" s="300"/>
      <c r="K609" s="270"/>
      <c r="L609" s="301"/>
      <c r="M609" s="270"/>
      <c r="N609" s="270"/>
      <c r="O609" s="270"/>
      <c r="P609" s="270"/>
      <c r="Q609" s="270"/>
      <c r="R609" s="270"/>
      <c r="S609" s="270"/>
      <c r="T609" s="301"/>
      <c r="U609" s="270"/>
      <c r="V609" s="240"/>
      <c r="W609" s="238">
        <f t="shared" si="31"/>
        <v>0</v>
      </c>
      <c r="Y609" s="223" t="str">
        <f>'[4]Development - i'!E608</f>
        <v>B.W in CM 1:4 in Superstructure for OHT in First floor</v>
      </c>
      <c r="Z609" s="223" t="str">
        <f t="shared" si="32"/>
        <v>-----------------------</v>
      </c>
    </row>
    <row r="610" spans="1:26" s="241" customFormat="1" ht="46.5">
      <c r="A610" s="379"/>
      <c r="B610" s="306" t="s">
        <v>2093</v>
      </c>
      <c r="C610" s="306" t="s">
        <v>1013</v>
      </c>
      <c r="D610" s="235" t="str">
        <f t="shared" si="33"/>
        <v xml:space="preserve"> OK</v>
      </c>
      <c r="E610" s="254" t="s">
        <v>2094</v>
      </c>
      <c r="F610" s="254">
        <v>0</v>
      </c>
      <c r="G610" s="298">
        <f>[3]Data!K377</f>
        <v>6283.84</v>
      </c>
      <c r="H610" s="298" t="s">
        <v>19</v>
      </c>
      <c r="I610" s="300"/>
      <c r="J610" s="300"/>
      <c r="K610" s="270"/>
      <c r="L610" s="301"/>
      <c r="M610" s="270"/>
      <c r="N610" s="270"/>
      <c r="O610" s="270"/>
      <c r="P610" s="270"/>
      <c r="Q610" s="270"/>
      <c r="R610" s="270"/>
      <c r="S610" s="270"/>
      <c r="T610" s="301"/>
      <c r="U610" s="270"/>
      <c r="V610" s="240"/>
      <c r="W610" s="238">
        <f t="shared" si="31"/>
        <v>0</v>
      </c>
      <c r="Y610" s="223" t="str">
        <f>'[4]Development - i'!E609</f>
        <v>B.W in CM 1:4 in Superstructure for OHT in Second  floor</v>
      </c>
      <c r="Z610" s="223" t="str">
        <f t="shared" si="32"/>
        <v>-----------------------</v>
      </c>
    </row>
    <row r="611" spans="1:26" s="239" customFormat="1" ht="46.5">
      <c r="A611" s="232"/>
      <c r="B611" s="290" t="s">
        <v>2095</v>
      </c>
      <c r="C611" s="290" t="s">
        <v>1014</v>
      </c>
      <c r="D611" s="235" t="str">
        <f t="shared" si="33"/>
        <v xml:space="preserve"> OK</v>
      </c>
      <c r="E611" s="254" t="s">
        <v>2096</v>
      </c>
      <c r="F611" s="254">
        <v>0</v>
      </c>
      <c r="G611" s="298">
        <f>[3]Data!$K$378</f>
        <v>6409.11</v>
      </c>
      <c r="H611" s="298" t="s">
        <v>19</v>
      </c>
      <c r="I611" s="300"/>
      <c r="J611" s="300"/>
      <c r="K611" s="270"/>
      <c r="L611" s="301"/>
      <c r="M611" s="270"/>
      <c r="N611" s="270"/>
      <c r="O611" s="270"/>
      <c r="P611" s="270"/>
      <c r="Q611" s="270"/>
      <c r="R611" s="270"/>
      <c r="S611" s="270"/>
      <c r="T611" s="301"/>
      <c r="U611" s="270"/>
      <c r="V611" s="240"/>
      <c r="W611" s="238">
        <f t="shared" si="31"/>
        <v>0</v>
      </c>
      <c r="Y611" s="223" t="str">
        <f>'[4]Development - i'!E610</f>
        <v>B.W in CM 1:4 in Superstructure for OHTIn Third  floor</v>
      </c>
      <c r="Z611" s="223" t="str">
        <f t="shared" si="32"/>
        <v>ERRR</v>
      </c>
    </row>
    <row r="612" spans="1:26" s="239" customFormat="1" ht="46.5">
      <c r="A612" s="232"/>
      <c r="B612" s="290" t="s">
        <v>2097</v>
      </c>
      <c r="C612" s="290" t="s">
        <v>1015</v>
      </c>
      <c r="D612" s="235" t="str">
        <f t="shared" si="33"/>
        <v xml:space="preserve"> OK</v>
      </c>
      <c r="E612" s="254" t="s">
        <v>2098</v>
      </c>
      <c r="F612" s="254">
        <v>0</v>
      </c>
      <c r="G612" s="298">
        <f>[3]Data!K379</f>
        <v>6534.38</v>
      </c>
      <c r="H612" s="298" t="s">
        <v>19</v>
      </c>
      <c r="I612" s="300"/>
      <c r="J612" s="300"/>
      <c r="K612" s="270"/>
      <c r="L612" s="301"/>
      <c r="M612" s="270"/>
      <c r="N612" s="270"/>
      <c r="O612" s="270"/>
      <c r="P612" s="270"/>
      <c r="Q612" s="270"/>
      <c r="R612" s="270"/>
      <c r="S612" s="270"/>
      <c r="T612" s="301"/>
      <c r="U612" s="270"/>
      <c r="V612" s="240"/>
      <c r="W612" s="238">
        <f t="shared" si="31"/>
        <v>0</v>
      </c>
      <c r="Y612" s="223" t="str">
        <f>'[4]Development - i'!E611</f>
        <v>B.W in CM 1:4 in Superstructure for OHT In Fourth  floor</v>
      </c>
      <c r="Z612" s="223" t="str">
        <f t="shared" si="32"/>
        <v>-----------------------</v>
      </c>
    </row>
    <row r="613" spans="1:26" s="241" customFormat="1" ht="46.5">
      <c r="A613" s="326"/>
      <c r="B613" s="306" t="s">
        <v>2099</v>
      </c>
      <c r="C613" s="306" t="s">
        <v>1016</v>
      </c>
      <c r="D613" s="235" t="str">
        <f t="shared" si="33"/>
        <v xml:space="preserve"> OK</v>
      </c>
      <c r="E613" s="254" t="s">
        <v>2100</v>
      </c>
      <c r="F613" s="254">
        <v>0</v>
      </c>
      <c r="G613" s="298">
        <f>[3]Data!X93</f>
        <v>126.82</v>
      </c>
      <c r="H613" s="298"/>
      <c r="I613" s="300"/>
      <c r="J613" s="300"/>
      <c r="K613" s="270"/>
      <c r="L613" s="301"/>
      <c r="M613" s="270"/>
      <c r="N613" s="270"/>
      <c r="O613" s="270"/>
      <c r="P613" s="270"/>
      <c r="Q613" s="270"/>
      <c r="R613" s="270"/>
      <c r="S613" s="270"/>
      <c r="T613" s="301"/>
      <c r="U613" s="270"/>
      <c r="V613" s="240"/>
      <c r="W613" s="238">
        <f t="shared" si="31"/>
        <v>0</v>
      </c>
      <c r="Y613" s="223" t="str">
        <f>'[4]Development - i'!E612</f>
        <v>Earth work excavation in Loose / sandy soils (including refilling)</v>
      </c>
      <c r="Z613" s="223" t="str">
        <f t="shared" si="32"/>
        <v>-----------------------</v>
      </c>
    </row>
    <row r="614" spans="1:26" s="241" customFormat="1" ht="46.5">
      <c r="A614" s="326"/>
      <c r="B614" s="306" t="s">
        <v>2101</v>
      </c>
      <c r="C614" s="306" t="s">
        <v>1017</v>
      </c>
      <c r="D614" s="235" t="str">
        <f t="shared" si="33"/>
        <v xml:space="preserve"> OK</v>
      </c>
      <c r="E614" s="254" t="s">
        <v>2102</v>
      </c>
      <c r="F614" s="254">
        <v>0</v>
      </c>
      <c r="G614" s="298">
        <f>[3]Data!X123</f>
        <v>58.91</v>
      </c>
      <c r="H614" s="298"/>
      <c r="I614" s="300"/>
      <c r="J614" s="300"/>
      <c r="K614" s="270"/>
      <c r="L614" s="301"/>
      <c r="M614" s="270"/>
      <c r="N614" s="270"/>
      <c r="O614" s="270"/>
      <c r="P614" s="270"/>
      <c r="Q614" s="270"/>
      <c r="R614" s="270"/>
      <c r="S614" s="270"/>
      <c r="T614" s="301"/>
      <c r="U614" s="270"/>
      <c r="V614" s="240"/>
      <c r="W614" s="238">
        <f t="shared" si="31"/>
        <v>0</v>
      </c>
      <c r="Y614" s="223" t="str">
        <f>'[4]Development - i'!E613</f>
        <v>Earth work excavation in Loose / sandy soils (excluding refilling) for open foundation</v>
      </c>
      <c r="Z614" s="223" t="str">
        <f t="shared" si="32"/>
        <v>-----------------------</v>
      </c>
    </row>
    <row r="615" spans="1:26" s="241" customFormat="1" ht="46.5">
      <c r="A615" s="326"/>
      <c r="B615" s="306" t="s">
        <v>2103</v>
      </c>
      <c r="C615" s="306" t="s">
        <v>1018</v>
      </c>
      <c r="D615" s="235" t="str">
        <f t="shared" si="33"/>
        <v xml:space="preserve"> OK</v>
      </c>
      <c r="E615" s="254" t="s">
        <v>2104</v>
      </c>
      <c r="F615" s="254">
        <v>0</v>
      </c>
      <c r="G615" s="298">
        <f>[3]Data!X138</f>
        <v>88.37</v>
      </c>
      <c r="H615" s="298"/>
      <c r="I615" s="300"/>
      <c r="J615" s="300"/>
      <c r="K615" s="270"/>
      <c r="L615" s="301"/>
      <c r="M615" s="270"/>
      <c r="N615" s="270"/>
      <c r="O615" s="270"/>
      <c r="P615" s="270"/>
      <c r="Q615" s="270"/>
      <c r="R615" s="270"/>
      <c r="S615" s="270"/>
      <c r="T615" s="301"/>
      <c r="U615" s="270"/>
      <c r="V615" s="240"/>
      <c r="W615" s="238">
        <f t="shared" si="31"/>
        <v>0</v>
      </c>
      <c r="Y615" s="223" t="str">
        <f>'[4]Development - i'!E614</f>
        <v>Earth work excavation in Loose / sandy soils (excluding refilling) for drain</v>
      </c>
      <c r="Z615" s="223" t="str">
        <f t="shared" si="32"/>
        <v>-----------------------</v>
      </c>
    </row>
    <row r="616" spans="1:26" s="241" customFormat="1">
      <c r="A616" s="348">
        <v>8.4</v>
      </c>
      <c r="B616" s="314" t="s">
        <v>1019</v>
      </c>
      <c r="C616" s="314" t="s">
        <v>1019</v>
      </c>
      <c r="D616" s="235" t="str">
        <f t="shared" si="33"/>
        <v xml:space="preserve"> OK</v>
      </c>
      <c r="E616" s="254" t="s">
        <v>1019</v>
      </c>
      <c r="F616" s="254">
        <v>0</v>
      </c>
      <c r="G616" s="298"/>
      <c r="H616" s="298"/>
      <c r="I616" s="300"/>
      <c r="J616" s="300"/>
      <c r="K616" s="270"/>
      <c r="L616" s="301"/>
      <c r="M616" s="270"/>
      <c r="N616" s="270"/>
      <c r="O616" s="270"/>
      <c r="P616" s="270"/>
      <c r="Q616" s="270"/>
      <c r="R616" s="270"/>
      <c r="S616" s="270"/>
      <c r="T616" s="301"/>
      <c r="U616" s="270"/>
      <c r="V616" s="240"/>
      <c r="W616" s="238">
        <f t="shared" si="31"/>
        <v>0</v>
      </c>
      <c r="Y616" s="223" t="str">
        <f>'[4]Development - i'!E615</f>
        <v>Providing earth quake resistant for Corner walls</v>
      </c>
      <c r="Z616" s="223" t="str">
        <f t="shared" si="32"/>
        <v>-----------------------</v>
      </c>
    </row>
    <row r="617" spans="1:26" s="241" customFormat="1">
      <c r="A617" s="348"/>
      <c r="B617" s="306" t="s">
        <v>964</v>
      </c>
      <c r="C617" s="306" t="s">
        <v>964</v>
      </c>
      <c r="D617" s="235" t="str">
        <f t="shared" si="33"/>
        <v xml:space="preserve"> OK</v>
      </c>
      <c r="E617" s="254" t="s">
        <v>964</v>
      </c>
      <c r="F617" s="254">
        <v>0</v>
      </c>
      <c r="G617" s="298">
        <f>ROUND([3]Data!K2929,2)</f>
        <v>6214.02</v>
      </c>
      <c r="H617" s="298" t="s">
        <v>19</v>
      </c>
      <c r="I617" s="300"/>
      <c r="J617" s="300"/>
      <c r="K617" s="270"/>
      <c r="L617" s="301"/>
      <c r="M617" s="270"/>
      <c r="N617" s="270"/>
      <c r="O617" s="270"/>
      <c r="P617" s="270"/>
      <c r="Q617" s="270"/>
      <c r="R617" s="270"/>
      <c r="S617" s="270"/>
      <c r="T617" s="301"/>
      <c r="U617" s="270"/>
      <c r="V617" s="240"/>
      <c r="W617" s="238">
        <f t="shared" si="31"/>
        <v>0</v>
      </c>
      <c r="Y617" s="223" t="str">
        <f>'[4]Development - i'!E616</f>
        <v>a. Foundation &amp; basement</v>
      </c>
      <c r="Z617" s="223" t="str">
        <f t="shared" si="32"/>
        <v>-----------------------</v>
      </c>
    </row>
    <row r="618" spans="1:26" s="241" customFormat="1">
      <c r="A618" s="348"/>
      <c r="B618" s="306" t="s">
        <v>990</v>
      </c>
      <c r="C618" s="306" t="s">
        <v>990</v>
      </c>
      <c r="D618" s="235" t="str">
        <f t="shared" si="33"/>
        <v xml:space="preserve"> OK</v>
      </c>
      <c r="E618" s="254" t="s">
        <v>990</v>
      </c>
      <c r="F618" s="254">
        <v>0</v>
      </c>
      <c r="G618" s="298">
        <f>ROUND([3]Data!K2931,2)</f>
        <v>6308.42</v>
      </c>
      <c r="H618" s="298" t="s">
        <v>19</v>
      </c>
      <c r="I618" s="300"/>
      <c r="J618" s="300"/>
      <c r="K618" s="270"/>
      <c r="L618" s="301"/>
      <c r="M618" s="270"/>
      <c r="N618" s="270"/>
      <c r="O618" s="270"/>
      <c r="P618" s="270"/>
      <c r="Q618" s="270"/>
      <c r="R618" s="270"/>
      <c r="S618" s="270"/>
      <c r="T618" s="301"/>
      <c r="U618" s="270"/>
      <c r="V618" s="240"/>
      <c r="W618" s="238">
        <f t="shared" ref="W618:W681" si="34">ROUND(G619,2)*ROUND(V618,2)</f>
        <v>0</v>
      </c>
      <c r="Y618" s="223" t="str">
        <f>'[4]Development - i'!E617</f>
        <v>b. Ground Floor</v>
      </c>
      <c r="Z618" s="223" t="str">
        <f t="shared" si="32"/>
        <v>-----------------------</v>
      </c>
    </row>
    <row r="619" spans="1:26" s="241" customFormat="1">
      <c r="A619" s="348"/>
      <c r="B619" s="306" t="s">
        <v>1020</v>
      </c>
      <c r="C619" s="306" t="s">
        <v>1020</v>
      </c>
      <c r="D619" s="235" t="str">
        <f t="shared" si="33"/>
        <v xml:space="preserve"> OK</v>
      </c>
      <c r="E619" s="254" t="s">
        <v>1020</v>
      </c>
      <c r="F619" s="254">
        <v>0</v>
      </c>
      <c r="G619" s="298">
        <f>ROUND([3]Data!K2932,2)</f>
        <v>6494.27</v>
      </c>
      <c r="H619" s="298" t="s">
        <v>19</v>
      </c>
      <c r="I619" s="300"/>
      <c r="J619" s="300"/>
      <c r="K619" s="270"/>
      <c r="L619" s="301"/>
      <c r="M619" s="270"/>
      <c r="N619" s="270"/>
      <c r="O619" s="270"/>
      <c r="P619" s="270"/>
      <c r="Q619" s="270"/>
      <c r="R619" s="270"/>
      <c r="S619" s="270"/>
      <c r="T619" s="301"/>
      <c r="U619" s="270"/>
      <c r="V619" s="240"/>
      <c r="W619" s="238">
        <f t="shared" si="34"/>
        <v>0</v>
      </c>
      <c r="Y619" s="223" t="str">
        <f>'[4]Development - i'!E618</f>
        <v>c. First Floor</v>
      </c>
      <c r="Z619" s="223" t="str">
        <f t="shared" si="32"/>
        <v>-----------------------</v>
      </c>
    </row>
    <row r="620" spans="1:26" s="241" customFormat="1">
      <c r="A620" s="326"/>
      <c r="B620" s="306" t="s">
        <v>1021</v>
      </c>
      <c r="C620" s="306" t="s">
        <v>1021</v>
      </c>
      <c r="D620" s="235" t="str">
        <f t="shared" si="33"/>
        <v xml:space="preserve"> OK</v>
      </c>
      <c r="E620" s="254" t="s">
        <v>1021</v>
      </c>
      <c r="F620" s="254">
        <v>0</v>
      </c>
      <c r="G620" s="298">
        <f>ROUND([3]Data!K2933,2)</f>
        <v>6680.12</v>
      </c>
      <c r="H620" s="298" t="s">
        <v>19</v>
      </c>
      <c r="I620" s="300"/>
      <c r="J620" s="300"/>
      <c r="K620" s="270"/>
      <c r="L620" s="301"/>
      <c r="M620" s="270"/>
      <c r="N620" s="270"/>
      <c r="O620" s="270"/>
      <c r="P620" s="270"/>
      <c r="Q620" s="270"/>
      <c r="R620" s="270"/>
      <c r="S620" s="270"/>
      <c r="T620" s="301"/>
      <c r="U620" s="270"/>
      <c r="V620" s="240"/>
      <c r="W620" s="238">
        <f t="shared" si="34"/>
        <v>0</v>
      </c>
      <c r="Y620" s="223" t="str">
        <f>'[4]Development - i'!E619</f>
        <v>d. Second Floor</v>
      </c>
      <c r="Z620" s="223" t="str">
        <f t="shared" si="32"/>
        <v>-----------------------</v>
      </c>
    </row>
    <row r="621" spans="1:26" s="241" customFormat="1" ht="46.5">
      <c r="A621" s="348">
        <v>8.5</v>
      </c>
      <c r="B621" s="314" t="s">
        <v>1022</v>
      </c>
      <c r="C621" s="314" t="s">
        <v>1022</v>
      </c>
      <c r="D621" s="235" t="str">
        <f t="shared" si="33"/>
        <v xml:space="preserve"> OK</v>
      </c>
      <c r="E621" s="254" t="s">
        <v>1022</v>
      </c>
      <c r="F621" s="254">
        <v>0</v>
      </c>
      <c r="G621" s="298"/>
      <c r="H621" s="298"/>
      <c r="I621" s="300"/>
      <c r="J621" s="300"/>
      <c r="K621" s="270"/>
      <c r="L621" s="301"/>
      <c r="M621" s="270"/>
      <c r="N621" s="270"/>
      <c r="O621" s="270"/>
      <c r="P621" s="270"/>
      <c r="Q621" s="270"/>
      <c r="R621" s="270"/>
      <c r="S621" s="270"/>
      <c r="T621" s="301"/>
      <c r="U621" s="270"/>
      <c r="V621" s="240"/>
      <c r="W621" s="238">
        <f t="shared" si="34"/>
        <v>0</v>
      </c>
      <c r="Y621" s="223" t="str">
        <f>'[4]Development - i'!E620</f>
        <v>Providing earth quake resistant for Door/window Jambs</v>
      </c>
      <c r="Z621" s="223" t="str">
        <f t="shared" si="32"/>
        <v>-----------------------</v>
      </c>
    </row>
    <row r="622" spans="1:26" s="241" customFormat="1">
      <c r="A622" s="348"/>
      <c r="B622" s="306" t="s">
        <v>1023</v>
      </c>
      <c r="C622" s="306" t="s">
        <v>1023</v>
      </c>
      <c r="D622" s="235" t="str">
        <f t="shared" si="33"/>
        <v xml:space="preserve"> OK</v>
      </c>
      <c r="E622" s="254" t="s">
        <v>1023</v>
      </c>
      <c r="F622" s="254">
        <v>0</v>
      </c>
      <c r="G622" s="298">
        <f>ROUND([3]Data!K2949,2)</f>
        <v>569.59</v>
      </c>
      <c r="H622" s="298" t="s">
        <v>12</v>
      </c>
      <c r="I622" s="300"/>
      <c r="J622" s="300"/>
      <c r="K622" s="270"/>
      <c r="L622" s="301"/>
      <c r="M622" s="270"/>
      <c r="N622" s="270"/>
      <c r="O622" s="270"/>
      <c r="P622" s="270"/>
      <c r="Q622" s="270"/>
      <c r="R622" s="270"/>
      <c r="S622" s="270"/>
      <c r="T622" s="301"/>
      <c r="U622" s="270"/>
      <c r="V622" s="240"/>
      <c r="W622" s="238">
        <f t="shared" si="34"/>
        <v>0</v>
      </c>
      <c r="Y622" s="223" t="str">
        <f>'[4]Development - i'!E621</f>
        <v>a. Ground Floor</v>
      </c>
      <c r="Z622" s="223" t="str">
        <f t="shared" si="32"/>
        <v>-----------------------</v>
      </c>
    </row>
    <row r="623" spans="1:26" s="241" customFormat="1">
      <c r="A623" s="348"/>
      <c r="B623" s="306" t="s">
        <v>1024</v>
      </c>
      <c r="C623" s="306" t="s">
        <v>1024</v>
      </c>
      <c r="D623" s="235" t="str">
        <f t="shared" si="33"/>
        <v xml:space="preserve"> OK</v>
      </c>
      <c r="E623" s="254" t="s">
        <v>1024</v>
      </c>
      <c r="F623" s="254">
        <v>0</v>
      </c>
      <c r="G623" s="298">
        <f>ROUND([3]Data!K2958,2)</f>
        <v>572.77</v>
      </c>
      <c r="H623" s="298" t="s">
        <v>12</v>
      </c>
      <c r="I623" s="300"/>
      <c r="J623" s="300"/>
      <c r="K623" s="270"/>
      <c r="L623" s="301"/>
      <c r="M623" s="270"/>
      <c r="N623" s="270"/>
      <c r="O623" s="270"/>
      <c r="P623" s="270"/>
      <c r="Q623" s="270"/>
      <c r="R623" s="270"/>
      <c r="S623" s="270"/>
      <c r="T623" s="301"/>
      <c r="U623" s="270"/>
      <c r="V623" s="240"/>
      <c r="W623" s="238">
        <f t="shared" si="34"/>
        <v>0</v>
      </c>
      <c r="Y623" s="223" t="str">
        <f>'[4]Development - i'!E622</f>
        <v>b. First Floor</v>
      </c>
      <c r="Z623" s="223" t="str">
        <f t="shared" si="32"/>
        <v>-----------------------</v>
      </c>
    </row>
    <row r="624" spans="1:26" s="241" customFormat="1">
      <c r="A624" s="305"/>
      <c r="B624" s="306" t="s">
        <v>1025</v>
      </c>
      <c r="C624" s="306" t="s">
        <v>1025</v>
      </c>
      <c r="D624" s="235" t="str">
        <f t="shared" si="33"/>
        <v xml:space="preserve"> OK</v>
      </c>
      <c r="E624" s="254" t="s">
        <v>1025</v>
      </c>
      <c r="F624" s="254">
        <v>0</v>
      </c>
      <c r="G624" s="298">
        <f>ROUND([3]Data!K2968,2)</f>
        <v>575.96</v>
      </c>
      <c r="H624" s="298" t="s">
        <v>12</v>
      </c>
      <c r="I624" s="300"/>
      <c r="J624" s="300"/>
      <c r="K624" s="270"/>
      <c r="L624" s="301"/>
      <c r="M624" s="270"/>
      <c r="N624" s="270"/>
      <c r="O624" s="270"/>
      <c r="P624" s="270"/>
      <c r="Q624" s="270"/>
      <c r="R624" s="270"/>
      <c r="S624" s="270"/>
      <c r="T624" s="301"/>
      <c r="U624" s="270"/>
      <c r="V624" s="240"/>
      <c r="W624" s="238">
        <f t="shared" si="34"/>
        <v>0</v>
      </c>
      <c r="Y624" s="223" t="str">
        <f>'[4]Development - i'!E623</f>
        <v>c. Second Floor</v>
      </c>
      <c r="Z624" s="223" t="str">
        <f t="shared" si="32"/>
        <v>-----------------------</v>
      </c>
    </row>
    <row r="625" spans="1:26" s="241" customFormat="1" ht="93">
      <c r="B625" s="314" t="s">
        <v>1026</v>
      </c>
      <c r="C625" s="314" t="s">
        <v>1026</v>
      </c>
      <c r="D625" s="235" t="str">
        <f t="shared" si="33"/>
        <v xml:space="preserve"> OK</v>
      </c>
      <c r="E625" s="254" t="s">
        <v>1026</v>
      </c>
      <c r="F625" s="254">
        <v>0</v>
      </c>
      <c r="G625" s="298"/>
      <c r="H625" s="298"/>
      <c r="I625" s="300"/>
      <c r="J625" s="300"/>
      <c r="K625" s="270"/>
      <c r="L625" s="301"/>
      <c r="M625" s="270"/>
      <c r="N625" s="270"/>
      <c r="O625" s="270"/>
      <c r="P625" s="270"/>
      <c r="Q625" s="270"/>
      <c r="R625" s="270"/>
      <c r="S625" s="270"/>
      <c r="T625" s="301"/>
      <c r="U625" s="270"/>
      <c r="V625" s="240"/>
      <c r="W625" s="238">
        <f t="shared" si="34"/>
        <v>0</v>
      </c>
      <c r="Y625" s="223" t="str">
        <f>'[4]Development - i'!E624</f>
        <v>Bored cast sit piles installation of vertical cast in Situ Bored piles of following dia using Standardised concrete  mix M20 Grade) as per nagapattinam data</v>
      </c>
      <c r="Z625" s="223" t="str">
        <f t="shared" si="32"/>
        <v>-----------------------</v>
      </c>
    </row>
    <row r="626" spans="1:26" s="241" customFormat="1">
      <c r="B626" s="314" t="s">
        <v>1027</v>
      </c>
      <c r="C626" s="314" t="s">
        <v>1027</v>
      </c>
      <c r="D626" s="235" t="str">
        <f t="shared" si="33"/>
        <v xml:space="preserve"> OK</v>
      </c>
      <c r="E626" s="254" t="s">
        <v>1027</v>
      </c>
      <c r="F626" s="254">
        <v>0</v>
      </c>
      <c r="G626" s="298">
        <f>'[3]pile data ( M20 grade)'!F17</f>
        <v>2837.02</v>
      </c>
      <c r="H626" s="298" t="s">
        <v>12</v>
      </c>
      <c r="I626" s="300"/>
      <c r="J626" s="300"/>
      <c r="K626" s="270"/>
      <c r="L626" s="301"/>
      <c r="M626" s="270"/>
      <c r="N626" s="270"/>
      <c r="O626" s="270"/>
      <c r="P626" s="270"/>
      <c r="Q626" s="270"/>
      <c r="R626" s="270"/>
      <c r="S626" s="270"/>
      <c r="T626" s="301"/>
      <c r="U626" s="270"/>
      <c r="V626" s="240"/>
      <c r="W626" s="238">
        <f t="shared" si="34"/>
        <v>0</v>
      </c>
      <c r="Y626" s="223" t="str">
        <f>'[4]Development - i'!E625</f>
        <v>a.500mm dia pile</v>
      </c>
      <c r="Z626" s="223" t="str">
        <f t="shared" si="32"/>
        <v>-----------------------</v>
      </c>
    </row>
    <row r="627" spans="1:26" s="241" customFormat="1">
      <c r="B627" s="314" t="s">
        <v>1028</v>
      </c>
      <c r="C627" s="314" t="s">
        <v>1028</v>
      </c>
      <c r="D627" s="235" t="str">
        <f t="shared" si="33"/>
        <v xml:space="preserve"> OK</v>
      </c>
      <c r="E627" s="254" t="s">
        <v>1028</v>
      </c>
      <c r="F627" s="254">
        <v>0</v>
      </c>
      <c r="G627" s="298">
        <f>'[3]pile data ( M20 grade)'!F81</f>
        <v>2530.5</v>
      </c>
      <c r="H627" s="298" t="s">
        <v>12</v>
      </c>
      <c r="I627" s="300"/>
      <c r="J627" s="300"/>
      <c r="K627" s="270"/>
      <c r="L627" s="301"/>
      <c r="M627" s="270"/>
      <c r="N627" s="270"/>
      <c r="O627" s="270"/>
      <c r="P627" s="270"/>
      <c r="Q627" s="270"/>
      <c r="R627" s="270"/>
      <c r="S627" s="270"/>
      <c r="T627" s="301"/>
      <c r="U627" s="270"/>
      <c r="V627" s="240"/>
      <c r="W627" s="238">
        <f t="shared" si="34"/>
        <v>0</v>
      </c>
      <c r="Y627" s="223" t="str">
        <f>'[4]Development - i'!E626</f>
        <v>b.450mm dia pile</v>
      </c>
      <c r="Z627" s="223" t="str">
        <f t="shared" si="32"/>
        <v>-----------------------</v>
      </c>
    </row>
    <row r="628" spans="1:26" s="241" customFormat="1">
      <c r="A628" s="305"/>
      <c r="B628" s="314" t="s">
        <v>1029</v>
      </c>
      <c r="C628" s="314" t="s">
        <v>1029</v>
      </c>
      <c r="D628" s="235" t="str">
        <f t="shared" si="33"/>
        <v xml:space="preserve"> OK</v>
      </c>
      <c r="E628" s="254" t="s">
        <v>1029</v>
      </c>
      <c r="F628" s="254">
        <v>0</v>
      </c>
      <c r="G628" s="298">
        <f>'[3]pile data ( M20 grade)'!F141</f>
        <v>2255.87</v>
      </c>
      <c r="H628" s="298" t="s">
        <v>12</v>
      </c>
      <c r="I628" s="300"/>
      <c r="J628" s="300"/>
      <c r="K628" s="270"/>
      <c r="L628" s="301"/>
      <c r="M628" s="270"/>
      <c r="N628" s="270"/>
      <c r="O628" s="270"/>
      <c r="P628" s="270"/>
      <c r="Q628" s="270"/>
      <c r="R628" s="270"/>
      <c r="S628" s="270"/>
      <c r="T628" s="301"/>
      <c r="U628" s="270"/>
      <c r="V628" s="240"/>
      <c r="W628" s="238">
        <f t="shared" si="34"/>
        <v>0</v>
      </c>
      <c r="Y628" s="223" t="str">
        <f>'[4]Development - i'!E627</f>
        <v>c.400mm dia pile</v>
      </c>
      <c r="Z628" s="223" t="str">
        <f t="shared" si="32"/>
        <v>-----------------------</v>
      </c>
    </row>
    <row r="629" spans="1:26" s="241" customFormat="1" ht="69.75">
      <c r="A629" s="305"/>
      <c r="B629" s="380" t="s">
        <v>1030</v>
      </c>
      <c r="C629" s="380" t="s">
        <v>1030</v>
      </c>
      <c r="D629" s="235" t="str">
        <f t="shared" si="33"/>
        <v xml:space="preserve"> OK</v>
      </c>
      <c r="E629" s="254" t="s">
        <v>1030</v>
      </c>
      <c r="F629" s="254">
        <v>0</v>
      </c>
      <c r="G629" s="298"/>
      <c r="H629" s="298"/>
      <c r="I629" s="300"/>
      <c r="J629" s="300"/>
      <c r="K629" s="270"/>
      <c r="L629" s="301"/>
      <c r="M629" s="270"/>
      <c r="N629" s="270"/>
      <c r="O629" s="270"/>
      <c r="P629" s="270"/>
      <c r="Q629" s="270"/>
      <c r="R629" s="270"/>
      <c r="S629" s="270"/>
      <c r="T629" s="301"/>
      <c r="U629" s="270"/>
      <c r="V629" s="240"/>
      <c r="W629" s="238">
        <f t="shared" si="34"/>
        <v>0</v>
      </c>
      <c r="Y629" s="223" t="str">
        <f>'[4]Development - i'!E628</f>
        <v>Chipping of RCC pile head to the required cut of level and clearing way debries with an average lead of 3 km entirely with city limits M20 Grade</v>
      </c>
      <c r="Z629" s="223" t="str">
        <f t="shared" si="32"/>
        <v>-----------------------</v>
      </c>
    </row>
    <row r="630" spans="1:26" s="241" customFormat="1">
      <c r="A630" s="305"/>
      <c r="B630" s="314" t="s">
        <v>1027</v>
      </c>
      <c r="C630" s="314" t="s">
        <v>1027</v>
      </c>
      <c r="D630" s="235" t="str">
        <f t="shared" si="33"/>
        <v xml:space="preserve"> OK</v>
      </c>
      <c r="E630" s="254" t="s">
        <v>1027</v>
      </c>
      <c r="F630" s="254">
        <v>0</v>
      </c>
      <c r="G630" s="298">
        <f>'[3]pile data ( M20 grade)'!F17</f>
        <v>2837.02</v>
      </c>
      <c r="H630" s="298" t="s">
        <v>12</v>
      </c>
      <c r="I630" s="300"/>
      <c r="J630" s="300"/>
      <c r="K630" s="270"/>
      <c r="L630" s="301"/>
      <c r="M630" s="270"/>
      <c r="N630" s="270"/>
      <c r="O630" s="270"/>
      <c r="P630" s="270"/>
      <c r="Q630" s="270"/>
      <c r="R630" s="270"/>
      <c r="S630" s="270"/>
      <c r="T630" s="301"/>
      <c r="U630" s="270"/>
      <c r="V630" s="240"/>
      <c r="W630" s="238">
        <f t="shared" si="34"/>
        <v>0</v>
      </c>
      <c r="Y630" s="223" t="str">
        <f>'[4]Development - i'!E629</f>
        <v>a.500mm dia pile</v>
      </c>
      <c r="Z630" s="223" t="str">
        <f t="shared" si="32"/>
        <v>-----------------------</v>
      </c>
    </row>
    <row r="631" spans="1:26" s="241" customFormat="1">
      <c r="A631" s="305"/>
      <c r="B631" s="314" t="s">
        <v>1028</v>
      </c>
      <c r="C631" s="314" t="s">
        <v>1028</v>
      </c>
      <c r="D631" s="235" t="str">
        <f t="shared" si="33"/>
        <v xml:space="preserve"> OK</v>
      </c>
      <c r="E631" s="254" t="s">
        <v>1028</v>
      </c>
      <c r="F631" s="254">
        <v>0</v>
      </c>
      <c r="G631" s="298">
        <f>'[3]pile data ( M20 grade)'!F92</f>
        <v>710.92</v>
      </c>
      <c r="H631" s="298"/>
      <c r="I631" s="300"/>
      <c r="J631" s="300"/>
      <c r="K631" s="270"/>
      <c r="L631" s="301"/>
      <c r="M631" s="270"/>
      <c r="N631" s="270"/>
      <c r="O631" s="270"/>
      <c r="P631" s="270"/>
      <c r="Q631" s="270"/>
      <c r="R631" s="270"/>
      <c r="S631" s="270"/>
      <c r="T631" s="301"/>
      <c r="U631" s="270"/>
      <c r="V631" s="240"/>
      <c r="W631" s="238">
        <f t="shared" si="34"/>
        <v>0</v>
      </c>
      <c r="Y631" s="223" t="str">
        <f>'[4]Development - i'!E630</f>
        <v>b.450mm dia pile</v>
      </c>
      <c r="Z631" s="223" t="str">
        <f t="shared" si="32"/>
        <v>-----------------------</v>
      </c>
    </row>
    <row r="632" spans="1:26" s="241" customFormat="1">
      <c r="A632" s="305"/>
      <c r="B632" s="314" t="s">
        <v>1029</v>
      </c>
      <c r="C632" s="314" t="s">
        <v>1029</v>
      </c>
      <c r="D632" s="235" t="str">
        <f t="shared" si="33"/>
        <v xml:space="preserve"> OK</v>
      </c>
      <c r="E632" s="254" t="s">
        <v>1029</v>
      </c>
      <c r="F632" s="254">
        <v>0</v>
      </c>
      <c r="G632" s="298">
        <f>'[3]pile data ( M20 grade)'!F152</f>
        <v>563.37</v>
      </c>
      <c r="H632" s="298" t="s">
        <v>12</v>
      </c>
      <c r="I632" s="300"/>
      <c r="J632" s="300"/>
      <c r="K632" s="270"/>
      <c r="L632" s="301"/>
      <c r="M632" s="270"/>
      <c r="N632" s="270"/>
      <c r="O632" s="270"/>
      <c r="P632" s="270"/>
      <c r="Q632" s="270"/>
      <c r="R632" s="270"/>
      <c r="S632" s="270"/>
      <c r="T632" s="301"/>
      <c r="U632" s="270"/>
      <c r="V632" s="240"/>
      <c r="W632" s="238">
        <f t="shared" si="34"/>
        <v>0</v>
      </c>
      <c r="Y632" s="223" t="str">
        <f>'[4]Development - i'!E631</f>
        <v>c.400mm dia pile</v>
      </c>
      <c r="Z632" s="223" t="str">
        <f t="shared" si="32"/>
        <v>-----------------------</v>
      </c>
    </row>
    <row r="633" spans="1:26" s="241" customFormat="1" ht="46.5">
      <c r="A633" s="305"/>
      <c r="B633" s="380" t="s">
        <v>1031</v>
      </c>
      <c r="C633" s="380" t="s">
        <v>1031</v>
      </c>
      <c r="D633" s="235" t="str">
        <f t="shared" si="33"/>
        <v xml:space="preserve"> OK</v>
      </c>
      <c r="E633" s="254" t="s">
        <v>1031</v>
      </c>
      <c r="F633" s="254">
        <v>0</v>
      </c>
      <c r="G633" s="298">
        <v>70000</v>
      </c>
      <c r="H633" s="298" t="s">
        <v>13</v>
      </c>
      <c r="I633" s="300"/>
      <c r="J633" s="300"/>
      <c r="K633" s="270"/>
      <c r="L633" s="301"/>
      <c r="M633" s="270"/>
      <c r="N633" s="270"/>
      <c r="O633" s="270"/>
      <c r="P633" s="270"/>
      <c r="Q633" s="270"/>
      <c r="R633" s="270"/>
      <c r="S633" s="270"/>
      <c r="T633" s="301"/>
      <c r="U633" s="270"/>
      <c r="V633" s="240"/>
      <c r="W633" s="238">
        <f t="shared" si="34"/>
        <v>0</v>
      </c>
      <c r="Y633" s="223" t="str">
        <f>'[4]Development - i'!E632</f>
        <v>Conducting routine vertical compression load test CER No.328/2014-15</v>
      </c>
      <c r="Z633" s="223" t="str">
        <f t="shared" si="32"/>
        <v>-----------------------</v>
      </c>
    </row>
    <row r="634" spans="1:26" s="241" customFormat="1" ht="46.5">
      <c r="A634" s="305"/>
      <c r="B634" s="380" t="s">
        <v>1032</v>
      </c>
      <c r="C634" s="380" t="s">
        <v>1032</v>
      </c>
      <c r="D634" s="235" t="str">
        <f t="shared" si="33"/>
        <v xml:space="preserve"> OK</v>
      </c>
      <c r="E634" s="254" t="s">
        <v>1032</v>
      </c>
      <c r="F634" s="254">
        <v>0</v>
      </c>
      <c r="G634" s="298">
        <v>50000</v>
      </c>
      <c r="H634" s="298" t="s">
        <v>2105</v>
      </c>
      <c r="I634" s="300"/>
      <c r="J634" s="300"/>
      <c r="K634" s="270"/>
      <c r="L634" s="301"/>
      <c r="M634" s="270"/>
      <c r="N634" s="270"/>
      <c r="O634" s="270"/>
      <c r="P634" s="270"/>
      <c r="Q634" s="270"/>
      <c r="R634" s="270"/>
      <c r="S634" s="270"/>
      <c r="T634" s="301"/>
      <c r="U634" s="270"/>
      <c r="V634" s="240"/>
      <c r="W634" s="238">
        <f t="shared" si="34"/>
        <v>0</v>
      </c>
      <c r="Y634" s="223" t="str">
        <f>'[4]Development - i'!E633</f>
        <v>Mobilization charges including transporting to site CER No.328/2014-15</v>
      </c>
      <c r="Z634" s="223" t="str">
        <f t="shared" si="32"/>
        <v>-----------------------</v>
      </c>
    </row>
    <row r="635" spans="1:26" s="241" customFormat="1">
      <c r="A635" s="305"/>
      <c r="B635" s="380" t="s">
        <v>1033</v>
      </c>
      <c r="C635" s="380" t="s">
        <v>1033</v>
      </c>
      <c r="D635" s="235" t="str">
        <f t="shared" si="33"/>
        <v xml:space="preserve"> OK</v>
      </c>
      <c r="E635" s="254" t="s">
        <v>1033</v>
      </c>
      <c r="F635" s="254">
        <v>0</v>
      </c>
      <c r="G635" s="298">
        <f>[3]Data!K2466</f>
        <v>654.53</v>
      </c>
      <c r="H635" s="298" t="s">
        <v>26</v>
      </c>
      <c r="I635" s="300"/>
      <c r="J635" s="300"/>
      <c r="K635" s="270"/>
      <c r="L635" s="301"/>
      <c r="M635" s="270"/>
      <c r="N635" s="270"/>
      <c r="O635" s="270"/>
      <c r="P635" s="270"/>
      <c r="Q635" s="270"/>
      <c r="R635" s="270"/>
      <c r="S635" s="270"/>
      <c r="T635" s="301"/>
      <c r="U635" s="270"/>
      <c r="V635" s="240"/>
      <c r="W635" s="238">
        <f t="shared" si="34"/>
        <v>0</v>
      </c>
      <c r="Y635" s="223" t="str">
        <f>'[4]Development - i'!E634</f>
        <v xml:space="preserve">Red oxide plastering in CM 1:4 </v>
      </c>
      <c r="Z635" s="223" t="str">
        <f t="shared" si="32"/>
        <v>-----------------------</v>
      </c>
    </row>
    <row r="636" spans="1:26" s="241" customFormat="1" ht="108.75">
      <c r="A636" s="381">
        <v>3.8</v>
      </c>
      <c r="B636" s="306" t="s">
        <v>1034</v>
      </c>
      <c r="C636" s="306" t="s">
        <v>1034</v>
      </c>
      <c r="D636" s="235" t="str">
        <f t="shared" si="33"/>
        <v xml:space="preserve"> OK</v>
      </c>
      <c r="E636" s="254" t="s">
        <v>1034</v>
      </c>
      <c r="F636" s="254" t="s">
        <v>1035</v>
      </c>
      <c r="G636" s="298">
        <f>[3]Data!R209</f>
        <v>5008.3900000000003</v>
      </c>
      <c r="H636" s="298" t="s">
        <v>19</v>
      </c>
      <c r="I636" s="300"/>
      <c r="J636" s="300"/>
      <c r="K636" s="270"/>
      <c r="L636" s="301"/>
      <c r="M636" s="270"/>
      <c r="N636" s="270"/>
      <c r="O636" s="270"/>
      <c r="P636" s="270"/>
      <c r="Q636" s="270"/>
      <c r="R636" s="270"/>
      <c r="S636" s="270"/>
      <c r="T636" s="301"/>
      <c r="U636" s="270"/>
      <c r="V636" s="240"/>
      <c r="W636" s="238">
        <f t="shared" si="34"/>
        <v>0</v>
      </c>
      <c r="Y636" s="223" t="str">
        <f>'[4]Development - i'!E635</f>
        <v>P.C.C. 1:3:6  for foundation &amp; basement using 20mm metal</v>
      </c>
      <c r="Z636" s="223" t="str">
        <f t="shared" si="32"/>
        <v>-----------------------</v>
      </c>
    </row>
    <row r="637" spans="1:26" s="241" customFormat="1" ht="108.75">
      <c r="A637" s="382">
        <v>3.3</v>
      </c>
      <c r="B637" s="306" t="s">
        <v>1036</v>
      </c>
      <c r="C637" s="306" t="s">
        <v>1036</v>
      </c>
      <c r="D637" s="235" t="str">
        <f t="shared" si="33"/>
        <v xml:space="preserve"> OK</v>
      </c>
      <c r="E637" s="254" t="s">
        <v>1036</v>
      </c>
      <c r="F637" s="254" t="s">
        <v>1037</v>
      </c>
      <c r="G637" s="298">
        <f>[3]Data!R245</f>
        <v>4340.59</v>
      </c>
      <c r="H637" s="298" t="s">
        <v>19</v>
      </c>
      <c r="I637" s="300"/>
      <c r="J637" s="300"/>
      <c r="K637" s="270"/>
      <c r="L637" s="301"/>
      <c r="M637" s="270"/>
      <c r="N637" s="270"/>
      <c r="O637" s="270"/>
      <c r="P637" s="270"/>
      <c r="Q637" s="270"/>
      <c r="R637" s="270"/>
      <c r="S637" s="270"/>
      <c r="T637" s="301"/>
      <c r="U637" s="270"/>
      <c r="V637" s="240"/>
      <c r="W637" s="238">
        <f t="shared" si="34"/>
        <v>0</v>
      </c>
      <c r="Y637" s="223" t="str">
        <f>'[4]Development - i'!E636</f>
        <v>P.C.C. 1:4:8 using 40 mm broken brick jelly</v>
      </c>
      <c r="Z637" s="223" t="str">
        <f t="shared" si="32"/>
        <v>-----------------------</v>
      </c>
    </row>
    <row r="638" spans="1:26" s="241" customFormat="1" ht="43.5">
      <c r="A638" s="382"/>
      <c r="B638" s="358" t="s">
        <v>1038</v>
      </c>
      <c r="C638" s="358" t="s">
        <v>1038</v>
      </c>
      <c r="D638" s="235" t="str">
        <f t="shared" si="33"/>
        <v xml:space="preserve"> OK</v>
      </c>
      <c r="E638" s="254" t="s">
        <v>1038</v>
      </c>
      <c r="F638" s="254">
        <v>0</v>
      </c>
      <c r="G638" s="298">
        <f>[3]Data!X209</f>
        <v>4653.79</v>
      </c>
      <c r="H638" s="298" t="s">
        <v>19</v>
      </c>
      <c r="I638" s="300"/>
      <c r="J638" s="300"/>
      <c r="K638" s="270"/>
      <c r="L638" s="301"/>
      <c r="M638" s="270"/>
      <c r="N638" s="270"/>
      <c r="O638" s="270"/>
      <c r="P638" s="270"/>
      <c r="Q638" s="270"/>
      <c r="R638" s="270"/>
      <c r="S638" s="270"/>
      <c r="T638" s="301"/>
      <c r="U638" s="270"/>
      <c r="V638" s="240"/>
      <c r="W638" s="238">
        <f t="shared" si="34"/>
        <v>0</v>
      </c>
      <c r="Y638" s="223" t="str">
        <f>'[4]Development - i'!E637</f>
        <v>P. C.C. 1:3:6 for foundation &amp; basement using 40mm metal</v>
      </c>
      <c r="Z638" s="223" t="str">
        <f t="shared" si="32"/>
        <v>-----------------------</v>
      </c>
    </row>
    <row r="639" spans="1:26" s="239" customFormat="1" ht="195.75">
      <c r="A639" s="340">
        <v>18.100000000000001</v>
      </c>
      <c r="B639" s="316" t="s">
        <v>537</v>
      </c>
      <c r="C639" s="316" t="s">
        <v>537</v>
      </c>
      <c r="D639" s="235" t="str">
        <f t="shared" si="33"/>
        <v xml:space="preserve"> OK</v>
      </c>
      <c r="E639" s="254" t="s">
        <v>537</v>
      </c>
      <c r="F639" s="254" t="s">
        <v>1039</v>
      </c>
      <c r="G639" s="298"/>
      <c r="H639" s="298"/>
      <c r="I639" s="300"/>
      <c r="J639" s="300"/>
      <c r="K639" s="270"/>
      <c r="L639" s="301"/>
      <c r="M639" s="270"/>
      <c r="N639" s="270"/>
      <c r="O639" s="270"/>
      <c r="P639" s="270"/>
      <c r="Q639" s="270"/>
      <c r="R639" s="270"/>
      <c r="S639" s="270"/>
      <c r="T639" s="312"/>
      <c r="U639" s="270"/>
      <c r="V639" s="242"/>
      <c r="W639" s="238">
        <f t="shared" si="34"/>
        <v>0</v>
      </c>
      <c r="Y639" s="223" t="str">
        <f>'[4]Development - i'!E638</f>
        <v>Formwork using M.S.Sheet</v>
      </c>
      <c r="Z639" s="223" t="str">
        <f t="shared" si="32"/>
        <v>-----------------------</v>
      </c>
    </row>
    <row r="640" spans="1:26" ht="46.5">
      <c r="A640" s="234"/>
      <c r="B640" s="289" t="s">
        <v>158</v>
      </c>
      <c r="C640" s="290" t="s">
        <v>158</v>
      </c>
      <c r="D640" s="235" t="str">
        <f t="shared" si="33"/>
        <v xml:space="preserve"> OK</v>
      </c>
      <c r="E640" s="254" t="s">
        <v>158</v>
      </c>
      <c r="F640" s="254" t="s">
        <v>1040</v>
      </c>
      <c r="G640" s="298">
        <f>ROUND([3]Data!I2372,2)</f>
        <v>693.56</v>
      </c>
      <c r="H640" s="298" t="s">
        <v>26</v>
      </c>
      <c r="I640" s="299"/>
      <c r="J640" s="300"/>
      <c r="K640" s="270"/>
      <c r="L640" s="301"/>
      <c r="M640" s="270"/>
      <c r="N640" s="270"/>
      <c r="O640" s="270"/>
      <c r="P640" s="270"/>
      <c r="Q640" s="270"/>
      <c r="R640" s="270"/>
      <c r="S640" s="270"/>
      <c r="T640" s="301"/>
      <c r="U640" s="302"/>
      <c r="V640" s="236">
        <f>'[3]Precast Compound wall '!H372</f>
        <v>4</v>
      </c>
      <c r="W640" s="233">
        <f t="shared" si="34"/>
        <v>3131.2</v>
      </c>
      <c r="Y640" s="223" t="str">
        <f>'[4]Development - i'!E639</f>
        <v>a.For Column footings,plinth beam,Grade beam,Raftbeam,Raft slab etc.,</v>
      </c>
      <c r="Z640" s="223" t="str">
        <f t="shared" si="32"/>
        <v>-----------------------</v>
      </c>
    </row>
    <row r="641" spans="1:26" s="239" customFormat="1" ht="69.75">
      <c r="A641" s="320"/>
      <c r="B641" s="290" t="s">
        <v>539</v>
      </c>
      <c r="C641" s="290" t="s">
        <v>539</v>
      </c>
      <c r="D641" s="235" t="str">
        <f t="shared" si="33"/>
        <v xml:space="preserve"> OK</v>
      </c>
      <c r="E641" s="254" t="s">
        <v>539</v>
      </c>
      <c r="F641" s="254" t="s">
        <v>1041</v>
      </c>
      <c r="G641" s="298">
        <f>ROUND([3]Data!I2374,2)</f>
        <v>782.8</v>
      </c>
      <c r="H641" s="298" t="s">
        <v>26</v>
      </c>
      <c r="I641" s="300"/>
      <c r="J641" s="300"/>
      <c r="K641" s="270"/>
      <c r="L641" s="301"/>
      <c r="M641" s="270"/>
      <c r="N641" s="270"/>
      <c r="O641" s="270"/>
      <c r="P641" s="270"/>
      <c r="Q641" s="270"/>
      <c r="R641" s="270"/>
      <c r="S641" s="270"/>
      <c r="T641" s="301"/>
      <c r="U641" s="270"/>
      <c r="V641" s="240"/>
      <c r="W641" s="238">
        <f t="shared" si="34"/>
        <v>0</v>
      </c>
      <c r="Y641" s="223" t="str">
        <f>'[4]Development - i'!E640</f>
        <v>b.Plain surfaces such as Roof slab,floorslab,Beams,lintels,lofts,sill slab,staircase,portico slab and other similar works</v>
      </c>
      <c r="Z641" s="223" t="str">
        <f t="shared" si="32"/>
        <v>-----------------------</v>
      </c>
    </row>
    <row r="642" spans="1:26" s="239" customFormat="1" ht="46.5">
      <c r="A642" s="290"/>
      <c r="B642" s="290" t="s">
        <v>159</v>
      </c>
      <c r="C642" s="290" t="s">
        <v>159</v>
      </c>
      <c r="D642" s="235" t="str">
        <f t="shared" si="33"/>
        <v xml:space="preserve"> OK</v>
      </c>
      <c r="E642" s="254" t="s">
        <v>159</v>
      </c>
      <c r="F642" s="254" t="s">
        <v>1042</v>
      </c>
      <c r="G642" s="298">
        <f>ROUND([3]Data!I2376,2)</f>
        <v>939.36</v>
      </c>
      <c r="H642" s="298" t="s">
        <v>26</v>
      </c>
      <c r="I642" s="300"/>
      <c r="J642" s="300"/>
      <c r="K642" s="270"/>
      <c r="L642" s="301"/>
      <c r="M642" s="270"/>
      <c r="N642" s="270"/>
      <c r="O642" s="270"/>
      <c r="P642" s="270"/>
      <c r="Q642" s="270"/>
      <c r="R642" s="270"/>
      <c r="S642" s="270"/>
      <c r="T642" s="301"/>
      <c r="U642" s="270"/>
      <c r="V642" s="240"/>
      <c r="W642" s="238">
        <f t="shared" si="34"/>
        <v>0</v>
      </c>
      <c r="Y642" s="223" t="str">
        <f>'[4]Development - i'!E641</f>
        <v>c.For Square and rectangular columns and small quantities</v>
      </c>
      <c r="Z642" s="223" t="str">
        <f t="shared" si="32"/>
        <v>-----------------------</v>
      </c>
    </row>
    <row r="643" spans="1:26" s="253" customFormat="1">
      <c r="A643" s="383"/>
      <c r="B643" s="306" t="s">
        <v>299</v>
      </c>
      <c r="C643" s="306" t="s">
        <v>299</v>
      </c>
      <c r="D643" s="235" t="str">
        <f t="shared" si="33"/>
        <v xml:space="preserve"> OK</v>
      </c>
      <c r="E643" s="254" t="s">
        <v>299</v>
      </c>
      <c r="F643" s="254" t="s">
        <v>1043</v>
      </c>
      <c r="G643" s="298">
        <f>[3]Data!I2378</f>
        <v>861.08</v>
      </c>
      <c r="H643" s="298" t="s">
        <v>26</v>
      </c>
      <c r="I643" s="300"/>
      <c r="J643" s="300"/>
      <c r="K643" s="270"/>
      <c r="L643" s="301"/>
      <c r="M643" s="270"/>
      <c r="N643" s="270"/>
      <c r="O643" s="270"/>
      <c r="P643" s="270"/>
      <c r="Q643" s="270"/>
      <c r="R643" s="270"/>
      <c r="S643" s="270"/>
      <c r="T643" s="301"/>
      <c r="U643" s="270"/>
      <c r="V643" s="240"/>
      <c r="W643" s="238">
        <f t="shared" si="34"/>
        <v>0</v>
      </c>
      <c r="Y643" s="223" t="str">
        <f>'[4]Development - i'!E642</f>
        <v>d.Vertical wall</v>
      </c>
      <c r="Z643" s="223" t="str">
        <f t="shared" si="32"/>
        <v>-----------------------</v>
      </c>
    </row>
    <row r="644" spans="1:26" s="241" customFormat="1">
      <c r="A644" s="343"/>
      <c r="B644" s="310" t="s">
        <v>1044</v>
      </c>
      <c r="C644" s="310" t="s">
        <v>1044</v>
      </c>
      <c r="D644" s="235" t="str">
        <f t="shared" si="33"/>
        <v xml:space="preserve"> OK</v>
      </c>
      <c r="E644" s="254" t="s">
        <v>1044</v>
      </c>
      <c r="F644" s="254" t="s">
        <v>1045</v>
      </c>
      <c r="G644" s="298">
        <f>G643*2</f>
        <v>1722.16</v>
      </c>
      <c r="H644" s="298" t="s">
        <v>26</v>
      </c>
      <c r="I644" s="300"/>
      <c r="J644" s="300"/>
      <c r="K644" s="270"/>
      <c r="L644" s="301"/>
      <c r="M644" s="270"/>
      <c r="N644" s="270"/>
      <c r="O644" s="270"/>
      <c r="P644" s="270"/>
      <c r="Q644" s="270"/>
      <c r="R644" s="270"/>
      <c r="S644" s="270"/>
      <c r="T644" s="301"/>
      <c r="U644" s="270"/>
      <c r="V644" s="240"/>
      <c r="W644" s="238">
        <f t="shared" si="34"/>
        <v>0</v>
      </c>
      <c r="Y644" s="223" t="str">
        <f>'[4]Development - i'!E643</f>
        <v>e.Circular column</v>
      </c>
      <c r="Z644" s="223" t="str">
        <f t="shared" si="32"/>
        <v>-----------------------</v>
      </c>
    </row>
    <row r="645" spans="1:26" s="239" customFormat="1">
      <c r="A645" s="384"/>
      <c r="B645" s="290" t="s">
        <v>1046</v>
      </c>
      <c r="C645" s="290" t="s">
        <v>1046</v>
      </c>
      <c r="D645" s="235" t="str">
        <f t="shared" si="33"/>
        <v xml:space="preserve"> OK</v>
      </c>
      <c r="E645" s="254" t="s">
        <v>1046</v>
      </c>
      <c r="F645" s="254" t="s">
        <v>1047</v>
      </c>
      <c r="G645" s="298">
        <f>G642*1.5</f>
        <v>1409.04</v>
      </c>
      <c r="H645" s="298" t="s">
        <v>26</v>
      </c>
      <c r="I645" s="300"/>
      <c r="J645" s="300"/>
      <c r="K645" s="270"/>
      <c r="L645" s="301"/>
      <c r="M645" s="270"/>
      <c r="N645" s="270"/>
      <c r="O645" s="270"/>
      <c r="P645" s="270"/>
      <c r="Q645" s="270"/>
      <c r="R645" s="270"/>
      <c r="S645" s="270"/>
      <c r="T645" s="301"/>
      <c r="U645" s="270"/>
      <c r="V645" s="240"/>
      <c r="W645" s="238">
        <f t="shared" si="34"/>
        <v>0</v>
      </c>
      <c r="Y645" s="223" t="str">
        <f>'[4]Development - i'!E644</f>
        <v>f.Curved surface</v>
      </c>
      <c r="Z645" s="223" t="str">
        <f t="shared" si="32"/>
        <v>-----------------------</v>
      </c>
    </row>
    <row r="646" spans="1:26" s="241" customFormat="1">
      <c r="A646" s="343"/>
      <c r="B646" s="310" t="s">
        <v>1048</v>
      </c>
      <c r="C646" s="310" t="s">
        <v>1048</v>
      </c>
      <c r="D646" s="235" t="str">
        <f t="shared" si="33"/>
        <v xml:space="preserve"> OK</v>
      </c>
      <c r="E646" s="254" t="s">
        <v>1048</v>
      </c>
      <c r="F646" s="254">
        <v>0</v>
      </c>
      <c r="G646" s="298">
        <f>G642*2</f>
        <v>1878.72</v>
      </c>
      <c r="H646" s="298" t="s">
        <v>26</v>
      </c>
      <c r="I646" s="300"/>
      <c r="J646" s="300"/>
      <c r="K646" s="270"/>
      <c r="L646" s="301"/>
      <c r="M646" s="270"/>
      <c r="N646" s="270"/>
      <c r="O646" s="270"/>
      <c r="P646" s="270"/>
      <c r="Q646" s="270"/>
      <c r="R646" s="270"/>
      <c r="S646" s="270"/>
      <c r="T646" s="301"/>
      <c r="U646" s="270"/>
      <c r="V646" s="240"/>
      <c r="W646" s="238">
        <f t="shared" si="34"/>
        <v>0</v>
      </c>
      <c r="Y646" s="223" t="str">
        <f>'[4]Development - i'!E645</f>
        <v>g.Double centering portico area</v>
      </c>
      <c r="Z646" s="223" t="str">
        <f t="shared" si="32"/>
        <v>-----------------------</v>
      </c>
    </row>
    <row r="647" spans="1:26" s="239" customFormat="1" ht="239.25">
      <c r="A647" s="320">
        <v>21.6</v>
      </c>
      <c r="B647" s="385" t="s">
        <v>2106</v>
      </c>
      <c r="C647" s="385" t="s">
        <v>2106</v>
      </c>
      <c r="D647" s="235" t="str">
        <f t="shared" si="33"/>
        <v xml:space="preserve"> OK</v>
      </c>
      <c r="E647" s="254" t="s">
        <v>1049</v>
      </c>
      <c r="F647" s="254" t="s">
        <v>1050</v>
      </c>
      <c r="G647" s="298"/>
      <c r="H647" s="298"/>
      <c r="I647" s="300"/>
      <c r="J647" s="300"/>
      <c r="K647" s="270"/>
      <c r="L647" s="301"/>
      <c r="M647" s="270"/>
      <c r="N647" s="270"/>
      <c r="O647" s="270"/>
      <c r="P647" s="270"/>
      <c r="Q647" s="270"/>
      <c r="R647" s="270"/>
      <c r="S647" s="270"/>
      <c r="T647" s="301"/>
      <c r="U647" s="270"/>
      <c r="V647" s="240"/>
      <c r="W647" s="238">
        <f t="shared" si="34"/>
        <v>0</v>
      </c>
      <c r="Y647" s="223" t="str">
        <f>'[4]Development - i'!E646</f>
        <v>R.C.C.Door frames of size 100 x 75mm with one edge grooves size 't' x 20 mm using M20 grade ( with out vibrating charges)</v>
      </c>
      <c r="Z647" s="223" t="str">
        <f t="shared" ref="Z647:Z665" si="35">IF(Y647=E647,"-----------------------","ERRR")</f>
        <v>-----------------------</v>
      </c>
    </row>
    <row r="648" spans="1:26" s="239" customFormat="1" ht="69.75">
      <c r="A648" s="386"/>
      <c r="B648" s="290" t="s">
        <v>759</v>
      </c>
      <c r="C648" s="290" t="s">
        <v>759</v>
      </c>
      <c r="D648" s="235" t="str">
        <f t="shared" si="33"/>
        <v xml:space="preserve"> OK</v>
      </c>
      <c r="E648" s="254" t="s">
        <v>2107</v>
      </c>
      <c r="F648" s="254" t="s">
        <v>759</v>
      </c>
      <c r="G648" s="298">
        <f>ROUND([3]Data!K903,2)</f>
        <v>2273.63</v>
      </c>
      <c r="H648" s="298" t="s">
        <v>556</v>
      </c>
      <c r="I648" s="300"/>
      <c r="J648" s="300"/>
      <c r="K648" s="270"/>
      <c r="L648" s="301"/>
      <c r="M648" s="270"/>
      <c r="N648" s="270"/>
      <c r="O648" s="270"/>
      <c r="P648" s="270"/>
      <c r="Q648" s="270"/>
      <c r="R648" s="270"/>
      <c r="S648" s="270"/>
      <c r="T648" s="301"/>
      <c r="U648" s="270"/>
      <c r="V648" s="240"/>
      <c r="W648" s="238">
        <f t="shared" si="34"/>
        <v>0</v>
      </c>
      <c r="Y648" s="223" t="str">
        <f>'[4]Development - i'!E647</f>
        <v>a. 900 x 2100 mm R.C.C.Door frames of size 100 x 75mm with one edge grooves size 't' x 20 mm using M20 grade ( with out vibrating charges)</v>
      </c>
      <c r="Z648" s="223" t="str">
        <f t="shared" si="35"/>
        <v>-----------------------</v>
      </c>
    </row>
    <row r="649" spans="1:26" s="241" customFormat="1" ht="69.75">
      <c r="A649" s="345"/>
      <c r="B649" s="306" t="s">
        <v>1052</v>
      </c>
      <c r="C649" s="306" t="s">
        <v>1052</v>
      </c>
      <c r="D649" s="235" t="str">
        <f t="shared" si="33"/>
        <v xml:space="preserve"> OK</v>
      </c>
      <c r="E649" s="254" t="s">
        <v>2108</v>
      </c>
      <c r="F649" s="254" t="s">
        <v>1052</v>
      </c>
      <c r="G649" s="298">
        <f>[3]Data!R878</f>
        <v>2715.94</v>
      </c>
      <c r="H649" s="298" t="s">
        <v>556</v>
      </c>
      <c r="I649" s="300"/>
      <c r="J649" s="300"/>
      <c r="K649" s="270"/>
      <c r="L649" s="301"/>
      <c r="M649" s="270"/>
      <c r="N649" s="270"/>
      <c r="O649" s="270"/>
      <c r="P649" s="270"/>
      <c r="Q649" s="270"/>
      <c r="R649" s="270"/>
      <c r="S649" s="270"/>
      <c r="T649" s="301"/>
      <c r="U649" s="270"/>
      <c r="V649" s="240"/>
      <c r="W649" s="238">
        <f t="shared" si="34"/>
        <v>0</v>
      </c>
      <c r="Y649" s="223" t="str">
        <f>'[4]Development - i'!E648</f>
        <v>c. 1200 x 2100 mm R.C.C.Door frames of size 100 x 75mm with one edge grooves size 't' x 20 mm using M20 grade ( with out vibrating charges)</v>
      </c>
      <c r="Z649" s="223" t="str">
        <f t="shared" si="35"/>
        <v>-----------------------</v>
      </c>
    </row>
    <row r="650" spans="1:26" s="241" customFormat="1" ht="69.75">
      <c r="A650" s="345"/>
      <c r="B650" s="306" t="s">
        <v>761</v>
      </c>
      <c r="C650" s="306" t="s">
        <v>761</v>
      </c>
      <c r="D650" s="235" t="str">
        <f t="shared" si="33"/>
        <v xml:space="preserve"> OK</v>
      </c>
      <c r="E650" s="254" t="s">
        <v>2109</v>
      </c>
      <c r="F650" s="254" t="s">
        <v>1053</v>
      </c>
      <c r="G650" s="298">
        <f>ROUND([3]Data!K885,2)</f>
        <v>2291.41</v>
      </c>
      <c r="H650" s="298" t="s">
        <v>556</v>
      </c>
      <c r="I650" s="300"/>
      <c r="J650" s="300"/>
      <c r="K650" s="270"/>
      <c r="L650" s="301"/>
      <c r="M650" s="270"/>
      <c r="N650" s="270"/>
      <c r="O650" s="270"/>
      <c r="P650" s="270"/>
      <c r="Q650" s="270"/>
      <c r="R650" s="270"/>
      <c r="S650" s="270"/>
      <c r="T650" s="301"/>
      <c r="U650" s="270"/>
      <c r="V650" s="240"/>
      <c r="W650" s="238">
        <f t="shared" si="34"/>
        <v>0</v>
      </c>
      <c r="Y650" s="223" t="str">
        <f>'[4]Development - i'!E649</f>
        <v>c. 1000 x 2100 mm R.C.C.Door frames of size 100 x 75mm with one edge grooves size 't' x 20 mm using M20 grade ( with out vibrating charges)</v>
      </c>
      <c r="Z650" s="223" t="str">
        <f t="shared" si="35"/>
        <v>-----------------------</v>
      </c>
    </row>
    <row r="651" spans="1:26" s="241" customFormat="1" ht="69.75">
      <c r="A651" s="345"/>
      <c r="B651" s="306" t="s">
        <v>1054</v>
      </c>
      <c r="C651" s="306" t="s">
        <v>1054</v>
      </c>
      <c r="D651" s="235" t="str">
        <f t="shared" si="33"/>
        <v xml:space="preserve"> OK</v>
      </c>
      <c r="E651" s="254" t="s">
        <v>2110</v>
      </c>
      <c r="F651" s="254" t="s">
        <v>1054</v>
      </c>
      <c r="G651" s="298">
        <f>[3]Data!K919</f>
        <v>2243.25</v>
      </c>
      <c r="H651" s="298" t="s">
        <v>556</v>
      </c>
      <c r="I651" s="300"/>
      <c r="J651" s="300"/>
      <c r="K651" s="270"/>
      <c r="L651" s="301"/>
      <c r="M651" s="270"/>
      <c r="N651" s="270"/>
      <c r="O651" s="270"/>
      <c r="P651" s="270"/>
      <c r="Q651" s="270"/>
      <c r="R651" s="270"/>
      <c r="S651" s="270"/>
      <c r="T651" s="301"/>
      <c r="U651" s="270"/>
      <c r="V651" s="240"/>
      <c r="W651" s="238">
        <f t="shared" si="34"/>
        <v>0</v>
      </c>
      <c r="Y651" s="223" t="str">
        <f>'[4]Development - i'!E650</f>
        <v>d. 750 x 2100 mm R.C.C.Door frames of size 100 x 75mm with one edge grooves size 't' x 20 mm using M20 grade ( with out vibrating charges)</v>
      </c>
      <c r="Z651" s="223" t="str">
        <f t="shared" si="35"/>
        <v>-----------------------</v>
      </c>
    </row>
    <row r="652" spans="1:26" s="241" customFormat="1" ht="65.25">
      <c r="A652" s="326"/>
      <c r="B652" s="314" t="s">
        <v>1055</v>
      </c>
      <c r="C652" s="314" t="s">
        <v>1055</v>
      </c>
      <c r="D652" s="235" t="str">
        <f t="shared" si="33"/>
        <v xml:space="preserve"> OK</v>
      </c>
      <c r="E652" s="254" t="s">
        <v>1055</v>
      </c>
      <c r="F652" s="254" t="s">
        <v>1056</v>
      </c>
      <c r="G652" s="298"/>
      <c r="H652" s="298"/>
      <c r="I652" s="300"/>
      <c r="J652" s="300"/>
      <c r="K652" s="270"/>
      <c r="L652" s="301"/>
      <c r="M652" s="270"/>
      <c r="N652" s="270"/>
      <c r="O652" s="270"/>
      <c r="P652" s="270"/>
      <c r="Q652" s="270"/>
      <c r="R652" s="270"/>
      <c r="S652" s="270"/>
      <c r="T652" s="301"/>
      <c r="U652" s="270"/>
      <c r="V652" s="240"/>
      <c r="W652" s="238">
        <f t="shared" si="34"/>
        <v>0</v>
      </c>
      <c r="Y652" s="223" t="str">
        <f>'[4]Development - i'!E651</f>
        <v>Teak wood "Window" &amp;  Ventilator Shutter with 4mm thick pin headed glasses</v>
      </c>
      <c r="Z652" s="223" t="str">
        <f t="shared" si="35"/>
        <v>-----------------------</v>
      </c>
    </row>
    <row r="653" spans="1:26" s="241" customFormat="1">
      <c r="A653" s="326"/>
      <c r="B653" s="306" t="s">
        <v>773</v>
      </c>
      <c r="C653" s="306" t="s">
        <v>773</v>
      </c>
      <c r="D653" s="235" t="str">
        <f t="shared" si="33"/>
        <v xml:space="preserve"> OK</v>
      </c>
      <c r="E653" s="254" t="s">
        <v>773</v>
      </c>
      <c r="F653" s="254">
        <v>0</v>
      </c>
      <c r="G653" s="298">
        <f>[3]Data!K1095</f>
        <v>3235.61</v>
      </c>
      <c r="H653" s="298" t="s">
        <v>1715</v>
      </c>
      <c r="I653" s="300"/>
      <c r="J653" s="300"/>
      <c r="K653" s="270"/>
      <c r="L653" s="301"/>
      <c r="M653" s="270"/>
      <c r="N653" s="270"/>
      <c r="O653" s="270"/>
      <c r="P653" s="270"/>
      <c r="Q653" s="270"/>
      <c r="R653" s="270"/>
      <c r="S653" s="270"/>
      <c r="T653" s="301"/>
      <c r="U653" s="270"/>
      <c r="V653" s="240"/>
      <c r="W653" s="238">
        <f t="shared" si="34"/>
        <v>0</v>
      </c>
      <c r="Y653" s="223" t="str">
        <f>'[4]Development - i'!E652</f>
        <v>a. Window: 135 cm ht.</v>
      </c>
      <c r="Z653" s="223" t="str">
        <f t="shared" si="35"/>
        <v>-----------------------</v>
      </c>
    </row>
    <row r="654" spans="1:26" s="241" customFormat="1">
      <c r="A654" s="326"/>
      <c r="B654" s="306" t="s">
        <v>774</v>
      </c>
      <c r="C654" s="306" t="s">
        <v>774</v>
      </c>
      <c r="D654" s="235" t="str">
        <f t="shared" si="33"/>
        <v xml:space="preserve"> OK</v>
      </c>
      <c r="E654" s="254" t="s">
        <v>774</v>
      </c>
      <c r="F654" s="254">
        <v>0</v>
      </c>
      <c r="G654" s="298"/>
      <c r="H654" s="298" t="s">
        <v>1715</v>
      </c>
      <c r="I654" s="300"/>
      <c r="J654" s="300"/>
      <c r="K654" s="270"/>
      <c r="L654" s="301"/>
      <c r="M654" s="270"/>
      <c r="N654" s="270"/>
      <c r="O654" s="270"/>
      <c r="P654" s="270"/>
      <c r="Q654" s="270"/>
      <c r="R654" s="270"/>
      <c r="S654" s="270"/>
      <c r="T654" s="301"/>
      <c r="U654" s="270"/>
      <c r="V654" s="240"/>
      <c r="W654" s="238">
        <f t="shared" si="34"/>
        <v>0</v>
      </c>
      <c r="Y654" s="223" t="str">
        <f>'[4]Development - i'!E653</f>
        <v>b. Window: 120 cm ht.</v>
      </c>
      <c r="Z654" s="223" t="str">
        <f t="shared" si="35"/>
        <v>-----------------------</v>
      </c>
    </row>
    <row r="655" spans="1:26" s="241" customFormat="1">
      <c r="A655" s="326"/>
      <c r="B655" s="306" t="s">
        <v>775</v>
      </c>
      <c r="C655" s="306" t="s">
        <v>775</v>
      </c>
      <c r="D655" s="235" t="str">
        <f t="shared" si="33"/>
        <v xml:space="preserve"> OK</v>
      </c>
      <c r="E655" s="254" t="s">
        <v>775</v>
      </c>
      <c r="F655" s="254">
        <v>0</v>
      </c>
      <c r="G655" s="298">
        <f>[3]Data!K1111</f>
        <v>3417.82</v>
      </c>
      <c r="H655" s="298" t="s">
        <v>1715</v>
      </c>
      <c r="I655" s="300"/>
      <c r="J655" s="300"/>
      <c r="K655" s="270"/>
      <c r="L655" s="301"/>
      <c r="M655" s="270"/>
      <c r="N655" s="270"/>
      <c r="O655" s="270"/>
      <c r="P655" s="270"/>
      <c r="Q655" s="270"/>
      <c r="R655" s="270"/>
      <c r="S655" s="270"/>
      <c r="T655" s="301"/>
      <c r="U655" s="270"/>
      <c r="V655" s="240"/>
      <c r="W655" s="238">
        <f t="shared" si="34"/>
        <v>0</v>
      </c>
      <c r="Y655" s="223" t="str">
        <f>'[4]Development - i'!E654</f>
        <v>c. Window: 105 cm ht.</v>
      </c>
      <c r="Z655" s="223" t="str">
        <f t="shared" si="35"/>
        <v>-----------------------</v>
      </c>
    </row>
    <row r="656" spans="1:26" s="241" customFormat="1">
      <c r="A656" s="326"/>
      <c r="B656" s="306" t="s">
        <v>776</v>
      </c>
      <c r="C656" s="306" t="s">
        <v>776</v>
      </c>
      <c r="D656" s="235" t="str">
        <f t="shared" si="33"/>
        <v xml:space="preserve"> OK</v>
      </c>
      <c r="E656" s="254" t="s">
        <v>776</v>
      </c>
      <c r="F656" s="254">
        <v>0</v>
      </c>
      <c r="G656" s="298">
        <f>[3]Data!K1126</f>
        <v>2552.9</v>
      </c>
      <c r="H656" s="298" t="s">
        <v>1715</v>
      </c>
      <c r="I656" s="300"/>
      <c r="J656" s="300"/>
      <c r="K656" s="270"/>
      <c r="L656" s="301"/>
      <c r="M656" s="270"/>
      <c r="N656" s="270"/>
      <c r="O656" s="270"/>
      <c r="P656" s="270"/>
      <c r="Q656" s="270"/>
      <c r="R656" s="270"/>
      <c r="S656" s="270"/>
      <c r="T656" s="301"/>
      <c r="U656" s="270"/>
      <c r="V656" s="240"/>
      <c r="W656" s="238">
        <f t="shared" si="34"/>
        <v>0</v>
      </c>
      <c r="Y656" s="223" t="str">
        <f>'[4]Development - i'!E655</f>
        <v>d. Ventilator: (90 x 60 cm)</v>
      </c>
      <c r="Z656" s="223" t="str">
        <f t="shared" si="35"/>
        <v>-----------------------</v>
      </c>
    </row>
    <row r="657" spans="1:26" s="241" customFormat="1" ht="87">
      <c r="A657" s="326"/>
      <c r="B657" s="306" t="s">
        <v>1057</v>
      </c>
      <c r="C657" s="306" t="s">
        <v>1057</v>
      </c>
      <c r="D657" s="235" t="str">
        <f t="shared" si="33"/>
        <v xml:space="preserve"> OK</v>
      </c>
      <c r="E657" s="254" t="s">
        <v>1057</v>
      </c>
      <c r="F657" s="254" t="s">
        <v>1058</v>
      </c>
      <c r="G657" s="298">
        <v>2203.2800000000002</v>
      </c>
      <c r="H657" s="298" t="s">
        <v>1715</v>
      </c>
      <c r="I657" s="300"/>
      <c r="J657" s="300"/>
      <c r="K657" s="270"/>
      <c r="L657" s="301"/>
      <c r="M657" s="270"/>
      <c r="N657" s="270"/>
      <c r="O657" s="270"/>
      <c r="P657" s="270"/>
      <c r="Q657" s="270"/>
      <c r="R657" s="270"/>
      <c r="S657" s="270"/>
      <c r="T657" s="301"/>
      <c r="U657" s="270"/>
      <c r="V657" s="240"/>
      <c r="W657" s="238">
        <f t="shared" si="34"/>
        <v>0</v>
      </c>
      <c r="Y657" s="223" t="str">
        <f>'[4]Development - i'!E656</f>
        <v>d. Ventilator: (75 x 75 cm)</v>
      </c>
      <c r="Z657" s="223" t="str">
        <f t="shared" si="35"/>
        <v>-----------------------</v>
      </c>
    </row>
    <row r="658" spans="1:26" s="241" customFormat="1" ht="46.5">
      <c r="A658" s="387" t="s">
        <v>2111</v>
      </c>
      <c r="B658" s="306" t="s">
        <v>1059</v>
      </c>
      <c r="C658" s="306" t="s">
        <v>1059</v>
      </c>
      <c r="D658" s="235" t="str">
        <f t="shared" si="33"/>
        <v xml:space="preserve"> OK</v>
      </c>
      <c r="E658" s="254" t="s">
        <v>1059</v>
      </c>
      <c r="F658" s="254">
        <v>0</v>
      </c>
      <c r="G658" s="298">
        <f>ROUND([3]Data!K2895,2)</f>
        <v>2060.92</v>
      </c>
      <c r="H658" s="298" t="s">
        <v>26</v>
      </c>
      <c r="I658" s="300"/>
      <c r="J658" s="300"/>
      <c r="K658" s="270"/>
      <c r="L658" s="301"/>
      <c r="M658" s="270"/>
      <c r="N658" s="270"/>
      <c r="O658" s="270"/>
      <c r="P658" s="270"/>
      <c r="Q658" s="270"/>
      <c r="R658" s="270"/>
      <c r="S658" s="270"/>
      <c r="T658" s="301"/>
      <c r="U658" s="270"/>
      <c r="V658" s="242"/>
      <c r="W658" s="238">
        <f t="shared" si="34"/>
        <v>0</v>
      </c>
      <c r="Y658" s="223" t="str">
        <f>'[4]Development - i'!E657</f>
        <v xml:space="preserve"> MDF board (18mm thick) double leaf shutters with TW frame for cup board/ ward robes.</v>
      </c>
      <c r="Z658" s="223" t="str">
        <f t="shared" si="35"/>
        <v>-----------------------</v>
      </c>
    </row>
    <row r="659" spans="1:26" s="241" customFormat="1" ht="304.5">
      <c r="A659" s="388"/>
      <c r="B659" s="389" t="s">
        <v>1060</v>
      </c>
      <c r="C659" s="352" t="s">
        <v>1060</v>
      </c>
      <c r="D659" s="235" t="str">
        <f t="shared" si="33"/>
        <v xml:space="preserve"> OK</v>
      </c>
      <c r="E659" s="254" t="s">
        <v>1060</v>
      </c>
      <c r="F659" s="254" t="s">
        <v>1061</v>
      </c>
      <c r="G659" s="298">
        <f>ROUND([3]Data!K3132,2)</f>
        <v>3907.97</v>
      </c>
      <c r="H659" s="298" t="s">
        <v>26</v>
      </c>
      <c r="I659" s="299"/>
      <c r="J659" s="300"/>
      <c r="K659" s="270"/>
      <c r="L659" s="301"/>
      <c r="M659" s="270"/>
      <c r="N659" s="270"/>
      <c r="O659" s="270"/>
      <c r="P659" s="270"/>
      <c r="Q659" s="270"/>
      <c r="R659" s="270"/>
      <c r="S659" s="270"/>
      <c r="T659" s="301"/>
      <c r="U659" s="302"/>
      <c r="V659" s="236">
        <f>'[3]Precast Compound wall '!H251</f>
        <v>4</v>
      </c>
      <c r="W659" s="233">
        <f t="shared" si="34"/>
        <v>0</v>
      </c>
      <c r="Y659" s="223" t="str">
        <f>'[4]Development - i'!E658</f>
        <v>T.W. frame &amp; TW styles &amp; rails with BWR double leaf shutters for cup board/ ward robes including two coat enamel paint &amp; one coat primer.</v>
      </c>
      <c r="Z659" s="223" t="str">
        <f t="shared" si="35"/>
        <v>-----------------------</v>
      </c>
    </row>
    <row r="660" spans="1:26" s="241" customFormat="1" ht="130.5">
      <c r="A660" s="305">
        <v>22.8</v>
      </c>
      <c r="B660" s="306" t="s">
        <v>1062</v>
      </c>
      <c r="C660" s="306" t="s">
        <v>1062</v>
      </c>
      <c r="D660" s="235" t="str">
        <f t="shared" si="33"/>
        <v xml:space="preserve"> OK</v>
      </c>
      <c r="E660" s="254" t="s">
        <v>1062</v>
      </c>
      <c r="F660" s="254" t="s">
        <v>1063</v>
      </c>
      <c r="G660" s="298"/>
      <c r="H660" s="298"/>
      <c r="I660" s="300"/>
      <c r="J660" s="300"/>
      <c r="K660" s="270"/>
      <c r="L660" s="301"/>
      <c r="M660" s="270"/>
      <c r="N660" s="270"/>
      <c r="O660" s="270"/>
      <c r="P660" s="270"/>
      <c r="Q660" s="270"/>
      <c r="R660" s="270"/>
      <c r="S660" s="270"/>
      <c r="T660" s="301"/>
      <c r="U660" s="270"/>
      <c r="V660" s="240"/>
      <c r="W660" s="238">
        <f t="shared" si="34"/>
        <v>0</v>
      </c>
      <c r="Y660" s="223" t="str">
        <f>'[4]Development - i'!E659</f>
        <v>MDF board door shutters (35mm thick) exterior grade both side laminated with external lipping.</v>
      </c>
      <c r="Z660" s="223" t="str">
        <f t="shared" si="35"/>
        <v>-----------------------</v>
      </c>
    </row>
    <row r="661" spans="1:26" s="241" customFormat="1" ht="69.75">
      <c r="A661" s="348"/>
      <c r="B661" s="306" t="s">
        <v>1064</v>
      </c>
      <c r="C661" s="306" t="s">
        <v>1064</v>
      </c>
      <c r="D661" s="235" t="str">
        <f t="shared" si="33"/>
        <v xml:space="preserve"> OK</v>
      </c>
      <c r="E661" s="254" t="s">
        <v>2112</v>
      </c>
      <c r="F661" s="254" t="s">
        <v>1064</v>
      </c>
      <c r="G661" s="298">
        <f>ROUND([3]Data!K2863,2)</f>
        <v>2895.86</v>
      </c>
      <c r="H661" s="298" t="s">
        <v>26</v>
      </c>
      <c r="I661" s="300"/>
      <c r="J661" s="300"/>
      <c r="K661" s="270"/>
      <c r="L661" s="301"/>
      <c r="M661" s="270"/>
      <c r="N661" s="270"/>
      <c r="O661" s="270"/>
      <c r="P661" s="270"/>
      <c r="Q661" s="270"/>
      <c r="R661" s="270"/>
      <c r="S661" s="270"/>
      <c r="T661" s="301"/>
      <c r="U661" s="270"/>
      <c r="V661" s="240"/>
      <c r="W661" s="238">
        <f t="shared" si="34"/>
        <v>0</v>
      </c>
      <c r="Y661" s="223" t="str">
        <f>'[4]Development - i'!E660</f>
        <v>a. 1000X2100mm. MDF board door shutters (35mm thick) exterior grade both side laminated with external lipping.</v>
      </c>
      <c r="Z661" s="223" t="str">
        <f t="shared" si="35"/>
        <v>-----------------------</v>
      </c>
    </row>
    <row r="662" spans="1:26" s="241" customFormat="1" ht="69.75">
      <c r="A662" s="348"/>
      <c r="B662" s="306" t="s">
        <v>1065</v>
      </c>
      <c r="C662" s="306" t="s">
        <v>1065</v>
      </c>
      <c r="D662" s="235" t="str">
        <f t="shared" si="33"/>
        <v xml:space="preserve"> OK</v>
      </c>
      <c r="E662" s="254" t="s">
        <v>2113</v>
      </c>
      <c r="F662" s="254" t="s">
        <v>1065</v>
      </c>
      <c r="G662" s="298">
        <f>ROUND([3]Data!K2999,2)</f>
        <v>2936.45</v>
      </c>
      <c r="H662" s="298" t="s">
        <v>26</v>
      </c>
      <c r="I662" s="300"/>
      <c r="J662" s="300"/>
      <c r="K662" s="270"/>
      <c r="L662" s="301"/>
      <c r="M662" s="270"/>
      <c r="N662" s="270"/>
      <c r="O662" s="270"/>
      <c r="P662" s="270"/>
      <c r="Q662" s="270"/>
      <c r="R662" s="270"/>
      <c r="S662" s="270"/>
      <c r="T662" s="301"/>
      <c r="U662" s="270"/>
      <c r="V662" s="240"/>
      <c r="W662" s="238">
        <f t="shared" si="34"/>
        <v>0</v>
      </c>
      <c r="Y662" s="223" t="str">
        <f>'[4]Development - i'!E661</f>
        <v>b. 900X2100mm. MDF board door shutters (35mm thick) exterior grade both side laminated with external lipping.</v>
      </c>
      <c r="Z662" s="223" t="str">
        <f t="shared" si="35"/>
        <v>-----------------------</v>
      </c>
    </row>
    <row r="663" spans="1:26" s="241" customFormat="1" ht="69.75">
      <c r="A663" s="326"/>
      <c r="B663" s="306" t="s">
        <v>1066</v>
      </c>
      <c r="C663" s="306" t="s">
        <v>1066</v>
      </c>
      <c r="D663" s="235" t="str">
        <f t="shared" si="33"/>
        <v xml:space="preserve"> OK</v>
      </c>
      <c r="E663" s="254" t="s">
        <v>2114</v>
      </c>
      <c r="F663" s="254" t="s">
        <v>1066</v>
      </c>
      <c r="G663" s="298"/>
      <c r="H663" s="298" t="s">
        <v>26</v>
      </c>
      <c r="I663" s="300"/>
      <c r="J663" s="300"/>
      <c r="K663" s="270"/>
      <c r="L663" s="301"/>
      <c r="M663" s="270"/>
      <c r="N663" s="270"/>
      <c r="O663" s="270"/>
      <c r="P663" s="270"/>
      <c r="Q663" s="270"/>
      <c r="R663" s="270"/>
      <c r="S663" s="270"/>
      <c r="T663" s="301"/>
      <c r="U663" s="270"/>
      <c r="V663" s="240"/>
      <c r="W663" s="238">
        <f t="shared" si="34"/>
        <v>0</v>
      </c>
      <c r="Y663" s="223" t="str">
        <f>'[4]Development - i'!E662</f>
        <v>c.1200X2100mm. MDF board door shutters (35mm thick) exterior grade both side laminated with external lipping.</v>
      </c>
      <c r="Z663" s="223" t="str">
        <f t="shared" si="35"/>
        <v>-----------------------</v>
      </c>
    </row>
    <row r="664" spans="1:26" s="239" customFormat="1" ht="152.25">
      <c r="A664" s="390"/>
      <c r="B664" s="316" t="s">
        <v>1067</v>
      </c>
      <c r="C664" s="316" t="s">
        <v>1067</v>
      </c>
      <c r="D664" s="235" t="str">
        <f t="shared" si="33"/>
        <v xml:space="preserve"> OK</v>
      </c>
      <c r="E664" s="254" t="s">
        <v>1067</v>
      </c>
      <c r="F664" s="254" t="s">
        <v>1068</v>
      </c>
      <c r="G664" s="298"/>
      <c r="H664" s="298"/>
      <c r="I664" s="300"/>
      <c r="J664" s="300"/>
      <c r="K664" s="270"/>
      <c r="L664" s="301"/>
      <c r="M664" s="270"/>
      <c r="N664" s="270"/>
      <c r="O664" s="270"/>
      <c r="P664" s="270"/>
      <c r="Q664" s="270"/>
      <c r="R664" s="270"/>
      <c r="S664" s="270"/>
      <c r="T664" s="301"/>
      <c r="U664" s="270"/>
      <c r="V664" s="240"/>
      <c r="W664" s="238">
        <f t="shared" si="34"/>
        <v>0</v>
      </c>
      <c r="Y664" s="223" t="str">
        <f>'[4]Development - i'!E663</f>
        <v>TW panelled  single door shutter with brass fittings.</v>
      </c>
      <c r="Z664" s="223" t="str">
        <f t="shared" si="35"/>
        <v>-----------------------</v>
      </c>
    </row>
    <row r="665" spans="1:26" s="239" customFormat="1">
      <c r="A665" s="390"/>
      <c r="B665" s="290" t="s">
        <v>1069</v>
      </c>
      <c r="C665" s="290" t="s">
        <v>1069</v>
      </c>
      <c r="D665" s="235" t="str">
        <f t="shared" ref="D665:D729" si="36">IF(B665=C665," OK","nun")</f>
        <v xml:space="preserve"> OK</v>
      </c>
      <c r="E665" s="254" t="s">
        <v>1069</v>
      </c>
      <c r="F665" s="254" t="s">
        <v>1069</v>
      </c>
      <c r="G665" s="298">
        <f>ROUND([3]Data!K2845,2)</f>
        <v>5610.61</v>
      </c>
      <c r="H665" s="298" t="s">
        <v>26</v>
      </c>
      <c r="I665" s="300"/>
      <c r="J665" s="300"/>
      <c r="K665" s="270"/>
      <c r="L665" s="301"/>
      <c r="M665" s="270"/>
      <c r="N665" s="270"/>
      <c r="O665" s="270"/>
      <c r="P665" s="270"/>
      <c r="Q665" s="270"/>
      <c r="R665" s="270"/>
      <c r="S665" s="270"/>
      <c r="T665" s="301"/>
      <c r="U665" s="270"/>
      <c r="V665" s="240"/>
      <c r="W665" s="238">
        <f t="shared" si="34"/>
        <v>0</v>
      </c>
      <c r="Y665" s="223" t="str">
        <f>'[4]Development - i'!E664</f>
        <v>a. 1000X2100mm.(Single leaf) For Qtrs</v>
      </c>
      <c r="Z665" s="223" t="str">
        <f t="shared" si="35"/>
        <v>-----------------------</v>
      </c>
    </row>
    <row r="666" spans="1:26" s="241" customFormat="1">
      <c r="A666" s="343"/>
      <c r="B666" s="310" t="s">
        <v>1070</v>
      </c>
      <c r="C666" s="310" t="s">
        <v>1070</v>
      </c>
      <c r="D666" s="235" t="str">
        <f t="shared" si="36"/>
        <v xml:space="preserve"> OK</v>
      </c>
      <c r="E666" s="254" t="s">
        <v>1070</v>
      </c>
      <c r="F666" s="254" t="s">
        <v>1070</v>
      </c>
      <c r="G666" s="298"/>
      <c r="H666" s="298"/>
      <c r="I666" s="300"/>
      <c r="J666" s="300"/>
      <c r="K666" s="270"/>
      <c r="L666" s="301"/>
      <c r="M666" s="270"/>
      <c r="N666" s="270"/>
      <c r="O666" s="270"/>
      <c r="P666" s="270"/>
      <c r="Q666" s="270"/>
      <c r="R666" s="270"/>
      <c r="S666" s="270"/>
      <c r="T666" s="301"/>
      <c r="U666" s="270"/>
      <c r="V666" s="240"/>
      <c r="W666" s="238">
        <f>ROUND(G668,2)*ROUND(V666,2)</f>
        <v>0</v>
      </c>
      <c r="Y666" s="223" t="str">
        <f>'[4]Development - i'!E665</f>
        <v>b.1200x2400mm</v>
      </c>
      <c r="Z666" s="223" t="str">
        <f>IF(Y666=E666,"-----------------------","ERRR")</f>
        <v>-----------------------</v>
      </c>
    </row>
    <row r="667" spans="1:26" s="241" customFormat="1">
      <c r="A667" s="343"/>
      <c r="B667" s="310"/>
      <c r="C667" s="310"/>
      <c r="D667" s="235"/>
      <c r="E667" s="254" t="s">
        <v>1071</v>
      </c>
      <c r="F667" s="254" t="s">
        <v>1071</v>
      </c>
      <c r="G667" s="298">
        <f>'[3]data -1'!F373</f>
        <v>5524.96</v>
      </c>
      <c r="H667" s="298"/>
      <c r="I667" s="300"/>
      <c r="J667" s="300"/>
      <c r="K667" s="270"/>
      <c r="L667" s="301"/>
      <c r="M667" s="270"/>
      <c r="N667" s="270"/>
      <c r="O667" s="270"/>
      <c r="P667" s="270"/>
      <c r="Q667" s="270"/>
      <c r="R667" s="270"/>
      <c r="S667" s="270"/>
      <c r="T667" s="301"/>
      <c r="U667" s="270"/>
      <c r="V667" s="240"/>
      <c r="W667" s="238"/>
      <c r="Y667" s="223" t="str">
        <f>'[4]Development - i'!E666</f>
        <v xml:space="preserve">C. 0.75X2100mm.(Single leaf) </v>
      </c>
      <c r="Z667" s="223" t="str">
        <f>IF(Y667=E667,"-----------------------","ERRR")</f>
        <v>-----------------------</v>
      </c>
    </row>
    <row r="668" spans="1:26" s="241" customFormat="1" ht="69.75">
      <c r="A668" s="326"/>
      <c r="B668" s="306" t="s">
        <v>1072</v>
      </c>
      <c r="C668" s="306" t="s">
        <v>1072</v>
      </c>
      <c r="D668" s="235" t="str">
        <f t="shared" si="36"/>
        <v xml:space="preserve"> OK</v>
      </c>
      <c r="E668" s="254" t="s">
        <v>1072</v>
      </c>
      <c r="F668" s="254" t="s">
        <v>1072</v>
      </c>
      <c r="G668" s="298">
        <f>[3]Data!R2885</f>
        <v>4875.3500000000004</v>
      </c>
      <c r="H668" s="298" t="s">
        <v>26</v>
      </c>
      <c r="I668" s="300"/>
      <c r="J668" s="300"/>
      <c r="K668" s="270"/>
      <c r="L668" s="301"/>
      <c r="M668" s="270"/>
      <c r="N668" s="270"/>
      <c r="O668" s="270"/>
      <c r="P668" s="270"/>
      <c r="Q668" s="270"/>
      <c r="R668" s="270"/>
      <c r="S668" s="270"/>
      <c r="T668" s="301"/>
      <c r="U668" s="270"/>
      <c r="V668" s="240"/>
      <c r="W668" s="238">
        <f t="shared" si="34"/>
        <v>0</v>
      </c>
      <c r="Y668" s="223" t="str">
        <f>'[4]Development - i'!E667</f>
        <v>a. 1200X2100mm.(Single leaf)  Four horizontal Panel</v>
      </c>
      <c r="Z668" s="223" t="str">
        <f>IF(Y668=E668,"-----------------------","ERRR")</f>
        <v>ERRR</v>
      </c>
    </row>
    <row r="669" spans="1:26" s="241" customFormat="1" ht="69.75">
      <c r="A669" s="326"/>
      <c r="B669" s="306" t="s">
        <v>1073</v>
      </c>
      <c r="C669" s="306" t="s">
        <v>1073</v>
      </c>
      <c r="D669" s="235" t="str">
        <f t="shared" si="36"/>
        <v xml:space="preserve"> OK</v>
      </c>
      <c r="E669" s="254" t="s">
        <v>1073</v>
      </c>
      <c r="F669" s="254" t="s">
        <v>1073</v>
      </c>
      <c r="G669" s="298">
        <f>[3]Data!R2852</f>
        <v>5171.0200000000004</v>
      </c>
      <c r="H669" s="298" t="s">
        <v>26</v>
      </c>
      <c r="I669" s="300"/>
      <c r="J669" s="300"/>
      <c r="K669" s="270"/>
      <c r="L669" s="301"/>
      <c r="M669" s="270"/>
      <c r="N669" s="270"/>
      <c r="O669" s="270"/>
      <c r="P669" s="270"/>
      <c r="Q669" s="270"/>
      <c r="R669" s="270"/>
      <c r="S669" s="270"/>
      <c r="T669" s="301"/>
      <c r="U669" s="270"/>
      <c r="V669" s="240"/>
      <c r="W669" s="238">
        <f t="shared" si="34"/>
        <v>0</v>
      </c>
      <c r="Y669" s="223" t="str">
        <f>'[4]Development - i'!E668</f>
        <v>a. 1200X2100mm.(Single leaf)  Five horizontal Panel</v>
      </c>
      <c r="Z669" s="223" t="str">
        <f>IF(Y669=E669,"-----------------------","ERRR")</f>
        <v>ERRR</v>
      </c>
    </row>
    <row r="670" spans="1:26" s="241" customFormat="1">
      <c r="A670" s="326"/>
      <c r="B670" s="306" t="s">
        <v>1074</v>
      </c>
      <c r="C670" s="306" t="s">
        <v>1074</v>
      </c>
      <c r="D670" s="235" t="str">
        <f t="shared" si="36"/>
        <v xml:space="preserve"> OK</v>
      </c>
      <c r="E670" s="254" t="s">
        <v>1074</v>
      </c>
      <c r="F670" s="254" t="s">
        <v>1074</v>
      </c>
      <c r="G670" s="298">
        <f>[3]Data!K1014</f>
        <v>4672.99</v>
      </c>
      <c r="H670" s="298" t="s">
        <v>26</v>
      </c>
      <c r="I670" s="300"/>
      <c r="J670" s="300"/>
      <c r="K670" s="270"/>
      <c r="L670" s="301"/>
      <c r="M670" s="270"/>
      <c r="N670" s="270"/>
      <c r="O670" s="270"/>
      <c r="P670" s="270"/>
      <c r="Q670" s="270"/>
      <c r="R670" s="270"/>
      <c r="S670" s="270"/>
      <c r="T670" s="301"/>
      <c r="U670" s="270"/>
      <c r="V670" s="240"/>
      <c r="W670" s="238">
        <f t="shared" si="34"/>
        <v>0</v>
      </c>
      <c r="Y670" s="223" t="str">
        <f>'[4]Development - i'!E669</f>
        <v>b. 900X2100mm  without Brass fittings ( Single leaf)</v>
      </c>
      <c r="Z670" s="223" t="str">
        <f>IF(Y670=E670,"-----------------------","ERRR")</f>
        <v>-----------------------</v>
      </c>
    </row>
    <row r="671" spans="1:26" s="241" customFormat="1">
      <c r="A671" s="326"/>
      <c r="B671" s="314" t="s">
        <v>1075</v>
      </c>
      <c r="C671" s="314" t="s">
        <v>1075</v>
      </c>
      <c r="D671" s="235" t="str">
        <f t="shared" si="36"/>
        <v xml:space="preserve"> OK</v>
      </c>
      <c r="E671" s="254" t="s">
        <v>1075</v>
      </c>
      <c r="F671" s="254">
        <v>0</v>
      </c>
      <c r="G671" s="298"/>
      <c r="H671" s="298"/>
      <c r="I671" s="300"/>
      <c r="J671" s="300"/>
      <c r="K671" s="270"/>
      <c r="L671" s="301"/>
      <c r="M671" s="270"/>
      <c r="N671" s="270"/>
      <c r="O671" s="270"/>
      <c r="P671" s="270"/>
      <c r="Q671" s="270"/>
      <c r="R671" s="270"/>
      <c r="S671" s="270"/>
      <c r="T671" s="301"/>
      <c r="U671" s="270"/>
      <c r="V671" s="240"/>
      <c r="W671" s="238">
        <f t="shared" si="34"/>
        <v>0</v>
      </c>
      <c r="Y671" s="223" t="str">
        <f>'[4]Development - i'!E670</f>
        <v>TW double leaves shutter  with Brass Fittings</v>
      </c>
      <c r="Z671" s="223" t="str">
        <f t="shared" ref="Z671:Z734" si="37">IF(Y671=E671,"-----------------------","ERRR")</f>
        <v>-----------------------</v>
      </c>
    </row>
    <row r="672" spans="1:26" s="241" customFormat="1" ht="46.5">
      <c r="A672" s="326"/>
      <c r="B672" s="306" t="s">
        <v>2115</v>
      </c>
      <c r="C672" s="306" t="s">
        <v>1076</v>
      </c>
      <c r="D672" s="235" t="str">
        <f t="shared" si="36"/>
        <v xml:space="preserve"> OK</v>
      </c>
      <c r="E672" s="254" t="s">
        <v>2116</v>
      </c>
      <c r="F672" s="254">
        <v>0</v>
      </c>
      <c r="G672" s="298">
        <f>[3]Data!K3452</f>
        <v>4937.8999999999996</v>
      </c>
      <c r="H672" s="298" t="s">
        <v>26</v>
      </c>
      <c r="I672" s="300"/>
      <c r="J672" s="300"/>
      <c r="K672" s="270"/>
      <c r="L672" s="301"/>
      <c r="M672" s="270"/>
      <c r="N672" s="270"/>
      <c r="O672" s="270"/>
      <c r="P672" s="270"/>
      <c r="Q672" s="270"/>
      <c r="R672" s="270"/>
      <c r="S672" s="270"/>
      <c r="T672" s="301"/>
      <c r="U672" s="270"/>
      <c r="V672" s="240"/>
      <c r="W672" s="238">
        <f t="shared" si="34"/>
        <v>0</v>
      </c>
      <c r="Y672" s="223" t="str">
        <f>'[4]Development - i'!E671</f>
        <v>TW double leaves shutter of size  2000X2400mm.(Double leaves) with Brass fittings</v>
      </c>
      <c r="Z672" s="223" t="str">
        <f t="shared" si="37"/>
        <v>-----------------------</v>
      </c>
    </row>
    <row r="673" spans="1:26" s="241" customFormat="1" ht="69.75">
      <c r="A673" s="326"/>
      <c r="B673" s="358" t="s">
        <v>2117</v>
      </c>
      <c r="C673" s="358" t="s">
        <v>1077</v>
      </c>
      <c r="D673" s="235" t="str">
        <f t="shared" si="36"/>
        <v xml:space="preserve"> OK</v>
      </c>
      <c r="E673" s="254" t="s">
        <v>2118</v>
      </c>
      <c r="F673" s="254">
        <v>0</v>
      </c>
      <c r="G673" s="298">
        <f>[3]Data!AG2647</f>
        <v>5184.83</v>
      </c>
      <c r="H673" s="298" t="s">
        <v>26</v>
      </c>
      <c r="I673" s="300"/>
      <c r="J673" s="300"/>
      <c r="K673" s="270"/>
      <c r="L673" s="301"/>
      <c r="M673" s="270"/>
      <c r="N673" s="270"/>
      <c r="O673" s="270"/>
      <c r="P673" s="270"/>
      <c r="Q673" s="270"/>
      <c r="R673" s="270"/>
      <c r="S673" s="270"/>
      <c r="T673" s="301"/>
      <c r="U673" s="270"/>
      <c r="V673" s="240"/>
      <c r="W673" s="238">
        <f t="shared" si="34"/>
        <v>0</v>
      </c>
      <c r="Y673" s="223" t="str">
        <f>'[4]Development - i'!E672</f>
        <v>TW panelled door double leaves shutter with brass fittings of size . 2000X2100mm. Thiruvarur AR  Garage</v>
      </c>
      <c r="Z673" s="223" t="str">
        <f t="shared" si="37"/>
        <v>-----------------------</v>
      </c>
    </row>
    <row r="674" spans="1:26" s="241" customFormat="1" ht="69.75">
      <c r="A674" s="326"/>
      <c r="B674" s="306" t="s">
        <v>2119</v>
      </c>
      <c r="C674" s="306" t="s">
        <v>1078</v>
      </c>
      <c r="D674" s="235" t="str">
        <f t="shared" si="36"/>
        <v xml:space="preserve"> OK</v>
      </c>
      <c r="E674" s="254" t="s">
        <v>2120</v>
      </c>
      <c r="F674" s="254">
        <v>0</v>
      </c>
      <c r="G674" s="298">
        <f>[3]Data!AG2681</f>
        <v>5418.92</v>
      </c>
      <c r="H674" s="298" t="s">
        <v>26</v>
      </c>
      <c r="I674" s="300"/>
      <c r="J674" s="300"/>
      <c r="K674" s="270"/>
      <c r="L674" s="301"/>
      <c r="M674" s="270"/>
      <c r="N674" s="270"/>
      <c r="O674" s="270"/>
      <c r="P674" s="270"/>
      <c r="Q674" s="270"/>
      <c r="R674" s="270"/>
      <c r="S674" s="270"/>
      <c r="T674" s="301"/>
      <c r="U674" s="270"/>
      <c r="V674" s="240"/>
      <c r="W674" s="238">
        <f t="shared" si="34"/>
        <v>0</v>
      </c>
      <c r="Y674" s="223" t="str">
        <f>'[4]Development - i'!E673</f>
        <v>TW double leaves shutter of size  with brass fittingsa.1800 x 2100mm For PS</v>
      </c>
      <c r="Z674" s="223" t="str">
        <f t="shared" si="37"/>
        <v>ERRR</v>
      </c>
    </row>
    <row r="675" spans="1:26" s="241" customFormat="1" ht="46.5">
      <c r="A675" s="326"/>
      <c r="B675" s="306" t="s">
        <v>2121</v>
      </c>
      <c r="C675" s="306" t="s">
        <v>1079</v>
      </c>
      <c r="D675" s="235" t="str">
        <f t="shared" si="36"/>
        <v xml:space="preserve"> OK</v>
      </c>
      <c r="E675" s="254" t="s">
        <v>2122</v>
      </c>
      <c r="F675" s="254">
        <v>0</v>
      </c>
      <c r="G675" s="298">
        <f>[3]Data!R3221</f>
        <v>6049.48</v>
      </c>
      <c r="H675" s="298" t="s">
        <v>26</v>
      </c>
      <c r="I675" s="300"/>
      <c r="J675" s="300"/>
      <c r="K675" s="270"/>
      <c r="L675" s="301"/>
      <c r="M675" s="270"/>
      <c r="N675" s="270"/>
      <c r="O675" s="270"/>
      <c r="P675" s="270"/>
      <c r="Q675" s="270"/>
      <c r="R675" s="270"/>
      <c r="S675" s="270"/>
      <c r="T675" s="301"/>
      <c r="U675" s="270"/>
      <c r="V675" s="240"/>
      <c r="W675" s="238">
        <f t="shared" si="34"/>
        <v>0</v>
      </c>
      <c r="Y675" s="223" t="str">
        <f>'[4]Development - i'!E674</f>
        <v>a. 1500X2400mm.(Double leaves) with Brass  Screws only ( DPO Ariyalur)</v>
      </c>
      <c r="Z675" s="223" t="str">
        <f t="shared" si="37"/>
        <v>-----------------------</v>
      </c>
    </row>
    <row r="676" spans="1:26" s="241" customFormat="1" ht="46.5">
      <c r="A676" s="326"/>
      <c r="B676" s="306" t="s">
        <v>2123</v>
      </c>
      <c r="C676" s="306" t="s">
        <v>1080</v>
      </c>
      <c r="D676" s="235" t="str">
        <f t="shared" si="36"/>
        <v xml:space="preserve"> OK</v>
      </c>
      <c r="E676" s="254" t="s">
        <v>2124</v>
      </c>
      <c r="F676" s="254">
        <v>0</v>
      </c>
      <c r="G676" s="298">
        <f>[3]Data!K2665</f>
        <v>5731.62</v>
      </c>
      <c r="H676" s="298" t="s">
        <v>26</v>
      </c>
      <c r="I676" s="300"/>
      <c r="J676" s="300"/>
      <c r="K676" s="270"/>
      <c r="L676" s="301"/>
      <c r="M676" s="270"/>
      <c r="N676" s="270"/>
      <c r="O676" s="270"/>
      <c r="P676" s="270"/>
      <c r="Q676" s="270"/>
      <c r="R676" s="270"/>
      <c r="S676" s="270"/>
      <c r="T676" s="301"/>
      <c r="U676" s="270"/>
      <c r="V676" s="240"/>
      <c r="W676" s="238">
        <f t="shared" si="34"/>
        <v>0</v>
      </c>
      <c r="Y676" s="223" t="str">
        <f>'[4]Development - i'!E675</f>
        <v>a. 1500X2100mm.(Double leaves) with Brass fittings</v>
      </c>
      <c r="Z676" s="223" t="str">
        <f t="shared" si="37"/>
        <v>-----------------------</v>
      </c>
    </row>
    <row r="677" spans="1:26" s="241" customFormat="1" ht="46.5">
      <c r="A677" s="326"/>
      <c r="B677" s="358" t="s">
        <v>2125</v>
      </c>
      <c r="C677" s="358" t="s">
        <v>1081</v>
      </c>
      <c r="D677" s="235" t="str">
        <f t="shared" si="36"/>
        <v xml:space="preserve"> OK</v>
      </c>
      <c r="E677" s="254" t="s">
        <v>2126</v>
      </c>
      <c r="F677" s="254">
        <v>0</v>
      </c>
      <c r="G677" s="298">
        <f>[3]Data!R2672</f>
        <v>6085.64</v>
      </c>
      <c r="H677" s="298" t="s">
        <v>26</v>
      </c>
      <c r="I677" s="300"/>
      <c r="J677" s="300"/>
      <c r="K677" s="270"/>
      <c r="L677" s="301"/>
      <c r="M677" s="270"/>
      <c r="N677" s="270"/>
      <c r="O677" s="270"/>
      <c r="P677" s="270"/>
      <c r="Q677" s="270"/>
      <c r="R677" s="270"/>
      <c r="S677" s="270"/>
      <c r="T677" s="301"/>
      <c r="U677" s="270"/>
      <c r="V677" s="240"/>
      <c r="W677" s="238" t="e">
        <f t="shared" si="34"/>
        <v>#REF!</v>
      </c>
      <c r="Y677" s="223" t="str">
        <f>'[4]Development - i'!E676</f>
        <v>TW panelled door double leaves shutter with brass fittings of size . 1200X2100mm.( Crime &amp; Traffic)</v>
      </c>
      <c r="Z677" s="223" t="str">
        <f t="shared" si="37"/>
        <v>-----------------------</v>
      </c>
    </row>
    <row r="678" spans="1:26" s="241" customFormat="1" ht="66.75">
      <c r="A678" s="326"/>
      <c r="B678" s="391" t="s">
        <v>2127</v>
      </c>
      <c r="C678" s="392" t="s">
        <v>1082</v>
      </c>
      <c r="D678" s="235" t="str">
        <f t="shared" si="36"/>
        <v xml:space="preserve"> OK</v>
      </c>
      <c r="E678" s="254" t="s">
        <v>2128</v>
      </c>
      <c r="F678" s="254">
        <v>0</v>
      </c>
      <c r="G678" s="298" t="e">
        <f>#REF!</f>
        <v>#REF!</v>
      </c>
      <c r="H678" s="298" t="s">
        <v>556</v>
      </c>
      <c r="I678" s="300"/>
      <c r="J678" s="300"/>
      <c r="K678" s="270"/>
      <c r="L678" s="301"/>
      <c r="M678" s="270"/>
      <c r="N678" s="270"/>
      <c r="O678" s="270"/>
      <c r="P678" s="270"/>
      <c r="Q678" s="270"/>
      <c r="R678" s="270"/>
      <c r="S678" s="270"/>
      <c r="T678" s="301"/>
      <c r="U678" s="270"/>
      <c r="V678" s="240"/>
      <c r="W678" s="238">
        <f t="shared" si="34"/>
        <v>0</v>
      </c>
      <c r="Y678" s="223" t="str">
        <f>'[4]Development - i'!E677</f>
        <v>TW paneled door shutter  size  2400 x 2400mm  with french window  (two end fixed 5.5mm thick glass and doble leaf shutter , Trichy Community hall )</v>
      </c>
      <c r="Z678" s="223" t="str">
        <f t="shared" si="37"/>
        <v>-----------------------</v>
      </c>
    </row>
    <row r="679" spans="1:26" s="241" customFormat="1" ht="174">
      <c r="A679" s="326"/>
      <c r="B679" s="316" t="s">
        <v>1083</v>
      </c>
      <c r="C679" s="393" t="s">
        <v>1083</v>
      </c>
      <c r="D679" s="235" t="str">
        <f t="shared" si="36"/>
        <v xml:space="preserve"> OK</v>
      </c>
      <c r="E679" s="254" t="s">
        <v>1083</v>
      </c>
      <c r="F679" s="254" t="s">
        <v>1084</v>
      </c>
      <c r="G679" s="298"/>
      <c r="H679" s="298"/>
      <c r="I679" s="300"/>
      <c r="J679" s="300"/>
      <c r="K679" s="270"/>
      <c r="L679" s="301"/>
      <c r="M679" s="270"/>
      <c r="N679" s="270"/>
      <c r="O679" s="270"/>
      <c r="P679" s="270"/>
      <c r="Q679" s="270"/>
      <c r="R679" s="270"/>
      <c r="S679" s="270"/>
      <c r="T679" s="301"/>
      <c r="U679" s="270"/>
      <c r="V679" s="240"/>
      <c r="W679" s="238">
        <f t="shared" si="34"/>
        <v>0</v>
      </c>
      <c r="Y679" s="223" t="str">
        <f>'[4]Development - i'!E678</f>
        <v xml:space="preserve">TW styles &amp; rails with 9mm thick BWR single and Double  leaf shutters  with brass screws </v>
      </c>
      <c r="Z679" s="223" t="str">
        <f t="shared" si="37"/>
        <v>-----------------------</v>
      </c>
    </row>
    <row r="680" spans="1:26" s="241" customFormat="1" ht="46.5">
      <c r="A680" s="326"/>
      <c r="B680" s="306" t="s">
        <v>1085</v>
      </c>
      <c r="C680" s="306" t="s">
        <v>1085</v>
      </c>
      <c r="D680" s="235" t="str">
        <f t="shared" si="36"/>
        <v xml:space="preserve"> OK</v>
      </c>
      <c r="E680" s="254" t="s">
        <v>1085</v>
      </c>
      <c r="F680" s="254" t="s">
        <v>1086</v>
      </c>
      <c r="G680" s="298">
        <f>[3]Data!R3184</f>
        <v>3009.45</v>
      </c>
      <c r="H680" s="298" t="s">
        <v>26</v>
      </c>
      <c r="I680" s="300"/>
      <c r="J680" s="300"/>
      <c r="K680" s="270"/>
      <c r="L680" s="301"/>
      <c r="M680" s="270"/>
      <c r="N680" s="270"/>
      <c r="O680" s="270"/>
      <c r="P680" s="270"/>
      <c r="Q680" s="270"/>
      <c r="R680" s="270"/>
      <c r="S680" s="270"/>
      <c r="T680" s="301"/>
      <c r="U680" s="270"/>
      <c r="V680" s="240"/>
      <c r="W680" s="238">
        <f t="shared" si="34"/>
        <v>0</v>
      </c>
      <c r="Y680" s="223" t="str">
        <f>'[4]Development - i'!E679</f>
        <v>TW styles &amp; rails with 9mm thick BWR single leaf shutters  with brass screws size of 1200 x 2100 mm</v>
      </c>
      <c r="Z680" s="223" t="str">
        <f t="shared" si="37"/>
        <v>-----------------------</v>
      </c>
    </row>
    <row r="681" spans="1:26" s="241" customFormat="1" ht="46.5">
      <c r="A681" s="326"/>
      <c r="B681" s="306" t="s">
        <v>1087</v>
      </c>
      <c r="C681" s="306" t="s">
        <v>1087</v>
      </c>
      <c r="D681" s="235" t="str">
        <f t="shared" si="36"/>
        <v xml:space="preserve"> OK</v>
      </c>
      <c r="E681" s="254" t="s">
        <v>1087</v>
      </c>
      <c r="F681" s="254" t="s">
        <v>1088</v>
      </c>
      <c r="G681" s="298">
        <f>[3]Data!R1091</f>
        <v>3199.01</v>
      </c>
      <c r="H681" s="298" t="s">
        <v>26</v>
      </c>
      <c r="I681" s="300"/>
      <c r="J681" s="300"/>
      <c r="K681" s="270"/>
      <c r="L681" s="301"/>
      <c r="M681" s="270"/>
      <c r="N681" s="270"/>
      <c r="O681" s="270"/>
      <c r="P681" s="270"/>
      <c r="Q681" s="270"/>
      <c r="R681" s="270"/>
      <c r="S681" s="270"/>
      <c r="T681" s="301"/>
      <c r="U681" s="270"/>
      <c r="V681" s="240"/>
      <c r="W681" s="238">
        <f t="shared" si="34"/>
        <v>0</v>
      </c>
      <c r="Y681" s="223" t="str">
        <f>'[4]Development - i'!E680</f>
        <v>TW styles &amp; rails with 9mm thick BWR single leaf shutters  with brass screws size of 1000 x 2100 mm</v>
      </c>
      <c r="Z681" s="223" t="str">
        <f t="shared" si="37"/>
        <v>-----------------------</v>
      </c>
    </row>
    <row r="682" spans="1:26" s="239" customFormat="1" ht="46.5">
      <c r="A682" s="390"/>
      <c r="B682" s="290" t="s">
        <v>1089</v>
      </c>
      <c r="C682" s="290" t="s">
        <v>1089</v>
      </c>
      <c r="D682" s="235" t="str">
        <f t="shared" si="36"/>
        <v xml:space="preserve"> OK</v>
      </c>
      <c r="E682" s="254" t="s">
        <v>1089</v>
      </c>
      <c r="F682" s="254" t="s">
        <v>1090</v>
      </c>
      <c r="G682" s="298">
        <f>[3]Data!K1080</f>
        <v>3311.83</v>
      </c>
      <c r="H682" s="298" t="s">
        <v>26</v>
      </c>
      <c r="I682" s="300"/>
      <c r="J682" s="300"/>
      <c r="K682" s="270"/>
      <c r="L682" s="301"/>
      <c r="M682" s="270"/>
      <c r="N682" s="270"/>
      <c r="O682" s="270"/>
      <c r="P682" s="270"/>
      <c r="Q682" s="270"/>
      <c r="R682" s="270"/>
      <c r="S682" s="270"/>
      <c r="T682" s="301"/>
      <c r="U682" s="270"/>
      <c r="V682" s="240"/>
      <c r="W682" s="238">
        <f t="shared" ref="W682:W692" si="38">ROUND(G683,2)*ROUND(V682,2)</f>
        <v>0</v>
      </c>
      <c r="Y682" s="223" t="str">
        <f>'[4]Development - i'!E681</f>
        <v>TW styles &amp; rails with 9mm thick BWR single leaf shutters  with brass screws size of 900 x 2100 mm</v>
      </c>
      <c r="Z682" s="223" t="str">
        <f t="shared" si="37"/>
        <v>-----------------------</v>
      </c>
    </row>
    <row r="683" spans="1:26" s="241" customFormat="1" ht="46.5">
      <c r="A683" s="326"/>
      <c r="B683" s="306" t="s">
        <v>1091</v>
      </c>
      <c r="C683" s="306" t="s">
        <v>1091</v>
      </c>
      <c r="D683" s="235" t="str">
        <f t="shared" si="36"/>
        <v xml:space="preserve"> OK</v>
      </c>
      <c r="E683" s="254" t="s">
        <v>1091</v>
      </c>
      <c r="F683" s="254" t="s">
        <v>1092</v>
      </c>
      <c r="G683" s="298">
        <f>[3]Data!R1014</f>
        <v>3731.35</v>
      </c>
      <c r="H683" s="298" t="s">
        <v>26</v>
      </c>
      <c r="I683" s="300"/>
      <c r="J683" s="300"/>
      <c r="K683" s="270"/>
      <c r="L683" s="301"/>
      <c r="M683" s="270"/>
      <c r="N683" s="270"/>
      <c r="O683" s="270"/>
      <c r="P683" s="270"/>
      <c r="Q683" s="270"/>
      <c r="R683" s="270"/>
      <c r="S683" s="270"/>
      <c r="T683" s="301"/>
      <c r="U683" s="270"/>
      <c r="V683" s="240"/>
      <c r="W683" s="238">
        <f t="shared" si="38"/>
        <v>0</v>
      </c>
      <c r="Y683" s="223" t="str">
        <f>'[4]Development - i'!E682</f>
        <v>TW styles &amp; rails with 9mm thick BWR single leaf shutters  with brass screws size of 750 x 2100 mm</v>
      </c>
      <c r="Z683" s="223" t="str">
        <f t="shared" si="37"/>
        <v>-----------------------</v>
      </c>
    </row>
    <row r="684" spans="1:26" s="241" customFormat="1" ht="69.75">
      <c r="A684" s="326"/>
      <c r="B684" s="306" t="s">
        <v>1093</v>
      </c>
      <c r="C684" s="306" t="s">
        <v>1093</v>
      </c>
      <c r="D684" s="235" t="str">
        <f t="shared" si="36"/>
        <v xml:space="preserve"> OK</v>
      </c>
      <c r="E684" s="254" t="s">
        <v>1093</v>
      </c>
      <c r="F684" s="254" t="s">
        <v>1094</v>
      </c>
      <c r="G684" s="298"/>
      <c r="H684" s="298" t="s">
        <v>26</v>
      </c>
      <c r="I684" s="300"/>
      <c r="J684" s="300"/>
      <c r="K684" s="270"/>
      <c r="L684" s="301"/>
      <c r="M684" s="270"/>
      <c r="N684" s="270"/>
      <c r="O684" s="270"/>
      <c r="P684" s="270"/>
      <c r="Q684" s="270"/>
      <c r="R684" s="270"/>
      <c r="S684" s="270"/>
      <c r="T684" s="301"/>
      <c r="U684" s="270"/>
      <c r="V684" s="240"/>
      <c r="W684" s="238">
        <f t="shared" si="38"/>
        <v>0</v>
      </c>
      <c r="Y684" s="223" t="str">
        <f>'[4]Development - i'!E683</f>
        <v>TW styles &amp; rails with 9mm thick BWR Double leaves shutters  with brass screws size of 1500 x  2100 mm</v>
      </c>
      <c r="Z684" s="223" t="str">
        <f t="shared" si="37"/>
        <v>-----------------------</v>
      </c>
    </row>
    <row r="685" spans="1:26" s="239" customFormat="1" ht="304.5">
      <c r="A685" s="347" t="s">
        <v>2129</v>
      </c>
      <c r="B685" s="290" t="s">
        <v>1095</v>
      </c>
      <c r="C685" s="290" t="s">
        <v>1095</v>
      </c>
      <c r="D685" s="235" t="str">
        <f t="shared" si="36"/>
        <v xml:space="preserve"> OK</v>
      </c>
      <c r="E685" s="254" t="s">
        <v>1095</v>
      </c>
      <c r="F685" s="254" t="s">
        <v>1096</v>
      </c>
      <c r="G685" s="298">
        <f>[3]Data!C718</f>
        <v>2828</v>
      </c>
      <c r="H685" s="298" t="s">
        <v>26</v>
      </c>
      <c r="I685" s="300"/>
      <c r="J685" s="300"/>
      <c r="K685" s="270"/>
      <c r="L685" s="301"/>
      <c r="M685" s="270"/>
      <c r="N685" s="270"/>
      <c r="O685" s="270"/>
      <c r="P685" s="270"/>
      <c r="Q685" s="270"/>
      <c r="R685" s="270"/>
      <c r="S685" s="270"/>
      <c r="T685" s="301"/>
      <c r="U685" s="270"/>
      <c r="V685" s="240"/>
      <c r="W685" s="238">
        <f t="shared" si="38"/>
        <v>0</v>
      </c>
      <c r="Y685" s="223" t="str">
        <f>'[4]Development - i'!E684</f>
        <v>Supply and Fixing Soild UPVC door Shutter with frame</v>
      </c>
      <c r="Z685" s="223" t="str">
        <f t="shared" si="37"/>
        <v>-----------------------</v>
      </c>
    </row>
    <row r="686" spans="1:26" s="239" customFormat="1" ht="108.75">
      <c r="A686" s="394" t="s">
        <v>2130</v>
      </c>
      <c r="B686" s="322" t="s">
        <v>1097</v>
      </c>
      <c r="C686" s="322" t="s">
        <v>1097</v>
      </c>
      <c r="D686" s="235" t="str">
        <f t="shared" si="36"/>
        <v xml:space="preserve"> OK</v>
      </c>
      <c r="E686" s="254" t="s">
        <v>1097</v>
      </c>
      <c r="F686" s="254" t="s">
        <v>1098</v>
      </c>
      <c r="G686" s="298">
        <f>ROUND([3]Data!K1203,2)</f>
        <v>696.5</v>
      </c>
      <c r="H686" s="298" t="s">
        <v>26</v>
      </c>
      <c r="I686" s="300"/>
      <c r="J686" s="300"/>
      <c r="K686" s="270"/>
      <c r="L686" s="301"/>
      <c r="M686" s="270"/>
      <c r="N686" s="270"/>
      <c r="O686" s="270"/>
      <c r="P686" s="270"/>
      <c r="Q686" s="270"/>
      <c r="R686" s="270"/>
      <c r="S686" s="270"/>
      <c r="T686" s="301"/>
      <c r="U686" s="270"/>
      <c r="V686" s="240"/>
      <c r="W686" s="238">
        <f t="shared" si="38"/>
        <v>0</v>
      </c>
      <c r="Y686" s="223" t="str">
        <f>'[4]Development - i'!E685</f>
        <v>4mm thick pin headed Glass panels with Aluminium beedings</v>
      </c>
      <c r="Z686" s="223" t="str">
        <f t="shared" si="37"/>
        <v>-----------------------</v>
      </c>
    </row>
    <row r="687" spans="1:26" s="241" customFormat="1" ht="108.75">
      <c r="A687" s="338"/>
      <c r="B687" s="314" t="s">
        <v>1099</v>
      </c>
      <c r="C687" s="314" t="s">
        <v>1099</v>
      </c>
      <c r="D687" s="235" t="str">
        <f t="shared" si="36"/>
        <v xml:space="preserve"> OK</v>
      </c>
      <c r="E687" s="254" t="s">
        <v>1099</v>
      </c>
      <c r="F687" s="254" t="s">
        <v>1100</v>
      </c>
      <c r="G687" s="298"/>
      <c r="H687" s="298"/>
      <c r="I687" s="300"/>
      <c r="J687" s="300"/>
      <c r="K687" s="270"/>
      <c r="L687" s="301"/>
      <c r="M687" s="270"/>
      <c r="N687" s="270"/>
      <c r="O687" s="270"/>
      <c r="P687" s="270"/>
      <c r="Q687" s="270"/>
      <c r="R687" s="270"/>
      <c r="S687" s="270"/>
      <c r="T687" s="301"/>
      <c r="U687" s="270"/>
      <c r="V687" s="240"/>
      <c r="W687" s="238">
        <f t="shared" si="38"/>
        <v>0</v>
      </c>
      <c r="Y687" s="223" t="str">
        <f>'[4]Development - i'!E686</f>
        <v>Cuddappa slab 20 mm tk.for kitchen hearth slab.</v>
      </c>
      <c r="Z687" s="223" t="str">
        <f t="shared" si="37"/>
        <v>-----------------------</v>
      </c>
    </row>
    <row r="688" spans="1:26" s="241" customFormat="1" ht="46.5">
      <c r="A688" s="306"/>
      <c r="B688" s="306" t="s">
        <v>655</v>
      </c>
      <c r="C688" s="306" t="s">
        <v>655</v>
      </c>
      <c r="D688" s="235" t="str">
        <f t="shared" si="36"/>
        <v xml:space="preserve"> OK</v>
      </c>
      <c r="E688" s="254" t="s">
        <v>2131</v>
      </c>
      <c r="F688" s="254" t="s">
        <v>1101</v>
      </c>
      <c r="G688" s="298">
        <f>ROUND([3]Data!K642,2)</f>
        <v>555.12</v>
      </c>
      <c r="H688" s="298" t="s">
        <v>1715</v>
      </c>
      <c r="I688" s="300"/>
      <c r="J688" s="300"/>
      <c r="K688" s="270"/>
      <c r="L688" s="301"/>
      <c r="M688" s="270"/>
      <c r="N688" s="270"/>
      <c r="O688" s="270"/>
      <c r="P688" s="270"/>
      <c r="Q688" s="270"/>
      <c r="R688" s="270"/>
      <c r="S688" s="270"/>
      <c r="T688" s="301"/>
      <c r="U688" s="270"/>
      <c r="V688" s="240"/>
      <c r="W688" s="238">
        <f t="shared" si="38"/>
        <v>0</v>
      </c>
      <c r="Y688" s="223" t="str">
        <f>'[4]Development - i'!E687</f>
        <v>a. In Ground floor Cuddappa slab 20 mm tk.for kitchen hearth slab.</v>
      </c>
      <c r="Z688" s="223" t="str">
        <f t="shared" si="37"/>
        <v>-----------------------</v>
      </c>
    </row>
    <row r="689" spans="1:26" s="241" customFormat="1" ht="46.5">
      <c r="A689" s="306"/>
      <c r="B689" s="306" t="s">
        <v>656</v>
      </c>
      <c r="C689" s="306" t="s">
        <v>656</v>
      </c>
      <c r="D689" s="235" t="str">
        <f t="shared" si="36"/>
        <v xml:space="preserve"> OK</v>
      </c>
      <c r="E689" s="254" t="s">
        <v>2132</v>
      </c>
      <c r="F689" s="254" t="s">
        <v>649</v>
      </c>
      <c r="G689" s="298">
        <f>ROUND([3]Data!K643,2)</f>
        <v>558.84</v>
      </c>
      <c r="H689" s="298" t="s">
        <v>1715</v>
      </c>
      <c r="I689" s="300"/>
      <c r="J689" s="300"/>
      <c r="K689" s="270"/>
      <c r="L689" s="301"/>
      <c r="M689" s="270"/>
      <c r="N689" s="270"/>
      <c r="O689" s="270"/>
      <c r="P689" s="270"/>
      <c r="Q689" s="270"/>
      <c r="R689" s="270"/>
      <c r="S689" s="270"/>
      <c r="T689" s="301"/>
      <c r="U689" s="270"/>
      <c r="V689" s="240"/>
      <c r="W689" s="238">
        <f t="shared" si="38"/>
        <v>0</v>
      </c>
      <c r="Y689" s="223" t="str">
        <f>'[4]Development - i'!E688</f>
        <v>b. In First floor Cuddappa slab 20 mm tk.for kitchen hearth slab.</v>
      </c>
      <c r="Z689" s="223" t="str">
        <f t="shared" si="37"/>
        <v>-----------------------</v>
      </c>
    </row>
    <row r="690" spans="1:26" s="241" customFormat="1" ht="46.5">
      <c r="A690" s="306"/>
      <c r="B690" s="306" t="s">
        <v>657</v>
      </c>
      <c r="C690" s="306" t="s">
        <v>657</v>
      </c>
      <c r="D690" s="235" t="str">
        <f t="shared" si="36"/>
        <v xml:space="preserve"> OK</v>
      </c>
      <c r="E690" s="254" t="s">
        <v>2133</v>
      </c>
      <c r="F690" s="254" t="s">
        <v>650</v>
      </c>
      <c r="G690" s="298">
        <f>ROUND([3]Data!K644,2)</f>
        <v>562.55999999999995</v>
      </c>
      <c r="H690" s="298" t="s">
        <v>1715</v>
      </c>
      <c r="I690" s="300"/>
      <c r="J690" s="300"/>
      <c r="K690" s="270"/>
      <c r="L690" s="301"/>
      <c r="M690" s="270"/>
      <c r="N690" s="270"/>
      <c r="O690" s="270"/>
      <c r="P690" s="270"/>
      <c r="Q690" s="270"/>
      <c r="R690" s="270"/>
      <c r="S690" s="270"/>
      <c r="T690" s="301"/>
      <c r="U690" s="270"/>
      <c r="V690" s="240"/>
      <c r="W690" s="238">
        <f t="shared" si="38"/>
        <v>0</v>
      </c>
      <c r="Y690" s="223" t="str">
        <f>'[4]Development - i'!E689</f>
        <v>c. In Second floor Cuddappa slab 20 mm tk.for kitchen hearth slab.</v>
      </c>
      <c r="Z690" s="223" t="str">
        <f t="shared" si="37"/>
        <v>-----------------------</v>
      </c>
    </row>
    <row r="691" spans="1:26" s="241" customFormat="1" ht="46.5">
      <c r="A691" s="306"/>
      <c r="B691" s="306" t="s">
        <v>658</v>
      </c>
      <c r="C691" s="306" t="s">
        <v>658</v>
      </c>
      <c r="D691" s="235" t="str">
        <f t="shared" si="36"/>
        <v xml:space="preserve"> OK</v>
      </c>
      <c r="E691" s="254" t="s">
        <v>2134</v>
      </c>
      <c r="F691" s="254" t="s">
        <v>651</v>
      </c>
      <c r="G691" s="298">
        <f>ROUND([3]Data!K645,2)</f>
        <v>566.28</v>
      </c>
      <c r="H691" s="298" t="s">
        <v>1715</v>
      </c>
      <c r="I691" s="300"/>
      <c r="J691" s="300"/>
      <c r="K691" s="270"/>
      <c r="L691" s="301"/>
      <c r="M691" s="270"/>
      <c r="N691" s="270"/>
      <c r="O691" s="270"/>
      <c r="P691" s="270"/>
      <c r="Q691" s="270"/>
      <c r="R691" s="270"/>
      <c r="S691" s="270"/>
      <c r="T691" s="301"/>
      <c r="U691" s="270"/>
      <c r="V691" s="240"/>
      <c r="W691" s="238">
        <f t="shared" si="38"/>
        <v>0</v>
      </c>
      <c r="Y691" s="223" t="str">
        <f>'[4]Development - i'!E690</f>
        <v>d. In Third floor Cuddappa slab 20 mm tk.for kitchen hearth slab.</v>
      </c>
      <c r="Z691" s="223" t="str">
        <f t="shared" si="37"/>
        <v>-----------------------</v>
      </c>
    </row>
    <row r="692" spans="1:26" s="241" customFormat="1" ht="46.5">
      <c r="A692" s="356"/>
      <c r="B692" s="306" t="s">
        <v>659</v>
      </c>
      <c r="C692" s="306" t="s">
        <v>659</v>
      </c>
      <c r="D692" s="235" t="str">
        <f t="shared" si="36"/>
        <v xml:space="preserve"> OK</v>
      </c>
      <c r="E692" s="254" t="s">
        <v>2135</v>
      </c>
      <c r="F692" s="254" t="s">
        <v>652</v>
      </c>
      <c r="G692" s="298">
        <f>ROUND([3]Data!K646,2)</f>
        <v>570</v>
      </c>
      <c r="H692" s="298" t="s">
        <v>1715</v>
      </c>
      <c r="I692" s="300"/>
      <c r="J692" s="300"/>
      <c r="K692" s="270"/>
      <c r="L692" s="301"/>
      <c r="M692" s="270"/>
      <c r="N692" s="270"/>
      <c r="O692" s="270"/>
      <c r="P692" s="270"/>
      <c r="Q692" s="270"/>
      <c r="R692" s="270"/>
      <c r="S692" s="270"/>
      <c r="T692" s="301"/>
      <c r="U692" s="270"/>
      <c r="V692" s="242"/>
      <c r="W692" s="238">
        <f t="shared" si="38"/>
        <v>0</v>
      </c>
      <c r="Y692" s="223" t="str">
        <f>'[4]Development - i'!E691</f>
        <v>e.  In Fourth floor Cuddappa slab 20 mm tk.for kitchen hearth slab.</v>
      </c>
      <c r="Z692" s="223" t="str">
        <f t="shared" si="37"/>
        <v>-----------------------</v>
      </c>
    </row>
    <row r="693" spans="1:26" ht="174">
      <c r="A693" s="259"/>
      <c r="B693" s="395" t="s">
        <v>362</v>
      </c>
      <c r="C693" s="342" t="s">
        <v>362</v>
      </c>
      <c r="D693" s="235" t="str">
        <f t="shared" si="36"/>
        <v xml:space="preserve"> OK</v>
      </c>
      <c r="E693" s="254" t="s">
        <v>362</v>
      </c>
      <c r="F693" s="254" t="s">
        <v>1102</v>
      </c>
      <c r="G693" s="298"/>
      <c r="H693" s="298"/>
      <c r="I693" s="299"/>
      <c r="J693" s="300"/>
      <c r="K693" s="270"/>
      <c r="L693" s="301"/>
      <c r="M693" s="270"/>
      <c r="N693" s="270"/>
      <c r="O693" s="270"/>
      <c r="P693" s="270"/>
      <c r="Q693" s="270"/>
      <c r="R693" s="270"/>
      <c r="S693" s="270"/>
      <c r="T693" s="301"/>
      <c r="U693" s="302"/>
      <c r="V693" s="236"/>
      <c r="W693" s="233" t="s">
        <v>575</v>
      </c>
      <c r="Y693" s="223" t="str">
        <f>'[4]Development - i'!E692</f>
        <v>Cuddappa slab 20 mm tk.for C/B  slab.</v>
      </c>
      <c r="Z693" s="223" t="str">
        <f t="shared" si="37"/>
        <v>-----------------------</v>
      </c>
    </row>
    <row r="694" spans="1:26" ht="23.25">
      <c r="A694" s="259"/>
      <c r="B694" s="313" t="s">
        <v>2136</v>
      </c>
      <c r="C694" s="306" t="s">
        <v>2136</v>
      </c>
      <c r="D694" s="235" t="str">
        <f t="shared" si="36"/>
        <v xml:space="preserve"> OK</v>
      </c>
      <c r="E694" s="254" t="s">
        <v>2137</v>
      </c>
      <c r="F694" s="254" t="s">
        <v>1101</v>
      </c>
      <c r="G694" s="298">
        <f>[3]Data!K604</f>
        <v>513.35</v>
      </c>
      <c r="H694" s="298" t="s">
        <v>1715</v>
      </c>
      <c r="I694" s="299"/>
      <c r="J694" s="300"/>
      <c r="K694" s="270"/>
      <c r="L694" s="301"/>
      <c r="M694" s="270"/>
      <c r="N694" s="270"/>
      <c r="O694" s="270"/>
      <c r="P694" s="270"/>
      <c r="Q694" s="270"/>
      <c r="R694" s="270"/>
      <c r="S694" s="270"/>
      <c r="T694" s="301"/>
      <c r="U694" s="302"/>
      <c r="V694" s="236">
        <f>'[3]Precast Compound wall '!H225</f>
        <v>9</v>
      </c>
      <c r="W694" s="233">
        <f t="shared" ref="W694:W744" si="39">ROUND(G695,2)*ROUND(V694,2)</f>
        <v>4653.63</v>
      </c>
      <c r="Y694" s="223" t="str">
        <f>'[4]Development - i'!E693</f>
        <v>a. Ground floor Cuddappa slab 20 mm tk.for C/B  slab.</v>
      </c>
      <c r="Z694" s="223" t="str">
        <f t="shared" si="37"/>
        <v>-----------------------</v>
      </c>
    </row>
    <row r="695" spans="1:26" s="241" customFormat="1">
      <c r="A695" s="343"/>
      <c r="B695" s="306" t="s">
        <v>656</v>
      </c>
      <c r="C695" s="306" t="s">
        <v>656</v>
      </c>
      <c r="D695" s="235" t="str">
        <f t="shared" si="36"/>
        <v xml:space="preserve"> OK</v>
      </c>
      <c r="E695" s="254" t="s">
        <v>2138</v>
      </c>
      <c r="F695" s="254" t="s">
        <v>649</v>
      </c>
      <c r="G695" s="298">
        <f>[3]Data!K605</f>
        <v>517.07000000000005</v>
      </c>
      <c r="H695" s="298" t="s">
        <v>1715</v>
      </c>
      <c r="I695" s="300"/>
      <c r="J695" s="300"/>
      <c r="K695" s="270"/>
      <c r="L695" s="301"/>
      <c r="M695" s="270"/>
      <c r="N695" s="270"/>
      <c r="O695" s="270"/>
      <c r="P695" s="270"/>
      <c r="Q695" s="270"/>
      <c r="R695" s="270"/>
      <c r="S695" s="270"/>
      <c r="T695" s="301"/>
      <c r="U695" s="270"/>
      <c r="V695" s="237"/>
      <c r="W695" s="238">
        <f t="shared" si="39"/>
        <v>0</v>
      </c>
      <c r="Y695" s="223" t="str">
        <f>'[4]Development - i'!E694</f>
        <v>b. In First floor Cuddappa slab 20 mm tk.for C/B  slab.</v>
      </c>
      <c r="Z695" s="223" t="str">
        <f t="shared" si="37"/>
        <v>-----------------------</v>
      </c>
    </row>
    <row r="696" spans="1:26" s="241" customFormat="1" ht="46.5">
      <c r="A696" s="326"/>
      <c r="B696" s="306" t="s">
        <v>657</v>
      </c>
      <c r="C696" s="306" t="s">
        <v>657</v>
      </c>
      <c r="D696" s="235" t="str">
        <f t="shared" si="36"/>
        <v xml:space="preserve"> OK</v>
      </c>
      <c r="E696" s="254" t="s">
        <v>2139</v>
      </c>
      <c r="F696" s="254" t="s">
        <v>650</v>
      </c>
      <c r="G696" s="298">
        <f>[3]Data!K606</f>
        <v>520.79</v>
      </c>
      <c r="H696" s="298" t="s">
        <v>1715</v>
      </c>
      <c r="I696" s="300"/>
      <c r="J696" s="300"/>
      <c r="K696" s="270"/>
      <c r="L696" s="301"/>
      <c r="M696" s="270"/>
      <c r="N696" s="270"/>
      <c r="O696" s="270"/>
      <c r="P696" s="270"/>
      <c r="Q696" s="270"/>
      <c r="R696" s="270"/>
      <c r="S696" s="270"/>
      <c r="T696" s="301"/>
      <c r="U696" s="270"/>
      <c r="V696" s="240"/>
      <c r="W696" s="238">
        <f t="shared" si="39"/>
        <v>0</v>
      </c>
      <c r="Y696" s="223" t="str">
        <f>'[4]Development - i'!E695</f>
        <v>c. In Second floor Cuddappa slab 20 mm tk.for C/B  slab.</v>
      </c>
      <c r="Z696" s="223" t="str">
        <f t="shared" si="37"/>
        <v>-----------------------</v>
      </c>
    </row>
    <row r="697" spans="1:26" s="241" customFormat="1">
      <c r="A697" s="326"/>
      <c r="B697" s="306" t="s">
        <v>658</v>
      </c>
      <c r="C697" s="306" t="s">
        <v>658</v>
      </c>
      <c r="D697" s="235" t="str">
        <f t="shared" si="36"/>
        <v xml:space="preserve"> OK</v>
      </c>
      <c r="E697" s="254" t="s">
        <v>2140</v>
      </c>
      <c r="F697" s="254" t="s">
        <v>651</v>
      </c>
      <c r="G697" s="298">
        <f>[3]Data!K607</f>
        <v>524.51</v>
      </c>
      <c r="H697" s="298" t="s">
        <v>1715</v>
      </c>
      <c r="I697" s="300"/>
      <c r="J697" s="300"/>
      <c r="K697" s="270"/>
      <c r="L697" s="301"/>
      <c r="M697" s="270"/>
      <c r="N697" s="270"/>
      <c r="O697" s="270"/>
      <c r="P697" s="270"/>
      <c r="Q697" s="270"/>
      <c r="R697" s="270"/>
      <c r="S697" s="270"/>
      <c r="T697" s="301"/>
      <c r="U697" s="270"/>
      <c r="V697" s="240"/>
      <c r="W697" s="238">
        <f t="shared" si="39"/>
        <v>0</v>
      </c>
      <c r="Y697" s="223" t="str">
        <f>'[4]Development - i'!E696</f>
        <v>d. In Third floor Cuddappa slab 20 mm tk.for C/B  slab.</v>
      </c>
      <c r="Z697" s="223" t="str">
        <f t="shared" si="37"/>
        <v>-----------------------</v>
      </c>
    </row>
    <row r="698" spans="1:26" s="241" customFormat="1" ht="46.5">
      <c r="A698" s="326"/>
      <c r="B698" s="306" t="s">
        <v>659</v>
      </c>
      <c r="C698" s="306" t="s">
        <v>659</v>
      </c>
      <c r="D698" s="235" t="str">
        <f t="shared" si="36"/>
        <v xml:space="preserve"> OK</v>
      </c>
      <c r="E698" s="254" t="s">
        <v>2141</v>
      </c>
      <c r="F698" s="254" t="s">
        <v>652</v>
      </c>
      <c r="G698" s="298">
        <f>[3]Data!K608</f>
        <v>528.23</v>
      </c>
      <c r="H698" s="298" t="s">
        <v>1715</v>
      </c>
      <c r="I698" s="300"/>
      <c r="J698" s="300"/>
      <c r="K698" s="270"/>
      <c r="L698" s="301"/>
      <c r="M698" s="270"/>
      <c r="N698" s="270"/>
      <c r="O698" s="270"/>
      <c r="P698" s="270"/>
      <c r="Q698" s="270"/>
      <c r="R698" s="270"/>
      <c r="S698" s="270"/>
      <c r="T698" s="301"/>
      <c r="U698" s="270"/>
      <c r="V698" s="240"/>
      <c r="W698" s="238">
        <f t="shared" si="39"/>
        <v>0</v>
      </c>
      <c r="Y698" s="223" t="str">
        <f>'[4]Development - i'!E697</f>
        <v>e.  In Fourth floor Cuddappa slab 20 mm tk.for C/B  slab.</v>
      </c>
      <c r="Z698" s="223" t="str">
        <f t="shared" si="37"/>
        <v>-----------------------</v>
      </c>
    </row>
    <row r="699" spans="1:26" s="239" customFormat="1" ht="174">
      <c r="A699" s="246"/>
      <c r="B699" s="342" t="s">
        <v>1103</v>
      </c>
      <c r="C699" s="342" t="s">
        <v>1103</v>
      </c>
      <c r="D699" s="235" t="str">
        <f t="shared" si="36"/>
        <v xml:space="preserve"> OK</v>
      </c>
      <c r="E699" s="254" t="s">
        <v>1103</v>
      </c>
      <c r="F699" s="254" t="s">
        <v>1104</v>
      </c>
      <c r="G699" s="298"/>
      <c r="H699" s="298"/>
      <c r="I699" s="300"/>
      <c r="J699" s="300"/>
      <c r="K699" s="270"/>
      <c r="L699" s="301"/>
      <c r="M699" s="270"/>
      <c r="N699" s="270"/>
      <c r="O699" s="270"/>
      <c r="P699" s="270"/>
      <c r="Q699" s="270"/>
      <c r="R699" s="270"/>
      <c r="S699" s="270"/>
      <c r="T699" s="301"/>
      <c r="U699" s="270"/>
      <c r="V699" s="240"/>
      <c r="W699" s="238">
        <f t="shared" si="39"/>
        <v>0</v>
      </c>
      <c r="Y699" s="223" t="str">
        <f>'[4]Development - i'!E698</f>
        <v>Cuddappa slab 40 mm tk.for C/B  slab.</v>
      </c>
      <c r="Z699" s="223" t="str">
        <f t="shared" si="37"/>
        <v>-----------------------</v>
      </c>
    </row>
    <row r="700" spans="1:26" s="241" customFormat="1" ht="46.5">
      <c r="A700" s="326"/>
      <c r="B700" s="306" t="s">
        <v>655</v>
      </c>
      <c r="C700" s="306" t="s">
        <v>655</v>
      </c>
      <c r="D700" s="235" t="str">
        <f t="shared" si="36"/>
        <v xml:space="preserve"> OK</v>
      </c>
      <c r="E700" s="254" t="s">
        <v>2142</v>
      </c>
      <c r="F700" s="254" t="s">
        <v>1101</v>
      </c>
      <c r="G700" s="298">
        <f>[3]Data!X603</f>
        <v>542.46</v>
      </c>
      <c r="H700" s="298" t="s">
        <v>1715</v>
      </c>
      <c r="I700" s="300"/>
      <c r="J700" s="300"/>
      <c r="K700" s="270"/>
      <c r="L700" s="301"/>
      <c r="M700" s="270"/>
      <c r="N700" s="270"/>
      <c r="O700" s="270"/>
      <c r="P700" s="270"/>
      <c r="Q700" s="270"/>
      <c r="R700" s="270"/>
      <c r="S700" s="270"/>
      <c r="T700" s="301"/>
      <c r="U700" s="270"/>
      <c r="V700" s="240"/>
      <c r="W700" s="238">
        <f t="shared" si="39"/>
        <v>0</v>
      </c>
      <c r="Y700" s="223" t="str">
        <f>'[4]Development - i'!E699</f>
        <v>a. In Ground floor Cuddappa slab 40 mm tk.for C/B  slab.</v>
      </c>
      <c r="Z700" s="223" t="str">
        <f t="shared" si="37"/>
        <v>-----------------------</v>
      </c>
    </row>
    <row r="701" spans="1:26" s="241" customFormat="1">
      <c r="A701" s="326"/>
      <c r="B701" s="306" t="s">
        <v>656</v>
      </c>
      <c r="C701" s="306" t="s">
        <v>656</v>
      </c>
      <c r="D701" s="235" t="str">
        <f t="shared" si="36"/>
        <v xml:space="preserve"> OK</v>
      </c>
      <c r="E701" s="254" t="s">
        <v>2143</v>
      </c>
      <c r="F701" s="254" t="s">
        <v>649</v>
      </c>
      <c r="G701" s="298">
        <f>[3]Data!X604</f>
        <v>546.24</v>
      </c>
      <c r="H701" s="298" t="s">
        <v>1715</v>
      </c>
      <c r="I701" s="300"/>
      <c r="J701" s="300"/>
      <c r="K701" s="270"/>
      <c r="L701" s="301"/>
      <c r="M701" s="270"/>
      <c r="N701" s="270"/>
      <c r="O701" s="270"/>
      <c r="P701" s="270"/>
      <c r="Q701" s="270"/>
      <c r="R701" s="270"/>
      <c r="S701" s="270"/>
      <c r="T701" s="301"/>
      <c r="U701" s="270"/>
      <c r="V701" s="240"/>
      <c r="W701" s="238">
        <f t="shared" si="39"/>
        <v>0</v>
      </c>
      <c r="Y701" s="223" t="str">
        <f>'[4]Development - i'!E700</f>
        <v>b. In First floor Cuddappa slab 40 mm tk.for C/B  slab.</v>
      </c>
      <c r="Z701" s="223" t="str">
        <f t="shared" si="37"/>
        <v>-----------------------</v>
      </c>
    </row>
    <row r="702" spans="1:26" s="241" customFormat="1" ht="46.5">
      <c r="A702" s="326"/>
      <c r="B702" s="306" t="s">
        <v>657</v>
      </c>
      <c r="C702" s="306" t="s">
        <v>657</v>
      </c>
      <c r="D702" s="235" t="str">
        <f t="shared" si="36"/>
        <v xml:space="preserve"> OK</v>
      </c>
      <c r="E702" s="254" t="s">
        <v>2144</v>
      </c>
      <c r="F702" s="254" t="s">
        <v>650</v>
      </c>
      <c r="G702" s="298">
        <f>[3]Data!X605</f>
        <v>553.66999999999996</v>
      </c>
      <c r="H702" s="298" t="s">
        <v>1715</v>
      </c>
      <c r="I702" s="300"/>
      <c r="J702" s="300"/>
      <c r="K702" s="270"/>
      <c r="L702" s="301"/>
      <c r="M702" s="270"/>
      <c r="N702" s="270"/>
      <c r="O702" s="270"/>
      <c r="P702" s="270"/>
      <c r="Q702" s="270"/>
      <c r="R702" s="270"/>
      <c r="S702" s="270"/>
      <c r="T702" s="301"/>
      <c r="U702" s="270"/>
      <c r="V702" s="240"/>
      <c r="W702" s="238">
        <f t="shared" si="39"/>
        <v>0</v>
      </c>
      <c r="Y702" s="223" t="str">
        <f>'[4]Development - i'!E701</f>
        <v>c. In Second floor Cuddappa slab 40 mm tk.for C/B  slab.</v>
      </c>
      <c r="Z702" s="223" t="str">
        <f t="shared" si="37"/>
        <v>-----------------------</v>
      </c>
    </row>
    <row r="703" spans="1:26" s="241" customFormat="1">
      <c r="A703" s="326"/>
      <c r="B703" s="306" t="s">
        <v>658</v>
      </c>
      <c r="C703" s="306" t="s">
        <v>658</v>
      </c>
      <c r="D703" s="235" t="str">
        <f t="shared" si="36"/>
        <v xml:space="preserve"> OK</v>
      </c>
      <c r="E703" s="254" t="s">
        <v>2145</v>
      </c>
      <c r="F703" s="254" t="s">
        <v>651</v>
      </c>
      <c r="G703" s="298">
        <f>[3]Data!X606</f>
        <v>561.1</v>
      </c>
      <c r="H703" s="298" t="s">
        <v>1715</v>
      </c>
      <c r="I703" s="300"/>
      <c r="J703" s="300"/>
      <c r="K703" s="270"/>
      <c r="L703" s="301"/>
      <c r="M703" s="270"/>
      <c r="N703" s="270"/>
      <c r="O703" s="270"/>
      <c r="P703" s="270"/>
      <c r="Q703" s="270"/>
      <c r="R703" s="270"/>
      <c r="S703" s="270"/>
      <c r="T703" s="301"/>
      <c r="U703" s="270"/>
      <c r="V703" s="240"/>
      <c r="W703" s="238">
        <f t="shared" si="39"/>
        <v>0</v>
      </c>
      <c r="Y703" s="223" t="str">
        <f>'[4]Development - i'!E702</f>
        <v>d. In Third floor Cuddappa slab 40 mm tk.for C/B  slab.</v>
      </c>
      <c r="Z703" s="223" t="str">
        <f t="shared" si="37"/>
        <v>-----------------------</v>
      </c>
    </row>
    <row r="704" spans="1:26" s="241" customFormat="1" ht="46.5">
      <c r="A704" s="326"/>
      <c r="B704" s="306" t="s">
        <v>659</v>
      </c>
      <c r="C704" s="306" t="s">
        <v>659</v>
      </c>
      <c r="D704" s="235" t="str">
        <f t="shared" si="36"/>
        <v xml:space="preserve"> OK</v>
      </c>
      <c r="E704" s="254" t="s">
        <v>2146</v>
      </c>
      <c r="F704" s="254" t="s">
        <v>652</v>
      </c>
      <c r="G704" s="298">
        <f>[3]Data!X607</f>
        <v>568.53</v>
      </c>
      <c r="H704" s="298"/>
      <c r="I704" s="300"/>
      <c r="J704" s="300"/>
      <c r="K704" s="270"/>
      <c r="L704" s="301"/>
      <c r="M704" s="270"/>
      <c r="N704" s="270"/>
      <c r="O704" s="270"/>
      <c r="P704" s="270"/>
      <c r="Q704" s="270"/>
      <c r="R704" s="270"/>
      <c r="S704" s="270"/>
      <c r="T704" s="301"/>
      <c r="U704" s="270"/>
      <c r="V704" s="240"/>
      <c r="W704" s="238">
        <f t="shared" si="39"/>
        <v>0</v>
      </c>
      <c r="Y704" s="223" t="str">
        <f>'[4]Development - i'!E703</f>
        <v>e.  In Fourth floor Cuddappa slab 40 mm tk.for C/B  slab.</v>
      </c>
      <c r="Z704" s="223" t="str">
        <f t="shared" si="37"/>
        <v>-----------------------</v>
      </c>
    </row>
    <row r="705" spans="1:26" s="241" customFormat="1">
      <c r="A705" s="326"/>
      <c r="B705" s="314" t="s">
        <v>1105</v>
      </c>
      <c r="C705" s="314" t="s">
        <v>1105</v>
      </c>
      <c r="D705" s="235" t="str">
        <f t="shared" si="36"/>
        <v xml:space="preserve"> OK</v>
      </c>
      <c r="E705" s="254" t="s">
        <v>1105</v>
      </c>
      <c r="F705" s="254">
        <v>0</v>
      </c>
      <c r="G705" s="298"/>
      <c r="H705" s="298"/>
      <c r="I705" s="300"/>
      <c r="J705" s="300"/>
      <c r="K705" s="270"/>
      <c r="L705" s="301"/>
      <c r="M705" s="270"/>
      <c r="N705" s="270"/>
      <c r="O705" s="270"/>
      <c r="P705" s="270"/>
      <c r="Q705" s="270"/>
      <c r="R705" s="270"/>
      <c r="S705" s="270"/>
      <c r="T705" s="301"/>
      <c r="U705" s="270"/>
      <c r="V705" s="240"/>
      <c r="W705" s="238">
        <f t="shared" si="39"/>
        <v>0</v>
      </c>
      <c r="Y705" s="223" t="str">
        <f>'[4]Development - i'!E704</f>
        <v>Cuddappa slab 40 mm tk.for Sunshade.</v>
      </c>
      <c r="Z705" s="223" t="str">
        <f t="shared" si="37"/>
        <v>-----------------------</v>
      </c>
    </row>
    <row r="706" spans="1:26" s="241" customFormat="1">
      <c r="A706" s="326"/>
      <c r="B706" s="306" t="s">
        <v>655</v>
      </c>
      <c r="C706" s="306" t="s">
        <v>655</v>
      </c>
      <c r="D706" s="235" t="str">
        <f t="shared" si="36"/>
        <v xml:space="preserve"> OK</v>
      </c>
      <c r="E706" s="254" t="s">
        <v>655</v>
      </c>
      <c r="F706" s="254">
        <v>0</v>
      </c>
      <c r="G706" s="298">
        <f>[3]Data!K626</f>
        <v>1753.93</v>
      </c>
      <c r="H706" s="298" t="s">
        <v>1715</v>
      </c>
      <c r="I706" s="300"/>
      <c r="J706" s="300"/>
      <c r="K706" s="270"/>
      <c r="L706" s="301"/>
      <c r="M706" s="270"/>
      <c r="N706" s="270"/>
      <c r="O706" s="270"/>
      <c r="P706" s="270"/>
      <c r="Q706" s="270"/>
      <c r="R706" s="270"/>
      <c r="S706" s="270"/>
      <c r="T706" s="301"/>
      <c r="U706" s="270"/>
      <c r="V706" s="240"/>
      <c r="W706" s="238">
        <f t="shared" si="39"/>
        <v>0</v>
      </c>
      <c r="Y706" s="223" t="str">
        <f>'[4]Development - i'!E705</f>
        <v>a. In Ground floor</v>
      </c>
      <c r="Z706" s="223" t="str">
        <f t="shared" si="37"/>
        <v>-----------------------</v>
      </c>
    </row>
    <row r="707" spans="1:26" s="241" customFormat="1">
      <c r="A707" s="326"/>
      <c r="B707" s="306" t="s">
        <v>656</v>
      </c>
      <c r="C707" s="306" t="s">
        <v>656</v>
      </c>
      <c r="D707" s="235" t="str">
        <f t="shared" si="36"/>
        <v xml:space="preserve"> OK</v>
      </c>
      <c r="E707" s="254" t="s">
        <v>656</v>
      </c>
      <c r="F707" s="254">
        <v>0</v>
      </c>
      <c r="G707" s="298">
        <f>[3]Data!K627</f>
        <v>1761.36</v>
      </c>
      <c r="H707" s="298" t="s">
        <v>1715</v>
      </c>
      <c r="I707" s="300"/>
      <c r="J707" s="300"/>
      <c r="K707" s="270"/>
      <c r="L707" s="301"/>
      <c r="M707" s="270"/>
      <c r="N707" s="270"/>
      <c r="O707" s="270"/>
      <c r="P707" s="270"/>
      <c r="Q707" s="270"/>
      <c r="R707" s="270"/>
      <c r="S707" s="270"/>
      <c r="T707" s="301"/>
      <c r="U707" s="270"/>
      <c r="V707" s="240"/>
      <c r="W707" s="238">
        <f t="shared" si="39"/>
        <v>0</v>
      </c>
      <c r="Y707" s="223" t="str">
        <f>'[4]Development - i'!E706</f>
        <v>b. In First floor</v>
      </c>
      <c r="Z707" s="223" t="str">
        <f t="shared" si="37"/>
        <v>-----------------------</v>
      </c>
    </row>
    <row r="708" spans="1:26" s="241" customFormat="1">
      <c r="A708" s="326"/>
      <c r="B708" s="306" t="s">
        <v>657</v>
      </c>
      <c r="C708" s="306" t="s">
        <v>657</v>
      </c>
      <c r="D708" s="235" t="str">
        <f t="shared" si="36"/>
        <v xml:space="preserve"> OK</v>
      </c>
      <c r="E708" s="254" t="s">
        <v>657</v>
      </c>
      <c r="F708" s="254" t="s">
        <v>714</v>
      </c>
      <c r="G708" s="298">
        <f>[3]Data!K628</f>
        <v>1768.79</v>
      </c>
      <c r="H708" s="298" t="s">
        <v>1715</v>
      </c>
      <c r="I708" s="300"/>
      <c r="J708" s="300"/>
      <c r="K708" s="270"/>
      <c r="L708" s="301"/>
      <c r="M708" s="270"/>
      <c r="N708" s="270"/>
      <c r="O708" s="270"/>
      <c r="P708" s="270"/>
      <c r="Q708" s="270"/>
      <c r="R708" s="270"/>
      <c r="S708" s="270"/>
      <c r="T708" s="301"/>
      <c r="U708" s="270"/>
      <c r="V708" s="240"/>
      <c r="W708" s="238">
        <f t="shared" si="39"/>
        <v>0</v>
      </c>
      <c r="Y708" s="223" t="str">
        <f>'[4]Development - i'!E707</f>
        <v>c. In Second floor</v>
      </c>
      <c r="Z708" s="223" t="str">
        <f t="shared" si="37"/>
        <v>-----------------------</v>
      </c>
    </row>
    <row r="709" spans="1:26" s="241" customFormat="1">
      <c r="A709" s="326"/>
      <c r="B709" s="306" t="s">
        <v>658</v>
      </c>
      <c r="C709" s="306" t="s">
        <v>658</v>
      </c>
      <c r="D709" s="235" t="str">
        <f t="shared" si="36"/>
        <v xml:space="preserve"> OK</v>
      </c>
      <c r="E709" s="254" t="s">
        <v>658</v>
      </c>
      <c r="F709" s="254" t="s">
        <v>715</v>
      </c>
      <c r="G709" s="298">
        <f>[3]Data!K629</f>
        <v>1776.22</v>
      </c>
      <c r="H709" s="298" t="s">
        <v>1715</v>
      </c>
      <c r="I709" s="300"/>
      <c r="J709" s="300"/>
      <c r="K709" s="270"/>
      <c r="L709" s="301"/>
      <c r="M709" s="270"/>
      <c r="N709" s="270"/>
      <c r="O709" s="270"/>
      <c r="P709" s="270"/>
      <c r="Q709" s="270"/>
      <c r="R709" s="270"/>
      <c r="S709" s="270"/>
      <c r="T709" s="301"/>
      <c r="U709" s="270"/>
      <c r="V709" s="240"/>
      <c r="W709" s="238">
        <f t="shared" si="39"/>
        <v>0</v>
      </c>
      <c r="Y709" s="223" t="str">
        <f>'[4]Development - i'!E708</f>
        <v>d. In Third floor</v>
      </c>
      <c r="Z709" s="223" t="str">
        <f t="shared" si="37"/>
        <v>-----------------------</v>
      </c>
    </row>
    <row r="710" spans="1:26" s="241" customFormat="1">
      <c r="A710" s="356"/>
      <c r="B710" s="306" t="s">
        <v>659</v>
      </c>
      <c r="C710" s="306" t="s">
        <v>659</v>
      </c>
      <c r="D710" s="235" t="str">
        <f t="shared" si="36"/>
        <v xml:space="preserve"> OK</v>
      </c>
      <c r="E710" s="254" t="s">
        <v>659</v>
      </c>
      <c r="F710" s="254">
        <v>0</v>
      </c>
      <c r="G710" s="298">
        <f>[3]Data!K630</f>
        <v>1783.65</v>
      </c>
      <c r="H710" s="298" t="s">
        <v>1715</v>
      </c>
      <c r="I710" s="300"/>
      <c r="J710" s="300"/>
      <c r="K710" s="270"/>
      <c r="L710" s="301"/>
      <c r="M710" s="270"/>
      <c r="N710" s="270"/>
      <c r="O710" s="270"/>
      <c r="P710" s="270"/>
      <c r="Q710" s="270"/>
      <c r="R710" s="270"/>
      <c r="S710" s="270"/>
      <c r="T710" s="301"/>
      <c r="U710" s="270"/>
      <c r="V710" s="242"/>
      <c r="W710" s="238">
        <f t="shared" si="39"/>
        <v>0</v>
      </c>
      <c r="Y710" s="223" t="str">
        <f>'[4]Development - i'!E709</f>
        <v>e.  In Fourth floor</v>
      </c>
      <c r="Z710" s="223" t="str">
        <f t="shared" si="37"/>
        <v>-----------------------</v>
      </c>
    </row>
    <row r="711" spans="1:26" ht="152.25">
      <c r="A711" s="234">
        <v>29.8</v>
      </c>
      <c r="B711" s="289" t="s">
        <v>383</v>
      </c>
      <c r="C711" s="290" t="s">
        <v>383</v>
      </c>
      <c r="D711" s="235" t="str">
        <f t="shared" si="36"/>
        <v xml:space="preserve"> OK</v>
      </c>
      <c r="E711" s="254" t="s">
        <v>383</v>
      </c>
      <c r="F711" s="254" t="s">
        <v>1106</v>
      </c>
      <c r="G711" s="298">
        <f>ROUND([3]Data!K1296,2)</f>
        <v>1173.3900000000001</v>
      </c>
      <c r="H711" s="298" t="s">
        <v>26</v>
      </c>
      <c r="I711" s="299"/>
      <c r="J711" s="300"/>
      <c r="K711" s="270"/>
      <c r="L711" s="301"/>
      <c r="M711" s="270"/>
      <c r="N711" s="270"/>
      <c r="O711" s="270"/>
      <c r="P711" s="270"/>
      <c r="Q711" s="270"/>
      <c r="R711" s="270"/>
      <c r="S711" s="270"/>
      <c r="T711" s="301"/>
      <c r="U711" s="302"/>
      <c r="V711" s="236">
        <f>'[3]Precast Compound wall '!H217</f>
        <v>13</v>
      </c>
      <c r="W711" s="233">
        <f t="shared" si="39"/>
        <v>13473.98</v>
      </c>
      <c r="Y711" s="223" t="str">
        <f>'[4]Development - i'!E710</f>
        <v>Glazed tiles using Grout (Tile Joint Filler)</v>
      </c>
      <c r="Z711" s="223" t="str">
        <f t="shared" si="37"/>
        <v>-----------------------</v>
      </c>
    </row>
    <row r="712" spans="1:26" s="241" customFormat="1" ht="130.5">
      <c r="A712" s="309"/>
      <c r="B712" s="310" t="s">
        <v>1107</v>
      </c>
      <c r="C712" s="310" t="s">
        <v>1107</v>
      </c>
      <c r="D712" s="235" t="str">
        <f t="shared" si="36"/>
        <v xml:space="preserve"> OK</v>
      </c>
      <c r="E712" s="254" t="s">
        <v>1107</v>
      </c>
      <c r="F712" s="254" t="s">
        <v>1108</v>
      </c>
      <c r="G712" s="298">
        <f>ROUND([3]Data!K1282,2)</f>
        <v>1036.46</v>
      </c>
      <c r="H712" s="298" t="s">
        <v>26</v>
      </c>
      <c r="I712" s="300"/>
      <c r="J712" s="300"/>
      <c r="K712" s="270"/>
      <c r="L712" s="301"/>
      <c r="M712" s="270"/>
      <c r="N712" s="270"/>
      <c r="O712" s="270"/>
      <c r="P712" s="270"/>
      <c r="Q712" s="270"/>
      <c r="R712" s="270"/>
      <c r="S712" s="270"/>
      <c r="T712" s="301"/>
      <c r="U712" s="270"/>
      <c r="V712" s="237"/>
      <c r="W712" s="238">
        <f t="shared" si="39"/>
        <v>0</v>
      </c>
      <c r="Y712" s="223" t="str">
        <f>'[4]Development - i'!E711</f>
        <v>Floor ceramic tiles  using Grout (Tile Joint Filler).</v>
      </c>
      <c r="Z712" s="223" t="str">
        <f t="shared" si="37"/>
        <v>-----------------------</v>
      </c>
    </row>
    <row r="713" spans="1:26" s="239" customFormat="1" ht="152.25">
      <c r="A713" s="320">
        <v>29.9</v>
      </c>
      <c r="B713" s="290" t="s">
        <v>384</v>
      </c>
      <c r="C713" s="290" t="s">
        <v>384</v>
      </c>
      <c r="D713" s="235" t="str">
        <f t="shared" si="36"/>
        <v xml:space="preserve"> OK</v>
      </c>
      <c r="E713" s="254" t="s">
        <v>384</v>
      </c>
      <c r="F713" s="254" t="s">
        <v>1109</v>
      </c>
      <c r="G713" s="298">
        <f>ROUND([3]Data!K1282,2)</f>
        <v>1036.46</v>
      </c>
      <c r="H713" s="298" t="s">
        <v>26</v>
      </c>
      <c r="I713" s="300"/>
      <c r="J713" s="300"/>
      <c r="K713" s="270"/>
      <c r="L713" s="301"/>
      <c r="M713" s="270"/>
      <c r="N713" s="270"/>
      <c r="O713" s="270"/>
      <c r="P713" s="270"/>
      <c r="Q713" s="270"/>
      <c r="R713" s="270"/>
      <c r="S713" s="270"/>
      <c r="T713" s="301"/>
      <c r="U713" s="270"/>
      <c r="V713" s="240"/>
      <c r="W713" s="238">
        <f t="shared" si="39"/>
        <v>0</v>
      </c>
      <c r="Y713" s="223" t="str">
        <f>'[4]Development - i'!E712</f>
        <v>Floor ceramic tiles (Anti-skid) using Grout (Tile Joint Filler).</v>
      </c>
      <c r="Z713" s="223" t="str">
        <f t="shared" si="37"/>
        <v>-----------------------</v>
      </c>
    </row>
    <row r="714" spans="1:26" s="239" customFormat="1" ht="108.75">
      <c r="A714" s="303">
        <v>38.4</v>
      </c>
      <c r="B714" s="290" t="s">
        <v>167</v>
      </c>
      <c r="C714" s="322" t="s">
        <v>167</v>
      </c>
      <c r="D714" s="235" t="str">
        <f t="shared" si="36"/>
        <v xml:space="preserve"> OK</v>
      </c>
      <c r="E714" s="254" t="s">
        <v>167</v>
      </c>
      <c r="F714" s="254" t="s">
        <v>1110</v>
      </c>
      <c r="G714" s="298">
        <f>[3]Data!K2743</f>
        <v>108.13</v>
      </c>
      <c r="H714" s="298" t="s">
        <v>26</v>
      </c>
      <c r="I714" s="300"/>
      <c r="J714" s="300"/>
      <c r="K714" s="270"/>
      <c r="L714" s="301"/>
      <c r="M714" s="270"/>
      <c r="N714" s="270"/>
      <c r="O714" s="270"/>
      <c r="P714" s="270"/>
      <c r="Q714" s="270"/>
      <c r="R714" s="270"/>
      <c r="S714" s="270"/>
      <c r="T714" s="301"/>
      <c r="U714" s="270"/>
      <c r="V714" s="240"/>
      <c r="W714" s="238">
        <f t="shared" si="39"/>
        <v>0</v>
      </c>
      <c r="Y714" s="223" t="str">
        <f>'[4]Development - i'!E713</f>
        <v>Two coat of cement paint over one coat white cement</v>
      </c>
      <c r="Z714" s="223" t="str">
        <f t="shared" si="37"/>
        <v>-----------------------</v>
      </c>
    </row>
    <row r="715" spans="1:26" s="241" customFormat="1">
      <c r="A715" s="305">
        <v>38.5</v>
      </c>
      <c r="B715" s="306" t="s">
        <v>823</v>
      </c>
      <c r="C715" s="306" t="s">
        <v>823</v>
      </c>
      <c r="D715" s="235" t="str">
        <f t="shared" si="36"/>
        <v xml:space="preserve"> OK</v>
      </c>
      <c r="E715" s="254" t="s">
        <v>823</v>
      </c>
      <c r="F715" s="254">
        <v>0</v>
      </c>
      <c r="G715" s="298">
        <f>ROUND([3]Data!K1544,2)</f>
        <v>141.13999999999999</v>
      </c>
      <c r="H715" s="298" t="s">
        <v>26</v>
      </c>
      <c r="I715" s="300"/>
      <c r="J715" s="300"/>
      <c r="K715" s="270"/>
      <c r="L715" s="301"/>
      <c r="M715" s="270"/>
      <c r="N715" s="270"/>
      <c r="O715" s="270"/>
      <c r="P715" s="270"/>
      <c r="Q715" s="270"/>
      <c r="R715" s="270"/>
      <c r="S715" s="270"/>
      <c r="T715" s="301"/>
      <c r="U715" s="270"/>
      <c r="V715" s="240"/>
      <c r="W715" s="238">
        <f t="shared" si="39"/>
        <v>0</v>
      </c>
      <c r="Y715" s="223" t="str">
        <f>'[4]Development - i'!E714</f>
        <v>Matt paint</v>
      </c>
      <c r="Z715" s="223" t="str">
        <f t="shared" si="37"/>
        <v>-----------------------</v>
      </c>
    </row>
    <row r="716" spans="1:26" s="239" customFormat="1" ht="87">
      <c r="A716" s="320">
        <v>38.6</v>
      </c>
      <c r="B716" s="290" t="s">
        <v>166</v>
      </c>
      <c r="C716" s="290" t="s">
        <v>166</v>
      </c>
      <c r="D716" s="235" t="str">
        <f t="shared" si="36"/>
        <v xml:space="preserve"> OK</v>
      </c>
      <c r="E716" s="254" t="s">
        <v>166</v>
      </c>
      <c r="F716" s="254" t="s">
        <v>1111</v>
      </c>
      <c r="G716" s="298">
        <f>ROUND([3]Data!K2734,2)</f>
        <v>50.62</v>
      </c>
      <c r="H716" s="298" t="s">
        <v>26</v>
      </c>
      <c r="I716" s="300"/>
      <c r="J716" s="300"/>
      <c r="K716" s="270"/>
      <c r="L716" s="301"/>
      <c r="M716" s="270"/>
      <c r="N716" s="270"/>
      <c r="O716" s="270"/>
      <c r="P716" s="270"/>
      <c r="Q716" s="270"/>
      <c r="R716" s="270"/>
      <c r="S716" s="270"/>
      <c r="T716" s="301"/>
      <c r="U716" s="270"/>
      <c r="V716" s="240"/>
      <c r="W716" s="238">
        <f t="shared" si="39"/>
        <v>0</v>
      </c>
      <c r="Y716" s="223" t="str">
        <f>'[4]Development - i'!E715</f>
        <v>One coat white cement for new walls and other similar works.</v>
      </c>
      <c r="Z716" s="223" t="str">
        <f t="shared" si="37"/>
        <v>-----------------------</v>
      </c>
    </row>
    <row r="717" spans="1:26" s="241" customFormat="1" ht="65.25">
      <c r="A717" s="309">
        <v>42</v>
      </c>
      <c r="B717" s="310" t="s">
        <v>2147</v>
      </c>
      <c r="C717" s="310" t="s">
        <v>1112</v>
      </c>
      <c r="D717" s="235" t="str">
        <f t="shared" si="36"/>
        <v xml:space="preserve"> OK</v>
      </c>
      <c r="E717" s="254" t="s">
        <v>2148</v>
      </c>
      <c r="F717" s="254" t="s">
        <v>1113</v>
      </c>
      <c r="G717" s="298">
        <f>ROUND([3]Data!K1600,2)</f>
        <v>71587.100000000006</v>
      </c>
      <c r="H717" s="298" t="s">
        <v>22</v>
      </c>
      <c r="I717" s="300"/>
      <c r="J717" s="300"/>
      <c r="K717" s="270"/>
      <c r="L717" s="301"/>
      <c r="M717" s="270"/>
      <c r="N717" s="270"/>
      <c r="O717" s="270"/>
      <c r="P717" s="270"/>
      <c r="Q717" s="270"/>
      <c r="R717" s="270"/>
      <c r="S717" s="270"/>
      <c r="T717" s="301"/>
      <c r="U717" s="270"/>
      <c r="V717" s="240"/>
      <c r="W717" s="238">
        <f t="shared" si="39"/>
        <v>0</v>
      </c>
      <c r="Y717" s="223" t="str">
        <f>'[4]Development - i'!E716</f>
        <v>Fabrication of Mild steel / RTS grills(with cement slurry wash) for all sizes of rods.</v>
      </c>
      <c r="Z717" s="223" t="str">
        <f t="shared" si="37"/>
        <v>ERRR</v>
      </c>
    </row>
    <row r="718" spans="1:26" s="239" customFormat="1" ht="69.75">
      <c r="A718" s="340">
        <v>43</v>
      </c>
      <c r="B718" s="290" t="s">
        <v>2149</v>
      </c>
      <c r="C718" s="290" t="s">
        <v>108</v>
      </c>
      <c r="D718" s="235" t="str">
        <f t="shared" si="36"/>
        <v xml:space="preserve"> OK</v>
      </c>
      <c r="E718" s="254" t="s">
        <v>2150</v>
      </c>
      <c r="F718" s="254" t="s">
        <v>36</v>
      </c>
      <c r="G718" s="298">
        <f>ROUND([3]Data!K1626,2)</f>
        <v>69949.8</v>
      </c>
      <c r="H718" s="298" t="s">
        <v>22</v>
      </c>
      <c r="I718" s="300"/>
      <c r="J718" s="300"/>
      <c r="K718" s="270"/>
      <c r="L718" s="301"/>
      <c r="M718" s="270"/>
      <c r="N718" s="270"/>
      <c r="O718" s="270"/>
      <c r="P718" s="270"/>
      <c r="Q718" s="270"/>
      <c r="R718" s="270"/>
      <c r="S718" s="270"/>
      <c r="T718" s="301"/>
      <c r="U718" s="270"/>
      <c r="V718" s="242"/>
      <c r="W718" s="238">
        <f t="shared" si="39"/>
        <v>0</v>
      </c>
      <c r="Y718" s="223" t="str">
        <f>'[4]Development - i'!E717</f>
        <v>Fabrication of Mild steel / RTS grills (without cement slurry) for all sizes of rods.</v>
      </c>
      <c r="Z718" s="223" t="str">
        <f t="shared" si="37"/>
        <v>ERRR</v>
      </c>
    </row>
    <row r="719" spans="1:26" ht="152.25">
      <c r="A719" s="234">
        <v>44.6</v>
      </c>
      <c r="B719" s="289" t="s">
        <v>2151</v>
      </c>
      <c r="C719" s="290" t="s">
        <v>436</v>
      </c>
      <c r="D719" s="235" t="str">
        <f t="shared" si="36"/>
        <v xml:space="preserve"> OK</v>
      </c>
      <c r="E719" s="254" t="s">
        <v>2152</v>
      </c>
      <c r="F719" s="254" t="s">
        <v>1114</v>
      </c>
      <c r="G719" s="298">
        <f>ROUND([3]Data!K1656,2)</f>
        <v>310.89999999999998</v>
      </c>
      <c r="H719" s="298" t="s">
        <v>12</v>
      </c>
      <c r="I719" s="299"/>
      <c r="J719" s="300"/>
      <c r="K719" s="270"/>
      <c r="L719" s="301"/>
      <c r="M719" s="270"/>
      <c r="N719" s="270"/>
      <c r="O719" s="270"/>
      <c r="P719" s="270"/>
      <c r="Q719" s="270"/>
      <c r="R719" s="270"/>
      <c r="S719" s="270"/>
      <c r="T719" s="301"/>
      <c r="U719" s="302"/>
      <c r="V719" s="236">
        <f>'[3]Precast Compound wall '!H246</f>
        <v>15</v>
      </c>
      <c r="W719" s="233">
        <f t="shared" si="39"/>
        <v>5304.9000000000005</v>
      </c>
      <c r="Y719" s="223" t="str">
        <f>'[4]Development - i'!E718</f>
        <v>PVC SWR 110 mm dia with ISI mark type- A for Rain water down fall pipe</v>
      </c>
      <c r="Z719" s="223" t="str">
        <f t="shared" si="37"/>
        <v>-----------------------</v>
      </c>
    </row>
    <row r="720" spans="1:26" s="239" customFormat="1" ht="195.75">
      <c r="A720" s="321">
        <v>50.6</v>
      </c>
      <c r="B720" s="290" t="s">
        <v>1115</v>
      </c>
      <c r="C720" s="290" t="s">
        <v>1115</v>
      </c>
      <c r="D720" s="235" t="str">
        <f t="shared" si="36"/>
        <v xml:space="preserve"> OK</v>
      </c>
      <c r="E720" s="254" t="s">
        <v>1115</v>
      </c>
      <c r="F720" s="254" t="s">
        <v>1116</v>
      </c>
      <c r="G720" s="298">
        <f>ROUND([3]Data!K2410,2)</f>
        <v>353.66</v>
      </c>
      <c r="H720" s="298" t="s">
        <v>26</v>
      </c>
      <c r="I720" s="300"/>
      <c r="J720" s="300"/>
      <c r="K720" s="270"/>
      <c r="L720" s="301"/>
      <c r="M720" s="270"/>
      <c r="N720" s="270"/>
      <c r="O720" s="270"/>
      <c r="P720" s="270"/>
      <c r="Q720" s="270"/>
      <c r="R720" s="270"/>
      <c r="S720" s="270"/>
      <c r="T720" s="301"/>
      <c r="U720" s="270"/>
      <c r="V720" s="237"/>
      <c r="W720" s="238">
        <f t="shared" si="39"/>
        <v>0</v>
      </c>
      <c r="Y720" s="223" t="str">
        <f>'[4]Development - i'!E719</f>
        <v>Precast slab 50 mm tk.in C.C. 1:3:6 with fibre</v>
      </c>
      <c r="Z720" s="223" t="str">
        <f t="shared" si="37"/>
        <v>-----------------------</v>
      </c>
    </row>
    <row r="721" spans="1:26" s="239" customFormat="1" ht="195.75">
      <c r="A721" s="320">
        <v>52.4</v>
      </c>
      <c r="B721" s="290" t="s">
        <v>1117</v>
      </c>
      <c r="C721" s="290" t="s">
        <v>1117</v>
      </c>
      <c r="D721" s="235" t="str">
        <f t="shared" si="36"/>
        <v xml:space="preserve"> OK</v>
      </c>
      <c r="E721" s="254" t="s">
        <v>1117</v>
      </c>
      <c r="F721" s="254" t="s">
        <v>1118</v>
      </c>
      <c r="G721" s="298">
        <f>ROUND([3]Data!K2785,2)</f>
        <v>195.3</v>
      </c>
      <c r="H721" s="298" t="s">
        <v>12</v>
      </c>
      <c r="I721" s="300"/>
      <c r="J721" s="300"/>
      <c r="K721" s="270"/>
      <c r="L721" s="301"/>
      <c r="M721" s="270"/>
      <c r="N721" s="270"/>
      <c r="O721" s="270"/>
      <c r="P721" s="270"/>
      <c r="Q721" s="270"/>
      <c r="R721" s="270"/>
      <c r="S721" s="270"/>
      <c r="T721" s="301"/>
      <c r="U721" s="270"/>
      <c r="V721" s="240"/>
      <c r="W721" s="238">
        <f t="shared" si="39"/>
        <v>0</v>
      </c>
      <c r="Y721" s="223" t="str">
        <f>'[4]Development - i'!E720</f>
        <v>20mm dia PVC water supply ASTM pipe (fully consealed in walls)</v>
      </c>
      <c r="Z721" s="223" t="str">
        <f t="shared" si="37"/>
        <v>-----------------------</v>
      </c>
    </row>
    <row r="722" spans="1:26" s="239" customFormat="1" ht="152.25">
      <c r="A722" s="320">
        <v>53.4</v>
      </c>
      <c r="B722" s="290" t="s">
        <v>74</v>
      </c>
      <c r="C722" s="290" t="s">
        <v>74</v>
      </c>
      <c r="D722" s="235" t="str">
        <f t="shared" si="36"/>
        <v xml:space="preserve"> OK</v>
      </c>
      <c r="E722" s="254" t="s">
        <v>74</v>
      </c>
      <c r="F722" s="254" t="s">
        <v>1119</v>
      </c>
      <c r="G722" s="298">
        <f>[3]Data!K1969</f>
        <v>1828</v>
      </c>
      <c r="H722" s="298" t="s">
        <v>556</v>
      </c>
      <c r="I722" s="300"/>
      <c r="J722" s="300"/>
      <c r="K722" s="270"/>
      <c r="L722" s="301"/>
      <c r="M722" s="270"/>
      <c r="N722" s="270"/>
      <c r="O722" s="270"/>
      <c r="P722" s="270"/>
      <c r="Q722" s="270"/>
      <c r="R722" s="270"/>
      <c r="S722" s="270"/>
      <c r="T722" s="301"/>
      <c r="U722" s="270"/>
      <c r="V722" s="240"/>
      <c r="W722" s="238">
        <f t="shared" si="39"/>
        <v>0</v>
      </c>
      <c r="Y722" s="223" t="str">
        <f>'[4]Development - i'!E721</f>
        <v xml:space="preserve">S&amp;F of C.I Manhole cover 60 x 60 cm (50kg weight ) </v>
      </c>
      <c r="Z722" s="223" t="str">
        <f t="shared" si="37"/>
        <v>-----------------------</v>
      </c>
    </row>
    <row r="723" spans="1:26" s="239" customFormat="1" ht="152.25">
      <c r="A723" s="320"/>
      <c r="B723" s="290" t="s">
        <v>457</v>
      </c>
      <c r="C723" s="290" t="s">
        <v>457</v>
      </c>
      <c r="D723" s="235" t="str">
        <f t="shared" si="36"/>
        <v xml:space="preserve"> OK</v>
      </c>
      <c r="E723" s="254" t="s">
        <v>457</v>
      </c>
      <c r="F723" s="254" t="s">
        <v>1120</v>
      </c>
      <c r="G723" s="298">
        <f>[3]Data!K3587</f>
        <v>3004.83</v>
      </c>
      <c r="H723" s="298" t="s">
        <v>556</v>
      </c>
      <c r="I723" s="300"/>
      <c r="J723" s="300"/>
      <c r="K723" s="270"/>
      <c r="L723" s="301"/>
      <c r="M723" s="270"/>
      <c r="N723" s="270"/>
      <c r="O723" s="270"/>
      <c r="P723" s="270"/>
      <c r="Q723" s="270"/>
      <c r="R723" s="270"/>
      <c r="S723" s="270"/>
      <c r="T723" s="301"/>
      <c r="U723" s="270"/>
      <c r="V723" s="240"/>
      <c r="W723" s="238">
        <f t="shared" si="39"/>
        <v>0</v>
      </c>
      <c r="Y723" s="223" t="str">
        <f>'[4]Development - i'!E722</f>
        <v>Wash Hand  Basin of size 550 x 400 mm</v>
      </c>
      <c r="Z723" s="223" t="str">
        <f t="shared" si="37"/>
        <v>-----------------------</v>
      </c>
    </row>
    <row r="724" spans="1:26" s="241" customFormat="1" ht="93">
      <c r="A724" s="309">
        <v>54.3</v>
      </c>
      <c r="B724" s="310" t="s">
        <v>2153</v>
      </c>
      <c r="C724" s="310" t="s">
        <v>1121</v>
      </c>
      <c r="D724" s="235" t="str">
        <f t="shared" si="36"/>
        <v xml:space="preserve"> OK</v>
      </c>
      <c r="E724" s="254" t="s">
        <v>2154</v>
      </c>
      <c r="F724" s="254">
        <v>0</v>
      </c>
      <c r="G724" s="298">
        <f>ROUND([3]Data!K1972,2)</f>
        <v>202</v>
      </c>
      <c r="H724" s="298" t="s">
        <v>556</v>
      </c>
      <c r="I724" s="300"/>
      <c r="J724" s="300"/>
      <c r="K724" s="270"/>
      <c r="L724" s="301"/>
      <c r="M724" s="270"/>
      <c r="N724" s="270"/>
      <c r="O724" s="270"/>
      <c r="P724" s="270"/>
      <c r="Q724" s="270"/>
      <c r="R724" s="270"/>
      <c r="S724" s="270"/>
      <c r="T724" s="301"/>
      <c r="U724" s="270"/>
      <c r="V724" s="240"/>
      <c r="W724" s="238">
        <f t="shared" si="39"/>
        <v>0</v>
      </c>
      <c r="Y724" s="223" t="str">
        <f>'[4]Development - i'!E723</f>
        <v>Supplying and fixing of Brass Chromium plated screw down tap 15mm dia (heavy type not less than 430 grms weight)  with ISI mark.</v>
      </c>
      <c r="Z724" s="223" t="str">
        <f t="shared" si="37"/>
        <v>ERRR</v>
      </c>
    </row>
    <row r="725" spans="1:26" s="241" customFormat="1" ht="46.5">
      <c r="A725" s="305">
        <v>56.3</v>
      </c>
      <c r="B725" s="306" t="s">
        <v>1122</v>
      </c>
      <c r="C725" s="306" t="s">
        <v>1122</v>
      </c>
      <c r="D725" s="235" t="str">
        <f t="shared" si="36"/>
        <v xml:space="preserve"> OK</v>
      </c>
      <c r="E725" s="254" t="s">
        <v>1122</v>
      </c>
      <c r="F725" s="254">
        <v>0</v>
      </c>
      <c r="G725" s="298">
        <f>ROUND([3]Data!K1995,2)</f>
        <v>2944.29</v>
      </c>
      <c r="H725" s="298" t="s">
        <v>556</v>
      </c>
      <c r="I725" s="300"/>
      <c r="J725" s="300"/>
      <c r="K725" s="270"/>
      <c r="L725" s="301"/>
      <c r="M725" s="270"/>
      <c r="N725" s="270"/>
      <c r="O725" s="270"/>
      <c r="P725" s="270"/>
      <c r="Q725" s="270"/>
      <c r="R725" s="270"/>
      <c r="S725" s="270"/>
      <c r="T725" s="301"/>
      <c r="U725" s="270"/>
      <c r="V725" s="240"/>
      <c r="W725" s="238">
        <f t="shared" si="39"/>
        <v>0</v>
      </c>
      <c r="Y725" s="223" t="str">
        <f>'[4]Development - i'!E724</f>
        <v xml:space="preserve">S &amp; F of Indian Water closet white glazed (Oriya type) of size 580 x 440mm  - in G.F.  </v>
      </c>
      <c r="Z725" s="223" t="str">
        <f t="shared" si="37"/>
        <v>-----------------------</v>
      </c>
    </row>
    <row r="726" spans="1:26" s="241" customFormat="1" ht="46.5">
      <c r="A726" s="305">
        <v>56.4</v>
      </c>
      <c r="B726" s="306" t="s">
        <v>1123</v>
      </c>
      <c r="C726" s="306" t="s">
        <v>1123</v>
      </c>
      <c r="D726" s="235" t="str">
        <f t="shared" si="36"/>
        <v xml:space="preserve"> OK</v>
      </c>
      <c r="E726" s="254" t="s">
        <v>1123</v>
      </c>
      <c r="F726" s="254">
        <v>0</v>
      </c>
      <c r="G726" s="298">
        <f>ROUND([3]Data!K2016,2)</f>
        <v>4561.54</v>
      </c>
      <c r="H726" s="298" t="s">
        <v>556</v>
      </c>
      <c r="I726" s="300"/>
      <c r="J726" s="300"/>
      <c r="K726" s="270"/>
      <c r="L726" s="301"/>
      <c r="M726" s="270"/>
      <c r="N726" s="270"/>
      <c r="O726" s="270"/>
      <c r="P726" s="270"/>
      <c r="Q726" s="270"/>
      <c r="R726" s="270"/>
      <c r="S726" s="270"/>
      <c r="T726" s="301"/>
      <c r="U726" s="270"/>
      <c r="V726" s="240"/>
      <c r="W726" s="238">
        <f t="shared" si="39"/>
        <v>0</v>
      </c>
      <c r="Y726" s="223" t="str">
        <f>'[4]Development - i'!E725</f>
        <v xml:space="preserve">S &amp; F of Indian Water closet white glazed (Oriya type) of size 580 x 440mm  - Other than  G.F.  </v>
      </c>
      <c r="Z726" s="223" t="str">
        <f t="shared" si="37"/>
        <v>-----------------------</v>
      </c>
    </row>
    <row r="727" spans="1:26" s="239" customFormat="1" ht="152.25">
      <c r="A727" s="320">
        <v>58.3</v>
      </c>
      <c r="B727" s="316" t="s">
        <v>465</v>
      </c>
      <c r="C727" s="316" t="s">
        <v>465</v>
      </c>
      <c r="D727" s="235" t="str">
        <f t="shared" si="36"/>
        <v xml:space="preserve"> OK</v>
      </c>
      <c r="E727" s="254" t="s">
        <v>465</v>
      </c>
      <c r="F727" s="254" t="s">
        <v>1124</v>
      </c>
      <c r="G727" s="298"/>
      <c r="H727" s="298"/>
      <c r="I727" s="300"/>
      <c r="J727" s="300"/>
      <c r="K727" s="270"/>
      <c r="L727" s="301"/>
      <c r="M727" s="270"/>
      <c r="N727" s="270"/>
      <c r="O727" s="270"/>
      <c r="P727" s="270"/>
      <c r="Q727" s="270"/>
      <c r="R727" s="270"/>
      <c r="S727" s="270"/>
      <c r="T727" s="301"/>
      <c r="U727" s="270"/>
      <c r="V727" s="240"/>
      <c r="W727" s="238">
        <f t="shared" si="39"/>
        <v>0</v>
      </c>
      <c r="Y727" s="223" t="str">
        <f>'[4]Development - i'!E726</f>
        <v>PVC SWR pipe (Soil line) with ISI mark - type 'B'.</v>
      </c>
      <c r="Z727" s="223" t="str">
        <f t="shared" si="37"/>
        <v>-----------------------</v>
      </c>
    </row>
    <row r="728" spans="1:26" s="239" customFormat="1" ht="51">
      <c r="A728" s="320"/>
      <c r="B728" s="290" t="s">
        <v>874</v>
      </c>
      <c r="C728" s="290" t="s">
        <v>874</v>
      </c>
      <c r="D728" s="235" t="str">
        <f t="shared" si="36"/>
        <v xml:space="preserve"> OK</v>
      </c>
      <c r="E728" s="254" t="s">
        <v>2155</v>
      </c>
      <c r="F728" s="254" t="s">
        <v>1125</v>
      </c>
      <c r="G728" s="298">
        <f>ROUND([3]Data!K2081,2)</f>
        <v>626.17999999999995</v>
      </c>
      <c r="H728" s="298" t="s">
        <v>12</v>
      </c>
      <c r="I728" s="300"/>
      <c r="J728" s="300"/>
      <c r="K728" s="270"/>
      <c r="L728" s="301"/>
      <c r="M728" s="270"/>
      <c r="N728" s="270"/>
      <c r="O728" s="270"/>
      <c r="P728" s="270"/>
      <c r="Q728" s="270"/>
      <c r="R728" s="270"/>
      <c r="S728" s="270"/>
      <c r="T728" s="301"/>
      <c r="U728" s="270"/>
      <c r="V728" s="240"/>
      <c r="W728" s="238">
        <f t="shared" si="39"/>
        <v>0</v>
      </c>
      <c r="Y728" s="223" t="str">
        <f>'[4]Development - i'!E727</f>
        <v>a. 110 mm dia. PVC SWR pipe (Soil line) with ISI mark - type 'B'.</v>
      </c>
      <c r="Z728" s="223" t="str">
        <f t="shared" si="37"/>
        <v>-----------------------</v>
      </c>
    </row>
    <row r="729" spans="1:26" s="239" customFormat="1" ht="51">
      <c r="A729" s="390"/>
      <c r="B729" s="290" t="s">
        <v>875</v>
      </c>
      <c r="C729" s="290" t="s">
        <v>875</v>
      </c>
      <c r="D729" s="235" t="str">
        <f t="shared" si="36"/>
        <v xml:space="preserve"> OK</v>
      </c>
      <c r="E729" s="254" t="s">
        <v>2156</v>
      </c>
      <c r="F729" s="254" t="s">
        <v>1126</v>
      </c>
      <c r="G729" s="298">
        <f>ROUND([3]Data!K2105,2)</f>
        <v>513.38</v>
      </c>
      <c r="H729" s="298" t="s">
        <v>12</v>
      </c>
      <c r="I729" s="300"/>
      <c r="J729" s="300"/>
      <c r="K729" s="270"/>
      <c r="L729" s="301"/>
      <c r="M729" s="270"/>
      <c r="N729" s="270"/>
      <c r="O729" s="270"/>
      <c r="P729" s="270"/>
      <c r="Q729" s="270"/>
      <c r="R729" s="270"/>
      <c r="S729" s="270"/>
      <c r="T729" s="301"/>
      <c r="U729" s="270"/>
      <c r="V729" s="240"/>
      <c r="W729" s="238">
        <f t="shared" si="39"/>
        <v>0</v>
      </c>
      <c r="Y729" s="223" t="str">
        <f>'[4]Development - i'!E728</f>
        <v>b. 75 mm dia. PVC SWR pipe (Soil line) with ISI mark - type 'B'.</v>
      </c>
      <c r="Z729" s="223" t="str">
        <f t="shared" si="37"/>
        <v>-----------------------</v>
      </c>
    </row>
    <row r="730" spans="1:26" s="239" customFormat="1" ht="69.75">
      <c r="A730" s="320">
        <v>58.4</v>
      </c>
      <c r="B730" s="290" t="s">
        <v>1127</v>
      </c>
      <c r="C730" s="290" t="s">
        <v>1127</v>
      </c>
      <c r="D730" s="235" t="str">
        <f t="shared" ref="D730:D796" si="40">IF(B730=C730," OK","nun")</f>
        <v xml:space="preserve"> OK</v>
      </c>
      <c r="E730" s="254" t="s">
        <v>1127</v>
      </c>
      <c r="F730" s="254">
        <v>0</v>
      </c>
      <c r="G730" s="298">
        <f>ROUND([3]Data!K2906,2)</f>
        <v>81.2</v>
      </c>
      <c r="H730" s="298" t="s">
        <v>12</v>
      </c>
      <c r="I730" s="300"/>
      <c r="J730" s="300"/>
      <c r="K730" s="270"/>
      <c r="L730" s="301"/>
      <c r="M730" s="270"/>
      <c r="N730" s="270"/>
      <c r="O730" s="270"/>
      <c r="P730" s="270"/>
      <c r="Q730" s="270"/>
      <c r="R730" s="270"/>
      <c r="S730" s="270"/>
      <c r="T730" s="301"/>
      <c r="U730" s="270"/>
      <c r="V730" s="240"/>
      <c r="W730" s="238">
        <f t="shared" si="39"/>
        <v>0</v>
      </c>
      <c r="Y730" s="223" t="str">
        <f>'[4]Development - i'!E729</f>
        <v>Supplying, Laying &amp; Concealing the 50mm dia PVC ( SWR) pipe with ISI mark type - 'B' with relevant specials.</v>
      </c>
      <c r="Z730" s="223" t="str">
        <f t="shared" si="37"/>
        <v>-----------------------</v>
      </c>
    </row>
    <row r="731" spans="1:26" s="239" customFormat="1" ht="46.5">
      <c r="A731" s="320">
        <v>58.5</v>
      </c>
      <c r="B731" s="290" t="s">
        <v>1128</v>
      </c>
      <c r="C731" s="290" t="s">
        <v>1128</v>
      </c>
      <c r="D731" s="235" t="str">
        <f t="shared" si="40"/>
        <v xml:space="preserve"> OK</v>
      </c>
      <c r="E731" s="254" t="s">
        <v>1128</v>
      </c>
      <c r="F731" s="254">
        <v>0</v>
      </c>
      <c r="G731" s="298">
        <f>ROUND([3]Data!K2116,2)</f>
        <v>441.7</v>
      </c>
      <c r="H731" s="298" t="s">
        <v>556</v>
      </c>
      <c r="I731" s="300"/>
      <c r="J731" s="300"/>
      <c r="K731" s="270"/>
      <c r="L731" s="301"/>
      <c r="M731" s="270"/>
      <c r="N731" s="270"/>
      <c r="O731" s="270"/>
      <c r="P731" s="270"/>
      <c r="Q731" s="270"/>
      <c r="R731" s="270"/>
      <c r="S731" s="270"/>
      <c r="T731" s="301"/>
      <c r="U731" s="270"/>
      <c r="V731" s="240"/>
      <c r="W731" s="238">
        <f t="shared" si="39"/>
        <v>0</v>
      </c>
      <c r="Y731" s="223" t="str">
        <f>'[4]Development - i'!E730</f>
        <v>PVC(SWR) pipe with ISI mark - type 'A' for Ventilating shaft with cowl</v>
      </c>
      <c r="Z731" s="223" t="str">
        <f t="shared" si="37"/>
        <v>-----------------------</v>
      </c>
    </row>
    <row r="732" spans="1:26" s="239" customFormat="1" ht="174">
      <c r="A732" s="320"/>
      <c r="B732" s="316" t="s">
        <v>2157</v>
      </c>
      <c r="C732" s="316" t="s">
        <v>2157</v>
      </c>
      <c r="D732" s="235" t="str">
        <f t="shared" si="40"/>
        <v xml:space="preserve"> OK</v>
      </c>
      <c r="E732" s="254" t="s">
        <v>475</v>
      </c>
      <c r="F732" s="254" t="s">
        <v>1129</v>
      </c>
      <c r="G732" s="298"/>
      <c r="H732" s="298"/>
      <c r="I732" s="300"/>
      <c r="J732" s="300"/>
      <c r="K732" s="270"/>
      <c r="L732" s="301"/>
      <c r="M732" s="270"/>
      <c r="N732" s="270"/>
      <c r="O732" s="270"/>
      <c r="P732" s="270"/>
      <c r="Q732" s="270"/>
      <c r="R732" s="270"/>
      <c r="S732" s="270"/>
      <c r="T732" s="301"/>
      <c r="U732" s="270"/>
      <c r="V732" s="240"/>
      <c r="W732" s="238">
        <f t="shared" si="39"/>
        <v>0</v>
      </c>
      <c r="Y732" s="223" t="str">
        <f>'[4]Development - i'!E731</f>
        <v>Wiring with 1.5 Sqm.m PVC insulated single core multi strand fire retardant flexible copper cable with ISI mark confirming IS: 694:1990.( Ordinary)</v>
      </c>
      <c r="Z732" s="223" t="str">
        <f t="shared" si="37"/>
        <v>-----------------------</v>
      </c>
    </row>
    <row r="733" spans="1:26" s="239" customFormat="1" ht="87">
      <c r="A733" s="320"/>
      <c r="B733" s="290" t="s">
        <v>41</v>
      </c>
      <c r="C733" s="290" t="s">
        <v>41</v>
      </c>
      <c r="D733" s="235" t="str">
        <f t="shared" si="40"/>
        <v xml:space="preserve"> OK</v>
      </c>
      <c r="E733" s="254" t="s">
        <v>476</v>
      </c>
      <c r="F733" s="254" t="s">
        <v>1130</v>
      </c>
      <c r="G733" s="298">
        <f>[3]Data!K2279</f>
        <v>1340</v>
      </c>
      <c r="H733" s="298" t="s">
        <v>556</v>
      </c>
      <c r="I733" s="300"/>
      <c r="J733" s="300"/>
      <c r="K733" s="270"/>
      <c r="L733" s="301"/>
      <c r="M733" s="270"/>
      <c r="N733" s="270"/>
      <c r="O733" s="270"/>
      <c r="P733" s="270"/>
      <c r="Q733" s="270"/>
      <c r="R733" s="270"/>
      <c r="S733" s="270"/>
      <c r="T733" s="301"/>
      <c r="U733" s="270"/>
      <c r="V733" s="240"/>
      <c r="W733" s="238">
        <f t="shared" si="39"/>
        <v>0</v>
      </c>
      <c r="Y733" s="223" t="str">
        <f>'[4]Development - i'!E732</f>
        <v>a. Light point with ceiling rose Wiring with 1.5 Sqm.m PVC insulated single core multi strand fire retardant flexible copper cable with ISI mark confirming IS: 694:1990.( Ordinary)</v>
      </c>
      <c r="Z733" s="223" t="str">
        <f t="shared" si="37"/>
        <v>-----------------------</v>
      </c>
    </row>
    <row r="734" spans="1:26" s="239" customFormat="1" ht="87">
      <c r="A734" s="320"/>
      <c r="B734" s="290" t="s">
        <v>42</v>
      </c>
      <c r="C734" s="290" t="s">
        <v>42</v>
      </c>
      <c r="D734" s="235" t="str">
        <f t="shared" si="40"/>
        <v xml:space="preserve"> OK</v>
      </c>
      <c r="E734" s="254" t="s">
        <v>482</v>
      </c>
      <c r="F734" s="254" t="s">
        <v>1131</v>
      </c>
      <c r="G734" s="298">
        <f>[3]Data!K2280</f>
        <v>1344</v>
      </c>
      <c r="H734" s="298" t="s">
        <v>556</v>
      </c>
      <c r="I734" s="300"/>
      <c r="J734" s="300"/>
      <c r="K734" s="270"/>
      <c r="L734" s="301"/>
      <c r="M734" s="270"/>
      <c r="N734" s="270"/>
      <c r="O734" s="270"/>
      <c r="P734" s="270"/>
      <c r="Q734" s="270"/>
      <c r="R734" s="270"/>
      <c r="S734" s="270"/>
      <c r="T734" s="301"/>
      <c r="U734" s="270"/>
      <c r="V734" s="240"/>
      <c r="W734" s="238">
        <f t="shared" si="39"/>
        <v>0</v>
      </c>
      <c r="Y734" s="223" t="str">
        <f>'[4]Development - i'!E733</f>
        <v>b. Light point without ceiling rose Wiring with 1.5 Sqm.m PVC insulated single core multi strand fire retardant flexible copper cable with ISI mark confirming IS: 694:1990.( Ordinary)</v>
      </c>
      <c r="Z734" s="223" t="str">
        <f t="shared" si="37"/>
        <v>-----------------------</v>
      </c>
    </row>
    <row r="735" spans="1:26" s="239" customFormat="1" ht="87">
      <c r="A735" s="390"/>
      <c r="B735" s="290" t="s">
        <v>903</v>
      </c>
      <c r="C735" s="290" t="s">
        <v>903</v>
      </c>
      <c r="D735" s="235" t="str">
        <f t="shared" si="40"/>
        <v xml:space="preserve"> OK</v>
      </c>
      <c r="E735" s="254" t="s">
        <v>484</v>
      </c>
      <c r="F735" s="254" t="s">
        <v>1132</v>
      </c>
      <c r="G735" s="298">
        <f>[3]Data!K2281</f>
        <v>1372</v>
      </c>
      <c r="H735" s="298" t="s">
        <v>556</v>
      </c>
      <c r="I735" s="300"/>
      <c r="J735" s="300"/>
      <c r="K735" s="270"/>
      <c r="L735" s="301"/>
      <c r="M735" s="270"/>
      <c r="N735" s="270"/>
      <c r="O735" s="270"/>
      <c r="P735" s="270"/>
      <c r="Q735" s="270"/>
      <c r="R735" s="270"/>
      <c r="S735" s="270"/>
      <c r="T735" s="301"/>
      <c r="U735" s="270"/>
      <c r="V735" s="240"/>
      <c r="W735" s="238">
        <f t="shared" si="39"/>
        <v>0</v>
      </c>
      <c r="Y735" s="223" t="str">
        <f>'[4]Development - i'!E734</f>
        <v>c. Calling bell point with Buzzer/Calling bell Wiring with 1.5 Sqm.m PVC insulated single core multi strand fire retardant flexible copper cable with ISI mark confirming IS: 694:1990.( Ordinary)</v>
      </c>
      <c r="Z735" s="223" t="str">
        <f t="shared" ref="Z735:Z781" si="41">IF(Y735=E735,"-----------------------","ERRR")</f>
        <v>-----------------------</v>
      </c>
    </row>
    <row r="736" spans="1:26" s="239" customFormat="1" ht="174">
      <c r="A736" s="320">
        <v>65.099999999999994</v>
      </c>
      <c r="B736" s="290" t="s">
        <v>2158</v>
      </c>
      <c r="C736" s="290" t="s">
        <v>2159</v>
      </c>
      <c r="D736" s="235" t="str">
        <f t="shared" si="40"/>
        <v xml:space="preserve"> OK</v>
      </c>
      <c r="E736" s="254" t="s">
        <v>487</v>
      </c>
      <c r="F736" s="254" t="s">
        <v>1133</v>
      </c>
      <c r="G736" s="298">
        <f>[3]Data!K2282</f>
        <v>1398</v>
      </c>
      <c r="H736" s="298" t="s">
        <v>556</v>
      </c>
      <c r="I736" s="300"/>
      <c r="J736" s="300"/>
      <c r="K736" s="270"/>
      <c r="L736" s="301"/>
      <c r="M736" s="270"/>
      <c r="N736" s="270"/>
      <c r="O736" s="270"/>
      <c r="P736" s="270"/>
      <c r="Q736" s="270"/>
      <c r="R736" s="270"/>
      <c r="S736" s="270"/>
      <c r="T736" s="301"/>
      <c r="U736" s="270"/>
      <c r="V736" s="240"/>
      <c r="W736" s="238">
        <f t="shared" si="39"/>
        <v>0</v>
      </c>
      <c r="Y736" s="223" t="str">
        <f>'[4]Development - i'!E735</f>
        <v>Wiring with 1.5 Sqm.m PVC insulated single core multi strand fire retardant flexible copper cable with ISI mark confirming IS: 694:1990 for Fan point.</v>
      </c>
      <c r="Z736" s="223" t="str">
        <f t="shared" si="41"/>
        <v>-----------------------</v>
      </c>
    </row>
    <row r="737" spans="1:26" s="239" customFormat="1" ht="174">
      <c r="A737" s="321">
        <v>66.099999999999994</v>
      </c>
      <c r="B737" s="322" t="s">
        <v>2160</v>
      </c>
      <c r="C737" s="322" t="s">
        <v>2161</v>
      </c>
      <c r="D737" s="235" t="str">
        <f t="shared" si="40"/>
        <v xml:space="preserve"> OK</v>
      </c>
      <c r="E737" s="254" t="s">
        <v>490</v>
      </c>
      <c r="F737" s="254" t="s">
        <v>1134</v>
      </c>
      <c r="G737" s="298">
        <f>[3]Data!K2283</f>
        <v>2539.73</v>
      </c>
      <c r="H737" s="298" t="s">
        <v>556</v>
      </c>
      <c r="I737" s="300"/>
      <c r="J737" s="300"/>
      <c r="K737" s="270"/>
      <c r="L737" s="301"/>
      <c r="M737" s="270"/>
      <c r="N737" s="270"/>
      <c r="O737" s="270"/>
      <c r="P737" s="270"/>
      <c r="Q737" s="270"/>
      <c r="R737" s="270"/>
      <c r="S737" s="270"/>
      <c r="T737" s="301"/>
      <c r="U737" s="270"/>
      <c r="V737" s="240"/>
      <c r="W737" s="238">
        <f t="shared" si="39"/>
        <v>0</v>
      </c>
      <c r="Y737" s="223" t="str">
        <f>'[4]Development - i'!E736</f>
        <v>Wiring with 1.5 Sqm.m PVC insulated single core multi strand fire retardant flexible copper cable with ISI mark confirming IS: 694:1990 for Staircase Light Point.</v>
      </c>
      <c r="Z737" s="223" t="str">
        <f t="shared" si="41"/>
        <v>-----------------------</v>
      </c>
    </row>
    <row r="738" spans="1:26" s="239" customFormat="1" ht="174">
      <c r="A738" s="320"/>
      <c r="B738" s="290" t="s">
        <v>2162</v>
      </c>
      <c r="C738" s="290" t="s">
        <v>2163</v>
      </c>
      <c r="D738" s="235" t="str">
        <f t="shared" si="40"/>
        <v xml:space="preserve"> OK</v>
      </c>
      <c r="E738" s="254" t="s">
        <v>491</v>
      </c>
      <c r="F738" s="254" t="s">
        <v>1135</v>
      </c>
      <c r="G738" s="298">
        <f>[3]Data!K2284</f>
        <v>688</v>
      </c>
      <c r="H738" s="298" t="s">
        <v>556</v>
      </c>
      <c r="I738" s="300"/>
      <c r="J738" s="300"/>
      <c r="K738" s="270"/>
      <c r="L738" s="301"/>
      <c r="M738" s="270"/>
      <c r="N738" s="270"/>
      <c r="O738" s="270"/>
      <c r="P738" s="270"/>
      <c r="Q738" s="270"/>
      <c r="R738" s="270"/>
      <c r="S738" s="270"/>
      <c r="T738" s="301"/>
      <c r="U738" s="270"/>
      <c r="V738" s="240"/>
      <c r="W738" s="238">
        <f t="shared" si="39"/>
        <v>0</v>
      </c>
      <c r="Y738" s="223" t="str">
        <f>'[4]Development - i'!E737</f>
        <v>Wiring with 1.5 Sqm.m PVC insulated single core multi strand fire retardant flexible copper cable with ISI mark confirming IS: 694:1990 for 5 amps 5 pin plug socket point @ Switch Board Itself.</v>
      </c>
      <c r="Z738" s="223" t="str">
        <f t="shared" si="41"/>
        <v>-----------------------</v>
      </c>
    </row>
    <row r="739" spans="1:26" s="239" customFormat="1" ht="174">
      <c r="A739" s="320">
        <v>68.2</v>
      </c>
      <c r="B739" s="290" t="s">
        <v>2164</v>
      </c>
      <c r="C739" s="290" t="s">
        <v>2165</v>
      </c>
      <c r="D739" s="235" t="str">
        <f t="shared" si="40"/>
        <v xml:space="preserve"> OK</v>
      </c>
      <c r="E739" s="254" t="s">
        <v>492</v>
      </c>
      <c r="F739" s="254" t="s">
        <v>1136</v>
      </c>
      <c r="G739" s="298">
        <f>[3]Data!K2285</f>
        <v>932</v>
      </c>
      <c r="H739" s="298" t="s">
        <v>556</v>
      </c>
      <c r="I739" s="300"/>
      <c r="J739" s="300"/>
      <c r="K739" s="270"/>
      <c r="L739" s="301"/>
      <c r="M739" s="270"/>
      <c r="N739" s="270"/>
      <c r="O739" s="270"/>
      <c r="P739" s="270"/>
      <c r="Q739" s="270"/>
      <c r="R739" s="270"/>
      <c r="S739" s="270"/>
      <c r="T739" s="301"/>
      <c r="U739" s="270"/>
      <c r="V739" s="240"/>
      <c r="W739" s="238">
        <f t="shared" si="39"/>
        <v>0</v>
      </c>
      <c r="Y739" s="223" t="str">
        <f>'[4]Development - i'!E738</f>
        <v>Wiring with 1.5 Sqm.m PVC insulated single core multi strand fire retardant flexible copper cable with ISI mark confirming IS: 694:1990 for 5 amps 5 pin plug socket point @ Convenient Places.</v>
      </c>
      <c r="Z739" s="223" t="str">
        <f t="shared" si="41"/>
        <v>-----------------------</v>
      </c>
    </row>
    <row r="740" spans="1:26" s="241" customFormat="1" ht="130.5">
      <c r="A740" s="309">
        <v>70.5</v>
      </c>
      <c r="B740" s="310" t="s">
        <v>1137</v>
      </c>
      <c r="C740" s="310" t="s">
        <v>1137</v>
      </c>
      <c r="D740" s="235" t="str">
        <f t="shared" si="40"/>
        <v xml:space="preserve"> OK</v>
      </c>
      <c r="E740" s="254" t="s">
        <v>1137</v>
      </c>
      <c r="F740" s="254" t="s">
        <v>1138</v>
      </c>
      <c r="G740" s="298"/>
      <c r="H740" s="298" t="s">
        <v>556</v>
      </c>
      <c r="I740" s="300"/>
      <c r="J740" s="300"/>
      <c r="K740" s="270"/>
      <c r="L740" s="301"/>
      <c r="M740" s="270"/>
      <c r="N740" s="270"/>
      <c r="O740" s="270"/>
      <c r="P740" s="270"/>
      <c r="Q740" s="270"/>
      <c r="R740" s="270"/>
      <c r="S740" s="270"/>
      <c r="T740" s="301"/>
      <c r="U740" s="270"/>
      <c r="V740" s="240"/>
      <c r="W740" s="238">
        <f t="shared" si="39"/>
        <v>0</v>
      </c>
      <c r="Y740" s="223" t="str">
        <f>'[4]Development - i'!E739</f>
        <v>S &amp; F of Tube light fitting  (patty  type ) with Electronic ballast and 36 W slim tube light</v>
      </c>
      <c r="Z740" s="223" t="str">
        <f t="shared" si="41"/>
        <v>-----------------------</v>
      </c>
    </row>
    <row r="741" spans="1:26" s="239" customFormat="1" ht="130.5">
      <c r="A741" s="390"/>
      <c r="B741" s="290" t="s">
        <v>2166</v>
      </c>
      <c r="C741" s="290" t="s">
        <v>504</v>
      </c>
      <c r="D741" s="235" t="str">
        <f t="shared" si="40"/>
        <v xml:space="preserve"> OK</v>
      </c>
      <c r="E741" s="254" t="s">
        <v>2167</v>
      </c>
      <c r="F741" s="254" t="s">
        <v>1139</v>
      </c>
      <c r="G741" s="298">
        <f>ROUND([3]Data!K3056,2)</f>
        <v>1284</v>
      </c>
      <c r="H741" s="298" t="s">
        <v>556</v>
      </c>
      <c r="I741" s="300"/>
      <c r="J741" s="300"/>
      <c r="K741" s="270"/>
      <c r="L741" s="301"/>
      <c r="M741" s="270"/>
      <c r="N741" s="270"/>
      <c r="O741" s="270"/>
      <c r="P741" s="270"/>
      <c r="Q741" s="270"/>
      <c r="R741" s="270"/>
      <c r="S741" s="270"/>
      <c r="T741" s="301"/>
      <c r="U741" s="270"/>
      <c r="V741" s="240"/>
      <c r="W741" s="238">
        <f t="shared" si="39"/>
        <v>0</v>
      </c>
      <c r="Y741" s="223" t="str">
        <f>'[4]Development - i'!E740</f>
        <v>Supply and delivery of  48" (1200 mm) Fan with ISI mark with Eletronic Dimmer</v>
      </c>
      <c r="Z741" s="223" t="str">
        <f t="shared" si="41"/>
        <v>-----------------------</v>
      </c>
    </row>
    <row r="742" spans="1:26" s="239" customFormat="1" ht="130.5">
      <c r="A742" s="376"/>
      <c r="B742" s="290" t="s">
        <v>169</v>
      </c>
      <c r="C742" s="290" t="s">
        <v>169</v>
      </c>
      <c r="D742" s="235" t="str">
        <f t="shared" si="40"/>
        <v xml:space="preserve"> OK</v>
      </c>
      <c r="E742" s="254" t="s">
        <v>1140</v>
      </c>
      <c r="F742" s="254" t="s">
        <v>950</v>
      </c>
      <c r="G742" s="298">
        <f>[3]Data!K2301</f>
        <v>219</v>
      </c>
      <c r="H742" s="298" t="s">
        <v>12</v>
      </c>
      <c r="I742" s="300"/>
      <c r="J742" s="300"/>
      <c r="K742" s="270"/>
      <c r="L742" s="301"/>
      <c r="M742" s="270"/>
      <c r="N742" s="270"/>
      <c r="O742" s="270"/>
      <c r="P742" s="270"/>
      <c r="Q742" s="270"/>
      <c r="R742" s="270"/>
      <c r="S742" s="270"/>
      <c r="T742" s="301"/>
      <c r="U742" s="270"/>
      <c r="V742" s="242"/>
      <c r="W742" s="238">
        <f t="shared" si="39"/>
        <v>0</v>
      </c>
      <c r="Y742" s="223" t="str">
        <f>'[4]Development - i'!E741</f>
        <v>Run of 2 Wires of 4 Sqm.m PVC insulated single core multi strand fire retardant flexible copper cable with ISI mark confirming IS: 694:1990.</v>
      </c>
      <c r="Z742" s="223" t="str">
        <f t="shared" si="41"/>
        <v>-----------------------</v>
      </c>
    </row>
    <row r="743" spans="1:26" ht="130.5">
      <c r="A743" s="396">
        <v>77.5</v>
      </c>
      <c r="B743" s="397" t="s">
        <v>168</v>
      </c>
      <c r="C743" s="310" t="s">
        <v>168</v>
      </c>
      <c r="D743" s="235" t="str">
        <f t="shared" si="40"/>
        <v xml:space="preserve"> OK</v>
      </c>
      <c r="E743" s="254" t="s">
        <v>524</v>
      </c>
      <c r="F743" s="254" t="s">
        <v>1141</v>
      </c>
      <c r="G743" s="298">
        <f>ROUND([3]Data!K2300,2)</f>
        <v>172</v>
      </c>
      <c r="H743" s="298" t="s">
        <v>12</v>
      </c>
      <c r="I743" s="299"/>
      <c r="J743" s="300"/>
      <c r="K743" s="270"/>
      <c r="L743" s="301"/>
      <c r="M743" s="270"/>
      <c r="N743" s="270"/>
      <c r="O743" s="270"/>
      <c r="P743" s="270"/>
      <c r="Q743" s="270"/>
      <c r="R743" s="270"/>
      <c r="S743" s="270"/>
      <c r="T743" s="301"/>
      <c r="U743" s="302"/>
      <c r="V743" s="236">
        <f>'[3]Precast Compound wall '!H323</f>
        <v>15</v>
      </c>
      <c r="W743" s="233">
        <f t="shared" si="39"/>
        <v>3285</v>
      </c>
      <c r="Y743" s="223" t="str">
        <f>'[4]Development - i'!E742</f>
        <v>Run of 2 Wires of 1.5 Sqm.m PVC insulated single core multi strand fire retardant flexible copper cable with ISI mark confirming IS: 694:1990.</v>
      </c>
      <c r="Z743" s="223" t="str">
        <f t="shared" si="41"/>
        <v>-----------------------</v>
      </c>
    </row>
    <row r="744" spans="1:26" s="241" customFormat="1" ht="152.25">
      <c r="A744" s="346"/>
      <c r="B744" s="290" t="s">
        <v>2168</v>
      </c>
      <c r="C744" s="290" t="s">
        <v>2168</v>
      </c>
      <c r="D744" s="235" t="str">
        <f t="shared" si="40"/>
        <v xml:space="preserve"> OK</v>
      </c>
      <c r="E744" s="254" t="s">
        <v>526</v>
      </c>
      <c r="F744" s="254" t="s">
        <v>1142</v>
      </c>
      <c r="G744" s="298">
        <f>G1124</f>
        <v>219</v>
      </c>
      <c r="H744" s="298" t="s">
        <v>12</v>
      </c>
      <c r="I744" s="300"/>
      <c r="J744" s="300"/>
      <c r="K744" s="270"/>
      <c r="L744" s="301"/>
      <c r="M744" s="270"/>
      <c r="N744" s="270"/>
      <c r="O744" s="270"/>
      <c r="P744" s="270"/>
      <c r="Q744" s="270"/>
      <c r="R744" s="270"/>
      <c r="S744" s="270"/>
      <c r="T744" s="301"/>
      <c r="U744" s="270"/>
      <c r="V744" s="237"/>
      <c r="W744" s="238">
        <f t="shared" si="39"/>
        <v>0</v>
      </c>
      <c r="Y744" s="223" t="str">
        <f>'[4]Development - i'!E743</f>
        <v>Run of 2 Wires of 2.5 Sqm.m PVC insulated single core multi strand fire retardant flexible copper cable with ISI mark confirming IS: 694:1990</v>
      </c>
      <c r="Z744" s="223" t="str">
        <f t="shared" si="41"/>
        <v>-----------------------</v>
      </c>
    </row>
    <row r="745" spans="1:26" s="241" customFormat="1" ht="130.5">
      <c r="A745" s="346"/>
      <c r="B745" s="306" t="s">
        <v>2014</v>
      </c>
      <c r="C745" s="306" t="s">
        <v>2014</v>
      </c>
      <c r="D745" s="235" t="str">
        <f t="shared" si="40"/>
        <v xml:space="preserve"> OK</v>
      </c>
      <c r="E745" s="254" t="s">
        <v>514</v>
      </c>
      <c r="F745" s="254" t="s">
        <v>950</v>
      </c>
      <c r="G745" s="298">
        <f>ROUND([3]Data!K2301,2)</f>
        <v>219</v>
      </c>
      <c r="H745" s="298"/>
      <c r="I745" s="300"/>
      <c r="J745" s="300"/>
      <c r="K745" s="270"/>
      <c r="L745" s="301"/>
      <c r="M745" s="270"/>
      <c r="N745" s="270"/>
      <c r="O745" s="270"/>
      <c r="P745" s="270"/>
      <c r="Q745" s="270"/>
      <c r="R745" s="270"/>
      <c r="S745" s="270"/>
      <c r="T745" s="301"/>
      <c r="U745" s="270"/>
      <c r="V745" s="237"/>
      <c r="W745" s="238"/>
      <c r="Y745" s="223" t="str">
        <f>'[4]Development - i'!E744</f>
        <v>Run of 2 wires of 4 Sqm.m</v>
      </c>
      <c r="Z745" s="223" t="str">
        <f t="shared" si="41"/>
        <v>-----------------------</v>
      </c>
    </row>
    <row r="746" spans="1:26" s="239" customFormat="1" ht="69.75">
      <c r="A746" s="347"/>
      <c r="B746" s="290" t="s">
        <v>2169</v>
      </c>
      <c r="C746" s="290" t="s">
        <v>1143</v>
      </c>
      <c r="D746" s="235" t="str">
        <f t="shared" si="40"/>
        <v xml:space="preserve"> OK</v>
      </c>
      <c r="E746" s="254" t="s">
        <v>2170</v>
      </c>
      <c r="F746" s="254">
        <v>0</v>
      </c>
      <c r="G746" s="298">
        <f>[3]Elec.Data!K3539</f>
        <v>221</v>
      </c>
      <c r="H746" s="298" t="s">
        <v>12</v>
      </c>
      <c r="I746" s="300"/>
      <c r="J746" s="300"/>
      <c r="K746" s="270"/>
      <c r="L746" s="301"/>
      <c r="M746" s="270"/>
      <c r="N746" s="270"/>
      <c r="O746" s="270"/>
      <c r="P746" s="270"/>
      <c r="Q746" s="270"/>
      <c r="R746" s="270"/>
      <c r="S746" s="270"/>
      <c r="T746" s="301"/>
      <c r="U746" s="270"/>
      <c r="V746" s="240"/>
      <c r="W746" s="238">
        <f t="shared" ref="W746:W809" si="42">ROUND(G747,2)*ROUND(V746,2)</f>
        <v>0</v>
      </c>
      <c r="Y746" s="223" t="str">
        <f>'[4]Development - i'!E745</f>
        <v>4 x 4  Sq mm copper PVC insulated unsheathed single core cable for 3 phase EB service connection</v>
      </c>
      <c r="Z746" s="223" t="str">
        <f t="shared" si="41"/>
        <v>-----------------------</v>
      </c>
    </row>
    <row r="747" spans="1:26" s="241" customFormat="1" ht="46.5">
      <c r="A747" s="348"/>
      <c r="B747" s="398" t="s">
        <v>2171</v>
      </c>
      <c r="C747" s="398" t="s">
        <v>2171</v>
      </c>
      <c r="D747" s="235" t="str">
        <f t="shared" si="40"/>
        <v xml:space="preserve"> OK</v>
      </c>
      <c r="E747" s="254" t="s">
        <v>1144</v>
      </c>
      <c r="F747" s="254">
        <v>0</v>
      </c>
      <c r="G747" s="298">
        <f>[3]Elec.Data!R3119</f>
        <v>403</v>
      </c>
      <c r="H747" s="298" t="s">
        <v>12</v>
      </c>
      <c r="I747" s="300"/>
      <c r="J747" s="300"/>
      <c r="K747" s="270"/>
      <c r="L747" s="301"/>
      <c r="M747" s="270"/>
      <c r="N747" s="270"/>
      <c r="O747" s="270"/>
      <c r="P747" s="270"/>
      <c r="Q747" s="270"/>
      <c r="R747" s="270"/>
      <c r="S747" s="270"/>
      <c r="T747" s="301"/>
      <c r="U747" s="270"/>
      <c r="V747" s="240"/>
      <c r="W747" s="238">
        <f t="shared" si="42"/>
        <v>0</v>
      </c>
      <c r="Y747" s="223" t="str">
        <f>'[4]Development - i'!E746</f>
        <v xml:space="preserve">Run of 4 Wires of 6 Sqm.m PVC insulated single core multi strand </v>
      </c>
      <c r="Z747" s="223" t="str">
        <f t="shared" si="41"/>
        <v>-----------------------</v>
      </c>
    </row>
    <row r="748" spans="1:26" s="241" customFormat="1" ht="46.5">
      <c r="A748" s="348"/>
      <c r="B748" s="398" t="s">
        <v>2172</v>
      </c>
      <c r="C748" s="398" t="s">
        <v>2172</v>
      </c>
      <c r="D748" s="235" t="str">
        <f t="shared" si="40"/>
        <v xml:space="preserve"> OK</v>
      </c>
      <c r="E748" s="254" t="s">
        <v>1145</v>
      </c>
      <c r="F748" s="254">
        <v>0</v>
      </c>
      <c r="G748" s="298">
        <f>[3]Elec.Data!R3133</f>
        <v>518</v>
      </c>
      <c r="H748" s="298" t="s">
        <v>12</v>
      </c>
      <c r="I748" s="300"/>
      <c r="J748" s="300"/>
      <c r="K748" s="270"/>
      <c r="L748" s="301"/>
      <c r="M748" s="270"/>
      <c r="N748" s="270"/>
      <c r="O748" s="270"/>
      <c r="P748" s="270"/>
      <c r="Q748" s="270"/>
      <c r="R748" s="270"/>
      <c r="S748" s="270"/>
      <c r="T748" s="301"/>
      <c r="U748" s="270"/>
      <c r="V748" s="240"/>
      <c r="W748" s="238">
        <f t="shared" si="42"/>
        <v>0</v>
      </c>
      <c r="Y748" s="223" t="str">
        <f>'[4]Development - i'!E747</f>
        <v xml:space="preserve">Run of 4 Wires of 10 Sqm.m PVC insulated single core multi strand </v>
      </c>
      <c r="Z748" s="223" t="str">
        <f t="shared" si="41"/>
        <v>-----------------------</v>
      </c>
    </row>
    <row r="749" spans="1:26" s="239" customFormat="1" ht="108.75">
      <c r="A749" s="320">
        <v>112.1</v>
      </c>
      <c r="B749" s="290" t="s">
        <v>1147</v>
      </c>
      <c r="C749" s="290" t="s">
        <v>1147</v>
      </c>
      <c r="D749" s="235" t="str">
        <f t="shared" si="40"/>
        <v xml:space="preserve"> OK</v>
      </c>
      <c r="E749" s="254" t="s">
        <v>1147</v>
      </c>
      <c r="F749" s="254" t="s">
        <v>1148</v>
      </c>
      <c r="G749" s="298">
        <f>[3]Data!K3036</f>
        <v>1768</v>
      </c>
      <c r="H749" s="298" t="s">
        <v>556</v>
      </c>
      <c r="I749" s="300"/>
      <c r="J749" s="300"/>
      <c r="K749" s="270"/>
      <c r="L749" s="301"/>
      <c r="M749" s="270"/>
      <c r="N749" s="270"/>
      <c r="O749" s="270"/>
      <c r="P749" s="270"/>
      <c r="Q749" s="270"/>
      <c r="R749" s="270"/>
      <c r="S749" s="270"/>
      <c r="T749" s="301"/>
      <c r="U749" s="270"/>
      <c r="V749" s="240"/>
      <c r="W749" s="238">
        <f t="shared" si="42"/>
        <v>0</v>
      </c>
      <c r="Y749" s="223" t="str">
        <f>'[4]Development - i'!E748</f>
        <v>S &amp; F of Exsaust Fan 225mm dia</v>
      </c>
      <c r="Z749" s="223" t="str">
        <f t="shared" si="41"/>
        <v>-----------------------</v>
      </c>
    </row>
    <row r="750" spans="1:26" s="241" customFormat="1">
      <c r="A750" s="309"/>
      <c r="B750" s="317" t="s">
        <v>1149</v>
      </c>
      <c r="C750" s="317" t="s">
        <v>1149</v>
      </c>
      <c r="D750" s="235" t="str">
        <f t="shared" si="40"/>
        <v xml:space="preserve"> OK</v>
      </c>
      <c r="E750" s="254" t="s">
        <v>1149</v>
      </c>
      <c r="F750" s="254">
        <v>0</v>
      </c>
      <c r="G750" s="298"/>
      <c r="H750" s="298"/>
      <c r="I750" s="300"/>
      <c r="J750" s="300"/>
      <c r="K750" s="270"/>
      <c r="L750" s="301"/>
      <c r="M750" s="270"/>
      <c r="N750" s="270"/>
      <c r="O750" s="270"/>
      <c r="P750" s="270"/>
      <c r="Q750" s="270"/>
      <c r="R750" s="270"/>
      <c r="S750" s="270"/>
      <c r="T750" s="301"/>
      <c r="U750" s="270"/>
      <c r="V750" s="240"/>
      <c r="W750" s="238">
        <f t="shared" si="42"/>
        <v>0</v>
      </c>
      <c r="Y750" s="223" t="str">
        <f>'[4]Development - i'!E749</f>
        <v>Compact Fluoresent Lamp (CFL)</v>
      </c>
      <c r="Z750" s="223" t="str">
        <f t="shared" si="41"/>
        <v>-----------------------</v>
      </c>
    </row>
    <row r="751" spans="1:26" s="241" customFormat="1">
      <c r="A751" s="305"/>
      <c r="B751" s="306" t="s">
        <v>1150</v>
      </c>
      <c r="C751" s="306" t="s">
        <v>1150</v>
      </c>
      <c r="D751" s="235" t="str">
        <f t="shared" si="40"/>
        <v xml:space="preserve"> OK</v>
      </c>
      <c r="E751" s="254" t="s">
        <v>1150</v>
      </c>
      <c r="F751" s="254">
        <v>0</v>
      </c>
      <c r="G751" s="298">
        <f>ROUND([3]Data!K3049,2)</f>
        <v>130</v>
      </c>
      <c r="H751" s="298" t="s">
        <v>556</v>
      </c>
      <c r="I751" s="300"/>
      <c r="J751" s="300"/>
      <c r="K751" s="270"/>
      <c r="L751" s="301"/>
      <c r="M751" s="270"/>
      <c r="N751" s="270"/>
      <c r="O751" s="270"/>
      <c r="P751" s="270"/>
      <c r="Q751" s="270"/>
      <c r="R751" s="270"/>
      <c r="S751" s="270"/>
      <c r="T751" s="301"/>
      <c r="U751" s="270"/>
      <c r="V751" s="240"/>
      <c r="W751" s="238">
        <f t="shared" si="42"/>
        <v>0</v>
      </c>
      <c r="Y751" s="223" t="str">
        <f>'[4]Development - i'!E750</f>
        <v>a. 14W bulb for Bath &amp; WC</v>
      </c>
      <c r="Z751" s="223" t="str">
        <f t="shared" si="41"/>
        <v>-----------------------</v>
      </c>
    </row>
    <row r="752" spans="1:26" s="241" customFormat="1">
      <c r="A752" s="305"/>
      <c r="B752" s="306" t="s">
        <v>1151</v>
      </c>
      <c r="C752" s="306" t="s">
        <v>1151</v>
      </c>
      <c r="D752" s="235" t="str">
        <f t="shared" si="40"/>
        <v xml:space="preserve"> OK</v>
      </c>
      <c r="E752" s="254" t="s">
        <v>1151</v>
      </c>
      <c r="F752" s="254">
        <v>0</v>
      </c>
      <c r="G752" s="298">
        <f>[3]Data!K3051</f>
        <v>170</v>
      </c>
      <c r="H752" s="298" t="s">
        <v>556</v>
      </c>
      <c r="I752" s="300"/>
      <c r="J752" s="300"/>
      <c r="K752" s="270"/>
      <c r="L752" s="301"/>
      <c r="M752" s="270"/>
      <c r="N752" s="270"/>
      <c r="O752" s="270"/>
      <c r="P752" s="270"/>
      <c r="Q752" s="270"/>
      <c r="R752" s="270"/>
      <c r="S752" s="270"/>
      <c r="T752" s="301"/>
      <c r="U752" s="270"/>
      <c r="V752" s="240"/>
      <c r="W752" s="238">
        <f t="shared" si="42"/>
        <v>0</v>
      </c>
      <c r="Y752" s="223" t="str">
        <f>'[4]Development - i'!E751</f>
        <v>b. 18w bulb for Bulk Head fittings</v>
      </c>
      <c r="Z752" s="223" t="str">
        <f t="shared" si="41"/>
        <v>-----------------------</v>
      </c>
    </row>
    <row r="753" spans="1:26" s="241" customFormat="1">
      <c r="A753" s="305"/>
      <c r="B753" s="306" t="s">
        <v>1152</v>
      </c>
      <c r="C753" s="306" t="s">
        <v>1152</v>
      </c>
      <c r="D753" s="235" t="str">
        <f t="shared" si="40"/>
        <v xml:space="preserve"> OK</v>
      </c>
      <c r="E753" s="254" t="s">
        <v>1152</v>
      </c>
      <c r="F753" s="254">
        <v>0</v>
      </c>
      <c r="G753" s="298">
        <f>[3]Data!K3054</f>
        <v>443</v>
      </c>
      <c r="H753" s="298" t="s">
        <v>556</v>
      </c>
      <c r="I753" s="300"/>
      <c r="J753" s="300"/>
      <c r="K753" s="270"/>
      <c r="L753" s="301"/>
      <c r="M753" s="270"/>
      <c r="N753" s="270"/>
      <c r="O753" s="270"/>
      <c r="P753" s="270"/>
      <c r="Q753" s="270"/>
      <c r="R753" s="270"/>
      <c r="S753" s="270"/>
      <c r="T753" s="301"/>
      <c r="U753" s="270"/>
      <c r="V753" s="240"/>
      <c r="W753" s="238">
        <f t="shared" si="42"/>
        <v>0</v>
      </c>
      <c r="Y753" s="223" t="str">
        <f>'[4]Development - i'!E752</f>
        <v>S &amp; F of Bulk head fitting suitable for CFL</v>
      </c>
      <c r="Z753" s="223" t="str">
        <f t="shared" si="41"/>
        <v>-----------------------</v>
      </c>
    </row>
    <row r="754" spans="1:26" ht="46.5">
      <c r="A754" s="320">
        <v>44.2</v>
      </c>
      <c r="B754" s="316" t="s">
        <v>549</v>
      </c>
      <c r="C754" s="316" t="s">
        <v>549</v>
      </c>
      <c r="D754" s="235" t="str">
        <f t="shared" si="40"/>
        <v xml:space="preserve"> OK</v>
      </c>
      <c r="E754" s="254" t="s">
        <v>549</v>
      </c>
      <c r="F754" s="254">
        <v>0</v>
      </c>
      <c r="G754" s="298"/>
      <c r="H754" s="298"/>
      <c r="I754" s="300"/>
      <c r="J754" s="300"/>
      <c r="K754" s="270"/>
      <c r="L754" s="301"/>
      <c r="M754" s="270"/>
      <c r="N754" s="270"/>
      <c r="O754" s="270"/>
      <c r="P754" s="270"/>
      <c r="Q754" s="270"/>
      <c r="R754" s="270"/>
      <c r="S754" s="270"/>
      <c r="T754" s="301"/>
      <c r="U754" s="270"/>
      <c r="V754" s="240"/>
      <c r="W754" s="238">
        <f t="shared" si="42"/>
        <v>0</v>
      </c>
      <c r="Y754" s="223" t="str">
        <f>'[4]Development - i'!E753</f>
        <v>Rain water harvesting using defunct borewell and providing perforated cover slab</v>
      </c>
      <c r="Z754" s="223" t="str">
        <f t="shared" si="41"/>
        <v>-----------------------</v>
      </c>
    </row>
    <row r="755" spans="1:26" s="239" customFormat="1" ht="130.5">
      <c r="A755" s="320"/>
      <c r="B755" s="290" t="s">
        <v>2173</v>
      </c>
      <c r="C755" s="290" t="s">
        <v>2173</v>
      </c>
      <c r="D755" s="235" t="str">
        <f t="shared" si="40"/>
        <v xml:space="preserve"> OK</v>
      </c>
      <c r="E755" s="254" t="s">
        <v>2174</v>
      </c>
      <c r="F755" s="254" t="s">
        <v>1153</v>
      </c>
      <c r="G755" s="298">
        <f>[3]Data!R2368</f>
        <v>1791.9</v>
      </c>
      <c r="H755" s="298" t="s">
        <v>556</v>
      </c>
      <c r="I755" s="300"/>
      <c r="J755" s="300"/>
      <c r="K755" s="270"/>
      <c r="L755" s="301"/>
      <c r="M755" s="270"/>
      <c r="N755" s="270"/>
      <c r="O755" s="270"/>
      <c r="P755" s="270"/>
      <c r="Q755" s="270"/>
      <c r="R755" s="270"/>
      <c r="S755" s="270"/>
      <c r="T755" s="301"/>
      <c r="U755" s="270"/>
      <c r="V755" s="240"/>
      <c r="W755" s="238">
        <f t="shared" si="42"/>
        <v>0</v>
      </c>
      <c r="Y755" s="223" t="str">
        <f>'[4]Development - i'!E754</f>
        <v>a). Providing pit Rain water harvesting using defunct borewell and providing perforated cover slab</v>
      </c>
      <c r="Z755" s="223" t="str">
        <f t="shared" si="41"/>
        <v>-----------------------</v>
      </c>
    </row>
    <row r="756" spans="1:26" s="239" customFormat="1" ht="87">
      <c r="A756" s="320"/>
      <c r="B756" s="290" t="s">
        <v>2175</v>
      </c>
      <c r="C756" s="290" t="s">
        <v>2175</v>
      </c>
      <c r="D756" s="235" t="str">
        <f t="shared" si="40"/>
        <v xml:space="preserve"> OK</v>
      </c>
      <c r="E756" s="254" t="s">
        <v>2176</v>
      </c>
      <c r="F756" s="254" t="s">
        <v>1154</v>
      </c>
      <c r="G756" s="298">
        <f>[3]Data!R2375</f>
        <v>398.31</v>
      </c>
      <c r="H756" s="298" t="s">
        <v>12</v>
      </c>
      <c r="I756" s="300"/>
      <c r="J756" s="300"/>
      <c r="K756" s="270"/>
      <c r="L756" s="301"/>
      <c r="M756" s="270"/>
      <c r="N756" s="270"/>
      <c r="O756" s="270"/>
      <c r="P756" s="270"/>
      <c r="Q756" s="270"/>
      <c r="R756" s="270"/>
      <c r="S756" s="270"/>
      <c r="T756" s="301"/>
      <c r="U756" s="270"/>
      <c r="V756" s="240"/>
      <c r="W756" s="238">
        <f t="shared" si="42"/>
        <v>0</v>
      </c>
      <c r="Y756" s="223" t="str">
        <f>'[4]Development - i'!E755</f>
        <v>b) Augering 30cm dia Rain water harvesting using defunct borewell and providing perforated cover slab</v>
      </c>
      <c r="Z756" s="223" t="str">
        <f t="shared" si="41"/>
        <v>-----------------------</v>
      </c>
    </row>
    <row r="757" spans="1:26" s="241" customFormat="1" ht="46.5">
      <c r="A757" s="309">
        <v>257.10000000000002</v>
      </c>
      <c r="B757" s="310" t="s">
        <v>1155</v>
      </c>
      <c r="C757" s="310" t="s">
        <v>1155</v>
      </c>
      <c r="D757" s="235" t="str">
        <f t="shared" si="40"/>
        <v xml:space="preserve"> OK</v>
      </c>
      <c r="E757" s="254" t="s">
        <v>1155</v>
      </c>
      <c r="F757" s="254">
        <v>0</v>
      </c>
      <c r="G757" s="298">
        <f>ROUND([3]Data!K2721,2)</f>
        <v>216.58</v>
      </c>
      <c r="H757" s="298" t="s">
        <v>12</v>
      </c>
      <c r="I757" s="300"/>
      <c r="J757" s="300"/>
      <c r="K757" s="270"/>
      <c r="L757" s="301"/>
      <c r="M757" s="270"/>
      <c r="N757" s="270"/>
      <c r="O757" s="270"/>
      <c r="P757" s="270"/>
      <c r="Q757" s="270"/>
      <c r="R757" s="270"/>
      <c r="S757" s="270"/>
      <c r="T757" s="301"/>
      <c r="U757" s="270"/>
      <c r="V757" s="240"/>
      <c r="W757" s="238">
        <f t="shared" si="42"/>
        <v>0</v>
      </c>
      <c r="Y757" s="223" t="str">
        <f>'[4]Development - i'!E756</f>
        <v>S&amp;F of M.S. Angle of size 35x35x5mm for staircase steps</v>
      </c>
      <c r="Z757" s="223" t="str">
        <f t="shared" si="41"/>
        <v>-----------------------</v>
      </c>
    </row>
    <row r="758" spans="1:26" s="239" customFormat="1" ht="87">
      <c r="A758" s="347">
        <v>344.2</v>
      </c>
      <c r="B758" s="290" t="s">
        <v>546</v>
      </c>
      <c r="C758" s="290" t="s">
        <v>546</v>
      </c>
      <c r="D758" s="235" t="str">
        <f t="shared" si="40"/>
        <v xml:space="preserve"> OK</v>
      </c>
      <c r="E758" s="254" t="s">
        <v>546</v>
      </c>
      <c r="F758" s="254" t="s">
        <v>1156</v>
      </c>
      <c r="G758" s="298">
        <f>ROUND([3]Data!K3032,2)</f>
        <v>375.7</v>
      </c>
      <c r="H758" s="298" t="s">
        <v>556</v>
      </c>
      <c r="I758" s="300"/>
      <c r="J758" s="300"/>
      <c r="K758" s="270"/>
      <c r="L758" s="301"/>
      <c r="M758" s="270"/>
      <c r="N758" s="270"/>
      <c r="O758" s="270"/>
      <c r="P758" s="270"/>
      <c r="Q758" s="270"/>
      <c r="R758" s="270"/>
      <c r="S758" s="270"/>
      <c r="T758" s="301"/>
      <c r="U758" s="270"/>
      <c r="V758" s="240"/>
      <c r="W758" s="238">
        <f t="shared" si="42"/>
        <v>0</v>
      </c>
      <c r="Y758" s="223" t="str">
        <f>'[4]Development - i'!E757</f>
        <v>S&amp;F of Bevelled edge mirror 500 x 400 x 5.5mm</v>
      </c>
      <c r="Z758" s="223" t="str">
        <f t="shared" si="41"/>
        <v>-----------------------</v>
      </c>
    </row>
    <row r="759" spans="1:26" s="239" customFormat="1" ht="108.75">
      <c r="A759" s="399">
        <v>383</v>
      </c>
      <c r="B759" s="322" t="s">
        <v>1157</v>
      </c>
      <c r="C759" s="322" t="s">
        <v>1157</v>
      </c>
      <c r="D759" s="235" t="str">
        <f t="shared" si="40"/>
        <v xml:space="preserve"> OK</v>
      </c>
      <c r="E759" s="254" t="s">
        <v>1157</v>
      </c>
      <c r="F759" s="254" t="s">
        <v>1158</v>
      </c>
      <c r="G759" s="298">
        <f>[3]Data!C778</f>
        <v>1000</v>
      </c>
      <c r="H759" s="298" t="s">
        <v>556</v>
      </c>
      <c r="I759" s="300"/>
      <c r="J759" s="300"/>
      <c r="K759" s="270"/>
      <c r="L759" s="301"/>
      <c r="M759" s="270"/>
      <c r="N759" s="270"/>
      <c r="O759" s="270"/>
      <c r="P759" s="270"/>
      <c r="Q759" s="270"/>
      <c r="R759" s="270"/>
      <c r="S759" s="270"/>
      <c r="T759" s="301"/>
      <c r="U759" s="270"/>
      <c r="V759" s="240"/>
      <c r="W759" s="238">
        <f t="shared" si="42"/>
        <v>0</v>
      </c>
      <c r="Y759" s="223" t="str">
        <f>'[4]Development - i'!E758</f>
        <v>S&amp;F of Cuddapah sink 600 x 600 x 200mm</v>
      </c>
      <c r="Z759" s="223" t="str">
        <f t="shared" si="41"/>
        <v>-----------------------</v>
      </c>
    </row>
    <row r="760" spans="1:26" s="241" customFormat="1" ht="65.25">
      <c r="A760" s="305">
        <v>383.1</v>
      </c>
      <c r="B760" s="306" t="s">
        <v>2177</v>
      </c>
      <c r="C760" s="306" t="s">
        <v>2177</v>
      </c>
      <c r="D760" s="235" t="str">
        <f t="shared" si="40"/>
        <v xml:space="preserve"> OK</v>
      </c>
      <c r="E760" s="254" t="s">
        <v>1159</v>
      </c>
      <c r="F760" s="254" t="s">
        <v>1160</v>
      </c>
      <c r="G760" s="298">
        <v>191.9</v>
      </c>
      <c r="H760" s="298" t="s">
        <v>12</v>
      </c>
      <c r="I760" s="300"/>
      <c r="J760" s="300"/>
      <c r="K760" s="270"/>
      <c r="L760" s="301"/>
      <c r="M760" s="270"/>
      <c r="N760" s="270"/>
      <c r="O760" s="270"/>
      <c r="P760" s="270"/>
      <c r="Q760" s="270"/>
      <c r="R760" s="270"/>
      <c r="S760" s="270"/>
      <c r="T760" s="301"/>
      <c r="U760" s="270"/>
      <c r="V760" s="240"/>
      <c r="W760" s="238">
        <f t="shared" si="42"/>
        <v>0</v>
      </c>
      <c r="Y760" s="223" t="str">
        <f>'[4]Development - i'!E759</f>
        <v>Providing nosing to the edges of Granite slab</v>
      </c>
      <c r="Z760" s="223" t="str">
        <f t="shared" si="41"/>
        <v>-----------------------</v>
      </c>
    </row>
    <row r="761" spans="1:26" s="241" customFormat="1" ht="46.5">
      <c r="A761" s="309"/>
      <c r="B761" s="310" t="s">
        <v>1161</v>
      </c>
      <c r="C761" s="310" t="s">
        <v>1161</v>
      </c>
      <c r="D761" s="235" t="str">
        <f t="shared" si="40"/>
        <v xml:space="preserve"> OK</v>
      </c>
      <c r="E761" s="254" t="s">
        <v>1161</v>
      </c>
      <c r="F761" s="254">
        <v>0</v>
      </c>
      <c r="G761" s="298">
        <f>[3]Data!R1930</f>
        <v>256.5</v>
      </c>
      <c r="H761" s="298"/>
      <c r="I761" s="300"/>
      <c r="J761" s="300"/>
      <c r="K761" s="270"/>
      <c r="L761" s="301"/>
      <c r="M761" s="270"/>
      <c r="N761" s="270"/>
      <c r="O761" s="270"/>
      <c r="P761" s="270"/>
      <c r="Q761" s="270"/>
      <c r="R761" s="270"/>
      <c r="S761" s="270"/>
      <c r="T761" s="301"/>
      <c r="U761" s="270"/>
      <c r="V761" s="240"/>
      <c r="W761" s="238">
        <f t="shared" si="42"/>
        <v>0</v>
      </c>
      <c r="Y761" s="223" t="str">
        <f>'[4]Development - i'!E760</f>
        <v>Supply and fixing of PVC water supply (ASTM)a.50mm dia</v>
      </c>
      <c r="Z761" s="223" t="str">
        <f t="shared" si="41"/>
        <v>ERRR</v>
      </c>
    </row>
    <row r="762" spans="1:26" s="239" customFormat="1" ht="108.75">
      <c r="A762" s="386">
        <v>384</v>
      </c>
      <c r="B762" s="290" t="s">
        <v>1162</v>
      </c>
      <c r="C762" s="290" t="s">
        <v>1162</v>
      </c>
      <c r="D762" s="235" t="str">
        <f t="shared" si="40"/>
        <v xml:space="preserve"> OK</v>
      </c>
      <c r="E762" s="254" t="s">
        <v>1162</v>
      </c>
      <c r="F762" s="254" t="s">
        <v>1163</v>
      </c>
      <c r="G762" s="298">
        <f>[3]Data!K3064</f>
        <v>1460.73</v>
      </c>
      <c r="H762" s="298" t="s">
        <v>556</v>
      </c>
      <c r="I762" s="300"/>
      <c r="J762" s="300"/>
      <c r="K762" s="270"/>
      <c r="L762" s="301"/>
      <c r="M762" s="270"/>
      <c r="N762" s="270"/>
      <c r="O762" s="270"/>
      <c r="P762" s="270"/>
      <c r="Q762" s="270"/>
      <c r="R762" s="270"/>
      <c r="S762" s="270"/>
      <c r="T762" s="301"/>
      <c r="U762" s="270"/>
      <c r="V762" s="240"/>
      <c r="W762" s="238">
        <f t="shared" si="42"/>
        <v>0</v>
      </c>
      <c r="Y762" s="223" t="str">
        <f>'[4]Development - i'!E761</f>
        <v>S&amp;F of PVC flushing cistern</v>
      </c>
      <c r="Z762" s="223" t="str">
        <f t="shared" si="41"/>
        <v>-----------------------</v>
      </c>
    </row>
    <row r="763" spans="1:26" s="241" customFormat="1" ht="65.25">
      <c r="A763" s="345">
        <v>385</v>
      </c>
      <c r="B763" s="306" t="s">
        <v>1164</v>
      </c>
      <c r="C763" s="306" t="s">
        <v>1164</v>
      </c>
      <c r="D763" s="235" t="str">
        <f t="shared" si="40"/>
        <v xml:space="preserve"> OK</v>
      </c>
      <c r="E763" s="254" t="s">
        <v>1164</v>
      </c>
      <c r="F763" s="254" t="s">
        <v>1165</v>
      </c>
      <c r="G763" s="298">
        <f>ROUND([3]Data!K2708,2)</f>
        <v>722.17</v>
      </c>
      <c r="H763" s="298" t="s">
        <v>556</v>
      </c>
      <c r="I763" s="300"/>
      <c r="J763" s="300"/>
      <c r="K763" s="270"/>
      <c r="L763" s="301"/>
      <c r="M763" s="270"/>
      <c r="N763" s="270"/>
      <c r="O763" s="270"/>
      <c r="P763" s="270"/>
      <c r="Q763" s="270"/>
      <c r="R763" s="270"/>
      <c r="S763" s="270"/>
      <c r="T763" s="301"/>
      <c r="U763" s="270"/>
      <c r="V763" s="240"/>
      <c r="W763" s="238">
        <f t="shared" si="42"/>
        <v>0</v>
      </c>
      <c r="Y763" s="223" t="str">
        <f>'[4]Development - i'!E762</f>
        <v>S&amp;F of cloth drying arrangement</v>
      </c>
      <c r="Z763" s="223" t="str">
        <f t="shared" si="41"/>
        <v>-----------------------</v>
      </c>
    </row>
    <row r="764" spans="1:26" s="241" customFormat="1">
      <c r="A764" s="305">
        <v>238.1</v>
      </c>
      <c r="B764" s="306" t="s">
        <v>2178</v>
      </c>
      <c r="C764" s="306" t="s">
        <v>1166</v>
      </c>
      <c r="D764" s="235" t="str">
        <f t="shared" si="40"/>
        <v xml:space="preserve"> OK</v>
      </c>
      <c r="E764" s="254" t="s">
        <v>2179</v>
      </c>
      <c r="F764" s="254">
        <v>0</v>
      </c>
      <c r="G764" s="298">
        <f>ROUND([3]Data!K2796,2)</f>
        <v>2489.63</v>
      </c>
      <c r="H764" s="298" t="s">
        <v>22</v>
      </c>
      <c r="I764" s="300"/>
      <c r="J764" s="300"/>
      <c r="K764" s="270"/>
      <c r="L764" s="301"/>
      <c r="M764" s="270"/>
      <c r="N764" s="301"/>
      <c r="O764" s="270"/>
      <c r="P764" s="270"/>
      <c r="Q764" s="270"/>
      <c r="R764" s="270"/>
      <c r="S764" s="270"/>
      <c r="T764" s="301"/>
      <c r="U764" s="270"/>
      <c r="V764" s="240"/>
      <c r="W764" s="238">
        <f t="shared" si="42"/>
        <v>0</v>
      </c>
      <c r="Y764" s="223" t="str">
        <f>'[4]Development - i'!E763</f>
        <v>Anticorrosive treatment for window grills</v>
      </c>
      <c r="Z764" s="223" t="str">
        <f t="shared" si="41"/>
        <v>-----------------------</v>
      </c>
    </row>
    <row r="765" spans="1:26" s="239" customFormat="1" ht="65.25">
      <c r="A765" s="320">
        <v>71.2</v>
      </c>
      <c r="B765" s="290" t="s">
        <v>506</v>
      </c>
      <c r="C765" s="290" t="s">
        <v>506</v>
      </c>
      <c r="D765" s="235" t="str">
        <f t="shared" si="40"/>
        <v xml:space="preserve"> OK</v>
      </c>
      <c r="E765" s="254" t="s">
        <v>506</v>
      </c>
      <c r="F765" s="254" t="s">
        <v>1167</v>
      </c>
      <c r="G765" s="298">
        <f>[3]Elec.Data!K3210</f>
        <v>2007</v>
      </c>
      <c r="H765" s="298" t="s">
        <v>556</v>
      </c>
      <c r="I765" s="300"/>
      <c r="J765" s="300"/>
      <c r="K765" s="270"/>
      <c r="L765" s="301"/>
      <c r="M765" s="270"/>
      <c r="N765" s="270"/>
      <c r="O765" s="270"/>
      <c r="P765" s="270"/>
      <c r="Q765" s="270"/>
      <c r="R765" s="270"/>
      <c r="S765" s="270"/>
      <c r="T765" s="301"/>
      <c r="U765" s="270"/>
      <c r="V765" s="240"/>
      <c r="W765" s="238">
        <f t="shared" si="42"/>
        <v>0</v>
      </c>
      <c r="Y765" s="223" t="str">
        <f>'[4]Development - i'!E764</f>
        <v>Supplying and fixing of 32 AMPS Triple pole main switch</v>
      </c>
      <c r="Z765" s="223" t="str">
        <f t="shared" si="41"/>
        <v>-----------------------</v>
      </c>
    </row>
    <row r="766" spans="1:26" s="239" customFormat="1" ht="87">
      <c r="A766" s="320">
        <v>80.099999999999994</v>
      </c>
      <c r="B766" s="290" t="s">
        <v>1168</v>
      </c>
      <c r="C766" s="290" t="s">
        <v>1168</v>
      </c>
      <c r="D766" s="235" t="str">
        <f t="shared" si="40"/>
        <v xml:space="preserve"> OK</v>
      </c>
      <c r="E766" s="254" t="s">
        <v>1168</v>
      </c>
      <c r="F766" s="254" t="s">
        <v>1169</v>
      </c>
      <c r="G766" s="298">
        <f>G1106</f>
        <v>165</v>
      </c>
      <c r="H766" s="298" t="s">
        <v>556</v>
      </c>
      <c r="I766" s="300"/>
      <c r="J766" s="300"/>
      <c r="K766" s="270"/>
      <c r="L766" s="301"/>
      <c r="M766" s="270"/>
      <c r="N766" s="270"/>
      <c r="O766" s="270"/>
      <c r="P766" s="270"/>
      <c r="Q766" s="270"/>
      <c r="R766" s="270"/>
      <c r="S766" s="270"/>
      <c r="T766" s="301"/>
      <c r="U766" s="270"/>
      <c r="V766" s="240"/>
      <c r="W766" s="238">
        <f t="shared" si="42"/>
        <v>0</v>
      </c>
      <c r="Y766" s="223" t="str">
        <f>'[4]Development - i'!E765</f>
        <v>450 x 375 x 20 mm   thick TW plank</v>
      </c>
      <c r="Z766" s="223" t="str">
        <f t="shared" si="41"/>
        <v>-----------------------</v>
      </c>
    </row>
    <row r="767" spans="1:26" s="241" customFormat="1" ht="65.25">
      <c r="A767" s="309"/>
      <c r="B767" s="310" t="s">
        <v>1170</v>
      </c>
      <c r="C767" s="310" t="s">
        <v>1170</v>
      </c>
      <c r="D767" s="235" t="str">
        <f t="shared" si="40"/>
        <v xml:space="preserve"> OK</v>
      </c>
      <c r="E767" s="254" t="s">
        <v>1170</v>
      </c>
      <c r="F767" s="254" t="s">
        <v>1171</v>
      </c>
      <c r="G767" s="298">
        <f>[3]Elec.Data!K3419</f>
        <v>725</v>
      </c>
      <c r="H767" s="298" t="s">
        <v>556</v>
      </c>
      <c r="I767" s="300"/>
      <c r="J767" s="300"/>
      <c r="K767" s="270"/>
      <c r="L767" s="301"/>
      <c r="M767" s="270"/>
      <c r="N767" s="270"/>
      <c r="O767" s="270"/>
      <c r="P767" s="270"/>
      <c r="Q767" s="270"/>
      <c r="R767" s="270"/>
      <c r="S767" s="270"/>
      <c r="T767" s="301"/>
      <c r="U767" s="270"/>
      <c r="V767" s="240"/>
      <c r="W767" s="238">
        <f t="shared" si="42"/>
        <v>0</v>
      </c>
      <c r="Y767" s="223" t="str">
        <f>'[4]Development - i'!E766</f>
        <v>3 Nos.of 32Amps - Fuse Unit</v>
      </c>
      <c r="Z767" s="223" t="str">
        <f t="shared" si="41"/>
        <v>-----------------------</v>
      </c>
    </row>
    <row r="768" spans="1:26" s="241" customFormat="1" ht="65.25">
      <c r="A768" s="305"/>
      <c r="B768" s="306" t="s">
        <v>1172</v>
      </c>
      <c r="C768" s="306" t="s">
        <v>1172</v>
      </c>
      <c r="D768" s="235" t="str">
        <f t="shared" si="40"/>
        <v xml:space="preserve"> OK</v>
      </c>
      <c r="E768" s="254" t="s">
        <v>1172</v>
      </c>
      <c r="F768" s="254" t="s">
        <v>1173</v>
      </c>
      <c r="G768" s="298">
        <f>[3]Elec.Data!K3400</f>
        <v>466</v>
      </c>
      <c r="H768" s="298" t="s">
        <v>556</v>
      </c>
      <c r="I768" s="300"/>
      <c r="J768" s="300"/>
      <c r="K768" s="270"/>
      <c r="L768" s="301"/>
      <c r="M768" s="270"/>
      <c r="N768" s="270"/>
      <c r="O768" s="270"/>
      <c r="P768" s="270"/>
      <c r="Q768" s="270"/>
      <c r="R768" s="270"/>
      <c r="S768" s="270"/>
      <c r="T768" s="301"/>
      <c r="U768" s="270"/>
      <c r="V768" s="240"/>
      <c r="W768" s="238">
        <f t="shared" si="42"/>
        <v>0</v>
      </c>
      <c r="Y768" s="223" t="str">
        <f>'[4]Development - i'!E767</f>
        <v>1 Nos.of 32Amps - Fuse Unit</v>
      </c>
      <c r="Z768" s="223" t="str">
        <f t="shared" si="41"/>
        <v>-----------------------</v>
      </c>
    </row>
    <row r="769" spans="1:26" s="239" customFormat="1" ht="152.25">
      <c r="A769" s="320">
        <v>87.1</v>
      </c>
      <c r="B769" s="290" t="str">
        <f>B1139</f>
        <v>Supplying and delivery of Three phase ELCB/RCCB</v>
      </c>
      <c r="C769" s="290" t="s">
        <v>1174</v>
      </c>
      <c r="D769" s="235" t="str">
        <f t="shared" si="40"/>
        <v xml:space="preserve"> OK</v>
      </c>
      <c r="E769" s="254" t="s">
        <v>1174</v>
      </c>
      <c r="F769" s="254" t="s">
        <v>1175</v>
      </c>
      <c r="G769" s="298">
        <f>[3]Elec.Data!K3468</f>
        <v>2870</v>
      </c>
      <c r="H769" s="298" t="s">
        <v>556</v>
      </c>
      <c r="I769" s="300"/>
      <c r="J769" s="300"/>
      <c r="K769" s="270"/>
      <c r="L769" s="301"/>
      <c r="M769" s="270"/>
      <c r="N769" s="270"/>
      <c r="O769" s="270"/>
      <c r="P769" s="270"/>
      <c r="Q769" s="270"/>
      <c r="R769" s="270"/>
      <c r="S769" s="270"/>
      <c r="T769" s="301"/>
      <c r="U769" s="270"/>
      <c r="V769" s="240"/>
      <c r="W769" s="238">
        <f t="shared" si="42"/>
        <v>0</v>
      </c>
      <c r="Y769" s="223" t="str">
        <f>'[4]Development - i'!E768</f>
        <v>Supplying and delivery of Three phase ELCB/RCCB</v>
      </c>
      <c r="Z769" s="223" t="str">
        <f t="shared" si="41"/>
        <v>-----------------------</v>
      </c>
    </row>
    <row r="770" spans="1:26" s="241" customFormat="1" ht="43.5">
      <c r="A770" s="309"/>
      <c r="B770" s="310" t="s">
        <v>1176</v>
      </c>
      <c r="C770" s="310" t="s">
        <v>1176</v>
      </c>
      <c r="D770" s="235" t="str">
        <f t="shared" si="40"/>
        <v xml:space="preserve"> OK</v>
      </c>
      <c r="E770" s="254" t="s">
        <v>1176</v>
      </c>
      <c r="F770" s="254" t="s">
        <v>1177</v>
      </c>
      <c r="G770" s="298">
        <f>G1143</f>
        <v>228.93</v>
      </c>
      <c r="H770" s="298" t="s">
        <v>12</v>
      </c>
      <c r="I770" s="300"/>
      <c r="J770" s="300"/>
      <c r="K770" s="270"/>
      <c r="L770" s="301"/>
      <c r="M770" s="270"/>
      <c r="N770" s="270"/>
      <c r="O770" s="270"/>
      <c r="P770" s="270"/>
      <c r="Q770" s="270"/>
      <c r="R770" s="270"/>
      <c r="S770" s="270"/>
      <c r="T770" s="301"/>
      <c r="U770" s="270"/>
      <c r="V770" s="240"/>
      <c r="W770" s="238">
        <f t="shared" si="42"/>
        <v>0</v>
      </c>
      <c r="Y770" s="223" t="str">
        <f>'[4]Development - i'!E769</f>
        <v>Supply of G.I pipe 40mm dia 'B' Class</v>
      </c>
      <c r="Z770" s="223" t="str">
        <f t="shared" si="41"/>
        <v>-----------------------</v>
      </c>
    </row>
    <row r="771" spans="1:26" s="239" customFormat="1" ht="108.75">
      <c r="A771" s="320"/>
      <c r="B771" s="290" t="s">
        <v>421</v>
      </c>
      <c r="C771" s="290" t="s">
        <v>421</v>
      </c>
      <c r="D771" s="235" t="str">
        <f t="shared" si="40"/>
        <v xml:space="preserve"> OK</v>
      </c>
      <c r="E771" s="254" t="s">
        <v>421</v>
      </c>
      <c r="F771" s="254" t="s">
        <v>38</v>
      </c>
      <c r="G771" s="298">
        <f>[3]Data!R1344</f>
        <v>197.07</v>
      </c>
      <c r="H771" s="298" t="s">
        <v>26</v>
      </c>
      <c r="I771" s="300"/>
      <c r="J771" s="300"/>
      <c r="K771" s="270"/>
      <c r="L771" s="301"/>
      <c r="M771" s="270"/>
      <c r="N771" s="270"/>
      <c r="O771" s="270"/>
      <c r="P771" s="270"/>
      <c r="Q771" s="270"/>
      <c r="R771" s="270"/>
      <c r="S771" s="270"/>
      <c r="T771" s="301"/>
      <c r="U771" s="270"/>
      <c r="V771" s="240"/>
      <c r="W771" s="238">
        <f t="shared" si="42"/>
        <v>0</v>
      </c>
      <c r="Y771" s="223" t="str">
        <f>'[4]Development - i'!E770</f>
        <v>Plastic Emulsion PAINT including primer for outer walls</v>
      </c>
      <c r="Z771" s="223" t="str">
        <f t="shared" si="41"/>
        <v>-----------------------</v>
      </c>
    </row>
    <row r="772" spans="1:26" s="239" customFormat="1" ht="108.75">
      <c r="A772" s="320" t="s">
        <v>2180</v>
      </c>
      <c r="B772" s="290" t="s">
        <v>2181</v>
      </c>
      <c r="C772" s="290" t="s">
        <v>2181</v>
      </c>
      <c r="D772" s="235" t="str">
        <f t="shared" si="40"/>
        <v xml:space="preserve"> OK</v>
      </c>
      <c r="E772" s="254" t="s">
        <v>1178</v>
      </c>
      <c r="F772" s="254" t="s">
        <v>1179</v>
      </c>
      <c r="G772" s="298">
        <f>[3]Data!K3366</f>
        <v>103.21</v>
      </c>
      <c r="H772" s="298" t="s">
        <v>26</v>
      </c>
      <c r="I772" s="300"/>
      <c r="J772" s="300"/>
      <c r="K772" s="270"/>
      <c r="L772" s="301"/>
      <c r="M772" s="270"/>
      <c r="N772" s="270"/>
      <c r="O772" s="270"/>
      <c r="P772" s="270"/>
      <c r="Q772" s="270"/>
      <c r="R772" s="270"/>
      <c r="S772" s="270"/>
      <c r="T772" s="301"/>
      <c r="U772" s="270"/>
      <c r="V772" s="240"/>
      <c r="W772" s="238">
        <f t="shared" si="42"/>
        <v>0</v>
      </c>
      <c r="Y772" s="223" t="str">
        <f>'[4]Development - i'!E771</f>
        <v xml:space="preserve">Two coat of OBD over Two coat white cement for inner walls </v>
      </c>
      <c r="Z772" s="223" t="str">
        <f t="shared" si="41"/>
        <v>-----------------------</v>
      </c>
    </row>
    <row r="773" spans="1:26" s="241" customFormat="1" ht="130.5">
      <c r="A773" s="309"/>
      <c r="B773" s="310" t="str">
        <f>B1140</f>
        <v>2 x 4 Sqmm Copper PVC insulated unsheathed single core 1 KV grade cable for EB service single phase.</v>
      </c>
      <c r="C773" s="310" t="s">
        <v>2182</v>
      </c>
      <c r="D773" s="235" t="str">
        <f t="shared" si="40"/>
        <v xml:space="preserve"> OK</v>
      </c>
      <c r="E773" s="254" t="str">
        <f>E1141</f>
        <v>4 x 4  Sq mm copper PVC insulated unsheathed single core cable for 3 phase EB service connection</v>
      </c>
      <c r="F773" s="254" t="s">
        <v>950</v>
      </c>
      <c r="G773" s="298">
        <f>G1141</f>
        <v>221</v>
      </c>
      <c r="H773" s="298" t="s">
        <v>12</v>
      </c>
      <c r="I773" s="300"/>
      <c r="J773" s="300"/>
      <c r="K773" s="270"/>
      <c r="L773" s="301"/>
      <c r="M773" s="270"/>
      <c r="N773" s="270"/>
      <c r="O773" s="270"/>
      <c r="P773" s="270"/>
      <c r="Q773" s="270"/>
      <c r="R773" s="270"/>
      <c r="S773" s="270"/>
      <c r="T773" s="301"/>
      <c r="U773" s="270"/>
      <c r="V773" s="240"/>
      <c r="W773" s="238">
        <f t="shared" si="42"/>
        <v>0</v>
      </c>
      <c r="Y773" s="223" t="str">
        <f>'[4]Development - i'!E772</f>
        <v>4 x 4  Sq mm copper PVC insulated unsheathed single core cable for 3 phase EB service connection</v>
      </c>
      <c r="Z773" s="223" t="str">
        <f t="shared" si="41"/>
        <v>-----------------------</v>
      </c>
    </row>
    <row r="774" spans="1:26" s="241" customFormat="1" ht="65.25">
      <c r="A774" s="311"/>
      <c r="B774" s="306" t="str">
        <f>B1106</f>
        <v>40 mm dia GI pipe "B"class</v>
      </c>
      <c r="C774" s="306" t="s">
        <v>1505</v>
      </c>
      <c r="D774" s="235" t="str">
        <f t="shared" si="40"/>
        <v xml:space="preserve"> OK</v>
      </c>
      <c r="E774" s="254" t="str">
        <f>E1107</f>
        <v>Supplying and fixing of Three phase ELCB</v>
      </c>
      <c r="F774" s="254" t="s">
        <v>1173</v>
      </c>
      <c r="G774" s="298">
        <f>G1107</f>
        <v>2870</v>
      </c>
      <c r="H774" s="298" t="s">
        <v>12</v>
      </c>
      <c r="I774" s="300"/>
      <c r="J774" s="300"/>
      <c r="K774" s="270"/>
      <c r="L774" s="301"/>
      <c r="M774" s="270"/>
      <c r="N774" s="270"/>
      <c r="O774" s="270"/>
      <c r="P774" s="270"/>
      <c r="Q774" s="270"/>
      <c r="R774" s="270"/>
      <c r="S774" s="270"/>
      <c r="T774" s="301"/>
      <c r="U774" s="270"/>
      <c r="V774" s="242"/>
      <c r="W774" s="238">
        <f t="shared" si="42"/>
        <v>0</v>
      </c>
      <c r="Y774" s="223" t="str">
        <f>'[4]Development - i'!E773</f>
        <v>Supplying and fixing of Three phase ELCB</v>
      </c>
      <c r="Z774" s="223" t="str">
        <f t="shared" si="41"/>
        <v>-----------------------</v>
      </c>
    </row>
    <row r="775" spans="1:26" ht="108.75">
      <c r="A775" s="234"/>
      <c r="B775" s="400" t="s">
        <v>2183</v>
      </c>
      <c r="C775" s="401" t="s">
        <v>2183</v>
      </c>
      <c r="D775" s="235" t="str">
        <f t="shared" si="40"/>
        <v xml:space="preserve"> OK</v>
      </c>
      <c r="E775" s="254" t="s">
        <v>1181</v>
      </c>
      <c r="F775" s="254" t="s">
        <v>1182</v>
      </c>
      <c r="G775" s="298">
        <v>7000</v>
      </c>
      <c r="H775" s="298" t="s">
        <v>556</v>
      </c>
      <c r="I775" s="299"/>
      <c r="J775" s="300"/>
      <c r="K775" s="270"/>
      <c r="L775" s="301"/>
      <c r="M775" s="270"/>
      <c r="N775" s="270"/>
      <c r="O775" s="270"/>
      <c r="P775" s="270"/>
      <c r="Q775" s="270"/>
      <c r="R775" s="270"/>
      <c r="S775" s="270"/>
      <c r="T775" s="301"/>
      <c r="U775" s="302"/>
      <c r="V775" s="236"/>
      <c r="W775" s="233">
        <f t="shared" si="42"/>
        <v>0</v>
      </c>
      <c r="Y775" s="223" t="str">
        <f>'[4]Development - i'!E774</f>
        <v xml:space="preserve">S&amp;F of stainless steel sink 600mm x 450mm x 200mm </v>
      </c>
      <c r="Z775" s="223" t="str">
        <f t="shared" si="41"/>
        <v>-----------------------</v>
      </c>
    </row>
    <row r="776" spans="1:26" s="239" customFormat="1" ht="108.75">
      <c r="A776" s="321">
        <v>448.2</v>
      </c>
      <c r="B776" s="290" t="s">
        <v>548</v>
      </c>
      <c r="C776" s="290" t="s">
        <v>548</v>
      </c>
      <c r="D776" s="235" t="str">
        <f t="shared" si="40"/>
        <v xml:space="preserve"> OK</v>
      </c>
      <c r="E776" s="254" t="s">
        <v>548</v>
      </c>
      <c r="F776" s="254" t="s">
        <v>1183</v>
      </c>
      <c r="G776" s="298">
        <f>[3]Data!R3141</f>
        <v>113.91</v>
      </c>
      <c r="H776" s="298" t="s">
        <v>556</v>
      </c>
      <c r="I776" s="300"/>
      <c r="J776" s="300"/>
      <c r="K776" s="270"/>
      <c r="L776" s="301"/>
      <c r="M776" s="270"/>
      <c r="N776" s="270"/>
      <c r="O776" s="270"/>
      <c r="P776" s="270"/>
      <c r="Q776" s="270"/>
      <c r="R776" s="270"/>
      <c r="S776" s="270"/>
      <c r="T776" s="301"/>
      <c r="U776" s="270"/>
      <c r="V776" s="237"/>
      <c r="W776" s="238">
        <f t="shared" si="42"/>
        <v>0</v>
      </c>
      <c r="Y776" s="223" t="str">
        <f>'[4]Development - i'!E775</f>
        <v xml:space="preserve">Providing PVC Tee with end cap </v>
      </c>
      <c r="Z776" s="223" t="str">
        <f t="shared" si="41"/>
        <v>-----------------------</v>
      </c>
    </row>
    <row r="777" spans="1:26" s="241" customFormat="1" ht="108.75">
      <c r="A777" s="309"/>
      <c r="B777" s="310" t="s">
        <v>2184</v>
      </c>
      <c r="C777" s="310" t="s">
        <v>385</v>
      </c>
      <c r="D777" s="235" t="str">
        <f t="shared" si="40"/>
        <v xml:space="preserve"> OK</v>
      </c>
      <c r="E777" s="254" t="s">
        <v>2185</v>
      </c>
      <c r="F777" s="254" t="s">
        <v>1184</v>
      </c>
      <c r="G777" s="298">
        <f>G1091</f>
        <v>234.34</v>
      </c>
      <c r="H777" s="298" t="s">
        <v>26</v>
      </c>
      <c r="I777" s="300"/>
      <c r="J777" s="300"/>
      <c r="K777" s="270"/>
      <c r="L777" s="301"/>
      <c r="M777" s="270"/>
      <c r="N777" s="270"/>
      <c r="O777" s="270"/>
      <c r="P777" s="270"/>
      <c r="Q777" s="270"/>
      <c r="R777" s="270"/>
      <c r="S777" s="270"/>
      <c r="T777" s="301"/>
      <c r="U777" s="270"/>
      <c r="V777" s="240"/>
      <c r="W777" s="238">
        <f t="shared" si="42"/>
        <v>0</v>
      </c>
      <c r="Y777" s="223" t="str">
        <f>'[4]Development - i'!E776</f>
        <v>Granite Tiles flooring (Ruby red)</v>
      </c>
      <c r="Z777" s="223" t="str">
        <f t="shared" si="41"/>
        <v>-----------------------</v>
      </c>
    </row>
    <row r="778" spans="1:26" s="239" customFormat="1" ht="217.5">
      <c r="A778" s="320"/>
      <c r="B778" s="290" t="s">
        <v>2186</v>
      </c>
      <c r="C778" s="290" t="s">
        <v>422</v>
      </c>
      <c r="D778" s="235" t="str">
        <f t="shared" si="40"/>
        <v xml:space="preserve"> OK</v>
      </c>
      <c r="E778" s="254" t="s">
        <v>2187</v>
      </c>
      <c r="F778" s="254" t="s">
        <v>1185</v>
      </c>
      <c r="G778" s="298">
        <f>[3]Data!R2434</f>
        <v>1244.1400000000001</v>
      </c>
      <c r="H778" s="298" t="s">
        <v>26</v>
      </c>
      <c r="I778" s="300"/>
      <c r="J778" s="300"/>
      <c r="K778" s="270"/>
      <c r="L778" s="301"/>
      <c r="M778" s="270"/>
      <c r="N778" s="270"/>
      <c r="O778" s="270"/>
      <c r="P778" s="270"/>
      <c r="Q778" s="270"/>
      <c r="R778" s="270"/>
      <c r="S778" s="270"/>
      <c r="T778" s="301"/>
      <c r="U778" s="270"/>
      <c r="V778" s="240"/>
      <c r="W778" s="238">
        <f t="shared" si="42"/>
        <v>0</v>
      </c>
      <c r="Y778" s="223" t="str">
        <f>'[4]Development - i'!E777</f>
        <v>Providing wooden Melamine polish for new wood work</v>
      </c>
      <c r="Z778" s="223" t="str">
        <f t="shared" si="41"/>
        <v>-----------------------</v>
      </c>
    </row>
    <row r="779" spans="1:26" s="241" customFormat="1" ht="174">
      <c r="A779" s="309"/>
      <c r="B779" s="310" t="s">
        <v>1186</v>
      </c>
      <c r="C779" s="310" t="s">
        <v>1186</v>
      </c>
      <c r="D779" s="235" t="str">
        <f t="shared" si="40"/>
        <v xml:space="preserve"> OK</v>
      </c>
      <c r="E779" s="254" t="s">
        <v>1186</v>
      </c>
      <c r="F779" s="254" t="s">
        <v>1187</v>
      </c>
      <c r="G779" s="298">
        <v>5428</v>
      </c>
      <c r="H779" s="298" t="s">
        <v>12</v>
      </c>
      <c r="I779" s="300"/>
      <c r="J779" s="300"/>
      <c r="K779" s="270"/>
      <c r="L779" s="301"/>
      <c r="M779" s="270"/>
      <c r="N779" s="270"/>
      <c r="O779" s="270"/>
      <c r="P779" s="270"/>
      <c r="Q779" s="270"/>
      <c r="R779" s="270"/>
      <c r="S779" s="270"/>
      <c r="T779" s="301"/>
      <c r="U779" s="270"/>
      <c r="V779" s="240"/>
      <c r="W779" s="238">
        <f t="shared" si="42"/>
        <v>0</v>
      </c>
      <c r="Y779" s="223" t="str">
        <f>'[4]Development - i'!E778</f>
        <v>Supplying and fixing of staineless steel hand rails</v>
      </c>
      <c r="Z779" s="223" t="str">
        <f t="shared" si="41"/>
        <v>-----------------------</v>
      </c>
    </row>
    <row r="780" spans="1:26" s="239" customFormat="1" ht="130.5">
      <c r="A780" s="320"/>
      <c r="B780" s="290" t="s">
        <v>2188</v>
      </c>
      <c r="C780" s="322" t="s">
        <v>2188</v>
      </c>
      <c r="D780" s="235" t="str">
        <f t="shared" si="40"/>
        <v xml:space="preserve"> OK</v>
      </c>
      <c r="E780" s="254" t="s">
        <v>1188</v>
      </c>
      <c r="F780" s="254" t="s">
        <v>1189</v>
      </c>
      <c r="G780" s="298">
        <f>[3]Data!R1290</f>
        <v>1111.6199999999999</v>
      </c>
      <c r="H780" s="298" t="s">
        <v>26</v>
      </c>
      <c r="I780" s="300"/>
      <c r="J780" s="300"/>
      <c r="K780" s="270"/>
      <c r="L780" s="301"/>
      <c r="M780" s="270"/>
      <c r="N780" s="270"/>
      <c r="O780" s="270"/>
      <c r="P780" s="270"/>
      <c r="Q780" s="270"/>
      <c r="R780" s="270"/>
      <c r="S780" s="270"/>
      <c r="T780" s="301"/>
      <c r="U780" s="270"/>
      <c r="V780" s="240"/>
      <c r="W780" s="238">
        <f t="shared" si="42"/>
        <v>0</v>
      </c>
      <c r="Y780" s="223" t="str">
        <f>'[4]Development - i'!E779</f>
        <v>Vitrified Tiles flooring (ivory)</v>
      </c>
      <c r="Z780" s="223" t="str">
        <f t="shared" si="41"/>
        <v>-----------------------</v>
      </c>
    </row>
    <row r="781" spans="1:26" s="241" customFormat="1" ht="130.5">
      <c r="A781" s="402"/>
      <c r="B781" s="310" t="s">
        <v>382</v>
      </c>
      <c r="C781" s="310" t="s">
        <v>382</v>
      </c>
      <c r="D781" s="235" t="str">
        <f t="shared" si="40"/>
        <v xml:space="preserve"> OK</v>
      </c>
      <c r="E781" s="254" t="s">
        <v>382</v>
      </c>
      <c r="F781" s="254" t="s">
        <v>1190</v>
      </c>
      <c r="G781" s="298">
        <f>[3]Data!R1267</f>
        <v>1287.32</v>
      </c>
      <c r="H781" s="298" t="s">
        <v>26</v>
      </c>
      <c r="I781" s="300"/>
      <c r="J781" s="300"/>
      <c r="K781" s="270"/>
      <c r="L781" s="301"/>
      <c r="M781" s="270"/>
      <c r="N781" s="270"/>
      <c r="O781" s="270"/>
      <c r="P781" s="270"/>
      <c r="Q781" s="270"/>
      <c r="R781" s="270"/>
      <c r="S781" s="270"/>
      <c r="T781" s="301"/>
      <c r="U781" s="270"/>
      <c r="V781" s="242"/>
      <c r="W781" s="238">
        <f>ROUND(G784,2)*ROUND(V781,2)</f>
        <v>0</v>
      </c>
      <c r="Y781" s="223" t="str">
        <f>'[4]Development - i'!E780</f>
        <v>Vitrified Tiles flooring ( colour)</v>
      </c>
      <c r="Z781" s="223" t="str">
        <f t="shared" si="41"/>
        <v>-----------------------</v>
      </c>
    </row>
    <row r="782" spans="1:26" s="241" customFormat="1" ht="151.5" customHeight="1">
      <c r="A782" s="403"/>
      <c r="B782" s="397"/>
      <c r="C782" s="310"/>
      <c r="D782" s="235"/>
      <c r="E782" s="254" t="s">
        <v>1191</v>
      </c>
      <c r="F782" s="254" t="s">
        <v>1192</v>
      </c>
      <c r="G782" s="298">
        <f>G781</f>
        <v>1287.32</v>
      </c>
      <c r="H782" s="298" t="s">
        <v>26</v>
      </c>
      <c r="I782" s="299"/>
      <c r="J782" s="300"/>
      <c r="K782" s="270"/>
      <c r="L782" s="301"/>
      <c r="M782" s="270"/>
      <c r="N782" s="270"/>
      <c r="O782" s="270"/>
      <c r="P782" s="270"/>
      <c r="Q782" s="270"/>
      <c r="R782" s="270"/>
      <c r="S782" s="270"/>
      <c r="T782" s="301"/>
      <c r="U782" s="302"/>
      <c r="V782" s="404"/>
      <c r="W782" s="238"/>
      <c r="Y782" s="223" t="str">
        <f>'[4]Development - i'!E781</f>
        <v>Antiskid Vitrified Flooring with 1st Quality homogeneous tiles</v>
      </c>
      <c r="Z782" s="223" t="str">
        <f>IF(Y782=E782,"-----------------------","ERRR")</f>
        <v>-----------------------</v>
      </c>
    </row>
    <row r="783" spans="1:26" s="241" customFormat="1" ht="151.5" customHeight="1">
      <c r="A783" s="403"/>
      <c r="B783" s="397"/>
      <c r="C783" s="310"/>
      <c r="D783" s="235"/>
      <c r="E783" s="254" t="s">
        <v>1193</v>
      </c>
      <c r="F783" s="254" t="s">
        <v>1194</v>
      </c>
      <c r="G783" s="298">
        <f>[3]Data!X2454</f>
        <v>1448.63</v>
      </c>
      <c r="H783" s="298" t="s">
        <v>26</v>
      </c>
      <c r="I783" s="299"/>
      <c r="J783" s="300"/>
      <c r="K783" s="270"/>
      <c r="L783" s="301"/>
      <c r="M783" s="270"/>
      <c r="N783" s="270"/>
      <c r="O783" s="270"/>
      <c r="P783" s="270"/>
      <c r="Q783" s="270"/>
      <c r="R783" s="270"/>
      <c r="S783" s="270"/>
      <c r="T783" s="301"/>
      <c r="U783" s="302"/>
      <c r="V783" s="404"/>
      <c r="W783" s="238"/>
      <c r="Y783" s="223" t="str">
        <f>'[4]Development - i'!E782</f>
        <v>Providing rajasthan kota stone of 20mm thick in C.M 1:3</v>
      </c>
      <c r="Z783" s="223" t="str">
        <f t="shared" ref="Z783:Z846" si="43">IF(Y783=E783,"-----------------------","ERRR")</f>
        <v>-----------------------</v>
      </c>
    </row>
    <row r="784" spans="1:26" ht="130.5">
      <c r="A784" s="234"/>
      <c r="B784" s="313" t="s">
        <v>380</v>
      </c>
      <c r="C784" s="306" t="s">
        <v>380</v>
      </c>
      <c r="D784" s="235" t="str">
        <f t="shared" si="40"/>
        <v xml:space="preserve"> OK</v>
      </c>
      <c r="E784" s="254" t="s">
        <v>380</v>
      </c>
      <c r="F784" s="254" t="s">
        <v>1195</v>
      </c>
      <c r="G784" s="298">
        <f>[3]Data!R1248</f>
        <v>1287.46</v>
      </c>
      <c r="H784" s="298" t="s">
        <v>26</v>
      </c>
      <c r="I784" s="299"/>
      <c r="J784" s="300"/>
      <c r="K784" s="270"/>
      <c r="L784" s="301"/>
      <c r="M784" s="270"/>
      <c r="N784" s="270"/>
      <c r="O784" s="270"/>
      <c r="P784" s="270"/>
      <c r="Q784" s="270"/>
      <c r="R784" s="270"/>
      <c r="S784" s="270"/>
      <c r="T784" s="301"/>
      <c r="U784" s="302"/>
      <c r="V784" s="236">
        <f>'[3]Precast Compound wall '!H204</f>
        <v>19</v>
      </c>
      <c r="W784" s="233">
        <f t="shared" si="42"/>
        <v>24461.74</v>
      </c>
      <c r="Y784" s="223" t="str">
        <f>'[4]Development - i'!E783</f>
        <v>Concrete designer tiles flooring</v>
      </c>
      <c r="Z784" s="223" t="str">
        <f t="shared" si="43"/>
        <v>-----------------------</v>
      </c>
    </row>
    <row r="785" spans="1:26" s="241" customFormat="1" ht="130.5">
      <c r="A785" s="309"/>
      <c r="B785" s="310" t="s">
        <v>1196</v>
      </c>
      <c r="C785" s="310" t="s">
        <v>1196</v>
      </c>
      <c r="D785" s="235" t="str">
        <f t="shared" si="40"/>
        <v xml:space="preserve"> OK</v>
      </c>
      <c r="E785" s="254" t="s">
        <v>1196</v>
      </c>
      <c r="F785" s="254" t="s">
        <v>1195</v>
      </c>
      <c r="G785" s="298">
        <f>[3]Data!R1248</f>
        <v>1287.46</v>
      </c>
      <c r="H785" s="298" t="s">
        <v>26</v>
      </c>
      <c r="I785" s="300"/>
      <c r="J785" s="300"/>
      <c r="K785" s="270"/>
      <c r="L785" s="301"/>
      <c r="M785" s="270"/>
      <c r="N785" s="270"/>
      <c r="O785" s="270"/>
      <c r="P785" s="270"/>
      <c r="Q785" s="270"/>
      <c r="R785" s="270"/>
      <c r="S785" s="270"/>
      <c r="T785" s="301"/>
      <c r="U785" s="270"/>
      <c r="V785" s="237"/>
      <c r="W785" s="238">
        <f t="shared" si="42"/>
        <v>0</v>
      </c>
      <c r="Y785" s="223" t="str">
        <f>'[4]Development - i'!E784</f>
        <v xml:space="preserve">Eurocon Tiles flooring </v>
      </c>
      <c r="Z785" s="223" t="str">
        <f t="shared" si="43"/>
        <v>-----------------------</v>
      </c>
    </row>
    <row r="786" spans="1:26" s="241" customFormat="1" ht="217.5">
      <c r="A786" s="305"/>
      <c r="B786" s="405" t="s">
        <v>1197</v>
      </c>
      <c r="C786" s="405" t="s">
        <v>1197</v>
      </c>
      <c r="D786" s="235" t="str">
        <f t="shared" si="40"/>
        <v xml:space="preserve"> OK</v>
      </c>
      <c r="E786" s="254" t="s">
        <v>1197</v>
      </c>
      <c r="F786" s="254" t="s">
        <v>1198</v>
      </c>
      <c r="G786" s="298"/>
      <c r="H786" s="298"/>
      <c r="I786" s="300"/>
      <c r="J786" s="300"/>
      <c r="K786" s="270"/>
      <c r="L786" s="301"/>
      <c r="M786" s="270"/>
      <c r="N786" s="270"/>
      <c r="O786" s="270"/>
      <c r="P786" s="270"/>
      <c r="Q786" s="270"/>
      <c r="R786" s="270"/>
      <c r="S786" s="270"/>
      <c r="T786" s="301"/>
      <c r="U786" s="270"/>
      <c r="V786" s="240"/>
      <c r="W786" s="238">
        <f t="shared" si="42"/>
        <v>0</v>
      </c>
      <c r="Y786" s="223" t="str">
        <f>'[4]Development - i'!E785</f>
        <v>Supplying and fixing of Aluminium sliding window</v>
      </c>
      <c r="Z786" s="223" t="str">
        <f t="shared" si="43"/>
        <v>-----------------------</v>
      </c>
    </row>
    <row r="787" spans="1:26" s="241" customFormat="1">
      <c r="A787" s="305"/>
      <c r="B787" s="406" t="s">
        <v>1199</v>
      </c>
      <c r="C787" s="406" t="s">
        <v>1199</v>
      </c>
      <c r="D787" s="235" t="str">
        <f t="shared" si="40"/>
        <v xml:space="preserve"> OK</v>
      </c>
      <c r="E787" s="254" t="s">
        <v>1199</v>
      </c>
      <c r="F787" s="254" t="s">
        <v>1199</v>
      </c>
      <c r="G787" s="298">
        <f>[3]Data!X3729</f>
        <v>3584</v>
      </c>
      <c r="H787" s="298" t="s">
        <v>26</v>
      </c>
      <c r="I787" s="300"/>
      <c r="J787" s="300"/>
      <c r="K787" s="270"/>
      <c r="L787" s="301"/>
      <c r="M787" s="270"/>
      <c r="N787" s="270"/>
      <c r="O787" s="270"/>
      <c r="P787" s="270"/>
      <c r="Q787" s="270"/>
      <c r="R787" s="270"/>
      <c r="S787" s="270"/>
      <c r="T787" s="301"/>
      <c r="U787" s="270"/>
      <c r="V787" s="240"/>
      <c r="W787" s="238">
        <f t="shared" si="42"/>
        <v>0</v>
      </c>
      <c r="Y787" s="223" t="str">
        <f>'[4]Development - i'!E786</f>
        <v>a. 1.20x1.35m (Two track )</v>
      </c>
      <c r="Z787" s="223" t="str">
        <f t="shared" si="43"/>
        <v>-----------------------</v>
      </c>
    </row>
    <row r="788" spans="1:26" s="241" customFormat="1">
      <c r="A788" s="305"/>
      <c r="B788" s="406" t="s">
        <v>1200</v>
      </c>
      <c r="C788" s="406" t="s">
        <v>1200</v>
      </c>
      <c r="D788" s="235" t="str">
        <f t="shared" si="40"/>
        <v xml:space="preserve"> OK</v>
      </c>
      <c r="E788" s="254" t="s">
        <v>1200</v>
      </c>
      <c r="F788" s="254" t="s">
        <v>1200</v>
      </c>
      <c r="G788" s="298">
        <f>[3]Data!X3743</f>
        <v>3873</v>
      </c>
      <c r="H788" s="298" t="s">
        <v>26</v>
      </c>
      <c r="I788" s="300"/>
      <c r="J788" s="300"/>
      <c r="K788" s="270"/>
      <c r="L788" s="301"/>
      <c r="M788" s="270"/>
      <c r="N788" s="270"/>
      <c r="O788" s="270"/>
      <c r="P788" s="270"/>
      <c r="Q788" s="270"/>
      <c r="R788" s="270"/>
      <c r="S788" s="270"/>
      <c r="T788" s="301"/>
      <c r="U788" s="270"/>
      <c r="V788" s="240"/>
      <c r="W788" s="238">
        <f t="shared" si="42"/>
        <v>0</v>
      </c>
      <c r="Y788" s="223" t="str">
        <f>'[4]Development - i'!E787</f>
        <v>b. 2.40x1.80m (Two track)</v>
      </c>
      <c r="Z788" s="223" t="str">
        <f t="shared" si="43"/>
        <v>-----------------------</v>
      </c>
    </row>
    <row r="789" spans="1:26" s="241" customFormat="1">
      <c r="A789" s="305"/>
      <c r="B789" s="406" t="s">
        <v>1201</v>
      </c>
      <c r="C789" s="406" t="s">
        <v>1201</v>
      </c>
      <c r="D789" s="235" t="str">
        <f t="shared" si="40"/>
        <v xml:space="preserve"> OK</v>
      </c>
      <c r="E789" s="254" t="s">
        <v>1201</v>
      </c>
      <c r="F789" s="254" t="s">
        <v>1201</v>
      </c>
      <c r="G789" s="298"/>
      <c r="H789" s="298" t="s">
        <v>26</v>
      </c>
      <c r="I789" s="300"/>
      <c r="J789" s="300"/>
      <c r="K789" s="270"/>
      <c r="L789" s="301"/>
      <c r="M789" s="270"/>
      <c r="N789" s="270"/>
      <c r="O789" s="270"/>
      <c r="P789" s="270"/>
      <c r="Q789" s="270"/>
      <c r="R789" s="270"/>
      <c r="S789" s="270"/>
      <c r="T789" s="301"/>
      <c r="U789" s="270"/>
      <c r="V789" s="240"/>
      <c r="W789" s="238">
        <f t="shared" si="42"/>
        <v>0</v>
      </c>
      <c r="Y789" s="223" t="str">
        <f>'[4]Development - i'!E788</f>
        <v>c. 2.40x1.05m (Two track)</v>
      </c>
      <c r="Z789" s="223" t="str">
        <f t="shared" si="43"/>
        <v>-----------------------</v>
      </c>
    </row>
    <row r="790" spans="1:26" s="241" customFormat="1">
      <c r="A790" s="305"/>
      <c r="B790" s="406" t="s">
        <v>1202</v>
      </c>
      <c r="C790" s="406" t="s">
        <v>1202</v>
      </c>
      <c r="D790" s="235" t="str">
        <f t="shared" si="40"/>
        <v xml:space="preserve"> OK</v>
      </c>
      <c r="E790" s="254" t="s">
        <v>1202</v>
      </c>
      <c r="F790" s="254" t="s">
        <v>1202</v>
      </c>
      <c r="G790" s="298"/>
      <c r="H790" s="298" t="s">
        <v>26</v>
      </c>
      <c r="I790" s="300"/>
      <c r="J790" s="300"/>
      <c r="K790" s="270"/>
      <c r="L790" s="301"/>
      <c r="M790" s="270"/>
      <c r="N790" s="270"/>
      <c r="O790" s="270"/>
      <c r="P790" s="270"/>
      <c r="Q790" s="270"/>
      <c r="R790" s="270"/>
      <c r="S790" s="270"/>
      <c r="T790" s="301"/>
      <c r="U790" s="270"/>
      <c r="V790" s="240"/>
      <c r="W790" s="238">
        <f t="shared" si="42"/>
        <v>0</v>
      </c>
      <c r="Y790" s="223" t="str">
        <f>'[4]Development - i'!E789</f>
        <v>d. 0.90x1.35m (Two track)</v>
      </c>
      <c r="Z790" s="223" t="str">
        <f t="shared" si="43"/>
        <v>-----------------------</v>
      </c>
    </row>
    <row r="791" spans="1:26" s="241" customFormat="1" ht="46.5">
      <c r="A791" s="305"/>
      <c r="B791" s="306" t="s">
        <v>1203</v>
      </c>
      <c r="C791" s="306" t="s">
        <v>1203</v>
      </c>
      <c r="D791" s="235" t="str">
        <f t="shared" si="40"/>
        <v xml:space="preserve"> OK</v>
      </c>
      <c r="E791" s="254" t="s">
        <v>1203</v>
      </c>
      <c r="F791" s="254">
        <v>0</v>
      </c>
      <c r="G791" s="298">
        <f>[3]Data!X1311</f>
        <v>1228.53</v>
      </c>
      <c r="H791" s="298" t="s">
        <v>1715</v>
      </c>
      <c r="I791" s="300"/>
      <c r="J791" s="300"/>
      <c r="K791" s="270"/>
      <c r="L791" s="301"/>
      <c r="M791" s="270"/>
      <c r="N791" s="270"/>
      <c r="O791" s="270"/>
      <c r="P791" s="270"/>
      <c r="Q791" s="270"/>
      <c r="R791" s="270"/>
      <c r="S791" s="270"/>
      <c r="T791" s="301"/>
      <c r="U791" s="270"/>
      <c r="V791" s="240"/>
      <c r="W791" s="238">
        <f t="shared" si="42"/>
        <v>0</v>
      </c>
      <c r="Y791" s="223" t="str">
        <f>'[4]Development - i'!E790</f>
        <v>supplying and fixing of colour matt finish floor tiles of size 12"x12" ( for officers)</v>
      </c>
      <c r="Z791" s="223" t="str">
        <f t="shared" si="43"/>
        <v>-----------------------</v>
      </c>
    </row>
    <row r="792" spans="1:26" s="241" customFormat="1" ht="46.5">
      <c r="A792" s="305"/>
      <c r="B792" s="306" t="s">
        <v>1204</v>
      </c>
      <c r="C792" s="306" t="s">
        <v>1204</v>
      </c>
      <c r="D792" s="235" t="str">
        <f t="shared" si="40"/>
        <v xml:space="preserve"> OK</v>
      </c>
      <c r="E792" s="254" t="s">
        <v>1204</v>
      </c>
      <c r="F792" s="254">
        <v>0</v>
      </c>
      <c r="G792" s="298">
        <f>[3]Data!K1310</f>
        <v>2727.33</v>
      </c>
      <c r="H792" s="298" t="s">
        <v>1715</v>
      </c>
      <c r="I792" s="300"/>
      <c r="J792" s="300"/>
      <c r="K792" s="270"/>
      <c r="L792" s="301"/>
      <c r="M792" s="270"/>
      <c r="N792" s="270"/>
      <c r="O792" s="270"/>
      <c r="P792" s="270"/>
      <c r="Q792" s="270"/>
      <c r="R792" s="270"/>
      <c r="S792" s="270"/>
      <c r="T792" s="301"/>
      <c r="U792" s="270"/>
      <c r="V792" s="240"/>
      <c r="W792" s="238">
        <f t="shared" si="42"/>
        <v>0</v>
      </c>
      <c r="Y792" s="223" t="str">
        <f>'[4]Development - i'!E791</f>
        <v>supplying and fixing of colour matt finish floor tiles of size 12"x12" ( for wall tiles)</v>
      </c>
      <c r="Z792" s="223" t="str">
        <f t="shared" si="43"/>
        <v>-----------------------</v>
      </c>
    </row>
    <row r="793" spans="1:26" s="241" customFormat="1" ht="130.5">
      <c r="A793" s="305"/>
      <c r="B793" s="358" t="s">
        <v>2189</v>
      </c>
      <c r="C793" s="358" t="s">
        <v>1205</v>
      </c>
      <c r="D793" s="235" t="str">
        <f t="shared" si="40"/>
        <v xml:space="preserve"> OK</v>
      </c>
      <c r="E793" s="254" t="s">
        <v>2190</v>
      </c>
      <c r="F793" s="254" t="s">
        <v>1206</v>
      </c>
      <c r="G793" s="298">
        <f>[3]Data!K3738</f>
        <v>3282</v>
      </c>
      <c r="H793" s="298" t="s">
        <v>26</v>
      </c>
      <c r="I793" s="300"/>
      <c r="J793" s="300"/>
      <c r="K793" s="270"/>
      <c r="L793" s="301"/>
      <c r="M793" s="270"/>
      <c r="N793" s="270"/>
      <c r="O793" s="270"/>
      <c r="P793" s="270"/>
      <c r="Q793" s="270"/>
      <c r="R793" s="270"/>
      <c r="S793" s="270"/>
      <c r="T793" s="301"/>
      <c r="U793" s="270"/>
      <c r="V793" s="240"/>
      <c r="W793" s="238">
        <f t="shared" si="42"/>
        <v>0</v>
      </c>
      <c r="Y793" s="223" t="str">
        <f>'[4]Development - i'!E792</f>
        <v>S &amp; F of wall panelling DPO ARIYALUR</v>
      </c>
      <c r="Z793" s="223" t="str">
        <f t="shared" si="43"/>
        <v>-----------------------</v>
      </c>
    </row>
    <row r="794" spans="1:26" s="241" customFormat="1" ht="46.5">
      <c r="A794" s="305">
        <f>11.6-7.25</f>
        <v>4.3499999999999996</v>
      </c>
      <c r="B794" s="306" t="s">
        <v>2191</v>
      </c>
      <c r="C794" s="306" t="s">
        <v>1207</v>
      </c>
      <c r="D794" s="235" t="str">
        <f t="shared" si="40"/>
        <v xml:space="preserve"> OK</v>
      </c>
      <c r="E794" s="254" t="s">
        <v>2192</v>
      </c>
      <c r="F794" s="254">
        <v>0</v>
      </c>
      <c r="G794" s="298">
        <v>915.02</v>
      </c>
      <c r="H794" s="298" t="s">
        <v>26</v>
      </c>
      <c r="I794" s="300"/>
      <c r="J794" s="300"/>
      <c r="K794" s="270"/>
      <c r="L794" s="301"/>
      <c r="M794" s="270"/>
      <c r="N794" s="270"/>
      <c r="O794" s="270"/>
      <c r="P794" s="270"/>
      <c r="Q794" s="270"/>
      <c r="R794" s="270"/>
      <c r="S794" s="270"/>
      <c r="T794" s="301"/>
      <c r="U794" s="270"/>
      <c r="V794" s="240"/>
      <c r="W794" s="238">
        <f t="shared" si="42"/>
        <v>0</v>
      </c>
      <c r="Y794" s="223" t="str">
        <f>'[4]Development - i'!E793</f>
        <v>Supply of material and lab ourfor Mineralfbre 600mmx600mm Grid false ceiling work</v>
      </c>
      <c r="Z794" s="223" t="str">
        <f t="shared" si="43"/>
        <v>-----------------------</v>
      </c>
    </row>
    <row r="795" spans="1:26" s="241" customFormat="1" ht="217.5">
      <c r="A795" s="305"/>
      <c r="B795" s="306" t="s">
        <v>2193</v>
      </c>
      <c r="C795" s="306" t="s">
        <v>1208</v>
      </c>
      <c r="D795" s="235" t="str">
        <f t="shared" si="40"/>
        <v xml:space="preserve"> OK</v>
      </c>
      <c r="E795" s="254" t="s">
        <v>2194</v>
      </c>
      <c r="F795" s="254" t="s">
        <v>1209</v>
      </c>
      <c r="G795" s="298">
        <v>990</v>
      </c>
      <c r="H795" s="298" t="s">
        <v>26</v>
      </c>
      <c r="I795" s="300"/>
      <c r="J795" s="300"/>
      <c r="K795" s="270"/>
      <c r="L795" s="301"/>
      <c r="M795" s="270"/>
      <c r="N795" s="270"/>
      <c r="O795" s="270"/>
      <c r="P795" s="270"/>
      <c r="Q795" s="270"/>
      <c r="R795" s="270"/>
      <c r="S795" s="270"/>
      <c r="T795" s="301"/>
      <c r="U795" s="270"/>
      <c r="V795" s="240"/>
      <c r="W795" s="238">
        <f t="shared" si="42"/>
        <v>0</v>
      </c>
      <c r="Y795" s="223" t="str">
        <f>'[4]Development - i'!E794</f>
        <v>Supplying, fabricating, erecting and fixing  Gyp board false ceiling using perforated sheet 10mm thk</v>
      </c>
      <c r="Z795" s="223" t="str">
        <f t="shared" si="43"/>
        <v>-----------------------</v>
      </c>
    </row>
    <row r="796" spans="1:26" s="241" customFormat="1">
      <c r="A796" s="305"/>
      <c r="B796" s="306" t="s">
        <v>1210</v>
      </c>
      <c r="C796" s="306" t="s">
        <v>1210</v>
      </c>
      <c r="D796" s="235" t="str">
        <f t="shared" si="40"/>
        <v xml:space="preserve"> OK</v>
      </c>
      <c r="E796" s="254" t="s">
        <v>1210</v>
      </c>
      <c r="F796" s="254">
        <v>0</v>
      </c>
      <c r="G796" s="298">
        <v>905</v>
      </c>
      <c r="H796" s="298" t="s">
        <v>12</v>
      </c>
      <c r="I796" s="300"/>
      <c r="J796" s="300"/>
      <c r="K796" s="270"/>
      <c r="L796" s="301"/>
      <c r="M796" s="270"/>
      <c r="N796" s="270"/>
      <c r="O796" s="270"/>
      <c r="P796" s="270"/>
      <c r="Q796" s="270"/>
      <c r="R796" s="270"/>
      <c r="S796" s="270"/>
      <c r="T796" s="301"/>
      <c r="U796" s="270"/>
      <c r="V796" s="240"/>
      <c r="W796" s="238">
        <f t="shared" si="42"/>
        <v>0</v>
      </c>
      <c r="Y796" s="223" t="str">
        <f>'[4]Development - i'!E795</f>
        <v>Supplying and fixing of 100mm dia GI pipe</v>
      </c>
      <c r="Z796" s="223" t="str">
        <f t="shared" si="43"/>
        <v>-----------------------</v>
      </c>
    </row>
    <row r="797" spans="1:26" s="241" customFormat="1">
      <c r="A797" s="305"/>
      <c r="B797" s="306" t="s">
        <v>1211</v>
      </c>
      <c r="C797" s="306" t="s">
        <v>1211</v>
      </c>
      <c r="D797" s="235" t="str">
        <f t="shared" ref="D797:D860" si="44">IF(B797=C797," OK","nun")</f>
        <v xml:space="preserve"> OK</v>
      </c>
      <c r="E797" s="254" t="s">
        <v>1211</v>
      </c>
      <c r="F797" s="254">
        <v>0</v>
      </c>
      <c r="G797" s="298">
        <v>8467.2999999999993</v>
      </c>
      <c r="H797" s="298" t="s">
        <v>556</v>
      </c>
      <c r="I797" s="300"/>
      <c r="J797" s="300"/>
      <c r="K797" s="270"/>
      <c r="L797" s="301"/>
      <c r="M797" s="270"/>
      <c r="N797" s="270"/>
      <c r="O797" s="270"/>
      <c r="P797" s="270"/>
      <c r="Q797" s="270"/>
      <c r="R797" s="270"/>
      <c r="S797" s="270"/>
      <c r="T797" s="301"/>
      <c r="U797" s="270"/>
      <c r="V797" s="240"/>
      <c r="W797" s="238">
        <f t="shared" si="42"/>
        <v>0</v>
      </c>
      <c r="Y797" s="223" t="str">
        <f>'[4]Development - i'!E796</f>
        <v>Supplying and fixing of Geyser (Data -SD 103)</v>
      </c>
      <c r="Z797" s="223" t="str">
        <f t="shared" si="43"/>
        <v>-----------------------</v>
      </c>
    </row>
    <row r="798" spans="1:26" s="241" customFormat="1" ht="93">
      <c r="A798" s="305"/>
      <c r="B798" s="306" t="s">
        <v>2195</v>
      </c>
      <c r="C798" s="306" t="s">
        <v>1212</v>
      </c>
      <c r="D798" s="235" t="str">
        <f t="shared" si="44"/>
        <v xml:space="preserve"> OK</v>
      </c>
      <c r="E798" s="254" t="s">
        <v>2196</v>
      </c>
      <c r="F798" s="254">
        <v>0</v>
      </c>
      <c r="G798" s="298">
        <v>3409</v>
      </c>
      <c r="H798" s="298" t="s">
        <v>556</v>
      </c>
      <c r="I798" s="300"/>
      <c r="J798" s="300"/>
      <c r="K798" s="270"/>
      <c r="L798" s="301"/>
      <c r="M798" s="270"/>
      <c r="N798" s="270"/>
      <c r="O798" s="270"/>
      <c r="P798" s="270"/>
      <c r="Q798" s="270"/>
      <c r="R798" s="270"/>
      <c r="S798" s="270"/>
      <c r="T798" s="301"/>
      <c r="U798" s="270"/>
      <c r="V798" s="240"/>
      <c r="W798" s="238">
        <f t="shared" si="42"/>
        <v>0</v>
      </c>
      <c r="Y798" s="223" t="str">
        <f>'[4]Development - i'!E797</f>
        <v>Supplying and fixing of  CP wall mixer two in one (without telephone shower) including cost of all materials and all labour charges etc complete.CER No.178/13-14</v>
      </c>
      <c r="Z798" s="223" t="str">
        <f t="shared" si="43"/>
        <v>ERRR</v>
      </c>
    </row>
    <row r="799" spans="1:26" s="241" customFormat="1" ht="93">
      <c r="A799" s="305"/>
      <c r="B799" s="306" t="s">
        <v>2197</v>
      </c>
      <c r="C799" s="306" t="s">
        <v>1213</v>
      </c>
      <c r="D799" s="235" t="str">
        <f t="shared" si="44"/>
        <v xml:space="preserve"> OK</v>
      </c>
      <c r="E799" s="254" t="s">
        <v>2198</v>
      </c>
      <c r="F799" s="254">
        <v>0</v>
      </c>
      <c r="G799" s="298">
        <v>469.42</v>
      </c>
      <c r="H799" s="298" t="s">
        <v>556</v>
      </c>
      <c r="I799" s="300"/>
      <c r="J799" s="300"/>
      <c r="K799" s="270"/>
      <c r="L799" s="301"/>
      <c r="M799" s="270"/>
      <c r="N799" s="270"/>
      <c r="O799" s="270"/>
      <c r="P799" s="270"/>
      <c r="Q799" s="270"/>
      <c r="R799" s="270"/>
      <c r="S799" s="270"/>
      <c r="T799" s="301"/>
      <c r="U799" s="270"/>
      <c r="V799" s="240"/>
      <c r="W799" s="238">
        <f t="shared" si="42"/>
        <v>0</v>
      </c>
      <c r="Y799" s="223" t="str">
        <f>'[4]Development - i'!E798</f>
        <v>Supplying and fixing of shower arm 9" long including cost of all materials and all labour charges etc. complete  CER No.178/13-14</v>
      </c>
      <c r="Z799" s="223" t="str">
        <f t="shared" si="43"/>
        <v>ERRR</v>
      </c>
    </row>
    <row r="800" spans="1:26" s="241" customFormat="1">
      <c r="A800" s="305"/>
      <c r="B800" s="306" t="s">
        <v>1214</v>
      </c>
      <c r="C800" s="306" t="s">
        <v>1214</v>
      </c>
      <c r="D800" s="235" t="str">
        <f t="shared" si="44"/>
        <v xml:space="preserve"> OK</v>
      </c>
      <c r="E800" s="254" t="s">
        <v>1214</v>
      </c>
      <c r="F800" s="254">
        <v>0</v>
      </c>
      <c r="G800" s="298"/>
      <c r="H800" s="298"/>
      <c r="I800" s="300"/>
      <c r="J800" s="300"/>
      <c r="K800" s="270"/>
      <c r="L800" s="301"/>
      <c r="M800" s="270"/>
      <c r="N800" s="270"/>
      <c r="O800" s="270"/>
      <c r="P800" s="270"/>
      <c r="Q800" s="270"/>
      <c r="R800" s="270"/>
      <c r="S800" s="270"/>
      <c r="T800" s="301"/>
      <c r="U800" s="270"/>
      <c r="V800" s="240"/>
      <c r="W800" s="238">
        <f t="shared" si="42"/>
        <v>0</v>
      </c>
      <c r="Y800" s="223" t="str">
        <f>'[4]Development - i'!E799</f>
        <v>Supplying  and fixing of GM wheel valves ISI mark</v>
      </c>
      <c r="Z800" s="223" t="str">
        <f t="shared" si="43"/>
        <v>-----------------------</v>
      </c>
    </row>
    <row r="801" spans="1:26" s="241" customFormat="1" ht="65.25">
      <c r="A801" s="305"/>
      <c r="B801" s="306" t="s">
        <v>1215</v>
      </c>
      <c r="C801" s="306" t="s">
        <v>1215</v>
      </c>
      <c r="D801" s="235" t="str">
        <f t="shared" si="44"/>
        <v xml:space="preserve"> OK</v>
      </c>
      <c r="E801" s="254" t="s">
        <v>1215</v>
      </c>
      <c r="F801" s="254" t="s">
        <v>1216</v>
      </c>
      <c r="G801" s="298">
        <v>5640</v>
      </c>
      <c r="H801" s="298" t="s">
        <v>556</v>
      </c>
      <c r="I801" s="300"/>
      <c r="J801" s="300"/>
      <c r="K801" s="270"/>
      <c r="L801" s="301"/>
      <c r="M801" s="270"/>
      <c r="N801" s="270"/>
      <c r="O801" s="270"/>
      <c r="P801" s="270"/>
      <c r="Q801" s="270"/>
      <c r="R801" s="270"/>
      <c r="S801" s="270"/>
      <c r="T801" s="301"/>
      <c r="U801" s="270"/>
      <c r="V801" s="240"/>
      <c r="W801" s="238">
        <f t="shared" si="42"/>
        <v>0</v>
      </c>
      <c r="Y801" s="223" t="str">
        <f>'[4]Development - i'!E800</f>
        <v>a.100mm  GM Gate valves</v>
      </c>
      <c r="Z801" s="223" t="str">
        <f t="shared" si="43"/>
        <v>-----------------------</v>
      </c>
    </row>
    <row r="802" spans="1:26" s="241" customFormat="1" ht="65.25">
      <c r="A802" s="305"/>
      <c r="B802" s="306" t="s">
        <v>1217</v>
      </c>
      <c r="C802" s="306" t="s">
        <v>1217</v>
      </c>
      <c r="D802" s="235" t="str">
        <f t="shared" si="44"/>
        <v xml:space="preserve"> OK</v>
      </c>
      <c r="E802" s="254" t="s">
        <v>1217</v>
      </c>
      <c r="F802" s="254" t="s">
        <v>1218</v>
      </c>
      <c r="G802" s="298">
        <v>1340</v>
      </c>
      <c r="H802" s="298" t="s">
        <v>556</v>
      </c>
      <c r="I802" s="300"/>
      <c r="J802" s="300"/>
      <c r="K802" s="270"/>
      <c r="L802" s="301"/>
      <c r="M802" s="270"/>
      <c r="N802" s="270"/>
      <c r="O802" s="270"/>
      <c r="P802" s="270"/>
      <c r="Q802" s="270"/>
      <c r="R802" s="270"/>
      <c r="S802" s="270"/>
      <c r="T802" s="301"/>
      <c r="U802" s="270"/>
      <c r="V802" s="240"/>
      <c r="W802" s="238">
        <f t="shared" si="42"/>
        <v>0</v>
      </c>
      <c r="Y802" s="223" t="str">
        <f>'[4]Development - i'!E801</f>
        <v>b.50mm GM Gate valves</v>
      </c>
      <c r="Z802" s="223" t="str">
        <f t="shared" si="43"/>
        <v>-----------------------</v>
      </c>
    </row>
    <row r="803" spans="1:26" s="241" customFormat="1" ht="65.25">
      <c r="A803" s="305"/>
      <c r="B803" s="306" t="s">
        <v>1219</v>
      </c>
      <c r="C803" s="306" t="s">
        <v>1219</v>
      </c>
      <c r="D803" s="235" t="str">
        <f t="shared" si="44"/>
        <v xml:space="preserve"> OK</v>
      </c>
      <c r="E803" s="254" t="s">
        <v>1219</v>
      </c>
      <c r="F803" s="254" t="s">
        <v>1220</v>
      </c>
      <c r="G803" s="298">
        <v>604</v>
      </c>
      <c r="H803" s="298" t="s">
        <v>556</v>
      </c>
      <c r="I803" s="300"/>
      <c r="J803" s="300"/>
      <c r="K803" s="270"/>
      <c r="L803" s="301"/>
      <c r="M803" s="270"/>
      <c r="N803" s="270"/>
      <c r="O803" s="270"/>
      <c r="P803" s="270"/>
      <c r="Q803" s="270"/>
      <c r="R803" s="270"/>
      <c r="S803" s="270"/>
      <c r="T803" s="301"/>
      <c r="U803" s="270"/>
      <c r="V803" s="240"/>
      <c r="W803" s="238">
        <f t="shared" si="42"/>
        <v>0</v>
      </c>
      <c r="Y803" s="223" t="str">
        <f>'[4]Development - i'!E802</f>
        <v>c.32mm GM Gate valves</v>
      </c>
      <c r="Z803" s="223" t="str">
        <f t="shared" si="43"/>
        <v>-----------------------</v>
      </c>
    </row>
    <row r="804" spans="1:26" s="241" customFormat="1" ht="69.75">
      <c r="A804" s="305"/>
      <c r="B804" s="306" t="s">
        <v>2199</v>
      </c>
      <c r="C804" s="306" t="s">
        <v>2200</v>
      </c>
      <c r="D804" s="235" t="str">
        <f t="shared" si="44"/>
        <v xml:space="preserve"> OK</v>
      </c>
      <c r="E804" s="254" t="s">
        <v>1221</v>
      </c>
      <c r="F804" s="254">
        <v>0</v>
      </c>
      <c r="G804" s="298"/>
      <c r="H804" s="298"/>
      <c r="I804" s="300"/>
      <c r="J804" s="300"/>
      <c r="K804" s="270"/>
      <c r="L804" s="301"/>
      <c r="M804" s="270"/>
      <c r="N804" s="270"/>
      <c r="O804" s="270"/>
      <c r="P804" s="270"/>
      <c r="Q804" s="270"/>
      <c r="R804" s="270"/>
      <c r="S804" s="270"/>
      <c r="T804" s="301"/>
      <c r="U804" s="270"/>
      <c r="V804" s="240"/>
      <c r="W804" s="238">
        <f t="shared" si="42"/>
        <v>0</v>
      </c>
      <c r="Y804" s="223" t="str">
        <f>'[4]Development - i'!E803</f>
        <v>Wiring with 1.5 Sqm.m PVC insulated single core multi strand fire retardant flexible copper cable with ISI mark confirming IS: 694:1990. (Modular)</v>
      </c>
      <c r="Z804" s="223" t="str">
        <f t="shared" si="43"/>
        <v>-----------------------</v>
      </c>
    </row>
    <row r="805" spans="1:26" s="241" customFormat="1">
      <c r="A805" s="305"/>
      <c r="B805" s="306" t="s">
        <v>41</v>
      </c>
      <c r="C805" s="306" t="s">
        <v>41</v>
      </c>
      <c r="D805" s="235" t="str">
        <f t="shared" si="44"/>
        <v xml:space="preserve"> OK</v>
      </c>
      <c r="E805" s="254" t="s">
        <v>41</v>
      </c>
      <c r="F805" s="254">
        <v>0</v>
      </c>
      <c r="G805" s="298">
        <v>1000.51</v>
      </c>
      <c r="H805" s="298" t="s">
        <v>556</v>
      </c>
      <c r="I805" s="300"/>
      <c r="J805" s="300"/>
      <c r="K805" s="270"/>
      <c r="L805" s="301"/>
      <c r="M805" s="270"/>
      <c r="N805" s="270"/>
      <c r="O805" s="270"/>
      <c r="P805" s="270"/>
      <c r="Q805" s="270"/>
      <c r="R805" s="270"/>
      <c r="S805" s="270"/>
      <c r="T805" s="301"/>
      <c r="U805" s="270"/>
      <c r="V805" s="240"/>
      <c r="W805" s="238">
        <f t="shared" si="42"/>
        <v>0</v>
      </c>
      <c r="Y805" s="223" t="str">
        <f>'[4]Development - i'!E804</f>
        <v>a. Light point with ceiling rose</v>
      </c>
      <c r="Z805" s="223" t="str">
        <f t="shared" si="43"/>
        <v>-----------------------</v>
      </c>
    </row>
    <row r="806" spans="1:26" s="241" customFormat="1">
      <c r="A806" s="305"/>
      <c r="B806" s="306" t="s">
        <v>42</v>
      </c>
      <c r="C806" s="306" t="s">
        <v>42</v>
      </c>
      <c r="D806" s="235" t="str">
        <f t="shared" si="44"/>
        <v xml:space="preserve"> OK</v>
      </c>
      <c r="E806" s="254" t="s">
        <v>42</v>
      </c>
      <c r="F806" s="254">
        <v>0</v>
      </c>
      <c r="G806" s="298">
        <v>1003.51</v>
      </c>
      <c r="H806" s="298" t="s">
        <v>556</v>
      </c>
      <c r="I806" s="300"/>
      <c r="J806" s="300"/>
      <c r="K806" s="270"/>
      <c r="L806" s="301"/>
      <c r="M806" s="270"/>
      <c r="N806" s="270"/>
      <c r="O806" s="270"/>
      <c r="P806" s="270"/>
      <c r="Q806" s="270"/>
      <c r="R806" s="270"/>
      <c r="S806" s="270"/>
      <c r="T806" s="301"/>
      <c r="U806" s="270"/>
      <c r="V806" s="240"/>
      <c r="W806" s="238">
        <f t="shared" si="42"/>
        <v>0</v>
      </c>
      <c r="Y806" s="223" t="str">
        <f>'[4]Development - i'!E805</f>
        <v>b. Light point without ceiling rose</v>
      </c>
      <c r="Z806" s="223" t="str">
        <f t="shared" si="43"/>
        <v>-----------------------</v>
      </c>
    </row>
    <row r="807" spans="1:26" s="241" customFormat="1" ht="93">
      <c r="A807" s="305"/>
      <c r="B807" s="306" t="s">
        <v>2201</v>
      </c>
      <c r="C807" s="306" t="s">
        <v>2202</v>
      </c>
      <c r="D807" s="235" t="str">
        <f t="shared" si="44"/>
        <v xml:space="preserve"> OK</v>
      </c>
      <c r="E807" s="254" t="s">
        <v>1222</v>
      </c>
      <c r="F807" s="254">
        <v>0</v>
      </c>
      <c r="G807" s="298">
        <v>769.3</v>
      </c>
      <c r="H807" s="298" t="s">
        <v>556</v>
      </c>
      <c r="I807" s="300"/>
      <c r="J807" s="300"/>
      <c r="K807" s="270"/>
      <c r="L807" s="301"/>
      <c r="M807" s="270"/>
      <c r="N807" s="270"/>
      <c r="O807" s="270"/>
      <c r="P807" s="270"/>
      <c r="Q807" s="270"/>
      <c r="R807" s="270"/>
      <c r="S807" s="270"/>
      <c r="T807" s="301"/>
      <c r="U807" s="270"/>
      <c r="V807" s="240"/>
      <c r="W807" s="238">
        <f t="shared" si="42"/>
        <v>0</v>
      </c>
      <c r="Y807" s="223" t="str">
        <f>'[4]Development - i'!E806</f>
        <v>Wiring with 1.5 Sqm.m PVC insulated single core multi strand fire retardant flexible copper cable with ISI mark confirming IS: 694:1990 for 5 amps 5 pin Modular plug socket point @ Convenient Places.</v>
      </c>
      <c r="Z807" s="223" t="str">
        <f t="shared" si="43"/>
        <v>-----------------------</v>
      </c>
    </row>
    <row r="808" spans="1:26" s="241" customFormat="1" ht="116.25">
      <c r="A808" s="305"/>
      <c r="B808" s="306" t="s">
        <v>2203</v>
      </c>
      <c r="C808" s="306" t="s">
        <v>2204</v>
      </c>
      <c r="D808" s="235" t="str">
        <f t="shared" si="44"/>
        <v xml:space="preserve"> OK</v>
      </c>
      <c r="E808" s="254" t="s">
        <v>1223</v>
      </c>
      <c r="F808" s="254">
        <v>0</v>
      </c>
      <c r="G808" s="298">
        <v>536.54999999999995</v>
      </c>
      <c r="H808" s="298" t="s">
        <v>556</v>
      </c>
      <c r="I808" s="300"/>
      <c r="J808" s="300"/>
      <c r="K808" s="270"/>
      <c r="L808" s="301"/>
      <c r="M808" s="270"/>
      <c r="N808" s="270"/>
      <c r="O808" s="270"/>
      <c r="P808" s="270"/>
      <c r="Q808" s="270"/>
      <c r="R808" s="270"/>
      <c r="S808" s="270"/>
      <c r="T808" s="301"/>
      <c r="U808" s="270"/>
      <c r="V808" s="240"/>
      <c r="W808" s="238">
        <f t="shared" si="42"/>
        <v>0</v>
      </c>
      <c r="Y808" s="223" t="str">
        <f>'[4]Development - i'!E807</f>
        <v>Wiring with 1.5 Sqm.m PVC insulated single core multi strand fire retardant flexible copper cable with ISI mark confirming IS: 694:1990 for 5 amps 5 pin Modular plug socket point @ Switch Board Itself.</v>
      </c>
      <c r="Z808" s="223" t="str">
        <f t="shared" si="43"/>
        <v>-----------------------</v>
      </c>
    </row>
    <row r="809" spans="1:26" s="241" customFormat="1" ht="46.5">
      <c r="A809" s="305"/>
      <c r="B809" s="306" t="s">
        <v>1224</v>
      </c>
      <c r="C809" s="306" t="s">
        <v>1224</v>
      </c>
      <c r="D809" s="235" t="str">
        <f t="shared" si="44"/>
        <v xml:space="preserve"> OK</v>
      </c>
      <c r="E809" s="254" t="s">
        <v>1224</v>
      </c>
      <c r="F809" s="254">
        <v>0</v>
      </c>
      <c r="G809" s="298">
        <v>627.4</v>
      </c>
      <c r="H809" s="298" t="s">
        <v>2205</v>
      </c>
      <c r="I809" s="300"/>
      <c r="J809" s="300"/>
      <c r="K809" s="270"/>
      <c r="L809" s="301"/>
      <c r="M809" s="270"/>
      <c r="N809" s="270"/>
      <c r="O809" s="270"/>
      <c r="P809" s="270"/>
      <c r="Q809" s="270"/>
      <c r="R809" s="270"/>
      <c r="S809" s="270"/>
      <c r="T809" s="301"/>
      <c r="U809" s="270"/>
      <c r="V809" s="240"/>
      <c r="W809" s="238">
        <f t="shared" si="42"/>
        <v>0</v>
      </c>
      <c r="Y809" s="223" t="str">
        <f>'[4]Development - i'!E808</f>
        <v>Supplying and laying of 3.5 core 70 sq.mm PVC armoured LTUG cable (below GL)</v>
      </c>
      <c r="Z809" s="223" t="str">
        <f t="shared" si="43"/>
        <v>-----------------------</v>
      </c>
    </row>
    <row r="810" spans="1:26" s="241" customFormat="1">
      <c r="A810" s="305"/>
      <c r="B810" s="306" t="s">
        <v>1225</v>
      </c>
      <c r="C810" s="306" t="s">
        <v>1225</v>
      </c>
      <c r="D810" s="235" t="str">
        <f t="shared" si="44"/>
        <v xml:space="preserve"> OK</v>
      </c>
      <c r="E810" s="254" t="s">
        <v>1225</v>
      </c>
      <c r="F810" s="254">
        <v>0</v>
      </c>
      <c r="G810" s="298">
        <v>435</v>
      </c>
      <c r="H810" s="298" t="s">
        <v>2205</v>
      </c>
      <c r="I810" s="300"/>
      <c r="J810" s="300"/>
      <c r="K810" s="270"/>
      <c r="L810" s="301"/>
      <c r="M810" s="270"/>
      <c r="N810" s="270"/>
      <c r="O810" s="270"/>
      <c r="P810" s="270"/>
      <c r="Q810" s="270"/>
      <c r="R810" s="270"/>
      <c r="S810" s="270"/>
      <c r="T810" s="301"/>
      <c r="U810" s="270"/>
      <c r="V810" s="240"/>
      <c r="W810" s="238">
        <f t="shared" ref="W810:W873" si="45">ROUND(G811,2)*ROUND(V810,2)</f>
        <v>0</v>
      </c>
      <c r="Y810" s="223" t="str">
        <f>'[4]Development - i'!E809</f>
        <v>S&amp;F 3.5 X 70mm LTUG CABLE Above GL</v>
      </c>
      <c r="Z810" s="223" t="str">
        <f t="shared" si="43"/>
        <v>-----------------------</v>
      </c>
    </row>
    <row r="811" spans="1:26" s="241" customFormat="1">
      <c r="A811" s="305"/>
      <c r="B811" s="306" t="s">
        <v>1226</v>
      </c>
      <c r="C811" s="306" t="s">
        <v>1226</v>
      </c>
      <c r="D811" s="235" t="str">
        <f t="shared" si="44"/>
        <v xml:space="preserve"> OK</v>
      </c>
      <c r="E811" s="254" t="s">
        <v>1226</v>
      </c>
      <c r="F811" s="254">
        <v>0</v>
      </c>
      <c r="G811" s="298">
        <v>356</v>
      </c>
      <c r="H811" s="298" t="s">
        <v>2205</v>
      </c>
      <c r="I811" s="300"/>
      <c r="J811" s="300"/>
      <c r="K811" s="270"/>
      <c r="L811" s="301"/>
      <c r="M811" s="270"/>
      <c r="N811" s="270"/>
      <c r="O811" s="270"/>
      <c r="P811" s="270"/>
      <c r="Q811" s="270"/>
      <c r="R811" s="270"/>
      <c r="S811" s="270"/>
      <c r="T811" s="301"/>
      <c r="U811" s="270"/>
      <c r="V811" s="240"/>
      <c r="W811" s="238">
        <f t="shared" si="45"/>
        <v>0</v>
      </c>
      <c r="Y811" s="223" t="str">
        <f>'[4]Development - i'!E810</f>
        <v>S&amp;F 3.5 X 35mm LTUG CABLE Above GL</v>
      </c>
      <c r="Z811" s="223" t="str">
        <f t="shared" si="43"/>
        <v>-----------------------</v>
      </c>
    </row>
    <row r="812" spans="1:26" s="241" customFormat="1">
      <c r="A812" s="305"/>
      <c r="B812" s="306" t="s">
        <v>1227</v>
      </c>
      <c r="C812" s="306" t="s">
        <v>1227</v>
      </c>
      <c r="D812" s="235" t="str">
        <f t="shared" si="44"/>
        <v xml:space="preserve"> OK</v>
      </c>
      <c r="E812" s="254" t="s">
        <v>1227</v>
      </c>
      <c r="F812" s="254">
        <v>0</v>
      </c>
      <c r="G812" s="298">
        <v>317</v>
      </c>
      <c r="H812" s="298" t="s">
        <v>2205</v>
      </c>
      <c r="I812" s="300"/>
      <c r="J812" s="300"/>
      <c r="K812" s="270"/>
      <c r="L812" s="301"/>
      <c r="M812" s="270"/>
      <c r="N812" s="270"/>
      <c r="O812" s="270"/>
      <c r="P812" s="270"/>
      <c r="Q812" s="270"/>
      <c r="R812" s="270"/>
      <c r="S812" s="270"/>
      <c r="T812" s="301"/>
      <c r="U812" s="270"/>
      <c r="V812" s="240"/>
      <c r="W812" s="238">
        <f t="shared" si="45"/>
        <v>0</v>
      </c>
      <c r="Y812" s="223" t="str">
        <f>'[4]Development - i'!E811</f>
        <v>S&amp;F 3.5 X 25mm LTUG CABLE Above GL</v>
      </c>
      <c r="Z812" s="223" t="str">
        <f t="shared" si="43"/>
        <v>-----------------------</v>
      </c>
    </row>
    <row r="813" spans="1:26" s="241" customFormat="1">
      <c r="A813" s="305"/>
      <c r="B813" s="306" t="s">
        <v>1228</v>
      </c>
      <c r="C813" s="306" t="s">
        <v>1228</v>
      </c>
      <c r="D813" s="235" t="str">
        <f t="shared" si="44"/>
        <v xml:space="preserve"> OK</v>
      </c>
      <c r="E813" s="254" t="s">
        <v>1228</v>
      </c>
      <c r="F813" s="254">
        <v>0</v>
      </c>
      <c r="G813" s="298">
        <v>176.84</v>
      </c>
      <c r="H813" s="298" t="s">
        <v>12</v>
      </c>
      <c r="I813" s="300"/>
      <c r="J813" s="300"/>
      <c r="K813" s="270"/>
      <c r="L813" s="301"/>
      <c r="M813" s="270"/>
      <c r="N813" s="270"/>
      <c r="O813" s="270"/>
      <c r="P813" s="270"/>
      <c r="Q813" s="270"/>
      <c r="R813" s="270"/>
      <c r="S813" s="270"/>
      <c r="T813" s="301"/>
      <c r="U813" s="270"/>
      <c r="V813" s="240"/>
      <c r="W813" s="238">
        <f t="shared" si="45"/>
        <v>0</v>
      </c>
      <c r="Y813" s="223" t="str">
        <f>'[4]Development - i'!E812</f>
        <v>S&amp;F 2X6 Sq.mm LTUG CABLE</v>
      </c>
      <c r="Z813" s="223" t="str">
        <f t="shared" si="43"/>
        <v>-----------------------</v>
      </c>
    </row>
    <row r="814" spans="1:26" s="241" customFormat="1" ht="69.75">
      <c r="A814" s="305"/>
      <c r="B814" s="306" t="s">
        <v>2206</v>
      </c>
      <c r="C814" s="306" t="s">
        <v>2207</v>
      </c>
      <c r="D814" s="235" t="str">
        <f t="shared" si="44"/>
        <v xml:space="preserve"> OK</v>
      </c>
      <c r="E814" s="254" t="s">
        <v>1229</v>
      </c>
      <c r="F814" s="254">
        <v>0</v>
      </c>
      <c r="G814" s="298">
        <v>293.25</v>
      </c>
      <c r="H814" s="298" t="s">
        <v>556</v>
      </c>
      <c r="I814" s="300"/>
      <c r="J814" s="300"/>
      <c r="K814" s="270"/>
      <c r="L814" s="301"/>
      <c r="M814" s="270"/>
      <c r="N814" s="270"/>
      <c r="O814" s="270"/>
      <c r="P814" s="270"/>
      <c r="Q814" s="270"/>
      <c r="R814" s="270"/>
      <c r="S814" s="270"/>
      <c r="T814" s="301"/>
      <c r="U814" s="270"/>
      <c r="V814" s="240"/>
      <c r="W814" s="238">
        <f t="shared" si="45"/>
        <v>0</v>
      </c>
      <c r="Y814" s="223" t="str">
        <f>'[4]Development - i'!E813</f>
        <v>Supplying and fixing of brass cable gland suitable for 3.5 core 70 Sqm.m PVC armoured LTUG cable  SD 189</v>
      </c>
      <c r="Z814" s="223" t="str">
        <f t="shared" si="43"/>
        <v>-----------------------</v>
      </c>
    </row>
    <row r="815" spans="1:26" s="241" customFormat="1" ht="93">
      <c r="A815" s="305"/>
      <c r="B815" s="407" t="s">
        <v>1230</v>
      </c>
      <c r="C815" s="407" t="s">
        <v>1230</v>
      </c>
      <c r="D815" s="235" t="str">
        <f t="shared" si="44"/>
        <v xml:space="preserve"> OK</v>
      </c>
      <c r="E815" s="254" t="s">
        <v>1230</v>
      </c>
      <c r="F815" s="254">
        <v>0</v>
      </c>
      <c r="G815" s="298"/>
      <c r="H815" s="298"/>
      <c r="I815" s="300"/>
      <c r="J815" s="300"/>
      <c r="K815" s="270"/>
      <c r="L815" s="301"/>
      <c r="M815" s="270"/>
      <c r="N815" s="270"/>
      <c r="O815" s="270"/>
      <c r="P815" s="270"/>
      <c r="Q815" s="270"/>
      <c r="R815" s="270"/>
      <c r="S815" s="270"/>
      <c r="T815" s="301"/>
      <c r="U815" s="270"/>
      <c r="V815" s="240"/>
      <c r="W815" s="238">
        <f t="shared" si="45"/>
        <v>0</v>
      </c>
      <c r="Y815" s="223" t="str">
        <f>'[4]Development - i'!E814</f>
        <v>Supply and fixing of Aluminium openable window with 4mm thick Glass with 'I' max hinges of not less than 3mm thick, 304 grade</v>
      </c>
      <c r="Z815" s="223" t="str">
        <f t="shared" si="43"/>
        <v>ERRR</v>
      </c>
    </row>
    <row r="816" spans="1:26" s="241" customFormat="1">
      <c r="A816" s="305"/>
      <c r="B816" s="407" t="s">
        <v>1231</v>
      </c>
      <c r="C816" s="407" t="s">
        <v>1231</v>
      </c>
      <c r="D816" s="235" t="str">
        <f t="shared" si="44"/>
        <v xml:space="preserve"> OK</v>
      </c>
      <c r="E816" s="254" t="s">
        <v>1231</v>
      </c>
      <c r="F816" s="254">
        <v>0</v>
      </c>
      <c r="G816" s="298">
        <f>[3]Data!R1473</f>
        <v>5345.59</v>
      </c>
      <c r="H816" s="298" t="s">
        <v>26</v>
      </c>
      <c r="I816" s="300"/>
      <c r="J816" s="300"/>
      <c r="K816" s="270"/>
      <c r="L816" s="301"/>
      <c r="M816" s="270"/>
      <c r="N816" s="270"/>
      <c r="O816" s="270"/>
      <c r="P816" s="270"/>
      <c r="Q816" s="270"/>
      <c r="R816" s="270"/>
      <c r="S816" s="270"/>
      <c r="T816" s="301"/>
      <c r="U816" s="270"/>
      <c r="V816" s="240"/>
      <c r="W816" s="238">
        <f t="shared" si="45"/>
        <v>0</v>
      </c>
      <c r="Y816" s="223" t="str">
        <f>'[4]Development - i'!E815</f>
        <v>FW 1.80 x 1.65 m ( Eight Leaves)</v>
      </c>
      <c r="Z816" s="223" t="str">
        <f t="shared" si="43"/>
        <v>-----------------------</v>
      </c>
    </row>
    <row r="817" spans="1:26" s="241" customFormat="1">
      <c r="A817" s="305"/>
      <c r="B817" s="407" t="s">
        <v>1232</v>
      </c>
      <c r="C817" s="407" t="s">
        <v>1232</v>
      </c>
      <c r="D817" s="235" t="str">
        <f t="shared" si="44"/>
        <v xml:space="preserve"> OK</v>
      </c>
      <c r="E817" s="254" t="s">
        <v>1232</v>
      </c>
      <c r="F817" s="254">
        <v>0</v>
      </c>
      <c r="G817" s="298">
        <f>'[3]Sliding and french window'!F145</f>
        <v>4896.41</v>
      </c>
      <c r="H817" s="298" t="s">
        <v>26</v>
      </c>
      <c r="I817" s="300"/>
      <c r="J817" s="300"/>
      <c r="K817" s="270"/>
      <c r="L817" s="301"/>
      <c r="M817" s="270"/>
      <c r="N817" s="270"/>
      <c r="O817" s="270"/>
      <c r="P817" s="270"/>
      <c r="Q817" s="270"/>
      <c r="R817" s="270"/>
      <c r="S817" s="270"/>
      <c r="T817" s="301"/>
      <c r="U817" s="270"/>
      <c r="V817" s="240"/>
      <c r="W817" s="238">
        <f t="shared" si="45"/>
        <v>0</v>
      </c>
      <c r="Y817" s="223" t="str">
        <f>'[4]Development - i'!E816</f>
        <v>1.80 x 1.35 mt.window (Three leaves)</v>
      </c>
      <c r="Z817" s="223" t="str">
        <f t="shared" si="43"/>
        <v>-----------------------</v>
      </c>
    </row>
    <row r="818" spans="1:26" s="241" customFormat="1">
      <c r="A818" s="305"/>
      <c r="B818" s="407" t="s">
        <v>1233</v>
      </c>
      <c r="C818" s="407" t="s">
        <v>1233</v>
      </c>
      <c r="D818" s="235" t="str">
        <f t="shared" si="44"/>
        <v xml:space="preserve"> OK</v>
      </c>
      <c r="E818" s="254" t="s">
        <v>1233</v>
      </c>
      <c r="F818" s="254">
        <v>0</v>
      </c>
      <c r="G818" s="298">
        <f>'[3]Sliding and french window'!F32</f>
        <v>4548.7299999999996</v>
      </c>
      <c r="H818" s="298" t="s">
        <v>26</v>
      </c>
      <c r="I818" s="300"/>
      <c r="J818" s="300"/>
      <c r="K818" s="270"/>
      <c r="L818" s="301"/>
      <c r="M818" s="270"/>
      <c r="N818" s="270"/>
      <c r="O818" s="270"/>
      <c r="P818" s="270"/>
      <c r="Q818" s="270"/>
      <c r="R818" s="270"/>
      <c r="S818" s="270"/>
      <c r="T818" s="301"/>
      <c r="U818" s="270"/>
      <c r="V818" s="240"/>
      <c r="W818" s="238">
        <f t="shared" si="45"/>
        <v>0</v>
      </c>
      <c r="Y818" s="223" t="str">
        <f>'[4]Development - i'!E817</f>
        <v>KW 1.20 x 1.05 m (Two leaves)</v>
      </c>
      <c r="Z818" s="223" t="str">
        <f t="shared" si="43"/>
        <v>-----------------------</v>
      </c>
    </row>
    <row r="819" spans="1:26" s="241" customFormat="1">
      <c r="A819" s="305"/>
      <c r="B819" s="407" t="s">
        <v>1234</v>
      </c>
      <c r="C819" s="407" t="s">
        <v>1234</v>
      </c>
      <c r="D819" s="235" t="str">
        <f t="shared" si="44"/>
        <v xml:space="preserve"> OK</v>
      </c>
      <c r="E819" s="254" t="s">
        <v>1234</v>
      </c>
      <c r="F819" s="254">
        <v>0</v>
      </c>
      <c r="G819" s="298">
        <f>'[3]Sliding and french window'!F310</f>
        <v>4910.1499999999996</v>
      </c>
      <c r="H819" s="298" t="s">
        <v>26</v>
      </c>
      <c r="I819" s="300"/>
      <c r="J819" s="300"/>
      <c r="K819" s="270"/>
      <c r="L819" s="301"/>
      <c r="M819" s="270"/>
      <c r="N819" s="270"/>
      <c r="O819" s="270"/>
      <c r="P819" s="270"/>
      <c r="Q819" s="270"/>
      <c r="R819" s="270"/>
      <c r="S819" s="270"/>
      <c r="T819" s="301"/>
      <c r="U819" s="270"/>
      <c r="V819" s="240"/>
      <c r="W819" s="238">
        <f t="shared" si="45"/>
        <v>0</v>
      </c>
      <c r="Y819" s="223" t="str">
        <f>'[4]Development - i'!E818</f>
        <v>1.50 x 1.35 mt.window  (three leaves)</v>
      </c>
      <c r="Z819" s="223" t="str">
        <f t="shared" si="43"/>
        <v>-----------------------</v>
      </c>
    </row>
    <row r="820" spans="1:26" s="241" customFormat="1">
      <c r="A820" s="305"/>
      <c r="B820" s="407" t="s">
        <v>1235</v>
      </c>
      <c r="C820" s="407" t="s">
        <v>1235</v>
      </c>
      <c r="D820" s="235" t="str">
        <f t="shared" si="44"/>
        <v xml:space="preserve"> OK</v>
      </c>
      <c r="E820" s="254" t="s">
        <v>1235</v>
      </c>
      <c r="F820" s="254">
        <v>0</v>
      </c>
      <c r="G820" s="298">
        <f>'[3]Sliding and french window'!F167</f>
        <v>4255.05</v>
      </c>
      <c r="H820" s="298" t="s">
        <v>26</v>
      </c>
      <c r="I820" s="300"/>
      <c r="J820" s="300"/>
      <c r="K820" s="270"/>
      <c r="L820" s="301"/>
      <c r="M820" s="270"/>
      <c r="N820" s="270"/>
      <c r="O820" s="270"/>
      <c r="P820" s="270"/>
      <c r="Q820" s="270"/>
      <c r="R820" s="270"/>
      <c r="S820" s="270"/>
      <c r="T820" s="301"/>
      <c r="U820" s="270"/>
      <c r="V820" s="240"/>
      <c r="W820" s="238">
        <f t="shared" si="45"/>
        <v>0</v>
      </c>
      <c r="Y820" s="223" t="str">
        <f>'[4]Development - i'!E819</f>
        <v xml:space="preserve"> 0.75 x 1.35 mt.window  ( single leaf)</v>
      </c>
      <c r="Z820" s="223" t="str">
        <f t="shared" si="43"/>
        <v>-----------------------</v>
      </c>
    </row>
    <row r="821" spans="1:26" s="241" customFormat="1" ht="46.5">
      <c r="A821" s="305"/>
      <c r="B821" s="407" t="s">
        <v>1236</v>
      </c>
      <c r="C821" s="407" t="s">
        <v>1236</v>
      </c>
      <c r="D821" s="235" t="str">
        <f t="shared" si="44"/>
        <v xml:space="preserve"> OK</v>
      </c>
      <c r="E821" s="254" t="s">
        <v>1236</v>
      </c>
      <c r="F821" s="254">
        <v>0</v>
      </c>
      <c r="G821" s="298">
        <f>'[3]Sliding and french window'!F145</f>
        <v>4896.41</v>
      </c>
      <c r="H821" s="298" t="s">
        <v>26</v>
      </c>
      <c r="I821" s="300"/>
      <c r="J821" s="300"/>
      <c r="K821" s="270"/>
      <c r="L821" s="301"/>
      <c r="M821" s="270"/>
      <c r="N821" s="270"/>
      <c r="O821" s="270"/>
      <c r="P821" s="270"/>
      <c r="Q821" s="270"/>
      <c r="R821" s="270"/>
      <c r="S821" s="270"/>
      <c r="T821" s="301"/>
      <c r="U821" s="270"/>
      <c r="V821" s="240"/>
      <c r="W821" s="238">
        <f t="shared" si="45"/>
        <v>0</v>
      </c>
      <c r="Y821" s="223" t="str">
        <f>'[4]Development - i'!E820</f>
        <v xml:space="preserve">Aluminium window openable 1.35x1.35m (Two leaves)Cochin House </v>
      </c>
      <c r="Z821" s="223" t="str">
        <f t="shared" si="43"/>
        <v>-----------------------</v>
      </c>
    </row>
    <row r="822" spans="1:26" s="241" customFormat="1" ht="46.5">
      <c r="A822" s="305"/>
      <c r="B822" s="407" t="s">
        <v>1237</v>
      </c>
      <c r="C822" s="407" t="s">
        <v>1237</v>
      </c>
      <c r="D822" s="235" t="str">
        <f t="shared" si="44"/>
        <v xml:space="preserve"> OK</v>
      </c>
      <c r="E822" s="254" t="s">
        <v>1237</v>
      </c>
      <c r="F822" s="254">
        <v>0</v>
      </c>
      <c r="G822" s="298">
        <f>'[3]Sliding and french window'!F46</f>
        <v>4317.55</v>
      </c>
      <c r="H822" s="298" t="s">
        <v>26</v>
      </c>
      <c r="I822" s="300"/>
      <c r="J822" s="300"/>
      <c r="K822" s="270"/>
      <c r="L822" s="301"/>
      <c r="M822" s="270"/>
      <c r="N822" s="270"/>
      <c r="O822" s="270"/>
      <c r="P822" s="270"/>
      <c r="Q822" s="270"/>
      <c r="R822" s="270"/>
      <c r="S822" s="270"/>
      <c r="T822" s="301"/>
      <c r="U822" s="270"/>
      <c r="V822" s="240"/>
      <c r="W822" s="238">
        <f t="shared" si="45"/>
        <v>0</v>
      </c>
      <c r="Y822" s="223" t="str">
        <f>'[4]Development - i'!E821</f>
        <v>Aluminium window openable 1.35x1.05m (Two leaves)</v>
      </c>
      <c r="Z822" s="223" t="str">
        <f t="shared" si="43"/>
        <v>-----------------------</v>
      </c>
    </row>
    <row r="823" spans="1:26" s="241" customFormat="1" ht="46.5">
      <c r="A823" s="305"/>
      <c r="B823" s="407" t="s">
        <v>1238</v>
      </c>
      <c r="C823" s="407" t="s">
        <v>1238</v>
      </c>
      <c r="D823" s="235" t="str">
        <f t="shared" si="44"/>
        <v xml:space="preserve"> OK</v>
      </c>
      <c r="E823" s="254" t="s">
        <v>1238</v>
      </c>
      <c r="F823" s="254">
        <v>0</v>
      </c>
      <c r="G823" s="298">
        <f>'[3]Sliding and french window'!F32</f>
        <v>4548.7299999999996</v>
      </c>
      <c r="H823" s="298" t="s">
        <v>26</v>
      </c>
      <c r="I823" s="300"/>
      <c r="J823" s="300"/>
      <c r="K823" s="270"/>
      <c r="L823" s="301"/>
      <c r="M823" s="270"/>
      <c r="N823" s="270"/>
      <c r="O823" s="270"/>
      <c r="P823" s="270"/>
      <c r="Q823" s="270"/>
      <c r="R823" s="270"/>
      <c r="S823" s="270"/>
      <c r="T823" s="301"/>
      <c r="U823" s="270"/>
      <c r="V823" s="240"/>
      <c r="W823" s="238">
        <f t="shared" si="45"/>
        <v>0</v>
      </c>
      <c r="Y823" s="223" t="str">
        <f>'[4]Development - i'!E822</f>
        <v>Aluminium window openable 1.2x1.35m (Two leaves)</v>
      </c>
      <c r="Z823" s="223" t="str">
        <f t="shared" si="43"/>
        <v>-----------------------</v>
      </c>
    </row>
    <row r="824" spans="1:26" s="241" customFormat="1" ht="69.75">
      <c r="A824" s="305"/>
      <c r="B824" s="407" t="s">
        <v>1239</v>
      </c>
      <c r="C824" s="407" t="s">
        <v>1239</v>
      </c>
      <c r="D824" s="235" t="str">
        <f t="shared" si="44"/>
        <v xml:space="preserve"> OK</v>
      </c>
      <c r="E824" s="254" t="s">
        <v>1239</v>
      </c>
      <c r="F824" s="254">
        <v>0</v>
      </c>
      <c r="G824" s="298">
        <f>'[3]Sliding and french window'!F167</f>
        <v>4255.05</v>
      </c>
      <c r="H824" s="298" t="s">
        <v>26</v>
      </c>
      <c r="I824" s="300"/>
      <c r="J824" s="300"/>
      <c r="K824" s="270"/>
      <c r="L824" s="301"/>
      <c r="M824" s="270"/>
      <c r="N824" s="270"/>
      <c r="O824" s="270"/>
      <c r="P824" s="270"/>
      <c r="Q824" s="270"/>
      <c r="R824" s="270"/>
      <c r="S824" s="270"/>
      <c r="T824" s="301"/>
      <c r="U824" s="270"/>
      <c r="V824" s="240"/>
      <c r="W824" s="238">
        <f t="shared" si="45"/>
        <v>0</v>
      </c>
      <c r="Y824" s="223" t="str">
        <f>'[4]Development - i'!E823</f>
        <v>Aluminium window openable 1.80 x 1.65 m =2.97m2 FRENCH WINDOW (Reference Data Nagapattinam AR - Ph-xix</v>
      </c>
      <c r="Z824" s="223" t="str">
        <f t="shared" si="43"/>
        <v>-----------------------</v>
      </c>
    </row>
    <row r="825" spans="1:26" s="241" customFormat="1" ht="130.5">
      <c r="A825" s="305"/>
      <c r="B825" s="306" t="s">
        <v>1240</v>
      </c>
      <c r="C825" s="306" t="s">
        <v>1240</v>
      </c>
      <c r="D825" s="235" t="str">
        <f t="shared" si="44"/>
        <v xml:space="preserve"> OK</v>
      </c>
      <c r="E825" s="254" t="s">
        <v>1240</v>
      </c>
      <c r="F825" s="254" t="s">
        <v>1241</v>
      </c>
      <c r="G825" s="298">
        <v>6950</v>
      </c>
      <c r="H825" s="298" t="s">
        <v>556</v>
      </c>
      <c r="I825" s="300"/>
      <c r="J825" s="300"/>
      <c r="K825" s="270"/>
      <c r="L825" s="301"/>
      <c r="M825" s="270"/>
      <c r="N825" s="270"/>
      <c r="O825" s="270"/>
      <c r="P825" s="270"/>
      <c r="Q825" s="270"/>
      <c r="R825" s="270"/>
      <c r="S825" s="270"/>
      <c r="T825" s="301"/>
      <c r="U825" s="270"/>
      <c r="V825" s="240"/>
      <c r="W825" s="238">
        <f t="shared" si="45"/>
        <v>0</v>
      </c>
      <c r="Y825" s="223" t="str">
        <f>'[4]Development - i'!E824</f>
        <v>Supply and fixing of 100 amps TPN sheet double break switch with HRC fuse and neutral on suitable angle iron frame work with MS cable entry boxes and PWD earthing(SR-14-15(p-65)</v>
      </c>
      <c r="Z825" s="223" t="str">
        <f t="shared" si="43"/>
        <v>-----------------------</v>
      </c>
    </row>
    <row r="826" spans="1:26" s="241" customFormat="1" ht="108.75">
      <c r="A826" s="305"/>
      <c r="B826" s="306" t="s">
        <v>1242</v>
      </c>
      <c r="C826" s="306" t="s">
        <v>1242</v>
      </c>
      <c r="D826" s="235" t="str">
        <f t="shared" si="44"/>
        <v xml:space="preserve"> OK</v>
      </c>
      <c r="E826" s="254" t="s">
        <v>1242</v>
      </c>
      <c r="F826" s="254" t="s">
        <v>1243</v>
      </c>
      <c r="G826" s="298">
        <v>634</v>
      </c>
      <c r="H826" s="298" t="s">
        <v>556</v>
      </c>
      <c r="I826" s="300"/>
      <c r="J826" s="300"/>
      <c r="K826" s="270"/>
      <c r="L826" s="301"/>
      <c r="M826" s="270"/>
      <c r="N826" s="270"/>
      <c r="O826" s="270"/>
      <c r="P826" s="270"/>
      <c r="Q826" s="270"/>
      <c r="R826" s="270"/>
      <c r="S826" s="270"/>
      <c r="T826" s="301"/>
      <c r="U826" s="270"/>
      <c r="V826" s="240"/>
      <c r="W826" s="238">
        <f t="shared" si="45"/>
        <v>0</v>
      </c>
      <c r="Y826" s="223" t="str">
        <f>'[4]Development - i'!E825</f>
        <v>Supply and fixing of 200 amps fuse unit SRP-66</v>
      </c>
      <c r="Z826" s="223" t="str">
        <f t="shared" si="43"/>
        <v>ERRR</v>
      </c>
    </row>
    <row r="827" spans="1:26" s="241" customFormat="1" ht="130.5">
      <c r="A827" s="305"/>
      <c r="B827" s="306" t="s">
        <v>1244</v>
      </c>
      <c r="C827" s="306" t="s">
        <v>1244</v>
      </c>
      <c r="D827" s="235" t="str">
        <f t="shared" si="44"/>
        <v xml:space="preserve"> OK</v>
      </c>
      <c r="E827" s="254" t="s">
        <v>1244</v>
      </c>
      <c r="F827" s="254" t="s">
        <v>1245</v>
      </c>
      <c r="G827" s="298">
        <v>9470</v>
      </c>
      <c r="H827" s="298" t="s">
        <v>556</v>
      </c>
      <c r="I827" s="300"/>
      <c r="J827" s="300"/>
      <c r="K827" s="270"/>
      <c r="L827" s="301"/>
      <c r="M827" s="270"/>
      <c r="N827" s="270"/>
      <c r="O827" s="270"/>
      <c r="P827" s="270"/>
      <c r="Q827" s="270"/>
      <c r="R827" s="270"/>
      <c r="S827" s="270"/>
      <c r="T827" s="301"/>
      <c r="U827" s="270"/>
      <c r="V827" s="240"/>
      <c r="W827" s="238">
        <f t="shared" si="45"/>
        <v>0</v>
      </c>
      <c r="Y827" s="223" t="str">
        <f>'[4]Development - i'!E826</f>
        <v>Supply and fixing of 200 amps TPN switch with HRC fuses sheet steel double breakSRP-65, 3 ©</v>
      </c>
      <c r="Z827" s="223" t="str">
        <f t="shared" si="43"/>
        <v>ERRR</v>
      </c>
    </row>
    <row r="828" spans="1:26" s="241" customFormat="1" ht="46.5">
      <c r="A828" s="305"/>
      <c r="B828" s="306" t="s">
        <v>1246</v>
      </c>
      <c r="C828" s="306" t="s">
        <v>1246</v>
      </c>
      <c r="D828" s="235" t="str">
        <f t="shared" si="44"/>
        <v xml:space="preserve"> OK</v>
      </c>
      <c r="E828" s="254" t="s">
        <v>1246</v>
      </c>
      <c r="F828" s="254">
        <v>0</v>
      </c>
      <c r="G828" s="298">
        <v>123622</v>
      </c>
      <c r="H828" s="298" t="s">
        <v>556</v>
      </c>
      <c r="I828" s="300"/>
      <c r="J828" s="300"/>
      <c r="K828" s="270"/>
      <c r="L828" s="301"/>
      <c r="M828" s="270"/>
      <c r="N828" s="270"/>
      <c r="O828" s="270"/>
      <c r="P828" s="270"/>
      <c r="Q828" s="270"/>
      <c r="R828" s="270"/>
      <c r="S828" s="270"/>
      <c r="T828" s="301"/>
      <c r="U828" s="270"/>
      <c r="V828" s="240"/>
      <c r="W828" s="238">
        <f t="shared" si="45"/>
        <v>0</v>
      </c>
      <c r="Y828" s="223" t="str">
        <f>'[4]Development - i'!E827</f>
        <v>Supply and fixing of 250 amps cubical type panel board</v>
      </c>
      <c r="Z828" s="223" t="str">
        <f t="shared" si="43"/>
        <v>-----------------------</v>
      </c>
    </row>
    <row r="829" spans="1:26" s="241" customFormat="1" ht="69.75">
      <c r="A829" s="305"/>
      <c r="B829" s="306" t="s">
        <v>2208</v>
      </c>
      <c r="C829" s="306" t="s">
        <v>1247</v>
      </c>
      <c r="D829" s="235" t="str">
        <f t="shared" si="44"/>
        <v xml:space="preserve"> OK</v>
      </c>
      <c r="E829" s="254" t="s">
        <v>2209</v>
      </c>
      <c r="F829" s="254">
        <v>0</v>
      </c>
      <c r="G829" s="298">
        <v>704.75</v>
      </c>
      <c r="H829" s="298" t="s">
        <v>556</v>
      </c>
      <c r="I829" s="300"/>
      <c r="J829" s="300"/>
      <c r="K829" s="270"/>
      <c r="L829" s="301"/>
      <c r="M829" s="270"/>
      <c r="N829" s="270"/>
      <c r="O829" s="270"/>
      <c r="P829" s="270"/>
      <c r="Q829" s="270"/>
      <c r="R829" s="270"/>
      <c r="S829" s="270"/>
      <c r="T829" s="301"/>
      <c r="U829" s="270"/>
      <c r="V829" s="240"/>
      <c r="W829" s="238">
        <f t="shared" si="45"/>
        <v>0</v>
      </c>
      <c r="Y829" s="223" t="str">
        <f>'[4]Development - i'!E828</f>
        <v xml:space="preserve">Supplying and fixing of  SS Soap Tray  including cost of all materials and all labour charges etc complete </v>
      </c>
      <c r="Z829" s="223" t="str">
        <f t="shared" si="43"/>
        <v>-----------------------</v>
      </c>
    </row>
    <row r="830" spans="1:26" s="241" customFormat="1" ht="87">
      <c r="A830" s="305"/>
      <c r="B830" s="306" t="s">
        <v>2210</v>
      </c>
      <c r="C830" s="306" t="s">
        <v>1248</v>
      </c>
      <c r="D830" s="235" t="str">
        <f t="shared" si="44"/>
        <v xml:space="preserve"> OK</v>
      </c>
      <c r="E830" s="254" t="s">
        <v>2211</v>
      </c>
      <c r="F830" s="254" t="s">
        <v>1249</v>
      </c>
      <c r="G830" s="298">
        <v>762</v>
      </c>
      <c r="H830" s="298" t="s">
        <v>556</v>
      </c>
      <c r="I830" s="300"/>
      <c r="J830" s="300"/>
      <c r="K830" s="270"/>
      <c r="L830" s="301"/>
      <c r="M830" s="270"/>
      <c r="N830" s="270"/>
      <c r="O830" s="270"/>
      <c r="P830" s="270"/>
      <c r="Q830" s="270"/>
      <c r="R830" s="270"/>
      <c r="S830" s="270"/>
      <c r="T830" s="301"/>
      <c r="U830" s="270"/>
      <c r="V830" s="240"/>
      <c r="W830" s="238">
        <f t="shared" si="45"/>
        <v>0</v>
      </c>
      <c r="Y830" s="223" t="str">
        <f>'[4]Development - i'!E829</f>
        <v xml:space="preserve">Supplying and fixing of CP Angle valve Stop cock  including cost of all materials and all labour charges etc complete </v>
      </c>
      <c r="Z830" s="223" t="str">
        <f t="shared" si="43"/>
        <v>-----------------------</v>
      </c>
    </row>
    <row r="831" spans="1:26" s="241" customFormat="1">
      <c r="A831" s="305"/>
      <c r="B831" s="408" t="s">
        <v>2212</v>
      </c>
      <c r="C831" s="408" t="s">
        <v>1250</v>
      </c>
      <c r="D831" s="235" t="str">
        <f t="shared" si="44"/>
        <v xml:space="preserve"> OK</v>
      </c>
      <c r="E831" s="254" t="s">
        <v>2213</v>
      </c>
      <c r="F831" s="254">
        <v>0</v>
      </c>
      <c r="G831" s="298">
        <v>473.5</v>
      </c>
      <c r="H831" s="298" t="s">
        <v>12</v>
      </c>
      <c r="I831" s="300"/>
      <c r="J831" s="300"/>
      <c r="K831" s="270"/>
      <c r="L831" s="301"/>
      <c r="M831" s="270"/>
      <c r="N831" s="270"/>
      <c r="O831" s="270"/>
      <c r="P831" s="270"/>
      <c r="Q831" s="270"/>
      <c r="R831" s="270"/>
      <c r="S831" s="270"/>
      <c r="T831" s="301"/>
      <c r="U831" s="270"/>
      <c r="V831" s="240"/>
      <c r="W831" s="238">
        <f t="shared" si="45"/>
        <v>0</v>
      </c>
      <c r="Y831" s="223" t="str">
        <f>'[4]Development - i'!E830</f>
        <v>Supplying and fixing of 25x 3mm  Copper flat</v>
      </c>
      <c r="Z831" s="223" t="str">
        <f t="shared" si="43"/>
        <v>-----------------------</v>
      </c>
    </row>
    <row r="832" spans="1:26" s="241" customFormat="1" ht="46.5">
      <c r="A832" s="305"/>
      <c r="B832" s="408" t="s">
        <v>2214</v>
      </c>
      <c r="C832" s="408" t="s">
        <v>1251</v>
      </c>
      <c r="D832" s="235" t="str">
        <f t="shared" si="44"/>
        <v xml:space="preserve"> OK</v>
      </c>
      <c r="E832" s="254" t="s">
        <v>2215</v>
      </c>
      <c r="F832" s="254">
        <v>0</v>
      </c>
      <c r="G832" s="298">
        <v>952</v>
      </c>
      <c r="H832" s="298" t="s">
        <v>556</v>
      </c>
      <c r="I832" s="300"/>
      <c r="J832" s="300"/>
      <c r="K832" s="270"/>
      <c r="L832" s="301"/>
      <c r="M832" s="270"/>
      <c r="N832" s="270"/>
      <c r="O832" s="270"/>
      <c r="P832" s="270"/>
      <c r="Q832" s="270"/>
      <c r="R832" s="270"/>
      <c r="S832" s="270"/>
      <c r="T832" s="301"/>
      <c r="U832" s="270"/>
      <c r="V832" s="240"/>
      <c r="W832" s="238">
        <f t="shared" si="45"/>
        <v>0</v>
      </c>
      <c r="Y832" s="223" t="str">
        <f>'[4]Development - i'!E831</f>
        <v xml:space="preserve">Supply and fixing of Health faucet approved quality with ISI mark </v>
      </c>
      <c r="Z832" s="223" t="str">
        <f t="shared" si="43"/>
        <v>-----------------------</v>
      </c>
    </row>
    <row r="833" spans="1:26" s="241" customFormat="1">
      <c r="A833" s="305"/>
      <c r="B833" s="408" t="s">
        <v>1252</v>
      </c>
      <c r="C833" s="408" t="s">
        <v>1252</v>
      </c>
      <c r="D833" s="235" t="str">
        <f t="shared" si="44"/>
        <v xml:space="preserve"> OK</v>
      </c>
      <c r="E833" s="254" t="s">
        <v>1252</v>
      </c>
      <c r="F833" s="254">
        <v>0</v>
      </c>
      <c r="G833" s="298">
        <v>11481.8</v>
      </c>
      <c r="H833" s="298" t="s">
        <v>556</v>
      </c>
      <c r="I833" s="300"/>
      <c r="J833" s="300"/>
      <c r="K833" s="270"/>
      <c r="L833" s="301"/>
      <c r="M833" s="270"/>
      <c r="N833" s="270"/>
      <c r="O833" s="270"/>
      <c r="P833" s="270"/>
      <c r="Q833" s="270"/>
      <c r="R833" s="270"/>
      <c r="S833" s="270"/>
      <c r="T833" s="301"/>
      <c r="U833" s="270"/>
      <c r="V833" s="240"/>
      <c r="W833" s="238">
        <f t="shared" si="45"/>
        <v>0</v>
      </c>
      <c r="Y833" s="223" t="str">
        <f>'[4]Development - i'!E832</f>
        <v>S&amp;F TPN 12 way DB encloser (SR-p-80)</v>
      </c>
      <c r="Z833" s="223" t="str">
        <f t="shared" si="43"/>
        <v>-----------------------</v>
      </c>
    </row>
    <row r="834" spans="1:26" s="241" customFormat="1" ht="65.25">
      <c r="A834" s="305"/>
      <c r="B834" s="408" t="s">
        <v>1253</v>
      </c>
      <c r="C834" s="408" t="s">
        <v>1253</v>
      </c>
      <c r="D834" s="235" t="str">
        <f t="shared" si="44"/>
        <v xml:space="preserve"> OK</v>
      </c>
      <c r="E834" s="254" t="s">
        <v>1253</v>
      </c>
      <c r="F834" s="254" t="s">
        <v>1254</v>
      </c>
      <c r="G834" s="298">
        <v>5325.6</v>
      </c>
      <c r="H834" s="298" t="s">
        <v>556</v>
      </c>
      <c r="I834" s="300"/>
      <c r="J834" s="300"/>
      <c r="K834" s="270"/>
      <c r="L834" s="301"/>
      <c r="M834" s="270"/>
      <c r="N834" s="270"/>
      <c r="O834" s="270"/>
      <c r="P834" s="270"/>
      <c r="Q834" s="270"/>
      <c r="R834" s="270"/>
      <c r="S834" s="270"/>
      <c r="T834" s="301"/>
      <c r="U834" s="270"/>
      <c r="V834" s="240"/>
      <c r="W834" s="238">
        <f t="shared" si="45"/>
        <v>0</v>
      </c>
      <c r="Y834" s="223" t="str">
        <f>'[4]Development - i'!E833</f>
        <v>S&amp;F TPN 8 way DB encloser CER No.178/2013-14</v>
      </c>
      <c r="Z834" s="223" t="str">
        <f t="shared" si="43"/>
        <v>ERRR</v>
      </c>
    </row>
    <row r="835" spans="1:26" s="241" customFormat="1" ht="46.5">
      <c r="A835" s="305"/>
      <c r="B835" s="408" t="s">
        <v>1255</v>
      </c>
      <c r="C835" s="408" t="s">
        <v>1255</v>
      </c>
      <c r="D835" s="235" t="str">
        <f t="shared" si="44"/>
        <v xml:space="preserve"> OK</v>
      </c>
      <c r="E835" s="254" t="s">
        <v>1255</v>
      </c>
      <c r="F835" s="254">
        <v>0</v>
      </c>
      <c r="G835" s="298">
        <v>8254.6</v>
      </c>
      <c r="H835" s="298" t="s">
        <v>556</v>
      </c>
      <c r="I835" s="300"/>
      <c r="J835" s="300"/>
      <c r="K835" s="270"/>
      <c r="L835" s="301"/>
      <c r="M835" s="270"/>
      <c r="N835" s="270"/>
      <c r="O835" s="270"/>
      <c r="P835" s="270"/>
      <c r="Q835" s="270"/>
      <c r="R835" s="270"/>
      <c r="S835" s="270"/>
      <c r="T835" s="301"/>
      <c r="U835" s="270"/>
      <c r="V835" s="240"/>
      <c r="W835" s="238">
        <f t="shared" si="45"/>
        <v>0</v>
      </c>
      <c r="Y835" s="223" t="str">
        <f>'[4]Development - i'!E834</f>
        <v>S&amp;F TPN 6 way DB encloserCER No.178/2013-14</v>
      </c>
      <c r="Z835" s="223" t="str">
        <f t="shared" si="43"/>
        <v>ERRR</v>
      </c>
    </row>
    <row r="836" spans="1:26" s="241" customFormat="1" ht="46.5">
      <c r="A836" s="305"/>
      <c r="B836" s="408" t="s">
        <v>1256</v>
      </c>
      <c r="C836" s="408" t="s">
        <v>1256</v>
      </c>
      <c r="D836" s="235" t="str">
        <f t="shared" si="44"/>
        <v xml:space="preserve"> OK</v>
      </c>
      <c r="E836" s="254" t="s">
        <v>1256</v>
      </c>
      <c r="F836" s="254">
        <v>0</v>
      </c>
      <c r="G836" s="298">
        <v>6588</v>
      </c>
      <c r="H836" s="298" t="s">
        <v>556</v>
      </c>
      <c r="I836" s="300"/>
      <c r="J836" s="300"/>
      <c r="K836" s="270"/>
      <c r="L836" s="301"/>
      <c r="M836" s="270"/>
      <c r="N836" s="270"/>
      <c r="O836" s="270"/>
      <c r="P836" s="270"/>
      <c r="Q836" s="270"/>
      <c r="R836" s="270"/>
      <c r="S836" s="270"/>
      <c r="T836" s="301"/>
      <c r="U836" s="270"/>
      <c r="V836" s="240"/>
      <c r="W836" s="238">
        <f t="shared" si="45"/>
        <v>0</v>
      </c>
      <c r="Y836" s="223" t="str">
        <f>'[4]Development - i'!E835</f>
        <v>S&amp;F TPN 4 way DB encloserCER No.178/2013-14</v>
      </c>
      <c r="Z836" s="223" t="str">
        <f t="shared" si="43"/>
        <v>ERRR</v>
      </c>
    </row>
    <row r="837" spans="1:26" s="241" customFormat="1" ht="46.5">
      <c r="A837" s="305"/>
      <c r="B837" s="408" t="s">
        <v>2216</v>
      </c>
      <c r="C837" s="408" t="s">
        <v>1257</v>
      </c>
      <c r="D837" s="235" t="str">
        <f t="shared" si="44"/>
        <v xml:space="preserve"> OK</v>
      </c>
      <c r="E837" s="254" t="s">
        <v>2217</v>
      </c>
      <c r="F837" s="254">
        <v>0</v>
      </c>
      <c r="G837" s="298">
        <v>593</v>
      </c>
      <c r="H837" s="298" t="s">
        <v>556</v>
      </c>
      <c r="I837" s="300"/>
      <c r="J837" s="300"/>
      <c r="K837" s="270"/>
      <c r="L837" s="301"/>
      <c r="M837" s="270"/>
      <c r="N837" s="270"/>
      <c r="O837" s="270"/>
      <c r="P837" s="270"/>
      <c r="Q837" s="270"/>
      <c r="R837" s="270"/>
      <c r="S837" s="270"/>
      <c r="T837" s="301"/>
      <c r="U837" s="270"/>
      <c r="V837" s="240"/>
      <c r="W837" s="238">
        <f t="shared" si="45"/>
        <v>0</v>
      </c>
      <c r="Y837" s="223" t="str">
        <f>'[4]Development - i'!E836</f>
        <v>Supply and fixing of spot light of approved make and company with ISI CFL bulb  CER No.178/13-14</v>
      </c>
      <c r="Z837" s="223" t="str">
        <f t="shared" si="43"/>
        <v>-----------------------</v>
      </c>
    </row>
    <row r="838" spans="1:26" s="255" customFormat="1" ht="304.5">
      <c r="A838" s="409"/>
      <c r="B838" s="410" t="s">
        <v>542</v>
      </c>
      <c r="C838" s="410" t="s">
        <v>542</v>
      </c>
      <c r="D838" s="235" t="str">
        <f t="shared" si="44"/>
        <v xml:space="preserve"> OK</v>
      </c>
      <c r="E838" s="254" t="s">
        <v>542</v>
      </c>
      <c r="F838" s="254" t="s">
        <v>1258</v>
      </c>
      <c r="G838" s="298">
        <v>6363</v>
      </c>
      <c r="H838" s="298" t="s">
        <v>26</v>
      </c>
      <c r="I838" s="300"/>
      <c r="J838" s="300"/>
      <c r="K838" s="270"/>
      <c r="L838" s="301"/>
      <c r="M838" s="270"/>
      <c r="N838" s="270"/>
      <c r="O838" s="270"/>
      <c r="P838" s="270"/>
      <c r="Q838" s="270"/>
      <c r="R838" s="270"/>
      <c r="S838" s="270"/>
      <c r="T838" s="301"/>
      <c r="U838" s="270"/>
      <c r="V838" s="240"/>
      <c r="W838" s="238">
        <f t="shared" si="45"/>
        <v>0</v>
      </c>
      <c r="Y838" s="223" t="str">
        <f>'[4]Development - i'!E837</f>
        <v>S&amp;F OF UPVC  Windows ( Non  Schedule item )</v>
      </c>
      <c r="Z838" s="223" t="str">
        <f t="shared" si="43"/>
        <v>-----------------------</v>
      </c>
    </row>
    <row r="839" spans="1:26" s="241" customFormat="1">
      <c r="A839" s="305"/>
      <c r="B839" s="380" t="s">
        <v>1259</v>
      </c>
      <c r="C839" s="380" t="s">
        <v>1259</v>
      </c>
      <c r="D839" s="235" t="str">
        <f t="shared" si="44"/>
        <v xml:space="preserve"> OK</v>
      </c>
      <c r="E839" s="254" t="s">
        <v>1259</v>
      </c>
      <c r="F839" s="254" t="s">
        <v>1259</v>
      </c>
      <c r="G839" s="298">
        <v>6363</v>
      </c>
      <c r="H839" s="298" t="s">
        <v>26</v>
      </c>
      <c r="I839" s="300"/>
      <c r="J839" s="300"/>
      <c r="K839" s="270"/>
      <c r="L839" s="301"/>
      <c r="M839" s="270"/>
      <c r="N839" s="270"/>
      <c r="O839" s="270"/>
      <c r="P839" s="270"/>
      <c r="Q839" s="270"/>
      <c r="R839" s="270"/>
      <c r="S839" s="270"/>
      <c r="T839" s="301"/>
      <c r="U839" s="270"/>
      <c r="V839" s="240"/>
      <c r="W839" s="238">
        <f t="shared" si="45"/>
        <v>0</v>
      </c>
      <c r="Y839" s="223" t="str">
        <f>'[4]Development - i'!E838</f>
        <v>a) FW 900 X 2100</v>
      </c>
      <c r="Z839" s="223" t="str">
        <f t="shared" si="43"/>
        <v>-----------------------</v>
      </c>
    </row>
    <row r="840" spans="1:26" s="241" customFormat="1">
      <c r="A840" s="305"/>
      <c r="B840" s="380" t="s">
        <v>1260</v>
      </c>
      <c r="C840" s="380" t="s">
        <v>1260</v>
      </c>
      <c r="D840" s="235" t="str">
        <f t="shared" si="44"/>
        <v xml:space="preserve"> OK</v>
      </c>
      <c r="E840" s="254" t="s">
        <v>1260</v>
      </c>
      <c r="F840" s="254" t="s">
        <v>1260</v>
      </c>
      <c r="G840" s="298">
        <v>6363</v>
      </c>
      <c r="H840" s="298" t="s">
        <v>26</v>
      </c>
      <c r="I840" s="300"/>
      <c r="J840" s="300"/>
      <c r="K840" s="270"/>
      <c r="L840" s="301"/>
      <c r="M840" s="270"/>
      <c r="N840" s="270"/>
      <c r="O840" s="270"/>
      <c r="P840" s="270"/>
      <c r="Q840" s="270"/>
      <c r="R840" s="270"/>
      <c r="S840" s="270"/>
      <c r="T840" s="301"/>
      <c r="U840" s="270"/>
      <c r="V840" s="240"/>
      <c r="W840" s="238">
        <f t="shared" si="45"/>
        <v>0</v>
      </c>
      <c r="Y840" s="223" t="str">
        <f>'[4]Development - i'!E839</f>
        <v>b) W 1800 X 1650</v>
      </c>
      <c r="Z840" s="223" t="str">
        <f t="shared" si="43"/>
        <v>-----------------------</v>
      </c>
    </row>
    <row r="841" spans="1:26" s="241" customFormat="1">
      <c r="A841" s="305"/>
      <c r="B841" s="380" t="s">
        <v>1261</v>
      </c>
      <c r="C841" s="380" t="s">
        <v>1261</v>
      </c>
      <c r="D841" s="235" t="str">
        <f t="shared" si="44"/>
        <v xml:space="preserve"> OK</v>
      </c>
      <c r="E841" s="254" t="s">
        <v>1261</v>
      </c>
      <c r="F841" s="254" t="s">
        <v>1261</v>
      </c>
      <c r="G841" s="298">
        <v>6363</v>
      </c>
      <c r="H841" s="298" t="s">
        <v>26</v>
      </c>
      <c r="I841" s="300"/>
      <c r="J841" s="300"/>
      <c r="K841" s="270"/>
      <c r="L841" s="301"/>
      <c r="M841" s="270"/>
      <c r="N841" s="270"/>
      <c r="O841" s="270"/>
      <c r="P841" s="270"/>
      <c r="Q841" s="270"/>
      <c r="R841" s="270"/>
      <c r="S841" s="270"/>
      <c r="T841" s="301"/>
      <c r="U841" s="270"/>
      <c r="V841" s="240"/>
      <c r="W841" s="238">
        <f t="shared" si="45"/>
        <v>0</v>
      </c>
      <c r="Y841" s="223" t="str">
        <f>'[4]Development - i'!E840</f>
        <v>c) W1 1500 X 1650</v>
      </c>
      <c r="Z841" s="223" t="str">
        <f t="shared" si="43"/>
        <v>-----------------------</v>
      </c>
    </row>
    <row r="842" spans="1:26" s="241" customFormat="1">
      <c r="A842" s="305"/>
      <c r="B842" s="380" t="s">
        <v>1262</v>
      </c>
      <c r="C842" s="380" t="s">
        <v>1262</v>
      </c>
      <c r="D842" s="235" t="str">
        <f t="shared" si="44"/>
        <v xml:space="preserve"> OK</v>
      </c>
      <c r="E842" s="254" t="s">
        <v>1262</v>
      </c>
      <c r="F842" s="254" t="s">
        <v>1262</v>
      </c>
      <c r="G842" s="298">
        <v>6363</v>
      </c>
      <c r="H842" s="298" t="s">
        <v>26</v>
      </c>
      <c r="I842" s="300"/>
      <c r="J842" s="300"/>
      <c r="K842" s="270"/>
      <c r="L842" s="301"/>
      <c r="M842" s="270"/>
      <c r="N842" s="270"/>
      <c r="O842" s="270"/>
      <c r="P842" s="270"/>
      <c r="Q842" s="270"/>
      <c r="R842" s="270"/>
      <c r="S842" s="270"/>
      <c r="T842" s="301"/>
      <c r="U842" s="270"/>
      <c r="V842" s="240"/>
      <c r="W842" s="238">
        <f t="shared" si="45"/>
        <v>0</v>
      </c>
      <c r="Y842" s="223" t="str">
        <f>'[4]Development - i'!E841</f>
        <v>d) W0 2400 X 1650</v>
      </c>
      <c r="Z842" s="223" t="str">
        <f t="shared" si="43"/>
        <v>-----------------------</v>
      </c>
    </row>
    <row r="843" spans="1:26" s="241" customFormat="1">
      <c r="A843" s="305"/>
      <c r="B843" s="380" t="s">
        <v>1263</v>
      </c>
      <c r="C843" s="380" t="s">
        <v>1263</v>
      </c>
      <c r="D843" s="235" t="str">
        <f t="shared" si="44"/>
        <v xml:space="preserve"> OK</v>
      </c>
      <c r="E843" s="254" t="s">
        <v>1263</v>
      </c>
      <c r="F843" s="254" t="s">
        <v>1263</v>
      </c>
      <c r="G843" s="298">
        <v>6363</v>
      </c>
      <c r="H843" s="298" t="s">
        <v>26</v>
      </c>
      <c r="I843" s="300"/>
      <c r="J843" s="300"/>
      <c r="K843" s="270"/>
      <c r="L843" s="301"/>
      <c r="M843" s="270"/>
      <c r="N843" s="270"/>
      <c r="O843" s="270"/>
      <c r="P843" s="270"/>
      <c r="Q843" s="270"/>
      <c r="R843" s="270"/>
      <c r="S843" s="270"/>
      <c r="T843" s="301"/>
      <c r="U843" s="270"/>
      <c r="V843" s="240"/>
      <c r="W843" s="238">
        <f t="shared" si="45"/>
        <v>0</v>
      </c>
      <c r="Y843" s="223" t="str">
        <f>'[4]Development - i'!E842</f>
        <v>e) W2 1200 X 1650</v>
      </c>
      <c r="Z843" s="223" t="str">
        <f t="shared" si="43"/>
        <v>-----------------------</v>
      </c>
    </row>
    <row r="844" spans="1:26" s="241" customFormat="1">
      <c r="A844" s="305"/>
      <c r="B844" s="380">
        <v>0</v>
      </c>
      <c r="C844" s="380">
        <v>0</v>
      </c>
      <c r="D844" s="235" t="str">
        <f t="shared" si="44"/>
        <v xml:space="preserve"> OK</v>
      </c>
      <c r="E844" s="254">
        <v>0</v>
      </c>
      <c r="F844" s="254">
        <v>0</v>
      </c>
      <c r="G844" s="298">
        <v>6363</v>
      </c>
      <c r="H844" s="298" t="s">
        <v>26</v>
      </c>
      <c r="I844" s="300"/>
      <c r="J844" s="300"/>
      <c r="K844" s="270"/>
      <c r="L844" s="301"/>
      <c r="M844" s="270"/>
      <c r="N844" s="270"/>
      <c r="O844" s="270"/>
      <c r="P844" s="270"/>
      <c r="Q844" s="270"/>
      <c r="R844" s="270"/>
      <c r="S844" s="270"/>
      <c r="T844" s="301"/>
      <c r="U844" s="270"/>
      <c r="V844" s="240"/>
      <c r="W844" s="238">
        <f t="shared" si="45"/>
        <v>0</v>
      </c>
      <c r="Y844" s="223">
        <f>'[4]Development - i'!E843</f>
        <v>0</v>
      </c>
      <c r="Z844" s="223" t="str">
        <f t="shared" si="43"/>
        <v>-----------------------</v>
      </c>
    </row>
    <row r="845" spans="1:26" s="241" customFormat="1">
      <c r="A845" s="305"/>
      <c r="B845" s="380" t="s">
        <v>1264</v>
      </c>
      <c r="C845" s="380" t="s">
        <v>1264</v>
      </c>
      <c r="D845" s="235" t="str">
        <f t="shared" si="44"/>
        <v xml:space="preserve"> OK</v>
      </c>
      <c r="E845" s="254" t="s">
        <v>1264</v>
      </c>
      <c r="F845" s="254" t="s">
        <v>1264</v>
      </c>
      <c r="G845" s="298">
        <v>6363</v>
      </c>
      <c r="H845" s="298" t="s">
        <v>26</v>
      </c>
      <c r="I845" s="300"/>
      <c r="J845" s="300"/>
      <c r="K845" s="270"/>
      <c r="L845" s="301"/>
      <c r="M845" s="270"/>
      <c r="N845" s="270"/>
      <c r="O845" s="270"/>
      <c r="P845" s="270"/>
      <c r="Q845" s="270"/>
      <c r="R845" s="270"/>
      <c r="S845" s="270"/>
      <c r="T845" s="301"/>
      <c r="U845" s="270"/>
      <c r="V845" s="240"/>
      <c r="W845" s="238">
        <f t="shared" si="45"/>
        <v>0</v>
      </c>
      <c r="Y845" s="223" t="str">
        <f>'[4]Development - i'!E844</f>
        <v>g) FW1 4800 X 2300</v>
      </c>
      <c r="Z845" s="223" t="str">
        <f t="shared" si="43"/>
        <v>-----------------------</v>
      </c>
    </row>
    <row r="846" spans="1:26" s="241" customFormat="1">
      <c r="A846" s="305"/>
      <c r="B846" s="380" t="s">
        <v>1265</v>
      </c>
      <c r="C846" s="380" t="s">
        <v>1265</v>
      </c>
      <c r="D846" s="235" t="str">
        <f t="shared" si="44"/>
        <v xml:space="preserve"> OK</v>
      </c>
      <c r="E846" s="254" t="s">
        <v>1265</v>
      </c>
      <c r="F846" s="254" t="s">
        <v>1265</v>
      </c>
      <c r="G846" s="298">
        <v>6363</v>
      </c>
      <c r="H846" s="298" t="s">
        <v>26</v>
      </c>
      <c r="I846" s="300"/>
      <c r="J846" s="300"/>
      <c r="K846" s="270"/>
      <c r="L846" s="301"/>
      <c r="M846" s="270"/>
      <c r="N846" s="270"/>
      <c r="O846" s="270"/>
      <c r="P846" s="270"/>
      <c r="Q846" s="270"/>
      <c r="R846" s="270"/>
      <c r="S846" s="270"/>
      <c r="T846" s="301"/>
      <c r="U846" s="270"/>
      <c r="V846" s="240"/>
      <c r="W846" s="238">
        <f t="shared" si="45"/>
        <v>0</v>
      </c>
      <c r="Y846" s="223" t="str">
        <f>'[4]Development - i'!E845</f>
        <v>h) FW2 4200 X 2300</v>
      </c>
      <c r="Z846" s="223" t="str">
        <f t="shared" si="43"/>
        <v>-----------------------</v>
      </c>
    </row>
    <row r="847" spans="1:26" s="241" customFormat="1">
      <c r="A847" s="305"/>
      <c r="B847" s="306" t="s">
        <v>1266</v>
      </c>
      <c r="C847" s="306" t="s">
        <v>1266</v>
      </c>
      <c r="D847" s="235" t="str">
        <f t="shared" si="44"/>
        <v xml:space="preserve"> OK</v>
      </c>
      <c r="E847" s="254" t="s">
        <v>1266</v>
      </c>
      <c r="F847" s="254">
        <v>0</v>
      </c>
      <c r="G847" s="298">
        <v>5654</v>
      </c>
      <c r="H847" s="298" t="s">
        <v>2218</v>
      </c>
      <c r="I847" s="300"/>
      <c r="J847" s="300"/>
      <c r="K847" s="270"/>
      <c r="L847" s="301"/>
      <c r="M847" s="270"/>
      <c r="N847" s="270"/>
      <c r="O847" s="270"/>
      <c r="P847" s="270"/>
      <c r="Q847" s="270"/>
      <c r="R847" s="270"/>
      <c r="S847" s="270"/>
      <c r="T847" s="301"/>
      <c r="U847" s="270"/>
      <c r="V847" s="240"/>
      <c r="W847" s="238">
        <f t="shared" si="45"/>
        <v>0</v>
      </c>
      <c r="Y847" s="223" t="str">
        <f>'[4]Development - i'!E846</f>
        <v>S &amp; F of sodium vapour lamp with fitting 250watts</v>
      </c>
      <c r="Z847" s="223" t="str">
        <f t="shared" ref="Z847:Z910" si="46">IF(Y847=E847,"-----------------------","ERRR")</f>
        <v>-----------------------</v>
      </c>
    </row>
    <row r="848" spans="1:26" s="241" customFormat="1" ht="195.75">
      <c r="A848" s="305"/>
      <c r="B848" s="360" t="s">
        <v>2219</v>
      </c>
      <c r="C848" s="360" t="s">
        <v>2219</v>
      </c>
      <c r="D848" s="235" t="str">
        <f t="shared" si="44"/>
        <v xml:space="preserve"> OK</v>
      </c>
      <c r="E848" s="254" t="s">
        <v>543</v>
      </c>
      <c r="F848" s="254" t="s">
        <v>2220</v>
      </c>
      <c r="G848" s="298">
        <v>6893</v>
      </c>
      <c r="H848" s="298" t="s">
        <v>26</v>
      </c>
      <c r="I848" s="300"/>
      <c r="J848" s="300"/>
      <c r="K848" s="270"/>
      <c r="L848" s="301"/>
      <c r="M848" s="270"/>
      <c r="N848" s="270"/>
      <c r="O848" s="270"/>
      <c r="P848" s="270"/>
      <c r="Q848" s="270"/>
      <c r="R848" s="270"/>
      <c r="S848" s="270"/>
      <c r="T848" s="301"/>
      <c r="U848" s="270"/>
      <c r="V848" s="240"/>
      <c r="W848" s="238">
        <f t="shared" si="45"/>
        <v>0</v>
      </c>
      <c r="Y848" s="223" t="str">
        <f>'[4]Development - i'!E847</f>
        <v xml:space="preserve">Supplying and fixing in position of UPVC Ventilator louvered ventilator  type for all sizes </v>
      </c>
      <c r="Z848" s="223" t="str">
        <f t="shared" si="46"/>
        <v>-----------------------</v>
      </c>
    </row>
    <row r="849" spans="1:26" s="241" customFormat="1" ht="65.25">
      <c r="A849" s="305"/>
      <c r="B849" s="360" t="s">
        <v>2221</v>
      </c>
      <c r="C849" s="360" t="s">
        <v>2221</v>
      </c>
      <c r="D849" s="235" t="str">
        <f t="shared" si="44"/>
        <v xml:space="preserve"> OK</v>
      </c>
      <c r="E849" s="254" t="s">
        <v>1267</v>
      </c>
      <c r="F849" s="254">
        <v>0</v>
      </c>
      <c r="G849" s="298">
        <v>6363</v>
      </c>
      <c r="H849" s="298" t="s">
        <v>26</v>
      </c>
      <c r="I849" s="300"/>
      <c r="J849" s="300"/>
      <c r="K849" s="270"/>
      <c r="L849" s="301"/>
      <c r="M849" s="270"/>
      <c r="N849" s="270"/>
      <c r="O849" s="270"/>
      <c r="P849" s="270"/>
      <c r="Q849" s="270"/>
      <c r="R849" s="270"/>
      <c r="S849" s="270"/>
      <c r="T849" s="301"/>
      <c r="U849" s="270"/>
      <c r="V849" s="240"/>
      <c r="W849" s="238">
        <f t="shared" si="45"/>
        <v>0</v>
      </c>
      <c r="Y849" s="223" t="str">
        <f>'[4]Development - i'!E848</f>
        <v>Supplying and fixing in position of UPVC window of casement type( open) for all sizes Revised SR 2018-19 p-57 it-191</v>
      </c>
      <c r="Z849" s="223" t="str">
        <f t="shared" si="46"/>
        <v>-----------------------</v>
      </c>
    </row>
    <row r="850" spans="1:26" s="241" customFormat="1" ht="46.5">
      <c r="A850" s="305"/>
      <c r="B850" s="306" t="s">
        <v>1268</v>
      </c>
      <c r="C850" s="306" t="s">
        <v>1268</v>
      </c>
      <c r="D850" s="235" t="str">
        <f t="shared" si="44"/>
        <v xml:space="preserve"> OK</v>
      </c>
      <c r="E850" s="254" t="s">
        <v>1268</v>
      </c>
      <c r="F850" s="254">
        <v>0</v>
      </c>
      <c r="G850" s="298">
        <v>2286.4499999999998</v>
      </c>
      <c r="H850" s="298" t="s">
        <v>556</v>
      </c>
      <c r="I850" s="300"/>
      <c r="J850" s="300"/>
      <c r="K850" s="270"/>
      <c r="L850" s="301"/>
      <c r="M850" s="270"/>
      <c r="N850" s="270"/>
      <c r="O850" s="270"/>
      <c r="P850" s="270"/>
      <c r="Q850" s="270"/>
      <c r="R850" s="270"/>
      <c r="S850" s="270"/>
      <c r="T850" s="301"/>
      <c r="U850" s="270"/>
      <c r="V850" s="240"/>
      <c r="W850" s="238">
        <f t="shared" si="45"/>
        <v>0</v>
      </c>
      <c r="Y850" s="223" t="str">
        <f>'[4]Development - i'!E849</f>
        <v>Supply and fixing of colour wash basin oval shape CER No.178/2013-14</v>
      </c>
      <c r="Z850" s="223" t="str">
        <f t="shared" si="46"/>
        <v>-----------------------</v>
      </c>
    </row>
    <row r="851" spans="1:26" s="241" customFormat="1" ht="65.25">
      <c r="A851" s="305"/>
      <c r="B851" s="358" t="s">
        <v>1269</v>
      </c>
      <c r="C851" s="358" t="s">
        <v>1269</v>
      </c>
      <c r="D851" s="235" t="str">
        <f t="shared" si="44"/>
        <v xml:space="preserve"> OK</v>
      </c>
      <c r="E851" s="254" t="s">
        <v>1269</v>
      </c>
      <c r="F851" s="254">
        <v>0</v>
      </c>
      <c r="G851" s="298">
        <v>2240</v>
      </c>
      <c r="H851" s="298" t="s">
        <v>26</v>
      </c>
      <c r="I851" s="300"/>
      <c r="J851" s="300"/>
      <c r="K851" s="270"/>
      <c r="L851" s="301"/>
      <c r="M851" s="270"/>
      <c r="N851" s="270"/>
      <c r="O851" s="270"/>
      <c r="P851" s="270"/>
      <c r="Q851" s="270"/>
      <c r="R851" s="270"/>
      <c r="S851" s="270"/>
      <c r="T851" s="301"/>
      <c r="U851" s="270"/>
      <c r="V851" s="240"/>
      <c r="W851" s="238">
        <f t="shared" si="45"/>
        <v>0</v>
      </c>
      <c r="Y851" s="223" t="str">
        <f>'[4]Development - i'!E850</f>
        <v>Supplying and Fixing of Rolling shutters of all sizes (Gear Operated)(  from 8m2  to 12m2 )Annex-Vi-P-45   SR 18-19 item -102-A-b</v>
      </c>
      <c r="Z851" s="223" t="str">
        <f t="shared" si="46"/>
        <v>-----------------------</v>
      </c>
    </row>
    <row r="852" spans="1:26" s="241" customFormat="1" ht="46.5">
      <c r="A852" s="305"/>
      <c r="B852" s="316" t="s">
        <v>1270</v>
      </c>
      <c r="C852" s="316" t="s">
        <v>1270</v>
      </c>
      <c r="D852" s="235" t="str">
        <f t="shared" si="44"/>
        <v xml:space="preserve"> OK</v>
      </c>
      <c r="E852" s="254" t="s">
        <v>1270</v>
      </c>
      <c r="F852" s="254">
        <v>0</v>
      </c>
      <c r="G852" s="298"/>
      <c r="H852" s="298"/>
      <c r="I852" s="300"/>
      <c r="J852" s="300"/>
      <c r="K852" s="270"/>
      <c r="L852" s="301"/>
      <c r="M852" s="270"/>
      <c r="N852" s="270"/>
      <c r="O852" s="270"/>
      <c r="P852" s="270"/>
      <c r="Q852" s="270"/>
      <c r="R852" s="270"/>
      <c r="S852" s="270"/>
      <c r="T852" s="301"/>
      <c r="U852" s="270"/>
      <c r="V852" s="240"/>
      <c r="W852" s="238">
        <f t="shared" si="45"/>
        <v>0</v>
      </c>
      <c r="Y852" s="223" t="str">
        <f>'[4]Development - i'!E851</f>
        <v>Supplying and fixing of solid core flush door shutter of thickness 35mm</v>
      </c>
      <c r="Z852" s="223" t="str">
        <f t="shared" si="46"/>
        <v>-----------------------</v>
      </c>
    </row>
    <row r="853" spans="1:26" s="241" customFormat="1">
      <c r="A853" s="309"/>
      <c r="B853" s="380" t="s">
        <v>1271</v>
      </c>
      <c r="C853" s="380" t="s">
        <v>1271</v>
      </c>
      <c r="D853" s="235" t="str">
        <f t="shared" si="44"/>
        <v xml:space="preserve"> OK</v>
      </c>
      <c r="E853" s="254" t="s">
        <v>1271</v>
      </c>
      <c r="F853" s="254">
        <v>0</v>
      </c>
      <c r="G853" s="298">
        <f>[3]Data!X3614</f>
        <v>2899.14</v>
      </c>
      <c r="H853" s="298" t="s">
        <v>26</v>
      </c>
      <c r="I853" s="300"/>
      <c r="J853" s="300"/>
      <c r="K853" s="270"/>
      <c r="L853" s="301"/>
      <c r="M853" s="270"/>
      <c r="N853" s="270"/>
      <c r="O853" s="270"/>
      <c r="P853" s="270"/>
      <c r="Q853" s="270"/>
      <c r="R853" s="270"/>
      <c r="S853" s="270"/>
      <c r="T853" s="301"/>
      <c r="U853" s="270"/>
      <c r="V853" s="240"/>
      <c r="W853" s="238">
        <f t="shared" si="45"/>
        <v>0</v>
      </c>
      <c r="Y853" s="223" t="str">
        <f>'[4]Development - i'!E852</f>
        <v>a) door size 1.80 m x 2.40 (Double leaf)</v>
      </c>
      <c r="Z853" s="223" t="str">
        <f t="shared" si="46"/>
        <v>-----------------------</v>
      </c>
    </row>
    <row r="854" spans="1:26" s="241" customFormat="1">
      <c r="A854" s="309"/>
      <c r="B854" s="380" t="s">
        <v>1272</v>
      </c>
      <c r="C854" s="380" t="s">
        <v>1272</v>
      </c>
      <c r="D854" s="235" t="str">
        <f t="shared" si="44"/>
        <v xml:space="preserve"> OK</v>
      </c>
      <c r="E854" s="254" t="s">
        <v>1272</v>
      </c>
      <c r="F854" s="254">
        <v>0</v>
      </c>
      <c r="G854" s="298">
        <f>[3]Data!X3631</f>
        <v>2964.4</v>
      </c>
      <c r="H854" s="298" t="s">
        <v>26</v>
      </c>
      <c r="I854" s="300"/>
      <c r="J854" s="300"/>
      <c r="K854" s="270"/>
      <c r="L854" s="301"/>
      <c r="M854" s="270"/>
      <c r="N854" s="270"/>
      <c r="O854" s="270"/>
      <c r="P854" s="270"/>
      <c r="Q854" s="270"/>
      <c r="R854" s="270"/>
      <c r="S854" s="270"/>
      <c r="T854" s="301"/>
      <c r="U854" s="270"/>
      <c r="V854" s="240"/>
      <c r="W854" s="238">
        <f t="shared" si="45"/>
        <v>0</v>
      </c>
      <c r="Y854" s="223" t="str">
        <f>'[4]Development - i'!E853</f>
        <v>b) door size 1.80 m x 2.10 (Double leaf)</v>
      </c>
      <c r="Z854" s="223" t="str">
        <f t="shared" si="46"/>
        <v>-----------------------</v>
      </c>
    </row>
    <row r="855" spans="1:26" s="241" customFormat="1">
      <c r="A855" s="309"/>
      <c r="B855" s="380" t="s">
        <v>1273</v>
      </c>
      <c r="C855" s="380" t="s">
        <v>1273</v>
      </c>
      <c r="D855" s="235" t="str">
        <f t="shared" si="44"/>
        <v xml:space="preserve"> OK</v>
      </c>
      <c r="E855" s="254" t="s">
        <v>1273</v>
      </c>
      <c r="F855" s="254">
        <v>0</v>
      </c>
      <c r="G855" s="298">
        <f>[3]Data!X3599</f>
        <v>3118.37</v>
      </c>
      <c r="H855" s="298" t="s">
        <v>26</v>
      </c>
      <c r="I855" s="300"/>
      <c r="J855" s="300"/>
      <c r="K855" s="270"/>
      <c r="L855" s="301"/>
      <c r="M855" s="270"/>
      <c r="N855" s="270"/>
      <c r="O855" s="270"/>
      <c r="P855" s="270"/>
      <c r="Q855" s="270"/>
      <c r="R855" s="270"/>
      <c r="S855" s="270"/>
      <c r="T855" s="301"/>
      <c r="U855" s="270"/>
      <c r="V855" s="240"/>
      <c r="W855" s="238">
        <f t="shared" si="45"/>
        <v>0</v>
      </c>
      <c r="Y855" s="223" t="str">
        <f>'[4]Development - i'!E854</f>
        <v>c) door size 1.50 m x 2.40 (Double leaf)</v>
      </c>
      <c r="Z855" s="223" t="str">
        <f t="shared" si="46"/>
        <v>-----------------------</v>
      </c>
    </row>
    <row r="856" spans="1:26" s="241" customFormat="1">
      <c r="A856" s="309"/>
      <c r="B856" s="380" t="s">
        <v>1274</v>
      </c>
      <c r="C856" s="380" t="s">
        <v>1274</v>
      </c>
      <c r="D856" s="235" t="str">
        <f t="shared" si="44"/>
        <v xml:space="preserve"> OK</v>
      </c>
      <c r="E856" s="254" t="s">
        <v>1274</v>
      </c>
      <c r="F856" s="254">
        <v>0</v>
      </c>
      <c r="G856" s="298">
        <f>[3]Data!X3583</f>
        <v>3154.45</v>
      </c>
      <c r="H856" s="298" t="s">
        <v>26</v>
      </c>
      <c r="I856" s="300"/>
      <c r="J856" s="300"/>
      <c r="K856" s="270"/>
      <c r="L856" s="301"/>
      <c r="M856" s="270"/>
      <c r="N856" s="270"/>
      <c r="O856" s="270"/>
      <c r="P856" s="270"/>
      <c r="Q856" s="270"/>
      <c r="R856" s="270"/>
      <c r="S856" s="270"/>
      <c r="T856" s="301"/>
      <c r="U856" s="270"/>
      <c r="V856" s="240"/>
      <c r="W856" s="238">
        <f t="shared" si="45"/>
        <v>0</v>
      </c>
      <c r="Y856" s="223" t="str">
        <f>'[4]Development - i'!E855</f>
        <v>d).  door size 1.50 m x 2.100 (Double leaf)</v>
      </c>
      <c r="Z856" s="223" t="str">
        <f t="shared" si="46"/>
        <v>-----------------------</v>
      </c>
    </row>
    <row r="857" spans="1:26" s="241" customFormat="1">
      <c r="A857" s="305"/>
      <c r="B857" s="380" t="s">
        <v>1275</v>
      </c>
      <c r="C857" s="380" t="s">
        <v>1275</v>
      </c>
      <c r="D857" s="235" t="str">
        <f t="shared" si="44"/>
        <v xml:space="preserve"> OK</v>
      </c>
      <c r="E857" s="254" t="s">
        <v>1275</v>
      </c>
      <c r="F857" s="254">
        <v>0</v>
      </c>
      <c r="G857" s="298">
        <f>[3]Data!K3551</f>
        <v>3205.08</v>
      </c>
      <c r="H857" s="298" t="s">
        <v>26</v>
      </c>
      <c r="I857" s="300"/>
      <c r="J857" s="300"/>
      <c r="K857" s="270"/>
      <c r="L857" s="301"/>
      <c r="M857" s="270"/>
      <c r="N857" s="270"/>
      <c r="O857" s="270"/>
      <c r="P857" s="270"/>
      <c r="Q857" s="270"/>
      <c r="R857" s="270"/>
      <c r="S857" s="270"/>
      <c r="T857" s="301"/>
      <c r="U857" s="270"/>
      <c r="V857" s="240"/>
      <c r="W857" s="238">
        <f t="shared" si="45"/>
        <v>0</v>
      </c>
      <c r="Y857" s="223" t="str">
        <f>'[4]Development - i'!E856</f>
        <v>e). door size 1.200 m x 2.400 (double Leaf)</v>
      </c>
      <c r="Z857" s="223" t="str">
        <f t="shared" si="46"/>
        <v>-----------------------</v>
      </c>
    </row>
    <row r="858" spans="1:26" s="241" customFormat="1">
      <c r="A858" s="305"/>
      <c r="B858" s="411" t="s">
        <v>1276</v>
      </c>
      <c r="C858" s="411" t="s">
        <v>1276</v>
      </c>
      <c r="D858" s="235" t="str">
        <f t="shared" si="44"/>
        <v xml:space="preserve"> OK</v>
      </c>
      <c r="E858" s="254" t="s">
        <v>1276</v>
      </c>
      <c r="F858" s="254">
        <v>0</v>
      </c>
      <c r="G858" s="298">
        <f>[3]Data!X3646</f>
        <v>2762.15</v>
      </c>
      <c r="H858" s="298" t="s">
        <v>26</v>
      </c>
      <c r="I858" s="300"/>
      <c r="J858" s="300"/>
      <c r="K858" s="270"/>
      <c r="L858" s="301"/>
      <c r="M858" s="270"/>
      <c r="N858" s="270"/>
      <c r="O858" s="270"/>
      <c r="P858" s="270"/>
      <c r="Q858" s="270"/>
      <c r="R858" s="270"/>
      <c r="S858" s="270"/>
      <c r="T858" s="301"/>
      <c r="U858" s="270"/>
      <c r="V858" s="240"/>
      <c r="W858" s="238">
        <f t="shared" si="45"/>
        <v>0</v>
      </c>
      <c r="Y858" s="223" t="str">
        <f>'[4]Development - i'!E857</f>
        <v>f). door size 1.200m x 2.100 (Double leaf)</v>
      </c>
      <c r="Z858" s="223" t="str">
        <f t="shared" si="46"/>
        <v>-----------------------</v>
      </c>
    </row>
    <row r="859" spans="1:26" s="241" customFormat="1">
      <c r="A859" s="305"/>
      <c r="B859" s="380" t="s">
        <v>1277</v>
      </c>
      <c r="C859" s="380" t="s">
        <v>1277</v>
      </c>
      <c r="D859" s="235" t="str">
        <f t="shared" si="44"/>
        <v xml:space="preserve"> OK</v>
      </c>
      <c r="E859" s="254" t="s">
        <v>1277</v>
      </c>
      <c r="F859" s="254">
        <v>0</v>
      </c>
      <c r="G859" s="298">
        <f>[3]Data!K3567</f>
        <v>2952.19</v>
      </c>
      <c r="H859" s="298" t="s">
        <v>26</v>
      </c>
      <c r="I859" s="300"/>
      <c r="J859" s="300"/>
      <c r="K859" s="270"/>
      <c r="L859" s="301"/>
      <c r="M859" s="270"/>
      <c r="N859" s="270"/>
      <c r="O859" s="270"/>
      <c r="P859" s="270"/>
      <c r="Q859" s="270"/>
      <c r="R859" s="270"/>
      <c r="S859" s="270"/>
      <c r="T859" s="301"/>
      <c r="U859" s="270"/>
      <c r="V859" s="240"/>
      <c r="W859" s="238">
        <f t="shared" si="45"/>
        <v>0</v>
      </c>
      <c r="Y859" s="223" t="str">
        <f>'[4]Development - i'!E858</f>
        <v>g).  door size 1.000 m x 2.100 (Single Leaf)</v>
      </c>
      <c r="Z859" s="223" t="str">
        <f t="shared" si="46"/>
        <v>-----------------------</v>
      </c>
    </row>
    <row r="860" spans="1:26" s="241" customFormat="1">
      <c r="A860" s="305"/>
      <c r="B860" s="411" t="s">
        <v>1278</v>
      </c>
      <c r="C860" s="411" t="s">
        <v>1278</v>
      </c>
      <c r="D860" s="235" t="str">
        <f t="shared" si="44"/>
        <v xml:space="preserve"> OK</v>
      </c>
      <c r="E860" s="254" t="s">
        <v>1278</v>
      </c>
      <c r="F860" s="254">
        <v>0</v>
      </c>
      <c r="G860" s="298">
        <f>[3]Data!X3567</f>
        <v>2915.08</v>
      </c>
      <c r="H860" s="298" t="s">
        <v>26</v>
      </c>
      <c r="I860" s="300"/>
      <c r="J860" s="300"/>
      <c r="K860" s="270"/>
      <c r="L860" s="301"/>
      <c r="M860" s="270"/>
      <c r="N860" s="270"/>
      <c r="O860" s="270"/>
      <c r="P860" s="270"/>
      <c r="Q860" s="270"/>
      <c r="R860" s="270"/>
      <c r="S860" s="270"/>
      <c r="T860" s="301"/>
      <c r="U860" s="270"/>
      <c r="V860" s="240"/>
      <c r="W860" s="238">
        <f t="shared" si="45"/>
        <v>0</v>
      </c>
      <c r="Y860" s="223" t="str">
        <f>'[4]Development - i'!E859</f>
        <v>h).  door size 1.00 m x 2.400 (Single Leaf)</v>
      </c>
      <c r="Z860" s="223" t="str">
        <f t="shared" si="46"/>
        <v>-----------------------</v>
      </c>
    </row>
    <row r="861" spans="1:26" s="241" customFormat="1">
      <c r="A861" s="305"/>
      <c r="B861" s="412" t="s">
        <v>1279</v>
      </c>
      <c r="C861" s="412" t="s">
        <v>1279</v>
      </c>
      <c r="D861" s="235" t="str">
        <f t="shared" ref="D861:D925" si="47">IF(B861=C861," OK","nun")</f>
        <v xml:space="preserve"> OK</v>
      </c>
      <c r="E861" s="254" t="s">
        <v>1279</v>
      </c>
      <c r="F861" s="254">
        <v>0</v>
      </c>
      <c r="G861" s="298">
        <f>[3]Data!AG3567</f>
        <v>3023.81</v>
      </c>
      <c r="H861" s="298" t="s">
        <v>26</v>
      </c>
      <c r="I861" s="300"/>
      <c r="J861" s="300"/>
      <c r="K861" s="270"/>
      <c r="L861" s="301"/>
      <c r="M861" s="270"/>
      <c r="N861" s="270"/>
      <c r="O861" s="270"/>
      <c r="P861" s="270"/>
      <c r="Q861" s="270"/>
      <c r="R861" s="270"/>
      <c r="S861" s="270"/>
      <c r="T861" s="301"/>
      <c r="U861" s="270"/>
      <c r="V861" s="240"/>
      <c r="W861" s="238">
        <f t="shared" si="45"/>
        <v>0</v>
      </c>
      <c r="Y861" s="223" t="str">
        <f>'[4]Development - i'!E860</f>
        <v>i.  door size 0.900 m x 2.100 (Single Leaf)</v>
      </c>
      <c r="Z861" s="223" t="str">
        <f t="shared" si="46"/>
        <v>-----------------------</v>
      </c>
    </row>
    <row r="862" spans="1:26" s="241" customFormat="1">
      <c r="A862" s="305"/>
      <c r="B862" s="306" t="s">
        <v>1280</v>
      </c>
      <c r="C862" s="306" t="s">
        <v>1280</v>
      </c>
      <c r="D862" s="235" t="str">
        <f t="shared" si="47"/>
        <v xml:space="preserve"> OK</v>
      </c>
      <c r="E862" s="254" t="s">
        <v>1280</v>
      </c>
      <c r="F862" s="254">
        <v>0</v>
      </c>
      <c r="G862" s="298">
        <f>G642*2</f>
        <v>1878.72</v>
      </c>
      <c r="H862" s="298" t="s">
        <v>26</v>
      </c>
      <c r="I862" s="300"/>
      <c r="J862" s="300"/>
      <c r="K862" s="270"/>
      <c r="L862" s="301"/>
      <c r="M862" s="270"/>
      <c r="N862" s="270"/>
      <c r="O862" s="270"/>
      <c r="P862" s="270"/>
      <c r="Q862" s="270"/>
      <c r="R862" s="270"/>
      <c r="S862" s="270"/>
      <c r="T862" s="301"/>
      <c r="U862" s="270"/>
      <c r="V862" s="240"/>
      <c r="W862" s="238">
        <f t="shared" si="45"/>
        <v>0</v>
      </c>
      <c r="Y862" s="223" t="str">
        <f>'[4]Development - i'!E861</f>
        <v>Providing  Double stage centering .</v>
      </c>
      <c r="Z862" s="223" t="str">
        <f t="shared" si="46"/>
        <v>-----------------------</v>
      </c>
    </row>
    <row r="863" spans="1:26" s="241" customFormat="1" ht="46.5">
      <c r="A863" s="305"/>
      <c r="B863" s="316" t="s">
        <v>1281</v>
      </c>
      <c r="C863" s="316" t="s">
        <v>1281</v>
      </c>
      <c r="D863" s="235" t="str">
        <f t="shared" si="47"/>
        <v xml:space="preserve"> OK</v>
      </c>
      <c r="E863" s="254" t="s">
        <v>1281</v>
      </c>
      <c r="F863" s="254">
        <v>0</v>
      </c>
      <c r="G863" s="298"/>
      <c r="H863" s="298"/>
      <c r="I863" s="300"/>
      <c r="J863" s="300"/>
      <c r="K863" s="270"/>
      <c r="L863" s="301"/>
      <c r="M863" s="270"/>
      <c r="N863" s="270"/>
      <c r="O863" s="270"/>
      <c r="P863" s="270"/>
      <c r="Q863" s="270"/>
      <c r="R863" s="270"/>
      <c r="S863" s="270"/>
      <c r="T863" s="301"/>
      <c r="U863" s="270"/>
      <c r="V863" s="240"/>
      <c r="W863" s="238">
        <f t="shared" si="45"/>
        <v>0</v>
      </c>
      <c r="Y863" s="223" t="str">
        <f>'[4]Development - i'!E862</f>
        <v>S &amp; F of Granite tile of size 2'x 1', 10mm Thick For kitchen arrangements (jet black)</v>
      </c>
      <c r="Z863" s="223" t="str">
        <f t="shared" si="46"/>
        <v>-----------------------</v>
      </c>
    </row>
    <row r="864" spans="1:26" s="241" customFormat="1">
      <c r="A864" s="305"/>
      <c r="B864" s="306" t="s">
        <v>655</v>
      </c>
      <c r="C864" s="306" t="s">
        <v>655</v>
      </c>
      <c r="D864" s="235" t="str">
        <f t="shared" si="47"/>
        <v xml:space="preserve"> OK</v>
      </c>
      <c r="E864" s="254" t="s">
        <v>655</v>
      </c>
      <c r="F864" s="254">
        <v>0</v>
      </c>
      <c r="G864" s="298">
        <f>[3]Data!AK1215</f>
        <v>1054.8499999999999</v>
      </c>
      <c r="H864" s="298" t="s">
        <v>26</v>
      </c>
      <c r="I864" s="300"/>
      <c r="J864" s="300"/>
      <c r="K864" s="270"/>
      <c r="L864" s="301"/>
      <c r="M864" s="270"/>
      <c r="N864" s="270"/>
      <c r="O864" s="270"/>
      <c r="P864" s="270"/>
      <c r="Q864" s="270"/>
      <c r="R864" s="270"/>
      <c r="S864" s="270"/>
      <c r="T864" s="301"/>
      <c r="U864" s="270"/>
      <c r="V864" s="240"/>
      <c r="W864" s="238">
        <f t="shared" si="45"/>
        <v>0</v>
      </c>
      <c r="Y864" s="223" t="str">
        <f>'[4]Development - i'!E863</f>
        <v>a. In Ground floor</v>
      </c>
      <c r="Z864" s="223" t="str">
        <f t="shared" si="46"/>
        <v>-----------------------</v>
      </c>
    </row>
    <row r="865" spans="1:26" s="241" customFormat="1">
      <c r="A865" s="309"/>
      <c r="B865" s="310" t="s">
        <v>656</v>
      </c>
      <c r="C865" s="310" t="s">
        <v>656</v>
      </c>
      <c r="D865" s="235" t="str">
        <f t="shared" si="47"/>
        <v xml:space="preserve"> OK</v>
      </c>
      <c r="E865" s="254" t="s">
        <v>656</v>
      </c>
      <c r="F865" s="254">
        <v>0</v>
      </c>
      <c r="G865" s="298">
        <f>[3]Data!AK1216</f>
        <v>1056.71</v>
      </c>
      <c r="H865" s="298" t="s">
        <v>26</v>
      </c>
      <c r="I865" s="300"/>
      <c r="J865" s="300"/>
      <c r="K865" s="270"/>
      <c r="L865" s="301"/>
      <c r="M865" s="270"/>
      <c r="N865" s="270"/>
      <c r="O865" s="270"/>
      <c r="P865" s="270"/>
      <c r="Q865" s="270"/>
      <c r="R865" s="270"/>
      <c r="S865" s="270"/>
      <c r="T865" s="301"/>
      <c r="U865" s="270"/>
      <c r="V865" s="240"/>
      <c r="W865" s="238">
        <f t="shared" si="45"/>
        <v>0</v>
      </c>
      <c r="Y865" s="223" t="str">
        <f>'[4]Development - i'!E864</f>
        <v>b. In First floor</v>
      </c>
      <c r="Z865" s="223" t="str">
        <f t="shared" si="46"/>
        <v>-----------------------</v>
      </c>
    </row>
    <row r="866" spans="1:26" s="241" customFormat="1">
      <c r="A866" s="305"/>
      <c r="B866" s="306" t="s">
        <v>657</v>
      </c>
      <c r="C866" s="306" t="s">
        <v>657</v>
      </c>
      <c r="D866" s="235" t="str">
        <f t="shared" si="47"/>
        <v xml:space="preserve"> OK</v>
      </c>
      <c r="E866" s="254" t="s">
        <v>657</v>
      </c>
      <c r="F866" s="254" t="s">
        <v>714</v>
      </c>
      <c r="G866" s="298">
        <f>[3]Data!AK1217</f>
        <v>1058.57</v>
      </c>
      <c r="H866" s="298" t="s">
        <v>26</v>
      </c>
      <c r="I866" s="300"/>
      <c r="J866" s="300"/>
      <c r="K866" s="270"/>
      <c r="L866" s="301"/>
      <c r="M866" s="270"/>
      <c r="N866" s="270"/>
      <c r="O866" s="270"/>
      <c r="P866" s="270"/>
      <c r="Q866" s="270"/>
      <c r="R866" s="270"/>
      <c r="S866" s="270"/>
      <c r="T866" s="301"/>
      <c r="U866" s="270"/>
      <c r="V866" s="240"/>
      <c r="W866" s="238">
        <f t="shared" si="45"/>
        <v>0</v>
      </c>
      <c r="Y866" s="223" t="str">
        <f>'[4]Development - i'!E865</f>
        <v>c. In Second floor</v>
      </c>
      <c r="Z866" s="223" t="str">
        <f t="shared" si="46"/>
        <v>-----------------------</v>
      </c>
    </row>
    <row r="867" spans="1:26" s="241" customFormat="1">
      <c r="A867" s="305"/>
      <c r="B867" s="306" t="s">
        <v>658</v>
      </c>
      <c r="C867" s="306" t="s">
        <v>658</v>
      </c>
      <c r="D867" s="235" t="str">
        <f t="shared" si="47"/>
        <v xml:space="preserve"> OK</v>
      </c>
      <c r="E867" s="254" t="s">
        <v>1282</v>
      </c>
      <c r="F867" s="254">
        <v>0</v>
      </c>
      <c r="G867" s="298">
        <f>[3]Data!AK1218</f>
        <v>1060.43</v>
      </c>
      <c r="H867" s="298" t="s">
        <v>26</v>
      </c>
      <c r="I867" s="300"/>
      <c r="J867" s="300"/>
      <c r="K867" s="270"/>
      <c r="L867" s="301"/>
      <c r="M867" s="270"/>
      <c r="N867" s="270"/>
      <c r="O867" s="270"/>
      <c r="P867" s="270"/>
      <c r="Q867" s="270"/>
      <c r="R867" s="270"/>
      <c r="S867" s="270"/>
      <c r="T867" s="301"/>
      <c r="U867" s="270"/>
      <c r="V867" s="240"/>
      <c r="W867" s="238">
        <f t="shared" si="45"/>
        <v>0</v>
      </c>
      <c r="Y867" s="223" t="str">
        <f>'[4]Development - i'!E866</f>
        <v>c. In Third floor</v>
      </c>
      <c r="Z867" s="223" t="str">
        <f t="shared" si="46"/>
        <v>-----------------------</v>
      </c>
    </row>
    <row r="868" spans="1:26" s="239" customFormat="1" ht="46.5">
      <c r="A868" s="320"/>
      <c r="B868" s="314" t="s">
        <v>1283</v>
      </c>
      <c r="C868" s="314" t="s">
        <v>1283</v>
      </c>
      <c r="D868" s="235" t="str">
        <f t="shared" si="47"/>
        <v xml:space="preserve"> OK</v>
      </c>
      <c r="E868" s="254" t="s">
        <v>1283</v>
      </c>
      <c r="F868" s="254">
        <v>0</v>
      </c>
      <c r="G868" s="298"/>
      <c r="H868" s="298"/>
      <c r="I868" s="300"/>
      <c r="J868" s="300"/>
      <c r="K868" s="270"/>
      <c r="L868" s="301"/>
      <c r="M868" s="270"/>
      <c r="N868" s="270"/>
      <c r="O868" s="270"/>
      <c r="P868" s="270"/>
      <c r="Q868" s="270"/>
      <c r="R868" s="270"/>
      <c r="S868" s="270"/>
      <c r="T868" s="301"/>
      <c r="U868" s="270"/>
      <c r="V868" s="240"/>
      <c r="W868" s="238">
        <f t="shared" si="45"/>
        <v>0</v>
      </c>
      <c r="Y868" s="223" t="str">
        <f>'[4]Development - i'!E867</f>
        <v>S &amp; F of Granite slab of size 4'x2', 18 to 20mm Thick For kitchen arrangements (jet black)</v>
      </c>
      <c r="Z868" s="223" t="str">
        <f t="shared" si="46"/>
        <v>-----------------------</v>
      </c>
    </row>
    <row r="869" spans="1:26" s="239" customFormat="1">
      <c r="A869" s="320"/>
      <c r="B869" s="290" t="s">
        <v>655</v>
      </c>
      <c r="C869" s="290" t="s">
        <v>655</v>
      </c>
      <c r="D869" s="235" t="str">
        <f t="shared" si="47"/>
        <v xml:space="preserve"> OK</v>
      </c>
      <c r="E869" s="254" t="s">
        <v>655</v>
      </c>
      <c r="F869" s="254">
        <v>0</v>
      </c>
      <c r="G869" s="298">
        <f>[3]Data!AD1214</f>
        <v>1915.91</v>
      </c>
      <c r="H869" s="298" t="s">
        <v>26</v>
      </c>
      <c r="I869" s="300"/>
      <c r="J869" s="300"/>
      <c r="K869" s="270"/>
      <c r="L869" s="301"/>
      <c r="M869" s="270"/>
      <c r="N869" s="270"/>
      <c r="O869" s="270"/>
      <c r="P869" s="270"/>
      <c r="Q869" s="270"/>
      <c r="R869" s="270"/>
      <c r="S869" s="270"/>
      <c r="T869" s="301"/>
      <c r="U869" s="270"/>
      <c r="V869" s="240"/>
      <c r="W869" s="238">
        <f t="shared" si="45"/>
        <v>0</v>
      </c>
      <c r="Y869" s="223" t="str">
        <f>'[4]Development - i'!E868</f>
        <v>a. In Ground floor</v>
      </c>
      <c r="Z869" s="223" t="str">
        <f t="shared" si="46"/>
        <v>-----------------------</v>
      </c>
    </row>
    <row r="870" spans="1:26" s="239" customFormat="1">
      <c r="A870" s="320"/>
      <c r="B870" s="290" t="s">
        <v>656</v>
      </c>
      <c r="C870" s="290" t="s">
        <v>656</v>
      </c>
      <c r="D870" s="235" t="str">
        <f t="shared" si="47"/>
        <v xml:space="preserve"> OK</v>
      </c>
      <c r="E870" s="254" t="s">
        <v>656</v>
      </c>
      <c r="F870" s="254">
        <v>0</v>
      </c>
      <c r="G870" s="298">
        <f>[3]Data!AD1216</f>
        <v>1918.71</v>
      </c>
      <c r="H870" s="298" t="s">
        <v>26</v>
      </c>
      <c r="I870" s="300"/>
      <c r="J870" s="300"/>
      <c r="K870" s="270"/>
      <c r="L870" s="301"/>
      <c r="M870" s="270"/>
      <c r="N870" s="270"/>
      <c r="O870" s="270"/>
      <c r="P870" s="270"/>
      <c r="Q870" s="270"/>
      <c r="R870" s="270"/>
      <c r="S870" s="270"/>
      <c r="T870" s="301"/>
      <c r="U870" s="270"/>
      <c r="V870" s="240"/>
      <c r="W870" s="238">
        <f t="shared" si="45"/>
        <v>0</v>
      </c>
      <c r="Y870" s="223" t="str">
        <f>'[4]Development - i'!E869</f>
        <v>b. In First floor</v>
      </c>
      <c r="Z870" s="223" t="str">
        <f t="shared" si="46"/>
        <v>-----------------------</v>
      </c>
    </row>
    <row r="871" spans="1:26" s="239" customFormat="1">
      <c r="A871" s="320"/>
      <c r="B871" s="290" t="s">
        <v>657</v>
      </c>
      <c r="C871" s="290" t="s">
        <v>657</v>
      </c>
      <c r="D871" s="235" t="str">
        <f t="shared" si="47"/>
        <v xml:space="preserve"> OK</v>
      </c>
      <c r="E871" s="254" t="s">
        <v>657</v>
      </c>
      <c r="F871" s="254" t="s">
        <v>714</v>
      </c>
      <c r="G871" s="298">
        <f>[3]Data!AD1217</f>
        <v>1920.57</v>
      </c>
      <c r="H871" s="298" t="s">
        <v>26</v>
      </c>
      <c r="I871" s="300"/>
      <c r="J871" s="300"/>
      <c r="K871" s="270"/>
      <c r="L871" s="301"/>
      <c r="M871" s="270"/>
      <c r="N871" s="270"/>
      <c r="O871" s="270"/>
      <c r="P871" s="270"/>
      <c r="Q871" s="270"/>
      <c r="R871" s="270"/>
      <c r="S871" s="270"/>
      <c r="T871" s="301"/>
      <c r="U871" s="270"/>
      <c r="V871" s="240"/>
      <c r="W871" s="238">
        <f t="shared" si="45"/>
        <v>0</v>
      </c>
      <c r="Y871" s="223" t="str">
        <f>'[4]Development - i'!E870</f>
        <v>c. In Second floor</v>
      </c>
      <c r="Z871" s="223" t="str">
        <f t="shared" si="46"/>
        <v>-----------------------</v>
      </c>
    </row>
    <row r="872" spans="1:26" s="239" customFormat="1">
      <c r="A872" s="320"/>
      <c r="B872" s="290" t="s">
        <v>1282</v>
      </c>
      <c r="C872" s="290" t="s">
        <v>1282</v>
      </c>
      <c r="D872" s="235" t="str">
        <f t="shared" si="47"/>
        <v xml:space="preserve"> OK</v>
      </c>
      <c r="E872" s="254" t="s">
        <v>658</v>
      </c>
      <c r="F872" s="254" t="s">
        <v>715</v>
      </c>
      <c r="G872" s="298">
        <f>[3]Data!AD1218</f>
        <v>1922.43</v>
      </c>
      <c r="H872" s="298" t="s">
        <v>26</v>
      </c>
      <c r="I872" s="300"/>
      <c r="J872" s="300"/>
      <c r="K872" s="270"/>
      <c r="L872" s="301"/>
      <c r="M872" s="270"/>
      <c r="N872" s="270"/>
      <c r="O872" s="270"/>
      <c r="P872" s="270"/>
      <c r="Q872" s="270"/>
      <c r="R872" s="270"/>
      <c r="S872" s="270"/>
      <c r="T872" s="301"/>
      <c r="U872" s="270"/>
      <c r="V872" s="240"/>
      <c r="W872" s="238">
        <f t="shared" si="45"/>
        <v>0</v>
      </c>
      <c r="Y872" s="223" t="str">
        <f>'[4]Development - i'!E871</f>
        <v>d. In Third floor</v>
      </c>
      <c r="Z872" s="223" t="str">
        <f t="shared" si="46"/>
        <v>-----------------------</v>
      </c>
    </row>
    <row r="873" spans="1:26" s="241" customFormat="1">
      <c r="A873" s="305"/>
      <c r="B873" s="407" t="s">
        <v>1284</v>
      </c>
      <c r="C873" s="407" t="s">
        <v>1284</v>
      </c>
      <c r="D873" s="235" t="str">
        <f t="shared" si="47"/>
        <v xml:space="preserve"> OK</v>
      </c>
      <c r="E873" s="254" t="s">
        <v>1284</v>
      </c>
      <c r="F873" s="254">
        <v>0</v>
      </c>
      <c r="G873" s="298"/>
      <c r="H873" s="298"/>
      <c r="I873" s="300"/>
      <c r="J873" s="300"/>
      <c r="K873" s="270"/>
      <c r="L873" s="301"/>
      <c r="M873" s="270"/>
      <c r="N873" s="270"/>
      <c r="O873" s="270"/>
      <c r="P873" s="270"/>
      <c r="Q873" s="270"/>
      <c r="R873" s="270"/>
      <c r="S873" s="270"/>
      <c r="T873" s="301"/>
      <c r="U873" s="270"/>
      <c r="V873" s="240"/>
      <c r="W873" s="238">
        <f t="shared" si="45"/>
        <v>0</v>
      </c>
      <c r="Y873" s="223" t="str">
        <f>'[4]Development - i'!E872</f>
        <v>Aluminum Louvered ventilators</v>
      </c>
      <c r="Z873" s="223" t="str">
        <f t="shared" si="46"/>
        <v>-----------------------</v>
      </c>
    </row>
    <row r="874" spans="1:26" s="241" customFormat="1">
      <c r="A874" s="305"/>
      <c r="B874" s="413" t="s">
        <v>1285</v>
      </c>
      <c r="C874" s="413" t="s">
        <v>1285</v>
      </c>
      <c r="D874" s="235" t="str">
        <f t="shared" si="47"/>
        <v xml:space="preserve"> OK</v>
      </c>
      <c r="E874" s="254" t="s">
        <v>1285</v>
      </c>
      <c r="F874" s="254">
        <v>0</v>
      </c>
      <c r="G874" s="298">
        <f>[3]Data!R1504</f>
        <v>4310.43</v>
      </c>
      <c r="H874" s="298" t="s">
        <v>26</v>
      </c>
      <c r="I874" s="300"/>
      <c r="J874" s="300"/>
      <c r="K874" s="270"/>
      <c r="L874" s="301"/>
      <c r="M874" s="270"/>
      <c r="N874" s="270"/>
      <c r="O874" s="270"/>
      <c r="P874" s="270"/>
      <c r="Q874" s="270"/>
      <c r="R874" s="270"/>
      <c r="S874" s="270"/>
      <c r="T874" s="301"/>
      <c r="U874" s="270"/>
      <c r="V874" s="240"/>
      <c r="W874" s="238">
        <f t="shared" ref="W874:W937" si="48">ROUND(G875,2)*ROUND(V874,2)</f>
        <v>0</v>
      </c>
      <c r="Y874" s="223" t="str">
        <f>'[4]Development - i'!E873</f>
        <v>a. 1.35 x 0.60 mt ventilators</v>
      </c>
      <c r="Z874" s="223" t="str">
        <f t="shared" si="46"/>
        <v>-----------------------</v>
      </c>
    </row>
    <row r="875" spans="1:26" s="241" customFormat="1">
      <c r="A875" s="305"/>
      <c r="B875" s="413" t="s">
        <v>1286</v>
      </c>
      <c r="C875" s="413" t="s">
        <v>1286</v>
      </c>
      <c r="D875" s="235" t="str">
        <f t="shared" si="47"/>
        <v xml:space="preserve"> OK</v>
      </c>
      <c r="E875" s="254" t="s">
        <v>1286</v>
      </c>
      <c r="F875" s="254">
        <v>0</v>
      </c>
      <c r="G875" s="298">
        <f>[3]Data!R1497</f>
        <v>4307.8100000000004</v>
      </c>
      <c r="H875" s="298" t="s">
        <v>26</v>
      </c>
      <c r="I875" s="300"/>
      <c r="J875" s="300"/>
      <c r="K875" s="270"/>
      <c r="L875" s="301"/>
      <c r="M875" s="270"/>
      <c r="N875" s="270"/>
      <c r="O875" s="270"/>
      <c r="P875" s="270"/>
      <c r="Q875" s="270"/>
      <c r="R875" s="270"/>
      <c r="S875" s="270"/>
      <c r="T875" s="301"/>
      <c r="U875" s="270"/>
      <c r="V875" s="240"/>
      <c r="W875" s="238">
        <f t="shared" si="48"/>
        <v>0</v>
      </c>
      <c r="Y875" s="223" t="str">
        <f>'[4]Development - i'!E874</f>
        <v>d. 1.0 x 0.60 mt ventilators</v>
      </c>
      <c r="Z875" s="223" t="str">
        <f t="shared" si="46"/>
        <v>-----------------------</v>
      </c>
    </row>
    <row r="876" spans="1:26" s="241" customFormat="1">
      <c r="A876" s="305"/>
      <c r="B876" s="413" t="s">
        <v>1287</v>
      </c>
      <c r="C876" s="413" t="s">
        <v>1287</v>
      </c>
      <c r="D876" s="235" t="str">
        <f t="shared" si="47"/>
        <v xml:space="preserve"> OK</v>
      </c>
      <c r="E876" s="254" t="s">
        <v>1287</v>
      </c>
      <c r="F876" s="254">
        <v>0</v>
      </c>
      <c r="G876" s="298">
        <f>[3]Data!R1497</f>
        <v>4307.8100000000004</v>
      </c>
      <c r="H876" s="298" t="s">
        <v>26</v>
      </c>
      <c r="I876" s="300"/>
      <c r="J876" s="300"/>
      <c r="K876" s="270"/>
      <c r="L876" s="301"/>
      <c r="M876" s="270"/>
      <c r="N876" s="270"/>
      <c r="O876" s="270"/>
      <c r="P876" s="270"/>
      <c r="Q876" s="270"/>
      <c r="R876" s="270"/>
      <c r="S876" s="270"/>
      <c r="T876" s="301"/>
      <c r="U876" s="270"/>
      <c r="V876" s="240"/>
      <c r="W876" s="238">
        <f t="shared" si="48"/>
        <v>0</v>
      </c>
      <c r="Y876" s="223" t="str">
        <f>'[4]Development - i'!E875</f>
        <v>a. 0.90 x 0.60 mt ventilators</v>
      </c>
      <c r="Z876" s="223" t="str">
        <f t="shared" si="46"/>
        <v>-----------------------</v>
      </c>
    </row>
    <row r="877" spans="1:26" s="241" customFormat="1">
      <c r="A877" s="305"/>
      <c r="B877" s="413" t="s">
        <v>1288</v>
      </c>
      <c r="C877" s="413" t="s">
        <v>1288</v>
      </c>
      <c r="D877" s="235" t="str">
        <f t="shared" si="47"/>
        <v xml:space="preserve"> OK</v>
      </c>
      <c r="E877" s="254" t="s">
        <v>1288</v>
      </c>
      <c r="F877" s="254">
        <v>0</v>
      </c>
      <c r="G877" s="298">
        <f>[3]Data!X1465</f>
        <v>4510.84</v>
      </c>
      <c r="H877" s="298" t="s">
        <v>26</v>
      </c>
      <c r="I877" s="300"/>
      <c r="J877" s="300"/>
      <c r="K877" s="270"/>
      <c r="L877" s="301"/>
      <c r="M877" s="270"/>
      <c r="N877" s="270"/>
      <c r="O877" s="270"/>
      <c r="P877" s="270"/>
      <c r="Q877" s="270"/>
      <c r="R877" s="270"/>
      <c r="S877" s="270"/>
      <c r="T877" s="301"/>
      <c r="U877" s="270"/>
      <c r="V877" s="240"/>
      <c r="W877" s="238">
        <f t="shared" si="48"/>
        <v>0</v>
      </c>
      <c r="Y877" s="223" t="str">
        <f>'[4]Development - i'!E876</f>
        <v>c. 0.75 x 0.60 mt ventilators</v>
      </c>
      <c r="Z877" s="223" t="str">
        <f t="shared" si="46"/>
        <v>-----------------------</v>
      </c>
    </row>
    <row r="878" spans="1:26" s="241" customFormat="1">
      <c r="A878" s="305"/>
      <c r="B878" s="413" t="s">
        <v>1289</v>
      </c>
      <c r="C878" s="413" t="s">
        <v>1289</v>
      </c>
      <c r="D878" s="235" t="str">
        <f t="shared" si="47"/>
        <v xml:space="preserve"> OK</v>
      </c>
      <c r="E878" s="254" t="s">
        <v>1289</v>
      </c>
      <c r="F878" s="254">
        <v>0</v>
      </c>
      <c r="G878" s="298">
        <f>[3]Data!X1458</f>
        <v>4806.6099999999997</v>
      </c>
      <c r="H878" s="298" t="s">
        <v>26</v>
      </c>
      <c r="I878" s="300"/>
      <c r="J878" s="300"/>
      <c r="K878" s="270"/>
      <c r="L878" s="301"/>
      <c r="M878" s="270"/>
      <c r="N878" s="270"/>
      <c r="O878" s="270"/>
      <c r="P878" s="270"/>
      <c r="Q878" s="270"/>
      <c r="R878" s="270"/>
      <c r="S878" s="270"/>
      <c r="T878" s="301"/>
      <c r="U878" s="270"/>
      <c r="V878" s="240"/>
      <c r="W878" s="238">
        <f t="shared" si="48"/>
        <v>0</v>
      </c>
      <c r="Y878" s="223" t="str">
        <f>'[4]Development - i'!E877</f>
        <v>b. 0.60 x 0.60 mt ventilators</v>
      </c>
      <c r="Z878" s="223" t="str">
        <f t="shared" si="46"/>
        <v>-----------------------</v>
      </c>
    </row>
    <row r="879" spans="1:26" s="241" customFormat="1">
      <c r="A879" s="305"/>
      <c r="B879" s="407" t="s">
        <v>1290</v>
      </c>
      <c r="C879" s="407" t="s">
        <v>1290</v>
      </c>
      <c r="D879" s="235" t="str">
        <f t="shared" si="47"/>
        <v xml:space="preserve"> OK</v>
      </c>
      <c r="E879" s="254" t="s">
        <v>1290</v>
      </c>
      <c r="F879" s="254">
        <v>0</v>
      </c>
      <c r="G879" s="298"/>
      <c r="H879" s="298"/>
      <c r="I879" s="300"/>
      <c r="J879" s="300"/>
      <c r="K879" s="270"/>
      <c r="L879" s="301"/>
      <c r="M879" s="270"/>
      <c r="N879" s="270"/>
      <c r="O879" s="270"/>
      <c r="P879" s="270"/>
      <c r="Q879" s="270"/>
      <c r="R879" s="270"/>
      <c r="S879" s="270"/>
      <c r="T879" s="301"/>
      <c r="U879" s="270"/>
      <c r="V879" s="240"/>
      <c r="W879" s="238">
        <f t="shared" si="48"/>
        <v>0</v>
      </c>
      <c r="Y879" s="223" t="str">
        <f>'[4]Development - i'!E878</f>
        <v>Supply &amp; Fixing of MS door  (for lockup door )</v>
      </c>
      <c r="Z879" s="223" t="str">
        <f t="shared" si="46"/>
        <v>-----------------------</v>
      </c>
    </row>
    <row r="880" spans="1:26" s="241" customFormat="1">
      <c r="A880" s="305"/>
      <c r="B880" s="413" t="s">
        <v>1291</v>
      </c>
      <c r="C880" s="413" t="s">
        <v>1291</v>
      </c>
      <c r="D880" s="235" t="str">
        <f t="shared" si="47"/>
        <v xml:space="preserve"> OK</v>
      </c>
      <c r="E880" s="254" t="s">
        <v>1291</v>
      </c>
      <c r="F880" s="254">
        <v>0</v>
      </c>
      <c r="G880" s="298">
        <f>[3]Data!K2563</f>
        <v>7463.7</v>
      </c>
      <c r="H880" s="298" t="s">
        <v>2222</v>
      </c>
      <c r="I880" s="300"/>
      <c r="J880" s="300"/>
      <c r="K880" s="270"/>
      <c r="L880" s="301"/>
      <c r="M880" s="270"/>
      <c r="N880" s="270"/>
      <c r="O880" s="270"/>
      <c r="P880" s="270"/>
      <c r="Q880" s="270"/>
      <c r="R880" s="270"/>
      <c r="S880" s="270"/>
      <c r="T880" s="301"/>
      <c r="U880" s="270"/>
      <c r="V880" s="240"/>
      <c r="W880" s="238">
        <f t="shared" si="48"/>
        <v>0</v>
      </c>
      <c r="Y880" s="223" t="str">
        <f>'[4]Development - i'!E879</f>
        <v>MS door of Size 1000 x 2100mm</v>
      </c>
      <c r="Z880" s="223" t="str">
        <f t="shared" si="46"/>
        <v>-----------------------</v>
      </c>
    </row>
    <row r="881" spans="1:26" s="241" customFormat="1">
      <c r="A881" s="305"/>
      <c r="B881" s="413" t="s">
        <v>1292</v>
      </c>
      <c r="C881" s="413" t="s">
        <v>1292</v>
      </c>
      <c r="D881" s="235" t="str">
        <f t="shared" si="47"/>
        <v xml:space="preserve"> OK</v>
      </c>
      <c r="E881" s="254" t="s">
        <v>1292</v>
      </c>
      <c r="F881" s="254">
        <v>0</v>
      </c>
      <c r="G881" s="298">
        <f>[3]Data!K2598</f>
        <v>4865.33</v>
      </c>
      <c r="H881" s="298" t="s">
        <v>556</v>
      </c>
      <c r="I881" s="300"/>
      <c r="J881" s="300"/>
      <c r="K881" s="270"/>
      <c r="L881" s="301"/>
      <c r="M881" s="270"/>
      <c r="N881" s="270"/>
      <c r="O881" s="270"/>
      <c r="P881" s="270"/>
      <c r="Q881" s="270"/>
      <c r="R881" s="270"/>
      <c r="S881" s="270"/>
      <c r="T881" s="301"/>
      <c r="U881" s="270"/>
      <c r="V881" s="240"/>
      <c r="W881" s="238">
        <f t="shared" si="48"/>
        <v>0</v>
      </c>
      <c r="Y881" s="223" t="str">
        <f>'[4]Development - i'!E880</f>
        <v>MS door of Size 750 x 1350mm</v>
      </c>
      <c r="Z881" s="223" t="str">
        <f t="shared" si="46"/>
        <v>-----------------------</v>
      </c>
    </row>
    <row r="882" spans="1:26" s="241" customFormat="1" ht="69.75">
      <c r="A882" s="305"/>
      <c r="B882" s="407" t="s">
        <v>1293</v>
      </c>
      <c r="C882" s="407" t="s">
        <v>1293</v>
      </c>
      <c r="D882" s="235" t="str">
        <f t="shared" si="47"/>
        <v xml:space="preserve"> OK</v>
      </c>
      <c r="E882" s="254" t="s">
        <v>1293</v>
      </c>
      <c r="F882" s="254">
        <v>0</v>
      </c>
      <c r="G882" s="298"/>
      <c r="H882" s="298"/>
      <c r="I882" s="300"/>
      <c r="J882" s="300"/>
      <c r="K882" s="270"/>
      <c r="L882" s="301"/>
      <c r="M882" s="270"/>
      <c r="N882" s="270"/>
      <c r="O882" s="270"/>
      <c r="P882" s="270"/>
      <c r="Q882" s="270"/>
      <c r="R882" s="270"/>
      <c r="S882" s="270"/>
      <c r="T882" s="301"/>
      <c r="U882" s="270"/>
      <c r="V882" s="240"/>
      <c r="W882" s="238">
        <f t="shared" si="48"/>
        <v>0</v>
      </c>
      <c r="Y882" s="223" t="str">
        <f>'[4]Development - i'!E881</f>
        <v>Supply &amp; Fixing of MS ventilator of size ( lockup)</v>
      </c>
      <c r="Z882" s="223" t="str">
        <f t="shared" si="46"/>
        <v>ERRR</v>
      </c>
    </row>
    <row r="883" spans="1:26" s="241" customFormat="1">
      <c r="A883" s="305"/>
      <c r="B883" s="413" t="s">
        <v>1294</v>
      </c>
      <c r="C883" s="413" t="s">
        <v>1294</v>
      </c>
      <c r="D883" s="235" t="str">
        <f t="shared" si="47"/>
        <v xml:space="preserve"> OK</v>
      </c>
      <c r="E883" s="254" t="s">
        <v>1294</v>
      </c>
      <c r="F883" s="254">
        <v>0</v>
      </c>
      <c r="G883" s="298">
        <f>[3]Data!K2491</f>
        <v>3351.56</v>
      </c>
      <c r="H883" s="298" t="s">
        <v>26</v>
      </c>
      <c r="I883" s="300"/>
      <c r="J883" s="300"/>
      <c r="K883" s="270"/>
      <c r="L883" s="301"/>
      <c r="M883" s="270"/>
      <c r="N883" s="270"/>
      <c r="O883" s="270"/>
      <c r="P883" s="270"/>
      <c r="Q883" s="270"/>
      <c r="R883" s="270"/>
      <c r="S883" s="270"/>
      <c r="T883" s="301"/>
      <c r="U883" s="270"/>
      <c r="V883" s="240"/>
      <c r="W883" s="238">
        <f t="shared" si="48"/>
        <v>0</v>
      </c>
      <c r="Y883" s="223" t="str">
        <f>'[4]Development - i'!E882</f>
        <v>MS Ventilator of Size 1350 x 600mm</v>
      </c>
      <c r="Z883" s="223" t="str">
        <f t="shared" si="46"/>
        <v>-----------------------</v>
      </c>
    </row>
    <row r="884" spans="1:26" s="241" customFormat="1" ht="46.5">
      <c r="A884" s="305"/>
      <c r="B884" s="413" t="s">
        <v>1295</v>
      </c>
      <c r="C884" s="413" t="s">
        <v>1295</v>
      </c>
      <c r="D884" s="235" t="str">
        <f t="shared" si="47"/>
        <v xml:space="preserve"> OK</v>
      </c>
      <c r="E884" s="254" t="s">
        <v>1295</v>
      </c>
      <c r="F884" s="254">
        <v>0</v>
      </c>
      <c r="G884" s="298">
        <f>[3]Data!J3877</f>
        <v>3669.64</v>
      </c>
      <c r="H884" s="298" t="s">
        <v>26</v>
      </c>
      <c r="I884" s="300"/>
      <c r="J884" s="300"/>
      <c r="K884" s="270"/>
      <c r="L884" s="301"/>
      <c r="M884" s="270"/>
      <c r="N884" s="270"/>
      <c r="O884" s="270"/>
      <c r="P884" s="270"/>
      <c r="Q884" s="270"/>
      <c r="R884" s="270"/>
      <c r="S884" s="270"/>
      <c r="T884" s="301"/>
      <c r="U884" s="270"/>
      <c r="V884" s="240"/>
      <c r="W884" s="238">
        <f t="shared" si="48"/>
        <v>0</v>
      </c>
      <c r="Y884" s="223" t="str">
        <f>'[4]Development - i'!E883</f>
        <v xml:space="preserve"> MS ventilator of size  1200 x 800 mm</v>
      </c>
      <c r="Z884" s="223" t="str">
        <f t="shared" si="46"/>
        <v>ERRR</v>
      </c>
    </row>
    <row r="885" spans="1:26" s="241" customFormat="1" ht="46.5">
      <c r="A885" s="305"/>
      <c r="B885" s="413" t="s">
        <v>1296</v>
      </c>
      <c r="C885" s="413" t="s">
        <v>1296</v>
      </c>
      <c r="D885" s="235" t="str">
        <f t="shared" si="47"/>
        <v xml:space="preserve"> OK</v>
      </c>
      <c r="E885" s="254" t="s">
        <v>1296</v>
      </c>
      <c r="F885" s="254">
        <v>0</v>
      </c>
      <c r="G885" s="298">
        <f>[3]Data!R2539</f>
        <v>3386.79</v>
      </c>
      <c r="H885" s="298" t="s">
        <v>26</v>
      </c>
      <c r="I885" s="300"/>
      <c r="J885" s="300"/>
      <c r="K885" s="270"/>
      <c r="L885" s="301"/>
      <c r="M885" s="270"/>
      <c r="N885" s="270"/>
      <c r="O885" s="270"/>
      <c r="P885" s="270"/>
      <c r="Q885" s="270"/>
      <c r="R885" s="270"/>
      <c r="S885" s="270"/>
      <c r="T885" s="301"/>
      <c r="U885" s="270"/>
      <c r="V885" s="240"/>
      <c r="W885" s="238">
        <f t="shared" si="48"/>
        <v>0</v>
      </c>
      <c r="Y885" s="223" t="str">
        <f>'[4]Development - i'!E884</f>
        <v xml:space="preserve"> MS ventilator of size  1200 x 600 mm</v>
      </c>
      <c r="Z885" s="223" t="str">
        <f t="shared" si="46"/>
        <v>ERRR</v>
      </c>
    </row>
    <row r="886" spans="1:26" s="241" customFormat="1" ht="46.5">
      <c r="A886" s="305"/>
      <c r="B886" s="413" t="s">
        <v>1297</v>
      </c>
      <c r="C886" s="413" t="s">
        <v>1297</v>
      </c>
      <c r="D886" s="235" t="str">
        <f t="shared" si="47"/>
        <v xml:space="preserve"> OK</v>
      </c>
      <c r="E886" s="254" t="s">
        <v>1297</v>
      </c>
      <c r="F886" s="254">
        <v>0</v>
      </c>
      <c r="G886" s="298">
        <f>[3]Data!J3898</f>
        <v>3582.64</v>
      </c>
      <c r="H886" s="298" t="s">
        <v>26</v>
      </c>
      <c r="I886" s="300"/>
      <c r="J886" s="300"/>
      <c r="K886" s="270"/>
      <c r="L886" s="301"/>
      <c r="M886" s="270"/>
      <c r="N886" s="270"/>
      <c r="O886" s="270"/>
      <c r="P886" s="270"/>
      <c r="Q886" s="270"/>
      <c r="R886" s="270"/>
      <c r="S886" s="270"/>
      <c r="T886" s="301"/>
      <c r="U886" s="270"/>
      <c r="V886" s="240"/>
      <c r="W886" s="238">
        <f t="shared" si="48"/>
        <v>0</v>
      </c>
      <c r="Y886" s="223" t="str">
        <f>'[4]Development - i'!E885</f>
        <v xml:space="preserve"> MS ventilator of size  1000 x 800 mm</v>
      </c>
      <c r="Z886" s="223" t="str">
        <f t="shared" si="46"/>
        <v>ERRR</v>
      </c>
    </row>
    <row r="887" spans="1:26" s="239" customFormat="1">
      <c r="A887" s="320"/>
      <c r="B887" s="413" t="s">
        <v>1298</v>
      </c>
      <c r="C887" s="413" t="s">
        <v>1298</v>
      </c>
      <c r="D887" s="235" t="str">
        <f t="shared" si="47"/>
        <v xml:space="preserve"> OK</v>
      </c>
      <c r="E887" s="254" t="s">
        <v>1298</v>
      </c>
      <c r="F887" s="254">
        <v>0</v>
      </c>
      <c r="G887" s="298">
        <f>G1079</f>
        <v>4038.14</v>
      </c>
      <c r="H887" s="298" t="s">
        <v>26</v>
      </c>
      <c r="I887" s="300"/>
      <c r="J887" s="300"/>
      <c r="K887" s="270"/>
      <c r="L887" s="301"/>
      <c r="M887" s="270"/>
      <c r="N887" s="270"/>
      <c r="O887" s="270"/>
      <c r="P887" s="270"/>
      <c r="Q887" s="270"/>
      <c r="R887" s="270"/>
      <c r="S887" s="270"/>
      <c r="T887" s="301"/>
      <c r="U887" s="270"/>
      <c r="V887" s="240"/>
      <c r="W887" s="238">
        <f t="shared" si="48"/>
        <v>0</v>
      </c>
      <c r="Y887" s="223" t="str">
        <f>'[4]Development - i'!E886</f>
        <v>MS Ventilator of Size 900 x 600mm</v>
      </c>
      <c r="Z887" s="223" t="str">
        <f t="shared" si="46"/>
        <v>-----------------------</v>
      </c>
    </row>
    <row r="888" spans="1:26" s="241" customFormat="1">
      <c r="A888" s="305"/>
      <c r="B888" s="413" t="s">
        <v>1299</v>
      </c>
      <c r="C888" s="413" t="s">
        <v>1299</v>
      </c>
      <c r="D888" s="235" t="str">
        <f t="shared" si="47"/>
        <v xml:space="preserve"> OK</v>
      </c>
      <c r="E888" s="254" t="s">
        <v>1299</v>
      </c>
      <c r="F888" s="254">
        <v>0</v>
      </c>
      <c r="G888" s="298">
        <f>electrical!G1080</f>
        <v>3477.23</v>
      </c>
      <c r="H888" s="298" t="s">
        <v>26</v>
      </c>
      <c r="I888" s="300"/>
      <c r="J888" s="300"/>
      <c r="K888" s="270"/>
      <c r="L888" s="301"/>
      <c r="M888" s="270"/>
      <c r="N888" s="270"/>
      <c r="O888" s="270"/>
      <c r="P888" s="270"/>
      <c r="Q888" s="270"/>
      <c r="R888" s="270"/>
      <c r="S888" s="270"/>
      <c r="T888" s="301"/>
      <c r="U888" s="270"/>
      <c r="V888" s="240"/>
      <c r="W888" s="238">
        <f t="shared" si="48"/>
        <v>0</v>
      </c>
      <c r="Y888" s="223" t="str">
        <f>'[4]Development - i'!E887</f>
        <v>MS Ventilator of Size 600 x 600mm</v>
      </c>
      <c r="Z888" s="223" t="str">
        <f t="shared" si="46"/>
        <v>-----------------------</v>
      </c>
    </row>
    <row r="889" spans="1:26" s="241" customFormat="1">
      <c r="A889" s="305"/>
      <c r="B889" s="413" t="s">
        <v>1300</v>
      </c>
      <c r="C889" s="413" t="s">
        <v>1300</v>
      </c>
      <c r="D889" s="235" t="str">
        <f t="shared" si="47"/>
        <v xml:space="preserve"> OK</v>
      </c>
      <c r="E889" s="254" t="s">
        <v>1300</v>
      </c>
      <c r="F889" s="254">
        <v>0</v>
      </c>
      <c r="G889" s="298">
        <f>G1081</f>
        <v>0</v>
      </c>
      <c r="H889" s="298" t="s">
        <v>26</v>
      </c>
      <c r="I889" s="300"/>
      <c r="J889" s="300"/>
      <c r="K889" s="270"/>
      <c r="L889" s="301"/>
      <c r="M889" s="270"/>
      <c r="N889" s="270"/>
      <c r="O889" s="270"/>
      <c r="P889" s="270"/>
      <c r="Q889" s="270"/>
      <c r="R889" s="270"/>
      <c r="S889" s="270"/>
      <c r="T889" s="301"/>
      <c r="U889" s="270"/>
      <c r="V889" s="240"/>
      <c r="W889" s="238">
        <f t="shared" si="48"/>
        <v>0</v>
      </c>
      <c r="Y889" s="223" t="str">
        <f>'[4]Development - i'!E888</f>
        <v>MS Ventilator of Size 1285 x 600mm</v>
      </c>
      <c r="Z889" s="223" t="str">
        <f t="shared" si="46"/>
        <v>-----------------------</v>
      </c>
    </row>
    <row r="890" spans="1:26" s="241" customFormat="1" ht="43.5">
      <c r="A890" s="305"/>
      <c r="B890" s="363" t="s">
        <v>1301</v>
      </c>
      <c r="C890" s="363" t="s">
        <v>1301</v>
      </c>
      <c r="D890" s="235" t="str">
        <f t="shared" si="47"/>
        <v xml:space="preserve"> OK</v>
      </c>
      <c r="E890" s="254" t="s">
        <v>1301</v>
      </c>
      <c r="F890" s="254">
        <v>0</v>
      </c>
      <c r="G890" s="298">
        <v>61.8</v>
      </c>
      <c r="H890" s="298" t="s">
        <v>556</v>
      </c>
      <c r="I890" s="300"/>
      <c r="J890" s="300"/>
      <c r="K890" s="270"/>
      <c r="L890" s="301"/>
      <c r="M890" s="270"/>
      <c r="N890" s="270"/>
      <c r="O890" s="270"/>
      <c r="P890" s="270"/>
      <c r="Q890" s="270"/>
      <c r="R890" s="270"/>
      <c r="S890" s="270"/>
      <c r="T890" s="301"/>
      <c r="U890" s="270"/>
      <c r="V890" s="240"/>
      <c r="W890" s="238">
        <f t="shared" si="48"/>
        <v>0</v>
      </c>
      <c r="Y890" s="223" t="str">
        <f>'[4]Development - i'!E889</f>
        <v>Supply and fixing of 19mm dia steam pipe for down rod of fan (SD 106)</v>
      </c>
      <c r="Z890" s="223" t="str">
        <f t="shared" si="46"/>
        <v>-----------------------</v>
      </c>
    </row>
    <row r="891" spans="1:26" s="241" customFormat="1" ht="46.5">
      <c r="A891" s="305"/>
      <c r="B891" s="306" t="s">
        <v>1302</v>
      </c>
      <c r="C891" s="306" t="s">
        <v>1302</v>
      </c>
      <c r="D891" s="235" t="str">
        <f t="shared" si="47"/>
        <v xml:space="preserve"> OK</v>
      </c>
      <c r="E891" s="254" t="s">
        <v>1302</v>
      </c>
      <c r="F891" s="254">
        <v>0</v>
      </c>
      <c r="G891" s="298">
        <v>405</v>
      </c>
      <c r="H891" s="298" t="s">
        <v>12</v>
      </c>
      <c r="I891" s="300"/>
      <c r="J891" s="300"/>
      <c r="K891" s="270"/>
      <c r="L891" s="301"/>
      <c r="M891" s="270"/>
      <c r="N891" s="270"/>
      <c r="O891" s="270"/>
      <c r="P891" s="270"/>
      <c r="Q891" s="270"/>
      <c r="R891" s="270"/>
      <c r="S891" s="270"/>
      <c r="T891" s="301"/>
      <c r="U891" s="270"/>
      <c r="V891" s="240"/>
      <c r="W891" s="238">
        <f t="shared" si="48"/>
        <v>0</v>
      </c>
      <c r="Y891" s="223" t="str">
        <f>'[4]Development - i'!E890</f>
        <v>Supply and fixing of  SS Towel rail (75cm length) CER No.178/13-14</v>
      </c>
      <c r="Z891" s="223" t="str">
        <f t="shared" si="46"/>
        <v>-----------------------</v>
      </c>
    </row>
    <row r="892" spans="1:26" s="241" customFormat="1" ht="46.5">
      <c r="A892" s="305"/>
      <c r="B892" s="306" t="s">
        <v>1303</v>
      </c>
      <c r="C892" s="306" t="s">
        <v>1303</v>
      </c>
      <c r="D892" s="235" t="str">
        <f t="shared" si="47"/>
        <v xml:space="preserve"> OK</v>
      </c>
      <c r="E892" s="254" t="s">
        <v>1303</v>
      </c>
      <c r="F892" s="254">
        <v>0</v>
      </c>
      <c r="G892" s="298">
        <v>325</v>
      </c>
      <c r="H892" s="298" t="s">
        <v>26</v>
      </c>
      <c r="I892" s="300"/>
      <c r="J892" s="300"/>
      <c r="K892" s="270"/>
      <c r="L892" s="301"/>
      <c r="M892" s="270"/>
      <c r="N892" s="270"/>
      <c r="O892" s="270"/>
      <c r="P892" s="270"/>
      <c r="Q892" s="270"/>
      <c r="R892" s="270"/>
      <c r="S892" s="270"/>
      <c r="T892" s="301"/>
      <c r="U892" s="270"/>
      <c r="V892" s="240"/>
      <c r="W892" s="238">
        <f t="shared" si="48"/>
        <v>0</v>
      </c>
      <c r="Y892" s="223" t="str">
        <f>'[4]Development - i'!E891</f>
        <v>Supply and fixing of weld mesh of size 7.5x2.5cmx10gauge</v>
      </c>
      <c r="Z892" s="223" t="str">
        <f t="shared" si="46"/>
        <v>-----------------------</v>
      </c>
    </row>
    <row r="893" spans="1:26" s="241" customFormat="1">
      <c r="A893" s="305"/>
      <c r="B893" s="306" t="s">
        <v>1304</v>
      </c>
      <c r="C893" s="306" t="s">
        <v>1304</v>
      </c>
      <c r="D893" s="235" t="str">
        <f t="shared" si="47"/>
        <v xml:space="preserve"> OK</v>
      </c>
      <c r="E893" s="254" t="s">
        <v>1304</v>
      </c>
      <c r="F893" s="254">
        <v>0</v>
      </c>
      <c r="G893" s="298">
        <v>35</v>
      </c>
      <c r="H893" s="298" t="s">
        <v>26</v>
      </c>
      <c r="I893" s="300"/>
      <c r="J893" s="300"/>
      <c r="K893" s="270"/>
      <c r="L893" s="301"/>
      <c r="M893" s="270"/>
      <c r="N893" s="270"/>
      <c r="O893" s="270"/>
      <c r="P893" s="270"/>
      <c r="Q893" s="270"/>
      <c r="R893" s="270"/>
      <c r="S893" s="270"/>
      <c r="T893" s="301"/>
      <c r="U893" s="270"/>
      <c r="V893" s="240"/>
      <c r="W893" s="238">
        <f t="shared" si="48"/>
        <v>0</v>
      </c>
      <c r="Y893" s="223" t="str">
        <f>'[4]Development - i'!E892</f>
        <v>Supply and fixing of Chicken mesh</v>
      </c>
      <c r="Z893" s="223" t="str">
        <f t="shared" si="46"/>
        <v>-----------------------</v>
      </c>
    </row>
    <row r="894" spans="1:26" s="241" customFormat="1" ht="46.5">
      <c r="A894" s="305"/>
      <c r="B894" s="306" t="s">
        <v>2223</v>
      </c>
      <c r="C894" s="306" t="s">
        <v>1305</v>
      </c>
      <c r="D894" s="235" t="str">
        <f t="shared" si="47"/>
        <v xml:space="preserve"> OK</v>
      </c>
      <c r="E894" s="254" t="s">
        <v>2224</v>
      </c>
      <c r="F894" s="254">
        <v>0</v>
      </c>
      <c r="G894" s="298">
        <f>[3]Data!AQ3134</f>
        <v>223</v>
      </c>
      <c r="H894" s="298" t="s">
        <v>556</v>
      </c>
      <c r="I894" s="300"/>
      <c r="J894" s="300"/>
      <c r="K894" s="270"/>
      <c r="L894" s="301"/>
      <c r="M894" s="270"/>
      <c r="N894" s="270"/>
      <c r="O894" s="270"/>
      <c r="P894" s="270"/>
      <c r="Q894" s="270"/>
      <c r="R894" s="270"/>
      <c r="S894" s="270"/>
      <c r="T894" s="301"/>
      <c r="U894" s="270"/>
      <c r="V894" s="240"/>
      <c r="W894" s="238">
        <f t="shared" si="48"/>
        <v>0</v>
      </c>
      <c r="Y894" s="223" t="str">
        <f>'[4]Development - i'!E893</f>
        <v>S &amp; F of 15mm dia Engineering Polymer Tap (long body ) for coastal area only</v>
      </c>
      <c r="Z894" s="223" t="str">
        <f t="shared" si="46"/>
        <v>-----------------------</v>
      </c>
    </row>
    <row r="895" spans="1:26" s="241" customFormat="1" ht="46.5">
      <c r="A895" s="305"/>
      <c r="B895" s="306" t="s">
        <v>2225</v>
      </c>
      <c r="C895" s="306" t="s">
        <v>1306</v>
      </c>
      <c r="D895" s="235" t="str">
        <f t="shared" si="47"/>
        <v xml:space="preserve"> OK</v>
      </c>
      <c r="E895" s="254" t="s">
        <v>2226</v>
      </c>
      <c r="F895" s="254">
        <v>0</v>
      </c>
      <c r="G895" s="298">
        <f>[3]Data!AR3134</f>
        <v>212</v>
      </c>
      <c r="H895" s="298" t="s">
        <v>556</v>
      </c>
      <c r="I895" s="300"/>
      <c r="J895" s="300"/>
      <c r="K895" s="270"/>
      <c r="L895" s="301"/>
      <c r="M895" s="270"/>
      <c r="N895" s="270"/>
      <c r="O895" s="270"/>
      <c r="P895" s="270"/>
      <c r="Q895" s="270"/>
      <c r="R895" s="270"/>
      <c r="S895" s="270"/>
      <c r="T895" s="301"/>
      <c r="U895" s="270"/>
      <c r="V895" s="240"/>
      <c r="W895" s="238">
        <f t="shared" si="48"/>
        <v>0</v>
      </c>
      <c r="Y895" s="223" t="str">
        <f>'[4]Development - i'!E894</f>
        <v>S &amp; F of 15mm dia Engineering Polymer Tap  short body tap for coastal area only</v>
      </c>
      <c r="Z895" s="223" t="str">
        <f t="shared" si="46"/>
        <v>-----------------------</v>
      </c>
    </row>
    <row r="896" spans="1:26" s="241" customFormat="1" ht="46.5">
      <c r="A896" s="305"/>
      <c r="B896" s="306" t="s">
        <v>1307</v>
      </c>
      <c r="C896" s="306" t="s">
        <v>1307</v>
      </c>
      <c r="D896" s="235" t="str">
        <f t="shared" si="47"/>
        <v xml:space="preserve"> OK</v>
      </c>
      <c r="E896" s="254" t="s">
        <v>1307</v>
      </c>
      <c r="F896" s="254">
        <v>0</v>
      </c>
      <c r="G896" s="298">
        <f>[3]Elec.Data!R3638</f>
        <v>2620</v>
      </c>
      <c r="H896" s="298" t="s">
        <v>556</v>
      </c>
      <c r="I896" s="300"/>
      <c r="J896" s="300"/>
      <c r="K896" s="270"/>
      <c r="L896" s="301"/>
      <c r="M896" s="270"/>
      <c r="N896" s="270"/>
      <c r="O896" s="270"/>
      <c r="P896" s="270"/>
      <c r="Q896" s="270"/>
      <c r="R896" s="270"/>
      <c r="S896" s="270"/>
      <c r="T896" s="301"/>
      <c r="U896" s="270"/>
      <c r="V896" s="240"/>
      <c r="W896" s="238">
        <f t="shared" si="48"/>
        <v>0</v>
      </c>
      <c r="Y896" s="223" t="str">
        <f>'[4]Development - i'!E895</f>
        <v xml:space="preserve">S &amp; F of CFL road way lighting luminaries suitable for fixing 36w CFL lamp </v>
      </c>
      <c r="Z896" s="223" t="str">
        <f t="shared" si="46"/>
        <v>-----------------------</v>
      </c>
    </row>
    <row r="897" spans="1:26" s="241" customFormat="1">
      <c r="A897" s="305"/>
      <c r="B897" s="306" t="s">
        <v>1308</v>
      </c>
      <c r="C897" s="306" t="s">
        <v>1308</v>
      </c>
      <c r="D897" s="235" t="str">
        <f t="shared" si="47"/>
        <v xml:space="preserve"> OK</v>
      </c>
      <c r="E897" s="254" t="s">
        <v>1308</v>
      </c>
      <c r="F897" s="254">
        <v>0</v>
      </c>
      <c r="G897" s="298">
        <f>[3]Data!R2383</f>
        <v>322.60000000000002</v>
      </c>
      <c r="H897" s="298" t="s">
        <v>12</v>
      </c>
      <c r="I897" s="300"/>
      <c r="J897" s="300"/>
      <c r="K897" s="270"/>
      <c r="L897" s="301"/>
      <c r="M897" s="270"/>
      <c r="N897" s="270"/>
      <c r="O897" s="270"/>
      <c r="P897" s="270"/>
      <c r="Q897" s="270"/>
      <c r="R897" s="270"/>
      <c r="S897" s="270"/>
      <c r="T897" s="301"/>
      <c r="U897" s="270"/>
      <c r="V897" s="240"/>
      <c r="W897" s="238">
        <f t="shared" si="48"/>
        <v>0</v>
      </c>
      <c r="Y897" s="223" t="str">
        <f>'[4]Development - i'!E896</f>
        <v>Augering  30 cm dia for compound wall</v>
      </c>
      <c r="Z897" s="223" t="str">
        <f t="shared" si="46"/>
        <v>-----------------------</v>
      </c>
    </row>
    <row r="898" spans="1:26" s="239" customFormat="1" ht="261">
      <c r="A898" s="320"/>
      <c r="B898" s="290" t="s">
        <v>389</v>
      </c>
      <c r="C898" s="290" t="s">
        <v>389</v>
      </c>
      <c r="D898" s="235" t="str">
        <f t="shared" si="47"/>
        <v xml:space="preserve"> OK</v>
      </c>
      <c r="E898" s="254" t="s">
        <v>389</v>
      </c>
      <c r="F898" s="254" t="s">
        <v>1309</v>
      </c>
      <c r="G898" s="298">
        <f>[3]Data!X1365</f>
        <v>1255.58</v>
      </c>
      <c r="H898" s="298" t="s">
        <v>1715</v>
      </c>
      <c r="I898" s="300"/>
      <c r="J898" s="300"/>
      <c r="K898" s="270"/>
      <c r="L898" s="301"/>
      <c r="M898" s="270"/>
      <c r="N898" s="270"/>
      <c r="O898" s="270"/>
      <c r="P898" s="270"/>
      <c r="Q898" s="270"/>
      <c r="R898" s="270"/>
      <c r="S898" s="270"/>
      <c r="T898" s="301"/>
      <c r="U898" s="270"/>
      <c r="V898" s="240"/>
      <c r="W898" s="238">
        <f t="shared" si="48"/>
        <v>0</v>
      </c>
      <c r="Y898" s="223" t="str">
        <f>'[4]Development - i'!E897</f>
        <v>Finshing the top of Terrace floor with one course of solar reflective Ceramic tiles without base concrete</v>
      </c>
      <c r="Z898" s="223" t="str">
        <f t="shared" si="46"/>
        <v>-----------------------</v>
      </c>
    </row>
    <row r="899" spans="1:26" s="241" customFormat="1">
      <c r="A899" s="309" t="s">
        <v>2227</v>
      </c>
      <c r="B899" s="310" t="s">
        <v>1310</v>
      </c>
      <c r="C899" s="310" t="s">
        <v>1310</v>
      </c>
      <c r="D899" s="235" t="str">
        <f t="shared" si="47"/>
        <v xml:space="preserve"> OK</v>
      </c>
      <c r="E899" s="254" t="s">
        <v>1310</v>
      </c>
      <c r="F899" s="254">
        <v>0</v>
      </c>
      <c r="G899" s="298">
        <f>[3]Data!K1815</f>
        <v>1720</v>
      </c>
      <c r="H899" s="298" t="s">
        <v>556</v>
      </c>
      <c r="I899" s="300"/>
      <c r="J899" s="300"/>
      <c r="K899" s="270"/>
      <c r="L899" s="301"/>
      <c r="M899" s="270"/>
      <c r="N899" s="270"/>
      <c r="O899" s="270"/>
      <c r="P899" s="270"/>
      <c r="Q899" s="270"/>
      <c r="R899" s="270"/>
      <c r="S899" s="270"/>
      <c r="T899" s="301"/>
      <c r="U899" s="270"/>
      <c r="V899" s="240"/>
      <c r="W899" s="238">
        <f t="shared" si="48"/>
        <v>0</v>
      </c>
      <c r="Y899" s="223" t="str">
        <f>'[4]Development - i'!E898</f>
        <v>HDPE water tank 200 lit capacity with ISI mark</v>
      </c>
      <c r="Z899" s="223" t="str">
        <f t="shared" si="46"/>
        <v>-----------------------</v>
      </c>
    </row>
    <row r="900" spans="1:26" s="239" customFormat="1" ht="130.5">
      <c r="A900" s="340"/>
      <c r="B900" s="316" t="s">
        <v>471</v>
      </c>
      <c r="C900" s="316" t="s">
        <v>471</v>
      </c>
      <c r="D900" s="235" t="str">
        <f t="shared" si="47"/>
        <v xml:space="preserve"> OK</v>
      </c>
      <c r="E900" s="254" t="s">
        <v>471</v>
      </c>
      <c r="F900" s="254" t="s">
        <v>1311</v>
      </c>
      <c r="G900" s="298"/>
      <c r="H900" s="298"/>
      <c r="I900" s="300"/>
      <c r="J900" s="300"/>
      <c r="K900" s="270"/>
      <c r="L900" s="301"/>
      <c r="M900" s="270"/>
      <c r="N900" s="270"/>
      <c r="O900" s="270"/>
      <c r="P900" s="270"/>
      <c r="Q900" s="270"/>
      <c r="R900" s="270"/>
      <c r="S900" s="270"/>
      <c r="T900" s="312"/>
      <c r="U900" s="270"/>
      <c r="V900" s="242"/>
      <c r="W900" s="238">
        <f t="shared" si="48"/>
        <v>0</v>
      </c>
      <c r="Y900" s="223" t="str">
        <f>'[4]Development - i'!E899</f>
        <v>UPVC Non Pressure  pipe of SN8 SDR 34( S 16.5) as per IS 15328/2003</v>
      </c>
      <c r="Z900" s="223" t="str">
        <f t="shared" si="46"/>
        <v>ERRR</v>
      </c>
    </row>
    <row r="901" spans="1:26" ht="23.25">
      <c r="A901" s="234"/>
      <c r="B901" s="289" t="s">
        <v>472</v>
      </c>
      <c r="C901" s="290" t="s">
        <v>472</v>
      </c>
      <c r="D901" s="235" t="str">
        <f t="shared" si="47"/>
        <v xml:space="preserve"> OK</v>
      </c>
      <c r="E901" s="254" t="s">
        <v>472</v>
      </c>
      <c r="F901" s="254" t="s">
        <v>472</v>
      </c>
      <c r="G901" s="298">
        <f>[3]Data!K3695</f>
        <v>343.73</v>
      </c>
      <c r="H901" s="298" t="s">
        <v>12</v>
      </c>
      <c r="I901" s="299"/>
      <c r="J901" s="300"/>
      <c r="K901" s="270"/>
      <c r="L901" s="301"/>
      <c r="M901" s="270"/>
      <c r="N901" s="270"/>
      <c r="O901" s="270"/>
      <c r="P901" s="270"/>
      <c r="Q901" s="270"/>
      <c r="R901" s="270"/>
      <c r="S901" s="270"/>
      <c r="T901" s="301"/>
      <c r="U901" s="302"/>
      <c r="V901" s="236">
        <f>'[3]Precast Compound wall '!H236</f>
        <v>13</v>
      </c>
      <c r="W901" s="233">
        <f t="shared" si="48"/>
        <v>7293.26</v>
      </c>
      <c r="Y901" s="223" t="str">
        <f>'[4]Development - i'!E900</f>
        <v>a. 110 mm UPVC Non Pressure  pipe</v>
      </c>
      <c r="Z901" s="223" t="str">
        <f t="shared" si="46"/>
        <v>-----------------------</v>
      </c>
    </row>
    <row r="902" spans="1:26" s="239" customFormat="1">
      <c r="A902" s="321"/>
      <c r="B902" s="322" t="s">
        <v>474</v>
      </c>
      <c r="C902" s="322" t="s">
        <v>474</v>
      </c>
      <c r="D902" s="235" t="str">
        <f t="shared" si="47"/>
        <v xml:space="preserve"> OK</v>
      </c>
      <c r="E902" s="254" t="s">
        <v>474</v>
      </c>
      <c r="F902" s="254" t="s">
        <v>474</v>
      </c>
      <c r="G902" s="298">
        <f>[3]Data!K3715</f>
        <v>561.02</v>
      </c>
      <c r="H902" s="298" t="s">
        <v>12</v>
      </c>
      <c r="I902" s="300"/>
      <c r="J902" s="300"/>
      <c r="K902" s="270"/>
      <c r="L902" s="301"/>
      <c r="M902" s="270"/>
      <c r="N902" s="270"/>
      <c r="O902" s="270"/>
      <c r="P902" s="270"/>
      <c r="Q902" s="270"/>
      <c r="R902" s="270"/>
      <c r="S902" s="270"/>
      <c r="T902" s="301"/>
      <c r="U902" s="270"/>
      <c r="V902" s="237"/>
      <c r="W902" s="238">
        <f t="shared" si="48"/>
        <v>0</v>
      </c>
      <c r="Y902" s="223" t="str">
        <f>'[4]Development - i'!E901</f>
        <v>b. 160 mm UPVC Non Pressure  pipe</v>
      </c>
      <c r="Z902" s="223" t="str">
        <f t="shared" si="46"/>
        <v>-----------------------</v>
      </c>
    </row>
    <row r="903" spans="1:26" s="239" customFormat="1" ht="65.25">
      <c r="A903" s="320"/>
      <c r="B903" s="316" t="s">
        <v>1312</v>
      </c>
      <c r="C903" s="316" t="s">
        <v>1312</v>
      </c>
      <c r="D903" s="235" t="str">
        <f t="shared" si="47"/>
        <v xml:space="preserve"> OK</v>
      </c>
      <c r="E903" s="254" t="s">
        <v>1312</v>
      </c>
      <c r="F903" s="254" t="s">
        <v>1313</v>
      </c>
      <c r="G903" s="298"/>
      <c r="H903" s="298"/>
      <c r="I903" s="300"/>
      <c r="J903" s="300"/>
      <c r="K903" s="270"/>
      <c r="L903" s="301"/>
      <c r="M903" s="270"/>
      <c r="N903" s="270"/>
      <c r="O903" s="270"/>
      <c r="P903" s="270"/>
      <c r="Q903" s="270"/>
      <c r="R903" s="270"/>
      <c r="S903" s="270"/>
      <c r="T903" s="312"/>
      <c r="U903" s="270"/>
      <c r="V903" s="240"/>
      <c r="W903" s="238">
        <f t="shared" si="48"/>
        <v>0</v>
      </c>
      <c r="Y903" s="223" t="str">
        <f>'[4]Development - i'!E902</f>
        <v>PVC Specials  as per IS 10124/1982 Part II</v>
      </c>
      <c r="Z903" s="223" t="str">
        <f t="shared" si="46"/>
        <v>-----------------------</v>
      </c>
    </row>
    <row r="904" spans="1:26" s="239" customFormat="1" ht="46.5">
      <c r="A904" s="320"/>
      <c r="B904" s="414" t="s">
        <v>1314</v>
      </c>
      <c r="C904" s="414" t="s">
        <v>2228</v>
      </c>
      <c r="D904" s="235" t="str">
        <f t="shared" si="47"/>
        <v>nun</v>
      </c>
      <c r="E904" s="254" t="s">
        <v>1314</v>
      </c>
      <c r="F904" s="254" t="s">
        <v>1315</v>
      </c>
      <c r="G904" s="298">
        <v>160</v>
      </c>
      <c r="H904" s="298" t="s">
        <v>556</v>
      </c>
      <c r="I904" s="300"/>
      <c r="J904" s="300"/>
      <c r="K904" s="270"/>
      <c r="L904" s="301"/>
      <c r="M904" s="270"/>
      <c r="N904" s="270"/>
      <c r="O904" s="270"/>
      <c r="P904" s="270"/>
      <c r="Q904" s="270"/>
      <c r="R904" s="270"/>
      <c r="S904" s="270"/>
      <c r="T904" s="301"/>
      <c r="U904" s="270"/>
      <c r="V904" s="240"/>
      <c r="W904" s="238">
        <f t="shared" si="48"/>
        <v>0</v>
      </c>
      <c r="Y904" s="223" t="str">
        <f>'[4]Development - i'!E903</f>
        <v>a. 110 mm dia PVC bend (TWAD SR 20-21  P-22 S.No-4 )</v>
      </c>
      <c r="Z904" s="223" t="str">
        <f t="shared" si="46"/>
        <v>-----------------------</v>
      </c>
    </row>
    <row r="905" spans="1:26" s="239" customFormat="1" ht="46.5">
      <c r="A905" s="321"/>
      <c r="B905" s="414" t="s">
        <v>1316</v>
      </c>
      <c r="C905" s="414" t="s">
        <v>2229</v>
      </c>
      <c r="D905" s="235" t="str">
        <f t="shared" si="47"/>
        <v>nun</v>
      </c>
      <c r="E905" s="254" t="s">
        <v>1316</v>
      </c>
      <c r="F905" s="254" t="s">
        <v>1317</v>
      </c>
      <c r="G905" s="298">
        <v>510</v>
      </c>
      <c r="H905" s="298" t="s">
        <v>556</v>
      </c>
      <c r="I905" s="300"/>
      <c r="J905" s="300"/>
      <c r="K905" s="270"/>
      <c r="L905" s="301"/>
      <c r="M905" s="270"/>
      <c r="N905" s="270"/>
      <c r="O905" s="270"/>
      <c r="P905" s="270"/>
      <c r="Q905" s="270"/>
      <c r="R905" s="270"/>
      <c r="S905" s="270"/>
      <c r="T905" s="301"/>
      <c r="U905" s="270"/>
      <c r="V905" s="240"/>
      <c r="W905" s="238">
        <f t="shared" si="48"/>
        <v>0</v>
      </c>
      <c r="Y905" s="223" t="str">
        <f>'[4]Development - i'!E904</f>
        <v>b. 160 mm dia PVC bend (TWAD SR 20-21  P-22 S.No-4 )</v>
      </c>
      <c r="Z905" s="223" t="str">
        <f t="shared" si="46"/>
        <v>-----------------------</v>
      </c>
    </row>
    <row r="906" spans="1:26" s="239" customFormat="1">
      <c r="A906" s="320"/>
      <c r="B906" s="316" t="s">
        <v>1318</v>
      </c>
      <c r="C906" s="316" t="s">
        <v>1318</v>
      </c>
      <c r="D906" s="235" t="str">
        <f t="shared" si="47"/>
        <v xml:space="preserve"> OK</v>
      </c>
      <c r="E906" s="254" t="s">
        <v>1318</v>
      </c>
      <c r="F906" s="254" t="s">
        <v>1319</v>
      </c>
      <c r="G906" s="298"/>
      <c r="H906" s="298"/>
      <c r="I906" s="300"/>
      <c r="J906" s="300"/>
      <c r="K906" s="270"/>
      <c r="L906" s="301"/>
      <c r="M906" s="270"/>
      <c r="N906" s="270"/>
      <c r="O906" s="270"/>
      <c r="P906" s="270"/>
      <c r="Q906" s="270"/>
      <c r="R906" s="270"/>
      <c r="S906" s="270"/>
      <c r="T906" s="312"/>
      <c r="U906" s="270"/>
      <c r="V906" s="240"/>
      <c r="W906" s="238">
        <f t="shared" si="48"/>
        <v>0</v>
      </c>
      <c r="Y906" s="223" t="str">
        <f>'[4]Development - i'!E905</f>
        <v xml:space="preserve">PVC Equal Tee  as per  BIS 7834/1975 </v>
      </c>
      <c r="Z906" s="223" t="str">
        <f t="shared" si="46"/>
        <v>-----------------------</v>
      </c>
    </row>
    <row r="907" spans="1:26" s="239" customFormat="1" ht="46.5">
      <c r="A907" s="320"/>
      <c r="B907" s="290" t="s">
        <v>1320</v>
      </c>
      <c r="C907" s="290" t="s">
        <v>2230</v>
      </c>
      <c r="D907" s="235" t="str">
        <f t="shared" si="47"/>
        <v>nun</v>
      </c>
      <c r="E907" s="254" t="s">
        <v>1320</v>
      </c>
      <c r="F907" s="254" t="s">
        <v>1321</v>
      </c>
      <c r="G907" s="298">
        <v>237</v>
      </c>
      <c r="H907" s="298" t="s">
        <v>556</v>
      </c>
      <c r="I907" s="300"/>
      <c r="J907" s="300"/>
      <c r="K907" s="270"/>
      <c r="L907" s="301"/>
      <c r="M907" s="270"/>
      <c r="N907" s="270"/>
      <c r="O907" s="270"/>
      <c r="P907" s="270"/>
      <c r="Q907" s="270"/>
      <c r="R907" s="270"/>
      <c r="S907" s="270"/>
      <c r="T907" s="301"/>
      <c r="U907" s="270"/>
      <c r="V907" s="240"/>
      <c r="W907" s="238">
        <f t="shared" si="48"/>
        <v>0</v>
      </c>
      <c r="Y907" s="223" t="str">
        <f>'[4]Development - i'!E906</f>
        <v>a. 110 mm dia PVC Equal tee(TWAD SR 20-21  P-22 S.No-4 )</v>
      </c>
      <c r="Z907" s="223" t="str">
        <f t="shared" si="46"/>
        <v>-----------------------</v>
      </c>
    </row>
    <row r="908" spans="1:26" s="239" customFormat="1" ht="46.5">
      <c r="A908" s="321"/>
      <c r="B908" s="414" t="s">
        <v>1322</v>
      </c>
      <c r="C908" s="414" t="s">
        <v>2231</v>
      </c>
      <c r="D908" s="235" t="str">
        <f t="shared" si="47"/>
        <v>nun</v>
      </c>
      <c r="E908" s="254" t="s">
        <v>1322</v>
      </c>
      <c r="F908" s="254" t="s">
        <v>1323</v>
      </c>
      <c r="G908" s="298">
        <v>464</v>
      </c>
      <c r="H908" s="298" t="s">
        <v>556</v>
      </c>
      <c r="I908" s="300"/>
      <c r="J908" s="300"/>
      <c r="K908" s="270"/>
      <c r="L908" s="301"/>
      <c r="M908" s="270"/>
      <c r="N908" s="270"/>
      <c r="O908" s="270"/>
      <c r="P908" s="270"/>
      <c r="Q908" s="270"/>
      <c r="R908" s="270"/>
      <c r="S908" s="270"/>
      <c r="T908" s="301"/>
      <c r="U908" s="270"/>
      <c r="V908" s="240"/>
      <c r="W908" s="238">
        <f t="shared" si="48"/>
        <v>0</v>
      </c>
      <c r="Y908" s="223" t="str">
        <f>'[4]Development - i'!E907</f>
        <v>b. 160 mm dia PVC Equal tee(TWAD SR 20-21  P-22 S.No-4 )</v>
      </c>
      <c r="Z908" s="223" t="str">
        <f t="shared" si="46"/>
        <v>-----------------------</v>
      </c>
    </row>
    <row r="909" spans="1:26" s="239" customFormat="1" ht="152.25">
      <c r="A909" s="320"/>
      <c r="B909" s="290" t="s">
        <v>2232</v>
      </c>
      <c r="C909" s="290" t="s">
        <v>463</v>
      </c>
      <c r="D909" s="235" t="str">
        <f t="shared" si="47"/>
        <v xml:space="preserve"> OK</v>
      </c>
      <c r="E909" s="254" t="s">
        <v>2233</v>
      </c>
      <c r="F909" s="254" t="s">
        <v>1324</v>
      </c>
      <c r="G909" s="298">
        <f>[3]Data!R1996</f>
        <v>2913.46</v>
      </c>
      <c r="H909" s="298" t="s">
        <v>556</v>
      </c>
      <c r="I909" s="300"/>
      <c r="J909" s="300"/>
      <c r="K909" s="270"/>
      <c r="L909" s="301"/>
      <c r="M909" s="270"/>
      <c r="N909" s="270"/>
      <c r="O909" s="270"/>
      <c r="P909" s="270"/>
      <c r="Q909" s="270"/>
      <c r="R909" s="270"/>
      <c r="S909" s="270"/>
      <c r="T909" s="301"/>
      <c r="U909" s="270"/>
      <c r="V909" s="240"/>
      <c r="W909" s="238">
        <f t="shared" si="48"/>
        <v>0</v>
      </c>
      <c r="Y909" s="223" t="str">
        <f>'[4]Development - i'!E908</f>
        <v xml:space="preserve">S &amp; F of Indian Water closet white glazed (Oriya type) of size 580 x 440mm with PVC SWR grade ' P' or "S' trap   - in G.F.  </v>
      </c>
      <c r="Z909" s="223" t="str">
        <f t="shared" si="46"/>
        <v>-----------------------</v>
      </c>
    </row>
    <row r="910" spans="1:26" s="239" customFormat="1" ht="239.25">
      <c r="A910" s="321"/>
      <c r="B910" s="322" t="s">
        <v>2234</v>
      </c>
      <c r="C910" s="322" t="s">
        <v>464</v>
      </c>
      <c r="D910" s="235" t="str">
        <f t="shared" si="47"/>
        <v xml:space="preserve"> OK</v>
      </c>
      <c r="E910" s="254" t="s">
        <v>2235</v>
      </c>
      <c r="F910" s="254" t="s">
        <v>1325</v>
      </c>
      <c r="G910" s="298">
        <f>[3]Data!R2017</f>
        <v>4531.08</v>
      </c>
      <c r="H910" s="298" t="s">
        <v>556</v>
      </c>
      <c r="I910" s="300"/>
      <c r="J910" s="300"/>
      <c r="K910" s="270"/>
      <c r="L910" s="301"/>
      <c r="M910" s="270"/>
      <c r="N910" s="270"/>
      <c r="O910" s="270"/>
      <c r="P910" s="270"/>
      <c r="Q910" s="270"/>
      <c r="R910" s="270"/>
      <c r="S910" s="270"/>
      <c r="T910" s="301"/>
      <c r="U910" s="270"/>
      <c r="V910" s="240"/>
      <c r="W910" s="238">
        <f t="shared" si="48"/>
        <v>0</v>
      </c>
      <c r="Y910" s="223" t="str">
        <f>'[4]Development - i'!E909</f>
        <v xml:space="preserve">S &amp; F of Indian Water closet white glazed (Oriya type) of size 580 x 440mm  with PVC SWR grade ' P' or "S' trap- Other than  G.F.  </v>
      </c>
      <c r="Z910" s="223" t="str">
        <f t="shared" si="46"/>
        <v>-----------------------</v>
      </c>
    </row>
    <row r="911" spans="1:26" s="239" customFormat="1" ht="46.5">
      <c r="A911" s="320"/>
      <c r="B911" s="290" t="s">
        <v>2236</v>
      </c>
      <c r="C911" s="290" t="s">
        <v>1326</v>
      </c>
      <c r="D911" s="235" t="str">
        <f t="shared" si="47"/>
        <v xml:space="preserve"> OK</v>
      </c>
      <c r="E911" s="254" t="s">
        <v>2237</v>
      </c>
      <c r="F911" s="254">
        <v>0</v>
      </c>
      <c r="G911" s="298">
        <f>[3]Data!R2036</f>
        <v>6255.28</v>
      </c>
      <c r="H911" s="298" t="s">
        <v>556</v>
      </c>
      <c r="I911" s="300"/>
      <c r="J911" s="300"/>
      <c r="K911" s="270"/>
      <c r="L911" s="301"/>
      <c r="M911" s="270"/>
      <c r="N911" s="270"/>
      <c r="O911" s="270"/>
      <c r="P911" s="270"/>
      <c r="Q911" s="270"/>
      <c r="R911" s="270"/>
      <c r="S911" s="270"/>
      <c r="T911" s="301"/>
      <c r="U911" s="270"/>
      <c r="V911" s="240"/>
      <c r="W911" s="238">
        <f t="shared" si="48"/>
        <v>0</v>
      </c>
      <c r="Y911" s="223" t="str">
        <f>'[4]Development - i'!E910</f>
        <v xml:space="preserve">S &amp; F of E.W.C.(White) 500 mm with PVC SWR grade "P" or "S" TRAP </v>
      </c>
      <c r="Z911" s="223" t="str">
        <f t="shared" ref="Z911:Z974" si="49">IF(Y911=E911,"-----------------------","ERRR")</f>
        <v>-----------------------</v>
      </c>
    </row>
    <row r="912" spans="1:26" s="239" customFormat="1" ht="46.5">
      <c r="A912" s="321"/>
      <c r="B912" s="290" t="s">
        <v>2238</v>
      </c>
      <c r="C912" s="290" t="s">
        <v>1327</v>
      </c>
      <c r="D912" s="235" t="str">
        <f t="shared" si="47"/>
        <v xml:space="preserve"> OK</v>
      </c>
      <c r="E912" s="254" t="s">
        <v>2239</v>
      </c>
      <c r="F912" s="254">
        <v>0</v>
      </c>
      <c r="G912" s="298">
        <f>[3]Data!R2055</f>
        <v>6645.28</v>
      </c>
      <c r="H912" s="298" t="s">
        <v>556</v>
      </c>
      <c r="I912" s="300"/>
      <c r="J912" s="300"/>
      <c r="K912" s="270"/>
      <c r="L912" s="301"/>
      <c r="M912" s="270"/>
      <c r="N912" s="270"/>
      <c r="O912" s="270"/>
      <c r="P912" s="270"/>
      <c r="Q912" s="270"/>
      <c r="R912" s="270"/>
      <c r="S912" s="270"/>
      <c r="T912" s="301"/>
      <c r="U912" s="270"/>
      <c r="V912" s="240"/>
      <c r="W912" s="238">
        <f t="shared" si="48"/>
        <v>0</v>
      </c>
      <c r="Y912" s="223" t="str">
        <f>'[4]Development - i'!E911</f>
        <v xml:space="preserve">S &amp; F of E.W.C.( Colour) 500 mm with PVC SWR grade "P" or "S" TRAP </v>
      </c>
      <c r="Z912" s="223" t="str">
        <f t="shared" si="49"/>
        <v>-----------------------</v>
      </c>
    </row>
    <row r="913" spans="1:26" s="241" customFormat="1">
      <c r="A913" s="309"/>
      <c r="B913" s="415" t="s">
        <v>1328</v>
      </c>
      <c r="C913" s="415" t="s">
        <v>1328</v>
      </c>
      <c r="D913" s="235" t="str">
        <f t="shared" si="47"/>
        <v xml:space="preserve"> OK</v>
      </c>
      <c r="E913" s="254" t="s">
        <v>1328</v>
      </c>
      <c r="F913" s="254" t="s">
        <v>1328</v>
      </c>
      <c r="G913" s="298"/>
      <c r="H913" s="298"/>
      <c r="I913" s="300"/>
      <c r="J913" s="300"/>
      <c r="K913" s="270"/>
      <c r="L913" s="301"/>
      <c r="M913" s="270"/>
      <c r="N913" s="270"/>
      <c r="O913" s="270"/>
      <c r="P913" s="270"/>
      <c r="Q913" s="270"/>
      <c r="R913" s="270"/>
      <c r="S913" s="270"/>
      <c r="T913" s="301"/>
      <c r="U913" s="270"/>
      <c r="V913" s="240"/>
      <c r="W913" s="238">
        <f t="shared" si="48"/>
        <v>0</v>
      </c>
      <c r="Y913" s="223" t="str">
        <f>'[4]Development - i'!E912</f>
        <v>French window  ( SP Perambalur)</v>
      </c>
      <c r="Z913" s="223" t="str">
        <f t="shared" si="49"/>
        <v>-----------------------</v>
      </c>
    </row>
    <row r="914" spans="1:26" s="241" customFormat="1">
      <c r="A914" s="305"/>
      <c r="B914" s="416" t="s">
        <v>1329</v>
      </c>
      <c r="C914" s="416" t="s">
        <v>1329</v>
      </c>
      <c r="D914" s="235" t="str">
        <f t="shared" si="47"/>
        <v xml:space="preserve"> OK</v>
      </c>
      <c r="E914" s="254" t="s">
        <v>1329</v>
      </c>
      <c r="F914" s="254" t="s">
        <v>1329</v>
      </c>
      <c r="G914" s="298"/>
      <c r="H914" s="298" t="s">
        <v>26</v>
      </c>
      <c r="I914" s="300"/>
      <c r="J914" s="300"/>
      <c r="K914" s="270"/>
      <c r="L914" s="301"/>
      <c r="M914" s="270"/>
      <c r="N914" s="270"/>
      <c r="O914" s="270"/>
      <c r="P914" s="270"/>
      <c r="Q914" s="270"/>
      <c r="R914" s="270"/>
      <c r="S914" s="270"/>
      <c r="T914" s="301"/>
      <c r="U914" s="270"/>
      <c r="V914" s="240"/>
      <c r="W914" s="238">
        <f t="shared" si="48"/>
        <v>0</v>
      </c>
      <c r="Y914" s="223" t="str">
        <f>'[4]Development - i'!E913</f>
        <v xml:space="preserve">a. FW  (2.1 x 2.0 m ) 3 bay openable </v>
      </c>
      <c r="Z914" s="223" t="str">
        <f t="shared" si="49"/>
        <v>-----------------------</v>
      </c>
    </row>
    <row r="915" spans="1:26" s="241" customFormat="1">
      <c r="A915" s="305"/>
      <c r="B915" s="416" t="s">
        <v>1330</v>
      </c>
      <c r="C915" s="416" t="s">
        <v>1330</v>
      </c>
      <c r="D915" s="235" t="str">
        <f t="shared" si="47"/>
        <v xml:space="preserve"> OK</v>
      </c>
      <c r="E915" s="254" t="s">
        <v>1330</v>
      </c>
      <c r="F915" s="254" t="s">
        <v>1330</v>
      </c>
      <c r="G915" s="298"/>
      <c r="H915" s="298" t="s">
        <v>26</v>
      </c>
      <c r="I915" s="300"/>
      <c r="J915" s="300"/>
      <c r="K915" s="270"/>
      <c r="L915" s="301"/>
      <c r="M915" s="270"/>
      <c r="N915" s="270"/>
      <c r="O915" s="270"/>
      <c r="P915" s="270"/>
      <c r="Q915" s="270"/>
      <c r="R915" s="270"/>
      <c r="S915" s="270"/>
      <c r="T915" s="301"/>
      <c r="U915" s="270"/>
      <c r="V915" s="240"/>
      <c r="W915" s="238">
        <f t="shared" si="48"/>
        <v>0</v>
      </c>
      <c r="Y915" s="223" t="str">
        <f>'[4]Development - i'!E914</f>
        <v xml:space="preserve">b.FW 1 (1.80 x 2.0 m )3 bay openable </v>
      </c>
      <c r="Z915" s="223" t="str">
        <f t="shared" si="49"/>
        <v>-----------------------</v>
      </c>
    </row>
    <row r="916" spans="1:26" s="241" customFormat="1">
      <c r="A916" s="305"/>
      <c r="B916" s="416" t="s">
        <v>1331</v>
      </c>
      <c r="C916" s="416" t="s">
        <v>1331</v>
      </c>
      <c r="D916" s="235" t="str">
        <f t="shared" si="47"/>
        <v xml:space="preserve"> OK</v>
      </c>
      <c r="E916" s="254" t="s">
        <v>1331</v>
      </c>
      <c r="F916" s="254" t="s">
        <v>1331</v>
      </c>
      <c r="G916" s="298"/>
      <c r="H916" s="298" t="s">
        <v>26</v>
      </c>
      <c r="I916" s="300"/>
      <c r="J916" s="300"/>
      <c r="K916" s="270"/>
      <c r="L916" s="301"/>
      <c r="M916" s="270"/>
      <c r="N916" s="270"/>
      <c r="O916" s="270"/>
      <c r="P916" s="270"/>
      <c r="Q916" s="270"/>
      <c r="R916" s="270"/>
      <c r="S916" s="270"/>
      <c r="T916" s="301"/>
      <c r="U916" s="270"/>
      <c r="V916" s="240"/>
      <c r="W916" s="238">
        <f t="shared" si="48"/>
        <v>0</v>
      </c>
      <c r="Y916" s="223" t="str">
        <f>'[4]Development - i'!E915</f>
        <v xml:space="preserve">c. FW 2  (1.20 x 2.0 m ) 2 bay openable </v>
      </c>
      <c r="Z916" s="223" t="str">
        <f t="shared" si="49"/>
        <v>-----------------------</v>
      </c>
    </row>
    <row r="917" spans="1:26" s="241" customFormat="1">
      <c r="A917" s="305"/>
      <c r="B917" s="416" t="s">
        <v>1332</v>
      </c>
      <c r="C917" s="416" t="s">
        <v>1332</v>
      </c>
      <c r="D917" s="235" t="str">
        <f t="shared" si="47"/>
        <v xml:space="preserve"> OK</v>
      </c>
      <c r="E917" s="254" t="s">
        <v>1332</v>
      </c>
      <c r="F917" s="254" t="s">
        <v>1332</v>
      </c>
      <c r="G917" s="298"/>
      <c r="H917" s="298" t="s">
        <v>26</v>
      </c>
      <c r="I917" s="300"/>
      <c r="J917" s="300"/>
      <c r="K917" s="270"/>
      <c r="L917" s="301"/>
      <c r="M917" s="270"/>
      <c r="N917" s="270"/>
      <c r="O917" s="270"/>
      <c r="P917" s="270"/>
      <c r="Q917" s="270"/>
      <c r="R917" s="270"/>
      <c r="S917" s="270"/>
      <c r="T917" s="301"/>
      <c r="U917" s="270"/>
      <c r="V917" s="240"/>
      <c r="W917" s="238">
        <f t="shared" si="48"/>
        <v>0</v>
      </c>
      <c r="Y917" s="223" t="str">
        <f>'[4]Development - i'!E916</f>
        <v xml:space="preserve">d.FW 3 (0.75 x 2.0 m ) Single  bay openable </v>
      </c>
      <c r="Z917" s="223" t="str">
        <f t="shared" si="49"/>
        <v>-----------------------</v>
      </c>
    </row>
    <row r="918" spans="1:26" s="241" customFormat="1">
      <c r="A918" s="305"/>
      <c r="B918" s="416" t="s">
        <v>1333</v>
      </c>
      <c r="C918" s="416" t="s">
        <v>1333</v>
      </c>
      <c r="D918" s="235" t="str">
        <f t="shared" si="47"/>
        <v xml:space="preserve"> OK</v>
      </c>
      <c r="E918" s="254" t="s">
        <v>1333</v>
      </c>
      <c r="F918" s="254" t="s">
        <v>1333</v>
      </c>
      <c r="G918" s="298"/>
      <c r="H918" s="298" t="s">
        <v>26</v>
      </c>
      <c r="I918" s="300"/>
      <c r="J918" s="300"/>
      <c r="K918" s="270"/>
      <c r="L918" s="301"/>
      <c r="M918" s="270"/>
      <c r="N918" s="270"/>
      <c r="O918" s="270"/>
      <c r="P918" s="270"/>
      <c r="Q918" s="270"/>
      <c r="R918" s="270"/>
      <c r="S918" s="270"/>
      <c r="T918" s="301"/>
      <c r="U918" s="270"/>
      <c r="V918" s="240"/>
      <c r="W918" s="238">
        <f t="shared" si="48"/>
        <v>0</v>
      </c>
      <c r="Y918" s="223" t="str">
        <f>'[4]Development - i'!E917</f>
        <v>e. FD/ FW  (0.57 x 2.0 m )Single  bay openable</v>
      </c>
      <c r="Z918" s="223" t="str">
        <f t="shared" si="49"/>
        <v>-----------------------</v>
      </c>
    </row>
    <row r="919" spans="1:26" s="241" customFormat="1">
      <c r="A919" s="305"/>
      <c r="B919" s="407" t="s">
        <v>1334</v>
      </c>
      <c r="C919" s="407" t="s">
        <v>1334</v>
      </c>
      <c r="D919" s="235" t="str">
        <f t="shared" si="47"/>
        <v xml:space="preserve"> OK</v>
      </c>
      <c r="E919" s="254" t="s">
        <v>1334</v>
      </c>
      <c r="F919" s="254" t="s">
        <v>1334</v>
      </c>
      <c r="G919" s="298">
        <f>[3]Data!X3186</f>
        <v>3142.34</v>
      </c>
      <c r="H919" s="298" t="s">
        <v>26</v>
      </c>
      <c r="I919" s="300"/>
      <c r="J919" s="300"/>
      <c r="K919" s="270"/>
      <c r="L919" s="301"/>
      <c r="M919" s="270"/>
      <c r="N919" s="270"/>
      <c r="O919" s="270"/>
      <c r="P919" s="270"/>
      <c r="Q919" s="270"/>
      <c r="R919" s="270"/>
      <c r="S919" s="270"/>
      <c r="T919" s="301"/>
      <c r="U919" s="270"/>
      <c r="V919" s="240"/>
      <c r="W919" s="238">
        <f>ROUND(G921,2)*ROUND(V919,2)</f>
        <v>0</v>
      </c>
      <c r="Y919" s="223" t="str">
        <f>'[4]Development - i'!E918</f>
        <v xml:space="preserve">f. 1.50 x 2.00 mt.window  sankar nagar DSP </v>
      </c>
      <c r="Z919" s="223" t="str">
        <f t="shared" si="49"/>
        <v>-----------------------</v>
      </c>
    </row>
    <row r="920" spans="1:26" s="241" customFormat="1" ht="43.5">
      <c r="A920" s="305"/>
      <c r="B920" s="407"/>
      <c r="C920" s="407"/>
      <c r="D920" s="235"/>
      <c r="E920" s="254" t="str">
        <f>'[3]data -1'!C314</f>
        <v xml:space="preserve">TW Double leaf glazed window shutter of size 1250X2000 MM </v>
      </c>
      <c r="F920" s="254" t="s">
        <v>1335</v>
      </c>
      <c r="G920" s="298">
        <f>'[3]data -1'!F343</f>
        <v>4623.1099999999997</v>
      </c>
      <c r="H920" s="298"/>
      <c r="I920" s="300"/>
      <c r="J920" s="300"/>
      <c r="K920" s="270"/>
      <c r="L920" s="301"/>
      <c r="M920" s="270"/>
      <c r="N920" s="270"/>
      <c r="O920" s="270"/>
      <c r="P920" s="270"/>
      <c r="Q920" s="270"/>
      <c r="R920" s="270"/>
      <c r="S920" s="270"/>
      <c r="T920" s="301"/>
      <c r="U920" s="270"/>
      <c r="V920" s="240"/>
      <c r="W920" s="238"/>
      <c r="Y920" s="223" t="str">
        <f>'[4]Development - i'!E919</f>
        <v xml:space="preserve">TW Double leaf glazed window shutter of size 1250X2000 MM </v>
      </c>
      <c r="Z920" s="223" t="str">
        <f t="shared" si="49"/>
        <v>-----------------------</v>
      </c>
    </row>
    <row r="921" spans="1:26" s="241" customFormat="1" ht="93">
      <c r="A921" s="305"/>
      <c r="B921" s="314" t="s">
        <v>2240</v>
      </c>
      <c r="C921" s="314" t="s">
        <v>2240</v>
      </c>
      <c r="D921" s="235" t="str">
        <f t="shared" si="47"/>
        <v xml:space="preserve"> OK</v>
      </c>
      <c r="E921" s="254" t="s">
        <v>1336</v>
      </c>
      <c r="F921" s="254">
        <v>0</v>
      </c>
      <c r="G921" s="298"/>
      <c r="H921" s="298"/>
      <c r="I921" s="300"/>
      <c r="J921" s="300"/>
      <c r="K921" s="270"/>
      <c r="L921" s="301"/>
      <c r="M921" s="270"/>
      <c r="N921" s="270"/>
      <c r="O921" s="270"/>
      <c r="P921" s="270"/>
      <c r="Q921" s="270"/>
      <c r="R921" s="270"/>
      <c r="S921" s="270"/>
      <c r="T921" s="312"/>
      <c r="U921" s="270"/>
      <c r="V921" s="240"/>
      <c r="W921" s="238">
        <f t="shared" si="48"/>
        <v>0</v>
      </c>
      <c r="Y921" s="223" t="str">
        <f>'[4]Development - i'!E920</f>
        <v>Wiring with 1.5 Sqm.m PVC insulated single core multi strand fire retardant flexible copper cable with ISI mark confirming IS: 694:1990.( PVC Box , Fire Retarded Box) For Coastal only</v>
      </c>
      <c r="Z921" s="223" t="str">
        <f t="shared" si="49"/>
        <v>ERRR</v>
      </c>
    </row>
    <row r="922" spans="1:26" s="241" customFormat="1">
      <c r="A922" s="305"/>
      <c r="B922" s="306" t="s">
        <v>41</v>
      </c>
      <c r="C922" s="306" t="s">
        <v>41</v>
      </c>
      <c r="D922" s="235" t="str">
        <f t="shared" si="47"/>
        <v xml:space="preserve"> OK</v>
      </c>
      <c r="E922" s="254" t="s">
        <v>41</v>
      </c>
      <c r="F922" s="254">
        <v>0</v>
      </c>
      <c r="G922" s="298">
        <f>'[3]  Coastal  Elec.Data '!K2860</f>
        <v>1376.73</v>
      </c>
      <c r="H922" s="298" t="s">
        <v>556</v>
      </c>
      <c r="I922" s="300"/>
      <c r="J922" s="300"/>
      <c r="K922" s="270"/>
      <c r="L922" s="301"/>
      <c r="M922" s="270"/>
      <c r="N922" s="270"/>
      <c r="O922" s="270"/>
      <c r="P922" s="270"/>
      <c r="Q922" s="270"/>
      <c r="R922" s="270"/>
      <c r="S922" s="270"/>
      <c r="T922" s="301"/>
      <c r="U922" s="270"/>
      <c r="V922" s="240"/>
      <c r="W922" s="238">
        <f t="shared" si="48"/>
        <v>0</v>
      </c>
      <c r="Y922" s="223" t="str">
        <f>'[4]Development - i'!E921</f>
        <v>a. Light point with ceiling rose</v>
      </c>
      <c r="Z922" s="223" t="str">
        <f t="shared" si="49"/>
        <v>-----------------------</v>
      </c>
    </row>
    <row r="923" spans="1:26" s="241" customFormat="1">
      <c r="A923" s="305"/>
      <c r="B923" s="306" t="s">
        <v>42</v>
      </c>
      <c r="C923" s="306" t="s">
        <v>42</v>
      </c>
      <c r="D923" s="235" t="str">
        <f t="shared" si="47"/>
        <v xml:space="preserve"> OK</v>
      </c>
      <c r="E923" s="254" t="s">
        <v>42</v>
      </c>
      <c r="F923" s="254">
        <v>0</v>
      </c>
      <c r="G923" s="298">
        <f>'[3]  Coastal  Elec.Data '!K2884</f>
        <v>1379.73</v>
      </c>
      <c r="H923" s="298" t="s">
        <v>556</v>
      </c>
      <c r="I923" s="300"/>
      <c r="J923" s="300"/>
      <c r="K923" s="270"/>
      <c r="L923" s="301"/>
      <c r="M923" s="270"/>
      <c r="N923" s="270"/>
      <c r="O923" s="270"/>
      <c r="P923" s="270"/>
      <c r="Q923" s="270"/>
      <c r="R923" s="270"/>
      <c r="S923" s="270"/>
      <c r="T923" s="301"/>
      <c r="U923" s="270"/>
      <c r="V923" s="240"/>
      <c r="W923" s="238">
        <f t="shared" si="48"/>
        <v>0</v>
      </c>
      <c r="Y923" s="223" t="str">
        <f>'[4]Development - i'!E922</f>
        <v>b. Light point without ceiling rose</v>
      </c>
      <c r="Z923" s="223" t="str">
        <f t="shared" si="49"/>
        <v>-----------------------</v>
      </c>
    </row>
    <row r="924" spans="1:26" s="241" customFormat="1">
      <c r="A924" s="326"/>
      <c r="B924" s="306" t="s">
        <v>903</v>
      </c>
      <c r="C924" s="306" t="s">
        <v>903</v>
      </c>
      <c r="D924" s="235" t="str">
        <f t="shared" si="47"/>
        <v xml:space="preserve"> OK</v>
      </c>
      <c r="E924" s="254" t="s">
        <v>903</v>
      </c>
      <c r="F924" s="254">
        <v>0</v>
      </c>
      <c r="G924" s="298">
        <f>'[3]  Coastal  Elec.Data '!K2899</f>
        <v>1376</v>
      </c>
      <c r="H924" s="298" t="s">
        <v>556</v>
      </c>
      <c r="I924" s="300"/>
      <c r="J924" s="300"/>
      <c r="K924" s="270"/>
      <c r="L924" s="301"/>
      <c r="M924" s="270"/>
      <c r="N924" s="270"/>
      <c r="O924" s="270"/>
      <c r="P924" s="270"/>
      <c r="Q924" s="270"/>
      <c r="R924" s="270"/>
      <c r="S924" s="270"/>
      <c r="T924" s="301"/>
      <c r="U924" s="270"/>
      <c r="V924" s="240"/>
      <c r="W924" s="238">
        <f t="shared" si="48"/>
        <v>0</v>
      </c>
      <c r="Y924" s="223" t="str">
        <f>'[4]Development - i'!E923</f>
        <v>c. Calling bell point with Buzzer/Calling bell</v>
      </c>
      <c r="Z924" s="223" t="str">
        <f t="shared" si="49"/>
        <v>-----------------------</v>
      </c>
    </row>
    <row r="925" spans="1:26" s="241" customFormat="1" ht="174">
      <c r="A925" s="305"/>
      <c r="B925" s="306" t="s">
        <v>2241</v>
      </c>
      <c r="C925" s="306" t="s">
        <v>2242</v>
      </c>
      <c r="D925" s="235" t="str">
        <f t="shared" si="47"/>
        <v xml:space="preserve"> OK</v>
      </c>
      <c r="E925" s="254" t="s">
        <v>1337</v>
      </c>
      <c r="F925" s="254" t="s">
        <v>1133</v>
      </c>
      <c r="G925" s="298">
        <f>'[3]  Coastal  Elec.Data '!K2921</f>
        <v>1427.73</v>
      </c>
      <c r="H925" s="298" t="s">
        <v>556</v>
      </c>
      <c r="I925" s="300"/>
      <c r="J925" s="300"/>
      <c r="K925" s="270"/>
      <c r="L925" s="301"/>
      <c r="M925" s="270"/>
      <c r="N925" s="270"/>
      <c r="O925" s="270"/>
      <c r="P925" s="270"/>
      <c r="Q925" s="270"/>
      <c r="R925" s="270"/>
      <c r="S925" s="270"/>
      <c r="T925" s="301"/>
      <c r="U925" s="270"/>
      <c r="V925" s="240"/>
      <c r="W925" s="238">
        <f t="shared" si="48"/>
        <v>0</v>
      </c>
      <c r="Y925" s="223" t="str">
        <f>'[4]Development - i'!E924</f>
        <v>Wiring with 1.5 Sqm.m PVC insulated single core multi strand fire retardant flexible copper cable with ISI mark confirming IS: 694:1990 for Fan point.(PVC Electrical Box )</v>
      </c>
      <c r="Z925" s="223" t="str">
        <f t="shared" si="49"/>
        <v>-----------------------</v>
      </c>
    </row>
    <row r="926" spans="1:26" s="241" customFormat="1" ht="174">
      <c r="A926" s="305"/>
      <c r="B926" s="306" t="s">
        <v>2243</v>
      </c>
      <c r="C926" s="306" t="s">
        <v>2244</v>
      </c>
      <c r="D926" s="235" t="str">
        <f t="shared" ref="D926:D994" si="50">IF(B926=C926," OK","nun")</f>
        <v xml:space="preserve"> OK</v>
      </c>
      <c r="E926" s="254" t="s">
        <v>1338</v>
      </c>
      <c r="F926" s="254" t="s">
        <v>1134</v>
      </c>
      <c r="G926" s="298">
        <f>'[3]  Coastal  Elec.Data '!K2945</f>
        <v>2542.73</v>
      </c>
      <c r="H926" s="298" t="s">
        <v>556</v>
      </c>
      <c r="I926" s="300"/>
      <c r="J926" s="300"/>
      <c r="K926" s="270"/>
      <c r="L926" s="301"/>
      <c r="M926" s="270"/>
      <c r="N926" s="270"/>
      <c r="O926" s="270"/>
      <c r="P926" s="270"/>
      <c r="Q926" s="270"/>
      <c r="R926" s="270"/>
      <c r="S926" s="270"/>
      <c r="T926" s="301"/>
      <c r="U926" s="270"/>
      <c r="V926" s="240"/>
      <c r="W926" s="238">
        <f t="shared" si="48"/>
        <v>0</v>
      </c>
      <c r="Y926" s="223" t="str">
        <f>'[4]Development - i'!E925</f>
        <v>Wiring with 1.5 Sqm.m PVC insulated single core multi strand fire retardant flexible copper cable with ISI mark confirming IS: 694:1990 for Staircase Light Point.(PVC Electrical Box )</v>
      </c>
      <c r="Z926" s="223" t="str">
        <f t="shared" si="49"/>
        <v>-----------------------</v>
      </c>
    </row>
    <row r="927" spans="1:26" s="241" customFormat="1" ht="174">
      <c r="A927" s="305">
        <v>67.099999999999994</v>
      </c>
      <c r="B927" s="306" t="s">
        <v>2162</v>
      </c>
      <c r="C927" s="306" t="s">
        <v>2163</v>
      </c>
      <c r="D927" s="235" t="str">
        <f t="shared" si="50"/>
        <v xml:space="preserve"> OK</v>
      </c>
      <c r="E927" s="254" t="s">
        <v>491</v>
      </c>
      <c r="F927" s="254" t="s">
        <v>1135</v>
      </c>
      <c r="G927" s="298">
        <f>'[3]  Coastal  Elec.Data '!K2977</f>
        <v>688</v>
      </c>
      <c r="H927" s="298" t="s">
        <v>556</v>
      </c>
      <c r="I927" s="300"/>
      <c r="J927" s="300"/>
      <c r="K927" s="270"/>
      <c r="L927" s="301"/>
      <c r="M927" s="270"/>
      <c r="N927" s="270"/>
      <c r="O927" s="270"/>
      <c r="P927" s="270"/>
      <c r="Q927" s="270"/>
      <c r="R927" s="270"/>
      <c r="S927" s="270"/>
      <c r="T927" s="301"/>
      <c r="U927" s="270"/>
      <c r="V927" s="240"/>
      <c r="W927" s="238">
        <f t="shared" si="48"/>
        <v>0</v>
      </c>
      <c r="Y927" s="223" t="str">
        <f>'[4]Development - i'!E926</f>
        <v>Wiring with 1.5 Sqm.m PVC insulated single core multi strand fire retardant flexible copper cable with ISI mark confirming IS: 694:1990 for 5 amps 5 pin plug socket point @ Switch Board Itself.</v>
      </c>
      <c r="Z927" s="223" t="str">
        <f t="shared" si="49"/>
        <v>-----------------------</v>
      </c>
    </row>
    <row r="928" spans="1:26" s="241" customFormat="1" ht="174">
      <c r="A928" s="305"/>
      <c r="B928" s="306" t="s">
        <v>2245</v>
      </c>
      <c r="C928" s="306" t="s">
        <v>2246</v>
      </c>
      <c r="D928" s="235" t="str">
        <f t="shared" si="50"/>
        <v xml:space="preserve"> OK</v>
      </c>
      <c r="E928" s="254" t="s">
        <v>1339</v>
      </c>
      <c r="F928" s="254" t="s">
        <v>1136</v>
      </c>
      <c r="G928" s="298">
        <f>'[3]  Coastal  Elec.Data '!K2965</f>
        <v>937</v>
      </c>
      <c r="H928" s="298" t="s">
        <v>556</v>
      </c>
      <c r="I928" s="300"/>
      <c r="J928" s="300"/>
      <c r="K928" s="270"/>
      <c r="L928" s="301"/>
      <c r="M928" s="270"/>
      <c r="N928" s="270"/>
      <c r="O928" s="270"/>
      <c r="P928" s="270"/>
      <c r="Q928" s="270"/>
      <c r="R928" s="270"/>
      <c r="S928" s="270"/>
      <c r="T928" s="301"/>
      <c r="U928" s="270"/>
      <c r="V928" s="240"/>
      <c r="W928" s="238">
        <f t="shared" si="48"/>
        <v>0</v>
      </c>
      <c r="Y928" s="223" t="str">
        <f>'[4]Development - i'!E927</f>
        <v>Wiring with 1.5 Sqm.m PVC insulated single core multi strand fire retardant flexible copper cable with ISI mark confirming IS: 694:1990 for 5 amps 5 pin plug socket point @ Convenient Places.(PVC Electrical Box )</v>
      </c>
      <c r="Z928" s="223" t="str">
        <f t="shared" si="49"/>
        <v>-----------------------</v>
      </c>
    </row>
    <row r="929" spans="1:26" s="241" customFormat="1" ht="65.25">
      <c r="A929" s="305"/>
      <c r="B929" s="306" t="s">
        <v>2247</v>
      </c>
      <c r="C929" s="306" t="s">
        <v>1340</v>
      </c>
      <c r="D929" s="235" t="str">
        <f t="shared" si="50"/>
        <v xml:space="preserve"> OK</v>
      </c>
      <c r="E929" s="254" t="s">
        <v>2248</v>
      </c>
      <c r="F929" s="254" t="s">
        <v>908</v>
      </c>
      <c r="G929" s="298">
        <f>'[3]  Coastal  Elec.Data '!K2988</f>
        <v>132</v>
      </c>
      <c r="H929" s="298" t="s">
        <v>556</v>
      </c>
      <c r="I929" s="300"/>
      <c r="J929" s="300"/>
      <c r="K929" s="270"/>
      <c r="L929" s="301"/>
      <c r="M929" s="270"/>
      <c r="N929" s="270"/>
      <c r="O929" s="270"/>
      <c r="P929" s="270"/>
      <c r="Q929" s="270"/>
      <c r="R929" s="270"/>
      <c r="S929" s="270"/>
      <c r="T929" s="301"/>
      <c r="U929" s="270"/>
      <c r="V929" s="240"/>
      <c r="W929" s="238">
        <f t="shared" si="48"/>
        <v>0</v>
      </c>
      <c r="Y929" s="223" t="str">
        <f>'[4]Development - i'!E928</f>
        <v>Supplying and fixing of 15 Amps 3 pin flush type plug using ( PVC Box , Fire Retarded Box)</v>
      </c>
      <c r="Z929" s="223" t="str">
        <f t="shared" si="49"/>
        <v>-----------------------</v>
      </c>
    </row>
    <row r="930" spans="1:26" s="241" customFormat="1" ht="93">
      <c r="A930" s="305"/>
      <c r="B930" s="306" t="s">
        <v>2249</v>
      </c>
      <c r="C930" s="306" t="s">
        <v>1341</v>
      </c>
      <c r="D930" s="235" t="str">
        <f t="shared" si="50"/>
        <v xml:space="preserve"> OK</v>
      </c>
      <c r="E930" s="254" t="s">
        <v>2250</v>
      </c>
      <c r="F930" s="254">
        <v>0</v>
      </c>
      <c r="G930" s="298">
        <f>[3]Data!R1627</f>
        <v>70226.600000000006</v>
      </c>
      <c r="H930" s="298" t="s">
        <v>22</v>
      </c>
      <c r="I930" s="339"/>
      <c r="J930" s="300"/>
      <c r="K930" s="301"/>
      <c r="L930" s="301"/>
      <c r="M930" s="270"/>
      <c r="N930" s="301"/>
      <c r="O930" s="270"/>
      <c r="P930" s="270"/>
      <c r="Q930" s="270"/>
      <c r="R930" s="270"/>
      <c r="S930" s="270"/>
      <c r="T930" s="301"/>
      <c r="U930" s="270"/>
      <c r="V930" s="240"/>
      <c r="W930" s="238">
        <f t="shared" si="48"/>
        <v>0</v>
      </c>
      <c r="Y930" s="223" t="str">
        <f>'[4]Development - i'!E929</f>
        <v>Fabrication of Mild steel / RTS grills (without cement slurry) for all sizes of rods.(BINDING WIRE insulated with PVC)</v>
      </c>
      <c r="Z930" s="223" t="str">
        <f t="shared" si="49"/>
        <v>ERRR</v>
      </c>
    </row>
    <row r="931" spans="1:26" s="241" customFormat="1" ht="69.75">
      <c r="A931" s="305"/>
      <c r="B931" s="306" t="s">
        <v>2251</v>
      </c>
      <c r="C931" s="306" t="s">
        <v>1342</v>
      </c>
      <c r="D931" s="235" t="str">
        <f t="shared" si="50"/>
        <v xml:space="preserve"> OK</v>
      </c>
      <c r="E931" s="254" t="s">
        <v>2252</v>
      </c>
      <c r="F931" s="254">
        <v>0</v>
      </c>
      <c r="G931" s="298">
        <f>[3]Data!R1658</f>
        <v>315.58999999999997</v>
      </c>
      <c r="H931" s="298" t="s">
        <v>12</v>
      </c>
      <c r="I931" s="300"/>
      <c r="J931" s="300"/>
      <c r="K931" s="270"/>
      <c r="L931" s="301"/>
      <c r="M931" s="270"/>
      <c r="N931" s="270"/>
      <c r="O931" s="270"/>
      <c r="P931" s="270"/>
      <c r="Q931" s="270"/>
      <c r="R931" s="270"/>
      <c r="S931" s="270"/>
      <c r="T931" s="301"/>
      <c r="U931" s="270"/>
      <c r="V931" s="240"/>
      <c r="W931" s="238">
        <f t="shared" si="48"/>
        <v>0</v>
      </c>
      <c r="Y931" s="223" t="str">
        <f>'[4]Development - i'!E930</f>
        <v>PVC SWR 110 mm dia with ISI mark type- A for Rain water down fall pipe(UPVC SPECIAL CLAMP )</v>
      </c>
      <c r="Z931" s="223" t="str">
        <f t="shared" si="49"/>
        <v>-----------------------</v>
      </c>
    </row>
    <row r="932" spans="1:26" s="241" customFormat="1" ht="46.5">
      <c r="A932" s="305"/>
      <c r="B932" s="314" t="s">
        <v>1343</v>
      </c>
      <c r="C932" s="314" t="s">
        <v>1343</v>
      </c>
      <c r="D932" s="235" t="str">
        <f t="shared" si="50"/>
        <v xml:space="preserve"> OK</v>
      </c>
      <c r="E932" s="254" t="s">
        <v>1343</v>
      </c>
      <c r="F932" s="254">
        <v>0</v>
      </c>
      <c r="G932" s="298">
        <f>[3]Data!K2349</f>
        <v>31.75</v>
      </c>
      <c r="H932" s="298"/>
      <c r="I932" s="300"/>
      <c r="J932" s="300"/>
      <c r="K932" s="270"/>
      <c r="L932" s="301"/>
      <c r="M932" s="270"/>
      <c r="N932" s="270"/>
      <c r="O932" s="270"/>
      <c r="P932" s="270"/>
      <c r="Q932" s="270"/>
      <c r="R932" s="270"/>
      <c r="S932" s="270"/>
      <c r="T932" s="301"/>
      <c r="U932" s="270"/>
      <c r="V932" s="240"/>
      <c r="W932" s="238">
        <f t="shared" si="48"/>
        <v>0</v>
      </c>
      <c r="Y932" s="223" t="str">
        <f>'[4]Development - i'!E931</f>
        <v>Supply and fixing in posistion of 6 rows of 10 guage GI barbed wire 20 guage</v>
      </c>
      <c r="Z932" s="223" t="str">
        <f t="shared" si="49"/>
        <v>-----------------------</v>
      </c>
    </row>
    <row r="933" spans="1:26" s="241" customFormat="1" ht="69.75">
      <c r="A933" s="305"/>
      <c r="B933" s="314" t="s">
        <v>1344</v>
      </c>
      <c r="C933" s="314" t="s">
        <v>1344</v>
      </c>
      <c r="D933" s="235" t="str">
        <f t="shared" si="50"/>
        <v xml:space="preserve"> OK</v>
      </c>
      <c r="E933" s="254" t="s">
        <v>1344</v>
      </c>
      <c r="F933" s="254">
        <v>0</v>
      </c>
      <c r="G933" s="298"/>
      <c r="H933" s="298"/>
      <c r="I933" s="300"/>
      <c r="J933" s="300"/>
      <c r="K933" s="270"/>
      <c r="L933" s="301"/>
      <c r="M933" s="270"/>
      <c r="N933" s="270"/>
      <c r="O933" s="270"/>
      <c r="P933" s="270"/>
      <c r="Q933" s="270"/>
      <c r="R933" s="270"/>
      <c r="S933" s="270"/>
      <c r="T933" s="301"/>
      <c r="U933" s="270"/>
      <c r="V933" s="240"/>
      <c r="W933" s="238">
        <f t="shared" si="48"/>
        <v>0</v>
      </c>
      <c r="Y933" s="223" t="str">
        <f>'[4]Development - i'!E932</f>
        <v xml:space="preserve">Supply ,laying &amp; jointing the following pipes as per ASTM D 1785 of schedule 40 with  UPVC Specials </v>
      </c>
      <c r="Z933" s="223" t="str">
        <f t="shared" si="49"/>
        <v>-----------------------</v>
      </c>
    </row>
    <row r="934" spans="1:26" s="241" customFormat="1" ht="69.75">
      <c r="A934" s="305"/>
      <c r="B934" s="306" t="s">
        <v>1998</v>
      </c>
      <c r="C934" s="306" t="s">
        <v>1998</v>
      </c>
      <c r="D934" s="235" t="str">
        <f t="shared" si="50"/>
        <v xml:space="preserve"> OK</v>
      </c>
      <c r="E934" s="254" t="s">
        <v>2253</v>
      </c>
      <c r="F934" s="254" t="s">
        <v>1345</v>
      </c>
      <c r="G934" s="298">
        <f>[3]Data!K1908</f>
        <v>216.76</v>
      </c>
      <c r="H934" s="298" t="s">
        <v>12</v>
      </c>
      <c r="I934" s="300"/>
      <c r="J934" s="300"/>
      <c r="K934" s="270"/>
      <c r="L934" s="301"/>
      <c r="M934" s="270"/>
      <c r="N934" s="270"/>
      <c r="O934" s="270"/>
      <c r="P934" s="270"/>
      <c r="Q934" s="270"/>
      <c r="R934" s="270"/>
      <c r="S934" s="270"/>
      <c r="T934" s="301"/>
      <c r="U934" s="270"/>
      <c r="V934" s="240"/>
      <c r="W934" s="238">
        <f t="shared" si="48"/>
        <v>0</v>
      </c>
      <c r="Y934" s="223" t="str">
        <f>'[4]Development - i'!E933</f>
        <v xml:space="preserve">a. 32 mm dia  Supply ,laying &amp; jointing the following pipes as per ASTM D 1785 of schedule 40 with  UPVC Specials </v>
      </c>
      <c r="Z934" s="223" t="str">
        <f t="shared" si="49"/>
        <v>-----------------------</v>
      </c>
    </row>
    <row r="935" spans="1:26" s="241" customFormat="1" ht="69.75">
      <c r="A935" s="311"/>
      <c r="B935" s="306" t="s">
        <v>2000</v>
      </c>
      <c r="C935" s="306" t="s">
        <v>2000</v>
      </c>
      <c r="D935" s="235" t="str">
        <f t="shared" si="50"/>
        <v xml:space="preserve"> OK</v>
      </c>
      <c r="E935" s="254" t="s">
        <v>2254</v>
      </c>
      <c r="F935" s="254" t="s">
        <v>1346</v>
      </c>
      <c r="G935" s="298">
        <f>[3]Data!K1900</f>
        <v>200.94</v>
      </c>
      <c r="H935" s="298" t="s">
        <v>12</v>
      </c>
      <c r="I935" s="300"/>
      <c r="J935" s="300"/>
      <c r="K935" s="270"/>
      <c r="L935" s="301"/>
      <c r="M935" s="270"/>
      <c r="N935" s="270"/>
      <c r="O935" s="270"/>
      <c r="P935" s="270"/>
      <c r="Q935" s="270"/>
      <c r="R935" s="270"/>
      <c r="S935" s="270"/>
      <c r="T935" s="301"/>
      <c r="U935" s="270"/>
      <c r="V935" s="242"/>
      <c r="W935" s="238">
        <f t="shared" si="48"/>
        <v>0</v>
      </c>
      <c r="Y935" s="223" t="str">
        <f>'[4]Development - i'!E934</f>
        <v xml:space="preserve">b. 25 mm dia  Supply ,laying &amp; jointing the following pipes as per ASTM D 1785 of schedule 40 with  UPVC Specials </v>
      </c>
      <c r="Z935" s="223" t="str">
        <f t="shared" si="49"/>
        <v>-----------------------</v>
      </c>
    </row>
    <row r="936" spans="1:26" ht="65.25">
      <c r="A936" s="234"/>
      <c r="B936" s="313" t="s">
        <v>1347</v>
      </c>
      <c r="C936" s="306" t="s">
        <v>1347</v>
      </c>
      <c r="D936" s="235" t="str">
        <f t="shared" si="50"/>
        <v xml:space="preserve"> OK</v>
      </c>
      <c r="E936" s="254" t="s">
        <v>1347</v>
      </c>
      <c r="F936" s="254" t="s">
        <v>1348</v>
      </c>
      <c r="G936" s="298">
        <f>[3]Data!K2785</f>
        <v>195.3</v>
      </c>
      <c r="H936" s="298" t="s">
        <v>12</v>
      </c>
      <c r="I936" s="299"/>
      <c r="J936" s="300"/>
      <c r="K936" s="270"/>
      <c r="L936" s="301"/>
      <c r="M936" s="270"/>
      <c r="N936" s="270"/>
      <c r="O936" s="270"/>
      <c r="P936" s="270"/>
      <c r="Q936" s="270"/>
      <c r="R936" s="270"/>
      <c r="S936" s="270"/>
      <c r="T936" s="301"/>
      <c r="U936" s="302"/>
      <c r="V936" s="236">
        <f>'[3]Precast Compound wall '!H230</f>
        <v>20</v>
      </c>
      <c r="W936" s="233">
        <f t="shared" si="48"/>
        <v>6380</v>
      </c>
      <c r="Y936" s="223" t="str">
        <f>'[4]Development - i'!E935</f>
        <v>c. 20mm dia PVC water supply ASTM pipe (fully consealed in walls)</v>
      </c>
      <c r="Z936" s="223" t="str">
        <f t="shared" si="49"/>
        <v>-----------------------</v>
      </c>
    </row>
    <row r="937" spans="1:26" s="241" customFormat="1" ht="116.25">
      <c r="A937" s="309"/>
      <c r="B937" s="314" t="s">
        <v>2255</v>
      </c>
      <c r="C937" s="314" t="s">
        <v>2255</v>
      </c>
      <c r="D937" s="235" t="str">
        <f t="shared" si="50"/>
        <v xml:space="preserve"> OK</v>
      </c>
      <c r="E937" s="254" t="s">
        <v>1349</v>
      </c>
      <c r="F937" s="254">
        <v>0</v>
      </c>
      <c r="G937" s="298">
        <f>[3]Data!K3666</f>
        <v>319</v>
      </c>
      <c r="H937" s="298" t="s">
        <v>26</v>
      </c>
      <c r="I937" s="300"/>
      <c r="J937" s="300"/>
      <c r="K937" s="270"/>
      <c r="L937" s="301"/>
      <c r="M937" s="270"/>
      <c r="N937" s="270"/>
      <c r="O937" s="270"/>
      <c r="P937" s="270"/>
      <c r="Q937" s="270"/>
      <c r="R937" s="270"/>
      <c r="S937" s="270"/>
      <c r="T937" s="301"/>
      <c r="U937" s="270"/>
      <c r="V937" s="237"/>
      <c r="W937" s="238">
        <f t="shared" si="48"/>
        <v>0</v>
      </c>
      <c r="Y937" s="223" t="str">
        <f>'[4]Development - i'!E936</f>
        <v>Providing Colour Marble chips of size 10mm and below using 70.20Kgs of cement and 15 Cum. of Colour Marble chips for every 10 Sqm. over the existing plastered surface  ( For coastal area)</v>
      </c>
      <c r="Z937" s="223" t="str">
        <f t="shared" si="49"/>
        <v>-----------------------</v>
      </c>
    </row>
    <row r="938" spans="1:26" s="239" customFormat="1" ht="87">
      <c r="A938" s="320"/>
      <c r="B938" s="290" t="s">
        <v>460</v>
      </c>
      <c r="C938" s="290" t="s">
        <v>460</v>
      </c>
      <c r="D938" s="235" t="str">
        <f t="shared" si="50"/>
        <v xml:space="preserve"> OK</v>
      </c>
      <c r="E938" s="254" t="s">
        <v>460</v>
      </c>
      <c r="F938" s="254" t="s">
        <v>1350</v>
      </c>
      <c r="G938" s="298">
        <f>[3]Data!AF3133</f>
        <v>458</v>
      </c>
      <c r="H938" s="298" t="s">
        <v>556</v>
      </c>
      <c r="I938" s="300"/>
      <c r="J938" s="300"/>
      <c r="K938" s="270"/>
      <c r="L938" s="301"/>
      <c r="M938" s="270"/>
      <c r="N938" s="270"/>
      <c r="O938" s="270"/>
      <c r="P938" s="270"/>
      <c r="Q938" s="270"/>
      <c r="R938" s="270"/>
      <c r="S938" s="270"/>
      <c r="T938" s="301"/>
      <c r="U938" s="270"/>
      <c r="V938" s="240"/>
      <c r="W938" s="238">
        <f t="shared" ref="W938:W940" si="51">ROUND(G939,2)*ROUND(V938,2)</f>
        <v>0</v>
      </c>
      <c r="Y938" s="223" t="str">
        <f>'[4]Development - i'!E937</f>
        <v>S &amp; F of 15mm dia half turn CP long body tap</v>
      </c>
      <c r="Z938" s="223" t="str">
        <f t="shared" si="49"/>
        <v>-----------------------</v>
      </c>
    </row>
    <row r="939" spans="1:26" s="239" customFormat="1" ht="87">
      <c r="A939" s="320"/>
      <c r="B939" s="290" t="s">
        <v>461</v>
      </c>
      <c r="C939" s="290" t="s">
        <v>461</v>
      </c>
      <c r="D939" s="235" t="str">
        <f t="shared" si="50"/>
        <v xml:space="preserve"> OK</v>
      </c>
      <c r="E939" s="254" t="s">
        <v>461</v>
      </c>
      <c r="F939" s="254" t="s">
        <v>1351</v>
      </c>
      <c r="G939" s="298">
        <f>[3]Data!AH3133</f>
        <v>410</v>
      </c>
      <c r="H939" s="298" t="s">
        <v>556</v>
      </c>
      <c r="I939" s="300"/>
      <c r="J939" s="300"/>
      <c r="K939" s="270"/>
      <c r="L939" s="301"/>
      <c r="M939" s="270"/>
      <c r="N939" s="270"/>
      <c r="O939" s="270"/>
      <c r="P939" s="270"/>
      <c r="Q939" s="270"/>
      <c r="R939" s="270"/>
      <c r="S939" s="270"/>
      <c r="T939" s="301"/>
      <c r="U939" s="270"/>
      <c r="V939" s="240"/>
      <c r="W939" s="238">
        <f t="shared" si="51"/>
        <v>0</v>
      </c>
      <c r="Y939" s="223" t="str">
        <f>'[4]Development - i'!E938</f>
        <v>S &amp; F of 15mm dia half turn CP short body tap</v>
      </c>
      <c r="Z939" s="223" t="str">
        <f t="shared" si="49"/>
        <v>-----------------------</v>
      </c>
    </row>
    <row r="940" spans="1:26" s="241" customFormat="1">
      <c r="A940" s="309"/>
      <c r="B940" s="310" t="s">
        <v>1352</v>
      </c>
      <c r="C940" s="310" t="s">
        <v>1352</v>
      </c>
      <c r="D940" s="235" t="str">
        <f t="shared" si="50"/>
        <v xml:space="preserve"> OK</v>
      </c>
      <c r="E940" s="254" t="s">
        <v>1352</v>
      </c>
      <c r="F940" s="254">
        <v>0</v>
      </c>
      <c r="G940" s="298">
        <v>51.4</v>
      </c>
      <c r="H940" s="298" t="s">
        <v>40</v>
      </c>
      <c r="I940" s="300"/>
      <c r="J940" s="300"/>
      <c r="K940" s="270"/>
      <c r="L940" s="301"/>
      <c r="M940" s="270"/>
      <c r="N940" s="270"/>
      <c r="O940" s="270"/>
      <c r="P940" s="270"/>
      <c r="Q940" s="270"/>
      <c r="R940" s="270"/>
      <c r="S940" s="270"/>
      <c r="T940" s="301"/>
      <c r="U940" s="270"/>
      <c r="V940" s="240"/>
      <c r="W940" s="238">
        <f t="shared" si="51"/>
        <v>0</v>
      </c>
      <c r="Y940" s="223" t="str">
        <f>'[4]Development - i'!E939</f>
        <v xml:space="preserve">S &amp; F of MS angle of size 50x 50x 5mm </v>
      </c>
      <c r="Z940" s="223" t="str">
        <f t="shared" si="49"/>
        <v>-----------------------</v>
      </c>
    </row>
    <row r="941" spans="1:26" s="241" customFormat="1" ht="108.75">
      <c r="A941" s="305"/>
      <c r="B941" s="306" t="s">
        <v>1353</v>
      </c>
      <c r="C941" s="306" t="s">
        <v>1353</v>
      </c>
      <c r="D941" s="235" t="str">
        <f t="shared" si="50"/>
        <v xml:space="preserve"> OK</v>
      </c>
      <c r="E941" s="254" t="s">
        <v>1353</v>
      </c>
      <c r="F941" s="254" t="s">
        <v>1354</v>
      </c>
      <c r="G941" s="298">
        <f>[3]Data!AD1247</f>
        <v>1281.9100000000001</v>
      </c>
      <c r="H941" s="298" t="s">
        <v>26</v>
      </c>
      <c r="I941" s="300"/>
      <c r="J941" s="300"/>
      <c r="K941" s="270"/>
      <c r="L941" s="301"/>
      <c r="M941" s="270"/>
      <c r="N941" s="270"/>
      <c r="O941" s="270"/>
      <c r="P941" s="270"/>
      <c r="Q941" s="270"/>
      <c r="R941" s="270"/>
      <c r="S941" s="270"/>
      <c r="T941" s="301"/>
      <c r="U941" s="270"/>
      <c r="V941" s="240"/>
      <c r="W941" s="238">
        <f>ROUND(G942,2)*ROUND(V941,2)</f>
        <v>0</v>
      </c>
      <c r="Y941" s="223" t="str">
        <f>'[4]Development - i'!E940</f>
        <v>Granite Tiles flooring in cm1:3,20mm thk sathali steel/ grey</v>
      </c>
      <c r="Z941" s="223" t="str">
        <f t="shared" si="49"/>
        <v>-----------------------</v>
      </c>
    </row>
    <row r="942" spans="1:26" s="241" customFormat="1" ht="108.75">
      <c r="A942" s="305"/>
      <c r="B942" s="306" t="s">
        <v>1355</v>
      </c>
      <c r="C942" s="306"/>
      <c r="D942" s="235"/>
      <c r="E942" s="254" t="s">
        <v>1355</v>
      </c>
      <c r="F942" s="254" t="s">
        <v>1356</v>
      </c>
      <c r="G942" s="298">
        <f>[3]Data!AD1311</f>
        <v>2285.3200000000002</v>
      </c>
      <c r="H942" s="298"/>
      <c r="I942" s="300"/>
      <c r="J942" s="300"/>
      <c r="K942" s="270"/>
      <c r="L942" s="301"/>
      <c r="M942" s="270"/>
      <c r="N942" s="270"/>
      <c r="O942" s="270"/>
      <c r="P942" s="270"/>
      <c r="Q942" s="270"/>
      <c r="R942" s="270"/>
      <c r="S942" s="270"/>
      <c r="T942" s="301"/>
      <c r="U942" s="270"/>
      <c r="V942" s="240"/>
      <c r="W942" s="238">
        <f>ROUND(G943,2)*ROUND(V942,2)</f>
        <v>0</v>
      </c>
      <c r="Y942" s="223" t="str">
        <f>'[4]Development - i'!E941</f>
        <v>Granite Tiles flooring in cm1:3,20mm thk  Ruby Red</v>
      </c>
      <c r="Z942" s="223" t="str">
        <f t="shared" si="49"/>
        <v>-----------------------</v>
      </c>
    </row>
    <row r="943" spans="1:26" s="241" customFormat="1" ht="90">
      <c r="A943" s="305"/>
      <c r="B943" s="417" t="s">
        <v>1381</v>
      </c>
      <c r="C943" s="306"/>
      <c r="D943" s="235"/>
      <c r="E943" s="254"/>
      <c r="F943" s="254">
        <v>0</v>
      </c>
      <c r="G943" s="298">
        <f>[3]Elec.Data!K4087</f>
        <v>34310</v>
      </c>
      <c r="H943" s="298"/>
      <c r="I943" s="300"/>
      <c r="J943" s="300"/>
      <c r="K943" s="270"/>
      <c r="L943" s="301"/>
      <c r="M943" s="270"/>
      <c r="N943" s="270"/>
      <c r="O943" s="270"/>
      <c r="P943" s="270"/>
      <c r="Q943" s="270"/>
      <c r="R943" s="270"/>
      <c r="S943" s="270"/>
      <c r="T943" s="301"/>
      <c r="U943" s="270"/>
      <c r="V943" s="240"/>
      <c r="W943" s="238"/>
      <c r="Y943" s="223">
        <f>'[4]Development - i'!E942</f>
        <v>0</v>
      </c>
      <c r="Z943" s="223" t="str">
        <f t="shared" si="49"/>
        <v>-----------------------</v>
      </c>
    </row>
    <row r="944" spans="1:26" s="241" customFormat="1" ht="76.5">
      <c r="A944" s="305"/>
      <c r="B944" s="308" t="s">
        <v>2256</v>
      </c>
      <c r="C944" s="306"/>
      <c r="D944" s="235"/>
      <c r="E944" s="254"/>
      <c r="F944" s="254">
        <v>0</v>
      </c>
      <c r="G944" s="298">
        <v>8100</v>
      </c>
      <c r="H944" s="298"/>
      <c r="I944" s="300"/>
      <c r="J944" s="300"/>
      <c r="K944" s="270"/>
      <c r="L944" s="301"/>
      <c r="M944" s="270"/>
      <c r="N944" s="270"/>
      <c r="O944" s="270"/>
      <c r="P944" s="270"/>
      <c r="Q944" s="270"/>
      <c r="R944" s="270"/>
      <c r="S944" s="270"/>
      <c r="T944" s="301"/>
      <c r="U944" s="270"/>
      <c r="V944" s="240"/>
      <c r="W944" s="238"/>
      <c r="Y944" s="223">
        <f>'[4]Development - i'!E943</f>
        <v>0</v>
      </c>
      <c r="Z944" s="223" t="str">
        <f t="shared" si="49"/>
        <v>-----------------------</v>
      </c>
    </row>
    <row r="945" spans="1:26" s="241" customFormat="1" ht="93">
      <c r="A945" s="305" t="s">
        <v>2257</v>
      </c>
      <c r="B945" s="314" t="s">
        <v>1357</v>
      </c>
      <c r="C945" s="314" t="s">
        <v>1357</v>
      </c>
      <c r="D945" s="235" t="str">
        <f t="shared" si="50"/>
        <v xml:space="preserve"> OK</v>
      </c>
      <c r="E945" s="254" t="s">
        <v>1357</v>
      </c>
      <c r="F945" s="254">
        <v>0</v>
      </c>
      <c r="G945" s="298"/>
      <c r="H945" s="298"/>
      <c r="I945" s="300"/>
      <c r="J945" s="300"/>
      <c r="K945" s="270"/>
      <c r="L945" s="301"/>
      <c r="M945" s="270"/>
      <c r="N945" s="270"/>
      <c r="O945" s="270"/>
      <c r="P945" s="270"/>
      <c r="Q945" s="270"/>
      <c r="R945" s="270"/>
      <c r="S945" s="270"/>
      <c r="T945" s="301"/>
      <c r="U945" s="270"/>
      <c r="V945" s="240"/>
      <c r="W945" s="238">
        <f t="shared" ref="W945:W956" si="52">ROUND(G946,2)*ROUND(V945,2)</f>
        <v>0</v>
      </c>
      <c r="Y945" s="223" t="str">
        <f>'[4]Development - i'!E944</f>
        <v>Bored cast sit piles installation of vertical cast in Situ Bored piles of following dia using Standardised concrete  mix M30 Grade) as per nagapattinam data For Coastal area</v>
      </c>
      <c r="Z945" s="223" t="str">
        <f t="shared" si="49"/>
        <v>-----------------------</v>
      </c>
    </row>
    <row r="946" spans="1:26" s="241" customFormat="1">
      <c r="A946" s="305"/>
      <c r="B946" s="314" t="s">
        <v>1027</v>
      </c>
      <c r="C946" s="314" t="s">
        <v>1027</v>
      </c>
      <c r="D946" s="235" t="str">
        <f t="shared" si="50"/>
        <v xml:space="preserve"> OK</v>
      </c>
      <c r="E946" s="254" t="s">
        <v>1027</v>
      </c>
      <c r="F946" s="254">
        <v>0</v>
      </c>
      <c r="G946" s="298">
        <f>'[3]pile data ( M30 grade) (2)'!F17</f>
        <v>2837.02</v>
      </c>
      <c r="H946" s="298" t="s">
        <v>12</v>
      </c>
      <c r="I946" s="300"/>
      <c r="J946" s="300"/>
      <c r="K946" s="270"/>
      <c r="L946" s="301"/>
      <c r="M946" s="270"/>
      <c r="N946" s="270"/>
      <c r="O946" s="270"/>
      <c r="P946" s="270"/>
      <c r="Q946" s="270"/>
      <c r="R946" s="270"/>
      <c r="S946" s="270"/>
      <c r="T946" s="301"/>
      <c r="U946" s="270"/>
      <c r="V946" s="240"/>
      <c r="W946" s="238">
        <f t="shared" si="52"/>
        <v>0</v>
      </c>
      <c r="Y946" s="223" t="str">
        <f>'[4]Development - i'!E945</f>
        <v>a.500mm dia pile</v>
      </c>
      <c r="Z946" s="223" t="str">
        <f t="shared" si="49"/>
        <v>-----------------------</v>
      </c>
    </row>
    <row r="947" spans="1:26" s="241" customFormat="1">
      <c r="A947" s="305"/>
      <c r="B947" s="314" t="s">
        <v>1028</v>
      </c>
      <c r="C947" s="314" t="s">
        <v>1028</v>
      </c>
      <c r="D947" s="235" t="str">
        <f t="shared" si="50"/>
        <v xml:space="preserve"> OK</v>
      </c>
      <c r="E947" s="254" t="s">
        <v>1028</v>
      </c>
      <c r="F947" s="254">
        <v>0</v>
      </c>
      <c r="G947" s="298">
        <f>'[3]pile data ( M30 grade) (2)'!F81</f>
        <v>2530.5</v>
      </c>
      <c r="H947" s="298" t="s">
        <v>12</v>
      </c>
      <c r="I947" s="300"/>
      <c r="J947" s="300"/>
      <c r="K947" s="270"/>
      <c r="L947" s="301"/>
      <c r="M947" s="270"/>
      <c r="N947" s="270"/>
      <c r="O947" s="270"/>
      <c r="P947" s="270"/>
      <c r="Q947" s="270"/>
      <c r="R947" s="270"/>
      <c r="S947" s="270"/>
      <c r="T947" s="301"/>
      <c r="U947" s="270"/>
      <c r="V947" s="240"/>
      <c r="W947" s="238">
        <f t="shared" si="52"/>
        <v>0</v>
      </c>
      <c r="Y947" s="223" t="str">
        <f>'[4]Development - i'!E946</f>
        <v>b.450mm dia pile</v>
      </c>
      <c r="Z947" s="223" t="str">
        <f t="shared" si="49"/>
        <v>-----------------------</v>
      </c>
    </row>
    <row r="948" spans="1:26" s="241" customFormat="1">
      <c r="A948" s="305"/>
      <c r="B948" s="314" t="s">
        <v>1029</v>
      </c>
      <c r="C948" s="314" t="s">
        <v>1029</v>
      </c>
      <c r="D948" s="235" t="str">
        <f t="shared" si="50"/>
        <v xml:space="preserve"> OK</v>
      </c>
      <c r="E948" s="254" t="s">
        <v>1029</v>
      </c>
      <c r="F948" s="254">
        <v>0</v>
      </c>
      <c r="G948" s="298">
        <f>'[3]pile data ( M30 grade) (2)'!F141</f>
        <v>2255.87</v>
      </c>
      <c r="H948" s="298" t="s">
        <v>12</v>
      </c>
      <c r="I948" s="300"/>
      <c r="J948" s="300"/>
      <c r="K948" s="270"/>
      <c r="L948" s="301"/>
      <c r="M948" s="270"/>
      <c r="N948" s="270"/>
      <c r="O948" s="270"/>
      <c r="P948" s="270"/>
      <c r="Q948" s="270"/>
      <c r="R948" s="270"/>
      <c r="S948" s="270"/>
      <c r="T948" s="301"/>
      <c r="U948" s="270"/>
      <c r="V948" s="240"/>
      <c r="W948" s="238">
        <f t="shared" si="52"/>
        <v>0</v>
      </c>
      <c r="Y948" s="223" t="str">
        <f>'[4]Development - i'!E947</f>
        <v>c.400mm dia pile</v>
      </c>
      <c r="Z948" s="223" t="str">
        <f t="shared" si="49"/>
        <v>-----------------------</v>
      </c>
    </row>
    <row r="949" spans="1:26" s="241" customFormat="1" ht="69.75">
      <c r="A949" s="305"/>
      <c r="B949" s="418" t="s">
        <v>1358</v>
      </c>
      <c r="C949" s="418" t="s">
        <v>1358</v>
      </c>
      <c r="D949" s="235" t="str">
        <f t="shared" si="50"/>
        <v xml:space="preserve"> OK</v>
      </c>
      <c r="E949" s="254" t="s">
        <v>1358</v>
      </c>
      <c r="F949" s="254">
        <v>0</v>
      </c>
      <c r="G949" s="298">
        <v>0</v>
      </c>
      <c r="H949" s="298"/>
      <c r="I949" s="300"/>
      <c r="J949" s="300"/>
      <c r="K949" s="270"/>
      <c r="L949" s="301"/>
      <c r="M949" s="270"/>
      <c r="N949" s="270"/>
      <c r="O949" s="270"/>
      <c r="P949" s="270"/>
      <c r="Q949" s="270"/>
      <c r="R949" s="270"/>
      <c r="S949" s="270"/>
      <c r="T949" s="301"/>
      <c r="U949" s="270"/>
      <c r="V949" s="240"/>
      <c r="W949" s="238">
        <f t="shared" si="52"/>
        <v>0</v>
      </c>
      <c r="Y949" s="223" t="str">
        <f>'[4]Development - i'!E948</f>
        <v>Removing of clay from pile inlucing  conveyance charges, loading and unloading charges etc.,all complete</v>
      </c>
      <c r="Z949" s="223" t="str">
        <f t="shared" si="49"/>
        <v>-----------------------</v>
      </c>
    </row>
    <row r="950" spans="1:26" s="241" customFormat="1" ht="93">
      <c r="A950" s="305"/>
      <c r="B950" s="314" t="s">
        <v>1359</v>
      </c>
      <c r="C950" s="314" t="s">
        <v>1359</v>
      </c>
      <c r="D950" s="235" t="str">
        <f t="shared" si="50"/>
        <v xml:space="preserve"> OK</v>
      </c>
      <c r="E950" s="254" t="s">
        <v>1359</v>
      </c>
      <c r="F950" s="254">
        <v>0</v>
      </c>
      <c r="G950" s="298"/>
      <c r="H950" s="298"/>
      <c r="I950" s="300"/>
      <c r="J950" s="300"/>
      <c r="K950" s="270"/>
      <c r="L950" s="301"/>
      <c r="M950" s="270"/>
      <c r="N950" s="270"/>
      <c r="O950" s="270"/>
      <c r="P950" s="270"/>
      <c r="Q950" s="270"/>
      <c r="R950" s="270"/>
      <c r="S950" s="270"/>
      <c r="T950" s="301"/>
      <c r="U950" s="270"/>
      <c r="V950" s="240"/>
      <c r="W950" s="238">
        <f t="shared" si="52"/>
        <v>0</v>
      </c>
      <c r="Y950" s="223" t="str">
        <f>'[4]Development - i'!E949</f>
        <v>Chipping of RCC pile head of 500mm Dia of pile to the required cut off level and clearing away the debris from site with an average lead of 5 km  etc.</v>
      </c>
      <c r="Z950" s="223" t="str">
        <f t="shared" si="49"/>
        <v>-----------------------</v>
      </c>
    </row>
    <row r="951" spans="1:26" s="241" customFormat="1">
      <c r="A951" s="305"/>
      <c r="B951" s="314" t="s">
        <v>1027</v>
      </c>
      <c r="C951" s="314" t="s">
        <v>1027</v>
      </c>
      <c r="D951" s="235" t="str">
        <f t="shared" si="50"/>
        <v xml:space="preserve"> OK</v>
      </c>
      <c r="E951" s="254" t="s">
        <v>1027</v>
      </c>
      <c r="F951" s="254">
        <v>0</v>
      </c>
      <c r="G951" s="298">
        <f>'[3]pile data ( M30 grade) (2)'!F28</f>
        <v>876.36</v>
      </c>
      <c r="H951" s="298" t="s">
        <v>12</v>
      </c>
      <c r="I951" s="300"/>
      <c r="J951" s="300"/>
      <c r="K951" s="270"/>
      <c r="L951" s="301"/>
      <c r="M951" s="270"/>
      <c r="N951" s="270"/>
      <c r="O951" s="270"/>
      <c r="P951" s="270"/>
      <c r="Q951" s="270"/>
      <c r="R951" s="270"/>
      <c r="S951" s="270"/>
      <c r="T951" s="301"/>
      <c r="U951" s="270"/>
      <c r="V951" s="240"/>
      <c r="W951" s="238">
        <f t="shared" si="52"/>
        <v>0</v>
      </c>
      <c r="Y951" s="223" t="str">
        <f>'[4]Development - i'!E950</f>
        <v>a.500mm dia pile</v>
      </c>
      <c r="Z951" s="223" t="str">
        <f t="shared" si="49"/>
        <v>-----------------------</v>
      </c>
    </row>
    <row r="952" spans="1:26" s="241" customFormat="1">
      <c r="A952" s="305"/>
      <c r="B952" s="314" t="s">
        <v>1028</v>
      </c>
      <c r="C952" s="314" t="s">
        <v>1028</v>
      </c>
      <c r="D952" s="235" t="str">
        <f t="shared" si="50"/>
        <v xml:space="preserve"> OK</v>
      </c>
      <c r="E952" s="254" t="s">
        <v>1028</v>
      </c>
      <c r="F952" s="254">
        <v>0</v>
      </c>
      <c r="G952" s="298">
        <f>'[3]pile data ( M30 grade) (2)'!F92</f>
        <v>710.92</v>
      </c>
      <c r="H952" s="298" t="s">
        <v>12</v>
      </c>
      <c r="I952" s="300"/>
      <c r="J952" s="300"/>
      <c r="K952" s="270"/>
      <c r="L952" s="301"/>
      <c r="M952" s="270"/>
      <c r="N952" s="270"/>
      <c r="O952" s="270"/>
      <c r="P952" s="270"/>
      <c r="Q952" s="270"/>
      <c r="R952" s="270"/>
      <c r="S952" s="270"/>
      <c r="T952" s="301"/>
      <c r="U952" s="270"/>
      <c r="V952" s="240"/>
      <c r="W952" s="238">
        <f t="shared" si="52"/>
        <v>0</v>
      </c>
      <c r="Y952" s="223" t="str">
        <f>'[4]Development - i'!E951</f>
        <v>b.450mm dia pile</v>
      </c>
      <c r="Z952" s="223" t="str">
        <f t="shared" si="49"/>
        <v>-----------------------</v>
      </c>
    </row>
    <row r="953" spans="1:26" s="241" customFormat="1">
      <c r="A953" s="305"/>
      <c r="B953" s="314" t="s">
        <v>1029</v>
      </c>
      <c r="C953" s="314" t="s">
        <v>1029</v>
      </c>
      <c r="D953" s="235" t="str">
        <f t="shared" si="50"/>
        <v xml:space="preserve"> OK</v>
      </c>
      <c r="E953" s="254" t="s">
        <v>1029</v>
      </c>
      <c r="F953" s="254">
        <v>0</v>
      </c>
      <c r="G953" s="298">
        <f>'[3]pile data ( M30 grade) (2)'!F152</f>
        <v>563.37</v>
      </c>
      <c r="H953" s="298" t="s">
        <v>12</v>
      </c>
      <c r="I953" s="300"/>
      <c r="J953" s="300"/>
      <c r="K953" s="270"/>
      <c r="L953" s="301"/>
      <c r="M953" s="270"/>
      <c r="N953" s="270"/>
      <c r="O953" s="270"/>
      <c r="P953" s="270"/>
      <c r="Q953" s="270"/>
      <c r="R953" s="270"/>
      <c r="S953" s="270"/>
      <c r="T953" s="301"/>
      <c r="U953" s="270"/>
      <c r="V953" s="240"/>
      <c r="W953" s="238">
        <f t="shared" si="52"/>
        <v>0</v>
      </c>
      <c r="Y953" s="223" t="str">
        <f>'[4]Development - i'!E952</f>
        <v>c.400mm dia pile</v>
      </c>
      <c r="Z953" s="223" t="str">
        <f t="shared" si="49"/>
        <v>-----------------------</v>
      </c>
    </row>
    <row r="954" spans="1:26" s="241" customFormat="1" ht="93">
      <c r="A954" s="305"/>
      <c r="B954" s="314" t="s">
        <v>1360</v>
      </c>
      <c r="C954" s="314" t="s">
        <v>1360</v>
      </c>
      <c r="D954" s="235" t="str">
        <f t="shared" si="50"/>
        <v xml:space="preserve"> OK</v>
      </c>
      <c r="E954" s="254" t="s">
        <v>1360</v>
      </c>
      <c r="F954" s="254">
        <v>0</v>
      </c>
      <c r="G954" s="298">
        <v>40000</v>
      </c>
      <c r="H954" s="298" t="s">
        <v>5</v>
      </c>
      <c r="I954" s="300"/>
      <c r="J954" s="300"/>
      <c r="K954" s="270"/>
      <c r="L954" s="301"/>
      <c r="M954" s="270"/>
      <c r="N954" s="270"/>
      <c r="O954" s="270"/>
      <c r="P954" s="270"/>
      <c r="Q954" s="270"/>
      <c r="R954" s="270"/>
      <c r="S954" s="270"/>
      <c r="T954" s="301"/>
      <c r="U954" s="270"/>
      <c r="V954" s="240"/>
      <c r="W954" s="238">
        <f t="shared" si="52"/>
        <v>0</v>
      </c>
      <c r="Y954" s="223" t="str">
        <f>'[4]Development - i'!E953</f>
        <v>Mobilization Charges inclusive of Transportation to site assembling and Dismantling the rotary pile equipment employed for the works etc.(Qtn)</v>
      </c>
      <c r="Z954" s="223" t="str">
        <f t="shared" si="49"/>
        <v>-----------------------</v>
      </c>
    </row>
    <row r="955" spans="1:26" s="241" customFormat="1" ht="162.75">
      <c r="A955" s="305"/>
      <c r="B955" s="314" t="s">
        <v>1361</v>
      </c>
      <c r="C955" s="314" t="s">
        <v>1361</v>
      </c>
      <c r="D955" s="235" t="str">
        <f t="shared" si="50"/>
        <v xml:space="preserve"> OK</v>
      </c>
      <c r="E955" s="254" t="s">
        <v>1361</v>
      </c>
      <c r="F955" s="254">
        <v>0</v>
      </c>
      <c r="G955" s="298">
        <v>70000</v>
      </c>
      <c r="H955" s="298" t="s">
        <v>5</v>
      </c>
      <c r="I955" s="300"/>
      <c r="J955" s="300"/>
      <c r="K955" s="270"/>
      <c r="L955" s="301"/>
      <c r="M955" s="270"/>
      <c r="N955" s="270"/>
      <c r="O955" s="270"/>
      <c r="P955" s="270"/>
      <c r="Q955" s="270"/>
      <c r="R955" s="270"/>
      <c r="S955" s="270"/>
      <c r="T955" s="301"/>
      <c r="U955" s="270"/>
      <c r="V955" s="240"/>
      <c r="W955" s="238">
        <f t="shared" si="52"/>
        <v>0</v>
      </c>
      <c r="Y955" s="223" t="str">
        <f>'[4]Development - i'!E954</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Z955" s="223" t="str">
        <f t="shared" si="49"/>
        <v>-----------------------</v>
      </c>
    </row>
    <row r="956" spans="1:26" s="241" customFormat="1" ht="46.5">
      <c r="A956" s="311"/>
      <c r="B956" s="306" t="s">
        <v>2258</v>
      </c>
      <c r="C956" s="306" t="s">
        <v>1362</v>
      </c>
      <c r="D956" s="235" t="str">
        <f t="shared" si="50"/>
        <v xml:space="preserve"> OK</v>
      </c>
      <c r="E956" s="254" t="s">
        <v>2259</v>
      </c>
      <c r="F956" s="254">
        <v>0</v>
      </c>
      <c r="G956" s="298">
        <v>713.54</v>
      </c>
      <c r="H956" s="298" t="s">
        <v>26</v>
      </c>
      <c r="I956" s="300"/>
      <c r="J956" s="300"/>
      <c r="K956" s="270"/>
      <c r="L956" s="301"/>
      <c r="M956" s="270"/>
      <c r="N956" s="270"/>
      <c r="O956" s="270"/>
      <c r="P956" s="270"/>
      <c r="Q956" s="270"/>
      <c r="R956" s="270"/>
      <c r="S956" s="270"/>
      <c r="T956" s="301"/>
      <c r="U956" s="270"/>
      <c r="V956" s="242"/>
      <c r="W956" s="238">
        <f t="shared" si="52"/>
        <v>0</v>
      </c>
      <c r="Y956" s="223" t="str">
        <f>'[4]Development - i'!E955</f>
        <v>False ceiling with plain gybsum board (as per PWD SR. rate 2017-18, Anx- VI -It- 154 -a)</v>
      </c>
      <c r="Z956" s="223" t="str">
        <f t="shared" si="49"/>
        <v>-----------------------</v>
      </c>
    </row>
    <row r="957" spans="1:26" s="241" customFormat="1" ht="174">
      <c r="A957" s="419"/>
      <c r="B957" s="420" t="s">
        <v>2260</v>
      </c>
      <c r="C957" s="314" t="s">
        <v>2260</v>
      </c>
      <c r="D957" s="235" t="str">
        <f t="shared" si="50"/>
        <v xml:space="preserve"> OK</v>
      </c>
      <c r="E957" s="254" t="s">
        <v>1363</v>
      </c>
      <c r="F957" s="254" t="s">
        <v>1364</v>
      </c>
      <c r="G957" s="298"/>
      <c r="H957" s="298"/>
      <c r="I957" s="299"/>
      <c r="J957" s="300"/>
      <c r="K957" s="270"/>
      <c r="L957" s="301"/>
      <c r="M957" s="270"/>
      <c r="N957" s="270"/>
      <c r="O957" s="270"/>
      <c r="P957" s="270"/>
      <c r="Q957" s="270"/>
      <c r="R957" s="270"/>
      <c r="S957" s="270"/>
      <c r="T957" s="301"/>
      <c r="U957" s="302"/>
      <c r="V957" s="236"/>
      <c r="W957" s="233" t="s">
        <v>575</v>
      </c>
      <c r="Y957" s="223" t="str">
        <f>'[4]Development - i'!E956</f>
        <v>Wiring with 1.5 Sqm.m PVC insulated single core multi strand fire retardant flexible copper cable with ISI mark confirming IS: 694:1990. (Open wiring)</v>
      </c>
      <c r="Z957" s="223" t="str">
        <f t="shared" si="49"/>
        <v>-----------------------</v>
      </c>
    </row>
    <row r="958" spans="1:26" s="241" customFormat="1" ht="87">
      <c r="A958" s="419"/>
      <c r="B958" s="421" t="s">
        <v>41</v>
      </c>
      <c r="C958" s="358" t="s">
        <v>41</v>
      </c>
      <c r="D958" s="235" t="str">
        <f t="shared" si="50"/>
        <v xml:space="preserve"> OK</v>
      </c>
      <c r="E958" s="254" t="s">
        <v>1365</v>
      </c>
      <c r="F958" s="254" t="s">
        <v>1366</v>
      </c>
      <c r="G958" s="298">
        <f>[3]Elec.Data!K3815</f>
        <v>745</v>
      </c>
      <c r="H958" s="298" t="s">
        <v>556</v>
      </c>
      <c r="I958" s="299"/>
      <c r="J958" s="300"/>
      <c r="K958" s="270"/>
      <c r="L958" s="301"/>
      <c r="M958" s="270"/>
      <c r="N958" s="270"/>
      <c r="O958" s="270"/>
      <c r="P958" s="270"/>
      <c r="Q958" s="270"/>
      <c r="R958" s="270"/>
      <c r="S958" s="270"/>
      <c r="T958" s="301"/>
      <c r="U958" s="302"/>
      <c r="V958" s="236">
        <f>'[3]Precast Compound wall '!H436</f>
        <v>2</v>
      </c>
      <c r="W958" s="233">
        <f t="shared" ref="W958:W982" si="53">ROUND(G959,2)*ROUND(V958,2)</f>
        <v>1496</v>
      </c>
      <c r="Y958" s="223" t="str">
        <f>'[4]Development - i'!E957</f>
        <v>a. Light point with ceiling rose Wiring with 1.5 Sqm.m PVC insulated single core multi strand fire retardant flexible copper cable with ISI mark confirming IS: 694:1990. (Open wiring)</v>
      </c>
      <c r="Z958" s="223" t="str">
        <f t="shared" si="49"/>
        <v>-----------------------</v>
      </c>
    </row>
    <row r="959" spans="1:26" s="241" customFormat="1" ht="87">
      <c r="A959" s="305"/>
      <c r="B959" s="358" t="s">
        <v>42</v>
      </c>
      <c r="C959" s="358" t="s">
        <v>42</v>
      </c>
      <c r="D959" s="235" t="str">
        <f t="shared" si="50"/>
        <v xml:space="preserve"> OK</v>
      </c>
      <c r="E959" s="254" t="s">
        <v>1367</v>
      </c>
      <c r="F959" s="254" t="s">
        <v>1368</v>
      </c>
      <c r="G959" s="298">
        <f>[3]Elec.Data!K3841</f>
        <v>748</v>
      </c>
      <c r="H959" s="298" t="s">
        <v>556</v>
      </c>
      <c r="I959" s="300"/>
      <c r="J959" s="300"/>
      <c r="K959" s="270"/>
      <c r="L959" s="301"/>
      <c r="M959" s="270"/>
      <c r="N959" s="270"/>
      <c r="O959" s="270"/>
      <c r="P959" s="270"/>
      <c r="Q959" s="270"/>
      <c r="R959" s="270"/>
      <c r="S959" s="270"/>
      <c r="T959" s="301"/>
      <c r="U959" s="270"/>
      <c r="V959" s="240"/>
      <c r="W959" s="238">
        <f t="shared" si="53"/>
        <v>0</v>
      </c>
      <c r="Y959" s="223" t="str">
        <f>'[4]Development - i'!E958</f>
        <v>b. Light point without ceiling rose Wiring with 1.5 Sqm.m PVC insulated single core multi strand fire retardant flexible copper cable with ISI mark confirming IS: 694:1990. (Open wiring)</v>
      </c>
      <c r="Z959" s="223" t="str">
        <f t="shared" si="49"/>
        <v>-----------------------</v>
      </c>
    </row>
    <row r="960" spans="1:26" s="241" customFormat="1" ht="87">
      <c r="A960" s="305"/>
      <c r="B960" s="358" t="s">
        <v>2261</v>
      </c>
      <c r="C960" s="358" t="s">
        <v>2262</v>
      </c>
      <c r="D960" s="235" t="str">
        <f t="shared" si="50"/>
        <v xml:space="preserve"> OK</v>
      </c>
      <c r="E960" s="254" t="s">
        <v>1369</v>
      </c>
      <c r="F960" s="254" t="s">
        <v>1369</v>
      </c>
      <c r="G960" s="298">
        <f>[3]Elec.Data!K3918</f>
        <v>572</v>
      </c>
      <c r="H960" s="298" t="s">
        <v>556</v>
      </c>
      <c r="I960" s="300"/>
      <c r="J960" s="300"/>
      <c r="K960" s="270"/>
      <c r="L960" s="301"/>
      <c r="M960" s="270"/>
      <c r="N960" s="270"/>
      <c r="O960" s="270"/>
      <c r="P960" s="270"/>
      <c r="Q960" s="270"/>
      <c r="R960" s="270"/>
      <c r="S960" s="270"/>
      <c r="T960" s="301"/>
      <c r="U960" s="270"/>
      <c r="V960" s="240"/>
      <c r="W960" s="238">
        <f t="shared" si="53"/>
        <v>0</v>
      </c>
      <c r="Y960" s="223" t="str">
        <f>'[4]Development - i'!E959</f>
        <v>Wiring with 1.5 Sqm.m PVC insulated single core multi strand fire retardant flexible copper cable with ISI mark confirming IS: 694:1990 for 5 amps 5 pin  plug socket point @ Convenient Places.(Open wiring)</v>
      </c>
      <c r="Z960" s="223" t="str">
        <f t="shared" si="49"/>
        <v>-----------------------</v>
      </c>
    </row>
    <row r="961" spans="1:26" s="241" customFormat="1" ht="174">
      <c r="A961" s="305"/>
      <c r="B961" s="358" t="s">
        <v>2263</v>
      </c>
      <c r="C961" s="358" t="s">
        <v>2264</v>
      </c>
      <c r="D961" s="235" t="str">
        <f t="shared" si="50"/>
        <v xml:space="preserve"> OK</v>
      </c>
      <c r="E961" s="254" t="s">
        <v>1370</v>
      </c>
      <c r="F961" s="254" t="s">
        <v>1371</v>
      </c>
      <c r="G961" s="298">
        <f>[3]Elec.Data!K2977</f>
        <v>688</v>
      </c>
      <c r="H961" s="298" t="s">
        <v>556</v>
      </c>
      <c r="I961" s="300"/>
      <c r="J961" s="300"/>
      <c r="K961" s="270"/>
      <c r="L961" s="301"/>
      <c r="M961" s="270"/>
      <c r="N961" s="270"/>
      <c r="O961" s="270"/>
      <c r="P961" s="270"/>
      <c r="Q961" s="270"/>
      <c r="R961" s="270"/>
      <c r="S961" s="270"/>
      <c r="T961" s="301"/>
      <c r="U961" s="270"/>
      <c r="V961" s="240"/>
      <c r="W961" s="238">
        <f t="shared" si="53"/>
        <v>0</v>
      </c>
      <c r="Y961" s="223" t="str">
        <f>'[4]Development - i'!E960</f>
        <v>Wiring with 1.5 Sqm.m PVC insulated single core multi strand fire retardant flexible copper cable with ISI mark confirming IS: 694:1990 for 5 amps 5 pin  plug socket point @ Switch Board Itself.(Open wiring)</v>
      </c>
      <c r="Z961" s="223" t="str">
        <f t="shared" si="49"/>
        <v>-----------------------</v>
      </c>
    </row>
    <row r="962" spans="1:26" s="241" customFormat="1" ht="65.25">
      <c r="A962" s="305"/>
      <c r="B962" s="368" t="s">
        <v>2265</v>
      </c>
      <c r="C962" s="368" t="s">
        <v>2266</v>
      </c>
      <c r="D962" s="235" t="str">
        <f t="shared" si="50"/>
        <v xml:space="preserve"> OK</v>
      </c>
      <c r="E962" s="254" t="s">
        <v>1372</v>
      </c>
      <c r="F962" s="254" t="s">
        <v>1372</v>
      </c>
      <c r="G962" s="298">
        <f>[3]Elec.Data!K3879</f>
        <v>829</v>
      </c>
      <c r="H962" s="298" t="s">
        <v>2205</v>
      </c>
      <c r="I962" s="300"/>
      <c r="J962" s="300"/>
      <c r="K962" s="270"/>
      <c r="L962" s="301"/>
      <c r="M962" s="270"/>
      <c r="N962" s="270"/>
      <c r="O962" s="270"/>
      <c r="P962" s="270"/>
      <c r="Q962" s="270"/>
      <c r="R962" s="270"/>
      <c r="S962" s="270"/>
      <c r="T962" s="301"/>
      <c r="U962" s="270"/>
      <c r="V962" s="240"/>
      <c r="W962" s="238">
        <f t="shared" si="53"/>
        <v>0</v>
      </c>
      <c r="Y962" s="223" t="str">
        <f>'[4]Development - i'!E961</f>
        <v>Wiring with 1.5 Sqm.m PVC insulated single core multi strand fire retardant flexible copper cable with ISI mark confirming IS: 694:1990 for Fan point .(Open wiring)</v>
      </c>
      <c r="Z962" s="223" t="str">
        <f t="shared" si="49"/>
        <v>-----------------------</v>
      </c>
    </row>
    <row r="963" spans="1:26" s="241" customFormat="1" ht="239.25">
      <c r="A963" s="305"/>
      <c r="B963" s="422" t="s">
        <v>1373</v>
      </c>
      <c r="C963" s="422" t="s">
        <v>1373</v>
      </c>
      <c r="D963" s="235" t="str">
        <f t="shared" si="50"/>
        <v xml:space="preserve"> OK</v>
      </c>
      <c r="E963" s="254" t="s">
        <v>1373</v>
      </c>
      <c r="F963" s="254" t="s">
        <v>1374</v>
      </c>
      <c r="G963" s="298">
        <f>[3]Data!K3810</f>
        <v>3627.29</v>
      </c>
      <c r="H963" s="298" t="s">
        <v>26</v>
      </c>
      <c r="I963" s="300"/>
      <c r="J963" s="300"/>
      <c r="K963" s="270"/>
      <c r="L963" s="301"/>
      <c r="M963" s="270"/>
      <c r="N963" s="270"/>
      <c r="O963" s="270"/>
      <c r="P963" s="270"/>
      <c r="Q963" s="270"/>
      <c r="R963" s="270"/>
      <c r="S963" s="270"/>
      <c r="T963" s="301"/>
      <c r="U963" s="270"/>
      <c r="V963" s="240"/>
      <c r="W963" s="238">
        <f t="shared" si="53"/>
        <v>0</v>
      </c>
      <c r="Y963" s="223" t="str">
        <f>'[4]Development - i'!E962</f>
        <v>Aluminium Partition wall 1/3 5.5mm thick glass &amp; 2/3 Novapan sheet 12mm thick outer top and bottom</v>
      </c>
      <c r="Z963" s="223" t="str">
        <f t="shared" si="49"/>
        <v>-----------------------</v>
      </c>
    </row>
    <row r="964" spans="1:26" s="241" customFormat="1" ht="43.5">
      <c r="A964" s="305"/>
      <c r="B964" s="422" t="s">
        <v>1375</v>
      </c>
      <c r="C964" s="422" t="s">
        <v>1375</v>
      </c>
      <c r="D964" s="235" t="str">
        <f t="shared" si="50"/>
        <v xml:space="preserve"> OK</v>
      </c>
      <c r="E964" s="254" t="s">
        <v>1375</v>
      </c>
      <c r="F964" s="254">
        <v>0</v>
      </c>
      <c r="G964" s="298">
        <f>[3]Data!X3686</f>
        <v>5310.14</v>
      </c>
      <c r="H964" s="298" t="s">
        <v>26</v>
      </c>
      <c r="I964" s="300"/>
      <c r="J964" s="300"/>
      <c r="K964" s="270"/>
      <c r="L964" s="301"/>
      <c r="M964" s="270"/>
      <c r="N964" s="270"/>
      <c r="O964" s="270"/>
      <c r="P964" s="270"/>
      <c r="Q964" s="270"/>
      <c r="R964" s="270"/>
      <c r="S964" s="270"/>
      <c r="T964" s="301"/>
      <c r="U964" s="270"/>
      <c r="V964" s="240"/>
      <c r="W964" s="238">
        <f t="shared" si="53"/>
        <v>0</v>
      </c>
      <c r="Y964" s="223" t="str">
        <f>'[4]Development - i'!E963</f>
        <v>Supply and fixing of colour matt finish door 15 microns double leaf door ( 1500 x 2100 mm)</v>
      </c>
      <c r="Z964" s="223" t="str">
        <f t="shared" si="49"/>
        <v>-----------------------</v>
      </c>
    </row>
    <row r="965" spans="1:26" s="241" customFormat="1" ht="239.25">
      <c r="A965" s="305"/>
      <c r="B965" s="422" t="s">
        <v>1376</v>
      </c>
      <c r="C965" s="422" t="s">
        <v>1376</v>
      </c>
      <c r="D965" s="235" t="str">
        <f t="shared" si="50"/>
        <v xml:space="preserve"> OK</v>
      </c>
      <c r="E965" s="254" t="s">
        <v>1376</v>
      </c>
      <c r="F965" s="254" t="s">
        <v>1377</v>
      </c>
      <c r="G965" s="298">
        <f>[3]Data!X3714</f>
        <v>6869.96</v>
      </c>
      <c r="H965" s="298" t="s">
        <v>26</v>
      </c>
      <c r="I965" s="300"/>
      <c r="J965" s="300"/>
      <c r="K965" s="270"/>
      <c r="L965" s="301"/>
      <c r="M965" s="270"/>
      <c r="N965" s="270"/>
      <c r="O965" s="270"/>
      <c r="P965" s="270"/>
      <c r="Q965" s="270"/>
      <c r="R965" s="270"/>
      <c r="S965" s="270"/>
      <c r="T965" s="301"/>
      <c r="U965" s="270"/>
      <c r="V965" s="240"/>
      <c r="W965" s="238">
        <f t="shared" si="53"/>
        <v>0</v>
      </c>
      <c r="Y965" s="223" t="str">
        <f>'[4]Development - i'!E964</f>
        <v>Supply and fixing of colour matt finish door 15 microns double leaf door ( 1000 x 2100 mm)</v>
      </c>
      <c r="Z965" s="223" t="str">
        <f t="shared" si="49"/>
        <v>-----------------------</v>
      </c>
    </row>
    <row r="966" spans="1:26" s="241" customFormat="1" ht="43.5">
      <c r="A966" s="305"/>
      <c r="B966" s="422" t="s">
        <v>1378</v>
      </c>
      <c r="C966" s="422" t="s">
        <v>1378</v>
      </c>
      <c r="D966" s="235" t="str">
        <f t="shared" si="50"/>
        <v xml:space="preserve"> OK</v>
      </c>
      <c r="E966" s="254" t="s">
        <v>1378</v>
      </c>
      <c r="F966" s="254">
        <v>0</v>
      </c>
      <c r="G966" s="298">
        <f>[3]Data!K3855</f>
        <v>1228.53</v>
      </c>
      <c r="H966" s="298" t="s">
        <v>26</v>
      </c>
      <c r="I966" s="300"/>
      <c r="J966" s="300"/>
      <c r="K966" s="270"/>
      <c r="L966" s="301"/>
      <c r="M966" s="270"/>
      <c r="N966" s="270"/>
      <c r="O966" s="270"/>
      <c r="P966" s="270"/>
      <c r="Q966" s="270"/>
      <c r="R966" s="270"/>
      <c r="S966" s="270"/>
      <c r="T966" s="301"/>
      <c r="U966" s="270"/>
      <c r="V966" s="240"/>
      <c r="W966" s="238">
        <f t="shared" si="53"/>
        <v>0</v>
      </c>
      <c r="Y966" s="223" t="str">
        <f>'[4]Development - i'!E965</f>
        <v>supplying and fixing of colour matt finish floor tiles of size 12"x12" floor tiles</v>
      </c>
      <c r="Z966" s="223" t="str">
        <f t="shared" si="49"/>
        <v>-----------------------</v>
      </c>
    </row>
    <row r="967" spans="1:26" s="241" customFormat="1" ht="43.5">
      <c r="A967" s="305"/>
      <c r="B967" s="358" t="s">
        <v>1379</v>
      </c>
      <c r="C967" s="361" t="s">
        <v>1379</v>
      </c>
      <c r="D967" s="235" t="str">
        <f t="shared" si="50"/>
        <v xml:space="preserve"> OK</v>
      </c>
      <c r="E967" s="254" t="s">
        <v>1379</v>
      </c>
      <c r="F967" s="254">
        <v>0</v>
      </c>
      <c r="G967" s="298">
        <f>[3]Data!K3832</f>
        <v>1487.78</v>
      </c>
      <c r="H967" s="298" t="s">
        <v>26</v>
      </c>
      <c r="I967" s="300"/>
      <c r="J967" s="300"/>
      <c r="K967" s="270"/>
      <c r="L967" s="301"/>
      <c r="M967" s="270"/>
      <c r="N967" s="270"/>
      <c r="O967" s="270"/>
      <c r="P967" s="270"/>
      <c r="Q967" s="270"/>
      <c r="R967" s="270"/>
      <c r="S967" s="270"/>
      <c r="T967" s="301"/>
      <c r="U967" s="270"/>
      <c r="V967" s="240"/>
      <c r="W967" s="238">
        <f t="shared" si="53"/>
        <v>0</v>
      </c>
      <c r="Y967" s="223" t="str">
        <f>'[4]Development - i'!E966</f>
        <v>supplying and fixing of colour matt finish floor tiles of size 12"x18" for wall tiles</v>
      </c>
      <c r="Z967" s="223" t="str">
        <f t="shared" si="49"/>
        <v>-----------------------</v>
      </c>
    </row>
    <row r="968" spans="1:26" ht="116.25">
      <c r="A968" s="320"/>
      <c r="B968" s="290" t="s">
        <v>2267</v>
      </c>
      <c r="C968" s="290" t="s">
        <v>2267</v>
      </c>
      <c r="D968" s="235" t="str">
        <f t="shared" si="50"/>
        <v xml:space="preserve"> OK</v>
      </c>
      <c r="E968" s="254" t="s">
        <v>1380</v>
      </c>
      <c r="F968" s="254" t="s">
        <v>1380</v>
      </c>
      <c r="G968" s="298">
        <v>1830</v>
      </c>
      <c r="H968" s="298" t="s">
        <v>556</v>
      </c>
      <c r="I968" s="300"/>
      <c r="J968" s="300"/>
      <c r="K968" s="270"/>
      <c r="L968" s="301"/>
      <c r="M968" s="270"/>
      <c r="N968" s="270"/>
      <c r="O968" s="270"/>
      <c r="P968" s="270"/>
      <c r="Q968" s="270"/>
      <c r="R968" s="270"/>
      <c r="S968" s="270"/>
      <c r="T968" s="301"/>
      <c r="U968" s="270"/>
      <c r="V968" s="240"/>
      <c r="W968" s="238">
        <f t="shared" si="53"/>
        <v>0</v>
      </c>
      <c r="Y968" s="223" t="str">
        <f>'[4]Development - i'!E967</f>
        <v>Supply and fixing of 20 Amps DP plug and socket in sheet enclosure with 32 A DP MCB  in Flush with wall with earth connection ( For AC Plug ) Legrand ( MDS) / Hager( L&amp; T) Equivalent/ Superior variety  Ele SD -140 /2018-19</v>
      </c>
      <c r="Z968" s="223" t="str">
        <f t="shared" si="49"/>
        <v>ERRR</v>
      </c>
    </row>
    <row r="969" spans="1:26" s="241" customFormat="1" ht="93">
      <c r="A969" s="309"/>
      <c r="B969" s="290" t="s">
        <v>1381</v>
      </c>
      <c r="C969" s="235" t="s">
        <v>1381</v>
      </c>
      <c r="D969" s="235" t="str">
        <f t="shared" si="50"/>
        <v xml:space="preserve"> OK</v>
      </c>
      <c r="E969" s="254" t="s">
        <v>1381</v>
      </c>
      <c r="F969" s="254">
        <v>0</v>
      </c>
      <c r="G969" s="298">
        <f>[3]Elec.Data!K4087</f>
        <v>34310</v>
      </c>
      <c r="H969" s="298" t="s">
        <v>556</v>
      </c>
      <c r="I969" s="300"/>
      <c r="J969" s="300"/>
      <c r="K969" s="270"/>
      <c r="L969" s="301"/>
      <c r="M969" s="270"/>
      <c r="N969" s="270"/>
      <c r="O969" s="270"/>
      <c r="P969" s="270"/>
      <c r="Q969" s="270"/>
      <c r="R969" s="270"/>
      <c r="S969" s="270"/>
      <c r="T969" s="301"/>
      <c r="U969" s="270"/>
      <c r="V969" s="240"/>
      <c r="W969" s="238">
        <f t="shared" si="53"/>
        <v>0</v>
      </c>
      <c r="Y969" s="223" t="str">
        <f>'[4]Development - i'!E968</f>
        <v>Supplying nd laying of 1000 x 1000 x 300mm size ms 16 swg powder coated cable terminal box with two compartment with necessary bus bar connected with TNEB etc.,</v>
      </c>
      <c r="Z969" s="223" t="str">
        <f t="shared" si="49"/>
        <v>-----------------------</v>
      </c>
    </row>
    <row r="970" spans="1:26" s="241" customFormat="1" ht="76.5">
      <c r="A970" s="305"/>
      <c r="B970" s="308" t="s">
        <v>1382</v>
      </c>
      <c r="C970" s="423" t="s">
        <v>1382</v>
      </c>
      <c r="D970" s="235" t="str">
        <f t="shared" si="50"/>
        <v xml:space="preserve"> OK</v>
      </c>
      <c r="E970" s="254" t="s">
        <v>1382</v>
      </c>
      <c r="F970" s="254">
        <v>0</v>
      </c>
      <c r="G970" s="298">
        <v>8100</v>
      </c>
      <c r="H970" s="298" t="s">
        <v>556</v>
      </c>
      <c r="I970" s="300"/>
      <c r="J970" s="300"/>
      <c r="K970" s="270"/>
      <c r="L970" s="301"/>
      <c r="M970" s="270"/>
      <c r="N970" s="270"/>
      <c r="O970" s="270"/>
      <c r="P970" s="270"/>
      <c r="Q970" s="270"/>
      <c r="R970" s="270"/>
      <c r="S970" s="270"/>
      <c r="T970" s="301"/>
      <c r="U970" s="270"/>
      <c r="V970" s="240"/>
      <c r="W970" s="238">
        <f t="shared" si="53"/>
        <v>0</v>
      </c>
      <c r="Y970" s="223" t="str">
        <f>'[4]Development - i'!E969</f>
        <v>Supplying and fixing of 200 Amps metal clad switch with rewirable fuse units, (Revised PWD SR 18-19Pg.no.80 it-J Part c)</v>
      </c>
      <c r="Z970" s="223" t="str">
        <f t="shared" si="49"/>
        <v>-----------------------</v>
      </c>
    </row>
    <row r="971" spans="1:26" s="239" customFormat="1" ht="102">
      <c r="A971" s="307"/>
      <c r="B971" s="424" t="s">
        <v>1383</v>
      </c>
      <c r="C971" s="424" t="s">
        <v>1383</v>
      </c>
      <c r="D971" s="235" t="str">
        <f t="shared" si="50"/>
        <v xml:space="preserve"> OK</v>
      </c>
      <c r="E971" s="254" t="s">
        <v>1383</v>
      </c>
      <c r="F971" s="254">
        <v>0</v>
      </c>
      <c r="G971" s="298">
        <v>829</v>
      </c>
      <c r="H971" s="298" t="s">
        <v>556</v>
      </c>
      <c r="I971" s="300"/>
      <c r="J971" s="300"/>
      <c r="K971" s="270"/>
      <c r="L971" s="301"/>
      <c r="M971" s="270"/>
      <c r="N971" s="270"/>
      <c r="O971" s="270"/>
      <c r="P971" s="270"/>
      <c r="Q971" s="270"/>
      <c r="R971" s="270"/>
      <c r="S971" s="270"/>
      <c r="T971" s="301"/>
      <c r="U971" s="270"/>
      <c r="V971" s="240"/>
      <c r="W971" s="238">
        <f t="shared" si="53"/>
        <v>0</v>
      </c>
      <c r="Y971" s="223" t="str">
        <f>'[4]Development - i'!E970</f>
        <v>Supply and Laying Rubber Moulded Hyraulic Pressed Paver Block 83 mm thick including labour charges for laying etc ( as per DB/1469/2018)</v>
      </c>
      <c r="Z971" s="223" t="str">
        <f t="shared" si="49"/>
        <v>-----------------------</v>
      </c>
    </row>
    <row r="972" spans="1:26" s="241" customFormat="1" ht="45">
      <c r="A972" s="305"/>
      <c r="B972" s="425" t="s">
        <v>1384</v>
      </c>
      <c r="C972" s="425" t="s">
        <v>1384</v>
      </c>
      <c r="D972" s="235" t="str">
        <f t="shared" si="50"/>
        <v xml:space="preserve"> OK</v>
      </c>
      <c r="E972" s="254" t="s">
        <v>1384</v>
      </c>
      <c r="F972" s="254">
        <v>0</v>
      </c>
      <c r="G972" s="298">
        <f>[3]Elec.Data!R3646</f>
        <v>8461</v>
      </c>
      <c r="H972" s="298" t="s">
        <v>556</v>
      </c>
      <c r="I972" s="300"/>
      <c r="J972" s="300"/>
      <c r="K972" s="270"/>
      <c r="L972" s="301"/>
      <c r="M972" s="270"/>
      <c r="N972" s="270"/>
      <c r="O972" s="270"/>
      <c r="P972" s="270"/>
      <c r="Q972" s="270"/>
      <c r="R972" s="270"/>
      <c r="S972" s="270"/>
      <c r="T972" s="301"/>
      <c r="U972" s="270"/>
      <c r="V972" s="240"/>
      <c r="W972" s="238">
        <f t="shared" si="53"/>
        <v>0</v>
      </c>
      <c r="Y972" s="223" t="str">
        <f>'[4]Development - i'!E971</f>
        <v>Supplying and fixing of 250 Watts Metal halide Flood light etc.,</v>
      </c>
      <c r="Z972" s="223" t="str">
        <f t="shared" si="49"/>
        <v>-----------------------</v>
      </c>
    </row>
    <row r="973" spans="1:26" s="241" customFormat="1" ht="217.5">
      <c r="A973" s="307">
        <v>21.6</v>
      </c>
      <c r="B973" s="342" t="s">
        <v>1385</v>
      </c>
      <c r="C973" s="342" t="s">
        <v>1385</v>
      </c>
      <c r="D973" s="235" t="str">
        <f t="shared" si="50"/>
        <v xml:space="preserve"> OK</v>
      </c>
      <c r="E973" s="254" t="s">
        <v>1385</v>
      </c>
      <c r="F973" s="254" t="s">
        <v>1386</v>
      </c>
      <c r="G973" s="298"/>
      <c r="H973" s="298"/>
      <c r="I973" s="300"/>
      <c r="J973" s="300"/>
      <c r="K973" s="270"/>
      <c r="L973" s="301"/>
      <c r="M973" s="270"/>
      <c r="N973" s="270"/>
      <c r="O973" s="270"/>
      <c r="P973" s="270"/>
      <c r="Q973" s="270"/>
      <c r="R973" s="270"/>
      <c r="S973" s="270"/>
      <c r="T973" s="301"/>
      <c r="U973" s="270"/>
      <c r="V973" s="240"/>
      <c r="W973" s="238">
        <f t="shared" si="53"/>
        <v>0</v>
      </c>
      <c r="Y973" s="223" t="str">
        <f>'[4]Development - i'!E972</f>
        <v>R.C.C.Door frames of size 100 x 75mm with one edge grooves size 't' x 20 mm  ( with out  M20 or M30 grade old  data )</v>
      </c>
      <c r="Z973" s="223" t="str">
        <f t="shared" si="49"/>
        <v>-----------------------</v>
      </c>
    </row>
    <row r="974" spans="1:26" s="241" customFormat="1" ht="69.75">
      <c r="A974" s="426"/>
      <c r="B974" s="308" t="s">
        <v>759</v>
      </c>
      <c r="C974" s="308" t="s">
        <v>759</v>
      </c>
      <c r="D974" s="235" t="str">
        <f t="shared" si="50"/>
        <v xml:space="preserve"> OK</v>
      </c>
      <c r="E974" s="254" t="s">
        <v>2268</v>
      </c>
      <c r="F974" s="254" t="s">
        <v>759</v>
      </c>
      <c r="G974" s="298">
        <f>[3]Data!K3968</f>
        <v>2300.02</v>
      </c>
      <c r="H974" s="298" t="s">
        <v>556</v>
      </c>
      <c r="I974" s="300"/>
      <c r="J974" s="300"/>
      <c r="K974" s="270"/>
      <c r="L974" s="301"/>
      <c r="M974" s="270"/>
      <c r="N974" s="270"/>
      <c r="O974" s="270"/>
      <c r="P974" s="270"/>
      <c r="Q974" s="270"/>
      <c r="R974" s="270"/>
      <c r="S974" s="270"/>
      <c r="T974" s="301"/>
      <c r="U974" s="270"/>
      <c r="V974" s="240"/>
      <c r="W974" s="238">
        <f t="shared" si="53"/>
        <v>0</v>
      </c>
      <c r="Y974" s="223" t="str">
        <f>'[4]Development - i'!E973</f>
        <v>a. 900 x 2100 mm R.C.C.Door frames of size 100 x 75mm with one edge grooves size 't' x 20 mm  ( with out  M20 or M30 grade old  data )</v>
      </c>
      <c r="Z974" s="223" t="str">
        <f t="shared" si="49"/>
        <v>-----------------------</v>
      </c>
    </row>
    <row r="975" spans="1:26" s="241" customFormat="1" ht="69.75">
      <c r="A975" s="345"/>
      <c r="B975" s="306" t="s">
        <v>1052</v>
      </c>
      <c r="C975" s="306" t="s">
        <v>1052</v>
      </c>
      <c r="D975" s="235" t="str">
        <f t="shared" si="50"/>
        <v xml:space="preserve"> OK</v>
      </c>
      <c r="E975" s="254" t="s">
        <v>2269</v>
      </c>
      <c r="F975" s="254" t="s">
        <v>1052</v>
      </c>
      <c r="G975" s="298">
        <f>[3]Data!K4001</f>
        <v>2762.54</v>
      </c>
      <c r="H975" s="298" t="s">
        <v>556</v>
      </c>
      <c r="I975" s="300"/>
      <c r="J975" s="300"/>
      <c r="K975" s="270"/>
      <c r="L975" s="301"/>
      <c r="M975" s="270"/>
      <c r="N975" s="270"/>
      <c r="O975" s="270"/>
      <c r="P975" s="270"/>
      <c r="Q975" s="270"/>
      <c r="R975" s="270"/>
      <c r="S975" s="270"/>
      <c r="T975" s="301"/>
      <c r="U975" s="270"/>
      <c r="V975" s="240"/>
      <c r="W975" s="238">
        <f t="shared" si="53"/>
        <v>0</v>
      </c>
      <c r="Y975" s="223" t="str">
        <f>'[4]Development - i'!E974</f>
        <v>c. 1200 x 2100 mm R.C.C.Door frames of size 100 x 75mm with one edge grooves size 't' x 20 mm  ( with out  M20 or M30 grade old  data )</v>
      </c>
      <c r="Z975" s="223" t="str">
        <f t="shared" ref="Z975:Z1038" si="54">IF(Y975=E975,"-----------------------","ERRR")</f>
        <v>-----------------------</v>
      </c>
    </row>
    <row r="976" spans="1:26" s="241" customFormat="1" ht="69.75">
      <c r="A976" s="345"/>
      <c r="B976" s="306" t="s">
        <v>1054</v>
      </c>
      <c r="C976" s="306" t="s">
        <v>1054</v>
      </c>
      <c r="D976" s="235" t="str">
        <f t="shared" si="50"/>
        <v xml:space="preserve"> OK</v>
      </c>
      <c r="E976" s="254" t="s">
        <v>2270</v>
      </c>
      <c r="F976" s="254" t="s">
        <v>1054</v>
      </c>
      <c r="G976" s="298">
        <f>[3]Data!K3984</f>
        <v>2268.56</v>
      </c>
      <c r="H976" s="298"/>
      <c r="I976" s="300"/>
      <c r="J976" s="300"/>
      <c r="K976" s="270"/>
      <c r="L976" s="301"/>
      <c r="M976" s="270"/>
      <c r="N976" s="270"/>
      <c r="O976" s="270"/>
      <c r="P976" s="270"/>
      <c r="Q976" s="270"/>
      <c r="R976" s="270"/>
      <c r="S976" s="270"/>
      <c r="T976" s="301"/>
      <c r="U976" s="270"/>
      <c r="V976" s="240"/>
      <c r="W976" s="238">
        <f t="shared" si="53"/>
        <v>0</v>
      </c>
      <c r="Y976" s="223" t="str">
        <f>'[4]Development - i'!E975</f>
        <v>d. 750 x 2100 mm R.C.C.Door frames of size 100 x 75mm with one edge grooves size 't' x 20 mm  ( with out  M20 or M30 grade old  data )</v>
      </c>
      <c r="Z976" s="223" t="str">
        <f t="shared" si="54"/>
        <v>-----------------------</v>
      </c>
    </row>
    <row r="977" spans="1:26" s="241" customFormat="1" ht="69.75">
      <c r="A977" s="345"/>
      <c r="B977" s="306" t="s">
        <v>761</v>
      </c>
      <c r="C977" s="306" t="s">
        <v>761</v>
      </c>
      <c r="D977" s="235" t="str">
        <f t="shared" si="50"/>
        <v xml:space="preserve"> OK</v>
      </c>
      <c r="E977" s="254" t="s">
        <v>2271</v>
      </c>
      <c r="F977" s="254" t="s">
        <v>761</v>
      </c>
      <c r="G977" s="298">
        <f>[3]Data!K3950</f>
        <v>2318.73</v>
      </c>
      <c r="H977" s="298" t="s">
        <v>556</v>
      </c>
      <c r="I977" s="300"/>
      <c r="J977" s="300"/>
      <c r="K977" s="270"/>
      <c r="L977" s="301"/>
      <c r="M977" s="270"/>
      <c r="N977" s="270"/>
      <c r="O977" s="270"/>
      <c r="P977" s="270"/>
      <c r="Q977" s="270"/>
      <c r="R977" s="270"/>
      <c r="S977" s="270"/>
      <c r="T977" s="301"/>
      <c r="U977" s="270"/>
      <c r="V977" s="240"/>
      <c r="W977" s="238">
        <f t="shared" si="53"/>
        <v>0</v>
      </c>
      <c r="Y977" s="223" t="str">
        <f>'[4]Development - i'!E976</f>
        <v>c. 1000 x 2100 mm R.C.C.Door frames of size 100 x 75mm with one edge grooves size 't' x 20 mm  ( with out  M20 or M30 grade old  data )</v>
      </c>
      <c r="Z977" s="223" t="str">
        <f t="shared" si="54"/>
        <v>-----------------------</v>
      </c>
    </row>
    <row r="978" spans="1:26" s="241" customFormat="1" ht="65.25">
      <c r="A978" s="345"/>
      <c r="B978" s="306" t="s">
        <v>2272</v>
      </c>
      <c r="C978" s="306" t="s">
        <v>500</v>
      </c>
      <c r="D978" s="235" t="str">
        <f t="shared" si="50"/>
        <v xml:space="preserve"> OK</v>
      </c>
      <c r="E978" s="254" t="s">
        <v>2273</v>
      </c>
      <c r="F978" s="254" t="s">
        <v>1387</v>
      </c>
      <c r="G978" s="298">
        <v>81</v>
      </c>
      <c r="H978" s="298" t="s">
        <v>556</v>
      </c>
      <c r="I978" s="300"/>
      <c r="J978" s="300"/>
      <c r="K978" s="270"/>
      <c r="L978" s="301"/>
      <c r="M978" s="270"/>
      <c r="N978" s="270"/>
      <c r="O978" s="270"/>
      <c r="P978" s="270"/>
      <c r="Q978" s="270"/>
      <c r="R978" s="270"/>
      <c r="S978" s="270"/>
      <c r="T978" s="301"/>
      <c r="U978" s="270"/>
      <c r="V978" s="240"/>
      <c r="W978" s="238">
        <f t="shared" si="53"/>
        <v>0</v>
      </c>
      <c r="Y978" s="223" t="str">
        <f>'[4]Development - i'!E977</f>
        <v>9 watts  LED bulb  qtn</v>
      </c>
      <c r="Z978" s="223" t="str">
        <f t="shared" si="54"/>
        <v>-----------------------</v>
      </c>
    </row>
    <row r="979" spans="1:26" s="241" customFormat="1">
      <c r="A979" s="427"/>
      <c r="B979" s="306" t="s">
        <v>1388</v>
      </c>
      <c r="C979" s="306" t="s">
        <v>1388</v>
      </c>
      <c r="D979" s="235" t="str">
        <f t="shared" si="50"/>
        <v xml:space="preserve"> OK</v>
      </c>
      <c r="E979" s="254" t="s">
        <v>1388</v>
      </c>
      <c r="F979" s="254">
        <v>0</v>
      </c>
      <c r="G979" s="298">
        <f>[3]Data!R3724</f>
        <v>2991</v>
      </c>
      <c r="H979" s="298" t="s">
        <v>556</v>
      </c>
      <c r="I979" s="300"/>
      <c r="J979" s="300"/>
      <c r="K979" s="270"/>
      <c r="L979" s="301"/>
      <c r="M979" s="270"/>
      <c r="N979" s="270"/>
      <c r="O979" s="270"/>
      <c r="P979" s="270"/>
      <c r="Q979" s="270"/>
      <c r="R979" s="270"/>
      <c r="S979" s="270"/>
      <c r="T979" s="301"/>
      <c r="U979" s="270"/>
      <c r="V979" s="242"/>
      <c r="W979" s="238">
        <f t="shared" si="53"/>
        <v>0</v>
      </c>
      <c r="Y979" s="223" t="str">
        <f>'[4]Development - i'!E978</f>
        <v>Supply and fixing of 25" LED Street light</v>
      </c>
      <c r="Z979" s="223" t="str">
        <f t="shared" si="54"/>
        <v>-----------------------</v>
      </c>
    </row>
    <row r="980" spans="1:26" ht="108.75">
      <c r="A980" s="428"/>
      <c r="B980" s="313" t="s">
        <v>501</v>
      </c>
      <c r="C980" s="306" t="s">
        <v>501</v>
      </c>
      <c r="D980" s="235" t="str">
        <f t="shared" si="50"/>
        <v xml:space="preserve"> OK</v>
      </c>
      <c r="E980" s="254" t="s">
        <v>501</v>
      </c>
      <c r="F980" s="254" t="s">
        <v>161</v>
      </c>
      <c r="G980" s="298">
        <f>[3]Elec.Data!K3787</f>
        <v>635</v>
      </c>
      <c r="H980" s="298" t="s">
        <v>556</v>
      </c>
      <c r="I980" s="299"/>
      <c r="J980" s="300"/>
      <c r="K980" s="270"/>
      <c r="L980" s="301"/>
      <c r="M980" s="270"/>
      <c r="N980" s="270"/>
      <c r="O980" s="270"/>
      <c r="P980" s="270"/>
      <c r="Q980" s="270"/>
      <c r="R980" s="270"/>
      <c r="S980" s="270"/>
      <c r="T980" s="301"/>
      <c r="U980" s="302"/>
      <c r="V980" s="236">
        <f>'[3]Precast Compound wall '!H305</f>
        <v>2</v>
      </c>
      <c r="W980" s="233">
        <f t="shared" si="53"/>
        <v>862</v>
      </c>
      <c r="Y980" s="223" t="str">
        <f>'[4]Development - i'!E979</f>
        <v>18 watts  LED  Tube Light</v>
      </c>
      <c r="Z980" s="223" t="str">
        <f t="shared" si="54"/>
        <v>-----------------------</v>
      </c>
    </row>
    <row r="981" spans="1:26" s="241" customFormat="1">
      <c r="A981" s="429"/>
      <c r="B981" s="306" t="s">
        <v>1389</v>
      </c>
      <c r="C981" s="306" t="s">
        <v>1389</v>
      </c>
      <c r="D981" s="235" t="str">
        <f t="shared" si="50"/>
        <v xml:space="preserve"> OK</v>
      </c>
      <c r="E981" s="254" t="s">
        <v>1389</v>
      </c>
      <c r="F981" s="254">
        <v>0</v>
      </c>
      <c r="G981" s="298">
        <v>431</v>
      </c>
      <c r="H981" s="298" t="s">
        <v>556</v>
      </c>
      <c r="I981" s="300"/>
      <c r="J981" s="300"/>
      <c r="K981" s="270"/>
      <c r="L981" s="301"/>
      <c r="M981" s="270"/>
      <c r="N981" s="270"/>
      <c r="O981" s="270"/>
      <c r="P981" s="270"/>
      <c r="Q981" s="270"/>
      <c r="R981" s="270"/>
      <c r="S981" s="270"/>
      <c r="T981" s="301"/>
      <c r="U981" s="270"/>
      <c r="V981" s="245"/>
      <c r="W981" s="238">
        <f t="shared" si="53"/>
        <v>0</v>
      </c>
      <c r="Y981" s="223" t="str">
        <f>'[4]Development - i'!E980</f>
        <v xml:space="preserve"> Bulk Head fitting for  LED Bulb</v>
      </c>
      <c r="Z981" s="223" t="str">
        <f t="shared" si="54"/>
        <v>-----------------------</v>
      </c>
    </row>
    <row r="982" spans="1:26" ht="65.25">
      <c r="A982" s="428"/>
      <c r="B982" s="313" t="s">
        <v>499</v>
      </c>
      <c r="C982" s="306" t="s">
        <v>499</v>
      </c>
      <c r="D982" s="235" t="str">
        <f t="shared" si="50"/>
        <v xml:space="preserve"> OK</v>
      </c>
      <c r="E982" s="254" t="s">
        <v>499</v>
      </c>
      <c r="F982" s="254" t="s">
        <v>1390</v>
      </c>
      <c r="G982" s="298">
        <v>170</v>
      </c>
      <c r="H982" s="298" t="s">
        <v>556</v>
      </c>
      <c r="I982" s="299"/>
      <c r="J982" s="300"/>
      <c r="K982" s="270"/>
      <c r="L982" s="301"/>
      <c r="M982" s="270"/>
      <c r="N982" s="270"/>
      <c r="O982" s="270"/>
      <c r="P982" s="270"/>
      <c r="Q982" s="270"/>
      <c r="R982" s="270"/>
      <c r="S982" s="270"/>
      <c r="T982" s="301"/>
      <c r="U982" s="302"/>
      <c r="V982" s="236">
        <f>'[3]Precast Compound wall '!H299</f>
        <v>32</v>
      </c>
      <c r="W982" s="233">
        <f t="shared" si="53"/>
        <v>176000</v>
      </c>
      <c r="Y982" s="223" t="str">
        <f>'[4]Development - i'!E981</f>
        <v xml:space="preserve">S &amp; F 12 watts LED bulb for bulk head </v>
      </c>
      <c r="Z982" s="223" t="str">
        <f t="shared" si="54"/>
        <v>-----------------------</v>
      </c>
    </row>
    <row r="983" spans="1:26" ht="46.5">
      <c r="A983" s="430"/>
      <c r="B983" s="313" t="s">
        <v>1391</v>
      </c>
      <c r="C983" s="306"/>
      <c r="D983" s="235"/>
      <c r="E983" s="254" t="s">
        <v>1391</v>
      </c>
      <c r="F983" s="254" t="s">
        <v>1391</v>
      </c>
      <c r="G983" s="298">
        <v>5500</v>
      </c>
      <c r="H983" s="298" t="s">
        <v>556</v>
      </c>
      <c r="I983" s="299"/>
      <c r="J983" s="300"/>
      <c r="K983" s="270"/>
      <c r="L983" s="301"/>
      <c r="M983" s="270"/>
      <c r="N983" s="270"/>
      <c r="O983" s="270"/>
      <c r="P983" s="270"/>
      <c r="Q983" s="270"/>
      <c r="R983" s="270"/>
      <c r="S983" s="270"/>
      <c r="T983" s="301"/>
      <c r="U983" s="302"/>
      <c r="V983" s="256"/>
      <c r="W983" s="257"/>
      <c r="Y983" s="223" t="str">
        <f>'[4]Development - i'!E982</f>
        <v>ABS /PVC door framed shutter (Plain pre-laminated door)</v>
      </c>
      <c r="Z983" s="223" t="str">
        <f t="shared" si="54"/>
        <v>-----------------------</v>
      </c>
    </row>
    <row r="984" spans="1:26" ht="23.25">
      <c r="A984" s="430"/>
      <c r="B984" s="313" t="s">
        <v>1392</v>
      </c>
      <c r="C984" s="306"/>
      <c r="D984" s="235"/>
      <c r="E984" s="254" t="s">
        <v>1392</v>
      </c>
      <c r="F984" s="254" t="s">
        <v>1392</v>
      </c>
      <c r="G984" s="298">
        <v>5800</v>
      </c>
      <c r="H984" s="298" t="s">
        <v>556</v>
      </c>
      <c r="I984" s="299"/>
      <c r="J984" s="300"/>
      <c r="K984" s="270"/>
      <c r="L984" s="301"/>
      <c r="M984" s="270"/>
      <c r="N984" s="270"/>
      <c r="O984" s="270"/>
      <c r="P984" s="270"/>
      <c r="Q984" s="270"/>
      <c r="R984" s="270"/>
      <c r="S984" s="270"/>
      <c r="T984" s="301"/>
      <c r="U984" s="302"/>
      <c r="V984" s="256"/>
      <c r="W984" s="257"/>
      <c r="Y984" s="223" t="str">
        <f>'[4]Development - i'!E983</f>
        <v>ABS inner doors  (Design pre-laminated door)</v>
      </c>
      <c r="Z984" s="223" t="str">
        <f t="shared" si="54"/>
        <v>-----------------------</v>
      </c>
    </row>
    <row r="985" spans="1:26" s="241" customFormat="1">
      <c r="A985" s="344"/>
      <c r="B985" s="431" t="s">
        <v>1393</v>
      </c>
      <c r="C985" s="431" t="s">
        <v>1393</v>
      </c>
      <c r="D985" s="235" t="str">
        <f t="shared" si="50"/>
        <v xml:space="preserve"> OK</v>
      </c>
      <c r="E985" s="254" t="s">
        <v>1393</v>
      </c>
      <c r="F985" s="254" t="s">
        <v>1393</v>
      </c>
      <c r="G985" s="298"/>
      <c r="H985" s="298" t="s">
        <v>2019</v>
      </c>
      <c r="I985" s="300"/>
      <c r="J985" s="300"/>
      <c r="K985" s="270"/>
      <c r="L985" s="301"/>
      <c r="M985" s="270"/>
      <c r="N985" s="270"/>
      <c r="O985" s="270"/>
      <c r="P985" s="270"/>
      <c r="Q985" s="270"/>
      <c r="R985" s="270"/>
      <c r="S985" s="270"/>
      <c r="T985" s="301"/>
      <c r="U985" s="270"/>
      <c r="V985" s="237"/>
      <c r="W985" s="238">
        <f t="shared" ref="W985:W1050" si="55">ROUND(G986,2)*ROUND(V985,2)</f>
        <v>0</v>
      </c>
      <c r="Y985" s="223" t="str">
        <f>'[4]Development - i'!E984</f>
        <v>Providing of Granular Sub Base using Grade-I</v>
      </c>
      <c r="Z985" s="223" t="str">
        <f t="shared" si="54"/>
        <v>-----------------------</v>
      </c>
    </row>
    <row r="986" spans="1:26" s="241" customFormat="1" ht="69.75">
      <c r="A986" s="345"/>
      <c r="B986" s="431" t="s">
        <v>1394</v>
      </c>
      <c r="C986" s="431" t="s">
        <v>1394</v>
      </c>
      <c r="D986" s="235" t="str">
        <f t="shared" si="50"/>
        <v xml:space="preserve"> OK</v>
      </c>
      <c r="E986" s="254" t="s">
        <v>1394</v>
      </c>
      <c r="F986" s="254" t="s">
        <v>1394</v>
      </c>
      <c r="G986" s="298"/>
      <c r="H986" s="298" t="str">
        <f ca="1">H986</f>
        <v>cum</v>
      </c>
      <c r="I986" s="300"/>
      <c r="J986" s="300"/>
      <c r="K986" s="270"/>
      <c r="L986" s="301"/>
      <c r="M986" s="270"/>
      <c r="N986" s="270"/>
      <c r="O986" s="270"/>
      <c r="P986" s="270"/>
      <c r="Q986" s="270"/>
      <c r="R986" s="270"/>
      <c r="S986" s="270"/>
      <c r="T986" s="301"/>
      <c r="U986" s="270"/>
      <c r="V986" s="240"/>
      <c r="W986" s="238">
        <f t="shared" si="55"/>
        <v>0</v>
      </c>
      <c r="Y986" s="223" t="str">
        <f>'[4]Development - i'!E985</f>
        <v>Providing and laying, spreading and compacting graded stone aggregate to Wet Mix Macadam (WMM)</v>
      </c>
      <c r="Z986" s="223" t="str">
        <f t="shared" si="54"/>
        <v>-----------------------</v>
      </c>
    </row>
    <row r="987" spans="1:26" s="241" customFormat="1" ht="46.5">
      <c r="A987" s="345"/>
      <c r="B987" s="314" t="s">
        <v>1395</v>
      </c>
      <c r="C987" s="314" t="s">
        <v>1395</v>
      </c>
      <c r="D987" s="235" t="str">
        <f t="shared" si="50"/>
        <v xml:space="preserve"> OK</v>
      </c>
      <c r="E987" s="254" t="s">
        <v>1395</v>
      </c>
      <c r="F987" s="254" t="s">
        <v>1395</v>
      </c>
      <c r="G987" s="298">
        <v>5350</v>
      </c>
      <c r="H987" s="298" t="s">
        <v>26</v>
      </c>
      <c r="I987" s="300"/>
      <c r="J987" s="300"/>
      <c r="K987" s="270"/>
      <c r="L987" s="301"/>
      <c r="M987" s="270"/>
      <c r="N987" s="270"/>
      <c r="O987" s="270"/>
      <c r="P987" s="270"/>
      <c r="Q987" s="270"/>
      <c r="R987" s="270"/>
      <c r="S987" s="270"/>
      <c r="T987" s="301"/>
      <c r="U987" s="270"/>
      <c r="V987" s="240"/>
      <c r="W987" s="238">
        <f t="shared" si="55"/>
        <v>0</v>
      </c>
      <c r="Y987" s="223" t="str">
        <f>'[4]Development - i'!E986</f>
        <v>Supply and fixing of Prepainting G.I. Window/ Ventilator  with Grill( PWDSR-18-19)P-56 it-190</v>
      </c>
      <c r="Z987" s="223" t="str">
        <f t="shared" si="54"/>
        <v>-----------------------</v>
      </c>
    </row>
    <row r="988" spans="1:26" s="241" customFormat="1" ht="108" customHeight="1">
      <c r="A988" s="345"/>
      <c r="B988" s="314" t="s">
        <v>419</v>
      </c>
      <c r="C988" s="314" t="s">
        <v>419</v>
      </c>
      <c r="D988" s="235" t="str">
        <f t="shared" si="50"/>
        <v xml:space="preserve"> OK</v>
      </c>
      <c r="E988" s="254" t="s">
        <v>419</v>
      </c>
      <c r="F988" s="254" t="s">
        <v>419</v>
      </c>
      <c r="G988" s="298">
        <f>[3]Data!K3756</f>
        <v>78.36</v>
      </c>
      <c r="H988" s="298" t="s">
        <v>26</v>
      </c>
      <c r="I988" s="300"/>
      <c r="J988" s="300"/>
      <c r="K988" s="270"/>
      <c r="L988" s="301"/>
      <c r="M988" s="270"/>
      <c r="N988" s="270"/>
      <c r="O988" s="270"/>
      <c r="P988" s="270"/>
      <c r="Q988" s="270"/>
      <c r="R988" s="270"/>
      <c r="S988" s="270"/>
      <c r="T988" s="301"/>
      <c r="U988" s="270"/>
      <c r="V988" s="240"/>
      <c r="W988" s="238">
        <f t="shared" si="55"/>
        <v>0</v>
      </c>
      <c r="Y988" s="223" t="str">
        <f>'[4]Development - i'!E987</f>
        <v>Wallputty ( one coat)</v>
      </c>
      <c r="Z988" s="223" t="str">
        <f t="shared" si="54"/>
        <v>-----------------------</v>
      </c>
    </row>
    <row r="989" spans="1:26" s="241" customFormat="1" ht="93">
      <c r="A989" s="345"/>
      <c r="B989" s="306" t="s">
        <v>1396</v>
      </c>
      <c r="C989" s="306" t="s">
        <v>1396</v>
      </c>
      <c r="D989" s="235" t="str">
        <f t="shared" si="50"/>
        <v xml:space="preserve"> OK</v>
      </c>
      <c r="E989" s="254" t="s">
        <v>1396</v>
      </c>
      <c r="F989" s="254" t="s">
        <v>1396</v>
      </c>
      <c r="G989" s="298">
        <v>25881</v>
      </c>
      <c r="H989" s="298" t="s">
        <v>556</v>
      </c>
      <c r="I989" s="300"/>
      <c r="J989" s="300"/>
      <c r="K989" s="270"/>
      <c r="L989" s="301"/>
      <c r="M989" s="270"/>
      <c r="N989" s="270"/>
      <c r="O989" s="270"/>
      <c r="P989" s="270"/>
      <c r="Q989" s="270"/>
      <c r="R989" s="270"/>
      <c r="S989" s="270"/>
      <c r="T989" s="301"/>
      <c r="U989" s="270"/>
      <c r="V989" s="240"/>
      <c r="W989" s="238">
        <f t="shared" si="55"/>
        <v>0</v>
      </c>
      <c r="Y989" s="223" t="str">
        <f>'[4]Development - i'!E988</f>
        <v xml:space="preserve">Supply and delivery of Electric Monoset centrifugal pump conforming to IS  9079:2002 as amended from  time to time, with CI FG 200 Casing ,(lpm 200x 35 )  3 HP </v>
      </c>
      <c r="Z989" s="223" t="str">
        <f t="shared" si="54"/>
        <v>-----------------------</v>
      </c>
    </row>
    <row r="990" spans="1:26" s="241" customFormat="1" ht="93">
      <c r="A990" s="345"/>
      <c r="B990" s="306" t="s">
        <v>1397</v>
      </c>
      <c r="C990" s="306" t="s">
        <v>1397</v>
      </c>
      <c r="D990" s="235" t="str">
        <f t="shared" si="50"/>
        <v xml:space="preserve"> OK</v>
      </c>
      <c r="E990" s="254" t="s">
        <v>1397</v>
      </c>
      <c r="F990" s="254" t="s">
        <v>1397</v>
      </c>
      <c r="G990" s="298">
        <v>12650</v>
      </c>
      <c r="H990" s="298" t="s">
        <v>556</v>
      </c>
      <c r="I990" s="300"/>
      <c r="J990" s="300"/>
      <c r="K990" s="270"/>
      <c r="L990" s="301"/>
      <c r="M990" s="270"/>
      <c r="N990" s="270"/>
      <c r="O990" s="270"/>
      <c r="P990" s="270"/>
      <c r="Q990" s="270"/>
      <c r="R990" s="270"/>
      <c r="S990" s="270"/>
      <c r="T990" s="301"/>
      <c r="U990" s="270"/>
      <c r="V990" s="240"/>
      <c r="W990" s="238">
        <f t="shared" si="55"/>
        <v>0</v>
      </c>
      <c r="Y990" s="223" t="str">
        <f>'[4]Development - i'!E989</f>
        <v xml:space="preserve">Supply and delivery of direct online starter confirming to IS13947 and IEC 947 suitable KW rating for operation in AC/single Phase/50HZ(± 5%) and 415 V(±10%) </v>
      </c>
      <c r="Z990" s="223" t="str">
        <f t="shared" si="54"/>
        <v>-----------------------</v>
      </c>
    </row>
    <row r="991" spans="1:26" s="241" customFormat="1" ht="93">
      <c r="A991" s="345"/>
      <c r="B991" s="306" t="s">
        <v>1398</v>
      </c>
      <c r="C991" s="306" t="s">
        <v>1398</v>
      </c>
      <c r="D991" s="235" t="str">
        <f t="shared" si="50"/>
        <v xml:space="preserve"> OK</v>
      </c>
      <c r="E991" s="254" t="s">
        <v>1398</v>
      </c>
      <c r="F991" s="254" t="s">
        <v>1398</v>
      </c>
      <c r="G991" s="298">
        <v>5474.04</v>
      </c>
      <c r="H991" s="298" t="s">
        <v>556</v>
      </c>
      <c r="I991" s="300"/>
      <c r="J991" s="300"/>
      <c r="K991" s="270"/>
      <c r="L991" s="301"/>
      <c r="M991" s="270"/>
      <c r="N991" s="270"/>
      <c r="O991" s="270"/>
      <c r="P991" s="270"/>
      <c r="Q991" s="270"/>
      <c r="R991" s="270"/>
      <c r="S991" s="270"/>
      <c r="T991" s="301"/>
      <c r="U991" s="270"/>
      <c r="V991" s="240"/>
      <c r="W991" s="238">
        <f t="shared" si="55"/>
        <v>0</v>
      </c>
      <c r="Y991" s="223" t="str">
        <f>'[4]Development - i'!E990</f>
        <v>Labour Charges for erection of Horizontal shaft,centrifugalpumpset(Coupled/Monoblock) in bore well/Open well including fixing of suction pipe and foot valve</v>
      </c>
      <c r="Z991" s="223" t="str">
        <f t="shared" si="54"/>
        <v>-----------------------</v>
      </c>
    </row>
    <row r="992" spans="1:26" s="241" customFormat="1" ht="46.5">
      <c r="A992" s="345"/>
      <c r="B992" s="314" t="s">
        <v>1399</v>
      </c>
      <c r="C992" s="314" t="s">
        <v>1399</v>
      </c>
      <c r="D992" s="235" t="str">
        <f t="shared" si="50"/>
        <v xml:space="preserve"> OK</v>
      </c>
      <c r="E992" s="254" t="s">
        <v>1399</v>
      </c>
      <c r="F992" s="254" t="s">
        <v>1399</v>
      </c>
      <c r="G992" s="298"/>
      <c r="H992" s="298"/>
      <c r="I992" s="300"/>
      <c r="J992" s="300"/>
      <c r="K992" s="270"/>
      <c r="L992" s="301"/>
      <c r="M992" s="270"/>
      <c r="N992" s="270"/>
      <c r="O992" s="270"/>
      <c r="P992" s="270"/>
      <c r="Q992" s="270"/>
      <c r="R992" s="270"/>
      <c r="S992" s="270"/>
      <c r="T992" s="301"/>
      <c r="U992" s="270"/>
      <c r="V992" s="240"/>
      <c r="W992" s="238">
        <f t="shared" si="55"/>
        <v>0</v>
      </c>
      <c r="Y992" s="223" t="str">
        <f>'[4]Development - i'!E991</f>
        <v>Supplying and delivery of following Dia PVC Pipes</v>
      </c>
      <c r="Z992" s="223" t="str">
        <f t="shared" si="54"/>
        <v>-----------------------</v>
      </c>
    </row>
    <row r="993" spans="1:28" s="241" customFormat="1">
      <c r="A993" s="345"/>
      <c r="B993" s="306" t="s">
        <v>1400</v>
      </c>
      <c r="C993" s="306" t="s">
        <v>1400</v>
      </c>
      <c r="D993" s="235" t="str">
        <f t="shared" si="50"/>
        <v xml:space="preserve"> OK</v>
      </c>
      <c r="E993" s="254" t="s">
        <v>1400</v>
      </c>
      <c r="F993" s="254" t="s">
        <v>1400</v>
      </c>
      <c r="G993" s="298">
        <v>129</v>
      </c>
      <c r="H993" s="298" t="s">
        <v>12</v>
      </c>
      <c r="I993" s="300"/>
      <c r="J993" s="300"/>
      <c r="K993" s="270"/>
      <c r="L993" s="301"/>
      <c r="M993" s="270"/>
      <c r="N993" s="270"/>
      <c r="O993" s="270"/>
      <c r="P993" s="270"/>
      <c r="Q993" s="270"/>
      <c r="R993" s="270"/>
      <c r="S993" s="270"/>
      <c r="T993" s="301"/>
      <c r="U993" s="270"/>
      <c r="V993" s="240"/>
      <c r="W993" s="238">
        <f t="shared" si="55"/>
        <v>0</v>
      </c>
      <c r="Y993" s="223" t="str">
        <f>'[4]Development - i'!E992</f>
        <v>a) 50mm PVC 10 Kg/Cm² pipe</v>
      </c>
      <c r="Z993" s="223" t="str">
        <f t="shared" si="54"/>
        <v>-----------------------</v>
      </c>
    </row>
    <row r="994" spans="1:28" s="241" customFormat="1">
      <c r="A994" s="345"/>
      <c r="B994" s="306" t="s">
        <v>1401</v>
      </c>
      <c r="C994" s="306" t="s">
        <v>1401</v>
      </c>
      <c r="D994" s="235" t="str">
        <f t="shared" si="50"/>
        <v xml:space="preserve"> OK</v>
      </c>
      <c r="E994" s="254" t="s">
        <v>1401</v>
      </c>
      <c r="F994" s="254" t="s">
        <v>1401</v>
      </c>
      <c r="G994" s="298">
        <v>86.3</v>
      </c>
      <c r="H994" s="298" t="s">
        <v>12</v>
      </c>
      <c r="I994" s="300"/>
      <c r="J994" s="300"/>
      <c r="K994" s="270"/>
      <c r="L994" s="301"/>
      <c r="M994" s="270"/>
      <c r="N994" s="270"/>
      <c r="O994" s="270"/>
      <c r="P994" s="270"/>
      <c r="Q994" s="270"/>
      <c r="R994" s="270"/>
      <c r="S994" s="270"/>
      <c r="T994" s="301"/>
      <c r="U994" s="270"/>
      <c r="V994" s="240"/>
      <c r="W994" s="238">
        <f t="shared" si="55"/>
        <v>0</v>
      </c>
      <c r="Y994" s="223" t="str">
        <f>'[4]Development - i'!E993</f>
        <v>b) 40mm PVC 10 Kg/Cm² pipe</v>
      </c>
      <c r="Z994" s="223" t="str">
        <f t="shared" si="54"/>
        <v>-----------------------</v>
      </c>
    </row>
    <row r="995" spans="1:28" s="241" customFormat="1">
      <c r="A995" s="345"/>
      <c r="B995" s="314" t="s">
        <v>1402</v>
      </c>
      <c r="C995" s="314" t="s">
        <v>1402</v>
      </c>
      <c r="D995" s="235" t="str">
        <f t="shared" ref="D995:D1060" si="56">IF(B995=C995," OK","nun")</f>
        <v xml:space="preserve"> OK</v>
      </c>
      <c r="E995" s="254" t="s">
        <v>1402</v>
      </c>
      <c r="F995" s="254" t="s">
        <v>1402</v>
      </c>
      <c r="G995" s="298"/>
      <c r="H995" s="298"/>
      <c r="I995" s="300"/>
      <c r="J995" s="300"/>
      <c r="K995" s="270"/>
      <c r="L995" s="301"/>
      <c r="M995" s="270"/>
      <c r="N995" s="270"/>
      <c r="O995" s="270"/>
      <c r="P995" s="270"/>
      <c r="Q995" s="270"/>
      <c r="R995" s="270"/>
      <c r="S995" s="270"/>
      <c r="T995" s="301"/>
      <c r="U995" s="270"/>
      <c r="V995" s="240"/>
      <c r="W995" s="238">
        <f t="shared" si="55"/>
        <v>0</v>
      </c>
      <c r="Y995" s="223" t="str">
        <f>'[4]Development - i'!E994</f>
        <v>Supplying and delivery of following Dia GI Pipes</v>
      </c>
      <c r="Z995" s="223" t="str">
        <f t="shared" si="54"/>
        <v>-----------------------</v>
      </c>
    </row>
    <row r="996" spans="1:28" s="241" customFormat="1">
      <c r="A996" s="345"/>
      <c r="B996" s="306" t="s">
        <v>1403</v>
      </c>
      <c r="C996" s="306" t="s">
        <v>1403</v>
      </c>
      <c r="D996" s="235" t="str">
        <f t="shared" si="56"/>
        <v xml:space="preserve"> OK</v>
      </c>
      <c r="E996" s="254" t="s">
        <v>1403</v>
      </c>
      <c r="F996" s="254" t="s">
        <v>1403</v>
      </c>
      <c r="G996" s="298">
        <v>242</v>
      </c>
      <c r="H996" s="298" t="s">
        <v>12</v>
      </c>
      <c r="I996" s="300"/>
      <c r="J996" s="300"/>
      <c r="K996" s="270"/>
      <c r="L996" s="301"/>
      <c r="M996" s="270"/>
      <c r="N996" s="270"/>
      <c r="O996" s="270"/>
      <c r="P996" s="270"/>
      <c r="Q996" s="270"/>
      <c r="R996" s="270"/>
      <c r="S996" s="270"/>
      <c r="T996" s="301"/>
      <c r="U996" s="270"/>
      <c r="V996" s="240"/>
      <c r="W996" s="238">
        <f t="shared" si="55"/>
        <v>0</v>
      </c>
      <c r="Y996" s="223" t="str">
        <f>'[4]Development - i'!E995</f>
        <v>a) 65 mm dia G.I pipe ( B class )</v>
      </c>
      <c r="Z996" s="223" t="str">
        <f t="shared" si="54"/>
        <v>-----------------------</v>
      </c>
    </row>
    <row r="997" spans="1:28" s="241" customFormat="1">
      <c r="A997" s="345"/>
      <c r="B997" s="306" t="s">
        <v>1404</v>
      </c>
      <c r="C997" s="306" t="s">
        <v>1404</v>
      </c>
      <c r="D997" s="235" t="str">
        <f t="shared" si="56"/>
        <v xml:space="preserve"> OK</v>
      </c>
      <c r="E997" s="254" t="s">
        <v>1404</v>
      </c>
      <c r="F997" s="254" t="s">
        <v>5497</v>
      </c>
      <c r="G997" s="298"/>
      <c r="H997" s="298"/>
      <c r="I997" s="300"/>
      <c r="J997" s="300"/>
      <c r="K997" s="270"/>
      <c r="L997" s="301"/>
      <c r="M997" s="270"/>
      <c r="N997" s="270"/>
      <c r="O997" s="270"/>
      <c r="P997" s="270"/>
      <c r="Q997" s="270"/>
      <c r="R997" s="270"/>
      <c r="S997" s="270"/>
      <c r="T997" s="301"/>
      <c r="U997" s="270"/>
      <c r="V997" s="240"/>
      <c r="W997" s="238">
        <f>ROUND(G1000,2)*ROUND(V997,2)</f>
        <v>0</v>
      </c>
      <c r="Y997" s="223" t="str">
        <f>'[4]Development - i'!E996</f>
        <v>b) 50mm dia G.I pipe ( B class )</v>
      </c>
      <c r="Z997" s="223" t="str">
        <f t="shared" si="54"/>
        <v>-----------------------</v>
      </c>
    </row>
    <row r="998" spans="1:28" s="241" customFormat="1">
      <c r="A998" s="345"/>
      <c r="B998" s="306"/>
      <c r="C998" s="306"/>
      <c r="D998" s="235"/>
      <c r="E998" s="254" t="s">
        <v>1405</v>
      </c>
      <c r="F998" s="254" t="s">
        <v>1405</v>
      </c>
      <c r="G998" s="298">
        <f>'[3]water pipe data'!F574</f>
        <v>225.31</v>
      </c>
      <c r="H998" s="298" t="s">
        <v>12</v>
      </c>
      <c r="I998" s="300"/>
      <c r="J998" s="300"/>
      <c r="K998" s="270"/>
      <c r="L998" s="301"/>
      <c r="M998" s="270"/>
      <c r="N998" s="270"/>
      <c r="O998" s="270"/>
      <c r="P998" s="270"/>
      <c r="Q998" s="270"/>
      <c r="R998" s="270"/>
      <c r="S998" s="270"/>
      <c r="T998" s="301"/>
      <c r="U998" s="270"/>
      <c r="V998" s="240"/>
      <c r="W998" s="238"/>
      <c r="Y998" s="223" t="str">
        <f>'[4]Development - i'!E997</f>
        <v xml:space="preserve">a) 50 mm dia  GI pipe (Above Ground Level)    </v>
      </c>
      <c r="Z998" s="223" t="str">
        <f t="shared" si="54"/>
        <v>-----------------------</v>
      </c>
      <c r="AB998" s="241" t="s">
        <v>2274</v>
      </c>
    </row>
    <row r="999" spans="1:28" s="241" customFormat="1">
      <c r="A999" s="345"/>
      <c r="B999" s="306"/>
      <c r="C999" s="306"/>
      <c r="D999" s="235"/>
      <c r="E999" s="254" t="s">
        <v>1406</v>
      </c>
      <c r="F999" s="254" t="s">
        <v>1406</v>
      </c>
      <c r="G999" s="298">
        <f>'[3]water pipe data'!F480</f>
        <v>420.71</v>
      </c>
      <c r="H999" s="298" t="s">
        <v>12</v>
      </c>
      <c r="I999" s="300"/>
      <c r="J999" s="300"/>
      <c r="K999" s="270"/>
      <c r="L999" s="301"/>
      <c r="M999" s="270"/>
      <c r="N999" s="270"/>
      <c r="O999" s="270"/>
      <c r="P999" s="270"/>
      <c r="Q999" s="270"/>
      <c r="R999" s="270"/>
      <c r="S999" s="270"/>
      <c r="T999" s="301"/>
      <c r="U999" s="270"/>
      <c r="V999" s="240"/>
      <c r="W999" s="238"/>
      <c r="Y999" s="223" t="str">
        <f>'[4]Development - i'!E998</f>
        <v xml:space="preserve">b)50 mm dia  GI pipe (Below Ground Level) </v>
      </c>
      <c r="Z999" s="223" t="str">
        <f t="shared" si="54"/>
        <v>-----------------------</v>
      </c>
    </row>
    <row r="1000" spans="1:28" s="241" customFormat="1" ht="46.5">
      <c r="A1000" s="345"/>
      <c r="B1000" s="314" t="s">
        <v>1407</v>
      </c>
      <c r="C1000" s="314" t="s">
        <v>1407</v>
      </c>
      <c r="D1000" s="235" t="str">
        <f t="shared" si="56"/>
        <v xml:space="preserve"> OK</v>
      </c>
      <c r="E1000" s="254" t="s">
        <v>1407</v>
      </c>
      <c r="F1000" s="254" t="s">
        <v>1407</v>
      </c>
      <c r="G1000" s="298"/>
      <c r="H1000" s="298"/>
      <c r="I1000" s="300"/>
      <c r="J1000" s="300"/>
      <c r="K1000" s="270"/>
      <c r="L1000" s="301"/>
      <c r="M1000" s="270"/>
      <c r="N1000" s="270"/>
      <c r="O1000" s="270"/>
      <c r="P1000" s="270"/>
      <c r="Q1000" s="270"/>
      <c r="R1000" s="270"/>
      <c r="S1000" s="270"/>
      <c r="T1000" s="301"/>
      <c r="U1000" s="270"/>
      <c r="V1000" s="240"/>
      <c r="W1000" s="238">
        <f t="shared" si="55"/>
        <v>0</v>
      </c>
      <c r="Y1000" s="223" t="str">
        <f>'[4]Development - i'!E999</f>
        <v>Labour charges for following dia of PVC pipes (Below Ground level)</v>
      </c>
      <c r="Z1000" s="223" t="str">
        <f t="shared" si="54"/>
        <v>-----------------------</v>
      </c>
    </row>
    <row r="1001" spans="1:28" s="241" customFormat="1">
      <c r="A1001" s="345"/>
      <c r="B1001" s="306" t="s">
        <v>1400</v>
      </c>
      <c r="C1001" s="306" t="s">
        <v>1400</v>
      </c>
      <c r="D1001" s="235" t="str">
        <f t="shared" si="56"/>
        <v xml:space="preserve"> OK</v>
      </c>
      <c r="E1001" s="254" t="s">
        <v>1400</v>
      </c>
      <c r="F1001" s="254" t="s">
        <v>1400</v>
      </c>
      <c r="G1001" s="298">
        <v>68.319999999999993</v>
      </c>
      <c r="H1001" s="298" t="s">
        <v>12</v>
      </c>
      <c r="I1001" s="300"/>
      <c r="J1001" s="300"/>
      <c r="K1001" s="270"/>
      <c r="L1001" s="301"/>
      <c r="M1001" s="270"/>
      <c r="N1001" s="270"/>
      <c r="O1001" s="270"/>
      <c r="P1001" s="270"/>
      <c r="Q1001" s="270"/>
      <c r="R1001" s="270"/>
      <c r="S1001" s="270"/>
      <c r="T1001" s="301"/>
      <c r="U1001" s="270"/>
      <c r="V1001" s="240"/>
      <c r="W1001" s="238">
        <f t="shared" si="55"/>
        <v>0</v>
      </c>
      <c r="Y1001" s="223" t="str">
        <f>'[4]Development - i'!E1000</f>
        <v>a) 50mm PVC 10 Kg/Cm² pipe</v>
      </c>
      <c r="Z1001" s="223" t="str">
        <f t="shared" si="54"/>
        <v>-----------------------</v>
      </c>
    </row>
    <row r="1002" spans="1:28" s="241" customFormat="1">
      <c r="A1002" s="345"/>
      <c r="B1002" s="306" t="s">
        <v>1408</v>
      </c>
      <c r="C1002" s="306" t="s">
        <v>1408</v>
      </c>
      <c r="D1002" s="235" t="str">
        <f t="shared" si="56"/>
        <v xml:space="preserve"> OK</v>
      </c>
      <c r="E1002" s="254" t="s">
        <v>1408</v>
      </c>
      <c r="F1002" s="254" t="s">
        <v>1408</v>
      </c>
      <c r="G1002" s="298">
        <v>62.2</v>
      </c>
      <c r="H1002" s="298" t="s">
        <v>12</v>
      </c>
      <c r="I1002" s="300"/>
      <c r="J1002" s="300"/>
      <c r="K1002" s="270"/>
      <c r="L1002" s="301"/>
      <c r="M1002" s="270"/>
      <c r="N1002" s="270"/>
      <c r="O1002" s="270"/>
      <c r="P1002" s="270"/>
      <c r="Q1002" s="270"/>
      <c r="R1002" s="270"/>
      <c r="S1002" s="270"/>
      <c r="T1002" s="301"/>
      <c r="U1002" s="270"/>
      <c r="V1002" s="240"/>
      <c r="W1002" s="238">
        <f t="shared" si="55"/>
        <v>0</v>
      </c>
      <c r="Y1002" s="223" t="str">
        <f>'[4]Development - i'!E1001</f>
        <v>b) 40 mm pvc  pipe</v>
      </c>
      <c r="Z1002" s="223" t="str">
        <f t="shared" si="54"/>
        <v>-----------------------</v>
      </c>
    </row>
    <row r="1003" spans="1:28" s="241" customFormat="1" ht="46.5">
      <c r="A1003" s="345"/>
      <c r="B1003" s="314" t="s">
        <v>1409</v>
      </c>
      <c r="C1003" s="314" t="s">
        <v>1409</v>
      </c>
      <c r="D1003" s="235" t="str">
        <f t="shared" si="56"/>
        <v xml:space="preserve"> OK</v>
      </c>
      <c r="E1003" s="254" t="s">
        <v>1409</v>
      </c>
      <c r="F1003" s="254" t="s">
        <v>1409</v>
      </c>
      <c r="G1003" s="298"/>
      <c r="H1003" s="298"/>
      <c r="I1003" s="300"/>
      <c r="J1003" s="300"/>
      <c r="K1003" s="270"/>
      <c r="L1003" s="301"/>
      <c r="M1003" s="270"/>
      <c r="N1003" s="270"/>
      <c r="O1003" s="270"/>
      <c r="P1003" s="270"/>
      <c r="Q1003" s="270"/>
      <c r="R1003" s="270"/>
      <c r="S1003" s="270"/>
      <c r="T1003" s="301"/>
      <c r="U1003" s="270"/>
      <c r="V1003" s="240"/>
      <c r="W1003" s="238">
        <f t="shared" si="55"/>
        <v>0</v>
      </c>
      <c r="Y1003" s="223" t="str">
        <f>'[4]Development - i'!E1002</f>
        <v>Labour charges for following dia of GI pipes (Below Ground level)</v>
      </c>
      <c r="Z1003" s="223" t="str">
        <f t="shared" si="54"/>
        <v>-----------------------</v>
      </c>
    </row>
    <row r="1004" spans="1:28" s="241" customFormat="1">
      <c r="A1004" s="345"/>
      <c r="B1004" s="306" t="s">
        <v>1410</v>
      </c>
      <c r="C1004" s="306" t="s">
        <v>1410</v>
      </c>
      <c r="D1004" s="235" t="str">
        <f t="shared" si="56"/>
        <v xml:space="preserve"> OK</v>
      </c>
      <c r="E1004" s="254" t="s">
        <v>1410</v>
      </c>
      <c r="F1004" s="254" t="s">
        <v>1410</v>
      </c>
      <c r="G1004" s="298">
        <v>72.180000000000007</v>
      </c>
      <c r="H1004" s="298" t="s">
        <v>12</v>
      </c>
      <c r="I1004" s="300"/>
      <c r="J1004" s="300"/>
      <c r="K1004" s="270"/>
      <c r="L1004" s="301"/>
      <c r="M1004" s="270"/>
      <c r="N1004" s="270"/>
      <c r="O1004" s="270"/>
      <c r="P1004" s="270"/>
      <c r="Q1004" s="270"/>
      <c r="R1004" s="270"/>
      <c r="S1004" s="270"/>
      <c r="T1004" s="301"/>
      <c r="U1004" s="270"/>
      <c r="V1004" s="240"/>
      <c r="W1004" s="238">
        <f t="shared" si="55"/>
        <v>0</v>
      </c>
      <c r="Y1004" s="223" t="str">
        <f>'[4]Development - i'!E1003</f>
        <v>a) 65mm dia G.I pipe</v>
      </c>
      <c r="Z1004" s="223" t="str">
        <f t="shared" si="54"/>
        <v>-----------------------</v>
      </c>
    </row>
    <row r="1005" spans="1:28" s="241" customFormat="1">
      <c r="A1005" s="345"/>
      <c r="B1005" s="306" t="s">
        <v>1411</v>
      </c>
      <c r="C1005" s="306" t="s">
        <v>1411</v>
      </c>
      <c r="D1005" s="235" t="str">
        <f t="shared" si="56"/>
        <v xml:space="preserve"> OK</v>
      </c>
      <c r="E1005" s="254" t="s">
        <v>1411</v>
      </c>
      <c r="F1005" s="254" t="s">
        <v>1411</v>
      </c>
      <c r="G1005" s="298">
        <v>70</v>
      </c>
      <c r="H1005" s="298" t="s">
        <v>12</v>
      </c>
      <c r="I1005" s="300"/>
      <c r="J1005" s="300"/>
      <c r="K1005" s="270"/>
      <c r="L1005" s="301"/>
      <c r="M1005" s="270"/>
      <c r="N1005" s="270"/>
      <c r="O1005" s="270"/>
      <c r="P1005" s="270"/>
      <c r="Q1005" s="270"/>
      <c r="R1005" s="270"/>
      <c r="S1005" s="270"/>
      <c r="T1005" s="301"/>
      <c r="U1005" s="270"/>
      <c r="V1005" s="240"/>
      <c r="W1005" s="238">
        <f t="shared" si="55"/>
        <v>0</v>
      </c>
      <c r="Y1005" s="223" t="str">
        <f>'[4]Development - i'!E1004</f>
        <v>b) 50mm dia  G.I pipe</v>
      </c>
      <c r="Z1005" s="223" t="str">
        <f t="shared" si="54"/>
        <v>-----------------------</v>
      </c>
    </row>
    <row r="1006" spans="1:28" s="241" customFormat="1" ht="46.5">
      <c r="A1006" s="345"/>
      <c r="B1006" s="314" t="s">
        <v>1412</v>
      </c>
      <c r="C1006" s="314" t="s">
        <v>1412</v>
      </c>
      <c r="D1006" s="235" t="str">
        <f t="shared" si="56"/>
        <v xml:space="preserve"> OK</v>
      </c>
      <c r="E1006" s="254" t="s">
        <v>1412</v>
      </c>
      <c r="F1006" s="254" t="s">
        <v>1412</v>
      </c>
      <c r="G1006" s="298"/>
      <c r="H1006" s="298"/>
      <c r="I1006" s="300"/>
      <c r="J1006" s="300"/>
      <c r="K1006" s="270"/>
      <c r="L1006" s="301"/>
      <c r="M1006" s="270"/>
      <c r="N1006" s="270"/>
      <c r="O1006" s="270"/>
      <c r="P1006" s="270"/>
      <c r="Q1006" s="270"/>
      <c r="R1006" s="270"/>
      <c r="S1006" s="270"/>
      <c r="T1006" s="301"/>
      <c r="U1006" s="270"/>
      <c r="V1006" s="240"/>
      <c r="W1006" s="238">
        <f t="shared" si="55"/>
        <v>0</v>
      </c>
      <c r="Y1006" s="223" t="str">
        <f>'[4]Development - i'!E1005</f>
        <v>Supply and delivery of following dia of PVC specials</v>
      </c>
      <c r="Z1006" s="223" t="str">
        <f t="shared" si="54"/>
        <v>-----------------------</v>
      </c>
    </row>
    <row r="1007" spans="1:28" s="241" customFormat="1">
      <c r="A1007" s="345"/>
      <c r="B1007" s="306" t="s">
        <v>1413</v>
      </c>
      <c r="C1007" s="306" t="s">
        <v>1413</v>
      </c>
      <c r="D1007" s="235" t="str">
        <f t="shared" si="56"/>
        <v xml:space="preserve"> OK</v>
      </c>
      <c r="E1007" s="254" t="s">
        <v>1413</v>
      </c>
      <c r="F1007" s="254" t="s">
        <v>1413</v>
      </c>
      <c r="G1007" s="298">
        <v>12.2</v>
      </c>
      <c r="H1007" s="298" t="s">
        <v>556</v>
      </c>
      <c r="I1007" s="300"/>
      <c r="J1007" s="300"/>
      <c r="K1007" s="270"/>
      <c r="L1007" s="301"/>
      <c r="M1007" s="270"/>
      <c r="N1007" s="270"/>
      <c r="O1007" s="270"/>
      <c r="P1007" s="270"/>
      <c r="Q1007" s="270"/>
      <c r="R1007" s="270"/>
      <c r="S1007" s="270"/>
      <c r="T1007" s="301"/>
      <c r="U1007" s="270"/>
      <c r="V1007" s="240"/>
      <c r="W1007" s="238">
        <f t="shared" si="55"/>
        <v>0</v>
      </c>
      <c r="Y1007" s="223" t="str">
        <f>'[4]Development - i'!E1006</f>
        <v xml:space="preserve">a) 50mm dia PVC Coupling </v>
      </c>
      <c r="Z1007" s="223" t="str">
        <f t="shared" si="54"/>
        <v>-----------------------</v>
      </c>
    </row>
    <row r="1008" spans="1:28" s="241" customFormat="1">
      <c r="A1008" s="345"/>
      <c r="B1008" s="306" t="s">
        <v>1414</v>
      </c>
      <c r="C1008" s="306" t="s">
        <v>1414</v>
      </c>
      <c r="D1008" s="235" t="str">
        <f t="shared" si="56"/>
        <v xml:space="preserve"> OK</v>
      </c>
      <c r="E1008" s="254" t="s">
        <v>1414</v>
      </c>
      <c r="F1008" s="254" t="s">
        <v>1414</v>
      </c>
      <c r="G1008" s="298">
        <v>24.5</v>
      </c>
      <c r="H1008" s="298" t="s">
        <v>556</v>
      </c>
      <c r="I1008" s="300"/>
      <c r="J1008" s="300"/>
      <c r="K1008" s="270"/>
      <c r="L1008" s="301"/>
      <c r="M1008" s="270"/>
      <c r="N1008" s="270"/>
      <c r="O1008" s="270"/>
      <c r="P1008" s="270"/>
      <c r="Q1008" s="270"/>
      <c r="R1008" s="270"/>
      <c r="S1008" s="270"/>
      <c r="T1008" s="301"/>
      <c r="U1008" s="270"/>
      <c r="V1008" s="240"/>
      <c r="W1008" s="238">
        <f t="shared" si="55"/>
        <v>0</v>
      </c>
      <c r="Y1008" s="223" t="str">
        <f>'[4]Development - i'!E1007</f>
        <v xml:space="preserve">b) 50mm dia PVC Elbow </v>
      </c>
      <c r="Z1008" s="223" t="str">
        <f t="shared" si="54"/>
        <v>-----------------------</v>
      </c>
    </row>
    <row r="1009" spans="1:26" s="241" customFormat="1">
      <c r="A1009" s="345"/>
      <c r="B1009" s="306" t="s">
        <v>1415</v>
      </c>
      <c r="C1009" s="306" t="s">
        <v>1415</v>
      </c>
      <c r="D1009" s="235" t="str">
        <f t="shared" si="56"/>
        <v xml:space="preserve"> OK</v>
      </c>
      <c r="E1009" s="254" t="s">
        <v>1415</v>
      </c>
      <c r="F1009" s="254" t="s">
        <v>1415</v>
      </c>
      <c r="G1009" s="298">
        <v>36.799999999999997</v>
      </c>
      <c r="H1009" s="298" t="s">
        <v>556</v>
      </c>
      <c r="I1009" s="300"/>
      <c r="J1009" s="300"/>
      <c r="K1009" s="270"/>
      <c r="L1009" s="301"/>
      <c r="M1009" s="270"/>
      <c r="N1009" s="270"/>
      <c r="O1009" s="270"/>
      <c r="P1009" s="270"/>
      <c r="Q1009" s="270"/>
      <c r="R1009" s="270"/>
      <c r="S1009" s="270"/>
      <c r="T1009" s="301"/>
      <c r="U1009" s="270"/>
      <c r="V1009" s="240"/>
      <c r="W1009" s="238">
        <f t="shared" si="55"/>
        <v>0</v>
      </c>
      <c r="Y1009" s="223" t="str">
        <f>'[4]Development - i'!E1008</f>
        <v xml:space="preserve">c) 50mm dia PVC Tee </v>
      </c>
      <c r="Z1009" s="223" t="str">
        <f t="shared" si="54"/>
        <v>-----------------------</v>
      </c>
    </row>
    <row r="1010" spans="1:26" s="241" customFormat="1">
      <c r="A1010" s="345"/>
      <c r="B1010" s="306" t="s">
        <v>1416</v>
      </c>
      <c r="C1010" s="306" t="s">
        <v>1416</v>
      </c>
      <c r="D1010" s="235" t="str">
        <f t="shared" si="56"/>
        <v xml:space="preserve"> OK</v>
      </c>
      <c r="E1010" s="254" t="s">
        <v>1416</v>
      </c>
      <c r="F1010" s="254" t="s">
        <v>1416</v>
      </c>
      <c r="G1010" s="298">
        <v>11.4</v>
      </c>
      <c r="H1010" s="298" t="s">
        <v>556</v>
      </c>
      <c r="I1010" s="300"/>
      <c r="J1010" s="300"/>
      <c r="K1010" s="270"/>
      <c r="L1010" s="301"/>
      <c r="M1010" s="270"/>
      <c r="N1010" s="270"/>
      <c r="O1010" s="270"/>
      <c r="P1010" s="270"/>
      <c r="Q1010" s="270"/>
      <c r="R1010" s="270"/>
      <c r="S1010" s="270"/>
      <c r="T1010" s="301"/>
      <c r="U1010" s="270"/>
      <c r="V1010" s="240"/>
      <c r="W1010" s="238">
        <f t="shared" si="55"/>
        <v>0</v>
      </c>
      <c r="Y1010" s="223" t="str">
        <f>'[4]Development - i'!E1009</f>
        <v>d) 40 x 32 mm dia PVC Reducer</v>
      </c>
      <c r="Z1010" s="223" t="str">
        <f t="shared" si="54"/>
        <v>-----------------------</v>
      </c>
    </row>
    <row r="1011" spans="1:26" s="241" customFormat="1">
      <c r="A1011" s="345"/>
      <c r="B1011" s="306" t="s">
        <v>1417</v>
      </c>
      <c r="C1011" s="306" t="s">
        <v>1417</v>
      </c>
      <c r="D1011" s="235" t="str">
        <f t="shared" si="56"/>
        <v xml:space="preserve"> OK</v>
      </c>
      <c r="E1011" s="254" t="s">
        <v>1417</v>
      </c>
      <c r="F1011" s="254" t="s">
        <v>1417</v>
      </c>
      <c r="G1011" s="298">
        <v>240</v>
      </c>
      <c r="H1011" s="298" t="s">
        <v>556</v>
      </c>
      <c r="I1011" s="300"/>
      <c r="J1011" s="300"/>
      <c r="K1011" s="270"/>
      <c r="L1011" s="301"/>
      <c r="M1011" s="270"/>
      <c r="N1011" s="270"/>
      <c r="O1011" s="270"/>
      <c r="P1011" s="270"/>
      <c r="Q1011" s="270"/>
      <c r="R1011" s="270"/>
      <c r="S1011" s="270"/>
      <c r="T1011" s="301"/>
      <c r="U1011" s="270"/>
      <c r="V1011" s="240"/>
      <c r="W1011" s="238">
        <f t="shared" si="55"/>
        <v>0</v>
      </c>
      <c r="Y1011" s="223" t="str">
        <f>'[4]Development - i'!E1010</f>
        <v>e) 50 mm pvc  union</v>
      </c>
      <c r="Z1011" s="223" t="str">
        <f t="shared" si="54"/>
        <v>-----------------------</v>
      </c>
    </row>
    <row r="1012" spans="1:26" s="241" customFormat="1">
      <c r="A1012" s="345"/>
      <c r="B1012" s="306" t="s">
        <v>1418</v>
      </c>
      <c r="C1012" s="306" t="s">
        <v>1418</v>
      </c>
      <c r="D1012" s="235" t="str">
        <f t="shared" si="56"/>
        <v xml:space="preserve"> OK</v>
      </c>
      <c r="E1012" s="254" t="s">
        <v>1418</v>
      </c>
      <c r="F1012" s="254" t="s">
        <v>1418</v>
      </c>
      <c r="G1012" s="298">
        <v>24.5</v>
      </c>
      <c r="H1012" s="298" t="s">
        <v>556</v>
      </c>
      <c r="I1012" s="300"/>
      <c r="J1012" s="300"/>
      <c r="K1012" s="270"/>
      <c r="L1012" s="301"/>
      <c r="M1012" s="270"/>
      <c r="N1012" s="270"/>
      <c r="O1012" s="270"/>
      <c r="P1012" s="270"/>
      <c r="Q1012" s="270"/>
      <c r="R1012" s="270"/>
      <c r="S1012" s="270"/>
      <c r="T1012" s="301"/>
      <c r="U1012" s="270"/>
      <c r="V1012" s="240"/>
      <c r="W1012" s="238">
        <f t="shared" si="55"/>
        <v>0</v>
      </c>
      <c r="Y1012" s="223" t="str">
        <f>'[4]Development - i'!E1011</f>
        <v>f) 40 mm  Tee</v>
      </c>
      <c r="Z1012" s="223" t="str">
        <f t="shared" si="54"/>
        <v>-----------------------</v>
      </c>
    </row>
    <row r="1013" spans="1:26" s="241" customFormat="1">
      <c r="A1013" s="345"/>
      <c r="B1013" s="306" t="s">
        <v>1419</v>
      </c>
      <c r="C1013" s="306" t="s">
        <v>1419</v>
      </c>
      <c r="D1013" s="235" t="str">
        <f t="shared" si="56"/>
        <v xml:space="preserve"> OK</v>
      </c>
      <c r="E1013" s="254" t="s">
        <v>1419</v>
      </c>
      <c r="F1013" s="254" t="s">
        <v>1419</v>
      </c>
      <c r="G1013" s="298">
        <v>17.2</v>
      </c>
      <c r="H1013" s="298" t="s">
        <v>556</v>
      </c>
      <c r="I1013" s="300"/>
      <c r="J1013" s="300"/>
      <c r="K1013" s="270"/>
      <c r="L1013" s="301"/>
      <c r="M1013" s="270"/>
      <c r="N1013" s="270"/>
      <c r="O1013" s="270"/>
      <c r="P1013" s="270"/>
      <c r="Q1013" s="270"/>
      <c r="R1013" s="270"/>
      <c r="S1013" s="270"/>
      <c r="T1013" s="301"/>
      <c r="U1013" s="270"/>
      <c r="V1013" s="240"/>
      <c r="W1013" s="238">
        <f t="shared" si="55"/>
        <v>0</v>
      </c>
      <c r="Y1013" s="223" t="str">
        <f>'[4]Development - i'!E1012</f>
        <v>g) 40 mm Elbow</v>
      </c>
      <c r="Z1013" s="223" t="str">
        <f t="shared" si="54"/>
        <v>-----------------------</v>
      </c>
    </row>
    <row r="1014" spans="1:26" s="241" customFormat="1">
      <c r="A1014" s="345"/>
      <c r="B1014" s="306" t="s">
        <v>1420</v>
      </c>
      <c r="C1014" s="306" t="s">
        <v>1420</v>
      </c>
      <c r="D1014" s="235" t="str">
        <f t="shared" si="56"/>
        <v xml:space="preserve"> OK</v>
      </c>
      <c r="E1014" s="254" t="s">
        <v>1420</v>
      </c>
      <c r="F1014" s="254" t="s">
        <v>1420</v>
      </c>
      <c r="G1014" s="298">
        <v>112.8</v>
      </c>
      <c r="H1014" s="298" t="s">
        <v>556</v>
      </c>
      <c r="I1014" s="300"/>
      <c r="J1014" s="300"/>
      <c r="K1014" s="270"/>
      <c r="L1014" s="301"/>
      <c r="M1014" s="270"/>
      <c r="N1014" s="270"/>
      <c r="O1014" s="270"/>
      <c r="P1014" s="270"/>
      <c r="Q1014" s="270"/>
      <c r="R1014" s="270"/>
      <c r="S1014" s="270"/>
      <c r="T1014" s="301"/>
      <c r="U1014" s="270"/>
      <c r="V1014" s="240"/>
      <c r="W1014" s="238">
        <f t="shared" si="55"/>
        <v>0</v>
      </c>
      <c r="Y1014" s="223" t="str">
        <f>'[4]Development - i'!E1013</f>
        <v>h) 40 mm union</v>
      </c>
      <c r="Z1014" s="223" t="str">
        <f t="shared" si="54"/>
        <v>-----------------------</v>
      </c>
    </row>
    <row r="1015" spans="1:26" s="241" customFormat="1" ht="46.5">
      <c r="A1015" s="345"/>
      <c r="B1015" s="314" t="s">
        <v>1421</v>
      </c>
      <c r="C1015" s="314" t="s">
        <v>1421</v>
      </c>
      <c r="D1015" s="235" t="str">
        <f t="shared" si="56"/>
        <v xml:space="preserve"> OK</v>
      </c>
      <c r="E1015" s="254" t="s">
        <v>1421</v>
      </c>
      <c r="F1015" s="254" t="s">
        <v>1421</v>
      </c>
      <c r="G1015" s="298"/>
      <c r="H1015" s="298"/>
      <c r="I1015" s="300"/>
      <c r="J1015" s="300"/>
      <c r="K1015" s="270"/>
      <c r="L1015" s="301"/>
      <c r="M1015" s="270"/>
      <c r="N1015" s="270"/>
      <c r="O1015" s="270"/>
      <c r="P1015" s="270"/>
      <c r="Q1015" s="270"/>
      <c r="R1015" s="270"/>
      <c r="S1015" s="270"/>
      <c r="T1015" s="301"/>
      <c r="U1015" s="270"/>
      <c r="V1015" s="240"/>
      <c r="W1015" s="238">
        <f t="shared" si="55"/>
        <v>0</v>
      </c>
      <c r="Y1015" s="223" t="str">
        <f>'[4]Development - i'!E1014</f>
        <v>Supplying and delivery of following dia of G.I specials</v>
      </c>
      <c r="Z1015" s="223" t="str">
        <f t="shared" si="54"/>
        <v>-----------------------</v>
      </c>
    </row>
    <row r="1016" spans="1:26" s="241" customFormat="1">
      <c r="A1016" s="345"/>
      <c r="B1016" s="306" t="s">
        <v>1422</v>
      </c>
      <c r="C1016" s="306" t="s">
        <v>1422</v>
      </c>
      <c r="D1016" s="235" t="str">
        <f t="shared" si="56"/>
        <v xml:space="preserve"> OK</v>
      </c>
      <c r="E1016" s="254" t="s">
        <v>1422</v>
      </c>
      <c r="F1016" s="254" t="s">
        <v>1422</v>
      </c>
      <c r="G1016" s="298">
        <v>115.2</v>
      </c>
      <c r="H1016" s="298" t="s">
        <v>556</v>
      </c>
      <c r="I1016" s="300"/>
      <c r="J1016" s="300"/>
      <c r="K1016" s="270"/>
      <c r="L1016" s="301"/>
      <c r="M1016" s="270"/>
      <c r="N1016" s="270"/>
      <c r="O1016" s="270"/>
      <c r="P1016" s="270"/>
      <c r="Q1016" s="270"/>
      <c r="R1016" s="270"/>
      <c r="S1016" s="270"/>
      <c r="T1016" s="301"/>
      <c r="U1016" s="270"/>
      <c r="V1016" s="240"/>
      <c r="W1016" s="238">
        <f t="shared" si="55"/>
        <v>0</v>
      </c>
      <c r="Y1016" s="223" t="str">
        <f>'[4]Development - i'!E1015</f>
        <v>a) 50mm dia G.I Bend</v>
      </c>
      <c r="Z1016" s="223" t="str">
        <f t="shared" si="54"/>
        <v>-----------------------</v>
      </c>
    </row>
    <row r="1017" spans="1:26" s="241" customFormat="1">
      <c r="A1017" s="345"/>
      <c r="B1017" s="306" t="s">
        <v>1423</v>
      </c>
      <c r="C1017" s="306" t="s">
        <v>1423</v>
      </c>
      <c r="D1017" s="235" t="str">
        <f t="shared" si="56"/>
        <v xml:space="preserve"> OK</v>
      </c>
      <c r="E1017" s="254" t="s">
        <v>1423</v>
      </c>
      <c r="F1017" s="254" t="s">
        <v>1423</v>
      </c>
      <c r="G1017" s="298">
        <v>263.7</v>
      </c>
      <c r="H1017" s="298" t="s">
        <v>556</v>
      </c>
      <c r="I1017" s="300"/>
      <c r="J1017" s="300"/>
      <c r="K1017" s="270"/>
      <c r="L1017" s="301"/>
      <c r="M1017" s="270"/>
      <c r="N1017" s="270"/>
      <c r="O1017" s="270"/>
      <c r="P1017" s="270"/>
      <c r="Q1017" s="270"/>
      <c r="R1017" s="270"/>
      <c r="S1017" s="270"/>
      <c r="T1017" s="301"/>
      <c r="U1017" s="270"/>
      <c r="V1017" s="240"/>
      <c r="W1017" s="238">
        <f t="shared" si="55"/>
        <v>0</v>
      </c>
      <c r="Y1017" s="223" t="str">
        <f>'[4]Development - i'!E1016</f>
        <v>b) 50mm dia G.I Union</v>
      </c>
      <c r="Z1017" s="223" t="str">
        <f t="shared" si="54"/>
        <v>-----------------------</v>
      </c>
    </row>
    <row r="1018" spans="1:26" s="241" customFormat="1">
      <c r="A1018" s="345"/>
      <c r="B1018" s="306" t="s">
        <v>1424</v>
      </c>
      <c r="C1018" s="306" t="s">
        <v>1424</v>
      </c>
      <c r="D1018" s="235" t="str">
        <f t="shared" si="56"/>
        <v xml:space="preserve"> OK</v>
      </c>
      <c r="E1018" s="254" t="s">
        <v>1424</v>
      </c>
      <c r="F1018" s="254" t="s">
        <v>1424</v>
      </c>
      <c r="G1018" s="298">
        <v>86.2</v>
      </c>
      <c r="H1018" s="298" t="s">
        <v>556</v>
      </c>
      <c r="I1018" s="300"/>
      <c r="J1018" s="300"/>
      <c r="K1018" s="270"/>
      <c r="L1018" s="301"/>
      <c r="M1018" s="270"/>
      <c r="N1018" s="270"/>
      <c r="O1018" s="270"/>
      <c r="P1018" s="270"/>
      <c r="Q1018" s="270"/>
      <c r="R1018" s="270"/>
      <c r="S1018" s="270"/>
      <c r="T1018" s="301"/>
      <c r="U1018" s="270"/>
      <c r="V1018" s="240"/>
      <c r="W1018" s="238">
        <f t="shared" si="55"/>
        <v>0</v>
      </c>
      <c r="Y1018" s="223" t="str">
        <f>'[4]Development - i'!E1017</f>
        <v>c) 50mm dia G.I Hex Nipple</v>
      </c>
      <c r="Z1018" s="223" t="str">
        <f t="shared" si="54"/>
        <v>-----------------------</v>
      </c>
    </row>
    <row r="1019" spans="1:26" s="241" customFormat="1">
      <c r="A1019" s="345"/>
      <c r="B1019" s="306" t="s">
        <v>1425</v>
      </c>
      <c r="C1019" s="306" t="s">
        <v>1425</v>
      </c>
      <c r="D1019" s="235" t="str">
        <f t="shared" si="56"/>
        <v xml:space="preserve"> OK</v>
      </c>
      <c r="E1019" s="254" t="s">
        <v>1425</v>
      </c>
      <c r="F1019" s="254" t="s">
        <v>1425</v>
      </c>
      <c r="G1019" s="298">
        <v>569</v>
      </c>
      <c r="H1019" s="298" t="s">
        <v>556</v>
      </c>
      <c r="I1019" s="300"/>
      <c r="J1019" s="300"/>
      <c r="K1019" s="270"/>
      <c r="L1019" s="301"/>
      <c r="M1019" s="270"/>
      <c r="N1019" s="270"/>
      <c r="O1019" s="270"/>
      <c r="P1019" s="270"/>
      <c r="Q1019" s="270"/>
      <c r="R1019" s="270"/>
      <c r="S1019" s="270"/>
      <c r="T1019" s="301"/>
      <c r="U1019" s="270"/>
      <c r="V1019" s="240"/>
      <c r="W1019" s="238">
        <f t="shared" si="55"/>
        <v>0</v>
      </c>
      <c r="Y1019" s="223" t="str">
        <f>'[4]Development - i'!E1018</f>
        <v>d) 63mm dia  Foot Valve</v>
      </c>
      <c r="Z1019" s="223" t="str">
        <f t="shared" si="54"/>
        <v>-----------------------</v>
      </c>
    </row>
    <row r="1020" spans="1:26" s="241" customFormat="1">
      <c r="A1020" s="345"/>
      <c r="B1020" s="306" t="s">
        <v>1426</v>
      </c>
      <c r="C1020" s="306" t="s">
        <v>1426</v>
      </c>
      <c r="D1020" s="235" t="str">
        <f t="shared" si="56"/>
        <v xml:space="preserve"> OK</v>
      </c>
      <c r="E1020" s="254" t="s">
        <v>1426</v>
      </c>
      <c r="F1020" s="254" t="s">
        <v>1426</v>
      </c>
      <c r="G1020" s="298">
        <v>138.5</v>
      </c>
      <c r="H1020" s="298" t="s">
        <v>556</v>
      </c>
      <c r="I1020" s="300"/>
      <c r="J1020" s="300"/>
      <c r="K1020" s="270"/>
      <c r="L1020" s="301"/>
      <c r="M1020" s="270"/>
      <c r="N1020" s="270"/>
      <c r="O1020" s="270"/>
      <c r="P1020" s="270"/>
      <c r="Q1020" s="270"/>
      <c r="R1020" s="270"/>
      <c r="S1020" s="270"/>
      <c r="T1020" s="301"/>
      <c r="U1020" s="270"/>
      <c r="V1020" s="240"/>
      <c r="W1020" s="238">
        <f t="shared" si="55"/>
        <v>0</v>
      </c>
      <c r="Y1020" s="223" t="str">
        <f>'[4]Development - i'!E1019</f>
        <v>e) 50mm  dia G.I Tee</v>
      </c>
      <c r="Z1020" s="223" t="str">
        <f t="shared" si="54"/>
        <v>-----------------------</v>
      </c>
    </row>
    <row r="1021" spans="1:26" s="241" customFormat="1">
      <c r="A1021" s="345"/>
      <c r="B1021" s="306" t="s">
        <v>1427</v>
      </c>
      <c r="C1021" s="306" t="s">
        <v>1427</v>
      </c>
      <c r="D1021" s="235" t="str">
        <f t="shared" si="56"/>
        <v xml:space="preserve"> OK</v>
      </c>
      <c r="E1021" s="254" t="s">
        <v>1427</v>
      </c>
      <c r="F1021" s="254" t="s">
        <v>1427</v>
      </c>
      <c r="G1021" s="298">
        <v>1836</v>
      </c>
      <c r="H1021" s="298" t="s">
        <v>556</v>
      </c>
      <c r="I1021" s="300"/>
      <c r="J1021" s="300"/>
      <c r="K1021" s="270"/>
      <c r="L1021" s="301"/>
      <c r="M1021" s="270"/>
      <c r="N1021" s="270"/>
      <c r="O1021" s="270"/>
      <c r="P1021" s="270"/>
      <c r="Q1021" s="270"/>
      <c r="R1021" s="270"/>
      <c r="S1021" s="270"/>
      <c r="T1021" s="301"/>
      <c r="U1021" s="270"/>
      <c r="V1021" s="240"/>
      <c r="W1021" s="238">
        <f t="shared" si="55"/>
        <v>0</v>
      </c>
      <c r="Y1021" s="223" t="str">
        <f>'[4]Development - i'!E1020</f>
        <v>f) 50mm dia GM Non-Return valve</v>
      </c>
      <c r="Z1021" s="223" t="str">
        <f t="shared" si="54"/>
        <v>-----------------------</v>
      </c>
    </row>
    <row r="1022" spans="1:26" s="241" customFormat="1">
      <c r="A1022" s="345"/>
      <c r="B1022" s="306" t="s">
        <v>1428</v>
      </c>
      <c r="C1022" s="306" t="s">
        <v>1428</v>
      </c>
      <c r="D1022" s="235" t="str">
        <f t="shared" si="56"/>
        <v xml:space="preserve"> OK</v>
      </c>
      <c r="E1022" s="254" t="s">
        <v>1428</v>
      </c>
      <c r="F1022" s="254" t="s">
        <v>1428</v>
      </c>
      <c r="G1022" s="298">
        <v>126.3</v>
      </c>
      <c r="H1022" s="298" t="s">
        <v>556</v>
      </c>
      <c r="I1022" s="300"/>
      <c r="J1022" s="300"/>
      <c r="K1022" s="270"/>
      <c r="L1022" s="301"/>
      <c r="M1022" s="270"/>
      <c r="N1022" s="270"/>
      <c r="O1022" s="270"/>
      <c r="P1022" s="270"/>
      <c r="Q1022" s="270"/>
      <c r="R1022" s="270"/>
      <c r="S1022" s="270"/>
      <c r="T1022" s="301"/>
      <c r="U1022" s="270"/>
      <c r="V1022" s="240"/>
      <c r="W1022" s="238">
        <f t="shared" si="55"/>
        <v>0</v>
      </c>
      <c r="Y1022" s="223" t="str">
        <f>'[4]Development - i'!E1021</f>
        <v>g) 32mm dia  G.I Union</v>
      </c>
      <c r="Z1022" s="223" t="str">
        <f t="shared" si="54"/>
        <v>-----------------------</v>
      </c>
    </row>
    <row r="1023" spans="1:26" s="241" customFormat="1">
      <c r="A1023" s="345"/>
      <c r="B1023" s="306" t="s">
        <v>1429</v>
      </c>
      <c r="C1023" s="306" t="s">
        <v>1429</v>
      </c>
      <c r="D1023" s="235" t="str">
        <f t="shared" si="56"/>
        <v xml:space="preserve"> OK</v>
      </c>
      <c r="E1023" s="254" t="s">
        <v>1429</v>
      </c>
      <c r="F1023" s="254" t="s">
        <v>1429</v>
      </c>
      <c r="G1023" s="298">
        <v>57.6</v>
      </c>
      <c r="H1023" s="298" t="s">
        <v>556</v>
      </c>
      <c r="I1023" s="300"/>
      <c r="J1023" s="300"/>
      <c r="K1023" s="270"/>
      <c r="L1023" s="301"/>
      <c r="M1023" s="270"/>
      <c r="N1023" s="270"/>
      <c r="O1023" s="270"/>
      <c r="P1023" s="270"/>
      <c r="Q1023" s="270"/>
      <c r="R1023" s="270"/>
      <c r="S1023" s="270"/>
      <c r="T1023" s="301"/>
      <c r="U1023" s="270"/>
      <c r="V1023" s="240"/>
      <c r="W1023" s="238">
        <f t="shared" si="55"/>
        <v>0</v>
      </c>
      <c r="Y1023" s="223" t="str">
        <f>'[4]Development - i'!E1022</f>
        <v>h) 32mm dia  G.I Hex Nipple</v>
      </c>
      <c r="Z1023" s="223" t="str">
        <f t="shared" si="54"/>
        <v>-----------------------</v>
      </c>
    </row>
    <row r="1024" spans="1:26" s="241" customFormat="1">
      <c r="A1024" s="345"/>
      <c r="B1024" s="306" t="s">
        <v>1430</v>
      </c>
      <c r="C1024" s="306" t="s">
        <v>1430</v>
      </c>
      <c r="D1024" s="235" t="str">
        <f t="shared" si="56"/>
        <v xml:space="preserve"> OK</v>
      </c>
      <c r="E1024" s="254" t="s">
        <v>1430</v>
      </c>
      <c r="F1024" s="254" t="s">
        <v>1430</v>
      </c>
      <c r="G1024" s="298">
        <v>739</v>
      </c>
      <c r="H1024" s="298" t="s">
        <v>556</v>
      </c>
      <c r="I1024" s="300"/>
      <c r="J1024" s="300"/>
      <c r="K1024" s="270"/>
      <c r="L1024" s="301"/>
      <c r="M1024" s="270"/>
      <c r="N1024" s="270"/>
      <c r="O1024" s="270"/>
      <c r="P1024" s="270"/>
      <c r="Q1024" s="270"/>
      <c r="R1024" s="270"/>
      <c r="S1024" s="270"/>
      <c r="T1024" s="301"/>
      <c r="U1024" s="270"/>
      <c r="V1024" s="240"/>
      <c r="W1024" s="238">
        <f t="shared" si="55"/>
        <v>0</v>
      </c>
      <c r="Y1024" s="223" t="str">
        <f>'[4]Development - i'!E1023</f>
        <v>i) 32mm dia GM Gate valve</v>
      </c>
      <c r="Z1024" s="223" t="str">
        <f t="shared" si="54"/>
        <v>-----------------------</v>
      </c>
    </row>
    <row r="1025" spans="1:26" s="241" customFormat="1">
      <c r="A1025" s="345"/>
      <c r="B1025" s="306" t="s">
        <v>1431</v>
      </c>
      <c r="C1025" s="306" t="s">
        <v>1431</v>
      </c>
      <c r="D1025" s="235" t="str">
        <f t="shared" si="56"/>
        <v xml:space="preserve"> OK</v>
      </c>
      <c r="E1025" s="254" t="s">
        <v>1431</v>
      </c>
      <c r="F1025" s="254" t="s">
        <v>1431</v>
      </c>
      <c r="G1025" s="298">
        <v>1205</v>
      </c>
      <c r="H1025" s="298" t="s">
        <v>556</v>
      </c>
      <c r="I1025" s="300"/>
      <c r="J1025" s="300"/>
      <c r="K1025" s="270"/>
      <c r="L1025" s="301"/>
      <c r="M1025" s="270"/>
      <c r="N1025" s="270"/>
      <c r="O1025" s="270"/>
      <c r="P1025" s="270"/>
      <c r="Q1025" s="270"/>
      <c r="R1025" s="270"/>
      <c r="S1025" s="270"/>
      <c r="T1025" s="301"/>
      <c r="U1025" s="270"/>
      <c r="V1025" s="240"/>
      <c r="W1025" s="238">
        <f t="shared" si="55"/>
        <v>0</v>
      </c>
      <c r="Y1025" s="223" t="str">
        <f>'[4]Development - i'!E1024</f>
        <v>j)50mm dia GM Gate valve</v>
      </c>
      <c r="Z1025" s="223" t="str">
        <f t="shared" si="54"/>
        <v>-----------------------</v>
      </c>
    </row>
    <row r="1026" spans="1:26" s="241" customFormat="1">
      <c r="A1026" s="345"/>
      <c r="B1026" s="306" t="s">
        <v>1432</v>
      </c>
      <c r="C1026" s="306" t="s">
        <v>1432</v>
      </c>
      <c r="D1026" s="235" t="str">
        <f t="shared" si="56"/>
        <v xml:space="preserve"> OK</v>
      </c>
      <c r="E1026" s="254" t="s">
        <v>1432</v>
      </c>
      <c r="F1026" s="254" t="s">
        <v>1432</v>
      </c>
      <c r="G1026" s="298">
        <v>577</v>
      </c>
      <c r="H1026" s="298" t="s">
        <v>556</v>
      </c>
      <c r="I1026" s="300"/>
      <c r="J1026" s="300"/>
      <c r="K1026" s="270"/>
      <c r="L1026" s="301"/>
      <c r="M1026" s="270"/>
      <c r="N1026" s="270"/>
      <c r="O1026" s="270"/>
      <c r="P1026" s="270"/>
      <c r="Q1026" s="270"/>
      <c r="R1026" s="270"/>
      <c r="S1026" s="270"/>
      <c r="T1026" s="301"/>
      <c r="U1026" s="270"/>
      <c r="V1026" s="240"/>
      <c r="W1026" s="238">
        <f t="shared" si="55"/>
        <v>0</v>
      </c>
      <c r="Y1026" s="223" t="str">
        <f>'[4]Development - i'!E1025</f>
        <v>k) 25mm dia GM gate valve</v>
      </c>
      <c r="Z1026" s="223" t="str">
        <f t="shared" si="54"/>
        <v>-----------------------</v>
      </c>
    </row>
    <row r="1027" spans="1:26" s="241" customFormat="1">
      <c r="A1027" s="345"/>
      <c r="B1027" s="306" t="s">
        <v>1433</v>
      </c>
      <c r="C1027" s="306" t="s">
        <v>1433</v>
      </c>
      <c r="D1027" s="235" t="str">
        <f t="shared" si="56"/>
        <v xml:space="preserve"> OK</v>
      </c>
      <c r="E1027" s="254" t="s">
        <v>1433</v>
      </c>
      <c r="F1027" s="254" t="s">
        <v>1433</v>
      </c>
      <c r="G1027" s="298">
        <v>86</v>
      </c>
      <c r="H1027" s="298" t="s">
        <v>556</v>
      </c>
      <c r="I1027" s="300"/>
      <c r="J1027" s="300"/>
      <c r="K1027" s="270"/>
      <c r="L1027" s="301"/>
      <c r="M1027" s="270"/>
      <c r="N1027" s="270"/>
      <c r="O1027" s="270"/>
      <c r="P1027" s="270"/>
      <c r="Q1027" s="270"/>
      <c r="R1027" s="270"/>
      <c r="S1027" s="270"/>
      <c r="T1027" s="301"/>
      <c r="U1027" s="270"/>
      <c r="V1027" s="240"/>
      <c r="W1027" s="238">
        <f t="shared" si="55"/>
        <v>0</v>
      </c>
      <c r="Y1027" s="223" t="str">
        <f>'[4]Development - i'!E1026</f>
        <v>l) 63 mm GI Flange set</v>
      </c>
      <c r="Z1027" s="223" t="str">
        <f t="shared" si="54"/>
        <v>-----------------------</v>
      </c>
    </row>
    <row r="1028" spans="1:26" s="241" customFormat="1">
      <c r="A1028" s="345"/>
      <c r="B1028" s="306" t="s">
        <v>1434</v>
      </c>
      <c r="C1028" s="306" t="s">
        <v>1434</v>
      </c>
      <c r="D1028" s="235" t="str">
        <f t="shared" si="56"/>
        <v xml:space="preserve"> OK</v>
      </c>
      <c r="E1028" s="254" t="s">
        <v>1434</v>
      </c>
      <c r="F1028" s="254" t="s">
        <v>1434</v>
      </c>
      <c r="G1028" s="298">
        <v>126.8</v>
      </c>
      <c r="H1028" s="298" t="s">
        <v>556</v>
      </c>
      <c r="I1028" s="300"/>
      <c r="J1028" s="300"/>
      <c r="K1028" s="270"/>
      <c r="L1028" s="301"/>
      <c r="M1028" s="270"/>
      <c r="N1028" s="270"/>
      <c r="O1028" s="270"/>
      <c r="P1028" s="270"/>
      <c r="Q1028" s="270"/>
      <c r="R1028" s="270"/>
      <c r="S1028" s="270"/>
      <c r="T1028" s="301"/>
      <c r="U1028" s="270"/>
      <c r="V1028" s="240"/>
      <c r="W1028" s="238">
        <f t="shared" si="55"/>
        <v>0</v>
      </c>
      <c r="Y1028" s="223" t="str">
        <f>'[4]Development - i'!E1027</f>
        <v>m) 63 mm Elbow</v>
      </c>
      <c r="Z1028" s="223" t="str">
        <f t="shared" si="54"/>
        <v>-----------------------</v>
      </c>
    </row>
    <row r="1029" spans="1:26" s="241" customFormat="1">
      <c r="A1029" s="345"/>
      <c r="B1029" s="306" t="s">
        <v>1435</v>
      </c>
      <c r="C1029" s="306" t="s">
        <v>1435</v>
      </c>
      <c r="D1029" s="235" t="str">
        <f t="shared" si="56"/>
        <v xml:space="preserve"> OK</v>
      </c>
      <c r="E1029" s="254" t="s">
        <v>1435</v>
      </c>
      <c r="F1029" s="254" t="s">
        <v>1435</v>
      </c>
      <c r="G1029" s="298">
        <v>525</v>
      </c>
      <c r="H1029" s="298" t="s">
        <v>556</v>
      </c>
      <c r="I1029" s="300"/>
      <c r="J1029" s="300"/>
      <c r="K1029" s="270"/>
      <c r="L1029" s="301"/>
      <c r="M1029" s="270"/>
      <c r="N1029" s="270"/>
      <c r="O1029" s="270"/>
      <c r="P1029" s="270"/>
      <c r="Q1029" s="270"/>
      <c r="R1029" s="270"/>
      <c r="S1029" s="270"/>
      <c r="T1029" s="301"/>
      <c r="U1029" s="270"/>
      <c r="V1029" s="240"/>
      <c r="W1029" s="238">
        <f t="shared" si="55"/>
        <v>0</v>
      </c>
      <c r="Y1029" s="223" t="str">
        <f>'[4]Development - i'!E1028</f>
        <v>n) 63 mm union</v>
      </c>
      <c r="Z1029" s="223" t="str">
        <f t="shared" si="54"/>
        <v>-----------------------</v>
      </c>
    </row>
    <row r="1030" spans="1:26" s="241" customFormat="1">
      <c r="A1030" s="345"/>
      <c r="B1030" s="306" t="s">
        <v>1436</v>
      </c>
      <c r="C1030" s="306" t="s">
        <v>1436</v>
      </c>
      <c r="D1030" s="235" t="str">
        <f t="shared" si="56"/>
        <v xml:space="preserve"> OK</v>
      </c>
      <c r="E1030" s="254" t="s">
        <v>1436</v>
      </c>
      <c r="F1030" s="254" t="s">
        <v>1436</v>
      </c>
      <c r="G1030" s="298">
        <v>69.2</v>
      </c>
      <c r="H1030" s="298" t="s">
        <v>556</v>
      </c>
      <c r="I1030" s="300"/>
      <c r="J1030" s="300"/>
      <c r="K1030" s="270"/>
      <c r="L1030" s="301"/>
      <c r="M1030" s="270"/>
      <c r="N1030" s="270"/>
      <c r="O1030" s="270"/>
      <c r="P1030" s="270"/>
      <c r="Q1030" s="270"/>
      <c r="R1030" s="270"/>
      <c r="S1030" s="270"/>
      <c r="T1030" s="301"/>
      <c r="U1030" s="270"/>
      <c r="V1030" s="240"/>
      <c r="W1030" s="238">
        <f t="shared" si="55"/>
        <v>0</v>
      </c>
      <c r="Y1030" s="223" t="str">
        <f>'[4]Development - i'!E1029</f>
        <v>o)  50 mm coupling</v>
      </c>
      <c r="Z1030" s="223" t="str">
        <f t="shared" si="54"/>
        <v>-----------------------</v>
      </c>
    </row>
    <row r="1031" spans="1:26" s="241" customFormat="1" ht="46.5">
      <c r="A1031" s="345"/>
      <c r="B1031" s="314" t="s">
        <v>1437</v>
      </c>
      <c r="C1031" s="314" t="s">
        <v>1437</v>
      </c>
      <c r="D1031" s="235" t="str">
        <f t="shared" si="56"/>
        <v xml:space="preserve"> OK</v>
      </c>
      <c r="E1031" s="254" t="s">
        <v>1437</v>
      </c>
      <c r="F1031" s="254" t="s">
        <v>1437</v>
      </c>
      <c r="G1031" s="298"/>
      <c r="H1031" s="298"/>
      <c r="I1031" s="300"/>
      <c r="J1031" s="300"/>
      <c r="K1031" s="270"/>
      <c r="L1031" s="301"/>
      <c r="M1031" s="270"/>
      <c r="N1031" s="270"/>
      <c r="O1031" s="270"/>
      <c r="P1031" s="270"/>
      <c r="Q1031" s="270"/>
      <c r="R1031" s="270"/>
      <c r="S1031" s="270"/>
      <c r="T1031" s="301"/>
      <c r="U1031" s="270"/>
      <c r="V1031" s="240"/>
      <c r="W1031" s="238">
        <f t="shared" si="55"/>
        <v>0</v>
      </c>
      <c r="Y1031" s="223" t="str">
        <f>'[4]Development - i'!E1030</f>
        <v xml:space="preserve">Supplying and delivery of following Dia ASTM pipes </v>
      </c>
      <c r="Z1031" s="223" t="str">
        <f t="shared" si="54"/>
        <v>-----------------------</v>
      </c>
    </row>
    <row r="1032" spans="1:26" s="241" customFormat="1">
      <c r="A1032" s="345"/>
      <c r="B1032" s="306" t="s">
        <v>1438</v>
      </c>
      <c r="C1032" s="306" t="s">
        <v>1438</v>
      </c>
      <c r="D1032" s="235" t="str">
        <f t="shared" si="56"/>
        <v xml:space="preserve"> OK</v>
      </c>
      <c r="E1032" s="254" t="s">
        <v>1438</v>
      </c>
      <c r="F1032" s="254" t="s">
        <v>1438</v>
      </c>
      <c r="G1032" s="298">
        <v>156.69999999999999</v>
      </c>
      <c r="H1032" s="298" t="s">
        <v>12</v>
      </c>
      <c r="I1032" s="300"/>
      <c r="J1032" s="300"/>
      <c r="K1032" s="270"/>
      <c r="L1032" s="301"/>
      <c r="M1032" s="270"/>
      <c r="N1032" s="270"/>
      <c r="O1032" s="270"/>
      <c r="P1032" s="270"/>
      <c r="Q1032" s="270"/>
      <c r="R1032" s="270"/>
      <c r="S1032" s="270"/>
      <c r="T1032" s="301"/>
      <c r="U1032" s="270"/>
      <c r="V1032" s="240"/>
      <c r="W1032" s="238">
        <f t="shared" si="55"/>
        <v>0</v>
      </c>
      <c r="Y1032" s="223" t="str">
        <f>'[4]Development - i'!E1031</f>
        <v>a) 50mm ASTM D schedule 40 threaded</v>
      </c>
      <c r="Z1032" s="223" t="str">
        <f t="shared" si="54"/>
        <v>-----------------------</v>
      </c>
    </row>
    <row r="1033" spans="1:26" s="241" customFormat="1">
      <c r="A1033" s="345"/>
      <c r="B1033" s="306" t="s">
        <v>1439</v>
      </c>
      <c r="C1033" s="306" t="s">
        <v>1439</v>
      </c>
      <c r="D1033" s="235" t="str">
        <f t="shared" si="56"/>
        <v xml:space="preserve"> OK</v>
      </c>
      <c r="E1033" s="254" t="s">
        <v>1439</v>
      </c>
      <c r="F1033" s="254" t="s">
        <v>1439</v>
      </c>
      <c r="G1033" s="298">
        <v>950</v>
      </c>
      <c r="H1033" s="298" t="s">
        <v>556</v>
      </c>
      <c r="I1033" s="300"/>
      <c r="J1033" s="300"/>
      <c r="K1033" s="270"/>
      <c r="L1033" s="301"/>
      <c r="M1033" s="270"/>
      <c r="N1033" s="270"/>
      <c r="O1033" s="270"/>
      <c r="P1033" s="270"/>
      <c r="Q1033" s="270"/>
      <c r="R1033" s="270"/>
      <c r="S1033" s="270"/>
      <c r="T1033" s="301"/>
      <c r="U1033" s="270"/>
      <c r="V1033" s="240"/>
      <c r="W1033" s="238">
        <f t="shared" si="55"/>
        <v>0</v>
      </c>
      <c r="Y1033" s="223" t="str">
        <f>'[4]Development - i'!E1032</f>
        <v>Supplying and fixing of conceled shower valve</v>
      </c>
      <c r="Z1033" s="223" t="str">
        <f t="shared" si="54"/>
        <v>-----------------------</v>
      </c>
    </row>
    <row r="1034" spans="1:26" s="241" customFormat="1">
      <c r="A1034" s="345"/>
      <c r="B1034" s="306" t="s">
        <v>1440</v>
      </c>
      <c r="C1034" s="306" t="s">
        <v>1440</v>
      </c>
      <c r="D1034" s="235" t="str">
        <f t="shared" si="56"/>
        <v xml:space="preserve"> OK</v>
      </c>
      <c r="E1034" s="254" t="s">
        <v>1440</v>
      </c>
      <c r="F1034" s="254" t="s">
        <v>1440</v>
      </c>
      <c r="G1034" s="298">
        <v>550</v>
      </c>
      <c r="H1034" s="298" t="s">
        <v>556</v>
      </c>
      <c r="I1034" s="300"/>
      <c r="J1034" s="300"/>
      <c r="K1034" s="270"/>
      <c r="L1034" s="301"/>
      <c r="M1034" s="270"/>
      <c r="N1034" s="270"/>
      <c r="O1034" s="270"/>
      <c r="P1034" s="270"/>
      <c r="Q1034" s="270"/>
      <c r="R1034" s="270"/>
      <c r="S1034" s="270"/>
      <c r="T1034" s="301"/>
      <c r="U1034" s="270"/>
      <c r="V1034" s="240"/>
      <c r="W1034" s="238">
        <f t="shared" si="55"/>
        <v>0</v>
      </c>
      <c r="Y1034" s="223" t="str">
        <f>'[4]Development - i'!E1033</f>
        <v>Supplying and fixing of CP shower arm with  rose</v>
      </c>
      <c r="Z1034" s="223" t="str">
        <f t="shared" si="54"/>
        <v>-----------------------</v>
      </c>
    </row>
    <row r="1035" spans="1:26" s="241" customFormat="1">
      <c r="A1035" s="345"/>
      <c r="B1035" s="306" t="s">
        <v>1441</v>
      </c>
      <c r="C1035" s="306" t="s">
        <v>1441</v>
      </c>
      <c r="D1035" s="235" t="str">
        <f t="shared" si="56"/>
        <v xml:space="preserve"> OK</v>
      </c>
      <c r="E1035" s="254" t="s">
        <v>1441</v>
      </c>
      <c r="F1035" s="254" t="s">
        <v>1441</v>
      </c>
      <c r="G1035" s="298">
        <v>35</v>
      </c>
      <c r="H1035" s="298" t="s">
        <v>556</v>
      </c>
      <c r="I1035" s="300"/>
      <c r="J1035" s="300"/>
      <c r="K1035" s="270"/>
      <c r="L1035" s="301"/>
      <c r="M1035" s="270"/>
      <c r="N1035" s="270"/>
      <c r="O1035" s="270"/>
      <c r="P1035" s="270"/>
      <c r="Q1035" s="270"/>
      <c r="R1035" s="270"/>
      <c r="S1035" s="270"/>
      <c r="T1035" s="301"/>
      <c r="U1035" s="270"/>
      <c r="V1035" s="240"/>
      <c r="W1035" s="238">
        <f t="shared" si="55"/>
        <v>0</v>
      </c>
      <c r="Y1035" s="223" t="str">
        <f>'[4]Development - i'!E1034</f>
        <v>Supplying and fixing of CP flange</v>
      </c>
      <c r="Z1035" s="223" t="str">
        <f t="shared" si="54"/>
        <v>-----------------------</v>
      </c>
    </row>
    <row r="1036" spans="1:26" s="241" customFormat="1">
      <c r="A1036" s="345"/>
      <c r="B1036" s="306" t="s">
        <v>1442</v>
      </c>
      <c r="C1036" s="306" t="s">
        <v>1442</v>
      </c>
      <c r="D1036" s="235" t="str">
        <f t="shared" si="56"/>
        <v xml:space="preserve"> OK</v>
      </c>
      <c r="E1036" s="254" t="s">
        <v>1442</v>
      </c>
      <c r="F1036" s="254" t="s">
        <v>1442</v>
      </c>
      <c r="G1036" s="298">
        <v>60</v>
      </c>
      <c r="H1036" s="298" t="s">
        <v>556</v>
      </c>
      <c r="I1036" s="300"/>
      <c r="J1036" s="300"/>
      <c r="K1036" s="270"/>
      <c r="L1036" s="301"/>
      <c r="M1036" s="270"/>
      <c r="N1036" s="270"/>
      <c r="O1036" s="270"/>
      <c r="P1036" s="270"/>
      <c r="Q1036" s="270"/>
      <c r="R1036" s="270"/>
      <c r="S1036" s="270"/>
      <c r="T1036" s="301"/>
      <c r="U1036" s="270"/>
      <c r="V1036" s="240"/>
      <c r="W1036" s="238">
        <f t="shared" si="55"/>
        <v>0</v>
      </c>
      <c r="Y1036" s="223" t="str">
        <f>'[4]Development - i'!E1035</f>
        <v>Supplying and fixing of CP Nipple</v>
      </c>
      <c r="Z1036" s="223" t="str">
        <f t="shared" si="54"/>
        <v>-----------------------</v>
      </c>
    </row>
    <row r="1037" spans="1:26" s="241" customFormat="1">
      <c r="A1037" s="345"/>
      <c r="B1037" s="306" t="s">
        <v>1443</v>
      </c>
      <c r="C1037" s="306" t="s">
        <v>1443</v>
      </c>
      <c r="D1037" s="235" t="str">
        <f t="shared" si="56"/>
        <v xml:space="preserve"> OK</v>
      </c>
      <c r="E1037" s="254" t="s">
        <v>1443</v>
      </c>
      <c r="F1037" s="254" t="s">
        <v>1443</v>
      </c>
      <c r="G1037" s="298">
        <v>450</v>
      </c>
      <c r="H1037" s="298" t="s">
        <v>556</v>
      </c>
      <c r="I1037" s="300"/>
      <c r="J1037" s="300"/>
      <c r="K1037" s="270"/>
      <c r="L1037" s="301"/>
      <c r="M1037" s="270"/>
      <c r="N1037" s="270"/>
      <c r="O1037" s="270"/>
      <c r="P1037" s="270"/>
      <c r="Q1037" s="270"/>
      <c r="R1037" s="270"/>
      <c r="S1037" s="270"/>
      <c r="T1037" s="301"/>
      <c r="U1037" s="270"/>
      <c r="V1037" s="240"/>
      <c r="W1037" s="238">
        <f t="shared" si="55"/>
        <v>0</v>
      </c>
      <c r="Y1037" s="223" t="str">
        <f>'[4]Development - i'!E1036</f>
        <v>Supplying and fixing of precast exhaust fan cover</v>
      </c>
      <c r="Z1037" s="223" t="str">
        <f t="shared" si="54"/>
        <v>-----------------------</v>
      </c>
    </row>
    <row r="1038" spans="1:26" s="241" customFormat="1" ht="93">
      <c r="A1038" s="345"/>
      <c r="B1038" s="306" t="s">
        <v>1444</v>
      </c>
      <c r="C1038" s="306" t="s">
        <v>1444</v>
      </c>
      <c r="D1038" s="235" t="str">
        <f t="shared" si="56"/>
        <v xml:space="preserve"> OK</v>
      </c>
      <c r="E1038" s="254" t="s">
        <v>1444</v>
      </c>
      <c r="F1038" s="254" t="s">
        <v>1444</v>
      </c>
      <c r="G1038" s="298">
        <v>4711</v>
      </c>
      <c r="H1038" s="298" t="s">
        <v>556</v>
      </c>
      <c r="I1038" s="300"/>
      <c r="J1038" s="300"/>
      <c r="K1038" s="270"/>
      <c r="L1038" s="301"/>
      <c r="M1038" s="270"/>
      <c r="N1038" s="270"/>
      <c r="O1038" s="270"/>
      <c r="P1038" s="270"/>
      <c r="Q1038" s="270"/>
      <c r="R1038" s="270"/>
      <c r="S1038" s="270"/>
      <c r="T1038" s="301"/>
      <c r="U1038" s="270"/>
      <c r="V1038" s="240"/>
      <c r="W1038" s="238">
        <f t="shared" si="55"/>
        <v>0</v>
      </c>
      <c r="Y1038" s="223" t="str">
        <f>'[4]Development - i'!E1037</f>
        <v>DOL STARTER WITH SINGLE PHASING PREVENTOR WITH  ANALOG AMMETER AND VOLTMETER CONFORMING TO IS 13947   WITH AUTO RESTART</v>
      </c>
      <c r="Z1038" s="223" t="str">
        <f t="shared" si="54"/>
        <v>-----------------------</v>
      </c>
    </row>
    <row r="1039" spans="1:26" s="241" customFormat="1" ht="46.5">
      <c r="A1039" s="345"/>
      <c r="B1039" s="306" t="s">
        <v>1445</v>
      </c>
      <c r="C1039" s="306" t="s">
        <v>1445</v>
      </c>
      <c r="D1039" s="235" t="str">
        <f t="shared" si="56"/>
        <v xml:space="preserve"> OK</v>
      </c>
      <c r="E1039" s="254" t="s">
        <v>1445</v>
      </c>
      <c r="F1039" s="254" t="s">
        <v>1445</v>
      </c>
      <c r="G1039" s="298">
        <v>45700</v>
      </c>
      <c r="H1039" s="298" t="s">
        <v>556</v>
      </c>
      <c r="I1039" s="300"/>
      <c r="J1039" s="300"/>
      <c r="K1039" s="270"/>
      <c r="L1039" s="301"/>
      <c r="M1039" s="270"/>
      <c r="N1039" s="270"/>
      <c r="O1039" s="270"/>
      <c r="P1039" s="270"/>
      <c r="Q1039" s="270"/>
      <c r="R1039" s="270"/>
      <c r="S1039" s="270"/>
      <c r="T1039" s="301"/>
      <c r="U1039" s="270"/>
      <c r="V1039" s="240"/>
      <c r="W1039" s="238">
        <f t="shared" si="55"/>
        <v>0</v>
      </c>
      <c r="Y1039" s="223" t="str">
        <f>'[4]Development - i'!E1038</f>
        <v>Supplying and fixing of 5 Hp Diesel motor 3" section  head 2.1/5" Delivery</v>
      </c>
      <c r="Z1039" s="223" t="str">
        <f t="shared" ref="Z1039:Z1072" si="57">IF(Y1039=E1039,"-----------------------","ERRR")</f>
        <v>-----------------------</v>
      </c>
    </row>
    <row r="1040" spans="1:26" s="241" customFormat="1" ht="46.5">
      <c r="A1040" s="345"/>
      <c r="B1040" s="306" t="s">
        <v>1446</v>
      </c>
      <c r="C1040" s="306" t="s">
        <v>1446</v>
      </c>
      <c r="D1040" s="235" t="str">
        <f t="shared" si="56"/>
        <v xml:space="preserve"> OK</v>
      </c>
      <c r="E1040" s="254" t="s">
        <v>1446</v>
      </c>
      <c r="F1040" s="254" t="s">
        <v>1446</v>
      </c>
      <c r="G1040" s="298">
        <v>210</v>
      </c>
      <c r="H1040" s="298" t="s">
        <v>12</v>
      </c>
      <c r="I1040" s="300"/>
      <c r="J1040" s="300"/>
      <c r="K1040" s="270"/>
      <c r="L1040" s="301"/>
      <c r="M1040" s="270"/>
      <c r="N1040" s="270"/>
      <c r="O1040" s="270"/>
      <c r="P1040" s="270"/>
      <c r="Q1040" s="270"/>
      <c r="R1040" s="270"/>
      <c r="S1040" s="270"/>
      <c r="T1040" s="301"/>
      <c r="U1040" s="270"/>
      <c r="V1040" s="240"/>
      <c r="W1040" s="238">
        <f t="shared" si="55"/>
        <v>0</v>
      </c>
      <c r="Y1040" s="223" t="str">
        <f>'[4]Development - i'!E1039</f>
        <v xml:space="preserve">Supplying and fixing of Flexible hose of dia 2.1/2" etc.,all </v>
      </c>
      <c r="Z1040" s="223" t="str">
        <f t="shared" si="57"/>
        <v>-----------------------</v>
      </c>
    </row>
    <row r="1041" spans="1:26" s="241" customFormat="1" ht="46.5">
      <c r="A1041" s="345"/>
      <c r="B1041" s="306" t="s">
        <v>1447</v>
      </c>
      <c r="C1041" s="306" t="s">
        <v>1447</v>
      </c>
      <c r="D1041" s="235" t="str">
        <f t="shared" si="56"/>
        <v xml:space="preserve"> OK</v>
      </c>
      <c r="E1041" s="254" t="s">
        <v>1447</v>
      </c>
      <c r="F1041" s="254" t="s">
        <v>1447</v>
      </c>
      <c r="G1041" s="298">
        <v>538</v>
      </c>
      <c r="H1041" s="298" t="s">
        <v>556</v>
      </c>
      <c r="I1041" s="300"/>
      <c r="J1041" s="300"/>
      <c r="K1041" s="270"/>
      <c r="L1041" s="301"/>
      <c r="M1041" s="270"/>
      <c r="N1041" s="270"/>
      <c r="O1041" s="270"/>
      <c r="P1041" s="270"/>
      <c r="Q1041" s="270"/>
      <c r="R1041" s="270"/>
      <c r="S1041" s="270"/>
      <c r="T1041" s="301"/>
      <c r="U1041" s="270"/>
      <c r="V1041" s="240"/>
      <c r="W1041" s="238">
        <f t="shared" si="55"/>
        <v>0</v>
      </c>
      <c r="Y1041" s="223" t="str">
        <f>'[4]Development - i'!E1040</f>
        <v>Supplying and fixing of foot valve stainer   etc  all complete</v>
      </c>
      <c r="Z1041" s="223" t="str">
        <f t="shared" si="57"/>
        <v>-----------------------</v>
      </c>
    </row>
    <row r="1042" spans="1:26" s="241" customFormat="1" ht="69.75">
      <c r="A1042" s="345"/>
      <c r="B1042" s="306" t="s">
        <v>1448</v>
      </c>
      <c r="C1042" s="306" t="s">
        <v>1448</v>
      </c>
      <c r="D1042" s="235" t="str">
        <f t="shared" si="56"/>
        <v xml:space="preserve"> OK</v>
      </c>
      <c r="E1042" s="254" t="s">
        <v>1448</v>
      </c>
      <c r="F1042" s="254" t="s">
        <v>1448</v>
      </c>
      <c r="G1042" s="298">
        <v>3163</v>
      </c>
      <c r="H1042" s="298" t="s">
        <v>556</v>
      </c>
      <c r="I1042" s="300"/>
      <c r="J1042" s="300"/>
      <c r="K1042" s="270"/>
      <c r="L1042" s="301"/>
      <c r="M1042" s="270"/>
      <c r="N1042" s="270"/>
      <c r="O1042" s="270"/>
      <c r="P1042" s="270"/>
      <c r="Q1042" s="270"/>
      <c r="R1042" s="270"/>
      <c r="S1042" s="270"/>
      <c r="T1042" s="301"/>
      <c r="U1042" s="270"/>
      <c r="V1042" s="240"/>
      <c r="W1042" s="238">
        <f t="shared" si="55"/>
        <v>0</v>
      </c>
      <c r="Y1042" s="223" t="str">
        <f>'[4]Development - i'!E1041</f>
        <v>S&amp;F of 63  Amps  3 phase  500  volts 4 pole  change over  switch over panel board  switch for  pump room etc all complete</v>
      </c>
      <c r="Z1042" s="223" t="str">
        <f t="shared" si="57"/>
        <v>-----------------------</v>
      </c>
    </row>
    <row r="1043" spans="1:26" s="241" customFormat="1" ht="69.75">
      <c r="A1043" s="345"/>
      <c r="B1043" s="306" t="s">
        <v>1449</v>
      </c>
      <c r="C1043" s="306" t="s">
        <v>1449</v>
      </c>
      <c r="D1043" s="235" t="str">
        <f t="shared" si="56"/>
        <v xml:space="preserve"> OK</v>
      </c>
      <c r="E1043" s="254" t="s">
        <v>1449</v>
      </c>
      <c r="F1043" s="254" t="s">
        <v>1449</v>
      </c>
      <c r="G1043" s="298">
        <v>44.7</v>
      </c>
      <c r="H1043" s="298" t="s">
        <v>40</v>
      </c>
      <c r="I1043" s="300"/>
      <c r="J1043" s="300"/>
      <c r="K1043" s="270"/>
      <c r="L1043" s="301"/>
      <c r="M1043" s="270"/>
      <c r="N1043" s="270"/>
      <c r="O1043" s="270"/>
      <c r="P1043" s="270"/>
      <c r="Q1043" s="270"/>
      <c r="R1043" s="270"/>
      <c r="S1043" s="270"/>
      <c r="T1043" s="301"/>
      <c r="U1043" s="270"/>
      <c r="V1043" s="240"/>
      <c r="W1043" s="238">
        <f t="shared" si="55"/>
        <v>0</v>
      </c>
      <c r="Y1043" s="223" t="str">
        <f>'[4]Development - i'!E1042</f>
        <v>Supplying and fixing of MS angle of size 50 x 50 x 5 mm MS angle to hold LTUG cable in OH portion etc., all complete</v>
      </c>
      <c r="Z1043" s="223" t="str">
        <f t="shared" si="57"/>
        <v>-----------------------</v>
      </c>
    </row>
    <row r="1044" spans="1:26" s="241" customFormat="1" ht="46.5">
      <c r="A1044" s="345"/>
      <c r="B1044" s="306" t="s">
        <v>1450</v>
      </c>
      <c r="C1044" s="306" t="s">
        <v>1450</v>
      </c>
      <c r="D1044" s="235" t="str">
        <f t="shared" si="56"/>
        <v xml:space="preserve"> OK</v>
      </c>
      <c r="E1044" s="254" t="s">
        <v>1450</v>
      </c>
      <c r="F1044" s="254" t="s">
        <v>1450</v>
      </c>
      <c r="G1044" s="298"/>
      <c r="H1044" s="298"/>
      <c r="I1044" s="300"/>
      <c r="J1044" s="300"/>
      <c r="K1044" s="270"/>
      <c r="L1044" s="301"/>
      <c r="M1044" s="270"/>
      <c r="N1044" s="270"/>
      <c r="O1044" s="270"/>
      <c r="P1044" s="270"/>
      <c r="Q1044" s="270"/>
      <c r="R1044" s="270"/>
      <c r="S1044" s="270"/>
      <c r="T1044" s="301"/>
      <c r="U1044" s="270"/>
      <c r="V1044" s="240"/>
      <c r="W1044" s="238">
        <f t="shared" si="55"/>
        <v>0</v>
      </c>
      <c r="Y1044" s="223" t="str">
        <f>'[4]Development - i'!E1043</f>
        <v>Supplying of 50 mm dia  GI pipe (Above Ground Level) approved quality</v>
      </c>
      <c r="Z1044" s="223" t="str">
        <f t="shared" si="57"/>
        <v>-----------------------</v>
      </c>
    </row>
    <row r="1045" spans="1:26" s="241" customFormat="1" ht="46.5">
      <c r="A1045" s="345"/>
      <c r="B1045" s="306" t="s">
        <v>1451</v>
      </c>
      <c r="C1045" s="306" t="s">
        <v>1451</v>
      </c>
      <c r="D1045" s="235" t="str">
        <f t="shared" si="56"/>
        <v xml:space="preserve"> OK</v>
      </c>
      <c r="E1045" s="254" t="s">
        <v>1451</v>
      </c>
      <c r="F1045" s="254" t="s">
        <v>1451</v>
      </c>
      <c r="G1045" s="298">
        <v>207</v>
      </c>
      <c r="H1045" s="298" t="s">
        <v>12</v>
      </c>
      <c r="I1045" s="300"/>
      <c r="J1045" s="300"/>
      <c r="K1045" s="270"/>
      <c r="L1045" s="301"/>
      <c r="M1045" s="270"/>
      <c r="N1045" s="270"/>
      <c r="O1045" s="270"/>
      <c r="P1045" s="270"/>
      <c r="Q1045" s="270"/>
      <c r="R1045" s="270"/>
      <c r="S1045" s="270"/>
      <c r="T1045" s="301"/>
      <c r="U1045" s="270"/>
      <c r="V1045" s="240"/>
      <c r="W1045" s="238">
        <f t="shared" si="55"/>
        <v>0</v>
      </c>
      <c r="Y1045" s="223" t="str">
        <f>'[4]Development - i'!E1044</f>
        <v>a) 50 mm dia  GI pipe (Above Ground Level)</v>
      </c>
      <c r="Z1045" s="223" t="str">
        <f t="shared" si="57"/>
        <v>ERRR</v>
      </c>
    </row>
    <row r="1046" spans="1:26" s="241" customFormat="1">
      <c r="A1046" s="345"/>
      <c r="B1046" s="306" t="s">
        <v>1452</v>
      </c>
      <c r="C1046" s="306" t="s">
        <v>1452</v>
      </c>
      <c r="D1046" s="235" t="str">
        <f t="shared" si="56"/>
        <v xml:space="preserve"> OK</v>
      </c>
      <c r="E1046" s="254" t="s">
        <v>1452</v>
      </c>
      <c r="F1046" s="254" t="s">
        <v>1452</v>
      </c>
      <c r="G1046" s="298">
        <v>115.2</v>
      </c>
      <c r="H1046" s="298" t="s">
        <v>556</v>
      </c>
      <c r="I1046" s="300"/>
      <c r="J1046" s="300"/>
      <c r="K1046" s="270"/>
      <c r="L1046" s="301"/>
      <c r="M1046" s="270"/>
      <c r="N1046" s="270"/>
      <c r="O1046" s="270"/>
      <c r="P1046" s="270"/>
      <c r="Q1046" s="270"/>
      <c r="R1046" s="270"/>
      <c r="S1046" s="270"/>
      <c r="T1046" s="301"/>
      <c r="U1046" s="270"/>
      <c r="V1046" s="240"/>
      <c r="W1046" s="238">
        <f t="shared" si="55"/>
        <v>0</v>
      </c>
      <c r="Y1046" s="223" t="str">
        <f>'[4]Development - i'!E1045</f>
        <v>b) 50 mm dia  GI Bend ( PWD 51)</v>
      </c>
      <c r="Z1046" s="223" t="str">
        <f t="shared" si="57"/>
        <v>-----------------------</v>
      </c>
    </row>
    <row r="1047" spans="1:26" s="241" customFormat="1" ht="93">
      <c r="A1047" s="345"/>
      <c r="B1047" s="306" t="s">
        <v>1453</v>
      </c>
      <c r="C1047" s="306" t="s">
        <v>1453</v>
      </c>
      <c r="D1047" s="235" t="str">
        <f t="shared" si="56"/>
        <v xml:space="preserve"> OK</v>
      </c>
      <c r="E1047" s="254" t="s">
        <v>1453</v>
      </c>
      <c r="F1047" s="254" t="s">
        <v>1453</v>
      </c>
      <c r="G1047" s="298">
        <v>234.5</v>
      </c>
      <c r="H1047" s="298" t="s">
        <v>12</v>
      </c>
      <c r="I1047" s="300"/>
      <c r="J1047" s="300"/>
      <c r="K1047" s="270"/>
      <c r="L1047" s="301"/>
      <c r="M1047" s="270"/>
      <c r="N1047" s="270"/>
      <c r="O1047" s="270"/>
      <c r="P1047" s="270"/>
      <c r="Q1047" s="270"/>
      <c r="R1047" s="270"/>
      <c r="S1047" s="270"/>
      <c r="T1047" s="301"/>
      <c r="U1047" s="270"/>
      <c r="V1047" s="240"/>
      <c r="W1047" s="238">
        <f t="shared" si="55"/>
        <v>0</v>
      </c>
      <c r="Y1047" s="223" t="str">
        <f>'[4]Development - i'!E1046</f>
        <v>Run of 4 Wires of 4 sqmm PVC insulated single core multi strand fire retardant flexible copper cable with ISI mark confirming IS: 694:1990.</v>
      </c>
      <c r="Z1047" s="223" t="str">
        <f t="shared" si="57"/>
        <v>ERRR</v>
      </c>
    </row>
    <row r="1048" spans="1:26" s="241" customFormat="1" ht="116.25">
      <c r="A1048" s="345"/>
      <c r="B1048" s="306" t="s">
        <v>1454</v>
      </c>
      <c r="C1048" s="306" t="s">
        <v>1454</v>
      </c>
      <c r="D1048" s="235" t="str">
        <f t="shared" si="56"/>
        <v xml:space="preserve"> OK</v>
      </c>
      <c r="E1048" s="254" t="s">
        <v>1454</v>
      </c>
      <c r="F1048" s="254" t="s">
        <v>1454</v>
      </c>
      <c r="G1048" s="298">
        <v>294</v>
      </c>
      <c r="H1048" s="298" t="s">
        <v>12</v>
      </c>
      <c r="I1048" s="300"/>
      <c r="J1048" s="300"/>
      <c r="K1048" s="270"/>
      <c r="L1048" s="301"/>
      <c r="M1048" s="270"/>
      <c r="N1048" s="270"/>
      <c r="O1048" s="270"/>
      <c r="P1048" s="270"/>
      <c r="Q1048" s="270"/>
      <c r="R1048" s="270"/>
      <c r="S1048" s="270"/>
      <c r="T1048" s="301"/>
      <c r="U1048" s="270"/>
      <c r="V1048" s="240"/>
      <c r="W1048" s="238">
        <f t="shared" si="55"/>
        <v>0</v>
      </c>
      <c r="Y1048" s="223" t="str">
        <f>'[4]Development - i'!E1047</f>
        <v xml:space="preserve">Supplying of 3.5 core of 50 sqmm PVC armoued ALTUG cable ncluding cost of all materials etc all complete complying with relevant standard specifications and as directed by the departmental officers      ( CER NO : 371/18-19)     </v>
      </c>
      <c r="Z1048" s="223" t="str">
        <f t="shared" si="57"/>
        <v>-----------------------</v>
      </c>
    </row>
    <row r="1049" spans="1:26" s="241" customFormat="1" ht="116.25">
      <c r="A1049" s="345"/>
      <c r="B1049" s="306" t="s">
        <v>1455</v>
      </c>
      <c r="C1049" s="306" t="s">
        <v>1455</v>
      </c>
      <c r="D1049" s="235" t="str">
        <f t="shared" si="56"/>
        <v xml:space="preserve"> OK</v>
      </c>
      <c r="E1049" s="254" t="s">
        <v>1455</v>
      </c>
      <c r="F1049" s="254" t="s">
        <v>1455</v>
      </c>
      <c r="G1049" s="298">
        <v>380.7</v>
      </c>
      <c r="H1049" s="298" t="s">
        <v>12</v>
      </c>
      <c r="I1049" s="300"/>
      <c r="J1049" s="300"/>
      <c r="K1049" s="270"/>
      <c r="L1049" s="301"/>
      <c r="M1049" s="270"/>
      <c r="N1049" s="270"/>
      <c r="O1049" s="270"/>
      <c r="P1049" s="270"/>
      <c r="Q1049" s="270"/>
      <c r="R1049" s="270"/>
      <c r="S1049" s="270"/>
      <c r="T1049" s="301"/>
      <c r="U1049" s="270"/>
      <c r="V1049" s="240"/>
      <c r="W1049" s="238">
        <f t="shared" si="55"/>
        <v>0</v>
      </c>
      <c r="Y1049" s="223" t="str">
        <f>'[4]Development - i'!E1048</f>
        <v xml:space="preserve">Supplying of 3.5 core of 70 sqmm PVC armoued ALTUG cable including cost of all materials etc all complete complying with relevant standard specifications and as directed by the departmental officers( CER NO : 371/18-19)     </v>
      </c>
      <c r="Z1049" s="223" t="str">
        <f t="shared" si="57"/>
        <v>ERRR</v>
      </c>
    </row>
    <row r="1050" spans="1:26" s="241" customFormat="1" ht="69.75">
      <c r="A1050" s="345"/>
      <c r="B1050" s="306" t="s">
        <v>1456</v>
      </c>
      <c r="C1050" s="306" t="s">
        <v>1456</v>
      </c>
      <c r="D1050" s="235" t="str">
        <f t="shared" si="56"/>
        <v xml:space="preserve"> OK</v>
      </c>
      <c r="E1050" s="254" t="s">
        <v>1456</v>
      </c>
      <c r="F1050" s="254" t="s">
        <v>1456</v>
      </c>
      <c r="G1050" s="298">
        <v>199</v>
      </c>
      <c r="H1050" s="298" t="s">
        <v>556</v>
      </c>
      <c r="I1050" s="300"/>
      <c r="J1050" s="300"/>
      <c r="K1050" s="270"/>
      <c r="L1050" s="301"/>
      <c r="M1050" s="270"/>
      <c r="N1050" s="270"/>
      <c r="O1050" s="270"/>
      <c r="P1050" s="270"/>
      <c r="Q1050" s="270"/>
      <c r="R1050" s="270"/>
      <c r="S1050" s="270"/>
      <c r="T1050" s="301"/>
      <c r="U1050" s="270"/>
      <c r="V1050" s="240"/>
      <c r="W1050" s="238">
        <f t="shared" si="55"/>
        <v>0</v>
      </c>
      <c r="Y1050" s="223" t="str">
        <f>'[4]Development - i'!E1049</f>
        <v xml:space="preserve">Supply and fixing of Brass cable gland suitable for 3.5 core 50 sqmm PVC armoured ALTUG cable( CER NO : 371/18-19)     </v>
      </c>
      <c r="Z1050" s="223" t="str">
        <f t="shared" si="57"/>
        <v>ERRR</v>
      </c>
    </row>
    <row r="1051" spans="1:26" s="241" customFormat="1" ht="69.75">
      <c r="A1051" s="345"/>
      <c r="B1051" s="306" t="s">
        <v>1457</v>
      </c>
      <c r="C1051" s="306" t="s">
        <v>1457</v>
      </c>
      <c r="D1051" s="235" t="str">
        <f t="shared" si="56"/>
        <v xml:space="preserve"> OK</v>
      </c>
      <c r="E1051" s="254" t="s">
        <v>1457</v>
      </c>
      <c r="F1051" s="254" t="s">
        <v>1457</v>
      </c>
      <c r="G1051" s="298">
        <v>365</v>
      </c>
      <c r="H1051" s="298" t="s">
        <v>556</v>
      </c>
      <c r="I1051" s="300"/>
      <c r="J1051" s="300"/>
      <c r="K1051" s="270"/>
      <c r="L1051" s="301"/>
      <c r="M1051" s="270"/>
      <c r="N1051" s="270"/>
      <c r="O1051" s="270"/>
      <c r="P1051" s="270"/>
      <c r="Q1051" s="270"/>
      <c r="R1051" s="270"/>
      <c r="S1051" s="270"/>
      <c r="T1051" s="301"/>
      <c r="U1051" s="270"/>
      <c r="V1051" s="240"/>
      <c r="W1051" s="238">
        <f t="shared" ref="W1051:W1114" si="58">ROUND(G1052,2)*ROUND(V1051,2)</f>
        <v>0</v>
      </c>
      <c r="Y1051" s="223" t="str">
        <f>'[4]Development - i'!E1050</f>
        <v xml:space="preserve">Supply and fixing of Brass cable gland suitable for 3.5 core 70 sqmm PVC armoured ALTUG cable( CER NO : 371/18-19)     </v>
      </c>
      <c r="Z1051" s="223" t="str">
        <f t="shared" si="57"/>
        <v>ERRR</v>
      </c>
    </row>
    <row r="1052" spans="1:26" s="241" customFormat="1" ht="116.25">
      <c r="A1052" s="345"/>
      <c r="B1052" s="306" t="s">
        <v>1458</v>
      </c>
      <c r="C1052" s="306" t="s">
        <v>1458</v>
      </c>
      <c r="D1052" s="235" t="str">
        <f t="shared" si="56"/>
        <v xml:space="preserve"> OK</v>
      </c>
      <c r="E1052" s="254" t="s">
        <v>1458</v>
      </c>
      <c r="F1052" s="254" t="s">
        <v>1458</v>
      </c>
      <c r="G1052" s="298">
        <v>229</v>
      </c>
      <c r="H1052" s="298" t="s">
        <v>556</v>
      </c>
      <c r="I1052" s="300"/>
      <c r="J1052" s="300"/>
      <c r="K1052" s="270"/>
      <c r="L1052" s="301"/>
      <c r="M1052" s="270"/>
      <c r="N1052" s="270"/>
      <c r="O1052" s="270"/>
      <c r="P1052" s="270"/>
      <c r="Q1052" s="270"/>
      <c r="R1052" s="270"/>
      <c r="S1052" s="270"/>
      <c r="T1052" s="301"/>
      <c r="U1052" s="270"/>
      <c r="V1052" s="240"/>
      <c r="W1052" s="238">
        <f t="shared" si="58"/>
        <v>0</v>
      </c>
      <c r="Y1052" s="223" t="str">
        <f>'[4]Development - i'!E1051</f>
        <v xml:space="preserve">Supply and providing cable end termination of 3 1/2 x 50 sqmm PVC LTUG Aluminium armoured cable with necessary aluminium cable sockets by crimping etc. with electrical connection complete( CER NO : 371/18-19)     </v>
      </c>
      <c r="Z1052" s="223" t="str">
        <f t="shared" si="57"/>
        <v>ERRR</v>
      </c>
    </row>
    <row r="1053" spans="1:26" s="241" customFormat="1" ht="93">
      <c r="A1053" s="345"/>
      <c r="B1053" s="306" t="s">
        <v>1459</v>
      </c>
      <c r="C1053" s="306" t="s">
        <v>1459</v>
      </c>
      <c r="D1053" s="235" t="str">
        <f t="shared" si="56"/>
        <v xml:space="preserve"> OK</v>
      </c>
      <c r="E1053" s="254" t="s">
        <v>1459</v>
      </c>
      <c r="F1053" s="254" t="s">
        <v>1459</v>
      </c>
      <c r="G1053" s="298">
        <v>247</v>
      </c>
      <c r="H1053" s="298" t="s">
        <v>556</v>
      </c>
      <c r="I1053" s="300"/>
      <c r="J1053" s="300"/>
      <c r="K1053" s="270"/>
      <c r="L1053" s="301"/>
      <c r="M1053" s="270"/>
      <c r="N1053" s="270"/>
      <c r="O1053" s="270"/>
      <c r="P1053" s="270"/>
      <c r="Q1053" s="270"/>
      <c r="R1053" s="270"/>
      <c r="S1053" s="270"/>
      <c r="T1053" s="301"/>
      <c r="U1053" s="270"/>
      <c r="V1053" s="240"/>
      <c r="W1053" s="238">
        <f t="shared" si="58"/>
        <v>0</v>
      </c>
      <c r="Y1053" s="223" t="str">
        <f>'[4]Development - i'!E1052</f>
        <v xml:space="preserve">Supplying and fixing of ALTUG end termination gripping for  3.5 core 70 sqmm ALTUG cable including cost of necessary materials ( CER NO : 371/18-19)     </v>
      </c>
      <c r="Z1053" s="223" t="str">
        <f t="shared" si="57"/>
        <v>ERRR</v>
      </c>
    </row>
    <row r="1054" spans="1:26" s="241" customFormat="1" ht="279">
      <c r="A1054" s="345"/>
      <c r="B1054" s="306" t="s">
        <v>1460</v>
      </c>
      <c r="C1054" s="306" t="s">
        <v>1460</v>
      </c>
      <c r="D1054" s="235" t="str">
        <f t="shared" si="56"/>
        <v xml:space="preserve"> OK</v>
      </c>
      <c r="E1054" s="254" t="s">
        <v>1460</v>
      </c>
      <c r="F1054" s="254" t="s">
        <v>1460</v>
      </c>
      <c r="G1054" s="298">
        <v>4133</v>
      </c>
      <c r="H1054" s="298" t="s">
        <v>556</v>
      </c>
      <c r="I1054" s="300"/>
      <c r="J1054" s="300"/>
      <c r="K1054" s="270"/>
      <c r="L1054" s="301"/>
      <c r="M1054" s="270"/>
      <c r="N1054" s="270"/>
      <c r="O1054" s="270"/>
      <c r="P1054" s="270"/>
      <c r="Q1054" s="270"/>
      <c r="R1054" s="270"/>
      <c r="S1054" s="270"/>
      <c r="T1054" s="301"/>
      <c r="U1054" s="270"/>
      <c r="V1054" s="240"/>
      <c r="W1054" s="238">
        <f t="shared" si="58"/>
        <v>0</v>
      </c>
      <c r="Y1054" s="223" t="str">
        <f>'[4]Development - i'!E1053</f>
        <v xml:space="preserve">Supply and fixing of TNEB Meter Board suitable for 3 Phases 100A service connection made up of suitable angle iron frame work of size 2 feet x 1 1/2 feet using angle iron of size 1 1/2" x 1 1/2" x 1/4" rigidly fixed on wall covered with hylem sheet of size 2 feet x 1/2 feet of 6mm thickness with necessary bolts and nuts supports and supply and fixing of 3 Nos 100A fuse units (500V) 1 No. Neutral link, copper earth flat of size 1" x 1/4" with inter connection of EB meter to fuse units by 7/16 PVC insulated copper wire with earth connection complete             ( ELE DATA 18-19-SD-130 </v>
      </c>
      <c r="Z1054" s="223" t="str">
        <f t="shared" si="57"/>
        <v>-----------------------</v>
      </c>
    </row>
    <row r="1055" spans="1:26" s="241" customFormat="1" ht="162.75">
      <c r="A1055" s="345"/>
      <c r="B1055" s="306" t="s">
        <v>1461</v>
      </c>
      <c r="C1055" s="306" t="s">
        <v>1461</v>
      </c>
      <c r="D1055" s="235" t="str">
        <f t="shared" si="56"/>
        <v xml:space="preserve"> OK</v>
      </c>
      <c r="E1055" s="254" t="s">
        <v>1461</v>
      </c>
      <c r="F1055" s="254" t="s">
        <v>1461</v>
      </c>
      <c r="G1055" s="298">
        <v>9644</v>
      </c>
      <c r="H1055" s="298" t="s">
        <v>556</v>
      </c>
      <c r="I1055" s="300"/>
      <c r="J1055" s="300"/>
      <c r="K1055" s="270"/>
      <c r="L1055" s="301"/>
      <c r="M1055" s="270"/>
      <c r="N1055" s="270"/>
      <c r="O1055" s="270"/>
      <c r="P1055" s="270"/>
      <c r="Q1055" s="270"/>
      <c r="R1055" s="270"/>
      <c r="S1055" s="270"/>
      <c r="T1055" s="301"/>
      <c r="U1055" s="270"/>
      <c r="V1055" s="240"/>
      <c r="W1055" s="238">
        <f t="shared" si="58"/>
        <v>0</v>
      </c>
      <c r="Y1055" s="223" t="str">
        <f>'[4]Development - i'!E1054</f>
        <v>Supplying and fixing of 100 amps (Triple pole) TPN metal clad switch with Rewirable fuse unit including cost of all materials and labour charges, etc all complete as per relevant standard specification and as directed by the departmental officers. (The quality and brand should be got approved from the executive engineer before use)</v>
      </c>
      <c r="Z1055" s="223" t="str">
        <f t="shared" si="57"/>
        <v>-----------------------</v>
      </c>
    </row>
    <row r="1056" spans="1:26" s="241" customFormat="1" ht="139.5">
      <c r="A1056" s="345"/>
      <c r="B1056" s="306" t="s">
        <v>1462</v>
      </c>
      <c r="C1056" s="306" t="s">
        <v>1462</v>
      </c>
      <c r="D1056" s="235" t="str">
        <f t="shared" si="56"/>
        <v xml:space="preserve"> OK</v>
      </c>
      <c r="E1056" s="254" t="s">
        <v>1462</v>
      </c>
      <c r="F1056" s="254" t="s">
        <v>1462</v>
      </c>
      <c r="G1056" s="298">
        <v>1415.3</v>
      </c>
      <c r="H1056" s="298" t="s">
        <v>556</v>
      </c>
      <c r="I1056" s="300"/>
      <c r="J1056" s="300"/>
      <c r="K1056" s="270"/>
      <c r="L1056" s="301"/>
      <c r="M1056" s="270"/>
      <c r="N1056" s="270"/>
      <c r="O1056" s="270"/>
      <c r="P1056" s="270"/>
      <c r="Q1056" s="270"/>
      <c r="R1056" s="270"/>
      <c r="S1056" s="270"/>
      <c r="T1056" s="301"/>
      <c r="U1056" s="270"/>
      <c r="V1056" s="240"/>
      <c r="W1056" s="238">
        <f t="shared" si="58"/>
        <v>0</v>
      </c>
      <c r="Y1056" s="223" t="str">
        <f>'[4]Development - i'!E1055</f>
        <v xml:space="preserve">Supplying and fixing of 3 Nos. of 100 amps 500 volts grade porcelain fuse unit on suitable teakwood plank varnished to be fixed on the top of pole/EB street pole with necessary clamps including cost of materials etc., all complete.( CER NO : 371/18-19)  </v>
      </c>
      <c r="Z1056" s="223" t="str">
        <f t="shared" si="57"/>
        <v>-----------------------</v>
      </c>
    </row>
    <row r="1057" spans="1:26" s="241" customFormat="1" ht="69.75">
      <c r="A1057" s="345"/>
      <c r="B1057" s="306" t="s">
        <v>1463</v>
      </c>
      <c r="C1057" s="306" t="s">
        <v>1463</v>
      </c>
      <c r="D1057" s="235" t="str">
        <f t="shared" si="56"/>
        <v xml:space="preserve"> OK</v>
      </c>
      <c r="E1057" s="254" t="s">
        <v>1463</v>
      </c>
      <c r="F1057" s="254" t="s">
        <v>1463</v>
      </c>
      <c r="G1057" s="298">
        <v>100.75</v>
      </c>
      <c r="H1057" s="298" t="s">
        <v>12</v>
      </c>
      <c r="I1057" s="300"/>
      <c r="J1057" s="300"/>
      <c r="K1057" s="270"/>
      <c r="L1057" s="301"/>
      <c r="M1057" s="270"/>
      <c r="N1057" s="270"/>
      <c r="O1057" s="270"/>
      <c r="P1057" s="270"/>
      <c r="Q1057" s="270"/>
      <c r="R1057" s="270"/>
      <c r="S1057" s="270"/>
      <c r="T1057" s="301"/>
      <c r="U1057" s="270"/>
      <c r="V1057" s="240"/>
      <c r="W1057" s="238">
        <f t="shared" si="58"/>
        <v>0</v>
      </c>
      <c r="Y1057" s="223" t="str">
        <f>'[4]Development - i'!E1056</f>
        <v xml:space="preserve">Labour charges for laying of  3.5 core 50 sqmm PVC armoured ALTUG Cablea) Above Ground Level( CER NO : 371/18-19)  </v>
      </c>
      <c r="Z1057" s="223" t="str">
        <f t="shared" si="57"/>
        <v>ERRR</v>
      </c>
    </row>
    <row r="1058" spans="1:26" s="241" customFormat="1" ht="69.75">
      <c r="A1058" s="345"/>
      <c r="B1058" s="306" t="s">
        <v>1464</v>
      </c>
      <c r="C1058" s="306" t="s">
        <v>1464</v>
      </c>
      <c r="D1058" s="235" t="str">
        <f t="shared" si="56"/>
        <v xml:space="preserve"> OK</v>
      </c>
      <c r="E1058" s="254" t="s">
        <v>1464</v>
      </c>
      <c r="F1058" s="254" t="s">
        <v>1464</v>
      </c>
      <c r="G1058" s="298">
        <v>116.91</v>
      </c>
      <c r="H1058" s="298" t="s">
        <v>12</v>
      </c>
      <c r="I1058" s="300"/>
      <c r="J1058" s="300"/>
      <c r="K1058" s="270"/>
      <c r="L1058" s="301"/>
      <c r="M1058" s="270"/>
      <c r="N1058" s="270"/>
      <c r="O1058" s="270"/>
      <c r="P1058" s="270"/>
      <c r="Q1058" s="270"/>
      <c r="R1058" s="270"/>
      <c r="S1058" s="270"/>
      <c r="T1058" s="301"/>
      <c r="U1058" s="270"/>
      <c r="V1058" s="240"/>
      <c r="W1058" s="238">
        <f t="shared" si="58"/>
        <v>0</v>
      </c>
      <c r="Y1058" s="223" t="str">
        <f>'[4]Development - i'!E1057</f>
        <v xml:space="preserve">Labour charges for laying of  3.5 core 70 sqmm PVC armoured ALTUG Cablea) Above Ground Level( CER NO : 371/18-19)  </v>
      </c>
      <c r="Z1058" s="223" t="str">
        <f t="shared" si="57"/>
        <v>ERRR</v>
      </c>
    </row>
    <row r="1059" spans="1:26" s="241" customFormat="1" ht="46.5">
      <c r="A1059" s="345"/>
      <c r="B1059" s="306" t="s">
        <v>1465</v>
      </c>
      <c r="C1059" s="306" t="s">
        <v>1465</v>
      </c>
      <c r="D1059" s="235" t="str">
        <f t="shared" si="56"/>
        <v xml:space="preserve"> OK</v>
      </c>
      <c r="E1059" s="254" t="s">
        <v>1465</v>
      </c>
      <c r="F1059" s="254" t="s">
        <v>1465</v>
      </c>
      <c r="G1059" s="298">
        <v>42200</v>
      </c>
      <c r="H1059" s="298" t="s">
        <v>556</v>
      </c>
      <c r="I1059" s="300"/>
      <c r="J1059" s="300"/>
      <c r="K1059" s="270"/>
      <c r="L1059" s="301"/>
      <c r="M1059" s="270"/>
      <c r="N1059" s="270"/>
      <c r="O1059" s="270"/>
      <c r="P1059" s="270"/>
      <c r="Q1059" s="270"/>
      <c r="R1059" s="270"/>
      <c r="S1059" s="270"/>
      <c r="T1059" s="301"/>
      <c r="U1059" s="270"/>
      <c r="V1059" s="240"/>
      <c r="W1059" s="238">
        <f t="shared" si="58"/>
        <v>0</v>
      </c>
      <c r="Y1059" s="223" t="str">
        <f>'[4]Development - i'!E1058</f>
        <v xml:space="preserve">METERING PANEL FOR 8SERVICES (6FLAT +1 COMMON &amp; 1 SPARE )  6 IN 1 </v>
      </c>
      <c r="Z1059" s="223" t="str">
        <f t="shared" si="57"/>
        <v>-----------------------</v>
      </c>
    </row>
    <row r="1060" spans="1:26" s="241" customFormat="1" ht="46.5">
      <c r="A1060" s="345"/>
      <c r="B1060" s="306" t="s">
        <v>1466</v>
      </c>
      <c r="C1060" s="306" t="s">
        <v>1466</v>
      </c>
      <c r="D1060" s="235" t="str">
        <f t="shared" si="56"/>
        <v xml:space="preserve"> OK</v>
      </c>
      <c r="E1060" s="254" t="s">
        <v>1466</v>
      </c>
      <c r="F1060" s="254" t="s">
        <v>1466</v>
      </c>
      <c r="G1060" s="298">
        <v>28600</v>
      </c>
      <c r="H1060" s="298" t="s">
        <v>556</v>
      </c>
      <c r="I1060" s="300"/>
      <c r="J1060" s="300"/>
      <c r="K1060" s="270"/>
      <c r="L1060" s="301"/>
      <c r="M1060" s="270"/>
      <c r="N1060" s="270"/>
      <c r="O1060" s="270"/>
      <c r="P1060" s="270"/>
      <c r="Q1060" s="270"/>
      <c r="R1060" s="270"/>
      <c r="S1060" s="270"/>
      <c r="T1060" s="301"/>
      <c r="U1060" s="270"/>
      <c r="V1060" s="240"/>
      <c r="W1060" s="238">
        <f t="shared" si="58"/>
        <v>0</v>
      </c>
      <c r="Y1060" s="223" t="str">
        <f>'[4]Development - i'!E1059</f>
        <v xml:space="preserve">METERING PANEL FOR 4SERVICES (2FLAT +1 COMMON &amp; 1 SPARE )  2IN 1 </v>
      </c>
      <c r="Z1060" s="223" t="str">
        <f t="shared" si="57"/>
        <v>-----------------------</v>
      </c>
    </row>
    <row r="1061" spans="1:26" s="241" customFormat="1" ht="93">
      <c r="A1061" s="345"/>
      <c r="B1061" s="306" t="s">
        <v>1467</v>
      </c>
      <c r="C1061" s="306" t="s">
        <v>1467</v>
      </c>
      <c r="D1061" s="235" t="str">
        <f t="shared" ref="D1061:D1124" si="59">IF(B1061=C1061," OK","nun")</f>
        <v xml:space="preserve"> OK</v>
      </c>
      <c r="E1061" s="254" t="s">
        <v>1467</v>
      </c>
      <c r="F1061" s="254" t="s">
        <v>1467</v>
      </c>
      <c r="G1061" s="298">
        <v>3154</v>
      </c>
      <c r="H1061" s="298" t="s">
        <v>556</v>
      </c>
      <c r="I1061" s="300"/>
      <c r="J1061" s="300"/>
      <c r="K1061" s="270"/>
      <c r="L1061" s="301"/>
      <c r="M1061" s="270"/>
      <c r="N1061" s="270"/>
      <c r="O1061" s="270"/>
      <c r="P1061" s="270"/>
      <c r="Q1061" s="270"/>
      <c r="R1061" s="270"/>
      <c r="S1061" s="270"/>
      <c r="T1061" s="301"/>
      <c r="U1061" s="270"/>
      <c r="V1061" s="240"/>
      <c r="W1061" s="238">
        <f t="shared" si="58"/>
        <v>0</v>
      </c>
      <c r="Y1061" s="223" t="str">
        <f>'[4]Development - i'!E1060</f>
        <v xml:space="preserve">Supply and fixing of three phase DB box with steel enclosures with cable gland plates for flush /surface mounting with busbars neutral link and each bar (Without MCB) etc( CER NO : 371/18-19)  </v>
      </c>
      <c r="Z1061" s="223" t="str">
        <f t="shared" si="57"/>
        <v>-----------------------</v>
      </c>
    </row>
    <row r="1062" spans="1:26" s="241" customFormat="1" ht="69.75">
      <c r="A1062" s="345"/>
      <c r="B1062" s="306" t="s">
        <v>1468</v>
      </c>
      <c r="C1062" s="306" t="s">
        <v>1468</v>
      </c>
      <c r="D1062" s="235" t="str">
        <f t="shared" si="59"/>
        <v xml:space="preserve"> OK</v>
      </c>
      <c r="E1062" s="254" t="s">
        <v>1468</v>
      </c>
      <c r="F1062" s="254" t="s">
        <v>1468</v>
      </c>
      <c r="G1062" s="298">
        <v>750</v>
      </c>
      <c r="H1062" s="298" t="s">
        <v>556</v>
      </c>
      <c r="I1062" s="300"/>
      <c r="J1062" s="300"/>
      <c r="K1062" s="270"/>
      <c r="L1062" s="301"/>
      <c r="M1062" s="270"/>
      <c r="N1062" s="270"/>
      <c r="O1062" s="270"/>
      <c r="P1062" s="270"/>
      <c r="Q1062" s="270"/>
      <c r="R1062" s="270"/>
      <c r="S1062" s="270"/>
      <c r="T1062" s="301"/>
      <c r="U1062" s="270"/>
      <c r="V1062" s="240"/>
      <c r="W1062" s="238">
        <f t="shared" si="58"/>
        <v>0</v>
      </c>
      <c r="Y1062" s="223" t="str">
        <f>'[4]Development - i'!E1061</f>
        <v xml:space="preserve">Supplying and fixing of Rotary switch with 3 nos Indicator lamps including interconnection wire etc( CER NO : 371/18-19)  </v>
      </c>
      <c r="Z1062" s="223" t="str">
        <f t="shared" si="57"/>
        <v>-----------------------</v>
      </c>
    </row>
    <row r="1063" spans="1:26" s="241" customFormat="1" ht="46.5">
      <c r="A1063" s="345"/>
      <c r="B1063" s="306" t="s">
        <v>1469</v>
      </c>
      <c r="C1063" s="306" t="s">
        <v>1469</v>
      </c>
      <c r="D1063" s="235" t="str">
        <f t="shared" si="59"/>
        <v xml:space="preserve"> OK</v>
      </c>
      <c r="E1063" s="254" t="s">
        <v>1469</v>
      </c>
      <c r="F1063" s="254" t="s">
        <v>1469</v>
      </c>
      <c r="G1063" s="298">
        <v>125</v>
      </c>
      <c r="H1063" s="298" t="s">
        <v>556</v>
      </c>
      <c r="I1063" s="300"/>
      <c r="J1063" s="300"/>
      <c r="K1063" s="270"/>
      <c r="L1063" s="301"/>
      <c r="M1063" s="270"/>
      <c r="N1063" s="270"/>
      <c r="O1063" s="270"/>
      <c r="P1063" s="270"/>
      <c r="Q1063" s="270"/>
      <c r="R1063" s="270"/>
      <c r="S1063" s="270"/>
      <c r="T1063" s="301"/>
      <c r="U1063" s="270"/>
      <c r="V1063" s="240"/>
      <c r="W1063" s="238">
        <f t="shared" si="58"/>
        <v>0</v>
      </c>
      <c r="Y1063" s="223" t="str">
        <f>'[4]Development - i'!E1062</f>
        <v xml:space="preserve">Supplying and fixing of single pole 6 Amps to 32 Amps MCB( CER NO : 371/18-19)  </v>
      </c>
      <c r="Z1063" s="223" t="str">
        <f t="shared" si="57"/>
        <v>-----------------------</v>
      </c>
    </row>
    <row r="1064" spans="1:26" s="241" customFormat="1" ht="46.5">
      <c r="A1064" s="345"/>
      <c r="B1064" s="306" t="s">
        <v>1470</v>
      </c>
      <c r="C1064" s="306" t="s">
        <v>1470</v>
      </c>
      <c r="D1064" s="235" t="str">
        <f t="shared" si="59"/>
        <v xml:space="preserve"> OK</v>
      </c>
      <c r="E1064" s="254" t="s">
        <v>1470</v>
      </c>
      <c r="F1064" s="254" t="s">
        <v>1470</v>
      </c>
      <c r="G1064" s="298">
        <v>600</v>
      </c>
      <c r="H1064" s="298" t="s">
        <v>556</v>
      </c>
      <c r="I1064" s="300"/>
      <c r="J1064" s="300"/>
      <c r="K1064" s="270"/>
      <c r="L1064" s="301"/>
      <c r="M1064" s="270"/>
      <c r="N1064" s="270"/>
      <c r="O1064" s="270"/>
      <c r="P1064" s="270"/>
      <c r="Q1064" s="270"/>
      <c r="R1064" s="270"/>
      <c r="S1064" s="270"/>
      <c r="T1064" s="301"/>
      <c r="U1064" s="270"/>
      <c r="V1064" s="240"/>
      <c r="W1064" s="238">
        <f t="shared" si="58"/>
        <v>0</v>
      </c>
      <c r="Y1064" s="223" t="str">
        <f>'[4]Development - i'!E1063</f>
        <v xml:space="preserve">Supplying and fixing of 4' 18 W LED Tube light fittings etc.,( CER NO : 371/18-19)  </v>
      </c>
      <c r="Z1064" s="223" t="str">
        <f t="shared" si="57"/>
        <v>-----------------------</v>
      </c>
    </row>
    <row r="1065" spans="1:26" s="241" customFormat="1" ht="46.5">
      <c r="A1065" s="345"/>
      <c r="B1065" s="306" t="s">
        <v>1471</v>
      </c>
      <c r="C1065" s="306" t="s">
        <v>1471</v>
      </c>
      <c r="D1065" s="235" t="str">
        <f t="shared" si="59"/>
        <v xml:space="preserve"> OK</v>
      </c>
      <c r="E1065" s="254" t="s">
        <v>1471</v>
      </c>
      <c r="F1065" s="254" t="s">
        <v>1471</v>
      </c>
      <c r="G1065" s="298">
        <v>170</v>
      </c>
      <c r="H1065" s="298" t="s">
        <v>556</v>
      </c>
      <c r="I1065" s="300"/>
      <c r="J1065" s="300"/>
      <c r="K1065" s="270"/>
      <c r="L1065" s="301"/>
      <c r="M1065" s="270"/>
      <c r="N1065" s="270"/>
      <c r="O1065" s="270"/>
      <c r="P1065" s="270"/>
      <c r="Q1065" s="270"/>
      <c r="R1065" s="270"/>
      <c r="S1065" s="270"/>
      <c r="T1065" s="301"/>
      <c r="U1065" s="270"/>
      <c r="V1065" s="240"/>
      <c r="W1065" s="238">
        <f t="shared" si="58"/>
        <v>0</v>
      </c>
      <c r="Y1065" s="223" t="str">
        <f>'[4]Development - i'!E1064</f>
        <v xml:space="preserve">Supplying and fixing of 12 w LED Bulb etc., all complete.( CER NO : 371/18-19)  </v>
      </c>
      <c r="Z1065" s="223" t="str">
        <f t="shared" si="57"/>
        <v>-----------------------</v>
      </c>
    </row>
    <row r="1066" spans="1:26" s="241" customFormat="1" ht="46.5">
      <c r="A1066" s="345"/>
      <c r="B1066" s="306" t="s">
        <v>1472</v>
      </c>
      <c r="C1066" s="306" t="s">
        <v>1472</v>
      </c>
      <c r="D1066" s="235" t="str">
        <f t="shared" si="59"/>
        <v xml:space="preserve"> OK</v>
      </c>
      <c r="E1066" s="254" t="s">
        <v>1472</v>
      </c>
      <c r="F1066" s="254" t="s">
        <v>1472</v>
      </c>
      <c r="G1066" s="298"/>
      <c r="H1066" s="298"/>
      <c r="I1066" s="300"/>
      <c r="J1066" s="300"/>
      <c r="K1066" s="270"/>
      <c r="L1066" s="301"/>
      <c r="M1066" s="270"/>
      <c r="N1066" s="270"/>
      <c r="O1066" s="270"/>
      <c r="P1066" s="270"/>
      <c r="Q1066" s="270"/>
      <c r="R1066" s="270"/>
      <c r="S1066" s="270"/>
      <c r="T1066" s="301"/>
      <c r="U1066" s="270"/>
      <c r="V1066" s="240"/>
      <c r="W1066" s="238">
        <f t="shared" si="58"/>
        <v>0</v>
      </c>
      <c r="Y1066" s="223" t="str">
        <f>'[4]Development - i'!E1065</f>
        <v xml:space="preserve">Supplying and fixing of Following watt LED Lamp etc., all complete.( CER NO : 371/18-19)  </v>
      </c>
      <c r="Z1066" s="223" t="str">
        <f t="shared" si="57"/>
        <v>-----------------------</v>
      </c>
    </row>
    <row r="1067" spans="1:26" s="241" customFormat="1">
      <c r="A1067" s="345"/>
      <c r="B1067" s="306" t="s">
        <v>1473</v>
      </c>
      <c r="C1067" s="306" t="s">
        <v>1473</v>
      </c>
      <c r="D1067" s="235" t="str">
        <f t="shared" si="59"/>
        <v xml:space="preserve"> OK</v>
      </c>
      <c r="E1067" s="254" t="s">
        <v>1473</v>
      </c>
      <c r="F1067" s="254" t="s">
        <v>1473</v>
      </c>
      <c r="G1067" s="298">
        <v>81</v>
      </c>
      <c r="H1067" s="298" t="s">
        <v>556</v>
      </c>
      <c r="I1067" s="300"/>
      <c r="J1067" s="300"/>
      <c r="K1067" s="270"/>
      <c r="L1067" s="301"/>
      <c r="M1067" s="270"/>
      <c r="N1067" s="270"/>
      <c r="O1067" s="270"/>
      <c r="P1067" s="270"/>
      <c r="Q1067" s="270"/>
      <c r="R1067" s="270"/>
      <c r="S1067" s="270"/>
      <c r="T1067" s="301"/>
      <c r="U1067" s="270"/>
      <c r="V1067" s="240"/>
      <c r="W1067" s="238">
        <f t="shared" si="58"/>
        <v>0</v>
      </c>
      <c r="Y1067" s="223" t="str">
        <f>'[4]Development - i'!E1066</f>
        <v>a) 9W LED Bulb</v>
      </c>
      <c r="Z1067" s="223" t="str">
        <f t="shared" si="57"/>
        <v>-----------------------</v>
      </c>
    </row>
    <row r="1068" spans="1:26" s="241" customFormat="1" ht="69.75">
      <c r="A1068" s="427"/>
      <c r="B1068" s="306" t="s">
        <v>1474</v>
      </c>
      <c r="C1068" s="306" t="s">
        <v>1474</v>
      </c>
      <c r="D1068" s="235" t="str">
        <f t="shared" si="59"/>
        <v xml:space="preserve"> OK</v>
      </c>
      <c r="E1068" s="254" t="s">
        <v>1474</v>
      </c>
      <c r="F1068" s="254" t="s">
        <v>1474</v>
      </c>
      <c r="G1068" s="298">
        <v>431</v>
      </c>
      <c r="H1068" s="298" t="s">
        <v>556</v>
      </c>
      <c r="I1068" s="300"/>
      <c r="J1068" s="300"/>
      <c r="K1068" s="270"/>
      <c r="L1068" s="301"/>
      <c r="M1068" s="270"/>
      <c r="N1068" s="270"/>
      <c r="O1068" s="270"/>
      <c r="P1068" s="270"/>
      <c r="Q1068" s="270"/>
      <c r="R1068" s="270"/>
      <c r="S1068" s="270"/>
      <c r="T1068" s="301"/>
      <c r="U1068" s="270"/>
      <c r="V1068" s="242"/>
      <c r="W1068" s="238">
        <f t="shared" si="58"/>
        <v>0</v>
      </c>
      <c r="Y1068" s="223" t="str">
        <f>'[4]Development - i'!E1067</f>
        <v xml:space="preserve">Supplying and fixing of BulkHead Fittings suitable for 12 w LED Bulb etc., all complete.( CER NO : 371/18-19)  </v>
      </c>
      <c r="Z1068" s="223" t="str">
        <f t="shared" si="57"/>
        <v>-----------------------</v>
      </c>
    </row>
    <row r="1069" spans="1:26" ht="87">
      <c r="A1069" s="428"/>
      <c r="B1069" s="313" t="s">
        <v>2275</v>
      </c>
      <c r="C1069" s="306" t="s">
        <v>2275</v>
      </c>
      <c r="D1069" s="235" t="str">
        <f t="shared" si="59"/>
        <v xml:space="preserve"> OK</v>
      </c>
      <c r="E1069" s="254" t="s">
        <v>493</v>
      </c>
      <c r="F1069" s="254" t="s">
        <v>1475</v>
      </c>
      <c r="G1069" s="298">
        <f>[3]Data!R3601</f>
        <v>2876.5</v>
      </c>
      <c r="H1069" s="298" t="s">
        <v>556</v>
      </c>
      <c r="I1069" s="299"/>
      <c r="J1069" s="300"/>
      <c r="K1069" s="270"/>
      <c r="L1069" s="301"/>
      <c r="M1069" s="270"/>
      <c r="N1069" s="270"/>
      <c r="O1069" s="270"/>
      <c r="P1069" s="270"/>
      <c r="Q1069" s="270"/>
      <c r="R1069" s="270"/>
      <c r="S1069" s="270"/>
      <c r="T1069" s="301"/>
      <c r="U1069" s="302"/>
      <c r="V1069" s="236">
        <f>'[3]Precast Compound wall '!H257</f>
        <v>5</v>
      </c>
      <c r="W1069" s="233">
        <f t="shared" si="58"/>
        <v>701.25</v>
      </c>
      <c r="Y1069" s="223" t="str">
        <f>'[4]Development - i'!E1068</f>
        <v xml:space="preserve">Supply and fixing of 25w LED street light </v>
      </c>
      <c r="Z1069" s="223" t="str">
        <f t="shared" si="57"/>
        <v>-----------------------</v>
      </c>
    </row>
    <row r="1070" spans="1:26" s="241" customFormat="1" ht="186">
      <c r="A1070" s="344"/>
      <c r="B1070" s="306" t="s">
        <v>1476</v>
      </c>
      <c r="C1070" s="306" t="s">
        <v>1476</v>
      </c>
      <c r="D1070" s="235" t="str">
        <f t="shared" si="59"/>
        <v xml:space="preserve"> OK</v>
      </c>
      <c r="E1070" s="254" t="s">
        <v>1476</v>
      </c>
      <c r="F1070" s="254">
        <v>0</v>
      </c>
      <c r="G1070" s="298">
        <v>140.25</v>
      </c>
      <c r="H1070" s="298" t="s">
        <v>556</v>
      </c>
      <c r="I1070" s="300"/>
      <c r="J1070" s="300"/>
      <c r="K1070" s="270"/>
      <c r="L1070" s="301"/>
      <c r="M1070" s="270"/>
      <c r="N1070" s="270"/>
      <c r="O1070" s="270"/>
      <c r="P1070" s="270"/>
      <c r="Q1070" s="270"/>
      <c r="R1070" s="270"/>
      <c r="S1070" s="270"/>
      <c r="T1070" s="301"/>
      <c r="U1070" s="270"/>
      <c r="V1070" s="237"/>
      <c r="W1070" s="238">
        <f t="shared" si="58"/>
        <v>0</v>
      </c>
      <c r="Y1070" s="223" t="str">
        <f>'[4]Development - i'!E1069</f>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Z1070" s="223" t="str">
        <f t="shared" si="57"/>
        <v>-----------------------</v>
      </c>
    </row>
    <row r="1071" spans="1:26" s="241" customFormat="1" ht="46.5">
      <c r="A1071" s="345"/>
      <c r="B1071" s="306" t="s">
        <v>1477</v>
      </c>
      <c r="C1071" s="306" t="s">
        <v>1477</v>
      </c>
      <c r="D1071" s="235" t="str">
        <f t="shared" si="59"/>
        <v xml:space="preserve"> OK</v>
      </c>
      <c r="E1071" s="254" t="s">
        <v>1477</v>
      </c>
      <c r="F1071" s="254">
        <v>0</v>
      </c>
      <c r="G1071" s="298">
        <v>800</v>
      </c>
      <c r="H1071" s="298" t="s">
        <v>556</v>
      </c>
      <c r="I1071" s="300"/>
      <c r="J1071" s="300"/>
      <c r="K1071" s="270"/>
      <c r="L1071" s="301"/>
      <c r="M1071" s="270"/>
      <c r="N1071" s="270"/>
      <c r="O1071" s="270"/>
      <c r="P1071" s="270"/>
      <c r="Q1071" s="270"/>
      <c r="R1071" s="270"/>
      <c r="S1071" s="270"/>
      <c r="T1071" s="301"/>
      <c r="U1071" s="270"/>
      <c r="V1071" s="240"/>
      <c r="W1071" s="238">
        <f t="shared" si="58"/>
        <v>0</v>
      </c>
      <c r="Y1071" s="223" t="str">
        <f>'[4]Development - i'!E1070</f>
        <v>Supplying &amp; fixing of 500 watt Focus light fittings etc., all complete.</v>
      </c>
      <c r="Z1071" s="223" t="str">
        <f t="shared" si="57"/>
        <v>-----------------------</v>
      </c>
    </row>
    <row r="1072" spans="1:26" s="241" customFormat="1" ht="46.5">
      <c r="A1072" s="345"/>
      <c r="B1072" s="306" t="s">
        <v>1478</v>
      </c>
      <c r="C1072" s="306" t="s">
        <v>1478</v>
      </c>
      <c r="D1072" s="235" t="str">
        <f t="shared" si="59"/>
        <v xml:space="preserve"> OK</v>
      </c>
      <c r="E1072" s="254" t="s">
        <v>1478</v>
      </c>
      <c r="F1072" s="254">
        <v>0</v>
      </c>
      <c r="G1072" s="298">
        <v>3529</v>
      </c>
      <c r="H1072" s="298" t="s">
        <v>556</v>
      </c>
      <c r="I1072" s="300"/>
      <c r="J1072" s="300"/>
      <c r="K1072" s="270"/>
      <c r="L1072" s="301"/>
      <c r="M1072" s="270"/>
      <c r="N1072" s="270"/>
      <c r="O1072" s="270"/>
      <c r="P1072" s="270"/>
      <c r="Q1072" s="270"/>
      <c r="R1072" s="270"/>
      <c r="S1072" s="270"/>
      <c r="T1072" s="301"/>
      <c r="U1072" s="270"/>
      <c r="V1072" s="240"/>
      <c r="W1072" s="238">
        <f t="shared" si="58"/>
        <v>0</v>
      </c>
      <c r="Y1072" s="223" t="str">
        <f>'[4]Development - i'!E1071</f>
        <v>Supplying and fixing of 250 watt sodium vapour fitting and lamp etc., all complete.</v>
      </c>
      <c r="Z1072" s="223" t="str">
        <f t="shared" si="57"/>
        <v>-----------------------</v>
      </c>
    </row>
    <row r="1073" spans="1:26" s="241" customFormat="1" ht="46.5">
      <c r="A1073" s="345"/>
      <c r="B1073" s="306" t="s">
        <v>1479</v>
      </c>
      <c r="C1073" s="306" t="s">
        <v>1479</v>
      </c>
      <c r="D1073" s="235" t="str">
        <f t="shared" si="59"/>
        <v xml:space="preserve"> OK</v>
      </c>
      <c r="E1073" s="254" t="s">
        <v>1479</v>
      </c>
      <c r="F1073" s="254">
        <v>0</v>
      </c>
      <c r="G1073" s="298">
        <v>750</v>
      </c>
      <c r="H1073" s="298" t="s">
        <v>556</v>
      </c>
      <c r="I1073" s="300"/>
      <c r="J1073" s="300"/>
      <c r="K1073" s="270"/>
      <c r="L1073" s="301"/>
      <c r="M1073" s="270"/>
      <c r="N1073" s="270"/>
      <c r="O1073" s="270"/>
      <c r="P1073" s="270"/>
      <c r="Q1073" s="270"/>
      <c r="R1073" s="270"/>
      <c r="S1073" s="270"/>
      <c r="T1073" s="301"/>
      <c r="U1073" s="270"/>
      <c r="V1073" s="240"/>
      <c r="W1073" s="238">
        <f t="shared" si="58"/>
        <v>0</v>
      </c>
      <c r="Y1073" s="223" t="str">
        <f>'[4]Development - i'!E1072</f>
        <v>Supplying &amp; fixing  of  12" dome light fittings and 9watts led bulb etc., all complete.</v>
      </c>
      <c r="Z1073" s="223" t="str">
        <f>IF(Y1073=E1073,"-----------------------","ERRR")</f>
        <v>-----------------------</v>
      </c>
    </row>
    <row r="1074" spans="1:26" s="241" customFormat="1" ht="46.5">
      <c r="A1074" s="345"/>
      <c r="B1074" s="306" t="s">
        <v>1480</v>
      </c>
      <c r="C1074" s="306" t="s">
        <v>1480</v>
      </c>
      <c r="D1074" s="235" t="str">
        <f t="shared" si="59"/>
        <v xml:space="preserve"> OK</v>
      </c>
      <c r="E1074" s="254" t="s">
        <v>1480</v>
      </c>
      <c r="F1074" s="254">
        <v>0</v>
      </c>
      <c r="G1074" s="298">
        <v>475</v>
      </c>
      <c r="H1074" s="298" t="s">
        <v>556</v>
      </c>
      <c r="I1074" s="300"/>
      <c r="J1074" s="300"/>
      <c r="K1074" s="270"/>
      <c r="L1074" s="301"/>
      <c r="M1074" s="270"/>
      <c r="N1074" s="270"/>
      <c r="O1074" s="270"/>
      <c r="P1074" s="270"/>
      <c r="Q1074" s="270"/>
      <c r="R1074" s="270"/>
      <c r="S1074" s="270"/>
      <c r="T1074" s="301"/>
      <c r="U1074" s="270"/>
      <c r="V1074" s="240"/>
      <c r="W1074" s="238">
        <f t="shared" si="58"/>
        <v>0</v>
      </c>
      <c r="Y1074" s="223" t="str">
        <f>'[4]Development - i'!E1073</f>
        <v>Supplying &amp; fixing of spot light fittings and led bulb etc., all complete.</v>
      </c>
      <c r="Z1074" s="223" t="str">
        <f>IF(Y1074=E1074,"-----------------------","ERRR")</f>
        <v>-----------------------</v>
      </c>
    </row>
    <row r="1075" spans="1:26" s="241" customFormat="1" ht="186">
      <c r="A1075" s="345"/>
      <c r="B1075" s="306" t="s">
        <v>1481</v>
      </c>
      <c r="C1075" s="306" t="s">
        <v>1481</v>
      </c>
      <c r="D1075" s="235" t="str">
        <f t="shared" si="59"/>
        <v xml:space="preserve"> OK</v>
      </c>
      <c r="E1075" s="254" t="s">
        <v>1481</v>
      </c>
      <c r="F1075" s="254">
        <v>0</v>
      </c>
      <c r="G1075" s="298">
        <v>12940</v>
      </c>
      <c r="H1075" s="298" t="s">
        <v>556</v>
      </c>
      <c r="I1075" s="300"/>
      <c r="J1075" s="300"/>
      <c r="K1075" s="270"/>
      <c r="L1075" s="301"/>
      <c r="M1075" s="270"/>
      <c r="N1075" s="270"/>
      <c r="O1075" s="270"/>
      <c r="P1075" s="270"/>
      <c r="Q1075" s="270"/>
      <c r="R1075" s="270"/>
      <c r="S1075" s="270"/>
      <c r="T1075" s="301"/>
      <c r="U1075" s="270"/>
      <c r="V1075" s="240"/>
      <c r="W1075" s="238">
        <f t="shared" si="58"/>
        <v>0</v>
      </c>
      <c r="Y1075" s="223" t="str">
        <f>'[4]Development - i'!E1074</f>
        <v>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v>
      </c>
      <c r="Z1075" s="223" t="str">
        <f>IF(Y1075=E1075,"-----------------------","ERRR")</f>
        <v>-----------------------</v>
      </c>
    </row>
    <row r="1076" spans="1:26" s="241" customFormat="1">
      <c r="A1076" s="432"/>
      <c r="B1076" s="306" t="s">
        <v>1291</v>
      </c>
      <c r="C1076" s="306" t="s">
        <v>1291</v>
      </c>
      <c r="D1076" s="235" t="str">
        <f t="shared" si="59"/>
        <v xml:space="preserve"> OK</v>
      </c>
      <c r="E1076" s="254" t="s">
        <v>1291</v>
      </c>
      <c r="F1076" s="254">
        <v>0</v>
      </c>
      <c r="G1076" s="298"/>
      <c r="H1076" s="298" t="s">
        <v>556</v>
      </c>
      <c r="I1076" s="433"/>
      <c r="J1076" s="300"/>
      <c r="K1076" s="240"/>
      <c r="L1076" s="301"/>
      <c r="M1076" s="270"/>
      <c r="N1076" s="240"/>
      <c r="O1076" s="270"/>
      <c r="P1076" s="240"/>
      <c r="Q1076" s="270"/>
      <c r="R1076" s="240"/>
      <c r="S1076" s="270"/>
      <c r="T1076" s="268"/>
      <c r="U1076" s="240"/>
      <c r="V1076" s="240"/>
      <c r="W1076" s="238">
        <f t="shared" si="58"/>
        <v>0</v>
      </c>
      <c r="Y1076" s="223" t="str">
        <f>'[4]Development - i'!E1075</f>
        <v>MS door of Size 1000 x 2100mm</v>
      </c>
      <c r="Z1076" s="223" t="str">
        <f t="shared" ref="Z1076:Z1139" si="60">IF(Y1076=E1076,"-----------------------","ERRR")</f>
        <v>-----------------------</v>
      </c>
    </row>
    <row r="1077" spans="1:26" s="241" customFormat="1">
      <c r="A1077" s="432"/>
      <c r="B1077" s="306" t="s">
        <v>1292</v>
      </c>
      <c r="C1077" s="306" t="s">
        <v>1292</v>
      </c>
      <c r="D1077" s="235" t="str">
        <f t="shared" si="59"/>
        <v xml:space="preserve"> OK</v>
      </c>
      <c r="E1077" s="254" t="s">
        <v>1292</v>
      </c>
      <c r="F1077" s="254">
        <v>0</v>
      </c>
      <c r="G1077" s="298"/>
      <c r="H1077" s="298" t="s">
        <v>556</v>
      </c>
      <c r="I1077" s="433"/>
      <c r="J1077" s="300"/>
      <c r="K1077" s="240"/>
      <c r="L1077" s="301"/>
      <c r="M1077" s="270"/>
      <c r="N1077" s="240"/>
      <c r="O1077" s="270"/>
      <c r="P1077" s="240"/>
      <c r="Q1077" s="270"/>
      <c r="R1077" s="240"/>
      <c r="S1077" s="270"/>
      <c r="T1077" s="268"/>
      <c r="U1077" s="240"/>
      <c r="V1077" s="240"/>
      <c r="W1077" s="238">
        <f t="shared" si="58"/>
        <v>0</v>
      </c>
      <c r="Y1077" s="223" t="str">
        <f>'[4]Development - i'!E1076</f>
        <v>MS door of Size 750 x 1350mm</v>
      </c>
      <c r="Z1077" s="223" t="str">
        <f t="shared" si="60"/>
        <v>-----------------------</v>
      </c>
    </row>
    <row r="1078" spans="1:26" s="241" customFormat="1">
      <c r="A1078" s="432"/>
      <c r="B1078" s="306" t="s">
        <v>1298</v>
      </c>
      <c r="C1078" s="306" t="s">
        <v>1298</v>
      </c>
      <c r="D1078" s="235" t="str">
        <f t="shared" si="59"/>
        <v xml:space="preserve"> OK</v>
      </c>
      <c r="E1078" s="254" t="s">
        <v>1298</v>
      </c>
      <c r="F1078" s="254">
        <v>0</v>
      </c>
      <c r="G1078" s="298">
        <f>[3]Data!K2510</f>
        <v>3814.33</v>
      </c>
      <c r="H1078" s="298" t="s">
        <v>26</v>
      </c>
      <c r="I1078" s="433"/>
      <c r="J1078" s="300"/>
      <c r="K1078" s="240"/>
      <c r="L1078" s="301"/>
      <c r="M1078" s="270"/>
      <c r="N1078" s="240"/>
      <c r="O1078" s="270"/>
      <c r="P1078" s="240"/>
      <c r="Q1078" s="270"/>
      <c r="R1078" s="240"/>
      <c r="S1078" s="270"/>
      <c r="T1078" s="268"/>
      <c r="U1078" s="240"/>
      <c r="V1078" s="240"/>
      <c r="W1078" s="238">
        <f t="shared" si="58"/>
        <v>0</v>
      </c>
      <c r="Y1078" s="223" t="str">
        <f>'[4]Development - i'!E1077</f>
        <v>MS Ventilator of Size 900 x 600mm</v>
      </c>
      <c r="Z1078" s="223" t="str">
        <f t="shared" si="60"/>
        <v>-----------------------</v>
      </c>
    </row>
    <row r="1079" spans="1:26" s="241" customFormat="1">
      <c r="A1079" s="432"/>
      <c r="B1079" s="306" t="s">
        <v>1299</v>
      </c>
      <c r="C1079" s="306" t="s">
        <v>1299</v>
      </c>
      <c r="D1079" s="235" t="str">
        <f t="shared" si="59"/>
        <v xml:space="preserve"> OK</v>
      </c>
      <c r="E1079" s="254" t="s">
        <v>1299</v>
      </c>
      <c r="F1079" s="254">
        <v>0</v>
      </c>
      <c r="G1079" s="298">
        <f>[3]Data!K2533</f>
        <v>4038.14</v>
      </c>
      <c r="H1079" s="298" t="s">
        <v>26</v>
      </c>
      <c r="I1079" s="433"/>
      <c r="J1079" s="433"/>
      <c r="K1079" s="240"/>
      <c r="L1079" s="301"/>
      <c r="M1079" s="270"/>
      <c r="N1079" s="240"/>
      <c r="O1079" s="270"/>
      <c r="P1079" s="240"/>
      <c r="Q1079" s="270"/>
      <c r="R1079" s="240"/>
      <c r="S1079" s="270"/>
      <c r="T1079" s="268"/>
      <c r="U1079" s="240"/>
      <c r="V1079" s="240"/>
      <c r="W1079" s="238">
        <f t="shared" si="58"/>
        <v>0</v>
      </c>
      <c r="Y1079" s="223" t="str">
        <f>'[4]Development - i'!E1078</f>
        <v>MS Ventilator of Size 600 x 600mm</v>
      </c>
      <c r="Z1079" s="223" t="str">
        <f t="shared" si="60"/>
        <v>-----------------------</v>
      </c>
    </row>
    <row r="1080" spans="1:26" s="241" customFormat="1">
      <c r="A1080" s="432"/>
      <c r="B1080" s="306" t="s">
        <v>1300</v>
      </c>
      <c r="C1080" s="306" t="s">
        <v>1300</v>
      </c>
      <c r="D1080" s="235" t="str">
        <f t="shared" si="59"/>
        <v xml:space="preserve"> OK</v>
      </c>
      <c r="E1080" s="254" t="s">
        <v>1300</v>
      </c>
      <c r="F1080" s="254">
        <v>0</v>
      </c>
      <c r="G1080" s="298">
        <f>[3]Data!R2598</f>
        <v>3477.23</v>
      </c>
      <c r="H1080" s="298" t="s">
        <v>26</v>
      </c>
      <c r="I1080" s="433"/>
      <c r="J1080" s="433"/>
      <c r="K1080" s="240"/>
      <c r="L1080" s="301"/>
      <c r="M1080" s="270"/>
      <c r="N1080" s="240"/>
      <c r="O1080" s="270"/>
      <c r="P1080" s="240"/>
      <c r="Q1080" s="270"/>
      <c r="R1080" s="240"/>
      <c r="S1080" s="270"/>
      <c r="T1080" s="268"/>
      <c r="U1080" s="240"/>
      <c r="V1080" s="240"/>
      <c r="W1080" s="238">
        <f t="shared" si="58"/>
        <v>0</v>
      </c>
      <c r="Y1080" s="223" t="str">
        <f>'[4]Development - i'!E1079</f>
        <v>MS Ventilator of Size 1285 x 600mm</v>
      </c>
      <c r="Z1080" s="223" t="str">
        <f t="shared" si="60"/>
        <v>-----------------------</v>
      </c>
    </row>
    <row r="1081" spans="1:26" s="241" customFormat="1">
      <c r="A1081" s="432"/>
      <c r="B1081" s="306" t="s">
        <v>1294</v>
      </c>
      <c r="C1081" s="306" t="s">
        <v>1294</v>
      </c>
      <c r="D1081" s="235" t="str">
        <f t="shared" si="59"/>
        <v xml:space="preserve"> OK</v>
      </c>
      <c r="E1081" s="254" t="s">
        <v>1294</v>
      </c>
      <c r="F1081" s="254">
        <v>0</v>
      </c>
      <c r="G1081" s="298"/>
      <c r="H1081" s="298" t="s">
        <v>26</v>
      </c>
      <c r="I1081" s="433"/>
      <c r="J1081" s="433"/>
      <c r="K1081" s="240"/>
      <c r="L1081" s="240"/>
      <c r="M1081" s="240"/>
      <c r="N1081" s="240"/>
      <c r="O1081" s="270"/>
      <c r="P1081" s="240"/>
      <c r="Q1081" s="270"/>
      <c r="R1081" s="240"/>
      <c r="S1081" s="270"/>
      <c r="T1081" s="268"/>
      <c r="U1081" s="240"/>
      <c r="V1081" s="240"/>
      <c r="W1081" s="238">
        <f t="shared" si="58"/>
        <v>0</v>
      </c>
      <c r="Y1081" s="223" t="str">
        <f>'[4]Development - i'!E1080</f>
        <v>MS Ventilator of Size 1350 x 600mm</v>
      </c>
      <c r="Z1081" s="223" t="str">
        <f t="shared" si="60"/>
        <v>-----------------------</v>
      </c>
    </row>
    <row r="1082" spans="1:26" s="241" customFormat="1">
      <c r="A1082" s="432"/>
      <c r="B1082" s="306" t="s">
        <v>1482</v>
      </c>
      <c r="C1082" s="306" t="s">
        <v>1482</v>
      </c>
      <c r="D1082" s="235" t="str">
        <f t="shared" si="59"/>
        <v xml:space="preserve"> OK</v>
      </c>
      <c r="E1082" s="254" t="s">
        <v>1482</v>
      </c>
      <c r="F1082" s="254">
        <v>0</v>
      </c>
      <c r="G1082" s="298"/>
      <c r="H1082" s="298" t="s">
        <v>26</v>
      </c>
      <c r="I1082" s="433"/>
      <c r="J1082" s="433"/>
      <c r="K1082" s="240"/>
      <c r="L1082" s="240"/>
      <c r="M1082" s="240"/>
      <c r="N1082" s="240"/>
      <c r="O1082" s="270"/>
      <c r="P1082" s="240"/>
      <c r="Q1082" s="270"/>
      <c r="R1082" s="240"/>
      <c r="S1082" s="270"/>
      <c r="T1082" s="268"/>
      <c r="U1082" s="240"/>
      <c r="V1082" s="240"/>
      <c r="W1082" s="238">
        <f t="shared" si="58"/>
        <v>0</v>
      </c>
      <c r="Y1082" s="223" t="str">
        <f>'[4]Development - i'!E1081</f>
        <v>TW double leaves shutter of size 1800 x 2100mm</v>
      </c>
      <c r="Z1082" s="223" t="str">
        <f t="shared" si="60"/>
        <v>-----------------------</v>
      </c>
    </row>
    <row r="1083" spans="1:26" s="241" customFormat="1" ht="46.5">
      <c r="A1083" s="432"/>
      <c r="B1083" s="306" t="s">
        <v>1483</v>
      </c>
      <c r="C1083" s="306" t="s">
        <v>1483</v>
      </c>
      <c r="D1083" s="235" t="str">
        <f t="shared" si="59"/>
        <v xml:space="preserve"> OK</v>
      </c>
      <c r="E1083" s="254" t="s">
        <v>1483</v>
      </c>
      <c r="F1083" s="254">
        <v>0</v>
      </c>
      <c r="G1083" s="298"/>
      <c r="H1083" s="298" t="s">
        <v>26</v>
      </c>
      <c r="I1083" s="433"/>
      <c r="J1083" s="433"/>
      <c r="K1083" s="240"/>
      <c r="L1083" s="240"/>
      <c r="M1083" s="240"/>
      <c r="N1083" s="240"/>
      <c r="O1083" s="270"/>
      <c r="P1083" s="240"/>
      <c r="Q1083" s="270"/>
      <c r="R1083" s="240"/>
      <c r="S1083" s="270"/>
      <c r="T1083" s="268"/>
      <c r="U1083" s="240"/>
      <c r="V1083" s="240"/>
      <c r="W1083" s="238">
        <f t="shared" si="58"/>
        <v>0</v>
      </c>
      <c r="Y1083" s="223" t="str">
        <f>'[4]Development - i'!E1082</f>
        <v>Ornamental TW double leaves panelled shutter of size 1800 x 2100mm</v>
      </c>
      <c r="Z1083" s="223" t="str">
        <f t="shared" si="60"/>
        <v>-----------------------</v>
      </c>
    </row>
    <row r="1084" spans="1:26" s="241" customFormat="1" ht="46.5">
      <c r="A1084" s="432"/>
      <c r="B1084" s="306" t="s">
        <v>1484</v>
      </c>
      <c r="C1084" s="306" t="s">
        <v>1484</v>
      </c>
      <c r="D1084" s="235" t="str">
        <f t="shared" si="59"/>
        <v xml:space="preserve"> OK</v>
      </c>
      <c r="E1084" s="254" t="s">
        <v>1484</v>
      </c>
      <c r="F1084" s="254">
        <v>0</v>
      </c>
      <c r="G1084" s="298"/>
      <c r="H1084" s="298" t="s">
        <v>26</v>
      </c>
      <c r="I1084" s="433"/>
      <c r="J1084" s="433"/>
      <c r="K1084" s="240"/>
      <c r="L1084" s="240"/>
      <c r="M1084" s="240"/>
      <c r="N1084" s="240"/>
      <c r="O1084" s="270"/>
      <c r="P1084" s="240"/>
      <c r="Q1084" s="270"/>
      <c r="R1084" s="240"/>
      <c r="S1084" s="270"/>
      <c r="T1084" s="268"/>
      <c r="U1084" s="240"/>
      <c r="V1084" s="240"/>
      <c r="W1084" s="238">
        <f t="shared" si="58"/>
        <v>0</v>
      </c>
      <c r="Y1084" s="223" t="str">
        <f>'[4]Development - i'!E1083</f>
        <v>Ornamental TW double leaves panelled shutter of size 1800 x 2400mm</v>
      </c>
      <c r="Z1084" s="223" t="str">
        <f t="shared" si="60"/>
        <v>-----------------------</v>
      </c>
    </row>
    <row r="1085" spans="1:26" s="241" customFormat="1">
      <c r="A1085" s="432"/>
      <c r="B1085" s="306" t="s">
        <v>1485</v>
      </c>
      <c r="C1085" s="306" t="s">
        <v>1485</v>
      </c>
      <c r="D1085" s="235" t="str">
        <f t="shared" si="59"/>
        <v xml:space="preserve"> OK</v>
      </c>
      <c r="E1085" s="254" t="s">
        <v>1485</v>
      </c>
      <c r="F1085" s="254">
        <v>0</v>
      </c>
      <c r="G1085" s="298">
        <f>8.2*1500</f>
        <v>12299.999999999998</v>
      </c>
      <c r="H1085" s="298" t="s">
        <v>556</v>
      </c>
      <c r="I1085" s="433"/>
      <c r="J1085" s="433"/>
      <c r="K1085" s="240"/>
      <c r="L1085" s="240"/>
      <c r="M1085" s="240"/>
      <c r="N1085" s="240"/>
      <c r="O1085" s="270"/>
      <c r="P1085" s="240"/>
      <c r="Q1085" s="270"/>
      <c r="R1085" s="240"/>
      <c r="S1085" s="270"/>
      <c r="T1085" s="268"/>
      <c r="U1085" s="240"/>
      <c r="V1085" s="240"/>
      <c r="W1085" s="238">
        <f t="shared" si="58"/>
        <v>0</v>
      </c>
      <c r="Y1085" s="223" t="str">
        <f>'[4]Development - i'!E1084</f>
        <v>1500 liters capacity of HDPE Water Tank</v>
      </c>
      <c r="Z1085" s="223" t="str">
        <f t="shared" si="60"/>
        <v>-----------------------</v>
      </c>
    </row>
    <row r="1086" spans="1:26" s="241" customFormat="1">
      <c r="A1086" s="432"/>
      <c r="B1086" s="306" t="s">
        <v>1486</v>
      </c>
      <c r="C1086" s="306" t="s">
        <v>1486</v>
      </c>
      <c r="D1086" s="235" t="str">
        <f t="shared" si="59"/>
        <v xml:space="preserve"> OK</v>
      </c>
      <c r="E1086" s="254" t="s">
        <v>1486</v>
      </c>
      <c r="F1086" s="254">
        <v>0</v>
      </c>
      <c r="G1086" s="298">
        <f>[3]Data!K2453</f>
        <v>1276.43</v>
      </c>
      <c r="H1086" s="298" t="s">
        <v>26</v>
      </c>
      <c r="I1086" s="433"/>
      <c r="J1086" s="433"/>
      <c r="K1086" s="240"/>
      <c r="L1086" s="240"/>
      <c r="M1086" s="240"/>
      <c r="N1086" s="240"/>
      <c r="O1086" s="270"/>
      <c r="P1086" s="240"/>
      <c r="Q1086" s="270"/>
      <c r="R1086" s="240"/>
      <c r="S1086" s="270"/>
      <c r="T1086" s="268"/>
      <c r="U1086" s="240"/>
      <c r="V1086" s="240"/>
      <c r="W1086" s="238">
        <f t="shared" si="58"/>
        <v>0</v>
      </c>
      <c r="Y1086" s="223" t="str">
        <f>'[4]Development - i'!E1085</f>
        <v>Providing shahabad stone flooring</v>
      </c>
      <c r="Z1086" s="223" t="str">
        <f t="shared" si="60"/>
        <v>-----------------------</v>
      </c>
    </row>
    <row r="1087" spans="1:26" s="241" customFormat="1" ht="130.5">
      <c r="A1087" s="432"/>
      <c r="B1087" s="306" t="s">
        <v>1196</v>
      </c>
      <c r="C1087" s="306" t="s">
        <v>1196</v>
      </c>
      <c r="D1087" s="235" t="str">
        <f t="shared" si="59"/>
        <v xml:space="preserve"> OK</v>
      </c>
      <c r="E1087" s="254" t="s">
        <v>1196</v>
      </c>
      <c r="F1087" s="254" t="s">
        <v>1195</v>
      </c>
      <c r="G1087" s="298">
        <f>[3]Data!R1248</f>
        <v>1287.46</v>
      </c>
      <c r="H1087" s="298" t="s">
        <v>26</v>
      </c>
      <c r="I1087" s="433"/>
      <c r="J1087" s="433"/>
      <c r="K1087" s="240"/>
      <c r="L1087" s="240"/>
      <c r="M1087" s="240"/>
      <c r="N1087" s="240"/>
      <c r="O1087" s="270"/>
      <c r="P1087" s="240"/>
      <c r="Q1087" s="270"/>
      <c r="R1087" s="240"/>
      <c r="S1087" s="270"/>
      <c r="T1087" s="268"/>
      <c r="U1087" s="240"/>
      <c r="V1087" s="240"/>
      <c r="W1087" s="238">
        <f t="shared" si="58"/>
        <v>0</v>
      </c>
      <c r="Y1087" s="223" t="str">
        <f>'[4]Development - i'!E1086</f>
        <v xml:space="preserve">Eurocon Tiles flooring </v>
      </c>
      <c r="Z1087" s="223" t="str">
        <f t="shared" si="60"/>
        <v>-----------------------</v>
      </c>
    </row>
    <row r="1088" spans="1:26" s="241" customFormat="1">
      <c r="A1088" s="432"/>
      <c r="B1088" s="306" t="s">
        <v>1487</v>
      </c>
      <c r="C1088" s="306" t="s">
        <v>1487</v>
      </c>
      <c r="D1088" s="235" t="str">
        <f t="shared" si="59"/>
        <v xml:space="preserve"> OK</v>
      </c>
      <c r="E1088" s="254" t="s">
        <v>1487</v>
      </c>
      <c r="F1088" s="254">
        <v>0</v>
      </c>
      <c r="G1088" s="298">
        <f>[3]Data!R1290</f>
        <v>1111.6199999999999</v>
      </c>
      <c r="H1088" s="298" t="s">
        <v>26</v>
      </c>
      <c r="I1088" s="433"/>
      <c r="J1088" s="433"/>
      <c r="K1088" s="240"/>
      <c r="L1088" s="240"/>
      <c r="M1088" s="240"/>
      <c r="N1088" s="240"/>
      <c r="O1088" s="270"/>
      <c r="P1088" s="240"/>
      <c r="Q1088" s="270"/>
      <c r="R1088" s="240"/>
      <c r="S1088" s="270"/>
      <c r="T1088" s="268"/>
      <c r="U1088" s="240"/>
      <c r="V1088" s="240"/>
      <c r="W1088" s="238">
        <f t="shared" si="58"/>
        <v>0</v>
      </c>
      <c r="Y1088" s="223" t="str">
        <f>'[4]Development - i'!E1087</f>
        <v xml:space="preserve">Vetrified Tiles flooring </v>
      </c>
      <c r="Z1088" s="223" t="str">
        <f t="shared" si="60"/>
        <v>-----------------------</v>
      </c>
    </row>
    <row r="1089" spans="1:26" s="241" customFormat="1">
      <c r="A1089" s="432"/>
      <c r="B1089" s="306" t="s">
        <v>1488</v>
      </c>
      <c r="C1089" s="306" t="s">
        <v>1488</v>
      </c>
      <c r="D1089" s="235" t="str">
        <f t="shared" si="59"/>
        <v xml:space="preserve"> OK</v>
      </c>
      <c r="E1089" s="254" t="s">
        <v>1488</v>
      </c>
      <c r="F1089" s="254">
        <v>0</v>
      </c>
      <c r="G1089" s="298">
        <f>[3]Data!R2460</f>
        <v>1448.63</v>
      </c>
      <c r="H1089" s="298" t="s">
        <v>26</v>
      </c>
      <c r="I1089" s="433"/>
      <c r="J1089" s="433"/>
      <c r="K1089" s="240"/>
      <c r="L1089" s="240"/>
      <c r="M1089" s="240"/>
      <c r="N1089" s="240"/>
      <c r="O1089" s="270"/>
      <c r="P1089" s="240"/>
      <c r="Q1089" s="270"/>
      <c r="R1089" s="240"/>
      <c r="S1089" s="270"/>
      <c r="T1089" s="268"/>
      <c r="U1089" s="240"/>
      <c r="V1089" s="240"/>
      <c r="W1089" s="238">
        <f t="shared" si="58"/>
        <v>0</v>
      </c>
      <c r="Y1089" s="223" t="str">
        <f>'[4]Development - i'!E1088</f>
        <v xml:space="preserve">kota stone  flooring </v>
      </c>
      <c r="Z1089" s="223" t="str">
        <f t="shared" si="60"/>
        <v>-----------------------</v>
      </c>
    </row>
    <row r="1090" spans="1:26" s="241" customFormat="1">
      <c r="A1090" s="432"/>
      <c r="B1090" s="306" t="s">
        <v>1489</v>
      </c>
      <c r="C1090" s="306" t="s">
        <v>1489</v>
      </c>
      <c r="D1090" s="235" t="str">
        <f t="shared" si="59"/>
        <v xml:space="preserve"> OK</v>
      </c>
      <c r="E1090" s="254" t="s">
        <v>1489</v>
      </c>
      <c r="F1090" s="254">
        <v>0</v>
      </c>
      <c r="G1090" s="298">
        <f>[3]Data!AD1275</f>
        <v>1446.32</v>
      </c>
      <c r="H1090" s="298" t="s">
        <v>26</v>
      </c>
      <c r="I1090" s="433"/>
      <c r="J1090" s="433"/>
      <c r="K1090" s="240"/>
      <c r="L1090" s="240"/>
      <c r="M1090" s="240"/>
      <c r="N1090" s="240"/>
      <c r="O1090" s="270"/>
      <c r="P1090" s="240"/>
      <c r="Q1090" s="270"/>
      <c r="R1090" s="240"/>
      <c r="S1090" s="270"/>
      <c r="T1090" s="268"/>
      <c r="U1090" s="240"/>
      <c r="V1090" s="240"/>
      <c r="W1090" s="238">
        <f t="shared" si="58"/>
        <v>0</v>
      </c>
      <c r="Y1090" s="223" t="str">
        <f>'[4]Development - i'!E1089</f>
        <v xml:space="preserve">Granite Tiles flooring </v>
      </c>
      <c r="Z1090" s="223" t="str">
        <f t="shared" si="60"/>
        <v>-----------------------</v>
      </c>
    </row>
    <row r="1091" spans="1:26" s="241" customFormat="1">
      <c r="A1091" s="432"/>
      <c r="B1091" s="432" t="s">
        <v>1490</v>
      </c>
      <c r="C1091" s="432" t="s">
        <v>1490</v>
      </c>
      <c r="D1091" s="235" t="str">
        <f t="shared" si="59"/>
        <v xml:space="preserve"> OK</v>
      </c>
      <c r="E1091" s="254" t="s">
        <v>1490</v>
      </c>
      <c r="F1091" s="254">
        <v>0</v>
      </c>
      <c r="G1091" s="298">
        <f>[3]Data!K1460</f>
        <v>234.34</v>
      </c>
      <c r="H1091" s="298" t="s">
        <v>26</v>
      </c>
      <c r="I1091" s="433"/>
      <c r="J1091" s="433"/>
      <c r="K1091" s="240"/>
      <c r="L1091" s="240"/>
      <c r="M1091" s="240"/>
      <c r="N1091" s="240"/>
      <c r="O1091" s="270"/>
      <c r="P1091" s="240"/>
      <c r="Q1091" s="270"/>
      <c r="R1091" s="240"/>
      <c r="S1091" s="270"/>
      <c r="T1091" s="268"/>
      <c r="U1091" s="240"/>
      <c r="V1091" s="240"/>
      <c r="W1091" s="238">
        <f t="shared" si="58"/>
        <v>0</v>
      </c>
      <c r="Y1091" s="223" t="str">
        <f>'[4]Development - i'!E1090</f>
        <v>Plastering with ccccm 1:3, 12mm mixed with WPC</v>
      </c>
      <c r="Z1091" s="223" t="str">
        <f t="shared" si="60"/>
        <v>-----------------------</v>
      </c>
    </row>
    <row r="1092" spans="1:26" s="241" customFormat="1">
      <c r="A1092" s="432"/>
      <c r="B1092" s="432" t="s">
        <v>1491</v>
      </c>
      <c r="C1092" s="432" t="s">
        <v>1491</v>
      </c>
      <c r="D1092" s="235" t="str">
        <f t="shared" si="59"/>
        <v xml:space="preserve"> OK</v>
      </c>
      <c r="E1092" s="254" t="s">
        <v>1491</v>
      </c>
      <c r="F1092" s="254">
        <v>0</v>
      </c>
      <c r="G1092" s="298">
        <f>5000*8.2</f>
        <v>41000</v>
      </c>
      <c r="H1092" s="298" t="s">
        <v>556</v>
      </c>
      <c r="I1092" s="433"/>
      <c r="J1092" s="433"/>
      <c r="K1092" s="240"/>
      <c r="L1092" s="240"/>
      <c r="M1092" s="240"/>
      <c r="N1092" s="240"/>
      <c r="O1092" s="270"/>
      <c r="P1092" s="240"/>
      <c r="Q1092" s="270"/>
      <c r="R1092" s="240"/>
      <c r="S1092" s="270"/>
      <c r="T1092" s="268"/>
      <c r="U1092" s="240"/>
      <c r="V1092" s="240"/>
      <c r="W1092" s="238">
        <f t="shared" si="58"/>
        <v>0</v>
      </c>
      <c r="Y1092" s="223" t="str">
        <f>'[4]Development - i'!E1091</f>
        <v>HDPE water tank 5000 lit capacity</v>
      </c>
      <c r="Z1092" s="223" t="str">
        <f t="shared" si="60"/>
        <v>-----------------------</v>
      </c>
    </row>
    <row r="1093" spans="1:26" s="241" customFormat="1" ht="43.5">
      <c r="A1093" s="432"/>
      <c r="B1093" s="432" t="str">
        <f>[3]Data!O2644</f>
        <v>T.W DOOR SHUTTER TWO LEAVES(1200 X 2100 mm ) with Brass Fittings</v>
      </c>
      <c r="C1093" s="432" t="s">
        <v>1492</v>
      </c>
      <c r="D1093" s="235" t="str">
        <f t="shared" si="59"/>
        <v xml:space="preserve"> OK</v>
      </c>
      <c r="E1093" s="254" t="s">
        <v>1492</v>
      </c>
      <c r="F1093" s="254">
        <v>0</v>
      </c>
      <c r="G1093" s="298">
        <f>[3]Data!R2672</f>
        <v>6085.64</v>
      </c>
      <c r="H1093" s="298" t="s">
        <v>26</v>
      </c>
      <c r="I1093" s="433"/>
      <c r="J1093" s="433"/>
      <c r="K1093" s="240"/>
      <c r="L1093" s="240"/>
      <c r="M1093" s="240"/>
      <c r="N1093" s="240"/>
      <c r="O1093" s="270"/>
      <c r="P1093" s="240"/>
      <c r="Q1093" s="270"/>
      <c r="R1093" s="240"/>
      <c r="S1093" s="270"/>
      <c r="T1093" s="268"/>
      <c r="U1093" s="240"/>
      <c r="V1093" s="240"/>
      <c r="W1093" s="238">
        <f t="shared" si="58"/>
        <v>0</v>
      </c>
      <c r="Y1093" s="223" t="str">
        <f>'[4]Development - i'!E1092</f>
        <v>T.W DOOR SHUTTER TWO LEAVES(1200 X 2100 mm ) with Brass Fittings</v>
      </c>
      <c r="Z1093" s="223" t="str">
        <f t="shared" si="60"/>
        <v>-----------------------</v>
      </c>
    </row>
    <row r="1094" spans="1:26" s="241" customFormat="1">
      <c r="A1094" s="432"/>
      <c r="B1094" s="432" t="s">
        <v>1493</v>
      </c>
      <c r="C1094" s="432" t="s">
        <v>1493</v>
      </c>
      <c r="D1094" s="235" t="str">
        <f t="shared" si="59"/>
        <v xml:space="preserve"> OK</v>
      </c>
      <c r="E1094" s="254" t="s">
        <v>1493</v>
      </c>
      <c r="F1094" s="254">
        <v>0</v>
      </c>
      <c r="G1094" s="298">
        <f>[3]Data!R1138</f>
        <v>4908.87</v>
      </c>
      <c r="H1094" s="298" t="s">
        <v>26</v>
      </c>
      <c r="I1094" s="433"/>
      <c r="J1094" s="433"/>
      <c r="K1094" s="240"/>
      <c r="L1094" s="240"/>
      <c r="M1094" s="240"/>
      <c r="N1094" s="240"/>
      <c r="O1094" s="270"/>
      <c r="P1094" s="240"/>
      <c r="Q1094" s="270"/>
      <c r="R1094" s="240"/>
      <c r="S1094" s="270"/>
      <c r="T1094" s="268"/>
      <c r="U1094" s="240"/>
      <c r="V1094" s="240"/>
      <c r="W1094" s="238">
        <f t="shared" si="58"/>
        <v>0</v>
      </c>
      <c r="Y1094" s="223" t="str">
        <f>'[4]Development - i'!E1093</f>
        <v>TW Panelled Door 1500 X 2100MM (Double leaves)</v>
      </c>
      <c r="Z1094" s="223" t="str">
        <f t="shared" si="60"/>
        <v>-----------------------</v>
      </c>
    </row>
    <row r="1095" spans="1:26" s="241" customFormat="1">
      <c r="A1095" s="432"/>
      <c r="B1095" s="432" t="s">
        <v>1494</v>
      </c>
      <c r="C1095" s="432" t="s">
        <v>1494</v>
      </c>
      <c r="D1095" s="235" t="str">
        <f t="shared" si="59"/>
        <v xml:space="preserve"> OK</v>
      </c>
      <c r="E1095" s="254" t="s">
        <v>1494</v>
      </c>
      <c r="F1095" s="254">
        <v>0</v>
      </c>
      <c r="G1095" s="298">
        <f>[3]Data!R3221</f>
        <v>6049.48</v>
      </c>
      <c r="H1095" s="298" t="s">
        <v>26</v>
      </c>
      <c r="I1095" s="433"/>
      <c r="J1095" s="433"/>
      <c r="K1095" s="240"/>
      <c r="L1095" s="240"/>
      <c r="M1095" s="240"/>
      <c r="N1095" s="240"/>
      <c r="O1095" s="270"/>
      <c r="P1095" s="240"/>
      <c r="Q1095" s="270"/>
      <c r="R1095" s="240"/>
      <c r="S1095" s="270"/>
      <c r="T1095" s="268"/>
      <c r="U1095" s="240"/>
      <c r="V1095" s="240"/>
      <c r="W1095" s="238">
        <f t="shared" si="58"/>
        <v>0</v>
      </c>
      <c r="Y1095" s="223" t="str">
        <f>'[4]Development - i'!E1094</f>
        <v>TW Panelled Door 1500 X 2400MM (Double leaves)</v>
      </c>
      <c r="Z1095" s="223" t="str">
        <f t="shared" si="60"/>
        <v>-----------------------</v>
      </c>
    </row>
    <row r="1096" spans="1:26" s="241" customFormat="1">
      <c r="A1096" s="432"/>
      <c r="B1096" s="432" t="s">
        <v>1495</v>
      </c>
      <c r="C1096" s="432" t="s">
        <v>1495</v>
      </c>
      <c r="D1096" s="235" t="str">
        <f t="shared" si="59"/>
        <v xml:space="preserve"> OK</v>
      </c>
      <c r="E1096" s="254" t="s">
        <v>1495</v>
      </c>
      <c r="F1096" s="254">
        <v>0</v>
      </c>
      <c r="G1096" s="298">
        <f>[3]Data!R3290</f>
        <v>6021.16</v>
      </c>
      <c r="H1096" s="298" t="s">
        <v>26</v>
      </c>
      <c r="I1096" s="433"/>
      <c r="J1096" s="433"/>
      <c r="K1096" s="240"/>
      <c r="L1096" s="240"/>
      <c r="M1096" s="240"/>
      <c r="N1096" s="240"/>
      <c r="O1096" s="270"/>
      <c r="P1096" s="240"/>
      <c r="Q1096" s="270"/>
      <c r="R1096" s="240"/>
      <c r="S1096" s="270"/>
      <c r="T1096" s="268"/>
      <c r="U1096" s="240"/>
      <c r="V1096" s="240"/>
      <c r="W1096" s="238">
        <f t="shared" si="58"/>
        <v>0</v>
      </c>
      <c r="Y1096" s="223" t="str">
        <f>'[4]Development - i'!E1095</f>
        <v>TW Panelled Door 1200 X 2400MM (Double leaves)</v>
      </c>
      <c r="Z1096" s="223" t="str">
        <f t="shared" si="60"/>
        <v>-----------------------</v>
      </c>
    </row>
    <row r="1097" spans="1:26" s="241" customFormat="1">
      <c r="A1097" s="432"/>
      <c r="B1097" s="432" t="s">
        <v>1496</v>
      </c>
      <c r="C1097" s="432" t="s">
        <v>1496</v>
      </c>
      <c r="D1097" s="235" t="str">
        <f t="shared" si="59"/>
        <v xml:space="preserve"> OK</v>
      </c>
      <c r="E1097" s="254" t="s">
        <v>1496</v>
      </c>
      <c r="F1097" s="254">
        <v>0</v>
      </c>
      <c r="G1097" s="298">
        <f>[3]Data!K3349</f>
        <v>4717.82</v>
      </c>
      <c r="H1097" s="298" t="s">
        <v>26</v>
      </c>
      <c r="I1097" s="433"/>
      <c r="J1097" s="433"/>
      <c r="K1097" s="240"/>
      <c r="L1097" s="240"/>
      <c r="M1097" s="240"/>
      <c r="N1097" s="240"/>
      <c r="O1097" s="270"/>
      <c r="P1097" s="240"/>
      <c r="Q1097" s="270"/>
      <c r="R1097" s="240"/>
      <c r="S1097" s="270"/>
      <c r="T1097" s="268"/>
      <c r="U1097" s="240"/>
      <c r="V1097" s="240"/>
      <c r="W1097" s="238">
        <f t="shared" si="58"/>
        <v>0</v>
      </c>
      <c r="Y1097" s="223" t="str">
        <f>'[4]Development - i'!E1096</f>
        <v>TW Panelled Door 1800 X 2400MM (Double leaves)</v>
      </c>
      <c r="Z1097" s="223" t="str">
        <f t="shared" si="60"/>
        <v>-----------------------</v>
      </c>
    </row>
    <row r="1098" spans="1:26" s="241" customFormat="1" ht="69.75">
      <c r="A1098" s="432"/>
      <c r="B1098" s="314" t="s">
        <v>2276</v>
      </c>
      <c r="C1098" s="434" t="s">
        <v>1497</v>
      </c>
      <c r="D1098" s="235" t="str">
        <f t="shared" si="59"/>
        <v xml:space="preserve"> OK</v>
      </c>
      <c r="E1098" s="254" t="s">
        <v>1497</v>
      </c>
      <c r="F1098" s="254">
        <v>0</v>
      </c>
      <c r="G1098" s="298">
        <f>[3]Data!R3357</f>
        <v>4755.8</v>
      </c>
      <c r="H1098" s="298" t="s">
        <v>26</v>
      </c>
      <c r="I1098" s="433"/>
      <c r="J1098" s="433"/>
      <c r="K1098" s="240"/>
      <c r="L1098" s="240"/>
      <c r="M1098" s="240"/>
      <c r="N1098" s="240"/>
      <c r="O1098" s="270"/>
      <c r="P1098" s="240"/>
      <c r="Q1098" s="270"/>
      <c r="R1098" s="240"/>
      <c r="S1098" s="270"/>
      <c r="T1098" s="268"/>
      <c r="U1098" s="240"/>
      <c r="V1098" s="240"/>
      <c r="W1098" s="238">
        <f t="shared" si="58"/>
        <v>0</v>
      </c>
      <c r="Y1098" s="223" t="str">
        <f>'[4]Development - i'!E1097</f>
        <v>Partly glazed and partly BWR panelled door shutter (Double leaves) with brass screws.a. 1500x2400mm</v>
      </c>
      <c r="Z1098" s="223" t="str">
        <f t="shared" si="60"/>
        <v>ERRR</v>
      </c>
    </row>
    <row r="1099" spans="1:26" s="241" customFormat="1" ht="69.75">
      <c r="A1099" s="432"/>
      <c r="B1099" s="314" t="s">
        <v>2277</v>
      </c>
      <c r="C1099" s="434" t="s">
        <v>1498</v>
      </c>
      <c r="D1099" s="235" t="str">
        <f t="shared" si="59"/>
        <v xml:space="preserve"> OK</v>
      </c>
      <c r="E1099" s="254" t="s">
        <v>1498</v>
      </c>
      <c r="F1099" s="254">
        <v>0</v>
      </c>
      <c r="G1099" s="298">
        <f>[3]Data!R3470</f>
        <v>5599.35</v>
      </c>
      <c r="H1099" s="298" t="s">
        <v>26</v>
      </c>
      <c r="I1099" s="433"/>
      <c r="J1099" s="433"/>
      <c r="K1099" s="240"/>
      <c r="L1099" s="240"/>
      <c r="M1099" s="240"/>
      <c r="N1099" s="240"/>
      <c r="O1099" s="270"/>
      <c r="P1099" s="240"/>
      <c r="Q1099" s="270"/>
      <c r="R1099" s="240"/>
      <c r="S1099" s="270"/>
      <c r="T1099" s="268"/>
      <c r="U1099" s="240"/>
      <c r="V1099" s="240"/>
      <c r="W1099" s="238">
        <f t="shared" si="58"/>
        <v>0</v>
      </c>
      <c r="Y1099" s="223" t="str">
        <f>'[4]Development - i'!E1098</f>
        <v>Partly glazed and partly TW panelled door shutter (Double leaves) with brass screws.a. 1200x2400mm</v>
      </c>
      <c r="Z1099" s="223" t="str">
        <f t="shared" si="60"/>
        <v>ERRR</v>
      </c>
    </row>
    <row r="1100" spans="1:26" s="241" customFormat="1" ht="46.5">
      <c r="A1100" s="432"/>
      <c r="B1100" s="306" t="s">
        <v>1499</v>
      </c>
      <c r="C1100" s="435" t="s">
        <v>1499</v>
      </c>
      <c r="D1100" s="235" t="str">
        <f t="shared" si="59"/>
        <v xml:space="preserve"> OK</v>
      </c>
      <c r="E1100" s="254" t="s">
        <v>1499</v>
      </c>
      <c r="F1100" s="254">
        <v>0</v>
      </c>
      <c r="G1100" s="298">
        <f>[3]Data!K3452</f>
        <v>4937.8999999999996</v>
      </c>
      <c r="H1100" s="298" t="s">
        <v>26</v>
      </c>
      <c r="I1100" s="433"/>
      <c r="J1100" s="433"/>
      <c r="K1100" s="240"/>
      <c r="L1100" s="240"/>
      <c r="M1100" s="240"/>
      <c r="N1100" s="240"/>
      <c r="O1100" s="270"/>
      <c r="P1100" s="240"/>
      <c r="Q1100" s="270"/>
      <c r="R1100" s="240"/>
      <c r="S1100" s="270"/>
      <c r="T1100" s="268"/>
      <c r="U1100" s="240"/>
      <c r="V1100" s="240"/>
      <c r="W1100" s="238">
        <f t="shared" si="58"/>
        <v>0</v>
      </c>
      <c r="Y1100" s="223" t="str">
        <f>'[4]Development - i'!E1099</f>
        <v>T.W DOOR SHUTTER TWO LEAVES(2000 X 2400 mm) WITH BRASS FITINGS</v>
      </c>
      <c r="Z1100" s="223" t="str">
        <f t="shared" si="60"/>
        <v>-----------------------</v>
      </c>
    </row>
    <row r="1101" spans="1:26" s="241" customFormat="1">
      <c r="A1101" s="432"/>
      <c r="B1101" s="432" t="s">
        <v>1500</v>
      </c>
      <c r="C1101" s="432" t="s">
        <v>1500</v>
      </c>
      <c r="D1101" s="235" t="str">
        <f t="shared" si="59"/>
        <v xml:space="preserve"> OK</v>
      </c>
      <c r="E1101" s="254" t="s">
        <v>1500</v>
      </c>
      <c r="F1101" s="254">
        <v>0</v>
      </c>
      <c r="G1101" s="298">
        <f>[3]Data!R3392</f>
        <v>5337.52</v>
      </c>
      <c r="H1101" s="298" t="s">
        <v>26</v>
      </c>
      <c r="I1101" s="433"/>
      <c r="J1101" s="433"/>
      <c r="K1101" s="240"/>
      <c r="L1101" s="240"/>
      <c r="M1101" s="240"/>
      <c r="N1101" s="240"/>
      <c r="O1101" s="270"/>
      <c r="P1101" s="240"/>
      <c r="Q1101" s="270"/>
      <c r="R1101" s="240"/>
      <c r="S1101" s="270"/>
      <c r="T1101" s="268"/>
      <c r="U1101" s="240"/>
      <c r="V1101" s="240"/>
      <c r="W1101" s="238">
        <f t="shared" si="58"/>
        <v>0</v>
      </c>
      <c r="Y1101" s="223" t="str">
        <f>'[4]Development - i'!E1100</f>
        <v>BWR door 900 x 2400   single leaf</v>
      </c>
      <c r="Z1101" s="223" t="str">
        <f t="shared" si="60"/>
        <v>-----------------------</v>
      </c>
    </row>
    <row r="1102" spans="1:26" s="241" customFormat="1">
      <c r="A1102" s="432"/>
      <c r="B1102" s="432" t="s">
        <v>1501</v>
      </c>
      <c r="C1102" s="432" t="s">
        <v>1501</v>
      </c>
      <c r="D1102" s="235" t="str">
        <f t="shared" si="59"/>
        <v xml:space="preserve"> OK</v>
      </c>
      <c r="E1102" s="254" t="s">
        <v>1501</v>
      </c>
      <c r="F1102" s="254">
        <v>0</v>
      </c>
      <c r="G1102" s="298">
        <f>[3]Data!R3426</f>
        <v>4783.26</v>
      </c>
      <c r="H1102" s="298" t="s">
        <v>26</v>
      </c>
      <c r="I1102" s="433"/>
      <c r="J1102" s="433"/>
      <c r="K1102" s="240"/>
      <c r="L1102" s="240"/>
      <c r="M1102" s="240"/>
      <c r="N1102" s="240"/>
      <c r="O1102" s="270"/>
      <c r="P1102" s="240"/>
      <c r="Q1102" s="270"/>
      <c r="R1102" s="240"/>
      <c r="S1102" s="270"/>
      <c r="T1102" s="268"/>
      <c r="U1102" s="240"/>
      <c r="V1102" s="240"/>
      <c r="W1102" s="238">
        <f t="shared" si="58"/>
        <v>0</v>
      </c>
      <c r="Y1102" s="223" t="str">
        <f>'[4]Development - i'!E1101</f>
        <v>BWR door 1050 x 2400   single leaf</v>
      </c>
      <c r="Z1102" s="223" t="str">
        <f t="shared" si="60"/>
        <v>-----------------------</v>
      </c>
    </row>
    <row r="1103" spans="1:26" s="241" customFormat="1">
      <c r="A1103" s="432"/>
      <c r="B1103" s="432" t="s">
        <v>1502</v>
      </c>
      <c r="C1103" s="432" t="s">
        <v>1502</v>
      </c>
      <c r="D1103" s="235" t="str">
        <f t="shared" si="59"/>
        <v xml:space="preserve"> OK</v>
      </c>
      <c r="E1103" s="254" t="s">
        <v>1502</v>
      </c>
      <c r="F1103" s="254">
        <v>0</v>
      </c>
      <c r="G1103" s="298">
        <f>[3]Data!R3323</f>
        <v>5320.6</v>
      </c>
      <c r="H1103" s="298" t="s">
        <v>26</v>
      </c>
      <c r="I1103" s="433"/>
      <c r="J1103" s="433"/>
      <c r="K1103" s="240"/>
      <c r="L1103" s="240"/>
      <c r="M1103" s="240"/>
      <c r="N1103" s="240"/>
      <c r="O1103" s="270"/>
      <c r="P1103" s="240"/>
      <c r="Q1103" s="270"/>
      <c r="R1103" s="240"/>
      <c r="S1103" s="270"/>
      <c r="T1103" s="268"/>
      <c r="U1103" s="240"/>
      <c r="V1103" s="240"/>
      <c r="W1103" s="238">
        <f t="shared" si="58"/>
        <v>0</v>
      </c>
      <c r="Y1103" s="223" t="str">
        <f>'[4]Development - i'!E1102</f>
        <v>BWR door 1200 x 2400   double leaves</v>
      </c>
      <c r="Z1103" s="223" t="str">
        <f t="shared" si="60"/>
        <v>-----------------------</v>
      </c>
    </row>
    <row r="1104" spans="1:26" s="241" customFormat="1">
      <c r="A1104" s="432"/>
      <c r="B1104" s="432" t="s">
        <v>1503</v>
      </c>
      <c r="C1104" s="432" t="s">
        <v>1503</v>
      </c>
      <c r="D1104" s="235" t="str">
        <f t="shared" si="59"/>
        <v xml:space="preserve"> OK</v>
      </c>
      <c r="E1104" s="254" t="s">
        <v>1503</v>
      </c>
      <c r="F1104" s="254">
        <v>0</v>
      </c>
      <c r="G1104" s="298">
        <f>[3]Data!R3357</f>
        <v>4755.8</v>
      </c>
      <c r="H1104" s="298" t="s">
        <v>26</v>
      </c>
      <c r="I1104" s="433"/>
      <c r="J1104" s="433"/>
      <c r="K1104" s="240"/>
      <c r="L1104" s="240"/>
      <c r="M1104" s="240"/>
      <c r="N1104" s="240"/>
      <c r="O1104" s="270"/>
      <c r="P1104" s="240"/>
      <c r="Q1104" s="270"/>
      <c r="R1104" s="240"/>
      <c r="S1104" s="270"/>
      <c r="T1104" s="268"/>
      <c r="U1104" s="240"/>
      <c r="V1104" s="240"/>
      <c r="W1104" s="238">
        <f t="shared" si="58"/>
        <v>0</v>
      </c>
      <c r="Y1104" s="223" t="str">
        <f>'[4]Development - i'!E1103</f>
        <v>BWR door 1500 x 2400   double leaves</v>
      </c>
      <c r="Z1104" s="223" t="str">
        <f t="shared" si="60"/>
        <v>-----------------------</v>
      </c>
    </row>
    <row r="1105" spans="1:26" s="241" customFormat="1">
      <c r="A1105" s="432"/>
      <c r="B1105" s="432" t="s">
        <v>1504</v>
      </c>
      <c r="C1105" s="432" t="s">
        <v>1504</v>
      </c>
      <c r="D1105" s="235" t="str">
        <f t="shared" si="59"/>
        <v xml:space="preserve"> OK</v>
      </c>
      <c r="E1105" s="254" t="s">
        <v>1504</v>
      </c>
      <c r="F1105" s="254">
        <v>0</v>
      </c>
      <c r="G1105" s="298">
        <f>[3]Elec.Data!K3481</f>
        <v>1170</v>
      </c>
      <c r="H1105" s="298" t="s">
        <v>556</v>
      </c>
      <c r="I1105" s="433"/>
      <c r="J1105" s="433"/>
      <c r="K1105" s="240"/>
      <c r="L1105" s="240"/>
      <c r="M1105" s="240"/>
      <c r="N1105" s="240"/>
      <c r="O1105" s="270"/>
      <c r="P1105" s="240"/>
      <c r="Q1105" s="270"/>
      <c r="R1105" s="240"/>
      <c r="S1105" s="270"/>
      <c r="T1105" s="268"/>
      <c r="U1105" s="240"/>
      <c r="V1105" s="240"/>
      <c r="W1105" s="238">
        <f t="shared" si="58"/>
        <v>0</v>
      </c>
      <c r="Y1105" s="223" t="str">
        <f>'[4]Development - i'!E1104</f>
        <v>450 x 375 x 20 m   thick TW plank</v>
      </c>
      <c r="Z1105" s="223" t="str">
        <f t="shared" si="60"/>
        <v>-----------------------</v>
      </c>
    </row>
    <row r="1106" spans="1:26" s="241" customFormat="1" ht="65.25">
      <c r="A1106" s="432"/>
      <c r="B1106" s="432" t="s">
        <v>1505</v>
      </c>
      <c r="C1106" s="432" t="s">
        <v>1505</v>
      </c>
      <c r="D1106" s="235" t="str">
        <f t="shared" si="59"/>
        <v xml:space="preserve"> OK</v>
      </c>
      <c r="E1106" s="254" t="s">
        <v>1505</v>
      </c>
      <c r="F1106" s="254" t="s">
        <v>1173</v>
      </c>
      <c r="G1106" s="298">
        <f>[3]Elec.Data!K3547</f>
        <v>165</v>
      </c>
      <c r="H1106" s="298" t="s">
        <v>12</v>
      </c>
      <c r="I1106" s="433"/>
      <c r="J1106" s="433"/>
      <c r="K1106" s="240"/>
      <c r="L1106" s="240"/>
      <c r="M1106" s="240"/>
      <c r="N1106" s="240"/>
      <c r="O1106" s="270"/>
      <c r="P1106" s="240"/>
      <c r="Q1106" s="270"/>
      <c r="R1106" s="240"/>
      <c r="S1106" s="270"/>
      <c r="T1106" s="268"/>
      <c r="U1106" s="240"/>
      <c r="V1106" s="240"/>
      <c r="W1106" s="238">
        <f t="shared" si="58"/>
        <v>0</v>
      </c>
      <c r="Y1106" s="223" t="str">
        <f>'[4]Development - i'!E1105</f>
        <v>40 mm dia GI pipe "B"class</v>
      </c>
      <c r="Z1106" s="223" t="str">
        <f t="shared" si="60"/>
        <v>-----------------------</v>
      </c>
    </row>
    <row r="1107" spans="1:26" s="241" customFormat="1">
      <c r="A1107" s="432"/>
      <c r="B1107" s="436" t="s">
        <v>1180</v>
      </c>
      <c r="C1107" s="436" t="s">
        <v>1180</v>
      </c>
      <c r="D1107" s="235" t="str">
        <f t="shared" si="59"/>
        <v xml:space="preserve"> OK</v>
      </c>
      <c r="E1107" s="254" t="s">
        <v>1180</v>
      </c>
      <c r="F1107" s="254">
        <v>0</v>
      </c>
      <c r="G1107" s="298">
        <f>[3]Elec.Data!K3468</f>
        <v>2870</v>
      </c>
      <c r="H1107" s="298" t="s">
        <v>556</v>
      </c>
      <c r="I1107" s="433"/>
      <c r="J1107" s="433"/>
      <c r="K1107" s="240"/>
      <c r="L1107" s="240"/>
      <c r="M1107" s="240"/>
      <c r="N1107" s="240"/>
      <c r="O1107" s="270"/>
      <c r="P1107" s="240"/>
      <c r="Q1107" s="270"/>
      <c r="R1107" s="240"/>
      <c r="S1107" s="270"/>
      <c r="T1107" s="268"/>
      <c r="U1107" s="240"/>
      <c r="V1107" s="240"/>
      <c r="W1107" s="238">
        <f t="shared" si="58"/>
        <v>0</v>
      </c>
      <c r="Y1107" s="223" t="str">
        <f>'[4]Development - i'!E1106</f>
        <v>Supplying and fixing of Three phase ELCB</v>
      </c>
      <c r="Z1107" s="223" t="str">
        <f t="shared" si="60"/>
        <v>-----------------------</v>
      </c>
    </row>
    <row r="1108" spans="1:26" s="241" customFormat="1">
      <c r="A1108" s="432"/>
      <c r="B1108" s="432" t="s">
        <v>1506</v>
      </c>
      <c r="C1108" s="432" t="s">
        <v>1506</v>
      </c>
      <c r="D1108" s="235" t="str">
        <f t="shared" si="59"/>
        <v xml:space="preserve"> OK</v>
      </c>
      <c r="E1108" s="254" t="s">
        <v>1506</v>
      </c>
      <c r="F1108" s="254">
        <v>0</v>
      </c>
      <c r="G1108" s="298">
        <f>[3]Data!K2999</f>
        <v>2936.45</v>
      </c>
      <c r="H1108" s="298" t="s">
        <v>26</v>
      </c>
      <c r="I1108" s="433"/>
      <c r="J1108" s="433"/>
      <c r="K1108" s="240"/>
      <c r="L1108" s="240"/>
      <c r="M1108" s="240"/>
      <c r="N1108" s="240"/>
      <c r="O1108" s="270"/>
      <c r="P1108" s="240"/>
      <c r="Q1108" s="270"/>
      <c r="R1108" s="240"/>
      <c r="S1108" s="270"/>
      <c r="T1108" s="268"/>
      <c r="U1108" s="240"/>
      <c r="V1108" s="240"/>
      <c r="W1108" s="238">
        <f t="shared" si="58"/>
        <v>0</v>
      </c>
      <c r="Y1108" s="223" t="str">
        <f>'[4]Development - i'!E1107</f>
        <v>MDF 900 x 2100 single</v>
      </c>
      <c r="Z1108" s="223" t="str">
        <f t="shared" si="60"/>
        <v>-----------------------</v>
      </c>
    </row>
    <row r="1109" spans="1:26" s="241" customFormat="1">
      <c r="A1109" s="432"/>
      <c r="B1109" s="432" t="s">
        <v>1507</v>
      </c>
      <c r="C1109" s="432" t="s">
        <v>1507</v>
      </c>
      <c r="D1109" s="235" t="str">
        <f t="shared" si="59"/>
        <v xml:space="preserve"> OK</v>
      </c>
      <c r="E1109" s="254" t="s">
        <v>1507</v>
      </c>
      <c r="F1109" s="254">
        <v>0</v>
      </c>
      <c r="G1109" s="298">
        <f>[3]Data!K2863</f>
        <v>2895.86</v>
      </c>
      <c r="H1109" s="298" t="s">
        <v>26</v>
      </c>
      <c r="I1109" s="433"/>
      <c r="J1109" s="433"/>
      <c r="K1109" s="240"/>
      <c r="L1109" s="240"/>
      <c r="M1109" s="240"/>
      <c r="N1109" s="240"/>
      <c r="O1109" s="270"/>
      <c r="P1109" s="240"/>
      <c r="Q1109" s="270"/>
      <c r="R1109" s="240"/>
      <c r="S1109" s="270"/>
      <c r="T1109" s="268"/>
      <c r="U1109" s="240"/>
      <c r="V1109" s="240"/>
      <c r="W1109" s="238">
        <f t="shared" si="58"/>
        <v>0</v>
      </c>
      <c r="Y1109" s="223" t="str">
        <f>'[4]Development - i'!E1108</f>
        <v>MDF 1000 x 2100</v>
      </c>
      <c r="Z1109" s="223" t="str">
        <f t="shared" si="60"/>
        <v>-----------------------</v>
      </c>
    </row>
    <row r="1110" spans="1:26" s="241" customFormat="1">
      <c r="A1110" s="432"/>
      <c r="B1110" s="432" t="s">
        <v>1508</v>
      </c>
      <c r="C1110" s="432" t="s">
        <v>1508</v>
      </c>
      <c r="D1110" s="235" t="str">
        <f t="shared" si="59"/>
        <v xml:space="preserve"> OK</v>
      </c>
      <c r="E1110" s="254" t="s">
        <v>1508</v>
      </c>
      <c r="F1110" s="254">
        <v>0</v>
      </c>
      <c r="G1110" s="298">
        <f>[3]Data!R3006</f>
        <v>2825.67</v>
      </c>
      <c r="H1110" s="298" t="s">
        <v>26</v>
      </c>
      <c r="I1110" s="433"/>
      <c r="J1110" s="433"/>
      <c r="K1110" s="240"/>
      <c r="L1110" s="240"/>
      <c r="M1110" s="240"/>
      <c r="N1110" s="240"/>
      <c r="O1110" s="270"/>
      <c r="P1110" s="240"/>
      <c r="Q1110" s="270"/>
      <c r="R1110" s="240"/>
      <c r="S1110" s="270"/>
      <c r="T1110" s="268"/>
      <c r="U1110" s="240"/>
      <c r="V1110" s="240"/>
      <c r="W1110" s="238">
        <f t="shared" si="58"/>
        <v>0</v>
      </c>
      <c r="Y1110" s="223" t="str">
        <f>'[4]Development - i'!E1109</f>
        <v>MDF 1200 x 2100</v>
      </c>
      <c r="Z1110" s="223" t="str">
        <f t="shared" si="60"/>
        <v>-----------------------</v>
      </c>
    </row>
    <row r="1111" spans="1:26" s="241" customFormat="1">
      <c r="A1111" s="432"/>
      <c r="B1111" s="432" t="s">
        <v>1509</v>
      </c>
      <c r="C1111" s="432" t="s">
        <v>1509</v>
      </c>
      <c r="D1111" s="235" t="str">
        <f t="shared" si="59"/>
        <v xml:space="preserve"> OK</v>
      </c>
      <c r="E1111" s="254" t="s">
        <v>1509</v>
      </c>
      <c r="F1111" s="254">
        <v>0</v>
      </c>
      <c r="G1111" s="298">
        <f>[3]Data!K3103</f>
        <v>3025.75</v>
      </c>
      <c r="H1111" s="298" t="s">
        <v>26</v>
      </c>
      <c r="I1111" s="433"/>
      <c r="J1111" s="433"/>
      <c r="K1111" s="240"/>
      <c r="L1111" s="240"/>
      <c r="M1111" s="240"/>
      <c r="N1111" s="240"/>
      <c r="O1111" s="270"/>
      <c r="P1111" s="240"/>
      <c r="Q1111" s="270"/>
      <c r="R1111" s="240"/>
      <c r="S1111" s="270"/>
      <c r="T1111" s="268"/>
      <c r="U1111" s="240"/>
      <c r="V1111" s="240"/>
      <c r="W1111" s="238">
        <f t="shared" si="58"/>
        <v>0</v>
      </c>
      <c r="Y1111" s="223" t="str">
        <f>'[4]Development - i'!E1110</f>
        <v>MDF 1500 X 2100MM (Double Leaf)</v>
      </c>
      <c r="Z1111" s="223" t="str">
        <f t="shared" si="60"/>
        <v>-----------------------</v>
      </c>
    </row>
    <row r="1112" spans="1:26" s="241" customFormat="1">
      <c r="A1112" s="432"/>
      <c r="B1112" s="432" t="s">
        <v>1510</v>
      </c>
      <c r="C1112" s="432" t="s">
        <v>1510</v>
      </c>
      <c r="D1112" s="235" t="str">
        <f t="shared" si="59"/>
        <v xml:space="preserve"> OK</v>
      </c>
      <c r="E1112" s="254" t="s">
        <v>1510</v>
      </c>
      <c r="F1112" s="254">
        <v>0</v>
      </c>
      <c r="G1112" s="298">
        <f>[3]Data!K3084</f>
        <v>3142.85</v>
      </c>
      <c r="H1112" s="298" t="s">
        <v>26</v>
      </c>
      <c r="I1112" s="433"/>
      <c r="J1112" s="433"/>
      <c r="K1112" s="240"/>
      <c r="L1112" s="240"/>
      <c r="M1112" s="240"/>
      <c r="N1112" s="240"/>
      <c r="O1112" s="270"/>
      <c r="P1112" s="240"/>
      <c r="Q1112" s="270"/>
      <c r="R1112" s="240"/>
      <c r="S1112" s="270"/>
      <c r="T1112" s="268"/>
      <c r="U1112" s="240"/>
      <c r="V1112" s="240"/>
      <c r="W1112" s="238">
        <f t="shared" si="58"/>
        <v>0</v>
      </c>
      <c r="Y1112" s="223" t="str">
        <f>'[4]Development - i'!E1111</f>
        <v>MDF 1200 X 2100MM (Double Leaf)</v>
      </c>
      <c r="Z1112" s="223" t="str">
        <f t="shared" si="60"/>
        <v>-----------------------</v>
      </c>
    </row>
    <row r="1113" spans="1:26" s="241" customFormat="1">
      <c r="A1113" s="432"/>
      <c r="B1113" s="432" t="s">
        <v>1511</v>
      </c>
      <c r="C1113" s="432" t="s">
        <v>1511</v>
      </c>
      <c r="D1113" s="235" t="str">
        <f t="shared" si="59"/>
        <v xml:space="preserve"> OK</v>
      </c>
      <c r="E1113" s="254" t="s">
        <v>1511</v>
      </c>
      <c r="F1113" s="254">
        <v>0</v>
      </c>
      <c r="G1113" s="298">
        <f>[3]Data!R3091</f>
        <v>2973.44</v>
      </c>
      <c r="H1113" s="298" t="s">
        <v>26</v>
      </c>
      <c r="I1113" s="433"/>
      <c r="J1113" s="433"/>
      <c r="K1113" s="240"/>
      <c r="L1113" s="240"/>
      <c r="M1113" s="240"/>
      <c r="N1113" s="240"/>
      <c r="O1113" s="270"/>
      <c r="P1113" s="240"/>
      <c r="Q1113" s="270"/>
      <c r="R1113" s="240"/>
      <c r="S1113" s="270"/>
      <c r="T1113" s="268"/>
      <c r="U1113" s="240"/>
      <c r="V1113" s="240"/>
      <c r="W1113" s="238">
        <f t="shared" si="58"/>
        <v>0</v>
      </c>
      <c r="Y1113" s="223" t="str">
        <f>'[4]Development - i'!E1112</f>
        <v>MDF 1500 X 2400MM (Double Leaf)</v>
      </c>
      <c r="Z1113" s="223" t="str">
        <f t="shared" si="60"/>
        <v>-----------------------</v>
      </c>
    </row>
    <row r="1114" spans="1:26" s="241" customFormat="1" ht="46.5">
      <c r="A1114" s="432"/>
      <c r="B1114" s="437" t="s">
        <v>1512</v>
      </c>
      <c r="C1114" s="437" t="s">
        <v>1512</v>
      </c>
      <c r="D1114" s="235" t="str">
        <f t="shared" si="59"/>
        <v xml:space="preserve"> OK</v>
      </c>
      <c r="E1114" s="254" t="s">
        <v>1512</v>
      </c>
      <c r="F1114" s="254">
        <v>0</v>
      </c>
      <c r="G1114" s="298">
        <f>[3]Data!K2895</f>
        <v>2060.92</v>
      </c>
      <c r="H1114" s="298" t="s">
        <v>26</v>
      </c>
      <c r="I1114" s="433"/>
      <c r="J1114" s="433"/>
      <c r="K1114" s="240"/>
      <c r="L1114" s="240"/>
      <c r="M1114" s="240"/>
      <c r="N1114" s="240"/>
      <c r="O1114" s="270"/>
      <c r="P1114" s="240"/>
      <c r="Q1114" s="270"/>
      <c r="R1114" s="240"/>
      <c r="S1114" s="270"/>
      <c r="T1114" s="268"/>
      <c r="U1114" s="240"/>
      <c r="V1114" s="240"/>
      <c r="W1114" s="238">
        <f t="shared" si="58"/>
        <v>0</v>
      </c>
      <c r="Y1114" s="223" t="str">
        <f>'[4]Development - i'!E1113</f>
        <v>MDF  double leaf shutter with TW alround frame for ward robe / cup board</v>
      </c>
      <c r="Z1114" s="223" t="str">
        <f t="shared" si="60"/>
        <v>-----------------------</v>
      </c>
    </row>
    <row r="1115" spans="1:26" s="241" customFormat="1">
      <c r="A1115" s="432"/>
      <c r="B1115" s="432" t="s">
        <v>1513</v>
      </c>
      <c r="C1115" s="432" t="s">
        <v>1513</v>
      </c>
      <c r="D1115" s="235" t="str">
        <f t="shared" si="59"/>
        <v xml:space="preserve"> OK</v>
      </c>
      <c r="E1115" s="254" t="s">
        <v>1513</v>
      </c>
      <c r="F1115" s="254">
        <v>0</v>
      </c>
      <c r="G1115" s="298">
        <f>[3]Data!K1168</f>
        <v>104.26</v>
      </c>
      <c r="H1115" s="298"/>
      <c r="I1115" s="433"/>
      <c r="J1115" s="433"/>
      <c r="K1115" s="240"/>
      <c r="L1115" s="240"/>
      <c r="M1115" s="240"/>
      <c r="N1115" s="240"/>
      <c r="O1115" s="270"/>
      <c r="P1115" s="240"/>
      <c r="Q1115" s="270"/>
      <c r="R1115" s="240"/>
      <c r="S1115" s="270"/>
      <c r="T1115" s="268"/>
      <c r="U1115" s="240"/>
      <c r="V1115" s="240"/>
      <c r="W1115" s="238">
        <f t="shared" ref="W1115:W1178" si="61">ROUND(G1116,2)*ROUND(V1115,2)</f>
        <v>0</v>
      </c>
      <c r="Y1115" s="223" t="str">
        <f>'[4]Development - i'!E1114</f>
        <v>Varnishing one coat</v>
      </c>
      <c r="Z1115" s="223" t="str">
        <f t="shared" si="60"/>
        <v>-----------------------</v>
      </c>
    </row>
    <row r="1116" spans="1:26" s="241" customFormat="1">
      <c r="A1116" s="432"/>
      <c r="B1116" s="432" t="s">
        <v>1514</v>
      </c>
      <c r="C1116" s="432" t="s">
        <v>1514</v>
      </c>
      <c r="D1116" s="235" t="str">
        <f t="shared" si="59"/>
        <v xml:space="preserve"> OK</v>
      </c>
      <c r="E1116" s="254" t="s">
        <v>1514</v>
      </c>
      <c r="F1116" s="254">
        <v>0</v>
      </c>
      <c r="G1116" s="298">
        <f>[3]Data!K1181</f>
        <v>163.33000000000001</v>
      </c>
      <c r="H1116" s="298"/>
      <c r="I1116" s="433"/>
      <c r="J1116" s="433"/>
      <c r="K1116" s="240"/>
      <c r="L1116" s="240"/>
      <c r="M1116" s="240"/>
      <c r="N1116" s="240"/>
      <c r="O1116" s="270"/>
      <c r="P1116" s="240"/>
      <c r="Q1116" s="270"/>
      <c r="R1116" s="240"/>
      <c r="S1116" s="270"/>
      <c r="T1116" s="268"/>
      <c r="U1116" s="240"/>
      <c r="V1116" s="240"/>
      <c r="W1116" s="238">
        <f t="shared" si="61"/>
        <v>0</v>
      </c>
      <c r="Y1116" s="223" t="str">
        <f>'[4]Development - i'!E1115</f>
        <v>Varnishing two coat</v>
      </c>
      <c r="Z1116" s="223" t="str">
        <f t="shared" si="60"/>
        <v>-----------------------</v>
      </c>
    </row>
    <row r="1117" spans="1:26" s="241" customFormat="1">
      <c r="A1117" s="432"/>
      <c r="B1117" s="432" t="s">
        <v>1515</v>
      </c>
      <c r="C1117" s="432" t="s">
        <v>1515</v>
      </c>
      <c r="D1117" s="235" t="str">
        <f t="shared" si="59"/>
        <v xml:space="preserve"> OK</v>
      </c>
      <c r="E1117" s="254" t="s">
        <v>1515</v>
      </c>
      <c r="F1117" s="254">
        <v>0</v>
      </c>
      <c r="G1117" s="298">
        <f>[3]Data!K2466</f>
        <v>654.53</v>
      </c>
      <c r="H1117" s="298"/>
      <c r="I1117" s="433"/>
      <c r="J1117" s="433"/>
      <c r="K1117" s="240"/>
      <c r="L1117" s="240"/>
      <c r="M1117" s="240"/>
      <c r="N1117" s="240"/>
      <c r="O1117" s="270"/>
      <c r="P1117" s="240"/>
      <c r="Q1117" s="270"/>
      <c r="R1117" s="240"/>
      <c r="S1117" s="270"/>
      <c r="T1117" s="268"/>
      <c r="U1117" s="240"/>
      <c r="V1117" s="240"/>
      <c r="W1117" s="238">
        <f t="shared" si="61"/>
        <v>0</v>
      </c>
      <c r="Y1117" s="223" t="str">
        <f>'[4]Development - i'!E1116</f>
        <v>Red oxide plastering in CM 1:4</v>
      </c>
      <c r="Z1117" s="223" t="str">
        <f t="shared" si="60"/>
        <v>-----------------------</v>
      </c>
    </row>
    <row r="1118" spans="1:26" s="241" customFormat="1">
      <c r="A1118" s="432"/>
      <c r="B1118" s="432" t="s">
        <v>1516</v>
      </c>
      <c r="C1118" s="432" t="s">
        <v>1516</v>
      </c>
      <c r="D1118" s="235" t="str">
        <f t="shared" si="59"/>
        <v xml:space="preserve"> OK</v>
      </c>
      <c r="E1118" s="254" t="s">
        <v>1516</v>
      </c>
      <c r="F1118" s="254">
        <v>0</v>
      </c>
      <c r="G1118" s="298">
        <f>[3]Data!K2816</f>
        <v>1425.87</v>
      </c>
      <c r="H1118" s="298"/>
      <c r="I1118" s="433"/>
      <c r="J1118" s="433"/>
      <c r="K1118" s="240"/>
      <c r="L1118" s="240"/>
      <c r="M1118" s="240"/>
      <c r="N1118" s="240"/>
      <c r="O1118" s="270"/>
      <c r="P1118" s="240"/>
      <c r="Q1118" s="270"/>
      <c r="R1118" s="240"/>
      <c r="S1118" s="270"/>
      <c r="T1118" s="268"/>
      <c r="U1118" s="240"/>
      <c r="V1118" s="240"/>
      <c r="W1118" s="238">
        <f t="shared" si="61"/>
        <v>0</v>
      </c>
      <c r="Y1118" s="223" t="str">
        <f>'[4]Development - i'!E1117</f>
        <v>Under reamed pile (Single)</v>
      </c>
      <c r="Z1118" s="223" t="str">
        <f t="shared" si="60"/>
        <v>-----------------------</v>
      </c>
    </row>
    <row r="1119" spans="1:26" s="241" customFormat="1" ht="69.75">
      <c r="A1119" s="432"/>
      <c r="B1119" s="437" t="s">
        <v>2278</v>
      </c>
      <c r="C1119" s="437" t="s">
        <v>1517</v>
      </c>
      <c r="D1119" s="235" t="str">
        <f t="shared" si="59"/>
        <v xml:space="preserve"> OK</v>
      </c>
      <c r="E1119" s="254" t="s">
        <v>1517</v>
      </c>
      <c r="F1119" s="254">
        <v>0</v>
      </c>
      <c r="G1119" s="298">
        <f>[3]Elec.Data!K3011</f>
        <v>2199.73</v>
      </c>
      <c r="H1119" s="298"/>
      <c r="I1119" s="433"/>
      <c r="J1119" s="433"/>
      <c r="K1119" s="240"/>
      <c r="L1119" s="240"/>
      <c r="M1119" s="240"/>
      <c r="N1119" s="240"/>
      <c r="O1119" s="270"/>
      <c r="P1119" s="240"/>
      <c r="Q1119" s="270"/>
      <c r="R1119" s="240"/>
      <c r="S1119" s="270"/>
      <c r="T1119" s="268"/>
      <c r="U1119" s="240"/>
      <c r="V1119" s="240"/>
      <c r="W1119" s="238">
        <f t="shared" si="61"/>
        <v>0</v>
      </c>
      <c r="Y1119" s="223" t="str">
        <f>'[4]Development - i'!E1118</f>
        <v>LIGHT POINT WITH CEILING ROSE FOR ADMINISTRATIVE BLOCKS AND COMMUNITY CENTRE</v>
      </c>
      <c r="Z1119" s="223" t="str">
        <f t="shared" si="60"/>
        <v>-----------------------</v>
      </c>
    </row>
    <row r="1120" spans="1:26" s="241" customFormat="1" ht="69.75">
      <c r="A1120" s="432"/>
      <c r="B1120" s="437" t="s">
        <v>2279</v>
      </c>
      <c r="C1120" s="437" t="s">
        <v>1518</v>
      </c>
      <c r="D1120" s="235" t="str">
        <f t="shared" si="59"/>
        <v xml:space="preserve"> OK</v>
      </c>
      <c r="E1120" s="254" t="s">
        <v>1518</v>
      </c>
      <c r="F1120" s="254">
        <v>0</v>
      </c>
      <c r="G1120" s="298">
        <f>[3]Elec.Data!K3023</f>
        <v>2200.73</v>
      </c>
      <c r="H1120" s="298"/>
      <c r="I1120" s="433"/>
      <c r="J1120" s="433"/>
      <c r="K1120" s="240"/>
      <c r="L1120" s="240"/>
      <c r="M1120" s="240"/>
      <c r="N1120" s="240"/>
      <c r="O1120" s="270"/>
      <c r="P1120" s="240"/>
      <c r="Q1120" s="270"/>
      <c r="R1120" s="240"/>
      <c r="S1120" s="270"/>
      <c r="T1120" s="268"/>
      <c r="U1120" s="240"/>
      <c r="V1120" s="240"/>
      <c r="W1120" s="238">
        <f t="shared" si="61"/>
        <v>0</v>
      </c>
      <c r="Y1120" s="223" t="str">
        <f>'[4]Development - i'!E1119</f>
        <v>LIGHT POINT WITH BAKELITE BATTERN TYPE HOLDER FOR ADMINISTRATIVE BLOCKS AND COMMUNITY CENTRE</v>
      </c>
      <c r="Z1120" s="223" t="str">
        <f t="shared" si="60"/>
        <v>-----------------------</v>
      </c>
    </row>
    <row r="1121" spans="1:26" s="241" customFormat="1" ht="46.5">
      <c r="A1121" s="432"/>
      <c r="B1121" s="437" t="s">
        <v>2280</v>
      </c>
      <c r="C1121" s="437" t="s">
        <v>1519</v>
      </c>
      <c r="D1121" s="235" t="str">
        <f t="shared" si="59"/>
        <v xml:space="preserve"> OK</v>
      </c>
      <c r="E1121" s="254" t="s">
        <v>1519</v>
      </c>
      <c r="F1121" s="254">
        <v>0</v>
      </c>
      <c r="G1121" s="298">
        <f>[3]Elec.Data!K3044</f>
        <v>2258.73</v>
      </c>
      <c r="H1121" s="298"/>
      <c r="I1121" s="433"/>
      <c r="J1121" s="433"/>
      <c r="K1121" s="240"/>
      <c r="L1121" s="240"/>
      <c r="M1121" s="240"/>
      <c r="N1121" s="240"/>
      <c r="O1121" s="270"/>
      <c r="P1121" s="240"/>
      <c r="Q1121" s="270"/>
      <c r="R1121" s="240"/>
      <c r="S1121" s="270"/>
      <c r="T1121" s="268"/>
      <c r="U1121" s="240"/>
      <c r="V1121" s="240"/>
      <c r="W1121" s="238">
        <f t="shared" si="61"/>
        <v>0</v>
      </c>
      <c r="Y1121" s="223" t="str">
        <f>'[4]Development - i'!E1120</f>
        <v>FAN POINT FOR ADMINISTRATIVE BLOCKS AND COMMUNITY CENTRE</v>
      </c>
      <c r="Z1121" s="223" t="str">
        <f t="shared" si="60"/>
        <v>-----------------------</v>
      </c>
    </row>
    <row r="1122" spans="1:26" s="241" customFormat="1" ht="69.75">
      <c r="A1122" s="432"/>
      <c r="B1122" s="437" t="s">
        <v>2281</v>
      </c>
      <c r="C1122" s="437" t="s">
        <v>1520</v>
      </c>
      <c r="D1122" s="235" t="str">
        <f t="shared" si="59"/>
        <v xml:space="preserve"> OK</v>
      </c>
      <c r="E1122" s="254" t="s">
        <v>1520</v>
      </c>
      <c r="F1122" s="254">
        <v>0</v>
      </c>
      <c r="G1122" s="298">
        <f>[3]Elec.Data!K3063</f>
        <v>4103.7299999999996</v>
      </c>
      <c r="H1122" s="298"/>
      <c r="I1122" s="433"/>
      <c r="J1122" s="433"/>
      <c r="K1122" s="240"/>
      <c r="L1122" s="240"/>
      <c r="M1122" s="240"/>
      <c r="N1122" s="240"/>
      <c r="O1122" s="270"/>
      <c r="P1122" s="240"/>
      <c r="Q1122" s="270"/>
      <c r="R1122" s="240"/>
      <c r="S1122" s="270"/>
      <c r="T1122" s="268"/>
      <c r="U1122" s="240"/>
      <c r="V1122" s="240"/>
      <c r="W1122" s="238">
        <f t="shared" si="61"/>
        <v>0</v>
      </c>
      <c r="Y1122" s="223" t="str">
        <f>'[4]Development - i'!E1121</f>
        <v>STAIRCASE LIGHT POINT FOR ADMINISTRATIVE BLOCKS AND COMMUNITY CENTRE</v>
      </c>
      <c r="Z1122" s="223" t="str">
        <f t="shared" si="60"/>
        <v>-----------------------</v>
      </c>
    </row>
    <row r="1123" spans="1:26" s="241" customFormat="1">
      <c r="A1123" s="432"/>
      <c r="B1123" s="437" t="s">
        <v>1521</v>
      </c>
      <c r="C1123" s="437" t="s">
        <v>1521</v>
      </c>
      <c r="D1123" s="235" t="str">
        <f t="shared" si="59"/>
        <v xml:space="preserve"> OK</v>
      </c>
      <c r="E1123" s="254" t="s">
        <v>1521</v>
      </c>
      <c r="F1123" s="254">
        <v>0</v>
      </c>
      <c r="G1123" s="298">
        <f>[3]Elec.Data!K3092</f>
        <v>187</v>
      </c>
      <c r="H1123" s="298"/>
      <c r="I1123" s="433"/>
      <c r="J1123" s="433"/>
      <c r="K1123" s="240"/>
      <c r="L1123" s="240"/>
      <c r="M1123" s="240"/>
      <c r="N1123" s="240"/>
      <c r="O1123" s="270"/>
      <c r="P1123" s="240"/>
      <c r="Q1123" s="270"/>
      <c r="R1123" s="240"/>
      <c r="S1123" s="270"/>
      <c r="T1123" s="268"/>
      <c r="U1123" s="240"/>
      <c r="V1123" s="240"/>
      <c r="W1123" s="238">
        <f t="shared" si="61"/>
        <v>0</v>
      </c>
      <c r="Y1123" s="223" t="str">
        <f>'[4]Development - i'!E1122</f>
        <v>2 X 2.5 Sq mm in fully concealed PVC conduit</v>
      </c>
      <c r="Z1123" s="223" t="str">
        <f t="shared" si="60"/>
        <v>-----------------------</v>
      </c>
    </row>
    <row r="1124" spans="1:26" s="241" customFormat="1">
      <c r="A1124" s="432"/>
      <c r="B1124" s="437" t="s">
        <v>1522</v>
      </c>
      <c r="C1124" s="437" t="s">
        <v>1522</v>
      </c>
      <c r="D1124" s="235" t="str">
        <f t="shared" si="59"/>
        <v xml:space="preserve"> OK</v>
      </c>
      <c r="E1124" s="254" t="s">
        <v>1522</v>
      </c>
      <c r="F1124" s="254">
        <v>0</v>
      </c>
      <c r="G1124" s="298">
        <f>[3]Elec.Data!K3105</f>
        <v>219</v>
      </c>
      <c r="H1124" s="298"/>
      <c r="I1124" s="433"/>
      <c r="J1124" s="433"/>
      <c r="K1124" s="240"/>
      <c r="L1124" s="240"/>
      <c r="M1124" s="240"/>
      <c r="N1124" s="240"/>
      <c r="O1124" s="270"/>
      <c r="P1124" s="240"/>
      <c r="Q1124" s="270"/>
      <c r="R1124" s="240"/>
      <c r="S1124" s="270"/>
      <c r="T1124" s="268"/>
      <c r="U1124" s="240"/>
      <c r="V1124" s="240"/>
      <c r="W1124" s="238">
        <f t="shared" si="61"/>
        <v>0</v>
      </c>
      <c r="Y1124" s="223" t="str">
        <f>'[4]Development - i'!E1123</f>
        <v>2 X 4 Sq mm in fully concealed PVC conduit</v>
      </c>
      <c r="Z1124" s="223" t="str">
        <f t="shared" si="60"/>
        <v>-----------------------</v>
      </c>
    </row>
    <row r="1125" spans="1:26" s="241" customFormat="1">
      <c r="A1125" s="432"/>
      <c r="B1125" s="437" t="s">
        <v>1523</v>
      </c>
      <c r="C1125" s="437" t="s">
        <v>1523</v>
      </c>
      <c r="D1125" s="235" t="str">
        <f t="shared" ref="D1125:D1174" si="62">IF(B1125=C1125," OK","nun")</f>
        <v xml:space="preserve"> OK</v>
      </c>
      <c r="E1125" s="254" t="s">
        <v>1523</v>
      </c>
      <c r="F1125" s="254">
        <v>0</v>
      </c>
      <c r="G1125" s="298">
        <f>[3]Elec.Data!K3119</f>
        <v>326</v>
      </c>
      <c r="H1125" s="298"/>
      <c r="I1125" s="433"/>
      <c r="J1125" s="433"/>
      <c r="K1125" s="240"/>
      <c r="L1125" s="240"/>
      <c r="M1125" s="240"/>
      <c r="N1125" s="240"/>
      <c r="O1125" s="270"/>
      <c r="P1125" s="240"/>
      <c r="Q1125" s="270"/>
      <c r="R1125" s="240"/>
      <c r="S1125" s="270"/>
      <c r="T1125" s="268"/>
      <c r="U1125" s="240"/>
      <c r="V1125" s="240"/>
      <c r="W1125" s="238">
        <f t="shared" si="61"/>
        <v>0</v>
      </c>
      <c r="Y1125" s="223" t="str">
        <f>'[4]Development - i'!E1124</f>
        <v>4 X 4 Sq mm in fully concealed PVC conduit</v>
      </c>
      <c r="Z1125" s="223" t="str">
        <f t="shared" si="60"/>
        <v>-----------------------</v>
      </c>
    </row>
    <row r="1126" spans="1:26" s="241" customFormat="1" ht="93">
      <c r="A1126" s="432"/>
      <c r="B1126" s="437" t="s">
        <v>1524</v>
      </c>
      <c r="C1126" s="437" t="s">
        <v>1524</v>
      </c>
      <c r="D1126" s="235" t="str">
        <f t="shared" si="62"/>
        <v xml:space="preserve"> OK</v>
      </c>
      <c r="E1126" s="254" t="s">
        <v>1524</v>
      </c>
      <c r="F1126" s="254" t="s">
        <v>1525</v>
      </c>
      <c r="G1126" s="298">
        <f>[3]Elec.Data!K3173</f>
        <v>1238</v>
      </c>
      <c r="H1126" s="298"/>
      <c r="I1126" s="433"/>
      <c r="J1126" s="433"/>
      <c r="K1126" s="240"/>
      <c r="L1126" s="240"/>
      <c r="M1126" s="240"/>
      <c r="N1126" s="240"/>
      <c r="O1126" s="270"/>
      <c r="P1126" s="240"/>
      <c r="Q1126" s="270"/>
      <c r="R1126" s="240"/>
      <c r="S1126" s="270"/>
      <c r="T1126" s="268"/>
      <c r="U1126" s="240"/>
      <c r="V1126" s="240"/>
      <c r="W1126" s="238">
        <f t="shared" si="61"/>
        <v>0</v>
      </c>
      <c r="Y1126" s="223" t="str">
        <f>'[4]Development - i'!E1125</f>
        <v>32 AMPS DOUBLE POLE MAIN SWITCH ON TEAK WOOD BOARD TOP MES SERVICE CONNECTION / MOTOR PUMP( SINGLE PHASE ) SET</v>
      </c>
      <c r="Z1126" s="223" t="str">
        <f t="shared" si="60"/>
        <v>-----------------------</v>
      </c>
    </row>
    <row r="1127" spans="1:26" s="241" customFormat="1" ht="93">
      <c r="A1127" s="432"/>
      <c r="B1127" s="437" t="s">
        <v>1526</v>
      </c>
      <c r="C1127" s="437" t="s">
        <v>1526</v>
      </c>
      <c r="D1127" s="235" t="str">
        <f t="shared" si="62"/>
        <v xml:space="preserve"> OK</v>
      </c>
      <c r="E1127" s="254" t="s">
        <v>1526</v>
      </c>
      <c r="F1127" s="254">
        <v>0</v>
      </c>
      <c r="G1127" s="298">
        <f>[3]Elec.Data!K3184</f>
        <v>932</v>
      </c>
      <c r="H1127" s="298"/>
      <c r="I1127" s="433"/>
      <c r="J1127" s="433"/>
      <c r="K1127" s="240"/>
      <c r="L1127" s="240"/>
      <c r="M1127" s="240"/>
      <c r="N1127" s="240"/>
      <c r="O1127" s="270"/>
      <c r="P1127" s="240"/>
      <c r="Q1127" s="270"/>
      <c r="R1127" s="240"/>
      <c r="S1127" s="270"/>
      <c r="T1127" s="268"/>
      <c r="U1127" s="240"/>
      <c r="V1127" s="240"/>
      <c r="W1127" s="238">
        <f t="shared" si="61"/>
        <v>0</v>
      </c>
      <c r="Y1127" s="223" t="str">
        <f>'[4]Development - i'!E1126</f>
        <v>Supply and fixing 4 way 250 volt single phase with neutral link metalic distribution board on suitable Teak wood board etc., all complete including connections.</v>
      </c>
      <c r="Z1127" s="223" t="str">
        <f t="shared" si="60"/>
        <v>-----------------------</v>
      </c>
    </row>
    <row r="1128" spans="1:26" s="241" customFormat="1" ht="69.75">
      <c r="A1128" s="432"/>
      <c r="B1128" s="437" t="s">
        <v>1527</v>
      </c>
      <c r="C1128" s="437" t="s">
        <v>1527</v>
      </c>
      <c r="D1128" s="235" t="str">
        <f t="shared" si="62"/>
        <v xml:space="preserve"> OK</v>
      </c>
      <c r="E1128" s="254" t="s">
        <v>1527</v>
      </c>
      <c r="F1128" s="254">
        <v>0</v>
      </c>
      <c r="G1128" s="298">
        <f>[3]Elec.Data!K3195</f>
        <v>1590</v>
      </c>
      <c r="H1128" s="298"/>
      <c r="I1128" s="433"/>
      <c r="J1128" s="433"/>
      <c r="K1128" s="240"/>
      <c r="L1128" s="240"/>
      <c r="M1128" s="240"/>
      <c r="N1128" s="240"/>
      <c r="O1128" s="270"/>
      <c r="P1128" s="240"/>
      <c r="Q1128" s="270"/>
      <c r="R1128" s="240"/>
      <c r="S1128" s="270"/>
      <c r="T1128" s="268"/>
      <c r="U1128" s="240"/>
      <c r="V1128" s="240"/>
      <c r="W1128" s="238">
        <f t="shared" si="61"/>
        <v>0</v>
      </c>
      <c r="Y1128" s="223" t="str">
        <f>'[4]Development - i'!E1127</f>
        <v>16 AMPS TPIC ON TEAK WOOD BOARD FOR 3 PHASE MES SERVICE CONNECTION AND 3 PHASE MOTOR PUMPSETS</v>
      </c>
      <c r="Z1128" s="223" t="str">
        <f t="shared" si="60"/>
        <v>-----------------------</v>
      </c>
    </row>
    <row r="1129" spans="1:26" s="241" customFormat="1" ht="69.75">
      <c r="A1129" s="432"/>
      <c r="B1129" s="437" t="s">
        <v>1528</v>
      </c>
      <c r="C1129" s="437" t="s">
        <v>1528</v>
      </c>
      <c r="D1129" s="235" t="str">
        <f t="shared" si="62"/>
        <v xml:space="preserve"> OK</v>
      </c>
      <c r="E1129" s="254" t="s">
        <v>1528</v>
      </c>
      <c r="F1129" s="254">
        <v>0</v>
      </c>
      <c r="G1129" s="298">
        <f>[3]Elec.Data!K3210</f>
        <v>2007</v>
      </c>
      <c r="H1129" s="298"/>
      <c r="I1129" s="433"/>
      <c r="J1129" s="433"/>
      <c r="K1129" s="240"/>
      <c r="L1129" s="240"/>
      <c r="M1129" s="240"/>
      <c r="N1129" s="240"/>
      <c r="O1129" s="270"/>
      <c r="P1129" s="240"/>
      <c r="Q1129" s="270"/>
      <c r="R1129" s="240"/>
      <c r="S1129" s="270"/>
      <c r="T1129" s="268"/>
      <c r="U1129" s="240"/>
      <c r="V1129" s="240"/>
      <c r="W1129" s="238">
        <f t="shared" si="61"/>
        <v>0</v>
      </c>
      <c r="Y1129" s="223" t="str">
        <f>'[4]Development - i'!E1128</f>
        <v>Supplying and fixing of 32 amps triple pole main switch with fuse and neutral link on a suitable well varnished teak wood board</v>
      </c>
      <c r="Z1129" s="223" t="str">
        <f t="shared" si="60"/>
        <v>-----------------------</v>
      </c>
    </row>
    <row r="1130" spans="1:26" s="241" customFormat="1" ht="116.25">
      <c r="A1130" s="432"/>
      <c r="B1130" s="437" t="s">
        <v>1529</v>
      </c>
      <c r="C1130" s="437" t="s">
        <v>1529</v>
      </c>
      <c r="D1130" s="235" t="str">
        <f t="shared" si="62"/>
        <v xml:space="preserve"> OK</v>
      </c>
      <c r="E1130" s="254" t="s">
        <v>1529</v>
      </c>
      <c r="F1130" s="254">
        <v>0</v>
      </c>
      <c r="G1130" s="298">
        <f>[3]Elec.Data!K3233</f>
        <v>4016</v>
      </c>
      <c r="H1130" s="298"/>
      <c r="I1130" s="433"/>
      <c r="J1130" s="433"/>
      <c r="K1130" s="240"/>
      <c r="L1130" s="240"/>
      <c r="M1130" s="240"/>
      <c r="N1130" s="240"/>
      <c r="O1130" s="270"/>
      <c r="P1130" s="240"/>
      <c r="Q1130" s="270"/>
      <c r="R1130" s="240"/>
      <c r="S1130" s="270"/>
      <c r="T1130" s="268"/>
      <c r="U1130" s="240"/>
      <c r="V1130" s="240"/>
      <c r="W1130" s="238">
        <f t="shared" si="61"/>
        <v>0</v>
      </c>
      <c r="Y1130" s="223" t="str">
        <f>'[4]Development - i'!E1129</f>
        <v>THREE PHASE DISTRIBUTION BOARD WITH 6 WAY PHASE AND 30 AMPS / WAY WITH FUSE AND NEUTRAL LINK ON SUITABLE TW PLANK TOP MES CONNECTION BOARD (FOR 12 IN 1 BLOCKS)</v>
      </c>
      <c r="Z1130" s="223" t="str">
        <f t="shared" si="60"/>
        <v>-----------------------</v>
      </c>
    </row>
    <row r="1131" spans="1:26" s="241" customFormat="1" ht="93">
      <c r="A1131" s="432"/>
      <c r="B1131" s="437" t="s">
        <v>1530</v>
      </c>
      <c r="C1131" s="437" t="s">
        <v>1530</v>
      </c>
      <c r="D1131" s="235" t="str">
        <f t="shared" si="62"/>
        <v xml:space="preserve"> OK</v>
      </c>
      <c r="E1131" s="254" t="s">
        <v>1530</v>
      </c>
      <c r="F1131" s="254">
        <v>0</v>
      </c>
      <c r="G1131" s="298">
        <f>[3]Elec.Data!K3221</f>
        <v>3250</v>
      </c>
      <c r="H1131" s="298"/>
      <c r="I1131" s="433"/>
      <c r="J1131" s="433"/>
      <c r="K1131" s="240"/>
      <c r="L1131" s="240"/>
      <c r="M1131" s="240"/>
      <c r="N1131" s="240"/>
      <c r="O1131" s="270"/>
      <c r="P1131" s="240"/>
      <c r="Q1131" s="270"/>
      <c r="R1131" s="240"/>
      <c r="S1131" s="270"/>
      <c r="T1131" s="268"/>
      <c r="U1131" s="240"/>
      <c r="V1131" s="240"/>
      <c r="W1131" s="238">
        <f t="shared" si="61"/>
        <v>0</v>
      </c>
      <c r="Y1131" s="223" t="str">
        <f>'[4]Development - i'!E1130</f>
        <v>THREE PHASE DISTRIBUTION BOARD WITH 4 WAY PHASE AND 3 AMPS/WAY FUSE AND NEUTRAL LINK FOR MES SERVICE CONNECTION ( 6 IN 1  BLOCKS )</v>
      </c>
      <c r="Z1131" s="223" t="str">
        <f t="shared" si="60"/>
        <v>-----------------------</v>
      </c>
    </row>
    <row r="1132" spans="1:26" s="241" customFormat="1" ht="46.5">
      <c r="A1132" s="432"/>
      <c r="B1132" s="437" t="s">
        <v>1531</v>
      </c>
      <c r="C1132" s="437" t="s">
        <v>1531</v>
      </c>
      <c r="D1132" s="235" t="str">
        <f t="shared" si="62"/>
        <v xml:space="preserve"> OK</v>
      </c>
      <c r="E1132" s="254" t="s">
        <v>1531</v>
      </c>
      <c r="F1132" s="254">
        <v>0</v>
      </c>
      <c r="G1132" s="298">
        <f>[3]Elec.Data!K3244</f>
        <v>250</v>
      </c>
      <c r="H1132" s="298"/>
      <c r="I1132" s="433"/>
      <c r="J1132" s="433"/>
      <c r="K1132" s="240"/>
      <c r="L1132" s="240"/>
      <c r="M1132" s="240"/>
      <c r="N1132" s="240"/>
      <c r="O1132" s="270"/>
      <c r="P1132" s="240"/>
      <c r="Q1132" s="270"/>
      <c r="R1132" s="240"/>
      <c r="S1132" s="270"/>
      <c r="T1132" s="268"/>
      <c r="U1132" s="240"/>
      <c r="V1132" s="240"/>
      <c r="W1132" s="238">
        <f t="shared" si="61"/>
        <v>0</v>
      </c>
      <c r="Y1132" s="223" t="str">
        <f>'[4]Development - i'!E1131</f>
        <v>FIXING OF TUBE LIGHT FITTINGS ON WALL / CEILING</v>
      </c>
      <c r="Z1132" s="223" t="str">
        <f t="shared" si="60"/>
        <v>-----------------------</v>
      </c>
    </row>
    <row r="1133" spans="1:26" s="241" customFormat="1" ht="46.5">
      <c r="A1133" s="432"/>
      <c r="B1133" s="437" t="s">
        <v>1532</v>
      </c>
      <c r="C1133" s="437" t="s">
        <v>1532</v>
      </c>
      <c r="D1133" s="235" t="str">
        <f t="shared" si="62"/>
        <v xml:space="preserve"> OK</v>
      </c>
      <c r="E1133" s="254" t="s">
        <v>1532</v>
      </c>
      <c r="F1133" s="254">
        <v>0</v>
      </c>
      <c r="G1133" s="298">
        <f>[3]Elec.Data!K3262</f>
        <v>417</v>
      </c>
      <c r="H1133" s="298"/>
      <c r="I1133" s="433"/>
      <c r="J1133" s="433"/>
      <c r="K1133" s="240"/>
      <c r="L1133" s="240"/>
      <c r="M1133" s="240"/>
      <c r="N1133" s="240"/>
      <c r="O1133" s="270"/>
      <c r="P1133" s="240"/>
      <c r="Q1133" s="270"/>
      <c r="R1133" s="240"/>
      <c r="S1133" s="270"/>
      <c r="T1133" s="268"/>
      <c r="U1133" s="240"/>
      <c r="V1133" s="240"/>
      <c r="W1133" s="238">
        <f t="shared" si="61"/>
        <v>0</v>
      </c>
      <c r="Y1133" s="223" t="str">
        <f>'[4]Development - i'!E1132</f>
        <v>FIXING OF TUBE FITTINGS SUSPENDED FROM CEILING</v>
      </c>
      <c r="Z1133" s="223" t="str">
        <f t="shared" si="60"/>
        <v>-----------------------</v>
      </c>
    </row>
    <row r="1134" spans="1:26" s="241" customFormat="1" ht="46.5">
      <c r="A1134" s="432"/>
      <c r="B1134" s="437" t="s">
        <v>1533</v>
      </c>
      <c r="C1134" s="437" t="s">
        <v>1533</v>
      </c>
      <c r="D1134" s="235" t="str">
        <f t="shared" si="62"/>
        <v xml:space="preserve"> OK</v>
      </c>
      <c r="E1134" s="254" t="s">
        <v>1533</v>
      </c>
      <c r="F1134" s="254">
        <v>0</v>
      </c>
      <c r="G1134" s="298">
        <f>[3]Elec.Data!K3333</f>
        <v>330</v>
      </c>
      <c r="H1134" s="298"/>
      <c r="I1134" s="433"/>
      <c r="J1134" s="433"/>
      <c r="K1134" s="240"/>
      <c r="L1134" s="240"/>
      <c r="M1134" s="240"/>
      <c r="N1134" s="240"/>
      <c r="O1134" s="270"/>
      <c r="P1134" s="240"/>
      <c r="Q1134" s="270"/>
      <c r="R1134" s="240"/>
      <c r="S1134" s="270"/>
      <c r="T1134" s="268"/>
      <c r="U1134" s="240"/>
      <c r="V1134" s="240"/>
      <c r="W1134" s="238">
        <f t="shared" si="61"/>
        <v>0</v>
      </c>
      <c r="Y1134" s="223" t="str">
        <f>'[4]Development - i'!E1133</f>
        <v xml:space="preserve">( to be supplied by the department free of cost ) on suitable well varnished teak wood plank </v>
      </c>
      <c r="Z1134" s="223" t="str">
        <f t="shared" si="60"/>
        <v>-----------------------</v>
      </c>
    </row>
    <row r="1135" spans="1:26" s="241" customFormat="1" ht="46.5">
      <c r="A1135" s="432"/>
      <c r="B1135" s="437" t="s">
        <v>1534</v>
      </c>
      <c r="C1135" s="437" t="s">
        <v>1534</v>
      </c>
      <c r="D1135" s="235" t="str">
        <f t="shared" si="62"/>
        <v xml:space="preserve"> OK</v>
      </c>
      <c r="E1135" s="254" t="s">
        <v>1534</v>
      </c>
      <c r="F1135" s="254">
        <v>0</v>
      </c>
      <c r="G1135" s="298">
        <f>[3]Elec.Data!K3348</f>
        <v>633</v>
      </c>
      <c r="H1135" s="298"/>
      <c r="I1135" s="433"/>
      <c r="J1135" s="433"/>
      <c r="K1135" s="240"/>
      <c r="L1135" s="240"/>
      <c r="M1135" s="240"/>
      <c r="N1135" s="240"/>
      <c r="O1135" s="270"/>
      <c r="P1135" s="240"/>
      <c r="Q1135" s="270"/>
      <c r="R1135" s="240"/>
      <c r="S1135" s="270"/>
      <c r="T1135" s="268"/>
      <c r="U1135" s="240"/>
      <c r="V1135" s="240"/>
      <c r="W1135" s="238">
        <f t="shared" si="61"/>
        <v>0</v>
      </c>
      <c r="Y1135" s="223" t="str">
        <f>'[4]Development - i'!E1134</f>
        <v xml:space="preserve">Charges for fixing single phase RCCB/ELCB on fully concealed suitable MS BOX </v>
      </c>
      <c r="Z1135" s="223" t="str">
        <f t="shared" si="60"/>
        <v>-----------------------</v>
      </c>
    </row>
    <row r="1136" spans="1:26" s="241" customFormat="1" ht="46.5">
      <c r="A1136" s="432"/>
      <c r="B1136" s="437" t="s">
        <v>1535</v>
      </c>
      <c r="C1136" s="437" t="s">
        <v>1535</v>
      </c>
      <c r="D1136" s="235" t="str">
        <f t="shared" si="62"/>
        <v xml:space="preserve"> OK</v>
      </c>
      <c r="E1136" s="254" t="s">
        <v>1535</v>
      </c>
      <c r="F1136" s="254">
        <v>0</v>
      </c>
      <c r="G1136" s="298">
        <f>[3]Elec.Data!K3366</f>
        <v>418</v>
      </c>
      <c r="H1136" s="298"/>
      <c r="I1136" s="433"/>
      <c r="J1136" s="433"/>
      <c r="K1136" s="240"/>
      <c r="L1136" s="240"/>
      <c r="M1136" s="240"/>
      <c r="N1136" s="240"/>
      <c r="O1136" s="270"/>
      <c r="P1136" s="240"/>
      <c r="Q1136" s="270"/>
      <c r="R1136" s="240"/>
      <c r="S1136" s="270"/>
      <c r="T1136" s="268"/>
      <c r="U1136" s="240"/>
      <c r="V1136" s="240"/>
      <c r="W1136" s="238">
        <f t="shared" si="61"/>
        <v>0</v>
      </c>
      <c r="Y1136" s="223" t="str">
        <f>'[4]Development - i'!E1135</f>
        <v xml:space="preserve">Charges for fixing three phase RCCB/ ELCB  on suitable well varnished teak wood plank </v>
      </c>
      <c r="Z1136" s="223" t="str">
        <f t="shared" si="60"/>
        <v>-----------------------</v>
      </c>
    </row>
    <row r="1137" spans="1:26" s="241" customFormat="1" ht="46.5">
      <c r="A1137" s="432"/>
      <c r="B1137" s="437" t="s">
        <v>1536</v>
      </c>
      <c r="C1137" s="437" t="s">
        <v>1536</v>
      </c>
      <c r="D1137" s="235" t="str">
        <f t="shared" si="62"/>
        <v xml:space="preserve"> OK</v>
      </c>
      <c r="E1137" s="254" t="s">
        <v>1536</v>
      </c>
      <c r="F1137" s="254">
        <v>0</v>
      </c>
      <c r="G1137" s="298">
        <f>[3]Elec.Data!K3379</f>
        <v>647</v>
      </c>
      <c r="H1137" s="298"/>
      <c r="I1137" s="433"/>
      <c r="J1137" s="433"/>
      <c r="K1137" s="240"/>
      <c r="L1137" s="240"/>
      <c r="M1137" s="240"/>
      <c r="N1137" s="240"/>
      <c r="O1137" s="270"/>
      <c r="P1137" s="240"/>
      <c r="Q1137" s="270"/>
      <c r="R1137" s="240"/>
      <c r="S1137" s="270"/>
      <c r="T1137" s="268"/>
      <c r="U1137" s="240"/>
      <c r="V1137" s="240"/>
      <c r="W1137" s="238">
        <f t="shared" si="61"/>
        <v>0</v>
      </c>
      <c r="Y1137" s="223" t="str">
        <f>'[4]Development - i'!E1136</f>
        <v xml:space="preserve">Charges for fixing Three  phase RCCB/ELCB  on fully concealed suitable MS BOX </v>
      </c>
      <c r="Z1137" s="223" t="str">
        <f t="shared" si="60"/>
        <v>-----------------------</v>
      </c>
    </row>
    <row r="1138" spans="1:26" s="241" customFormat="1" ht="46.5">
      <c r="A1138" s="432"/>
      <c r="B1138" s="437" t="s">
        <v>1537</v>
      </c>
      <c r="C1138" s="437" t="s">
        <v>1537</v>
      </c>
      <c r="D1138" s="235" t="str">
        <f t="shared" si="62"/>
        <v xml:space="preserve"> OK</v>
      </c>
      <c r="E1138" s="254" t="s">
        <v>1537</v>
      </c>
      <c r="F1138" s="254">
        <v>0</v>
      </c>
      <c r="G1138" s="298">
        <f>[3]Elec.Data!K3384</f>
        <v>1492</v>
      </c>
      <c r="H1138" s="298"/>
      <c r="I1138" s="433"/>
      <c r="J1138" s="433"/>
      <c r="K1138" s="240"/>
      <c r="L1138" s="240"/>
      <c r="M1138" s="240"/>
      <c r="N1138" s="240"/>
      <c r="O1138" s="270"/>
      <c r="P1138" s="240"/>
      <c r="Q1138" s="270"/>
      <c r="R1138" s="240"/>
      <c r="S1138" s="270"/>
      <c r="T1138" s="268"/>
      <c r="U1138" s="240"/>
      <c r="V1138" s="240"/>
      <c r="W1138" s="238">
        <f t="shared" si="61"/>
        <v>0</v>
      </c>
      <c r="Y1138" s="223" t="str">
        <f>'[4]Development - i'!E1137</f>
        <v>Supplying and delivery of Single phase ELCB/RCCB</v>
      </c>
      <c r="Z1138" s="223" t="str">
        <f t="shared" si="60"/>
        <v>-----------------------</v>
      </c>
    </row>
    <row r="1139" spans="1:26" s="241" customFormat="1" ht="152.25">
      <c r="A1139" s="432"/>
      <c r="B1139" s="437" t="s">
        <v>1174</v>
      </c>
      <c r="C1139" s="437" t="s">
        <v>1174</v>
      </c>
      <c r="D1139" s="235" t="str">
        <f t="shared" si="62"/>
        <v xml:space="preserve"> OK</v>
      </c>
      <c r="E1139" s="254" t="s">
        <v>1174</v>
      </c>
      <c r="F1139" s="254" t="s">
        <v>1175</v>
      </c>
      <c r="G1139" s="298">
        <f>[3]Elec.Data!K3389</f>
        <v>1840</v>
      </c>
      <c r="H1139" s="298"/>
      <c r="I1139" s="433"/>
      <c r="J1139" s="433"/>
      <c r="K1139" s="240"/>
      <c r="L1139" s="240"/>
      <c r="M1139" s="240"/>
      <c r="N1139" s="240"/>
      <c r="O1139" s="270"/>
      <c r="P1139" s="240"/>
      <c r="Q1139" s="270"/>
      <c r="R1139" s="240"/>
      <c r="S1139" s="270"/>
      <c r="T1139" s="268"/>
      <c r="U1139" s="240"/>
      <c r="V1139" s="240"/>
      <c r="W1139" s="238">
        <f t="shared" si="61"/>
        <v>0</v>
      </c>
      <c r="Y1139" s="223" t="str">
        <f>'[4]Development - i'!E1138</f>
        <v>Supplying and delivery of Three phase ELCB/RCCB</v>
      </c>
      <c r="Z1139" s="223" t="str">
        <f t="shared" si="60"/>
        <v>-----------------------</v>
      </c>
    </row>
    <row r="1140" spans="1:26" s="241" customFormat="1" ht="130.5">
      <c r="A1140" s="432"/>
      <c r="B1140" s="437" t="s">
        <v>2282</v>
      </c>
      <c r="C1140" s="437" t="s">
        <v>2182</v>
      </c>
      <c r="D1140" s="235" t="str">
        <f t="shared" si="62"/>
        <v xml:space="preserve"> OK</v>
      </c>
      <c r="E1140" s="254" t="s">
        <v>1538</v>
      </c>
      <c r="F1140" s="254" t="s">
        <v>950</v>
      </c>
      <c r="G1140" s="298">
        <f>[3]Elec.Data!K3501</f>
        <v>126</v>
      </c>
      <c r="H1140" s="298"/>
      <c r="I1140" s="433"/>
      <c r="J1140" s="433"/>
      <c r="K1140" s="240"/>
      <c r="L1140" s="240"/>
      <c r="M1140" s="240"/>
      <c r="N1140" s="240"/>
      <c r="O1140" s="270"/>
      <c r="P1140" s="240"/>
      <c r="Q1140" s="270"/>
      <c r="R1140" s="240"/>
      <c r="S1140" s="270"/>
      <c r="T1140" s="268"/>
      <c r="U1140" s="240"/>
      <c r="V1140" s="240"/>
      <c r="W1140" s="238">
        <f t="shared" si="61"/>
        <v>0</v>
      </c>
      <c r="Y1140" s="223" t="str">
        <f>'[4]Development - i'!E1139</f>
        <v>2 x 4 Sqm.m Copper PVC insulated unsheathed single core 1 KV grade cable for EB service single phase.</v>
      </c>
      <c r="Z1140" s="223" t="str">
        <f t="shared" ref="Z1140:Z1203" si="63">IF(Y1140=E1140,"-----------------------","ERRR")</f>
        <v>-----------------------</v>
      </c>
    </row>
    <row r="1141" spans="1:26" s="241" customFormat="1" ht="69.75">
      <c r="A1141" s="432"/>
      <c r="B1141" s="437" t="s">
        <v>2283</v>
      </c>
      <c r="C1141" s="437" t="s">
        <v>1143</v>
      </c>
      <c r="D1141" s="235" t="str">
        <f t="shared" si="62"/>
        <v xml:space="preserve"> OK</v>
      </c>
      <c r="E1141" s="254" t="s">
        <v>1143</v>
      </c>
      <c r="F1141" s="254">
        <v>0</v>
      </c>
      <c r="G1141" s="298">
        <f>[3]Elec.Data!K3539</f>
        <v>221</v>
      </c>
      <c r="H1141" s="298"/>
      <c r="I1141" s="433"/>
      <c r="J1141" s="433"/>
      <c r="K1141" s="240"/>
      <c r="L1141" s="240"/>
      <c r="M1141" s="240"/>
      <c r="N1141" s="240"/>
      <c r="O1141" s="270"/>
      <c r="P1141" s="240"/>
      <c r="Q1141" s="270"/>
      <c r="R1141" s="240"/>
      <c r="S1141" s="270"/>
      <c r="T1141" s="268"/>
      <c r="U1141" s="240"/>
      <c r="V1141" s="240"/>
      <c r="W1141" s="238">
        <f t="shared" si="61"/>
        <v>0</v>
      </c>
      <c r="Y1141" s="223" t="str">
        <f>'[4]Development - i'!E1140</f>
        <v>4 x 4  Sq mm copper PVC insulated unsheathed single core cable for 3 phase EB service connection</v>
      </c>
      <c r="Z1141" s="223" t="str">
        <f t="shared" si="63"/>
        <v>-----------------------</v>
      </c>
    </row>
    <row r="1142" spans="1:26" s="241" customFormat="1">
      <c r="A1142" s="432"/>
      <c r="B1142" s="437" t="s">
        <v>1539</v>
      </c>
      <c r="C1142" s="437" t="s">
        <v>1539</v>
      </c>
      <c r="D1142" s="235" t="str">
        <f t="shared" si="62"/>
        <v xml:space="preserve"> OK</v>
      </c>
      <c r="E1142" s="254" t="s">
        <v>1539</v>
      </c>
      <c r="F1142" s="254">
        <v>0</v>
      </c>
      <c r="G1142" s="298">
        <f>[3]Elec.Data!K3547</f>
        <v>165</v>
      </c>
      <c r="H1142" s="298"/>
      <c r="I1142" s="433"/>
      <c r="J1142" s="433"/>
      <c r="K1142" s="240"/>
      <c r="L1142" s="240"/>
      <c r="M1142" s="240"/>
      <c r="N1142" s="240"/>
      <c r="O1142" s="270"/>
      <c r="P1142" s="240"/>
      <c r="Q1142" s="270"/>
      <c r="R1142" s="240"/>
      <c r="S1142" s="270"/>
      <c r="T1142" s="268"/>
      <c r="U1142" s="240"/>
      <c r="V1142" s="240"/>
      <c r="W1142" s="238">
        <f t="shared" si="61"/>
        <v>0</v>
      </c>
      <c r="Y1142" s="223" t="str">
        <f>'[4]Development - i'!E1141</f>
        <v xml:space="preserve">Supply of 40 mm dia GI pipe "B"class </v>
      </c>
      <c r="Z1142" s="223" t="str">
        <f t="shared" si="63"/>
        <v>-----------------------</v>
      </c>
    </row>
    <row r="1143" spans="1:26" s="241" customFormat="1">
      <c r="A1143" s="432"/>
      <c r="B1143" s="437" t="s">
        <v>1540</v>
      </c>
      <c r="C1143" s="437" t="s">
        <v>1540</v>
      </c>
      <c r="D1143" s="235" t="str">
        <f t="shared" si="62"/>
        <v xml:space="preserve"> OK</v>
      </c>
      <c r="E1143" s="254" t="s">
        <v>1540</v>
      </c>
      <c r="F1143" s="254">
        <v>0</v>
      </c>
      <c r="G1143" s="298">
        <f>[3]Elec.Data!K3567</f>
        <v>228.93</v>
      </c>
      <c r="H1143" s="298"/>
      <c r="I1143" s="433"/>
      <c r="J1143" s="433"/>
      <c r="K1143" s="240"/>
      <c r="L1143" s="240"/>
      <c r="M1143" s="240"/>
      <c r="N1143" s="240"/>
      <c r="O1143" s="270"/>
      <c r="P1143" s="240"/>
      <c r="Q1143" s="270"/>
      <c r="R1143" s="240"/>
      <c r="S1143" s="270"/>
      <c r="T1143" s="268"/>
      <c r="U1143" s="240"/>
      <c r="V1143" s="240"/>
      <c r="W1143" s="238">
        <f t="shared" si="61"/>
        <v>0</v>
      </c>
      <c r="Y1143" s="223" t="str">
        <f>'[4]Development - i'!E1142</f>
        <v>Laying of U.G. Cable below Ground Level</v>
      </c>
      <c r="Z1143" s="223" t="str">
        <f t="shared" si="63"/>
        <v>-----------------------</v>
      </c>
    </row>
    <row r="1144" spans="1:26" s="241" customFormat="1">
      <c r="A1144" s="432"/>
      <c r="B1144" s="437" t="s">
        <v>1541</v>
      </c>
      <c r="C1144" s="437" t="s">
        <v>1541</v>
      </c>
      <c r="D1144" s="235" t="str">
        <f t="shared" si="62"/>
        <v xml:space="preserve"> OK</v>
      </c>
      <c r="E1144" s="254" t="s">
        <v>1541</v>
      </c>
      <c r="F1144" s="254">
        <v>0</v>
      </c>
      <c r="G1144" s="298">
        <f>[3]Elec.Data!K3584</f>
        <v>135</v>
      </c>
      <c r="H1144" s="298"/>
      <c r="I1144" s="433"/>
      <c r="J1144" s="433"/>
      <c r="K1144" s="240"/>
      <c r="L1144" s="240"/>
      <c r="M1144" s="240"/>
      <c r="N1144" s="240"/>
      <c r="O1144" s="270"/>
      <c r="P1144" s="240"/>
      <c r="Q1144" s="270"/>
      <c r="R1144" s="240"/>
      <c r="S1144" s="270"/>
      <c r="T1144" s="268"/>
      <c r="U1144" s="240"/>
      <c r="V1144" s="240"/>
      <c r="W1144" s="238">
        <f t="shared" si="61"/>
        <v>0</v>
      </c>
      <c r="Y1144" s="223" t="str">
        <f>'[4]Development - i'!E1143</f>
        <v>Fixing of UG cables on Walls / Ceiling</v>
      </c>
      <c r="Z1144" s="223" t="str">
        <f t="shared" si="63"/>
        <v>-----------------------</v>
      </c>
    </row>
    <row r="1145" spans="1:26" s="241" customFormat="1">
      <c r="A1145" s="432"/>
      <c r="B1145" s="437" t="s">
        <v>1542</v>
      </c>
      <c r="C1145" s="437" t="s">
        <v>1542</v>
      </c>
      <c r="D1145" s="235" t="str">
        <f t="shared" si="62"/>
        <v xml:space="preserve"> OK</v>
      </c>
      <c r="E1145" s="254" t="s">
        <v>1542</v>
      </c>
      <c r="F1145" s="254">
        <v>0</v>
      </c>
      <c r="G1145" s="298">
        <f>[3]Elec.Data!K3619</f>
        <v>1903</v>
      </c>
      <c r="H1145" s="298"/>
      <c r="I1145" s="433"/>
      <c r="J1145" s="433"/>
      <c r="K1145" s="240"/>
      <c r="L1145" s="240"/>
      <c r="M1145" s="240"/>
      <c r="N1145" s="240"/>
      <c r="O1145" s="270"/>
      <c r="P1145" s="240"/>
      <c r="Q1145" s="270"/>
      <c r="R1145" s="240"/>
      <c r="S1145" s="270"/>
      <c r="T1145" s="268"/>
      <c r="U1145" s="240"/>
      <c r="V1145" s="240"/>
      <c r="W1145" s="238">
        <f t="shared" si="61"/>
        <v>0</v>
      </c>
      <c r="Y1145" s="223" t="str">
        <f>'[4]Development - i'!E1144</f>
        <v>Fixing of Tube light street light fitting</v>
      </c>
      <c r="Z1145" s="223" t="str">
        <f t="shared" si="63"/>
        <v>-----------------------</v>
      </c>
    </row>
    <row r="1146" spans="1:26" s="241" customFormat="1" ht="116.25">
      <c r="A1146" s="432"/>
      <c r="B1146" s="437" t="s">
        <v>1543</v>
      </c>
      <c r="C1146" s="437" t="s">
        <v>1543</v>
      </c>
      <c r="D1146" s="235" t="str">
        <f t="shared" si="62"/>
        <v xml:space="preserve"> OK</v>
      </c>
      <c r="E1146" s="254" t="s">
        <v>1543</v>
      </c>
      <c r="F1146" s="254">
        <v>0</v>
      </c>
      <c r="G1146" s="298">
        <f>[3]Elec.Data!K3650</f>
        <v>2018</v>
      </c>
      <c r="H1146" s="298"/>
      <c r="I1146" s="433"/>
      <c r="J1146" s="433"/>
      <c r="K1146" s="240"/>
      <c r="L1146" s="240"/>
      <c r="M1146" s="240"/>
      <c r="N1146" s="240"/>
      <c r="O1146" s="270"/>
      <c r="P1146" s="240"/>
      <c r="Q1146" s="270"/>
      <c r="R1146" s="240"/>
      <c r="S1146" s="270"/>
      <c r="T1146" s="268"/>
      <c r="U1146" s="240"/>
      <c r="V1146" s="240"/>
      <c r="W1146" s="238">
        <f t="shared" si="61"/>
        <v>0</v>
      </c>
      <c r="Y1146" s="223" t="str">
        <f>'[4]Development - i'!E1145</f>
        <v>Charges for fixing Mercury, Sodium Vapour lamp street light fittings ( all types ) in the existing pole with required GI pipes 'B' class and accessories ( Street light fittings alone will be supplied departmentally at free of cost ).</v>
      </c>
      <c r="Z1146" s="223" t="str">
        <f t="shared" si="63"/>
        <v>-----------------------</v>
      </c>
    </row>
    <row r="1147" spans="1:26" s="241" customFormat="1" ht="152.25">
      <c r="A1147" s="432"/>
      <c r="B1147" s="437" t="s">
        <v>1544</v>
      </c>
      <c r="C1147" s="437" t="s">
        <v>1544</v>
      </c>
      <c r="D1147" s="235" t="str">
        <f t="shared" si="62"/>
        <v xml:space="preserve"> OK</v>
      </c>
      <c r="E1147" s="254" t="s">
        <v>1544</v>
      </c>
      <c r="F1147" s="254" t="s">
        <v>1545</v>
      </c>
      <c r="G1147" s="298">
        <f>[3]Elec.Data!K3676</f>
        <v>4685</v>
      </c>
      <c r="H1147" s="298"/>
      <c r="I1147" s="433"/>
      <c r="J1147" s="433"/>
      <c r="K1147" s="240"/>
      <c r="L1147" s="240"/>
      <c r="M1147" s="240"/>
      <c r="N1147" s="240"/>
      <c r="O1147" s="270"/>
      <c r="P1147" s="240"/>
      <c r="Q1147" s="270"/>
      <c r="R1147" s="240"/>
      <c r="S1147" s="270"/>
      <c r="T1147" s="268"/>
      <c r="U1147" s="240"/>
      <c r="V1147" s="240"/>
      <c r="W1147" s="238">
        <f t="shared" si="61"/>
        <v>0</v>
      </c>
      <c r="Y1147" s="223" t="str">
        <f>'[4]Development - i'!E1146</f>
        <v>S &amp; F TNEB Meter Board made up of MS box 600 x 225 mm with door and lock and key arrangements</v>
      </c>
      <c r="Z1147" s="223" t="str">
        <f t="shared" si="63"/>
        <v>-----------------------</v>
      </c>
    </row>
    <row r="1148" spans="1:26" s="241" customFormat="1" ht="46.5">
      <c r="A1148" s="432"/>
      <c r="B1148" s="437" t="s">
        <v>1546</v>
      </c>
      <c r="C1148" s="437" t="s">
        <v>1546</v>
      </c>
      <c r="D1148" s="235" t="str">
        <f t="shared" si="62"/>
        <v xml:space="preserve"> OK</v>
      </c>
      <c r="E1148" s="254" t="s">
        <v>1546</v>
      </c>
      <c r="F1148" s="254">
        <v>0</v>
      </c>
      <c r="G1148" s="298">
        <f>[3]Elec.Data!K3695</f>
        <v>81.3</v>
      </c>
      <c r="H1148" s="298"/>
      <c r="I1148" s="433"/>
      <c r="J1148" s="433"/>
      <c r="K1148" s="240"/>
      <c r="L1148" s="240"/>
      <c r="M1148" s="240"/>
      <c r="N1148" s="240"/>
      <c r="O1148" s="270"/>
      <c r="P1148" s="240"/>
      <c r="Q1148" s="270"/>
      <c r="R1148" s="240"/>
      <c r="S1148" s="270"/>
      <c r="T1148" s="268"/>
      <c r="U1148" s="240"/>
      <c r="V1148" s="240"/>
      <c r="W1148" s="238">
        <f t="shared" si="61"/>
        <v>0</v>
      </c>
      <c r="Y1148" s="223" t="str">
        <f>'[4]Development - i'!E1147</f>
        <v>25 mm dia PVC pipe Heavy duty with ISI mark for TV/ Telephone line</v>
      </c>
      <c r="Z1148" s="223" t="str">
        <f t="shared" si="63"/>
        <v>-----------------------</v>
      </c>
    </row>
    <row r="1149" spans="1:26" s="241" customFormat="1">
      <c r="A1149" s="432"/>
      <c r="B1149" s="437" t="s">
        <v>1547</v>
      </c>
      <c r="C1149" s="437" t="s">
        <v>1547</v>
      </c>
      <c r="D1149" s="235" t="str">
        <f t="shared" si="62"/>
        <v xml:space="preserve"> OK</v>
      </c>
      <c r="E1149" s="254" t="s">
        <v>1547</v>
      </c>
      <c r="F1149" s="254">
        <v>0</v>
      </c>
      <c r="G1149" s="298">
        <f>[3]Elec.Data!K3702</f>
        <v>53</v>
      </c>
      <c r="H1149" s="298"/>
      <c r="I1149" s="433"/>
      <c r="J1149" s="433"/>
      <c r="K1149" s="240"/>
      <c r="L1149" s="240"/>
      <c r="M1149" s="240"/>
      <c r="N1149" s="240"/>
      <c r="O1149" s="270"/>
      <c r="P1149" s="240"/>
      <c r="Q1149" s="270"/>
      <c r="R1149" s="240"/>
      <c r="S1149" s="270"/>
      <c r="T1149" s="268"/>
      <c r="U1149" s="240"/>
      <c r="V1149" s="240"/>
      <c r="W1149" s="238">
        <f t="shared" si="61"/>
        <v>0</v>
      </c>
      <c r="Y1149" s="223" t="str">
        <f>'[4]Development - i'!E1148</f>
        <v xml:space="preserve">TV/Telephone line junction </v>
      </c>
      <c r="Z1149" s="223" t="str">
        <f t="shared" si="63"/>
        <v>-----------------------</v>
      </c>
    </row>
    <row r="1150" spans="1:26" s="241" customFormat="1" ht="93">
      <c r="A1150" s="432"/>
      <c r="B1150" s="437" t="s">
        <v>1548</v>
      </c>
      <c r="C1150" s="437" t="s">
        <v>1548</v>
      </c>
      <c r="D1150" s="235" t="str">
        <f t="shared" si="62"/>
        <v xml:space="preserve"> OK</v>
      </c>
      <c r="E1150" s="254" t="s">
        <v>1548</v>
      </c>
      <c r="F1150" s="254">
        <v>0</v>
      </c>
      <c r="G1150" s="298">
        <f>[3]Elec.Data!K3727</f>
        <v>6505</v>
      </c>
      <c r="H1150" s="298"/>
      <c r="I1150" s="433"/>
      <c r="J1150" s="433"/>
      <c r="K1150" s="240"/>
      <c r="L1150" s="240"/>
      <c r="M1150" s="240"/>
      <c r="N1150" s="240"/>
      <c r="O1150" s="270"/>
      <c r="P1150" s="240"/>
      <c r="Q1150" s="270"/>
      <c r="R1150" s="240"/>
      <c r="S1150" s="270"/>
      <c r="T1150" s="268"/>
      <c r="U1150" s="240"/>
      <c r="V1150" s="240"/>
      <c r="W1150" s="238">
        <f t="shared" si="61"/>
        <v>0</v>
      </c>
      <c r="Y1150" s="223" t="str">
        <f>'[4]Development - i'!E1149</f>
        <v xml:space="preserve">Supply and erection of Tubular lamp, using 65 mm dia GI pipe 'B' class pipe with ISI mark of 6 mt length and 20 mm dia GI pipe 'B' class upto 2 mt with. </v>
      </c>
      <c r="Z1150" s="223" t="str">
        <f t="shared" si="63"/>
        <v>-----------------------</v>
      </c>
    </row>
    <row r="1151" spans="1:26" s="241" customFormat="1">
      <c r="A1151" s="432"/>
      <c r="B1151" s="437" t="s">
        <v>1549</v>
      </c>
      <c r="C1151" s="437" t="s">
        <v>1549</v>
      </c>
      <c r="D1151" s="235" t="str">
        <f t="shared" si="62"/>
        <v xml:space="preserve"> OK</v>
      </c>
      <c r="E1151" s="254" t="s">
        <v>1549</v>
      </c>
      <c r="F1151" s="254">
        <v>0</v>
      </c>
      <c r="G1151" s="298">
        <f>[3]Elec.Data!K3774</f>
        <v>591.94000000000005</v>
      </c>
      <c r="H1151" s="298"/>
      <c r="I1151" s="433"/>
      <c r="J1151" s="433"/>
      <c r="K1151" s="240"/>
      <c r="L1151" s="240"/>
      <c r="M1151" s="240"/>
      <c r="N1151" s="240"/>
      <c r="O1151" s="270"/>
      <c r="P1151" s="240"/>
      <c r="Q1151" s="270"/>
      <c r="R1151" s="240"/>
      <c r="S1151" s="270"/>
      <c r="T1151" s="268"/>
      <c r="U1151" s="240"/>
      <c r="V1151" s="240"/>
      <c r="W1151" s="238">
        <f t="shared" si="61"/>
        <v>0</v>
      </c>
      <c r="Y1151" s="223" t="str">
        <f>'[4]Development - i'!E1150</f>
        <v>Tube light -  Box type</v>
      </c>
      <c r="Z1151" s="223" t="str">
        <f t="shared" si="63"/>
        <v>-----------------------</v>
      </c>
    </row>
    <row r="1152" spans="1:26" s="241" customFormat="1" ht="46.5">
      <c r="A1152" s="432"/>
      <c r="B1152" s="438" t="s">
        <v>2284</v>
      </c>
      <c r="C1152" s="438" t="s">
        <v>1550</v>
      </c>
      <c r="D1152" s="235" t="str">
        <f t="shared" si="62"/>
        <v xml:space="preserve"> OK</v>
      </c>
      <c r="E1152" s="254" t="s">
        <v>1550</v>
      </c>
      <c r="F1152" s="254">
        <v>0</v>
      </c>
      <c r="G1152" s="298">
        <f>[3]Elec.Data!K3815</f>
        <v>745</v>
      </c>
      <c r="H1152" s="298"/>
      <c r="I1152" s="433"/>
      <c r="J1152" s="433"/>
      <c r="K1152" s="240"/>
      <c r="L1152" s="240"/>
      <c r="M1152" s="240"/>
      <c r="N1152" s="240"/>
      <c r="O1152" s="270"/>
      <c r="P1152" s="240"/>
      <c r="Q1152" s="270"/>
      <c r="R1152" s="240"/>
      <c r="S1152" s="270"/>
      <c r="T1152" s="268"/>
      <c r="U1152" s="240"/>
      <c r="V1152" s="240"/>
      <c r="W1152" s="238">
        <f t="shared" si="61"/>
        <v>0</v>
      </c>
      <c r="Y1152" s="223" t="str">
        <f>'[4]Development - i'!E1151</f>
        <v>Open wiring for Light point with ceiling rose for flats/ houses</v>
      </c>
      <c r="Z1152" s="223" t="str">
        <f t="shared" si="63"/>
        <v>-----------------------</v>
      </c>
    </row>
    <row r="1153" spans="1:26" s="241" customFormat="1" ht="46.5">
      <c r="A1153" s="432"/>
      <c r="B1153" s="437" t="s">
        <v>2285</v>
      </c>
      <c r="C1153" s="437" t="s">
        <v>1551</v>
      </c>
      <c r="D1153" s="235" t="str">
        <f t="shared" si="62"/>
        <v xml:space="preserve"> OK</v>
      </c>
      <c r="E1153" s="254" t="s">
        <v>1551</v>
      </c>
      <c r="F1153" s="254">
        <v>0</v>
      </c>
      <c r="G1153" s="298">
        <f>[3]Elec.Data!K3841</f>
        <v>748</v>
      </c>
      <c r="H1153" s="298"/>
      <c r="I1153" s="433"/>
      <c r="J1153" s="433"/>
      <c r="K1153" s="240"/>
      <c r="L1153" s="240"/>
      <c r="M1153" s="240"/>
      <c r="N1153" s="240"/>
      <c r="O1153" s="270"/>
      <c r="P1153" s="240"/>
      <c r="Q1153" s="270"/>
      <c r="R1153" s="240"/>
      <c r="S1153" s="270"/>
      <c r="T1153" s="268"/>
      <c r="U1153" s="240"/>
      <c r="V1153" s="240"/>
      <c r="W1153" s="238">
        <f t="shared" si="61"/>
        <v>0</v>
      </c>
      <c r="Y1153" s="223" t="str">
        <f>'[4]Development - i'!E1152</f>
        <v>Open wiring Light point with bakelite batern type holder for flats/ houses(Open wiring)</v>
      </c>
      <c r="Z1153" s="223" t="str">
        <f t="shared" si="63"/>
        <v>-----------------------</v>
      </c>
    </row>
    <row r="1154" spans="1:26" s="241" customFormat="1" ht="69.75">
      <c r="A1154" s="432"/>
      <c r="B1154" s="438" t="s">
        <v>2286</v>
      </c>
      <c r="C1154" s="438" t="s">
        <v>1552</v>
      </c>
      <c r="D1154" s="235" t="str">
        <f t="shared" si="62"/>
        <v xml:space="preserve"> OK</v>
      </c>
      <c r="E1154" s="254" t="s">
        <v>1552</v>
      </c>
      <c r="F1154" s="254">
        <v>0</v>
      </c>
      <c r="G1154" s="298">
        <f>[3]Elec.Data!K3857</f>
        <v>786</v>
      </c>
      <c r="H1154" s="298"/>
      <c r="I1154" s="433"/>
      <c r="J1154" s="433"/>
      <c r="K1154" s="240"/>
      <c r="L1154" s="240"/>
      <c r="M1154" s="240"/>
      <c r="N1154" s="240"/>
      <c r="O1154" s="270"/>
      <c r="P1154" s="240"/>
      <c r="Q1154" s="270"/>
      <c r="R1154" s="240"/>
      <c r="S1154" s="270"/>
      <c r="T1154" s="268"/>
      <c r="U1154" s="240"/>
      <c r="V1154" s="240"/>
      <c r="W1154" s="238">
        <f t="shared" si="61"/>
        <v>0</v>
      </c>
      <c r="Y1154" s="223" t="str">
        <f>'[4]Development - i'!E1153</f>
        <v>Open wiring POINT WIRING FOR CALLING BELL / BUZZER WITH PUSH SWITCH FOR ALL TYPE OF BUILDING (OPEN WIRING)</v>
      </c>
      <c r="Z1154" s="223" t="str">
        <f t="shared" si="63"/>
        <v>-----------------------</v>
      </c>
    </row>
    <row r="1155" spans="1:26" s="241" customFormat="1" ht="46.5">
      <c r="A1155" s="432"/>
      <c r="B1155" s="438" t="s">
        <v>2287</v>
      </c>
      <c r="C1155" s="438" t="s">
        <v>1553</v>
      </c>
      <c r="D1155" s="235" t="str">
        <f t="shared" si="62"/>
        <v xml:space="preserve"> OK</v>
      </c>
      <c r="E1155" s="254" t="s">
        <v>1553</v>
      </c>
      <c r="F1155" s="254">
        <v>0</v>
      </c>
      <c r="G1155" s="298">
        <f>[3]Elec.Data!K3879</f>
        <v>829</v>
      </c>
      <c r="H1155" s="298"/>
      <c r="I1155" s="433"/>
      <c r="J1155" s="433"/>
      <c r="K1155" s="240"/>
      <c r="L1155" s="240"/>
      <c r="M1155" s="240"/>
      <c r="N1155" s="240"/>
      <c r="O1155" s="270"/>
      <c r="P1155" s="240"/>
      <c r="Q1155" s="270"/>
      <c r="R1155" s="240"/>
      <c r="S1155" s="270"/>
      <c r="T1155" s="268"/>
      <c r="U1155" s="240"/>
      <c r="V1155" s="240"/>
      <c r="W1155" s="238">
        <f t="shared" si="61"/>
        <v>0</v>
      </c>
      <c r="Y1155" s="223" t="str">
        <f>'[4]Development - i'!E1154</f>
        <v>Open wiring FAN POINT FOR ADMINISTRATIVE BLOCKS AND COMMUNITY CENTRE</v>
      </c>
      <c r="Z1155" s="223" t="str">
        <f t="shared" si="63"/>
        <v>-----------------------</v>
      </c>
    </row>
    <row r="1156" spans="1:26" s="241" customFormat="1" ht="69.75">
      <c r="A1156" s="432"/>
      <c r="B1156" s="438" t="s">
        <v>2288</v>
      </c>
      <c r="C1156" s="438" t="s">
        <v>1554</v>
      </c>
      <c r="D1156" s="235" t="str">
        <f t="shared" si="62"/>
        <v xml:space="preserve"> OK</v>
      </c>
      <c r="E1156" s="254" t="s">
        <v>1554</v>
      </c>
      <c r="F1156" s="254">
        <v>0</v>
      </c>
      <c r="G1156" s="298">
        <f>[3]Elec.Data!K3899</f>
        <v>1760</v>
      </c>
      <c r="H1156" s="298"/>
      <c r="I1156" s="433"/>
      <c r="J1156" s="433"/>
      <c r="K1156" s="240"/>
      <c r="L1156" s="240"/>
      <c r="M1156" s="240"/>
      <c r="N1156" s="240"/>
      <c r="O1156" s="270"/>
      <c r="P1156" s="240"/>
      <c r="Q1156" s="270"/>
      <c r="R1156" s="240"/>
      <c r="S1156" s="270"/>
      <c r="T1156" s="268"/>
      <c r="U1156" s="240"/>
      <c r="V1156" s="240"/>
      <c r="W1156" s="238">
        <f t="shared" si="61"/>
        <v>0</v>
      </c>
      <c r="Y1156" s="223" t="str">
        <f>'[4]Development - i'!E1155</f>
        <v>Open wiring STAIRCASE LIGHT POINT FOR ADMINISTRATIVE BLOCKS AND COMMUNITY CENTRE (Open wiring)</v>
      </c>
      <c r="Z1156" s="223" t="str">
        <f t="shared" si="63"/>
        <v>-----------------------</v>
      </c>
    </row>
    <row r="1157" spans="1:26" s="241" customFormat="1" ht="69.75">
      <c r="A1157" s="432"/>
      <c r="B1157" s="438" t="s">
        <v>2289</v>
      </c>
      <c r="C1157" s="438" t="s">
        <v>1555</v>
      </c>
      <c r="D1157" s="235" t="str">
        <f t="shared" si="62"/>
        <v xml:space="preserve"> OK</v>
      </c>
      <c r="E1157" s="254" t="s">
        <v>1555</v>
      </c>
      <c r="F1157" s="254">
        <v>0</v>
      </c>
      <c r="G1157" s="298">
        <f>[3]Elec.Data!K3918</f>
        <v>572</v>
      </c>
      <c r="H1157" s="298"/>
      <c r="I1157" s="433"/>
      <c r="J1157" s="433"/>
      <c r="K1157" s="240"/>
      <c r="L1157" s="240"/>
      <c r="M1157" s="240"/>
      <c r="N1157" s="240"/>
      <c r="O1157" s="270"/>
      <c r="P1157" s="240"/>
      <c r="Q1157" s="270"/>
      <c r="R1157" s="240"/>
      <c r="S1157" s="270"/>
      <c r="T1157" s="268"/>
      <c r="U1157" s="240"/>
      <c r="V1157" s="240"/>
      <c r="W1157" s="238">
        <f t="shared" si="61"/>
        <v>0</v>
      </c>
      <c r="Y1157" s="223" t="str">
        <f>'[4]Development - i'!E1156</f>
        <v>Open wiring 5 AMPS 5 PIN PLUG SOCKET POINT AT CONVENIENT PLACES (OPEN WIRING)</v>
      </c>
      <c r="Z1157" s="223" t="str">
        <f t="shared" si="63"/>
        <v>-----------------------</v>
      </c>
    </row>
    <row r="1158" spans="1:26" s="241" customFormat="1" ht="46.5">
      <c r="A1158" s="432"/>
      <c r="B1158" s="438" t="s">
        <v>2290</v>
      </c>
      <c r="C1158" s="438" t="s">
        <v>2291</v>
      </c>
      <c r="D1158" s="235" t="str">
        <f t="shared" si="62"/>
        <v xml:space="preserve"> OK</v>
      </c>
      <c r="E1158" s="254" t="s">
        <v>1556</v>
      </c>
      <c r="F1158" s="254">
        <v>0</v>
      </c>
      <c r="G1158" s="298">
        <f>[3]Elec.Data!K3942</f>
        <v>106</v>
      </c>
      <c r="H1158" s="298"/>
      <c r="I1158" s="433"/>
      <c r="J1158" s="433"/>
      <c r="K1158" s="240"/>
      <c r="L1158" s="240"/>
      <c r="M1158" s="240"/>
      <c r="N1158" s="240"/>
      <c r="O1158" s="270"/>
      <c r="P1158" s="240"/>
      <c r="Q1158" s="270"/>
      <c r="R1158" s="240"/>
      <c r="S1158" s="270"/>
      <c r="T1158" s="268"/>
      <c r="U1158" s="240"/>
      <c r="V1158" s="240"/>
      <c r="W1158" s="238">
        <f t="shared" si="61"/>
        <v>0</v>
      </c>
      <c r="Y1158" s="223" t="str">
        <f>'[4]Development - i'!E1157</f>
        <v>Open wiring 2 X1.5 Sqm.m in fully concealed PVC conduit</v>
      </c>
      <c r="Z1158" s="223" t="str">
        <f t="shared" si="63"/>
        <v>-----------------------</v>
      </c>
    </row>
    <row r="1159" spans="1:26" s="241" customFormat="1" ht="130.5">
      <c r="A1159" s="432"/>
      <c r="B1159" s="437" t="s">
        <v>2292</v>
      </c>
      <c r="C1159" s="437" t="s">
        <v>1557</v>
      </c>
      <c r="D1159" s="235" t="str">
        <f t="shared" si="62"/>
        <v xml:space="preserve"> OK</v>
      </c>
      <c r="E1159" s="254" t="s">
        <v>1557</v>
      </c>
      <c r="F1159" s="254" t="s">
        <v>1558</v>
      </c>
      <c r="G1159" s="298">
        <f>[3]Elec.Data!K3953</f>
        <v>121</v>
      </c>
      <c r="H1159" s="298"/>
      <c r="I1159" s="433"/>
      <c r="J1159" s="433"/>
      <c r="K1159" s="240"/>
      <c r="L1159" s="240"/>
      <c r="M1159" s="240"/>
      <c r="N1159" s="240"/>
      <c r="O1159" s="270"/>
      <c r="P1159" s="240"/>
      <c r="Q1159" s="270"/>
      <c r="R1159" s="240"/>
      <c r="S1159" s="270"/>
      <c r="T1159" s="268"/>
      <c r="U1159" s="240"/>
      <c r="V1159" s="240"/>
      <c r="W1159" s="238">
        <f t="shared" si="61"/>
        <v>0</v>
      </c>
      <c r="Y1159" s="223" t="str">
        <f>'[4]Development - i'!E1158</f>
        <v xml:space="preserve"> Open wiring 2 X 2.5 Sq mm in fully concealed PVC conduit (open wiring)</v>
      </c>
      <c r="Z1159" s="223" t="str">
        <f t="shared" si="63"/>
        <v>-----------------------</v>
      </c>
    </row>
    <row r="1160" spans="1:26" s="241" customFormat="1">
      <c r="A1160" s="432"/>
      <c r="B1160" s="437" t="s">
        <v>1559</v>
      </c>
      <c r="C1160" s="437" t="s">
        <v>1559</v>
      </c>
      <c r="D1160" s="235" t="str">
        <f t="shared" si="62"/>
        <v xml:space="preserve"> OK</v>
      </c>
      <c r="E1160" s="254" t="s">
        <v>1559</v>
      </c>
      <c r="F1160" s="254">
        <v>0</v>
      </c>
      <c r="G1160" s="298">
        <f>[3]Data!R392</f>
        <v>18.760000000000002</v>
      </c>
      <c r="H1160" s="298"/>
      <c r="I1160" s="433"/>
      <c r="J1160" s="433"/>
      <c r="K1160" s="240"/>
      <c r="L1160" s="240"/>
      <c r="M1160" s="240"/>
      <c r="N1160" s="240"/>
      <c r="O1160" s="270"/>
      <c r="P1160" s="240"/>
      <c r="Q1160" s="270"/>
      <c r="R1160" s="240"/>
      <c r="S1160" s="270"/>
      <c r="T1160" s="268"/>
      <c r="U1160" s="240"/>
      <c r="V1160" s="240"/>
      <c r="W1160" s="238">
        <f t="shared" ca="1" si="61"/>
        <v>0</v>
      </c>
      <c r="Y1160" s="223" t="str">
        <f>'[4]Development - i'!E1159</f>
        <v>whitewashing one coat</v>
      </c>
      <c r="Z1160" s="223" t="str">
        <f t="shared" si="63"/>
        <v>-----------------------</v>
      </c>
    </row>
    <row r="1161" spans="1:26" s="241" customFormat="1" ht="43.5">
      <c r="A1161" s="432"/>
      <c r="B1161" s="437" t="s">
        <v>1560</v>
      </c>
      <c r="C1161" s="437" t="s">
        <v>1560</v>
      </c>
      <c r="D1161" s="235" t="str">
        <f t="shared" si="62"/>
        <v xml:space="preserve"> OK</v>
      </c>
      <c r="E1161" s="254" t="s">
        <v>1560</v>
      </c>
      <c r="F1161" s="254" t="s">
        <v>1561</v>
      </c>
      <c r="G1161" s="298">
        <f ca="1">G1161+G1164</f>
        <v>10882.619999999999</v>
      </c>
      <c r="H1161" s="298"/>
      <c r="I1161" s="433"/>
      <c r="J1161" s="433"/>
      <c r="K1161" s="240"/>
      <c r="L1161" s="240"/>
      <c r="M1161" s="240"/>
      <c r="N1161" s="240"/>
      <c r="O1161" s="270"/>
      <c r="P1161" s="240"/>
      <c r="Q1161" s="270"/>
      <c r="R1161" s="240"/>
      <c r="S1161" s="270"/>
      <c r="T1161" s="268"/>
      <c r="U1161" s="240"/>
      <c r="V1161" s="240"/>
      <c r="W1161" s="238">
        <f t="shared" si="61"/>
        <v>0</v>
      </c>
      <c r="Y1161" s="223" t="str">
        <f>'[4]Development - i'!E1160</f>
        <v>whitewashing one coat for old wall</v>
      </c>
      <c r="Z1161" s="223" t="str">
        <f t="shared" si="63"/>
        <v>-----------------------</v>
      </c>
    </row>
    <row r="1162" spans="1:26" s="241" customFormat="1" ht="43.5">
      <c r="A1162" s="432"/>
      <c r="B1162" s="437" t="s">
        <v>1562</v>
      </c>
      <c r="C1162" s="437" t="s">
        <v>1562</v>
      </c>
      <c r="D1162" s="235" t="str">
        <f t="shared" si="62"/>
        <v xml:space="preserve"> OK</v>
      </c>
      <c r="E1162" s="254" t="s">
        <v>1562</v>
      </c>
      <c r="F1162" s="254" t="s">
        <v>1563</v>
      </c>
      <c r="G1162" s="298">
        <f>[3]Data!R406</f>
        <v>27.31</v>
      </c>
      <c r="H1162" s="298"/>
      <c r="I1162" s="433"/>
      <c r="J1162" s="433"/>
      <c r="K1162" s="240"/>
      <c r="L1162" s="240"/>
      <c r="M1162" s="240"/>
      <c r="N1162" s="240"/>
      <c r="O1162" s="270"/>
      <c r="P1162" s="240"/>
      <c r="Q1162" s="270"/>
      <c r="R1162" s="240"/>
      <c r="S1162" s="270"/>
      <c r="T1162" s="268"/>
      <c r="U1162" s="240"/>
      <c r="V1162" s="240"/>
      <c r="W1162" s="238">
        <f t="shared" si="61"/>
        <v>0</v>
      </c>
      <c r="Y1162" s="223" t="str">
        <f>'[4]Development - i'!E1161</f>
        <v>whitewashing two coat for old wall</v>
      </c>
      <c r="Z1162" s="223" t="str">
        <f t="shared" si="63"/>
        <v>-----------------------</v>
      </c>
    </row>
    <row r="1163" spans="1:26" s="241" customFormat="1" ht="87">
      <c r="A1163" s="432"/>
      <c r="B1163" s="437" t="s">
        <v>1564</v>
      </c>
      <c r="C1163" s="437" t="s">
        <v>1564</v>
      </c>
      <c r="D1163" s="235" t="str">
        <f t="shared" si="62"/>
        <v xml:space="preserve"> OK</v>
      </c>
      <c r="E1163" s="254" t="s">
        <v>1564</v>
      </c>
      <c r="F1163" s="254" t="s">
        <v>1565</v>
      </c>
      <c r="G1163" s="298">
        <f>[3]Data!I3190</f>
        <v>3.36</v>
      </c>
      <c r="H1163" s="298"/>
      <c r="I1163" s="433"/>
      <c r="J1163" s="433"/>
      <c r="K1163" s="240"/>
      <c r="L1163" s="240"/>
      <c r="M1163" s="240"/>
      <c r="N1163" s="240"/>
      <c r="O1163" s="270"/>
      <c r="P1163" s="240"/>
      <c r="Q1163" s="270"/>
      <c r="R1163" s="240"/>
      <c r="S1163" s="270"/>
      <c r="T1163" s="268"/>
      <c r="U1163" s="240"/>
      <c r="V1163" s="240"/>
      <c r="W1163" s="238">
        <f t="shared" si="61"/>
        <v>0</v>
      </c>
      <c r="Y1163" s="223" t="str">
        <f>'[4]Development - i'!E1162</f>
        <v>Thorough scrapping the old wall</v>
      </c>
      <c r="Z1163" s="223" t="str">
        <f t="shared" si="63"/>
        <v>-----------------------</v>
      </c>
    </row>
    <row r="1164" spans="1:26" s="241" customFormat="1">
      <c r="A1164" s="432"/>
      <c r="B1164" s="437" t="s">
        <v>1566</v>
      </c>
      <c r="C1164" s="437" t="s">
        <v>1566</v>
      </c>
      <c r="D1164" s="235" t="str">
        <f t="shared" si="62"/>
        <v xml:space="preserve"> OK</v>
      </c>
      <c r="E1164" s="254" t="s">
        <v>1566</v>
      </c>
      <c r="F1164" s="254">
        <v>0</v>
      </c>
      <c r="G1164" s="298">
        <f>[3]Data!I3216</f>
        <v>7.25</v>
      </c>
      <c r="H1164" s="298"/>
      <c r="I1164" s="433"/>
      <c r="J1164" s="433"/>
      <c r="K1164" s="240"/>
      <c r="L1164" s="240"/>
      <c r="M1164" s="240"/>
      <c r="N1164" s="240"/>
      <c r="O1164" s="270"/>
      <c r="P1164" s="240"/>
      <c r="Q1164" s="270"/>
      <c r="R1164" s="240"/>
      <c r="S1164" s="270"/>
      <c r="T1164" s="268"/>
      <c r="U1164" s="240"/>
      <c r="V1164" s="240"/>
      <c r="W1164" s="238">
        <f t="shared" si="61"/>
        <v>0</v>
      </c>
      <c r="Y1164" s="223" t="str">
        <f>'[4]Development - i'!E1163</f>
        <v>Thorough scrapping the old iron work</v>
      </c>
      <c r="Z1164" s="223" t="str">
        <f t="shared" si="63"/>
        <v>-----------------------</v>
      </c>
    </row>
    <row r="1165" spans="1:26" s="241" customFormat="1">
      <c r="A1165" s="432"/>
      <c r="B1165" s="437" t="s">
        <v>1567</v>
      </c>
      <c r="C1165" s="437" t="s">
        <v>1567</v>
      </c>
      <c r="D1165" s="235" t="str">
        <f t="shared" si="62"/>
        <v xml:space="preserve"> OK</v>
      </c>
      <c r="E1165" s="254" t="s">
        <v>1567</v>
      </c>
      <c r="F1165" s="254">
        <v>0</v>
      </c>
      <c r="G1165" s="298">
        <f>[3]Data!I3230</f>
        <v>7.77</v>
      </c>
      <c r="H1165" s="298"/>
      <c r="I1165" s="433"/>
      <c r="J1165" s="433"/>
      <c r="K1165" s="240"/>
      <c r="L1165" s="240"/>
      <c r="M1165" s="240"/>
      <c r="N1165" s="240"/>
      <c r="O1165" s="270"/>
      <c r="P1165" s="240"/>
      <c r="Q1165" s="270"/>
      <c r="R1165" s="240"/>
      <c r="S1165" s="270"/>
      <c r="T1165" s="268"/>
      <c r="U1165" s="240"/>
      <c r="V1165" s="240"/>
      <c r="W1165" s="238">
        <f t="shared" si="61"/>
        <v>0</v>
      </c>
      <c r="Y1165" s="223" t="str">
        <f>'[4]Development - i'!E1164</f>
        <v>Thorough scrapping the old wood work</v>
      </c>
      <c r="Z1165" s="223" t="str">
        <f t="shared" si="63"/>
        <v>-----------------------</v>
      </c>
    </row>
    <row r="1166" spans="1:26" s="241" customFormat="1">
      <c r="A1166" s="432"/>
      <c r="B1166" s="437" t="s">
        <v>1568</v>
      </c>
      <c r="C1166" s="437" t="s">
        <v>1568</v>
      </c>
      <c r="D1166" s="235" t="str">
        <f t="shared" si="62"/>
        <v xml:space="preserve"> OK</v>
      </c>
      <c r="E1166" s="254" t="s">
        <v>1568</v>
      </c>
      <c r="F1166" s="254">
        <v>0</v>
      </c>
      <c r="G1166" s="298">
        <f>[3]Data!K3206</f>
        <v>58.96</v>
      </c>
      <c r="H1166" s="298"/>
      <c r="I1166" s="433"/>
      <c r="J1166" s="433"/>
      <c r="K1166" s="240"/>
      <c r="L1166" s="240"/>
      <c r="M1166" s="240"/>
      <c r="N1166" s="240"/>
      <c r="O1166" s="270"/>
      <c r="P1166" s="240"/>
      <c r="Q1166" s="270"/>
      <c r="R1166" s="240"/>
      <c r="S1166" s="270"/>
      <c r="T1166" s="268"/>
      <c r="U1166" s="240"/>
      <c r="V1166" s="240"/>
      <c r="W1166" s="238">
        <f t="shared" si="61"/>
        <v>0</v>
      </c>
      <c r="Y1166" s="223" t="str">
        <f>'[4]Development - i'!E1165</f>
        <v>Cement paint one coat for old wall</v>
      </c>
      <c r="Z1166" s="223" t="str">
        <f t="shared" si="63"/>
        <v>-----------------------</v>
      </c>
    </row>
    <row r="1167" spans="1:26" s="241" customFormat="1" ht="87">
      <c r="A1167" s="432"/>
      <c r="B1167" s="437" t="s">
        <v>1569</v>
      </c>
      <c r="C1167" s="437" t="s">
        <v>1569</v>
      </c>
      <c r="D1167" s="235" t="str">
        <f t="shared" si="62"/>
        <v xml:space="preserve"> OK</v>
      </c>
      <c r="E1167" s="254" t="s">
        <v>1569</v>
      </c>
      <c r="F1167" s="254" t="s">
        <v>1570</v>
      </c>
      <c r="G1167" s="298">
        <f>[3]Data!K3193</f>
        <v>112.6</v>
      </c>
      <c r="H1167" s="298"/>
      <c r="I1167" s="433"/>
      <c r="J1167" s="433"/>
      <c r="K1167" s="240"/>
      <c r="L1167" s="240"/>
      <c r="M1167" s="240"/>
      <c r="N1167" s="240"/>
      <c r="O1167" s="270"/>
      <c r="P1167" s="240"/>
      <c r="Q1167" s="270"/>
      <c r="R1167" s="240"/>
      <c r="S1167" s="270"/>
      <c r="T1167" s="268"/>
      <c r="U1167" s="240"/>
      <c r="V1167" s="240"/>
      <c r="W1167" s="238">
        <f t="shared" si="61"/>
        <v>0</v>
      </c>
      <c r="Y1167" s="223" t="str">
        <f>'[4]Development - i'!E1166</f>
        <v>Cement paint two coat for old wall</v>
      </c>
      <c r="Z1167" s="223" t="str">
        <f t="shared" si="63"/>
        <v>-----------------------</v>
      </c>
    </row>
    <row r="1168" spans="1:26" s="241" customFormat="1" ht="130.5">
      <c r="A1168" s="432"/>
      <c r="B1168" s="432" t="s">
        <v>1571</v>
      </c>
      <c r="C1168" s="432" t="s">
        <v>1571</v>
      </c>
      <c r="D1168" s="235" t="str">
        <f t="shared" si="62"/>
        <v xml:space="preserve"> OK</v>
      </c>
      <c r="E1168" s="254" t="s">
        <v>1571</v>
      </c>
      <c r="F1168" s="254" t="s">
        <v>1572</v>
      </c>
      <c r="G1168" s="298">
        <f>[3]Data!K3220</f>
        <v>77.5</v>
      </c>
      <c r="H1168" s="298"/>
      <c r="I1168" s="433"/>
      <c r="J1168" s="433"/>
      <c r="K1168" s="240"/>
      <c r="L1168" s="240"/>
      <c r="M1168" s="240"/>
      <c r="N1168" s="240"/>
      <c r="O1168" s="270"/>
      <c r="P1168" s="240"/>
      <c r="Q1168" s="270"/>
      <c r="R1168" s="240"/>
      <c r="S1168" s="270"/>
      <c r="T1168" s="268"/>
      <c r="U1168" s="240"/>
      <c r="V1168" s="240"/>
      <c r="W1168" s="238">
        <f t="shared" si="61"/>
        <v>0</v>
      </c>
      <c r="Y1168" s="223" t="str">
        <f>'[4]Development - i'!E1167</f>
        <v>painting one coat for old iron work</v>
      </c>
      <c r="Z1168" s="223" t="str">
        <f t="shared" si="63"/>
        <v>-----------------------</v>
      </c>
    </row>
    <row r="1169" spans="1:26" s="241" customFormat="1" ht="130.5">
      <c r="B1169" s="241" t="s">
        <v>1573</v>
      </c>
      <c r="C1169" s="241" t="s">
        <v>1573</v>
      </c>
      <c r="D1169" s="235" t="str">
        <f t="shared" si="62"/>
        <v xml:space="preserve"> OK</v>
      </c>
      <c r="E1169" s="254" t="s">
        <v>1573</v>
      </c>
      <c r="F1169" s="254" t="s">
        <v>1574</v>
      </c>
      <c r="G1169" s="298">
        <f>[3]Data!K3265</f>
        <v>120.24</v>
      </c>
      <c r="H1169" s="298"/>
      <c r="I1169" s="433"/>
      <c r="J1169" s="433"/>
      <c r="K1169" s="240"/>
      <c r="L1169" s="240"/>
      <c r="M1169" s="240"/>
      <c r="N1169" s="240"/>
      <c r="O1169" s="270"/>
      <c r="P1169" s="240"/>
      <c r="Q1169" s="270"/>
      <c r="R1169" s="240"/>
      <c r="S1169" s="270"/>
      <c r="T1169" s="268"/>
      <c r="U1169" s="240"/>
      <c r="V1169" s="240"/>
      <c r="W1169" s="238">
        <f t="shared" si="61"/>
        <v>0</v>
      </c>
      <c r="Y1169" s="223" t="str">
        <f>'[4]Development - i'!E1168</f>
        <v>painting two coat for old iron work</v>
      </c>
      <c r="Z1169" s="223" t="str">
        <f t="shared" si="63"/>
        <v>-----------------------</v>
      </c>
    </row>
    <row r="1170" spans="1:26" s="241" customFormat="1" ht="87">
      <c r="B1170" s="241" t="s">
        <v>1575</v>
      </c>
      <c r="C1170" s="241" t="s">
        <v>1575</v>
      </c>
      <c r="D1170" s="235" t="str">
        <f t="shared" si="62"/>
        <v xml:space="preserve"> OK</v>
      </c>
      <c r="E1170" s="254" t="s">
        <v>1575</v>
      </c>
      <c r="F1170" s="254" t="s">
        <v>1576</v>
      </c>
      <c r="G1170" s="298">
        <f>[3]Data!K3234</f>
        <v>84.14</v>
      </c>
      <c r="H1170" s="298"/>
      <c r="I1170" s="433"/>
      <c r="J1170" s="433"/>
      <c r="K1170" s="240"/>
      <c r="L1170" s="240"/>
      <c r="M1170" s="240"/>
      <c r="N1170" s="240"/>
      <c r="O1170" s="270"/>
      <c r="P1170" s="240"/>
      <c r="Q1170" s="270"/>
      <c r="R1170" s="240"/>
      <c r="S1170" s="270"/>
      <c r="T1170" s="268"/>
      <c r="U1170" s="240"/>
      <c r="V1170" s="240"/>
      <c r="W1170" s="238">
        <f t="shared" si="61"/>
        <v>0</v>
      </c>
      <c r="Y1170" s="223" t="str">
        <f>'[4]Development - i'!E1169</f>
        <v>painting one coat for old wood work</v>
      </c>
      <c r="Z1170" s="223" t="str">
        <f t="shared" si="63"/>
        <v>-----------------------</v>
      </c>
    </row>
    <row r="1171" spans="1:26" s="241" customFormat="1" ht="87">
      <c r="B1171" s="241" t="s">
        <v>1577</v>
      </c>
      <c r="C1171" s="241" t="s">
        <v>1577</v>
      </c>
      <c r="D1171" s="235" t="str">
        <f t="shared" si="62"/>
        <v xml:space="preserve"> OK</v>
      </c>
      <c r="E1171" s="254" t="s">
        <v>1577</v>
      </c>
      <c r="F1171" s="254" t="s">
        <v>1578</v>
      </c>
      <c r="G1171" s="298">
        <f>[3]Data!K3249</f>
        <v>137.94</v>
      </c>
      <c r="H1171" s="298"/>
      <c r="I1171" s="433"/>
      <c r="J1171" s="433"/>
      <c r="K1171" s="240"/>
      <c r="L1171" s="240"/>
      <c r="M1171" s="240"/>
      <c r="N1171" s="240"/>
      <c r="O1171" s="270"/>
      <c r="P1171" s="240"/>
      <c r="Q1171" s="270"/>
      <c r="R1171" s="240"/>
      <c r="S1171" s="270"/>
      <c r="T1171" s="268"/>
      <c r="U1171" s="240"/>
      <c r="V1171" s="240"/>
      <c r="W1171" s="238">
        <f t="shared" si="61"/>
        <v>0</v>
      </c>
      <c r="Y1171" s="223" t="str">
        <f>'[4]Development - i'!E1170</f>
        <v>painting two coat for old wood work</v>
      </c>
      <c r="Z1171" s="223" t="str">
        <f t="shared" si="63"/>
        <v>-----------------------</v>
      </c>
    </row>
    <row r="1172" spans="1:26" s="241" customFormat="1">
      <c r="B1172" s="241" t="s">
        <v>1579</v>
      </c>
      <c r="C1172" s="241" t="s">
        <v>1579</v>
      </c>
      <c r="D1172" s="235" t="str">
        <f t="shared" si="62"/>
        <v xml:space="preserve"> OK</v>
      </c>
      <c r="E1172" s="254" t="s">
        <v>1579</v>
      </c>
      <c r="F1172" s="254">
        <v>0</v>
      </c>
      <c r="G1172" s="298">
        <f>[3]Data!K3293</f>
        <v>78.05</v>
      </c>
      <c r="H1172" s="298"/>
      <c r="I1172" s="439"/>
      <c r="J1172" s="433"/>
      <c r="K1172" s="440"/>
      <c r="L1172" s="240"/>
      <c r="M1172" s="240"/>
      <c r="N1172" s="440"/>
      <c r="O1172" s="270"/>
      <c r="P1172" s="440"/>
      <c r="Q1172" s="270"/>
      <c r="R1172" s="440"/>
      <c r="S1172" s="270"/>
      <c r="T1172" s="268"/>
      <c r="U1172" s="240"/>
      <c r="V1172" s="258"/>
      <c r="W1172" s="238">
        <f t="shared" si="61"/>
        <v>0</v>
      </c>
      <c r="Y1172" s="223" t="str">
        <f>'[4]Development - i'!E1171</f>
        <v>Matt paint one coat for old wall</v>
      </c>
      <c r="Z1172" s="223" t="str">
        <f t="shared" si="63"/>
        <v>-----------------------</v>
      </c>
    </row>
    <row r="1173" spans="1:26" s="241" customFormat="1" ht="203.25" customHeight="1">
      <c r="A1173" s="441"/>
      <c r="B1173" s="241" t="str">
        <f>[3]Data!H3382</f>
        <v>Plastic Emulsion PAINT one coat for old wall</v>
      </c>
      <c r="C1173" s="241" t="s">
        <v>1580</v>
      </c>
      <c r="D1173" s="235" t="str">
        <f t="shared" si="62"/>
        <v xml:space="preserve"> OK</v>
      </c>
      <c r="E1173" s="254" t="s">
        <v>1580</v>
      </c>
      <c r="F1173" s="254" t="s">
        <v>1581</v>
      </c>
      <c r="G1173" s="298">
        <f>[3]Data!K3389</f>
        <v>71.75</v>
      </c>
      <c r="H1173" s="298"/>
      <c r="I1173" s="439"/>
      <c r="J1173" s="433"/>
      <c r="K1173" s="442"/>
      <c r="L1173" s="240"/>
      <c r="M1173" s="240"/>
      <c r="N1173" s="443"/>
      <c r="O1173" s="270"/>
      <c r="P1173" s="443"/>
      <c r="Q1173" s="270"/>
      <c r="R1173" s="443"/>
      <c r="S1173" s="270"/>
      <c r="T1173" s="268"/>
      <c r="U1173" s="271"/>
      <c r="V1173" s="233">
        <f>'[3]Precast Compound wall '!H101</f>
        <v>704</v>
      </c>
      <c r="W1173" s="233">
        <f t="shared" si="61"/>
        <v>99397.759999999995</v>
      </c>
      <c r="Y1173" s="223" t="str">
        <f>'[4]Development - i'!E1172</f>
        <v>Plastic Emulsion PAINT one coat for old wall</v>
      </c>
      <c r="Z1173" s="223" t="str">
        <f t="shared" si="63"/>
        <v>-----------------------</v>
      </c>
    </row>
    <row r="1174" spans="1:26" ht="195.75" customHeight="1">
      <c r="A1174" s="259"/>
      <c r="B1174" s="241" t="str">
        <f>[3]Data!H3369</f>
        <v>Plastic Emulsion PAINT two coat for old wall</v>
      </c>
      <c r="C1174" s="241" t="s">
        <v>1582</v>
      </c>
      <c r="D1174" s="235" t="str">
        <f t="shared" si="62"/>
        <v xml:space="preserve"> OK</v>
      </c>
      <c r="E1174" s="254" t="s">
        <v>1582</v>
      </c>
      <c r="F1174" s="254" t="s">
        <v>1583</v>
      </c>
      <c r="G1174" s="298">
        <f>[3]Data!K3376</f>
        <v>141.19</v>
      </c>
      <c r="H1174" s="298"/>
      <c r="I1174" s="439"/>
      <c r="J1174" s="433"/>
      <c r="K1174" s="442"/>
      <c r="L1174" s="240"/>
      <c r="M1174" s="240"/>
      <c r="N1174" s="442"/>
      <c r="O1174" s="270"/>
      <c r="P1174" s="442"/>
      <c r="Q1174" s="270"/>
      <c r="R1174" s="442"/>
      <c r="S1174" s="270"/>
      <c r="T1174" s="268"/>
      <c r="U1174" s="271"/>
      <c r="V1174" s="233"/>
      <c r="W1174" s="233">
        <f t="shared" si="61"/>
        <v>0</v>
      </c>
      <c r="Y1174" s="223" t="str">
        <f>'[4]Development - i'!E1173</f>
        <v>Plastic Emulsion PAINT two coat for old wall</v>
      </c>
      <c r="Z1174" s="223" t="str">
        <f t="shared" si="63"/>
        <v>-----------------------</v>
      </c>
    </row>
    <row r="1175" spans="1:26" s="241" customFormat="1" ht="87">
      <c r="A1175" s="444"/>
      <c r="E1175" s="254" t="s">
        <v>1584</v>
      </c>
      <c r="F1175" s="254" t="s">
        <v>1585</v>
      </c>
      <c r="G1175" s="298">
        <v>126</v>
      </c>
      <c r="H1175" s="298" t="s">
        <v>556</v>
      </c>
      <c r="I1175" s="439"/>
      <c r="J1175" s="433"/>
      <c r="K1175" s="442"/>
      <c r="L1175" s="240"/>
      <c r="M1175" s="240"/>
      <c r="N1175" s="443"/>
      <c r="O1175" s="270"/>
      <c r="P1175" s="443"/>
      <c r="Q1175" s="270"/>
      <c r="R1175" s="443"/>
      <c r="S1175" s="270"/>
      <c r="T1175" s="268"/>
      <c r="U1175" s="240"/>
      <c r="V1175" s="258"/>
      <c r="W1175" s="238">
        <f t="shared" si="61"/>
        <v>0</v>
      </c>
      <c r="Y1175" s="223" t="str">
        <f>'[4]Development - i'!E1174</f>
        <v xml:space="preserve">Supplying and fixing of 6Amps to 32 Amps single pole MCB </v>
      </c>
      <c r="Z1175" s="223" t="str">
        <f t="shared" si="63"/>
        <v>-----------------------</v>
      </c>
    </row>
    <row r="1176" spans="1:26" s="241" customFormat="1" ht="87">
      <c r="A1176" s="444"/>
      <c r="E1176" s="254" t="s">
        <v>1586</v>
      </c>
      <c r="F1176" s="254" t="s">
        <v>1587</v>
      </c>
      <c r="G1176" s="298">
        <f>[3]Data!AE85</f>
        <v>5297.25</v>
      </c>
      <c r="H1176" s="298"/>
      <c r="I1176" s="439"/>
      <c r="J1176" s="433"/>
      <c r="K1176" s="442"/>
      <c r="L1176" s="240"/>
      <c r="M1176" s="240"/>
      <c r="N1176" s="443"/>
      <c r="O1176" s="270"/>
      <c r="P1176" s="443"/>
      <c r="Q1176" s="270"/>
      <c r="R1176" s="443"/>
      <c r="S1176" s="270"/>
      <c r="T1176" s="268"/>
      <c r="U1176" s="240"/>
      <c r="V1176" s="258"/>
      <c r="W1176" s="238">
        <f t="shared" si="61"/>
        <v>0</v>
      </c>
      <c r="Y1176" s="223" t="str">
        <f>'[4]Development - i'!E1175</f>
        <v>Dismantling the RCC etc all complete</v>
      </c>
      <c r="Z1176" s="223" t="str">
        <f t="shared" si="63"/>
        <v>-----------------------</v>
      </c>
    </row>
    <row r="1177" spans="1:26" s="241" customFormat="1" ht="87">
      <c r="A1177" s="444"/>
      <c r="E1177" s="254" t="s">
        <v>1588</v>
      </c>
      <c r="F1177" s="254" t="s">
        <v>1589</v>
      </c>
      <c r="G1177" s="298">
        <f>[3]Data!AE65</f>
        <v>202.65</v>
      </c>
      <c r="H1177" s="298"/>
      <c r="I1177" s="439"/>
      <c r="J1177" s="433"/>
      <c r="K1177" s="442"/>
      <c r="L1177" s="240"/>
      <c r="M1177" s="240"/>
      <c r="N1177" s="443"/>
      <c r="O1177" s="270"/>
      <c r="P1177" s="443"/>
      <c r="Q1177" s="270"/>
      <c r="R1177" s="443"/>
      <c r="S1177" s="270"/>
      <c r="T1177" s="268"/>
      <c r="U1177" s="240"/>
      <c r="V1177" s="258"/>
      <c r="W1177" s="238">
        <f t="shared" si="61"/>
        <v>0</v>
      </c>
      <c r="Y1177" s="223" t="str">
        <f>'[4]Development - i'!E1176</f>
        <v>Dismantling the brick work under 3m height wall</v>
      </c>
      <c r="Z1177" s="223" t="str">
        <f t="shared" si="63"/>
        <v>-----------------------</v>
      </c>
    </row>
    <row r="1178" spans="1:26" s="241" customFormat="1" ht="87">
      <c r="A1178" s="444"/>
      <c r="E1178" s="254" t="s">
        <v>1590</v>
      </c>
      <c r="F1178" s="254" t="s">
        <v>1591</v>
      </c>
      <c r="G1178" s="298">
        <f>[3]Data!AE87</f>
        <v>32.97</v>
      </c>
      <c r="H1178" s="298" t="s">
        <v>26</v>
      </c>
      <c r="I1178" s="439"/>
      <c r="J1178" s="433"/>
      <c r="K1178" s="442"/>
      <c r="L1178" s="240"/>
      <c r="M1178" s="240"/>
      <c r="N1178" s="443"/>
      <c r="O1178" s="270"/>
      <c r="P1178" s="443"/>
      <c r="Q1178" s="270"/>
      <c r="R1178" s="443"/>
      <c r="S1178" s="270"/>
      <c r="T1178" s="268"/>
      <c r="U1178" s="240"/>
      <c r="V1178" s="258"/>
      <c r="W1178" s="238">
        <f t="shared" si="61"/>
        <v>0</v>
      </c>
      <c r="Y1178" s="223" t="str">
        <f>'[4]Development - i'!E1177</f>
        <v>Dismantling the Pressed tiles &amp; weathering course</v>
      </c>
      <c r="Z1178" s="223" t="str">
        <f t="shared" si="63"/>
        <v>-----------------------</v>
      </c>
    </row>
    <row r="1179" spans="1:26" s="241" customFormat="1" ht="87">
      <c r="A1179" s="444"/>
      <c r="E1179" s="254" t="s">
        <v>1592</v>
      </c>
      <c r="F1179" s="254" t="s">
        <v>1593</v>
      </c>
      <c r="G1179" s="298">
        <f>[3]Data!AE84</f>
        <v>348.6</v>
      </c>
      <c r="H1179" s="298" t="s">
        <v>19</v>
      </c>
      <c r="I1179" s="439"/>
      <c r="J1179" s="433"/>
      <c r="K1179" s="442"/>
      <c r="L1179" s="240"/>
      <c r="M1179" s="240"/>
      <c r="N1179" s="443"/>
      <c r="O1179" s="270"/>
      <c r="P1179" s="443"/>
      <c r="Q1179" s="270"/>
      <c r="R1179" s="443"/>
      <c r="S1179" s="270"/>
      <c r="T1179" s="268"/>
      <c r="U1179" s="240"/>
      <c r="V1179" s="258"/>
      <c r="W1179" s="238">
        <f t="shared" ref="W1179:W1189" si="64">ROUND(G1180,2)*ROUND(V1179,2)</f>
        <v>0</v>
      </c>
      <c r="Y1179" s="223" t="str">
        <f>'[4]Development - i'!E1178</f>
        <v>Dismantling Plain Cement Concrete</v>
      </c>
      <c r="Z1179" s="223" t="str">
        <f t="shared" si="63"/>
        <v>-----------------------</v>
      </c>
    </row>
    <row r="1180" spans="1:26" s="241" customFormat="1" ht="65.25">
      <c r="A1180" s="444"/>
      <c r="E1180" s="254" t="s">
        <v>1594</v>
      </c>
      <c r="F1180" s="254" t="s">
        <v>1595</v>
      </c>
      <c r="G1180" s="298">
        <f>[3]Data!AE92</f>
        <v>43.68</v>
      </c>
      <c r="H1180" s="298" t="s">
        <v>26</v>
      </c>
      <c r="I1180" s="439"/>
      <c r="J1180" s="433"/>
      <c r="K1180" s="442"/>
      <c r="L1180" s="240"/>
      <c r="M1180" s="240"/>
      <c r="N1180" s="443"/>
      <c r="O1180" s="270"/>
      <c r="P1180" s="443"/>
      <c r="Q1180" s="270"/>
      <c r="R1180" s="443"/>
      <c r="S1180" s="270"/>
      <c r="T1180" s="268"/>
      <c r="U1180" s="240"/>
      <c r="V1180" s="258"/>
      <c r="W1180" s="238">
        <f t="shared" si="64"/>
        <v>0</v>
      </c>
      <c r="Y1180" s="223" t="str">
        <f>'[4]Development - i'!E1179</f>
        <v>Dismantling of Mosaic Tiles / Glazed Tiles / Cuddapah Slabs</v>
      </c>
      <c r="Z1180" s="223" t="str">
        <f t="shared" si="63"/>
        <v>-----------------------</v>
      </c>
    </row>
    <row r="1181" spans="1:26" s="241" customFormat="1" ht="65.25">
      <c r="A1181" s="444"/>
      <c r="E1181" s="254" t="s">
        <v>1596</v>
      </c>
      <c r="F1181" s="254" t="s">
        <v>1597</v>
      </c>
      <c r="G1181" s="298">
        <f>[3]Data!AE86</f>
        <v>28.98</v>
      </c>
      <c r="H1181" s="298" t="s">
        <v>1715</v>
      </c>
      <c r="I1181" s="439"/>
      <c r="J1181" s="433"/>
      <c r="K1181" s="442"/>
      <c r="L1181" s="240"/>
      <c r="M1181" s="240"/>
      <c r="N1181" s="443"/>
      <c r="O1181" s="270"/>
      <c r="P1181" s="443"/>
      <c r="Q1181" s="270"/>
      <c r="R1181" s="443"/>
      <c r="S1181" s="270"/>
      <c r="T1181" s="268"/>
      <c r="U1181" s="240"/>
      <c r="V1181" s="258"/>
      <c r="W1181" s="238">
        <f t="shared" si="64"/>
        <v>0</v>
      </c>
      <c r="Y1181" s="223" t="str">
        <f>'[4]Development - i'!E1180</f>
        <v>Chipping of plastering for existing wall portion etc., all complete</v>
      </c>
      <c r="Z1181" s="223" t="str">
        <f t="shared" si="63"/>
        <v>-----------------------</v>
      </c>
    </row>
    <row r="1182" spans="1:26" ht="87">
      <c r="A1182" s="445"/>
      <c r="B1182" s="241"/>
      <c r="C1182" s="241"/>
      <c r="D1182" s="241"/>
      <c r="E1182" s="254" t="s">
        <v>1598</v>
      </c>
      <c r="F1182" s="254" t="s">
        <v>1599</v>
      </c>
      <c r="G1182" s="298">
        <v>105.2</v>
      </c>
      <c r="H1182" s="298" t="s">
        <v>12</v>
      </c>
      <c r="I1182" s="439"/>
      <c r="J1182" s="433"/>
      <c r="K1182" s="442"/>
      <c r="L1182" s="240"/>
      <c r="M1182" s="240"/>
      <c r="N1182" s="443"/>
      <c r="O1182" s="270"/>
      <c r="P1182" s="443"/>
      <c r="Q1182" s="270"/>
      <c r="R1182" s="443"/>
      <c r="S1182" s="270"/>
      <c r="T1182" s="268"/>
      <c r="U1182" s="271"/>
      <c r="V1182" s="233">
        <f>'[3]Precast Compound wall '!H359</f>
        <v>140</v>
      </c>
      <c r="W1182" s="233">
        <f t="shared" si="64"/>
        <v>27370</v>
      </c>
      <c r="Y1182" s="223" t="str">
        <f>'[4]Development - i'!E1181</f>
        <v>Supplying of 2 core 10 sqmm.</v>
      </c>
      <c r="Z1182" s="223" t="str">
        <f t="shared" si="63"/>
        <v>-----------------------</v>
      </c>
    </row>
    <row r="1183" spans="1:26" s="241" customFormat="1" ht="87">
      <c r="A1183" s="444"/>
      <c r="E1183" s="254" t="s">
        <v>1600</v>
      </c>
      <c r="F1183" s="254" t="s">
        <v>1601</v>
      </c>
      <c r="G1183" s="298">
        <v>195.5</v>
      </c>
      <c r="H1183" s="298" t="s">
        <v>12</v>
      </c>
      <c r="I1183" s="439"/>
      <c r="J1183" s="433"/>
      <c r="K1183" s="442"/>
      <c r="L1183" s="240"/>
      <c r="M1183" s="240"/>
      <c r="N1183" s="443"/>
      <c r="O1183" s="270"/>
      <c r="P1183" s="443"/>
      <c r="Q1183" s="270"/>
      <c r="R1183" s="443"/>
      <c r="S1183" s="270"/>
      <c r="T1183" s="268"/>
      <c r="U1183" s="240"/>
      <c r="V1183" s="258"/>
      <c r="W1183" s="238">
        <f t="shared" si="64"/>
        <v>0</v>
      </c>
      <c r="Y1183" s="223" t="str">
        <f>'[4]Development - i'!E1182</f>
        <v>Supplying of 3.5 core 25 sqmm.</v>
      </c>
      <c r="Z1183" s="223" t="str">
        <f t="shared" si="63"/>
        <v>-----------------------</v>
      </c>
    </row>
    <row r="1184" spans="1:26" s="239" customFormat="1" ht="87">
      <c r="E1184" s="254" t="s">
        <v>1602</v>
      </c>
      <c r="F1184" s="254" t="s">
        <v>1603</v>
      </c>
      <c r="G1184" s="298">
        <v>230.1</v>
      </c>
      <c r="H1184" s="298" t="s">
        <v>12</v>
      </c>
      <c r="I1184" s="446"/>
      <c r="J1184" s="433"/>
      <c r="K1184" s="285"/>
      <c r="L1184" s="268"/>
      <c r="M1184" s="240"/>
      <c r="N1184" s="447"/>
      <c r="O1184" s="270"/>
      <c r="P1184" s="447"/>
      <c r="Q1184" s="270"/>
      <c r="R1184" s="447"/>
      <c r="S1184" s="270"/>
      <c r="T1184" s="268"/>
      <c r="U1184" s="240"/>
      <c r="V1184" s="238"/>
      <c r="W1184" s="238">
        <f t="shared" si="64"/>
        <v>0</v>
      </c>
      <c r="Y1184" s="223" t="str">
        <f>'[4]Development - i'!E1183</f>
        <v>Supplying of 3.5 core 35 sqmm.</v>
      </c>
      <c r="Z1184" s="223" t="str">
        <f t="shared" si="63"/>
        <v>-----------------------</v>
      </c>
    </row>
    <row r="1185" spans="5:26" s="239" customFormat="1" ht="87">
      <c r="E1185" s="254" t="s">
        <v>1604</v>
      </c>
      <c r="F1185" s="254" t="s">
        <v>1605</v>
      </c>
      <c r="G1185" s="298">
        <v>299.8</v>
      </c>
      <c r="H1185" s="298" t="s">
        <v>12</v>
      </c>
      <c r="I1185" s="446"/>
      <c r="J1185" s="433"/>
      <c r="K1185" s="285"/>
      <c r="L1185" s="268"/>
      <c r="M1185" s="240"/>
      <c r="N1185" s="447"/>
      <c r="O1185" s="270"/>
      <c r="P1185" s="447"/>
      <c r="Q1185" s="270"/>
      <c r="R1185" s="447"/>
      <c r="S1185" s="270"/>
      <c r="T1185" s="268"/>
      <c r="U1185" s="240"/>
      <c r="V1185" s="238"/>
      <c r="W1185" s="238">
        <f t="shared" si="64"/>
        <v>0</v>
      </c>
      <c r="Y1185" s="223" t="str">
        <f>'[4]Development - i'!E1184</f>
        <v>Supplying of 3.5 core 50 sqmm.</v>
      </c>
      <c r="Z1185" s="223" t="str">
        <f t="shared" si="63"/>
        <v>-----------------------</v>
      </c>
    </row>
    <row r="1186" spans="5:26" s="239" customFormat="1" ht="87">
      <c r="E1186" s="254" t="s">
        <v>1606</v>
      </c>
      <c r="F1186" s="254" t="s">
        <v>1607</v>
      </c>
      <c r="G1186" s="298">
        <v>384.5</v>
      </c>
      <c r="H1186" s="298" t="s">
        <v>12</v>
      </c>
      <c r="I1186" s="446"/>
      <c r="J1186" s="433"/>
      <c r="K1186" s="285"/>
      <c r="L1186" s="268"/>
      <c r="M1186" s="240"/>
      <c r="N1186" s="447"/>
      <c r="O1186" s="270"/>
      <c r="P1186" s="447"/>
      <c r="Q1186" s="270"/>
      <c r="R1186" s="447"/>
      <c r="S1186" s="270"/>
      <c r="T1186" s="268"/>
      <c r="U1186" s="240"/>
      <c r="V1186" s="238"/>
      <c r="W1186" s="238">
        <f t="shared" si="64"/>
        <v>0</v>
      </c>
      <c r="Y1186" s="223" t="str">
        <f>'[4]Development - i'!E1185</f>
        <v>Supplying of 3.5 core 70 sqmm.</v>
      </c>
      <c r="Z1186" s="223" t="str">
        <f t="shared" si="63"/>
        <v>-----------------------</v>
      </c>
    </row>
    <row r="1187" spans="5:26" s="239" customFormat="1" ht="87">
      <c r="E1187" s="254" t="s">
        <v>1608</v>
      </c>
      <c r="F1187" s="254" t="s">
        <v>1609</v>
      </c>
      <c r="G1187" s="298">
        <v>497.7</v>
      </c>
      <c r="H1187" s="298" t="s">
        <v>12</v>
      </c>
      <c r="I1187" s="446"/>
      <c r="J1187" s="433"/>
      <c r="K1187" s="285"/>
      <c r="L1187" s="268"/>
      <c r="M1187" s="240"/>
      <c r="N1187" s="447"/>
      <c r="O1187" s="270"/>
      <c r="P1187" s="447"/>
      <c r="Q1187" s="270"/>
      <c r="R1187" s="447"/>
      <c r="S1187" s="270"/>
      <c r="T1187" s="268"/>
      <c r="U1187" s="240"/>
      <c r="V1187" s="238"/>
      <c r="W1187" s="238">
        <f t="shared" si="64"/>
        <v>0</v>
      </c>
      <c r="Y1187" s="223" t="str">
        <f>'[4]Development - i'!E1186</f>
        <v>Supplying of 3.5 core 95 sqmm.</v>
      </c>
      <c r="Z1187" s="223" t="str">
        <f t="shared" si="63"/>
        <v>-----------------------</v>
      </c>
    </row>
    <row r="1188" spans="5:26" s="239" customFormat="1" ht="87">
      <c r="E1188" s="254" t="s">
        <v>1610</v>
      </c>
      <c r="F1188" s="254" t="s">
        <v>1611</v>
      </c>
      <c r="G1188" s="298">
        <v>607.9</v>
      </c>
      <c r="H1188" s="298" t="s">
        <v>12</v>
      </c>
      <c r="I1188" s="446"/>
      <c r="J1188" s="433"/>
      <c r="K1188" s="285"/>
      <c r="L1188" s="268"/>
      <c r="M1188" s="240"/>
      <c r="N1188" s="447"/>
      <c r="O1188" s="270"/>
      <c r="P1188" s="447"/>
      <c r="Q1188" s="270"/>
      <c r="R1188" s="447"/>
      <c r="S1188" s="270"/>
      <c r="T1188" s="268"/>
      <c r="U1188" s="240"/>
      <c r="V1188" s="238"/>
      <c r="W1188" s="238">
        <f t="shared" si="64"/>
        <v>0</v>
      </c>
      <c r="Y1188" s="223" t="str">
        <f>'[4]Development - i'!E1187</f>
        <v>Supplying of 3.5 core 120 sqmm.</v>
      </c>
      <c r="Z1188" s="223" t="str">
        <f t="shared" si="63"/>
        <v>-----------------------</v>
      </c>
    </row>
    <row r="1189" spans="5:26" s="239" customFormat="1" ht="87">
      <c r="E1189" s="254" t="s">
        <v>1612</v>
      </c>
      <c r="F1189" s="254" t="s">
        <v>1613</v>
      </c>
      <c r="G1189" s="298">
        <v>720</v>
      </c>
      <c r="H1189" s="298" t="s">
        <v>12</v>
      </c>
      <c r="I1189" s="446"/>
      <c r="J1189" s="433"/>
      <c r="K1189" s="285"/>
      <c r="L1189" s="268"/>
      <c r="M1189" s="240"/>
      <c r="N1189" s="447"/>
      <c r="O1189" s="270"/>
      <c r="P1189" s="447"/>
      <c r="Q1189" s="270"/>
      <c r="R1189" s="447"/>
      <c r="S1189" s="270"/>
      <c r="T1189" s="268"/>
      <c r="U1189" s="240"/>
      <c r="V1189" s="238"/>
      <c r="W1189" s="238">
        <f t="shared" si="64"/>
        <v>0</v>
      </c>
      <c r="Y1189" s="223" t="str">
        <f>'[4]Development - i'!E1188</f>
        <v>Supplying of 3.5 core 150 sqmm.</v>
      </c>
      <c r="Z1189" s="223" t="str">
        <f t="shared" si="63"/>
        <v>-----------------------</v>
      </c>
    </row>
    <row r="1190" spans="5:26" s="239" customFormat="1" ht="65.25">
      <c r="E1190" s="254" t="s">
        <v>1614</v>
      </c>
      <c r="F1190" s="254" t="s">
        <v>2293</v>
      </c>
      <c r="G1190" s="298">
        <v>217</v>
      </c>
      <c r="H1190" s="298" t="s">
        <v>12</v>
      </c>
      <c r="I1190" s="446"/>
      <c r="J1190" s="433"/>
      <c r="K1190" s="285"/>
      <c r="L1190" s="268"/>
      <c r="M1190" s="240"/>
      <c r="N1190" s="447"/>
      <c r="O1190" s="270"/>
      <c r="P1190" s="447"/>
      <c r="Q1190" s="270"/>
      <c r="R1190" s="447"/>
      <c r="S1190" s="270"/>
      <c r="T1190" s="268"/>
      <c r="U1190" s="240"/>
      <c r="V1190" s="238"/>
      <c r="W1190" s="238">
        <f>ROUND(G1220,2)*ROUND(V1190,2)</f>
        <v>0</v>
      </c>
      <c r="Y1190" s="223" t="str">
        <f>'[4]Development - i'!E1189</f>
        <v>Supplying of 4 core of 16 sqmm</v>
      </c>
      <c r="Z1190" s="223" t="str">
        <f t="shared" si="63"/>
        <v>-----------------------</v>
      </c>
    </row>
    <row r="1191" spans="5:26" s="239" customFormat="1" ht="65.25">
      <c r="E1191" s="254" t="s">
        <v>1615</v>
      </c>
      <c r="F1191" s="254" t="s">
        <v>1616</v>
      </c>
      <c r="G1191" s="298">
        <v>176.7</v>
      </c>
      <c r="H1191" s="298" t="s">
        <v>12</v>
      </c>
      <c r="I1191" s="446"/>
      <c r="J1191" s="433"/>
      <c r="K1191" s="285"/>
      <c r="L1191" s="268"/>
      <c r="M1191" s="240"/>
      <c r="N1191" s="447"/>
      <c r="O1191" s="270"/>
      <c r="P1191" s="447"/>
      <c r="Q1191" s="270"/>
      <c r="R1191" s="447"/>
      <c r="S1191" s="270"/>
      <c r="T1191" s="268"/>
      <c r="U1191" s="271"/>
      <c r="V1191" s="238"/>
      <c r="W1191" s="238"/>
      <c r="Y1191" s="223" t="str">
        <f>'[4]Development - i'!E1190</f>
        <v>Supplying of 4 core of 10 sqmm</v>
      </c>
      <c r="Z1191" s="223" t="str">
        <f t="shared" si="63"/>
        <v>-----------------------</v>
      </c>
    </row>
    <row r="1192" spans="5:26" s="239" customFormat="1" ht="65.25">
      <c r="E1192" s="254" t="s">
        <v>2294</v>
      </c>
      <c r="F1192" s="254" t="s">
        <v>2294</v>
      </c>
      <c r="G1192" s="298"/>
      <c r="H1192" s="298"/>
      <c r="I1192" s="446"/>
      <c r="J1192" s="433"/>
      <c r="K1192" s="285"/>
      <c r="L1192" s="268"/>
      <c r="M1192" s="240"/>
      <c r="N1192" s="447"/>
      <c r="O1192" s="270"/>
      <c r="P1192" s="447"/>
      <c r="Q1192" s="270"/>
      <c r="R1192" s="447"/>
      <c r="S1192" s="270"/>
      <c r="T1192" s="268"/>
      <c r="U1192" s="271"/>
      <c r="V1192" s="238"/>
      <c r="W1192" s="238"/>
      <c r="Y1192" s="223" t="str">
        <f>'[4]Development - i'!E1191</f>
        <v>Supply and fixing of brass cable gland for XLPE armoured LTUG cable for following sizes with earth connection.</v>
      </c>
      <c r="Z1192" s="223" t="str">
        <f t="shared" si="63"/>
        <v>-----------------------</v>
      </c>
    </row>
    <row r="1193" spans="5:26" s="239" customFormat="1" ht="43.5">
      <c r="E1193" s="254" t="s">
        <v>2295</v>
      </c>
      <c r="F1193" s="254" t="s">
        <v>2295</v>
      </c>
      <c r="G1193" s="298">
        <v>504</v>
      </c>
      <c r="H1193" s="298"/>
      <c r="I1193" s="446"/>
      <c r="J1193" s="433"/>
      <c r="K1193" s="285"/>
      <c r="L1193" s="268"/>
      <c r="M1193" s="240"/>
      <c r="N1193" s="447"/>
      <c r="O1193" s="270"/>
      <c r="P1193" s="447"/>
      <c r="Q1193" s="270"/>
      <c r="R1193" s="447"/>
      <c r="S1193" s="270"/>
      <c r="T1193" s="268"/>
      <c r="U1193" s="271"/>
      <c r="V1193" s="238"/>
      <c r="W1193" s="238"/>
      <c r="Y1193" s="223" t="str">
        <f>'[4]Development - i'!E1192</f>
        <v>a) 3.5 c x 120 sqmm PVC / XLPE LTUG armoured cable   (SD 191)</v>
      </c>
      <c r="Z1193" s="223" t="str">
        <f t="shared" si="63"/>
        <v>-----------------------</v>
      </c>
    </row>
    <row r="1194" spans="5:26" s="239" customFormat="1" ht="43.5">
      <c r="E1194" s="254" t="s">
        <v>2296</v>
      </c>
      <c r="F1194" s="254" t="s">
        <v>2296</v>
      </c>
      <c r="G1194" s="298">
        <v>463</v>
      </c>
      <c r="H1194" s="298"/>
      <c r="I1194" s="446"/>
      <c r="J1194" s="433"/>
      <c r="K1194" s="285"/>
      <c r="L1194" s="268"/>
      <c r="M1194" s="240"/>
      <c r="N1194" s="447"/>
      <c r="O1194" s="270"/>
      <c r="P1194" s="447"/>
      <c r="Q1194" s="270"/>
      <c r="R1194" s="447"/>
      <c r="S1194" s="270"/>
      <c r="T1194" s="268"/>
      <c r="U1194" s="271"/>
      <c r="V1194" s="238"/>
      <c r="W1194" s="238"/>
      <c r="Y1194" s="223" t="str">
        <f>'[4]Development - i'!E1193</f>
        <v>b) 3.5 c x 70 sqmm PVC  / XLPE LTUG armoured cable  (SD 189</v>
      </c>
      <c r="Z1194" s="223" t="str">
        <f t="shared" si="63"/>
        <v>-----------------------</v>
      </c>
    </row>
    <row r="1195" spans="5:26" s="239" customFormat="1" ht="43.5">
      <c r="E1195" s="254" t="s">
        <v>2297</v>
      </c>
      <c r="F1195" s="254" t="s">
        <v>2297</v>
      </c>
      <c r="G1195" s="298">
        <v>339</v>
      </c>
      <c r="H1195" s="298"/>
      <c r="I1195" s="446"/>
      <c r="J1195" s="433"/>
      <c r="K1195" s="285"/>
      <c r="L1195" s="268"/>
      <c r="M1195" s="240"/>
      <c r="N1195" s="447"/>
      <c r="O1195" s="270"/>
      <c r="P1195" s="447"/>
      <c r="Q1195" s="270"/>
      <c r="R1195" s="447"/>
      <c r="S1195" s="270"/>
      <c r="T1195" s="268"/>
      <c r="U1195" s="271"/>
      <c r="V1195" s="238"/>
      <c r="W1195" s="238"/>
      <c r="Y1195" s="223" t="str">
        <f>'[4]Development - i'!E1194</f>
        <v>c) 3.5 c x 25 sqmm PVC / XLPE LTUG armoured cable  (SD 186)</v>
      </c>
      <c r="Z1195" s="223" t="str">
        <f t="shared" si="63"/>
        <v>-----------------------</v>
      </c>
    </row>
    <row r="1196" spans="5:26" s="239" customFormat="1" ht="43.5">
      <c r="E1196" s="254" t="s">
        <v>2298</v>
      </c>
      <c r="F1196" s="254" t="s">
        <v>2298</v>
      </c>
      <c r="G1196" s="298">
        <v>327</v>
      </c>
      <c r="H1196" s="298"/>
      <c r="I1196" s="446"/>
      <c r="J1196" s="433"/>
      <c r="K1196" s="285"/>
      <c r="L1196" s="268"/>
      <c r="M1196" s="240"/>
      <c r="N1196" s="447"/>
      <c r="O1196" s="270"/>
      <c r="P1196" s="447"/>
      <c r="Q1196" s="270"/>
      <c r="R1196" s="447"/>
      <c r="S1196" s="270"/>
      <c r="T1196" s="268"/>
      <c r="U1196" s="271"/>
      <c r="V1196" s="238"/>
      <c r="W1196" s="238"/>
      <c r="Y1196" s="223" t="str">
        <f>'[4]Development - i'!E1195</f>
        <v>d) 4 c x 16 sqmm PVC / XLPE LTUG armoured cable  (Data - AB)</v>
      </c>
      <c r="Z1196" s="223" t="str">
        <f t="shared" si="63"/>
        <v>-----------------------</v>
      </c>
    </row>
    <row r="1197" spans="5:26" s="239" customFormat="1" ht="43.5">
      <c r="E1197" s="254" t="s">
        <v>2299</v>
      </c>
      <c r="F1197" s="254" t="s">
        <v>2299</v>
      </c>
      <c r="G1197" s="298">
        <v>319</v>
      </c>
      <c r="H1197" s="298"/>
      <c r="I1197" s="446"/>
      <c r="J1197" s="433"/>
      <c r="K1197" s="285"/>
      <c r="L1197" s="268"/>
      <c r="M1197" s="240"/>
      <c r="N1197" s="447"/>
      <c r="O1197" s="270"/>
      <c r="P1197" s="447"/>
      <c r="Q1197" s="270"/>
      <c r="R1197" s="447"/>
      <c r="S1197" s="270"/>
      <c r="T1197" s="268"/>
      <c r="U1197" s="271"/>
      <c r="V1197" s="238"/>
      <c r="W1197" s="238"/>
      <c r="Y1197" s="223" t="str">
        <f>'[4]Development - i'!E1196</f>
        <v>e) 4 c x 10 sqmm PVC  / XLPE LTUG armoured cable(Data - AC)</v>
      </c>
      <c r="Z1197" s="223" t="str">
        <f t="shared" si="63"/>
        <v>-----------------------</v>
      </c>
    </row>
    <row r="1198" spans="5:26" s="239" customFormat="1" ht="87">
      <c r="E1198" s="254" t="s">
        <v>2300</v>
      </c>
      <c r="F1198" s="254" t="s">
        <v>2300</v>
      </c>
      <c r="G1198" s="298"/>
      <c r="H1198" s="298"/>
      <c r="I1198" s="446"/>
      <c r="J1198" s="433"/>
      <c r="K1198" s="285"/>
      <c r="L1198" s="268"/>
      <c r="M1198" s="240"/>
      <c r="N1198" s="447"/>
      <c r="O1198" s="270"/>
      <c r="P1198" s="447"/>
      <c r="Q1198" s="270"/>
      <c r="R1198" s="447"/>
      <c r="S1198" s="270"/>
      <c r="T1198" s="268"/>
      <c r="U1198" s="271"/>
      <c r="V1198" s="238"/>
      <c r="W1198" s="238"/>
      <c r="Y1198" s="223" t="str">
        <f>'[4]Development - i'!E1197</f>
        <v>Supply and providing cable end termination of following sizes of XLPE armoured LTUG Aluminium cable with necessary aluminium cable sockets by crimping etc. with electrical connection complete.</v>
      </c>
      <c r="Z1198" s="223" t="str">
        <f t="shared" si="63"/>
        <v>-----------------------</v>
      </c>
    </row>
    <row r="1199" spans="5:26" s="239" customFormat="1" ht="43.5">
      <c r="E1199" s="254" t="s">
        <v>2301</v>
      </c>
      <c r="F1199" s="254" t="s">
        <v>2301</v>
      </c>
      <c r="G1199" s="298">
        <v>442</v>
      </c>
      <c r="H1199" s="298"/>
      <c r="I1199" s="446"/>
      <c r="J1199" s="433"/>
      <c r="K1199" s="285"/>
      <c r="L1199" s="268"/>
      <c r="M1199" s="240"/>
      <c r="N1199" s="447"/>
      <c r="O1199" s="270"/>
      <c r="P1199" s="447"/>
      <c r="Q1199" s="270"/>
      <c r="R1199" s="447"/>
      <c r="S1199" s="270"/>
      <c r="T1199" s="268"/>
      <c r="U1199" s="271"/>
      <c r="V1199" s="238"/>
      <c r="W1199" s="238"/>
      <c r="Y1199" s="223" t="str">
        <f>'[4]Development - i'!E1198</f>
        <v>a) 3.5 c x 120sqmm PVC / XLPE LTUG armoured cable  (SD 240)</v>
      </c>
      <c r="Z1199" s="223" t="str">
        <f t="shared" si="63"/>
        <v>-----------------------</v>
      </c>
    </row>
    <row r="1200" spans="5:26" s="239" customFormat="1" ht="43.5">
      <c r="E1200" s="254" t="s">
        <v>2302</v>
      </c>
      <c r="F1200" s="254" t="s">
        <v>2302</v>
      </c>
      <c r="G1200" s="298">
        <v>293</v>
      </c>
      <c r="H1200" s="298"/>
      <c r="I1200" s="446"/>
      <c r="J1200" s="433"/>
      <c r="K1200" s="285"/>
      <c r="L1200" s="268"/>
      <c r="M1200" s="240"/>
      <c r="N1200" s="447"/>
      <c r="O1200" s="270"/>
      <c r="P1200" s="447"/>
      <c r="Q1200" s="270"/>
      <c r="R1200" s="447"/>
      <c r="S1200" s="270"/>
      <c r="T1200" s="268"/>
      <c r="U1200" s="271"/>
      <c r="V1200" s="238"/>
      <c r="W1200" s="238"/>
      <c r="Y1200" s="223" t="str">
        <f>'[4]Development - i'!E1199</f>
        <v>b) 3.5 c x 70 sqmm PVC / XLPE  LTUG armoured cable (SD 238)</v>
      </c>
      <c r="Z1200" s="223" t="str">
        <f t="shared" si="63"/>
        <v>-----------------------</v>
      </c>
    </row>
    <row r="1201" spans="5:26" s="239" customFormat="1" ht="43.5">
      <c r="E1201" s="254" t="s">
        <v>2303</v>
      </c>
      <c r="F1201" s="254" t="s">
        <v>2303</v>
      </c>
      <c r="G1201" s="298">
        <v>277</v>
      </c>
      <c r="H1201" s="298"/>
      <c r="I1201" s="446"/>
      <c r="J1201" s="433"/>
      <c r="K1201" s="285"/>
      <c r="L1201" s="268"/>
      <c r="M1201" s="240"/>
      <c r="N1201" s="447"/>
      <c r="O1201" s="270"/>
      <c r="P1201" s="447"/>
      <c r="Q1201" s="270"/>
      <c r="R1201" s="447"/>
      <c r="S1201" s="270"/>
      <c r="T1201" s="268"/>
      <c r="U1201" s="271"/>
      <c r="V1201" s="238"/>
      <c r="W1201" s="238"/>
      <c r="Y1201" s="223" t="str">
        <f>'[4]Development - i'!E1200</f>
        <v>c) 3.5 c x 25 sqmm PVC / XLPE  LTUG armoured cable  (SD 235)</v>
      </c>
      <c r="Z1201" s="223" t="str">
        <f t="shared" si="63"/>
        <v>-----------------------</v>
      </c>
    </row>
    <row r="1202" spans="5:26" s="239" customFormat="1" ht="43.5">
      <c r="E1202" s="254" t="s">
        <v>2304</v>
      </c>
      <c r="F1202" s="254" t="s">
        <v>2304</v>
      </c>
      <c r="G1202" s="298">
        <v>274</v>
      </c>
      <c r="H1202" s="298"/>
      <c r="I1202" s="446"/>
      <c r="J1202" s="433"/>
      <c r="K1202" s="285"/>
      <c r="L1202" s="268"/>
      <c r="M1202" s="240"/>
      <c r="N1202" s="447"/>
      <c r="O1202" s="270"/>
      <c r="P1202" s="447"/>
      <c r="Q1202" s="270"/>
      <c r="R1202" s="447"/>
      <c r="S1202" s="270"/>
      <c r="T1202" s="268"/>
      <c r="U1202" s="271"/>
      <c r="V1202" s="238"/>
      <c r="W1202" s="238"/>
      <c r="Y1202" s="223" t="str">
        <f>'[4]Development - i'!E1201</f>
        <v>d) 4 c x 16 sqmm PVC / XLPE  LTUG armoured cable  (Data - AG</v>
      </c>
      <c r="Z1202" s="223" t="str">
        <f t="shared" si="63"/>
        <v>-----------------------</v>
      </c>
    </row>
    <row r="1203" spans="5:26" s="239" customFormat="1" ht="43.5">
      <c r="E1203" s="254" t="s">
        <v>2305</v>
      </c>
      <c r="F1203" s="254" t="s">
        <v>2305</v>
      </c>
      <c r="G1203" s="298">
        <v>274</v>
      </c>
      <c r="H1203" s="298"/>
      <c r="I1203" s="446"/>
      <c r="J1203" s="433"/>
      <c r="K1203" s="285"/>
      <c r="L1203" s="268"/>
      <c r="M1203" s="240"/>
      <c r="N1203" s="447"/>
      <c r="O1203" s="270"/>
      <c r="P1203" s="447"/>
      <c r="Q1203" s="270"/>
      <c r="R1203" s="447"/>
      <c r="S1203" s="270"/>
      <c r="T1203" s="268"/>
      <c r="U1203" s="271"/>
      <c r="V1203" s="238"/>
      <c r="W1203" s="238"/>
      <c r="Y1203" s="223" t="str">
        <f>'[4]Development - i'!E1202</f>
        <v>e) 4 c x 10 sqmm PVC  / XLPE LTUG armoured cable  (Data - AH</v>
      </c>
      <c r="Z1203" s="223" t="str">
        <f t="shared" si="63"/>
        <v>-----------------------</v>
      </c>
    </row>
    <row r="1204" spans="5:26" s="239" customFormat="1" ht="195.75">
      <c r="E1204" s="254" t="s">
        <v>2306</v>
      </c>
      <c r="F1204" s="254" t="s">
        <v>2307</v>
      </c>
      <c r="G1204" s="298">
        <v>15777</v>
      </c>
      <c r="H1204" s="298"/>
      <c r="I1204" s="446"/>
      <c r="J1204" s="433"/>
      <c r="K1204" s="285"/>
      <c r="L1204" s="268"/>
      <c r="M1204" s="240"/>
      <c r="N1204" s="447"/>
      <c r="O1204" s="270"/>
      <c r="P1204" s="447"/>
      <c r="Q1204" s="270"/>
      <c r="R1204" s="447"/>
      <c r="S1204" s="270"/>
      <c r="T1204" s="268"/>
      <c r="U1204" s="271"/>
      <c r="V1204" s="238"/>
      <c r="W1204" s="238"/>
      <c r="Y1204" s="223" t="str">
        <f>'[4]Development - i'!E1203</f>
        <v xml:space="preserve">Supply and fixing of triple pole and neutral four way 7 segment 3 tier </v>
      </c>
      <c r="Z1204" s="223" t="str">
        <f t="shared" ref="Z1204:Z1262" si="65">IF(Y1204=E1204,"-----------------------","ERRR")</f>
        <v>-----------------------</v>
      </c>
    </row>
    <row r="1205" spans="5:26" s="239" customFormat="1" ht="65.25">
      <c r="E1205" s="254" t="s">
        <v>2308</v>
      </c>
      <c r="F1205" s="254" t="s">
        <v>2308</v>
      </c>
      <c r="G1205" s="298">
        <v>222</v>
      </c>
      <c r="H1205" s="298"/>
      <c r="I1205" s="446"/>
      <c r="J1205" s="433"/>
      <c r="K1205" s="285"/>
      <c r="L1205" s="268"/>
      <c r="M1205" s="240"/>
      <c r="N1205" s="447"/>
      <c r="O1205" s="270"/>
      <c r="P1205" s="447"/>
      <c r="Q1205" s="270"/>
      <c r="R1205" s="447"/>
      <c r="S1205" s="270"/>
      <c r="T1205" s="268"/>
      <c r="U1205" s="271"/>
      <c r="V1205" s="238"/>
      <c r="W1205" s="238"/>
      <c r="Y1205" s="223" t="str">
        <f>'[4]Development - i'!E1204</f>
        <v xml:space="preserve">Supply and fixing of 25 mm x 3 mm x 300 mm copper flat on wall in the lift machine room for providing earth connection to the lift machinery </v>
      </c>
      <c r="Z1205" s="223" t="str">
        <f>IF(Y1205=E1205,"-----------------------","ERRR")</f>
        <v>-----------------------</v>
      </c>
    </row>
    <row r="1206" spans="5:26" s="239" customFormat="1">
      <c r="E1206" s="254" t="s">
        <v>2309</v>
      </c>
      <c r="F1206" s="254" t="s">
        <v>2309</v>
      </c>
      <c r="G1206" s="298"/>
      <c r="H1206" s="298"/>
      <c r="I1206" s="446"/>
      <c r="J1206" s="433"/>
      <c r="K1206" s="285"/>
      <c r="L1206" s="268"/>
      <c r="M1206" s="240"/>
      <c r="N1206" s="447"/>
      <c r="O1206" s="270"/>
      <c r="P1206" s="447"/>
      <c r="Q1206" s="270"/>
      <c r="R1206" s="447"/>
      <c r="S1206" s="270"/>
      <c r="T1206" s="268"/>
      <c r="U1206" s="271"/>
      <c r="V1206" s="238"/>
      <c r="W1206" s="238"/>
      <c r="Y1206" s="223" t="str">
        <f>'[4]Development - i'!E1205</f>
        <v>Supplying, Fixing and testing and commissioning of MCB i</v>
      </c>
      <c r="Z1206" s="223" t="str">
        <f>IF(Y1206=E1206,"-----------------------","ERRR")</f>
        <v>ERRR</v>
      </c>
    </row>
    <row r="1207" spans="5:26" s="239" customFormat="1">
      <c r="E1207" s="254" t="s">
        <v>2310</v>
      </c>
      <c r="F1207" s="254" t="s">
        <v>2310</v>
      </c>
      <c r="G1207" s="298">
        <v>1888</v>
      </c>
      <c r="H1207" s="298"/>
      <c r="I1207" s="446"/>
      <c r="J1207" s="433"/>
      <c r="K1207" s="285"/>
      <c r="L1207" s="268"/>
      <c r="M1207" s="240"/>
      <c r="N1207" s="447"/>
      <c r="O1207" s="270"/>
      <c r="P1207" s="447"/>
      <c r="Q1207" s="270"/>
      <c r="R1207" s="447"/>
      <c r="S1207" s="270"/>
      <c r="T1207" s="268"/>
      <c r="U1207" s="271"/>
      <c r="V1207" s="238"/>
      <c r="W1207" s="238"/>
      <c r="Y1207" s="223" t="str">
        <f>'[4]Development - i'!E1206</f>
        <v>40 A TPN 10 kA MCB - Data AM</v>
      </c>
      <c r="Z1207" s="223" t="str">
        <f>IF(Y1207=E1207,"-----------------------","ERRR")</f>
        <v>-----------------------</v>
      </c>
    </row>
    <row r="1208" spans="5:26" s="239" customFormat="1" ht="43.5">
      <c r="E1208" s="254" t="s">
        <v>2311</v>
      </c>
      <c r="F1208" s="254" t="s">
        <v>2312</v>
      </c>
      <c r="G1208" s="298">
        <v>1149</v>
      </c>
      <c r="H1208" s="298"/>
      <c r="I1208" s="446"/>
      <c r="J1208" s="433"/>
      <c r="K1208" s="285"/>
      <c r="L1208" s="268"/>
      <c r="M1208" s="240"/>
      <c r="N1208" s="447"/>
      <c r="O1208" s="270"/>
      <c r="P1208" s="447"/>
      <c r="Q1208" s="270"/>
      <c r="R1208" s="447"/>
      <c r="S1208" s="270"/>
      <c r="T1208" s="268"/>
      <c r="U1208" s="271"/>
      <c r="V1208" s="238"/>
      <c r="W1208" s="238"/>
      <c r="Y1208" s="223" t="str">
        <f>'[4]Development - i'!E1207</f>
        <v>10/20/32A DP 10 KA MCB - Data ANMaster control switch for each dormitory</v>
      </c>
      <c r="Z1208" s="223" t="str">
        <f t="shared" si="65"/>
        <v>ERRR</v>
      </c>
    </row>
    <row r="1209" spans="5:26" s="239" customFormat="1">
      <c r="E1209" s="254" t="s">
        <v>1674</v>
      </c>
      <c r="F1209" s="254" t="s">
        <v>1674</v>
      </c>
      <c r="G1209" s="298">
        <v>2417</v>
      </c>
      <c r="H1209" s="298"/>
      <c r="I1209" s="446"/>
      <c r="J1209" s="433"/>
      <c r="K1209" s="285"/>
      <c r="L1209" s="268"/>
      <c r="M1209" s="240"/>
      <c r="N1209" s="447"/>
      <c r="O1209" s="270"/>
      <c r="P1209" s="447"/>
      <c r="Q1209" s="270"/>
      <c r="R1209" s="447"/>
      <c r="S1209" s="270"/>
      <c r="T1209" s="268"/>
      <c r="U1209" s="271"/>
      <c r="V1209" s="238"/>
      <c r="W1209" s="238"/>
      <c r="Y1209" s="223" t="str">
        <f>'[4]Development - i'!E1208</f>
        <v>63A TPN 10 KA MCB - Data AO</v>
      </c>
      <c r="Z1209" s="223" t="str">
        <f t="shared" si="65"/>
        <v>-----------------------</v>
      </c>
    </row>
    <row r="1210" spans="5:26" s="239" customFormat="1" ht="165" customHeight="1">
      <c r="E1210" s="254" t="s">
        <v>2313</v>
      </c>
      <c r="F1210" s="254" t="s">
        <v>2313</v>
      </c>
      <c r="G1210" s="298">
        <f>'[4]Electrical E DATA'!F526</f>
        <v>58303.48</v>
      </c>
      <c r="H1210" s="298"/>
      <c r="I1210" s="446"/>
      <c r="J1210" s="433"/>
      <c r="K1210" s="285"/>
      <c r="L1210" s="268"/>
      <c r="M1210" s="240"/>
      <c r="N1210" s="447"/>
      <c r="O1210" s="270"/>
      <c r="P1210" s="447"/>
      <c r="Q1210" s="270"/>
      <c r="R1210" s="447"/>
      <c r="S1210" s="270"/>
      <c r="T1210" s="268"/>
      <c r="U1210" s="271"/>
      <c r="V1210" s="238"/>
      <c r="W1210" s="238"/>
      <c r="Y1210" s="223" t="str">
        <f>'[4]Development - i'!E1209</f>
        <v>Supply and erection of 100 Amps capacity floor mounting / wall mounting panel board (Cubical type) with bus bar</v>
      </c>
      <c r="Z1210" s="223" t="str">
        <f t="shared" si="65"/>
        <v>-----------------------</v>
      </c>
    </row>
    <row r="1211" spans="5:26" s="239" customFormat="1" ht="43.5">
      <c r="E1211" s="254" t="s">
        <v>2314</v>
      </c>
      <c r="F1211" s="254" t="s">
        <v>2314</v>
      </c>
      <c r="G1211" s="298">
        <f>'[4]Electrical E DATA'!F589</f>
        <v>130930.5</v>
      </c>
      <c r="H1211" s="298"/>
      <c r="I1211" s="446"/>
      <c r="J1211" s="433"/>
      <c r="K1211" s="285"/>
      <c r="L1211" s="268"/>
      <c r="M1211" s="240"/>
      <c r="N1211" s="447"/>
      <c r="O1211" s="270"/>
      <c r="P1211" s="447"/>
      <c r="Q1211" s="270"/>
      <c r="R1211" s="447"/>
      <c r="S1211" s="270"/>
      <c r="T1211" s="268"/>
      <c r="U1211" s="271"/>
      <c r="V1211" s="238"/>
      <c r="W1211" s="238"/>
      <c r="Y1211" s="223" t="str">
        <f>'[4]Development - i'!E1210</f>
        <v xml:space="preserve">Supply and erection of 125 Amps capacity floor mounting / wall mounting panel board (Cubical type) with bus bar </v>
      </c>
      <c r="Z1211" s="223" t="str">
        <f t="shared" si="65"/>
        <v>-----------------------</v>
      </c>
    </row>
    <row r="1212" spans="5:26" s="239" customFormat="1" ht="65.25">
      <c r="E1212" s="254" t="s">
        <v>2315</v>
      </c>
      <c r="F1212" s="254" t="s">
        <v>2315</v>
      </c>
      <c r="G1212" s="298">
        <f>'[4]Electrical E DATA'!F612</f>
        <v>598.4</v>
      </c>
      <c r="H1212" s="298"/>
      <c r="I1212" s="446"/>
      <c r="J1212" s="433"/>
      <c r="K1212" s="285"/>
      <c r="L1212" s="268"/>
      <c r="M1212" s="240"/>
      <c r="N1212" s="447"/>
      <c r="O1212" s="270"/>
      <c r="P1212" s="447"/>
      <c r="Q1212" s="270"/>
      <c r="R1212" s="447"/>
      <c r="S1212" s="270"/>
      <c r="T1212" s="268"/>
      <c r="U1212" s="271"/>
      <c r="V1212" s="238"/>
      <c r="W1212" s="238"/>
      <c r="Y1212" s="223" t="str">
        <f>'[4]Development - i'!E1211</f>
        <v>supply and fixing of MS box of suitable size for the terrmination of cable ( with in and out arrangements) and with earth connections. - DATA AV</v>
      </c>
      <c r="Z1212" s="223" t="str">
        <f t="shared" si="65"/>
        <v>-----------------------</v>
      </c>
    </row>
    <row r="1213" spans="5:26" s="239" customFormat="1">
      <c r="E1213" s="254" t="s">
        <v>2316</v>
      </c>
      <c r="F1213" s="254" t="s">
        <v>2316</v>
      </c>
      <c r="G1213" s="298">
        <v>2913</v>
      </c>
      <c r="H1213" s="298"/>
      <c r="I1213" s="446"/>
      <c r="J1213" s="433"/>
      <c r="K1213" s="285"/>
      <c r="L1213" s="268"/>
      <c r="M1213" s="240"/>
      <c r="N1213" s="447"/>
      <c r="O1213" s="270"/>
      <c r="P1213" s="447"/>
      <c r="Q1213" s="270"/>
      <c r="R1213" s="447"/>
      <c r="S1213" s="270"/>
      <c r="T1213" s="268"/>
      <c r="U1213" s="271"/>
      <c r="V1213" s="238"/>
      <c r="W1213" s="238"/>
      <c r="Y1213" s="223" t="str">
        <f>'[4]Development - i'!E1212</f>
        <v>Manhole Cover SFRC 750mm x 750mm</v>
      </c>
      <c r="Z1213" s="223" t="str">
        <f t="shared" si="65"/>
        <v>-----------------------</v>
      </c>
    </row>
    <row r="1214" spans="5:26" s="239" customFormat="1" ht="43.5">
      <c r="E1214" s="254" t="s">
        <v>2317</v>
      </c>
      <c r="F1214" s="254" t="s">
        <v>2317</v>
      </c>
      <c r="G1214" s="298">
        <v>850</v>
      </c>
      <c r="H1214" s="298"/>
      <c r="I1214" s="446"/>
      <c r="J1214" s="433"/>
      <c r="K1214" s="285"/>
      <c r="L1214" s="268"/>
      <c r="M1214" s="240"/>
      <c r="N1214" s="447"/>
      <c r="O1214" s="270"/>
      <c r="P1214" s="447"/>
      <c r="Q1214" s="270"/>
      <c r="R1214" s="447"/>
      <c r="S1214" s="270"/>
      <c r="T1214" s="268"/>
      <c r="U1214" s="271"/>
      <c r="V1214" s="238"/>
      <c r="W1214" s="238"/>
      <c r="Y1214" s="223" t="str">
        <f>'[4]Development - i'!E1213</f>
        <v>Supplying and fixing of Rotary switch with 3 nos Indicator lamps including interconnection wire etc</v>
      </c>
      <c r="Z1214" s="223" t="str">
        <f t="shared" si="65"/>
        <v>-----------------------</v>
      </c>
    </row>
    <row r="1215" spans="5:26" s="239" customFormat="1">
      <c r="E1215" s="254"/>
      <c r="F1215" s="254"/>
      <c r="G1215" s="298"/>
      <c r="H1215" s="298"/>
      <c r="I1215" s="446"/>
      <c r="J1215" s="433"/>
      <c r="K1215" s="285"/>
      <c r="L1215" s="268"/>
      <c r="M1215" s="240"/>
      <c r="N1215" s="447"/>
      <c r="O1215" s="270"/>
      <c r="P1215" s="447"/>
      <c r="Q1215" s="270"/>
      <c r="R1215" s="447"/>
      <c r="S1215" s="270"/>
      <c r="T1215" s="268"/>
      <c r="U1215" s="271"/>
      <c r="V1215" s="238"/>
      <c r="W1215" s="238"/>
      <c r="Y1215" s="223">
        <f>'[4]Development - i'!E1214</f>
        <v>0</v>
      </c>
      <c r="Z1215" s="223" t="str">
        <f t="shared" si="65"/>
        <v>-----------------------</v>
      </c>
    </row>
    <row r="1216" spans="5:26" s="239" customFormat="1">
      <c r="E1216" s="254"/>
      <c r="F1216" s="254"/>
      <c r="G1216" s="298"/>
      <c r="H1216" s="298"/>
      <c r="I1216" s="446"/>
      <c r="J1216" s="433"/>
      <c r="K1216" s="285"/>
      <c r="L1216" s="268"/>
      <c r="M1216" s="240"/>
      <c r="N1216" s="447"/>
      <c r="O1216" s="270"/>
      <c r="P1216" s="447"/>
      <c r="Q1216" s="270"/>
      <c r="R1216" s="447"/>
      <c r="S1216" s="270"/>
      <c r="T1216" s="268"/>
      <c r="U1216" s="271"/>
      <c r="V1216" s="238"/>
      <c r="W1216" s="238"/>
      <c r="Y1216" s="223">
        <f>'[4]Development - i'!E1215</f>
        <v>0</v>
      </c>
      <c r="Z1216" s="223" t="str">
        <f t="shared" si="65"/>
        <v>-----------------------</v>
      </c>
    </row>
    <row r="1217" spans="1:26" s="239" customFormat="1">
      <c r="E1217" s="254"/>
      <c r="F1217" s="254"/>
      <c r="G1217" s="298"/>
      <c r="H1217" s="298"/>
      <c r="I1217" s="446"/>
      <c r="J1217" s="433"/>
      <c r="K1217" s="285"/>
      <c r="L1217" s="268"/>
      <c r="M1217" s="240"/>
      <c r="N1217" s="447"/>
      <c r="O1217" s="270"/>
      <c r="P1217" s="447"/>
      <c r="Q1217" s="270"/>
      <c r="R1217" s="447"/>
      <c r="S1217" s="270"/>
      <c r="T1217" s="268"/>
      <c r="U1217" s="271"/>
      <c r="V1217" s="238"/>
      <c r="W1217" s="238"/>
      <c r="Y1217" s="223">
        <f>'[4]Development - i'!E1216</f>
        <v>0</v>
      </c>
      <c r="Z1217" s="223" t="str">
        <f t="shared" si="65"/>
        <v>-----------------------</v>
      </c>
    </row>
    <row r="1218" spans="1:26" s="239" customFormat="1">
      <c r="E1218" s="254"/>
      <c r="F1218" s="254"/>
      <c r="G1218" s="298"/>
      <c r="H1218" s="298"/>
      <c r="I1218" s="446"/>
      <c r="J1218" s="433"/>
      <c r="K1218" s="285"/>
      <c r="L1218" s="268"/>
      <c r="M1218" s="240"/>
      <c r="N1218" s="447"/>
      <c r="O1218" s="270"/>
      <c r="P1218" s="447"/>
      <c r="Q1218" s="270"/>
      <c r="R1218" s="447"/>
      <c r="S1218" s="270"/>
      <c r="T1218" s="268"/>
      <c r="U1218" s="271"/>
      <c r="V1218" s="238"/>
      <c r="W1218" s="238"/>
      <c r="Y1218" s="223">
        <f>'[4]Development - i'!E1217</f>
        <v>0</v>
      </c>
      <c r="Z1218" s="223" t="str">
        <f t="shared" si="65"/>
        <v>-----------------------</v>
      </c>
    </row>
    <row r="1219" spans="1:26" s="239" customFormat="1" ht="87">
      <c r="E1219" s="254" t="s">
        <v>2318</v>
      </c>
      <c r="F1219" s="254" t="s">
        <v>2318</v>
      </c>
      <c r="G1219" s="448"/>
      <c r="H1219" s="298"/>
      <c r="I1219" s="446"/>
      <c r="J1219" s="433"/>
      <c r="K1219" s="285"/>
      <c r="L1219" s="268"/>
      <c r="M1219" s="240"/>
      <c r="N1219" s="447"/>
      <c r="O1219" s="270"/>
      <c r="P1219" s="447"/>
      <c r="Q1219" s="270"/>
      <c r="R1219" s="447"/>
      <c r="S1219" s="270"/>
      <c r="T1219" s="268"/>
      <c r="U1219" s="271"/>
      <c r="V1219" s="238"/>
      <c r="W1219" s="238"/>
      <c r="Y1219" s="223" t="str">
        <f>'[4]Development - i'!E1218</f>
        <v>Supply, Installation, Testing and Commissioning of 2 KVA sinewave single phase inverter with exide tubular battery for 30 minutes backup time with suitable rack / trolly for inverter and batteries.Data AP</v>
      </c>
      <c r="Z1219" s="223" t="str">
        <f t="shared" si="65"/>
        <v>-----------------------</v>
      </c>
    </row>
    <row r="1220" spans="1:26" ht="87">
      <c r="A1220" s="259"/>
      <c r="E1220" s="254" t="s">
        <v>1617</v>
      </c>
      <c r="F1220" s="254" t="s">
        <v>1617</v>
      </c>
      <c r="G1220" s="298">
        <f>[3]Elec.Data!K3567</f>
        <v>228.93</v>
      </c>
      <c r="H1220" s="298" t="s">
        <v>12</v>
      </c>
      <c r="I1220" s="446"/>
      <c r="J1220" s="433"/>
      <c r="K1220" s="285"/>
      <c r="L1220" s="268"/>
      <c r="M1220" s="240"/>
      <c r="N1220" s="447"/>
      <c r="O1220" s="270"/>
      <c r="P1220" s="447"/>
      <c r="Q1220" s="270"/>
      <c r="R1220" s="447"/>
      <c r="S1220" s="270"/>
      <c r="T1220" s="268"/>
      <c r="U1220" s="271"/>
      <c r="V1220" s="233">
        <f>'[3]Precast Compound wall '!H365</f>
        <v>140</v>
      </c>
      <c r="W1220" s="233">
        <f t="shared" ref="W1220:W1236" si="66">ROUND(G1221,2)*ROUND(V1220,2)</f>
        <v>18900</v>
      </c>
      <c r="Y1220" s="223" t="str">
        <f>'[4]Development - i'!E1219</f>
        <v>Labour charges for laying of PVC Armoured LTUG Cable excluding Civil works etc.,all complete and as directed by the departmental officers a) Below Ground Level</v>
      </c>
      <c r="Z1220" s="223" t="str">
        <f t="shared" si="65"/>
        <v>ERRR</v>
      </c>
    </row>
    <row r="1221" spans="1:26" s="239" customFormat="1" ht="87">
      <c r="E1221" s="254" t="s">
        <v>1618</v>
      </c>
      <c r="F1221" s="254" t="s">
        <v>1618</v>
      </c>
      <c r="G1221" s="298">
        <f>[3]Elec.Data!K3584</f>
        <v>135</v>
      </c>
      <c r="H1221" s="298" t="s">
        <v>12</v>
      </c>
      <c r="I1221" s="446"/>
      <c r="J1221" s="433"/>
      <c r="K1221" s="285"/>
      <c r="L1221" s="268"/>
      <c r="M1221" s="240"/>
      <c r="N1221" s="447"/>
      <c r="O1221" s="270"/>
      <c r="P1221" s="447"/>
      <c r="Q1221" s="270"/>
      <c r="R1221" s="447"/>
      <c r="S1221" s="270"/>
      <c r="T1221" s="268"/>
      <c r="U1221" s="240"/>
      <c r="V1221" s="238"/>
      <c r="W1221" s="238">
        <f t="shared" si="66"/>
        <v>0</v>
      </c>
      <c r="Y1221" s="223" t="str">
        <f>'[4]Development - i'!E1220</f>
        <v>Labour charges for fixing of PVC Armoured LTUG Cable  in Vertical wall (or) EB Pole etc., all complete and as directed by the departmental officers Above Ground Level</v>
      </c>
      <c r="Z1221" s="223" t="str">
        <f t="shared" si="65"/>
        <v>ERRR</v>
      </c>
    </row>
    <row r="1222" spans="1:26" ht="103.5" customHeight="1">
      <c r="A1222" s="259"/>
      <c r="B1222" s="449" t="s">
        <v>1619</v>
      </c>
      <c r="E1222" s="254" t="s">
        <v>1619</v>
      </c>
      <c r="F1222" s="254" t="s">
        <v>1620</v>
      </c>
      <c r="G1222" s="298">
        <f>[3]Data!K3727</f>
        <v>838.89</v>
      </c>
      <c r="H1222" s="298" t="s">
        <v>2319</v>
      </c>
      <c r="I1222" s="446"/>
      <c r="J1222" s="433"/>
      <c r="K1222" s="285"/>
      <c r="L1222" s="268"/>
      <c r="M1222" s="240"/>
      <c r="N1222" s="447"/>
      <c r="O1222" s="270"/>
      <c r="P1222" s="447"/>
      <c r="Q1222" s="270"/>
      <c r="R1222" s="447"/>
      <c r="S1222" s="270"/>
      <c r="T1222" s="268"/>
      <c r="U1222" s="271"/>
      <c r="V1222" s="233">
        <f>'[3]Precast Compound wall '!H379</f>
        <v>29</v>
      </c>
      <c r="W1222" s="233">
        <f t="shared" si="66"/>
        <v>2461.52</v>
      </c>
      <c r="Y1222" s="223" t="str">
        <f>'[4]Development - i'!E1221</f>
        <v>Supplying and fixing of Galvalume sheet roofing  0.47mm thick</v>
      </c>
      <c r="Z1222" s="223" t="str">
        <f t="shared" si="65"/>
        <v>-----------------------</v>
      </c>
    </row>
    <row r="1223" spans="1:26" ht="123.75" customHeight="1">
      <c r="A1223" s="259"/>
      <c r="B1223" s="450" t="s">
        <v>1621</v>
      </c>
      <c r="E1223" s="254" t="s">
        <v>1621</v>
      </c>
      <c r="F1223" s="254" t="s">
        <v>1622</v>
      </c>
      <c r="G1223" s="298">
        <f>[3]Data!K4102</f>
        <v>84.88</v>
      </c>
      <c r="H1223" s="298" t="s">
        <v>40</v>
      </c>
      <c r="I1223" s="446"/>
      <c r="J1223" s="433"/>
      <c r="K1223" s="285"/>
      <c r="L1223" s="268"/>
      <c r="M1223" s="240"/>
      <c r="N1223" s="447"/>
      <c r="O1223" s="270"/>
      <c r="P1223" s="447"/>
      <c r="Q1223" s="270"/>
      <c r="R1223" s="447"/>
      <c r="S1223" s="270"/>
      <c r="T1223" s="268"/>
      <c r="U1223" s="271"/>
      <c r="V1223" s="233">
        <f>'[3]Precast Compound wall '!H412</f>
        <v>509.3</v>
      </c>
      <c r="W1223" s="233">
        <f t="shared" si="66"/>
        <v>444618.9</v>
      </c>
      <c r="Y1223" s="223" t="str">
        <f>'[4]Development - i'!E1222</f>
        <v>Supplying and fixing mild steel angles</v>
      </c>
      <c r="Z1223" s="223" t="str">
        <f t="shared" si="65"/>
        <v>-----------------------</v>
      </c>
    </row>
    <row r="1224" spans="1:26" s="239" customFormat="1" ht="108.75">
      <c r="E1224" s="254" t="s">
        <v>1623</v>
      </c>
      <c r="F1224" s="254" t="s">
        <v>1624</v>
      </c>
      <c r="G1224" s="298">
        <v>873</v>
      </c>
      <c r="H1224" s="298" t="s">
        <v>12</v>
      </c>
      <c r="I1224" s="446"/>
      <c r="J1224" s="433"/>
      <c r="K1224" s="285"/>
      <c r="L1224" s="268"/>
      <c r="M1224" s="240"/>
      <c r="N1224" s="447"/>
      <c r="O1224" s="270"/>
      <c r="P1224" s="447"/>
      <c r="Q1224" s="270"/>
      <c r="R1224" s="447"/>
      <c r="S1224" s="270"/>
      <c r="T1224" s="268"/>
      <c r="U1224" s="240"/>
      <c r="V1224" s="238"/>
      <c r="W1224" s="238">
        <f t="shared" si="66"/>
        <v>0</v>
      </c>
      <c r="Y1224" s="223" t="str">
        <f>'[4]Development - i'!E1223</f>
        <v xml:space="preserve">Supplying and fixing the 300mm dia (NP2 class) </v>
      </c>
      <c r="Z1224" s="223" t="str">
        <f t="shared" si="65"/>
        <v>-----------------------</v>
      </c>
    </row>
    <row r="1225" spans="1:26">
      <c r="A1225" s="259"/>
      <c r="E1225" s="254" t="s">
        <v>1625</v>
      </c>
      <c r="F1225" s="254">
        <v>0</v>
      </c>
      <c r="G1225" s="298">
        <f>'[3]cub data'!H122</f>
        <v>12279.187</v>
      </c>
      <c r="H1225" s="298" t="s">
        <v>26</v>
      </c>
      <c r="I1225" s="446"/>
      <c r="J1225" s="433"/>
      <c r="K1225" s="285"/>
      <c r="L1225" s="268"/>
      <c r="M1225" s="240"/>
      <c r="N1225" s="447"/>
      <c r="O1225" s="270"/>
      <c r="P1225" s="447"/>
      <c r="Q1225" s="270"/>
      <c r="R1225" s="447"/>
      <c r="S1225" s="270"/>
      <c r="T1225" s="268"/>
      <c r="U1225" s="271"/>
      <c r="V1225" s="233"/>
      <c r="W1225" s="233">
        <f t="shared" si="66"/>
        <v>0</v>
      </c>
      <c r="Y1225" s="223" t="str">
        <f>'[4]Development - i'!E1224</f>
        <v>Special Type Cup-board Shutter for higher officer</v>
      </c>
      <c r="Z1225" s="223" t="str">
        <f t="shared" si="65"/>
        <v>-----------------------</v>
      </c>
    </row>
    <row r="1226" spans="1:26" s="239" customFormat="1" ht="174">
      <c r="B1226" s="451" t="s">
        <v>2320</v>
      </c>
      <c r="E1226" s="254" t="s">
        <v>555</v>
      </c>
      <c r="F1226" s="254" t="s">
        <v>2321</v>
      </c>
      <c r="G1226" s="298">
        <v>31100</v>
      </c>
      <c r="H1226" s="298" t="s">
        <v>556</v>
      </c>
      <c r="I1226" s="446"/>
      <c r="J1226" s="433"/>
      <c r="K1226" s="285"/>
      <c r="L1226" s="268"/>
      <c r="M1226" s="240"/>
      <c r="N1226" s="447"/>
      <c r="O1226" s="270"/>
      <c r="P1226" s="447"/>
      <c r="Q1226" s="270"/>
      <c r="R1226" s="447"/>
      <c r="S1226" s="270"/>
      <c r="T1226" s="268"/>
      <c r="U1226" s="240"/>
      <c r="V1226" s="238"/>
      <c r="W1226" s="238">
        <f t="shared" si="66"/>
        <v>0</v>
      </c>
      <c r="Y1226" s="223" t="str">
        <f>'[4]Development - i'!E1225</f>
        <v>Supplying, testing and commission of 1.5  ton capacity Hi-wall counted single split type AC unit</v>
      </c>
      <c r="Z1226" s="223" t="str">
        <f t="shared" si="65"/>
        <v>-----------------------</v>
      </c>
    </row>
    <row r="1227" spans="1:26" ht="279" customHeight="1">
      <c r="A1227" s="259"/>
      <c r="B1227" s="451" t="s">
        <v>2322</v>
      </c>
      <c r="E1227" s="254" t="s">
        <v>1626</v>
      </c>
      <c r="F1227" s="254" t="s">
        <v>1627</v>
      </c>
      <c r="G1227" s="298">
        <v>41400</v>
      </c>
      <c r="H1227" s="298" t="s">
        <v>556</v>
      </c>
      <c r="I1227" s="446"/>
      <c r="J1227" s="433"/>
      <c r="K1227" s="285"/>
      <c r="L1227" s="268"/>
      <c r="M1227" s="240"/>
      <c r="N1227" s="447"/>
      <c r="O1227" s="270"/>
      <c r="P1227" s="447"/>
      <c r="Q1227" s="270"/>
      <c r="R1227" s="447"/>
      <c r="S1227" s="270"/>
      <c r="T1227" s="268"/>
      <c r="U1227" s="271"/>
      <c r="V1227" s="233">
        <f>'[3]Precast Compound wall '!H335</f>
        <v>1</v>
      </c>
      <c r="W1227" s="233">
        <f t="shared" si="66"/>
        <v>4160</v>
      </c>
      <c r="Y1227" s="223" t="str">
        <f>'[4]Development - i'!E1226</f>
        <v>Supplying, testing and commission of 2 ton capacity Hi-wall counted single split type AC unit</v>
      </c>
      <c r="Z1227" s="223" t="str">
        <f t="shared" si="65"/>
        <v>-----------------------</v>
      </c>
    </row>
    <row r="1228" spans="1:26" ht="65.25">
      <c r="A1228" s="259"/>
      <c r="B1228" s="452" t="s">
        <v>1628</v>
      </c>
      <c r="E1228" s="254" t="s">
        <v>1628</v>
      </c>
      <c r="F1228" s="254" t="s">
        <v>1629</v>
      </c>
      <c r="G1228" s="298">
        <v>4160</v>
      </c>
      <c r="H1228" s="298" t="s">
        <v>556</v>
      </c>
      <c r="I1228" s="446"/>
      <c r="J1228" s="433"/>
      <c r="K1228" s="285"/>
      <c r="L1228" s="268"/>
      <c r="M1228" s="240"/>
      <c r="N1228" s="447"/>
      <c r="O1228" s="270"/>
      <c r="P1228" s="447"/>
      <c r="Q1228" s="270"/>
      <c r="R1228" s="447"/>
      <c r="S1228" s="270"/>
      <c r="T1228" s="268"/>
      <c r="U1228" s="271"/>
      <c r="V1228" s="233">
        <f>'[3]Precast Compound wall '!H263</f>
        <v>1</v>
      </c>
      <c r="W1228" s="233">
        <f t="shared" si="66"/>
        <v>4625</v>
      </c>
      <c r="Y1228" s="223" t="str">
        <f>'[4]Development - i'!E1227</f>
        <v>Supply and installation of 4 KVA capacity Automatic  Voltage Stabilizer with time delay relay (V-Gurad Equivalent)</v>
      </c>
      <c r="Z1228" s="223" t="str">
        <f t="shared" si="65"/>
        <v>-----------------------</v>
      </c>
    </row>
    <row r="1229" spans="1:26" ht="65.25">
      <c r="A1229" s="259"/>
      <c r="B1229" s="452" t="s">
        <v>557</v>
      </c>
      <c r="E1229" s="254" t="s">
        <v>557</v>
      </c>
      <c r="F1229" s="254" t="s">
        <v>1630</v>
      </c>
      <c r="G1229" s="298">
        <v>4625</v>
      </c>
      <c r="H1229" s="298" t="s">
        <v>556</v>
      </c>
      <c r="I1229" s="446"/>
      <c r="J1229" s="433"/>
      <c r="K1229" s="285"/>
      <c r="L1229" s="268"/>
      <c r="M1229" s="240"/>
      <c r="N1229" s="447"/>
      <c r="O1229" s="270"/>
      <c r="P1229" s="447"/>
      <c r="Q1229" s="270"/>
      <c r="R1229" s="447"/>
      <c r="S1229" s="270"/>
      <c r="T1229" s="268"/>
      <c r="U1229" s="271"/>
      <c r="V1229" s="233">
        <f>'[3]Precast Compound wall '!H341</f>
        <v>1</v>
      </c>
      <c r="W1229" s="233">
        <f t="shared" si="66"/>
        <v>880</v>
      </c>
      <c r="Y1229" s="223" t="str">
        <f>'[4]Development - i'!E1228</f>
        <v>Supply and installation of 5 KVA capacity Automatic  Voltage Stabilizer with time delay relay (V-Gurad Equivalent)</v>
      </c>
      <c r="Z1229" s="223" t="str">
        <f t="shared" si="65"/>
        <v>-----------------------</v>
      </c>
    </row>
    <row r="1230" spans="1:26" ht="73.5" customHeight="1">
      <c r="A1230" s="259"/>
      <c r="B1230" s="452" t="s">
        <v>558</v>
      </c>
      <c r="E1230" s="254" t="s">
        <v>558</v>
      </c>
      <c r="F1230" s="254" t="s">
        <v>1631</v>
      </c>
      <c r="G1230" s="298">
        <v>880</v>
      </c>
      <c r="H1230" s="298" t="s">
        <v>556</v>
      </c>
      <c r="I1230" s="446"/>
      <c r="J1230" s="433"/>
      <c r="K1230" s="285"/>
      <c r="L1230" s="268"/>
      <c r="M1230" s="240"/>
      <c r="N1230" s="447"/>
      <c r="O1230" s="270"/>
      <c r="P1230" s="447"/>
      <c r="Q1230" s="270"/>
      <c r="R1230" s="447"/>
      <c r="S1230" s="270"/>
      <c r="T1230" s="268"/>
      <c r="U1230" s="271"/>
      <c r="V1230" s="233">
        <f>'[3]Precast Compound wall '!H347</f>
        <v>1</v>
      </c>
      <c r="W1230" s="233">
        <f t="shared" si="66"/>
        <v>1020</v>
      </c>
      <c r="Y1230" s="223" t="str">
        <f>'[4]Development - i'!E1229</f>
        <v>Supply and laying of 5/8" and 3/8" copper pipe (Extra beyond 3 metres supplied with AC unit)</v>
      </c>
      <c r="Z1230" s="223" t="str">
        <f t="shared" si="65"/>
        <v>-----------------------</v>
      </c>
    </row>
    <row r="1231" spans="1:26" ht="76.5" customHeight="1">
      <c r="A1231" s="259"/>
      <c r="B1231" s="452" t="s">
        <v>559</v>
      </c>
      <c r="E1231" s="254" t="s">
        <v>559</v>
      </c>
      <c r="F1231" s="254" t="s">
        <v>1632</v>
      </c>
      <c r="G1231" s="298">
        <v>1020</v>
      </c>
      <c r="H1231" s="298" t="s">
        <v>556</v>
      </c>
      <c r="I1231" s="446"/>
      <c r="J1231" s="433"/>
      <c r="K1231" s="285"/>
      <c r="L1231" s="268"/>
      <c r="M1231" s="240"/>
      <c r="N1231" s="447"/>
      <c r="O1231" s="270"/>
      <c r="P1231" s="447"/>
      <c r="Q1231" s="270"/>
      <c r="R1231" s="447"/>
      <c r="S1231" s="270"/>
      <c r="T1231" s="268"/>
      <c r="U1231" s="271"/>
      <c r="V1231" s="233">
        <f>'[3]Precast Compound wall '!H353</f>
        <v>1</v>
      </c>
      <c r="W1231" s="233">
        <f t="shared" si="66"/>
        <v>6710</v>
      </c>
      <c r="Y1231" s="223" t="str">
        <f>'[4]Development - i'!E1230</f>
        <v>Supply and fixing of MS stand for fixing outdoor unit</v>
      </c>
      <c r="Z1231" s="223" t="str">
        <f t="shared" si="65"/>
        <v>-----------------------</v>
      </c>
    </row>
    <row r="1232" spans="1:26" ht="87">
      <c r="A1232" s="259"/>
      <c r="E1232" s="254" t="s">
        <v>1633</v>
      </c>
      <c r="F1232" s="254" t="s">
        <v>1634</v>
      </c>
      <c r="G1232" s="298">
        <v>6710</v>
      </c>
      <c r="H1232" s="298" t="s">
        <v>556</v>
      </c>
      <c r="I1232" s="446"/>
      <c r="J1232" s="433"/>
      <c r="K1232" s="285"/>
      <c r="L1232" s="268"/>
      <c r="M1232" s="240"/>
      <c r="N1232" s="447"/>
      <c r="O1232" s="270"/>
      <c r="P1232" s="447"/>
      <c r="Q1232" s="270"/>
      <c r="R1232" s="447"/>
      <c r="S1232" s="270"/>
      <c r="T1232" s="268"/>
      <c r="U1232" s="271"/>
      <c r="V1232" s="233">
        <f>'[3]Precast Compound wall '!H269</f>
        <v>1</v>
      </c>
      <c r="W1232" s="233">
        <f t="shared" si="66"/>
        <v>1515</v>
      </c>
      <c r="Y1232" s="223" t="str">
        <f>'[4]Development - i'!E1231</f>
        <v>WATER HEATER WITH ISI MARK 25 Liter</v>
      </c>
      <c r="Z1232" s="223" t="str">
        <f t="shared" si="65"/>
        <v>-----------------------</v>
      </c>
    </row>
    <row r="1233" spans="1:26" ht="87">
      <c r="A1233" s="259"/>
      <c r="E1233" s="254" t="s">
        <v>1635</v>
      </c>
      <c r="F1233" s="254" t="s">
        <v>1636</v>
      </c>
      <c r="G1233" s="298">
        <v>1515</v>
      </c>
      <c r="H1233" s="298" t="s">
        <v>2222</v>
      </c>
      <c r="I1233" s="446"/>
      <c r="J1233" s="433"/>
      <c r="K1233" s="285"/>
      <c r="L1233" s="268"/>
      <c r="M1233" s="240"/>
      <c r="N1233" s="447"/>
      <c r="O1233" s="270"/>
      <c r="P1233" s="447"/>
      <c r="Q1233" s="270"/>
      <c r="R1233" s="447"/>
      <c r="S1233" s="270"/>
      <c r="T1233" s="268"/>
      <c r="U1233" s="271"/>
      <c r="V1233" s="233">
        <f>'[3]Precast Compound wall '!H281</f>
        <v>2</v>
      </c>
      <c r="W1233" s="233">
        <f t="shared" si="66"/>
        <v>2716</v>
      </c>
      <c r="Y1233" s="223" t="str">
        <f>'[4]Development - i'!E1232</f>
        <v>SS Heavy Duty Long Body Tap 15mm</v>
      </c>
      <c r="Z1233" s="223" t="str">
        <f t="shared" si="65"/>
        <v>-----------------------</v>
      </c>
    </row>
    <row r="1234" spans="1:26" ht="43.5">
      <c r="A1234" s="259"/>
      <c r="E1234" s="254" t="s">
        <v>1637</v>
      </c>
      <c r="F1234" s="254" t="s">
        <v>1638</v>
      </c>
      <c r="G1234" s="298">
        <v>1358</v>
      </c>
      <c r="H1234" s="298" t="s">
        <v>2222</v>
      </c>
      <c r="I1234" s="446"/>
      <c r="J1234" s="433"/>
      <c r="K1234" s="285"/>
      <c r="L1234" s="268"/>
      <c r="M1234" s="240"/>
      <c r="N1234" s="447"/>
      <c r="O1234" s="270"/>
      <c r="P1234" s="447"/>
      <c r="Q1234" s="270"/>
      <c r="R1234" s="447"/>
      <c r="S1234" s="270"/>
      <c r="T1234" s="268"/>
      <c r="U1234" s="271"/>
      <c r="V1234" s="233">
        <f>'[3]Precast Compound wall '!H311</f>
        <v>3</v>
      </c>
      <c r="W1234" s="233">
        <f t="shared" si="66"/>
        <v>6600</v>
      </c>
      <c r="Y1234" s="223" t="str">
        <f>'[4]Development - i'!E1233</f>
        <v>18W LED 3000K Square Type Recessed Fitting with LED(PWD SR 20-21  P114  )</v>
      </c>
      <c r="Z1234" s="223" t="str">
        <f t="shared" si="65"/>
        <v>ERRR</v>
      </c>
    </row>
    <row r="1235" spans="1:26" ht="87">
      <c r="A1235" s="259"/>
      <c r="E1235" s="254" t="s">
        <v>1639</v>
      </c>
      <c r="F1235" s="254" t="s">
        <v>1640</v>
      </c>
      <c r="G1235" s="298">
        <v>2200</v>
      </c>
      <c r="H1235" s="298" t="s">
        <v>2222</v>
      </c>
      <c r="I1235" s="446"/>
      <c r="J1235" s="433"/>
      <c r="K1235" s="285"/>
      <c r="L1235" s="268"/>
      <c r="M1235" s="240"/>
      <c r="N1235" s="447"/>
      <c r="O1235" s="270"/>
      <c r="P1235" s="447"/>
      <c r="Q1235" s="270"/>
      <c r="R1235" s="447"/>
      <c r="S1235" s="270"/>
      <c r="T1235" s="268"/>
      <c r="U1235" s="271"/>
      <c r="V1235" s="233">
        <f>'[3]Precast Compound wall '!H317</f>
        <v>1</v>
      </c>
      <c r="W1235" s="233">
        <f t="shared" si="66"/>
        <v>4800</v>
      </c>
      <c r="Y1235" s="223" t="str">
        <f>'[4]Development - i'!E1234</f>
        <v>Wall Mounting Fan</v>
      </c>
      <c r="Z1235" s="223" t="str">
        <f t="shared" si="65"/>
        <v>-----------------------</v>
      </c>
    </row>
    <row r="1236" spans="1:26" ht="183.75" customHeight="1">
      <c r="A1236" s="259"/>
      <c r="E1236" s="254" t="s">
        <v>1641</v>
      </c>
      <c r="F1236" s="254" t="s">
        <v>1642</v>
      </c>
      <c r="G1236" s="298">
        <v>4800</v>
      </c>
      <c r="H1236" s="298" t="s">
        <v>2222</v>
      </c>
      <c r="I1236" s="446"/>
      <c r="J1236" s="433"/>
      <c r="K1236" s="285"/>
      <c r="L1236" s="268"/>
      <c r="M1236" s="240"/>
      <c r="N1236" s="447"/>
      <c r="O1236" s="270"/>
      <c r="P1236" s="447"/>
      <c r="Q1236" s="270"/>
      <c r="R1236" s="447"/>
      <c r="S1236" s="270"/>
      <c r="T1236" s="268"/>
      <c r="U1236" s="271"/>
      <c r="V1236" s="233">
        <f>'[3]Precast Compound wall '!H329</f>
        <v>4</v>
      </c>
      <c r="W1236" s="233">
        <f t="shared" si="66"/>
        <v>15468</v>
      </c>
      <c r="Y1236" s="223" t="str">
        <f>'[4]Development - i'!E1235</f>
        <v>Supplying of 20 feet street light pole</v>
      </c>
      <c r="Z1236" s="223" t="str">
        <f t="shared" si="65"/>
        <v>-----------------------</v>
      </c>
    </row>
    <row r="1237" spans="1:26" ht="183.75" customHeight="1">
      <c r="A1237" s="259"/>
      <c r="E1237" s="254" t="s">
        <v>1643</v>
      </c>
      <c r="F1237" s="254" t="s">
        <v>1644</v>
      </c>
      <c r="G1237" s="298">
        <v>3867</v>
      </c>
      <c r="H1237" s="298" t="s">
        <v>556</v>
      </c>
      <c r="I1237" s="446"/>
      <c r="J1237" s="433"/>
      <c r="K1237" s="285"/>
      <c r="L1237" s="268"/>
      <c r="M1237" s="240"/>
      <c r="N1237" s="447"/>
      <c r="O1237" s="270"/>
      <c r="P1237" s="447"/>
      <c r="Q1237" s="270"/>
      <c r="R1237" s="447"/>
      <c r="S1237" s="270"/>
      <c r="T1237" s="268"/>
      <c r="U1237" s="271"/>
      <c r="V1237" s="233"/>
      <c r="W1237" s="233"/>
      <c r="Y1237" s="223" t="str">
        <f>'[4]Development - i'!E1236</f>
        <v>Supply and Fixing of Sigle phase DB 16A / way with 16 Amps DP Switch of 500v with metal clad  with F&amp; Non suitable TW board with PWD Earthing.( SD- 145 -20-21 )</v>
      </c>
      <c r="Z1237" s="223" t="str">
        <f t="shared" si="65"/>
        <v>ERRR</v>
      </c>
    </row>
    <row r="1238" spans="1:26" ht="183.75" customHeight="1">
      <c r="A1238" s="259"/>
      <c r="E1238" s="254" t="s">
        <v>1645</v>
      </c>
      <c r="F1238" s="254" t="s">
        <v>1646</v>
      </c>
      <c r="G1238" s="298">
        <v>1500</v>
      </c>
      <c r="H1238" s="298" t="s">
        <v>12</v>
      </c>
      <c r="I1238" s="446"/>
      <c r="J1238" s="433"/>
      <c r="K1238" s="285"/>
      <c r="L1238" s="268"/>
      <c r="M1238" s="240"/>
      <c r="N1238" s="447"/>
      <c r="O1238" s="270"/>
      <c r="P1238" s="447"/>
      <c r="Q1238" s="270"/>
      <c r="R1238" s="447"/>
      <c r="S1238" s="270"/>
      <c r="T1238" s="268"/>
      <c r="U1238" s="271"/>
      <c r="V1238" s="233"/>
      <c r="W1238" s="233"/>
      <c r="Y1238" s="223" t="str">
        <f>'[4]Development - i'!E1237</f>
        <v xml:space="preserve">Supplying and fixing of SS Rod including Screen </v>
      </c>
      <c r="Z1238" s="223" t="str">
        <f t="shared" si="65"/>
        <v>-----------------------</v>
      </c>
    </row>
    <row r="1239" spans="1:26" ht="183.75" customHeight="1">
      <c r="A1239" s="259"/>
      <c r="E1239" s="254" t="s">
        <v>1647</v>
      </c>
      <c r="F1239" s="254" t="s">
        <v>1648</v>
      </c>
      <c r="G1239" s="298">
        <v>4500</v>
      </c>
      <c r="H1239" s="298"/>
      <c r="I1239" s="446"/>
      <c r="J1239" s="433"/>
      <c r="K1239" s="285"/>
      <c r="L1239" s="268"/>
      <c r="M1239" s="240"/>
      <c r="N1239" s="447"/>
      <c r="O1239" s="270"/>
      <c r="P1239" s="447"/>
      <c r="Q1239" s="270"/>
      <c r="R1239" s="447"/>
      <c r="S1239" s="270"/>
      <c r="T1239" s="268"/>
      <c r="U1239" s="271"/>
      <c r="V1239" s="233"/>
      <c r="W1239" s="233">
        <f>ROUND(G1240,2)*ROUND(V1239,2)</f>
        <v>0</v>
      </c>
      <c r="Y1239" s="223" t="str">
        <f>'[4]Development - i'!E1238</f>
        <v xml:space="preserve">AC Repair and Refilling Gas </v>
      </c>
      <c r="Z1239" s="223" t="str">
        <f t="shared" si="65"/>
        <v>-----------------------</v>
      </c>
    </row>
    <row r="1240" spans="1:26" ht="183.75" customHeight="1">
      <c r="A1240" s="259"/>
      <c r="E1240" s="254" t="s">
        <v>1649</v>
      </c>
      <c r="F1240" s="254" t="s">
        <v>1650</v>
      </c>
      <c r="G1240" s="298">
        <v>800</v>
      </c>
      <c r="H1240" s="298" t="s">
        <v>2222</v>
      </c>
      <c r="I1240" s="446"/>
      <c r="J1240" s="433"/>
      <c r="K1240" s="285"/>
      <c r="L1240" s="268"/>
      <c r="M1240" s="240"/>
      <c r="N1240" s="447"/>
      <c r="O1240" s="270"/>
      <c r="P1240" s="447"/>
      <c r="Q1240" s="270"/>
      <c r="R1240" s="447"/>
      <c r="S1240" s="270"/>
      <c r="T1240" s="268"/>
      <c r="U1240" s="271"/>
      <c r="V1240" s="233"/>
      <c r="W1240" s="233"/>
      <c r="Y1240" s="223" t="str">
        <f>'[4]Development - i'!E1239</f>
        <v xml:space="preserve">Reconditioning the AC Unit </v>
      </c>
      <c r="Z1240" s="223" t="str">
        <f t="shared" si="65"/>
        <v>-----------------------</v>
      </c>
    </row>
    <row r="1241" spans="1:26" ht="51.75" customHeight="1">
      <c r="A1241" s="259"/>
      <c r="E1241" s="254" t="s">
        <v>1651</v>
      </c>
      <c r="F1241" s="254">
        <v>0</v>
      </c>
      <c r="G1241" s="298"/>
      <c r="H1241" s="298"/>
      <c r="I1241" s="446"/>
      <c r="J1241" s="433"/>
      <c r="K1241" s="285"/>
      <c r="L1241" s="268"/>
      <c r="M1241" s="240"/>
      <c r="N1241" s="447"/>
      <c r="O1241" s="270"/>
      <c r="P1241" s="447"/>
      <c r="Q1241" s="270"/>
      <c r="R1241" s="447"/>
      <c r="S1241" s="270"/>
      <c r="T1241" s="268"/>
      <c r="U1241" s="271"/>
      <c r="V1241" s="233"/>
      <c r="W1241" s="233"/>
      <c r="Y1241" s="223" t="str">
        <f>'[4]Development - i'!E1240</f>
        <v>Below ground level</v>
      </c>
      <c r="Z1241" s="223" t="str">
        <f t="shared" si="65"/>
        <v>-----------------------</v>
      </c>
    </row>
    <row r="1242" spans="1:26" ht="134.25" customHeight="1">
      <c r="A1242" s="259"/>
      <c r="E1242" s="254" t="s">
        <v>1652</v>
      </c>
      <c r="F1242" s="254" t="s">
        <v>1345</v>
      </c>
      <c r="G1242" s="298">
        <f>'[3]water pipe data'!F265</f>
        <v>267.97000000000003</v>
      </c>
      <c r="H1242" s="298"/>
      <c r="I1242" s="446"/>
      <c r="J1242" s="433"/>
      <c r="K1242" s="285"/>
      <c r="L1242" s="268"/>
      <c r="M1242" s="240"/>
      <c r="N1242" s="447"/>
      <c r="O1242" s="270"/>
      <c r="P1242" s="447"/>
      <c r="Q1242" s="270"/>
      <c r="R1242" s="447"/>
      <c r="S1242" s="270"/>
      <c r="T1242" s="268"/>
      <c r="U1242" s="271"/>
      <c r="V1242" s="233"/>
      <c r="W1242" s="233"/>
      <c r="Y1242" s="223" t="str">
        <f>'[4]Development - i'!E1241</f>
        <v>a. 32 mm dia  Below Ground level</v>
      </c>
      <c r="Z1242" s="223" t="str">
        <f t="shared" si="65"/>
        <v>-----------------------</v>
      </c>
    </row>
    <row r="1243" spans="1:26" ht="134.25" customHeight="1">
      <c r="A1243" s="259"/>
      <c r="E1243" s="254" t="s">
        <v>2323</v>
      </c>
      <c r="F1243" s="254" t="s">
        <v>1346</v>
      </c>
      <c r="G1243" s="298">
        <f>'[3]water pipe data'!F253</f>
        <v>241.07</v>
      </c>
      <c r="H1243" s="298"/>
      <c r="I1243" s="446"/>
      <c r="J1243" s="433"/>
      <c r="K1243" s="285"/>
      <c r="L1243" s="268"/>
      <c r="M1243" s="240"/>
      <c r="N1243" s="447"/>
      <c r="O1243" s="270"/>
      <c r="P1243" s="447"/>
      <c r="Q1243" s="270"/>
      <c r="R1243" s="447"/>
      <c r="S1243" s="270"/>
      <c r="T1243" s="268"/>
      <c r="U1243" s="271"/>
      <c r="V1243" s="233"/>
      <c r="W1243" s="233"/>
      <c r="Y1243" s="223" t="str">
        <f>'[4]Development - i'!E1242</f>
        <v>b. 25 mm dia   Below Ground level</v>
      </c>
      <c r="Z1243" s="223" t="str">
        <f t="shared" si="65"/>
        <v>-----------------------</v>
      </c>
    </row>
    <row r="1244" spans="1:26" ht="134.25" customHeight="1">
      <c r="A1244" s="259"/>
      <c r="E1244" s="254" t="s">
        <v>1653</v>
      </c>
      <c r="F1244" s="254" t="s">
        <v>1348</v>
      </c>
      <c r="G1244" s="298">
        <f>'[3]water pipe data'!F241</f>
        <v>217.57</v>
      </c>
      <c r="H1244" s="298"/>
      <c r="I1244" s="446"/>
      <c r="J1244" s="433"/>
      <c r="K1244" s="285"/>
      <c r="L1244" s="268"/>
      <c r="M1244" s="240"/>
      <c r="N1244" s="447"/>
      <c r="O1244" s="270"/>
      <c r="P1244" s="447"/>
      <c r="Q1244" s="270"/>
      <c r="R1244" s="447"/>
      <c r="S1244" s="270"/>
      <c r="T1244" s="268"/>
      <c r="U1244" s="271"/>
      <c r="V1244" s="233"/>
      <c r="W1244" s="233"/>
      <c r="Y1244" s="223" t="str">
        <f>'[4]Development - i'!E1243</f>
        <v>c. 20mm Below Ground level</v>
      </c>
      <c r="Z1244" s="223" t="str">
        <f t="shared" si="65"/>
        <v>-----------------------</v>
      </c>
    </row>
    <row r="1245" spans="1:26" ht="134.25" customHeight="1">
      <c r="A1245" s="259"/>
      <c r="E1245" s="254" t="s">
        <v>2324</v>
      </c>
      <c r="F1245" s="254" t="s">
        <v>1654</v>
      </c>
      <c r="G1245" s="298">
        <v>265</v>
      </c>
      <c r="H1245" s="298" t="s">
        <v>556</v>
      </c>
      <c r="I1245" s="446"/>
      <c r="J1245" s="433"/>
      <c r="K1245" s="285"/>
      <c r="L1245" s="268"/>
      <c r="M1245" s="240"/>
      <c r="N1245" s="447"/>
      <c r="O1245" s="270"/>
      <c r="P1245" s="447"/>
      <c r="Q1245" s="270"/>
      <c r="R1245" s="447"/>
      <c r="S1245" s="270"/>
      <c r="T1245" s="268"/>
      <c r="U1245" s="271"/>
      <c r="V1245" s="233"/>
      <c r="W1245" s="233"/>
      <c r="Y1245" s="223" t="str">
        <f>'[4]Development - i'!E1244</f>
        <v xml:space="preserve">Supplying and fixing of CP Pillar cock  including cost of all materials and all labour charges etc complete </v>
      </c>
      <c r="Z1245" s="223" t="str">
        <f t="shared" si="65"/>
        <v>-----------------------</v>
      </c>
    </row>
    <row r="1246" spans="1:26" ht="134.25" customHeight="1">
      <c r="A1246" s="259"/>
      <c r="E1246" s="254" t="s">
        <v>2325</v>
      </c>
      <c r="F1246" s="254" t="s">
        <v>1655</v>
      </c>
      <c r="G1246" s="298">
        <v>1400</v>
      </c>
      <c r="H1246" s="298" t="s">
        <v>556</v>
      </c>
      <c r="I1246" s="446"/>
      <c r="J1246" s="433"/>
      <c r="K1246" s="285"/>
      <c r="L1246" s="268"/>
      <c r="M1246" s="240"/>
      <c r="N1246" s="447"/>
      <c r="O1246" s="270"/>
      <c r="P1246" s="447"/>
      <c r="Q1246" s="270"/>
      <c r="R1246" s="447"/>
      <c r="S1246" s="270"/>
      <c r="T1246" s="268"/>
      <c r="U1246" s="271"/>
      <c r="V1246" s="233"/>
      <c r="W1246" s="233"/>
      <c r="Y1246" s="223" t="str">
        <f>'[4]Development - i'!E1245</f>
        <v xml:space="preserve">Supplying and fixing of Angular Stop Cock - 2 way  including cost of all materials and all labour charges etc complete </v>
      </c>
      <c r="Z1246" s="223" t="str">
        <f t="shared" si="65"/>
        <v>-----------------------</v>
      </c>
    </row>
    <row r="1247" spans="1:26" ht="134.25" customHeight="1">
      <c r="A1247" s="259"/>
      <c r="E1247" s="254" t="s">
        <v>1656</v>
      </c>
      <c r="F1247" s="254" t="s">
        <v>1657</v>
      </c>
      <c r="G1247" s="298">
        <v>4245</v>
      </c>
      <c r="H1247" s="298" t="s">
        <v>556</v>
      </c>
      <c r="I1247" s="446"/>
      <c r="J1247" s="433"/>
      <c r="K1247" s="285"/>
      <c r="L1247" s="268"/>
      <c r="M1247" s="240"/>
      <c r="N1247" s="447"/>
      <c r="O1247" s="270"/>
      <c r="P1247" s="447"/>
      <c r="Q1247" s="270"/>
      <c r="R1247" s="447"/>
      <c r="S1247" s="270"/>
      <c r="T1247" s="268"/>
      <c r="U1247" s="271"/>
      <c r="V1247" s="233"/>
      <c r="W1247" s="233"/>
      <c r="Y1247" s="223" t="str">
        <f>'[4]Development - i'!E1246</f>
        <v xml:space="preserve">Supply and fixing of shower arm with shower rose </v>
      </c>
      <c r="Z1247" s="223" t="str">
        <f t="shared" si="65"/>
        <v>-----------------------</v>
      </c>
    </row>
    <row r="1248" spans="1:26" ht="183.75" customHeight="1">
      <c r="A1248" s="259"/>
      <c r="E1248" s="254"/>
      <c r="F1248" s="254">
        <v>0</v>
      </c>
      <c r="G1248" s="298"/>
      <c r="H1248" s="298"/>
      <c r="I1248" s="446"/>
      <c r="J1248" s="433"/>
      <c r="K1248" s="285"/>
      <c r="L1248" s="268"/>
      <c r="M1248" s="240"/>
      <c r="N1248" s="447"/>
      <c r="O1248" s="270"/>
      <c r="P1248" s="447"/>
      <c r="Q1248" s="270"/>
      <c r="R1248" s="447"/>
      <c r="S1248" s="270"/>
      <c r="T1248" s="268"/>
      <c r="U1248" s="271"/>
      <c r="V1248" s="233"/>
      <c r="W1248" s="233"/>
      <c r="Y1248" s="223">
        <f>'[4]Development - i'!E1247</f>
        <v>0</v>
      </c>
      <c r="Z1248" s="223" t="str">
        <f t="shared" si="65"/>
        <v>-----------------------</v>
      </c>
    </row>
    <row r="1249" spans="1:26" ht="183.75" customHeight="1">
      <c r="A1249" s="259"/>
      <c r="E1249" s="254" t="s">
        <v>2326</v>
      </c>
      <c r="F1249" s="254" t="s">
        <v>1658</v>
      </c>
      <c r="G1249" s="298">
        <v>2020</v>
      </c>
      <c r="H1249" s="298" t="s">
        <v>556</v>
      </c>
      <c r="I1249" s="446"/>
      <c r="J1249" s="433"/>
      <c r="K1249" s="285"/>
      <c r="L1249" s="268"/>
      <c r="M1249" s="240"/>
      <c r="N1249" s="447"/>
      <c r="O1249" s="270"/>
      <c r="P1249" s="447"/>
      <c r="Q1249" s="270"/>
      <c r="R1249" s="447"/>
      <c r="S1249" s="270"/>
      <c r="T1249" s="268"/>
      <c r="U1249" s="271"/>
      <c r="V1249" s="233"/>
      <c r="W1249" s="233"/>
      <c r="Y1249" s="223" t="str">
        <f>'[4]Development - i'!E1248</f>
        <v xml:space="preserve">Supply and fixing of Health faucet approved quality with ISI mark including cost of all materials and all labour charges etc complete </v>
      </c>
      <c r="Z1249" s="223" t="str">
        <f t="shared" si="65"/>
        <v>-----------------------</v>
      </c>
    </row>
    <row r="1250" spans="1:26" ht="183.75" customHeight="1">
      <c r="A1250" s="259"/>
      <c r="E1250" s="254" t="s">
        <v>1659</v>
      </c>
      <c r="F1250" s="254" t="s">
        <v>1660</v>
      </c>
      <c r="G1250" s="298">
        <v>3500</v>
      </c>
      <c r="H1250" s="298" t="s">
        <v>2222</v>
      </c>
      <c r="I1250" s="446"/>
      <c r="J1250" s="433"/>
      <c r="K1250" s="285"/>
      <c r="L1250" s="268"/>
      <c r="M1250" s="240"/>
      <c r="N1250" s="447"/>
      <c r="O1250" s="270"/>
      <c r="P1250" s="447"/>
      <c r="Q1250" s="270"/>
      <c r="R1250" s="447"/>
      <c r="S1250" s="270"/>
      <c r="T1250" s="268"/>
      <c r="U1250" s="271"/>
      <c r="V1250" s="233">
        <f>'[3]Precast Compound wall '!H275</f>
        <v>5</v>
      </c>
      <c r="W1250" s="233">
        <f>ROUND(G1251,2)*ROUND(V1250,2)</f>
        <v>65030</v>
      </c>
      <c r="Y1250" s="223" t="str">
        <f>'[4]Development - i'!E1249</f>
        <v>S &amp; F SS 3 pin Coat stand</v>
      </c>
      <c r="Z1250" s="223" t="str">
        <f t="shared" si="65"/>
        <v>-----------------------</v>
      </c>
    </row>
    <row r="1251" spans="1:26" ht="183.75" customHeight="1">
      <c r="A1251" s="259"/>
      <c r="E1251" s="254" t="s">
        <v>1661</v>
      </c>
      <c r="F1251" s="254" t="s">
        <v>1662</v>
      </c>
      <c r="G1251" s="298">
        <v>13006</v>
      </c>
      <c r="H1251" s="298" t="s">
        <v>2222</v>
      </c>
      <c r="I1251" s="446"/>
      <c r="J1251" s="433"/>
      <c r="K1251" s="285"/>
      <c r="L1251" s="268"/>
      <c r="M1251" s="240"/>
      <c r="N1251" s="447"/>
      <c r="O1251" s="270"/>
      <c r="P1251" s="447"/>
      <c r="Q1251" s="270"/>
      <c r="R1251" s="447"/>
      <c r="S1251" s="270"/>
      <c r="T1251" s="268"/>
      <c r="U1251" s="271"/>
      <c r="V1251" s="233"/>
      <c r="W1251" s="233"/>
      <c r="Y1251" s="223" t="str">
        <f>'[4]Development - i'!E1250</f>
        <v>Panel board -2 HP</v>
      </c>
      <c r="Z1251" s="223" t="str">
        <f t="shared" si="65"/>
        <v>-----------------------</v>
      </c>
    </row>
    <row r="1252" spans="1:26" ht="183.75" customHeight="1">
      <c r="A1252" s="259"/>
      <c r="E1252" s="254" t="s">
        <v>1663</v>
      </c>
      <c r="F1252" s="254" t="s">
        <v>1620</v>
      </c>
      <c r="G1252" s="298">
        <f>[3]Data!K3727</f>
        <v>838.89</v>
      </c>
      <c r="H1252" s="298"/>
      <c r="I1252" s="446"/>
      <c r="J1252" s="433"/>
      <c r="K1252" s="285"/>
      <c r="L1252" s="268"/>
      <c r="M1252" s="240"/>
      <c r="N1252" s="447"/>
      <c r="O1252" s="270"/>
      <c r="P1252" s="447"/>
      <c r="Q1252" s="270"/>
      <c r="R1252" s="447"/>
      <c r="S1252" s="270"/>
      <c r="T1252" s="268"/>
      <c r="U1252" s="271"/>
      <c r="V1252" s="233"/>
      <c r="W1252" s="233"/>
      <c r="Y1252" s="223" t="str">
        <f>'[4]Development - i'!E1251</f>
        <v>Supplying and fixing of G.I roofing sheet with etc. all complete</v>
      </c>
      <c r="Z1252" s="223" t="str">
        <f t="shared" si="65"/>
        <v>-----------------------</v>
      </c>
    </row>
    <row r="1253" spans="1:26" ht="183.75" customHeight="1">
      <c r="A1253" s="259"/>
      <c r="E1253" s="254" t="s">
        <v>1664</v>
      </c>
      <c r="F1253" s="254" t="s">
        <v>1665</v>
      </c>
      <c r="G1253" s="298">
        <f>[3]Data!K4102</f>
        <v>84.88</v>
      </c>
      <c r="H1253" s="298"/>
      <c r="I1253" s="446"/>
      <c r="J1253" s="433"/>
      <c r="K1253" s="285"/>
      <c r="L1253" s="268"/>
      <c r="M1253" s="240"/>
      <c r="N1253" s="447"/>
      <c r="O1253" s="270"/>
      <c r="P1253" s="447"/>
      <c r="Q1253" s="270"/>
      <c r="R1253" s="447"/>
      <c r="S1253" s="270"/>
      <c r="T1253" s="268"/>
      <c r="U1253" s="271"/>
      <c r="V1253" s="233"/>
      <c r="W1253" s="233"/>
      <c r="Y1253" s="223" t="str">
        <f>'[4]Development - i'!E1252</f>
        <v>Supplying and fixing mild steel angles for truss including cost of all materials and labour charges, etc all complete.</v>
      </c>
      <c r="Z1253" s="223" t="str">
        <f t="shared" si="65"/>
        <v>-----------------------</v>
      </c>
    </row>
    <row r="1254" spans="1:26" ht="183.75" customHeight="1">
      <c r="A1254" s="259"/>
      <c r="E1254" s="453"/>
      <c r="F1254" s="254">
        <v>0</v>
      </c>
      <c r="G1254" s="298"/>
      <c r="H1254" s="298"/>
      <c r="I1254" s="446"/>
      <c r="J1254" s="433"/>
      <c r="K1254" s="285"/>
      <c r="L1254" s="268"/>
      <c r="M1254" s="240"/>
      <c r="N1254" s="447"/>
      <c r="O1254" s="270"/>
      <c r="P1254" s="447"/>
      <c r="Q1254" s="270"/>
      <c r="R1254" s="447"/>
      <c r="S1254" s="270"/>
      <c r="T1254" s="268"/>
      <c r="U1254" s="271"/>
      <c r="V1254" s="233"/>
      <c r="W1254" s="233"/>
      <c r="Y1254" s="223" t="str">
        <f>'[4]Development - i'!E1253</f>
        <v>Suppling and laying granite wall cladding</v>
      </c>
      <c r="Z1254" s="223" t="str">
        <f t="shared" si="65"/>
        <v>ERRR</v>
      </c>
    </row>
    <row r="1255" spans="1:26">
      <c r="A1255" s="259"/>
      <c r="E1255" s="453"/>
      <c r="F1255" s="297"/>
      <c r="G1255" s="298"/>
      <c r="H1255" s="454"/>
      <c r="I1255" s="446"/>
      <c r="J1255" s="433"/>
      <c r="K1255" s="285"/>
      <c r="L1255" s="268"/>
      <c r="M1255" s="240"/>
      <c r="N1255" s="447"/>
      <c r="O1255" s="270"/>
      <c r="P1255" s="447"/>
      <c r="Q1255" s="270"/>
      <c r="R1255" s="447"/>
      <c r="S1255" s="270"/>
      <c r="T1255" s="268"/>
      <c r="U1255" s="271"/>
      <c r="V1255" s="233"/>
      <c r="W1255" s="233"/>
      <c r="Y1255" s="223" t="str">
        <f>'[4]Development - i'!E1254</f>
        <v xml:space="preserve">supplying and fixing of wall cladding Top granite beeding </v>
      </c>
      <c r="Z1255" s="223" t="str">
        <f t="shared" si="65"/>
        <v>ERRR</v>
      </c>
    </row>
    <row r="1256" spans="1:26">
      <c r="A1256" s="259"/>
      <c r="E1256" s="453"/>
      <c r="F1256" s="297"/>
      <c r="G1256" s="298"/>
      <c r="H1256" s="454"/>
      <c r="I1256" s="446"/>
      <c r="J1256" s="433"/>
      <c r="K1256" s="285"/>
      <c r="L1256" s="268"/>
      <c r="M1256" s="240"/>
      <c r="N1256" s="447"/>
      <c r="O1256" s="270"/>
      <c r="P1256" s="447"/>
      <c r="Q1256" s="270"/>
      <c r="R1256" s="447"/>
      <c r="S1256" s="270"/>
      <c r="T1256" s="268"/>
      <c r="U1256" s="271"/>
      <c r="V1256" s="233"/>
      <c r="W1256" s="233"/>
      <c r="Y1256" s="223" t="str">
        <f>'[4]Development - i'!E1255</f>
        <v>Supplying &amp; Delivery for 6'x3' Full Teakwood Frame, T.W 5"x1.5" thick bar with top 12mm playwood with varnish Finishing etc., Complete.</v>
      </c>
      <c r="Z1256" s="223" t="str">
        <f t="shared" si="65"/>
        <v>ERRR</v>
      </c>
    </row>
    <row r="1257" spans="1:26">
      <c r="A1257" s="259"/>
      <c r="E1257" s="453"/>
      <c r="F1257" s="297"/>
      <c r="G1257" s="298"/>
      <c r="H1257" s="454"/>
      <c r="I1257" s="446"/>
      <c r="J1257" s="433"/>
      <c r="K1257" s="285"/>
      <c r="L1257" s="268"/>
      <c r="M1257" s="240"/>
      <c r="N1257" s="447"/>
      <c r="O1257" s="270"/>
      <c r="P1257" s="447"/>
      <c r="Q1257" s="270"/>
      <c r="R1257" s="447"/>
      <c r="S1257" s="270"/>
      <c r="T1257" s="268"/>
      <c r="U1257" s="271"/>
      <c r="V1257" s="233"/>
      <c r="W1257" s="233" t="e">
        <f>SUM(W5:W1250)</f>
        <v>#REF!</v>
      </c>
      <c r="Y1257" s="223" t="str">
        <f>'[4]Development - i'!E1256</f>
        <v>Supplying &amp; Delivery for 6'x3' high density foam mattress bed etc., Complete.</v>
      </c>
      <c r="Z1257" s="223" t="str">
        <f t="shared" si="65"/>
        <v>ERRR</v>
      </c>
    </row>
    <row r="1258" spans="1:26">
      <c r="A1258" s="259"/>
      <c r="E1258" s="453"/>
      <c r="F1258" s="455" t="s">
        <v>1666</v>
      </c>
      <c r="G1258" s="298"/>
      <c r="H1258" s="454"/>
      <c r="J1258" s="240"/>
      <c r="K1258" s="285"/>
      <c r="L1258" s="268"/>
      <c r="M1258" s="240"/>
      <c r="N1258" s="447"/>
      <c r="O1258" s="270"/>
      <c r="P1258" s="447"/>
      <c r="Q1258" s="270"/>
      <c r="R1258" s="447"/>
      <c r="S1258" s="270"/>
      <c r="T1258" s="268"/>
      <c r="U1258" s="271"/>
      <c r="V1258" s="233"/>
      <c r="W1258" s="260" t="e">
        <f>W1257*12%</f>
        <v>#REF!</v>
      </c>
      <c r="Y1258" s="223" t="str">
        <f>'[4]Development - i'!E1257</f>
        <v>Supplying &amp; Delivery for Size 3'x2'x2.5' study table (MDF) with revolving chair (1 set)  etc., Complete.</v>
      </c>
      <c r="Z1258" s="223" t="str">
        <f t="shared" si="65"/>
        <v>ERRR</v>
      </c>
    </row>
    <row r="1259" spans="1:26">
      <c r="A1259" s="259"/>
      <c r="E1259" s="453"/>
      <c r="F1259" s="456" t="s">
        <v>1667</v>
      </c>
      <c r="G1259" s="298"/>
      <c r="H1259" s="454"/>
      <c r="J1259" s="240"/>
      <c r="K1259" s="285"/>
      <c r="L1259" s="268"/>
      <c r="M1259" s="240"/>
      <c r="N1259" s="447"/>
      <c r="O1259" s="270"/>
      <c r="P1259" s="447"/>
      <c r="Q1259" s="240"/>
      <c r="R1259" s="447"/>
      <c r="S1259" s="270"/>
      <c r="T1259" s="268"/>
      <c r="U1259" s="271"/>
      <c r="V1259" s="233"/>
      <c r="W1259" s="261" t="e">
        <f>SUM(W1257:W1258)</f>
        <v>#REF!</v>
      </c>
      <c r="Y1259" s="223" t="str">
        <f>'[4]Development - i'!E1258</f>
        <v>Supplying &amp; Delivery for 4 Nos Perfo powder coat, 3 seater sofa block colour  etc., Complete.</v>
      </c>
      <c r="Z1259" s="223" t="str">
        <f t="shared" si="65"/>
        <v>ERRR</v>
      </c>
    </row>
    <row r="1260" spans="1:26">
      <c r="A1260" s="259"/>
      <c r="E1260" s="453"/>
      <c r="F1260" s="456" t="s">
        <v>1668</v>
      </c>
      <c r="G1260" s="298"/>
      <c r="H1260" s="454"/>
      <c r="J1260" s="240"/>
      <c r="K1260" s="285"/>
      <c r="L1260" s="268"/>
      <c r="M1260" s="240"/>
      <c r="N1260" s="447"/>
      <c r="O1260" s="270"/>
      <c r="P1260" s="447"/>
      <c r="Q1260" s="240"/>
      <c r="R1260" s="447"/>
      <c r="S1260" s="270"/>
      <c r="T1260" s="268"/>
      <c r="U1260" s="271"/>
      <c r="V1260" s="233"/>
      <c r="W1260" s="260" t="e">
        <f>W1259*1%</f>
        <v>#REF!</v>
      </c>
      <c r="Y1260" s="223" t="str">
        <f>'[4]Development - i'!E1259</f>
        <v xml:space="preserve">Supplying &amp; Delivery for 1 Nos Perfo powder coat, 2 seater sofa block colour  etc., Complete. </v>
      </c>
      <c r="Z1260" s="223" t="str">
        <f t="shared" si="65"/>
        <v>ERRR</v>
      </c>
    </row>
    <row r="1261" spans="1:26">
      <c r="A1261" s="259"/>
      <c r="E1261" s="453"/>
      <c r="F1261" s="456" t="s">
        <v>1669</v>
      </c>
      <c r="G1261" s="298"/>
      <c r="H1261" s="454"/>
      <c r="J1261" s="240"/>
      <c r="L1261" s="268"/>
      <c r="M1261" s="240"/>
      <c r="O1261" s="270"/>
      <c r="Q1261" s="240"/>
      <c r="S1261" s="270"/>
      <c r="T1261" s="268"/>
      <c r="U1261" s="271"/>
      <c r="V1261" s="233"/>
      <c r="W1261" s="260" t="e">
        <f>W1259*7.5%</f>
        <v>#REF!</v>
      </c>
      <c r="Y1261" s="223" t="str">
        <f>'[4]Development - i'!E1260</f>
        <v>Supplying &amp; Delivery for 1 Nos Perfo powder coat, 3 seater sofa block colour  etc., Complete.</v>
      </c>
      <c r="Z1261" s="223" t="str">
        <f t="shared" si="65"/>
        <v>ERRR</v>
      </c>
    </row>
    <row r="1262" spans="1:26">
      <c r="A1262" s="259"/>
      <c r="E1262" s="453"/>
      <c r="F1262" s="457" t="s">
        <v>1670</v>
      </c>
      <c r="G1262" s="458"/>
      <c r="H1262" s="459"/>
      <c r="J1262" s="240"/>
      <c r="K1262" s="267"/>
      <c r="L1262" s="268"/>
      <c r="M1262" s="240"/>
      <c r="N1262" s="269"/>
      <c r="O1262" s="270"/>
      <c r="P1262" s="269"/>
      <c r="Q1262" s="240"/>
      <c r="R1262" s="269"/>
      <c r="S1262" s="270"/>
      <c r="T1262" s="268"/>
      <c r="U1262" s="271"/>
      <c r="V1262" s="262"/>
      <c r="W1262" s="261" t="e">
        <f>SUM(W1259:W1261)</f>
        <v>#REF!</v>
      </c>
      <c r="Y1262" s="223" t="str">
        <f>'[4]Development - i'!E1261</f>
        <v>Supply and Fixing of Stainless Steel Mosquito Net including cost</v>
      </c>
      <c r="Z1262" s="223" t="str">
        <f t="shared" si="65"/>
        <v>ERRR</v>
      </c>
    </row>
    <row r="1263" spans="1:26" ht="26.25" thickBot="1">
      <c r="A1263" s="259"/>
      <c r="F1263" s="264"/>
      <c r="G1263" s="262"/>
      <c r="H1263" s="265" t="s">
        <v>11</v>
      </c>
      <c r="J1263" s="240"/>
      <c r="K1263" s="267"/>
      <c r="L1263" s="268"/>
      <c r="M1263" s="240"/>
      <c r="N1263" s="269"/>
      <c r="O1263" s="270"/>
      <c r="P1263" s="269"/>
      <c r="Q1263" s="240"/>
      <c r="R1263" s="269"/>
      <c r="S1263" s="270"/>
      <c r="T1263" s="268"/>
      <c r="U1263" s="271"/>
      <c r="V1263" s="265" t="e">
        <f>W1262/100000</f>
        <v>#REF!</v>
      </c>
      <c r="W1263" s="265" t="s">
        <v>1671</v>
      </c>
    </row>
    <row r="1264" spans="1:26" ht="27" thickTop="1" thickBot="1">
      <c r="H1264" s="273"/>
      <c r="J1264" s="240"/>
      <c r="K1264" s="267"/>
      <c r="L1264" s="268"/>
      <c r="M1264" s="240"/>
      <c r="N1264" s="269"/>
      <c r="O1264" s="270"/>
      <c r="P1264" s="269"/>
      <c r="Q1264" s="240"/>
      <c r="R1264" s="269"/>
      <c r="S1264" s="270"/>
      <c r="T1264" s="268"/>
      <c r="U1264" s="240"/>
      <c r="V1264" s="274"/>
      <c r="W1264" s="275"/>
    </row>
    <row r="1265" spans="7:23" ht="26.25" thickTop="1">
      <c r="J1265" s="240"/>
      <c r="K1265" s="267"/>
      <c r="L1265" s="268"/>
      <c r="M1265" s="240"/>
      <c r="N1265" s="269"/>
      <c r="O1265" s="270"/>
      <c r="P1265" s="269"/>
      <c r="Q1265" s="240"/>
      <c r="R1265" s="269"/>
      <c r="S1265" s="270"/>
      <c r="T1265" s="268"/>
      <c r="U1265" s="240"/>
      <c r="V1265" s="272"/>
      <c r="W1265" s="272"/>
    </row>
    <row r="1266" spans="7:23">
      <c r="G1266" s="272">
        <f>[3]Elec.Data!K4087</f>
        <v>34310</v>
      </c>
      <c r="J1266" s="240"/>
      <c r="K1266" s="267"/>
      <c r="L1266" s="268"/>
      <c r="M1266" s="240"/>
      <c r="N1266" s="269"/>
      <c r="O1266" s="270"/>
      <c r="P1266" s="269"/>
      <c r="Q1266" s="240"/>
      <c r="R1266" s="269"/>
      <c r="S1266" s="270"/>
      <c r="T1266" s="268"/>
      <c r="U1266" s="240"/>
      <c r="V1266" s="272"/>
      <c r="W1266" s="272"/>
    </row>
    <row r="1267" spans="7:23">
      <c r="J1267" s="240"/>
      <c r="K1267" s="267"/>
      <c r="L1267" s="268"/>
      <c r="M1267" s="240"/>
      <c r="N1267" s="269"/>
      <c r="O1267" s="240"/>
      <c r="P1267" s="269"/>
      <c r="Q1267" s="240"/>
      <c r="R1267" s="269"/>
      <c r="S1267" s="269"/>
      <c r="T1267" s="268"/>
      <c r="U1267" s="240"/>
      <c r="V1267" s="272"/>
      <c r="W1267" s="272"/>
    </row>
    <row r="1268" spans="7:23">
      <c r="J1268" s="240"/>
      <c r="K1268" s="267"/>
      <c r="L1268" s="268"/>
      <c r="M1268" s="240"/>
      <c r="N1268" s="269"/>
      <c r="O1268" s="240"/>
      <c r="P1268" s="269"/>
      <c r="Q1268" s="240"/>
      <c r="R1268" s="269"/>
      <c r="S1268" s="269"/>
      <c r="T1268" s="268"/>
      <c r="U1268" s="240"/>
      <c r="V1268" s="272"/>
      <c r="W1268" s="272"/>
    </row>
    <row r="1269" spans="7:23">
      <c r="J1269" s="240"/>
      <c r="K1269" s="267"/>
      <c r="L1269" s="268"/>
      <c r="M1269" s="240"/>
      <c r="N1269" s="269"/>
      <c r="O1269" s="269"/>
      <c r="P1269" s="269"/>
      <c r="Q1269" s="240"/>
      <c r="R1269" s="269"/>
      <c r="S1269" s="269"/>
      <c r="T1269" s="268"/>
      <c r="U1269" s="240"/>
      <c r="V1269" s="272"/>
      <c r="W1269" s="272"/>
    </row>
    <row r="1270" spans="7:23">
      <c r="J1270" s="240"/>
      <c r="K1270" s="267"/>
      <c r="L1270" s="268"/>
      <c r="M1270" s="240"/>
      <c r="N1270" s="269"/>
      <c r="O1270" s="269"/>
      <c r="P1270" s="269"/>
      <c r="Q1270" s="240"/>
      <c r="R1270" s="269"/>
      <c r="S1270" s="269"/>
      <c r="T1270" s="268"/>
      <c r="U1270" s="240"/>
      <c r="V1270" s="272"/>
      <c r="W1270" s="272"/>
    </row>
    <row r="1271" spans="7:23">
      <c r="J1271" s="240"/>
      <c r="K1271" s="267"/>
      <c r="L1271" s="267"/>
      <c r="M1271" s="269"/>
      <c r="N1271" s="269"/>
      <c r="O1271" s="269"/>
      <c r="P1271" s="269"/>
      <c r="Q1271" s="240"/>
      <c r="R1271" s="269"/>
      <c r="S1271" s="269"/>
      <c r="T1271" s="267"/>
      <c r="U1271" s="269"/>
      <c r="V1271" s="272"/>
      <c r="W1271" s="272"/>
    </row>
    <row r="1272" spans="7:23">
      <c r="J1272" s="240">
        <f>I1272*G1272</f>
        <v>0</v>
      </c>
      <c r="K1272" s="267"/>
      <c r="L1272" s="267"/>
      <c r="M1272" s="269"/>
      <c r="N1272" s="269"/>
      <c r="O1272" s="269"/>
      <c r="P1272" s="269"/>
      <c r="Q1272" s="240">
        <f>P1272*G1272</f>
        <v>0</v>
      </c>
      <c r="R1272" s="269"/>
      <c r="S1272" s="269"/>
      <c r="T1272" s="267"/>
      <c r="U1272" s="269"/>
      <c r="V1272" s="272"/>
      <c r="W1272" s="272"/>
    </row>
    <row r="1273" spans="7:23">
      <c r="J1273" s="240">
        <f>I1273*G1273</f>
        <v>0</v>
      </c>
      <c r="K1273" s="267"/>
      <c r="L1273" s="267"/>
      <c r="M1273" s="269"/>
      <c r="N1273" s="269"/>
      <c r="O1273" s="269"/>
      <c r="P1273" s="269"/>
      <c r="Q1273" s="240">
        <f>P1273*G1273</f>
        <v>0</v>
      </c>
      <c r="R1273" s="269"/>
      <c r="S1273" s="269"/>
      <c r="T1273" s="267"/>
      <c r="U1273" s="269"/>
      <c r="V1273" s="272"/>
      <c r="W1273" s="272"/>
    </row>
    <row r="1274" spans="7:23">
      <c r="J1274" s="240">
        <f>I1274*G1274</f>
        <v>0</v>
      </c>
      <c r="K1274" s="267"/>
      <c r="L1274" s="267"/>
      <c r="M1274" s="269"/>
      <c r="N1274" s="269"/>
      <c r="O1274" s="269"/>
      <c r="P1274" s="269"/>
      <c r="Q1274" s="240">
        <f>P1274*G1274</f>
        <v>0</v>
      </c>
      <c r="R1274" s="269"/>
      <c r="S1274" s="269"/>
      <c r="T1274" s="267"/>
      <c r="U1274" s="269"/>
      <c r="V1274" s="272"/>
      <c r="W1274" s="272"/>
    </row>
    <row r="1275" spans="7:23">
      <c r="J1275" s="240">
        <f>I1275*G1275</f>
        <v>0</v>
      </c>
      <c r="K1275" s="267"/>
      <c r="L1275" s="267"/>
      <c r="M1275" s="269"/>
      <c r="N1275" s="269"/>
      <c r="O1275" s="269"/>
      <c r="P1275" s="269"/>
      <c r="Q1275" s="240">
        <f>P1275*G1275</f>
        <v>0</v>
      </c>
      <c r="R1275" s="269"/>
      <c r="S1275" s="269"/>
      <c r="T1275" s="267"/>
      <c r="U1275" s="269"/>
      <c r="V1275" s="272"/>
      <c r="W1275" s="272"/>
    </row>
    <row r="1276" spans="7:23">
      <c r="J1276" s="240">
        <f>I1276*G1276</f>
        <v>0</v>
      </c>
      <c r="K1276" s="267"/>
      <c r="L1276" s="267"/>
      <c r="M1276" s="269"/>
      <c r="N1276" s="269"/>
      <c r="O1276" s="269"/>
      <c r="P1276" s="269"/>
      <c r="Q1276" s="240">
        <f>P1276*G1276</f>
        <v>0</v>
      </c>
      <c r="R1276" s="269"/>
      <c r="S1276" s="269"/>
      <c r="T1276" s="267"/>
      <c r="U1276" s="269"/>
      <c r="V1276" s="272"/>
      <c r="W1276" s="272"/>
    </row>
    <row r="1277" spans="7:23">
      <c r="K1277" s="267"/>
      <c r="L1277" s="267"/>
      <c r="M1277" s="269"/>
      <c r="N1277" s="269"/>
      <c r="O1277" s="269"/>
      <c r="P1277" s="269"/>
      <c r="Q1277" s="269"/>
      <c r="R1277" s="269"/>
      <c r="S1277" s="269"/>
      <c r="T1277" s="267"/>
      <c r="U1277" s="269"/>
      <c r="V1277" s="272"/>
      <c r="W1277" s="272"/>
    </row>
    <row r="1278" spans="7:23">
      <c r="K1278" s="267"/>
      <c r="L1278" s="267"/>
      <c r="M1278" s="269"/>
      <c r="N1278" s="269"/>
      <c r="O1278" s="269"/>
      <c r="P1278" s="269"/>
      <c r="Q1278" s="269"/>
      <c r="R1278" s="269"/>
      <c r="S1278" s="269"/>
      <c r="T1278" s="267"/>
      <c r="U1278" s="269"/>
      <c r="V1278" s="272"/>
      <c r="W1278" s="272"/>
    </row>
    <row r="1279" spans="7:23">
      <c r="K1279" s="267"/>
      <c r="L1279" s="267"/>
      <c r="M1279" s="269"/>
      <c r="N1279" s="269"/>
      <c r="O1279" s="269"/>
      <c r="P1279" s="269"/>
      <c r="Q1279" s="269"/>
      <c r="R1279" s="269"/>
      <c r="S1279" s="269"/>
      <c r="T1279" s="267"/>
      <c r="U1279" s="269"/>
      <c r="V1279" s="272"/>
      <c r="W1279" s="272"/>
    </row>
    <row r="1280" spans="7:23">
      <c r="K1280" s="267"/>
      <c r="L1280" s="267"/>
      <c r="M1280" s="269"/>
      <c r="N1280" s="269"/>
      <c r="O1280" s="269"/>
      <c r="P1280" s="269"/>
      <c r="Q1280" s="269"/>
      <c r="R1280" s="269"/>
      <c r="S1280" s="269"/>
      <c r="T1280" s="267"/>
      <c r="U1280" s="269"/>
      <c r="V1280" s="272"/>
      <c r="W1280" s="272"/>
    </row>
  </sheetData>
  <autoFilter ref="Z1:Z1280"/>
  <mergeCells count="14">
    <mergeCell ref="R2:S2"/>
    <mergeCell ref="T2:U2"/>
    <mergeCell ref="V2:V3"/>
    <mergeCell ref="W2:W3"/>
    <mergeCell ref="A1:W1"/>
    <mergeCell ref="A2:A3"/>
    <mergeCell ref="B2:B3"/>
    <mergeCell ref="F2:F3"/>
    <mergeCell ref="G2:G3"/>
    <mergeCell ref="H2:H3"/>
    <mergeCell ref="I2:J2"/>
    <mergeCell ref="K2:M2"/>
    <mergeCell ref="N2:O2"/>
    <mergeCell ref="P2:Q2"/>
  </mergeCells>
  <printOptions horizontalCentered="1"/>
  <pageMargins left="0.51181102362204722" right="0.23622047244094491" top="0.55118110236220474" bottom="0.55118110236220474" header="0.27559055118110237" footer="0.43307086614173229"/>
  <pageSetup paperSize="8" scale="55" orientation="portrait" r:id="rId1"/>
  <headerFooter alignWithMargins="0">
    <oddHeader>&amp;R&amp;P</oddHeader>
  </headerFooter>
  <tableParts count="1">
    <tablePart r:id="rId2"/>
  </tableParts>
</worksheet>
</file>

<file path=xl/worksheets/sheet12.xml><?xml version="1.0" encoding="utf-8"?>
<worksheet xmlns="http://schemas.openxmlformats.org/spreadsheetml/2006/main" xmlns:r="http://schemas.openxmlformats.org/officeDocument/2006/relationships">
  <sheetPr codeName="Sheet9">
    <tabColor rgb="FFFF0000"/>
  </sheetPr>
  <dimension ref="A1:P65"/>
  <sheetViews>
    <sheetView showZeros="0" view="pageBreakPreview" zoomScale="55" zoomScaleSheetLayoutView="55" workbookViewId="0">
      <selection activeCell="E148" sqref="E148"/>
    </sheetView>
  </sheetViews>
  <sheetFormatPr defaultRowHeight="16.5"/>
  <cols>
    <col min="1" max="1" width="7.5703125" style="56" customWidth="1"/>
    <col min="2" max="2" width="48.5703125" style="56" customWidth="1"/>
    <col min="3" max="4" width="7.5703125" style="113" customWidth="1"/>
    <col min="5" max="8" width="13.85546875" style="56" customWidth="1"/>
    <col min="9" max="9" width="10.85546875" style="56" customWidth="1"/>
    <col min="10" max="12" width="9.140625" style="56"/>
    <col min="13" max="13" width="14.28515625" style="56" customWidth="1"/>
    <col min="14" max="14" width="24.28515625" style="56" customWidth="1"/>
    <col min="15" max="256" width="9.140625" style="56"/>
    <col min="257" max="257" width="7.5703125" style="56" customWidth="1"/>
    <col min="258" max="258" width="48.5703125" style="56" customWidth="1"/>
    <col min="259" max="260" width="7.5703125" style="56" customWidth="1"/>
    <col min="261" max="264" width="13.85546875" style="56" customWidth="1"/>
    <col min="265" max="265" width="10.85546875" style="56" customWidth="1"/>
    <col min="266" max="268" width="9.140625" style="56"/>
    <col min="269" max="269" width="14.28515625" style="56" customWidth="1"/>
    <col min="270" max="270" width="24.28515625" style="56" customWidth="1"/>
    <col min="271" max="512" width="9.140625" style="56"/>
    <col min="513" max="513" width="7.5703125" style="56" customWidth="1"/>
    <col min="514" max="514" width="48.5703125" style="56" customWidth="1"/>
    <col min="515" max="516" width="7.5703125" style="56" customWidth="1"/>
    <col min="517" max="520" width="13.85546875" style="56" customWidth="1"/>
    <col min="521" max="521" width="10.85546875" style="56" customWidth="1"/>
    <col min="522" max="524" width="9.140625" style="56"/>
    <col min="525" max="525" width="14.28515625" style="56" customWidth="1"/>
    <col min="526" max="526" width="24.28515625" style="56" customWidth="1"/>
    <col min="527" max="768" width="9.140625" style="56"/>
    <col min="769" max="769" width="7.5703125" style="56" customWidth="1"/>
    <col min="770" max="770" width="48.5703125" style="56" customWidth="1"/>
    <col min="771" max="772" width="7.5703125" style="56" customWidth="1"/>
    <col min="773" max="776" width="13.85546875" style="56" customWidth="1"/>
    <col min="777" max="777" width="10.85546875" style="56" customWidth="1"/>
    <col min="778" max="780" width="9.140625" style="56"/>
    <col min="781" max="781" width="14.28515625" style="56" customWidth="1"/>
    <col min="782" max="782" width="24.28515625" style="56" customWidth="1"/>
    <col min="783" max="1024" width="9.140625" style="56"/>
    <col min="1025" max="1025" width="7.5703125" style="56" customWidth="1"/>
    <col min="1026" max="1026" width="48.5703125" style="56" customWidth="1"/>
    <col min="1027" max="1028" width="7.5703125" style="56" customWidth="1"/>
    <col min="1029" max="1032" width="13.85546875" style="56" customWidth="1"/>
    <col min="1033" max="1033" width="10.85546875" style="56" customWidth="1"/>
    <col min="1034" max="1036" width="9.140625" style="56"/>
    <col min="1037" max="1037" width="14.28515625" style="56" customWidth="1"/>
    <col min="1038" max="1038" width="24.28515625" style="56" customWidth="1"/>
    <col min="1039" max="1280" width="9.140625" style="56"/>
    <col min="1281" max="1281" width="7.5703125" style="56" customWidth="1"/>
    <col min="1282" max="1282" width="48.5703125" style="56" customWidth="1"/>
    <col min="1283" max="1284" width="7.5703125" style="56" customWidth="1"/>
    <col min="1285" max="1288" width="13.85546875" style="56" customWidth="1"/>
    <col min="1289" max="1289" width="10.85546875" style="56" customWidth="1"/>
    <col min="1290" max="1292" width="9.140625" style="56"/>
    <col min="1293" max="1293" width="14.28515625" style="56" customWidth="1"/>
    <col min="1294" max="1294" width="24.28515625" style="56" customWidth="1"/>
    <col min="1295" max="1536" width="9.140625" style="56"/>
    <col min="1537" max="1537" width="7.5703125" style="56" customWidth="1"/>
    <col min="1538" max="1538" width="48.5703125" style="56" customWidth="1"/>
    <col min="1539" max="1540" width="7.5703125" style="56" customWidth="1"/>
    <col min="1541" max="1544" width="13.85546875" style="56" customWidth="1"/>
    <col min="1545" max="1545" width="10.85546875" style="56" customWidth="1"/>
    <col min="1546" max="1548" width="9.140625" style="56"/>
    <col min="1549" max="1549" width="14.28515625" style="56" customWidth="1"/>
    <col min="1550" max="1550" width="24.28515625" style="56" customWidth="1"/>
    <col min="1551" max="1792" width="9.140625" style="56"/>
    <col min="1793" max="1793" width="7.5703125" style="56" customWidth="1"/>
    <col min="1794" max="1794" width="48.5703125" style="56" customWidth="1"/>
    <col min="1795" max="1796" width="7.5703125" style="56" customWidth="1"/>
    <col min="1797" max="1800" width="13.85546875" style="56" customWidth="1"/>
    <col min="1801" max="1801" width="10.85546875" style="56" customWidth="1"/>
    <col min="1802" max="1804" width="9.140625" style="56"/>
    <col min="1805" max="1805" width="14.28515625" style="56" customWidth="1"/>
    <col min="1806" max="1806" width="24.28515625" style="56" customWidth="1"/>
    <col min="1807" max="2048" width="9.140625" style="56"/>
    <col min="2049" max="2049" width="7.5703125" style="56" customWidth="1"/>
    <col min="2050" max="2050" width="48.5703125" style="56" customWidth="1"/>
    <col min="2051" max="2052" width="7.5703125" style="56" customWidth="1"/>
    <col min="2053" max="2056" width="13.85546875" style="56" customWidth="1"/>
    <col min="2057" max="2057" width="10.85546875" style="56" customWidth="1"/>
    <col min="2058" max="2060" width="9.140625" style="56"/>
    <col min="2061" max="2061" width="14.28515625" style="56" customWidth="1"/>
    <col min="2062" max="2062" width="24.28515625" style="56" customWidth="1"/>
    <col min="2063" max="2304" width="9.140625" style="56"/>
    <col min="2305" max="2305" width="7.5703125" style="56" customWidth="1"/>
    <col min="2306" max="2306" width="48.5703125" style="56" customWidth="1"/>
    <col min="2307" max="2308" width="7.5703125" style="56" customWidth="1"/>
    <col min="2309" max="2312" width="13.85546875" style="56" customWidth="1"/>
    <col min="2313" max="2313" width="10.85546875" style="56" customWidth="1"/>
    <col min="2314" max="2316" width="9.140625" style="56"/>
    <col min="2317" max="2317" width="14.28515625" style="56" customWidth="1"/>
    <col min="2318" max="2318" width="24.28515625" style="56" customWidth="1"/>
    <col min="2319" max="2560" width="9.140625" style="56"/>
    <col min="2561" max="2561" width="7.5703125" style="56" customWidth="1"/>
    <col min="2562" max="2562" width="48.5703125" style="56" customWidth="1"/>
    <col min="2563" max="2564" width="7.5703125" style="56" customWidth="1"/>
    <col min="2565" max="2568" width="13.85546875" style="56" customWidth="1"/>
    <col min="2569" max="2569" width="10.85546875" style="56" customWidth="1"/>
    <col min="2570" max="2572" width="9.140625" style="56"/>
    <col min="2573" max="2573" width="14.28515625" style="56" customWidth="1"/>
    <col min="2574" max="2574" width="24.28515625" style="56" customWidth="1"/>
    <col min="2575" max="2816" width="9.140625" style="56"/>
    <col min="2817" max="2817" width="7.5703125" style="56" customWidth="1"/>
    <col min="2818" max="2818" width="48.5703125" style="56" customWidth="1"/>
    <col min="2819" max="2820" width="7.5703125" style="56" customWidth="1"/>
    <col min="2821" max="2824" width="13.85546875" style="56" customWidth="1"/>
    <col min="2825" max="2825" width="10.85546875" style="56" customWidth="1"/>
    <col min="2826" max="2828" width="9.140625" style="56"/>
    <col min="2829" max="2829" width="14.28515625" style="56" customWidth="1"/>
    <col min="2830" max="2830" width="24.28515625" style="56" customWidth="1"/>
    <col min="2831" max="3072" width="9.140625" style="56"/>
    <col min="3073" max="3073" width="7.5703125" style="56" customWidth="1"/>
    <col min="3074" max="3074" width="48.5703125" style="56" customWidth="1"/>
    <col min="3075" max="3076" width="7.5703125" style="56" customWidth="1"/>
    <col min="3077" max="3080" width="13.85546875" style="56" customWidth="1"/>
    <col min="3081" max="3081" width="10.85546875" style="56" customWidth="1"/>
    <col min="3082" max="3084" width="9.140625" style="56"/>
    <col min="3085" max="3085" width="14.28515625" style="56" customWidth="1"/>
    <col min="3086" max="3086" width="24.28515625" style="56" customWidth="1"/>
    <col min="3087" max="3328" width="9.140625" style="56"/>
    <col min="3329" max="3329" width="7.5703125" style="56" customWidth="1"/>
    <col min="3330" max="3330" width="48.5703125" style="56" customWidth="1"/>
    <col min="3331" max="3332" width="7.5703125" style="56" customWidth="1"/>
    <col min="3333" max="3336" width="13.85546875" style="56" customWidth="1"/>
    <col min="3337" max="3337" width="10.85546875" style="56" customWidth="1"/>
    <col min="3338" max="3340" width="9.140625" style="56"/>
    <col min="3341" max="3341" width="14.28515625" style="56" customWidth="1"/>
    <col min="3342" max="3342" width="24.28515625" style="56" customWidth="1"/>
    <col min="3343" max="3584" width="9.140625" style="56"/>
    <col min="3585" max="3585" width="7.5703125" style="56" customWidth="1"/>
    <col min="3586" max="3586" width="48.5703125" style="56" customWidth="1"/>
    <col min="3587" max="3588" width="7.5703125" style="56" customWidth="1"/>
    <col min="3589" max="3592" width="13.85546875" style="56" customWidth="1"/>
    <col min="3593" max="3593" width="10.85546875" style="56" customWidth="1"/>
    <col min="3594" max="3596" width="9.140625" style="56"/>
    <col min="3597" max="3597" width="14.28515625" style="56" customWidth="1"/>
    <col min="3598" max="3598" width="24.28515625" style="56" customWidth="1"/>
    <col min="3599" max="3840" width="9.140625" style="56"/>
    <col min="3841" max="3841" width="7.5703125" style="56" customWidth="1"/>
    <col min="3842" max="3842" width="48.5703125" style="56" customWidth="1"/>
    <col min="3843" max="3844" width="7.5703125" style="56" customWidth="1"/>
    <col min="3845" max="3848" width="13.85546875" style="56" customWidth="1"/>
    <col min="3849" max="3849" width="10.85546875" style="56" customWidth="1"/>
    <col min="3850" max="3852" width="9.140625" style="56"/>
    <col min="3853" max="3853" width="14.28515625" style="56" customWidth="1"/>
    <col min="3854" max="3854" width="24.28515625" style="56" customWidth="1"/>
    <col min="3855" max="4096" width="9.140625" style="56"/>
    <col min="4097" max="4097" width="7.5703125" style="56" customWidth="1"/>
    <col min="4098" max="4098" width="48.5703125" style="56" customWidth="1"/>
    <col min="4099" max="4100" width="7.5703125" style="56" customWidth="1"/>
    <col min="4101" max="4104" width="13.85546875" style="56" customWidth="1"/>
    <col min="4105" max="4105" width="10.85546875" style="56" customWidth="1"/>
    <col min="4106" max="4108" width="9.140625" style="56"/>
    <col min="4109" max="4109" width="14.28515625" style="56" customWidth="1"/>
    <col min="4110" max="4110" width="24.28515625" style="56" customWidth="1"/>
    <col min="4111" max="4352" width="9.140625" style="56"/>
    <col min="4353" max="4353" width="7.5703125" style="56" customWidth="1"/>
    <col min="4354" max="4354" width="48.5703125" style="56" customWidth="1"/>
    <col min="4355" max="4356" width="7.5703125" style="56" customWidth="1"/>
    <col min="4357" max="4360" width="13.85546875" style="56" customWidth="1"/>
    <col min="4361" max="4361" width="10.85546875" style="56" customWidth="1"/>
    <col min="4362" max="4364" width="9.140625" style="56"/>
    <col min="4365" max="4365" width="14.28515625" style="56" customWidth="1"/>
    <col min="4366" max="4366" width="24.28515625" style="56" customWidth="1"/>
    <col min="4367" max="4608" width="9.140625" style="56"/>
    <col min="4609" max="4609" width="7.5703125" style="56" customWidth="1"/>
    <col min="4610" max="4610" width="48.5703125" style="56" customWidth="1"/>
    <col min="4611" max="4612" width="7.5703125" style="56" customWidth="1"/>
    <col min="4613" max="4616" width="13.85546875" style="56" customWidth="1"/>
    <col min="4617" max="4617" width="10.85546875" style="56" customWidth="1"/>
    <col min="4618" max="4620" width="9.140625" style="56"/>
    <col min="4621" max="4621" width="14.28515625" style="56" customWidth="1"/>
    <col min="4622" max="4622" width="24.28515625" style="56" customWidth="1"/>
    <col min="4623" max="4864" width="9.140625" style="56"/>
    <col min="4865" max="4865" width="7.5703125" style="56" customWidth="1"/>
    <col min="4866" max="4866" width="48.5703125" style="56" customWidth="1"/>
    <col min="4867" max="4868" width="7.5703125" style="56" customWidth="1"/>
    <col min="4869" max="4872" width="13.85546875" style="56" customWidth="1"/>
    <col min="4873" max="4873" width="10.85546875" style="56" customWidth="1"/>
    <col min="4874" max="4876" width="9.140625" style="56"/>
    <col min="4877" max="4877" width="14.28515625" style="56" customWidth="1"/>
    <col min="4878" max="4878" width="24.28515625" style="56" customWidth="1"/>
    <col min="4879" max="5120" width="9.140625" style="56"/>
    <col min="5121" max="5121" width="7.5703125" style="56" customWidth="1"/>
    <col min="5122" max="5122" width="48.5703125" style="56" customWidth="1"/>
    <col min="5123" max="5124" width="7.5703125" style="56" customWidth="1"/>
    <col min="5125" max="5128" width="13.85546875" style="56" customWidth="1"/>
    <col min="5129" max="5129" width="10.85546875" style="56" customWidth="1"/>
    <col min="5130" max="5132" width="9.140625" style="56"/>
    <col min="5133" max="5133" width="14.28515625" style="56" customWidth="1"/>
    <col min="5134" max="5134" width="24.28515625" style="56" customWidth="1"/>
    <col min="5135" max="5376" width="9.140625" style="56"/>
    <col min="5377" max="5377" width="7.5703125" style="56" customWidth="1"/>
    <col min="5378" max="5378" width="48.5703125" style="56" customWidth="1"/>
    <col min="5379" max="5380" width="7.5703125" style="56" customWidth="1"/>
    <col min="5381" max="5384" width="13.85546875" style="56" customWidth="1"/>
    <col min="5385" max="5385" width="10.85546875" style="56" customWidth="1"/>
    <col min="5386" max="5388" width="9.140625" style="56"/>
    <col min="5389" max="5389" width="14.28515625" style="56" customWidth="1"/>
    <col min="5390" max="5390" width="24.28515625" style="56" customWidth="1"/>
    <col min="5391" max="5632" width="9.140625" style="56"/>
    <col min="5633" max="5633" width="7.5703125" style="56" customWidth="1"/>
    <col min="5634" max="5634" width="48.5703125" style="56" customWidth="1"/>
    <col min="5635" max="5636" width="7.5703125" style="56" customWidth="1"/>
    <col min="5637" max="5640" width="13.85546875" style="56" customWidth="1"/>
    <col min="5641" max="5641" width="10.85546875" style="56" customWidth="1"/>
    <col min="5642" max="5644" width="9.140625" style="56"/>
    <col min="5645" max="5645" width="14.28515625" style="56" customWidth="1"/>
    <col min="5646" max="5646" width="24.28515625" style="56" customWidth="1"/>
    <col min="5647" max="5888" width="9.140625" style="56"/>
    <col min="5889" max="5889" width="7.5703125" style="56" customWidth="1"/>
    <col min="5890" max="5890" width="48.5703125" style="56" customWidth="1"/>
    <col min="5891" max="5892" width="7.5703125" style="56" customWidth="1"/>
    <col min="5893" max="5896" width="13.85546875" style="56" customWidth="1"/>
    <col min="5897" max="5897" width="10.85546875" style="56" customWidth="1"/>
    <col min="5898" max="5900" width="9.140625" style="56"/>
    <col min="5901" max="5901" width="14.28515625" style="56" customWidth="1"/>
    <col min="5902" max="5902" width="24.28515625" style="56" customWidth="1"/>
    <col min="5903" max="6144" width="9.140625" style="56"/>
    <col min="6145" max="6145" width="7.5703125" style="56" customWidth="1"/>
    <col min="6146" max="6146" width="48.5703125" style="56" customWidth="1"/>
    <col min="6147" max="6148" width="7.5703125" style="56" customWidth="1"/>
    <col min="6149" max="6152" width="13.85546875" style="56" customWidth="1"/>
    <col min="6153" max="6153" width="10.85546875" style="56" customWidth="1"/>
    <col min="6154" max="6156" width="9.140625" style="56"/>
    <col min="6157" max="6157" width="14.28515625" style="56" customWidth="1"/>
    <col min="6158" max="6158" width="24.28515625" style="56" customWidth="1"/>
    <col min="6159" max="6400" width="9.140625" style="56"/>
    <col min="6401" max="6401" width="7.5703125" style="56" customWidth="1"/>
    <col min="6402" max="6402" width="48.5703125" style="56" customWidth="1"/>
    <col min="6403" max="6404" width="7.5703125" style="56" customWidth="1"/>
    <col min="6405" max="6408" width="13.85546875" style="56" customWidth="1"/>
    <col min="6409" max="6409" width="10.85546875" style="56" customWidth="1"/>
    <col min="6410" max="6412" width="9.140625" style="56"/>
    <col min="6413" max="6413" width="14.28515625" style="56" customWidth="1"/>
    <col min="6414" max="6414" width="24.28515625" style="56" customWidth="1"/>
    <col min="6415" max="6656" width="9.140625" style="56"/>
    <col min="6657" max="6657" width="7.5703125" style="56" customWidth="1"/>
    <col min="6658" max="6658" width="48.5703125" style="56" customWidth="1"/>
    <col min="6659" max="6660" width="7.5703125" style="56" customWidth="1"/>
    <col min="6661" max="6664" width="13.85546875" style="56" customWidth="1"/>
    <col min="6665" max="6665" width="10.85546875" style="56" customWidth="1"/>
    <col min="6666" max="6668" width="9.140625" style="56"/>
    <col min="6669" max="6669" width="14.28515625" style="56" customWidth="1"/>
    <col min="6670" max="6670" width="24.28515625" style="56" customWidth="1"/>
    <col min="6671" max="6912" width="9.140625" style="56"/>
    <col min="6913" max="6913" width="7.5703125" style="56" customWidth="1"/>
    <col min="6914" max="6914" width="48.5703125" style="56" customWidth="1"/>
    <col min="6915" max="6916" width="7.5703125" style="56" customWidth="1"/>
    <col min="6917" max="6920" width="13.85546875" style="56" customWidth="1"/>
    <col min="6921" max="6921" width="10.85546875" style="56" customWidth="1"/>
    <col min="6922" max="6924" width="9.140625" style="56"/>
    <col min="6925" max="6925" width="14.28515625" style="56" customWidth="1"/>
    <col min="6926" max="6926" width="24.28515625" style="56" customWidth="1"/>
    <col min="6927" max="7168" width="9.140625" style="56"/>
    <col min="7169" max="7169" width="7.5703125" style="56" customWidth="1"/>
    <col min="7170" max="7170" width="48.5703125" style="56" customWidth="1"/>
    <col min="7171" max="7172" width="7.5703125" style="56" customWidth="1"/>
    <col min="7173" max="7176" width="13.85546875" style="56" customWidth="1"/>
    <col min="7177" max="7177" width="10.85546875" style="56" customWidth="1"/>
    <col min="7178" max="7180" width="9.140625" style="56"/>
    <col min="7181" max="7181" width="14.28515625" style="56" customWidth="1"/>
    <col min="7182" max="7182" width="24.28515625" style="56" customWidth="1"/>
    <col min="7183" max="7424" width="9.140625" style="56"/>
    <col min="7425" max="7425" width="7.5703125" style="56" customWidth="1"/>
    <col min="7426" max="7426" width="48.5703125" style="56" customWidth="1"/>
    <col min="7427" max="7428" width="7.5703125" style="56" customWidth="1"/>
    <col min="7429" max="7432" width="13.85546875" style="56" customWidth="1"/>
    <col min="7433" max="7433" width="10.85546875" style="56" customWidth="1"/>
    <col min="7434" max="7436" width="9.140625" style="56"/>
    <col min="7437" max="7437" width="14.28515625" style="56" customWidth="1"/>
    <col min="7438" max="7438" width="24.28515625" style="56" customWidth="1"/>
    <col min="7439" max="7680" width="9.140625" style="56"/>
    <col min="7681" max="7681" width="7.5703125" style="56" customWidth="1"/>
    <col min="7682" max="7682" width="48.5703125" style="56" customWidth="1"/>
    <col min="7683" max="7684" width="7.5703125" style="56" customWidth="1"/>
    <col min="7685" max="7688" width="13.85546875" style="56" customWidth="1"/>
    <col min="7689" max="7689" width="10.85546875" style="56" customWidth="1"/>
    <col min="7690" max="7692" width="9.140625" style="56"/>
    <col min="7693" max="7693" width="14.28515625" style="56" customWidth="1"/>
    <col min="7694" max="7694" width="24.28515625" style="56" customWidth="1"/>
    <col min="7695" max="7936" width="9.140625" style="56"/>
    <col min="7937" max="7937" width="7.5703125" style="56" customWidth="1"/>
    <col min="7938" max="7938" width="48.5703125" style="56" customWidth="1"/>
    <col min="7939" max="7940" width="7.5703125" style="56" customWidth="1"/>
    <col min="7941" max="7944" width="13.85546875" style="56" customWidth="1"/>
    <col min="7945" max="7945" width="10.85546875" style="56" customWidth="1"/>
    <col min="7946" max="7948" width="9.140625" style="56"/>
    <col min="7949" max="7949" width="14.28515625" style="56" customWidth="1"/>
    <col min="7950" max="7950" width="24.28515625" style="56" customWidth="1"/>
    <col min="7951" max="8192" width="9.140625" style="56"/>
    <col min="8193" max="8193" width="7.5703125" style="56" customWidth="1"/>
    <col min="8194" max="8194" width="48.5703125" style="56" customWidth="1"/>
    <col min="8195" max="8196" width="7.5703125" style="56" customWidth="1"/>
    <col min="8197" max="8200" width="13.85546875" style="56" customWidth="1"/>
    <col min="8201" max="8201" width="10.85546875" style="56" customWidth="1"/>
    <col min="8202" max="8204" width="9.140625" style="56"/>
    <col min="8205" max="8205" width="14.28515625" style="56" customWidth="1"/>
    <col min="8206" max="8206" width="24.28515625" style="56" customWidth="1"/>
    <col min="8207" max="8448" width="9.140625" style="56"/>
    <col min="8449" max="8449" width="7.5703125" style="56" customWidth="1"/>
    <col min="8450" max="8450" width="48.5703125" style="56" customWidth="1"/>
    <col min="8451" max="8452" width="7.5703125" style="56" customWidth="1"/>
    <col min="8453" max="8456" width="13.85546875" style="56" customWidth="1"/>
    <col min="8457" max="8457" width="10.85546875" style="56" customWidth="1"/>
    <col min="8458" max="8460" width="9.140625" style="56"/>
    <col min="8461" max="8461" width="14.28515625" style="56" customWidth="1"/>
    <col min="8462" max="8462" width="24.28515625" style="56" customWidth="1"/>
    <col min="8463" max="8704" width="9.140625" style="56"/>
    <col min="8705" max="8705" width="7.5703125" style="56" customWidth="1"/>
    <col min="8706" max="8706" width="48.5703125" style="56" customWidth="1"/>
    <col min="8707" max="8708" width="7.5703125" style="56" customWidth="1"/>
    <col min="8709" max="8712" width="13.85546875" style="56" customWidth="1"/>
    <col min="8713" max="8713" width="10.85546875" style="56" customWidth="1"/>
    <col min="8714" max="8716" width="9.140625" style="56"/>
    <col min="8717" max="8717" width="14.28515625" style="56" customWidth="1"/>
    <col min="8718" max="8718" width="24.28515625" style="56" customWidth="1"/>
    <col min="8719" max="8960" width="9.140625" style="56"/>
    <col min="8961" max="8961" width="7.5703125" style="56" customWidth="1"/>
    <col min="8962" max="8962" width="48.5703125" style="56" customWidth="1"/>
    <col min="8963" max="8964" width="7.5703125" style="56" customWidth="1"/>
    <col min="8965" max="8968" width="13.85546875" style="56" customWidth="1"/>
    <col min="8969" max="8969" width="10.85546875" style="56" customWidth="1"/>
    <col min="8970" max="8972" width="9.140625" style="56"/>
    <col min="8973" max="8973" width="14.28515625" style="56" customWidth="1"/>
    <col min="8974" max="8974" width="24.28515625" style="56" customWidth="1"/>
    <col min="8975" max="9216" width="9.140625" style="56"/>
    <col min="9217" max="9217" width="7.5703125" style="56" customWidth="1"/>
    <col min="9218" max="9218" width="48.5703125" style="56" customWidth="1"/>
    <col min="9219" max="9220" width="7.5703125" style="56" customWidth="1"/>
    <col min="9221" max="9224" width="13.85546875" style="56" customWidth="1"/>
    <col min="9225" max="9225" width="10.85546875" style="56" customWidth="1"/>
    <col min="9226" max="9228" width="9.140625" style="56"/>
    <col min="9229" max="9229" width="14.28515625" style="56" customWidth="1"/>
    <col min="9230" max="9230" width="24.28515625" style="56" customWidth="1"/>
    <col min="9231" max="9472" width="9.140625" style="56"/>
    <col min="9473" max="9473" width="7.5703125" style="56" customWidth="1"/>
    <col min="9474" max="9474" width="48.5703125" style="56" customWidth="1"/>
    <col min="9475" max="9476" width="7.5703125" style="56" customWidth="1"/>
    <col min="9477" max="9480" width="13.85546875" style="56" customWidth="1"/>
    <col min="9481" max="9481" width="10.85546875" style="56" customWidth="1"/>
    <col min="9482" max="9484" width="9.140625" style="56"/>
    <col min="9485" max="9485" width="14.28515625" style="56" customWidth="1"/>
    <col min="9486" max="9486" width="24.28515625" style="56" customWidth="1"/>
    <col min="9487" max="9728" width="9.140625" style="56"/>
    <col min="9729" max="9729" width="7.5703125" style="56" customWidth="1"/>
    <col min="9730" max="9730" width="48.5703125" style="56" customWidth="1"/>
    <col min="9731" max="9732" width="7.5703125" style="56" customWidth="1"/>
    <col min="9733" max="9736" width="13.85546875" style="56" customWidth="1"/>
    <col min="9737" max="9737" width="10.85546875" style="56" customWidth="1"/>
    <col min="9738" max="9740" width="9.140625" style="56"/>
    <col min="9741" max="9741" width="14.28515625" style="56" customWidth="1"/>
    <col min="9742" max="9742" width="24.28515625" style="56" customWidth="1"/>
    <col min="9743" max="9984" width="9.140625" style="56"/>
    <col min="9985" max="9985" width="7.5703125" style="56" customWidth="1"/>
    <col min="9986" max="9986" width="48.5703125" style="56" customWidth="1"/>
    <col min="9987" max="9988" width="7.5703125" style="56" customWidth="1"/>
    <col min="9989" max="9992" width="13.85546875" style="56" customWidth="1"/>
    <col min="9993" max="9993" width="10.85546875" style="56" customWidth="1"/>
    <col min="9994" max="9996" width="9.140625" style="56"/>
    <col min="9997" max="9997" width="14.28515625" style="56" customWidth="1"/>
    <col min="9998" max="9998" width="24.28515625" style="56" customWidth="1"/>
    <col min="9999" max="10240" width="9.140625" style="56"/>
    <col min="10241" max="10241" width="7.5703125" style="56" customWidth="1"/>
    <col min="10242" max="10242" width="48.5703125" style="56" customWidth="1"/>
    <col min="10243" max="10244" width="7.5703125" style="56" customWidth="1"/>
    <col min="10245" max="10248" width="13.85546875" style="56" customWidth="1"/>
    <col min="10249" max="10249" width="10.85546875" style="56" customWidth="1"/>
    <col min="10250" max="10252" width="9.140625" style="56"/>
    <col min="10253" max="10253" width="14.28515625" style="56" customWidth="1"/>
    <col min="10254" max="10254" width="24.28515625" style="56" customWidth="1"/>
    <col min="10255" max="10496" width="9.140625" style="56"/>
    <col min="10497" max="10497" width="7.5703125" style="56" customWidth="1"/>
    <col min="10498" max="10498" width="48.5703125" style="56" customWidth="1"/>
    <col min="10499" max="10500" width="7.5703125" style="56" customWidth="1"/>
    <col min="10501" max="10504" width="13.85546875" style="56" customWidth="1"/>
    <col min="10505" max="10505" width="10.85546875" style="56" customWidth="1"/>
    <col min="10506" max="10508" width="9.140625" style="56"/>
    <col min="10509" max="10509" width="14.28515625" style="56" customWidth="1"/>
    <col min="10510" max="10510" width="24.28515625" style="56" customWidth="1"/>
    <col min="10511" max="10752" width="9.140625" style="56"/>
    <col min="10753" max="10753" width="7.5703125" style="56" customWidth="1"/>
    <col min="10754" max="10754" width="48.5703125" style="56" customWidth="1"/>
    <col min="10755" max="10756" width="7.5703125" style="56" customWidth="1"/>
    <col min="10757" max="10760" width="13.85546875" style="56" customWidth="1"/>
    <col min="10761" max="10761" width="10.85546875" style="56" customWidth="1"/>
    <col min="10762" max="10764" width="9.140625" style="56"/>
    <col min="10765" max="10765" width="14.28515625" style="56" customWidth="1"/>
    <col min="10766" max="10766" width="24.28515625" style="56" customWidth="1"/>
    <col min="10767" max="11008" width="9.140625" style="56"/>
    <col min="11009" max="11009" width="7.5703125" style="56" customWidth="1"/>
    <col min="11010" max="11010" width="48.5703125" style="56" customWidth="1"/>
    <col min="11011" max="11012" width="7.5703125" style="56" customWidth="1"/>
    <col min="11013" max="11016" width="13.85546875" style="56" customWidth="1"/>
    <col min="11017" max="11017" width="10.85546875" style="56" customWidth="1"/>
    <col min="11018" max="11020" width="9.140625" style="56"/>
    <col min="11021" max="11021" width="14.28515625" style="56" customWidth="1"/>
    <col min="11022" max="11022" width="24.28515625" style="56" customWidth="1"/>
    <col min="11023" max="11264" width="9.140625" style="56"/>
    <col min="11265" max="11265" width="7.5703125" style="56" customWidth="1"/>
    <col min="11266" max="11266" width="48.5703125" style="56" customWidth="1"/>
    <col min="11267" max="11268" width="7.5703125" style="56" customWidth="1"/>
    <col min="11269" max="11272" width="13.85546875" style="56" customWidth="1"/>
    <col min="11273" max="11273" width="10.85546875" style="56" customWidth="1"/>
    <col min="11274" max="11276" width="9.140625" style="56"/>
    <col min="11277" max="11277" width="14.28515625" style="56" customWidth="1"/>
    <col min="11278" max="11278" width="24.28515625" style="56" customWidth="1"/>
    <col min="11279" max="11520" width="9.140625" style="56"/>
    <col min="11521" max="11521" width="7.5703125" style="56" customWidth="1"/>
    <col min="11522" max="11522" width="48.5703125" style="56" customWidth="1"/>
    <col min="11523" max="11524" width="7.5703125" style="56" customWidth="1"/>
    <col min="11525" max="11528" width="13.85546875" style="56" customWidth="1"/>
    <col min="11529" max="11529" width="10.85546875" style="56" customWidth="1"/>
    <col min="11530" max="11532" width="9.140625" style="56"/>
    <col min="11533" max="11533" width="14.28515625" style="56" customWidth="1"/>
    <col min="11534" max="11534" width="24.28515625" style="56" customWidth="1"/>
    <col min="11535" max="11776" width="9.140625" style="56"/>
    <col min="11777" max="11777" width="7.5703125" style="56" customWidth="1"/>
    <col min="11778" max="11778" width="48.5703125" style="56" customWidth="1"/>
    <col min="11779" max="11780" width="7.5703125" style="56" customWidth="1"/>
    <col min="11781" max="11784" width="13.85546875" style="56" customWidth="1"/>
    <col min="11785" max="11785" width="10.85546875" style="56" customWidth="1"/>
    <col min="11786" max="11788" width="9.140625" style="56"/>
    <col min="11789" max="11789" width="14.28515625" style="56" customWidth="1"/>
    <col min="11790" max="11790" width="24.28515625" style="56" customWidth="1"/>
    <col min="11791" max="12032" width="9.140625" style="56"/>
    <col min="12033" max="12033" width="7.5703125" style="56" customWidth="1"/>
    <col min="12034" max="12034" width="48.5703125" style="56" customWidth="1"/>
    <col min="12035" max="12036" width="7.5703125" style="56" customWidth="1"/>
    <col min="12037" max="12040" width="13.85546875" style="56" customWidth="1"/>
    <col min="12041" max="12041" width="10.85546875" style="56" customWidth="1"/>
    <col min="12042" max="12044" width="9.140625" style="56"/>
    <col min="12045" max="12045" width="14.28515625" style="56" customWidth="1"/>
    <col min="12046" max="12046" width="24.28515625" style="56" customWidth="1"/>
    <col min="12047" max="12288" width="9.140625" style="56"/>
    <col min="12289" max="12289" width="7.5703125" style="56" customWidth="1"/>
    <col min="12290" max="12290" width="48.5703125" style="56" customWidth="1"/>
    <col min="12291" max="12292" width="7.5703125" style="56" customWidth="1"/>
    <col min="12293" max="12296" width="13.85546875" style="56" customWidth="1"/>
    <col min="12297" max="12297" width="10.85546875" style="56" customWidth="1"/>
    <col min="12298" max="12300" width="9.140625" style="56"/>
    <col min="12301" max="12301" width="14.28515625" style="56" customWidth="1"/>
    <col min="12302" max="12302" width="24.28515625" style="56" customWidth="1"/>
    <col min="12303" max="12544" width="9.140625" style="56"/>
    <col min="12545" max="12545" width="7.5703125" style="56" customWidth="1"/>
    <col min="12546" max="12546" width="48.5703125" style="56" customWidth="1"/>
    <col min="12547" max="12548" width="7.5703125" style="56" customWidth="1"/>
    <col min="12549" max="12552" width="13.85546875" style="56" customWidth="1"/>
    <col min="12553" max="12553" width="10.85546875" style="56" customWidth="1"/>
    <col min="12554" max="12556" width="9.140625" style="56"/>
    <col min="12557" max="12557" width="14.28515625" style="56" customWidth="1"/>
    <col min="12558" max="12558" width="24.28515625" style="56" customWidth="1"/>
    <col min="12559" max="12800" width="9.140625" style="56"/>
    <col min="12801" max="12801" width="7.5703125" style="56" customWidth="1"/>
    <col min="12802" max="12802" width="48.5703125" style="56" customWidth="1"/>
    <col min="12803" max="12804" width="7.5703125" style="56" customWidth="1"/>
    <col min="12805" max="12808" width="13.85546875" style="56" customWidth="1"/>
    <col min="12809" max="12809" width="10.85546875" style="56" customWidth="1"/>
    <col min="12810" max="12812" width="9.140625" style="56"/>
    <col min="12813" max="12813" width="14.28515625" style="56" customWidth="1"/>
    <col min="12814" max="12814" width="24.28515625" style="56" customWidth="1"/>
    <col min="12815" max="13056" width="9.140625" style="56"/>
    <col min="13057" max="13057" width="7.5703125" style="56" customWidth="1"/>
    <col min="13058" max="13058" width="48.5703125" style="56" customWidth="1"/>
    <col min="13059" max="13060" width="7.5703125" style="56" customWidth="1"/>
    <col min="13061" max="13064" width="13.85546875" style="56" customWidth="1"/>
    <col min="13065" max="13065" width="10.85546875" style="56" customWidth="1"/>
    <col min="13066" max="13068" width="9.140625" style="56"/>
    <col min="13069" max="13069" width="14.28515625" style="56" customWidth="1"/>
    <col min="13070" max="13070" width="24.28515625" style="56" customWidth="1"/>
    <col min="13071" max="13312" width="9.140625" style="56"/>
    <col min="13313" max="13313" width="7.5703125" style="56" customWidth="1"/>
    <col min="13314" max="13314" width="48.5703125" style="56" customWidth="1"/>
    <col min="13315" max="13316" width="7.5703125" style="56" customWidth="1"/>
    <col min="13317" max="13320" width="13.85546875" style="56" customWidth="1"/>
    <col min="13321" max="13321" width="10.85546875" style="56" customWidth="1"/>
    <col min="13322" max="13324" width="9.140625" style="56"/>
    <col min="13325" max="13325" width="14.28515625" style="56" customWidth="1"/>
    <col min="13326" max="13326" width="24.28515625" style="56" customWidth="1"/>
    <col min="13327" max="13568" width="9.140625" style="56"/>
    <col min="13569" max="13569" width="7.5703125" style="56" customWidth="1"/>
    <col min="13570" max="13570" width="48.5703125" style="56" customWidth="1"/>
    <col min="13571" max="13572" width="7.5703125" style="56" customWidth="1"/>
    <col min="13573" max="13576" width="13.85546875" style="56" customWidth="1"/>
    <col min="13577" max="13577" width="10.85546875" style="56" customWidth="1"/>
    <col min="13578" max="13580" width="9.140625" style="56"/>
    <col min="13581" max="13581" width="14.28515625" style="56" customWidth="1"/>
    <col min="13582" max="13582" width="24.28515625" style="56" customWidth="1"/>
    <col min="13583" max="13824" width="9.140625" style="56"/>
    <col min="13825" max="13825" width="7.5703125" style="56" customWidth="1"/>
    <col min="13826" max="13826" width="48.5703125" style="56" customWidth="1"/>
    <col min="13827" max="13828" width="7.5703125" style="56" customWidth="1"/>
    <col min="13829" max="13832" width="13.85546875" style="56" customWidth="1"/>
    <col min="13833" max="13833" width="10.85546875" style="56" customWidth="1"/>
    <col min="13834" max="13836" width="9.140625" style="56"/>
    <col min="13837" max="13837" width="14.28515625" style="56" customWidth="1"/>
    <col min="13838" max="13838" width="24.28515625" style="56" customWidth="1"/>
    <col min="13839" max="14080" width="9.140625" style="56"/>
    <col min="14081" max="14081" width="7.5703125" style="56" customWidth="1"/>
    <col min="14082" max="14082" width="48.5703125" style="56" customWidth="1"/>
    <col min="14083" max="14084" width="7.5703125" style="56" customWidth="1"/>
    <col min="14085" max="14088" width="13.85546875" style="56" customWidth="1"/>
    <col min="14089" max="14089" width="10.85546875" style="56" customWidth="1"/>
    <col min="14090" max="14092" width="9.140625" style="56"/>
    <col min="14093" max="14093" width="14.28515625" style="56" customWidth="1"/>
    <col min="14094" max="14094" width="24.28515625" style="56" customWidth="1"/>
    <col min="14095" max="14336" width="9.140625" style="56"/>
    <col min="14337" max="14337" width="7.5703125" style="56" customWidth="1"/>
    <col min="14338" max="14338" width="48.5703125" style="56" customWidth="1"/>
    <col min="14339" max="14340" width="7.5703125" style="56" customWidth="1"/>
    <col min="14341" max="14344" width="13.85546875" style="56" customWidth="1"/>
    <col min="14345" max="14345" width="10.85546875" style="56" customWidth="1"/>
    <col min="14346" max="14348" width="9.140625" style="56"/>
    <col min="14349" max="14349" width="14.28515625" style="56" customWidth="1"/>
    <col min="14350" max="14350" width="24.28515625" style="56" customWidth="1"/>
    <col min="14351" max="14592" width="9.140625" style="56"/>
    <col min="14593" max="14593" width="7.5703125" style="56" customWidth="1"/>
    <col min="14594" max="14594" width="48.5703125" style="56" customWidth="1"/>
    <col min="14595" max="14596" width="7.5703125" style="56" customWidth="1"/>
    <col min="14597" max="14600" width="13.85546875" style="56" customWidth="1"/>
    <col min="14601" max="14601" width="10.85546875" style="56" customWidth="1"/>
    <col min="14602" max="14604" width="9.140625" style="56"/>
    <col min="14605" max="14605" width="14.28515625" style="56" customWidth="1"/>
    <col min="14606" max="14606" width="24.28515625" style="56" customWidth="1"/>
    <col min="14607" max="14848" width="9.140625" style="56"/>
    <col min="14849" max="14849" width="7.5703125" style="56" customWidth="1"/>
    <col min="14850" max="14850" width="48.5703125" style="56" customWidth="1"/>
    <col min="14851" max="14852" width="7.5703125" style="56" customWidth="1"/>
    <col min="14853" max="14856" width="13.85546875" style="56" customWidth="1"/>
    <col min="14857" max="14857" width="10.85546875" style="56" customWidth="1"/>
    <col min="14858" max="14860" width="9.140625" style="56"/>
    <col min="14861" max="14861" width="14.28515625" style="56" customWidth="1"/>
    <col min="14862" max="14862" width="24.28515625" style="56" customWidth="1"/>
    <col min="14863" max="15104" width="9.140625" style="56"/>
    <col min="15105" max="15105" width="7.5703125" style="56" customWidth="1"/>
    <col min="15106" max="15106" width="48.5703125" style="56" customWidth="1"/>
    <col min="15107" max="15108" width="7.5703125" style="56" customWidth="1"/>
    <col min="15109" max="15112" width="13.85546875" style="56" customWidth="1"/>
    <col min="15113" max="15113" width="10.85546875" style="56" customWidth="1"/>
    <col min="15114" max="15116" width="9.140625" style="56"/>
    <col min="15117" max="15117" width="14.28515625" style="56" customWidth="1"/>
    <col min="15118" max="15118" width="24.28515625" style="56" customWidth="1"/>
    <col min="15119" max="15360" width="9.140625" style="56"/>
    <col min="15361" max="15361" width="7.5703125" style="56" customWidth="1"/>
    <col min="15362" max="15362" width="48.5703125" style="56" customWidth="1"/>
    <col min="15363" max="15364" width="7.5703125" style="56" customWidth="1"/>
    <col min="15365" max="15368" width="13.85546875" style="56" customWidth="1"/>
    <col min="15369" max="15369" width="10.85546875" style="56" customWidth="1"/>
    <col min="15370" max="15372" width="9.140625" style="56"/>
    <col min="15373" max="15373" width="14.28515625" style="56" customWidth="1"/>
    <col min="15374" max="15374" width="24.28515625" style="56" customWidth="1"/>
    <col min="15375" max="15616" width="9.140625" style="56"/>
    <col min="15617" max="15617" width="7.5703125" style="56" customWidth="1"/>
    <col min="15618" max="15618" width="48.5703125" style="56" customWidth="1"/>
    <col min="15619" max="15620" width="7.5703125" style="56" customWidth="1"/>
    <col min="15621" max="15624" width="13.85546875" style="56" customWidth="1"/>
    <col min="15625" max="15625" width="10.85546875" style="56" customWidth="1"/>
    <col min="15626" max="15628" width="9.140625" style="56"/>
    <col min="15629" max="15629" width="14.28515625" style="56" customWidth="1"/>
    <col min="15630" max="15630" width="24.28515625" style="56" customWidth="1"/>
    <col min="15631" max="15872" width="9.140625" style="56"/>
    <col min="15873" max="15873" width="7.5703125" style="56" customWidth="1"/>
    <col min="15874" max="15874" width="48.5703125" style="56" customWidth="1"/>
    <col min="15875" max="15876" width="7.5703125" style="56" customWidth="1"/>
    <col min="15877" max="15880" width="13.85546875" style="56" customWidth="1"/>
    <col min="15881" max="15881" width="10.85546875" style="56" customWidth="1"/>
    <col min="15882" max="15884" width="9.140625" style="56"/>
    <col min="15885" max="15885" width="14.28515625" style="56" customWidth="1"/>
    <col min="15886" max="15886" width="24.28515625" style="56" customWidth="1"/>
    <col min="15887" max="16128" width="9.140625" style="56"/>
    <col min="16129" max="16129" width="7.5703125" style="56" customWidth="1"/>
    <col min="16130" max="16130" width="48.5703125" style="56" customWidth="1"/>
    <col min="16131" max="16132" width="7.5703125" style="56" customWidth="1"/>
    <col min="16133" max="16136" width="13.85546875" style="56" customWidth="1"/>
    <col min="16137" max="16137" width="10.85546875" style="56" customWidth="1"/>
    <col min="16138" max="16140" width="9.140625" style="56"/>
    <col min="16141" max="16141" width="14.28515625" style="56" customWidth="1"/>
    <col min="16142" max="16142" width="24.28515625" style="56" customWidth="1"/>
    <col min="16143" max="16384" width="9.140625" style="56"/>
  </cols>
  <sheetData>
    <row r="1" spans="1:11" ht="18.75" customHeight="1">
      <c r="A1" s="1644" t="s">
        <v>0</v>
      </c>
      <c r="B1" s="1644"/>
      <c r="C1" s="1644"/>
      <c r="D1" s="1644"/>
      <c r="E1" s="1644"/>
      <c r="F1" s="1644"/>
      <c r="G1" s="1644"/>
      <c r="H1" s="1644"/>
      <c r="I1" s="55"/>
    </row>
    <row r="2" spans="1:11" ht="18.75" customHeight="1">
      <c r="A2" s="1644" t="s">
        <v>1</v>
      </c>
      <c r="B2" s="1644"/>
      <c r="C2" s="1644"/>
      <c r="D2" s="1644"/>
      <c r="E2" s="1644"/>
      <c r="F2" s="1644"/>
      <c r="G2" s="1644"/>
      <c r="H2" s="1644"/>
      <c r="I2" s="55"/>
    </row>
    <row r="3" spans="1:11" ht="27.75" customHeight="1">
      <c r="A3" s="1645" t="s">
        <v>142</v>
      </c>
      <c r="B3" s="1645"/>
      <c r="C3" s="1645"/>
      <c r="D3" s="1645"/>
      <c r="E3" s="1645"/>
      <c r="F3" s="1645"/>
      <c r="G3" s="1645"/>
      <c r="H3" s="1645"/>
      <c r="I3" s="57"/>
    </row>
    <row r="4" spans="1:11" ht="54" customHeight="1">
      <c r="A4" s="58"/>
      <c r="B4" s="1646" t="str">
        <f>'[5]Septic tank'!A14</f>
        <v>Construction of  Administrative Building with development works at TSP 1st Battalion Campus in Trichy.</v>
      </c>
      <c r="C4" s="1646"/>
      <c r="D4" s="1646"/>
      <c r="E4" s="1646"/>
      <c r="F4" s="1646"/>
      <c r="G4" s="1646"/>
      <c r="H4" s="1646"/>
      <c r="I4" s="59"/>
    </row>
    <row r="5" spans="1:11" ht="17.25" thickBot="1">
      <c r="A5" s="1647" t="s">
        <v>2</v>
      </c>
      <c r="B5" s="1647"/>
      <c r="C5" s="1647"/>
      <c r="D5" s="1647"/>
      <c r="E5" s="1647"/>
      <c r="F5" s="1647"/>
      <c r="G5" s="1647"/>
      <c r="H5" s="1647"/>
      <c r="I5" s="60"/>
    </row>
    <row r="6" spans="1:11">
      <c r="A6" s="1648" t="s">
        <v>3</v>
      </c>
      <c r="B6" s="1650" t="s">
        <v>4</v>
      </c>
      <c r="C6" s="1652" t="s">
        <v>5</v>
      </c>
      <c r="D6" s="1652"/>
      <c r="E6" s="1650" t="s">
        <v>6</v>
      </c>
      <c r="F6" s="1650"/>
      <c r="G6" s="1650"/>
      <c r="H6" s="1654" t="s">
        <v>14</v>
      </c>
      <c r="I6" s="60"/>
    </row>
    <row r="7" spans="1:11" ht="17.25" thickBot="1">
      <c r="A7" s="1649"/>
      <c r="B7" s="1651"/>
      <c r="C7" s="1653"/>
      <c r="D7" s="1653"/>
      <c r="E7" s="61" t="s">
        <v>8</v>
      </c>
      <c r="F7" s="61" t="s">
        <v>9</v>
      </c>
      <c r="G7" s="61" t="s">
        <v>10</v>
      </c>
      <c r="H7" s="1655"/>
      <c r="I7" s="60"/>
      <c r="K7" s="62"/>
    </row>
    <row r="8" spans="1:11" s="65" customFormat="1" ht="128.25" customHeight="1" thickTop="1">
      <c r="A8" s="63">
        <v>1</v>
      </c>
      <c r="B8" s="1638" t="s">
        <v>143</v>
      </c>
      <c r="C8" s="1639"/>
      <c r="D8" s="1639"/>
      <c r="E8" s="1639"/>
      <c r="F8" s="1639"/>
      <c r="G8" s="1640"/>
      <c r="H8" s="64"/>
    </row>
    <row r="9" spans="1:11" s="72" customFormat="1" ht="39.950000000000003" customHeight="1">
      <c r="A9" s="66"/>
      <c r="B9" s="67" t="s">
        <v>144</v>
      </c>
      <c r="C9" s="68"/>
      <c r="D9" s="68"/>
      <c r="E9" s="69"/>
      <c r="F9" s="69"/>
      <c r="G9" s="70"/>
      <c r="H9" s="71"/>
    </row>
    <row r="10" spans="1:11" s="72" customFormat="1" ht="39.950000000000003" customHeight="1">
      <c r="A10" s="66"/>
      <c r="B10" s="73" t="s">
        <v>145</v>
      </c>
      <c r="C10" s="68">
        <v>1</v>
      </c>
      <c r="D10" s="68">
        <v>1</v>
      </c>
      <c r="E10" s="69">
        <f>248</f>
        <v>248</v>
      </c>
      <c r="F10" s="69">
        <v>0.56999999999999995</v>
      </c>
      <c r="G10" s="70">
        <v>0.3</v>
      </c>
      <c r="H10" s="71">
        <f>ROUND(PRODUCT(C10:G10),2)</f>
        <v>42.41</v>
      </c>
    </row>
    <row r="11" spans="1:11" s="72" customFormat="1" ht="39.950000000000003" customHeight="1">
      <c r="A11" s="66"/>
      <c r="B11" s="74"/>
      <c r="C11" s="75"/>
      <c r="D11" s="76"/>
      <c r="E11" s="77"/>
      <c r="F11" s="77"/>
      <c r="G11" s="77"/>
      <c r="H11" s="78">
        <f>J12-I12</f>
        <v>0.59000000000000341</v>
      </c>
      <c r="I11" s="79"/>
      <c r="J11" s="79"/>
    </row>
    <row r="12" spans="1:11" s="65" customFormat="1" ht="39.950000000000003" customHeight="1">
      <c r="A12" s="66"/>
      <c r="B12" s="74"/>
      <c r="C12" s="75"/>
      <c r="D12" s="80"/>
      <c r="E12" s="77"/>
      <c r="F12" s="77"/>
      <c r="G12" s="77"/>
      <c r="H12" s="81">
        <f>+J12</f>
        <v>43</v>
      </c>
      <c r="I12" s="82">
        <f>SUM(H10:H10)</f>
        <v>42.41</v>
      </c>
      <c r="J12" s="82">
        <f>ROUNDUP(I12,0)</f>
        <v>43</v>
      </c>
    </row>
    <row r="13" spans="1:11" s="65" customFormat="1" ht="39.950000000000003" customHeight="1">
      <c r="A13" s="66"/>
      <c r="B13" s="74"/>
      <c r="C13" s="75"/>
      <c r="D13" s="80"/>
      <c r="E13" s="77"/>
      <c r="F13" s="83" t="s">
        <v>11</v>
      </c>
      <c r="G13" s="83">
        <f>H12</f>
        <v>43</v>
      </c>
      <c r="H13" s="84" t="s">
        <v>19</v>
      </c>
    </row>
    <row r="14" spans="1:11" s="65" customFormat="1" ht="87" customHeight="1">
      <c r="A14" s="85">
        <f>+A8+1</f>
        <v>2</v>
      </c>
      <c r="B14" s="1641" t="s">
        <v>146</v>
      </c>
      <c r="C14" s="1642"/>
      <c r="D14" s="1642"/>
      <c r="E14" s="1642"/>
      <c r="F14" s="1642"/>
      <c r="G14" s="1643"/>
      <c r="H14" s="71"/>
    </row>
    <row r="15" spans="1:11" s="72" customFormat="1" ht="39.950000000000003" customHeight="1">
      <c r="A15" s="66"/>
      <c r="B15" s="67" t="s">
        <v>144</v>
      </c>
      <c r="C15" s="68"/>
      <c r="D15" s="68"/>
      <c r="E15" s="69"/>
      <c r="F15" s="69"/>
      <c r="G15" s="70"/>
      <c r="H15" s="71"/>
    </row>
    <row r="16" spans="1:11" s="72" customFormat="1" ht="39.950000000000003" customHeight="1">
      <c r="A16" s="66"/>
      <c r="B16" s="73" t="str">
        <f>B10</f>
        <v>For Admin</v>
      </c>
      <c r="C16" s="68">
        <v>1</v>
      </c>
      <c r="D16" s="68">
        <v>1</v>
      </c>
      <c r="E16" s="69">
        <f>E10</f>
        <v>248</v>
      </c>
      <c r="F16" s="69">
        <v>0.56999999999999995</v>
      </c>
      <c r="G16" s="70">
        <v>0.1</v>
      </c>
      <c r="H16" s="71">
        <f>ROUND(PRODUCT(C16:G16),2)</f>
        <v>14.14</v>
      </c>
    </row>
    <row r="17" spans="1:16" s="72" customFormat="1" ht="39.950000000000003" customHeight="1">
      <c r="A17" s="66"/>
      <c r="B17" s="74"/>
      <c r="C17" s="75"/>
      <c r="D17" s="76"/>
      <c r="E17" s="77"/>
      <c r="F17" s="77"/>
      <c r="G17" s="77"/>
      <c r="H17" s="78">
        <f>J18-I18</f>
        <v>0.85999999999999943</v>
      </c>
      <c r="I17" s="79"/>
      <c r="J17" s="79"/>
    </row>
    <row r="18" spans="1:16" s="65" customFormat="1" ht="39.950000000000003" customHeight="1">
      <c r="A18" s="85"/>
      <c r="B18" s="74"/>
      <c r="C18" s="75"/>
      <c r="D18" s="80"/>
      <c r="E18" s="77"/>
      <c r="F18" s="77"/>
      <c r="G18" s="77"/>
      <c r="H18" s="81">
        <f>+J18</f>
        <v>15</v>
      </c>
      <c r="I18" s="82">
        <f>SUM(H16:H16)</f>
        <v>14.14</v>
      </c>
      <c r="J18" s="82">
        <f>ROUNDUP(I18,0)</f>
        <v>15</v>
      </c>
    </row>
    <row r="19" spans="1:16" s="65" customFormat="1" ht="39.950000000000003" customHeight="1">
      <c r="A19" s="85"/>
      <c r="B19" s="74"/>
      <c r="C19" s="75"/>
      <c r="D19" s="80"/>
      <c r="E19" s="77"/>
      <c r="F19" s="83" t="s">
        <v>11</v>
      </c>
      <c r="G19" s="83">
        <f>H18</f>
        <v>15</v>
      </c>
      <c r="H19" s="84" t="s">
        <v>19</v>
      </c>
    </row>
    <row r="20" spans="1:16" s="65" customFormat="1" ht="102" customHeight="1">
      <c r="A20" s="85">
        <f>+A14+1</f>
        <v>3</v>
      </c>
      <c r="B20" s="1641" t="s">
        <v>147</v>
      </c>
      <c r="C20" s="1642"/>
      <c r="D20" s="1642"/>
      <c r="E20" s="1642"/>
      <c r="F20" s="1642"/>
      <c r="G20" s="1643"/>
      <c r="H20" s="71"/>
    </row>
    <row r="21" spans="1:16" s="72" customFormat="1" ht="39.950000000000003" customHeight="1">
      <c r="A21" s="66"/>
      <c r="B21" s="67" t="s">
        <v>144</v>
      </c>
      <c r="C21" s="68"/>
      <c r="D21" s="68"/>
      <c r="E21" s="69"/>
      <c r="F21" s="69"/>
      <c r="G21" s="70"/>
      <c r="H21" s="71"/>
    </row>
    <row r="22" spans="1:16" s="72" customFormat="1" ht="39.950000000000003" customHeight="1">
      <c r="A22" s="66"/>
      <c r="B22" s="73" t="str">
        <f>B16</f>
        <v>For Admin</v>
      </c>
      <c r="C22" s="68">
        <v>1</v>
      </c>
      <c r="D22" s="68">
        <v>1</v>
      </c>
      <c r="E22" s="69">
        <f>E16</f>
        <v>248</v>
      </c>
      <c r="F22" s="69">
        <v>0.56999999999999995</v>
      </c>
      <c r="G22" s="70">
        <v>0.1</v>
      </c>
      <c r="H22" s="71">
        <f>ROUND(PRODUCT(C22:G22),2)</f>
        <v>14.14</v>
      </c>
    </row>
    <row r="23" spans="1:16" s="72" customFormat="1" ht="39.950000000000003" customHeight="1">
      <c r="A23" s="66"/>
      <c r="B23" s="74"/>
      <c r="C23" s="75"/>
      <c r="D23" s="76"/>
      <c r="E23" s="77"/>
      <c r="F23" s="77"/>
      <c r="G23" s="77"/>
      <c r="H23" s="78">
        <f>J24-I24</f>
        <v>0.85999999999999943</v>
      </c>
      <c r="I23" s="79"/>
      <c r="J23" s="79"/>
    </row>
    <row r="24" spans="1:16" s="65" customFormat="1" ht="39.950000000000003" customHeight="1">
      <c r="A24" s="85"/>
      <c r="B24" s="74"/>
      <c r="C24" s="75"/>
      <c r="D24" s="80"/>
      <c r="E24" s="77"/>
      <c r="F24" s="77"/>
      <c r="G24" s="77"/>
      <c r="H24" s="81">
        <f>+J24</f>
        <v>15</v>
      </c>
      <c r="I24" s="82">
        <f>SUM(H22:H22)</f>
        <v>14.14</v>
      </c>
      <c r="J24" s="82">
        <f>ROUNDUP(I24,0)</f>
        <v>15</v>
      </c>
    </row>
    <row r="25" spans="1:16" s="65" customFormat="1" ht="39.950000000000003" customHeight="1">
      <c r="A25" s="85"/>
      <c r="B25" s="74"/>
      <c r="C25" s="75"/>
      <c r="D25" s="80"/>
      <c r="E25" s="77"/>
      <c r="F25" s="83" t="s">
        <v>11</v>
      </c>
      <c r="G25" s="83">
        <f>H24</f>
        <v>15</v>
      </c>
      <c r="H25" s="84" t="s">
        <v>19</v>
      </c>
    </row>
    <row r="26" spans="1:16" s="65" customFormat="1" ht="105.75" customHeight="1">
      <c r="A26" s="85">
        <f>+A20+1</f>
        <v>4</v>
      </c>
      <c r="B26" s="1641" t="s">
        <v>148</v>
      </c>
      <c r="C26" s="1642"/>
      <c r="D26" s="1642"/>
      <c r="E26" s="1642"/>
      <c r="F26" s="1642"/>
      <c r="G26" s="1643"/>
      <c r="H26" s="71"/>
    </row>
    <row r="27" spans="1:16" s="72" customFormat="1" ht="39.950000000000003" customHeight="1">
      <c r="A27" s="66"/>
      <c r="B27" s="67" t="s">
        <v>144</v>
      </c>
      <c r="C27" s="68"/>
      <c r="D27" s="68"/>
      <c r="E27" s="69"/>
      <c r="F27" s="69"/>
      <c r="G27" s="70"/>
      <c r="H27" s="71"/>
    </row>
    <row r="28" spans="1:16" s="72" customFormat="1" ht="39.950000000000003" customHeight="1">
      <c r="A28" s="66"/>
      <c r="B28" s="73" t="str">
        <f>B22</f>
        <v>For Admin</v>
      </c>
      <c r="C28" s="68">
        <v>1</v>
      </c>
      <c r="D28" s="68">
        <v>1</v>
      </c>
      <c r="E28" s="69">
        <f>E22</f>
        <v>248</v>
      </c>
      <c r="F28" s="77">
        <v>0.25</v>
      </c>
      <c r="G28" s="77">
        <v>0.1</v>
      </c>
      <c r="H28" s="71">
        <f>ROUND(PRODUCT(C28:G28),2)</f>
        <v>6.2</v>
      </c>
      <c r="K28" s="75"/>
      <c r="L28" s="76"/>
      <c r="M28" s="86"/>
      <c r="N28" s="86"/>
      <c r="O28" s="86"/>
      <c r="P28" s="87">
        <f>ROUND(PRODUCT(K28:O28),2)</f>
        <v>0</v>
      </c>
    </row>
    <row r="29" spans="1:16" s="72" customFormat="1" ht="39.950000000000003" customHeight="1">
      <c r="A29" s="66"/>
      <c r="B29" s="74"/>
      <c r="C29" s="75"/>
      <c r="D29" s="76"/>
      <c r="E29" s="77"/>
      <c r="F29" s="77"/>
      <c r="G29" s="77"/>
      <c r="H29" s="78">
        <f>J30-I30</f>
        <v>0.79999999999999982</v>
      </c>
      <c r="I29" s="79"/>
      <c r="J29" s="79"/>
    </row>
    <row r="30" spans="1:16" s="72" customFormat="1" ht="39.950000000000003" customHeight="1">
      <c r="A30" s="66"/>
      <c r="B30" s="74"/>
      <c r="C30" s="75"/>
      <c r="D30" s="80"/>
      <c r="E30" s="77"/>
      <c r="F30" s="77"/>
      <c r="G30" s="77"/>
      <c r="H30" s="81">
        <f>+J30</f>
        <v>7</v>
      </c>
      <c r="I30" s="82">
        <f>SUM(H28:H28)</f>
        <v>6.2</v>
      </c>
      <c r="J30" s="82">
        <f>ROUNDUP(I30,0)</f>
        <v>7</v>
      </c>
    </row>
    <row r="31" spans="1:16" s="65" customFormat="1" ht="39.950000000000003" customHeight="1">
      <c r="A31" s="85"/>
      <c r="B31" s="74"/>
      <c r="C31" s="75"/>
      <c r="D31" s="80"/>
      <c r="E31" s="77"/>
      <c r="F31" s="83" t="s">
        <v>11</v>
      </c>
      <c r="G31" s="83">
        <f>H30</f>
        <v>7</v>
      </c>
      <c r="H31" s="84" t="s">
        <v>19</v>
      </c>
    </row>
    <row r="32" spans="1:16" s="90" customFormat="1" ht="119.25" customHeight="1">
      <c r="A32" s="88">
        <f>+A26+1</f>
        <v>5</v>
      </c>
      <c r="B32" s="1641" t="s">
        <v>149</v>
      </c>
      <c r="C32" s="1642"/>
      <c r="D32" s="1642"/>
      <c r="E32" s="1642"/>
      <c r="F32" s="1642"/>
      <c r="G32" s="1643"/>
      <c r="H32" s="89"/>
    </row>
    <row r="33" spans="1:12" s="72" customFormat="1" ht="39.950000000000003" customHeight="1">
      <c r="A33" s="66"/>
      <c r="B33" s="67" t="s">
        <v>144</v>
      </c>
      <c r="C33" s="68"/>
      <c r="D33" s="68"/>
      <c r="E33" s="69"/>
      <c r="F33" s="69"/>
      <c r="G33" s="70"/>
      <c r="H33" s="71"/>
    </row>
    <row r="34" spans="1:12" s="93" customFormat="1" ht="39.950000000000003" customHeight="1">
      <c r="A34" s="88"/>
      <c r="B34" s="73" t="str">
        <f>B28</f>
        <v>For Admin</v>
      </c>
      <c r="C34" s="68">
        <v>1</v>
      </c>
      <c r="D34" s="68">
        <v>1</v>
      </c>
      <c r="E34" s="69">
        <f>E28</f>
        <v>248</v>
      </c>
      <c r="F34" s="91"/>
      <c r="G34" s="92">
        <v>0.7</v>
      </c>
      <c r="H34" s="71">
        <f>ROUND(PRODUCT(C34:G34),2)</f>
        <v>173.6</v>
      </c>
      <c r="I34" s="72"/>
      <c r="J34" s="72"/>
    </row>
    <row r="35" spans="1:12" s="93" customFormat="1" ht="39.950000000000003" customHeight="1">
      <c r="A35" s="88"/>
      <c r="B35" s="94"/>
      <c r="C35" s="95"/>
      <c r="D35" s="95"/>
      <c r="E35" s="91"/>
      <c r="F35" s="91"/>
      <c r="G35" s="91"/>
      <c r="H35" s="78">
        <f>J36-I36</f>
        <v>0.40000000000000568</v>
      </c>
      <c r="I35" s="79"/>
      <c r="J35" s="79"/>
    </row>
    <row r="36" spans="1:12" s="90" customFormat="1" ht="39.950000000000003" customHeight="1">
      <c r="A36" s="88"/>
      <c r="B36" s="94"/>
      <c r="C36" s="96"/>
      <c r="D36" s="96"/>
      <c r="E36" s="91"/>
      <c r="F36" s="91"/>
      <c r="G36" s="91"/>
      <c r="H36" s="81">
        <f>+J36</f>
        <v>174</v>
      </c>
      <c r="I36" s="82">
        <f>SUM(H34:H34)</f>
        <v>173.6</v>
      </c>
      <c r="J36" s="82">
        <f>ROUNDUP(I36,0)</f>
        <v>174</v>
      </c>
    </row>
    <row r="37" spans="1:12" s="90" customFormat="1" ht="39.950000000000003" customHeight="1">
      <c r="A37" s="88"/>
      <c r="B37" s="94"/>
      <c r="C37" s="96"/>
      <c r="D37" s="96"/>
      <c r="E37" s="91"/>
      <c r="F37" s="97" t="s">
        <v>11</v>
      </c>
      <c r="G37" s="97">
        <f>+H36</f>
        <v>174</v>
      </c>
      <c r="H37" s="98" t="s">
        <v>26</v>
      </c>
    </row>
    <row r="38" spans="1:12" s="90" customFormat="1" ht="99.75" customHeight="1">
      <c r="A38" s="88">
        <f>+A32+1</f>
        <v>6</v>
      </c>
      <c r="B38" s="1641" t="s">
        <v>150</v>
      </c>
      <c r="C38" s="1642"/>
      <c r="D38" s="1642"/>
      <c r="E38" s="1642"/>
      <c r="F38" s="1642"/>
      <c r="G38" s="1643"/>
      <c r="H38" s="89"/>
    </row>
    <row r="39" spans="1:12" s="72" customFormat="1" ht="39.950000000000003" customHeight="1">
      <c r="A39" s="66"/>
      <c r="B39" s="67" t="s">
        <v>144</v>
      </c>
      <c r="C39" s="68"/>
      <c r="D39" s="68"/>
      <c r="E39" s="69"/>
      <c r="F39" s="69"/>
      <c r="G39" s="70"/>
      <c r="H39" s="71"/>
    </row>
    <row r="40" spans="1:12" s="93" customFormat="1" ht="39.950000000000003" customHeight="1">
      <c r="A40" s="88"/>
      <c r="B40" s="73" t="str">
        <f>B34</f>
        <v>For Admin</v>
      </c>
      <c r="C40" s="68">
        <v>1</v>
      </c>
      <c r="D40" s="99">
        <f>ROUNDUP(E34/2.4,0)</f>
        <v>104</v>
      </c>
      <c r="E40" s="69">
        <v>0.23</v>
      </c>
      <c r="F40" s="91">
        <v>0.23</v>
      </c>
      <c r="G40" s="92">
        <v>0.7</v>
      </c>
      <c r="H40" s="71">
        <f>ROUND(PRODUCT(C40:G40),2)</f>
        <v>3.85</v>
      </c>
      <c r="I40" s="72"/>
      <c r="J40" s="72"/>
      <c r="L40" s="82"/>
    </row>
    <row r="41" spans="1:12" s="93" customFormat="1" ht="39.950000000000003" customHeight="1">
      <c r="A41" s="88"/>
      <c r="B41" s="94"/>
      <c r="C41" s="95"/>
      <c r="D41" s="95"/>
      <c r="E41" s="91"/>
      <c r="F41" s="91"/>
      <c r="G41" s="91"/>
      <c r="H41" s="78">
        <f>J42-I42</f>
        <v>0.14999999999999991</v>
      </c>
      <c r="I41" s="79"/>
      <c r="J41" s="79"/>
    </row>
    <row r="42" spans="1:12" s="90" customFormat="1" ht="39.950000000000003" customHeight="1">
      <c r="A42" s="88"/>
      <c r="B42" s="94"/>
      <c r="C42" s="96"/>
      <c r="D42" s="96"/>
      <c r="E42" s="91"/>
      <c r="F42" s="91"/>
      <c r="G42" s="91"/>
      <c r="H42" s="81">
        <f>+J42</f>
        <v>4</v>
      </c>
      <c r="I42" s="82">
        <f>SUM(H40:H40)</f>
        <v>3.85</v>
      </c>
      <c r="J42" s="82">
        <f>ROUNDUP(I42,0)</f>
        <v>4</v>
      </c>
    </row>
    <row r="43" spans="1:12" s="90" customFormat="1" ht="39.950000000000003" customHeight="1">
      <c r="A43" s="88"/>
      <c r="B43" s="94"/>
      <c r="C43" s="96"/>
      <c r="D43" s="96"/>
      <c r="E43" s="91"/>
      <c r="F43" s="97" t="s">
        <v>11</v>
      </c>
      <c r="G43" s="97">
        <f>+H42</f>
        <v>4</v>
      </c>
      <c r="H43" s="98" t="s">
        <v>19</v>
      </c>
    </row>
    <row r="44" spans="1:12" s="90" customFormat="1" ht="85.5" customHeight="1">
      <c r="A44" s="100">
        <f>+A38+1</f>
        <v>7</v>
      </c>
      <c r="B44" s="1634" t="s">
        <v>27</v>
      </c>
      <c r="C44" s="1635"/>
      <c r="D44" s="1635"/>
      <c r="E44" s="1635"/>
      <c r="F44" s="1635"/>
      <c r="G44" s="1636"/>
      <c r="H44" s="89"/>
    </row>
    <row r="45" spans="1:12" s="72" customFormat="1" ht="39.950000000000003" customHeight="1">
      <c r="A45" s="66"/>
      <c r="B45" s="67" t="s">
        <v>144</v>
      </c>
      <c r="C45" s="68"/>
      <c r="D45" s="68"/>
      <c r="E45" s="69"/>
      <c r="F45" s="69"/>
      <c r="G45" s="70"/>
      <c r="H45" s="71"/>
    </row>
    <row r="46" spans="1:12" s="93" customFormat="1" ht="39.950000000000003" customHeight="1">
      <c r="A46" s="88"/>
      <c r="B46" s="73" t="str">
        <f>B40</f>
        <v>For Admin</v>
      </c>
      <c r="C46" s="68">
        <v>1</v>
      </c>
      <c r="D46" s="68">
        <v>1</v>
      </c>
      <c r="E46" s="69">
        <f>E34</f>
        <v>248</v>
      </c>
      <c r="F46" s="91"/>
      <c r="G46" s="92">
        <v>0.6</v>
      </c>
      <c r="H46" s="71">
        <f>ROUND(PRODUCT(C46:G46),2)</f>
        <v>148.80000000000001</v>
      </c>
    </row>
    <row r="47" spans="1:12" s="90" customFormat="1" ht="39.950000000000003" customHeight="1">
      <c r="A47" s="100"/>
      <c r="B47" s="94"/>
      <c r="C47" s="95"/>
      <c r="D47" s="95"/>
      <c r="E47" s="91"/>
      <c r="F47" s="91"/>
      <c r="G47" s="91"/>
      <c r="H47" s="78">
        <f>J48-I48</f>
        <v>0.19999999999998863</v>
      </c>
      <c r="I47" s="79"/>
      <c r="J47" s="79"/>
    </row>
    <row r="48" spans="1:12" s="90" customFormat="1" ht="39.950000000000003" customHeight="1">
      <c r="A48" s="101"/>
      <c r="B48" s="94"/>
      <c r="C48" s="96"/>
      <c r="D48" s="96"/>
      <c r="E48" s="91"/>
      <c r="F48" s="91"/>
      <c r="G48" s="91"/>
      <c r="H48" s="81">
        <f>+J48</f>
        <v>149</v>
      </c>
      <c r="I48" s="82">
        <f>SUM(H46:H46)</f>
        <v>148.80000000000001</v>
      </c>
      <c r="J48" s="82">
        <f>ROUNDUP(I48,0)</f>
        <v>149</v>
      </c>
    </row>
    <row r="49" spans="1:12" s="90" customFormat="1" ht="39.950000000000003" customHeight="1">
      <c r="A49" s="101"/>
      <c r="B49" s="102"/>
      <c r="C49" s="103"/>
      <c r="D49" s="103"/>
      <c r="E49" s="91"/>
      <c r="F49" s="83" t="s">
        <v>11</v>
      </c>
      <c r="G49" s="83">
        <f>+H48</f>
        <v>149</v>
      </c>
      <c r="H49" s="84" t="s">
        <v>26</v>
      </c>
    </row>
    <row r="50" spans="1:12" s="90" customFormat="1" ht="96" customHeight="1">
      <c r="A50" s="100">
        <f>+A44+1</f>
        <v>8</v>
      </c>
      <c r="B50" s="1634" t="s">
        <v>151</v>
      </c>
      <c r="C50" s="1635"/>
      <c r="D50" s="1635"/>
      <c r="E50" s="1635"/>
      <c r="F50" s="1635"/>
      <c r="G50" s="1636"/>
      <c r="H50" s="89"/>
    </row>
    <row r="51" spans="1:12" s="72" customFormat="1" ht="39.950000000000003" customHeight="1">
      <c r="A51" s="66"/>
      <c r="B51" s="67" t="s">
        <v>152</v>
      </c>
      <c r="C51" s="68"/>
      <c r="D51" s="68"/>
      <c r="E51" s="69"/>
      <c r="F51" s="69"/>
      <c r="G51" s="70"/>
      <c r="H51" s="71"/>
    </row>
    <row r="52" spans="1:12" s="93" customFormat="1" ht="39.950000000000003" customHeight="1">
      <c r="A52" s="88"/>
      <c r="B52" s="73" t="str">
        <f>B46</f>
        <v>For Admin</v>
      </c>
      <c r="C52" s="68">
        <v>1</v>
      </c>
      <c r="D52" s="68">
        <v>1</v>
      </c>
      <c r="E52" s="69">
        <f>E46</f>
        <v>248</v>
      </c>
      <c r="F52" s="104">
        <v>0.25</v>
      </c>
      <c r="G52" s="92"/>
      <c r="H52" s="71">
        <f>ROUND(PRODUCT(C52:G52),2)</f>
        <v>62</v>
      </c>
    </row>
    <row r="53" spans="1:12" s="90" customFormat="1" ht="39.950000000000003" customHeight="1">
      <c r="A53" s="100"/>
      <c r="B53" s="94"/>
      <c r="C53" s="95"/>
      <c r="D53" s="95"/>
      <c r="E53" s="91"/>
      <c r="F53" s="91"/>
      <c r="G53" s="91"/>
      <c r="H53" s="78">
        <f>J54-I54</f>
        <v>0</v>
      </c>
      <c r="I53" s="79"/>
      <c r="J53" s="79"/>
    </row>
    <row r="54" spans="1:12" s="90" customFormat="1" ht="39.950000000000003" customHeight="1">
      <c r="A54" s="101"/>
      <c r="B54" s="94"/>
      <c r="C54" s="96"/>
      <c r="D54" s="96"/>
      <c r="E54" s="91"/>
      <c r="F54" s="91"/>
      <c r="G54" s="91"/>
      <c r="H54" s="81">
        <f>+J54</f>
        <v>62</v>
      </c>
      <c r="I54" s="82">
        <f>SUM(H52:H52)</f>
        <v>62</v>
      </c>
      <c r="J54" s="82">
        <f>ROUNDUP(I54,0)</f>
        <v>62</v>
      </c>
    </row>
    <row r="55" spans="1:12" s="90" customFormat="1" ht="39.950000000000003" customHeight="1">
      <c r="A55" s="101"/>
      <c r="B55" s="102"/>
      <c r="C55" s="103"/>
      <c r="D55" s="103"/>
      <c r="E55" s="91"/>
      <c r="F55" s="83" t="s">
        <v>11</v>
      </c>
      <c r="G55" s="83">
        <f>+H54</f>
        <v>62</v>
      </c>
      <c r="H55" s="84" t="s">
        <v>26</v>
      </c>
    </row>
    <row r="56" spans="1:12" s="90" customFormat="1" ht="79.5" customHeight="1">
      <c r="A56" s="100">
        <f>+A50+1</f>
        <v>9</v>
      </c>
      <c r="B56" s="1634" t="s">
        <v>153</v>
      </c>
      <c r="C56" s="1635"/>
      <c r="D56" s="1635"/>
      <c r="E56" s="1635"/>
      <c r="F56" s="1635"/>
      <c r="G56" s="1636"/>
      <c r="H56" s="89"/>
    </row>
    <row r="57" spans="1:12" s="93" customFormat="1" ht="39.950000000000003" customHeight="1">
      <c r="A57" s="88"/>
      <c r="B57" s="105" t="s">
        <v>154</v>
      </c>
      <c r="C57" s="106"/>
      <c r="D57" s="96"/>
      <c r="E57" s="91"/>
      <c r="F57" s="91"/>
      <c r="G57" s="91"/>
      <c r="H57" s="89"/>
      <c r="L57" s="107"/>
    </row>
    <row r="58" spans="1:12" s="93" customFormat="1" ht="39.950000000000003" customHeight="1">
      <c r="A58" s="88"/>
      <c r="B58" s="73" t="str">
        <f>B52</f>
        <v>For Admin</v>
      </c>
      <c r="C58" s="68">
        <v>1</v>
      </c>
      <c r="D58" s="68">
        <v>2</v>
      </c>
      <c r="E58" s="69">
        <f>E52</f>
        <v>248</v>
      </c>
      <c r="F58" s="68"/>
      <c r="G58" s="104">
        <f>0.6+0.115</f>
        <v>0.71499999999999997</v>
      </c>
      <c r="H58" s="71">
        <f>ROUND(PRODUCT(C58:G58),2)</f>
        <v>354.64</v>
      </c>
    </row>
    <row r="59" spans="1:12" s="90" customFormat="1" ht="39.950000000000003" customHeight="1">
      <c r="A59" s="100"/>
      <c r="B59" s="94"/>
      <c r="C59" s="95"/>
      <c r="D59" s="95"/>
      <c r="E59" s="91"/>
      <c r="F59" s="91"/>
      <c r="G59" s="91"/>
      <c r="H59" s="78">
        <f>J60-I60</f>
        <v>0.36000000000001364</v>
      </c>
      <c r="I59" s="79"/>
      <c r="J59" s="79"/>
    </row>
    <row r="60" spans="1:12" s="90" customFormat="1" ht="39.950000000000003" customHeight="1">
      <c r="A60" s="101"/>
      <c r="B60" s="94"/>
      <c r="C60" s="96"/>
      <c r="D60" s="96"/>
      <c r="E60" s="91"/>
      <c r="F60" s="91"/>
      <c r="G60" s="91"/>
      <c r="H60" s="81">
        <f>+J60</f>
        <v>355</v>
      </c>
      <c r="I60" s="82">
        <f>SUM(H58:H58)</f>
        <v>354.64</v>
      </c>
      <c r="J60" s="82">
        <f>ROUNDUP(I60,0)</f>
        <v>355</v>
      </c>
    </row>
    <row r="61" spans="1:12" s="90" customFormat="1" ht="39.950000000000003" customHeight="1">
      <c r="A61" s="101"/>
      <c r="B61" s="102"/>
      <c r="C61" s="103"/>
      <c r="D61" s="103"/>
      <c r="E61" s="91"/>
      <c r="F61" s="83" t="s">
        <v>11</v>
      </c>
      <c r="G61" s="83">
        <f>+H60</f>
        <v>355</v>
      </c>
      <c r="H61" s="84" t="s">
        <v>26</v>
      </c>
    </row>
    <row r="62" spans="1:12" s="90" customFormat="1" ht="24.95" customHeight="1">
      <c r="A62" s="108"/>
      <c r="B62" s="109"/>
      <c r="C62" s="110"/>
      <c r="D62" s="110"/>
      <c r="E62" s="111"/>
      <c r="F62" s="112"/>
      <c r="G62" s="112"/>
      <c r="H62" s="112"/>
    </row>
    <row r="63" spans="1:12" ht="28.5" customHeight="1"/>
    <row r="64" spans="1:12" ht="28.5" customHeight="1"/>
    <row r="65" spans="1:9">
      <c r="A65" s="1637" t="s">
        <v>155</v>
      </c>
      <c r="B65" s="1637"/>
      <c r="C65" s="1637"/>
      <c r="D65" s="1637"/>
      <c r="E65" s="1637"/>
      <c r="F65" s="1637"/>
      <c r="G65" s="1637"/>
      <c r="H65" s="1637"/>
      <c r="I65" s="114"/>
    </row>
  </sheetData>
  <mergeCells count="20">
    <mergeCell ref="A6:A7"/>
    <mergeCell ref="B6:B7"/>
    <mergeCell ref="C6:D7"/>
    <mergeCell ref="E6:G6"/>
    <mergeCell ref="H6:H7"/>
    <mergeCell ref="A1:H1"/>
    <mergeCell ref="A2:H2"/>
    <mergeCell ref="A3:H3"/>
    <mergeCell ref="B4:H4"/>
    <mergeCell ref="A5:H5"/>
    <mergeCell ref="B44:G44"/>
    <mergeCell ref="B50:G50"/>
    <mergeCell ref="B56:G56"/>
    <mergeCell ref="A65:H65"/>
    <mergeCell ref="B8:G8"/>
    <mergeCell ref="B14:G14"/>
    <mergeCell ref="B20:G20"/>
    <mergeCell ref="B26:G26"/>
    <mergeCell ref="B32:G32"/>
    <mergeCell ref="B38:G38"/>
  </mergeCells>
  <printOptions horizontalCentered="1"/>
  <pageMargins left="0.5" right="0.5" top="0.5" bottom="0.4" header="0" footer="0.3"/>
  <pageSetup paperSize="9" scale="79" orientation="portrait" r:id="rId1"/>
  <headerFooter>
    <oddHeader>&amp;C&amp;"-,Regular"&amp;8Page &amp;P of &amp;N</oddHeader>
  </headerFooter>
</worksheet>
</file>

<file path=xl/worksheets/sheet13.xml><?xml version="1.0" encoding="utf-8"?>
<worksheet xmlns="http://schemas.openxmlformats.org/spreadsheetml/2006/main" xmlns:r="http://schemas.openxmlformats.org/officeDocument/2006/relationships">
  <sheetPr codeName="Sheet8">
    <tabColor rgb="FFFF0000"/>
  </sheetPr>
  <dimension ref="A1:O28"/>
  <sheetViews>
    <sheetView view="pageBreakPreview" zoomScale="70" zoomScaleSheetLayoutView="70" workbookViewId="0">
      <selection activeCell="O24" sqref="O24"/>
    </sheetView>
  </sheetViews>
  <sheetFormatPr defaultRowHeight="18.75"/>
  <cols>
    <col min="1" max="1" width="9.140625" style="40"/>
    <col min="2" max="2" width="7.140625" style="40" customWidth="1"/>
    <col min="3" max="3" width="5.5703125" style="40" customWidth="1"/>
    <col min="4" max="4" width="4.5703125" style="40" customWidth="1"/>
    <col min="5" max="5" width="8.140625" style="40" customWidth="1"/>
    <col min="6" max="6" width="5.85546875" style="40" customWidth="1"/>
    <col min="7" max="7" width="9.85546875" style="40" customWidth="1"/>
    <col min="8" max="8" width="6.28515625" style="40" customWidth="1"/>
    <col min="9" max="9" width="7.42578125" style="40" customWidth="1"/>
    <col min="10" max="10" width="7" style="40" customWidth="1"/>
    <col min="11" max="11" width="7.28515625" style="40" customWidth="1"/>
    <col min="12" max="12" width="6.140625" style="40" customWidth="1"/>
    <col min="13" max="13" width="7.42578125" style="40" customWidth="1"/>
    <col min="14" max="257" width="9.140625" style="40"/>
    <col min="258" max="258" width="9.140625" style="40" customWidth="1"/>
    <col min="259" max="259" width="5.5703125" style="40" customWidth="1"/>
    <col min="260" max="260" width="4.5703125" style="40" customWidth="1"/>
    <col min="261" max="261" width="8.140625" style="40" customWidth="1"/>
    <col min="262" max="262" width="5.85546875" style="40" customWidth="1"/>
    <col min="263" max="263" width="9.85546875" style="40" customWidth="1"/>
    <col min="264" max="264" width="6.28515625" style="40" customWidth="1"/>
    <col min="265" max="265" width="7.42578125" style="40" customWidth="1"/>
    <col min="266" max="266" width="7" style="40" customWidth="1"/>
    <col min="267" max="267" width="8.5703125" style="40" customWidth="1"/>
    <col min="268" max="268" width="6.140625" style="40" customWidth="1"/>
    <col min="269" max="269" width="7.42578125" style="40" customWidth="1"/>
    <col min="270" max="513" width="9.140625" style="40"/>
    <col min="514" max="514" width="9.140625" style="40" customWidth="1"/>
    <col min="515" max="515" width="5.5703125" style="40" customWidth="1"/>
    <col min="516" max="516" width="4.5703125" style="40" customWidth="1"/>
    <col min="517" max="517" width="8.140625" style="40" customWidth="1"/>
    <col min="518" max="518" width="5.85546875" style="40" customWidth="1"/>
    <col min="519" max="519" width="9.85546875" style="40" customWidth="1"/>
    <col min="520" max="520" width="6.28515625" style="40" customWidth="1"/>
    <col min="521" max="521" width="7.42578125" style="40" customWidth="1"/>
    <col min="522" max="522" width="7" style="40" customWidth="1"/>
    <col min="523" max="523" width="8.5703125" style="40" customWidth="1"/>
    <col min="524" max="524" width="6.140625" style="40" customWidth="1"/>
    <col min="525" max="525" width="7.42578125" style="40" customWidth="1"/>
    <col min="526" max="769" width="9.140625" style="40"/>
    <col min="770" max="770" width="9.140625" style="40" customWidth="1"/>
    <col min="771" max="771" width="5.5703125" style="40" customWidth="1"/>
    <col min="772" max="772" width="4.5703125" style="40" customWidth="1"/>
    <col min="773" max="773" width="8.140625" style="40" customWidth="1"/>
    <col min="774" max="774" width="5.85546875" style="40" customWidth="1"/>
    <col min="775" max="775" width="9.85546875" style="40" customWidth="1"/>
    <col min="776" max="776" width="6.28515625" style="40" customWidth="1"/>
    <col min="777" max="777" width="7.42578125" style="40" customWidth="1"/>
    <col min="778" max="778" width="7" style="40" customWidth="1"/>
    <col min="779" max="779" width="8.5703125" style="40" customWidth="1"/>
    <col min="780" max="780" width="6.140625" style="40" customWidth="1"/>
    <col min="781" max="781" width="7.42578125" style="40" customWidth="1"/>
    <col min="782" max="1025" width="9.140625" style="40"/>
    <col min="1026" max="1026" width="9.140625" style="40" customWidth="1"/>
    <col min="1027" max="1027" width="5.5703125" style="40" customWidth="1"/>
    <col min="1028" max="1028" width="4.5703125" style="40" customWidth="1"/>
    <col min="1029" max="1029" width="8.140625" style="40" customWidth="1"/>
    <col min="1030" max="1030" width="5.85546875" style="40" customWidth="1"/>
    <col min="1031" max="1031" width="9.85546875" style="40" customWidth="1"/>
    <col min="1032" max="1032" width="6.28515625" style="40" customWidth="1"/>
    <col min="1033" max="1033" width="7.42578125" style="40" customWidth="1"/>
    <col min="1034" max="1034" width="7" style="40" customWidth="1"/>
    <col min="1035" max="1035" width="8.5703125" style="40" customWidth="1"/>
    <col min="1036" max="1036" width="6.140625" style="40" customWidth="1"/>
    <col min="1037" max="1037" width="7.42578125" style="40" customWidth="1"/>
    <col min="1038" max="1281" width="9.140625" style="40"/>
    <col min="1282" max="1282" width="9.140625" style="40" customWidth="1"/>
    <col min="1283" max="1283" width="5.5703125" style="40" customWidth="1"/>
    <col min="1284" max="1284" width="4.5703125" style="40" customWidth="1"/>
    <col min="1285" max="1285" width="8.140625" style="40" customWidth="1"/>
    <col min="1286" max="1286" width="5.85546875" style="40" customWidth="1"/>
    <col min="1287" max="1287" width="9.85546875" style="40" customWidth="1"/>
    <col min="1288" max="1288" width="6.28515625" style="40" customWidth="1"/>
    <col min="1289" max="1289" width="7.42578125" style="40" customWidth="1"/>
    <col min="1290" max="1290" width="7" style="40" customWidth="1"/>
    <col min="1291" max="1291" width="8.5703125" style="40" customWidth="1"/>
    <col min="1292" max="1292" width="6.140625" style="40" customWidth="1"/>
    <col min="1293" max="1293" width="7.42578125" style="40" customWidth="1"/>
    <col min="1294" max="1537" width="9.140625" style="40"/>
    <col min="1538" max="1538" width="9.140625" style="40" customWidth="1"/>
    <col min="1539" max="1539" width="5.5703125" style="40" customWidth="1"/>
    <col min="1540" max="1540" width="4.5703125" style="40" customWidth="1"/>
    <col min="1541" max="1541" width="8.140625" style="40" customWidth="1"/>
    <col min="1542" max="1542" width="5.85546875" style="40" customWidth="1"/>
    <col min="1543" max="1543" width="9.85546875" style="40" customWidth="1"/>
    <col min="1544" max="1544" width="6.28515625" style="40" customWidth="1"/>
    <col min="1545" max="1545" width="7.42578125" style="40" customWidth="1"/>
    <col min="1546" max="1546" width="7" style="40" customWidth="1"/>
    <col min="1547" max="1547" width="8.5703125" style="40" customWidth="1"/>
    <col min="1548" max="1548" width="6.140625" style="40" customWidth="1"/>
    <col min="1549" max="1549" width="7.42578125" style="40" customWidth="1"/>
    <col min="1550" max="1793" width="9.140625" style="40"/>
    <col min="1794" max="1794" width="9.140625" style="40" customWidth="1"/>
    <col min="1795" max="1795" width="5.5703125" style="40" customWidth="1"/>
    <col min="1796" max="1796" width="4.5703125" style="40" customWidth="1"/>
    <col min="1797" max="1797" width="8.140625" style="40" customWidth="1"/>
    <col min="1798" max="1798" width="5.85546875" style="40" customWidth="1"/>
    <col min="1799" max="1799" width="9.85546875" style="40" customWidth="1"/>
    <col min="1800" max="1800" width="6.28515625" style="40" customWidth="1"/>
    <col min="1801" max="1801" width="7.42578125" style="40" customWidth="1"/>
    <col min="1802" max="1802" width="7" style="40" customWidth="1"/>
    <col min="1803" max="1803" width="8.5703125" style="40" customWidth="1"/>
    <col min="1804" max="1804" width="6.140625" style="40" customWidth="1"/>
    <col min="1805" max="1805" width="7.42578125" style="40" customWidth="1"/>
    <col min="1806" max="2049" width="9.140625" style="40"/>
    <col min="2050" max="2050" width="9.140625" style="40" customWidth="1"/>
    <col min="2051" max="2051" width="5.5703125" style="40" customWidth="1"/>
    <col min="2052" max="2052" width="4.5703125" style="40" customWidth="1"/>
    <col min="2053" max="2053" width="8.140625" style="40" customWidth="1"/>
    <col min="2054" max="2054" width="5.85546875" style="40" customWidth="1"/>
    <col min="2055" max="2055" width="9.85546875" style="40" customWidth="1"/>
    <col min="2056" max="2056" width="6.28515625" style="40" customWidth="1"/>
    <col min="2057" max="2057" width="7.42578125" style="40" customWidth="1"/>
    <col min="2058" max="2058" width="7" style="40" customWidth="1"/>
    <col min="2059" max="2059" width="8.5703125" style="40" customWidth="1"/>
    <col min="2060" max="2060" width="6.140625" style="40" customWidth="1"/>
    <col min="2061" max="2061" width="7.42578125" style="40" customWidth="1"/>
    <col min="2062" max="2305" width="9.140625" style="40"/>
    <col min="2306" max="2306" width="9.140625" style="40" customWidth="1"/>
    <col min="2307" max="2307" width="5.5703125" style="40" customWidth="1"/>
    <col min="2308" max="2308" width="4.5703125" style="40" customWidth="1"/>
    <col min="2309" max="2309" width="8.140625" style="40" customWidth="1"/>
    <col min="2310" max="2310" width="5.85546875" style="40" customWidth="1"/>
    <col min="2311" max="2311" width="9.85546875" style="40" customWidth="1"/>
    <col min="2312" max="2312" width="6.28515625" style="40" customWidth="1"/>
    <col min="2313" max="2313" width="7.42578125" style="40" customWidth="1"/>
    <col min="2314" max="2314" width="7" style="40" customWidth="1"/>
    <col min="2315" max="2315" width="8.5703125" style="40" customWidth="1"/>
    <col min="2316" max="2316" width="6.140625" style="40" customWidth="1"/>
    <col min="2317" max="2317" width="7.42578125" style="40" customWidth="1"/>
    <col min="2318" max="2561" width="9.140625" style="40"/>
    <col min="2562" max="2562" width="9.140625" style="40" customWidth="1"/>
    <col min="2563" max="2563" width="5.5703125" style="40" customWidth="1"/>
    <col min="2564" max="2564" width="4.5703125" style="40" customWidth="1"/>
    <col min="2565" max="2565" width="8.140625" style="40" customWidth="1"/>
    <col min="2566" max="2566" width="5.85546875" style="40" customWidth="1"/>
    <col min="2567" max="2567" width="9.85546875" style="40" customWidth="1"/>
    <col min="2568" max="2568" width="6.28515625" style="40" customWidth="1"/>
    <col min="2569" max="2569" width="7.42578125" style="40" customWidth="1"/>
    <col min="2570" max="2570" width="7" style="40" customWidth="1"/>
    <col min="2571" max="2571" width="8.5703125" style="40" customWidth="1"/>
    <col min="2572" max="2572" width="6.140625" style="40" customWidth="1"/>
    <col min="2573" max="2573" width="7.42578125" style="40" customWidth="1"/>
    <col min="2574" max="2817" width="9.140625" style="40"/>
    <col min="2818" max="2818" width="9.140625" style="40" customWidth="1"/>
    <col min="2819" max="2819" width="5.5703125" style="40" customWidth="1"/>
    <col min="2820" max="2820" width="4.5703125" style="40" customWidth="1"/>
    <col min="2821" max="2821" width="8.140625" style="40" customWidth="1"/>
    <col min="2822" max="2822" width="5.85546875" style="40" customWidth="1"/>
    <col min="2823" max="2823" width="9.85546875" style="40" customWidth="1"/>
    <col min="2824" max="2824" width="6.28515625" style="40" customWidth="1"/>
    <col min="2825" max="2825" width="7.42578125" style="40" customWidth="1"/>
    <col min="2826" max="2826" width="7" style="40" customWidth="1"/>
    <col min="2827" max="2827" width="8.5703125" style="40" customWidth="1"/>
    <col min="2828" max="2828" width="6.140625" style="40" customWidth="1"/>
    <col min="2829" max="2829" width="7.42578125" style="40" customWidth="1"/>
    <col min="2830" max="3073" width="9.140625" style="40"/>
    <col min="3074" max="3074" width="9.140625" style="40" customWidth="1"/>
    <col min="3075" max="3075" width="5.5703125" style="40" customWidth="1"/>
    <col min="3076" max="3076" width="4.5703125" style="40" customWidth="1"/>
    <col min="3077" max="3077" width="8.140625" style="40" customWidth="1"/>
    <col min="3078" max="3078" width="5.85546875" style="40" customWidth="1"/>
    <col min="3079" max="3079" width="9.85546875" style="40" customWidth="1"/>
    <col min="3080" max="3080" width="6.28515625" style="40" customWidth="1"/>
    <col min="3081" max="3081" width="7.42578125" style="40" customWidth="1"/>
    <col min="3082" max="3082" width="7" style="40" customWidth="1"/>
    <col min="3083" max="3083" width="8.5703125" style="40" customWidth="1"/>
    <col min="3084" max="3084" width="6.140625" style="40" customWidth="1"/>
    <col min="3085" max="3085" width="7.42578125" style="40" customWidth="1"/>
    <col min="3086" max="3329" width="9.140625" style="40"/>
    <col min="3330" max="3330" width="9.140625" style="40" customWidth="1"/>
    <col min="3331" max="3331" width="5.5703125" style="40" customWidth="1"/>
    <col min="3332" max="3332" width="4.5703125" style="40" customWidth="1"/>
    <col min="3333" max="3333" width="8.140625" style="40" customWidth="1"/>
    <col min="3334" max="3334" width="5.85546875" style="40" customWidth="1"/>
    <col min="3335" max="3335" width="9.85546875" style="40" customWidth="1"/>
    <col min="3336" max="3336" width="6.28515625" style="40" customWidth="1"/>
    <col min="3337" max="3337" width="7.42578125" style="40" customWidth="1"/>
    <col min="3338" max="3338" width="7" style="40" customWidth="1"/>
    <col min="3339" max="3339" width="8.5703125" style="40" customWidth="1"/>
    <col min="3340" max="3340" width="6.140625" style="40" customWidth="1"/>
    <col min="3341" max="3341" width="7.42578125" style="40" customWidth="1"/>
    <col min="3342" max="3585" width="9.140625" style="40"/>
    <col min="3586" max="3586" width="9.140625" style="40" customWidth="1"/>
    <col min="3587" max="3587" width="5.5703125" style="40" customWidth="1"/>
    <col min="3588" max="3588" width="4.5703125" style="40" customWidth="1"/>
    <col min="3589" max="3589" width="8.140625" style="40" customWidth="1"/>
    <col min="3590" max="3590" width="5.85546875" style="40" customWidth="1"/>
    <col min="3591" max="3591" width="9.85546875" style="40" customWidth="1"/>
    <col min="3592" max="3592" width="6.28515625" style="40" customWidth="1"/>
    <col min="3593" max="3593" width="7.42578125" style="40" customWidth="1"/>
    <col min="3594" max="3594" width="7" style="40" customWidth="1"/>
    <col min="3595" max="3595" width="8.5703125" style="40" customWidth="1"/>
    <col min="3596" max="3596" width="6.140625" style="40" customWidth="1"/>
    <col min="3597" max="3597" width="7.42578125" style="40" customWidth="1"/>
    <col min="3598" max="3841" width="9.140625" style="40"/>
    <col min="3842" max="3842" width="9.140625" style="40" customWidth="1"/>
    <col min="3843" max="3843" width="5.5703125" style="40" customWidth="1"/>
    <col min="3844" max="3844" width="4.5703125" style="40" customWidth="1"/>
    <col min="3845" max="3845" width="8.140625" style="40" customWidth="1"/>
    <col min="3846" max="3846" width="5.85546875" style="40" customWidth="1"/>
    <col min="3847" max="3847" width="9.85546875" style="40" customWidth="1"/>
    <col min="3848" max="3848" width="6.28515625" style="40" customWidth="1"/>
    <col min="3849" max="3849" width="7.42578125" style="40" customWidth="1"/>
    <col min="3850" max="3850" width="7" style="40" customWidth="1"/>
    <col min="3851" max="3851" width="8.5703125" style="40" customWidth="1"/>
    <col min="3852" max="3852" width="6.140625" style="40" customWidth="1"/>
    <col min="3853" max="3853" width="7.42578125" style="40" customWidth="1"/>
    <col min="3854" max="4097" width="9.140625" style="40"/>
    <col min="4098" max="4098" width="9.140625" style="40" customWidth="1"/>
    <col min="4099" max="4099" width="5.5703125" style="40" customWidth="1"/>
    <col min="4100" max="4100" width="4.5703125" style="40" customWidth="1"/>
    <col min="4101" max="4101" width="8.140625" style="40" customWidth="1"/>
    <col min="4102" max="4102" width="5.85546875" style="40" customWidth="1"/>
    <col min="4103" max="4103" width="9.85546875" style="40" customWidth="1"/>
    <col min="4104" max="4104" width="6.28515625" style="40" customWidth="1"/>
    <col min="4105" max="4105" width="7.42578125" style="40" customWidth="1"/>
    <col min="4106" max="4106" width="7" style="40" customWidth="1"/>
    <col min="4107" max="4107" width="8.5703125" style="40" customWidth="1"/>
    <col min="4108" max="4108" width="6.140625" style="40" customWidth="1"/>
    <col min="4109" max="4109" width="7.42578125" style="40" customWidth="1"/>
    <col min="4110" max="4353" width="9.140625" style="40"/>
    <col min="4354" max="4354" width="9.140625" style="40" customWidth="1"/>
    <col min="4355" max="4355" width="5.5703125" style="40" customWidth="1"/>
    <col min="4356" max="4356" width="4.5703125" style="40" customWidth="1"/>
    <col min="4357" max="4357" width="8.140625" style="40" customWidth="1"/>
    <col min="4358" max="4358" width="5.85546875" style="40" customWidth="1"/>
    <col min="4359" max="4359" width="9.85546875" style="40" customWidth="1"/>
    <col min="4360" max="4360" width="6.28515625" style="40" customWidth="1"/>
    <col min="4361" max="4361" width="7.42578125" style="40" customWidth="1"/>
    <col min="4362" max="4362" width="7" style="40" customWidth="1"/>
    <col min="4363" max="4363" width="8.5703125" style="40" customWidth="1"/>
    <col min="4364" max="4364" width="6.140625" style="40" customWidth="1"/>
    <col min="4365" max="4365" width="7.42578125" style="40" customWidth="1"/>
    <col min="4366" max="4609" width="9.140625" style="40"/>
    <col min="4610" max="4610" width="9.140625" style="40" customWidth="1"/>
    <col min="4611" max="4611" width="5.5703125" style="40" customWidth="1"/>
    <col min="4612" max="4612" width="4.5703125" style="40" customWidth="1"/>
    <col min="4613" max="4613" width="8.140625" style="40" customWidth="1"/>
    <col min="4614" max="4614" width="5.85546875" style="40" customWidth="1"/>
    <col min="4615" max="4615" width="9.85546875" style="40" customWidth="1"/>
    <col min="4616" max="4616" width="6.28515625" style="40" customWidth="1"/>
    <col min="4617" max="4617" width="7.42578125" style="40" customWidth="1"/>
    <col min="4618" max="4618" width="7" style="40" customWidth="1"/>
    <col min="4619" max="4619" width="8.5703125" style="40" customWidth="1"/>
    <col min="4620" max="4620" width="6.140625" style="40" customWidth="1"/>
    <col min="4621" max="4621" width="7.42578125" style="40" customWidth="1"/>
    <col min="4622" max="4865" width="9.140625" style="40"/>
    <col min="4866" max="4866" width="9.140625" style="40" customWidth="1"/>
    <col min="4867" max="4867" width="5.5703125" style="40" customWidth="1"/>
    <col min="4868" max="4868" width="4.5703125" style="40" customWidth="1"/>
    <col min="4869" max="4869" width="8.140625" style="40" customWidth="1"/>
    <col min="4870" max="4870" width="5.85546875" style="40" customWidth="1"/>
    <col min="4871" max="4871" width="9.85546875" style="40" customWidth="1"/>
    <col min="4872" max="4872" width="6.28515625" style="40" customWidth="1"/>
    <col min="4873" max="4873" width="7.42578125" style="40" customWidth="1"/>
    <col min="4874" max="4874" width="7" style="40" customWidth="1"/>
    <col min="4875" max="4875" width="8.5703125" style="40" customWidth="1"/>
    <col min="4876" max="4876" width="6.140625" style="40" customWidth="1"/>
    <col min="4877" max="4877" width="7.42578125" style="40" customWidth="1"/>
    <col min="4878" max="5121" width="9.140625" style="40"/>
    <col min="5122" max="5122" width="9.140625" style="40" customWidth="1"/>
    <col min="5123" max="5123" width="5.5703125" style="40" customWidth="1"/>
    <col min="5124" max="5124" width="4.5703125" style="40" customWidth="1"/>
    <col min="5125" max="5125" width="8.140625" style="40" customWidth="1"/>
    <col min="5126" max="5126" width="5.85546875" style="40" customWidth="1"/>
    <col min="5127" max="5127" width="9.85546875" style="40" customWidth="1"/>
    <col min="5128" max="5128" width="6.28515625" style="40" customWidth="1"/>
    <col min="5129" max="5129" width="7.42578125" style="40" customWidth="1"/>
    <col min="5130" max="5130" width="7" style="40" customWidth="1"/>
    <col min="5131" max="5131" width="8.5703125" style="40" customWidth="1"/>
    <col min="5132" max="5132" width="6.140625" style="40" customWidth="1"/>
    <col min="5133" max="5133" width="7.42578125" style="40" customWidth="1"/>
    <col min="5134" max="5377" width="9.140625" style="40"/>
    <col min="5378" max="5378" width="9.140625" style="40" customWidth="1"/>
    <col min="5379" max="5379" width="5.5703125" style="40" customWidth="1"/>
    <col min="5380" max="5380" width="4.5703125" style="40" customWidth="1"/>
    <col min="5381" max="5381" width="8.140625" style="40" customWidth="1"/>
    <col min="5382" max="5382" width="5.85546875" style="40" customWidth="1"/>
    <col min="5383" max="5383" width="9.85546875" style="40" customWidth="1"/>
    <col min="5384" max="5384" width="6.28515625" style="40" customWidth="1"/>
    <col min="5385" max="5385" width="7.42578125" style="40" customWidth="1"/>
    <col min="5386" max="5386" width="7" style="40" customWidth="1"/>
    <col min="5387" max="5387" width="8.5703125" style="40" customWidth="1"/>
    <col min="5388" max="5388" width="6.140625" style="40" customWidth="1"/>
    <col min="5389" max="5389" width="7.42578125" style="40" customWidth="1"/>
    <col min="5390" max="5633" width="9.140625" style="40"/>
    <col min="5634" max="5634" width="9.140625" style="40" customWidth="1"/>
    <col min="5635" max="5635" width="5.5703125" style="40" customWidth="1"/>
    <col min="5636" max="5636" width="4.5703125" style="40" customWidth="1"/>
    <col min="5637" max="5637" width="8.140625" style="40" customWidth="1"/>
    <col min="5638" max="5638" width="5.85546875" style="40" customWidth="1"/>
    <col min="5639" max="5639" width="9.85546875" style="40" customWidth="1"/>
    <col min="5640" max="5640" width="6.28515625" style="40" customWidth="1"/>
    <col min="5641" max="5641" width="7.42578125" style="40" customWidth="1"/>
    <col min="5642" max="5642" width="7" style="40" customWidth="1"/>
    <col min="5643" max="5643" width="8.5703125" style="40" customWidth="1"/>
    <col min="5644" max="5644" width="6.140625" style="40" customWidth="1"/>
    <col min="5645" max="5645" width="7.42578125" style="40" customWidth="1"/>
    <col min="5646" max="5889" width="9.140625" style="40"/>
    <col min="5890" max="5890" width="9.140625" style="40" customWidth="1"/>
    <col min="5891" max="5891" width="5.5703125" style="40" customWidth="1"/>
    <col min="5892" max="5892" width="4.5703125" style="40" customWidth="1"/>
    <col min="5893" max="5893" width="8.140625" style="40" customWidth="1"/>
    <col min="5894" max="5894" width="5.85546875" style="40" customWidth="1"/>
    <col min="5895" max="5895" width="9.85546875" style="40" customWidth="1"/>
    <col min="5896" max="5896" width="6.28515625" style="40" customWidth="1"/>
    <col min="5897" max="5897" width="7.42578125" style="40" customWidth="1"/>
    <col min="5898" max="5898" width="7" style="40" customWidth="1"/>
    <col min="5899" max="5899" width="8.5703125" style="40" customWidth="1"/>
    <col min="5900" max="5900" width="6.140625" style="40" customWidth="1"/>
    <col min="5901" max="5901" width="7.42578125" style="40" customWidth="1"/>
    <col min="5902" max="6145" width="9.140625" style="40"/>
    <col min="6146" max="6146" width="9.140625" style="40" customWidth="1"/>
    <col min="6147" max="6147" width="5.5703125" style="40" customWidth="1"/>
    <col min="6148" max="6148" width="4.5703125" style="40" customWidth="1"/>
    <col min="6149" max="6149" width="8.140625" style="40" customWidth="1"/>
    <col min="6150" max="6150" width="5.85546875" style="40" customWidth="1"/>
    <col min="6151" max="6151" width="9.85546875" style="40" customWidth="1"/>
    <col min="6152" max="6152" width="6.28515625" style="40" customWidth="1"/>
    <col min="6153" max="6153" width="7.42578125" style="40" customWidth="1"/>
    <col min="6154" max="6154" width="7" style="40" customWidth="1"/>
    <col min="6155" max="6155" width="8.5703125" style="40" customWidth="1"/>
    <col min="6156" max="6156" width="6.140625" style="40" customWidth="1"/>
    <col min="6157" max="6157" width="7.42578125" style="40" customWidth="1"/>
    <col min="6158" max="6401" width="9.140625" style="40"/>
    <col min="6402" max="6402" width="9.140625" style="40" customWidth="1"/>
    <col min="6403" max="6403" width="5.5703125" style="40" customWidth="1"/>
    <col min="6404" max="6404" width="4.5703125" style="40" customWidth="1"/>
    <col min="6405" max="6405" width="8.140625" style="40" customWidth="1"/>
    <col min="6406" max="6406" width="5.85546875" style="40" customWidth="1"/>
    <col min="6407" max="6407" width="9.85546875" style="40" customWidth="1"/>
    <col min="6408" max="6408" width="6.28515625" style="40" customWidth="1"/>
    <col min="6409" max="6409" width="7.42578125" style="40" customWidth="1"/>
    <col min="6410" max="6410" width="7" style="40" customWidth="1"/>
    <col min="6411" max="6411" width="8.5703125" style="40" customWidth="1"/>
    <col min="6412" max="6412" width="6.140625" style="40" customWidth="1"/>
    <col min="6413" max="6413" width="7.42578125" style="40" customWidth="1"/>
    <col min="6414" max="6657" width="9.140625" style="40"/>
    <col min="6658" max="6658" width="9.140625" style="40" customWidth="1"/>
    <col min="6659" max="6659" width="5.5703125" style="40" customWidth="1"/>
    <col min="6660" max="6660" width="4.5703125" style="40" customWidth="1"/>
    <col min="6661" max="6661" width="8.140625" style="40" customWidth="1"/>
    <col min="6662" max="6662" width="5.85546875" style="40" customWidth="1"/>
    <col min="6663" max="6663" width="9.85546875" style="40" customWidth="1"/>
    <col min="6664" max="6664" width="6.28515625" style="40" customWidth="1"/>
    <col min="6665" max="6665" width="7.42578125" style="40" customWidth="1"/>
    <col min="6666" max="6666" width="7" style="40" customWidth="1"/>
    <col min="6667" max="6667" width="8.5703125" style="40" customWidth="1"/>
    <col min="6668" max="6668" width="6.140625" style="40" customWidth="1"/>
    <col min="6669" max="6669" width="7.42578125" style="40" customWidth="1"/>
    <col min="6670" max="6913" width="9.140625" style="40"/>
    <col min="6914" max="6914" width="9.140625" style="40" customWidth="1"/>
    <col min="6915" max="6915" width="5.5703125" style="40" customWidth="1"/>
    <col min="6916" max="6916" width="4.5703125" style="40" customWidth="1"/>
    <col min="6917" max="6917" width="8.140625" style="40" customWidth="1"/>
    <col min="6918" max="6918" width="5.85546875" style="40" customWidth="1"/>
    <col min="6919" max="6919" width="9.85546875" style="40" customWidth="1"/>
    <col min="6920" max="6920" width="6.28515625" style="40" customWidth="1"/>
    <col min="6921" max="6921" width="7.42578125" style="40" customWidth="1"/>
    <col min="6922" max="6922" width="7" style="40" customWidth="1"/>
    <col min="6923" max="6923" width="8.5703125" style="40" customWidth="1"/>
    <col min="6924" max="6924" width="6.140625" style="40" customWidth="1"/>
    <col min="6925" max="6925" width="7.42578125" style="40" customWidth="1"/>
    <col min="6926" max="7169" width="9.140625" style="40"/>
    <col min="7170" max="7170" width="9.140625" style="40" customWidth="1"/>
    <col min="7171" max="7171" width="5.5703125" style="40" customWidth="1"/>
    <col min="7172" max="7172" width="4.5703125" style="40" customWidth="1"/>
    <col min="7173" max="7173" width="8.140625" style="40" customWidth="1"/>
    <col min="7174" max="7174" width="5.85546875" style="40" customWidth="1"/>
    <col min="7175" max="7175" width="9.85546875" style="40" customWidth="1"/>
    <col min="7176" max="7176" width="6.28515625" style="40" customWidth="1"/>
    <col min="7177" max="7177" width="7.42578125" style="40" customWidth="1"/>
    <col min="7178" max="7178" width="7" style="40" customWidth="1"/>
    <col min="7179" max="7179" width="8.5703125" style="40" customWidth="1"/>
    <col min="7180" max="7180" width="6.140625" style="40" customWidth="1"/>
    <col min="7181" max="7181" width="7.42578125" style="40" customWidth="1"/>
    <col min="7182" max="7425" width="9.140625" style="40"/>
    <col min="7426" max="7426" width="9.140625" style="40" customWidth="1"/>
    <col min="7427" max="7427" width="5.5703125" style="40" customWidth="1"/>
    <col min="7428" max="7428" width="4.5703125" style="40" customWidth="1"/>
    <col min="7429" max="7429" width="8.140625" style="40" customWidth="1"/>
    <col min="7430" max="7430" width="5.85546875" style="40" customWidth="1"/>
    <col min="7431" max="7431" width="9.85546875" style="40" customWidth="1"/>
    <col min="7432" max="7432" width="6.28515625" style="40" customWidth="1"/>
    <col min="7433" max="7433" width="7.42578125" style="40" customWidth="1"/>
    <col min="7434" max="7434" width="7" style="40" customWidth="1"/>
    <col min="7435" max="7435" width="8.5703125" style="40" customWidth="1"/>
    <col min="7436" max="7436" width="6.140625" style="40" customWidth="1"/>
    <col min="7437" max="7437" width="7.42578125" style="40" customWidth="1"/>
    <col min="7438" max="7681" width="9.140625" style="40"/>
    <col min="7682" max="7682" width="9.140625" style="40" customWidth="1"/>
    <col min="7683" max="7683" width="5.5703125" style="40" customWidth="1"/>
    <col min="7684" max="7684" width="4.5703125" style="40" customWidth="1"/>
    <col min="7685" max="7685" width="8.140625" style="40" customWidth="1"/>
    <col min="7686" max="7686" width="5.85546875" style="40" customWidth="1"/>
    <col min="7687" max="7687" width="9.85546875" style="40" customWidth="1"/>
    <col min="7688" max="7688" width="6.28515625" style="40" customWidth="1"/>
    <col min="7689" max="7689" width="7.42578125" style="40" customWidth="1"/>
    <col min="7690" max="7690" width="7" style="40" customWidth="1"/>
    <col min="7691" max="7691" width="8.5703125" style="40" customWidth="1"/>
    <col min="7692" max="7692" width="6.140625" style="40" customWidth="1"/>
    <col min="7693" max="7693" width="7.42578125" style="40" customWidth="1"/>
    <col min="7694" max="7937" width="9.140625" style="40"/>
    <col min="7938" max="7938" width="9.140625" style="40" customWidth="1"/>
    <col min="7939" max="7939" width="5.5703125" style="40" customWidth="1"/>
    <col min="7940" max="7940" width="4.5703125" style="40" customWidth="1"/>
    <col min="7941" max="7941" width="8.140625" style="40" customWidth="1"/>
    <col min="7942" max="7942" width="5.85546875" style="40" customWidth="1"/>
    <col min="7943" max="7943" width="9.85546875" style="40" customWidth="1"/>
    <col min="7944" max="7944" width="6.28515625" style="40" customWidth="1"/>
    <col min="7945" max="7945" width="7.42578125" style="40" customWidth="1"/>
    <col min="7946" max="7946" width="7" style="40" customWidth="1"/>
    <col min="7947" max="7947" width="8.5703125" style="40" customWidth="1"/>
    <col min="7948" max="7948" width="6.140625" style="40" customWidth="1"/>
    <col min="7949" max="7949" width="7.42578125" style="40" customWidth="1"/>
    <col min="7950" max="8193" width="9.140625" style="40"/>
    <col min="8194" max="8194" width="9.140625" style="40" customWidth="1"/>
    <col min="8195" max="8195" width="5.5703125" style="40" customWidth="1"/>
    <col min="8196" max="8196" width="4.5703125" style="40" customWidth="1"/>
    <col min="8197" max="8197" width="8.140625" style="40" customWidth="1"/>
    <col min="8198" max="8198" width="5.85546875" style="40" customWidth="1"/>
    <col min="8199" max="8199" width="9.85546875" style="40" customWidth="1"/>
    <col min="8200" max="8200" width="6.28515625" style="40" customWidth="1"/>
    <col min="8201" max="8201" width="7.42578125" style="40" customWidth="1"/>
    <col min="8202" max="8202" width="7" style="40" customWidth="1"/>
    <col min="8203" max="8203" width="8.5703125" style="40" customWidth="1"/>
    <col min="8204" max="8204" width="6.140625" style="40" customWidth="1"/>
    <col min="8205" max="8205" width="7.42578125" style="40" customWidth="1"/>
    <col min="8206" max="8449" width="9.140625" style="40"/>
    <col min="8450" max="8450" width="9.140625" style="40" customWidth="1"/>
    <col min="8451" max="8451" width="5.5703125" style="40" customWidth="1"/>
    <col min="8452" max="8452" width="4.5703125" style="40" customWidth="1"/>
    <col min="8453" max="8453" width="8.140625" style="40" customWidth="1"/>
    <col min="8454" max="8454" width="5.85546875" style="40" customWidth="1"/>
    <col min="8455" max="8455" width="9.85546875" style="40" customWidth="1"/>
    <col min="8456" max="8456" width="6.28515625" style="40" customWidth="1"/>
    <col min="8457" max="8457" width="7.42578125" style="40" customWidth="1"/>
    <col min="8458" max="8458" width="7" style="40" customWidth="1"/>
    <col min="8459" max="8459" width="8.5703125" style="40" customWidth="1"/>
    <col min="8460" max="8460" width="6.140625" style="40" customWidth="1"/>
    <col min="8461" max="8461" width="7.42578125" style="40" customWidth="1"/>
    <col min="8462" max="8705" width="9.140625" style="40"/>
    <col min="8706" max="8706" width="9.140625" style="40" customWidth="1"/>
    <col min="8707" max="8707" width="5.5703125" style="40" customWidth="1"/>
    <col min="8708" max="8708" width="4.5703125" style="40" customWidth="1"/>
    <col min="8709" max="8709" width="8.140625" style="40" customWidth="1"/>
    <col min="8710" max="8710" width="5.85546875" style="40" customWidth="1"/>
    <col min="8711" max="8711" width="9.85546875" style="40" customWidth="1"/>
    <col min="8712" max="8712" width="6.28515625" style="40" customWidth="1"/>
    <col min="8713" max="8713" width="7.42578125" style="40" customWidth="1"/>
    <col min="8714" max="8714" width="7" style="40" customWidth="1"/>
    <col min="8715" max="8715" width="8.5703125" style="40" customWidth="1"/>
    <col min="8716" max="8716" width="6.140625" style="40" customWidth="1"/>
    <col min="8717" max="8717" width="7.42578125" style="40" customWidth="1"/>
    <col min="8718" max="8961" width="9.140625" style="40"/>
    <col min="8962" max="8962" width="9.140625" style="40" customWidth="1"/>
    <col min="8963" max="8963" width="5.5703125" style="40" customWidth="1"/>
    <col min="8964" max="8964" width="4.5703125" style="40" customWidth="1"/>
    <col min="8965" max="8965" width="8.140625" style="40" customWidth="1"/>
    <col min="8966" max="8966" width="5.85546875" style="40" customWidth="1"/>
    <col min="8967" max="8967" width="9.85546875" style="40" customWidth="1"/>
    <col min="8968" max="8968" width="6.28515625" style="40" customWidth="1"/>
    <col min="8969" max="8969" width="7.42578125" style="40" customWidth="1"/>
    <col min="8970" max="8970" width="7" style="40" customWidth="1"/>
    <col min="8971" max="8971" width="8.5703125" style="40" customWidth="1"/>
    <col min="8972" max="8972" width="6.140625" style="40" customWidth="1"/>
    <col min="8973" max="8973" width="7.42578125" style="40" customWidth="1"/>
    <col min="8974" max="9217" width="9.140625" style="40"/>
    <col min="9218" max="9218" width="9.140625" style="40" customWidth="1"/>
    <col min="9219" max="9219" width="5.5703125" style="40" customWidth="1"/>
    <col min="9220" max="9220" width="4.5703125" style="40" customWidth="1"/>
    <col min="9221" max="9221" width="8.140625" style="40" customWidth="1"/>
    <col min="9222" max="9222" width="5.85546875" style="40" customWidth="1"/>
    <col min="9223" max="9223" width="9.85546875" style="40" customWidth="1"/>
    <col min="9224" max="9224" width="6.28515625" style="40" customWidth="1"/>
    <col min="9225" max="9225" width="7.42578125" style="40" customWidth="1"/>
    <col min="9226" max="9226" width="7" style="40" customWidth="1"/>
    <col min="9227" max="9227" width="8.5703125" style="40" customWidth="1"/>
    <col min="9228" max="9228" width="6.140625" style="40" customWidth="1"/>
    <col min="9229" max="9229" width="7.42578125" style="40" customWidth="1"/>
    <col min="9230" max="9473" width="9.140625" style="40"/>
    <col min="9474" max="9474" width="9.140625" style="40" customWidth="1"/>
    <col min="9475" max="9475" width="5.5703125" style="40" customWidth="1"/>
    <col min="9476" max="9476" width="4.5703125" style="40" customWidth="1"/>
    <col min="9477" max="9477" width="8.140625" style="40" customWidth="1"/>
    <col min="9478" max="9478" width="5.85546875" style="40" customWidth="1"/>
    <col min="9479" max="9479" width="9.85546875" style="40" customWidth="1"/>
    <col min="9480" max="9480" width="6.28515625" style="40" customWidth="1"/>
    <col min="9481" max="9481" width="7.42578125" style="40" customWidth="1"/>
    <col min="9482" max="9482" width="7" style="40" customWidth="1"/>
    <col min="9483" max="9483" width="8.5703125" style="40" customWidth="1"/>
    <col min="9484" max="9484" width="6.140625" style="40" customWidth="1"/>
    <col min="9485" max="9485" width="7.42578125" style="40" customWidth="1"/>
    <col min="9486" max="9729" width="9.140625" style="40"/>
    <col min="9730" max="9730" width="9.140625" style="40" customWidth="1"/>
    <col min="9731" max="9731" width="5.5703125" style="40" customWidth="1"/>
    <col min="9732" max="9732" width="4.5703125" style="40" customWidth="1"/>
    <col min="9733" max="9733" width="8.140625" style="40" customWidth="1"/>
    <col min="9734" max="9734" width="5.85546875" style="40" customWidth="1"/>
    <col min="9735" max="9735" width="9.85546875" style="40" customWidth="1"/>
    <col min="9736" max="9736" width="6.28515625" style="40" customWidth="1"/>
    <col min="9737" max="9737" width="7.42578125" style="40" customWidth="1"/>
    <col min="9738" max="9738" width="7" style="40" customWidth="1"/>
    <col min="9739" max="9739" width="8.5703125" style="40" customWidth="1"/>
    <col min="9740" max="9740" width="6.140625" style="40" customWidth="1"/>
    <col min="9741" max="9741" width="7.42578125" style="40" customWidth="1"/>
    <col min="9742" max="9985" width="9.140625" style="40"/>
    <col min="9986" max="9986" width="9.140625" style="40" customWidth="1"/>
    <col min="9987" max="9987" width="5.5703125" style="40" customWidth="1"/>
    <col min="9988" max="9988" width="4.5703125" style="40" customWidth="1"/>
    <col min="9989" max="9989" width="8.140625" style="40" customWidth="1"/>
    <col min="9990" max="9990" width="5.85546875" style="40" customWidth="1"/>
    <col min="9991" max="9991" width="9.85546875" style="40" customWidth="1"/>
    <col min="9992" max="9992" width="6.28515625" style="40" customWidth="1"/>
    <col min="9993" max="9993" width="7.42578125" style="40" customWidth="1"/>
    <col min="9994" max="9994" width="7" style="40" customWidth="1"/>
    <col min="9995" max="9995" width="8.5703125" style="40" customWidth="1"/>
    <col min="9996" max="9996" width="6.140625" style="40" customWidth="1"/>
    <col min="9997" max="9997" width="7.42578125" style="40" customWidth="1"/>
    <col min="9998" max="10241" width="9.140625" style="40"/>
    <col min="10242" max="10242" width="9.140625" style="40" customWidth="1"/>
    <col min="10243" max="10243" width="5.5703125" style="40" customWidth="1"/>
    <col min="10244" max="10244" width="4.5703125" style="40" customWidth="1"/>
    <col min="10245" max="10245" width="8.140625" style="40" customWidth="1"/>
    <col min="10246" max="10246" width="5.85546875" style="40" customWidth="1"/>
    <col min="10247" max="10247" width="9.85546875" style="40" customWidth="1"/>
    <col min="10248" max="10248" width="6.28515625" style="40" customWidth="1"/>
    <col min="10249" max="10249" width="7.42578125" style="40" customWidth="1"/>
    <col min="10250" max="10250" width="7" style="40" customWidth="1"/>
    <col min="10251" max="10251" width="8.5703125" style="40" customWidth="1"/>
    <col min="10252" max="10252" width="6.140625" style="40" customWidth="1"/>
    <col min="10253" max="10253" width="7.42578125" style="40" customWidth="1"/>
    <col min="10254" max="10497" width="9.140625" style="40"/>
    <col min="10498" max="10498" width="9.140625" style="40" customWidth="1"/>
    <col min="10499" max="10499" width="5.5703125" style="40" customWidth="1"/>
    <col min="10500" max="10500" width="4.5703125" style="40" customWidth="1"/>
    <col min="10501" max="10501" width="8.140625" style="40" customWidth="1"/>
    <col min="10502" max="10502" width="5.85546875" style="40" customWidth="1"/>
    <col min="10503" max="10503" width="9.85546875" style="40" customWidth="1"/>
    <col min="10504" max="10504" width="6.28515625" style="40" customWidth="1"/>
    <col min="10505" max="10505" width="7.42578125" style="40" customWidth="1"/>
    <col min="10506" max="10506" width="7" style="40" customWidth="1"/>
    <col min="10507" max="10507" width="8.5703125" style="40" customWidth="1"/>
    <col min="10508" max="10508" width="6.140625" style="40" customWidth="1"/>
    <col min="10509" max="10509" width="7.42578125" style="40" customWidth="1"/>
    <col min="10510" max="10753" width="9.140625" style="40"/>
    <col min="10754" max="10754" width="9.140625" style="40" customWidth="1"/>
    <col min="10755" max="10755" width="5.5703125" style="40" customWidth="1"/>
    <col min="10756" max="10756" width="4.5703125" style="40" customWidth="1"/>
    <col min="10757" max="10757" width="8.140625" style="40" customWidth="1"/>
    <col min="10758" max="10758" width="5.85546875" style="40" customWidth="1"/>
    <col min="10759" max="10759" width="9.85546875" style="40" customWidth="1"/>
    <col min="10760" max="10760" width="6.28515625" style="40" customWidth="1"/>
    <col min="10761" max="10761" width="7.42578125" style="40" customWidth="1"/>
    <col min="10762" max="10762" width="7" style="40" customWidth="1"/>
    <col min="10763" max="10763" width="8.5703125" style="40" customWidth="1"/>
    <col min="10764" max="10764" width="6.140625" style="40" customWidth="1"/>
    <col min="10765" max="10765" width="7.42578125" style="40" customWidth="1"/>
    <col min="10766" max="11009" width="9.140625" style="40"/>
    <col min="11010" max="11010" width="9.140625" style="40" customWidth="1"/>
    <col min="11011" max="11011" width="5.5703125" style="40" customWidth="1"/>
    <col min="11012" max="11012" width="4.5703125" style="40" customWidth="1"/>
    <col min="11013" max="11013" width="8.140625" style="40" customWidth="1"/>
    <col min="11014" max="11014" width="5.85546875" style="40" customWidth="1"/>
    <col min="11015" max="11015" width="9.85546875" style="40" customWidth="1"/>
    <col min="11016" max="11016" width="6.28515625" style="40" customWidth="1"/>
    <col min="11017" max="11017" width="7.42578125" style="40" customWidth="1"/>
    <col min="11018" max="11018" width="7" style="40" customWidth="1"/>
    <col min="11019" max="11019" width="8.5703125" style="40" customWidth="1"/>
    <col min="11020" max="11020" width="6.140625" style="40" customWidth="1"/>
    <col min="11021" max="11021" width="7.42578125" style="40" customWidth="1"/>
    <col min="11022" max="11265" width="9.140625" style="40"/>
    <col min="11266" max="11266" width="9.140625" style="40" customWidth="1"/>
    <col min="11267" max="11267" width="5.5703125" style="40" customWidth="1"/>
    <col min="11268" max="11268" width="4.5703125" style="40" customWidth="1"/>
    <col min="11269" max="11269" width="8.140625" style="40" customWidth="1"/>
    <col min="11270" max="11270" width="5.85546875" style="40" customWidth="1"/>
    <col min="11271" max="11271" width="9.85546875" style="40" customWidth="1"/>
    <col min="11272" max="11272" width="6.28515625" style="40" customWidth="1"/>
    <col min="11273" max="11273" width="7.42578125" style="40" customWidth="1"/>
    <col min="11274" max="11274" width="7" style="40" customWidth="1"/>
    <col min="11275" max="11275" width="8.5703125" style="40" customWidth="1"/>
    <col min="11276" max="11276" width="6.140625" style="40" customWidth="1"/>
    <col min="11277" max="11277" width="7.42578125" style="40" customWidth="1"/>
    <col min="11278" max="11521" width="9.140625" style="40"/>
    <col min="11522" max="11522" width="9.140625" style="40" customWidth="1"/>
    <col min="11523" max="11523" width="5.5703125" style="40" customWidth="1"/>
    <col min="11524" max="11524" width="4.5703125" style="40" customWidth="1"/>
    <col min="11525" max="11525" width="8.140625" style="40" customWidth="1"/>
    <col min="11526" max="11526" width="5.85546875" style="40" customWidth="1"/>
    <col min="11527" max="11527" width="9.85546875" style="40" customWidth="1"/>
    <col min="11528" max="11528" width="6.28515625" style="40" customWidth="1"/>
    <col min="11529" max="11529" width="7.42578125" style="40" customWidth="1"/>
    <col min="11530" max="11530" width="7" style="40" customWidth="1"/>
    <col min="11531" max="11531" width="8.5703125" style="40" customWidth="1"/>
    <col min="11532" max="11532" width="6.140625" style="40" customWidth="1"/>
    <col min="11533" max="11533" width="7.42578125" style="40" customWidth="1"/>
    <col min="11534" max="11777" width="9.140625" style="40"/>
    <col min="11778" max="11778" width="9.140625" style="40" customWidth="1"/>
    <col min="11779" max="11779" width="5.5703125" style="40" customWidth="1"/>
    <col min="11780" max="11780" width="4.5703125" style="40" customWidth="1"/>
    <col min="11781" max="11781" width="8.140625" style="40" customWidth="1"/>
    <col min="11782" max="11782" width="5.85546875" style="40" customWidth="1"/>
    <col min="11783" max="11783" width="9.85546875" style="40" customWidth="1"/>
    <col min="11784" max="11784" width="6.28515625" style="40" customWidth="1"/>
    <col min="11785" max="11785" width="7.42578125" style="40" customWidth="1"/>
    <col min="11786" max="11786" width="7" style="40" customWidth="1"/>
    <col min="11787" max="11787" width="8.5703125" style="40" customWidth="1"/>
    <col min="11788" max="11788" width="6.140625" style="40" customWidth="1"/>
    <col min="11789" max="11789" width="7.42578125" style="40" customWidth="1"/>
    <col min="11790" max="12033" width="9.140625" style="40"/>
    <col min="12034" max="12034" width="9.140625" style="40" customWidth="1"/>
    <col min="12035" max="12035" width="5.5703125" style="40" customWidth="1"/>
    <col min="12036" max="12036" width="4.5703125" style="40" customWidth="1"/>
    <col min="12037" max="12037" width="8.140625" style="40" customWidth="1"/>
    <col min="12038" max="12038" width="5.85546875" style="40" customWidth="1"/>
    <col min="12039" max="12039" width="9.85546875" style="40" customWidth="1"/>
    <col min="12040" max="12040" width="6.28515625" style="40" customWidth="1"/>
    <col min="12041" max="12041" width="7.42578125" style="40" customWidth="1"/>
    <col min="12042" max="12042" width="7" style="40" customWidth="1"/>
    <col min="12043" max="12043" width="8.5703125" style="40" customWidth="1"/>
    <col min="12044" max="12044" width="6.140625" style="40" customWidth="1"/>
    <col min="12045" max="12045" width="7.42578125" style="40" customWidth="1"/>
    <col min="12046" max="12289" width="9.140625" style="40"/>
    <col min="12290" max="12290" width="9.140625" style="40" customWidth="1"/>
    <col min="12291" max="12291" width="5.5703125" style="40" customWidth="1"/>
    <col min="12292" max="12292" width="4.5703125" style="40" customWidth="1"/>
    <col min="12293" max="12293" width="8.140625" style="40" customWidth="1"/>
    <col min="12294" max="12294" width="5.85546875" style="40" customWidth="1"/>
    <col min="12295" max="12295" width="9.85546875" style="40" customWidth="1"/>
    <col min="12296" max="12296" width="6.28515625" style="40" customWidth="1"/>
    <col min="12297" max="12297" width="7.42578125" style="40" customWidth="1"/>
    <col min="12298" max="12298" width="7" style="40" customWidth="1"/>
    <col min="12299" max="12299" width="8.5703125" style="40" customWidth="1"/>
    <col min="12300" max="12300" width="6.140625" style="40" customWidth="1"/>
    <col min="12301" max="12301" width="7.42578125" style="40" customWidth="1"/>
    <col min="12302" max="12545" width="9.140625" style="40"/>
    <col min="12546" max="12546" width="9.140625" style="40" customWidth="1"/>
    <col min="12547" max="12547" width="5.5703125" style="40" customWidth="1"/>
    <col min="12548" max="12548" width="4.5703125" style="40" customWidth="1"/>
    <col min="12549" max="12549" width="8.140625" style="40" customWidth="1"/>
    <col min="12550" max="12550" width="5.85546875" style="40" customWidth="1"/>
    <col min="12551" max="12551" width="9.85546875" style="40" customWidth="1"/>
    <col min="12552" max="12552" width="6.28515625" style="40" customWidth="1"/>
    <col min="12553" max="12553" width="7.42578125" style="40" customWidth="1"/>
    <col min="12554" max="12554" width="7" style="40" customWidth="1"/>
    <col min="12555" max="12555" width="8.5703125" style="40" customWidth="1"/>
    <col min="12556" max="12556" width="6.140625" style="40" customWidth="1"/>
    <col min="12557" max="12557" width="7.42578125" style="40" customWidth="1"/>
    <col min="12558" max="12801" width="9.140625" style="40"/>
    <col min="12802" max="12802" width="9.140625" style="40" customWidth="1"/>
    <col min="12803" max="12803" width="5.5703125" style="40" customWidth="1"/>
    <col min="12804" max="12804" width="4.5703125" style="40" customWidth="1"/>
    <col min="12805" max="12805" width="8.140625" style="40" customWidth="1"/>
    <col min="12806" max="12806" width="5.85546875" style="40" customWidth="1"/>
    <col min="12807" max="12807" width="9.85546875" style="40" customWidth="1"/>
    <col min="12808" max="12808" width="6.28515625" style="40" customWidth="1"/>
    <col min="12809" max="12809" width="7.42578125" style="40" customWidth="1"/>
    <col min="12810" max="12810" width="7" style="40" customWidth="1"/>
    <col min="12811" max="12811" width="8.5703125" style="40" customWidth="1"/>
    <col min="12812" max="12812" width="6.140625" style="40" customWidth="1"/>
    <col min="12813" max="12813" width="7.42578125" style="40" customWidth="1"/>
    <col min="12814" max="13057" width="9.140625" style="40"/>
    <col min="13058" max="13058" width="9.140625" style="40" customWidth="1"/>
    <col min="13059" max="13059" width="5.5703125" style="40" customWidth="1"/>
    <col min="13060" max="13060" width="4.5703125" style="40" customWidth="1"/>
    <col min="13061" max="13061" width="8.140625" style="40" customWidth="1"/>
    <col min="13062" max="13062" width="5.85546875" style="40" customWidth="1"/>
    <col min="13063" max="13063" width="9.85546875" style="40" customWidth="1"/>
    <col min="13064" max="13064" width="6.28515625" style="40" customWidth="1"/>
    <col min="13065" max="13065" width="7.42578125" style="40" customWidth="1"/>
    <col min="13066" max="13066" width="7" style="40" customWidth="1"/>
    <col min="13067" max="13067" width="8.5703125" style="40" customWidth="1"/>
    <col min="13068" max="13068" width="6.140625" style="40" customWidth="1"/>
    <col min="13069" max="13069" width="7.42578125" style="40" customWidth="1"/>
    <col min="13070" max="13313" width="9.140625" style="40"/>
    <col min="13314" max="13314" width="9.140625" style="40" customWidth="1"/>
    <col min="13315" max="13315" width="5.5703125" style="40" customWidth="1"/>
    <col min="13316" max="13316" width="4.5703125" style="40" customWidth="1"/>
    <col min="13317" max="13317" width="8.140625" style="40" customWidth="1"/>
    <col min="13318" max="13318" width="5.85546875" style="40" customWidth="1"/>
    <col min="13319" max="13319" width="9.85546875" style="40" customWidth="1"/>
    <col min="13320" max="13320" width="6.28515625" style="40" customWidth="1"/>
    <col min="13321" max="13321" width="7.42578125" style="40" customWidth="1"/>
    <col min="13322" max="13322" width="7" style="40" customWidth="1"/>
    <col min="13323" max="13323" width="8.5703125" style="40" customWidth="1"/>
    <col min="13324" max="13324" width="6.140625" style="40" customWidth="1"/>
    <col min="13325" max="13325" width="7.42578125" style="40" customWidth="1"/>
    <col min="13326" max="13569" width="9.140625" style="40"/>
    <col min="13570" max="13570" width="9.140625" style="40" customWidth="1"/>
    <col min="13571" max="13571" width="5.5703125" style="40" customWidth="1"/>
    <col min="13572" max="13572" width="4.5703125" style="40" customWidth="1"/>
    <col min="13573" max="13573" width="8.140625" style="40" customWidth="1"/>
    <col min="13574" max="13574" width="5.85546875" style="40" customWidth="1"/>
    <col min="13575" max="13575" width="9.85546875" style="40" customWidth="1"/>
    <col min="13576" max="13576" width="6.28515625" style="40" customWidth="1"/>
    <col min="13577" max="13577" width="7.42578125" style="40" customWidth="1"/>
    <col min="13578" max="13578" width="7" style="40" customWidth="1"/>
    <col min="13579" max="13579" width="8.5703125" style="40" customWidth="1"/>
    <col min="13580" max="13580" width="6.140625" style="40" customWidth="1"/>
    <col min="13581" max="13581" width="7.42578125" style="40" customWidth="1"/>
    <col min="13582" max="13825" width="9.140625" style="40"/>
    <col min="13826" max="13826" width="9.140625" style="40" customWidth="1"/>
    <col min="13827" max="13827" width="5.5703125" style="40" customWidth="1"/>
    <col min="13828" max="13828" width="4.5703125" style="40" customWidth="1"/>
    <col min="13829" max="13829" width="8.140625" style="40" customWidth="1"/>
    <col min="13830" max="13830" width="5.85546875" style="40" customWidth="1"/>
    <col min="13831" max="13831" width="9.85546875" style="40" customWidth="1"/>
    <col min="13832" max="13832" width="6.28515625" style="40" customWidth="1"/>
    <col min="13833" max="13833" width="7.42578125" style="40" customWidth="1"/>
    <col min="13834" max="13834" width="7" style="40" customWidth="1"/>
    <col min="13835" max="13835" width="8.5703125" style="40" customWidth="1"/>
    <col min="13836" max="13836" width="6.140625" style="40" customWidth="1"/>
    <col min="13837" max="13837" width="7.42578125" style="40" customWidth="1"/>
    <col min="13838" max="14081" width="9.140625" style="40"/>
    <col min="14082" max="14082" width="9.140625" style="40" customWidth="1"/>
    <col min="14083" max="14083" width="5.5703125" style="40" customWidth="1"/>
    <col min="14084" max="14084" width="4.5703125" style="40" customWidth="1"/>
    <col min="14085" max="14085" width="8.140625" style="40" customWidth="1"/>
    <col min="14086" max="14086" width="5.85546875" style="40" customWidth="1"/>
    <col min="14087" max="14087" width="9.85546875" style="40" customWidth="1"/>
    <col min="14088" max="14088" width="6.28515625" style="40" customWidth="1"/>
    <col min="14089" max="14089" width="7.42578125" style="40" customWidth="1"/>
    <col min="14090" max="14090" width="7" style="40" customWidth="1"/>
    <col min="14091" max="14091" width="8.5703125" style="40" customWidth="1"/>
    <col min="14092" max="14092" width="6.140625" style="40" customWidth="1"/>
    <col min="14093" max="14093" width="7.42578125" style="40" customWidth="1"/>
    <col min="14094" max="14337" width="9.140625" style="40"/>
    <col min="14338" max="14338" width="9.140625" style="40" customWidth="1"/>
    <col min="14339" max="14339" width="5.5703125" style="40" customWidth="1"/>
    <col min="14340" max="14340" width="4.5703125" style="40" customWidth="1"/>
    <col min="14341" max="14341" width="8.140625" style="40" customWidth="1"/>
    <col min="14342" max="14342" width="5.85546875" style="40" customWidth="1"/>
    <col min="14343" max="14343" width="9.85546875" style="40" customWidth="1"/>
    <col min="14344" max="14344" width="6.28515625" style="40" customWidth="1"/>
    <col min="14345" max="14345" width="7.42578125" style="40" customWidth="1"/>
    <col min="14346" max="14346" width="7" style="40" customWidth="1"/>
    <col min="14347" max="14347" width="8.5703125" style="40" customWidth="1"/>
    <col min="14348" max="14348" width="6.140625" style="40" customWidth="1"/>
    <col min="14349" max="14349" width="7.42578125" style="40" customWidth="1"/>
    <col min="14350" max="14593" width="9.140625" style="40"/>
    <col min="14594" max="14594" width="9.140625" style="40" customWidth="1"/>
    <col min="14595" max="14595" width="5.5703125" style="40" customWidth="1"/>
    <col min="14596" max="14596" width="4.5703125" style="40" customWidth="1"/>
    <col min="14597" max="14597" width="8.140625" style="40" customWidth="1"/>
    <col min="14598" max="14598" width="5.85546875" style="40" customWidth="1"/>
    <col min="14599" max="14599" width="9.85546875" style="40" customWidth="1"/>
    <col min="14600" max="14600" width="6.28515625" style="40" customWidth="1"/>
    <col min="14601" max="14601" width="7.42578125" style="40" customWidth="1"/>
    <col min="14602" max="14602" width="7" style="40" customWidth="1"/>
    <col min="14603" max="14603" width="8.5703125" style="40" customWidth="1"/>
    <col min="14604" max="14604" width="6.140625" style="40" customWidth="1"/>
    <col min="14605" max="14605" width="7.42578125" style="40" customWidth="1"/>
    <col min="14606" max="14849" width="9.140625" style="40"/>
    <col min="14850" max="14850" width="9.140625" style="40" customWidth="1"/>
    <col min="14851" max="14851" width="5.5703125" style="40" customWidth="1"/>
    <col min="14852" max="14852" width="4.5703125" style="40" customWidth="1"/>
    <col min="14853" max="14853" width="8.140625" style="40" customWidth="1"/>
    <col min="14854" max="14854" width="5.85546875" style="40" customWidth="1"/>
    <col min="14855" max="14855" width="9.85546875" style="40" customWidth="1"/>
    <col min="14856" max="14856" width="6.28515625" style="40" customWidth="1"/>
    <col min="14857" max="14857" width="7.42578125" style="40" customWidth="1"/>
    <col min="14858" max="14858" width="7" style="40" customWidth="1"/>
    <col min="14859" max="14859" width="8.5703125" style="40" customWidth="1"/>
    <col min="14860" max="14860" width="6.140625" style="40" customWidth="1"/>
    <col min="14861" max="14861" width="7.42578125" style="40" customWidth="1"/>
    <col min="14862" max="15105" width="9.140625" style="40"/>
    <col min="15106" max="15106" width="9.140625" style="40" customWidth="1"/>
    <col min="15107" max="15107" width="5.5703125" style="40" customWidth="1"/>
    <col min="15108" max="15108" width="4.5703125" style="40" customWidth="1"/>
    <col min="15109" max="15109" width="8.140625" style="40" customWidth="1"/>
    <col min="15110" max="15110" width="5.85546875" style="40" customWidth="1"/>
    <col min="15111" max="15111" width="9.85546875" style="40" customWidth="1"/>
    <col min="15112" max="15112" width="6.28515625" style="40" customWidth="1"/>
    <col min="15113" max="15113" width="7.42578125" style="40" customWidth="1"/>
    <col min="15114" max="15114" width="7" style="40" customWidth="1"/>
    <col min="15115" max="15115" width="8.5703125" style="40" customWidth="1"/>
    <col min="15116" max="15116" width="6.140625" style="40" customWidth="1"/>
    <col min="15117" max="15117" width="7.42578125" style="40" customWidth="1"/>
    <col min="15118" max="15361" width="9.140625" style="40"/>
    <col min="15362" max="15362" width="9.140625" style="40" customWidth="1"/>
    <col min="15363" max="15363" width="5.5703125" style="40" customWidth="1"/>
    <col min="15364" max="15364" width="4.5703125" style="40" customWidth="1"/>
    <col min="15365" max="15365" width="8.140625" style="40" customWidth="1"/>
    <col min="15366" max="15366" width="5.85546875" style="40" customWidth="1"/>
    <col min="15367" max="15367" width="9.85546875" style="40" customWidth="1"/>
    <col min="15368" max="15368" width="6.28515625" style="40" customWidth="1"/>
    <col min="15369" max="15369" width="7.42578125" style="40" customWidth="1"/>
    <col min="15370" max="15370" width="7" style="40" customWidth="1"/>
    <col min="15371" max="15371" width="8.5703125" style="40" customWidth="1"/>
    <col min="15372" max="15372" width="6.140625" style="40" customWidth="1"/>
    <col min="15373" max="15373" width="7.42578125" style="40" customWidth="1"/>
    <col min="15374" max="15617" width="9.140625" style="40"/>
    <col min="15618" max="15618" width="9.140625" style="40" customWidth="1"/>
    <col min="15619" max="15619" width="5.5703125" style="40" customWidth="1"/>
    <col min="15620" max="15620" width="4.5703125" style="40" customWidth="1"/>
    <col min="15621" max="15621" width="8.140625" style="40" customWidth="1"/>
    <col min="15622" max="15622" width="5.85546875" style="40" customWidth="1"/>
    <col min="15623" max="15623" width="9.85546875" style="40" customWidth="1"/>
    <col min="15624" max="15624" width="6.28515625" style="40" customWidth="1"/>
    <col min="15625" max="15625" width="7.42578125" style="40" customWidth="1"/>
    <col min="15626" max="15626" width="7" style="40" customWidth="1"/>
    <col min="15627" max="15627" width="8.5703125" style="40" customWidth="1"/>
    <col min="15628" max="15628" width="6.140625" style="40" customWidth="1"/>
    <col min="15629" max="15629" width="7.42578125" style="40" customWidth="1"/>
    <col min="15630" max="15873" width="9.140625" style="40"/>
    <col min="15874" max="15874" width="9.140625" style="40" customWidth="1"/>
    <col min="15875" max="15875" width="5.5703125" style="40" customWidth="1"/>
    <col min="15876" max="15876" width="4.5703125" style="40" customWidth="1"/>
    <col min="15877" max="15877" width="8.140625" style="40" customWidth="1"/>
    <col min="15878" max="15878" width="5.85546875" style="40" customWidth="1"/>
    <col min="15879" max="15879" width="9.85546875" style="40" customWidth="1"/>
    <col min="15880" max="15880" width="6.28515625" style="40" customWidth="1"/>
    <col min="15881" max="15881" width="7.42578125" style="40" customWidth="1"/>
    <col min="15882" max="15882" width="7" style="40" customWidth="1"/>
    <col min="15883" max="15883" width="8.5703125" style="40" customWidth="1"/>
    <col min="15884" max="15884" width="6.140625" style="40" customWidth="1"/>
    <col min="15885" max="15885" width="7.42578125" style="40" customWidth="1"/>
    <col min="15886" max="16129" width="9.140625" style="40"/>
    <col min="16130" max="16130" width="9.140625" style="40" customWidth="1"/>
    <col min="16131" max="16131" width="5.5703125" style="40" customWidth="1"/>
    <col min="16132" max="16132" width="4.5703125" style="40" customWidth="1"/>
    <col min="16133" max="16133" width="8.140625" style="40" customWidth="1"/>
    <col min="16134" max="16134" width="5.85546875" style="40" customWidth="1"/>
    <col min="16135" max="16135" width="9.85546875" style="40" customWidth="1"/>
    <col min="16136" max="16136" width="6.28515625" style="40" customWidth="1"/>
    <col min="16137" max="16137" width="7.42578125" style="40" customWidth="1"/>
    <col min="16138" max="16138" width="7" style="40" customWidth="1"/>
    <col min="16139" max="16139" width="8.5703125" style="40" customWidth="1"/>
    <col min="16140" max="16140" width="6.140625" style="40" customWidth="1"/>
    <col min="16141" max="16141" width="7.42578125" style="40" customWidth="1"/>
    <col min="16142" max="16384" width="9.140625" style="40"/>
  </cols>
  <sheetData>
    <row r="1" spans="1:15">
      <c r="A1" s="1656" t="s">
        <v>122</v>
      </c>
      <c r="B1" s="1656"/>
      <c r="C1" s="1656"/>
      <c r="D1" s="1656"/>
      <c r="E1" s="1656"/>
      <c r="F1" s="1656"/>
      <c r="G1" s="1656"/>
      <c r="H1" s="1656"/>
      <c r="I1" s="1656"/>
      <c r="J1" s="1656"/>
      <c r="K1" s="1656"/>
      <c r="L1" s="1656"/>
    </row>
    <row r="3" spans="1:15">
      <c r="A3" s="40" t="s">
        <v>123</v>
      </c>
      <c r="D3" s="40" t="s">
        <v>29</v>
      </c>
      <c r="E3" s="40">
        <v>1</v>
      </c>
      <c r="F3" s="40" t="s">
        <v>5</v>
      </c>
    </row>
    <row r="4" spans="1:15">
      <c r="A4" s="40" t="s">
        <v>124</v>
      </c>
      <c r="D4" s="40" t="s">
        <v>29</v>
      </c>
      <c r="E4" s="40">
        <f>E3</f>
        <v>1</v>
      </c>
      <c r="F4" s="41" t="s">
        <v>21</v>
      </c>
      <c r="G4" s="41">
        <v>30</v>
      </c>
      <c r="H4" s="41"/>
      <c r="I4" s="41"/>
    </row>
    <row r="5" spans="1:15">
      <c r="E5" s="40">
        <v>125</v>
      </c>
      <c r="F5" s="41" t="s">
        <v>13</v>
      </c>
    </row>
    <row r="7" spans="1:15">
      <c r="A7" s="40" t="s">
        <v>125</v>
      </c>
      <c r="D7" s="40" t="s">
        <v>29</v>
      </c>
      <c r="E7" s="40">
        <f>E5/5</f>
        <v>25</v>
      </c>
      <c r="F7" s="41" t="s">
        <v>21</v>
      </c>
      <c r="G7" s="41">
        <v>9</v>
      </c>
      <c r="H7" s="41" t="s">
        <v>21</v>
      </c>
      <c r="I7" s="42">
        <v>0.6</v>
      </c>
      <c r="N7" s="40">
        <f>720*60%</f>
        <v>432</v>
      </c>
    </row>
    <row r="8" spans="1:15">
      <c r="E8" s="43" t="s">
        <v>126</v>
      </c>
    </row>
    <row r="9" spans="1:15">
      <c r="E9" s="40">
        <f>E7*G7*I7</f>
        <v>135</v>
      </c>
      <c r="F9" s="40" t="s">
        <v>127</v>
      </c>
      <c r="G9" s="41" t="s">
        <v>21</v>
      </c>
      <c r="H9" s="41"/>
      <c r="I9" s="1657">
        <v>9.1999999999999998E-2</v>
      </c>
      <c r="J9" s="1657"/>
      <c r="K9" s="44"/>
    </row>
    <row r="10" spans="1:15">
      <c r="E10" s="40">
        <f>E9*I9</f>
        <v>12.42</v>
      </c>
      <c r="F10" s="45" t="s">
        <v>11</v>
      </c>
      <c r="G10" s="46">
        <f>ROUNDUP(E10,0)</f>
        <v>13</v>
      </c>
      <c r="H10" s="47"/>
      <c r="I10" s="47"/>
    </row>
    <row r="11" spans="1:15">
      <c r="O11" s="48"/>
    </row>
    <row r="12" spans="1:15">
      <c r="A12" s="40" t="s">
        <v>128</v>
      </c>
    </row>
    <row r="14" spans="1:15">
      <c r="A14" s="40" t="s">
        <v>129</v>
      </c>
      <c r="D14" s="40" t="s">
        <v>29</v>
      </c>
      <c r="E14" s="41">
        <f>G10</f>
        <v>13</v>
      </c>
      <c r="F14" s="41" t="s">
        <v>21</v>
      </c>
      <c r="G14" s="41">
        <v>0.3</v>
      </c>
      <c r="H14" s="41"/>
      <c r="I14" s="41"/>
      <c r="J14" s="40" t="s">
        <v>29</v>
      </c>
      <c r="K14" s="49">
        <f>G14*E14</f>
        <v>3.9</v>
      </c>
    </row>
    <row r="15" spans="1:15">
      <c r="A15" s="40" t="s">
        <v>130</v>
      </c>
      <c r="D15" s="40" t="s">
        <v>29</v>
      </c>
      <c r="E15" s="41">
        <f>E5</f>
        <v>125</v>
      </c>
      <c r="F15" s="41" t="s">
        <v>21</v>
      </c>
      <c r="G15" s="41">
        <v>3.3000000000000002E-2</v>
      </c>
      <c r="H15" s="41"/>
      <c r="I15" s="41"/>
      <c r="J15" s="40" t="s">
        <v>29</v>
      </c>
      <c r="K15" s="49">
        <f>G15*E15</f>
        <v>4.125</v>
      </c>
    </row>
    <row r="16" spans="1:15">
      <c r="A16" s="40" t="s">
        <v>131</v>
      </c>
      <c r="D16" s="40" t="s">
        <v>29</v>
      </c>
      <c r="E16" s="41">
        <f>E5</f>
        <v>125</v>
      </c>
      <c r="F16" s="41" t="s">
        <v>21</v>
      </c>
      <c r="G16" s="41">
        <v>2.0000000000000001E-4</v>
      </c>
      <c r="H16" s="41" t="s">
        <v>21</v>
      </c>
      <c r="I16" s="41">
        <v>365</v>
      </c>
      <c r="J16" s="40" t="s">
        <v>29</v>
      </c>
      <c r="K16" s="49">
        <f>G16*E16*I16</f>
        <v>9.125</v>
      </c>
    </row>
    <row r="17" spans="1:15">
      <c r="K17" s="50" t="s">
        <v>132</v>
      </c>
    </row>
    <row r="18" spans="1:15">
      <c r="J18" s="1658">
        <f>SUM(K14:K17)</f>
        <v>17.149999999999999</v>
      </c>
      <c r="K18" s="1658"/>
      <c r="L18" s="1658"/>
      <c r="O18" s="40">
        <f>J18/8</f>
        <v>2.1437499999999998</v>
      </c>
    </row>
    <row r="19" spans="1:15">
      <c r="K19" s="50" t="s">
        <v>132</v>
      </c>
    </row>
    <row r="20" spans="1:15">
      <c r="A20" s="40" t="s">
        <v>133</v>
      </c>
      <c r="D20" s="40" t="s">
        <v>29</v>
      </c>
      <c r="E20" s="40">
        <v>1.2</v>
      </c>
      <c r="F20" s="40" t="s">
        <v>134</v>
      </c>
      <c r="H20" s="1659" t="s">
        <v>135</v>
      </c>
      <c r="I20" s="1659"/>
      <c r="J20" s="1659"/>
      <c r="K20" s="1659"/>
      <c r="L20" s="1659"/>
    </row>
    <row r="22" spans="1:15">
      <c r="A22" s="40" t="s">
        <v>136</v>
      </c>
      <c r="D22" s="40" t="s">
        <v>29</v>
      </c>
      <c r="E22" s="51">
        <f>J18</f>
        <v>17.149999999999999</v>
      </c>
      <c r="F22" s="52" t="s">
        <v>32</v>
      </c>
      <c r="G22" s="41">
        <f>E20</f>
        <v>1.2</v>
      </c>
      <c r="H22" s="41" t="s">
        <v>29</v>
      </c>
      <c r="I22" s="51">
        <f>E22/G22</f>
        <v>14.291666666666666</v>
      </c>
      <c r="J22" s="47" t="s">
        <v>11</v>
      </c>
      <c r="K22" s="53">
        <f>ROUNDUP(I22,0)</f>
        <v>15</v>
      </c>
      <c r="L22" s="47" t="s">
        <v>26</v>
      </c>
    </row>
    <row r="23" spans="1:15">
      <c r="H23" s="41"/>
    </row>
    <row r="24" spans="1:15">
      <c r="A24" s="40" t="s">
        <v>137</v>
      </c>
      <c r="D24" s="40" t="s">
        <v>29</v>
      </c>
      <c r="E24" s="41">
        <v>2.5</v>
      </c>
      <c r="F24" s="41" t="s">
        <v>34</v>
      </c>
      <c r="H24" s="41"/>
    </row>
    <row r="25" spans="1:15">
      <c r="H25" s="41"/>
    </row>
    <row r="26" spans="1:15">
      <c r="A26" s="40" t="s">
        <v>138</v>
      </c>
      <c r="D26" s="40" t="s">
        <v>29</v>
      </c>
      <c r="E26" s="51">
        <f>K22</f>
        <v>15</v>
      </c>
      <c r="F26" s="52" t="s">
        <v>32</v>
      </c>
      <c r="G26" s="41">
        <f>E24</f>
        <v>2.5</v>
      </c>
      <c r="H26" s="41" t="s">
        <v>29</v>
      </c>
      <c r="I26" s="51">
        <f>E26/G26</f>
        <v>6</v>
      </c>
      <c r="J26" s="47" t="s">
        <v>11</v>
      </c>
      <c r="K26" s="54">
        <f>I26</f>
        <v>6</v>
      </c>
      <c r="L26" s="47" t="s">
        <v>34</v>
      </c>
    </row>
    <row r="28" spans="1:15">
      <c r="A28" s="47" t="s">
        <v>139</v>
      </c>
      <c r="D28" s="40" t="s">
        <v>29</v>
      </c>
      <c r="E28" s="49">
        <f>K26</f>
        <v>6</v>
      </c>
      <c r="F28" s="41" t="s">
        <v>21</v>
      </c>
      <c r="G28" s="41">
        <f>E24</f>
        <v>2.5</v>
      </c>
      <c r="H28" s="41" t="s">
        <v>21</v>
      </c>
      <c r="I28" s="41">
        <v>1.6</v>
      </c>
      <c r="J28" s="40" t="s">
        <v>140</v>
      </c>
      <c r="K28" s="40" t="s">
        <v>141</v>
      </c>
    </row>
  </sheetData>
  <mergeCells count="4">
    <mergeCell ref="A1:L1"/>
    <mergeCell ref="I9:J9"/>
    <mergeCell ref="J18:L18"/>
    <mergeCell ref="H20:L20"/>
  </mergeCells>
  <pageMargins left="0.7" right="0.7" top="0.75" bottom="0.75" header="0.3" footer="0.3"/>
  <pageSetup paperSize="9" orientation="portrait" verticalDpi="300" r:id="rId1"/>
</worksheet>
</file>

<file path=xl/worksheets/sheet14.xml><?xml version="1.0" encoding="utf-8"?>
<worksheet xmlns="http://schemas.openxmlformats.org/spreadsheetml/2006/main" xmlns:r="http://schemas.openxmlformats.org/officeDocument/2006/relationships">
  <sheetPr codeName="Sheet7">
    <tabColor rgb="FFFF0000"/>
  </sheetPr>
  <dimension ref="A4:L157"/>
  <sheetViews>
    <sheetView view="pageBreakPreview" topLeftCell="A139" zoomScale="90" zoomScaleSheetLayoutView="90" workbookViewId="0">
      <selection activeCell="F157" sqref="F157:H157"/>
    </sheetView>
  </sheetViews>
  <sheetFormatPr defaultRowHeight="12.75"/>
  <cols>
    <col min="1" max="1" width="7.5703125" style="8" customWidth="1"/>
    <col min="2" max="2" width="43.5703125" style="9" customWidth="1"/>
    <col min="3" max="3" width="4.85546875" style="11" customWidth="1"/>
    <col min="4" max="4" width="5" style="11" customWidth="1"/>
    <col min="5" max="6" width="8.5703125" style="12" customWidth="1"/>
    <col min="7" max="7" width="9.7109375" style="12" customWidth="1"/>
    <col min="8" max="8" width="8.85546875" style="13" customWidth="1"/>
    <col min="9" max="9" width="11.5703125" style="14" bestFit="1" customWidth="1"/>
    <col min="10" max="256" width="9.140625" style="14"/>
    <col min="257" max="257" width="7.5703125" style="14" customWidth="1"/>
    <col min="258" max="258" width="43.5703125" style="14" customWidth="1"/>
    <col min="259" max="259" width="4.85546875" style="14" customWidth="1"/>
    <col min="260" max="260" width="5" style="14" customWidth="1"/>
    <col min="261" max="262" width="8.5703125" style="14" customWidth="1"/>
    <col min="263" max="263" width="9.7109375" style="14" customWidth="1"/>
    <col min="264" max="264" width="8.85546875" style="14" customWidth="1"/>
    <col min="265" max="265" width="11.5703125" style="14" bestFit="1" customWidth="1"/>
    <col min="266" max="512" width="9.140625" style="14"/>
    <col min="513" max="513" width="7.5703125" style="14" customWidth="1"/>
    <col min="514" max="514" width="43.5703125" style="14" customWidth="1"/>
    <col min="515" max="515" width="4.85546875" style="14" customWidth="1"/>
    <col min="516" max="516" width="5" style="14" customWidth="1"/>
    <col min="517" max="518" width="8.5703125" style="14" customWidth="1"/>
    <col min="519" max="519" width="9.7109375" style="14" customWidth="1"/>
    <col min="520" max="520" width="8.85546875" style="14" customWidth="1"/>
    <col min="521" max="521" width="11.5703125" style="14" bestFit="1" customWidth="1"/>
    <col min="522" max="768" width="9.140625" style="14"/>
    <col min="769" max="769" width="7.5703125" style="14" customWidth="1"/>
    <col min="770" max="770" width="43.5703125" style="14" customWidth="1"/>
    <col min="771" max="771" width="4.85546875" style="14" customWidth="1"/>
    <col min="772" max="772" width="5" style="14" customWidth="1"/>
    <col min="773" max="774" width="8.5703125" style="14" customWidth="1"/>
    <col min="775" max="775" width="9.7109375" style="14" customWidth="1"/>
    <col min="776" max="776" width="8.85546875" style="14" customWidth="1"/>
    <col min="777" max="777" width="11.5703125" style="14" bestFit="1" customWidth="1"/>
    <col min="778" max="1024" width="9.140625" style="14"/>
    <col min="1025" max="1025" width="7.5703125" style="14" customWidth="1"/>
    <col min="1026" max="1026" width="43.5703125" style="14" customWidth="1"/>
    <col min="1027" max="1027" width="4.85546875" style="14" customWidth="1"/>
    <col min="1028" max="1028" width="5" style="14" customWidth="1"/>
    <col min="1029" max="1030" width="8.5703125" style="14" customWidth="1"/>
    <col min="1031" max="1031" width="9.7109375" style="14" customWidth="1"/>
    <col min="1032" max="1032" width="8.85546875" style="14" customWidth="1"/>
    <col min="1033" max="1033" width="11.5703125" style="14" bestFit="1" customWidth="1"/>
    <col min="1034" max="1280" width="9.140625" style="14"/>
    <col min="1281" max="1281" width="7.5703125" style="14" customWidth="1"/>
    <col min="1282" max="1282" width="43.5703125" style="14" customWidth="1"/>
    <col min="1283" max="1283" width="4.85546875" style="14" customWidth="1"/>
    <col min="1284" max="1284" width="5" style="14" customWidth="1"/>
    <col min="1285" max="1286" width="8.5703125" style="14" customWidth="1"/>
    <col min="1287" max="1287" width="9.7109375" style="14" customWidth="1"/>
    <col min="1288" max="1288" width="8.85546875" style="14" customWidth="1"/>
    <col min="1289" max="1289" width="11.5703125" style="14" bestFit="1" customWidth="1"/>
    <col min="1290" max="1536" width="9.140625" style="14"/>
    <col min="1537" max="1537" width="7.5703125" style="14" customWidth="1"/>
    <col min="1538" max="1538" width="43.5703125" style="14" customWidth="1"/>
    <col min="1539" max="1539" width="4.85546875" style="14" customWidth="1"/>
    <col min="1540" max="1540" width="5" style="14" customWidth="1"/>
    <col min="1541" max="1542" width="8.5703125" style="14" customWidth="1"/>
    <col min="1543" max="1543" width="9.7109375" style="14" customWidth="1"/>
    <col min="1544" max="1544" width="8.85546875" style="14" customWidth="1"/>
    <col min="1545" max="1545" width="11.5703125" style="14" bestFit="1" customWidth="1"/>
    <col min="1546" max="1792" width="9.140625" style="14"/>
    <col min="1793" max="1793" width="7.5703125" style="14" customWidth="1"/>
    <col min="1794" max="1794" width="43.5703125" style="14" customWidth="1"/>
    <col min="1795" max="1795" width="4.85546875" style="14" customWidth="1"/>
    <col min="1796" max="1796" width="5" style="14" customWidth="1"/>
    <col min="1797" max="1798" width="8.5703125" style="14" customWidth="1"/>
    <col min="1799" max="1799" width="9.7109375" style="14" customWidth="1"/>
    <col min="1800" max="1800" width="8.85546875" style="14" customWidth="1"/>
    <col min="1801" max="1801" width="11.5703125" style="14" bestFit="1" customWidth="1"/>
    <col min="1802" max="2048" width="9.140625" style="14"/>
    <col min="2049" max="2049" width="7.5703125" style="14" customWidth="1"/>
    <col min="2050" max="2050" width="43.5703125" style="14" customWidth="1"/>
    <col min="2051" max="2051" width="4.85546875" style="14" customWidth="1"/>
    <col min="2052" max="2052" width="5" style="14" customWidth="1"/>
    <col min="2053" max="2054" width="8.5703125" style="14" customWidth="1"/>
    <col min="2055" max="2055" width="9.7109375" style="14" customWidth="1"/>
    <col min="2056" max="2056" width="8.85546875" style="14" customWidth="1"/>
    <col min="2057" max="2057" width="11.5703125" style="14" bestFit="1" customWidth="1"/>
    <col min="2058" max="2304" width="9.140625" style="14"/>
    <col min="2305" max="2305" width="7.5703125" style="14" customWidth="1"/>
    <col min="2306" max="2306" width="43.5703125" style="14" customWidth="1"/>
    <col min="2307" max="2307" width="4.85546875" style="14" customWidth="1"/>
    <col min="2308" max="2308" width="5" style="14" customWidth="1"/>
    <col min="2309" max="2310" width="8.5703125" style="14" customWidth="1"/>
    <col min="2311" max="2311" width="9.7109375" style="14" customWidth="1"/>
    <col min="2312" max="2312" width="8.85546875" style="14" customWidth="1"/>
    <col min="2313" max="2313" width="11.5703125" style="14" bestFit="1" customWidth="1"/>
    <col min="2314" max="2560" width="9.140625" style="14"/>
    <col min="2561" max="2561" width="7.5703125" style="14" customWidth="1"/>
    <col min="2562" max="2562" width="43.5703125" style="14" customWidth="1"/>
    <col min="2563" max="2563" width="4.85546875" style="14" customWidth="1"/>
    <col min="2564" max="2564" width="5" style="14" customWidth="1"/>
    <col min="2565" max="2566" width="8.5703125" style="14" customWidth="1"/>
    <col min="2567" max="2567" width="9.7109375" style="14" customWidth="1"/>
    <col min="2568" max="2568" width="8.85546875" style="14" customWidth="1"/>
    <col min="2569" max="2569" width="11.5703125" style="14" bestFit="1" customWidth="1"/>
    <col min="2570" max="2816" width="9.140625" style="14"/>
    <col min="2817" max="2817" width="7.5703125" style="14" customWidth="1"/>
    <col min="2818" max="2818" width="43.5703125" style="14" customWidth="1"/>
    <col min="2819" max="2819" width="4.85546875" style="14" customWidth="1"/>
    <col min="2820" max="2820" width="5" style="14" customWidth="1"/>
    <col min="2821" max="2822" width="8.5703125" style="14" customWidth="1"/>
    <col min="2823" max="2823" width="9.7109375" style="14" customWidth="1"/>
    <col min="2824" max="2824" width="8.85546875" style="14" customWidth="1"/>
    <col min="2825" max="2825" width="11.5703125" style="14" bestFit="1" customWidth="1"/>
    <col min="2826" max="3072" width="9.140625" style="14"/>
    <col min="3073" max="3073" width="7.5703125" style="14" customWidth="1"/>
    <col min="3074" max="3074" width="43.5703125" style="14" customWidth="1"/>
    <col min="3075" max="3075" width="4.85546875" style="14" customWidth="1"/>
    <col min="3076" max="3076" width="5" style="14" customWidth="1"/>
    <col min="3077" max="3078" width="8.5703125" style="14" customWidth="1"/>
    <col min="3079" max="3079" width="9.7109375" style="14" customWidth="1"/>
    <col min="3080" max="3080" width="8.85546875" style="14" customWidth="1"/>
    <col min="3081" max="3081" width="11.5703125" style="14" bestFit="1" customWidth="1"/>
    <col min="3082" max="3328" width="9.140625" style="14"/>
    <col min="3329" max="3329" width="7.5703125" style="14" customWidth="1"/>
    <col min="3330" max="3330" width="43.5703125" style="14" customWidth="1"/>
    <col min="3331" max="3331" width="4.85546875" style="14" customWidth="1"/>
    <col min="3332" max="3332" width="5" style="14" customWidth="1"/>
    <col min="3333" max="3334" width="8.5703125" style="14" customWidth="1"/>
    <col min="3335" max="3335" width="9.7109375" style="14" customWidth="1"/>
    <col min="3336" max="3336" width="8.85546875" style="14" customWidth="1"/>
    <col min="3337" max="3337" width="11.5703125" style="14" bestFit="1" customWidth="1"/>
    <col min="3338" max="3584" width="9.140625" style="14"/>
    <col min="3585" max="3585" width="7.5703125" style="14" customWidth="1"/>
    <col min="3586" max="3586" width="43.5703125" style="14" customWidth="1"/>
    <col min="3587" max="3587" width="4.85546875" style="14" customWidth="1"/>
    <col min="3588" max="3588" width="5" style="14" customWidth="1"/>
    <col min="3589" max="3590" width="8.5703125" style="14" customWidth="1"/>
    <col min="3591" max="3591" width="9.7109375" style="14" customWidth="1"/>
    <col min="3592" max="3592" width="8.85546875" style="14" customWidth="1"/>
    <col min="3593" max="3593" width="11.5703125" style="14" bestFit="1" customWidth="1"/>
    <col min="3594" max="3840" width="9.140625" style="14"/>
    <col min="3841" max="3841" width="7.5703125" style="14" customWidth="1"/>
    <col min="3842" max="3842" width="43.5703125" style="14" customWidth="1"/>
    <col min="3843" max="3843" width="4.85546875" style="14" customWidth="1"/>
    <col min="3844" max="3844" width="5" style="14" customWidth="1"/>
    <col min="3845" max="3846" width="8.5703125" style="14" customWidth="1"/>
    <col min="3847" max="3847" width="9.7109375" style="14" customWidth="1"/>
    <col min="3848" max="3848" width="8.85546875" style="14" customWidth="1"/>
    <col min="3849" max="3849" width="11.5703125" style="14" bestFit="1" customWidth="1"/>
    <col min="3850" max="4096" width="9.140625" style="14"/>
    <col min="4097" max="4097" width="7.5703125" style="14" customWidth="1"/>
    <col min="4098" max="4098" width="43.5703125" style="14" customWidth="1"/>
    <col min="4099" max="4099" width="4.85546875" style="14" customWidth="1"/>
    <col min="4100" max="4100" width="5" style="14" customWidth="1"/>
    <col min="4101" max="4102" width="8.5703125" style="14" customWidth="1"/>
    <col min="4103" max="4103" width="9.7109375" style="14" customWidth="1"/>
    <col min="4104" max="4104" width="8.85546875" style="14" customWidth="1"/>
    <col min="4105" max="4105" width="11.5703125" style="14" bestFit="1" customWidth="1"/>
    <col min="4106" max="4352" width="9.140625" style="14"/>
    <col min="4353" max="4353" width="7.5703125" style="14" customWidth="1"/>
    <col min="4354" max="4354" width="43.5703125" style="14" customWidth="1"/>
    <col min="4355" max="4355" width="4.85546875" style="14" customWidth="1"/>
    <col min="4356" max="4356" width="5" style="14" customWidth="1"/>
    <col min="4357" max="4358" width="8.5703125" style="14" customWidth="1"/>
    <col min="4359" max="4359" width="9.7109375" style="14" customWidth="1"/>
    <col min="4360" max="4360" width="8.85546875" style="14" customWidth="1"/>
    <col min="4361" max="4361" width="11.5703125" style="14" bestFit="1" customWidth="1"/>
    <col min="4362" max="4608" width="9.140625" style="14"/>
    <col min="4609" max="4609" width="7.5703125" style="14" customWidth="1"/>
    <col min="4610" max="4610" width="43.5703125" style="14" customWidth="1"/>
    <col min="4611" max="4611" width="4.85546875" style="14" customWidth="1"/>
    <col min="4612" max="4612" width="5" style="14" customWidth="1"/>
    <col min="4613" max="4614" width="8.5703125" style="14" customWidth="1"/>
    <col min="4615" max="4615" width="9.7109375" style="14" customWidth="1"/>
    <col min="4616" max="4616" width="8.85546875" style="14" customWidth="1"/>
    <col min="4617" max="4617" width="11.5703125" style="14" bestFit="1" customWidth="1"/>
    <col min="4618" max="4864" width="9.140625" style="14"/>
    <col min="4865" max="4865" width="7.5703125" style="14" customWidth="1"/>
    <col min="4866" max="4866" width="43.5703125" style="14" customWidth="1"/>
    <col min="4867" max="4867" width="4.85546875" style="14" customWidth="1"/>
    <col min="4868" max="4868" width="5" style="14" customWidth="1"/>
    <col min="4869" max="4870" width="8.5703125" style="14" customWidth="1"/>
    <col min="4871" max="4871" width="9.7109375" style="14" customWidth="1"/>
    <col min="4872" max="4872" width="8.85546875" style="14" customWidth="1"/>
    <col min="4873" max="4873" width="11.5703125" style="14" bestFit="1" customWidth="1"/>
    <col min="4874" max="5120" width="9.140625" style="14"/>
    <col min="5121" max="5121" width="7.5703125" style="14" customWidth="1"/>
    <col min="5122" max="5122" width="43.5703125" style="14" customWidth="1"/>
    <col min="5123" max="5123" width="4.85546875" style="14" customWidth="1"/>
    <col min="5124" max="5124" width="5" style="14" customWidth="1"/>
    <col min="5125" max="5126" width="8.5703125" style="14" customWidth="1"/>
    <col min="5127" max="5127" width="9.7109375" style="14" customWidth="1"/>
    <col min="5128" max="5128" width="8.85546875" style="14" customWidth="1"/>
    <col min="5129" max="5129" width="11.5703125" style="14" bestFit="1" customWidth="1"/>
    <col min="5130" max="5376" width="9.140625" style="14"/>
    <col min="5377" max="5377" width="7.5703125" style="14" customWidth="1"/>
    <col min="5378" max="5378" width="43.5703125" style="14" customWidth="1"/>
    <col min="5379" max="5379" width="4.85546875" style="14" customWidth="1"/>
    <col min="5380" max="5380" width="5" style="14" customWidth="1"/>
    <col min="5381" max="5382" width="8.5703125" style="14" customWidth="1"/>
    <col min="5383" max="5383" width="9.7109375" style="14" customWidth="1"/>
    <col min="5384" max="5384" width="8.85546875" style="14" customWidth="1"/>
    <col min="5385" max="5385" width="11.5703125" style="14" bestFit="1" customWidth="1"/>
    <col min="5386" max="5632" width="9.140625" style="14"/>
    <col min="5633" max="5633" width="7.5703125" style="14" customWidth="1"/>
    <col min="5634" max="5634" width="43.5703125" style="14" customWidth="1"/>
    <col min="5635" max="5635" width="4.85546875" style="14" customWidth="1"/>
    <col min="5636" max="5636" width="5" style="14" customWidth="1"/>
    <col min="5637" max="5638" width="8.5703125" style="14" customWidth="1"/>
    <col min="5639" max="5639" width="9.7109375" style="14" customWidth="1"/>
    <col min="5640" max="5640" width="8.85546875" style="14" customWidth="1"/>
    <col min="5641" max="5641" width="11.5703125" style="14" bestFit="1" customWidth="1"/>
    <col min="5642" max="5888" width="9.140625" style="14"/>
    <col min="5889" max="5889" width="7.5703125" style="14" customWidth="1"/>
    <col min="5890" max="5890" width="43.5703125" style="14" customWidth="1"/>
    <col min="5891" max="5891" width="4.85546875" style="14" customWidth="1"/>
    <col min="5892" max="5892" width="5" style="14" customWidth="1"/>
    <col min="5893" max="5894" width="8.5703125" style="14" customWidth="1"/>
    <col min="5895" max="5895" width="9.7109375" style="14" customWidth="1"/>
    <col min="5896" max="5896" width="8.85546875" style="14" customWidth="1"/>
    <col min="5897" max="5897" width="11.5703125" style="14" bestFit="1" customWidth="1"/>
    <col min="5898" max="6144" width="9.140625" style="14"/>
    <col min="6145" max="6145" width="7.5703125" style="14" customWidth="1"/>
    <col min="6146" max="6146" width="43.5703125" style="14" customWidth="1"/>
    <col min="6147" max="6147" width="4.85546875" style="14" customWidth="1"/>
    <col min="6148" max="6148" width="5" style="14" customWidth="1"/>
    <col min="6149" max="6150" width="8.5703125" style="14" customWidth="1"/>
    <col min="6151" max="6151" width="9.7109375" style="14" customWidth="1"/>
    <col min="6152" max="6152" width="8.85546875" style="14" customWidth="1"/>
    <col min="6153" max="6153" width="11.5703125" style="14" bestFit="1" customWidth="1"/>
    <col min="6154" max="6400" width="9.140625" style="14"/>
    <col min="6401" max="6401" width="7.5703125" style="14" customWidth="1"/>
    <col min="6402" max="6402" width="43.5703125" style="14" customWidth="1"/>
    <col min="6403" max="6403" width="4.85546875" style="14" customWidth="1"/>
    <col min="6404" max="6404" width="5" style="14" customWidth="1"/>
    <col min="6405" max="6406" width="8.5703125" style="14" customWidth="1"/>
    <col min="6407" max="6407" width="9.7109375" style="14" customWidth="1"/>
    <col min="6408" max="6408" width="8.85546875" style="14" customWidth="1"/>
    <col min="6409" max="6409" width="11.5703125" style="14" bestFit="1" customWidth="1"/>
    <col min="6410" max="6656" width="9.140625" style="14"/>
    <col min="6657" max="6657" width="7.5703125" style="14" customWidth="1"/>
    <col min="6658" max="6658" width="43.5703125" style="14" customWidth="1"/>
    <col min="6659" max="6659" width="4.85546875" style="14" customWidth="1"/>
    <col min="6660" max="6660" width="5" style="14" customWidth="1"/>
    <col min="6661" max="6662" width="8.5703125" style="14" customWidth="1"/>
    <col min="6663" max="6663" width="9.7109375" style="14" customWidth="1"/>
    <col min="6664" max="6664" width="8.85546875" style="14" customWidth="1"/>
    <col min="6665" max="6665" width="11.5703125" style="14" bestFit="1" customWidth="1"/>
    <col min="6666" max="6912" width="9.140625" style="14"/>
    <col min="6913" max="6913" width="7.5703125" style="14" customWidth="1"/>
    <col min="6914" max="6914" width="43.5703125" style="14" customWidth="1"/>
    <col min="6915" max="6915" width="4.85546875" style="14" customWidth="1"/>
    <col min="6916" max="6916" width="5" style="14" customWidth="1"/>
    <col min="6917" max="6918" width="8.5703125" style="14" customWidth="1"/>
    <col min="6919" max="6919" width="9.7109375" style="14" customWidth="1"/>
    <col min="6920" max="6920" width="8.85546875" style="14" customWidth="1"/>
    <col min="6921" max="6921" width="11.5703125" style="14" bestFit="1" customWidth="1"/>
    <col min="6922" max="7168" width="9.140625" style="14"/>
    <col min="7169" max="7169" width="7.5703125" style="14" customWidth="1"/>
    <col min="7170" max="7170" width="43.5703125" style="14" customWidth="1"/>
    <col min="7171" max="7171" width="4.85546875" style="14" customWidth="1"/>
    <col min="7172" max="7172" width="5" style="14" customWidth="1"/>
    <col min="7173" max="7174" width="8.5703125" style="14" customWidth="1"/>
    <col min="7175" max="7175" width="9.7109375" style="14" customWidth="1"/>
    <col min="7176" max="7176" width="8.85546875" style="14" customWidth="1"/>
    <col min="7177" max="7177" width="11.5703125" style="14" bestFit="1" customWidth="1"/>
    <col min="7178" max="7424" width="9.140625" style="14"/>
    <col min="7425" max="7425" width="7.5703125" style="14" customWidth="1"/>
    <col min="7426" max="7426" width="43.5703125" style="14" customWidth="1"/>
    <col min="7427" max="7427" width="4.85546875" style="14" customWidth="1"/>
    <col min="7428" max="7428" width="5" style="14" customWidth="1"/>
    <col min="7429" max="7430" width="8.5703125" style="14" customWidth="1"/>
    <col min="7431" max="7431" width="9.7109375" style="14" customWidth="1"/>
    <col min="7432" max="7432" width="8.85546875" style="14" customWidth="1"/>
    <col min="7433" max="7433" width="11.5703125" style="14" bestFit="1" customWidth="1"/>
    <col min="7434" max="7680" width="9.140625" style="14"/>
    <col min="7681" max="7681" width="7.5703125" style="14" customWidth="1"/>
    <col min="7682" max="7682" width="43.5703125" style="14" customWidth="1"/>
    <col min="7683" max="7683" width="4.85546875" style="14" customWidth="1"/>
    <col min="7684" max="7684" width="5" style="14" customWidth="1"/>
    <col min="7685" max="7686" width="8.5703125" style="14" customWidth="1"/>
    <col min="7687" max="7687" width="9.7109375" style="14" customWidth="1"/>
    <col min="7688" max="7688" width="8.85546875" style="14" customWidth="1"/>
    <col min="7689" max="7689" width="11.5703125" style="14" bestFit="1" customWidth="1"/>
    <col min="7690" max="7936" width="9.140625" style="14"/>
    <col min="7937" max="7937" width="7.5703125" style="14" customWidth="1"/>
    <col min="7938" max="7938" width="43.5703125" style="14" customWidth="1"/>
    <col min="7939" max="7939" width="4.85546875" style="14" customWidth="1"/>
    <col min="7940" max="7940" width="5" style="14" customWidth="1"/>
    <col min="7941" max="7942" width="8.5703125" style="14" customWidth="1"/>
    <col min="7943" max="7943" width="9.7109375" style="14" customWidth="1"/>
    <col min="7944" max="7944" width="8.85546875" style="14" customWidth="1"/>
    <col min="7945" max="7945" width="11.5703125" style="14" bestFit="1" customWidth="1"/>
    <col min="7946" max="8192" width="9.140625" style="14"/>
    <col min="8193" max="8193" width="7.5703125" style="14" customWidth="1"/>
    <col min="8194" max="8194" width="43.5703125" style="14" customWidth="1"/>
    <col min="8195" max="8195" width="4.85546875" style="14" customWidth="1"/>
    <col min="8196" max="8196" width="5" style="14" customWidth="1"/>
    <col min="8197" max="8198" width="8.5703125" style="14" customWidth="1"/>
    <col min="8199" max="8199" width="9.7109375" style="14" customWidth="1"/>
    <col min="8200" max="8200" width="8.85546875" style="14" customWidth="1"/>
    <col min="8201" max="8201" width="11.5703125" style="14" bestFit="1" customWidth="1"/>
    <col min="8202" max="8448" width="9.140625" style="14"/>
    <col min="8449" max="8449" width="7.5703125" style="14" customWidth="1"/>
    <col min="8450" max="8450" width="43.5703125" style="14" customWidth="1"/>
    <col min="8451" max="8451" width="4.85546875" style="14" customWidth="1"/>
    <col min="8452" max="8452" width="5" style="14" customWidth="1"/>
    <col min="8453" max="8454" width="8.5703125" style="14" customWidth="1"/>
    <col min="8455" max="8455" width="9.7109375" style="14" customWidth="1"/>
    <col min="8456" max="8456" width="8.85546875" style="14" customWidth="1"/>
    <col min="8457" max="8457" width="11.5703125" style="14" bestFit="1" customWidth="1"/>
    <col min="8458" max="8704" width="9.140625" style="14"/>
    <col min="8705" max="8705" width="7.5703125" style="14" customWidth="1"/>
    <col min="8706" max="8706" width="43.5703125" style="14" customWidth="1"/>
    <col min="8707" max="8707" width="4.85546875" style="14" customWidth="1"/>
    <col min="8708" max="8708" width="5" style="14" customWidth="1"/>
    <col min="8709" max="8710" width="8.5703125" style="14" customWidth="1"/>
    <col min="8711" max="8711" width="9.7109375" style="14" customWidth="1"/>
    <col min="8712" max="8712" width="8.85546875" style="14" customWidth="1"/>
    <col min="8713" max="8713" width="11.5703125" style="14" bestFit="1" customWidth="1"/>
    <col min="8714" max="8960" width="9.140625" style="14"/>
    <col min="8961" max="8961" width="7.5703125" style="14" customWidth="1"/>
    <col min="8962" max="8962" width="43.5703125" style="14" customWidth="1"/>
    <col min="8963" max="8963" width="4.85546875" style="14" customWidth="1"/>
    <col min="8964" max="8964" width="5" style="14" customWidth="1"/>
    <col min="8965" max="8966" width="8.5703125" style="14" customWidth="1"/>
    <col min="8967" max="8967" width="9.7109375" style="14" customWidth="1"/>
    <col min="8968" max="8968" width="8.85546875" style="14" customWidth="1"/>
    <col min="8969" max="8969" width="11.5703125" style="14" bestFit="1" customWidth="1"/>
    <col min="8970" max="9216" width="9.140625" style="14"/>
    <col min="9217" max="9217" width="7.5703125" style="14" customWidth="1"/>
    <col min="9218" max="9218" width="43.5703125" style="14" customWidth="1"/>
    <col min="9219" max="9219" width="4.85546875" style="14" customWidth="1"/>
    <col min="9220" max="9220" width="5" style="14" customWidth="1"/>
    <col min="9221" max="9222" width="8.5703125" style="14" customWidth="1"/>
    <col min="9223" max="9223" width="9.7109375" style="14" customWidth="1"/>
    <col min="9224" max="9224" width="8.85546875" style="14" customWidth="1"/>
    <col min="9225" max="9225" width="11.5703125" style="14" bestFit="1" customWidth="1"/>
    <col min="9226" max="9472" width="9.140625" style="14"/>
    <col min="9473" max="9473" width="7.5703125" style="14" customWidth="1"/>
    <col min="9474" max="9474" width="43.5703125" style="14" customWidth="1"/>
    <col min="9475" max="9475" width="4.85546875" style="14" customWidth="1"/>
    <col min="9476" max="9476" width="5" style="14" customWidth="1"/>
    <col min="9477" max="9478" width="8.5703125" style="14" customWidth="1"/>
    <col min="9479" max="9479" width="9.7109375" style="14" customWidth="1"/>
    <col min="9480" max="9480" width="8.85546875" style="14" customWidth="1"/>
    <col min="9481" max="9481" width="11.5703125" style="14" bestFit="1" customWidth="1"/>
    <col min="9482" max="9728" width="9.140625" style="14"/>
    <col min="9729" max="9729" width="7.5703125" style="14" customWidth="1"/>
    <col min="9730" max="9730" width="43.5703125" style="14" customWidth="1"/>
    <col min="9731" max="9731" width="4.85546875" style="14" customWidth="1"/>
    <col min="9732" max="9732" width="5" style="14" customWidth="1"/>
    <col min="9733" max="9734" width="8.5703125" style="14" customWidth="1"/>
    <col min="9735" max="9735" width="9.7109375" style="14" customWidth="1"/>
    <col min="9736" max="9736" width="8.85546875" style="14" customWidth="1"/>
    <col min="9737" max="9737" width="11.5703125" style="14" bestFit="1" customWidth="1"/>
    <col min="9738" max="9984" width="9.140625" style="14"/>
    <col min="9985" max="9985" width="7.5703125" style="14" customWidth="1"/>
    <col min="9986" max="9986" width="43.5703125" style="14" customWidth="1"/>
    <col min="9987" max="9987" width="4.85546875" style="14" customWidth="1"/>
    <col min="9988" max="9988" width="5" style="14" customWidth="1"/>
    <col min="9989" max="9990" width="8.5703125" style="14" customWidth="1"/>
    <col min="9991" max="9991" width="9.7109375" style="14" customWidth="1"/>
    <col min="9992" max="9992" width="8.85546875" style="14" customWidth="1"/>
    <col min="9993" max="9993" width="11.5703125" style="14" bestFit="1" customWidth="1"/>
    <col min="9994" max="10240" width="9.140625" style="14"/>
    <col min="10241" max="10241" width="7.5703125" style="14" customWidth="1"/>
    <col min="10242" max="10242" width="43.5703125" style="14" customWidth="1"/>
    <col min="10243" max="10243" width="4.85546875" style="14" customWidth="1"/>
    <col min="10244" max="10244" width="5" style="14" customWidth="1"/>
    <col min="10245" max="10246" width="8.5703125" style="14" customWidth="1"/>
    <col min="10247" max="10247" width="9.7109375" style="14" customWidth="1"/>
    <col min="10248" max="10248" width="8.85546875" style="14" customWidth="1"/>
    <col min="10249" max="10249" width="11.5703125" style="14" bestFit="1" customWidth="1"/>
    <col min="10250" max="10496" width="9.140625" style="14"/>
    <col min="10497" max="10497" width="7.5703125" style="14" customWidth="1"/>
    <col min="10498" max="10498" width="43.5703125" style="14" customWidth="1"/>
    <col min="10499" max="10499" width="4.85546875" style="14" customWidth="1"/>
    <col min="10500" max="10500" width="5" style="14" customWidth="1"/>
    <col min="10501" max="10502" width="8.5703125" style="14" customWidth="1"/>
    <col min="10503" max="10503" width="9.7109375" style="14" customWidth="1"/>
    <col min="10504" max="10504" width="8.85546875" style="14" customWidth="1"/>
    <col min="10505" max="10505" width="11.5703125" style="14" bestFit="1" customWidth="1"/>
    <col min="10506" max="10752" width="9.140625" style="14"/>
    <col min="10753" max="10753" width="7.5703125" style="14" customWidth="1"/>
    <col min="10754" max="10754" width="43.5703125" style="14" customWidth="1"/>
    <col min="10755" max="10755" width="4.85546875" style="14" customWidth="1"/>
    <col min="10756" max="10756" width="5" style="14" customWidth="1"/>
    <col min="10757" max="10758" width="8.5703125" style="14" customWidth="1"/>
    <col min="10759" max="10759" width="9.7109375" style="14" customWidth="1"/>
    <col min="10760" max="10760" width="8.85546875" style="14" customWidth="1"/>
    <col min="10761" max="10761" width="11.5703125" style="14" bestFit="1" customWidth="1"/>
    <col min="10762" max="11008" width="9.140625" style="14"/>
    <col min="11009" max="11009" width="7.5703125" style="14" customWidth="1"/>
    <col min="11010" max="11010" width="43.5703125" style="14" customWidth="1"/>
    <col min="11011" max="11011" width="4.85546875" style="14" customWidth="1"/>
    <col min="11012" max="11012" width="5" style="14" customWidth="1"/>
    <col min="11013" max="11014" width="8.5703125" style="14" customWidth="1"/>
    <col min="11015" max="11015" width="9.7109375" style="14" customWidth="1"/>
    <col min="11016" max="11016" width="8.85546875" style="14" customWidth="1"/>
    <col min="11017" max="11017" width="11.5703125" style="14" bestFit="1" customWidth="1"/>
    <col min="11018" max="11264" width="9.140625" style="14"/>
    <col min="11265" max="11265" width="7.5703125" style="14" customWidth="1"/>
    <col min="11266" max="11266" width="43.5703125" style="14" customWidth="1"/>
    <col min="11267" max="11267" width="4.85546875" style="14" customWidth="1"/>
    <col min="11268" max="11268" width="5" style="14" customWidth="1"/>
    <col min="11269" max="11270" width="8.5703125" style="14" customWidth="1"/>
    <col min="11271" max="11271" width="9.7109375" style="14" customWidth="1"/>
    <col min="11272" max="11272" width="8.85546875" style="14" customWidth="1"/>
    <col min="11273" max="11273" width="11.5703125" style="14" bestFit="1" customWidth="1"/>
    <col min="11274" max="11520" width="9.140625" style="14"/>
    <col min="11521" max="11521" width="7.5703125" style="14" customWidth="1"/>
    <col min="11522" max="11522" width="43.5703125" style="14" customWidth="1"/>
    <col min="11523" max="11523" width="4.85546875" style="14" customWidth="1"/>
    <col min="11524" max="11524" width="5" style="14" customWidth="1"/>
    <col min="11525" max="11526" width="8.5703125" style="14" customWidth="1"/>
    <col min="11527" max="11527" width="9.7109375" style="14" customWidth="1"/>
    <col min="11528" max="11528" width="8.85546875" style="14" customWidth="1"/>
    <col min="11529" max="11529" width="11.5703125" style="14" bestFit="1" customWidth="1"/>
    <col min="11530" max="11776" width="9.140625" style="14"/>
    <col min="11777" max="11777" width="7.5703125" style="14" customWidth="1"/>
    <col min="11778" max="11778" width="43.5703125" style="14" customWidth="1"/>
    <col min="11779" max="11779" width="4.85546875" style="14" customWidth="1"/>
    <col min="11780" max="11780" width="5" style="14" customWidth="1"/>
    <col min="11781" max="11782" width="8.5703125" style="14" customWidth="1"/>
    <col min="11783" max="11783" width="9.7109375" style="14" customWidth="1"/>
    <col min="11784" max="11784" width="8.85546875" style="14" customWidth="1"/>
    <col min="11785" max="11785" width="11.5703125" style="14" bestFit="1" customWidth="1"/>
    <col min="11786" max="12032" width="9.140625" style="14"/>
    <col min="12033" max="12033" width="7.5703125" style="14" customWidth="1"/>
    <col min="12034" max="12034" width="43.5703125" style="14" customWidth="1"/>
    <col min="12035" max="12035" width="4.85546875" style="14" customWidth="1"/>
    <col min="12036" max="12036" width="5" style="14" customWidth="1"/>
    <col min="12037" max="12038" width="8.5703125" style="14" customWidth="1"/>
    <col min="12039" max="12039" width="9.7109375" style="14" customWidth="1"/>
    <col min="12040" max="12040" width="8.85546875" style="14" customWidth="1"/>
    <col min="12041" max="12041" width="11.5703125" style="14" bestFit="1" customWidth="1"/>
    <col min="12042" max="12288" width="9.140625" style="14"/>
    <col min="12289" max="12289" width="7.5703125" style="14" customWidth="1"/>
    <col min="12290" max="12290" width="43.5703125" style="14" customWidth="1"/>
    <col min="12291" max="12291" width="4.85546875" style="14" customWidth="1"/>
    <col min="12292" max="12292" width="5" style="14" customWidth="1"/>
    <col min="12293" max="12294" width="8.5703125" style="14" customWidth="1"/>
    <col min="12295" max="12295" width="9.7109375" style="14" customWidth="1"/>
    <col min="12296" max="12296" width="8.85546875" style="14" customWidth="1"/>
    <col min="12297" max="12297" width="11.5703125" style="14" bestFit="1" customWidth="1"/>
    <col min="12298" max="12544" width="9.140625" style="14"/>
    <col min="12545" max="12545" width="7.5703125" style="14" customWidth="1"/>
    <col min="12546" max="12546" width="43.5703125" style="14" customWidth="1"/>
    <col min="12547" max="12547" width="4.85546875" style="14" customWidth="1"/>
    <col min="12548" max="12548" width="5" style="14" customWidth="1"/>
    <col min="12549" max="12550" width="8.5703125" style="14" customWidth="1"/>
    <col min="12551" max="12551" width="9.7109375" style="14" customWidth="1"/>
    <col min="12552" max="12552" width="8.85546875" style="14" customWidth="1"/>
    <col min="12553" max="12553" width="11.5703125" style="14" bestFit="1" customWidth="1"/>
    <col min="12554" max="12800" width="9.140625" style="14"/>
    <col min="12801" max="12801" width="7.5703125" style="14" customWidth="1"/>
    <col min="12802" max="12802" width="43.5703125" style="14" customWidth="1"/>
    <col min="12803" max="12803" width="4.85546875" style="14" customWidth="1"/>
    <col min="12804" max="12804" width="5" style="14" customWidth="1"/>
    <col min="12805" max="12806" width="8.5703125" style="14" customWidth="1"/>
    <col min="12807" max="12807" width="9.7109375" style="14" customWidth="1"/>
    <col min="12808" max="12808" width="8.85546875" style="14" customWidth="1"/>
    <col min="12809" max="12809" width="11.5703125" style="14" bestFit="1" customWidth="1"/>
    <col min="12810" max="13056" width="9.140625" style="14"/>
    <col min="13057" max="13057" width="7.5703125" style="14" customWidth="1"/>
    <col min="13058" max="13058" width="43.5703125" style="14" customWidth="1"/>
    <col min="13059" max="13059" width="4.85546875" style="14" customWidth="1"/>
    <col min="13060" max="13060" width="5" style="14" customWidth="1"/>
    <col min="13061" max="13062" width="8.5703125" style="14" customWidth="1"/>
    <col min="13063" max="13063" width="9.7109375" style="14" customWidth="1"/>
    <col min="13064" max="13064" width="8.85546875" style="14" customWidth="1"/>
    <col min="13065" max="13065" width="11.5703125" style="14" bestFit="1" customWidth="1"/>
    <col min="13066" max="13312" width="9.140625" style="14"/>
    <col min="13313" max="13313" width="7.5703125" style="14" customWidth="1"/>
    <col min="13314" max="13314" width="43.5703125" style="14" customWidth="1"/>
    <col min="13315" max="13315" width="4.85546875" style="14" customWidth="1"/>
    <col min="13316" max="13316" width="5" style="14" customWidth="1"/>
    <col min="13317" max="13318" width="8.5703125" style="14" customWidth="1"/>
    <col min="13319" max="13319" width="9.7109375" style="14" customWidth="1"/>
    <col min="13320" max="13320" width="8.85546875" style="14" customWidth="1"/>
    <col min="13321" max="13321" width="11.5703125" style="14" bestFit="1" customWidth="1"/>
    <col min="13322" max="13568" width="9.140625" style="14"/>
    <col min="13569" max="13569" width="7.5703125" style="14" customWidth="1"/>
    <col min="13570" max="13570" width="43.5703125" style="14" customWidth="1"/>
    <col min="13571" max="13571" width="4.85546875" style="14" customWidth="1"/>
    <col min="13572" max="13572" width="5" style="14" customWidth="1"/>
    <col min="13573" max="13574" width="8.5703125" style="14" customWidth="1"/>
    <col min="13575" max="13575" width="9.7109375" style="14" customWidth="1"/>
    <col min="13576" max="13576" width="8.85546875" style="14" customWidth="1"/>
    <col min="13577" max="13577" width="11.5703125" style="14" bestFit="1" customWidth="1"/>
    <col min="13578" max="13824" width="9.140625" style="14"/>
    <col min="13825" max="13825" width="7.5703125" style="14" customWidth="1"/>
    <col min="13826" max="13826" width="43.5703125" style="14" customWidth="1"/>
    <col min="13827" max="13827" width="4.85546875" style="14" customWidth="1"/>
    <col min="13828" max="13828" width="5" style="14" customWidth="1"/>
    <col min="13829" max="13830" width="8.5703125" style="14" customWidth="1"/>
    <col min="13831" max="13831" width="9.7109375" style="14" customWidth="1"/>
    <col min="13832" max="13832" width="8.85546875" style="14" customWidth="1"/>
    <col min="13833" max="13833" width="11.5703125" style="14" bestFit="1" customWidth="1"/>
    <col min="13834" max="14080" width="9.140625" style="14"/>
    <col min="14081" max="14081" width="7.5703125" style="14" customWidth="1"/>
    <col min="14082" max="14082" width="43.5703125" style="14" customWidth="1"/>
    <col min="14083" max="14083" width="4.85546875" style="14" customWidth="1"/>
    <col min="14084" max="14084" width="5" style="14" customWidth="1"/>
    <col min="14085" max="14086" width="8.5703125" style="14" customWidth="1"/>
    <col min="14087" max="14087" width="9.7109375" style="14" customWidth="1"/>
    <col min="14088" max="14088" width="8.85546875" style="14" customWidth="1"/>
    <col min="14089" max="14089" width="11.5703125" style="14" bestFit="1" customWidth="1"/>
    <col min="14090" max="14336" width="9.140625" style="14"/>
    <col min="14337" max="14337" width="7.5703125" style="14" customWidth="1"/>
    <col min="14338" max="14338" width="43.5703125" style="14" customWidth="1"/>
    <col min="14339" max="14339" width="4.85546875" style="14" customWidth="1"/>
    <col min="14340" max="14340" width="5" style="14" customWidth="1"/>
    <col min="14341" max="14342" width="8.5703125" style="14" customWidth="1"/>
    <col min="14343" max="14343" width="9.7109375" style="14" customWidth="1"/>
    <col min="14344" max="14344" width="8.85546875" style="14" customWidth="1"/>
    <col min="14345" max="14345" width="11.5703125" style="14" bestFit="1" customWidth="1"/>
    <col min="14346" max="14592" width="9.140625" style="14"/>
    <col min="14593" max="14593" width="7.5703125" style="14" customWidth="1"/>
    <col min="14594" max="14594" width="43.5703125" style="14" customWidth="1"/>
    <col min="14595" max="14595" width="4.85546875" style="14" customWidth="1"/>
    <col min="14596" max="14596" width="5" style="14" customWidth="1"/>
    <col min="14597" max="14598" width="8.5703125" style="14" customWidth="1"/>
    <col min="14599" max="14599" width="9.7109375" style="14" customWidth="1"/>
    <col min="14600" max="14600" width="8.85546875" style="14" customWidth="1"/>
    <col min="14601" max="14601" width="11.5703125" style="14" bestFit="1" customWidth="1"/>
    <col min="14602" max="14848" width="9.140625" style="14"/>
    <col min="14849" max="14849" width="7.5703125" style="14" customWidth="1"/>
    <col min="14850" max="14850" width="43.5703125" style="14" customWidth="1"/>
    <col min="14851" max="14851" width="4.85546875" style="14" customWidth="1"/>
    <col min="14852" max="14852" width="5" style="14" customWidth="1"/>
    <col min="14853" max="14854" width="8.5703125" style="14" customWidth="1"/>
    <col min="14855" max="14855" width="9.7109375" style="14" customWidth="1"/>
    <col min="14856" max="14856" width="8.85546875" style="14" customWidth="1"/>
    <col min="14857" max="14857" width="11.5703125" style="14" bestFit="1" customWidth="1"/>
    <col min="14858" max="15104" width="9.140625" style="14"/>
    <col min="15105" max="15105" width="7.5703125" style="14" customWidth="1"/>
    <col min="15106" max="15106" width="43.5703125" style="14" customWidth="1"/>
    <col min="15107" max="15107" width="4.85546875" style="14" customWidth="1"/>
    <col min="15108" max="15108" width="5" style="14" customWidth="1"/>
    <col min="15109" max="15110" width="8.5703125" style="14" customWidth="1"/>
    <col min="15111" max="15111" width="9.7109375" style="14" customWidth="1"/>
    <col min="15112" max="15112" width="8.85546875" style="14" customWidth="1"/>
    <col min="15113" max="15113" width="11.5703125" style="14" bestFit="1" customWidth="1"/>
    <col min="15114" max="15360" width="9.140625" style="14"/>
    <col min="15361" max="15361" width="7.5703125" style="14" customWidth="1"/>
    <col min="15362" max="15362" width="43.5703125" style="14" customWidth="1"/>
    <col min="15363" max="15363" width="4.85546875" style="14" customWidth="1"/>
    <col min="15364" max="15364" width="5" style="14" customWidth="1"/>
    <col min="15365" max="15366" width="8.5703125" style="14" customWidth="1"/>
    <col min="15367" max="15367" width="9.7109375" style="14" customWidth="1"/>
    <col min="15368" max="15368" width="8.85546875" style="14" customWidth="1"/>
    <col min="15369" max="15369" width="11.5703125" style="14" bestFit="1" customWidth="1"/>
    <col min="15370" max="15616" width="9.140625" style="14"/>
    <col min="15617" max="15617" width="7.5703125" style="14" customWidth="1"/>
    <col min="15618" max="15618" width="43.5703125" style="14" customWidth="1"/>
    <col min="15619" max="15619" width="4.85546875" style="14" customWidth="1"/>
    <col min="15620" max="15620" width="5" style="14" customWidth="1"/>
    <col min="15621" max="15622" width="8.5703125" style="14" customWidth="1"/>
    <col min="15623" max="15623" width="9.7109375" style="14" customWidth="1"/>
    <col min="15624" max="15624" width="8.85546875" style="14" customWidth="1"/>
    <col min="15625" max="15625" width="11.5703125" style="14" bestFit="1" customWidth="1"/>
    <col min="15626" max="15872" width="9.140625" style="14"/>
    <col min="15873" max="15873" width="7.5703125" style="14" customWidth="1"/>
    <col min="15874" max="15874" width="43.5703125" style="14" customWidth="1"/>
    <col min="15875" max="15875" width="4.85546875" style="14" customWidth="1"/>
    <col min="15876" max="15876" width="5" style="14" customWidth="1"/>
    <col min="15877" max="15878" width="8.5703125" style="14" customWidth="1"/>
    <col min="15879" max="15879" width="9.7109375" style="14" customWidth="1"/>
    <col min="15880" max="15880" width="8.85546875" style="14" customWidth="1"/>
    <col min="15881" max="15881" width="11.5703125" style="14" bestFit="1" customWidth="1"/>
    <col min="15882" max="16128" width="9.140625" style="14"/>
    <col min="16129" max="16129" width="7.5703125" style="14" customWidth="1"/>
    <col min="16130" max="16130" width="43.5703125" style="14" customWidth="1"/>
    <col min="16131" max="16131" width="4.85546875" style="14" customWidth="1"/>
    <col min="16132" max="16132" width="5" style="14" customWidth="1"/>
    <col min="16133" max="16134" width="8.5703125" style="14" customWidth="1"/>
    <col min="16135" max="16135" width="9.7109375" style="14" customWidth="1"/>
    <col min="16136" max="16136" width="8.85546875" style="14" customWidth="1"/>
    <col min="16137" max="16137" width="11.5703125" style="14" bestFit="1" customWidth="1"/>
    <col min="16138" max="16384" width="9.140625" style="14"/>
  </cols>
  <sheetData>
    <row r="4" spans="1:8">
      <c r="B4" s="9" t="s">
        <v>44</v>
      </c>
      <c r="C4" s="10"/>
      <c r="E4" s="12">
        <f>'[5]Design of septic tank'!E28</f>
        <v>6</v>
      </c>
      <c r="F4" s="12">
        <f>'[5]Design of septic tank'!G28</f>
        <v>2.5</v>
      </c>
      <c r="G4" s="12">
        <f>'[5]Design of septic tank'!I28</f>
        <v>1.6</v>
      </c>
    </row>
    <row r="6" spans="1:8">
      <c r="E6" s="12">
        <f>E4+0.46</f>
        <v>6.46</v>
      </c>
      <c r="F6" s="12">
        <f>F4+0.46</f>
        <v>2.96</v>
      </c>
    </row>
    <row r="7" spans="1:8">
      <c r="E7" s="12">
        <f>E4+0.34+0.34</f>
        <v>6.68</v>
      </c>
      <c r="F7" s="12">
        <f>F4+0.34+0.34</f>
        <v>3.1799999999999997</v>
      </c>
    </row>
    <row r="8" spans="1:8">
      <c r="E8" s="12">
        <f>E4+0.45+0.45</f>
        <v>6.9</v>
      </c>
      <c r="F8" s="12">
        <f>F4+0.45+0.45</f>
        <v>3.4000000000000004</v>
      </c>
    </row>
    <row r="14" spans="1:8" ht="15.75" customHeight="1">
      <c r="A14" s="1662" t="str">
        <f>'[5]Sump det'!C18</f>
        <v>Construction of  Administrative Building with development works at TSP 1st Battalion Campus in Trichy.</v>
      </c>
      <c r="B14" s="1662"/>
      <c r="C14" s="1662"/>
      <c r="D14" s="1662"/>
      <c r="E14" s="1662"/>
      <c r="F14" s="1662"/>
      <c r="G14" s="1662"/>
      <c r="H14" s="1662"/>
    </row>
    <row r="15" spans="1:8">
      <c r="A15" s="1662"/>
      <c r="B15" s="1662"/>
      <c r="C15" s="1662"/>
      <c r="D15" s="1662"/>
      <c r="E15" s="1662"/>
      <c r="F15" s="1662"/>
      <c r="G15" s="1662"/>
      <c r="H15" s="1662"/>
    </row>
    <row r="16" spans="1:8" ht="20.25" customHeight="1">
      <c r="A16" s="1663" t="s">
        <v>45</v>
      </c>
      <c r="B16" s="1663"/>
      <c r="C16" s="1663"/>
      <c r="D16" s="1663"/>
      <c r="E16" s="1663"/>
      <c r="F16" s="1663"/>
      <c r="G16" s="1663"/>
      <c r="H16" s="1663"/>
    </row>
    <row r="17" spans="1:12" ht="20.25" customHeight="1">
      <c r="A17" s="1664" t="s">
        <v>2</v>
      </c>
      <c r="B17" s="1664"/>
      <c r="C17" s="1664"/>
      <c r="D17" s="1664"/>
      <c r="E17" s="1664"/>
      <c r="F17" s="1664"/>
      <c r="G17" s="1664"/>
      <c r="H17" s="1664"/>
    </row>
    <row r="18" spans="1:12" s="15" customFormat="1" ht="18" customHeight="1">
      <c r="A18" s="1665" t="s">
        <v>3</v>
      </c>
      <c r="B18" s="1665" t="s">
        <v>4</v>
      </c>
      <c r="C18" s="1667" t="s">
        <v>5</v>
      </c>
      <c r="D18" s="1667"/>
      <c r="E18" s="1666" t="s">
        <v>6</v>
      </c>
      <c r="F18" s="1666"/>
      <c r="G18" s="1666"/>
      <c r="H18" s="1666" t="s">
        <v>14</v>
      </c>
    </row>
    <row r="19" spans="1:12" s="15" customFormat="1" ht="24" customHeight="1">
      <c r="A19" s="1666"/>
      <c r="B19" s="1665"/>
      <c r="C19" s="1667"/>
      <c r="D19" s="1667"/>
      <c r="E19" s="16" t="s">
        <v>8</v>
      </c>
      <c r="F19" s="16" t="s">
        <v>46</v>
      </c>
      <c r="G19" s="16" t="s">
        <v>10</v>
      </c>
      <c r="H19" s="1666"/>
    </row>
    <row r="20" spans="1:12" s="23" customFormat="1" ht="34.5" customHeight="1">
      <c r="A20" s="17">
        <v>1.5</v>
      </c>
      <c r="B20" s="18" t="s">
        <v>47</v>
      </c>
      <c r="C20" s="19"/>
      <c r="D20" s="20"/>
      <c r="E20" s="21"/>
      <c r="F20" s="21"/>
      <c r="G20" s="21"/>
      <c r="H20" s="22"/>
    </row>
    <row r="21" spans="1:12" s="23" customFormat="1" ht="20.100000000000001" customHeight="1">
      <c r="A21" s="22"/>
      <c r="B21" s="18" t="s">
        <v>48</v>
      </c>
      <c r="C21" s="19">
        <v>1</v>
      </c>
      <c r="D21" s="20">
        <v>1</v>
      </c>
      <c r="E21" s="21">
        <f>(E4+1.1)</f>
        <v>7.1</v>
      </c>
      <c r="F21" s="21">
        <f>F4+1.11</f>
        <v>3.6100000000000003</v>
      </c>
      <c r="G21" s="21">
        <f>G4-0.4</f>
        <v>1.2000000000000002</v>
      </c>
      <c r="H21" s="22">
        <f>PRODUCT(C21:G21)</f>
        <v>30.757200000000005</v>
      </c>
    </row>
    <row r="22" spans="1:12" s="23" customFormat="1" ht="20.100000000000001" customHeight="1">
      <c r="A22" s="22"/>
      <c r="B22" s="18" t="s">
        <v>49</v>
      </c>
      <c r="C22" s="19">
        <v>1</v>
      </c>
      <c r="D22" s="20">
        <v>2</v>
      </c>
      <c r="E22" s="21">
        <v>0.98</v>
      </c>
      <c r="F22" s="21">
        <v>1.36</v>
      </c>
      <c r="G22" s="21">
        <v>0.26</v>
      </c>
      <c r="H22" s="22">
        <f>PRODUCT(C22:G22)</f>
        <v>0.69305600000000001</v>
      </c>
      <c r="I22" s="23">
        <f>0.39*2</f>
        <v>0.78</v>
      </c>
    </row>
    <row r="23" spans="1:12" s="23" customFormat="1" ht="20.100000000000001" customHeight="1">
      <c r="A23" s="22"/>
      <c r="B23" s="24" t="s">
        <v>50</v>
      </c>
      <c r="C23" s="20">
        <v>4</v>
      </c>
      <c r="D23" s="20">
        <v>2</v>
      </c>
      <c r="E23" s="21">
        <v>1.26</v>
      </c>
      <c r="F23" s="21">
        <v>1.26</v>
      </c>
      <c r="G23" s="21">
        <v>0.6</v>
      </c>
      <c r="H23" s="22">
        <f>PRODUCT(C23:G23)</f>
        <v>7.6204800000000006</v>
      </c>
    </row>
    <row r="24" spans="1:12" s="23" customFormat="1" ht="20.100000000000001" customHeight="1">
      <c r="A24" s="22"/>
      <c r="B24" s="24" t="s">
        <v>51</v>
      </c>
      <c r="C24" s="20">
        <v>1</v>
      </c>
      <c r="D24" s="20">
        <v>1</v>
      </c>
      <c r="E24" s="21">
        <v>10</v>
      </c>
      <c r="F24" s="21">
        <v>1</v>
      </c>
      <c r="G24" s="21">
        <v>0.9</v>
      </c>
      <c r="H24" s="22">
        <f>PRODUCT(C24:G24)</f>
        <v>9</v>
      </c>
      <c r="J24" s="25"/>
      <c r="K24" s="25"/>
      <c r="L24" s="25"/>
    </row>
    <row r="25" spans="1:12" s="23" customFormat="1" ht="20.100000000000001" customHeight="1">
      <c r="A25" s="22"/>
      <c r="B25" s="24"/>
      <c r="C25" s="20"/>
      <c r="D25" s="20"/>
      <c r="E25" s="21"/>
      <c r="F25" s="21"/>
      <c r="G25" s="21"/>
      <c r="H25" s="22">
        <v>0.03</v>
      </c>
      <c r="J25" s="25"/>
      <c r="K25" s="25"/>
      <c r="L25" s="25"/>
    </row>
    <row r="26" spans="1:12" s="23" customFormat="1" ht="20.100000000000001" customHeight="1">
      <c r="A26" s="22"/>
      <c r="B26" s="24"/>
      <c r="C26" s="20"/>
      <c r="D26" s="20"/>
      <c r="E26" s="21"/>
      <c r="F26" s="21"/>
      <c r="G26" s="21"/>
      <c r="H26" s="22">
        <f>SUM(H21:H25)</f>
        <v>48.100736000000005</v>
      </c>
    </row>
    <row r="27" spans="1:12" s="23" customFormat="1" ht="20.100000000000001" customHeight="1">
      <c r="A27" s="22"/>
      <c r="B27" s="24"/>
      <c r="C27" s="20"/>
      <c r="D27" s="20"/>
      <c r="E27" s="21"/>
      <c r="F27" s="26" t="s">
        <v>11</v>
      </c>
      <c r="G27" s="26">
        <f>H26</f>
        <v>48.100736000000005</v>
      </c>
      <c r="H27" s="27" t="s">
        <v>19</v>
      </c>
    </row>
    <row r="28" spans="1:12" s="23" customFormat="1" ht="24.95" customHeight="1">
      <c r="A28" s="22">
        <v>2.1</v>
      </c>
      <c r="B28" s="24" t="s">
        <v>52</v>
      </c>
      <c r="C28" s="20"/>
      <c r="D28" s="20"/>
      <c r="E28" s="21"/>
      <c r="F28" s="26"/>
      <c r="G28" s="26"/>
      <c r="H28" s="28"/>
    </row>
    <row r="29" spans="1:12" s="23" customFormat="1" ht="20.100000000000001" customHeight="1">
      <c r="A29" s="17"/>
      <c r="B29" s="18" t="s">
        <v>48</v>
      </c>
      <c r="C29" s="20">
        <v>1</v>
      </c>
      <c r="D29" s="20">
        <v>1</v>
      </c>
      <c r="E29" s="21">
        <f>+E21</f>
        <v>7.1</v>
      </c>
      <c r="F29" s="21">
        <f>+F21</f>
        <v>3.6100000000000003</v>
      </c>
      <c r="G29" s="21">
        <v>0.1</v>
      </c>
      <c r="H29" s="22">
        <f>PRODUCT(C29:G29)</f>
        <v>2.5631000000000004</v>
      </c>
    </row>
    <row r="30" spans="1:12" s="23" customFormat="1" ht="20.100000000000001" customHeight="1">
      <c r="A30" s="17"/>
      <c r="B30" s="18" t="s">
        <v>50</v>
      </c>
      <c r="C30" s="20">
        <v>4</v>
      </c>
      <c r="D30" s="20">
        <v>2</v>
      </c>
      <c r="E30" s="21">
        <v>1.26</v>
      </c>
      <c r="F30" s="21">
        <v>1.26</v>
      </c>
      <c r="G30" s="21">
        <v>0.1</v>
      </c>
      <c r="H30" s="22">
        <f>PRODUCT(C30:G30)</f>
        <v>1.2700800000000001</v>
      </c>
    </row>
    <row r="31" spans="1:12" s="23" customFormat="1" ht="20.100000000000001" customHeight="1">
      <c r="A31" s="17"/>
      <c r="B31" s="18" t="s">
        <v>51</v>
      </c>
      <c r="C31" s="20">
        <v>1</v>
      </c>
      <c r="D31" s="20">
        <v>1</v>
      </c>
      <c r="E31" s="21">
        <v>10</v>
      </c>
      <c r="F31" s="21">
        <v>1</v>
      </c>
      <c r="G31" s="21">
        <v>0.25</v>
      </c>
      <c r="H31" s="22">
        <f>PRODUCT(C31:G31)</f>
        <v>2.5</v>
      </c>
    </row>
    <row r="32" spans="1:12" s="23" customFormat="1" ht="20.100000000000001" customHeight="1">
      <c r="A32" s="22"/>
      <c r="B32" s="24"/>
      <c r="C32" s="20"/>
      <c r="D32" s="20"/>
      <c r="E32" s="21"/>
      <c r="F32" s="21"/>
      <c r="G32" s="21"/>
      <c r="H32" s="22">
        <v>0.05</v>
      </c>
      <c r="J32" s="25"/>
      <c r="K32" s="25"/>
      <c r="L32" s="25"/>
    </row>
    <row r="33" spans="1:12" s="23" customFormat="1" ht="20.100000000000001" customHeight="1">
      <c r="A33" s="22"/>
      <c r="B33" s="24"/>
      <c r="C33" s="20"/>
      <c r="D33" s="20"/>
      <c r="E33" s="21"/>
      <c r="F33" s="21"/>
      <c r="G33" s="21"/>
      <c r="H33" s="22">
        <f>SUM(H29:H32)</f>
        <v>6.3831800000000003</v>
      </c>
      <c r="J33" s="25"/>
      <c r="K33" s="25"/>
      <c r="L33" s="25"/>
    </row>
    <row r="34" spans="1:12" s="23" customFormat="1" ht="20.100000000000001" customHeight="1">
      <c r="A34" s="22"/>
      <c r="B34" s="24"/>
      <c r="C34" s="20"/>
      <c r="D34" s="20"/>
      <c r="E34" s="21"/>
      <c r="F34" s="26" t="s">
        <v>11</v>
      </c>
      <c r="G34" s="26">
        <f>H33</f>
        <v>6.3831800000000003</v>
      </c>
      <c r="H34" s="27" t="s">
        <v>19</v>
      </c>
      <c r="J34" s="25"/>
      <c r="K34" s="25"/>
      <c r="L34" s="25"/>
    </row>
    <row r="35" spans="1:12" s="23" customFormat="1" ht="24.95" customHeight="1">
      <c r="A35" s="22">
        <v>2.2999999999999998</v>
      </c>
      <c r="B35" s="24" t="s">
        <v>53</v>
      </c>
      <c r="C35" s="20"/>
      <c r="D35" s="20"/>
      <c r="E35" s="21"/>
      <c r="F35" s="21"/>
      <c r="G35" s="21"/>
      <c r="H35" s="28"/>
      <c r="J35" s="25"/>
      <c r="K35" s="25"/>
      <c r="L35" s="25"/>
    </row>
    <row r="36" spans="1:12" s="23" customFormat="1" ht="20.100000000000001" customHeight="1">
      <c r="A36" s="17"/>
      <c r="B36" s="18" t="s">
        <v>54</v>
      </c>
      <c r="C36" s="20">
        <v>1</v>
      </c>
      <c r="D36" s="20">
        <v>1</v>
      </c>
      <c r="E36" s="21">
        <v>10</v>
      </c>
      <c r="F36" s="21">
        <v>1</v>
      </c>
      <c r="G36" s="29">
        <v>0.17499999999999999</v>
      </c>
      <c r="H36" s="22">
        <f>PRODUCT(C36:G36)</f>
        <v>1.75</v>
      </c>
    </row>
    <row r="37" spans="1:12" s="23" customFormat="1" ht="20.100000000000001" customHeight="1">
      <c r="A37" s="17"/>
      <c r="B37" s="24"/>
      <c r="C37" s="20"/>
      <c r="D37" s="20"/>
      <c r="E37" s="21"/>
      <c r="F37" s="26" t="s">
        <v>11</v>
      </c>
      <c r="G37" s="26">
        <f>H36</f>
        <v>1.75</v>
      </c>
      <c r="H37" s="27" t="s">
        <v>19</v>
      </c>
    </row>
    <row r="38" spans="1:12" s="23" customFormat="1" ht="20.100000000000001" customHeight="1">
      <c r="A38" s="30">
        <v>2.4</v>
      </c>
      <c r="B38" s="24" t="s">
        <v>55</v>
      </c>
      <c r="C38" s="20"/>
      <c r="D38" s="20"/>
      <c r="E38" s="21"/>
      <c r="F38" s="21"/>
      <c r="G38" s="21"/>
      <c r="H38" s="22"/>
    </row>
    <row r="39" spans="1:12" s="23" customFormat="1" ht="20.100000000000001" customHeight="1">
      <c r="A39" s="17"/>
      <c r="B39" s="18" t="s">
        <v>54</v>
      </c>
      <c r="C39" s="20">
        <v>1</v>
      </c>
      <c r="D39" s="20">
        <v>1</v>
      </c>
      <c r="E39" s="21">
        <v>10</v>
      </c>
      <c r="F39" s="21">
        <v>1</v>
      </c>
      <c r="G39" s="29">
        <v>0.17499999999999999</v>
      </c>
      <c r="H39" s="22">
        <f>PRODUCT(C39:G39)</f>
        <v>1.75</v>
      </c>
    </row>
    <row r="40" spans="1:12" s="23" customFormat="1" ht="20.100000000000001" customHeight="1">
      <c r="A40" s="17"/>
      <c r="B40" s="24"/>
      <c r="C40" s="20"/>
      <c r="D40" s="20"/>
      <c r="E40" s="21"/>
      <c r="F40" s="26" t="s">
        <v>11</v>
      </c>
      <c r="G40" s="26">
        <f>H39</f>
        <v>1.75</v>
      </c>
      <c r="H40" s="27" t="s">
        <v>19</v>
      </c>
    </row>
    <row r="41" spans="1:12" s="23" customFormat="1" ht="24.95" customHeight="1">
      <c r="A41" s="17">
        <v>3.1</v>
      </c>
      <c r="B41" s="24" t="s">
        <v>56</v>
      </c>
      <c r="C41" s="20"/>
      <c r="D41" s="20"/>
      <c r="E41" s="21"/>
      <c r="F41" s="21"/>
      <c r="G41" s="21"/>
      <c r="H41" s="22"/>
    </row>
    <row r="42" spans="1:12" s="23" customFormat="1" ht="20.100000000000001" customHeight="1">
      <c r="A42" s="17"/>
      <c r="B42" s="24" t="s">
        <v>48</v>
      </c>
      <c r="C42" s="20">
        <v>1</v>
      </c>
      <c r="D42" s="20">
        <v>1</v>
      </c>
      <c r="E42" s="21">
        <f>+E29</f>
        <v>7.1</v>
      </c>
      <c r="F42" s="21">
        <f>+F29</f>
        <v>3.6100000000000003</v>
      </c>
      <c r="G42" s="21">
        <v>0.1</v>
      </c>
      <c r="H42" s="22">
        <f>PRODUCT(C42:G42)</f>
        <v>2.5631000000000004</v>
      </c>
    </row>
    <row r="43" spans="1:12" s="23" customFormat="1" ht="20.100000000000001" customHeight="1">
      <c r="A43" s="17"/>
      <c r="B43" s="24" t="s">
        <v>49</v>
      </c>
      <c r="C43" s="20">
        <v>1</v>
      </c>
      <c r="D43" s="20">
        <v>2</v>
      </c>
      <c r="E43" s="21">
        <v>0.98</v>
      </c>
      <c r="F43" s="21">
        <v>1.36</v>
      </c>
      <c r="G43" s="21">
        <v>0.15</v>
      </c>
      <c r="H43" s="22">
        <f>PRODUCT(C43:G43)</f>
        <v>0.39983999999999997</v>
      </c>
    </row>
    <row r="44" spans="1:12" s="23" customFormat="1" ht="20.100000000000001" customHeight="1">
      <c r="A44" s="17"/>
      <c r="B44" s="18" t="s">
        <v>50</v>
      </c>
      <c r="C44" s="20">
        <v>4</v>
      </c>
      <c r="D44" s="20">
        <v>2</v>
      </c>
      <c r="E44" s="21">
        <v>1.26</v>
      </c>
      <c r="F44" s="21">
        <v>1.26</v>
      </c>
      <c r="G44" s="21">
        <v>0.1</v>
      </c>
      <c r="H44" s="22">
        <f>PRODUCT(C44:G44)</f>
        <v>1.2700800000000001</v>
      </c>
    </row>
    <row r="45" spans="1:12" s="23" customFormat="1" ht="20.100000000000001" customHeight="1">
      <c r="A45" s="17"/>
      <c r="B45" s="18"/>
      <c r="C45" s="20"/>
      <c r="D45" s="20"/>
      <c r="E45" s="21"/>
      <c r="F45" s="21"/>
      <c r="G45" s="21"/>
      <c r="H45" s="22">
        <v>0.05</v>
      </c>
    </row>
    <row r="46" spans="1:12" s="23" customFormat="1" ht="20.100000000000001" customHeight="1">
      <c r="A46" s="17"/>
      <c r="B46" s="24"/>
      <c r="C46" s="20"/>
      <c r="D46" s="20"/>
      <c r="E46" s="21"/>
      <c r="F46" s="21"/>
      <c r="G46" s="21"/>
      <c r="H46" s="22">
        <f>SUM(H42:H45)</f>
        <v>4.2830200000000005</v>
      </c>
    </row>
    <row r="47" spans="1:12" s="23" customFormat="1" ht="24.95" customHeight="1">
      <c r="A47" s="17"/>
      <c r="B47" s="24"/>
      <c r="C47" s="20"/>
      <c r="D47" s="20"/>
      <c r="E47" s="21"/>
      <c r="F47" s="26" t="s">
        <v>11</v>
      </c>
      <c r="G47" s="26">
        <f>H46</f>
        <v>4.2830200000000005</v>
      </c>
      <c r="H47" s="27" t="s">
        <v>19</v>
      </c>
    </row>
    <row r="48" spans="1:12" s="23" customFormat="1" ht="24.95" customHeight="1">
      <c r="A48" s="17">
        <v>3.2</v>
      </c>
      <c r="B48" s="24" t="s">
        <v>57</v>
      </c>
      <c r="C48" s="20"/>
      <c r="D48" s="20"/>
      <c r="E48" s="21"/>
      <c r="F48" s="21"/>
      <c r="G48" s="26"/>
      <c r="H48" s="28"/>
    </row>
    <row r="49" spans="1:8" s="23" customFormat="1" ht="20.100000000000001" customHeight="1">
      <c r="A49" s="17"/>
      <c r="B49" s="24" t="s">
        <v>50</v>
      </c>
      <c r="C49" s="20">
        <v>4</v>
      </c>
      <c r="D49" s="20">
        <v>2</v>
      </c>
      <c r="E49" s="21">
        <v>0.6</v>
      </c>
      <c r="F49" s="21">
        <v>0.6</v>
      </c>
      <c r="G49" s="29">
        <v>7.4999999999999997E-2</v>
      </c>
      <c r="H49" s="22">
        <f>PRODUCT(C49:G49)</f>
        <v>0.216</v>
      </c>
    </row>
    <row r="50" spans="1:8" s="23" customFormat="1" ht="20.100000000000001" customHeight="1">
      <c r="A50" s="17"/>
      <c r="B50" s="24" t="s">
        <v>58</v>
      </c>
      <c r="C50" s="20">
        <v>1</v>
      </c>
      <c r="D50" s="20">
        <v>1</v>
      </c>
      <c r="E50" s="21">
        <f>+E42</f>
        <v>7.1</v>
      </c>
      <c r="F50" s="21">
        <f>+F42</f>
        <v>3.6100000000000003</v>
      </c>
      <c r="G50" s="21">
        <v>0.23</v>
      </c>
      <c r="H50" s="22">
        <f>PRODUCT(C50:G50)</f>
        <v>5.89513</v>
      </c>
    </row>
    <row r="51" spans="1:8" s="23" customFormat="1" ht="20.100000000000001" customHeight="1">
      <c r="A51" s="17"/>
      <c r="B51" s="24"/>
      <c r="C51" s="20"/>
      <c r="D51" s="20"/>
      <c r="E51" s="21"/>
      <c r="F51" s="21"/>
      <c r="G51" s="21"/>
      <c r="H51" s="22">
        <v>0.02</v>
      </c>
    </row>
    <row r="52" spans="1:8" s="23" customFormat="1" ht="20.100000000000001" customHeight="1">
      <c r="A52" s="17"/>
      <c r="B52" s="24"/>
      <c r="C52" s="20"/>
      <c r="D52" s="20"/>
      <c r="E52" s="21"/>
      <c r="F52" s="21"/>
      <c r="G52" s="21"/>
      <c r="H52" s="22">
        <f>SUM(H49:H51)</f>
        <v>6.1311299999999997</v>
      </c>
    </row>
    <row r="53" spans="1:8" s="23" customFormat="1" ht="20.100000000000001" customHeight="1">
      <c r="A53" s="22"/>
      <c r="B53" s="24"/>
      <c r="C53" s="20"/>
      <c r="D53" s="20"/>
      <c r="E53" s="31"/>
      <c r="F53" s="26" t="s">
        <v>11</v>
      </c>
      <c r="G53" s="26">
        <f>+H52</f>
        <v>6.1311299999999997</v>
      </c>
      <c r="H53" s="27" t="s">
        <v>19</v>
      </c>
    </row>
    <row r="54" spans="1:8" s="23" customFormat="1" ht="54" customHeight="1">
      <c r="A54" s="22">
        <v>6.5</v>
      </c>
      <c r="B54" s="24" t="s">
        <v>59</v>
      </c>
      <c r="C54" s="20"/>
      <c r="D54" s="20"/>
      <c r="E54" s="31"/>
      <c r="F54" s="26"/>
      <c r="G54" s="26"/>
      <c r="H54" s="28"/>
    </row>
    <row r="55" spans="1:8" s="23" customFormat="1" ht="20.100000000000001" customHeight="1">
      <c r="A55" s="22"/>
      <c r="B55" s="24" t="s">
        <v>60</v>
      </c>
      <c r="C55" s="20">
        <v>1</v>
      </c>
      <c r="D55" s="20">
        <v>1</v>
      </c>
      <c r="E55" s="31">
        <f>(E4+0.45+F4+0.45)*2</f>
        <v>18.799999999999997</v>
      </c>
      <c r="F55" s="21">
        <v>0.45</v>
      </c>
      <c r="G55" s="21">
        <v>0.35</v>
      </c>
      <c r="H55" s="22">
        <f>PRODUCT(C55:G55)</f>
        <v>2.9609999999999994</v>
      </c>
    </row>
    <row r="56" spans="1:8" s="23" customFormat="1" ht="20.100000000000001" customHeight="1">
      <c r="A56" s="22"/>
      <c r="B56" s="24" t="s">
        <v>61</v>
      </c>
      <c r="C56" s="20">
        <v>1</v>
      </c>
      <c r="D56" s="20">
        <v>1</v>
      </c>
      <c r="E56" s="31">
        <f>(E4+0.34+F4+0.34)*2</f>
        <v>18.36</v>
      </c>
      <c r="F56" s="21">
        <v>0.34</v>
      </c>
      <c r="G56" s="21">
        <f>0.35+0.9</f>
        <v>1.25</v>
      </c>
      <c r="H56" s="22">
        <f>PRODUCT(C56:G56)</f>
        <v>7.8029999999999999</v>
      </c>
    </row>
    <row r="57" spans="1:8" s="23" customFormat="1" ht="20.100000000000001" customHeight="1">
      <c r="A57" s="22"/>
      <c r="B57" s="24" t="s">
        <v>62</v>
      </c>
      <c r="C57" s="20">
        <v>1</v>
      </c>
      <c r="D57" s="20">
        <v>2</v>
      </c>
      <c r="E57" s="31">
        <v>2.2599999999999998</v>
      </c>
      <c r="F57" s="21">
        <v>0.23</v>
      </c>
      <c r="G57" s="21">
        <v>0.6</v>
      </c>
      <c r="H57" s="22">
        <f>PRODUCT(C57:G57)</f>
        <v>0.62375999999999987</v>
      </c>
    </row>
    <row r="58" spans="1:8" s="23" customFormat="1" ht="20.100000000000001" customHeight="1">
      <c r="A58" s="22"/>
      <c r="B58" s="24" t="s">
        <v>50</v>
      </c>
      <c r="C58" s="20">
        <v>4</v>
      </c>
      <c r="D58" s="20">
        <v>2</v>
      </c>
      <c r="E58" s="31">
        <v>3.32</v>
      </c>
      <c r="F58" s="21">
        <v>0.23</v>
      </c>
      <c r="G58" s="21">
        <v>0.9</v>
      </c>
      <c r="H58" s="22">
        <f>PRODUCT(C58:G58)</f>
        <v>5.4979199999999997</v>
      </c>
    </row>
    <row r="59" spans="1:8" s="23" customFormat="1" ht="20.100000000000001" customHeight="1">
      <c r="A59" s="22"/>
      <c r="B59" s="24"/>
      <c r="C59" s="20"/>
      <c r="D59" s="20"/>
      <c r="E59" s="31"/>
      <c r="F59" s="21"/>
      <c r="G59" s="21"/>
      <c r="H59" s="22">
        <v>0.03</v>
      </c>
    </row>
    <row r="60" spans="1:8" s="23" customFormat="1" ht="20.100000000000001" customHeight="1">
      <c r="A60" s="22"/>
      <c r="B60" s="24"/>
      <c r="C60" s="20"/>
      <c r="D60" s="20"/>
      <c r="E60" s="31"/>
      <c r="F60" s="26"/>
      <c r="G60" s="26"/>
      <c r="H60" s="22">
        <f>SUM(H55:H59)</f>
        <v>16.915680000000002</v>
      </c>
    </row>
    <row r="61" spans="1:8" s="23" customFormat="1" ht="20.100000000000001" customHeight="1">
      <c r="A61" s="22"/>
      <c r="B61" s="24"/>
      <c r="C61" s="20"/>
      <c r="D61" s="20"/>
      <c r="E61" s="31"/>
      <c r="F61" s="26" t="s">
        <v>11</v>
      </c>
      <c r="G61" s="26">
        <f>+H60</f>
        <v>16.915680000000002</v>
      </c>
      <c r="H61" s="27" t="s">
        <v>19</v>
      </c>
    </row>
    <row r="62" spans="1:8" s="23" customFormat="1" ht="54" customHeight="1">
      <c r="A62" s="22">
        <v>10.5</v>
      </c>
      <c r="B62" s="24" t="s">
        <v>63</v>
      </c>
      <c r="C62" s="20"/>
      <c r="D62" s="20"/>
      <c r="E62" s="31"/>
      <c r="F62" s="26"/>
      <c r="G62" s="26"/>
      <c r="H62" s="28"/>
    </row>
    <row r="63" spans="1:8" s="23" customFormat="1" ht="20.100000000000001" customHeight="1">
      <c r="A63" s="22"/>
      <c r="B63" s="24" t="s">
        <v>64</v>
      </c>
      <c r="C63" s="20">
        <v>1</v>
      </c>
      <c r="D63" s="20">
        <v>1</v>
      </c>
      <c r="E63" s="31">
        <v>1.5</v>
      </c>
      <c r="F63" s="21"/>
      <c r="G63" s="21">
        <v>0.87</v>
      </c>
      <c r="H63" s="22">
        <f>PRODUCT(C63:G63)</f>
        <v>1.3049999999999999</v>
      </c>
    </row>
    <row r="64" spans="1:8" s="23" customFormat="1" ht="20.100000000000001" customHeight="1">
      <c r="A64" s="22"/>
      <c r="B64" s="24" t="s">
        <v>65</v>
      </c>
      <c r="C64" s="20">
        <v>1</v>
      </c>
      <c r="D64" s="20">
        <v>1</v>
      </c>
      <c r="E64" s="31">
        <v>1.5</v>
      </c>
      <c r="F64" s="21"/>
      <c r="G64" s="21">
        <v>1.3</v>
      </c>
      <c r="H64" s="22">
        <f>PRODUCT(C64:G64)</f>
        <v>1.9500000000000002</v>
      </c>
    </row>
    <row r="65" spans="1:8" s="23" customFormat="1" ht="20.100000000000001" customHeight="1">
      <c r="A65" s="22"/>
      <c r="B65" s="24"/>
      <c r="C65" s="20"/>
      <c r="D65" s="20"/>
      <c r="E65" s="31"/>
      <c r="F65" s="21"/>
      <c r="G65" s="21"/>
      <c r="H65" s="22"/>
    </row>
    <row r="66" spans="1:8" s="23" customFormat="1" ht="20.100000000000001" customHeight="1">
      <c r="A66" s="22"/>
      <c r="B66" s="24"/>
      <c r="C66" s="20"/>
      <c r="D66" s="20"/>
      <c r="E66" s="31"/>
      <c r="F66" s="21"/>
      <c r="G66" s="21"/>
      <c r="H66" s="22"/>
    </row>
    <row r="67" spans="1:8" s="23" customFormat="1" ht="20.100000000000001" customHeight="1">
      <c r="A67" s="22"/>
      <c r="B67" s="24"/>
      <c r="C67" s="20"/>
      <c r="D67" s="20"/>
      <c r="E67" s="31"/>
      <c r="F67" s="21"/>
      <c r="G67" s="21"/>
      <c r="H67" s="22">
        <v>0.04</v>
      </c>
    </row>
    <row r="68" spans="1:8" s="23" customFormat="1" ht="20.100000000000001" customHeight="1">
      <c r="A68" s="22"/>
      <c r="B68" s="24"/>
      <c r="C68" s="20"/>
      <c r="D68" s="20"/>
      <c r="E68" s="31"/>
      <c r="F68" s="26"/>
      <c r="G68" s="26"/>
      <c r="H68" s="22">
        <f>SUM(H63:H67)</f>
        <v>3.2949999999999999</v>
      </c>
    </row>
    <row r="69" spans="1:8" s="23" customFormat="1" ht="20.100000000000001" customHeight="1">
      <c r="A69" s="22"/>
      <c r="B69" s="24"/>
      <c r="C69" s="20"/>
      <c r="D69" s="20"/>
      <c r="E69" s="31"/>
      <c r="F69" s="26" t="s">
        <v>11</v>
      </c>
      <c r="G69" s="26">
        <f>+H68</f>
        <v>3.2949999999999999</v>
      </c>
      <c r="H69" s="27" t="s">
        <v>19</v>
      </c>
    </row>
    <row r="70" spans="1:8" s="23" customFormat="1" ht="37.5" customHeight="1">
      <c r="A70" s="22">
        <v>4.0999999999999996</v>
      </c>
      <c r="B70" s="24" t="s">
        <v>66</v>
      </c>
      <c r="C70" s="20"/>
      <c r="D70" s="20"/>
      <c r="E70" s="31"/>
      <c r="F70" s="21"/>
      <c r="G70" s="21"/>
      <c r="H70" s="22"/>
    </row>
    <row r="71" spans="1:8" s="23" customFormat="1" ht="20.100000000000001" customHeight="1">
      <c r="A71" s="22"/>
      <c r="B71" s="24" t="s">
        <v>67</v>
      </c>
      <c r="C71" s="20">
        <v>1</v>
      </c>
      <c r="D71" s="20">
        <v>1</v>
      </c>
      <c r="E71" s="31">
        <f>E4+0.46</f>
        <v>6.46</v>
      </c>
      <c r="F71" s="21">
        <f>F4+0.46</f>
        <v>2.96</v>
      </c>
      <c r="G71" s="29">
        <v>0.15</v>
      </c>
      <c r="H71" s="22">
        <f>PRODUCT(C71:G71)</f>
        <v>2.8682400000000001</v>
      </c>
    </row>
    <row r="72" spans="1:8" s="23" customFormat="1" ht="20.100000000000001" customHeight="1">
      <c r="A72" s="22"/>
      <c r="B72" s="24" t="s">
        <v>68</v>
      </c>
      <c r="C72" s="20">
        <v>1</v>
      </c>
      <c r="D72" s="20">
        <v>1</v>
      </c>
      <c r="E72" s="31">
        <v>1.5</v>
      </c>
      <c r="F72" s="21">
        <v>0.23</v>
      </c>
      <c r="G72" s="21">
        <v>0.23</v>
      </c>
      <c r="H72" s="22">
        <f>PRODUCT(C72:G72)</f>
        <v>7.9350000000000004E-2</v>
      </c>
    </row>
    <row r="73" spans="1:8" s="23" customFormat="1" ht="20.100000000000001" customHeight="1">
      <c r="A73" s="22"/>
      <c r="B73" s="24" t="s">
        <v>69</v>
      </c>
      <c r="C73" s="20">
        <v>1</v>
      </c>
      <c r="D73" s="20">
        <v>-2</v>
      </c>
      <c r="E73" s="31">
        <v>0.6</v>
      </c>
      <c r="F73" s="21">
        <v>0.6</v>
      </c>
      <c r="G73" s="21">
        <v>0.15</v>
      </c>
      <c r="H73" s="22">
        <f>PRODUCT(C73:G73)</f>
        <v>-0.108</v>
      </c>
    </row>
    <row r="74" spans="1:8" s="23" customFormat="1" ht="20.100000000000001" customHeight="1">
      <c r="A74" s="22"/>
      <c r="B74" s="24"/>
      <c r="C74" s="20"/>
      <c r="D74" s="20"/>
      <c r="E74" s="31"/>
      <c r="F74" s="21"/>
      <c r="G74" s="21"/>
      <c r="H74" s="22">
        <v>0.05</v>
      </c>
    </row>
    <row r="75" spans="1:8" s="23" customFormat="1" ht="20.100000000000001" customHeight="1">
      <c r="A75" s="22"/>
      <c r="B75" s="24"/>
      <c r="C75" s="20"/>
      <c r="D75" s="20"/>
      <c r="E75" s="31"/>
      <c r="F75" s="21"/>
      <c r="G75" s="21"/>
      <c r="H75" s="22">
        <f>SUM(H71:H74)</f>
        <v>2.8895899999999997</v>
      </c>
    </row>
    <row r="76" spans="1:8" s="23" customFormat="1" ht="20.100000000000001" customHeight="1">
      <c r="A76" s="22"/>
      <c r="B76" s="24"/>
      <c r="C76" s="20"/>
      <c r="D76" s="20"/>
      <c r="E76" s="31"/>
      <c r="F76" s="26" t="s">
        <v>11</v>
      </c>
      <c r="G76" s="26">
        <f>+H75</f>
        <v>2.8895899999999997</v>
      </c>
      <c r="H76" s="27" t="s">
        <v>19</v>
      </c>
    </row>
    <row r="77" spans="1:8" s="23" customFormat="1" ht="32.25" customHeight="1">
      <c r="A77" s="22">
        <v>18.100000000000001</v>
      </c>
      <c r="B77" s="24" t="s">
        <v>70</v>
      </c>
      <c r="C77" s="20"/>
      <c r="D77" s="20"/>
      <c r="E77" s="31"/>
      <c r="F77" s="26"/>
      <c r="G77" s="26"/>
      <c r="H77" s="28"/>
    </row>
    <row r="78" spans="1:8" s="23" customFormat="1" ht="31.5" customHeight="1">
      <c r="A78" s="22"/>
      <c r="B78" s="24" t="s">
        <v>71</v>
      </c>
      <c r="C78" s="20"/>
      <c r="D78" s="20"/>
      <c r="E78" s="31"/>
      <c r="F78" s="26"/>
      <c r="G78" s="26"/>
      <c r="H78" s="28"/>
    </row>
    <row r="79" spans="1:8" s="23" customFormat="1" ht="18.75" customHeight="1">
      <c r="A79" s="22"/>
      <c r="B79" s="24" t="s">
        <v>67</v>
      </c>
      <c r="C79" s="20">
        <v>1</v>
      </c>
      <c r="D79" s="20">
        <v>1</v>
      </c>
      <c r="E79" s="31">
        <f>E4</f>
        <v>6</v>
      </c>
      <c r="F79" s="31">
        <f>F4</f>
        <v>2.5</v>
      </c>
      <c r="G79" s="26"/>
      <c r="H79" s="22">
        <f>PRODUCT(C79:G79)</f>
        <v>15</v>
      </c>
    </row>
    <row r="80" spans="1:8" s="23" customFormat="1" ht="18.75" customHeight="1">
      <c r="A80" s="22"/>
      <c r="B80" s="24" t="s">
        <v>69</v>
      </c>
      <c r="C80" s="20">
        <v>1</v>
      </c>
      <c r="D80" s="20">
        <v>-2</v>
      </c>
      <c r="E80" s="31">
        <v>0.6</v>
      </c>
      <c r="F80" s="21">
        <v>0.6</v>
      </c>
      <c r="G80" s="26"/>
      <c r="H80" s="22">
        <f>PRODUCT(C80:G80)</f>
        <v>-0.72</v>
      </c>
    </row>
    <row r="81" spans="1:8" s="23" customFormat="1" ht="18.75" customHeight="1">
      <c r="A81" s="22"/>
      <c r="B81" s="24" t="s">
        <v>72</v>
      </c>
      <c r="C81" s="20">
        <v>1</v>
      </c>
      <c r="D81" s="20">
        <v>2</v>
      </c>
      <c r="E81" s="31">
        <f>0.6*4</f>
        <v>2.4</v>
      </c>
      <c r="F81" s="21"/>
      <c r="G81" s="21">
        <v>0.15</v>
      </c>
      <c r="H81" s="22">
        <f>PRODUCT(C81:G81)</f>
        <v>0.72</v>
      </c>
    </row>
    <row r="82" spans="1:8" s="23" customFormat="1" ht="18.75" customHeight="1">
      <c r="A82" s="22"/>
      <c r="B82" s="24" t="s">
        <v>73</v>
      </c>
      <c r="C82" s="20">
        <v>1</v>
      </c>
      <c r="D82" s="20">
        <v>1</v>
      </c>
      <c r="E82" s="31">
        <f>(E6+F6)*2</f>
        <v>18.84</v>
      </c>
      <c r="F82" s="26"/>
      <c r="G82" s="21">
        <v>0.15</v>
      </c>
      <c r="H82" s="22">
        <f>PRODUCT(C82:G82)</f>
        <v>2.8260000000000001</v>
      </c>
    </row>
    <row r="83" spans="1:8" s="23" customFormat="1" ht="18.75" customHeight="1">
      <c r="A83" s="22"/>
      <c r="B83" s="24"/>
      <c r="C83" s="20"/>
      <c r="D83" s="20"/>
      <c r="E83" s="31"/>
      <c r="F83" s="26"/>
      <c r="G83" s="26"/>
      <c r="H83" s="22">
        <v>0.06</v>
      </c>
    </row>
    <row r="84" spans="1:8" s="23" customFormat="1" ht="18.75" customHeight="1">
      <c r="A84" s="22"/>
      <c r="B84" s="24"/>
      <c r="C84" s="20"/>
      <c r="D84" s="20"/>
      <c r="E84" s="31"/>
      <c r="F84" s="26"/>
      <c r="G84" s="26"/>
      <c r="H84" s="22">
        <f>SUM(H79:H83)</f>
        <v>17.885999999999999</v>
      </c>
    </row>
    <row r="85" spans="1:8" s="23" customFormat="1" ht="18.75" customHeight="1">
      <c r="A85" s="22"/>
      <c r="B85" s="24"/>
      <c r="C85" s="20"/>
      <c r="D85" s="20"/>
      <c r="E85" s="31"/>
      <c r="F85" s="26" t="s">
        <v>11</v>
      </c>
      <c r="G85" s="26">
        <f>+H84</f>
        <v>17.885999999999999</v>
      </c>
      <c r="H85" s="27" t="s">
        <v>26</v>
      </c>
    </row>
    <row r="86" spans="1:8" s="23" customFormat="1" ht="35.25" customHeight="1">
      <c r="A86" s="22">
        <v>53.4</v>
      </c>
      <c r="B86" s="24" t="s">
        <v>74</v>
      </c>
      <c r="C86" s="20">
        <v>1</v>
      </c>
      <c r="D86" s="20">
        <v>2</v>
      </c>
      <c r="E86" s="31"/>
      <c r="F86" s="26"/>
      <c r="G86" s="26"/>
      <c r="H86" s="22">
        <f>PRODUCT(C86:G86)</f>
        <v>2</v>
      </c>
    </row>
    <row r="87" spans="1:8" s="23" customFormat="1" ht="24.95" customHeight="1">
      <c r="A87" s="22"/>
      <c r="B87" s="24"/>
      <c r="C87" s="20"/>
      <c r="D87" s="20"/>
      <c r="E87" s="31"/>
      <c r="F87" s="26" t="s">
        <v>11</v>
      </c>
      <c r="G87" s="26">
        <f>+H86</f>
        <v>2</v>
      </c>
      <c r="H87" s="27" t="s">
        <v>5</v>
      </c>
    </row>
    <row r="88" spans="1:8" s="23" customFormat="1" ht="24.95" customHeight="1">
      <c r="A88" s="22" t="s">
        <v>75</v>
      </c>
      <c r="B88" s="24" t="s">
        <v>76</v>
      </c>
      <c r="C88" s="20"/>
      <c r="D88" s="20"/>
      <c r="E88" s="31"/>
      <c r="F88" s="21"/>
      <c r="G88" s="29"/>
      <c r="H88" s="22"/>
    </row>
    <row r="89" spans="1:8" s="23" customFormat="1" ht="24.95" customHeight="1">
      <c r="A89" s="22"/>
      <c r="B89" s="24" t="s">
        <v>77</v>
      </c>
      <c r="C89" s="20">
        <v>4</v>
      </c>
      <c r="D89" s="20">
        <v>2</v>
      </c>
      <c r="E89" s="31">
        <v>1.06</v>
      </c>
      <c r="F89" s="21">
        <v>1.06</v>
      </c>
      <c r="G89" s="21"/>
      <c r="H89" s="22">
        <f>PRODUCT(C89:G89)</f>
        <v>8.9888000000000012</v>
      </c>
    </row>
    <row r="90" spans="1:8" s="23" customFormat="1" ht="24.95" customHeight="1">
      <c r="A90" s="22"/>
      <c r="B90" s="24" t="s">
        <v>78</v>
      </c>
      <c r="C90" s="20">
        <v>1</v>
      </c>
      <c r="D90" s="20">
        <v>2</v>
      </c>
      <c r="E90" s="31">
        <v>0.83</v>
      </c>
      <c r="F90" s="21">
        <v>0.83</v>
      </c>
      <c r="G90" s="26"/>
      <c r="H90" s="22">
        <f>PRODUCT(C90:G90)</f>
        <v>1.3777999999999999</v>
      </c>
    </row>
    <row r="91" spans="1:8" s="23" customFormat="1" ht="24.95" customHeight="1">
      <c r="A91" s="22"/>
      <c r="B91" s="24"/>
      <c r="C91" s="20"/>
      <c r="D91" s="20"/>
      <c r="E91" s="31"/>
      <c r="F91" s="21"/>
      <c r="G91" s="26"/>
      <c r="H91" s="22">
        <v>0.03</v>
      </c>
    </row>
    <row r="92" spans="1:8" s="23" customFormat="1" ht="24.95" customHeight="1">
      <c r="A92" s="22"/>
      <c r="B92" s="24"/>
      <c r="C92" s="20"/>
      <c r="D92" s="20"/>
      <c r="E92" s="31"/>
      <c r="F92" s="21"/>
      <c r="G92" s="26"/>
      <c r="H92" s="22">
        <f>SUM(H89:H91)</f>
        <v>10.396600000000001</v>
      </c>
    </row>
    <row r="93" spans="1:8" s="23" customFormat="1" ht="24.95" customHeight="1">
      <c r="A93" s="22"/>
      <c r="B93" s="24"/>
      <c r="C93" s="20"/>
      <c r="D93" s="20"/>
      <c r="E93" s="31"/>
      <c r="F93" s="26" t="s">
        <v>11</v>
      </c>
      <c r="G93" s="26">
        <f>+H92</f>
        <v>10.396600000000001</v>
      </c>
      <c r="H93" s="27" t="s">
        <v>26</v>
      </c>
    </row>
    <row r="94" spans="1:8" s="23" customFormat="1" ht="33" customHeight="1">
      <c r="A94" s="22">
        <v>13.1</v>
      </c>
      <c r="B94" s="24" t="s">
        <v>79</v>
      </c>
      <c r="C94" s="20"/>
      <c r="D94" s="20"/>
      <c r="E94" s="31"/>
      <c r="F94" s="21"/>
      <c r="G94" s="21"/>
      <c r="H94" s="22"/>
    </row>
    <row r="95" spans="1:8" s="23" customFormat="1" ht="20.25" customHeight="1">
      <c r="A95" s="22"/>
      <c r="B95" s="24" t="s">
        <v>80</v>
      </c>
      <c r="C95" s="20">
        <v>1</v>
      </c>
      <c r="D95" s="20">
        <v>1</v>
      </c>
      <c r="E95" s="31">
        <f>(E6+F6)*2</f>
        <v>18.84</v>
      </c>
      <c r="F95" s="21">
        <v>0.32</v>
      </c>
      <c r="G95" s="21">
        <v>0.9</v>
      </c>
      <c r="H95" s="22">
        <f>PRODUCT(C95:G95)</f>
        <v>5.4259200000000005</v>
      </c>
    </row>
    <row r="96" spans="1:8" s="23" customFormat="1" ht="20.25" customHeight="1">
      <c r="A96" s="22"/>
      <c r="B96" s="24" t="s">
        <v>81</v>
      </c>
      <c r="C96" s="20">
        <v>1</v>
      </c>
      <c r="D96" s="20">
        <v>1</v>
      </c>
      <c r="E96" s="31">
        <f>(E7+F7)*2</f>
        <v>19.72</v>
      </c>
      <c r="F96" s="21">
        <v>0.21</v>
      </c>
      <c r="G96" s="21">
        <v>0.35</v>
      </c>
      <c r="H96" s="22">
        <f>PRODUCT(C96:G96)</f>
        <v>1.4494199999999997</v>
      </c>
    </row>
    <row r="97" spans="1:10" s="23" customFormat="1" ht="20.25" customHeight="1">
      <c r="A97" s="22"/>
      <c r="B97" s="24" t="s">
        <v>82</v>
      </c>
      <c r="C97" s="20">
        <v>1</v>
      </c>
      <c r="D97" s="20">
        <v>1</v>
      </c>
      <c r="E97" s="31">
        <f>(E8+F8)*2</f>
        <v>20.6</v>
      </c>
      <c r="F97" s="21">
        <v>0.1</v>
      </c>
      <c r="G97" s="21">
        <v>0.35</v>
      </c>
      <c r="H97" s="22">
        <f>PRODUCT(C97:G97)</f>
        <v>0.72099999999999997</v>
      </c>
    </row>
    <row r="98" spans="1:10" s="23" customFormat="1" ht="20.25" customHeight="1">
      <c r="A98" s="22"/>
      <c r="B98" s="24"/>
      <c r="C98" s="20"/>
      <c r="D98" s="20"/>
      <c r="E98" s="31"/>
      <c r="F98" s="21"/>
      <c r="G98" s="21"/>
      <c r="H98" s="22">
        <v>0.04</v>
      </c>
    </row>
    <row r="99" spans="1:10" s="23" customFormat="1" ht="20.25" customHeight="1">
      <c r="A99" s="22"/>
      <c r="B99" s="24"/>
      <c r="C99" s="20"/>
      <c r="D99" s="20"/>
      <c r="E99" s="31"/>
      <c r="F99" s="21"/>
      <c r="G99" s="21"/>
      <c r="H99" s="22">
        <f>SUM(H95:H98)</f>
        <v>7.6363400000000006</v>
      </c>
    </row>
    <row r="100" spans="1:10" s="23" customFormat="1" ht="20.25" customHeight="1">
      <c r="A100" s="22"/>
      <c r="B100" s="24"/>
      <c r="C100" s="20"/>
      <c r="D100" s="20"/>
      <c r="E100" s="31"/>
      <c r="F100" s="26" t="s">
        <v>11</v>
      </c>
      <c r="G100" s="26">
        <f>+H99</f>
        <v>7.6363400000000006</v>
      </c>
      <c r="H100" s="27" t="s">
        <v>19</v>
      </c>
    </row>
    <row r="101" spans="1:10" s="23" customFormat="1" ht="24.95" customHeight="1">
      <c r="A101" s="22">
        <v>28</v>
      </c>
      <c r="B101" s="24" t="s">
        <v>83</v>
      </c>
      <c r="C101" s="20"/>
      <c r="D101" s="20"/>
      <c r="E101" s="31"/>
      <c r="F101" s="21"/>
      <c r="G101" s="21"/>
      <c r="H101" s="22"/>
    </row>
    <row r="102" spans="1:10" s="23" customFormat="1" ht="18.75" customHeight="1">
      <c r="A102" s="22"/>
      <c r="B102" s="24" t="s">
        <v>84</v>
      </c>
      <c r="C102" s="20">
        <v>2</v>
      </c>
      <c r="D102" s="20">
        <v>4</v>
      </c>
      <c r="E102" s="31">
        <v>0.6</v>
      </c>
      <c r="F102" s="21">
        <v>0.6</v>
      </c>
      <c r="G102" s="21"/>
      <c r="H102" s="22">
        <f>PRODUCT(C102:G102)</f>
        <v>2.88</v>
      </c>
    </row>
    <row r="103" spans="1:10" s="23" customFormat="1" ht="18.75" customHeight="1">
      <c r="A103" s="22"/>
      <c r="B103" s="24" t="s">
        <v>85</v>
      </c>
      <c r="C103" s="20">
        <v>1</v>
      </c>
      <c r="D103" s="20">
        <v>1</v>
      </c>
      <c r="E103" s="31">
        <v>3.13</v>
      </c>
      <c r="F103" s="21">
        <v>1.96</v>
      </c>
      <c r="G103" s="21"/>
      <c r="H103" s="22">
        <f>PRODUCT(C103:G103)</f>
        <v>6.1347999999999994</v>
      </c>
    </row>
    <row r="104" spans="1:10" s="23" customFormat="1" ht="18.75" customHeight="1">
      <c r="A104" s="22"/>
      <c r="B104" s="24" t="s">
        <v>86</v>
      </c>
      <c r="C104" s="20">
        <v>1</v>
      </c>
      <c r="D104" s="20">
        <v>-1</v>
      </c>
      <c r="E104" s="31">
        <v>0.6</v>
      </c>
      <c r="F104" s="21">
        <v>0.6</v>
      </c>
      <c r="G104" s="26"/>
      <c r="H104" s="22">
        <f>PRODUCT(C104:G104)</f>
        <v>-0.36</v>
      </c>
    </row>
    <row r="105" spans="1:10" s="23" customFormat="1" ht="18.75" customHeight="1">
      <c r="A105" s="17"/>
      <c r="B105" s="24"/>
      <c r="C105" s="20"/>
      <c r="D105" s="20"/>
      <c r="E105" s="21"/>
      <c r="F105" s="21"/>
      <c r="G105" s="21"/>
      <c r="H105" s="22">
        <v>0.05</v>
      </c>
    </row>
    <row r="106" spans="1:10" s="23" customFormat="1" ht="18.75" customHeight="1">
      <c r="A106" s="17"/>
      <c r="B106" s="24"/>
      <c r="C106" s="20"/>
      <c r="D106" s="20"/>
      <c r="E106" s="21"/>
      <c r="F106" s="21"/>
      <c r="G106" s="21"/>
      <c r="H106" s="22">
        <f>SUM(H102:H105)</f>
        <v>8.7048000000000005</v>
      </c>
      <c r="J106" s="23">
        <f>2.5-F106</f>
        <v>2.5</v>
      </c>
    </row>
    <row r="107" spans="1:10" s="23" customFormat="1" ht="18.75" customHeight="1">
      <c r="A107" s="17"/>
      <c r="B107" s="24"/>
      <c r="C107" s="20"/>
      <c r="D107" s="20"/>
      <c r="E107" s="21"/>
      <c r="F107" s="26" t="s">
        <v>11</v>
      </c>
      <c r="G107" s="26">
        <f>+H106</f>
        <v>8.7048000000000005</v>
      </c>
      <c r="H107" s="27" t="s">
        <v>26</v>
      </c>
    </row>
    <row r="108" spans="1:10" s="23" customFormat="1" ht="24.95" customHeight="1">
      <c r="A108" s="17">
        <v>33</v>
      </c>
      <c r="B108" s="24" t="s">
        <v>87</v>
      </c>
      <c r="C108" s="20"/>
      <c r="D108" s="20"/>
      <c r="E108" s="21"/>
      <c r="F108" s="21"/>
      <c r="G108" s="21"/>
      <c r="H108" s="22"/>
    </row>
    <row r="109" spans="1:10" s="23" customFormat="1" ht="18.75" customHeight="1">
      <c r="A109" s="17"/>
      <c r="B109" s="24" t="s">
        <v>88</v>
      </c>
      <c r="C109" s="20">
        <v>1</v>
      </c>
      <c r="D109" s="20">
        <v>1</v>
      </c>
      <c r="E109" s="21">
        <f>E95</f>
        <v>18.84</v>
      </c>
      <c r="F109" s="21"/>
      <c r="G109" s="21">
        <v>0.9</v>
      </c>
      <c r="H109" s="22">
        <f t="shared" ref="H109:H120" si="0">PRODUCT(C109:G109)</f>
        <v>16.956</v>
      </c>
    </row>
    <row r="110" spans="1:10" s="23" customFormat="1" ht="18.75" customHeight="1">
      <c r="A110" s="17"/>
      <c r="B110" s="24" t="s">
        <v>89</v>
      </c>
      <c r="C110" s="20">
        <v>1</v>
      </c>
      <c r="D110" s="20">
        <v>1</v>
      </c>
      <c r="E110" s="21">
        <f>+E109</f>
        <v>18.84</v>
      </c>
      <c r="F110" s="21">
        <v>0.23</v>
      </c>
      <c r="G110" s="21"/>
      <c r="H110" s="22">
        <f t="shared" si="0"/>
        <v>4.3331999999999997</v>
      </c>
    </row>
    <row r="111" spans="1:10" s="23" customFormat="1" ht="18.75" customHeight="1">
      <c r="A111" s="17"/>
      <c r="B111" s="24" t="s">
        <v>90</v>
      </c>
      <c r="C111" s="20">
        <v>1</v>
      </c>
      <c r="D111" s="20">
        <v>1</v>
      </c>
      <c r="E111" s="21">
        <f>E96</f>
        <v>19.72</v>
      </c>
      <c r="F111" s="21"/>
      <c r="G111" s="21">
        <v>0.35</v>
      </c>
      <c r="H111" s="22">
        <f t="shared" si="0"/>
        <v>6.9019999999999992</v>
      </c>
    </row>
    <row r="112" spans="1:10" s="23" customFormat="1" ht="18.75" customHeight="1">
      <c r="A112" s="17"/>
      <c r="B112" s="24" t="s">
        <v>91</v>
      </c>
      <c r="C112" s="20">
        <v>1</v>
      </c>
      <c r="D112" s="20">
        <v>1</v>
      </c>
      <c r="E112" s="21">
        <f>+E111</f>
        <v>19.72</v>
      </c>
      <c r="F112" s="21">
        <v>0.11</v>
      </c>
      <c r="G112" s="21"/>
      <c r="H112" s="22">
        <f t="shared" si="0"/>
        <v>2.1692</v>
      </c>
    </row>
    <row r="113" spans="1:8" s="23" customFormat="1" ht="18.75" customHeight="1">
      <c r="A113" s="17"/>
      <c r="B113" s="24" t="s">
        <v>92</v>
      </c>
      <c r="C113" s="20">
        <v>1</v>
      </c>
      <c r="D113" s="20">
        <v>1</v>
      </c>
      <c r="E113" s="21">
        <f>E97</f>
        <v>20.6</v>
      </c>
      <c r="F113" s="21"/>
      <c r="G113" s="21">
        <v>0.35</v>
      </c>
      <c r="H113" s="22">
        <f t="shared" si="0"/>
        <v>7.21</v>
      </c>
    </row>
    <row r="114" spans="1:8" s="23" customFormat="1" ht="18.75" customHeight="1">
      <c r="A114" s="17"/>
      <c r="B114" s="24" t="s">
        <v>93</v>
      </c>
      <c r="C114" s="20">
        <v>1</v>
      </c>
      <c r="D114" s="20">
        <v>1</v>
      </c>
      <c r="E114" s="21">
        <f>+E113</f>
        <v>20.6</v>
      </c>
      <c r="F114" s="21">
        <v>0.11</v>
      </c>
      <c r="G114" s="21"/>
      <c r="H114" s="22">
        <f t="shared" si="0"/>
        <v>2.266</v>
      </c>
    </row>
    <row r="115" spans="1:8" s="23" customFormat="1" ht="18.75" customHeight="1">
      <c r="A115" s="17"/>
      <c r="B115" s="24" t="s">
        <v>94</v>
      </c>
      <c r="C115" s="20">
        <v>1</v>
      </c>
      <c r="D115" s="20">
        <v>2</v>
      </c>
      <c r="E115" s="21">
        <v>1.5</v>
      </c>
      <c r="F115" s="21"/>
      <c r="G115" s="21">
        <v>0.87</v>
      </c>
      <c r="H115" s="22">
        <f t="shared" si="0"/>
        <v>2.61</v>
      </c>
    </row>
    <row r="116" spans="1:8" s="23" customFormat="1" ht="18.75" customHeight="1">
      <c r="A116" s="17"/>
      <c r="B116" s="24" t="s">
        <v>95</v>
      </c>
      <c r="C116" s="20">
        <v>1</v>
      </c>
      <c r="D116" s="20">
        <v>2</v>
      </c>
      <c r="E116" s="21">
        <v>1.5</v>
      </c>
      <c r="F116" s="21"/>
      <c r="G116" s="21">
        <v>1.3</v>
      </c>
      <c r="H116" s="22">
        <f t="shared" si="0"/>
        <v>3.9000000000000004</v>
      </c>
    </row>
    <row r="117" spans="1:8" s="23" customFormat="1" ht="18.75" customHeight="1">
      <c r="A117" s="17"/>
      <c r="B117" s="24" t="s">
        <v>96</v>
      </c>
      <c r="C117" s="20">
        <v>4</v>
      </c>
      <c r="D117" s="20">
        <v>2</v>
      </c>
      <c r="E117" s="21">
        <v>4.24</v>
      </c>
      <c r="F117" s="21"/>
      <c r="G117" s="21">
        <v>0.9</v>
      </c>
      <c r="H117" s="22">
        <f t="shared" si="0"/>
        <v>30.528000000000002</v>
      </c>
    </row>
    <row r="118" spans="1:8" s="23" customFormat="1" ht="18.75" customHeight="1">
      <c r="A118" s="17"/>
      <c r="B118" s="24" t="s">
        <v>97</v>
      </c>
      <c r="C118" s="20">
        <v>4</v>
      </c>
      <c r="D118" s="20">
        <v>2</v>
      </c>
      <c r="E118" s="21">
        <v>4.24</v>
      </c>
      <c r="F118" s="21">
        <v>0.23</v>
      </c>
      <c r="G118" s="21"/>
      <c r="H118" s="22">
        <f t="shared" si="0"/>
        <v>7.8016000000000005</v>
      </c>
    </row>
    <row r="119" spans="1:8" s="23" customFormat="1" ht="18.75" customHeight="1">
      <c r="A119" s="17"/>
      <c r="B119" s="24" t="s">
        <v>98</v>
      </c>
      <c r="C119" s="20">
        <v>1</v>
      </c>
      <c r="D119" s="20">
        <v>2</v>
      </c>
      <c r="E119" s="21">
        <v>2.72</v>
      </c>
      <c r="F119" s="21"/>
      <c r="G119" s="21">
        <v>0.6</v>
      </c>
      <c r="H119" s="22">
        <f t="shared" si="0"/>
        <v>3.2640000000000002</v>
      </c>
    </row>
    <row r="120" spans="1:8" s="23" customFormat="1" ht="18.75" customHeight="1">
      <c r="A120" s="17"/>
      <c r="B120" s="24" t="s">
        <v>99</v>
      </c>
      <c r="C120" s="20">
        <v>1</v>
      </c>
      <c r="D120" s="20">
        <v>2</v>
      </c>
      <c r="E120" s="21">
        <v>2.72</v>
      </c>
      <c r="F120" s="21">
        <v>0.23</v>
      </c>
      <c r="G120" s="21"/>
      <c r="H120" s="22">
        <f t="shared" si="0"/>
        <v>1.2512000000000001</v>
      </c>
    </row>
    <row r="121" spans="1:8" s="23" customFormat="1" ht="18.75" customHeight="1">
      <c r="A121" s="17"/>
      <c r="B121" s="24"/>
      <c r="C121" s="20"/>
      <c r="D121" s="20"/>
      <c r="E121" s="21"/>
      <c r="F121" s="21"/>
      <c r="G121" s="21"/>
      <c r="H121" s="22">
        <v>0.06</v>
      </c>
    </row>
    <row r="122" spans="1:8" s="23" customFormat="1" ht="18.75" customHeight="1">
      <c r="A122" s="17"/>
      <c r="B122" s="24"/>
      <c r="C122" s="20"/>
      <c r="D122" s="20"/>
      <c r="E122" s="21"/>
      <c r="F122" s="21"/>
      <c r="G122" s="26"/>
      <c r="H122" s="22">
        <f>SUM(H109:H121)</f>
        <v>89.251199999999983</v>
      </c>
    </row>
    <row r="123" spans="1:8" s="23" customFormat="1" ht="18.75" customHeight="1">
      <c r="A123" s="17"/>
      <c r="B123" s="24"/>
      <c r="C123" s="20"/>
      <c r="D123" s="20"/>
      <c r="E123" s="21"/>
      <c r="F123" s="26" t="s">
        <v>11</v>
      </c>
      <c r="G123" s="26">
        <f>+H122</f>
        <v>89.251199999999983</v>
      </c>
      <c r="H123" s="27" t="s">
        <v>26</v>
      </c>
    </row>
    <row r="124" spans="1:8" s="23" customFormat="1" ht="21.75" customHeight="1">
      <c r="A124" s="17">
        <v>34</v>
      </c>
      <c r="B124" s="24" t="s">
        <v>100</v>
      </c>
      <c r="C124" s="20"/>
      <c r="D124" s="20"/>
      <c r="E124" s="21"/>
      <c r="F124" s="21"/>
      <c r="G124" s="21"/>
      <c r="H124" s="28"/>
    </row>
    <row r="125" spans="1:8" s="23" customFormat="1" ht="18.75" customHeight="1">
      <c r="A125" s="17"/>
      <c r="B125" s="24" t="s">
        <v>101</v>
      </c>
      <c r="C125" s="20">
        <v>1</v>
      </c>
      <c r="D125" s="20">
        <v>1</v>
      </c>
      <c r="E125" s="21">
        <f>(E4+F4)*2</f>
        <v>17</v>
      </c>
      <c r="F125" s="21"/>
      <c r="G125" s="29">
        <v>1.5</v>
      </c>
      <c r="H125" s="22">
        <f>PRODUCT(C125:G125)</f>
        <v>25.5</v>
      </c>
    </row>
    <row r="126" spans="1:8" s="23" customFormat="1" ht="18.75" customHeight="1">
      <c r="A126" s="17"/>
      <c r="B126" s="24" t="s">
        <v>102</v>
      </c>
      <c r="C126" s="20">
        <v>1</v>
      </c>
      <c r="D126" s="20">
        <v>1</v>
      </c>
      <c r="E126" s="21">
        <f>E4</f>
        <v>6</v>
      </c>
      <c r="F126" s="21">
        <f>F4</f>
        <v>2.5</v>
      </c>
      <c r="G126" s="29"/>
      <c r="H126" s="22">
        <f>PRODUCT(C126:G126)</f>
        <v>15</v>
      </c>
    </row>
    <row r="127" spans="1:8" s="23" customFormat="1" ht="18.75" customHeight="1">
      <c r="A127" s="17"/>
      <c r="B127" s="24" t="s">
        <v>103</v>
      </c>
      <c r="C127" s="20">
        <v>1</v>
      </c>
      <c r="D127" s="20">
        <v>2</v>
      </c>
      <c r="E127" s="21">
        <v>0.6</v>
      </c>
      <c r="F127" s="21">
        <v>0.6</v>
      </c>
      <c r="G127" s="21"/>
      <c r="H127" s="22">
        <f>PRODUCT(C127:G127)</f>
        <v>0.72</v>
      </c>
    </row>
    <row r="128" spans="1:8" s="23" customFormat="1" ht="18.75" customHeight="1">
      <c r="A128" s="17"/>
      <c r="B128" s="24"/>
      <c r="C128" s="20"/>
      <c r="D128" s="20"/>
      <c r="E128" s="21"/>
      <c r="F128" s="21"/>
      <c r="G128" s="21"/>
      <c r="H128" s="22">
        <v>0.06</v>
      </c>
    </row>
    <row r="129" spans="1:8" s="23" customFormat="1" ht="18.75" customHeight="1">
      <c r="A129" s="17"/>
      <c r="B129" s="24"/>
      <c r="C129" s="20"/>
      <c r="D129" s="20"/>
      <c r="E129" s="21"/>
      <c r="F129" s="21"/>
      <c r="G129" s="21"/>
      <c r="H129" s="22">
        <f>SUM(H125:H128)</f>
        <v>41.28</v>
      </c>
    </row>
    <row r="130" spans="1:8" s="23" customFormat="1" ht="18.75" customHeight="1">
      <c r="A130" s="17"/>
      <c r="B130" s="24"/>
      <c r="C130" s="20"/>
      <c r="D130" s="20"/>
      <c r="E130" s="21"/>
      <c r="F130" s="26" t="s">
        <v>11</v>
      </c>
      <c r="G130" s="26">
        <f>+H129</f>
        <v>41.28</v>
      </c>
      <c r="H130" s="27" t="s">
        <v>26</v>
      </c>
    </row>
    <row r="131" spans="1:8" s="23" customFormat="1" ht="33.75" customHeight="1">
      <c r="A131" s="17">
        <v>35</v>
      </c>
      <c r="B131" s="24" t="s">
        <v>104</v>
      </c>
      <c r="C131" s="20"/>
      <c r="D131" s="20"/>
      <c r="E131" s="21"/>
      <c r="F131" s="21"/>
      <c r="G131" s="29"/>
      <c r="H131" s="22"/>
    </row>
    <row r="132" spans="1:8" s="23" customFormat="1" ht="18.75" customHeight="1">
      <c r="A132" s="17"/>
      <c r="B132" s="24" t="s">
        <v>105</v>
      </c>
      <c r="C132" s="20">
        <v>1</v>
      </c>
      <c r="D132" s="20">
        <v>1</v>
      </c>
      <c r="E132" s="21">
        <f>E126</f>
        <v>6</v>
      </c>
      <c r="F132" s="21">
        <f>F126</f>
        <v>2.5</v>
      </c>
      <c r="G132" s="21"/>
      <c r="H132" s="22">
        <f>PRODUCT(C132:G132)</f>
        <v>15</v>
      </c>
    </row>
    <row r="133" spans="1:8" s="23" customFormat="1" ht="18.75" customHeight="1">
      <c r="A133" s="17"/>
      <c r="B133" s="24" t="s">
        <v>106</v>
      </c>
      <c r="C133" s="20">
        <v>1</v>
      </c>
      <c r="D133" s="20">
        <v>-1</v>
      </c>
      <c r="E133" s="21">
        <v>0.6</v>
      </c>
      <c r="F133" s="21">
        <v>0.6</v>
      </c>
      <c r="G133" s="26"/>
      <c r="H133" s="22">
        <f>PRODUCT(C133:G133)</f>
        <v>-0.36</v>
      </c>
    </row>
    <row r="134" spans="1:8" s="23" customFormat="1" ht="18.75" customHeight="1">
      <c r="A134" s="17"/>
      <c r="B134" s="24"/>
      <c r="C134" s="20"/>
      <c r="D134" s="20"/>
      <c r="E134" s="21"/>
      <c r="F134" s="21"/>
      <c r="G134" s="21"/>
      <c r="H134" s="22">
        <v>0.05</v>
      </c>
    </row>
    <row r="135" spans="1:8" s="23" customFormat="1" ht="18.75" customHeight="1">
      <c r="A135" s="17"/>
      <c r="B135" s="24"/>
      <c r="C135" s="20"/>
      <c r="D135" s="20"/>
      <c r="E135" s="21"/>
      <c r="F135" s="21"/>
      <c r="G135" s="21"/>
      <c r="H135" s="22">
        <f>SUM(H132:H134)</f>
        <v>14.690000000000001</v>
      </c>
    </row>
    <row r="136" spans="1:8" s="23" customFormat="1" ht="18.75" customHeight="1">
      <c r="A136" s="17"/>
      <c r="B136" s="24"/>
      <c r="C136" s="20"/>
      <c r="D136" s="20"/>
      <c r="E136" s="21"/>
      <c r="F136" s="26" t="s">
        <v>11</v>
      </c>
      <c r="G136" s="26">
        <f>+H135</f>
        <v>14.690000000000001</v>
      </c>
      <c r="H136" s="27" t="s">
        <v>26</v>
      </c>
    </row>
    <row r="137" spans="1:8" s="23" customFormat="1" ht="36.75" customHeight="1">
      <c r="A137" s="17">
        <v>58.5</v>
      </c>
      <c r="B137" s="24" t="s">
        <v>107</v>
      </c>
      <c r="C137" s="20"/>
      <c r="D137" s="20"/>
      <c r="E137" s="21"/>
      <c r="F137" s="21"/>
      <c r="G137" s="21"/>
      <c r="H137" s="22"/>
    </row>
    <row r="138" spans="1:8" s="23" customFormat="1" ht="24.95" customHeight="1">
      <c r="A138" s="17"/>
      <c r="B138" s="24" t="s">
        <v>48</v>
      </c>
      <c r="C138" s="20">
        <v>1</v>
      </c>
      <c r="D138" s="20">
        <v>1</v>
      </c>
      <c r="E138" s="21"/>
      <c r="F138" s="21"/>
      <c r="G138" s="21"/>
      <c r="H138" s="22">
        <f>PRODUCT(C138:G138)</f>
        <v>1</v>
      </c>
    </row>
    <row r="139" spans="1:8" s="23" customFormat="1" ht="24.95" customHeight="1">
      <c r="A139" s="17"/>
      <c r="B139" s="24"/>
      <c r="C139" s="20"/>
      <c r="D139" s="20"/>
      <c r="E139" s="21"/>
      <c r="F139" s="26" t="s">
        <v>11</v>
      </c>
      <c r="G139" s="26">
        <f>+H138</f>
        <v>1</v>
      </c>
      <c r="H139" s="27" t="s">
        <v>5</v>
      </c>
    </row>
    <row r="140" spans="1:8" s="23" customFormat="1" ht="29.25" hidden="1" customHeight="1">
      <c r="A140" s="32">
        <v>43</v>
      </c>
      <c r="B140" s="33" t="s">
        <v>108</v>
      </c>
      <c r="C140" s="34"/>
      <c r="D140" s="34"/>
      <c r="E140" s="35"/>
      <c r="F140" s="35"/>
      <c r="G140" s="35"/>
      <c r="H140" s="36"/>
    </row>
    <row r="141" spans="1:8" s="23" customFormat="1" ht="19.5" hidden="1" customHeight="1">
      <c r="A141" s="32"/>
      <c r="B141" s="33" t="s">
        <v>20</v>
      </c>
      <c r="C141" s="1660">
        <f>+G76</f>
        <v>2.8895899999999997</v>
      </c>
      <c r="D141" s="1660"/>
      <c r="E141" s="35"/>
      <c r="F141" s="35"/>
      <c r="G141" s="35">
        <f>C141</f>
        <v>2.8895899999999997</v>
      </c>
      <c r="H141" s="36"/>
    </row>
    <row r="142" spans="1:8" s="23" customFormat="1" ht="19.5" hidden="1" customHeight="1">
      <c r="A142" s="32"/>
      <c r="B142" s="33" t="s">
        <v>109</v>
      </c>
      <c r="C142" s="1660">
        <f>+G93</f>
        <v>10.396600000000001</v>
      </c>
      <c r="D142" s="1660"/>
      <c r="E142" s="35" t="s">
        <v>21</v>
      </c>
      <c r="F142" s="35">
        <v>0.04</v>
      </c>
      <c r="G142" s="35">
        <f>F142*C142</f>
        <v>0.41586400000000007</v>
      </c>
      <c r="H142" s="36"/>
    </row>
    <row r="143" spans="1:8" s="23" customFormat="1" ht="19.5" hidden="1" customHeight="1">
      <c r="A143" s="32"/>
      <c r="B143" s="33"/>
      <c r="C143" s="34"/>
      <c r="D143" s="34"/>
      <c r="E143" s="1661" t="s">
        <v>28</v>
      </c>
      <c r="F143" s="1661"/>
      <c r="G143" s="35">
        <f>SUM(G141:G142)</f>
        <v>3.3054539999999997</v>
      </c>
      <c r="H143" s="36" t="s">
        <v>19</v>
      </c>
    </row>
    <row r="144" spans="1:8" s="23" customFormat="1" ht="19.5" hidden="1" customHeight="1">
      <c r="A144" s="32"/>
      <c r="B144" s="33"/>
      <c r="C144" s="1660">
        <f>G143</f>
        <v>3.3054539999999997</v>
      </c>
      <c r="D144" s="1660"/>
      <c r="E144" s="35" t="s">
        <v>21</v>
      </c>
      <c r="F144" s="35">
        <v>100</v>
      </c>
      <c r="G144" s="35" t="s">
        <v>110</v>
      </c>
      <c r="H144" s="36">
        <f>F144*C144</f>
        <v>330.54539999999997</v>
      </c>
    </row>
    <row r="145" spans="1:8" s="23" customFormat="1" ht="19.5" hidden="1" customHeight="1">
      <c r="A145" s="32"/>
      <c r="B145" s="33"/>
      <c r="C145" s="34"/>
      <c r="D145" s="34"/>
      <c r="E145" s="35"/>
      <c r="F145" s="37" t="s">
        <v>11</v>
      </c>
      <c r="G145" s="38"/>
      <c r="H145" s="39" t="s">
        <v>22</v>
      </c>
    </row>
    <row r="146" spans="1:8" s="23" customFormat="1" ht="36.75" customHeight="1">
      <c r="A146" s="17" t="s">
        <v>111</v>
      </c>
      <c r="B146" s="24" t="s">
        <v>112</v>
      </c>
      <c r="C146" s="20"/>
      <c r="D146" s="20"/>
      <c r="E146" s="21"/>
      <c r="F146" s="21"/>
      <c r="G146" s="21"/>
      <c r="H146" s="22"/>
    </row>
    <row r="147" spans="1:8" s="23" customFormat="1" ht="30" customHeight="1">
      <c r="A147" s="17"/>
      <c r="B147" s="24" t="s">
        <v>113</v>
      </c>
      <c r="C147" s="20">
        <v>1</v>
      </c>
      <c r="D147" s="20">
        <v>1</v>
      </c>
      <c r="E147" s="21">
        <v>15</v>
      </c>
      <c r="F147" s="21"/>
      <c r="G147" s="21"/>
      <c r="H147" s="22">
        <f>PRODUCT(C147:G147)</f>
        <v>15</v>
      </c>
    </row>
    <row r="148" spans="1:8" s="23" customFormat="1" ht="24.95" customHeight="1">
      <c r="A148" s="17"/>
      <c r="B148" s="24"/>
      <c r="C148" s="20"/>
      <c r="D148" s="20"/>
      <c r="E148" s="21"/>
      <c r="F148" s="26" t="s">
        <v>11</v>
      </c>
      <c r="G148" s="26">
        <f>+H147</f>
        <v>15</v>
      </c>
      <c r="H148" s="27" t="s">
        <v>12</v>
      </c>
    </row>
    <row r="149" spans="1:8" s="23" customFormat="1" ht="33.75" customHeight="1">
      <c r="A149" s="17" t="s">
        <v>114</v>
      </c>
      <c r="B149" s="24" t="s">
        <v>115</v>
      </c>
      <c r="C149" s="20"/>
      <c r="D149" s="20"/>
      <c r="E149" s="21"/>
      <c r="F149" s="21"/>
      <c r="G149" s="21"/>
      <c r="H149" s="22"/>
    </row>
    <row r="150" spans="1:8" s="23" customFormat="1" ht="33" customHeight="1">
      <c r="A150" s="17"/>
      <c r="B150" s="24" t="s">
        <v>116</v>
      </c>
      <c r="C150" s="20">
        <v>1</v>
      </c>
      <c r="D150" s="20">
        <v>1</v>
      </c>
      <c r="E150" s="21">
        <v>30</v>
      </c>
      <c r="F150" s="21"/>
      <c r="G150" s="21"/>
      <c r="H150" s="22">
        <f>PRODUCT(C150:G150)</f>
        <v>30</v>
      </c>
    </row>
    <row r="151" spans="1:8" s="23" customFormat="1" ht="24.95" customHeight="1">
      <c r="A151" s="17"/>
      <c r="B151" s="24"/>
      <c r="C151" s="20"/>
      <c r="D151" s="20"/>
      <c r="E151" s="21"/>
      <c r="F151" s="26" t="s">
        <v>11</v>
      </c>
      <c r="G151" s="26">
        <f>+H150</f>
        <v>30</v>
      </c>
      <c r="H151" s="27" t="s">
        <v>12</v>
      </c>
    </row>
    <row r="152" spans="1:8" s="23" customFormat="1" ht="33" customHeight="1">
      <c r="A152" s="17" t="s">
        <v>117</v>
      </c>
      <c r="B152" s="24" t="s">
        <v>118</v>
      </c>
      <c r="C152" s="20"/>
      <c r="D152" s="20"/>
      <c r="E152" s="21"/>
      <c r="F152" s="26"/>
      <c r="G152" s="26"/>
      <c r="H152" s="28"/>
    </row>
    <row r="153" spans="1:8" s="23" customFormat="1" ht="24.95" customHeight="1">
      <c r="A153" s="17"/>
      <c r="B153" s="24" t="s">
        <v>119</v>
      </c>
      <c r="C153" s="20">
        <v>1</v>
      </c>
      <c r="D153" s="20">
        <v>2</v>
      </c>
      <c r="E153" s="21"/>
      <c r="F153" s="21"/>
      <c r="G153" s="21"/>
      <c r="H153" s="22">
        <f>PRODUCT(C153:G153)</f>
        <v>2</v>
      </c>
    </row>
    <row r="154" spans="1:8" s="23" customFormat="1" ht="24.95" customHeight="1">
      <c r="A154" s="17"/>
      <c r="B154" s="24"/>
      <c r="C154" s="20"/>
      <c r="D154" s="20"/>
      <c r="E154" s="21"/>
      <c r="F154" s="26" t="s">
        <v>11</v>
      </c>
      <c r="G154" s="26">
        <f>+H153</f>
        <v>2</v>
      </c>
      <c r="H154" s="27" t="s">
        <v>13</v>
      </c>
    </row>
    <row r="155" spans="1:8" s="23" customFormat="1" ht="30" customHeight="1">
      <c r="A155" s="17" t="s">
        <v>120</v>
      </c>
      <c r="B155" s="24" t="s">
        <v>121</v>
      </c>
      <c r="C155" s="20"/>
      <c r="D155" s="20"/>
      <c r="E155" s="21"/>
      <c r="F155" s="21"/>
      <c r="G155" s="21"/>
      <c r="H155" s="22"/>
    </row>
    <row r="156" spans="1:8" s="23" customFormat="1" ht="21.95" customHeight="1">
      <c r="A156" s="17"/>
      <c r="B156" s="24" t="s">
        <v>119</v>
      </c>
      <c r="C156" s="20">
        <v>1</v>
      </c>
      <c r="D156" s="20">
        <v>2</v>
      </c>
      <c r="E156" s="21"/>
      <c r="F156" s="26"/>
      <c r="G156" s="26"/>
      <c r="H156" s="22">
        <f>PRODUCT(C156:G156)</f>
        <v>2</v>
      </c>
    </row>
    <row r="157" spans="1:8" s="23" customFormat="1" ht="21.95" customHeight="1">
      <c r="A157" s="17"/>
      <c r="B157" s="24"/>
      <c r="C157" s="20"/>
      <c r="D157" s="20"/>
      <c r="E157" s="21"/>
      <c r="F157" s="26" t="s">
        <v>11</v>
      </c>
      <c r="G157" s="26">
        <f>+H156</f>
        <v>2</v>
      </c>
      <c r="H157" s="27" t="s">
        <v>13</v>
      </c>
    </row>
  </sheetData>
  <mergeCells count="12">
    <mergeCell ref="C141:D141"/>
    <mergeCell ref="C142:D142"/>
    <mergeCell ref="E143:F143"/>
    <mergeCell ref="C144:D144"/>
    <mergeCell ref="A14:H15"/>
    <mergeCell ref="A16:H16"/>
    <mergeCell ref="A17:H17"/>
    <mergeCell ref="A18:A19"/>
    <mergeCell ref="B18:B19"/>
    <mergeCell ref="C18:D19"/>
    <mergeCell ref="E18:G18"/>
    <mergeCell ref="H18:H19"/>
  </mergeCells>
  <printOptions horizontalCentered="1"/>
  <pageMargins left="0.70866141732283472" right="0.70866141732283472" top="0.74803149606299213" bottom="0.74803149606299213" header="0.31496062992125984" footer="0.31496062992125984"/>
  <pageSetup paperSize="9" orientation="portrait" verticalDpi="300" r:id="rId1"/>
  <headerFooter>
    <oddHeader>Page &amp;P</oddHeader>
    <oddFooter>&amp;A</oddFooter>
  </headerFooter>
</worksheet>
</file>

<file path=xl/worksheets/sheet15.xml><?xml version="1.0" encoding="utf-8"?>
<worksheet xmlns="http://schemas.openxmlformats.org/spreadsheetml/2006/main" xmlns:r="http://schemas.openxmlformats.org/officeDocument/2006/relationships">
  <sheetPr codeName="Sheet12">
    <tabColor rgb="FFFFFF00"/>
  </sheetPr>
  <dimension ref="A2:AQ664"/>
  <sheetViews>
    <sheetView showZeros="0" view="pageBreakPreview" topLeftCell="A135" zoomScale="70" zoomScaleSheetLayoutView="70" workbookViewId="0">
      <selection activeCell="I153" sqref="I153"/>
    </sheetView>
  </sheetViews>
  <sheetFormatPr defaultRowHeight="17.25"/>
  <cols>
    <col min="1" max="1" width="7.28515625" style="115" customWidth="1"/>
    <col min="2" max="2" width="36.7109375" style="1343" customWidth="1"/>
    <col min="3" max="3" width="12.42578125" style="199" customWidth="1"/>
    <col min="4" max="4" width="12.42578125" style="222" customWidth="1"/>
    <col min="5" max="8" width="12.42578125" style="115" customWidth="1"/>
    <col min="9" max="11" width="12.42578125" style="124" customWidth="1"/>
    <col min="12" max="35" width="12.42578125" style="115" customWidth="1"/>
    <col min="36" max="36" width="14.85546875" style="115" customWidth="1"/>
    <col min="37" max="41" width="9.140625" style="115"/>
    <col min="42" max="42" width="53.7109375" style="115" customWidth="1"/>
    <col min="43" max="43" width="46.5703125" style="115" customWidth="1"/>
    <col min="44" max="260" width="9.140625" style="115"/>
    <col min="261" max="261" width="7.28515625" style="115" customWidth="1"/>
    <col min="262" max="262" width="35.42578125" style="115" customWidth="1"/>
    <col min="263" max="264" width="6.5703125" style="115" customWidth="1"/>
    <col min="265" max="266" width="10.28515625" style="115" customWidth="1"/>
    <col min="267" max="267" width="11" style="115" customWidth="1"/>
    <col min="268" max="268" width="13.28515625" style="115" customWidth="1"/>
    <col min="269" max="269" width="11.5703125" style="115" bestFit="1" customWidth="1"/>
    <col min="270" max="516" width="9.140625" style="115"/>
    <col min="517" max="517" width="7.28515625" style="115" customWidth="1"/>
    <col min="518" max="518" width="35.42578125" style="115" customWidth="1"/>
    <col min="519" max="520" width="6.5703125" style="115" customWidth="1"/>
    <col min="521" max="522" width="10.28515625" style="115" customWidth="1"/>
    <col min="523" max="523" width="11" style="115" customWidth="1"/>
    <col min="524" max="524" width="13.28515625" style="115" customWidth="1"/>
    <col min="525" max="525" width="11.5703125" style="115" bestFit="1" customWidth="1"/>
    <col min="526" max="772" width="9.140625" style="115"/>
    <col min="773" max="773" width="7.28515625" style="115" customWidth="1"/>
    <col min="774" max="774" width="35.42578125" style="115" customWidth="1"/>
    <col min="775" max="776" width="6.5703125" style="115" customWidth="1"/>
    <col min="777" max="778" width="10.28515625" style="115" customWidth="1"/>
    <col min="779" max="779" width="11" style="115" customWidth="1"/>
    <col min="780" max="780" width="13.28515625" style="115" customWidth="1"/>
    <col min="781" max="781" width="11.5703125" style="115" bestFit="1" customWidth="1"/>
    <col min="782" max="1028" width="9.140625" style="115"/>
    <col min="1029" max="1029" width="7.28515625" style="115" customWidth="1"/>
    <col min="1030" max="1030" width="35.42578125" style="115" customWidth="1"/>
    <col min="1031" max="1032" width="6.5703125" style="115" customWidth="1"/>
    <col min="1033" max="1034" width="10.28515625" style="115" customWidth="1"/>
    <col min="1035" max="1035" width="11" style="115" customWidth="1"/>
    <col min="1036" max="1036" width="13.28515625" style="115" customWidth="1"/>
    <col min="1037" max="1037" width="11.5703125" style="115" bestFit="1" customWidth="1"/>
    <col min="1038" max="1284" width="9.140625" style="115"/>
    <col min="1285" max="1285" width="7.28515625" style="115" customWidth="1"/>
    <col min="1286" max="1286" width="35.42578125" style="115" customWidth="1"/>
    <col min="1287" max="1288" width="6.5703125" style="115" customWidth="1"/>
    <col min="1289" max="1290" width="10.28515625" style="115" customWidth="1"/>
    <col min="1291" max="1291" width="11" style="115" customWidth="1"/>
    <col min="1292" max="1292" width="13.28515625" style="115" customWidth="1"/>
    <col min="1293" max="1293" width="11.5703125" style="115" bestFit="1" customWidth="1"/>
    <col min="1294" max="1540" width="9.140625" style="115"/>
    <col min="1541" max="1541" width="7.28515625" style="115" customWidth="1"/>
    <col min="1542" max="1542" width="35.42578125" style="115" customWidth="1"/>
    <col min="1543" max="1544" width="6.5703125" style="115" customWidth="1"/>
    <col min="1545" max="1546" width="10.28515625" style="115" customWidth="1"/>
    <col min="1547" max="1547" width="11" style="115" customWidth="1"/>
    <col min="1548" max="1548" width="13.28515625" style="115" customWidth="1"/>
    <col min="1549" max="1549" width="11.5703125" style="115" bestFit="1" customWidth="1"/>
    <col min="1550" max="1796" width="9.140625" style="115"/>
    <col min="1797" max="1797" width="7.28515625" style="115" customWidth="1"/>
    <col min="1798" max="1798" width="35.42578125" style="115" customWidth="1"/>
    <col min="1799" max="1800" width="6.5703125" style="115" customWidth="1"/>
    <col min="1801" max="1802" width="10.28515625" style="115" customWidth="1"/>
    <col min="1803" max="1803" width="11" style="115" customWidth="1"/>
    <col min="1804" max="1804" width="13.28515625" style="115" customWidth="1"/>
    <col min="1805" max="1805" width="11.5703125" style="115" bestFit="1" customWidth="1"/>
    <col min="1806" max="2052" width="9.140625" style="115"/>
    <col min="2053" max="2053" width="7.28515625" style="115" customWidth="1"/>
    <col min="2054" max="2054" width="35.42578125" style="115" customWidth="1"/>
    <col min="2055" max="2056" width="6.5703125" style="115" customWidth="1"/>
    <col min="2057" max="2058" width="10.28515625" style="115" customWidth="1"/>
    <col min="2059" max="2059" width="11" style="115" customWidth="1"/>
    <col min="2060" max="2060" width="13.28515625" style="115" customWidth="1"/>
    <col min="2061" max="2061" width="11.5703125" style="115" bestFit="1" customWidth="1"/>
    <col min="2062" max="2308" width="9.140625" style="115"/>
    <col min="2309" max="2309" width="7.28515625" style="115" customWidth="1"/>
    <col min="2310" max="2310" width="35.42578125" style="115" customWidth="1"/>
    <col min="2311" max="2312" width="6.5703125" style="115" customWidth="1"/>
    <col min="2313" max="2314" width="10.28515625" style="115" customWidth="1"/>
    <col min="2315" max="2315" width="11" style="115" customWidth="1"/>
    <col min="2316" max="2316" width="13.28515625" style="115" customWidth="1"/>
    <col min="2317" max="2317" width="11.5703125" style="115" bestFit="1" customWidth="1"/>
    <col min="2318" max="2564" width="9.140625" style="115"/>
    <col min="2565" max="2565" width="7.28515625" style="115" customWidth="1"/>
    <col min="2566" max="2566" width="35.42578125" style="115" customWidth="1"/>
    <col min="2567" max="2568" width="6.5703125" style="115" customWidth="1"/>
    <col min="2569" max="2570" width="10.28515625" style="115" customWidth="1"/>
    <col min="2571" max="2571" width="11" style="115" customWidth="1"/>
    <col min="2572" max="2572" width="13.28515625" style="115" customWidth="1"/>
    <col min="2573" max="2573" width="11.5703125" style="115" bestFit="1" customWidth="1"/>
    <col min="2574" max="2820" width="9.140625" style="115"/>
    <col min="2821" max="2821" width="7.28515625" style="115" customWidth="1"/>
    <col min="2822" max="2822" width="35.42578125" style="115" customWidth="1"/>
    <col min="2823" max="2824" width="6.5703125" style="115" customWidth="1"/>
    <col min="2825" max="2826" width="10.28515625" style="115" customWidth="1"/>
    <col min="2827" max="2827" width="11" style="115" customWidth="1"/>
    <col min="2828" max="2828" width="13.28515625" style="115" customWidth="1"/>
    <col min="2829" max="2829" width="11.5703125" style="115" bestFit="1" customWidth="1"/>
    <col min="2830" max="3076" width="9.140625" style="115"/>
    <col min="3077" max="3077" width="7.28515625" style="115" customWidth="1"/>
    <col min="3078" max="3078" width="35.42578125" style="115" customWidth="1"/>
    <col min="3079" max="3080" width="6.5703125" style="115" customWidth="1"/>
    <col min="3081" max="3082" width="10.28515625" style="115" customWidth="1"/>
    <col min="3083" max="3083" width="11" style="115" customWidth="1"/>
    <col min="3084" max="3084" width="13.28515625" style="115" customWidth="1"/>
    <col min="3085" max="3085" width="11.5703125" style="115" bestFit="1" customWidth="1"/>
    <col min="3086" max="3332" width="9.140625" style="115"/>
    <col min="3333" max="3333" width="7.28515625" style="115" customWidth="1"/>
    <col min="3334" max="3334" width="35.42578125" style="115" customWidth="1"/>
    <col min="3335" max="3336" width="6.5703125" style="115" customWidth="1"/>
    <col min="3337" max="3338" width="10.28515625" style="115" customWidth="1"/>
    <col min="3339" max="3339" width="11" style="115" customWidth="1"/>
    <col min="3340" max="3340" width="13.28515625" style="115" customWidth="1"/>
    <col min="3341" max="3341" width="11.5703125" style="115" bestFit="1" customWidth="1"/>
    <col min="3342" max="3588" width="9.140625" style="115"/>
    <col min="3589" max="3589" width="7.28515625" style="115" customWidth="1"/>
    <col min="3590" max="3590" width="35.42578125" style="115" customWidth="1"/>
    <col min="3591" max="3592" width="6.5703125" style="115" customWidth="1"/>
    <col min="3593" max="3594" width="10.28515625" style="115" customWidth="1"/>
    <col min="3595" max="3595" width="11" style="115" customWidth="1"/>
    <col min="3596" max="3596" width="13.28515625" style="115" customWidth="1"/>
    <col min="3597" max="3597" width="11.5703125" style="115" bestFit="1" customWidth="1"/>
    <col min="3598" max="3844" width="9.140625" style="115"/>
    <col min="3845" max="3845" width="7.28515625" style="115" customWidth="1"/>
    <col min="3846" max="3846" width="35.42578125" style="115" customWidth="1"/>
    <col min="3847" max="3848" width="6.5703125" style="115" customWidth="1"/>
    <col min="3849" max="3850" width="10.28515625" style="115" customWidth="1"/>
    <col min="3851" max="3851" width="11" style="115" customWidth="1"/>
    <col min="3852" max="3852" width="13.28515625" style="115" customWidth="1"/>
    <col min="3853" max="3853" width="11.5703125" style="115" bestFit="1" customWidth="1"/>
    <col min="3854" max="4100" width="9.140625" style="115"/>
    <col min="4101" max="4101" width="7.28515625" style="115" customWidth="1"/>
    <col min="4102" max="4102" width="35.42578125" style="115" customWidth="1"/>
    <col min="4103" max="4104" width="6.5703125" style="115" customWidth="1"/>
    <col min="4105" max="4106" width="10.28515625" style="115" customWidth="1"/>
    <col min="4107" max="4107" width="11" style="115" customWidth="1"/>
    <col min="4108" max="4108" width="13.28515625" style="115" customWidth="1"/>
    <col min="4109" max="4109" width="11.5703125" style="115" bestFit="1" customWidth="1"/>
    <col min="4110" max="4356" width="9.140625" style="115"/>
    <col min="4357" max="4357" width="7.28515625" style="115" customWidth="1"/>
    <col min="4358" max="4358" width="35.42578125" style="115" customWidth="1"/>
    <col min="4359" max="4360" width="6.5703125" style="115" customWidth="1"/>
    <col min="4361" max="4362" width="10.28515625" style="115" customWidth="1"/>
    <col min="4363" max="4363" width="11" style="115" customWidth="1"/>
    <col min="4364" max="4364" width="13.28515625" style="115" customWidth="1"/>
    <col min="4365" max="4365" width="11.5703125" style="115" bestFit="1" customWidth="1"/>
    <col min="4366" max="4612" width="9.140625" style="115"/>
    <col min="4613" max="4613" width="7.28515625" style="115" customWidth="1"/>
    <col min="4614" max="4614" width="35.42578125" style="115" customWidth="1"/>
    <col min="4615" max="4616" width="6.5703125" style="115" customWidth="1"/>
    <col min="4617" max="4618" width="10.28515625" style="115" customWidth="1"/>
    <col min="4619" max="4619" width="11" style="115" customWidth="1"/>
    <col min="4620" max="4620" width="13.28515625" style="115" customWidth="1"/>
    <col min="4621" max="4621" width="11.5703125" style="115" bestFit="1" customWidth="1"/>
    <col min="4622" max="4868" width="9.140625" style="115"/>
    <col min="4869" max="4869" width="7.28515625" style="115" customWidth="1"/>
    <col min="4870" max="4870" width="35.42578125" style="115" customWidth="1"/>
    <col min="4871" max="4872" width="6.5703125" style="115" customWidth="1"/>
    <col min="4873" max="4874" width="10.28515625" style="115" customWidth="1"/>
    <col min="4875" max="4875" width="11" style="115" customWidth="1"/>
    <col min="4876" max="4876" width="13.28515625" style="115" customWidth="1"/>
    <col min="4877" max="4877" width="11.5703125" style="115" bestFit="1" customWidth="1"/>
    <col min="4878" max="5124" width="9.140625" style="115"/>
    <col min="5125" max="5125" width="7.28515625" style="115" customWidth="1"/>
    <col min="5126" max="5126" width="35.42578125" style="115" customWidth="1"/>
    <col min="5127" max="5128" width="6.5703125" style="115" customWidth="1"/>
    <col min="5129" max="5130" width="10.28515625" style="115" customWidth="1"/>
    <col min="5131" max="5131" width="11" style="115" customWidth="1"/>
    <col min="5132" max="5132" width="13.28515625" style="115" customWidth="1"/>
    <col min="5133" max="5133" width="11.5703125" style="115" bestFit="1" customWidth="1"/>
    <col min="5134" max="5380" width="9.140625" style="115"/>
    <col min="5381" max="5381" width="7.28515625" style="115" customWidth="1"/>
    <col min="5382" max="5382" width="35.42578125" style="115" customWidth="1"/>
    <col min="5383" max="5384" width="6.5703125" style="115" customWidth="1"/>
    <col min="5385" max="5386" width="10.28515625" style="115" customWidth="1"/>
    <col min="5387" max="5387" width="11" style="115" customWidth="1"/>
    <col min="5388" max="5388" width="13.28515625" style="115" customWidth="1"/>
    <col min="5389" max="5389" width="11.5703125" style="115" bestFit="1" customWidth="1"/>
    <col min="5390" max="5636" width="9.140625" style="115"/>
    <col min="5637" max="5637" width="7.28515625" style="115" customWidth="1"/>
    <col min="5638" max="5638" width="35.42578125" style="115" customWidth="1"/>
    <col min="5639" max="5640" width="6.5703125" style="115" customWidth="1"/>
    <col min="5641" max="5642" width="10.28515625" style="115" customWidth="1"/>
    <col min="5643" max="5643" width="11" style="115" customWidth="1"/>
    <col min="5644" max="5644" width="13.28515625" style="115" customWidth="1"/>
    <col min="5645" max="5645" width="11.5703125" style="115" bestFit="1" customWidth="1"/>
    <col min="5646" max="5892" width="9.140625" style="115"/>
    <col min="5893" max="5893" width="7.28515625" style="115" customWidth="1"/>
    <col min="5894" max="5894" width="35.42578125" style="115" customWidth="1"/>
    <col min="5895" max="5896" width="6.5703125" style="115" customWidth="1"/>
    <col min="5897" max="5898" width="10.28515625" style="115" customWidth="1"/>
    <col min="5899" max="5899" width="11" style="115" customWidth="1"/>
    <col min="5900" max="5900" width="13.28515625" style="115" customWidth="1"/>
    <col min="5901" max="5901" width="11.5703125" style="115" bestFit="1" customWidth="1"/>
    <col min="5902" max="6148" width="9.140625" style="115"/>
    <col min="6149" max="6149" width="7.28515625" style="115" customWidth="1"/>
    <col min="6150" max="6150" width="35.42578125" style="115" customWidth="1"/>
    <col min="6151" max="6152" width="6.5703125" style="115" customWidth="1"/>
    <col min="6153" max="6154" width="10.28515625" style="115" customWidth="1"/>
    <col min="6155" max="6155" width="11" style="115" customWidth="1"/>
    <col min="6156" max="6156" width="13.28515625" style="115" customWidth="1"/>
    <col min="6157" max="6157" width="11.5703125" style="115" bestFit="1" customWidth="1"/>
    <col min="6158" max="6404" width="9.140625" style="115"/>
    <col min="6405" max="6405" width="7.28515625" style="115" customWidth="1"/>
    <col min="6406" max="6406" width="35.42578125" style="115" customWidth="1"/>
    <col min="6407" max="6408" width="6.5703125" style="115" customWidth="1"/>
    <col min="6409" max="6410" width="10.28515625" style="115" customWidth="1"/>
    <col min="6411" max="6411" width="11" style="115" customWidth="1"/>
    <col min="6412" max="6412" width="13.28515625" style="115" customWidth="1"/>
    <col min="6413" max="6413" width="11.5703125" style="115" bestFit="1" customWidth="1"/>
    <col min="6414" max="6660" width="9.140625" style="115"/>
    <col min="6661" max="6661" width="7.28515625" style="115" customWidth="1"/>
    <col min="6662" max="6662" width="35.42578125" style="115" customWidth="1"/>
    <col min="6663" max="6664" width="6.5703125" style="115" customWidth="1"/>
    <col min="6665" max="6666" width="10.28515625" style="115" customWidth="1"/>
    <col min="6667" max="6667" width="11" style="115" customWidth="1"/>
    <col min="6668" max="6668" width="13.28515625" style="115" customWidth="1"/>
    <col min="6669" max="6669" width="11.5703125" style="115" bestFit="1" customWidth="1"/>
    <col min="6670" max="6916" width="9.140625" style="115"/>
    <col min="6917" max="6917" width="7.28515625" style="115" customWidth="1"/>
    <col min="6918" max="6918" width="35.42578125" style="115" customWidth="1"/>
    <col min="6919" max="6920" width="6.5703125" style="115" customWidth="1"/>
    <col min="6921" max="6922" width="10.28515625" style="115" customWidth="1"/>
    <col min="6923" max="6923" width="11" style="115" customWidth="1"/>
    <col min="6924" max="6924" width="13.28515625" style="115" customWidth="1"/>
    <col min="6925" max="6925" width="11.5703125" style="115" bestFit="1" customWidth="1"/>
    <col min="6926" max="7172" width="9.140625" style="115"/>
    <col min="7173" max="7173" width="7.28515625" style="115" customWidth="1"/>
    <col min="7174" max="7174" width="35.42578125" style="115" customWidth="1"/>
    <col min="7175" max="7176" width="6.5703125" style="115" customWidth="1"/>
    <col min="7177" max="7178" width="10.28515625" style="115" customWidth="1"/>
    <col min="7179" max="7179" width="11" style="115" customWidth="1"/>
    <col min="7180" max="7180" width="13.28515625" style="115" customWidth="1"/>
    <col min="7181" max="7181" width="11.5703125" style="115" bestFit="1" customWidth="1"/>
    <col min="7182" max="7428" width="9.140625" style="115"/>
    <col min="7429" max="7429" width="7.28515625" style="115" customWidth="1"/>
    <col min="7430" max="7430" width="35.42578125" style="115" customWidth="1"/>
    <col min="7431" max="7432" width="6.5703125" style="115" customWidth="1"/>
    <col min="7433" max="7434" width="10.28515625" style="115" customWidth="1"/>
    <col min="7435" max="7435" width="11" style="115" customWidth="1"/>
    <col min="7436" max="7436" width="13.28515625" style="115" customWidth="1"/>
    <col min="7437" max="7437" width="11.5703125" style="115" bestFit="1" customWidth="1"/>
    <col min="7438" max="7684" width="9.140625" style="115"/>
    <col min="7685" max="7685" width="7.28515625" style="115" customWidth="1"/>
    <col min="7686" max="7686" width="35.42578125" style="115" customWidth="1"/>
    <col min="7687" max="7688" width="6.5703125" style="115" customWidth="1"/>
    <col min="7689" max="7690" width="10.28515625" style="115" customWidth="1"/>
    <col min="7691" max="7691" width="11" style="115" customWidth="1"/>
    <col min="7692" max="7692" width="13.28515625" style="115" customWidth="1"/>
    <col min="7693" max="7693" width="11.5703125" style="115" bestFit="1" customWidth="1"/>
    <col min="7694" max="7940" width="9.140625" style="115"/>
    <col min="7941" max="7941" width="7.28515625" style="115" customWidth="1"/>
    <col min="7942" max="7942" width="35.42578125" style="115" customWidth="1"/>
    <col min="7943" max="7944" width="6.5703125" style="115" customWidth="1"/>
    <col min="7945" max="7946" width="10.28515625" style="115" customWidth="1"/>
    <col min="7947" max="7947" width="11" style="115" customWidth="1"/>
    <col min="7948" max="7948" width="13.28515625" style="115" customWidth="1"/>
    <col min="7949" max="7949" width="11.5703125" style="115" bestFit="1" customWidth="1"/>
    <col min="7950" max="8196" width="9.140625" style="115"/>
    <col min="8197" max="8197" width="7.28515625" style="115" customWidth="1"/>
    <col min="8198" max="8198" width="35.42578125" style="115" customWidth="1"/>
    <col min="8199" max="8200" width="6.5703125" style="115" customWidth="1"/>
    <col min="8201" max="8202" width="10.28515625" style="115" customWidth="1"/>
    <col min="8203" max="8203" width="11" style="115" customWidth="1"/>
    <col min="8204" max="8204" width="13.28515625" style="115" customWidth="1"/>
    <col min="8205" max="8205" width="11.5703125" style="115" bestFit="1" customWidth="1"/>
    <col min="8206" max="8452" width="9.140625" style="115"/>
    <col min="8453" max="8453" width="7.28515625" style="115" customWidth="1"/>
    <col min="8454" max="8454" width="35.42578125" style="115" customWidth="1"/>
    <col min="8455" max="8456" width="6.5703125" style="115" customWidth="1"/>
    <col min="8457" max="8458" width="10.28515625" style="115" customWidth="1"/>
    <col min="8459" max="8459" width="11" style="115" customWidth="1"/>
    <col min="8460" max="8460" width="13.28515625" style="115" customWidth="1"/>
    <col min="8461" max="8461" width="11.5703125" style="115" bestFit="1" customWidth="1"/>
    <col min="8462" max="8708" width="9.140625" style="115"/>
    <col min="8709" max="8709" width="7.28515625" style="115" customWidth="1"/>
    <col min="8710" max="8710" width="35.42578125" style="115" customWidth="1"/>
    <col min="8711" max="8712" width="6.5703125" style="115" customWidth="1"/>
    <col min="8713" max="8714" width="10.28515625" style="115" customWidth="1"/>
    <col min="8715" max="8715" width="11" style="115" customWidth="1"/>
    <col min="8716" max="8716" width="13.28515625" style="115" customWidth="1"/>
    <col min="8717" max="8717" width="11.5703125" style="115" bestFit="1" customWidth="1"/>
    <col min="8718" max="8964" width="9.140625" style="115"/>
    <col min="8965" max="8965" width="7.28515625" style="115" customWidth="1"/>
    <col min="8966" max="8966" width="35.42578125" style="115" customWidth="1"/>
    <col min="8967" max="8968" width="6.5703125" style="115" customWidth="1"/>
    <col min="8969" max="8970" width="10.28515625" style="115" customWidth="1"/>
    <col min="8971" max="8971" width="11" style="115" customWidth="1"/>
    <col min="8972" max="8972" width="13.28515625" style="115" customWidth="1"/>
    <col min="8973" max="8973" width="11.5703125" style="115" bestFit="1" customWidth="1"/>
    <col min="8974" max="9220" width="9.140625" style="115"/>
    <col min="9221" max="9221" width="7.28515625" style="115" customWidth="1"/>
    <col min="9222" max="9222" width="35.42578125" style="115" customWidth="1"/>
    <col min="9223" max="9224" width="6.5703125" style="115" customWidth="1"/>
    <col min="9225" max="9226" width="10.28515625" style="115" customWidth="1"/>
    <col min="9227" max="9227" width="11" style="115" customWidth="1"/>
    <col min="9228" max="9228" width="13.28515625" style="115" customWidth="1"/>
    <col min="9229" max="9229" width="11.5703125" style="115" bestFit="1" customWidth="1"/>
    <col min="9230" max="9476" width="9.140625" style="115"/>
    <col min="9477" max="9477" width="7.28515625" style="115" customWidth="1"/>
    <col min="9478" max="9478" width="35.42578125" style="115" customWidth="1"/>
    <col min="9479" max="9480" width="6.5703125" style="115" customWidth="1"/>
    <col min="9481" max="9482" width="10.28515625" style="115" customWidth="1"/>
    <col min="9483" max="9483" width="11" style="115" customWidth="1"/>
    <col min="9484" max="9484" width="13.28515625" style="115" customWidth="1"/>
    <col min="9485" max="9485" width="11.5703125" style="115" bestFit="1" customWidth="1"/>
    <col min="9486" max="9732" width="9.140625" style="115"/>
    <col min="9733" max="9733" width="7.28515625" style="115" customWidth="1"/>
    <col min="9734" max="9734" width="35.42578125" style="115" customWidth="1"/>
    <col min="9735" max="9736" width="6.5703125" style="115" customWidth="1"/>
    <col min="9737" max="9738" width="10.28515625" style="115" customWidth="1"/>
    <col min="9739" max="9739" width="11" style="115" customWidth="1"/>
    <col min="9740" max="9740" width="13.28515625" style="115" customWidth="1"/>
    <col min="9741" max="9741" width="11.5703125" style="115" bestFit="1" customWidth="1"/>
    <col min="9742" max="9988" width="9.140625" style="115"/>
    <col min="9989" max="9989" width="7.28515625" style="115" customWidth="1"/>
    <col min="9990" max="9990" width="35.42578125" style="115" customWidth="1"/>
    <col min="9991" max="9992" width="6.5703125" style="115" customWidth="1"/>
    <col min="9993" max="9994" width="10.28515625" style="115" customWidth="1"/>
    <col min="9995" max="9995" width="11" style="115" customWidth="1"/>
    <col min="9996" max="9996" width="13.28515625" style="115" customWidth="1"/>
    <col min="9997" max="9997" width="11.5703125" style="115" bestFit="1" customWidth="1"/>
    <col min="9998" max="10244" width="9.140625" style="115"/>
    <col min="10245" max="10245" width="7.28515625" style="115" customWidth="1"/>
    <col min="10246" max="10246" width="35.42578125" style="115" customWidth="1"/>
    <col min="10247" max="10248" width="6.5703125" style="115" customWidth="1"/>
    <col min="10249" max="10250" width="10.28515625" style="115" customWidth="1"/>
    <col min="10251" max="10251" width="11" style="115" customWidth="1"/>
    <col min="10252" max="10252" width="13.28515625" style="115" customWidth="1"/>
    <col min="10253" max="10253" width="11.5703125" style="115" bestFit="1" customWidth="1"/>
    <col min="10254" max="10500" width="9.140625" style="115"/>
    <col min="10501" max="10501" width="7.28515625" style="115" customWidth="1"/>
    <col min="10502" max="10502" width="35.42578125" style="115" customWidth="1"/>
    <col min="10503" max="10504" width="6.5703125" style="115" customWidth="1"/>
    <col min="10505" max="10506" width="10.28515625" style="115" customWidth="1"/>
    <col min="10507" max="10507" width="11" style="115" customWidth="1"/>
    <col min="10508" max="10508" width="13.28515625" style="115" customWidth="1"/>
    <col min="10509" max="10509" width="11.5703125" style="115" bestFit="1" customWidth="1"/>
    <col min="10510" max="10756" width="9.140625" style="115"/>
    <col min="10757" max="10757" width="7.28515625" style="115" customWidth="1"/>
    <col min="10758" max="10758" width="35.42578125" style="115" customWidth="1"/>
    <col min="10759" max="10760" width="6.5703125" style="115" customWidth="1"/>
    <col min="10761" max="10762" width="10.28515625" style="115" customWidth="1"/>
    <col min="10763" max="10763" width="11" style="115" customWidth="1"/>
    <col min="10764" max="10764" width="13.28515625" style="115" customWidth="1"/>
    <col min="10765" max="10765" width="11.5703125" style="115" bestFit="1" customWidth="1"/>
    <col min="10766" max="11012" width="9.140625" style="115"/>
    <col min="11013" max="11013" width="7.28515625" style="115" customWidth="1"/>
    <col min="11014" max="11014" width="35.42578125" style="115" customWidth="1"/>
    <col min="11015" max="11016" width="6.5703125" style="115" customWidth="1"/>
    <col min="11017" max="11018" width="10.28515625" style="115" customWidth="1"/>
    <col min="11019" max="11019" width="11" style="115" customWidth="1"/>
    <col min="11020" max="11020" width="13.28515625" style="115" customWidth="1"/>
    <col min="11021" max="11021" width="11.5703125" style="115" bestFit="1" customWidth="1"/>
    <col min="11022" max="11268" width="9.140625" style="115"/>
    <col min="11269" max="11269" width="7.28515625" style="115" customWidth="1"/>
    <col min="11270" max="11270" width="35.42578125" style="115" customWidth="1"/>
    <col min="11271" max="11272" width="6.5703125" style="115" customWidth="1"/>
    <col min="11273" max="11274" width="10.28515625" style="115" customWidth="1"/>
    <col min="11275" max="11275" width="11" style="115" customWidth="1"/>
    <col min="11276" max="11276" width="13.28515625" style="115" customWidth="1"/>
    <col min="11277" max="11277" width="11.5703125" style="115" bestFit="1" customWidth="1"/>
    <col min="11278" max="11524" width="9.140625" style="115"/>
    <col min="11525" max="11525" width="7.28515625" style="115" customWidth="1"/>
    <col min="11526" max="11526" width="35.42578125" style="115" customWidth="1"/>
    <col min="11527" max="11528" width="6.5703125" style="115" customWidth="1"/>
    <col min="11529" max="11530" width="10.28515625" style="115" customWidth="1"/>
    <col min="11531" max="11531" width="11" style="115" customWidth="1"/>
    <col min="11532" max="11532" width="13.28515625" style="115" customWidth="1"/>
    <col min="11533" max="11533" width="11.5703125" style="115" bestFit="1" customWidth="1"/>
    <col min="11534" max="11780" width="9.140625" style="115"/>
    <col min="11781" max="11781" width="7.28515625" style="115" customWidth="1"/>
    <col min="11782" max="11782" width="35.42578125" style="115" customWidth="1"/>
    <col min="11783" max="11784" width="6.5703125" style="115" customWidth="1"/>
    <col min="11785" max="11786" width="10.28515625" style="115" customWidth="1"/>
    <col min="11787" max="11787" width="11" style="115" customWidth="1"/>
    <col min="11788" max="11788" width="13.28515625" style="115" customWidth="1"/>
    <col min="11789" max="11789" width="11.5703125" style="115" bestFit="1" customWidth="1"/>
    <col min="11790" max="12036" width="9.140625" style="115"/>
    <col min="12037" max="12037" width="7.28515625" style="115" customWidth="1"/>
    <col min="12038" max="12038" width="35.42578125" style="115" customWidth="1"/>
    <col min="12039" max="12040" width="6.5703125" style="115" customWidth="1"/>
    <col min="12041" max="12042" width="10.28515625" style="115" customWidth="1"/>
    <col min="12043" max="12043" width="11" style="115" customWidth="1"/>
    <col min="12044" max="12044" width="13.28515625" style="115" customWidth="1"/>
    <col min="12045" max="12045" width="11.5703125" style="115" bestFit="1" customWidth="1"/>
    <col min="12046" max="12292" width="9.140625" style="115"/>
    <col min="12293" max="12293" width="7.28515625" style="115" customWidth="1"/>
    <col min="12294" max="12294" width="35.42578125" style="115" customWidth="1"/>
    <col min="12295" max="12296" width="6.5703125" style="115" customWidth="1"/>
    <col min="12297" max="12298" width="10.28515625" style="115" customWidth="1"/>
    <col min="12299" max="12299" width="11" style="115" customWidth="1"/>
    <col min="12300" max="12300" width="13.28515625" style="115" customWidth="1"/>
    <col min="12301" max="12301" width="11.5703125" style="115" bestFit="1" customWidth="1"/>
    <col min="12302" max="12548" width="9.140625" style="115"/>
    <col min="12549" max="12549" width="7.28515625" style="115" customWidth="1"/>
    <col min="12550" max="12550" width="35.42578125" style="115" customWidth="1"/>
    <col min="12551" max="12552" width="6.5703125" style="115" customWidth="1"/>
    <col min="12553" max="12554" width="10.28515625" style="115" customWidth="1"/>
    <col min="12555" max="12555" width="11" style="115" customWidth="1"/>
    <col min="12556" max="12556" width="13.28515625" style="115" customWidth="1"/>
    <col min="12557" max="12557" width="11.5703125" style="115" bestFit="1" customWidth="1"/>
    <col min="12558" max="12804" width="9.140625" style="115"/>
    <col min="12805" max="12805" width="7.28515625" style="115" customWidth="1"/>
    <col min="12806" max="12806" width="35.42578125" style="115" customWidth="1"/>
    <col min="12807" max="12808" width="6.5703125" style="115" customWidth="1"/>
    <col min="12809" max="12810" width="10.28515625" style="115" customWidth="1"/>
    <col min="12811" max="12811" width="11" style="115" customWidth="1"/>
    <col min="12812" max="12812" width="13.28515625" style="115" customWidth="1"/>
    <col min="12813" max="12813" width="11.5703125" style="115" bestFit="1" customWidth="1"/>
    <col min="12814" max="13060" width="9.140625" style="115"/>
    <col min="13061" max="13061" width="7.28515625" style="115" customWidth="1"/>
    <col min="13062" max="13062" width="35.42578125" style="115" customWidth="1"/>
    <col min="13063" max="13064" width="6.5703125" style="115" customWidth="1"/>
    <col min="13065" max="13066" width="10.28515625" style="115" customWidth="1"/>
    <col min="13067" max="13067" width="11" style="115" customWidth="1"/>
    <col min="13068" max="13068" width="13.28515625" style="115" customWidth="1"/>
    <col min="13069" max="13069" width="11.5703125" style="115" bestFit="1" customWidth="1"/>
    <col min="13070" max="13316" width="9.140625" style="115"/>
    <col min="13317" max="13317" width="7.28515625" style="115" customWidth="1"/>
    <col min="13318" max="13318" width="35.42578125" style="115" customWidth="1"/>
    <col min="13319" max="13320" width="6.5703125" style="115" customWidth="1"/>
    <col min="13321" max="13322" width="10.28515625" style="115" customWidth="1"/>
    <col min="13323" max="13323" width="11" style="115" customWidth="1"/>
    <col min="13324" max="13324" width="13.28515625" style="115" customWidth="1"/>
    <col min="13325" max="13325" width="11.5703125" style="115" bestFit="1" customWidth="1"/>
    <col min="13326" max="13572" width="9.140625" style="115"/>
    <col min="13573" max="13573" width="7.28515625" style="115" customWidth="1"/>
    <col min="13574" max="13574" width="35.42578125" style="115" customWidth="1"/>
    <col min="13575" max="13576" width="6.5703125" style="115" customWidth="1"/>
    <col min="13577" max="13578" width="10.28515625" style="115" customWidth="1"/>
    <col min="13579" max="13579" width="11" style="115" customWidth="1"/>
    <col min="13580" max="13580" width="13.28515625" style="115" customWidth="1"/>
    <col min="13581" max="13581" width="11.5703125" style="115" bestFit="1" customWidth="1"/>
    <col min="13582" max="13828" width="9.140625" style="115"/>
    <col min="13829" max="13829" width="7.28515625" style="115" customWidth="1"/>
    <col min="13830" max="13830" width="35.42578125" style="115" customWidth="1"/>
    <col min="13831" max="13832" width="6.5703125" style="115" customWidth="1"/>
    <col min="13833" max="13834" width="10.28515625" style="115" customWidth="1"/>
    <col min="13835" max="13835" width="11" style="115" customWidth="1"/>
    <col min="13836" max="13836" width="13.28515625" style="115" customWidth="1"/>
    <col min="13837" max="13837" width="11.5703125" style="115" bestFit="1" customWidth="1"/>
    <col min="13838" max="14084" width="9.140625" style="115"/>
    <col min="14085" max="14085" width="7.28515625" style="115" customWidth="1"/>
    <col min="14086" max="14086" width="35.42578125" style="115" customWidth="1"/>
    <col min="14087" max="14088" width="6.5703125" style="115" customWidth="1"/>
    <col min="14089" max="14090" width="10.28515625" style="115" customWidth="1"/>
    <col min="14091" max="14091" width="11" style="115" customWidth="1"/>
    <col min="14092" max="14092" width="13.28515625" style="115" customWidth="1"/>
    <col min="14093" max="14093" width="11.5703125" style="115" bestFit="1" customWidth="1"/>
    <col min="14094" max="14340" width="9.140625" style="115"/>
    <col min="14341" max="14341" width="7.28515625" style="115" customWidth="1"/>
    <col min="14342" max="14342" width="35.42578125" style="115" customWidth="1"/>
    <col min="14343" max="14344" width="6.5703125" style="115" customWidth="1"/>
    <col min="14345" max="14346" width="10.28515625" style="115" customWidth="1"/>
    <col min="14347" max="14347" width="11" style="115" customWidth="1"/>
    <col min="14348" max="14348" width="13.28515625" style="115" customWidth="1"/>
    <col min="14349" max="14349" width="11.5703125" style="115" bestFit="1" customWidth="1"/>
    <col min="14350" max="14596" width="9.140625" style="115"/>
    <col min="14597" max="14597" width="7.28515625" style="115" customWidth="1"/>
    <col min="14598" max="14598" width="35.42578125" style="115" customWidth="1"/>
    <col min="14599" max="14600" width="6.5703125" style="115" customWidth="1"/>
    <col min="14601" max="14602" width="10.28515625" style="115" customWidth="1"/>
    <col min="14603" max="14603" width="11" style="115" customWidth="1"/>
    <col min="14604" max="14604" width="13.28515625" style="115" customWidth="1"/>
    <col min="14605" max="14605" width="11.5703125" style="115" bestFit="1" customWidth="1"/>
    <col min="14606" max="14852" width="9.140625" style="115"/>
    <col min="14853" max="14853" width="7.28515625" style="115" customWidth="1"/>
    <col min="14854" max="14854" width="35.42578125" style="115" customWidth="1"/>
    <col min="14855" max="14856" width="6.5703125" style="115" customWidth="1"/>
    <col min="14857" max="14858" width="10.28515625" style="115" customWidth="1"/>
    <col min="14859" max="14859" width="11" style="115" customWidth="1"/>
    <col min="14860" max="14860" width="13.28515625" style="115" customWidth="1"/>
    <col min="14861" max="14861" width="11.5703125" style="115" bestFit="1" customWidth="1"/>
    <col min="14862" max="15108" width="9.140625" style="115"/>
    <col min="15109" max="15109" width="7.28515625" style="115" customWidth="1"/>
    <col min="15110" max="15110" width="35.42578125" style="115" customWidth="1"/>
    <col min="15111" max="15112" width="6.5703125" style="115" customWidth="1"/>
    <col min="15113" max="15114" width="10.28515625" style="115" customWidth="1"/>
    <col min="15115" max="15115" width="11" style="115" customWidth="1"/>
    <col min="15116" max="15116" width="13.28515625" style="115" customWidth="1"/>
    <col min="15117" max="15117" width="11.5703125" style="115" bestFit="1" customWidth="1"/>
    <col min="15118" max="15364" width="9.140625" style="115"/>
    <col min="15365" max="15365" width="7.28515625" style="115" customWidth="1"/>
    <col min="15366" max="15366" width="35.42578125" style="115" customWidth="1"/>
    <col min="15367" max="15368" width="6.5703125" style="115" customWidth="1"/>
    <col min="15369" max="15370" width="10.28515625" style="115" customWidth="1"/>
    <col min="15371" max="15371" width="11" style="115" customWidth="1"/>
    <col min="15372" max="15372" width="13.28515625" style="115" customWidth="1"/>
    <col min="15373" max="15373" width="11.5703125" style="115" bestFit="1" customWidth="1"/>
    <col min="15374" max="15620" width="9.140625" style="115"/>
    <col min="15621" max="15621" width="7.28515625" style="115" customWidth="1"/>
    <col min="15622" max="15622" width="35.42578125" style="115" customWidth="1"/>
    <col min="15623" max="15624" width="6.5703125" style="115" customWidth="1"/>
    <col min="15625" max="15626" width="10.28515625" style="115" customWidth="1"/>
    <col min="15627" max="15627" width="11" style="115" customWidth="1"/>
    <col min="15628" max="15628" width="13.28515625" style="115" customWidth="1"/>
    <col min="15629" max="15629" width="11.5703125" style="115" bestFit="1" customWidth="1"/>
    <col min="15630" max="15876" width="9.140625" style="115"/>
    <col min="15877" max="15877" width="7.28515625" style="115" customWidth="1"/>
    <col min="15878" max="15878" width="35.42578125" style="115" customWidth="1"/>
    <col min="15879" max="15880" width="6.5703125" style="115" customWidth="1"/>
    <col min="15881" max="15882" width="10.28515625" style="115" customWidth="1"/>
    <col min="15883" max="15883" width="11" style="115" customWidth="1"/>
    <col min="15884" max="15884" width="13.28515625" style="115" customWidth="1"/>
    <col min="15885" max="15885" width="11.5703125" style="115" bestFit="1" customWidth="1"/>
    <col min="15886" max="16132" width="9.140625" style="115"/>
    <col min="16133" max="16133" width="7.28515625" style="115" customWidth="1"/>
    <col min="16134" max="16134" width="35.42578125" style="115" customWidth="1"/>
    <col min="16135" max="16136" width="6.5703125" style="115" customWidth="1"/>
    <col min="16137" max="16138" width="10.28515625" style="115" customWidth="1"/>
    <col min="16139" max="16139" width="11" style="115" customWidth="1"/>
    <col min="16140" max="16140" width="13.28515625" style="115" customWidth="1"/>
    <col min="16141" max="16141" width="11.5703125" style="115" bestFit="1" customWidth="1"/>
    <col min="16142" max="16384" width="9.140625" style="115"/>
  </cols>
  <sheetData>
    <row r="2" spans="1:11" ht="17.25" customHeight="1">
      <c r="A2" s="1668"/>
      <c r="B2" s="1668"/>
      <c r="C2" s="1668"/>
      <c r="D2" s="1668"/>
      <c r="E2" s="1668"/>
      <c r="F2" s="1668"/>
      <c r="G2" s="1668"/>
      <c r="H2" s="1668"/>
      <c r="I2" s="1668"/>
      <c r="J2" s="1668"/>
      <c r="K2" s="1301"/>
    </row>
    <row r="3" spans="1:11" ht="49.5" customHeight="1">
      <c r="A3" s="1668"/>
      <c r="B3" s="1668"/>
      <c r="C3" s="1668"/>
      <c r="D3" s="1668"/>
      <c r="E3" s="1668"/>
      <c r="F3" s="1668"/>
      <c r="G3" s="1668"/>
      <c r="H3" s="1668"/>
      <c r="I3" s="1668"/>
      <c r="J3" s="1668"/>
      <c r="K3" s="1301"/>
    </row>
    <row r="4" spans="1:11">
      <c r="A4" s="1668"/>
      <c r="B4" s="1668"/>
      <c r="C4" s="1668"/>
      <c r="D4" s="1668"/>
      <c r="E4" s="1668"/>
      <c r="F4" s="1668"/>
      <c r="G4" s="1668"/>
      <c r="H4" s="1668"/>
      <c r="I4" s="1668"/>
      <c r="J4" s="1668"/>
      <c r="K4" s="1301"/>
    </row>
    <row r="5" spans="1:11">
      <c r="A5" s="116"/>
      <c r="B5" s="1326"/>
      <c r="C5" s="116"/>
      <c r="D5" s="117" t="s">
        <v>10</v>
      </c>
      <c r="E5" s="118"/>
      <c r="F5" s="118"/>
      <c r="G5" s="118"/>
      <c r="H5" s="118"/>
      <c r="I5" s="118"/>
      <c r="J5" s="118"/>
      <c r="K5" s="119"/>
    </row>
    <row r="6" spans="1:11">
      <c r="A6" s="120"/>
      <c r="B6" s="210" t="s">
        <v>162</v>
      </c>
      <c r="C6" s="121" t="s">
        <v>171</v>
      </c>
      <c r="D6" s="122">
        <v>2</v>
      </c>
      <c r="E6" s="120"/>
      <c r="F6" s="120"/>
      <c r="G6" s="120"/>
      <c r="H6" s="120"/>
      <c r="I6" s="1303"/>
      <c r="J6" s="1303"/>
    </row>
    <row r="7" spans="1:11">
      <c r="A7" s="125"/>
      <c r="B7" s="210" t="s">
        <v>162</v>
      </c>
      <c r="C7" s="116" t="s">
        <v>172</v>
      </c>
      <c r="D7" s="117">
        <v>0.1</v>
      </c>
      <c r="E7" s="125"/>
      <c r="F7" s="125"/>
      <c r="G7" s="125"/>
      <c r="H7" s="125"/>
      <c r="I7" s="126"/>
      <c r="J7" s="126"/>
    </row>
    <row r="8" spans="1:11">
      <c r="A8" s="125"/>
      <c r="B8" s="210" t="s">
        <v>162</v>
      </c>
      <c r="C8" s="116" t="s">
        <v>173</v>
      </c>
      <c r="D8" s="117">
        <v>0.1</v>
      </c>
      <c r="E8" s="125"/>
      <c r="F8" s="125"/>
      <c r="G8" s="125"/>
      <c r="H8" s="125"/>
      <c r="I8" s="126"/>
      <c r="J8" s="126"/>
    </row>
    <row r="9" spans="1:11">
      <c r="A9" s="116"/>
      <c r="B9" s="210" t="s">
        <v>162</v>
      </c>
      <c r="C9" s="116" t="s">
        <v>174</v>
      </c>
      <c r="D9" s="117">
        <v>0.45</v>
      </c>
      <c r="E9" s="118"/>
      <c r="F9" s="118"/>
      <c r="G9" s="118"/>
      <c r="H9" s="118"/>
      <c r="I9" s="118"/>
      <c r="J9" s="118"/>
      <c r="K9" s="119"/>
    </row>
    <row r="10" spans="1:11">
      <c r="A10" s="116"/>
      <c r="B10" s="1326" t="s">
        <v>175</v>
      </c>
      <c r="C10" s="116" t="s">
        <v>174</v>
      </c>
      <c r="D10" s="117">
        <v>0.6</v>
      </c>
      <c r="E10" s="118"/>
      <c r="F10" s="118"/>
      <c r="G10" s="118"/>
      <c r="H10" s="118"/>
      <c r="I10" s="118"/>
      <c r="J10" s="118"/>
      <c r="K10" s="119"/>
    </row>
    <row r="11" spans="1:11">
      <c r="A11" s="116"/>
      <c r="B11" s="1326" t="s">
        <v>176</v>
      </c>
      <c r="C11" s="121" t="s">
        <v>171</v>
      </c>
      <c r="D11" s="117">
        <v>0.5</v>
      </c>
      <c r="E11" s="118"/>
      <c r="F11" s="118"/>
      <c r="G11" s="118"/>
      <c r="H11" s="118"/>
      <c r="I11" s="118"/>
      <c r="J11" s="118"/>
      <c r="K11" s="119"/>
    </row>
    <row r="12" spans="1:11">
      <c r="A12" s="116"/>
      <c r="B12" s="1326" t="s">
        <v>176</v>
      </c>
      <c r="C12" s="116" t="s">
        <v>172</v>
      </c>
      <c r="D12" s="117">
        <v>0.1</v>
      </c>
      <c r="E12" s="118"/>
      <c r="F12" s="118"/>
      <c r="G12" s="118"/>
      <c r="H12" s="118"/>
      <c r="I12" s="118"/>
      <c r="J12" s="118"/>
      <c r="K12" s="119"/>
    </row>
    <row r="13" spans="1:11">
      <c r="A13" s="116"/>
      <c r="B13" s="1326" t="s">
        <v>176</v>
      </c>
      <c r="C13" s="116" t="s">
        <v>173</v>
      </c>
      <c r="D13" s="117">
        <v>0.1</v>
      </c>
      <c r="E13" s="118"/>
      <c r="F13" s="118"/>
      <c r="G13" s="118"/>
      <c r="H13" s="118"/>
      <c r="I13" s="118"/>
      <c r="J13" s="118"/>
      <c r="K13" s="119"/>
    </row>
    <row r="14" spans="1:11">
      <c r="A14" s="116"/>
      <c r="B14" s="1326" t="s">
        <v>176</v>
      </c>
      <c r="C14" s="116" t="s">
        <v>174</v>
      </c>
      <c r="D14" s="117">
        <v>0.3</v>
      </c>
      <c r="E14" s="118"/>
      <c r="F14" s="118"/>
      <c r="G14" s="118"/>
      <c r="H14" s="118"/>
      <c r="I14" s="118"/>
      <c r="J14" s="118"/>
      <c r="K14" s="119"/>
    </row>
    <row r="15" spans="1:11">
      <c r="A15" s="116"/>
      <c r="B15" s="1326" t="s">
        <v>177</v>
      </c>
      <c r="C15" s="116" t="s">
        <v>174</v>
      </c>
      <c r="D15" s="117">
        <v>0.3</v>
      </c>
      <c r="E15" s="127">
        <f>D15+D17+D16</f>
        <v>0.56999999999999995</v>
      </c>
      <c r="F15" s="118"/>
      <c r="G15" s="127">
        <f>D15+D16+D17</f>
        <v>0.56999999999999995</v>
      </c>
      <c r="H15" s="118"/>
      <c r="I15" s="118"/>
      <c r="J15" s="118"/>
      <c r="K15" s="119"/>
    </row>
    <row r="16" spans="1:11">
      <c r="A16" s="116"/>
      <c r="B16" s="1326" t="s">
        <v>178</v>
      </c>
      <c r="C16" s="116" t="s">
        <v>174</v>
      </c>
      <c r="D16" s="117">
        <v>0.15</v>
      </c>
      <c r="E16" s="118"/>
      <c r="F16" s="118"/>
      <c r="G16" s="118"/>
      <c r="H16" s="118"/>
      <c r="I16" s="118"/>
      <c r="J16" s="118"/>
      <c r="K16" s="119"/>
    </row>
    <row r="17" spans="1:11">
      <c r="A17" s="116"/>
      <c r="B17" s="1326" t="s">
        <v>179</v>
      </c>
      <c r="C17" s="116" t="s">
        <v>174</v>
      </c>
      <c r="D17" s="117">
        <v>0.12</v>
      </c>
      <c r="E17" s="118"/>
      <c r="F17" s="118"/>
      <c r="G17" s="118"/>
      <c r="H17" s="118"/>
      <c r="I17" s="118"/>
      <c r="J17" s="118"/>
      <c r="K17" s="119"/>
    </row>
    <row r="18" spans="1:11">
      <c r="A18" s="116"/>
      <c r="B18" s="1326" t="s">
        <v>180</v>
      </c>
      <c r="C18" s="116" t="s">
        <v>181</v>
      </c>
      <c r="D18" s="117">
        <f>D15</f>
        <v>0.3</v>
      </c>
      <c r="E18" s="118"/>
      <c r="F18" s="118"/>
      <c r="G18" s="118"/>
      <c r="H18" s="118"/>
      <c r="I18" s="118"/>
      <c r="J18" s="118"/>
      <c r="K18" s="119"/>
    </row>
    <row r="19" spans="1:11">
      <c r="A19" s="116"/>
      <c r="B19" s="1326" t="s">
        <v>182</v>
      </c>
      <c r="C19" s="116" t="s">
        <v>181</v>
      </c>
      <c r="D19" s="117">
        <v>0.12</v>
      </c>
      <c r="E19" s="118"/>
      <c r="F19" s="118"/>
      <c r="G19" s="118"/>
      <c r="H19" s="118"/>
      <c r="I19" s="118"/>
      <c r="J19" s="118"/>
      <c r="K19" s="119"/>
    </row>
    <row r="20" spans="1:11" ht="35.25" customHeight="1">
      <c r="A20" s="116"/>
      <c r="B20" s="1326" t="s">
        <v>183</v>
      </c>
      <c r="C20" s="116" t="s">
        <v>184</v>
      </c>
      <c r="D20" s="117">
        <f>D15+D16+D17</f>
        <v>0.56999999999999995</v>
      </c>
      <c r="E20" s="118"/>
      <c r="F20" s="118"/>
      <c r="G20" s="118"/>
      <c r="H20" s="118"/>
      <c r="I20" s="118"/>
      <c r="J20" s="118"/>
      <c r="K20" s="119"/>
    </row>
    <row r="21" spans="1:11" ht="29.25" customHeight="1">
      <c r="A21" s="116"/>
      <c r="B21" s="1326" t="s">
        <v>185</v>
      </c>
      <c r="C21" s="116"/>
      <c r="D21" s="117">
        <f>E15/0.15</f>
        <v>3.8</v>
      </c>
      <c r="E21" s="118"/>
      <c r="F21" s="118"/>
      <c r="G21" s="1300"/>
      <c r="H21" s="1300"/>
      <c r="I21" s="118"/>
      <c r="J21" s="118"/>
      <c r="K21" s="119"/>
    </row>
    <row r="22" spans="1:11" ht="29.25" customHeight="1">
      <c r="A22" s="116"/>
      <c r="B22" s="1326"/>
      <c r="C22" s="116"/>
      <c r="D22" s="117"/>
      <c r="E22" s="118"/>
      <c r="F22" s="118"/>
      <c r="G22" s="128" t="s">
        <v>15</v>
      </c>
      <c r="H22" s="129" t="s">
        <v>16</v>
      </c>
      <c r="I22" s="118"/>
      <c r="J22" s="118"/>
      <c r="K22" s="119"/>
    </row>
    <row r="23" spans="1:11" ht="29.25" customHeight="1">
      <c r="A23" s="116"/>
      <c r="B23" s="1326"/>
      <c r="C23" s="116"/>
      <c r="D23" s="117"/>
      <c r="E23" s="118"/>
      <c r="F23" s="118"/>
      <c r="G23" s="130" t="s">
        <v>5685</v>
      </c>
      <c r="H23" s="131">
        <v>0.38</v>
      </c>
      <c r="I23" s="118"/>
      <c r="J23" s="118"/>
      <c r="K23" s="119"/>
    </row>
    <row r="24" spans="1:11" ht="29.25" customHeight="1">
      <c r="A24" s="116"/>
      <c r="B24" s="1308"/>
      <c r="C24" s="119"/>
      <c r="D24" s="132"/>
      <c r="E24" s="118"/>
      <c r="F24" s="118"/>
      <c r="G24" s="130" t="s">
        <v>186</v>
      </c>
      <c r="H24" s="133">
        <v>0.38</v>
      </c>
      <c r="I24" s="118"/>
      <c r="J24" s="118"/>
      <c r="K24" s="119"/>
    </row>
    <row r="25" spans="1:11" ht="29.25" customHeight="1">
      <c r="A25" s="116"/>
      <c r="B25" s="1327" t="s">
        <v>15</v>
      </c>
      <c r="C25" s="134" t="s">
        <v>16</v>
      </c>
      <c r="D25" s="135" t="s">
        <v>17</v>
      </c>
      <c r="E25" s="118"/>
      <c r="F25" s="118"/>
      <c r="G25" s="130" t="s">
        <v>187</v>
      </c>
      <c r="H25" s="133">
        <v>0.3</v>
      </c>
      <c r="I25" s="118"/>
      <c r="J25" s="118"/>
      <c r="K25" s="119"/>
    </row>
    <row r="26" spans="1:11" ht="29.25" customHeight="1">
      <c r="A26" s="116"/>
      <c r="B26" s="1328" t="s">
        <v>188</v>
      </c>
      <c r="C26" s="136"/>
      <c r="D26" s="137"/>
      <c r="E26" s="118"/>
      <c r="F26" s="118"/>
      <c r="G26" s="138"/>
      <c r="H26" s="133"/>
      <c r="I26" s="118"/>
      <c r="J26" s="118"/>
      <c r="K26" s="119"/>
    </row>
    <row r="27" spans="1:11" ht="29.25" customHeight="1">
      <c r="A27" s="116"/>
      <c r="B27" s="1329" t="s">
        <v>189</v>
      </c>
      <c r="C27" s="139">
        <v>2</v>
      </c>
      <c r="D27" s="139">
        <v>2.4</v>
      </c>
      <c r="E27" s="118"/>
      <c r="F27" s="118"/>
      <c r="G27" s="1300"/>
      <c r="H27" s="1300"/>
      <c r="I27" s="118"/>
      <c r="J27" s="118"/>
      <c r="K27" s="119"/>
    </row>
    <row r="28" spans="1:11" ht="29.25" customHeight="1">
      <c r="A28" s="116"/>
      <c r="B28" s="1328" t="s">
        <v>190</v>
      </c>
      <c r="C28" s="137">
        <v>0.75</v>
      </c>
      <c r="D28" s="137">
        <v>2.1</v>
      </c>
      <c r="E28" s="118"/>
      <c r="F28" s="118"/>
      <c r="G28" s="1300"/>
      <c r="H28" s="1300"/>
      <c r="I28" s="118"/>
      <c r="J28" s="118"/>
      <c r="K28" s="119"/>
    </row>
    <row r="29" spans="1:11" ht="29.25" customHeight="1">
      <c r="A29" s="116"/>
      <c r="B29" s="1329" t="s">
        <v>191</v>
      </c>
      <c r="C29" s="139">
        <v>1</v>
      </c>
      <c r="D29" s="139">
        <v>2.4</v>
      </c>
      <c r="E29" s="118"/>
      <c r="F29" s="118"/>
      <c r="G29" s="1300"/>
      <c r="H29" s="1300"/>
      <c r="I29" s="118"/>
      <c r="J29" s="118"/>
      <c r="K29" s="119"/>
    </row>
    <row r="30" spans="1:11" ht="29.25" customHeight="1">
      <c r="A30" s="116"/>
      <c r="B30" s="1328" t="s">
        <v>192</v>
      </c>
      <c r="C30" s="137">
        <v>1.1000000000000001</v>
      </c>
      <c r="D30" s="137">
        <v>2.2999999999999998</v>
      </c>
      <c r="E30" s="118"/>
      <c r="F30" s="118"/>
      <c r="G30" s="1300"/>
      <c r="H30" s="1300"/>
      <c r="I30" s="118"/>
      <c r="J30" s="118"/>
      <c r="K30" s="119"/>
    </row>
    <row r="31" spans="1:11" ht="29.25" customHeight="1">
      <c r="A31" s="116"/>
      <c r="B31" s="1329" t="s">
        <v>25</v>
      </c>
      <c r="C31" s="139">
        <v>1.8</v>
      </c>
      <c r="D31" s="139">
        <v>2.4</v>
      </c>
      <c r="E31" s="118"/>
      <c r="F31" s="118"/>
      <c r="G31" s="1300"/>
      <c r="H31" s="1300"/>
      <c r="I31" s="118"/>
      <c r="J31" s="118"/>
      <c r="K31" s="119"/>
    </row>
    <row r="32" spans="1:11" ht="29.25" customHeight="1">
      <c r="A32" s="116"/>
      <c r="B32" s="1328" t="s">
        <v>193</v>
      </c>
      <c r="C32" s="137">
        <v>1.5</v>
      </c>
      <c r="D32" s="137">
        <v>2.4</v>
      </c>
      <c r="E32" s="118"/>
      <c r="F32" s="118"/>
      <c r="G32" s="1300"/>
      <c r="H32" s="1300"/>
      <c r="I32" s="118"/>
      <c r="J32" s="118"/>
      <c r="K32" s="119"/>
    </row>
    <row r="33" spans="1:11" ht="29.25" customHeight="1">
      <c r="A33" s="116"/>
      <c r="B33" s="1329" t="s">
        <v>194</v>
      </c>
      <c r="C33" s="139">
        <v>1.2</v>
      </c>
      <c r="D33" s="139">
        <v>2.4</v>
      </c>
      <c r="E33" s="118"/>
      <c r="F33" s="118"/>
      <c r="G33" s="1300"/>
      <c r="H33" s="1300"/>
      <c r="I33" s="118"/>
      <c r="J33" s="118"/>
      <c r="K33" s="119"/>
    </row>
    <row r="34" spans="1:11" ht="29.25" customHeight="1">
      <c r="A34" s="116"/>
      <c r="B34" s="1328" t="s">
        <v>195</v>
      </c>
      <c r="C34" s="137">
        <v>1</v>
      </c>
      <c r="D34" s="137">
        <v>2.4</v>
      </c>
      <c r="E34" s="118"/>
      <c r="F34" s="118"/>
      <c r="G34" s="1300"/>
      <c r="H34" s="1300"/>
      <c r="I34" s="118"/>
      <c r="J34" s="118"/>
      <c r="K34" s="119"/>
    </row>
    <row r="35" spans="1:11" ht="29.25" customHeight="1">
      <c r="A35" s="116"/>
      <c r="B35" s="1329" t="s">
        <v>196</v>
      </c>
      <c r="C35" s="139">
        <v>0.75</v>
      </c>
      <c r="D35" s="139">
        <v>2.4</v>
      </c>
      <c r="E35" s="118"/>
      <c r="F35" s="118"/>
      <c r="G35" s="1300"/>
      <c r="H35" s="1300"/>
      <c r="I35" s="118"/>
      <c r="J35" s="118"/>
      <c r="K35" s="119"/>
    </row>
    <row r="36" spans="1:11" ht="29.25" customHeight="1">
      <c r="A36" s="116"/>
      <c r="B36" s="1328" t="s">
        <v>188</v>
      </c>
      <c r="C36" s="137">
        <v>0.75</v>
      </c>
      <c r="D36" s="137">
        <v>2.1</v>
      </c>
      <c r="E36" s="118"/>
      <c r="F36" s="118"/>
      <c r="G36" s="1300"/>
      <c r="H36" s="1300"/>
      <c r="I36" s="118"/>
      <c r="J36" s="118"/>
      <c r="K36" s="119"/>
    </row>
    <row r="37" spans="1:11" ht="29.25" customHeight="1">
      <c r="A37" s="116"/>
      <c r="B37" s="1330" t="s">
        <v>197</v>
      </c>
      <c r="C37" s="140">
        <v>3.89</v>
      </c>
      <c r="D37" s="140">
        <v>3.15</v>
      </c>
      <c r="E37" s="118"/>
      <c r="F37" s="118"/>
      <c r="G37" s="1300"/>
      <c r="H37" s="1300"/>
      <c r="I37" s="118"/>
      <c r="J37" s="118"/>
      <c r="K37" s="119"/>
    </row>
    <row r="38" spans="1:11" ht="29.25" customHeight="1">
      <c r="A38" s="116"/>
      <c r="B38" s="1326"/>
      <c r="C38" s="117"/>
      <c r="D38" s="117"/>
      <c r="E38" s="118"/>
      <c r="F38" s="118"/>
      <c r="G38" s="1300"/>
      <c r="H38" s="1300"/>
      <c r="I38" s="118"/>
      <c r="J38" s="118"/>
      <c r="K38" s="119"/>
    </row>
    <row r="39" spans="1:11" ht="29.25" customHeight="1">
      <c r="A39" s="116"/>
      <c r="B39" s="1326"/>
      <c r="C39" s="117"/>
      <c r="D39" s="117"/>
      <c r="E39" s="118"/>
      <c r="F39" s="118"/>
      <c r="G39" s="118"/>
      <c r="H39" s="118"/>
      <c r="I39" s="118"/>
      <c r="J39" s="118"/>
      <c r="K39" s="119"/>
    </row>
    <row r="40" spans="1:11" ht="29.25" customHeight="1">
      <c r="A40" s="116"/>
      <c r="B40" s="1326"/>
      <c r="C40" s="117"/>
      <c r="D40" s="117"/>
      <c r="E40" s="118"/>
      <c r="F40" s="118"/>
      <c r="G40" s="118"/>
      <c r="H40" s="118"/>
      <c r="I40" s="118"/>
      <c r="J40" s="118"/>
      <c r="K40" s="119"/>
    </row>
    <row r="41" spans="1:11" ht="29.25" customHeight="1">
      <c r="A41" s="116"/>
      <c r="B41" s="1326" t="s">
        <v>5683</v>
      </c>
      <c r="C41" s="116"/>
      <c r="D41" s="117">
        <v>2</v>
      </c>
      <c r="E41" s="118"/>
      <c r="F41" s="118"/>
      <c r="G41" s="118"/>
      <c r="H41" s="118"/>
      <c r="I41" s="118"/>
      <c r="J41" s="118"/>
      <c r="K41" s="119"/>
    </row>
    <row r="42" spans="1:11">
      <c r="A42" s="116"/>
      <c r="B42" s="1326"/>
      <c r="C42" s="116"/>
      <c r="D42" s="117"/>
      <c r="E42" s="118"/>
      <c r="F42" s="118"/>
      <c r="G42" s="118"/>
      <c r="H42" s="118"/>
      <c r="I42" s="118"/>
      <c r="J42" s="118"/>
      <c r="K42" s="119"/>
    </row>
    <row r="43" spans="1:11">
      <c r="A43" s="116"/>
      <c r="B43" s="1326"/>
      <c r="C43" s="116"/>
      <c r="D43" s="117"/>
      <c r="E43" s="118"/>
      <c r="F43" s="118"/>
      <c r="G43" s="118"/>
      <c r="H43" s="118"/>
      <c r="I43" s="118"/>
      <c r="J43" s="118"/>
      <c r="K43" s="119"/>
    </row>
    <row r="44" spans="1:11">
      <c r="A44" s="1302" t="s">
        <v>198</v>
      </c>
      <c r="B44" s="1669" t="s">
        <v>199</v>
      </c>
      <c r="C44" s="1670"/>
      <c r="D44" s="1670"/>
      <c r="E44" s="1671" t="s">
        <v>13</v>
      </c>
      <c r="F44" s="1671"/>
      <c r="G44" s="1302" t="s">
        <v>200</v>
      </c>
      <c r="H44" s="1302" t="s">
        <v>201</v>
      </c>
      <c r="I44" s="142" t="s">
        <v>202</v>
      </c>
      <c r="J44" s="142" t="s">
        <v>14</v>
      </c>
      <c r="K44" s="143"/>
    </row>
    <row r="45" spans="1:11">
      <c r="A45" s="144"/>
      <c r="B45" s="1331" t="s">
        <v>203</v>
      </c>
      <c r="C45" s="121"/>
      <c r="D45" s="122"/>
      <c r="E45" s="120"/>
      <c r="F45" s="120"/>
      <c r="G45" s="120"/>
      <c r="H45" s="120"/>
      <c r="I45" s="1303"/>
      <c r="J45" s="1303"/>
    </row>
    <row r="46" spans="1:11">
      <c r="A46" s="120"/>
      <c r="B46" s="210" t="s">
        <v>204</v>
      </c>
      <c r="C46" s="121" t="s">
        <v>162</v>
      </c>
      <c r="D46" s="122" t="s">
        <v>205</v>
      </c>
      <c r="E46" s="120"/>
      <c r="F46" s="120"/>
      <c r="G46" s="120"/>
      <c r="H46" s="120"/>
      <c r="I46" s="1303"/>
      <c r="J46" s="1303"/>
    </row>
    <row r="47" spans="1:11">
      <c r="A47" s="120"/>
      <c r="B47" s="210" t="s">
        <v>206</v>
      </c>
      <c r="C47" s="121" t="s">
        <v>207</v>
      </c>
      <c r="D47" s="122" t="s">
        <v>205</v>
      </c>
      <c r="E47" s="120">
        <v>1</v>
      </c>
      <c r="F47" s="120">
        <v>3</v>
      </c>
      <c r="G47" s="1303">
        <f>1.2+0.4</f>
        <v>1.6</v>
      </c>
      <c r="H47" s="1303">
        <f>G47</f>
        <v>1.6</v>
      </c>
      <c r="I47" s="1303">
        <f>3.9-2+0.1-1</f>
        <v>1</v>
      </c>
      <c r="J47" s="1303">
        <f>PRODUCT(E47:I47)</f>
        <v>7.6800000000000015</v>
      </c>
    </row>
    <row r="48" spans="1:11">
      <c r="A48" s="120"/>
      <c r="B48" s="210" t="s">
        <v>208</v>
      </c>
      <c r="C48" s="121" t="s">
        <v>209</v>
      </c>
      <c r="D48" s="122" t="s">
        <v>205</v>
      </c>
      <c r="E48" s="120">
        <v>1</v>
      </c>
      <c r="F48" s="120">
        <v>11</v>
      </c>
      <c r="G48" s="1303">
        <f>1.6+0.4</f>
        <v>2</v>
      </c>
      <c r="H48" s="1303">
        <f>G48</f>
        <v>2</v>
      </c>
      <c r="I48" s="1349">
        <f t="shared" ref="I48:I51" si="0">3.9-2+0.1-1</f>
        <v>1</v>
      </c>
      <c r="J48" s="1303">
        <f>PRODUCT(E48:I48)</f>
        <v>44</v>
      </c>
    </row>
    <row r="49" spans="1:11">
      <c r="A49" s="120"/>
      <c r="B49" s="210" t="s">
        <v>210</v>
      </c>
      <c r="C49" s="121" t="s">
        <v>211</v>
      </c>
      <c r="D49" s="122" t="s">
        <v>205</v>
      </c>
      <c r="E49" s="120">
        <v>1</v>
      </c>
      <c r="F49" s="120">
        <v>9</v>
      </c>
      <c r="G49" s="1303">
        <f>1.8+0.4</f>
        <v>2.2000000000000002</v>
      </c>
      <c r="H49" s="1303">
        <f>G49</f>
        <v>2.2000000000000002</v>
      </c>
      <c r="I49" s="1349">
        <f t="shared" si="0"/>
        <v>1</v>
      </c>
      <c r="J49" s="1303">
        <f>PRODUCT(E49:I49)</f>
        <v>43.56</v>
      </c>
    </row>
    <row r="50" spans="1:11">
      <c r="A50" s="120"/>
      <c r="B50" s="210" t="s">
        <v>212</v>
      </c>
      <c r="C50" s="121" t="s">
        <v>213</v>
      </c>
      <c r="D50" s="122" t="s">
        <v>205</v>
      </c>
      <c r="E50" s="120">
        <v>1</v>
      </c>
      <c r="F50" s="120">
        <v>7</v>
      </c>
      <c r="G50" s="1303">
        <f>2.1+0.4</f>
        <v>2.5</v>
      </c>
      <c r="H50" s="1303">
        <f>G50</f>
        <v>2.5</v>
      </c>
      <c r="I50" s="1349">
        <f t="shared" si="0"/>
        <v>1</v>
      </c>
      <c r="J50" s="1303">
        <f>PRODUCT(E50:I50)</f>
        <v>43.75</v>
      </c>
    </row>
    <row r="51" spans="1:11">
      <c r="A51" s="120"/>
      <c r="B51" s="210" t="s">
        <v>5681</v>
      </c>
      <c r="C51" s="121" t="s">
        <v>5682</v>
      </c>
      <c r="D51" s="122" t="s">
        <v>205</v>
      </c>
      <c r="E51" s="120">
        <v>1</v>
      </c>
      <c r="F51" s="120">
        <v>1</v>
      </c>
      <c r="G51" s="1347">
        <f>1.8+0.4</f>
        <v>2.2000000000000002</v>
      </c>
      <c r="H51" s="1347">
        <f>2.4+0.4</f>
        <v>2.8</v>
      </c>
      <c r="I51" s="1349">
        <f t="shared" si="0"/>
        <v>1</v>
      </c>
      <c r="J51" s="1347">
        <f>PRODUCT(E51:I51)</f>
        <v>6.16</v>
      </c>
    </row>
    <row r="52" spans="1:11">
      <c r="A52" s="120"/>
      <c r="B52" s="210"/>
      <c r="C52" s="121"/>
      <c r="D52" s="122"/>
      <c r="E52" s="120"/>
      <c r="F52" s="120"/>
      <c r="G52" s="1303"/>
      <c r="H52" s="1303"/>
      <c r="I52" s="1303"/>
      <c r="J52" s="1303"/>
    </row>
    <row r="53" spans="1:11">
      <c r="A53" s="120"/>
      <c r="B53" s="210"/>
      <c r="C53" s="121"/>
      <c r="D53" s="122"/>
      <c r="E53" s="120"/>
      <c r="F53" s="120"/>
      <c r="G53" s="1303"/>
      <c r="H53" s="1303"/>
      <c r="I53" s="1303"/>
      <c r="J53" s="1303"/>
    </row>
    <row r="54" spans="1:11">
      <c r="A54" s="120"/>
      <c r="B54" s="210" t="s">
        <v>214</v>
      </c>
      <c r="C54" s="121"/>
      <c r="D54" s="122"/>
      <c r="E54" s="120"/>
      <c r="F54" s="120"/>
      <c r="G54" s="1303"/>
      <c r="H54" s="1303"/>
      <c r="I54" s="1303"/>
      <c r="J54" s="1303"/>
    </row>
    <row r="55" spans="1:11">
      <c r="A55" s="120"/>
      <c r="B55" s="210" t="s">
        <v>204</v>
      </c>
      <c r="C55" s="121" t="s">
        <v>162</v>
      </c>
      <c r="D55" s="122" t="s">
        <v>205</v>
      </c>
      <c r="E55" s="120"/>
      <c r="F55" s="120"/>
      <c r="G55" s="120"/>
      <c r="H55" s="120"/>
      <c r="I55" s="1303"/>
      <c r="J55" s="1303"/>
    </row>
    <row r="56" spans="1:11">
      <c r="A56" s="120"/>
      <c r="B56" s="210" t="str">
        <f t="shared" ref="B56:F60" si="1">B47</f>
        <v>For C1</v>
      </c>
      <c r="C56" s="121" t="str">
        <f t="shared" si="1"/>
        <v xml:space="preserve"> F1</v>
      </c>
      <c r="D56" s="121" t="str">
        <f t="shared" si="1"/>
        <v xml:space="preserve"> Footing</v>
      </c>
      <c r="E56" s="4">
        <f t="shared" si="1"/>
        <v>1</v>
      </c>
      <c r="F56" s="4">
        <f t="shared" si="1"/>
        <v>3</v>
      </c>
      <c r="G56" s="1303">
        <f>G47-0.4</f>
        <v>1.2000000000000002</v>
      </c>
      <c r="H56" s="1303">
        <f>G56</f>
        <v>1.2000000000000002</v>
      </c>
      <c r="I56" s="1303">
        <v>0.3</v>
      </c>
      <c r="J56" s="1303">
        <f>PRODUCT(E56:I56)</f>
        <v>1.2960000000000003</v>
      </c>
    </row>
    <row r="57" spans="1:11">
      <c r="A57" s="120"/>
      <c r="B57" s="210" t="str">
        <f t="shared" si="1"/>
        <v>For C2</v>
      </c>
      <c r="C57" s="121" t="str">
        <f t="shared" si="1"/>
        <v xml:space="preserve"> F2</v>
      </c>
      <c r="D57" s="121" t="str">
        <f t="shared" si="1"/>
        <v xml:space="preserve"> Footing</v>
      </c>
      <c r="E57" s="4">
        <f t="shared" si="1"/>
        <v>1</v>
      </c>
      <c r="F57" s="4">
        <f t="shared" si="1"/>
        <v>11</v>
      </c>
      <c r="G57" s="1303">
        <f>G48-0.4</f>
        <v>1.6</v>
      </c>
      <c r="H57" s="1303">
        <f>G57</f>
        <v>1.6</v>
      </c>
      <c r="I57" s="1303">
        <v>0.45</v>
      </c>
      <c r="J57" s="1303">
        <f>PRODUCT(E57:I57)</f>
        <v>12.672000000000002</v>
      </c>
    </row>
    <row r="58" spans="1:11">
      <c r="A58" s="120"/>
      <c r="B58" s="210" t="str">
        <f t="shared" si="1"/>
        <v>For C3</v>
      </c>
      <c r="C58" s="121" t="str">
        <f t="shared" si="1"/>
        <v xml:space="preserve"> F3</v>
      </c>
      <c r="D58" s="121" t="str">
        <f t="shared" si="1"/>
        <v xml:space="preserve"> Footing</v>
      </c>
      <c r="E58" s="4">
        <f t="shared" si="1"/>
        <v>1</v>
      </c>
      <c r="F58" s="4">
        <f t="shared" si="1"/>
        <v>9</v>
      </c>
      <c r="G58" s="1303">
        <f>G49-0.4</f>
        <v>1.8000000000000003</v>
      </c>
      <c r="H58" s="1303">
        <f>G58</f>
        <v>1.8000000000000003</v>
      </c>
      <c r="I58" s="1303">
        <v>0.45</v>
      </c>
      <c r="J58" s="1303">
        <f>PRODUCT(E58:I58)</f>
        <v>13.122000000000005</v>
      </c>
    </row>
    <row r="59" spans="1:11">
      <c r="A59" s="120"/>
      <c r="B59" s="210" t="str">
        <f t="shared" si="1"/>
        <v>For C4</v>
      </c>
      <c r="C59" s="121" t="str">
        <f t="shared" si="1"/>
        <v xml:space="preserve"> F4</v>
      </c>
      <c r="D59" s="121" t="str">
        <f t="shared" si="1"/>
        <v xml:space="preserve"> Footing</v>
      </c>
      <c r="E59" s="4">
        <f t="shared" si="1"/>
        <v>1</v>
      </c>
      <c r="F59" s="4">
        <f t="shared" si="1"/>
        <v>7</v>
      </c>
      <c r="G59" s="1303">
        <f>G50-0.4</f>
        <v>2.1</v>
      </c>
      <c r="H59" s="1303">
        <f>G59</f>
        <v>2.1</v>
      </c>
      <c r="I59" s="1303">
        <v>0.6</v>
      </c>
      <c r="J59" s="1303">
        <f>PRODUCT(E59:I59)</f>
        <v>18.522000000000002</v>
      </c>
    </row>
    <row r="60" spans="1:11">
      <c r="A60" s="120"/>
      <c r="B60" s="210" t="str">
        <f t="shared" si="1"/>
        <v>For C3,c1</v>
      </c>
      <c r="C60" s="121" t="str">
        <f t="shared" si="1"/>
        <v>F4</v>
      </c>
      <c r="D60" s="121" t="str">
        <f t="shared" si="1"/>
        <v xml:space="preserve"> Footing</v>
      </c>
      <c r="E60" s="4">
        <f t="shared" si="1"/>
        <v>1</v>
      </c>
      <c r="F60" s="4">
        <f t="shared" si="1"/>
        <v>1</v>
      </c>
      <c r="G60" s="1347">
        <f>G51-0.4</f>
        <v>1.8000000000000003</v>
      </c>
      <c r="H60" s="1347">
        <f>H51-0.4</f>
        <v>2.4</v>
      </c>
      <c r="I60" s="1347">
        <v>0.45</v>
      </c>
      <c r="J60" s="1347">
        <f>PRODUCT(E60:I60)</f>
        <v>1.9440000000000002</v>
      </c>
    </row>
    <row r="61" spans="1:11">
      <c r="A61" s="120"/>
      <c r="B61" s="212"/>
      <c r="C61" s="145"/>
      <c r="D61" s="146"/>
      <c r="E61" s="120"/>
      <c r="F61" s="120"/>
      <c r="G61" s="147"/>
      <c r="H61" s="120"/>
      <c r="I61" s="1303"/>
      <c r="J61" s="1303"/>
    </row>
    <row r="62" spans="1:11">
      <c r="A62" s="120"/>
      <c r="B62" s="212"/>
      <c r="C62" s="148"/>
      <c r="D62" s="149"/>
      <c r="E62" s="150"/>
      <c r="F62" s="150"/>
      <c r="G62" s="151"/>
      <c r="H62" s="150"/>
      <c r="I62" s="151"/>
      <c r="J62" s="151"/>
      <c r="K62" s="152"/>
    </row>
    <row r="63" spans="1:11" s="158" customFormat="1">
      <c r="A63" s="153"/>
      <c r="B63" s="212"/>
      <c r="C63" s="154"/>
      <c r="D63" s="155"/>
      <c r="E63" s="156"/>
      <c r="F63" s="156"/>
      <c r="G63" s="153"/>
      <c r="H63" s="153"/>
      <c r="I63" s="157"/>
      <c r="J63" s="153"/>
    </row>
    <row r="64" spans="1:11" s="158" customFormat="1">
      <c r="A64" s="153"/>
      <c r="B64" s="210" t="s">
        <v>215</v>
      </c>
      <c r="C64" s="154"/>
      <c r="D64" s="155"/>
      <c r="E64" s="156"/>
      <c r="F64" s="156"/>
      <c r="G64" s="153"/>
      <c r="H64" s="153"/>
      <c r="I64" s="157"/>
      <c r="J64" s="1304"/>
      <c r="K64" s="159"/>
    </row>
    <row r="65" spans="1:17" s="158" customFormat="1" ht="34.5">
      <c r="A65" s="153"/>
      <c r="B65" s="1332" t="s">
        <v>216</v>
      </c>
      <c r="C65" s="154"/>
      <c r="D65" s="155"/>
      <c r="E65" s="156"/>
      <c r="F65" s="156"/>
      <c r="G65" s="153"/>
      <c r="H65" s="1304"/>
      <c r="I65" s="161" t="s">
        <v>217</v>
      </c>
      <c r="J65" s="1304" t="s">
        <v>172</v>
      </c>
      <c r="K65" s="159"/>
      <c r="L65" s="158" t="s">
        <v>173</v>
      </c>
      <c r="M65" s="158" t="s">
        <v>218</v>
      </c>
      <c r="N65" s="115" t="s">
        <v>219</v>
      </c>
      <c r="O65" s="158" t="s">
        <v>220</v>
      </c>
      <c r="Q65" s="158" t="s">
        <v>221</v>
      </c>
    </row>
    <row r="66" spans="1:17" ht="34.5">
      <c r="A66" s="162"/>
      <c r="B66" s="1333" t="s">
        <v>5686</v>
      </c>
      <c r="C66" s="163" t="s">
        <v>187</v>
      </c>
      <c r="D66" s="164"/>
      <c r="E66" s="165">
        <v>1</v>
      </c>
      <c r="F66" s="165">
        <v>4</v>
      </c>
      <c r="G66" s="165">
        <f>4.23</f>
        <v>4.2300000000000004</v>
      </c>
      <c r="H66" s="165">
        <v>0.38</v>
      </c>
      <c r="I66" s="1305">
        <f>VLOOKUP(C66,'det -detail'!$G$23:$H$26,2)+0.1</f>
        <v>0.4</v>
      </c>
      <c r="J66" s="1305">
        <v>0.1</v>
      </c>
      <c r="K66" s="124">
        <f t="shared" ref="K66:K71" si="2">H66-0.15</f>
        <v>0.23</v>
      </c>
      <c r="L66" s="124">
        <v>0.1</v>
      </c>
      <c r="M66" s="124">
        <f t="shared" ref="M66:M71" si="3">I66-0.1</f>
        <v>0.30000000000000004</v>
      </c>
      <c r="N66" s="166">
        <v>2</v>
      </c>
      <c r="O66" s="124">
        <v>0.1</v>
      </c>
      <c r="P66" s="124"/>
      <c r="Q66" s="124">
        <f>E15</f>
        <v>0.56999999999999995</v>
      </c>
    </row>
    <row r="67" spans="1:17">
      <c r="A67" s="162"/>
      <c r="B67" s="1333" t="s">
        <v>5699</v>
      </c>
      <c r="C67" s="163" t="s">
        <v>5694</v>
      </c>
      <c r="D67" s="164"/>
      <c r="E67" s="165">
        <v>1</v>
      </c>
      <c r="F67" s="165">
        <v>2</v>
      </c>
      <c r="G67" s="165">
        <f>2.425+1.23</f>
        <v>3.6549999999999998</v>
      </c>
      <c r="H67" s="165">
        <v>0.38</v>
      </c>
      <c r="I67" s="1305">
        <f>VLOOKUP(C67,'det -detail'!$G$23:$H$26,2)+0.1</f>
        <v>0.4</v>
      </c>
      <c r="J67" s="1305">
        <v>0.1</v>
      </c>
      <c r="K67" s="124">
        <f t="shared" ref="K67" si="4">H67-0.15</f>
        <v>0.23</v>
      </c>
      <c r="L67" s="124">
        <v>0.1</v>
      </c>
      <c r="M67" s="124">
        <f t="shared" ref="M67" si="5">I67-0.1</f>
        <v>0.30000000000000004</v>
      </c>
      <c r="N67" s="166">
        <v>2</v>
      </c>
      <c r="O67" s="124">
        <v>0.1</v>
      </c>
      <c r="P67" s="124"/>
      <c r="Q67" s="124">
        <f>Q66</f>
        <v>0.56999999999999995</v>
      </c>
    </row>
    <row r="68" spans="1:17">
      <c r="A68" s="162"/>
      <c r="B68" s="1333" t="s">
        <v>5687</v>
      </c>
      <c r="C68" s="163" t="s">
        <v>186</v>
      </c>
      <c r="D68" s="164"/>
      <c r="E68" s="165">
        <v>1</v>
      </c>
      <c r="F68" s="165">
        <v>1</v>
      </c>
      <c r="G68" s="165">
        <f>2.33+0.9+2.425+1.23</f>
        <v>6.8849999999999998</v>
      </c>
      <c r="H68" s="165">
        <v>0.38</v>
      </c>
      <c r="I68" s="1305">
        <f>VLOOKUP(C68,'det -detail'!$G$23:$H$26,2)+0.1</f>
        <v>0.48</v>
      </c>
      <c r="J68" s="1305">
        <v>0.1</v>
      </c>
      <c r="K68" s="124">
        <f t="shared" si="2"/>
        <v>0.23</v>
      </c>
      <c r="L68" s="124">
        <v>0.1</v>
      </c>
      <c r="M68" s="124">
        <f t="shared" si="3"/>
        <v>0.38</v>
      </c>
      <c r="N68" s="166">
        <v>2</v>
      </c>
      <c r="O68" s="124">
        <v>0.1</v>
      </c>
      <c r="P68" s="124"/>
      <c r="Q68" s="124">
        <f t="shared" ref="Q68:Q78" si="6">Q67</f>
        <v>0.56999999999999995</v>
      </c>
    </row>
    <row r="69" spans="1:17">
      <c r="A69" s="165"/>
      <c r="B69" s="1333" t="s">
        <v>5688</v>
      </c>
      <c r="C69" s="163" t="s">
        <v>187</v>
      </c>
      <c r="D69" s="164"/>
      <c r="E69" s="165">
        <v>1</v>
      </c>
      <c r="F69" s="165">
        <v>1</v>
      </c>
      <c r="G69" s="1305">
        <f>3.465+3.995</f>
        <v>7.46</v>
      </c>
      <c r="H69" s="165">
        <v>0.38</v>
      </c>
      <c r="I69" s="1305">
        <f>VLOOKUP(C69,'det -detail'!$G$23:$H$26,2)+0.1</f>
        <v>0.4</v>
      </c>
      <c r="J69" s="1305">
        <v>0.1</v>
      </c>
      <c r="K69" s="124">
        <f t="shared" si="2"/>
        <v>0.23</v>
      </c>
      <c r="L69" s="124">
        <v>0.1</v>
      </c>
      <c r="M69" s="124">
        <f t="shared" si="3"/>
        <v>0.30000000000000004</v>
      </c>
      <c r="N69" s="166">
        <v>2</v>
      </c>
      <c r="O69" s="124">
        <v>0.1</v>
      </c>
      <c r="P69" s="124"/>
      <c r="Q69" s="124">
        <f t="shared" si="6"/>
        <v>0.56999999999999995</v>
      </c>
    </row>
    <row r="70" spans="1:17">
      <c r="A70" s="165"/>
      <c r="B70" s="1333" t="s">
        <v>5689</v>
      </c>
      <c r="C70" s="163" t="s">
        <v>186</v>
      </c>
      <c r="D70" s="167"/>
      <c r="E70" s="165">
        <v>1</v>
      </c>
      <c r="F70" s="165">
        <v>2</v>
      </c>
      <c r="G70" s="1305">
        <f>0.9+2.425+1.23</f>
        <v>4.5549999999999997</v>
      </c>
      <c r="H70" s="1305">
        <v>0.38</v>
      </c>
      <c r="I70" s="1305">
        <f>VLOOKUP(C70,'det -detail'!$G$23:$H$26,2)+0.1</f>
        <v>0.48</v>
      </c>
      <c r="J70" s="1305">
        <v>0.1</v>
      </c>
      <c r="K70" s="124">
        <f t="shared" si="2"/>
        <v>0.23</v>
      </c>
      <c r="L70" s="124">
        <v>0.1</v>
      </c>
      <c r="M70" s="124">
        <f t="shared" si="3"/>
        <v>0.38</v>
      </c>
      <c r="N70" s="166">
        <v>2</v>
      </c>
      <c r="O70" s="124">
        <v>0.1</v>
      </c>
      <c r="P70" s="124"/>
      <c r="Q70" s="124">
        <f t="shared" si="6"/>
        <v>0.56999999999999995</v>
      </c>
    </row>
    <row r="71" spans="1:17">
      <c r="A71" s="165"/>
      <c r="B71" s="1333" t="s">
        <v>5690</v>
      </c>
      <c r="C71" s="163" t="s">
        <v>186</v>
      </c>
      <c r="D71" s="167"/>
      <c r="E71" s="165">
        <v>1</v>
      </c>
      <c r="F71" s="165">
        <v>2</v>
      </c>
      <c r="G71" s="1305">
        <f>2.33</f>
        <v>2.33</v>
      </c>
      <c r="H71" s="1305">
        <v>0.38</v>
      </c>
      <c r="I71" s="1305">
        <f>VLOOKUP(C71,'det -detail'!$G$23:$H$26,2)+0.1</f>
        <v>0.48</v>
      </c>
      <c r="J71" s="1305">
        <v>0.1</v>
      </c>
      <c r="K71" s="124">
        <f t="shared" si="2"/>
        <v>0.23</v>
      </c>
      <c r="L71" s="124">
        <v>0.1</v>
      </c>
      <c r="M71" s="124">
        <f t="shared" si="3"/>
        <v>0.38</v>
      </c>
      <c r="N71" s="166">
        <v>2</v>
      </c>
      <c r="O71" s="124">
        <v>0.1</v>
      </c>
      <c r="P71" s="124"/>
      <c r="Q71" s="124">
        <f t="shared" si="6"/>
        <v>0.56999999999999995</v>
      </c>
    </row>
    <row r="72" spans="1:17">
      <c r="A72" s="165"/>
      <c r="B72" s="1333" t="s">
        <v>5691</v>
      </c>
      <c r="C72" s="163" t="s">
        <v>187</v>
      </c>
      <c r="D72" s="167"/>
      <c r="E72" s="165">
        <v>1</v>
      </c>
      <c r="F72" s="165">
        <v>1</v>
      </c>
      <c r="G72" s="168">
        <v>3.4649999999999999</v>
      </c>
      <c r="H72" s="1305">
        <v>0.38</v>
      </c>
      <c r="I72" s="1305">
        <f>VLOOKUP(C72,'det -detail'!$G$23:$H$26,2)+0.1</f>
        <v>0.4</v>
      </c>
      <c r="J72" s="1305">
        <v>0.1</v>
      </c>
      <c r="K72" s="124">
        <f t="shared" ref="K72:K78" si="7">H72-0.15</f>
        <v>0.23</v>
      </c>
      <c r="L72" s="124">
        <f>L71</f>
        <v>0.1</v>
      </c>
      <c r="M72" s="124">
        <f t="shared" ref="M72:M78" si="8">I72-0.1</f>
        <v>0.30000000000000004</v>
      </c>
      <c r="N72" s="166">
        <v>2</v>
      </c>
      <c r="O72" s="124">
        <v>0.1</v>
      </c>
      <c r="P72" s="124"/>
      <c r="Q72" s="124">
        <f t="shared" si="6"/>
        <v>0.56999999999999995</v>
      </c>
    </row>
    <row r="73" spans="1:17">
      <c r="A73" s="165"/>
      <c r="B73" s="1333" t="s">
        <v>5692</v>
      </c>
      <c r="C73" s="163" t="s">
        <v>187</v>
      </c>
      <c r="D73" s="167"/>
      <c r="E73" s="165">
        <v>1</v>
      </c>
      <c r="F73" s="165">
        <v>1</v>
      </c>
      <c r="G73" s="168">
        <v>3.9950000000000001</v>
      </c>
      <c r="H73" s="1305">
        <v>0.38</v>
      </c>
      <c r="I73" s="1305">
        <f>VLOOKUP(C73,'det -detail'!$G$23:$H$26,2)+0.1</f>
        <v>0.4</v>
      </c>
      <c r="J73" s="1305">
        <v>0.1</v>
      </c>
      <c r="K73" s="124">
        <f t="shared" si="7"/>
        <v>0.23</v>
      </c>
      <c r="L73" s="124">
        <f t="shared" ref="L73:L78" si="9">L72</f>
        <v>0.1</v>
      </c>
      <c r="M73" s="124">
        <f t="shared" si="8"/>
        <v>0.30000000000000004</v>
      </c>
      <c r="N73" s="166">
        <v>2</v>
      </c>
      <c r="O73" s="124">
        <v>0.1</v>
      </c>
      <c r="P73" s="124"/>
      <c r="Q73" s="124">
        <f t="shared" si="6"/>
        <v>0.56999999999999995</v>
      </c>
    </row>
    <row r="74" spans="1:17">
      <c r="A74" s="165"/>
      <c r="B74" s="1333" t="s">
        <v>5693</v>
      </c>
      <c r="C74" s="163" t="s">
        <v>5694</v>
      </c>
      <c r="D74" s="167"/>
      <c r="E74" s="165">
        <v>1</v>
      </c>
      <c r="F74" s="165">
        <v>1</v>
      </c>
      <c r="G74" s="168">
        <f>3.125</f>
        <v>3.125</v>
      </c>
      <c r="H74" s="1305">
        <v>0.38</v>
      </c>
      <c r="I74" s="1305">
        <f>VLOOKUP(C74,'det -detail'!$G$23:$H$26,2)+0.1</f>
        <v>0.4</v>
      </c>
      <c r="J74" s="1305">
        <v>0.1</v>
      </c>
      <c r="K74" s="124">
        <f t="shared" si="7"/>
        <v>0.23</v>
      </c>
      <c r="L74" s="124">
        <f t="shared" si="9"/>
        <v>0.1</v>
      </c>
      <c r="M74" s="124">
        <f t="shared" si="8"/>
        <v>0.30000000000000004</v>
      </c>
      <c r="N74" s="166">
        <v>2</v>
      </c>
      <c r="O74" s="124">
        <v>0.1</v>
      </c>
      <c r="P74" s="124"/>
      <c r="Q74" s="124">
        <f t="shared" si="6"/>
        <v>0.56999999999999995</v>
      </c>
    </row>
    <row r="75" spans="1:17">
      <c r="A75" s="165"/>
      <c r="B75" s="1333" t="s">
        <v>5696</v>
      </c>
      <c r="C75" s="163" t="s">
        <v>187</v>
      </c>
      <c r="D75" s="167"/>
      <c r="E75" s="165">
        <v>1</v>
      </c>
      <c r="F75" s="165">
        <v>1</v>
      </c>
      <c r="G75" s="168">
        <f>4.23</f>
        <v>4.2300000000000004</v>
      </c>
      <c r="H75" s="1305">
        <v>0.38</v>
      </c>
      <c r="I75" s="1305">
        <f>VLOOKUP(C75,'det -detail'!$G$23:$H$26,2)+0.1</f>
        <v>0.4</v>
      </c>
      <c r="J75" s="1305">
        <v>0.1</v>
      </c>
      <c r="K75" s="124">
        <f t="shared" si="7"/>
        <v>0.23</v>
      </c>
      <c r="L75" s="124">
        <f t="shared" si="9"/>
        <v>0.1</v>
      </c>
      <c r="M75" s="124">
        <f t="shared" si="8"/>
        <v>0.30000000000000004</v>
      </c>
      <c r="N75" s="166">
        <v>2</v>
      </c>
      <c r="O75" s="124">
        <v>0.1</v>
      </c>
      <c r="P75" s="124"/>
      <c r="Q75" s="124">
        <f t="shared" si="6"/>
        <v>0.56999999999999995</v>
      </c>
    </row>
    <row r="76" spans="1:17">
      <c r="A76" s="165"/>
      <c r="B76" s="1333" t="s">
        <v>5695</v>
      </c>
      <c r="C76" s="163" t="s">
        <v>186</v>
      </c>
      <c r="D76" s="167"/>
      <c r="E76" s="165">
        <v>1</v>
      </c>
      <c r="F76" s="165">
        <v>1</v>
      </c>
      <c r="G76" s="168">
        <f>2.33+0.9+2.425</f>
        <v>5.6549999999999994</v>
      </c>
      <c r="H76" s="1305">
        <v>0.38</v>
      </c>
      <c r="I76" s="1305">
        <f>VLOOKUP(C76,'det -detail'!$G$23:$H$26,2)+0.1</f>
        <v>0.48</v>
      </c>
      <c r="J76" s="1305">
        <v>0.1</v>
      </c>
      <c r="K76" s="124">
        <f t="shared" si="7"/>
        <v>0.23</v>
      </c>
      <c r="L76" s="124">
        <f t="shared" si="9"/>
        <v>0.1</v>
      </c>
      <c r="M76" s="124">
        <f t="shared" si="8"/>
        <v>0.38</v>
      </c>
      <c r="N76" s="166">
        <v>2</v>
      </c>
      <c r="O76" s="124">
        <v>0.1</v>
      </c>
      <c r="P76" s="124"/>
      <c r="Q76" s="124">
        <f t="shared" si="6"/>
        <v>0.56999999999999995</v>
      </c>
    </row>
    <row r="77" spans="1:17">
      <c r="A77" s="165"/>
      <c r="B77" s="1333" t="s">
        <v>5697</v>
      </c>
      <c r="C77" s="163" t="s">
        <v>187</v>
      </c>
      <c r="D77" s="167"/>
      <c r="E77" s="165">
        <v>1</v>
      </c>
      <c r="F77" s="165">
        <v>1</v>
      </c>
      <c r="G77" s="168">
        <f>1.23+3.465+3.995</f>
        <v>8.6900000000000013</v>
      </c>
      <c r="H77" s="1305">
        <v>0.38</v>
      </c>
      <c r="I77" s="1305">
        <f>VLOOKUP(C77,'det -detail'!$G$23:$H$26,2)+0.1</f>
        <v>0.4</v>
      </c>
      <c r="J77" s="1305">
        <v>0.1</v>
      </c>
      <c r="K77" s="124">
        <f t="shared" si="7"/>
        <v>0.23</v>
      </c>
      <c r="L77" s="124">
        <f t="shared" si="9"/>
        <v>0.1</v>
      </c>
      <c r="M77" s="124">
        <f t="shared" si="8"/>
        <v>0.30000000000000004</v>
      </c>
      <c r="N77" s="166">
        <v>2</v>
      </c>
      <c r="O77" s="124">
        <v>0.1</v>
      </c>
      <c r="P77" s="124"/>
      <c r="Q77" s="124">
        <f t="shared" si="6"/>
        <v>0.56999999999999995</v>
      </c>
    </row>
    <row r="78" spans="1:17">
      <c r="A78" s="165"/>
      <c r="B78" s="1333" t="s">
        <v>5698</v>
      </c>
      <c r="C78" s="163" t="s">
        <v>5694</v>
      </c>
      <c r="D78" s="167"/>
      <c r="E78" s="165">
        <v>1</v>
      </c>
      <c r="F78" s="165">
        <v>1</v>
      </c>
      <c r="G78" s="168">
        <f>4.23+2.33+0.9+2.425+1.23+3.465+3.995</f>
        <v>18.575000000000003</v>
      </c>
      <c r="H78" s="1305">
        <v>0.38</v>
      </c>
      <c r="I78" s="1305">
        <f>VLOOKUP(C78,'det -detail'!$G$23:$H$26,2)+0.1</f>
        <v>0.4</v>
      </c>
      <c r="J78" s="1305">
        <v>0.1</v>
      </c>
      <c r="K78" s="124">
        <f t="shared" si="7"/>
        <v>0.23</v>
      </c>
      <c r="L78" s="124">
        <f t="shared" si="9"/>
        <v>0.1</v>
      </c>
      <c r="M78" s="124">
        <f t="shared" si="8"/>
        <v>0.30000000000000004</v>
      </c>
      <c r="N78" s="166">
        <v>2</v>
      </c>
      <c r="O78" s="124">
        <v>0.1</v>
      </c>
      <c r="P78" s="124"/>
      <c r="Q78" s="124">
        <f t="shared" si="6"/>
        <v>0.56999999999999995</v>
      </c>
    </row>
    <row r="79" spans="1:17">
      <c r="A79" s="165"/>
      <c r="B79" s="1333"/>
      <c r="C79" s="163"/>
      <c r="D79" s="167"/>
      <c r="E79" s="165"/>
      <c r="F79" s="165"/>
      <c r="G79" s="1305"/>
      <c r="H79" s="1305"/>
      <c r="I79" s="1305"/>
      <c r="J79" s="1305"/>
      <c r="L79" s="124"/>
      <c r="M79" s="124"/>
      <c r="N79" s="166"/>
      <c r="O79" s="124"/>
      <c r="P79" s="124"/>
      <c r="Q79" s="124"/>
    </row>
    <row r="80" spans="1:17">
      <c r="A80" s="120"/>
      <c r="B80" s="212"/>
      <c r="C80" s="145"/>
      <c r="D80" s="146"/>
      <c r="E80" s="120"/>
      <c r="F80" s="120"/>
      <c r="G80" s="1303"/>
      <c r="H80" s="1303"/>
      <c r="I80" s="1303"/>
      <c r="J80" s="1303"/>
      <c r="L80" s="124"/>
      <c r="M80" s="124"/>
      <c r="N80" s="166"/>
      <c r="O80" s="124"/>
      <c r="P80" s="124"/>
      <c r="Q80" s="124"/>
    </row>
    <row r="81" spans="1:18">
      <c r="A81" s="120"/>
      <c r="B81" s="1332" t="s">
        <v>222</v>
      </c>
      <c r="C81" s="145"/>
      <c r="D81" s="146"/>
      <c r="E81" s="120"/>
      <c r="F81" s="120"/>
      <c r="G81" s="1303"/>
      <c r="H81" s="1303"/>
      <c r="I81" s="1303"/>
      <c r="J81" s="1303"/>
      <c r="L81" s="124"/>
      <c r="M81" s="124"/>
      <c r="N81" s="166"/>
      <c r="O81" s="124"/>
      <c r="P81" s="124"/>
      <c r="Q81" s="124"/>
    </row>
    <row r="82" spans="1:18" s="172" customFormat="1">
      <c r="A82" s="165"/>
      <c r="B82" s="1333" t="s">
        <v>5700</v>
      </c>
      <c r="C82" s="163" t="s">
        <v>5694</v>
      </c>
      <c r="D82" s="167"/>
      <c r="E82" s="165">
        <v>1</v>
      </c>
      <c r="F82" s="165">
        <v>2</v>
      </c>
      <c r="G82" s="168">
        <f>3.75+0.94</f>
        <v>4.6899999999999995</v>
      </c>
      <c r="H82" s="1305">
        <v>0.38</v>
      </c>
      <c r="I82" s="1305">
        <f>VLOOKUP(C82,'det -detail'!$G$23:$H$26,2)+0.1</f>
        <v>0.4</v>
      </c>
      <c r="J82" s="1305">
        <v>0.1</v>
      </c>
      <c r="K82" s="169">
        <f t="shared" ref="K82:K87" si="10">H82-0.15</f>
        <v>0.23</v>
      </c>
      <c r="L82" s="169">
        <v>0.1</v>
      </c>
      <c r="M82" s="169">
        <f t="shared" ref="M82:M87" si="11">I82-0.1</f>
        <v>0.30000000000000004</v>
      </c>
      <c r="N82" s="170">
        <v>2</v>
      </c>
      <c r="O82" s="169">
        <v>0.1</v>
      </c>
      <c r="P82" s="169"/>
      <c r="Q82" s="169">
        <f>E15</f>
        <v>0.56999999999999995</v>
      </c>
      <c r="R82" s="171"/>
    </row>
    <row r="83" spans="1:18" s="172" customFormat="1">
      <c r="A83" s="165"/>
      <c r="B83" s="1333" t="s">
        <v>5701</v>
      </c>
      <c r="C83" s="163" t="s">
        <v>5694</v>
      </c>
      <c r="D83" s="167"/>
      <c r="E83" s="165">
        <v>1</v>
      </c>
      <c r="F83" s="165">
        <v>3</v>
      </c>
      <c r="G83" s="168">
        <f>3+2.53+3.26+2.73+4.13</f>
        <v>15.649999999999999</v>
      </c>
      <c r="H83" s="1305">
        <v>0.38</v>
      </c>
      <c r="I83" s="1305">
        <f>VLOOKUP(C83,'det -detail'!$G$23:$H$26,2)+0.1</f>
        <v>0.4</v>
      </c>
      <c r="J83" s="1305">
        <v>0.1</v>
      </c>
      <c r="K83" s="124">
        <f t="shared" si="10"/>
        <v>0.23</v>
      </c>
      <c r="L83" s="124">
        <f t="shared" ref="L83:L87" si="12">L82</f>
        <v>0.1</v>
      </c>
      <c r="M83" s="124">
        <f t="shared" si="11"/>
        <v>0.30000000000000004</v>
      </c>
      <c r="N83" s="166">
        <v>2</v>
      </c>
      <c r="O83" s="124">
        <v>0.1</v>
      </c>
      <c r="P83" s="124"/>
      <c r="Q83" s="124">
        <f>Q82</f>
        <v>0.56999999999999995</v>
      </c>
      <c r="R83" s="115">
        <f>2.61-R82</f>
        <v>2.61</v>
      </c>
    </row>
    <row r="84" spans="1:18" s="172" customFormat="1">
      <c r="A84" s="165"/>
      <c r="B84" s="1333" t="s">
        <v>5702</v>
      </c>
      <c r="C84" s="163" t="s">
        <v>186</v>
      </c>
      <c r="D84" s="167"/>
      <c r="E84" s="165">
        <v>1</v>
      </c>
      <c r="F84" s="165">
        <v>1</v>
      </c>
      <c r="G84" s="168">
        <f>3.26+2.73</f>
        <v>5.99</v>
      </c>
      <c r="H84" s="1305">
        <v>0.38</v>
      </c>
      <c r="I84" s="1305">
        <f>VLOOKUP(C84,'det -detail'!$G$23:$H$26,2)+0.1</f>
        <v>0.48</v>
      </c>
      <c r="J84" s="1305">
        <v>0.1</v>
      </c>
      <c r="K84" s="124">
        <f t="shared" si="10"/>
        <v>0.23</v>
      </c>
      <c r="L84" s="124">
        <f t="shared" si="12"/>
        <v>0.1</v>
      </c>
      <c r="M84" s="124">
        <f t="shared" si="11"/>
        <v>0.38</v>
      </c>
      <c r="N84" s="166">
        <v>2</v>
      </c>
      <c r="O84" s="124">
        <v>0.1</v>
      </c>
      <c r="P84" s="124"/>
      <c r="Q84" s="124">
        <f t="shared" ref="Q84:Q88" si="13">Q83</f>
        <v>0.56999999999999995</v>
      </c>
      <c r="R84" s="115">
        <f>2.61-R83</f>
        <v>0</v>
      </c>
    </row>
    <row r="85" spans="1:18" s="172" customFormat="1">
      <c r="A85" s="165"/>
      <c r="B85" s="1333" t="s">
        <v>5703</v>
      </c>
      <c r="C85" s="163" t="s">
        <v>5694</v>
      </c>
      <c r="D85" s="167"/>
      <c r="E85" s="165">
        <v>1</v>
      </c>
      <c r="F85" s="165">
        <v>2</v>
      </c>
      <c r="G85" s="168">
        <f>4.13</f>
        <v>4.13</v>
      </c>
      <c r="H85" s="1305">
        <v>0.38</v>
      </c>
      <c r="I85" s="1305">
        <f>VLOOKUP(C85,'det -detail'!$G$23:$H$26,2)+0.1</f>
        <v>0.4</v>
      </c>
      <c r="J85" s="1305">
        <v>0.1</v>
      </c>
      <c r="K85" s="124">
        <f t="shared" si="10"/>
        <v>0.23</v>
      </c>
      <c r="L85" s="124">
        <f t="shared" si="12"/>
        <v>0.1</v>
      </c>
      <c r="M85" s="124">
        <f t="shared" si="11"/>
        <v>0.30000000000000004</v>
      </c>
      <c r="N85" s="166">
        <v>2</v>
      </c>
      <c r="O85" s="124">
        <v>0.1</v>
      </c>
      <c r="P85" s="124"/>
      <c r="Q85" s="124">
        <f t="shared" si="13"/>
        <v>0.56999999999999995</v>
      </c>
      <c r="R85" s="115">
        <f>2.61-R84</f>
        <v>2.61</v>
      </c>
    </row>
    <row r="86" spans="1:18">
      <c r="A86" s="120"/>
      <c r="B86" s="1333" t="s">
        <v>5704</v>
      </c>
      <c r="C86" s="163" t="s">
        <v>5694</v>
      </c>
      <c r="D86" s="167"/>
      <c r="E86" s="165">
        <v>1</v>
      </c>
      <c r="F86" s="165">
        <v>1</v>
      </c>
      <c r="G86" s="168">
        <f>3+2.53</f>
        <v>5.5299999999999994</v>
      </c>
      <c r="H86" s="1305">
        <v>0.38</v>
      </c>
      <c r="I86" s="1305">
        <f>VLOOKUP(C86,'det -detail'!$G$23:$H$26,2)+0.1</f>
        <v>0.4</v>
      </c>
      <c r="J86" s="1305">
        <v>0.1</v>
      </c>
      <c r="K86" s="124">
        <f t="shared" si="10"/>
        <v>0.23</v>
      </c>
      <c r="L86" s="124">
        <f t="shared" si="12"/>
        <v>0.1</v>
      </c>
      <c r="M86" s="124">
        <f t="shared" si="11"/>
        <v>0.30000000000000004</v>
      </c>
      <c r="N86" s="166">
        <v>2</v>
      </c>
      <c r="O86" s="124">
        <v>0.1</v>
      </c>
      <c r="P86" s="124"/>
      <c r="Q86" s="124">
        <f t="shared" si="13"/>
        <v>0.56999999999999995</v>
      </c>
      <c r="R86" s="115">
        <f>2.61-R85</f>
        <v>0</v>
      </c>
    </row>
    <row r="87" spans="1:18">
      <c r="A87" s="120"/>
      <c r="B87" s="1333" t="s">
        <v>5705</v>
      </c>
      <c r="C87" s="163" t="s">
        <v>5694</v>
      </c>
      <c r="D87" s="167"/>
      <c r="E87" s="165">
        <v>1</v>
      </c>
      <c r="F87" s="165">
        <v>1</v>
      </c>
      <c r="G87" s="168">
        <f>3.26+2.73</f>
        <v>5.99</v>
      </c>
      <c r="H87" s="1305">
        <v>0.38</v>
      </c>
      <c r="I87" s="1305">
        <f>VLOOKUP(C87,'det -detail'!$G$23:$H$26,2)+0.1</f>
        <v>0.4</v>
      </c>
      <c r="J87" s="1305">
        <v>0.1</v>
      </c>
      <c r="K87" s="124">
        <f t="shared" si="10"/>
        <v>0.23</v>
      </c>
      <c r="L87" s="124">
        <f t="shared" si="12"/>
        <v>0.1</v>
      </c>
      <c r="M87" s="124">
        <f t="shared" si="11"/>
        <v>0.30000000000000004</v>
      </c>
      <c r="N87" s="166">
        <v>2</v>
      </c>
      <c r="O87" s="124">
        <v>0.1</v>
      </c>
      <c r="P87" s="124"/>
      <c r="Q87" s="124">
        <f t="shared" si="13"/>
        <v>0.56999999999999995</v>
      </c>
      <c r="R87" s="115">
        <f>2.61-R86</f>
        <v>2.61</v>
      </c>
    </row>
    <row r="88" spans="1:18">
      <c r="A88" s="120"/>
      <c r="B88" s="212"/>
      <c r="C88" s="121"/>
      <c r="D88" s="146"/>
      <c r="E88" s="120"/>
      <c r="F88" s="120"/>
      <c r="G88" s="1303"/>
      <c r="H88" s="1303"/>
      <c r="I88" s="1303"/>
      <c r="J88" s="1303"/>
      <c r="L88" s="124"/>
      <c r="M88" s="124"/>
      <c r="N88" s="166"/>
      <c r="O88" s="124"/>
      <c r="P88" s="124"/>
      <c r="Q88" s="124">
        <f t="shared" si="13"/>
        <v>0.56999999999999995</v>
      </c>
    </row>
    <row r="89" spans="1:18">
      <c r="A89" s="120"/>
      <c r="B89" s="212"/>
      <c r="C89" s="121"/>
      <c r="D89" s="146"/>
      <c r="E89" s="120"/>
      <c r="F89" s="120"/>
      <c r="G89" s="1303"/>
      <c r="H89" s="1303"/>
      <c r="I89" s="1303"/>
      <c r="J89" s="1303"/>
      <c r="L89" s="124"/>
      <c r="M89" s="124"/>
      <c r="N89" s="166"/>
      <c r="O89" s="124"/>
      <c r="P89" s="124"/>
      <c r="Q89" s="124"/>
    </row>
    <row r="90" spans="1:18">
      <c r="A90" s="120"/>
      <c r="B90" s="212"/>
      <c r="C90" s="121"/>
      <c r="D90" s="146"/>
      <c r="E90" s="120"/>
      <c r="F90" s="120"/>
      <c r="G90" s="1303"/>
      <c r="H90" s="1303"/>
      <c r="I90" s="1303"/>
      <c r="J90" s="1303"/>
      <c r="L90" s="124"/>
      <c r="M90" s="124"/>
      <c r="N90" s="166"/>
      <c r="O90" s="124"/>
      <c r="P90" s="124"/>
      <c r="Q90" s="124"/>
    </row>
    <row r="91" spans="1:18">
      <c r="A91" s="120"/>
      <c r="B91" s="212"/>
      <c r="C91" s="121"/>
      <c r="D91" s="146"/>
      <c r="E91" s="120"/>
      <c r="F91" s="120"/>
      <c r="G91" s="147"/>
      <c r="H91" s="1303"/>
      <c r="I91" s="1303"/>
      <c r="J91" s="1303"/>
      <c r="L91" s="124"/>
      <c r="M91" s="124"/>
      <c r="N91" s="166"/>
      <c r="O91" s="124"/>
      <c r="P91" s="124"/>
      <c r="Q91" s="124"/>
    </row>
    <row r="92" spans="1:18">
      <c r="A92" s="120"/>
      <c r="B92" s="212"/>
      <c r="C92" s="121"/>
      <c r="D92" s="146"/>
      <c r="E92" s="120"/>
      <c r="F92" s="120"/>
      <c r="G92" s="1303"/>
      <c r="H92" s="1303"/>
      <c r="I92" s="1303"/>
      <c r="J92" s="1303"/>
      <c r="L92" s="124"/>
      <c r="M92" s="124"/>
      <c r="N92" s="166"/>
      <c r="O92" s="124"/>
      <c r="P92" s="124"/>
      <c r="Q92" s="124"/>
    </row>
    <row r="93" spans="1:18">
      <c r="A93" s="120"/>
      <c r="B93" s="212"/>
      <c r="C93" s="121"/>
      <c r="D93" s="146"/>
      <c r="E93" s="120"/>
      <c r="F93" s="120"/>
      <c r="G93" s="147"/>
      <c r="H93" s="1303"/>
      <c r="I93" s="1303"/>
      <c r="J93" s="1303"/>
      <c r="L93" s="124"/>
      <c r="M93" s="124"/>
      <c r="N93" s="166"/>
      <c r="O93" s="124"/>
      <c r="P93" s="124"/>
      <c r="Q93" s="124"/>
    </row>
    <row r="94" spans="1:18">
      <c r="A94" s="120"/>
      <c r="B94" s="212"/>
      <c r="C94" s="121"/>
      <c r="D94" s="146"/>
      <c r="E94" s="120"/>
      <c r="F94" s="120"/>
      <c r="G94" s="1303"/>
      <c r="H94" s="1303"/>
      <c r="I94" s="1303"/>
      <c r="J94" s="1303"/>
      <c r="L94" s="124"/>
      <c r="M94" s="124"/>
      <c r="N94" s="166"/>
      <c r="O94" s="124"/>
      <c r="P94" s="124"/>
      <c r="Q94" s="124"/>
    </row>
    <row r="95" spans="1:18">
      <c r="A95" s="120"/>
      <c r="B95" s="212"/>
      <c r="C95" s="121"/>
      <c r="D95" s="146"/>
      <c r="E95" s="120"/>
      <c r="F95" s="120"/>
      <c r="G95" s="1303"/>
      <c r="H95" s="1303"/>
      <c r="I95" s="1303"/>
      <c r="J95" s="1303"/>
      <c r="L95" s="124"/>
      <c r="M95" s="124"/>
      <c r="N95" s="166"/>
      <c r="O95" s="124"/>
      <c r="P95" s="124"/>
      <c r="Q95" s="124"/>
    </row>
    <row r="96" spans="1:18">
      <c r="A96" s="120"/>
      <c r="B96" s="212"/>
      <c r="C96" s="121"/>
      <c r="D96" s="146"/>
      <c r="E96" s="120"/>
      <c r="F96" s="120"/>
      <c r="G96" s="1303"/>
      <c r="H96" s="1303"/>
      <c r="I96" s="1303"/>
      <c r="J96" s="1303"/>
      <c r="L96" s="124"/>
      <c r="M96" s="124"/>
      <c r="N96" s="166"/>
      <c r="O96" s="124"/>
      <c r="P96" s="124"/>
      <c r="Q96" s="124"/>
    </row>
    <row r="97" spans="1:12">
      <c r="A97" s="120"/>
      <c r="B97" s="212"/>
      <c r="C97" s="145"/>
      <c r="D97" s="146"/>
      <c r="E97" s="120"/>
      <c r="F97" s="120"/>
      <c r="G97" s="120"/>
      <c r="H97" s="120"/>
      <c r="I97" s="1303"/>
      <c r="J97" s="1303"/>
    </row>
    <row r="98" spans="1:12" ht="17.25" customHeight="1">
      <c r="A98" s="173"/>
      <c r="B98" s="174" t="s">
        <v>223</v>
      </c>
      <c r="C98" s="175"/>
      <c r="D98" s="146"/>
      <c r="E98" s="120"/>
      <c r="F98" s="120"/>
      <c r="G98" s="147"/>
      <c r="H98" s="120"/>
      <c r="I98" s="1303"/>
      <c r="J98" s="1303"/>
      <c r="L98" s="176" t="s">
        <v>224</v>
      </c>
    </row>
    <row r="99" spans="1:12" ht="39" customHeight="1">
      <c r="A99" s="120"/>
      <c r="B99" s="212" t="s">
        <v>5706</v>
      </c>
      <c r="C99" s="145"/>
      <c r="D99" s="146"/>
      <c r="E99" s="4">
        <v>4</v>
      </c>
      <c r="F99" s="120">
        <v>3.14</v>
      </c>
      <c r="G99" s="1303">
        <v>0.15</v>
      </c>
      <c r="H99" s="1303">
        <v>0.15</v>
      </c>
      <c r="I99" s="1303"/>
      <c r="J99" s="1303">
        <f>PRODUCT(E99:I99)</f>
        <v>0.28259999999999996</v>
      </c>
      <c r="L99" s="124">
        <f>I66</f>
        <v>0.4</v>
      </c>
    </row>
    <row r="100" spans="1:12">
      <c r="A100" s="120"/>
      <c r="B100" s="212" t="s">
        <v>208</v>
      </c>
      <c r="C100" s="145"/>
      <c r="D100" s="146"/>
      <c r="E100" s="4">
        <v>11</v>
      </c>
      <c r="F100" s="120">
        <v>1</v>
      </c>
      <c r="G100" s="1348">
        <v>0.23</v>
      </c>
      <c r="H100" s="1348">
        <v>0.38</v>
      </c>
      <c r="I100" s="1348"/>
      <c r="J100" s="1348">
        <f t="shared" ref="J100:J102" si="14">PRODUCT(E100:I100)</f>
        <v>0.96140000000000014</v>
      </c>
      <c r="L100" s="124">
        <f>I69</f>
        <v>0.4</v>
      </c>
    </row>
    <row r="101" spans="1:12">
      <c r="A101" s="120"/>
      <c r="B101" s="212" t="s">
        <v>210</v>
      </c>
      <c r="C101" s="145"/>
      <c r="D101" s="146"/>
      <c r="E101" s="4">
        <v>10</v>
      </c>
      <c r="F101" s="120">
        <v>1</v>
      </c>
      <c r="G101" s="1348">
        <v>0.23</v>
      </c>
      <c r="H101" s="1348">
        <v>0.45</v>
      </c>
      <c r="I101" s="1348"/>
      <c r="J101" s="1348">
        <f t="shared" si="14"/>
        <v>1.0350000000000001</v>
      </c>
      <c r="L101" s="124">
        <f>I70</f>
        <v>0.48</v>
      </c>
    </row>
    <row r="102" spans="1:12">
      <c r="A102" s="120"/>
      <c r="B102" s="212" t="s">
        <v>212</v>
      </c>
      <c r="C102" s="145"/>
      <c r="D102" s="146"/>
      <c r="E102" s="4">
        <v>7</v>
      </c>
      <c r="F102" s="120">
        <v>1</v>
      </c>
      <c r="G102" s="1348">
        <v>0.3</v>
      </c>
      <c r="H102" s="1348">
        <v>0.45</v>
      </c>
      <c r="I102" s="1348"/>
      <c r="J102" s="1348">
        <f t="shared" si="14"/>
        <v>0.94500000000000006</v>
      </c>
      <c r="L102" s="124">
        <f>I71</f>
        <v>0.48</v>
      </c>
    </row>
    <row r="103" spans="1:12">
      <c r="A103" s="120"/>
      <c r="B103" s="212"/>
      <c r="C103" s="145"/>
      <c r="D103" s="146"/>
      <c r="E103" s="4"/>
      <c r="F103" s="120"/>
      <c r="G103" s="1348"/>
      <c r="H103" s="1348"/>
      <c r="I103" s="1348"/>
      <c r="J103" s="1348"/>
      <c r="L103" s="124">
        <f>I79</f>
        <v>0</v>
      </c>
    </row>
    <row r="104" spans="1:12">
      <c r="A104" s="120"/>
      <c r="B104" s="212"/>
      <c r="C104" s="145"/>
      <c r="D104" s="146"/>
      <c r="E104" s="4"/>
      <c r="F104" s="120"/>
      <c r="G104" s="1348"/>
      <c r="H104" s="1348"/>
      <c r="I104" s="1348"/>
      <c r="J104" s="1348"/>
      <c r="L104" s="124">
        <f>L103</f>
        <v>0</v>
      </c>
    </row>
    <row r="105" spans="1:12">
      <c r="A105" s="120"/>
      <c r="B105" s="212"/>
      <c r="C105" s="145"/>
      <c r="D105" s="146"/>
      <c r="E105" s="4"/>
      <c r="F105" s="120"/>
      <c r="G105" s="1348"/>
      <c r="H105" s="1348"/>
      <c r="I105" s="1348"/>
      <c r="J105" s="1348"/>
      <c r="L105" s="124"/>
    </row>
    <row r="106" spans="1:12">
      <c r="A106" s="120"/>
      <c r="B106" s="212"/>
      <c r="C106" s="145"/>
      <c r="D106" s="146"/>
      <c r="E106" s="4"/>
      <c r="F106" s="147"/>
      <c r="G106" s="1303"/>
      <c r="H106" s="1303"/>
      <c r="I106" s="1303"/>
      <c r="J106" s="1303"/>
      <c r="L106" s="124"/>
    </row>
    <row r="107" spans="1:12">
      <c r="A107" s="120"/>
      <c r="B107" s="212"/>
      <c r="C107" s="145"/>
      <c r="D107" s="146"/>
      <c r="E107" s="4"/>
      <c r="F107" s="120"/>
      <c r="G107" s="1303"/>
      <c r="H107" s="1303"/>
      <c r="I107" s="1303"/>
      <c r="J107" s="1303"/>
      <c r="L107" s="124"/>
    </row>
    <row r="108" spans="1:12">
      <c r="A108" s="120"/>
      <c r="B108" s="212"/>
      <c r="C108" s="145"/>
      <c r="D108" s="146"/>
      <c r="E108" s="4"/>
      <c r="F108" s="120"/>
      <c r="G108" s="1303"/>
      <c r="H108" s="1303"/>
      <c r="I108" s="1303"/>
      <c r="J108" s="1303"/>
      <c r="L108" s="124"/>
    </row>
    <row r="109" spans="1:12">
      <c r="A109" s="120"/>
      <c r="B109" s="212"/>
      <c r="C109" s="145"/>
      <c r="D109" s="146"/>
      <c r="E109" s="120"/>
      <c r="F109" s="120"/>
      <c r="G109" s="1303"/>
      <c r="H109" s="1303"/>
      <c r="I109" s="1303"/>
      <c r="J109" s="1303"/>
      <c r="L109" s="124"/>
    </row>
    <row r="110" spans="1:12">
      <c r="A110" s="120"/>
      <c r="B110" s="212"/>
      <c r="C110" s="145"/>
      <c r="D110" s="146"/>
      <c r="E110" s="120"/>
      <c r="F110" s="120"/>
      <c r="G110" s="1303"/>
      <c r="H110" s="1303"/>
      <c r="I110" s="1303"/>
      <c r="J110" s="1303"/>
      <c r="L110" s="124" t="e">
        <f>#REF!</f>
        <v>#REF!</v>
      </c>
    </row>
    <row r="111" spans="1:12">
      <c r="A111" s="120"/>
      <c r="B111" s="212"/>
      <c r="C111" s="145"/>
      <c r="D111" s="146"/>
      <c r="E111" s="120"/>
      <c r="F111" s="120"/>
      <c r="G111" s="1303"/>
      <c r="H111" s="1303"/>
      <c r="I111" s="1303"/>
      <c r="J111" s="1303"/>
      <c r="L111" s="124" t="e">
        <f>#REF!</f>
        <v>#REF!</v>
      </c>
    </row>
    <row r="112" spans="1:12">
      <c r="A112" s="120"/>
      <c r="B112" s="212"/>
      <c r="C112" s="145"/>
      <c r="D112" s="146"/>
      <c r="E112" s="120"/>
      <c r="F112" s="120"/>
      <c r="G112" s="1303"/>
      <c r="H112" s="1303"/>
      <c r="I112" s="1303"/>
      <c r="J112" s="1303"/>
      <c r="L112" s="124" t="e">
        <f>#REF!</f>
        <v>#REF!</v>
      </c>
    </row>
    <row r="113" spans="1:13" ht="34.5">
      <c r="A113" s="120"/>
      <c r="B113" s="210" t="s">
        <v>225</v>
      </c>
      <c r="C113" s="145"/>
      <c r="D113" s="146"/>
      <c r="E113" s="120"/>
      <c r="F113" s="120"/>
      <c r="G113" s="1303"/>
      <c r="H113" s="1303"/>
      <c r="I113" s="1303"/>
      <c r="J113" s="1303"/>
      <c r="L113" s="124" t="s">
        <v>224</v>
      </c>
    </row>
    <row r="114" spans="1:13" ht="34.5">
      <c r="A114" s="120"/>
      <c r="B114" s="212" t="str">
        <f t="shared" ref="B114:H117" si="15">B99</f>
        <v xml:space="preserve">For C1 Round Column Dia 0.3 Radius = 0.15 </v>
      </c>
      <c r="C114" s="145">
        <f t="shared" si="15"/>
        <v>0</v>
      </c>
      <c r="D114" s="145">
        <f t="shared" si="15"/>
        <v>0</v>
      </c>
      <c r="E114" s="120">
        <f t="shared" si="15"/>
        <v>4</v>
      </c>
      <c r="F114" s="120">
        <f t="shared" si="15"/>
        <v>3.14</v>
      </c>
      <c r="G114" s="1303">
        <f t="shared" si="15"/>
        <v>0.15</v>
      </c>
      <c r="H114" s="120">
        <f t="shared" si="15"/>
        <v>0.15</v>
      </c>
      <c r="I114" s="1303">
        <v>0.6</v>
      </c>
      <c r="J114" s="1303">
        <f>PRODUCT(E114:I114)</f>
        <v>0.16955999999999996</v>
      </c>
      <c r="L114" s="124" t="e">
        <f>#REF!</f>
        <v>#REF!</v>
      </c>
    </row>
    <row r="115" spans="1:13">
      <c r="A115" s="120"/>
      <c r="B115" s="212" t="str">
        <f t="shared" si="15"/>
        <v>For C2</v>
      </c>
      <c r="C115" s="145">
        <f t="shared" si="15"/>
        <v>0</v>
      </c>
      <c r="D115" s="145">
        <f t="shared" si="15"/>
        <v>0</v>
      </c>
      <c r="E115" s="120">
        <f t="shared" si="15"/>
        <v>11</v>
      </c>
      <c r="F115" s="120">
        <f t="shared" si="15"/>
        <v>1</v>
      </c>
      <c r="G115" s="1303">
        <f t="shared" si="15"/>
        <v>0.23</v>
      </c>
      <c r="H115" s="120">
        <f t="shared" si="15"/>
        <v>0.38</v>
      </c>
      <c r="I115" s="1303">
        <f>I114</f>
        <v>0.6</v>
      </c>
      <c r="J115" s="1303">
        <f>PRODUCT(E115:I115)</f>
        <v>0.57684000000000002</v>
      </c>
      <c r="L115" s="124" t="e">
        <f>#REF!</f>
        <v>#REF!</v>
      </c>
    </row>
    <row r="116" spans="1:13">
      <c r="A116" s="120"/>
      <c r="B116" s="212" t="str">
        <f t="shared" si="15"/>
        <v>For C3</v>
      </c>
      <c r="C116" s="145">
        <f t="shared" si="15"/>
        <v>0</v>
      </c>
      <c r="D116" s="145">
        <f t="shared" si="15"/>
        <v>0</v>
      </c>
      <c r="E116" s="120">
        <f t="shared" si="15"/>
        <v>10</v>
      </c>
      <c r="F116" s="120">
        <f t="shared" si="15"/>
        <v>1</v>
      </c>
      <c r="G116" s="1303">
        <f t="shared" si="15"/>
        <v>0.23</v>
      </c>
      <c r="H116" s="120">
        <f t="shared" si="15"/>
        <v>0.45</v>
      </c>
      <c r="I116" s="1303">
        <f>I115</f>
        <v>0.6</v>
      </c>
      <c r="J116" s="1303">
        <f>PRODUCT(E116:I116)</f>
        <v>0.62100000000000011</v>
      </c>
      <c r="L116" s="124" t="e">
        <f>#REF!</f>
        <v>#REF!</v>
      </c>
    </row>
    <row r="117" spans="1:13">
      <c r="A117" s="120"/>
      <c r="B117" s="212" t="str">
        <f t="shared" si="15"/>
        <v>For C4</v>
      </c>
      <c r="C117" s="145">
        <f t="shared" si="15"/>
        <v>0</v>
      </c>
      <c r="D117" s="145">
        <f t="shared" si="15"/>
        <v>0</v>
      </c>
      <c r="E117" s="120">
        <f t="shared" si="15"/>
        <v>7</v>
      </c>
      <c r="F117" s="120">
        <f t="shared" si="15"/>
        <v>1</v>
      </c>
      <c r="G117" s="1303">
        <f t="shared" si="15"/>
        <v>0.3</v>
      </c>
      <c r="H117" s="120">
        <f t="shared" si="15"/>
        <v>0.45</v>
      </c>
      <c r="I117" s="1303">
        <f>I116</f>
        <v>0.6</v>
      </c>
      <c r="J117" s="1303">
        <f>PRODUCT(E117:I117)</f>
        <v>0.56700000000000006</v>
      </c>
      <c r="L117" s="124" t="e">
        <f>#REF!</f>
        <v>#REF!</v>
      </c>
    </row>
    <row r="118" spans="1:13">
      <c r="A118" s="120"/>
      <c r="B118" s="212"/>
      <c r="C118" s="145"/>
      <c r="D118" s="145"/>
      <c r="E118" s="120"/>
      <c r="F118" s="120"/>
      <c r="G118" s="1348"/>
      <c r="H118" s="120"/>
      <c r="I118" s="1348"/>
      <c r="J118" s="1348"/>
      <c r="L118" s="124" t="e">
        <f>#REF!</f>
        <v>#REF!</v>
      </c>
    </row>
    <row r="119" spans="1:13">
      <c r="A119" s="120"/>
      <c r="B119" s="212"/>
      <c r="C119" s="145"/>
      <c r="D119" s="145"/>
      <c r="E119" s="120"/>
      <c r="F119" s="120"/>
      <c r="G119" s="1348"/>
      <c r="H119" s="120"/>
      <c r="I119" s="1348"/>
      <c r="J119" s="1348"/>
      <c r="L119" s="124"/>
    </row>
    <row r="120" spans="1:13">
      <c r="A120" s="120"/>
      <c r="B120" s="212"/>
      <c r="C120" s="145"/>
      <c r="D120" s="145"/>
      <c r="E120" s="120"/>
      <c r="F120" s="120"/>
      <c r="G120" s="1303"/>
      <c r="H120" s="120"/>
      <c r="I120" s="1303"/>
      <c r="J120" s="1303"/>
      <c r="L120" s="124" t="e">
        <f>#REF!</f>
        <v>#REF!</v>
      </c>
    </row>
    <row r="121" spans="1:13">
      <c r="A121" s="120"/>
      <c r="B121" s="212"/>
      <c r="C121" s="145"/>
      <c r="D121" s="145"/>
      <c r="E121" s="120"/>
      <c r="F121" s="120"/>
      <c r="G121" s="1303"/>
      <c r="H121" s="120"/>
      <c r="I121" s="1303"/>
      <c r="J121" s="1303"/>
      <c r="L121" s="124"/>
    </row>
    <row r="122" spans="1:13">
      <c r="A122" s="120"/>
      <c r="B122" s="212">
        <f t="shared" ref="B122:H122" si="16">B107</f>
        <v>0</v>
      </c>
      <c r="C122" s="145">
        <f t="shared" si="16"/>
        <v>0</v>
      </c>
      <c r="D122" s="145">
        <f t="shared" si="16"/>
        <v>0</v>
      </c>
      <c r="E122" s="120">
        <f t="shared" si="16"/>
        <v>0</v>
      </c>
      <c r="F122" s="120">
        <f t="shared" si="16"/>
        <v>0</v>
      </c>
      <c r="G122" s="1303">
        <f t="shared" si="16"/>
        <v>0</v>
      </c>
      <c r="H122" s="120">
        <f t="shared" si="16"/>
        <v>0</v>
      </c>
      <c r="I122" s="1303"/>
      <c r="J122" s="1303">
        <f>PRODUCT(E122:I122)</f>
        <v>0</v>
      </c>
      <c r="L122" s="124" t="e">
        <f>#REF!</f>
        <v>#REF!</v>
      </c>
    </row>
    <row r="123" spans="1:13">
      <c r="A123" s="120"/>
      <c r="B123" s="212"/>
      <c r="C123" s="145"/>
      <c r="D123" s="145"/>
      <c r="E123" s="120"/>
      <c r="F123" s="120"/>
      <c r="G123" s="120"/>
      <c r="H123" s="1303"/>
      <c r="I123" s="1303"/>
      <c r="J123" s="1303"/>
      <c r="L123" s="124"/>
    </row>
    <row r="124" spans="1:13">
      <c r="A124" s="120"/>
      <c r="B124" s="212"/>
      <c r="C124" s="145"/>
      <c r="D124" s="145"/>
      <c r="E124" s="120"/>
      <c r="F124" s="120"/>
      <c r="G124" s="120"/>
      <c r="H124" s="120"/>
      <c r="I124" s="1303"/>
      <c r="J124" s="1303"/>
      <c r="L124" s="124"/>
    </row>
    <row r="125" spans="1:13">
      <c r="A125" s="120"/>
      <c r="B125" s="212"/>
      <c r="C125" s="145"/>
      <c r="D125" s="145"/>
      <c r="E125" s="120"/>
      <c r="F125" s="120"/>
      <c r="G125" s="120"/>
      <c r="H125" s="120"/>
      <c r="I125" s="1303"/>
      <c r="J125" s="1303"/>
      <c r="L125" s="124"/>
    </row>
    <row r="126" spans="1:13">
      <c r="A126" s="120"/>
      <c r="B126" s="212"/>
      <c r="C126" s="145"/>
      <c r="D126" s="146"/>
      <c r="E126" s="120"/>
      <c r="F126" s="120"/>
      <c r="G126" s="1303"/>
      <c r="H126" s="1303"/>
      <c r="I126" s="1303"/>
      <c r="J126" s="1303"/>
      <c r="L126" s="124" t="e">
        <f>#REF!</f>
        <v>#REF!</v>
      </c>
    </row>
    <row r="127" spans="1:13">
      <c r="A127" s="120"/>
      <c r="B127" s="210" t="s">
        <v>226</v>
      </c>
      <c r="C127" s="121"/>
      <c r="D127" s="122"/>
      <c r="E127" s="120"/>
      <c r="F127" s="120"/>
      <c r="G127" s="120"/>
      <c r="H127" s="120"/>
      <c r="I127" s="1303"/>
      <c r="J127" s="1303"/>
    </row>
    <row r="128" spans="1:13" s="182" customFormat="1">
      <c r="A128" s="177"/>
      <c r="B128" s="1333" t="s">
        <v>5707</v>
      </c>
      <c r="C128" s="178"/>
      <c r="D128" s="179"/>
      <c r="E128" s="165">
        <v>1</v>
      </c>
      <c r="F128" s="165">
        <v>1</v>
      </c>
      <c r="G128" s="168">
        <v>4</v>
      </c>
      <c r="H128" s="168">
        <v>5.0999999999999996</v>
      </c>
      <c r="I128" s="1305">
        <v>0.1</v>
      </c>
      <c r="J128" s="1305">
        <f t="shared" ref="J128:J146" si="17">PRODUCT(E128:I128)</f>
        <v>2.04</v>
      </c>
      <c r="K128" s="124"/>
      <c r="L128" s="180"/>
      <c r="M128" s="181"/>
    </row>
    <row r="129" spans="1:13" s="182" customFormat="1" ht="24.75" customHeight="1">
      <c r="A129" s="177"/>
      <c r="B129" s="1333" t="s">
        <v>5708</v>
      </c>
      <c r="C129" s="178"/>
      <c r="D129" s="179"/>
      <c r="E129" s="165">
        <v>1</v>
      </c>
      <c r="F129" s="165">
        <v>1</v>
      </c>
      <c r="G129" s="1305">
        <v>3.9</v>
      </c>
      <c r="H129" s="168">
        <v>2.77</v>
      </c>
      <c r="I129" s="1305">
        <f>I128</f>
        <v>0.1</v>
      </c>
      <c r="J129" s="1305">
        <f t="shared" si="17"/>
        <v>1.0803</v>
      </c>
      <c r="K129" s="124"/>
      <c r="L129" s="180"/>
      <c r="M129" s="181"/>
    </row>
    <row r="130" spans="1:13" s="185" customFormat="1">
      <c r="A130" s="177"/>
      <c r="B130" s="1333" t="s">
        <v>5709</v>
      </c>
      <c r="C130" s="178"/>
      <c r="D130" s="179"/>
      <c r="E130" s="165">
        <v>1</v>
      </c>
      <c r="F130" s="165">
        <v>1</v>
      </c>
      <c r="G130" s="1305">
        <v>2.5249999999999999</v>
      </c>
      <c r="H130" s="168">
        <v>2.77</v>
      </c>
      <c r="I130" s="1305">
        <f>I129</f>
        <v>0.1</v>
      </c>
      <c r="J130" s="1305">
        <f t="shared" si="17"/>
        <v>0.69942500000000007</v>
      </c>
      <c r="K130" s="169"/>
      <c r="L130" s="183"/>
      <c r="M130" s="184"/>
    </row>
    <row r="131" spans="1:13" s="185" customFormat="1">
      <c r="A131" s="177"/>
      <c r="B131" s="1333" t="s">
        <v>5710</v>
      </c>
      <c r="C131" s="178"/>
      <c r="D131" s="179"/>
      <c r="E131" s="165">
        <v>1</v>
      </c>
      <c r="F131" s="165">
        <v>1</v>
      </c>
      <c r="G131" s="168">
        <v>3</v>
      </c>
      <c r="H131" s="168">
        <v>5.3</v>
      </c>
      <c r="I131" s="1305">
        <f>I130</f>
        <v>0.1</v>
      </c>
      <c r="J131" s="1305">
        <f t="shared" si="17"/>
        <v>1.5899999999999999</v>
      </c>
      <c r="K131" s="169"/>
      <c r="L131" s="183"/>
      <c r="M131" s="184"/>
    </row>
    <row r="132" spans="1:13" s="185" customFormat="1">
      <c r="A132" s="177"/>
      <c r="B132" s="1333" t="s">
        <v>5711</v>
      </c>
      <c r="C132" s="178"/>
      <c r="D132" s="179"/>
      <c r="E132" s="165">
        <v>1</v>
      </c>
      <c r="F132" s="165">
        <v>1</v>
      </c>
      <c r="G132" s="168">
        <v>4</v>
      </c>
      <c r="H132" s="168">
        <v>5.0999999999999996</v>
      </c>
      <c r="I132" s="1305">
        <f>I131</f>
        <v>0.1</v>
      </c>
      <c r="J132" s="1305">
        <f t="shared" si="17"/>
        <v>2.04</v>
      </c>
      <c r="K132" s="169"/>
      <c r="L132" s="183">
        <f>3.33-1.163</f>
        <v>2.1669999999999998</v>
      </c>
      <c r="M132" s="184"/>
    </row>
    <row r="133" spans="1:13" s="182" customFormat="1">
      <c r="A133" s="186"/>
      <c r="B133" s="1333" t="s">
        <v>227</v>
      </c>
      <c r="C133" s="178"/>
      <c r="D133" s="179"/>
      <c r="E133" s="165">
        <v>1</v>
      </c>
      <c r="F133" s="165">
        <v>1</v>
      </c>
      <c r="G133" s="187">
        <v>4</v>
      </c>
      <c r="H133" s="187">
        <v>3.23</v>
      </c>
      <c r="I133" s="188">
        <v>0.1</v>
      </c>
      <c r="J133" s="188">
        <f t="shared" si="17"/>
        <v>1.292</v>
      </c>
      <c r="K133" s="124"/>
      <c r="L133" s="180"/>
      <c r="M133" s="181"/>
    </row>
    <row r="134" spans="1:13" s="182" customFormat="1">
      <c r="A134" s="186"/>
      <c r="B134" s="1333" t="s">
        <v>5712</v>
      </c>
      <c r="C134" s="178"/>
      <c r="D134" s="179"/>
      <c r="E134" s="165">
        <v>1</v>
      </c>
      <c r="F134" s="165">
        <v>1</v>
      </c>
      <c r="G134" s="187">
        <v>2.895</v>
      </c>
      <c r="H134" s="187">
        <v>3.5649999999999999</v>
      </c>
      <c r="I134" s="188">
        <v>0.1</v>
      </c>
      <c r="J134" s="188">
        <f t="shared" si="17"/>
        <v>1.0320674999999999</v>
      </c>
      <c r="K134" s="124"/>
      <c r="L134" s="180"/>
      <c r="M134" s="181"/>
    </row>
    <row r="135" spans="1:13" s="182" customFormat="1">
      <c r="A135" s="186"/>
      <c r="B135" s="1333" t="s">
        <v>228</v>
      </c>
      <c r="C135" s="178"/>
      <c r="D135" s="179"/>
      <c r="E135" s="165">
        <v>1</v>
      </c>
      <c r="F135" s="165">
        <v>1</v>
      </c>
      <c r="G135" s="1305">
        <v>6.76</v>
      </c>
      <c r="H135" s="168">
        <v>5.76</v>
      </c>
      <c r="I135" s="1305">
        <f>I134</f>
        <v>0.1</v>
      </c>
      <c r="J135" s="1305">
        <f t="shared" si="17"/>
        <v>3.8937599999999999</v>
      </c>
      <c r="K135" s="124"/>
      <c r="L135" s="180"/>
      <c r="M135" s="181"/>
    </row>
    <row r="136" spans="1:13" s="182" customFormat="1">
      <c r="A136" s="186"/>
      <c r="B136" s="1333" t="s">
        <v>229</v>
      </c>
      <c r="C136" s="178"/>
      <c r="D136" s="179"/>
      <c r="E136" s="165">
        <v>1</v>
      </c>
      <c r="F136" s="165">
        <v>1</v>
      </c>
      <c r="G136" s="1305">
        <v>4</v>
      </c>
      <c r="H136" s="168">
        <v>3.23</v>
      </c>
      <c r="I136" s="1305">
        <f>I135</f>
        <v>0.1</v>
      </c>
      <c r="J136" s="1305">
        <f t="shared" si="17"/>
        <v>1.292</v>
      </c>
      <c r="K136" s="189"/>
      <c r="L136" s="180"/>
      <c r="M136" s="181"/>
    </row>
    <row r="137" spans="1:13" s="182" customFormat="1">
      <c r="A137" s="186"/>
      <c r="B137" s="1333" t="s">
        <v>230</v>
      </c>
      <c r="C137" s="178"/>
      <c r="D137" s="179"/>
      <c r="E137" s="165">
        <v>1</v>
      </c>
      <c r="F137" s="165">
        <v>1</v>
      </c>
      <c r="G137" s="168">
        <v>4</v>
      </c>
      <c r="H137" s="168">
        <v>2.5</v>
      </c>
      <c r="I137" s="1305">
        <f>I136</f>
        <v>0.1</v>
      </c>
      <c r="J137" s="1305">
        <f t="shared" si="17"/>
        <v>1</v>
      </c>
      <c r="K137" s="189"/>
      <c r="L137" s="180"/>
      <c r="M137" s="181"/>
    </row>
    <row r="138" spans="1:13" s="182" customFormat="1">
      <c r="A138" s="186"/>
      <c r="B138" s="1333" t="s">
        <v>231</v>
      </c>
      <c r="C138" s="178"/>
      <c r="D138" s="179"/>
      <c r="E138" s="165">
        <v>1</v>
      </c>
      <c r="F138" s="165">
        <v>1</v>
      </c>
      <c r="G138" s="168">
        <v>2.895</v>
      </c>
      <c r="H138" s="1305">
        <v>1.9650000000000001</v>
      </c>
      <c r="I138" s="1305">
        <f>I137</f>
        <v>0.1</v>
      </c>
      <c r="J138" s="1305">
        <f t="shared" si="17"/>
        <v>0.56886749999999997</v>
      </c>
      <c r="K138" s="189"/>
      <c r="L138" s="180"/>
      <c r="M138" s="181"/>
    </row>
    <row r="139" spans="1:13" s="182" customFormat="1">
      <c r="A139" s="186"/>
      <c r="B139" s="1333" t="s">
        <v>232</v>
      </c>
      <c r="C139" s="178"/>
      <c r="D139" s="179"/>
      <c r="E139" s="165">
        <v>1</v>
      </c>
      <c r="F139" s="165">
        <v>1</v>
      </c>
      <c r="G139" s="168">
        <v>4</v>
      </c>
      <c r="H139" s="168">
        <v>2.5</v>
      </c>
      <c r="I139" s="1305">
        <v>0.1</v>
      </c>
      <c r="J139" s="1305">
        <f t="shared" si="17"/>
        <v>1</v>
      </c>
      <c r="K139" s="189"/>
      <c r="L139" s="180"/>
      <c r="M139" s="181"/>
    </row>
    <row r="140" spans="1:13" s="182" customFormat="1">
      <c r="A140" s="186"/>
      <c r="B140" s="1333" t="s">
        <v>233</v>
      </c>
      <c r="C140" s="178"/>
      <c r="D140" s="179"/>
      <c r="E140" s="165">
        <v>1</v>
      </c>
      <c r="F140" s="165">
        <v>1</v>
      </c>
      <c r="G140" s="1305">
        <v>4</v>
      </c>
      <c r="H140" s="168">
        <v>3.9</v>
      </c>
      <c r="I140" s="1305">
        <v>0.1</v>
      </c>
      <c r="J140" s="1305">
        <f t="shared" si="17"/>
        <v>1.56</v>
      </c>
      <c r="K140" s="189"/>
      <c r="L140" s="180"/>
      <c r="M140" s="181"/>
    </row>
    <row r="141" spans="1:13" s="182" customFormat="1">
      <c r="A141" s="186"/>
      <c r="B141" s="1333" t="s">
        <v>234</v>
      </c>
      <c r="C141" s="178"/>
      <c r="D141" s="179"/>
      <c r="E141" s="165">
        <v>1</v>
      </c>
      <c r="F141" s="165">
        <v>1</v>
      </c>
      <c r="G141" s="168">
        <v>5.4249999999999998</v>
      </c>
      <c r="H141" s="168">
        <v>3.9</v>
      </c>
      <c r="I141" s="1305">
        <v>0.1</v>
      </c>
      <c r="J141" s="1305">
        <f t="shared" si="17"/>
        <v>2.1157499999999998</v>
      </c>
      <c r="K141" s="189"/>
      <c r="L141" s="180"/>
      <c r="M141" s="181"/>
    </row>
    <row r="142" spans="1:13" s="182" customFormat="1">
      <c r="A142" s="186"/>
      <c r="B142" s="1333" t="s">
        <v>235</v>
      </c>
      <c r="C142" s="178"/>
      <c r="D142" s="179"/>
      <c r="E142" s="165">
        <v>1</v>
      </c>
      <c r="F142" s="165">
        <v>1</v>
      </c>
      <c r="G142" s="168">
        <v>4.4649999999999999</v>
      </c>
      <c r="H142" s="168">
        <v>3.9</v>
      </c>
      <c r="I142" s="1305">
        <v>0.1</v>
      </c>
      <c r="J142" s="1305">
        <f t="shared" si="17"/>
        <v>1.74135</v>
      </c>
      <c r="K142" s="189"/>
      <c r="L142" s="180"/>
      <c r="M142" s="181"/>
    </row>
    <row r="143" spans="1:13" s="182" customFormat="1">
      <c r="A143" s="186"/>
      <c r="B143" s="1333" t="s">
        <v>236</v>
      </c>
      <c r="C143" s="178"/>
      <c r="D143" s="179"/>
      <c r="E143" s="165">
        <v>1</v>
      </c>
      <c r="F143" s="165">
        <v>1</v>
      </c>
      <c r="G143" s="187">
        <v>3.7650000000000001</v>
      </c>
      <c r="H143" s="187">
        <v>3.9</v>
      </c>
      <c r="I143" s="188">
        <v>0.1</v>
      </c>
      <c r="J143" s="188">
        <f t="shared" si="17"/>
        <v>1.46835</v>
      </c>
      <c r="K143" s="189"/>
      <c r="L143" s="180"/>
      <c r="M143" s="181"/>
    </row>
    <row r="144" spans="1:13" s="182" customFormat="1">
      <c r="A144" s="186"/>
      <c r="B144" s="1333" t="s">
        <v>237</v>
      </c>
      <c r="C144" s="178"/>
      <c r="D144" s="179"/>
      <c r="E144" s="165">
        <v>1</v>
      </c>
      <c r="F144" s="165">
        <v>1</v>
      </c>
      <c r="G144" s="187">
        <v>4.3250000000000002</v>
      </c>
      <c r="H144" s="187">
        <v>2.2999999999999998</v>
      </c>
      <c r="I144" s="188">
        <v>0.1</v>
      </c>
      <c r="J144" s="188">
        <f t="shared" si="17"/>
        <v>0.99475000000000002</v>
      </c>
      <c r="K144" s="189"/>
      <c r="L144" s="180"/>
      <c r="M144" s="181"/>
    </row>
    <row r="145" spans="1:13" s="182" customFormat="1">
      <c r="A145" s="186"/>
      <c r="B145" s="1333" t="s">
        <v>238</v>
      </c>
      <c r="C145" s="178"/>
      <c r="D145" s="179"/>
      <c r="E145" s="165">
        <v>1</v>
      </c>
      <c r="F145" s="165">
        <v>1</v>
      </c>
      <c r="G145" s="187">
        <v>3.4249999999999998</v>
      </c>
      <c r="H145" s="187">
        <v>0.745</v>
      </c>
      <c r="I145" s="188">
        <v>0.1</v>
      </c>
      <c r="J145" s="188">
        <f t="shared" si="17"/>
        <v>0.25516250000000001</v>
      </c>
      <c r="K145" s="189"/>
      <c r="L145" s="180"/>
      <c r="M145" s="181"/>
    </row>
    <row r="146" spans="1:13" s="182" customFormat="1">
      <c r="A146" s="186"/>
      <c r="B146" s="1333" t="s">
        <v>239</v>
      </c>
      <c r="C146" s="178"/>
      <c r="D146" s="179"/>
      <c r="E146" s="165">
        <v>1</v>
      </c>
      <c r="F146" s="165">
        <v>1</v>
      </c>
      <c r="G146" s="187">
        <v>3.4249999999999998</v>
      </c>
      <c r="H146" s="187">
        <v>3.6</v>
      </c>
      <c r="I146" s="188">
        <v>0.1</v>
      </c>
      <c r="J146" s="188">
        <f t="shared" si="17"/>
        <v>1.2330000000000001</v>
      </c>
      <c r="K146" s="189"/>
      <c r="L146" s="180"/>
      <c r="M146" s="181"/>
    </row>
    <row r="147" spans="1:13" s="182" customFormat="1">
      <c r="A147" s="186"/>
      <c r="B147" s="1333"/>
      <c r="C147" s="178"/>
      <c r="D147" s="179"/>
      <c r="E147" s="165"/>
      <c r="F147" s="165"/>
      <c r="G147" s="187"/>
      <c r="H147" s="187"/>
      <c r="I147" s="188"/>
      <c r="J147" s="188"/>
      <c r="K147" s="189"/>
      <c r="L147" s="180"/>
      <c r="M147" s="181"/>
    </row>
    <row r="148" spans="1:13" s="182" customFormat="1">
      <c r="A148" s="186"/>
      <c r="B148" s="1333"/>
      <c r="C148" s="178"/>
      <c r="D148" s="179"/>
      <c r="E148" s="165"/>
      <c r="F148" s="165"/>
      <c r="G148" s="187"/>
      <c r="H148" s="187"/>
      <c r="I148" s="188"/>
      <c r="J148" s="188"/>
      <c r="K148" s="189"/>
      <c r="L148" s="180"/>
      <c r="M148" s="181"/>
    </row>
    <row r="149" spans="1:13" s="182" customFormat="1">
      <c r="A149" s="186"/>
      <c r="B149" s="1333"/>
      <c r="C149" s="178"/>
      <c r="D149" s="179"/>
      <c r="E149" s="165"/>
      <c r="F149" s="165"/>
      <c r="G149" s="187"/>
      <c r="H149" s="187"/>
      <c r="I149" s="188"/>
      <c r="J149" s="188"/>
      <c r="K149" s="189"/>
      <c r="L149" s="180"/>
      <c r="M149" s="181"/>
    </row>
    <row r="150" spans="1:13" s="182" customFormat="1">
      <c r="A150" s="186"/>
      <c r="B150" s="1334"/>
      <c r="C150" s="190"/>
      <c r="D150" s="191"/>
      <c r="E150" s="192"/>
      <c r="F150" s="192"/>
      <c r="G150" s="193"/>
      <c r="H150" s="193"/>
      <c r="I150" s="194"/>
      <c r="J150" s="194"/>
      <c r="K150" s="189"/>
      <c r="L150" s="180"/>
      <c r="M150" s="181"/>
    </row>
    <row r="151" spans="1:13" s="182" customFormat="1">
      <c r="A151" s="186"/>
      <c r="B151" s="1335" t="s">
        <v>240</v>
      </c>
      <c r="C151" s="190"/>
      <c r="D151" s="191"/>
      <c r="E151" s="192"/>
      <c r="F151" s="192"/>
      <c r="G151" s="194"/>
      <c r="H151" s="194"/>
      <c r="I151" s="194"/>
      <c r="J151" s="194"/>
      <c r="K151" s="189"/>
      <c r="L151" s="180"/>
      <c r="M151" s="181"/>
    </row>
    <row r="152" spans="1:13" s="158" customFormat="1">
      <c r="A152" s="153"/>
      <c r="B152" s="212" t="str">
        <f t="shared" ref="B152:H161" si="18">B128</f>
        <v>Part-1</v>
      </c>
      <c r="C152" s="190">
        <f t="shared" si="18"/>
        <v>0</v>
      </c>
      <c r="D152" s="191">
        <f t="shared" si="18"/>
        <v>0</v>
      </c>
      <c r="E152" s="120">
        <f t="shared" si="18"/>
        <v>1</v>
      </c>
      <c r="F152" s="120">
        <f t="shared" si="18"/>
        <v>1</v>
      </c>
      <c r="G152" s="1303">
        <f t="shared" si="18"/>
        <v>4</v>
      </c>
      <c r="H152" s="147">
        <f t="shared" si="18"/>
        <v>5.0999999999999996</v>
      </c>
      <c r="I152" s="1303">
        <f>D20-D17</f>
        <v>0.44999999999999996</v>
      </c>
      <c r="J152" s="1303">
        <f t="shared" ref="J152:J174" si="19">PRODUCT(E152:I152)</f>
        <v>9.1799999999999979</v>
      </c>
      <c r="K152" s="124"/>
    </row>
    <row r="153" spans="1:13" s="158" customFormat="1">
      <c r="A153" s="153"/>
      <c r="B153" s="212" t="str">
        <f t="shared" si="18"/>
        <v>Part-2</v>
      </c>
      <c r="C153" s="190">
        <f t="shared" si="18"/>
        <v>0</v>
      </c>
      <c r="D153" s="191">
        <f t="shared" si="18"/>
        <v>0</v>
      </c>
      <c r="E153" s="120">
        <f t="shared" si="18"/>
        <v>1</v>
      </c>
      <c r="F153" s="120">
        <f t="shared" si="18"/>
        <v>1</v>
      </c>
      <c r="G153" s="1303">
        <f t="shared" si="18"/>
        <v>3.9</v>
      </c>
      <c r="H153" s="147">
        <f t="shared" si="18"/>
        <v>2.77</v>
      </c>
      <c r="I153" s="1303">
        <f t="shared" ref="I153:I170" si="20">I152</f>
        <v>0.44999999999999996</v>
      </c>
      <c r="J153" s="1303">
        <f t="shared" si="19"/>
        <v>4.8613499999999989</v>
      </c>
      <c r="K153" s="124"/>
    </row>
    <row r="154" spans="1:13" s="158" customFormat="1">
      <c r="A154" s="153"/>
      <c r="B154" s="212" t="str">
        <f t="shared" si="18"/>
        <v>Part-3</v>
      </c>
      <c r="C154" s="190">
        <f t="shared" si="18"/>
        <v>0</v>
      </c>
      <c r="D154" s="191">
        <f t="shared" si="18"/>
        <v>0</v>
      </c>
      <c r="E154" s="120">
        <f t="shared" si="18"/>
        <v>1</v>
      </c>
      <c r="F154" s="120">
        <f t="shared" si="18"/>
        <v>1</v>
      </c>
      <c r="G154" s="1303">
        <f t="shared" si="18"/>
        <v>2.5249999999999999</v>
      </c>
      <c r="H154" s="147">
        <f t="shared" si="18"/>
        <v>2.77</v>
      </c>
      <c r="I154" s="1303">
        <f t="shared" si="20"/>
        <v>0.44999999999999996</v>
      </c>
      <c r="J154" s="1303">
        <f t="shared" si="19"/>
        <v>3.1474124999999997</v>
      </c>
      <c r="K154" s="124"/>
    </row>
    <row r="155" spans="1:13">
      <c r="A155" s="195"/>
      <c r="B155" s="212" t="str">
        <f t="shared" si="18"/>
        <v>Part-4</v>
      </c>
      <c r="C155" s="190">
        <f t="shared" si="18"/>
        <v>0</v>
      </c>
      <c r="D155" s="191">
        <f t="shared" si="18"/>
        <v>0</v>
      </c>
      <c r="E155" s="120">
        <f t="shared" si="18"/>
        <v>1</v>
      </c>
      <c r="F155" s="120">
        <f t="shared" si="18"/>
        <v>1</v>
      </c>
      <c r="G155" s="1303">
        <f t="shared" si="18"/>
        <v>3</v>
      </c>
      <c r="H155" s="147">
        <f t="shared" si="18"/>
        <v>5.3</v>
      </c>
      <c r="I155" s="1303">
        <f t="shared" si="20"/>
        <v>0.44999999999999996</v>
      </c>
      <c r="J155" s="1303">
        <f t="shared" si="19"/>
        <v>7.1549999999999985</v>
      </c>
    </row>
    <row r="156" spans="1:13">
      <c r="A156" s="196"/>
      <c r="B156" s="212" t="str">
        <f t="shared" si="18"/>
        <v>Part-5</v>
      </c>
      <c r="C156" s="190">
        <f t="shared" si="18"/>
        <v>0</v>
      </c>
      <c r="D156" s="191">
        <f t="shared" si="18"/>
        <v>0</v>
      </c>
      <c r="E156" s="120">
        <f t="shared" si="18"/>
        <v>1</v>
      </c>
      <c r="F156" s="120">
        <f t="shared" si="18"/>
        <v>1</v>
      </c>
      <c r="G156" s="1303">
        <f t="shared" si="18"/>
        <v>4</v>
      </c>
      <c r="H156" s="147">
        <f t="shared" si="18"/>
        <v>5.0999999999999996</v>
      </c>
      <c r="I156" s="1303">
        <f t="shared" si="20"/>
        <v>0.44999999999999996</v>
      </c>
      <c r="J156" s="1303">
        <f t="shared" si="19"/>
        <v>9.1799999999999979</v>
      </c>
      <c r="L156" s="115">
        <v>521</v>
      </c>
    </row>
    <row r="157" spans="1:13">
      <c r="A157" s="196"/>
      <c r="B157" s="212" t="str">
        <f t="shared" si="18"/>
        <v>Part-6</v>
      </c>
      <c r="C157" s="190">
        <f t="shared" si="18"/>
        <v>0</v>
      </c>
      <c r="D157" s="191">
        <f t="shared" si="18"/>
        <v>0</v>
      </c>
      <c r="E157" s="120">
        <f t="shared" si="18"/>
        <v>1</v>
      </c>
      <c r="F157" s="120">
        <f t="shared" si="18"/>
        <v>1</v>
      </c>
      <c r="G157" s="1303">
        <f t="shared" si="18"/>
        <v>4</v>
      </c>
      <c r="H157" s="147">
        <f t="shared" si="18"/>
        <v>3.23</v>
      </c>
      <c r="I157" s="1303">
        <f t="shared" si="20"/>
        <v>0.44999999999999996</v>
      </c>
      <c r="J157" s="1303">
        <f t="shared" si="19"/>
        <v>5.8139999999999992</v>
      </c>
      <c r="L157" s="115">
        <f>L156*18%</f>
        <v>93.78</v>
      </c>
    </row>
    <row r="158" spans="1:13">
      <c r="A158" s="196"/>
      <c r="B158" s="212" t="str">
        <f t="shared" si="18"/>
        <v>Part-7</v>
      </c>
      <c r="C158" s="190">
        <f t="shared" si="18"/>
        <v>0</v>
      </c>
      <c r="D158" s="191">
        <f t="shared" si="18"/>
        <v>0</v>
      </c>
      <c r="E158" s="120">
        <f t="shared" si="18"/>
        <v>1</v>
      </c>
      <c r="F158" s="120">
        <f t="shared" si="18"/>
        <v>1</v>
      </c>
      <c r="G158" s="1303">
        <f t="shared" si="18"/>
        <v>2.895</v>
      </c>
      <c r="H158" s="147">
        <f t="shared" si="18"/>
        <v>3.5649999999999999</v>
      </c>
      <c r="I158" s="1303">
        <f t="shared" si="20"/>
        <v>0.44999999999999996</v>
      </c>
      <c r="J158" s="1303">
        <f t="shared" si="19"/>
        <v>4.6443037499999997</v>
      </c>
      <c r="L158" s="115">
        <f>SUM(L156:L157)</f>
        <v>614.78</v>
      </c>
    </row>
    <row r="159" spans="1:13">
      <c r="A159" s="196"/>
      <c r="B159" s="212" t="str">
        <f t="shared" si="18"/>
        <v>Part-8</v>
      </c>
      <c r="C159" s="190">
        <f t="shared" si="18"/>
        <v>0</v>
      </c>
      <c r="D159" s="191">
        <f t="shared" si="18"/>
        <v>0</v>
      </c>
      <c r="E159" s="120">
        <f t="shared" si="18"/>
        <v>1</v>
      </c>
      <c r="F159" s="120">
        <f t="shared" si="18"/>
        <v>1</v>
      </c>
      <c r="G159" s="1303">
        <f t="shared" si="18"/>
        <v>6.76</v>
      </c>
      <c r="H159" s="147">
        <f t="shared" si="18"/>
        <v>5.76</v>
      </c>
      <c r="I159" s="1303">
        <f t="shared" si="20"/>
        <v>0.44999999999999996</v>
      </c>
      <c r="J159" s="1303">
        <f t="shared" si="19"/>
        <v>17.521919999999998</v>
      </c>
    </row>
    <row r="160" spans="1:13">
      <c r="A160" s="196"/>
      <c r="B160" s="212" t="str">
        <f t="shared" si="18"/>
        <v>Part-9</v>
      </c>
      <c r="C160" s="190">
        <f t="shared" si="18"/>
        <v>0</v>
      </c>
      <c r="D160" s="191">
        <f t="shared" si="18"/>
        <v>0</v>
      </c>
      <c r="E160" s="120">
        <f t="shared" si="18"/>
        <v>1</v>
      </c>
      <c r="F160" s="120">
        <f t="shared" si="18"/>
        <v>1</v>
      </c>
      <c r="G160" s="1303">
        <f t="shared" si="18"/>
        <v>4</v>
      </c>
      <c r="H160" s="147">
        <f t="shared" si="18"/>
        <v>3.23</v>
      </c>
      <c r="I160" s="1303">
        <f t="shared" si="20"/>
        <v>0.44999999999999996</v>
      </c>
      <c r="J160" s="1303">
        <f t="shared" si="19"/>
        <v>5.8139999999999992</v>
      </c>
    </row>
    <row r="161" spans="1:10">
      <c r="A161" s="196"/>
      <c r="B161" s="212" t="str">
        <f t="shared" si="18"/>
        <v>Part-10</v>
      </c>
      <c r="C161" s="190">
        <f t="shared" si="18"/>
        <v>0</v>
      </c>
      <c r="D161" s="191">
        <f t="shared" si="18"/>
        <v>0</v>
      </c>
      <c r="E161" s="120">
        <f t="shared" si="18"/>
        <v>1</v>
      </c>
      <c r="F161" s="120">
        <f t="shared" si="18"/>
        <v>1</v>
      </c>
      <c r="G161" s="1303">
        <f t="shared" si="18"/>
        <v>4</v>
      </c>
      <c r="H161" s="147">
        <f t="shared" si="18"/>
        <v>2.5</v>
      </c>
      <c r="I161" s="1303">
        <f t="shared" si="20"/>
        <v>0.44999999999999996</v>
      </c>
      <c r="J161" s="1303">
        <f t="shared" si="19"/>
        <v>4.5</v>
      </c>
    </row>
    <row r="162" spans="1:10">
      <c r="A162" s="196"/>
      <c r="B162" s="212" t="str">
        <f t="shared" ref="B162:H170" si="21">B138</f>
        <v>Part-11</v>
      </c>
      <c r="C162" s="190">
        <f t="shared" si="21"/>
        <v>0</v>
      </c>
      <c r="D162" s="191">
        <f t="shared" si="21"/>
        <v>0</v>
      </c>
      <c r="E162" s="120">
        <f t="shared" si="21"/>
        <v>1</v>
      </c>
      <c r="F162" s="120">
        <f t="shared" si="21"/>
        <v>1</v>
      </c>
      <c r="G162" s="1303">
        <f t="shared" si="21"/>
        <v>2.895</v>
      </c>
      <c r="H162" s="147">
        <f t="shared" si="21"/>
        <v>1.9650000000000001</v>
      </c>
      <c r="I162" s="1303">
        <f t="shared" si="20"/>
        <v>0.44999999999999996</v>
      </c>
      <c r="J162" s="1303">
        <f t="shared" si="19"/>
        <v>2.5599037499999997</v>
      </c>
    </row>
    <row r="163" spans="1:10">
      <c r="A163" s="196"/>
      <c r="B163" s="212" t="str">
        <f t="shared" si="21"/>
        <v>Part-12</v>
      </c>
      <c r="C163" s="190">
        <f t="shared" si="21"/>
        <v>0</v>
      </c>
      <c r="D163" s="191">
        <f t="shared" si="21"/>
        <v>0</v>
      </c>
      <c r="E163" s="120">
        <f t="shared" si="21"/>
        <v>1</v>
      </c>
      <c r="F163" s="120">
        <f t="shared" si="21"/>
        <v>1</v>
      </c>
      <c r="G163" s="1303">
        <f t="shared" si="21"/>
        <v>4</v>
      </c>
      <c r="H163" s="147">
        <f t="shared" si="21"/>
        <v>2.5</v>
      </c>
      <c r="I163" s="1303">
        <f t="shared" si="20"/>
        <v>0.44999999999999996</v>
      </c>
      <c r="J163" s="1303">
        <f t="shared" si="19"/>
        <v>4.5</v>
      </c>
    </row>
    <row r="164" spans="1:10">
      <c r="A164" s="196"/>
      <c r="B164" s="212" t="str">
        <f t="shared" si="21"/>
        <v>Part-13</v>
      </c>
      <c r="C164" s="190">
        <f t="shared" si="21"/>
        <v>0</v>
      </c>
      <c r="D164" s="191">
        <f t="shared" si="21"/>
        <v>0</v>
      </c>
      <c r="E164" s="120">
        <f t="shared" si="21"/>
        <v>1</v>
      </c>
      <c r="F164" s="120">
        <f t="shared" si="21"/>
        <v>1</v>
      </c>
      <c r="G164" s="1303">
        <f t="shared" si="21"/>
        <v>4</v>
      </c>
      <c r="H164" s="147">
        <f t="shared" si="21"/>
        <v>3.9</v>
      </c>
      <c r="I164" s="1303">
        <f t="shared" si="20"/>
        <v>0.44999999999999996</v>
      </c>
      <c r="J164" s="1303">
        <f t="shared" si="19"/>
        <v>7.02</v>
      </c>
    </row>
    <row r="165" spans="1:10">
      <c r="A165" s="196"/>
      <c r="B165" s="212" t="str">
        <f t="shared" si="21"/>
        <v>Part-14</v>
      </c>
      <c r="C165" s="190">
        <f t="shared" si="21"/>
        <v>0</v>
      </c>
      <c r="D165" s="191">
        <f t="shared" si="21"/>
        <v>0</v>
      </c>
      <c r="E165" s="120">
        <f t="shared" si="21"/>
        <v>1</v>
      </c>
      <c r="F165" s="120">
        <f t="shared" si="21"/>
        <v>1</v>
      </c>
      <c r="G165" s="1303">
        <f t="shared" si="21"/>
        <v>5.4249999999999998</v>
      </c>
      <c r="H165" s="147">
        <f t="shared" si="21"/>
        <v>3.9</v>
      </c>
      <c r="I165" s="1303">
        <f t="shared" si="20"/>
        <v>0.44999999999999996</v>
      </c>
      <c r="J165" s="1303">
        <f t="shared" si="19"/>
        <v>9.5208749999999984</v>
      </c>
    </row>
    <row r="166" spans="1:10">
      <c r="A166" s="196"/>
      <c r="B166" s="212" t="str">
        <f t="shared" si="21"/>
        <v>Part-15</v>
      </c>
      <c r="C166" s="190">
        <f t="shared" si="21"/>
        <v>0</v>
      </c>
      <c r="D166" s="191">
        <f t="shared" si="21"/>
        <v>0</v>
      </c>
      <c r="E166" s="120">
        <f t="shared" si="21"/>
        <v>1</v>
      </c>
      <c r="F166" s="120">
        <f t="shared" si="21"/>
        <v>1</v>
      </c>
      <c r="G166" s="1303">
        <f t="shared" si="21"/>
        <v>4.4649999999999999</v>
      </c>
      <c r="H166" s="147">
        <f t="shared" si="21"/>
        <v>3.9</v>
      </c>
      <c r="I166" s="1303">
        <f t="shared" si="20"/>
        <v>0.44999999999999996</v>
      </c>
      <c r="J166" s="1303">
        <f t="shared" si="19"/>
        <v>7.8360749999999992</v>
      </c>
    </row>
    <row r="167" spans="1:10">
      <c r="A167" s="196"/>
      <c r="B167" s="212" t="str">
        <f t="shared" si="21"/>
        <v>Part-16</v>
      </c>
      <c r="C167" s="190">
        <f t="shared" si="21"/>
        <v>0</v>
      </c>
      <c r="D167" s="191">
        <f t="shared" si="21"/>
        <v>0</v>
      </c>
      <c r="E167" s="120">
        <f t="shared" si="21"/>
        <v>1</v>
      </c>
      <c r="F167" s="120">
        <f t="shared" si="21"/>
        <v>1</v>
      </c>
      <c r="G167" s="1303">
        <f t="shared" si="21"/>
        <v>3.7650000000000001</v>
      </c>
      <c r="H167" s="147">
        <f t="shared" si="21"/>
        <v>3.9</v>
      </c>
      <c r="I167" s="1303">
        <f t="shared" si="20"/>
        <v>0.44999999999999996</v>
      </c>
      <c r="J167" s="1303">
        <f t="shared" si="19"/>
        <v>6.6075749999999998</v>
      </c>
    </row>
    <row r="168" spans="1:10">
      <c r="A168" s="196"/>
      <c r="B168" s="212" t="str">
        <f t="shared" si="21"/>
        <v>Part-17</v>
      </c>
      <c r="C168" s="190">
        <f t="shared" si="21"/>
        <v>0</v>
      </c>
      <c r="D168" s="191">
        <f t="shared" si="21"/>
        <v>0</v>
      </c>
      <c r="E168" s="120">
        <f t="shared" si="21"/>
        <v>1</v>
      </c>
      <c r="F168" s="120">
        <f t="shared" si="21"/>
        <v>1</v>
      </c>
      <c r="G168" s="1303">
        <f t="shared" si="21"/>
        <v>4.3250000000000002</v>
      </c>
      <c r="H168" s="147">
        <f t="shared" si="21"/>
        <v>2.2999999999999998</v>
      </c>
      <c r="I168" s="1303">
        <f t="shared" si="20"/>
        <v>0.44999999999999996</v>
      </c>
      <c r="J168" s="1303">
        <f t="shared" si="19"/>
        <v>4.4763749999999991</v>
      </c>
    </row>
    <row r="169" spans="1:10">
      <c r="A169" s="196"/>
      <c r="B169" s="212" t="str">
        <f t="shared" si="21"/>
        <v>Part-18</v>
      </c>
      <c r="C169" s="190">
        <f t="shared" si="21"/>
        <v>0</v>
      </c>
      <c r="D169" s="191">
        <f t="shared" si="21"/>
        <v>0</v>
      </c>
      <c r="E169" s="120">
        <f t="shared" si="21"/>
        <v>1</v>
      </c>
      <c r="F169" s="120">
        <f t="shared" si="21"/>
        <v>1</v>
      </c>
      <c r="G169" s="1303">
        <f t="shared" si="21"/>
        <v>3.4249999999999998</v>
      </c>
      <c r="H169" s="147">
        <f t="shared" si="21"/>
        <v>0.745</v>
      </c>
      <c r="I169" s="1303">
        <f t="shared" si="20"/>
        <v>0.44999999999999996</v>
      </c>
      <c r="J169" s="1303">
        <f t="shared" si="19"/>
        <v>1.1482312499999998</v>
      </c>
    </row>
    <row r="170" spans="1:10">
      <c r="A170" s="196"/>
      <c r="B170" s="212" t="str">
        <f t="shared" si="21"/>
        <v>Part-19</v>
      </c>
      <c r="C170" s="190">
        <f t="shared" si="21"/>
        <v>0</v>
      </c>
      <c r="D170" s="191">
        <f t="shared" si="21"/>
        <v>0</v>
      </c>
      <c r="E170" s="120">
        <f t="shared" si="21"/>
        <v>1</v>
      </c>
      <c r="F170" s="120">
        <f t="shared" si="21"/>
        <v>1</v>
      </c>
      <c r="G170" s="1303">
        <f t="shared" si="21"/>
        <v>3.4249999999999998</v>
      </c>
      <c r="H170" s="147">
        <f t="shared" si="21"/>
        <v>3.6</v>
      </c>
      <c r="I170" s="1303">
        <f t="shared" si="20"/>
        <v>0.44999999999999996</v>
      </c>
      <c r="J170" s="1303">
        <f t="shared" si="19"/>
        <v>5.5484999999999998</v>
      </c>
    </row>
    <row r="171" spans="1:10">
      <c r="A171" s="196"/>
      <c r="B171" s="212"/>
      <c r="C171" s="190"/>
      <c r="D171" s="191"/>
      <c r="E171" s="120"/>
      <c r="F171" s="120"/>
      <c r="G171" s="1303"/>
      <c r="H171" s="147"/>
      <c r="I171" s="1303"/>
      <c r="J171" s="1303"/>
    </row>
    <row r="172" spans="1:10">
      <c r="A172" s="196"/>
      <c r="B172" s="212"/>
      <c r="C172" s="190"/>
      <c r="D172" s="191"/>
      <c r="E172" s="120"/>
      <c r="F172" s="120"/>
      <c r="G172" s="1303"/>
      <c r="H172" s="147"/>
      <c r="I172" s="1303"/>
      <c r="J172" s="1303"/>
    </row>
    <row r="173" spans="1:10">
      <c r="A173" s="196"/>
      <c r="B173" s="212"/>
      <c r="C173" s="190"/>
      <c r="D173" s="191"/>
      <c r="E173" s="120"/>
      <c r="F173" s="120"/>
      <c r="G173" s="1303"/>
      <c r="H173" s="147"/>
      <c r="I173" s="1303"/>
      <c r="J173" s="1303"/>
    </row>
    <row r="174" spans="1:10">
      <c r="A174" s="196"/>
      <c r="B174" s="212">
        <f t="shared" ref="B174:H174" si="22">B150</f>
        <v>0</v>
      </c>
      <c r="C174" s="190">
        <f t="shared" si="22"/>
        <v>0</v>
      </c>
      <c r="D174" s="191">
        <f t="shared" si="22"/>
        <v>0</v>
      </c>
      <c r="E174" s="120">
        <f t="shared" si="22"/>
        <v>0</v>
      </c>
      <c r="F174" s="120">
        <f t="shared" si="22"/>
        <v>0</v>
      </c>
      <c r="G174" s="1303">
        <f t="shared" si="22"/>
        <v>0</v>
      </c>
      <c r="H174" s="147">
        <f t="shared" si="22"/>
        <v>0</v>
      </c>
      <c r="I174" s="1303"/>
      <c r="J174" s="1303">
        <f t="shared" si="19"/>
        <v>0</v>
      </c>
    </row>
    <row r="175" spans="1:10">
      <c r="A175" s="196"/>
      <c r="B175" s="212"/>
      <c r="C175" s="190"/>
      <c r="D175" s="191"/>
      <c r="E175" s="120"/>
      <c r="F175" s="120"/>
      <c r="G175" s="1303"/>
      <c r="H175" s="147"/>
      <c r="I175" s="1303"/>
      <c r="J175" s="1303"/>
    </row>
    <row r="176" spans="1:10">
      <c r="A176" s="196"/>
      <c r="B176" s="212"/>
      <c r="C176" s="190"/>
      <c r="D176" s="191"/>
      <c r="E176" s="120"/>
      <c r="F176" s="120"/>
      <c r="G176" s="1303"/>
      <c r="H176" s="147"/>
      <c r="I176" s="1303"/>
      <c r="J176" s="1303"/>
    </row>
    <row r="177" spans="1:11">
      <c r="A177" s="196"/>
      <c r="B177" s="212"/>
      <c r="C177" s="190"/>
      <c r="D177" s="191"/>
      <c r="E177" s="120"/>
      <c r="F177" s="120"/>
      <c r="G177" s="1303"/>
      <c r="H177" s="147"/>
      <c r="I177" s="1303"/>
      <c r="J177" s="1303"/>
    </row>
    <row r="178" spans="1:11">
      <c r="A178" s="196"/>
      <c r="B178" s="212"/>
      <c r="C178" s="190"/>
      <c r="D178" s="191"/>
      <c r="E178" s="120"/>
      <c r="F178" s="120"/>
      <c r="G178" s="1303"/>
      <c r="H178" s="147"/>
      <c r="I178" s="1303"/>
      <c r="J178" s="1303"/>
    </row>
    <row r="179" spans="1:11">
      <c r="A179" s="196"/>
      <c r="B179" s="212"/>
      <c r="C179" s="190"/>
      <c r="D179" s="191"/>
      <c r="E179" s="120"/>
      <c r="F179" s="120"/>
      <c r="G179" s="1303"/>
      <c r="H179" s="147"/>
      <c r="I179" s="1303"/>
      <c r="J179" s="1303"/>
    </row>
    <row r="180" spans="1:11">
      <c r="A180" s="196"/>
      <c r="B180" s="212"/>
      <c r="C180" s="190"/>
      <c r="D180" s="191"/>
      <c r="E180" s="120"/>
      <c r="F180" s="120"/>
      <c r="G180" s="1303"/>
      <c r="H180" s="147"/>
      <c r="I180" s="1303"/>
      <c r="J180" s="1303"/>
    </row>
    <row r="181" spans="1:11">
      <c r="A181" s="196"/>
      <c r="B181" s="212"/>
      <c r="C181" s="190"/>
      <c r="D181" s="191"/>
      <c r="E181" s="120"/>
      <c r="F181" s="120"/>
      <c r="G181" s="1303"/>
      <c r="H181" s="147"/>
      <c r="I181" s="1303"/>
      <c r="J181" s="1303"/>
    </row>
    <row r="182" spans="1:11">
      <c r="A182" s="196"/>
      <c r="B182" s="212"/>
      <c r="C182" s="190"/>
      <c r="D182" s="191"/>
      <c r="E182" s="120"/>
      <c r="F182" s="120"/>
      <c r="G182" s="1303"/>
      <c r="H182" s="147"/>
      <c r="I182" s="1303"/>
      <c r="J182" s="1303"/>
    </row>
    <row r="183" spans="1:11">
      <c r="A183" s="196"/>
      <c r="B183" s="212"/>
      <c r="C183" s="190"/>
      <c r="D183" s="191"/>
      <c r="E183" s="120"/>
      <c r="F183" s="120"/>
      <c r="G183" s="1303"/>
      <c r="H183" s="147"/>
      <c r="I183" s="1303"/>
      <c r="J183" s="1303"/>
    </row>
    <row r="184" spans="1:11">
      <c r="A184" s="196"/>
      <c r="B184" s="212"/>
      <c r="C184" s="190"/>
      <c r="D184" s="191"/>
      <c r="E184" s="120"/>
      <c r="F184" s="120"/>
      <c r="G184" s="1303"/>
      <c r="H184" s="147"/>
      <c r="I184" s="1303"/>
      <c r="J184" s="1303"/>
    </row>
    <row r="185" spans="1:11">
      <c r="A185" s="196"/>
      <c r="B185" s="212"/>
      <c r="C185" s="190"/>
      <c r="D185" s="191"/>
      <c r="E185" s="120"/>
      <c r="F185" s="120"/>
      <c r="G185" s="1303"/>
      <c r="H185" s="147"/>
      <c r="I185" s="1303"/>
      <c r="J185" s="1303"/>
    </row>
    <row r="186" spans="1:11">
      <c r="A186" s="196"/>
      <c r="B186" s="212"/>
      <c r="C186" s="190"/>
      <c r="D186" s="191"/>
      <c r="E186" s="120"/>
      <c r="F186" s="120"/>
      <c r="G186" s="1303"/>
      <c r="H186" s="147"/>
      <c r="I186" s="1303"/>
      <c r="J186" s="1303"/>
    </row>
    <row r="187" spans="1:11">
      <c r="A187" s="196"/>
      <c r="B187" s="212"/>
      <c r="C187" s="190"/>
      <c r="D187" s="191"/>
      <c r="E187" s="120"/>
      <c r="F187" s="120"/>
      <c r="G187" s="1303"/>
      <c r="H187" s="147"/>
      <c r="I187" s="1303"/>
      <c r="J187" s="1303"/>
    </row>
    <row r="188" spans="1:11">
      <c r="A188" s="196"/>
      <c r="B188" s="212"/>
      <c r="C188" s="190"/>
      <c r="D188" s="191"/>
      <c r="E188" s="120"/>
      <c r="F188" s="120"/>
      <c r="G188" s="1303"/>
      <c r="H188" s="147"/>
      <c r="I188" s="1303"/>
      <c r="J188" s="1303"/>
    </row>
    <row r="189" spans="1:11" s="158" customFormat="1">
      <c r="A189" s="153"/>
      <c r="B189" s="1336"/>
      <c r="C189" s="154"/>
      <c r="D189" s="155"/>
      <c r="E189" s="156"/>
      <c r="F189" s="156"/>
      <c r="G189" s="153"/>
      <c r="H189" s="153"/>
      <c r="I189" s="157"/>
      <c r="J189" s="153"/>
    </row>
    <row r="190" spans="1:11" s="158" customFormat="1">
      <c r="A190" s="153"/>
      <c r="B190" s="1336"/>
      <c r="C190" s="154"/>
      <c r="D190" s="155"/>
      <c r="E190" s="156"/>
      <c r="F190" s="156"/>
      <c r="G190" s="153"/>
      <c r="H190" s="153"/>
      <c r="I190" s="157"/>
      <c r="J190" s="1304"/>
      <c r="K190" s="159"/>
    </row>
    <row r="191" spans="1:11" s="158" customFormat="1">
      <c r="A191" s="153"/>
      <c r="B191" s="1336"/>
      <c r="C191" s="154"/>
      <c r="D191" s="155"/>
      <c r="E191" s="156"/>
      <c r="F191" s="156"/>
      <c r="G191" s="153"/>
      <c r="H191" s="1304"/>
      <c r="I191" s="161"/>
      <c r="J191" s="1304"/>
      <c r="K191" s="159"/>
    </row>
    <row r="192" spans="1:11">
      <c r="A192" s="1302"/>
      <c r="B192" s="174" t="s">
        <v>241</v>
      </c>
      <c r="C192" s="175"/>
      <c r="D192" s="146"/>
      <c r="E192" s="120"/>
      <c r="F192" s="120"/>
      <c r="G192" s="147"/>
      <c r="H192" s="120"/>
      <c r="I192" s="1303"/>
      <c r="J192" s="1303"/>
    </row>
    <row r="193" spans="1:14" ht="34.5">
      <c r="A193" s="120"/>
      <c r="B193" s="212" t="str">
        <f>B114</f>
        <v xml:space="preserve">For C1 Round Column Dia 0.3 Radius = 0.15 </v>
      </c>
      <c r="C193" s="145">
        <f t="shared" ref="C193:H193" si="23">C99</f>
        <v>0</v>
      </c>
      <c r="D193" s="145">
        <f t="shared" si="23"/>
        <v>0</v>
      </c>
      <c r="E193" s="120">
        <f t="shared" si="23"/>
        <v>4</v>
      </c>
      <c r="F193" s="120">
        <f t="shared" si="23"/>
        <v>3.14</v>
      </c>
      <c r="G193" s="1303">
        <f t="shared" si="23"/>
        <v>0.15</v>
      </c>
      <c r="H193" s="1303">
        <f t="shared" si="23"/>
        <v>0.15</v>
      </c>
      <c r="I193" s="1303">
        <f>3.3-0.38</f>
        <v>2.92</v>
      </c>
      <c r="J193" s="1303">
        <f t="shared" ref="J193" si="24">PRODUCT(E193:I193)</f>
        <v>0.82519199999999981</v>
      </c>
      <c r="K193" s="124">
        <f>3.1-0.6</f>
        <v>2.5</v>
      </c>
    </row>
    <row r="194" spans="1:14">
      <c r="A194" s="120"/>
      <c r="B194" s="212" t="str">
        <f t="shared" ref="B194:B196" si="25">B115</f>
        <v>For C2</v>
      </c>
      <c r="C194" s="145"/>
      <c r="D194" s="145"/>
      <c r="E194" s="120">
        <f t="shared" ref="E194:H194" si="26">E100</f>
        <v>11</v>
      </c>
      <c r="F194" s="120">
        <f t="shared" si="26"/>
        <v>1</v>
      </c>
      <c r="G194" s="1348">
        <f t="shared" si="26"/>
        <v>0.23</v>
      </c>
      <c r="H194" s="1348">
        <f t="shared" si="26"/>
        <v>0.38</v>
      </c>
      <c r="I194" s="1350">
        <f t="shared" ref="I194:I196" si="27">3.3-0.38</f>
        <v>2.92</v>
      </c>
      <c r="J194" s="1348">
        <f t="shared" ref="J194:J196" si="28">PRODUCT(E194:I194)</f>
        <v>2.8072880000000002</v>
      </c>
    </row>
    <row r="195" spans="1:14">
      <c r="A195" s="120"/>
      <c r="B195" s="212" t="str">
        <f t="shared" si="25"/>
        <v>For C3</v>
      </c>
      <c r="C195" s="145">
        <f>C100</f>
        <v>0</v>
      </c>
      <c r="D195" s="145">
        <f>D100</f>
        <v>0</v>
      </c>
      <c r="E195" s="120">
        <f t="shared" ref="E195:H195" si="29">E101</f>
        <v>10</v>
      </c>
      <c r="F195" s="120">
        <f t="shared" si="29"/>
        <v>1</v>
      </c>
      <c r="G195" s="1348">
        <f t="shared" si="29"/>
        <v>0.23</v>
      </c>
      <c r="H195" s="1348">
        <f t="shared" si="29"/>
        <v>0.45</v>
      </c>
      <c r="I195" s="1350">
        <f t="shared" si="27"/>
        <v>2.92</v>
      </c>
      <c r="J195" s="1348">
        <f t="shared" si="28"/>
        <v>3.0222000000000002</v>
      </c>
    </row>
    <row r="196" spans="1:14">
      <c r="A196" s="120"/>
      <c r="B196" s="212" t="str">
        <f t="shared" si="25"/>
        <v>For C4</v>
      </c>
      <c r="C196" s="145">
        <f t="shared" ref="C196:D196" si="30">C100</f>
        <v>0</v>
      </c>
      <c r="D196" s="145">
        <f t="shared" si="30"/>
        <v>0</v>
      </c>
      <c r="E196" s="120">
        <f t="shared" ref="E196:H196" si="31">E102</f>
        <v>7</v>
      </c>
      <c r="F196" s="120">
        <f t="shared" si="31"/>
        <v>1</v>
      </c>
      <c r="G196" s="1348">
        <f t="shared" si="31"/>
        <v>0.3</v>
      </c>
      <c r="H196" s="1348">
        <f t="shared" si="31"/>
        <v>0.45</v>
      </c>
      <c r="I196" s="1350">
        <f t="shared" si="27"/>
        <v>2.92</v>
      </c>
      <c r="J196" s="1348">
        <f t="shared" si="28"/>
        <v>2.7594000000000003</v>
      </c>
    </row>
    <row r="197" spans="1:14">
      <c r="A197" s="120"/>
      <c r="B197" s="212"/>
      <c r="C197" s="145"/>
      <c r="D197" s="145"/>
      <c r="E197" s="120"/>
      <c r="F197" s="120"/>
      <c r="G197" s="1348"/>
      <c r="H197" s="1348"/>
      <c r="I197" s="1348"/>
      <c r="J197" s="1348"/>
    </row>
    <row r="198" spans="1:14">
      <c r="A198" s="120"/>
      <c r="B198" s="212"/>
      <c r="C198" s="145"/>
      <c r="D198" s="145"/>
      <c r="E198" s="120"/>
      <c r="F198" s="120"/>
      <c r="G198" s="1303"/>
      <c r="H198" s="1303"/>
      <c r="I198" s="1303"/>
      <c r="J198" s="1303"/>
    </row>
    <row r="199" spans="1:14">
      <c r="A199" s="120"/>
      <c r="B199" s="212"/>
      <c r="C199" s="145"/>
      <c r="D199" s="145"/>
      <c r="E199" s="120"/>
      <c r="F199" s="120"/>
      <c r="G199" s="1303"/>
      <c r="H199" s="1303"/>
      <c r="I199" s="1303"/>
      <c r="J199" s="1303"/>
    </row>
    <row r="200" spans="1:14">
      <c r="A200" s="120"/>
      <c r="B200" s="212">
        <f>B52</f>
        <v>0</v>
      </c>
      <c r="C200" s="145"/>
      <c r="D200" s="146"/>
      <c r="E200" s="120"/>
      <c r="F200" s="120"/>
      <c r="G200" s="1303"/>
      <c r="H200" s="1303"/>
      <c r="I200" s="1303"/>
      <c r="J200" s="1303"/>
    </row>
    <row r="201" spans="1:14">
      <c r="A201" s="120"/>
      <c r="B201" s="212"/>
      <c r="C201" s="145"/>
      <c r="D201" s="146"/>
      <c r="E201" s="120"/>
      <c r="F201" s="120"/>
      <c r="G201" s="1303"/>
      <c r="H201" s="1303"/>
      <c r="I201" s="1303"/>
      <c r="J201" s="1303"/>
    </row>
    <row r="202" spans="1:14">
      <c r="A202" s="120"/>
      <c r="B202" s="212"/>
      <c r="C202" s="145"/>
      <c r="D202" s="146"/>
      <c r="E202" s="120"/>
      <c r="F202" s="120"/>
      <c r="G202" s="1303"/>
      <c r="H202" s="1303"/>
      <c r="I202" s="1303"/>
      <c r="J202" s="1303"/>
    </row>
    <row r="203" spans="1:14">
      <c r="A203" s="120"/>
      <c r="B203" s="212"/>
      <c r="C203" s="145"/>
      <c r="D203" s="146"/>
      <c r="E203" s="120"/>
      <c r="F203" s="120"/>
      <c r="G203" s="1303"/>
      <c r="H203" s="1303"/>
      <c r="I203" s="1303"/>
      <c r="J203" s="1303"/>
    </row>
    <row r="204" spans="1:14">
      <c r="A204" s="120"/>
      <c r="B204" s="212"/>
      <c r="C204" s="145"/>
      <c r="D204" s="146"/>
      <c r="E204" s="120"/>
      <c r="F204" s="120"/>
      <c r="G204" s="1303"/>
      <c r="H204" s="1303"/>
      <c r="I204" s="1303"/>
      <c r="J204" s="1303"/>
      <c r="M204" s="115">
        <f>3.1-0.45</f>
        <v>2.65</v>
      </c>
    </row>
    <row r="205" spans="1:14">
      <c r="A205" s="120"/>
      <c r="B205" s="212"/>
      <c r="C205" s="145"/>
      <c r="D205" s="146"/>
      <c r="E205" s="147"/>
      <c r="F205" s="120"/>
      <c r="G205" s="1303"/>
      <c r="H205" s="1303"/>
      <c r="I205" s="1303"/>
      <c r="J205" s="1303"/>
    </row>
    <row r="206" spans="1:14">
      <c r="A206" s="120"/>
      <c r="B206" s="212"/>
      <c r="C206" s="145"/>
      <c r="D206" s="146"/>
      <c r="E206" s="147"/>
      <c r="F206" s="120"/>
      <c r="G206" s="1303"/>
      <c r="H206" s="1303"/>
      <c r="I206" s="1303"/>
      <c r="J206" s="1303"/>
      <c r="L206" s="115">
        <f>SUM(E193:E203)</f>
        <v>32</v>
      </c>
    </row>
    <row r="207" spans="1:14">
      <c r="A207" s="120"/>
      <c r="B207" s="212"/>
      <c r="C207" s="145"/>
      <c r="D207" s="146"/>
      <c r="E207" s="120"/>
      <c r="F207" s="120"/>
      <c r="G207" s="1303"/>
      <c r="H207" s="1303"/>
      <c r="I207" s="1303"/>
      <c r="J207" s="1303"/>
      <c r="L207" s="197"/>
    </row>
    <row r="208" spans="1:14" ht="17.25" customHeight="1">
      <c r="A208" s="120"/>
      <c r="B208" s="174" t="s">
        <v>242</v>
      </c>
      <c r="C208" s="175"/>
      <c r="D208" s="146"/>
      <c r="E208" s="120"/>
      <c r="F208" s="120"/>
      <c r="G208" s="147"/>
      <c r="H208" s="120"/>
      <c r="I208" s="1303"/>
      <c r="J208" s="1303"/>
      <c r="L208" s="197"/>
      <c r="N208" s="115">
        <f>3.1-0.6</f>
        <v>2.5</v>
      </c>
    </row>
    <row r="209" spans="1:15" ht="34.5">
      <c r="A209" s="120"/>
      <c r="B209" s="212" t="str">
        <f>B193</f>
        <v xml:space="preserve">For C1 Round Column Dia 0.3 Radius = 0.15 </v>
      </c>
      <c r="C209" s="212">
        <f t="shared" ref="C209:I209" si="32">C193</f>
        <v>0</v>
      </c>
      <c r="D209" s="212">
        <f t="shared" si="32"/>
        <v>0</v>
      </c>
      <c r="E209" s="120">
        <f t="shared" si="32"/>
        <v>4</v>
      </c>
      <c r="F209" s="120">
        <f t="shared" si="32"/>
        <v>3.14</v>
      </c>
      <c r="G209" s="1348">
        <f t="shared" si="32"/>
        <v>0.15</v>
      </c>
      <c r="H209" s="1348">
        <f t="shared" si="32"/>
        <v>0.15</v>
      </c>
      <c r="I209" s="1348">
        <f t="shared" si="32"/>
        <v>2.92</v>
      </c>
      <c r="J209" s="1348">
        <f t="shared" ref="J209:J215" si="33">PRODUCT(E209:I209)</f>
        <v>0.82519199999999981</v>
      </c>
    </row>
    <row r="210" spans="1:15">
      <c r="A210" s="120"/>
      <c r="B210" s="212" t="str">
        <f t="shared" ref="B210:I212" si="34">B194</f>
        <v>For C2</v>
      </c>
      <c r="C210" s="212">
        <f t="shared" si="34"/>
        <v>0</v>
      </c>
      <c r="D210" s="212">
        <f t="shared" si="34"/>
        <v>0</v>
      </c>
      <c r="E210" s="120">
        <f t="shared" si="34"/>
        <v>11</v>
      </c>
      <c r="F210" s="120">
        <f t="shared" si="34"/>
        <v>1</v>
      </c>
      <c r="G210" s="1348">
        <f t="shared" si="34"/>
        <v>0.23</v>
      </c>
      <c r="H210" s="1348">
        <f t="shared" si="34"/>
        <v>0.38</v>
      </c>
      <c r="I210" s="1348">
        <f t="shared" si="34"/>
        <v>2.92</v>
      </c>
      <c r="J210" s="1348">
        <f t="shared" ref="J210:J212" si="35">PRODUCT(E210:I210)</f>
        <v>2.8072880000000002</v>
      </c>
    </row>
    <row r="211" spans="1:15">
      <c r="A211" s="120"/>
      <c r="B211" s="212" t="str">
        <f t="shared" si="34"/>
        <v>For C3</v>
      </c>
      <c r="C211" s="212">
        <f t="shared" si="34"/>
        <v>0</v>
      </c>
      <c r="D211" s="212">
        <f t="shared" si="34"/>
        <v>0</v>
      </c>
      <c r="E211" s="120">
        <f t="shared" si="34"/>
        <v>10</v>
      </c>
      <c r="F211" s="120">
        <f t="shared" si="34"/>
        <v>1</v>
      </c>
      <c r="G211" s="1348">
        <f t="shared" si="34"/>
        <v>0.23</v>
      </c>
      <c r="H211" s="1348">
        <f t="shared" si="34"/>
        <v>0.45</v>
      </c>
      <c r="I211" s="1348">
        <f t="shared" si="34"/>
        <v>2.92</v>
      </c>
      <c r="J211" s="1348">
        <f t="shared" si="35"/>
        <v>3.0222000000000002</v>
      </c>
    </row>
    <row r="212" spans="1:15">
      <c r="A212" s="120"/>
      <c r="B212" s="212" t="str">
        <f t="shared" si="34"/>
        <v>For C4</v>
      </c>
      <c r="C212" s="212">
        <f t="shared" si="34"/>
        <v>0</v>
      </c>
      <c r="D212" s="212">
        <f t="shared" si="34"/>
        <v>0</v>
      </c>
      <c r="E212" s="120">
        <f t="shared" si="34"/>
        <v>7</v>
      </c>
      <c r="F212" s="120">
        <f t="shared" si="34"/>
        <v>1</v>
      </c>
      <c r="G212" s="1348">
        <f t="shared" si="34"/>
        <v>0.3</v>
      </c>
      <c r="H212" s="1348">
        <f t="shared" si="34"/>
        <v>0.45</v>
      </c>
      <c r="I212" s="1348">
        <f t="shared" si="34"/>
        <v>2.92</v>
      </c>
      <c r="J212" s="1348">
        <f t="shared" si="35"/>
        <v>2.7594000000000003</v>
      </c>
    </row>
    <row r="213" spans="1:15">
      <c r="A213" s="120"/>
      <c r="B213" s="212"/>
      <c r="C213" s="212"/>
      <c r="D213" s="212"/>
      <c r="E213" s="212"/>
      <c r="F213" s="212"/>
      <c r="G213" s="212"/>
      <c r="H213" s="212"/>
      <c r="I213" s="212"/>
      <c r="J213" s="1303"/>
    </row>
    <row r="214" spans="1:15">
      <c r="A214" s="120"/>
      <c r="B214" s="212"/>
      <c r="C214" s="145"/>
      <c r="D214" s="146"/>
      <c r="E214" s="120"/>
      <c r="F214" s="120"/>
      <c r="G214" s="1303"/>
      <c r="H214" s="1303"/>
      <c r="I214" s="1303"/>
      <c r="J214" s="1303"/>
    </row>
    <row r="215" spans="1:15">
      <c r="A215" s="120"/>
      <c r="B215" s="212">
        <f>B200</f>
        <v>0</v>
      </c>
      <c r="C215" s="145">
        <f>C200</f>
        <v>0</v>
      </c>
      <c r="D215" s="146">
        <f>D200</f>
        <v>0</v>
      </c>
      <c r="E215" s="120"/>
      <c r="F215" s="120">
        <f>F200</f>
        <v>0</v>
      </c>
      <c r="G215" s="1303">
        <f>G200</f>
        <v>0</v>
      </c>
      <c r="H215" s="1303">
        <f>H200</f>
        <v>0</v>
      </c>
      <c r="I215" s="1303">
        <f>I200</f>
        <v>0</v>
      </c>
      <c r="J215" s="1303">
        <f t="shared" si="33"/>
        <v>0</v>
      </c>
      <c r="O215" s="115">
        <v>9</v>
      </c>
    </row>
    <row r="216" spans="1:15" ht="17.25" customHeight="1">
      <c r="A216" s="120"/>
      <c r="B216" s="174" t="s">
        <v>243</v>
      </c>
      <c r="C216" s="175"/>
      <c r="D216" s="146"/>
      <c r="E216" s="120"/>
      <c r="F216" s="120"/>
      <c r="G216" s="147"/>
      <c r="H216" s="120"/>
      <c r="I216" s="1303"/>
      <c r="J216" s="1303"/>
      <c r="L216" s="197"/>
      <c r="N216" s="115">
        <f>3.1-0.6</f>
        <v>2.5</v>
      </c>
    </row>
    <row r="217" spans="1:15">
      <c r="A217" s="120"/>
      <c r="B217" s="212"/>
      <c r="C217" s="145"/>
      <c r="D217" s="145"/>
      <c r="E217" s="120"/>
      <c r="F217" s="120"/>
      <c r="G217" s="1303"/>
      <c r="H217" s="1303"/>
      <c r="I217" s="1303"/>
      <c r="J217" s="1303"/>
    </row>
    <row r="218" spans="1:15">
      <c r="A218" s="120"/>
      <c r="B218" s="212" t="str">
        <f t="shared" ref="B218:J218" si="36">B210</f>
        <v>For C2</v>
      </c>
      <c r="C218" s="145">
        <f t="shared" si="36"/>
        <v>0</v>
      </c>
      <c r="D218" s="145">
        <f t="shared" si="36"/>
        <v>0</v>
      </c>
      <c r="E218" s="120">
        <f t="shared" si="36"/>
        <v>11</v>
      </c>
      <c r="F218" s="120">
        <f t="shared" si="36"/>
        <v>1</v>
      </c>
      <c r="G218" s="1303">
        <f t="shared" si="36"/>
        <v>0.23</v>
      </c>
      <c r="H218" s="1303">
        <f t="shared" si="36"/>
        <v>0.38</v>
      </c>
      <c r="I218" s="1303">
        <f t="shared" si="36"/>
        <v>2.92</v>
      </c>
      <c r="J218" s="1303">
        <f t="shared" si="36"/>
        <v>2.8072880000000002</v>
      </c>
    </row>
    <row r="219" spans="1:15">
      <c r="A219" s="120"/>
      <c r="B219" s="212" t="str">
        <f t="shared" ref="B219:J219" si="37">B211</f>
        <v>For C3</v>
      </c>
      <c r="C219" s="145">
        <f t="shared" si="37"/>
        <v>0</v>
      </c>
      <c r="D219" s="145">
        <f t="shared" si="37"/>
        <v>0</v>
      </c>
      <c r="E219" s="120">
        <f t="shared" si="37"/>
        <v>10</v>
      </c>
      <c r="F219" s="120">
        <f t="shared" si="37"/>
        <v>1</v>
      </c>
      <c r="G219" s="1303">
        <f t="shared" si="37"/>
        <v>0.23</v>
      </c>
      <c r="H219" s="1303">
        <f t="shared" si="37"/>
        <v>0.45</v>
      </c>
      <c r="I219" s="1303">
        <f t="shared" si="37"/>
        <v>2.92</v>
      </c>
      <c r="J219" s="1303">
        <f t="shared" si="37"/>
        <v>3.0222000000000002</v>
      </c>
    </row>
    <row r="220" spans="1:15">
      <c r="A220" s="120"/>
      <c r="B220" s="212" t="str">
        <f t="shared" ref="B220:J220" si="38">B212</f>
        <v>For C4</v>
      </c>
      <c r="C220" s="145">
        <f t="shared" si="38"/>
        <v>0</v>
      </c>
      <c r="D220" s="145">
        <f t="shared" si="38"/>
        <v>0</v>
      </c>
      <c r="E220" s="120">
        <f t="shared" si="38"/>
        <v>7</v>
      </c>
      <c r="F220" s="120">
        <f t="shared" si="38"/>
        <v>1</v>
      </c>
      <c r="G220" s="1303">
        <f t="shared" si="38"/>
        <v>0.3</v>
      </c>
      <c r="H220" s="1303">
        <f t="shared" si="38"/>
        <v>0.45</v>
      </c>
      <c r="I220" s="1303">
        <f t="shared" si="38"/>
        <v>2.92</v>
      </c>
      <c r="J220" s="1303">
        <f t="shared" si="38"/>
        <v>2.7594000000000003</v>
      </c>
    </row>
    <row r="221" spans="1:15">
      <c r="A221" s="120"/>
      <c r="B221" s="212"/>
      <c r="C221" s="145"/>
      <c r="D221" s="145"/>
      <c r="E221" s="120"/>
      <c r="F221" s="120"/>
      <c r="G221" s="1303"/>
      <c r="H221" s="1303"/>
      <c r="I221" s="1303"/>
      <c r="J221" s="1303"/>
    </row>
    <row r="222" spans="1:15" ht="16.5" customHeight="1">
      <c r="A222" s="120"/>
      <c r="B222" s="212"/>
      <c r="C222" s="145"/>
      <c r="D222" s="146"/>
      <c r="E222" s="120"/>
      <c r="F222" s="120"/>
      <c r="G222" s="1303"/>
      <c r="H222" s="1303"/>
      <c r="I222" s="1303"/>
      <c r="J222" s="1303"/>
    </row>
    <row r="223" spans="1:15" ht="17.25" customHeight="1">
      <c r="A223" s="120"/>
      <c r="B223" s="174" t="s">
        <v>244</v>
      </c>
      <c r="C223" s="175"/>
      <c r="D223" s="146"/>
      <c r="E223" s="120"/>
      <c r="F223" s="120"/>
      <c r="G223" s="147"/>
      <c r="H223" s="120"/>
      <c r="I223" s="1303"/>
      <c r="J223" s="1303"/>
      <c r="L223" s="197"/>
      <c r="N223" s="115">
        <f>3.1-0.6</f>
        <v>2.5</v>
      </c>
    </row>
    <row r="224" spans="1:15">
      <c r="A224" s="120"/>
      <c r="B224" s="212">
        <f t="shared" ref="B224:J224" si="39">B217</f>
        <v>0</v>
      </c>
      <c r="C224" s="145">
        <f t="shared" si="39"/>
        <v>0</v>
      </c>
      <c r="D224" s="145">
        <f t="shared" si="39"/>
        <v>0</v>
      </c>
      <c r="E224" s="120">
        <f t="shared" si="39"/>
        <v>0</v>
      </c>
      <c r="F224" s="120">
        <f t="shared" si="39"/>
        <v>0</v>
      </c>
      <c r="G224" s="1303">
        <f t="shared" si="39"/>
        <v>0</v>
      </c>
      <c r="H224" s="1303">
        <f t="shared" si="39"/>
        <v>0</v>
      </c>
      <c r="I224" s="1303">
        <f t="shared" si="39"/>
        <v>0</v>
      </c>
      <c r="J224" s="1303">
        <f t="shared" si="39"/>
        <v>0</v>
      </c>
    </row>
    <row r="225" spans="1:15">
      <c r="A225" s="120"/>
      <c r="B225" s="212" t="str">
        <f t="shared" ref="B225:J225" si="40">B218</f>
        <v>For C2</v>
      </c>
      <c r="C225" s="145">
        <f t="shared" si="40"/>
        <v>0</v>
      </c>
      <c r="D225" s="145">
        <f t="shared" si="40"/>
        <v>0</v>
      </c>
      <c r="E225" s="120">
        <f t="shared" si="40"/>
        <v>11</v>
      </c>
      <c r="F225" s="120">
        <f t="shared" si="40"/>
        <v>1</v>
      </c>
      <c r="G225" s="1303">
        <f t="shared" si="40"/>
        <v>0.23</v>
      </c>
      <c r="H225" s="1303">
        <f t="shared" si="40"/>
        <v>0.38</v>
      </c>
      <c r="I225" s="1303">
        <f t="shared" si="40"/>
        <v>2.92</v>
      </c>
      <c r="J225" s="1303">
        <f t="shared" si="40"/>
        <v>2.8072880000000002</v>
      </c>
    </row>
    <row r="226" spans="1:15">
      <c r="A226" s="120"/>
      <c r="B226" s="212" t="str">
        <f t="shared" ref="B226:J226" si="41">B219</f>
        <v>For C3</v>
      </c>
      <c r="C226" s="145">
        <f t="shared" si="41"/>
        <v>0</v>
      </c>
      <c r="D226" s="145">
        <f t="shared" si="41"/>
        <v>0</v>
      </c>
      <c r="E226" s="120">
        <f t="shared" si="41"/>
        <v>10</v>
      </c>
      <c r="F226" s="120">
        <f t="shared" si="41"/>
        <v>1</v>
      </c>
      <c r="G226" s="1303">
        <f t="shared" si="41"/>
        <v>0.23</v>
      </c>
      <c r="H226" s="1303">
        <f t="shared" si="41"/>
        <v>0.45</v>
      </c>
      <c r="I226" s="1303">
        <f t="shared" si="41"/>
        <v>2.92</v>
      </c>
      <c r="J226" s="1303">
        <f t="shared" si="41"/>
        <v>3.0222000000000002</v>
      </c>
    </row>
    <row r="227" spans="1:15">
      <c r="A227" s="120"/>
      <c r="B227" s="212" t="str">
        <f t="shared" ref="B227:J227" si="42">B220</f>
        <v>For C4</v>
      </c>
      <c r="C227" s="145">
        <f t="shared" si="42"/>
        <v>0</v>
      </c>
      <c r="D227" s="145">
        <f t="shared" si="42"/>
        <v>0</v>
      </c>
      <c r="E227" s="120">
        <f t="shared" si="42"/>
        <v>7</v>
      </c>
      <c r="F227" s="120">
        <f t="shared" si="42"/>
        <v>1</v>
      </c>
      <c r="G227" s="1303">
        <f t="shared" si="42"/>
        <v>0.3</v>
      </c>
      <c r="H227" s="1303">
        <f t="shared" si="42"/>
        <v>0.45</v>
      </c>
      <c r="I227" s="1303">
        <f t="shared" si="42"/>
        <v>2.92</v>
      </c>
      <c r="J227" s="1303">
        <f t="shared" si="42"/>
        <v>2.7594000000000003</v>
      </c>
    </row>
    <row r="228" spans="1:15">
      <c r="A228" s="120"/>
      <c r="B228" s="212"/>
      <c r="C228" s="145"/>
      <c r="D228" s="145"/>
      <c r="E228" s="120"/>
      <c r="F228" s="120"/>
      <c r="G228" s="1303"/>
      <c r="H228" s="1303"/>
      <c r="I228" s="1303"/>
      <c r="J228" s="1303"/>
    </row>
    <row r="229" spans="1:15">
      <c r="A229" s="120"/>
      <c r="B229" s="212"/>
      <c r="C229" s="145"/>
      <c r="D229" s="146"/>
      <c r="E229" s="120"/>
      <c r="F229" s="120"/>
      <c r="G229" s="1303"/>
      <c r="H229" s="1303"/>
      <c r="I229" s="1303"/>
      <c r="J229" s="1303"/>
    </row>
    <row r="230" spans="1:15">
      <c r="A230" s="120"/>
      <c r="B230" s="212"/>
      <c r="C230" s="145"/>
      <c r="D230" s="146"/>
      <c r="E230" s="120"/>
      <c r="F230" s="120"/>
      <c r="G230" s="1303"/>
      <c r="H230" s="1303"/>
      <c r="I230" s="1303"/>
      <c r="J230" s="1303"/>
    </row>
    <row r="231" spans="1:15">
      <c r="A231" s="120"/>
      <c r="B231" s="212">
        <f t="shared" ref="B231:I231" si="43">B215</f>
        <v>0</v>
      </c>
      <c r="C231" s="145">
        <f t="shared" si="43"/>
        <v>0</v>
      </c>
      <c r="D231" s="146">
        <f t="shared" si="43"/>
        <v>0</v>
      </c>
      <c r="E231" s="120">
        <f t="shared" si="43"/>
        <v>0</v>
      </c>
      <c r="F231" s="120">
        <f t="shared" si="43"/>
        <v>0</v>
      </c>
      <c r="G231" s="1303">
        <f t="shared" si="43"/>
        <v>0</v>
      </c>
      <c r="H231" s="1303">
        <f t="shared" si="43"/>
        <v>0</v>
      </c>
      <c r="I231" s="1303">
        <f t="shared" si="43"/>
        <v>0</v>
      </c>
      <c r="J231" s="1303">
        <f>PRODUCT(E231:I231)</f>
        <v>0</v>
      </c>
    </row>
    <row r="232" spans="1:15">
      <c r="A232" s="120"/>
      <c r="B232" s="212"/>
      <c r="C232" s="145"/>
      <c r="D232" s="146"/>
      <c r="E232" s="120"/>
      <c r="F232" s="120"/>
      <c r="G232" s="1303"/>
      <c r="H232" s="1303"/>
      <c r="I232" s="1303"/>
      <c r="J232" s="1303"/>
      <c r="O232" s="115">
        <v>1</v>
      </c>
    </row>
    <row r="233" spans="1:15" ht="34.5">
      <c r="A233" s="120"/>
      <c r="B233" s="174" t="s">
        <v>245</v>
      </c>
      <c r="C233" s="175"/>
      <c r="D233" s="146"/>
      <c r="E233" s="120"/>
      <c r="F233" s="120"/>
      <c r="G233" s="147"/>
      <c r="H233" s="120"/>
      <c r="I233" s="1303"/>
      <c r="J233" s="1303"/>
      <c r="L233" s="197"/>
      <c r="N233" s="115">
        <f>3.1-0.6</f>
        <v>2.5</v>
      </c>
    </row>
    <row r="234" spans="1:15">
      <c r="A234" s="120"/>
      <c r="B234" s="212">
        <f t="shared" ref="B234:J234" si="44">B224</f>
        <v>0</v>
      </c>
      <c r="C234" s="145">
        <f t="shared" si="44"/>
        <v>0</v>
      </c>
      <c r="D234" s="145">
        <f t="shared" si="44"/>
        <v>0</v>
      </c>
      <c r="E234" s="120">
        <f t="shared" si="44"/>
        <v>0</v>
      </c>
      <c r="F234" s="120">
        <f t="shared" si="44"/>
        <v>0</v>
      </c>
      <c r="G234" s="1303">
        <f t="shared" si="44"/>
        <v>0</v>
      </c>
      <c r="H234" s="1303">
        <f t="shared" si="44"/>
        <v>0</v>
      </c>
      <c r="I234" s="1303">
        <f t="shared" si="44"/>
        <v>0</v>
      </c>
      <c r="J234" s="1303">
        <f t="shared" si="44"/>
        <v>0</v>
      </c>
    </row>
    <row r="235" spans="1:15">
      <c r="A235" s="120"/>
      <c r="B235" s="212" t="str">
        <f t="shared" ref="B235:J235" si="45">B225</f>
        <v>For C2</v>
      </c>
      <c r="C235" s="145">
        <f t="shared" si="45"/>
        <v>0</v>
      </c>
      <c r="D235" s="145">
        <f t="shared" si="45"/>
        <v>0</v>
      </c>
      <c r="E235" s="120">
        <v>2</v>
      </c>
      <c r="F235" s="120">
        <f t="shared" si="45"/>
        <v>1</v>
      </c>
      <c r="G235" s="1303">
        <f t="shared" si="45"/>
        <v>0.23</v>
      </c>
      <c r="H235" s="1303">
        <f t="shared" si="45"/>
        <v>0.38</v>
      </c>
      <c r="I235" s="1303">
        <f>2.75-0.38</f>
        <v>2.37</v>
      </c>
      <c r="J235" s="1303">
        <f t="shared" si="45"/>
        <v>2.8072880000000002</v>
      </c>
    </row>
    <row r="236" spans="1:15">
      <c r="A236" s="120"/>
      <c r="B236" s="212" t="str">
        <f t="shared" ref="B236:J236" si="46">B226</f>
        <v>For C3</v>
      </c>
      <c r="C236" s="145">
        <f t="shared" si="46"/>
        <v>0</v>
      </c>
      <c r="D236" s="145">
        <f t="shared" si="46"/>
        <v>0</v>
      </c>
      <c r="E236" s="120">
        <v>3</v>
      </c>
      <c r="F236" s="120">
        <f t="shared" si="46"/>
        <v>1</v>
      </c>
      <c r="G236" s="1303">
        <f t="shared" si="46"/>
        <v>0.23</v>
      </c>
      <c r="H236" s="1303">
        <f t="shared" si="46"/>
        <v>0.45</v>
      </c>
      <c r="I236" s="1351">
        <f>2.75-0.38</f>
        <v>2.37</v>
      </c>
      <c r="J236" s="1303">
        <f t="shared" si="46"/>
        <v>3.0222000000000002</v>
      </c>
    </row>
    <row r="237" spans="1:15">
      <c r="A237" s="120"/>
      <c r="B237" s="212" t="str">
        <f t="shared" ref="B237:J237" si="47">B227</f>
        <v>For C4</v>
      </c>
      <c r="C237" s="145">
        <f t="shared" si="47"/>
        <v>0</v>
      </c>
      <c r="D237" s="145">
        <f t="shared" si="47"/>
        <v>0</v>
      </c>
      <c r="E237" s="120">
        <v>3</v>
      </c>
      <c r="F237" s="120">
        <f t="shared" si="47"/>
        <v>1</v>
      </c>
      <c r="G237" s="1303">
        <f t="shared" si="47"/>
        <v>0.3</v>
      </c>
      <c r="H237" s="1303">
        <f t="shared" si="47"/>
        <v>0.45</v>
      </c>
      <c r="I237" s="1351">
        <f>2.75-0.38</f>
        <v>2.37</v>
      </c>
      <c r="J237" s="1303">
        <f t="shared" si="47"/>
        <v>2.7594000000000003</v>
      </c>
    </row>
    <row r="238" spans="1:15">
      <c r="A238" s="120"/>
      <c r="B238" s="212"/>
      <c r="C238" s="145"/>
      <c r="D238" s="145"/>
      <c r="E238" s="120"/>
      <c r="F238" s="120"/>
      <c r="G238" s="1303"/>
      <c r="H238" s="1303"/>
      <c r="I238" s="1303"/>
      <c r="J238" s="1303"/>
    </row>
    <row r="239" spans="1:15">
      <c r="A239" s="120"/>
      <c r="B239" s="212"/>
      <c r="C239" s="145"/>
      <c r="D239" s="146"/>
      <c r="E239" s="120"/>
      <c r="F239" s="120"/>
      <c r="G239" s="1303"/>
      <c r="H239" s="1303"/>
      <c r="I239" s="1303"/>
      <c r="J239" s="1303"/>
    </row>
    <row r="240" spans="1:15">
      <c r="A240" s="120"/>
      <c r="B240" s="212"/>
      <c r="C240" s="145"/>
      <c r="D240" s="146"/>
      <c r="E240" s="120"/>
      <c r="F240" s="120"/>
      <c r="G240" s="1303"/>
      <c r="H240" s="1303"/>
      <c r="I240" s="1303"/>
      <c r="J240" s="1303"/>
    </row>
    <row r="241" spans="1:15">
      <c r="A241" s="120"/>
      <c r="B241" s="212"/>
      <c r="C241" s="145">
        <f t="shared" ref="C241:I241" si="48">C223</f>
        <v>0</v>
      </c>
      <c r="D241" s="146">
        <f t="shared" si="48"/>
        <v>0</v>
      </c>
      <c r="E241" s="120">
        <f t="shared" si="48"/>
        <v>0</v>
      </c>
      <c r="F241" s="120">
        <f t="shared" si="48"/>
        <v>0</v>
      </c>
      <c r="G241" s="1303">
        <f t="shared" si="48"/>
        <v>0</v>
      </c>
      <c r="H241" s="1303">
        <f t="shared" si="48"/>
        <v>0</v>
      </c>
      <c r="I241" s="1303">
        <f t="shared" si="48"/>
        <v>0</v>
      </c>
      <c r="J241" s="1303">
        <f>PRODUCT(E241:I241)</f>
        <v>0</v>
      </c>
    </row>
    <row r="242" spans="1:15">
      <c r="A242" s="120"/>
      <c r="B242" s="212"/>
      <c r="C242" s="145"/>
      <c r="D242" s="146"/>
      <c r="E242" s="120"/>
      <c r="F242" s="120"/>
      <c r="G242" s="1303"/>
      <c r="H242" s="1303"/>
      <c r="I242" s="1303"/>
      <c r="J242" s="1303"/>
      <c r="O242" s="115">
        <v>1</v>
      </c>
    </row>
    <row r="243" spans="1:15">
      <c r="A243" s="120"/>
      <c r="B243" s="174" t="s">
        <v>246</v>
      </c>
      <c r="C243" s="175"/>
      <c r="D243" s="146"/>
      <c r="E243" s="120"/>
      <c r="F243" s="120"/>
      <c r="G243" s="147"/>
      <c r="H243" s="120"/>
      <c r="I243" s="1303"/>
      <c r="J243" s="1303"/>
      <c r="O243" s="115">
        <f>SUM(O214:O242)</f>
        <v>11</v>
      </c>
    </row>
    <row r="244" spans="1:15">
      <c r="A244" s="120"/>
      <c r="B244" s="212" t="s">
        <v>206</v>
      </c>
      <c r="C244" s="145">
        <f>C210</f>
        <v>0</v>
      </c>
      <c r="D244" s="145">
        <f>D210</f>
        <v>0</v>
      </c>
      <c r="E244" s="120">
        <v>4</v>
      </c>
      <c r="F244" s="120">
        <v>1</v>
      </c>
      <c r="G244" s="1303">
        <f>G209</f>
        <v>0.15</v>
      </c>
      <c r="H244" s="1303">
        <f>H209</f>
        <v>0.15</v>
      </c>
      <c r="I244" s="1303">
        <v>1.2</v>
      </c>
      <c r="J244" s="1303">
        <f>PRODUCT(E244:I244)</f>
        <v>0.108</v>
      </c>
    </row>
    <row r="245" spans="1:15">
      <c r="A245" s="120"/>
      <c r="B245" s="212" t="s">
        <v>208</v>
      </c>
      <c r="C245" s="145">
        <f>C212</f>
        <v>0</v>
      </c>
      <c r="D245" s="145">
        <f>D212</f>
        <v>0</v>
      </c>
      <c r="E245" s="120">
        <v>3</v>
      </c>
      <c r="F245" s="120">
        <v>1</v>
      </c>
      <c r="G245" s="1303">
        <f>G210</f>
        <v>0.23</v>
      </c>
      <c r="H245" s="1303">
        <f>H210</f>
        <v>0.38</v>
      </c>
      <c r="I245" s="1303">
        <f>I244</f>
        <v>1.2</v>
      </c>
      <c r="J245" s="1303">
        <f>PRODUCT(E245:I245)</f>
        <v>0.31464000000000003</v>
      </c>
    </row>
    <row r="246" spans="1:15">
      <c r="A246" s="120"/>
      <c r="B246" s="212" t="s">
        <v>210</v>
      </c>
      <c r="C246" s="145"/>
      <c r="D246" s="146"/>
      <c r="E246" s="120">
        <v>4</v>
      </c>
      <c r="F246" s="120">
        <v>1</v>
      </c>
      <c r="G246" s="1303">
        <f>G212</f>
        <v>0.3</v>
      </c>
      <c r="H246" s="1303">
        <f>H212</f>
        <v>0.45</v>
      </c>
      <c r="I246" s="1303">
        <f>I245</f>
        <v>1.2</v>
      </c>
      <c r="J246" s="1303">
        <f>PRODUCT(E246:I246)</f>
        <v>0.64800000000000002</v>
      </c>
    </row>
    <row r="247" spans="1:15">
      <c r="A247" s="120"/>
      <c r="B247" s="212" t="s">
        <v>212</v>
      </c>
      <c r="C247" s="160"/>
      <c r="D247" s="198"/>
      <c r="E247" s="120">
        <v>17</v>
      </c>
      <c r="F247" s="120">
        <v>1</v>
      </c>
      <c r="G247" s="1303">
        <f>G213</f>
        <v>0</v>
      </c>
      <c r="H247" s="1303">
        <f>H213</f>
        <v>0</v>
      </c>
      <c r="I247" s="1303">
        <f>I246</f>
        <v>1.2</v>
      </c>
      <c r="J247" s="1303">
        <f>PRODUCT(E247:I247)</f>
        <v>0</v>
      </c>
    </row>
    <row r="248" spans="1:15">
      <c r="A248" s="120"/>
      <c r="B248" s="212"/>
      <c r="C248" s="145"/>
      <c r="D248" s="146"/>
      <c r="E248" s="120"/>
      <c r="F248" s="120"/>
      <c r="G248" s="1303"/>
      <c r="H248" s="1303"/>
      <c r="I248" s="1303"/>
      <c r="J248" s="1303"/>
    </row>
    <row r="249" spans="1:15">
      <c r="A249" s="120"/>
      <c r="B249" s="174" t="s">
        <v>247</v>
      </c>
      <c r="C249" s="175"/>
      <c r="D249" s="146"/>
      <c r="E249" s="120"/>
      <c r="F249" s="120"/>
      <c r="G249" s="147"/>
      <c r="H249" s="120"/>
      <c r="I249" s="1303"/>
      <c r="J249" s="1303"/>
    </row>
    <row r="250" spans="1:15">
      <c r="A250" s="120"/>
      <c r="B250" s="212" t="s">
        <v>208</v>
      </c>
      <c r="C250" s="145">
        <f>C209</f>
        <v>0</v>
      </c>
      <c r="D250" s="145">
        <f>D209</f>
        <v>0</v>
      </c>
      <c r="E250" s="120">
        <v>1</v>
      </c>
      <c r="F250" s="120">
        <f>F209</f>
        <v>3.14</v>
      </c>
      <c r="G250" s="1303">
        <f>G245</f>
        <v>0.23</v>
      </c>
      <c r="H250" s="1303">
        <f>H245</f>
        <v>0.38</v>
      </c>
      <c r="I250" s="1303">
        <f>3.3-0.3</f>
        <v>3</v>
      </c>
      <c r="J250" s="1303">
        <f>PRODUCT(E250:I250)</f>
        <v>0.82330800000000004</v>
      </c>
      <c r="K250" s="199"/>
    </row>
    <row r="251" spans="1:15">
      <c r="A251" s="120"/>
      <c r="B251" s="212" t="s">
        <v>210</v>
      </c>
      <c r="C251" s="145" t="e">
        <f>#REF!</f>
        <v>#REF!</v>
      </c>
      <c r="D251" s="145" t="e">
        <f>#REF!</f>
        <v>#REF!</v>
      </c>
      <c r="E251" s="120">
        <v>3</v>
      </c>
      <c r="F251" s="120" t="e">
        <f>#REF!</f>
        <v>#REF!</v>
      </c>
      <c r="G251" s="120" t="e">
        <f>#REF!</f>
        <v>#REF!</v>
      </c>
      <c r="H251" s="120" t="e">
        <f>#REF!</f>
        <v>#REF!</v>
      </c>
      <c r="I251" s="1303">
        <f>3.3-0.3</f>
        <v>3</v>
      </c>
      <c r="J251" s="1303" t="e">
        <f>PRODUCT(E251:I251)</f>
        <v>#REF!</v>
      </c>
      <c r="K251" s="199"/>
    </row>
    <row r="252" spans="1:15">
      <c r="A252" s="120"/>
      <c r="B252" s="212" t="s">
        <v>212</v>
      </c>
      <c r="C252" s="145" t="e">
        <f>#REF!</f>
        <v>#REF!</v>
      </c>
      <c r="D252" s="145" t="e">
        <f>#REF!</f>
        <v>#REF!</v>
      </c>
      <c r="E252" s="120">
        <v>4</v>
      </c>
      <c r="F252" s="120" t="e">
        <f>#REF!</f>
        <v>#REF!</v>
      </c>
      <c r="G252" s="120" t="e">
        <f>#REF!</f>
        <v>#REF!</v>
      </c>
      <c r="H252" s="120" t="e">
        <f>#REF!</f>
        <v>#REF!</v>
      </c>
      <c r="I252" s="1303">
        <f>3.3-0.3</f>
        <v>3</v>
      </c>
      <c r="J252" s="1303" t="e">
        <f>PRODUCT(E252:I252)</f>
        <v>#REF!</v>
      </c>
      <c r="K252" s="199"/>
    </row>
    <row r="253" spans="1:15">
      <c r="A253" s="120"/>
      <c r="B253" s="1337"/>
      <c r="C253" s="148"/>
      <c r="D253" s="149"/>
      <c r="E253" s="150"/>
      <c r="F253" s="150"/>
      <c r="G253" s="151"/>
      <c r="H253" s="150"/>
      <c r="I253" s="1303"/>
      <c r="J253" s="151"/>
      <c r="K253" s="152"/>
    </row>
    <row r="254" spans="1:15" s="158" customFormat="1">
      <c r="A254" s="153"/>
      <c r="B254" s="1336"/>
      <c r="C254" s="154"/>
      <c r="D254" s="155"/>
      <c r="E254" s="156"/>
      <c r="F254" s="156"/>
      <c r="G254" s="153"/>
      <c r="H254" s="153"/>
      <c r="I254" s="157"/>
      <c r="J254" s="153"/>
    </row>
    <row r="255" spans="1:15" s="158" customFormat="1">
      <c r="A255" s="153"/>
      <c r="B255" s="1336"/>
      <c r="C255" s="154"/>
      <c r="D255" s="155"/>
      <c r="E255" s="156"/>
      <c r="F255" s="156"/>
      <c r="G255" s="153"/>
      <c r="H255" s="153"/>
      <c r="I255" s="157"/>
      <c r="J255" s="1304"/>
      <c r="K255" s="159"/>
    </row>
    <row r="256" spans="1:15" s="158" customFormat="1">
      <c r="A256" s="153"/>
      <c r="B256" s="1336"/>
      <c r="C256" s="154"/>
      <c r="D256" s="155"/>
      <c r="E256" s="156"/>
      <c r="F256" s="156"/>
      <c r="G256" s="153"/>
      <c r="H256" s="1304"/>
      <c r="I256" s="161"/>
      <c r="J256" s="1304"/>
      <c r="K256" s="159"/>
    </row>
    <row r="257" spans="1:13">
      <c r="A257" s="1302"/>
      <c r="B257" s="210"/>
      <c r="C257" s="121"/>
      <c r="D257" s="122"/>
      <c r="E257" s="120"/>
      <c r="F257" s="120"/>
      <c r="G257" s="120"/>
      <c r="H257" s="120"/>
      <c r="I257" s="1303"/>
      <c r="J257" s="1303"/>
    </row>
    <row r="258" spans="1:13">
      <c r="A258" s="120"/>
      <c r="B258" s="210"/>
      <c r="C258" s="121"/>
      <c r="D258" s="122"/>
      <c r="E258" s="120"/>
      <c r="F258" s="120"/>
      <c r="G258" s="120"/>
      <c r="H258" s="120"/>
      <c r="I258" s="1303"/>
      <c r="J258" s="1303"/>
    </row>
    <row r="259" spans="1:13">
      <c r="A259" s="120"/>
      <c r="B259" s="212"/>
      <c r="C259" s="145"/>
      <c r="D259" s="146"/>
      <c r="E259" s="120"/>
      <c r="F259" s="120"/>
      <c r="G259" s="1303"/>
      <c r="H259" s="1303"/>
      <c r="I259" s="1303"/>
      <c r="J259" s="1303"/>
    </row>
    <row r="260" spans="1:13">
      <c r="A260" s="120"/>
      <c r="B260" s="212"/>
      <c r="C260" s="145"/>
      <c r="D260" s="146"/>
      <c r="E260" s="120"/>
      <c r="F260" s="120"/>
      <c r="G260" s="1303"/>
      <c r="H260" s="1303"/>
      <c r="I260" s="1303"/>
      <c r="J260" s="1303"/>
    </row>
    <row r="261" spans="1:13">
      <c r="A261" s="120"/>
      <c r="B261" s="212"/>
      <c r="C261" s="145"/>
      <c r="D261" s="146"/>
      <c r="E261" s="120"/>
      <c r="F261" s="120"/>
      <c r="G261" s="1303"/>
      <c r="H261" s="1303"/>
      <c r="I261" s="1303"/>
      <c r="J261" s="1303"/>
      <c r="L261" s="124"/>
    </row>
    <row r="262" spans="1:13">
      <c r="A262" s="120"/>
      <c r="B262" s="212"/>
      <c r="C262" s="145"/>
      <c r="D262" s="146"/>
      <c r="E262" s="120"/>
      <c r="F262" s="120"/>
      <c r="G262" s="1303"/>
      <c r="H262" s="1303"/>
      <c r="I262" s="1303"/>
      <c r="J262" s="1303"/>
    </row>
    <row r="263" spans="1:13">
      <c r="A263" s="120"/>
      <c r="B263" s="212"/>
      <c r="C263" s="145"/>
      <c r="D263" s="146"/>
      <c r="E263" s="120"/>
      <c r="F263" s="120"/>
      <c r="G263" s="1303"/>
      <c r="H263" s="1303"/>
      <c r="I263" s="1303"/>
      <c r="J263" s="1303"/>
    </row>
    <row r="264" spans="1:13">
      <c r="A264" s="120"/>
      <c r="B264" s="212"/>
      <c r="C264" s="145"/>
      <c r="D264" s="146"/>
      <c r="E264" s="120"/>
      <c r="F264" s="120"/>
      <c r="G264" s="1303"/>
      <c r="H264" s="1303"/>
      <c r="I264" s="1303"/>
      <c r="J264" s="1303"/>
    </row>
    <row r="265" spans="1:13">
      <c r="A265" s="120"/>
      <c r="B265" s="212"/>
      <c r="C265" s="145"/>
      <c r="D265" s="146"/>
      <c r="E265" s="120"/>
      <c r="F265" s="120"/>
      <c r="G265" s="1303"/>
      <c r="H265" s="1303"/>
      <c r="I265" s="1303"/>
      <c r="J265" s="1303"/>
    </row>
    <row r="266" spans="1:13">
      <c r="A266" s="120"/>
      <c r="B266" s="210"/>
      <c r="C266" s="121"/>
      <c r="D266" s="122"/>
      <c r="E266" s="120"/>
      <c r="F266" s="120"/>
      <c r="G266" s="120"/>
      <c r="H266" s="120"/>
      <c r="I266" s="1303"/>
      <c r="J266" s="1303"/>
    </row>
    <row r="267" spans="1:13">
      <c r="A267" s="120"/>
      <c r="B267" s="212"/>
      <c r="C267" s="145"/>
      <c r="D267" s="146"/>
      <c r="E267" s="120"/>
      <c r="F267" s="120"/>
      <c r="G267" s="120"/>
      <c r="H267" s="120"/>
      <c r="I267" s="1303"/>
      <c r="J267" s="1303"/>
      <c r="L267" s="124"/>
    </row>
    <row r="268" spans="1:13">
      <c r="A268" s="120"/>
      <c r="B268" s="212"/>
      <c r="C268" s="145"/>
      <c r="D268" s="146"/>
      <c r="E268" s="120"/>
      <c r="F268" s="120"/>
      <c r="G268" s="120"/>
      <c r="H268" s="120"/>
      <c r="I268" s="1303"/>
      <c r="J268" s="1303"/>
      <c r="L268" s="124"/>
    </row>
    <row r="269" spans="1:13" ht="23.25">
      <c r="A269" s="120"/>
      <c r="B269" s="212"/>
      <c r="C269" s="145"/>
      <c r="D269" s="146"/>
      <c r="E269" s="120"/>
      <c r="F269" s="120"/>
      <c r="G269" s="120"/>
      <c r="H269" s="1303"/>
      <c r="I269" s="1303"/>
      <c r="J269" s="1303"/>
      <c r="L269" s="124"/>
      <c r="M269" s="200"/>
    </row>
    <row r="270" spans="1:13">
      <c r="A270" s="120"/>
      <c r="B270" s="212"/>
      <c r="C270" s="145"/>
      <c r="D270" s="146"/>
      <c r="E270" s="120"/>
      <c r="F270" s="120"/>
      <c r="G270" s="1303"/>
      <c r="H270" s="1303"/>
      <c r="I270" s="1303"/>
      <c r="J270" s="1303"/>
      <c r="L270" s="124"/>
    </row>
    <row r="271" spans="1:13">
      <c r="A271" s="120"/>
      <c r="B271" s="212"/>
      <c r="C271" s="145"/>
      <c r="D271" s="146"/>
      <c r="E271" s="120"/>
      <c r="F271" s="120"/>
      <c r="G271" s="1303"/>
      <c r="H271" s="1303"/>
      <c r="I271" s="1303"/>
      <c r="J271" s="1303"/>
      <c r="L271" s="124"/>
    </row>
    <row r="272" spans="1:13">
      <c r="A272" s="120"/>
      <c r="B272" s="212"/>
      <c r="C272" s="145"/>
      <c r="D272" s="146"/>
      <c r="E272" s="120"/>
      <c r="F272" s="120"/>
      <c r="G272" s="1303"/>
      <c r="H272" s="1303"/>
      <c r="I272" s="1303"/>
      <c r="J272" s="1303"/>
      <c r="L272" s="124"/>
    </row>
    <row r="273" spans="1:12">
      <c r="A273" s="120"/>
      <c r="B273" s="212"/>
      <c r="C273" s="145"/>
      <c r="D273" s="146"/>
      <c r="E273" s="120"/>
      <c r="F273" s="120"/>
      <c r="G273" s="1303"/>
      <c r="H273" s="1303"/>
      <c r="I273" s="1303"/>
      <c r="J273" s="1303"/>
      <c r="L273" s="124"/>
    </row>
    <row r="274" spans="1:12">
      <c r="A274" s="120"/>
      <c r="B274" s="212"/>
      <c r="C274" s="145"/>
      <c r="D274" s="146"/>
      <c r="E274" s="120"/>
      <c r="F274" s="120"/>
      <c r="G274" s="1303"/>
      <c r="H274" s="1303"/>
      <c r="I274" s="1303"/>
      <c r="J274" s="1303"/>
      <c r="L274" s="124"/>
    </row>
    <row r="275" spans="1:12">
      <c r="A275" s="120"/>
      <c r="B275" s="210"/>
      <c r="C275" s="121"/>
      <c r="D275" s="122"/>
      <c r="E275" s="120"/>
      <c r="F275" s="120"/>
      <c r="G275" s="120"/>
      <c r="H275" s="120"/>
      <c r="I275" s="1303"/>
      <c r="J275" s="1303"/>
    </row>
    <row r="276" spans="1:12">
      <c r="A276" s="120"/>
      <c r="B276" s="212"/>
      <c r="C276" s="145"/>
      <c r="D276" s="146"/>
      <c r="E276" s="120"/>
      <c r="F276" s="120"/>
      <c r="G276" s="120"/>
      <c r="H276" s="120"/>
      <c r="I276" s="1303"/>
      <c r="J276" s="1303"/>
      <c r="L276" s="124"/>
    </row>
    <row r="277" spans="1:12">
      <c r="A277" s="120"/>
      <c r="B277" s="212"/>
      <c r="C277" s="145"/>
      <c r="D277" s="146"/>
      <c r="E277" s="120"/>
      <c r="F277" s="120"/>
      <c r="G277" s="120"/>
      <c r="H277" s="120"/>
      <c r="I277" s="1303"/>
      <c r="J277" s="1303"/>
      <c r="L277" s="124"/>
    </row>
    <row r="278" spans="1:12">
      <c r="A278" s="120"/>
      <c r="B278" s="212"/>
      <c r="C278" s="145"/>
      <c r="D278" s="146"/>
      <c r="E278" s="120"/>
      <c r="F278" s="120"/>
      <c r="G278" s="120"/>
      <c r="H278" s="1303"/>
      <c r="I278" s="1303"/>
      <c r="J278" s="1303"/>
      <c r="L278" s="124"/>
    </row>
    <row r="279" spans="1:12">
      <c r="A279" s="120"/>
      <c r="B279" s="212"/>
      <c r="C279" s="145"/>
      <c r="D279" s="146"/>
      <c r="E279" s="120"/>
      <c r="F279" s="120"/>
      <c r="G279" s="1303"/>
      <c r="H279" s="1303"/>
      <c r="I279" s="1303"/>
      <c r="J279" s="1303"/>
      <c r="L279" s="124"/>
    </row>
    <row r="280" spans="1:12">
      <c r="A280" s="120"/>
      <c r="B280" s="212"/>
      <c r="C280" s="145"/>
      <c r="D280" s="146"/>
      <c r="E280" s="120"/>
      <c r="F280" s="120"/>
      <c r="G280" s="1303"/>
      <c r="H280" s="1303"/>
      <c r="I280" s="1303"/>
      <c r="J280" s="1303"/>
      <c r="L280" s="124"/>
    </row>
    <row r="281" spans="1:12">
      <c r="A281" s="120"/>
      <c r="B281" s="212"/>
      <c r="C281" s="145"/>
      <c r="D281" s="146"/>
      <c r="E281" s="120"/>
      <c r="F281" s="120"/>
      <c r="G281" s="1303"/>
      <c r="H281" s="1303"/>
      <c r="I281" s="1303"/>
      <c r="J281" s="1303"/>
      <c r="L281" s="124"/>
    </row>
    <row r="282" spans="1:12">
      <c r="A282" s="120"/>
      <c r="B282" s="212"/>
      <c r="C282" s="145"/>
      <c r="D282" s="146"/>
      <c r="E282" s="120"/>
      <c r="F282" s="120"/>
      <c r="G282" s="1303"/>
      <c r="H282" s="1303"/>
      <c r="I282" s="1303"/>
      <c r="J282" s="1303"/>
      <c r="L282" s="124"/>
    </row>
    <row r="283" spans="1:12">
      <c r="A283" s="120"/>
      <c r="B283" s="212"/>
      <c r="C283" s="145"/>
      <c r="D283" s="146"/>
      <c r="E283" s="120"/>
      <c r="F283" s="120"/>
      <c r="G283" s="1303"/>
      <c r="H283" s="1303"/>
      <c r="I283" s="1303"/>
      <c r="J283" s="1303"/>
      <c r="L283" s="124"/>
    </row>
    <row r="284" spans="1:12">
      <c r="A284" s="120"/>
      <c r="B284" s="210"/>
      <c r="C284" s="121"/>
      <c r="D284" s="122"/>
      <c r="E284" s="120"/>
      <c r="F284" s="120"/>
      <c r="G284" s="120"/>
      <c r="H284" s="120"/>
      <c r="I284" s="1303"/>
      <c r="J284" s="1303"/>
    </row>
    <row r="285" spans="1:12">
      <c r="A285" s="120"/>
      <c r="B285" s="1332"/>
      <c r="C285" s="160"/>
      <c r="D285" s="198"/>
      <c r="E285" s="120"/>
      <c r="F285" s="120"/>
      <c r="G285" s="120"/>
      <c r="H285" s="120"/>
      <c r="I285" s="1303"/>
      <c r="J285" s="1303"/>
    </row>
    <row r="286" spans="1:12">
      <c r="A286" s="120"/>
      <c r="B286" s="212"/>
      <c r="C286" s="145"/>
      <c r="D286" s="146"/>
      <c r="E286" s="120"/>
      <c r="F286" s="120"/>
      <c r="G286" s="1303"/>
      <c r="H286" s="1303"/>
      <c r="I286" s="1303"/>
      <c r="J286" s="1303"/>
    </row>
    <row r="287" spans="1:12">
      <c r="A287" s="120"/>
      <c r="B287" s="212"/>
      <c r="C287" s="145"/>
      <c r="D287" s="146"/>
      <c r="E287" s="120"/>
      <c r="F287" s="120"/>
      <c r="G287" s="1303"/>
      <c r="H287" s="1303"/>
      <c r="I287" s="1303"/>
      <c r="J287" s="1303"/>
    </row>
    <row r="288" spans="1:12">
      <c r="A288" s="120"/>
      <c r="B288" s="212"/>
      <c r="C288" s="145"/>
      <c r="D288" s="146"/>
      <c r="E288" s="120"/>
      <c r="F288" s="120"/>
      <c r="G288" s="1303"/>
      <c r="H288" s="1303"/>
      <c r="I288" s="1303"/>
      <c r="J288" s="1303"/>
    </row>
    <row r="289" spans="1:43">
      <c r="A289" s="120"/>
      <c r="B289" s="212"/>
      <c r="C289" s="145"/>
      <c r="D289" s="146"/>
      <c r="E289" s="120"/>
      <c r="F289" s="120"/>
      <c r="G289" s="1303"/>
      <c r="H289" s="1303"/>
      <c r="I289" s="1303"/>
      <c r="J289" s="1303"/>
    </row>
    <row r="290" spans="1:43" ht="81.75" customHeight="1">
      <c r="A290" s="1309"/>
      <c r="B290" s="1323"/>
      <c r="C290" s="1309" t="s">
        <v>189</v>
      </c>
      <c r="D290" s="1311" t="s">
        <v>5507</v>
      </c>
      <c r="E290" s="1311" t="s">
        <v>5508</v>
      </c>
      <c r="F290" s="1311" t="s">
        <v>5509</v>
      </c>
      <c r="G290" s="1311" t="s">
        <v>25</v>
      </c>
      <c r="H290" s="1311" t="s">
        <v>342</v>
      </c>
      <c r="I290" s="1311" t="s">
        <v>193</v>
      </c>
      <c r="J290" s="1311" t="s">
        <v>195</v>
      </c>
      <c r="K290" s="1311" t="s">
        <v>256</v>
      </c>
      <c r="L290" s="1311" t="s">
        <v>5510</v>
      </c>
      <c r="M290" s="1311" t="s">
        <v>5517</v>
      </c>
      <c r="N290" s="1311" t="s">
        <v>5519</v>
      </c>
      <c r="O290" s="1311" t="s">
        <v>188</v>
      </c>
      <c r="P290" s="1311" t="s">
        <v>5577</v>
      </c>
      <c r="Q290" s="1311" t="s">
        <v>5516</v>
      </c>
      <c r="R290" s="1311" t="s">
        <v>190</v>
      </c>
      <c r="S290" s="1311" t="s">
        <v>5511</v>
      </c>
      <c r="T290" s="1311" t="s">
        <v>5512</v>
      </c>
      <c r="U290" s="1311" t="s">
        <v>5513</v>
      </c>
      <c r="V290" s="1311" t="s">
        <v>5514</v>
      </c>
      <c r="W290" s="1311" t="s">
        <v>5515</v>
      </c>
      <c r="X290" s="1311" t="s">
        <v>252</v>
      </c>
      <c r="Y290" s="1311" t="s">
        <v>248</v>
      </c>
      <c r="Z290" s="1311" t="s">
        <v>249</v>
      </c>
      <c r="AA290" s="1311" t="s">
        <v>250</v>
      </c>
      <c r="AB290" s="1311" t="s">
        <v>251</v>
      </c>
      <c r="AC290" s="1311" t="s">
        <v>5518</v>
      </c>
      <c r="AD290" s="1311" t="s">
        <v>255</v>
      </c>
      <c r="AE290" s="1311" t="s">
        <v>254</v>
      </c>
      <c r="AF290" s="1311" t="s">
        <v>253</v>
      </c>
      <c r="AG290" s="1311" t="s">
        <v>372</v>
      </c>
      <c r="AH290" s="1311" t="s">
        <v>257</v>
      </c>
      <c r="AI290" s="1311" t="s">
        <v>5520</v>
      </c>
      <c r="AJ290" s="201"/>
    </row>
    <row r="291" spans="1:43" ht="134.25" customHeight="1">
      <c r="A291" s="1309"/>
      <c r="B291" s="1323"/>
      <c r="C291" s="1325" t="s">
        <v>5522</v>
      </c>
      <c r="D291" s="1325" t="s">
        <v>5523</v>
      </c>
      <c r="E291" s="1325" t="s">
        <v>5524</v>
      </c>
      <c r="F291" s="1325" t="s">
        <v>5525</v>
      </c>
      <c r="G291" s="1325" t="s">
        <v>5524</v>
      </c>
      <c r="H291" s="1325" t="s">
        <v>5524</v>
      </c>
      <c r="I291" s="1325" t="s">
        <v>5526</v>
      </c>
      <c r="J291" s="1325" t="s">
        <v>5528</v>
      </c>
      <c r="K291" s="1325" t="s">
        <v>5529</v>
      </c>
      <c r="L291" s="1325" t="s">
        <v>5524</v>
      </c>
      <c r="M291" s="1325" t="s">
        <v>5524</v>
      </c>
      <c r="N291" s="1325" t="s">
        <v>5524</v>
      </c>
      <c r="O291" s="1325" t="s">
        <v>5525</v>
      </c>
      <c r="P291" s="1325" t="s">
        <v>5526</v>
      </c>
      <c r="Q291" s="1325" t="s">
        <v>5530</v>
      </c>
      <c r="R291" s="1325" t="s">
        <v>5531</v>
      </c>
      <c r="S291" s="1325" t="s">
        <v>5530</v>
      </c>
      <c r="T291" s="1325" t="s">
        <v>5532</v>
      </c>
      <c r="U291" s="1325" t="s">
        <v>5533</v>
      </c>
      <c r="V291" s="1325" t="s">
        <v>5534</v>
      </c>
      <c r="W291" s="1325" t="s">
        <v>5535</v>
      </c>
      <c r="X291" s="1325" t="s">
        <v>5536</v>
      </c>
      <c r="Y291" s="1325" t="s">
        <v>5536</v>
      </c>
      <c r="Z291" s="1325" t="s">
        <v>5535</v>
      </c>
      <c r="AA291" s="1325" t="s">
        <v>5537</v>
      </c>
      <c r="AB291" s="1325" t="s">
        <v>5538</v>
      </c>
      <c r="AC291" s="1325" t="s">
        <v>5539</v>
      </c>
      <c r="AD291" s="1325" t="s">
        <v>5540</v>
      </c>
      <c r="AE291" s="1325" t="s">
        <v>5541</v>
      </c>
      <c r="AF291" s="1325" t="s">
        <v>5542</v>
      </c>
      <c r="AG291" s="1325" t="s">
        <v>5543</v>
      </c>
      <c r="AH291" s="1325" t="s">
        <v>5544</v>
      </c>
      <c r="AI291" s="1325" t="s">
        <v>5544</v>
      </c>
      <c r="AJ291" s="201"/>
      <c r="AP291" s="115" t="s">
        <v>189</v>
      </c>
      <c r="AQ291" s="115" t="s">
        <v>5522</v>
      </c>
    </row>
    <row r="292" spans="1:43" s="1317" customFormat="1" ht="69" customHeight="1">
      <c r="A292" s="1309"/>
      <c r="B292" s="1323" t="s">
        <v>258</v>
      </c>
      <c r="C292" s="1311"/>
      <c r="D292" s="1311"/>
      <c r="E292" s="1311"/>
      <c r="F292" s="1311"/>
      <c r="G292" s="1311"/>
      <c r="H292" s="1311"/>
      <c r="I292" s="1311"/>
      <c r="J292" s="1311"/>
      <c r="K292" s="1311"/>
      <c r="L292" s="1311"/>
      <c r="M292" s="1311"/>
      <c r="N292" s="1311"/>
      <c r="O292" s="1311"/>
      <c r="P292" s="1311"/>
      <c r="Q292" s="1311"/>
      <c r="R292" s="1311"/>
      <c r="S292" s="1311"/>
      <c r="T292" s="1311"/>
      <c r="U292" s="1311"/>
      <c r="V292" s="1311"/>
      <c r="W292" s="1311"/>
      <c r="X292" s="1311"/>
      <c r="Y292" s="1311"/>
      <c r="Z292" s="1311"/>
      <c r="AA292" s="1311"/>
      <c r="AB292" s="1311"/>
      <c r="AC292" s="1311"/>
      <c r="AD292" s="1311"/>
      <c r="AE292" s="1311"/>
      <c r="AF292" s="1311"/>
      <c r="AG292" s="1311"/>
      <c r="AH292" s="1311"/>
      <c r="AI292" s="1311"/>
      <c r="AJ292" s="1324"/>
      <c r="AP292" s="1317" t="s">
        <v>5507</v>
      </c>
      <c r="AQ292" s="1317" t="s">
        <v>5523</v>
      </c>
    </row>
    <row r="293" spans="1:43" s="1317" customFormat="1" ht="69" customHeight="1">
      <c r="A293" s="1309"/>
      <c r="B293" s="1323" t="s">
        <v>5521</v>
      </c>
      <c r="C293" s="1311">
        <v>1</v>
      </c>
      <c r="D293" s="1311">
        <v>1</v>
      </c>
      <c r="E293" s="1311"/>
      <c r="F293" s="1311"/>
      <c r="G293" s="1311"/>
      <c r="H293" s="1311"/>
      <c r="I293" s="1311"/>
      <c r="J293" s="1311"/>
      <c r="K293" s="1311">
        <v>1</v>
      </c>
      <c r="L293" s="1311"/>
      <c r="M293" s="1311"/>
      <c r="N293" s="1311"/>
      <c r="O293" s="1311"/>
      <c r="P293" s="1311"/>
      <c r="Q293" s="1311"/>
      <c r="R293" s="1311"/>
      <c r="S293" s="1311">
        <v>2</v>
      </c>
      <c r="T293" s="1311">
        <v>1</v>
      </c>
      <c r="U293" s="1311"/>
      <c r="V293" s="1311"/>
      <c r="W293" s="1311">
        <v>1</v>
      </c>
      <c r="X293" s="1311"/>
      <c r="Y293" s="1311"/>
      <c r="Z293" s="1311"/>
      <c r="AA293" s="1311"/>
      <c r="AB293" s="1311">
        <v>1</v>
      </c>
      <c r="AC293" s="1311"/>
      <c r="AD293" s="1311"/>
      <c r="AE293" s="1311"/>
      <c r="AF293" s="1311"/>
      <c r="AG293" s="1311"/>
      <c r="AH293" s="1311"/>
      <c r="AI293" s="1311"/>
      <c r="AJ293" s="1324"/>
      <c r="AP293" s="1317" t="s">
        <v>5508</v>
      </c>
      <c r="AQ293" s="1317" t="s">
        <v>5524</v>
      </c>
    </row>
    <row r="294" spans="1:43" s="1317" customFormat="1" ht="69" customHeight="1">
      <c r="A294" s="1309"/>
      <c r="B294" s="1323" t="s">
        <v>5545</v>
      </c>
      <c r="C294" s="1311"/>
      <c r="D294" s="1311"/>
      <c r="E294" s="1311"/>
      <c r="F294" s="1311"/>
      <c r="G294" s="1311"/>
      <c r="H294" s="1311"/>
      <c r="I294" s="1311"/>
      <c r="J294" s="1311"/>
      <c r="K294" s="1311"/>
      <c r="L294" s="1311"/>
      <c r="M294" s="1311"/>
      <c r="N294" s="1311">
        <v>1</v>
      </c>
      <c r="O294" s="1311">
        <v>1</v>
      </c>
      <c r="P294" s="1311"/>
      <c r="Q294" s="1311"/>
      <c r="R294" s="1311"/>
      <c r="S294" s="1311"/>
      <c r="T294" s="1311"/>
      <c r="U294" s="1311"/>
      <c r="V294" s="1311"/>
      <c r="W294" s="1311"/>
      <c r="X294" s="1311"/>
      <c r="Y294" s="1311"/>
      <c r="Z294" s="1311"/>
      <c r="AA294" s="1311"/>
      <c r="AB294" s="1311"/>
      <c r="AC294" s="1311"/>
      <c r="AD294" s="1311"/>
      <c r="AE294" s="1311"/>
      <c r="AF294" s="1311"/>
      <c r="AG294" s="1311"/>
      <c r="AH294" s="1311">
        <v>3</v>
      </c>
      <c r="AI294" s="1311"/>
      <c r="AJ294" s="1324"/>
      <c r="AP294" s="1317" t="s">
        <v>5509</v>
      </c>
      <c r="AQ294" s="1317" t="s">
        <v>5525</v>
      </c>
    </row>
    <row r="295" spans="1:43" s="1317" customFormat="1" ht="69" customHeight="1">
      <c r="A295" s="1309"/>
      <c r="B295" s="1323" t="s">
        <v>5546</v>
      </c>
      <c r="C295" s="1311"/>
      <c r="D295" s="1311"/>
      <c r="E295" s="1311"/>
      <c r="F295" s="1311"/>
      <c r="G295" s="1311"/>
      <c r="H295" s="1311"/>
      <c r="I295" s="1311"/>
      <c r="J295" s="1311"/>
      <c r="K295" s="1311"/>
      <c r="L295" s="1311"/>
      <c r="M295" s="1311"/>
      <c r="N295" s="1311"/>
      <c r="O295" s="1311"/>
      <c r="P295" s="1311"/>
      <c r="Q295" s="1311">
        <v>1</v>
      </c>
      <c r="R295" s="1311"/>
      <c r="S295" s="1311"/>
      <c r="T295" s="1311"/>
      <c r="U295" s="1311"/>
      <c r="V295" s="1311"/>
      <c r="W295" s="1311"/>
      <c r="X295" s="1311"/>
      <c r="Y295" s="1311"/>
      <c r="Z295" s="1311"/>
      <c r="AA295" s="1311"/>
      <c r="AB295" s="1311"/>
      <c r="AC295" s="1311"/>
      <c r="AD295" s="1311"/>
      <c r="AE295" s="1311"/>
      <c r="AF295" s="1311"/>
      <c r="AG295" s="1311"/>
      <c r="AH295" s="1311"/>
      <c r="AI295" s="1311"/>
      <c r="AJ295" s="1324"/>
      <c r="AP295" s="1317" t="s">
        <v>25</v>
      </c>
      <c r="AQ295" s="1317" t="s">
        <v>5524</v>
      </c>
    </row>
    <row r="296" spans="1:43" s="1317" customFormat="1" ht="69" customHeight="1">
      <c r="A296" s="1309"/>
      <c r="B296" s="1323"/>
      <c r="C296" s="1311"/>
      <c r="D296" s="1311"/>
      <c r="E296" s="1311"/>
      <c r="F296" s="1311"/>
      <c r="G296" s="1311"/>
      <c r="H296" s="1311"/>
      <c r="I296" s="1311"/>
      <c r="J296" s="1311"/>
      <c r="K296" s="1311"/>
      <c r="L296" s="1311"/>
      <c r="M296" s="1311"/>
      <c r="N296" s="1311"/>
      <c r="O296" s="1311"/>
      <c r="P296" s="1311"/>
      <c r="Q296" s="1311"/>
      <c r="R296" s="1311"/>
      <c r="S296" s="1311"/>
      <c r="T296" s="1311"/>
      <c r="U296" s="1311"/>
      <c r="V296" s="1311"/>
      <c r="W296" s="1311"/>
      <c r="X296" s="1311"/>
      <c r="Y296" s="1311"/>
      <c r="Z296" s="1311"/>
      <c r="AA296" s="1311"/>
      <c r="AB296" s="1311"/>
      <c r="AC296" s="1311"/>
      <c r="AD296" s="1311"/>
      <c r="AE296" s="1311"/>
      <c r="AF296" s="1311"/>
      <c r="AG296" s="1311"/>
      <c r="AH296" s="1311"/>
      <c r="AI296" s="1311"/>
      <c r="AJ296" s="1324"/>
      <c r="AP296" s="1317" t="s">
        <v>342</v>
      </c>
      <c r="AQ296" s="1317" t="s">
        <v>5524</v>
      </c>
    </row>
    <row r="297" spans="1:43" s="1317" customFormat="1" ht="69" customHeight="1">
      <c r="A297" s="1309"/>
      <c r="B297" s="1323"/>
      <c r="C297" s="1311"/>
      <c r="D297" s="1311"/>
      <c r="E297" s="1311"/>
      <c r="F297" s="1311"/>
      <c r="G297" s="1311"/>
      <c r="H297" s="1311"/>
      <c r="I297" s="1311"/>
      <c r="J297" s="1311"/>
      <c r="K297" s="1311"/>
      <c r="L297" s="1311"/>
      <c r="M297" s="1311"/>
      <c r="N297" s="1311"/>
      <c r="O297" s="1311"/>
      <c r="P297" s="1311"/>
      <c r="Q297" s="1311"/>
      <c r="R297" s="1311"/>
      <c r="S297" s="1311"/>
      <c r="T297" s="1311"/>
      <c r="U297" s="1311"/>
      <c r="V297" s="1311"/>
      <c r="W297" s="1311"/>
      <c r="X297" s="1311"/>
      <c r="Y297" s="1311"/>
      <c r="Z297" s="1311"/>
      <c r="AA297" s="1311"/>
      <c r="AB297" s="1311"/>
      <c r="AC297" s="1311"/>
      <c r="AD297" s="1311"/>
      <c r="AE297" s="1311"/>
      <c r="AF297" s="1311"/>
      <c r="AG297" s="1311"/>
      <c r="AH297" s="1311"/>
      <c r="AI297" s="1311"/>
      <c r="AJ297" s="1324"/>
      <c r="AP297" s="1317" t="s">
        <v>5527</v>
      </c>
      <c r="AQ297" s="1317" t="s">
        <v>5526</v>
      </c>
    </row>
    <row r="298" spans="1:43" s="1317" customFormat="1" ht="69" customHeight="1">
      <c r="A298" s="1309"/>
      <c r="B298" s="1323"/>
      <c r="C298" s="1311"/>
      <c r="D298" s="1311"/>
      <c r="E298" s="1311"/>
      <c r="F298" s="1311"/>
      <c r="G298" s="1311"/>
      <c r="H298" s="1311"/>
      <c r="I298" s="1311"/>
      <c r="J298" s="1311"/>
      <c r="K298" s="1311"/>
      <c r="L298" s="1311"/>
      <c r="M298" s="1311"/>
      <c r="N298" s="1311"/>
      <c r="O298" s="1311"/>
      <c r="P298" s="1311"/>
      <c r="Q298" s="1311"/>
      <c r="R298" s="1311"/>
      <c r="S298" s="1311"/>
      <c r="T298" s="1311"/>
      <c r="U298" s="1311"/>
      <c r="V298" s="1311"/>
      <c r="W298" s="1311"/>
      <c r="X298" s="1311"/>
      <c r="Y298" s="1311"/>
      <c r="Z298" s="1311"/>
      <c r="AA298" s="1311"/>
      <c r="AB298" s="1311"/>
      <c r="AC298" s="1311"/>
      <c r="AD298" s="1311"/>
      <c r="AE298" s="1311"/>
      <c r="AF298" s="1311"/>
      <c r="AG298" s="1311"/>
      <c r="AH298" s="1311"/>
      <c r="AI298" s="1311"/>
      <c r="AJ298" s="1324"/>
      <c r="AP298" s="1317" t="s">
        <v>195</v>
      </c>
      <c r="AQ298" s="1317" t="s">
        <v>5528</v>
      </c>
    </row>
    <row r="299" spans="1:43" s="1317" customFormat="1" ht="69" customHeight="1">
      <c r="A299" s="1309"/>
      <c r="B299" s="1323" t="s">
        <v>5584</v>
      </c>
      <c r="C299" s="1311">
        <f>SUM(C292:C298)</f>
        <v>1</v>
      </c>
      <c r="D299" s="1311">
        <f t="shared" ref="D299:AI299" si="49">SUM(D292:D298)</f>
        <v>1</v>
      </c>
      <c r="E299" s="1311">
        <f t="shared" si="49"/>
        <v>0</v>
      </c>
      <c r="F299" s="1311">
        <f t="shared" si="49"/>
        <v>0</v>
      </c>
      <c r="G299" s="1311">
        <f t="shared" si="49"/>
        <v>0</v>
      </c>
      <c r="H299" s="1311">
        <f t="shared" si="49"/>
        <v>0</v>
      </c>
      <c r="I299" s="1311">
        <f t="shared" si="49"/>
        <v>0</v>
      </c>
      <c r="J299" s="1311">
        <f t="shared" si="49"/>
        <v>0</v>
      </c>
      <c r="K299" s="1311">
        <f t="shared" si="49"/>
        <v>1</v>
      </c>
      <c r="L299" s="1311">
        <f t="shared" si="49"/>
        <v>0</v>
      </c>
      <c r="M299" s="1311">
        <f t="shared" si="49"/>
        <v>0</v>
      </c>
      <c r="N299" s="1311">
        <f t="shared" si="49"/>
        <v>1</v>
      </c>
      <c r="O299" s="1311">
        <f t="shared" si="49"/>
        <v>1</v>
      </c>
      <c r="P299" s="1311"/>
      <c r="Q299" s="1311">
        <f t="shared" si="49"/>
        <v>1</v>
      </c>
      <c r="R299" s="1311">
        <f t="shared" si="49"/>
        <v>0</v>
      </c>
      <c r="S299" s="1311">
        <f t="shared" si="49"/>
        <v>2</v>
      </c>
      <c r="T299" s="1311">
        <f t="shared" si="49"/>
        <v>1</v>
      </c>
      <c r="U299" s="1311">
        <f t="shared" si="49"/>
        <v>0</v>
      </c>
      <c r="V299" s="1311">
        <f t="shared" si="49"/>
        <v>0</v>
      </c>
      <c r="W299" s="1311">
        <f t="shared" si="49"/>
        <v>1</v>
      </c>
      <c r="X299" s="1311">
        <f t="shared" si="49"/>
        <v>0</v>
      </c>
      <c r="Y299" s="1311">
        <f t="shared" si="49"/>
        <v>0</v>
      </c>
      <c r="Z299" s="1311">
        <f t="shared" si="49"/>
        <v>0</v>
      </c>
      <c r="AA299" s="1311">
        <f t="shared" si="49"/>
        <v>0</v>
      </c>
      <c r="AB299" s="1311">
        <f t="shared" si="49"/>
        <v>1</v>
      </c>
      <c r="AC299" s="1311">
        <f t="shared" si="49"/>
        <v>0</v>
      </c>
      <c r="AD299" s="1311">
        <f t="shared" si="49"/>
        <v>0</v>
      </c>
      <c r="AE299" s="1311">
        <f t="shared" si="49"/>
        <v>0</v>
      </c>
      <c r="AF299" s="1311">
        <f t="shared" si="49"/>
        <v>0</v>
      </c>
      <c r="AG299" s="1311">
        <f t="shared" si="49"/>
        <v>0</v>
      </c>
      <c r="AH299" s="1311">
        <f t="shared" si="49"/>
        <v>3</v>
      </c>
      <c r="AI299" s="1311">
        <f t="shared" si="49"/>
        <v>0</v>
      </c>
      <c r="AJ299" s="1324"/>
      <c r="AP299" s="1317" t="s">
        <v>256</v>
      </c>
      <c r="AQ299" s="1317" t="s">
        <v>5529</v>
      </c>
    </row>
    <row r="300" spans="1:43" ht="81.75" customHeight="1">
      <c r="A300" s="1309"/>
      <c r="B300" s="1323"/>
      <c r="C300" s="1311"/>
      <c r="D300" s="1311"/>
      <c r="E300" s="1311"/>
      <c r="F300" s="1311"/>
      <c r="G300" s="1311"/>
      <c r="H300" s="1311"/>
      <c r="I300" s="1311"/>
      <c r="J300" s="1311"/>
      <c r="K300" s="1311"/>
      <c r="L300" s="1311"/>
      <c r="M300" s="1311"/>
      <c r="N300" s="1311"/>
      <c r="O300" s="1311"/>
      <c r="P300" s="1311"/>
      <c r="Q300" s="1311"/>
      <c r="R300" s="1311"/>
      <c r="S300" s="1311"/>
      <c r="T300" s="1311"/>
      <c r="U300" s="1311"/>
      <c r="V300" s="1311"/>
      <c r="W300" s="1311"/>
      <c r="X300" s="1311"/>
      <c r="Y300" s="1311"/>
      <c r="Z300" s="1311"/>
      <c r="AA300" s="1311"/>
      <c r="AB300" s="1311"/>
      <c r="AC300" s="1311"/>
      <c r="AD300" s="1311"/>
      <c r="AE300" s="1311"/>
      <c r="AF300" s="1311"/>
      <c r="AG300" s="1311"/>
      <c r="AH300" s="1311"/>
      <c r="AI300" s="1311"/>
      <c r="AJ300" s="201"/>
    </row>
    <row r="301" spans="1:43" ht="81.75" customHeight="1">
      <c r="A301" s="1309"/>
      <c r="B301" s="1323"/>
      <c r="C301" s="1309" t="s">
        <v>189</v>
      </c>
      <c r="D301" s="1311" t="s">
        <v>5507</v>
      </c>
      <c r="E301" s="1311" t="s">
        <v>5508</v>
      </c>
      <c r="F301" s="1311" t="s">
        <v>5509</v>
      </c>
      <c r="G301" s="1311" t="s">
        <v>25</v>
      </c>
      <c r="H301" s="1311" t="s">
        <v>342</v>
      </c>
      <c r="I301" s="1311" t="s">
        <v>193</v>
      </c>
      <c r="J301" s="1311" t="s">
        <v>195</v>
      </c>
      <c r="K301" s="1311" t="s">
        <v>256</v>
      </c>
      <c r="L301" s="1311" t="s">
        <v>5510</v>
      </c>
      <c r="M301" s="1311" t="s">
        <v>5517</v>
      </c>
      <c r="N301" s="1311" t="s">
        <v>5519</v>
      </c>
      <c r="O301" s="1311" t="s">
        <v>188</v>
      </c>
      <c r="P301" s="1311" t="s">
        <v>5577</v>
      </c>
      <c r="Q301" s="1311" t="s">
        <v>5516</v>
      </c>
      <c r="R301" s="1311" t="s">
        <v>190</v>
      </c>
      <c r="S301" s="1311" t="s">
        <v>5511</v>
      </c>
      <c r="T301" s="1311" t="s">
        <v>5512</v>
      </c>
      <c r="U301" s="1311" t="s">
        <v>5513</v>
      </c>
      <c r="V301" s="1311" t="s">
        <v>5514</v>
      </c>
      <c r="W301" s="1311" t="s">
        <v>5515</v>
      </c>
      <c r="X301" s="1311" t="s">
        <v>252</v>
      </c>
      <c r="Y301" s="1311" t="s">
        <v>248</v>
      </c>
      <c r="Z301" s="1311" t="s">
        <v>249</v>
      </c>
      <c r="AA301" s="1311" t="s">
        <v>250</v>
      </c>
      <c r="AB301" s="1311" t="s">
        <v>251</v>
      </c>
      <c r="AC301" s="1311" t="s">
        <v>5518</v>
      </c>
      <c r="AD301" s="1311" t="s">
        <v>255</v>
      </c>
      <c r="AE301" s="1311" t="s">
        <v>254</v>
      </c>
      <c r="AF301" s="1311" t="s">
        <v>253</v>
      </c>
      <c r="AG301" s="1311" t="s">
        <v>372</v>
      </c>
      <c r="AH301" s="1311" t="s">
        <v>257</v>
      </c>
      <c r="AI301" s="1311" t="s">
        <v>5520</v>
      </c>
      <c r="AJ301" s="201"/>
      <c r="AP301" s="115" t="s">
        <v>5510</v>
      </c>
      <c r="AQ301" s="115" t="s">
        <v>5524</v>
      </c>
    </row>
    <row r="302" spans="1:43" ht="126.75" customHeight="1">
      <c r="A302" s="1309"/>
      <c r="B302" s="1323"/>
      <c r="C302" s="1325" t="s">
        <v>5522</v>
      </c>
      <c r="D302" s="1325" t="s">
        <v>5523</v>
      </c>
      <c r="E302" s="1325" t="s">
        <v>5524</v>
      </c>
      <c r="F302" s="1325" t="s">
        <v>5525</v>
      </c>
      <c r="G302" s="1325" t="s">
        <v>5524</v>
      </c>
      <c r="H302" s="1325" t="s">
        <v>5524</v>
      </c>
      <c r="I302" s="1325" t="s">
        <v>5526</v>
      </c>
      <c r="J302" s="1325" t="s">
        <v>5528</v>
      </c>
      <c r="K302" s="1325" t="s">
        <v>5529</v>
      </c>
      <c r="L302" s="1325" t="s">
        <v>5524</v>
      </c>
      <c r="M302" s="1325" t="s">
        <v>5524</v>
      </c>
      <c r="N302" s="1325" t="s">
        <v>5524</v>
      </c>
      <c r="O302" s="1325" t="s">
        <v>5525</v>
      </c>
      <c r="P302" s="1325" t="s">
        <v>5526</v>
      </c>
      <c r="Q302" s="1325" t="s">
        <v>5530</v>
      </c>
      <c r="R302" s="1325" t="s">
        <v>5531</v>
      </c>
      <c r="S302" s="1325" t="s">
        <v>5530</v>
      </c>
      <c r="T302" s="1325" t="s">
        <v>5532</v>
      </c>
      <c r="U302" s="1325" t="s">
        <v>5533</v>
      </c>
      <c r="V302" s="1325" t="s">
        <v>5534</v>
      </c>
      <c r="W302" s="1325" t="s">
        <v>5535</v>
      </c>
      <c r="X302" s="1325" t="s">
        <v>5536</v>
      </c>
      <c r="Y302" s="1325" t="s">
        <v>5536</v>
      </c>
      <c r="Z302" s="1325" t="s">
        <v>5535</v>
      </c>
      <c r="AA302" s="1325" t="s">
        <v>5537</v>
      </c>
      <c r="AB302" s="1325" t="s">
        <v>5538</v>
      </c>
      <c r="AC302" s="1325" t="s">
        <v>5539</v>
      </c>
      <c r="AD302" s="1325" t="s">
        <v>5540</v>
      </c>
      <c r="AE302" s="1325" t="s">
        <v>5541</v>
      </c>
      <c r="AF302" s="1325" t="s">
        <v>5542</v>
      </c>
      <c r="AG302" s="1325" t="s">
        <v>5543</v>
      </c>
      <c r="AH302" s="1325" t="s">
        <v>5544</v>
      </c>
      <c r="AI302" s="1325" t="s">
        <v>5544</v>
      </c>
      <c r="AJ302" s="201"/>
    </row>
    <row r="303" spans="1:43" s="1317" customFormat="1" ht="69" customHeight="1">
      <c r="A303" s="1309"/>
      <c r="B303" s="1323" t="s">
        <v>259</v>
      </c>
      <c r="C303" s="1311"/>
      <c r="D303" s="1311"/>
      <c r="E303" s="1311"/>
      <c r="F303" s="1311"/>
      <c r="G303" s="1311"/>
      <c r="H303" s="1311"/>
      <c r="I303" s="1311"/>
      <c r="J303" s="1311"/>
      <c r="K303" s="1311"/>
      <c r="L303" s="1311"/>
      <c r="M303" s="1311"/>
      <c r="N303" s="1311"/>
      <c r="O303" s="1311"/>
      <c r="P303" s="1311"/>
      <c r="Q303" s="1311"/>
      <c r="R303" s="1311"/>
      <c r="S303" s="1311"/>
      <c r="T303" s="1311"/>
      <c r="U303" s="1311"/>
      <c r="V303" s="1311"/>
      <c r="W303" s="1311"/>
      <c r="X303" s="1311"/>
      <c r="Y303" s="1311"/>
      <c r="Z303" s="1311"/>
      <c r="AA303" s="1311"/>
      <c r="AB303" s="1311"/>
      <c r="AC303" s="1311"/>
      <c r="AD303" s="1311"/>
      <c r="AE303" s="1311"/>
      <c r="AF303" s="1311"/>
      <c r="AG303" s="1311"/>
      <c r="AH303" s="1311"/>
      <c r="AI303" s="1311"/>
      <c r="AJ303" s="1324"/>
      <c r="AP303" s="1317" t="s">
        <v>5517</v>
      </c>
      <c r="AQ303" s="1317" t="s">
        <v>5524</v>
      </c>
    </row>
    <row r="304" spans="1:43" s="1317" customFormat="1" ht="69" customHeight="1">
      <c r="A304" s="1309"/>
      <c r="B304" s="1323" t="s">
        <v>5547</v>
      </c>
      <c r="C304" s="1311"/>
      <c r="D304" s="1311">
        <v>1</v>
      </c>
      <c r="E304" s="1311"/>
      <c r="F304" s="1311"/>
      <c r="G304" s="1311"/>
      <c r="H304" s="1311"/>
      <c r="I304" s="1311"/>
      <c r="J304" s="1311"/>
      <c r="K304" s="1311"/>
      <c r="L304" s="1311"/>
      <c r="M304" s="1311"/>
      <c r="N304" s="1311"/>
      <c r="O304" s="1311"/>
      <c r="P304" s="1311"/>
      <c r="Q304" s="1311"/>
      <c r="R304" s="1311">
        <v>2</v>
      </c>
      <c r="S304" s="1311"/>
      <c r="T304" s="1311"/>
      <c r="U304" s="1311"/>
      <c r="V304" s="1311"/>
      <c r="W304" s="1311"/>
      <c r="X304" s="1311"/>
      <c r="Y304" s="1311"/>
      <c r="Z304" s="1311"/>
      <c r="AA304" s="1311"/>
      <c r="AB304" s="1311"/>
      <c r="AC304" s="1311"/>
      <c r="AD304" s="1311"/>
      <c r="AE304" s="1311"/>
      <c r="AF304" s="1311"/>
      <c r="AG304" s="1311"/>
      <c r="AH304" s="1311"/>
      <c r="AI304" s="1311"/>
      <c r="AJ304" s="1324"/>
      <c r="AP304" s="1317" t="s">
        <v>5519</v>
      </c>
      <c r="AQ304" s="1317" t="s">
        <v>5524</v>
      </c>
    </row>
    <row r="305" spans="1:43" s="1317" customFormat="1" ht="69" customHeight="1">
      <c r="A305" s="1309"/>
      <c r="B305" s="1323" t="s">
        <v>5548</v>
      </c>
      <c r="C305" s="1311"/>
      <c r="D305" s="1311"/>
      <c r="E305" s="1311">
        <v>1</v>
      </c>
      <c r="F305" s="1311"/>
      <c r="G305" s="1311"/>
      <c r="H305" s="1311"/>
      <c r="I305" s="1311"/>
      <c r="J305" s="1311"/>
      <c r="K305" s="1311"/>
      <c r="L305" s="1311"/>
      <c r="M305" s="1311"/>
      <c r="N305" s="1311"/>
      <c r="O305" s="1311"/>
      <c r="P305" s="1311"/>
      <c r="Q305" s="1311"/>
      <c r="R305" s="1311"/>
      <c r="S305" s="1311"/>
      <c r="T305" s="1311"/>
      <c r="U305" s="1311">
        <v>1</v>
      </c>
      <c r="V305" s="1311"/>
      <c r="W305" s="1311"/>
      <c r="X305" s="1311">
        <v>1</v>
      </c>
      <c r="Y305" s="1311"/>
      <c r="Z305" s="1311"/>
      <c r="AA305" s="1311"/>
      <c r="AB305" s="1311"/>
      <c r="AC305" s="1311"/>
      <c r="AD305" s="1311"/>
      <c r="AE305" s="1311"/>
      <c r="AF305" s="1311"/>
      <c r="AG305" s="1311"/>
      <c r="AH305" s="1311"/>
      <c r="AI305" s="1311"/>
      <c r="AJ305" s="1324"/>
      <c r="AP305" s="1317" t="s">
        <v>188</v>
      </c>
      <c r="AQ305" s="1317" t="s">
        <v>5524</v>
      </c>
    </row>
    <row r="306" spans="1:43" s="1317" customFormat="1" ht="69" customHeight="1">
      <c r="A306" s="1309"/>
      <c r="B306" s="1323" t="s">
        <v>5549</v>
      </c>
      <c r="C306" s="1311"/>
      <c r="D306" s="1311"/>
      <c r="E306" s="1311"/>
      <c r="F306" s="1311"/>
      <c r="G306" s="1311"/>
      <c r="H306" s="1311"/>
      <c r="I306" s="1311"/>
      <c r="J306" s="1311"/>
      <c r="K306" s="1311"/>
      <c r="L306" s="1311">
        <v>1</v>
      </c>
      <c r="M306" s="1311"/>
      <c r="N306" s="1311"/>
      <c r="O306" s="1311"/>
      <c r="P306" s="1311"/>
      <c r="Q306" s="1311"/>
      <c r="R306" s="1311"/>
      <c r="S306" s="1311"/>
      <c r="T306" s="1311"/>
      <c r="U306" s="1311"/>
      <c r="V306" s="1311"/>
      <c r="W306" s="1311"/>
      <c r="X306" s="1311"/>
      <c r="Y306" s="1311">
        <v>1</v>
      </c>
      <c r="Z306" s="1311"/>
      <c r="AA306" s="1311"/>
      <c r="AB306" s="1311"/>
      <c r="AC306" s="1311"/>
      <c r="AD306" s="1311"/>
      <c r="AE306" s="1311"/>
      <c r="AF306" s="1311"/>
      <c r="AG306" s="1311"/>
      <c r="AH306" s="1311"/>
      <c r="AI306" s="1311"/>
      <c r="AJ306" s="1324"/>
      <c r="AP306" s="1317" t="s">
        <v>5516</v>
      </c>
      <c r="AQ306" s="1317" t="s">
        <v>5530</v>
      </c>
    </row>
    <row r="307" spans="1:43" s="1317" customFormat="1" ht="69" customHeight="1">
      <c r="A307" s="1309"/>
      <c r="B307" s="1323" t="s">
        <v>5550</v>
      </c>
      <c r="C307" s="1311"/>
      <c r="D307" s="1311"/>
      <c r="E307" s="1311"/>
      <c r="F307" s="1311"/>
      <c r="G307" s="1311">
        <v>1</v>
      </c>
      <c r="H307" s="1311"/>
      <c r="I307" s="1311"/>
      <c r="J307" s="1311"/>
      <c r="K307" s="1311"/>
      <c r="L307" s="1311"/>
      <c r="M307" s="1311"/>
      <c r="N307" s="1311"/>
      <c r="O307" s="1311"/>
      <c r="P307" s="1311"/>
      <c r="Q307" s="1311"/>
      <c r="R307" s="1311"/>
      <c r="S307" s="1311"/>
      <c r="T307" s="1311"/>
      <c r="U307" s="1311"/>
      <c r="V307" s="1311"/>
      <c r="W307" s="1311"/>
      <c r="X307" s="1311"/>
      <c r="Y307" s="1311"/>
      <c r="Z307" s="1311"/>
      <c r="AA307" s="1311">
        <v>4</v>
      </c>
      <c r="AB307" s="1311"/>
      <c r="AC307" s="1311"/>
      <c r="AD307" s="1311"/>
      <c r="AE307" s="1311"/>
      <c r="AF307" s="1311"/>
      <c r="AG307" s="1311"/>
      <c r="AH307" s="1311"/>
      <c r="AI307" s="1311"/>
      <c r="AJ307" s="1324"/>
      <c r="AP307" s="1317" t="s">
        <v>190</v>
      </c>
      <c r="AQ307" s="1317" t="s">
        <v>5531</v>
      </c>
    </row>
    <row r="308" spans="1:43" s="1317" customFormat="1" ht="69" customHeight="1">
      <c r="A308" s="1309"/>
      <c r="B308" s="1323" t="s">
        <v>5551</v>
      </c>
      <c r="C308" s="1311"/>
      <c r="D308" s="1311"/>
      <c r="E308" s="1311"/>
      <c r="F308" s="1311"/>
      <c r="G308" s="1311"/>
      <c r="H308" s="1311"/>
      <c r="I308" s="1311"/>
      <c r="J308" s="1311"/>
      <c r="K308" s="1311"/>
      <c r="L308" s="1311"/>
      <c r="M308" s="1311"/>
      <c r="N308" s="1311"/>
      <c r="O308" s="1311">
        <v>1</v>
      </c>
      <c r="P308" s="1311"/>
      <c r="Q308" s="1311"/>
      <c r="R308" s="1311"/>
      <c r="S308" s="1311"/>
      <c r="T308" s="1311"/>
      <c r="U308" s="1311"/>
      <c r="V308" s="1311"/>
      <c r="W308" s="1311"/>
      <c r="X308" s="1311"/>
      <c r="Y308" s="1311"/>
      <c r="Z308" s="1311"/>
      <c r="AA308" s="1311"/>
      <c r="AB308" s="1311"/>
      <c r="AC308" s="1311"/>
      <c r="AD308" s="1311"/>
      <c r="AE308" s="1311"/>
      <c r="AF308" s="1311"/>
      <c r="AG308" s="1311"/>
      <c r="AH308" s="1311">
        <v>1</v>
      </c>
      <c r="AI308" s="1311"/>
      <c r="AJ308" s="1324"/>
      <c r="AP308" s="1317" t="s">
        <v>5511</v>
      </c>
      <c r="AQ308" s="1317" t="s">
        <v>5530</v>
      </c>
    </row>
    <row r="309" spans="1:43" s="1317" customFormat="1" ht="69" customHeight="1">
      <c r="A309" s="1309"/>
      <c r="B309" s="1323" t="s">
        <v>5552</v>
      </c>
      <c r="C309" s="1311"/>
      <c r="D309" s="1311"/>
      <c r="E309" s="1311"/>
      <c r="F309" s="1311"/>
      <c r="G309" s="1311">
        <v>1</v>
      </c>
      <c r="H309" s="1311"/>
      <c r="I309" s="1311"/>
      <c r="J309" s="1311"/>
      <c r="K309" s="1311"/>
      <c r="L309" s="1311"/>
      <c r="M309" s="1311"/>
      <c r="N309" s="1311"/>
      <c r="O309" s="1311"/>
      <c r="P309" s="1311"/>
      <c r="Q309" s="1311"/>
      <c r="R309" s="1311"/>
      <c r="S309" s="1311"/>
      <c r="T309" s="1311"/>
      <c r="U309" s="1311"/>
      <c r="V309" s="1311"/>
      <c r="W309" s="1311"/>
      <c r="X309" s="1311"/>
      <c r="Y309" s="1311"/>
      <c r="Z309" s="1311"/>
      <c r="AA309" s="1311">
        <v>4</v>
      </c>
      <c r="AB309" s="1311"/>
      <c r="AC309" s="1311"/>
      <c r="AD309" s="1311"/>
      <c r="AE309" s="1311"/>
      <c r="AF309" s="1311"/>
      <c r="AG309" s="1311"/>
      <c r="AH309" s="1311"/>
      <c r="AI309" s="1311"/>
      <c r="AJ309" s="1324"/>
      <c r="AP309" s="1317" t="s">
        <v>5512</v>
      </c>
      <c r="AQ309" s="1317" t="s">
        <v>5532</v>
      </c>
    </row>
    <row r="310" spans="1:43" s="1317" customFormat="1" ht="69" customHeight="1">
      <c r="A310" s="1309"/>
      <c r="B310" s="1323" t="s">
        <v>5553</v>
      </c>
      <c r="C310" s="1311"/>
      <c r="D310" s="1311"/>
      <c r="E310" s="1311"/>
      <c r="F310" s="1311"/>
      <c r="G310" s="1311"/>
      <c r="H310" s="1311"/>
      <c r="I310" s="1311"/>
      <c r="J310" s="1311"/>
      <c r="K310" s="1311"/>
      <c r="L310" s="1311"/>
      <c r="M310" s="1311"/>
      <c r="N310" s="1311"/>
      <c r="O310" s="1311">
        <v>1</v>
      </c>
      <c r="P310" s="1311"/>
      <c r="Q310" s="1311"/>
      <c r="R310" s="1311"/>
      <c r="S310" s="1311"/>
      <c r="T310" s="1311"/>
      <c r="U310" s="1311"/>
      <c r="V310" s="1311"/>
      <c r="W310" s="1311"/>
      <c r="X310" s="1311"/>
      <c r="Y310" s="1311"/>
      <c r="Z310" s="1311"/>
      <c r="AA310" s="1311"/>
      <c r="AB310" s="1311"/>
      <c r="AC310" s="1311"/>
      <c r="AD310" s="1311"/>
      <c r="AE310" s="1311"/>
      <c r="AF310" s="1311"/>
      <c r="AG310" s="1311"/>
      <c r="AH310" s="1311">
        <v>1</v>
      </c>
      <c r="AI310" s="1311"/>
      <c r="AJ310" s="1324"/>
      <c r="AP310" s="1317" t="s">
        <v>5513</v>
      </c>
      <c r="AQ310" s="1317" t="s">
        <v>5533</v>
      </c>
    </row>
    <row r="311" spans="1:43" s="1317" customFormat="1" ht="69" customHeight="1">
      <c r="A311" s="1315"/>
      <c r="B311" s="1338" t="s">
        <v>5554</v>
      </c>
      <c r="C311" s="1315"/>
      <c r="D311" s="1315"/>
      <c r="E311" s="1315"/>
      <c r="F311" s="1315">
        <v>2</v>
      </c>
      <c r="G311" s="1315"/>
      <c r="H311" s="1315"/>
      <c r="I311" s="1315"/>
      <c r="J311" s="1315"/>
      <c r="K311" s="1315"/>
      <c r="L311" s="1315"/>
      <c r="M311" s="1315"/>
      <c r="N311" s="1315"/>
      <c r="O311" s="1315"/>
      <c r="P311" s="1315"/>
      <c r="Q311" s="1315"/>
      <c r="R311" s="1315"/>
      <c r="S311" s="1315"/>
      <c r="T311" s="1315"/>
      <c r="U311" s="1315"/>
      <c r="V311" s="1315">
        <v>2</v>
      </c>
      <c r="W311" s="1315"/>
      <c r="X311" s="1315"/>
      <c r="Y311" s="1315"/>
      <c r="Z311" s="1315"/>
      <c r="AA311" s="1315"/>
      <c r="AB311" s="1315"/>
      <c r="AC311" s="1315"/>
      <c r="AD311" s="1315"/>
      <c r="AE311" s="1315"/>
      <c r="AF311" s="1315"/>
      <c r="AG311" s="1315"/>
      <c r="AH311" s="1315"/>
      <c r="AI311" s="1315"/>
      <c r="AJ311" s="1315"/>
      <c r="AP311" s="1317" t="s">
        <v>5514</v>
      </c>
      <c r="AQ311" s="1317" t="s">
        <v>5534</v>
      </c>
    </row>
    <row r="312" spans="1:43" s="1317" customFormat="1" ht="69" customHeight="1">
      <c r="A312" s="1309"/>
      <c r="B312" s="1323" t="s">
        <v>5555</v>
      </c>
      <c r="C312" s="1311"/>
      <c r="D312" s="1311"/>
      <c r="E312" s="1311"/>
      <c r="F312" s="1311"/>
      <c r="G312" s="1311"/>
      <c r="H312" s="1311"/>
      <c r="I312" s="1311"/>
      <c r="J312" s="1311"/>
      <c r="K312" s="1311">
        <v>1</v>
      </c>
      <c r="L312" s="1311"/>
      <c r="M312" s="1311"/>
      <c r="N312" s="1311"/>
      <c r="O312" s="1311"/>
      <c r="P312" s="1311"/>
      <c r="Q312" s="1311"/>
      <c r="R312" s="1311"/>
      <c r="S312" s="1311"/>
      <c r="T312" s="1311"/>
      <c r="U312" s="1311"/>
      <c r="V312" s="1311"/>
      <c r="W312" s="1311"/>
      <c r="X312" s="1311"/>
      <c r="Y312" s="1311"/>
      <c r="Z312" s="1311"/>
      <c r="AA312" s="1311"/>
      <c r="AB312" s="1311"/>
      <c r="AC312" s="1311"/>
      <c r="AD312" s="1311"/>
      <c r="AE312" s="1311"/>
      <c r="AF312" s="1311"/>
      <c r="AG312" s="1311"/>
      <c r="AH312" s="1311"/>
      <c r="AI312" s="1311"/>
      <c r="AJ312" s="1324"/>
      <c r="AP312" s="1317" t="s">
        <v>5515</v>
      </c>
      <c r="AQ312" s="1317" t="s">
        <v>5535</v>
      </c>
    </row>
    <row r="313" spans="1:43" s="1317" customFormat="1" ht="69" customHeight="1">
      <c r="A313" s="1309"/>
      <c r="B313" s="1323" t="s">
        <v>5556</v>
      </c>
      <c r="C313" s="1309"/>
      <c r="D313" s="1311"/>
      <c r="E313" s="1311"/>
      <c r="F313" s="1311"/>
      <c r="G313" s="1311"/>
      <c r="H313" s="1311"/>
      <c r="I313" s="1311">
        <v>2</v>
      </c>
      <c r="J313" s="1311">
        <v>2</v>
      </c>
      <c r="K313" s="1311"/>
      <c r="L313" s="1311"/>
      <c r="M313" s="1311"/>
      <c r="N313" s="1311"/>
      <c r="O313" s="1311"/>
      <c r="P313" s="1311"/>
      <c r="Q313" s="1311"/>
      <c r="R313" s="1311"/>
      <c r="S313" s="1311"/>
      <c r="T313" s="1311"/>
      <c r="U313" s="1311"/>
      <c r="V313" s="1311"/>
      <c r="W313" s="1311"/>
      <c r="X313" s="1311"/>
      <c r="Y313" s="1311"/>
      <c r="Z313" s="1311"/>
      <c r="AA313" s="1311"/>
      <c r="AB313" s="1311"/>
      <c r="AC313" s="1311"/>
      <c r="AD313" s="1311"/>
      <c r="AE313" s="1311"/>
      <c r="AF313" s="1311">
        <v>2</v>
      </c>
      <c r="AG313" s="1311">
        <v>2</v>
      </c>
      <c r="AH313" s="1311"/>
      <c r="AI313" s="1311"/>
      <c r="AJ313" s="1324"/>
      <c r="AP313" s="1317" t="s">
        <v>252</v>
      </c>
      <c r="AQ313" s="1317" t="s">
        <v>5536</v>
      </c>
    </row>
    <row r="314" spans="1:43" s="1317" customFormat="1" ht="69" customHeight="1">
      <c r="A314" s="1309"/>
      <c r="B314" s="1323" t="s">
        <v>5557</v>
      </c>
      <c r="C314" s="1311"/>
      <c r="D314" s="1311"/>
      <c r="E314" s="1311"/>
      <c r="F314" s="1311"/>
      <c r="G314" s="1311">
        <v>1</v>
      </c>
      <c r="H314" s="1311"/>
      <c r="I314" s="1311"/>
      <c r="J314" s="1311"/>
      <c r="K314" s="1311"/>
      <c r="L314" s="1311"/>
      <c r="M314" s="1311"/>
      <c r="N314" s="1311"/>
      <c r="O314" s="1311"/>
      <c r="P314" s="1311"/>
      <c r="Q314" s="1311"/>
      <c r="R314" s="1311"/>
      <c r="S314" s="1311"/>
      <c r="T314" s="1311"/>
      <c r="U314" s="1311"/>
      <c r="V314" s="1311"/>
      <c r="W314" s="1311"/>
      <c r="X314" s="1311"/>
      <c r="Y314" s="1311"/>
      <c r="Z314" s="1311"/>
      <c r="AA314" s="1311"/>
      <c r="AB314" s="1311">
        <v>4</v>
      </c>
      <c r="AC314" s="1311"/>
      <c r="AD314" s="1311"/>
      <c r="AE314" s="1311"/>
      <c r="AF314" s="1311"/>
      <c r="AG314" s="1311"/>
      <c r="AH314" s="1311"/>
      <c r="AI314" s="1311"/>
      <c r="AJ314" s="1324"/>
      <c r="AP314" s="1317" t="s">
        <v>5513</v>
      </c>
      <c r="AQ314" s="1317" t="s">
        <v>5533</v>
      </c>
    </row>
    <row r="315" spans="1:43" s="1317" customFormat="1" ht="69" customHeight="1">
      <c r="A315" s="1309"/>
      <c r="B315" s="1323" t="s">
        <v>560</v>
      </c>
      <c r="C315" s="1311"/>
      <c r="D315" s="1311"/>
      <c r="E315" s="1311"/>
      <c r="F315" s="1311"/>
      <c r="G315" s="1311"/>
      <c r="H315" s="1311"/>
      <c r="I315" s="1311"/>
      <c r="J315" s="1311"/>
      <c r="K315" s="1311"/>
      <c r="L315" s="1311"/>
      <c r="M315" s="1311"/>
      <c r="N315" s="1311"/>
      <c r="O315" s="1311">
        <v>1</v>
      </c>
      <c r="P315" s="1311"/>
      <c r="Q315" s="1311"/>
      <c r="R315" s="1311"/>
      <c r="S315" s="1311"/>
      <c r="T315" s="1311"/>
      <c r="U315" s="1311"/>
      <c r="V315" s="1311"/>
      <c r="W315" s="1311"/>
      <c r="X315" s="1311"/>
      <c r="Y315" s="1311"/>
      <c r="Z315" s="1311"/>
      <c r="AA315" s="1311"/>
      <c r="AB315" s="1311"/>
      <c r="AC315" s="1311"/>
      <c r="AD315" s="1311"/>
      <c r="AE315" s="1311"/>
      <c r="AF315" s="1311"/>
      <c r="AG315" s="1311"/>
      <c r="AH315" s="1311">
        <v>1</v>
      </c>
      <c r="AI315" s="1311"/>
      <c r="AJ315" s="1324"/>
    </row>
    <row r="316" spans="1:43" s="1317" customFormat="1" ht="69" customHeight="1">
      <c r="A316" s="1309"/>
      <c r="B316" s="1323" t="s">
        <v>5558</v>
      </c>
      <c r="C316" s="1311"/>
      <c r="D316" s="1311"/>
      <c r="E316" s="1311"/>
      <c r="F316" s="1311"/>
      <c r="G316" s="1311">
        <v>1</v>
      </c>
      <c r="H316" s="1311"/>
      <c r="I316" s="1311"/>
      <c r="J316" s="1311"/>
      <c r="K316" s="1311"/>
      <c r="L316" s="1311"/>
      <c r="M316" s="1311"/>
      <c r="N316" s="1311"/>
      <c r="O316" s="1311"/>
      <c r="P316" s="1311"/>
      <c r="Q316" s="1311"/>
      <c r="R316" s="1311"/>
      <c r="S316" s="1311"/>
      <c r="T316" s="1311"/>
      <c r="U316" s="1311"/>
      <c r="V316" s="1311"/>
      <c r="W316" s="1311"/>
      <c r="X316" s="1311"/>
      <c r="Y316" s="1311"/>
      <c r="Z316" s="1311"/>
      <c r="AA316" s="1311">
        <v>2</v>
      </c>
      <c r="AB316" s="1311"/>
      <c r="AC316" s="1311"/>
      <c r="AD316" s="1311"/>
      <c r="AE316" s="1311"/>
      <c r="AF316" s="1311"/>
      <c r="AG316" s="1311"/>
      <c r="AH316" s="1311"/>
      <c r="AI316" s="1311"/>
      <c r="AJ316" s="1324"/>
    </row>
    <row r="317" spans="1:43" s="1317" customFormat="1" ht="69" customHeight="1">
      <c r="A317" s="1315"/>
      <c r="B317" s="1338" t="s">
        <v>5559</v>
      </c>
      <c r="C317" s="1315"/>
      <c r="D317" s="1315"/>
      <c r="E317" s="1315"/>
      <c r="F317" s="1315"/>
      <c r="G317" s="1315"/>
      <c r="H317" s="1315"/>
      <c r="I317" s="1315"/>
      <c r="J317" s="1315"/>
      <c r="K317" s="1315"/>
      <c r="L317" s="1315">
        <v>1</v>
      </c>
      <c r="M317" s="1315"/>
      <c r="N317" s="1315"/>
      <c r="O317" s="1315"/>
      <c r="P317" s="1315"/>
      <c r="Q317" s="1315"/>
      <c r="R317" s="1315"/>
      <c r="S317" s="1315"/>
      <c r="T317" s="1315"/>
      <c r="U317" s="1315"/>
      <c r="V317" s="1315"/>
      <c r="W317" s="1315"/>
      <c r="X317" s="1315"/>
      <c r="Y317" s="1315"/>
      <c r="Z317" s="1315">
        <v>1</v>
      </c>
      <c r="AA317" s="1315"/>
      <c r="AB317" s="1315"/>
      <c r="AC317" s="1315"/>
      <c r="AD317" s="1315"/>
      <c r="AE317" s="1315"/>
      <c r="AF317" s="1315"/>
      <c r="AG317" s="1315"/>
      <c r="AH317" s="1315"/>
      <c r="AI317" s="1315"/>
      <c r="AJ317" s="1315"/>
      <c r="AP317" s="1317" t="s">
        <v>5514</v>
      </c>
      <c r="AQ317" s="1317" t="s">
        <v>5534</v>
      </c>
    </row>
    <row r="318" spans="1:43" s="1317" customFormat="1" ht="69" customHeight="1">
      <c r="A318" s="1315"/>
      <c r="B318" s="1338" t="s">
        <v>5560</v>
      </c>
      <c r="C318" s="1315"/>
      <c r="D318" s="1315"/>
      <c r="E318" s="1315"/>
      <c r="F318" s="1315"/>
      <c r="G318" s="1315">
        <v>1</v>
      </c>
      <c r="H318" s="1315"/>
      <c r="I318" s="1315"/>
      <c r="J318" s="1315"/>
      <c r="K318" s="1315"/>
      <c r="L318" s="1315"/>
      <c r="M318" s="1315"/>
      <c r="N318" s="1315"/>
      <c r="O318" s="1315"/>
      <c r="P318" s="1315"/>
      <c r="Q318" s="1315"/>
      <c r="R318" s="1315"/>
      <c r="S318" s="1315"/>
      <c r="T318" s="1315"/>
      <c r="U318" s="1315"/>
      <c r="V318" s="1315"/>
      <c r="W318" s="1315"/>
      <c r="X318" s="1315"/>
      <c r="Y318" s="1315"/>
      <c r="Z318" s="1315"/>
      <c r="AA318" s="1315"/>
      <c r="AB318" s="1315"/>
      <c r="AC318" s="1315"/>
      <c r="AD318" s="1315"/>
      <c r="AE318" s="1315"/>
      <c r="AF318" s="1315"/>
      <c r="AG318" s="1315"/>
      <c r="AH318" s="1315"/>
      <c r="AI318" s="1315"/>
      <c r="AJ318" s="1315"/>
    </row>
    <row r="319" spans="1:43" s="1317" customFormat="1" ht="69" customHeight="1">
      <c r="A319" s="1315"/>
      <c r="B319" s="1338" t="s">
        <v>5561</v>
      </c>
      <c r="C319" s="1315"/>
      <c r="D319" s="1315"/>
      <c r="E319" s="1315"/>
      <c r="F319" s="1315"/>
      <c r="G319" s="1315"/>
      <c r="H319" s="1315"/>
      <c r="I319" s="1315"/>
      <c r="J319" s="1315"/>
      <c r="K319" s="1315"/>
      <c r="L319" s="1315"/>
      <c r="M319" s="1315"/>
      <c r="N319" s="1315"/>
      <c r="O319" s="1315"/>
      <c r="P319" s="1315"/>
      <c r="Q319" s="1315"/>
      <c r="R319" s="1315"/>
      <c r="S319" s="1315"/>
      <c r="T319" s="1315"/>
      <c r="U319" s="1315"/>
      <c r="V319" s="1315"/>
      <c r="W319" s="1315"/>
      <c r="X319" s="1315"/>
      <c r="Y319" s="1315"/>
      <c r="Z319" s="1315"/>
      <c r="AA319" s="1315"/>
      <c r="AB319" s="1315"/>
      <c r="AC319" s="1315"/>
      <c r="AD319" s="1315"/>
      <c r="AE319" s="1315"/>
      <c r="AF319" s="1315"/>
      <c r="AG319" s="1315"/>
      <c r="AH319" s="1315"/>
      <c r="AI319" s="1315"/>
      <c r="AJ319" s="1315"/>
    </row>
    <row r="320" spans="1:43" s="1317" customFormat="1" ht="69" customHeight="1">
      <c r="A320" s="1315"/>
      <c r="B320" s="1323" t="s">
        <v>560</v>
      </c>
      <c r="C320" s="1311"/>
      <c r="D320" s="1311"/>
      <c r="E320" s="1311"/>
      <c r="F320" s="1311"/>
      <c r="G320" s="1311"/>
      <c r="H320" s="1311"/>
      <c r="I320" s="1311"/>
      <c r="J320" s="1311"/>
      <c r="K320" s="1311"/>
      <c r="L320" s="1311"/>
      <c r="M320" s="1311"/>
      <c r="N320" s="1311"/>
      <c r="O320" s="1311">
        <v>1</v>
      </c>
      <c r="P320" s="1311"/>
      <c r="Q320" s="1311"/>
      <c r="R320" s="1311"/>
      <c r="S320" s="1311"/>
      <c r="T320" s="1311"/>
      <c r="U320" s="1311"/>
      <c r="V320" s="1311"/>
      <c r="W320" s="1311"/>
      <c r="X320" s="1311"/>
      <c r="Y320" s="1311"/>
      <c r="Z320" s="1311"/>
      <c r="AA320" s="1311"/>
      <c r="AB320" s="1311"/>
      <c r="AC320" s="1311"/>
      <c r="AD320" s="1311"/>
      <c r="AE320" s="1311"/>
      <c r="AF320" s="1311"/>
      <c r="AG320" s="1311"/>
      <c r="AH320" s="1311">
        <v>1</v>
      </c>
      <c r="AI320" s="1311"/>
      <c r="AJ320" s="1315"/>
    </row>
    <row r="321" spans="1:43" s="1317" customFormat="1" ht="69" customHeight="1">
      <c r="A321" s="1315"/>
      <c r="B321" s="1323"/>
      <c r="C321" s="1311"/>
      <c r="D321" s="1311"/>
      <c r="E321" s="1311"/>
      <c r="F321" s="1311"/>
      <c r="G321" s="1311"/>
      <c r="H321" s="1311"/>
      <c r="I321" s="1311"/>
      <c r="J321" s="1311"/>
      <c r="K321" s="1311"/>
      <c r="L321" s="1311"/>
      <c r="M321" s="1311"/>
      <c r="N321" s="1311"/>
      <c r="O321" s="1311"/>
      <c r="P321" s="1311"/>
      <c r="Q321" s="1311"/>
      <c r="R321" s="1311"/>
      <c r="S321" s="1311"/>
      <c r="T321" s="1311"/>
      <c r="U321" s="1311"/>
      <c r="V321" s="1311"/>
      <c r="W321" s="1311"/>
      <c r="X321" s="1311"/>
      <c r="Y321" s="1311"/>
      <c r="Z321" s="1311"/>
      <c r="AA321" s="1311"/>
      <c r="AB321" s="1311"/>
      <c r="AC321" s="1311"/>
      <c r="AD321" s="1311"/>
      <c r="AE321" s="1311"/>
      <c r="AF321" s="1311"/>
      <c r="AG321" s="1311"/>
      <c r="AH321" s="1311"/>
      <c r="AI321" s="1311"/>
      <c r="AJ321" s="1315"/>
    </row>
    <row r="322" spans="1:43" s="1317" customFormat="1" ht="69" customHeight="1">
      <c r="A322" s="1315"/>
      <c r="B322" s="1323"/>
      <c r="C322" s="1311"/>
      <c r="D322" s="1311"/>
      <c r="E322" s="1311"/>
      <c r="F322" s="1311"/>
      <c r="G322" s="1311"/>
      <c r="H322" s="1311"/>
      <c r="I322" s="1311"/>
      <c r="J322" s="1311"/>
      <c r="K322" s="1311"/>
      <c r="L322" s="1311"/>
      <c r="M322" s="1311"/>
      <c r="N322" s="1311"/>
      <c r="O322" s="1311"/>
      <c r="P322" s="1311"/>
      <c r="Q322" s="1311"/>
      <c r="R322" s="1311"/>
      <c r="S322" s="1311"/>
      <c r="T322" s="1311"/>
      <c r="U322" s="1311"/>
      <c r="V322" s="1311"/>
      <c r="W322" s="1311"/>
      <c r="X322" s="1311"/>
      <c r="Y322" s="1311"/>
      <c r="Z322" s="1311"/>
      <c r="AA322" s="1311"/>
      <c r="AB322" s="1311"/>
      <c r="AC322" s="1311"/>
      <c r="AD322" s="1311"/>
      <c r="AE322" s="1311"/>
      <c r="AF322" s="1311"/>
      <c r="AG322" s="1311"/>
      <c r="AH322" s="1311"/>
      <c r="AI322" s="1311"/>
      <c r="AJ322" s="1315"/>
    </row>
    <row r="323" spans="1:43" s="1317" customFormat="1" ht="69" customHeight="1">
      <c r="A323" s="1315"/>
      <c r="B323" s="1323"/>
      <c r="C323" s="1311"/>
      <c r="D323" s="1311"/>
      <c r="E323" s="1311"/>
      <c r="F323" s="1311"/>
      <c r="G323" s="1311"/>
      <c r="H323" s="1311"/>
      <c r="I323" s="1311"/>
      <c r="J323" s="1311"/>
      <c r="K323" s="1311"/>
      <c r="L323" s="1311"/>
      <c r="M323" s="1311"/>
      <c r="N323" s="1311"/>
      <c r="O323" s="1311"/>
      <c r="P323" s="1311"/>
      <c r="Q323" s="1311"/>
      <c r="R323" s="1311"/>
      <c r="S323" s="1311"/>
      <c r="T323" s="1311"/>
      <c r="U323" s="1311"/>
      <c r="V323" s="1311"/>
      <c r="W323" s="1311"/>
      <c r="X323" s="1311"/>
      <c r="Y323" s="1311"/>
      <c r="Z323" s="1311"/>
      <c r="AA323" s="1311"/>
      <c r="AB323" s="1311"/>
      <c r="AC323" s="1311"/>
      <c r="AD323" s="1311"/>
      <c r="AE323" s="1311"/>
      <c r="AF323" s="1311"/>
      <c r="AG323" s="1311"/>
      <c r="AH323" s="1311"/>
      <c r="AI323" s="1311"/>
      <c r="AJ323" s="1324"/>
      <c r="AP323" s="1317" t="s">
        <v>5515</v>
      </c>
      <c r="AQ323" s="1317" t="s">
        <v>5535</v>
      </c>
    </row>
    <row r="324" spans="1:43" ht="51.75" customHeight="1">
      <c r="A324" s="1309"/>
      <c r="B324" s="1323" t="s">
        <v>5583</v>
      </c>
      <c r="C324" s="1311">
        <f>SUM(C303:C323)</f>
        <v>0</v>
      </c>
      <c r="D324" s="1311">
        <f t="shared" ref="D324:AI324" si="50">SUM(D303:D323)</f>
        <v>1</v>
      </c>
      <c r="E324" s="1311">
        <f t="shared" si="50"/>
        <v>1</v>
      </c>
      <c r="F324" s="1311">
        <f t="shared" si="50"/>
        <v>2</v>
      </c>
      <c r="G324" s="1311">
        <f t="shared" si="50"/>
        <v>5</v>
      </c>
      <c r="H324" s="1311">
        <f t="shared" si="50"/>
        <v>0</v>
      </c>
      <c r="I324" s="1311">
        <f t="shared" si="50"/>
        <v>2</v>
      </c>
      <c r="J324" s="1311">
        <f t="shared" si="50"/>
        <v>2</v>
      </c>
      <c r="K324" s="1311">
        <f t="shared" si="50"/>
        <v>1</v>
      </c>
      <c r="L324" s="1311">
        <f t="shared" si="50"/>
        <v>2</v>
      </c>
      <c r="M324" s="1311">
        <f t="shared" si="50"/>
        <v>0</v>
      </c>
      <c r="N324" s="1311">
        <f t="shared" si="50"/>
        <v>0</v>
      </c>
      <c r="O324" s="1311">
        <f t="shared" si="50"/>
        <v>4</v>
      </c>
      <c r="P324" s="1311">
        <f t="shared" si="50"/>
        <v>0</v>
      </c>
      <c r="Q324" s="1311">
        <f t="shared" si="50"/>
        <v>0</v>
      </c>
      <c r="R324" s="1311">
        <f t="shared" si="50"/>
        <v>2</v>
      </c>
      <c r="S324" s="1311">
        <f t="shared" si="50"/>
        <v>0</v>
      </c>
      <c r="T324" s="1311">
        <f t="shared" si="50"/>
        <v>0</v>
      </c>
      <c r="U324" s="1311">
        <f t="shared" si="50"/>
        <v>1</v>
      </c>
      <c r="V324" s="1311">
        <f t="shared" si="50"/>
        <v>2</v>
      </c>
      <c r="W324" s="1311">
        <f t="shared" si="50"/>
        <v>0</v>
      </c>
      <c r="X324" s="1311">
        <f t="shared" si="50"/>
        <v>1</v>
      </c>
      <c r="Y324" s="1311">
        <f t="shared" si="50"/>
        <v>1</v>
      </c>
      <c r="Z324" s="1311">
        <f t="shared" si="50"/>
        <v>1</v>
      </c>
      <c r="AA324" s="1311">
        <f t="shared" si="50"/>
        <v>10</v>
      </c>
      <c r="AB324" s="1311">
        <f t="shared" si="50"/>
        <v>4</v>
      </c>
      <c r="AC324" s="1311">
        <f t="shared" si="50"/>
        <v>0</v>
      </c>
      <c r="AD324" s="1311">
        <f t="shared" si="50"/>
        <v>0</v>
      </c>
      <c r="AE324" s="1311">
        <f t="shared" si="50"/>
        <v>0</v>
      </c>
      <c r="AF324" s="1311">
        <f t="shared" si="50"/>
        <v>2</v>
      </c>
      <c r="AG324" s="1311">
        <f t="shared" si="50"/>
        <v>2</v>
      </c>
      <c r="AH324" s="1311">
        <f t="shared" si="50"/>
        <v>4</v>
      </c>
      <c r="AI324" s="1311">
        <f t="shared" si="50"/>
        <v>0</v>
      </c>
      <c r="AJ324" s="201"/>
      <c r="AP324" s="115" t="s">
        <v>252</v>
      </c>
      <c r="AQ324" s="115" t="s">
        <v>5536</v>
      </c>
    </row>
    <row r="325" spans="1:43" ht="42.75" customHeight="1">
      <c r="A325" s="1309"/>
      <c r="B325" s="1323"/>
      <c r="C325" s="1309"/>
      <c r="D325" s="1311"/>
      <c r="E325" s="1311"/>
      <c r="F325" s="1311"/>
      <c r="G325" s="1311"/>
      <c r="H325" s="1311"/>
      <c r="I325" s="1311"/>
      <c r="J325" s="1311"/>
      <c r="K325" s="1311"/>
      <c r="L325" s="1311"/>
      <c r="M325" s="1311"/>
      <c r="N325" s="1311"/>
      <c r="O325" s="1311"/>
      <c r="P325" s="1311"/>
      <c r="Q325" s="1311"/>
      <c r="R325" s="1311"/>
      <c r="S325" s="1311"/>
      <c r="T325" s="1311"/>
      <c r="U325" s="1311"/>
      <c r="V325" s="1311"/>
      <c r="W325" s="1311"/>
      <c r="X325" s="1311"/>
      <c r="Y325" s="1311"/>
      <c r="Z325" s="1311"/>
      <c r="AA325" s="1311"/>
      <c r="AB325" s="1311"/>
      <c r="AC325" s="1311"/>
      <c r="AD325" s="1311"/>
      <c r="AE325" s="1311"/>
      <c r="AF325" s="1311"/>
      <c r="AG325" s="1311"/>
      <c r="AH325" s="1311"/>
      <c r="AI325" s="1311"/>
      <c r="AJ325" s="201"/>
    </row>
    <row r="326" spans="1:43" ht="81.75" customHeight="1">
      <c r="A326" s="1309"/>
      <c r="B326" s="1323"/>
      <c r="C326" s="1309" t="s">
        <v>189</v>
      </c>
      <c r="D326" s="1311" t="s">
        <v>5507</v>
      </c>
      <c r="E326" s="1311" t="s">
        <v>5508</v>
      </c>
      <c r="F326" s="1311" t="s">
        <v>5509</v>
      </c>
      <c r="G326" s="1311" t="s">
        <v>25</v>
      </c>
      <c r="H326" s="1311" t="s">
        <v>342</v>
      </c>
      <c r="I326" s="1311" t="s">
        <v>193</v>
      </c>
      <c r="J326" s="1311" t="s">
        <v>195</v>
      </c>
      <c r="K326" s="1311" t="s">
        <v>256</v>
      </c>
      <c r="L326" s="1311" t="s">
        <v>5510</v>
      </c>
      <c r="M326" s="1311" t="s">
        <v>5517</v>
      </c>
      <c r="N326" s="1311" t="s">
        <v>5519</v>
      </c>
      <c r="O326" s="1311" t="s">
        <v>188</v>
      </c>
      <c r="P326" s="1311" t="s">
        <v>5577</v>
      </c>
      <c r="Q326" s="1311" t="s">
        <v>5516</v>
      </c>
      <c r="R326" s="1311" t="s">
        <v>190</v>
      </c>
      <c r="S326" s="1311" t="s">
        <v>5511</v>
      </c>
      <c r="T326" s="1311" t="s">
        <v>5512</v>
      </c>
      <c r="U326" s="1311" t="s">
        <v>5513</v>
      </c>
      <c r="V326" s="1311" t="s">
        <v>5514</v>
      </c>
      <c r="W326" s="1311" t="s">
        <v>5515</v>
      </c>
      <c r="X326" s="1311" t="s">
        <v>252</v>
      </c>
      <c r="Y326" s="1311" t="s">
        <v>248</v>
      </c>
      <c r="Z326" s="1311" t="s">
        <v>249</v>
      </c>
      <c r="AA326" s="1311" t="s">
        <v>250</v>
      </c>
      <c r="AB326" s="1311" t="s">
        <v>251</v>
      </c>
      <c r="AC326" s="1311" t="s">
        <v>5518</v>
      </c>
      <c r="AD326" s="1311" t="s">
        <v>255</v>
      </c>
      <c r="AE326" s="1311" t="s">
        <v>254</v>
      </c>
      <c r="AF326" s="1311" t="s">
        <v>253</v>
      </c>
      <c r="AG326" s="1311" t="s">
        <v>372</v>
      </c>
      <c r="AH326" s="1311" t="s">
        <v>257</v>
      </c>
      <c r="AI326" s="1311" t="s">
        <v>5520</v>
      </c>
      <c r="AJ326" s="120"/>
      <c r="AP326" s="115" t="s">
        <v>248</v>
      </c>
      <c r="AQ326" s="115" t="s">
        <v>5536</v>
      </c>
    </row>
    <row r="327" spans="1:43" ht="159" customHeight="1">
      <c r="A327" s="1309"/>
      <c r="B327" s="1323"/>
      <c r="C327" s="1325" t="s">
        <v>5522</v>
      </c>
      <c r="D327" s="1325" t="s">
        <v>5523</v>
      </c>
      <c r="E327" s="1325" t="s">
        <v>5524</v>
      </c>
      <c r="F327" s="1325" t="s">
        <v>5525</v>
      </c>
      <c r="G327" s="1325" t="s">
        <v>5524</v>
      </c>
      <c r="H327" s="1325" t="s">
        <v>5524</v>
      </c>
      <c r="I327" s="1325" t="s">
        <v>5526</v>
      </c>
      <c r="J327" s="1325" t="s">
        <v>5528</v>
      </c>
      <c r="K327" s="1325" t="s">
        <v>5529</v>
      </c>
      <c r="L327" s="1325" t="s">
        <v>5524</v>
      </c>
      <c r="M327" s="1325" t="s">
        <v>5524</v>
      </c>
      <c r="N327" s="1325" t="s">
        <v>5524</v>
      </c>
      <c r="O327" s="1325" t="s">
        <v>5525</v>
      </c>
      <c r="P327" s="1325" t="s">
        <v>5526</v>
      </c>
      <c r="Q327" s="1325" t="s">
        <v>5530</v>
      </c>
      <c r="R327" s="1325" t="s">
        <v>5531</v>
      </c>
      <c r="S327" s="1325" t="s">
        <v>5530</v>
      </c>
      <c r="T327" s="1325" t="s">
        <v>5532</v>
      </c>
      <c r="U327" s="1325" t="s">
        <v>5533</v>
      </c>
      <c r="V327" s="1325" t="s">
        <v>5534</v>
      </c>
      <c r="W327" s="1325" t="s">
        <v>5535</v>
      </c>
      <c r="X327" s="1325" t="s">
        <v>5536</v>
      </c>
      <c r="Y327" s="1325" t="s">
        <v>5536</v>
      </c>
      <c r="Z327" s="1325" t="s">
        <v>5535</v>
      </c>
      <c r="AA327" s="1325" t="s">
        <v>5537</v>
      </c>
      <c r="AB327" s="1325" t="s">
        <v>5538</v>
      </c>
      <c r="AC327" s="1325" t="s">
        <v>5539</v>
      </c>
      <c r="AD327" s="1325" t="s">
        <v>5540</v>
      </c>
      <c r="AE327" s="1325" t="s">
        <v>5541</v>
      </c>
      <c r="AF327" s="1325" t="s">
        <v>5542</v>
      </c>
      <c r="AG327" s="1325" t="s">
        <v>5543</v>
      </c>
      <c r="AH327" s="1325" t="s">
        <v>5544</v>
      </c>
      <c r="AI327" s="1325" t="s">
        <v>5544</v>
      </c>
      <c r="AJ327" s="120"/>
    </row>
    <row r="328" spans="1:43" s="1317" customFormat="1" ht="69" customHeight="1">
      <c r="A328" s="1309"/>
      <c r="B328" s="1323" t="s">
        <v>260</v>
      </c>
      <c r="C328" s="1311"/>
      <c r="D328" s="1311"/>
      <c r="E328" s="1311"/>
      <c r="F328" s="1311"/>
      <c r="G328" s="1311"/>
      <c r="H328" s="1311"/>
      <c r="I328" s="1311"/>
      <c r="J328" s="1311"/>
      <c r="K328" s="1311"/>
      <c r="L328" s="1311"/>
      <c r="M328" s="1311"/>
      <c r="N328" s="1311"/>
      <c r="O328" s="1311"/>
      <c r="P328" s="1311"/>
      <c r="Q328" s="1311"/>
      <c r="R328" s="1311"/>
      <c r="S328" s="1311"/>
      <c r="T328" s="1311"/>
      <c r="U328" s="1311"/>
      <c r="V328" s="1311"/>
      <c r="W328" s="1311"/>
      <c r="X328" s="1311"/>
      <c r="Y328" s="1311"/>
      <c r="Z328" s="1311"/>
      <c r="AA328" s="1311"/>
      <c r="AB328" s="1311"/>
      <c r="AC328" s="1311"/>
      <c r="AD328" s="1309"/>
      <c r="AE328" s="1309"/>
      <c r="AF328" s="1309"/>
      <c r="AG328" s="1309"/>
      <c r="AH328" s="1309"/>
      <c r="AI328" s="1309"/>
      <c r="AJ328" s="1316"/>
      <c r="AP328" s="1317" t="s">
        <v>249</v>
      </c>
      <c r="AQ328" s="1317" t="s">
        <v>5535</v>
      </c>
    </row>
    <row r="329" spans="1:43" s="1317" customFormat="1" ht="69" customHeight="1">
      <c r="A329" s="1309"/>
      <c r="B329" s="1323" t="s">
        <v>5547</v>
      </c>
      <c r="C329" s="1311"/>
      <c r="D329" s="1311">
        <v>1</v>
      </c>
      <c r="E329" s="1311"/>
      <c r="F329" s="1311"/>
      <c r="G329" s="1311"/>
      <c r="H329" s="1311"/>
      <c r="I329" s="1311"/>
      <c r="J329" s="1311"/>
      <c r="K329" s="1311"/>
      <c r="L329" s="1311"/>
      <c r="M329" s="1311"/>
      <c r="N329" s="1311"/>
      <c r="O329" s="1311"/>
      <c r="P329" s="1311"/>
      <c r="Q329" s="1311"/>
      <c r="R329" s="1311">
        <v>2</v>
      </c>
      <c r="S329" s="1311"/>
      <c r="T329" s="1311"/>
      <c r="U329" s="1311"/>
      <c r="V329" s="1311">
        <v>2</v>
      </c>
      <c r="W329" s="1311"/>
      <c r="X329" s="1311"/>
      <c r="Y329" s="1311"/>
      <c r="Z329" s="1311"/>
      <c r="AA329" s="1311"/>
      <c r="AB329" s="1311"/>
      <c r="AC329" s="1311">
        <v>2</v>
      </c>
      <c r="AD329" s="1311">
        <v>2</v>
      </c>
      <c r="AE329" s="1311"/>
      <c r="AF329" s="1311"/>
      <c r="AG329" s="1311"/>
      <c r="AH329" s="1311"/>
      <c r="AI329" s="1311"/>
      <c r="AJ329" s="1316"/>
    </row>
    <row r="330" spans="1:43" s="1317" customFormat="1" ht="69" customHeight="1">
      <c r="A330" s="1309"/>
      <c r="B330" s="1323" t="s">
        <v>5562</v>
      </c>
      <c r="C330" s="1311"/>
      <c r="D330" s="1311"/>
      <c r="E330" s="1311"/>
      <c r="F330" s="1311"/>
      <c r="G330" s="1311">
        <v>1</v>
      </c>
      <c r="H330" s="1311"/>
      <c r="I330" s="1311"/>
      <c r="J330" s="1311"/>
      <c r="K330" s="1311"/>
      <c r="L330" s="1311"/>
      <c r="M330" s="1311"/>
      <c r="N330" s="1311"/>
      <c r="O330" s="1311"/>
      <c r="P330" s="1311"/>
      <c r="Q330" s="1311"/>
      <c r="R330" s="1311"/>
      <c r="S330" s="1311"/>
      <c r="T330" s="1311"/>
      <c r="U330" s="1311"/>
      <c r="V330" s="1311"/>
      <c r="W330" s="1311"/>
      <c r="X330" s="1311"/>
      <c r="Y330" s="1311"/>
      <c r="Z330" s="1311"/>
      <c r="AA330" s="1311">
        <v>4</v>
      </c>
      <c r="AB330" s="1311"/>
      <c r="AC330" s="1311"/>
      <c r="AD330" s="1309"/>
      <c r="AE330" s="1309"/>
      <c r="AF330" s="1309"/>
      <c r="AG330" s="1309"/>
      <c r="AH330" s="1309"/>
      <c r="AI330" s="1309"/>
      <c r="AJ330" s="1316"/>
      <c r="AP330" s="1317" t="s">
        <v>250</v>
      </c>
      <c r="AQ330" s="1317" t="s">
        <v>5537</v>
      </c>
    </row>
    <row r="331" spans="1:43" s="1317" customFormat="1" ht="69" customHeight="1">
      <c r="A331" s="1309"/>
      <c r="B331" s="1323" t="s">
        <v>5563</v>
      </c>
      <c r="C331" s="1311"/>
      <c r="D331" s="1311"/>
      <c r="E331" s="1311"/>
      <c r="F331" s="1311"/>
      <c r="G331" s="1311"/>
      <c r="H331" s="1311"/>
      <c r="I331" s="1311"/>
      <c r="J331" s="1311"/>
      <c r="K331" s="1311"/>
      <c r="L331" s="1311"/>
      <c r="M331" s="1311"/>
      <c r="N331" s="1311"/>
      <c r="O331" s="1311">
        <v>1</v>
      </c>
      <c r="P331" s="1311"/>
      <c r="Q331" s="1311"/>
      <c r="R331" s="1311"/>
      <c r="S331" s="1311"/>
      <c r="T331" s="1311"/>
      <c r="U331" s="1311"/>
      <c r="V331" s="1311"/>
      <c r="W331" s="1311"/>
      <c r="X331" s="1311"/>
      <c r="Y331" s="1311"/>
      <c r="Z331" s="1311"/>
      <c r="AA331" s="1311"/>
      <c r="AB331" s="1311"/>
      <c r="AC331" s="1311"/>
      <c r="AD331" s="1309"/>
      <c r="AE331" s="1309"/>
      <c r="AF331" s="1309"/>
      <c r="AG331" s="1309"/>
      <c r="AH331" s="1309">
        <v>1</v>
      </c>
      <c r="AI331" s="1309"/>
      <c r="AJ331" s="1316"/>
      <c r="AP331" s="1317" t="s">
        <v>251</v>
      </c>
      <c r="AQ331" s="1317" t="s">
        <v>5538</v>
      </c>
    </row>
    <row r="332" spans="1:43" s="1317" customFormat="1" ht="69" customHeight="1">
      <c r="A332" s="1309"/>
      <c r="B332" s="1323" t="s">
        <v>5564</v>
      </c>
      <c r="C332" s="1310"/>
      <c r="D332" s="1311"/>
      <c r="E332" s="1311"/>
      <c r="F332" s="1311"/>
      <c r="G332" s="1311">
        <v>1</v>
      </c>
      <c r="H332" s="1311"/>
      <c r="I332" s="1311"/>
      <c r="J332" s="1311"/>
      <c r="K332" s="1311"/>
      <c r="L332" s="1311"/>
      <c r="M332" s="1311"/>
      <c r="N332" s="1311"/>
      <c r="O332" s="1311"/>
      <c r="P332" s="1311"/>
      <c r="Q332" s="1311"/>
      <c r="R332" s="1311"/>
      <c r="S332" s="1311"/>
      <c r="T332" s="1311"/>
      <c r="U332" s="1311"/>
      <c r="V332" s="1311"/>
      <c r="W332" s="1311"/>
      <c r="X332" s="1311"/>
      <c r="Y332" s="1311"/>
      <c r="Z332" s="1311"/>
      <c r="AA332" s="1311">
        <v>4</v>
      </c>
      <c r="AB332" s="1311"/>
      <c r="AC332" s="1311"/>
      <c r="AD332" s="1309"/>
      <c r="AE332" s="1309"/>
      <c r="AF332" s="1309"/>
      <c r="AG332" s="1309"/>
      <c r="AH332" s="1309"/>
      <c r="AI332" s="1309"/>
      <c r="AJ332" s="1316"/>
      <c r="AP332" s="1317" t="s">
        <v>5518</v>
      </c>
      <c r="AQ332" s="1317" t="s">
        <v>5539</v>
      </c>
    </row>
    <row r="333" spans="1:43" s="1317" customFormat="1" ht="69" customHeight="1">
      <c r="A333" s="1309"/>
      <c r="B333" s="1323" t="s">
        <v>5565</v>
      </c>
      <c r="C333" s="1310"/>
      <c r="D333" s="1311"/>
      <c r="E333" s="1311"/>
      <c r="F333" s="1311"/>
      <c r="G333" s="1311"/>
      <c r="H333" s="1311"/>
      <c r="I333" s="1311"/>
      <c r="J333" s="1311"/>
      <c r="K333" s="1311"/>
      <c r="L333" s="1311"/>
      <c r="M333" s="1311"/>
      <c r="N333" s="1311"/>
      <c r="O333" s="1311">
        <v>1</v>
      </c>
      <c r="P333" s="1311"/>
      <c r="Q333" s="1311"/>
      <c r="R333" s="1311"/>
      <c r="S333" s="1311"/>
      <c r="T333" s="1311"/>
      <c r="U333" s="1311"/>
      <c r="V333" s="1311"/>
      <c r="W333" s="1311"/>
      <c r="X333" s="1311"/>
      <c r="Y333" s="1311"/>
      <c r="Z333" s="1311"/>
      <c r="AA333" s="1311"/>
      <c r="AB333" s="1311"/>
      <c r="AC333" s="1311"/>
      <c r="AD333" s="1309"/>
      <c r="AE333" s="1309"/>
      <c r="AF333" s="1309"/>
      <c r="AG333" s="1309"/>
      <c r="AH333" s="1309">
        <v>1</v>
      </c>
      <c r="AI333" s="1309"/>
      <c r="AJ333" s="1316"/>
      <c r="AP333" s="1317" t="s">
        <v>255</v>
      </c>
      <c r="AQ333" s="1317" t="s">
        <v>5540</v>
      </c>
    </row>
    <row r="334" spans="1:43" s="1317" customFormat="1" ht="69" customHeight="1">
      <c r="A334" s="1309"/>
      <c r="B334" s="1323" t="s">
        <v>5549</v>
      </c>
      <c r="C334" s="1310"/>
      <c r="D334" s="1311"/>
      <c r="E334" s="1311"/>
      <c r="F334" s="1311"/>
      <c r="G334" s="1311"/>
      <c r="H334" s="1311"/>
      <c r="I334" s="1311"/>
      <c r="J334" s="1311"/>
      <c r="K334" s="1311"/>
      <c r="L334" s="1311">
        <v>1</v>
      </c>
      <c r="M334" s="1311"/>
      <c r="N334" s="1311"/>
      <c r="O334" s="1311"/>
      <c r="P334" s="1311"/>
      <c r="Q334" s="1311"/>
      <c r="R334" s="1311"/>
      <c r="S334" s="1311"/>
      <c r="T334" s="1311"/>
      <c r="U334" s="1311"/>
      <c r="V334" s="1311"/>
      <c r="W334" s="1311"/>
      <c r="X334" s="1311"/>
      <c r="Y334" s="1311">
        <v>1</v>
      </c>
      <c r="Z334" s="1311"/>
      <c r="AA334" s="1311"/>
      <c r="AB334" s="1311"/>
      <c r="AC334" s="1311"/>
      <c r="AD334" s="1309"/>
      <c r="AE334" s="1309"/>
      <c r="AF334" s="1309"/>
      <c r="AG334" s="1309"/>
      <c r="AH334" s="1309"/>
      <c r="AI334" s="1309"/>
      <c r="AJ334" s="1316"/>
      <c r="AP334" s="1317" t="s">
        <v>254</v>
      </c>
      <c r="AQ334" s="1317" t="s">
        <v>5541</v>
      </c>
    </row>
    <row r="335" spans="1:43" s="1317" customFormat="1" ht="69" customHeight="1">
      <c r="A335" s="1309"/>
      <c r="B335" s="1323" t="s">
        <v>5546</v>
      </c>
      <c r="C335" s="1322"/>
      <c r="D335" s="1311"/>
      <c r="E335" s="1311"/>
      <c r="F335" s="1311"/>
      <c r="G335" s="1311"/>
      <c r="H335" s="1311"/>
      <c r="I335" s="1311"/>
      <c r="J335" s="1311"/>
      <c r="K335" s="1311"/>
      <c r="L335" s="1311"/>
      <c r="M335" s="1311"/>
      <c r="N335" s="1311"/>
      <c r="O335" s="1311"/>
      <c r="P335" s="1311"/>
      <c r="Q335" s="1311"/>
      <c r="R335" s="1311"/>
      <c r="S335" s="1311"/>
      <c r="T335" s="1311"/>
      <c r="U335" s="1311">
        <v>1</v>
      </c>
      <c r="V335" s="1311"/>
      <c r="W335" s="1311"/>
      <c r="X335" s="1311">
        <v>1</v>
      </c>
      <c r="Y335" s="1311"/>
      <c r="Z335" s="1311"/>
      <c r="AA335" s="1311"/>
      <c r="AB335" s="1311"/>
      <c r="AC335" s="1311"/>
      <c r="AD335" s="1309"/>
      <c r="AE335" s="1309"/>
      <c r="AF335" s="1309"/>
      <c r="AG335" s="1309"/>
      <c r="AH335" s="1309"/>
      <c r="AI335" s="1309"/>
      <c r="AJ335" s="1316"/>
      <c r="AP335" s="1317" t="s">
        <v>253</v>
      </c>
      <c r="AQ335" s="1317" t="s">
        <v>5542</v>
      </c>
    </row>
    <row r="336" spans="1:43" s="1317" customFormat="1" ht="69" customHeight="1">
      <c r="A336" s="1309"/>
      <c r="B336" s="1323" t="s">
        <v>5555</v>
      </c>
      <c r="C336" s="1310"/>
      <c r="D336" s="1311"/>
      <c r="E336" s="1311"/>
      <c r="F336" s="1311"/>
      <c r="G336" s="1311"/>
      <c r="H336" s="1311"/>
      <c r="I336" s="1311"/>
      <c r="J336" s="1311"/>
      <c r="K336" s="1311">
        <v>1</v>
      </c>
      <c r="L336" s="1311"/>
      <c r="M336" s="1311"/>
      <c r="N336" s="1311"/>
      <c r="O336" s="1311"/>
      <c r="P336" s="1311"/>
      <c r="Q336" s="1311"/>
      <c r="R336" s="1311"/>
      <c r="S336" s="1311"/>
      <c r="T336" s="1311"/>
      <c r="U336" s="1311"/>
      <c r="V336" s="1311"/>
      <c r="W336" s="1311"/>
      <c r="X336" s="1311"/>
      <c r="Y336" s="1311"/>
      <c r="Z336" s="1311"/>
      <c r="AA336" s="1311"/>
      <c r="AB336" s="1311"/>
      <c r="AC336" s="1311"/>
      <c r="AD336" s="1311"/>
      <c r="AE336" s="1311"/>
      <c r="AF336" s="1311"/>
      <c r="AG336" s="1311"/>
      <c r="AH336" s="1311"/>
      <c r="AI336" s="1311"/>
      <c r="AJ336" s="1316"/>
    </row>
    <row r="337" spans="1:43" s="1317" customFormat="1" ht="69" customHeight="1">
      <c r="A337" s="1309"/>
      <c r="B337" s="1323" t="s">
        <v>5556</v>
      </c>
      <c r="C337" s="1309"/>
      <c r="D337" s="1311"/>
      <c r="E337" s="1311"/>
      <c r="F337" s="1311"/>
      <c r="G337" s="1311"/>
      <c r="H337" s="1311"/>
      <c r="I337" s="1311">
        <v>2</v>
      </c>
      <c r="J337" s="1311">
        <v>2</v>
      </c>
      <c r="K337" s="1311"/>
      <c r="L337" s="1311"/>
      <c r="M337" s="1311"/>
      <c r="N337" s="1311"/>
      <c r="O337" s="1311"/>
      <c r="P337" s="1311"/>
      <c r="Q337" s="1311"/>
      <c r="R337" s="1311"/>
      <c r="S337" s="1311"/>
      <c r="T337" s="1311"/>
      <c r="U337" s="1311"/>
      <c r="V337" s="1311"/>
      <c r="W337" s="1311"/>
      <c r="X337" s="1311"/>
      <c r="Y337" s="1311"/>
      <c r="Z337" s="1311"/>
      <c r="AA337" s="1311"/>
      <c r="AB337" s="1311"/>
      <c r="AC337" s="1311"/>
      <c r="AD337" s="1311"/>
      <c r="AE337" s="1311"/>
      <c r="AF337" s="1311">
        <v>2</v>
      </c>
      <c r="AG337" s="1311">
        <v>2</v>
      </c>
      <c r="AH337" s="1311"/>
      <c r="AI337" s="1311"/>
      <c r="AJ337" s="1316"/>
      <c r="AP337" s="1317" t="s">
        <v>372</v>
      </c>
      <c r="AQ337" s="1317" t="s">
        <v>5543</v>
      </c>
    </row>
    <row r="338" spans="1:43" s="1317" customFormat="1" ht="69" customHeight="1">
      <c r="A338" s="1309"/>
      <c r="B338" s="1323" t="s">
        <v>5566</v>
      </c>
      <c r="C338" s="1310"/>
      <c r="D338" s="1311"/>
      <c r="E338" s="1311"/>
      <c r="F338" s="1311"/>
      <c r="G338" s="1311">
        <v>1</v>
      </c>
      <c r="H338" s="1311"/>
      <c r="I338" s="1311"/>
      <c r="J338" s="1311"/>
      <c r="K338" s="1311"/>
      <c r="L338" s="1311"/>
      <c r="M338" s="1311"/>
      <c r="N338" s="1311"/>
      <c r="O338" s="1311"/>
      <c r="P338" s="1311"/>
      <c r="Q338" s="1311"/>
      <c r="R338" s="1311"/>
      <c r="S338" s="1311"/>
      <c r="T338" s="1311"/>
      <c r="U338" s="1311"/>
      <c r="V338" s="1311"/>
      <c r="W338" s="1311"/>
      <c r="X338" s="1311"/>
      <c r="Y338" s="1311"/>
      <c r="Z338" s="1311"/>
      <c r="AA338" s="1311"/>
      <c r="AB338" s="1311">
        <v>4</v>
      </c>
      <c r="AC338" s="1311"/>
      <c r="AD338" s="1309"/>
      <c r="AE338" s="1309"/>
      <c r="AF338" s="1309"/>
      <c r="AG338" s="1309"/>
      <c r="AH338" s="1309"/>
      <c r="AI338" s="1309"/>
      <c r="AJ338" s="1316"/>
      <c r="AP338" s="1317" t="s">
        <v>257</v>
      </c>
      <c r="AQ338" s="1317" t="s">
        <v>5544</v>
      </c>
    </row>
    <row r="339" spans="1:43" s="1317" customFormat="1" ht="69" customHeight="1">
      <c r="A339" s="1309"/>
      <c r="B339" s="1323" t="s">
        <v>560</v>
      </c>
      <c r="C339" s="1311"/>
      <c r="D339" s="1311"/>
      <c r="E339" s="1311"/>
      <c r="F339" s="1311"/>
      <c r="G339" s="1311"/>
      <c r="H339" s="1311"/>
      <c r="I339" s="1311"/>
      <c r="J339" s="1311"/>
      <c r="K339" s="1311"/>
      <c r="L339" s="1311"/>
      <c r="M339" s="1311"/>
      <c r="N339" s="1311"/>
      <c r="O339" s="1311">
        <v>1</v>
      </c>
      <c r="P339" s="1311"/>
      <c r="Q339" s="1311"/>
      <c r="R339" s="1311"/>
      <c r="S339" s="1311"/>
      <c r="T339" s="1311"/>
      <c r="U339" s="1311"/>
      <c r="V339" s="1311"/>
      <c r="W339" s="1311"/>
      <c r="X339" s="1311"/>
      <c r="Y339" s="1311"/>
      <c r="Z339" s="1311"/>
      <c r="AA339" s="1311"/>
      <c r="AB339" s="1311"/>
      <c r="AC339" s="1311"/>
      <c r="AD339" s="1311"/>
      <c r="AE339" s="1311"/>
      <c r="AF339" s="1311"/>
      <c r="AG339" s="1311"/>
      <c r="AH339" s="1311">
        <v>1</v>
      </c>
      <c r="AI339" s="1309"/>
      <c r="AJ339" s="1316"/>
      <c r="AP339" s="1317" t="s">
        <v>5520</v>
      </c>
      <c r="AQ339" s="1317" t="s">
        <v>5544</v>
      </c>
    </row>
    <row r="340" spans="1:43" s="1317" customFormat="1" ht="69" customHeight="1">
      <c r="A340" s="1309"/>
      <c r="B340" s="1323" t="s">
        <v>5550</v>
      </c>
      <c r="C340" s="1310"/>
      <c r="D340" s="1311"/>
      <c r="E340" s="1311"/>
      <c r="F340" s="1311"/>
      <c r="G340" s="1311">
        <v>1</v>
      </c>
      <c r="H340" s="1311"/>
      <c r="I340" s="1311"/>
      <c r="J340" s="1311"/>
      <c r="K340" s="1311"/>
      <c r="L340" s="1311"/>
      <c r="M340" s="1311"/>
      <c r="N340" s="1311"/>
      <c r="O340" s="1311"/>
      <c r="P340" s="1311"/>
      <c r="Q340" s="1311"/>
      <c r="R340" s="1311"/>
      <c r="S340" s="1311"/>
      <c r="T340" s="1311"/>
      <c r="U340" s="1311"/>
      <c r="V340" s="1311"/>
      <c r="W340" s="1311"/>
      <c r="X340" s="1311"/>
      <c r="Y340" s="1311"/>
      <c r="Z340" s="1311"/>
      <c r="AA340" s="1311">
        <v>3</v>
      </c>
      <c r="AB340" s="1311"/>
      <c r="AC340" s="1311"/>
      <c r="AD340" s="1311"/>
      <c r="AE340" s="1311"/>
      <c r="AF340" s="1311"/>
      <c r="AG340" s="1311"/>
      <c r="AH340" s="1311"/>
      <c r="AI340" s="1311"/>
      <c r="AJ340" s="1316"/>
    </row>
    <row r="341" spans="1:43" s="1317" customFormat="1" ht="69" customHeight="1">
      <c r="A341" s="1309"/>
      <c r="B341" s="1323" t="s">
        <v>5567</v>
      </c>
      <c r="C341" s="1310"/>
      <c r="D341" s="1311"/>
      <c r="E341" s="1311"/>
      <c r="F341" s="1311"/>
      <c r="G341" s="1311">
        <v>1</v>
      </c>
      <c r="H341" s="1311"/>
      <c r="I341" s="1311"/>
      <c r="J341" s="1311"/>
      <c r="K341" s="1311"/>
      <c r="L341" s="1311"/>
      <c r="M341" s="1311"/>
      <c r="N341" s="1311"/>
      <c r="O341" s="1311"/>
      <c r="P341" s="1311"/>
      <c r="Q341" s="1311"/>
      <c r="R341" s="1311"/>
      <c r="S341" s="1311"/>
      <c r="T341" s="1311"/>
      <c r="U341" s="1311"/>
      <c r="V341" s="1311"/>
      <c r="W341" s="1311"/>
      <c r="X341" s="1311"/>
      <c r="Y341" s="1311"/>
      <c r="Z341" s="1311"/>
      <c r="AA341" s="1311"/>
      <c r="AB341" s="1311"/>
      <c r="AC341" s="1311"/>
      <c r="AD341" s="1311"/>
      <c r="AE341" s="1311">
        <v>1</v>
      </c>
      <c r="AF341" s="1311"/>
      <c r="AG341" s="1311"/>
      <c r="AH341" s="1311"/>
      <c r="AI341" s="1311"/>
      <c r="AJ341" s="1316"/>
    </row>
    <row r="342" spans="1:43" s="1317" customFormat="1" ht="69" customHeight="1">
      <c r="A342" s="1309"/>
      <c r="B342" s="1323" t="s">
        <v>5568</v>
      </c>
      <c r="C342" s="1310"/>
      <c r="D342" s="1311"/>
      <c r="E342" s="1311"/>
      <c r="F342" s="1311"/>
      <c r="G342" s="1311">
        <v>1</v>
      </c>
      <c r="H342" s="1311"/>
      <c r="I342" s="1311"/>
      <c r="J342" s="1311"/>
      <c r="K342" s="1311"/>
      <c r="L342" s="1311"/>
      <c r="M342" s="1311"/>
      <c r="N342" s="1311"/>
      <c r="O342" s="1311"/>
      <c r="P342" s="1311"/>
      <c r="Q342" s="1311"/>
      <c r="R342" s="1311"/>
      <c r="S342" s="1311"/>
      <c r="T342" s="1311"/>
      <c r="U342" s="1311"/>
      <c r="V342" s="1311"/>
      <c r="W342" s="1311"/>
      <c r="X342" s="1311"/>
      <c r="Y342" s="1311"/>
      <c r="Z342" s="1311"/>
      <c r="AA342" s="1311">
        <v>2</v>
      </c>
      <c r="AB342" s="1311"/>
      <c r="AC342" s="1311"/>
      <c r="AD342" s="1311"/>
      <c r="AE342" s="1311"/>
      <c r="AF342" s="1311"/>
      <c r="AG342" s="1311"/>
      <c r="AH342" s="1311"/>
      <c r="AI342" s="1311"/>
      <c r="AJ342" s="1316"/>
    </row>
    <row r="343" spans="1:43" s="1317" customFormat="1" ht="69" customHeight="1">
      <c r="A343" s="1309"/>
      <c r="B343" s="1323" t="s">
        <v>5569</v>
      </c>
      <c r="C343" s="1311"/>
      <c r="D343" s="1311"/>
      <c r="E343" s="1311"/>
      <c r="F343" s="1311"/>
      <c r="G343" s="1311"/>
      <c r="H343" s="1311"/>
      <c r="I343" s="1311"/>
      <c r="J343" s="1311"/>
      <c r="K343" s="1311"/>
      <c r="L343" s="1311"/>
      <c r="M343" s="1311"/>
      <c r="N343" s="1311"/>
      <c r="O343" s="1311">
        <v>1</v>
      </c>
      <c r="P343" s="1311"/>
      <c r="Q343" s="1311"/>
      <c r="R343" s="1311"/>
      <c r="S343" s="1311"/>
      <c r="T343" s="1311"/>
      <c r="U343" s="1311"/>
      <c r="V343" s="1311"/>
      <c r="W343" s="1311"/>
      <c r="X343" s="1311"/>
      <c r="Y343" s="1311"/>
      <c r="Z343" s="1311"/>
      <c r="AA343" s="1311"/>
      <c r="AB343" s="1311"/>
      <c r="AC343" s="1311"/>
      <c r="AD343" s="1311"/>
      <c r="AE343" s="1311"/>
      <c r="AF343" s="1311"/>
      <c r="AG343" s="1311"/>
      <c r="AH343" s="1311">
        <v>1</v>
      </c>
      <c r="AI343" s="1311"/>
      <c r="AJ343" s="1316"/>
    </row>
    <row r="344" spans="1:43" s="1317" customFormat="1" ht="69" customHeight="1">
      <c r="A344" s="1309"/>
      <c r="B344" s="1323" t="s">
        <v>5582</v>
      </c>
      <c r="C344" s="1311">
        <f>SUM(C328:C343)</f>
        <v>0</v>
      </c>
      <c r="D344" s="1311">
        <f t="shared" ref="D344:AI344" si="51">SUM(D328:D343)</f>
        <v>1</v>
      </c>
      <c r="E344" s="1311">
        <f t="shared" si="51"/>
        <v>0</v>
      </c>
      <c r="F344" s="1311">
        <f t="shared" si="51"/>
        <v>0</v>
      </c>
      <c r="G344" s="1311">
        <f t="shared" si="51"/>
        <v>6</v>
      </c>
      <c r="H344" s="1311">
        <f t="shared" si="51"/>
        <v>0</v>
      </c>
      <c r="I344" s="1311">
        <f t="shared" si="51"/>
        <v>2</v>
      </c>
      <c r="J344" s="1311">
        <f t="shared" si="51"/>
        <v>2</v>
      </c>
      <c r="K344" s="1311">
        <f t="shared" si="51"/>
        <v>1</v>
      </c>
      <c r="L344" s="1311">
        <f t="shared" si="51"/>
        <v>1</v>
      </c>
      <c r="M344" s="1311">
        <f t="shared" si="51"/>
        <v>0</v>
      </c>
      <c r="N344" s="1311">
        <f t="shared" si="51"/>
        <v>0</v>
      </c>
      <c r="O344" s="1311">
        <f t="shared" si="51"/>
        <v>4</v>
      </c>
      <c r="P344" s="1311">
        <f t="shared" si="51"/>
        <v>0</v>
      </c>
      <c r="Q344" s="1311">
        <f t="shared" si="51"/>
        <v>0</v>
      </c>
      <c r="R344" s="1311">
        <f t="shared" si="51"/>
        <v>2</v>
      </c>
      <c r="S344" s="1311">
        <f t="shared" si="51"/>
        <v>0</v>
      </c>
      <c r="T344" s="1311">
        <f t="shared" si="51"/>
        <v>0</v>
      </c>
      <c r="U344" s="1311">
        <f t="shared" si="51"/>
        <v>1</v>
      </c>
      <c r="V344" s="1311">
        <f t="shared" si="51"/>
        <v>2</v>
      </c>
      <c r="W344" s="1311">
        <f t="shared" si="51"/>
        <v>0</v>
      </c>
      <c r="X344" s="1311">
        <f t="shared" si="51"/>
        <v>1</v>
      </c>
      <c r="Y344" s="1311">
        <f t="shared" si="51"/>
        <v>1</v>
      </c>
      <c r="Z344" s="1311">
        <f t="shared" si="51"/>
        <v>0</v>
      </c>
      <c r="AA344" s="1311">
        <f t="shared" si="51"/>
        <v>13</v>
      </c>
      <c r="AB344" s="1311">
        <f t="shared" si="51"/>
        <v>4</v>
      </c>
      <c r="AC344" s="1311">
        <f t="shared" si="51"/>
        <v>2</v>
      </c>
      <c r="AD344" s="1311">
        <f t="shared" si="51"/>
        <v>2</v>
      </c>
      <c r="AE344" s="1311">
        <f t="shared" si="51"/>
        <v>1</v>
      </c>
      <c r="AF344" s="1311">
        <f t="shared" si="51"/>
        <v>2</v>
      </c>
      <c r="AG344" s="1311">
        <f t="shared" si="51"/>
        <v>2</v>
      </c>
      <c r="AH344" s="1311">
        <f t="shared" si="51"/>
        <v>4</v>
      </c>
      <c r="AI344" s="1311">
        <f t="shared" si="51"/>
        <v>0</v>
      </c>
      <c r="AJ344" s="1316"/>
    </row>
    <row r="345" spans="1:43" ht="57.75" customHeight="1">
      <c r="A345" s="1315"/>
      <c r="B345" s="1338"/>
      <c r="C345" s="1315"/>
      <c r="D345" s="1315"/>
      <c r="E345" s="1315"/>
      <c r="F345" s="1315"/>
      <c r="G345" s="1315"/>
      <c r="H345" s="1315"/>
      <c r="I345" s="1315"/>
      <c r="J345" s="1315"/>
      <c r="K345" s="1315"/>
      <c r="L345" s="1315"/>
      <c r="M345" s="1315"/>
      <c r="N345" s="1315"/>
      <c r="O345" s="1315"/>
      <c r="P345" s="1315"/>
      <c r="Q345" s="1315"/>
      <c r="R345" s="1315"/>
      <c r="S345" s="1315"/>
      <c r="T345" s="1315"/>
      <c r="U345" s="1315"/>
      <c r="V345" s="1315"/>
      <c r="W345" s="1315"/>
      <c r="X345" s="1315"/>
      <c r="Y345" s="1315"/>
      <c r="Z345" s="1315"/>
      <c r="AA345" s="1315"/>
      <c r="AB345" s="1315"/>
      <c r="AC345" s="1315"/>
      <c r="AD345" s="1309"/>
      <c r="AE345" s="1309"/>
      <c r="AF345" s="1309"/>
      <c r="AG345" s="1309"/>
      <c r="AH345" s="1309"/>
      <c r="AI345" s="1309"/>
      <c r="AJ345" s="120"/>
    </row>
    <row r="346" spans="1:43" ht="81.75" customHeight="1">
      <c r="A346" s="1309"/>
      <c r="B346" s="1323"/>
      <c r="C346" s="1309" t="s">
        <v>189</v>
      </c>
      <c r="D346" s="1311" t="s">
        <v>5507</v>
      </c>
      <c r="E346" s="1311" t="s">
        <v>5508</v>
      </c>
      <c r="F346" s="1311" t="s">
        <v>5509</v>
      </c>
      <c r="G346" s="1311" t="s">
        <v>25</v>
      </c>
      <c r="H346" s="1311" t="s">
        <v>342</v>
      </c>
      <c r="I346" s="1311" t="s">
        <v>193</v>
      </c>
      <c r="J346" s="1311" t="s">
        <v>195</v>
      </c>
      <c r="K346" s="1311" t="s">
        <v>256</v>
      </c>
      <c r="L346" s="1311" t="s">
        <v>5510</v>
      </c>
      <c r="M346" s="1311" t="s">
        <v>5517</v>
      </c>
      <c r="N346" s="1311" t="s">
        <v>5519</v>
      </c>
      <c r="O346" s="1311" t="s">
        <v>188</v>
      </c>
      <c r="P346" s="1311" t="s">
        <v>5577</v>
      </c>
      <c r="Q346" s="1311" t="s">
        <v>5516</v>
      </c>
      <c r="R346" s="1311" t="s">
        <v>190</v>
      </c>
      <c r="S346" s="1311" t="s">
        <v>5511</v>
      </c>
      <c r="T346" s="1311" t="s">
        <v>5512</v>
      </c>
      <c r="U346" s="1311" t="s">
        <v>5513</v>
      </c>
      <c r="V346" s="1311" t="s">
        <v>5514</v>
      </c>
      <c r="W346" s="1311" t="s">
        <v>5515</v>
      </c>
      <c r="X346" s="1311" t="s">
        <v>252</v>
      </c>
      <c r="Y346" s="1311" t="s">
        <v>248</v>
      </c>
      <c r="Z346" s="1311" t="s">
        <v>249</v>
      </c>
      <c r="AA346" s="1311" t="s">
        <v>250</v>
      </c>
      <c r="AB346" s="1311" t="s">
        <v>251</v>
      </c>
      <c r="AC346" s="1311" t="s">
        <v>5518</v>
      </c>
      <c r="AD346" s="1311" t="s">
        <v>255</v>
      </c>
      <c r="AE346" s="1311" t="s">
        <v>254</v>
      </c>
      <c r="AF346" s="1311" t="s">
        <v>253</v>
      </c>
      <c r="AG346" s="1311" t="s">
        <v>372</v>
      </c>
      <c r="AH346" s="1311" t="s">
        <v>257</v>
      </c>
      <c r="AI346" s="1311" t="s">
        <v>5520</v>
      </c>
      <c r="AJ346" s="120"/>
    </row>
    <row r="347" spans="1:43" ht="166.5" customHeight="1">
      <c r="A347" s="1309"/>
      <c r="B347" s="1323"/>
      <c r="C347" s="1325" t="s">
        <v>5522</v>
      </c>
      <c r="D347" s="1325" t="s">
        <v>5523</v>
      </c>
      <c r="E347" s="1325" t="s">
        <v>5524</v>
      </c>
      <c r="F347" s="1325" t="s">
        <v>5525</v>
      </c>
      <c r="G347" s="1325" t="s">
        <v>5524</v>
      </c>
      <c r="H347" s="1325" t="s">
        <v>5524</v>
      </c>
      <c r="I347" s="1325" t="s">
        <v>5526</v>
      </c>
      <c r="J347" s="1325" t="s">
        <v>5528</v>
      </c>
      <c r="K347" s="1325" t="s">
        <v>5529</v>
      </c>
      <c r="L347" s="1325" t="s">
        <v>5524</v>
      </c>
      <c r="M347" s="1325" t="s">
        <v>5524</v>
      </c>
      <c r="N347" s="1325" t="s">
        <v>5524</v>
      </c>
      <c r="O347" s="1325" t="s">
        <v>5525</v>
      </c>
      <c r="P347" s="1325" t="s">
        <v>5526</v>
      </c>
      <c r="Q347" s="1325" t="s">
        <v>5530</v>
      </c>
      <c r="R347" s="1325" t="s">
        <v>5531</v>
      </c>
      <c r="S347" s="1325" t="s">
        <v>5530</v>
      </c>
      <c r="T347" s="1325" t="s">
        <v>5532</v>
      </c>
      <c r="U347" s="1325" t="s">
        <v>5533</v>
      </c>
      <c r="V347" s="1325" t="s">
        <v>5534</v>
      </c>
      <c r="W347" s="1325" t="s">
        <v>5535</v>
      </c>
      <c r="X347" s="1325" t="s">
        <v>5536</v>
      </c>
      <c r="Y347" s="1325" t="s">
        <v>5536</v>
      </c>
      <c r="Z347" s="1325" t="s">
        <v>5535</v>
      </c>
      <c r="AA347" s="1325" t="s">
        <v>5537</v>
      </c>
      <c r="AB347" s="1325" t="s">
        <v>5538</v>
      </c>
      <c r="AC347" s="1325" t="s">
        <v>5539</v>
      </c>
      <c r="AD347" s="1325" t="s">
        <v>5540</v>
      </c>
      <c r="AE347" s="1325" t="s">
        <v>5541</v>
      </c>
      <c r="AF347" s="1325" t="s">
        <v>5542</v>
      </c>
      <c r="AG347" s="1325" t="s">
        <v>5543</v>
      </c>
      <c r="AH347" s="1325" t="s">
        <v>5544</v>
      </c>
      <c r="AI347" s="1325" t="s">
        <v>5544</v>
      </c>
      <c r="AJ347" s="120"/>
    </row>
    <row r="348" spans="1:43" s="1314" customFormat="1" ht="69" customHeight="1">
      <c r="A348" s="1309"/>
      <c r="B348" s="1323" t="s">
        <v>261</v>
      </c>
      <c r="C348" s="1311"/>
      <c r="D348" s="1311"/>
      <c r="E348" s="1311"/>
      <c r="F348" s="1311"/>
      <c r="G348" s="1311"/>
      <c r="H348" s="1311"/>
      <c r="I348" s="1311"/>
      <c r="J348" s="1311"/>
      <c r="K348" s="1311"/>
      <c r="L348" s="1311"/>
      <c r="M348" s="1311"/>
      <c r="N348" s="1311"/>
      <c r="O348" s="1311"/>
      <c r="P348" s="1311"/>
      <c r="Q348" s="1311"/>
      <c r="R348" s="1311"/>
      <c r="S348" s="1311"/>
      <c r="T348" s="1311"/>
      <c r="U348" s="1311"/>
      <c r="V348" s="1311"/>
      <c r="W348" s="1311"/>
      <c r="X348" s="1311"/>
      <c r="Y348" s="1311"/>
      <c r="Z348" s="1311"/>
      <c r="AA348" s="1311"/>
      <c r="AB348" s="1311"/>
      <c r="AC348" s="1311"/>
      <c r="AD348" s="1312"/>
      <c r="AE348" s="1312"/>
      <c r="AF348" s="1312"/>
      <c r="AG348" s="1312"/>
      <c r="AH348" s="1312"/>
      <c r="AI348" s="1312"/>
      <c r="AJ348" s="1313"/>
    </row>
    <row r="349" spans="1:43" s="1314" customFormat="1" ht="69" customHeight="1">
      <c r="A349" s="1309"/>
      <c r="B349" s="1323" t="s">
        <v>5547</v>
      </c>
      <c r="C349" s="1311"/>
      <c r="D349" s="1311">
        <v>1</v>
      </c>
      <c r="E349" s="1311"/>
      <c r="F349" s="1311"/>
      <c r="G349" s="1311"/>
      <c r="H349" s="1311"/>
      <c r="I349" s="1311"/>
      <c r="J349" s="1311"/>
      <c r="K349" s="1311"/>
      <c r="L349" s="1311"/>
      <c r="M349" s="1311"/>
      <c r="N349" s="1311"/>
      <c r="O349" s="1311"/>
      <c r="P349" s="1311"/>
      <c r="Q349" s="1311"/>
      <c r="R349" s="1311">
        <v>2</v>
      </c>
      <c r="S349" s="1311"/>
      <c r="T349" s="1311"/>
      <c r="U349" s="1311"/>
      <c r="V349" s="1311">
        <v>2</v>
      </c>
      <c r="W349" s="1311"/>
      <c r="X349" s="1311"/>
      <c r="Y349" s="1311"/>
      <c r="Z349" s="1311"/>
      <c r="AA349" s="1311"/>
      <c r="AB349" s="1311"/>
      <c r="AC349" s="1311">
        <v>2</v>
      </c>
      <c r="AD349" s="1311">
        <v>2</v>
      </c>
      <c r="AE349" s="1311"/>
      <c r="AF349" s="1311"/>
      <c r="AG349" s="1311"/>
      <c r="AH349" s="1311"/>
      <c r="AI349" s="1311"/>
      <c r="AJ349" s="1313"/>
    </row>
    <row r="350" spans="1:43" s="1314" customFormat="1" ht="69" customHeight="1">
      <c r="A350" s="1309"/>
      <c r="B350" s="1323" t="s">
        <v>5570</v>
      </c>
      <c r="C350" s="1311"/>
      <c r="D350" s="1311"/>
      <c r="E350" s="1311"/>
      <c r="F350" s="1311"/>
      <c r="G350" s="1311">
        <v>1</v>
      </c>
      <c r="H350" s="1311"/>
      <c r="I350" s="1311"/>
      <c r="J350" s="1311"/>
      <c r="K350" s="1311"/>
      <c r="L350" s="1311"/>
      <c r="M350" s="1311"/>
      <c r="N350" s="1311"/>
      <c r="O350" s="1311"/>
      <c r="P350" s="1311"/>
      <c r="Q350" s="1311"/>
      <c r="R350" s="1311"/>
      <c r="S350" s="1311"/>
      <c r="T350" s="1311"/>
      <c r="U350" s="1311"/>
      <c r="V350" s="1311"/>
      <c r="W350" s="1311"/>
      <c r="X350" s="1311"/>
      <c r="Y350" s="1311"/>
      <c r="Z350" s="1311"/>
      <c r="AA350" s="1311">
        <v>4</v>
      </c>
      <c r="AB350" s="1311"/>
      <c r="AC350" s="1311"/>
      <c r="AD350" s="1309"/>
      <c r="AE350" s="1309"/>
      <c r="AF350" s="1309"/>
      <c r="AG350" s="1309"/>
      <c r="AH350" s="1309"/>
      <c r="AI350" s="1309"/>
      <c r="AJ350" s="1313"/>
    </row>
    <row r="351" spans="1:43" s="1314" customFormat="1" ht="69" customHeight="1">
      <c r="A351" s="1309"/>
      <c r="B351" s="1323" t="s">
        <v>5571</v>
      </c>
      <c r="C351" s="1311"/>
      <c r="D351" s="1311"/>
      <c r="E351" s="1311"/>
      <c r="F351" s="1311"/>
      <c r="G351" s="1311"/>
      <c r="H351" s="1311"/>
      <c r="I351" s="1311"/>
      <c r="J351" s="1311"/>
      <c r="K351" s="1311"/>
      <c r="L351" s="1311"/>
      <c r="M351" s="1311"/>
      <c r="N351" s="1311"/>
      <c r="O351" s="1311">
        <v>1</v>
      </c>
      <c r="P351" s="1311"/>
      <c r="Q351" s="1311"/>
      <c r="R351" s="1311"/>
      <c r="S351" s="1311"/>
      <c r="T351" s="1311"/>
      <c r="U351" s="1311"/>
      <c r="V351" s="1311"/>
      <c r="W351" s="1311"/>
      <c r="X351" s="1311"/>
      <c r="Y351" s="1311"/>
      <c r="Z351" s="1311"/>
      <c r="AA351" s="1311"/>
      <c r="AB351" s="1311"/>
      <c r="AC351" s="1311"/>
      <c r="AD351" s="1309"/>
      <c r="AE351" s="1309"/>
      <c r="AF351" s="1309"/>
      <c r="AG351" s="1309"/>
      <c r="AH351" s="1311">
        <v>1</v>
      </c>
      <c r="AI351" s="1309"/>
      <c r="AJ351" s="1313"/>
    </row>
    <row r="352" spans="1:43" s="1314" customFormat="1" ht="69" customHeight="1">
      <c r="A352" s="1309"/>
      <c r="B352" s="1323" t="s">
        <v>5572</v>
      </c>
      <c r="C352" s="1310"/>
      <c r="D352" s="1311"/>
      <c r="E352" s="1311"/>
      <c r="F352" s="1311"/>
      <c r="G352" s="1311">
        <v>1</v>
      </c>
      <c r="H352" s="1311"/>
      <c r="I352" s="1311"/>
      <c r="J352" s="1311"/>
      <c r="K352" s="1311"/>
      <c r="L352" s="1311"/>
      <c r="M352" s="1311"/>
      <c r="N352" s="1311"/>
      <c r="O352" s="1311"/>
      <c r="P352" s="1311"/>
      <c r="Q352" s="1311"/>
      <c r="R352" s="1311"/>
      <c r="S352" s="1311"/>
      <c r="T352" s="1311"/>
      <c r="U352" s="1311"/>
      <c r="V352" s="1311"/>
      <c r="W352" s="1311"/>
      <c r="X352" s="1311"/>
      <c r="Y352" s="1311"/>
      <c r="Z352" s="1311"/>
      <c r="AA352" s="1311">
        <v>4</v>
      </c>
      <c r="AB352" s="1311"/>
      <c r="AC352" s="1311"/>
      <c r="AD352" s="1309"/>
      <c r="AE352" s="1309"/>
      <c r="AF352" s="1309"/>
      <c r="AG352" s="1309"/>
      <c r="AH352" s="1309"/>
      <c r="AI352" s="1309"/>
      <c r="AJ352" s="1313"/>
    </row>
    <row r="353" spans="1:43" s="1314" customFormat="1" ht="69" customHeight="1">
      <c r="A353" s="1315"/>
      <c r="B353" s="1323" t="s">
        <v>5573</v>
      </c>
      <c r="C353" s="1310"/>
      <c r="D353" s="1311"/>
      <c r="E353" s="1311"/>
      <c r="F353" s="1311"/>
      <c r="G353" s="1311"/>
      <c r="H353" s="1311"/>
      <c r="I353" s="1311"/>
      <c r="J353" s="1311"/>
      <c r="K353" s="1311"/>
      <c r="L353" s="1311"/>
      <c r="M353" s="1311"/>
      <c r="N353" s="1311"/>
      <c r="O353" s="1311">
        <v>1</v>
      </c>
      <c r="P353" s="1311"/>
      <c r="Q353" s="1311"/>
      <c r="R353" s="1311"/>
      <c r="S353" s="1311"/>
      <c r="T353" s="1311"/>
      <c r="U353" s="1311"/>
      <c r="V353" s="1311"/>
      <c r="W353" s="1311"/>
      <c r="X353" s="1311"/>
      <c r="Y353" s="1311"/>
      <c r="Z353" s="1311"/>
      <c r="AA353" s="1311"/>
      <c r="AB353" s="1311"/>
      <c r="AC353" s="1311"/>
      <c r="AD353" s="1309"/>
      <c r="AE353" s="1309"/>
      <c r="AF353" s="1309"/>
      <c r="AG353" s="1309"/>
      <c r="AH353" s="1309">
        <v>1</v>
      </c>
      <c r="AI353" s="1309"/>
      <c r="AJ353" s="1313"/>
    </row>
    <row r="354" spans="1:43" s="1317" customFormat="1" ht="69" customHeight="1">
      <c r="A354" s="1309"/>
      <c r="B354" s="1323" t="s">
        <v>5549</v>
      </c>
      <c r="C354" s="1310"/>
      <c r="D354" s="1311"/>
      <c r="E354" s="1311"/>
      <c r="F354" s="1311"/>
      <c r="G354" s="1311"/>
      <c r="H354" s="1311"/>
      <c r="I354" s="1311"/>
      <c r="J354" s="1311"/>
      <c r="K354" s="1311"/>
      <c r="L354" s="1311">
        <v>1</v>
      </c>
      <c r="M354" s="1311"/>
      <c r="N354" s="1311"/>
      <c r="O354" s="1311"/>
      <c r="P354" s="1311"/>
      <c r="Q354" s="1311"/>
      <c r="R354" s="1311"/>
      <c r="S354" s="1311"/>
      <c r="T354" s="1311"/>
      <c r="U354" s="1311"/>
      <c r="V354" s="1311"/>
      <c r="W354" s="1311"/>
      <c r="X354" s="1311"/>
      <c r="Y354" s="1311">
        <v>1</v>
      </c>
      <c r="Z354" s="1311"/>
      <c r="AA354" s="1311"/>
      <c r="AB354" s="1311"/>
      <c r="AC354" s="1311"/>
      <c r="AD354" s="1309"/>
      <c r="AE354" s="1309"/>
      <c r="AF354" s="1309"/>
      <c r="AG354" s="1309"/>
      <c r="AH354" s="1309"/>
      <c r="AI354" s="1309"/>
      <c r="AJ354" s="1316"/>
      <c r="AP354" s="1317" t="s">
        <v>254</v>
      </c>
      <c r="AQ354" s="1317" t="s">
        <v>5541</v>
      </c>
    </row>
    <row r="355" spans="1:43" s="1314" customFormat="1" ht="69" customHeight="1">
      <c r="A355" s="1315"/>
      <c r="B355" s="1323" t="s">
        <v>5574</v>
      </c>
      <c r="C355" s="1310"/>
      <c r="D355" s="1311"/>
      <c r="E355" s="1311"/>
      <c r="F355" s="1311"/>
      <c r="G355" s="1311">
        <v>1</v>
      </c>
      <c r="H355" s="1311"/>
      <c r="I355" s="1311"/>
      <c r="J355" s="1311"/>
      <c r="K355" s="1311"/>
      <c r="L355" s="1311"/>
      <c r="M355" s="1311"/>
      <c r="N355" s="1311"/>
      <c r="O355" s="1311"/>
      <c r="P355" s="1311"/>
      <c r="Q355" s="1311"/>
      <c r="R355" s="1311"/>
      <c r="S355" s="1311"/>
      <c r="T355" s="1311"/>
      <c r="U355" s="1311"/>
      <c r="V355" s="1311"/>
      <c r="W355" s="1311"/>
      <c r="X355" s="1311"/>
      <c r="Y355" s="1311"/>
      <c r="Z355" s="1311"/>
      <c r="AA355" s="1311"/>
      <c r="AB355" s="1311"/>
      <c r="AC355" s="1311"/>
      <c r="AD355" s="1309">
        <v>1</v>
      </c>
      <c r="AE355" s="1309"/>
      <c r="AF355" s="1309"/>
      <c r="AG355" s="1309"/>
      <c r="AH355" s="1309"/>
      <c r="AI355" s="1309"/>
      <c r="AJ355" s="1313"/>
    </row>
    <row r="356" spans="1:43" s="1314" customFormat="1" ht="69" customHeight="1">
      <c r="A356" s="1315"/>
      <c r="B356" s="1323" t="s">
        <v>5575</v>
      </c>
      <c r="C356" s="1310"/>
      <c r="D356" s="1311"/>
      <c r="E356" s="1311"/>
      <c r="F356" s="1311">
        <v>1</v>
      </c>
      <c r="G356" s="1311"/>
      <c r="H356" s="1311"/>
      <c r="I356" s="1311"/>
      <c r="J356" s="1311"/>
      <c r="K356" s="1311"/>
      <c r="L356" s="1311"/>
      <c r="M356" s="1311"/>
      <c r="N356" s="1311"/>
      <c r="O356" s="1311"/>
      <c r="P356" s="1311"/>
      <c r="Q356" s="1311"/>
      <c r="R356" s="1311"/>
      <c r="S356" s="1311"/>
      <c r="T356" s="1311"/>
      <c r="U356" s="1311"/>
      <c r="V356" s="1311"/>
      <c r="W356" s="1311"/>
      <c r="X356" s="1311"/>
      <c r="Y356" s="1311"/>
      <c r="Z356" s="1311"/>
      <c r="AA356" s="1311">
        <v>1</v>
      </c>
      <c r="AB356" s="1311"/>
      <c r="AC356" s="1311"/>
      <c r="AD356" s="1309"/>
      <c r="AE356" s="1309"/>
      <c r="AF356" s="1309"/>
      <c r="AG356" s="1309"/>
      <c r="AH356" s="1309"/>
      <c r="AI356" s="1309"/>
      <c r="AJ356" s="1313"/>
    </row>
    <row r="357" spans="1:43" s="1314" customFormat="1" ht="69" customHeight="1">
      <c r="A357" s="1315"/>
      <c r="B357" s="1323" t="s">
        <v>5576</v>
      </c>
      <c r="C357" s="1310"/>
      <c r="D357" s="1311"/>
      <c r="E357" s="1311"/>
      <c r="F357" s="1311"/>
      <c r="G357" s="1311"/>
      <c r="H357" s="1311">
        <v>1</v>
      </c>
      <c r="I357" s="1311"/>
      <c r="J357" s="1311"/>
      <c r="K357" s="1311"/>
      <c r="L357" s="1311"/>
      <c r="M357" s="1311"/>
      <c r="N357" s="1311"/>
      <c r="O357" s="1311"/>
      <c r="P357" s="1311"/>
      <c r="Q357" s="1311"/>
      <c r="R357" s="1311"/>
      <c r="S357" s="1311"/>
      <c r="T357" s="1311"/>
      <c r="U357" s="1311"/>
      <c r="V357" s="1311"/>
      <c r="W357" s="1311"/>
      <c r="X357" s="1311"/>
      <c r="Y357" s="1311"/>
      <c r="Z357" s="1311"/>
      <c r="AA357" s="1311">
        <v>2</v>
      </c>
      <c r="AB357" s="1311">
        <v>5</v>
      </c>
      <c r="AC357" s="1311"/>
      <c r="AD357" s="1309"/>
      <c r="AE357" s="1309"/>
      <c r="AF357" s="1309"/>
      <c r="AG357" s="1309"/>
      <c r="AH357" s="1309"/>
      <c r="AI357" s="1309"/>
      <c r="AJ357" s="1313"/>
    </row>
    <row r="358" spans="1:43" s="1314" customFormat="1" ht="69" customHeight="1">
      <c r="A358" s="1309"/>
      <c r="B358" s="1323" t="s">
        <v>5570</v>
      </c>
      <c r="C358" s="1311"/>
      <c r="D358" s="1311"/>
      <c r="E358" s="1311"/>
      <c r="F358" s="1311"/>
      <c r="G358" s="1311">
        <v>1</v>
      </c>
      <c r="H358" s="1311"/>
      <c r="I358" s="1311"/>
      <c r="J358" s="1311"/>
      <c r="K358" s="1311"/>
      <c r="L358" s="1311"/>
      <c r="M358" s="1311"/>
      <c r="N358" s="1311"/>
      <c r="O358" s="1311"/>
      <c r="P358" s="1311"/>
      <c r="Q358" s="1311"/>
      <c r="R358" s="1311"/>
      <c r="S358" s="1311"/>
      <c r="T358" s="1311"/>
      <c r="U358" s="1311"/>
      <c r="V358" s="1311"/>
      <c r="W358" s="1311"/>
      <c r="X358" s="1311"/>
      <c r="Y358" s="1311"/>
      <c r="Z358" s="1311"/>
      <c r="AA358" s="1311">
        <v>2</v>
      </c>
      <c r="AB358" s="1311"/>
      <c r="AC358" s="1311"/>
      <c r="AD358" s="1309"/>
      <c r="AE358" s="1309"/>
      <c r="AF358" s="1309"/>
      <c r="AG358" s="1309"/>
      <c r="AH358" s="1309"/>
      <c r="AI358" s="1309"/>
      <c r="AJ358" s="1313"/>
    </row>
    <row r="359" spans="1:43" s="1314" customFormat="1" ht="69" customHeight="1">
      <c r="A359" s="1309"/>
      <c r="B359" s="1323" t="s">
        <v>5571</v>
      </c>
      <c r="C359" s="1311"/>
      <c r="D359" s="1311"/>
      <c r="E359" s="1311"/>
      <c r="F359" s="1311"/>
      <c r="G359" s="1311"/>
      <c r="H359" s="1311"/>
      <c r="I359" s="1311"/>
      <c r="J359" s="1311"/>
      <c r="K359" s="1311"/>
      <c r="L359" s="1311"/>
      <c r="M359" s="1311"/>
      <c r="N359" s="1311"/>
      <c r="O359" s="1311">
        <v>2</v>
      </c>
      <c r="P359" s="1311">
        <v>1</v>
      </c>
      <c r="Q359" s="1311"/>
      <c r="R359" s="1311"/>
      <c r="S359" s="1311"/>
      <c r="T359" s="1311"/>
      <c r="U359" s="1311"/>
      <c r="V359" s="1311"/>
      <c r="W359" s="1311"/>
      <c r="X359" s="1311"/>
      <c r="Y359" s="1311"/>
      <c r="Z359" s="1311"/>
      <c r="AA359" s="1311"/>
      <c r="AB359" s="1311"/>
      <c r="AC359" s="1311"/>
      <c r="AD359" s="1309"/>
      <c r="AE359" s="1309"/>
      <c r="AF359" s="1309"/>
      <c r="AG359" s="1309"/>
      <c r="AH359" s="1311">
        <v>2</v>
      </c>
      <c r="AI359" s="1309">
        <v>2</v>
      </c>
      <c r="AJ359" s="1313"/>
    </row>
    <row r="360" spans="1:43" s="1321" customFormat="1" ht="69" customHeight="1">
      <c r="A360" s="1315"/>
      <c r="B360" s="1323" t="s">
        <v>560</v>
      </c>
      <c r="C360" s="1311"/>
      <c r="D360" s="1311"/>
      <c r="E360" s="1311"/>
      <c r="F360" s="1311"/>
      <c r="G360" s="1311">
        <v>1</v>
      </c>
      <c r="H360" s="1311"/>
      <c r="I360" s="1311"/>
      <c r="J360" s="1311"/>
      <c r="K360" s="1311"/>
      <c r="L360" s="1311"/>
      <c r="M360" s="1311"/>
      <c r="N360" s="1311"/>
      <c r="O360" s="1311">
        <v>1</v>
      </c>
      <c r="P360" s="1311"/>
      <c r="Q360" s="1311"/>
      <c r="R360" s="1311"/>
      <c r="S360" s="1311"/>
      <c r="T360" s="1311"/>
      <c r="U360" s="1311"/>
      <c r="V360" s="1311"/>
      <c r="W360" s="1311"/>
      <c r="X360" s="1311"/>
      <c r="Y360" s="1311"/>
      <c r="Z360" s="1311"/>
      <c r="AA360" s="1311"/>
      <c r="AB360" s="1311"/>
      <c r="AC360" s="1311"/>
      <c r="AD360" s="1311"/>
      <c r="AE360" s="1311"/>
      <c r="AF360" s="1311"/>
      <c r="AG360" s="1311"/>
      <c r="AH360" s="1311">
        <v>1</v>
      </c>
      <c r="AI360" s="1309"/>
      <c r="AJ360" s="1320"/>
    </row>
    <row r="361" spans="1:43" s="1321" customFormat="1" ht="69" customHeight="1">
      <c r="A361" s="1309"/>
      <c r="B361" s="1323" t="s">
        <v>5546</v>
      </c>
      <c r="C361" s="1322"/>
      <c r="D361" s="1311"/>
      <c r="E361" s="1311"/>
      <c r="F361" s="1311"/>
      <c r="G361" s="1311"/>
      <c r="H361" s="1311"/>
      <c r="I361" s="1311"/>
      <c r="J361" s="1311"/>
      <c r="K361" s="1311"/>
      <c r="L361" s="1311"/>
      <c r="M361" s="1311"/>
      <c r="N361" s="1311"/>
      <c r="O361" s="1311"/>
      <c r="P361" s="1311"/>
      <c r="Q361" s="1311"/>
      <c r="R361" s="1311"/>
      <c r="S361" s="1311"/>
      <c r="T361" s="1311"/>
      <c r="U361" s="1311">
        <v>1</v>
      </c>
      <c r="V361" s="1311"/>
      <c r="W361" s="1311"/>
      <c r="X361" s="1311">
        <v>1</v>
      </c>
      <c r="Y361" s="1311"/>
      <c r="Z361" s="1311"/>
      <c r="AA361" s="1311"/>
      <c r="AB361" s="1311"/>
      <c r="AC361" s="1311"/>
      <c r="AD361" s="1309"/>
      <c r="AE361" s="1309"/>
      <c r="AF361" s="1309"/>
      <c r="AG361" s="1309"/>
      <c r="AH361" s="1309"/>
      <c r="AI361" s="1309"/>
      <c r="AJ361" s="1320"/>
    </row>
    <row r="362" spans="1:43" s="1321" customFormat="1" ht="69" customHeight="1">
      <c r="A362" s="1309"/>
      <c r="B362" s="1323" t="s">
        <v>5555</v>
      </c>
      <c r="C362" s="1310"/>
      <c r="D362" s="1311"/>
      <c r="E362" s="1311"/>
      <c r="F362" s="1311"/>
      <c r="G362" s="1311"/>
      <c r="H362" s="1311"/>
      <c r="I362" s="1311"/>
      <c r="J362" s="1311"/>
      <c r="K362" s="1311">
        <v>1</v>
      </c>
      <c r="L362" s="1311"/>
      <c r="M362" s="1311"/>
      <c r="N362" s="1311"/>
      <c r="O362" s="1311"/>
      <c r="P362" s="1311"/>
      <c r="Q362" s="1311"/>
      <c r="R362" s="1311"/>
      <c r="S362" s="1311"/>
      <c r="T362" s="1311"/>
      <c r="U362" s="1311"/>
      <c r="V362" s="1311"/>
      <c r="W362" s="1311"/>
      <c r="X362" s="1311"/>
      <c r="Y362" s="1311"/>
      <c r="Z362" s="1311"/>
      <c r="AA362" s="1311"/>
      <c r="AB362" s="1311"/>
      <c r="AC362" s="1311"/>
      <c r="AD362" s="1311"/>
      <c r="AE362" s="1311"/>
      <c r="AF362" s="1311"/>
      <c r="AG362" s="1311"/>
      <c r="AH362" s="1311"/>
      <c r="AI362" s="1311"/>
      <c r="AJ362" s="1320"/>
    </row>
    <row r="363" spans="1:43" s="1321" customFormat="1" ht="69" customHeight="1">
      <c r="A363" s="1309"/>
      <c r="B363" s="1323" t="s">
        <v>5581</v>
      </c>
      <c r="C363" s="1311">
        <f>SUM(C348:C362)</f>
        <v>0</v>
      </c>
      <c r="D363" s="1311">
        <f t="shared" ref="D363:AI363" si="52">SUM(D348:D362)</f>
        <v>1</v>
      </c>
      <c r="E363" s="1311">
        <f t="shared" si="52"/>
        <v>0</v>
      </c>
      <c r="F363" s="1311">
        <f t="shared" si="52"/>
        <v>1</v>
      </c>
      <c r="G363" s="1311">
        <f t="shared" si="52"/>
        <v>5</v>
      </c>
      <c r="H363" s="1311">
        <f t="shared" si="52"/>
        <v>1</v>
      </c>
      <c r="I363" s="1311">
        <f t="shared" si="52"/>
        <v>0</v>
      </c>
      <c r="J363" s="1311">
        <f t="shared" si="52"/>
        <v>0</v>
      </c>
      <c r="K363" s="1311">
        <f t="shared" si="52"/>
        <v>1</v>
      </c>
      <c r="L363" s="1311">
        <f t="shared" si="52"/>
        <v>1</v>
      </c>
      <c r="M363" s="1311">
        <f t="shared" si="52"/>
        <v>0</v>
      </c>
      <c r="N363" s="1311">
        <f t="shared" si="52"/>
        <v>0</v>
      </c>
      <c r="O363" s="1311">
        <f t="shared" si="52"/>
        <v>5</v>
      </c>
      <c r="P363" s="1311">
        <f t="shared" si="52"/>
        <v>1</v>
      </c>
      <c r="Q363" s="1311">
        <f t="shared" si="52"/>
        <v>0</v>
      </c>
      <c r="R363" s="1311">
        <f t="shared" si="52"/>
        <v>2</v>
      </c>
      <c r="S363" s="1311">
        <f t="shared" si="52"/>
        <v>0</v>
      </c>
      <c r="T363" s="1311">
        <f t="shared" si="52"/>
        <v>0</v>
      </c>
      <c r="U363" s="1311">
        <f t="shared" si="52"/>
        <v>1</v>
      </c>
      <c r="V363" s="1311">
        <f t="shared" si="52"/>
        <v>2</v>
      </c>
      <c r="W363" s="1311">
        <f t="shared" si="52"/>
        <v>0</v>
      </c>
      <c r="X363" s="1311">
        <f t="shared" si="52"/>
        <v>1</v>
      </c>
      <c r="Y363" s="1311">
        <f t="shared" si="52"/>
        <v>1</v>
      </c>
      <c r="Z363" s="1311">
        <f t="shared" si="52"/>
        <v>0</v>
      </c>
      <c r="AA363" s="1311">
        <f t="shared" si="52"/>
        <v>13</v>
      </c>
      <c r="AB363" s="1311">
        <f t="shared" si="52"/>
        <v>5</v>
      </c>
      <c r="AC363" s="1311">
        <f t="shared" si="52"/>
        <v>2</v>
      </c>
      <c r="AD363" s="1311">
        <f t="shared" si="52"/>
        <v>3</v>
      </c>
      <c r="AE363" s="1311">
        <f t="shared" si="52"/>
        <v>0</v>
      </c>
      <c r="AF363" s="1311">
        <f t="shared" si="52"/>
        <v>0</v>
      </c>
      <c r="AG363" s="1311">
        <f t="shared" si="52"/>
        <v>0</v>
      </c>
      <c r="AH363" s="1311">
        <f t="shared" si="52"/>
        <v>5</v>
      </c>
      <c r="AI363" s="1311">
        <f t="shared" si="52"/>
        <v>2</v>
      </c>
      <c r="AJ363" s="1320"/>
    </row>
    <row r="364" spans="1:43" s="6" customFormat="1" ht="81.75" customHeight="1">
      <c r="A364" s="1309"/>
      <c r="B364" s="1323"/>
      <c r="C364" s="1310"/>
      <c r="D364" s="1311"/>
      <c r="E364" s="1311"/>
      <c r="F364" s="1311"/>
      <c r="G364" s="1311"/>
      <c r="H364" s="1311"/>
      <c r="I364" s="1311"/>
      <c r="J364" s="1311"/>
      <c r="K364" s="1311"/>
      <c r="L364" s="1311"/>
      <c r="M364" s="1311"/>
      <c r="N364" s="1311"/>
      <c r="O364" s="1311"/>
      <c r="P364" s="1311"/>
      <c r="Q364" s="1311"/>
      <c r="R364" s="1311"/>
      <c r="S364" s="1311"/>
      <c r="T364" s="1311"/>
      <c r="U364" s="1311"/>
      <c r="V364" s="1311"/>
      <c r="W364" s="1311"/>
      <c r="X364" s="1311"/>
      <c r="Y364" s="1311"/>
      <c r="Z364" s="1311"/>
      <c r="AA364" s="1311"/>
      <c r="AB364" s="1311"/>
      <c r="AC364" s="1311"/>
      <c r="AD364" s="1312"/>
      <c r="AE364" s="1312"/>
      <c r="AF364" s="1312"/>
      <c r="AG364" s="1312"/>
      <c r="AH364" s="1312"/>
      <c r="AI364" s="1312"/>
      <c r="AJ364" s="5"/>
    </row>
    <row r="365" spans="1:43" s="6" customFormat="1" ht="81.75" customHeight="1">
      <c r="A365" s="1309"/>
      <c r="B365" s="1323"/>
      <c r="C365" s="1309" t="s">
        <v>189</v>
      </c>
      <c r="D365" s="1311" t="s">
        <v>5507</v>
      </c>
      <c r="E365" s="1311" t="s">
        <v>5508</v>
      </c>
      <c r="F365" s="1311" t="s">
        <v>5509</v>
      </c>
      <c r="G365" s="1311" t="s">
        <v>25</v>
      </c>
      <c r="H365" s="1311" t="s">
        <v>342</v>
      </c>
      <c r="I365" s="1311" t="s">
        <v>193</v>
      </c>
      <c r="J365" s="1311" t="s">
        <v>195</v>
      </c>
      <c r="K365" s="1311" t="s">
        <v>256</v>
      </c>
      <c r="L365" s="1311" t="s">
        <v>5510</v>
      </c>
      <c r="M365" s="1311" t="s">
        <v>5517</v>
      </c>
      <c r="N365" s="1311" t="s">
        <v>5519</v>
      </c>
      <c r="O365" s="1311" t="s">
        <v>188</v>
      </c>
      <c r="P365" s="1311" t="s">
        <v>5577</v>
      </c>
      <c r="Q365" s="1311" t="s">
        <v>5516</v>
      </c>
      <c r="R365" s="1311" t="s">
        <v>190</v>
      </c>
      <c r="S365" s="1311" t="s">
        <v>5511</v>
      </c>
      <c r="T365" s="1311" t="s">
        <v>5512</v>
      </c>
      <c r="U365" s="1311" t="s">
        <v>5513</v>
      </c>
      <c r="V365" s="1311" t="s">
        <v>5514</v>
      </c>
      <c r="W365" s="1311" t="s">
        <v>5515</v>
      </c>
      <c r="X365" s="1311" t="s">
        <v>252</v>
      </c>
      <c r="Y365" s="1311" t="s">
        <v>248</v>
      </c>
      <c r="Z365" s="1311" t="s">
        <v>249</v>
      </c>
      <c r="AA365" s="1311" t="s">
        <v>250</v>
      </c>
      <c r="AB365" s="1311" t="s">
        <v>251</v>
      </c>
      <c r="AC365" s="1311" t="s">
        <v>5518</v>
      </c>
      <c r="AD365" s="1311" t="s">
        <v>255</v>
      </c>
      <c r="AE365" s="1311" t="s">
        <v>254</v>
      </c>
      <c r="AF365" s="1311" t="s">
        <v>253</v>
      </c>
      <c r="AG365" s="1311" t="s">
        <v>372</v>
      </c>
      <c r="AH365" s="1311" t="s">
        <v>257</v>
      </c>
      <c r="AI365" s="1311" t="s">
        <v>5520</v>
      </c>
      <c r="AJ365" s="5"/>
    </row>
    <row r="366" spans="1:43" s="6" customFormat="1" ht="164.25" customHeight="1">
      <c r="A366" s="1309"/>
      <c r="B366" s="1323"/>
      <c r="C366" s="1325" t="s">
        <v>5522</v>
      </c>
      <c r="D366" s="1325" t="s">
        <v>5523</v>
      </c>
      <c r="E366" s="1325" t="s">
        <v>5524</v>
      </c>
      <c r="F366" s="1325" t="s">
        <v>5525</v>
      </c>
      <c r="G366" s="1325" t="s">
        <v>5524</v>
      </c>
      <c r="H366" s="1325" t="s">
        <v>5524</v>
      </c>
      <c r="I366" s="1325" t="s">
        <v>5526</v>
      </c>
      <c r="J366" s="1325" t="s">
        <v>5528</v>
      </c>
      <c r="K366" s="1325" t="s">
        <v>5529</v>
      </c>
      <c r="L366" s="1325" t="s">
        <v>5524</v>
      </c>
      <c r="M366" s="1325" t="s">
        <v>5524</v>
      </c>
      <c r="N366" s="1325" t="s">
        <v>5524</v>
      </c>
      <c r="O366" s="1325" t="s">
        <v>5525</v>
      </c>
      <c r="P366" s="1325" t="s">
        <v>5526</v>
      </c>
      <c r="Q366" s="1325" t="s">
        <v>5530</v>
      </c>
      <c r="R366" s="1325" t="s">
        <v>5531</v>
      </c>
      <c r="S366" s="1325" t="s">
        <v>5530</v>
      </c>
      <c r="T366" s="1325" t="s">
        <v>5532</v>
      </c>
      <c r="U366" s="1325" t="s">
        <v>5533</v>
      </c>
      <c r="V366" s="1325" t="s">
        <v>5534</v>
      </c>
      <c r="W366" s="1325" t="s">
        <v>5535</v>
      </c>
      <c r="X366" s="1325" t="s">
        <v>5536</v>
      </c>
      <c r="Y366" s="1325" t="s">
        <v>5536</v>
      </c>
      <c r="Z366" s="1325" t="s">
        <v>5535</v>
      </c>
      <c r="AA366" s="1325" t="s">
        <v>5537</v>
      </c>
      <c r="AB366" s="1325" t="s">
        <v>5538</v>
      </c>
      <c r="AC366" s="1325" t="s">
        <v>5539</v>
      </c>
      <c r="AD366" s="1325" t="s">
        <v>5540</v>
      </c>
      <c r="AE366" s="1325" t="s">
        <v>5541</v>
      </c>
      <c r="AF366" s="1325" t="s">
        <v>5542</v>
      </c>
      <c r="AG366" s="1325" t="s">
        <v>5543</v>
      </c>
      <c r="AH366" s="1325" t="s">
        <v>5544</v>
      </c>
      <c r="AI366" s="1325" t="s">
        <v>5544</v>
      </c>
      <c r="AJ366" s="5"/>
    </row>
    <row r="367" spans="1:43" s="1314" customFormat="1" ht="69" customHeight="1">
      <c r="A367" s="1309"/>
      <c r="B367" s="1323" t="s">
        <v>262</v>
      </c>
      <c r="C367" s="1310"/>
      <c r="D367" s="1311"/>
      <c r="E367" s="1311"/>
      <c r="F367" s="1311"/>
      <c r="G367" s="1311"/>
      <c r="H367" s="1311"/>
      <c r="I367" s="1311"/>
      <c r="J367" s="1311"/>
      <c r="K367" s="1311"/>
      <c r="L367" s="1311"/>
      <c r="M367" s="1311"/>
      <c r="N367" s="1311"/>
      <c r="O367" s="1311"/>
      <c r="P367" s="1311"/>
      <c r="Q367" s="1311"/>
      <c r="R367" s="1311"/>
      <c r="S367" s="1311"/>
      <c r="T367" s="1311"/>
      <c r="U367" s="1311"/>
      <c r="V367" s="1311"/>
      <c r="W367" s="1311"/>
      <c r="X367" s="1311"/>
      <c r="Y367" s="1311"/>
      <c r="Z367" s="1311"/>
      <c r="AA367" s="1311"/>
      <c r="AB367" s="1311"/>
      <c r="AC367" s="1311"/>
      <c r="AD367" s="1312"/>
      <c r="AE367" s="1312"/>
      <c r="AF367" s="1312"/>
      <c r="AG367" s="1312"/>
      <c r="AH367" s="1312"/>
      <c r="AI367" s="1312"/>
      <c r="AJ367" s="1313"/>
    </row>
    <row r="368" spans="1:43" s="1314" customFormat="1" ht="69" customHeight="1">
      <c r="A368" s="1315"/>
      <c r="B368" s="1338" t="s">
        <v>5578</v>
      </c>
      <c r="C368" s="1315"/>
      <c r="D368" s="1315"/>
      <c r="E368" s="1315"/>
      <c r="F368" s="1315">
        <v>1</v>
      </c>
      <c r="G368" s="1315"/>
      <c r="H368" s="1315"/>
      <c r="I368" s="1315"/>
      <c r="J368" s="1315"/>
      <c r="K368" s="1315"/>
      <c r="L368" s="1315"/>
      <c r="M368" s="1315">
        <v>1</v>
      </c>
      <c r="N368" s="1315"/>
      <c r="O368" s="1315"/>
      <c r="P368" s="1315"/>
      <c r="Q368" s="1315"/>
      <c r="R368" s="1315"/>
      <c r="S368" s="1315"/>
      <c r="T368" s="1315"/>
      <c r="U368" s="1315"/>
      <c r="V368" s="1315"/>
      <c r="W368" s="1315"/>
      <c r="X368" s="1315">
        <v>1</v>
      </c>
      <c r="Y368" s="1315"/>
      <c r="Z368" s="1315">
        <v>1</v>
      </c>
      <c r="AA368" s="1315">
        <v>1</v>
      </c>
      <c r="AB368" s="1315">
        <v>1</v>
      </c>
      <c r="AC368" s="1315">
        <f>SUM(AC352:AC367)</f>
        <v>2</v>
      </c>
      <c r="AD368" s="1312"/>
      <c r="AE368" s="1312"/>
      <c r="AF368" s="1312"/>
      <c r="AG368" s="1312"/>
      <c r="AH368" s="1312"/>
      <c r="AI368" s="1312"/>
      <c r="AJ368" s="1313"/>
    </row>
    <row r="369" spans="1:36" s="1317" customFormat="1" ht="69" customHeight="1">
      <c r="A369" s="1309"/>
      <c r="B369" s="1323" t="s">
        <v>5580</v>
      </c>
      <c r="C369" s="1311">
        <f>SUM(C367:C368)</f>
        <v>0</v>
      </c>
      <c r="D369" s="1311">
        <f t="shared" ref="D369:AH369" si="53">SUM(D367:D368)</f>
        <v>0</v>
      </c>
      <c r="E369" s="1311">
        <f t="shared" si="53"/>
        <v>0</v>
      </c>
      <c r="F369" s="1311">
        <f t="shared" si="53"/>
        <v>1</v>
      </c>
      <c r="G369" s="1311">
        <f t="shared" si="53"/>
        <v>0</v>
      </c>
      <c r="H369" s="1311">
        <f t="shared" si="53"/>
        <v>0</v>
      </c>
      <c r="I369" s="1311">
        <f t="shared" si="53"/>
        <v>0</v>
      </c>
      <c r="J369" s="1311">
        <f t="shared" si="53"/>
        <v>0</v>
      </c>
      <c r="K369" s="1311">
        <f t="shared" si="53"/>
        <v>0</v>
      </c>
      <c r="L369" s="1311">
        <f t="shared" si="53"/>
        <v>0</v>
      </c>
      <c r="M369" s="1311">
        <f t="shared" si="53"/>
        <v>1</v>
      </c>
      <c r="N369" s="1311">
        <f t="shared" si="53"/>
        <v>0</v>
      </c>
      <c r="O369" s="1311">
        <f t="shared" si="53"/>
        <v>0</v>
      </c>
      <c r="P369" s="1311">
        <f t="shared" si="53"/>
        <v>0</v>
      </c>
      <c r="Q369" s="1311">
        <f t="shared" si="53"/>
        <v>0</v>
      </c>
      <c r="R369" s="1311">
        <f t="shared" si="53"/>
        <v>0</v>
      </c>
      <c r="S369" s="1311">
        <f t="shared" si="53"/>
        <v>0</v>
      </c>
      <c r="T369" s="1311">
        <f t="shared" si="53"/>
        <v>0</v>
      </c>
      <c r="U369" s="1311">
        <f t="shared" si="53"/>
        <v>0</v>
      </c>
      <c r="V369" s="1311">
        <f t="shared" si="53"/>
        <v>0</v>
      </c>
      <c r="W369" s="1311">
        <f t="shared" si="53"/>
        <v>0</v>
      </c>
      <c r="X369" s="1311">
        <f t="shared" si="53"/>
        <v>1</v>
      </c>
      <c r="Y369" s="1311">
        <f t="shared" si="53"/>
        <v>0</v>
      </c>
      <c r="Z369" s="1311">
        <f t="shared" si="53"/>
        <v>1</v>
      </c>
      <c r="AA369" s="1311">
        <f t="shared" si="53"/>
        <v>1</v>
      </c>
      <c r="AB369" s="1311">
        <f t="shared" si="53"/>
        <v>1</v>
      </c>
      <c r="AC369" s="1311">
        <f t="shared" si="53"/>
        <v>2</v>
      </c>
      <c r="AD369" s="1311">
        <f t="shared" si="53"/>
        <v>0</v>
      </c>
      <c r="AE369" s="1311">
        <f t="shared" si="53"/>
        <v>0</v>
      </c>
      <c r="AF369" s="1311">
        <f t="shared" si="53"/>
        <v>0</v>
      </c>
      <c r="AG369" s="1311">
        <f t="shared" si="53"/>
        <v>0</v>
      </c>
      <c r="AH369" s="1311">
        <f t="shared" si="53"/>
        <v>0</v>
      </c>
      <c r="AI369" s="1309"/>
      <c r="AJ369" s="1316"/>
    </row>
    <row r="370" spans="1:36" s="1317" customFormat="1" ht="69" customHeight="1">
      <c r="A370" s="1318"/>
      <c r="B370" s="1323" t="s">
        <v>5579</v>
      </c>
      <c r="C370" s="1319">
        <f>C369+C363+C344+C324+C299</f>
        <v>1</v>
      </c>
      <c r="D370" s="1319">
        <f t="shared" ref="D370:AI370" si="54">D369+D363+D344+D324+D299</f>
        <v>4</v>
      </c>
      <c r="E370" s="1319">
        <f t="shared" si="54"/>
        <v>1</v>
      </c>
      <c r="F370" s="1319">
        <f t="shared" si="54"/>
        <v>4</v>
      </c>
      <c r="G370" s="1319">
        <f t="shared" si="54"/>
        <v>16</v>
      </c>
      <c r="H370" s="1319">
        <f t="shared" si="54"/>
        <v>1</v>
      </c>
      <c r="I370" s="1319">
        <f t="shared" si="54"/>
        <v>4</v>
      </c>
      <c r="J370" s="1319">
        <f t="shared" si="54"/>
        <v>4</v>
      </c>
      <c r="K370" s="1319">
        <f t="shared" si="54"/>
        <v>4</v>
      </c>
      <c r="L370" s="1319">
        <f t="shared" si="54"/>
        <v>4</v>
      </c>
      <c r="M370" s="1319">
        <f t="shared" si="54"/>
        <v>1</v>
      </c>
      <c r="N370" s="1319">
        <f t="shared" si="54"/>
        <v>1</v>
      </c>
      <c r="O370" s="1319">
        <f t="shared" si="54"/>
        <v>14</v>
      </c>
      <c r="P370" s="1319">
        <f t="shared" si="54"/>
        <v>1</v>
      </c>
      <c r="Q370" s="1319">
        <f t="shared" si="54"/>
        <v>1</v>
      </c>
      <c r="R370" s="1319">
        <f t="shared" si="54"/>
        <v>6</v>
      </c>
      <c r="S370" s="1319">
        <f t="shared" si="54"/>
        <v>2</v>
      </c>
      <c r="T370" s="1319">
        <f t="shared" si="54"/>
        <v>1</v>
      </c>
      <c r="U370" s="1319">
        <f t="shared" si="54"/>
        <v>3</v>
      </c>
      <c r="V370" s="1319">
        <f t="shared" si="54"/>
        <v>6</v>
      </c>
      <c r="W370" s="1319">
        <f t="shared" si="54"/>
        <v>1</v>
      </c>
      <c r="X370" s="1319">
        <f t="shared" si="54"/>
        <v>4</v>
      </c>
      <c r="Y370" s="1319">
        <f t="shared" si="54"/>
        <v>3</v>
      </c>
      <c r="Z370" s="1319">
        <f t="shared" si="54"/>
        <v>2</v>
      </c>
      <c r="AA370" s="1319">
        <f t="shared" si="54"/>
        <v>37</v>
      </c>
      <c r="AB370" s="1319">
        <f t="shared" si="54"/>
        <v>15</v>
      </c>
      <c r="AC370" s="1319">
        <f t="shared" si="54"/>
        <v>6</v>
      </c>
      <c r="AD370" s="1319">
        <f t="shared" si="54"/>
        <v>5</v>
      </c>
      <c r="AE370" s="1319">
        <f t="shared" si="54"/>
        <v>1</v>
      </c>
      <c r="AF370" s="1319">
        <f t="shared" si="54"/>
        <v>4</v>
      </c>
      <c r="AG370" s="1319">
        <f t="shared" si="54"/>
        <v>4</v>
      </c>
      <c r="AH370" s="1319">
        <f t="shared" si="54"/>
        <v>16</v>
      </c>
      <c r="AI370" s="1319">
        <f t="shared" si="54"/>
        <v>2</v>
      </c>
    </row>
    <row r="371" spans="1:36">
      <c r="A371" s="120"/>
      <c r="B371" s="212"/>
      <c r="C371" s="145"/>
      <c r="D371" s="146"/>
      <c r="E371" s="120"/>
      <c r="F371" s="120"/>
      <c r="G371" s="120"/>
      <c r="H371" s="120"/>
      <c r="I371" s="1303"/>
      <c r="J371" s="1303"/>
    </row>
    <row r="372" spans="1:36">
      <c r="A372" s="120"/>
      <c r="B372" s="212"/>
      <c r="C372" s="145"/>
      <c r="D372" s="146"/>
      <c r="E372" s="120"/>
      <c r="F372" s="120"/>
      <c r="G372" s="120"/>
      <c r="H372" s="120"/>
      <c r="I372" s="1303"/>
      <c r="J372" s="1303"/>
    </row>
    <row r="373" spans="1:36">
      <c r="A373" s="120"/>
      <c r="B373" s="212"/>
      <c r="C373" s="145"/>
      <c r="D373" s="146"/>
      <c r="E373" s="120"/>
      <c r="F373" s="120"/>
      <c r="G373" s="120"/>
      <c r="H373" s="120"/>
      <c r="I373" s="1303"/>
      <c r="J373" s="142"/>
      <c r="K373" s="143"/>
    </row>
    <row r="374" spans="1:36">
      <c r="A374" s="120"/>
      <c r="B374" s="212"/>
      <c r="C374" s="145"/>
      <c r="D374" s="146"/>
      <c r="E374" s="120"/>
      <c r="F374" s="120"/>
      <c r="G374" s="120"/>
      <c r="H374" s="1302"/>
      <c r="I374" s="142"/>
      <c r="J374" s="142"/>
      <c r="K374" s="143"/>
    </row>
    <row r="375" spans="1:36">
      <c r="A375" s="202"/>
      <c r="B375" s="210"/>
      <c r="C375" s="121"/>
      <c r="D375" s="122"/>
      <c r="E375" s="120"/>
      <c r="F375" s="120"/>
      <c r="G375" s="120"/>
      <c r="H375" s="120"/>
      <c r="I375" s="1303"/>
      <c r="J375" s="1303"/>
    </row>
    <row r="376" spans="1:36">
      <c r="A376" s="202"/>
      <c r="B376" s="212"/>
      <c r="C376" s="145"/>
      <c r="D376" s="146"/>
      <c r="E376" s="120"/>
      <c r="F376" s="120"/>
      <c r="G376" s="120"/>
      <c r="H376" s="120"/>
      <c r="I376" s="1303"/>
      <c r="J376" s="1303"/>
    </row>
    <row r="377" spans="1:36">
      <c r="A377" s="202"/>
      <c r="B377" s="212"/>
      <c r="C377" s="145"/>
      <c r="D377" s="146"/>
      <c r="E377" s="120"/>
      <c r="F377" s="120"/>
      <c r="G377" s="120"/>
      <c r="H377" s="1302"/>
      <c r="I377" s="142"/>
      <c r="J377" s="142"/>
      <c r="K377" s="143"/>
    </row>
    <row r="378" spans="1:36">
      <c r="A378" s="120"/>
      <c r="B378" s="212"/>
      <c r="C378" s="145"/>
      <c r="D378" s="146"/>
      <c r="E378" s="120"/>
      <c r="F378" s="120"/>
      <c r="G378" s="120"/>
      <c r="H378" s="120"/>
      <c r="I378" s="1303"/>
      <c r="J378" s="142"/>
      <c r="K378" s="143"/>
    </row>
    <row r="379" spans="1:36">
      <c r="A379" s="1302"/>
      <c r="B379" s="210"/>
      <c r="C379" s="121"/>
      <c r="D379" s="122"/>
      <c r="E379" s="120"/>
      <c r="F379" s="120"/>
      <c r="G379" s="120"/>
      <c r="H379" s="120"/>
      <c r="I379" s="1303"/>
      <c r="J379" s="1303"/>
    </row>
    <row r="380" spans="1:36">
      <c r="A380" s="120"/>
      <c r="B380" s="212"/>
      <c r="C380" s="145"/>
      <c r="D380" s="146"/>
      <c r="E380" s="120"/>
      <c r="F380" s="120"/>
      <c r="G380" s="120"/>
      <c r="H380" s="120"/>
      <c r="I380" s="1303"/>
      <c r="J380" s="1303"/>
    </row>
    <row r="381" spans="1:36">
      <c r="A381" s="120"/>
      <c r="B381" s="212"/>
      <c r="C381" s="145"/>
      <c r="D381" s="146"/>
      <c r="E381" s="120"/>
      <c r="F381" s="120"/>
      <c r="G381" s="120"/>
      <c r="H381" s="120"/>
      <c r="I381" s="1303"/>
      <c r="J381" s="1303"/>
    </row>
    <row r="382" spans="1:36">
      <c r="A382" s="120"/>
      <c r="B382" s="212"/>
      <c r="C382" s="145"/>
      <c r="D382" s="146"/>
      <c r="E382" s="120"/>
      <c r="F382" s="120"/>
      <c r="G382" s="120"/>
      <c r="H382" s="120"/>
      <c r="I382" s="1303"/>
      <c r="J382" s="1303"/>
    </row>
    <row r="383" spans="1:36" s="158" customFormat="1">
      <c r="A383" s="153"/>
      <c r="B383" s="1336"/>
      <c r="C383" s="154"/>
      <c r="D383" s="155"/>
      <c r="E383" s="156"/>
      <c r="F383" s="156"/>
      <c r="G383" s="153"/>
      <c r="H383" s="153"/>
      <c r="I383" s="157"/>
      <c r="J383" s="153"/>
    </row>
    <row r="384" spans="1:36" s="158" customFormat="1">
      <c r="A384" s="153"/>
      <c r="B384" s="1339"/>
      <c r="C384" s="203"/>
      <c r="D384" s="204"/>
      <c r="E384" s="156"/>
      <c r="F384" s="156"/>
      <c r="G384" s="153"/>
      <c r="H384" s="153"/>
      <c r="I384" s="157"/>
      <c r="J384" s="1304"/>
      <c r="K384" s="159"/>
    </row>
    <row r="385" spans="1:11" s="158" customFormat="1">
      <c r="A385" s="153"/>
      <c r="B385" s="1336"/>
      <c r="C385" s="154"/>
      <c r="D385" s="155"/>
      <c r="E385" s="156"/>
      <c r="F385" s="156"/>
      <c r="G385" s="153"/>
      <c r="H385" s="1304"/>
      <c r="I385" s="161"/>
      <c r="J385" s="1304"/>
      <c r="K385" s="159"/>
    </row>
    <row r="386" spans="1:11">
      <c r="A386" s="120"/>
      <c r="B386" s="212"/>
      <c r="C386" s="145"/>
      <c r="D386" s="146"/>
      <c r="E386" s="120"/>
      <c r="F386" s="120"/>
      <c r="G386" s="120"/>
      <c r="H386" s="120"/>
      <c r="I386" s="1303"/>
      <c r="J386" s="142"/>
      <c r="K386" s="143"/>
    </row>
    <row r="387" spans="1:11">
      <c r="A387" s="1302"/>
      <c r="B387" s="210"/>
      <c r="C387" s="121"/>
      <c r="D387" s="122"/>
      <c r="E387" s="120"/>
      <c r="F387" s="120"/>
      <c r="G387" s="120"/>
      <c r="H387" s="120"/>
      <c r="I387" s="1303"/>
      <c r="J387" s="142"/>
      <c r="K387" s="143"/>
    </row>
    <row r="388" spans="1:11">
      <c r="A388" s="120"/>
      <c r="B388" s="210"/>
      <c r="C388" s="121"/>
      <c r="D388" s="122"/>
      <c r="E388" s="120"/>
      <c r="F388" s="120"/>
      <c r="G388" s="120"/>
      <c r="H388" s="1302"/>
      <c r="I388" s="142"/>
      <c r="J388" s="142"/>
      <c r="K388" s="143"/>
    </row>
    <row r="389" spans="1:11">
      <c r="A389" s="205"/>
      <c r="B389" s="1340"/>
      <c r="C389" s="206"/>
      <c r="D389" s="206"/>
      <c r="E389" s="120"/>
      <c r="F389" s="120"/>
      <c r="G389" s="120"/>
      <c r="H389" s="120"/>
      <c r="I389" s="1303"/>
      <c r="J389" s="1303"/>
    </row>
    <row r="390" spans="1:11">
      <c r="A390" s="120"/>
      <c r="B390" s="212"/>
      <c r="C390" s="145"/>
      <c r="D390" s="146"/>
      <c r="E390" s="120"/>
      <c r="F390" s="120"/>
      <c r="G390" s="120"/>
      <c r="H390" s="120"/>
      <c r="I390" s="1303"/>
      <c r="J390" s="142"/>
      <c r="K390" s="143"/>
    </row>
    <row r="391" spans="1:11">
      <c r="A391" s="120"/>
      <c r="B391" s="210"/>
      <c r="C391" s="121"/>
      <c r="D391" s="122"/>
      <c r="E391" s="120"/>
      <c r="F391" s="120"/>
      <c r="G391" s="120"/>
      <c r="H391" s="1302"/>
      <c r="I391" s="142"/>
      <c r="J391" s="142"/>
      <c r="K391" s="143"/>
    </row>
    <row r="392" spans="1:11">
      <c r="A392" s="120"/>
      <c r="B392" s="212"/>
      <c r="C392" s="145"/>
      <c r="D392" s="146"/>
      <c r="E392" s="120"/>
      <c r="F392" s="120"/>
      <c r="G392" s="120"/>
      <c r="H392" s="120"/>
      <c r="I392" s="1303"/>
      <c r="J392" s="1303"/>
    </row>
    <row r="393" spans="1:11">
      <c r="A393" s="1302"/>
      <c r="B393" s="210"/>
      <c r="C393" s="121"/>
      <c r="D393" s="122"/>
      <c r="E393" s="120"/>
      <c r="F393" s="120"/>
      <c r="G393" s="120"/>
      <c r="H393" s="120"/>
      <c r="I393" s="1303"/>
      <c r="J393" s="1303"/>
    </row>
    <row r="394" spans="1:11">
      <c r="A394" s="120"/>
      <c r="B394" s="210"/>
      <c r="C394" s="121"/>
      <c r="D394" s="122"/>
      <c r="E394" s="120"/>
      <c r="F394" s="120"/>
      <c r="G394" s="120"/>
      <c r="H394" s="120"/>
      <c r="I394" s="1303"/>
      <c r="J394" s="1303"/>
    </row>
    <row r="395" spans="1:11">
      <c r="A395" s="120"/>
      <c r="B395" s="210"/>
      <c r="C395" s="121"/>
      <c r="D395" s="122"/>
      <c r="E395" s="120"/>
      <c r="F395" s="120"/>
      <c r="G395" s="207"/>
      <c r="H395" s="120"/>
      <c r="I395" s="1303"/>
      <c r="J395" s="1303"/>
    </row>
    <row r="396" spans="1:11">
      <c r="A396" s="120"/>
      <c r="B396" s="210"/>
      <c r="C396" s="121"/>
      <c r="D396" s="122"/>
      <c r="E396" s="120"/>
      <c r="F396" s="120"/>
      <c r="G396" s="207"/>
      <c r="H396" s="120"/>
      <c r="I396" s="1303"/>
      <c r="J396" s="1303"/>
    </row>
    <row r="397" spans="1:11">
      <c r="A397" s="120"/>
      <c r="B397" s="212"/>
      <c r="C397" s="145"/>
      <c r="D397" s="146"/>
      <c r="E397" s="120"/>
      <c r="F397" s="120"/>
      <c r="G397" s="120"/>
      <c r="H397" s="120"/>
      <c r="I397" s="1303"/>
      <c r="J397" s="1303"/>
    </row>
    <row r="398" spans="1:11">
      <c r="A398" s="120"/>
      <c r="B398" s="212"/>
      <c r="C398" s="145"/>
      <c r="D398" s="146"/>
      <c r="E398" s="120"/>
      <c r="F398" s="120"/>
      <c r="G398" s="120"/>
      <c r="H398" s="120"/>
      <c r="I398" s="1303"/>
      <c r="J398" s="1303"/>
    </row>
    <row r="399" spans="1:11">
      <c r="A399" s="120"/>
      <c r="B399" s="212"/>
      <c r="C399" s="145"/>
      <c r="D399" s="146"/>
      <c r="E399" s="120"/>
      <c r="F399" s="120"/>
      <c r="G399" s="120"/>
      <c r="H399" s="120"/>
      <c r="I399" s="1303"/>
      <c r="J399" s="1303"/>
    </row>
    <row r="400" spans="1:11">
      <c r="A400" s="1302"/>
      <c r="B400" s="210"/>
      <c r="C400" s="121"/>
      <c r="D400" s="122"/>
      <c r="E400" s="120"/>
      <c r="F400" s="120"/>
      <c r="G400" s="147"/>
      <c r="H400" s="120"/>
      <c r="I400" s="1303"/>
      <c r="J400" s="1303"/>
    </row>
    <row r="401" spans="1:25">
      <c r="A401" s="1302"/>
      <c r="B401" s="210"/>
      <c r="C401" s="121"/>
      <c r="D401" s="122"/>
      <c r="E401" s="7"/>
      <c r="F401" s="120"/>
      <c r="G401" s="147"/>
      <c r="H401" s="120"/>
      <c r="I401" s="1303"/>
      <c r="J401" s="1303"/>
      <c r="Y401" s="115">
        <v>75517777</v>
      </c>
    </row>
    <row r="402" spans="1:25">
      <c r="A402" s="1302"/>
      <c r="B402" s="212"/>
      <c r="C402" s="145"/>
      <c r="D402" s="146"/>
      <c r="E402" s="120"/>
      <c r="F402" s="120"/>
      <c r="G402" s="120"/>
      <c r="H402" s="120"/>
      <c r="I402" s="120"/>
      <c r="J402" s="1303"/>
      <c r="Y402" s="115">
        <f>Y401/1000000</f>
        <v>75.517776999999995</v>
      </c>
    </row>
    <row r="403" spans="1:25">
      <c r="A403" s="1302"/>
      <c r="B403" s="212"/>
      <c r="C403" s="145"/>
      <c r="D403" s="146"/>
      <c r="E403" s="120"/>
      <c r="F403" s="120"/>
      <c r="G403" s="120"/>
      <c r="H403" s="120"/>
      <c r="I403" s="120"/>
      <c r="J403" s="1303"/>
      <c r="Y403" s="115">
        <f>2.87*1.445</f>
        <v>4.1471499999999999</v>
      </c>
    </row>
    <row r="404" spans="1:25">
      <c r="A404" s="1302"/>
      <c r="B404" s="212"/>
      <c r="C404" s="145"/>
      <c r="D404" s="146"/>
      <c r="E404" s="120"/>
      <c r="F404" s="120"/>
      <c r="G404" s="120"/>
      <c r="H404" s="120"/>
      <c r="I404" s="120"/>
      <c r="J404" s="1303"/>
      <c r="Y404" s="115">
        <f>Y402-Y403</f>
        <v>71.370626999999999</v>
      </c>
    </row>
    <row r="405" spans="1:25">
      <c r="A405" s="1302"/>
      <c r="B405" s="212"/>
      <c r="C405" s="145"/>
      <c r="D405" s="146"/>
      <c r="E405" s="120"/>
      <c r="F405" s="120"/>
      <c r="G405" s="120"/>
      <c r="H405" s="120"/>
      <c r="I405" s="120"/>
      <c r="J405" s="1303"/>
      <c r="T405" s="115">
        <f>2021-2013</f>
        <v>8</v>
      </c>
      <c r="Y405" s="115">
        <f>Y404*10.76</f>
        <v>767.94794651999996</v>
      </c>
    </row>
    <row r="406" spans="1:25">
      <c r="A406" s="1302"/>
      <c r="B406" s="212"/>
      <c r="C406" s="145"/>
      <c r="D406" s="146"/>
      <c r="E406" s="120"/>
      <c r="F406" s="120"/>
      <c r="G406" s="120"/>
      <c r="H406" s="120"/>
      <c r="I406" s="120"/>
      <c r="J406" s="1303"/>
      <c r="R406" s="115">
        <v>350000</v>
      </c>
    </row>
    <row r="407" spans="1:25">
      <c r="A407" s="1302"/>
      <c r="B407" s="212"/>
      <c r="C407" s="145"/>
      <c r="D407" s="146"/>
      <c r="E407" s="120"/>
      <c r="F407" s="120"/>
      <c r="G407" s="120"/>
      <c r="H407" s="120"/>
      <c r="I407" s="120"/>
      <c r="J407" s="1303"/>
      <c r="R407" s="115">
        <f>R406/12</f>
        <v>29166.666666666668</v>
      </c>
    </row>
    <row r="408" spans="1:25">
      <c r="A408" s="1302"/>
      <c r="B408" s="212"/>
      <c r="C408" s="145"/>
      <c r="D408" s="146"/>
      <c r="E408" s="120"/>
      <c r="F408" s="120"/>
      <c r="G408" s="120"/>
      <c r="H408" s="120"/>
      <c r="I408" s="120"/>
      <c r="J408" s="1303"/>
    </row>
    <row r="409" spans="1:25">
      <c r="A409" s="1302"/>
      <c r="B409" s="212"/>
      <c r="C409" s="145"/>
      <c r="D409" s="146"/>
      <c r="E409" s="120"/>
      <c r="F409" s="120"/>
      <c r="G409" s="120"/>
      <c r="H409" s="120"/>
      <c r="I409" s="120"/>
      <c r="J409" s="1303"/>
    </row>
    <row r="410" spans="1:25">
      <c r="A410" s="1302"/>
      <c r="B410" s="212"/>
      <c r="C410" s="145"/>
      <c r="D410" s="146"/>
      <c r="E410" s="120"/>
      <c r="F410" s="120"/>
      <c r="G410" s="120"/>
      <c r="H410" s="120"/>
      <c r="I410" s="120"/>
      <c r="J410" s="1303"/>
    </row>
    <row r="411" spans="1:25">
      <c r="A411" s="1302"/>
      <c r="B411" s="212"/>
      <c r="C411" s="145"/>
      <c r="D411" s="146"/>
      <c r="E411" s="120"/>
      <c r="F411" s="120"/>
      <c r="G411" s="120"/>
      <c r="H411" s="120"/>
      <c r="I411" s="120"/>
      <c r="J411" s="1303"/>
    </row>
    <row r="412" spans="1:25">
      <c r="A412" s="1302"/>
      <c r="B412" s="212"/>
      <c r="C412" s="145"/>
      <c r="D412" s="146"/>
      <c r="E412" s="120"/>
      <c r="F412" s="120"/>
      <c r="G412" s="120"/>
      <c r="H412" s="120"/>
      <c r="I412" s="120"/>
      <c r="J412" s="1303"/>
      <c r="V412" s="115">
        <f>145.23</f>
        <v>145.22999999999999</v>
      </c>
    </row>
    <row r="413" spans="1:25">
      <c r="A413" s="1302"/>
      <c r="B413" s="212"/>
      <c r="C413" s="145"/>
      <c r="D413" s="146"/>
      <c r="E413" s="120"/>
      <c r="F413" s="120"/>
      <c r="G413" s="120"/>
      <c r="H413" s="120"/>
      <c r="I413" s="120"/>
      <c r="J413" s="1303"/>
      <c r="V413" s="115">
        <v>75.510000000000005</v>
      </c>
    </row>
    <row r="414" spans="1:25">
      <c r="A414" s="1302"/>
      <c r="B414" s="210"/>
      <c r="C414" s="121"/>
      <c r="D414" s="122"/>
      <c r="E414" s="7"/>
      <c r="F414" s="120"/>
      <c r="G414" s="147"/>
      <c r="H414" s="120"/>
      <c r="I414" s="1303"/>
      <c r="J414" s="1303"/>
      <c r="V414" s="115">
        <f>SUM(V412:V413)</f>
        <v>220.74</v>
      </c>
    </row>
    <row r="415" spans="1:25">
      <c r="A415" s="1302"/>
      <c r="B415" s="212"/>
      <c r="C415" s="145"/>
      <c r="D415" s="146"/>
      <c r="E415" s="120"/>
      <c r="F415" s="120"/>
      <c r="G415" s="120"/>
      <c r="H415" s="120"/>
      <c r="I415" s="120"/>
      <c r="J415" s="1303"/>
    </row>
    <row r="416" spans="1:25">
      <c r="A416" s="1302"/>
      <c r="B416" s="212"/>
      <c r="C416" s="145"/>
      <c r="D416" s="146"/>
      <c r="E416" s="120"/>
      <c r="F416" s="120"/>
      <c r="G416" s="120"/>
      <c r="H416" s="120"/>
      <c r="I416" s="120"/>
      <c r="J416" s="1303"/>
    </row>
    <row r="417" spans="1:10">
      <c r="A417" s="1302"/>
      <c r="B417" s="212"/>
      <c r="C417" s="145"/>
      <c r="D417" s="146"/>
      <c r="E417" s="120"/>
      <c r="F417" s="120"/>
      <c r="G417" s="120"/>
      <c r="H417" s="120"/>
      <c r="I417" s="120"/>
      <c r="J417" s="1303"/>
    </row>
    <row r="418" spans="1:10">
      <c r="A418" s="1302"/>
      <c r="B418" s="212"/>
      <c r="C418" s="145"/>
      <c r="D418" s="146"/>
      <c r="E418" s="120"/>
      <c r="F418" s="120"/>
      <c r="G418" s="120"/>
      <c r="H418" s="120"/>
      <c r="I418" s="120"/>
      <c r="J418" s="1303"/>
    </row>
    <row r="419" spans="1:10">
      <c r="A419" s="1302"/>
      <c r="B419" s="212"/>
      <c r="C419" s="145"/>
      <c r="D419" s="146"/>
      <c r="E419" s="120"/>
      <c r="F419" s="120"/>
      <c r="G419" s="120"/>
      <c r="H419" s="120"/>
      <c r="I419" s="120"/>
      <c r="J419" s="1303"/>
    </row>
    <row r="420" spans="1:10">
      <c r="A420" s="1302"/>
      <c r="B420" s="212"/>
      <c r="C420" s="145"/>
      <c r="D420" s="146"/>
      <c r="E420" s="120"/>
      <c r="F420" s="120"/>
      <c r="G420" s="120"/>
      <c r="H420" s="120"/>
      <c r="I420" s="120"/>
      <c r="J420" s="1303"/>
    </row>
    <row r="421" spans="1:10">
      <c r="A421" s="1302"/>
      <c r="B421" s="212"/>
      <c r="C421" s="145"/>
      <c r="D421" s="146"/>
      <c r="E421" s="120"/>
      <c r="F421" s="120"/>
      <c r="G421" s="120"/>
      <c r="H421" s="120"/>
      <c r="I421" s="120"/>
      <c r="J421" s="1303"/>
    </row>
    <row r="422" spans="1:10">
      <c r="A422" s="1302"/>
      <c r="B422" s="212"/>
      <c r="C422" s="145"/>
      <c r="D422" s="146"/>
      <c r="E422" s="120"/>
      <c r="F422" s="120"/>
      <c r="G422" s="120"/>
      <c r="H422" s="120"/>
      <c r="I422" s="120"/>
      <c r="J422" s="1303"/>
    </row>
    <row r="423" spans="1:10">
      <c r="A423" s="1302"/>
      <c r="B423" s="212"/>
      <c r="C423" s="145"/>
      <c r="D423" s="146"/>
      <c r="E423" s="120"/>
      <c r="F423" s="120"/>
      <c r="G423" s="1303"/>
      <c r="H423" s="120"/>
      <c r="I423" s="1303"/>
      <c r="J423" s="1303"/>
    </row>
    <row r="424" spans="1:10">
      <c r="A424" s="120"/>
      <c r="B424" s="1341"/>
      <c r="C424" s="208"/>
      <c r="D424" s="209"/>
      <c r="E424" s="120"/>
      <c r="F424" s="120"/>
      <c r="G424" s="120"/>
      <c r="H424" s="120"/>
      <c r="I424" s="1303"/>
      <c r="J424" s="1303"/>
    </row>
    <row r="425" spans="1:10">
      <c r="A425" s="120"/>
      <c r="B425" s="212"/>
      <c r="C425" s="145"/>
      <c r="D425" s="146"/>
      <c r="E425" s="120"/>
      <c r="F425" s="120"/>
      <c r="G425" s="120"/>
      <c r="H425" s="120"/>
      <c r="I425" s="1303"/>
      <c r="J425" s="1303"/>
    </row>
    <row r="426" spans="1:10">
      <c r="A426" s="120"/>
      <c r="B426" s="212"/>
      <c r="C426" s="145"/>
      <c r="D426" s="146"/>
      <c r="E426" s="120"/>
      <c r="F426" s="120"/>
      <c r="G426" s="120"/>
      <c r="H426" s="120"/>
      <c r="I426" s="147"/>
      <c r="J426" s="1303"/>
    </row>
    <row r="427" spans="1:10">
      <c r="A427" s="120"/>
      <c r="B427" s="1341"/>
      <c r="C427" s="208"/>
      <c r="D427" s="209"/>
      <c r="E427" s="120"/>
      <c r="F427" s="120"/>
      <c r="G427" s="120"/>
      <c r="H427" s="120"/>
      <c r="I427" s="1303"/>
      <c r="J427" s="1303"/>
    </row>
    <row r="428" spans="1:10">
      <c r="A428" s="120"/>
      <c r="B428" s="210"/>
      <c r="C428" s="121"/>
      <c r="D428" s="122"/>
      <c r="E428" s="120"/>
      <c r="F428" s="120"/>
      <c r="G428" s="120"/>
      <c r="H428" s="120"/>
      <c r="I428" s="1303"/>
      <c r="J428" s="1303"/>
    </row>
    <row r="429" spans="1:10">
      <c r="A429" s="120"/>
      <c r="B429" s="210"/>
      <c r="C429" s="210"/>
      <c r="D429" s="211"/>
      <c r="E429" s="120"/>
      <c r="F429" s="120"/>
      <c r="G429" s="120"/>
      <c r="H429" s="120"/>
      <c r="I429" s="120"/>
      <c r="J429" s="1303"/>
    </row>
    <row r="430" spans="1:10">
      <c r="A430" s="120"/>
      <c r="B430" s="212"/>
      <c r="C430" s="212"/>
      <c r="D430" s="213"/>
      <c r="E430" s="120"/>
      <c r="F430" s="120"/>
      <c r="G430" s="120"/>
      <c r="H430" s="120"/>
      <c r="I430" s="120"/>
      <c r="J430" s="1303"/>
    </row>
    <row r="431" spans="1:10">
      <c r="A431" s="120"/>
      <c r="B431" s="212"/>
      <c r="C431" s="212"/>
      <c r="D431" s="213"/>
      <c r="E431" s="120"/>
      <c r="F431" s="120"/>
      <c r="G431" s="120"/>
      <c r="H431" s="120"/>
      <c r="I431" s="120"/>
      <c r="J431" s="1303"/>
    </row>
    <row r="432" spans="1:10">
      <c r="A432" s="120"/>
      <c r="B432" s="212"/>
      <c r="C432" s="212"/>
      <c r="D432" s="213"/>
      <c r="E432" s="120"/>
      <c r="F432" s="120"/>
      <c r="G432" s="120"/>
      <c r="H432" s="120"/>
      <c r="I432" s="120"/>
      <c r="J432" s="1303"/>
    </row>
    <row r="433" spans="1:10">
      <c r="A433" s="120"/>
      <c r="B433" s="212"/>
      <c r="C433" s="212"/>
      <c r="D433" s="213"/>
      <c r="E433" s="120"/>
      <c r="F433" s="120"/>
      <c r="G433" s="120"/>
      <c r="H433" s="120"/>
      <c r="I433" s="120"/>
      <c r="J433" s="1303"/>
    </row>
    <row r="434" spans="1:10">
      <c r="A434" s="120"/>
      <c r="B434" s="212"/>
      <c r="C434" s="212"/>
      <c r="D434" s="213"/>
      <c r="E434" s="120"/>
      <c r="F434" s="120"/>
      <c r="G434" s="120"/>
      <c r="H434" s="120"/>
      <c r="I434" s="120"/>
      <c r="J434" s="1303"/>
    </row>
    <row r="435" spans="1:10">
      <c r="A435" s="120"/>
      <c r="B435" s="212"/>
      <c r="C435" s="212"/>
      <c r="D435" s="213"/>
      <c r="E435" s="120"/>
      <c r="F435" s="120"/>
      <c r="G435" s="120"/>
      <c r="H435" s="120"/>
      <c r="I435" s="120"/>
      <c r="J435" s="1303"/>
    </row>
    <row r="436" spans="1:10">
      <c r="A436" s="120"/>
      <c r="B436" s="212"/>
      <c r="C436" s="212"/>
      <c r="D436" s="213"/>
      <c r="E436" s="120"/>
      <c r="F436" s="120"/>
      <c r="G436" s="120"/>
      <c r="H436" s="120"/>
      <c r="I436" s="120"/>
      <c r="J436" s="1303"/>
    </row>
    <row r="437" spans="1:10">
      <c r="A437" s="120"/>
      <c r="B437" s="212"/>
      <c r="C437" s="212"/>
      <c r="D437" s="213"/>
      <c r="E437" s="120"/>
      <c r="F437" s="120"/>
      <c r="G437" s="120"/>
      <c r="H437" s="120"/>
      <c r="I437" s="120"/>
      <c r="J437" s="1303"/>
    </row>
    <row r="438" spans="1:10">
      <c r="A438" s="120"/>
      <c r="B438" s="212"/>
      <c r="C438" s="212"/>
      <c r="D438" s="213"/>
      <c r="E438" s="120"/>
      <c r="F438" s="120"/>
      <c r="G438" s="120"/>
      <c r="H438" s="120"/>
      <c r="I438" s="120"/>
      <c r="J438" s="1303"/>
    </row>
    <row r="439" spans="1:10">
      <c r="A439" s="120"/>
      <c r="B439" s="212"/>
      <c r="C439" s="212"/>
      <c r="D439" s="213"/>
      <c r="E439" s="120"/>
      <c r="F439" s="120"/>
      <c r="G439" s="120"/>
      <c r="H439" s="120"/>
      <c r="I439" s="1303"/>
      <c r="J439" s="1303"/>
    </row>
    <row r="440" spans="1:10">
      <c r="A440" s="120"/>
      <c r="B440" s="210"/>
      <c r="C440" s="210"/>
      <c r="D440" s="211"/>
      <c r="E440" s="120"/>
      <c r="F440" s="120"/>
      <c r="G440" s="120"/>
      <c r="H440" s="120"/>
      <c r="I440" s="120"/>
      <c r="J440" s="1303"/>
    </row>
    <row r="441" spans="1:10">
      <c r="A441" s="120"/>
      <c r="B441" s="212"/>
      <c r="C441" s="212"/>
      <c r="D441" s="213"/>
      <c r="E441" s="120"/>
      <c r="F441" s="120"/>
      <c r="G441" s="120"/>
      <c r="H441" s="120"/>
      <c r="I441" s="120"/>
      <c r="J441" s="1303"/>
    </row>
    <row r="442" spans="1:10">
      <c r="A442" s="120"/>
      <c r="B442" s="212"/>
      <c r="C442" s="212"/>
      <c r="D442" s="213"/>
      <c r="E442" s="120"/>
      <c r="F442" s="120"/>
      <c r="G442" s="120"/>
      <c r="H442" s="120"/>
      <c r="I442" s="120"/>
      <c r="J442" s="1303"/>
    </row>
    <row r="443" spans="1:10">
      <c r="A443" s="120"/>
      <c r="B443" s="212"/>
      <c r="C443" s="212"/>
      <c r="D443" s="213"/>
      <c r="E443" s="120"/>
      <c r="F443" s="120"/>
      <c r="G443" s="120"/>
      <c r="H443" s="120"/>
      <c r="I443" s="120"/>
      <c r="J443" s="1303"/>
    </row>
    <row r="444" spans="1:10">
      <c r="A444" s="120"/>
      <c r="B444" s="212"/>
      <c r="C444" s="212"/>
      <c r="D444" s="213"/>
      <c r="E444" s="120"/>
      <c r="F444" s="120"/>
      <c r="G444" s="120"/>
      <c r="H444" s="120"/>
      <c r="I444" s="120"/>
      <c r="J444" s="1303"/>
    </row>
    <row r="445" spans="1:10">
      <c r="A445" s="120"/>
      <c r="B445" s="212"/>
      <c r="C445" s="212"/>
      <c r="D445" s="213"/>
      <c r="E445" s="120"/>
      <c r="F445" s="120"/>
      <c r="G445" s="120"/>
      <c r="H445" s="120"/>
      <c r="I445" s="120"/>
      <c r="J445" s="1303"/>
    </row>
    <row r="446" spans="1:10">
      <c r="A446" s="120"/>
      <c r="B446" s="212"/>
      <c r="C446" s="212"/>
      <c r="D446" s="213"/>
      <c r="E446" s="120"/>
      <c r="F446" s="120"/>
      <c r="G446" s="120"/>
      <c r="H446" s="120"/>
      <c r="I446" s="120"/>
      <c r="J446" s="1303"/>
    </row>
    <row r="447" spans="1:10">
      <c r="A447" s="120"/>
      <c r="B447" s="212"/>
      <c r="C447" s="212"/>
      <c r="D447" s="213"/>
      <c r="E447" s="120"/>
      <c r="F447" s="120"/>
      <c r="G447" s="120"/>
      <c r="H447" s="120"/>
      <c r="I447" s="120"/>
      <c r="J447" s="1303"/>
    </row>
    <row r="448" spans="1:10">
      <c r="A448" s="120"/>
      <c r="B448" s="212"/>
      <c r="C448" s="212"/>
      <c r="D448" s="213"/>
      <c r="E448" s="120"/>
      <c r="F448" s="120"/>
      <c r="G448" s="120"/>
      <c r="H448" s="120"/>
      <c r="I448" s="120"/>
      <c r="J448" s="1303"/>
    </row>
    <row r="449" spans="1:10">
      <c r="A449" s="120"/>
      <c r="B449" s="212"/>
      <c r="C449" s="212"/>
      <c r="D449" s="213"/>
      <c r="E449" s="120"/>
      <c r="F449" s="120"/>
      <c r="G449" s="120"/>
      <c r="H449" s="120"/>
      <c r="I449" s="120"/>
      <c r="J449" s="1303"/>
    </row>
    <row r="450" spans="1:10">
      <c r="A450" s="120"/>
      <c r="B450" s="212"/>
      <c r="C450" s="212"/>
      <c r="D450" s="213"/>
      <c r="E450" s="120"/>
      <c r="F450" s="120"/>
      <c r="G450" s="120"/>
      <c r="H450" s="120"/>
      <c r="I450" s="120"/>
      <c r="J450" s="1303"/>
    </row>
    <row r="451" spans="1:10">
      <c r="A451" s="120"/>
      <c r="B451" s="210"/>
      <c r="C451" s="210"/>
      <c r="D451" s="211"/>
      <c r="E451" s="120"/>
      <c r="F451" s="120"/>
      <c r="G451" s="120"/>
      <c r="H451" s="120"/>
      <c r="I451" s="120"/>
      <c r="J451" s="1303"/>
    </row>
    <row r="452" spans="1:10">
      <c r="A452" s="120"/>
      <c r="B452" s="210"/>
      <c r="C452" s="210"/>
      <c r="D452" s="211"/>
      <c r="E452" s="120"/>
      <c r="F452" s="120"/>
      <c r="G452" s="120"/>
      <c r="H452" s="120"/>
      <c r="I452" s="120"/>
      <c r="J452" s="1303"/>
    </row>
    <row r="453" spans="1:10">
      <c r="A453" s="120"/>
      <c r="B453" s="212"/>
      <c r="C453" s="145"/>
      <c r="D453" s="146"/>
      <c r="E453" s="120"/>
      <c r="F453" s="120"/>
      <c r="G453" s="120"/>
      <c r="H453" s="120"/>
      <c r="I453" s="120"/>
      <c r="J453" s="1303"/>
    </row>
    <row r="454" spans="1:10">
      <c r="A454" s="120"/>
      <c r="B454" s="212"/>
      <c r="C454" s="145"/>
      <c r="D454" s="146"/>
      <c r="E454" s="120"/>
      <c r="F454" s="120"/>
      <c r="G454" s="120"/>
      <c r="H454" s="120"/>
      <c r="I454" s="120"/>
      <c r="J454" s="1303"/>
    </row>
    <row r="455" spans="1:10">
      <c r="A455" s="120"/>
      <c r="B455" s="212"/>
      <c r="C455" s="145"/>
      <c r="D455" s="146"/>
      <c r="E455" s="120"/>
      <c r="F455" s="120"/>
      <c r="G455" s="120"/>
      <c r="H455" s="120"/>
      <c r="I455" s="120"/>
      <c r="J455" s="1303"/>
    </row>
    <row r="456" spans="1:10">
      <c r="A456" s="120"/>
      <c r="B456" s="212"/>
      <c r="C456" s="145"/>
      <c r="D456" s="146"/>
      <c r="E456" s="120"/>
      <c r="F456" s="120"/>
      <c r="G456" s="120"/>
      <c r="H456" s="120"/>
      <c r="I456" s="120"/>
      <c r="J456" s="1303"/>
    </row>
    <row r="457" spans="1:10">
      <c r="A457" s="120"/>
      <c r="B457" s="212"/>
      <c r="C457" s="145"/>
      <c r="D457" s="146"/>
      <c r="E457" s="120"/>
      <c r="F457" s="120"/>
      <c r="G457" s="120"/>
      <c r="H457" s="120"/>
      <c r="I457" s="120"/>
      <c r="J457" s="1303"/>
    </row>
    <row r="458" spans="1:10">
      <c r="A458" s="120"/>
      <c r="B458" s="212"/>
      <c r="C458" s="145"/>
      <c r="D458" s="146"/>
      <c r="E458" s="120"/>
      <c r="F458" s="120"/>
      <c r="G458" s="120"/>
      <c r="H458" s="120"/>
      <c r="I458" s="120"/>
      <c r="J458" s="1303"/>
    </row>
    <row r="459" spans="1:10">
      <c r="A459" s="120"/>
      <c r="B459" s="212"/>
      <c r="C459" s="145"/>
      <c r="D459" s="146"/>
      <c r="E459" s="120"/>
      <c r="F459" s="120"/>
      <c r="G459" s="120"/>
      <c r="H459" s="120"/>
      <c r="I459" s="120"/>
      <c r="J459" s="1303"/>
    </row>
    <row r="460" spans="1:10">
      <c r="A460" s="120"/>
      <c r="B460" s="212"/>
      <c r="C460" s="145"/>
      <c r="D460" s="146"/>
      <c r="E460" s="120"/>
      <c r="F460" s="120"/>
      <c r="G460" s="120"/>
      <c r="H460" s="120"/>
      <c r="I460" s="120"/>
      <c r="J460" s="1303"/>
    </row>
    <row r="461" spans="1:10">
      <c r="A461" s="120"/>
      <c r="B461" s="212"/>
      <c r="C461" s="145"/>
      <c r="D461" s="146"/>
      <c r="E461" s="120"/>
      <c r="F461" s="120"/>
      <c r="G461" s="120"/>
      <c r="H461" s="120"/>
      <c r="I461" s="120"/>
      <c r="J461" s="1303"/>
    </row>
    <row r="462" spans="1:10">
      <c r="A462" s="120"/>
      <c r="B462" s="212"/>
      <c r="C462" s="145"/>
      <c r="D462" s="146"/>
      <c r="E462" s="120"/>
      <c r="F462" s="120"/>
      <c r="G462" s="120"/>
      <c r="H462" s="120"/>
      <c r="I462" s="120"/>
      <c r="J462" s="1303"/>
    </row>
    <row r="463" spans="1:10">
      <c r="A463" s="120"/>
      <c r="B463" s="210"/>
      <c r="C463" s="121"/>
      <c r="D463" s="122"/>
      <c r="E463" s="120"/>
      <c r="F463" s="120"/>
      <c r="G463" s="120"/>
      <c r="H463" s="120"/>
      <c r="I463" s="120"/>
      <c r="J463" s="1303"/>
    </row>
    <row r="464" spans="1:10">
      <c r="A464" s="120"/>
      <c r="B464" s="212"/>
      <c r="C464" s="145"/>
      <c r="D464" s="146"/>
      <c r="E464" s="120"/>
      <c r="F464" s="120"/>
      <c r="G464" s="120"/>
      <c r="H464" s="120"/>
      <c r="I464" s="120"/>
      <c r="J464" s="1303"/>
    </row>
    <row r="465" spans="1:10">
      <c r="A465" s="120"/>
      <c r="B465" s="212"/>
      <c r="C465" s="145"/>
      <c r="D465" s="146"/>
      <c r="E465" s="120"/>
      <c r="F465" s="120"/>
      <c r="G465" s="120"/>
      <c r="H465" s="120"/>
      <c r="I465" s="120"/>
      <c r="J465" s="1303"/>
    </row>
    <row r="466" spans="1:10">
      <c r="A466" s="120"/>
      <c r="B466" s="212"/>
      <c r="C466" s="145"/>
      <c r="D466" s="146"/>
      <c r="E466" s="120"/>
      <c r="F466" s="120"/>
      <c r="G466" s="120"/>
      <c r="H466" s="120"/>
      <c r="I466" s="120"/>
      <c r="J466" s="1303"/>
    </row>
    <row r="467" spans="1:10">
      <c r="A467" s="120"/>
      <c r="B467" s="212"/>
      <c r="C467" s="145"/>
      <c r="D467" s="146"/>
      <c r="E467" s="120"/>
      <c r="F467" s="120"/>
      <c r="G467" s="120"/>
      <c r="H467" s="120"/>
      <c r="I467" s="120"/>
      <c r="J467" s="1303"/>
    </row>
    <row r="468" spans="1:10">
      <c r="A468" s="120"/>
      <c r="B468" s="212"/>
      <c r="C468" s="145"/>
      <c r="D468" s="146"/>
      <c r="E468" s="120"/>
      <c r="F468" s="120"/>
      <c r="G468" s="120"/>
      <c r="H468" s="120"/>
      <c r="I468" s="120"/>
      <c r="J468" s="1303"/>
    </row>
    <row r="469" spans="1:10">
      <c r="A469" s="120"/>
      <c r="B469" s="212"/>
      <c r="C469" s="145"/>
      <c r="D469" s="146"/>
      <c r="E469" s="120"/>
      <c r="F469" s="120"/>
      <c r="G469" s="120"/>
      <c r="H469" s="120"/>
      <c r="I469" s="120"/>
      <c r="J469" s="1303"/>
    </row>
    <row r="470" spans="1:10">
      <c r="A470" s="120"/>
      <c r="B470" s="212"/>
      <c r="C470" s="145"/>
      <c r="D470" s="146"/>
      <c r="E470" s="120"/>
      <c r="F470" s="120"/>
      <c r="G470" s="120"/>
      <c r="H470" s="120"/>
      <c r="I470" s="120"/>
      <c r="J470" s="1303"/>
    </row>
    <row r="471" spans="1:10">
      <c r="A471" s="120"/>
      <c r="B471" s="212"/>
      <c r="C471" s="145"/>
      <c r="D471" s="146"/>
      <c r="E471" s="120"/>
      <c r="F471" s="120"/>
      <c r="G471" s="120"/>
      <c r="H471" s="120"/>
      <c r="I471" s="120"/>
      <c r="J471" s="1303"/>
    </row>
    <row r="472" spans="1:10">
      <c r="A472" s="120"/>
      <c r="B472" s="212"/>
      <c r="C472" s="145"/>
      <c r="D472" s="146"/>
      <c r="E472" s="120"/>
      <c r="F472" s="120"/>
      <c r="G472" s="120"/>
      <c r="H472" s="120"/>
      <c r="I472" s="120"/>
      <c r="J472" s="1303"/>
    </row>
    <row r="473" spans="1:10">
      <c r="A473" s="120"/>
      <c r="B473" s="212"/>
      <c r="C473" s="145"/>
      <c r="D473" s="146"/>
      <c r="E473" s="120"/>
      <c r="F473" s="120"/>
      <c r="G473" s="120"/>
      <c r="H473" s="120"/>
      <c r="I473" s="120"/>
      <c r="J473" s="1303"/>
    </row>
    <row r="474" spans="1:10">
      <c r="A474" s="120"/>
      <c r="B474" s="210"/>
      <c r="C474" s="121"/>
      <c r="D474" s="122"/>
      <c r="E474" s="120"/>
      <c r="F474" s="120"/>
      <c r="G474" s="120"/>
      <c r="H474" s="120"/>
      <c r="I474" s="120"/>
      <c r="J474" s="1303"/>
    </row>
    <row r="475" spans="1:10">
      <c r="A475" s="120"/>
      <c r="B475" s="212"/>
      <c r="C475" s="212"/>
      <c r="D475" s="213"/>
      <c r="E475" s="120"/>
      <c r="F475" s="120"/>
      <c r="G475" s="120"/>
      <c r="H475" s="120"/>
      <c r="I475" s="120"/>
      <c r="J475" s="1303"/>
    </row>
    <row r="476" spans="1:10">
      <c r="A476" s="120"/>
      <c r="B476" s="212"/>
      <c r="C476" s="212"/>
      <c r="D476" s="213"/>
      <c r="E476" s="120"/>
      <c r="F476" s="120"/>
      <c r="G476" s="120"/>
      <c r="H476" s="120"/>
      <c r="I476" s="120"/>
      <c r="J476" s="1303"/>
    </row>
    <row r="477" spans="1:10">
      <c r="A477" s="120"/>
      <c r="B477" s="210"/>
      <c r="C477" s="210"/>
      <c r="D477" s="211"/>
      <c r="E477" s="120"/>
      <c r="F477" s="120"/>
      <c r="G477" s="120"/>
      <c r="H477" s="120"/>
      <c r="I477" s="120"/>
      <c r="J477" s="1303"/>
    </row>
    <row r="478" spans="1:10">
      <c r="A478" s="120"/>
      <c r="B478" s="212"/>
      <c r="C478" s="212"/>
      <c r="D478" s="213"/>
      <c r="E478" s="120"/>
      <c r="F478" s="120"/>
      <c r="G478" s="120"/>
      <c r="H478" s="120"/>
      <c r="I478" s="120"/>
      <c r="J478" s="1303"/>
    </row>
    <row r="479" spans="1:10">
      <c r="A479" s="120"/>
      <c r="B479" s="212"/>
      <c r="C479" s="212"/>
      <c r="D479" s="213"/>
      <c r="E479" s="120"/>
      <c r="F479" s="120"/>
      <c r="G479" s="120"/>
      <c r="H479" s="120"/>
      <c r="I479" s="120"/>
      <c r="J479" s="1303"/>
    </row>
    <row r="480" spans="1:10">
      <c r="A480" s="120"/>
      <c r="B480" s="212"/>
      <c r="C480" s="145"/>
      <c r="D480" s="146"/>
      <c r="E480" s="120"/>
      <c r="F480" s="120"/>
      <c r="G480" s="120"/>
      <c r="H480" s="120"/>
      <c r="I480" s="120"/>
      <c r="J480" s="1303"/>
    </row>
    <row r="481" spans="1:10">
      <c r="A481" s="120"/>
      <c r="B481" s="210"/>
      <c r="C481" s="210"/>
      <c r="D481" s="211"/>
      <c r="E481" s="120"/>
      <c r="F481" s="120"/>
      <c r="G481" s="120"/>
      <c r="H481" s="120"/>
      <c r="I481" s="120"/>
      <c r="J481" s="1303"/>
    </row>
    <row r="482" spans="1:10">
      <c r="A482" s="120"/>
      <c r="B482" s="210"/>
      <c r="C482" s="210"/>
      <c r="D482" s="211"/>
      <c r="E482" s="120"/>
      <c r="F482" s="120"/>
      <c r="G482" s="120"/>
      <c r="H482" s="120"/>
      <c r="I482" s="120"/>
      <c r="J482" s="1303"/>
    </row>
    <row r="483" spans="1:10">
      <c r="A483" s="120"/>
      <c r="B483" s="212"/>
      <c r="C483" s="212"/>
      <c r="D483" s="213"/>
      <c r="E483" s="120"/>
      <c r="F483" s="120"/>
      <c r="G483" s="120"/>
      <c r="H483" s="120"/>
      <c r="I483" s="120"/>
      <c r="J483" s="1303"/>
    </row>
    <row r="484" spans="1:10">
      <c r="A484" s="120"/>
      <c r="B484" s="212"/>
      <c r="C484" s="212"/>
      <c r="D484" s="213"/>
      <c r="E484" s="120"/>
      <c r="F484" s="120"/>
      <c r="G484" s="120"/>
      <c r="H484" s="120"/>
      <c r="I484" s="120"/>
      <c r="J484" s="1303"/>
    </row>
    <row r="485" spans="1:10">
      <c r="A485" s="120"/>
      <c r="B485" s="212"/>
      <c r="C485" s="212"/>
      <c r="D485" s="213"/>
      <c r="E485" s="120"/>
      <c r="F485" s="120"/>
      <c r="G485" s="120"/>
      <c r="H485" s="120"/>
      <c r="I485" s="120"/>
      <c r="J485" s="1303"/>
    </row>
    <row r="486" spans="1:10">
      <c r="A486" s="120"/>
      <c r="B486" s="212"/>
      <c r="C486" s="212"/>
      <c r="D486" s="213"/>
      <c r="E486" s="120"/>
      <c r="F486" s="120"/>
      <c r="G486" s="120"/>
      <c r="H486" s="120"/>
      <c r="I486" s="120"/>
      <c r="J486" s="1303"/>
    </row>
    <row r="487" spans="1:10">
      <c r="A487" s="120"/>
      <c r="B487" s="212"/>
      <c r="C487" s="212"/>
      <c r="D487" s="213"/>
      <c r="E487" s="120"/>
      <c r="F487" s="120"/>
      <c r="G487" s="120"/>
      <c r="H487" s="120"/>
      <c r="I487" s="120"/>
      <c r="J487" s="1303"/>
    </row>
    <row r="488" spans="1:10">
      <c r="A488" s="120"/>
      <c r="B488" s="212"/>
      <c r="C488" s="212"/>
      <c r="D488" s="213"/>
      <c r="E488" s="120"/>
      <c r="F488" s="120"/>
      <c r="G488" s="120"/>
      <c r="H488" s="120"/>
      <c r="I488" s="120"/>
      <c r="J488" s="1303"/>
    </row>
    <row r="489" spans="1:10">
      <c r="A489" s="120"/>
      <c r="B489" s="212"/>
      <c r="C489" s="212"/>
      <c r="D489" s="213"/>
      <c r="E489" s="120"/>
      <c r="F489" s="120"/>
      <c r="G489" s="120"/>
      <c r="H489" s="120"/>
      <c r="I489" s="120"/>
      <c r="J489" s="1303"/>
    </row>
    <row r="490" spans="1:10">
      <c r="A490" s="120"/>
      <c r="B490" s="212"/>
      <c r="C490" s="212"/>
      <c r="D490" s="213"/>
      <c r="E490" s="120"/>
      <c r="F490" s="120"/>
      <c r="G490" s="120"/>
      <c r="H490" s="120"/>
      <c r="I490" s="120"/>
      <c r="J490" s="1303"/>
    </row>
    <row r="491" spans="1:10">
      <c r="A491" s="120"/>
      <c r="B491" s="212"/>
      <c r="C491" s="212"/>
      <c r="D491" s="213"/>
      <c r="E491" s="120"/>
      <c r="F491" s="120"/>
      <c r="G491" s="120"/>
      <c r="H491" s="120"/>
      <c r="I491" s="120"/>
      <c r="J491" s="1303"/>
    </row>
    <row r="492" spans="1:10">
      <c r="A492" s="120"/>
      <c r="B492" s="212"/>
      <c r="C492" s="212"/>
      <c r="D492" s="213"/>
      <c r="E492" s="120"/>
      <c r="F492" s="120"/>
      <c r="G492" s="120"/>
      <c r="H492" s="120"/>
      <c r="I492" s="120"/>
      <c r="J492" s="1303"/>
    </row>
    <row r="493" spans="1:10">
      <c r="A493" s="120"/>
      <c r="B493" s="212"/>
      <c r="C493" s="212"/>
      <c r="D493" s="213"/>
      <c r="E493" s="120"/>
      <c r="F493" s="120"/>
      <c r="G493" s="120"/>
      <c r="H493" s="120"/>
      <c r="I493" s="120"/>
      <c r="J493" s="1303"/>
    </row>
    <row r="494" spans="1:10">
      <c r="A494" s="120"/>
      <c r="B494" s="212"/>
      <c r="C494" s="212"/>
      <c r="D494" s="213"/>
      <c r="E494" s="120"/>
      <c r="F494" s="120"/>
      <c r="G494" s="120"/>
      <c r="H494" s="120"/>
      <c r="I494" s="120"/>
      <c r="J494" s="1303"/>
    </row>
    <row r="495" spans="1:10">
      <c r="A495" s="120"/>
      <c r="B495" s="212"/>
      <c r="C495" s="212"/>
      <c r="D495" s="213"/>
      <c r="E495" s="120"/>
      <c r="F495" s="120"/>
      <c r="G495" s="120"/>
      <c r="H495" s="120"/>
      <c r="I495" s="120"/>
      <c r="J495" s="1303"/>
    </row>
    <row r="496" spans="1:10">
      <c r="A496" s="120"/>
      <c r="B496" s="212"/>
      <c r="C496" s="212"/>
      <c r="D496" s="213"/>
      <c r="E496" s="120"/>
      <c r="F496" s="120"/>
      <c r="G496" s="120"/>
      <c r="H496" s="120"/>
      <c r="I496" s="120"/>
      <c r="J496" s="1303"/>
    </row>
    <row r="497" spans="1:10">
      <c r="A497" s="120"/>
      <c r="B497" s="212"/>
      <c r="C497" s="212"/>
      <c r="D497" s="213"/>
      <c r="E497" s="120"/>
      <c r="F497" s="120"/>
      <c r="G497" s="120"/>
      <c r="H497" s="120"/>
      <c r="I497" s="120"/>
      <c r="J497" s="1303"/>
    </row>
    <row r="498" spans="1:10">
      <c r="A498" s="120"/>
      <c r="B498" s="212"/>
      <c r="C498" s="212"/>
      <c r="D498" s="213"/>
      <c r="E498" s="120"/>
      <c r="F498" s="120"/>
      <c r="G498" s="120"/>
      <c r="H498" s="120"/>
      <c r="I498" s="120"/>
      <c r="J498" s="1303"/>
    </row>
    <row r="499" spans="1:10">
      <c r="A499" s="120"/>
      <c r="B499" s="212"/>
      <c r="C499" s="212"/>
      <c r="D499" s="213"/>
      <c r="E499" s="120"/>
      <c r="F499" s="120"/>
      <c r="G499" s="120"/>
      <c r="H499" s="120"/>
      <c r="I499" s="120"/>
      <c r="J499" s="1303"/>
    </row>
    <row r="500" spans="1:10">
      <c r="A500" s="120"/>
      <c r="B500" s="212"/>
      <c r="C500" s="212"/>
      <c r="D500" s="213"/>
      <c r="E500" s="120"/>
      <c r="F500" s="120"/>
      <c r="G500" s="120"/>
      <c r="H500" s="120"/>
      <c r="I500" s="120"/>
      <c r="J500" s="1303"/>
    </row>
    <row r="501" spans="1:10">
      <c r="A501" s="120"/>
      <c r="B501" s="212"/>
      <c r="C501" s="212"/>
      <c r="D501" s="213"/>
      <c r="E501" s="120"/>
      <c r="F501" s="120"/>
      <c r="G501" s="120"/>
      <c r="H501" s="120"/>
      <c r="I501" s="120"/>
      <c r="J501" s="1303"/>
    </row>
    <row r="502" spans="1:10">
      <c r="A502" s="120"/>
      <c r="B502" s="212"/>
      <c r="C502" s="212"/>
      <c r="D502" s="213"/>
      <c r="E502" s="120"/>
      <c r="F502" s="120"/>
      <c r="G502" s="120"/>
      <c r="H502" s="120"/>
      <c r="I502" s="120"/>
      <c r="J502" s="1303"/>
    </row>
    <row r="503" spans="1:10">
      <c r="A503" s="120"/>
      <c r="B503" s="212"/>
      <c r="C503" s="212"/>
      <c r="D503" s="213"/>
      <c r="E503" s="120"/>
      <c r="F503" s="120"/>
      <c r="G503" s="120"/>
      <c r="H503" s="120"/>
      <c r="I503" s="120"/>
      <c r="J503" s="1303"/>
    </row>
    <row r="504" spans="1:10">
      <c r="A504" s="120"/>
      <c r="B504" s="212"/>
      <c r="C504" s="212"/>
      <c r="D504" s="213"/>
      <c r="E504" s="120"/>
      <c r="F504" s="120"/>
      <c r="G504" s="120"/>
      <c r="H504" s="120"/>
      <c r="I504" s="120"/>
      <c r="J504" s="1303"/>
    </row>
    <row r="505" spans="1:10">
      <c r="A505" s="120"/>
      <c r="B505" s="212"/>
      <c r="C505" s="212"/>
      <c r="D505" s="213"/>
      <c r="E505" s="120"/>
      <c r="F505" s="120"/>
      <c r="G505" s="120"/>
      <c r="H505" s="120"/>
      <c r="I505" s="120"/>
      <c r="J505" s="1303"/>
    </row>
    <row r="506" spans="1:10">
      <c r="A506" s="120"/>
      <c r="B506" s="212"/>
      <c r="C506" s="212"/>
      <c r="D506" s="213"/>
      <c r="E506" s="120"/>
      <c r="F506" s="120"/>
      <c r="G506" s="120"/>
      <c r="H506" s="120"/>
      <c r="I506" s="120"/>
      <c r="J506" s="1303"/>
    </row>
    <row r="507" spans="1:10">
      <c r="A507" s="120"/>
      <c r="B507" s="212"/>
      <c r="C507" s="212"/>
      <c r="D507" s="213"/>
      <c r="E507" s="120"/>
      <c r="F507" s="120"/>
      <c r="G507" s="120"/>
      <c r="H507" s="120"/>
      <c r="I507" s="120"/>
      <c r="J507" s="1303"/>
    </row>
    <row r="508" spans="1:10">
      <c r="A508" s="120"/>
      <c r="B508" s="212"/>
      <c r="C508" s="212"/>
      <c r="D508" s="213"/>
      <c r="E508" s="120"/>
      <c r="F508" s="120"/>
      <c r="G508" s="120"/>
      <c r="H508" s="120"/>
      <c r="I508" s="120"/>
      <c r="J508" s="1303"/>
    </row>
    <row r="509" spans="1:10">
      <c r="A509" s="120"/>
      <c r="B509" s="212"/>
      <c r="C509" s="212"/>
      <c r="D509" s="213"/>
      <c r="E509" s="120"/>
      <c r="F509" s="120"/>
      <c r="G509" s="120"/>
      <c r="H509" s="120"/>
      <c r="I509" s="120"/>
      <c r="J509" s="1303"/>
    </row>
    <row r="510" spans="1:10">
      <c r="A510" s="120"/>
      <c r="B510" s="212"/>
      <c r="C510" s="212"/>
      <c r="D510" s="213"/>
      <c r="E510" s="120"/>
      <c r="F510" s="120"/>
      <c r="G510" s="120"/>
      <c r="H510" s="120"/>
      <c r="I510" s="120"/>
      <c r="J510" s="1303"/>
    </row>
    <row r="511" spans="1:10">
      <c r="A511" s="120"/>
      <c r="B511" s="210"/>
      <c r="C511" s="210"/>
      <c r="D511" s="211"/>
      <c r="E511" s="120"/>
      <c r="F511" s="120"/>
      <c r="G511" s="120"/>
      <c r="H511" s="120"/>
      <c r="I511" s="120"/>
      <c r="J511" s="1303"/>
    </row>
    <row r="512" spans="1:10">
      <c r="A512" s="120"/>
      <c r="B512" s="210"/>
      <c r="C512" s="210"/>
      <c r="D512" s="211"/>
      <c r="E512" s="120"/>
      <c r="F512" s="120"/>
      <c r="G512" s="120"/>
      <c r="H512" s="120"/>
      <c r="I512" s="120"/>
      <c r="J512" s="1303"/>
    </row>
    <row r="513" spans="1:10">
      <c r="A513" s="120"/>
      <c r="B513" s="212"/>
      <c r="C513" s="212"/>
      <c r="D513" s="213"/>
      <c r="E513" s="120"/>
      <c r="F513" s="120"/>
      <c r="G513" s="120"/>
      <c r="H513" s="120"/>
      <c r="I513" s="120"/>
      <c r="J513" s="1303"/>
    </row>
    <row r="514" spans="1:10">
      <c r="A514" s="120"/>
      <c r="B514" s="212"/>
      <c r="C514" s="212"/>
      <c r="D514" s="213"/>
      <c r="E514" s="120"/>
      <c r="F514" s="120"/>
      <c r="G514" s="120"/>
      <c r="H514" s="120"/>
      <c r="I514" s="120"/>
      <c r="J514" s="1303"/>
    </row>
    <row r="515" spans="1:10">
      <c r="A515" s="120"/>
      <c r="B515" s="212"/>
      <c r="C515" s="212"/>
      <c r="D515" s="213"/>
      <c r="E515" s="120"/>
      <c r="F515" s="120"/>
      <c r="G515" s="120"/>
      <c r="H515" s="120"/>
      <c r="I515" s="120"/>
      <c r="J515" s="1303"/>
    </row>
    <row r="516" spans="1:10">
      <c r="A516" s="120"/>
      <c r="B516" s="212"/>
      <c r="C516" s="212"/>
      <c r="D516" s="213"/>
      <c r="E516" s="120"/>
      <c r="F516" s="120"/>
      <c r="G516" s="120"/>
      <c r="H516" s="120"/>
      <c r="I516" s="1303"/>
      <c r="J516" s="1303"/>
    </row>
    <row r="517" spans="1:10">
      <c r="A517" s="120"/>
      <c r="B517" s="212"/>
      <c r="C517" s="212"/>
      <c r="D517" s="213"/>
      <c r="E517" s="120"/>
      <c r="F517" s="120"/>
      <c r="G517" s="120"/>
      <c r="H517" s="120"/>
      <c r="I517" s="120"/>
      <c r="J517" s="1303"/>
    </row>
    <row r="518" spans="1:10">
      <c r="A518" s="120"/>
      <c r="B518" s="212"/>
      <c r="C518" s="212"/>
      <c r="D518" s="213"/>
      <c r="E518" s="120"/>
      <c r="F518" s="120"/>
      <c r="G518" s="120"/>
      <c r="H518" s="120"/>
      <c r="I518" s="120"/>
      <c r="J518" s="1303"/>
    </row>
    <row r="519" spans="1:10">
      <c r="A519" s="120"/>
      <c r="B519" s="210"/>
      <c r="C519" s="210"/>
      <c r="D519" s="211"/>
      <c r="E519" s="120"/>
      <c r="F519" s="120"/>
      <c r="G519" s="120"/>
      <c r="H519" s="120"/>
      <c r="I519" s="120"/>
      <c r="J519" s="1303"/>
    </row>
    <row r="520" spans="1:10">
      <c r="A520" s="120"/>
      <c r="B520" s="212"/>
      <c r="C520" s="212"/>
      <c r="D520" s="213"/>
      <c r="E520" s="120"/>
      <c r="F520" s="120"/>
      <c r="G520" s="120"/>
      <c r="H520" s="120"/>
      <c r="I520" s="120"/>
      <c r="J520" s="1303"/>
    </row>
    <row r="521" spans="1:10">
      <c r="A521" s="120"/>
      <c r="B521" s="212"/>
      <c r="C521" s="212"/>
      <c r="D521" s="213"/>
      <c r="E521" s="120"/>
      <c r="F521" s="120"/>
      <c r="G521" s="120"/>
      <c r="H521" s="120"/>
      <c r="I521" s="120"/>
      <c r="J521" s="1303"/>
    </row>
    <row r="522" spans="1:10">
      <c r="A522" s="120"/>
      <c r="B522" s="212"/>
      <c r="C522" s="212"/>
      <c r="D522" s="213"/>
      <c r="E522" s="120"/>
      <c r="F522" s="120"/>
      <c r="G522" s="120"/>
      <c r="H522" s="120"/>
      <c r="I522" s="120"/>
      <c r="J522" s="1303"/>
    </row>
    <row r="523" spans="1:10">
      <c r="A523" s="120"/>
      <c r="B523" s="212"/>
      <c r="C523" s="212"/>
      <c r="D523" s="213"/>
      <c r="E523" s="120"/>
      <c r="F523" s="120"/>
      <c r="G523" s="120"/>
      <c r="H523" s="1303"/>
      <c r="I523" s="120"/>
      <c r="J523" s="1303"/>
    </row>
    <row r="524" spans="1:10">
      <c r="A524" s="120"/>
      <c r="B524" s="212"/>
      <c r="C524" s="212"/>
      <c r="D524" s="213"/>
      <c r="E524" s="120"/>
      <c r="F524" s="120"/>
      <c r="G524" s="120"/>
      <c r="H524" s="1303"/>
      <c r="I524" s="120"/>
      <c r="J524" s="1303"/>
    </row>
    <row r="525" spans="1:10">
      <c r="A525" s="120"/>
      <c r="B525" s="212"/>
      <c r="C525" s="212"/>
      <c r="D525" s="213"/>
      <c r="E525" s="120"/>
      <c r="F525" s="120"/>
      <c r="G525" s="120"/>
      <c r="H525" s="1303"/>
      <c r="I525" s="120"/>
      <c r="J525" s="1303"/>
    </row>
    <row r="526" spans="1:10">
      <c r="A526" s="120"/>
      <c r="B526" s="212"/>
      <c r="C526" s="212"/>
      <c r="D526" s="213"/>
      <c r="E526" s="120"/>
      <c r="F526" s="120"/>
      <c r="G526" s="120"/>
      <c r="H526" s="120"/>
      <c r="I526" s="120"/>
      <c r="J526" s="1303"/>
    </row>
    <row r="527" spans="1:10">
      <c r="A527" s="120"/>
      <c r="B527" s="210"/>
      <c r="C527" s="121"/>
      <c r="D527" s="122"/>
      <c r="E527" s="120"/>
      <c r="F527" s="120"/>
      <c r="G527" s="120"/>
      <c r="H527" s="120"/>
      <c r="I527" s="1303"/>
      <c r="J527" s="1303"/>
    </row>
    <row r="528" spans="1:10">
      <c r="A528" s="120"/>
      <c r="B528" s="212"/>
      <c r="C528" s="145"/>
      <c r="D528" s="146"/>
      <c r="E528" s="120"/>
      <c r="F528" s="120"/>
      <c r="G528" s="120"/>
      <c r="H528" s="120"/>
      <c r="I528" s="1303"/>
      <c r="J528" s="1303"/>
    </row>
    <row r="529" spans="1:10">
      <c r="A529" s="120"/>
      <c r="B529" s="212"/>
      <c r="C529" s="145"/>
      <c r="D529" s="146"/>
      <c r="E529" s="120"/>
      <c r="F529" s="120"/>
      <c r="G529" s="120"/>
      <c r="H529" s="120"/>
      <c r="I529" s="1303"/>
      <c r="J529" s="1303"/>
    </row>
    <row r="530" spans="1:10">
      <c r="A530" s="120"/>
      <c r="B530" s="212"/>
      <c r="C530" s="145"/>
      <c r="D530" s="146"/>
      <c r="E530" s="120"/>
      <c r="F530" s="120"/>
      <c r="G530" s="120"/>
      <c r="H530" s="1303"/>
      <c r="I530" s="1303"/>
      <c r="J530" s="1303"/>
    </row>
    <row r="531" spans="1:10">
      <c r="A531" s="120"/>
      <c r="B531" s="212"/>
      <c r="C531" s="145"/>
      <c r="D531" s="146"/>
      <c r="E531" s="120"/>
      <c r="F531" s="120"/>
      <c r="G531" s="120"/>
      <c r="H531" s="1303"/>
      <c r="I531" s="1303"/>
      <c r="J531" s="1303"/>
    </row>
    <row r="532" spans="1:10">
      <c r="A532" s="120"/>
      <c r="B532" s="212"/>
      <c r="C532" s="145"/>
      <c r="D532" s="146"/>
      <c r="E532" s="120"/>
      <c r="F532" s="120"/>
      <c r="G532" s="120"/>
      <c r="H532" s="1303"/>
      <c r="I532" s="1303"/>
      <c r="J532" s="1303"/>
    </row>
    <row r="533" spans="1:10">
      <c r="A533" s="120"/>
      <c r="B533" s="212"/>
      <c r="C533" s="145"/>
      <c r="D533" s="146"/>
      <c r="E533" s="120"/>
      <c r="F533" s="120"/>
      <c r="G533" s="120"/>
      <c r="H533" s="120"/>
      <c r="I533" s="1303"/>
      <c r="J533" s="1303"/>
    </row>
    <row r="534" spans="1:10">
      <c r="A534" s="120"/>
      <c r="B534" s="212"/>
      <c r="C534" s="145"/>
      <c r="D534" s="146"/>
      <c r="E534" s="120"/>
      <c r="F534" s="120"/>
      <c r="G534" s="120"/>
      <c r="H534" s="120"/>
      <c r="I534" s="1303"/>
      <c r="J534" s="1303"/>
    </row>
    <row r="535" spans="1:10">
      <c r="A535" s="120"/>
      <c r="B535" s="212"/>
      <c r="C535" s="145"/>
      <c r="D535" s="146"/>
      <c r="E535" s="120"/>
      <c r="F535" s="120"/>
      <c r="G535" s="120"/>
      <c r="H535" s="120"/>
      <c r="I535" s="1303"/>
      <c r="J535" s="1303"/>
    </row>
    <row r="536" spans="1:10">
      <c r="A536" s="120"/>
      <c r="B536" s="212"/>
      <c r="C536" s="145"/>
      <c r="D536" s="146"/>
      <c r="E536" s="120"/>
      <c r="F536" s="120"/>
      <c r="G536" s="120"/>
      <c r="H536" s="120"/>
      <c r="I536" s="1303"/>
      <c r="J536" s="1303"/>
    </row>
    <row r="537" spans="1:10">
      <c r="A537" s="120"/>
      <c r="B537" s="212"/>
      <c r="C537" s="145"/>
      <c r="D537" s="146"/>
      <c r="E537" s="120"/>
      <c r="F537" s="120"/>
      <c r="G537" s="120"/>
      <c r="H537" s="120"/>
      <c r="I537" s="1303"/>
      <c r="J537" s="1303"/>
    </row>
    <row r="538" spans="1:10">
      <c r="A538" s="120"/>
      <c r="B538" s="210"/>
      <c r="C538" s="121"/>
      <c r="D538" s="122"/>
      <c r="E538" s="120"/>
      <c r="F538" s="120"/>
      <c r="G538" s="120"/>
      <c r="H538" s="120"/>
      <c r="I538" s="1303"/>
      <c r="J538" s="1303"/>
    </row>
    <row r="539" spans="1:10">
      <c r="A539" s="120"/>
      <c r="B539" s="212"/>
      <c r="C539" s="145"/>
      <c r="D539" s="146"/>
      <c r="E539" s="120"/>
      <c r="F539" s="120"/>
      <c r="G539" s="1303"/>
      <c r="H539" s="1303"/>
      <c r="I539" s="1303"/>
      <c r="J539" s="1303"/>
    </row>
    <row r="540" spans="1:10">
      <c r="A540" s="120"/>
      <c r="B540" s="212"/>
      <c r="C540" s="145"/>
      <c r="D540" s="146"/>
      <c r="E540" s="120"/>
      <c r="F540" s="120"/>
      <c r="G540" s="1303"/>
      <c r="H540" s="1303"/>
      <c r="I540" s="1303"/>
      <c r="J540" s="1303"/>
    </row>
    <row r="541" spans="1:10">
      <c r="A541" s="120"/>
      <c r="B541" s="212"/>
      <c r="C541" s="145"/>
      <c r="D541" s="146"/>
      <c r="E541" s="120"/>
      <c r="F541" s="120"/>
      <c r="G541" s="1303"/>
      <c r="H541" s="1303"/>
      <c r="I541" s="1303"/>
      <c r="J541" s="1303"/>
    </row>
    <row r="542" spans="1:10">
      <c r="A542" s="120"/>
      <c r="B542" s="212"/>
      <c r="C542" s="145"/>
      <c r="D542" s="146"/>
      <c r="E542" s="120"/>
      <c r="F542" s="120"/>
      <c r="G542" s="1303"/>
      <c r="H542" s="1303"/>
      <c r="I542" s="1303"/>
      <c r="J542" s="1303"/>
    </row>
    <row r="543" spans="1:10">
      <c r="A543" s="120"/>
      <c r="B543" s="212"/>
      <c r="C543" s="145"/>
      <c r="D543" s="146"/>
      <c r="E543" s="120"/>
      <c r="F543" s="120"/>
      <c r="G543" s="1303"/>
      <c r="H543" s="1303"/>
      <c r="I543" s="1303"/>
      <c r="J543" s="1303"/>
    </row>
    <row r="544" spans="1:10">
      <c r="A544" s="120"/>
      <c r="B544" s="212"/>
      <c r="C544" s="145"/>
      <c r="D544" s="146"/>
      <c r="E544" s="120"/>
      <c r="F544" s="120"/>
      <c r="G544" s="1303"/>
      <c r="H544" s="120"/>
      <c r="I544" s="1303"/>
      <c r="J544" s="1303"/>
    </row>
    <row r="545" spans="1:11">
      <c r="A545" s="120"/>
      <c r="B545" s="212"/>
      <c r="C545" s="145"/>
      <c r="D545" s="146"/>
      <c r="E545" s="120"/>
      <c r="F545" s="120"/>
      <c r="G545" s="1303"/>
      <c r="H545" s="120"/>
      <c r="I545" s="1303"/>
      <c r="J545" s="1303"/>
    </row>
    <row r="546" spans="1:11">
      <c r="A546" s="120"/>
      <c r="B546" s="212"/>
      <c r="C546" s="145"/>
      <c r="D546" s="146"/>
      <c r="E546" s="120"/>
      <c r="F546" s="120"/>
      <c r="G546" s="1303"/>
      <c r="H546" s="1303"/>
      <c r="I546" s="1303"/>
      <c r="J546" s="1303"/>
    </row>
    <row r="547" spans="1:11" s="158" customFormat="1">
      <c r="A547" s="153"/>
      <c r="B547" s="1336"/>
      <c r="C547" s="154"/>
      <c r="D547" s="155"/>
      <c r="E547" s="156"/>
      <c r="F547" s="156"/>
      <c r="G547" s="153"/>
      <c r="H547" s="153"/>
      <c r="I547" s="157"/>
      <c r="J547" s="153"/>
    </row>
    <row r="548" spans="1:11" s="158" customFormat="1">
      <c r="A548" s="153"/>
      <c r="B548" s="1339"/>
      <c r="C548" s="203"/>
      <c r="D548" s="204"/>
      <c r="E548" s="156"/>
      <c r="F548" s="156"/>
      <c r="G548" s="153"/>
      <c r="H548" s="153"/>
      <c r="I548" s="157"/>
      <c r="J548" s="1304"/>
      <c r="K548" s="159"/>
    </row>
    <row r="549" spans="1:11" s="158" customFormat="1">
      <c r="A549" s="153"/>
      <c r="B549" s="1336"/>
      <c r="C549" s="154"/>
      <c r="D549" s="155"/>
      <c r="E549" s="156"/>
      <c r="F549" s="156"/>
      <c r="G549" s="153"/>
      <c r="H549" s="1304"/>
      <c r="I549" s="161"/>
      <c r="J549" s="1304"/>
      <c r="K549" s="159"/>
    </row>
    <row r="550" spans="1:11">
      <c r="A550" s="120"/>
      <c r="B550" s="210"/>
      <c r="C550" s="121"/>
      <c r="D550" s="122"/>
      <c r="E550" s="120"/>
      <c r="F550" s="120"/>
      <c r="G550" s="120"/>
      <c r="H550" s="120"/>
      <c r="I550" s="1303"/>
      <c r="J550" s="1303"/>
    </row>
    <row r="551" spans="1:11">
      <c r="A551" s="120"/>
      <c r="B551" s="210"/>
      <c r="C551" s="121"/>
      <c r="D551" s="122"/>
      <c r="E551" s="120"/>
      <c r="F551" s="120"/>
      <c r="G551" s="120"/>
      <c r="H551" s="120"/>
      <c r="I551" s="1303"/>
      <c r="J551" s="142"/>
      <c r="K551" s="143"/>
    </row>
    <row r="552" spans="1:11">
      <c r="A552" s="120"/>
      <c r="B552" s="210"/>
      <c r="C552" s="121"/>
      <c r="D552" s="122"/>
      <c r="E552" s="120"/>
      <c r="F552" s="120"/>
      <c r="G552" s="120"/>
      <c r="H552" s="120"/>
      <c r="I552" s="1303"/>
      <c r="J552" s="1303"/>
    </row>
    <row r="553" spans="1:11">
      <c r="A553" s="120"/>
      <c r="B553" s="210"/>
      <c r="C553" s="121"/>
      <c r="D553" s="122"/>
      <c r="E553" s="120"/>
      <c r="F553" s="120"/>
      <c r="G553" s="120"/>
      <c r="H553" s="120"/>
      <c r="I553" s="1303"/>
      <c r="J553" s="1303"/>
    </row>
    <row r="554" spans="1:11">
      <c r="A554" s="1302"/>
      <c r="B554" s="212"/>
      <c r="C554" s="145"/>
      <c r="D554" s="146"/>
      <c r="E554" s="120"/>
      <c r="F554" s="120"/>
      <c r="G554" s="120"/>
      <c r="H554" s="120"/>
      <c r="I554" s="1303"/>
      <c r="J554" s="1303"/>
    </row>
    <row r="555" spans="1:11">
      <c r="A555" s="1302"/>
      <c r="B555" s="212"/>
      <c r="C555" s="145"/>
      <c r="D555" s="146"/>
      <c r="E555" s="120"/>
      <c r="F555" s="120"/>
      <c r="G555" s="120"/>
      <c r="H555" s="120"/>
      <c r="I555" s="1303"/>
      <c r="J555" s="1303"/>
    </row>
    <row r="556" spans="1:11">
      <c r="A556" s="120"/>
      <c r="B556" s="210"/>
      <c r="C556" s="121"/>
      <c r="D556" s="122"/>
      <c r="E556" s="120"/>
      <c r="F556" s="120"/>
      <c r="G556" s="120"/>
      <c r="H556" s="120"/>
      <c r="I556" s="1303"/>
      <c r="J556" s="1303"/>
    </row>
    <row r="557" spans="1:11">
      <c r="A557" s="1302"/>
      <c r="B557" s="212"/>
      <c r="C557" s="145"/>
      <c r="D557" s="146"/>
      <c r="E557" s="120"/>
      <c r="F557" s="120"/>
      <c r="G557" s="120"/>
      <c r="H557" s="120"/>
      <c r="I557" s="1303"/>
      <c r="J557" s="1303"/>
    </row>
    <row r="558" spans="1:11">
      <c r="A558" s="1302"/>
      <c r="B558" s="212"/>
      <c r="C558" s="145"/>
      <c r="D558" s="146"/>
      <c r="E558" s="120"/>
      <c r="F558" s="120"/>
      <c r="G558" s="120"/>
      <c r="H558" s="120"/>
      <c r="I558" s="1303"/>
      <c r="J558" s="1303"/>
    </row>
    <row r="559" spans="1:11">
      <c r="A559" s="1302"/>
      <c r="B559" s="210"/>
      <c r="C559" s="121"/>
      <c r="D559" s="122"/>
      <c r="E559" s="120"/>
      <c r="F559" s="120"/>
      <c r="G559" s="120"/>
      <c r="H559" s="120"/>
      <c r="I559" s="1303"/>
      <c r="J559" s="1303"/>
    </row>
    <row r="560" spans="1:11">
      <c r="A560" s="1302"/>
      <c r="B560" s="212"/>
      <c r="C560" s="145"/>
      <c r="D560" s="146"/>
      <c r="E560" s="120"/>
      <c r="F560" s="120"/>
      <c r="G560" s="120"/>
      <c r="H560" s="120"/>
      <c r="I560" s="1303"/>
      <c r="J560" s="1303"/>
    </row>
    <row r="561" spans="1:10">
      <c r="A561" s="1302"/>
      <c r="B561" s="212"/>
      <c r="C561" s="145"/>
      <c r="D561" s="146"/>
      <c r="E561" s="120"/>
      <c r="F561" s="120"/>
      <c r="G561" s="120"/>
      <c r="H561" s="120"/>
      <c r="I561" s="1303"/>
      <c r="J561" s="1303"/>
    </row>
    <row r="562" spans="1:10">
      <c r="A562" s="120"/>
      <c r="B562" s="212"/>
      <c r="C562" s="145"/>
      <c r="D562" s="146"/>
      <c r="E562" s="120"/>
      <c r="F562" s="120"/>
      <c r="G562" s="120"/>
      <c r="H562" s="120"/>
      <c r="I562" s="1303"/>
      <c r="J562" s="1303"/>
    </row>
    <row r="563" spans="1:10">
      <c r="A563" s="120"/>
      <c r="B563" s="212"/>
      <c r="C563" s="145"/>
      <c r="D563" s="146"/>
      <c r="E563" s="120"/>
      <c r="F563" s="120"/>
      <c r="G563" s="120"/>
      <c r="H563" s="120"/>
      <c r="I563" s="1303"/>
      <c r="J563" s="1303"/>
    </row>
    <row r="564" spans="1:10">
      <c r="A564" s="1302"/>
      <c r="B564" s="210"/>
      <c r="C564" s="121"/>
      <c r="D564" s="122"/>
      <c r="E564" s="120"/>
      <c r="F564" s="120"/>
      <c r="G564" s="207"/>
      <c r="H564" s="120"/>
      <c r="I564" s="1303"/>
      <c r="J564" s="1303"/>
    </row>
    <row r="565" spans="1:10">
      <c r="A565" s="1302"/>
      <c r="B565" s="212"/>
      <c r="C565" s="212"/>
      <c r="D565" s="213"/>
      <c r="E565" s="120"/>
      <c r="F565" s="120"/>
      <c r="G565" s="120"/>
      <c r="H565" s="120"/>
      <c r="I565" s="1303"/>
      <c r="J565" s="1303"/>
    </row>
    <row r="566" spans="1:10">
      <c r="A566" s="1302"/>
      <c r="B566" s="212"/>
      <c r="C566" s="145"/>
      <c r="D566" s="146"/>
      <c r="E566" s="120"/>
      <c r="F566" s="120"/>
      <c r="G566" s="120"/>
      <c r="H566" s="120"/>
      <c r="I566" s="1303"/>
      <c r="J566" s="1303"/>
    </row>
    <row r="567" spans="1:10">
      <c r="A567" s="1302"/>
      <c r="B567" s="210"/>
      <c r="C567" s="121"/>
      <c r="D567" s="122"/>
      <c r="E567" s="120"/>
      <c r="F567" s="120"/>
      <c r="G567" s="1303"/>
      <c r="H567" s="120"/>
      <c r="I567" s="1303"/>
      <c r="J567" s="1303"/>
    </row>
    <row r="568" spans="1:10">
      <c r="A568" s="1302"/>
      <c r="B568" s="1341"/>
      <c r="C568" s="208"/>
      <c r="D568" s="209"/>
      <c r="E568" s="120"/>
      <c r="F568" s="120"/>
      <c r="G568" s="1303"/>
      <c r="H568" s="120"/>
      <c r="I568" s="1303"/>
      <c r="J568" s="1303"/>
    </row>
    <row r="569" spans="1:10">
      <c r="A569" s="1302"/>
      <c r="B569" s="212"/>
      <c r="C569" s="145"/>
      <c r="D569" s="146"/>
      <c r="E569" s="120"/>
      <c r="F569" s="120"/>
      <c r="G569" s="120"/>
      <c r="H569" s="1303"/>
      <c r="I569" s="1303"/>
      <c r="J569" s="1303"/>
    </row>
    <row r="570" spans="1:10">
      <c r="A570" s="120"/>
      <c r="B570" s="212"/>
      <c r="C570" s="145"/>
      <c r="D570" s="146"/>
      <c r="E570" s="120"/>
      <c r="F570" s="120"/>
      <c r="G570" s="120"/>
      <c r="H570" s="1303"/>
      <c r="I570" s="1303"/>
      <c r="J570" s="1303"/>
    </row>
    <row r="571" spans="1:10">
      <c r="A571" s="120"/>
      <c r="B571" s="212"/>
      <c r="C571" s="145"/>
      <c r="D571" s="146"/>
      <c r="E571" s="120"/>
      <c r="F571" s="120"/>
      <c r="G571" s="120"/>
      <c r="H571" s="1303"/>
      <c r="I571" s="1303"/>
      <c r="J571" s="1303"/>
    </row>
    <row r="572" spans="1:10">
      <c r="A572" s="120"/>
      <c r="B572" s="212"/>
      <c r="C572" s="145"/>
      <c r="D572" s="146"/>
      <c r="E572" s="120"/>
      <c r="F572" s="120"/>
      <c r="G572" s="120"/>
      <c r="H572" s="1303"/>
      <c r="I572" s="1303"/>
      <c r="J572" s="1303"/>
    </row>
    <row r="573" spans="1:10">
      <c r="A573" s="120"/>
      <c r="B573" s="212"/>
      <c r="C573" s="145"/>
      <c r="D573" s="146"/>
      <c r="E573" s="120"/>
      <c r="F573" s="120"/>
      <c r="G573" s="120"/>
      <c r="H573" s="1303"/>
      <c r="I573" s="1303"/>
      <c r="J573" s="1303"/>
    </row>
    <row r="574" spans="1:10">
      <c r="A574" s="1302"/>
      <c r="B574" s="1341"/>
      <c r="C574" s="208"/>
      <c r="D574" s="209"/>
      <c r="E574" s="120"/>
      <c r="F574" s="120"/>
      <c r="G574" s="1303"/>
      <c r="H574" s="120"/>
      <c r="I574" s="1303"/>
      <c r="J574" s="1303"/>
    </row>
    <row r="575" spans="1:10">
      <c r="A575" s="1302"/>
      <c r="B575" s="212"/>
      <c r="C575" s="212"/>
      <c r="D575" s="213"/>
      <c r="E575" s="120"/>
      <c r="F575" s="120"/>
      <c r="G575" s="1303"/>
      <c r="H575" s="1303"/>
      <c r="I575" s="214"/>
      <c r="J575" s="1303"/>
    </row>
    <row r="576" spans="1:10">
      <c r="A576" s="120"/>
      <c r="B576" s="212"/>
      <c r="C576" s="212"/>
      <c r="D576" s="213"/>
      <c r="E576" s="120"/>
      <c r="F576" s="120"/>
      <c r="G576" s="1303"/>
      <c r="H576" s="1303"/>
      <c r="I576" s="214"/>
      <c r="J576" s="1303"/>
    </row>
    <row r="577" spans="1:11">
      <c r="A577" s="120"/>
      <c r="B577" s="212"/>
      <c r="C577" s="212"/>
      <c r="D577" s="213"/>
      <c r="E577" s="120"/>
      <c r="F577" s="120"/>
      <c r="G577" s="1303"/>
      <c r="H577" s="1303"/>
      <c r="I577" s="214"/>
      <c r="J577" s="1303"/>
    </row>
    <row r="578" spans="1:11">
      <c r="A578" s="120"/>
      <c r="B578" s="212"/>
      <c r="C578" s="212"/>
      <c r="D578" s="213"/>
      <c r="E578" s="120"/>
      <c r="F578" s="120"/>
      <c r="G578" s="1303"/>
      <c r="H578" s="1303"/>
      <c r="I578" s="214"/>
      <c r="J578" s="1303"/>
    </row>
    <row r="579" spans="1:11">
      <c r="A579" s="120"/>
      <c r="B579" s="212"/>
      <c r="C579" s="145"/>
      <c r="D579" s="146"/>
      <c r="E579" s="120"/>
      <c r="F579" s="120"/>
      <c r="G579" s="1303"/>
      <c r="H579" s="1303"/>
      <c r="I579" s="1303"/>
      <c r="J579" s="1303"/>
    </row>
    <row r="580" spans="1:11">
      <c r="A580" s="120"/>
      <c r="B580" s="212"/>
      <c r="C580" s="145"/>
      <c r="D580" s="146"/>
      <c r="E580" s="120"/>
      <c r="F580" s="120"/>
      <c r="G580" s="120"/>
      <c r="H580" s="120"/>
      <c r="I580" s="1303"/>
      <c r="J580" s="1303"/>
    </row>
    <row r="581" spans="1:11" s="158" customFormat="1">
      <c r="A581" s="153"/>
      <c r="B581" s="1339"/>
      <c r="C581" s="203"/>
      <c r="D581" s="204"/>
      <c r="E581" s="156"/>
      <c r="F581" s="156"/>
      <c r="G581" s="153"/>
      <c r="H581" s="1304"/>
      <c r="I581" s="161"/>
      <c r="J581" s="1304"/>
      <c r="K581" s="159"/>
    </row>
    <row r="582" spans="1:11">
      <c r="A582" s="120"/>
      <c r="B582" s="212"/>
      <c r="C582" s="145"/>
      <c r="D582" s="146"/>
      <c r="E582" s="120"/>
      <c r="F582" s="120"/>
      <c r="G582" s="120"/>
      <c r="H582" s="1303"/>
      <c r="I582" s="1303"/>
      <c r="J582" s="1303"/>
    </row>
    <row r="583" spans="1:11" s="158" customFormat="1">
      <c r="A583" s="153"/>
      <c r="B583" s="1336"/>
      <c r="C583" s="154"/>
      <c r="D583" s="155"/>
      <c r="E583" s="156"/>
      <c r="F583" s="156"/>
      <c r="G583" s="153"/>
      <c r="H583" s="153"/>
      <c r="I583" s="157"/>
      <c r="J583" s="153"/>
    </row>
    <row r="584" spans="1:11" s="158" customFormat="1">
      <c r="A584" s="153"/>
      <c r="B584" s="1339"/>
      <c r="C584" s="203"/>
      <c r="D584" s="204"/>
      <c r="E584" s="156"/>
      <c r="F584" s="156"/>
      <c r="G584" s="153"/>
      <c r="H584" s="153"/>
      <c r="I584" s="157"/>
      <c r="J584" s="1304"/>
      <c r="K584" s="159"/>
    </row>
    <row r="585" spans="1:11" s="158" customFormat="1">
      <c r="A585" s="153"/>
      <c r="B585" s="1336"/>
      <c r="C585" s="154"/>
      <c r="D585" s="155"/>
      <c r="E585" s="156"/>
      <c r="F585" s="156"/>
      <c r="G585" s="153"/>
      <c r="H585" s="1304"/>
      <c r="I585" s="161"/>
      <c r="J585" s="1304"/>
      <c r="K585" s="159"/>
    </row>
    <row r="586" spans="1:11" s="158" customFormat="1">
      <c r="A586" s="153"/>
      <c r="B586" s="1336"/>
      <c r="C586" s="154"/>
      <c r="D586" s="155"/>
      <c r="E586" s="156"/>
      <c r="F586" s="156"/>
      <c r="G586" s="153"/>
      <c r="H586" s="1304"/>
      <c r="I586" s="161"/>
      <c r="J586" s="1304"/>
      <c r="K586" s="159"/>
    </row>
    <row r="587" spans="1:11" s="158" customFormat="1">
      <c r="A587" s="153"/>
      <c r="B587" s="1339"/>
      <c r="C587" s="203"/>
      <c r="D587" s="204"/>
      <c r="E587" s="156"/>
      <c r="F587" s="156"/>
      <c r="G587" s="153"/>
      <c r="H587" s="1304"/>
      <c r="I587" s="161"/>
      <c r="J587" s="1304"/>
      <c r="K587" s="159"/>
    </row>
    <row r="588" spans="1:11">
      <c r="A588" s="120"/>
      <c r="B588" s="212"/>
      <c r="C588" s="145"/>
      <c r="D588" s="146"/>
      <c r="E588" s="120"/>
      <c r="F588" s="120"/>
      <c r="G588" s="1303"/>
      <c r="H588" s="120"/>
      <c r="I588" s="1303"/>
      <c r="J588" s="1303"/>
    </row>
    <row r="589" spans="1:11">
      <c r="A589" s="120"/>
      <c r="B589" s="212"/>
      <c r="C589" s="145"/>
      <c r="D589" s="146"/>
      <c r="E589" s="120"/>
      <c r="F589" s="120"/>
      <c r="G589" s="1303"/>
      <c r="H589" s="120"/>
      <c r="I589" s="1303"/>
      <c r="J589" s="1303"/>
    </row>
    <row r="590" spans="1:11" s="158" customFormat="1">
      <c r="A590" s="153"/>
      <c r="B590" s="1336"/>
      <c r="C590" s="154"/>
      <c r="D590" s="155"/>
      <c r="E590" s="156"/>
      <c r="F590" s="156"/>
      <c r="G590" s="153"/>
      <c r="H590" s="153"/>
      <c r="I590" s="157"/>
      <c r="J590" s="153"/>
    </row>
    <row r="591" spans="1:11" s="158" customFormat="1">
      <c r="A591" s="153"/>
      <c r="B591" s="1339"/>
      <c r="C591" s="203"/>
      <c r="D591" s="204"/>
      <c r="E591" s="156"/>
      <c r="F591" s="156"/>
      <c r="G591" s="153"/>
      <c r="H591" s="153"/>
      <c r="I591" s="157"/>
      <c r="J591" s="1304"/>
      <c r="K591" s="159"/>
    </row>
    <row r="592" spans="1:11" s="158" customFormat="1">
      <c r="A592" s="153"/>
      <c r="B592" s="1336"/>
      <c r="C592" s="154"/>
      <c r="D592" s="155"/>
      <c r="E592" s="156"/>
      <c r="F592" s="156"/>
      <c r="G592" s="153"/>
      <c r="H592" s="1304"/>
      <c r="I592" s="161"/>
      <c r="J592" s="1304"/>
      <c r="K592" s="159"/>
    </row>
    <row r="593" spans="1:11" ht="17.25" hidden="1" customHeight="1">
      <c r="A593" s="202"/>
      <c r="B593" s="210"/>
      <c r="C593" s="121"/>
      <c r="D593" s="122"/>
      <c r="E593" s="120"/>
      <c r="F593" s="120"/>
      <c r="G593" s="120"/>
      <c r="H593" s="120"/>
      <c r="I593" s="1303"/>
      <c r="J593" s="1303"/>
    </row>
    <row r="594" spans="1:11" ht="17.25" hidden="1" customHeight="1">
      <c r="A594" s="120"/>
      <c r="B594" s="212"/>
      <c r="C594" s="145"/>
      <c r="D594" s="146"/>
      <c r="E594" s="120"/>
      <c r="F594" s="120"/>
      <c r="G594" s="120"/>
      <c r="H594" s="120"/>
      <c r="I594" s="1303"/>
      <c r="J594" s="1303"/>
    </row>
    <row r="595" spans="1:11" s="158" customFormat="1" ht="17.25" hidden="1" customHeight="1">
      <c r="A595" s="153"/>
      <c r="B595" s="1336"/>
      <c r="C595" s="154"/>
      <c r="D595" s="155"/>
      <c r="E595" s="156"/>
      <c r="F595" s="156"/>
      <c r="G595" s="153"/>
      <c r="H595" s="153"/>
      <c r="I595" s="157"/>
      <c r="J595" s="153"/>
    </row>
    <row r="596" spans="1:11" s="158" customFormat="1" ht="17.25" hidden="1" customHeight="1">
      <c r="A596" s="153"/>
      <c r="B596" s="1339"/>
      <c r="C596" s="203"/>
      <c r="D596" s="204"/>
      <c r="E596" s="156"/>
      <c r="F596" s="156"/>
      <c r="G596" s="153"/>
      <c r="H596" s="153"/>
      <c r="I596" s="157"/>
      <c r="J596" s="1304"/>
      <c r="K596" s="159"/>
    </row>
    <row r="597" spans="1:11" s="158" customFormat="1" ht="17.25" hidden="1" customHeight="1">
      <c r="A597" s="153"/>
      <c r="B597" s="1336"/>
      <c r="C597" s="154"/>
      <c r="D597" s="155"/>
      <c r="E597" s="156"/>
      <c r="F597" s="156"/>
      <c r="G597" s="153"/>
      <c r="H597" s="1304"/>
      <c r="I597" s="161"/>
      <c r="J597" s="1304"/>
      <c r="K597" s="159"/>
    </row>
    <row r="598" spans="1:11">
      <c r="A598" s="1302"/>
      <c r="B598" s="210"/>
      <c r="C598" s="210"/>
      <c r="D598" s="211"/>
      <c r="E598" s="120"/>
      <c r="F598" s="120"/>
      <c r="G598" s="120"/>
      <c r="H598" s="120"/>
      <c r="I598" s="1303"/>
      <c r="J598" s="1303"/>
    </row>
    <row r="599" spans="1:11">
      <c r="A599" s="120"/>
      <c r="B599" s="212"/>
      <c r="C599" s="145"/>
      <c r="D599" s="146"/>
      <c r="E599" s="120"/>
      <c r="F599" s="120"/>
      <c r="G599" s="120"/>
      <c r="H599" s="120"/>
      <c r="I599" s="1303"/>
      <c r="J599" s="1303"/>
    </row>
    <row r="600" spans="1:11" s="158" customFormat="1">
      <c r="A600" s="153"/>
      <c r="B600" s="1336"/>
      <c r="C600" s="154"/>
      <c r="D600" s="155"/>
      <c r="E600" s="156"/>
      <c r="F600" s="156"/>
      <c r="G600" s="153"/>
      <c r="H600" s="153"/>
      <c r="I600" s="157"/>
      <c r="J600" s="153"/>
    </row>
    <row r="601" spans="1:11" s="158" customFormat="1">
      <c r="A601" s="153"/>
      <c r="B601" s="1339"/>
      <c r="C601" s="203"/>
      <c r="D601" s="204"/>
      <c r="E601" s="156"/>
      <c r="F601" s="156"/>
      <c r="G601" s="153"/>
      <c r="H601" s="153"/>
      <c r="I601" s="157"/>
      <c r="J601" s="1304"/>
      <c r="K601" s="159"/>
    </row>
    <row r="602" spans="1:11" s="158" customFormat="1">
      <c r="A602" s="153"/>
      <c r="B602" s="1336"/>
      <c r="C602" s="154"/>
      <c r="D602" s="155"/>
      <c r="E602" s="156"/>
      <c r="F602" s="156"/>
      <c r="G602" s="153"/>
      <c r="H602" s="1304"/>
      <c r="I602" s="161"/>
      <c r="J602" s="1304"/>
      <c r="K602" s="159"/>
    </row>
    <row r="603" spans="1:11" ht="17.25" hidden="1" customHeight="1">
      <c r="A603" s="1302"/>
      <c r="B603" s="210"/>
      <c r="C603" s="121"/>
      <c r="D603" s="122"/>
      <c r="E603" s="120"/>
      <c r="F603" s="120"/>
      <c r="G603" s="120"/>
      <c r="H603" s="120"/>
      <c r="I603" s="1303"/>
      <c r="J603" s="1303"/>
    </row>
    <row r="604" spans="1:11" ht="17.25" hidden="1" customHeight="1">
      <c r="A604" s="120"/>
      <c r="B604" s="212"/>
      <c r="C604" s="145"/>
      <c r="D604" s="146"/>
      <c r="E604" s="120"/>
      <c r="F604" s="120"/>
      <c r="G604" s="120"/>
      <c r="H604" s="120"/>
      <c r="I604" s="1303"/>
      <c r="J604" s="1303"/>
    </row>
    <row r="605" spans="1:11" s="158" customFormat="1" ht="17.25" hidden="1" customHeight="1">
      <c r="A605" s="153"/>
      <c r="B605" s="1336"/>
      <c r="C605" s="154"/>
      <c r="D605" s="155"/>
      <c r="E605" s="156"/>
      <c r="F605" s="156"/>
      <c r="G605" s="153"/>
      <c r="H605" s="153"/>
      <c r="I605" s="157"/>
      <c r="J605" s="153"/>
    </row>
    <row r="606" spans="1:11" s="158" customFormat="1" ht="17.25" hidden="1" customHeight="1">
      <c r="A606" s="153"/>
      <c r="B606" s="1339"/>
      <c r="C606" s="203"/>
      <c r="D606" s="204"/>
      <c r="E606" s="156"/>
      <c r="F606" s="156"/>
      <c r="G606" s="153"/>
      <c r="H606" s="153"/>
      <c r="I606" s="157"/>
      <c r="J606" s="1304"/>
      <c r="K606" s="159"/>
    </row>
    <row r="607" spans="1:11" s="158" customFormat="1" ht="17.25" hidden="1" customHeight="1">
      <c r="A607" s="153"/>
      <c r="B607" s="1336"/>
      <c r="C607" s="154"/>
      <c r="D607" s="155"/>
      <c r="E607" s="156"/>
      <c r="F607" s="156"/>
      <c r="G607" s="153"/>
      <c r="H607" s="1304"/>
      <c r="I607" s="161"/>
      <c r="J607" s="1304"/>
      <c r="K607" s="159"/>
    </row>
    <row r="608" spans="1:11">
      <c r="A608" s="1302"/>
      <c r="B608" s="210"/>
      <c r="C608" s="121"/>
      <c r="D608" s="122"/>
      <c r="E608" s="120"/>
      <c r="F608" s="120"/>
      <c r="G608" s="120"/>
      <c r="H608" s="120"/>
      <c r="I608" s="142"/>
      <c r="J608" s="142"/>
      <c r="K608" s="143"/>
    </row>
    <row r="609" spans="1:11">
      <c r="A609" s="120"/>
      <c r="B609" s="212"/>
      <c r="C609" s="145"/>
      <c r="D609" s="146"/>
      <c r="E609" s="120"/>
      <c r="F609" s="120"/>
      <c r="G609" s="120"/>
      <c r="H609" s="120"/>
      <c r="I609" s="1303"/>
      <c r="J609" s="1303"/>
    </row>
    <row r="610" spans="1:11" s="158" customFormat="1">
      <c r="A610" s="153"/>
      <c r="B610" s="1336"/>
      <c r="C610" s="154"/>
      <c r="D610" s="155"/>
      <c r="E610" s="156"/>
      <c r="F610" s="156"/>
      <c r="G610" s="153"/>
      <c r="H610" s="153"/>
      <c r="I610" s="157"/>
      <c r="J610" s="153"/>
    </row>
    <row r="611" spans="1:11" s="158" customFormat="1">
      <c r="A611" s="153"/>
      <c r="B611" s="1339"/>
      <c r="C611" s="203"/>
      <c r="D611" s="204"/>
      <c r="E611" s="156"/>
      <c r="F611" s="156"/>
      <c r="G611" s="153"/>
      <c r="H611" s="153"/>
      <c r="I611" s="157"/>
      <c r="J611" s="1304"/>
      <c r="K611" s="159"/>
    </row>
    <row r="612" spans="1:11" s="158" customFormat="1">
      <c r="A612" s="153"/>
      <c r="B612" s="1336"/>
      <c r="C612" s="154"/>
      <c r="D612" s="155"/>
      <c r="E612" s="156"/>
      <c r="F612" s="156"/>
      <c r="G612" s="153"/>
      <c r="H612" s="1304"/>
      <c r="I612" s="161"/>
      <c r="J612" s="1304"/>
      <c r="K612" s="159"/>
    </row>
    <row r="613" spans="1:11">
      <c r="A613" s="1302"/>
      <c r="B613" s="210"/>
      <c r="C613" s="121"/>
      <c r="D613" s="122"/>
      <c r="E613" s="120"/>
      <c r="F613" s="120"/>
      <c r="G613" s="120"/>
      <c r="H613" s="120"/>
      <c r="I613" s="1303"/>
      <c r="J613" s="1303"/>
    </row>
    <row r="614" spans="1:11">
      <c r="A614" s="120"/>
      <c r="B614" s="212"/>
      <c r="C614" s="145"/>
      <c r="D614" s="146"/>
      <c r="E614" s="120"/>
      <c r="F614" s="120"/>
      <c r="G614" s="120"/>
      <c r="H614" s="120"/>
      <c r="I614" s="1303"/>
      <c r="J614" s="1303"/>
    </row>
    <row r="615" spans="1:11">
      <c r="A615" s="120"/>
      <c r="B615" s="212"/>
      <c r="C615" s="145"/>
      <c r="D615" s="146"/>
      <c r="E615" s="120"/>
      <c r="F615" s="120"/>
      <c r="G615" s="120"/>
      <c r="H615" s="120"/>
      <c r="I615" s="1303"/>
      <c r="J615" s="1303"/>
    </row>
    <row r="616" spans="1:11">
      <c r="A616" s="120"/>
      <c r="B616" s="212"/>
      <c r="C616" s="145"/>
      <c r="D616" s="146"/>
      <c r="E616" s="120"/>
      <c r="F616" s="120"/>
      <c r="G616" s="120"/>
      <c r="H616" s="120"/>
      <c r="I616" s="1303"/>
      <c r="J616" s="142"/>
      <c r="K616" s="143"/>
    </row>
    <row r="617" spans="1:11">
      <c r="A617" s="120"/>
      <c r="B617" s="212"/>
      <c r="C617" s="145"/>
      <c r="D617" s="146"/>
      <c r="E617" s="120"/>
      <c r="F617" s="120"/>
      <c r="G617" s="120"/>
      <c r="H617" s="1302"/>
      <c r="I617" s="142"/>
      <c r="J617" s="142"/>
      <c r="K617" s="143"/>
    </row>
    <row r="618" spans="1:11">
      <c r="A618" s="1302"/>
      <c r="B618" s="212"/>
      <c r="C618" s="145"/>
      <c r="D618" s="146"/>
      <c r="E618" s="120"/>
      <c r="F618" s="120"/>
      <c r="G618" s="120"/>
      <c r="H618" s="120"/>
      <c r="I618" s="1303"/>
      <c r="J618" s="142"/>
      <c r="K618" s="143"/>
    </row>
    <row r="619" spans="1:11">
      <c r="A619" s="1302"/>
      <c r="B619" s="210"/>
      <c r="C619" s="121"/>
      <c r="D619" s="122"/>
      <c r="E619" s="120"/>
      <c r="F619" s="120"/>
      <c r="G619" s="120"/>
      <c r="H619" s="120"/>
      <c r="I619" s="1303"/>
      <c r="J619" s="142"/>
      <c r="K619" s="143"/>
    </row>
    <row r="620" spans="1:11">
      <c r="A620" s="1302"/>
      <c r="B620" s="212"/>
      <c r="C620" s="145"/>
      <c r="D620" s="146"/>
      <c r="E620" s="120"/>
      <c r="F620" s="120"/>
      <c r="G620" s="120"/>
      <c r="H620" s="1302"/>
      <c r="I620" s="142"/>
      <c r="J620" s="142"/>
      <c r="K620" s="143"/>
    </row>
    <row r="621" spans="1:11">
      <c r="A621" s="1302"/>
      <c r="B621" s="210"/>
      <c r="C621" s="121"/>
      <c r="D621" s="122"/>
      <c r="E621" s="120"/>
      <c r="F621" s="120"/>
      <c r="G621" s="120"/>
      <c r="H621" s="120"/>
      <c r="I621" s="1303"/>
      <c r="J621" s="1303"/>
    </row>
    <row r="622" spans="1:11">
      <c r="A622" s="1302"/>
      <c r="B622" s="212"/>
      <c r="C622" s="145"/>
      <c r="D622" s="146"/>
      <c r="E622" s="120"/>
      <c r="F622" s="120"/>
      <c r="G622" s="120"/>
      <c r="H622" s="120"/>
      <c r="I622" s="1303"/>
      <c r="J622" s="142"/>
      <c r="K622" s="143"/>
    </row>
    <row r="623" spans="1:11">
      <c r="A623" s="1302"/>
      <c r="B623" s="212"/>
      <c r="C623" s="145"/>
      <c r="D623" s="146"/>
      <c r="E623" s="120"/>
      <c r="F623" s="120"/>
      <c r="G623" s="120"/>
      <c r="H623" s="1302"/>
      <c r="I623" s="142"/>
      <c r="J623" s="142"/>
      <c r="K623" s="143"/>
    </row>
    <row r="624" spans="1:11" ht="17.25" hidden="1" customHeight="1">
      <c r="A624" s="1302"/>
      <c r="B624" s="210"/>
      <c r="C624" s="121"/>
      <c r="D624" s="122"/>
      <c r="E624" s="120"/>
      <c r="F624" s="120"/>
      <c r="G624" s="120"/>
      <c r="H624" s="120"/>
      <c r="I624" s="1303"/>
      <c r="J624" s="1303"/>
    </row>
    <row r="625" spans="1:12" ht="17.25" hidden="1" customHeight="1">
      <c r="A625" s="1302"/>
      <c r="B625" s="212"/>
      <c r="C625" s="145"/>
      <c r="D625" s="146"/>
      <c r="E625" s="120"/>
      <c r="F625" s="120"/>
      <c r="G625" s="120"/>
      <c r="H625" s="120"/>
      <c r="I625" s="1303"/>
      <c r="J625" s="142"/>
      <c r="K625" s="143"/>
    </row>
    <row r="626" spans="1:12" ht="17.25" hidden="1" customHeight="1">
      <c r="A626" s="1302"/>
      <c r="B626" s="212"/>
      <c r="C626" s="145"/>
      <c r="D626" s="146"/>
      <c r="E626" s="120"/>
      <c r="F626" s="120"/>
      <c r="G626" s="120"/>
      <c r="H626" s="1302"/>
      <c r="I626" s="142"/>
      <c r="J626" s="142"/>
      <c r="K626" s="143"/>
    </row>
    <row r="627" spans="1:12" ht="17.25" hidden="1" customHeight="1">
      <c r="A627" s="1302"/>
      <c r="B627" s="210"/>
      <c r="C627" s="121"/>
      <c r="D627" s="122"/>
      <c r="E627" s="120"/>
      <c r="F627" s="120"/>
      <c r="G627" s="120"/>
      <c r="H627" s="120"/>
      <c r="I627" s="1303"/>
      <c r="J627" s="1303"/>
    </row>
    <row r="628" spans="1:12" ht="17.25" hidden="1" customHeight="1">
      <c r="A628" s="1302"/>
      <c r="B628" s="212"/>
      <c r="C628" s="145"/>
      <c r="D628" s="146"/>
      <c r="E628" s="120"/>
      <c r="F628" s="120"/>
      <c r="G628" s="120"/>
      <c r="H628" s="120"/>
      <c r="I628" s="1303"/>
      <c r="J628" s="1303"/>
    </row>
    <row r="629" spans="1:12" ht="17.25" hidden="1" customHeight="1">
      <c r="A629" s="1302"/>
      <c r="B629" s="212"/>
      <c r="C629" s="145"/>
      <c r="D629" s="146"/>
      <c r="E629" s="120"/>
      <c r="F629" s="120"/>
      <c r="G629" s="120"/>
      <c r="H629" s="1302"/>
      <c r="I629" s="142"/>
      <c r="J629" s="142"/>
      <c r="K629" s="143"/>
    </row>
    <row r="630" spans="1:12">
      <c r="A630" s="1302"/>
      <c r="B630" s="210"/>
      <c r="C630" s="121"/>
      <c r="D630" s="122"/>
      <c r="E630" s="120"/>
      <c r="F630" s="120"/>
      <c r="G630" s="120"/>
      <c r="H630" s="120"/>
      <c r="I630" s="1303"/>
      <c r="J630" s="1303"/>
    </row>
    <row r="631" spans="1:12">
      <c r="A631" s="1302"/>
      <c r="B631" s="212"/>
      <c r="C631" s="145"/>
      <c r="D631" s="146"/>
      <c r="E631" s="120"/>
      <c r="F631" s="120"/>
      <c r="G631" s="120"/>
      <c r="H631" s="120"/>
      <c r="I631" s="1303"/>
      <c r="J631" s="1303"/>
    </row>
    <row r="632" spans="1:12">
      <c r="A632" s="1302"/>
      <c r="B632" s="210"/>
      <c r="C632" s="121"/>
      <c r="D632" s="122"/>
      <c r="E632" s="120"/>
      <c r="F632" s="120"/>
      <c r="G632" s="120"/>
      <c r="H632" s="1302"/>
      <c r="I632" s="142"/>
      <c r="J632" s="142"/>
      <c r="K632" s="143"/>
    </row>
    <row r="633" spans="1:12">
      <c r="A633" s="1302"/>
      <c r="B633" s="210"/>
      <c r="C633" s="121"/>
      <c r="D633" s="122"/>
      <c r="E633" s="120"/>
      <c r="F633" s="120"/>
      <c r="G633" s="120"/>
      <c r="H633" s="120"/>
      <c r="I633" s="142"/>
      <c r="J633" s="142"/>
      <c r="K633" s="143"/>
    </row>
    <row r="634" spans="1:12">
      <c r="A634" s="1302"/>
      <c r="B634" s="210"/>
      <c r="C634" s="121"/>
      <c r="D634" s="122"/>
      <c r="E634" s="120"/>
      <c r="F634" s="120"/>
      <c r="G634" s="120"/>
      <c r="H634" s="120"/>
      <c r="I634" s="1303"/>
      <c r="J634" s="1303"/>
    </row>
    <row r="635" spans="1:12">
      <c r="A635" s="1302"/>
      <c r="B635" s="210"/>
      <c r="C635" s="121"/>
      <c r="D635" s="122"/>
      <c r="E635" s="120"/>
      <c r="F635" s="120"/>
      <c r="G635" s="120"/>
      <c r="H635" s="1302"/>
      <c r="I635" s="142"/>
      <c r="J635" s="142"/>
      <c r="K635" s="143"/>
    </row>
    <row r="636" spans="1:12">
      <c r="A636" s="1302"/>
      <c r="B636" s="210"/>
      <c r="C636" s="121"/>
      <c r="D636" s="122"/>
      <c r="E636" s="120"/>
      <c r="F636" s="120"/>
      <c r="G636" s="120"/>
      <c r="H636" s="120"/>
      <c r="I636" s="1303"/>
      <c r="J636" s="1303"/>
    </row>
    <row r="637" spans="1:12">
      <c r="A637" s="120"/>
      <c r="B637" s="212"/>
      <c r="C637" s="145"/>
      <c r="D637" s="146"/>
      <c r="E637" s="120"/>
      <c r="F637" s="120"/>
      <c r="G637" s="120"/>
      <c r="H637" s="1302"/>
      <c r="I637" s="142"/>
      <c r="J637" s="142"/>
      <c r="K637" s="143"/>
    </row>
    <row r="638" spans="1:12">
      <c r="A638" s="120"/>
      <c r="B638" s="212"/>
      <c r="C638" s="145"/>
      <c r="D638" s="146"/>
      <c r="E638" s="120"/>
      <c r="F638" s="120"/>
      <c r="G638" s="120"/>
      <c r="H638" s="120"/>
      <c r="I638" s="1303"/>
      <c r="J638" s="1303"/>
    </row>
    <row r="639" spans="1:12" s="3" customFormat="1">
      <c r="A639" s="215"/>
      <c r="B639" s="1342"/>
      <c r="C639" s="216"/>
      <c r="D639" s="217"/>
      <c r="E639" s="215"/>
      <c r="F639" s="215"/>
      <c r="G639" s="218"/>
      <c r="H639" s="215"/>
      <c r="I639" s="219"/>
      <c r="J639" s="219"/>
      <c r="K639" s="220"/>
      <c r="L639" s="221"/>
    </row>
    <row r="640" spans="1:12" s="158" customFormat="1">
      <c r="A640" s="153"/>
      <c r="B640" s="1336"/>
      <c r="C640" s="154"/>
      <c r="D640" s="155"/>
      <c r="E640" s="156"/>
      <c r="F640" s="156"/>
      <c r="G640" s="153"/>
      <c r="H640" s="153"/>
      <c r="I640" s="157"/>
      <c r="J640" s="1303"/>
      <c r="K640" s="124"/>
    </row>
    <row r="641" spans="1:12" s="3" customFormat="1">
      <c r="A641" s="215"/>
      <c r="B641" s="1342"/>
      <c r="C641" s="216"/>
      <c r="D641" s="217"/>
      <c r="E641" s="215"/>
      <c r="F641" s="215"/>
      <c r="G641" s="219"/>
      <c r="H641" s="1304"/>
      <c r="I641" s="161"/>
      <c r="J641" s="1304"/>
      <c r="K641" s="159"/>
      <c r="L641" s="221"/>
    </row>
    <row r="642" spans="1:12">
      <c r="A642" s="1302"/>
      <c r="B642" s="210"/>
      <c r="C642" s="121"/>
      <c r="D642" s="122"/>
      <c r="E642" s="120"/>
      <c r="F642" s="120"/>
      <c r="G642" s="120"/>
      <c r="H642" s="120"/>
      <c r="I642" s="1303"/>
      <c r="J642" s="142"/>
      <c r="K642" s="143"/>
    </row>
    <row r="643" spans="1:12">
      <c r="A643" s="120"/>
      <c r="B643" s="210"/>
      <c r="C643" s="121"/>
      <c r="D643" s="122"/>
      <c r="E643" s="120"/>
      <c r="F643" s="120"/>
      <c r="G643" s="120"/>
      <c r="H643" s="120"/>
      <c r="I643" s="1303"/>
      <c r="J643" s="1303"/>
    </row>
    <row r="644" spans="1:12">
      <c r="A644" s="120"/>
      <c r="B644" s="212"/>
      <c r="C644" s="145"/>
      <c r="D644" s="146"/>
      <c r="E644" s="120"/>
      <c r="F644" s="120"/>
      <c r="G644" s="120"/>
      <c r="H644" s="120"/>
      <c r="I644" s="1303"/>
      <c r="J644" s="1303"/>
    </row>
    <row r="645" spans="1:12">
      <c r="A645" s="120"/>
      <c r="B645" s="212"/>
      <c r="C645" s="145"/>
      <c r="D645" s="146"/>
      <c r="E645" s="120"/>
      <c r="F645" s="120"/>
      <c r="G645" s="120"/>
      <c r="H645" s="120"/>
      <c r="I645" s="1303"/>
      <c r="J645" s="1303"/>
    </row>
    <row r="646" spans="1:12">
      <c r="A646" s="120"/>
      <c r="B646" s="212"/>
      <c r="C646" s="145"/>
      <c r="D646" s="146"/>
      <c r="E646" s="120"/>
      <c r="F646" s="120"/>
      <c r="G646" s="120"/>
      <c r="H646" s="120"/>
      <c r="I646" s="1303"/>
      <c r="J646" s="1303"/>
    </row>
    <row r="647" spans="1:12">
      <c r="A647" s="120"/>
      <c r="B647" s="210"/>
      <c r="C647" s="121"/>
      <c r="D647" s="122"/>
      <c r="E647" s="120"/>
      <c r="F647" s="120"/>
      <c r="G647" s="120"/>
      <c r="H647" s="120"/>
      <c r="I647" s="1303"/>
      <c r="J647" s="1303"/>
    </row>
    <row r="648" spans="1:12">
      <c r="A648" s="120"/>
      <c r="B648" s="212"/>
      <c r="C648" s="145"/>
      <c r="D648" s="146"/>
      <c r="E648" s="120"/>
      <c r="F648" s="120"/>
      <c r="G648" s="120"/>
      <c r="H648" s="120"/>
      <c r="I648" s="142"/>
      <c r="J648" s="142"/>
      <c r="K648" s="143"/>
    </row>
    <row r="649" spans="1:12">
      <c r="A649" s="120"/>
      <c r="B649" s="212"/>
      <c r="C649" s="145"/>
      <c r="D649" s="146"/>
      <c r="E649" s="120"/>
      <c r="F649" s="120"/>
      <c r="G649" s="120"/>
      <c r="H649" s="120"/>
      <c r="I649" s="1303"/>
      <c r="J649" s="1303"/>
    </row>
    <row r="650" spans="1:12">
      <c r="A650" s="120"/>
      <c r="B650" s="212"/>
      <c r="C650" s="145"/>
      <c r="D650" s="146"/>
      <c r="E650" s="120"/>
      <c r="F650" s="120"/>
      <c r="G650" s="120"/>
      <c r="H650" s="120"/>
      <c r="I650" s="1303"/>
      <c r="J650" s="1303"/>
    </row>
    <row r="651" spans="1:12">
      <c r="A651" s="120"/>
      <c r="B651" s="212"/>
      <c r="C651" s="145"/>
      <c r="D651" s="146"/>
      <c r="E651" s="120"/>
      <c r="F651" s="120"/>
      <c r="G651" s="120"/>
      <c r="H651" s="120"/>
      <c r="I651" s="1303"/>
      <c r="J651" s="1303"/>
    </row>
    <row r="652" spans="1:12">
      <c r="A652" s="120"/>
      <c r="B652" s="210"/>
      <c r="C652" s="121"/>
      <c r="D652" s="122"/>
      <c r="E652" s="120"/>
      <c r="F652" s="120"/>
      <c r="G652" s="120"/>
      <c r="H652" s="120"/>
      <c r="I652" s="1303"/>
      <c r="J652" s="142"/>
      <c r="K652" s="143"/>
    </row>
    <row r="653" spans="1:12">
      <c r="A653" s="120"/>
      <c r="B653" s="212"/>
      <c r="C653" s="145"/>
      <c r="D653" s="146"/>
      <c r="E653" s="120"/>
      <c r="F653" s="120"/>
      <c r="G653" s="120"/>
      <c r="H653" s="120"/>
      <c r="I653" s="1303"/>
      <c r="J653" s="1303"/>
    </row>
    <row r="654" spans="1:12">
      <c r="A654" s="120"/>
      <c r="B654" s="212"/>
      <c r="C654" s="145"/>
      <c r="D654" s="146"/>
      <c r="E654" s="120"/>
      <c r="F654" s="120"/>
      <c r="G654" s="120"/>
      <c r="H654" s="120"/>
      <c r="I654" s="1303"/>
      <c r="J654" s="1303"/>
    </row>
    <row r="655" spans="1:12">
      <c r="A655" s="120"/>
      <c r="B655" s="212"/>
      <c r="C655" s="145"/>
      <c r="D655" s="146"/>
      <c r="E655" s="120"/>
      <c r="F655" s="120"/>
      <c r="G655" s="120"/>
      <c r="H655" s="120"/>
      <c r="I655" s="1303"/>
      <c r="J655" s="1303"/>
    </row>
    <row r="656" spans="1:12">
      <c r="A656" s="120"/>
      <c r="B656" s="210"/>
      <c r="C656" s="121"/>
      <c r="D656" s="122"/>
      <c r="E656" s="120"/>
      <c r="F656" s="120"/>
      <c r="G656" s="120"/>
      <c r="H656" s="120"/>
      <c r="I656" s="1303"/>
      <c r="J656" s="142"/>
      <c r="K656" s="143"/>
    </row>
    <row r="657" spans="1:12">
      <c r="A657" s="120"/>
      <c r="B657" s="212"/>
      <c r="C657" s="145"/>
      <c r="D657" s="146"/>
      <c r="E657" s="120"/>
      <c r="F657" s="120"/>
      <c r="G657" s="120"/>
      <c r="H657" s="120"/>
      <c r="I657" s="1303"/>
      <c r="J657" s="1303"/>
    </row>
    <row r="658" spans="1:12">
      <c r="A658" s="120"/>
      <c r="B658" s="212"/>
      <c r="C658" s="145"/>
      <c r="D658" s="146"/>
      <c r="E658" s="120"/>
      <c r="F658" s="120"/>
      <c r="G658" s="120"/>
      <c r="H658" s="120"/>
      <c r="I658" s="1303"/>
      <c r="J658" s="1303"/>
      <c r="L658" s="158"/>
    </row>
    <row r="659" spans="1:12">
      <c r="A659" s="120"/>
      <c r="B659" s="212"/>
      <c r="C659" s="145"/>
      <c r="D659" s="146"/>
      <c r="E659" s="120"/>
      <c r="F659" s="120"/>
      <c r="G659" s="120"/>
      <c r="H659" s="120"/>
      <c r="I659" s="1303"/>
      <c r="J659" s="1303"/>
      <c r="L659" s="158"/>
    </row>
    <row r="660" spans="1:12">
      <c r="A660" s="120"/>
      <c r="B660" s="212"/>
      <c r="C660" s="145"/>
      <c r="D660" s="146"/>
      <c r="E660" s="120"/>
      <c r="F660" s="120"/>
      <c r="G660" s="120"/>
      <c r="H660" s="1302"/>
      <c r="I660" s="142"/>
      <c r="J660" s="142"/>
      <c r="K660" s="143"/>
    </row>
    <row r="661" spans="1:12" hidden="1">
      <c r="A661" s="120"/>
      <c r="B661" s="210"/>
      <c r="C661" s="121"/>
      <c r="D661" s="122"/>
      <c r="E661" s="120"/>
      <c r="F661" s="120"/>
      <c r="G661" s="120"/>
      <c r="H661" s="120"/>
      <c r="I661" s="123"/>
      <c r="J661" s="123"/>
    </row>
    <row r="662" spans="1:12" hidden="1">
      <c r="A662" s="120"/>
      <c r="B662" s="212"/>
      <c r="C662" s="145"/>
      <c r="D662" s="146"/>
      <c r="E662" s="120"/>
      <c r="F662" s="120"/>
      <c r="G662" s="120"/>
      <c r="H662" s="120"/>
      <c r="I662" s="123"/>
      <c r="J662" s="123"/>
    </row>
    <row r="663" spans="1:12" hidden="1">
      <c r="A663" s="120"/>
      <c r="B663" s="212"/>
      <c r="C663" s="145"/>
      <c r="D663" s="146"/>
      <c r="E663" s="120"/>
      <c r="F663" s="120"/>
      <c r="G663" s="120"/>
      <c r="H663" s="141"/>
      <c r="I663" s="142"/>
      <c r="J663" s="142"/>
      <c r="K663" s="143"/>
    </row>
    <row r="664" spans="1:12" hidden="1"/>
  </sheetData>
  <mergeCells count="5">
    <mergeCell ref="A2:J2"/>
    <mergeCell ref="A3:J3"/>
    <mergeCell ref="A4:J4"/>
    <mergeCell ref="B44:D44"/>
    <mergeCell ref="E44:F44"/>
  </mergeCells>
  <phoneticPr fontId="151" type="noConversion"/>
  <printOptions horizontalCentered="1"/>
  <pageMargins left="0.5" right="0.5" top="0.5" bottom="0.5" header="0.3" footer="0.3"/>
  <pageSetup paperSize="8" scale="43" orientation="landscape" r:id="rId1"/>
  <tableParts count="2">
    <tablePart r:id="rId2"/>
    <tablePart r:id="rId3"/>
  </tableParts>
</worksheet>
</file>

<file path=xl/worksheets/sheet16.xml><?xml version="1.0" encoding="utf-8"?>
<worksheet xmlns="http://schemas.openxmlformats.org/spreadsheetml/2006/main" xmlns:r="http://schemas.openxmlformats.org/officeDocument/2006/relationships">
  <dimension ref="H6:V41"/>
  <sheetViews>
    <sheetView tabSelected="1" topLeftCell="E10" workbookViewId="0">
      <selection activeCell="J30" sqref="J30"/>
    </sheetView>
  </sheetViews>
  <sheetFormatPr defaultRowHeight="15"/>
  <cols>
    <col min="12" max="12" width="17.5703125" style="1346" customWidth="1"/>
    <col min="13" max="13" width="9.140625" style="1346"/>
    <col min="14" max="14" width="13.42578125" style="1346" customWidth="1"/>
    <col min="15" max="18" width="9.140625" style="1346"/>
  </cols>
  <sheetData>
    <row r="6" spans="8:22">
      <c r="L6" s="1346" t="s">
        <v>430</v>
      </c>
      <c r="M6" s="1346" t="s">
        <v>431</v>
      </c>
      <c r="N6" s="1346" t="s">
        <v>432</v>
      </c>
      <c r="O6" s="1346" t="s">
        <v>433</v>
      </c>
      <c r="P6" s="1346" t="s">
        <v>434</v>
      </c>
      <c r="R6" s="1346" t="s">
        <v>5579</v>
      </c>
    </row>
    <row r="7" spans="8:22">
      <c r="I7" s="1384" t="s">
        <v>189</v>
      </c>
      <c r="J7" s="1384">
        <v>1.8</v>
      </c>
      <c r="K7" s="1384">
        <v>2.4</v>
      </c>
      <c r="L7" s="1385">
        <v>1</v>
      </c>
      <c r="M7" s="1385">
        <v>0</v>
      </c>
      <c r="N7" s="1385">
        <v>0</v>
      </c>
      <c r="O7" s="1385">
        <v>0</v>
      </c>
      <c r="P7" s="1385">
        <v>0</v>
      </c>
      <c r="Q7" s="1385"/>
      <c r="R7" s="1385">
        <f>SUM(L7:P7)</f>
        <v>1</v>
      </c>
      <c r="S7" s="1384">
        <v>1</v>
      </c>
      <c r="T7" s="1345">
        <f t="shared" ref="T7:T38" si="0">S7-R7</f>
        <v>0</v>
      </c>
      <c r="V7" s="1345"/>
    </row>
    <row r="8" spans="8:22">
      <c r="I8" t="s">
        <v>5507</v>
      </c>
      <c r="J8">
        <v>1.8</v>
      </c>
      <c r="K8">
        <v>2.1</v>
      </c>
      <c r="L8" s="1344">
        <v>1</v>
      </c>
      <c r="M8" s="1344">
        <v>1</v>
      </c>
      <c r="N8" s="1344">
        <v>1</v>
      </c>
      <c r="O8" s="1344">
        <v>1</v>
      </c>
      <c r="P8" s="1344">
        <v>0</v>
      </c>
      <c r="Q8" s="1344"/>
      <c r="R8" s="1344">
        <f t="shared" ref="R8:R39" si="1">SUM(L8:P8)</f>
        <v>4</v>
      </c>
      <c r="S8">
        <v>4</v>
      </c>
      <c r="T8" s="1345">
        <f t="shared" si="0"/>
        <v>0</v>
      </c>
      <c r="V8" s="1345"/>
    </row>
    <row r="9" spans="8:22">
      <c r="I9" s="1368" t="s">
        <v>5508</v>
      </c>
      <c r="J9" s="1368">
        <v>1</v>
      </c>
      <c r="K9" s="1368">
        <v>2.1</v>
      </c>
      <c r="L9" s="1369">
        <v>0</v>
      </c>
      <c r="M9" s="1369">
        <v>1</v>
      </c>
      <c r="N9" s="1369">
        <v>0</v>
      </c>
      <c r="O9" s="1369">
        <v>0</v>
      </c>
      <c r="P9" s="1369">
        <v>0</v>
      </c>
      <c r="Q9" s="1369"/>
      <c r="R9" s="1369">
        <f t="shared" si="1"/>
        <v>1</v>
      </c>
      <c r="S9" s="1368">
        <v>1</v>
      </c>
      <c r="T9" s="1345">
        <f t="shared" si="0"/>
        <v>0</v>
      </c>
      <c r="V9" s="1345"/>
    </row>
    <row r="10" spans="8:22">
      <c r="I10" s="1376" t="s">
        <v>5509</v>
      </c>
      <c r="J10" s="1376">
        <v>0.75</v>
      </c>
      <c r="K10" s="1376">
        <v>2.1</v>
      </c>
      <c r="L10" s="1377">
        <v>0</v>
      </c>
      <c r="M10" s="1377">
        <v>2</v>
      </c>
      <c r="N10" s="1377">
        <v>0</v>
      </c>
      <c r="O10" s="1377">
        <v>1</v>
      </c>
      <c r="P10" s="1377">
        <v>1</v>
      </c>
      <c r="Q10" s="1377"/>
      <c r="R10" s="1377">
        <f t="shared" si="1"/>
        <v>4</v>
      </c>
      <c r="S10" s="1376">
        <v>4</v>
      </c>
      <c r="T10" s="1345">
        <f t="shared" si="0"/>
        <v>0</v>
      </c>
      <c r="V10" s="1345"/>
    </row>
    <row r="11" spans="8:22">
      <c r="I11" s="1368" t="s">
        <v>25</v>
      </c>
      <c r="J11" s="1368">
        <v>1</v>
      </c>
      <c r="K11" s="1368">
        <v>2.1</v>
      </c>
      <c r="L11" s="1369">
        <v>0</v>
      </c>
      <c r="M11" s="1369">
        <v>5</v>
      </c>
      <c r="N11" s="1369">
        <v>6</v>
      </c>
      <c r="O11" s="1369">
        <v>5</v>
      </c>
      <c r="P11" s="1369">
        <v>0</v>
      </c>
      <c r="Q11" s="1369"/>
      <c r="R11" s="1369">
        <f t="shared" si="1"/>
        <v>16</v>
      </c>
      <c r="S11" s="1368">
        <v>16</v>
      </c>
      <c r="T11" s="1345">
        <f t="shared" si="0"/>
        <v>0</v>
      </c>
      <c r="V11" s="1345"/>
    </row>
    <row r="12" spans="8:22">
      <c r="I12" s="1368" t="s">
        <v>342</v>
      </c>
      <c r="J12" s="1368">
        <v>1</v>
      </c>
      <c r="K12" s="1368">
        <v>2.1</v>
      </c>
      <c r="L12" s="1369">
        <v>0</v>
      </c>
      <c r="M12" s="1369">
        <v>0</v>
      </c>
      <c r="N12" s="1369">
        <v>0</v>
      </c>
      <c r="O12" s="1369">
        <v>1</v>
      </c>
      <c r="P12" s="1369">
        <v>0</v>
      </c>
      <c r="Q12" s="1369"/>
      <c r="R12" s="1369">
        <f t="shared" si="1"/>
        <v>1</v>
      </c>
      <c r="S12" s="1368">
        <v>1</v>
      </c>
      <c r="T12" s="1345">
        <f t="shared" si="0"/>
        <v>0</v>
      </c>
      <c r="V12" s="1345"/>
    </row>
    <row r="13" spans="8:22">
      <c r="I13" s="1366" t="s">
        <v>193</v>
      </c>
      <c r="J13" s="1366">
        <v>0.9</v>
      </c>
      <c r="K13" s="1366">
        <v>2.1</v>
      </c>
      <c r="L13" s="1367">
        <v>0</v>
      </c>
      <c r="M13" s="1367">
        <v>2</v>
      </c>
      <c r="N13" s="1367">
        <v>2</v>
      </c>
      <c r="O13" s="1367">
        <v>0</v>
      </c>
      <c r="P13" s="1367">
        <v>0</v>
      </c>
      <c r="Q13" s="1367"/>
      <c r="R13" s="1367">
        <f t="shared" si="1"/>
        <v>4</v>
      </c>
      <c r="S13" s="1366">
        <v>4</v>
      </c>
      <c r="T13" s="1345">
        <f t="shared" si="0"/>
        <v>0</v>
      </c>
      <c r="V13" s="1345"/>
    </row>
    <row r="14" spans="8:22">
      <c r="H14" t="s">
        <v>5922</v>
      </c>
      <c r="I14" s="1380" t="s">
        <v>195</v>
      </c>
      <c r="J14" s="1380">
        <v>0.75</v>
      </c>
      <c r="K14" s="1380">
        <v>1.35</v>
      </c>
      <c r="L14" s="1381">
        <v>0</v>
      </c>
      <c r="M14" s="1381">
        <v>2</v>
      </c>
      <c r="N14" s="1381">
        <v>2</v>
      </c>
      <c r="O14" s="1381">
        <v>0</v>
      </c>
      <c r="P14" s="1381">
        <v>0</v>
      </c>
      <c r="Q14" s="1381"/>
      <c r="R14" s="1381">
        <f t="shared" si="1"/>
        <v>4</v>
      </c>
      <c r="S14" s="1380">
        <v>4</v>
      </c>
      <c r="T14" s="1345">
        <f t="shared" si="0"/>
        <v>0</v>
      </c>
      <c r="V14" s="1345"/>
    </row>
    <row r="15" spans="8:22">
      <c r="I15" t="s">
        <v>256</v>
      </c>
      <c r="J15">
        <v>1.2</v>
      </c>
      <c r="K15">
        <v>2.1</v>
      </c>
      <c r="L15" s="1344">
        <v>1</v>
      </c>
      <c r="M15" s="1344">
        <v>1</v>
      </c>
      <c r="N15" s="1344">
        <v>1</v>
      </c>
      <c r="O15" s="1344">
        <v>1</v>
      </c>
      <c r="P15" s="1344">
        <v>0</v>
      </c>
      <c r="Q15" s="1344"/>
      <c r="R15" s="1344">
        <f t="shared" si="1"/>
        <v>4</v>
      </c>
      <c r="S15">
        <v>4</v>
      </c>
      <c r="T15" s="1345">
        <f t="shared" si="0"/>
        <v>0</v>
      </c>
      <c r="V15" s="1345"/>
    </row>
    <row r="16" spans="8:22">
      <c r="I16" s="1378" t="s">
        <v>5510</v>
      </c>
      <c r="J16" s="1378">
        <v>1</v>
      </c>
      <c r="K16" s="1378">
        <v>2.1</v>
      </c>
      <c r="L16" s="1379">
        <v>0</v>
      </c>
      <c r="M16" s="1379">
        <v>2</v>
      </c>
      <c r="N16" s="1379">
        <v>1</v>
      </c>
      <c r="O16" s="1379">
        <v>1</v>
      </c>
      <c r="P16" s="1379">
        <v>0</v>
      </c>
      <c r="Q16" s="1379"/>
      <c r="R16" s="1379">
        <f t="shared" si="1"/>
        <v>4</v>
      </c>
      <c r="S16" s="1378">
        <v>4</v>
      </c>
      <c r="T16" s="1345">
        <f t="shared" si="0"/>
        <v>0</v>
      </c>
      <c r="V16" s="1345"/>
    </row>
    <row r="17" spans="8:22">
      <c r="I17" s="1378" t="s">
        <v>5517</v>
      </c>
      <c r="J17" s="1378">
        <v>1</v>
      </c>
      <c r="K17" s="1378">
        <v>2.1</v>
      </c>
      <c r="L17" s="1379">
        <v>0</v>
      </c>
      <c r="M17" s="1379">
        <v>0</v>
      </c>
      <c r="N17" s="1379">
        <v>0</v>
      </c>
      <c r="O17" s="1379">
        <v>0</v>
      </c>
      <c r="P17" s="1379">
        <v>1</v>
      </c>
      <c r="Q17" s="1379"/>
      <c r="R17" s="1379">
        <f t="shared" si="1"/>
        <v>1</v>
      </c>
      <c r="S17" s="1378">
        <v>1</v>
      </c>
      <c r="T17" s="1345">
        <f t="shared" si="0"/>
        <v>0</v>
      </c>
      <c r="V17" s="1345"/>
    </row>
    <row r="18" spans="8:22">
      <c r="I18" t="s">
        <v>5519</v>
      </c>
      <c r="J18">
        <v>1</v>
      </c>
      <c r="K18">
        <v>2.1</v>
      </c>
      <c r="L18" s="1344">
        <v>1</v>
      </c>
      <c r="M18" s="1344">
        <v>0</v>
      </c>
      <c r="N18" s="1344">
        <v>0</v>
      </c>
      <c r="O18" s="1344">
        <v>0</v>
      </c>
      <c r="P18" s="1344">
        <v>0</v>
      </c>
      <c r="Q18" s="1344"/>
      <c r="R18" s="1344">
        <f t="shared" si="1"/>
        <v>1</v>
      </c>
      <c r="S18">
        <v>1</v>
      </c>
      <c r="T18" s="1345">
        <f t="shared" si="0"/>
        <v>0</v>
      </c>
      <c r="V18" s="1345"/>
    </row>
    <row r="19" spans="8:22">
      <c r="H19" t="s">
        <v>5922</v>
      </c>
      <c r="I19" s="1380" t="s">
        <v>188</v>
      </c>
      <c r="J19" s="1380">
        <v>0.75</v>
      </c>
      <c r="K19" s="1380">
        <v>2.1</v>
      </c>
      <c r="L19" s="1381">
        <v>1</v>
      </c>
      <c r="M19" s="1381">
        <v>4</v>
      </c>
      <c r="N19" s="1381">
        <v>4</v>
      </c>
      <c r="O19" s="1381">
        <v>5</v>
      </c>
      <c r="P19" s="1381">
        <v>0</v>
      </c>
      <c r="Q19" s="1381"/>
      <c r="R19" s="1381">
        <f t="shared" si="1"/>
        <v>14</v>
      </c>
      <c r="S19" s="1380">
        <v>14</v>
      </c>
      <c r="T19" s="1345">
        <f t="shared" si="0"/>
        <v>0</v>
      </c>
      <c r="V19" s="1345"/>
    </row>
    <row r="20" spans="8:22">
      <c r="I20" s="1382" t="s">
        <v>5577</v>
      </c>
      <c r="J20" s="1382">
        <v>0.9</v>
      </c>
      <c r="K20" s="1382">
        <v>2.1</v>
      </c>
      <c r="L20" s="1383"/>
      <c r="M20" s="1383">
        <v>0</v>
      </c>
      <c r="N20" s="1383">
        <v>0</v>
      </c>
      <c r="O20" s="1383">
        <v>1</v>
      </c>
      <c r="P20" s="1383">
        <v>0</v>
      </c>
      <c r="Q20" s="1383"/>
      <c r="R20" s="1383">
        <f t="shared" si="1"/>
        <v>1</v>
      </c>
      <c r="S20" s="1382">
        <v>1</v>
      </c>
      <c r="T20" s="1345">
        <f t="shared" si="0"/>
        <v>0</v>
      </c>
      <c r="V20" s="1345"/>
    </row>
    <row r="21" spans="8:22">
      <c r="I21" t="s">
        <v>5516</v>
      </c>
      <c r="J21">
        <v>1.8</v>
      </c>
      <c r="K21">
        <v>1.8</v>
      </c>
      <c r="L21" s="1344">
        <v>1</v>
      </c>
      <c r="M21" s="1344">
        <v>0</v>
      </c>
      <c r="N21" s="1344">
        <v>0</v>
      </c>
      <c r="O21" s="1344">
        <v>0</v>
      </c>
      <c r="P21" s="1344">
        <v>0</v>
      </c>
      <c r="Q21" s="1344"/>
      <c r="R21" s="1344">
        <f t="shared" si="1"/>
        <v>1</v>
      </c>
      <c r="S21">
        <v>1</v>
      </c>
      <c r="T21" s="1345">
        <f t="shared" si="0"/>
        <v>0</v>
      </c>
      <c r="V21" s="1345"/>
    </row>
    <row r="22" spans="8:22">
      <c r="I22" t="s">
        <v>190</v>
      </c>
      <c r="J22">
        <v>0.81299999999999994</v>
      </c>
      <c r="K22">
        <v>1.8</v>
      </c>
      <c r="L22" s="1344">
        <v>0</v>
      </c>
      <c r="M22" s="1344">
        <v>2</v>
      </c>
      <c r="N22" s="1344">
        <v>2</v>
      </c>
      <c r="O22" s="1344">
        <v>2</v>
      </c>
      <c r="P22" s="1344">
        <v>0</v>
      </c>
      <c r="Q22" s="1344"/>
      <c r="R22" s="1344">
        <f t="shared" si="1"/>
        <v>6</v>
      </c>
      <c r="S22">
        <v>6</v>
      </c>
      <c r="T22" s="1345">
        <f t="shared" si="0"/>
        <v>0</v>
      </c>
      <c r="V22" s="1345"/>
    </row>
    <row r="23" spans="8:22">
      <c r="I23" t="s">
        <v>5511</v>
      </c>
      <c r="J23">
        <v>1.8</v>
      </c>
      <c r="K23">
        <v>1.8</v>
      </c>
      <c r="L23" s="1344">
        <v>2</v>
      </c>
      <c r="M23" s="1344">
        <v>0</v>
      </c>
      <c r="N23" s="1344">
        <v>0</v>
      </c>
      <c r="O23" s="1344">
        <v>0</v>
      </c>
      <c r="P23" s="1344">
        <v>0</v>
      </c>
      <c r="Q23" s="1344"/>
      <c r="R23" s="1344">
        <f t="shared" si="1"/>
        <v>2</v>
      </c>
      <c r="S23">
        <v>2</v>
      </c>
      <c r="T23" s="1345">
        <f t="shared" si="0"/>
        <v>0</v>
      </c>
      <c r="V23" s="1345"/>
    </row>
    <row r="24" spans="8:22">
      <c r="I24" t="s">
        <v>5512</v>
      </c>
      <c r="J24">
        <v>1.5</v>
      </c>
      <c r="K24">
        <v>1.8</v>
      </c>
      <c r="L24" s="1344">
        <v>1</v>
      </c>
      <c r="M24" s="1344">
        <v>0</v>
      </c>
      <c r="N24" s="1344">
        <v>0</v>
      </c>
      <c r="O24" s="1344">
        <v>0</v>
      </c>
      <c r="P24" s="1344">
        <v>0</v>
      </c>
      <c r="Q24" s="1344"/>
      <c r="R24" s="1344">
        <f t="shared" si="1"/>
        <v>1</v>
      </c>
      <c r="S24">
        <v>1</v>
      </c>
      <c r="T24" s="1345">
        <f t="shared" si="0"/>
        <v>0</v>
      </c>
      <c r="V24" s="1345"/>
    </row>
    <row r="25" spans="8:22">
      <c r="I25" t="s">
        <v>5513</v>
      </c>
      <c r="J25">
        <v>2</v>
      </c>
      <c r="K25">
        <v>1.8</v>
      </c>
      <c r="L25" s="1344">
        <v>0</v>
      </c>
      <c r="M25" s="1344">
        <v>1</v>
      </c>
      <c r="N25" s="1344">
        <v>1</v>
      </c>
      <c r="O25" s="1344">
        <v>1</v>
      </c>
      <c r="P25" s="1344">
        <v>0</v>
      </c>
      <c r="Q25" s="1344"/>
      <c r="R25" s="1344">
        <f t="shared" si="1"/>
        <v>3</v>
      </c>
      <c r="S25">
        <v>3</v>
      </c>
      <c r="T25" s="1345">
        <f t="shared" si="0"/>
        <v>0</v>
      </c>
      <c r="V25" s="1345"/>
    </row>
    <row r="26" spans="8:22">
      <c r="I26" t="s">
        <v>5514</v>
      </c>
      <c r="J26">
        <v>1.2</v>
      </c>
      <c r="K26">
        <v>1.8</v>
      </c>
      <c r="L26" s="1344">
        <v>0</v>
      </c>
      <c r="M26" s="1344">
        <v>2</v>
      </c>
      <c r="N26" s="1344">
        <v>2</v>
      </c>
      <c r="O26" s="1344">
        <v>2</v>
      </c>
      <c r="P26" s="1344">
        <v>0</v>
      </c>
      <c r="Q26" s="1344"/>
      <c r="R26" s="1344">
        <f t="shared" si="1"/>
        <v>6</v>
      </c>
      <c r="S26">
        <v>6</v>
      </c>
      <c r="T26" s="1345">
        <f t="shared" si="0"/>
        <v>0</v>
      </c>
      <c r="V26" s="1345"/>
    </row>
    <row r="27" spans="8:22">
      <c r="I27" t="s">
        <v>5515</v>
      </c>
      <c r="J27">
        <v>1.5</v>
      </c>
      <c r="K27">
        <v>1.35</v>
      </c>
      <c r="L27" s="1344">
        <v>1</v>
      </c>
      <c r="M27" s="1344">
        <v>0</v>
      </c>
      <c r="N27" s="1344">
        <v>0</v>
      </c>
      <c r="O27" s="1344">
        <v>0</v>
      </c>
      <c r="P27" s="1344">
        <v>0</v>
      </c>
      <c r="Q27" s="1344"/>
      <c r="R27" s="1344">
        <f t="shared" si="1"/>
        <v>1</v>
      </c>
      <c r="S27">
        <v>1</v>
      </c>
      <c r="T27" s="1345">
        <f t="shared" si="0"/>
        <v>0</v>
      </c>
      <c r="V27" s="1345"/>
    </row>
    <row r="28" spans="8:22">
      <c r="I28" t="s">
        <v>252</v>
      </c>
      <c r="J28">
        <v>1.8</v>
      </c>
      <c r="K28">
        <v>1.35</v>
      </c>
      <c r="L28" s="1344">
        <v>0</v>
      </c>
      <c r="M28" s="1344">
        <v>1</v>
      </c>
      <c r="N28" s="1344">
        <v>1</v>
      </c>
      <c r="O28" s="1344">
        <v>1</v>
      </c>
      <c r="P28" s="1344">
        <v>1</v>
      </c>
      <c r="Q28" s="1344"/>
      <c r="R28" s="1344">
        <f t="shared" si="1"/>
        <v>4</v>
      </c>
      <c r="S28">
        <v>4</v>
      </c>
      <c r="T28" s="1345">
        <f t="shared" si="0"/>
        <v>0</v>
      </c>
      <c r="V28" s="1345"/>
    </row>
    <row r="29" spans="8:22">
      <c r="I29" t="s">
        <v>248</v>
      </c>
      <c r="J29">
        <v>1.8</v>
      </c>
      <c r="K29">
        <v>1.35</v>
      </c>
      <c r="L29" s="1344">
        <v>0</v>
      </c>
      <c r="M29" s="1344">
        <v>1</v>
      </c>
      <c r="N29" s="1344">
        <v>1</v>
      </c>
      <c r="O29" s="1344">
        <v>1</v>
      </c>
      <c r="P29" s="1344">
        <v>0</v>
      </c>
      <c r="Q29" s="1344"/>
      <c r="R29" s="1344">
        <f t="shared" si="1"/>
        <v>3</v>
      </c>
      <c r="S29">
        <v>3</v>
      </c>
      <c r="T29" s="1345">
        <f t="shared" si="0"/>
        <v>0</v>
      </c>
      <c r="V29" s="1345"/>
    </row>
    <row r="30" spans="8:22">
      <c r="I30" t="s">
        <v>249</v>
      </c>
      <c r="J30">
        <v>1.5</v>
      </c>
      <c r="K30">
        <v>1.35</v>
      </c>
      <c r="L30" s="1344">
        <v>0</v>
      </c>
      <c r="M30" s="1344">
        <v>1</v>
      </c>
      <c r="N30" s="1344">
        <v>0</v>
      </c>
      <c r="O30" s="1344">
        <v>0</v>
      </c>
      <c r="P30" s="1344">
        <v>1</v>
      </c>
      <c r="Q30" s="1344"/>
      <c r="R30" s="1344">
        <f t="shared" si="1"/>
        <v>2</v>
      </c>
      <c r="S30">
        <v>2</v>
      </c>
      <c r="T30" s="1345">
        <f t="shared" si="0"/>
        <v>0</v>
      </c>
      <c r="V30" s="1345"/>
    </row>
    <row r="31" spans="8:22">
      <c r="I31" t="s">
        <v>250</v>
      </c>
      <c r="J31">
        <v>1.2</v>
      </c>
      <c r="K31">
        <v>1.35</v>
      </c>
      <c r="L31" s="1344">
        <v>0</v>
      </c>
      <c r="M31" s="1344">
        <v>10</v>
      </c>
      <c r="N31" s="1344">
        <v>13</v>
      </c>
      <c r="O31" s="1344">
        <v>13</v>
      </c>
      <c r="P31" s="1344">
        <v>1</v>
      </c>
      <c r="Q31" s="1344"/>
      <c r="R31" s="1344">
        <f t="shared" si="1"/>
        <v>37</v>
      </c>
      <c r="S31">
        <v>37</v>
      </c>
      <c r="T31" s="1345">
        <f t="shared" si="0"/>
        <v>0</v>
      </c>
      <c r="V31" s="1345"/>
    </row>
    <row r="32" spans="8:22">
      <c r="I32" t="s">
        <v>251</v>
      </c>
      <c r="J32">
        <v>1</v>
      </c>
      <c r="K32">
        <v>1.35</v>
      </c>
      <c r="L32" s="1344">
        <v>1</v>
      </c>
      <c r="M32" s="1344">
        <v>4</v>
      </c>
      <c r="N32" s="1344">
        <v>4</v>
      </c>
      <c r="O32" s="1344">
        <v>5</v>
      </c>
      <c r="P32" s="1344">
        <v>1</v>
      </c>
      <c r="Q32" s="1344"/>
      <c r="R32" s="1344">
        <f t="shared" si="1"/>
        <v>15</v>
      </c>
      <c r="S32">
        <v>15</v>
      </c>
      <c r="T32" s="1345">
        <f t="shared" si="0"/>
        <v>0</v>
      </c>
      <c r="V32" s="1345"/>
    </row>
    <row r="33" spans="9:22">
      <c r="I33" t="s">
        <v>5518</v>
      </c>
      <c r="J33">
        <v>2.1</v>
      </c>
      <c r="K33">
        <v>1.35</v>
      </c>
      <c r="L33" s="1344">
        <v>0</v>
      </c>
      <c r="M33" s="1344">
        <v>0</v>
      </c>
      <c r="N33" s="1344">
        <v>2</v>
      </c>
      <c r="O33" s="1344">
        <v>2</v>
      </c>
      <c r="P33" s="1344"/>
      <c r="Q33" s="1344"/>
      <c r="R33" s="1344">
        <f t="shared" si="1"/>
        <v>4</v>
      </c>
      <c r="S33">
        <v>4</v>
      </c>
      <c r="T33" s="1345">
        <f t="shared" si="0"/>
        <v>0</v>
      </c>
      <c r="V33" s="1345"/>
    </row>
    <row r="34" spans="9:22">
      <c r="I34" t="s">
        <v>255</v>
      </c>
      <c r="J34">
        <v>1.35</v>
      </c>
      <c r="K34">
        <v>0.6</v>
      </c>
      <c r="L34" s="1344">
        <v>0</v>
      </c>
      <c r="M34" s="1344">
        <v>0</v>
      </c>
      <c r="N34" s="1344">
        <v>2</v>
      </c>
      <c r="O34" s="1344">
        <v>3</v>
      </c>
      <c r="P34" s="1344">
        <v>0</v>
      </c>
      <c r="Q34" s="1344"/>
      <c r="R34" s="1344">
        <f t="shared" si="1"/>
        <v>5</v>
      </c>
      <c r="S34">
        <v>5</v>
      </c>
      <c r="T34" s="1345">
        <f t="shared" si="0"/>
        <v>0</v>
      </c>
      <c r="V34" s="1345"/>
    </row>
    <row r="35" spans="9:22">
      <c r="I35" t="s">
        <v>254</v>
      </c>
      <c r="J35">
        <v>0.9</v>
      </c>
      <c r="K35">
        <v>0.6</v>
      </c>
      <c r="L35" s="1344">
        <v>0</v>
      </c>
      <c r="M35" s="1344">
        <v>0</v>
      </c>
      <c r="N35" s="1344">
        <v>1</v>
      </c>
      <c r="O35" s="1344">
        <v>0</v>
      </c>
      <c r="P35" s="1344">
        <v>0</v>
      </c>
      <c r="Q35" s="1344"/>
      <c r="R35" s="1344">
        <f t="shared" si="1"/>
        <v>1</v>
      </c>
      <c r="S35">
        <v>1</v>
      </c>
      <c r="T35" s="1345">
        <f t="shared" si="0"/>
        <v>0</v>
      </c>
      <c r="V35" s="1345"/>
    </row>
    <row r="36" spans="9:22">
      <c r="I36" t="s">
        <v>253</v>
      </c>
      <c r="J36">
        <v>1</v>
      </c>
      <c r="K36">
        <v>0.6</v>
      </c>
      <c r="L36" s="1344">
        <v>0</v>
      </c>
      <c r="M36" s="1344">
        <v>2</v>
      </c>
      <c r="N36" s="1344">
        <v>2</v>
      </c>
      <c r="O36" s="1344">
        <v>0</v>
      </c>
      <c r="P36" s="1344">
        <v>0</v>
      </c>
      <c r="Q36" s="1344"/>
      <c r="R36" s="1344">
        <f t="shared" si="1"/>
        <v>4</v>
      </c>
      <c r="S36">
        <v>4</v>
      </c>
      <c r="T36" s="1345">
        <f t="shared" si="0"/>
        <v>0</v>
      </c>
      <c r="V36" s="1345"/>
    </row>
    <row r="37" spans="9:22">
      <c r="I37" t="s">
        <v>372</v>
      </c>
      <c r="J37">
        <v>0.6</v>
      </c>
      <c r="K37">
        <v>0.6</v>
      </c>
      <c r="L37" s="1344">
        <v>0</v>
      </c>
      <c r="M37" s="1344">
        <v>2</v>
      </c>
      <c r="N37" s="1344">
        <v>2</v>
      </c>
      <c r="O37" s="1344">
        <v>0</v>
      </c>
      <c r="P37" s="1344">
        <v>0</v>
      </c>
      <c r="Q37" s="1344"/>
      <c r="R37" s="1344">
        <f t="shared" si="1"/>
        <v>4</v>
      </c>
      <c r="S37">
        <v>4</v>
      </c>
      <c r="T37" s="1345">
        <f t="shared" si="0"/>
        <v>0</v>
      </c>
      <c r="V37" s="1345"/>
    </row>
    <row r="38" spans="9:22">
      <c r="I38" t="s">
        <v>257</v>
      </c>
      <c r="J38">
        <v>0.9</v>
      </c>
      <c r="K38">
        <v>0.75</v>
      </c>
      <c r="L38" s="1344">
        <v>3</v>
      </c>
      <c r="M38" s="1344">
        <v>4</v>
      </c>
      <c r="N38" s="1344">
        <v>4</v>
      </c>
      <c r="O38" s="1344">
        <v>5</v>
      </c>
      <c r="P38" s="1344">
        <v>0</v>
      </c>
      <c r="Q38" s="1344"/>
      <c r="R38" s="1344">
        <f t="shared" si="1"/>
        <v>16</v>
      </c>
      <c r="S38">
        <v>16</v>
      </c>
      <c r="T38" s="1345">
        <f t="shared" si="0"/>
        <v>0</v>
      </c>
      <c r="V38" s="1345"/>
    </row>
    <row r="39" spans="9:22">
      <c r="I39" t="s">
        <v>5520</v>
      </c>
      <c r="J39">
        <v>0.9</v>
      </c>
      <c r="K39">
        <v>0.75</v>
      </c>
      <c r="L39" s="1344">
        <v>0</v>
      </c>
      <c r="M39" s="1344">
        <v>0</v>
      </c>
      <c r="N39" s="1344">
        <v>0</v>
      </c>
      <c r="O39" s="1346">
        <v>2</v>
      </c>
      <c r="R39" s="1344">
        <f t="shared" si="1"/>
        <v>2</v>
      </c>
      <c r="S39">
        <v>2</v>
      </c>
      <c r="T39" s="1345">
        <f>S39-R39</f>
        <v>0</v>
      </c>
      <c r="V39" s="1345"/>
    </row>
    <row r="40" spans="9:22">
      <c r="R40" s="1344">
        <f>SUM(R7:R39)</f>
        <v>177</v>
      </c>
      <c r="S40" s="1344">
        <v>177</v>
      </c>
    </row>
    <row r="41" spans="9:22">
      <c r="O41" s="1344"/>
    </row>
  </sheetData>
  <autoFilter ref="I6:S39"/>
  <pageMargins left="0.7" right="0.7" top="0.75" bottom="0.75" header="0.3" footer="0.3"/>
</worksheet>
</file>

<file path=xl/worksheets/sheet17.xml><?xml version="1.0" encoding="utf-8"?>
<worksheet xmlns="http://schemas.openxmlformats.org/spreadsheetml/2006/main" xmlns:r="http://schemas.openxmlformats.org/officeDocument/2006/relationships">
  <sheetPr filterMode="1"/>
  <dimension ref="A1:T120"/>
  <sheetViews>
    <sheetView view="pageBreakPreview" zoomScale="70" zoomScaleSheetLayoutView="70" workbookViewId="0">
      <selection activeCell="J24" sqref="J24"/>
    </sheetView>
  </sheetViews>
  <sheetFormatPr defaultRowHeight="15.75"/>
  <cols>
    <col min="1" max="1" width="5" style="1352" customWidth="1"/>
    <col min="2" max="2" width="26.140625" style="1355" customWidth="1"/>
    <col min="3" max="6" width="14.5703125" style="1352" customWidth="1"/>
    <col min="7" max="7" width="8.42578125" style="1354" customWidth="1"/>
    <col min="8" max="8" width="8.140625" style="1354" customWidth="1"/>
    <col min="9" max="9" width="8" style="1354" customWidth="1"/>
    <col min="10" max="11" width="10.5703125" style="1354" customWidth="1"/>
    <col min="12" max="12" width="10.5703125" style="1352" customWidth="1"/>
    <col min="13" max="13" width="12.7109375" style="1354" customWidth="1"/>
    <col min="14" max="14" width="16.5703125" style="1354" customWidth="1"/>
    <col min="15" max="16" width="8" style="1354" customWidth="1"/>
    <col min="17" max="17" width="8.140625" style="1354" customWidth="1"/>
    <col min="18" max="19" width="8.140625" style="1352" customWidth="1"/>
    <col min="20" max="20" width="8.85546875" style="1354" customWidth="1"/>
    <col min="21" max="261" width="9.140625" style="1352"/>
    <col min="262" max="262" width="5" style="1352" customWidth="1"/>
    <col min="263" max="263" width="26.140625" style="1352" customWidth="1"/>
    <col min="264" max="264" width="8.42578125" style="1352" customWidth="1"/>
    <col min="265" max="265" width="8.140625" style="1352" customWidth="1"/>
    <col min="266" max="266" width="8" style="1352" customWidth="1"/>
    <col min="267" max="269" width="10.5703125" style="1352" customWidth="1"/>
    <col min="270" max="270" width="7.140625" style="1352" customWidth="1"/>
    <col min="271" max="272" width="8.140625" style="1352" customWidth="1"/>
    <col min="273" max="273" width="8.85546875" style="1352" customWidth="1"/>
    <col min="274" max="274" width="8.5703125" style="1352" customWidth="1"/>
    <col min="275" max="517" width="9.140625" style="1352"/>
    <col min="518" max="518" width="5" style="1352" customWidth="1"/>
    <col min="519" max="519" width="26.140625" style="1352" customWidth="1"/>
    <col min="520" max="520" width="8.42578125" style="1352" customWidth="1"/>
    <col min="521" max="521" width="8.140625" style="1352" customWidth="1"/>
    <col min="522" max="522" width="8" style="1352" customWidth="1"/>
    <col min="523" max="525" width="10.5703125" style="1352" customWidth="1"/>
    <col min="526" max="526" width="7.140625" style="1352" customWidth="1"/>
    <col min="527" max="528" width="8.140625" style="1352" customWidth="1"/>
    <col min="529" max="529" width="8.85546875" style="1352" customWidth="1"/>
    <col min="530" max="530" width="8.5703125" style="1352" customWidth="1"/>
    <col min="531" max="773" width="9.140625" style="1352"/>
    <col min="774" max="774" width="5" style="1352" customWidth="1"/>
    <col min="775" max="775" width="26.140625" style="1352" customWidth="1"/>
    <col min="776" max="776" width="8.42578125" style="1352" customWidth="1"/>
    <col min="777" max="777" width="8.140625" style="1352" customWidth="1"/>
    <col min="778" max="778" width="8" style="1352" customWidth="1"/>
    <col min="779" max="781" width="10.5703125" style="1352" customWidth="1"/>
    <col min="782" max="782" width="7.140625" style="1352" customWidth="1"/>
    <col min="783" max="784" width="8.140625" style="1352" customWidth="1"/>
    <col min="785" max="785" width="8.85546875" style="1352" customWidth="1"/>
    <col min="786" max="786" width="8.5703125" style="1352" customWidth="1"/>
    <col min="787" max="1029" width="9.140625" style="1352"/>
    <col min="1030" max="1030" width="5" style="1352" customWidth="1"/>
    <col min="1031" max="1031" width="26.140625" style="1352" customWidth="1"/>
    <col min="1032" max="1032" width="8.42578125" style="1352" customWidth="1"/>
    <col min="1033" max="1033" width="8.140625" style="1352" customWidth="1"/>
    <col min="1034" max="1034" width="8" style="1352" customWidth="1"/>
    <col min="1035" max="1037" width="10.5703125" style="1352" customWidth="1"/>
    <col min="1038" max="1038" width="7.140625" style="1352" customWidth="1"/>
    <col min="1039" max="1040" width="8.140625" style="1352" customWidth="1"/>
    <col min="1041" max="1041" width="8.85546875" style="1352" customWidth="1"/>
    <col min="1042" max="1042" width="8.5703125" style="1352" customWidth="1"/>
    <col min="1043" max="1285" width="9.140625" style="1352"/>
    <col min="1286" max="1286" width="5" style="1352" customWidth="1"/>
    <col min="1287" max="1287" width="26.140625" style="1352" customWidth="1"/>
    <col min="1288" max="1288" width="8.42578125" style="1352" customWidth="1"/>
    <col min="1289" max="1289" width="8.140625" style="1352" customWidth="1"/>
    <col min="1290" max="1290" width="8" style="1352" customWidth="1"/>
    <col min="1291" max="1293" width="10.5703125" style="1352" customWidth="1"/>
    <col min="1294" max="1294" width="7.140625" style="1352" customWidth="1"/>
    <col min="1295" max="1296" width="8.140625" style="1352" customWidth="1"/>
    <col min="1297" max="1297" width="8.85546875" style="1352" customWidth="1"/>
    <col min="1298" max="1298" width="8.5703125" style="1352" customWidth="1"/>
    <col min="1299" max="1541" width="9.140625" style="1352"/>
    <col min="1542" max="1542" width="5" style="1352" customWidth="1"/>
    <col min="1543" max="1543" width="26.140625" style="1352" customWidth="1"/>
    <col min="1544" max="1544" width="8.42578125" style="1352" customWidth="1"/>
    <col min="1545" max="1545" width="8.140625" style="1352" customWidth="1"/>
    <col min="1546" max="1546" width="8" style="1352" customWidth="1"/>
    <col min="1547" max="1549" width="10.5703125" style="1352" customWidth="1"/>
    <col min="1550" max="1550" width="7.140625" style="1352" customWidth="1"/>
    <col min="1551" max="1552" width="8.140625" style="1352" customWidth="1"/>
    <col min="1553" max="1553" width="8.85546875" style="1352" customWidth="1"/>
    <col min="1554" max="1554" width="8.5703125" style="1352" customWidth="1"/>
    <col min="1555" max="1797" width="9.140625" style="1352"/>
    <col min="1798" max="1798" width="5" style="1352" customWidth="1"/>
    <col min="1799" max="1799" width="26.140625" style="1352" customWidth="1"/>
    <col min="1800" max="1800" width="8.42578125" style="1352" customWidth="1"/>
    <col min="1801" max="1801" width="8.140625" style="1352" customWidth="1"/>
    <col min="1802" max="1802" width="8" style="1352" customWidth="1"/>
    <col min="1803" max="1805" width="10.5703125" style="1352" customWidth="1"/>
    <col min="1806" max="1806" width="7.140625" style="1352" customWidth="1"/>
    <col min="1807" max="1808" width="8.140625" style="1352" customWidth="1"/>
    <col min="1809" max="1809" width="8.85546875" style="1352" customWidth="1"/>
    <col min="1810" max="1810" width="8.5703125" style="1352" customWidth="1"/>
    <col min="1811" max="2053" width="9.140625" style="1352"/>
    <col min="2054" max="2054" width="5" style="1352" customWidth="1"/>
    <col min="2055" max="2055" width="26.140625" style="1352" customWidth="1"/>
    <col min="2056" max="2056" width="8.42578125" style="1352" customWidth="1"/>
    <col min="2057" max="2057" width="8.140625" style="1352" customWidth="1"/>
    <col min="2058" max="2058" width="8" style="1352" customWidth="1"/>
    <col min="2059" max="2061" width="10.5703125" style="1352" customWidth="1"/>
    <col min="2062" max="2062" width="7.140625" style="1352" customWidth="1"/>
    <col min="2063" max="2064" width="8.140625" style="1352" customWidth="1"/>
    <col min="2065" max="2065" width="8.85546875" style="1352" customWidth="1"/>
    <col min="2066" max="2066" width="8.5703125" style="1352" customWidth="1"/>
    <col min="2067" max="2309" width="9.140625" style="1352"/>
    <col min="2310" max="2310" width="5" style="1352" customWidth="1"/>
    <col min="2311" max="2311" width="26.140625" style="1352" customWidth="1"/>
    <col min="2312" max="2312" width="8.42578125" style="1352" customWidth="1"/>
    <col min="2313" max="2313" width="8.140625" style="1352" customWidth="1"/>
    <col min="2314" max="2314" width="8" style="1352" customWidth="1"/>
    <col min="2315" max="2317" width="10.5703125" style="1352" customWidth="1"/>
    <col min="2318" max="2318" width="7.140625" style="1352" customWidth="1"/>
    <col min="2319" max="2320" width="8.140625" style="1352" customWidth="1"/>
    <col min="2321" max="2321" width="8.85546875" style="1352" customWidth="1"/>
    <col min="2322" max="2322" width="8.5703125" style="1352" customWidth="1"/>
    <col min="2323" max="2565" width="9.140625" style="1352"/>
    <col min="2566" max="2566" width="5" style="1352" customWidth="1"/>
    <col min="2567" max="2567" width="26.140625" style="1352" customWidth="1"/>
    <col min="2568" max="2568" width="8.42578125" style="1352" customWidth="1"/>
    <col min="2569" max="2569" width="8.140625" style="1352" customWidth="1"/>
    <col min="2570" max="2570" width="8" style="1352" customWidth="1"/>
    <col min="2571" max="2573" width="10.5703125" style="1352" customWidth="1"/>
    <col min="2574" max="2574" width="7.140625" style="1352" customWidth="1"/>
    <col min="2575" max="2576" width="8.140625" style="1352" customWidth="1"/>
    <col min="2577" max="2577" width="8.85546875" style="1352" customWidth="1"/>
    <col min="2578" max="2578" width="8.5703125" style="1352" customWidth="1"/>
    <col min="2579" max="2821" width="9.140625" style="1352"/>
    <col min="2822" max="2822" width="5" style="1352" customWidth="1"/>
    <col min="2823" max="2823" width="26.140625" style="1352" customWidth="1"/>
    <col min="2824" max="2824" width="8.42578125" style="1352" customWidth="1"/>
    <col min="2825" max="2825" width="8.140625" style="1352" customWidth="1"/>
    <col min="2826" max="2826" width="8" style="1352" customWidth="1"/>
    <col min="2827" max="2829" width="10.5703125" style="1352" customWidth="1"/>
    <col min="2830" max="2830" width="7.140625" style="1352" customWidth="1"/>
    <col min="2831" max="2832" width="8.140625" style="1352" customWidth="1"/>
    <col min="2833" max="2833" width="8.85546875" style="1352" customWidth="1"/>
    <col min="2834" max="2834" width="8.5703125" style="1352" customWidth="1"/>
    <col min="2835" max="3077" width="9.140625" style="1352"/>
    <col min="3078" max="3078" width="5" style="1352" customWidth="1"/>
    <col min="3079" max="3079" width="26.140625" style="1352" customWidth="1"/>
    <col min="3080" max="3080" width="8.42578125" style="1352" customWidth="1"/>
    <col min="3081" max="3081" width="8.140625" style="1352" customWidth="1"/>
    <col min="3082" max="3082" width="8" style="1352" customWidth="1"/>
    <col min="3083" max="3085" width="10.5703125" style="1352" customWidth="1"/>
    <col min="3086" max="3086" width="7.140625" style="1352" customWidth="1"/>
    <col min="3087" max="3088" width="8.140625" style="1352" customWidth="1"/>
    <col min="3089" max="3089" width="8.85546875" style="1352" customWidth="1"/>
    <col min="3090" max="3090" width="8.5703125" style="1352" customWidth="1"/>
    <col min="3091" max="3333" width="9.140625" style="1352"/>
    <col min="3334" max="3334" width="5" style="1352" customWidth="1"/>
    <col min="3335" max="3335" width="26.140625" style="1352" customWidth="1"/>
    <col min="3336" max="3336" width="8.42578125" style="1352" customWidth="1"/>
    <col min="3337" max="3337" width="8.140625" style="1352" customWidth="1"/>
    <col min="3338" max="3338" width="8" style="1352" customWidth="1"/>
    <col min="3339" max="3341" width="10.5703125" style="1352" customWidth="1"/>
    <col min="3342" max="3342" width="7.140625" style="1352" customWidth="1"/>
    <col min="3343" max="3344" width="8.140625" style="1352" customWidth="1"/>
    <col min="3345" max="3345" width="8.85546875" style="1352" customWidth="1"/>
    <col min="3346" max="3346" width="8.5703125" style="1352" customWidth="1"/>
    <col min="3347" max="3589" width="9.140625" style="1352"/>
    <col min="3590" max="3590" width="5" style="1352" customWidth="1"/>
    <col min="3591" max="3591" width="26.140625" style="1352" customWidth="1"/>
    <col min="3592" max="3592" width="8.42578125" style="1352" customWidth="1"/>
    <col min="3593" max="3593" width="8.140625" style="1352" customWidth="1"/>
    <col min="3594" max="3594" width="8" style="1352" customWidth="1"/>
    <col min="3595" max="3597" width="10.5703125" style="1352" customWidth="1"/>
    <col min="3598" max="3598" width="7.140625" style="1352" customWidth="1"/>
    <col min="3599" max="3600" width="8.140625" style="1352" customWidth="1"/>
    <col min="3601" max="3601" width="8.85546875" style="1352" customWidth="1"/>
    <col min="3602" max="3602" width="8.5703125" style="1352" customWidth="1"/>
    <col min="3603" max="3845" width="9.140625" style="1352"/>
    <col min="3846" max="3846" width="5" style="1352" customWidth="1"/>
    <col min="3847" max="3847" width="26.140625" style="1352" customWidth="1"/>
    <col min="3848" max="3848" width="8.42578125" style="1352" customWidth="1"/>
    <col min="3849" max="3849" width="8.140625" style="1352" customWidth="1"/>
    <col min="3850" max="3850" width="8" style="1352" customWidth="1"/>
    <col min="3851" max="3853" width="10.5703125" style="1352" customWidth="1"/>
    <col min="3854" max="3854" width="7.140625" style="1352" customWidth="1"/>
    <col min="3855" max="3856" width="8.140625" style="1352" customWidth="1"/>
    <col min="3857" max="3857" width="8.85546875" style="1352" customWidth="1"/>
    <col min="3858" max="3858" width="8.5703125" style="1352" customWidth="1"/>
    <col min="3859" max="4101" width="9.140625" style="1352"/>
    <col min="4102" max="4102" width="5" style="1352" customWidth="1"/>
    <col min="4103" max="4103" width="26.140625" style="1352" customWidth="1"/>
    <col min="4104" max="4104" width="8.42578125" style="1352" customWidth="1"/>
    <col min="4105" max="4105" width="8.140625" style="1352" customWidth="1"/>
    <col min="4106" max="4106" width="8" style="1352" customWidth="1"/>
    <col min="4107" max="4109" width="10.5703125" style="1352" customWidth="1"/>
    <col min="4110" max="4110" width="7.140625" style="1352" customWidth="1"/>
    <col min="4111" max="4112" width="8.140625" style="1352" customWidth="1"/>
    <col min="4113" max="4113" width="8.85546875" style="1352" customWidth="1"/>
    <col min="4114" max="4114" width="8.5703125" style="1352" customWidth="1"/>
    <col min="4115" max="4357" width="9.140625" style="1352"/>
    <col min="4358" max="4358" width="5" style="1352" customWidth="1"/>
    <col min="4359" max="4359" width="26.140625" style="1352" customWidth="1"/>
    <col min="4360" max="4360" width="8.42578125" style="1352" customWidth="1"/>
    <col min="4361" max="4361" width="8.140625" style="1352" customWidth="1"/>
    <col min="4362" max="4362" width="8" style="1352" customWidth="1"/>
    <col min="4363" max="4365" width="10.5703125" style="1352" customWidth="1"/>
    <col min="4366" max="4366" width="7.140625" style="1352" customWidth="1"/>
    <col min="4367" max="4368" width="8.140625" style="1352" customWidth="1"/>
    <col min="4369" max="4369" width="8.85546875" style="1352" customWidth="1"/>
    <col min="4370" max="4370" width="8.5703125" style="1352" customWidth="1"/>
    <col min="4371" max="4613" width="9.140625" style="1352"/>
    <col min="4614" max="4614" width="5" style="1352" customWidth="1"/>
    <col min="4615" max="4615" width="26.140625" style="1352" customWidth="1"/>
    <col min="4616" max="4616" width="8.42578125" style="1352" customWidth="1"/>
    <col min="4617" max="4617" width="8.140625" style="1352" customWidth="1"/>
    <col min="4618" max="4618" width="8" style="1352" customWidth="1"/>
    <col min="4619" max="4621" width="10.5703125" style="1352" customWidth="1"/>
    <col min="4622" max="4622" width="7.140625" style="1352" customWidth="1"/>
    <col min="4623" max="4624" width="8.140625" style="1352" customWidth="1"/>
    <col min="4625" max="4625" width="8.85546875" style="1352" customWidth="1"/>
    <col min="4626" max="4626" width="8.5703125" style="1352" customWidth="1"/>
    <col min="4627" max="4869" width="9.140625" style="1352"/>
    <col min="4870" max="4870" width="5" style="1352" customWidth="1"/>
    <col min="4871" max="4871" width="26.140625" style="1352" customWidth="1"/>
    <col min="4872" max="4872" width="8.42578125" style="1352" customWidth="1"/>
    <col min="4873" max="4873" width="8.140625" style="1352" customWidth="1"/>
    <col min="4874" max="4874" width="8" style="1352" customWidth="1"/>
    <col min="4875" max="4877" width="10.5703125" style="1352" customWidth="1"/>
    <col min="4878" max="4878" width="7.140625" style="1352" customWidth="1"/>
    <col min="4879" max="4880" width="8.140625" style="1352" customWidth="1"/>
    <col min="4881" max="4881" width="8.85546875" style="1352" customWidth="1"/>
    <col min="4882" max="4882" width="8.5703125" style="1352" customWidth="1"/>
    <col min="4883" max="5125" width="9.140625" style="1352"/>
    <col min="5126" max="5126" width="5" style="1352" customWidth="1"/>
    <col min="5127" max="5127" width="26.140625" style="1352" customWidth="1"/>
    <col min="5128" max="5128" width="8.42578125" style="1352" customWidth="1"/>
    <col min="5129" max="5129" width="8.140625" style="1352" customWidth="1"/>
    <col min="5130" max="5130" width="8" style="1352" customWidth="1"/>
    <col min="5131" max="5133" width="10.5703125" style="1352" customWidth="1"/>
    <col min="5134" max="5134" width="7.140625" style="1352" customWidth="1"/>
    <col min="5135" max="5136" width="8.140625" style="1352" customWidth="1"/>
    <col min="5137" max="5137" width="8.85546875" style="1352" customWidth="1"/>
    <col min="5138" max="5138" width="8.5703125" style="1352" customWidth="1"/>
    <col min="5139" max="5381" width="9.140625" style="1352"/>
    <col min="5382" max="5382" width="5" style="1352" customWidth="1"/>
    <col min="5383" max="5383" width="26.140625" style="1352" customWidth="1"/>
    <col min="5384" max="5384" width="8.42578125" style="1352" customWidth="1"/>
    <col min="5385" max="5385" width="8.140625" style="1352" customWidth="1"/>
    <col min="5386" max="5386" width="8" style="1352" customWidth="1"/>
    <col min="5387" max="5389" width="10.5703125" style="1352" customWidth="1"/>
    <col min="5390" max="5390" width="7.140625" style="1352" customWidth="1"/>
    <col min="5391" max="5392" width="8.140625" style="1352" customWidth="1"/>
    <col min="5393" max="5393" width="8.85546875" style="1352" customWidth="1"/>
    <col min="5394" max="5394" width="8.5703125" style="1352" customWidth="1"/>
    <col min="5395" max="5637" width="9.140625" style="1352"/>
    <col min="5638" max="5638" width="5" style="1352" customWidth="1"/>
    <col min="5639" max="5639" width="26.140625" style="1352" customWidth="1"/>
    <col min="5640" max="5640" width="8.42578125" style="1352" customWidth="1"/>
    <col min="5641" max="5641" width="8.140625" style="1352" customWidth="1"/>
    <col min="5642" max="5642" width="8" style="1352" customWidth="1"/>
    <col min="5643" max="5645" width="10.5703125" style="1352" customWidth="1"/>
    <col min="5646" max="5646" width="7.140625" style="1352" customWidth="1"/>
    <col min="5647" max="5648" width="8.140625" style="1352" customWidth="1"/>
    <col min="5649" max="5649" width="8.85546875" style="1352" customWidth="1"/>
    <col min="5650" max="5650" width="8.5703125" style="1352" customWidth="1"/>
    <col min="5651" max="5893" width="9.140625" style="1352"/>
    <col min="5894" max="5894" width="5" style="1352" customWidth="1"/>
    <col min="5895" max="5895" width="26.140625" style="1352" customWidth="1"/>
    <col min="5896" max="5896" width="8.42578125" style="1352" customWidth="1"/>
    <col min="5897" max="5897" width="8.140625" style="1352" customWidth="1"/>
    <col min="5898" max="5898" width="8" style="1352" customWidth="1"/>
    <col min="5899" max="5901" width="10.5703125" style="1352" customWidth="1"/>
    <col min="5902" max="5902" width="7.140625" style="1352" customWidth="1"/>
    <col min="5903" max="5904" width="8.140625" style="1352" customWidth="1"/>
    <col min="5905" max="5905" width="8.85546875" style="1352" customWidth="1"/>
    <col min="5906" max="5906" width="8.5703125" style="1352" customWidth="1"/>
    <col min="5907" max="6149" width="9.140625" style="1352"/>
    <col min="6150" max="6150" width="5" style="1352" customWidth="1"/>
    <col min="6151" max="6151" width="26.140625" style="1352" customWidth="1"/>
    <col min="6152" max="6152" width="8.42578125" style="1352" customWidth="1"/>
    <col min="6153" max="6153" width="8.140625" style="1352" customWidth="1"/>
    <col min="6154" max="6154" width="8" style="1352" customWidth="1"/>
    <col min="6155" max="6157" width="10.5703125" style="1352" customWidth="1"/>
    <col min="6158" max="6158" width="7.140625" style="1352" customWidth="1"/>
    <col min="6159" max="6160" width="8.140625" style="1352" customWidth="1"/>
    <col min="6161" max="6161" width="8.85546875" style="1352" customWidth="1"/>
    <col min="6162" max="6162" width="8.5703125" style="1352" customWidth="1"/>
    <col min="6163" max="6405" width="9.140625" style="1352"/>
    <col min="6406" max="6406" width="5" style="1352" customWidth="1"/>
    <col min="6407" max="6407" width="26.140625" style="1352" customWidth="1"/>
    <col min="6408" max="6408" width="8.42578125" style="1352" customWidth="1"/>
    <col min="6409" max="6409" width="8.140625" style="1352" customWidth="1"/>
    <col min="6410" max="6410" width="8" style="1352" customWidth="1"/>
    <col min="6411" max="6413" width="10.5703125" style="1352" customWidth="1"/>
    <col min="6414" max="6414" width="7.140625" style="1352" customWidth="1"/>
    <col min="6415" max="6416" width="8.140625" style="1352" customWidth="1"/>
    <col min="6417" max="6417" width="8.85546875" style="1352" customWidth="1"/>
    <col min="6418" max="6418" width="8.5703125" style="1352" customWidth="1"/>
    <col min="6419" max="6661" width="9.140625" style="1352"/>
    <col min="6662" max="6662" width="5" style="1352" customWidth="1"/>
    <col min="6663" max="6663" width="26.140625" style="1352" customWidth="1"/>
    <col min="6664" max="6664" width="8.42578125" style="1352" customWidth="1"/>
    <col min="6665" max="6665" width="8.140625" style="1352" customWidth="1"/>
    <col min="6666" max="6666" width="8" style="1352" customWidth="1"/>
    <col min="6667" max="6669" width="10.5703125" style="1352" customWidth="1"/>
    <col min="6670" max="6670" width="7.140625" style="1352" customWidth="1"/>
    <col min="6671" max="6672" width="8.140625" style="1352" customWidth="1"/>
    <col min="6673" max="6673" width="8.85546875" style="1352" customWidth="1"/>
    <col min="6674" max="6674" width="8.5703125" style="1352" customWidth="1"/>
    <col min="6675" max="6917" width="9.140625" style="1352"/>
    <col min="6918" max="6918" width="5" style="1352" customWidth="1"/>
    <col min="6919" max="6919" width="26.140625" style="1352" customWidth="1"/>
    <col min="6920" max="6920" width="8.42578125" style="1352" customWidth="1"/>
    <col min="6921" max="6921" width="8.140625" style="1352" customWidth="1"/>
    <col min="6922" max="6922" width="8" style="1352" customWidth="1"/>
    <col min="6923" max="6925" width="10.5703125" style="1352" customWidth="1"/>
    <col min="6926" max="6926" width="7.140625" style="1352" customWidth="1"/>
    <col min="6927" max="6928" width="8.140625" style="1352" customWidth="1"/>
    <col min="6929" max="6929" width="8.85546875" style="1352" customWidth="1"/>
    <col min="6930" max="6930" width="8.5703125" style="1352" customWidth="1"/>
    <col min="6931" max="7173" width="9.140625" style="1352"/>
    <col min="7174" max="7174" width="5" style="1352" customWidth="1"/>
    <col min="7175" max="7175" width="26.140625" style="1352" customWidth="1"/>
    <col min="7176" max="7176" width="8.42578125" style="1352" customWidth="1"/>
    <col min="7177" max="7177" width="8.140625" style="1352" customWidth="1"/>
    <col min="7178" max="7178" width="8" style="1352" customWidth="1"/>
    <col min="7179" max="7181" width="10.5703125" style="1352" customWidth="1"/>
    <col min="7182" max="7182" width="7.140625" style="1352" customWidth="1"/>
    <col min="7183" max="7184" width="8.140625" style="1352" customWidth="1"/>
    <col min="7185" max="7185" width="8.85546875" style="1352" customWidth="1"/>
    <col min="7186" max="7186" width="8.5703125" style="1352" customWidth="1"/>
    <col min="7187" max="7429" width="9.140625" style="1352"/>
    <col min="7430" max="7430" width="5" style="1352" customWidth="1"/>
    <col min="7431" max="7431" width="26.140625" style="1352" customWidth="1"/>
    <col min="7432" max="7432" width="8.42578125" style="1352" customWidth="1"/>
    <col min="7433" max="7433" width="8.140625" style="1352" customWidth="1"/>
    <col min="7434" max="7434" width="8" style="1352" customWidth="1"/>
    <col min="7435" max="7437" width="10.5703125" style="1352" customWidth="1"/>
    <col min="7438" max="7438" width="7.140625" style="1352" customWidth="1"/>
    <col min="7439" max="7440" width="8.140625" style="1352" customWidth="1"/>
    <col min="7441" max="7441" width="8.85546875" style="1352" customWidth="1"/>
    <col min="7442" max="7442" width="8.5703125" style="1352" customWidth="1"/>
    <col min="7443" max="7685" width="9.140625" style="1352"/>
    <col min="7686" max="7686" width="5" style="1352" customWidth="1"/>
    <col min="7687" max="7687" width="26.140625" style="1352" customWidth="1"/>
    <col min="7688" max="7688" width="8.42578125" style="1352" customWidth="1"/>
    <col min="7689" max="7689" width="8.140625" style="1352" customWidth="1"/>
    <col min="7690" max="7690" width="8" style="1352" customWidth="1"/>
    <col min="7691" max="7693" width="10.5703125" style="1352" customWidth="1"/>
    <col min="7694" max="7694" width="7.140625" style="1352" customWidth="1"/>
    <col min="7695" max="7696" width="8.140625" style="1352" customWidth="1"/>
    <col min="7697" max="7697" width="8.85546875" style="1352" customWidth="1"/>
    <col min="7698" max="7698" width="8.5703125" style="1352" customWidth="1"/>
    <col min="7699" max="7941" width="9.140625" style="1352"/>
    <col min="7942" max="7942" width="5" style="1352" customWidth="1"/>
    <col min="7943" max="7943" width="26.140625" style="1352" customWidth="1"/>
    <col min="7944" max="7944" width="8.42578125" style="1352" customWidth="1"/>
    <col min="7945" max="7945" width="8.140625" style="1352" customWidth="1"/>
    <col min="7946" max="7946" width="8" style="1352" customWidth="1"/>
    <col min="7947" max="7949" width="10.5703125" style="1352" customWidth="1"/>
    <col min="7950" max="7950" width="7.140625" style="1352" customWidth="1"/>
    <col min="7951" max="7952" width="8.140625" style="1352" customWidth="1"/>
    <col min="7953" max="7953" width="8.85546875" style="1352" customWidth="1"/>
    <col min="7954" max="7954" width="8.5703125" style="1352" customWidth="1"/>
    <col min="7955" max="8197" width="9.140625" style="1352"/>
    <col min="8198" max="8198" width="5" style="1352" customWidth="1"/>
    <col min="8199" max="8199" width="26.140625" style="1352" customWidth="1"/>
    <col min="8200" max="8200" width="8.42578125" style="1352" customWidth="1"/>
    <col min="8201" max="8201" width="8.140625" style="1352" customWidth="1"/>
    <col min="8202" max="8202" width="8" style="1352" customWidth="1"/>
    <col min="8203" max="8205" width="10.5703125" style="1352" customWidth="1"/>
    <col min="8206" max="8206" width="7.140625" style="1352" customWidth="1"/>
    <col min="8207" max="8208" width="8.140625" style="1352" customWidth="1"/>
    <col min="8209" max="8209" width="8.85546875" style="1352" customWidth="1"/>
    <col min="8210" max="8210" width="8.5703125" style="1352" customWidth="1"/>
    <col min="8211" max="8453" width="9.140625" style="1352"/>
    <col min="8454" max="8454" width="5" style="1352" customWidth="1"/>
    <col min="8455" max="8455" width="26.140625" style="1352" customWidth="1"/>
    <col min="8456" max="8456" width="8.42578125" style="1352" customWidth="1"/>
    <col min="8457" max="8457" width="8.140625" style="1352" customWidth="1"/>
    <col min="8458" max="8458" width="8" style="1352" customWidth="1"/>
    <col min="8459" max="8461" width="10.5703125" style="1352" customWidth="1"/>
    <col min="8462" max="8462" width="7.140625" style="1352" customWidth="1"/>
    <col min="8463" max="8464" width="8.140625" style="1352" customWidth="1"/>
    <col min="8465" max="8465" width="8.85546875" style="1352" customWidth="1"/>
    <col min="8466" max="8466" width="8.5703125" style="1352" customWidth="1"/>
    <col min="8467" max="8709" width="9.140625" style="1352"/>
    <col min="8710" max="8710" width="5" style="1352" customWidth="1"/>
    <col min="8711" max="8711" width="26.140625" style="1352" customWidth="1"/>
    <col min="8712" max="8712" width="8.42578125" style="1352" customWidth="1"/>
    <col min="8713" max="8713" width="8.140625" style="1352" customWidth="1"/>
    <col min="8714" max="8714" width="8" style="1352" customWidth="1"/>
    <col min="8715" max="8717" width="10.5703125" style="1352" customWidth="1"/>
    <col min="8718" max="8718" width="7.140625" style="1352" customWidth="1"/>
    <col min="8719" max="8720" width="8.140625" style="1352" customWidth="1"/>
    <col min="8721" max="8721" width="8.85546875" style="1352" customWidth="1"/>
    <col min="8722" max="8722" width="8.5703125" style="1352" customWidth="1"/>
    <col min="8723" max="8965" width="9.140625" style="1352"/>
    <col min="8966" max="8966" width="5" style="1352" customWidth="1"/>
    <col min="8967" max="8967" width="26.140625" style="1352" customWidth="1"/>
    <col min="8968" max="8968" width="8.42578125" style="1352" customWidth="1"/>
    <col min="8969" max="8969" width="8.140625" style="1352" customWidth="1"/>
    <col min="8970" max="8970" width="8" style="1352" customWidth="1"/>
    <col min="8971" max="8973" width="10.5703125" style="1352" customWidth="1"/>
    <col min="8974" max="8974" width="7.140625" style="1352" customWidth="1"/>
    <col min="8975" max="8976" width="8.140625" style="1352" customWidth="1"/>
    <col min="8977" max="8977" width="8.85546875" style="1352" customWidth="1"/>
    <col min="8978" max="8978" width="8.5703125" style="1352" customWidth="1"/>
    <col min="8979" max="9221" width="9.140625" style="1352"/>
    <col min="9222" max="9222" width="5" style="1352" customWidth="1"/>
    <col min="9223" max="9223" width="26.140625" style="1352" customWidth="1"/>
    <col min="9224" max="9224" width="8.42578125" style="1352" customWidth="1"/>
    <col min="9225" max="9225" width="8.140625" style="1352" customWidth="1"/>
    <col min="9226" max="9226" width="8" style="1352" customWidth="1"/>
    <col min="9227" max="9229" width="10.5703125" style="1352" customWidth="1"/>
    <col min="9230" max="9230" width="7.140625" style="1352" customWidth="1"/>
    <col min="9231" max="9232" width="8.140625" style="1352" customWidth="1"/>
    <col min="9233" max="9233" width="8.85546875" style="1352" customWidth="1"/>
    <col min="9234" max="9234" width="8.5703125" style="1352" customWidth="1"/>
    <col min="9235" max="9477" width="9.140625" style="1352"/>
    <col min="9478" max="9478" width="5" style="1352" customWidth="1"/>
    <col min="9479" max="9479" width="26.140625" style="1352" customWidth="1"/>
    <col min="9480" max="9480" width="8.42578125" style="1352" customWidth="1"/>
    <col min="9481" max="9481" width="8.140625" style="1352" customWidth="1"/>
    <col min="9482" max="9482" width="8" style="1352" customWidth="1"/>
    <col min="9483" max="9485" width="10.5703125" style="1352" customWidth="1"/>
    <col min="9486" max="9486" width="7.140625" style="1352" customWidth="1"/>
    <col min="9487" max="9488" width="8.140625" style="1352" customWidth="1"/>
    <col min="9489" max="9489" width="8.85546875" style="1352" customWidth="1"/>
    <col min="9490" max="9490" width="8.5703125" style="1352" customWidth="1"/>
    <col min="9491" max="9733" width="9.140625" style="1352"/>
    <col min="9734" max="9734" width="5" style="1352" customWidth="1"/>
    <col min="9735" max="9735" width="26.140625" style="1352" customWidth="1"/>
    <col min="9736" max="9736" width="8.42578125" style="1352" customWidth="1"/>
    <col min="9737" max="9737" width="8.140625" style="1352" customWidth="1"/>
    <col min="9738" max="9738" width="8" style="1352" customWidth="1"/>
    <col min="9739" max="9741" width="10.5703125" style="1352" customWidth="1"/>
    <col min="9742" max="9742" width="7.140625" style="1352" customWidth="1"/>
    <col min="9743" max="9744" width="8.140625" style="1352" customWidth="1"/>
    <col min="9745" max="9745" width="8.85546875" style="1352" customWidth="1"/>
    <col min="9746" max="9746" width="8.5703125" style="1352" customWidth="1"/>
    <col min="9747" max="9989" width="9.140625" style="1352"/>
    <col min="9990" max="9990" width="5" style="1352" customWidth="1"/>
    <col min="9991" max="9991" width="26.140625" style="1352" customWidth="1"/>
    <col min="9992" max="9992" width="8.42578125" style="1352" customWidth="1"/>
    <col min="9993" max="9993" width="8.140625" style="1352" customWidth="1"/>
    <col min="9994" max="9994" width="8" style="1352" customWidth="1"/>
    <col min="9995" max="9997" width="10.5703125" style="1352" customWidth="1"/>
    <col min="9998" max="9998" width="7.140625" style="1352" customWidth="1"/>
    <col min="9999" max="10000" width="8.140625" style="1352" customWidth="1"/>
    <col min="10001" max="10001" width="8.85546875" style="1352" customWidth="1"/>
    <col min="10002" max="10002" width="8.5703125" style="1352" customWidth="1"/>
    <col min="10003" max="10245" width="9.140625" style="1352"/>
    <col min="10246" max="10246" width="5" style="1352" customWidth="1"/>
    <col min="10247" max="10247" width="26.140625" style="1352" customWidth="1"/>
    <col min="10248" max="10248" width="8.42578125" style="1352" customWidth="1"/>
    <col min="10249" max="10249" width="8.140625" style="1352" customWidth="1"/>
    <col min="10250" max="10250" width="8" style="1352" customWidth="1"/>
    <col min="10251" max="10253" width="10.5703125" style="1352" customWidth="1"/>
    <col min="10254" max="10254" width="7.140625" style="1352" customWidth="1"/>
    <col min="10255" max="10256" width="8.140625" style="1352" customWidth="1"/>
    <col min="10257" max="10257" width="8.85546875" style="1352" customWidth="1"/>
    <col min="10258" max="10258" width="8.5703125" style="1352" customWidth="1"/>
    <col min="10259" max="10501" width="9.140625" style="1352"/>
    <col min="10502" max="10502" width="5" style="1352" customWidth="1"/>
    <col min="10503" max="10503" width="26.140625" style="1352" customWidth="1"/>
    <col min="10504" max="10504" width="8.42578125" style="1352" customWidth="1"/>
    <col min="10505" max="10505" width="8.140625" style="1352" customWidth="1"/>
    <col min="10506" max="10506" width="8" style="1352" customWidth="1"/>
    <col min="10507" max="10509" width="10.5703125" style="1352" customWidth="1"/>
    <col min="10510" max="10510" width="7.140625" style="1352" customWidth="1"/>
    <col min="10511" max="10512" width="8.140625" style="1352" customWidth="1"/>
    <col min="10513" max="10513" width="8.85546875" style="1352" customWidth="1"/>
    <col min="10514" max="10514" width="8.5703125" style="1352" customWidth="1"/>
    <col min="10515" max="10757" width="9.140625" style="1352"/>
    <col min="10758" max="10758" width="5" style="1352" customWidth="1"/>
    <col min="10759" max="10759" width="26.140625" style="1352" customWidth="1"/>
    <col min="10760" max="10760" width="8.42578125" style="1352" customWidth="1"/>
    <col min="10761" max="10761" width="8.140625" style="1352" customWidth="1"/>
    <col min="10762" max="10762" width="8" style="1352" customWidth="1"/>
    <col min="10763" max="10765" width="10.5703125" style="1352" customWidth="1"/>
    <col min="10766" max="10766" width="7.140625" style="1352" customWidth="1"/>
    <col min="10767" max="10768" width="8.140625" style="1352" customWidth="1"/>
    <col min="10769" max="10769" width="8.85546875" style="1352" customWidth="1"/>
    <col min="10770" max="10770" width="8.5703125" style="1352" customWidth="1"/>
    <col min="10771" max="11013" width="9.140625" style="1352"/>
    <col min="11014" max="11014" width="5" style="1352" customWidth="1"/>
    <col min="11015" max="11015" width="26.140625" style="1352" customWidth="1"/>
    <col min="11016" max="11016" width="8.42578125" style="1352" customWidth="1"/>
    <col min="11017" max="11017" width="8.140625" style="1352" customWidth="1"/>
    <col min="11018" max="11018" width="8" style="1352" customWidth="1"/>
    <col min="11019" max="11021" width="10.5703125" style="1352" customWidth="1"/>
    <col min="11022" max="11022" width="7.140625" style="1352" customWidth="1"/>
    <col min="11023" max="11024" width="8.140625" style="1352" customWidth="1"/>
    <col min="11025" max="11025" width="8.85546875" style="1352" customWidth="1"/>
    <col min="11026" max="11026" width="8.5703125" style="1352" customWidth="1"/>
    <col min="11027" max="11269" width="9.140625" style="1352"/>
    <col min="11270" max="11270" width="5" style="1352" customWidth="1"/>
    <col min="11271" max="11271" width="26.140625" style="1352" customWidth="1"/>
    <col min="11272" max="11272" width="8.42578125" style="1352" customWidth="1"/>
    <col min="11273" max="11273" width="8.140625" style="1352" customWidth="1"/>
    <col min="11274" max="11274" width="8" style="1352" customWidth="1"/>
    <col min="11275" max="11277" width="10.5703125" style="1352" customWidth="1"/>
    <col min="11278" max="11278" width="7.140625" style="1352" customWidth="1"/>
    <col min="11279" max="11280" width="8.140625" style="1352" customWidth="1"/>
    <col min="11281" max="11281" width="8.85546875" style="1352" customWidth="1"/>
    <col min="11282" max="11282" width="8.5703125" style="1352" customWidth="1"/>
    <col min="11283" max="11525" width="9.140625" style="1352"/>
    <col min="11526" max="11526" width="5" style="1352" customWidth="1"/>
    <col min="11527" max="11527" width="26.140625" style="1352" customWidth="1"/>
    <col min="11528" max="11528" width="8.42578125" style="1352" customWidth="1"/>
    <col min="11529" max="11529" width="8.140625" style="1352" customWidth="1"/>
    <col min="11530" max="11530" width="8" style="1352" customWidth="1"/>
    <col min="11531" max="11533" width="10.5703125" style="1352" customWidth="1"/>
    <col min="11534" max="11534" width="7.140625" style="1352" customWidth="1"/>
    <col min="11535" max="11536" width="8.140625" style="1352" customWidth="1"/>
    <col min="11537" max="11537" width="8.85546875" style="1352" customWidth="1"/>
    <col min="11538" max="11538" width="8.5703125" style="1352" customWidth="1"/>
    <col min="11539" max="11781" width="9.140625" style="1352"/>
    <col min="11782" max="11782" width="5" style="1352" customWidth="1"/>
    <col min="11783" max="11783" width="26.140625" style="1352" customWidth="1"/>
    <col min="11784" max="11784" width="8.42578125" style="1352" customWidth="1"/>
    <col min="11785" max="11785" width="8.140625" style="1352" customWidth="1"/>
    <col min="11786" max="11786" width="8" style="1352" customWidth="1"/>
    <col min="11787" max="11789" width="10.5703125" style="1352" customWidth="1"/>
    <col min="11790" max="11790" width="7.140625" style="1352" customWidth="1"/>
    <col min="11791" max="11792" width="8.140625" style="1352" customWidth="1"/>
    <col min="11793" max="11793" width="8.85546875" style="1352" customWidth="1"/>
    <col min="11794" max="11794" width="8.5703125" style="1352" customWidth="1"/>
    <col min="11795" max="12037" width="9.140625" style="1352"/>
    <col min="12038" max="12038" width="5" style="1352" customWidth="1"/>
    <col min="12039" max="12039" width="26.140625" style="1352" customWidth="1"/>
    <col min="12040" max="12040" width="8.42578125" style="1352" customWidth="1"/>
    <col min="12041" max="12041" width="8.140625" style="1352" customWidth="1"/>
    <col min="12042" max="12042" width="8" style="1352" customWidth="1"/>
    <col min="12043" max="12045" width="10.5703125" style="1352" customWidth="1"/>
    <col min="12046" max="12046" width="7.140625" style="1352" customWidth="1"/>
    <col min="12047" max="12048" width="8.140625" style="1352" customWidth="1"/>
    <col min="12049" max="12049" width="8.85546875" style="1352" customWidth="1"/>
    <col min="12050" max="12050" width="8.5703125" style="1352" customWidth="1"/>
    <col min="12051" max="12293" width="9.140625" style="1352"/>
    <col min="12294" max="12294" width="5" style="1352" customWidth="1"/>
    <col min="12295" max="12295" width="26.140625" style="1352" customWidth="1"/>
    <col min="12296" max="12296" width="8.42578125" style="1352" customWidth="1"/>
    <col min="12297" max="12297" width="8.140625" style="1352" customWidth="1"/>
    <col min="12298" max="12298" width="8" style="1352" customWidth="1"/>
    <col min="12299" max="12301" width="10.5703125" style="1352" customWidth="1"/>
    <col min="12302" max="12302" width="7.140625" style="1352" customWidth="1"/>
    <col min="12303" max="12304" width="8.140625" style="1352" customWidth="1"/>
    <col min="12305" max="12305" width="8.85546875" style="1352" customWidth="1"/>
    <col min="12306" max="12306" width="8.5703125" style="1352" customWidth="1"/>
    <col min="12307" max="12549" width="9.140625" style="1352"/>
    <col min="12550" max="12550" width="5" style="1352" customWidth="1"/>
    <col min="12551" max="12551" width="26.140625" style="1352" customWidth="1"/>
    <col min="12552" max="12552" width="8.42578125" style="1352" customWidth="1"/>
    <col min="12553" max="12553" width="8.140625" style="1352" customWidth="1"/>
    <col min="12554" max="12554" width="8" style="1352" customWidth="1"/>
    <col min="12555" max="12557" width="10.5703125" style="1352" customWidth="1"/>
    <col min="12558" max="12558" width="7.140625" style="1352" customWidth="1"/>
    <col min="12559" max="12560" width="8.140625" style="1352" customWidth="1"/>
    <col min="12561" max="12561" width="8.85546875" style="1352" customWidth="1"/>
    <col min="12562" max="12562" width="8.5703125" style="1352" customWidth="1"/>
    <col min="12563" max="12805" width="9.140625" style="1352"/>
    <col min="12806" max="12806" width="5" style="1352" customWidth="1"/>
    <col min="12807" max="12807" width="26.140625" style="1352" customWidth="1"/>
    <col min="12808" max="12808" width="8.42578125" style="1352" customWidth="1"/>
    <col min="12809" max="12809" width="8.140625" style="1352" customWidth="1"/>
    <col min="12810" max="12810" width="8" style="1352" customWidth="1"/>
    <col min="12811" max="12813" width="10.5703125" style="1352" customWidth="1"/>
    <col min="12814" max="12814" width="7.140625" style="1352" customWidth="1"/>
    <col min="12815" max="12816" width="8.140625" style="1352" customWidth="1"/>
    <col min="12817" max="12817" width="8.85546875" style="1352" customWidth="1"/>
    <col min="12818" max="12818" width="8.5703125" style="1352" customWidth="1"/>
    <col min="12819" max="13061" width="9.140625" style="1352"/>
    <col min="13062" max="13062" width="5" style="1352" customWidth="1"/>
    <col min="13063" max="13063" width="26.140625" style="1352" customWidth="1"/>
    <col min="13064" max="13064" width="8.42578125" style="1352" customWidth="1"/>
    <col min="13065" max="13065" width="8.140625" style="1352" customWidth="1"/>
    <col min="13066" max="13066" width="8" style="1352" customWidth="1"/>
    <col min="13067" max="13069" width="10.5703125" style="1352" customWidth="1"/>
    <col min="13070" max="13070" width="7.140625" style="1352" customWidth="1"/>
    <col min="13071" max="13072" width="8.140625" style="1352" customWidth="1"/>
    <col min="13073" max="13073" width="8.85546875" style="1352" customWidth="1"/>
    <col min="13074" max="13074" width="8.5703125" style="1352" customWidth="1"/>
    <col min="13075" max="13317" width="9.140625" style="1352"/>
    <col min="13318" max="13318" width="5" style="1352" customWidth="1"/>
    <col min="13319" max="13319" width="26.140625" style="1352" customWidth="1"/>
    <col min="13320" max="13320" width="8.42578125" style="1352" customWidth="1"/>
    <col min="13321" max="13321" width="8.140625" style="1352" customWidth="1"/>
    <col min="13322" max="13322" width="8" style="1352" customWidth="1"/>
    <col min="13323" max="13325" width="10.5703125" style="1352" customWidth="1"/>
    <col min="13326" max="13326" width="7.140625" style="1352" customWidth="1"/>
    <col min="13327" max="13328" width="8.140625" style="1352" customWidth="1"/>
    <col min="13329" max="13329" width="8.85546875" style="1352" customWidth="1"/>
    <col min="13330" max="13330" width="8.5703125" style="1352" customWidth="1"/>
    <col min="13331" max="13573" width="9.140625" style="1352"/>
    <col min="13574" max="13574" width="5" style="1352" customWidth="1"/>
    <col min="13575" max="13575" width="26.140625" style="1352" customWidth="1"/>
    <col min="13576" max="13576" width="8.42578125" style="1352" customWidth="1"/>
    <col min="13577" max="13577" width="8.140625" style="1352" customWidth="1"/>
    <col min="13578" max="13578" width="8" style="1352" customWidth="1"/>
    <col min="13579" max="13581" width="10.5703125" style="1352" customWidth="1"/>
    <col min="13582" max="13582" width="7.140625" style="1352" customWidth="1"/>
    <col min="13583" max="13584" width="8.140625" style="1352" customWidth="1"/>
    <col min="13585" max="13585" width="8.85546875" style="1352" customWidth="1"/>
    <col min="13586" max="13586" width="8.5703125" style="1352" customWidth="1"/>
    <col min="13587" max="13829" width="9.140625" style="1352"/>
    <col min="13830" max="13830" width="5" style="1352" customWidth="1"/>
    <col min="13831" max="13831" width="26.140625" style="1352" customWidth="1"/>
    <col min="13832" max="13832" width="8.42578125" style="1352" customWidth="1"/>
    <col min="13833" max="13833" width="8.140625" style="1352" customWidth="1"/>
    <col min="13834" max="13834" width="8" style="1352" customWidth="1"/>
    <col min="13835" max="13837" width="10.5703125" style="1352" customWidth="1"/>
    <col min="13838" max="13838" width="7.140625" style="1352" customWidth="1"/>
    <col min="13839" max="13840" width="8.140625" style="1352" customWidth="1"/>
    <col min="13841" max="13841" width="8.85546875" style="1352" customWidth="1"/>
    <col min="13842" max="13842" width="8.5703125" style="1352" customWidth="1"/>
    <col min="13843" max="14085" width="9.140625" style="1352"/>
    <col min="14086" max="14086" width="5" style="1352" customWidth="1"/>
    <col min="14087" max="14087" width="26.140625" style="1352" customWidth="1"/>
    <col min="14088" max="14088" width="8.42578125" style="1352" customWidth="1"/>
    <col min="14089" max="14089" width="8.140625" style="1352" customWidth="1"/>
    <col min="14090" max="14090" width="8" style="1352" customWidth="1"/>
    <col min="14091" max="14093" width="10.5703125" style="1352" customWidth="1"/>
    <col min="14094" max="14094" width="7.140625" style="1352" customWidth="1"/>
    <col min="14095" max="14096" width="8.140625" style="1352" customWidth="1"/>
    <col min="14097" max="14097" width="8.85546875" style="1352" customWidth="1"/>
    <col min="14098" max="14098" width="8.5703125" style="1352" customWidth="1"/>
    <col min="14099" max="14341" width="9.140625" style="1352"/>
    <col min="14342" max="14342" width="5" style="1352" customWidth="1"/>
    <col min="14343" max="14343" width="26.140625" style="1352" customWidth="1"/>
    <col min="14344" max="14344" width="8.42578125" style="1352" customWidth="1"/>
    <col min="14345" max="14345" width="8.140625" style="1352" customWidth="1"/>
    <col min="14346" max="14346" width="8" style="1352" customWidth="1"/>
    <col min="14347" max="14349" width="10.5703125" style="1352" customWidth="1"/>
    <col min="14350" max="14350" width="7.140625" style="1352" customWidth="1"/>
    <col min="14351" max="14352" width="8.140625" style="1352" customWidth="1"/>
    <col min="14353" max="14353" width="8.85546875" style="1352" customWidth="1"/>
    <col min="14354" max="14354" width="8.5703125" style="1352" customWidth="1"/>
    <col min="14355" max="14597" width="9.140625" style="1352"/>
    <col min="14598" max="14598" width="5" style="1352" customWidth="1"/>
    <col min="14599" max="14599" width="26.140625" style="1352" customWidth="1"/>
    <col min="14600" max="14600" width="8.42578125" style="1352" customWidth="1"/>
    <col min="14601" max="14601" width="8.140625" style="1352" customWidth="1"/>
    <col min="14602" max="14602" width="8" style="1352" customWidth="1"/>
    <col min="14603" max="14605" width="10.5703125" style="1352" customWidth="1"/>
    <col min="14606" max="14606" width="7.140625" style="1352" customWidth="1"/>
    <col min="14607" max="14608" width="8.140625" style="1352" customWidth="1"/>
    <col min="14609" max="14609" width="8.85546875" style="1352" customWidth="1"/>
    <col min="14610" max="14610" width="8.5703125" style="1352" customWidth="1"/>
    <col min="14611" max="14853" width="9.140625" style="1352"/>
    <col min="14854" max="14854" width="5" style="1352" customWidth="1"/>
    <col min="14855" max="14855" width="26.140625" style="1352" customWidth="1"/>
    <col min="14856" max="14856" width="8.42578125" style="1352" customWidth="1"/>
    <col min="14857" max="14857" width="8.140625" style="1352" customWidth="1"/>
    <col min="14858" max="14858" width="8" style="1352" customWidth="1"/>
    <col min="14859" max="14861" width="10.5703125" style="1352" customWidth="1"/>
    <col min="14862" max="14862" width="7.140625" style="1352" customWidth="1"/>
    <col min="14863" max="14864" width="8.140625" style="1352" customWidth="1"/>
    <col min="14865" max="14865" width="8.85546875" style="1352" customWidth="1"/>
    <col min="14866" max="14866" width="8.5703125" style="1352" customWidth="1"/>
    <col min="14867" max="15109" width="9.140625" style="1352"/>
    <col min="15110" max="15110" width="5" style="1352" customWidth="1"/>
    <col min="15111" max="15111" width="26.140625" style="1352" customWidth="1"/>
    <col min="15112" max="15112" width="8.42578125" style="1352" customWidth="1"/>
    <col min="15113" max="15113" width="8.140625" style="1352" customWidth="1"/>
    <col min="15114" max="15114" width="8" style="1352" customWidth="1"/>
    <col min="15115" max="15117" width="10.5703125" style="1352" customWidth="1"/>
    <col min="15118" max="15118" width="7.140625" style="1352" customWidth="1"/>
    <col min="15119" max="15120" width="8.140625" style="1352" customWidth="1"/>
    <col min="15121" max="15121" width="8.85546875" style="1352" customWidth="1"/>
    <col min="15122" max="15122" width="8.5703125" style="1352" customWidth="1"/>
    <col min="15123" max="15365" width="9.140625" style="1352"/>
    <col min="15366" max="15366" width="5" style="1352" customWidth="1"/>
    <col min="15367" max="15367" width="26.140625" style="1352" customWidth="1"/>
    <col min="15368" max="15368" width="8.42578125" style="1352" customWidth="1"/>
    <col min="15369" max="15369" width="8.140625" style="1352" customWidth="1"/>
    <col min="15370" max="15370" width="8" style="1352" customWidth="1"/>
    <col min="15371" max="15373" width="10.5703125" style="1352" customWidth="1"/>
    <col min="15374" max="15374" width="7.140625" style="1352" customWidth="1"/>
    <col min="15375" max="15376" width="8.140625" style="1352" customWidth="1"/>
    <col min="15377" max="15377" width="8.85546875" style="1352" customWidth="1"/>
    <col min="15378" max="15378" width="8.5703125" style="1352" customWidth="1"/>
    <col min="15379" max="15621" width="9.140625" style="1352"/>
    <col min="15622" max="15622" width="5" style="1352" customWidth="1"/>
    <col min="15623" max="15623" width="26.140625" style="1352" customWidth="1"/>
    <col min="15624" max="15624" width="8.42578125" style="1352" customWidth="1"/>
    <col min="15625" max="15625" width="8.140625" style="1352" customWidth="1"/>
    <col min="15626" max="15626" width="8" style="1352" customWidth="1"/>
    <col min="15627" max="15629" width="10.5703125" style="1352" customWidth="1"/>
    <col min="15630" max="15630" width="7.140625" style="1352" customWidth="1"/>
    <col min="15631" max="15632" width="8.140625" style="1352" customWidth="1"/>
    <col min="15633" max="15633" width="8.85546875" style="1352" customWidth="1"/>
    <col min="15634" max="15634" width="8.5703125" style="1352" customWidth="1"/>
    <col min="15635" max="15877" width="9.140625" style="1352"/>
    <col min="15878" max="15878" width="5" style="1352" customWidth="1"/>
    <col min="15879" max="15879" width="26.140625" style="1352" customWidth="1"/>
    <col min="15880" max="15880" width="8.42578125" style="1352" customWidth="1"/>
    <col min="15881" max="15881" width="8.140625" style="1352" customWidth="1"/>
    <col min="15882" max="15882" width="8" style="1352" customWidth="1"/>
    <col min="15883" max="15885" width="10.5703125" style="1352" customWidth="1"/>
    <col min="15886" max="15886" width="7.140625" style="1352" customWidth="1"/>
    <col min="15887" max="15888" width="8.140625" style="1352" customWidth="1"/>
    <col min="15889" max="15889" width="8.85546875" style="1352" customWidth="1"/>
    <col min="15890" max="15890" width="8.5703125" style="1352" customWidth="1"/>
    <col min="15891" max="16133" width="9.140625" style="1352"/>
    <col min="16134" max="16134" width="5" style="1352" customWidth="1"/>
    <col min="16135" max="16135" width="26.140625" style="1352" customWidth="1"/>
    <col min="16136" max="16136" width="8.42578125" style="1352" customWidth="1"/>
    <col min="16137" max="16137" width="8.140625" style="1352" customWidth="1"/>
    <col min="16138" max="16138" width="8" style="1352" customWidth="1"/>
    <col min="16139" max="16141" width="10.5703125" style="1352" customWidth="1"/>
    <col min="16142" max="16142" width="7.140625" style="1352" customWidth="1"/>
    <col min="16143" max="16144" width="8.140625" style="1352" customWidth="1"/>
    <col min="16145" max="16145" width="8.85546875" style="1352" customWidth="1"/>
    <col min="16146" max="16146" width="8.5703125" style="1352" customWidth="1"/>
    <col min="16147" max="16384" width="9.140625" style="1352"/>
  </cols>
  <sheetData>
    <row r="1" spans="1:20">
      <c r="A1" s="1672" t="s">
        <v>5862</v>
      </c>
      <c r="B1" s="1673"/>
      <c r="C1" s="1673"/>
      <c r="D1" s="1673"/>
      <c r="E1" s="1673"/>
      <c r="F1" s="1673"/>
      <c r="G1" s="1673"/>
      <c r="H1" s="1673"/>
      <c r="I1" s="1673"/>
      <c r="J1" s="1673"/>
      <c r="K1" s="1673"/>
      <c r="L1" s="1673"/>
      <c r="M1" s="1673"/>
      <c r="N1" s="1673"/>
      <c r="O1" s="1673"/>
      <c r="P1" s="1673"/>
      <c r="Q1" s="1673"/>
      <c r="R1" s="1673"/>
      <c r="S1" s="1673"/>
      <c r="T1" s="1674"/>
    </row>
    <row r="2" spans="1:20">
      <c r="A2" s="1675" t="s">
        <v>5863</v>
      </c>
      <c r="B2" s="1675"/>
      <c r="C2" s="1675"/>
      <c r="D2" s="1675"/>
      <c r="E2" s="1675"/>
      <c r="F2" s="1675"/>
      <c r="G2" s="1675"/>
      <c r="H2" s="1675"/>
      <c r="I2" s="1675"/>
      <c r="J2" s="1675"/>
      <c r="K2" s="1675"/>
      <c r="L2" s="1675"/>
      <c r="M2" s="1675"/>
      <c r="N2" s="1675"/>
      <c r="O2" s="1675"/>
      <c r="P2" s="1675"/>
      <c r="Q2" s="1675"/>
      <c r="R2" s="1675"/>
      <c r="S2" s="1675"/>
      <c r="T2" s="1675"/>
    </row>
    <row r="3" spans="1:20" s="1353" customFormat="1" ht="110.25" customHeight="1">
      <c r="A3" s="1356" t="s">
        <v>562</v>
      </c>
      <c r="B3" s="1357" t="s">
        <v>5864</v>
      </c>
      <c r="C3" s="1676" t="s">
        <v>5875</v>
      </c>
      <c r="D3" s="1677"/>
      <c r="E3" s="1360"/>
      <c r="F3" s="1360"/>
      <c r="G3" s="1356" t="s">
        <v>5865</v>
      </c>
      <c r="H3" s="1356" t="s">
        <v>5866</v>
      </c>
      <c r="I3" s="1356" t="s">
        <v>5893</v>
      </c>
      <c r="J3" s="1356" t="s">
        <v>5867</v>
      </c>
      <c r="K3" s="1356" t="s">
        <v>5868</v>
      </c>
      <c r="L3" s="1356" t="s">
        <v>5869</v>
      </c>
      <c r="M3" s="1356" t="s">
        <v>5895</v>
      </c>
      <c r="N3" s="1356" t="s">
        <v>5896</v>
      </c>
      <c r="O3" s="1356" t="s">
        <v>5900</v>
      </c>
      <c r="P3" s="1356" t="s">
        <v>5901</v>
      </c>
      <c r="Q3" s="1356" t="s">
        <v>5870</v>
      </c>
      <c r="R3" s="1356" t="s">
        <v>5871</v>
      </c>
      <c r="S3" s="1356" t="s">
        <v>5899</v>
      </c>
      <c r="T3" s="1356" t="s">
        <v>5872</v>
      </c>
    </row>
    <row r="4" spans="1:20" s="1353" customFormat="1" ht="65.25" customHeight="1">
      <c r="A4" s="1356"/>
      <c r="B4" s="1357"/>
      <c r="C4" s="1356" t="s">
        <v>23</v>
      </c>
      <c r="D4" s="1356" t="s">
        <v>24</v>
      </c>
      <c r="E4" s="1356" t="s">
        <v>5891</v>
      </c>
      <c r="F4" s="1356" t="s">
        <v>5892</v>
      </c>
      <c r="G4" s="1356"/>
      <c r="H4" s="1356"/>
      <c r="I4" s="1356"/>
      <c r="J4" s="1356"/>
      <c r="K4" s="1356"/>
      <c r="L4" s="1356"/>
      <c r="M4" s="1356"/>
      <c r="N4" s="1356"/>
      <c r="O4" s="1356"/>
      <c r="P4" s="1356"/>
      <c r="Q4" s="1356"/>
      <c r="R4" s="1356"/>
      <c r="S4" s="1356"/>
      <c r="T4" s="1356"/>
    </row>
    <row r="5" spans="1:20" s="1353" customFormat="1" ht="38.25" customHeight="1">
      <c r="A5" s="1358"/>
      <c r="B5" s="1306" t="s">
        <v>5874</v>
      </c>
      <c r="C5" s="1362" t="s">
        <v>575</v>
      </c>
      <c r="D5" s="1362" t="s">
        <v>575</v>
      </c>
      <c r="E5" s="1362" t="s">
        <v>575</v>
      </c>
      <c r="F5" s="1362" t="s">
        <v>575</v>
      </c>
      <c r="G5" s="1362" t="s">
        <v>575</v>
      </c>
      <c r="H5" s="1362" t="s">
        <v>575</v>
      </c>
      <c r="I5" s="1362" t="s">
        <v>575</v>
      </c>
      <c r="J5" s="1362" t="s">
        <v>575</v>
      </c>
      <c r="K5" s="1362" t="s">
        <v>575</v>
      </c>
      <c r="L5" s="1362" t="s">
        <v>575</v>
      </c>
      <c r="M5" s="1362" t="s">
        <v>575</v>
      </c>
      <c r="N5" s="1362" t="s">
        <v>575</v>
      </c>
      <c r="O5" s="1362"/>
      <c r="P5" s="1362"/>
      <c r="Q5" s="1362" t="s">
        <v>575</v>
      </c>
      <c r="R5" s="1362" t="s">
        <v>575</v>
      </c>
      <c r="S5" s="1362" t="s">
        <v>575</v>
      </c>
      <c r="T5" s="1362" t="s">
        <v>575</v>
      </c>
    </row>
    <row r="6" spans="1:20" s="1353" customFormat="1" ht="19.5" hidden="1" customHeight="1">
      <c r="A6" s="1358"/>
      <c r="B6" s="1307" t="s">
        <v>5521</v>
      </c>
      <c r="C6" s="1362">
        <v>7.55</v>
      </c>
      <c r="D6" s="1362">
        <v>2.4430000000000001</v>
      </c>
      <c r="E6" s="1362">
        <f>C6*D6</f>
        <v>18.444649999999999</v>
      </c>
      <c r="F6" s="1362">
        <f>E6*10.76</f>
        <v>198.46443399999998</v>
      </c>
      <c r="G6" s="1363">
        <f>ROUNDUP(ROUNDUP(F6,0)/175,0)</f>
        <v>2</v>
      </c>
      <c r="H6" s="1363">
        <f>ROUNDUP(ROUNDUP(F6,0)/150,0)</f>
        <v>2</v>
      </c>
      <c r="I6" s="1363">
        <f>ROUNDUP(ROUNDUP(F6,0)/180,0)</f>
        <v>2</v>
      </c>
      <c r="J6" s="1363"/>
      <c r="K6" s="1363"/>
      <c r="L6" s="1363">
        <v>1</v>
      </c>
      <c r="M6" s="1363"/>
      <c r="N6" s="1363">
        <v>1</v>
      </c>
      <c r="O6" s="1363"/>
      <c r="P6" s="1363"/>
      <c r="Q6" s="1363"/>
      <c r="R6" s="1363"/>
      <c r="S6" s="1363"/>
      <c r="T6" s="1363"/>
    </row>
    <row r="7" spans="1:20" s="1353" customFormat="1" ht="19.5" hidden="1" customHeight="1">
      <c r="A7" s="1358"/>
      <c r="B7" s="1307" t="s">
        <v>5521</v>
      </c>
      <c r="C7" s="1362">
        <v>5.5970000000000004</v>
      </c>
      <c r="D7" s="1362">
        <v>2.8570000000000002</v>
      </c>
      <c r="E7" s="1362">
        <f t="shared" ref="E7:E62" si="0">C7*D7</f>
        <v>15.990629000000002</v>
      </c>
      <c r="F7" s="1362">
        <f t="shared" ref="F7:F62" si="1">E7*10.76</f>
        <v>172.05916804000003</v>
      </c>
      <c r="G7" s="1363">
        <f>ROUNDUP(ROUNDUP(F7,0)/175,0)</f>
        <v>1</v>
      </c>
      <c r="H7" s="1363">
        <f t="shared" ref="H7:H9" si="2">ROUNDUP(ROUNDUP(F7,0)/150,0)</f>
        <v>2</v>
      </c>
      <c r="I7" s="1363"/>
      <c r="J7" s="1363"/>
      <c r="K7" s="1363"/>
      <c r="L7" s="1363"/>
      <c r="M7" s="1363"/>
      <c r="N7" s="1363">
        <v>1</v>
      </c>
      <c r="O7" s="1363"/>
      <c r="P7" s="1363"/>
      <c r="Q7" s="1363"/>
      <c r="R7" s="1363"/>
      <c r="S7" s="1363"/>
      <c r="T7" s="1363"/>
    </row>
    <row r="8" spans="1:20" s="1353" customFormat="1" ht="19.5" hidden="1" customHeight="1">
      <c r="A8" s="1358"/>
      <c r="B8" s="1307" t="s">
        <v>5877</v>
      </c>
      <c r="C8" s="1362">
        <v>1.5</v>
      </c>
      <c r="D8" s="1362">
        <v>3.5649999999999999</v>
      </c>
      <c r="E8" s="1362">
        <f t="shared" si="0"/>
        <v>5.3475000000000001</v>
      </c>
      <c r="F8" s="1362">
        <f t="shared" si="1"/>
        <v>57.539099999999998</v>
      </c>
      <c r="G8" s="1363"/>
      <c r="H8" s="1363">
        <f t="shared" si="2"/>
        <v>1</v>
      </c>
      <c r="I8" s="1363"/>
      <c r="J8" s="1363">
        <f t="shared" ref="J8:J9" si="3">ROUNDUP(ROUNDUP(F8,0)/100,0)</f>
        <v>1</v>
      </c>
      <c r="K8" s="1363"/>
      <c r="L8" s="1363"/>
      <c r="M8" s="1363"/>
      <c r="N8" s="1363"/>
      <c r="O8" s="1363"/>
      <c r="P8" s="1363"/>
      <c r="Q8" s="1363"/>
      <c r="R8" s="1363"/>
      <c r="S8" s="1363"/>
      <c r="T8" s="1363"/>
    </row>
    <row r="9" spans="1:20" s="1353" customFormat="1" ht="19.5" hidden="1" customHeight="1">
      <c r="A9" s="1358"/>
      <c r="B9" s="1307" t="s">
        <v>5879</v>
      </c>
      <c r="C9" s="1362">
        <v>1.28</v>
      </c>
      <c r="D9" s="1362">
        <v>3.5649999999999999</v>
      </c>
      <c r="E9" s="1362">
        <f t="shared" si="0"/>
        <v>4.5632000000000001</v>
      </c>
      <c r="F9" s="1362">
        <f t="shared" si="1"/>
        <v>49.100031999999999</v>
      </c>
      <c r="G9" s="1363"/>
      <c r="H9" s="1363">
        <f t="shared" si="2"/>
        <v>1</v>
      </c>
      <c r="I9" s="1363"/>
      <c r="J9" s="1363">
        <f t="shared" si="3"/>
        <v>1</v>
      </c>
      <c r="K9" s="1363"/>
      <c r="L9" s="1363"/>
      <c r="M9" s="1363"/>
      <c r="N9" s="1363"/>
      <c r="O9" s="1363"/>
      <c r="P9" s="1363"/>
      <c r="Q9" s="1363"/>
      <c r="R9" s="1363"/>
      <c r="S9" s="1363"/>
      <c r="T9" s="1363"/>
    </row>
    <row r="10" spans="1:20" s="1353" customFormat="1" ht="19.5" hidden="1" customHeight="1">
      <c r="A10" s="1358"/>
      <c r="B10" s="1307" t="s">
        <v>5876</v>
      </c>
      <c r="C10" s="1362">
        <v>1.5</v>
      </c>
      <c r="D10" s="1362">
        <v>2.1</v>
      </c>
      <c r="E10" s="1362">
        <f t="shared" si="0"/>
        <v>3.1500000000000004</v>
      </c>
      <c r="F10" s="1362">
        <f t="shared" si="1"/>
        <v>33.894000000000005</v>
      </c>
      <c r="G10" s="1363"/>
      <c r="H10" s="1363"/>
      <c r="I10" s="1363">
        <f t="shared" ref="I10:I11" si="4">ROUNDUP(ROUNDUP(F10,0)/180,0)</f>
        <v>1</v>
      </c>
      <c r="J10" s="1363">
        <f t="shared" ref="J10:J11" si="5">ROUNDUP(ROUNDUP(F10,0)/100,0)</f>
        <v>1</v>
      </c>
      <c r="K10" s="1363"/>
      <c r="L10" s="1363"/>
      <c r="M10" s="1363"/>
      <c r="N10" s="1363"/>
      <c r="O10" s="1363"/>
      <c r="P10" s="1363"/>
      <c r="Q10" s="1363"/>
      <c r="R10" s="1363"/>
      <c r="S10" s="1363"/>
      <c r="T10" s="1363"/>
    </row>
    <row r="11" spans="1:20" s="1353" customFormat="1" ht="19.5" hidden="1" customHeight="1">
      <c r="A11" s="1358"/>
      <c r="B11" s="1307" t="s">
        <v>5545</v>
      </c>
      <c r="C11" s="1362">
        <v>1.5</v>
      </c>
      <c r="D11" s="1362">
        <v>1.35</v>
      </c>
      <c r="E11" s="1362">
        <f t="shared" si="0"/>
        <v>2.0250000000000004</v>
      </c>
      <c r="F11" s="1362">
        <f t="shared" si="1"/>
        <v>21.789000000000005</v>
      </c>
      <c r="G11" s="1363"/>
      <c r="H11" s="1363"/>
      <c r="I11" s="1363">
        <f t="shared" si="4"/>
        <v>1</v>
      </c>
      <c r="J11" s="1363">
        <f t="shared" si="5"/>
        <v>1</v>
      </c>
      <c r="K11" s="1363"/>
      <c r="L11" s="1363"/>
      <c r="M11" s="1363"/>
      <c r="N11" s="1363"/>
      <c r="O11" s="1363"/>
      <c r="P11" s="1363"/>
      <c r="Q11" s="1363"/>
      <c r="R11" s="1363"/>
      <c r="S11" s="1363"/>
      <c r="T11" s="1363"/>
    </row>
    <row r="12" spans="1:20" s="1353" customFormat="1" ht="19.5" hidden="1" customHeight="1">
      <c r="A12" s="1358"/>
      <c r="B12" s="1307" t="s">
        <v>5878</v>
      </c>
      <c r="C12" s="1362">
        <v>5.4279999999999999</v>
      </c>
      <c r="D12" s="1362">
        <v>2</v>
      </c>
      <c r="E12" s="1362">
        <f t="shared" si="0"/>
        <v>10.856</v>
      </c>
      <c r="F12" s="1362">
        <f t="shared" si="1"/>
        <v>116.81056</v>
      </c>
      <c r="G12" s="1363"/>
      <c r="H12" s="1363">
        <f t="shared" ref="H12:H16" si="6">ROUNDUP(ROUNDUP(F12,0)/150,0)</f>
        <v>1</v>
      </c>
      <c r="I12" s="1363"/>
      <c r="J12" s="1363"/>
      <c r="K12" s="1363"/>
      <c r="L12" s="1363"/>
      <c r="M12" s="1363"/>
      <c r="N12" s="1363">
        <v>1</v>
      </c>
      <c r="O12" s="1363"/>
      <c r="P12" s="1363"/>
      <c r="Q12" s="1363"/>
      <c r="R12" s="1363"/>
      <c r="S12" s="1363"/>
      <c r="T12" s="1363"/>
    </row>
    <row r="13" spans="1:20" s="1353" customFormat="1" ht="40.5" hidden="1" customHeight="1">
      <c r="A13" s="1358"/>
      <c r="B13" s="1307" t="s">
        <v>5880</v>
      </c>
      <c r="C13" s="1362">
        <v>15.88</v>
      </c>
      <c r="D13" s="1362">
        <v>4.2300000000000004</v>
      </c>
      <c r="E13" s="1362">
        <f t="shared" si="0"/>
        <v>67.17240000000001</v>
      </c>
      <c r="F13" s="1362">
        <f t="shared" si="1"/>
        <v>722.77502400000014</v>
      </c>
      <c r="G13" s="1363"/>
      <c r="H13" s="1363">
        <f t="shared" si="6"/>
        <v>5</v>
      </c>
      <c r="I13" s="1363"/>
      <c r="J13" s="1363"/>
      <c r="K13" s="1363"/>
      <c r="L13" s="1363"/>
      <c r="M13" s="1363"/>
      <c r="N13" s="1363">
        <v>1</v>
      </c>
      <c r="O13" s="1363"/>
      <c r="P13" s="1363"/>
      <c r="Q13" s="1363"/>
      <c r="R13" s="1363"/>
      <c r="S13" s="1363"/>
      <c r="T13" s="1363"/>
    </row>
    <row r="14" spans="1:20" s="1353" customFormat="1" ht="40.5" hidden="1" customHeight="1">
      <c r="A14" s="1358"/>
      <c r="B14" s="1307" t="s">
        <v>5881</v>
      </c>
      <c r="C14" s="1362">
        <v>14.574999999999999</v>
      </c>
      <c r="D14" s="1362">
        <v>6.3250000000000002</v>
      </c>
      <c r="E14" s="1362">
        <f t="shared" si="0"/>
        <v>92.186875000000001</v>
      </c>
      <c r="F14" s="1362">
        <f t="shared" si="1"/>
        <v>991.93077500000004</v>
      </c>
      <c r="G14" s="1363"/>
      <c r="H14" s="1363">
        <f t="shared" si="6"/>
        <v>7</v>
      </c>
      <c r="I14" s="1363"/>
      <c r="J14" s="1363"/>
      <c r="K14" s="1363"/>
      <c r="L14" s="1363"/>
      <c r="M14" s="1363"/>
      <c r="N14" s="1363">
        <v>1</v>
      </c>
      <c r="O14" s="1363"/>
      <c r="P14" s="1363"/>
      <c r="Q14" s="1363"/>
      <c r="R14" s="1363"/>
      <c r="S14" s="1363"/>
      <c r="T14" s="1363"/>
    </row>
    <row r="15" spans="1:20" s="1353" customFormat="1" ht="40.5" hidden="1" customHeight="1">
      <c r="A15" s="1358"/>
      <c r="B15" s="1307" t="s">
        <v>5882</v>
      </c>
      <c r="C15" s="1362">
        <v>4.2300000000000004</v>
      </c>
      <c r="D15" s="1362">
        <v>9.5549999999999997</v>
      </c>
      <c r="E15" s="1362">
        <f t="shared" si="0"/>
        <v>40.417650000000002</v>
      </c>
      <c r="F15" s="1362">
        <f t="shared" si="1"/>
        <v>434.893914</v>
      </c>
      <c r="G15" s="1363"/>
      <c r="H15" s="1363">
        <f t="shared" si="6"/>
        <v>3</v>
      </c>
      <c r="I15" s="1363"/>
      <c r="J15" s="1363"/>
      <c r="K15" s="1363"/>
      <c r="L15" s="1363"/>
      <c r="M15" s="1363"/>
      <c r="N15" s="1363">
        <v>1</v>
      </c>
      <c r="O15" s="1363"/>
      <c r="P15" s="1363"/>
      <c r="Q15" s="1363"/>
      <c r="R15" s="1363"/>
      <c r="S15" s="1363"/>
      <c r="T15" s="1363"/>
    </row>
    <row r="16" spans="1:20" s="1353" customFormat="1" ht="19.5" hidden="1" customHeight="1">
      <c r="A16" s="1358"/>
      <c r="B16" s="1307" t="s">
        <v>5546</v>
      </c>
      <c r="C16" s="1362">
        <v>4.28</v>
      </c>
      <c r="D16" s="1362">
        <v>2.8570000000000002</v>
      </c>
      <c r="E16" s="1362">
        <f t="shared" si="0"/>
        <v>12.227960000000001</v>
      </c>
      <c r="F16" s="1362">
        <f t="shared" si="1"/>
        <v>131.57284960000001</v>
      </c>
      <c r="G16" s="1363"/>
      <c r="H16" s="1363">
        <f t="shared" si="6"/>
        <v>1</v>
      </c>
      <c r="I16" s="1363"/>
      <c r="J16" s="1363"/>
      <c r="K16" s="1363"/>
      <c r="L16" s="1363"/>
      <c r="M16" s="1363"/>
      <c r="N16" s="1363"/>
      <c r="O16" s="1363"/>
      <c r="P16" s="1363"/>
      <c r="Q16" s="1363"/>
      <c r="R16" s="1363"/>
      <c r="S16" s="1363"/>
      <c r="T16" s="1363"/>
    </row>
    <row r="17" spans="1:20" hidden="1">
      <c r="A17" s="1358"/>
      <c r="B17" s="1307"/>
      <c r="C17" s="1362"/>
      <c r="D17" s="1362"/>
      <c r="E17" s="1362">
        <f t="shared" si="0"/>
        <v>0</v>
      </c>
      <c r="F17" s="1362">
        <f t="shared" si="1"/>
        <v>0</v>
      </c>
      <c r="G17" s="1363">
        <f t="shared" ref="G17:G46" si="7">ROUNDUP(ROUNDUP(F17,0)/100,0)</f>
        <v>0</v>
      </c>
      <c r="H17" s="1363">
        <f t="shared" ref="H17:H46" si="8">ROUNDUP(ROUNDUP(F17,0)/100,0)</f>
        <v>0</v>
      </c>
      <c r="I17" s="1363"/>
      <c r="J17" s="1363"/>
      <c r="K17" s="1363"/>
      <c r="L17" s="1363"/>
      <c r="M17" s="1363">
        <f t="shared" ref="M17" si="9">ROUNDUP(ROUNDUP(F17,0)/75,0)</f>
        <v>0</v>
      </c>
      <c r="N17" s="1363">
        <f t="shared" ref="N17" si="10">ROUNDUP(ROUNDUP(F17,0)/75,0)</f>
        <v>0</v>
      </c>
      <c r="O17" s="1363"/>
      <c r="P17" s="1363"/>
      <c r="Q17" s="1363"/>
      <c r="R17" s="1363"/>
      <c r="S17" s="1363"/>
      <c r="T17" s="1363"/>
    </row>
    <row r="18" spans="1:20">
      <c r="A18" s="1358"/>
      <c r="B18" s="1306" t="s">
        <v>5503</v>
      </c>
      <c r="C18" s="1362" t="s">
        <v>575</v>
      </c>
      <c r="D18" s="1362" t="s">
        <v>575</v>
      </c>
      <c r="E18" s="1362" t="s">
        <v>575</v>
      </c>
      <c r="F18" s="1362" t="s">
        <v>575</v>
      </c>
      <c r="G18" s="1362" t="s">
        <v>575</v>
      </c>
      <c r="H18" s="1362" t="s">
        <v>575</v>
      </c>
      <c r="I18" s="1362" t="s">
        <v>575</v>
      </c>
      <c r="J18" s="1362" t="s">
        <v>575</v>
      </c>
      <c r="K18" s="1362" t="s">
        <v>575</v>
      </c>
      <c r="L18" s="1362" t="s">
        <v>575</v>
      </c>
      <c r="M18" s="1362" t="s">
        <v>575</v>
      </c>
      <c r="N18" s="1362" t="s">
        <v>575</v>
      </c>
      <c r="O18" s="1362"/>
      <c r="P18" s="1362"/>
      <c r="Q18" s="1362" t="s">
        <v>575</v>
      </c>
      <c r="R18" s="1362" t="s">
        <v>575</v>
      </c>
      <c r="S18" s="1362" t="s">
        <v>575</v>
      </c>
      <c r="T18" s="1362" t="s">
        <v>575</v>
      </c>
    </row>
    <row r="19" spans="1:20">
      <c r="A19" s="1359"/>
      <c r="B19" s="1307" t="s">
        <v>5547</v>
      </c>
      <c r="C19" s="1362">
        <v>9.8849999999999998</v>
      </c>
      <c r="D19" s="1362">
        <v>5.76</v>
      </c>
      <c r="E19" s="1362">
        <f t="shared" si="0"/>
        <v>56.937599999999996</v>
      </c>
      <c r="F19" s="1362">
        <f t="shared" si="1"/>
        <v>612.64857599999993</v>
      </c>
      <c r="G19" s="1363">
        <f t="shared" ref="G19:G21" si="11">ROUNDUP(ROUNDUP(F19,0)/175,0)</f>
        <v>4</v>
      </c>
      <c r="H19" s="1363">
        <f t="shared" ref="H19:H24" si="12">ROUNDUP(ROUNDUP(F19,0)/150,0)</f>
        <v>5</v>
      </c>
      <c r="I19" s="1363"/>
      <c r="J19" s="1363"/>
      <c r="K19" s="1363"/>
      <c r="L19" s="1363"/>
      <c r="M19" s="1363">
        <v>2</v>
      </c>
      <c r="N19" s="1363">
        <v>4</v>
      </c>
      <c r="O19" s="1363"/>
      <c r="P19" s="1363"/>
      <c r="Q19" s="1363">
        <f>ROUNDUP(M19/2,0)</f>
        <v>1</v>
      </c>
      <c r="R19" s="1363"/>
      <c r="S19" s="1363">
        <v>3</v>
      </c>
      <c r="T19" s="1363"/>
    </row>
    <row r="20" spans="1:20" s="1353" customFormat="1" ht="19.5" hidden="1" customHeight="1">
      <c r="A20" s="1358"/>
      <c r="B20" s="1307" t="s">
        <v>5521</v>
      </c>
      <c r="C20" s="1362">
        <v>4.32</v>
      </c>
      <c r="D20" s="1362">
        <v>2.4430000000000001</v>
      </c>
      <c r="E20" s="1362">
        <f t="shared" si="0"/>
        <v>10.55376</v>
      </c>
      <c r="F20" s="1362">
        <f t="shared" si="1"/>
        <v>113.5584576</v>
      </c>
      <c r="G20" s="1363">
        <f t="shared" si="11"/>
        <v>1</v>
      </c>
      <c r="H20" s="1363">
        <f t="shared" si="12"/>
        <v>1</v>
      </c>
      <c r="I20" s="1363"/>
      <c r="J20" s="1363"/>
      <c r="K20" s="1363"/>
      <c r="L20" s="1363">
        <v>1</v>
      </c>
      <c r="M20" s="1363"/>
      <c r="N20" s="1363">
        <f t="shared" ref="N20:N76" si="13">ROUNDUP(ROUNDUP(F20,0)/120,0)</f>
        <v>1</v>
      </c>
      <c r="O20" s="1363"/>
      <c r="P20" s="1363"/>
      <c r="Q20" s="1363"/>
      <c r="R20" s="1363"/>
      <c r="S20" s="1363"/>
      <c r="T20" s="1363"/>
    </row>
    <row r="21" spans="1:20" s="1353" customFormat="1" ht="19.5" hidden="1" customHeight="1">
      <c r="A21" s="1358"/>
      <c r="B21" s="1307" t="s">
        <v>5521</v>
      </c>
      <c r="C21" s="1362">
        <v>2.4550000000000001</v>
      </c>
      <c r="D21" s="1362">
        <v>2.8570000000000002</v>
      </c>
      <c r="E21" s="1362">
        <f t="shared" si="0"/>
        <v>7.0139350000000009</v>
      </c>
      <c r="F21" s="1362">
        <f t="shared" si="1"/>
        <v>75.469940600000015</v>
      </c>
      <c r="G21" s="1363">
        <f t="shared" si="11"/>
        <v>1</v>
      </c>
      <c r="H21" s="1363">
        <f t="shared" si="12"/>
        <v>1</v>
      </c>
      <c r="I21" s="1363"/>
      <c r="J21" s="1363"/>
      <c r="K21" s="1363"/>
      <c r="L21" s="1363"/>
      <c r="M21" s="1363"/>
      <c r="N21" s="1363"/>
      <c r="O21" s="1363"/>
      <c r="P21" s="1363"/>
      <c r="Q21" s="1363"/>
      <c r="R21" s="1363"/>
      <c r="S21" s="1363"/>
      <c r="T21" s="1363"/>
    </row>
    <row r="22" spans="1:20" hidden="1">
      <c r="A22" s="1359"/>
      <c r="B22" s="1307" t="s">
        <v>5546</v>
      </c>
      <c r="C22" s="1362">
        <v>4.28</v>
      </c>
      <c r="D22" s="1362">
        <v>2.8570000000000002</v>
      </c>
      <c r="E22" s="1362">
        <f t="shared" si="0"/>
        <v>12.227960000000001</v>
      </c>
      <c r="F22" s="1362">
        <f t="shared" si="1"/>
        <v>131.57284960000001</v>
      </c>
      <c r="G22" s="1363"/>
      <c r="H22" s="1363">
        <f t="shared" si="12"/>
        <v>1</v>
      </c>
      <c r="I22" s="1363"/>
      <c r="J22" s="1363"/>
      <c r="K22" s="1363"/>
      <c r="L22" s="1363"/>
      <c r="M22" s="1363"/>
      <c r="N22" s="1363"/>
      <c r="O22" s="1363"/>
      <c r="P22" s="1363"/>
      <c r="Q22" s="1363"/>
      <c r="R22" s="1363"/>
      <c r="S22" s="1363"/>
      <c r="T22" s="1363"/>
    </row>
    <row r="23" spans="1:20">
      <c r="A23" s="1359"/>
      <c r="B23" s="1307" t="s">
        <v>5549</v>
      </c>
      <c r="C23" s="1362">
        <v>3.1150000000000002</v>
      </c>
      <c r="D23" s="1362">
        <v>5.0999999999999996</v>
      </c>
      <c r="E23" s="1362">
        <f t="shared" si="0"/>
        <v>15.8865</v>
      </c>
      <c r="F23" s="1362">
        <f t="shared" si="1"/>
        <v>170.93874</v>
      </c>
      <c r="G23" s="1363">
        <f t="shared" ref="G23:G24" si="14">ROUNDUP(ROUNDUP(F23,0)/175,0)</f>
        <v>1</v>
      </c>
      <c r="H23" s="1363">
        <f t="shared" si="12"/>
        <v>2</v>
      </c>
      <c r="I23" s="1363"/>
      <c r="J23" s="1363"/>
      <c r="K23" s="1363"/>
      <c r="L23" s="1363"/>
      <c r="M23" s="1363">
        <v>1</v>
      </c>
      <c r="N23" s="1363">
        <f t="shared" si="13"/>
        <v>2</v>
      </c>
      <c r="O23" s="1363"/>
      <c r="P23" s="1363"/>
      <c r="Q23" s="1363">
        <f t="shared" ref="Q23:Q24" si="15">ROUNDUP(M23/2,0)</f>
        <v>1</v>
      </c>
      <c r="R23" s="1363"/>
      <c r="S23" s="1363"/>
      <c r="T23" s="1363"/>
    </row>
    <row r="24" spans="1:20">
      <c r="A24" s="1359"/>
      <c r="B24" s="1307" t="s">
        <v>5550</v>
      </c>
      <c r="C24" s="1362">
        <v>4</v>
      </c>
      <c r="D24" s="1362">
        <v>5.0999999999999996</v>
      </c>
      <c r="E24" s="1362">
        <f t="shared" si="0"/>
        <v>20.399999999999999</v>
      </c>
      <c r="F24" s="1362">
        <f t="shared" si="1"/>
        <v>219.50399999999999</v>
      </c>
      <c r="G24" s="1363">
        <f t="shared" si="14"/>
        <v>2</v>
      </c>
      <c r="H24" s="1363">
        <f t="shared" si="12"/>
        <v>2</v>
      </c>
      <c r="I24" s="1363"/>
      <c r="J24" s="1363"/>
      <c r="K24" s="1363"/>
      <c r="L24" s="1363"/>
      <c r="M24" s="1363">
        <f t="shared" ref="M24:M73" si="16">ROUNDUP(ROUNDUP(F24,0)/120,0)</f>
        <v>2</v>
      </c>
      <c r="N24" s="1363">
        <f t="shared" si="13"/>
        <v>2</v>
      </c>
      <c r="O24" s="1363"/>
      <c r="P24" s="1363"/>
      <c r="Q24" s="1363">
        <f t="shared" si="15"/>
        <v>1</v>
      </c>
      <c r="R24" s="1363"/>
      <c r="S24" s="1363"/>
      <c r="T24" s="1363"/>
    </row>
    <row r="25" spans="1:20" hidden="1">
      <c r="A25" s="1359"/>
      <c r="B25" s="1307" t="s">
        <v>5551</v>
      </c>
      <c r="C25" s="1362">
        <v>1.65</v>
      </c>
      <c r="D25" s="1362">
        <v>1.5</v>
      </c>
      <c r="E25" s="1362">
        <f t="shared" si="0"/>
        <v>2.4749999999999996</v>
      </c>
      <c r="F25" s="1362">
        <f t="shared" si="1"/>
        <v>26.630999999999997</v>
      </c>
      <c r="G25" s="1363"/>
      <c r="H25" s="1363"/>
      <c r="I25" s="1363">
        <f t="shared" ref="I25:I26" si="17">ROUNDUP(ROUNDUP(F25,0)/180,0)</f>
        <v>1</v>
      </c>
      <c r="J25" s="1363">
        <f t="shared" ref="J25" si="18">ROUNDUP(ROUNDUP(F25,0)/100,0)</f>
        <v>1</v>
      </c>
      <c r="K25" s="1363"/>
      <c r="L25" s="1363"/>
      <c r="M25" s="1363"/>
      <c r="N25" s="1363"/>
      <c r="O25" s="1363"/>
      <c r="P25" s="1363"/>
      <c r="Q25" s="1363"/>
      <c r="R25" s="1363"/>
      <c r="S25" s="1363"/>
      <c r="T25" s="1363"/>
    </row>
    <row r="26" spans="1:20" hidden="1">
      <c r="A26" s="1359"/>
      <c r="B26" s="1307" t="s">
        <v>5883</v>
      </c>
      <c r="C26" s="1362">
        <v>1.1200000000000001</v>
      </c>
      <c r="D26" s="1362">
        <v>1.5</v>
      </c>
      <c r="E26" s="1362">
        <f t="shared" si="0"/>
        <v>1.6800000000000002</v>
      </c>
      <c r="F26" s="1362">
        <f t="shared" si="1"/>
        <v>18.076800000000002</v>
      </c>
      <c r="G26" s="1363"/>
      <c r="H26" s="1363"/>
      <c r="I26" s="1363">
        <f t="shared" si="17"/>
        <v>1</v>
      </c>
      <c r="J26" s="1363">
        <f t="shared" ref="J26" si="19">ROUNDUP(ROUNDUP(G26,0)/100,0)</f>
        <v>0</v>
      </c>
      <c r="K26" s="1363"/>
      <c r="L26" s="1363"/>
      <c r="M26" s="1363"/>
      <c r="N26" s="1363"/>
      <c r="O26" s="1363"/>
      <c r="P26" s="1363"/>
      <c r="Q26" s="1363"/>
      <c r="R26" s="1363"/>
      <c r="S26" s="1363"/>
      <c r="T26" s="1363"/>
    </row>
    <row r="27" spans="1:20">
      <c r="A27" s="1359"/>
      <c r="B27" s="1307" t="s">
        <v>5552</v>
      </c>
      <c r="C27" s="1362">
        <v>4</v>
      </c>
      <c r="D27" s="1362">
        <v>5.0999999999999996</v>
      </c>
      <c r="E27" s="1362">
        <f t="shared" si="0"/>
        <v>20.399999999999999</v>
      </c>
      <c r="F27" s="1362">
        <f t="shared" si="1"/>
        <v>219.50399999999999</v>
      </c>
      <c r="G27" s="1363">
        <f>ROUNDUP(ROUNDUP(F27,0)/175,0)</f>
        <v>2</v>
      </c>
      <c r="H27" s="1363">
        <f>ROUNDUP(ROUNDUP(F27,0)/150,0)</f>
        <v>2</v>
      </c>
      <c r="I27" s="1363"/>
      <c r="J27" s="1363"/>
      <c r="K27" s="1363">
        <v>1</v>
      </c>
      <c r="L27" s="1363"/>
      <c r="M27" s="1363">
        <f t="shared" si="16"/>
        <v>2</v>
      </c>
      <c r="N27" s="1363">
        <f t="shared" si="13"/>
        <v>2</v>
      </c>
      <c r="O27" s="1363"/>
      <c r="P27" s="1363"/>
      <c r="Q27" s="1363">
        <f>ROUNDUP(M27/2,0)</f>
        <v>1</v>
      </c>
      <c r="R27" s="1363">
        <v>1</v>
      </c>
      <c r="S27" s="1363"/>
      <c r="T27" s="1363"/>
    </row>
    <row r="28" spans="1:20" hidden="1">
      <c r="A28" s="1359"/>
      <c r="B28" s="1307" t="s">
        <v>5553</v>
      </c>
      <c r="C28" s="1362">
        <v>1.65</v>
      </c>
      <c r="D28" s="1362">
        <v>1.5</v>
      </c>
      <c r="E28" s="1362">
        <f t="shared" si="0"/>
        <v>2.4749999999999996</v>
      </c>
      <c r="F28" s="1362">
        <f t="shared" si="1"/>
        <v>26.630999999999997</v>
      </c>
      <c r="G28" s="1363"/>
      <c r="H28" s="1363"/>
      <c r="I28" s="1363">
        <f t="shared" ref="I28:I29" si="20">ROUNDUP(ROUNDUP(F28,0)/180,0)</f>
        <v>1</v>
      </c>
      <c r="J28" s="1363">
        <f t="shared" ref="J28" si="21">ROUNDUP(ROUNDUP(F28,0)/100,0)</f>
        <v>1</v>
      </c>
      <c r="K28" s="1363"/>
      <c r="L28" s="1363"/>
      <c r="M28" s="1363"/>
      <c r="N28" s="1363"/>
      <c r="O28" s="1363"/>
      <c r="P28" s="1363"/>
      <c r="Q28" s="1363"/>
      <c r="R28" s="1363"/>
      <c r="S28" s="1363"/>
      <c r="T28" s="1363"/>
    </row>
    <row r="29" spans="1:20" hidden="1">
      <c r="A29" s="1359"/>
      <c r="B29" s="1307" t="s">
        <v>5883</v>
      </c>
      <c r="C29" s="1362">
        <v>1.1200000000000001</v>
      </c>
      <c r="D29" s="1362">
        <v>1.5</v>
      </c>
      <c r="E29" s="1362">
        <f t="shared" si="0"/>
        <v>1.6800000000000002</v>
      </c>
      <c r="F29" s="1362">
        <f t="shared" si="1"/>
        <v>18.076800000000002</v>
      </c>
      <c r="G29" s="1363"/>
      <c r="H29" s="1363"/>
      <c r="I29" s="1363">
        <f t="shared" si="20"/>
        <v>1</v>
      </c>
      <c r="J29" s="1363">
        <f t="shared" ref="J29" si="22">ROUNDUP(ROUNDUP(G29,0)/100,0)</f>
        <v>0</v>
      </c>
      <c r="K29" s="1363"/>
      <c r="L29" s="1363"/>
      <c r="M29" s="1363"/>
      <c r="N29" s="1363"/>
      <c r="O29" s="1363"/>
      <c r="P29" s="1363"/>
      <c r="Q29" s="1363"/>
      <c r="R29" s="1363"/>
      <c r="S29" s="1363"/>
      <c r="T29" s="1363"/>
    </row>
    <row r="30" spans="1:20" hidden="1">
      <c r="A30" s="1364"/>
      <c r="B30" s="1307" t="s">
        <v>5554</v>
      </c>
      <c r="C30" s="1362">
        <v>4.32</v>
      </c>
      <c r="D30" s="1362">
        <v>1.5</v>
      </c>
      <c r="E30" s="1362">
        <f t="shared" si="0"/>
        <v>6.48</v>
      </c>
      <c r="F30" s="1362">
        <f t="shared" si="1"/>
        <v>69.724800000000002</v>
      </c>
      <c r="G30" s="1363"/>
      <c r="H30" s="1363"/>
      <c r="I30" s="1363"/>
      <c r="J30" s="1363"/>
      <c r="K30" s="1363"/>
      <c r="L30" s="1363"/>
      <c r="M30" s="1363"/>
      <c r="N30" s="1363"/>
      <c r="O30" s="1363">
        <v>1</v>
      </c>
      <c r="P30" s="1363">
        <v>1</v>
      </c>
      <c r="Q30" s="1363"/>
      <c r="R30" s="1363"/>
      <c r="S30" s="1363"/>
      <c r="T30" s="1363"/>
    </row>
    <row r="31" spans="1:20" hidden="1">
      <c r="A31" s="1358"/>
      <c r="B31" s="1307" t="s">
        <v>5555</v>
      </c>
      <c r="C31" s="1362">
        <v>2.2999999999999998</v>
      </c>
      <c r="D31" s="1362">
        <v>2.5</v>
      </c>
      <c r="E31" s="1362">
        <f t="shared" si="0"/>
        <v>5.75</v>
      </c>
      <c r="F31" s="1362">
        <f t="shared" si="1"/>
        <v>61.87</v>
      </c>
      <c r="G31" s="1363"/>
      <c r="H31" s="1363"/>
      <c r="I31" s="1363"/>
      <c r="J31" s="1363"/>
      <c r="K31" s="1363"/>
      <c r="L31" s="1363"/>
      <c r="M31" s="1363"/>
      <c r="N31" s="1363"/>
      <c r="O31" s="1363">
        <v>4</v>
      </c>
      <c r="P31" s="1363"/>
      <c r="Q31" s="1363"/>
      <c r="R31" s="1363"/>
      <c r="S31" s="1363"/>
      <c r="T31" s="1363"/>
    </row>
    <row r="32" spans="1:20" hidden="1">
      <c r="A32" s="1358"/>
      <c r="B32" s="1307" t="s">
        <v>5885</v>
      </c>
      <c r="C32" s="1362">
        <v>4</v>
      </c>
      <c r="D32" s="1362">
        <v>2.25</v>
      </c>
      <c r="E32" s="1362">
        <f t="shared" si="0"/>
        <v>9</v>
      </c>
      <c r="F32" s="1362">
        <f t="shared" si="1"/>
        <v>96.84</v>
      </c>
      <c r="G32" s="1363"/>
      <c r="H32" s="1363">
        <f t="shared" ref="H32:H34" si="23">ROUNDUP(ROUNDUP(F32,0)/150,0)</f>
        <v>1</v>
      </c>
      <c r="I32" s="1363"/>
      <c r="J32" s="1363"/>
      <c r="K32" s="1363"/>
      <c r="L32" s="1363"/>
      <c r="M32" s="1363"/>
      <c r="N32" s="1363"/>
      <c r="O32" s="1363"/>
      <c r="P32" s="1363"/>
      <c r="Q32" s="1363"/>
      <c r="R32" s="1363"/>
      <c r="S32" s="1363"/>
      <c r="T32" s="1363"/>
    </row>
    <row r="33" spans="1:20" hidden="1">
      <c r="A33" s="1358"/>
      <c r="B33" s="1307" t="s">
        <v>5884</v>
      </c>
      <c r="C33" s="1362">
        <v>4</v>
      </c>
      <c r="D33" s="1362">
        <v>2.25</v>
      </c>
      <c r="E33" s="1362">
        <f t="shared" si="0"/>
        <v>9</v>
      </c>
      <c r="F33" s="1362">
        <f t="shared" si="1"/>
        <v>96.84</v>
      </c>
      <c r="G33" s="1363"/>
      <c r="H33" s="1363">
        <f t="shared" si="23"/>
        <v>1</v>
      </c>
      <c r="I33" s="1363"/>
      <c r="J33" s="1363"/>
      <c r="K33" s="1363"/>
      <c r="L33" s="1363"/>
      <c r="M33" s="1363"/>
      <c r="N33" s="1363"/>
      <c r="O33" s="1363"/>
      <c r="P33" s="1363"/>
      <c r="Q33" s="1363"/>
      <c r="R33" s="1363"/>
      <c r="S33" s="1363"/>
      <c r="T33" s="1363"/>
    </row>
    <row r="34" spans="1:20">
      <c r="A34" s="1358"/>
      <c r="B34" s="1307" t="s">
        <v>5557</v>
      </c>
      <c r="C34" s="1362">
        <v>4</v>
      </c>
      <c r="D34" s="1362">
        <v>3.9</v>
      </c>
      <c r="E34" s="1362">
        <f t="shared" si="0"/>
        <v>15.6</v>
      </c>
      <c r="F34" s="1362">
        <f t="shared" si="1"/>
        <v>167.85599999999999</v>
      </c>
      <c r="G34" s="1363">
        <f>ROUNDUP(ROUNDUP(F34,0)/175,0)</f>
        <v>1</v>
      </c>
      <c r="H34" s="1363">
        <f t="shared" si="23"/>
        <v>2</v>
      </c>
      <c r="I34" s="1363"/>
      <c r="J34" s="1363"/>
      <c r="K34" s="1363"/>
      <c r="L34" s="1363"/>
      <c r="M34" s="1363">
        <f t="shared" si="16"/>
        <v>2</v>
      </c>
      <c r="N34" s="1363">
        <f t="shared" si="13"/>
        <v>2</v>
      </c>
      <c r="O34" s="1363"/>
      <c r="P34" s="1363"/>
      <c r="Q34" s="1363">
        <f>ROUNDUP(M34/2,0)</f>
        <v>1</v>
      </c>
      <c r="R34" s="1363"/>
      <c r="S34" s="1363"/>
      <c r="T34" s="1363"/>
    </row>
    <row r="35" spans="1:20" hidden="1">
      <c r="A35" s="1358"/>
      <c r="B35" s="1307" t="s">
        <v>560</v>
      </c>
      <c r="C35" s="1362">
        <v>1.5</v>
      </c>
      <c r="D35" s="1362">
        <v>1.5</v>
      </c>
      <c r="E35" s="1362">
        <f t="shared" si="0"/>
        <v>2.25</v>
      </c>
      <c r="F35" s="1362">
        <f t="shared" si="1"/>
        <v>24.21</v>
      </c>
      <c r="G35" s="1363"/>
      <c r="H35" s="1363"/>
      <c r="I35" s="1363">
        <f t="shared" ref="I35:I37" si="24">ROUNDUP(ROUNDUP(F35,0)/180,0)</f>
        <v>1</v>
      </c>
      <c r="J35" s="1363">
        <f t="shared" ref="J35" si="25">ROUNDUP(ROUNDUP(F35,0)/100,0)</f>
        <v>1</v>
      </c>
      <c r="K35" s="1363"/>
      <c r="L35" s="1363"/>
      <c r="M35" s="1363"/>
      <c r="N35" s="1363"/>
      <c r="O35" s="1363"/>
      <c r="P35" s="1363"/>
      <c r="Q35" s="1363"/>
      <c r="R35" s="1363"/>
      <c r="S35" s="1363"/>
      <c r="T35" s="1363"/>
    </row>
    <row r="36" spans="1:20" hidden="1">
      <c r="A36" s="1359"/>
      <c r="B36" s="1307" t="s">
        <v>5883</v>
      </c>
      <c r="C36" s="1362">
        <v>1.5</v>
      </c>
      <c r="D36" s="1362">
        <v>1.1000000000000001</v>
      </c>
      <c r="E36" s="1362">
        <f t="shared" si="0"/>
        <v>1.6500000000000001</v>
      </c>
      <c r="F36" s="1362">
        <f t="shared" si="1"/>
        <v>17.754000000000001</v>
      </c>
      <c r="G36" s="1363"/>
      <c r="H36" s="1363"/>
      <c r="I36" s="1363">
        <f t="shared" si="24"/>
        <v>1</v>
      </c>
      <c r="J36" s="1363">
        <f t="shared" ref="J36:J37" si="26">ROUNDUP(ROUNDUP(G36,0)/100,0)</f>
        <v>0</v>
      </c>
      <c r="K36" s="1363"/>
      <c r="L36" s="1363"/>
      <c r="M36" s="1363"/>
      <c r="N36" s="1363"/>
      <c r="O36" s="1363"/>
      <c r="P36" s="1363"/>
      <c r="Q36" s="1363"/>
      <c r="R36" s="1363"/>
      <c r="S36" s="1363"/>
      <c r="T36" s="1363"/>
    </row>
    <row r="37" spans="1:20" hidden="1">
      <c r="A37" s="1359"/>
      <c r="B37" s="1307" t="s">
        <v>5886</v>
      </c>
      <c r="C37" s="1362">
        <v>1.5</v>
      </c>
      <c r="D37" s="1362">
        <v>1</v>
      </c>
      <c r="E37" s="1362">
        <f t="shared" si="0"/>
        <v>1.5</v>
      </c>
      <c r="F37" s="1362">
        <f t="shared" si="1"/>
        <v>16.14</v>
      </c>
      <c r="G37" s="1363"/>
      <c r="H37" s="1363"/>
      <c r="I37" s="1363">
        <f t="shared" si="24"/>
        <v>1</v>
      </c>
      <c r="J37" s="1363">
        <f t="shared" si="26"/>
        <v>0</v>
      </c>
      <c r="K37" s="1363"/>
      <c r="L37" s="1363"/>
      <c r="M37" s="1363"/>
      <c r="N37" s="1363"/>
      <c r="O37" s="1363"/>
      <c r="P37" s="1363"/>
      <c r="Q37" s="1363"/>
      <c r="R37" s="1363"/>
      <c r="S37" s="1363"/>
      <c r="T37" s="1363"/>
    </row>
    <row r="38" spans="1:20">
      <c r="A38" s="1358"/>
      <c r="B38" s="1307" t="s">
        <v>5558</v>
      </c>
      <c r="C38" s="1362">
        <v>3.3250000000000002</v>
      </c>
      <c r="D38" s="1362">
        <v>3.9</v>
      </c>
      <c r="E38" s="1362">
        <f t="shared" si="0"/>
        <v>12.967500000000001</v>
      </c>
      <c r="F38" s="1362">
        <f t="shared" si="1"/>
        <v>139.53030000000001</v>
      </c>
      <c r="G38" s="1363">
        <f t="shared" ref="G38:G41" si="27">ROUNDUP(ROUNDUP(F38,0)/175,0)</f>
        <v>1</v>
      </c>
      <c r="H38" s="1363">
        <f t="shared" ref="H38:H42" si="28">ROUNDUP(ROUNDUP(F38,0)/150,0)</f>
        <v>1</v>
      </c>
      <c r="I38" s="1363"/>
      <c r="J38" s="1363"/>
      <c r="K38" s="1363"/>
      <c r="L38" s="1363"/>
      <c r="M38" s="1363">
        <f t="shared" si="16"/>
        <v>2</v>
      </c>
      <c r="N38" s="1363">
        <f t="shared" si="13"/>
        <v>2</v>
      </c>
      <c r="O38" s="1363"/>
      <c r="P38" s="1363"/>
      <c r="Q38" s="1363">
        <f t="shared" ref="Q38:Q39" si="29">ROUNDUP(M38/2,0)</f>
        <v>1</v>
      </c>
      <c r="R38" s="1363"/>
      <c r="S38" s="1363"/>
      <c r="T38" s="1363"/>
    </row>
    <row r="39" spans="1:20" ht="31.5">
      <c r="A39" s="1358"/>
      <c r="B39" s="1307" t="s">
        <v>5559</v>
      </c>
      <c r="C39" s="1362">
        <v>2.5</v>
      </c>
      <c r="D39" s="1362">
        <v>4.0149999999999997</v>
      </c>
      <c r="E39" s="1362">
        <f t="shared" si="0"/>
        <v>10.0375</v>
      </c>
      <c r="F39" s="1362">
        <f t="shared" si="1"/>
        <v>108.00349999999999</v>
      </c>
      <c r="G39" s="1363">
        <f t="shared" si="27"/>
        <v>1</v>
      </c>
      <c r="H39" s="1363">
        <f t="shared" si="28"/>
        <v>1</v>
      </c>
      <c r="I39" s="1363"/>
      <c r="J39" s="1363"/>
      <c r="K39" s="1363"/>
      <c r="L39" s="1363"/>
      <c r="M39" s="1363">
        <f t="shared" si="16"/>
        <v>1</v>
      </c>
      <c r="N39" s="1363">
        <f t="shared" si="13"/>
        <v>1</v>
      </c>
      <c r="O39" s="1363"/>
      <c r="P39" s="1363"/>
      <c r="Q39" s="1363">
        <f t="shared" si="29"/>
        <v>1</v>
      </c>
      <c r="R39" s="1363"/>
      <c r="S39" s="1363"/>
      <c r="T39" s="1363"/>
    </row>
    <row r="40" spans="1:20" hidden="1">
      <c r="A40" s="1358"/>
      <c r="B40" s="1307" t="s">
        <v>5560</v>
      </c>
      <c r="C40" s="1362">
        <v>1.7350000000000001</v>
      </c>
      <c r="D40" s="1362">
        <v>2.3199999999999998</v>
      </c>
      <c r="E40" s="1362">
        <f t="shared" si="0"/>
        <v>4.0251999999999999</v>
      </c>
      <c r="F40" s="1362">
        <f t="shared" si="1"/>
        <v>43.311152</v>
      </c>
      <c r="G40" s="1363">
        <f t="shared" si="27"/>
        <v>1</v>
      </c>
      <c r="H40" s="1363">
        <f t="shared" si="28"/>
        <v>1</v>
      </c>
      <c r="I40" s="1363"/>
      <c r="J40" s="1363"/>
      <c r="K40" s="1363"/>
      <c r="L40" s="1363"/>
      <c r="M40" s="1363"/>
      <c r="N40" s="1363"/>
      <c r="O40" s="1363"/>
      <c r="P40" s="1363"/>
      <c r="Q40" s="1363"/>
      <c r="R40" s="1363"/>
      <c r="S40" s="1363"/>
      <c r="T40" s="1363"/>
    </row>
    <row r="41" spans="1:20">
      <c r="A41" s="1358"/>
      <c r="B41" s="1307" t="s">
        <v>5561</v>
      </c>
      <c r="C41" s="1362">
        <v>3.7650000000000001</v>
      </c>
      <c r="D41" s="1362">
        <v>2.4350000000000001</v>
      </c>
      <c r="E41" s="1362">
        <f t="shared" si="0"/>
        <v>9.1677750000000007</v>
      </c>
      <c r="F41" s="1362">
        <f t="shared" si="1"/>
        <v>98.64525900000001</v>
      </c>
      <c r="G41" s="1363">
        <f t="shared" si="27"/>
        <v>1</v>
      </c>
      <c r="H41" s="1363">
        <f t="shared" si="28"/>
        <v>1</v>
      </c>
      <c r="I41" s="1363"/>
      <c r="J41" s="1363"/>
      <c r="K41" s="1363"/>
      <c r="L41" s="1363"/>
      <c r="M41" s="1363">
        <f>ROUNDUP(ROUNDUP(F41,0)/120,0)</f>
        <v>1</v>
      </c>
      <c r="N41" s="1363">
        <f t="shared" si="13"/>
        <v>1</v>
      </c>
      <c r="O41" s="1363"/>
      <c r="P41" s="1363"/>
      <c r="Q41" s="1363">
        <f>ROUNDUP(M41/2,0)</f>
        <v>1</v>
      </c>
      <c r="R41" s="1363"/>
      <c r="S41" s="1363"/>
      <c r="T41" s="1363"/>
    </row>
    <row r="42" spans="1:20" hidden="1">
      <c r="A42" s="1358"/>
      <c r="B42" s="1307" t="s">
        <v>560</v>
      </c>
      <c r="C42" s="1362">
        <v>1.65</v>
      </c>
      <c r="D42" s="1362">
        <v>1.2350000000000001</v>
      </c>
      <c r="E42" s="1362">
        <f t="shared" si="0"/>
        <v>2.03775</v>
      </c>
      <c r="F42" s="1362">
        <f t="shared" si="1"/>
        <v>21.926189999999998</v>
      </c>
      <c r="G42" s="1363"/>
      <c r="H42" s="1363">
        <f t="shared" si="28"/>
        <v>1</v>
      </c>
      <c r="I42" s="1363">
        <f t="shared" ref="I42:I44" si="30">ROUNDUP(ROUNDUP(F42,0)/180,0)</f>
        <v>1</v>
      </c>
      <c r="J42" s="1363">
        <f t="shared" ref="J42" si="31">ROUNDUP(ROUNDUP(F42,0)/100,0)</f>
        <v>1</v>
      </c>
      <c r="K42" s="1363"/>
      <c r="L42" s="1363"/>
      <c r="M42" s="1363"/>
      <c r="N42" s="1363"/>
      <c r="O42" s="1363"/>
      <c r="P42" s="1363"/>
      <c r="Q42" s="1363"/>
      <c r="R42" s="1363"/>
      <c r="S42" s="1363"/>
      <c r="T42" s="1363"/>
    </row>
    <row r="43" spans="1:20" hidden="1">
      <c r="A43" s="1359"/>
      <c r="B43" s="1307" t="s">
        <v>5883</v>
      </c>
      <c r="C43" s="1362">
        <v>1</v>
      </c>
      <c r="D43" s="1362">
        <v>1.2350000000000001</v>
      </c>
      <c r="E43" s="1362">
        <f t="shared" si="0"/>
        <v>1.2350000000000001</v>
      </c>
      <c r="F43" s="1362">
        <f t="shared" si="1"/>
        <v>13.288600000000001</v>
      </c>
      <c r="G43" s="1363"/>
      <c r="H43" s="1363"/>
      <c r="I43" s="1363">
        <f t="shared" si="30"/>
        <v>1</v>
      </c>
      <c r="J43" s="1363">
        <f t="shared" ref="J43:J44" si="32">ROUNDUP(ROUNDUP(G43,0)/100,0)</f>
        <v>0</v>
      </c>
      <c r="K43" s="1363"/>
      <c r="L43" s="1363"/>
      <c r="M43" s="1363"/>
      <c r="N43" s="1363"/>
      <c r="O43" s="1363"/>
      <c r="P43" s="1363"/>
      <c r="Q43" s="1363"/>
      <c r="R43" s="1363"/>
      <c r="S43" s="1363"/>
      <c r="T43" s="1363"/>
    </row>
    <row r="44" spans="1:20" hidden="1">
      <c r="A44" s="1359"/>
      <c r="B44" s="1307" t="s">
        <v>5886</v>
      </c>
      <c r="C44" s="1362">
        <v>3.9649999999999999</v>
      </c>
      <c r="D44" s="1362">
        <v>1.5</v>
      </c>
      <c r="E44" s="1362">
        <f t="shared" si="0"/>
        <v>5.9474999999999998</v>
      </c>
      <c r="F44" s="1362">
        <f t="shared" si="1"/>
        <v>63.995099999999994</v>
      </c>
      <c r="G44" s="1363"/>
      <c r="H44" s="1363"/>
      <c r="I44" s="1363">
        <f t="shared" si="30"/>
        <v>1</v>
      </c>
      <c r="J44" s="1363">
        <f t="shared" si="32"/>
        <v>0</v>
      </c>
      <c r="K44" s="1363"/>
      <c r="L44" s="1363"/>
      <c r="M44" s="1363"/>
      <c r="N44" s="1363"/>
      <c r="O44" s="1363"/>
      <c r="P44" s="1363"/>
      <c r="Q44" s="1363"/>
      <c r="R44" s="1363"/>
      <c r="S44" s="1363"/>
      <c r="T44" s="1363"/>
    </row>
    <row r="45" spans="1:20" hidden="1">
      <c r="A45" s="1364"/>
      <c r="B45" s="1307" t="s">
        <v>5554</v>
      </c>
      <c r="C45" s="1362">
        <v>4.32</v>
      </c>
      <c r="D45" s="1362">
        <v>1.5</v>
      </c>
      <c r="E45" s="1362">
        <f t="shared" si="0"/>
        <v>6.48</v>
      </c>
      <c r="F45" s="1362">
        <f t="shared" si="1"/>
        <v>69.724800000000002</v>
      </c>
      <c r="G45" s="1363"/>
      <c r="H45" s="1363"/>
      <c r="I45" s="1363"/>
      <c r="J45" s="1363"/>
      <c r="K45" s="1363"/>
      <c r="L45" s="1363"/>
      <c r="M45" s="1363"/>
      <c r="N45" s="1363"/>
      <c r="O45" s="1363">
        <v>1</v>
      </c>
      <c r="P45" s="1363">
        <v>1</v>
      </c>
      <c r="Q45" s="1363"/>
      <c r="R45" s="1363"/>
      <c r="S45" s="1363"/>
      <c r="T45" s="1363"/>
    </row>
    <row r="46" spans="1:20" hidden="1">
      <c r="A46" s="1358"/>
      <c r="B46" s="1307"/>
      <c r="C46" s="1362"/>
      <c r="D46" s="1362"/>
      <c r="E46" s="1362">
        <f t="shared" si="0"/>
        <v>0</v>
      </c>
      <c r="F46" s="1362">
        <f t="shared" si="1"/>
        <v>0</v>
      </c>
      <c r="G46" s="1363">
        <f t="shared" si="7"/>
        <v>0</v>
      </c>
      <c r="H46" s="1363">
        <f t="shared" si="8"/>
        <v>0</v>
      </c>
      <c r="I46" s="1363"/>
      <c r="J46" s="1363"/>
      <c r="K46" s="1363"/>
      <c r="L46" s="1363"/>
      <c r="M46" s="1363">
        <f t="shared" si="16"/>
        <v>0</v>
      </c>
      <c r="N46" s="1363">
        <f t="shared" si="13"/>
        <v>0</v>
      </c>
      <c r="O46" s="1363"/>
      <c r="P46" s="1363"/>
      <c r="Q46" s="1363"/>
      <c r="R46" s="1363"/>
      <c r="S46" s="1363"/>
      <c r="T46" s="1363"/>
    </row>
    <row r="47" spans="1:20">
      <c r="A47" s="1364"/>
      <c r="B47" s="1306" t="s">
        <v>5504</v>
      </c>
      <c r="C47" s="1362" t="s">
        <v>575</v>
      </c>
      <c r="D47" s="1362" t="s">
        <v>575</v>
      </c>
      <c r="E47" s="1362" t="s">
        <v>575</v>
      </c>
      <c r="F47" s="1362" t="s">
        <v>575</v>
      </c>
      <c r="G47" s="1362" t="s">
        <v>575</v>
      </c>
      <c r="H47" s="1362" t="s">
        <v>575</v>
      </c>
      <c r="I47" s="1362" t="s">
        <v>575</v>
      </c>
      <c r="J47" s="1362" t="s">
        <v>575</v>
      </c>
      <c r="K47" s="1362" t="s">
        <v>575</v>
      </c>
      <c r="L47" s="1362" t="s">
        <v>575</v>
      </c>
      <c r="M47" s="1362" t="s">
        <v>575</v>
      </c>
      <c r="N47" s="1362" t="s">
        <v>575</v>
      </c>
      <c r="O47" s="1362"/>
      <c r="P47" s="1362"/>
      <c r="Q47" s="1362" t="s">
        <v>575</v>
      </c>
      <c r="R47" s="1362" t="s">
        <v>575</v>
      </c>
      <c r="S47" s="1362" t="s">
        <v>575</v>
      </c>
      <c r="T47" s="1362" t="s">
        <v>575</v>
      </c>
    </row>
    <row r="48" spans="1:20">
      <c r="A48" s="1358"/>
      <c r="B48" s="1307" t="s">
        <v>5547</v>
      </c>
      <c r="C48" s="1362">
        <v>9.8849999999999998</v>
      </c>
      <c r="D48" s="1362">
        <v>5.76</v>
      </c>
      <c r="E48" s="1362">
        <f t="shared" si="0"/>
        <v>56.937599999999996</v>
      </c>
      <c r="F48" s="1362">
        <f t="shared" si="1"/>
        <v>612.64857599999993</v>
      </c>
      <c r="G48" s="1363">
        <f t="shared" ref="G48:G50" si="33">ROUNDUP(ROUNDUP(F48,0)/175,0)</f>
        <v>4</v>
      </c>
      <c r="H48" s="1363">
        <f t="shared" ref="H48:H53" si="34">ROUNDUP(ROUNDUP(F48,0)/150,0)</f>
        <v>5</v>
      </c>
      <c r="I48" s="1363"/>
      <c r="J48" s="1363"/>
      <c r="K48" s="1363"/>
      <c r="L48" s="1363"/>
      <c r="M48" s="1363">
        <v>2</v>
      </c>
      <c r="N48" s="1363">
        <v>4</v>
      </c>
      <c r="O48" s="1363"/>
      <c r="P48" s="1363"/>
      <c r="Q48" s="1363">
        <f>ROUNDUP(M48/2,0)</f>
        <v>1</v>
      </c>
      <c r="R48" s="1363"/>
      <c r="S48" s="1363">
        <v>3</v>
      </c>
      <c r="T48" s="1363"/>
    </row>
    <row r="49" spans="1:20" hidden="1">
      <c r="A49" s="1358"/>
      <c r="B49" s="1307" t="s">
        <v>5521</v>
      </c>
      <c r="C49" s="1362">
        <v>4.32</v>
      </c>
      <c r="D49" s="1362">
        <v>2.4430000000000001</v>
      </c>
      <c r="E49" s="1362">
        <f t="shared" si="0"/>
        <v>10.55376</v>
      </c>
      <c r="F49" s="1362">
        <f t="shared" si="1"/>
        <v>113.5584576</v>
      </c>
      <c r="G49" s="1363">
        <f t="shared" si="33"/>
        <v>1</v>
      </c>
      <c r="H49" s="1363">
        <f t="shared" si="34"/>
        <v>1</v>
      </c>
      <c r="I49" s="1363"/>
      <c r="J49" s="1363"/>
      <c r="K49" s="1363"/>
      <c r="L49" s="1363">
        <v>1</v>
      </c>
      <c r="M49" s="1363"/>
      <c r="N49" s="1363">
        <f t="shared" si="13"/>
        <v>1</v>
      </c>
      <c r="O49" s="1363"/>
      <c r="P49" s="1363"/>
      <c r="Q49" s="1363"/>
      <c r="R49" s="1363"/>
      <c r="S49" s="1363"/>
      <c r="T49" s="1363"/>
    </row>
    <row r="50" spans="1:20" hidden="1">
      <c r="A50" s="1358"/>
      <c r="B50" s="1307" t="s">
        <v>5521</v>
      </c>
      <c r="C50" s="1362">
        <v>2.4550000000000001</v>
      </c>
      <c r="D50" s="1362">
        <v>2.8570000000000002</v>
      </c>
      <c r="E50" s="1362">
        <f t="shared" si="0"/>
        <v>7.0139350000000009</v>
      </c>
      <c r="F50" s="1362">
        <f t="shared" si="1"/>
        <v>75.469940600000015</v>
      </c>
      <c r="G50" s="1363">
        <f t="shared" si="33"/>
        <v>1</v>
      </c>
      <c r="H50" s="1363">
        <f t="shared" si="34"/>
        <v>1</v>
      </c>
      <c r="I50" s="1363"/>
      <c r="J50" s="1363"/>
      <c r="K50" s="1363"/>
      <c r="L50" s="1363"/>
      <c r="M50" s="1363"/>
      <c r="N50" s="1363"/>
      <c r="O50" s="1363"/>
      <c r="P50" s="1363"/>
      <c r="Q50" s="1363"/>
      <c r="R50" s="1363"/>
      <c r="S50" s="1363"/>
      <c r="T50" s="1363"/>
    </row>
    <row r="51" spans="1:20" hidden="1">
      <c r="A51" s="1358"/>
      <c r="B51" s="1307" t="s">
        <v>5546</v>
      </c>
      <c r="C51" s="1362">
        <v>4.28</v>
      </c>
      <c r="D51" s="1362">
        <v>2.8570000000000002</v>
      </c>
      <c r="E51" s="1362">
        <f t="shared" si="0"/>
        <v>12.227960000000001</v>
      </c>
      <c r="F51" s="1362">
        <f t="shared" si="1"/>
        <v>131.57284960000001</v>
      </c>
      <c r="G51" s="1363"/>
      <c r="H51" s="1363">
        <f t="shared" si="34"/>
        <v>1</v>
      </c>
      <c r="I51" s="1363"/>
      <c r="J51" s="1363"/>
      <c r="K51" s="1363"/>
      <c r="L51" s="1363"/>
      <c r="M51" s="1363"/>
      <c r="N51" s="1363"/>
      <c r="O51" s="1363"/>
      <c r="P51" s="1363"/>
      <c r="Q51" s="1363"/>
      <c r="R51" s="1363"/>
      <c r="S51" s="1363"/>
      <c r="T51" s="1363"/>
    </row>
    <row r="52" spans="1:20">
      <c r="A52" s="1358"/>
      <c r="B52" s="1307" t="s">
        <v>5549</v>
      </c>
      <c r="C52" s="1362">
        <v>3.1150000000000002</v>
      </c>
      <c r="D52" s="1362">
        <v>5.0999999999999996</v>
      </c>
      <c r="E52" s="1362">
        <f t="shared" si="0"/>
        <v>15.8865</v>
      </c>
      <c r="F52" s="1362">
        <f t="shared" si="1"/>
        <v>170.93874</v>
      </c>
      <c r="G52" s="1363">
        <f t="shared" ref="G52:G53" si="35">ROUNDUP(ROUNDUP(F52,0)/175,0)</f>
        <v>1</v>
      </c>
      <c r="H52" s="1363">
        <f t="shared" si="34"/>
        <v>2</v>
      </c>
      <c r="I52" s="1363"/>
      <c r="J52" s="1363"/>
      <c r="K52" s="1363"/>
      <c r="L52" s="1363"/>
      <c r="M52" s="1363">
        <v>1</v>
      </c>
      <c r="N52" s="1363">
        <f t="shared" si="13"/>
        <v>2</v>
      </c>
      <c r="O52" s="1363"/>
      <c r="P52" s="1363"/>
      <c r="Q52" s="1363">
        <f t="shared" ref="Q52:Q53" si="36">ROUNDUP(M52/2,0)</f>
        <v>1</v>
      </c>
      <c r="R52" s="1363"/>
      <c r="S52" s="1363"/>
      <c r="T52" s="1363"/>
    </row>
    <row r="53" spans="1:20">
      <c r="A53" s="1358"/>
      <c r="B53" s="1307" t="s">
        <v>5562</v>
      </c>
      <c r="C53" s="1362">
        <v>4</v>
      </c>
      <c r="D53" s="1362">
        <v>5.0999999999999996</v>
      </c>
      <c r="E53" s="1362">
        <f t="shared" si="0"/>
        <v>20.399999999999999</v>
      </c>
      <c r="F53" s="1362">
        <f t="shared" si="1"/>
        <v>219.50399999999999</v>
      </c>
      <c r="G53" s="1363">
        <f t="shared" si="35"/>
        <v>2</v>
      </c>
      <c r="H53" s="1363">
        <f t="shared" si="34"/>
        <v>2</v>
      </c>
      <c r="I53" s="1363"/>
      <c r="J53" s="1363"/>
      <c r="K53" s="1363"/>
      <c r="L53" s="1363"/>
      <c r="M53" s="1363">
        <f t="shared" si="16"/>
        <v>2</v>
      </c>
      <c r="N53" s="1363">
        <f t="shared" si="13"/>
        <v>2</v>
      </c>
      <c r="O53" s="1363"/>
      <c r="P53" s="1363"/>
      <c r="Q53" s="1363">
        <f t="shared" si="36"/>
        <v>1</v>
      </c>
      <c r="R53" s="1363"/>
      <c r="S53" s="1363"/>
      <c r="T53" s="1363"/>
    </row>
    <row r="54" spans="1:20" ht="31.5" hidden="1">
      <c r="A54" s="1358"/>
      <c r="B54" s="1307" t="s">
        <v>5563</v>
      </c>
      <c r="C54" s="1362">
        <v>1.65</v>
      </c>
      <c r="D54" s="1362">
        <v>1.5</v>
      </c>
      <c r="E54" s="1362">
        <f t="shared" si="0"/>
        <v>2.4749999999999996</v>
      </c>
      <c r="F54" s="1362">
        <f t="shared" si="1"/>
        <v>26.630999999999997</v>
      </c>
      <c r="G54" s="1363"/>
      <c r="H54" s="1363"/>
      <c r="I54" s="1363">
        <f t="shared" ref="I54:I55" si="37">ROUNDUP(ROUNDUP(F54,0)/180,0)</f>
        <v>1</v>
      </c>
      <c r="J54" s="1363">
        <f t="shared" ref="J54" si="38">ROUNDUP(ROUNDUP(F54,0)/100,0)</f>
        <v>1</v>
      </c>
      <c r="K54" s="1363"/>
      <c r="L54" s="1363"/>
      <c r="M54" s="1363"/>
      <c r="N54" s="1363"/>
      <c r="O54" s="1363"/>
      <c r="P54" s="1363"/>
      <c r="Q54" s="1363"/>
      <c r="R54" s="1363"/>
      <c r="S54" s="1363"/>
      <c r="T54" s="1363"/>
    </row>
    <row r="55" spans="1:20" hidden="1">
      <c r="A55" s="1358"/>
      <c r="B55" s="1307" t="s">
        <v>5883</v>
      </c>
      <c r="C55" s="1362">
        <v>1.1200000000000001</v>
      </c>
      <c r="D55" s="1362">
        <v>1.5</v>
      </c>
      <c r="E55" s="1362">
        <f t="shared" si="0"/>
        <v>1.6800000000000002</v>
      </c>
      <c r="F55" s="1362">
        <f t="shared" si="1"/>
        <v>18.076800000000002</v>
      </c>
      <c r="G55" s="1363"/>
      <c r="H55" s="1363"/>
      <c r="I55" s="1363">
        <f t="shared" si="37"/>
        <v>1</v>
      </c>
      <c r="J55" s="1363">
        <f t="shared" ref="J55" si="39">ROUNDUP(ROUNDUP(G55,0)/100,0)</f>
        <v>0</v>
      </c>
      <c r="K55" s="1363"/>
      <c r="L55" s="1363"/>
      <c r="M55" s="1363"/>
      <c r="N55" s="1363"/>
      <c r="O55" s="1363"/>
      <c r="P55" s="1363"/>
      <c r="Q55" s="1363"/>
      <c r="R55" s="1363"/>
      <c r="S55" s="1363"/>
      <c r="T55" s="1363"/>
    </row>
    <row r="56" spans="1:20">
      <c r="A56" s="1358"/>
      <c r="B56" s="1307" t="s">
        <v>5564</v>
      </c>
      <c r="C56" s="1362">
        <v>4</v>
      </c>
      <c r="D56" s="1362">
        <v>5.0999999999999996</v>
      </c>
      <c r="E56" s="1362">
        <f t="shared" si="0"/>
        <v>20.399999999999999</v>
      </c>
      <c r="F56" s="1362">
        <f t="shared" si="1"/>
        <v>219.50399999999999</v>
      </c>
      <c r="G56" s="1363">
        <f>ROUNDUP(ROUNDUP(F56,0)/175,0)</f>
        <v>2</v>
      </c>
      <c r="H56" s="1363">
        <f>ROUNDUP(ROUNDUP(F56,0)/150,0)</f>
        <v>2</v>
      </c>
      <c r="I56" s="1363"/>
      <c r="J56" s="1363"/>
      <c r="K56" s="1363">
        <v>1</v>
      </c>
      <c r="L56" s="1363"/>
      <c r="M56" s="1363">
        <f t="shared" si="16"/>
        <v>2</v>
      </c>
      <c r="N56" s="1363">
        <f t="shared" si="13"/>
        <v>2</v>
      </c>
      <c r="O56" s="1363"/>
      <c r="P56" s="1363"/>
      <c r="Q56" s="1363">
        <f>ROUNDUP(M56/2,0)</f>
        <v>1</v>
      </c>
      <c r="R56" s="1363">
        <v>1</v>
      </c>
      <c r="S56" s="1363"/>
      <c r="T56" s="1363"/>
    </row>
    <row r="57" spans="1:20" hidden="1">
      <c r="A57" s="1358"/>
      <c r="B57" s="1307" t="s">
        <v>5565</v>
      </c>
      <c r="C57" s="1362">
        <v>1.65</v>
      </c>
      <c r="D57" s="1362">
        <v>1.5</v>
      </c>
      <c r="E57" s="1362">
        <f t="shared" si="0"/>
        <v>2.4749999999999996</v>
      </c>
      <c r="F57" s="1362">
        <f t="shared" si="1"/>
        <v>26.630999999999997</v>
      </c>
      <c r="G57" s="1363"/>
      <c r="H57" s="1363"/>
      <c r="I57" s="1363">
        <f t="shared" ref="I57:I59" si="40">ROUNDUP(ROUNDUP(F57,0)/180,0)</f>
        <v>1</v>
      </c>
      <c r="J57" s="1363">
        <f t="shared" ref="J57" si="41">ROUNDUP(ROUNDUP(F57,0)/100,0)</f>
        <v>1</v>
      </c>
      <c r="K57" s="1363"/>
      <c r="L57" s="1363"/>
      <c r="M57" s="1363"/>
      <c r="N57" s="1363"/>
      <c r="O57" s="1363"/>
      <c r="P57" s="1363"/>
      <c r="Q57" s="1363"/>
      <c r="R57" s="1363"/>
      <c r="S57" s="1363"/>
      <c r="T57" s="1363"/>
    </row>
    <row r="58" spans="1:20" hidden="1">
      <c r="A58" s="1358"/>
      <c r="B58" s="1307" t="s">
        <v>5883</v>
      </c>
      <c r="C58" s="1362">
        <v>1.1200000000000001</v>
      </c>
      <c r="D58" s="1362">
        <v>1.5</v>
      </c>
      <c r="E58" s="1362">
        <f t="shared" si="0"/>
        <v>1.6800000000000002</v>
      </c>
      <c r="F58" s="1362">
        <f t="shared" si="1"/>
        <v>18.076800000000002</v>
      </c>
      <c r="G58" s="1363"/>
      <c r="H58" s="1363"/>
      <c r="I58" s="1363">
        <f t="shared" si="40"/>
        <v>1</v>
      </c>
      <c r="J58" s="1363">
        <f t="shared" ref="J58:J59" si="42">ROUNDUP(ROUNDUP(G58,0)/100,0)</f>
        <v>0</v>
      </c>
      <c r="K58" s="1363"/>
      <c r="L58" s="1363"/>
      <c r="M58" s="1363"/>
      <c r="N58" s="1363"/>
      <c r="O58" s="1363"/>
      <c r="P58" s="1363"/>
      <c r="Q58" s="1363"/>
      <c r="R58" s="1363"/>
      <c r="S58" s="1363"/>
      <c r="T58" s="1363"/>
    </row>
    <row r="59" spans="1:20" hidden="1">
      <c r="A59" s="1358"/>
      <c r="B59" s="1307" t="s">
        <v>5886</v>
      </c>
      <c r="C59" s="1362">
        <v>1</v>
      </c>
      <c r="D59" s="1362">
        <v>1.5</v>
      </c>
      <c r="E59" s="1362">
        <f t="shared" si="0"/>
        <v>1.5</v>
      </c>
      <c r="F59" s="1362">
        <f t="shared" si="1"/>
        <v>16.14</v>
      </c>
      <c r="G59" s="1363"/>
      <c r="H59" s="1363"/>
      <c r="I59" s="1363">
        <f t="shared" si="40"/>
        <v>1</v>
      </c>
      <c r="J59" s="1363">
        <f t="shared" si="42"/>
        <v>0</v>
      </c>
      <c r="K59" s="1363"/>
      <c r="L59" s="1363"/>
      <c r="M59" s="1363"/>
      <c r="N59" s="1363"/>
      <c r="O59" s="1363"/>
      <c r="P59" s="1363"/>
      <c r="Q59" s="1363"/>
      <c r="R59" s="1363"/>
      <c r="S59" s="1363"/>
      <c r="T59" s="1363"/>
    </row>
    <row r="60" spans="1:20" hidden="1">
      <c r="A60" s="1358"/>
      <c r="B60" s="1307" t="s">
        <v>5555</v>
      </c>
      <c r="C60" s="1362">
        <v>2.2999999999999998</v>
      </c>
      <c r="D60" s="1362">
        <v>2.5</v>
      </c>
      <c r="E60" s="1362">
        <f t="shared" si="0"/>
        <v>5.75</v>
      </c>
      <c r="F60" s="1362">
        <f t="shared" si="1"/>
        <v>61.87</v>
      </c>
      <c r="G60" s="1363"/>
      <c r="H60" s="1363"/>
      <c r="I60" s="1363"/>
      <c r="J60" s="1363"/>
      <c r="K60" s="1363"/>
      <c r="L60" s="1363"/>
      <c r="M60" s="1363"/>
      <c r="N60" s="1363"/>
      <c r="O60" s="1363"/>
      <c r="P60" s="1363"/>
      <c r="Q60" s="1363"/>
      <c r="R60" s="1363"/>
      <c r="S60" s="1363"/>
      <c r="T60" s="1363"/>
    </row>
    <row r="61" spans="1:20" hidden="1">
      <c r="A61" s="1358"/>
      <c r="B61" s="1307" t="s">
        <v>5885</v>
      </c>
      <c r="C61" s="1362">
        <v>4</v>
      </c>
      <c r="D61" s="1362">
        <v>2.25</v>
      </c>
      <c r="E61" s="1362">
        <f t="shared" si="0"/>
        <v>9</v>
      </c>
      <c r="F61" s="1362">
        <f t="shared" si="1"/>
        <v>96.84</v>
      </c>
      <c r="G61" s="1363"/>
      <c r="H61" s="1363">
        <f t="shared" ref="H61:H63" si="43">ROUNDUP(ROUNDUP(F61,0)/150,0)</f>
        <v>1</v>
      </c>
      <c r="I61" s="1363"/>
      <c r="J61" s="1363"/>
      <c r="K61" s="1363"/>
      <c r="L61" s="1363"/>
      <c r="M61" s="1363"/>
      <c r="N61" s="1363"/>
      <c r="O61" s="1363"/>
      <c r="P61" s="1363"/>
      <c r="Q61" s="1363"/>
      <c r="R61" s="1363"/>
      <c r="S61" s="1363"/>
      <c r="T61" s="1363"/>
    </row>
    <row r="62" spans="1:20" hidden="1">
      <c r="A62" s="1358"/>
      <c r="B62" s="1307" t="s">
        <v>5884</v>
      </c>
      <c r="C62" s="1362">
        <v>4</v>
      </c>
      <c r="D62" s="1362">
        <v>2.25</v>
      </c>
      <c r="E62" s="1362">
        <f t="shared" si="0"/>
        <v>9</v>
      </c>
      <c r="F62" s="1362">
        <f t="shared" si="1"/>
        <v>96.84</v>
      </c>
      <c r="G62" s="1363"/>
      <c r="H62" s="1363">
        <f t="shared" si="43"/>
        <v>1</v>
      </c>
      <c r="I62" s="1363"/>
      <c r="J62" s="1363"/>
      <c r="K62" s="1363"/>
      <c r="L62" s="1363"/>
      <c r="M62" s="1363"/>
      <c r="N62" s="1363"/>
      <c r="O62" s="1363"/>
      <c r="P62" s="1363"/>
      <c r="Q62" s="1363"/>
      <c r="R62" s="1363"/>
      <c r="S62" s="1363"/>
      <c r="T62" s="1363"/>
    </row>
    <row r="63" spans="1:20">
      <c r="A63" s="1358"/>
      <c r="B63" s="1307" t="s">
        <v>5566</v>
      </c>
      <c r="C63" s="1362">
        <v>4</v>
      </c>
      <c r="D63" s="1362">
        <v>3.9</v>
      </c>
      <c r="E63" s="1362">
        <f t="shared" ref="E63:E101" si="44">C63*D63</f>
        <v>15.6</v>
      </c>
      <c r="F63" s="1362">
        <f t="shared" ref="F63:F101" si="45">E63*10.76</f>
        <v>167.85599999999999</v>
      </c>
      <c r="G63" s="1363">
        <f>ROUNDUP(ROUNDUP(F63,0)/175,0)</f>
        <v>1</v>
      </c>
      <c r="H63" s="1363">
        <f t="shared" si="43"/>
        <v>2</v>
      </c>
      <c r="I63" s="1363"/>
      <c r="J63" s="1363"/>
      <c r="K63" s="1363"/>
      <c r="L63" s="1363"/>
      <c r="M63" s="1363">
        <f t="shared" si="16"/>
        <v>2</v>
      </c>
      <c r="N63" s="1363">
        <f t="shared" si="13"/>
        <v>2</v>
      </c>
      <c r="O63" s="1363"/>
      <c r="P63" s="1363"/>
      <c r="Q63" s="1363">
        <f>ROUNDUP(M63/2,0)</f>
        <v>1</v>
      </c>
      <c r="R63" s="1363"/>
      <c r="S63" s="1363"/>
      <c r="T63" s="1363"/>
    </row>
    <row r="64" spans="1:20" hidden="1">
      <c r="A64" s="1358"/>
      <c r="B64" s="1307" t="s">
        <v>560</v>
      </c>
      <c r="C64" s="1362">
        <v>1.5</v>
      </c>
      <c r="D64" s="1362">
        <v>1.5</v>
      </c>
      <c r="E64" s="1362">
        <f t="shared" si="44"/>
        <v>2.25</v>
      </c>
      <c r="F64" s="1362">
        <f t="shared" si="45"/>
        <v>24.21</v>
      </c>
      <c r="G64" s="1363"/>
      <c r="H64" s="1363"/>
      <c r="I64" s="1363">
        <f t="shared" ref="I64:I66" si="46">ROUNDUP(ROUNDUP(F64,0)/180,0)</f>
        <v>1</v>
      </c>
      <c r="J64" s="1363">
        <f t="shared" ref="J64" si="47">ROUNDUP(ROUNDUP(F64,0)/100,0)</f>
        <v>1</v>
      </c>
      <c r="K64" s="1363"/>
      <c r="L64" s="1363"/>
      <c r="M64" s="1363"/>
      <c r="N64" s="1363"/>
      <c r="O64" s="1363"/>
      <c r="P64" s="1363"/>
      <c r="Q64" s="1363"/>
      <c r="R64" s="1363"/>
      <c r="S64" s="1363"/>
      <c r="T64" s="1363"/>
    </row>
    <row r="65" spans="1:20" hidden="1">
      <c r="A65" s="1358"/>
      <c r="B65" s="1307" t="s">
        <v>5883</v>
      </c>
      <c r="C65" s="1362">
        <v>1.5</v>
      </c>
      <c r="D65" s="1362">
        <v>1.1000000000000001</v>
      </c>
      <c r="E65" s="1362">
        <f t="shared" si="44"/>
        <v>1.6500000000000001</v>
      </c>
      <c r="F65" s="1362">
        <f t="shared" si="45"/>
        <v>17.754000000000001</v>
      </c>
      <c r="G65" s="1363"/>
      <c r="H65" s="1363"/>
      <c r="I65" s="1363">
        <f t="shared" si="46"/>
        <v>1</v>
      </c>
      <c r="J65" s="1363">
        <f t="shared" ref="J65:J66" si="48">ROUNDUP(ROUNDUP(G65,0)/100,0)</f>
        <v>0</v>
      </c>
      <c r="K65" s="1363"/>
      <c r="L65" s="1363"/>
      <c r="M65" s="1363"/>
      <c r="N65" s="1363"/>
      <c r="O65" s="1363"/>
      <c r="P65" s="1363"/>
      <c r="Q65" s="1363"/>
      <c r="R65" s="1363"/>
      <c r="S65" s="1363"/>
      <c r="T65" s="1363"/>
    </row>
    <row r="66" spans="1:20" hidden="1">
      <c r="A66" s="1359"/>
      <c r="B66" s="1307" t="s">
        <v>5886</v>
      </c>
      <c r="C66" s="1362">
        <v>1.5</v>
      </c>
      <c r="D66" s="1362">
        <v>1</v>
      </c>
      <c r="E66" s="1362">
        <f t="shared" si="44"/>
        <v>1.5</v>
      </c>
      <c r="F66" s="1362">
        <f t="shared" si="45"/>
        <v>16.14</v>
      </c>
      <c r="G66" s="1363"/>
      <c r="H66" s="1363"/>
      <c r="I66" s="1363">
        <f t="shared" si="46"/>
        <v>1</v>
      </c>
      <c r="J66" s="1363">
        <f t="shared" si="48"/>
        <v>0</v>
      </c>
      <c r="K66" s="1363"/>
      <c r="L66" s="1363"/>
      <c r="M66" s="1363"/>
      <c r="N66" s="1363"/>
      <c r="O66" s="1363"/>
      <c r="P66" s="1363"/>
      <c r="Q66" s="1363"/>
      <c r="R66" s="1363"/>
      <c r="S66" s="1363"/>
      <c r="T66" s="1363"/>
    </row>
    <row r="67" spans="1:20">
      <c r="A67" s="1358"/>
      <c r="B67" s="1307" t="s">
        <v>5550</v>
      </c>
      <c r="C67" s="1362">
        <v>6.54</v>
      </c>
      <c r="D67" s="1362">
        <v>3.9</v>
      </c>
      <c r="E67" s="1362">
        <f t="shared" si="44"/>
        <v>25.506</v>
      </c>
      <c r="F67" s="1362">
        <f t="shared" si="45"/>
        <v>274.44456000000002</v>
      </c>
      <c r="G67" s="1363">
        <f t="shared" ref="G67:G69" si="49">ROUNDUP(ROUNDUP(F67,0)/175,0)</f>
        <v>2</v>
      </c>
      <c r="H67" s="1363">
        <f t="shared" ref="H67:H69" si="50">ROUNDUP(ROUNDUP(F67,0)/150,0)</f>
        <v>2</v>
      </c>
      <c r="I67" s="1363"/>
      <c r="J67" s="1363"/>
      <c r="K67" s="1363"/>
      <c r="L67" s="1363"/>
      <c r="M67" s="1363">
        <f t="shared" si="16"/>
        <v>3</v>
      </c>
      <c r="N67" s="1363">
        <f t="shared" si="13"/>
        <v>3</v>
      </c>
      <c r="O67" s="1363"/>
      <c r="P67" s="1363"/>
      <c r="Q67" s="1363">
        <f t="shared" ref="Q67:Q69" si="51">ROUNDUP(M67/2,0)</f>
        <v>2</v>
      </c>
      <c r="R67" s="1363"/>
      <c r="S67" s="1363"/>
      <c r="T67" s="1363"/>
    </row>
    <row r="68" spans="1:20">
      <c r="A68" s="1358"/>
      <c r="B68" s="1307" t="s">
        <v>5567</v>
      </c>
      <c r="C68" s="1362">
        <v>1.9650000000000001</v>
      </c>
      <c r="D68" s="1362">
        <v>2.3199999999999998</v>
      </c>
      <c r="E68" s="1362">
        <f t="shared" si="44"/>
        <v>4.5587999999999997</v>
      </c>
      <c r="F68" s="1362">
        <f t="shared" si="45"/>
        <v>49.052687999999996</v>
      </c>
      <c r="G68" s="1363">
        <f t="shared" si="49"/>
        <v>1</v>
      </c>
      <c r="H68" s="1363">
        <f t="shared" si="50"/>
        <v>1</v>
      </c>
      <c r="I68" s="1363"/>
      <c r="J68" s="1363"/>
      <c r="K68" s="1363"/>
      <c r="L68" s="1363"/>
      <c r="M68" s="1363">
        <f t="shared" si="16"/>
        <v>1</v>
      </c>
      <c r="N68" s="1363">
        <f t="shared" si="13"/>
        <v>1</v>
      </c>
      <c r="O68" s="1363"/>
      <c r="P68" s="1363"/>
      <c r="Q68" s="1363">
        <f t="shared" si="51"/>
        <v>1</v>
      </c>
      <c r="R68" s="1363"/>
      <c r="S68" s="1363"/>
      <c r="T68" s="1363"/>
    </row>
    <row r="69" spans="1:20">
      <c r="A69" s="1358"/>
      <c r="B69" s="1307" t="s">
        <v>5568</v>
      </c>
      <c r="C69" s="1362">
        <v>3.7650000000000001</v>
      </c>
      <c r="D69" s="1362">
        <v>2.4350000000000001</v>
      </c>
      <c r="E69" s="1362">
        <f t="shared" si="44"/>
        <v>9.1677750000000007</v>
      </c>
      <c r="F69" s="1362">
        <f t="shared" si="45"/>
        <v>98.64525900000001</v>
      </c>
      <c r="G69" s="1363">
        <f t="shared" si="49"/>
        <v>1</v>
      </c>
      <c r="H69" s="1363">
        <f t="shared" si="50"/>
        <v>1</v>
      </c>
      <c r="I69" s="1363"/>
      <c r="J69" s="1363"/>
      <c r="K69" s="1363"/>
      <c r="L69" s="1363"/>
      <c r="M69" s="1363">
        <f t="shared" si="16"/>
        <v>1</v>
      </c>
      <c r="N69" s="1363">
        <f t="shared" si="13"/>
        <v>1</v>
      </c>
      <c r="O69" s="1363"/>
      <c r="P69" s="1363"/>
      <c r="Q69" s="1363">
        <f t="shared" si="51"/>
        <v>1</v>
      </c>
      <c r="R69" s="1363"/>
      <c r="S69" s="1363"/>
      <c r="T69" s="1363"/>
    </row>
    <row r="70" spans="1:20" s="1353" customFormat="1" hidden="1">
      <c r="A70" s="1358"/>
      <c r="B70" s="1307" t="s">
        <v>560</v>
      </c>
      <c r="C70" s="1362">
        <v>1.65</v>
      </c>
      <c r="D70" s="1362">
        <v>1.2350000000000001</v>
      </c>
      <c r="E70" s="1362">
        <f t="shared" si="44"/>
        <v>2.03775</v>
      </c>
      <c r="F70" s="1362">
        <f t="shared" si="45"/>
        <v>21.926189999999998</v>
      </c>
      <c r="G70" s="1363"/>
      <c r="H70" s="1363"/>
      <c r="I70" s="1363">
        <f t="shared" ref="I70:I72" si="52">ROUNDUP(ROUNDUP(F70,0)/180,0)</f>
        <v>1</v>
      </c>
      <c r="J70" s="1363">
        <f t="shared" ref="J70" si="53">ROUNDUP(ROUNDUP(F70,0)/100,0)</f>
        <v>1</v>
      </c>
      <c r="K70" s="1363"/>
      <c r="L70" s="1363"/>
      <c r="M70" s="1363"/>
      <c r="N70" s="1363"/>
      <c r="O70" s="1363"/>
      <c r="P70" s="1363"/>
      <c r="Q70" s="1363"/>
      <c r="R70" s="1363"/>
      <c r="S70" s="1363"/>
      <c r="T70" s="1363"/>
    </row>
    <row r="71" spans="1:20" hidden="1">
      <c r="A71" s="1358"/>
      <c r="B71" s="1307" t="s">
        <v>5883</v>
      </c>
      <c r="C71" s="1362">
        <v>1.5</v>
      </c>
      <c r="D71" s="1362">
        <v>1.1000000000000001</v>
      </c>
      <c r="E71" s="1362">
        <f t="shared" si="44"/>
        <v>1.6500000000000001</v>
      </c>
      <c r="F71" s="1362">
        <f t="shared" si="45"/>
        <v>17.754000000000001</v>
      </c>
      <c r="G71" s="1363"/>
      <c r="H71" s="1363"/>
      <c r="I71" s="1363">
        <f t="shared" si="52"/>
        <v>1</v>
      </c>
      <c r="J71" s="1363">
        <f t="shared" ref="J71:J72" si="54">ROUNDUP(ROUNDUP(G71,0)/100,0)</f>
        <v>0</v>
      </c>
      <c r="K71" s="1363"/>
      <c r="L71" s="1363"/>
      <c r="M71" s="1363"/>
      <c r="N71" s="1363"/>
      <c r="O71" s="1363"/>
      <c r="P71" s="1363"/>
      <c r="Q71" s="1363"/>
      <c r="R71" s="1363"/>
      <c r="S71" s="1363"/>
      <c r="T71" s="1363"/>
    </row>
    <row r="72" spans="1:20" hidden="1">
      <c r="A72" s="1359"/>
      <c r="B72" s="1307" t="s">
        <v>5886</v>
      </c>
      <c r="C72" s="1362">
        <v>1</v>
      </c>
      <c r="D72" s="1362">
        <v>1.2350000000000001</v>
      </c>
      <c r="E72" s="1362">
        <f t="shared" si="44"/>
        <v>1.2350000000000001</v>
      </c>
      <c r="F72" s="1362">
        <f t="shared" si="45"/>
        <v>13.288600000000001</v>
      </c>
      <c r="G72" s="1363"/>
      <c r="H72" s="1363"/>
      <c r="I72" s="1363">
        <f t="shared" si="52"/>
        <v>1</v>
      </c>
      <c r="J72" s="1363">
        <f t="shared" si="54"/>
        <v>0</v>
      </c>
      <c r="K72" s="1363"/>
      <c r="L72" s="1363"/>
      <c r="M72" s="1363"/>
      <c r="N72" s="1363"/>
      <c r="O72" s="1363"/>
      <c r="P72" s="1363"/>
      <c r="Q72" s="1363"/>
      <c r="R72" s="1363"/>
      <c r="S72" s="1363"/>
      <c r="T72" s="1363"/>
    </row>
    <row r="73" spans="1:20" hidden="1">
      <c r="A73" s="1358"/>
      <c r="B73" s="1307"/>
      <c r="C73" s="1362"/>
      <c r="D73" s="1362"/>
      <c r="E73" s="1362">
        <f t="shared" si="44"/>
        <v>0</v>
      </c>
      <c r="F73" s="1362">
        <f t="shared" si="45"/>
        <v>0</v>
      </c>
      <c r="G73" s="1363">
        <f t="shared" ref="G73:G99" si="55">ROUNDUP(ROUNDUP(F73,0)/100,0)</f>
        <v>0</v>
      </c>
      <c r="H73" s="1363">
        <f t="shared" ref="H73:H99" si="56">ROUNDUP(ROUNDUP(F73,0)/100,0)</f>
        <v>0</v>
      </c>
      <c r="I73" s="1363"/>
      <c r="J73" s="1363"/>
      <c r="K73" s="1363"/>
      <c r="L73" s="1363"/>
      <c r="M73" s="1363">
        <f t="shared" si="16"/>
        <v>0</v>
      </c>
      <c r="N73" s="1363">
        <f t="shared" si="13"/>
        <v>0</v>
      </c>
      <c r="O73" s="1363"/>
      <c r="P73" s="1363"/>
      <c r="Q73" s="1363"/>
      <c r="R73" s="1363"/>
      <c r="S73" s="1363"/>
      <c r="T73" s="1363"/>
    </row>
    <row r="74" spans="1:20">
      <c r="A74" s="1358"/>
      <c r="B74" s="1306" t="s">
        <v>5505</v>
      </c>
      <c r="C74" s="1362" t="s">
        <v>575</v>
      </c>
      <c r="D74" s="1362" t="s">
        <v>575</v>
      </c>
      <c r="E74" s="1362" t="s">
        <v>575</v>
      </c>
      <c r="F74" s="1362" t="s">
        <v>575</v>
      </c>
      <c r="G74" s="1362" t="s">
        <v>575</v>
      </c>
      <c r="H74" s="1362" t="s">
        <v>575</v>
      </c>
      <c r="I74" s="1362" t="s">
        <v>575</v>
      </c>
      <c r="J74" s="1362" t="s">
        <v>575</v>
      </c>
      <c r="K74" s="1362" t="s">
        <v>575</v>
      </c>
      <c r="L74" s="1362" t="s">
        <v>575</v>
      </c>
      <c r="M74" s="1362" t="s">
        <v>575</v>
      </c>
      <c r="N74" s="1362" t="s">
        <v>575</v>
      </c>
      <c r="O74" s="1362"/>
      <c r="P74" s="1362"/>
      <c r="Q74" s="1362" t="s">
        <v>575</v>
      </c>
      <c r="R74" s="1362" t="s">
        <v>575</v>
      </c>
      <c r="S74" s="1362" t="s">
        <v>575</v>
      </c>
      <c r="T74" s="1362" t="s">
        <v>575</v>
      </c>
    </row>
    <row r="75" spans="1:20">
      <c r="A75" s="1358"/>
      <c r="B75" s="1307" t="s">
        <v>5547</v>
      </c>
      <c r="C75" s="1362">
        <v>9.8849999999999998</v>
      </c>
      <c r="D75" s="1362">
        <v>5.76</v>
      </c>
      <c r="E75" s="1362">
        <f t="shared" si="44"/>
        <v>56.937599999999996</v>
      </c>
      <c r="F75" s="1362">
        <f t="shared" si="45"/>
        <v>612.64857599999993</v>
      </c>
      <c r="G75" s="1363">
        <f t="shared" ref="G75:G77" si="57">ROUNDUP(ROUNDUP(F75,0)/175,0)</f>
        <v>4</v>
      </c>
      <c r="H75" s="1363">
        <f t="shared" ref="H75:H79" si="58">ROUNDUP(ROUNDUP(F75,0)/150,0)</f>
        <v>5</v>
      </c>
      <c r="I75" s="1363"/>
      <c r="J75" s="1363"/>
      <c r="K75" s="1363"/>
      <c r="L75" s="1363"/>
      <c r="M75" s="1363">
        <v>2</v>
      </c>
      <c r="N75" s="1363">
        <v>4</v>
      </c>
      <c r="O75" s="1363"/>
      <c r="P75" s="1363"/>
      <c r="Q75" s="1363">
        <f>ROUNDUP(M75/2,0)</f>
        <v>1</v>
      </c>
      <c r="R75" s="1363"/>
      <c r="S75" s="1363">
        <v>3</v>
      </c>
      <c r="T75" s="1363"/>
    </row>
    <row r="76" spans="1:20" hidden="1">
      <c r="A76" s="1358"/>
      <c r="B76" s="1307" t="s">
        <v>5521</v>
      </c>
      <c r="C76" s="1362">
        <v>4.32</v>
      </c>
      <c r="D76" s="1362">
        <v>2.4430000000000001</v>
      </c>
      <c r="E76" s="1362">
        <f t="shared" si="44"/>
        <v>10.55376</v>
      </c>
      <c r="F76" s="1362">
        <f t="shared" si="45"/>
        <v>113.5584576</v>
      </c>
      <c r="G76" s="1363">
        <f t="shared" si="57"/>
        <v>1</v>
      </c>
      <c r="H76" s="1363">
        <f t="shared" si="58"/>
        <v>1</v>
      </c>
      <c r="I76" s="1363"/>
      <c r="J76" s="1363"/>
      <c r="K76" s="1363"/>
      <c r="L76" s="1363">
        <v>1</v>
      </c>
      <c r="M76" s="1363"/>
      <c r="N76" s="1363">
        <f t="shared" si="13"/>
        <v>1</v>
      </c>
      <c r="O76" s="1363"/>
      <c r="P76" s="1363"/>
      <c r="Q76" s="1363"/>
      <c r="R76" s="1363"/>
      <c r="S76" s="1363"/>
      <c r="T76" s="1363"/>
    </row>
    <row r="77" spans="1:20" hidden="1">
      <c r="A77" s="1358"/>
      <c r="B77" s="1307" t="s">
        <v>5521</v>
      </c>
      <c r="C77" s="1362">
        <v>2.4550000000000001</v>
      </c>
      <c r="D77" s="1362">
        <v>2.8570000000000002</v>
      </c>
      <c r="E77" s="1362">
        <f t="shared" si="44"/>
        <v>7.0139350000000009</v>
      </c>
      <c r="F77" s="1362">
        <f t="shared" si="45"/>
        <v>75.469940600000015</v>
      </c>
      <c r="G77" s="1363">
        <f t="shared" si="57"/>
        <v>1</v>
      </c>
      <c r="H77" s="1363">
        <f t="shared" si="58"/>
        <v>1</v>
      </c>
      <c r="I77" s="1363"/>
      <c r="J77" s="1363"/>
      <c r="K77" s="1363"/>
      <c r="L77" s="1363"/>
      <c r="M77" s="1363"/>
      <c r="N77" s="1363"/>
      <c r="O77" s="1363"/>
      <c r="P77" s="1363"/>
      <c r="Q77" s="1363"/>
      <c r="R77" s="1363"/>
      <c r="S77" s="1363"/>
      <c r="T77" s="1363"/>
    </row>
    <row r="78" spans="1:20" hidden="1">
      <c r="A78" s="1358"/>
      <c r="B78" s="1307" t="s">
        <v>5546</v>
      </c>
      <c r="C78" s="1362">
        <v>4.28</v>
      </c>
      <c r="D78" s="1362">
        <v>2.8570000000000002</v>
      </c>
      <c r="E78" s="1362">
        <f t="shared" si="44"/>
        <v>12.227960000000001</v>
      </c>
      <c r="F78" s="1362">
        <f t="shared" si="45"/>
        <v>131.57284960000001</v>
      </c>
      <c r="G78" s="1363"/>
      <c r="H78" s="1363">
        <f t="shared" si="58"/>
        <v>1</v>
      </c>
      <c r="I78" s="1363"/>
      <c r="J78" s="1363"/>
      <c r="K78" s="1363"/>
      <c r="L78" s="1363"/>
      <c r="M78" s="1363"/>
      <c r="N78" s="1363"/>
      <c r="O78" s="1363"/>
      <c r="P78" s="1363"/>
      <c r="Q78" s="1363"/>
      <c r="R78" s="1363"/>
      <c r="S78" s="1363"/>
      <c r="T78" s="1363"/>
    </row>
    <row r="79" spans="1:20">
      <c r="A79" s="1358"/>
      <c r="B79" s="1307" t="s">
        <v>5570</v>
      </c>
      <c r="C79" s="1362">
        <v>4</v>
      </c>
      <c r="D79" s="1362">
        <v>5.0999999999999996</v>
      </c>
      <c r="E79" s="1362">
        <f t="shared" si="44"/>
        <v>20.399999999999999</v>
      </c>
      <c r="F79" s="1362">
        <f t="shared" si="45"/>
        <v>219.50399999999999</v>
      </c>
      <c r="G79" s="1363">
        <f>ROUNDUP(ROUNDUP(F79,0)/175,0)</f>
        <v>2</v>
      </c>
      <c r="H79" s="1363">
        <f t="shared" si="58"/>
        <v>2</v>
      </c>
      <c r="I79" s="1363"/>
      <c r="J79" s="1363"/>
      <c r="K79" s="1363"/>
      <c r="L79" s="1363"/>
      <c r="M79" s="1363">
        <f t="shared" ref="M79:M99" si="59">ROUNDUP(ROUNDUP(F79,0)/120,0)</f>
        <v>2</v>
      </c>
      <c r="N79" s="1363">
        <f t="shared" ref="N79:N101" si="60">ROUNDUP(ROUNDUP(F79,0)/120,0)</f>
        <v>2</v>
      </c>
      <c r="O79" s="1363"/>
      <c r="P79" s="1363"/>
      <c r="Q79" s="1363">
        <f>ROUNDUP(M79/2,0)</f>
        <v>1</v>
      </c>
      <c r="R79" s="1363"/>
      <c r="S79" s="1363"/>
      <c r="T79" s="1363"/>
    </row>
    <row r="80" spans="1:20" ht="31.5" hidden="1">
      <c r="A80" s="1358"/>
      <c r="B80" s="1307" t="s">
        <v>5571</v>
      </c>
      <c r="C80" s="1362">
        <v>1.65</v>
      </c>
      <c r="D80" s="1362">
        <v>1.5</v>
      </c>
      <c r="E80" s="1362">
        <f t="shared" si="44"/>
        <v>2.4749999999999996</v>
      </c>
      <c r="F80" s="1362">
        <f t="shared" si="45"/>
        <v>26.630999999999997</v>
      </c>
      <c r="G80" s="1363"/>
      <c r="H80" s="1363"/>
      <c r="I80" s="1363">
        <f t="shared" ref="I80:I82" si="61">ROUNDUP(ROUNDUP(F80,0)/180,0)</f>
        <v>1</v>
      </c>
      <c r="J80" s="1363">
        <f t="shared" ref="J80" si="62">ROUNDUP(ROUNDUP(F80,0)/100,0)</f>
        <v>1</v>
      </c>
      <c r="K80" s="1363"/>
      <c r="L80" s="1363"/>
      <c r="M80" s="1363"/>
      <c r="N80" s="1363"/>
      <c r="O80" s="1363"/>
      <c r="P80" s="1363"/>
      <c r="Q80" s="1363"/>
      <c r="R80" s="1363"/>
      <c r="S80" s="1363"/>
      <c r="T80" s="1363"/>
    </row>
    <row r="81" spans="1:20" hidden="1">
      <c r="A81" s="1358"/>
      <c r="B81" s="1307" t="s">
        <v>5883</v>
      </c>
      <c r="C81" s="1362">
        <v>1.1200000000000001</v>
      </c>
      <c r="D81" s="1362">
        <v>1.5</v>
      </c>
      <c r="E81" s="1362">
        <f t="shared" si="44"/>
        <v>1.6800000000000002</v>
      </c>
      <c r="F81" s="1362">
        <f t="shared" si="45"/>
        <v>18.076800000000002</v>
      </c>
      <c r="G81" s="1363"/>
      <c r="H81" s="1363"/>
      <c r="I81" s="1363">
        <f t="shared" si="61"/>
        <v>1</v>
      </c>
      <c r="J81" s="1363">
        <f t="shared" ref="J81:J82" si="63">ROUNDUP(ROUNDUP(G81,0)/100,0)</f>
        <v>0</v>
      </c>
      <c r="K81" s="1363"/>
      <c r="L81" s="1363"/>
      <c r="M81" s="1363"/>
      <c r="N81" s="1363"/>
      <c r="O81" s="1363"/>
      <c r="P81" s="1363"/>
      <c r="Q81" s="1363"/>
      <c r="R81" s="1363"/>
      <c r="S81" s="1363"/>
      <c r="T81" s="1363"/>
    </row>
    <row r="82" spans="1:20" hidden="1">
      <c r="A82" s="1358"/>
      <c r="B82" s="1307" t="s">
        <v>5886</v>
      </c>
      <c r="C82" s="1362">
        <v>1</v>
      </c>
      <c r="D82" s="1362">
        <v>1.5</v>
      </c>
      <c r="E82" s="1362">
        <f t="shared" si="44"/>
        <v>1.5</v>
      </c>
      <c r="F82" s="1362">
        <f t="shared" si="45"/>
        <v>16.14</v>
      </c>
      <c r="G82" s="1363"/>
      <c r="H82" s="1363"/>
      <c r="I82" s="1363">
        <f t="shared" si="61"/>
        <v>1</v>
      </c>
      <c r="J82" s="1363">
        <f t="shared" si="63"/>
        <v>0</v>
      </c>
      <c r="K82" s="1363"/>
      <c r="L82" s="1363"/>
      <c r="M82" s="1363"/>
      <c r="N82" s="1363"/>
      <c r="O82" s="1363"/>
      <c r="P82" s="1363"/>
      <c r="Q82" s="1363"/>
      <c r="R82" s="1363"/>
      <c r="S82" s="1363"/>
      <c r="T82" s="1363"/>
    </row>
    <row r="83" spans="1:20">
      <c r="A83" s="1358"/>
      <c r="B83" s="1307" t="s">
        <v>5572</v>
      </c>
      <c r="C83" s="1362">
        <v>4</v>
      </c>
      <c r="D83" s="1362">
        <v>5.0999999999999996</v>
      </c>
      <c r="E83" s="1362">
        <f t="shared" si="44"/>
        <v>20.399999999999999</v>
      </c>
      <c r="F83" s="1362">
        <f t="shared" si="45"/>
        <v>219.50399999999999</v>
      </c>
      <c r="G83" s="1363">
        <f>ROUNDUP(ROUNDUP(F83,0)/175,0)</f>
        <v>2</v>
      </c>
      <c r="H83" s="1363">
        <f>ROUNDUP(ROUNDUP(F83,0)/150,0)</f>
        <v>2</v>
      </c>
      <c r="I83" s="1363"/>
      <c r="J83" s="1363"/>
      <c r="K83" s="1363">
        <v>1</v>
      </c>
      <c r="L83" s="1363"/>
      <c r="M83" s="1363">
        <f t="shared" si="59"/>
        <v>2</v>
      </c>
      <c r="N83" s="1363">
        <f t="shared" si="60"/>
        <v>2</v>
      </c>
      <c r="O83" s="1363"/>
      <c r="P83" s="1363"/>
      <c r="Q83" s="1363">
        <f>ROUNDUP(M83/2,0)</f>
        <v>1</v>
      </c>
      <c r="R83" s="1363">
        <v>1</v>
      </c>
      <c r="S83" s="1363"/>
      <c r="T83" s="1363"/>
    </row>
    <row r="84" spans="1:20" hidden="1">
      <c r="A84" s="1358"/>
      <c r="B84" s="1307" t="s">
        <v>5573</v>
      </c>
      <c r="C84" s="1362">
        <v>1.65</v>
      </c>
      <c r="D84" s="1362">
        <v>1.5</v>
      </c>
      <c r="E84" s="1362">
        <f t="shared" si="44"/>
        <v>2.4749999999999996</v>
      </c>
      <c r="F84" s="1362">
        <f t="shared" si="45"/>
        <v>26.630999999999997</v>
      </c>
      <c r="G84" s="1363"/>
      <c r="H84" s="1363"/>
      <c r="I84" s="1363">
        <f t="shared" ref="I84:I86" si="64">ROUNDUP(ROUNDUP(F84,0)/180,0)</f>
        <v>1</v>
      </c>
      <c r="J84" s="1363">
        <f t="shared" ref="J84" si="65">ROUNDUP(ROUNDUP(F84,0)/100,0)</f>
        <v>1</v>
      </c>
      <c r="K84" s="1363"/>
      <c r="L84" s="1363"/>
      <c r="M84" s="1363"/>
      <c r="N84" s="1363"/>
      <c r="O84" s="1363"/>
      <c r="P84" s="1363"/>
      <c r="Q84" s="1363"/>
      <c r="R84" s="1363"/>
      <c r="S84" s="1363"/>
      <c r="T84" s="1363"/>
    </row>
    <row r="85" spans="1:20" hidden="1">
      <c r="A85" s="1358"/>
      <c r="B85" s="1307" t="s">
        <v>5883</v>
      </c>
      <c r="C85" s="1362">
        <v>1.1200000000000001</v>
      </c>
      <c r="D85" s="1362">
        <v>1.5</v>
      </c>
      <c r="E85" s="1362">
        <f t="shared" si="44"/>
        <v>1.6800000000000002</v>
      </c>
      <c r="F85" s="1362">
        <f t="shared" si="45"/>
        <v>18.076800000000002</v>
      </c>
      <c r="G85" s="1363"/>
      <c r="H85" s="1363"/>
      <c r="I85" s="1363">
        <f t="shared" si="64"/>
        <v>1</v>
      </c>
      <c r="J85" s="1363">
        <f t="shared" ref="J85:J86" si="66">ROUNDUP(ROUNDUP(G85,0)/100,0)</f>
        <v>0</v>
      </c>
      <c r="K85" s="1363"/>
      <c r="L85" s="1363"/>
      <c r="M85" s="1363"/>
      <c r="N85" s="1363"/>
      <c r="O85" s="1363"/>
      <c r="P85" s="1363"/>
      <c r="Q85" s="1363"/>
      <c r="R85" s="1363"/>
      <c r="S85" s="1363"/>
      <c r="T85" s="1363"/>
    </row>
    <row r="86" spans="1:20" hidden="1">
      <c r="A86" s="1358"/>
      <c r="B86" s="1307" t="s">
        <v>5886</v>
      </c>
      <c r="C86" s="1362">
        <v>1</v>
      </c>
      <c r="D86" s="1362">
        <v>1.5</v>
      </c>
      <c r="E86" s="1362">
        <f t="shared" si="44"/>
        <v>1.5</v>
      </c>
      <c r="F86" s="1362">
        <f t="shared" si="45"/>
        <v>16.14</v>
      </c>
      <c r="G86" s="1363"/>
      <c r="H86" s="1363"/>
      <c r="I86" s="1363">
        <f t="shared" si="64"/>
        <v>1</v>
      </c>
      <c r="J86" s="1363">
        <f t="shared" si="66"/>
        <v>0</v>
      </c>
      <c r="K86" s="1363"/>
      <c r="L86" s="1363"/>
      <c r="M86" s="1363"/>
      <c r="N86" s="1363"/>
      <c r="O86" s="1363"/>
      <c r="P86" s="1363"/>
      <c r="Q86" s="1363"/>
      <c r="R86" s="1363"/>
      <c r="S86" s="1363"/>
      <c r="T86" s="1363"/>
    </row>
    <row r="87" spans="1:20">
      <c r="A87" s="1358"/>
      <c r="B87" s="1307" t="s">
        <v>5549</v>
      </c>
      <c r="C87" s="1362">
        <v>3.1150000000000002</v>
      </c>
      <c r="D87" s="1362">
        <v>5.0999999999999996</v>
      </c>
      <c r="E87" s="1362">
        <f t="shared" si="44"/>
        <v>15.8865</v>
      </c>
      <c r="F87" s="1362">
        <f t="shared" si="45"/>
        <v>170.93874</v>
      </c>
      <c r="G87" s="1363">
        <f t="shared" ref="G87:G88" si="67">ROUNDUP(ROUNDUP(F87,0)/175,0)</f>
        <v>1</v>
      </c>
      <c r="H87" s="1363">
        <f t="shared" ref="H87:H88" si="68">ROUNDUP(ROUNDUP(F87,0)/150,0)</f>
        <v>2</v>
      </c>
      <c r="I87" s="1363"/>
      <c r="J87" s="1363"/>
      <c r="K87" s="1363"/>
      <c r="L87" s="1363"/>
      <c r="M87" s="1363">
        <f t="shared" si="59"/>
        <v>2</v>
      </c>
      <c r="N87" s="1363">
        <f t="shared" si="60"/>
        <v>2</v>
      </c>
      <c r="O87" s="1363"/>
      <c r="P87" s="1363"/>
      <c r="Q87" s="1363">
        <f t="shared" ref="Q87:Q88" si="69">ROUNDUP(M87/2,0)</f>
        <v>1</v>
      </c>
      <c r="R87" s="1363"/>
      <c r="S87" s="1363"/>
      <c r="T87" s="1363"/>
    </row>
    <row r="88" spans="1:20">
      <c r="A88" s="1358"/>
      <c r="B88" s="1307" t="s">
        <v>5574</v>
      </c>
      <c r="C88" s="1362">
        <v>4.1150000000000002</v>
      </c>
      <c r="D88" s="1362">
        <v>2.5</v>
      </c>
      <c r="E88" s="1362">
        <f t="shared" si="44"/>
        <v>10.287500000000001</v>
      </c>
      <c r="F88" s="1362">
        <f t="shared" si="45"/>
        <v>110.69350000000001</v>
      </c>
      <c r="G88" s="1363">
        <f t="shared" si="67"/>
        <v>1</v>
      </c>
      <c r="H88" s="1363">
        <f t="shared" si="68"/>
        <v>1</v>
      </c>
      <c r="I88" s="1363"/>
      <c r="J88" s="1363"/>
      <c r="K88" s="1363"/>
      <c r="L88" s="1363"/>
      <c r="M88" s="1363">
        <f t="shared" si="59"/>
        <v>1</v>
      </c>
      <c r="N88" s="1363">
        <f t="shared" si="60"/>
        <v>1</v>
      </c>
      <c r="O88" s="1363"/>
      <c r="P88" s="1363"/>
      <c r="Q88" s="1363">
        <f t="shared" si="69"/>
        <v>1</v>
      </c>
      <c r="R88" s="1363"/>
      <c r="S88" s="1363"/>
      <c r="T88" s="1363"/>
    </row>
    <row r="89" spans="1:20" hidden="1">
      <c r="A89" s="1358"/>
      <c r="B89" s="1307" t="s">
        <v>5575</v>
      </c>
      <c r="C89" s="1362">
        <v>2.87</v>
      </c>
      <c r="D89" s="1362">
        <v>2.5</v>
      </c>
      <c r="E89" s="1362">
        <f t="shared" si="44"/>
        <v>7.1750000000000007</v>
      </c>
      <c r="F89" s="1362">
        <f t="shared" si="45"/>
        <v>77.203000000000003</v>
      </c>
      <c r="G89" s="1363"/>
      <c r="H89" s="1363"/>
      <c r="I89" s="1363"/>
      <c r="J89" s="1363"/>
      <c r="K89" s="1363"/>
      <c r="L89" s="1363"/>
      <c r="M89" s="1363"/>
      <c r="N89" s="1363"/>
      <c r="O89" s="1363">
        <v>1</v>
      </c>
      <c r="P89" s="1363">
        <v>1</v>
      </c>
      <c r="Q89" s="1363"/>
      <c r="R89" s="1363"/>
      <c r="S89" s="1363"/>
      <c r="T89" s="1363"/>
    </row>
    <row r="90" spans="1:20">
      <c r="A90" s="1358"/>
      <c r="B90" s="1307" t="s">
        <v>5576</v>
      </c>
      <c r="C90" s="1362">
        <v>9.17</v>
      </c>
      <c r="D90" s="1362">
        <v>3.9</v>
      </c>
      <c r="E90" s="1362">
        <f t="shared" si="44"/>
        <v>35.762999999999998</v>
      </c>
      <c r="F90" s="1362">
        <f t="shared" si="45"/>
        <v>384.80987999999996</v>
      </c>
      <c r="G90" s="1363">
        <f t="shared" ref="G90:G91" si="70">ROUNDUP(ROUNDUP(F90,0)/175,0)</f>
        <v>3</v>
      </c>
      <c r="H90" s="1363">
        <f t="shared" ref="H90:H91" si="71">ROUNDUP(ROUNDUP(F90,0)/150,0)</f>
        <v>3</v>
      </c>
      <c r="I90" s="1363"/>
      <c r="J90" s="1363"/>
      <c r="K90" s="1363"/>
      <c r="L90" s="1363"/>
      <c r="M90" s="1363">
        <f t="shared" si="59"/>
        <v>4</v>
      </c>
      <c r="N90" s="1363">
        <f t="shared" si="60"/>
        <v>4</v>
      </c>
      <c r="O90" s="1363"/>
      <c r="P90" s="1363"/>
      <c r="Q90" s="1363">
        <f t="shared" ref="Q90:Q91" si="72">ROUNDUP(M90/2,0)</f>
        <v>2</v>
      </c>
      <c r="R90" s="1363"/>
      <c r="S90" s="1363"/>
      <c r="T90" s="1363"/>
    </row>
    <row r="91" spans="1:20">
      <c r="A91" s="1358"/>
      <c r="B91" s="1307" t="s">
        <v>5570</v>
      </c>
      <c r="C91" s="1362">
        <v>3.86</v>
      </c>
      <c r="D91" s="1362">
        <v>3.9</v>
      </c>
      <c r="E91" s="1362">
        <f t="shared" si="44"/>
        <v>15.053999999999998</v>
      </c>
      <c r="F91" s="1362">
        <f t="shared" si="45"/>
        <v>161.98103999999998</v>
      </c>
      <c r="G91" s="1363">
        <f t="shared" si="70"/>
        <v>1</v>
      </c>
      <c r="H91" s="1363">
        <f t="shared" si="71"/>
        <v>2</v>
      </c>
      <c r="I91" s="1363"/>
      <c r="J91" s="1363"/>
      <c r="K91" s="1363"/>
      <c r="L91" s="1363"/>
      <c r="M91" s="1363">
        <f t="shared" si="59"/>
        <v>2</v>
      </c>
      <c r="N91" s="1363">
        <f t="shared" si="60"/>
        <v>2</v>
      </c>
      <c r="O91" s="1363"/>
      <c r="P91" s="1363"/>
      <c r="Q91" s="1363">
        <f t="shared" si="72"/>
        <v>1</v>
      </c>
      <c r="R91" s="1363"/>
      <c r="S91" s="1363"/>
      <c r="T91" s="1363"/>
    </row>
    <row r="92" spans="1:20" ht="31.5" hidden="1">
      <c r="A92" s="1358"/>
      <c r="B92" s="1307" t="s">
        <v>5571</v>
      </c>
      <c r="C92" s="1362">
        <v>1.5</v>
      </c>
      <c r="D92" s="1362">
        <v>1.2</v>
      </c>
      <c r="E92" s="1362">
        <f t="shared" si="44"/>
        <v>1.7999999999999998</v>
      </c>
      <c r="F92" s="1362">
        <f t="shared" si="45"/>
        <v>19.367999999999999</v>
      </c>
      <c r="G92" s="1363"/>
      <c r="H92" s="1363"/>
      <c r="I92" s="1363">
        <f t="shared" ref="I92:I98" si="73">ROUNDUP(ROUNDUP(F92,0)/180,0)</f>
        <v>1</v>
      </c>
      <c r="J92" s="1363">
        <f t="shared" ref="J92:J94" si="74">ROUNDUP(ROUNDUP(F92,0)/100,0)</f>
        <v>1</v>
      </c>
      <c r="K92" s="1363"/>
      <c r="L92" s="1363"/>
      <c r="M92" s="1363"/>
      <c r="N92" s="1363"/>
      <c r="O92" s="1363"/>
      <c r="P92" s="1363"/>
      <c r="Q92" s="1363"/>
      <c r="R92" s="1363"/>
      <c r="S92" s="1363"/>
      <c r="T92" s="1363"/>
    </row>
    <row r="93" spans="1:20" ht="31.5" hidden="1">
      <c r="A93" s="1358"/>
      <c r="B93" s="1307" t="s">
        <v>5887</v>
      </c>
      <c r="C93" s="1362">
        <v>1.5</v>
      </c>
      <c r="D93" s="1362">
        <v>1.2350000000000001</v>
      </c>
      <c r="E93" s="1362">
        <f t="shared" si="44"/>
        <v>1.8525</v>
      </c>
      <c r="F93" s="1362">
        <f t="shared" si="45"/>
        <v>19.9329</v>
      </c>
      <c r="G93" s="1363"/>
      <c r="H93" s="1363"/>
      <c r="I93" s="1363">
        <f t="shared" si="73"/>
        <v>1</v>
      </c>
      <c r="J93" s="1363">
        <f t="shared" si="74"/>
        <v>1</v>
      </c>
      <c r="K93" s="1363"/>
      <c r="L93" s="1363"/>
      <c r="M93" s="1363"/>
      <c r="N93" s="1363"/>
      <c r="O93" s="1363"/>
      <c r="P93" s="1363"/>
      <c r="Q93" s="1363"/>
      <c r="R93" s="1363"/>
      <c r="S93" s="1363"/>
      <c r="T93" s="1363"/>
    </row>
    <row r="94" spans="1:20" ht="31.5" hidden="1">
      <c r="A94" s="1358"/>
      <c r="B94" s="1307" t="s">
        <v>5888</v>
      </c>
      <c r="C94" s="1362">
        <v>2.27</v>
      </c>
      <c r="D94" s="1362">
        <v>2.2850000000000001</v>
      </c>
      <c r="E94" s="1362">
        <f t="shared" si="44"/>
        <v>5.1869500000000004</v>
      </c>
      <c r="F94" s="1362">
        <f t="shared" si="45"/>
        <v>55.811582000000001</v>
      </c>
      <c r="G94" s="1363"/>
      <c r="H94" s="1363"/>
      <c r="I94" s="1363">
        <f t="shared" si="73"/>
        <v>1</v>
      </c>
      <c r="J94" s="1363">
        <f t="shared" si="74"/>
        <v>1</v>
      </c>
      <c r="K94" s="1363"/>
      <c r="L94" s="1363"/>
      <c r="M94" s="1363"/>
      <c r="N94" s="1363"/>
      <c r="O94" s="1363"/>
      <c r="P94" s="1363"/>
      <c r="Q94" s="1363"/>
      <c r="R94" s="1363"/>
      <c r="S94" s="1363"/>
      <c r="T94" s="1363"/>
    </row>
    <row r="95" spans="1:20" hidden="1">
      <c r="A95" s="1358"/>
      <c r="B95" s="1307" t="s">
        <v>5889</v>
      </c>
      <c r="C95" s="1362">
        <v>1.2</v>
      </c>
      <c r="D95" s="1362">
        <v>0.6</v>
      </c>
      <c r="E95" s="1362">
        <f t="shared" si="44"/>
        <v>0.72</v>
      </c>
      <c r="F95" s="1362">
        <f t="shared" si="45"/>
        <v>7.7471999999999994</v>
      </c>
      <c r="G95" s="1363"/>
      <c r="H95" s="1363"/>
      <c r="I95" s="1363">
        <f t="shared" si="73"/>
        <v>1</v>
      </c>
      <c r="J95" s="1363">
        <f t="shared" ref="J95:J98" si="75">ROUNDUP(ROUNDUP(G95,0)/100,0)</f>
        <v>0</v>
      </c>
      <c r="K95" s="1363"/>
      <c r="L95" s="1363"/>
      <c r="M95" s="1363"/>
      <c r="N95" s="1363"/>
      <c r="O95" s="1363"/>
      <c r="P95" s="1363"/>
      <c r="Q95" s="1363"/>
      <c r="R95" s="1363"/>
      <c r="S95" s="1363"/>
      <c r="T95" s="1363"/>
    </row>
    <row r="96" spans="1:20" hidden="1">
      <c r="A96" s="1358"/>
      <c r="B96" s="1307" t="s">
        <v>560</v>
      </c>
      <c r="C96" s="1362">
        <v>1.65</v>
      </c>
      <c r="D96" s="1362">
        <v>1.2350000000000001</v>
      </c>
      <c r="E96" s="1362">
        <f t="shared" si="44"/>
        <v>2.03775</v>
      </c>
      <c r="F96" s="1362">
        <f t="shared" si="45"/>
        <v>21.926189999999998</v>
      </c>
      <c r="G96" s="1363"/>
      <c r="H96" s="1363"/>
      <c r="I96" s="1363">
        <f t="shared" si="73"/>
        <v>1</v>
      </c>
      <c r="J96" s="1363">
        <f t="shared" ref="J96" si="76">ROUNDUP(ROUNDUP(F96,0)/100,0)</f>
        <v>1</v>
      </c>
      <c r="K96" s="1363"/>
      <c r="L96" s="1363"/>
      <c r="M96" s="1363"/>
      <c r="N96" s="1363"/>
      <c r="O96" s="1363"/>
      <c r="P96" s="1363"/>
      <c r="Q96" s="1363"/>
      <c r="R96" s="1363"/>
      <c r="S96" s="1363"/>
      <c r="T96" s="1363"/>
    </row>
    <row r="97" spans="1:20" s="1353" customFormat="1" hidden="1">
      <c r="A97" s="1358"/>
      <c r="B97" s="1307" t="s">
        <v>5883</v>
      </c>
      <c r="C97" s="1362">
        <v>2.27</v>
      </c>
      <c r="D97" s="1362">
        <v>0.9</v>
      </c>
      <c r="E97" s="1362">
        <f t="shared" si="44"/>
        <v>2.0430000000000001</v>
      </c>
      <c r="F97" s="1362">
        <f t="shared" si="45"/>
        <v>21.982680000000002</v>
      </c>
      <c r="G97" s="1363"/>
      <c r="H97" s="1363"/>
      <c r="I97" s="1363">
        <f t="shared" si="73"/>
        <v>1</v>
      </c>
      <c r="J97" s="1363">
        <f t="shared" si="75"/>
        <v>0</v>
      </c>
      <c r="K97" s="1363"/>
      <c r="L97" s="1363"/>
      <c r="M97" s="1363"/>
      <c r="N97" s="1363"/>
      <c r="O97" s="1363"/>
      <c r="P97" s="1363"/>
      <c r="Q97" s="1363"/>
      <c r="R97" s="1363"/>
      <c r="S97" s="1363"/>
      <c r="T97" s="1363"/>
    </row>
    <row r="98" spans="1:20" hidden="1">
      <c r="A98" s="1358"/>
      <c r="B98" s="1307" t="s">
        <v>5890</v>
      </c>
      <c r="C98" s="1362">
        <v>0.9</v>
      </c>
      <c r="D98" s="1362">
        <v>0.6</v>
      </c>
      <c r="E98" s="1362">
        <f t="shared" si="44"/>
        <v>0.54</v>
      </c>
      <c r="F98" s="1362">
        <f t="shared" si="45"/>
        <v>5.8104000000000005</v>
      </c>
      <c r="G98" s="1363"/>
      <c r="H98" s="1363"/>
      <c r="I98" s="1363">
        <f t="shared" si="73"/>
        <v>1</v>
      </c>
      <c r="J98" s="1363">
        <f t="shared" si="75"/>
        <v>0</v>
      </c>
      <c r="K98" s="1363"/>
      <c r="L98" s="1363"/>
      <c r="M98" s="1363"/>
      <c r="N98" s="1363"/>
      <c r="O98" s="1363"/>
      <c r="P98" s="1363"/>
      <c r="Q98" s="1363"/>
      <c r="R98" s="1363"/>
      <c r="S98" s="1363"/>
      <c r="T98" s="1363"/>
    </row>
    <row r="99" spans="1:20" hidden="1">
      <c r="A99" s="1364"/>
      <c r="B99" s="1307"/>
      <c r="C99" s="1362"/>
      <c r="D99" s="1362"/>
      <c r="E99" s="1362">
        <f t="shared" si="44"/>
        <v>0</v>
      </c>
      <c r="F99" s="1362">
        <f t="shared" si="45"/>
        <v>0</v>
      </c>
      <c r="G99" s="1363">
        <f t="shared" si="55"/>
        <v>0</v>
      </c>
      <c r="H99" s="1363">
        <f t="shared" si="56"/>
        <v>0</v>
      </c>
      <c r="I99" s="1363"/>
      <c r="J99" s="1363"/>
      <c r="K99" s="1363"/>
      <c r="L99" s="1363"/>
      <c r="M99" s="1363">
        <f t="shared" si="59"/>
        <v>0</v>
      </c>
      <c r="N99" s="1363">
        <f t="shared" si="60"/>
        <v>0</v>
      </c>
      <c r="O99" s="1363"/>
      <c r="P99" s="1363"/>
      <c r="Q99" s="1363"/>
      <c r="R99" s="1363"/>
      <c r="S99" s="1363"/>
      <c r="T99" s="1363"/>
    </row>
    <row r="100" spans="1:20">
      <c r="A100" s="1364"/>
      <c r="B100" s="1306" t="s">
        <v>3097</v>
      </c>
      <c r="C100" s="1362" t="s">
        <v>575</v>
      </c>
      <c r="D100" s="1362" t="s">
        <v>575</v>
      </c>
      <c r="E100" s="1362" t="s">
        <v>575</v>
      </c>
      <c r="F100" s="1362" t="s">
        <v>575</v>
      </c>
      <c r="G100" s="1362" t="s">
        <v>575</v>
      </c>
      <c r="H100" s="1362" t="s">
        <v>575</v>
      </c>
      <c r="I100" s="1362" t="s">
        <v>575</v>
      </c>
      <c r="J100" s="1362" t="s">
        <v>575</v>
      </c>
      <c r="K100" s="1362" t="s">
        <v>575</v>
      </c>
      <c r="L100" s="1362" t="s">
        <v>575</v>
      </c>
      <c r="M100" s="1362" t="s">
        <v>575</v>
      </c>
      <c r="N100" s="1362" t="s">
        <v>575</v>
      </c>
      <c r="O100" s="1362"/>
      <c r="P100" s="1362"/>
      <c r="Q100" s="1362" t="s">
        <v>575</v>
      </c>
      <c r="R100" s="1362" t="s">
        <v>575</v>
      </c>
      <c r="S100" s="1362" t="s">
        <v>575</v>
      </c>
      <c r="T100" s="1362" t="s">
        <v>575</v>
      </c>
    </row>
    <row r="101" spans="1:20" hidden="1">
      <c r="A101" s="1364"/>
      <c r="B101" s="1307" t="s">
        <v>5578</v>
      </c>
      <c r="C101" s="1362">
        <v>6.665</v>
      </c>
      <c r="D101" s="1362">
        <v>2.5299999999999998</v>
      </c>
      <c r="E101" s="1362">
        <f t="shared" si="44"/>
        <v>16.862449999999999</v>
      </c>
      <c r="F101" s="1362">
        <f t="shared" si="45"/>
        <v>181.43996199999998</v>
      </c>
      <c r="G101" s="1363"/>
      <c r="H101" s="1363">
        <f>ROUNDUP(ROUNDUP(F101,0)/150,0)</f>
        <v>2</v>
      </c>
      <c r="I101" s="1363">
        <f>ROUNDUP(ROUNDUP(F101,0)/180,0)</f>
        <v>2</v>
      </c>
      <c r="J101" s="1363">
        <f t="shared" ref="J101" si="77">ROUNDUP(ROUNDUP(G101,0)/100,0)</f>
        <v>0</v>
      </c>
      <c r="K101" s="1363"/>
      <c r="L101" s="1363"/>
      <c r="M101" s="1363"/>
      <c r="N101" s="1363">
        <f t="shared" si="60"/>
        <v>2</v>
      </c>
      <c r="O101" s="1363">
        <v>3</v>
      </c>
      <c r="P101" s="1363">
        <v>3</v>
      </c>
      <c r="Q101" s="1363"/>
      <c r="R101" s="1363"/>
      <c r="S101" s="1363"/>
      <c r="T101" s="1363"/>
    </row>
    <row r="102" spans="1:20" hidden="1">
      <c r="A102" s="1358"/>
      <c r="B102" s="1307" t="s">
        <v>5897</v>
      </c>
      <c r="C102" s="1362"/>
      <c r="D102" s="1362"/>
      <c r="E102" s="1362"/>
      <c r="F102" s="1362"/>
      <c r="G102" s="1363"/>
      <c r="H102" s="1363"/>
      <c r="I102" s="1363"/>
      <c r="J102" s="1363"/>
      <c r="K102" s="1363"/>
      <c r="L102" s="1363"/>
      <c r="M102" s="1363">
        <f t="shared" ref="M102" si="78">ROUNDUP(ROUNDUP(F102,0)/75,0)</f>
        <v>0</v>
      </c>
      <c r="N102" s="1363">
        <f t="shared" ref="N102" si="79">ROUNDUP(ROUNDUP(F102,0)/75,0)</f>
        <v>0</v>
      </c>
      <c r="O102" s="1363"/>
      <c r="P102" s="1363"/>
      <c r="Q102" s="1363"/>
      <c r="R102" s="1363"/>
      <c r="S102" s="1363"/>
      <c r="T102" s="1363">
        <v>9</v>
      </c>
    </row>
    <row r="103" spans="1:20" hidden="1">
      <c r="A103" s="1358"/>
      <c r="B103" s="1307"/>
      <c r="C103" s="1362"/>
      <c r="D103" s="1362"/>
      <c r="E103" s="1362"/>
      <c r="F103" s="1362"/>
      <c r="G103" s="1363"/>
      <c r="H103" s="1363"/>
      <c r="I103" s="1363"/>
      <c r="J103" s="1363"/>
      <c r="K103" s="1363"/>
      <c r="L103" s="1363"/>
      <c r="M103" s="1363"/>
      <c r="N103" s="1363"/>
      <c r="O103" s="1363"/>
      <c r="P103" s="1363"/>
      <c r="Q103" s="1363"/>
      <c r="R103" s="1363"/>
      <c r="S103" s="1363"/>
      <c r="T103" s="1363"/>
    </row>
    <row r="104" spans="1:20" hidden="1">
      <c r="A104" s="1358"/>
      <c r="B104" s="1307"/>
      <c r="C104" s="1362"/>
      <c r="D104" s="1362"/>
      <c r="E104" s="1362"/>
      <c r="F104" s="1362"/>
      <c r="G104" s="1363"/>
      <c r="H104" s="1363"/>
      <c r="I104" s="1363"/>
      <c r="J104" s="1363"/>
      <c r="K104" s="1363"/>
      <c r="L104" s="1363"/>
      <c r="M104" s="1363"/>
      <c r="N104" s="1363"/>
      <c r="O104" s="1363"/>
      <c r="P104" s="1363"/>
      <c r="Q104" s="1363"/>
      <c r="R104" s="1363"/>
      <c r="S104" s="1363"/>
      <c r="T104" s="1363"/>
    </row>
    <row r="105" spans="1:20">
      <c r="A105" s="1358"/>
      <c r="B105" s="1307" t="s">
        <v>5894</v>
      </c>
      <c r="C105" s="1362"/>
      <c r="D105" s="1362"/>
      <c r="E105" s="1362"/>
      <c r="F105" s="1362"/>
      <c r="G105" s="1363">
        <f t="shared" ref="G105:N105" si="80">SUM(G5:G102)</f>
        <v>51</v>
      </c>
      <c r="H105" s="1363">
        <f t="shared" si="80"/>
        <v>90</v>
      </c>
      <c r="I105" s="1363">
        <f t="shared" si="80"/>
        <v>40</v>
      </c>
      <c r="J105" s="1363">
        <f t="shared" si="80"/>
        <v>18</v>
      </c>
      <c r="K105" s="1363">
        <f t="shared" si="80"/>
        <v>3</v>
      </c>
      <c r="L105" s="1363">
        <f t="shared" si="80"/>
        <v>4</v>
      </c>
      <c r="M105" s="1363">
        <f t="shared" si="80"/>
        <v>42</v>
      </c>
      <c r="N105" s="1363">
        <f t="shared" si="80"/>
        <v>61</v>
      </c>
      <c r="O105" s="1363">
        <f t="shared" ref="O105:Q105" si="81">SUM(O5:O102)</f>
        <v>10</v>
      </c>
      <c r="P105" s="1363">
        <f t="shared" ref="P105" si="82">SUM(P5:P102)</f>
        <v>6</v>
      </c>
      <c r="Q105" s="1363">
        <f t="shared" si="81"/>
        <v>25</v>
      </c>
      <c r="R105" s="1363">
        <f>SUM(R5:R102)</f>
        <v>3</v>
      </c>
      <c r="S105" s="1363">
        <f>SUM(S5:S102)</f>
        <v>9</v>
      </c>
      <c r="T105" s="1363">
        <f>SUM(T5:T102)</f>
        <v>9</v>
      </c>
    </row>
    <row r="106" spans="1:20" ht="25.5" hidden="1">
      <c r="A106" s="1364"/>
      <c r="B106" s="1323"/>
      <c r="C106" s="1365"/>
      <c r="D106" s="1365"/>
      <c r="E106" s="1365"/>
      <c r="F106" s="1365"/>
      <c r="G106" s="1361"/>
      <c r="H106" s="1361"/>
      <c r="I106" s="1361"/>
      <c r="J106" s="1361"/>
      <c r="K106" s="1361"/>
      <c r="L106" s="1361"/>
      <c r="M106" s="1361"/>
      <c r="N106" s="1361"/>
      <c r="O106" s="1361"/>
      <c r="P106" s="1361"/>
      <c r="Q106" s="1361"/>
      <c r="R106" s="1361"/>
      <c r="S106" s="1361"/>
      <c r="T106" s="1361"/>
    </row>
    <row r="107" spans="1:20" ht="63">
      <c r="G107" s="1356" t="s">
        <v>5865</v>
      </c>
      <c r="H107" s="1356" t="s">
        <v>5866</v>
      </c>
      <c r="I107" s="1356" t="s">
        <v>5893</v>
      </c>
      <c r="J107" s="1356" t="s">
        <v>5867</v>
      </c>
      <c r="K107" s="1356" t="s">
        <v>5868</v>
      </c>
      <c r="L107" s="1356" t="s">
        <v>5869</v>
      </c>
      <c r="M107" s="1356" t="s">
        <v>5895</v>
      </c>
      <c r="N107" s="1356" t="s">
        <v>5896</v>
      </c>
      <c r="O107" s="1356" t="s">
        <v>5900</v>
      </c>
      <c r="P107" s="1356" t="s">
        <v>5901</v>
      </c>
      <c r="Q107" s="1356" t="s">
        <v>5870</v>
      </c>
      <c r="R107" s="1356" t="s">
        <v>5871</v>
      </c>
      <c r="S107" s="1356" t="s">
        <v>5899</v>
      </c>
      <c r="T107" s="1356" t="s">
        <v>5872</v>
      </c>
    </row>
    <row r="108" spans="1:20">
      <c r="G108" s="1354">
        <v>60</v>
      </c>
      <c r="H108" s="1354">
        <v>18</v>
      </c>
      <c r="I108" s="1354">
        <v>9</v>
      </c>
      <c r="J108" s="1354">
        <v>70</v>
      </c>
      <c r="K108" s="1354">
        <v>5</v>
      </c>
      <c r="P108" s="1354">
        <v>12</v>
      </c>
    </row>
    <row r="113" spans="2:5">
      <c r="B113" s="1386" t="s">
        <v>5865</v>
      </c>
      <c r="C113" s="1388">
        <f>G105</f>
        <v>51</v>
      </c>
      <c r="D113" s="1387">
        <v>75</v>
      </c>
      <c r="E113" s="1387">
        <f t="shared" ref="E113:E118" si="83">SUM(D113*C113)</f>
        <v>3825</v>
      </c>
    </row>
    <row r="114" spans="2:5">
      <c r="B114" s="1386" t="s">
        <v>5941</v>
      </c>
      <c r="C114" s="1388">
        <f>H105</f>
        <v>90</v>
      </c>
      <c r="D114" s="1387">
        <v>20</v>
      </c>
      <c r="E114" s="1387">
        <f t="shared" si="83"/>
        <v>1800</v>
      </c>
    </row>
    <row r="115" spans="2:5">
      <c r="B115" s="1386" t="s">
        <v>5942</v>
      </c>
      <c r="C115" s="1388">
        <f>I105</f>
        <v>40</v>
      </c>
      <c r="D115" s="1387">
        <v>10</v>
      </c>
      <c r="E115" s="1387">
        <f t="shared" si="83"/>
        <v>400</v>
      </c>
    </row>
    <row r="116" spans="2:5">
      <c r="B116" s="1386" t="s">
        <v>5943</v>
      </c>
      <c r="C116" s="1388">
        <f>M105+N105</f>
        <v>103</v>
      </c>
      <c r="D116" s="1387">
        <v>40</v>
      </c>
      <c r="E116" s="1387">
        <f t="shared" si="83"/>
        <v>4120</v>
      </c>
    </row>
    <row r="117" spans="2:5">
      <c r="B117" s="1386" t="s">
        <v>5944</v>
      </c>
      <c r="C117" s="1388">
        <f>Q105</f>
        <v>25</v>
      </c>
      <c r="D117" s="1387">
        <v>600</v>
      </c>
      <c r="E117" s="1387">
        <f t="shared" si="83"/>
        <v>15000</v>
      </c>
    </row>
    <row r="118" spans="2:5">
      <c r="B118" s="1386" t="s">
        <v>5871</v>
      </c>
      <c r="C118" s="1388">
        <f>R105</f>
        <v>3</v>
      </c>
      <c r="D118" s="1387">
        <v>1200</v>
      </c>
      <c r="E118" s="1387">
        <f t="shared" si="83"/>
        <v>3600</v>
      </c>
    </row>
    <row r="119" spans="2:5">
      <c r="E119" s="1352">
        <f>SUM(E113:E118)</f>
        <v>28745</v>
      </c>
    </row>
    <row r="120" spans="2:5">
      <c r="E120" s="1352">
        <f>E119/1000</f>
        <v>28.745000000000001</v>
      </c>
    </row>
  </sheetData>
  <autoFilter ref="A4:T106">
    <filterColumn colId="12">
      <customFilters>
        <customFilter operator="notEqual" val=" "/>
      </customFilters>
    </filterColumn>
  </autoFilter>
  <mergeCells count="3">
    <mergeCell ref="A1:T1"/>
    <mergeCell ref="A2:T2"/>
    <mergeCell ref="C3:D3"/>
  </mergeCells>
  <pageMargins left="0.26" right="0.3" top="0.36" bottom="0.27" header="0.22" footer="0.17"/>
  <pageSetup scale="46" orientation="portrait" r:id="rId1"/>
  <headerFooter alignWithMargins="0">
    <oddFooter>&amp;C&amp;P</oddFooter>
  </headerFooter>
  <rowBreaks count="1" manualBreakCount="1">
    <brk id="46" max="10" man="1"/>
  </rowBreaks>
</worksheet>
</file>

<file path=xl/worksheets/sheet18.xml><?xml version="1.0" encoding="utf-8"?>
<worksheet xmlns="http://schemas.openxmlformats.org/spreadsheetml/2006/main" xmlns:r="http://schemas.openxmlformats.org/officeDocument/2006/relationships">
  <dimension ref="D3:AM67"/>
  <sheetViews>
    <sheetView view="pageBreakPreview" zoomScale="25" zoomScaleNormal="40" zoomScaleSheetLayoutView="25" workbookViewId="0">
      <selection activeCell="U8" sqref="U8"/>
    </sheetView>
  </sheetViews>
  <sheetFormatPr defaultColWidth="9.140625" defaultRowHeight="50.1" customHeight="1"/>
  <cols>
    <col min="1" max="3" width="9.140625" style="1373"/>
    <col min="4" max="4" width="9.140625" style="1373" customWidth="1"/>
    <col min="5" max="5" width="51.42578125" style="1375" customWidth="1"/>
    <col min="6" max="38" width="10" style="1373" bestFit="1" customWidth="1"/>
    <col min="39" max="16384" width="9.140625" style="1373"/>
  </cols>
  <sheetData>
    <row r="3" spans="4:38" ht="50.1" customHeight="1">
      <c r="F3" s="1372">
        <v>1</v>
      </c>
      <c r="G3" s="1372">
        <f>F3+1</f>
        <v>2</v>
      </c>
      <c r="H3" s="1372">
        <f t="shared" ref="H3:AL3" si="0">G3+1</f>
        <v>3</v>
      </c>
      <c r="I3" s="1372">
        <f t="shared" si="0"/>
        <v>4</v>
      </c>
      <c r="J3" s="1372">
        <f t="shared" si="0"/>
        <v>5</v>
      </c>
      <c r="K3" s="1372">
        <f t="shared" si="0"/>
        <v>6</v>
      </c>
      <c r="L3" s="1372">
        <f t="shared" si="0"/>
        <v>7</v>
      </c>
      <c r="M3" s="1372">
        <f t="shared" si="0"/>
        <v>8</v>
      </c>
      <c r="N3" s="1372">
        <f t="shared" si="0"/>
        <v>9</v>
      </c>
      <c r="O3" s="1372">
        <f t="shared" si="0"/>
        <v>10</v>
      </c>
      <c r="P3" s="1372">
        <f t="shared" si="0"/>
        <v>11</v>
      </c>
      <c r="Q3" s="1372">
        <f t="shared" si="0"/>
        <v>12</v>
      </c>
      <c r="R3" s="1372">
        <f t="shared" si="0"/>
        <v>13</v>
      </c>
      <c r="S3" s="1372">
        <f t="shared" si="0"/>
        <v>14</v>
      </c>
      <c r="T3" s="1372">
        <f t="shared" si="0"/>
        <v>15</v>
      </c>
      <c r="U3" s="1372">
        <f t="shared" si="0"/>
        <v>16</v>
      </c>
      <c r="V3" s="1372">
        <f t="shared" si="0"/>
        <v>17</v>
      </c>
      <c r="W3" s="1372">
        <f t="shared" si="0"/>
        <v>18</v>
      </c>
      <c r="X3" s="1372">
        <f t="shared" si="0"/>
        <v>19</v>
      </c>
      <c r="Y3" s="1372">
        <f t="shared" si="0"/>
        <v>20</v>
      </c>
      <c r="Z3" s="1372">
        <f t="shared" si="0"/>
        <v>21</v>
      </c>
      <c r="AA3" s="1372">
        <f t="shared" si="0"/>
        <v>22</v>
      </c>
      <c r="AB3" s="1372">
        <f t="shared" si="0"/>
        <v>23</v>
      </c>
      <c r="AC3" s="1372">
        <f t="shared" si="0"/>
        <v>24</v>
      </c>
      <c r="AD3" s="1372">
        <f t="shared" si="0"/>
        <v>25</v>
      </c>
      <c r="AE3" s="1372">
        <f t="shared" si="0"/>
        <v>26</v>
      </c>
      <c r="AF3" s="1372">
        <f t="shared" si="0"/>
        <v>27</v>
      </c>
      <c r="AG3" s="1372">
        <f t="shared" si="0"/>
        <v>28</v>
      </c>
      <c r="AH3" s="1372">
        <f t="shared" si="0"/>
        <v>29</v>
      </c>
      <c r="AI3" s="1372">
        <f t="shared" si="0"/>
        <v>30</v>
      </c>
      <c r="AJ3" s="1372">
        <f t="shared" si="0"/>
        <v>31</v>
      </c>
      <c r="AK3" s="1372">
        <f t="shared" si="0"/>
        <v>32</v>
      </c>
      <c r="AL3" s="1372">
        <f t="shared" si="0"/>
        <v>33</v>
      </c>
    </row>
    <row r="4" spans="4:38" s="1601" customFormat="1" ht="79.5" customHeight="1">
      <c r="D4" s="1598"/>
      <c r="E4" s="1599"/>
      <c r="F4" s="1600" t="s">
        <v>189</v>
      </c>
      <c r="G4" s="1600" t="s">
        <v>5507</v>
      </c>
      <c r="H4" s="1600" t="s">
        <v>5508</v>
      </c>
      <c r="I4" s="1600" t="s">
        <v>5509</v>
      </c>
      <c r="J4" s="1600" t="s">
        <v>25</v>
      </c>
      <c r="K4" s="1600" t="s">
        <v>342</v>
      </c>
      <c r="L4" s="1600" t="s">
        <v>193</v>
      </c>
      <c r="M4" s="1600" t="s">
        <v>195</v>
      </c>
      <c r="N4" s="1600" t="s">
        <v>256</v>
      </c>
      <c r="O4" s="1600" t="s">
        <v>5510</v>
      </c>
      <c r="P4" s="1600" t="s">
        <v>5517</v>
      </c>
      <c r="Q4" s="1600" t="s">
        <v>5519</v>
      </c>
      <c r="R4" s="1600" t="s">
        <v>188</v>
      </c>
      <c r="S4" s="1600" t="s">
        <v>5577</v>
      </c>
      <c r="T4" s="1600" t="s">
        <v>5516</v>
      </c>
      <c r="U4" s="1600" t="s">
        <v>190</v>
      </c>
      <c r="V4" s="1600" t="s">
        <v>5511</v>
      </c>
      <c r="W4" s="1600" t="s">
        <v>5512</v>
      </c>
      <c r="X4" s="1600" t="s">
        <v>5513</v>
      </c>
      <c r="Y4" s="1600" t="s">
        <v>5514</v>
      </c>
      <c r="Z4" s="1600" t="s">
        <v>5515</v>
      </c>
      <c r="AA4" s="1600" t="s">
        <v>252</v>
      </c>
      <c r="AB4" s="1600" t="s">
        <v>248</v>
      </c>
      <c r="AC4" s="1600" t="s">
        <v>249</v>
      </c>
      <c r="AD4" s="1600" t="s">
        <v>250</v>
      </c>
      <c r="AE4" s="1600" t="s">
        <v>251</v>
      </c>
      <c r="AF4" s="1600" t="s">
        <v>5518</v>
      </c>
      <c r="AG4" s="1600" t="s">
        <v>255</v>
      </c>
      <c r="AH4" s="1600" t="s">
        <v>254</v>
      </c>
      <c r="AI4" s="1600" t="s">
        <v>253</v>
      </c>
      <c r="AJ4" s="1600" t="s">
        <v>372</v>
      </c>
      <c r="AK4" s="1600" t="s">
        <v>257</v>
      </c>
      <c r="AL4" s="1600" t="s">
        <v>5520</v>
      </c>
    </row>
    <row r="5" spans="4:38" s="1602" customFormat="1" ht="153" customHeight="1">
      <c r="D5" s="1370"/>
      <c r="E5" s="1371"/>
      <c r="F5" s="1374" t="s">
        <v>5522</v>
      </c>
      <c r="G5" s="1374" t="s">
        <v>5523</v>
      </c>
      <c r="H5" s="1374" t="s">
        <v>5524</v>
      </c>
      <c r="I5" s="1374" t="s">
        <v>5525</v>
      </c>
      <c r="J5" s="1374" t="s">
        <v>5524</v>
      </c>
      <c r="K5" s="1374" t="s">
        <v>5524</v>
      </c>
      <c r="L5" s="1374" t="s">
        <v>5526</v>
      </c>
      <c r="M5" s="1374" t="s">
        <v>5528</v>
      </c>
      <c r="N5" s="1374" t="s">
        <v>5529</v>
      </c>
      <c r="O5" s="1374" t="s">
        <v>5524</v>
      </c>
      <c r="P5" s="1374" t="s">
        <v>5524</v>
      </c>
      <c r="Q5" s="1374" t="s">
        <v>5524</v>
      </c>
      <c r="R5" s="1374" t="s">
        <v>5525</v>
      </c>
      <c r="S5" s="1374" t="s">
        <v>5526</v>
      </c>
      <c r="T5" s="1374" t="s">
        <v>5530</v>
      </c>
      <c r="U5" s="1374" t="s">
        <v>5531</v>
      </c>
      <c r="V5" s="1374" t="s">
        <v>5530</v>
      </c>
      <c r="W5" s="1374" t="s">
        <v>5532</v>
      </c>
      <c r="X5" s="1374" t="s">
        <v>5533</v>
      </c>
      <c r="Y5" s="1374" t="s">
        <v>5534</v>
      </c>
      <c r="Z5" s="1374" t="s">
        <v>5535</v>
      </c>
      <c r="AA5" s="1374" t="s">
        <v>5536</v>
      </c>
      <c r="AB5" s="1374" t="s">
        <v>5536</v>
      </c>
      <c r="AC5" s="1374" t="s">
        <v>5535</v>
      </c>
      <c r="AD5" s="1374" t="s">
        <v>5537</v>
      </c>
      <c r="AE5" s="1374" t="s">
        <v>5538</v>
      </c>
      <c r="AF5" s="1374" t="s">
        <v>5539</v>
      </c>
      <c r="AG5" s="1374" t="s">
        <v>5540</v>
      </c>
      <c r="AH5" s="1374" t="s">
        <v>5541</v>
      </c>
      <c r="AI5" s="1374" t="s">
        <v>5542</v>
      </c>
      <c r="AJ5" s="1374" t="s">
        <v>5543</v>
      </c>
      <c r="AK5" s="1374" t="s">
        <v>5544</v>
      </c>
      <c r="AL5" s="1374" t="s">
        <v>5544</v>
      </c>
    </row>
    <row r="6" spans="4:38" s="1603" customFormat="1" ht="69.95" customHeight="1">
      <c r="D6" s="1309"/>
      <c r="E6" s="1323" t="s">
        <v>258</v>
      </c>
      <c r="F6" s="1315" t="s">
        <v>575</v>
      </c>
      <c r="G6" s="1315" t="s">
        <v>575</v>
      </c>
      <c r="H6" s="1315" t="s">
        <v>575</v>
      </c>
      <c r="I6" s="1315" t="s">
        <v>575</v>
      </c>
      <c r="J6" s="1315" t="s">
        <v>575</v>
      </c>
      <c r="K6" s="1315" t="s">
        <v>575</v>
      </c>
      <c r="L6" s="1315" t="s">
        <v>575</v>
      </c>
      <c r="M6" s="1315" t="s">
        <v>575</v>
      </c>
      <c r="N6" s="1315" t="s">
        <v>575</v>
      </c>
      <c r="O6" s="1315" t="s">
        <v>575</v>
      </c>
      <c r="P6" s="1315" t="s">
        <v>575</v>
      </c>
      <c r="Q6" s="1315" t="s">
        <v>575</v>
      </c>
      <c r="R6" s="1315" t="s">
        <v>575</v>
      </c>
      <c r="S6" s="1315" t="s">
        <v>575</v>
      </c>
      <c r="T6" s="1315" t="s">
        <v>575</v>
      </c>
      <c r="U6" s="1315" t="s">
        <v>575</v>
      </c>
      <c r="V6" s="1315" t="s">
        <v>575</v>
      </c>
      <c r="W6" s="1315" t="s">
        <v>575</v>
      </c>
      <c r="X6" s="1315" t="s">
        <v>575</v>
      </c>
      <c r="Y6" s="1315" t="s">
        <v>575</v>
      </c>
      <c r="Z6" s="1315" t="s">
        <v>575</v>
      </c>
      <c r="AA6" s="1315" t="s">
        <v>575</v>
      </c>
      <c r="AB6" s="1315" t="s">
        <v>575</v>
      </c>
      <c r="AC6" s="1315" t="s">
        <v>575</v>
      </c>
      <c r="AD6" s="1315" t="s">
        <v>575</v>
      </c>
      <c r="AE6" s="1315" t="s">
        <v>575</v>
      </c>
      <c r="AF6" s="1315" t="s">
        <v>575</v>
      </c>
      <c r="AG6" s="1315" t="s">
        <v>575</v>
      </c>
      <c r="AH6" s="1315" t="s">
        <v>575</v>
      </c>
      <c r="AI6" s="1315" t="s">
        <v>575</v>
      </c>
      <c r="AJ6" s="1315" t="s">
        <v>575</v>
      </c>
      <c r="AK6" s="1315" t="s">
        <v>575</v>
      </c>
      <c r="AL6" s="1315" t="s">
        <v>575</v>
      </c>
    </row>
    <row r="7" spans="4:38" s="1603" customFormat="1" ht="69.95" customHeight="1">
      <c r="D7" s="1309"/>
      <c r="E7" s="1323" t="s">
        <v>5521</v>
      </c>
      <c r="F7" s="1315">
        <v>1</v>
      </c>
      <c r="G7" s="1315">
        <v>1</v>
      </c>
      <c r="H7" s="1315"/>
      <c r="I7" s="1315"/>
      <c r="J7" s="1315"/>
      <c r="K7" s="1315"/>
      <c r="L7" s="1315"/>
      <c r="M7" s="1315"/>
      <c r="N7" s="1315">
        <v>1</v>
      </c>
      <c r="O7" s="1315"/>
      <c r="P7" s="1315"/>
      <c r="Q7" s="1315"/>
      <c r="R7" s="1315"/>
      <c r="S7" s="1315"/>
      <c r="T7" s="1315"/>
      <c r="U7" s="1315"/>
      <c r="V7" s="1315">
        <v>2</v>
      </c>
      <c r="W7" s="1315">
        <v>1</v>
      </c>
      <c r="X7" s="1315"/>
      <c r="Y7" s="1315"/>
      <c r="Z7" s="1315">
        <v>1</v>
      </c>
      <c r="AA7" s="1315"/>
      <c r="AB7" s="1315"/>
      <c r="AC7" s="1315"/>
      <c r="AD7" s="1315"/>
      <c r="AE7" s="1315">
        <v>1</v>
      </c>
      <c r="AF7" s="1315"/>
      <c r="AG7" s="1315"/>
      <c r="AH7" s="1315"/>
      <c r="AI7" s="1315"/>
      <c r="AJ7" s="1315"/>
      <c r="AK7" s="1315"/>
      <c r="AL7" s="1315"/>
    </row>
    <row r="8" spans="4:38" s="1603" customFormat="1" ht="69.95" customHeight="1">
      <c r="D8" s="1309"/>
      <c r="E8" s="1323" t="s">
        <v>5545</v>
      </c>
      <c r="F8" s="1315"/>
      <c r="G8" s="1315"/>
      <c r="H8" s="1315"/>
      <c r="I8" s="1315"/>
      <c r="J8" s="1315"/>
      <c r="K8" s="1315"/>
      <c r="L8" s="1315"/>
      <c r="M8" s="1315"/>
      <c r="N8" s="1315"/>
      <c r="O8" s="1315"/>
      <c r="P8" s="1315"/>
      <c r="Q8" s="1315">
        <v>1</v>
      </c>
      <c r="R8" s="1315">
        <v>1</v>
      </c>
      <c r="S8" s="1315"/>
      <c r="T8" s="1315"/>
      <c r="U8" s="1315"/>
      <c r="V8" s="1315"/>
      <c r="W8" s="1315"/>
      <c r="X8" s="1315"/>
      <c r="Y8" s="1315"/>
      <c r="Z8" s="1315"/>
      <c r="AA8" s="1315"/>
      <c r="AB8" s="1315"/>
      <c r="AC8" s="1315"/>
      <c r="AD8" s="1315"/>
      <c r="AE8" s="1315"/>
      <c r="AF8" s="1315"/>
      <c r="AG8" s="1315"/>
      <c r="AH8" s="1315"/>
      <c r="AI8" s="1315"/>
      <c r="AJ8" s="1315"/>
      <c r="AK8" s="1315">
        <v>3</v>
      </c>
      <c r="AL8" s="1315"/>
    </row>
    <row r="9" spans="4:38" s="1603" customFormat="1" ht="69.95" customHeight="1">
      <c r="D9" s="1309"/>
      <c r="E9" s="1323" t="s">
        <v>5546</v>
      </c>
      <c r="F9" s="1315"/>
      <c r="G9" s="1315"/>
      <c r="H9" s="1315"/>
      <c r="I9" s="1315"/>
      <c r="J9" s="1315"/>
      <c r="K9" s="1315"/>
      <c r="L9" s="1315"/>
      <c r="M9" s="1315"/>
      <c r="N9" s="1315"/>
      <c r="O9" s="1315"/>
      <c r="P9" s="1315"/>
      <c r="Q9" s="1315"/>
      <c r="R9" s="1315"/>
      <c r="S9" s="1315"/>
      <c r="T9" s="1315">
        <v>1</v>
      </c>
      <c r="U9" s="1315"/>
      <c r="V9" s="1315"/>
      <c r="W9" s="1315"/>
      <c r="X9" s="1315"/>
      <c r="Y9" s="1315"/>
      <c r="Z9" s="1315"/>
      <c r="AA9" s="1315"/>
      <c r="AB9" s="1315"/>
      <c r="AC9" s="1315"/>
      <c r="AD9" s="1315"/>
      <c r="AE9" s="1315"/>
      <c r="AF9" s="1315"/>
      <c r="AG9" s="1315"/>
      <c r="AH9" s="1315"/>
      <c r="AI9" s="1315"/>
      <c r="AJ9" s="1315"/>
      <c r="AK9" s="1315"/>
      <c r="AL9" s="1315"/>
    </row>
    <row r="10" spans="4:38" s="1603" customFormat="1" ht="69.95" customHeight="1">
      <c r="D10" s="1309"/>
      <c r="E10" s="1323"/>
      <c r="F10" s="1315"/>
      <c r="G10" s="1315"/>
      <c r="H10" s="1315"/>
      <c r="I10" s="1315"/>
      <c r="J10" s="1315"/>
      <c r="K10" s="1315"/>
      <c r="L10" s="1315"/>
      <c r="M10" s="1315"/>
      <c r="N10" s="1315"/>
      <c r="O10" s="1315"/>
      <c r="P10" s="1315"/>
      <c r="Q10" s="1315"/>
      <c r="R10" s="1315"/>
      <c r="S10" s="1315"/>
      <c r="T10" s="1315"/>
      <c r="U10" s="1315"/>
      <c r="V10" s="1315"/>
      <c r="W10" s="1315"/>
      <c r="X10" s="1315"/>
      <c r="Y10" s="1315"/>
      <c r="Z10" s="1315"/>
      <c r="AA10" s="1315"/>
      <c r="AB10" s="1315"/>
      <c r="AC10" s="1315"/>
      <c r="AD10" s="1315"/>
      <c r="AE10" s="1315"/>
      <c r="AF10" s="1315"/>
      <c r="AG10" s="1315"/>
      <c r="AH10" s="1315"/>
      <c r="AI10" s="1315"/>
      <c r="AJ10" s="1315"/>
      <c r="AK10" s="1315"/>
      <c r="AL10" s="1315"/>
    </row>
    <row r="11" spans="4:38" s="1603" customFormat="1" ht="69.95" customHeight="1">
      <c r="D11" s="1309"/>
      <c r="E11" s="1323"/>
      <c r="F11" s="1315"/>
      <c r="G11" s="1315"/>
      <c r="H11" s="1315"/>
      <c r="I11" s="1315"/>
      <c r="J11" s="1315"/>
      <c r="K11" s="1315"/>
      <c r="L11" s="1315"/>
      <c r="M11" s="1315"/>
      <c r="N11" s="1315"/>
      <c r="O11" s="1315"/>
      <c r="P11" s="1315"/>
      <c r="Q11" s="1315"/>
      <c r="R11" s="1315"/>
      <c r="S11" s="1315"/>
      <c r="T11" s="1315"/>
      <c r="U11" s="1315"/>
      <c r="V11" s="1315"/>
      <c r="W11" s="1315"/>
      <c r="X11" s="1315"/>
      <c r="Y11" s="1315"/>
      <c r="Z11" s="1315"/>
      <c r="AA11" s="1315"/>
      <c r="AB11" s="1315"/>
      <c r="AC11" s="1315"/>
      <c r="AD11" s="1315"/>
      <c r="AE11" s="1315"/>
      <c r="AF11" s="1315"/>
      <c r="AG11" s="1315"/>
      <c r="AH11" s="1315"/>
      <c r="AI11" s="1315"/>
      <c r="AJ11" s="1315"/>
      <c r="AK11" s="1315"/>
      <c r="AL11" s="1315"/>
    </row>
    <row r="12" spans="4:38" s="1603" customFormat="1" ht="69.95" customHeight="1">
      <c r="D12" s="1309"/>
      <c r="E12" s="1323" t="s">
        <v>259</v>
      </c>
      <c r="F12" s="1315" t="s">
        <v>575</v>
      </c>
      <c r="G12" s="1315" t="s">
        <v>575</v>
      </c>
      <c r="H12" s="1315" t="s">
        <v>575</v>
      </c>
      <c r="I12" s="1315" t="s">
        <v>575</v>
      </c>
      <c r="J12" s="1315" t="s">
        <v>575</v>
      </c>
      <c r="K12" s="1315" t="s">
        <v>575</v>
      </c>
      <c r="L12" s="1315" t="s">
        <v>575</v>
      </c>
      <c r="M12" s="1315" t="s">
        <v>575</v>
      </c>
      <c r="N12" s="1315" t="s">
        <v>575</v>
      </c>
      <c r="O12" s="1315" t="s">
        <v>575</v>
      </c>
      <c r="P12" s="1315" t="s">
        <v>575</v>
      </c>
      <c r="Q12" s="1315" t="s">
        <v>575</v>
      </c>
      <c r="R12" s="1315" t="s">
        <v>575</v>
      </c>
      <c r="S12" s="1315" t="s">
        <v>575</v>
      </c>
      <c r="T12" s="1315" t="s">
        <v>575</v>
      </c>
      <c r="U12" s="1315" t="s">
        <v>575</v>
      </c>
      <c r="V12" s="1315" t="s">
        <v>575</v>
      </c>
      <c r="W12" s="1315" t="s">
        <v>575</v>
      </c>
      <c r="X12" s="1315" t="s">
        <v>575</v>
      </c>
      <c r="Y12" s="1315" t="s">
        <v>575</v>
      </c>
      <c r="Z12" s="1315" t="s">
        <v>575</v>
      </c>
      <c r="AA12" s="1315" t="s">
        <v>575</v>
      </c>
      <c r="AB12" s="1315" t="s">
        <v>575</v>
      </c>
      <c r="AC12" s="1315" t="s">
        <v>575</v>
      </c>
      <c r="AD12" s="1315" t="s">
        <v>575</v>
      </c>
      <c r="AE12" s="1315" t="s">
        <v>575</v>
      </c>
      <c r="AF12" s="1315" t="s">
        <v>575</v>
      </c>
      <c r="AG12" s="1315" t="s">
        <v>575</v>
      </c>
      <c r="AH12" s="1315" t="s">
        <v>575</v>
      </c>
      <c r="AI12" s="1315" t="s">
        <v>575</v>
      </c>
      <c r="AJ12" s="1315" t="s">
        <v>575</v>
      </c>
      <c r="AK12" s="1315" t="s">
        <v>575</v>
      </c>
      <c r="AL12" s="1315" t="s">
        <v>575</v>
      </c>
    </row>
    <row r="13" spans="4:38" s="1603" customFormat="1" ht="69.95" customHeight="1">
      <c r="D13" s="1309"/>
      <c r="E13" s="1323" t="s">
        <v>5547</v>
      </c>
      <c r="F13" s="1315"/>
      <c r="G13" s="1315">
        <v>1</v>
      </c>
      <c r="H13" s="1315"/>
      <c r="I13" s="1315"/>
      <c r="J13" s="1315"/>
      <c r="K13" s="1315"/>
      <c r="L13" s="1315"/>
      <c r="M13" s="1315"/>
      <c r="N13" s="1315"/>
      <c r="O13" s="1315"/>
      <c r="P13" s="1315"/>
      <c r="Q13" s="1315"/>
      <c r="R13" s="1315"/>
      <c r="S13" s="1315"/>
      <c r="T13" s="1315"/>
      <c r="U13" s="1315">
        <v>2</v>
      </c>
      <c r="V13" s="1315"/>
      <c r="W13" s="1315"/>
      <c r="X13" s="1315"/>
      <c r="Y13" s="1315"/>
      <c r="Z13" s="1315"/>
      <c r="AA13" s="1315"/>
      <c r="AB13" s="1315"/>
      <c r="AC13" s="1315"/>
      <c r="AD13" s="1315"/>
      <c r="AE13" s="1315"/>
      <c r="AF13" s="1315"/>
      <c r="AG13" s="1315"/>
      <c r="AH13" s="1315"/>
      <c r="AI13" s="1315"/>
      <c r="AJ13" s="1315"/>
      <c r="AK13" s="1315"/>
      <c r="AL13" s="1315"/>
    </row>
    <row r="14" spans="4:38" s="1603" customFormat="1" ht="69.95" customHeight="1">
      <c r="D14" s="1309"/>
      <c r="E14" s="1323" t="s">
        <v>5548</v>
      </c>
      <c r="F14" s="1315"/>
      <c r="G14" s="1315"/>
      <c r="H14" s="1315">
        <v>1</v>
      </c>
      <c r="I14" s="1315"/>
      <c r="J14" s="1315"/>
      <c r="K14" s="1315"/>
      <c r="L14" s="1315"/>
      <c r="M14" s="1315"/>
      <c r="N14" s="1315"/>
      <c r="O14" s="1315"/>
      <c r="P14" s="1315"/>
      <c r="Q14" s="1315"/>
      <c r="R14" s="1315"/>
      <c r="S14" s="1315"/>
      <c r="T14" s="1315"/>
      <c r="U14" s="1315"/>
      <c r="V14" s="1315"/>
      <c r="W14" s="1315"/>
      <c r="X14" s="1315">
        <v>1</v>
      </c>
      <c r="Y14" s="1315"/>
      <c r="Z14" s="1315"/>
      <c r="AA14" s="1315">
        <v>1</v>
      </c>
      <c r="AB14" s="1315"/>
      <c r="AC14" s="1315"/>
      <c r="AD14" s="1315"/>
      <c r="AE14" s="1315"/>
      <c r="AF14" s="1315"/>
      <c r="AG14" s="1315"/>
      <c r="AH14" s="1315"/>
      <c r="AI14" s="1315"/>
      <c r="AJ14" s="1315"/>
      <c r="AK14" s="1315"/>
      <c r="AL14" s="1315"/>
    </row>
    <row r="15" spans="4:38" s="1603" customFormat="1" ht="69.95" customHeight="1">
      <c r="D15" s="1309"/>
      <c r="E15" s="1323" t="s">
        <v>5549</v>
      </c>
      <c r="F15" s="1315"/>
      <c r="G15" s="1315"/>
      <c r="H15" s="1315"/>
      <c r="I15" s="1315"/>
      <c r="J15" s="1315"/>
      <c r="K15" s="1315"/>
      <c r="L15" s="1315"/>
      <c r="M15" s="1315"/>
      <c r="N15" s="1315"/>
      <c r="O15" s="1315">
        <v>1</v>
      </c>
      <c r="P15" s="1315"/>
      <c r="Q15" s="1315"/>
      <c r="R15" s="1315"/>
      <c r="S15" s="1315"/>
      <c r="T15" s="1315"/>
      <c r="U15" s="1315"/>
      <c r="V15" s="1315"/>
      <c r="W15" s="1315"/>
      <c r="X15" s="1315"/>
      <c r="Y15" s="1315"/>
      <c r="Z15" s="1315"/>
      <c r="AA15" s="1315"/>
      <c r="AB15" s="1315">
        <v>1</v>
      </c>
      <c r="AC15" s="1315"/>
      <c r="AD15" s="1315"/>
      <c r="AE15" s="1315"/>
      <c r="AF15" s="1315"/>
      <c r="AG15" s="1315"/>
      <c r="AH15" s="1315"/>
      <c r="AI15" s="1315"/>
      <c r="AJ15" s="1315"/>
      <c r="AK15" s="1315"/>
      <c r="AL15" s="1315"/>
    </row>
    <row r="16" spans="4:38" s="1603" customFormat="1" ht="69.95" customHeight="1">
      <c r="D16" s="1309"/>
      <c r="E16" s="1323" t="s">
        <v>5550</v>
      </c>
      <c r="F16" s="1315"/>
      <c r="G16" s="1315"/>
      <c r="H16" s="1315"/>
      <c r="I16" s="1315"/>
      <c r="J16" s="1315">
        <v>1</v>
      </c>
      <c r="K16" s="1315"/>
      <c r="L16" s="1315"/>
      <c r="M16" s="1315"/>
      <c r="N16" s="1315"/>
      <c r="O16" s="1315"/>
      <c r="P16" s="1315"/>
      <c r="Q16" s="1315"/>
      <c r="R16" s="1315"/>
      <c r="S16" s="1315"/>
      <c r="T16" s="1315"/>
      <c r="U16" s="1315"/>
      <c r="V16" s="1315"/>
      <c r="W16" s="1315"/>
      <c r="X16" s="1315"/>
      <c r="Y16" s="1315"/>
      <c r="Z16" s="1315"/>
      <c r="AA16" s="1315"/>
      <c r="AB16" s="1315"/>
      <c r="AC16" s="1315"/>
      <c r="AD16" s="1315">
        <v>4</v>
      </c>
      <c r="AE16" s="1315"/>
      <c r="AF16" s="1315"/>
      <c r="AG16" s="1315"/>
      <c r="AH16" s="1315"/>
      <c r="AI16" s="1315"/>
      <c r="AJ16" s="1315"/>
      <c r="AK16" s="1315"/>
      <c r="AL16" s="1315"/>
    </row>
    <row r="17" spans="4:38" s="1603" customFormat="1" ht="69.95" customHeight="1">
      <c r="D17" s="1309"/>
      <c r="E17" s="1323" t="s">
        <v>5551</v>
      </c>
      <c r="F17" s="1315"/>
      <c r="G17" s="1315"/>
      <c r="H17" s="1315"/>
      <c r="I17" s="1315"/>
      <c r="J17" s="1315"/>
      <c r="K17" s="1315"/>
      <c r="L17" s="1315"/>
      <c r="M17" s="1315"/>
      <c r="N17" s="1315"/>
      <c r="O17" s="1315"/>
      <c r="P17" s="1315"/>
      <c r="Q17" s="1315"/>
      <c r="R17" s="1315">
        <v>1</v>
      </c>
      <c r="S17" s="1315"/>
      <c r="T17" s="1315"/>
      <c r="U17" s="1315"/>
      <c r="V17" s="1315"/>
      <c r="W17" s="1315"/>
      <c r="X17" s="1315"/>
      <c r="Y17" s="1315"/>
      <c r="Z17" s="1315"/>
      <c r="AA17" s="1315"/>
      <c r="AB17" s="1315"/>
      <c r="AC17" s="1315"/>
      <c r="AD17" s="1315"/>
      <c r="AE17" s="1315"/>
      <c r="AF17" s="1315"/>
      <c r="AG17" s="1315"/>
      <c r="AH17" s="1315"/>
      <c r="AI17" s="1315"/>
      <c r="AJ17" s="1315"/>
      <c r="AK17" s="1315">
        <v>1</v>
      </c>
      <c r="AL17" s="1315"/>
    </row>
    <row r="18" spans="4:38" s="1603" customFormat="1" ht="69.95" customHeight="1">
      <c r="D18" s="1309"/>
      <c r="E18" s="1323" t="s">
        <v>5552</v>
      </c>
      <c r="F18" s="1315"/>
      <c r="G18" s="1315"/>
      <c r="H18" s="1315"/>
      <c r="I18" s="1315"/>
      <c r="J18" s="1315">
        <v>1</v>
      </c>
      <c r="K18" s="1315"/>
      <c r="L18" s="1315"/>
      <c r="M18" s="1315"/>
      <c r="N18" s="1315"/>
      <c r="O18" s="1315"/>
      <c r="P18" s="1315"/>
      <c r="Q18" s="1315"/>
      <c r="R18" s="1315"/>
      <c r="S18" s="1315"/>
      <c r="T18" s="1315"/>
      <c r="U18" s="1315"/>
      <c r="V18" s="1315"/>
      <c r="W18" s="1315"/>
      <c r="X18" s="1315"/>
      <c r="Y18" s="1315"/>
      <c r="Z18" s="1315"/>
      <c r="AA18" s="1315"/>
      <c r="AB18" s="1315"/>
      <c r="AC18" s="1315"/>
      <c r="AD18" s="1315">
        <v>4</v>
      </c>
      <c r="AE18" s="1315"/>
      <c r="AF18" s="1315"/>
      <c r="AG18" s="1315"/>
      <c r="AH18" s="1315"/>
      <c r="AI18" s="1315"/>
      <c r="AJ18" s="1315"/>
      <c r="AK18" s="1315"/>
      <c r="AL18" s="1315"/>
    </row>
    <row r="19" spans="4:38" s="1603" customFormat="1" ht="69.95" customHeight="1">
      <c r="D19" s="1309"/>
      <c r="E19" s="1323" t="s">
        <v>5553</v>
      </c>
      <c r="F19" s="1315"/>
      <c r="G19" s="1315"/>
      <c r="H19" s="1315"/>
      <c r="I19" s="1315"/>
      <c r="J19" s="1315"/>
      <c r="K19" s="1315"/>
      <c r="L19" s="1315"/>
      <c r="M19" s="1315"/>
      <c r="N19" s="1315"/>
      <c r="O19" s="1315"/>
      <c r="P19" s="1315"/>
      <c r="Q19" s="1315"/>
      <c r="R19" s="1315">
        <v>1</v>
      </c>
      <c r="S19" s="1315"/>
      <c r="T19" s="1315"/>
      <c r="U19" s="1315"/>
      <c r="V19" s="1315"/>
      <c r="W19" s="1315"/>
      <c r="X19" s="1315"/>
      <c r="Y19" s="1315"/>
      <c r="Z19" s="1315"/>
      <c r="AA19" s="1315"/>
      <c r="AB19" s="1315"/>
      <c r="AC19" s="1315"/>
      <c r="AD19" s="1315"/>
      <c r="AE19" s="1315"/>
      <c r="AF19" s="1315"/>
      <c r="AG19" s="1315"/>
      <c r="AH19" s="1315"/>
      <c r="AI19" s="1315"/>
      <c r="AJ19" s="1315"/>
      <c r="AK19" s="1315">
        <v>1</v>
      </c>
      <c r="AL19" s="1315"/>
    </row>
    <row r="20" spans="4:38" s="1603" customFormat="1" ht="69.95" customHeight="1">
      <c r="D20" s="1315"/>
      <c r="E20" s="1338" t="s">
        <v>5554</v>
      </c>
      <c r="F20" s="1315"/>
      <c r="G20" s="1315"/>
      <c r="H20" s="1315"/>
      <c r="I20" s="1315">
        <v>2</v>
      </c>
      <c r="J20" s="1315"/>
      <c r="K20" s="1315"/>
      <c r="L20" s="1315"/>
      <c r="M20" s="1315"/>
      <c r="N20" s="1315"/>
      <c r="O20" s="1315"/>
      <c r="P20" s="1315"/>
      <c r="Q20" s="1315"/>
      <c r="R20" s="1315"/>
      <c r="S20" s="1315"/>
      <c r="T20" s="1315"/>
      <c r="U20" s="1315"/>
      <c r="V20" s="1315"/>
      <c r="W20" s="1315"/>
      <c r="X20" s="1315"/>
      <c r="Y20" s="1315">
        <v>2</v>
      </c>
      <c r="Z20" s="1315"/>
      <c r="AA20" s="1315"/>
      <c r="AB20" s="1315"/>
      <c r="AC20" s="1315"/>
      <c r="AD20" s="1315"/>
      <c r="AE20" s="1315"/>
      <c r="AF20" s="1315"/>
      <c r="AG20" s="1315"/>
      <c r="AH20" s="1315"/>
      <c r="AI20" s="1315"/>
      <c r="AJ20" s="1315"/>
      <c r="AK20" s="1315"/>
      <c r="AL20" s="1315"/>
    </row>
    <row r="21" spans="4:38" s="1603" customFormat="1" ht="69.95" customHeight="1">
      <c r="D21" s="1309"/>
      <c r="E21" s="1323" t="s">
        <v>5555</v>
      </c>
      <c r="F21" s="1315"/>
      <c r="G21" s="1315"/>
      <c r="H21" s="1315"/>
      <c r="I21" s="1315"/>
      <c r="J21" s="1315"/>
      <c r="K21" s="1315"/>
      <c r="L21" s="1315"/>
      <c r="M21" s="1315"/>
      <c r="N21" s="1315">
        <v>1</v>
      </c>
      <c r="O21" s="1315"/>
      <c r="P21" s="1315"/>
      <c r="Q21" s="1315"/>
      <c r="R21" s="1315"/>
      <c r="S21" s="1315"/>
      <c r="T21" s="1315"/>
      <c r="U21" s="1315"/>
      <c r="V21" s="1315"/>
      <c r="W21" s="1315"/>
      <c r="X21" s="1315"/>
      <c r="Y21" s="1315"/>
      <c r="Z21" s="1315"/>
      <c r="AA21" s="1315"/>
      <c r="AB21" s="1315"/>
      <c r="AC21" s="1315"/>
      <c r="AD21" s="1315"/>
      <c r="AE21" s="1315"/>
      <c r="AF21" s="1315"/>
      <c r="AG21" s="1315"/>
      <c r="AH21" s="1315"/>
      <c r="AI21" s="1315"/>
      <c r="AJ21" s="1315"/>
      <c r="AK21" s="1315"/>
      <c r="AL21" s="1315"/>
    </row>
    <row r="22" spans="4:38" s="1603" customFormat="1" ht="69.95" customHeight="1">
      <c r="D22" s="1309"/>
      <c r="E22" s="1323" t="s">
        <v>5556</v>
      </c>
      <c r="F22" s="1315"/>
      <c r="G22" s="1315"/>
      <c r="H22" s="1315"/>
      <c r="I22" s="1315"/>
      <c r="J22" s="1315"/>
      <c r="K22" s="1315"/>
      <c r="L22" s="1315">
        <v>2</v>
      </c>
      <c r="M22" s="1315">
        <v>2</v>
      </c>
      <c r="N22" s="1315"/>
      <c r="O22" s="1315"/>
      <c r="P22" s="1315"/>
      <c r="Q22" s="1315"/>
      <c r="R22" s="1315"/>
      <c r="S22" s="1315"/>
      <c r="T22" s="1315"/>
      <c r="U22" s="1315"/>
      <c r="V22" s="1315"/>
      <c r="W22" s="1315"/>
      <c r="X22" s="1315"/>
      <c r="Y22" s="1315"/>
      <c r="Z22" s="1315"/>
      <c r="AA22" s="1315"/>
      <c r="AB22" s="1315"/>
      <c r="AC22" s="1315"/>
      <c r="AD22" s="1315"/>
      <c r="AE22" s="1315"/>
      <c r="AF22" s="1315"/>
      <c r="AG22" s="1315"/>
      <c r="AH22" s="1315"/>
      <c r="AI22" s="1315">
        <v>2</v>
      </c>
      <c r="AJ22" s="1315">
        <v>2</v>
      </c>
      <c r="AK22" s="1315"/>
      <c r="AL22" s="1315"/>
    </row>
    <row r="23" spans="4:38" s="1603" customFormat="1" ht="69.95" customHeight="1">
      <c r="D23" s="1309"/>
      <c r="E23" s="1323" t="s">
        <v>5557</v>
      </c>
      <c r="F23" s="1315"/>
      <c r="G23" s="1315"/>
      <c r="H23" s="1315"/>
      <c r="I23" s="1315"/>
      <c r="J23" s="1315">
        <v>1</v>
      </c>
      <c r="K23" s="1315"/>
      <c r="L23" s="1315"/>
      <c r="M23" s="1315"/>
      <c r="N23" s="1315"/>
      <c r="O23" s="1315"/>
      <c r="P23" s="1315"/>
      <c r="Q23" s="1315"/>
      <c r="R23" s="1315"/>
      <c r="S23" s="1315"/>
      <c r="T23" s="1315"/>
      <c r="U23" s="1315"/>
      <c r="V23" s="1315"/>
      <c r="W23" s="1315"/>
      <c r="X23" s="1315"/>
      <c r="Y23" s="1315"/>
      <c r="Z23" s="1315"/>
      <c r="AA23" s="1315"/>
      <c r="AB23" s="1315"/>
      <c r="AC23" s="1315"/>
      <c r="AD23" s="1315"/>
      <c r="AE23" s="1315">
        <v>4</v>
      </c>
      <c r="AF23" s="1315"/>
      <c r="AG23" s="1315"/>
      <c r="AH23" s="1315"/>
      <c r="AI23" s="1315"/>
      <c r="AJ23" s="1315"/>
      <c r="AK23" s="1315"/>
      <c r="AL23" s="1315"/>
    </row>
    <row r="24" spans="4:38" s="1603" customFormat="1" ht="69.95" customHeight="1">
      <c r="D24" s="1309"/>
      <c r="E24" s="1323" t="s">
        <v>560</v>
      </c>
      <c r="F24" s="1315"/>
      <c r="G24" s="1315"/>
      <c r="H24" s="1315"/>
      <c r="I24" s="1315"/>
      <c r="J24" s="1315"/>
      <c r="K24" s="1315"/>
      <c r="L24" s="1315"/>
      <c r="M24" s="1315"/>
      <c r="N24" s="1315"/>
      <c r="O24" s="1315"/>
      <c r="P24" s="1315"/>
      <c r="Q24" s="1315"/>
      <c r="R24" s="1315">
        <v>1</v>
      </c>
      <c r="S24" s="1315"/>
      <c r="T24" s="1315"/>
      <c r="U24" s="1315"/>
      <c r="V24" s="1315"/>
      <c r="W24" s="1315"/>
      <c r="X24" s="1315"/>
      <c r="Y24" s="1315"/>
      <c r="Z24" s="1315"/>
      <c r="AA24" s="1315"/>
      <c r="AB24" s="1315"/>
      <c r="AC24" s="1315"/>
      <c r="AD24" s="1315"/>
      <c r="AE24" s="1315"/>
      <c r="AF24" s="1315"/>
      <c r="AG24" s="1315"/>
      <c r="AH24" s="1315"/>
      <c r="AI24" s="1315"/>
      <c r="AJ24" s="1315"/>
      <c r="AK24" s="1315">
        <v>1</v>
      </c>
      <c r="AL24" s="1315"/>
    </row>
    <row r="25" spans="4:38" s="1603" customFormat="1" ht="69.95" customHeight="1">
      <c r="D25" s="1309"/>
      <c r="E25" s="1323" t="s">
        <v>5558</v>
      </c>
      <c r="F25" s="1315"/>
      <c r="G25" s="1315"/>
      <c r="H25" s="1315"/>
      <c r="I25" s="1315"/>
      <c r="J25" s="1315">
        <v>1</v>
      </c>
      <c r="K25" s="1315"/>
      <c r="L25" s="1315"/>
      <c r="M25" s="1315"/>
      <c r="N25" s="1315"/>
      <c r="O25" s="1315"/>
      <c r="P25" s="1315"/>
      <c r="Q25" s="1315"/>
      <c r="R25" s="1315"/>
      <c r="S25" s="1315"/>
      <c r="T25" s="1315"/>
      <c r="U25" s="1315"/>
      <c r="V25" s="1315"/>
      <c r="W25" s="1315"/>
      <c r="X25" s="1315"/>
      <c r="Y25" s="1315"/>
      <c r="Z25" s="1315"/>
      <c r="AA25" s="1315"/>
      <c r="AB25" s="1315"/>
      <c r="AC25" s="1315"/>
      <c r="AD25" s="1315">
        <v>2</v>
      </c>
      <c r="AE25" s="1315"/>
      <c r="AF25" s="1315"/>
      <c r="AG25" s="1315"/>
      <c r="AH25" s="1315"/>
      <c r="AI25" s="1315"/>
      <c r="AJ25" s="1315"/>
      <c r="AK25" s="1315"/>
      <c r="AL25" s="1315"/>
    </row>
    <row r="26" spans="4:38" s="1603" customFormat="1" ht="69.95" customHeight="1">
      <c r="D26" s="1315"/>
      <c r="E26" s="1338" t="s">
        <v>5559</v>
      </c>
      <c r="F26" s="1315"/>
      <c r="G26" s="1315"/>
      <c r="H26" s="1315"/>
      <c r="I26" s="1315"/>
      <c r="J26" s="1315"/>
      <c r="K26" s="1315"/>
      <c r="L26" s="1315"/>
      <c r="M26" s="1315"/>
      <c r="N26" s="1315"/>
      <c r="O26" s="1315">
        <v>1</v>
      </c>
      <c r="P26" s="1315"/>
      <c r="Q26" s="1315"/>
      <c r="R26" s="1315"/>
      <c r="S26" s="1315"/>
      <c r="T26" s="1315"/>
      <c r="U26" s="1315"/>
      <c r="V26" s="1315"/>
      <c r="W26" s="1315"/>
      <c r="X26" s="1315"/>
      <c r="Y26" s="1315"/>
      <c r="Z26" s="1315"/>
      <c r="AA26" s="1315"/>
      <c r="AB26" s="1315"/>
      <c r="AC26" s="1315">
        <v>1</v>
      </c>
      <c r="AD26" s="1315"/>
      <c r="AE26" s="1315"/>
      <c r="AF26" s="1315"/>
      <c r="AG26" s="1315"/>
      <c r="AH26" s="1315"/>
      <c r="AI26" s="1315"/>
      <c r="AJ26" s="1315"/>
      <c r="AK26" s="1315"/>
      <c r="AL26" s="1315"/>
    </row>
    <row r="27" spans="4:38" s="1603" customFormat="1" ht="69.95" customHeight="1">
      <c r="D27" s="1315"/>
      <c r="E27" s="1338" t="s">
        <v>5560</v>
      </c>
      <c r="F27" s="1315"/>
      <c r="G27" s="1315"/>
      <c r="H27" s="1315"/>
      <c r="I27" s="1315"/>
      <c r="J27" s="1315">
        <v>1</v>
      </c>
      <c r="K27" s="1315"/>
      <c r="L27" s="1315"/>
      <c r="M27" s="1315"/>
      <c r="N27" s="1315"/>
      <c r="O27" s="1315"/>
      <c r="P27" s="1315"/>
      <c r="Q27" s="1315"/>
      <c r="R27" s="1315"/>
      <c r="S27" s="1315"/>
      <c r="T27" s="1315"/>
      <c r="U27" s="1315"/>
      <c r="V27" s="1315"/>
      <c r="W27" s="1315"/>
      <c r="X27" s="1315"/>
      <c r="Y27" s="1315"/>
      <c r="Z27" s="1315"/>
      <c r="AA27" s="1315"/>
      <c r="AB27" s="1315"/>
      <c r="AC27" s="1315"/>
      <c r="AD27" s="1315"/>
      <c r="AE27" s="1315"/>
      <c r="AF27" s="1315"/>
      <c r="AG27" s="1315"/>
      <c r="AH27" s="1315"/>
      <c r="AI27" s="1315"/>
      <c r="AJ27" s="1315"/>
      <c r="AK27" s="1315"/>
      <c r="AL27" s="1315"/>
    </row>
    <row r="28" spans="4:38" s="1603" customFormat="1" ht="69.95" customHeight="1">
      <c r="D28" s="1315"/>
      <c r="E28" s="1338" t="s">
        <v>5561</v>
      </c>
      <c r="F28" s="1315"/>
      <c r="G28" s="1315"/>
      <c r="H28" s="1315"/>
      <c r="I28" s="1315"/>
      <c r="J28" s="1315"/>
      <c r="K28" s="1315"/>
      <c r="L28" s="1315"/>
      <c r="M28" s="1315"/>
      <c r="N28" s="1315"/>
      <c r="O28" s="1315"/>
      <c r="P28" s="1315"/>
      <c r="Q28" s="1315"/>
      <c r="R28" s="1315"/>
      <c r="S28" s="1315"/>
      <c r="T28" s="1315"/>
      <c r="U28" s="1315"/>
      <c r="V28" s="1315"/>
      <c r="W28" s="1315"/>
      <c r="X28" s="1315"/>
      <c r="Y28" s="1315"/>
      <c r="Z28" s="1315"/>
      <c r="AA28" s="1315"/>
      <c r="AB28" s="1315"/>
      <c r="AC28" s="1315"/>
      <c r="AD28" s="1315"/>
      <c r="AE28" s="1315"/>
      <c r="AF28" s="1315"/>
      <c r="AG28" s="1315"/>
      <c r="AH28" s="1315"/>
      <c r="AI28" s="1315"/>
      <c r="AJ28" s="1315"/>
      <c r="AK28" s="1315"/>
      <c r="AL28" s="1315"/>
    </row>
    <row r="29" spans="4:38" s="1603" customFormat="1" ht="69.95" customHeight="1">
      <c r="D29" s="1315"/>
      <c r="E29" s="1323" t="s">
        <v>560</v>
      </c>
      <c r="F29" s="1315"/>
      <c r="G29" s="1315"/>
      <c r="H29" s="1315"/>
      <c r="I29" s="1315"/>
      <c r="J29" s="1315"/>
      <c r="K29" s="1315"/>
      <c r="L29" s="1315"/>
      <c r="M29" s="1315"/>
      <c r="N29" s="1315"/>
      <c r="O29" s="1315"/>
      <c r="P29" s="1315"/>
      <c r="Q29" s="1315"/>
      <c r="R29" s="1315">
        <v>1</v>
      </c>
      <c r="S29" s="1315"/>
      <c r="T29" s="1315"/>
      <c r="U29" s="1315"/>
      <c r="V29" s="1315"/>
      <c r="W29" s="1315"/>
      <c r="X29" s="1315"/>
      <c r="Y29" s="1315"/>
      <c r="Z29" s="1315"/>
      <c r="AA29" s="1315"/>
      <c r="AB29" s="1315"/>
      <c r="AC29" s="1315"/>
      <c r="AD29" s="1315"/>
      <c r="AE29" s="1315"/>
      <c r="AF29" s="1315"/>
      <c r="AG29" s="1315"/>
      <c r="AH29" s="1315"/>
      <c r="AI29" s="1315"/>
      <c r="AJ29" s="1315"/>
      <c r="AK29" s="1315">
        <v>1</v>
      </c>
      <c r="AL29" s="1315"/>
    </row>
    <row r="30" spans="4:38" s="1603" customFormat="1" ht="69.95" customHeight="1">
      <c r="D30" s="1315"/>
      <c r="E30" s="1323"/>
      <c r="F30" s="1315"/>
      <c r="G30" s="1315"/>
      <c r="H30" s="1315"/>
      <c r="I30" s="1315"/>
      <c r="J30" s="1315"/>
      <c r="K30" s="1315"/>
      <c r="L30" s="1315"/>
      <c r="M30" s="1315"/>
      <c r="N30" s="1315"/>
      <c r="O30" s="1315"/>
      <c r="P30" s="1315"/>
      <c r="Q30" s="1315"/>
      <c r="R30" s="1315"/>
      <c r="S30" s="1315"/>
      <c r="T30" s="1315"/>
      <c r="U30" s="1315"/>
      <c r="V30" s="1315"/>
      <c r="W30" s="1315"/>
      <c r="X30" s="1315"/>
      <c r="Y30" s="1315"/>
      <c r="Z30" s="1315"/>
      <c r="AA30" s="1315"/>
      <c r="AB30" s="1315"/>
      <c r="AC30" s="1315"/>
      <c r="AD30" s="1315"/>
      <c r="AE30" s="1315"/>
      <c r="AF30" s="1315"/>
      <c r="AG30" s="1315"/>
      <c r="AH30" s="1315"/>
      <c r="AI30" s="1315"/>
      <c r="AJ30" s="1315"/>
      <c r="AK30" s="1315"/>
      <c r="AL30" s="1315"/>
    </row>
    <row r="31" spans="4:38" s="1603" customFormat="1" ht="69.95" customHeight="1">
      <c r="D31" s="1309"/>
      <c r="E31" s="1323" t="s">
        <v>260</v>
      </c>
      <c r="F31" s="1315" t="s">
        <v>575</v>
      </c>
      <c r="G31" s="1315" t="s">
        <v>575</v>
      </c>
      <c r="H31" s="1315" t="s">
        <v>575</v>
      </c>
      <c r="I31" s="1315" t="s">
        <v>575</v>
      </c>
      <c r="J31" s="1315" t="s">
        <v>575</v>
      </c>
      <c r="K31" s="1315" t="s">
        <v>575</v>
      </c>
      <c r="L31" s="1315" t="s">
        <v>575</v>
      </c>
      <c r="M31" s="1315" t="s">
        <v>575</v>
      </c>
      <c r="N31" s="1315" t="s">
        <v>575</v>
      </c>
      <c r="O31" s="1315" t="s">
        <v>575</v>
      </c>
      <c r="P31" s="1315" t="s">
        <v>575</v>
      </c>
      <c r="Q31" s="1315" t="s">
        <v>575</v>
      </c>
      <c r="R31" s="1315" t="s">
        <v>575</v>
      </c>
      <c r="S31" s="1315" t="s">
        <v>575</v>
      </c>
      <c r="T31" s="1315" t="s">
        <v>575</v>
      </c>
      <c r="U31" s="1315" t="s">
        <v>575</v>
      </c>
      <c r="V31" s="1315" t="s">
        <v>575</v>
      </c>
      <c r="W31" s="1315" t="s">
        <v>575</v>
      </c>
      <c r="X31" s="1315" t="s">
        <v>575</v>
      </c>
      <c r="Y31" s="1315" t="s">
        <v>575</v>
      </c>
      <c r="Z31" s="1315" t="s">
        <v>575</v>
      </c>
      <c r="AA31" s="1315" t="s">
        <v>575</v>
      </c>
      <c r="AB31" s="1315" t="s">
        <v>575</v>
      </c>
      <c r="AC31" s="1315" t="s">
        <v>575</v>
      </c>
      <c r="AD31" s="1315" t="s">
        <v>575</v>
      </c>
      <c r="AE31" s="1315" t="s">
        <v>575</v>
      </c>
      <c r="AF31" s="1315" t="s">
        <v>575</v>
      </c>
      <c r="AG31" s="1315" t="s">
        <v>575</v>
      </c>
      <c r="AH31" s="1315" t="s">
        <v>575</v>
      </c>
      <c r="AI31" s="1315" t="s">
        <v>575</v>
      </c>
      <c r="AJ31" s="1315" t="s">
        <v>575</v>
      </c>
      <c r="AK31" s="1315" t="s">
        <v>575</v>
      </c>
      <c r="AL31" s="1315" t="s">
        <v>575</v>
      </c>
    </row>
    <row r="32" spans="4:38" s="1603" customFormat="1" ht="69.95" customHeight="1">
      <c r="D32" s="1309"/>
      <c r="E32" s="1323" t="s">
        <v>5547</v>
      </c>
      <c r="F32" s="1315"/>
      <c r="G32" s="1315">
        <v>1</v>
      </c>
      <c r="H32" s="1315"/>
      <c r="I32" s="1315"/>
      <c r="J32" s="1315"/>
      <c r="K32" s="1315"/>
      <c r="L32" s="1315"/>
      <c r="M32" s="1315"/>
      <c r="N32" s="1315"/>
      <c r="O32" s="1315"/>
      <c r="P32" s="1315"/>
      <c r="Q32" s="1315"/>
      <c r="R32" s="1315"/>
      <c r="S32" s="1315"/>
      <c r="T32" s="1315"/>
      <c r="U32" s="1315">
        <v>2</v>
      </c>
      <c r="V32" s="1315"/>
      <c r="W32" s="1315"/>
      <c r="X32" s="1315"/>
      <c r="Y32" s="1315">
        <v>2</v>
      </c>
      <c r="Z32" s="1315"/>
      <c r="AA32" s="1315"/>
      <c r="AB32" s="1315"/>
      <c r="AC32" s="1315"/>
      <c r="AD32" s="1315"/>
      <c r="AE32" s="1315"/>
      <c r="AF32" s="1315">
        <v>2</v>
      </c>
      <c r="AG32" s="1315">
        <v>2</v>
      </c>
      <c r="AH32" s="1315"/>
      <c r="AI32" s="1315"/>
      <c r="AJ32" s="1315"/>
      <c r="AK32" s="1315"/>
      <c r="AL32" s="1315"/>
    </row>
    <row r="33" spans="4:38" s="1603" customFormat="1" ht="69.95" customHeight="1">
      <c r="D33" s="1309"/>
      <c r="E33" s="1323" t="s">
        <v>5562</v>
      </c>
      <c r="F33" s="1315"/>
      <c r="G33" s="1315"/>
      <c r="H33" s="1315"/>
      <c r="I33" s="1315"/>
      <c r="J33" s="1315">
        <v>1</v>
      </c>
      <c r="K33" s="1315"/>
      <c r="L33" s="1315"/>
      <c r="M33" s="1315"/>
      <c r="N33" s="1315"/>
      <c r="O33" s="1315"/>
      <c r="P33" s="1315"/>
      <c r="Q33" s="1315"/>
      <c r="R33" s="1315"/>
      <c r="S33" s="1315"/>
      <c r="T33" s="1315"/>
      <c r="U33" s="1315"/>
      <c r="V33" s="1315"/>
      <c r="W33" s="1315"/>
      <c r="X33" s="1315"/>
      <c r="Y33" s="1315"/>
      <c r="Z33" s="1315"/>
      <c r="AA33" s="1315"/>
      <c r="AB33" s="1315"/>
      <c r="AC33" s="1315"/>
      <c r="AD33" s="1315">
        <v>4</v>
      </c>
      <c r="AE33" s="1315"/>
      <c r="AF33" s="1315"/>
      <c r="AG33" s="1315"/>
      <c r="AH33" s="1315"/>
      <c r="AI33" s="1315"/>
      <c r="AJ33" s="1315"/>
      <c r="AK33" s="1315"/>
      <c r="AL33" s="1315"/>
    </row>
    <row r="34" spans="4:38" s="1603" customFormat="1" ht="69.95" customHeight="1">
      <c r="D34" s="1309"/>
      <c r="E34" s="1323" t="s">
        <v>5563</v>
      </c>
      <c r="F34" s="1315"/>
      <c r="G34" s="1315"/>
      <c r="H34" s="1315"/>
      <c r="I34" s="1315"/>
      <c r="J34" s="1315"/>
      <c r="K34" s="1315"/>
      <c r="L34" s="1315"/>
      <c r="M34" s="1315"/>
      <c r="N34" s="1315"/>
      <c r="O34" s="1315"/>
      <c r="P34" s="1315"/>
      <c r="Q34" s="1315"/>
      <c r="R34" s="1315">
        <v>1</v>
      </c>
      <c r="S34" s="1315"/>
      <c r="T34" s="1315"/>
      <c r="U34" s="1315"/>
      <c r="V34" s="1315"/>
      <c r="W34" s="1315"/>
      <c r="X34" s="1315"/>
      <c r="Y34" s="1315"/>
      <c r="Z34" s="1315"/>
      <c r="AA34" s="1315"/>
      <c r="AB34" s="1315"/>
      <c r="AC34" s="1315"/>
      <c r="AD34" s="1315"/>
      <c r="AE34" s="1315"/>
      <c r="AF34" s="1315"/>
      <c r="AG34" s="1315"/>
      <c r="AH34" s="1315"/>
      <c r="AI34" s="1315"/>
      <c r="AJ34" s="1315"/>
      <c r="AK34" s="1315">
        <v>1</v>
      </c>
      <c r="AL34" s="1315"/>
    </row>
    <row r="35" spans="4:38" s="1603" customFormat="1" ht="69.95" customHeight="1">
      <c r="D35" s="1309"/>
      <c r="E35" s="1323" t="s">
        <v>5564</v>
      </c>
      <c r="F35" s="1604"/>
      <c r="G35" s="1315"/>
      <c r="H35" s="1315"/>
      <c r="I35" s="1315"/>
      <c r="J35" s="1315">
        <v>1</v>
      </c>
      <c r="K35" s="1315"/>
      <c r="L35" s="1315"/>
      <c r="M35" s="1315"/>
      <c r="N35" s="1315"/>
      <c r="O35" s="1315"/>
      <c r="P35" s="1315"/>
      <c r="Q35" s="1315"/>
      <c r="R35" s="1315"/>
      <c r="S35" s="1315"/>
      <c r="T35" s="1315"/>
      <c r="U35" s="1315"/>
      <c r="V35" s="1315"/>
      <c r="W35" s="1315"/>
      <c r="X35" s="1315"/>
      <c r="Y35" s="1315"/>
      <c r="Z35" s="1315"/>
      <c r="AA35" s="1315"/>
      <c r="AB35" s="1315"/>
      <c r="AC35" s="1315"/>
      <c r="AD35" s="1315">
        <v>4</v>
      </c>
      <c r="AE35" s="1315"/>
      <c r="AF35" s="1315"/>
      <c r="AG35" s="1315"/>
      <c r="AH35" s="1315"/>
      <c r="AI35" s="1315"/>
      <c r="AJ35" s="1315"/>
      <c r="AK35" s="1315"/>
      <c r="AL35" s="1315"/>
    </row>
    <row r="36" spans="4:38" s="1603" customFormat="1" ht="69.95" customHeight="1">
      <c r="D36" s="1309"/>
      <c r="E36" s="1323" t="s">
        <v>5565</v>
      </c>
      <c r="F36" s="1604"/>
      <c r="G36" s="1315"/>
      <c r="H36" s="1315"/>
      <c r="I36" s="1315"/>
      <c r="J36" s="1315"/>
      <c r="K36" s="1315"/>
      <c r="L36" s="1315"/>
      <c r="M36" s="1315"/>
      <c r="N36" s="1315"/>
      <c r="O36" s="1315"/>
      <c r="P36" s="1315"/>
      <c r="Q36" s="1315"/>
      <c r="R36" s="1315">
        <v>1</v>
      </c>
      <c r="S36" s="1315"/>
      <c r="T36" s="1315"/>
      <c r="U36" s="1315"/>
      <c r="V36" s="1315"/>
      <c r="W36" s="1315"/>
      <c r="X36" s="1315"/>
      <c r="Y36" s="1315"/>
      <c r="Z36" s="1315"/>
      <c r="AA36" s="1315"/>
      <c r="AB36" s="1315"/>
      <c r="AC36" s="1315"/>
      <c r="AD36" s="1315"/>
      <c r="AE36" s="1315"/>
      <c r="AF36" s="1315"/>
      <c r="AG36" s="1315"/>
      <c r="AH36" s="1315"/>
      <c r="AI36" s="1315"/>
      <c r="AJ36" s="1315"/>
      <c r="AK36" s="1315">
        <v>1</v>
      </c>
      <c r="AL36" s="1315"/>
    </row>
    <row r="37" spans="4:38" s="1603" customFormat="1" ht="69.95" customHeight="1">
      <c r="D37" s="1315"/>
      <c r="E37" s="1338" t="s">
        <v>5554</v>
      </c>
      <c r="F37" s="1315"/>
      <c r="G37" s="1315"/>
      <c r="H37" s="1315"/>
      <c r="I37" s="1315"/>
      <c r="J37" s="1315"/>
      <c r="K37" s="1315"/>
      <c r="L37" s="1315"/>
      <c r="M37" s="1315"/>
      <c r="N37" s="1315"/>
      <c r="O37" s="1315"/>
      <c r="P37" s="1315"/>
      <c r="Q37" s="1315"/>
      <c r="R37" s="1315"/>
      <c r="S37" s="1315"/>
      <c r="T37" s="1315"/>
      <c r="U37" s="1315"/>
      <c r="V37" s="1315"/>
      <c r="W37" s="1315"/>
      <c r="X37" s="1315"/>
      <c r="Y37" s="1315">
        <v>2</v>
      </c>
      <c r="Z37" s="1315"/>
      <c r="AA37" s="1315"/>
      <c r="AB37" s="1315"/>
      <c r="AC37" s="1315"/>
      <c r="AD37" s="1315"/>
      <c r="AE37" s="1315"/>
      <c r="AF37" s="1315">
        <v>2</v>
      </c>
      <c r="AG37" s="1315"/>
      <c r="AH37" s="1315"/>
      <c r="AI37" s="1315"/>
      <c r="AJ37" s="1315"/>
      <c r="AK37" s="1315"/>
      <c r="AL37" s="1315"/>
    </row>
    <row r="38" spans="4:38" s="1603" customFormat="1" ht="69.95" customHeight="1">
      <c r="D38" s="1309"/>
      <c r="E38" s="1323" t="s">
        <v>5549</v>
      </c>
      <c r="F38" s="1604"/>
      <c r="G38" s="1315"/>
      <c r="H38" s="1315"/>
      <c r="I38" s="1315"/>
      <c r="J38" s="1315"/>
      <c r="K38" s="1315"/>
      <c r="L38" s="1315"/>
      <c r="M38" s="1315"/>
      <c r="N38" s="1315"/>
      <c r="O38" s="1315">
        <v>1</v>
      </c>
      <c r="P38" s="1315"/>
      <c r="Q38" s="1315"/>
      <c r="R38" s="1315"/>
      <c r="S38" s="1315"/>
      <c r="T38" s="1315"/>
      <c r="U38" s="1315"/>
      <c r="V38" s="1315"/>
      <c r="W38" s="1315"/>
      <c r="X38" s="1315"/>
      <c r="Y38" s="1315"/>
      <c r="Z38" s="1315"/>
      <c r="AA38" s="1315"/>
      <c r="AB38" s="1315">
        <v>1</v>
      </c>
      <c r="AC38" s="1315"/>
      <c r="AD38" s="1315"/>
      <c r="AE38" s="1315"/>
      <c r="AF38" s="1315"/>
      <c r="AG38" s="1315"/>
      <c r="AH38" s="1315"/>
      <c r="AI38" s="1315"/>
      <c r="AJ38" s="1315"/>
      <c r="AK38" s="1315"/>
      <c r="AL38" s="1315"/>
    </row>
    <row r="39" spans="4:38" s="1603" customFormat="1" ht="69.95" customHeight="1">
      <c r="D39" s="1309"/>
      <c r="E39" s="1323" t="s">
        <v>5546</v>
      </c>
      <c r="F39" s="1605"/>
      <c r="G39" s="1315"/>
      <c r="H39" s="1315"/>
      <c r="I39" s="1315"/>
      <c r="J39" s="1315"/>
      <c r="K39" s="1315"/>
      <c r="L39" s="1315"/>
      <c r="M39" s="1315"/>
      <c r="N39" s="1315"/>
      <c r="O39" s="1315"/>
      <c r="P39" s="1315"/>
      <c r="Q39" s="1315"/>
      <c r="R39" s="1315"/>
      <c r="S39" s="1315"/>
      <c r="T39" s="1315"/>
      <c r="U39" s="1315"/>
      <c r="V39" s="1315"/>
      <c r="W39" s="1315"/>
      <c r="X39" s="1315">
        <v>1</v>
      </c>
      <c r="Y39" s="1315"/>
      <c r="Z39" s="1315"/>
      <c r="AA39" s="1315">
        <v>1</v>
      </c>
      <c r="AB39" s="1315"/>
      <c r="AC39" s="1315"/>
      <c r="AD39" s="1315"/>
      <c r="AE39" s="1315"/>
      <c r="AF39" s="1315"/>
      <c r="AG39" s="1315"/>
      <c r="AH39" s="1315"/>
      <c r="AI39" s="1315"/>
      <c r="AJ39" s="1315"/>
      <c r="AK39" s="1315"/>
      <c r="AL39" s="1315"/>
    </row>
    <row r="40" spans="4:38" s="1603" customFormat="1" ht="69.95" customHeight="1">
      <c r="D40" s="1309"/>
      <c r="E40" s="1323" t="s">
        <v>5555</v>
      </c>
      <c r="F40" s="1604"/>
      <c r="G40" s="1315"/>
      <c r="H40" s="1315"/>
      <c r="I40" s="1315"/>
      <c r="J40" s="1315"/>
      <c r="K40" s="1315"/>
      <c r="L40" s="1315"/>
      <c r="M40" s="1315"/>
      <c r="N40" s="1315">
        <v>1</v>
      </c>
      <c r="O40" s="1315"/>
      <c r="P40" s="1315"/>
      <c r="Q40" s="1315"/>
      <c r="R40" s="1315"/>
      <c r="S40" s="1315"/>
      <c r="T40" s="1315"/>
      <c r="U40" s="1315"/>
      <c r="V40" s="1315"/>
      <c r="W40" s="1315"/>
      <c r="X40" s="1315"/>
      <c r="Y40" s="1315"/>
      <c r="Z40" s="1315"/>
      <c r="AA40" s="1315"/>
      <c r="AB40" s="1315"/>
      <c r="AC40" s="1315"/>
      <c r="AD40" s="1315"/>
      <c r="AE40" s="1315"/>
      <c r="AF40" s="1315"/>
      <c r="AG40" s="1315"/>
      <c r="AH40" s="1315"/>
      <c r="AI40" s="1315"/>
      <c r="AJ40" s="1315"/>
      <c r="AK40" s="1315"/>
      <c r="AL40" s="1315"/>
    </row>
    <row r="41" spans="4:38" s="1603" customFormat="1" ht="69.95" customHeight="1">
      <c r="D41" s="1309"/>
      <c r="E41" s="1323" t="s">
        <v>5556</v>
      </c>
      <c r="F41" s="1315"/>
      <c r="G41" s="1315"/>
      <c r="H41" s="1315"/>
      <c r="I41" s="1315"/>
      <c r="J41" s="1315"/>
      <c r="K41" s="1315"/>
      <c r="L41" s="1315">
        <v>2</v>
      </c>
      <c r="M41" s="1315">
        <v>2</v>
      </c>
      <c r="N41" s="1315"/>
      <c r="O41" s="1315"/>
      <c r="P41" s="1315"/>
      <c r="Q41" s="1315"/>
      <c r="R41" s="1315"/>
      <c r="S41" s="1315"/>
      <c r="T41" s="1315"/>
      <c r="U41" s="1315"/>
      <c r="V41" s="1315"/>
      <c r="W41" s="1315"/>
      <c r="X41" s="1315"/>
      <c r="Y41" s="1315"/>
      <c r="Z41" s="1315"/>
      <c r="AA41" s="1315"/>
      <c r="AB41" s="1315"/>
      <c r="AC41" s="1315"/>
      <c r="AD41" s="1315"/>
      <c r="AE41" s="1315"/>
      <c r="AF41" s="1315"/>
      <c r="AG41" s="1315"/>
      <c r="AH41" s="1315"/>
      <c r="AI41" s="1315">
        <v>2</v>
      </c>
      <c r="AJ41" s="1315">
        <v>2</v>
      </c>
      <c r="AK41" s="1315"/>
      <c r="AL41" s="1315"/>
    </row>
    <row r="42" spans="4:38" s="1603" customFormat="1" ht="69.95" customHeight="1">
      <c r="D42" s="1309"/>
      <c r="E42" s="1323" t="s">
        <v>5566</v>
      </c>
      <c r="F42" s="1604"/>
      <c r="G42" s="1315"/>
      <c r="H42" s="1315"/>
      <c r="I42" s="1315"/>
      <c r="J42" s="1315">
        <v>1</v>
      </c>
      <c r="K42" s="1315"/>
      <c r="L42" s="1315"/>
      <c r="M42" s="1315"/>
      <c r="N42" s="1315"/>
      <c r="O42" s="1315"/>
      <c r="P42" s="1315"/>
      <c r="Q42" s="1315"/>
      <c r="R42" s="1315"/>
      <c r="S42" s="1315"/>
      <c r="T42" s="1315"/>
      <c r="U42" s="1315"/>
      <c r="V42" s="1315"/>
      <c r="W42" s="1315"/>
      <c r="X42" s="1315"/>
      <c r="Y42" s="1315"/>
      <c r="Z42" s="1315"/>
      <c r="AA42" s="1315"/>
      <c r="AB42" s="1315"/>
      <c r="AC42" s="1315"/>
      <c r="AD42" s="1315"/>
      <c r="AE42" s="1315">
        <v>4</v>
      </c>
      <c r="AF42" s="1315"/>
      <c r="AG42" s="1315"/>
      <c r="AH42" s="1315"/>
      <c r="AI42" s="1315"/>
      <c r="AJ42" s="1315"/>
      <c r="AK42" s="1315"/>
      <c r="AL42" s="1315"/>
    </row>
    <row r="43" spans="4:38" s="1603" customFormat="1" ht="69.95" customHeight="1">
      <c r="D43" s="1309"/>
      <c r="E43" s="1323" t="s">
        <v>560</v>
      </c>
      <c r="F43" s="1315"/>
      <c r="G43" s="1315"/>
      <c r="H43" s="1315"/>
      <c r="I43" s="1315"/>
      <c r="J43" s="1315"/>
      <c r="K43" s="1315"/>
      <c r="L43" s="1315"/>
      <c r="M43" s="1315"/>
      <c r="N43" s="1315"/>
      <c r="O43" s="1315"/>
      <c r="P43" s="1315"/>
      <c r="Q43" s="1315"/>
      <c r="R43" s="1315">
        <v>1</v>
      </c>
      <c r="S43" s="1315"/>
      <c r="T43" s="1315"/>
      <c r="U43" s="1315"/>
      <c r="V43" s="1315"/>
      <c r="W43" s="1315"/>
      <c r="X43" s="1315"/>
      <c r="Y43" s="1315"/>
      <c r="Z43" s="1315"/>
      <c r="AA43" s="1315"/>
      <c r="AB43" s="1315"/>
      <c r="AC43" s="1315"/>
      <c r="AD43" s="1315"/>
      <c r="AE43" s="1315"/>
      <c r="AF43" s="1315"/>
      <c r="AG43" s="1315"/>
      <c r="AH43" s="1315"/>
      <c r="AI43" s="1315"/>
      <c r="AJ43" s="1315"/>
      <c r="AK43" s="1315">
        <v>1</v>
      </c>
      <c r="AL43" s="1315"/>
    </row>
    <row r="44" spans="4:38" s="1603" customFormat="1" ht="69.95" customHeight="1">
      <c r="D44" s="1309"/>
      <c r="E44" s="1323" t="s">
        <v>5550</v>
      </c>
      <c r="F44" s="1604"/>
      <c r="G44" s="1315"/>
      <c r="H44" s="1315"/>
      <c r="I44" s="1315"/>
      <c r="J44" s="1315">
        <v>1</v>
      </c>
      <c r="K44" s="1315"/>
      <c r="L44" s="1315"/>
      <c r="M44" s="1315"/>
      <c r="N44" s="1315"/>
      <c r="O44" s="1315"/>
      <c r="P44" s="1315"/>
      <c r="Q44" s="1315"/>
      <c r="R44" s="1315"/>
      <c r="S44" s="1315"/>
      <c r="T44" s="1315"/>
      <c r="U44" s="1315"/>
      <c r="V44" s="1315"/>
      <c r="W44" s="1315"/>
      <c r="X44" s="1315"/>
      <c r="Y44" s="1315"/>
      <c r="Z44" s="1315"/>
      <c r="AA44" s="1315"/>
      <c r="AB44" s="1315"/>
      <c r="AC44" s="1315"/>
      <c r="AD44" s="1315">
        <v>3</v>
      </c>
      <c r="AE44" s="1315"/>
      <c r="AF44" s="1315"/>
      <c r="AG44" s="1315"/>
      <c r="AH44" s="1315"/>
      <c r="AI44" s="1315"/>
      <c r="AJ44" s="1315"/>
      <c r="AK44" s="1315"/>
      <c r="AL44" s="1315"/>
    </row>
    <row r="45" spans="4:38" s="1603" customFormat="1" ht="69.95" customHeight="1">
      <c r="D45" s="1309"/>
      <c r="E45" s="1323" t="s">
        <v>5567</v>
      </c>
      <c r="F45" s="1604"/>
      <c r="G45" s="1315"/>
      <c r="H45" s="1315"/>
      <c r="I45" s="1315"/>
      <c r="J45" s="1315">
        <v>1</v>
      </c>
      <c r="K45" s="1315"/>
      <c r="L45" s="1315"/>
      <c r="M45" s="1315"/>
      <c r="N45" s="1315"/>
      <c r="O45" s="1315"/>
      <c r="P45" s="1315"/>
      <c r="Q45" s="1315"/>
      <c r="R45" s="1315"/>
      <c r="S45" s="1315"/>
      <c r="T45" s="1315"/>
      <c r="U45" s="1315"/>
      <c r="V45" s="1315"/>
      <c r="W45" s="1315"/>
      <c r="X45" s="1315"/>
      <c r="Y45" s="1315"/>
      <c r="Z45" s="1315"/>
      <c r="AA45" s="1315"/>
      <c r="AB45" s="1315"/>
      <c r="AC45" s="1315"/>
      <c r="AD45" s="1315"/>
      <c r="AE45" s="1315"/>
      <c r="AF45" s="1315"/>
      <c r="AG45" s="1315"/>
      <c r="AH45" s="1315">
        <v>1</v>
      </c>
      <c r="AI45" s="1315"/>
      <c r="AJ45" s="1315"/>
      <c r="AK45" s="1315"/>
      <c r="AL45" s="1315"/>
    </row>
    <row r="46" spans="4:38" s="1603" customFormat="1" ht="69.95" customHeight="1">
      <c r="D46" s="1309"/>
      <c r="E46" s="1323" t="s">
        <v>5568</v>
      </c>
      <c r="F46" s="1604"/>
      <c r="G46" s="1315"/>
      <c r="H46" s="1315"/>
      <c r="I46" s="1315"/>
      <c r="J46" s="1315">
        <v>1</v>
      </c>
      <c r="K46" s="1315"/>
      <c r="L46" s="1315"/>
      <c r="M46" s="1315"/>
      <c r="N46" s="1315"/>
      <c r="O46" s="1315"/>
      <c r="P46" s="1315"/>
      <c r="Q46" s="1315"/>
      <c r="R46" s="1315"/>
      <c r="S46" s="1315"/>
      <c r="T46" s="1315"/>
      <c r="U46" s="1315"/>
      <c r="V46" s="1315"/>
      <c r="W46" s="1315"/>
      <c r="X46" s="1315"/>
      <c r="Y46" s="1315"/>
      <c r="Z46" s="1315"/>
      <c r="AA46" s="1315"/>
      <c r="AB46" s="1315"/>
      <c r="AC46" s="1315"/>
      <c r="AD46" s="1315">
        <v>2</v>
      </c>
      <c r="AE46" s="1315"/>
      <c r="AF46" s="1315"/>
      <c r="AG46" s="1315"/>
      <c r="AH46" s="1315"/>
      <c r="AI46" s="1315"/>
      <c r="AJ46" s="1315"/>
      <c r="AK46" s="1315"/>
      <c r="AL46" s="1315"/>
    </row>
    <row r="47" spans="4:38" s="1603" customFormat="1" ht="69.95" customHeight="1">
      <c r="D47" s="1309"/>
      <c r="E47" s="1323" t="s">
        <v>5569</v>
      </c>
      <c r="F47" s="1315"/>
      <c r="G47" s="1315"/>
      <c r="H47" s="1315"/>
      <c r="I47" s="1315"/>
      <c r="J47" s="1315"/>
      <c r="K47" s="1315"/>
      <c r="L47" s="1315"/>
      <c r="M47" s="1315"/>
      <c r="N47" s="1315"/>
      <c r="O47" s="1315"/>
      <c r="P47" s="1315"/>
      <c r="Q47" s="1315"/>
      <c r="R47" s="1315">
        <v>1</v>
      </c>
      <c r="S47" s="1315"/>
      <c r="T47" s="1315"/>
      <c r="U47" s="1315"/>
      <c r="V47" s="1315"/>
      <c r="W47" s="1315"/>
      <c r="X47" s="1315"/>
      <c r="Y47" s="1315"/>
      <c r="Z47" s="1315"/>
      <c r="AA47" s="1315"/>
      <c r="AB47" s="1315"/>
      <c r="AC47" s="1315"/>
      <c r="AD47" s="1315"/>
      <c r="AE47" s="1315"/>
      <c r="AF47" s="1315"/>
      <c r="AG47" s="1315"/>
      <c r="AH47" s="1315"/>
      <c r="AI47" s="1315"/>
      <c r="AJ47" s="1315"/>
      <c r="AK47" s="1315">
        <v>1</v>
      </c>
      <c r="AL47" s="1315"/>
    </row>
    <row r="48" spans="4:38" s="1603" customFormat="1" ht="69.95" customHeight="1">
      <c r="D48" s="1309"/>
      <c r="E48" s="1323"/>
      <c r="F48" s="1315"/>
      <c r="G48" s="1315"/>
      <c r="H48" s="1315"/>
      <c r="I48" s="1315"/>
      <c r="J48" s="1315"/>
      <c r="K48" s="1315"/>
      <c r="L48" s="1315"/>
      <c r="M48" s="1315"/>
      <c r="N48" s="1315"/>
      <c r="O48" s="1315"/>
      <c r="P48" s="1315"/>
      <c r="Q48" s="1315"/>
      <c r="R48" s="1315"/>
      <c r="S48" s="1315"/>
      <c r="T48" s="1315"/>
      <c r="U48" s="1315"/>
      <c r="V48" s="1315"/>
      <c r="W48" s="1315"/>
      <c r="X48" s="1315"/>
      <c r="Y48" s="1315"/>
      <c r="Z48" s="1315"/>
      <c r="AA48" s="1315"/>
      <c r="AB48" s="1315"/>
      <c r="AC48" s="1315"/>
      <c r="AD48" s="1315"/>
      <c r="AE48" s="1315"/>
      <c r="AF48" s="1315"/>
      <c r="AG48" s="1315"/>
      <c r="AH48" s="1315"/>
      <c r="AI48" s="1315"/>
      <c r="AJ48" s="1315"/>
      <c r="AK48" s="1315"/>
      <c r="AL48" s="1315"/>
    </row>
    <row r="49" spans="4:38" s="1603" customFormat="1" ht="69.95" customHeight="1">
      <c r="D49" s="1309"/>
      <c r="E49" s="1323" t="s">
        <v>261</v>
      </c>
      <c r="F49" s="1315" t="s">
        <v>575</v>
      </c>
      <c r="G49" s="1315" t="s">
        <v>575</v>
      </c>
      <c r="H49" s="1315" t="s">
        <v>575</v>
      </c>
      <c r="I49" s="1315" t="s">
        <v>575</v>
      </c>
      <c r="J49" s="1315" t="s">
        <v>575</v>
      </c>
      <c r="K49" s="1315" t="s">
        <v>575</v>
      </c>
      <c r="L49" s="1315" t="s">
        <v>575</v>
      </c>
      <c r="M49" s="1315" t="s">
        <v>575</v>
      </c>
      <c r="N49" s="1315" t="s">
        <v>575</v>
      </c>
      <c r="O49" s="1315" t="s">
        <v>575</v>
      </c>
      <c r="P49" s="1315" t="s">
        <v>575</v>
      </c>
      <c r="Q49" s="1315" t="s">
        <v>575</v>
      </c>
      <c r="R49" s="1315" t="s">
        <v>575</v>
      </c>
      <c r="S49" s="1315" t="s">
        <v>575</v>
      </c>
      <c r="T49" s="1315" t="s">
        <v>575</v>
      </c>
      <c r="U49" s="1315" t="s">
        <v>575</v>
      </c>
      <c r="V49" s="1315" t="s">
        <v>575</v>
      </c>
      <c r="W49" s="1315" t="s">
        <v>575</v>
      </c>
      <c r="X49" s="1315" t="s">
        <v>575</v>
      </c>
      <c r="Y49" s="1315" t="s">
        <v>575</v>
      </c>
      <c r="Z49" s="1315" t="s">
        <v>575</v>
      </c>
      <c r="AA49" s="1315" t="s">
        <v>575</v>
      </c>
      <c r="AB49" s="1315" t="s">
        <v>575</v>
      </c>
      <c r="AC49" s="1315" t="s">
        <v>575</v>
      </c>
      <c r="AD49" s="1315" t="s">
        <v>575</v>
      </c>
      <c r="AE49" s="1315" t="s">
        <v>575</v>
      </c>
      <c r="AF49" s="1315" t="s">
        <v>575</v>
      </c>
      <c r="AG49" s="1315" t="s">
        <v>575</v>
      </c>
      <c r="AH49" s="1315" t="s">
        <v>575</v>
      </c>
      <c r="AI49" s="1315" t="s">
        <v>575</v>
      </c>
      <c r="AJ49" s="1315" t="s">
        <v>575</v>
      </c>
      <c r="AK49" s="1315" t="s">
        <v>575</v>
      </c>
      <c r="AL49" s="1315" t="s">
        <v>575</v>
      </c>
    </row>
    <row r="50" spans="4:38" s="1603" customFormat="1" ht="69.95" customHeight="1">
      <c r="D50" s="1309"/>
      <c r="E50" s="1323" t="s">
        <v>5547</v>
      </c>
      <c r="F50" s="1315"/>
      <c r="G50" s="1315">
        <v>1</v>
      </c>
      <c r="H50" s="1315"/>
      <c r="I50" s="1315"/>
      <c r="J50" s="1315"/>
      <c r="K50" s="1315"/>
      <c r="L50" s="1315"/>
      <c r="M50" s="1315"/>
      <c r="N50" s="1315"/>
      <c r="O50" s="1315"/>
      <c r="P50" s="1315"/>
      <c r="Q50" s="1315"/>
      <c r="R50" s="1315"/>
      <c r="S50" s="1315"/>
      <c r="T50" s="1315"/>
      <c r="U50" s="1315">
        <v>2</v>
      </c>
      <c r="V50" s="1315"/>
      <c r="W50" s="1315"/>
      <c r="X50" s="1315"/>
      <c r="Y50" s="1315">
        <v>2</v>
      </c>
      <c r="Z50" s="1315"/>
      <c r="AA50" s="1315"/>
      <c r="AB50" s="1315"/>
      <c r="AC50" s="1315"/>
      <c r="AD50" s="1315"/>
      <c r="AE50" s="1315"/>
      <c r="AF50" s="1315">
        <v>2</v>
      </c>
      <c r="AG50" s="1315">
        <v>2</v>
      </c>
      <c r="AH50" s="1315"/>
      <c r="AI50" s="1315"/>
      <c r="AJ50" s="1315"/>
      <c r="AK50" s="1315"/>
      <c r="AL50" s="1315"/>
    </row>
    <row r="51" spans="4:38" s="1603" customFormat="1" ht="69.95" customHeight="1">
      <c r="D51" s="1309"/>
      <c r="E51" s="1323" t="s">
        <v>5570</v>
      </c>
      <c r="F51" s="1315"/>
      <c r="G51" s="1315"/>
      <c r="H51" s="1315"/>
      <c r="I51" s="1315"/>
      <c r="J51" s="1315">
        <v>1</v>
      </c>
      <c r="K51" s="1315"/>
      <c r="L51" s="1315"/>
      <c r="M51" s="1315"/>
      <c r="N51" s="1315"/>
      <c r="O51" s="1315"/>
      <c r="P51" s="1315"/>
      <c r="Q51" s="1315"/>
      <c r="R51" s="1315"/>
      <c r="S51" s="1315"/>
      <c r="T51" s="1315"/>
      <c r="U51" s="1315"/>
      <c r="V51" s="1315"/>
      <c r="W51" s="1315"/>
      <c r="X51" s="1315"/>
      <c r="Y51" s="1315"/>
      <c r="Z51" s="1315"/>
      <c r="AA51" s="1315"/>
      <c r="AB51" s="1315"/>
      <c r="AC51" s="1315"/>
      <c r="AD51" s="1315">
        <v>4</v>
      </c>
      <c r="AE51" s="1315"/>
      <c r="AF51" s="1315"/>
      <c r="AG51" s="1315"/>
      <c r="AH51" s="1315"/>
      <c r="AI51" s="1315"/>
      <c r="AJ51" s="1315"/>
      <c r="AK51" s="1315"/>
      <c r="AL51" s="1315"/>
    </row>
    <row r="52" spans="4:38" s="1603" customFormat="1" ht="69.95" customHeight="1">
      <c r="D52" s="1309"/>
      <c r="E52" s="1323" t="s">
        <v>5571</v>
      </c>
      <c r="F52" s="1315"/>
      <c r="G52" s="1315"/>
      <c r="H52" s="1315"/>
      <c r="I52" s="1315"/>
      <c r="J52" s="1315"/>
      <c r="K52" s="1315"/>
      <c r="L52" s="1315"/>
      <c r="M52" s="1315"/>
      <c r="N52" s="1315"/>
      <c r="O52" s="1315"/>
      <c r="P52" s="1315"/>
      <c r="Q52" s="1315"/>
      <c r="R52" s="1315">
        <v>1</v>
      </c>
      <c r="S52" s="1315"/>
      <c r="T52" s="1315"/>
      <c r="U52" s="1315"/>
      <c r="V52" s="1315"/>
      <c r="W52" s="1315"/>
      <c r="X52" s="1315"/>
      <c r="Y52" s="1315"/>
      <c r="Z52" s="1315"/>
      <c r="AA52" s="1315"/>
      <c r="AB52" s="1315"/>
      <c r="AC52" s="1315"/>
      <c r="AD52" s="1315"/>
      <c r="AE52" s="1315"/>
      <c r="AF52" s="1315"/>
      <c r="AG52" s="1315"/>
      <c r="AH52" s="1315"/>
      <c r="AI52" s="1315"/>
      <c r="AJ52" s="1315"/>
      <c r="AK52" s="1315">
        <v>1</v>
      </c>
      <c r="AL52" s="1315"/>
    </row>
    <row r="53" spans="4:38" s="1603" customFormat="1" ht="69.95" customHeight="1">
      <c r="D53" s="1309"/>
      <c r="E53" s="1323" t="s">
        <v>5572</v>
      </c>
      <c r="F53" s="1604"/>
      <c r="G53" s="1315"/>
      <c r="H53" s="1315"/>
      <c r="I53" s="1315"/>
      <c r="J53" s="1315">
        <v>1</v>
      </c>
      <c r="K53" s="1315"/>
      <c r="L53" s="1315"/>
      <c r="M53" s="1315"/>
      <c r="N53" s="1315"/>
      <c r="O53" s="1315"/>
      <c r="P53" s="1315"/>
      <c r="Q53" s="1315"/>
      <c r="R53" s="1315"/>
      <c r="S53" s="1315"/>
      <c r="T53" s="1315"/>
      <c r="U53" s="1315"/>
      <c r="V53" s="1315"/>
      <c r="W53" s="1315"/>
      <c r="X53" s="1315"/>
      <c r="Y53" s="1315"/>
      <c r="Z53" s="1315"/>
      <c r="AA53" s="1315"/>
      <c r="AB53" s="1315"/>
      <c r="AC53" s="1315"/>
      <c r="AD53" s="1315">
        <v>4</v>
      </c>
      <c r="AE53" s="1315"/>
      <c r="AF53" s="1315"/>
      <c r="AG53" s="1315"/>
      <c r="AH53" s="1315"/>
      <c r="AI53" s="1315"/>
      <c r="AJ53" s="1315"/>
      <c r="AK53" s="1315"/>
      <c r="AL53" s="1315"/>
    </row>
    <row r="54" spans="4:38" s="1603" customFormat="1" ht="69.95" customHeight="1">
      <c r="D54" s="1315"/>
      <c r="E54" s="1323" t="s">
        <v>5573</v>
      </c>
      <c r="F54" s="1604"/>
      <c r="G54" s="1315"/>
      <c r="H54" s="1315"/>
      <c r="I54" s="1315"/>
      <c r="J54" s="1315"/>
      <c r="K54" s="1315"/>
      <c r="L54" s="1315"/>
      <c r="M54" s="1315"/>
      <c r="N54" s="1315"/>
      <c r="O54" s="1315"/>
      <c r="P54" s="1315"/>
      <c r="Q54" s="1315"/>
      <c r="R54" s="1315">
        <v>1</v>
      </c>
      <c r="S54" s="1315"/>
      <c r="T54" s="1315"/>
      <c r="U54" s="1315"/>
      <c r="V54" s="1315"/>
      <c r="W54" s="1315"/>
      <c r="X54" s="1315"/>
      <c r="Y54" s="1315"/>
      <c r="Z54" s="1315"/>
      <c r="AA54" s="1315"/>
      <c r="AB54" s="1315"/>
      <c r="AC54" s="1315"/>
      <c r="AD54" s="1315"/>
      <c r="AE54" s="1315"/>
      <c r="AF54" s="1315"/>
      <c r="AG54" s="1315"/>
      <c r="AH54" s="1315"/>
      <c r="AI54" s="1315"/>
      <c r="AJ54" s="1315"/>
      <c r="AK54" s="1315">
        <v>1</v>
      </c>
      <c r="AL54" s="1315"/>
    </row>
    <row r="55" spans="4:38" s="1603" customFormat="1" ht="69.95" customHeight="1">
      <c r="D55" s="1315"/>
      <c r="E55" s="1338" t="s">
        <v>5554</v>
      </c>
      <c r="F55" s="1315"/>
      <c r="G55" s="1315"/>
      <c r="H55" s="1315"/>
      <c r="I55" s="1315"/>
      <c r="J55" s="1315"/>
      <c r="K55" s="1315"/>
      <c r="L55" s="1315"/>
      <c r="M55" s="1315"/>
      <c r="N55" s="1315"/>
      <c r="O55" s="1315"/>
      <c r="P55" s="1315"/>
      <c r="Q55" s="1315"/>
      <c r="R55" s="1315"/>
      <c r="S55" s="1315"/>
      <c r="T55" s="1315"/>
      <c r="U55" s="1315"/>
      <c r="V55" s="1315"/>
      <c r="W55" s="1315"/>
      <c r="X55" s="1315">
        <v>2</v>
      </c>
      <c r="Y55" s="1315"/>
      <c r="Z55" s="1315"/>
      <c r="AA55" s="1315"/>
      <c r="AB55" s="1315"/>
      <c r="AC55" s="1315"/>
      <c r="AD55" s="1315"/>
      <c r="AE55" s="1315"/>
      <c r="AF55" s="1315">
        <v>2</v>
      </c>
      <c r="AG55" s="1315"/>
      <c r="AH55" s="1315"/>
      <c r="AI55" s="1315"/>
      <c r="AJ55" s="1315"/>
      <c r="AK55" s="1315"/>
      <c r="AL55" s="1315"/>
    </row>
    <row r="56" spans="4:38" s="1603" customFormat="1" ht="69.95" customHeight="1">
      <c r="D56" s="1309"/>
      <c r="E56" s="1323" t="s">
        <v>5549</v>
      </c>
      <c r="F56" s="1604"/>
      <c r="G56" s="1315"/>
      <c r="H56" s="1315"/>
      <c r="I56" s="1315"/>
      <c r="J56" s="1315"/>
      <c r="K56" s="1315"/>
      <c r="L56" s="1315"/>
      <c r="M56" s="1315"/>
      <c r="N56" s="1315"/>
      <c r="O56" s="1315">
        <v>1</v>
      </c>
      <c r="P56" s="1315"/>
      <c r="Q56" s="1315"/>
      <c r="R56" s="1315"/>
      <c r="S56" s="1315"/>
      <c r="T56" s="1315"/>
      <c r="U56" s="1315"/>
      <c r="V56" s="1315"/>
      <c r="W56" s="1315"/>
      <c r="X56" s="1315"/>
      <c r="Y56" s="1315"/>
      <c r="Z56" s="1315"/>
      <c r="AA56" s="1315"/>
      <c r="AB56" s="1315">
        <v>1</v>
      </c>
      <c r="AC56" s="1315"/>
      <c r="AD56" s="1315"/>
      <c r="AE56" s="1315"/>
      <c r="AF56" s="1315"/>
      <c r="AG56" s="1315"/>
      <c r="AH56" s="1315"/>
      <c r="AI56" s="1315"/>
      <c r="AJ56" s="1315"/>
      <c r="AK56" s="1315"/>
      <c r="AL56" s="1315"/>
    </row>
    <row r="57" spans="4:38" s="1603" customFormat="1" ht="69.95" customHeight="1">
      <c r="D57" s="1315"/>
      <c r="E57" s="1323" t="s">
        <v>5574</v>
      </c>
      <c r="F57" s="1604"/>
      <c r="G57" s="1315"/>
      <c r="H57" s="1315"/>
      <c r="I57" s="1315"/>
      <c r="J57" s="1315">
        <v>1</v>
      </c>
      <c r="K57" s="1315"/>
      <c r="L57" s="1315"/>
      <c r="M57" s="1315"/>
      <c r="N57" s="1315"/>
      <c r="O57" s="1315"/>
      <c r="P57" s="1315"/>
      <c r="Q57" s="1315"/>
      <c r="R57" s="1315"/>
      <c r="S57" s="1315"/>
      <c r="T57" s="1315"/>
      <c r="U57" s="1315"/>
      <c r="V57" s="1315"/>
      <c r="W57" s="1315"/>
      <c r="X57" s="1315"/>
      <c r="Y57" s="1315"/>
      <c r="Z57" s="1315"/>
      <c r="AA57" s="1315"/>
      <c r="AB57" s="1315"/>
      <c r="AC57" s="1315"/>
      <c r="AD57" s="1315"/>
      <c r="AE57" s="1315"/>
      <c r="AF57" s="1315"/>
      <c r="AG57" s="1315">
        <v>1</v>
      </c>
      <c r="AH57" s="1315"/>
      <c r="AI57" s="1315"/>
      <c r="AJ57" s="1315"/>
      <c r="AK57" s="1315"/>
      <c r="AL57" s="1315"/>
    </row>
    <row r="58" spans="4:38" s="1603" customFormat="1" ht="69.95" customHeight="1">
      <c r="D58" s="1315"/>
      <c r="E58" s="1323" t="s">
        <v>5575</v>
      </c>
      <c r="F58" s="1604"/>
      <c r="G58" s="1315"/>
      <c r="H58" s="1315"/>
      <c r="I58" s="1315">
        <v>1</v>
      </c>
      <c r="J58" s="1315"/>
      <c r="K58" s="1315"/>
      <c r="L58" s="1315"/>
      <c r="M58" s="1315"/>
      <c r="N58" s="1315"/>
      <c r="O58" s="1315"/>
      <c r="P58" s="1315"/>
      <c r="Q58" s="1315"/>
      <c r="R58" s="1315"/>
      <c r="S58" s="1315"/>
      <c r="T58" s="1315"/>
      <c r="U58" s="1315"/>
      <c r="V58" s="1315"/>
      <c r="W58" s="1315"/>
      <c r="X58" s="1315"/>
      <c r="Y58" s="1315"/>
      <c r="Z58" s="1315"/>
      <c r="AA58" s="1315"/>
      <c r="AB58" s="1315"/>
      <c r="AC58" s="1315"/>
      <c r="AD58" s="1315">
        <v>1</v>
      </c>
      <c r="AE58" s="1315"/>
      <c r="AF58" s="1315"/>
      <c r="AG58" s="1315"/>
      <c r="AH58" s="1315"/>
      <c r="AI58" s="1315"/>
      <c r="AJ58" s="1315"/>
      <c r="AK58" s="1315"/>
      <c r="AL58" s="1315"/>
    </row>
    <row r="59" spans="4:38" s="1603" customFormat="1" ht="69.95" customHeight="1">
      <c r="D59" s="1315"/>
      <c r="E59" s="1323" t="s">
        <v>5576</v>
      </c>
      <c r="F59" s="1604"/>
      <c r="G59" s="1315"/>
      <c r="H59" s="1315"/>
      <c r="I59" s="1315"/>
      <c r="J59" s="1315"/>
      <c r="K59" s="1315">
        <v>1</v>
      </c>
      <c r="L59" s="1315"/>
      <c r="M59" s="1315"/>
      <c r="N59" s="1315"/>
      <c r="O59" s="1315"/>
      <c r="P59" s="1315"/>
      <c r="Q59" s="1315"/>
      <c r="R59" s="1315"/>
      <c r="S59" s="1315"/>
      <c r="T59" s="1315"/>
      <c r="U59" s="1315"/>
      <c r="V59" s="1315"/>
      <c r="W59" s="1315"/>
      <c r="X59" s="1315"/>
      <c r="Y59" s="1315"/>
      <c r="Z59" s="1315"/>
      <c r="AA59" s="1315"/>
      <c r="AB59" s="1315"/>
      <c r="AC59" s="1315"/>
      <c r="AD59" s="1315">
        <v>2</v>
      </c>
      <c r="AE59" s="1315">
        <v>5</v>
      </c>
      <c r="AF59" s="1315"/>
      <c r="AG59" s="1315"/>
      <c r="AH59" s="1315"/>
      <c r="AI59" s="1315"/>
      <c r="AJ59" s="1315"/>
      <c r="AK59" s="1315"/>
      <c r="AL59" s="1315"/>
    </row>
    <row r="60" spans="4:38" s="1603" customFormat="1" ht="69.95" customHeight="1">
      <c r="D60" s="1309"/>
      <c r="E60" s="1323" t="s">
        <v>5570</v>
      </c>
      <c r="F60" s="1315"/>
      <c r="G60" s="1315"/>
      <c r="H60" s="1315"/>
      <c r="I60" s="1315"/>
      <c r="J60" s="1315">
        <v>1</v>
      </c>
      <c r="K60" s="1315"/>
      <c r="L60" s="1315"/>
      <c r="M60" s="1315"/>
      <c r="N60" s="1315"/>
      <c r="O60" s="1315"/>
      <c r="P60" s="1315"/>
      <c r="Q60" s="1315"/>
      <c r="R60" s="1315"/>
      <c r="S60" s="1315"/>
      <c r="T60" s="1315"/>
      <c r="U60" s="1315"/>
      <c r="V60" s="1315"/>
      <c r="W60" s="1315"/>
      <c r="X60" s="1315"/>
      <c r="Y60" s="1315"/>
      <c r="Z60" s="1315"/>
      <c r="AA60" s="1315"/>
      <c r="AB60" s="1315"/>
      <c r="AC60" s="1315"/>
      <c r="AD60" s="1315">
        <v>2</v>
      </c>
      <c r="AE60" s="1315"/>
      <c r="AF60" s="1315"/>
      <c r="AG60" s="1315"/>
      <c r="AH60" s="1315"/>
      <c r="AI60" s="1315"/>
      <c r="AJ60" s="1315"/>
      <c r="AK60" s="1315"/>
      <c r="AL60" s="1315"/>
    </row>
    <row r="61" spans="4:38" s="1603" customFormat="1" ht="69.95" customHeight="1">
      <c r="D61" s="1309"/>
      <c r="E61" s="1323" t="s">
        <v>5571</v>
      </c>
      <c r="F61" s="1315"/>
      <c r="G61" s="1315"/>
      <c r="H61" s="1315"/>
      <c r="I61" s="1315"/>
      <c r="J61" s="1315"/>
      <c r="K61" s="1315"/>
      <c r="L61" s="1315"/>
      <c r="M61" s="1315"/>
      <c r="N61" s="1315"/>
      <c r="O61" s="1315"/>
      <c r="P61" s="1315"/>
      <c r="Q61" s="1315"/>
      <c r="R61" s="1315">
        <v>2</v>
      </c>
      <c r="S61" s="1315">
        <v>1</v>
      </c>
      <c r="T61" s="1315"/>
      <c r="U61" s="1315"/>
      <c r="V61" s="1315"/>
      <c r="W61" s="1315"/>
      <c r="X61" s="1315"/>
      <c r="Y61" s="1315"/>
      <c r="Z61" s="1315"/>
      <c r="AA61" s="1315"/>
      <c r="AB61" s="1315"/>
      <c r="AC61" s="1315"/>
      <c r="AD61" s="1315"/>
      <c r="AE61" s="1315"/>
      <c r="AF61" s="1315"/>
      <c r="AG61" s="1315"/>
      <c r="AH61" s="1315"/>
      <c r="AI61" s="1315"/>
      <c r="AJ61" s="1315"/>
      <c r="AK61" s="1315">
        <v>2</v>
      </c>
      <c r="AL61" s="1315">
        <v>2</v>
      </c>
    </row>
    <row r="62" spans="4:38" s="1603" customFormat="1" ht="69.95" customHeight="1">
      <c r="D62" s="1315"/>
      <c r="E62" s="1323" t="s">
        <v>560</v>
      </c>
      <c r="F62" s="1315"/>
      <c r="G62" s="1315"/>
      <c r="H62" s="1315"/>
      <c r="I62" s="1315"/>
      <c r="J62" s="1315">
        <v>1</v>
      </c>
      <c r="K62" s="1315"/>
      <c r="L62" s="1315"/>
      <c r="M62" s="1315"/>
      <c r="N62" s="1315"/>
      <c r="O62" s="1315"/>
      <c r="P62" s="1315"/>
      <c r="Q62" s="1315"/>
      <c r="R62" s="1315">
        <v>1</v>
      </c>
      <c r="S62" s="1315"/>
      <c r="T62" s="1315"/>
      <c r="U62" s="1315"/>
      <c r="V62" s="1315"/>
      <c r="W62" s="1315"/>
      <c r="X62" s="1315"/>
      <c r="Y62" s="1315"/>
      <c r="Z62" s="1315"/>
      <c r="AA62" s="1315"/>
      <c r="AB62" s="1315"/>
      <c r="AC62" s="1315"/>
      <c r="AD62" s="1315"/>
      <c r="AE62" s="1315"/>
      <c r="AF62" s="1315"/>
      <c r="AG62" s="1315"/>
      <c r="AH62" s="1315"/>
      <c r="AI62" s="1315"/>
      <c r="AJ62" s="1315"/>
      <c r="AK62" s="1315">
        <v>1</v>
      </c>
      <c r="AL62" s="1315"/>
    </row>
    <row r="63" spans="4:38" s="1603" customFormat="1" ht="69.95" customHeight="1">
      <c r="D63" s="1309"/>
      <c r="E63" s="1323" t="s">
        <v>5546</v>
      </c>
      <c r="F63" s="1605"/>
      <c r="G63" s="1315"/>
      <c r="H63" s="1315"/>
      <c r="I63" s="1315"/>
      <c r="J63" s="1315"/>
      <c r="K63" s="1315"/>
      <c r="L63" s="1315"/>
      <c r="M63" s="1315"/>
      <c r="N63" s="1315"/>
      <c r="O63" s="1315"/>
      <c r="P63" s="1315"/>
      <c r="Q63" s="1315"/>
      <c r="R63" s="1315"/>
      <c r="S63" s="1315"/>
      <c r="T63" s="1315"/>
      <c r="U63" s="1315"/>
      <c r="V63" s="1315"/>
      <c r="W63" s="1315"/>
      <c r="X63" s="1315">
        <v>1</v>
      </c>
      <c r="Y63" s="1315"/>
      <c r="Z63" s="1315"/>
      <c r="AA63" s="1315">
        <v>1</v>
      </c>
      <c r="AB63" s="1315"/>
      <c r="AC63" s="1315"/>
      <c r="AD63" s="1315"/>
      <c r="AE63" s="1315"/>
      <c r="AF63" s="1315"/>
      <c r="AG63" s="1315"/>
      <c r="AH63" s="1315"/>
      <c r="AI63" s="1315"/>
      <c r="AJ63" s="1315"/>
      <c r="AK63" s="1315"/>
      <c r="AL63" s="1315"/>
    </row>
    <row r="64" spans="4:38" s="1603" customFormat="1" ht="69.95" customHeight="1">
      <c r="D64" s="1309"/>
      <c r="E64" s="1323" t="s">
        <v>5555</v>
      </c>
      <c r="F64" s="1604"/>
      <c r="G64" s="1315"/>
      <c r="H64" s="1315"/>
      <c r="I64" s="1315"/>
      <c r="J64" s="1315"/>
      <c r="K64" s="1315"/>
      <c r="L64" s="1315"/>
      <c r="M64" s="1315"/>
      <c r="N64" s="1315">
        <v>1</v>
      </c>
      <c r="O64" s="1315"/>
      <c r="P64" s="1315"/>
      <c r="Q64" s="1315"/>
      <c r="R64" s="1315"/>
      <c r="S64" s="1315"/>
      <c r="T64" s="1315"/>
      <c r="U64" s="1315"/>
      <c r="V64" s="1315"/>
      <c r="W64" s="1315"/>
      <c r="X64" s="1315"/>
      <c r="Y64" s="1315"/>
      <c r="Z64" s="1315"/>
      <c r="AA64" s="1315"/>
      <c r="AB64" s="1315"/>
      <c r="AC64" s="1315"/>
      <c r="AD64" s="1315"/>
      <c r="AE64" s="1315"/>
      <c r="AF64" s="1315"/>
      <c r="AG64" s="1315"/>
      <c r="AH64" s="1315"/>
      <c r="AI64" s="1315"/>
      <c r="AJ64" s="1315"/>
      <c r="AK64" s="1315"/>
      <c r="AL64" s="1315"/>
    </row>
    <row r="65" spans="4:39" s="1603" customFormat="1" ht="69.95" customHeight="1">
      <c r="D65" s="1309"/>
      <c r="E65" s="1323" t="s">
        <v>262</v>
      </c>
      <c r="F65" s="1315" t="s">
        <v>575</v>
      </c>
      <c r="G65" s="1315" t="s">
        <v>575</v>
      </c>
      <c r="H65" s="1315" t="s">
        <v>575</v>
      </c>
      <c r="I65" s="1315" t="s">
        <v>575</v>
      </c>
      <c r="J65" s="1315" t="s">
        <v>575</v>
      </c>
      <c r="K65" s="1315" t="s">
        <v>575</v>
      </c>
      <c r="L65" s="1315" t="s">
        <v>575</v>
      </c>
      <c r="M65" s="1315" t="s">
        <v>575</v>
      </c>
      <c r="N65" s="1315" t="s">
        <v>575</v>
      </c>
      <c r="O65" s="1315" t="s">
        <v>575</v>
      </c>
      <c r="P65" s="1315" t="s">
        <v>575</v>
      </c>
      <c r="Q65" s="1315" t="s">
        <v>575</v>
      </c>
      <c r="R65" s="1315" t="s">
        <v>575</v>
      </c>
      <c r="S65" s="1315" t="s">
        <v>575</v>
      </c>
      <c r="T65" s="1315" t="s">
        <v>575</v>
      </c>
      <c r="U65" s="1315" t="s">
        <v>575</v>
      </c>
      <c r="V65" s="1315" t="s">
        <v>575</v>
      </c>
      <c r="W65" s="1315" t="s">
        <v>575</v>
      </c>
      <c r="X65" s="1315" t="s">
        <v>575</v>
      </c>
      <c r="Y65" s="1315" t="s">
        <v>575</v>
      </c>
      <c r="Z65" s="1315" t="s">
        <v>575</v>
      </c>
      <c r="AA65" s="1315" t="s">
        <v>575</v>
      </c>
      <c r="AB65" s="1315" t="s">
        <v>575</v>
      </c>
      <c r="AC65" s="1315" t="s">
        <v>575</v>
      </c>
      <c r="AD65" s="1315" t="s">
        <v>575</v>
      </c>
      <c r="AE65" s="1315" t="s">
        <v>575</v>
      </c>
      <c r="AF65" s="1315" t="s">
        <v>575</v>
      </c>
      <c r="AG65" s="1315" t="s">
        <v>575</v>
      </c>
      <c r="AH65" s="1315" t="s">
        <v>575</v>
      </c>
      <c r="AI65" s="1315" t="s">
        <v>575</v>
      </c>
      <c r="AJ65" s="1315" t="s">
        <v>575</v>
      </c>
      <c r="AK65" s="1315" t="s">
        <v>575</v>
      </c>
      <c r="AL65" s="1315" t="s">
        <v>575</v>
      </c>
    </row>
    <row r="66" spans="4:39" s="1603" customFormat="1" ht="69.95" customHeight="1">
      <c r="D66" s="1315"/>
      <c r="E66" s="1338" t="s">
        <v>5578</v>
      </c>
      <c r="F66" s="1315"/>
      <c r="G66" s="1315"/>
      <c r="H66" s="1315"/>
      <c r="I66" s="1315">
        <v>1</v>
      </c>
      <c r="J66" s="1315"/>
      <c r="K66" s="1315"/>
      <c r="L66" s="1315"/>
      <c r="M66" s="1315"/>
      <c r="N66" s="1315"/>
      <c r="O66" s="1315"/>
      <c r="P66" s="1315">
        <v>1</v>
      </c>
      <c r="Q66" s="1315"/>
      <c r="R66" s="1315"/>
      <c r="S66" s="1315"/>
      <c r="T66" s="1315"/>
      <c r="U66" s="1315"/>
      <c r="V66" s="1315"/>
      <c r="W66" s="1315"/>
      <c r="X66" s="1315"/>
      <c r="Y66" s="1315"/>
      <c r="Z66" s="1315"/>
      <c r="AA66" s="1315">
        <v>1</v>
      </c>
      <c r="AB66" s="1315"/>
      <c r="AC66" s="1315">
        <v>1</v>
      </c>
      <c r="AD66" s="1315">
        <v>1</v>
      </c>
      <c r="AE66" s="1315">
        <v>1</v>
      </c>
      <c r="AF66" s="1315">
        <f>SUM(AF53:AF65)</f>
        <v>2</v>
      </c>
      <c r="AG66" s="1315"/>
      <c r="AH66" s="1315"/>
      <c r="AI66" s="1315"/>
      <c r="AJ66" s="1315"/>
      <c r="AK66" s="1315"/>
      <c r="AL66" s="1315"/>
    </row>
    <row r="67" spans="4:39" s="1603" customFormat="1" ht="69.95" customHeight="1">
      <c r="D67" s="1318"/>
      <c r="E67" s="1323" t="s">
        <v>5579</v>
      </c>
      <c r="F67" s="1606">
        <f t="shared" ref="F67:AL67" si="1">SUM(F6:F66)</f>
        <v>1</v>
      </c>
      <c r="G67" s="1606">
        <f t="shared" si="1"/>
        <v>4</v>
      </c>
      <c r="H67" s="1606">
        <f t="shared" si="1"/>
        <v>1</v>
      </c>
      <c r="I67" s="1606">
        <f t="shared" si="1"/>
        <v>4</v>
      </c>
      <c r="J67" s="1606">
        <f t="shared" si="1"/>
        <v>16</v>
      </c>
      <c r="K67" s="1606">
        <f t="shared" si="1"/>
        <v>1</v>
      </c>
      <c r="L67" s="1606">
        <f t="shared" si="1"/>
        <v>4</v>
      </c>
      <c r="M67" s="1606">
        <f t="shared" si="1"/>
        <v>4</v>
      </c>
      <c r="N67" s="1606">
        <f t="shared" si="1"/>
        <v>4</v>
      </c>
      <c r="O67" s="1606">
        <f t="shared" si="1"/>
        <v>4</v>
      </c>
      <c r="P67" s="1606">
        <f t="shared" si="1"/>
        <v>1</v>
      </c>
      <c r="Q67" s="1606">
        <f t="shared" si="1"/>
        <v>1</v>
      </c>
      <c r="R67" s="1606">
        <f t="shared" si="1"/>
        <v>14</v>
      </c>
      <c r="S67" s="1606">
        <f t="shared" si="1"/>
        <v>1</v>
      </c>
      <c r="T67" s="1606">
        <f t="shared" si="1"/>
        <v>1</v>
      </c>
      <c r="U67" s="1606">
        <f t="shared" si="1"/>
        <v>6</v>
      </c>
      <c r="V67" s="1606">
        <f t="shared" si="1"/>
        <v>2</v>
      </c>
      <c r="W67" s="1606">
        <f t="shared" si="1"/>
        <v>1</v>
      </c>
      <c r="X67" s="1606">
        <f t="shared" si="1"/>
        <v>5</v>
      </c>
      <c r="Y67" s="1606">
        <f t="shared" si="1"/>
        <v>8</v>
      </c>
      <c r="Z67" s="1606">
        <f t="shared" si="1"/>
        <v>1</v>
      </c>
      <c r="AA67" s="1606">
        <f t="shared" si="1"/>
        <v>4</v>
      </c>
      <c r="AB67" s="1606">
        <f t="shared" si="1"/>
        <v>3</v>
      </c>
      <c r="AC67" s="1606">
        <f t="shared" si="1"/>
        <v>2</v>
      </c>
      <c r="AD67" s="1606">
        <f t="shared" si="1"/>
        <v>37</v>
      </c>
      <c r="AE67" s="1606">
        <f t="shared" si="1"/>
        <v>15</v>
      </c>
      <c r="AF67" s="1606">
        <f t="shared" si="1"/>
        <v>10</v>
      </c>
      <c r="AG67" s="1606">
        <f t="shared" si="1"/>
        <v>5</v>
      </c>
      <c r="AH67" s="1606">
        <f t="shared" si="1"/>
        <v>1</v>
      </c>
      <c r="AI67" s="1606">
        <f t="shared" si="1"/>
        <v>4</v>
      </c>
      <c r="AJ67" s="1606">
        <f t="shared" si="1"/>
        <v>4</v>
      </c>
      <c r="AK67" s="1606">
        <f t="shared" si="1"/>
        <v>16</v>
      </c>
      <c r="AL67" s="1606">
        <f t="shared" si="1"/>
        <v>2</v>
      </c>
      <c r="AM67" s="1607">
        <f>SUM(F67:AL67)</f>
        <v>187</v>
      </c>
    </row>
  </sheetData>
  <autoFilter ref="F3:AL67"/>
  <pageMargins left="0.7" right="0.7" top="0.75" bottom="0.75" header="0.3" footer="0.3"/>
  <pageSetup paperSize="8" scale="47" orientation="landscape" r:id="rId1"/>
  <rowBreaks count="1" manualBreakCount="1">
    <brk id="30" min="3" max="37" man="1"/>
  </rowBreaks>
</worksheet>
</file>

<file path=xl/worksheets/sheet19.xml><?xml version="1.0" encoding="utf-8"?>
<worksheet xmlns="http://schemas.openxmlformats.org/spreadsheetml/2006/main" xmlns:r="http://schemas.openxmlformats.org/officeDocument/2006/relationships">
  <sheetPr codeName="Sheet13">
    <tabColor rgb="FFFFFF00"/>
  </sheetPr>
  <dimension ref="A3:Z5107"/>
  <sheetViews>
    <sheetView showZeros="0" view="pageBreakPreview" topLeftCell="D2289" zoomScale="55" zoomScaleSheetLayoutView="55" workbookViewId="0">
      <selection activeCell="S2306" sqref="S2306"/>
    </sheetView>
  </sheetViews>
  <sheetFormatPr defaultRowHeight="30" customHeight="1"/>
  <cols>
    <col min="1" max="1" width="48.140625" style="110" customWidth="1"/>
    <col min="2" max="2" width="7.28515625" style="110" customWidth="1"/>
    <col min="3" max="3" width="42" style="1395" customWidth="1"/>
    <col min="4" max="4" width="6.5703125" style="110" customWidth="1"/>
    <col min="5" max="5" width="9.140625" style="110" customWidth="1"/>
    <col min="6" max="6" width="15.85546875" style="1396" customWidth="1"/>
    <col min="7" max="7" width="10.28515625" style="1396" customWidth="1"/>
    <col min="8" max="8" width="14.85546875" style="1397" customWidth="1"/>
    <col min="9" max="9" width="15.42578125" style="1398" customWidth="1"/>
    <col min="10" max="10" width="12.28515625" style="110" bestFit="1" customWidth="1"/>
    <col min="11" max="11" width="15.5703125" style="110" customWidth="1"/>
    <col min="12" max="12" width="22.85546875" style="110" customWidth="1"/>
    <col min="13" max="13" width="36.42578125" style="1399" customWidth="1"/>
    <col min="14" max="14" width="11.5703125" style="110" bestFit="1" customWidth="1"/>
    <col min="15" max="15" width="15.140625" style="110" bestFit="1" customWidth="1"/>
    <col min="16" max="16" width="9.140625" style="110" customWidth="1"/>
    <col min="17" max="17" width="12.85546875" style="110" customWidth="1"/>
    <col min="18" max="21" width="20.5703125" style="110" customWidth="1"/>
    <col min="22" max="22" width="18" style="110" customWidth="1"/>
    <col min="23" max="23" width="20.5703125" style="110" customWidth="1"/>
    <col min="24" max="24" width="31.28515625" style="110" customWidth="1"/>
    <col min="25" max="261" width="9.140625" style="110"/>
    <col min="262" max="262" width="7.28515625" style="110" customWidth="1"/>
    <col min="263" max="263" width="35.42578125" style="110" customWidth="1"/>
    <col min="264" max="265" width="6.5703125" style="110" customWidth="1"/>
    <col min="266" max="267" width="10.28515625" style="110" customWidth="1"/>
    <col min="268" max="268" width="11" style="110" customWidth="1"/>
    <col min="269" max="269" width="13.28515625" style="110" customWidth="1"/>
    <col min="270" max="270" width="11.5703125" style="110" bestFit="1" customWidth="1"/>
    <col min="271" max="517" width="9.140625" style="110"/>
    <col min="518" max="518" width="7.28515625" style="110" customWidth="1"/>
    <col min="519" max="519" width="35.42578125" style="110" customWidth="1"/>
    <col min="520" max="521" width="6.5703125" style="110" customWidth="1"/>
    <col min="522" max="523" width="10.28515625" style="110" customWidth="1"/>
    <col min="524" max="524" width="11" style="110" customWidth="1"/>
    <col min="525" max="525" width="13.28515625" style="110" customWidth="1"/>
    <col min="526" max="526" width="11.5703125" style="110" bestFit="1" customWidth="1"/>
    <col min="527" max="773" width="9.140625" style="110"/>
    <col min="774" max="774" width="7.28515625" style="110" customWidth="1"/>
    <col min="775" max="775" width="35.42578125" style="110" customWidth="1"/>
    <col min="776" max="777" width="6.5703125" style="110" customWidth="1"/>
    <col min="778" max="779" width="10.28515625" style="110" customWidth="1"/>
    <col min="780" max="780" width="11" style="110" customWidth="1"/>
    <col min="781" max="781" width="13.28515625" style="110" customWidth="1"/>
    <col min="782" max="782" width="11.5703125" style="110" bestFit="1" customWidth="1"/>
    <col min="783" max="1029" width="9.140625" style="110"/>
    <col min="1030" max="1030" width="7.28515625" style="110" customWidth="1"/>
    <col min="1031" max="1031" width="35.42578125" style="110" customWidth="1"/>
    <col min="1032" max="1033" width="6.5703125" style="110" customWidth="1"/>
    <col min="1034" max="1035" width="10.28515625" style="110" customWidth="1"/>
    <col min="1036" max="1036" width="11" style="110" customWidth="1"/>
    <col min="1037" max="1037" width="13.28515625" style="110" customWidth="1"/>
    <col min="1038" max="1038" width="11.5703125" style="110" bestFit="1" customWidth="1"/>
    <col min="1039" max="1285" width="9.140625" style="110"/>
    <col min="1286" max="1286" width="7.28515625" style="110" customWidth="1"/>
    <col min="1287" max="1287" width="35.42578125" style="110" customWidth="1"/>
    <col min="1288" max="1289" width="6.5703125" style="110" customWidth="1"/>
    <col min="1290" max="1291" width="10.28515625" style="110" customWidth="1"/>
    <col min="1292" max="1292" width="11" style="110" customWidth="1"/>
    <col min="1293" max="1293" width="13.28515625" style="110" customWidth="1"/>
    <col min="1294" max="1294" width="11.5703125" style="110" bestFit="1" customWidth="1"/>
    <col min="1295" max="1541" width="9.140625" style="110"/>
    <col min="1542" max="1542" width="7.28515625" style="110" customWidth="1"/>
    <col min="1543" max="1543" width="35.42578125" style="110" customWidth="1"/>
    <col min="1544" max="1545" width="6.5703125" style="110" customWidth="1"/>
    <col min="1546" max="1547" width="10.28515625" style="110" customWidth="1"/>
    <col min="1548" max="1548" width="11" style="110" customWidth="1"/>
    <col min="1549" max="1549" width="13.28515625" style="110" customWidth="1"/>
    <col min="1550" max="1550" width="11.5703125" style="110" bestFit="1" customWidth="1"/>
    <col min="1551" max="1797" width="9.140625" style="110"/>
    <col min="1798" max="1798" width="7.28515625" style="110" customWidth="1"/>
    <col min="1799" max="1799" width="35.42578125" style="110" customWidth="1"/>
    <col min="1800" max="1801" width="6.5703125" style="110" customWidth="1"/>
    <col min="1802" max="1803" width="10.28515625" style="110" customWidth="1"/>
    <col min="1804" max="1804" width="11" style="110" customWidth="1"/>
    <col min="1805" max="1805" width="13.28515625" style="110" customWidth="1"/>
    <col min="1806" max="1806" width="11.5703125" style="110" bestFit="1" customWidth="1"/>
    <col min="1807" max="2053" width="9.140625" style="110"/>
    <col min="2054" max="2054" width="7.28515625" style="110" customWidth="1"/>
    <col min="2055" max="2055" width="35.42578125" style="110" customWidth="1"/>
    <col min="2056" max="2057" width="6.5703125" style="110" customWidth="1"/>
    <col min="2058" max="2059" width="10.28515625" style="110" customWidth="1"/>
    <col min="2060" max="2060" width="11" style="110" customWidth="1"/>
    <col min="2061" max="2061" width="13.28515625" style="110" customWidth="1"/>
    <col min="2062" max="2062" width="11.5703125" style="110" bestFit="1" customWidth="1"/>
    <col min="2063" max="2309" width="9.140625" style="110"/>
    <col min="2310" max="2310" width="7.28515625" style="110" customWidth="1"/>
    <col min="2311" max="2311" width="35.42578125" style="110" customWidth="1"/>
    <col min="2312" max="2313" width="6.5703125" style="110" customWidth="1"/>
    <col min="2314" max="2315" width="10.28515625" style="110" customWidth="1"/>
    <col min="2316" max="2316" width="11" style="110" customWidth="1"/>
    <col min="2317" max="2317" width="13.28515625" style="110" customWidth="1"/>
    <col min="2318" max="2318" width="11.5703125" style="110" bestFit="1" customWidth="1"/>
    <col min="2319" max="2565" width="9.140625" style="110"/>
    <col min="2566" max="2566" width="7.28515625" style="110" customWidth="1"/>
    <col min="2567" max="2567" width="35.42578125" style="110" customWidth="1"/>
    <col min="2568" max="2569" width="6.5703125" style="110" customWidth="1"/>
    <col min="2570" max="2571" width="10.28515625" style="110" customWidth="1"/>
    <col min="2572" max="2572" width="11" style="110" customWidth="1"/>
    <col min="2573" max="2573" width="13.28515625" style="110" customWidth="1"/>
    <col min="2574" max="2574" width="11.5703125" style="110" bestFit="1" customWidth="1"/>
    <col min="2575" max="2821" width="9.140625" style="110"/>
    <col min="2822" max="2822" width="7.28515625" style="110" customWidth="1"/>
    <col min="2823" max="2823" width="35.42578125" style="110" customWidth="1"/>
    <col min="2824" max="2825" width="6.5703125" style="110" customWidth="1"/>
    <col min="2826" max="2827" width="10.28515625" style="110" customWidth="1"/>
    <col min="2828" max="2828" width="11" style="110" customWidth="1"/>
    <col min="2829" max="2829" width="13.28515625" style="110" customWidth="1"/>
    <col min="2830" max="2830" width="11.5703125" style="110" bestFit="1" customWidth="1"/>
    <col min="2831" max="3077" width="9.140625" style="110"/>
    <col min="3078" max="3078" width="7.28515625" style="110" customWidth="1"/>
    <col min="3079" max="3079" width="35.42578125" style="110" customWidth="1"/>
    <col min="3080" max="3081" width="6.5703125" style="110" customWidth="1"/>
    <col min="3082" max="3083" width="10.28515625" style="110" customWidth="1"/>
    <col min="3084" max="3084" width="11" style="110" customWidth="1"/>
    <col min="3085" max="3085" width="13.28515625" style="110" customWidth="1"/>
    <col min="3086" max="3086" width="11.5703125" style="110" bestFit="1" customWidth="1"/>
    <col min="3087" max="3333" width="9.140625" style="110"/>
    <col min="3334" max="3334" width="7.28515625" style="110" customWidth="1"/>
    <col min="3335" max="3335" width="35.42578125" style="110" customWidth="1"/>
    <col min="3336" max="3337" width="6.5703125" style="110" customWidth="1"/>
    <col min="3338" max="3339" width="10.28515625" style="110" customWidth="1"/>
    <col min="3340" max="3340" width="11" style="110" customWidth="1"/>
    <col min="3341" max="3341" width="13.28515625" style="110" customWidth="1"/>
    <col min="3342" max="3342" width="11.5703125" style="110" bestFit="1" customWidth="1"/>
    <col min="3343" max="3589" width="9.140625" style="110"/>
    <col min="3590" max="3590" width="7.28515625" style="110" customWidth="1"/>
    <col min="3591" max="3591" width="35.42578125" style="110" customWidth="1"/>
    <col min="3592" max="3593" width="6.5703125" style="110" customWidth="1"/>
    <col min="3594" max="3595" width="10.28515625" style="110" customWidth="1"/>
    <col min="3596" max="3596" width="11" style="110" customWidth="1"/>
    <col min="3597" max="3597" width="13.28515625" style="110" customWidth="1"/>
    <col min="3598" max="3598" width="11.5703125" style="110" bestFit="1" customWidth="1"/>
    <col min="3599" max="3845" width="9.140625" style="110"/>
    <col min="3846" max="3846" width="7.28515625" style="110" customWidth="1"/>
    <col min="3847" max="3847" width="35.42578125" style="110" customWidth="1"/>
    <col min="3848" max="3849" width="6.5703125" style="110" customWidth="1"/>
    <col min="3850" max="3851" width="10.28515625" style="110" customWidth="1"/>
    <col min="3852" max="3852" width="11" style="110" customWidth="1"/>
    <col min="3853" max="3853" width="13.28515625" style="110" customWidth="1"/>
    <col min="3854" max="3854" width="11.5703125" style="110" bestFit="1" customWidth="1"/>
    <col min="3855" max="4101" width="9.140625" style="110"/>
    <col min="4102" max="4102" width="7.28515625" style="110" customWidth="1"/>
    <col min="4103" max="4103" width="35.42578125" style="110" customWidth="1"/>
    <col min="4104" max="4105" width="6.5703125" style="110" customWidth="1"/>
    <col min="4106" max="4107" width="10.28515625" style="110" customWidth="1"/>
    <col min="4108" max="4108" width="11" style="110" customWidth="1"/>
    <col min="4109" max="4109" width="13.28515625" style="110" customWidth="1"/>
    <col min="4110" max="4110" width="11.5703125" style="110" bestFit="1" customWidth="1"/>
    <col min="4111" max="4357" width="9.140625" style="110"/>
    <col min="4358" max="4358" width="7.28515625" style="110" customWidth="1"/>
    <col min="4359" max="4359" width="35.42578125" style="110" customWidth="1"/>
    <col min="4360" max="4361" width="6.5703125" style="110" customWidth="1"/>
    <col min="4362" max="4363" width="10.28515625" style="110" customWidth="1"/>
    <col min="4364" max="4364" width="11" style="110" customWidth="1"/>
    <col min="4365" max="4365" width="13.28515625" style="110" customWidth="1"/>
    <col min="4366" max="4366" width="11.5703125" style="110" bestFit="1" customWidth="1"/>
    <col min="4367" max="4613" width="9.140625" style="110"/>
    <col min="4614" max="4614" width="7.28515625" style="110" customWidth="1"/>
    <col min="4615" max="4615" width="35.42578125" style="110" customWidth="1"/>
    <col min="4616" max="4617" width="6.5703125" style="110" customWidth="1"/>
    <col min="4618" max="4619" width="10.28515625" style="110" customWidth="1"/>
    <col min="4620" max="4620" width="11" style="110" customWidth="1"/>
    <col min="4621" max="4621" width="13.28515625" style="110" customWidth="1"/>
    <col min="4622" max="4622" width="11.5703125" style="110" bestFit="1" customWidth="1"/>
    <col min="4623" max="4869" width="9.140625" style="110"/>
    <col min="4870" max="4870" width="7.28515625" style="110" customWidth="1"/>
    <col min="4871" max="4871" width="35.42578125" style="110" customWidth="1"/>
    <col min="4872" max="4873" width="6.5703125" style="110" customWidth="1"/>
    <col min="4874" max="4875" width="10.28515625" style="110" customWidth="1"/>
    <col min="4876" max="4876" width="11" style="110" customWidth="1"/>
    <col min="4877" max="4877" width="13.28515625" style="110" customWidth="1"/>
    <col min="4878" max="4878" width="11.5703125" style="110" bestFit="1" customWidth="1"/>
    <col min="4879" max="5125" width="9.140625" style="110"/>
    <col min="5126" max="5126" width="7.28515625" style="110" customWidth="1"/>
    <col min="5127" max="5127" width="35.42578125" style="110" customWidth="1"/>
    <col min="5128" max="5129" width="6.5703125" style="110" customWidth="1"/>
    <col min="5130" max="5131" width="10.28515625" style="110" customWidth="1"/>
    <col min="5132" max="5132" width="11" style="110" customWidth="1"/>
    <col min="5133" max="5133" width="13.28515625" style="110" customWidth="1"/>
    <col min="5134" max="5134" width="11.5703125" style="110" bestFit="1" customWidth="1"/>
    <col min="5135" max="5381" width="9.140625" style="110"/>
    <col min="5382" max="5382" width="7.28515625" style="110" customWidth="1"/>
    <col min="5383" max="5383" width="35.42578125" style="110" customWidth="1"/>
    <col min="5384" max="5385" width="6.5703125" style="110" customWidth="1"/>
    <col min="5386" max="5387" width="10.28515625" style="110" customWidth="1"/>
    <col min="5388" max="5388" width="11" style="110" customWidth="1"/>
    <col min="5389" max="5389" width="13.28515625" style="110" customWidth="1"/>
    <col min="5390" max="5390" width="11.5703125" style="110" bestFit="1" customWidth="1"/>
    <col min="5391" max="5637" width="9.140625" style="110"/>
    <col min="5638" max="5638" width="7.28515625" style="110" customWidth="1"/>
    <col min="5639" max="5639" width="35.42578125" style="110" customWidth="1"/>
    <col min="5640" max="5641" width="6.5703125" style="110" customWidth="1"/>
    <col min="5642" max="5643" width="10.28515625" style="110" customWidth="1"/>
    <col min="5644" max="5644" width="11" style="110" customWidth="1"/>
    <col min="5645" max="5645" width="13.28515625" style="110" customWidth="1"/>
    <col min="5646" max="5646" width="11.5703125" style="110" bestFit="1" customWidth="1"/>
    <col min="5647" max="5893" width="9.140625" style="110"/>
    <col min="5894" max="5894" width="7.28515625" style="110" customWidth="1"/>
    <col min="5895" max="5895" width="35.42578125" style="110" customWidth="1"/>
    <col min="5896" max="5897" width="6.5703125" style="110" customWidth="1"/>
    <col min="5898" max="5899" width="10.28515625" style="110" customWidth="1"/>
    <col min="5900" max="5900" width="11" style="110" customWidth="1"/>
    <col min="5901" max="5901" width="13.28515625" style="110" customWidth="1"/>
    <col min="5902" max="5902" width="11.5703125" style="110" bestFit="1" customWidth="1"/>
    <col min="5903" max="6149" width="9.140625" style="110"/>
    <col min="6150" max="6150" width="7.28515625" style="110" customWidth="1"/>
    <col min="6151" max="6151" width="35.42578125" style="110" customWidth="1"/>
    <col min="6152" max="6153" width="6.5703125" style="110" customWidth="1"/>
    <col min="6154" max="6155" width="10.28515625" style="110" customWidth="1"/>
    <col min="6156" max="6156" width="11" style="110" customWidth="1"/>
    <col min="6157" max="6157" width="13.28515625" style="110" customWidth="1"/>
    <col min="6158" max="6158" width="11.5703125" style="110" bestFit="1" customWidth="1"/>
    <col min="6159" max="6405" width="9.140625" style="110"/>
    <col min="6406" max="6406" width="7.28515625" style="110" customWidth="1"/>
    <col min="6407" max="6407" width="35.42578125" style="110" customWidth="1"/>
    <col min="6408" max="6409" width="6.5703125" style="110" customWidth="1"/>
    <col min="6410" max="6411" width="10.28515625" style="110" customWidth="1"/>
    <col min="6412" max="6412" width="11" style="110" customWidth="1"/>
    <col min="6413" max="6413" width="13.28515625" style="110" customWidth="1"/>
    <col min="6414" max="6414" width="11.5703125" style="110" bestFit="1" customWidth="1"/>
    <col min="6415" max="6661" width="9.140625" style="110"/>
    <col min="6662" max="6662" width="7.28515625" style="110" customWidth="1"/>
    <col min="6663" max="6663" width="35.42578125" style="110" customWidth="1"/>
    <col min="6664" max="6665" width="6.5703125" style="110" customWidth="1"/>
    <col min="6666" max="6667" width="10.28515625" style="110" customWidth="1"/>
    <col min="6668" max="6668" width="11" style="110" customWidth="1"/>
    <col min="6669" max="6669" width="13.28515625" style="110" customWidth="1"/>
    <col min="6670" max="6670" width="11.5703125" style="110" bestFit="1" customWidth="1"/>
    <col min="6671" max="6917" width="9.140625" style="110"/>
    <col min="6918" max="6918" width="7.28515625" style="110" customWidth="1"/>
    <col min="6919" max="6919" width="35.42578125" style="110" customWidth="1"/>
    <col min="6920" max="6921" width="6.5703125" style="110" customWidth="1"/>
    <col min="6922" max="6923" width="10.28515625" style="110" customWidth="1"/>
    <col min="6924" max="6924" width="11" style="110" customWidth="1"/>
    <col min="6925" max="6925" width="13.28515625" style="110" customWidth="1"/>
    <col min="6926" max="6926" width="11.5703125" style="110" bestFit="1" customWidth="1"/>
    <col min="6927" max="7173" width="9.140625" style="110"/>
    <col min="7174" max="7174" width="7.28515625" style="110" customWidth="1"/>
    <col min="7175" max="7175" width="35.42578125" style="110" customWidth="1"/>
    <col min="7176" max="7177" width="6.5703125" style="110" customWidth="1"/>
    <col min="7178" max="7179" width="10.28515625" style="110" customWidth="1"/>
    <col min="7180" max="7180" width="11" style="110" customWidth="1"/>
    <col min="7181" max="7181" width="13.28515625" style="110" customWidth="1"/>
    <col min="7182" max="7182" width="11.5703125" style="110" bestFit="1" customWidth="1"/>
    <col min="7183" max="7429" width="9.140625" style="110"/>
    <col min="7430" max="7430" width="7.28515625" style="110" customWidth="1"/>
    <col min="7431" max="7431" width="35.42578125" style="110" customWidth="1"/>
    <col min="7432" max="7433" width="6.5703125" style="110" customWidth="1"/>
    <col min="7434" max="7435" width="10.28515625" style="110" customWidth="1"/>
    <col min="7436" max="7436" width="11" style="110" customWidth="1"/>
    <col min="7437" max="7437" width="13.28515625" style="110" customWidth="1"/>
    <col min="7438" max="7438" width="11.5703125" style="110" bestFit="1" customWidth="1"/>
    <col min="7439" max="7685" width="9.140625" style="110"/>
    <col min="7686" max="7686" width="7.28515625" style="110" customWidth="1"/>
    <col min="7687" max="7687" width="35.42578125" style="110" customWidth="1"/>
    <col min="7688" max="7689" width="6.5703125" style="110" customWidth="1"/>
    <col min="7690" max="7691" width="10.28515625" style="110" customWidth="1"/>
    <col min="7692" max="7692" width="11" style="110" customWidth="1"/>
    <col min="7693" max="7693" width="13.28515625" style="110" customWidth="1"/>
    <col min="7694" max="7694" width="11.5703125" style="110" bestFit="1" customWidth="1"/>
    <col min="7695" max="7941" width="9.140625" style="110"/>
    <col min="7942" max="7942" width="7.28515625" style="110" customWidth="1"/>
    <col min="7943" max="7943" width="35.42578125" style="110" customWidth="1"/>
    <col min="7944" max="7945" width="6.5703125" style="110" customWidth="1"/>
    <col min="7946" max="7947" width="10.28515625" style="110" customWidth="1"/>
    <col min="7948" max="7948" width="11" style="110" customWidth="1"/>
    <col min="7949" max="7949" width="13.28515625" style="110" customWidth="1"/>
    <col min="7950" max="7950" width="11.5703125" style="110" bestFit="1" customWidth="1"/>
    <col min="7951" max="8197" width="9.140625" style="110"/>
    <col min="8198" max="8198" width="7.28515625" style="110" customWidth="1"/>
    <col min="8199" max="8199" width="35.42578125" style="110" customWidth="1"/>
    <col min="8200" max="8201" width="6.5703125" style="110" customWidth="1"/>
    <col min="8202" max="8203" width="10.28515625" style="110" customWidth="1"/>
    <col min="8204" max="8204" width="11" style="110" customWidth="1"/>
    <col min="8205" max="8205" width="13.28515625" style="110" customWidth="1"/>
    <col min="8206" max="8206" width="11.5703125" style="110" bestFit="1" customWidth="1"/>
    <col min="8207" max="8453" width="9.140625" style="110"/>
    <col min="8454" max="8454" width="7.28515625" style="110" customWidth="1"/>
    <col min="8455" max="8455" width="35.42578125" style="110" customWidth="1"/>
    <col min="8456" max="8457" width="6.5703125" style="110" customWidth="1"/>
    <col min="8458" max="8459" width="10.28515625" style="110" customWidth="1"/>
    <col min="8460" max="8460" width="11" style="110" customWidth="1"/>
    <col min="8461" max="8461" width="13.28515625" style="110" customWidth="1"/>
    <col min="8462" max="8462" width="11.5703125" style="110" bestFit="1" customWidth="1"/>
    <col min="8463" max="8709" width="9.140625" style="110"/>
    <col min="8710" max="8710" width="7.28515625" style="110" customWidth="1"/>
    <col min="8711" max="8711" width="35.42578125" style="110" customWidth="1"/>
    <col min="8712" max="8713" width="6.5703125" style="110" customWidth="1"/>
    <col min="8714" max="8715" width="10.28515625" style="110" customWidth="1"/>
    <col min="8716" max="8716" width="11" style="110" customWidth="1"/>
    <col min="8717" max="8717" width="13.28515625" style="110" customWidth="1"/>
    <col min="8718" max="8718" width="11.5703125" style="110" bestFit="1" customWidth="1"/>
    <col min="8719" max="8965" width="9.140625" style="110"/>
    <col min="8966" max="8966" width="7.28515625" style="110" customWidth="1"/>
    <col min="8967" max="8967" width="35.42578125" style="110" customWidth="1"/>
    <col min="8968" max="8969" width="6.5703125" style="110" customWidth="1"/>
    <col min="8970" max="8971" width="10.28515625" style="110" customWidth="1"/>
    <col min="8972" max="8972" width="11" style="110" customWidth="1"/>
    <col min="8973" max="8973" width="13.28515625" style="110" customWidth="1"/>
    <col min="8974" max="8974" width="11.5703125" style="110" bestFit="1" customWidth="1"/>
    <col min="8975" max="9221" width="9.140625" style="110"/>
    <col min="9222" max="9222" width="7.28515625" style="110" customWidth="1"/>
    <col min="9223" max="9223" width="35.42578125" style="110" customWidth="1"/>
    <col min="9224" max="9225" width="6.5703125" style="110" customWidth="1"/>
    <col min="9226" max="9227" width="10.28515625" style="110" customWidth="1"/>
    <col min="9228" max="9228" width="11" style="110" customWidth="1"/>
    <col min="9229" max="9229" width="13.28515625" style="110" customWidth="1"/>
    <col min="9230" max="9230" width="11.5703125" style="110" bestFit="1" customWidth="1"/>
    <col min="9231" max="9477" width="9.140625" style="110"/>
    <col min="9478" max="9478" width="7.28515625" style="110" customWidth="1"/>
    <col min="9479" max="9479" width="35.42578125" style="110" customWidth="1"/>
    <col min="9480" max="9481" width="6.5703125" style="110" customWidth="1"/>
    <col min="9482" max="9483" width="10.28515625" style="110" customWidth="1"/>
    <col min="9484" max="9484" width="11" style="110" customWidth="1"/>
    <col min="9485" max="9485" width="13.28515625" style="110" customWidth="1"/>
    <col min="9486" max="9486" width="11.5703125" style="110" bestFit="1" customWidth="1"/>
    <col min="9487" max="9733" width="9.140625" style="110"/>
    <col min="9734" max="9734" width="7.28515625" style="110" customWidth="1"/>
    <col min="9735" max="9735" width="35.42578125" style="110" customWidth="1"/>
    <col min="9736" max="9737" width="6.5703125" style="110" customWidth="1"/>
    <col min="9738" max="9739" width="10.28515625" style="110" customWidth="1"/>
    <col min="9740" max="9740" width="11" style="110" customWidth="1"/>
    <col min="9741" max="9741" width="13.28515625" style="110" customWidth="1"/>
    <col min="9742" max="9742" width="11.5703125" style="110" bestFit="1" customWidth="1"/>
    <col min="9743" max="9989" width="9.140625" style="110"/>
    <col min="9990" max="9990" width="7.28515625" style="110" customWidth="1"/>
    <col min="9991" max="9991" width="35.42578125" style="110" customWidth="1"/>
    <col min="9992" max="9993" width="6.5703125" style="110" customWidth="1"/>
    <col min="9994" max="9995" width="10.28515625" style="110" customWidth="1"/>
    <col min="9996" max="9996" width="11" style="110" customWidth="1"/>
    <col min="9997" max="9997" width="13.28515625" style="110" customWidth="1"/>
    <col min="9998" max="9998" width="11.5703125" style="110" bestFit="1" customWidth="1"/>
    <col min="9999" max="10245" width="9.140625" style="110"/>
    <col min="10246" max="10246" width="7.28515625" style="110" customWidth="1"/>
    <col min="10247" max="10247" width="35.42578125" style="110" customWidth="1"/>
    <col min="10248" max="10249" width="6.5703125" style="110" customWidth="1"/>
    <col min="10250" max="10251" width="10.28515625" style="110" customWidth="1"/>
    <col min="10252" max="10252" width="11" style="110" customWidth="1"/>
    <col min="10253" max="10253" width="13.28515625" style="110" customWidth="1"/>
    <col min="10254" max="10254" width="11.5703125" style="110" bestFit="1" customWidth="1"/>
    <col min="10255" max="10501" width="9.140625" style="110"/>
    <col min="10502" max="10502" width="7.28515625" style="110" customWidth="1"/>
    <col min="10503" max="10503" width="35.42578125" style="110" customWidth="1"/>
    <col min="10504" max="10505" width="6.5703125" style="110" customWidth="1"/>
    <col min="10506" max="10507" width="10.28515625" style="110" customWidth="1"/>
    <col min="10508" max="10508" width="11" style="110" customWidth="1"/>
    <col min="10509" max="10509" width="13.28515625" style="110" customWidth="1"/>
    <col min="10510" max="10510" width="11.5703125" style="110" bestFit="1" customWidth="1"/>
    <col min="10511" max="10757" width="9.140625" style="110"/>
    <col min="10758" max="10758" width="7.28515625" style="110" customWidth="1"/>
    <col min="10759" max="10759" width="35.42578125" style="110" customWidth="1"/>
    <col min="10760" max="10761" width="6.5703125" style="110" customWidth="1"/>
    <col min="10762" max="10763" width="10.28515625" style="110" customWidth="1"/>
    <col min="10764" max="10764" width="11" style="110" customWidth="1"/>
    <col min="10765" max="10765" width="13.28515625" style="110" customWidth="1"/>
    <col min="10766" max="10766" width="11.5703125" style="110" bestFit="1" customWidth="1"/>
    <col min="10767" max="11013" width="9.140625" style="110"/>
    <col min="11014" max="11014" width="7.28515625" style="110" customWidth="1"/>
    <col min="11015" max="11015" width="35.42578125" style="110" customWidth="1"/>
    <col min="11016" max="11017" width="6.5703125" style="110" customWidth="1"/>
    <col min="11018" max="11019" width="10.28515625" style="110" customWidth="1"/>
    <col min="11020" max="11020" width="11" style="110" customWidth="1"/>
    <col min="11021" max="11021" width="13.28515625" style="110" customWidth="1"/>
    <col min="11022" max="11022" width="11.5703125" style="110" bestFit="1" customWidth="1"/>
    <col min="11023" max="11269" width="9.140625" style="110"/>
    <col min="11270" max="11270" width="7.28515625" style="110" customWidth="1"/>
    <col min="11271" max="11271" width="35.42578125" style="110" customWidth="1"/>
    <col min="11272" max="11273" width="6.5703125" style="110" customWidth="1"/>
    <col min="11274" max="11275" width="10.28515625" style="110" customWidth="1"/>
    <col min="11276" max="11276" width="11" style="110" customWidth="1"/>
    <col min="11277" max="11277" width="13.28515625" style="110" customWidth="1"/>
    <col min="11278" max="11278" width="11.5703125" style="110" bestFit="1" customWidth="1"/>
    <col min="11279" max="11525" width="9.140625" style="110"/>
    <col min="11526" max="11526" width="7.28515625" style="110" customWidth="1"/>
    <col min="11527" max="11527" width="35.42578125" style="110" customWidth="1"/>
    <col min="11528" max="11529" width="6.5703125" style="110" customWidth="1"/>
    <col min="11530" max="11531" width="10.28515625" style="110" customWidth="1"/>
    <col min="11532" max="11532" width="11" style="110" customWidth="1"/>
    <col min="11533" max="11533" width="13.28515625" style="110" customWidth="1"/>
    <col min="11534" max="11534" width="11.5703125" style="110" bestFit="1" customWidth="1"/>
    <col min="11535" max="11781" width="9.140625" style="110"/>
    <col min="11782" max="11782" width="7.28515625" style="110" customWidth="1"/>
    <col min="11783" max="11783" width="35.42578125" style="110" customWidth="1"/>
    <col min="11784" max="11785" width="6.5703125" style="110" customWidth="1"/>
    <col min="11786" max="11787" width="10.28515625" style="110" customWidth="1"/>
    <col min="11788" max="11788" width="11" style="110" customWidth="1"/>
    <col min="11789" max="11789" width="13.28515625" style="110" customWidth="1"/>
    <col min="11790" max="11790" width="11.5703125" style="110" bestFit="1" customWidth="1"/>
    <col min="11791" max="12037" width="9.140625" style="110"/>
    <col min="12038" max="12038" width="7.28515625" style="110" customWidth="1"/>
    <col min="12039" max="12039" width="35.42578125" style="110" customWidth="1"/>
    <col min="12040" max="12041" width="6.5703125" style="110" customWidth="1"/>
    <col min="12042" max="12043" width="10.28515625" style="110" customWidth="1"/>
    <col min="12044" max="12044" width="11" style="110" customWidth="1"/>
    <col min="12045" max="12045" width="13.28515625" style="110" customWidth="1"/>
    <col min="12046" max="12046" width="11.5703125" style="110" bestFit="1" customWidth="1"/>
    <col min="12047" max="12293" width="9.140625" style="110"/>
    <col min="12294" max="12294" width="7.28515625" style="110" customWidth="1"/>
    <col min="12295" max="12295" width="35.42578125" style="110" customWidth="1"/>
    <col min="12296" max="12297" width="6.5703125" style="110" customWidth="1"/>
    <col min="12298" max="12299" width="10.28515625" style="110" customWidth="1"/>
    <col min="12300" max="12300" width="11" style="110" customWidth="1"/>
    <col min="12301" max="12301" width="13.28515625" style="110" customWidth="1"/>
    <col min="12302" max="12302" width="11.5703125" style="110" bestFit="1" customWidth="1"/>
    <col min="12303" max="12549" width="9.140625" style="110"/>
    <col min="12550" max="12550" width="7.28515625" style="110" customWidth="1"/>
    <col min="12551" max="12551" width="35.42578125" style="110" customWidth="1"/>
    <col min="12552" max="12553" width="6.5703125" style="110" customWidth="1"/>
    <col min="12554" max="12555" width="10.28515625" style="110" customWidth="1"/>
    <col min="12556" max="12556" width="11" style="110" customWidth="1"/>
    <col min="12557" max="12557" width="13.28515625" style="110" customWidth="1"/>
    <col min="12558" max="12558" width="11.5703125" style="110" bestFit="1" customWidth="1"/>
    <col min="12559" max="12805" width="9.140625" style="110"/>
    <col min="12806" max="12806" width="7.28515625" style="110" customWidth="1"/>
    <col min="12807" max="12807" width="35.42578125" style="110" customWidth="1"/>
    <col min="12808" max="12809" width="6.5703125" style="110" customWidth="1"/>
    <col min="12810" max="12811" width="10.28515625" style="110" customWidth="1"/>
    <col min="12812" max="12812" width="11" style="110" customWidth="1"/>
    <col min="12813" max="12813" width="13.28515625" style="110" customWidth="1"/>
    <col min="12814" max="12814" width="11.5703125" style="110" bestFit="1" customWidth="1"/>
    <col min="12815" max="13061" width="9.140625" style="110"/>
    <col min="13062" max="13062" width="7.28515625" style="110" customWidth="1"/>
    <col min="13063" max="13063" width="35.42578125" style="110" customWidth="1"/>
    <col min="13064" max="13065" width="6.5703125" style="110" customWidth="1"/>
    <col min="13066" max="13067" width="10.28515625" style="110" customWidth="1"/>
    <col min="13068" max="13068" width="11" style="110" customWidth="1"/>
    <col min="13069" max="13069" width="13.28515625" style="110" customWidth="1"/>
    <col min="13070" max="13070" width="11.5703125" style="110" bestFit="1" customWidth="1"/>
    <col min="13071" max="13317" width="9.140625" style="110"/>
    <col min="13318" max="13318" width="7.28515625" style="110" customWidth="1"/>
    <col min="13319" max="13319" width="35.42578125" style="110" customWidth="1"/>
    <col min="13320" max="13321" width="6.5703125" style="110" customWidth="1"/>
    <col min="13322" max="13323" width="10.28515625" style="110" customWidth="1"/>
    <col min="13324" max="13324" width="11" style="110" customWidth="1"/>
    <col min="13325" max="13325" width="13.28515625" style="110" customWidth="1"/>
    <col min="13326" max="13326" width="11.5703125" style="110" bestFit="1" customWidth="1"/>
    <col min="13327" max="13573" width="9.140625" style="110"/>
    <col min="13574" max="13574" width="7.28515625" style="110" customWidth="1"/>
    <col min="13575" max="13575" width="35.42578125" style="110" customWidth="1"/>
    <col min="13576" max="13577" width="6.5703125" style="110" customWidth="1"/>
    <col min="13578" max="13579" width="10.28515625" style="110" customWidth="1"/>
    <col min="13580" max="13580" width="11" style="110" customWidth="1"/>
    <col min="13581" max="13581" width="13.28515625" style="110" customWidth="1"/>
    <col min="13582" max="13582" width="11.5703125" style="110" bestFit="1" customWidth="1"/>
    <col min="13583" max="13829" width="9.140625" style="110"/>
    <col min="13830" max="13830" width="7.28515625" style="110" customWidth="1"/>
    <col min="13831" max="13831" width="35.42578125" style="110" customWidth="1"/>
    <col min="13832" max="13833" width="6.5703125" style="110" customWidth="1"/>
    <col min="13834" max="13835" width="10.28515625" style="110" customWidth="1"/>
    <col min="13836" max="13836" width="11" style="110" customWidth="1"/>
    <col min="13837" max="13837" width="13.28515625" style="110" customWidth="1"/>
    <col min="13838" max="13838" width="11.5703125" style="110" bestFit="1" customWidth="1"/>
    <col min="13839" max="14085" width="9.140625" style="110"/>
    <col min="14086" max="14086" width="7.28515625" style="110" customWidth="1"/>
    <col min="14087" max="14087" width="35.42578125" style="110" customWidth="1"/>
    <col min="14088" max="14089" width="6.5703125" style="110" customWidth="1"/>
    <col min="14090" max="14091" width="10.28515625" style="110" customWidth="1"/>
    <col min="14092" max="14092" width="11" style="110" customWidth="1"/>
    <col min="14093" max="14093" width="13.28515625" style="110" customWidth="1"/>
    <col min="14094" max="14094" width="11.5703125" style="110" bestFit="1" customWidth="1"/>
    <col min="14095" max="14341" width="9.140625" style="110"/>
    <col min="14342" max="14342" width="7.28515625" style="110" customWidth="1"/>
    <col min="14343" max="14343" width="35.42578125" style="110" customWidth="1"/>
    <col min="14344" max="14345" width="6.5703125" style="110" customWidth="1"/>
    <col min="14346" max="14347" width="10.28515625" style="110" customWidth="1"/>
    <col min="14348" max="14348" width="11" style="110" customWidth="1"/>
    <col min="14349" max="14349" width="13.28515625" style="110" customWidth="1"/>
    <col min="14350" max="14350" width="11.5703125" style="110" bestFit="1" customWidth="1"/>
    <col min="14351" max="14597" width="9.140625" style="110"/>
    <col min="14598" max="14598" width="7.28515625" style="110" customWidth="1"/>
    <col min="14599" max="14599" width="35.42578125" style="110" customWidth="1"/>
    <col min="14600" max="14601" width="6.5703125" style="110" customWidth="1"/>
    <col min="14602" max="14603" width="10.28515625" style="110" customWidth="1"/>
    <col min="14604" max="14604" width="11" style="110" customWidth="1"/>
    <col min="14605" max="14605" width="13.28515625" style="110" customWidth="1"/>
    <col min="14606" max="14606" width="11.5703125" style="110" bestFit="1" customWidth="1"/>
    <col min="14607" max="14853" width="9.140625" style="110"/>
    <col min="14854" max="14854" width="7.28515625" style="110" customWidth="1"/>
    <col min="14855" max="14855" width="35.42578125" style="110" customWidth="1"/>
    <col min="14856" max="14857" width="6.5703125" style="110" customWidth="1"/>
    <col min="14858" max="14859" width="10.28515625" style="110" customWidth="1"/>
    <col min="14860" max="14860" width="11" style="110" customWidth="1"/>
    <col min="14861" max="14861" width="13.28515625" style="110" customWidth="1"/>
    <col min="14862" max="14862" width="11.5703125" style="110" bestFit="1" customWidth="1"/>
    <col min="14863" max="15109" width="9.140625" style="110"/>
    <col min="15110" max="15110" width="7.28515625" style="110" customWidth="1"/>
    <col min="15111" max="15111" width="35.42578125" style="110" customWidth="1"/>
    <col min="15112" max="15113" width="6.5703125" style="110" customWidth="1"/>
    <col min="15114" max="15115" width="10.28515625" style="110" customWidth="1"/>
    <col min="15116" max="15116" width="11" style="110" customWidth="1"/>
    <col min="15117" max="15117" width="13.28515625" style="110" customWidth="1"/>
    <col min="15118" max="15118" width="11.5703125" style="110" bestFit="1" customWidth="1"/>
    <col min="15119" max="15365" width="9.140625" style="110"/>
    <col min="15366" max="15366" width="7.28515625" style="110" customWidth="1"/>
    <col min="15367" max="15367" width="35.42578125" style="110" customWidth="1"/>
    <col min="15368" max="15369" width="6.5703125" style="110" customWidth="1"/>
    <col min="15370" max="15371" width="10.28515625" style="110" customWidth="1"/>
    <col min="15372" max="15372" width="11" style="110" customWidth="1"/>
    <col min="15373" max="15373" width="13.28515625" style="110" customWidth="1"/>
    <col min="15374" max="15374" width="11.5703125" style="110" bestFit="1" customWidth="1"/>
    <col min="15375" max="15621" width="9.140625" style="110"/>
    <col min="15622" max="15622" width="7.28515625" style="110" customWidth="1"/>
    <col min="15623" max="15623" width="35.42578125" style="110" customWidth="1"/>
    <col min="15624" max="15625" width="6.5703125" style="110" customWidth="1"/>
    <col min="15626" max="15627" width="10.28515625" style="110" customWidth="1"/>
    <col min="15628" max="15628" width="11" style="110" customWidth="1"/>
    <col min="15629" max="15629" width="13.28515625" style="110" customWidth="1"/>
    <col min="15630" max="15630" width="11.5703125" style="110" bestFit="1" customWidth="1"/>
    <col min="15631" max="15877" width="9.140625" style="110"/>
    <col min="15878" max="15878" width="7.28515625" style="110" customWidth="1"/>
    <col min="15879" max="15879" width="35.42578125" style="110" customWidth="1"/>
    <col min="15880" max="15881" width="6.5703125" style="110" customWidth="1"/>
    <col min="15882" max="15883" width="10.28515625" style="110" customWidth="1"/>
    <col min="15884" max="15884" width="11" style="110" customWidth="1"/>
    <col min="15885" max="15885" width="13.28515625" style="110" customWidth="1"/>
    <col min="15886" max="15886" width="11.5703125" style="110" bestFit="1" customWidth="1"/>
    <col min="15887" max="16133" width="9.140625" style="110"/>
    <col min="16134" max="16134" width="7.28515625" style="110" customWidth="1"/>
    <col min="16135" max="16135" width="35.42578125" style="110" customWidth="1"/>
    <col min="16136" max="16137" width="6.5703125" style="110" customWidth="1"/>
    <col min="16138" max="16139" width="10.28515625" style="110" customWidth="1"/>
    <col min="16140" max="16140" width="11" style="110" customWidth="1"/>
    <col min="16141" max="16141" width="13.28515625" style="110" customWidth="1"/>
    <col min="16142" max="16142" width="11.5703125" style="110" bestFit="1" customWidth="1"/>
    <col min="16143" max="16384" width="9.140625" style="110"/>
  </cols>
  <sheetData>
    <row r="3" spans="1:24" ht="30" customHeight="1">
      <c r="B3" s="1683" t="s">
        <v>263</v>
      </c>
      <c r="C3" s="1683"/>
      <c r="D3" s="1683"/>
      <c r="E3" s="1683"/>
      <c r="F3" s="1683"/>
      <c r="G3" s="1683"/>
      <c r="H3" s="1683"/>
      <c r="I3" s="1683"/>
    </row>
    <row r="4" spans="1:24" ht="59.25" customHeight="1">
      <c r="B4" s="1683" t="e">
        <f>#REF!</f>
        <v>#REF!</v>
      </c>
      <c r="C4" s="1683"/>
      <c r="D4" s="1683"/>
      <c r="E4" s="1683"/>
      <c r="F4" s="1683"/>
      <c r="G4" s="1683"/>
      <c r="H4" s="1683"/>
      <c r="I4" s="1683"/>
    </row>
    <row r="5" spans="1:24" ht="30" customHeight="1">
      <c r="B5" s="1683" t="s">
        <v>5953</v>
      </c>
      <c r="C5" s="1683"/>
      <c r="D5" s="1683"/>
      <c r="E5" s="1683"/>
      <c r="F5" s="1683"/>
      <c r="G5" s="1683"/>
      <c r="H5" s="1683"/>
      <c r="I5" s="1683"/>
    </row>
    <row r="6" spans="1:24" ht="30" customHeight="1" thickBot="1">
      <c r="B6" s="1644" t="s">
        <v>264</v>
      </c>
      <c r="C6" s="1644"/>
      <c r="D6" s="1644"/>
      <c r="E6" s="1644"/>
      <c r="F6" s="1644"/>
      <c r="G6" s="1644"/>
      <c r="H6" s="1644"/>
      <c r="I6" s="1644"/>
    </row>
    <row r="7" spans="1:24" ht="30" customHeight="1" thickTop="1" thickBot="1">
      <c r="B7" s="1581" t="s">
        <v>198</v>
      </c>
      <c r="C7" s="1582" t="s">
        <v>199</v>
      </c>
      <c r="D7" s="1684" t="s">
        <v>13</v>
      </c>
      <c r="E7" s="1684"/>
      <c r="F7" s="1583" t="s">
        <v>200</v>
      </c>
      <c r="G7" s="1583" t="s">
        <v>201</v>
      </c>
      <c r="H7" s="1584" t="s">
        <v>202</v>
      </c>
      <c r="I7" s="1585" t="s">
        <v>14</v>
      </c>
    </row>
    <row r="8" spans="1:24" ht="30" customHeight="1" thickTop="1" thickBot="1">
      <c r="B8" s="1593"/>
      <c r="C8" s="1594"/>
      <c r="D8" s="1594"/>
      <c r="E8" s="1594"/>
      <c r="F8" s="1595"/>
      <c r="G8" s="1595"/>
      <c r="H8" s="1596"/>
      <c r="I8" s="1597"/>
    </row>
    <row r="9" spans="1:24" ht="127.5" customHeight="1" thickTop="1">
      <c r="A9" s="110" t="s">
        <v>265</v>
      </c>
      <c r="B9" s="1400">
        <v>1.1000000000000001</v>
      </c>
      <c r="C9" s="1685" t="e">
        <f>VLOOKUP(A9,#REF!,2,0)</f>
        <v>#REF!</v>
      </c>
      <c r="D9" s="1685"/>
      <c r="E9" s="1685"/>
      <c r="F9" s="1685"/>
      <c r="G9" s="1685"/>
      <c r="H9" s="1685"/>
      <c r="I9" s="1590"/>
      <c r="X9" s="1397"/>
    </row>
    <row r="10" spans="1:24" ht="25.5" customHeight="1">
      <c r="A10" s="110" t="s">
        <v>266</v>
      </c>
      <c r="B10" s="1405"/>
      <c r="C10" s="1678" t="e">
        <f>VLOOKUP(A10,#REF!,2,0)</f>
        <v>#REF!</v>
      </c>
      <c r="D10" s="1678"/>
      <c r="E10" s="1678"/>
      <c r="F10" s="1678"/>
      <c r="G10" s="1678"/>
      <c r="H10" s="1678"/>
      <c r="I10" s="1406"/>
      <c r="X10" s="1397"/>
    </row>
    <row r="11" spans="1:24" ht="30" customHeight="1">
      <c r="B11" s="1407"/>
      <c r="C11" s="1408" t="s">
        <v>5684</v>
      </c>
      <c r="D11" s="1409">
        <v>1</v>
      </c>
      <c r="E11" s="1409">
        <v>1</v>
      </c>
      <c r="F11" s="1410">
        <f>21.92+1.5</f>
        <v>23.42</v>
      </c>
      <c r="G11" s="1410">
        <f>20.155+1.5</f>
        <v>21.655000000000001</v>
      </c>
      <c r="H11" s="1411">
        <v>2</v>
      </c>
      <c r="I11" s="1406">
        <f>PRODUCT(D11:H11)</f>
        <v>1014.3202000000001</v>
      </c>
    </row>
    <row r="12" spans="1:24" ht="30" customHeight="1">
      <c r="B12" s="1407"/>
      <c r="C12" s="1412" t="s">
        <v>163</v>
      </c>
      <c r="D12" s="103"/>
      <c r="E12" s="103"/>
      <c r="F12" s="1413"/>
      <c r="G12" s="1413"/>
      <c r="H12" s="1414"/>
      <c r="I12" s="1406">
        <f>PRODUCT(D12:H12)</f>
        <v>0</v>
      </c>
    </row>
    <row r="13" spans="1:24" ht="30" customHeight="1">
      <c r="B13" s="1407"/>
      <c r="C13" s="1408" t="str">
        <f>'det -detail'!B65&amp;'det -detail'!C65</f>
        <v>-X- Direction</v>
      </c>
      <c r="D13" s="1409"/>
      <c r="E13" s="1409"/>
      <c r="F13" s="1410"/>
      <c r="G13" s="1410"/>
      <c r="H13" s="1411"/>
      <c r="I13" s="1406">
        <f>PRODUCT(D13:H13)</f>
        <v>0</v>
      </c>
    </row>
    <row r="14" spans="1:24" ht="30" customHeight="1">
      <c r="B14" s="1407"/>
      <c r="C14" s="1408" t="str">
        <f>'det -detail'!B66&amp;"  "&amp;'det -detail'!C66</f>
        <v>A3 to B3, A5 to B5 , A6 to B6 and A6 to B6  GB-2</v>
      </c>
      <c r="D14" s="1409">
        <f>'det -detail'!E66</f>
        <v>1</v>
      </c>
      <c r="E14" s="1409">
        <f>'det -detail'!F66</f>
        <v>4</v>
      </c>
      <c r="F14" s="1410">
        <f>'det -detail'!G66</f>
        <v>4.2300000000000004</v>
      </c>
      <c r="G14" s="1410">
        <f>'det -detail'!H66</f>
        <v>0.38</v>
      </c>
      <c r="H14" s="1411">
        <f>'det -detail'!I66</f>
        <v>0.4</v>
      </c>
      <c r="I14" s="1406">
        <f>PRODUCT(D14:H14)</f>
        <v>2.5718400000000003</v>
      </c>
    </row>
    <row r="15" spans="1:24" ht="30" customHeight="1">
      <c r="B15" s="1407"/>
      <c r="C15" s="1408" t="str">
        <f>'det -detail'!B67&amp;"  "&amp;'det -detail'!C67</f>
        <v>D1 to F1 &amp; D2 to F2  GB-3</v>
      </c>
      <c r="D15" s="1409">
        <f>'det -detail'!E67</f>
        <v>1</v>
      </c>
      <c r="E15" s="1409">
        <f>'det -detail'!F67</f>
        <v>2</v>
      </c>
      <c r="F15" s="1410">
        <f>'det -detail'!G67</f>
        <v>3.6549999999999998</v>
      </c>
      <c r="G15" s="1410">
        <f>'det -detail'!H67</f>
        <v>0.38</v>
      </c>
      <c r="H15" s="1411">
        <f>'det -detail'!I67</f>
        <v>0.4</v>
      </c>
      <c r="I15" s="1406">
        <f t="shared" ref="I15:I26" si="0">PRODUCT(D15:H15)</f>
        <v>1.1111200000000001</v>
      </c>
    </row>
    <row r="16" spans="1:24" ht="30" customHeight="1">
      <c r="B16" s="1407"/>
      <c r="C16" s="1408" t="str">
        <f>'det -detail'!B68&amp;"  "&amp;'det -detail'!C68</f>
        <v>B3 to F3  GB-1</v>
      </c>
      <c r="D16" s="1409">
        <f>'det -detail'!E68</f>
        <v>1</v>
      </c>
      <c r="E16" s="1409">
        <f>'det -detail'!F68</f>
        <v>1</v>
      </c>
      <c r="F16" s="1410">
        <f>'det -detail'!G68</f>
        <v>6.8849999999999998</v>
      </c>
      <c r="G16" s="1410">
        <f>'det -detail'!H68</f>
        <v>0.38</v>
      </c>
      <c r="H16" s="1411">
        <f>'det -detail'!I68</f>
        <v>0.48</v>
      </c>
      <c r="I16" s="1406">
        <f t="shared" si="0"/>
        <v>1.2558239999999998</v>
      </c>
    </row>
    <row r="17" spans="2:9" ht="30" customHeight="1">
      <c r="B17" s="1407"/>
      <c r="C17" s="1408" t="str">
        <f>'det -detail'!B69&amp;"  "&amp;'det -detail'!C69</f>
        <v>F3 to H3  GB-2</v>
      </c>
      <c r="D17" s="1409">
        <f>'det -detail'!E69</f>
        <v>1</v>
      </c>
      <c r="E17" s="1409">
        <f>'det -detail'!F69</f>
        <v>1</v>
      </c>
      <c r="F17" s="1410">
        <f>'det -detail'!G69</f>
        <v>7.46</v>
      </c>
      <c r="G17" s="1410">
        <f>'det -detail'!H69</f>
        <v>0.38</v>
      </c>
      <c r="H17" s="1411">
        <f>'det -detail'!I69</f>
        <v>0.4</v>
      </c>
      <c r="I17" s="1406">
        <f t="shared" si="0"/>
        <v>1.13392</v>
      </c>
    </row>
    <row r="18" spans="2:9" ht="30" customHeight="1">
      <c r="B18" s="1407"/>
      <c r="C18" s="1408" t="str">
        <f>'det -detail'!B70&amp;"  "&amp;'det -detail'!C70</f>
        <v>C4 to F4 , C5 to F5  GB-1</v>
      </c>
      <c r="D18" s="1409">
        <f>'det -detail'!E70</f>
        <v>1</v>
      </c>
      <c r="E18" s="1409">
        <f>'det -detail'!F70</f>
        <v>2</v>
      </c>
      <c r="F18" s="1410">
        <f>'det -detail'!G70</f>
        <v>4.5549999999999997</v>
      </c>
      <c r="G18" s="1410">
        <f>'det -detail'!H70</f>
        <v>0.38</v>
      </c>
      <c r="H18" s="1411">
        <f>'det -detail'!I70</f>
        <v>0.48</v>
      </c>
      <c r="I18" s="1406">
        <f t="shared" si="0"/>
        <v>1.6616639999999998</v>
      </c>
    </row>
    <row r="19" spans="2:9" ht="30" customHeight="1">
      <c r="B19" s="1407"/>
      <c r="C19" s="1408" t="str">
        <f>'det -detail'!B71&amp;"  "&amp;'det -detail'!C71</f>
        <v>B4 to C4 , B5 to C5  GB-1</v>
      </c>
      <c r="D19" s="1409">
        <f>'det -detail'!E71</f>
        <v>1</v>
      </c>
      <c r="E19" s="1409">
        <f>'det -detail'!F71</f>
        <v>2</v>
      </c>
      <c r="F19" s="1410">
        <f>'det -detail'!G71</f>
        <v>2.33</v>
      </c>
      <c r="G19" s="1410">
        <f>'det -detail'!H71</f>
        <v>0.38</v>
      </c>
      <c r="H19" s="1411">
        <f>'det -detail'!I71</f>
        <v>0.48</v>
      </c>
      <c r="I19" s="1406">
        <f t="shared" si="0"/>
        <v>0.84998400000000007</v>
      </c>
    </row>
    <row r="20" spans="2:9" ht="30" customHeight="1">
      <c r="B20" s="1407"/>
      <c r="C20" s="1408" t="str">
        <f>'det -detail'!B72&amp;"  "&amp;'det -detail'!C72</f>
        <v>F5 to G5   GB-2</v>
      </c>
      <c r="D20" s="1409">
        <f>'det -detail'!E72</f>
        <v>1</v>
      </c>
      <c r="E20" s="1409">
        <f>'det -detail'!F72</f>
        <v>1</v>
      </c>
      <c r="F20" s="1410">
        <f>'det -detail'!G72</f>
        <v>3.4649999999999999</v>
      </c>
      <c r="G20" s="1410">
        <f>'det -detail'!H72</f>
        <v>0.38</v>
      </c>
      <c r="H20" s="1411">
        <f>'det -detail'!I72</f>
        <v>0.4</v>
      </c>
      <c r="I20" s="1406">
        <f t="shared" si="0"/>
        <v>0.52668000000000004</v>
      </c>
    </row>
    <row r="21" spans="2:9" ht="30" customHeight="1">
      <c r="B21" s="1407"/>
      <c r="C21" s="1408" t="str">
        <f>'det -detail'!B73&amp;"  "&amp;'det -detail'!C73</f>
        <v>G5 to H5   GB-2</v>
      </c>
      <c r="D21" s="1409">
        <f>'det -detail'!E73</f>
        <v>1</v>
      </c>
      <c r="E21" s="1409">
        <f>'det -detail'!F73</f>
        <v>1</v>
      </c>
      <c r="F21" s="1410">
        <f>'det -detail'!G73</f>
        <v>3.9950000000000001</v>
      </c>
      <c r="G21" s="1410">
        <f>'det -detail'!H73</f>
        <v>0.38</v>
      </c>
      <c r="H21" s="1411">
        <f>'det -detail'!I73</f>
        <v>0.4</v>
      </c>
      <c r="I21" s="1406">
        <f t="shared" si="0"/>
        <v>0.60724</v>
      </c>
    </row>
    <row r="22" spans="2:9" ht="30" customHeight="1">
      <c r="B22" s="1407"/>
      <c r="C22" s="1408" t="str">
        <f>'det -detail'!B74&amp;"  "&amp;'det -detail'!C74</f>
        <v>B6' to D6'  GB-3</v>
      </c>
      <c r="D22" s="1409">
        <f>'det -detail'!E74</f>
        <v>1</v>
      </c>
      <c r="E22" s="1409">
        <f>'det -detail'!F74</f>
        <v>1</v>
      </c>
      <c r="F22" s="1410">
        <f>'det -detail'!G74</f>
        <v>3.125</v>
      </c>
      <c r="G22" s="1410">
        <f>'det -detail'!H74</f>
        <v>0.38</v>
      </c>
      <c r="H22" s="1411">
        <f>'det -detail'!I74</f>
        <v>0.4</v>
      </c>
      <c r="I22" s="1406">
        <f t="shared" si="0"/>
        <v>0.47500000000000003</v>
      </c>
    </row>
    <row r="23" spans="2:9" ht="30" customHeight="1">
      <c r="B23" s="1407"/>
      <c r="C23" s="1408" t="str">
        <f>'det -detail'!B75&amp;"  "&amp;'det -detail'!C75</f>
        <v>G6 to H6  GB-2</v>
      </c>
      <c r="D23" s="1409">
        <f>'det -detail'!E75</f>
        <v>1</v>
      </c>
      <c r="E23" s="1409">
        <f>'det -detail'!F75</f>
        <v>1</v>
      </c>
      <c r="F23" s="1410">
        <f>'det -detail'!G75</f>
        <v>4.2300000000000004</v>
      </c>
      <c r="G23" s="1410">
        <f>'det -detail'!H75</f>
        <v>0.38</v>
      </c>
      <c r="H23" s="1411">
        <f>'det -detail'!I75</f>
        <v>0.4</v>
      </c>
      <c r="I23" s="1406">
        <f t="shared" si="0"/>
        <v>0.64296000000000009</v>
      </c>
    </row>
    <row r="24" spans="2:9" ht="30" customHeight="1">
      <c r="B24" s="1407"/>
      <c r="C24" s="1408" t="str">
        <f>'det -detail'!B76&amp;"  "&amp;'det -detail'!C76</f>
        <v>B7 to E7  GB-1</v>
      </c>
      <c r="D24" s="1409">
        <f>'det -detail'!E76</f>
        <v>1</v>
      </c>
      <c r="E24" s="1409">
        <f>'det -detail'!F76</f>
        <v>1</v>
      </c>
      <c r="F24" s="1410">
        <f>'det -detail'!G76</f>
        <v>5.6549999999999994</v>
      </c>
      <c r="G24" s="1410">
        <f>'det -detail'!H76</f>
        <v>0.38</v>
      </c>
      <c r="H24" s="1411">
        <f>'det -detail'!I76</f>
        <v>0.48</v>
      </c>
      <c r="I24" s="1406">
        <f t="shared" si="0"/>
        <v>1.0314719999999999</v>
      </c>
    </row>
    <row r="25" spans="2:9" ht="30" customHeight="1">
      <c r="B25" s="1407"/>
      <c r="C25" s="1408" t="str">
        <f>'det -detail'!B77&amp;"  "&amp;'det -detail'!C77</f>
        <v>E7 to H7  GB-2</v>
      </c>
      <c r="D25" s="1409">
        <f>'det -detail'!E77</f>
        <v>1</v>
      </c>
      <c r="E25" s="1409">
        <f>'det -detail'!F77</f>
        <v>1</v>
      </c>
      <c r="F25" s="1410">
        <f>'det -detail'!G77</f>
        <v>8.6900000000000013</v>
      </c>
      <c r="G25" s="1410">
        <f>'det -detail'!H77</f>
        <v>0.38</v>
      </c>
      <c r="H25" s="1411">
        <f>'det -detail'!I77</f>
        <v>0.4</v>
      </c>
      <c r="I25" s="1406">
        <f t="shared" si="0"/>
        <v>1.3208800000000003</v>
      </c>
    </row>
    <row r="26" spans="2:9" ht="30" customHeight="1">
      <c r="B26" s="1407"/>
      <c r="C26" s="1408" t="str">
        <f>'det -detail'!B78&amp;"  "&amp;'det -detail'!C78</f>
        <v>A8 to H8  GB-3</v>
      </c>
      <c r="D26" s="1409">
        <f>'det -detail'!E78</f>
        <v>1</v>
      </c>
      <c r="E26" s="1409">
        <f>'det -detail'!F78</f>
        <v>1</v>
      </c>
      <c r="F26" s="1410">
        <f>'det -detail'!G78</f>
        <v>18.575000000000003</v>
      </c>
      <c r="G26" s="1410">
        <f>'det -detail'!H78</f>
        <v>0.38</v>
      </c>
      <c r="H26" s="1411">
        <f>'det -detail'!I78</f>
        <v>0.4</v>
      </c>
      <c r="I26" s="1406">
        <f t="shared" si="0"/>
        <v>2.8234000000000008</v>
      </c>
    </row>
    <row r="27" spans="2:9" ht="30" customHeight="1">
      <c r="B27" s="1407"/>
      <c r="C27" s="1408"/>
      <c r="D27" s="1409"/>
      <c r="E27" s="1409"/>
      <c r="F27" s="1410"/>
      <c r="G27" s="1410"/>
      <c r="H27" s="1411"/>
      <c r="I27" s="1406"/>
    </row>
    <row r="28" spans="2:9" ht="30" customHeight="1">
      <c r="B28" s="1407"/>
      <c r="C28" s="1408" t="str">
        <f>'det -detail'!B79&amp;"  "&amp;'det -detail'!C79</f>
        <v xml:space="preserve">  </v>
      </c>
      <c r="D28" s="1409">
        <f>'det -detail'!E79</f>
        <v>0</v>
      </c>
      <c r="E28" s="1409">
        <f>'det -detail'!F79</f>
        <v>0</v>
      </c>
      <c r="F28" s="1410">
        <f>'det -detail'!G79</f>
        <v>0</v>
      </c>
      <c r="G28" s="1410">
        <f>'det -detail'!H79</f>
        <v>0</v>
      </c>
      <c r="H28" s="1411">
        <f>'det -detail'!I79</f>
        <v>0</v>
      </c>
      <c r="I28" s="1406">
        <f>PRODUCT(D28:H28)</f>
        <v>0</v>
      </c>
    </row>
    <row r="29" spans="2:9" ht="30" customHeight="1">
      <c r="B29" s="1407"/>
      <c r="C29" s="1415" t="str">
        <f>'det -detail'!B81&amp;'det -detail'!C81</f>
        <v>-Y- Direction</v>
      </c>
      <c r="D29" s="1409">
        <f>'det -detail'!E81</f>
        <v>0</v>
      </c>
      <c r="E29" s="1409">
        <f>'det -detail'!F81</f>
        <v>0</v>
      </c>
      <c r="F29" s="1410">
        <f>'det -detail'!G81</f>
        <v>0</v>
      </c>
      <c r="G29" s="1410">
        <f>'det -detail'!H81</f>
        <v>0</v>
      </c>
      <c r="H29" s="1411">
        <f>'det -detail'!I81</f>
        <v>0</v>
      </c>
      <c r="I29" s="1406">
        <f>PRODUCT(D29:H29)</f>
        <v>0</v>
      </c>
    </row>
    <row r="30" spans="2:9" ht="30" customHeight="1">
      <c r="B30" s="1407"/>
      <c r="C30" s="1408" t="str">
        <f>'det -detail'!B82&amp;"  "&amp;'det -detail'!C82</f>
        <v>D1 to D3 &amp; F1 to F3  GB-3</v>
      </c>
      <c r="D30" s="1409">
        <f>'det -detail'!E82</f>
        <v>1</v>
      </c>
      <c r="E30" s="1409">
        <f>'det -detail'!F82</f>
        <v>2</v>
      </c>
      <c r="F30" s="1410">
        <f>'det -detail'!G82</f>
        <v>4.6899999999999995</v>
      </c>
      <c r="G30" s="1410">
        <f>'det -detail'!H82</f>
        <v>0.38</v>
      </c>
      <c r="H30" s="1411">
        <f>'det -detail'!I82</f>
        <v>0.4</v>
      </c>
      <c r="I30" s="1406">
        <f>PRODUCT(D30:H30)</f>
        <v>1.4257599999999999</v>
      </c>
    </row>
    <row r="31" spans="2:9" ht="30" customHeight="1">
      <c r="B31" s="1407"/>
      <c r="C31" s="1408" t="str">
        <f>'det -detail'!B83&amp;"  "&amp;'det -detail'!C83</f>
        <v>A3 to A8 ,B3 to B8 &amp; H3 to H8  GB-3</v>
      </c>
      <c r="D31" s="1409">
        <f>'det -detail'!E83</f>
        <v>1</v>
      </c>
      <c r="E31" s="1409">
        <f>'det -detail'!F83</f>
        <v>3</v>
      </c>
      <c r="F31" s="1410">
        <f>'det -detail'!G83</f>
        <v>15.649999999999999</v>
      </c>
      <c r="G31" s="1410">
        <f>'det -detail'!H83</f>
        <v>0.38</v>
      </c>
      <c r="H31" s="1411">
        <f>'det -detail'!I83</f>
        <v>0.4</v>
      </c>
      <c r="I31" s="1406">
        <f t="shared" ref="I31:I35" si="1">PRODUCT(D31:H31)</f>
        <v>7.1363999999999992</v>
      </c>
    </row>
    <row r="32" spans="2:9" ht="30" customHeight="1">
      <c r="B32" s="1407"/>
      <c r="C32" s="1408" t="str">
        <f>'det -detail'!B84&amp;"  "&amp;'det -detail'!C84</f>
        <v>D5 to D7  GB-1</v>
      </c>
      <c r="D32" s="1409">
        <f>'det -detail'!E84</f>
        <v>1</v>
      </c>
      <c r="E32" s="1409">
        <f>'det -detail'!F84</f>
        <v>1</v>
      </c>
      <c r="F32" s="1410">
        <f>'det -detail'!G84</f>
        <v>5.99</v>
      </c>
      <c r="G32" s="1410">
        <f>'det -detail'!H84</f>
        <v>0.38</v>
      </c>
      <c r="H32" s="1411">
        <f>'det -detail'!I84</f>
        <v>0.48</v>
      </c>
      <c r="I32" s="1406">
        <f t="shared" si="1"/>
        <v>1.092576</v>
      </c>
    </row>
    <row r="33" spans="1:24" ht="30" customHeight="1">
      <c r="B33" s="1407"/>
      <c r="C33" s="1408" t="str">
        <f>'det -detail'!B85&amp;"  "&amp;'det -detail'!C85</f>
        <v>E7 to E8 &amp; G7 to G8  GB-3</v>
      </c>
      <c r="D33" s="1409">
        <f>'det -detail'!E85</f>
        <v>1</v>
      </c>
      <c r="E33" s="1409">
        <f>'det -detail'!F85</f>
        <v>2</v>
      </c>
      <c r="F33" s="1410">
        <f>'det -detail'!G85</f>
        <v>4.13</v>
      </c>
      <c r="G33" s="1410">
        <f>'det -detail'!H85</f>
        <v>0.38</v>
      </c>
      <c r="H33" s="1411">
        <f>'det -detail'!I85</f>
        <v>0.4</v>
      </c>
      <c r="I33" s="1406">
        <f t="shared" si="1"/>
        <v>1.25552</v>
      </c>
    </row>
    <row r="34" spans="1:24" ht="30" customHeight="1">
      <c r="B34" s="1407"/>
      <c r="C34" s="1408" t="str">
        <f>'det -detail'!B86&amp;"  "&amp;'det -detail'!C86</f>
        <v>F3 To F5  GB-3</v>
      </c>
      <c r="D34" s="1409">
        <f>'det -detail'!E86</f>
        <v>1</v>
      </c>
      <c r="E34" s="1409">
        <f>'det -detail'!F86</f>
        <v>1</v>
      </c>
      <c r="F34" s="1410">
        <f>'det -detail'!G86</f>
        <v>5.5299999999999994</v>
      </c>
      <c r="G34" s="1410">
        <f>'det -detail'!H86</f>
        <v>0.38</v>
      </c>
      <c r="H34" s="1411">
        <f>'det -detail'!I86</f>
        <v>0.4</v>
      </c>
      <c r="I34" s="1406">
        <f t="shared" si="1"/>
        <v>0.84055999999999997</v>
      </c>
    </row>
    <row r="35" spans="1:24" ht="30" customHeight="1">
      <c r="B35" s="1407"/>
      <c r="C35" s="1408" t="str">
        <f>'det -detail'!B87&amp;"  "&amp;'det -detail'!C87</f>
        <v>G5 to G7  GB-3</v>
      </c>
      <c r="D35" s="1409">
        <f>'det -detail'!E87</f>
        <v>1</v>
      </c>
      <c r="E35" s="1409">
        <f>'det -detail'!F87</f>
        <v>1</v>
      </c>
      <c r="F35" s="1410">
        <f>'det -detail'!G87</f>
        <v>5.99</v>
      </c>
      <c r="G35" s="1410">
        <f>'det -detail'!H87</f>
        <v>0.38</v>
      </c>
      <c r="H35" s="1411">
        <f>'det -detail'!I87</f>
        <v>0.4</v>
      </c>
      <c r="I35" s="1406">
        <f t="shared" si="1"/>
        <v>0.91048000000000018</v>
      </c>
    </row>
    <row r="36" spans="1:24" ht="30" customHeight="1">
      <c r="B36" s="1407"/>
      <c r="C36" s="1415" t="s">
        <v>267</v>
      </c>
      <c r="D36" s="1409"/>
      <c r="E36" s="1409"/>
      <c r="F36" s="1410"/>
      <c r="G36" s="1410"/>
      <c r="H36" s="1411"/>
      <c r="I36" s="1406">
        <f>PRODUCT(D36:H36)</f>
        <v>0</v>
      </c>
    </row>
    <row r="37" spans="1:24" ht="36.75" customHeight="1">
      <c r="B37" s="1407"/>
      <c r="C37" s="1408" t="str">
        <f>'det -detail'!B99</f>
        <v xml:space="preserve">For C1 Round Column Dia 0.3 Radius = 0.15 </v>
      </c>
      <c r="D37" s="1416">
        <f>-'det -detail'!E99</f>
        <v>-4</v>
      </c>
      <c r="E37" s="1409">
        <f>'det -detail'!F99</f>
        <v>3.14</v>
      </c>
      <c r="F37" s="1410">
        <f>'det -detail'!G99</f>
        <v>0.15</v>
      </c>
      <c r="G37" s="1410">
        <f>'det -detail'!H99</f>
        <v>0.15</v>
      </c>
      <c r="H37" s="1411">
        <f>'det -detail'!L99</f>
        <v>0.4</v>
      </c>
      <c r="I37" s="1406">
        <f>PRODUCT(D37:H37)</f>
        <v>-0.11303999999999999</v>
      </c>
    </row>
    <row r="38" spans="1:24" ht="30" customHeight="1">
      <c r="B38" s="1407"/>
      <c r="C38" s="1408" t="str">
        <f>'det -detail'!B100</f>
        <v>For C2</v>
      </c>
      <c r="D38" s="1416">
        <f>-'det -detail'!E100</f>
        <v>-11</v>
      </c>
      <c r="E38" s="1409">
        <f>'det -detail'!F100</f>
        <v>1</v>
      </c>
      <c r="F38" s="1410">
        <f>'det -detail'!G100</f>
        <v>0.23</v>
      </c>
      <c r="G38" s="1410">
        <f>'det -detail'!H100</f>
        <v>0.38</v>
      </c>
      <c r="H38" s="1411">
        <f>'det -detail'!L100</f>
        <v>0.4</v>
      </c>
      <c r="I38" s="1406">
        <f t="shared" ref="I38:I40" si="2">PRODUCT(D38:H38)</f>
        <v>-0.38456000000000007</v>
      </c>
    </row>
    <row r="39" spans="1:24" ht="30" customHeight="1">
      <c r="B39" s="1407"/>
      <c r="C39" s="1408" t="str">
        <f>'det -detail'!B101</f>
        <v>For C3</v>
      </c>
      <c r="D39" s="1416">
        <f>-'det -detail'!E101</f>
        <v>-10</v>
      </c>
      <c r="E39" s="1409">
        <f>'det -detail'!F101</f>
        <v>1</v>
      </c>
      <c r="F39" s="1410">
        <f>'det -detail'!G101</f>
        <v>0.23</v>
      </c>
      <c r="G39" s="1410">
        <f>'det -detail'!H101</f>
        <v>0.45</v>
      </c>
      <c r="H39" s="1411">
        <f>'det -detail'!L101</f>
        <v>0.48</v>
      </c>
      <c r="I39" s="1406">
        <f t="shared" si="2"/>
        <v>-0.49680000000000007</v>
      </c>
    </row>
    <row r="40" spans="1:24" ht="30" customHeight="1">
      <c r="B40" s="1407"/>
      <c r="C40" s="1408" t="str">
        <f>'det -detail'!B102</f>
        <v>For C4</v>
      </c>
      <c r="D40" s="1416">
        <f>-'det -detail'!E102</f>
        <v>-7</v>
      </c>
      <c r="E40" s="1409">
        <f>'det -detail'!F102</f>
        <v>1</v>
      </c>
      <c r="F40" s="1410">
        <f>'det -detail'!G102</f>
        <v>0.3</v>
      </c>
      <c r="G40" s="1410">
        <f>'det -detail'!H102</f>
        <v>0.45</v>
      </c>
      <c r="H40" s="1411">
        <f>'det -detail'!L102</f>
        <v>0.48</v>
      </c>
      <c r="I40" s="1406">
        <f t="shared" si="2"/>
        <v>-0.4536</v>
      </c>
      <c r="J40" s="1397">
        <f>SUM(I14:I40)</f>
        <v>27.225279999999998</v>
      </c>
    </row>
    <row r="41" spans="1:24" ht="30" customHeight="1">
      <c r="B41" s="1407"/>
      <c r="C41" s="1408" t="s">
        <v>268</v>
      </c>
      <c r="D41" s="1409">
        <v>1</v>
      </c>
      <c r="E41" s="1409">
        <v>1</v>
      </c>
      <c r="F41" s="1410">
        <f>3.225</f>
        <v>3.2250000000000001</v>
      </c>
      <c r="G41" s="1410">
        <v>0.9</v>
      </c>
      <c r="H41" s="1411">
        <v>0.3</v>
      </c>
      <c r="I41" s="1406">
        <f>PRODUCT(D41:H41)</f>
        <v>0.87075000000000002</v>
      </c>
    </row>
    <row r="42" spans="1:24" ht="30" customHeight="1">
      <c r="B42" s="1407"/>
      <c r="C42" s="1417" t="s">
        <v>269</v>
      </c>
      <c r="D42" s="1418">
        <v>1</v>
      </c>
      <c r="E42" s="1418">
        <v>6</v>
      </c>
      <c r="F42" s="1419">
        <v>1.35</v>
      </c>
      <c r="G42" s="1419">
        <v>1.35</v>
      </c>
      <c r="H42" s="1420">
        <v>0.3</v>
      </c>
      <c r="I42" s="1406">
        <f>PRODUCT(D42:H42)</f>
        <v>3.2805000000000004</v>
      </c>
    </row>
    <row r="43" spans="1:24" s="1394" customFormat="1" ht="30" customHeight="1">
      <c r="B43" s="1421"/>
      <c r="C43" s="1422" t="s">
        <v>270</v>
      </c>
      <c r="D43" s="1389"/>
      <c r="E43" s="1389"/>
      <c r="F43" s="1423"/>
      <c r="G43" s="1423"/>
      <c r="H43" s="1424"/>
      <c r="I43" s="1425">
        <f>J44-J43</f>
        <v>3.2699999997021223E-3</v>
      </c>
      <c r="J43" s="1394">
        <f>SUM(I11:I42)</f>
        <v>1045.6967300000001</v>
      </c>
      <c r="M43" s="1426"/>
    </row>
    <row r="44" spans="1:24" s="1394" customFormat="1" ht="30" customHeight="1">
      <c r="B44" s="1421"/>
      <c r="C44" s="1422"/>
      <c r="D44" s="1389"/>
      <c r="E44" s="1389"/>
      <c r="F44" s="1423"/>
      <c r="G44" s="1423"/>
      <c r="H44" s="1424"/>
      <c r="I44" s="1427">
        <f>+J44</f>
        <v>1045.6999999999998</v>
      </c>
      <c r="J44" s="1394">
        <f>ROUNDUP(J43,1)</f>
        <v>1045.6999999999998</v>
      </c>
      <c r="M44" s="1426"/>
    </row>
    <row r="45" spans="1:24" s="1394" customFormat="1" ht="30" customHeight="1">
      <c r="B45" s="1421"/>
      <c r="C45" s="1422"/>
      <c r="D45" s="1389"/>
      <c r="E45" s="1389"/>
      <c r="F45" s="1423"/>
      <c r="G45" s="1428" t="s">
        <v>11</v>
      </c>
      <c r="H45" s="1429">
        <f>I44</f>
        <v>1045.6999999999998</v>
      </c>
      <c r="I45" s="1427" t="s">
        <v>19</v>
      </c>
      <c r="M45" s="1426" t="str">
        <f>A10</f>
        <v xml:space="preserve">a. 0 to 2 mt.  Earth work excavation in all soils (including refilling) </v>
      </c>
      <c r="O45" s="1394">
        <f>H45</f>
        <v>1045.6999999999998</v>
      </c>
      <c r="P45" s="1394" t="str">
        <f>I45</f>
        <v>Cum</v>
      </c>
      <c r="Q45" s="1394">
        <f>IFERROR(VLOOKUP(M45,#REF!,3,0),0)</f>
        <v>0</v>
      </c>
      <c r="R45" s="1394">
        <f>ROUND(O45,2)*ROUND(Q45,2)</f>
        <v>0</v>
      </c>
      <c r="S45" s="1394">
        <f>IFERROR(VLOOKUP(M45,#REF!,6,0),0)</f>
        <v>0</v>
      </c>
      <c r="T45" s="1394">
        <f>R45-S45</f>
        <v>0</v>
      </c>
      <c r="U45" s="1394">
        <f>IFERROR(VLOOKUP(M45,#REF!,5,0),0)</f>
        <v>0</v>
      </c>
      <c r="V45" s="1394">
        <f>O45-U45</f>
        <v>1045.6999999999998</v>
      </c>
    </row>
    <row r="46" spans="1:24" ht="30" customHeight="1">
      <c r="A46" s="1397" t="e">
        <f>#REF!</f>
        <v>#REF!</v>
      </c>
      <c r="B46" s="1407"/>
      <c r="C46" s="1678" t="e">
        <f>VLOOKUP(A46,#REF!,2,0)</f>
        <v>#REF!</v>
      </c>
      <c r="D46" s="1678"/>
      <c r="E46" s="1678"/>
      <c r="F46" s="1678"/>
      <c r="G46" s="1678"/>
      <c r="H46" s="1678"/>
      <c r="I46" s="1406"/>
      <c r="Q46" s="1394">
        <f>IFERROR(VLOOKUP(M46,#REF!,3,0),0)</f>
        <v>0</v>
      </c>
      <c r="R46" s="1394">
        <f t="shared" ref="R46:R109" si="3">ROUND(O46,2)*ROUND(Q46,2)</f>
        <v>0</v>
      </c>
      <c r="S46" s="1394">
        <f>IFERROR(VLOOKUP(M46,#REF!,6,0),0)</f>
        <v>0</v>
      </c>
      <c r="T46" s="1394">
        <f t="shared" ref="T46:T109" si="4">R46-S46</f>
        <v>0</v>
      </c>
      <c r="U46" s="1394">
        <f>IFERROR(VLOOKUP(M46,#REF!,5,0),0)</f>
        <v>0</v>
      </c>
      <c r="V46" s="1394">
        <f t="shared" ref="V46:V109" si="5">O46-U46</f>
        <v>0</v>
      </c>
      <c r="W46" s="1394"/>
      <c r="X46" s="1397"/>
    </row>
    <row r="47" spans="1:24" ht="30" customHeight="1">
      <c r="B47" s="1407"/>
      <c r="C47" s="1412" t="s">
        <v>162</v>
      </c>
      <c r="D47" s="103"/>
      <c r="E47" s="103"/>
      <c r="F47" s="1413"/>
      <c r="G47" s="1413"/>
      <c r="H47" s="1414"/>
      <c r="I47" s="1406"/>
      <c r="Q47" s="1394">
        <f>IFERROR(VLOOKUP(M47,#REF!,3,0),0)</f>
        <v>0</v>
      </c>
      <c r="R47" s="1394">
        <f t="shared" si="3"/>
        <v>0</v>
      </c>
      <c r="S47" s="1394">
        <f>IFERROR(VLOOKUP(M47,#REF!,6,0),0)</f>
        <v>0</v>
      </c>
      <c r="T47" s="1394">
        <f t="shared" si="4"/>
        <v>0</v>
      </c>
      <c r="U47" s="1394">
        <f>IFERROR(VLOOKUP(M47,#REF!,5,0),0)</f>
        <v>0</v>
      </c>
      <c r="V47" s="1394">
        <f t="shared" si="5"/>
        <v>0</v>
      </c>
      <c r="W47" s="1394"/>
    </row>
    <row r="48" spans="1:24" ht="30" customHeight="1">
      <c r="B48" s="1407"/>
      <c r="C48" s="1408" t="str">
        <f>'det -detail'!B47&amp;'det -detail'!C47&amp;'det -detail'!D47</f>
        <v>For C1 F1 Footing</v>
      </c>
      <c r="D48" s="1409">
        <f>'det -detail'!E47</f>
        <v>1</v>
      </c>
      <c r="E48" s="1409">
        <f>'det -detail'!F47</f>
        <v>3</v>
      </c>
      <c r="F48" s="1410">
        <f>'det -detail'!G47</f>
        <v>1.6</v>
      </c>
      <c r="G48" s="1410">
        <f>'det -detail'!H47</f>
        <v>1.6</v>
      </c>
      <c r="H48" s="1411">
        <f>'det -detail'!I47</f>
        <v>1</v>
      </c>
      <c r="I48" s="1406">
        <f t="shared" ref="I48:I52" si="6">PRODUCT(D48:H48)</f>
        <v>7.6800000000000015</v>
      </c>
      <c r="Q48" s="1394">
        <f>IFERROR(VLOOKUP(M48,#REF!,3,0),0)</f>
        <v>0</v>
      </c>
      <c r="R48" s="1394">
        <f t="shared" si="3"/>
        <v>0</v>
      </c>
      <c r="S48" s="1394">
        <f>IFERROR(VLOOKUP(M48,#REF!,6,0),0)</f>
        <v>0</v>
      </c>
      <c r="T48" s="1394">
        <f t="shared" si="4"/>
        <v>0</v>
      </c>
      <c r="U48" s="1394">
        <f>IFERROR(VLOOKUP(M48,#REF!,5,0),0)</f>
        <v>0</v>
      </c>
      <c r="V48" s="1394">
        <f t="shared" si="5"/>
        <v>0</v>
      </c>
      <c r="W48" s="1394"/>
    </row>
    <row r="49" spans="2:23" ht="30" customHeight="1">
      <c r="B49" s="1407"/>
      <c r="C49" s="1408" t="str">
        <f>'det -detail'!B48&amp;'det -detail'!C48&amp;'det -detail'!D48</f>
        <v>For C2 F2 Footing</v>
      </c>
      <c r="D49" s="1409">
        <f>'det -detail'!E48</f>
        <v>1</v>
      </c>
      <c r="E49" s="1409">
        <f>'det -detail'!F48</f>
        <v>11</v>
      </c>
      <c r="F49" s="1410">
        <f>'det -detail'!G48</f>
        <v>2</v>
      </c>
      <c r="G49" s="1410">
        <f>'det -detail'!H48</f>
        <v>2</v>
      </c>
      <c r="H49" s="1411">
        <f>'det -detail'!I48</f>
        <v>1</v>
      </c>
      <c r="I49" s="1406">
        <f t="shared" si="6"/>
        <v>44</v>
      </c>
      <c r="Q49" s="1394">
        <f>IFERROR(VLOOKUP(M49,#REF!,3,0),0)</f>
        <v>0</v>
      </c>
      <c r="R49" s="1394">
        <f t="shared" si="3"/>
        <v>0</v>
      </c>
      <c r="S49" s="1394">
        <f>IFERROR(VLOOKUP(M49,#REF!,6,0),0)</f>
        <v>0</v>
      </c>
      <c r="T49" s="1394">
        <f t="shared" si="4"/>
        <v>0</v>
      </c>
      <c r="U49" s="1394">
        <f>IFERROR(VLOOKUP(M49,#REF!,5,0),0)</f>
        <v>0</v>
      </c>
      <c r="V49" s="1394">
        <f t="shared" si="5"/>
        <v>0</v>
      </c>
      <c r="W49" s="1394"/>
    </row>
    <row r="50" spans="2:23" ht="30" customHeight="1">
      <c r="B50" s="1407"/>
      <c r="C50" s="1408" t="str">
        <f>'det -detail'!B49&amp;'det -detail'!C49&amp;'det -detail'!D49</f>
        <v>For C3 F3 Footing</v>
      </c>
      <c r="D50" s="1409">
        <f>'det -detail'!E49</f>
        <v>1</v>
      </c>
      <c r="E50" s="1409">
        <f>'det -detail'!F49</f>
        <v>9</v>
      </c>
      <c r="F50" s="1410">
        <f>'det -detail'!G49</f>
        <v>2.2000000000000002</v>
      </c>
      <c r="G50" s="1410">
        <f>'det -detail'!H49</f>
        <v>2.2000000000000002</v>
      </c>
      <c r="H50" s="1411">
        <f>'det -detail'!I49</f>
        <v>1</v>
      </c>
      <c r="I50" s="1406">
        <f t="shared" si="6"/>
        <v>43.56</v>
      </c>
      <c r="Q50" s="1394">
        <f>IFERROR(VLOOKUP(M50,#REF!,3,0),0)</f>
        <v>0</v>
      </c>
      <c r="R50" s="1394">
        <f t="shared" si="3"/>
        <v>0</v>
      </c>
      <c r="S50" s="1394">
        <f>IFERROR(VLOOKUP(M50,#REF!,6,0),0)</f>
        <v>0</v>
      </c>
      <c r="T50" s="1394">
        <f t="shared" si="4"/>
        <v>0</v>
      </c>
      <c r="U50" s="1394">
        <f>IFERROR(VLOOKUP(M50,#REF!,5,0),0)</f>
        <v>0</v>
      </c>
      <c r="V50" s="1394">
        <f t="shared" si="5"/>
        <v>0</v>
      </c>
      <c r="W50" s="1394"/>
    </row>
    <row r="51" spans="2:23" ht="30" customHeight="1">
      <c r="B51" s="1407"/>
      <c r="C51" s="1408" t="str">
        <f>'det -detail'!B50&amp;'det -detail'!C50&amp;'det -detail'!D50</f>
        <v>For C4 F4 Footing</v>
      </c>
      <c r="D51" s="1409">
        <f>'det -detail'!E50</f>
        <v>1</v>
      </c>
      <c r="E51" s="1409">
        <f>'det -detail'!F50</f>
        <v>7</v>
      </c>
      <c r="F51" s="1410">
        <f>'det -detail'!G50</f>
        <v>2.5</v>
      </c>
      <c r="G51" s="1410">
        <f>'det -detail'!H50</f>
        <v>2.5</v>
      </c>
      <c r="H51" s="1411">
        <f>'det -detail'!I50</f>
        <v>1</v>
      </c>
      <c r="I51" s="1406">
        <f t="shared" si="6"/>
        <v>43.75</v>
      </c>
      <c r="Q51" s="1394">
        <f>IFERROR(VLOOKUP(M51,#REF!,3,0),0)</f>
        <v>0</v>
      </c>
      <c r="R51" s="1394">
        <f t="shared" si="3"/>
        <v>0</v>
      </c>
      <c r="S51" s="1394">
        <f>IFERROR(VLOOKUP(M51,#REF!,6,0),0)</f>
        <v>0</v>
      </c>
      <c r="T51" s="1394">
        <f t="shared" si="4"/>
        <v>0</v>
      </c>
      <c r="U51" s="1394">
        <f>IFERROR(VLOOKUP(M51,#REF!,5,0),0)</f>
        <v>0</v>
      </c>
      <c r="V51" s="1394">
        <f t="shared" si="5"/>
        <v>0</v>
      </c>
      <c r="W51" s="1394"/>
    </row>
    <row r="52" spans="2:23" ht="30" customHeight="1">
      <c r="B52" s="1407"/>
      <c r="C52" s="1408" t="str">
        <f>'det -detail'!B51&amp;'det -detail'!C51&amp;'det -detail'!D51</f>
        <v>For C3,c1F4 Footing</v>
      </c>
      <c r="D52" s="1409">
        <f>'det -detail'!E51</f>
        <v>1</v>
      </c>
      <c r="E52" s="1409">
        <f>'det -detail'!F51</f>
        <v>1</v>
      </c>
      <c r="F52" s="1410">
        <f>'det -detail'!G51</f>
        <v>2.2000000000000002</v>
      </c>
      <c r="G52" s="1410">
        <f>'det -detail'!H51</f>
        <v>2.8</v>
      </c>
      <c r="H52" s="1411">
        <f>'det -detail'!I51</f>
        <v>1</v>
      </c>
      <c r="I52" s="1406">
        <f t="shared" si="6"/>
        <v>6.16</v>
      </c>
      <c r="Q52" s="1394">
        <f>IFERROR(VLOOKUP(M52,#REF!,3,0),0)</f>
        <v>0</v>
      </c>
      <c r="R52" s="1394">
        <f t="shared" si="3"/>
        <v>0</v>
      </c>
      <c r="S52" s="1394">
        <f>IFERROR(VLOOKUP(M52,#REF!,6,0),0)</f>
        <v>0</v>
      </c>
      <c r="T52" s="1394">
        <f t="shared" si="4"/>
        <v>0</v>
      </c>
      <c r="U52" s="1394">
        <f>IFERROR(VLOOKUP(M52,#REF!,5,0),0)</f>
        <v>0</v>
      </c>
      <c r="V52" s="1394">
        <f t="shared" si="5"/>
        <v>0</v>
      </c>
      <c r="W52" s="1394"/>
    </row>
    <row r="53" spans="2:23" ht="30" customHeight="1">
      <c r="B53" s="1407"/>
      <c r="C53" s="1412" t="s">
        <v>5713</v>
      </c>
      <c r="D53" s="103"/>
      <c r="E53" s="103"/>
      <c r="F53" s="1413"/>
      <c r="G53" s="1413"/>
      <c r="H53" s="1414"/>
      <c r="I53" s="1406">
        <f t="shared" ref="I53:I67" si="7">PRODUCT(D53:H53)</f>
        <v>0</v>
      </c>
      <c r="Q53" s="1394">
        <f>IFERROR(VLOOKUP(M53,#REF!,3,0),0)</f>
        <v>0</v>
      </c>
      <c r="R53" s="1394">
        <f t="shared" si="3"/>
        <v>0</v>
      </c>
      <c r="S53" s="1394">
        <f>IFERROR(VLOOKUP(M53,#REF!,6,0),0)</f>
        <v>0</v>
      </c>
      <c r="T53" s="1394">
        <f t="shared" si="4"/>
        <v>0</v>
      </c>
      <c r="U53" s="1394">
        <f>IFERROR(VLOOKUP(M53,#REF!,5,0),0)</f>
        <v>0</v>
      </c>
      <c r="V53" s="1394">
        <f t="shared" si="5"/>
        <v>0</v>
      </c>
      <c r="W53" s="1394"/>
    </row>
    <row r="54" spans="2:23" ht="30" customHeight="1">
      <c r="B54" s="1407"/>
      <c r="C54" s="1415" t="str">
        <f>'det -detail'!B65&amp;'det -detail'!C65</f>
        <v>-X- Direction</v>
      </c>
      <c r="D54" s="1408"/>
      <c r="E54" s="1408"/>
      <c r="F54" s="1408"/>
      <c r="G54" s="1430"/>
      <c r="H54" s="1408"/>
      <c r="I54" s="1580"/>
      <c r="Q54" s="1394">
        <f>IFERROR(VLOOKUP(M54,#REF!,3,0),0)</f>
        <v>0</v>
      </c>
      <c r="R54" s="1394">
        <f t="shared" si="3"/>
        <v>0</v>
      </c>
      <c r="S54" s="1394">
        <f>IFERROR(VLOOKUP(M54,#REF!,6,0),0)</f>
        <v>0</v>
      </c>
      <c r="T54" s="1394">
        <f t="shared" si="4"/>
        <v>0</v>
      </c>
      <c r="U54" s="1394">
        <f>IFERROR(VLOOKUP(M54,#REF!,5,0),0)</f>
        <v>0</v>
      </c>
      <c r="V54" s="1394">
        <f t="shared" si="5"/>
        <v>0</v>
      </c>
      <c r="W54" s="1394"/>
    </row>
    <row r="55" spans="2:23" ht="30" customHeight="1">
      <c r="B55" s="1407"/>
      <c r="C55" s="1408" t="str">
        <f>'det -detail'!B66&amp;'det -detail'!C66</f>
        <v>A3 to B3, A5 to B5 , A6 to B6 and A6 to B6GB-2</v>
      </c>
      <c r="D55" s="1409">
        <f>'det -detail'!E66</f>
        <v>1</v>
      </c>
      <c r="E55" s="1409">
        <f>'det -detail'!F66</f>
        <v>4</v>
      </c>
      <c r="F55" s="1410">
        <f>'det -detail'!G66</f>
        <v>4.2300000000000004</v>
      </c>
      <c r="G55" s="1410">
        <f>'det -detail'!H66</f>
        <v>0.38</v>
      </c>
      <c r="H55" s="1411">
        <f>'det -detail'!I66</f>
        <v>0.4</v>
      </c>
      <c r="I55" s="1406">
        <f t="shared" si="7"/>
        <v>2.5718400000000003</v>
      </c>
      <c r="Q55" s="1394">
        <f>IFERROR(VLOOKUP(M55,#REF!,3,0),0)</f>
        <v>0</v>
      </c>
      <c r="R55" s="1394">
        <f t="shared" si="3"/>
        <v>0</v>
      </c>
      <c r="S55" s="1394">
        <f>IFERROR(VLOOKUP(M55,#REF!,6,0),0)</f>
        <v>0</v>
      </c>
      <c r="T55" s="1394">
        <f t="shared" si="4"/>
        <v>0</v>
      </c>
      <c r="U55" s="1394">
        <f>IFERROR(VLOOKUP(M55,#REF!,5,0),0)</f>
        <v>0</v>
      </c>
      <c r="V55" s="1394">
        <f t="shared" si="5"/>
        <v>0</v>
      </c>
      <c r="W55" s="1394"/>
    </row>
    <row r="56" spans="2:23" ht="30" customHeight="1">
      <c r="B56" s="1407"/>
      <c r="C56" s="1408" t="str">
        <f>'det -detail'!B67&amp;'det -detail'!C67</f>
        <v>D1 to F1 &amp; D2 to F2GB-3</v>
      </c>
      <c r="D56" s="1409">
        <f>'det -detail'!E67</f>
        <v>1</v>
      </c>
      <c r="E56" s="1409">
        <f>'det -detail'!F67</f>
        <v>2</v>
      </c>
      <c r="F56" s="1410">
        <f>'det -detail'!G67</f>
        <v>3.6549999999999998</v>
      </c>
      <c r="G56" s="1410">
        <f>'det -detail'!H67</f>
        <v>0.38</v>
      </c>
      <c r="H56" s="1411">
        <f>'det -detail'!I67</f>
        <v>0.4</v>
      </c>
      <c r="I56" s="1406">
        <f t="shared" si="7"/>
        <v>1.1111200000000001</v>
      </c>
      <c r="Q56" s="1394">
        <f>IFERROR(VLOOKUP(M56,#REF!,3,0),0)</f>
        <v>0</v>
      </c>
      <c r="R56" s="1394">
        <f t="shared" si="3"/>
        <v>0</v>
      </c>
      <c r="S56" s="1394">
        <f>IFERROR(VLOOKUP(M56,#REF!,6,0),0)</f>
        <v>0</v>
      </c>
      <c r="T56" s="1394">
        <f t="shared" si="4"/>
        <v>0</v>
      </c>
      <c r="U56" s="1394">
        <f>IFERROR(VLOOKUP(M56,#REF!,5,0),0)</f>
        <v>0</v>
      </c>
      <c r="V56" s="1394">
        <f t="shared" si="5"/>
        <v>0</v>
      </c>
      <c r="W56" s="1394"/>
    </row>
    <row r="57" spans="2:23" ht="30" customHeight="1">
      <c r="B57" s="1407"/>
      <c r="C57" s="1408" t="str">
        <f>'det -detail'!B68&amp;'det -detail'!C68</f>
        <v>B3 to F3GB-1</v>
      </c>
      <c r="D57" s="1409">
        <f>'det -detail'!E68</f>
        <v>1</v>
      </c>
      <c r="E57" s="1409">
        <f>'det -detail'!F68</f>
        <v>1</v>
      </c>
      <c r="F57" s="1410">
        <f>'det -detail'!G68</f>
        <v>6.8849999999999998</v>
      </c>
      <c r="G57" s="1410">
        <f>'det -detail'!H68</f>
        <v>0.38</v>
      </c>
      <c r="H57" s="1411">
        <f>'det -detail'!I68</f>
        <v>0.48</v>
      </c>
      <c r="I57" s="1406">
        <f t="shared" si="7"/>
        <v>1.2558239999999998</v>
      </c>
      <c r="Q57" s="1394">
        <f>IFERROR(VLOOKUP(M57,#REF!,3,0),0)</f>
        <v>0</v>
      </c>
      <c r="R57" s="1394">
        <f t="shared" si="3"/>
        <v>0</v>
      </c>
      <c r="S57" s="1394">
        <f>IFERROR(VLOOKUP(M57,#REF!,6,0),0)</f>
        <v>0</v>
      </c>
      <c r="T57" s="1394">
        <f t="shared" si="4"/>
        <v>0</v>
      </c>
      <c r="U57" s="1394">
        <f>IFERROR(VLOOKUP(M57,#REF!,5,0),0)</f>
        <v>0</v>
      </c>
      <c r="V57" s="1394">
        <f t="shared" si="5"/>
        <v>0</v>
      </c>
      <c r="W57" s="1394"/>
    </row>
    <row r="58" spans="2:23" ht="30" customHeight="1">
      <c r="B58" s="1407"/>
      <c r="C58" s="1408" t="str">
        <f>'det -detail'!B69&amp;'det -detail'!C69</f>
        <v>F3 to H3GB-2</v>
      </c>
      <c r="D58" s="1409">
        <f>'det -detail'!E69</f>
        <v>1</v>
      </c>
      <c r="E58" s="1409">
        <f>'det -detail'!F69</f>
        <v>1</v>
      </c>
      <c r="F58" s="1410">
        <f>'det -detail'!G69</f>
        <v>7.46</v>
      </c>
      <c r="G58" s="1410">
        <f>'det -detail'!H69</f>
        <v>0.38</v>
      </c>
      <c r="H58" s="1411">
        <f>'det -detail'!I69</f>
        <v>0.4</v>
      </c>
      <c r="I58" s="1406">
        <f t="shared" si="7"/>
        <v>1.13392</v>
      </c>
      <c r="Q58" s="1394">
        <f>IFERROR(VLOOKUP(M58,#REF!,3,0),0)</f>
        <v>0</v>
      </c>
      <c r="R58" s="1394">
        <f t="shared" si="3"/>
        <v>0</v>
      </c>
      <c r="S58" s="1394">
        <f>IFERROR(VLOOKUP(M58,#REF!,6,0),0)</f>
        <v>0</v>
      </c>
      <c r="T58" s="1394">
        <f t="shared" si="4"/>
        <v>0</v>
      </c>
      <c r="U58" s="1394">
        <f>IFERROR(VLOOKUP(M58,#REF!,5,0),0)</f>
        <v>0</v>
      </c>
      <c r="V58" s="1394">
        <f t="shared" si="5"/>
        <v>0</v>
      </c>
      <c r="W58" s="1394"/>
    </row>
    <row r="59" spans="2:23" ht="30" customHeight="1">
      <c r="B59" s="1407"/>
      <c r="C59" s="1408" t="str">
        <f>'det -detail'!B70&amp;'det -detail'!C70</f>
        <v>C4 to F4 , C5 to F5GB-1</v>
      </c>
      <c r="D59" s="1409">
        <f>'det -detail'!E70</f>
        <v>1</v>
      </c>
      <c r="E59" s="1409">
        <f>'det -detail'!F70</f>
        <v>2</v>
      </c>
      <c r="F59" s="1410">
        <f>'det -detail'!G70</f>
        <v>4.5549999999999997</v>
      </c>
      <c r="G59" s="1410">
        <f>'det -detail'!H70</f>
        <v>0.38</v>
      </c>
      <c r="H59" s="1411">
        <f>'det -detail'!I70</f>
        <v>0.48</v>
      </c>
      <c r="I59" s="1406">
        <f t="shared" si="7"/>
        <v>1.6616639999999998</v>
      </c>
      <c r="Q59" s="1394">
        <f>IFERROR(VLOOKUP(M59,#REF!,3,0),0)</f>
        <v>0</v>
      </c>
      <c r="R59" s="1394">
        <f t="shared" si="3"/>
        <v>0</v>
      </c>
      <c r="S59" s="1394">
        <f>IFERROR(VLOOKUP(M59,#REF!,6,0),0)</f>
        <v>0</v>
      </c>
      <c r="T59" s="1394">
        <f t="shared" si="4"/>
        <v>0</v>
      </c>
      <c r="U59" s="1394">
        <f>IFERROR(VLOOKUP(M59,#REF!,5,0),0)</f>
        <v>0</v>
      </c>
      <c r="V59" s="1394">
        <f t="shared" si="5"/>
        <v>0</v>
      </c>
      <c r="W59" s="1394"/>
    </row>
    <row r="60" spans="2:23" ht="30" customHeight="1">
      <c r="B60" s="1407"/>
      <c r="C60" s="1408" t="str">
        <f>'det -detail'!B71&amp;'det -detail'!C71</f>
        <v>B4 to C4 , B5 to C5GB-1</v>
      </c>
      <c r="D60" s="1409">
        <f>'det -detail'!E71</f>
        <v>1</v>
      </c>
      <c r="E60" s="1409">
        <f>'det -detail'!F71</f>
        <v>2</v>
      </c>
      <c r="F60" s="1410">
        <f>'det -detail'!G71</f>
        <v>2.33</v>
      </c>
      <c r="G60" s="1410">
        <f>'det -detail'!H71</f>
        <v>0.38</v>
      </c>
      <c r="H60" s="1411">
        <f>'det -detail'!I71</f>
        <v>0.48</v>
      </c>
      <c r="I60" s="1406">
        <f t="shared" si="7"/>
        <v>0.84998400000000007</v>
      </c>
      <c r="Q60" s="1394">
        <f>IFERROR(VLOOKUP(M60,#REF!,3,0),0)</f>
        <v>0</v>
      </c>
      <c r="R60" s="1394">
        <f t="shared" si="3"/>
        <v>0</v>
      </c>
      <c r="S60" s="1394">
        <f>IFERROR(VLOOKUP(M60,#REF!,6,0),0)</f>
        <v>0</v>
      </c>
      <c r="T60" s="1394">
        <f t="shared" si="4"/>
        <v>0</v>
      </c>
      <c r="U60" s="1394">
        <f>IFERROR(VLOOKUP(M60,#REF!,5,0),0)</f>
        <v>0</v>
      </c>
      <c r="V60" s="1394">
        <f t="shared" si="5"/>
        <v>0</v>
      </c>
      <c r="W60" s="1394"/>
    </row>
    <row r="61" spans="2:23" ht="30" customHeight="1">
      <c r="B61" s="1407"/>
      <c r="C61" s="1408" t="str">
        <f>'det -detail'!B72&amp;'det -detail'!C72</f>
        <v>F5 to G5 GB-2</v>
      </c>
      <c r="D61" s="1409">
        <f>'det -detail'!E72</f>
        <v>1</v>
      </c>
      <c r="E61" s="1409">
        <f>'det -detail'!F72</f>
        <v>1</v>
      </c>
      <c r="F61" s="1410">
        <f>'det -detail'!G72</f>
        <v>3.4649999999999999</v>
      </c>
      <c r="G61" s="1410">
        <f>'det -detail'!H72</f>
        <v>0.38</v>
      </c>
      <c r="H61" s="1411">
        <f>'det -detail'!I72</f>
        <v>0.4</v>
      </c>
      <c r="I61" s="1406">
        <f t="shared" si="7"/>
        <v>0.52668000000000004</v>
      </c>
      <c r="Q61" s="1394">
        <f>IFERROR(VLOOKUP(M61,#REF!,3,0),0)</f>
        <v>0</v>
      </c>
      <c r="R61" s="1394">
        <f t="shared" si="3"/>
        <v>0</v>
      </c>
      <c r="S61" s="1394">
        <f>IFERROR(VLOOKUP(M61,#REF!,6,0),0)</f>
        <v>0</v>
      </c>
      <c r="T61" s="1394">
        <f t="shared" si="4"/>
        <v>0</v>
      </c>
      <c r="U61" s="1394">
        <f>IFERROR(VLOOKUP(M61,#REF!,5,0),0)</f>
        <v>0</v>
      </c>
      <c r="V61" s="1394">
        <f t="shared" si="5"/>
        <v>0</v>
      </c>
      <c r="W61" s="1394"/>
    </row>
    <row r="62" spans="2:23" ht="30" customHeight="1">
      <c r="B62" s="1407"/>
      <c r="C62" s="1408" t="str">
        <f>'det -detail'!B73&amp;'det -detail'!C73</f>
        <v>G5 to H5 GB-2</v>
      </c>
      <c r="D62" s="1409">
        <f>'det -detail'!E73</f>
        <v>1</v>
      </c>
      <c r="E62" s="1409">
        <f>'det -detail'!F73</f>
        <v>1</v>
      </c>
      <c r="F62" s="1410">
        <f>'det -detail'!G73</f>
        <v>3.9950000000000001</v>
      </c>
      <c r="G62" s="1410">
        <f>'det -detail'!H73</f>
        <v>0.38</v>
      </c>
      <c r="H62" s="1411">
        <f>'det -detail'!I73</f>
        <v>0.4</v>
      </c>
      <c r="I62" s="1406">
        <f t="shared" si="7"/>
        <v>0.60724</v>
      </c>
      <c r="Q62" s="1394">
        <f>IFERROR(VLOOKUP(M62,#REF!,3,0),0)</f>
        <v>0</v>
      </c>
      <c r="R62" s="1394">
        <f t="shared" si="3"/>
        <v>0</v>
      </c>
      <c r="S62" s="1394">
        <f>IFERROR(VLOOKUP(M62,#REF!,6,0),0)</f>
        <v>0</v>
      </c>
      <c r="T62" s="1394">
        <f t="shared" si="4"/>
        <v>0</v>
      </c>
      <c r="U62" s="1394">
        <f>IFERROR(VLOOKUP(M62,#REF!,5,0),0)</f>
        <v>0</v>
      </c>
      <c r="V62" s="1394">
        <f t="shared" si="5"/>
        <v>0</v>
      </c>
      <c r="W62" s="1394"/>
    </row>
    <row r="63" spans="2:23" ht="30" customHeight="1">
      <c r="B63" s="1407"/>
      <c r="C63" s="1408" t="str">
        <f>'det -detail'!B74&amp;'det -detail'!C74</f>
        <v>B6' to D6'GB-3</v>
      </c>
      <c r="D63" s="1409">
        <f>'det -detail'!E74</f>
        <v>1</v>
      </c>
      <c r="E63" s="1409">
        <f>'det -detail'!F74</f>
        <v>1</v>
      </c>
      <c r="F63" s="1410">
        <f>'det -detail'!G74</f>
        <v>3.125</v>
      </c>
      <c r="G63" s="1410">
        <f>'det -detail'!H74</f>
        <v>0.38</v>
      </c>
      <c r="H63" s="1411">
        <f>'det -detail'!I74</f>
        <v>0.4</v>
      </c>
      <c r="I63" s="1406">
        <f t="shared" si="7"/>
        <v>0.47500000000000003</v>
      </c>
      <c r="Q63" s="1394">
        <f>IFERROR(VLOOKUP(M63,#REF!,3,0),0)</f>
        <v>0</v>
      </c>
      <c r="R63" s="1394">
        <f t="shared" si="3"/>
        <v>0</v>
      </c>
      <c r="S63" s="1394">
        <f>IFERROR(VLOOKUP(M63,#REF!,6,0),0)</f>
        <v>0</v>
      </c>
      <c r="T63" s="1394">
        <f t="shared" si="4"/>
        <v>0</v>
      </c>
      <c r="U63" s="1394">
        <f>IFERROR(VLOOKUP(M63,#REF!,5,0),0)</f>
        <v>0</v>
      </c>
      <c r="V63" s="1394">
        <f t="shared" si="5"/>
        <v>0</v>
      </c>
      <c r="W63" s="1394"/>
    </row>
    <row r="64" spans="2:23" ht="30" customHeight="1">
      <c r="B64" s="1407"/>
      <c r="C64" s="1408" t="str">
        <f>'det -detail'!B75&amp;'det -detail'!C75</f>
        <v>G6 to H6GB-2</v>
      </c>
      <c r="D64" s="1409">
        <f>'det -detail'!E75</f>
        <v>1</v>
      </c>
      <c r="E64" s="1409">
        <f>'det -detail'!F75</f>
        <v>1</v>
      </c>
      <c r="F64" s="1410">
        <f>'det -detail'!G75</f>
        <v>4.2300000000000004</v>
      </c>
      <c r="G64" s="1410">
        <f>'det -detail'!H75</f>
        <v>0.38</v>
      </c>
      <c r="H64" s="1411">
        <f>'det -detail'!I75</f>
        <v>0.4</v>
      </c>
      <c r="I64" s="1406">
        <f t="shared" si="7"/>
        <v>0.64296000000000009</v>
      </c>
      <c r="Q64" s="1394">
        <f>IFERROR(VLOOKUP(M64,#REF!,3,0),0)</f>
        <v>0</v>
      </c>
      <c r="R64" s="1394">
        <f t="shared" si="3"/>
        <v>0</v>
      </c>
      <c r="S64" s="1394">
        <f>IFERROR(VLOOKUP(M64,#REF!,6,0),0)</f>
        <v>0</v>
      </c>
      <c r="T64" s="1394">
        <f t="shared" si="4"/>
        <v>0</v>
      </c>
      <c r="U64" s="1394">
        <f>IFERROR(VLOOKUP(M64,#REF!,5,0),0)</f>
        <v>0</v>
      </c>
      <c r="V64" s="1394">
        <f t="shared" si="5"/>
        <v>0</v>
      </c>
      <c r="W64" s="1394"/>
    </row>
    <row r="65" spans="2:23" ht="30" customHeight="1">
      <c r="B65" s="1407"/>
      <c r="C65" s="1408" t="str">
        <f>'det -detail'!B76&amp;'det -detail'!C76</f>
        <v>B7 to E7GB-1</v>
      </c>
      <c r="D65" s="1409">
        <f>'det -detail'!E76</f>
        <v>1</v>
      </c>
      <c r="E65" s="1409">
        <f>'det -detail'!F76</f>
        <v>1</v>
      </c>
      <c r="F65" s="1410">
        <f>'det -detail'!G76</f>
        <v>5.6549999999999994</v>
      </c>
      <c r="G65" s="1410">
        <f>'det -detail'!H76</f>
        <v>0.38</v>
      </c>
      <c r="H65" s="1411">
        <f>'det -detail'!I76</f>
        <v>0.48</v>
      </c>
      <c r="I65" s="1406">
        <f t="shared" si="7"/>
        <v>1.0314719999999999</v>
      </c>
      <c r="Q65" s="1394">
        <f>IFERROR(VLOOKUP(M65,#REF!,3,0),0)</f>
        <v>0</v>
      </c>
      <c r="R65" s="1394">
        <f t="shared" si="3"/>
        <v>0</v>
      </c>
      <c r="S65" s="1394">
        <f>IFERROR(VLOOKUP(M65,#REF!,6,0),0)</f>
        <v>0</v>
      </c>
      <c r="T65" s="1394">
        <f t="shared" si="4"/>
        <v>0</v>
      </c>
      <c r="U65" s="1394">
        <f>IFERROR(VLOOKUP(M65,#REF!,5,0),0)</f>
        <v>0</v>
      </c>
      <c r="V65" s="1394">
        <f t="shared" si="5"/>
        <v>0</v>
      </c>
      <c r="W65" s="1394"/>
    </row>
    <row r="66" spans="2:23" ht="30" customHeight="1">
      <c r="B66" s="1407"/>
      <c r="C66" s="1408" t="str">
        <f>'det -detail'!B77&amp;'det -detail'!C77</f>
        <v>E7 to H7GB-2</v>
      </c>
      <c r="D66" s="1409">
        <f>'det -detail'!E77</f>
        <v>1</v>
      </c>
      <c r="E66" s="1409">
        <f>'det -detail'!F77</f>
        <v>1</v>
      </c>
      <c r="F66" s="1410">
        <f>'det -detail'!G77</f>
        <v>8.6900000000000013</v>
      </c>
      <c r="G66" s="1410">
        <f>'det -detail'!H77</f>
        <v>0.38</v>
      </c>
      <c r="H66" s="1411">
        <f>'det -detail'!I77</f>
        <v>0.4</v>
      </c>
      <c r="I66" s="1406">
        <f t="shared" si="7"/>
        <v>1.3208800000000003</v>
      </c>
      <c r="Q66" s="1394">
        <f>IFERROR(VLOOKUP(M66,#REF!,3,0),0)</f>
        <v>0</v>
      </c>
      <c r="R66" s="1394">
        <f t="shared" si="3"/>
        <v>0</v>
      </c>
      <c r="S66" s="1394">
        <f>IFERROR(VLOOKUP(M66,#REF!,6,0),0)</f>
        <v>0</v>
      </c>
      <c r="T66" s="1394">
        <f t="shared" si="4"/>
        <v>0</v>
      </c>
      <c r="U66" s="1394">
        <f>IFERROR(VLOOKUP(M66,#REF!,5,0),0)</f>
        <v>0</v>
      </c>
      <c r="V66" s="1394">
        <f t="shared" si="5"/>
        <v>0</v>
      </c>
      <c r="W66" s="1394"/>
    </row>
    <row r="67" spans="2:23" ht="30" customHeight="1">
      <c r="B67" s="1407"/>
      <c r="C67" s="1408" t="str">
        <f>'det -detail'!B78&amp;'det -detail'!C78</f>
        <v>A8 to H8GB-3</v>
      </c>
      <c r="D67" s="1409">
        <f>'det -detail'!E78</f>
        <v>1</v>
      </c>
      <c r="E67" s="1409">
        <f>'det -detail'!F78</f>
        <v>1</v>
      </c>
      <c r="F67" s="1410">
        <f>'det -detail'!G78</f>
        <v>18.575000000000003</v>
      </c>
      <c r="G67" s="1410">
        <f>'det -detail'!H78</f>
        <v>0.38</v>
      </c>
      <c r="H67" s="1411">
        <f>'det -detail'!I78</f>
        <v>0.4</v>
      </c>
      <c r="I67" s="1406">
        <f t="shared" si="7"/>
        <v>2.8234000000000008</v>
      </c>
      <c r="Q67" s="1394">
        <f>IFERROR(VLOOKUP(M67,#REF!,3,0),0)</f>
        <v>0</v>
      </c>
      <c r="R67" s="1394">
        <f t="shared" si="3"/>
        <v>0</v>
      </c>
      <c r="S67" s="1394">
        <f>IFERROR(VLOOKUP(M67,#REF!,6,0),0)</f>
        <v>0</v>
      </c>
      <c r="T67" s="1394">
        <f t="shared" si="4"/>
        <v>0</v>
      </c>
      <c r="U67" s="1394">
        <f>IFERROR(VLOOKUP(M67,#REF!,5,0),0)</f>
        <v>0</v>
      </c>
      <c r="V67" s="1394">
        <f t="shared" si="5"/>
        <v>0</v>
      </c>
      <c r="W67" s="1394"/>
    </row>
    <row r="68" spans="2:23" ht="30" customHeight="1">
      <c r="B68" s="1407"/>
      <c r="C68" s="1408" t="str">
        <f>'det -detail'!B79&amp;'det -detail'!C79</f>
        <v/>
      </c>
      <c r="D68" s="1409">
        <f>'det -detail'!E79</f>
        <v>0</v>
      </c>
      <c r="E68" s="1409">
        <f>'det -detail'!F79</f>
        <v>0</v>
      </c>
      <c r="F68" s="1410">
        <f>'det -detail'!G79</f>
        <v>0</v>
      </c>
      <c r="G68" s="1410">
        <f>'det -detail'!H79</f>
        <v>0</v>
      </c>
      <c r="H68" s="1411">
        <f>'det -detail'!I79</f>
        <v>0</v>
      </c>
      <c r="I68" s="1406">
        <f t="shared" ref="I68:I81" si="8">PRODUCT(D68:H68)</f>
        <v>0</v>
      </c>
      <c r="Q68" s="1394">
        <f>IFERROR(VLOOKUP(M68,#REF!,3,0),0)</f>
        <v>0</v>
      </c>
      <c r="R68" s="1394">
        <f t="shared" si="3"/>
        <v>0</v>
      </c>
      <c r="S68" s="1394">
        <f>IFERROR(VLOOKUP(M68,#REF!,6,0),0)</f>
        <v>0</v>
      </c>
      <c r="T68" s="1394">
        <f t="shared" si="4"/>
        <v>0</v>
      </c>
      <c r="U68" s="1394">
        <f>IFERROR(VLOOKUP(M68,#REF!,5,0),0)</f>
        <v>0</v>
      </c>
      <c r="V68" s="1394">
        <f t="shared" si="5"/>
        <v>0</v>
      </c>
      <c r="W68" s="1394"/>
    </row>
    <row r="69" spans="2:23" ht="30" customHeight="1">
      <c r="B69" s="1407"/>
      <c r="C69" s="1408" t="str">
        <f>'det -detail'!B80&amp;'det -detail'!C80</f>
        <v/>
      </c>
      <c r="D69" s="1409">
        <f>'det -detail'!E80</f>
        <v>0</v>
      </c>
      <c r="E69" s="1409">
        <f>'det -detail'!F80</f>
        <v>0</v>
      </c>
      <c r="F69" s="1410">
        <f>'det -detail'!G80</f>
        <v>0</v>
      </c>
      <c r="G69" s="1410">
        <f>'det -detail'!H80</f>
        <v>0</v>
      </c>
      <c r="H69" s="1411">
        <f>'det -detail'!I80</f>
        <v>0</v>
      </c>
      <c r="I69" s="1406">
        <f t="shared" si="8"/>
        <v>0</v>
      </c>
      <c r="Q69" s="1394">
        <f>IFERROR(VLOOKUP(M69,#REF!,3,0),0)</f>
        <v>0</v>
      </c>
      <c r="R69" s="1394">
        <f t="shared" si="3"/>
        <v>0</v>
      </c>
      <c r="S69" s="1394">
        <f>IFERROR(VLOOKUP(M69,#REF!,6,0),0)</f>
        <v>0</v>
      </c>
      <c r="T69" s="1394">
        <f t="shared" si="4"/>
        <v>0</v>
      </c>
      <c r="U69" s="1394">
        <f>IFERROR(VLOOKUP(M69,#REF!,5,0),0)</f>
        <v>0</v>
      </c>
      <c r="V69" s="1394">
        <f t="shared" si="5"/>
        <v>0</v>
      </c>
      <c r="W69" s="1394"/>
    </row>
    <row r="70" spans="2:23" ht="30" customHeight="1">
      <c r="B70" s="1407"/>
      <c r="C70" s="1415" t="str">
        <f>'det -detail'!B81&amp;'det -detail'!C81</f>
        <v>-Y- Direction</v>
      </c>
      <c r="D70" s="1409">
        <f>'det -detail'!E81</f>
        <v>0</v>
      </c>
      <c r="E70" s="1409">
        <f>'det -detail'!F81</f>
        <v>0</v>
      </c>
      <c r="F70" s="1410">
        <f>'det -detail'!G81</f>
        <v>0</v>
      </c>
      <c r="G70" s="1410">
        <f>'det -detail'!H81</f>
        <v>0</v>
      </c>
      <c r="H70" s="1411">
        <f>'det -detail'!I81</f>
        <v>0</v>
      </c>
      <c r="I70" s="1406">
        <f t="shared" si="8"/>
        <v>0</v>
      </c>
      <c r="Q70" s="1394">
        <f>IFERROR(VLOOKUP(M70,#REF!,3,0),0)</f>
        <v>0</v>
      </c>
      <c r="R70" s="1394">
        <f t="shared" si="3"/>
        <v>0</v>
      </c>
      <c r="S70" s="1394">
        <f>IFERROR(VLOOKUP(M70,#REF!,6,0),0)</f>
        <v>0</v>
      </c>
      <c r="T70" s="1394">
        <f t="shared" si="4"/>
        <v>0</v>
      </c>
      <c r="U70" s="1394">
        <f>IFERROR(VLOOKUP(M70,#REF!,5,0),0)</f>
        <v>0</v>
      </c>
      <c r="V70" s="1394">
        <f t="shared" si="5"/>
        <v>0</v>
      </c>
      <c r="W70" s="1394"/>
    </row>
    <row r="71" spans="2:23" ht="30" customHeight="1">
      <c r="B71" s="1407"/>
      <c r="C71" s="1408" t="str">
        <f>'det -detail'!B82&amp;'det -detail'!C82</f>
        <v>D1 to D3 &amp; F1 to F3GB-3</v>
      </c>
      <c r="D71" s="1409">
        <f>'det -detail'!E82</f>
        <v>1</v>
      </c>
      <c r="E71" s="1409">
        <f>'det -detail'!F82</f>
        <v>2</v>
      </c>
      <c r="F71" s="1410">
        <f>'det -detail'!G82</f>
        <v>4.6899999999999995</v>
      </c>
      <c r="G71" s="1410">
        <f>'det -detail'!H82</f>
        <v>0.38</v>
      </c>
      <c r="H71" s="1411">
        <f>'det -detail'!I82</f>
        <v>0.4</v>
      </c>
      <c r="I71" s="1406">
        <f t="shared" si="8"/>
        <v>1.4257599999999999</v>
      </c>
      <c r="Q71" s="1394">
        <f>IFERROR(VLOOKUP(M71,#REF!,3,0),0)</f>
        <v>0</v>
      </c>
      <c r="R71" s="1394">
        <f t="shared" si="3"/>
        <v>0</v>
      </c>
      <c r="S71" s="1394">
        <f>IFERROR(VLOOKUP(M71,#REF!,6,0),0)</f>
        <v>0</v>
      </c>
      <c r="T71" s="1394">
        <f t="shared" si="4"/>
        <v>0</v>
      </c>
      <c r="U71" s="1394">
        <f>IFERROR(VLOOKUP(M71,#REF!,5,0),0)</f>
        <v>0</v>
      </c>
      <c r="V71" s="1394">
        <f t="shared" si="5"/>
        <v>0</v>
      </c>
      <c r="W71" s="1394"/>
    </row>
    <row r="72" spans="2:23" ht="30" customHeight="1">
      <c r="B72" s="1407"/>
      <c r="C72" s="1408" t="str">
        <f>'det -detail'!B83&amp;'det -detail'!C83</f>
        <v>A3 to A8 ,B3 to B8 &amp; H3 to H8GB-3</v>
      </c>
      <c r="D72" s="1409">
        <f>'det -detail'!E83</f>
        <v>1</v>
      </c>
      <c r="E72" s="1409">
        <f>'det -detail'!F83</f>
        <v>3</v>
      </c>
      <c r="F72" s="1410">
        <f>'det -detail'!G83</f>
        <v>15.649999999999999</v>
      </c>
      <c r="G72" s="1410">
        <f>'det -detail'!H83</f>
        <v>0.38</v>
      </c>
      <c r="H72" s="1411">
        <f>'det -detail'!I83</f>
        <v>0.4</v>
      </c>
      <c r="I72" s="1406">
        <f t="shared" si="8"/>
        <v>7.1363999999999992</v>
      </c>
      <c r="Q72" s="1394">
        <f>IFERROR(VLOOKUP(M72,#REF!,3,0),0)</f>
        <v>0</v>
      </c>
      <c r="R72" s="1394">
        <f t="shared" si="3"/>
        <v>0</v>
      </c>
      <c r="S72" s="1394">
        <f>IFERROR(VLOOKUP(M72,#REF!,6,0),0)</f>
        <v>0</v>
      </c>
      <c r="T72" s="1394">
        <f t="shared" si="4"/>
        <v>0</v>
      </c>
      <c r="U72" s="1394">
        <f>IFERROR(VLOOKUP(M72,#REF!,5,0),0)</f>
        <v>0</v>
      </c>
      <c r="V72" s="1394">
        <f t="shared" si="5"/>
        <v>0</v>
      </c>
      <c r="W72" s="1394"/>
    </row>
    <row r="73" spans="2:23" ht="30" customHeight="1">
      <c r="B73" s="1407"/>
      <c r="C73" s="1408" t="str">
        <f>'det -detail'!B84&amp;'det -detail'!C84</f>
        <v>D5 to D7GB-1</v>
      </c>
      <c r="D73" s="1409">
        <f>'det -detail'!E84</f>
        <v>1</v>
      </c>
      <c r="E73" s="1409">
        <f>'det -detail'!F84</f>
        <v>1</v>
      </c>
      <c r="F73" s="1410">
        <f>'det -detail'!G84</f>
        <v>5.99</v>
      </c>
      <c r="G73" s="1410">
        <f>'det -detail'!H84</f>
        <v>0.38</v>
      </c>
      <c r="H73" s="1411">
        <f>'det -detail'!I84</f>
        <v>0.48</v>
      </c>
      <c r="I73" s="1406">
        <f t="shared" si="8"/>
        <v>1.092576</v>
      </c>
      <c r="Q73" s="1394">
        <f>IFERROR(VLOOKUP(M73,#REF!,3,0),0)</f>
        <v>0</v>
      </c>
      <c r="R73" s="1394">
        <f t="shared" si="3"/>
        <v>0</v>
      </c>
      <c r="S73" s="1394">
        <f>IFERROR(VLOOKUP(M73,#REF!,6,0),0)</f>
        <v>0</v>
      </c>
      <c r="T73" s="1394">
        <f t="shared" si="4"/>
        <v>0</v>
      </c>
      <c r="U73" s="1394">
        <f>IFERROR(VLOOKUP(M73,#REF!,5,0),0)</f>
        <v>0</v>
      </c>
      <c r="V73" s="1394">
        <f t="shared" si="5"/>
        <v>0</v>
      </c>
      <c r="W73" s="1394"/>
    </row>
    <row r="74" spans="2:23" ht="30" customHeight="1">
      <c r="B74" s="1407"/>
      <c r="C74" s="1408" t="str">
        <f>'det -detail'!B85&amp;'det -detail'!C85</f>
        <v>E7 to E8 &amp; G7 to G8GB-3</v>
      </c>
      <c r="D74" s="1409">
        <f>'det -detail'!E85</f>
        <v>1</v>
      </c>
      <c r="E74" s="1409">
        <f>'det -detail'!F85</f>
        <v>2</v>
      </c>
      <c r="F74" s="1410">
        <f>'det -detail'!G85</f>
        <v>4.13</v>
      </c>
      <c r="G74" s="1410">
        <f>'det -detail'!H85</f>
        <v>0.38</v>
      </c>
      <c r="H74" s="1411">
        <f>'det -detail'!I85</f>
        <v>0.4</v>
      </c>
      <c r="I74" s="1406">
        <f t="shared" si="8"/>
        <v>1.25552</v>
      </c>
      <c r="Q74" s="1394">
        <f>IFERROR(VLOOKUP(M74,#REF!,3,0),0)</f>
        <v>0</v>
      </c>
      <c r="R74" s="1394">
        <f t="shared" si="3"/>
        <v>0</v>
      </c>
      <c r="S74" s="1394">
        <f>IFERROR(VLOOKUP(M74,#REF!,6,0),0)</f>
        <v>0</v>
      </c>
      <c r="T74" s="1394">
        <f t="shared" si="4"/>
        <v>0</v>
      </c>
      <c r="U74" s="1394">
        <f>IFERROR(VLOOKUP(M74,#REF!,5,0),0)</f>
        <v>0</v>
      </c>
      <c r="V74" s="1394">
        <f t="shared" si="5"/>
        <v>0</v>
      </c>
      <c r="W74" s="1394"/>
    </row>
    <row r="75" spans="2:23" ht="30" customHeight="1">
      <c r="B75" s="1407"/>
      <c r="C75" s="1408" t="str">
        <f>'det -detail'!B86&amp;'det -detail'!C86</f>
        <v>F3 To F5GB-3</v>
      </c>
      <c r="D75" s="1409">
        <f>'det -detail'!E86</f>
        <v>1</v>
      </c>
      <c r="E75" s="1409">
        <f>'det -detail'!F86</f>
        <v>1</v>
      </c>
      <c r="F75" s="1410">
        <f>'det -detail'!G86</f>
        <v>5.5299999999999994</v>
      </c>
      <c r="G75" s="1410">
        <f>'det -detail'!H86</f>
        <v>0.38</v>
      </c>
      <c r="H75" s="1411">
        <f>'det -detail'!I86</f>
        <v>0.4</v>
      </c>
      <c r="I75" s="1406">
        <f t="shared" si="8"/>
        <v>0.84055999999999997</v>
      </c>
      <c r="Q75" s="1394">
        <f>IFERROR(VLOOKUP(M75,#REF!,3,0),0)</f>
        <v>0</v>
      </c>
      <c r="R75" s="1394">
        <f t="shared" si="3"/>
        <v>0</v>
      </c>
      <c r="S75" s="1394">
        <f>IFERROR(VLOOKUP(M75,#REF!,6,0),0)</f>
        <v>0</v>
      </c>
      <c r="T75" s="1394">
        <f t="shared" si="4"/>
        <v>0</v>
      </c>
      <c r="U75" s="1394">
        <f>IFERROR(VLOOKUP(M75,#REF!,5,0),0)</f>
        <v>0</v>
      </c>
      <c r="V75" s="1394">
        <f t="shared" si="5"/>
        <v>0</v>
      </c>
      <c r="W75" s="1394"/>
    </row>
    <row r="76" spans="2:23" ht="30" customHeight="1">
      <c r="B76" s="1407"/>
      <c r="C76" s="1408" t="str">
        <f>'det -detail'!B87&amp;'det -detail'!C87</f>
        <v>G5 to G7GB-3</v>
      </c>
      <c r="D76" s="1409">
        <f>'det -detail'!E87</f>
        <v>1</v>
      </c>
      <c r="E76" s="1409">
        <f>'det -detail'!F87</f>
        <v>1</v>
      </c>
      <c r="F76" s="1410">
        <f>'det -detail'!G87</f>
        <v>5.99</v>
      </c>
      <c r="G76" s="1410">
        <f>'det -detail'!H87</f>
        <v>0.38</v>
      </c>
      <c r="H76" s="1411">
        <f>'det -detail'!I87</f>
        <v>0.4</v>
      </c>
      <c r="I76" s="1406">
        <f t="shared" si="8"/>
        <v>0.91048000000000018</v>
      </c>
      <c r="Q76" s="1394">
        <f>IFERROR(VLOOKUP(M76,#REF!,3,0),0)</f>
        <v>0</v>
      </c>
      <c r="R76" s="1394">
        <f t="shared" si="3"/>
        <v>0</v>
      </c>
      <c r="S76" s="1394">
        <f>IFERROR(VLOOKUP(M76,#REF!,6,0),0)</f>
        <v>0</v>
      </c>
      <c r="T76" s="1394">
        <f t="shared" si="4"/>
        <v>0</v>
      </c>
      <c r="U76" s="1394">
        <f>IFERROR(VLOOKUP(M76,#REF!,5,0),0)</f>
        <v>0</v>
      </c>
      <c r="V76" s="1394">
        <f t="shared" si="5"/>
        <v>0</v>
      </c>
      <c r="W76" s="1394"/>
    </row>
    <row r="77" spans="2:23" ht="30" customHeight="1">
      <c r="B77" s="1407"/>
      <c r="C77" s="1415" t="s">
        <v>267</v>
      </c>
      <c r="D77" s="1409"/>
      <c r="E77" s="1409"/>
      <c r="F77" s="1410"/>
      <c r="G77" s="1410"/>
      <c r="H77" s="1411"/>
      <c r="I77" s="1406">
        <f t="shared" si="8"/>
        <v>0</v>
      </c>
      <c r="Q77" s="1394">
        <f>IFERROR(VLOOKUP(M77,#REF!,3,0),0)</f>
        <v>0</v>
      </c>
      <c r="R77" s="1394">
        <f t="shared" si="3"/>
        <v>0</v>
      </c>
      <c r="S77" s="1394">
        <f>IFERROR(VLOOKUP(M77,#REF!,6,0),0)</f>
        <v>0</v>
      </c>
      <c r="T77" s="1394">
        <f t="shared" si="4"/>
        <v>0</v>
      </c>
      <c r="U77" s="1394">
        <f>IFERROR(VLOOKUP(M77,#REF!,5,0),0)</f>
        <v>0</v>
      </c>
      <c r="V77" s="1394">
        <f t="shared" si="5"/>
        <v>0</v>
      </c>
      <c r="W77" s="1394"/>
    </row>
    <row r="78" spans="2:23" ht="30" customHeight="1">
      <c r="B78" s="1407"/>
      <c r="C78" s="1408" t="str">
        <f>'det -detail'!B99</f>
        <v xml:space="preserve">For C1 Round Column Dia 0.3 Radius = 0.15 </v>
      </c>
      <c r="D78" s="1416">
        <f>-'det -detail'!E99</f>
        <v>-4</v>
      </c>
      <c r="E78" s="1409">
        <f>'det -detail'!F99</f>
        <v>3.14</v>
      </c>
      <c r="F78" s="1410">
        <f>'det -detail'!G99</f>
        <v>0.15</v>
      </c>
      <c r="G78" s="1410">
        <f>'det -detail'!H99</f>
        <v>0.15</v>
      </c>
      <c r="H78" s="1411">
        <f>'det -detail'!L99</f>
        <v>0.4</v>
      </c>
      <c r="I78" s="1406">
        <f t="shared" si="8"/>
        <v>-0.11303999999999999</v>
      </c>
      <c r="Q78" s="1394">
        <f>IFERROR(VLOOKUP(M78,#REF!,3,0),0)</f>
        <v>0</v>
      </c>
      <c r="R78" s="1394">
        <f t="shared" si="3"/>
        <v>0</v>
      </c>
      <c r="S78" s="1394">
        <f>IFERROR(VLOOKUP(M78,#REF!,6,0),0)</f>
        <v>0</v>
      </c>
      <c r="T78" s="1394">
        <f t="shared" si="4"/>
        <v>0</v>
      </c>
      <c r="U78" s="1394">
        <f>IFERROR(VLOOKUP(M78,#REF!,5,0),0)</f>
        <v>0</v>
      </c>
      <c r="V78" s="1394">
        <f t="shared" si="5"/>
        <v>0</v>
      </c>
      <c r="W78" s="1394"/>
    </row>
    <row r="79" spans="2:23" ht="30" customHeight="1">
      <c r="B79" s="1407"/>
      <c r="C79" s="1408" t="str">
        <f>'det -detail'!B100</f>
        <v>For C2</v>
      </c>
      <c r="D79" s="1416">
        <f>-'det -detail'!E100</f>
        <v>-11</v>
      </c>
      <c r="E79" s="1409">
        <f>'det -detail'!F100</f>
        <v>1</v>
      </c>
      <c r="F79" s="1410">
        <f>'det -detail'!G100</f>
        <v>0.23</v>
      </c>
      <c r="G79" s="1410">
        <f>'det -detail'!H100</f>
        <v>0.38</v>
      </c>
      <c r="H79" s="1411">
        <f>'det -detail'!L100</f>
        <v>0.4</v>
      </c>
      <c r="I79" s="1406">
        <f t="shared" si="8"/>
        <v>-0.38456000000000007</v>
      </c>
      <c r="Q79" s="1394">
        <f>IFERROR(VLOOKUP(M79,#REF!,3,0),0)</f>
        <v>0</v>
      </c>
      <c r="R79" s="1394">
        <f t="shared" si="3"/>
        <v>0</v>
      </c>
      <c r="S79" s="1394">
        <f>IFERROR(VLOOKUP(M79,#REF!,6,0),0)</f>
        <v>0</v>
      </c>
      <c r="T79" s="1394">
        <f t="shared" si="4"/>
        <v>0</v>
      </c>
      <c r="U79" s="1394">
        <f>IFERROR(VLOOKUP(M79,#REF!,5,0),0)</f>
        <v>0</v>
      </c>
      <c r="V79" s="1394">
        <f t="shared" si="5"/>
        <v>0</v>
      </c>
      <c r="W79" s="1394"/>
    </row>
    <row r="80" spans="2:23" ht="30" customHeight="1">
      <c r="B80" s="1407"/>
      <c r="C80" s="1408" t="str">
        <f>'det -detail'!B101</f>
        <v>For C3</v>
      </c>
      <c r="D80" s="1416">
        <f>-'det -detail'!E101</f>
        <v>-10</v>
      </c>
      <c r="E80" s="1409">
        <f>'det -detail'!F101</f>
        <v>1</v>
      </c>
      <c r="F80" s="1410">
        <f>'det -detail'!G101</f>
        <v>0.23</v>
      </c>
      <c r="G80" s="1410">
        <f>'det -detail'!H101</f>
        <v>0.45</v>
      </c>
      <c r="H80" s="1411">
        <f>'det -detail'!L101</f>
        <v>0.48</v>
      </c>
      <c r="I80" s="1406">
        <f t="shared" si="8"/>
        <v>-0.49680000000000007</v>
      </c>
      <c r="Q80" s="1394">
        <f>IFERROR(VLOOKUP(M80,#REF!,3,0),0)</f>
        <v>0</v>
      </c>
      <c r="R80" s="1394">
        <f t="shared" si="3"/>
        <v>0</v>
      </c>
      <c r="S80" s="1394">
        <f>IFERROR(VLOOKUP(M80,#REF!,6,0),0)</f>
        <v>0</v>
      </c>
      <c r="T80" s="1394">
        <f t="shared" si="4"/>
        <v>0</v>
      </c>
      <c r="U80" s="1394">
        <f>IFERROR(VLOOKUP(M80,#REF!,5,0),0)</f>
        <v>0</v>
      </c>
      <c r="V80" s="1394">
        <f t="shared" si="5"/>
        <v>0</v>
      </c>
      <c r="W80" s="1394"/>
    </row>
    <row r="81" spans="1:24" ht="30" customHeight="1">
      <c r="B81" s="1407"/>
      <c r="C81" s="1408" t="str">
        <f>'det -detail'!B102</f>
        <v>For C4</v>
      </c>
      <c r="D81" s="1416">
        <f>-'det -detail'!E102</f>
        <v>-7</v>
      </c>
      <c r="E81" s="1409">
        <f>'det -detail'!F102</f>
        <v>1</v>
      </c>
      <c r="F81" s="1410">
        <f>'det -detail'!G102</f>
        <v>0.3</v>
      </c>
      <c r="G81" s="1410">
        <f>'det -detail'!H102</f>
        <v>0.45</v>
      </c>
      <c r="H81" s="1411">
        <f>'det -detail'!L102</f>
        <v>0.48</v>
      </c>
      <c r="I81" s="1406">
        <f t="shared" si="8"/>
        <v>-0.4536</v>
      </c>
      <c r="J81" s="1397">
        <f>SUM(I55:I81)</f>
        <v>27.225279999999998</v>
      </c>
      <c r="Q81" s="1394">
        <f>IFERROR(VLOOKUP(M81,#REF!,3,0),0)</f>
        <v>0</v>
      </c>
      <c r="R81" s="1394">
        <f t="shared" si="3"/>
        <v>0</v>
      </c>
      <c r="S81" s="1394">
        <f>IFERROR(VLOOKUP(M81,#REF!,6,0),0)</f>
        <v>0</v>
      </c>
      <c r="T81" s="1394">
        <f t="shared" si="4"/>
        <v>0</v>
      </c>
      <c r="U81" s="1394">
        <f>IFERROR(VLOOKUP(M81,#REF!,5,0),0)</f>
        <v>0</v>
      </c>
      <c r="V81" s="1394">
        <f t="shared" si="5"/>
        <v>0</v>
      </c>
      <c r="W81" s="1394"/>
    </row>
    <row r="82" spans="1:24" ht="30" hidden="1" customHeight="1">
      <c r="B82" s="1407"/>
      <c r="C82" s="1417"/>
      <c r="D82" s="1418"/>
      <c r="E82" s="1418"/>
      <c r="F82" s="1419"/>
      <c r="G82" s="1419"/>
      <c r="H82" s="1420"/>
      <c r="I82" s="1406"/>
      <c r="Q82" s="1394">
        <f>IFERROR(VLOOKUP(M82,#REF!,3,0),0)</f>
        <v>0</v>
      </c>
      <c r="R82" s="1394">
        <f t="shared" si="3"/>
        <v>0</v>
      </c>
      <c r="S82" s="1394">
        <f>IFERROR(VLOOKUP(M82,#REF!,6,0),0)</f>
        <v>0</v>
      </c>
      <c r="T82" s="1394">
        <f t="shared" si="4"/>
        <v>0</v>
      </c>
      <c r="U82" s="1394">
        <f>IFERROR(VLOOKUP(M82,#REF!,5,0),0)</f>
        <v>0</v>
      </c>
      <c r="V82" s="1394">
        <f t="shared" si="5"/>
        <v>0</v>
      </c>
      <c r="W82" s="1394"/>
    </row>
    <row r="83" spans="1:24" ht="30" hidden="1" customHeight="1">
      <c r="B83" s="1407"/>
      <c r="C83" s="1417"/>
      <c r="D83" s="1418"/>
      <c r="E83" s="1418"/>
      <c r="F83" s="1419"/>
      <c r="G83" s="1419"/>
      <c r="H83" s="1420"/>
      <c r="I83" s="1406"/>
      <c r="Q83" s="1394">
        <f>IFERROR(VLOOKUP(M83,#REF!,3,0),0)</f>
        <v>0</v>
      </c>
      <c r="R83" s="1394">
        <f t="shared" si="3"/>
        <v>0</v>
      </c>
      <c r="S83" s="1394">
        <f>IFERROR(VLOOKUP(M83,#REF!,6,0),0)</f>
        <v>0</v>
      </c>
      <c r="T83" s="1394">
        <f t="shared" si="4"/>
        <v>0</v>
      </c>
      <c r="U83" s="1394">
        <f>IFERROR(VLOOKUP(M83,#REF!,5,0),0)</f>
        <v>0</v>
      </c>
      <c r="V83" s="1394">
        <f t="shared" si="5"/>
        <v>0</v>
      </c>
      <c r="W83" s="1394"/>
    </row>
    <row r="84" spans="1:24" s="1394" customFormat="1" ht="30" customHeight="1">
      <c r="B84" s="1421"/>
      <c r="C84" s="1422" t="s">
        <v>270</v>
      </c>
      <c r="D84" s="1389"/>
      <c r="E84" s="1389"/>
      <c r="F84" s="1423"/>
      <c r="G84" s="1423"/>
      <c r="H84" s="1424"/>
      <c r="I84" s="1425">
        <f>J85-J84</f>
        <v>2.4720000000030495E-2</v>
      </c>
      <c r="J84" s="1394">
        <f>SUM(I48:I83)</f>
        <v>172.37527999999998</v>
      </c>
      <c r="M84" s="1426"/>
      <c r="Q84" s="1394">
        <f>IFERROR(VLOOKUP(M84,#REF!,3,0),0)</f>
        <v>0</v>
      </c>
      <c r="R84" s="1394">
        <f t="shared" si="3"/>
        <v>0</v>
      </c>
      <c r="S84" s="1394">
        <f>IFERROR(VLOOKUP(M84,#REF!,6,0),0)</f>
        <v>0</v>
      </c>
      <c r="T84" s="1394">
        <f t="shared" si="4"/>
        <v>0</v>
      </c>
      <c r="U84" s="1394">
        <f>IFERROR(VLOOKUP(M84,#REF!,5,0),0)</f>
        <v>0</v>
      </c>
      <c r="V84" s="1394">
        <f t="shared" si="5"/>
        <v>0</v>
      </c>
    </row>
    <row r="85" spans="1:24" s="1394" customFormat="1" ht="30" customHeight="1">
      <c r="B85" s="1421"/>
      <c r="C85" s="1422"/>
      <c r="D85" s="1389"/>
      <c r="E85" s="1389"/>
      <c r="F85" s="1423"/>
      <c r="G85" s="1423"/>
      <c r="H85" s="1424"/>
      <c r="I85" s="1427">
        <f>+J85</f>
        <v>172.4</v>
      </c>
      <c r="J85" s="1394">
        <f>ROUNDUP(J84,1)</f>
        <v>172.4</v>
      </c>
      <c r="M85" s="1426"/>
      <c r="Q85" s="1394">
        <f>IFERROR(VLOOKUP(M85,#REF!,3,0),0)</f>
        <v>0</v>
      </c>
      <c r="R85" s="1394">
        <f t="shared" si="3"/>
        <v>0</v>
      </c>
      <c r="S85" s="1394">
        <f>IFERROR(VLOOKUP(M85,#REF!,6,0),0)</f>
        <v>0</v>
      </c>
      <c r="T85" s="1394">
        <f t="shared" si="4"/>
        <v>0</v>
      </c>
      <c r="U85" s="1394">
        <f>IFERROR(VLOOKUP(M85,#REF!,5,0),0)</f>
        <v>0</v>
      </c>
      <c r="V85" s="1394">
        <f t="shared" si="5"/>
        <v>0</v>
      </c>
    </row>
    <row r="86" spans="1:24" s="1394" customFormat="1" ht="30" customHeight="1">
      <c r="B86" s="1421"/>
      <c r="C86" s="1422"/>
      <c r="D86" s="1389"/>
      <c r="E86" s="1389"/>
      <c r="F86" s="1423"/>
      <c r="G86" s="1428" t="s">
        <v>11</v>
      </c>
      <c r="H86" s="1429">
        <f>I85</f>
        <v>172.4</v>
      </c>
      <c r="I86" s="1427" t="s">
        <v>19</v>
      </c>
      <c r="M86" s="1426" t="e">
        <f>A46</f>
        <v>#REF!</v>
      </c>
      <c r="N86" s="1394">
        <f>B46</f>
        <v>0</v>
      </c>
      <c r="O86" s="1394">
        <f>H86</f>
        <v>172.4</v>
      </c>
      <c r="P86" s="1394" t="str">
        <f>I86</f>
        <v>Cum</v>
      </c>
      <c r="Q86" s="1394">
        <f>IFERROR(VLOOKUP(M86,#REF!,3,0),0)</f>
        <v>0</v>
      </c>
      <c r="R86" s="1394">
        <f t="shared" si="3"/>
        <v>0</v>
      </c>
      <c r="S86" s="1394">
        <f>IFERROR(VLOOKUP(M86,#REF!,6,0),0)</f>
        <v>0</v>
      </c>
      <c r="T86" s="1394">
        <f t="shared" si="4"/>
        <v>0</v>
      </c>
      <c r="U86" s="1394">
        <f>IFERROR(VLOOKUP(M86,#REF!,5,0),0)</f>
        <v>0</v>
      </c>
      <c r="V86" s="1394">
        <f t="shared" si="5"/>
        <v>172.4</v>
      </c>
    </row>
    <row r="87" spans="1:24" ht="30" customHeight="1">
      <c r="A87" s="1426" t="s">
        <v>5952</v>
      </c>
      <c r="B87" s="1407"/>
      <c r="C87" s="1678" t="e">
        <f>VLOOKUP(A87,#REF!,2,0)</f>
        <v>#REF!</v>
      </c>
      <c r="D87" s="1678"/>
      <c r="E87" s="1678"/>
      <c r="F87" s="1678"/>
      <c r="G87" s="1678"/>
      <c r="H87" s="1678"/>
      <c r="I87" s="1406"/>
      <c r="Q87" s="1394">
        <f>IFERROR(VLOOKUP(M87,#REF!,3,0),0)</f>
        <v>0</v>
      </c>
      <c r="R87" s="1394">
        <f t="shared" si="3"/>
        <v>0</v>
      </c>
      <c r="S87" s="1394">
        <f>IFERROR(VLOOKUP(M87,#REF!,6,0),0)</f>
        <v>0</v>
      </c>
      <c r="T87" s="1394">
        <f t="shared" si="4"/>
        <v>0</v>
      </c>
      <c r="U87" s="1394">
        <f>IFERROR(VLOOKUP(M87,#REF!,5,0),0)</f>
        <v>0</v>
      </c>
      <c r="V87" s="1394">
        <f t="shared" si="5"/>
        <v>0</v>
      </c>
      <c r="W87" s="1394"/>
      <c r="X87" s="1397"/>
    </row>
    <row r="88" spans="1:24" ht="30" customHeight="1">
      <c r="B88" s="1407"/>
      <c r="C88" s="1412" t="s">
        <v>162</v>
      </c>
      <c r="D88" s="103"/>
      <c r="E88" s="103"/>
      <c r="F88" s="1413"/>
      <c r="G88" s="1413"/>
      <c r="H88" s="1414"/>
      <c r="I88" s="1406"/>
      <c r="Q88" s="1394">
        <f>IFERROR(VLOOKUP(M88,#REF!,3,0),0)</f>
        <v>0</v>
      </c>
      <c r="R88" s="1394">
        <f t="shared" si="3"/>
        <v>0</v>
      </c>
      <c r="S88" s="1394">
        <f>IFERROR(VLOOKUP(M88,#REF!,6,0),0)</f>
        <v>0</v>
      </c>
      <c r="T88" s="1394">
        <f t="shared" si="4"/>
        <v>0</v>
      </c>
      <c r="U88" s="1394">
        <f>IFERROR(VLOOKUP(M88,#REF!,5,0),0)</f>
        <v>0</v>
      </c>
      <c r="V88" s="1394">
        <f t="shared" si="5"/>
        <v>0</v>
      </c>
      <c r="W88" s="1394"/>
    </row>
    <row r="89" spans="1:24" ht="30" customHeight="1">
      <c r="B89" s="1407"/>
      <c r="C89" s="1408" t="str">
        <f t="shared" ref="C89:H93" si="9">C48</f>
        <v>For C1 F1 Footing</v>
      </c>
      <c r="D89" s="1409">
        <f t="shared" si="9"/>
        <v>1</v>
      </c>
      <c r="E89" s="1409">
        <f t="shared" si="9"/>
        <v>3</v>
      </c>
      <c r="F89" s="1410">
        <f t="shared" si="9"/>
        <v>1.6</v>
      </c>
      <c r="G89" s="1410">
        <f t="shared" si="9"/>
        <v>1.6</v>
      </c>
      <c r="H89" s="1411">
        <f t="shared" si="9"/>
        <v>1</v>
      </c>
      <c r="I89" s="1406">
        <f t="shared" ref="I89:I98" si="10">PRODUCT(D89:H89)</f>
        <v>7.6800000000000015</v>
      </c>
      <c r="Q89" s="1394">
        <f>IFERROR(VLOOKUP(M89,#REF!,3,0),0)</f>
        <v>0</v>
      </c>
      <c r="R89" s="1394">
        <f t="shared" si="3"/>
        <v>0</v>
      </c>
      <c r="S89" s="1394">
        <f>IFERROR(VLOOKUP(M89,#REF!,6,0),0)</f>
        <v>0</v>
      </c>
      <c r="T89" s="1394">
        <f t="shared" si="4"/>
        <v>0</v>
      </c>
      <c r="U89" s="1394">
        <f>IFERROR(VLOOKUP(M89,#REF!,5,0),0)</f>
        <v>0</v>
      </c>
      <c r="V89" s="1394">
        <f t="shared" si="5"/>
        <v>0</v>
      </c>
      <c r="W89" s="1394"/>
    </row>
    <row r="90" spans="1:24" ht="30" customHeight="1">
      <c r="B90" s="1407"/>
      <c r="C90" s="1408" t="str">
        <f t="shared" si="9"/>
        <v>For C2 F2 Footing</v>
      </c>
      <c r="D90" s="1409">
        <f t="shared" si="9"/>
        <v>1</v>
      </c>
      <c r="E90" s="1409">
        <f t="shared" si="9"/>
        <v>11</v>
      </c>
      <c r="F90" s="1410">
        <f t="shared" si="9"/>
        <v>2</v>
      </c>
      <c r="G90" s="1410">
        <f t="shared" si="9"/>
        <v>2</v>
      </c>
      <c r="H90" s="1411">
        <f t="shared" si="9"/>
        <v>1</v>
      </c>
      <c r="I90" s="1406">
        <f t="shared" si="10"/>
        <v>44</v>
      </c>
      <c r="Q90" s="1394">
        <f>IFERROR(VLOOKUP(M90,#REF!,3,0),0)</f>
        <v>0</v>
      </c>
      <c r="R90" s="1394">
        <f t="shared" si="3"/>
        <v>0</v>
      </c>
      <c r="S90" s="1394">
        <f>IFERROR(VLOOKUP(M90,#REF!,6,0),0)</f>
        <v>0</v>
      </c>
      <c r="T90" s="1394">
        <f t="shared" si="4"/>
        <v>0</v>
      </c>
      <c r="U90" s="1394">
        <f>IFERROR(VLOOKUP(M90,#REF!,5,0),0)</f>
        <v>0</v>
      </c>
      <c r="V90" s="1394">
        <f t="shared" si="5"/>
        <v>0</v>
      </c>
      <c r="W90" s="1394"/>
    </row>
    <row r="91" spans="1:24" ht="30" customHeight="1">
      <c r="B91" s="1407"/>
      <c r="C91" s="1408" t="str">
        <f t="shared" si="9"/>
        <v>For C3 F3 Footing</v>
      </c>
      <c r="D91" s="1409">
        <f t="shared" si="9"/>
        <v>1</v>
      </c>
      <c r="E91" s="1409">
        <f t="shared" si="9"/>
        <v>9</v>
      </c>
      <c r="F91" s="1410">
        <f t="shared" si="9"/>
        <v>2.2000000000000002</v>
      </c>
      <c r="G91" s="1410">
        <f t="shared" si="9"/>
        <v>2.2000000000000002</v>
      </c>
      <c r="H91" s="1411">
        <f t="shared" si="9"/>
        <v>1</v>
      </c>
      <c r="I91" s="1406">
        <f t="shared" si="10"/>
        <v>43.56</v>
      </c>
      <c r="Q91" s="1394">
        <f>IFERROR(VLOOKUP(M91,#REF!,3,0),0)</f>
        <v>0</v>
      </c>
      <c r="R91" s="1394">
        <f t="shared" si="3"/>
        <v>0</v>
      </c>
      <c r="S91" s="1394">
        <f>IFERROR(VLOOKUP(M91,#REF!,6,0),0)</f>
        <v>0</v>
      </c>
      <c r="T91" s="1394">
        <f t="shared" si="4"/>
        <v>0</v>
      </c>
      <c r="U91" s="1394">
        <f>IFERROR(VLOOKUP(M91,#REF!,5,0),0)</f>
        <v>0</v>
      </c>
      <c r="V91" s="1394">
        <f t="shared" si="5"/>
        <v>0</v>
      </c>
      <c r="W91" s="1394"/>
    </row>
    <row r="92" spans="1:24" ht="30" customHeight="1">
      <c r="B92" s="1407"/>
      <c r="C92" s="1408" t="str">
        <f t="shared" si="9"/>
        <v>For C4 F4 Footing</v>
      </c>
      <c r="D92" s="1409">
        <f t="shared" si="9"/>
        <v>1</v>
      </c>
      <c r="E92" s="1409">
        <f t="shared" si="9"/>
        <v>7</v>
      </c>
      <c r="F92" s="1410">
        <f t="shared" si="9"/>
        <v>2.5</v>
      </c>
      <c r="G92" s="1410">
        <f t="shared" si="9"/>
        <v>2.5</v>
      </c>
      <c r="H92" s="1411">
        <f t="shared" si="9"/>
        <v>1</v>
      </c>
      <c r="I92" s="1406">
        <f t="shared" si="10"/>
        <v>43.75</v>
      </c>
      <c r="Q92" s="1394">
        <f>IFERROR(VLOOKUP(M92,#REF!,3,0),0)</f>
        <v>0</v>
      </c>
      <c r="R92" s="1394">
        <f t="shared" si="3"/>
        <v>0</v>
      </c>
      <c r="S92" s="1394">
        <f>IFERROR(VLOOKUP(M92,#REF!,6,0),0)</f>
        <v>0</v>
      </c>
      <c r="T92" s="1394">
        <f t="shared" si="4"/>
        <v>0</v>
      </c>
      <c r="U92" s="1394">
        <f>IFERROR(VLOOKUP(M92,#REF!,5,0),0)</f>
        <v>0</v>
      </c>
      <c r="V92" s="1394">
        <f t="shared" si="5"/>
        <v>0</v>
      </c>
      <c r="W92" s="1394"/>
    </row>
    <row r="93" spans="1:24" ht="30" customHeight="1">
      <c r="B93" s="1407"/>
      <c r="C93" s="1408" t="str">
        <f t="shared" si="9"/>
        <v>For C3,c1F4 Footing</v>
      </c>
      <c r="D93" s="1409">
        <f t="shared" si="9"/>
        <v>1</v>
      </c>
      <c r="E93" s="1409">
        <f t="shared" si="9"/>
        <v>1</v>
      </c>
      <c r="F93" s="1410">
        <f t="shared" si="9"/>
        <v>2.2000000000000002</v>
      </c>
      <c r="G93" s="1410">
        <f t="shared" si="9"/>
        <v>2.8</v>
      </c>
      <c r="H93" s="1411">
        <f t="shared" si="9"/>
        <v>1</v>
      </c>
      <c r="I93" s="1406">
        <f t="shared" si="10"/>
        <v>6.16</v>
      </c>
      <c r="Q93" s="1394">
        <f>IFERROR(VLOOKUP(M93,#REF!,3,0),0)</f>
        <v>0</v>
      </c>
      <c r="R93" s="1394">
        <f t="shared" si="3"/>
        <v>0</v>
      </c>
      <c r="S93" s="1394">
        <f>IFERROR(VLOOKUP(M93,#REF!,6,0),0)</f>
        <v>0</v>
      </c>
      <c r="T93" s="1394">
        <f t="shared" si="4"/>
        <v>0</v>
      </c>
      <c r="U93" s="1394">
        <f>IFERROR(VLOOKUP(M93,#REF!,5,0),0)</f>
        <v>0</v>
      </c>
      <c r="V93" s="1394">
        <f t="shared" si="5"/>
        <v>0</v>
      </c>
      <c r="W93" s="1394"/>
    </row>
    <row r="94" spans="1:24" s="1394" customFormat="1" ht="30" customHeight="1">
      <c r="B94" s="1421"/>
      <c r="C94" s="1408" t="s">
        <v>270</v>
      </c>
      <c r="D94" s="1409"/>
      <c r="E94" s="1409"/>
      <c r="F94" s="1410"/>
      <c r="G94" s="1410"/>
      <c r="H94" s="1411"/>
      <c r="I94" s="1406">
        <f>J95-J94</f>
        <v>4.9999999999982947E-2</v>
      </c>
      <c r="J94" s="1394">
        <f>SUM(I88:I93)</f>
        <v>145.15</v>
      </c>
      <c r="M94" s="1426"/>
      <c r="Q94" s="1394">
        <f>IFERROR(VLOOKUP(M94,#REF!,3,0),0)</f>
        <v>0</v>
      </c>
      <c r="R94" s="1394">
        <f t="shared" si="3"/>
        <v>0</v>
      </c>
      <c r="S94" s="1394">
        <f>IFERROR(VLOOKUP(M94,#REF!,6,0),0)</f>
        <v>0</v>
      </c>
      <c r="T94" s="1394">
        <f t="shared" si="4"/>
        <v>0</v>
      </c>
      <c r="U94" s="1394">
        <f>IFERROR(VLOOKUP(M94,#REF!,5,0),0)</f>
        <v>0</v>
      </c>
      <c r="V94" s="1394">
        <f t="shared" si="5"/>
        <v>0</v>
      </c>
    </row>
    <row r="95" spans="1:24" s="1394" customFormat="1" ht="30" customHeight="1">
      <c r="B95" s="1421"/>
      <c r="C95" s="1422"/>
      <c r="D95" s="1389"/>
      <c r="E95" s="1389"/>
      <c r="F95" s="1423"/>
      <c r="G95" s="1423"/>
      <c r="H95" s="1424"/>
      <c r="I95" s="1427">
        <f>+J95</f>
        <v>145.19999999999999</v>
      </c>
      <c r="J95" s="1394">
        <f>ROUNDUP(J94,1)</f>
        <v>145.19999999999999</v>
      </c>
      <c r="M95" s="1426"/>
      <c r="Q95" s="1394">
        <f>IFERROR(VLOOKUP(M95,#REF!,3,0),0)</f>
        <v>0</v>
      </c>
      <c r="R95" s="1394">
        <f t="shared" si="3"/>
        <v>0</v>
      </c>
      <c r="S95" s="1394">
        <f>IFERROR(VLOOKUP(M95,#REF!,6,0),0)</f>
        <v>0</v>
      </c>
      <c r="T95" s="1394">
        <f t="shared" si="4"/>
        <v>0</v>
      </c>
      <c r="U95" s="1394">
        <f>IFERROR(VLOOKUP(M95,#REF!,5,0),0)</f>
        <v>0</v>
      </c>
      <c r="V95" s="1394">
        <f t="shared" si="5"/>
        <v>0</v>
      </c>
    </row>
    <row r="96" spans="1:24" s="1394" customFormat="1" ht="30" customHeight="1">
      <c r="B96" s="1421"/>
      <c r="C96" s="1422"/>
      <c r="D96" s="1389"/>
      <c r="E96" s="1389"/>
      <c r="F96" s="1423"/>
      <c r="G96" s="1428" t="s">
        <v>11</v>
      </c>
      <c r="H96" s="1429">
        <f>I95</f>
        <v>145.19999999999999</v>
      </c>
      <c r="I96" s="1427" t="s">
        <v>19</v>
      </c>
      <c r="M96" s="1426" t="str">
        <f>A87</f>
        <v xml:space="preserve">c. 3 to 4 mt. .  Earth work excavation in all soils (including refilling) </v>
      </c>
      <c r="N96" s="1394">
        <f>B14</f>
        <v>0</v>
      </c>
      <c r="O96" s="1394">
        <f>H96</f>
        <v>145.19999999999999</v>
      </c>
      <c r="P96" s="1394" t="str">
        <f>I96</f>
        <v>Cum</v>
      </c>
      <c r="Q96" s="1394">
        <f>IFERROR(VLOOKUP(M96,#REF!,3,0),0)</f>
        <v>0</v>
      </c>
      <c r="R96" s="1394">
        <f t="shared" si="3"/>
        <v>0</v>
      </c>
      <c r="S96" s="1394">
        <f>IFERROR(VLOOKUP(M96,#REF!,6,0),0)</f>
        <v>0</v>
      </c>
      <c r="T96" s="1394">
        <f t="shared" si="4"/>
        <v>0</v>
      </c>
      <c r="U96" s="1394">
        <f>IFERROR(VLOOKUP(M96,#REF!,5,0),0)</f>
        <v>0</v>
      </c>
      <c r="V96" s="1394">
        <f t="shared" si="5"/>
        <v>145.19999999999999</v>
      </c>
    </row>
    <row r="97" spans="1:24" ht="30" hidden="1" customHeight="1">
      <c r="B97" s="1407"/>
      <c r="C97" s="1408"/>
      <c r="D97" s="1409"/>
      <c r="E97" s="1409"/>
      <c r="F97" s="1410"/>
      <c r="G97" s="1410"/>
      <c r="H97" s="1411"/>
      <c r="I97" s="1406"/>
      <c r="Q97" s="1394">
        <f>IFERROR(VLOOKUP(M97,#REF!,3,0),0)</f>
        <v>0</v>
      </c>
      <c r="R97" s="1394">
        <f t="shared" si="3"/>
        <v>0</v>
      </c>
      <c r="S97" s="1394">
        <f>IFERROR(VLOOKUP(M97,#REF!,6,0),0)</f>
        <v>0</v>
      </c>
      <c r="T97" s="1394">
        <f t="shared" si="4"/>
        <v>0</v>
      </c>
      <c r="U97" s="1394">
        <f>IFERROR(VLOOKUP(M97,#REF!,5,0),0)</f>
        <v>0</v>
      </c>
      <c r="V97" s="1394">
        <f t="shared" si="5"/>
        <v>0</v>
      </c>
      <c r="W97" s="1394"/>
    </row>
    <row r="98" spans="1:24" ht="30" hidden="1" customHeight="1">
      <c r="B98" s="1407"/>
      <c r="C98" s="1408" t="str">
        <f>'det -detail'!B94&amp;'det -detail'!C94&amp;'det -detail'!D94</f>
        <v/>
      </c>
      <c r="D98" s="1409">
        <f>'det -detail'!E94</f>
        <v>0</v>
      </c>
      <c r="E98" s="1409">
        <f>'det -detail'!F94</f>
        <v>0</v>
      </c>
      <c r="F98" s="1410">
        <f>'det -detail'!G94</f>
        <v>0</v>
      </c>
      <c r="G98" s="1410">
        <f>'det -detail'!H94</f>
        <v>0</v>
      </c>
      <c r="H98" s="1411">
        <f>'det -detail'!I94</f>
        <v>0</v>
      </c>
      <c r="I98" s="1406">
        <f t="shared" si="10"/>
        <v>0</v>
      </c>
      <c r="Q98" s="1394">
        <f>IFERROR(VLOOKUP(M98,#REF!,3,0),0)</f>
        <v>0</v>
      </c>
      <c r="R98" s="1394">
        <f t="shared" si="3"/>
        <v>0</v>
      </c>
      <c r="S98" s="1394">
        <f>IFERROR(VLOOKUP(M98,#REF!,6,0),0)</f>
        <v>0</v>
      </c>
      <c r="T98" s="1394">
        <f t="shared" si="4"/>
        <v>0</v>
      </c>
      <c r="U98" s="1394">
        <f>IFERROR(VLOOKUP(M98,#REF!,5,0),0)</f>
        <v>0</v>
      </c>
      <c r="V98" s="1394">
        <f t="shared" si="5"/>
        <v>0</v>
      </c>
      <c r="W98" s="1394"/>
    </row>
    <row r="99" spans="1:24" ht="56.25" customHeight="1">
      <c r="A99" s="110" t="s">
        <v>52</v>
      </c>
      <c r="B99" s="1405">
        <v>2.1</v>
      </c>
      <c r="C99" s="1678" t="e">
        <f>VLOOKUP(A99,#REF!,2,0)</f>
        <v>#REF!</v>
      </c>
      <c r="D99" s="1678"/>
      <c r="E99" s="1678"/>
      <c r="F99" s="1678"/>
      <c r="G99" s="1678"/>
      <c r="H99" s="1678"/>
      <c r="I99" s="1431"/>
      <c r="Q99" s="1394">
        <f>IFERROR(VLOOKUP(M99,#REF!,3,0),0)</f>
        <v>0</v>
      </c>
      <c r="R99" s="1394">
        <f t="shared" si="3"/>
        <v>0</v>
      </c>
      <c r="S99" s="1394">
        <f>IFERROR(VLOOKUP(M99,#REF!,6,0),0)</f>
        <v>0</v>
      </c>
      <c r="T99" s="1394">
        <f t="shared" si="4"/>
        <v>0</v>
      </c>
      <c r="U99" s="1394">
        <f>IFERROR(VLOOKUP(M99,#REF!,5,0),0)</f>
        <v>0</v>
      </c>
      <c r="V99" s="1394">
        <f t="shared" si="5"/>
        <v>0</v>
      </c>
      <c r="W99" s="1394"/>
      <c r="X99" s="1397"/>
    </row>
    <row r="100" spans="1:24" ht="30" customHeight="1">
      <c r="B100" s="1407"/>
      <c r="C100" s="1412" t="s">
        <v>162</v>
      </c>
      <c r="D100" s="103"/>
      <c r="E100" s="103"/>
      <c r="F100" s="1413"/>
      <c r="G100" s="1413"/>
      <c r="H100" s="1414"/>
      <c r="I100" s="1406"/>
      <c r="Q100" s="1394">
        <f>IFERROR(VLOOKUP(M100,#REF!,3,0),0)</f>
        <v>0</v>
      </c>
      <c r="R100" s="1394">
        <f t="shared" si="3"/>
        <v>0</v>
      </c>
      <c r="S100" s="1394">
        <f>IFERROR(VLOOKUP(M100,#REF!,6,0),0)</f>
        <v>0</v>
      </c>
      <c r="T100" s="1394">
        <f t="shared" si="4"/>
        <v>0</v>
      </c>
      <c r="U100" s="1394">
        <f>IFERROR(VLOOKUP(M100,#REF!,5,0),0)</f>
        <v>0</v>
      </c>
      <c r="V100" s="1394">
        <f t="shared" si="5"/>
        <v>0</v>
      </c>
      <c r="W100" s="1394"/>
    </row>
    <row r="101" spans="1:24" ht="30" customHeight="1">
      <c r="B101" s="1407"/>
      <c r="C101" s="1408" t="str">
        <f>'det -detail'!B47&amp;'det -detail'!C47&amp;'det -detail'!D47</f>
        <v>For C1 F1 Footing</v>
      </c>
      <c r="D101" s="1409">
        <f>'det -detail'!E47</f>
        <v>1</v>
      </c>
      <c r="E101" s="1409">
        <f>'det -detail'!F47</f>
        <v>3</v>
      </c>
      <c r="F101" s="1410">
        <f>'det -detail'!G47</f>
        <v>1.6</v>
      </c>
      <c r="G101" s="1410">
        <f>'det -detail'!H47</f>
        <v>1.6</v>
      </c>
      <c r="H101" s="1411">
        <v>0.1</v>
      </c>
      <c r="I101" s="1406">
        <f t="shared" ref="I101:I164" si="11">PRODUCT(D101:H101)</f>
        <v>0.76800000000000024</v>
      </c>
      <c r="Q101" s="1394">
        <f>IFERROR(VLOOKUP(M101,#REF!,3,0),0)</f>
        <v>0</v>
      </c>
      <c r="R101" s="1394">
        <f t="shared" si="3"/>
        <v>0</v>
      </c>
      <c r="S101" s="1394">
        <f>IFERROR(VLOOKUP(M101,#REF!,6,0),0)</f>
        <v>0</v>
      </c>
      <c r="T101" s="1394">
        <f t="shared" si="4"/>
        <v>0</v>
      </c>
      <c r="U101" s="1394">
        <f>IFERROR(VLOOKUP(M101,#REF!,5,0),0)</f>
        <v>0</v>
      </c>
      <c r="V101" s="1394">
        <f t="shared" si="5"/>
        <v>0</v>
      </c>
      <c r="W101" s="1394"/>
    </row>
    <row r="102" spans="1:24" ht="30" customHeight="1">
      <c r="B102" s="1407"/>
      <c r="C102" s="1408" t="str">
        <f>'det -detail'!B48&amp;'det -detail'!C48&amp;'det -detail'!D48</f>
        <v>For C2 F2 Footing</v>
      </c>
      <c r="D102" s="1409">
        <f>'det -detail'!E48</f>
        <v>1</v>
      </c>
      <c r="E102" s="1409">
        <f>'det -detail'!F48</f>
        <v>11</v>
      </c>
      <c r="F102" s="1410">
        <f>'det -detail'!G48</f>
        <v>2</v>
      </c>
      <c r="G102" s="1410">
        <f>'det -detail'!H48</f>
        <v>2</v>
      </c>
      <c r="H102" s="1411">
        <f>H101</f>
        <v>0.1</v>
      </c>
      <c r="I102" s="1406">
        <f t="shared" si="11"/>
        <v>4.4000000000000004</v>
      </c>
      <c r="Q102" s="1394">
        <f>IFERROR(VLOOKUP(M102,#REF!,3,0),0)</f>
        <v>0</v>
      </c>
      <c r="R102" s="1394">
        <f t="shared" si="3"/>
        <v>0</v>
      </c>
      <c r="S102" s="1394">
        <f>IFERROR(VLOOKUP(M102,#REF!,6,0),0)</f>
        <v>0</v>
      </c>
      <c r="T102" s="1394">
        <f t="shared" si="4"/>
        <v>0</v>
      </c>
      <c r="U102" s="1394">
        <f>IFERROR(VLOOKUP(M102,#REF!,5,0),0)</f>
        <v>0</v>
      </c>
      <c r="V102" s="1394">
        <f t="shared" si="5"/>
        <v>0</v>
      </c>
      <c r="W102" s="1394"/>
    </row>
    <row r="103" spans="1:24" ht="30" customHeight="1">
      <c r="B103" s="1407"/>
      <c r="C103" s="1408" t="str">
        <f>'det -detail'!B49&amp;'det -detail'!C49&amp;'det -detail'!D49</f>
        <v>For C3 F3 Footing</v>
      </c>
      <c r="D103" s="1409">
        <f>'det -detail'!E49</f>
        <v>1</v>
      </c>
      <c r="E103" s="1409">
        <f>'det -detail'!F49</f>
        <v>9</v>
      </c>
      <c r="F103" s="1410">
        <f>'det -detail'!G49</f>
        <v>2.2000000000000002</v>
      </c>
      <c r="G103" s="1410">
        <f>'det -detail'!H49</f>
        <v>2.2000000000000002</v>
      </c>
      <c r="H103" s="1411">
        <f>H102</f>
        <v>0.1</v>
      </c>
      <c r="I103" s="1406">
        <f t="shared" si="11"/>
        <v>4.3560000000000008</v>
      </c>
      <c r="Q103" s="1394">
        <f>IFERROR(VLOOKUP(M103,#REF!,3,0),0)</f>
        <v>0</v>
      </c>
      <c r="R103" s="1394">
        <f t="shared" si="3"/>
        <v>0</v>
      </c>
      <c r="S103" s="1394">
        <f>IFERROR(VLOOKUP(M103,#REF!,6,0),0)</f>
        <v>0</v>
      </c>
      <c r="T103" s="1394">
        <f t="shared" si="4"/>
        <v>0</v>
      </c>
      <c r="U103" s="1394">
        <f>IFERROR(VLOOKUP(M103,#REF!,5,0),0)</f>
        <v>0</v>
      </c>
      <c r="V103" s="1394">
        <f t="shared" si="5"/>
        <v>0</v>
      </c>
      <c r="W103" s="1394"/>
    </row>
    <row r="104" spans="1:24" ht="30" customHeight="1">
      <c r="B104" s="1407"/>
      <c r="C104" s="1408" t="str">
        <f>'det -detail'!B50&amp;'det -detail'!C50&amp;'det -detail'!D50</f>
        <v>For C4 F4 Footing</v>
      </c>
      <c r="D104" s="1409">
        <f>'det -detail'!E50</f>
        <v>1</v>
      </c>
      <c r="E104" s="1409">
        <f>'det -detail'!F50</f>
        <v>7</v>
      </c>
      <c r="F104" s="1410">
        <f>'det -detail'!G50</f>
        <v>2.5</v>
      </c>
      <c r="G104" s="1410">
        <f>'det -detail'!H50</f>
        <v>2.5</v>
      </c>
      <c r="H104" s="1411">
        <f>H103</f>
        <v>0.1</v>
      </c>
      <c r="I104" s="1406">
        <f t="shared" si="11"/>
        <v>4.375</v>
      </c>
      <c r="Q104" s="1394">
        <f>IFERROR(VLOOKUP(M104,#REF!,3,0),0)</f>
        <v>0</v>
      </c>
      <c r="R104" s="1394">
        <f t="shared" si="3"/>
        <v>0</v>
      </c>
      <c r="S104" s="1394">
        <f>IFERROR(VLOOKUP(M104,#REF!,6,0),0)</f>
        <v>0</v>
      </c>
      <c r="T104" s="1394">
        <f t="shared" si="4"/>
        <v>0</v>
      </c>
      <c r="U104" s="1394">
        <f>IFERROR(VLOOKUP(M104,#REF!,5,0),0)</f>
        <v>0</v>
      </c>
      <c r="V104" s="1394">
        <f t="shared" si="5"/>
        <v>0</v>
      </c>
      <c r="W104" s="1394"/>
    </row>
    <row r="105" spans="1:24" ht="30" customHeight="1">
      <c r="B105" s="1407"/>
      <c r="C105" s="1408" t="str">
        <f>'det -detail'!B51&amp;'det -detail'!C51&amp;'det -detail'!D51</f>
        <v>For C3,c1F4 Footing</v>
      </c>
      <c r="D105" s="1409">
        <f>'det -detail'!E51</f>
        <v>1</v>
      </c>
      <c r="E105" s="1409">
        <f>'det -detail'!F51</f>
        <v>1</v>
      </c>
      <c r="F105" s="1410">
        <f>'det -detail'!G51</f>
        <v>2.2000000000000002</v>
      </c>
      <c r="G105" s="1410">
        <f>'det -detail'!H51</f>
        <v>2.8</v>
      </c>
      <c r="H105" s="1411">
        <f t="shared" ref="H105" si="12">H104</f>
        <v>0.1</v>
      </c>
      <c r="I105" s="1406">
        <f t="shared" si="11"/>
        <v>0.6160000000000001</v>
      </c>
      <c r="Q105" s="1394">
        <f>IFERROR(VLOOKUP(M105,#REF!,3,0),0)</f>
        <v>0</v>
      </c>
      <c r="R105" s="1394">
        <f t="shared" si="3"/>
        <v>0</v>
      </c>
      <c r="S105" s="1394">
        <f>IFERROR(VLOOKUP(M105,#REF!,6,0),0)</f>
        <v>0</v>
      </c>
      <c r="T105" s="1394">
        <f t="shared" si="4"/>
        <v>0</v>
      </c>
      <c r="U105" s="1394">
        <f>IFERROR(VLOOKUP(M105,#REF!,5,0),0)</f>
        <v>0</v>
      </c>
      <c r="V105" s="1394">
        <f t="shared" si="5"/>
        <v>0</v>
      </c>
      <c r="W105" s="1394"/>
    </row>
    <row r="106" spans="1:24" ht="30" customHeight="1">
      <c r="B106" s="1407"/>
      <c r="C106" s="1412" t="s">
        <v>5713</v>
      </c>
      <c r="D106" s="1409">
        <f>'det -detail'!E52</f>
        <v>0</v>
      </c>
      <c r="E106" s="1409">
        <f>'det -detail'!F52</f>
        <v>0</v>
      </c>
      <c r="F106" s="1410">
        <f>'det -detail'!G52</f>
        <v>0</v>
      </c>
      <c r="G106" s="1410">
        <f>'det -detail'!H52</f>
        <v>0</v>
      </c>
      <c r="H106" s="1411"/>
      <c r="I106" s="1406">
        <f t="shared" ref="I106:I120" si="13">PRODUCT(D106:H106)</f>
        <v>0</v>
      </c>
      <c r="Q106" s="1394">
        <f>IFERROR(VLOOKUP(M106,#REF!,3,0),0)</f>
        <v>0</v>
      </c>
      <c r="R106" s="1394">
        <f t="shared" si="3"/>
        <v>0</v>
      </c>
      <c r="S106" s="1394">
        <f>IFERROR(VLOOKUP(M106,#REF!,6,0),0)</f>
        <v>0</v>
      </c>
      <c r="T106" s="1394">
        <f t="shared" si="4"/>
        <v>0</v>
      </c>
      <c r="U106" s="1394">
        <f>IFERROR(VLOOKUP(M106,#REF!,5,0),0)</f>
        <v>0</v>
      </c>
      <c r="V106" s="1394">
        <f t="shared" si="5"/>
        <v>0</v>
      </c>
      <c r="W106" s="1394"/>
    </row>
    <row r="107" spans="1:24" ht="30" customHeight="1">
      <c r="B107" s="1407"/>
      <c r="C107" s="1415" t="str">
        <f>'det -detail'!B65&amp;'det -detail'!C65</f>
        <v>-X- Direction</v>
      </c>
      <c r="D107" s="1409"/>
      <c r="E107" s="1409"/>
      <c r="F107" s="1410"/>
      <c r="G107" s="1410"/>
      <c r="H107" s="1411"/>
      <c r="I107" s="1406"/>
      <c r="Q107" s="1394">
        <f>IFERROR(VLOOKUP(M107,#REF!,3,0),0)</f>
        <v>0</v>
      </c>
      <c r="R107" s="1394">
        <f t="shared" si="3"/>
        <v>0</v>
      </c>
      <c r="S107" s="1394">
        <f>IFERROR(VLOOKUP(M107,#REF!,6,0),0)</f>
        <v>0</v>
      </c>
      <c r="T107" s="1394">
        <f t="shared" si="4"/>
        <v>0</v>
      </c>
      <c r="U107" s="1394">
        <f>IFERROR(VLOOKUP(M107,#REF!,5,0),0)</f>
        <v>0</v>
      </c>
      <c r="V107" s="1394">
        <f t="shared" si="5"/>
        <v>0</v>
      </c>
      <c r="W107" s="1394"/>
    </row>
    <row r="108" spans="1:24" ht="30" customHeight="1">
      <c r="B108" s="1407"/>
      <c r="C108" s="1432" t="str">
        <f>'det -detail'!B66&amp;'det -detail'!C66</f>
        <v>A3 to B3, A5 to B5 , A6 to B6 and A6 to B6GB-2</v>
      </c>
      <c r="D108" s="1409">
        <f>'det -detail'!E66</f>
        <v>1</v>
      </c>
      <c r="E108" s="1409">
        <f>'det -detail'!F66</f>
        <v>4</v>
      </c>
      <c r="F108" s="1410">
        <f>'det -detail'!G66</f>
        <v>4.2300000000000004</v>
      </c>
      <c r="G108" s="1410">
        <f>'det -detail'!H66</f>
        <v>0.38</v>
      </c>
      <c r="H108" s="1411">
        <f>H105</f>
        <v>0.1</v>
      </c>
      <c r="I108" s="1406">
        <f t="shared" si="13"/>
        <v>0.64296000000000009</v>
      </c>
      <c r="Q108" s="1394">
        <f>IFERROR(VLOOKUP(M108,#REF!,3,0),0)</f>
        <v>0</v>
      </c>
      <c r="R108" s="1394">
        <f t="shared" si="3"/>
        <v>0</v>
      </c>
      <c r="S108" s="1394">
        <f>IFERROR(VLOOKUP(M108,#REF!,6,0),0)</f>
        <v>0</v>
      </c>
      <c r="T108" s="1394">
        <f t="shared" si="4"/>
        <v>0</v>
      </c>
      <c r="U108" s="1394">
        <f>IFERROR(VLOOKUP(M108,#REF!,5,0),0)</f>
        <v>0</v>
      </c>
      <c r="V108" s="1394">
        <f t="shared" si="5"/>
        <v>0</v>
      </c>
      <c r="W108" s="1394"/>
    </row>
    <row r="109" spans="1:24" ht="30" customHeight="1">
      <c r="B109" s="1407"/>
      <c r="C109" s="1432" t="str">
        <f>'det -detail'!B67&amp;'det -detail'!C67</f>
        <v>D1 to F1 &amp; D2 to F2GB-3</v>
      </c>
      <c r="D109" s="1409">
        <f>'det -detail'!E67</f>
        <v>1</v>
      </c>
      <c r="E109" s="1409">
        <f>'det -detail'!F67</f>
        <v>2</v>
      </c>
      <c r="F109" s="1410">
        <f>'det -detail'!G67</f>
        <v>3.6549999999999998</v>
      </c>
      <c r="G109" s="1410">
        <f>'det -detail'!H67</f>
        <v>0.38</v>
      </c>
      <c r="H109" s="1411">
        <f>H108</f>
        <v>0.1</v>
      </c>
      <c r="I109" s="1406">
        <f t="shared" si="13"/>
        <v>0.27778000000000003</v>
      </c>
      <c r="Q109" s="1394">
        <f>IFERROR(VLOOKUP(M109,#REF!,3,0),0)</f>
        <v>0</v>
      </c>
      <c r="R109" s="1394">
        <f t="shared" si="3"/>
        <v>0</v>
      </c>
      <c r="S109" s="1394">
        <f>IFERROR(VLOOKUP(M109,#REF!,6,0),0)</f>
        <v>0</v>
      </c>
      <c r="T109" s="1394">
        <f t="shared" si="4"/>
        <v>0</v>
      </c>
      <c r="U109" s="1394">
        <f>IFERROR(VLOOKUP(M109,#REF!,5,0),0)</f>
        <v>0</v>
      </c>
      <c r="V109" s="1394">
        <f t="shared" si="5"/>
        <v>0</v>
      </c>
      <c r="W109" s="1394"/>
    </row>
    <row r="110" spans="1:24" ht="30" customHeight="1">
      <c r="B110" s="1407"/>
      <c r="C110" s="1432" t="str">
        <f>'det -detail'!B68&amp;'det -detail'!C68</f>
        <v>B3 to F3GB-1</v>
      </c>
      <c r="D110" s="1409">
        <f>'det -detail'!E68</f>
        <v>1</v>
      </c>
      <c r="E110" s="1409">
        <f>'det -detail'!F68</f>
        <v>1</v>
      </c>
      <c r="F110" s="1410">
        <f>'det -detail'!G68</f>
        <v>6.8849999999999998</v>
      </c>
      <c r="G110" s="1410">
        <f>'det -detail'!H68</f>
        <v>0.38</v>
      </c>
      <c r="H110" s="1411">
        <f t="shared" ref="H110:H120" si="14">H109</f>
        <v>0.1</v>
      </c>
      <c r="I110" s="1406">
        <f t="shared" si="13"/>
        <v>0.26162999999999997</v>
      </c>
      <c r="Q110" s="1394">
        <f>IFERROR(VLOOKUP(M110,#REF!,3,0),0)</f>
        <v>0</v>
      </c>
      <c r="R110" s="1394">
        <f t="shared" ref="R110:R173" si="15">ROUND(O110,2)*ROUND(Q110,2)</f>
        <v>0</v>
      </c>
      <c r="S110" s="1394">
        <f>IFERROR(VLOOKUP(M110,#REF!,6,0),0)</f>
        <v>0</v>
      </c>
      <c r="T110" s="1394">
        <f t="shared" ref="T110:T173" si="16">R110-S110</f>
        <v>0</v>
      </c>
      <c r="U110" s="1394">
        <f>IFERROR(VLOOKUP(M110,#REF!,5,0),0)</f>
        <v>0</v>
      </c>
      <c r="V110" s="1394">
        <f t="shared" ref="V110:V173" si="17">O110-U110</f>
        <v>0</v>
      </c>
      <c r="W110" s="1394"/>
    </row>
    <row r="111" spans="1:24" ht="30" customHeight="1">
      <c r="B111" s="1407"/>
      <c r="C111" s="1432" t="str">
        <f>'det -detail'!B69&amp;'det -detail'!C69</f>
        <v>F3 to H3GB-2</v>
      </c>
      <c r="D111" s="1409">
        <f>'det -detail'!E69</f>
        <v>1</v>
      </c>
      <c r="E111" s="1409">
        <f>'det -detail'!F69</f>
        <v>1</v>
      </c>
      <c r="F111" s="1410">
        <f>'det -detail'!G69</f>
        <v>7.46</v>
      </c>
      <c r="G111" s="1410">
        <f>'det -detail'!H69</f>
        <v>0.38</v>
      </c>
      <c r="H111" s="1411">
        <f t="shared" si="14"/>
        <v>0.1</v>
      </c>
      <c r="I111" s="1406">
        <f t="shared" si="13"/>
        <v>0.28348000000000001</v>
      </c>
      <c r="Q111" s="1394">
        <f>IFERROR(VLOOKUP(M111,#REF!,3,0),0)</f>
        <v>0</v>
      </c>
      <c r="R111" s="1394">
        <f t="shared" si="15"/>
        <v>0</v>
      </c>
      <c r="S111" s="1394">
        <f>IFERROR(VLOOKUP(M111,#REF!,6,0),0)</f>
        <v>0</v>
      </c>
      <c r="T111" s="1394">
        <f t="shared" si="16"/>
        <v>0</v>
      </c>
      <c r="U111" s="1394">
        <f>IFERROR(VLOOKUP(M111,#REF!,5,0),0)</f>
        <v>0</v>
      </c>
      <c r="V111" s="1394">
        <f t="shared" si="17"/>
        <v>0</v>
      </c>
      <c r="W111" s="1394"/>
    </row>
    <row r="112" spans="1:24" ht="30" customHeight="1">
      <c r="B112" s="1407"/>
      <c r="C112" s="1432" t="str">
        <f>'det -detail'!B70&amp;'det -detail'!C70</f>
        <v>C4 to F4 , C5 to F5GB-1</v>
      </c>
      <c r="D112" s="1409">
        <f>'det -detail'!E70</f>
        <v>1</v>
      </c>
      <c r="E112" s="1409">
        <f>'det -detail'!F70</f>
        <v>2</v>
      </c>
      <c r="F112" s="1410">
        <f>'det -detail'!G70</f>
        <v>4.5549999999999997</v>
      </c>
      <c r="G112" s="1410">
        <f>'det -detail'!H70</f>
        <v>0.38</v>
      </c>
      <c r="H112" s="1411">
        <f t="shared" si="14"/>
        <v>0.1</v>
      </c>
      <c r="I112" s="1406">
        <f t="shared" si="13"/>
        <v>0.34617999999999999</v>
      </c>
      <c r="Q112" s="1394">
        <f>IFERROR(VLOOKUP(M112,#REF!,3,0),0)</f>
        <v>0</v>
      </c>
      <c r="R112" s="1394">
        <f t="shared" si="15"/>
        <v>0</v>
      </c>
      <c r="S112" s="1394">
        <f>IFERROR(VLOOKUP(M112,#REF!,6,0),0)</f>
        <v>0</v>
      </c>
      <c r="T112" s="1394">
        <f t="shared" si="16"/>
        <v>0</v>
      </c>
      <c r="U112" s="1394">
        <f>IFERROR(VLOOKUP(M112,#REF!,5,0),0)</f>
        <v>0</v>
      </c>
      <c r="V112" s="1394">
        <f t="shared" si="17"/>
        <v>0</v>
      </c>
      <c r="W112" s="1394"/>
    </row>
    <row r="113" spans="2:23" ht="30" customHeight="1">
      <c r="B113" s="1407"/>
      <c r="C113" s="1432" t="str">
        <f>'det -detail'!B71&amp;'det -detail'!C71</f>
        <v>B4 to C4 , B5 to C5GB-1</v>
      </c>
      <c r="D113" s="1409">
        <f>'det -detail'!E71</f>
        <v>1</v>
      </c>
      <c r="E113" s="1409">
        <f>'det -detail'!F71</f>
        <v>2</v>
      </c>
      <c r="F113" s="1410">
        <f>'det -detail'!G71</f>
        <v>2.33</v>
      </c>
      <c r="G113" s="1410">
        <f>'det -detail'!H71</f>
        <v>0.38</v>
      </c>
      <c r="H113" s="1411">
        <f t="shared" si="14"/>
        <v>0.1</v>
      </c>
      <c r="I113" s="1406">
        <f t="shared" si="13"/>
        <v>0.17708000000000002</v>
      </c>
      <c r="Q113" s="1394">
        <f>IFERROR(VLOOKUP(M113,#REF!,3,0),0)</f>
        <v>0</v>
      </c>
      <c r="R113" s="1394">
        <f t="shared" si="15"/>
        <v>0</v>
      </c>
      <c r="S113" s="1394">
        <f>IFERROR(VLOOKUP(M113,#REF!,6,0),0)</f>
        <v>0</v>
      </c>
      <c r="T113" s="1394">
        <f t="shared" si="16"/>
        <v>0</v>
      </c>
      <c r="U113" s="1394">
        <f>IFERROR(VLOOKUP(M113,#REF!,5,0),0)</f>
        <v>0</v>
      </c>
      <c r="V113" s="1394">
        <f t="shared" si="17"/>
        <v>0</v>
      </c>
      <c r="W113" s="1394"/>
    </row>
    <row r="114" spans="2:23" ht="30" customHeight="1">
      <c r="B114" s="1407"/>
      <c r="C114" s="1432" t="str">
        <f>'det -detail'!B72&amp;'det -detail'!C72</f>
        <v>F5 to G5 GB-2</v>
      </c>
      <c r="D114" s="1409">
        <f>'det -detail'!E72</f>
        <v>1</v>
      </c>
      <c r="E114" s="1409">
        <f>'det -detail'!F72</f>
        <v>1</v>
      </c>
      <c r="F114" s="1410">
        <f>'det -detail'!G72</f>
        <v>3.4649999999999999</v>
      </c>
      <c r="G114" s="1410">
        <f>'det -detail'!H72</f>
        <v>0.38</v>
      </c>
      <c r="H114" s="1411">
        <f t="shared" si="14"/>
        <v>0.1</v>
      </c>
      <c r="I114" s="1406">
        <f t="shared" si="13"/>
        <v>0.13167000000000001</v>
      </c>
      <c r="Q114" s="1394">
        <f>IFERROR(VLOOKUP(M114,#REF!,3,0),0)</f>
        <v>0</v>
      </c>
      <c r="R114" s="1394">
        <f t="shared" si="15"/>
        <v>0</v>
      </c>
      <c r="S114" s="1394">
        <f>IFERROR(VLOOKUP(M114,#REF!,6,0),0)</f>
        <v>0</v>
      </c>
      <c r="T114" s="1394">
        <f t="shared" si="16"/>
        <v>0</v>
      </c>
      <c r="U114" s="1394">
        <f>IFERROR(VLOOKUP(M114,#REF!,5,0),0)</f>
        <v>0</v>
      </c>
      <c r="V114" s="1394">
        <f t="shared" si="17"/>
        <v>0</v>
      </c>
      <c r="W114" s="1394"/>
    </row>
    <row r="115" spans="2:23" ht="30" customHeight="1">
      <c r="B115" s="1407"/>
      <c r="C115" s="1432" t="str">
        <f>'det -detail'!B73&amp;'det -detail'!C73</f>
        <v>G5 to H5 GB-2</v>
      </c>
      <c r="D115" s="1409">
        <f>'det -detail'!E73</f>
        <v>1</v>
      </c>
      <c r="E115" s="1409">
        <f>'det -detail'!F73</f>
        <v>1</v>
      </c>
      <c r="F115" s="1410">
        <f>'det -detail'!G73</f>
        <v>3.9950000000000001</v>
      </c>
      <c r="G115" s="1410">
        <f>'det -detail'!H73</f>
        <v>0.38</v>
      </c>
      <c r="H115" s="1411">
        <f t="shared" si="14"/>
        <v>0.1</v>
      </c>
      <c r="I115" s="1406">
        <f t="shared" si="13"/>
        <v>0.15181</v>
      </c>
      <c r="Q115" s="1394">
        <f>IFERROR(VLOOKUP(M115,#REF!,3,0),0)</f>
        <v>0</v>
      </c>
      <c r="R115" s="1394">
        <f t="shared" si="15"/>
        <v>0</v>
      </c>
      <c r="S115" s="1394">
        <f>IFERROR(VLOOKUP(M115,#REF!,6,0),0)</f>
        <v>0</v>
      </c>
      <c r="T115" s="1394">
        <f t="shared" si="16"/>
        <v>0</v>
      </c>
      <c r="U115" s="1394">
        <f>IFERROR(VLOOKUP(M115,#REF!,5,0),0)</f>
        <v>0</v>
      </c>
      <c r="V115" s="1394">
        <f t="shared" si="17"/>
        <v>0</v>
      </c>
      <c r="W115" s="1394"/>
    </row>
    <row r="116" spans="2:23" ht="30" customHeight="1">
      <c r="B116" s="1407"/>
      <c r="C116" s="1432" t="str">
        <f>'det -detail'!B74&amp;'det -detail'!C74</f>
        <v>B6' to D6'GB-3</v>
      </c>
      <c r="D116" s="1409">
        <f>'det -detail'!E74</f>
        <v>1</v>
      </c>
      <c r="E116" s="1409">
        <f>'det -detail'!F74</f>
        <v>1</v>
      </c>
      <c r="F116" s="1410">
        <f>'det -detail'!G74</f>
        <v>3.125</v>
      </c>
      <c r="G116" s="1410">
        <f>'det -detail'!H74</f>
        <v>0.38</v>
      </c>
      <c r="H116" s="1411">
        <f t="shared" si="14"/>
        <v>0.1</v>
      </c>
      <c r="I116" s="1406">
        <f t="shared" si="13"/>
        <v>0.11875000000000001</v>
      </c>
      <c r="Q116" s="1394">
        <f>IFERROR(VLOOKUP(M116,#REF!,3,0),0)</f>
        <v>0</v>
      </c>
      <c r="R116" s="1394">
        <f t="shared" si="15"/>
        <v>0</v>
      </c>
      <c r="S116" s="1394">
        <f>IFERROR(VLOOKUP(M116,#REF!,6,0),0)</f>
        <v>0</v>
      </c>
      <c r="T116" s="1394">
        <f t="shared" si="16"/>
        <v>0</v>
      </c>
      <c r="U116" s="1394">
        <f>IFERROR(VLOOKUP(M116,#REF!,5,0),0)</f>
        <v>0</v>
      </c>
      <c r="V116" s="1394">
        <f t="shared" si="17"/>
        <v>0</v>
      </c>
      <c r="W116" s="1394"/>
    </row>
    <row r="117" spans="2:23" ht="30" customHeight="1">
      <c r="B117" s="1407"/>
      <c r="C117" s="1432" t="str">
        <f>'det -detail'!B75&amp;'det -detail'!C75</f>
        <v>G6 to H6GB-2</v>
      </c>
      <c r="D117" s="1409">
        <f>'det -detail'!E75</f>
        <v>1</v>
      </c>
      <c r="E117" s="1409">
        <f>'det -detail'!F75</f>
        <v>1</v>
      </c>
      <c r="F117" s="1410">
        <f>'det -detail'!G75</f>
        <v>4.2300000000000004</v>
      </c>
      <c r="G117" s="1410">
        <f>'det -detail'!H75</f>
        <v>0.38</v>
      </c>
      <c r="H117" s="1411">
        <f t="shared" si="14"/>
        <v>0.1</v>
      </c>
      <c r="I117" s="1406">
        <f t="shared" si="13"/>
        <v>0.16074000000000002</v>
      </c>
      <c r="Q117" s="1394">
        <f>IFERROR(VLOOKUP(M117,#REF!,3,0),0)</f>
        <v>0</v>
      </c>
      <c r="R117" s="1394">
        <f t="shared" si="15"/>
        <v>0</v>
      </c>
      <c r="S117" s="1394">
        <f>IFERROR(VLOOKUP(M117,#REF!,6,0),0)</f>
        <v>0</v>
      </c>
      <c r="T117" s="1394">
        <f t="shared" si="16"/>
        <v>0</v>
      </c>
      <c r="U117" s="1394">
        <f>IFERROR(VLOOKUP(M117,#REF!,5,0),0)</f>
        <v>0</v>
      </c>
      <c r="V117" s="1394">
        <f t="shared" si="17"/>
        <v>0</v>
      </c>
      <c r="W117" s="1394"/>
    </row>
    <row r="118" spans="2:23" ht="30" customHeight="1">
      <c r="B118" s="1407"/>
      <c r="C118" s="1432" t="str">
        <f>'det -detail'!B76&amp;'det -detail'!C76</f>
        <v>B7 to E7GB-1</v>
      </c>
      <c r="D118" s="1409">
        <f>'det -detail'!E76</f>
        <v>1</v>
      </c>
      <c r="E118" s="1409">
        <f>'det -detail'!F76</f>
        <v>1</v>
      </c>
      <c r="F118" s="1410">
        <f>'det -detail'!G76</f>
        <v>5.6549999999999994</v>
      </c>
      <c r="G118" s="1410">
        <f>'det -detail'!H76</f>
        <v>0.38</v>
      </c>
      <c r="H118" s="1411">
        <f t="shared" si="14"/>
        <v>0.1</v>
      </c>
      <c r="I118" s="1406">
        <f t="shared" si="13"/>
        <v>0.21489</v>
      </c>
      <c r="Q118" s="1394">
        <f>IFERROR(VLOOKUP(M118,#REF!,3,0),0)</f>
        <v>0</v>
      </c>
      <c r="R118" s="1394">
        <f t="shared" si="15"/>
        <v>0</v>
      </c>
      <c r="S118" s="1394">
        <f>IFERROR(VLOOKUP(M118,#REF!,6,0),0)</f>
        <v>0</v>
      </c>
      <c r="T118" s="1394">
        <f t="shared" si="16"/>
        <v>0</v>
      </c>
      <c r="U118" s="1394">
        <f>IFERROR(VLOOKUP(M118,#REF!,5,0),0)</f>
        <v>0</v>
      </c>
      <c r="V118" s="1394">
        <f t="shared" si="17"/>
        <v>0</v>
      </c>
      <c r="W118" s="1394"/>
    </row>
    <row r="119" spans="2:23" ht="30" customHeight="1">
      <c r="B119" s="1407"/>
      <c r="C119" s="1432" t="str">
        <f>'det -detail'!B77&amp;'det -detail'!C77</f>
        <v>E7 to H7GB-2</v>
      </c>
      <c r="D119" s="1409">
        <f>'det -detail'!E77</f>
        <v>1</v>
      </c>
      <c r="E119" s="1409">
        <f>'det -detail'!F77</f>
        <v>1</v>
      </c>
      <c r="F119" s="1410">
        <f>'det -detail'!G77</f>
        <v>8.6900000000000013</v>
      </c>
      <c r="G119" s="1410">
        <f>'det -detail'!H77</f>
        <v>0.38</v>
      </c>
      <c r="H119" s="1411">
        <f t="shared" si="14"/>
        <v>0.1</v>
      </c>
      <c r="I119" s="1406">
        <f t="shared" si="13"/>
        <v>0.33022000000000007</v>
      </c>
      <c r="Q119" s="1394">
        <f>IFERROR(VLOOKUP(M119,#REF!,3,0),0)</f>
        <v>0</v>
      </c>
      <c r="R119" s="1394">
        <f t="shared" si="15"/>
        <v>0</v>
      </c>
      <c r="S119" s="1394">
        <f>IFERROR(VLOOKUP(M119,#REF!,6,0),0)</f>
        <v>0</v>
      </c>
      <c r="T119" s="1394">
        <f t="shared" si="16"/>
        <v>0</v>
      </c>
      <c r="U119" s="1394">
        <f>IFERROR(VLOOKUP(M119,#REF!,5,0),0)</f>
        <v>0</v>
      </c>
      <c r="V119" s="1394">
        <f t="shared" si="17"/>
        <v>0</v>
      </c>
      <c r="W119" s="1394"/>
    </row>
    <row r="120" spans="2:23" ht="30" customHeight="1">
      <c r="B120" s="1407"/>
      <c r="C120" s="1432" t="str">
        <f>'det -detail'!B78&amp;'det -detail'!C78</f>
        <v>A8 to H8GB-3</v>
      </c>
      <c r="D120" s="1409">
        <f>'det -detail'!E78</f>
        <v>1</v>
      </c>
      <c r="E120" s="1409">
        <f>'det -detail'!F78</f>
        <v>1</v>
      </c>
      <c r="F120" s="1410">
        <f>'det -detail'!G78</f>
        <v>18.575000000000003</v>
      </c>
      <c r="G120" s="1410">
        <f>'det -detail'!H78</f>
        <v>0.38</v>
      </c>
      <c r="H120" s="1411">
        <f t="shared" si="14"/>
        <v>0.1</v>
      </c>
      <c r="I120" s="1406">
        <f t="shared" si="13"/>
        <v>0.7058500000000002</v>
      </c>
      <c r="Q120" s="1394">
        <f>IFERROR(VLOOKUP(M120,#REF!,3,0),0)</f>
        <v>0</v>
      </c>
      <c r="R120" s="1394">
        <f t="shared" si="15"/>
        <v>0</v>
      </c>
      <c r="S120" s="1394">
        <f>IFERROR(VLOOKUP(M120,#REF!,6,0),0)</f>
        <v>0</v>
      </c>
      <c r="T120" s="1394">
        <f t="shared" si="16"/>
        <v>0</v>
      </c>
      <c r="U120" s="1394">
        <f>IFERROR(VLOOKUP(M120,#REF!,5,0),0)</f>
        <v>0</v>
      </c>
      <c r="V120" s="1394">
        <f t="shared" si="17"/>
        <v>0</v>
      </c>
      <c r="W120" s="1394"/>
    </row>
    <row r="121" spans="2:23" ht="30" hidden="1" customHeight="1">
      <c r="B121" s="1407"/>
      <c r="C121" s="1432" t="str">
        <f>'det -detail'!B79&amp;'det -detail'!C79</f>
        <v/>
      </c>
      <c r="D121" s="1409">
        <f>'det -detail'!E79</f>
        <v>0</v>
      </c>
      <c r="E121" s="1409">
        <f>'det -detail'!F79</f>
        <v>0</v>
      </c>
      <c r="F121" s="1410">
        <f>'det -detail'!G79</f>
        <v>0</v>
      </c>
      <c r="G121" s="1410">
        <f>'det -detail'!H79</f>
        <v>0</v>
      </c>
      <c r="H121" s="1411">
        <f>'det -detail'!I79</f>
        <v>0</v>
      </c>
      <c r="I121" s="1406">
        <f t="shared" ref="I121:I134" si="18">PRODUCT(D121:H121)</f>
        <v>0</v>
      </c>
      <c r="Q121" s="1394">
        <f>IFERROR(VLOOKUP(M121,#REF!,3,0),0)</f>
        <v>0</v>
      </c>
      <c r="R121" s="1394">
        <f t="shared" si="15"/>
        <v>0</v>
      </c>
      <c r="S121" s="1394">
        <f>IFERROR(VLOOKUP(M121,#REF!,6,0),0)</f>
        <v>0</v>
      </c>
      <c r="T121" s="1394">
        <f t="shared" si="16"/>
        <v>0</v>
      </c>
      <c r="U121" s="1394">
        <f>IFERROR(VLOOKUP(M121,#REF!,5,0),0)</f>
        <v>0</v>
      </c>
      <c r="V121" s="1394">
        <f t="shared" si="17"/>
        <v>0</v>
      </c>
      <c r="W121" s="1394"/>
    </row>
    <row r="122" spans="2:23" ht="30" customHeight="1">
      <c r="B122" s="1407"/>
      <c r="C122" s="1432" t="str">
        <f>'det -detail'!B80&amp;'det -detail'!C80</f>
        <v/>
      </c>
      <c r="D122" s="1409">
        <f>'det -detail'!E80</f>
        <v>0</v>
      </c>
      <c r="E122" s="1409">
        <f>'det -detail'!F80</f>
        <v>0</v>
      </c>
      <c r="F122" s="1410">
        <f>'det -detail'!G80</f>
        <v>0</v>
      </c>
      <c r="G122" s="1410">
        <f>'det -detail'!H80</f>
        <v>0</v>
      </c>
      <c r="H122" s="1411">
        <f>'det -detail'!I80</f>
        <v>0</v>
      </c>
      <c r="I122" s="1406">
        <f t="shared" si="18"/>
        <v>0</v>
      </c>
      <c r="J122" s="1397"/>
      <c r="K122" s="1397"/>
      <c r="Q122" s="1394">
        <f>IFERROR(VLOOKUP(M122,#REF!,3,0),0)</f>
        <v>0</v>
      </c>
      <c r="R122" s="1394">
        <f t="shared" si="15"/>
        <v>0</v>
      </c>
      <c r="S122" s="1394">
        <f>IFERROR(VLOOKUP(M122,#REF!,6,0),0)</f>
        <v>0</v>
      </c>
      <c r="T122" s="1394">
        <f t="shared" si="16"/>
        <v>0</v>
      </c>
      <c r="U122" s="1394">
        <f>IFERROR(VLOOKUP(M122,#REF!,5,0),0)</f>
        <v>0</v>
      </c>
      <c r="V122" s="1394">
        <f t="shared" si="17"/>
        <v>0</v>
      </c>
      <c r="W122" s="1394"/>
    </row>
    <row r="123" spans="2:23" ht="30" customHeight="1">
      <c r="B123" s="1407"/>
      <c r="C123" s="1433" t="str">
        <f>'det -detail'!B81&amp;'det -detail'!C81</f>
        <v>-Y- Direction</v>
      </c>
      <c r="D123" s="1409">
        <f>'det -detail'!E81</f>
        <v>0</v>
      </c>
      <c r="E123" s="1409">
        <f>'det -detail'!F81</f>
        <v>0</v>
      </c>
      <c r="F123" s="1410">
        <f>'det -detail'!G81</f>
        <v>0</v>
      </c>
      <c r="G123" s="1410">
        <f>'det -detail'!H81</f>
        <v>0</v>
      </c>
      <c r="H123" s="1411">
        <f>'det -detail'!I81</f>
        <v>0</v>
      </c>
      <c r="I123" s="1406">
        <f t="shared" si="18"/>
        <v>0</v>
      </c>
      <c r="J123" s="1397"/>
      <c r="K123" s="1397"/>
      <c r="Q123" s="1394">
        <f>IFERROR(VLOOKUP(M123,#REF!,3,0),0)</f>
        <v>0</v>
      </c>
      <c r="R123" s="1394">
        <f t="shared" si="15"/>
        <v>0</v>
      </c>
      <c r="S123" s="1394">
        <f>IFERROR(VLOOKUP(M123,#REF!,6,0),0)</f>
        <v>0</v>
      </c>
      <c r="T123" s="1394">
        <f t="shared" si="16"/>
        <v>0</v>
      </c>
      <c r="U123" s="1394">
        <f>IFERROR(VLOOKUP(M123,#REF!,5,0),0)</f>
        <v>0</v>
      </c>
      <c r="V123" s="1394">
        <f t="shared" si="17"/>
        <v>0</v>
      </c>
      <c r="W123" s="1394"/>
    </row>
    <row r="124" spans="2:23" ht="30" customHeight="1">
      <c r="B124" s="1407"/>
      <c r="C124" s="1432" t="str">
        <f>'det -detail'!B82&amp;'det -detail'!C82</f>
        <v>D1 to D3 &amp; F1 to F3GB-3</v>
      </c>
      <c r="D124" s="1409">
        <f>'det -detail'!E82</f>
        <v>1</v>
      </c>
      <c r="E124" s="1409">
        <f>'det -detail'!F82</f>
        <v>2</v>
      </c>
      <c r="F124" s="1410">
        <f>'det -detail'!G82</f>
        <v>4.6899999999999995</v>
      </c>
      <c r="G124" s="1410">
        <f>'det -detail'!H82</f>
        <v>0.38</v>
      </c>
      <c r="H124" s="1411">
        <f>H120</f>
        <v>0.1</v>
      </c>
      <c r="I124" s="1406">
        <f t="shared" si="18"/>
        <v>0.35643999999999998</v>
      </c>
      <c r="J124" s="1397"/>
      <c r="K124" s="1397"/>
      <c r="Q124" s="1394">
        <f>IFERROR(VLOOKUP(M124,#REF!,3,0),0)</f>
        <v>0</v>
      </c>
      <c r="R124" s="1394">
        <f t="shared" si="15"/>
        <v>0</v>
      </c>
      <c r="S124" s="1394">
        <f>IFERROR(VLOOKUP(M124,#REF!,6,0),0)</f>
        <v>0</v>
      </c>
      <c r="T124" s="1394">
        <f t="shared" si="16"/>
        <v>0</v>
      </c>
      <c r="U124" s="1394">
        <f>IFERROR(VLOOKUP(M124,#REF!,5,0),0)</f>
        <v>0</v>
      </c>
      <c r="V124" s="1394">
        <f t="shared" si="17"/>
        <v>0</v>
      </c>
      <c r="W124" s="1394"/>
    </row>
    <row r="125" spans="2:23" ht="30" customHeight="1">
      <c r="B125" s="1407"/>
      <c r="C125" s="1432" t="str">
        <f>'det -detail'!B83&amp;'det -detail'!C83</f>
        <v>A3 to A8 ,B3 to B8 &amp; H3 to H8GB-3</v>
      </c>
      <c r="D125" s="1409">
        <f>'det -detail'!E83</f>
        <v>1</v>
      </c>
      <c r="E125" s="1409">
        <f>'det -detail'!F83</f>
        <v>3</v>
      </c>
      <c r="F125" s="1410">
        <f>'det -detail'!G83</f>
        <v>15.649999999999999</v>
      </c>
      <c r="G125" s="1410">
        <f>'det -detail'!H83</f>
        <v>0.38</v>
      </c>
      <c r="H125" s="1411">
        <f>H124</f>
        <v>0.1</v>
      </c>
      <c r="I125" s="1406">
        <f t="shared" si="18"/>
        <v>1.7840999999999998</v>
      </c>
      <c r="J125" s="1397"/>
      <c r="K125" s="1397"/>
      <c r="Q125" s="1394">
        <f>IFERROR(VLOOKUP(M125,#REF!,3,0),0)</f>
        <v>0</v>
      </c>
      <c r="R125" s="1394">
        <f t="shared" si="15"/>
        <v>0</v>
      </c>
      <c r="S125" s="1394">
        <f>IFERROR(VLOOKUP(M125,#REF!,6,0),0)</f>
        <v>0</v>
      </c>
      <c r="T125" s="1394">
        <f t="shared" si="16"/>
        <v>0</v>
      </c>
      <c r="U125" s="1394">
        <f>IFERROR(VLOOKUP(M125,#REF!,5,0),0)</f>
        <v>0</v>
      </c>
      <c r="V125" s="1394">
        <f t="shared" si="17"/>
        <v>0</v>
      </c>
      <c r="W125" s="1394"/>
    </row>
    <row r="126" spans="2:23" ht="30" customHeight="1">
      <c r="B126" s="1407"/>
      <c r="C126" s="1432" t="str">
        <f>'det -detail'!B84&amp;'det -detail'!C84</f>
        <v>D5 to D7GB-1</v>
      </c>
      <c r="D126" s="1409">
        <f>'det -detail'!E84</f>
        <v>1</v>
      </c>
      <c r="E126" s="1409">
        <f>'det -detail'!F84</f>
        <v>1</v>
      </c>
      <c r="F126" s="1410">
        <f>'det -detail'!G84</f>
        <v>5.99</v>
      </c>
      <c r="G126" s="1410">
        <f>'det -detail'!H84</f>
        <v>0.38</v>
      </c>
      <c r="H126" s="1411">
        <f t="shared" ref="H126:H129" si="19">H125</f>
        <v>0.1</v>
      </c>
      <c r="I126" s="1406">
        <f t="shared" si="18"/>
        <v>0.22762000000000004</v>
      </c>
      <c r="J126" s="1397"/>
      <c r="K126" s="1397"/>
      <c r="Q126" s="1394">
        <f>IFERROR(VLOOKUP(M126,#REF!,3,0),0)</f>
        <v>0</v>
      </c>
      <c r="R126" s="1394">
        <f t="shared" si="15"/>
        <v>0</v>
      </c>
      <c r="S126" s="1394">
        <f>IFERROR(VLOOKUP(M126,#REF!,6,0),0)</f>
        <v>0</v>
      </c>
      <c r="T126" s="1394">
        <f t="shared" si="16"/>
        <v>0</v>
      </c>
      <c r="U126" s="1394">
        <f>IFERROR(VLOOKUP(M126,#REF!,5,0),0)</f>
        <v>0</v>
      </c>
      <c r="V126" s="1394">
        <f t="shared" si="17"/>
        <v>0</v>
      </c>
      <c r="W126" s="1394"/>
    </row>
    <row r="127" spans="2:23" ht="30" customHeight="1">
      <c r="B127" s="1407"/>
      <c r="C127" s="1432" t="str">
        <f>'det -detail'!B85&amp;'det -detail'!C85</f>
        <v>E7 to E8 &amp; G7 to G8GB-3</v>
      </c>
      <c r="D127" s="1409">
        <f>'det -detail'!E85</f>
        <v>1</v>
      </c>
      <c r="E127" s="1409">
        <f>'det -detail'!F85</f>
        <v>2</v>
      </c>
      <c r="F127" s="1410">
        <f>'det -detail'!G85</f>
        <v>4.13</v>
      </c>
      <c r="G127" s="1410">
        <f>'det -detail'!H85</f>
        <v>0.38</v>
      </c>
      <c r="H127" s="1411">
        <f t="shared" si="19"/>
        <v>0.1</v>
      </c>
      <c r="I127" s="1406">
        <f t="shared" si="18"/>
        <v>0.31387999999999999</v>
      </c>
      <c r="J127" s="1397"/>
      <c r="K127" s="1397"/>
      <c r="Q127" s="1394">
        <f>IFERROR(VLOOKUP(M127,#REF!,3,0),0)</f>
        <v>0</v>
      </c>
      <c r="R127" s="1394">
        <f t="shared" si="15"/>
        <v>0</v>
      </c>
      <c r="S127" s="1394">
        <f>IFERROR(VLOOKUP(M127,#REF!,6,0),0)</f>
        <v>0</v>
      </c>
      <c r="T127" s="1394">
        <f t="shared" si="16"/>
        <v>0</v>
      </c>
      <c r="U127" s="1394">
        <f>IFERROR(VLOOKUP(M127,#REF!,5,0),0)</f>
        <v>0</v>
      </c>
      <c r="V127" s="1394">
        <f t="shared" si="17"/>
        <v>0</v>
      </c>
      <c r="W127" s="1394"/>
    </row>
    <row r="128" spans="2:23" ht="30" customHeight="1">
      <c r="B128" s="1407"/>
      <c r="C128" s="1432" t="str">
        <f>'det -detail'!B86&amp;'det -detail'!C86</f>
        <v>F3 To F5GB-3</v>
      </c>
      <c r="D128" s="1409">
        <f>'det -detail'!E86</f>
        <v>1</v>
      </c>
      <c r="E128" s="1409">
        <f>'det -detail'!F86</f>
        <v>1</v>
      </c>
      <c r="F128" s="1410">
        <f>'det -detail'!G86</f>
        <v>5.5299999999999994</v>
      </c>
      <c r="G128" s="1410">
        <f>'det -detail'!H86</f>
        <v>0.38</v>
      </c>
      <c r="H128" s="1411">
        <f t="shared" si="19"/>
        <v>0.1</v>
      </c>
      <c r="I128" s="1406">
        <f t="shared" si="18"/>
        <v>0.21013999999999999</v>
      </c>
      <c r="J128" s="1397"/>
      <c r="K128" s="1397"/>
      <c r="Q128" s="1394">
        <f>IFERROR(VLOOKUP(M128,#REF!,3,0),0)</f>
        <v>0</v>
      </c>
      <c r="R128" s="1394">
        <f t="shared" si="15"/>
        <v>0</v>
      </c>
      <c r="S128" s="1394">
        <f>IFERROR(VLOOKUP(M128,#REF!,6,0),0)</f>
        <v>0</v>
      </c>
      <c r="T128" s="1394">
        <f t="shared" si="16"/>
        <v>0</v>
      </c>
      <c r="U128" s="1394">
        <f>IFERROR(VLOOKUP(M128,#REF!,5,0),0)</f>
        <v>0</v>
      </c>
      <c r="V128" s="1394">
        <f t="shared" si="17"/>
        <v>0</v>
      </c>
      <c r="W128" s="1394"/>
    </row>
    <row r="129" spans="2:23" ht="30" customHeight="1">
      <c r="B129" s="1407"/>
      <c r="C129" s="1432" t="str">
        <f>'det -detail'!B87&amp;'det -detail'!C87</f>
        <v>G5 to G7GB-3</v>
      </c>
      <c r="D129" s="1409">
        <f>'det -detail'!E87</f>
        <v>1</v>
      </c>
      <c r="E129" s="1409">
        <f>'det -detail'!F87</f>
        <v>1</v>
      </c>
      <c r="F129" s="1410">
        <f>'det -detail'!G87</f>
        <v>5.99</v>
      </c>
      <c r="G129" s="1410">
        <f>'det -detail'!H87</f>
        <v>0.38</v>
      </c>
      <c r="H129" s="1411">
        <f t="shared" si="19"/>
        <v>0.1</v>
      </c>
      <c r="I129" s="1406">
        <f t="shared" si="18"/>
        <v>0.22762000000000004</v>
      </c>
      <c r="J129" s="1397"/>
      <c r="K129" s="1397"/>
      <c r="Q129" s="1394">
        <f>IFERROR(VLOOKUP(M129,#REF!,3,0),0)</f>
        <v>0</v>
      </c>
      <c r="R129" s="1394">
        <f t="shared" si="15"/>
        <v>0</v>
      </c>
      <c r="S129" s="1394">
        <f>IFERROR(VLOOKUP(M129,#REF!,6,0),0)</f>
        <v>0</v>
      </c>
      <c r="T129" s="1394">
        <f t="shared" si="16"/>
        <v>0</v>
      </c>
      <c r="U129" s="1394">
        <f>IFERROR(VLOOKUP(M129,#REF!,5,0),0)</f>
        <v>0</v>
      </c>
      <c r="V129" s="1394">
        <f t="shared" si="17"/>
        <v>0</v>
      </c>
      <c r="W129" s="1394"/>
    </row>
    <row r="130" spans="2:23" ht="30" customHeight="1">
      <c r="B130" s="1407"/>
      <c r="C130" s="1415" t="s">
        <v>267</v>
      </c>
      <c r="D130" s="1409">
        <f>'det -detail'!E98</f>
        <v>0</v>
      </c>
      <c r="E130" s="1409">
        <f>'det -detail'!F98</f>
        <v>0</v>
      </c>
      <c r="F130" s="1410">
        <f>'det -detail'!G98</f>
        <v>0</v>
      </c>
      <c r="G130" s="1410">
        <f>'det -detail'!H98</f>
        <v>0</v>
      </c>
      <c r="H130" s="1411">
        <f>'det -detail'!I98</f>
        <v>0</v>
      </c>
      <c r="I130" s="1406">
        <f t="shared" si="18"/>
        <v>0</v>
      </c>
      <c r="J130" s="1397"/>
      <c r="K130" s="1397"/>
      <c r="Q130" s="1394">
        <f>IFERROR(VLOOKUP(M130,#REF!,3,0),0)</f>
        <v>0</v>
      </c>
      <c r="R130" s="1394">
        <f t="shared" si="15"/>
        <v>0</v>
      </c>
      <c r="S130" s="1394">
        <f>IFERROR(VLOOKUP(M130,#REF!,6,0),0)</f>
        <v>0</v>
      </c>
      <c r="T130" s="1394">
        <f t="shared" si="16"/>
        <v>0</v>
      </c>
      <c r="U130" s="1394">
        <f>IFERROR(VLOOKUP(M130,#REF!,5,0),0)</f>
        <v>0</v>
      </c>
      <c r="V130" s="1394">
        <f t="shared" si="17"/>
        <v>0</v>
      </c>
      <c r="W130" s="1394"/>
    </row>
    <row r="131" spans="2:23" ht="30" customHeight="1">
      <c r="B131" s="1407"/>
      <c r="C131" s="1432" t="str">
        <f>'det -detail'!B99&amp;'det -detail'!C99</f>
        <v xml:space="preserve">For C1 Round Column Dia 0.3 Radius = 0.15 </v>
      </c>
      <c r="D131" s="1416">
        <f>-'det -detail'!E99</f>
        <v>-4</v>
      </c>
      <c r="E131" s="1409">
        <f>'det -detail'!F99</f>
        <v>3.14</v>
      </c>
      <c r="F131" s="1410">
        <f>'det -detail'!G99</f>
        <v>0.15</v>
      </c>
      <c r="G131" s="1410">
        <f>'det -detail'!H99</f>
        <v>0.15</v>
      </c>
      <c r="H131" s="1411">
        <f>H129</f>
        <v>0.1</v>
      </c>
      <c r="I131" s="1406">
        <f t="shared" si="18"/>
        <v>-2.8259999999999997E-2</v>
      </c>
      <c r="J131" s="1397"/>
      <c r="K131" s="1397"/>
      <c r="Q131" s="1394">
        <f>IFERROR(VLOOKUP(M131,#REF!,3,0),0)</f>
        <v>0</v>
      </c>
      <c r="R131" s="1394">
        <f t="shared" si="15"/>
        <v>0</v>
      </c>
      <c r="S131" s="1394">
        <f>IFERROR(VLOOKUP(M131,#REF!,6,0),0)</f>
        <v>0</v>
      </c>
      <c r="T131" s="1394">
        <f t="shared" si="16"/>
        <v>0</v>
      </c>
      <c r="U131" s="1394">
        <f>IFERROR(VLOOKUP(M131,#REF!,5,0),0)</f>
        <v>0</v>
      </c>
      <c r="V131" s="1394">
        <f t="shared" si="17"/>
        <v>0</v>
      </c>
      <c r="W131" s="1394"/>
    </row>
    <row r="132" spans="2:23" ht="30" customHeight="1">
      <c r="B132" s="1407"/>
      <c r="C132" s="1432" t="str">
        <f>'det -detail'!B100&amp;'det -detail'!C100</f>
        <v>For C2</v>
      </c>
      <c r="D132" s="1416">
        <f>-'det -detail'!E100</f>
        <v>-11</v>
      </c>
      <c r="E132" s="1409">
        <f>'det -detail'!F100</f>
        <v>1</v>
      </c>
      <c r="F132" s="1410">
        <f>'det -detail'!G100</f>
        <v>0.23</v>
      </c>
      <c r="G132" s="1410">
        <f>'det -detail'!H100</f>
        <v>0.38</v>
      </c>
      <c r="H132" s="1411">
        <f>H131</f>
        <v>0.1</v>
      </c>
      <c r="I132" s="1406">
        <f t="shared" si="18"/>
        <v>-9.6140000000000017E-2</v>
      </c>
      <c r="J132" s="1397"/>
      <c r="K132" s="1397"/>
      <c r="Q132" s="1394">
        <f>IFERROR(VLOOKUP(M132,#REF!,3,0),0)</f>
        <v>0</v>
      </c>
      <c r="R132" s="1394">
        <f t="shared" si="15"/>
        <v>0</v>
      </c>
      <c r="S132" s="1394">
        <f>IFERROR(VLOOKUP(M132,#REF!,6,0),0)</f>
        <v>0</v>
      </c>
      <c r="T132" s="1394">
        <f t="shared" si="16"/>
        <v>0</v>
      </c>
      <c r="U132" s="1394">
        <f>IFERROR(VLOOKUP(M132,#REF!,5,0),0)</f>
        <v>0</v>
      </c>
      <c r="V132" s="1394">
        <f t="shared" si="17"/>
        <v>0</v>
      </c>
      <c r="W132" s="1394"/>
    </row>
    <row r="133" spans="2:23" ht="30" customHeight="1">
      <c r="B133" s="1407"/>
      <c r="C133" s="1432" t="str">
        <f>'det -detail'!B101&amp;'det -detail'!C101</f>
        <v>For C3</v>
      </c>
      <c r="D133" s="1416">
        <f>-'det -detail'!E101</f>
        <v>-10</v>
      </c>
      <c r="E133" s="1409">
        <f>'det -detail'!F101</f>
        <v>1</v>
      </c>
      <c r="F133" s="1410">
        <f>'det -detail'!G101</f>
        <v>0.23</v>
      </c>
      <c r="G133" s="1410">
        <f>'det -detail'!H101</f>
        <v>0.45</v>
      </c>
      <c r="H133" s="1411">
        <f t="shared" ref="H133:H134" si="20">H132</f>
        <v>0.1</v>
      </c>
      <c r="I133" s="1406">
        <f t="shared" si="18"/>
        <v>-0.10350000000000002</v>
      </c>
      <c r="J133" s="1397"/>
      <c r="K133" s="1397"/>
      <c r="Q133" s="1394">
        <f>IFERROR(VLOOKUP(M133,#REF!,3,0),0)</f>
        <v>0</v>
      </c>
      <c r="R133" s="1394">
        <f t="shared" si="15"/>
        <v>0</v>
      </c>
      <c r="S133" s="1394">
        <f>IFERROR(VLOOKUP(M133,#REF!,6,0),0)</f>
        <v>0</v>
      </c>
      <c r="T133" s="1394">
        <f t="shared" si="16"/>
        <v>0</v>
      </c>
      <c r="U133" s="1394">
        <f>IFERROR(VLOOKUP(M133,#REF!,5,0),0)</f>
        <v>0</v>
      </c>
      <c r="V133" s="1394">
        <f t="shared" si="17"/>
        <v>0</v>
      </c>
      <c r="W133" s="1394"/>
    </row>
    <row r="134" spans="2:23" ht="30" customHeight="1">
      <c r="B134" s="1407"/>
      <c r="C134" s="1432" t="str">
        <f>'det -detail'!B102&amp;'det -detail'!C102</f>
        <v>For C4</v>
      </c>
      <c r="D134" s="1416">
        <f>-'det -detail'!E102</f>
        <v>-7</v>
      </c>
      <c r="E134" s="1409">
        <f>'det -detail'!F102</f>
        <v>1</v>
      </c>
      <c r="F134" s="1410">
        <f>'det -detail'!G102</f>
        <v>0.3</v>
      </c>
      <c r="G134" s="1410">
        <f>'det -detail'!H102</f>
        <v>0.45</v>
      </c>
      <c r="H134" s="1411">
        <f t="shared" si="20"/>
        <v>0.1</v>
      </c>
      <c r="I134" s="1406">
        <f t="shared" si="18"/>
        <v>-9.4500000000000015E-2</v>
      </c>
      <c r="J134" s="1397"/>
      <c r="K134" s="1397"/>
      <c r="Q134" s="1394">
        <f>IFERROR(VLOOKUP(M134,#REF!,3,0),0)</f>
        <v>0</v>
      </c>
      <c r="R134" s="1394">
        <f t="shared" si="15"/>
        <v>0</v>
      </c>
      <c r="S134" s="1394">
        <f>IFERROR(VLOOKUP(M134,#REF!,6,0),0)</f>
        <v>0</v>
      </c>
      <c r="T134" s="1394">
        <f t="shared" si="16"/>
        <v>0</v>
      </c>
      <c r="U134" s="1394">
        <f>IFERROR(VLOOKUP(M134,#REF!,5,0),0)</f>
        <v>0</v>
      </c>
      <c r="V134" s="1394">
        <f t="shared" si="17"/>
        <v>0</v>
      </c>
      <c r="W134" s="1394"/>
    </row>
    <row r="135" spans="2:23" ht="30" customHeight="1">
      <c r="B135" s="1407"/>
      <c r="C135" s="1408"/>
      <c r="D135" s="1409"/>
      <c r="E135" s="1409"/>
      <c r="F135" s="1410"/>
      <c r="G135" s="1410"/>
      <c r="H135" s="1411"/>
      <c r="I135" s="1406"/>
      <c r="Q135" s="1394">
        <f>IFERROR(VLOOKUP(M135,#REF!,3,0),0)</f>
        <v>0</v>
      </c>
      <c r="R135" s="1394">
        <f t="shared" si="15"/>
        <v>0</v>
      </c>
      <c r="S135" s="1394">
        <f>IFERROR(VLOOKUP(M135,#REF!,6,0),0)</f>
        <v>0</v>
      </c>
      <c r="T135" s="1394">
        <f t="shared" si="16"/>
        <v>0</v>
      </c>
      <c r="U135" s="1394">
        <f>IFERROR(VLOOKUP(M135,#REF!,5,0),0)</f>
        <v>0</v>
      </c>
      <c r="V135" s="1394">
        <f t="shared" si="17"/>
        <v>0</v>
      </c>
      <c r="W135" s="1394"/>
    </row>
    <row r="136" spans="2:23" ht="30" customHeight="1">
      <c r="B136" s="1407"/>
      <c r="C136" s="1415" t="s">
        <v>163</v>
      </c>
      <c r="D136" s="1409"/>
      <c r="E136" s="1409"/>
      <c r="F136" s="1410"/>
      <c r="G136" s="1410"/>
      <c r="H136" s="1411"/>
      <c r="I136" s="1406">
        <f t="shared" si="11"/>
        <v>0</v>
      </c>
      <c r="Q136" s="1394">
        <f>IFERROR(VLOOKUP(M136,#REF!,3,0),0)</f>
        <v>0</v>
      </c>
      <c r="R136" s="1394">
        <f t="shared" si="15"/>
        <v>0</v>
      </c>
      <c r="S136" s="1394">
        <f>IFERROR(VLOOKUP(M136,#REF!,6,0),0)</f>
        <v>0</v>
      </c>
      <c r="T136" s="1394">
        <f t="shared" si="16"/>
        <v>0</v>
      </c>
      <c r="U136" s="1394">
        <f>IFERROR(VLOOKUP(M136,#REF!,5,0),0)</f>
        <v>0</v>
      </c>
      <c r="V136" s="1394">
        <f t="shared" si="17"/>
        <v>0</v>
      </c>
      <c r="W136" s="1394"/>
    </row>
    <row r="137" spans="2:23" ht="30" customHeight="1">
      <c r="B137" s="1407"/>
      <c r="C137" s="1432" t="str">
        <f>'det -detail'!B65&amp;'det -detail'!C65</f>
        <v>-X- Direction</v>
      </c>
      <c r="D137" s="1409"/>
      <c r="E137" s="1409"/>
      <c r="F137" s="1410"/>
      <c r="G137" s="1410"/>
      <c r="H137" s="1411"/>
      <c r="I137" s="1406">
        <f t="shared" si="11"/>
        <v>0</v>
      </c>
      <c r="Q137" s="1394">
        <f>IFERROR(VLOOKUP(M137,#REF!,3,0),0)</f>
        <v>0</v>
      </c>
      <c r="R137" s="1394">
        <f t="shared" si="15"/>
        <v>0</v>
      </c>
      <c r="S137" s="1394">
        <f>IFERROR(VLOOKUP(M137,#REF!,6,0),0)</f>
        <v>0</v>
      </c>
      <c r="T137" s="1394">
        <f t="shared" si="16"/>
        <v>0</v>
      </c>
      <c r="U137" s="1394">
        <f>IFERROR(VLOOKUP(M137,#REF!,5,0),0)</f>
        <v>0</v>
      </c>
      <c r="V137" s="1394">
        <f t="shared" si="17"/>
        <v>0</v>
      </c>
      <c r="W137" s="1394"/>
    </row>
    <row r="138" spans="2:23" ht="30" customHeight="1">
      <c r="B138" s="1407"/>
      <c r="C138" s="1432" t="str">
        <f>'det -detail'!B66&amp;"  "&amp;'det -detail'!C66</f>
        <v>A3 to B3, A5 to B5 , A6 to B6 and A6 to B6  GB-2</v>
      </c>
      <c r="D138" s="1409">
        <f>'det -detail'!E66</f>
        <v>1</v>
      </c>
      <c r="E138" s="1409">
        <f>'det -detail'!F66</f>
        <v>4</v>
      </c>
      <c r="F138" s="1410">
        <f>'det -detail'!G66</f>
        <v>4.2300000000000004</v>
      </c>
      <c r="G138" s="1410">
        <f>'det -detail'!H66</f>
        <v>0.38</v>
      </c>
      <c r="H138" s="1411">
        <f>'det -detail'!L66</f>
        <v>0.1</v>
      </c>
      <c r="I138" s="1406">
        <f t="shared" si="11"/>
        <v>0.64296000000000009</v>
      </c>
      <c r="Q138" s="1394">
        <f>IFERROR(VLOOKUP(M138,#REF!,3,0),0)</f>
        <v>0</v>
      </c>
      <c r="R138" s="1394">
        <f t="shared" si="15"/>
        <v>0</v>
      </c>
      <c r="S138" s="1394">
        <f>IFERROR(VLOOKUP(M138,#REF!,6,0),0)</f>
        <v>0</v>
      </c>
      <c r="T138" s="1394">
        <f t="shared" si="16"/>
        <v>0</v>
      </c>
      <c r="U138" s="1394">
        <f>IFERROR(VLOOKUP(M138,#REF!,5,0),0)</f>
        <v>0</v>
      </c>
      <c r="V138" s="1394">
        <f t="shared" si="17"/>
        <v>0</v>
      </c>
      <c r="W138" s="1394"/>
    </row>
    <row r="139" spans="2:23" ht="30" customHeight="1">
      <c r="B139" s="1407"/>
      <c r="C139" s="1432" t="str">
        <f>'det -detail'!B68&amp;"  "&amp;'det -detail'!C68</f>
        <v>B3 to F3  GB-1</v>
      </c>
      <c r="D139" s="1409">
        <f>'det -detail'!E68</f>
        <v>1</v>
      </c>
      <c r="E139" s="1409">
        <f>'det -detail'!F68</f>
        <v>1</v>
      </c>
      <c r="F139" s="1410">
        <f>'det -detail'!G68</f>
        <v>6.8849999999999998</v>
      </c>
      <c r="G139" s="1410">
        <f>'det -detail'!H68</f>
        <v>0.38</v>
      </c>
      <c r="H139" s="1411">
        <f>'det -detail'!L68</f>
        <v>0.1</v>
      </c>
      <c r="I139" s="1406">
        <f t="shared" si="11"/>
        <v>0.26162999999999997</v>
      </c>
      <c r="Q139" s="1394">
        <f>IFERROR(VLOOKUP(M139,#REF!,3,0),0)</f>
        <v>0</v>
      </c>
      <c r="R139" s="1394">
        <f t="shared" si="15"/>
        <v>0</v>
      </c>
      <c r="S139" s="1394">
        <f>IFERROR(VLOOKUP(M139,#REF!,6,0),0)</f>
        <v>0</v>
      </c>
      <c r="T139" s="1394">
        <f t="shared" si="16"/>
        <v>0</v>
      </c>
      <c r="U139" s="1394">
        <f>IFERROR(VLOOKUP(M139,#REF!,5,0),0)</f>
        <v>0</v>
      </c>
      <c r="V139" s="1394">
        <f t="shared" si="17"/>
        <v>0</v>
      </c>
      <c r="W139" s="1394"/>
    </row>
    <row r="140" spans="2:23" ht="30" customHeight="1">
      <c r="B140" s="1407"/>
      <c r="C140" s="1432" t="str">
        <f>'det -detail'!B69&amp;"  "&amp;'det -detail'!C69</f>
        <v>F3 to H3  GB-2</v>
      </c>
      <c r="D140" s="1409">
        <f>'det -detail'!E69</f>
        <v>1</v>
      </c>
      <c r="E140" s="1409">
        <f>'det -detail'!F69</f>
        <v>1</v>
      </c>
      <c r="F140" s="1410">
        <f>'det -detail'!G69</f>
        <v>7.46</v>
      </c>
      <c r="G140" s="1410">
        <f>'det -detail'!H69</f>
        <v>0.38</v>
      </c>
      <c r="H140" s="1411">
        <f>'det -detail'!L69</f>
        <v>0.1</v>
      </c>
      <c r="I140" s="1406">
        <f t="shared" si="11"/>
        <v>0.28348000000000001</v>
      </c>
      <c r="Q140" s="1394">
        <f>IFERROR(VLOOKUP(M140,#REF!,3,0),0)</f>
        <v>0</v>
      </c>
      <c r="R140" s="1394">
        <f t="shared" si="15"/>
        <v>0</v>
      </c>
      <c r="S140" s="1394">
        <f>IFERROR(VLOOKUP(M140,#REF!,6,0),0)</f>
        <v>0</v>
      </c>
      <c r="T140" s="1394">
        <f t="shared" si="16"/>
        <v>0</v>
      </c>
      <c r="U140" s="1394">
        <f>IFERROR(VLOOKUP(M140,#REF!,5,0),0)</f>
        <v>0</v>
      </c>
      <c r="V140" s="1394">
        <f t="shared" si="17"/>
        <v>0</v>
      </c>
      <c r="W140" s="1394"/>
    </row>
    <row r="141" spans="2:23" ht="30" customHeight="1">
      <c r="B141" s="1407"/>
      <c r="C141" s="1432" t="str">
        <f>'det -detail'!B70&amp;"  "&amp;'det -detail'!C70</f>
        <v>C4 to F4 , C5 to F5  GB-1</v>
      </c>
      <c r="D141" s="1409">
        <f>'det -detail'!E70</f>
        <v>1</v>
      </c>
      <c r="E141" s="1409">
        <f>'det -detail'!F70</f>
        <v>2</v>
      </c>
      <c r="F141" s="1410">
        <f>'det -detail'!G70</f>
        <v>4.5549999999999997</v>
      </c>
      <c r="G141" s="1410">
        <f>'det -detail'!H70</f>
        <v>0.38</v>
      </c>
      <c r="H141" s="1411">
        <f>'det -detail'!L70</f>
        <v>0.1</v>
      </c>
      <c r="I141" s="1406">
        <f t="shared" si="11"/>
        <v>0.34617999999999999</v>
      </c>
      <c r="Q141" s="1394">
        <f>IFERROR(VLOOKUP(M141,#REF!,3,0),0)</f>
        <v>0</v>
      </c>
      <c r="R141" s="1394">
        <f t="shared" si="15"/>
        <v>0</v>
      </c>
      <c r="S141" s="1394">
        <f>IFERROR(VLOOKUP(M141,#REF!,6,0),0)</f>
        <v>0</v>
      </c>
      <c r="T141" s="1394">
        <f t="shared" si="16"/>
        <v>0</v>
      </c>
      <c r="U141" s="1394">
        <f>IFERROR(VLOOKUP(M141,#REF!,5,0),0)</f>
        <v>0</v>
      </c>
      <c r="V141" s="1394">
        <f t="shared" si="17"/>
        <v>0</v>
      </c>
      <c r="W141" s="1394"/>
    </row>
    <row r="142" spans="2:23" ht="30" customHeight="1">
      <c r="B142" s="1407"/>
      <c r="C142" s="1432" t="str">
        <f>'det -detail'!B71&amp;"  "&amp;'det -detail'!C71</f>
        <v>B4 to C4 , B5 to C5  GB-1</v>
      </c>
      <c r="D142" s="1409">
        <f>'det -detail'!E71</f>
        <v>1</v>
      </c>
      <c r="E142" s="1409">
        <f>'det -detail'!F71</f>
        <v>2</v>
      </c>
      <c r="F142" s="1410">
        <f>'det -detail'!G71</f>
        <v>2.33</v>
      </c>
      <c r="G142" s="1410">
        <f>'det -detail'!H71</f>
        <v>0.38</v>
      </c>
      <c r="H142" s="1411">
        <f>'det -detail'!L71</f>
        <v>0.1</v>
      </c>
      <c r="I142" s="1406">
        <f t="shared" si="11"/>
        <v>0.17708000000000002</v>
      </c>
      <c r="Q142" s="1394">
        <f>IFERROR(VLOOKUP(M142,#REF!,3,0),0)</f>
        <v>0</v>
      </c>
      <c r="R142" s="1394">
        <f t="shared" si="15"/>
        <v>0</v>
      </c>
      <c r="S142" s="1394">
        <f>IFERROR(VLOOKUP(M142,#REF!,6,0),0)</f>
        <v>0</v>
      </c>
      <c r="T142" s="1394">
        <f t="shared" si="16"/>
        <v>0</v>
      </c>
      <c r="U142" s="1394">
        <f>IFERROR(VLOOKUP(M142,#REF!,5,0),0)</f>
        <v>0</v>
      </c>
      <c r="V142" s="1394">
        <f t="shared" si="17"/>
        <v>0</v>
      </c>
      <c r="W142" s="1394"/>
    </row>
    <row r="143" spans="2:23" ht="30" customHeight="1">
      <c r="B143" s="1407"/>
      <c r="C143" s="1432" t="str">
        <f>'det -detail'!B72&amp;"  "&amp;'det -detail'!C72</f>
        <v>F5 to G5   GB-2</v>
      </c>
      <c r="D143" s="1409">
        <f>'det -detail'!E72</f>
        <v>1</v>
      </c>
      <c r="E143" s="1409">
        <f>'det -detail'!F72</f>
        <v>1</v>
      </c>
      <c r="F143" s="1410">
        <f>'det -detail'!G72</f>
        <v>3.4649999999999999</v>
      </c>
      <c r="G143" s="1410">
        <f>'det -detail'!H72</f>
        <v>0.38</v>
      </c>
      <c r="H143" s="1411">
        <f>'det -detail'!L72</f>
        <v>0.1</v>
      </c>
      <c r="I143" s="1406">
        <f t="shared" si="11"/>
        <v>0.13167000000000001</v>
      </c>
      <c r="Q143" s="1394">
        <f>IFERROR(VLOOKUP(M143,#REF!,3,0),0)</f>
        <v>0</v>
      </c>
      <c r="R143" s="1394">
        <f t="shared" si="15"/>
        <v>0</v>
      </c>
      <c r="S143" s="1394">
        <f>IFERROR(VLOOKUP(M143,#REF!,6,0),0)</f>
        <v>0</v>
      </c>
      <c r="T143" s="1394">
        <f t="shared" si="16"/>
        <v>0</v>
      </c>
      <c r="U143" s="1394">
        <f>IFERROR(VLOOKUP(M143,#REF!,5,0),0)</f>
        <v>0</v>
      </c>
      <c r="V143" s="1394">
        <f t="shared" si="17"/>
        <v>0</v>
      </c>
      <c r="W143" s="1394"/>
    </row>
    <row r="144" spans="2:23" ht="30" customHeight="1">
      <c r="B144" s="1407"/>
      <c r="C144" s="1432" t="str">
        <f>'det -detail'!B73&amp;"  "&amp;'det -detail'!C73</f>
        <v>G5 to H5   GB-2</v>
      </c>
      <c r="D144" s="1409">
        <f>'det -detail'!E73</f>
        <v>1</v>
      </c>
      <c r="E144" s="1409">
        <f>'det -detail'!F73</f>
        <v>1</v>
      </c>
      <c r="F144" s="1410">
        <f>'det -detail'!G73</f>
        <v>3.9950000000000001</v>
      </c>
      <c r="G144" s="1410">
        <f>'det -detail'!H73</f>
        <v>0.38</v>
      </c>
      <c r="H144" s="1411">
        <f>'det -detail'!L73</f>
        <v>0.1</v>
      </c>
      <c r="I144" s="1406">
        <f t="shared" si="11"/>
        <v>0.15181</v>
      </c>
      <c r="Q144" s="1394">
        <f>IFERROR(VLOOKUP(M144,#REF!,3,0),0)</f>
        <v>0</v>
      </c>
      <c r="R144" s="1394">
        <f t="shared" si="15"/>
        <v>0</v>
      </c>
      <c r="S144" s="1394">
        <f>IFERROR(VLOOKUP(M144,#REF!,6,0),0)</f>
        <v>0</v>
      </c>
      <c r="T144" s="1394">
        <f t="shared" si="16"/>
        <v>0</v>
      </c>
      <c r="U144" s="1394">
        <f>IFERROR(VLOOKUP(M144,#REF!,5,0),0)</f>
        <v>0</v>
      </c>
      <c r="V144" s="1394">
        <f t="shared" si="17"/>
        <v>0</v>
      </c>
      <c r="W144" s="1394"/>
    </row>
    <row r="145" spans="2:23" ht="30" customHeight="1">
      <c r="B145" s="1407"/>
      <c r="C145" s="1432" t="str">
        <f>'det -detail'!B74&amp;"  "&amp;'det -detail'!C74</f>
        <v>B6' to D6'  GB-3</v>
      </c>
      <c r="D145" s="1409">
        <f>'det -detail'!E74</f>
        <v>1</v>
      </c>
      <c r="E145" s="1409">
        <f>'det -detail'!F74</f>
        <v>1</v>
      </c>
      <c r="F145" s="1410">
        <f>'det -detail'!G74</f>
        <v>3.125</v>
      </c>
      <c r="G145" s="1410">
        <f>'det -detail'!H74</f>
        <v>0.38</v>
      </c>
      <c r="H145" s="1411">
        <f>'det -detail'!L74</f>
        <v>0.1</v>
      </c>
      <c r="I145" s="1406">
        <f t="shared" si="11"/>
        <v>0.11875000000000001</v>
      </c>
      <c r="Q145" s="1394">
        <f>IFERROR(VLOOKUP(M145,#REF!,3,0),0)</f>
        <v>0</v>
      </c>
      <c r="R145" s="1394">
        <f t="shared" si="15"/>
        <v>0</v>
      </c>
      <c r="S145" s="1394">
        <f>IFERROR(VLOOKUP(M145,#REF!,6,0),0)</f>
        <v>0</v>
      </c>
      <c r="T145" s="1394">
        <f t="shared" si="16"/>
        <v>0</v>
      </c>
      <c r="U145" s="1394">
        <f>IFERROR(VLOOKUP(M145,#REF!,5,0),0)</f>
        <v>0</v>
      </c>
      <c r="V145" s="1394">
        <f t="shared" si="17"/>
        <v>0</v>
      </c>
      <c r="W145" s="1394"/>
    </row>
    <row r="146" spans="2:23" ht="30" customHeight="1">
      <c r="B146" s="1407"/>
      <c r="C146" s="1432" t="str">
        <f>'det -detail'!B75&amp;"  "&amp;'det -detail'!C75</f>
        <v>G6 to H6  GB-2</v>
      </c>
      <c r="D146" s="1409">
        <f>'det -detail'!E75</f>
        <v>1</v>
      </c>
      <c r="E146" s="1409">
        <f>'det -detail'!F75</f>
        <v>1</v>
      </c>
      <c r="F146" s="1410">
        <f>'det -detail'!G75</f>
        <v>4.2300000000000004</v>
      </c>
      <c r="G146" s="1410">
        <f>'det -detail'!H75</f>
        <v>0.38</v>
      </c>
      <c r="H146" s="1411">
        <f>'det -detail'!L75</f>
        <v>0.1</v>
      </c>
      <c r="I146" s="1406">
        <f t="shared" si="11"/>
        <v>0.16074000000000002</v>
      </c>
      <c r="Q146" s="1394">
        <f>IFERROR(VLOOKUP(M146,#REF!,3,0),0)</f>
        <v>0</v>
      </c>
      <c r="R146" s="1394">
        <f t="shared" si="15"/>
        <v>0</v>
      </c>
      <c r="S146" s="1394">
        <f>IFERROR(VLOOKUP(M146,#REF!,6,0),0)</f>
        <v>0</v>
      </c>
      <c r="T146" s="1394">
        <f t="shared" si="16"/>
        <v>0</v>
      </c>
      <c r="U146" s="1394">
        <f>IFERROR(VLOOKUP(M146,#REF!,5,0),0)</f>
        <v>0</v>
      </c>
      <c r="V146" s="1394">
        <f t="shared" si="17"/>
        <v>0</v>
      </c>
      <c r="W146" s="1394"/>
    </row>
    <row r="147" spans="2:23" ht="30" customHeight="1">
      <c r="B147" s="1407"/>
      <c r="C147" s="1432" t="str">
        <f>'det -detail'!B76&amp;"  "&amp;'det -detail'!C76</f>
        <v>B7 to E7  GB-1</v>
      </c>
      <c r="D147" s="1409">
        <f>'det -detail'!E76</f>
        <v>1</v>
      </c>
      <c r="E147" s="1409">
        <f>'det -detail'!F76</f>
        <v>1</v>
      </c>
      <c r="F147" s="1410">
        <f>'det -detail'!G76</f>
        <v>5.6549999999999994</v>
      </c>
      <c r="G147" s="1410">
        <f>'det -detail'!H76</f>
        <v>0.38</v>
      </c>
      <c r="H147" s="1411">
        <f>'det -detail'!L76</f>
        <v>0.1</v>
      </c>
      <c r="I147" s="1406">
        <f t="shared" si="11"/>
        <v>0.21489</v>
      </c>
      <c r="Q147" s="1394">
        <f>IFERROR(VLOOKUP(M147,#REF!,3,0),0)</f>
        <v>0</v>
      </c>
      <c r="R147" s="1394">
        <f t="shared" si="15"/>
        <v>0</v>
      </c>
      <c r="S147" s="1394">
        <f>IFERROR(VLOOKUP(M147,#REF!,6,0),0)</f>
        <v>0</v>
      </c>
      <c r="T147" s="1394">
        <f t="shared" si="16"/>
        <v>0</v>
      </c>
      <c r="U147" s="1394">
        <f>IFERROR(VLOOKUP(M147,#REF!,5,0),0)</f>
        <v>0</v>
      </c>
      <c r="V147" s="1394">
        <f t="shared" si="17"/>
        <v>0</v>
      </c>
      <c r="W147" s="1394"/>
    </row>
    <row r="148" spans="2:23" ht="30" customHeight="1">
      <c r="B148" s="1407"/>
      <c r="C148" s="1432" t="str">
        <f>'det -detail'!B77&amp;"  "&amp;'det -detail'!C77</f>
        <v>E7 to H7  GB-2</v>
      </c>
      <c r="D148" s="1409">
        <f>'det -detail'!E77</f>
        <v>1</v>
      </c>
      <c r="E148" s="1409">
        <f>'det -detail'!F77</f>
        <v>1</v>
      </c>
      <c r="F148" s="1410">
        <f>'det -detail'!G77</f>
        <v>8.6900000000000013</v>
      </c>
      <c r="G148" s="1410">
        <f>'det -detail'!H77</f>
        <v>0.38</v>
      </c>
      <c r="H148" s="1411">
        <f>'det -detail'!L77</f>
        <v>0.1</v>
      </c>
      <c r="I148" s="1406">
        <f t="shared" si="11"/>
        <v>0.33022000000000007</v>
      </c>
      <c r="Q148" s="1394">
        <f>IFERROR(VLOOKUP(M148,#REF!,3,0),0)</f>
        <v>0</v>
      </c>
      <c r="R148" s="1394">
        <f t="shared" si="15"/>
        <v>0</v>
      </c>
      <c r="S148" s="1394">
        <f>IFERROR(VLOOKUP(M148,#REF!,6,0),0)</f>
        <v>0</v>
      </c>
      <c r="T148" s="1394">
        <f t="shared" si="16"/>
        <v>0</v>
      </c>
      <c r="U148" s="1394">
        <f>IFERROR(VLOOKUP(M148,#REF!,5,0),0)</f>
        <v>0</v>
      </c>
      <c r="V148" s="1394">
        <f t="shared" si="17"/>
        <v>0</v>
      </c>
      <c r="W148" s="1394"/>
    </row>
    <row r="149" spans="2:23" ht="30" customHeight="1">
      <c r="B149" s="1407"/>
      <c r="C149" s="1432" t="str">
        <f>'det -detail'!B78&amp;"  "&amp;'det -detail'!C78</f>
        <v>A8 to H8  GB-3</v>
      </c>
      <c r="D149" s="1409">
        <f>'det -detail'!E78</f>
        <v>1</v>
      </c>
      <c r="E149" s="1409">
        <f>'det -detail'!F78</f>
        <v>1</v>
      </c>
      <c r="F149" s="1410">
        <f>'det -detail'!G78</f>
        <v>18.575000000000003</v>
      </c>
      <c r="G149" s="1410">
        <f>'det -detail'!H78</f>
        <v>0.38</v>
      </c>
      <c r="H149" s="1411">
        <f>'det -detail'!L78</f>
        <v>0.1</v>
      </c>
      <c r="I149" s="1406">
        <f t="shared" si="11"/>
        <v>0.7058500000000002</v>
      </c>
      <c r="Q149" s="1394">
        <f>IFERROR(VLOOKUP(M149,#REF!,3,0),0)</f>
        <v>0</v>
      </c>
      <c r="R149" s="1394">
        <f t="shared" si="15"/>
        <v>0</v>
      </c>
      <c r="S149" s="1394">
        <f>IFERROR(VLOOKUP(M149,#REF!,6,0),0)</f>
        <v>0</v>
      </c>
      <c r="T149" s="1394">
        <f t="shared" si="16"/>
        <v>0</v>
      </c>
      <c r="U149" s="1394">
        <f>IFERROR(VLOOKUP(M149,#REF!,5,0),0)</f>
        <v>0</v>
      </c>
      <c r="V149" s="1394">
        <f t="shared" si="17"/>
        <v>0</v>
      </c>
      <c r="W149" s="1394"/>
    </row>
    <row r="150" spans="2:23" ht="30" customHeight="1">
      <c r="B150" s="1407"/>
      <c r="C150" s="1432" t="str">
        <f>'det -detail'!B79&amp;"  "&amp;'det -detail'!C79</f>
        <v xml:space="preserve">  </v>
      </c>
      <c r="D150" s="1409">
        <f>'det -detail'!E79</f>
        <v>0</v>
      </c>
      <c r="E150" s="1409">
        <f>'det -detail'!F79</f>
        <v>0</v>
      </c>
      <c r="F150" s="1410">
        <f>'det -detail'!G79</f>
        <v>0</v>
      </c>
      <c r="G150" s="1410">
        <f>'det -detail'!H79</f>
        <v>0</v>
      </c>
      <c r="H150" s="1411">
        <f>'det -detail'!L79</f>
        <v>0</v>
      </c>
      <c r="I150" s="1406">
        <f t="shared" ref="I150" si="21">PRODUCT(D150:H150)</f>
        <v>0</v>
      </c>
      <c r="Q150" s="1394">
        <f>IFERROR(VLOOKUP(M150,#REF!,3,0),0)</f>
        <v>0</v>
      </c>
      <c r="R150" s="1394">
        <f t="shared" si="15"/>
        <v>0</v>
      </c>
      <c r="S150" s="1394">
        <f>IFERROR(VLOOKUP(M150,#REF!,6,0),0)</f>
        <v>0</v>
      </c>
      <c r="T150" s="1394">
        <f t="shared" si="16"/>
        <v>0</v>
      </c>
      <c r="U150" s="1394">
        <f>IFERROR(VLOOKUP(M150,#REF!,5,0),0)</f>
        <v>0</v>
      </c>
      <c r="V150" s="1394">
        <f t="shared" si="17"/>
        <v>0</v>
      </c>
      <c r="W150" s="1394"/>
    </row>
    <row r="151" spans="2:23" ht="30" customHeight="1">
      <c r="B151" s="1407"/>
      <c r="C151" s="1433" t="str">
        <f>'det -detail'!B81&amp;'det -detail'!C81</f>
        <v>-Y- Direction</v>
      </c>
      <c r="D151" s="1409">
        <f>'det -detail'!E81</f>
        <v>0</v>
      </c>
      <c r="E151" s="1409">
        <f>'det -detail'!F81</f>
        <v>0</v>
      </c>
      <c r="F151" s="1410">
        <f>'det -detail'!G81</f>
        <v>0</v>
      </c>
      <c r="G151" s="1410">
        <f>'det -detail'!H81</f>
        <v>0</v>
      </c>
      <c r="H151" s="1411">
        <f>'det -detail'!L81</f>
        <v>0</v>
      </c>
      <c r="I151" s="1406">
        <f t="shared" si="11"/>
        <v>0</v>
      </c>
      <c r="J151" s="1397"/>
      <c r="K151" s="1397"/>
      <c r="Q151" s="1394">
        <f>IFERROR(VLOOKUP(M151,#REF!,3,0),0)</f>
        <v>0</v>
      </c>
      <c r="R151" s="1394">
        <f t="shared" si="15"/>
        <v>0</v>
      </c>
      <c r="S151" s="1394">
        <f>IFERROR(VLOOKUP(M151,#REF!,6,0),0)</f>
        <v>0</v>
      </c>
      <c r="T151" s="1394">
        <f t="shared" si="16"/>
        <v>0</v>
      </c>
      <c r="U151" s="1394">
        <f>IFERROR(VLOOKUP(M151,#REF!,5,0),0)</f>
        <v>0</v>
      </c>
      <c r="V151" s="1394">
        <f t="shared" si="17"/>
        <v>0</v>
      </c>
      <c r="W151" s="1394"/>
    </row>
    <row r="152" spans="2:23" ht="30" customHeight="1">
      <c r="B152" s="1407"/>
      <c r="C152" s="1432" t="str">
        <f>'det -detail'!B82&amp;"  "&amp;'det -detail'!C82</f>
        <v>D1 to D3 &amp; F1 to F3  GB-3</v>
      </c>
      <c r="D152" s="1409">
        <f>'det -detail'!E82</f>
        <v>1</v>
      </c>
      <c r="E152" s="1409">
        <f>'det -detail'!F82</f>
        <v>2</v>
      </c>
      <c r="F152" s="1410">
        <f>'det -detail'!G82</f>
        <v>4.6899999999999995</v>
      </c>
      <c r="G152" s="1410">
        <f>'det -detail'!H82</f>
        <v>0.38</v>
      </c>
      <c r="H152" s="1411">
        <f>'det -detail'!L82</f>
        <v>0.1</v>
      </c>
      <c r="I152" s="1406">
        <f t="shared" si="11"/>
        <v>0.35643999999999998</v>
      </c>
      <c r="J152" s="1397"/>
      <c r="K152" s="1397"/>
      <c r="Q152" s="1394">
        <f>IFERROR(VLOOKUP(M152,#REF!,3,0),0)</f>
        <v>0</v>
      </c>
      <c r="R152" s="1394">
        <f t="shared" si="15"/>
        <v>0</v>
      </c>
      <c r="S152" s="1394">
        <f>IFERROR(VLOOKUP(M152,#REF!,6,0),0)</f>
        <v>0</v>
      </c>
      <c r="T152" s="1394">
        <f t="shared" si="16"/>
        <v>0</v>
      </c>
      <c r="U152" s="1394">
        <f>IFERROR(VLOOKUP(M152,#REF!,5,0),0)</f>
        <v>0</v>
      </c>
      <c r="V152" s="1394">
        <f t="shared" si="17"/>
        <v>0</v>
      </c>
      <c r="W152" s="1394"/>
    </row>
    <row r="153" spans="2:23" ht="30" customHeight="1">
      <c r="B153" s="1407"/>
      <c r="C153" s="1432" t="str">
        <f>'det -detail'!B83&amp;"  "&amp;'det -detail'!C83</f>
        <v>A3 to A8 ,B3 to B8 &amp; H3 to H8  GB-3</v>
      </c>
      <c r="D153" s="1409">
        <f>'det -detail'!E83</f>
        <v>1</v>
      </c>
      <c r="E153" s="1409">
        <f>'det -detail'!F83</f>
        <v>3</v>
      </c>
      <c r="F153" s="1410">
        <f>'det -detail'!G83</f>
        <v>15.649999999999999</v>
      </c>
      <c r="G153" s="1410">
        <f>'det -detail'!H83</f>
        <v>0.38</v>
      </c>
      <c r="H153" s="1411">
        <f>H152</f>
        <v>0.1</v>
      </c>
      <c r="I153" s="1406">
        <f t="shared" si="11"/>
        <v>1.7840999999999998</v>
      </c>
      <c r="J153" s="1397"/>
      <c r="K153" s="1397"/>
      <c r="Q153" s="1394">
        <f>IFERROR(VLOOKUP(M153,#REF!,3,0),0)</f>
        <v>0</v>
      </c>
      <c r="R153" s="1394">
        <f t="shared" si="15"/>
        <v>0</v>
      </c>
      <c r="S153" s="1394">
        <f>IFERROR(VLOOKUP(M153,#REF!,6,0),0)</f>
        <v>0</v>
      </c>
      <c r="T153" s="1394">
        <f t="shared" si="16"/>
        <v>0</v>
      </c>
      <c r="U153" s="1394">
        <f>IFERROR(VLOOKUP(M153,#REF!,5,0),0)</f>
        <v>0</v>
      </c>
      <c r="V153" s="1394">
        <f t="shared" si="17"/>
        <v>0</v>
      </c>
      <c r="W153" s="1394"/>
    </row>
    <row r="154" spans="2:23" ht="30" customHeight="1">
      <c r="B154" s="1407"/>
      <c r="C154" s="1432" t="str">
        <f>'det -detail'!B84&amp;"  "&amp;'det -detail'!C84</f>
        <v>D5 to D7  GB-1</v>
      </c>
      <c r="D154" s="1409">
        <f>'det -detail'!E84</f>
        <v>1</v>
      </c>
      <c r="E154" s="1409">
        <f>'det -detail'!F84</f>
        <v>1</v>
      </c>
      <c r="F154" s="1410">
        <f>'det -detail'!G84</f>
        <v>5.99</v>
      </c>
      <c r="G154" s="1410">
        <f>'det -detail'!H84</f>
        <v>0.38</v>
      </c>
      <c r="H154" s="1411">
        <f t="shared" ref="H154:H157" si="22">H153</f>
        <v>0.1</v>
      </c>
      <c r="I154" s="1406">
        <f t="shared" si="11"/>
        <v>0.22762000000000004</v>
      </c>
      <c r="J154" s="1397"/>
      <c r="K154" s="1397"/>
      <c r="Q154" s="1394">
        <f>IFERROR(VLOOKUP(M154,#REF!,3,0),0)</f>
        <v>0</v>
      </c>
      <c r="R154" s="1394">
        <f t="shared" si="15"/>
        <v>0</v>
      </c>
      <c r="S154" s="1394">
        <f>IFERROR(VLOOKUP(M154,#REF!,6,0),0)</f>
        <v>0</v>
      </c>
      <c r="T154" s="1394">
        <f t="shared" si="16"/>
        <v>0</v>
      </c>
      <c r="U154" s="1394">
        <f>IFERROR(VLOOKUP(M154,#REF!,5,0),0)</f>
        <v>0</v>
      </c>
      <c r="V154" s="1394">
        <f t="shared" si="17"/>
        <v>0</v>
      </c>
      <c r="W154" s="1394"/>
    </row>
    <row r="155" spans="2:23" ht="30" customHeight="1">
      <c r="B155" s="1407"/>
      <c r="C155" s="1432" t="str">
        <f>'det -detail'!B85&amp;"  "&amp;'det -detail'!C85</f>
        <v>E7 to E8 &amp; G7 to G8  GB-3</v>
      </c>
      <c r="D155" s="1409">
        <f>'det -detail'!E85</f>
        <v>1</v>
      </c>
      <c r="E155" s="1409">
        <f>'det -detail'!F85</f>
        <v>2</v>
      </c>
      <c r="F155" s="1410">
        <f>'det -detail'!G85</f>
        <v>4.13</v>
      </c>
      <c r="G155" s="1410">
        <f>'det -detail'!H85</f>
        <v>0.38</v>
      </c>
      <c r="H155" s="1411">
        <f t="shared" si="22"/>
        <v>0.1</v>
      </c>
      <c r="I155" s="1406">
        <f t="shared" si="11"/>
        <v>0.31387999999999999</v>
      </c>
      <c r="J155" s="1397"/>
      <c r="K155" s="1397"/>
      <c r="Q155" s="1394">
        <f>IFERROR(VLOOKUP(M155,#REF!,3,0),0)</f>
        <v>0</v>
      </c>
      <c r="R155" s="1394">
        <f t="shared" si="15"/>
        <v>0</v>
      </c>
      <c r="S155" s="1394">
        <f>IFERROR(VLOOKUP(M155,#REF!,6,0),0)</f>
        <v>0</v>
      </c>
      <c r="T155" s="1394">
        <f t="shared" si="16"/>
        <v>0</v>
      </c>
      <c r="U155" s="1394">
        <f>IFERROR(VLOOKUP(M155,#REF!,5,0),0)</f>
        <v>0</v>
      </c>
      <c r="V155" s="1394">
        <f t="shared" si="17"/>
        <v>0</v>
      </c>
      <c r="W155" s="1394"/>
    </row>
    <row r="156" spans="2:23" ht="30" customHeight="1">
      <c r="B156" s="1407"/>
      <c r="C156" s="1432" t="str">
        <f>'det -detail'!B86&amp;"  "&amp;'det -detail'!C86</f>
        <v>F3 To F5  GB-3</v>
      </c>
      <c r="D156" s="1409">
        <f>'det -detail'!E86</f>
        <v>1</v>
      </c>
      <c r="E156" s="1409">
        <f>'det -detail'!F86</f>
        <v>1</v>
      </c>
      <c r="F156" s="1410">
        <f>'det -detail'!G86</f>
        <v>5.5299999999999994</v>
      </c>
      <c r="G156" s="1410">
        <f>'det -detail'!H86</f>
        <v>0.38</v>
      </c>
      <c r="H156" s="1411">
        <f t="shared" si="22"/>
        <v>0.1</v>
      </c>
      <c r="I156" s="1406">
        <f t="shared" si="11"/>
        <v>0.21013999999999999</v>
      </c>
      <c r="J156" s="1397"/>
      <c r="K156" s="1397"/>
      <c r="Q156" s="1394">
        <f>IFERROR(VLOOKUP(M156,#REF!,3,0),0)</f>
        <v>0</v>
      </c>
      <c r="R156" s="1394">
        <f t="shared" si="15"/>
        <v>0</v>
      </c>
      <c r="S156" s="1394">
        <f>IFERROR(VLOOKUP(M156,#REF!,6,0),0)</f>
        <v>0</v>
      </c>
      <c r="T156" s="1394">
        <f t="shared" si="16"/>
        <v>0</v>
      </c>
      <c r="U156" s="1394">
        <f>IFERROR(VLOOKUP(M156,#REF!,5,0),0)</f>
        <v>0</v>
      </c>
      <c r="V156" s="1394">
        <f t="shared" si="17"/>
        <v>0</v>
      </c>
      <c r="W156" s="1394"/>
    </row>
    <row r="157" spans="2:23" ht="30" customHeight="1">
      <c r="B157" s="1407"/>
      <c r="C157" s="1432" t="str">
        <f>'det -detail'!B87&amp;"  "&amp;'det -detail'!C87</f>
        <v>G5 to G7  GB-3</v>
      </c>
      <c r="D157" s="1409">
        <f>'det -detail'!E87</f>
        <v>1</v>
      </c>
      <c r="E157" s="1409">
        <f>'det -detail'!F87</f>
        <v>1</v>
      </c>
      <c r="F157" s="1410">
        <f>'det -detail'!G87</f>
        <v>5.99</v>
      </c>
      <c r="G157" s="1410">
        <f>'det -detail'!H87</f>
        <v>0.38</v>
      </c>
      <c r="H157" s="1411">
        <f t="shared" si="22"/>
        <v>0.1</v>
      </c>
      <c r="I157" s="1406">
        <f t="shared" si="11"/>
        <v>0.22762000000000004</v>
      </c>
      <c r="J157" s="1397"/>
      <c r="K157" s="1397"/>
      <c r="Q157" s="1394">
        <f>IFERROR(VLOOKUP(M157,#REF!,3,0),0)</f>
        <v>0</v>
      </c>
      <c r="R157" s="1394">
        <f t="shared" si="15"/>
        <v>0</v>
      </c>
      <c r="S157" s="1394">
        <f>IFERROR(VLOOKUP(M157,#REF!,6,0),0)</f>
        <v>0</v>
      </c>
      <c r="T157" s="1394">
        <f t="shared" si="16"/>
        <v>0</v>
      </c>
      <c r="U157" s="1394">
        <f>IFERROR(VLOOKUP(M157,#REF!,5,0),0)</f>
        <v>0</v>
      </c>
      <c r="V157" s="1394">
        <f t="shared" si="17"/>
        <v>0</v>
      </c>
      <c r="W157" s="1394"/>
    </row>
    <row r="158" spans="2:23" ht="30" customHeight="1">
      <c r="B158" s="1407"/>
      <c r="C158" s="1432"/>
      <c r="D158" s="1409"/>
      <c r="E158" s="1409"/>
      <c r="F158" s="1410"/>
      <c r="G158" s="1410"/>
      <c r="H158" s="1411"/>
      <c r="I158" s="1406"/>
      <c r="J158" s="1397"/>
      <c r="K158" s="1397"/>
      <c r="Q158" s="1394">
        <f>IFERROR(VLOOKUP(M158,#REF!,3,0),0)</f>
        <v>0</v>
      </c>
      <c r="R158" s="1394">
        <f t="shared" si="15"/>
        <v>0</v>
      </c>
      <c r="S158" s="1394">
        <f>IFERROR(VLOOKUP(M158,#REF!,6,0),0)</f>
        <v>0</v>
      </c>
      <c r="T158" s="1394">
        <f t="shared" si="16"/>
        <v>0</v>
      </c>
      <c r="U158" s="1394">
        <f>IFERROR(VLOOKUP(M158,#REF!,5,0),0)</f>
        <v>0</v>
      </c>
      <c r="V158" s="1394">
        <f t="shared" si="17"/>
        <v>0</v>
      </c>
      <c r="W158" s="1394"/>
    </row>
    <row r="159" spans="2:23" ht="30" customHeight="1">
      <c r="B159" s="1407"/>
      <c r="C159" s="1415" t="s">
        <v>267</v>
      </c>
      <c r="D159" s="1409"/>
      <c r="E159" s="1409"/>
      <c r="F159" s="1410"/>
      <c r="G159" s="1410"/>
      <c r="H159" s="1411"/>
      <c r="I159" s="1406">
        <f t="shared" si="11"/>
        <v>0</v>
      </c>
      <c r="Q159" s="1394">
        <f>IFERROR(VLOOKUP(M159,#REF!,3,0),0)</f>
        <v>0</v>
      </c>
      <c r="R159" s="1394">
        <f t="shared" si="15"/>
        <v>0</v>
      </c>
      <c r="S159" s="1394">
        <f>IFERROR(VLOOKUP(M159,#REF!,6,0),0)</f>
        <v>0</v>
      </c>
      <c r="T159" s="1394">
        <f t="shared" si="16"/>
        <v>0</v>
      </c>
      <c r="U159" s="1394">
        <f>IFERROR(VLOOKUP(M159,#REF!,5,0),0)</f>
        <v>0</v>
      </c>
      <c r="V159" s="1394">
        <f t="shared" si="17"/>
        <v>0</v>
      </c>
      <c r="W159" s="1394"/>
    </row>
    <row r="160" spans="2:23" ht="30" customHeight="1">
      <c r="B160" s="1407"/>
      <c r="C160" s="1408" t="str">
        <f>'det -detail'!B99</f>
        <v xml:space="preserve">For C1 Round Column Dia 0.3 Radius = 0.15 </v>
      </c>
      <c r="D160" s="1409">
        <f>'det -detail'!E99</f>
        <v>4</v>
      </c>
      <c r="E160" s="1409">
        <f>'det -detail'!F99</f>
        <v>3.14</v>
      </c>
      <c r="F160" s="1410">
        <f>'det -detail'!G99</f>
        <v>0.15</v>
      </c>
      <c r="G160" s="1410">
        <f>'det -detail'!H99</f>
        <v>0.15</v>
      </c>
      <c r="H160" s="1411">
        <f>'det -detail'!L99</f>
        <v>0.4</v>
      </c>
      <c r="I160" s="1406">
        <f t="shared" si="11"/>
        <v>0.11303999999999999</v>
      </c>
      <c r="Q160" s="1394">
        <f>IFERROR(VLOOKUP(M160,#REF!,3,0),0)</f>
        <v>0</v>
      </c>
      <c r="R160" s="1394">
        <f t="shared" si="15"/>
        <v>0</v>
      </c>
      <c r="S160" s="1394">
        <f>IFERROR(VLOOKUP(M160,#REF!,6,0),0)</f>
        <v>0</v>
      </c>
      <c r="T160" s="1394">
        <f t="shared" si="16"/>
        <v>0</v>
      </c>
      <c r="U160" s="1394">
        <f>IFERROR(VLOOKUP(M160,#REF!,5,0),0)</f>
        <v>0</v>
      </c>
      <c r="V160" s="1394">
        <f t="shared" si="17"/>
        <v>0</v>
      </c>
      <c r="W160" s="1394"/>
    </row>
    <row r="161" spans="1:23" ht="30" customHeight="1">
      <c r="B161" s="1407"/>
      <c r="C161" s="1408" t="str">
        <f>'det -detail'!B100</f>
        <v>For C2</v>
      </c>
      <c r="D161" s="1409">
        <f>'det -detail'!E100</f>
        <v>11</v>
      </c>
      <c r="E161" s="1409">
        <f>'det -detail'!F100</f>
        <v>1</v>
      </c>
      <c r="F161" s="1410">
        <f>'det -detail'!G100</f>
        <v>0.23</v>
      </c>
      <c r="G161" s="1410">
        <f>'det -detail'!H100</f>
        <v>0.38</v>
      </c>
      <c r="H161" s="1411">
        <f>'det -detail'!L100</f>
        <v>0.4</v>
      </c>
      <c r="I161" s="1406">
        <f t="shared" si="11"/>
        <v>0.38456000000000007</v>
      </c>
      <c r="Q161" s="1394">
        <f>IFERROR(VLOOKUP(M161,#REF!,3,0),0)</f>
        <v>0</v>
      </c>
      <c r="R161" s="1394">
        <f t="shared" si="15"/>
        <v>0</v>
      </c>
      <c r="S161" s="1394">
        <f>IFERROR(VLOOKUP(M161,#REF!,6,0),0)</f>
        <v>0</v>
      </c>
      <c r="T161" s="1394">
        <f t="shared" si="16"/>
        <v>0</v>
      </c>
      <c r="U161" s="1394">
        <f>IFERROR(VLOOKUP(M161,#REF!,5,0),0)</f>
        <v>0</v>
      </c>
      <c r="V161" s="1394">
        <f t="shared" si="17"/>
        <v>0</v>
      </c>
      <c r="W161" s="1394"/>
    </row>
    <row r="162" spans="1:23" ht="30" customHeight="1">
      <c r="B162" s="1407"/>
      <c r="C162" s="1408" t="str">
        <f>'det -detail'!B101</f>
        <v>For C3</v>
      </c>
      <c r="D162" s="1409">
        <f>'det -detail'!E101</f>
        <v>10</v>
      </c>
      <c r="E162" s="1409">
        <f>'det -detail'!F101</f>
        <v>1</v>
      </c>
      <c r="F162" s="1410">
        <f>'det -detail'!G101</f>
        <v>0.23</v>
      </c>
      <c r="G162" s="1410">
        <f>'det -detail'!H101</f>
        <v>0.45</v>
      </c>
      <c r="H162" s="1411">
        <f>'det -detail'!L101</f>
        <v>0.48</v>
      </c>
      <c r="I162" s="1406">
        <f t="shared" si="11"/>
        <v>0.49680000000000007</v>
      </c>
      <c r="Q162" s="1394">
        <f>IFERROR(VLOOKUP(M162,#REF!,3,0),0)</f>
        <v>0</v>
      </c>
      <c r="R162" s="1394">
        <f t="shared" si="15"/>
        <v>0</v>
      </c>
      <c r="S162" s="1394">
        <f>IFERROR(VLOOKUP(M162,#REF!,6,0),0)</f>
        <v>0</v>
      </c>
      <c r="T162" s="1394">
        <f t="shared" si="16"/>
        <v>0</v>
      </c>
      <c r="U162" s="1394">
        <f>IFERROR(VLOOKUP(M162,#REF!,5,0),0)</f>
        <v>0</v>
      </c>
      <c r="V162" s="1394">
        <f t="shared" si="17"/>
        <v>0</v>
      </c>
      <c r="W162" s="1394"/>
    </row>
    <row r="163" spans="1:23" ht="30" customHeight="1">
      <c r="B163" s="1407"/>
      <c r="C163" s="1408" t="str">
        <f>'det -detail'!B102</f>
        <v>For C4</v>
      </c>
      <c r="D163" s="1409">
        <f>'det -detail'!E102</f>
        <v>7</v>
      </c>
      <c r="E163" s="1409">
        <f>'det -detail'!F102</f>
        <v>1</v>
      </c>
      <c r="F163" s="1410">
        <f>'det -detail'!G102</f>
        <v>0.3</v>
      </c>
      <c r="G163" s="1410">
        <f>'det -detail'!H102</f>
        <v>0.45</v>
      </c>
      <c r="H163" s="1411">
        <f>'det -detail'!L102</f>
        <v>0.48</v>
      </c>
      <c r="I163" s="1406">
        <f t="shared" si="11"/>
        <v>0.4536</v>
      </c>
      <c r="Q163" s="1394">
        <f>IFERROR(VLOOKUP(M163,#REF!,3,0),0)</f>
        <v>0</v>
      </c>
      <c r="R163" s="1394">
        <f t="shared" si="15"/>
        <v>0</v>
      </c>
      <c r="S163" s="1394">
        <f>IFERROR(VLOOKUP(M163,#REF!,6,0),0)</f>
        <v>0</v>
      </c>
      <c r="T163" s="1394">
        <f t="shared" si="16"/>
        <v>0</v>
      </c>
      <c r="U163" s="1394">
        <f>IFERROR(VLOOKUP(M163,#REF!,5,0),0)</f>
        <v>0</v>
      </c>
      <c r="V163" s="1394">
        <f t="shared" si="17"/>
        <v>0</v>
      </c>
      <c r="W163" s="1394"/>
    </row>
    <row r="164" spans="1:23" ht="30" hidden="1" customHeight="1">
      <c r="B164" s="1407"/>
      <c r="C164" s="1408">
        <f>'det -detail'!B103</f>
        <v>0</v>
      </c>
      <c r="D164" s="1409">
        <f>'det -detail'!E103</f>
        <v>0</v>
      </c>
      <c r="E164" s="1409">
        <f>-'det -detail'!F103</f>
        <v>0</v>
      </c>
      <c r="F164" s="1410">
        <f>'det -detail'!G103</f>
        <v>0</v>
      </c>
      <c r="G164" s="1410">
        <f>'det -detail'!H103</f>
        <v>0</v>
      </c>
      <c r="H164" s="1411"/>
      <c r="I164" s="1406">
        <f t="shared" si="11"/>
        <v>0</v>
      </c>
      <c r="Q164" s="1394">
        <f>IFERROR(VLOOKUP(M164,#REF!,3,0),0)</f>
        <v>0</v>
      </c>
      <c r="R164" s="1394">
        <f t="shared" si="15"/>
        <v>0</v>
      </c>
      <c r="S164" s="1394">
        <f>IFERROR(VLOOKUP(M164,#REF!,6,0),0)</f>
        <v>0</v>
      </c>
      <c r="T164" s="1394">
        <f t="shared" si="16"/>
        <v>0</v>
      </c>
      <c r="U164" s="1394">
        <f>IFERROR(VLOOKUP(M164,#REF!,5,0),0)</f>
        <v>0</v>
      </c>
      <c r="V164" s="1394">
        <f t="shared" si="17"/>
        <v>0</v>
      </c>
      <c r="W164" s="1394"/>
    </row>
    <row r="165" spans="1:23" ht="30" hidden="1" customHeight="1">
      <c r="B165" s="1407"/>
      <c r="C165" s="1408">
        <f>'det -detail'!B104</f>
        <v>0</v>
      </c>
      <c r="D165" s="1409">
        <f>'det -detail'!E104</f>
        <v>0</v>
      </c>
      <c r="E165" s="1409">
        <f>-'det -detail'!F104</f>
        <v>0</v>
      </c>
      <c r="F165" s="1410">
        <f>'det -detail'!G104</f>
        <v>0</v>
      </c>
      <c r="G165" s="1410">
        <f>'det -detail'!H104</f>
        <v>0</v>
      </c>
      <c r="H165" s="1411"/>
      <c r="I165" s="1406">
        <f t="shared" ref="I165:I167" si="23">PRODUCT(D165:H165)</f>
        <v>0</v>
      </c>
      <c r="Q165" s="1394">
        <f>IFERROR(VLOOKUP(M165,#REF!,3,0),0)</f>
        <v>0</v>
      </c>
      <c r="R165" s="1394">
        <f t="shared" si="15"/>
        <v>0</v>
      </c>
      <c r="S165" s="1394">
        <f>IFERROR(VLOOKUP(M165,#REF!,6,0),0)</f>
        <v>0</v>
      </c>
      <c r="T165" s="1394">
        <f t="shared" si="16"/>
        <v>0</v>
      </c>
      <c r="U165" s="1394">
        <f>IFERROR(VLOOKUP(M165,#REF!,5,0),0)</f>
        <v>0</v>
      </c>
      <c r="V165" s="1394">
        <f t="shared" si="17"/>
        <v>0</v>
      </c>
      <c r="W165" s="1394"/>
    </row>
    <row r="166" spans="1:23" ht="30" customHeight="1">
      <c r="B166" s="1407"/>
      <c r="C166" s="1408" t="str">
        <f>'Main Building Details'!C41</f>
        <v>Front step</v>
      </c>
      <c r="D166" s="1409">
        <f>'Main Building Details'!D41</f>
        <v>1</v>
      </c>
      <c r="E166" s="1409">
        <f>'Main Building Details'!E41</f>
        <v>1</v>
      </c>
      <c r="F166" s="1410">
        <f>'Main Building Details'!F41</f>
        <v>3.2250000000000001</v>
      </c>
      <c r="G166" s="1410">
        <f>'Main Building Details'!G41</f>
        <v>0.9</v>
      </c>
      <c r="H166" s="1411">
        <v>0.1</v>
      </c>
      <c r="I166" s="1406">
        <f t="shared" si="23"/>
        <v>0.29025000000000006</v>
      </c>
      <c r="J166" s="110" t="e">
        <f>+#REF!+#REF!+#REF!+#REF!+#REF!</f>
        <v>#REF!</v>
      </c>
      <c r="Q166" s="1394">
        <f>IFERROR(VLOOKUP(M166,#REF!,3,0),0)</f>
        <v>0</v>
      </c>
      <c r="R166" s="1394">
        <f t="shared" si="15"/>
        <v>0</v>
      </c>
      <c r="S166" s="1394">
        <f>IFERROR(VLOOKUP(M166,#REF!,6,0),0)</f>
        <v>0</v>
      </c>
      <c r="T166" s="1394">
        <f t="shared" si="16"/>
        <v>0</v>
      </c>
      <c r="U166" s="1394">
        <f>IFERROR(VLOOKUP(M166,#REF!,5,0),0)</f>
        <v>0</v>
      </c>
      <c r="V166" s="1394">
        <f t="shared" si="17"/>
        <v>0</v>
      </c>
      <c r="W166" s="1394"/>
    </row>
    <row r="167" spans="1:23" ht="30" customHeight="1">
      <c r="B167" s="1407"/>
      <c r="C167" s="1408" t="str">
        <f>'Main Building Details'!C42</f>
        <v>Inspection chambers</v>
      </c>
      <c r="D167" s="1409">
        <f>'Main Building Details'!D42</f>
        <v>1</v>
      </c>
      <c r="E167" s="1409">
        <f>'Main Building Details'!E42</f>
        <v>6</v>
      </c>
      <c r="F167" s="1410">
        <f>'Main Building Details'!F42</f>
        <v>1.35</v>
      </c>
      <c r="G167" s="1410">
        <f>'Main Building Details'!G42</f>
        <v>1.35</v>
      </c>
      <c r="H167" s="1411">
        <v>0.1</v>
      </c>
      <c r="I167" s="1406">
        <f t="shared" si="23"/>
        <v>1.0935000000000004</v>
      </c>
      <c r="Q167" s="1394">
        <f>IFERROR(VLOOKUP(M167,#REF!,3,0),0)</f>
        <v>0</v>
      </c>
      <c r="R167" s="1394">
        <f t="shared" si="15"/>
        <v>0</v>
      </c>
      <c r="S167" s="1394">
        <f>IFERROR(VLOOKUP(M167,#REF!,6,0),0)</f>
        <v>0</v>
      </c>
      <c r="T167" s="1394">
        <f t="shared" si="16"/>
        <v>0</v>
      </c>
      <c r="U167" s="1394">
        <f>IFERROR(VLOOKUP(M167,#REF!,5,0),0)</f>
        <v>0</v>
      </c>
      <c r="V167" s="1394">
        <f t="shared" si="17"/>
        <v>0</v>
      </c>
      <c r="W167" s="1394"/>
    </row>
    <row r="168" spans="1:23" ht="30" hidden="1" customHeight="1">
      <c r="B168" s="1407"/>
      <c r="C168" s="1408"/>
      <c r="D168" s="1409"/>
      <c r="E168" s="1409"/>
      <c r="F168" s="1410"/>
      <c r="G168" s="1410"/>
      <c r="H168" s="1411"/>
      <c r="I168" s="1406"/>
      <c r="Q168" s="1394">
        <f>IFERROR(VLOOKUP(M168,#REF!,3,0),0)</f>
        <v>0</v>
      </c>
      <c r="R168" s="1394">
        <f t="shared" si="15"/>
        <v>0</v>
      </c>
      <c r="S168" s="1394">
        <f>IFERROR(VLOOKUP(M168,#REF!,6,0),0)</f>
        <v>0</v>
      </c>
      <c r="T168" s="1394">
        <f t="shared" si="16"/>
        <v>0</v>
      </c>
      <c r="U168" s="1394">
        <f>IFERROR(VLOOKUP(M168,#REF!,5,0),0)</f>
        <v>0</v>
      </c>
      <c r="V168" s="1394">
        <f t="shared" si="17"/>
        <v>0</v>
      </c>
      <c r="W168" s="1394"/>
    </row>
    <row r="169" spans="1:23" ht="30" hidden="1" customHeight="1">
      <c r="B169" s="1407"/>
      <c r="C169" s="1408"/>
      <c r="D169" s="1409"/>
      <c r="E169" s="1409"/>
      <c r="F169" s="1410"/>
      <c r="G169" s="1410"/>
      <c r="H169" s="1411"/>
      <c r="I169" s="1406"/>
      <c r="Q169" s="1394">
        <f>IFERROR(VLOOKUP(M169,#REF!,3,0),0)</f>
        <v>0</v>
      </c>
      <c r="R169" s="1394">
        <f t="shared" si="15"/>
        <v>0</v>
      </c>
      <c r="S169" s="1394">
        <f>IFERROR(VLOOKUP(M169,#REF!,6,0),0)</f>
        <v>0</v>
      </c>
      <c r="T169" s="1394">
        <f t="shared" si="16"/>
        <v>0</v>
      </c>
      <c r="U169" s="1394">
        <f>IFERROR(VLOOKUP(M169,#REF!,5,0),0)</f>
        <v>0</v>
      </c>
      <c r="V169" s="1394">
        <f t="shared" si="17"/>
        <v>0</v>
      </c>
      <c r="W169" s="1394"/>
    </row>
    <row r="170" spans="1:23" ht="30" customHeight="1">
      <c r="B170" s="1407"/>
      <c r="C170" s="1408"/>
      <c r="D170" s="1409"/>
      <c r="E170" s="1409"/>
      <c r="F170" s="1410"/>
      <c r="G170" s="1410"/>
      <c r="H170" s="1411"/>
      <c r="I170" s="1406">
        <f t="shared" ref="I170:I195" si="24">PRODUCT(D170:H170)</f>
        <v>0</v>
      </c>
      <c r="Q170" s="1394">
        <f>IFERROR(VLOOKUP(M170,#REF!,3,0),0)</f>
        <v>0</v>
      </c>
      <c r="R170" s="1394">
        <f t="shared" si="15"/>
        <v>0</v>
      </c>
      <c r="S170" s="1394">
        <f>IFERROR(VLOOKUP(M170,#REF!,6,0),0)</f>
        <v>0</v>
      </c>
      <c r="T170" s="1394">
        <f t="shared" si="16"/>
        <v>0</v>
      </c>
      <c r="U170" s="1394">
        <f>IFERROR(VLOOKUP(M170,#REF!,5,0),0)</f>
        <v>0</v>
      </c>
      <c r="V170" s="1394">
        <f t="shared" si="17"/>
        <v>0</v>
      </c>
      <c r="W170" s="1394"/>
    </row>
    <row r="171" spans="1:23" ht="30" customHeight="1">
      <c r="B171" s="1407"/>
      <c r="C171" s="1415" t="s">
        <v>226</v>
      </c>
      <c r="D171" s="1409"/>
      <c r="E171" s="1409"/>
      <c r="F171" s="1410"/>
      <c r="G171" s="1410"/>
      <c r="H171" s="1411"/>
      <c r="I171" s="1406">
        <f t="shared" si="24"/>
        <v>0</v>
      </c>
      <c r="Q171" s="1394">
        <f>IFERROR(VLOOKUP(M171,#REF!,3,0),0)</f>
        <v>0</v>
      </c>
      <c r="R171" s="1394">
        <f t="shared" si="15"/>
        <v>0</v>
      </c>
      <c r="S171" s="1394">
        <f>IFERROR(VLOOKUP(M171,#REF!,6,0),0)</f>
        <v>0</v>
      </c>
      <c r="T171" s="1394">
        <f t="shared" si="16"/>
        <v>0</v>
      </c>
      <c r="U171" s="1394">
        <f>IFERROR(VLOOKUP(M171,#REF!,5,0),0)</f>
        <v>0</v>
      </c>
      <c r="V171" s="1394">
        <f t="shared" si="17"/>
        <v>0</v>
      </c>
      <c r="W171" s="1394"/>
    </row>
    <row r="172" spans="1:23" s="1438" customFormat="1" ht="30" customHeight="1">
      <c r="A172" s="1434"/>
      <c r="B172" s="1435"/>
      <c r="C172" s="1408" t="str">
        <f>'det -detail'!B128</f>
        <v>Part-1</v>
      </c>
      <c r="D172" s="1409">
        <f>'det -detail'!E128</f>
        <v>1</v>
      </c>
      <c r="E172" s="1409">
        <f>'det -detail'!F128</f>
        <v>1</v>
      </c>
      <c r="F172" s="1410">
        <f>'det -detail'!G128</f>
        <v>4</v>
      </c>
      <c r="G172" s="1410">
        <f>'det -detail'!H128</f>
        <v>5.0999999999999996</v>
      </c>
      <c r="H172" s="1411">
        <f>'det -detail'!I128</f>
        <v>0.1</v>
      </c>
      <c r="I172" s="1406">
        <f t="shared" si="24"/>
        <v>2.04</v>
      </c>
      <c r="J172" s="1436"/>
      <c r="K172" s="1436"/>
      <c r="L172" s="1434"/>
      <c r="M172" s="1437"/>
      <c r="Q172" s="1394">
        <f>IFERROR(VLOOKUP(M172,#REF!,3,0),0)</f>
        <v>0</v>
      </c>
      <c r="R172" s="1394">
        <f t="shared" si="15"/>
        <v>0</v>
      </c>
      <c r="S172" s="1394">
        <f>IFERROR(VLOOKUP(M172,#REF!,6,0),0)</f>
        <v>0</v>
      </c>
      <c r="T172" s="1394">
        <f t="shared" si="16"/>
        <v>0</v>
      </c>
      <c r="U172" s="1394">
        <f>IFERROR(VLOOKUP(M172,#REF!,5,0),0)</f>
        <v>0</v>
      </c>
      <c r="V172" s="1394">
        <f t="shared" si="17"/>
        <v>0</v>
      </c>
      <c r="W172" s="1394"/>
    </row>
    <row r="173" spans="1:23" s="1438" customFormat="1" ht="30" customHeight="1">
      <c r="A173" s="1434"/>
      <c r="B173" s="1435"/>
      <c r="C173" s="1408" t="str">
        <f>'det -detail'!B129</f>
        <v>Part-2</v>
      </c>
      <c r="D173" s="1409">
        <f>'det -detail'!E129</f>
        <v>1</v>
      </c>
      <c r="E173" s="1409">
        <f>'det -detail'!F129</f>
        <v>1</v>
      </c>
      <c r="F173" s="1410">
        <f>'det -detail'!G129</f>
        <v>3.9</v>
      </c>
      <c r="G173" s="1410">
        <f>'det -detail'!H129</f>
        <v>2.77</v>
      </c>
      <c r="H173" s="1411">
        <f>'det -detail'!I129</f>
        <v>0.1</v>
      </c>
      <c r="I173" s="1406">
        <f t="shared" si="24"/>
        <v>1.0803</v>
      </c>
      <c r="J173" s="1436"/>
      <c r="K173" s="1436"/>
      <c r="L173" s="1434"/>
      <c r="M173" s="1437"/>
      <c r="Q173" s="1394">
        <f>IFERROR(VLOOKUP(M173,#REF!,3,0),0)</f>
        <v>0</v>
      </c>
      <c r="R173" s="1394">
        <f t="shared" si="15"/>
        <v>0</v>
      </c>
      <c r="S173" s="1394">
        <f>IFERROR(VLOOKUP(M173,#REF!,6,0),0)</f>
        <v>0</v>
      </c>
      <c r="T173" s="1394">
        <f t="shared" si="16"/>
        <v>0</v>
      </c>
      <c r="U173" s="1394">
        <f>IFERROR(VLOOKUP(M173,#REF!,5,0),0)</f>
        <v>0</v>
      </c>
      <c r="V173" s="1394">
        <f t="shared" si="17"/>
        <v>0</v>
      </c>
      <c r="W173" s="1394"/>
    </row>
    <row r="174" spans="1:23" s="1438" customFormat="1" ht="30" customHeight="1">
      <c r="A174" s="1434"/>
      <c r="B174" s="1435"/>
      <c r="C174" s="1408" t="str">
        <f>'det -detail'!B130</f>
        <v>Part-3</v>
      </c>
      <c r="D174" s="1409">
        <f>'det -detail'!E130</f>
        <v>1</v>
      </c>
      <c r="E174" s="1409">
        <f>'det -detail'!F130</f>
        <v>1</v>
      </c>
      <c r="F174" s="1410">
        <f>'det -detail'!G130</f>
        <v>2.5249999999999999</v>
      </c>
      <c r="G174" s="1410">
        <f>'det -detail'!H130</f>
        <v>2.77</v>
      </c>
      <c r="H174" s="1411">
        <f>'det -detail'!I130</f>
        <v>0.1</v>
      </c>
      <c r="I174" s="1406">
        <f t="shared" si="24"/>
        <v>0.69942500000000007</v>
      </c>
      <c r="J174" s="1436"/>
      <c r="K174" s="1436"/>
      <c r="L174" s="1434"/>
      <c r="M174" s="1437"/>
      <c r="Q174" s="1394">
        <f>IFERROR(VLOOKUP(M174,#REF!,3,0),0)</f>
        <v>0</v>
      </c>
      <c r="R174" s="1394">
        <f t="shared" ref="R174:R237" si="25">ROUND(O174,2)*ROUND(Q174,2)</f>
        <v>0</v>
      </c>
      <c r="S174" s="1394">
        <f>IFERROR(VLOOKUP(M174,#REF!,6,0),0)</f>
        <v>0</v>
      </c>
      <c r="T174" s="1394">
        <f t="shared" ref="T174:T237" si="26">R174-S174</f>
        <v>0</v>
      </c>
      <c r="U174" s="1394">
        <f>IFERROR(VLOOKUP(M174,#REF!,5,0),0)</f>
        <v>0</v>
      </c>
      <c r="V174" s="1394">
        <f t="shared" ref="V174:V237" si="27">O174-U174</f>
        <v>0</v>
      </c>
      <c r="W174" s="1394"/>
    </row>
    <row r="175" spans="1:23" s="1438" customFormat="1" ht="30" customHeight="1">
      <c r="A175" s="1434"/>
      <c r="B175" s="1435"/>
      <c r="C175" s="1408" t="str">
        <f>'det -detail'!B131</f>
        <v>Part-4</v>
      </c>
      <c r="D175" s="1409">
        <f>'det -detail'!E131</f>
        <v>1</v>
      </c>
      <c r="E175" s="1409">
        <f>'det -detail'!F131</f>
        <v>1</v>
      </c>
      <c r="F175" s="1410">
        <f>'det -detail'!G131</f>
        <v>3</v>
      </c>
      <c r="G175" s="1410">
        <f>'det -detail'!H131</f>
        <v>5.3</v>
      </c>
      <c r="H175" s="1411">
        <f>'det -detail'!I131</f>
        <v>0.1</v>
      </c>
      <c r="I175" s="1406">
        <f t="shared" si="24"/>
        <v>1.5899999999999999</v>
      </c>
      <c r="J175" s="1436"/>
      <c r="K175" s="1436"/>
      <c r="L175" s="1434"/>
      <c r="M175" s="1437"/>
      <c r="Q175" s="1394">
        <f>IFERROR(VLOOKUP(M175,#REF!,3,0),0)</f>
        <v>0</v>
      </c>
      <c r="R175" s="1394">
        <f t="shared" si="25"/>
        <v>0</v>
      </c>
      <c r="S175" s="1394">
        <f>IFERROR(VLOOKUP(M175,#REF!,6,0),0)</f>
        <v>0</v>
      </c>
      <c r="T175" s="1394">
        <f t="shared" si="26"/>
        <v>0</v>
      </c>
      <c r="U175" s="1394">
        <f>IFERROR(VLOOKUP(M175,#REF!,5,0),0)</f>
        <v>0</v>
      </c>
      <c r="V175" s="1394">
        <f t="shared" si="27"/>
        <v>0</v>
      </c>
      <c r="W175" s="1394"/>
    </row>
    <row r="176" spans="1:23" s="1438" customFormat="1" ht="30" customHeight="1">
      <c r="A176" s="1434"/>
      <c r="B176" s="1435"/>
      <c r="C176" s="1408" t="str">
        <f>'det -detail'!B132</f>
        <v>Part-5</v>
      </c>
      <c r="D176" s="1409">
        <f>'det -detail'!E132</f>
        <v>1</v>
      </c>
      <c r="E176" s="1409">
        <f>'det -detail'!F132</f>
        <v>1</v>
      </c>
      <c r="F176" s="1410">
        <f>'det -detail'!G132</f>
        <v>4</v>
      </c>
      <c r="G176" s="1410">
        <f>'det -detail'!H132</f>
        <v>5.0999999999999996</v>
      </c>
      <c r="H176" s="1411">
        <f>'det -detail'!I132</f>
        <v>0.1</v>
      </c>
      <c r="I176" s="1406">
        <f t="shared" si="24"/>
        <v>2.04</v>
      </c>
      <c r="J176" s="1436"/>
      <c r="K176" s="1436"/>
      <c r="L176" s="1434"/>
      <c r="M176" s="1437"/>
      <c r="Q176" s="1394">
        <f>IFERROR(VLOOKUP(M176,#REF!,3,0),0)</f>
        <v>0</v>
      </c>
      <c r="R176" s="1394">
        <f t="shared" si="25"/>
        <v>0</v>
      </c>
      <c r="S176" s="1394">
        <f>IFERROR(VLOOKUP(M176,#REF!,6,0),0)</f>
        <v>0</v>
      </c>
      <c r="T176" s="1394">
        <f t="shared" si="26"/>
        <v>0</v>
      </c>
      <c r="U176" s="1394">
        <f>IFERROR(VLOOKUP(M176,#REF!,5,0),0)</f>
        <v>0</v>
      </c>
      <c r="V176" s="1394">
        <f t="shared" si="27"/>
        <v>0</v>
      </c>
      <c r="W176" s="1394"/>
    </row>
    <row r="177" spans="1:23" s="1438" customFormat="1" ht="30" customHeight="1">
      <c r="A177" s="1434"/>
      <c r="B177" s="1435"/>
      <c r="C177" s="1408" t="str">
        <f>'det -detail'!B133</f>
        <v>Part-6</v>
      </c>
      <c r="D177" s="1409">
        <f>'det -detail'!E133</f>
        <v>1</v>
      </c>
      <c r="E177" s="1409">
        <f>'det -detail'!F133</f>
        <v>1</v>
      </c>
      <c r="F177" s="1410">
        <f>'det -detail'!G133</f>
        <v>4</v>
      </c>
      <c r="G177" s="1410">
        <f>'det -detail'!H133</f>
        <v>3.23</v>
      </c>
      <c r="H177" s="1411">
        <f>'det -detail'!I133</f>
        <v>0.1</v>
      </c>
      <c r="I177" s="1406">
        <f t="shared" si="24"/>
        <v>1.292</v>
      </c>
      <c r="J177" s="1436"/>
      <c r="K177" s="1436"/>
      <c r="L177" s="1434"/>
      <c r="M177" s="1437"/>
      <c r="Q177" s="1394">
        <f>IFERROR(VLOOKUP(M177,#REF!,3,0),0)</f>
        <v>0</v>
      </c>
      <c r="R177" s="1394">
        <f t="shared" si="25"/>
        <v>0</v>
      </c>
      <c r="S177" s="1394">
        <f>IFERROR(VLOOKUP(M177,#REF!,6,0),0)</f>
        <v>0</v>
      </c>
      <c r="T177" s="1394">
        <f t="shared" si="26"/>
        <v>0</v>
      </c>
      <c r="U177" s="1394">
        <f>IFERROR(VLOOKUP(M177,#REF!,5,0),0)</f>
        <v>0</v>
      </c>
      <c r="V177" s="1394">
        <f t="shared" si="27"/>
        <v>0</v>
      </c>
      <c r="W177" s="1394"/>
    </row>
    <row r="178" spans="1:23" s="1438" customFormat="1" ht="30" customHeight="1">
      <c r="A178" s="1434"/>
      <c r="B178" s="1435"/>
      <c r="C178" s="1408" t="str">
        <f>'det -detail'!B134</f>
        <v>Part-7</v>
      </c>
      <c r="D178" s="1409">
        <f>'det -detail'!E134</f>
        <v>1</v>
      </c>
      <c r="E178" s="1409">
        <f>'det -detail'!F134</f>
        <v>1</v>
      </c>
      <c r="F178" s="1410">
        <f>'det -detail'!G134</f>
        <v>2.895</v>
      </c>
      <c r="G178" s="1410">
        <f>'det -detail'!H134</f>
        <v>3.5649999999999999</v>
      </c>
      <c r="H178" s="1411">
        <f>'det -detail'!I134</f>
        <v>0.1</v>
      </c>
      <c r="I178" s="1406">
        <f t="shared" si="24"/>
        <v>1.0320674999999999</v>
      </c>
      <c r="J178" s="1436"/>
      <c r="K178" s="1436"/>
      <c r="L178" s="1434"/>
      <c r="M178" s="1437"/>
      <c r="Q178" s="1394">
        <f>IFERROR(VLOOKUP(M178,#REF!,3,0),0)</f>
        <v>0</v>
      </c>
      <c r="R178" s="1394">
        <f t="shared" si="25"/>
        <v>0</v>
      </c>
      <c r="S178" s="1394">
        <f>IFERROR(VLOOKUP(M178,#REF!,6,0),0)</f>
        <v>0</v>
      </c>
      <c r="T178" s="1394">
        <f t="shared" si="26"/>
        <v>0</v>
      </c>
      <c r="U178" s="1394">
        <f>IFERROR(VLOOKUP(M178,#REF!,5,0),0)</f>
        <v>0</v>
      </c>
      <c r="V178" s="1394">
        <f t="shared" si="27"/>
        <v>0</v>
      </c>
      <c r="W178" s="1394"/>
    </row>
    <row r="179" spans="1:23" s="1438" customFormat="1" ht="30" customHeight="1">
      <c r="A179" s="1434"/>
      <c r="B179" s="1435"/>
      <c r="C179" s="1408" t="str">
        <f>'det -detail'!B135</f>
        <v>Part-8</v>
      </c>
      <c r="D179" s="1409">
        <f>'det -detail'!E135</f>
        <v>1</v>
      </c>
      <c r="E179" s="1409">
        <f>'det -detail'!F135</f>
        <v>1</v>
      </c>
      <c r="F179" s="1410">
        <f>'det -detail'!G135</f>
        <v>6.76</v>
      </c>
      <c r="G179" s="1410">
        <f>'det -detail'!H135</f>
        <v>5.76</v>
      </c>
      <c r="H179" s="1411">
        <f>'det -detail'!I135</f>
        <v>0.1</v>
      </c>
      <c r="I179" s="1406">
        <f t="shared" si="24"/>
        <v>3.8937599999999999</v>
      </c>
      <c r="J179" s="1436"/>
      <c r="K179" s="1436"/>
      <c r="L179" s="1434"/>
      <c r="M179" s="1437"/>
      <c r="Q179" s="1394">
        <f>IFERROR(VLOOKUP(M179,#REF!,3,0),0)</f>
        <v>0</v>
      </c>
      <c r="R179" s="1394">
        <f t="shared" si="25"/>
        <v>0</v>
      </c>
      <c r="S179" s="1394">
        <f>IFERROR(VLOOKUP(M179,#REF!,6,0),0)</f>
        <v>0</v>
      </c>
      <c r="T179" s="1394">
        <f t="shared" si="26"/>
        <v>0</v>
      </c>
      <c r="U179" s="1394">
        <f>IFERROR(VLOOKUP(M179,#REF!,5,0),0)</f>
        <v>0</v>
      </c>
      <c r="V179" s="1394">
        <f t="shared" si="27"/>
        <v>0</v>
      </c>
      <c r="W179" s="1394"/>
    </row>
    <row r="180" spans="1:23" s="1438" customFormat="1" ht="30" customHeight="1">
      <c r="A180" s="1434"/>
      <c r="B180" s="1435"/>
      <c r="C180" s="1408" t="str">
        <f>'det -detail'!B136</f>
        <v>Part-9</v>
      </c>
      <c r="D180" s="1409">
        <f>'det -detail'!E136</f>
        <v>1</v>
      </c>
      <c r="E180" s="1409">
        <f>'det -detail'!F136</f>
        <v>1</v>
      </c>
      <c r="F180" s="1410">
        <f>'det -detail'!G136</f>
        <v>4</v>
      </c>
      <c r="G180" s="1410">
        <f>'det -detail'!H136</f>
        <v>3.23</v>
      </c>
      <c r="H180" s="1411">
        <f>'det -detail'!I136</f>
        <v>0.1</v>
      </c>
      <c r="I180" s="1406">
        <f t="shared" si="24"/>
        <v>1.292</v>
      </c>
      <c r="J180" s="1436"/>
      <c r="K180" s="1436"/>
      <c r="L180" s="1434"/>
      <c r="M180" s="1437"/>
      <c r="Q180" s="1394">
        <f>IFERROR(VLOOKUP(M180,#REF!,3,0),0)</f>
        <v>0</v>
      </c>
      <c r="R180" s="1394">
        <f t="shared" si="25"/>
        <v>0</v>
      </c>
      <c r="S180" s="1394">
        <f>IFERROR(VLOOKUP(M180,#REF!,6,0),0)</f>
        <v>0</v>
      </c>
      <c r="T180" s="1394">
        <f t="shared" si="26"/>
        <v>0</v>
      </c>
      <c r="U180" s="1394">
        <f>IFERROR(VLOOKUP(M180,#REF!,5,0),0)</f>
        <v>0</v>
      </c>
      <c r="V180" s="1394">
        <f t="shared" si="27"/>
        <v>0</v>
      </c>
      <c r="W180" s="1394"/>
    </row>
    <row r="181" spans="1:23" s="1438" customFormat="1" ht="30" customHeight="1">
      <c r="A181" s="1434"/>
      <c r="B181" s="1435"/>
      <c r="C181" s="1408" t="str">
        <f>'det -detail'!B137</f>
        <v>Part-10</v>
      </c>
      <c r="D181" s="1409">
        <f>'det -detail'!E137</f>
        <v>1</v>
      </c>
      <c r="E181" s="1409">
        <f>'det -detail'!F137</f>
        <v>1</v>
      </c>
      <c r="F181" s="1410">
        <f>'det -detail'!G137</f>
        <v>4</v>
      </c>
      <c r="G181" s="1410">
        <f>'det -detail'!H137</f>
        <v>2.5</v>
      </c>
      <c r="H181" s="1411">
        <f>'det -detail'!I137</f>
        <v>0.1</v>
      </c>
      <c r="I181" s="1406">
        <f t="shared" si="24"/>
        <v>1</v>
      </c>
      <c r="J181" s="1436"/>
      <c r="K181" s="1436"/>
      <c r="L181" s="1434"/>
      <c r="M181" s="1437"/>
      <c r="Q181" s="1394">
        <f>IFERROR(VLOOKUP(M181,#REF!,3,0),0)</f>
        <v>0</v>
      </c>
      <c r="R181" s="1394">
        <f t="shared" si="25"/>
        <v>0</v>
      </c>
      <c r="S181" s="1394">
        <f>IFERROR(VLOOKUP(M181,#REF!,6,0),0)</f>
        <v>0</v>
      </c>
      <c r="T181" s="1394">
        <f t="shared" si="26"/>
        <v>0</v>
      </c>
      <c r="U181" s="1394">
        <f>IFERROR(VLOOKUP(M181,#REF!,5,0),0)</f>
        <v>0</v>
      </c>
      <c r="V181" s="1394">
        <f t="shared" si="27"/>
        <v>0</v>
      </c>
      <c r="W181" s="1394"/>
    </row>
    <row r="182" spans="1:23" s="1438" customFormat="1" ht="30" customHeight="1">
      <c r="A182" s="1434"/>
      <c r="B182" s="1435"/>
      <c r="C182" s="1408" t="str">
        <f>'det -detail'!B138</f>
        <v>Part-11</v>
      </c>
      <c r="D182" s="1409">
        <f>'det -detail'!E138</f>
        <v>1</v>
      </c>
      <c r="E182" s="1409">
        <f>'det -detail'!F138</f>
        <v>1</v>
      </c>
      <c r="F182" s="1410">
        <f>'det -detail'!G138</f>
        <v>2.895</v>
      </c>
      <c r="G182" s="1410">
        <f>'det -detail'!H138</f>
        <v>1.9650000000000001</v>
      </c>
      <c r="H182" s="1411">
        <f>'det -detail'!I138</f>
        <v>0.1</v>
      </c>
      <c r="I182" s="1406">
        <f t="shared" si="24"/>
        <v>0.56886749999999997</v>
      </c>
      <c r="J182" s="1436"/>
      <c r="K182" s="1436"/>
      <c r="L182" s="1434"/>
      <c r="M182" s="1437"/>
      <c r="Q182" s="1394">
        <f>IFERROR(VLOOKUP(M182,#REF!,3,0),0)</f>
        <v>0</v>
      </c>
      <c r="R182" s="1394">
        <f t="shared" si="25"/>
        <v>0</v>
      </c>
      <c r="S182" s="1394">
        <f>IFERROR(VLOOKUP(M182,#REF!,6,0),0)</f>
        <v>0</v>
      </c>
      <c r="T182" s="1394">
        <f t="shared" si="26"/>
        <v>0</v>
      </c>
      <c r="U182" s="1394">
        <f>IFERROR(VLOOKUP(M182,#REF!,5,0),0)</f>
        <v>0</v>
      </c>
      <c r="V182" s="1394">
        <f t="shared" si="27"/>
        <v>0</v>
      </c>
      <c r="W182" s="1394"/>
    </row>
    <row r="183" spans="1:23" s="1438" customFormat="1" ht="30" customHeight="1">
      <c r="A183" s="1434"/>
      <c r="B183" s="1435"/>
      <c r="C183" s="1408" t="str">
        <f>'det -detail'!B139</f>
        <v>Part-12</v>
      </c>
      <c r="D183" s="1409">
        <f>'det -detail'!E139</f>
        <v>1</v>
      </c>
      <c r="E183" s="1409">
        <f>'det -detail'!F139</f>
        <v>1</v>
      </c>
      <c r="F183" s="1410">
        <f>'det -detail'!G139</f>
        <v>4</v>
      </c>
      <c r="G183" s="1410">
        <f>'det -detail'!H139</f>
        <v>2.5</v>
      </c>
      <c r="H183" s="1411">
        <f>'det -detail'!I139</f>
        <v>0.1</v>
      </c>
      <c r="I183" s="1406">
        <f t="shared" si="24"/>
        <v>1</v>
      </c>
      <c r="J183" s="1436"/>
      <c r="K183" s="1436"/>
      <c r="L183" s="1434"/>
      <c r="M183" s="1437"/>
      <c r="Q183" s="1394">
        <f>IFERROR(VLOOKUP(M183,#REF!,3,0),0)</f>
        <v>0</v>
      </c>
      <c r="R183" s="1394">
        <f t="shared" si="25"/>
        <v>0</v>
      </c>
      <c r="S183" s="1394">
        <f>IFERROR(VLOOKUP(M183,#REF!,6,0),0)</f>
        <v>0</v>
      </c>
      <c r="T183" s="1394">
        <f t="shared" si="26"/>
        <v>0</v>
      </c>
      <c r="U183" s="1394">
        <f>IFERROR(VLOOKUP(M183,#REF!,5,0),0)</f>
        <v>0</v>
      </c>
      <c r="V183" s="1394">
        <f t="shared" si="27"/>
        <v>0</v>
      </c>
      <c r="W183" s="1394"/>
    </row>
    <row r="184" spans="1:23" s="1438" customFormat="1" ht="30" customHeight="1">
      <c r="A184" s="1434"/>
      <c r="B184" s="1435"/>
      <c r="C184" s="1408" t="str">
        <f>'det -detail'!B140</f>
        <v>Part-13</v>
      </c>
      <c r="D184" s="1409">
        <f>'det -detail'!E140</f>
        <v>1</v>
      </c>
      <c r="E184" s="1409">
        <f>'det -detail'!F140</f>
        <v>1</v>
      </c>
      <c r="F184" s="1410">
        <f>'det -detail'!G140</f>
        <v>4</v>
      </c>
      <c r="G184" s="1410">
        <f>'det -detail'!H140</f>
        <v>3.9</v>
      </c>
      <c r="H184" s="1411">
        <f>'det -detail'!I140</f>
        <v>0.1</v>
      </c>
      <c r="I184" s="1406">
        <f t="shared" si="24"/>
        <v>1.56</v>
      </c>
      <c r="J184" s="1436"/>
      <c r="K184" s="1436"/>
      <c r="L184" s="1434"/>
      <c r="M184" s="1437"/>
      <c r="Q184" s="1394">
        <f>IFERROR(VLOOKUP(M184,#REF!,3,0),0)</f>
        <v>0</v>
      </c>
      <c r="R184" s="1394">
        <f t="shared" si="25"/>
        <v>0</v>
      </c>
      <c r="S184" s="1394">
        <f>IFERROR(VLOOKUP(M184,#REF!,6,0),0)</f>
        <v>0</v>
      </c>
      <c r="T184" s="1394">
        <f t="shared" si="26"/>
        <v>0</v>
      </c>
      <c r="U184" s="1394">
        <f>IFERROR(VLOOKUP(M184,#REF!,5,0),0)</f>
        <v>0</v>
      </c>
      <c r="V184" s="1394">
        <f t="shared" si="27"/>
        <v>0</v>
      </c>
      <c r="W184" s="1394"/>
    </row>
    <row r="185" spans="1:23" s="1438" customFormat="1" ht="30" customHeight="1">
      <c r="A185" s="1434"/>
      <c r="B185" s="1435"/>
      <c r="C185" s="1408" t="str">
        <f>'det -detail'!B141</f>
        <v>Part-14</v>
      </c>
      <c r="D185" s="1409">
        <f>'det -detail'!E141</f>
        <v>1</v>
      </c>
      <c r="E185" s="1409">
        <f>'det -detail'!F141</f>
        <v>1</v>
      </c>
      <c r="F185" s="1410">
        <f>'det -detail'!G141</f>
        <v>5.4249999999999998</v>
      </c>
      <c r="G185" s="1410">
        <f>'det -detail'!H141</f>
        <v>3.9</v>
      </c>
      <c r="H185" s="1411">
        <f>'det -detail'!I141</f>
        <v>0.1</v>
      </c>
      <c r="I185" s="1406">
        <f t="shared" si="24"/>
        <v>2.1157499999999998</v>
      </c>
      <c r="J185" s="1436"/>
      <c r="K185" s="1436"/>
      <c r="L185" s="1434"/>
      <c r="M185" s="1437"/>
      <c r="Q185" s="1394">
        <f>IFERROR(VLOOKUP(M185,#REF!,3,0),0)</f>
        <v>0</v>
      </c>
      <c r="R185" s="1394">
        <f t="shared" si="25"/>
        <v>0</v>
      </c>
      <c r="S185" s="1394">
        <f>IFERROR(VLOOKUP(M185,#REF!,6,0),0)</f>
        <v>0</v>
      </c>
      <c r="T185" s="1394">
        <f t="shared" si="26"/>
        <v>0</v>
      </c>
      <c r="U185" s="1394">
        <f>IFERROR(VLOOKUP(M185,#REF!,5,0),0)</f>
        <v>0</v>
      </c>
      <c r="V185" s="1394">
        <f t="shared" si="27"/>
        <v>0</v>
      </c>
      <c r="W185" s="1394"/>
    </row>
    <row r="186" spans="1:23" s="1438" customFormat="1" ht="30" customHeight="1">
      <c r="A186" s="1434"/>
      <c r="B186" s="1435"/>
      <c r="C186" s="1408" t="str">
        <f>'det -detail'!B142</f>
        <v>Part-15</v>
      </c>
      <c r="D186" s="1409">
        <f>'det -detail'!E142</f>
        <v>1</v>
      </c>
      <c r="E186" s="1409">
        <f>'det -detail'!F142</f>
        <v>1</v>
      </c>
      <c r="F186" s="1410">
        <f>'det -detail'!G142</f>
        <v>4.4649999999999999</v>
      </c>
      <c r="G186" s="1410">
        <f>'det -detail'!H142</f>
        <v>3.9</v>
      </c>
      <c r="H186" s="1411">
        <f>'det -detail'!I142</f>
        <v>0.1</v>
      </c>
      <c r="I186" s="1406">
        <f t="shared" si="24"/>
        <v>1.74135</v>
      </c>
      <c r="J186" s="1436"/>
      <c r="K186" s="1436"/>
      <c r="L186" s="1434"/>
      <c r="M186" s="1437"/>
      <c r="Q186" s="1394">
        <f>IFERROR(VLOOKUP(M186,#REF!,3,0),0)</f>
        <v>0</v>
      </c>
      <c r="R186" s="1394">
        <f t="shared" si="25"/>
        <v>0</v>
      </c>
      <c r="S186" s="1394">
        <f>IFERROR(VLOOKUP(M186,#REF!,6,0),0)</f>
        <v>0</v>
      </c>
      <c r="T186" s="1394">
        <f t="shared" si="26"/>
        <v>0</v>
      </c>
      <c r="U186" s="1394">
        <f>IFERROR(VLOOKUP(M186,#REF!,5,0),0)</f>
        <v>0</v>
      </c>
      <c r="V186" s="1394">
        <f t="shared" si="27"/>
        <v>0</v>
      </c>
      <c r="W186" s="1394"/>
    </row>
    <row r="187" spans="1:23" s="1438" customFormat="1" ht="30" customHeight="1">
      <c r="A187" s="1434"/>
      <c r="B187" s="1435"/>
      <c r="C187" s="1408" t="str">
        <f>'det -detail'!B143</f>
        <v>Part-16</v>
      </c>
      <c r="D187" s="1409">
        <f>'det -detail'!E143</f>
        <v>1</v>
      </c>
      <c r="E187" s="1409">
        <f>'det -detail'!F143</f>
        <v>1</v>
      </c>
      <c r="F187" s="1410">
        <f>'det -detail'!G143</f>
        <v>3.7650000000000001</v>
      </c>
      <c r="G187" s="1410">
        <f>'det -detail'!H143</f>
        <v>3.9</v>
      </c>
      <c r="H187" s="1411">
        <f>'det -detail'!I143</f>
        <v>0.1</v>
      </c>
      <c r="I187" s="1406">
        <f t="shared" si="24"/>
        <v>1.46835</v>
      </c>
      <c r="J187" s="1436"/>
      <c r="K187" s="1436"/>
      <c r="L187" s="1434"/>
      <c r="M187" s="1437"/>
      <c r="Q187" s="1394">
        <f>IFERROR(VLOOKUP(M187,#REF!,3,0),0)</f>
        <v>0</v>
      </c>
      <c r="R187" s="1394">
        <f t="shared" si="25"/>
        <v>0</v>
      </c>
      <c r="S187" s="1394">
        <f>IFERROR(VLOOKUP(M187,#REF!,6,0),0)</f>
        <v>0</v>
      </c>
      <c r="T187" s="1394">
        <f t="shared" si="26"/>
        <v>0</v>
      </c>
      <c r="U187" s="1394">
        <f>IFERROR(VLOOKUP(M187,#REF!,5,0),0)</f>
        <v>0</v>
      </c>
      <c r="V187" s="1394">
        <f t="shared" si="27"/>
        <v>0</v>
      </c>
      <c r="W187" s="1394"/>
    </row>
    <row r="188" spans="1:23" s="1438" customFormat="1" ht="30" customHeight="1">
      <c r="A188" s="1434"/>
      <c r="B188" s="1435"/>
      <c r="C188" s="1408" t="str">
        <f>'det -detail'!B144</f>
        <v>Part-17</v>
      </c>
      <c r="D188" s="1409">
        <f>'det -detail'!E144</f>
        <v>1</v>
      </c>
      <c r="E188" s="1409">
        <f>'det -detail'!F144</f>
        <v>1</v>
      </c>
      <c r="F188" s="1410">
        <f>'det -detail'!G144</f>
        <v>4.3250000000000002</v>
      </c>
      <c r="G188" s="1410">
        <f>'det -detail'!H144</f>
        <v>2.2999999999999998</v>
      </c>
      <c r="H188" s="1411">
        <f>'det -detail'!I144</f>
        <v>0.1</v>
      </c>
      <c r="I188" s="1406">
        <f t="shared" si="24"/>
        <v>0.99475000000000002</v>
      </c>
      <c r="J188" s="1436"/>
      <c r="K188" s="1436"/>
      <c r="L188" s="1434"/>
      <c r="M188" s="1437"/>
      <c r="Q188" s="1394">
        <f>IFERROR(VLOOKUP(M188,#REF!,3,0),0)</f>
        <v>0</v>
      </c>
      <c r="R188" s="1394">
        <f t="shared" si="25"/>
        <v>0</v>
      </c>
      <c r="S188" s="1394">
        <f>IFERROR(VLOOKUP(M188,#REF!,6,0),0)</f>
        <v>0</v>
      </c>
      <c r="T188" s="1394">
        <f t="shared" si="26"/>
        <v>0</v>
      </c>
      <c r="U188" s="1394">
        <f>IFERROR(VLOOKUP(M188,#REF!,5,0),0)</f>
        <v>0</v>
      </c>
      <c r="V188" s="1394">
        <f t="shared" si="27"/>
        <v>0</v>
      </c>
      <c r="W188" s="1394"/>
    </row>
    <row r="189" spans="1:23" s="1438" customFormat="1" ht="30" customHeight="1">
      <c r="A189" s="1434"/>
      <c r="B189" s="1435"/>
      <c r="C189" s="1408" t="str">
        <f>'det -detail'!B145</f>
        <v>Part-18</v>
      </c>
      <c r="D189" s="1409">
        <f>'det -detail'!E145</f>
        <v>1</v>
      </c>
      <c r="E189" s="1409">
        <f>'det -detail'!F145</f>
        <v>1</v>
      </c>
      <c r="F189" s="1410">
        <f>'det -detail'!G145</f>
        <v>3.4249999999999998</v>
      </c>
      <c r="G189" s="1410">
        <f>'det -detail'!H145</f>
        <v>0.745</v>
      </c>
      <c r="H189" s="1411">
        <f>'det -detail'!I145</f>
        <v>0.1</v>
      </c>
      <c r="I189" s="1406">
        <f t="shared" si="24"/>
        <v>0.25516250000000001</v>
      </c>
      <c r="J189" s="1436"/>
      <c r="K189" s="1436"/>
      <c r="L189" s="1434"/>
      <c r="M189" s="1437"/>
      <c r="Q189" s="1394">
        <f>IFERROR(VLOOKUP(M189,#REF!,3,0),0)</f>
        <v>0</v>
      </c>
      <c r="R189" s="1394">
        <f t="shared" si="25"/>
        <v>0</v>
      </c>
      <c r="S189" s="1394">
        <f>IFERROR(VLOOKUP(M189,#REF!,6,0),0)</f>
        <v>0</v>
      </c>
      <c r="T189" s="1394">
        <f t="shared" si="26"/>
        <v>0</v>
      </c>
      <c r="U189" s="1394">
        <f>IFERROR(VLOOKUP(M189,#REF!,5,0),0)</f>
        <v>0</v>
      </c>
      <c r="V189" s="1394">
        <f t="shared" si="27"/>
        <v>0</v>
      </c>
      <c r="W189" s="1394"/>
    </row>
    <row r="190" spans="1:23" s="1438" customFormat="1" ht="30" customHeight="1">
      <c r="A190" s="1434"/>
      <c r="B190" s="1435"/>
      <c r="C190" s="1408" t="str">
        <f>'det -detail'!B146</f>
        <v>Part-19</v>
      </c>
      <c r="D190" s="1409">
        <f>'det -detail'!E146</f>
        <v>1</v>
      </c>
      <c r="E190" s="1409">
        <f>'det -detail'!F146</f>
        <v>1</v>
      </c>
      <c r="F190" s="1410">
        <f>'det -detail'!G146</f>
        <v>3.4249999999999998</v>
      </c>
      <c r="G190" s="1410">
        <f>'det -detail'!H146</f>
        <v>3.6</v>
      </c>
      <c r="H190" s="1411">
        <f>'det -detail'!I146</f>
        <v>0.1</v>
      </c>
      <c r="I190" s="1406">
        <f t="shared" si="24"/>
        <v>1.2330000000000001</v>
      </c>
      <c r="J190" s="1436"/>
      <c r="K190" s="1436"/>
      <c r="L190" s="1434"/>
      <c r="M190" s="1437"/>
      <c r="Q190" s="1394">
        <f>IFERROR(VLOOKUP(M190,#REF!,3,0),0)</f>
        <v>0</v>
      </c>
      <c r="R190" s="1394">
        <f t="shared" si="25"/>
        <v>0</v>
      </c>
      <c r="S190" s="1394">
        <f>IFERROR(VLOOKUP(M190,#REF!,6,0),0)</f>
        <v>0</v>
      </c>
      <c r="T190" s="1394">
        <f t="shared" si="26"/>
        <v>0</v>
      </c>
      <c r="U190" s="1394">
        <f>IFERROR(VLOOKUP(M190,#REF!,5,0),0)</f>
        <v>0</v>
      </c>
      <c r="V190" s="1394">
        <f t="shared" si="27"/>
        <v>0</v>
      </c>
      <c r="W190" s="1394"/>
    </row>
    <row r="191" spans="1:23" s="1438" customFormat="1" ht="30" hidden="1" customHeight="1">
      <c r="A191" s="1434"/>
      <c r="B191" s="1435"/>
      <c r="C191" s="1408">
        <f>'det -detail'!B147</f>
        <v>0</v>
      </c>
      <c r="D191" s="1409">
        <f>'det -detail'!E147</f>
        <v>0</v>
      </c>
      <c r="E191" s="1409">
        <f>'det -detail'!F147</f>
        <v>0</v>
      </c>
      <c r="F191" s="1410">
        <f>'det -detail'!G147</f>
        <v>0</v>
      </c>
      <c r="G191" s="1410">
        <f>'det -detail'!H147</f>
        <v>0</v>
      </c>
      <c r="H191" s="1411">
        <f>'det -detail'!I147</f>
        <v>0</v>
      </c>
      <c r="I191" s="1406">
        <f t="shared" si="24"/>
        <v>0</v>
      </c>
      <c r="J191" s="1436"/>
      <c r="K191" s="1436"/>
      <c r="L191" s="1434"/>
      <c r="M191" s="1437"/>
      <c r="Q191" s="1394">
        <f>IFERROR(VLOOKUP(M191,#REF!,3,0),0)</f>
        <v>0</v>
      </c>
      <c r="R191" s="1394">
        <f t="shared" si="25"/>
        <v>0</v>
      </c>
      <c r="S191" s="1394">
        <f>IFERROR(VLOOKUP(M191,#REF!,6,0),0)</f>
        <v>0</v>
      </c>
      <c r="T191" s="1394">
        <f t="shared" si="26"/>
        <v>0</v>
      </c>
      <c r="U191" s="1394">
        <f>IFERROR(VLOOKUP(M191,#REF!,5,0),0)</f>
        <v>0</v>
      </c>
      <c r="V191" s="1394">
        <f t="shared" si="27"/>
        <v>0</v>
      </c>
      <c r="W191" s="1394"/>
    </row>
    <row r="192" spans="1:23" s="1438" customFormat="1" ht="30" hidden="1" customHeight="1">
      <c r="A192" s="1434"/>
      <c r="B192" s="1435"/>
      <c r="C192" s="1408">
        <f>'det -detail'!B148</f>
        <v>0</v>
      </c>
      <c r="D192" s="1409">
        <f>'det -detail'!E148</f>
        <v>0</v>
      </c>
      <c r="E192" s="1409">
        <f>'det -detail'!F148</f>
        <v>0</v>
      </c>
      <c r="F192" s="1410">
        <f>'det -detail'!G148</f>
        <v>0</v>
      </c>
      <c r="G192" s="1410">
        <f>'det -detail'!H148</f>
        <v>0</v>
      </c>
      <c r="H192" s="1411">
        <f>'det -detail'!I148</f>
        <v>0</v>
      </c>
      <c r="I192" s="1406">
        <f t="shared" si="24"/>
        <v>0</v>
      </c>
      <c r="J192" s="1436"/>
      <c r="K192" s="1436"/>
      <c r="L192" s="1434"/>
      <c r="M192" s="1437"/>
      <c r="Q192" s="1394">
        <f>IFERROR(VLOOKUP(M192,#REF!,3,0),0)</f>
        <v>0</v>
      </c>
      <c r="R192" s="1394">
        <f t="shared" si="25"/>
        <v>0</v>
      </c>
      <c r="S192" s="1394">
        <f>IFERROR(VLOOKUP(M192,#REF!,6,0),0)</f>
        <v>0</v>
      </c>
      <c r="T192" s="1394">
        <f t="shared" si="26"/>
        <v>0</v>
      </c>
      <c r="U192" s="1394">
        <f>IFERROR(VLOOKUP(M192,#REF!,5,0),0)</f>
        <v>0</v>
      </c>
      <c r="V192" s="1394">
        <f t="shared" si="27"/>
        <v>0</v>
      </c>
      <c r="W192" s="1394"/>
    </row>
    <row r="193" spans="1:24" s="1438" customFormat="1" ht="30" hidden="1" customHeight="1">
      <c r="A193" s="1434"/>
      <c r="B193" s="1435"/>
      <c r="C193" s="1408">
        <f>'det -detail'!B149</f>
        <v>0</v>
      </c>
      <c r="D193" s="1409">
        <f>'det -detail'!E149</f>
        <v>0</v>
      </c>
      <c r="E193" s="1409">
        <f>'det -detail'!F149</f>
        <v>0</v>
      </c>
      <c r="F193" s="1410">
        <f>'det -detail'!G149</f>
        <v>0</v>
      </c>
      <c r="G193" s="1410">
        <f>'det -detail'!H149</f>
        <v>0</v>
      </c>
      <c r="H193" s="1411">
        <f>'det -detail'!I149</f>
        <v>0</v>
      </c>
      <c r="I193" s="1406">
        <f t="shared" si="24"/>
        <v>0</v>
      </c>
      <c r="J193" s="1436"/>
      <c r="K193" s="1436"/>
      <c r="L193" s="1434"/>
      <c r="M193" s="1437"/>
      <c r="Q193" s="1394">
        <f>IFERROR(VLOOKUP(M193,#REF!,3,0),0)</f>
        <v>0</v>
      </c>
      <c r="R193" s="1394">
        <f t="shared" si="25"/>
        <v>0</v>
      </c>
      <c r="S193" s="1394">
        <f>IFERROR(VLOOKUP(M193,#REF!,6,0),0)</f>
        <v>0</v>
      </c>
      <c r="T193" s="1394">
        <f t="shared" si="26"/>
        <v>0</v>
      </c>
      <c r="U193" s="1394">
        <f>IFERROR(VLOOKUP(M193,#REF!,5,0),0)</f>
        <v>0</v>
      </c>
      <c r="V193" s="1394">
        <f t="shared" si="27"/>
        <v>0</v>
      </c>
      <c r="W193" s="1394"/>
    </row>
    <row r="194" spans="1:24" s="1438" customFormat="1" ht="30" customHeight="1">
      <c r="A194" s="1434"/>
      <c r="B194" s="1435"/>
      <c r="C194" s="1408" t="str">
        <f>'Main Building Details'!C41</f>
        <v>Front step</v>
      </c>
      <c r="D194" s="1409">
        <f>'Main Building Details'!D41</f>
        <v>1</v>
      </c>
      <c r="E194" s="1409">
        <f>'Main Building Details'!E41</f>
        <v>1</v>
      </c>
      <c r="F194" s="1410">
        <f>'Main Building Details'!F41</f>
        <v>3.2250000000000001</v>
      </c>
      <c r="G194" s="1410">
        <f>'Main Building Details'!G41</f>
        <v>0.9</v>
      </c>
      <c r="H194" s="1411">
        <f>H190</f>
        <v>0.1</v>
      </c>
      <c r="I194" s="1406">
        <f t="shared" si="24"/>
        <v>0.29025000000000006</v>
      </c>
      <c r="J194" s="1436"/>
      <c r="K194" s="1436"/>
      <c r="L194" s="1434"/>
      <c r="M194" s="1437"/>
      <c r="Q194" s="1394">
        <f>IFERROR(VLOOKUP(M194,#REF!,3,0),0)</f>
        <v>0</v>
      </c>
      <c r="R194" s="1394">
        <f t="shared" si="25"/>
        <v>0</v>
      </c>
      <c r="S194" s="1394">
        <f>IFERROR(VLOOKUP(M194,#REF!,6,0),0)</f>
        <v>0</v>
      </c>
      <c r="T194" s="1394">
        <f t="shared" si="26"/>
        <v>0</v>
      </c>
      <c r="U194" s="1394">
        <f>IFERROR(VLOOKUP(M194,#REF!,5,0),0)</f>
        <v>0</v>
      </c>
      <c r="V194" s="1394">
        <f t="shared" si="27"/>
        <v>0</v>
      </c>
      <c r="W194" s="1394"/>
    </row>
    <row r="195" spans="1:24" s="1438" customFormat="1" ht="30" customHeight="1">
      <c r="A195" s="1434"/>
      <c r="B195" s="1435"/>
      <c r="C195" s="1408" t="str">
        <f>'Main Building Details'!C42</f>
        <v>Inspection chambers</v>
      </c>
      <c r="D195" s="1409">
        <f>'Main Building Details'!D42</f>
        <v>1</v>
      </c>
      <c r="E195" s="1409">
        <f>'Main Building Details'!E42</f>
        <v>6</v>
      </c>
      <c r="F195" s="1410">
        <f>'Main Building Details'!F42</f>
        <v>1.35</v>
      </c>
      <c r="G195" s="1410">
        <f>'Main Building Details'!G42</f>
        <v>1.35</v>
      </c>
      <c r="H195" s="1411">
        <f>H194</f>
        <v>0.1</v>
      </c>
      <c r="I195" s="1406">
        <f t="shared" si="24"/>
        <v>1.0935000000000004</v>
      </c>
      <c r="J195" s="1436"/>
      <c r="K195" s="1436"/>
      <c r="L195" s="1434"/>
      <c r="M195" s="1437"/>
      <c r="Q195" s="1394">
        <f>IFERROR(VLOOKUP(M195,#REF!,3,0),0)</f>
        <v>0</v>
      </c>
      <c r="R195" s="1394">
        <f t="shared" si="25"/>
        <v>0</v>
      </c>
      <c r="S195" s="1394">
        <f>IFERROR(VLOOKUP(M195,#REF!,6,0),0)</f>
        <v>0</v>
      </c>
      <c r="T195" s="1394">
        <f t="shared" si="26"/>
        <v>0</v>
      </c>
      <c r="U195" s="1394">
        <f>IFERROR(VLOOKUP(M195,#REF!,5,0),0)</f>
        <v>0</v>
      </c>
      <c r="V195" s="1394">
        <f t="shared" si="27"/>
        <v>0</v>
      </c>
      <c r="W195" s="1394"/>
    </row>
    <row r="196" spans="1:24" s="1438" customFormat="1" ht="30" hidden="1" customHeight="1">
      <c r="A196" s="1434"/>
      <c r="B196" s="1435"/>
      <c r="C196" s="1408"/>
      <c r="D196" s="1409"/>
      <c r="E196" s="1409"/>
      <c r="F196" s="1410"/>
      <c r="G196" s="1410"/>
      <c r="H196" s="1411"/>
      <c r="I196" s="1406"/>
      <c r="J196" s="1436"/>
      <c r="K196" s="1436"/>
      <c r="L196" s="1434"/>
      <c r="M196" s="1437"/>
      <c r="Q196" s="1394">
        <f>IFERROR(VLOOKUP(M196,#REF!,3,0),0)</f>
        <v>0</v>
      </c>
      <c r="R196" s="1394">
        <f t="shared" si="25"/>
        <v>0</v>
      </c>
      <c r="S196" s="1394">
        <f>IFERROR(VLOOKUP(M196,#REF!,6,0),0)</f>
        <v>0</v>
      </c>
      <c r="T196" s="1394">
        <f t="shared" si="26"/>
        <v>0</v>
      </c>
      <c r="U196" s="1394">
        <f>IFERROR(VLOOKUP(M196,#REF!,5,0),0)</f>
        <v>0</v>
      </c>
      <c r="V196" s="1394">
        <f t="shared" si="27"/>
        <v>0</v>
      </c>
      <c r="W196" s="1394"/>
    </row>
    <row r="197" spans="1:24" s="1438" customFormat="1" ht="30" hidden="1" customHeight="1">
      <c r="A197" s="1434"/>
      <c r="B197" s="1435"/>
      <c r="C197" s="1408"/>
      <c r="D197" s="1409"/>
      <c r="E197" s="1409"/>
      <c r="F197" s="1410"/>
      <c r="G197" s="1410"/>
      <c r="H197" s="1411"/>
      <c r="I197" s="1406"/>
      <c r="J197" s="1436"/>
      <c r="K197" s="1436"/>
      <c r="L197" s="1434"/>
      <c r="M197" s="1437"/>
      <c r="Q197" s="1394">
        <f>IFERROR(VLOOKUP(M197,#REF!,3,0),0)</f>
        <v>0</v>
      </c>
      <c r="R197" s="1394">
        <f t="shared" si="25"/>
        <v>0</v>
      </c>
      <c r="S197" s="1394">
        <f>IFERROR(VLOOKUP(M197,#REF!,6,0),0)</f>
        <v>0</v>
      </c>
      <c r="T197" s="1394">
        <f t="shared" si="26"/>
        <v>0</v>
      </c>
      <c r="U197" s="1394">
        <f>IFERROR(VLOOKUP(M197,#REF!,5,0),0)</f>
        <v>0</v>
      </c>
      <c r="V197" s="1394">
        <f t="shared" si="27"/>
        <v>0</v>
      </c>
      <c r="W197" s="1394"/>
    </row>
    <row r="198" spans="1:24" s="1394" customFormat="1" ht="30" customHeight="1">
      <c r="B198" s="1421"/>
      <c r="C198" s="1422" t="s">
        <v>270</v>
      </c>
      <c r="D198" s="1389"/>
      <c r="E198" s="1389"/>
      <c r="F198" s="1423"/>
      <c r="G198" s="1423"/>
      <c r="H198" s="1424"/>
      <c r="I198" s="1425">
        <f>J199-J198</f>
        <v>2.7217499999984796E-2</v>
      </c>
      <c r="J198" s="1394">
        <f>SUM(I101:I197)</f>
        <v>58.872782500000014</v>
      </c>
      <c r="M198" s="1426"/>
      <c r="Q198" s="1394">
        <f>IFERROR(VLOOKUP(M198,#REF!,3,0),0)</f>
        <v>0</v>
      </c>
      <c r="R198" s="1394">
        <f t="shared" si="25"/>
        <v>0</v>
      </c>
      <c r="S198" s="1394">
        <f>IFERROR(VLOOKUP(M198,#REF!,6,0),0)</f>
        <v>0</v>
      </c>
      <c r="T198" s="1394">
        <f t="shared" si="26"/>
        <v>0</v>
      </c>
      <c r="U198" s="1394">
        <f>IFERROR(VLOOKUP(M198,#REF!,5,0),0)</f>
        <v>0</v>
      </c>
      <c r="V198" s="1394">
        <f t="shared" si="27"/>
        <v>0</v>
      </c>
    </row>
    <row r="199" spans="1:24" s="1394" customFormat="1" ht="30" customHeight="1">
      <c r="B199" s="1421"/>
      <c r="C199" s="1422"/>
      <c r="D199" s="1389"/>
      <c r="E199" s="1389"/>
      <c r="F199" s="1423"/>
      <c r="G199" s="1423"/>
      <c r="H199" s="1424"/>
      <c r="I199" s="1427">
        <f>+J199</f>
        <v>58.9</v>
      </c>
      <c r="J199" s="1394">
        <f>ROUNDUP(J198,1)</f>
        <v>58.9</v>
      </c>
      <c r="M199" s="1426"/>
      <c r="Q199" s="1394">
        <f>IFERROR(VLOOKUP(M199,#REF!,3,0),0)</f>
        <v>0</v>
      </c>
      <c r="R199" s="1394">
        <f t="shared" si="25"/>
        <v>0</v>
      </c>
      <c r="S199" s="1394">
        <f>IFERROR(VLOOKUP(M199,#REF!,6,0),0)</f>
        <v>0</v>
      </c>
      <c r="T199" s="1394">
        <f t="shared" si="26"/>
        <v>0</v>
      </c>
      <c r="U199" s="1394">
        <f>IFERROR(VLOOKUP(M199,#REF!,5,0),0)</f>
        <v>0</v>
      </c>
      <c r="V199" s="1394">
        <f t="shared" si="27"/>
        <v>0</v>
      </c>
    </row>
    <row r="200" spans="1:24" s="1394" customFormat="1" ht="30" customHeight="1">
      <c r="B200" s="1421"/>
      <c r="C200" s="1422"/>
      <c r="D200" s="1389"/>
      <c r="E200" s="1389"/>
      <c r="F200" s="1423"/>
      <c r="G200" s="1428" t="s">
        <v>11</v>
      </c>
      <c r="H200" s="1429">
        <f>I199</f>
        <v>58.9</v>
      </c>
      <c r="I200" s="1427" t="s">
        <v>19</v>
      </c>
      <c r="M200" s="1426" t="str">
        <f>A99</f>
        <v>Filling sand</v>
      </c>
      <c r="N200" s="1394">
        <f>B99</f>
        <v>2.1</v>
      </c>
      <c r="O200" s="1394">
        <f>H200</f>
        <v>58.9</v>
      </c>
      <c r="P200" s="1394" t="str">
        <f>I200</f>
        <v>Cum</v>
      </c>
      <c r="Q200" s="1394">
        <f>IFERROR(VLOOKUP(M200,#REF!,3,0),0)</f>
        <v>0</v>
      </c>
      <c r="R200" s="1394">
        <f t="shared" si="25"/>
        <v>0</v>
      </c>
      <c r="S200" s="1394">
        <f>IFERROR(VLOOKUP(M200,#REF!,6,0),0)</f>
        <v>0</v>
      </c>
      <c r="T200" s="1394">
        <f t="shared" si="26"/>
        <v>0</v>
      </c>
      <c r="U200" s="1394">
        <f>IFERROR(VLOOKUP(M200,#REF!,5,0),0)</f>
        <v>0</v>
      </c>
      <c r="V200" s="1394">
        <f t="shared" si="27"/>
        <v>58.9</v>
      </c>
    </row>
    <row r="201" spans="1:24" ht="67.5" customHeight="1">
      <c r="A201" s="110" t="s">
        <v>271</v>
      </c>
      <c r="B201" s="1439">
        <v>13.1</v>
      </c>
      <c r="C201" s="1678" t="e">
        <f>VLOOKUP(A201,#REF!,2,0)</f>
        <v>#REF!</v>
      </c>
      <c r="D201" s="1678"/>
      <c r="E201" s="1678"/>
      <c r="F201" s="1678"/>
      <c r="G201" s="1678"/>
      <c r="H201" s="1678"/>
      <c r="I201" s="1406"/>
      <c r="Q201" s="1394">
        <f>IFERROR(VLOOKUP(M201,#REF!,3,0),0)</f>
        <v>0</v>
      </c>
      <c r="R201" s="1394">
        <f t="shared" si="25"/>
        <v>0</v>
      </c>
      <c r="S201" s="1394">
        <f>IFERROR(VLOOKUP(M201,#REF!,6,0),0)</f>
        <v>0</v>
      </c>
      <c r="T201" s="1394">
        <f t="shared" si="26"/>
        <v>0</v>
      </c>
      <c r="U201" s="1394">
        <f>IFERROR(VLOOKUP(M201,#REF!,5,0),0)</f>
        <v>0</v>
      </c>
      <c r="V201" s="1394">
        <f t="shared" si="27"/>
        <v>0</v>
      </c>
      <c r="W201" s="1394"/>
      <c r="X201" s="1397"/>
    </row>
    <row r="202" spans="1:24" ht="30" customHeight="1">
      <c r="B202" s="1440"/>
      <c r="C202" s="1441" t="s">
        <v>272</v>
      </c>
      <c r="D202" s="103"/>
      <c r="E202" s="103"/>
      <c r="F202" s="1413"/>
      <c r="G202" s="1413"/>
      <c r="H202" s="1414"/>
      <c r="I202" s="1406"/>
      <c r="Q202" s="1394">
        <f>IFERROR(VLOOKUP(M202,#REF!,3,0),0)</f>
        <v>0</v>
      </c>
      <c r="R202" s="1394">
        <f t="shared" si="25"/>
        <v>0</v>
      </c>
      <c r="S202" s="1394">
        <f>IFERROR(VLOOKUP(M202,#REF!,6,0),0)</f>
        <v>0</v>
      </c>
      <c r="T202" s="1394">
        <f t="shared" si="26"/>
        <v>0</v>
      </c>
      <c r="U202" s="1394">
        <f>IFERROR(VLOOKUP(M202,#REF!,5,0),0)</f>
        <v>0</v>
      </c>
      <c r="V202" s="1394">
        <f t="shared" si="27"/>
        <v>0</v>
      </c>
      <c r="W202" s="1394"/>
    </row>
    <row r="203" spans="1:24" ht="30" customHeight="1">
      <c r="B203" s="1440"/>
      <c r="C203" s="1441" t="s">
        <v>273</v>
      </c>
      <c r="D203" s="103"/>
      <c r="E203" s="103"/>
      <c r="F203" s="1413"/>
      <c r="G203" s="1413"/>
      <c r="H203" s="1414"/>
      <c r="I203" s="1406">
        <f>+J320</f>
        <v>45.612000000000009</v>
      </c>
      <c r="Q203" s="1394">
        <f>IFERROR(VLOOKUP(M203,#REF!,3,0),0)</f>
        <v>0</v>
      </c>
      <c r="R203" s="1394">
        <f t="shared" si="25"/>
        <v>0</v>
      </c>
      <c r="S203" s="1394">
        <f>IFERROR(VLOOKUP(M203,#REF!,6,0),0)</f>
        <v>0</v>
      </c>
      <c r="T203" s="1394">
        <f t="shared" si="26"/>
        <v>0</v>
      </c>
      <c r="U203" s="1394">
        <f>IFERROR(VLOOKUP(M203,#REF!,5,0),0)</f>
        <v>0</v>
      </c>
      <c r="V203" s="1394">
        <f t="shared" si="27"/>
        <v>0</v>
      </c>
      <c r="W203" s="1394"/>
    </row>
    <row r="204" spans="1:24" ht="30" customHeight="1">
      <c r="B204" s="1440"/>
      <c r="C204" s="1441" t="s">
        <v>274</v>
      </c>
      <c r="D204" s="103"/>
      <c r="E204" s="103"/>
      <c r="F204" s="1413"/>
      <c r="G204" s="1413"/>
      <c r="H204" s="1414"/>
      <c r="I204" s="1406">
        <f>+L372</f>
        <v>4.2556800000000008</v>
      </c>
      <c r="Q204" s="1394">
        <f>IFERROR(VLOOKUP(M204,#REF!,3,0),0)</f>
        <v>0</v>
      </c>
      <c r="R204" s="1394">
        <f t="shared" si="25"/>
        <v>0</v>
      </c>
      <c r="S204" s="1394">
        <f>IFERROR(VLOOKUP(M204,#REF!,6,0),0)</f>
        <v>0</v>
      </c>
      <c r="T204" s="1394">
        <f t="shared" si="26"/>
        <v>0</v>
      </c>
      <c r="U204" s="1394">
        <f>IFERROR(VLOOKUP(M204,#REF!,5,0),0)</f>
        <v>0</v>
      </c>
      <c r="V204" s="1394">
        <f t="shared" si="27"/>
        <v>0</v>
      </c>
      <c r="W204" s="1394"/>
    </row>
    <row r="205" spans="1:24" ht="30" customHeight="1">
      <c r="B205" s="1440"/>
      <c r="C205" s="1441" t="s">
        <v>275</v>
      </c>
      <c r="D205" s="103"/>
      <c r="E205" s="103"/>
      <c r="F205" s="1413"/>
      <c r="G205" s="1413"/>
      <c r="H205" s="1414"/>
      <c r="I205" s="1406">
        <f>L394</f>
        <v>14.035220000000004</v>
      </c>
      <c r="Q205" s="1394">
        <f>IFERROR(VLOOKUP(M205,#REF!,3,0),0)</f>
        <v>0</v>
      </c>
      <c r="R205" s="1394">
        <f t="shared" si="25"/>
        <v>0</v>
      </c>
      <c r="S205" s="1394">
        <f>IFERROR(VLOOKUP(M205,#REF!,6,0),0)</f>
        <v>0</v>
      </c>
      <c r="T205" s="1394">
        <f t="shared" si="26"/>
        <v>0</v>
      </c>
      <c r="U205" s="1394">
        <f>IFERROR(VLOOKUP(M205,#REF!,5,0),0)</f>
        <v>0</v>
      </c>
      <c r="V205" s="1394">
        <f t="shared" si="27"/>
        <v>0</v>
      </c>
      <c r="W205" s="1394"/>
    </row>
    <row r="206" spans="1:24" s="1394" customFormat="1" ht="30" customHeight="1">
      <c r="B206" s="1421"/>
      <c r="C206" s="1422" t="s">
        <v>270</v>
      </c>
      <c r="D206" s="1389"/>
      <c r="E206" s="1389"/>
      <c r="F206" s="1423"/>
      <c r="G206" s="1423"/>
      <c r="H206" s="1424"/>
      <c r="I206" s="1425">
        <f>J207-J206</f>
        <v>9.7099999999990416E-2</v>
      </c>
      <c r="J206" s="1394">
        <f>SUM(I202:I205)</f>
        <v>63.90290000000001</v>
      </c>
      <c r="M206" s="1426"/>
      <c r="Q206" s="1394">
        <f>IFERROR(VLOOKUP(M206,#REF!,3,0),0)</f>
        <v>0</v>
      </c>
      <c r="R206" s="1394">
        <f t="shared" si="25"/>
        <v>0</v>
      </c>
      <c r="S206" s="1394">
        <f>IFERROR(VLOOKUP(M206,#REF!,6,0),0)</f>
        <v>0</v>
      </c>
      <c r="T206" s="1394">
        <f t="shared" si="26"/>
        <v>0</v>
      </c>
      <c r="U206" s="1394">
        <f>IFERROR(VLOOKUP(M206,#REF!,5,0),0)</f>
        <v>0</v>
      </c>
      <c r="V206" s="1394">
        <f t="shared" si="27"/>
        <v>0</v>
      </c>
    </row>
    <row r="207" spans="1:24" s="1394" customFormat="1" ht="30" customHeight="1">
      <c r="B207" s="1421"/>
      <c r="C207" s="1422" t="s">
        <v>276</v>
      </c>
      <c r="D207" s="1389"/>
      <c r="E207" s="1389"/>
      <c r="F207" s="1423"/>
      <c r="G207" s="1423"/>
      <c r="H207" s="1424"/>
      <c r="I207" s="1427">
        <f>+J207</f>
        <v>64</v>
      </c>
      <c r="J207" s="1394">
        <f>ROUNDUP(J206,1)</f>
        <v>64</v>
      </c>
      <c r="M207" s="1426"/>
      <c r="Q207" s="1394">
        <f>IFERROR(VLOOKUP(M207,#REF!,3,0),0)</f>
        <v>0</v>
      </c>
      <c r="R207" s="1394">
        <f t="shared" si="25"/>
        <v>0</v>
      </c>
      <c r="S207" s="1394">
        <f>IFERROR(VLOOKUP(M207,#REF!,6,0),0)</f>
        <v>0</v>
      </c>
      <c r="T207" s="1394">
        <f t="shared" si="26"/>
        <v>0</v>
      </c>
      <c r="U207" s="1394">
        <f>IFERROR(VLOOKUP(M207,#REF!,5,0),0)</f>
        <v>0</v>
      </c>
      <c r="V207" s="1394">
        <f t="shared" si="27"/>
        <v>0</v>
      </c>
    </row>
    <row r="208" spans="1:24" s="1394" customFormat="1" ht="30" customHeight="1">
      <c r="B208" s="1421"/>
      <c r="C208" s="1422"/>
      <c r="D208" s="1389"/>
      <c r="E208" s="1389"/>
      <c r="F208" s="1423"/>
      <c r="G208" s="1428" t="s">
        <v>11</v>
      </c>
      <c r="H208" s="1429">
        <f>I207</f>
        <v>64</v>
      </c>
      <c r="I208" s="1427" t="s">
        <v>19</v>
      </c>
      <c r="M208" s="1426" t="str">
        <f>A201</f>
        <v>Filling with Excavated Earth</v>
      </c>
      <c r="N208" s="1394">
        <f>B201</f>
        <v>13.1</v>
      </c>
      <c r="O208" s="1394">
        <f>H208</f>
        <v>64</v>
      </c>
      <c r="P208" s="1394" t="str">
        <f>I208</f>
        <v>Cum</v>
      </c>
      <c r="Q208" s="1394">
        <f>IFERROR(VLOOKUP(M208,#REF!,3,0),0)</f>
        <v>0</v>
      </c>
      <c r="R208" s="1394">
        <f t="shared" si="25"/>
        <v>0</v>
      </c>
      <c r="S208" s="1394">
        <f>IFERROR(VLOOKUP(M208,#REF!,6,0),0)</f>
        <v>0</v>
      </c>
      <c r="T208" s="1394">
        <f t="shared" si="26"/>
        <v>0</v>
      </c>
      <c r="U208" s="1394">
        <f>IFERROR(VLOOKUP(M208,#REF!,5,0),0)</f>
        <v>0</v>
      </c>
      <c r="V208" s="1394">
        <f t="shared" si="27"/>
        <v>64</v>
      </c>
    </row>
    <row r="209" spans="1:24" ht="69.75" customHeight="1">
      <c r="A209" s="110" t="s">
        <v>278</v>
      </c>
      <c r="B209" s="1405" t="s">
        <v>277</v>
      </c>
      <c r="C209" s="1678" t="e">
        <f>VLOOKUP(A209,#REF!,2,0)</f>
        <v>#REF!</v>
      </c>
      <c r="D209" s="1678"/>
      <c r="E209" s="1678"/>
      <c r="F209" s="1678"/>
      <c r="G209" s="1678"/>
      <c r="H209" s="1678"/>
      <c r="I209" s="1431"/>
      <c r="Q209" s="1394">
        <f>IFERROR(VLOOKUP(M209,#REF!,3,0),0)</f>
        <v>0</v>
      </c>
      <c r="R209" s="1394">
        <f t="shared" si="25"/>
        <v>0</v>
      </c>
      <c r="S209" s="1394">
        <f>IFERROR(VLOOKUP(M209,#REF!,6,0),0)</f>
        <v>0</v>
      </c>
      <c r="T209" s="1394">
        <f t="shared" si="26"/>
        <v>0</v>
      </c>
      <c r="U209" s="1394">
        <f>IFERROR(VLOOKUP(M209,#REF!,5,0),0)</f>
        <v>0</v>
      </c>
      <c r="V209" s="1394">
        <f t="shared" si="27"/>
        <v>0</v>
      </c>
      <c r="W209" s="1394"/>
      <c r="X209" s="1397"/>
    </row>
    <row r="210" spans="1:24" ht="30" customHeight="1">
      <c r="B210" s="1407"/>
      <c r="C210" s="1442" t="str">
        <f>'det -detail'!B152</f>
        <v>Part-1</v>
      </c>
      <c r="D210" s="1443">
        <f>'det -detail'!E152</f>
        <v>1</v>
      </c>
      <c r="E210" s="1443">
        <f>'det -detail'!F152</f>
        <v>1</v>
      </c>
      <c r="F210" s="1444">
        <f>'det -detail'!G152</f>
        <v>4</v>
      </c>
      <c r="G210" s="1444">
        <f>'det -detail'!H152</f>
        <v>5.0999999999999996</v>
      </c>
      <c r="H210" s="1445">
        <f>'det -detail'!I152</f>
        <v>0.44999999999999996</v>
      </c>
      <c r="I210" s="1406">
        <f t="shared" ref="I210:I228" si="28">PRODUCT(D210:H210)</f>
        <v>9.1799999999999979</v>
      </c>
      <c r="Q210" s="1394">
        <f>IFERROR(VLOOKUP(M210,#REF!,3,0),0)</f>
        <v>0</v>
      </c>
      <c r="R210" s="1394">
        <f t="shared" si="25"/>
        <v>0</v>
      </c>
      <c r="S210" s="1394">
        <f>IFERROR(VLOOKUP(M210,#REF!,6,0),0)</f>
        <v>0</v>
      </c>
      <c r="T210" s="1394">
        <f t="shared" si="26"/>
        <v>0</v>
      </c>
      <c r="U210" s="1394">
        <f>IFERROR(VLOOKUP(M210,#REF!,5,0),0)</f>
        <v>0</v>
      </c>
      <c r="V210" s="1394">
        <f t="shared" si="27"/>
        <v>0</v>
      </c>
      <c r="W210" s="1394"/>
    </row>
    <row r="211" spans="1:24" ht="30" customHeight="1">
      <c r="B211" s="1407"/>
      <c r="C211" s="1442" t="str">
        <f>'det -detail'!B153</f>
        <v>Part-2</v>
      </c>
      <c r="D211" s="1443">
        <f>'det -detail'!E153</f>
        <v>1</v>
      </c>
      <c r="E211" s="1443">
        <f>'det -detail'!F153</f>
        <v>1</v>
      </c>
      <c r="F211" s="1444">
        <f>'det -detail'!G153</f>
        <v>3.9</v>
      </c>
      <c r="G211" s="1444">
        <f>'det -detail'!H153</f>
        <v>2.77</v>
      </c>
      <c r="H211" s="1445">
        <f>'det -detail'!I153</f>
        <v>0.44999999999999996</v>
      </c>
      <c r="I211" s="1406">
        <f t="shared" si="28"/>
        <v>4.8613499999999989</v>
      </c>
      <c r="Q211" s="1394">
        <f>IFERROR(VLOOKUP(M211,#REF!,3,0),0)</f>
        <v>0</v>
      </c>
      <c r="R211" s="1394">
        <f t="shared" si="25"/>
        <v>0</v>
      </c>
      <c r="S211" s="1394">
        <f>IFERROR(VLOOKUP(M211,#REF!,6,0),0)</f>
        <v>0</v>
      </c>
      <c r="T211" s="1394">
        <f t="shared" si="26"/>
        <v>0</v>
      </c>
      <c r="U211" s="1394">
        <f>IFERROR(VLOOKUP(M211,#REF!,5,0),0)</f>
        <v>0</v>
      </c>
      <c r="V211" s="1394">
        <f t="shared" si="27"/>
        <v>0</v>
      </c>
      <c r="W211" s="1394"/>
    </row>
    <row r="212" spans="1:24" ht="30" customHeight="1">
      <c r="B212" s="1407"/>
      <c r="C212" s="1442" t="str">
        <f>'det -detail'!B154</f>
        <v>Part-3</v>
      </c>
      <c r="D212" s="1443">
        <f>'det -detail'!E154</f>
        <v>1</v>
      </c>
      <c r="E212" s="1443">
        <f>'det -detail'!F154</f>
        <v>1</v>
      </c>
      <c r="F212" s="1444">
        <f>'det -detail'!G154</f>
        <v>2.5249999999999999</v>
      </c>
      <c r="G212" s="1444">
        <f>'det -detail'!H154</f>
        <v>2.77</v>
      </c>
      <c r="H212" s="1445">
        <f>'det -detail'!I154</f>
        <v>0.44999999999999996</v>
      </c>
      <c r="I212" s="1406">
        <f t="shared" si="28"/>
        <v>3.1474124999999997</v>
      </c>
      <c r="Q212" s="1394">
        <f>IFERROR(VLOOKUP(M212,#REF!,3,0),0)</f>
        <v>0</v>
      </c>
      <c r="R212" s="1394">
        <f t="shared" si="25"/>
        <v>0</v>
      </c>
      <c r="S212" s="1394">
        <f>IFERROR(VLOOKUP(M212,#REF!,6,0),0)</f>
        <v>0</v>
      </c>
      <c r="T212" s="1394">
        <f t="shared" si="26"/>
        <v>0</v>
      </c>
      <c r="U212" s="1394">
        <f>IFERROR(VLOOKUP(M212,#REF!,5,0),0)</f>
        <v>0</v>
      </c>
      <c r="V212" s="1394">
        <f t="shared" si="27"/>
        <v>0</v>
      </c>
      <c r="W212" s="1394"/>
    </row>
    <row r="213" spans="1:24" ht="30" customHeight="1">
      <c r="B213" s="1407"/>
      <c r="C213" s="1442" t="str">
        <f>'det -detail'!B155</f>
        <v>Part-4</v>
      </c>
      <c r="D213" s="1443">
        <f>'det -detail'!E155</f>
        <v>1</v>
      </c>
      <c r="E213" s="1443">
        <f>'det -detail'!F155</f>
        <v>1</v>
      </c>
      <c r="F213" s="1444">
        <f>'det -detail'!G155</f>
        <v>3</v>
      </c>
      <c r="G213" s="1444">
        <f>'det -detail'!H155</f>
        <v>5.3</v>
      </c>
      <c r="H213" s="1445">
        <f>'det -detail'!I155</f>
        <v>0.44999999999999996</v>
      </c>
      <c r="I213" s="1406">
        <f t="shared" si="28"/>
        <v>7.1549999999999985</v>
      </c>
      <c r="Q213" s="1394">
        <f>IFERROR(VLOOKUP(M213,#REF!,3,0),0)</f>
        <v>0</v>
      </c>
      <c r="R213" s="1394">
        <f t="shared" si="25"/>
        <v>0</v>
      </c>
      <c r="S213" s="1394">
        <f>IFERROR(VLOOKUP(M213,#REF!,6,0),0)</f>
        <v>0</v>
      </c>
      <c r="T213" s="1394">
        <f t="shared" si="26"/>
        <v>0</v>
      </c>
      <c r="U213" s="1394">
        <f>IFERROR(VLOOKUP(M213,#REF!,5,0),0)</f>
        <v>0</v>
      </c>
      <c r="V213" s="1394">
        <f t="shared" si="27"/>
        <v>0</v>
      </c>
      <c r="W213" s="1394"/>
    </row>
    <row r="214" spans="1:24" ht="30" customHeight="1">
      <c r="B214" s="1407"/>
      <c r="C214" s="1442" t="str">
        <f>'det -detail'!B156</f>
        <v>Part-5</v>
      </c>
      <c r="D214" s="1443">
        <f>'det -detail'!E156</f>
        <v>1</v>
      </c>
      <c r="E214" s="1443">
        <f>'det -detail'!F156</f>
        <v>1</v>
      </c>
      <c r="F214" s="1444">
        <f>'det -detail'!G156</f>
        <v>4</v>
      </c>
      <c r="G214" s="1444">
        <f>'det -detail'!H156</f>
        <v>5.0999999999999996</v>
      </c>
      <c r="H214" s="1445">
        <f>'det -detail'!I156</f>
        <v>0.44999999999999996</v>
      </c>
      <c r="I214" s="1406">
        <f t="shared" si="28"/>
        <v>9.1799999999999979</v>
      </c>
      <c r="Q214" s="1394">
        <f>IFERROR(VLOOKUP(M214,#REF!,3,0),0)</f>
        <v>0</v>
      </c>
      <c r="R214" s="1394">
        <f t="shared" si="25"/>
        <v>0</v>
      </c>
      <c r="S214" s="1394">
        <f>IFERROR(VLOOKUP(M214,#REF!,6,0),0)</f>
        <v>0</v>
      </c>
      <c r="T214" s="1394">
        <f t="shared" si="26"/>
        <v>0</v>
      </c>
      <c r="U214" s="1394">
        <f>IFERROR(VLOOKUP(M214,#REF!,5,0),0)</f>
        <v>0</v>
      </c>
      <c r="V214" s="1394">
        <f t="shared" si="27"/>
        <v>0</v>
      </c>
      <c r="W214" s="1394"/>
    </row>
    <row r="215" spans="1:24" ht="30" customHeight="1">
      <c r="B215" s="1407"/>
      <c r="C215" s="1442" t="str">
        <f>'det -detail'!B157</f>
        <v>Part-6</v>
      </c>
      <c r="D215" s="1443">
        <f>'det -detail'!E157</f>
        <v>1</v>
      </c>
      <c r="E215" s="1443">
        <f>'det -detail'!F157</f>
        <v>1</v>
      </c>
      <c r="F215" s="1444">
        <f>'det -detail'!G157</f>
        <v>4</v>
      </c>
      <c r="G215" s="1444">
        <f>'det -detail'!H157</f>
        <v>3.23</v>
      </c>
      <c r="H215" s="1445">
        <f>'det -detail'!I157</f>
        <v>0.44999999999999996</v>
      </c>
      <c r="I215" s="1406">
        <f t="shared" si="28"/>
        <v>5.8139999999999992</v>
      </c>
      <c r="Q215" s="1394">
        <f>IFERROR(VLOOKUP(M215,#REF!,3,0),0)</f>
        <v>0</v>
      </c>
      <c r="R215" s="1394">
        <f t="shared" si="25"/>
        <v>0</v>
      </c>
      <c r="S215" s="1394">
        <f>IFERROR(VLOOKUP(M215,#REF!,6,0),0)</f>
        <v>0</v>
      </c>
      <c r="T215" s="1394">
        <f t="shared" si="26"/>
        <v>0</v>
      </c>
      <c r="U215" s="1394">
        <f>IFERROR(VLOOKUP(M215,#REF!,5,0),0)</f>
        <v>0</v>
      </c>
      <c r="V215" s="1394">
        <f t="shared" si="27"/>
        <v>0</v>
      </c>
      <c r="W215" s="1394"/>
    </row>
    <row r="216" spans="1:24" ht="30" customHeight="1">
      <c r="B216" s="1407"/>
      <c r="C216" s="1442" t="str">
        <f>'det -detail'!B158</f>
        <v>Part-7</v>
      </c>
      <c r="D216" s="1443">
        <f>'det -detail'!E158</f>
        <v>1</v>
      </c>
      <c r="E216" s="1443">
        <f>'det -detail'!F158</f>
        <v>1</v>
      </c>
      <c r="F216" s="1444">
        <f>'det -detail'!G158</f>
        <v>2.895</v>
      </c>
      <c r="G216" s="1444">
        <f>'det -detail'!H158</f>
        <v>3.5649999999999999</v>
      </c>
      <c r="H216" s="1445">
        <f>'det -detail'!I158</f>
        <v>0.44999999999999996</v>
      </c>
      <c r="I216" s="1406">
        <f t="shared" si="28"/>
        <v>4.6443037499999997</v>
      </c>
      <c r="Q216" s="1394">
        <f>IFERROR(VLOOKUP(M216,#REF!,3,0),0)</f>
        <v>0</v>
      </c>
      <c r="R216" s="1394">
        <f t="shared" si="25"/>
        <v>0</v>
      </c>
      <c r="S216" s="1394">
        <f>IFERROR(VLOOKUP(M216,#REF!,6,0),0)</f>
        <v>0</v>
      </c>
      <c r="T216" s="1394">
        <f t="shared" si="26"/>
        <v>0</v>
      </c>
      <c r="U216" s="1394">
        <f>IFERROR(VLOOKUP(M216,#REF!,5,0),0)</f>
        <v>0</v>
      </c>
      <c r="V216" s="1394">
        <f t="shared" si="27"/>
        <v>0</v>
      </c>
      <c r="W216" s="1394"/>
    </row>
    <row r="217" spans="1:24" ht="30" customHeight="1">
      <c r="B217" s="1407"/>
      <c r="C217" s="1442" t="str">
        <f>'det -detail'!B159</f>
        <v>Part-8</v>
      </c>
      <c r="D217" s="1443">
        <f>'det -detail'!E159</f>
        <v>1</v>
      </c>
      <c r="E217" s="1443">
        <f>'det -detail'!F159</f>
        <v>1</v>
      </c>
      <c r="F217" s="1444">
        <f>'det -detail'!G159</f>
        <v>6.76</v>
      </c>
      <c r="G217" s="1444">
        <f>'det -detail'!H159</f>
        <v>5.76</v>
      </c>
      <c r="H217" s="1445">
        <f>'det -detail'!I159</f>
        <v>0.44999999999999996</v>
      </c>
      <c r="I217" s="1406">
        <f t="shared" si="28"/>
        <v>17.521919999999998</v>
      </c>
      <c r="Q217" s="1394">
        <f>IFERROR(VLOOKUP(M217,#REF!,3,0),0)</f>
        <v>0</v>
      </c>
      <c r="R217" s="1394">
        <f t="shared" si="25"/>
        <v>0</v>
      </c>
      <c r="S217" s="1394">
        <f>IFERROR(VLOOKUP(M217,#REF!,6,0),0)</f>
        <v>0</v>
      </c>
      <c r="T217" s="1394">
        <f t="shared" si="26"/>
        <v>0</v>
      </c>
      <c r="U217" s="1394">
        <f>IFERROR(VLOOKUP(M217,#REF!,5,0),0)</f>
        <v>0</v>
      </c>
      <c r="V217" s="1394">
        <f t="shared" si="27"/>
        <v>0</v>
      </c>
      <c r="W217" s="1394"/>
    </row>
    <row r="218" spans="1:24" ht="30" customHeight="1">
      <c r="B218" s="1407"/>
      <c r="C218" s="1442" t="str">
        <f>'det -detail'!B160</f>
        <v>Part-9</v>
      </c>
      <c r="D218" s="1443">
        <f>'det -detail'!E160</f>
        <v>1</v>
      </c>
      <c r="E218" s="1443">
        <f>'det -detail'!F160</f>
        <v>1</v>
      </c>
      <c r="F218" s="1444">
        <f>'det -detail'!G160</f>
        <v>4</v>
      </c>
      <c r="G218" s="1444">
        <f>'det -detail'!H160</f>
        <v>3.23</v>
      </c>
      <c r="H218" s="1445">
        <f>'det -detail'!I160</f>
        <v>0.44999999999999996</v>
      </c>
      <c r="I218" s="1406">
        <f t="shared" si="28"/>
        <v>5.8139999999999992</v>
      </c>
      <c r="Q218" s="1394">
        <f>IFERROR(VLOOKUP(M218,#REF!,3,0),0)</f>
        <v>0</v>
      </c>
      <c r="R218" s="1394">
        <f t="shared" si="25"/>
        <v>0</v>
      </c>
      <c r="S218" s="1394">
        <f>IFERROR(VLOOKUP(M218,#REF!,6,0),0)</f>
        <v>0</v>
      </c>
      <c r="T218" s="1394">
        <f t="shared" si="26"/>
        <v>0</v>
      </c>
      <c r="U218" s="1394">
        <f>IFERROR(VLOOKUP(M218,#REF!,5,0),0)</f>
        <v>0</v>
      </c>
      <c r="V218" s="1394">
        <f t="shared" si="27"/>
        <v>0</v>
      </c>
      <c r="W218" s="1394"/>
    </row>
    <row r="219" spans="1:24" ht="30" customHeight="1">
      <c r="B219" s="1407"/>
      <c r="C219" s="1442" t="str">
        <f>'det -detail'!B161</f>
        <v>Part-10</v>
      </c>
      <c r="D219" s="1443">
        <f>'det -detail'!E161</f>
        <v>1</v>
      </c>
      <c r="E219" s="1443">
        <f>'det -detail'!F161</f>
        <v>1</v>
      </c>
      <c r="F219" s="1444">
        <f>'det -detail'!G161</f>
        <v>4</v>
      </c>
      <c r="G219" s="1444">
        <f>'det -detail'!H161</f>
        <v>2.5</v>
      </c>
      <c r="H219" s="1445">
        <f>'det -detail'!I161</f>
        <v>0.44999999999999996</v>
      </c>
      <c r="I219" s="1406">
        <f t="shared" si="28"/>
        <v>4.5</v>
      </c>
      <c r="Q219" s="1394">
        <f>IFERROR(VLOOKUP(M219,#REF!,3,0),0)</f>
        <v>0</v>
      </c>
      <c r="R219" s="1394">
        <f t="shared" si="25"/>
        <v>0</v>
      </c>
      <c r="S219" s="1394">
        <f>IFERROR(VLOOKUP(M219,#REF!,6,0),0)</f>
        <v>0</v>
      </c>
      <c r="T219" s="1394">
        <f t="shared" si="26"/>
        <v>0</v>
      </c>
      <c r="U219" s="1394">
        <f>IFERROR(VLOOKUP(M219,#REF!,5,0),0)</f>
        <v>0</v>
      </c>
      <c r="V219" s="1394">
        <f t="shared" si="27"/>
        <v>0</v>
      </c>
      <c r="W219" s="1394"/>
    </row>
    <row r="220" spans="1:24" ht="30" customHeight="1">
      <c r="B220" s="1407"/>
      <c r="C220" s="1442" t="str">
        <f>'det -detail'!B162</f>
        <v>Part-11</v>
      </c>
      <c r="D220" s="1443">
        <f>'det -detail'!E162</f>
        <v>1</v>
      </c>
      <c r="E220" s="1443">
        <f>'det -detail'!F162</f>
        <v>1</v>
      </c>
      <c r="F220" s="1444">
        <f>'det -detail'!G162</f>
        <v>2.895</v>
      </c>
      <c r="G220" s="1444">
        <f>'det -detail'!H162</f>
        <v>1.9650000000000001</v>
      </c>
      <c r="H220" s="1445">
        <f>'det -detail'!I162</f>
        <v>0.44999999999999996</v>
      </c>
      <c r="I220" s="1406">
        <f t="shared" si="28"/>
        <v>2.5599037499999997</v>
      </c>
      <c r="Q220" s="1394">
        <f>IFERROR(VLOOKUP(M220,#REF!,3,0),0)</f>
        <v>0</v>
      </c>
      <c r="R220" s="1394">
        <f t="shared" si="25"/>
        <v>0</v>
      </c>
      <c r="S220" s="1394">
        <f>IFERROR(VLOOKUP(M220,#REF!,6,0),0)</f>
        <v>0</v>
      </c>
      <c r="T220" s="1394">
        <f t="shared" si="26"/>
        <v>0</v>
      </c>
      <c r="U220" s="1394">
        <f>IFERROR(VLOOKUP(M220,#REF!,5,0),0)</f>
        <v>0</v>
      </c>
      <c r="V220" s="1394">
        <f t="shared" si="27"/>
        <v>0</v>
      </c>
      <c r="W220" s="1394"/>
    </row>
    <row r="221" spans="1:24" ht="30" customHeight="1">
      <c r="B221" s="1407"/>
      <c r="C221" s="1442" t="str">
        <f>'det -detail'!B163</f>
        <v>Part-12</v>
      </c>
      <c r="D221" s="1443">
        <f>'det -detail'!E163</f>
        <v>1</v>
      </c>
      <c r="E221" s="1443">
        <f>'det -detail'!F163</f>
        <v>1</v>
      </c>
      <c r="F221" s="1444">
        <f>'det -detail'!G163</f>
        <v>4</v>
      </c>
      <c r="G221" s="1444">
        <f>'det -detail'!H163</f>
        <v>2.5</v>
      </c>
      <c r="H221" s="1445">
        <f>'det -detail'!I163</f>
        <v>0.44999999999999996</v>
      </c>
      <c r="I221" s="1406">
        <f t="shared" si="28"/>
        <v>4.5</v>
      </c>
      <c r="Q221" s="1394">
        <f>IFERROR(VLOOKUP(M221,#REF!,3,0),0)</f>
        <v>0</v>
      </c>
      <c r="R221" s="1394">
        <f t="shared" si="25"/>
        <v>0</v>
      </c>
      <c r="S221" s="1394">
        <f>IFERROR(VLOOKUP(M221,#REF!,6,0),0)</f>
        <v>0</v>
      </c>
      <c r="T221" s="1394">
        <f t="shared" si="26"/>
        <v>0</v>
      </c>
      <c r="U221" s="1394">
        <f>IFERROR(VLOOKUP(M221,#REF!,5,0),0)</f>
        <v>0</v>
      </c>
      <c r="V221" s="1394">
        <f t="shared" si="27"/>
        <v>0</v>
      </c>
      <c r="W221" s="1394"/>
    </row>
    <row r="222" spans="1:24" ht="30" customHeight="1">
      <c r="B222" s="1407"/>
      <c r="C222" s="1442" t="str">
        <f>'det -detail'!B164</f>
        <v>Part-13</v>
      </c>
      <c r="D222" s="1443">
        <f>'det -detail'!E164</f>
        <v>1</v>
      </c>
      <c r="E222" s="1443">
        <f>'det -detail'!F164</f>
        <v>1</v>
      </c>
      <c r="F222" s="1444">
        <f>'det -detail'!G164</f>
        <v>4</v>
      </c>
      <c r="G222" s="1444">
        <f>'det -detail'!H164</f>
        <v>3.9</v>
      </c>
      <c r="H222" s="1445">
        <f>'det -detail'!I164</f>
        <v>0.44999999999999996</v>
      </c>
      <c r="I222" s="1406">
        <f t="shared" si="28"/>
        <v>7.02</v>
      </c>
      <c r="Q222" s="1394">
        <f>IFERROR(VLOOKUP(M222,#REF!,3,0),0)</f>
        <v>0</v>
      </c>
      <c r="R222" s="1394">
        <f t="shared" si="25"/>
        <v>0</v>
      </c>
      <c r="S222" s="1394">
        <f>IFERROR(VLOOKUP(M222,#REF!,6,0),0)</f>
        <v>0</v>
      </c>
      <c r="T222" s="1394">
        <f t="shared" si="26"/>
        <v>0</v>
      </c>
      <c r="U222" s="1394">
        <f>IFERROR(VLOOKUP(M222,#REF!,5,0),0)</f>
        <v>0</v>
      </c>
      <c r="V222" s="1394">
        <f t="shared" si="27"/>
        <v>0</v>
      </c>
      <c r="W222" s="1394"/>
    </row>
    <row r="223" spans="1:24" ht="30" customHeight="1">
      <c r="B223" s="1407"/>
      <c r="C223" s="1442" t="str">
        <f>'det -detail'!B165</f>
        <v>Part-14</v>
      </c>
      <c r="D223" s="1443">
        <f>'det -detail'!E165</f>
        <v>1</v>
      </c>
      <c r="E223" s="1443">
        <f>'det -detail'!F165</f>
        <v>1</v>
      </c>
      <c r="F223" s="1444">
        <f>'det -detail'!G165</f>
        <v>5.4249999999999998</v>
      </c>
      <c r="G223" s="1444">
        <f>'det -detail'!H165</f>
        <v>3.9</v>
      </c>
      <c r="H223" s="1445">
        <f>'det -detail'!I165</f>
        <v>0.44999999999999996</v>
      </c>
      <c r="I223" s="1406">
        <f t="shared" si="28"/>
        <v>9.5208749999999984</v>
      </c>
      <c r="Q223" s="1394">
        <f>IFERROR(VLOOKUP(M223,#REF!,3,0),0)</f>
        <v>0</v>
      </c>
      <c r="R223" s="1394">
        <f t="shared" si="25"/>
        <v>0</v>
      </c>
      <c r="S223" s="1394">
        <f>IFERROR(VLOOKUP(M223,#REF!,6,0),0)</f>
        <v>0</v>
      </c>
      <c r="T223" s="1394">
        <f t="shared" si="26"/>
        <v>0</v>
      </c>
      <c r="U223" s="1394">
        <f>IFERROR(VLOOKUP(M223,#REF!,5,0),0)</f>
        <v>0</v>
      </c>
      <c r="V223" s="1394">
        <f t="shared" si="27"/>
        <v>0</v>
      </c>
      <c r="W223" s="1394"/>
    </row>
    <row r="224" spans="1:24" ht="30" customHeight="1">
      <c r="B224" s="1407"/>
      <c r="C224" s="1442" t="str">
        <f>'det -detail'!B166</f>
        <v>Part-15</v>
      </c>
      <c r="D224" s="1443">
        <f>'det -detail'!E166</f>
        <v>1</v>
      </c>
      <c r="E224" s="1443">
        <f>'det -detail'!F166</f>
        <v>1</v>
      </c>
      <c r="F224" s="1444">
        <f>'det -detail'!G166</f>
        <v>4.4649999999999999</v>
      </c>
      <c r="G224" s="1444">
        <f>'det -detail'!H166</f>
        <v>3.9</v>
      </c>
      <c r="H224" s="1445">
        <f>'det -detail'!I166</f>
        <v>0.44999999999999996</v>
      </c>
      <c r="I224" s="1406">
        <f t="shared" si="28"/>
        <v>7.8360749999999992</v>
      </c>
      <c r="Q224" s="1394">
        <f>IFERROR(VLOOKUP(M224,#REF!,3,0),0)</f>
        <v>0</v>
      </c>
      <c r="R224" s="1394">
        <f t="shared" si="25"/>
        <v>0</v>
      </c>
      <c r="S224" s="1394">
        <f>IFERROR(VLOOKUP(M224,#REF!,6,0),0)</f>
        <v>0</v>
      </c>
      <c r="T224" s="1394">
        <f t="shared" si="26"/>
        <v>0</v>
      </c>
      <c r="U224" s="1394">
        <f>IFERROR(VLOOKUP(M224,#REF!,5,0),0)</f>
        <v>0</v>
      </c>
      <c r="V224" s="1394">
        <f t="shared" si="27"/>
        <v>0</v>
      </c>
      <c r="W224" s="1394"/>
    </row>
    <row r="225" spans="1:24" ht="30" customHeight="1">
      <c r="B225" s="1407"/>
      <c r="C225" s="1442" t="str">
        <f>'det -detail'!B167</f>
        <v>Part-16</v>
      </c>
      <c r="D225" s="1443">
        <f>'det -detail'!E167</f>
        <v>1</v>
      </c>
      <c r="E225" s="1443">
        <f>'det -detail'!F167</f>
        <v>1</v>
      </c>
      <c r="F225" s="1444">
        <f>'det -detail'!G167</f>
        <v>3.7650000000000001</v>
      </c>
      <c r="G225" s="1444">
        <f>'det -detail'!H167</f>
        <v>3.9</v>
      </c>
      <c r="H225" s="1445">
        <f>'det -detail'!I167</f>
        <v>0.44999999999999996</v>
      </c>
      <c r="I225" s="1406">
        <f t="shared" si="28"/>
        <v>6.6075749999999998</v>
      </c>
      <c r="Q225" s="1394">
        <f>IFERROR(VLOOKUP(M225,#REF!,3,0),0)</f>
        <v>0</v>
      </c>
      <c r="R225" s="1394">
        <f t="shared" si="25"/>
        <v>0</v>
      </c>
      <c r="S225" s="1394">
        <f>IFERROR(VLOOKUP(M225,#REF!,6,0),0)</f>
        <v>0</v>
      </c>
      <c r="T225" s="1394">
        <f t="shared" si="26"/>
        <v>0</v>
      </c>
      <c r="U225" s="1394">
        <f>IFERROR(VLOOKUP(M225,#REF!,5,0),0)</f>
        <v>0</v>
      </c>
      <c r="V225" s="1394">
        <f t="shared" si="27"/>
        <v>0</v>
      </c>
      <c r="W225" s="1394"/>
    </row>
    <row r="226" spans="1:24" ht="30" customHeight="1">
      <c r="B226" s="1407"/>
      <c r="C226" s="1442" t="str">
        <f>'det -detail'!B168</f>
        <v>Part-17</v>
      </c>
      <c r="D226" s="1443">
        <f>'det -detail'!E168</f>
        <v>1</v>
      </c>
      <c r="E226" s="1443">
        <f>'det -detail'!F168</f>
        <v>1</v>
      </c>
      <c r="F226" s="1444">
        <f>'det -detail'!G168</f>
        <v>4.3250000000000002</v>
      </c>
      <c r="G226" s="1444">
        <f>'det -detail'!H168</f>
        <v>2.2999999999999998</v>
      </c>
      <c r="H226" s="1445">
        <f>'det -detail'!I168</f>
        <v>0.44999999999999996</v>
      </c>
      <c r="I226" s="1406">
        <f t="shared" si="28"/>
        <v>4.4763749999999991</v>
      </c>
      <c r="Q226" s="1394">
        <f>IFERROR(VLOOKUP(M226,#REF!,3,0),0)</f>
        <v>0</v>
      </c>
      <c r="R226" s="1394">
        <f t="shared" si="25"/>
        <v>0</v>
      </c>
      <c r="S226" s="1394">
        <f>IFERROR(VLOOKUP(M226,#REF!,6,0),0)</f>
        <v>0</v>
      </c>
      <c r="T226" s="1394">
        <f t="shared" si="26"/>
        <v>0</v>
      </c>
      <c r="U226" s="1394">
        <f>IFERROR(VLOOKUP(M226,#REF!,5,0),0)</f>
        <v>0</v>
      </c>
      <c r="V226" s="1394">
        <f t="shared" si="27"/>
        <v>0</v>
      </c>
      <c r="W226" s="1394"/>
    </row>
    <row r="227" spans="1:24" ht="30" customHeight="1">
      <c r="B227" s="1407"/>
      <c r="C227" s="1442" t="str">
        <f>'det -detail'!B169</f>
        <v>Part-18</v>
      </c>
      <c r="D227" s="1443">
        <f>'det -detail'!E169</f>
        <v>1</v>
      </c>
      <c r="E227" s="1443">
        <f>'det -detail'!F169</f>
        <v>1</v>
      </c>
      <c r="F227" s="1444">
        <f>'det -detail'!G169</f>
        <v>3.4249999999999998</v>
      </c>
      <c r="G227" s="1444">
        <f>'det -detail'!H169</f>
        <v>0.745</v>
      </c>
      <c r="H227" s="1445">
        <f>'det -detail'!I169</f>
        <v>0.44999999999999996</v>
      </c>
      <c r="I227" s="1406">
        <f t="shared" si="28"/>
        <v>1.1482312499999998</v>
      </c>
      <c r="Q227" s="1394">
        <f>IFERROR(VLOOKUP(M227,#REF!,3,0),0)</f>
        <v>0</v>
      </c>
      <c r="R227" s="1394">
        <f t="shared" si="25"/>
        <v>0</v>
      </c>
      <c r="S227" s="1394">
        <f>IFERROR(VLOOKUP(M227,#REF!,6,0),0)</f>
        <v>0</v>
      </c>
      <c r="T227" s="1394">
        <f t="shared" si="26"/>
        <v>0</v>
      </c>
      <c r="U227" s="1394">
        <f>IFERROR(VLOOKUP(M227,#REF!,5,0),0)</f>
        <v>0</v>
      </c>
      <c r="V227" s="1394">
        <f t="shared" si="27"/>
        <v>0</v>
      </c>
      <c r="W227" s="1394"/>
    </row>
    <row r="228" spans="1:24" ht="30" customHeight="1">
      <c r="B228" s="1407"/>
      <c r="C228" s="1442" t="str">
        <f>'det -detail'!B170</f>
        <v>Part-19</v>
      </c>
      <c r="D228" s="1443">
        <f>'det -detail'!E170</f>
        <v>1</v>
      </c>
      <c r="E228" s="1443">
        <f>'det -detail'!F170</f>
        <v>1</v>
      </c>
      <c r="F228" s="1444">
        <f>'det -detail'!G170</f>
        <v>3.4249999999999998</v>
      </c>
      <c r="G228" s="1444">
        <f>'det -detail'!H170</f>
        <v>3.6</v>
      </c>
      <c r="H228" s="1445">
        <f>'det -detail'!I170</f>
        <v>0.44999999999999996</v>
      </c>
      <c r="I228" s="1406">
        <f t="shared" si="28"/>
        <v>5.5484999999999998</v>
      </c>
      <c r="Q228" s="1394">
        <f>IFERROR(VLOOKUP(M228,#REF!,3,0),0)</f>
        <v>0</v>
      </c>
      <c r="R228" s="1394">
        <f t="shared" si="25"/>
        <v>0</v>
      </c>
      <c r="S228" s="1394">
        <f>IFERROR(VLOOKUP(M228,#REF!,6,0),0)</f>
        <v>0</v>
      </c>
      <c r="T228" s="1394">
        <f t="shared" si="26"/>
        <v>0</v>
      </c>
      <c r="U228" s="1394">
        <f>IFERROR(VLOOKUP(M228,#REF!,5,0),0)</f>
        <v>0</v>
      </c>
      <c r="V228" s="1394">
        <f t="shared" si="27"/>
        <v>0</v>
      </c>
      <c r="W228" s="1394"/>
    </row>
    <row r="229" spans="1:24" ht="30" customHeight="1">
      <c r="B229" s="1407"/>
      <c r="C229" s="1446" t="s">
        <v>279</v>
      </c>
      <c r="D229" s="1447"/>
      <c r="E229" s="1447"/>
      <c r="F229" s="1448"/>
      <c r="G229" s="1448"/>
      <c r="H229" s="1449"/>
      <c r="I229" s="1406">
        <f>-I207</f>
        <v>-64</v>
      </c>
      <c r="Q229" s="1394">
        <f>IFERROR(VLOOKUP(M229,#REF!,3,0),0)</f>
        <v>0</v>
      </c>
      <c r="R229" s="1394">
        <f t="shared" si="25"/>
        <v>0</v>
      </c>
      <c r="S229" s="1394">
        <f>IFERROR(VLOOKUP(M229,#REF!,6,0),0)</f>
        <v>0</v>
      </c>
      <c r="T229" s="1394">
        <f t="shared" si="26"/>
        <v>0</v>
      </c>
      <c r="U229" s="1394">
        <f>IFERROR(VLOOKUP(M229,#REF!,5,0),0)</f>
        <v>0</v>
      </c>
      <c r="V229" s="1394">
        <f t="shared" si="27"/>
        <v>0</v>
      </c>
      <c r="W229" s="1394"/>
    </row>
    <row r="230" spans="1:24" s="1394" customFormat="1" ht="30" customHeight="1">
      <c r="B230" s="1421"/>
      <c r="C230" s="1422" t="s">
        <v>270</v>
      </c>
      <c r="D230" s="1389"/>
      <c r="E230" s="1389"/>
      <c r="F230" s="1423"/>
      <c r="G230" s="1423"/>
      <c r="H230" s="1424"/>
      <c r="I230" s="1425">
        <f>J231-J230</f>
        <v>6.4478750000027674E-2</v>
      </c>
      <c r="J230" s="1394">
        <f>SUM(I210:I229)</f>
        <v>57.035521249999974</v>
      </c>
      <c r="M230" s="1426"/>
      <c r="Q230" s="1394">
        <f>IFERROR(VLOOKUP(M230,#REF!,3,0),0)</f>
        <v>0</v>
      </c>
      <c r="R230" s="1394">
        <f t="shared" si="25"/>
        <v>0</v>
      </c>
      <c r="S230" s="1394">
        <f>IFERROR(VLOOKUP(M230,#REF!,6,0),0)</f>
        <v>0</v>
      </c>
      <c r="T230" s="1394">
        <f t="shared" si="26"/>
        <v>0</v>
      </c>
      <c r="U230" s="1394">
        <f>IFERROR(VLOOKUP(M230,#REF!,5,0),0)</f>
        <v>0</v>
      </c>
      <c r="V230" s="1394">
        <f t="shared" si="27"/>
        <v>0</v>
      </c>
    </row>
    <row r="231" spans="1:24" s="1394" customFormat="1" ht="30" customHeight="1">
      <c r="A231" s="1450"/>
      <c r="B231" s="1421"/>
      <c r="C231" s="1422"/>
      <c r="D231" s="1389"/>
      <c r="E231" s="1389"/>
      <c r="F231" s="1423"/>
      <c r="G231" s="1423"/>
      <c r="H231" s="1424"/>
      <c r="I231" s="1427">
        <f>+J231</f>
        <v>57.1</v>
      </c>
      <c r="J231" s="1394">
        <f>ROUNDUP(J230,1)</f>
        <v>57.1</v>
      </c>
      <c r="L231" s="1450">
        <f>H208/H232</f>
        <v>1.1208406304728546</v>
      </c>
      <c r="M231" s="1426"/>
      <c r="Q231" s="1394">
        <f>IFERROR(VLOOKUP(M231,#REF!,3,0),0)</f>
        <v>0</v>
      </c>
      <c r="R231" s="1394">
        <f t="shared" si="25"/>
        <v>0</v>
      </c>
      <c r="S231" s="1394">
        <f>IFERROR(VLOOKUP(M231,#REF!,6,0),0)</f>
        <v>0</v>
      </c>
      <c r="T231" s="1394">
        <f t="shared" si="26"/>
        <v>0</v>
      </c>
      <c r="U231" s="1394">
        <f>IFERROR(VLOOKUP(M231,#REF!,5,0),0)</f>
        <v>0</v>
      </c>
      <c r="V231" s="1394">
        <f t="shared" si="27"/>
        <v>0</v>
      </c>
    </row>
    <row r="232" spans="1:24" s="1394" customFormat="1" ht="30" customHeight="1">
      <c r="B232" s="1421"/>
      <c r="C232" s="1422"/>
      <c r="D232" s="1389"/>
      <c r="E232" s="1389"/>
      <c r="F232" s="1423"/>
      <c r="G232" s="1428" t="s">
        <v>11</v>
      </c>
      <c r="H232" s="1429">
        <f>I231</f>
        <v>57.1</v>
      </c>
      <c r="I232" s="1427" t="s">
        <v>19</v>
      </c>
      <c r="M232" s="1426" t="str">
        <f>A209</f>
        <v xml:space="preserve">Supplying and filling with gravel </v>
      </c>
      <c r="N232" s="1394" t="str">
        <f>B209</f>
        <v>2.1.1</v>
      </c>
      <c r="O232" s="1394">
        <f>H232</f>
        <v>57.1</v>
      </c>
      <c r="P232" s="1394" t="str">
        <f>I232</f>
        <v>Cum</v>
      </c>
      <c r="Q232" s="1394">
        <f>IFERROR(VLOOKUP(M232,#REF!,3,0),0)</f>
        <v>0</v>
      </c>
      <c r="R232" s="1394">
        <f t="shared" si="25"/>
        <v>0</v>
      </c>
      <c r="S232" s="1394">
        <f>IFERROR(VLOOKUP(M232,#REF!,6,0),0)</f>
        <v>0</v>
      </c>
      <c r="T232" s="1394">
        <f t="shared" si="26"/>
        <v>0</v>
      </c>
      <c r="U232" s="1394">
        <f>IFERROR(VLOOKUP(M232,#REF!,5,0),0)</f>
        <v>0</v>
      </c>
      <c r="V232" s="1394">
        <f t="shared" si="27"/>
        <v>57.1</v>
      </c>
    </row>
    <row r="233" spans="1:24" ht="121.5" customHeight="1">
      <c r="A233" s="110" t="s">
        <v>56</v>
      </c>
      <c r="B233" s="1405">
        <v>3.1</v>
      </c>
      <c r="C233" s="1678" t="e">
        <f>VLOOKUP(A233,#REF!,2,0)</f>
        <v>#REF!</v>
      </c>
      <c r="D233" s="1678"/>
      <c r="E233" s="1678"/>
      <c r="F233" s="1678"/>
      <c r="G233" s="1678"/>
      <c r="H233" s="1678"/>
      <c r="I233" s="1406"/>
      <c r="Q233" s="1394">
        <f>IFERROR(VLOOKUP(M233,#REF!,3,0),0)</f>
        <v>0</v>
      </c>
      <c r="R233" s="1394">
        <f t="shared" si="25"/>
        <v>0</v>
      </c>
      <c r="S233" s="1394">
        <f>IFERROR(VLOOKUP(M233,#REF!,6,0),0)</f>
        <v>0</v>
      </c>
      <c r="T233" s="1394">
        <f t="shared" si="26"/>
        <v>0</v>
      </c>
      <c r="U233" s="1394">
        <f>IFERROR(VLOOKUP(M233,#REF!,5,0),0)</f>
        <v>0</v>
      </c>
      <c r="V233" s="1394">
        <f t="shared" si="27"/>
        <v>0</v>
      </c>
      <c r="W233" s="1394"/>
      <c r="X233" s="1397"/>
    </row>
    <row r="234" spans="1:24" ht="30" customHeight="1">
      <c r="B234" s="1407"/>
      <c r="C234" s="1415" t="s">
        <v>162</v>
      </c>
      <c r="D234" s="1409"/>
      <c r="E234" s="1409"/>
      <c r="F234" s="1410"/>
      <c r="G234" s="1410"/>
      <c r="H234" s="1411"/>
      <c r="I234" s="1406"/>
      <c r="Q234" s="1394">
        <f>IFERROR(VLOOKUP(M234,#REF!,3,0),0)</f>
        <v>0</v>
      </c>
      <c r="R234" s="1394">
        <f t="shared" si="25"/>
        <v>0</v>
      </c>
      <c r="S234" s="1394">
        <f>IFERROR(VLOOKUP(M234,#REF!,6,0),0)</f>
        <v>0</v>
      </c>
      <c r="T234" s="1394">
        <f t="shared" si="26"/>
        <v>0</v>
      </c>
      <c r="U234" s="1394">
        <f>IFERROR(VLOOKUP(M234,#REF!,5,0),0)</f>
        <v>0</v>
      </c>
      <c r="V234" s="1394">
        <f t="shared" si="27"/>
        <v>0</v>
      </c>
      <c r="W234" s="1394"/>
    </row>
    <row r="235" spans="1:24" ht="30" customHeight="1">
      <c r="B235" s="1407"/>
      <c r="C235" s="1408" t="str">
        <f>'det -detail'!B47&amp;'det -detail'!C47&amp;'det -detail'!D47</f>
        <v>For C1 F1 Footing</v>
      </c>
      <c r="D235" s="1409">
        <f>'det -detail'!E47</f>
        <v>1</v>
      </c>
      <c r="E235" s="1409">
        <f>'det -detail'!F47</f>
        <v>3</v>
      </c>
      <c r="F235" s="1410">
        <f>'det -detail'!G47</f>
        <v>1.6</v>
      </c>
      <c r="G235" s="1410">
        <f>'det -detail'!H47</f>
        <v>1.6</v>
      </c>
      <c r="H235" s="1411">
        <f>'det -detail'!D8</f>
        <v>0.1</v>
      </c>
      <c r="I235" s="1406">
        <f t="shared" ref="I235:I299" si="29">PRODUCT(D235:H235)</f>
        <v>0.76800000000000024</v>
      </c>
      <c r="Q235" s="1394">
        <f>IFERROR(VLOOKUP(M235,#REF!,3,0),0)</f>
        <v>0</v>
      </c>
      <c r="R235" s="1394">
        <f t="shared" si="25"/>
        <v>0</v>
      </c>
      <c r="S235" s="1394">
        <f>IFERROR(VLOOKUP(M235,#REF!,6,0),0)</f>
        <v>0</v>
      </c>
      <c r="T235" s="1394">
        <f t="shared" si="26"/>
        <v>0</v>
      </c>
      <c r="U235" s="1394">
        <f>IFERROR(VLOOKUP(M235,#REF!,5,0),0)</f>
        <v>0</v>
      </c>
      <c r="V235" s="1394">
        <f t="shared" si="27"/>
        <v>0</v>
      </c>
      <c r="W235" s="1394"/>
    </row>
    <row r="236" spans="1:24" ht="30" customHeight="1">
      <c r="B236" s="1407"/>
      <c r="C236" s="1408" t="str">
        <f>'det -detail'!B48&amp;'det -detail'!C48&amp;'det -detail'!D48</f>
        <v>For C2 F2 Footing</v>
      </c>
      <c r="D236" s="1409">
        <f>'det -detail'!E48</f>
        <v>1</v>
      </c>
      <c r="E236" s="1409">
        <f>'det -detail'!F48</f>
        <v>11</v>
      </c>
      <c r="F236" s="1410">
        <f>'det -detail'!G48</f>
        <v>2</v>
      </c>
      <c r="G236" s="1410">
        <f>'det -detail'!H48</f>
        <v>2</v>
      </c>
      <c r="H236" s="1411">
        <f>H235</f>
        <v>0.1</v>
      </c>
      <c r="I236" s="1406">
        <f t="shared" si="29"/>
        <v>4.4000000000000004</v>
      </c>
      <c r="Q236" s="1394">
        <f>IFERROR(VLOOKUP(M236,#REF!,3,0),0)</f>
        <v>0</v>
      </c>
      <c r="R236" s="1394">
        <f t="shared" si="25"/>
        <v>0</v>
      </c>
      <c r="S236" s="1394">
        <f>IFERROR(VLOOKUP(M236,#REF!,6,0),0)</f>
        <v>0</v>
      </c>
      <c r="T236" s="1394">
        <f t="shared" si="26"/>
        <v>0</v>
      </c>
      <c r="U236" s="1394">
        <f>IFERROR(VLOOKUP(M236,#REF!,5,0),0)</f>
        <v>0</v>
      </c>
      <c r="V236" s="1394">
        <f t="shared" si="27"/>
        <v>0</v>
      </c>
      <c r="W236" s="1394"/>
    </row>
    <row r="237" spans="1:24" ht="30" customHeight="1">
      <c r="B237" s="1407"/>
      <c r="C237" s="1408" t="str">
        <f>'det -detail'!B49&amp;'det -detail'!C49&amp;'det -detail'!D49</f>
        <v>For C3 F3 Footing</v>
      </c>
      <c r="D237" s="1409">
        <f>'det -detail'!E49</f>
        <v>1</v>
      </c>
      <c r="E237" s="1409">
        <f>'det -detail'!F49</f>
        <v>9</v>
      </c>
      <c r="F237" s="1410">
        <f>'det -detail'!G49</f>
        <v>2.2000000000000002</v>
      </c>
      <c r="G237" s="1410">
        <f>'det -detail'!H49</f>
        <v>2.2000000000000002</v>
      </c>
      <c r="H237" s="1411">
        <f>H236</f>
        <v>0.1</v>
      </c>
      <c r="I237" s="1406">
        <f t="shared" si="29"/>
        <v>4.3560000000000008</v>
      </c>
      <c r="Q237" s="1394">
        <f>IFERROR(VLOOKUP(M237,#REF!,3,0),0)</f>
        <v>0</v>
      </c>
      <c r="R237" s="1394">
        <f t="shared" si="25"/>
        <v>0</v>
      </c>
      <c r="S237" s="1394">
        <f>IFERROR(VLOOKUP(M237,#REF!,6,0),0)</f>
        <v>0</v>
      </c>
      <c r="T237" s="1394">
        <f t="shared" si="26"/>
        <v>0</v>
      </c>
      <c r="U237" s="1394">
        <f>IFERROR(VLOOKUP(M237,#REF!,5,0),0)</f>
        <v>0</v>
      </c>
      <c r="V237" s="1394">
        <f t="shared" si="27"/>
        <v>0</v>
      </c>
      <c r="W237" s="1394"/>
    </row>
    <row r="238" spans="1:24" ht="30" customHeight="1">
      <c r="B238" s="1407"/>
      <c r="C238" s="1408" t="str">
        <f>'det -detail'!B50&amp;'det -detail'!C50&amp;'det -detail'!D50</f>
        <v>For C4 F4 Footing</v>
      </c>
      <c r="D238" s="1409">
        <f>'det -detail'!E50</f>
        <v>1</v>
      </c>
      <c r="E238" s="1409">
        <f>'det -detail'!F50</f>
        <v>7</v>
      </c>
      <c r="F238" s="1410">
        <f>'det -detail'!G50</f>
        <v>2.5</v>
      </c>
      <c r="G238" s="1410">
        <f>'det -detail'!H50</f>
        <v>2.5</v>
      </c>
      <c r="H238" s="1411">
        <f>H237</f>
        <v>0.1</v>
      </c>
      <c r="I238" s="1406">
        <f t="shared" si="29"/>
        <v>4.375</v>
      </c>
      <c r="Q238" s="1394">
        <f>IFERROR(VLOOKUP(M238,#REF!,3,0),0)</f>
        <v>0</v>
      </c>
      <c r="R238" s="1394">
        <f t="shared" ref="R238:R301" si="30">ROUND(O238,2)*ROUND(Q238,2)</f>
        <v>0</v>
      </c>
      <c r="S238" s="1394">
        <f>IFERROR(VLOOKUP(M238,#REF!,6,0),0)</f>
        <v>0</v>
      </c>
      <c r="T238" s="1394">
        <f t="shared" ref="T238:T301" si="31">R238-S238</f>
        <v>0</v>
      </c>
      <c r="U238" s="1394">
        <f>IFERROR(VLOOKUP(M238,#REF!,5,0),0)</f>
        <v>0</v>
      </c>
      <c r="V238" s="1394">
        <f t="shared" ref="V238:V301" si="32">O238-U238</f>
        <v>0</v>
      </c>
      <c r="W238" s="1394"/>
    </row>
    <row r="239" spans="1:24" ht="30" customHeight="1">
      <c r="B239" s="1407"/>
      <c r="C239" s="1408" t="str">
        <f>'det -detail'!B51&amp;'det -detail'!C51&amp;'det -detail'!D51</f>
        <v>For C3,c1F4 Footing</v>
      </c>
      <c r="D239" s="1409">
        <f>'det -detail'!E51</f>
        <v>1</v>
      </c>
      <c r="E239" s="1409">
        <f>'det -detail'!F51</f>
        <v>1</v>
      </c>
      <c r="F239" s="1410">
        <f>'det -detail'!G51</f>
        <v>2.2000000000000002</v>
      </c>
      <c r="G239" s="1410">
        <f>'det -detail'!H51</f>
        <v>2.8</v>
      </c>
      <c r="H239" s="1411">
        <f>H238</f>
        <v>0.1</v>
      </c>
      <c r="I239" s="1406">
        <f t="shared" si="29"/>
        <v>0.6160000000000001</v>
      </c>
      <c r="Q239" s="1394">
        <f>IFERROR(VLOOKUP(M239,#REF!,3,0),0)</f>
        <v>0</v>
      </c>
      <c r="R239" s="1394">
        <f t="shared" si="30"/>
        <v>0</v>
      </c>
      <c r="S239" s="1394">
        <f>IFERROR(VLOOKUP(M239,#REF!,6,0),0)</f>
        <v>0</v>
      </c>
      <c r="T239" s="1394">
        <f t="shared" si="31"/>
        <v>0</v>
      </c>
      <c r="U239" s="1394">
        <f>IFERROR(VLOOKUP(M239,#REF!,5,0),0)</f>
        <v>0</v>
      </c>
      <c r="V239" s="1394">
        <f t="shared" si="32"/>
        <v>0</v>
      </c>
      <c r="W239" s="1394"/>
    </row>
    <row r="240" spans="1:24" ht="30" customHeight="1">
      <c r="B240" s="1407"/>
      <c r="C240" s="1408" t="str">
        <f>'det -detail'!B52&amp;'det -detail'!C52&amp;'det -detail'!D52</f>
        <v/>
      </c>
      <c r="D240" s="1409">
        <f>'det -detail'!E52</f>
        <v>0</v>
      </c>
      <c r="E240" s="1409">
        <f>'det -detail'!F52</f>
        <v>0</v>
      </c>
      <c r="F240" s="1410">
        <f>'det -detail'!G52</f>
        <v>0</v>
      </c>
      <c r="G240" s="1410">
        <f>'det -detail'!H52</f>
        <v>0</v>
      </c>
      <c r="H240" s="1411"/>
      <c r="I240" s="1406">
        <f t="shared" si="29"/>
        <v>0</v>
      </c>
      <c r="Q240" s="1394">
        <f>IFERROR(VLOOKUP(M240,#REF!,3,0),0)</f>
        <v>0</v>
      </c>
      <c r="R240" s="1394">
        <f t="shared" si="30"/>
        <v>0</v>
      </c>
      <c r="S240" s="1394">
        <f>IFERROR(VLOOKUP(M240,#REF!,6,0),0)</f>
        <v>0</v>
      </c>
      <c r="T240" s="1394">
        <f t="shared" si="31"/>
        <v>0</v>
      </c>
      <c r="U240" s="1394">
        <f>IFERROR(VLOOKUP(M240,#REF!,5,0),0)</f>
        <v>0</v>
      </c>
      <c r="V240" s="1394">
        <f t="shared" si="32"/>
        <v>0</v>
      </c>
      <c r="W240" s="1394"/>
    </row>
    <row r="241" spans="2:23" ht="30" customHeight="1">
      <c r="B241" s="1407"/>
      <c r="C241" s="1415" t="str">
        <f t="shared" ref="C241:H250" si="33">C106</f>
        <v>Tie beam at Below Ground Level @ 2.00 m</v>
      </c>
      <c r="D241" s="1409">
        <f t="shared" si="33"/>
        <v>0</v>
      </c>
      <c r="E241" s="1409">
        <f t="shared" si="33"/>
        <v>0</v>
      </c>
      <c r="F241" s="1410">
        <f t="shared" si="33"/>
        <v>0</v>
      </c>
      <c r="G241" s="1410">
        <f t="shared" si="33"/>
        <v>0</v>
      </c>
      <c r="H241" s="1411">
        <f t="shared" si="33"/>
        <v>0</v>
      </c>
      <c r="I241" s="1406">
        <f t="shared" si="29"/>
        <v>0</v>
      </c>
      <c r="Q241" s="1394">
        <f>IFERROR(VLOOKUP(M241,#REF!,3,0),0)</f>
        <v>0</v>
      </c>
      <c r="R241" s="1394">
        <f t="shared" si="30"/>
        <v>0</v>
      </c>
      <c r="S241" s="1394">
        <f>IFERROR(VLOOKUP(M241,#REF!,6,0),0)</f>
        <v>0</v>
      </c>
      <c r="T241" s="1394">
        <f t="shared" si="31"/>
        <v>0</v>
      </c>
      <c r="U241" s="1394">
        <f>IFERROR(VLOOKUP(M241,#REF!,5,0),0)</f>
        <v>0</v>
      </c>
      <c r="V241" s="1394">
        <f t="shared" si="32"/>
        <v>0</v>
      </c>
      <c r="W241" s="1394"/>
    </row>
    <row r="242" spans="2:23" ht="30" customHeight="1">
      <c r="B242" s="1407"/>
      <c r="C242" s="1415" t="str">
        <f t="shared" si="33"/>
        <v>-X- Direction</v>
      </c>
      <c r="D242" s="1409">
        <f t="shared" si="33"/>
        <v>0</v>
      </c>
      <c r="E242" s="1409">
        <f t="shared" si="33"/>
        <v>0</v>
      </c>
      <c r="F242" s="1410">
        <f t="shared" si="33"/>
        <v>0</v>
      </c>
      <c r="G242" s="1410">
        <f t="shared" si="33"/>
        <v>0</v>
      </c>
      <c r="H242" s="1411">
        <f t="shared" si="33"/>
        <v>0</v>
      </c>
      <c r="I242" s="1406">
        <f t="shared" si="29"/>
        <v>0</v>
      </c>
      <c r="Q242" s="1394">
        <f>IFERROR(VLOOKUP(M242,#REF!,3,0),0)</f>
        <v>0</v>
      </c>
      <c r="R242" s="1394">
        <f t="shared" si="30"/>
        <v>0</v>
      </c>
      <c r="S242" s="1394">
        <f>IFERROR(VLOOKUP(M242,#REF!,6,0),0)</f>
        <v>0</v>
      </c>
      <c r="T242" s="1394">
        <f t="shared" si="31"/>
        <v>0</v>
      </c>
      <c r="U242" s="1394">
        <f>IFERROR(VLOOKUP(M242,#REF!,5,0),0)</f>
        <v>0</v>
      </c>
      <c r="V242" s="1394">
        <f t="shared" si="32"/>
        <v>0</v>
      </c>
      <c r="W242" s="1394"/>
    </row>
    <row r="243" spans="2:23" ht="30" customHeight="1">
      <c r="B243" s="1407"/>
      <c r="C243" s="1408" t="str">
        <f t="shared" si="33"/>
        <v>A3 to B3, A5 to B5 , A6 to B6 and A6 to B6GB-2</v>
      </c>
      <c r="D243" s="1409">
        <f t="shared" si="33"/>
        <v>1</v>
      </c>
      <c r="E243" s="1409">
        <f t="shared" si="33"/>
        <v>4</v>
      </c>
      <c r="F243" s="1410">
        <f t="shared" si="33"/>
        <v>4.2300000000000004</v>
      </c>
      <c r="G243" s="1410">
        <f t="shared" si="33"/>
        <v>0.38</v>
      </c>
      <c r="H243" s="1411">
        <f t="shared" si="33"/>
        <v>0.1</v>
      </c>
      <c r="I243" s="1406">
        <f t="shared" si="29"/>
        <v>0.64296000000000009</v>
      </c>
      <c r="Q243" s="1394">
        <f>IFERROR(VLOOKUP(M243,#REF!,3,0),0)</f>
        <v>0</v>
      </c>
      <c r="R243" s="1394">
        <f t="shared" si="30"/>
        <v>0</v>
      </c>
      <c r="S243" s="1394">
        <f>IFERROR(VLOOKUP(M243,#REF!,6,0),0)</f>
        <v>0</v>
      </c>
      <c r="T243" s="1394">
        <f t="shared" si="31"/>
        <v>0</v>
      </c>
      <c r="U243" s="1394">
        <f>IFERROR(VLOOKUP(M243,#REF!,5,0),0)</f>
        <v>0</v>
      </c>
      <c r="V243" s="1394">
        <f t="shared" si="32"/>
        <v>0</v>
      </c>
      <c r="W243" s="1394"/>
    </row>
    <row r="244" spans="2:23" ht="30" customHeight="1">
      <c r="B244" s="1407"/>
      <c r="C244" s="1408" t="str">
        <f t="shared" si="33"/>
        <v>D1 to F1 &amp; D2 to F2GB-3</v>
      </c>
      <c r="D244" s="1409">
        <f t="shared" si="33"/>
        <v>1</v>
      </c>
      <c r="E244" s="1409">
        <f t="shared" si="33"/>
        <v>2</v>
      </c>
      <c r="F244" s="1410">
        <f t="shared" si="33"/>
        <v>3.6549999999999998</v>
      </c>
      <c r="G244" s="1410">
        <f t="shared" si="33"/>
        <v>0.38</v>
      </c>
      <c r="H244" s="1411">
        <f t="shared" si="33"/>
        <v>0.1</v>
      </c>
      <c r="I244" s="1406">
        <f t="shared" si="29"/>
        <v>0.27778000000000003</v>
      </c>
      <c r="Q244" s="1394">
        <f>IFERROR(VLOOKUP(M244,#REF!,3,0),0)</f>
        <v>0</v>
      </c>
      <c r="R244" s="1394">
        <f t="shared" si="30"/>
        <v>0</v>
      </c>
      <c r="S244" s="1394">
        <f>IFERROR(VLOOKUP(M244,#REF!,6,0),0)</f>
        <v>0</v>
      </c>
      <c r="T244" s="1394">
        <f t="shared" si="31"/>
        <v>0</v>
      </c>
      <c r="U244" s="1394">
        <f>IFERROR(VLOOKUP(M244,#REF!,5,0),0)</f>
        <v>0</v>
      </c>
      <c r="V244" s="1394">
        <f t="shared" si="32"/>
        <v>0</v>
      </c>
      <c r="W244" s="1394"/>
    </row>
    <row r="245" spans="2:23" ht="30" customHeight="1">
      <c r="B245" s="1407"/>
      <c r="C245" s="1408" t="str">
        <f t="shared" si="33"/>
        <v>B3 to F3GB-1</v>
      </c>
      <c r="D245" s="1409">
        <f t="shared" si="33"/>
        <v>1</v>
      </c>
      <c r="E245" s="1409">
        <f t="shared" si="33"/>
        <v>1</v>
      </c>
      <c r="F245" s="1410">
        <f t="shared" si="33"/>
        <v>6.8849999999999998</v>
      </c>
      <c r="G245" s="1410">
        <f t="shared" si="33"/>
        <v>0.38</v>
      </c>
      <c r="H245" s="1411">
        <f t="shared" si="33"/>
        <v>0.1</v>
      </c>
      <c r="I245" s="1406">
        <f t="shared" si="29"/>
        <v>0.26162999999999997</v>
      </c>
      <c r="Q245" s="1394">
        <f>IFERROR(VLOOKUP(M245,#REF!,3,0),0)</f>
        <v>0</v>
      </c>
      <c r="R245" s="1394">
        <f t="shared" si="30"/>
        <v>0</v>
      </c>
      <c r="S245" s="1394">
        <f>IFERROR(VLOOKUP(M245,#REF!,6,0),0)</f>
        <v>0</v>
      </c>
      <c r="T245" s="1394">
        <f t="shared" si="31"/>
        <v>0</v>
      </c>
      <c r="U245" s="1394">
        <f>IFERROR(VLOOKUP(M245,#REF!,5,0),0)</f>
        <v>0</v>
      </c>
      <c r="V245" s="1394">
        <f t="shared" si="32"/>
        <v>0</v>
      </c>
      <c r="W245" s="1394"/>
    </row>
    <row r="246" spans="2:23" ht="30" customHeight="1">
      <c r="B246" s="1407"/>
      <c r="C246" s="1408" t="str">
        <f t="shared" si="33"/>
        <v>F3 to H3GB-2</v>
      </c>
      <c r="D246" s="1409">
        <f t="shared" si="33"/>
        <v>1</v>
      </c>
      <c r="E246" s="1409">
        <f t="shared" si="33"/>
        <v>1</v>
      </c>
      <c r="F246" s="1410">
        <f t="shared" si="33"/>
        <v>7.46</v>
      </c>
      <c r="G246" s="1410">
        <f t="shared" si="33"/>
        <v>0.38</v>
      </c>
      <c r="H246" s="1411">
        <f t="shared" si="33"/>
        <v>0.1</v>
      </c>
      <c r="I246" s="1406">
        <f t="shared" si="29"/>
        <v>0.28348000000000001</v>
      </c>
      <c r="Q246" s="1394">
        <f>IFERROR(VLOOKUP(M246,#REF!,3,0),0)</f>
        <v>0</v>
      </c>
      <c r="R246" s="1394">
        <f t="shared" si="30"/>
        <v>0</v>
      </c>
      <c r="S246" s="1394">
        <f>IFERROR(VLOOKUP(M246,#REF!,6,0),0)</f>
        <v>0</v>
      </c>
      <c r="T246" s="1394">
        <f t="shared" si="31"/>
        <v>0</v>
      </c>
      <c r="U246" s="1394">
        <f>IFERROR(VLOOKUP(M246,#REF!,5,0),0)</f>
        <v>0</v>
      </c>
      <c r="V246" s="1394">
        <f t="shared" si="32"/>
        <v>0</v>
      </c>
      <c r="W246" s="1394"/>
    </row>
    <row r="247" spans="2:23" ht="30" customHeight="1">
      <c r="B247" s="1407"/>
      <c r="C247" s="1408" t="str">
        <f t="shared" si="33"/>
        <v>C4 to F4 , C5 to F5GB-1</v>
      </c>
      <c r="D247" s="1409">
        <f t="shared" si="33"/>
        <v>1</v>
      </c>
      <c r="E247" s="1409">
        <f t="shared" si="33"/>
        <v>2</v>
      </c>
      <c r="F247" s="1410">
        <f t="shared" si="33"/>
        <v>4.5549999999999997</v>
      </c>
      <c r="G247" s="1410">
        <f t="shared" si="33"/>
        <v>0.38</v>
      </c>
      <c r="H247" s="1411">
        <f t="shared" si="33"/>
        <v>0.1</v>
      </c>
      <c r="I247" s="1406">
        <f t="shared" si="29"/>
        <v>0.34617999999999999</v>
      </c>
      <c r="Q247" s="1394">
        <f>IFERROR(VLOOKUP(M247,#REF!,3,0),0)</f>
        <v>0</v>
      </c>
      <c r="R247" s="1394">
        <f t="shared" si="30"/>
        <v>0</v>
      </c>
      <c r="S247" s="1394">
        <f>IFERROR(VLOOKUP(M247,#REF!,6,0),0)</f>
        <v>0</v>
      </c>
      <c r="T247" s="1394">
        <f t="shared" si="31"/>
        <v>0</v>
      </c>
      <c r="U247" s="1394">
        <f>IFERROR(VLOOKUP(M247,#REF!,5,0),0)</f>
        <v>0</v>
      </c>
      <c r="V247" s="1394">
        <f t="shared" si="32"/>
        <v>0</v>
      </c>
      <c r="W247" s="1394"/>
    </row>
    <row r="248" spans="2:23" ht="30" customHeight="1">
      <c r="B248" s="1407"/>
      <c r="C248" s="1408" t="str">
        <f t="shared" si="33"/>
        <v>B4 to C4 , B5 to C5GB-1</v>
      </c>
      <c r="D248" s="1409">
        <f t="shared" si="33"/>
        <v>1</v>
      </c>
      <c r="E248" s="1409">
        <f t="shared" si="33"/>
        <v>2</v>
      </c>
      <c r="F248" s="1410">
        <f t="shared" si="33"/>
        <v>2.33</v>
      </c>
      <c r="G248" s="1410">
        <f t="shared" si="33"/>
        <v>0.38</v>
      </c>
      <c r="H248" s="1411">
        <f t="shared" si="33"/>
        <v>0.1</v>
      </c>
      <c r="I248" s="1406">
        <f t="shared" si="29"/>
        <v>0.17708000000000002</v>
      </c>
      <c r="Q248" s="1394">
        <f>IFERROR(VLOOKUP(M248,#REF!,3,0),0)</f>
        <v>0</v>
      </c>
      <c r="R248" s="1394">
        <f t="shared" si="30"/>
        <v>0</v>
      </c>
      <c r="S248" s="1394">
        <f>IFERROR(VLOOKUP(M248,#REF!,6,0),0)</f>
        <v>0</v>
      </c>
      <c r="T248" s="1394">
        <f t="shared" si="31"/>
        <v>0</v>
      </c>
      <c r="U248" s="1394">
        <f>IFERROR(VLOOKUP(M248,#REF!,5,0),0)</f>
        <v>0</v>
      </c>
      <c r="V248" s="1394">
        <f t="shared" si="32"/>
        <v>0</v>
      </c>
      <c r="W248" s="1394"/>
    </row>
    <row r="249" spans="2:23" ht="30" customHeight="1">
      <c r="B249" s="1407"/>
      <c r="C249" s="1408" t="str">
        <f t="shared" si="33"/>
        <v>F5 to G5 GB-2</v>
      </c>
      <c r="D249" s="1409">
        <f t="shared" si="33"/>
        <v>1</v>
      </c>
      <c r="E249" s="1409">
        <f t="shared" si="33"/>
        <v>1</v>
      </c>
      <c r="F249" s="1410">
        <f t="shared" si="33"/>
        <v>3.4649999999999999</v>
      </c>
      <c r="G249" s="1410">
        <f t="shared" si="33"/>
        <v>0.38</v>
      </c>
      <c r="H249" s="1411">
        <f t="shared" si="33"/>
        <v>0.1</v>
      </c>
      <c r="I249" s="1406">
        <f t="shared" si="29"/>
        <v>0.13167000000000001</v>
      </c>
      <c r="Q249" s="1394">
        <f>IFERROR(VLOOKUP(M249,#REF!,3,0),0)</f>
        <v>0</v>
      </c>
      <c r="R249" s="1394">
        <f t="shared" si="30"/>
        <v>0</v>
      </c>
      <c r="S249" s="1394">
        <f>IFERROR(VLOOKUP(M249,#REF!,6,0),0)</f>
        <v>0</v>
      </c>
      <c r="T249" s="1394">
        <f t="shared" si="31"/>
        <v>0</v>
      </c>
      <c r="U249" s="1394">
        <f>IFERROR(VLOOKUP(M249,#REF!,5,0),0)</f>
        <v>0</v>
      </c>
      <c r="V249" s="1394">
        <f t="shared" si="32"/>
        <v>0</v>
      </c>
      <c r="W249" s="1394"/>
    </row>
    <row r="250" spans="2:23" ht="30" customHeight="1">
      <c r="B250" s="1407"/>
      <c r="C250" s="1408" t="str">
        <f t="shared" si="33"/>
        <v>G5 to H5 GB-2</v>
      </c>
      <c r="D250" s="1409">
        <f t="shared" si="33"/>
        <v>1</v>
      </c>
      <c r="E250" s="1409">
        <f t="shared" si="33"/>
        <v>1</v>
      </c>
      <c r="F250" s="1410">
        <f t="shared" si="33"/>
        <v>3.9950000000000001</v>
      </c>
      <c r="G250" s="1410">
        <f t="shared" si="33"/>
        <v>0.38</v>
      </c>
      <c r="H250" s="1411">
        <f t="shared" si="33"/>
        <v>0.1</v>
      </c>
      <c r="I250" s="1406">
        <f t="shared" si="29"/>
        <v>0.15181</v>
      </c>
      <c r="Q250" s="1394">
        <f>IFERROR(VLOOKUP(M250,#REF!,3,0),0)</f>
        <v>0</v>
      </c>
      <c r="R250" s="1394">
        <f t="shared" si="30"/>
        <v>0</v>
      </c>
      <c r="S250" s="1394">
        <f>IFERROR(VLOOKUP(M250,#REF!,6,0),0)</f>
        <v>0</v>
      </c>
      <c r="T250" s="1394">
        <f t="shared" si="31"/>
        <v>0</v>
      </c>
      <c r="U250" s="1394">
        <f>IFERROR(VLOOKUP(M250,#REF!,5,0),0)</f>
        <v>0</v>
      </c>
      <c r="V250" s="1394">
        <f t="shared" si="32"/>
        <v>0</v>
      </c>
      <c r="W250" s="1394"/>
    </row>
    <row r="251" spans="2:23" ht="30" customHeight="1">
      <c r="B251" s="1407"/>
      <c r="C251" s="1408" t="str">
        <f t="shared" ref="C251:H260" si="34">C116</f>
        <v>B6' to D6'GB-3</v>
      </c>
      <c r="D251" s="1409">
        <f t="shared" si="34"/>
        <v>1</v>
      </c>
      <c r="E251" s="1409">
        <f t="shared" si="34"/>
        <v>1</v>
      </c>
      <c r="F251" s="1410">
        <f t="shared" si="34"/>
        <v>3.125</v>
      </c>
      <c r="G251" s="1410">
        <f t="shared" si="34"/>
        <v>0.38</v>
      </c>
      <c r="H251" s="1411">
        <f t="shared" si="34"/>
        <v>0.1</v>
      </c>
      <c r="I251" s="1406">
        <f t="shared" si="29"/>
        <v>0.11875000000000001</v>
      </c>
      <c r="Q251" s="1394">
        <f>IFERROR(VLOOKUP(M251,#REF!,3,0),0)</f>
        <v>0</v>
      </c>
      <c r="R251" s="1394">
        <f t="shared" si="30"/>
        <v>0</v>
      </c>
      <c r="S251" s="1394">
        <f>IFERROR(VLOOKUP(M251,#REF!,6,0),0)</f>
        <v>0</v>
      </c>
      <c r="T251" s="1394">
        <f t="shared" si="31"/>
        <v>0</v>
      </c>
      <c r="U251" s="1394">
        <f>IFERROR(VLOOKUP(M251,#REF!,5,0),0)</f>
        <v>0</v>
      </c>
      <c r="V251" s="1394">
        <f t="shared" si="32"/>
        <v>0</v>
      </c>
      <c r="W251" s="1394"/>
    </row>
    <row r="252" spans="2:23" ht="30" customHeight="1">
      <c r="B252" s="1407"/>
      <c r="C252" s="1408" t="str">
        <f t="shared" si="34"/>
        <v>G6 to H6GB-2</v>
      </c>
      <c r="D252" s="1409">
        <f t="shared" si="34"/>
        <v>1</v>
      </c>
      <c r="E252" s="1409">
        <f t="shared" si="34"/>
        <v>1</v>
      </c>
      <c r="F252" s="1410">
        <f t="shared" si="34"/>
        <v>4.2300000000000004</v>
      </c>
      <c r="G252" s="1410">
        <f t="shared" si="34"/>
        <v>0.38</v>
      </c>
      <c r="H252" s="1411">
        <f t="shared" si="34"/>
        <v>0.1</v>
      </c>
      <c r="I252" s="1406">
        <f>PRODUCT(D252:H252)</f>
        <v>0.16074000000000002</v>
      </c>
      <c r="Q252" s="1394">
        <f>IFERROR(VLOOKUP(M252,#REF!,3,0),0)</f>
        <v>0</v>
      </c>
      <c r="R252" s="1394">
        <f t="shared" si="30"/>
        <v>0</v>
      </c>
      <c r="S252" s="1394">
        <f>IFERROR(VLOOKUP(M252,#REF!,6,0),0)</f>
        <v>0</v>
      </c>
      <c r="T252" s="1394">
        <f t="shared" si="31"/>
        <v>0</v>
      </c>
      <c r="U252" s="1394">
        <f>IFERROR(VLOOKUP(M252,#REF!,5,0),0)</f>
        <v>0</v>
      </c>
      <c r="V252" s="1394">
        <f t="shared" si="32"/>
        <v>0</v>
      </c>
      <c r="W252" s="1394"/>
    </row>
    <row r="253" spans="2:23" ht="30" customHeight="1">
      <c r="B253" s="1407"/>
      <c r="C253" s="1408" t="str">
        <f t="shared" si="34"/>
        <v>B7 to E7GB-1</v>
      </c>
      <c r="D253" s="1409">
        <f t="shared" si="34"/>
        <v>1</v>
      </c>
      <c r="E253" s="1409">
        <f t="shared" si="34"/>
        <v>1</v>
      </c>
      <c r="F253" s="1410">
        <f t="shared" si="34"/>
        <v>5.6549999999999994</v>
      </c>
      <c r="G253" s="1410">
        <f t="shared" si="34"/>
        <v>0.38</v>
      </c>
      <c r="H253" s="1411">
        <f t="shared" si="34"/>
        <v>0.1</v>
      </c>
      <c r="I253" s="1406">
        <f t="shared" si="29"/>
        <v>0.21489</v>
      </c>
      <c r="Q253" s="1394">
        <f>IFERROR(VLOOKUP(M253,#REF!,3,0),0)</f>
        <v>0</v>
      </c>
      <c r="R253" s="1394">
        <f t="shared" si="30"/>
        <v>0</v>
      </c>
      <c r="S253" s="1394">
        <f>IFERROR(VLOOKUP(M253,#REF!,6,0),0)</f>
        <v>0</v>
      </c>
      <c r="T253" s="1394">
        <f t="shared" si="31"/>
        <v>0</v>
      </c>
      <c r="U253" s="1394">
        <f>IFERROR(VLOOKUP(M253,#REF!,5,0),0)</f>
        <v>0</v>
      </c>
      <c r="V253" s="1394">
        <f t="shared" si="32"/>
        <v>0</v>
      </c>
      <c r="W253" s="1394"/>
    </row>
    <row r="254" spans="2:23" ht="30" customHeight="1">
      <c r="B254" s="1407"/>
      <c r="C254" s="1408" t="str">
        <f t="shared" si="34"/>
        <v>E7 to H7GB-2</v>
      </c>
      <c r="D254" s="1409">
        <f t="shared" si="34"/>
        <v>1</v>
      </c>
      <c r="E254" s="1409">
        <f t="shared" si="34"/>
        <v>1</v>
      </c>
      <c r="F254" s="1410">
        <f t="shared" si="34"/>
        <v>8.6900000000000013</v>
      </c>
      <c r="G254" s="1410">
        <f t="shared" si="34"/>
        <v>0.38</v>
      </c>
      <c r="H254" s="1411">
        <f t="shared" si="34"/>
        <v>0.1</v>
      </c>
      <c r="I254" s="1406">
        <f t="shared" si="29"/>
        <v>0.33022000000000007</v>
      </c>
      <c r="Q254" s="1394">
        <f>IFERROR(VLOOKUP(M254,#REF!,3,0),0)</f>
        <v>0</v>
      </c>
      <c r="R254" s="1394">
        <f t="shared" si="30"/>
        <v>0</v>
      </c>
      <c r="S254" s="1394">
        <f>IFERROR(VLOOKUP(M254,#REF!,6,0),0)</f>
        <v>0</v>
      </c>
      <c r="T254" s="1394">
        <f t="shared" si="31"/>
        <v>0</v>
      </c>
      <c r="U254" s="1394">
        <f>IFERROR(VLOOKUP(M254,#REF!,5,0),0)</f>
        <v>0</v>
      </c>
      <c r="V254" s="1394">
        <f t="shared" si="32"/>
        <v>0</v>
      </c>
      <c r="W254" s="1394"/>
    </row>
    <row r="255" spans="2:23" ht="30" customHeight="1">
      <c r="B255" s="1407"/>
      <c r="C255" s="1408" t="str">
        <f t="shared" si="34"/>
        <v>A8 to H8GB-3</v>
      </c>
      <c r="D255" s="1409">
        <f t="shared" si="34"/>
        <v>1</v>
      </c>
      <c r="E255" s="1409">
        <f t="shared" si="34"/>
        <v>1</v>
      </c>
      <c r="F255" s="1410">
        <f t="shared" si="34"/>
        <v>18.575000000000003</v>
      </c>
      <c r="G255" s="1410">
        <f t="shared" si="34"/>
        <v>0.38</v>
      </c>
      <c r="H255" s="1411">
        <f t="shared" si="34"/>
        <v>0.1</v>
      </c>
      <c r="I255" s="1406">
        <f t="shared" si="29"/>
        <v>0.7058500000000002</v>
      </c>
      <c r="Q255" s="1394">
        <f>IFERROR(VLOOKUP(M255,#REF!,3,0),0)</f>
        <v>0</v>
      </c>
      <c r="R255" s="1394">
        <f t="shared" si="30"/>
        <v>0</v>
      </c>
      <c r="S255" s="1394">
        <f>IFERROR(VLOOKUP(M255,#REF!,6,0),0)</f>
        <v>0</v>
      </c>
      <c r="T255" s="1394">
        <f t="shared" si="31"/>
        <v>0</v>
      </c>
      <c r="U255" s="1394">
        <f>IFERROR(VLOOKUP(M255,#REF!,5,0),0)</f>
        <v>0</v>
      </c>
      <c r="V255" s="1394">
        <f t="shared" si="32"/>
        <v>0</v>
      </c>
      <c r="W255" s="1394"/>
    </row>
    <row r="256" spans="2:23" ht="30" hidden="1" customHeight="1">
      <c r="B256" s="1407"/>
      <c r="C256" s="1408" t="str">
        <f t="shared" si="34"/>
        <v/>
      </c>
      <c r="D256" s="1409">
        <f t="shared" si="34"/>
        <v>0</v>
      </c>
      <c r="E256" s="1409">
        <f t="shared" si="34"/>
        <v>0</v>
      </c>
      <c r="F256" s="1410">
        <f t="shared" si="34"/>
        <v>0</v>
      </c>
      <c r="G256" s="1410">
        <f t="shared" si="34"/>
        <v>0</v>
      </c>
      <c r="H256" s="1411">
        <f t="shared" si="34"/>
        <v>0</v>
      </c>
      <c r="I256" s="1406">
        <f t="shared" si="29"/>
        <v>0</v>
      </c>
      <c r="Q256" s="1394">
        <f>IFERROR(VLOOKUP(M256,#REF!,3,0),0)</f>
        <v>0</v>
      </c>
      <c r="R256" s="1394">
        <f t="shared" si="30"/>
        <v>0</v>
      </c>
      <c r="S256" s="1394">
        <f>IFERROR(VLOOKUP(M256,#REF!,6,0),0)</f>
        <v>0</v>
      </c>
      <c r="T256" s="1394">
        <f t="shared" si="31"/>
        <v>0</v>
      </c>
      <c r="U256" s="1394">
        <f>IFERROR(VLOOKUP(M256,#REF!,5,0),0)</f>
        <v>0</v>
      </c>
      <c r="V256" s="1394">
        <f t="shared" si="32"/>
        <v>0</v>
      </c>
      <c r="W256" s="1394"/>
    </row>
    <row r="257" spans="2:23" ht="30" customHeight="1">
      <c r="B257" s="1407"/>
      <c r="C257" s="1408" t="str">
        <f t="shared" si="34"/>
        <v/>
      </c>
      <c r="D257" s="1409">
        <f t="shared" si="34"/>
        <v>0</v>
      </c>
      <c r="E257" s="1409">
        <f t="shared" si="34"/>
        <v>0</v>
      </c>
      <c r="F257" s="1410">
        <f t="shared" si="34"/>
        <v>0</v>
      </c>
      <c r="G257" s="1410">
        <f t="shared" si="34"/>
        <v>0</v>
      </c>
      <c r="H257" s="1411">
        <f t="shared" si="34"/>
        <v>0</v>
      </c>
      <c r="I257" s="1406">
        <f t="shared" si="29"/>
        <v>0</v>
      </c>
      <c r="Q257" s="1394">
        <f>IFERROR(VLOOKUP(M257,#REF!,3,0),0)</f>
        <v>0</v>
      </c>
      <c r="R257" s="1394">
        <f t="shared" si="30"/>
        <v>0</v>
      </c>
      <c r="S257" s="1394">
        <f>IFERROR(VLOOKUP(M257,#REF!,6,0),0)</f>
        <v>0</v>
      </c>
      <c r="T257" s="1394">
        <f t="shared" si="31"/>
        <v>0</v>
      </c>
      <c r="U257" s="1394">
        <f>IFERROR(VLOOKUP(M257,#REF!,5,0),0)</f>
        <v>0</v>
      </c>
      <c r="V257" s="1394">
        <f t="shared" si="32"/>
        <v>0</v>
      </c>
      <c r="W257" s="1394"/>
    </row>
    <row r="258" spans="2:23" ht="30" customHeight="1">
      <c r="B258" s="1407"/>
      <c r="C258" s="1415" t="str">
        <f t="shared" si="34"/>
        <v>-Y- Direction</v>
      </c>
      <c r="D258" s="1409">
        <f t="shared" si="34"/>
        <v>0</v>
      </c>
      <c r="E258" s="1409">
        <f t="shared" si="34"/>
        <v>0</v>
      </c>
      <c r="F258" s="1410">
        <f t="shared" si="34"/>
        <v>0</v>
      </c>
      <c r="G258" s="1410">
        <f t="shared" si="34"/>
        <v>0</v>
      </c>
      <c r="H258" s="1411">
        <f t="shared" si="34"/>
        <v>0</v>
      </c>
      <c r="I258" s="1406">
        <f t="shared" si="29"/>
        <v>0</v>
      </c>
      <c r="Q258" s="1394">
        <f>IFERROR(VLOOKUP(M258,#REF!,3,0),0)</f>
        <v>0</v>
      </c>
      <c r="R258" s="1394">
        <f t="shared" si="30"/>
        <v>0</v>
      </c>
      <c r="S258" s="1394">
        <f>IFERROR(VLOOKUP(M258,#REF!,6,0),0)</f>
        <v>0</v>
      </c>
      <c r="T258" s="1394">
        <f t="shared" si="31"/>
        <v>0</v>
      </c>
      <c r="U258" s="1394">
        <f>IFERROR(VLOOKUP(M258,#REF!,5,0),0)</f>
        <v>0</v>
      </c>
      <c r="V258" s="1394">
        <f t="shared" si="32"/>
        <v>0</v>
      </c>
      <c r="W258" s="1394"/>
    </row>
    <row r="259" spans="2:23" ht="30" customHeight="1">
      <c r="B259" s="1407"/>
      <c r="C259" s="1408" t="str">
        <f t="shared" si="34"/>
        <v>D1 to D3 &amp; F1 to F3GB-3</v>
      </c>
      <c r="D259" s="1409">
        <f t="shared" si="34"/>
        <v>1</v>
      </c>
      <c r="E259" s="1409">
        <f t="shared" si="34"/>
        <v>2</v>
      </c>
      <c r="F259" s="1410">
        <f t="shared" si="34"/>
        <v>4.6899999999999995</v>
      </c>
      <c r="G259" s="1410">
        <f t="shared" si="34"/>
        <v>0.38</v>
      </c>
      <c r="H259" s="1411">
        <f t="shared" si="34"/>
        <v>0.1</v>
      </c>
      <c r="I259" s="1406">
        <f t="shared" si="29"/>
        <v>0.35643999999999998</v>
      </c>
      <c r="Q259" s="1394">
        <f>IFERROR(VLOOKUP(M259,#REF!,3,0),0)</f>
        <v>0</v>
      </c>
      <c r="R259" s="1394">
        <f t="shared" si="30"/>
        <v>0</v>
      </c>
      <c r="S259" s="1394">
        <f>IFERROR(VLOOKUP(M259,#REF!,6,0),0)</f>
        <v>0</v>
      </c>
      <c r="T259" s="1394">
        <f t="shared" si="31"/>
        <v>0</v>
      </c>
      <c r="U259" s="1394">
        <f>IFERROR(VLOOKUP(M259,#REF!,5,0),0)</f>
        <v>0</v>
      </c>
      <c r="V259" s="1394">
        <f t="shared" si="32"/>
        <v>0</v>
      </c>
      <c r="W259" s="1394"/>
    </row>
    <row r="260" spans="2:23" ht="30" customHeight="1">
      <c r="B260" s="1407"/>
      <c r="C260" s="1408" t="str">
        <f t="shared" si="34"/>
        <v>A3 to A8 ,B3 to B8 &amp; H3 to H8GB-3</v>
      </c>
      <c r="D260" s="1409">
        <f t="shared" si="34"/>
        <v>1</v>
      </c>
      <c r="E260" s="1409">
        <f t="shared" si="34"/>
        <v>3</v>
      </c>
      <c r="F260" s="1410">
        <f t="shared" si="34"/>
        <v>15.649999999999999</v>
      </c>
      <c r="G260" s="1410">
        <f t="shared" si="34"/>
        <v>0.38</v>
      </c>
      <c r="H260" s="1411">
        <f t="shared" si="34"/>
        <v>0.1</v>
      </c>
      <c r="I260" s="1406">
        <f t="shared" si="29"/>
        <v>1.7840999999999998</v>
      </c>
      <c r="Q260" s="1394">
        <f>IFERROR(VLOOKUP(M260,#REF!,3,0),0)</f>
        <v>0</v>
      </c>
      <c r="R260" s="1394">
        <f t="shared" si="30"/>
        <v>0</v>
      </c>
      <c r="S260" s="1394">
        <f>IFERROR(VLOOKUP(M260,#REF!,6,0),0)</f>
        <v>0</v>
      </c>
      <c r="T260" s="1394">
        <f t="shared" si="31"/>
        <v>0</v>
      </c>
      <c r="U260" s="1394">
        <f>IFERROR(VLOOKUP(M260,#REF!,5,0),0)</f>
        <v>0</v>
      </c>
      <c r="V260" s="1394">
        <f t="shared" si="32"/>
        <v>0</v>
      </c>
      <c r="W260" s="1394"/>
    </row>
    <row r="261" spans="2:23" ht="30" customHeight="1">
      <c r="B261" s="1407"/>
      <c r="C261" s="1408" t="str">
        <f t="shared" ref="C261:H269" si="35">C126</f>
        <v>D5 to D7GB-1</v>
      </c>
      <c r="D261" s="1409">
        <f t="shared" si="35"/>
        <v>1</v>
      </c>
      <c r="E261" s="1409">
        <f t="shared" si="35"/>
        <v>1</v>
      </c>
      <c r="F261" s="1410">
        <f t="shared" si="35"/>
        <v>5.99</v>
      </c>
      <c r="G261" s="1410">
        <f t="shared" si="35"/>
        <v>0.38</v>
      </c>
      <c r="H261" s="1411">
        <f t="shared" si="35"/>
        <v>0.1</v>
      </c>
      <c r="I261" s="1406">
        <f t="shared" si="29"/>
        <v>0.22762000000000004</v>
      </c>
      <c r="Q261" s="1394">
        <f>IFERROR(VLOOKUP(M261,#REF!,3,0),0)</f>
        <v>0</v>
      </c>
      <c r="R261" s="1394">
        <f t="shared" si="30"/>
        <v>0</v>
      </c>
      <c r="S261" s="1394">
        <f>IFERROR(VLOOKUP(M261,#REF!,6,0),0)</f>
        <v>0</v>
      </c>
      <c r="T261" s="1394">
        <f t="shared" si="31"/>
        <v>0</v>
      </c>
      <c r="U261" s="1394">
        <f>IFERROR(VLOOKUP(M261,#REF!,5,0),0)</f>
        <v>0</v>
      </c>
      <c r="V261" s="1394">
        <f t="shared" si="32"/>
        <v>0</v>
      </c>
      <c r="W261" s="1394"/>
    </row>
    <row r="262" spans="2:23" ht="30" customHeight="1">
      <c r="B262" s="1407"/>
      <c r="C262" s="1408" t="str">
        <f t="shared" si="35"/>
        <v>E7 to E8 &amp; G7 to G8GB-3</v>
      </c>
      <c r="D262" s="1409">
        <f t="shared" si="35"/>
        <v>1</v>
      </c>
      <c r="E262" s="1409">
        <f t="shared" si="35"/>
        <v>2</v>
      </c>
      <c r="F262" s="1410">
        <f t="shared" si="35"/>
        <v>4.13</v>
      </c>
      <c r="G262" s="1410">
        <f t="shared" si="35"/>
        <v>0.38</v>
      </c>
      <c r="H262" s="1411">
        <f t="shared" si="35"/>
        <v>0.1</v>
      </c>
      <c r="I262" s="1406">
        <f t="shared" si="29"/>
        <v>0.31387999999999999</v>
      </c>
      <c r="Q262" s="1394">
        <f>IFERROR(VLOOKUP(M262,#REF!,3,0),0)</f>
        <v>0</v>
      </c>
      <c r="R262" s="1394">
        <f t="shared" si="30"/>
        <v>0</v>
      </c>
      <c r="S262" s="1394">
        <f>IFERROR(VLOOKUP(M262,#REF!,6,0),0)</f>
        <v>0</v>
      </c>
      <c r="T262" s="1394">
        <f t="shared" si="31"/>
        <v>0</v>
      </c>
      <c r="U262" s="1394">
        <f>IFERROR(VLOOKUP(M262,#REF!,5,0),0)</f>
        <v>0</v>
      </c>
      <c r="V262" s="1394">
        <f t="shared" si="32"/>
        <v>0</v>
      </c>
      <c r="W262" s="1394"/>
    </row>
    <row r="263" spans="2:23" ht="30" customHeight="1">
      <c r="B263" s="1407"/>
      <c r="C263" s="1408" t="str">
        <f t="shared" si="35"/>
        <v>F3 To F5GB-3</v>
      </c>
      <c r="D263" s="1409">
        <f t="shared" si="35"/>
        <v>1</v>
      </c>
      <c r="E263" s="1409">
        <f t="shared" si="35"/>
        <v>1</v>
      </c>
      <c r="F263" s="1410">
        <f t="shared" si="35"/>
        <v>5.5299999999999994</v>
      </c>
      <c r="G263" s="1410">
        <f t="shared" si="35"/>
        <v>0.38</v>
      </c>
      <c r="H263" s="1411">
        <f t="shared" si="35"/>
        <v>0.1</v>
      </c>
      <c r="I263" s="1406">
        <f t="shared" si="29"/>
        <v>0.21013999999999999</v>
      </c>
      <c r="Q263" s="1394">
        <f>IFERROR(VLOOKUP(M263,#REF!,3,0),0)</f>
        <v>0</v>
      </c>
      <c r="R263" s="1394">
        <f t="shared" si="30"/>
        <v>0</v>
      </c>
      <c r="S263" s="1394">
        <f>IFERROR(VLOOKUP(M263,#REF!,6,0),0)</f>
        <v>0</v>
      </c>
      <c r="T263" s="1394">
        <f t="shared" si="31"/>
        <v>0</v>
      </c>
      <c r="U263" s="1394">
        <f>IFERROR(VLOOKUP(M263,#REF!,5,0),0)</f>
        <v>0</v>
      </c>
      <c r="V263" s="1394">
        <f t="shared" si="32"/>
        <v>0</v>
      </c>
      <c r="W263" s="1394"/>
    </row>
    <row r="264" spans="2:23" ht="30" customHeight="1">
      <c r="B264" s="1407"/>
      <c r="C264" s="1408" t="str">
        <f t="shared" si="35"/>
        <v>G5 to G7GB-3</v>
      </c>
      <c r="D264" s="1409">
        <f t="shared" si="35"/>
        <v>1</v>
      </c>
      <c r="E264" s="1409">
        <f t="shared" si="35"/>
        <v>1</v>
      </c>
      <c r="F264" s="1410">
        <f t="shared" si="35"/>
        <v>5.99</v>
      </c>
      <c r="G264" s="1410">
        <f t="shared" si="35"/>
        <v>0.38</v>
      </c>
      <c r="H264" s="1411">
        <f t="shared" si="35"/>
        <v>0.1</v>
      </c>
      <c r="I264" s="1406">
        <f t="shared" si="29"/>
        <v>0.22762000000000004</v>
      </c>
      <c r="Q264" s="1394">
        <f>IFERROR(VLOOKUP(M264,#REF!,3,0),0)</f>
        <v>0</v>
      </c>
      <c r="R264" s="1394">
        <f t="shared" si="30"/>
        <v>0</v>
      </c>
      <c r="S264" s="1394">
        <f>IFERROR(VLOOKUP(M264,#REF!,6,0),0)</f>
        <v>0</v>
      </c>
      <c r="T264" s="1394">
        <f t="shared" si="31"/>
        <v>0</v>
      </c>
      <c r="U264" s="1394">
        <f>IFERROR(VLOOKUP(M264,#REF!,5,0),0)</f>
        <v>0</v>
      </c>
      <c r="V264" s="1394">
        <f t="shared" si="32"/>
        <v>0</v>
      </c>
      <c r="W264" s="1394"/>
    </row>
    <row r="265" spans="2:23" ht="30" customHeight="1">
      <c r="B265" s="1407"/>
      <c r="C265" s="1408" t="str">
        <f t="shared" si="35"/>
        <v>Deduction for column</v>
      </c>
      <c r="D265" s="1409">
        <f t="shared" si="35"/>
        <v>0</v>
      </c>
      <c r="E265" s="1409">
        <f t="shared" si="35"/>
        <v>0</v>
      </c>
      <c r="F265" s="1410">
        <f t="shared" si="35"/>
        <v>0</v>
      </c>
      <c r="G265" s="1410">
        <f t="shared" si="35"/>
        <v>0</v>
      </c>
      <c r="H265" s="1411">
        <f t="shared" si="35"/>
        <v>0</v>
      </c>
      <c r="I265" s="1406">
        <f t="shared" si="29"/>
        <v>0</v>
      </c>
      <c r="Q265" s="1394">
        <f>IFERROR(VLOOKUP(M265,#REF!,3,0),0)</f>
        <v>0</v>
      </c>
      <c r="R265" s="1394">
        <f t="shared" si="30"/>
        <v>0</v>
      </c>
      <c r="S265" s="1394">
        <f>IFERROR(VLOOKUP(M265,#REF!,6,0),0)</f>
        <v>0</v>
      </c>
      <c r="T265" s="1394">
        <f t="shared" si="31"/>
        <v>0</v>
      </c>
      <c r="U265" s="1394">
        <f>IFERROR(VLOOKUP(M265,#REF!,5,0),0)</f>
        <v>0</v>
      </c>
      <c r="V265" s="1394">
        <f t="shared" si="32"/>
        <v>0</v>
      </c>
      <c r="W265" s="1394"/>
    </row>
    <row r="266" spans="2:23" ht="30" customHeight="1">
      <c r="B266" s="1407"/>
      <c r="C266" s="1408" t="str">
        <f t="shared" si="35"/>
        <v xml:space="preserve">For C1 Round Column Dia 0.3 Radius = 0.15 </v>
      </c>
      <c r="D266" s="1409">
        <f t="shared" si="35"/>
        <v>-4</v>
      </c>
      <c r="E266" s="1409">
        <f t="shared" si="35"/>
        <v>3.14</v>
      </c>
      <c r="F266" s="1410">
        <f t="shared" si="35"/>
        <v>0.15</v>
      </c>
      <c r="G266" s="1410">
        <f t="shared" si="35"/>
        <v>0.15</v>
      </c>
      <c r="H266" s="1411">
        <f t="shared" si="35"/>
        <v>0.1</v>
      </c>
      <c r="I266" s="1406">
        <f t="shared" si="29"/>
        <v>-2.8259999999999997E-2</v>
      </c>
      <c r="Q266" s="1394">
        <f>IFERROR(VLOOKUP(M266,#REF!,3,0),0)</f>
        <v>0</v>
      </c>
      <c r="R266" s="1394">
        <f t="shared" si="30"/>
        <v>0</v>
      </c>
      <c r="S266" s="1394">
        <f>IFERROR(VLOOKUP(M266,#REF!,6,0),0)</f>
        <v>0</v>
      </c>
      <c r="T266" s="1394">
        <f t="shared" si="31"/>
        <v>0</v>
      </c>
      <c r="U266" s="1394">
        <f>IFERROR(VLOOKUP(M266,#REF!,5,0),0)</f>
        <v>0</v>
      </c>
      <c r="V266" s="1394">
        <f t="shared" si="32"/>
        <v>0</v>
      </c>
      <c r="W266" s="1394"/>
    </row>
    <row r="267" spans="2:23" ht="30" customHeight="1">
      <c r="B267" s="1407"/>
      <c r="C267" s="1408" t="str">
        <f t="shared" si="35"/>
        <v>For C2</v>
      </c>
      <c r="D267" s="1409">
        <f t="shared" si="35"/>
        <v>-11</v>
      </c>
      <c r="E267" s="1409">
        <f t="shared" si="35"/>
        <v>1</v>
      </c>
      <c r="F267" s="1410">
        <f t="shared" si="35"/>
        <v>0.23</v>
      </c>
      <c r="G267" s="1410">
        <f t="shared" si="35"/>
        <v>0.38</v>
      </c>
      <c r="H267" s="1411">
        <f t="shared" si="35"/>
        <v>0.1</v>
      </c>
      <c r="I267" s="1406">
        <f t="shared" si="29"/>
        <v>-9.6140000000000017E-2</v>
      </c>
      <c r="Q267" s="1394">
        <f>IFERROR(VLOOKUP(M267,#REF!,3,0),0)</f>
        <v>0</v>
      </c>
      <c r="R267" s="1394">
        <f t="shared" si="30"/>
        <v>0</v>
      </c>
      <c r="S267" s="1394">
        <f>IFERROR(VLOOKUP(M267,#REF!,6,0),0)</f>
        <v>0</v>
      </c>
      <c r="T267" s="1394">
        <f t="shared" si="31"/>
        <v>0</v>
      </c>
      <c r="U267" s="1394">
        <f>IFERROR(VLOOKUP(M267,#REF!,5,0),0)</f>
        <v>0</v>
      </c>
      <c r="V267" s="1394">
        <f t="shared" si="32"/>
        <v>0</v>
      </c>
      <c r="W267" s="1394"/>
    </row>
    <row r="268" spans="2:23" ht="30" customHeight="1">
      <c r="B268" s="1407"/>
      <c r="C268" s="1408" t="str">
        <f t="shared" si="35"/>
        <v>For C3</v>
      </c>
      <c r="D268" s="1409">
        <f t="shared" si="35"/>
        <v>-10</v>
      </c>
      <c r="E268" s="1409">
        <f t="shared" si="35"/>
        <v>1</v>
      </c>
      <c r="F268" s="1410">
        <f t="shared" si="35"/>
        <v>0.23</v>
      </c>
      <c r="G268" s="1410">
        <f t="shared" si="35"/>
        <v>0.45</v>
      </c>
      <c r="H268" s="1411">
        <f t="shared" si="35"/>
        <v>0.1</v>
      </c>
      <c r="I268" s="1406">
        <f t="shared" si="29"/>
        <v>-0.10350000000000002</v>
      </c>
      <c r="Q268" s="1394">
        <f>IFERROR(VLOOKUP(M268,#REF!,3,0),0)</f>
        <v>0</v>
      </c>
      <c r="R268" s="1394">
        <f t="shared" si="30"/>
        <v>0</v>
      </c>
      <c r="S268" s="1394">
        <f>IFERROR(VLOOKUP(M268,#REF!,6,0),0)</f>
        <v>0</v>
      </c>
      <c r="T268" s="1394">
        <f t="shared" si="31"/>
        <v>0</v>
      </c>
      <c r="U268" s="1394">
        <f>IFERROR(VLOOKUP(M268,#REF!,5,0),0)</f>
        <v>0</v>
      </c>
      <c r="V268" s="1394">
        <f t="shared" si="32"/>
        <v>0</v>
      </c>
      <c r="W268" s="1394"/>
    </row>
    <row r="269" spans="2:23" ht="30" customHeight="1">
      <c r="B269" s="1407"/>
      <c r="C269" s="1408" t="str">
        <f t="shared" si="35"/>
        <v>For C4</v>
      </c>
      <c r="D269" s="1409">
        <f t="shared" si="35"/>
        <v>-7</v>
      </c>
      <c r="E269" s="1409">
        <f t="shared" si="35"/>
        <v>1</v>
      </c>
      <c r="F269" s="1410">
        <f t="shared" si="35"/>
        <v>0.3</v>
      </c>
      <c r="G269" s="1410">
        <f t="shared" si="35"/>
        <v>0.45</v>
      </c>
      <c r="H269" s="1411">
        <f t="shared" si="35"/>
        <v>0.1</v>
      </c>
      <c r="I269" s="1406">
        <f t="shared" si="29"/>
        <v>-9.4500000000000015E-2</v>
      </c>
      <c r="Q269" s="1394">
        <f>IFERROR(VLOOKUP(M269,#REF!,3,0),0)</f>
        <v>0</v>
      </c>
      <c r="R269" s="1394">
        <f t="shared" si="30"/>
        <v>0</v>
      </c>
      <c r="S269" s="1394">
        <f>IFERROR(VLOOKUP(M269,#REF!,6,0),0)</f>
        <v>0</v>
      </c>
      <c r="T269" s="1394">
        <f t="shared" si="31"/>
        <v>0</v>
      </c>
      <c r="U269" s="1394">
        <f>IFERROR(VLOOKUP(M269,#REF!,5,0),0)</f>
        <v>0</v>
      </c>
      <c r="V269" s="1394">
        <f t="shared" si="32"/>
        <v>0</v>
      </c>
      <c r="W269" s="1394"/>
    </row>
    <row r="270" spans="2:23" ht="30" hidden="1" customHeight="1">
      <c r="B270" s="1407"/>
      <c r="C270" s="1408"/>
      <c r="D270" s="1409"/>
      <c r="E270" s="1409"/>
      <c r="F270" s="1410"/>
      <c r="G270" s="1410"/>
      <c r="H270" s="1411"/>
      <c r="I270" s="1406"/>
      <c r="Q270" s="1394">
        <f>IFERROR(VLOOKUP(M270,#REF!,3,0),0)</f>
        <v>0</v>
      </c>
      <c r="R270" s="1394">
        <f t="shared" si="30"/>
        <v>0</v>
      </c>
      <c r="S270" s="1394">
        <f>IFERROR(VLOOKUP(M270,#REF!,6,0),0)</f>
        <v>0</v>
      </c>
      <c r="T270" s="1394">
        <f t="shared" si="31"/>
        <v>0</v>
      </c>
      <c r="U270" s="1394">
        <f>IFERROR(VLOOKUP(M270,#REF!,5,0),0)</f>
        <v>0</v>
      </c>
      <c r="V270" s="1394">
        <f t="shared" si="32"/>
        <v>0</v>
      </c>
      <c r="W270" s="1394"/>
    </row>
    <row r="271" spans="2:23" ht="30" customHeight="1">
      <c r="B271" s="1407"/>
      <c r="C271" s="1415" t="s">
        <v>163</v>
      </c>
      <c r="D271" s="1409"/>
      <c r="E271" s="1409"/>
      <c r="F271" s="1410"/>
      <c r="G271" s="1410"/>
      <c r="H271" s="1411"/>
      <c r="I271" s="1406">
        <f t="shared" si="29"/>
        <v>0</v>
      </c>
      <c r="Q271" s="1394">
        <f>IFERROR(VLOOKUP(M271,#REF!,3,0),0)</f>
        <v>0</v>
      </c>
      <c r="R271" s="1394">
        <f t="shared" si="30"/>
        <v>0</v>
      </c>
      <c r="S271" s="1394">
        <f>IFERROR(VLOOKUP(M271,#REF!,6,0),0)</f>
        <v>0</v>
      </c>
      <c r="T271" s="1394">
        <f t="shared" si="31"/>
        <v>0</v>
      </c>
      <c r="U271" s="1394">
        <f>IFERROR(VLOOKUP(M271,#REF!,5,0),0)</f>
        <v>0</v>
      </c>
      <c r="V271" s="1394">
        <f t="shared" si="32"/>
        <v>0</v>
      </c>
      <c r="W271" s="1394"/>
    </row>
    <row r="272" spans="2:23" ht="30" customHeight="1">
      <c r="B272" s="1407"/>
      <c r="C272" s="1432" t="str">
        <f>'det -detail'!B65&amp;'det -detail'!C65</f>
        <v>-X- Direction</v>
      </c>
      <c r="D272" s="1409"/>
      <c r="E272" s="1409"/>
      <c r="F272" s="1410"/>
      <c r="G272" s="1410"/>
      <c r="H272" s="1411"/>
      <c r="I272" s="1406">
        <f t="shared" si="29"/>
        <v>0</v>
      </c>
      <c r="Q272" s="1394">
        <f>IFERROR(VLOOKUP(M272,#REF!,3,0),0)</f>
        <v>0</v>
      </c>
      <c r="R272" s="1394">
        <f t="shared" si="30"/>
        <v>0</v>
      </c>
      <c r="S272" s="1394">
        <f>IFERROR(VLOOKUP(M272,#REF!,6,0),0)</f>
        <v>0</v>
      </c>
      <c r="T272" s="1394">
        <f t="shared" si="31"/>
        <v>0</v>
      </c>
      <c r="U272" s="1394">
        <f>IFERROR(VLOOKUP(M272,#REF!,5,0),0)</f>
        <v>0</v>
      </c>
      <c r="V272" s="1394">
        <f t="shared" si="32"/>
        <v>0</v>
      </c>
      <c r="W272" s="1394"/>
    </row>
    <row r="273" spans="2:23" ht="30" customHeight="1">
      <c r="B273" s="1407"/>
      <c r="C273" s="1432" t="str">
        <f>'det -detail'!B66&amp;" "&amp;'det -detail'!C66</f>
        <v>A3 to B3, A5 to B5 , A6 to B6 and A6 to B6 GB-2</v>
      </c>
      <c r="D273" s="1409">
        <f>'det -detail'!E66</f>
        <v>1</v>
      </c>
      <c r="E273" s="1409">
        <f>'det -detail'!F66</f>
        <v>4</v>
      </c>
      <c r="F273" s="1410">
        <f>'det -detail'!G66</f>
        <v>4.2300000000000004</v>
      </c>
      <c r="G273" s="1410">
        <f>'det -detail'!H66</f>
        <v>0.38</v>
      </c>
      <c r="H273" s="1411">
        <f>'det -detail'!L66</f>
        <v>0.1</v>
      </c>
      <c r="I273" s="1406">
        <f t="shared" si="29"/>
        <v>0.64296000000000009</v>
      </c>
      <c r="Q273" s="1394">
        <f>IFERROR(VLOOKUP(M273,#REF!,3,0),0)</f>
        <v>0</v>
      </c>
      <c r="R273" s="1394">
        <f t="shared" si="30"/>
        <v>0</v>
      </c>
      <c r="S273" s="1394">
        <f>IFERROR(VLOOKUP(M273,#REF!,6,0),0)</f>
        <v>0</v>
      </c>
      <c r="T273" s="1394">
        <f t="shared" si="31"/>
        <v>0</v>
      </c>
      <c r="U273" s="1394">
        <f>IFERROR(VLOOKUP(M273,#REF!,5,0),0)</f>
        <v>0</v>
      </c>
      <c r="V273" s="1394">
        <f t="shared" si="32"/>
        <v>0</v>
      </c>
      <c r="W273" s="1394"/>
    </row>
    <row r="274" spans="2:23" ht="30" customHeight="1">
      <c r="B274" s="1407"/>
      <c r="C274" s="1432" t="str">
        <f>'det -detail'!B68&amp;" "&amp;'det -detail'!C68</f>
        <v>B3 to F3 GB-1</v>
      </c>
      <c r="D274" s="1409">
        <f>'det -detail'!E68</f>
        <v>1</v>
      </c>
      <c r="E274" s="1409">
        <f>'det -detail'!F68</f>
        <v>1</v>
      </c>
      <c r="F274" s="1410">
        <f>'det -detail'!G68</f>
        <v>6.8849999999999998</v>
      </c>
      <c r="G274" s="1410">
        <f>'det -detail'!H68</f>
        <v>0.38</v>
      </c>
      <c r="H274" s="1411">
        <f>'det -detail'!L68</f>
        <v>0.1</v>
      </c>
      <c r="I274" s="1406">
        <f t="shared" si="29"/>
        <v>0.26162999999999997</v>
      </c>
      <c r="Q274" s="1394">
        <f>IFERROR(VLOOKUP(M274,#REF!,3,0),0)</f>
        <v>0</v>
      </c>
      <c r="R274" s="1394">
        <f t="shared" si="30"/>
        <v>0</v>
      </c>
      <c r="S274" s="1394">
        <f>IFERROR(VLOOKUP(M274,#REF!,6,0),0)</f>
        <v>0</v>
      </c>
      <c r="T274" s="1394">
        <f t="shared" si="31"/>
        <v>0</v>
      </c>
      <c r="U274" s="1394">
        <f>IFERROR(VLOOKUP(M274,#REF!,5,0),0)</f>
        <v>0</v>
      </c>
      <c r="V274" s="1394">
        <f t="shared" si="32"/>
        <v>0</v>
      </c>
      <c r="W274" s="1394"/>
    </row>
    <row r="275" spans="2:23" ht="30" customHeight="1">
      <c r="B275" s="1407"/>
      <c r="C275" s="1432" t="str">
        <f>'det -detail'!B69&amp;" "&amp;'det -detail'!C69</f>
        <v>F3 to H3 GB-2</v>
      </c>
      <c r="D275" s="1409">
        <f>'det -detail'!E69</f>
        <v>1</v>
      </c>
      <c r="E275" s="1409">
        <f>'det -detail'!F69</f>
        <v>1</v>
      </c>
      <c r="F275" s="1410">
        <f>'det -detail'!G69</f>
        <v>7.46</v>
      </c>
      <c r="G275" s="1410">
        <f>'det -detail'!H69</f>
        <v>0.38</v>
      </c>
      <c r="H275" s="1411">
        <f>'det -detail'!L69</f>
        <v>0.1</v>
      </c>
      <c r="I275" s="1406">
        <f t="shared" ref="I275:I282" si="36">PRODUCT(D275:H275)</f>
        <v>0.28348000000000001</v>
      </c>
      <c r="Q275" s="1394">
        <f>IFERROR(VLOOKUP(M275,#REF!,3,0),0)</f>
        <v>0</v>
      </c>
      <c r="R275" s="1394">
        <f t="shared" si="30"/>
        <v>0</v>
      </c>
      <c r="S275" s="1394">
        <f>IFERROR(VLOOKUP(M275,#REF!,6,0),0)</f>
        <v>0</v>
      </c>
      <c r="T275" s="1394">
        <f t="shared" si="31"/>
        <v>0</v>
      </c>
      <c r="U275" s="1394">
        <f>IFERROR(VLOOKUP(M275,#REF!,5,0),0)</f>
        <v>0</v>
      </c>
      <c r="V275" s="1394">
        <f t="shared" si="32"/>
        <v>0</v>
      </c>
      <c r="W275" s="1394"/>
    </row>
    <row r="276" spans="2:23" ht="30" customHeight="1">
      <c r="B276" s="1407"/>
      <c r="C276" s="1432" t="str">
        <f>'det -detail'!B70&amp;" "&amp;'det -detail'!C70</f>
        <v>C4 to F4 , C5 to F5 GB-1</v>
      </c>
      <c r="D276" s="1409">
        <f>'det -detail'!E70</f>
        <v>1</v>
      </c>
      <c r="E276" s="1409">
        <f>'det -detail'!F70</f>
        <v>2</v>
      </c>
      <c r="F276" s="1410">
        <f>'det -detail'!G70</f>
        <v>4.5549999999999997</v>
      </c>
      <c r="G276" s="1410">
        <f>'det -detail'!H70</f>
        <v>0.38</v>
      </c>
      <c r="H276" s="1411">
        <f>'det -detail'!L70</f>
        <v>0.1</v>
      </c>
      <c r="I276" s="1406">
        <f t="shared" si="36"/>
        <v>0.34617999999999999</v>
      </c>
      <c r="Q276" s="1394">
        <f>IFERROR(VLOOKUP(M276,#REF!,3,0),0)</f>
        <v>0</v>
      </c>
      <c r="R276" s="1394">
        <f t="shared" si="30"/>
        <v>0</v>
      </c>
      <c r="S276" s="1394">
        <f>IFERROR(VLOOKUP(M276,#REF!,6,0),0)</f>
        <v>0</v>
      </c>
      <c r="T276" s="1394">
        <f t="shared" si="31"/>
        <v>0</v>
      </c>
      <c r="U276" s="1394">
        <f>IFERROR(VLOOKUP(M276,#REF!,5,0),0)</f>
        <v>0</v>
      </c>
      <c r="V276" s="1394">
        <f t="shared" si="32"/>
        <v>0</v>
      </c>
      <c r="W276" s="1394"/>
    </row>
    <row r="277" spans="2:23" ht="30" customHeight="1">
      <c r="B277" s="1407"/>
      <c r="C277" s="1432" t="str">
        <f>'det -detail'!B71&amp;" "&amp;'det -detail'!C71</f>
        <v>B4 to C4 , B5 to C5 GB-1</v>
      </c>
      <c r="D277" s="1409">
        <f>'det -detail'!E71</f>
        <v>1</v>
      </c>
      <c r="E277" s="1409">
        <f>'det -detail'!F71</f>
        <v>2</v>
      </c>
      <c r="F277" s="1410">
        <f>'det -detail'!G71</f>
        <v>2.33</v>
      </c>
      <c r="G277" s="1410">
        <f>'det -detail'!H71</f>
        <v>0.38</v>
      </c>
      <c r="H277" s="1411">
        <f>'det -detail'!L71</f>
        <v>0.1</v>
      </c>
      <c r="I277" s="1406">
        <f t="shared" si="36"/>
        <v>0.17708000000000002</v>
      </c>
      <c r="Q277" s="1394">
        <f>IFERROR(VLOOKUP(M277,#REF!,3,0),0)</f>
        <v>0</v>
      </c>
      <c r="R277" s="1394">
        <f t="shared" si="30"/>
        <v>0</v>
      </c>
      <c r="S277" s="1394">
        <f>IFERROR(VLOOKUP(M277,#REF!,6,0),0)</f>
        <v>0</v>
      </c>
      <c r="T277" s="1394">
        <f t="shared" si="31"/>
        <v>0</v>
      </c>
      <c r="U277" s="1394">
        <f>IFERROR(VLOOKUP(M277,#REF!,5,0),0)</f>
        <v>0</v>
      </c>
      <c r="V277" s="1394">
        <f t="shared" si="32"/>
        <v>0</v>
      </c>
      <c r="W277" s="1394"/>
    </row>
    <row r="278" spans="2:23" ht="30" customHeight="1">
      <c r="B278" s="1407"/>
      <c r="C278" s="1432" t="str">
        <f>'det -detail'!B72&amp;" "&amp;'det -detail'!C72</f>
        <v>F5 to G5  GB-2</v>
      </c>
      <c r="D278" s="1409">
        <f>'det -detail'!E72</f>
        <v>1</v>
      </c>
      <c r="E278" s="1409">
        <f>'det -detail'!F72</f>
        <v>1</v>
      </c>
      <c r="F278" s="1410">
        <f>'det -detail'!G72</f>
        <v>3.4649999999999999</v>
      </c>
      <c r="G278" s="1410">
        <f>'det -detail'!H72</f>
        <v>0.38</v>
      </c>
      <c r="H278" s="1411">
        <f>'det -detail'!L72</f>
        <v>0.1</v>
      </c>
      <c r="I278" s="1406">
        <f t="shared" si="36"/>
        <v>0.13167000000000001</v>
      </c>
      <c r="Q278" s="1394">
        <f>IFERROR(VLOOKUP(M278,#REF!,3,0),0)</f>
        <v>0</v>
      </c>
      <c r="R278" s="1394">
        <f t="shared" si="30"/>
        <v>0</v>
      </c>
      <c r="S278" s="1394">
        <f>IFERROR(VLOOKUP(M278,#REF!,6,0),0)</f>
        <v>0</v>
      </c>
      <c r="T278" s="1394">
        <f t="shared" si="31"/>
        <v>0</v>
      </c>
      <c r="U278" s="1394">
        <f>IFERROR(VLOOKUP(M278,#REF!,5,0),0)</f>
        <v>0</v>
      </c>
      <c r="V278" s="1394">
        <f t="shared" si="32"/>
        <v>0</v>
      </c>
      <c r="W278" s="1394"/>
    </row>
    <row r="279" spans="2:23" ht="30" customHeight="1">
      <c r="B279" s="1407"/>
      <c r="C279" s="1432" t="str">
        <f>'det -detail'!B73&amp;" "&amp;'det -detail'!C73</f>
        <v>G5 to H5  GB-2</v>
      </c>
      <c r="D279" s="1409">
        <f>'det -detail'!E73</f>
        <v>1</v>
      </c>
      <c r="E279" s="1409">
        <f>'det -detail'!F73</f>
        <v>1</v>
      </c>
      <c r="F279" s="1410">
        <f>'det -detail'!G73</f>
        <v>3.9950000000000001</v>
      </c>
      <c r="G279" s="1410">
        <f>'det -detail'!H73</f>
        <v>0.38</v>
      </c>
      <c r="H279" s="1411">
        <f>'det -detail'!L73</f>
        <v>0.1</v>
      </c>
      <c r="I279" s="1406">
        <f t="shared" si="36"/>
        <v>0.15181</v>
      </c>
      <c r="Q279" s="1394">
        <f>IFERROR(VLOOKUP(M279,#REF!,3,0),0)</f>
        <v>0</v>
      </c>
      <c r="R279" s="1394">
        <f t="shared" si="30"/>
        <v>0</v>
      </c>
      <c r="S279" s="1394">
        <f>IFERROR(VLOOKUP(M279,#REF!,6,0),0)</f>
        <v>0</v>
      </c>
      <c r="T279" s="1394">
        <f t="shared" si="31"/>
        <v>0</v>
      </c>
      <c r="U279" s="1394">
        <f>IFERROR(VLOOKUP(M279,#REF!,5,0),0)</f>
        <v>0</v>
      </c>
      <c r="V279" s="1394">
        <f t="shared" si="32"/>
        <v>0</v>
      </c>
      <c r="W279" s="1394"/>
    </row>
    <row r="280" spans="2:23" ht="30" customHeight="1">
      <c r="B280" s="1407"/>
      <c r="C280" s="1432" t="str">
        <f>'det -detail'!B74&amp;" "&amp;'det -detail'!C74</f>
        <v>B6' to D6' GB-3</v>
      </c>
      <c r="D280" s="1409">
        <f>'det -detail'!E74</f>
        <v>1</v>
      </c>
      <c r="E280" s="1409">
        <f>'det -detail'!F74</f>
        <v>1</v>
      </c>
      <c r="F280" s="1410">
        <f>'det -detail'!G74</f>
        <v>3.125</v>
      </c>
      <c r="G280" s="1410">
        <f>'det -detail'!H74</f>
        <v>0.38</v>
      </c>
      <c r="H280" s="1411">
        <f>'det -detail'!L74</f>
        <v>0.1</v>
      </c>
      <c r="I280" s="1406">
        <f t="shared" si="36"/>
        <v>0.11875000000000001</v>
      </c>
      <c r="Q280" s="1394">
        <f>IFERROR(VLOOKUP(M280,#REF!,3,0),0)</f>
        <v>0</v>
      </c>
      <c r="R280" s="1394">
        <f t="shared" si="30"/>
        <v>0</v>
      </c>
      <c r="S280" s="1394">
        <f>IFERROR(VLOOKUP(M280,#REF!,6,0),0)</f>
        <v>0</v>
      </c>
      <c r="T280" s="1394">
        <f t="shared" si="31"/>
        <v>0</v>
      </c>
      <c r="U280" s="1394">
        <f>IFERROR(VLOOKUP(M280,#REF!,5,0),0)</f>
        <v>0</v>
      </c>
      <c r="V280" s="1394">
        <f t="shared" si="32"/>
        <v>0</v>
      </c>
      <c r="W280" s="1394"/>
    </row>
    <row r="281" spans="2:23" ht="30" customHeight="1">
      <c r="B281" s="1407"/>
      <c r="C281" s="1432" t="str">
        <f>'det -detail'!B75&amp;" "&amp;'det -detail'!C75</f>
        <v>G6 to H6 GB-2</v>
      </c>
      <c r="D281" s="1409">
        <f>'det -detail'!E75</f>
        <v>1</v>
      </c>
      <c r="E281" s="1409">
        <f>'det -detail'!F75</f>
        <v>1</v>
      </c>
      <c r="F281" s="1410">
        <f>'det -detail'!G75</f>
        <v>4.2300000000000004</v>
      </c>
      <c r="G281" s="1410">
        <f>'det -detail'!H75</f>
        <v>0.38</v>
      </c>
      <c r="H281" s="1411">
        <f>'det -detail'!L75</f>
        <v>0.1</v>
      </c>
      <c r="I281" s="1406">
        <f t="shared" si="36"/>
        <v>0.16074000000000002</v>
      </c>
      <c r="Q281" s="1394">
        <f>IFERROR(VLOOKUP(M281,#REF!,3,0),0)</f>
        <v>0</v>
      </c>
      <c r="R281" s="1394">
        <f t="shared" si="30"/>
        <v>0</v>
      </c>
      <c r="S281" s="1394">
        <f>IFERROR(VLOOKUP(M281,#REF!,6,0),0)</f>
        <v>0</v>
      </c>
      <c r="T281" s="1394">
        <f t="shared" si="31"/>
        <v>0</v>
      </c>
      <c r="U281" s="1394">
        <f>IFERROR(VLOOKUP(M281,#REF!,5,0),0)</f>
        <v>0</v>
      </c>
      <c r="V281" s="1394">
        <f t="shared" si="32"/>
        <v>0</v>
      </c>
      <c r="W281" s="1394"/>
    </row>
    <row r="282" spans="2:23" ht="30" customHeight="1">
      <c r="B282" s="1407"/>
      <c r="C282" s="1432" t="str">
        <f>'det -detail'!B76&amp;" "&amp;'det -detail'!C76</f>
        <v>B7 to E7 GB-1</v>
      </c>
      <c r="D282" s="1409">
        <f>'det -detail'!E76</f>
        <v>1</v>
      </c>
      <c r="E282" s="1409">
        <f>'det -detail'!F76</f>
        <v>1</v>
      </c>
      <c r="F282" s="1410">
        <f>'det -detail'!G76</f>
        <v>5.6549999999999994</v>
      </c>
      <c r="G282" s="1410">
        <f>'det -detail'!H76</f>
        <v>0.38</v>
      </c>
      <c r="H282" s="1411">
        <f>'det -detail'!L76</f>
        <v>0.1</v>
      </c>
      <c r="I282" s="1406">
        <f t="shared" si="36"/>
        <v>0.21489</v>
      </c>
      <c r="Q282" s="1394">
        <f>IFERROR(VLOOKUP(M282,#REF!,3,0),0)</f>
        <v>0</v>
      </c>
      <c r="R282" s="1394">
        <f t="shared" si="30"/>
        <v>0</v>
      </c>
      <c r="S282" s="1394">
        <f>IFERROR(VLOOKUP(M282,#REF!,6,0),0)</f>
        <v>0</v>
      </c>
      <c r="T282" s="1394">
        <f t="shared" si="31"/>
        <v>0</v>
      </c>
      <c r="U282" s="1394">
        <f>IFERROR(VLOOKUP(M282,#REF!,5,0),0)</f>
        <v>0</v>
      </c>
      <c r="V282" s="1394">
        <f t="shared" si="32"/>
        <v>0</v>
      </c>
      <c r="W282" s="1394"/>
    </row>
    <row r="283" spans="2:23" ht="30" customHeight="1">
      <c r="B283" s="1407"/>
      <c r="C283" s="1432" t="str">
        <f>'det -detail'!B77&amp;" "&amp;'det -detail'!C77</f>
        <v>E7 to H7 GB-2</v>
      </c>
      <c r="D283" s="1409">
        <f>'det -detail'!E77</f>
        <v>1</v>
      </c>
      <c r="E283" s="1409">
        <f>'det -detail'!F77</f>
        <v>1</v>
      </c>
      <c r="F283" s="1410">
        <f>'det -detail'!G77</f>
        <v>8.6900000000000013</v>
      </c>
      <c r="G283" s="1410">
        <f>'det -detail'!H77</f>
        <v>0.38</v>
      </c>
      <c r="H283" s="1411">
        <f>'det -detail'!L77</f>
        <v>0.1</v>
      </c>
      <c r="I283" s="1406">
        <f t="shared" ref="I283:I284" si="37">PRODUCT(D283:H283)</f>
        <v>0.33022000000000007</v>
      </c>
      <c r="Q283" s="1394">
        <f>IFERROR(VLOOKUP(M283,#REF!,3,0),0)</f>
        <v>0</v>
      </c>
      <c r="R283" s="1394">
        <f t="shared" si="30"/>
        <v>0</v>
      </c>
      <c r="S283" s="1394">
        <f>IFERROR(VLOOKUP(M283,#REF!,6,0),0)</f>
        <v>0</v>
      </c>
      <c r="T283" s="1394">
        <f t="shared" si="31"/>
        <v>0</v>
      </c>
      <c r="U283" s="1394">
        <f>IFERROR(VLOOKUP(M283,#REF!,5,0),0)</f>
        <v>0</v>
      </c>
      <c r="V283" s="1394">
        <f t="shared" si="32"/>
        <v>0</v>
      </c>
      <c r="W283" s="1394"/>
    </row>
    <row r="284" spans="2:23" ht="30" customHeight="1">
      <c r="B284" s="1407"/>
      <c r="C284" s="1432" t="str">
        <f>'det -detail'!B78&amp;" "&amp;'det -detail'!C78</f>
        <v>A8 to H8 GB-3</v>
      </c>
      <c r="D284" s="1409">
        <f>'det -detail'!E78</f>
        <v>1</v>
      </c>
      <c r="E284" s="1409">
        <f>'det -detail'!F78</f>
        <v>1</v>
      </c>
      <c r="F284" s="1410">
        <f>'det -detail'!G78</f>
        <v>18.575000000000003</v>
      </c>
      <c r="G284" s="1410">
        <f>'det -detail'!H78</f>
        <v>0.38</v>
      </c>
      <c r="H284" s="1411">
        <f>'det -detail'!L78</f>
        <v>0.1</v>
      </c>
      <c r="I284" s="1406">
        <f t="shared" si="37"/>
        <v>0.7058500000000002</v>
      </c>
      <c r="Q284" s="1394">
        <f>IFERROR(VLOOKUP(M284,#REF!,3,0),0)</f>
        <v>0</v>
      </c>
      <c r="R284" s="1394">
        <f t="shared" si="30"/>
        <v>0</v>
      </c>
      <c r="S284" s="1394">
        <f>IFERROR(VLOOKUP(M284,#REF!,6,0),0)</f>
        <v>0</v>
      </c>
      <c r="T284" s="1394">
        <f t="shared" si="31"/>
        <v>0</v>
      </c>
      <c r="U284" s="1394">
        <f>IFERROR(VLOOKUP(M284,#REF!,5,0),0)</f>
        <v>0</v>
      </c>
      <c r="V284" s="1394">
        <f t="shared" si="32"/>
        <v>0</v>
      </c>
      <c r="W284" s="1394"/>
    </row>
    <row r="285" spans="2:23" ht="30" hidden="1" customHeight="1">
      <c r="B285" s="1407"/>
      <c r="C285" s="1432"/>
      <c r="D285" s="1409"/>
      <c r="E285" s="1409"/>
      <c r="F285" s="1410"/>
      <c r="G285" s="1410"/>
      <c r="H285" s="1411"/>
      <c r="I285" s="1406"/>
      <c r="Q285" s="1394">
        <f>IFERROR(VLOOKUP(M285,#REF!,3,0),0)</f>
        <v>0</v>
      </c>
      <c r="R285" s="1394">
        <f t="shared" si="30"/>
        <v>0</v>
      </c>
      <c r="S285" s="1394">
        <f>IFERROR(VLOOKUP(M285,#REF!,6,0),0)</f>
        <v>0</v>
      </c>
      <c r="T285" s="1394">
        <f t="shared" si="31"/>
        <v>0</v>
      </c>
      <c r="U285" s="1394">
        <f>IFERROR(VLOOKUP(M285,#REF!,5,0),0)</f>
        <v>0</v>
      </c>
      <c r="V285" s="1394">
        <f t="shared" si="32"/>
        <v>0</v>
      </c>
      <c r="W285" s="1394"/>
    </row>
    <row r="286" spans="2:23" ht="30" hidden="1" customHeight="1">
      <c r="B286" s="1407"/>
      <c r="C286" s="1432"/>
      <c r="D286" s="1409"/>
      <c r="E286" s="1409"/>
      <c r="F286" s="1410"/>
      <c r="G286" s="1410"/>
      <c r="H286" s="1411"/>
      <c r="I286" s="1406"/>
      <c r="Q286" s="1394">
        <f>IFERROR(VLOOKUP(M286,#REF!,3,0),0)</f>
        <v>0</v>
      </c>
      <c r="R286" s="1394">
        <f t="shared" si="30"/>
        <v>0</v>
      </c>
      <c r="S286" s="1394">
        <f>IFERROR(VLOOKUP(M286,#REF!,6,0),0)</f>
        <v>0</v>
      </c>
      <c r="T286" s="1394">
        <f t="shared" si="31"/>
        <v>0</v>
      </c>
      <c r="U286" s="1394">
        <f>IFERROR(VLOOKUP(M286,#REF!,5,0),0)</f>
        <v>0</v>
      </c>
      <c r="V286" s="1394">
        <f t="shared" si="32"/>
        <v>0</v>
      </c>
      <c r="W286" s="1394"/>
    </row>
    <row r="287" spans="2:23" ht="30" hidden="1" customHeight="1">
      <c r="B287" s="1407"/>
      <c r="C287" s="1432" t="str">
        <f>'det -detail'!B80&amp;" "&amp;'det -detail'!C80</f>
        <v xml:space="preserve"> </v>
      </c>
      <c r="D287" s="1409">
        <f>'det -detail'!E80</f>
        <v>0</v>
      </c>
      <c r="E287" s="1409">
        <f>'det -detail'!F80</f>
        <v>0</v>
      </c>
      <c r="F287" s="1410">
        <f>'det -detail'!G80</f>
        <v>0</v>
      </c>
      <c r="G287" s="1410">
        <f>'det -detail'!H80</f>
        <v>0</v>
      </c>
      <c r="H287" s="1411">
        <f>'det -detail'!L80</f>
        <v>0</v>
      </c>
      <c r="I287" s="1406">
        <f t="shared" si="29"/>
        <v>0</v>
      </c>
      <c r="Q287" s="1394">
        <f>IFERROR(VLOOKUP(M287,#REF!,3,0),0)</f>
        <v>0</v>
      </c>
      <c r="R287" s="1394">
        <f t="shared" si="30"/>
        <v>0</v>
      </c>
      <c r="S287" s="1394">
        <f>IFERROR(VLOOKUP(M287,#REF!,6,0),0)</f>
        <v>0</v>
      </c>
      <c r="T287" s="1394">
        <f t="shared" si="31"/>
        <v>0</v>
      </c>
      <c r="U287" s="1394">
        <f>IFERROR(VLOOKUP(M287,#REF!,5,0),0)</f>
        <v>0</v>
      </c>
      <c r="V287" s="1394">
        <f t="shared" si="32"/>
        <v>0</v>
      </c>
      <c r="W287" s="1394"/>
    </row>
    <row r="288" spans="2:23" ht="30" customHeight="1">
      <c r="B288" s="1407"/>
      <c r="C288" s="1433" t="str">
        <f>'det -detail'!B81&amp;" "&amp;'det -detail'!C81</f>
        <v xml:space="preserve">-Y- Direction </v>
      </c>
      <c r="D288" s="1409">
        <f>'det -detail'!E81</f>
        <v>0</v>
      </c>
      <c r="E288" s="1409">
        <f>'det -detail'!F81</f>
        <v>0</v>
      </c>
      <c r="F288" s="1410">
        <f>'det -detail'!G81</f>
        <v>0</v>
      </c>
      <c r="G288" s="1410">
        <f>'det -detail'!H81</f>
        <v>0</v>
      </c>
      <c r="H288" s="1411">
        <f>'det -detail'!L81</f>
        <v>0</v>
      </c>
      <c r="I288" s="1406">
        <f t="shared" si="29"/>
        <v>0</v>
      </c>
      <c r="Q288" s="1394">
        <f>IFERROR(VLOOKUP(M288,#REF!,3,0),0)</f>
        <v>0</v>
      </c>
      <c r="R288" s="1394">
        <f t="shared" si="30"/>
        <v>0</v>
      </c>
      <c r="S288" s="1394">
        <f>IFERROR(VLOOKUP(M288,#REF!,6,0),0)</f>
        <v>0</v>
      </c>
      <c r="T288" s="1394">
        <f t="shared" si="31"/>
        <v>0</v>
      </c>
      <c r="U288" s="1394">
        <f>IFERROR(VLOOKUP(M288,#REF!,5,0),0)</f>
        <v>0</v>
      </c>
      <c r="V288" s="1394">
        <f t="shared" si="32"/>
        <v>0</v>
      </c>
      <c r="W288" s="1394"/>
    </row>
    <row r="289" spans="1:24" ht="30" customHeight="1">
      <c r="B289" s="1407"/>
      <c r="C289" s="1432" t="str">
        <f>'det -detail'!B82&amp;" "&amp;'det -detail'!C82</f>
        <v>D1 to D3 &amp; F1 to F3 GB-3</v>
      </c>
      <c r="D289" s="1409">
        <f>'det -detail'!E82</f>
        <v>1</v>
      </c>
      <c r="E289" s="1409">
        <f>'det -detail'!F82</f>
        <v>2</v>
      </c>
      <c r="F289" s="1410">
        <f>'det -detail'!G82</f>
        <v>4.6899999999999995</v>
      </c>
      <c r="G289" s="1410">
        <f>'det -detail'!H82</f>
        <v>0.38</v>
      </c>
      <c r="H289" s="1411">
        <f>'det -detail'!L82</f>
        <v>0.1</v>
      </c>
      <c r="I289" s="1406">
        <f t="shared" si="29"/>
        <v>0.35643999999999998</v>
      </c>
      <c r="Q289" s="1394">
        <f>IFERROR(VLOOKUP(M289,#REF!,3,0),0)</f>
        <v>0</v>
      </c>
      <c r="R289" s="1394">
        <f t="shared" si="30"/>
        <v>0</v>
      </c>
      <c r="S289" s="1394">
        <f>IFERROR(VLOOKUP(M289,#REF!,6,0),0)</f>
        <v>0</v>
      </c>
      <c r="T289" s="1394">
        <f t="shared" si="31"/>
        <v>0</v>
      </c>
      <c r="U289" s="1394">
        <f>IFERROR(VLOOKUP(M289,#REF!,5,0),0)</f>
        <v>0</v>
      </c>
      <c r="V289" s="1394">
        <f t="shared" si="32"/>
        <v>0</v>
      </c>
      <c r="W289" s="1394"/>
    </row>
    <row r="290" spans="1:24" ht="30" customHeight="1">
      <c r="B290" s="1407"/>
      <c r="C290" s="1432" t="str">
        <f>'det -detail'!B83&amp;" "&amp;'det -detail'!C83</f>
        <v>A3 to A8 ,B3 to B8 &amp; H3 to H8 GB-3</v>
      </c>
      <c r="D290" s="1409">
        <f>'det -detail'!E83</f>
        <v>1</v>
      </c>
      <c r="E290" s="1409">
        <f>'det -detail'!F83</f>
        <v>3</v>
      </c>
      <c r="F290" s="1410">
        <f>'det -detail'!G83</f>
        <v>15.649999999999999</v>
      </c>
      <c r="G290" s="1410">
        <f>'det -detail'!H83</f>
        <v>0.38</v>
      </c>
      <c r="H290" s="1411">
        <f>'det -detail'!L83</f>
        <v>0.1</v>
      </c>
      <c r="I290" s="1406">
        <f t="shared" si="29"/>
        <v>1.7840999999999998</v>
      </c>
      <c r="Q290" s="1394">
        <f>IFERROR(VLOOKUP(M290,#REF!,3,0),0)</f>
        <v>0</v>
      </c>
      <c r="R290" s="1394">
        <f t="shared" si="30"/>
        <v>0</v>
      </c>
      <c r="S290" s="1394">
        <f>IFERROR(VLOOKUP(M290,#REF!,6,0),0)</f>
        <v>0</v>
      </c>
      <c r="T290" s="1394">
        <f t="shared" si="31"/>
        <v>0</v>
      </c>
      <c r="U290" s="1394">
        <f>IFERROR(VLOOKUP(M290,#REF!,5,0),0)</f>
        <v>0</v>
      </c>
      <c r="V290" s="1394">
        <f t="shared" si="32"/>
        <v>0</v>
      </c>
      <c r="W290" s="1394"/>
    </row>
    <row r="291" spans="1:24" ht="30" customHeight="1">
      <c r="B291" s="1407"/>
      <c r="C291" s="1432" t="str">
        <f>'det -detail'!B84&amp;" "&amp;'det -detail'!C84</f>
        <v>D5 to D7 GB-1</v>
      </c>
      <c r="D291" s="1409">
        <f>'det -detail'!E84</f>
        <v>1</v>
      </c>
      <c r="E291" s="1409">
        <f>'det -detail'!F84</f>
        <v>1</v>
      </c>
      <c r="F291" s="1410">
        <f>'det -detail'!G84</f>
        <v>5.99</v>
      </c>
      <c r="G291" s="1410">
        <f>'det -detail'!H84</f>
        <v>0.38</v>
      </c>
      <c r="H291" s="1411">
        <f>'det -detail'!L84</f>
        <v>0.1</v>
      </c>
      <c r="I291" s="1406">
        <f t="shared" ref="I291:I295" si="38">PRODUCT(D291:H291)</f>
        <v>0.22762000000000004</v>
      </c>
      <c r="Q291" s="1394">
        <f>IFERROR(VLOOKUP(M291,#REF!,3,0),0)</f>
        <v>0</v>
      </c>
      <c r="R291" s="1394">
        <f t="shared" si="30"/>
        <v>0</v>
      </c>
      <c r="S291" s="1394">
        <f>IFERROR(VLOOKUP(M291,#REF!,6,0),0)</f>
        <v>0</v>
      </c>
      <c r="T291" s="1394">
        <f t="shared" si="31"/>
        <v>0</v>
      </c>
      <c r="U291" s="1394">
        <f>IFERROR(VLOOKUP(M291,#REF!,5,0),0)</f>
        <v>0</v>
      </c>
      <c r="V291" s="1394">
        <f t="shared" si="32"/>
        <v>0</v>
      </c>
      <c r="W291" s="1394"/>
    </row>
    <row r="292" spans="1:24" ht="30" customHeight="1">
      <c r="B292" s="1407"/>
      <c r="C292" s="1432" t="str">
        <f>'det -detail'!B85&amp;" "&amp;'det -detail'!C85</f>
        <v>E7 to E8 &amp; G7 to G8 GB-3</v>
      </c>
      <c r="D292" s="1409">
        <f>'det -detail'!E85</f>
        <v>1</v>
      </c>
      <c r="E292" s="1409">
        <f>'det -detail'!F85</f>
        <v>2</v>
      </c>
      <c r="F292" s="1410">
        <f>'det -detail'!G85</f>
        <v>4.13</v>
      </c>
      <c r="G292" s="1410">
        <f>'det -detail'!H85</f>
        <v>0.38</v>
      </c>
      <c r="H292" s="1411">
        <f>'det -detail'!L85</f>
        <v>0.1</v>
      </c>
      <c r="I292" s="1406">
        <f t="shared" si="38"/>
        <v>0.31387999999999999</v>
      </c>
      <c r="Q292" s="1394">
        <f>IFERROR(VLOOKUP(M292,#REF!,3,0),0)</f>
        <v>0</v>
      </c>
      <c r="R292" s="1394">
        <f t="shared" si="30"/>
        <v>0</v>
      </c>
      <c r="S292" s="1394">
        <f>IFERROR(VLOOKUP(M292,#REF!,6,0),0)</f>
        <v>0</v>
      </c>
      <c r="T292" s="1394">
        <f t="shared" si="31"/>
        <v>0</v>
      </c>
      <c r="U292" s="1394">
        <f>IFERROR(VLOOKUP(M292,#REF!,5,0),0)</f>
        <v>0</v>
      </c>
      <c r="V292" s="1394">
        <f t="shared" si="32"/>
        <v>0</v>
      </c>
      <c r="W292" s="1394"/>
    </row>
    <row r="293" spans="1:24" ht="30" customHeight="1">
      <c r="B293" s="1407"/>
      <c r="C293" s="1432" t="str">
        <f>'det -detail'!B86&amp;" "&amp;'det -detail'!C86</f>
        <v>F3 To F5 GB-3</v>
      </c>
      <c r="D293" s="1409">
        <f>'det -detail'!E86</f>
        <v>1</v>
      </c>
      <c r="E293" s="1409">
        <f>'det -detail'!F86</f>
        <v>1</v>
      </c>
      <c r="F293" s="1410">
        <f>'det -detail'!G86</f>
        <v>5.5299999999999994</v>
      </c>
      <c r="G293" s="1410">
        <f>'det -detail'!H86</f>
        <v>0.38</v>
      </c>
      <c r="H293" s="1411">
        <f>'det -detail'!L86</f>
        <v>0.1</v>
      </c>
      <c r="I293" s="1406">
        <f t="shared" si="38"/>
        <v>0.21013999999999999</v>
      </c>
      <c r="Q293" s="1394">
        <f>IFERROR(VLOOKUP(M293,#REF!,3,0),0)</f>
        <v>0</v>
      </c>
      <c r="R293" s="1394">
        <f t="shared" si="30"/>
        <v>0</v>
      </c>
      <c r="S293" s="1394">
        <f>IFERROR(VLOOKUP(M293,#REF!,6,0),0)</f>
        <v>0</v>
      </c>
      <c r="T293" s="1394">
        <f t="shared" si="31"/>
        <v>0</v>
      </c>
      <c r="U293" s="1394">
        <f>IFERROR(VLOOKUP(M293,#REF!,5,0),0)</f>
        <v>0</v>
      </c>
      <c r="V293" s="1394">
        <f t="shared" si="32"/>
        <v>0</v>
      </c>
      <c r="W293" s="1394"/>
    </row>
    <row r="294" spans="1:24" ht="30" customHeight="1">
      <c r="B294" s="1407"/>
      <c r="C294" s="1432" t="str">
        <f>'det -detail'!B87&amp;" "&amp;'det -detail'!C87</f>
        <v>G5 to G7 GB-3</v>
      </c>
      <c r="D294" s="1409">
        <f>'det -detail'!E87</f>
        <v>1</v>
      </c>
      <c r="E294" s="1409">
        <f>'det -detail'!F87</f>
        <v>1</v>
      </c>
      <c r="F294" s="1410">
        <f>'det -detail'!G87</f>
        <v>5.99</v>
      </c>
      <c r="G294" s="1410">
        <f>'det -detail'!H87</f>
        <v>0.38</v>
      </c>
      <c r="H294" s="1411">
        <f>'det -detail'!L87</f>
        <v>0.1</v>
      </c>
      <c r="I294" s="1406">
        <f t="shared" si="38"/>
        <v>0.22762000000000004</v>
      </c>
      <c r="Q294" s="1394">
        <f>IFERROR(VLOOKUP(M294,#REF!,3,0),0)</f>
        <v>0</v>
      </c>
      <c r="R294" s="1394">
        <f t="shared" si="30"/>
        <v>0</v>
      </c>
      <c r="S294" s="1394">
        <f>IFERROR(VLOOKUP(M294,#REF!,6,0),0)</f>
        <v>0</v>
      </c>
      <c r="T294" s="1394">
        <f t="shared" si="31"/>
        <v>0</v>
      </c>
      <c r="U294" s="1394">
        <f>IFERROR(VLOOKUP(M294,#REF!,5,0),0)</f>
        <v>0</v>
      </c>
      <c r="V294" s="1394">
        <f t="shared" si="32"/>
        <v>0</v>
      </c>
      <c r="W294" s="1394"/>
    </row>
    <row r="295" spans="1:24" ht="30" hidden="1" customHeight="1">
      <c r="B295" s="1407"/>
      <c r="C295" s="1432" t="str">
        <f>'det -detail'!B88&amp;" "&amp;'det -detail'!C88</f>
        <v xml:space="preserve"> </v>
      </c>
      <c r="D295" s="1409">
        <f>'det -detail'!E88</f>
        <v>0</v>
      </c>
      <c r="E295" s="1409">
        <f>'det -detail'!F88</f>
        <v>0</v>
      </c>
      <c r="F295" s="1410">
        <f>'det -detail'!G88</f>
        <v>0</v>
      </c>
      <c r="G295" s="1410">
        <f>'det -detail'!H88</f>
        <v>0</v>
      </c>
      <c r="H295" s="1411">
        <f>'det -detail'!L88</f>
        <v>0</v>
      </c>
      <c r="I295" s="1406">
        <f t="shared" si="38"/>
        <v>0</v>
      </c>
      <c r="Q295" s="1394">
        <f>IFERROR(VLOOKUP(M295,#REF!,3,0),0)</f>
        <v>0</v>
      </c>
      <c r="R295" s="1394">
        <f t="shared" si="30"/>
        <v>0</v>
      </c>
      <c r="S295" s="1394">
        <f>IFERROR(VLOOKUP(M295,#REF!,6,0),0)</f>
        <v>0</v>
      </c>
      <c r="T295" s="1394">
        <f t="shared" si="31"/>
        <v>0</v>
      </c>
      <c r="U295" s="1394">
        <f>IFERROR(VLOOKUP(M295,#REF!,5,0),0)</f>
        <v>0</v>
      </c>
      <c r="V295" s="1394">
        <f t="shared" si="32"/>
        <v>0</v>
      </c>
      <c r="W295" s="1394"/>
    </row>
    <row r="296" spans="1:24" ht="30" customHeight="1">
      <c r="B296" s="1407"/>
      <c r="C296" s="1408" t="str">
        <f>'Main Building Details'!C194</f>
        <v>Front step</v>
      </c>
      <c r="D296" s="1409">
        <f>'Main Building Details'!D194</f>
        <v>1</v>
      </c>
      <c r="E296" s="1409">
        <f>'Main Building Details'!E194</f>
        <v>1</v>
      </c>
      <c r="F296" s="1410">
        <f>'Main Building Details'!F194</f>
        <v>3.2250000000000001</v>
      </c>
      <c r="G296" s="1410">
        <f>'Main Building Details'!G194</f>
        <v>0.9</v>
      </c>
      <c r="H296" s="1411">
        <f>H293</f>
        <v>0.1</v>
      </c>
      <c r="I296" s="1406">
        <f t="shared" si="29"/>
        <v>0.29025000000000006</v>
      </c>
      <c r="J296" s="110" t="e">
        <f>+#REF!+#REF!+#REF!+#REF!+#REF!</f>
        <v>#REF!</v>
      </c>
      <c r="Q296" s="1394">
        <f>IFERROR(VLOOKUP(M296,#REF!,3,0),0)</f>
        <v>0</v>
      </c>
      <c r="R296" s="1394">
        <f t="shared" si="30"/>
        <v>0</v>
      </c>
      <c r="S296" s="1394">
        <f>IFERROR(VLOOKUP(M296,#REF!,6,0),0)</f>
        <v>0</v>
      </c>
      <c r="T296" s="1394">
        <f t="shared" si="31"/>
        <v>0</v>
      </c>
      <c r="U296" s="1394">
        <f>IFERROR(VLOOKUP(M296,#REF!,5,0),0)</f>
        <v>0</v>
      </c>
      <c r="V296" s="1394">
        <f t="shared" si="32"/>
        <v>0</v>
      </c>
      <c r="W296" s="1394"/>
    </row>
    <row r="297" spans="1:24" ht="30" customHeight="1">
      <c r="B297" s="1407"/>
      <c r="C297" s="1408" t="str">
        <f>'Main Building Details'!C195</f>
        <v>Inspection chambers</v>
      </c>
      <c r="D297" s="1409">
        <f>'Main Building Details'!D195</f>
        <v>1</v>
      </c>
      <c r="E297" s="1409">
        <f>'Main Building Details'!E195</f>
        <v>6</v>
      </c>
      <c r="F297" s="1410">
        <f>'Main Building Details'!F195</f>
        <v>1.35</v>
      </c>
      <c r="G297" s="1410">
        <f>'Main Building Details'!G195</f>
        <v>1.35</v>
      </c>
      <c r="H297" s="1411">
        <f>H296</f>
        <v>0.1</v>
      </c>
      <c r="I297" s="1406">
        <f t="shared" si="29"/>
        <v>1.0935000000000004</v>
      </c>
      <c r="Q297" s="1394">
        <f>IFERROR(VLOOKUP(M297,#REF!,3,0),0)</f>
        <v>0</v>
      </c>
      <c r="R297" s="1394">
        <f t="shared" si="30"/>
        <v>0</v>
      </c>
      <c r="S297" s="1394">
        <f>IFERROR(VLOOKUP(M297,#REF!,6,0),0)</f>
        <v>0</v>
      </c>
      <c r="T297" s="1394">
        <f t="shared" si="31"/>
        <v>0</v>
      </c>
      <c r="U297" s="1394">
        <f>IFERROR(VLOOKUP(M297,#REF!,5,0),0)</f>
        <v>0</v>
      </c>
      <c r="V297" s="1394">
        <f t="shared" si="32"/>
        <v>0</v>
      </c>
      <c r="W297" s="1394"/>
    </row>
    <row r="298" spans="1:24" ht="30" hidden="1" customHeight="1">
      <c r="B298" s="1407"/>
      <c r="C298" s="1408">
        <f>'Main Building Details'!C196</f>
        <v>0</v>
      </c>
      <c r="D298" s="1409">
        <f>'Main Building Details'!D196</f>
        <v>0</v>
      </c>
      <c r="E298" s="1409">
        <f>'Main Building Details'!E196</f>
        <v>0</v>
      </c>
      <c r="F298" s="1410">
        <f>'Main Building Details'!F196</f>
        <v>0</v>
      </c>
      <c r="G298" s="1410">
        <f>'Main Building Details'!G196</f>
        <v>0</v>
      </c>
      <c r="H298" s="1411"/>
      <c r="I298" s="1406">
        <f t="shared" si="29"/>
        <v>0</v>
      </c>
      <c r="Q298" s="1394">
        <f>IFERROR(VLOOKUP(M298,#REF!,3,0),0)</f>
        <v>0</v>
      </c>
      <c r="R298" s="1394">
        <f t="shared" si="30"/>
        <v>0</v>
      </c>
      <c r="S298" s="1394">
        <f>IFERROR(VLOOKUP(M298,#REF!,6,0),0)</f>
        <v>0</v>
      </c>
      <c r="T298" s="1394">
        <f t="shared" si="31"/>
        <v>0</v>
      </c>
      <c r="U298" s="1394">
        <f>IFERROR(VLOOKUP(M298,#REF!,5,0),0)</f>
        <v>0</v>
      </c>
      <c r="V298" s="1394">
        <f t="shared" si="32"/>
        <v>0</v>
      </c>
      <c r="W298" s="1394"/>
    </row>
    <row r="299" spans="1:24" ht="30" hidden="1" customHeight="1">
      <c r="B299" s="1407"/>
      <c r="C299" s="1408">
        <f>'Main Building Details'!C197</f>
        <v>0</v>
      </c>
      <c r="D299" s="1409">
        <f>'Main Building Details'!D197</f>
        <v>0</v>
      </c>
      <c r="E299" s="1409">
        <f>'Main Building Details'!E197</f>
        <v>0</v>
      </c>
      <c r="F299" s="1410">
        <f>'Main Building Details'!F197</f>
        <v>0</v>
      </c>
      <c r="G299" s="1410">
        <f>'Main Building Details'!G197</f>
        <v>0</v>
      </c>
      <c r="H299" s="1411"/>
      <c r="I299" s="1406">
        <f t="shared" si="29"/>
        <v>0</v>
      </c>
      <c r="Q299" s="1394">
        <f>IFERROR(VLOOKUP(M299,#REF!,3,0),0)</f>
        <v>0</v>
      </c>
      <c r="R299" s="1394">
        <f t="shared" si="30"/>
        <v>0</v>
      </c>
      <c r="S299" s="1394">
        <f>IFERROR(VLOOKUP(M299,#REF!,6,0),0)</f>
        <v>0</v>
      </c>
      <c r="T299" s="1394">
        <f t="shared" si="31"/>
        <v>0</v>
      </c>
      <c r="U299" s="1394">
        <f>IFERROR(VLOOKUP(M299,#REF!,5,0),0)</f>
        <v>0</v>
      </c>
      <c r="V299" s="1394">
        <f t="shared" si="32"/>
        <v>0</v>
      </c>
      <c r="W299" s="1394"/>
    </row>
    <row r="300" spans="1:24" ht="30" hidden="1" customHeight="1">
      <c r="B300" s="1407"/>
      <c r="C300" s="1451"/>
      <c r="D300" s="1452"/>
      <c r="E300" s="1452"/>
      <c r="F300" s="1453"/>
      <c r="G300" s="1453"/>
      <c r="H300" s="1414"/>
      <c r="I300" s="1454"/>
      <c r="Q300" s="1394">
        <f>IFERROR(VLOOKUP(M300,#REF!,3,0),0)</f>
        <v>0</v>
      </c>
      <c r="R300" s="1394">
        <f t="shared" si="30"/>
        <v>0</v>
      </c>
      <c r="S300" s="1394">
        <f>IFERROR(VLOOKUP(M300,#REF!,6,0),0)</f>
        <v>0</v>
      </c>
      <c r="T300" s="1394">
        <f t="shared" si="31"/>
        <v>0</v>
      </c>
      <c r="U300" s="1394">
        <f>IFERROR(VLOOKUP(M300,#REF!,5,0),0)</f>
        <v>0</v>
      </c>
      <c r="V300" s="1394">
        <f t="shared" si="32"/>
        <v>0</v>
      </c>
      <c r="W300" s="1394"/>
    </row>
    <row r="301" spans="1:24" s="1394" customFormat="1" ht="30" customHeight="1">
      <c r="B301" s="1421"/>
      <c r="C301" s="1422" t="s">
        <v>270</v>
      </c>
      <c r="D301" s="1389"/>
      <c r="E301" s="1389"/>
      <c r="F301" s="1423"/>
      <c r="G301" s="1423"/>
      <c r="H301" s="1424"/>
      <c r="I301" s="1425">
        <f>J302-J301</f>
        <v>5.5749999999992639E-2</v>
      </c>
      <c r="J301" s="1394">
        <f>SUM(I235:I299)</f>
        <v>29.14425000000001</v>
      </c>
      <c r="M301" s="1426"/>
      <c r="Q301" s="1394">
        <f>IFERROR(VLOOKUP(M301,#REF!,3,0),0)</f>
        <v>0</v>
      </c>
      <c r="R301" s="1394">
        <f t="shared" si="30"/>
        <v>0</v>
      </c>
      <c r="S301" s="1394">
        <f>IFERROR(VLOOKUP(M301,#REF!,6,0),0)</f>
        <v>0</v>
      </c>
      <c r="T301" s="1394">
        <f t="shared" si="31"/>
        <v>0</v>
      </c>
      <c r="U301" s="1394">
        <f>IFERROR(VLOOKUP(M301,#REF!,5,0),0)</f>
        <v>0</v>
      </c>
      <c r="V301" s="1394">
        <f t="shared" si="32"/>
        <v>0</v>
      </c>
    </row>
    <row r="302" spans="1:24" s="1394" customFormat="1" ht="30" customHeight="1">
      <c r="B302" s="1421"/>
      <c r="C302" s="1422"/>
      <c r="D302" s="1389"/>
      <c r="E302" s="1389"/>
      <c r="F302" s="1423"/>
      <c r="G302" s="1423"/>
      <c r="H302" s="1424"/>
      <c r="I302" s="1427">
        <f>+J302</f>
        <v>29.200000000000003</v>
      </c>
      <c r="J302" s="1394">
        <f>ROUNDUP(J301,1)</f>
        <v>29.200000000000003</v>
      </c>
      <c r="M302" s="1426"/>
      <c r="Q302" s="1394">
        <f>IFERROR(VLOOKUP(M302,#REF!,3,0),0)</f>
        <v>0</v>
      </c>
      <c r="R302" s="1394">
        <f t="shared" ref="R302:R365" si="39">ROUND(O302,2)*ROUND(Q302,2)</f>
        <v>0</v>
      </c>
      <c r="S302" s="1394">
        <f>IFERROR(VLOOKUP(M302,#REF!,6,0),0)</f>
        <v>0</v>
      </c>
      <c r="T302" s="1394">
        <f t="shared" ref="T302:T365" si="40">R302-S302</f>
        <v>0</v>
      </c>
      <c r="U302" s="1394">
        <f>IFERROR(VLOOKUP(M302,#REF!,5,0),0)</f>
        <v>0</v>
      </c>
      <c r="V302" s="1394">
        <f t="shared" ref="V302:V365" si="41">O302-U302</f>
        <v>0</v>
      </c>
    </row>
    <row r="303" spans="1:24" s="1394" customFormat="1" ht="30" customHeight="1">
      <c r="B303" s="1421"/>
      <c r="C303" s="1422"/>
      <c r="D303" s="1389"/>
      <c r="E303" s="1389"/>
      <c r="F303" s="1423"/>
      <c r="G303" s="1428" t="s">
        <v>11</v>
      </c>
      <c r="H303" s="1429">
        <f>I302</f>
        <v>29.200000000000003</v>
      </c>
      <c r="I303" s="1427" t="s">
        <v>19</v>
      </c>
      <c r="M303" s="1426" t="str">
        <f>A233</f>
        <v>C.C.1:5:10 for Foundation &amp; Basement</v>
      </c>
      <c r="N303" s="1394">
        <f>B233</f>
        <v>3.1</v>
      </c>
      <c r="O303" s="1394">
        <f>H303</f>
        <v>29.200000000000003</v>
      </c>
      <c r="P303" s="1394" t="str">
        <f>I303</f>
        <v>Cum</v>
      </c>
      <c r="Q303" s="1394">
        <f>IFERROR(VLOOKUP(M303,#REF!,3,0),0)</f>
        <v>0</v>
      </c>
      <c r="R303" s="1394">
        <f t="shared" si="39"/>
        <v>0</v>
      </c>
      <c r="S303" s="1394">
        <f>IFERROR(VLOOKUP(M303,#REF!,6,0),0)</f>
        <v>0</v>
      </c>
      <c r="T303" s="1394">
        <f t="shared" si="40"/>
        <v>0</v>
      </c>
      <c r="U303" s="1394">
        <f>IFERROR(VLOOKUP(M303,#REF!,5,0),0)</f>
        <v>0</v>
      </c>
      <c r="V303" s="1394">
        <f t="shared" si="41"/>
        <v>29.200000000000003</v>
      </c>
    </row>
    <row r="304" spans="1:24" ht="78" customHeight="1">
      <c r="A304" s="1394" t="s">
        <v>157</v>
      </c>
      <c r="B304" s="1405">
        <v>3.1</v>
      </c>
      <c r="C304" s="1678" t="e">
        <f>VLOOKUP(A304,#REF!,2,0)</f>
        <v>#REF!</v>
      </c>
      <c r="D304" s="1678"/>
      <c r="E304" s="1678"/>
      <c r="F304" s="1678"/>
      <c r="G304" s="1678"/>
      <c r="H304" s="1678"/>
      <c r="I304" s="1406"/>
      <c r="Q304" s="1394">
        <f>IFERROR(VLOOKUP(M304,#REF!,3,0),0)</f>
        <v>0</v>
      </c>
      <c r="R304" s="1394">
        <f t="shared" si="39"/>
        <v>0</v>
      </c>
      <c r="S304" s="1394">
        <f>IFERROR(VLOOKUP(M304,#REF!,6,0),0)</f>
        <v>0</v>
      </c>
      <c r="T304" s="1394">
        <f t="shared" si="40"/>
        <v>0</v>
      </c>
      <c r="U304" s="1394">
        <f>IFERROR(VLOOKUP(M304,#REF!,5,0),0)</f>
        <v>0</v>
      </c>
      <c r="V304" s="1394">
        <f t="shared" si="41"/>
        <v>0</v>
      </c>
      <c r="W304" s="1394"/>
      <c r="X304" s="1397"/>
    </row>
    <row r="305" spans="1:24" ht="30" hidden="1" customHeight="1">
      <c r="B305" s="1407"/>
      <c r="C305" s="1415"/>
      <c r="D305" s="1409"/>
      <c r="E305" s="1409"/>
      <c r="F305" s="1410"/>
      <c r="G305" s="1410"/>
      <c r="H305" s="1411"/>
      <c r="I305" s="1406"/>
      <c r="Q305" s="1394">
        <f>IFERROR(VLOOKUP(M305,#REF!,3,0),0)</f>
        <v>0</v>
      </c>
      <c r="R305" s="1394">
        <f t="shared" si="39"/>
        <v>0</v>
      </c>
      <c r="S305" s="1394">
        <f>IFERROR(VLOOKUP(M305,#REF!,6,0),0)</f>
        <v>0</v>
      </c>
      <c r="T305" s="1394">
        <f t="shared" si="40"/>
        <v>0</v>
      </c>
      <c r="U305" s="1394">
        <f>IFERROR(VLOOKUP(M305,#REF!,5,0),0)</f>
        <v>0</v>
      </c>
      <c r="V305" s="1394">
        <f t="shared" si="41"/>
        <v>0</v>
      </c>
      <c r="W305" s="1394"/>
    </row>
    <row r="306" spans="1:24" ht="30" customHeight="1">
      <c r="B306" s="1407"/>
      <c r="C306" s="1455" t="s">
        <v>5714</v>
      </c>
      <c r="D306" s="103">
        <v>1</v>
      </c>
      <c r="E306" s="103">
        <v>1</v>
      </c>
      <c r="F306" s="1413">
        <v>15.88</v>
      </c>
      <c r="G306" s="1413">
        <v>4.2300000000000004</v>
      </c>
      <c r="H306" s="1414">
        <v>0.05</v>
      </c>
      <c r="I306" s="1406">
        <f>PRODUCT(D306:H306)</f>
        <v>3.3586200000000006</v>
      </c>
      <c r="Q306" s="1394">
        <f>IFERROR(VLOOKUP(M306,#REF!,3,0),0)</f>
        <v>0</v>
      </c>
      <c r="R306" s="1394">
        <f t="shared" si="39"/>
        <v>0</v>
      </c>
      <c r="S306" s="1394">
        <f>IFERROR(VLOOKUP(M306,#REF!,6,0),0)</f>
        <v>0</v>
      </c>
      <c r="T306" s="1394">
        <f t="shared" si="40"/>
        <v>0</v>
      </c>
      <c r="U306" s="1394">
        <f>IFERROR(VLOOKUP(M306,#REF!,5,0),0)</f>
        <v>0</v>
      </c>
      <c r="V306" s="1394">
        <f t="shared" si="41"/>
        <v>0</v>
      </c>
      <c r="W306" s="1394"/>
    </row>
    <row r="307" spans="1:24" ht="30" customHeight="1">
      <c r="B307" s="1407"/>
      <c r="C307" s="1455" t="s">
        <v>5715</v>
      </c>
      <c r="D307" s="103">
        <v>1</v>
      </c>
      <c r="E307" s="103">
        <v>1</v>
      </c>
      <c r="F307" s="1413">
        <v>14.574999999999999</v>
      </c>
      <c r="G307" s="1413">
        <v>6.3250000000000002</v>
      </c>
      <c r="H307" s="1414">
        <v>0.05</v>
      </c>
      <c r="I307" s="1406">
        <f>PRODUCT(D307:H307)</f>
        <v>4.6093437499999999</v>
      </c>
      <c r="Q307" s="1394">
        <f>IFERROR(VLOOKUP(M307,#REF!,3,0),0)</f>
        <v>0</v>
      </c>
      <c r="R307" s="1394">
        <f t="shared" si="39"/>
        <v>0</v>
      </c>
      <c r="S307" s="1394">
        <f>IFERROR(VLOOKUP(M307,#REF!,6,0),0)</f>
        <v>0</v>
      </c>
      <c r="T307" s="1394">
        <f t="shared" si="40"/>
        <v>0</v>
      </c>
      <c r="U307" s="1394">
        <f>IFERROR(VLOOKUP(M307,#REF!,5,0),0)</f>
        <v>0</v>
      </c>
      <c r="V307" s="1394">
        <f t="shared" si="41"/>
        <v>0</v>
      </c>
      <c r="W307" s="1394"/>
    </row>
    <row r="308" spans="1:24" ht="30" customHeight="1">
      <c r="B308" s="1407"/>
      <c r="C308" s="1455" t="s">
        <v>5716</v>
      </c>
      <c r="D308" s="103">
        <v>1</v>
      </c>
      <c r="E308" s="103">
        <v>1</v>
      </c>
      <c r="F308" s="1413">
        <v>4.2300000000000004</v>
      </c>
      <c r="G308" s="1413">
        <v>9.5549999999999997</v>
      </c>
      <c r="H308" s="1414">
        <v>0.05</v>
      </c>
      <c r="I308" s="1406">
        <f>PRODUCT(D308:H308)</f>
        <v>2.0208825000000004</v>
      </c>
      <c r="Q308" s="1394">
        <f>IFERROR(VLOOKUP(M308,#REF!,3,0),0)</f>
        <v>0</v>
      </c>
      <c r="R308" s="1394">
        <f t="shared" si="39"/>
        <v>0</v>
      </c>
      <c r="S308" s="1394">
        <f>IFERROR(VLOOKUP(M308,#REF!,6,0),0)</f>
        <v>0</v>
      </c>
      <c r="T308" s="1394">
        <f t="shared" si="40"/>
        <v>0</v>
      </c>
      <c r="U308" s="1394">
        <f>IFERROR(VLOOKUP(M308,#REF!,5,0),0)</f>
        <v>0</v>
      </c>
      <c r="V308" s="1394">
        <f t="shared" si="41"/>
        <v>0</v>
      </c>
      <c r="W308" s="1394"/>
    </row>
    <row r="309" spans="1:24" ht="30" hidden="1" customHeight="1">
      <c r="B309" s="1407"/>
      <c r="C309" s="1455"/>
      <c r="D309" s="103"/>
      <c r="E309" s="103"/>
      <c r="F309" s="1413"/>
      <c r="G309" s="1413"/>
      <c r="H309" s="1414"/>
      <c r="I309" s="1406"/>
      <c r="Q309" s="1394">
        <f>IFERROR(VLOOKUP(M309,#REF!,3,0),0)</f>
        <v>0</v>
      </c>
      <c r="R309" s="1394">
        <f t="shared" si="39"/>
        <v>0</v>
      </c>
      <c r="S309" s="1394">
        <f>IFERROR(VLOOKUP(M309,#REF!,6,0),0)</f>
        <v>0</v>
      </c>
      <c r="T309" s="1394">
        <f t="shared" si="40"/>
        <v>0</v>
      </c>
      <c r="U309" s="1394">
        <f>IFERROR(VLOOKUP(M309,#REF!,5,0),0)</f>
        <v>0</v>
      </c>
      <c r="V309" s="1394">
        <f t="shared" si="41"/>
        <v>0</v>
      </c>
      <c r="W309" s="1394"/>
    </row>
    <row r="310" spans="1:24" ht="30" hidden="1" customHeight="1">
      <c r="B310" s="1407"/>
      <c r="C310" s="1455"/>
      <c r="D310" s="103"/>
      <c r="E310" s="103"/>
      <c r="F310" s="1413"/>
      <c r="G310" s="1413"/>
      <c r="H310" s="1414"/>
      <c r="I310" s="1406"/>
      <c r="Q310" s="1394">
        <f>IFERROR(VLOOKUP(M310,#REF!,3,0),0)</f>
        <v>0</v>
      </c>
      <c r="R310" s="1394">
        <f t="shared" si="39"/>
        <v>0</v>
      </c>
      <c r="S310" s="1394">
        <f>IFERROR(VLOOKUP(M310,#REF!,6,0),0)</f>
        <v>0</v>
      </c>
      <c r="T310" s="1394">
        <f t="shared" si="40"/>
        <v>0</v>
      </c>
      <c r="U310" s="1394">
        <f>IFERROR(VLOOKUP(M310,#REF!,5,0),0)</f>
        <v>0</v>
      </c>
      <c r="V310" s="1394">
        <f t="shared" si="41"/>
        <v>0</v>
      </c>
      <c r="W310" s="1394"/>
    </row>
    <row r="311" spans="1:24" ht="30" customHeight="1">
      <c r="B311" s="1407"/>
      <c r="C311" s="1451"/>
      <c r="D311" s="1452"/>
      <c r="E311" s="1452"/>
      <c r="F311" s="1453"/>
      <c r="G311" s="1453"/>
      <c r="H311" s="1414"/>
      <c r="I311" s="1454"/>
      <c r="Q311" s="1394">
        <f>IFERROR(VLOOKUP(M311,#REF!,3,0),0)</f>
        <v>0</v>
      </c>
      <c r="R311" s="1394">
        <f t="shared" si="39"/>
        <v>0</v>
      </c>
      <c r="S311" s="1394">
        <f>IFERROR(VLOOKUP(M311,#REF!,6,0),0)</f>
        <v>0</v>
      </c>
      <c r="T311" s="1394">
        <f t="shared" si="40"/>
        <v>0</v>
      </c>
      <c r="U311" s="1394">
        <f>IFERROR(VLOOKUP(M311,#REF!,5,0),0)</f>
        <v>0</v>
      </c>
      <c r="V311" s="1394">
        <f t="shared" si="41"/>
        <v>0</v>
      </c>
      <c r="W311" s="1394"/>
    </row>
    <row r="312" spans="1:24" s="1394" customFormat="1" ht="30" customHeight="1">
      <c r="B312" s="1421"/>
      <c r="C312" s="1422" t="s">
        <v>270</v>
      </c>
      <c r="D312" s="1389"/>
      <c r="E312" s="1389"/>
      <c r="F312" s="1423"/>
      <c r="G312" s="1423"/>
      <c r="H312" s="1424"/>
      <c r="I312" s="1425">
        <f>J313-J312</f>
        <v>1.1153749999998297E-2</v>
      </c>
      <c r="J312" s="1394">
        <f>SUM(I306:I310)</f>
        <v>9.9888462500000017</v>
      </c>
      <c r="M312" s="1426"/>
      <c r="Q312" s="1394">
        <f>IFERROR(VLOOKUP(M312,#REF!,3,0),0)</f>
        <v>0</v>
      </c>
      <c r="R312" s="1394">
        <f t="shared" si="39"/>
        <v>0</v>
      </c>
      <c r="S312" s="1394">
        <f>IFERROR(VLOOKUP(M312,#REF!,6,0),0)</f>
        <v>0</v>
      </c>
      <c r="T312" s="1394">
        <f t="shared" si="40"/>
        <v>0</v>
      </c>
      <c r="U312" s="1394">
        <f>IFERROR(VLOOKUP(M312,#REF!,5,0),0)</f>
        <v>0</v>
      </c>
      <c r="V312" s="1394">
        <f t="shared" si="41"/>
        <v>0</v>
      </c>
    </row>
    <row r="313" spans="1:24" s="1394" customFormat="1" ht="30" customHeight="1">
      <c r="B313" s="1421"/>
      <c r="C313" s="1422"/>
      <c r="D313" s="1389"/>
      <c r="E313" s="1389"/>
      <c r="F313" s="1423"/>
      <c r="G313" s="1423"/>
      <c r="H313" s="1424"/>
      <c r="I313" s="1427">
        <f>+J313</f>
        <v>10</v>
      </c>
      <c r="J313" s="1394">
        <f>ROUNDUP(J312,1)</f>
        <v>10</v>
      </c>
      <c r="M313" s="1426"/>
      <c r="Q313" s="1394">
        <f>IFERROR(VLOOKUP(M313,#REF!,3,0),0)</f>
        <v>0</v>
      </c>
      <c r="R313" s="1394">
        <f t="shared" si="39"/>
        <v>0</v>
      </c>
      <c r="S313" s="1394">
        <f>IFERROR(VLOOKUP(M313,#REF!,6,0),0)</f>
        <v>0</v>
      </c>
      <c r="T313" s="1394">
        <f t="shared" si="40"/>
        <v>0</v>
      </c>
      <c r="U313" s="1394">
        <f>IFERROR(VLOOKUP(M313,#REF!,5,0),0)</f>
        <v>0</v>
      </c>
      <c r="V313" s="1394">
        <f t="shared" si="41"/>
        <v>0</v>
      </c>
    </row>
    <row r="314" spans="1:24" s="1394" customFormat="1" ht="30" customHeight="1">
      <c r="B314" s="1421"/>
      <c r="C314" s="1422"/>
      <c r="D314" s="1389"/>
      <c r="E314" s="1389"/>
      <c r="F314" s="1423"/>
      <c r="G314" s="1428" t="s">
        <v>11</v>
      </c>
      <c r="H314" s="1429">
        <f>I313</f>
        <v>10</v>
      </c>
      <c r="I314" s="1427" t="s">
        <v>19</v>
      </c>
      <c r="M314" s="1426" t="str">
        <f>A304</f>
        <v>P.C.C. 1:2:4 for Foundation &amp; Basement and other similar works</v>
      </c>
      <c r="N314" s="1394">
        <f>B304</f>
        <v>3.1</v>
      </c>
      <c r="O314" s="1394">
        <f>H314</f>
        <v>10</v>
      </c>
      <c r="P314" s="1394" t="str">
        <f>I314</f>
        <v>Cum</v>
      </c>
      <c r="Q314" s="1394">
        <f>IFERROR(VLOOKUP(M314,#REF!,3,0),0)</f>
        <v>0</v>
      </c>
      <c r="R314" s="1394">
        <f t="shared" si="39"/>
        <v>0</v>
      </c>
      <c r="S314" s="1394">
        <f>IFERROR(VLOOKUP(M314,#REF!,6,0),0)</f>
        <v>0</v>
      </c>
      <c r="T314" s="1394">
        <f t="shared" si="40"/>
        <v>0</v>
      </c>
      <c r="U314" s="1394">
        <f>IFERROR(VLOOKUP(M314,#REF!,5,0),0)</f>
        <v>0</v>
      </c>
      <c r="V314" s="1394">
        <f t="shared" si="41"/>
        <v>10</v>
      </c>
    </row>
    <row r="315" spans="1:24" ht="90.75" customHeight="1">
      <c r="A315" s="1394" t="s">
        <v>280</v>
      </c>
      <c r="B315" s="1405">
        <v>4.0999999999999996</v>
      </c>
      <c r="C315" s="1678" t="e">
        <f>VLOOKUP(A315,#REF!,2,0)</f>
        <v>#REF!</v>
      </c>
      <c r="D315" s="1678"/>
      <c r="E315" s="1678"/>
      <c r="F315" s="1678"/>
      <c r="G315" s="1678"/>
      <c r="H315" s="1678"/>
      <c r="I315" s="1406"/>
      <c r="Q315" s="1394">
        <f>IFERROR(VLOOKUP(M315,#REF!,3,0),0)</f>
        <v>0</v>
      </c>
      <c r="R315" s="1394">
        <f t="shared" si="39"/>
        <v>0</v>
      </c>
      <c r="S315" s="1394">
        <f>IFERROR(VLOOKUP(M315,#REF!,6,0),0)</f>
        <v>0</v>
      </c>
      <c r="T315" s="1394">
        <f t="shared" si="40"/>
        <v>0</v>
      </c>
      <c r="U315" s="1394">
        <f>IFERROR(VLOOKUP(M315,#REF!,5,0),0)</f>
        <v>0</v>
      </c>
      <c r="V315" s="1394">
        <f t="shared" si="41"/>
        <v>0</v>
      </c>
      <c r="W315" s="1394"/>
      <c r="X315" s="1397"/>
    </row>
    <row r="316" spans="1:24" ht="30" customHeight="1">
      <c r="A316" s="1394" t="s">
        <v>987</v>
      </c>
      <c r="B316" s="1405"/>
      <c r="C316" s="1678" t="e">
        <f>VLOOKUP(A316,#REF!,2,0)</f>
        <v>#REF!</v>
      </c>
      <c r="D316" s="1678"/>
      <c r="E316" s="1678"/>
      <c r="F316" s="1678"/>
      <c r="G316" s="1678"/>
      <c r="H316" s="1678"/>
      <c r="I316" s="1406"/>
      <c r="L316" s="1397"/>
      <c r="Q316" s="1394">
        <f>IFERROR(VLOOKUP(M316,#REF!,3,0),0)</f>
        <v>0</v>
      </c>
      <c r="R316" s="1394">
        <f t="shared" si="39"/>
        <v>0</v>
      </c>
      <c r="S316" s="1394">
        <f>IFERROR(VLOOKUP(M316,#REF!,6,0),0)</f>
        <v>0</v>
      </c>
      <c r="T316" s="1394">
        <f t="shared" si="40"/>
        <v>0</v>
      </c>
      <c r="U316" s="1394">
        <f>IFERROR(VLOOKUP(M316,#REF!,5,0),0)</f>
        <v>0</v>
      </c>
      <c r="V316" s="1394">
        <f t="shared" si="41"/>
        <v>0</v>
      </c>
      <c r="W316" s="1394"/>
      <c r="X316" s="1397"/>
    </row>
    <row r="317" spans="1:24" ht="30" customHeight="1">
      <c r="B317" s="1407"/>
      <c r="C317" s="1415" t="s">
        <v>162</v>
      </c>
      <c r="D317" s="1409"/>
      <c r="E317" s="1409"/>
      <c r="F317" s="1410"/>
      <c r="G317" s="1410"/>
      <c r="H317" s="1411"/>
      <c r="I317" s="1406"/>
      <c r="Q317" s="1394">
        <f>IFERROR(VLOOKUP(M317,#REF!,3,0),0)</f>
        <v>0</v>
      </c>
      <c r="R317" s="1394">
        <f t="shared" si="39"/>
        <v>0</v>
      </c>
      <c r="S317" s="1394">
        <f>IFERROR(VLOOKUP(M317,#REF!,6,0),0)</f>
        <v>0</v>
      </c>
      <c r="T317" s="1394">
        <f t="shared" si="40"/>
        <v>0</v>
      </c>
      <c r="U317" s="1394">
        <f>IFERROR(VLOOKUP(M317,#REF!,5,0),0)</f>
        <v>0</v>
      </c>
      <c r="V317" s="1394">
        <f t="shared" si="41"/>
        <v>0</v>
      </c>
      <c r="W317" s="1394"/>
    </row>
    <row r="318" spans="1:24" ht="30" customHeight="1">
      <c r="B318" s="1407"/>
      <c r="C318" s="1408" t="str">
        <f>'det -detail'!B56&amp;'det -detail'!C56&amp;'det -detail'!D56</f>
        <v>For C1 F1 Footing</v>
      </c>
      <c r="D318" s="1416">
        <f>'det -detail'!E56</f>
        <v>1</v>
      </c>
      <c r="E318" s="1416">
        <f>'det -detail'!F56</f>
        <v>3</v>
      </c>
      <c r="F318" s="1410">
        <f>'det -detail'!G56</f>
        <v>1.2000000000000002</v>
      </c>
      <c r="G318" s="1410">
        <f>'det -detail'!H56</f>
        <v>1.2000000000000002</v>
      </c>
      <c r="H318" s="1411">
        <f>'det -detail'!I56</f>
        <v>0.3</v>
      </c>
      <c r="I318" s="1406">
        <f t="shared" ref="I318:I323" si="42">PRODUCT(D318:H318)</f>
        <v>1.2960000000000003</v>
      </c>
      <c r="K318" s="110" t="e">
        <f>'[6]det -detail'!#REF!&amp;'[6]det -detail'!#REF!&amp;'[6]det -detail'!#REF!</f>
        <v>#REF!</v>
      </c>
      <c r="Q318" s="1394">
        <f>IFERROR(VLOOKUP(M318,#REF!,3,0),0)</f>
        <v>0</v>
      </c>
      <c r="R318" s="1394">
        <f t="shared" si="39"/>
        <v>0</v>
      </c>
      <c r="S318" s="1394">
        <f>IFERROR(VLOOKUP(M318,#REF!,6,0),0)</f>
        <v>0</v>
      </c>
      <c r="T318" s="1394">
        <f t="shared" si="40"/>
        <v>0</v>
      </c>
      <c r="U318" s="1394">
        <f>IFERROR(VLOOKUP(M318,#REF!,5,0),0)</f>
        <v>0</v>
      </c>
      <c r="V318" s="1394">
        <f t="shared" si="41"/>
        <v>0</v>
      </c>
      <c r="W318" s="1394"/>
    </row>
    <row r="319" spans="1:24" ht="30" customHeight="1">
      <c r="B319" s="1407"/>
      <c r="C319" s="1408" t="str">
        <f>'det -detail'!B57&amp;'det -detail'!C57&amp;'det -detail'!D57</f>
        <v>For C2 F2 Footing</v>
      </c>
      <c r="D319" s="1416">
        <f>'det -detail'!E57</f>
        <v>1</v>
      </c>
      <c r="E319" s="1416">
        <f>'det -detail'!F57</f>
        <v>11</v>
      </c>
      <c r="F319" s="1410">
        <f>'det -detail'!G57</f>
        <v>1.6</v>
      </c>
      <c r="G319" s="1410">
        <f>'det -detail'!H57</f>
        <v>1.6</v>
      </c>
      <c r="H319" s="1411">
        <f>'det -detail'!I57</f>
        <v>0.45</v>
      </c>
      <c r="I319" s="1406">
        <f t="shared" si="42"/>
        <v>12.672000000000002</v>
      </c>
      <c r="Q319" s="1394">
        <f>IFERROR(VLOOKUP(M319,#REF!,3,0),0)</f>
        <v>0</v>
      </c>
      <c r="R319" s="1394">
        <f t="shared" si="39"/>
        <v>0</v>
      </c>
      <c r="S319" s="1394">
        <f>IFERROR(VLOOKUP(M319,#REF!,6,0),0)</f>
        <v>0</v>
      </c>
      <c r="T319" s="1394">
        <f t="shared" si="40"/>
        <v>0</v>
      </c>
      <c r="U319" s="1394">
        <f>IFERROR(VLOOKUP(M319,#REF!,5,0),0)</f>
        <v>0</v>
      </c>
      <c r="V319" s="1394">
        <f t="shared" si="41"/>
        <v>0</v>
      </c>
      <c r="W319" s="1394"/>
    </row>
    <row r="320" spans="1:24" ht="30" customHeight="1">
      <c r="B320" s="1407"/>
      <c r="C320" s="1408" t="str">
        <f>'det -detail'!B58&amp;'det -detail'!C58&amp;'det -detail'!D58</f>
        <v>For C3 F3 Footing</v>
      </c>
      <c r="D320" s="1416">
        <f>'det -detail'!E58</f>
        <v>1</v>
      </c>
      <c r="E320" s="1416">
        <f>'det -detail'!F58</f>
        <v>9</v>
      </c>
      <c r="F320" s="1410">
        <f>'det -detail'!G58</f>
        <v>1.8000000000000003</v>
      </c>
      <c r="G320" s="1410">
        <f>'det -detail'!H58</f>
        <v>1.8000000000000003</v>
      </c>
      <c r="H320" s="1411">
        <f>'det -detail'!I58</f>
        <v>0.45</v>
      </c>
      <c r="I320" s="1406">
        <f t="shared" si="42"/>
        <v>13.122000000000005</v>
      </c>
      <c r="J320" s="1397">
        <f>SUM(I318:I321)</f>
        <v>45.612000000000009</v>
      </c>
      <c r="K320" s="1397"/>
      <c r="Q320" s="1394">
        <f>IFERROR(VLOOKUP(M320,#REF!,3,0),0)</f>
        <v>0</v>
      </c>
      <c r="R320" s="1394">
        <f t="shared" si="39"/>
        <v>0</v>
      </c>
      <c r="S320" s="1394">
        <f>IFERROR(VLOOKUP(M320,#REF!,6,0),0)</f>
        <v>0</v>
      </c>
      <c r="T320" s="1394">
        <f t="shared" si="40"/>
        <v>0</v>
      </c>
      <c r="U320" s="1394">
        <f>IFERROR(VLOOKUP(M320,#REF!,5,0),0)</f>
        <v>0</v>
      </c>
      <c r="V320" s="1394">
        <f t="shared" si="41"/>
        <v>0</v>
      </c>
      <c r="W320" s="1394"/>
    </row>
    <row r="321" spans="1:23" ht="30" customHeight="1">
      <c r="B321" s="1407"/>
      <c r="C321" s="1408" t="str">
        <f>'det -detail'!B59&amp;'det -detail'!C59&amp;'det -detail'!D59</f>
        <v>For C4 F4 Footing</v>
      </c>
      <c r="D321" s="1416">
        <f>'det -detail'!E59</f>
        <v>1</v>
      </c>
      <c r="E321" s="1416">
        <f>'det -detail'!F59</f>
        <v>7</v>
      </c>
      <c r="F321" s="1410">
        <f>'det -detail'!G59</f>
        <v>2.1</v>
      </c>
      <c r="G321" s="1410">
        <f>'det -detail'!H59</f>
        <v>2.1</v>
      </c>
      <c r="H321" s="1411">
        <f>'det -detail'!I59</f>
        <v>0.6</v>
      </c>
      <c r="I321" s="1406">
        <f t="shared" si="42"/>
        <v>18.522000000000002</v>
      </c>
      <c r="J321" s="1397"/>
      <c r="K321" s="1397">
        <f>SUM(E318:E321)</f>
        <v>30</v>
      </c>
      <c r="Q321" s="1394">
        <f>IFERROR(VLOOKUP(M321,#REF!,3,0),0)</f>
        <v>0</v>
      </c>
      <c r="R321" s="1394">
        <f t="shared" si="39"/>
        <v>0</v>
      </c>
      <c r="S321" s="1394">
        <f>IFERROR(VLOOKUP(M321,#REF!,6,0),0)</f>
        <v>0</v>
      </c>
      <c r="T321" s="1394">
        <f t="shared" si="40"/>
        <v>0</v>
      </c>
      <c r="U321" s="1394">
        <f>IFERROR(VLOOKUP(M321,#REF!,5,0),0)</f>
        <v>0</v>
      </c>
      <c r="V321" s="1394">
        <f t="shared" si="41"/>
        <v>0</v>
      </c>
      <c r="W321" s="1394"/>
    </row>
    <row r="322" spans="1:23" ht="30" customHeight="1">
      <c r="B322" s="1407"/>
      <c r="C322" s="1408" t="s">
        <v>282</v>
      </c>
      <c r="D322" s="1416">
        <v>1</v>
      </c>
      <c r="E322" s="1416">
        <v>1</v>
      </c>
      <c r="F322" s="1410">
        <f>2.9+0.46</f>
        <v>3.36</v>
      </c>
      <c r="G322" s="1410">
        <f>2+0.46</f>
        <v>2.46</v>
      </c>
      <c r="H322" s="1411">
        <v>0.23</v>
      </c>
      <c r="I322" s="1406">
        <f t="shared" si="42"/>
        <v>1.9010879999999999</v>
      </c>
      <c r="J322" s="1397"/>
      <c r="K322" s="1397"/>
      <c r="Q322" s="1394">
        <f>IFERROR(VLOOKUP(M322,#REF!,3,0),0)</f>
        <v>0</v>
      </c>
      <c r="R322" s="1394">
        <f t="shared" si="39"/>
        <v>0</v>
      </c>
      <c r="S322" s="1394">
        <f>IFERROR(VLOOKUP(M322,#REF!,6,0),0)</f>
        <v>0</v>
      </c>
      <c r="T322" s="1394">
        <f t="shared" si="40"/>
        <v>0</v>
      </c>
      <c r="U322" s="1394">
        <f>IFERROR(VLOOKUP(M322,#REF!,5,0),0)</f>
        <v>0</v>
      </c>
      <c r="V322" s="1394">
        <f t="shared" si="41"/>
        <v>0</v>
      </c>
      <c r="W322" s="1394"/>
    </row>
    <row r="323" spans="1:23" ht="30" customHeight="1">
      <c r="B323" s="1407"/>
      <c r="C323" s="1415" t="s">
        <v>283</v>
      </c>
      <c r="D323" s="1416">
        <v>1</v>
      </c>
      <c r="E323" s="1416">
        <v>1</v>
      </c>
      <c r="F323" s="1410">
        <v>9.7200000000000006</v>
      </c>
      <c r="G323" s="1410">
        <v>0.23</v>
      </c>
      <c r="H323" s="1411">
        <v>0.3</v>
      </c>
      <c r="I323" s="1406">
        <f t="shared" si="42"/>
        <v>0.67068000000000005</v>
      </c>
      <c r="J323" s="1397"/>
      <c r="K323" s="1397"/>
      <c r="Q323" s="1394">
        <f>IFERROR(VLOOKUP(M323,#REF!,3,0),0)</f>
        <v>0</v>
      </c>
      <c r="R323" s="1394">
        <f t="shared" si="39"/>
        <v>0</v>
      </c>
      <c r="S323" s="1394">
        <f>IFERROR(VLOOKUP(M323,#REF!,6,0),0)</f>
        <v>0</v>
      </c>
      <c r="T323" s="1394">
        <f t="shared" si="40"/>
        <v>0</v>
      </c>
      <c r="U323" s="1394">
        <f>IFERROR(VLOOKUP(M323,#REF!,5,0),0)</f>
        <v>0</v>
      </c>
      <c r="V323" s="1394">
        <f t="shared" si="41"/>
        <v>0</v>
      </c>
      <c r="W323" s="1394"/>
    </row>
    <row r="324" spans="1:23" ht="30" customHeight="1">
      <c r="B324" s="1407"/>
      <c r="C324" s="1415" t="s">
        <v>5717</v>
      </c>
      <c r="D324" s="1409"/>
      <c r="E324" s="1409"/>
      <c r="F324" s="1410"/>
      <c r="G324" s="1410"/>
      <c r="H324" s="1411"/>
      <c r="I324" s="1406">
        <f t="shared" ref="I324:I330" si="43">PRODUCT(D324:H324)</f>
        <v>0</v>
      </c>
      <c r="L324" s="110">
        <f>3-0.6-0.45</f>
        <v>1.95</v>
      </c>
      <c r="Q324" s="1394">
        <f>IFERROR(VLOOKUP(M324,#REF!,3,0),0)</f>
        <v>0</v>
      </c>
      <c r="R324" s="1394">
        <f t="shared" si="39"/>
        <v>0</v>
      </c>
      <c r="S324" s="1394">
        <f>IFERROR(VLOOKUP(M324,#REF!,6,0),0)</f>
        <v>0</v>
      </c>
      <c r="T324" s="1394">
        <f t="shared" si="40"/>
        <v>0</v>
      </c>
      <c r="U324" s="1394">
        <f>IFERROR(VLOOKUP(M324,#REF!,5,0),0)</f>
        <v>0</v>
      </c>
      <c r="V324" s="1394">
        <f t="shared" si="41"/>
        <v>0</v>
      </c>
      <c r="W324" s="1394"/>
    </row>
    <row r="325" spans="1:23" ht="30" customHeight="1">
      <c r="B325" s="1407"/>
      <c r="C325" s="1408" t="str">
        <f>'det -detail'!B99</f>
        <v xml:space="preserve">For C1 Round Column Dia 0.3 Radius = 0.15 </v>
      </c>
      <c r="D325" s="1416">
        <f>'det -detail'!E99</f>
        <v>4</v>
      </c>
      <c r="E325" s="1416">
        <f>'det -detail'!F99</f>
        <v>3.14</v>
      </c>
      <c r="F325" s="1410">
        <f>'det -detail'!G99</f>
        <v>0.15</v>
      </c>
      <c r="G325" s="1410">
        <f>'det -detail'!H99</f>
        <v>0.15</v>
      </c>
      <c r="H325" s="1411">
        <f>(H11+H48+H89)-H101-H235-H318-(2-0.38)</f>
        <v>1.88</v>
      </c>
      <c r="I325" s="1406">
        <f t="shared" si="43"/>
        <v>0.53128799999999987</v>
      </c>
      <c r="J325" s="1397"/>
      <c r="K325" s="1397"/>
      <c r="Q325" s="1394">
        <f>IFERROR(VLOOKUP(M325,#REF!,3,0),0)</f>
        <v>0</v>
      </c>
      <c r="R325" s="1394">
        <f t="shared" si="39"/>
        <v>0</v>
      </c>
      <c r="S325" s="1394">
        <f>IFERROR(VLOOKUP(M325,#REF!,6,0),0)</f>
        <v>0</v>
      </c>
      <c r="T325" s="1394">
        <f t="shared" si="40"/>
        <v>0</v>
      </c>
      <c r="U325" s="1394">
        <f>IFERROR(VLOOKUP(M325,#REF!,5,0),0)</f>
        <v>0</v>
      </c>
      <c r="V325" s="1394">
        <f t="shared" si="41"/>
        <v>0</v>
      </c>
      <c r="W325" s="1394"/>
    </row>
    <row r="326" spans="1:23" ht="30" customHeight="1">
      <c r="B326" s="1407"/>
      <c r="C326" s="1408" t="str">
        <f>'det -detail'!B100</f>
        <v>For C2</v>
      </c>
      <c r="D326" s="1416">
        <f>'det -detail'!E100</f>
        <v>11</v>
      </c>
      <c r="E326" s="1416">
        <f>'det -detail'!F100</f>
        <v>1</v>
      </c>
      <c r="F326" s="1410">
        <f>'det -detail'!G100</f>
        <v>0.23</v>
      </c>
      <c r="G326" s="1410">
        <f>'det -detail'!H100</f>
        <v>0.38</v>
      </c>
      <c r="H326" s="1411">
        <f>(H11+H49+H90)-H102-H236-H319-(2-0.38)</f>
        <v>1.7299999999999995</v>
      </c>
      <c r="I326" s="1406">
        <f t="shared" si="43"/>
        <v>1.6632219999999998</v>
      </c>
      <c r="J326" s="1397"/>
      <c r="K326" s="1397"/>
      <c r="Q326" s="1394">
        <f>IFERROR(VLOOKUP(M326,#REF!,3,0),0)</f>
        <v>0</v>
      </c>
      <c r="R326" s="1394">
        <f t="shared" si="39"/>
        <v>0</v>
      </c>
      <c r="S326" s="1394">
        <f>IFERROR(VLOOKUP(M326,#REF!,6,0),0)</f>
        <v>0</v>
      </c>
      <c r="T326" s="1394">
        <f t="shared" si="40"/>
        <v>0</v>
      </c>
      <c r="U326" s="1394">
        <f>IFERROR(VLOOKUP(M326,#REF!,5,0),0)</f>
        <v>0</v>
      </c>
      <c r="V326" s="1394">
        <f t="shared" si="41"/>
        <v>0</v>
      </c>
      <c r="W326" s="1394"/>
    </row>
    <row r="327" spans="1:23" ht="30" customHeight="1">
      <c r="A327" s="1397"/>
      <c r="B327" s="1407"/>
      <c r="C327" s="1408" t="str">
        <f>'det -detail'!B101</f>
        <v>For C3</v>
      </c>
      <c r="D327" s="1416">
        <f>'det -detail'!E101</f>
        <v>10</v>
      </c>
      <c r="E327" s="1416">
        <f>'det -detail'!F101</f>
        <v>1</v>
      </c>
      <c r="F327" s="1410">
        <f>'det -detail'!G101</f>
        <v>0.23</v>
      </c>
      <c r="G327" s="1410">
        <f>'det -detail'!H101</f>
        <v>0.45</v>
      </c>
      <c r="H327" s="1411">
        <f>(H11+H50+H91)-H103-H237-H320-(2-0.38)</f>
        <v>1.7299999999999995</v>
      </c>
      <c r="I327" s="1406">
        <f t="shared" si="43"/>
        <v>1.7905499999999999</v>
      </c>
      <c r="J327" s="1397"/>
      <c r="K327" s="1397"/>
      <c r="L327" s="1397">
        <f>SUM(I325:I328)</f>
        <v>5.478159999999999</v>
      </c>
      <c r="Q327" s="1394">
        <f>IFERROR(VLOOKUP(M327,#REF!,3,0),0)</f>
        <v>0</v>
      </c>
      <c r="R327" s="1394">
        <f t="shared" si="39"/>
        <v>0</v>
      </c>
      <c r="S327" s="1394">
        <f>IFERROR(VLOOKUP(M327,#REF!,6,0),0)</f>
        <v>0</v>
      </c>
      <c r="T327" s="1394">
        <f t="shared" si="40"/>
        <v>0</v>
      </c>
      <c r="U327" s="1394">
        <f>IFERROR(VLOOKUP(M327,#REF!,5,0),0)</f>
        <v>0</v>
      </c>
      <c r="V327" s="1394">
        <f t="shared" si="41"/>
        <v>0</v>
      </c>
      <c r="W327" s="1394"/>
    </row>
    <row r="328" spans="1:23" ht="30" customHeight="1">
      <c r="B328" s="1407"/>
      <c r="C328" s="1408" t="str">
        <f>'det -detail'!B102</f>
        <v>For C4</v>
      </c>
      <c r="D328" s="1416">
        <f>'det -detail'!E102</f>
        <v>7</v>
      </c>
      <c r="E328" s="1416">
        <f>'det -detail'!F102</f>
        <v>1</v>
      </c>
      <c r="F328" s="1410">
        <f>'det -detail'!G102</f>
        <v>0.3</v>
      </c>
      <c r="G328" s="1410">
        <f>'det -detail'!H102</f>
        <v>0.45</v>
      </c>
      <c r="H328" s="1411">
        <f>(H11+H51+H92)-H104-H238-H321-(2-0.38)</f>
        <v>1.5799999999999996</v>
      </c>
      <c r="I328" s="1406">
        <f t="shared" si="43"/>
        <v>1.4930999999999996</v>
      </c>
      <c r="J328" s="1397"/>
      <c r="K328" s="1397"/>
      <c r="Q328" s="1394">
        <f>IFERROR(VLOOKUP(M328,#REF!,3,0),0)</f>
        <v>0</v>
      </c>
      <c r="R328" s="1394">
        <f t="shared" si="39"/>
        <v>0</v>
      </c>
      <c r="S328" s="1394">
        <f>IFERROR(VLOOKUP(M328,#REF!,6,0),0)</f>
        <v>0</v>
      </c>
      <c r="T328" s="1394">
        <f t="shared" si="40"/>
        <v>0</v>
      </c>
      <c r="U328" s="1394">
        <f>IFERROR(VLOOKUP(M328,#REF!,5,0),0)</f>
        <v>0</v>
      </c>
      <c r="V328" s="1394">
        <f t="shared" si="41"/>
        <v>0</v>
      </c>
      <c r="W328" s="1394"/>
    </row>
    <row r="329" spans="1:23" ht="30" customHeight="1">
      <c r="B329" s="1407"/>
      <c r="C329" s="1415" t="s">
        <v>5718</v>
      </c>
      <c r="D329" s="1416"/>
      <c r="E329" s="1416"/>
      <c r="F329" s="1410"/>
      <c r="G329" s="1410"/>
      <c r="H329" s="1411"/>
      <c r="I329" s="1406">
        <f t="shared" si="43"/>
        <v>0</v>
      </c>
      <c r="J329" s="1397"/>
      <c r="K329" s="1397"/>
      <c r="Q329" s="1394">
        <f>IFERROR(VLOOKUP(M329,#REF!,3,0),0)</f>
        <v>0</v>
      </c>
      <c r="R329" s="1394">
        <f t="shared" si="39"/>
        <v>0</v>
      </c>
      <c r="S329" s="1394">
        <f>IFERROR(VLOOKUP(M329,#REF!,6,0),0)</f>
        <v>0</v>
      </c>
      <c r="T329" s="1394">
        <f t="shared" si="40"/>
        <v>0</v>
      </c>
      <c r="U329" s="1394">
        <f>IFERROR(VLOOKUP(M329,#REF!,5,0),0)</f>
        <v>0</v>
      </c>
      <c r="V329" s="1394">
        <f t="shared" si="41"/>
        <v>0</v>
      </c>
      <c r="W329" s="1394"/>
    </row>
    <row r="330" spans="1:23" ht="30" customHeight="1">
      <c r="B330" s="1407"/>
      <c r="C330" s="1408" t="str">
        <f>'det -detail'!B65&amp;'det -detail'!C65</f>
        <v>-X- Direction</v>
      </c>
      <c r="D330" s="1416"/>
      <c r="E330" s="1416"/>
      <c r="F330" s="1410"/>
      <c r="G330" s="1410"/>
      <c r="H330" s="1411"/>
      <c r="I330" s="1406">
        <f t="shared" si="43"/>
        <v>0</v>
      </c>
      <c r="J330" s="1397"/>
      <c r="K330" s="1397"/>
      <c r="Q330" s="1394">
        <f>IFERROR(VLOOKUP(M330,#REF!,3,0),0)</f>
        <v>0</v>
      </c>
      <c r="R330" s="1394">
        <f t="shared" si="39"/>
        <v>0</v>
      </c>
      <c r="S330" s="1394">
        <f>IFERROR(VLOOKUP(M330,#REF!,6,0),0)</f>
        <v>0</v>
      </c>
      <c r="T330" s="1394">
        <f t="shared" si="40"/>
        <v>0</v>
      </c>
      <c r="U330" s="1394">
        <f>IFERROR(VLOOKUP(M330,#REF!,5,0),0)</f>
        <v>0</v>
      </c>
      <c r="V330" s="1394">
        <f t="shared" si="41"/>
        <v>0</v>
      </c>
      <c r="W330" s="1394"/>
    </row>
    <row r="331" spans="1:23" ht="30" customHeight="1">
      <c r="B331" s="1407"/>
      <c r="C331" s="1408" t="str">
        <f>'det -detail'!B66&amp;'det -detail'!C66</f>
        <v>A3 to B3, A5 to B5 , A6 to B6 and A6 to B6GB-2</v>
      </c>
      <c r="D331" s="1416">
        <f>'det -detail'!E66</f>
        <v>1</v>
      </c>
      <c r="E331" s="1416">
        <f>'det -detail'!F66</f>
        <v>4</v>
      </c>
      <c r="F331" s="1410">
        <f>'det -detail'!G66</f>
        <v>4.2300000000000004</v>
      </c>
      <c r="G331" s="1410">
        <f>'det -detail'!K66</f>
        <v>0.23</v>
      </c>
      <c r="H331" s="1411">
        <f>'det -detail'!M66</f>
        <v>0.30000000000000004</v>
      </c>
      <c r="I331" s="1406">
        <f>PRODUCT(D331:H331)</f>
        <v>1.1674800000000003</v>
      </c>
      <c r="J331" s="1397"/>
      <c r="K331" s="1397"/>
      <c r="Q331" s="1394">
        <f>IFERROR(VLOOKUP(M331,#REF!,3,0),0)</f>
        <v>0</v>
      </c>
      <c r="R331" s="1394">
        <f t="shared" si="39"/>
        <v>0</v>
      </c>
      <c r="S331" s="1394">
        <f>IFERROR(VLOOKUP(M331,#REF!,6,0),0)</f>
        <v>0</v>
      </c>
      <c r="T331" s="1394">
        <f t="shared" si="40"/>
        <v>0</v>
      </c>
      <c r="U331" s="1394">
        <f>IFERROR(VLOOKUP(M331,#REF!,5,0),0)</f>
        <v>0</v>
      </c>
      <c r="V331" s="1394">
        <f t="shared" si="41"/>
        <v>0</v>
      </c>
      <c r="W331" s="1394"/>
    </row>
    <row r="332" spans="1:23" ht="30" customHeight="1">
      <c r="B332" s="1407"/>
      <c r="C332" s="1408" t="str">
        <f>'det -detail'!B67&amp;'det -detail'!C67</f>
        <v>D1 to F1 &amp; D2 to F2GB-3</v>
      </c>
      <c r="D332" s="1416">
        <f>'det -detail'!E67</f>
        <v>1</v>
      </c>
      <c r="E332" s="1416">
        <f>'det -detail'!F67</f>
        <v>2</v>
      </c>
      <c r="F332" s="1410">
        <f>'det -detail'!G67</f>
        <v>3.6549999999999998</v>
      </c>
      <c r="G332" s="1410">
        <f>'det -detail'!K67</f>
        <v>0.23</v>
      </c>
      <c r="H332" s="1411">
        <f>'det -detail'!M67</f>
        <v>0.30000000000000004</v>
      </c>
      <c r="I332" s="1406">
        <f t="shared" ref="I332:I351" si="44">PRODUCT(D332:H332)</f>
        <v>0.50439000000000012</v>
      </c>
      <c r="J332" s="1397"/>
      <c r="K332" s="1397"/>
      <c r="Q332" s="1394">
        <f>IFERROR(VLOOKUP(M332,#REF!,3,0),0)</f>
        <v>0</v>
      </c>
      <c r="R332" s="1394">
        <f t="shared" si="39"/>
        <v>0</v>
      </c>
      <c r="S332" s="1394">
        <f>IFERROR(VLOOKUP(M332,#REF!,6,0),0)</f>
        <v>0</v>
      </c>
      <c r="T332" s="1394">
        <f t="shared" si="40"/>
        <v>0</v>
      </c>
      <c r="U332" s="1394">
        <f>IFERROR(VLOOKUP(M332,#REF!,5,0),0)</f>
        <v>0</v>
      </c>
      <c r="V332" s="1394">
        <f t="shared" si="41"/>
        <v>0</v>
      </c>
      <c r="W332" s="1394"/>
    </row>
    <row r="333" spans="1:23" ht="30" customHeight="1">
      <c r="B333" s="1407"/>
      <c r="C333" s="1408" t="str">
        <f>'det -detail'!B68&amp;'det -detail'!C68</f>
        <v>B3 to F3GB-1</v>
      </c>
      <c r="D333" s="1416">
        <f>'det -detail'!E68</f>
        <v>1</v>
      </c>
      <c r="E333" s="1416">
        <f>'det -detail'!F68</f>
        <v>1</v>
      </c>
      <c r="F333" s="1410">
        <f>'det -detail'!G68</f>
        <v>6.8849999999999998</v>
      </c>
      <c r="G333" s="1410">
        <f>'det -detail'!K68</f>
        <v>0.23</v>
      </c>
      <c r="H333" s="1411">
        <f>'det -detail'!M68</f>
        <v>0.38</v>
      </c>
      <c r="I333" s="1406">
        <f t="shared" si="44"/>
        <v>0.60174899999999998</v>
      </c>
      <c r="J333" s="1397"/>
      <c r="K333" s="1397"/>
      <c r="Q333" s="1394">
        <f>IFERROR(VLOOKUP(M333,#REF!,3,0),0)</f>
        <v>0</v>
      </c>
      <c r="R333" s="1394">
        <f t="shared" si="39"/>
        <v>0</v>
      </c>
      <c r="S333" s="1394">
        <f>IFERROR(VLOOKUP(M333,#REF!,6,0),0)</f>
        <v>0</v>
      </c>
      <c r="T333" s="1394">
        <f t="shared" si="40"/>
        <v>0</v>
      </c>
      <c r="U333" s="1394">
        <f>IFERROR(VLOOKUP(M333,#REF!,5,0),0)</f>
        <v>0</v>
      </c>
      <c r="V333" s="1394">
        <f t="shared" si="41"/>
        <v>0</v>
      </c>
      <c r="W333" s="1394"/>
    </row>
    <row r="334" spans="1:23" ht="30" customHeight="1">
      <c r="B334" s="1407"/>
      <c r="C334" s="1408" t="str">
        <f>'det -detail'!B69&amp;'det -detail'!C69</f>
        <v>F3 to H3GB-2</v>
      </c>
      <c r="D334" s="1416">
        <f>'det -detail'!E69</f>
        <v>1</v>
      </c>
      <c r="E334" s="1416">
        <f>'det -detail'!F69</f>
        <v>1</v>
      </c>
      <c r="F334" s="1410">
        <f>'det -detail'!G69</f>
        <v>7.46</v>
      </c>
      <c r="G334" s="1410">
        <f>'det -detail'!K69</f>
        <v>0.23</v>
      </c>
      <c r="H334" s="1411">
        <f>'det -detail'!M69</f>
        <v>0.30000000000000004</v>
      </c>
      <c r="I334" s="1406">
        <f t="shared" si="44"/>
        <v>0.51474000000000009</v>
      </c>
      <c r="J334" s="1397"/>
      <c r="K334" s="1397"/>
      <c r="Q334" s="1394">
        <f>IFERROR(VLOOKUP(M334,#REF!,3,0),0)</f>
        <v>0</v>
      </c>
      <c r="R334" s="1394">
        <f t="shared" si="39"/>
        <v>0</v>
      </c>
      <c r="S334" s="1394">
        <f>IFERROR(VLOOKUP(M334,#REF!,6,0),0)</f>
        <v>0</v>
      </c>
      <c r="T334" s="1394">
        <f t="shared" si="40"/>
        <v>0</v>
      </c>
      <c r="U334" s="1394">
        <f>IFERROR(VLOOKUP(M334,#REF!,5,0),0)</f>
        <v>0</v>
      </c>
      <c r="V334" s="1394">
        <f t="shared" si="41"/>
        <v>0</v>
      </c>
      <c r="W334" s="1394"/>
    </row>
    <row r="335" spans="1:23" ht="30" customHeight="1">
      <c r="B335" s="1407"/>
      <c r="C335" s="1408" t="str">
        <f>'det -detail'!B70&amp;'det -detail'!C70</f>
        <v>C4 to F4 , C5 to F5GB-1</v>
      </c>
      <c r="D335" s="1416">
        <f>'det -detail'!E70</f>
        <v>1</v>
      </c>
      <c r="E335" s="1416">
        <f>'det -detail'!F70</f>
        <v>2</v>
      </c>
      <c r="F335" s="1410">
        <f>'det -detail'!G70</f>
        <v>4.5549999999999997</v>
      </c>
      <c r="G335" s="1410">
        <f>'det -detail'!K70</f>
        <v>0.23</v>
      </c>
      <c r="H335" s="1411">
        <f>'det -detail'!M70</f>
        <v>0.38</v>
      </c>
      <c r="I335" s="1406">
        <f t="shared" si="44"/>
        <v>0.79621399999999998</v>
      </c>
      <c r="J335" s="1397"/>
      <c r="K335" s="1397"/>
      <c r="Q335" s="1394">
        <f>IFERROR(VLOOKUP(M335,#REF!,3,0),0)</f>
        <v>0</v>
      </c>
      <c r="R335" s="1394">
        <f t="shared" si="39"/>
        <v>0</v>
      </c>
      <c r="S335" s="1394">
        <f>IFERROR(VLOOKUP(M335,#REF!,6,0),0)</f>
        <v>0</v>
      </c>
      <c r="T335" s="1394">
        <f t="shared" si="40"/>
        <v>0</v>
      </c>
      <c r="U335" s="1394">
        <f>IFERROR(VLOOKUP(M335,#REF!,5,0),0)</f>
        <v>0</v>
      </c>
      <c r="V335" s="1394">
        <f t="shared" si="41"/>
        <v>0</v>
      </c>
      <c r="W335" s="1394"/>
    </row>
    <row r="336" spans="1:23" ht="30" customHeight="1">
      <c r="B336" s="1407"/>
      <c r="C336" s="1408" t="str">
        <f>'det -detail'!B71&amp;'det -detail'!C71</f>
        <v>B4 to C4 , B5 to C5GB-1</v>
      </c>
      <c r="D336" s="1416">
        <f>'det -detail'!E71</f>
        <v>1</v>
      </c>
      <c r="E336" s="1416">
        <f>'det -detail'!F71</f>
        <v>2</v>
      </c>
      <c r="F336" s="1410">
        <f>'det -detail'!G71</f>
        <v>2.33</v>
      </c>
      <c r="G336" s="1410">
        <f>'det -detail'!K71</f>
        <v>0.23</v>
      </c>
      <c r="H336" s="1411">
        <f>'det -detail'!M71</f>
        <v>0.38</v>
      </c>
      <c r="I336" s="1406">
        <f t="shared" si="44"/>
        <v>0.40728400000000003</v>
      </c>
      <c r="J336" s="1397"/>
      <c r="K336" s="1397"/>
      <c r="Q336" s="1394">
        <f>IFERROR(VLOOKUP(M336,#REF!,3,0),0)</f>
        <v>0</v>
      </c>
      <c r="R336" s="1394">
        <f t="shared" si="39"/>
        <v>0</v>
      </c>
      <c r="S336" s="1394">
        <f>IFERROR(VLOOKUP(M336,#REF!,6,0),0)</f>
        <v>0</v>
      </c>
      <c r="T336" s="1394">
        <f t="shared" si="40"/>
        <v>0</v>
      </c>
      <c r="U336" s="1394">
        <f>IFERROR(VLOOKUP(M336,#REF!,5,0),0)</f>
        <v>0</v>
      </c>
      <c r="V336" s="1394">
        <f t="shared" si="41"/>
        <v>0</v>
      </c>
      <c r="W336" s="1394"/>
    </row>
    <row r="337" spans="2:23" ht="30" customHeight="1">
      <c r="B337" s="1407"/>
      <c r="C337" s="1408" t="str">
        <f>'det -detail'!B72&amp;'det -detail'!C72</f>
        <v>F5 to G5 GB-2</v>
      </c>
      <c r="D337" s="1416">
        <f>'det -detail'!E72</f>
        <v>1</v>
      </c>
      <c r="E337" s="1416">
        <f>'det -detail'!F72</f>
        <v>1</v>
      </c>
      <c r="F337" s="1410">
        <f>'det -detail'!G72</f>
        <v>3.4649999999999999</v>
      </c>
      <c r="G337" s="1410">
        <f>'det -detail'!K72</f>
        <v>0.23</v>
      </c>
      <c r="H337" s="1411">
        <f>'det -detail'!M72</f>
        <v>0.30000000000000004</v>
      </c>
      <c r="I337" s="1406">
        <f t="shared" si="44"/>
        <v>0.23908500000000005</v>
      </c>
      <c r="J337" s="1397"/>
      <c r="K337" s="1397"/>
      <c r="Q337" s="1394">
        <f>IFERROR(VLOOKUP(M337,#REF!,3,0),0)</f>
        <v>0</v>
      </c>
      <c r="R337" s="1394">
        <f t="shared" si="39"/>
        <v>0</v>
      </c>
      <c r="S337" s="1394">
        <f>IFERROR(VLOOKUP(M337,#REF!,6,0),0)</f>
        <v>0</v>
      </c>
      <c r="T337" s="1394">
        <f t="shared" si="40"/>
        <v>0</v>
      </c>
      <c r="U337" s="1394">
        <f>IFERROR(VLOOKUP(M337,#REF!,5,0),0)</f>
        <v>0</v>
      </c>
      <c r="V337" s="1394">
        <f t="shared" si="41"/>
        <v>0</v>
      </c>
      <c r="W337" s="1394"/>
    </row>
    <row r="338" spans="2:23" ht="30" customHeight="1">
      <c r="B338" s="1407"/>
      <c r="C338" s="1408" t="str">
        <f>'det -detail'!B73&amp;'det -detail'!C73</f>
        <v>G5 to H5 GB-2</v>
      </c>
      <c r="D338" s="1416">
        <f>'det -detail'!E73</f>
        <v>1</v>
      </c>
      <c r="E338" s="1416">
        <f>'det -detail'!F73</f>
        <v>1</v>
      </c>
      <c r="F338" s="1410">
        <f>'det -detail'!G73</f>
        <v>3.9950000000000001</v>
      </c>
      <c r="G338" s="1410">
        <f>'det -detail'!K73</f>
        <v>0.23</v>
      </c>
      <c r="H338" s="1411">
        <f>'det -detail'!M73</f>
        <v>0.30000000000000004</v>
      </c>
      <c r="I338" s="1406">
        <f t="shared" si="44"/>
        <v>0.27565500000000004</v>
      </c>
      <c r="J338" s="1397"/>
      <c r="K338" s="1397"/>
      <c r="Q338" s="1394">
        <f>IFERROR(VLOOKUP(M338,#REF!,3,0),0)</f>
        <v>0</v>
      </c>
      <c r="R338" s="1394">
        <f t="shared" si="39"/>
        <v>0</v>
      </c>
      <c r="S338" s="1394">
        <f>IFERROR(VLOOKUP(M338,#REF!,6,0),0)</f>
        <v>0</v>
      </c>
      <c r="T338" s="1394">
        <f t="shared" si="40"/>
        <v>0</v>
      </c>
      <c r="U338" s="1394">
        <f>IFERROR(VLOOKUP(M338,#REF!,5,0),0)</f>
        <v>0</v>
      </c>
      <c r="V338" s="1394">
        <f t="shared" si="41"/>
        <v>0</v>
      </c>
      <c r="W338" s="1394"/>
    </row>
    <row r="339" spans="2:23" ht="30" customHeight="1">
      <c r="B339" s="1407"/>
      <c r="C339" s="1408" t="str">
        <f>'det -detail'!B74&amp;'det -detail'!C74</f>
        <v>B6' to D6'GB-3</v>
      </c>
      <c r="D339" s="1416">
        <f>'det -detail'!E74</f>
        <v>1</v>
      </c>
      <c r="E339" s="1416">
        <f>'det -detail'!F74</f>
        <v>1</v>
      </c>
      <c r="F339" s="1410">
        <f>'det -detail'!G74</f>
        <v>3.125</v>
      </c>
      <c r="G339" s="1410">
        <f>'det -detail'!K74</f>
        <v>0.23</v>
      </c>
      <c r="H339" s="1411">
        <f>'det -detail'!M74</f>
        <v>0.30000000000000004</v>
      </c>
      <c r="I339" s="1406">
        <f t="shared" si="44"/>
        <v>0.21562500000000004</v>
      </c>
      <c r="J339" s="1397"/>
      <c r="K339" s="1397"/>
      <c r="Q339" s="1394">
        <f>IFERROR(VLOOKUP(M339,#REF!,3,0),0)</f>
        <v>0</v>
      </c>
      <c r="R339" s="1394">
        <f t="shared" si="39"/>
        <v>0</v>
      </c>
      <c r="S339" s="1394">
        <f>IFERROR(VLOOKUP(M339,#REF!,6,0),0)</f>
        <v>0</v>
      </c>
      <c r="T339" s="1394">
        <f t="shared" si="40"/>
        <v>0</v>
      </c>
      <c r="U339" s="1394">
        <f>IFERROR(VLOOKUP(M339,#REF!,5,0),0)</f>
        <v>0</v>
      </c>
      <c r="V339" s="1394">
        <f t="shared" si="41"/>
        <v>0</v>
      </c>
      <c r="W339" s="1394"/>
    </row>
    <row r="340" spans="2:23" ht="30" customHeight="1">
      <c r="B340" s="1407"/>
      <c r="C340" s="1408" t="str">
        <f>'det -detail'!B75&amp;'det -detail'!C75</f>
        <v>G6 to H6GB-2</v>
      </c>
      <c r="D340" s="1416">
        <f>'det -detail'!E75</f>
        <v>1</v>
      </c>
      <c r="E340" s="1416">
        <f>'det -detail'!F75</f>
        <v>1</v>
      </c>
      <c r="F340" s="1410">
        <f>'det -detail'!G75</f>
        <v>4.2300000000000004</v>
      </c>
      <c r="G340" s="1410">
        <f>'det -detail'!K75</f>
        <v>0.23</v>
      </c>
      <c r="H340" s="1411">
        <f>'det -detail'!M75</f>
        <v>0.30000000000000004</v>
      </c>
      <c r="I340" s="1406">
        <f t="shared" si="44"/>
        <v>0.29187000000000007</v>
      </c>
      <c r="J340" s="1397"/>
      <c r="K340" s="1397"/>
      <c r="Q340" s="1394">
        <f>IFERROR(VLOOKUP(M340,#REF!,3,0),0)</f>
        <v>0</v>
      </c>
      <c r="R340" s="1394">
        <f t="shared" si="39"/>
        <v>0</v>
      </c>
      <c r="S340" s="1394">
        <f>IFERROR(VLOOKUP(M340,#REF!,6,0),0)</f>
        <v>0</v>
      </c>
      <c r="T340" s="1394">
        <f t="shared" si="40"/>
        <v>0</v>
      </c>
      <c r="U340" s="1394">
        <f>IFERROR(VLOOKUP(M340,#REF!,5,0),0)</f>
        <v>0</v>
      </c>
      <c r="V340" s="1394">
        <f t="shared" si="41"/>
        <v>0</v>
      </c>
      <c r="W340" s="1394"/>
    </row>
    <row r="341" spans="2:23" ht="30" customHeight="1">
      <c r="B341" s="1407"/>
      <c r="C341" s="1408" t="str">
        <f>'det -detail'!B76&amp;'det -detail'!C76</f>
        <v>B7 to E7GB-1</v>
      </c>
      <c r="D341" s="1416">
        <f>'det -detail'!E76</f>
        <v>1</v>
      </c>
      <c r="E341" s="1416">
        <f>'det -detail'!F76</f>
        <v>1</v>
      </c>
      <c r="F341" s="1410">
        <f>'det -detail'!G76</f>
        <v>5.6549999999999994</v>
      </c>
      <c r="G341" s="1410">
        <f>'det -detail'!K76</f>
        <v>0.23</v>
      </c>
      <c r="H341" s="1411">
        <f>'det -detail'!M76</f>
        <v>0.38</v>
      </c>
      <c r="I341" s="1406">
        <f t="shared" si="44"/>
        <v>0.49424699999999994</v>
      </c>
      <c r="J341" s="1397"/>
      <c r="K341" s="1397"/>
      <c r="Q341" s="1394">
        <f>IFERROR(VLOOKUP(M341,#REF!,3,0),0)</f>
        <v>0</v>
      </c>
      <c r="R341" s="1394">
        <f t="shared" si="39"/>
        <v>0</v>
      </c>
      <c r="S341" s="1394">
        <f>IFERROR(VLOOKUP(M341,#REF!,6,0),0)</f>
        <v>0</v>
      </c>
      <c r="T341" s="1394">
        <f t="shared" si="40"/>
        <v>0</v>
      </c>
      <c r="U341" s="1394">
        <f>IFERROR(VLOOKUP(M341,#REF!,5,0),0)</f>
        <v>0</v>
      </c>
      <c r="V341" s="1394">
        <f t="shared" si="41"/>
        <v>0</v>
      </c>
      <c r="W341" s="1394"/>
    </row>
    <row r="342" spans="2:23" ht="30" customHeight="1">
      <c r="B342" s="1407"/>
      <c r="C342" s="1408" t="str">
        <f>'det -detail'!B77&amp;'det -detail'!C77</f>
        <v>E7 to H7GB-2</v>
      </c>
      <c r="D342" s="1416">
        <f>'det -detail'!E77</f>
        <v>1</v>
      </c>
      <c r="E342" s="1416">
        <f>'det -detail'!F77</f>
        <v>1</v>
      </c>
      <c r="F342" s="1410">
        <f>'det -detail'!G77</f>
        <v>8.6900000000000013</v>
      </c>
      <c r="G342" s="1410">
        <f>'det -detail'!K77</f>
        <v>0.23</v>
      </c>
      <c r="H342" s="1411">
        <f>'det -detail'!M77</f>
        <v>0.30000000000000004</v>
      </c>
      <c r="I342" s="1406">
        <f t="shared" si="44"/>
        <v>0.5996100000000002</v>
      </c>
      <c r="J342" s="1397"/>
      <c r="K342" s="1397"/>
      <c r="Q342" s="1394">
        <f>IFERROR(VLOOKUP(M342,#REF!,3,0),0)</f>
        <v>0</v>
      </c>
      <c r="R342" s="1394">
        <f t="shared" si="39"/>
        <v>0</v>
      </c>
      <c r="S342" s="1394">
        <f>IFERROR(VLOOKUP(M342,#REF!,6,0),0)</f>
        <v>0</v>
      </c>
      <c r="T342" s="1394">
        <f t="shared" si="40"/>
        <v>0</v>
      </c>
      <c r="U342" s="1394">
        <f>IFERROR(VLOOKUP(M342,#REF!,5,0),0)</f>
        <v>0</v>
      </c>
      <c r="V342" s="1394">
        <f t="shared" si="41"/>
        <v>0</v>
      </c>
      <c r="W342" s="1394"/>
    </row>
    <row r="343" spans="2:23" ht="30" customHeight="1">
      <c r="B343" s="1407"/>
      <c r="C343" s="1408" t="str">
        <f>'det -detail'!B78&amp;'det -detail'!C78</f>
        <v>A8 to H8GB-3</v>
      </c>
      <c r="D343" s="1416">
        <f>'det -detail'!E78</f>
        <v>1</v>
      </c>
      <c r="E343" s="1416">
        <f>'det -detail'!F78</f>
        <v>1</v>
      </c>
      <c r="F343" s="1410">
        <f>'det -detail'!G78</f>
        <v>18.575000000000003</v>
      </c>
      <c r="G343" s="1410">
        <f>'det -detail'!K78</f>
        <v>0.23</v>
      </c>
      <c r="H343" s="1411">
        <f>'det -detail'!M78</f>
        <v>0.30000000000000004</v>
      </c>
      <c r="I343" s="1406">
        <f t="shared" si="44"/>
        <v>1.2816750000000003</v>
      </c>
      <c r="J343" s="1397"/>
      <c r="K343" s="1397"/>
      <c r="Q343" s="1394">
        <f>IFERROR(VLOOKUP(M343,#REF!,3,0),0)</f>
        <v>0</v>
      </c>
      <c r="R343" s="1394">
        <f t="shared" si="39"/>
        <v>0</v>
      </c>
      <c r="S343" s="1394">
        <f>IFERROR(VLOOKUP(M343,#REF!,6,0),0)</f>
        <v>0</v>
      </c>
      <c r="T343" s="1394">
        <f t="shared" si="40"/>
        <v>0</v>
      </c>
      <c r="U343" s="1394">
        <f>IFERROR(VLOOKUP(M343,#REF!,5,0),0)</f>
        <v>0</v>
      </c>
      <c r="V343" s="1394">
        <f t="shared" si="41"/>
        <v>0</v>
      </c>
      <c r="W343" s="1394"/>
    </row>
    <row r="344" spans="2:23" ht="30" hidden="1" customHeight="1">
      <c r="B344" s="1407"/>
      <c r="C344" s="1408" t="str">
        <f>'det -detail'!B79&amp;'det -detail'!C79</f>
        <v/>
      </c>
      <c r="D344" s="1416">
        <f>'det -detail'!E79</f>
        <v>0</v>
      </c>
      <c r="E344" s="1416">
        <f>'det -detail'!F79</f>
        <v>0</v>
      </c>
      <c r="F344" s="1410">
        <f>'det -detail'!G79</f>
        <v>0</v>
      </c>
      <c r="G344" s="1410">
        <f>'det -detail'!K79</f>
        <v>0</v>
      </c>
      <c r="H344" s="1411">
        <f>'det -detail'!M79</f>
        <v>0</v>
      </c>
      <c r="I344" s="1406">
        <f t="shared" si="44"/>
        <v>0</v>
      </c>
      <c r="J344" s="1397"/>
      <c r="K344" s="1397"/>
      <c r="Q344" s="1394">
        <f>IFERROR(VLOOKUP(M344,#REF!,3,0),0)</f>
        <v>0</v>
      </c>
      <c r="R344" s="1394">
        <f t="shared" si="39"/>
        <v>0</v>
      </c>
      <c r="S344" s="1394">
        <f>IFERROR(VLOOKUP(M344,#REF!,6,0),0)</f>
        <v>0</v>
      </c>
      <c r="T344" s="1394">
        <f t="shared" si="40"/>
        <v>0</v>
      </c>
      <c r="U344" s="1394">
        <f>IFERROR(VLOOKUP(M344,#REF!,5,0),0)</f>
        <v>0</v>
      </c>
      <c r="V344" s="1394">
        <f t="shared" si="41"/>
        <v>0</v>
      </c>
      <c r="W344" s="1394"/>
    </row>
    <row r="345" spans="2:23" ht="30" customHeight="1">
      <c r="B345" s="1407"/>
      <c r="C345" s="1408" t="str">
        <f>'det -detail'!B80&amp;'det -detail'!C80</f>
        <v/>
      </c>
      <c r="D345" s="1416">
        <f>'det -detail'!E80</f>
        <v>0</v>
      </c>
      <c r="E345" s="1416">
        <f>'det -detail'!F80</f>
        <v>0</v>
      </c>
      <c r="F345" s="1410">
        <f>'det -detail'!G80</f>
        <v>0</v>
      </c>
      <c r="G345" s="1410">
        <f>'det -detail'!K80</f>
        <v>0</v>
      </c>
      <c r="H345" s="1411">
        <f>'det -detail'!M80</f>
        <v>0</v>
      </c>
      <c r="I345" s="1406">
        <f t="shared" si="44"/>
        <v>0</v>
      </c>
      <c r="J345" s="1397"/>
      <c r="K345" s="1397"/>
      <c r="Q345" s="1394">
        <f>IFERROR(VLOOKUP(M345,#REF!,3,0),0)</f>
        <v>0</v>
      </c>
      <c r="R345" s="1394">
        <f t="shared" si="39"/>
        <v>0</v>
      </c>
      <c r="S345" s="1394">
        <f>IFERROR(VLOOKUP(M345,#REF!,6,0),0)</f>
        <v>0</v>
      </c>
      <c r="T345" s="1394">
        <f t="shared" si="40"/>
        <v>0</v>
      </c>
      <c r="U345" s="1394">
        <f>IFERROR(VLOOKUP(M345,#REF!,5,0),0)</f>
        <v>0</v>
      </c>
      <c r="V345" s="1394">
        <f t="shared" si="41"/>
        <v>0</v>
      </c>
      <c r="W345" s="1394"/>
    </row>
    <row r="346" spans="2:23" ht="30" customHeight="1">
      <c r="B346" s="1407"/>
      <c r="C346" s="1408" t="str">
        <f>'det -detail'!B81&amp;'det -detail'!C81</f>
        <v>-Y- Direction</v>
      </c>
      <c r="D346" s="1416">
        <f>'det -detail'!E81</f>
        <v>0</v>
      </c>
      <c r="E346" s="1416">
        <f>'det -detail'!F81</f>
        <v>0</v>
      </c>
      <c r="F346" s="1410">
        <f>'det -detail'!G81</f>
        <v>0</v>
      </c>
      <c r="G346" s="1410">
        <f>'det -detail'!K81</f>
        <v>0</v>
      </c>
      <c r="H346" s="1411">
        <f>'det -detail'!M81</f>
        <v>0</v>
      </c>
      <c r="I346" s="1406">
        <f t="shared" si="44"/>
        <v>0</v>
      </c>
      <c r="J346" s="1397"/>
      <c r="K346" s="1397"/>
      <c r="Q346" s="1394">
        <f>IFERROR(VLOOKUP(M346,#REF!,3,0),0)</f>
        <v>0</v>
      </c>
      <c r="R346" s="1394">
        <f t="shared" si="39"/>
        <v>0</v>
      </c>
      <c r="S346" s="1394">
        <f>IFERROR(VLOOKUP(M346,#REF!,6,0),0)</f>
        <v>0</v>
      </c>
      <c r="T346" s="1394">
        <f t="shared" si="40"/>
        <v>0</v>
      </c>
      <c r="U346" s="1394">
        <f>IFERROR(VLOOKUP(M346,#REF!,5,0),0)</f>
        <v>0</v>
      </c>
      <c r="V346" s="1394">
        <f t="shared" si="41"/>
        <v>0</v>
      </c>
      <c r="W346" s="1394"/>
    </row>
    <row r="347" spans="2:23" ht="30" customHeight="1">
      <c r="B347" s="1407"/>
      <c r="C347" s="1408" t="str">
        <f>'det -detail'!B82&amp;'det -detail'!C82</f>
        <v>D1 to D3 &amp; F1 to F3GB-3</v>
      </c>
      <c r="D347" s="1416">
        <f>'det -detail'!E82</f>
        <v>1</v>
      </c>
      <c r="E347" s="1416">
        <f>'det -detail'!F82</f>
        <v>2</v>
      </c>
      <c r="F347" s="1410">
        <f>'det -detail'!G82</f>
        <v>4.6899999999999995</v>
      </c>
      <c r="G347" s="1410">
        <f>'det -detail'!K82</f>
        <v>0.23</v>
      </c>
      <c r="H347" s="1411">
        <f>'det -detail'!M82</f>
        <v>0.30000000000000004</v>
      </c>
      <c r="I347" s="1406">
        <f t="shared" si="44"/>
        <v>0.64722000000000013</v>
      </c>
      <c r="J347" s="1397"/>
      <c r="K347" s="1397"/>
      <c r="Q347" s="1394">
        <f>IFERROR(VLOOKUP(M347,#REF!,3,0),0)</f>
        <v>0</v>
      </c>
      <c r="R347" s="1394">
        <f t="shared" si="39"/>
        <v>0</v>
      </c>
      <c r="S347" s="1394">
        <f>IFERROR(VLOOKUP(M347,#REF!,6,0),0)</f>
        <v>0</v>
      </c>
      <c r="T347" s="1394">
        <f t="shared" si="40"/>
        <v>0</v>
      </c>
      <c r="U347" s="1394">
        <f>IFERROR(VLOOKUP(M347,#REF!,5,0),0)</f>
        <v>0</v>
      </c>
      <c r="V347" s="1394">
        <f t="shared" si="41"/>
        <v>0</v>
      </c>
      <c r="W347" s="1394"/>
    </row>
    <row r="348" spans="2:23" ht="30" customHeight="1">
      <c r="B348" s="1407"/>
      <c r="C348" s="1408" t="str">
        <f>'det -detail'!B83&amp;'det -detail'!C83</f>
        <v>A3 to A8 ,B3 to B8 &amp; H3 to H8GB-3</v>
      </c>
      <c r="D348" s="1416">
        <f>'det -detail'!E83</f>
        <v>1</v>
      </c>
      <c r="E348" s="1416">
        <f>'det -detail'!F83</f>
        <v>3</v>
      </c>
      <c r="F348" s="1410">
        <f>'det -detail'!G83</f>
        <v>15.649999999999999</v>
      </c>
      <c r="G348" s="1410">
        <f>'det -detail'!K83</f>
        <v>0.23</v>
      </c>
      <c r="H348" s="1411">
        <f>'det -detail'!M83</f>
        <v>0.30000000000000004</v>
      </c>
      <c r="I348" s="1406">
        <f t="shared" si="44"/>
        <v>3.2395499999999999</v>
      </c>
      <c r="J348" s="1397"/>
      <c r="K348" s="1397"/>
      <c r="Q348" s="1394">
        <f>IFERROR(VLOOKUP(M348,#REF!,3,0),0)</f>
        <v>0</v>
      </c>
      <c r="R348" s="1394">
        <f t="shared" si="39"/>
        <v>0</v>
      </c>
      <c r="S348" s="1394">
        <f>IFERROR(VLOOKUP(M348,#REF!,6,0),0)</f>
        <v>0</v>
      </c>
      <c r="T348" s="1394">
        <f t="shared" si="40"/>
        <v>0</v>
      </c>
      <c r="U348" s="1394">
        <f>IFERROR(VLOOKUP(M348,#REF!,5,0),0)</f>
        <v>0</v>
      </c>
      <c r="V348" s="1394">
        <f t="shared" si="41"/>
        <v>0</v>
      </c>
      <c r="W348" s="1394"/>
    </row>
    <row r="349" spans="2:23" ht="30" customHeight="1">
      <c r="B349" s="1407"/>
      <c r="C349" s="1408" t="str">
        <f>'det -detail'!B84&amp;'det -detail'!C84</f>
        <v>D5 to D7GB-1</v>
      </c>
      <c r="D349" s="1416">
        <f>'det -detail'!E84</f>
        <v>1</v>
      </c>
      <c r="E349" s="1416">
        <f>'det -detail'!F84</f>
        <v>1</v>
      </c>
      <c r="F349" s="1410">
        <f>'det -detail'!G84</f>
        <v>5.99</v>
      </c>
      <c r="G349" s="1410">
        <f>'det -detail'!K84</f>
        <v>0.23</v>
      </c>
      <c r="H349" s="1411">
        <f>'det -detail'!M84</f>
        <v>0.38</v>
      </c>
      <c r="I349" s="1406">
        <f t="shared" si="44"/>
        <v>0.52352600000000005</v>
      </c>
      <c r="J349" s="1397"/>
      <c r="K349" s="1397"/>
      <c r="Q349" s="1394">
        <f>IFERROR(VLOOKUP(M349,#REF!,3,0),0)</f>
        <v>0</v>
      </c>
      <c r="R349" s="1394">
        <f t="shared" si="39"/>
        <v>0</v>
      </c>
      <c r="S349" s="1394">
        <f>IFERROR(VLOOKUP(M349,#REF!,6,0),0)</f>
        <v>0</v>
      </c>
      <c r="T349" s="1394">
        <f t="shared" si="40"/>
        <v>0</v>
      </c>
      <c r="U349" s="1394">
        <f>IFERROR(VLOOKUP(M349,#REF!,5,0),0)</f>
        <v>0</v>
      </c>
      <c r="V349" s="1394">
        <f t="shared" si="41"/>
        <v>0</v>
      </c>
      <c r="W349" s="1394"/>
    </row>
    <row r="350" spans="2:23" ht="30" customHeight="1">
      <c r="B350" s="1407"/>
      <c r="C350" s="1408" t="str">
        <f>'det -detail'!B85&amp;'det -detail'!C85</f>
        <v>E7 to E8 &amp; G7 to G8GB-3</v>
      </c>
      <c r="D350" s="1416">
        <f>'det -detail'!E85</f>
        <v>1</v>
      </c>
      <c r="E350" s="1416">
        <f>'det -detail'!F85</f>
        <v>2</v>
      </c>
      <c r="F350" s="1410">
        <f>'det -detail'!G85</f>
        <v>4.13</v>
      </c>
      <c r="G350" s="1410">
        <f>'det -detail'!K85</f>
        <v>0.23</v>
      </c>
      <c r="H350" s="1411">
        <f>'det -detail'!M85</f>
        <v>0.30000000000000004</v>
      </c>
      <c r="I350" s="1406">
        <f t="shared" si="44"/>
        <v>0.56994000000000011</v>
      </c>
      <c r="J350" s="1397"/>
      <c r="K350" s="1397"/>
      <c r="Q350" s="1394">
        <f>IFERROR(VLOOKUP(M350,#REF!,3,0),0)</f>
        <v>0</v>
      </c>
      <c r="R350" s="1394">
        <f t="shared" si="39"/>
        <v>0</v>
      </c>
      <c r="S350" s="1394">
        <f>IFERROR(VLOOKUP(M350,#REF!,6,0),0)</f>
        <v>0</v>
      </c>
      <c r="T350" s="1394">
        <f t="shared" si="40"/>
        <v>0</v>
      </c>
      <c r="U350" s="1394">
        <f>IFERROR(VLOOKUP(M350,#REF!,5,0),0)</f>
        <v>0</v>
      </c>
      <c r="V350" s="1394">
        <f t="shared" si="41"/>
        <v>0</v>
      </c>
      <c r="W350" s="1394"/>
    </row>
    <row r="351" spans="2:23" ht="30" customHeight="1">
      <c r="B351" s="1407"/>
      <c r="C351" s="1408" t="str">
        <f>'det -detail'!B86&amp;'det -detail'!C86</f>
        <v>F3 To F5GB-3</v>
      </c>
      <c r="D351" s="1416">
        <f>'det -detail'!E86</f>
        <v>1</v>
      </c>
      <c r="E351" s="1416">
        <f>'det -detail'!F86</f>
        <v>1</v>
      </c>
      <c r="F351" s="1410">
        <f>'det -detail'!G86</f>
        <v>5.5299999999999994</v>
      </c>
      <c r="G351" s="1410">
        <f>'det -detail'!K86</f>
        <v>0.23</v>
      </c>
      <c r="H351" s="1411">
        <f>'det -detail'!M86</f>
        <v>0.30000000000000004</v>
      </c>
      <c r="I351" s="1406">
        <f t="shared" si="44"/>
        <v>0.38157000000000002</v>
      </c>
      <c r="J351" s="1397"/>
      <c r="K351" s="1397"/>
      <c r="Q351" s="1394">
        <f>IFERROR(VLOOKUP(M351,#REF!,3,0),0)</f>
        <v>0</v>
      </c>
      <c r="R351" s="1394">
        <f t="shared" si="39"/>
        <v>0</v>
      </c>
      <c r="S351" s="1394">
        <f>IFERROR(VLOOKUP(M351,#REF!,6,0),0)</f>
        <v>0</v>
      </c>
      <c r="T351" s="1394">
        <f t="shared" si="40"/>
        <v>0</v>
      </c>
      <c r="U351" s="1394">
        <f>IFERROR(VLOOKUP(M351,#REF!,5,0),0)</f>
        <v>0</v>
      </c>
      <c r="V351" s="1394">
        <f t="shared" si="41"/>
        <v>0</v>
      </c>
      <c r="W351" s="1394"/>
    </row>
    <row r="352" spans="2:23" ht="30" customHeight="1">
      <c r="B352" s="1407"/>
      <c r="C352" s="1408" t="str">
        <f>'det -detail'!B87&amp;'det -detail'!C87</f>
        <v>G5 to G7GB-3</v>
      </c>
      <c r="D352" s="1416">
        <f>'det -detail'!E87</f>
        <v>1</v>
      </c>
      <c r="E352" s="1416">
        <f>'det -detail'!F87</f>
        <v>1</v>
      </c>
      <c r="F352" s="1410">
        <f>'det -detail'!G87</f>
        <v>5.99</v>
      </c>
      <c r="G352" s="1410">
        <f>'det -detail'!K87</f>
        <v>0.23</v>
      </c>
      <c r="H352" s="1411">
        <f>'det -detail'!M87</f>
        <v>0.30000000000000004</v>
      </c>
      <c r="I352" s="1406">
        <f>PRODUCT(D352:H352)</f>
        <v>0.41331000000000012</v>
      </c>
      <c r="J352" s="1397"/>
      <c r="K352" s="1397"/>
      <c r="Q352" s="1394">
        <f>IFERROR(VLOOKUP(M352,#REF!,3,0),0)</f>
        <v>0</v>
      </c>
      <c r="R352" s="1394">
        <f t="shared" si="39"/>
        <v>0</v>
      </c>
      <c r="S352" s="1394">
        <f>IFERROR(VLOOKUP(M352,#REF!,6,0),0)</f>
        <v>0</v>
      </c>
      <c r="T352" s="1394">
        <f t="shared" si="40"/>
        <v>0</v>
      </c>
      <c r="U352" s="1394">
        <f>IFERROR(VLOOKUP(M352,#REF!,5,0),0)</f>
        <v>0</v>
      </c>
      <c r="V352" s="1394">
        <f t="shared" si="41"/>
        <v>0</v>
      </c>
      <c r="W352" s="1394"/>
    </row>
    <row r="353" spans="1:24" ht="30" customHeight="1">
      <c r="B353" s="1407"/>
      <c r="C353" s="1415" t="s">
        <v>5719</v>
      </c>
      <c r="D353" s="1416">
        <f>'det -detail'!E88</f>
        <v>0</v>
      </c>
      <c r="E353" s="1416">
        <f>'det -detail'!F88</f>
        <v>0</v>
      </c>
      <c r="F353" s="1410">
        <f>'det -detail'!G88</f>
        <v>0</v>
      </c>
      <c r="G353" s="1410">
        <f>'det -detail'!K88</f>
        <v>0</v>
      </c>
      <c r="H353" s="1411">
        <f>'det -detail'!M88</f>
        <v>0</v>
      </c>
      <c r="I353" s="1406">
        <f t="shared" ref="I353:I357" si="45">PRODUCT(D353:H353)</f>
        <v>0</v>
      </c>
      <c r="J353" s="1397"/>
      <c r="K353" s="1397"/>
      <c r="Q353" s="1394">
        <f>IFERROR(VLOOKUP(M353,#REF!,3,0),0)</f>
        <v>0</v>
      </c>
      <c r="R353" s="1394">
        <f t="shared" si="39"/>
        <v>0</v>
      </c>
      <c r="S353" s="1394">
        <f>IFERROR(VLOOKUP(M353,#REF!,6,0),0)</f>
        <v>0</v>
      </c>
      <c r="T353" s="1394">
        <f t="shared" si="40"/>
        <v>0</v>
      </c>
      <c r="U353" s="1394">
        <f>IFERROR(VLOOKUP(M353,#REF!,5,0),0)</f>
        <v>0</v>
      </c>
      <c r="V353" s="1394">
        <f t="shared" si="41"/>
        <v>0</v>
      </c>
      <c r="W353" s="1394"/>
    </row>
    <row r="354" spans="1:24" ht="30" customHeight="1">
      <c r="B354" s="1407"/>
      <c r="C354" s="1408" t="str">
        <f>'det -detail'!B99</f>
        <v xml:space="preserve">For C1 Round Column Dia 0.3 Radius = 0.15 </v>
      </c>
      <c r="D354" s="1416">
        <f>-'det -detail'!E99</f>
        <v>-4</v>
      </c>
      <c r="E354" s="1416">
        <f>'det -detail'!F99</f>
        <v>3.14</v>
      </c>
      <c r="F354" s="1410">
        <f>'det -detail'!G99</f>
        <v>0.15</v>
      </c>
      <c r="G354" s="1410">
        <f>'det -detail'!H99</f>
        <v>0.15</v>
      </c>
      <c r="H354" s="1411">
        <f>H352</f>
        <v>0.30000000000000004</v>
      </c>
      <c r="I354" s="1406">
        <f t="shared" si="45"/>
        <v>-8.4780000000000008E-2</v>
      </c>
      <c r="J354" s="1397"/>
      <c r="K354" s="1397"/>
      <c r="Q354" s="1394">
        <f>IFERROR(VLOOKUP(M354,#REF!,3,0),0)</f>
        <v>0</v>
      </c>
      <c r="R354" s="1394">
        <f t="shared" si="39"/>
        <v>0</v>
      </c>
      <c r="S354" s="1394">
        <f>IFERROR(VLOOKUP(M354,#REF!,6,0),0)</f>
        <v>0</v>
      </c>
      <c r="T354" s="1394">
        <f t="shared" si="40"/>
        <v>0</v>
      </c>
      <c r="U354" s="1394">
        <f>IFERROR(VLOOKUP(M354,#REF!,5,0),0)</f>
        <v>0</v>
      </c>
      <c r="V354" s="1394">
        <f t="shared" si="41"/>
        <v>0</v>
      </c>
      <c r="W354" s="1394"/>
    </row>
    <row r="355" spans="1:24" ht="30" customHeight="1">
      <c r="B355" s="1407"/>
      <c r="C355" s="1408" t="str">
        <f>'det -detail'!B100</f>
        <v>For C2</v>
      </c>
      <c r="D355" s="1416">
        <f>-'det -detail'!E100</f>
        <v>-11</v>
      </c>
      <c r="E355" s="1416">
        <f>'det -detail'!F100</f>
        <v>1</v>
      </c>
      <c r="F355" s="1410">
        <f>'det -detail'!G100</f>
        <v>0.23</v>
      </c>
      <c r="G355" s="1410">
        <f>'det -detail'!H100</f>
        <v>0.38</v>
      </c>
      <c r="H355" s="1411">
        <f>H354</f>
        <v>0.30000000000000004</v>
      </c>
      <c r="I355" s="1406">
        <f t="shared" si="45"/>
        <v>-0.28842000000000007</v>
      </c>
      <c r="J355" s="1397"/>
      <c r="K355" s="1397"/>
      <c r="Q355" s="1394">
        <f>IFERROR(VLOOKUP(M355,#REF!,3,0),0)</f>
        <v>0</v>
      </c>
      <c r="R355" s="1394">
        <f t="shared" si="39"/>
        <v>0</v>
      </c>
      <c r="S355" s="1394">
        <f>IFERROR(VLOOKUP(M355,#REF!,6,0),0)</f>
        <v>0</v>
      </c>
      <c r="T355" s="1394">
        <f t="shared" si="40"/>
        <v>0</v>
      </c>
      <c r="U355" s="1394">
        <f>IFERROR(VLOOKUP(M355,#REF!,5,0),0)</f>
        <v>0</v>
      </c>
      <c r="V355" s="1394">
        <f t="shared" si="41"/>
        <v>0</v>
      </c>
      <c r="W355" s="1394"/>
    </row>
    <row r="356" spans="1:24" ht="30" customHeight="1">
      <c r="B356" s="1407"/>
      <c r="C356" s="1408" t="str">
        <f>'det -detail'!B101</f>
        <v>For C3</v>
      </c>
      <c r="D356" s="1416">
        <f>-'det -detail'!E101</f>
        <v>-10</v>
      </c>
      <c r="E356" s="1416">
        <f>'det -detail'!F101</f>
        <v>1</v>
      </c>
      <c r="F356" s="1410">
        <f>'det -detail'!G101</f>
        <v>0.23</v>
      </c>
      <c r="G356" s="1410">
        <f>'det -detail'!H101</f>
        <v>0.45</v>
      </c>
      <c r="H356" s="1411">
        <f t="shared" ref="H356:H357" si="46">H355</f>
        <v>0.30000000000000004</v>
      </c>
      <c r="I356" s="1406">
        <f t="shared" si="45"/>
        <v>-0.31050000000000011</v>
      </c>
      <c r="J356" s="1397"/>
      <c r="K356" s="1397"/>
      <c r="Q356" s="1394">
        <f>IFERROR(VLOOKUP(M356,#REF!,3,0),0)</f>
        <v>0</v>
      </c>
      <c r="R356" s="1394">
        <f t="shared" si="39"/>
        <v>0</v>
      </c>
      <c r="S356" s="1394">
        <f>IFERROR(VLOOKUP(M356,#REF!,6,0),0)</f>
        <v>0</v>
      </c>
      <c r="T356" s="1394">
        <f t="shared" si="40"/>
        <v>0</v>
      </c>
      <c r="U356" s="1394">
        <f>IFERROR(VLOOKUP(M356,#REF!,5,0),0)</f>
        <v>0</v>
      </c>
      <c r="V356" s="1394">
        <f t="shared" si="41"/>
        <v>0</v>
      </c>
      <c r="W356" s="1394"/>
    </row>
    <row r="357" spans="1:24" ht="30" customHeight="1">
      <c r="B357" s="1407"/>
      <c r="C357" s="1408" t="str">
        <f>'det -detail'!B102</f>
        <v>For C4</v>
      </c>
      <c r="D357" s="1416">
        <f>-'det -detail'!E102</f>
        <v>-7</v>
      </c>
      <c r="E357" s="1416">
        <f>'det -detail'!F102</f>
        <v>1</v>
      </c>
      <c r="F357" s="1410">
        <f>'det -detail'!G102</f>
        <v>0.3</v>
      </c>
      <c r="G357" s="1410">
        <f>'det -detail'!H102</f>
        <v>0.45</v>
      </c>
      <c r="H357" s="1411">
        <f t="shared" si="46"/>
        <v>0.30000000000000004</v>
      </c>
      <c r="I357" s="1406">
        <f t="shared" si="45"/>
        <v>-0.28350000000000009</v>
      </c>
      <c r="J357" s="1397"/>
      <c r="K357" s="1397"/>
      <c r="Q357" s="1394">
        <f>IFERROR(VLOOKUP(M357,#REF!,3,0),0)</f>
        <v>0</v>
      </c>
      <c r="R357" s="1394">
        <f t="shared" si="39"/>
        <v>0</v>
      </c>
      <c r="S357" s="1394">
        <f>IFERROR(VLOOKUP(M357,#REF!,6,0),0)</f>
        <v>0</v>
      </c>
      <c r="T357" s="1394">
        <f t="shared" si="40"/>
        <v>0</v>
      </c>
      <c r="U357" s="1394">
        <f>IFERROR(VLOOKUP(M357,#REF!,5,0),0)</f>
        <v>0</v>
      </c>
      <c r="V357" s="1394">
        <f t="shared" si="41"/>
        <v>0</v>
      </c>
      <c r="W357" s="1394"/>
    </row>
    <row r="358" spans="1:24" ht="30" hidden="1" customHeight="1">
      <c r="B358" s="1407"/>
      <c r="C358" s="1408" t="str">
        <f>'det -detail'!B93&amp;'det -detail'!C93</f>
        <v/>
      </c>
      <c r="D358" s="1416">
        <f>'det -detail'!E93</f>
        <v>0</v>
      </c>
      <c r="E358" s="1416">
        <f>'det -detail'!F93</f>
        <v>0</v>
      </c>
      <c r="F358" s="1410">
        <f>'det -detail'!G93</f>
        <v>0</v>
      </c>
      <c r="G358" s="1410">
        <f>'det -detail'!K93</f>
        <v>0</v>
      </c>
      <c r="H358" s="1411">
        <f>'det -detail'!M93</f>
        <v>0</v>
      </c>
      <c r="I358" s="1406">
        <f t="shared" ref="I358:I359" si="47">PRODUCT(D358:H358)</f>
        <v>0</v>
      </c>
      <c r="J358" s="1397"/>
      <c r="K358" s="1397"/>
      <c r="Q358" s="1394">
        <f>IFERROR(VLOOKUP(M358,#REF!,3,0),0)</f>
        <v>0</v>
      </c>
      <c r="R358" s="1394">
        <f t="shared" si="39"/>
        <v>0</v>
      </c>
      <c r="S358" s="1394">
        <f>IFERROR(VLOOKUP(M358,#REF!,6,0),0)</f>
        <v>0</v>
      </c>
      <c r="T358" s="1394">
        <f t="shared" si="40"/>
        <v>0</v>
      </c>
      <c r="U358" s="1394">
        <f>IFERROR(VLOOKUP(M358,#REF!,5,0),0)</f>
        <v>0</v>
      </c>
      <c r="V358" s="1394">
        <f t="shared" si="41"/>
        <v>0</v>
      </c>
      <c r="W358" s="1394"/>
    </row>
    <row r="359" spans="1:24" ht="30" hidden="1" customHeight="1">
      <c r="B359" s="1407"/>
      <c r="C359" s="1408" t="str">
        <f>'det -detail'!B94&amp;'det -detail'!C94</f>
        <v/>
      </c>
      <c r="D359" s="1416">
        <f>'det -detail'!E94</f>
        <v>0</v>
      </c>
      <c r="E359" s="1416">
        <f>'det -detail'!F94</f>
        <v>0</v>
      </c>
      <c r="F359" s="1410">
        <f>'det -detail'!G94</f>
        <v>0</v>
      </c>
      <c r="G359" s="1410">
        <f>'det -detail'!K94</f>
        <v>0</v>
      </c>
      <c r="H359" s="1411">
        <f>'det -detail'!M94</f>
        <v>0</v>
      </c>
      <c r="I359" s="1406">
        <f t="shared" si="47"/>
        <v>0</v>
      </c>
      <c r="J359" s="1397"/>
      <c r="K359" s="1397"/>
      <c r="Q359" s="1394">
        <f>IFERROR(VLOOKUP(M359,#REF!,3,0),0)</f>
        <v>0</v>
      </c>
      <c r="R359" s="1394">
        <f t="shared" si="39"/>
        <v>0</v>
      </c>
      <c r="S359" s="1394">
        <f>IFERROR(VLOOKUP(M359,#REF!,6,0),0)</f>
        <v>0</v>
      </c>
      <c r="T359" s="1394">
        <f t="shared" si="40"/>
        <v>0</v>
      </c>
      <c r="U359" s="1394">
        <f>IFERROR(VLOOKUP(M359,#REF!,5,0),0)</f>
        <v>0</v>
      </c>
      <c r="V359" s="1394">
        <f t="shared" si="41"/>
        <v>0</v>
      </c>
      <c r="W359" s="1394"/>
    </row>
    <row r="360" spans="1:24" ht="30" hidden="1" customHeight="1">
      <c r="B360" s="1407"/>
      <c r="C360" s="1408" t="str">
        <f>'det -detail'!B90&amp;'det -detail'!C90</f>
        <v/>
      </c>
      <c r="D360" s="1416">
        <f>'det -detail'!E90</f>
        <v>0</v>
      </c>
      <c r="E360" s="1416">
        <f>'det -detail'!F90</f>
        <v>0</v>
      </c>
      <c r="F360" s="1410">
        <f>'det -detail'!G90</f>
        <v>0</v>
      </c>
      <c r="G360" s="1410">
        <f>'det -detail'!K90</f>
        <v>0</v>
      </c>
      <c r="H360" s="1411">
        <f>'det -detail'!M90</f>
        <v>0</v>
      </c>
      <c r="I360" s="1406">
        <f t="shared" ref="I360:I362" si="48">PRODUCT(D360:H360)</f>
        <v>0</v>
      </c>
      <c r="J360" s="1397"/>
      <c r="K360" s="1397"/>
      <c r="Q360" s="1394">
        <f>IFERROR(VLOOKUP(M360,#REF!,3,0),0)</f>
        <v>0</v>
      </c>
      <c r="R360" s="1394">
        <f t="shared" si="39"/>
        <v>0</v>
      </c>
      <c r="S360" s="1394">
        <f>IFERROR(VLOOKUP(M360,#REF!,6,0),0)</f>
        <v>0</v>
      </c>
      <c r="T360" s="1394">
        <f t="shared" si="40"/>
        <v>0</v>
      </c>
      <c r="U360" s="1394">
        <f>IFERROR(VLOOKUP(M360,#REF!,5,0),0)</f>
        <v>0</v>
      </c>
      <c r="V360" s="1394">
        <f t="shared" si="41"/>
        <v>0</v>
      </c>
      <c r="W360" s="1394"/>
    </row>
    <row r="361" spans="1:24" ht="30" hidden="1" customHeight="1">
      <c r="B361" s="1407"/>
      <c r="C361" s="1408" t="str">
        <f>'det -detail'!B91&amp;'det -detail'!C91</f>
        <v/>
      </c>
      <c r="D361" s="1416">
        <f>'det -detail'!E91</f>
        <v>0</v>
      </c>
      <c r="E361" s="1416">
        <f>'det -detail'!F91</f>
        <v>0</v>
      </c>
      <c r="F361" s="1410">
        <f>'det -detail'!G91</f>
        <v>0</v>
      </c>
      <c r="G361" s="1410">
        <f>'det -detail'!K91</f>
        <v>0</v>
      </c>
      <c r="H361" s="1411">
        <f>'det -detail'!M91</f>
        <v>0</v>
      </c>
      <c r="I361" s="1406">
        <f t="shared" si="48"/>
        <v>0</v>
      </c>
      <c r="J361" s="1397"/>
      <c r="K361" s="1397"/>
      <c r="Q361" s="1394">
        <f>IFERROR(VLOOKUP(M361,#REF!,3,0),0)</f>
        <v>0</v>
      </c>
      <c r="R361" s="1394">
        <f t="shared" si="39"/>
        <v>0</v>
      </c>
      <c r="S361" s="1394">
        <f>IFERROR(VLOOKUP(M361,#REF!,6,0),0)</f>
        <v>0</v>
      </c>
      <c r="T361" s="1394">
        <f t="shared" si="40"/>
        <v>0</v>
      </c>
      <c r="U361" s="1394">
        <f>IFERROR(VLOOKUP(M361,#REF!,5,0),0)</f>
        <v>0</v>
      </c>
      <c r="V361" s="1394">
        <f t="shared" si="41"/>
        <v>0</v>
      </c>
      <c r="W361" s="1394"/>
    </row>
    <row r="362" spans="1:24" ht="30" hidden="1" customHeight="1">
      <c r="B362" s="1407"/>
      <c r="C362" s="1408" t="str">
        <f>'det -detail'!B92&amp;'det -detail'!C92</f>
        <v/>
      </c>
      <c r="D362" s="1416">
        <f>'det -detail'!E92</f>
        <v>0</v>
      </c>
      <c r="E362" s="1416">
        <f>'det -detail'!F92</f>
        <v>0</v>
      </c>
      <c r="F362" s="1410">
        <f>'det -detail'!G92</f>
        <v>0</v>
      </c>
      <c r="G362" s="1410">
        <f>'det -detail'!K92</f>
        <v>0</v>
      </c>
      <c r="H362" s="1411">
        <f>'det -detail'!M92</f>
        <v>0</v>
      </c>
      <c r="I362" s="1406">
        <f t="shared" si="48"/>
        <v>0</v>
      </c>
      <c r="J362" s="1397"/>
      <c r="K362" s="1397"/>
      <c r="Q362" s="1394">
        <f>IFERROR(VLOOKUP(M362,#REF!,3,0),0)</f>
        <v>0</v>
      </c>
      <c r="R362" s="1394">
        <f t="shared" si="39"/>
        <v>0</v>
      </c>
      <c r="S362" s="1394">
        <f>IFERROR(VLOOKUP(M362,#REF!,6,0),0)</f>
        <v>0</v>
      </c>
      <c r="T362" s="1394">
        <f t="shared" si="40"/>
        <v>0</v>
      </c>
      <c r="U362" s="1394">
        <f>IFERROR(VLOOKUP(M362,#REF!,5,0),0)</f>
        <v>0</v>
      </c>
      <c r="V362" s="1394">
        <f t="shared" si="41"/>
        <v>0</v>
      </c>
      <c r="W362" s="1394"/>
    </row>
    <row r="363" spans="1:24" s="1394" customFormat="1" ht="30" customHeight="1">
      <c r="B363" s="1421"/>
      <c r="C363" s="1422" t="s">
        <v>270</v>
      </c>
      <c r="D363" s="1389"/>
      <c r="E363" s="1389"/>
      <c r="F363" s="1423"/>
      <c r="G363" s="1423"/>
      <c r="H363" s="1424"/>
      <c r="I363" s="1425">
        <f>J364-J363</f>
        <v>4.0531999999998902E-2</v>
      </c>
      <c r="J363" s="1394">
        <f>SUM(I318:I357)</f>
        <v>65.859467999999993</v>
      </c>
      <c r="M363" s="1426"/>
      <c r="Q363" s="1394">
        <f>IFERROR(VLOOKUP(M363,#REF!,3,0),0)</f>
        <v>0</v>
      </c>
      <c r="R363" s="1394">
        <f t="shared" si="39"/>
        <v>0</v>
      </c>
      <c r="S363" s="1394">
        <f>IFERROR(VLOOKUP(M363,#REF!,6,0),0)</f>
        <v>0</v>
      </c>
      <c r="T363" s="1394">
        <f t="shared" si="40"/>
        <v>0</v>
      </c>
      <c r="U363" s="1394">
        <f>IFERROR(VLOOKUP(M363,#REF!,5,0),0)</f>
        <v>0</v>
      </c>
      <c r="V363" s="1394">
        <f t="shared" si="41"/>
        <v>0</v>
      </c>
    </row>
    <row r="364" spans="1:24" s="1394" customFormat="1" ht="30" customHeight="1">
      <c r="B364" s="1421"/>
      <c r="C364" s="1422"/>
      <c r="D364" s="1389"/>
      <c r="E364" s="1389"/>
      <c r="F364" s="1423"/>
      <c r="G364" s="1423"/>
      <c r="H364" s="1424"/>
      <c r="I364" s="1427">
        <f>+J364</f>
        <v>65.899999999999991</v>
      </c>
      <c r="J364" s="1394">
        <f>ROUNDUP(J363,1)</f>
        <v>65.899999999999991</v>
      </c>
      <c r="M364" s="1426"/>
      <c r="Q364" s="1394">
        <f>IFERROR(VLOOKUP(M364,#REF!,3,0),0)</f>
        <v>0</v>
      </c>
      <c r="R364" s="1394">
        <f t="shared" si="39"/>
        <v>0</v>
      </c>
      <c r="S364" s="1394">
        <f>IFERROR(VLOOKUP(M364,#REF!,6,0),0)</f>
        <v>0</v>
      </c>
      <c r="T364" s="1394">
        <f t="shared" si="40"/>
        <v>0</v>
      </c>
      <c r="U364" s="1394">
        <f>IFERROR(VLOOKUP(M364,#REF!,5,0),0)</f>
        <v>0</v>
      </c>
      <c r="V364" s="1394">
        <f t="shared" si="41"/>
        <v>0</v>
      </c>
    </row>
    <row r="365" spans="1:24" s="1394" customFormat="1" ht="30" customHeight="1">
      <c r="B365" s="1421"/>
      <c r="C365" s="1422"/>
      <c r="D365" s="1389"/>
      <c r="E365" s="1389"/>
      <c r="F365" s="1423"/>
      <c r="G365" s="1428" t="s">
        <v>11</v>
      </c>
      <c r="H365" s="1429">
        <f>I364</f>
        <v>65.899999999999991</v>
      </c>
      <c r="I365" s="1427" t="s">
        <v>19</v>
      </c>
      <c r="M365" s="1426" t="str">
        <f>A316</f>
        <v>A. In Foundation and basement 1.5 m to 4.0 m Standardised concrete Mix M20 Grade Concrete</v>
      </c>
      <c r="N365" s="1394">
        <f>B256</f>
        <v>0</v>
      </c>
      <c r="O365" s="1394">
        <f>H365</f>
        <v>65.899999999999991</v>
      </c>
      <c r="P365" s="1394" t="str">
        <f>I365</f>
        <v>Cum</v>
      </c>
      <c r="Q365" s="1394">
        <f>IFERROR(VLOOKUP(M365,#REF!,3,0),0)</f>
        <v>0</v>
      </c>
      <c r="R365" s="1394">
        <f t="shared" si="39"/>
        <v>0</v>
      </c>
      <c r="S365" s="1394">
        <f>IFERROR(VLOOKUP(M365,#REF!,6,0),0)</f>
        <v>0</v>
      </c>
      <c r="T365" s="1394">
        <f t="shared" si="40"/>
        <v>0</v>
      </c>
      <c r="U365" s="1394">
        <f>IFERROR(VLOOKUP(M365,#REF!,5,0),0)</f>
        <v>0</v>
      </c>
      <c r="V365" s="1394">
        <f t="shared" si="41"/>
        <v>65.899999999999991</v>
      </c>
    </row>
    <row r="366" spans="1:24" ht="30" customHeight="1">
      <c r="B366" s="1407"/>
      <c r="C366" s="1408"/>
      <c r="D366" s="1416"/>
      <c r="E366" s="1416"/>
      <c r="F366" s="1410"/>
      <c r="G366" s="1410"/>
      <c r="H366" s="1411"/>
      <c r="I366" s="1406"/>
      <c r="J366" s="1397"/>
      <c r="K366" s="1397"/>
      <c r="Q366" s="1394">
        <f>IFERROR(VLOOKUP(M366,#REF!,3,0),0)</f>
        <v>0</v>
      </c>
      <c r="R366" s="1394">
        <f t="shared" ref="R366:R429" si="49">ROUND(O366,2)*ROUND(Q366,2)</f>
        <v>0</v>
      </c>
      <c r="S366" s="1394">
        <f>IFERROR(VLOOKUP(M366,#REF!,6,0),0)</f>
        <v>0</v>
      </c>
      <c r="T366" s="1394">
        <f t="shared" ref="T366:T429" si="50">R366-S366</f>
        <v>0</v>
      </c>
      <c r="U366" s="1394">
        <f>IFERROR(VLOOKUP(M366,#REF!,5,0),0)</f>
        <v>0</v>
      </c>
      <c r="V366" s="1394">
        <f t="shared" ref="V366:V429" si="51">O366-U366</f>
        <v>0</v>
      </c>
      <c r="W366" s="1394"/>
    </row>
    <row r="367" spans="1:24" ht="28.5" customHeight="1">
      <c r="A367" s="1390" t="s">
        <v>281</v>
      </c>
      <c r="B367" s="1405"/>
      <c r="C367" s="1678" t="e">
        <f>VLOOKUP(A367,#REF!,2,0)</f>
        <v>#REF!</v>
      </c>
      <c r="D367" s="1678"/>
      <c r="E367" s="1678"/>
      <c r="F367" s="1678"/>
      <c r="G367" s="1678"/>
      <c r="H367" s="1678"/>
      <c r="I367" s="1406"/>
      <c r="L367" s="1397"/>
      <c r="Q367" s="1394">
        <f>IFERROR(VLOOKUP(M367,#REF!,3,0),0)</f>
        <v>0</v>
      </c>
      <c r="R367" s="1394">
        <f t="shared" si="49"/>
        <v>0</v>
      </c>
      <c r="S367" s="1394">
        <f>IFERROR(VLOOKUP(M367,#REF!,6,0),0)</f>
        <v>0</v>
      </c>
      <c r="T367" s="1394">
        <f t="shared" si="50"/>
        <v>0</v>
      </c>
      <c r="U367" s="1394">
        <f>IFERROR(VLOOKUP(M367,#REF!,5,0),0)</f>
        <v>0</v>
      </c>
      <c r="V367" s="1394">
        <f t="shared" si="51"/>
        <v>0</v>
      </c>
      <c r="W367" s="1394"/>
      <c r="X367" s="1397"/>
    </row>
    <row r="368" spans="1:24" ht="30" customHeight="1">
      <c r="B368" s="1407"/>
      <c r="C368" s="1415" t="s">
        <v>283</v>
      </c>
      <c r="D368" s="1416">
        <v>1</v>
      </c>
      <c r="E368" s="1416">
        <v>1</v>
      </c>
      <c r="F368" s="1410">
        <v>9.7200000000000006</v>
      </c>
      <c r="G368" s="1410">
        <v>0.23</v>
      </c>
      <c r="H368" s="1411">
        <f>1.8-H323</f>
        <v>1.5</v>
      </c>
      <c r="I368" s="1406">
        <f>PRODUCT(D368:H368)</f>
        <v>3.3534000000000006</v>
      </c>
      <c r="J368" s="1397"/>
      <c r="K368" s="1397"/>
      <c r="Q368" s="1394">
        <f>IFERROR(VLOOKUP(M368,#REF!,3,0),0)</f>
        <v>0</v>
      </c>
      <c r="R368" s="1394">
        <f t="shared" si="49"/>
        <v>0</v>
      </c>
      <c r="S368" s="1394">
        <f>IFERROR(VLOOKUP(M368,#REF!,6,0),0)</f>
        <v>0</v>
      </c>
      <c r="T368" s="1394">
        <f t="shared" si="50"/>
        <v>0</v>
      </c>
      <c r="U368" s="1394">
        <f>IFERROR(VLOOKUP(M368,#REF!,5,0),0)</f>
        <v>0</v>
      </c>
      <c r="V368" s="1394">
        <f t="shared" si="51"/>
        <v>0</v>
      </c>
      <c r="W368" s="1394"/>
    </row>
    <row r="369" spans="1:23" ht="30" customHeight="1">
      <c r="B369" s="1407"/>
      <c r="C369" s="1415" t="s">
        <v>5720</v>
      </c>
      <c r="D369" s="1409"/>
      <c r="E369" s="1409"/>
      <c r="F369" s="1410"/>
      <c r="G369" s="1410"/>
      <c r="H369" s="1411"/>
      <c r="I369" s="1406">
        <f t="shared" ref="I369:I412" si="52">PRODUCT(D369:H369)</f>
        <v>0</v>
      </c>
      <c r="L369" s="110">
        <f>3-0.6-0.45</f>
        <v>1.95</v>
      </c>
      <c r="Q369" s="1394">
        <f>IFERROR(VLOOKUP(M369,#REF!,3,0),0)</f>
        <v>0</v>
      </c>
      <c r="R369" s="1394">
        <f t="shared" si="49"/>
        <v>0</v>
      </c>
      <c r="S369" s="1394">
        <f>IFERROR(VLOOKUP(M369,#REF!,6,0),0)</f>
        <v>0</v>
      </c>
      <c r="T369" s="1394">
        <f t="shared" si="50"/>
        <v>0</v>
      </c>
      <c r="U369" s="1394">
        <f>IFERROR(VLOOKUP(M369,#REF!,5,0),0)</f>
        <v>0</v>
      </c>
      <c r="V369" s="1394">
        <f t="shared" si="51"/>
        <v>0</v>
      </c>
      <c r="W369" s="1394"/>
    </row>
    <row r="370" spans="1:23" ht="30" customHeight="1">
      <c r="B370" s="1407"/>
      <c r="C370" s="1408" t="str">
        <f>'det -detail'!B99</f>
        <v xml:space="preserve">For C1 Round Column Dia 0.3 Radius = 0.15 </v>
      </c>
      <c r="D370" s="1416">
        <f>'det -detail'!E99</f>
        <v>4</v>
      </c>
      <c r="E370" s="1409">
        <f>'det -detail'!F99</f>
        <v>3.14</v>
      </c>
      <c r="F370" s="1410">
        <f>'det -detail'!G99</f>
        <v>0.15</v>
      </c>
      <c r="G370" s="1410">
        <f>'det -detail'!H99</f>
        <v>0.15</v>
      </c>
      <c r="H370" s="1411">
        <f>(H11+H48+H89)-H101-H235-H318-H325-0.3</f>
        <v>1.32</v>
      </c>
      <c r="I370" s="1406">
        <f>PRODUCT(D370:H370)</f>
        <v>0.37303199999999997</v>
      </c>
      <c r="J370" s="1397"/>
      <c r="K370" s="1397"/>
      <c r="Q370" s="1394">
        <f>IFERROR(VLOOKUP(M370,#REF!,3,0),0)</f>
        <v>0</v>
      </c>
      <c r="R370" s="1394">
        <f t="shared" si="49"/>
        <v>0</v>
      </c>
      <c r="S370" s="1394">
        <f>IFERROR(VLOOKUP(M370,#REF!,6,0),0)</f>
        <v>0</v>
      </c>
      <c r="T370" s="1394">
        <f t="shared" si="50"/>
        <v>0</v>
      </c>
      <c r="U370" s="1394">
        <f>IFERROR(VLOOKUP(M370,#REF!,5,0),0)</f>
        <v>0</v>
      </c>
      <c r="V370" s="1394">
        <f t="shared" si="51"/>
        <v>0</v>
      </c>
      <c r="W370" s="1394"/>
    </row>
    <row r="371" spans="1:23" ht="30" customHeight="1">
      <c r="B371" s="1407"/>
      <c r="C371" s="1408" t="str">
        <f>'det -detail'!B100</f>
        <v>For C2</v>
      </c>
      <c r="D371" s="1409">
        <f>'det -detail'!E100</f>
        <v>11</v>
      </c>
      <c r="E371" s="1409">
        <f>'det -detail'!F100</f>
        <v>1</v>
      </c>
      <c r="F371" s="1410">
        <f>'det -detail'!G100</f>
        <v>0.23</v>
      </c>
      <c r="G371" s="1410">
        <f>'det -detail'!H100</f>
        <v>0.38</v>
      </c>
      <c r="H371" s="1411">
        <f>(H11+H49+H90)-H102-H236-H319-H326-0.3</f>
        <v>1.32</v>
      </c>
      <c r="I371" s="1406">
        <f>PRODUCT(D371:H371)</f>
        <v>1.2690480000000002</v>
      </c>
      <c r="J371" s="1397"/>
      <c r="K371" s="1397"/>
      <c r="Q371" s="1394">
        <f>IFERROR(VLOOKUP(M371,#REF!,3,0),0)</f>
        <v>0</v>
      </c>
      <c r="R371" s="1394">
        <f t="shared" si="49"/>
        <v>0</v>
      </c>
      <c r="S371" s="1394">
        <f>IFERROR(VLOOKUP(M371,#REF!,6,0),0)</f>
        <v>0</v>
      </c>
      <c r="T371" s="1394">
        <f t="shared" si="50"/>
        <v>0</v>
      </c>
      <c r="U371" s="1394">
        <f>IFERROR(VLOOKUP(M371,#REF!,5,0),0)</f>
        <v>0</v>
      </c>
      <c r="V371" s="1394">
        <f t="shared" si="51"/>
        <v>0</v>
      </c>
      <c r="W371" s="1394"/>
    </row>
    <row r="372" spans="1:23" ht="30" customHeight="1">
      <c r="A372" s="1397"/>
      <c r="B372" s="1407"/>
      <c r="C372" s="1408" t="str">
        <f>'det -detail'!B101</f>
        <v>For C3</v>
      </c>
      <c r="D372" s="1409">
        <f>'det -detail'!E101</f>
        <v>10</v>
      </c>
      <c r="E372" s="1409">
        <f>'det -detail'!F101</f>
        <v>1</v>
      </c>
      <c r="F372" s="1410">
        <f>'det -detail'!G101</f>
        <v>0.23</v>
      </c>
      <c r="G372" s="1410">
        <f>'det -detail'!H101</f>
        <v>0.45</v>
      </c>
      <c r="H372" s="1411">
        <f>(H11+H50+H91)-H103-H237-H320-H327-0.3</f>
        <v>1.32</v>
      </c>
      <c r="I372" s="1406">
        <f>PRODUCT(D372:H372)</f>
        <v>1.3662000000000003</v>
      </c>
      <c r="J372" s="1397"/>
      <c r="K372" s="1397"/>
      <c r="L372" s="1397">
        <f>SUM(I370:I373)</f>
        <v>4.2556800000000008</v>
      </c>
      <c r="Q372" s="1394">
        <f>IFERROR(VLOOKUP(M372,#REF!,3,0),0)</f>
        <v>0</v>
      </c>
      <c r="R372" s="1394">
        <f t="shared" si="49"/>
        <v>0</v>
      </c>
      <c r="S372" s="1394">
        <f>IFERROR(VLOOKUP(M372,#REF!,6,0),0)</f>
        <v>0</v>
      </c>
      <c r="T372" s="1394">
        <f t="shared" si="50"/>
        <v>0</v>
      </c>
      <c r="U372" s="1394">
        <f>IFERROR(VLOOKUP(M372,#REF!,5,0),0)</f>
        <v>0</v>
      </c>
      <c r="V372" s="1394">
        <f t="shared" si="51"/>
        <v>0</v>
      </c>
      <c r="W372" s="1394"/>
    </row>
    <row r="373" spans="1:23" ht="30" customHeight="1">
      <c r="B373" s="1407"/>
      <c r="C373" s="1408" t="str">
        <f>'det -detail'!B102</f>
        <v>For C4</v>
      </c>
      <c r="D373" s="1409">
        <f>'det -detail'!E102</f>
        <v>7</v>
      </c>
      <c r="E373" s="1409">
        <f>'det -detail'!F102</f>
        <v>1</v>
      </c>
      <c r="F373" s="1410">
        <f>'det -detail'!G102</f>
        <v>0.3</v>
      </c>
      <c r="G373" s="1410">
        <f>'det -detail'!H102</f>
        <v>0.45</v>
      </c>
      <c r="H373" s="1411">
        <f>(H11+H51+H92)-H104-H238-H321-H328-0.3</f>
        <v>1.32</v>
      </c>
      <c r="I373" s="1406">
        <f>PRODUCT(D373:H373)</f>
        <v>1.2474000000000001</v>
      </c>
      <c r="J373" s="1397"/>
      <c r="K373" s="1397">
        <f>H370+H318+H325+0.3+0.3</f>
        <v>4.0999999999999996</v>
      </c>
      <c r="Q373" s="1394">
        <f>IFERROR(VLOOKUP(M373,#REF!,3,0),0)</f>
        <v>0</v>
      </c>
      <c r="R373" s="1394">
        <f t="shared" si="49"/>
        <v>0</v>
      </c>
      <c r="S373" s="1394">
        <f>IFERROR(VLOOKUP(M373,#REF!,6,0),0)</f>
        <v>0</v>
      </c>
      <c r="T373" s="1394">
        <f t="shared" si="50"/>
        <v>0</v>
      </c>
      <c r="U373" s="1394">
        <f>IFERROR(VLOOKUP(M373,#REF!,5,0),0)</f>
        <v>0</v>
      </c>
      <c r="V373" s="1394">
        <f t="shared" si="51"/>
        <v>0</v>
      </c>
      <c r="W373" s="1394"/>
    </row>
    <row r="374" spans="1:23" ht="30" customHeight="1">
      <c r="B374" s="1407"/>
      <c r="C374" s="1415" t="s">
        <v>283</v>
      </c>
      <c r="D374" s="1416">
        <v>1</v>
      </c>
      <c r="E374" s="1416">
        <v>1</v>
      </c>
      <c r="F374" s="1410">
        <v>9.7200000000000006</v>
      </c>
      <c r="G374" s="1410">
        <v>0.23</v>
      </c>
      <c r="H374" s="1411">
        <v>1.5</v>
      </c>
      <c r="I374" s="1406">
        <f t="shared" ref="I374" si="53">PRODUCT(D374:H374)</f>
        <v>3.3534000000000006</v>
      </c>
      <c r="J374" s="1397"/>
      <c r="K374" s="1397"/>
      <c r="Q374" s="1394">
        <f>IFERROR(VLOOKUP(M374,#REF!,3,0),0)</f>
        <v>0</v>
      </c>
      <c r="R374" s="1394">
        <f t="shared" si="49"/>
        <v>0</v>
      </c>
      <c r="S374" s="1394">
        <f>IFERROR(VLOOKUP(M374,#REF!,6,0),0)</f>
        <v>0</v>
      </c>
      <c r="T374" s="1394">
        <f t="shared" si="50"/>
        <v>0</v>
      </c>
      <c r="U374" s="1394">
        <f>IFERROR(VLOOKUP(M374,#REF!,5,0),0)</f>
        <v>0</v>
      </c>
      <c r="V374" s="1394">
        <f t="shared" si="51"/>
        <v>0</v>
      </c>
      <c r="W374" s="1394"/>
    </row>
    <row r="375" spans="1:23" ht="30" customHeight="1">
      <c r="B375" s="1407"/>
      <c r="C375" s="1415" t="s">
        <v>163</v>
      </c>
      <c r="D375" s="1409"/>
      <c r="E375" s="1409"/>
      <c r="F375" s="1410"/>
      <c r="G375" s="1410"/>
      <c r="H375" s="1411"/>
      <c r="I375" s="1406">
        <f>PRODUCT(D375:H375)</f>
        <v>0</v>
      </c>
      <c r="Q375" s="1394">
        <f>IFERROR(VLOOKUP(M375,#REF!,3,0),0)</f>
        <v>0</v>
      </c>
      <c r="R375" s="1394">
        <f t="shared" si="49"/>
        <v>0</v>
      </c>
      <c r="S375" s="1394">
        <f>IFERROR(VLOOKUP(M375,#REF!,6,0),0)</f>
        <v>0</v>
      </c>
      <c r="T375" s="1394">
        <f t="shared" si="50"/>
        <v>0</v>
      </c>
      <c r="U375" s="1394">
        <f>IFERROR(VLOOKUP(M375,#REF!,5,0),0)</f>
        <v>0</v>
      </c>
      <c r="V375" s="1394">
        <f t="shared" si="51"/>
        <v>0</v>
      </c>
      <c r="W375" s="1394"/>
    </row>
    <row r="376" spans="1:23" ht="30" customHeight="1">
      <c r="B376" s="1407"/>
      <c r="C376" s="1408" t="str">
        <f>'det -detail'!B65&amp;'det -detail'!C65</f>
        <v>-X- Direction</v>
      </c>
      <c r="D376" s="1409"/>
      <c r="E376" s="1409"/>
      <c r="F376" s="1410"/>
      <c r="G376" s="1410"/>
      <c r="H376" s="1411"/>
      <c r="I376" s="1406">
        <f>PRODUCT(D376:H376)</f>
        <v>0</v>
      </c>
      <c r="Q376" s="1394">
        <f>IFERROR(VLOOKUP(M376,#REF!,3,0),0)</f>
        <v>0</v>
      </c>
      <c r="R376" s="1394">
        <f t="shared" si="49"/>
        <v>0</v>
      </c>
      <c r="S376" s="1394">
        <f>IFERROR(VLOOKUP(M376,#REF!,6,0),0)</f>
        <v>0</v>
      </c>
      <c r="T376" s="1394">
        <f t="shared" si="50"/>
        <v>0</v>
      </c>
      <c r="U376" s="1394">
        <f>IFERROR(VLOOKUP(M376,#REF!,5,0),0)</f>
        <v>0</v>
      </c>
      <c r="V376" s="1394">
        <f t="shared" si="51"/>
        <v>0</v>
      </c>
      <c r="W376" s="1394"/>
    </row>
    <row r="377" spans="1:23" ht="30" customHeight="1">
      <c r="B377" s="1407"/>
      <c r="C377" s="1408" t="str">
        <f>'det -detail'!B66&amp;'det -detail'!C66</f>
        <v>A3 to B3, A5 to B5 , A6 to B6 and A6 to B6GB-2</v>
      </c>
      <c r="D377" s="1409">
        <f>'det -detail'!E66</f>
        <v>1</v>
      </c>
      <c r="E377" s="1409">
        <f>'det -detail'!F66</f>
        <v>4</v>
      </c>
      <c r="F377" s="1410">
        <f>'det -detail'!G66</f>
        <v>4.2300000000000004</v>
      </c>
      <c r="G377" s="1410">
        <f>'det -detail'!K66</f>
        <v>0.23</v>
      </c>
      <c r="H377" s="1411">
        <f>'det -detail'!M66</f>
        <v>0.30000000000000004</v>
      </c>
      <c r="I377" s="1406">
        <f>PRODUCT(D377:H377)</f>
        <v>1.1674800000000003</v>
      </c>
      <c r="Q377" s="1394">
        <f>IFERROR(VLOOKUP(M377,#REF!,3,0),0)</f>
        <v>0</v>
      </c>
      <c r="R377" s="1394">
        <f t="shared" si="49"/>
        <v>0</v>
      </c>
      <c r="S377" s="1394">
        <f>IFERROR(VLOOKUP(M377,#REF!,6,0),0)</f>
        <v>0</v>
      </c>
      <c r="T377" s="1394">
        <f t="shared" si="50"/>
        <v>0</v>
      </c>
      <c r="U377" s="1394">
        <f>IFERROR(VLOOKUP(M377,#REF!,5,0),0)</f>
        <v>0</v>
      </c>
      <c r="V377" s="1394">
        <f t="shared" si="51"/>
        <v>0</v>
      </c>
      <c r="W377" s="1394"/>
    </row>
    <row r="378" spans="1:23" ht="30" customHeight="1">
      <c r="B378" s="1407"/>
      <c r="C378" s="1408" t="str">
        <f>'det -detail'!B67&amp;'det -detail'!C67</f>
        <v>D1 to F1 &amp; D2 to F2GB-3</v>
      </c>
      <c r="D378" s="1409">
        <f>'det -detail'!E67</f>
        <v>1</v>
      </c>
      <c r="E378" s="1409">
        <f>'det -detail'!F67</f>
        <v>2</v>
      </c>
      <c r="F378" s="1410">
        <f>'det -detail'!G67</f>
        <v>3.6549999999999998</v>
      </c>
      <c r="G378" s="1410">
        <f>'det -detail'!K67</f>
        <v>0.23</v>
      </c>
      <c r="H378" s="1411">
        <f>'det -detail'!M67</f>
        <v>0.30000000000000004</v>
      </c>
      <c r="I378" s="1406">
        <f t="shared" ref="I378:I389" si="54">PRODUCT(D378:H378)</f>
        <v>0.50439000000000012</v>
      </c>
      <c r="Q378" s="1394">
        <f>IFERROR(VLOOKUP(M378,#REF!,3,0),0)</f>
        <v>0</v>
      </c>
      <c r="R378" s="1394">
        <f t="shared" si="49"/>
        <v>0</v>
      </c>
      <c r="S378" s="1394">
        <f>IFERROR(VLOOKUP(M378,#REF!,6,0),0)</f>
        <v>0</v>
      </c>
      <c r="T378" s="1394">
        <f t="shared" si="50"/>
        <v>0</v>
      </c>
      <c r="U378" s="1394">
        <f>IFERROR(VLOOKUP(M378,#REF!,5,0),0)</f>
        <v>0</v>
      </c>
      <c r="V378" s="1394">
        <f t="shared" si="51"/>
        <v>0</v>
      </c>
      <c r="W378" s="1394"/>
    </row>
    <row r="379" spans="1:23" ht="30" customHeight="1">
      <c r="B379" s="1407"/>
      <c r="C379" s="1408" t="str">
        <f>'det -detail'!B68&amp;'det -detail'!C68</f>
        <v>B3 to F3GB-1</v>
      </c>
      <c r="D379" s="1409">
        <f>'det -detail'!E68</f>
        <v>1</v>
      </c>
      <c r="E379" s="1409">
        <f>'det -detail'!F68</f>
        <v>1</v>
      </c>
      <c r="F379" s="1410">
        <f>'det -detail'!G68</f>
        <v>6.8849999999999998</v>
      </c>
      <c r="G379" s="1410">
        <f>'det -detail'!K68</f>
        <v>0.23</v>
      </c>
      <c r="H379" s="1411">
        <f>'det -detail'!M68</f>
        <v>0.38</v>
      </c>
      <c r="I379" s="1406">
        <f t="shared" si="54"/>
        <v>0.60174899999999998</v>
      </c>
      <c r="Q379" s="1394">
        <f>IFERROR(VLOOKUP(M379,#REF!,3,0),0)</f>
        <v>0</v>
      </c>
      <c r="R379" s="1394">
        <f t="shared" si="49"/>
        <v>0</v>
      </c>
      <c r="S379" s="1394">
        <f>IFERROR(VLOOKUP(M379,#REF!,6,0),0)</f>
        <v>0</v>
      </c>
      <c r="T379" s="1394">
        <f t="shared" si="50"/>
        <v>0</v>
      </c>
      <c r="U379" s="1394">
        <f>IFERROR(VLOOKUP(M379,#REF!,5,0),0)</f>
        <v>0</v>
      </c>
      <c r="V379" s="1394">
        <f t="shared" si="51"/>
        <v>0</v>
      </c>
      <c r="W379" s="1394"/>
    </row>
    <row r="380" spans="1:23" ht="30" customHeight="1">
      <c r="B380" s="1407"/>
      <c r="C380" s="1408" t="str">
        <f>'det -detail'!B69&amp;'det -detail'!C69</f>
        <v>F3 to H3GB-2</v>
      </c>
      <c r="D380" s="1409">
        <f>'det -detail'!E69</f>
        <v>1</v>
      </c>
      <c r="E380" s="1409">
        <f>'det -detail'!F69</f>
        <v>1</v>
      </c>
      <c r="F380" s="1410">
        <f>'det -detail'!G69</f>
        <v>7.46</v>
      </c>
      <c r="G380" s="1410">
        <f>'det -detail'!K69</f>
        <v>0.23</v>
      </c>
      <c r="H380" s="1411">
        <f>'det -detail'!M69</f>
        <v>0.30000000000000004</v>
      </c>
      <c r="I380" s="1406">
        <f t="shared" si="54"/>
        <v>0.51474000000000009</v>
      </c>
      <c r="Q380" s="1394">
        <f>IFERROR(VLOOKUP(M380,#REF!,3,0),0)</f>
        <v>0</v>
      </c>
      <c r="R380" s="1394">
        <f t="shared" si="49"/>
        <v>0</v>
      </c>
      <c r="S380" s="1394">
        <f>IFERROR(VLOOKUP(M380,#REF!,6,0),0)</f>
        <v>0</v>
      </c>
      <c r="T380" s="1394">
        <f t="shared" si="50"/>
        <v>0</v>
      </c>
      <c r="U380" s="1394">
        <f>IFERROR(VLOOKUP(M380,#REF!,5,0),0)</f>
        <v>0</v>
      </c>
      <c r="V380" s="1394">
        <f t="shared" si="51"/>
        <v>0</v>
      </c>
      <c r="W380" s="1394"/>
    </row>
    <row r="381" spans="1:23" ht="30" customHeight="1">
      <c r="B381" s="1407"/>
      <c r="C381" s="1408" t="str">
        <f>'det -detail'!B70&amp;'det -detail'!C70</f>
        <v>C4 to F4 , C5 to F5GB-1</v>
      </c>
      <c r="D381" s="1409">
        <f>'det -detail'!E70</f>
        <v>1</v>
      </c>
      <c r="E381" s="1409">
        <f>'det -detail'!F70</f>
        <v>2</v>
      </c>
      <c r="F381" s="1410">
        <f>'det -detail'!G70</f>
        <v>4.5549999999999997</v>
      </c>
      <c r="G381" s="1410">
        <f>'det -detail'!K70</f>
        <v>0.23</v>
      </c>
      <c r="H381" s="1411">
        <f>'det -detail'!M70</f>
        <v>0.38</v>
      </c>
      <c r="I381" s="1406">
        <f t="shared" si="54"/>
        <v>0.79621399999999998</v>
      </c>
      <c r="Q381" s="1394">
        <f>IFERROR(VLOOKUP(M381,#REF!,3,0),0)</f>
        <v>0</v>
      </c>
      <c r="R381" s="1394">
        <f t="shared" si="49"/>
        <v>0</v>
      </c>
      <c r="S381" s="1394">
        <f>IFERROR(VLOOKUP(M381,#REF!,6,0),0)</f>
        <v>0</v>
      </c>
      <c r="T381" s="1394">
        <f t="shared" si="50"/>
        <v>0</v>
      </c>
      <c r="U381" s="1394">
        <f>IFERROR(VLOOKUP(M381,#REF!,5,0),0)</f>
        <v>0</v>
      </c>
      <c r="V381" s="1394">
        <f t="shared" si="51"/>
        <v>0</v>
      </c>
      <c r="W381" s="1394"/>
    </row>
    <row r="382" spans="1:23" ht="30" customHeight="1">
      <c r="B382" s="1407"/>
      <c r="C382" s="1408" t="str">
        <f>'det -detail'!B71&amp;'det -detail'!C71</f>
        <v>B4 to C4 , B5 to C5GB-1</v>
      </c>
      <c r="D382" s="1409">
        <f>'det -detail'!E71</f>
        <v>1</v>
      </c>
      <c r="E382" s="1409">
        <f>'det -detail'!F71</f>
        <v>2</v>
      </c>
      <c r="F382" s="1410">
        <f>'det -detail'!G71</f>
        <v>2.33</v>
      </c>
      <c r="G382" s="1410">
        <f>'det -detail'!K71</f>
        <v>0.23</v>
      </c>
      <c r="H382" s="1411">
        <f>'det -detail'!M71</f>
        <v>0.38</v>
      </c>
      <c r="I382" s="1406">
        <f t="shared" si="54"/>
        <v>0.40728400000000003</v>
      </c>
      <c r="Q382" s="1394">
        <f>IFERROR(VLOOKUP(M382,#REF!,3,0),0)</f>
        <v>0</v>
      </c>
      <c r="R382" s="1394">
        <f t="shared" si="49"/>
        <v>0</v>
      </c>
      <c r="S382" s="1394">
        <f>IFERROR(VLOOKUP(M382,#REF!,6,0),0)</f>
        <v>0</v>
      </c>
      <c r="T382" s="1394">
        <f t="shared" si="50"/>
        <v>0</v>
      </c>
      <c r="U382" s="1394">
        <f>IFERROR(VLOOKUP(M382,#REF!,5,0),0)</f>
        <v>0</v>
      </c>
      <c r="V382" s="1394">
        <f t="shared" si="51"/>
        <v>0</v>
      </c>
      <c r="W382" s="1394"/>
    </row>
    <row r="383" spans="1:23" ht="30" customHeight="1">
      <c r="B383" s="1407"/>
      <c r="C383" s="1408" t="str">
        <f>'det -detail'!B72&amp;'det -detail'!C72</f>
        <v>F5 to G5 GB-2</v>
      </c>
      <c r="D383" s="1409">
        <f>'det -detail'!E72</f>
        <v>1</v>
      </c>
      <c r="E383" s="1409">
        <f>'det -detail'!F72</f>
        <v>1</v>
      </c>
      <c r="F383" s="1410">
        <f>'det -detail'!G72</f>
        <v>3.4649999999999999</v>
      </c>
      <c r="G383" s="1410">
        <f>'det -detail'!K72</f>
        <v>0.23</v>
      </c>
      <c r="H383" s="1411">
        <f>'det -detail'!M72</f>
        <v>0.30000000000000004</v>
      </c>
      <c r="I383" s="1406">
        <f t="shared" si="54"/>
        <v>0.23908500000000005</v>
      </c>
      <c r="Q383" s="1394">
        <f>IFERROR(VLOOKUP(M383,#REF!,3,0),0)</f>
        <v>0</v>
      </c>
      <c r="R383" s="1394">
        <f t="shared" si="49"/>
        <v>0</v>
      </c>
      <c r="S383" s="1394">
        <f>IFERROR(VLOOKUP(M383,#REF!,6,0),0)</f>
        <v>0</v>
      </c>
      <c r="T383" s="1394">
        <f t="shared" si="50"/>
        <v>0</v>
      </c>
      <c r="U383" s="1394">
        <f>IFERROR(VLOOKUP(M383,#REF!,5,0),0)</f>
        <v>0</v>
      </c>
      <c r="V383" s="1394">
        <f t="shared" si="51"/>
        <v>0</v>
      </c>
      <c r="W383" s="1394"/>
    </row>
    <row r="384" spans="1:23" ht="30" customHeight="1">
      <c r="B384" s="1407"/>
      <c r="C384" s="1408" t="str">
        <f>'det -detail'!B73&amp;'det -detail'!C73</f>
        <v>G5 to H5 GB-2</v>
      </c>
      <c r="D384" s="1409">
        <f>'det -detail'!E73</f>
        <v>1</v>
      </c>
      <c r="E384" s="1409">
        <f>'det -detail'!F73</f>
        <v>1</v>
      </c>
      <c r="F384" s="1410">
        <f>'det -detail'!G73</f>
        <v>3.9950000000000001</v>
      </c>
      <c r="G384" s="1410">
        <f>'det -detail'!K73</f>
        <v>0.23</v>
      </c>
      <c r="H384" s="1411">
        <f>'det -detail'!M73</f>
        <v>0.30000000000000004</v>
      </c>
      <c r="I384" s="1406">
        <f t="shared" si="54"/>
        <v>0.27565500000000004</v>
      </c>
      <c r="Q384" s="1394">
        <f>IFERROR(VLOOKUP(M384,#REF!,3,0),0)</f>
        <v>0</v>
      </c>
      <c r="R384" s="1394">
        <f t="shared" si="49"/>
        <v>0</v>
      </c>
      <c r="S384" s="1394">
        <f>IFERROR(VLOOKUP(M384,#REF!,6,0),0)</f>
        <v>0</v>
      </c>
      <c r="T384" s="1394">
        <f t="shared" si="50"/>
        <v>0</v>
      </c>
      <c r="U384" s="1394">
        <f>IFERROR(VLOOKUP(M384,#REF!,5,0),0)</f>
        <v>0</v>
      </c>
      <c r="V384" s="1394">
        <f t="shared" si="51"/>
        <v>0</v>
      </c>
      <c r="W384" s="1394"/>
    </row>
    <row r="385" spans="1:23" ht="30" customHeight="1">
      <c r="B385" s="1407"/>
      <c r="C385" s="1408" t="str">
        <f>'det -detail'!B74&amp;'det -detail'!C74</f>
        <v>B6' to D6'GB-3</v>
      </c>
      <c r="D385" s="1409">
        <f>'det -detail'!E74</f>
        <v>1</v>
      </c>
      <c r="E385" s="1409">
        <f>'det -detail'!F74</f>
        <v>1</v>
      </c>
      <c r="F385" s="1410">
        <f>'det -detail'!G74</f>
        <v>3.125</v>
      </c>
      <c r="G385" s="1410">
        <f>'det -detail'!K74</f>
        <v>0.23</v>
      </c>
      <c r="H385" s="1411">
        <f>'det -detail'!M74</f>
        <v>0.30000000000000004</v>
      </c>
      <c r="I385" s="1406">
        <f t="shared" si="54"/>
        <v>0.21562500000000004</v>
      </c>
      <c r="Q385" s="1394">
        <f>IFERROR(VLOOKUP(M385,#REF!,3,0),0)</f>
        <v>0</v>
      </c>
      <c r="R385" s="1394">
        <f t="shared" si="49"/>
        <v>0</v>
      </c>
      <c r="S385" s="1394">
        <f>IFERROR(VLOOKUP(M385,#REF!,6,0),0)</f>
        <v>0</v>
      </c>
      <c r="T385" s="1394">
        <f t="shared" si="50"/>
        <v>0</v>
      </c>
      <c r="U385" s="1394">
        <f>IFERROR(VLOOKUP(M385,#REF!,5,0),0)</f>
        <v>0</v>
      </c>
      <c r="V385" s="1394">
        <f t="shared" si="51"/>
        <v>0</v>
      </c>
      <c r="W385" s="1394"/>
    </row>
    <row r="386" spans="1:23" ht="30" customHeight="1">
      <c r="B386" s="1407"/>
      <c r="C386" s="1408" t="str">
        <f>'det -detail'!B75&amp;'det -detail'!C75</f>
        <v>G6 to H6GB-2</v>
      </c>
      <c r="D386" s="1409">
        <f>'det -detail'!E75</f>
        <v>1</v>
      </c>
      <c r="E386" s="1409">
        <f>'det -detail'!F75</f>
        <v>1</v>
      </c>
      <c r="F386" s="1410">
        <f>'det -detail'!G75</f>
        <v>4.2300000000000004</v>
      </c>
      <c r="G386" s="1410">
        <f>'det -detail'!K75</f>
        <v>0.23</v>
      </c>
      <c r="H386" s="1411">
        <f>'det -detail'!M75</f>
        <v>0.30000000000000004</v>
      </c>
      <c r="I386" s="1406">
        <f t="shared" si="54"/>
        <v>0.29187000000000007</v>
      </c>
      <c r="Q386" s="1394">
        <f>IFERROR(VLOOKUP(M386,#REF!,3,0),0)</f>
        <v>0</v>
      </c>
      <c r="R386" s="1394">
        <f t="shared" si="49"/>
        <v>0</v>
      </c>
      <c r="S386" s="1394">
        <f>IFERROR(VLOOKUP(M386,#REF!,6,0),0)</f>
        <v>0</v>
      </c>
      <c r="T386" s="1394">
        <f t="shared" si="50"/>
        <v>0</v>
      </c>
      <c r="U386" s="1394">
        <f>IFERROR(VLOOKUP(M386,#REF!,5,0),0)</f>
        <v>0</v>
      </c>
      <c r="V386" s="1394">
        <f t="shared" si="51"/>
        <v>0</v>
      </c>
      <c r="W386" s="1394"/>
    </row>
    <row r="387" spans="1:23" ht="30" customHeight="1">
      <c r="B387" s="1407"/>
      <c r="C387" s="1408" t="str">
        <f>'det -detail'!B76&amp;'det -detail'!C76</f>
        <v>B7 to E7GB-1</v>
      </c>
      <c r="D387" s="1409">
        <f>'det -detail'!E76</f>
        <v>1</v>
      </c>
      <c r="E387" s="1409">
        <f>'det -detail'!F76</f>
        <v>1</v>
      </c>
      <c r="F387" s="1410">
        <f>'det -detail'!G76</f>
        <v>5.6549999999999994</v>
      </c>
      <c r="G387" s="1410">
        <f>'det -detail'!K76</f>
        <v>0.23</v>
      </c>
      <c r="H387" s="1411">
        <f>'det -detail'!M76</f>
        <v>0.38</v>
      </c>
      <c r="I387" s="1406">
        <f t="shared" si="54"/>
        <v>0.49424699999999994</v>
      </c>
      <c r="Q387" s="1394">
        <f>IFERROR(VLOOKUP(M387,#REF!,3,0),0)</f>
        <v>0</v>
      </c>
      <c r="R387" s="1394">
        <f t="shared" si="49"/>
        <v>0</v>
      </c>
      <c r="S387" s="1394">
        <f>IFERROR(VLOOKUP(M387,#REF!,6,0),0)</f>
        <v>0</v>
      </c>
      <c r="T387" s="1394">
        <f t="shared" si="50"/>
        <v>0</v>
      </c>
      <c r="U387" s="1394">
        <f>IFERROR(VLOOKUP(M387,#REF!,5,0),0)</f>
        <v>0</v>
      </c>
      <c r="V387" s="1394">
        <f t="shared" si="51"/>
        <v>0</v>
      </c>
      <c r="W387" s="1394"/>
    </row>
    <row r="388" spans="1:23" ht="30" customHeight="1">
      <c r="B388" s="1407"/>
      <c r="C388" s="1408" t="str">
        <f>'det -detail'!B77&amp;'det -detail'!C77</f>
        <v>E7 to H7GB-2</v>
      </c>
      <c r="D388" s="1409">
        <f>'det -detail'!E77</f>
        <v>1</v>
      </c>
      <c r="E388" s="1409">
        <f>'det -detail'!F77</f>
        <v>1</v>
      </c>
      <c r="F388" s="1410">
        <f>'det -detail'!G77</f>
        <v>8.6900000000000013</v>
      </c>
      <c r="G388" s="1410">
        <f>'det -detail'!K77</f>
        <v>0.23</v>
      </c>
      <c r="H388" s="1411">
        <f>'det -detail'!M77</f>
        <v>0.30000000000000004</v>
      </c>
      <c r="I388" s="1406">
        <f t="shared" si="54"/>
        <v>0.5996100000000002</v>
      </c>
      <c r="Q388" s="1394">
        <f>IFERROR(VLOOKUP(M388,#REF!,3,0),0)</f>
        <v>0</v>
      </c>
      <c r="R388" s="1394">
        <f t="shared" si="49"/>
        <v>0</v>
      </c>
      <c r="S388" s="1394">
        <f>IFERROR(VLOOKUP(M388,#REF!,6,0),0)</f>
        <v>0</v>
      </c>
      <c r="T388" s="1394">
        <f t="shared" si="50"/>
        <v>0</v>
      </c>
      <c r="U388" s="1394">
        <f>IFERROR(VLOOKUP(M388,#REF!,5,0),0)</f>
        <v>0</v>
      </c>
      <c r="V388" s="1394">
        <f t="shared" si="51"/>
        <v>0</v>
      </c>
      <c r="W388" s="1394"/>
    </row>
    <row r="389" spans="1:23" ht="30" customHeight="1">
      <c r="B389" s="1407"/>
      <c r="C389" s="1408" t="str">
        <f>'det -detail'!B78&amp;'det -detail'!C78</f>
        <v>A8 to H8GB-3</v>
      </c>
      <c r="D389" s="1409">
        <f>'det -detail'!E78</f>
        <v>1</v>
      </c>
      <c r="E389" s="1409">
        <f>'det -detail'!F78</f>
        <v>1</v>
      </c>
      <c r="F389" s="1410">
        <f>'det -detail'!G78</f>
        <v>18.575000000000003</v>
      </c>
      <c r="G389" s="1410">
        <f>'det -detail'!K78</f>
        <v>0.23</v>
      </c>
      <c r="H389" s="1411">
        <f>'det -detail'!M78</f>
        <v>0.30000000000000004</v>
      </c>
      <c r="I389" s="1406">
        <f t="shared" si="54"/>
        <v>1.2816750000000003</v>
      </c>
      <c r="Q389" s="1394">
        <f>IFERROR(VLOOKUP(M389,#REF!,3,0),0)</f>
        <v>0</v>
      </c>
      <c r="R389" s="1394">
        <f t="shared" si="49"/>
        <v>0</v>
      </c>
      <c r="S389" s="1394">
        <f>IFERROR(VLOOKUP(M389,#REF!,6,0),0)</f>
        <v>0</v>
      </c>
      <c r="T389" s="1394">
        <f t="shared" si="50"/>
        <v>0</v>
      </c>
      <c r="U389" s="1394">
        <f>IFERROR(VLOOKUP(M389,#REF!,5,0),0)</f>
        <v>0</v>
      </c>
      <c r="V389" s="1394">
        <f t="shared" si="51"/>
        <v>0</v>
      </c>
      <c r="W389" s="1394"/>
    </row>
    <row r="390" spans="1:23" ht="30" customHeight="1">
      <c r="B390" s="1407"/>
      <c r="C390" s="1408" t="str">
        <f>'det -detail'!B80&amp;'det -detail'!C80</f>
        <v/>
      </c>
      <c r="D390" s="1409">
        <f>'det -detail'!E80</f>
        <v>0</v>
      </c>
      <c r="E390" s="1409">
        <f>'det -detail'!F80</f>
        <v>0</v>
      </c>
      <c r="F390" s="1410">
        <f>'det -detail'!G80</f>
        <v>0</v>
      </c>
      <c r="G390" s="1410">
        <f>'det -detail'!K80</f>
        <v>0</v>
      </c>
      <c r="H390" s="1411">
        <f>'det -detail'!M80</f>
        <v>0</v>
      </c>
      <c r="I390" s="1406">
        <f>PRODUCT(D390:H390)</f>
        <v>0</v>
      </c>
      <c r="Q390" s="1394">
        <f>IFERROR(VLOOKUP(M390,#REF!,3,0),0)</f>
        <v>0</v>
      </c>
      <c r="R390" s="1394">
        <f t="shared" si="49"/>
        <v>0</v>
      </c>
      <c r="S390" s="1394">
        <f>IFERROR(VLOOKUP(M390,#REF!,6,0),0)</f>
        <v>0</v>
      </c>
      <c r="T390" s="1394">
        <f t="shared" si="50"/>
        <v>0</v>
      </c>
      <c r="U390" s="1394">
        <f>IFERROR(VLOOKUP(M390,#REF!,5,0),0)</f>
        <v>0</v>
      </c>
      <c r="V390" s="1394">
        <f t="shared" si="51"/>
        <v>0</v>
      </c>
      <c r="W390" s="1394"/>
    </row>
    <row r="391" spans="1:23" ht="30" customHeight="1">
      <c r="B391" s="1407"/>
      <c r="C391" s="1408" t="str">
        <f>'det -detail'!B81&amp;'det -detail'!C81</f>
        <v>-Y- Direction</v>
      </c>
      <c r="D391" s="1409">
        <f>'det -detail'!E81</f>
        <v>0</v>
      </c>
      <c r="E391" s="1409">
        <f>'det -detail'!F81</f>
        <v>0</v>
      </c>
      <c r="F391" s="1410">
        <f>'det -detail'!G81</f>
        <v>0</v>
      </c>
      <c r="G391" s="1410">
        <f>'det -detail'!K81</f>
        <v>0</v>
      </c>
      <c r="H391" s="1411">
        <f>'det -detail'!M81</f>
        <v>0</v>
      </c>
      <c r="I391" s="1406">
        <f>PRODUCT(D391:H391)</f>
        <v>0</v>
      </c>
      <c r="Q391" s="1394">
        <f>IFERROR(VLOOKUP(M391,#REF!,3,0),0)</f>
        <v>0</v>
      </c>
      <c r="R391" s="1394">
        <f t="shared" si="49"/>
        <v>0</v>
      </c>
      <c r="S391" s="1394">
        <f>IFERROR(VLOOKUP(M391,#REF!,6,0),0)</f>
        <v>0</v>
      </c>
      <c r="T391" s="1394">
        <f t="shared" si="50"/>
        <v>0</v>
      </c>
      <c r="U391" s="1394">
        <f>IFERROR(VLOOKUP(M391,#REF!,5,0),0)</f>
        <v>0</v>
      </c>
      <c r="V391" s="1394">
        <f t="shared" si="51"/>
        <v>0</v>
      </c>
      <c r="W391" s="1394"/>
    </row>
    <row r="392" spans="1:23" ht="30" customHeight="1">
      <c r="B392" s="1407"/>
      <c r="C392" s="1408" t="str">
        <f>'det -detail'!B82&amp;"  "&amp;'det -detail'!C82</f>
        <v>D1 to D3 &amp; F1 to F3  GB-3</v>
      </c>
      <c r="D392" s="1409">
        <f>'det -detail'!E82</f>
        <v>1</v>
      </c>
      <c r="E392" s="1409">
        <f>'det -detail'!F82</f>
        <v>2</v>
      </c>
      <c r="F392" s="1410">
        <f>'det -detail'!G82</f>
        <v>4.6899999999999995</v>
      </c>
      <c r="G392" s="1410">
        <f>'det -detail'!K82</f>
        <v>0.23</v>
      </c>
      <c r="H392" s="1411">
        <f>'det -detail'!M82</f>
        <v>0.30000000000000004</v>
      </c>
      <c r="I392" s="1406">
        <f>PRODUCT(D392:H392)</f>
        <v>0.64722000000000013</v>
      </c>
      <c r="Q392" s="1394">
        <f>IFERROR(VLOOKUP(M392,#REF!,3,0),0)</f>
        <v>0</v>
      </c>
      <c r="R392" s="1394">
        <f t="shared" si="49"/>
        <v>0</v>
      </c>
      <c r="S392" s="1394">
        <f>IFERROR(VLOOKUP(M392,#REF!,6,0),0)</f>
        <v>0</v>
      </c>
      <c r="T392" s="1394">
        <f t="shared" si="50"/>
        <v>0</v>
      </c>
      <c r="U392" s="1394">
        <f>IFERROR(VLOOKUP(M392,#REF!,5,0),0)</f>
        <v>0</v>
      </c>
      <c r="V392" s="1394">
        <f t="shared" si="51"/>
        <v>0</v>
      </c>
      <c r="W392" s="1394"/>
    </row>
    <row r="393" spans="1:23" ht="30" customHeight="1">
      <c r="B393" s="1407"/>
      <c r="C393" s="1408" t="str">
        <f>'det -detail'!B83&amp;"  "&amp;'det -detail'!C83</f>
        <v>A3 to A8 ,B3 to B8 &amp; H3 to H8  GB-3</v>
      </c>
      <c r="D393" s="1409">
        <f>'det -detail'!E83</f>
        <v>1</v>
      </c>
      <c r="E393" s="1409">
        <f>'det -detail'!F83</f>
        <v>3</v>
      </c>
      <c r="F393" s="1410">
        <f>'det -detail'!G83</f>
        <v>15.649999999999999</v>
      </c>
      <c r="G393" s="1410">
        <f>'det -detail'!K83</f>
        <v>0.23</v>
      </c>
      <c r="H393" s="1411">
        <f>'det -detail'!M83</f>
        <v>0.30000000000000004</v>
      </c>
      <c r="I393" s="1406">
        <f t="shared" ref="I393:I397" si="55">PRODUCT(D393:H393)</f>
        <v>3.2395499999999999</v>
      </c>
      <c r="Q393" s="1394">
        <f>IFERROR(VLOOKUP(M393,#REF!,3,0),0)</f>
        <v>0</v>
      </c>
      <c r="R393" s="1394">
        <f t="shared" si="49"/>
        <v>0</v>
      </c>
      <c r="S393" s="1394">
        <f>IFERROR(VLOOKUP(M393,#REF!,6,0),0)</f>
        <v>0</v>
      </c>
      <c r="T393" s="1394">
        <f t="shared" si="50"/>
        <v>0</v>
      </c>
      <c r="U393" s="1394">
        <f>IFERROR(VLOOKUP(M393,#REF!,5,0),0)</f>
        <v>0</v>
      </c>
      <c r="V393" s="1394">
        <f t="shared" si="51"/>
        <v>0</v>
      </c>
      <c r="W393" s="1394"/>
    </row>
    <row r="394" spans="1:23" ht="30" customHeight="1">
      <c r="A394" s="1397"/>
      <c r="B394" s="1407"/>
      <c r="C394" s="1408" t="str">
        <f>'det -detail'!B84&amp;"  "&amp;'det -detail'!C84</f>
        <v>D5 to D7  GB-1</v>
      </c>
      <c r="D394" s="1409">
        <f>'det -detail'!E84</f>
        <v>1</v>
      </c>
      <c r="E394" s="1409">
        <f>'det -detail'!F84</f>
        <v>1</v>
      </c>
      <c r="F394" s="1410">
        <f>'det -detail'!G84</f>
        <v>5.99</v>
      </c>
      <c r="G394" s="1410">
        <f>'det -detail'!K84</f>
        <v>0.23</v>
      </c>
      <c r="H394" s="1411">
        <f>'det -detail'!M84</f>
        <v>0.38</v>
      </c>
      <c r="I394" s="1406">
        <f t="shared" si="55"/>
        <v>0.52352600000000005</v>
      </c>
      <c r="L394" s="1397">
        <f>SUM(I377:I412)</f>
        <v>14.035220000000004</v>
      </c>
      <c r="Q394" s="1394">
        <f>IFERROR(VLOOKUP(M394,#REF!,3,0),0)</f>
        <v>0</v>
      </c>
      <c r="R394" s="1394">
        <f t="shared" si="49"/>
        <v>0</v>
      </c>
      <c r="S394" s="1394">
        <f>IFERROR(VLOOKUP(M394,#REF!,6,0),0)</f>
        <v>0</v>
      </c>
      <c r="T394" s="1394">
        <f t="shared" si="50"/>
        <v>0</v>
      </c>
      <c r="U394" s="1394">
        <f>IFERROR(VLOOKUP(M394,#REF!,5,0),0)</f>
        <v>0</v>
      </c>
      <c r="V394" s="1394">
        <f t="shared" si="51"/>
        <v>0</v>
      </c>
      <c r="W394" s="1394"/>
    </row>
    <row r="395" spans="1:23" ht="30" customHeight="1">
      <c r="A395" s="1397"/>
      <c r="B395" s="1407"/>
      <c r="C395" s="1408" t="str">
        <f>'det -detail'!B85&amp;"  "&amp;'det -detail'!C85</f>
        <v>E7 to E8 &amp; G7 to G8  GB-3</v>
      </c>
      <c r="D395" s="1409">
        <f>'det -detail'!E85</f>
        <v>1</v>
      </c>
      <c r="E395" s="1409">
        <f>'det -detail'!F85</f>
        <v>2</v>
      </c>
      <c r="F395" s="1410">
        <f>'det -detail'!G85</f>
        <v>4.13</v>
      </c>
      <c r="G395" s="1410">
        <f>'det -detail'!K85</f>
        <v>0.23</v>
      </c>
      <c r="H395" s="1411">
        <f>'det -detail'!M85</f>
        <v>0.30000000000000004</v>
      </c>
      <c r="I395" s="1406">
        <f t="shared" si="55"/>
        <v>0.56994000000000011</v>
      </c>
      <c r="L395" s="1397"/>
      <c r="Q395" s="1394">
        <f>IFERROR(VLOOKUP(M395,#REF!,3,0),0)</f>
        <v>0</v>
      </c>
      <c r="R395" s="1394">
        <f t="shared" si="49"/>
        <v>0</v>
      </c>
      <c r="S395" s="1394">
        <f>IFERROR(VLOOKUP(M395,#REF!,6,0),0)</f>
        <v>0</v>
      </c>
      <c r="T395" s="1394">
        <f t="shared" si="50"/>
        <v>0</v>
      </c>
      <c r="U395" s="1394">
        <f>IFERROR(VLOOKUP(M395,#REF!,5,0),0)</f>
        <v>0</v>
      </c>
      <c r="V395" s="1394">
        <f t="shared" si="51"/>
        <v>0</v>
      </c>
      <c r="W395" s="1394"/>
    </row>
    <row r="396" spans="1:23" ht="30" customHeight="1">
      <c r="A396" s="1397"/>
      <c r="B396" s="1407"/>
      <c r="C396" s="1408" t="str">
        <f>'det -detail'!B86&amp;"  "&amp;'det -detail'!C86</f>
        <v>F3 To F5  GB-3</v>
      </c>
      <c r="D396" s="1409">
        <f>'det -detail'!E86</f>
        <v>1</v>
      </c>
      <c r="E396" s="1409">
        <f>'det -detail'!F86</f>
        <v>1</v>
      </c>
      <c r="F396" s="1410">
        <f>'det -detail'!G86</f>
        <v>5.5299999999999994</v>
      </c>
      <c r="G396" s="1410">
        <f>'det -detail'!K86</f>
        <v>0.23</v>
      </c>
      <c r="H396" s="1411">
        <f>'det -detail'!M86</f>
        <v>0.30000000000000004</v>
      </c>
      <c r="I396" s="1406">
        <f t="shared" si="55"/>
        <v>0.38157000000000002</v>
      </c>
      <c r="L396" s="1397"/>
      <c r="Q396" s="1394">
        <f>IFERROR(VLOOKUP(M396,#REF!,3,0),0)</f>
        <v>0</v>
      </c>
      <c r="R396" s="1394">
        <f t="shared" si="49"/>
        <v>0</v>
      </c>
      <c r="S396" s="1394">
        <f>IFERROR(VLOOKUP(M396,#REF!,6,0),0)</f>
        <v>0</v>
      </c>
      <c r="T396" s="1394">
        <f t="shared" si="50"/>
        <v>0</v>
      </c>
      <c r="U396" s="1394">
        <f>IFERROR(VLOOKUP(M396,#REF!,5,0),0)</f>
        <v>0</v>
      </c>
      <c r="V396" s="1394">
        <f t="shared" si="51"/>
        <v>0</v>
      </c>
      <c r="W396" s="1394"/>
    </row>
    <row r="397" spans="1:23" ht="30" customHeight="1">
      <c r="A397" s="1397"/>
      <c r="B397" s="1407"/>
      <c r="C397" s="1408" t="str">
        <f>'det -detail'!B87&amp;"  "&amp;'det -detail'!C87</f>
        <v>G5 to G7  GB-3</v>
      </c>
      <c r="D397" s="1409">
        <f>'det -detail'!E87</f>
        <v>1</v>
      </c>
      <c r="E397" s="1409">
        <f>'det -detail'!F87</f>
        <v>1</v>
      </c>
      <c r="F397" s="1410">
        <f>'det -detail'!G87</f>
        <v>5.99</v>
      </c>
      <c r="G397" s="1410">
        <f>'det -detail'!K87</f>
        <v>0.23</v>
      </c>
      <c r="H397" s="1411">
        <f>'det -detail'!M87</f>
        <v>0.30000000000000004</v>
      </c>
      <c r="I397" s="1406">
        <f t="shared" si="55"/>
        <v>0.41331000000000012</v>
      </c>
      <c r="L397" s="1397"/>
      <c r="Q397" s="1394">
        <f>IFERROR(VLOOKUP(M397,#REF!,3,0),0)</f>
        <v>0</v>
      </c>
      <c r="R397" s="1394">
        <f t="shared" si="49"/>
        <v>0</v>
      </c>
      <c r="S397" s="1394">
        <f>IFERROR(VLOOKUP(M397,#REF!,6,0),0)</f>
        <v>0</v>
      </c>
      <c r="T397" s="1394">
        <f t="shared" si="50"/>
        <v>0</v>
      </c>
      <c r="U397" s="1394">
        <f>IFERROR(VLOOKUP(M397,#REF!,5,0),0)</f>
        <v>0</v>
      </c>
      <c r="V397" s="1394">
        <f t="shared" si="51"/>
        <v>0</v>
      </c>
      <c r="W397" s="1394"/>
    </row>
    <row r="398" spans="1:23" ht="30" customHeight="1">
      <c r="A398" s="1397"/>
      <c r="B398" s="1407"/>
      <c r="C398" s="1408"/>
      <c r="D398" s="1409"/>
      <c r="E398" s="1409"/>
      <c r="F398" s="1410"/>
      <c r="G398" s="1410"/>
      <c r="H398" s="1411"/>
      <c r="I398" s="1406"/>
      <c r="L398" s="1397"/>
      <c r="Q398" s="1394">
        <f>IFERROR(VLOOKUP(M398,#REF!,3,0),0)</f>
        <v>0</v>
      </c>
      <c r="R398" s="1394">
        <f t="shared" si="49"/>
        <v>0</v>
      </c>
      <c r="S398" s="1394">
        <f>IFERROR(VLOOKUP(M398,#REF!,6,0),0)</f>
        <v>0</v>
      </c>
      <c r="T398" s="1394">
        <f t="shared" si="50"/>
        <v>0</v>
      </c>
      <c r="U398" s="1394">
        <f>IFERROR(VLOOKUP(M398,#REF!,5,0),0)</f>
        <v>0</v>
      </c>
      <c r="V398" s="1394">
        <f t="shared" si="51"/>
        <v>0</v>
      </c>
      <c r="W398" s="1394"/>
    </row>
    <row r="399" spans="1:23" ht="30" customHeight="1">
      <c r="A399" s="1397"/>
      <c r="B399" s="1407"/>
      <c r="C399" s="1415" t="str">
        <f t="shared" ref="C399:I403" si="56">C353</f>
        <v>Dedution for Column</v>
      </c>
      <c r="D399" s="1409">
        <f t="shared" si="56"/>
        <v>0</v>
      </c>
      <c r="E399" s="1409">
        <f t="shared" si="56"/>
        <v>0</v>
      </c>
      <c r="F399" s="1410">
        <f t="shared" si="56"/>
        <v>0</v>
      </c>
      <c r="G399" s="1410">
        <f t="shared" si="56"/>
        <v>0</v>
      </c>
      <c r="H399" s="1411">
        <f t="shared" si="56"/>
        <v>0</v>
      </c>
      <c r="I399" s="1406">
        <f t="shared" si="56"/>
        <v>0</v>
      </c>
      <c r="L399" s="1397"/>
      <c r="Q399" s="1394">
        <f>IFERROR(VLOOKUP(M399,#REF!,3,0),0)</f>
        <v>0</v>
      </c>
      <c r="R399" s="1394">
        <f t="shared" si="49"/>
        <v>0</v>
      </c>
      <c r="S399" s="1394">
        <f>IFERROR(VLOOKUP(M399,#REF!,6,0),0)</f>
        <v>0</v>
      </c>
      <c r="T399" s="1394">
        <f t="shared" si="50"/>
        <v>0</v>
      </c>
      <c r="U399" s="1394">
        <f>IFERROR(VLOOKUP(M399,#REF!,5,0),0)</f>
        <v>0</v>
      </c>
      <c r="V399" s="1394">
        <f t="shared" si="51"/>
        <v>0</v>
      </c>
      <c r="W399" s="1394"/>
    </row>
    <row r="400" spans="1:23" ht="30" customHeight="1">
      <c r="A400" s="1397"/>
      <c r="B400" s="1407"/>
      <c r="C400" s="1408" t="str">
        <f t="shared" si="56"/>
        <v xml:space="preserve">For C1 Round Column Dia 0.3 Radius = 0.15 </v>
      </c>
      <c r="D400" s="1409">
        <f t="shared" si="56"/>
        <v>-4</v>
      </c>
      <c r="E400" s="1409">
        <f t="shared" si="56"/>
        <v>3.14</v>
      </c>
      <c r="F400" s="1410">
        <f t="shared" si="56"/>
        <v>0.15</v>
      </c>
      <c r="G400" s="1410">
        <f t="shared" si="56"/>
        <v>0.15</v>
      </c>
      <c r="H400" s="1411">
        <f t="shared" si="56"/>
        <v>0.30000000000000004</v>
      </c>
      <c r="I400" s="1406">
        <f t="shared" si="52"/>
        <v>-8.4780000000000008E-2</v>
      </c>
      <c r="L400" s="1397"/>
      <c r="Q400" s="1394">
        <f>IFERROR(VLOOKUP(M400,#REF!,3,0),0)</f>
        <v>0</v>
      </c>
      <c r="R400" s="1394">
        <f t="shared" si="49"/>
        <v>0</v>
      </c>
      <c r="S400" s="1394">
        <f>IFERROR(VLOOKUP(M400,#REF!,6,0),0)</f>
        <v>0</v>
      </c>
      <c r="T400" s="1394">
        <f t="shared" si="50"/>
        <v>0</v>
      </c>
      <c r="U400" s="1394">
        <f>IFERROR(VLOOKUP(M400,#REF!,5,0),0)</f>
        <v>0</v>
      </c>
      <c r="V400" s="1394">
        <f t="shared" si="51"/>
        <v>0</v>
      </c>
      <c r="W400" s="1394"/>
    </row>
    <row r="401" spans="1:23" ht="30" customHeight="1">
      <c r="A401" s="1397"/>
      <c r="B401" s="1407"/>
      <c r="C401" s="1408" t="str">
        <f t="shared" si="56"/>
        <v>For C2</v>
      </c>
      <c r="D401" s="1409">
        <f t="shared" si="56"/>
        <v>-11</v>
      </c>
      <c r="E401" s="1409">
        <f t="shared" si="56"/>
        <v>1</v>
      </c>
      <c r="F401" s="1410">
        <f t="shared" si="56"/>
        <v>0.23</v>
      </c>
      <c r="G401" s="1410">
        <f t="shared" si="56"/>
        <v>0.38</v>
      </c>
      <c r="H401" s="1411">
        <f t="shared" si="56"/>
        <v>0.30000000000000004</v>
      </c>
      <c r="I401" s="1406">
        <f t="shared" si="52"/>
        <v>-0.28842000000000007</v>
      </c>
      <c r="J401" s="1397">
        <f>SUM(I377:I403)</f>
        <v>12.197540000000004</v>
      </c>
      <c r="L401" s="1397"/>
      <c r="Q401" s="1394">
        <f>IFERROR(VLOOKUP(M401,#REF!,3,0),0)</f>
        <v>0</v>
      </c>
      <c r="R401" s="1394">
        <f t="shared" si="49"/>
        <v>0</v>
      </c>
      <c r="S401" s="1394">
        <f>IFERROR(VLOOKUP(M401,#REF!,6,0),0)</f>
        <v>0</v>
      </c>
      <c r="T401" s="1394">
        <f t="shared" si="50"/>
        <v>0</v>
      </c>
      <c r="U401" s="1394">
        <f>IFERROR(VLOOKUP(M401,#REF!,5,0),0)</f>
        <v>0</v>
      </c>
      <c r="V401" s="1394">
        <f t="shared" si="51"/>
        <v>0</v>
      </c>
      <c r="W401" s="1394"/>
    </row>
    <row r="402" spans="1:23" ht="30" customHeight="1">
      <c r="A402" s="1397"/>
      <c r="B402" s="1407"/>
      <c r="C402" s="1408" t="str">
        <f t="shared" si="56"/>
        <v>For C3</v>
      </c>
      <c r="D402" s="1409">
        <f t="shared" si="56"/>
        <v>-10</v>
      </c>
      <c r="E402" s="1409">
        <f t="shared" si="56"/>
        <v>1</v>
      </c>
      <c r="F402" s="1410">
        <f t="shared" si="56"/>
        <v>0.23</v>
      </c>
      <c r="G402" s="1410">
        <f t="shared" si="56"/>
        <v>0.45</v>
      </c>
      <c r="H402" s="1411">
        <f t="shared" si="56"/>
        <v>0.30000000000000004</v>
      </c>
      <c r="I402" s="1406">
        <f t="shared" si="52"/>
        <v>-0.31050000000000011</v>
      </c>
      <c r="L402" s="1397"/>
      <c r="Q402" s="1394">
        <f>IFERROR(VLOOKUP(M402,#REF!,3,0),0)</f>
        <v>0</v>
      </c>
      <c r="R402" s="1394">
        <f t="shared" si="49"/>
        <v>0</v>
      </c>
      <c r="S402" s="1394">
        <f>IFERROR(VLOOKUP(M402,#REF!,6,0),0)</f>
        <v>0</v>
      </c>
      <c r="T402" s="1394">
        <f t="shared" si="50"/>
        <v>0</v>
      </c>
      <c r="U402" s="1394">
        <f>IFERROR(VLOOKUP(M402,#REF!,5,0),0)</f>
        <v>0</v>
      </c>
      <c r="V402" s="1394">
        <f t="shared" si="51"/>
        <v>0</v>
      </c>
      <c r="W402" s="1394"/>
    </row>
    <row r="403" spans="1:23" ht="30" customHeight="1">
      <c r="A403" s="1397"/>
      <c r="B403" s="1407"/>
      <c r="C403" s="1408" t="str">
        <f t="shared" si="56"/>
        <v>For C4</v>
      </c>
      <c r="D403" s="1409">
        <f t="shared" si="56"/>
        <v>-7</v>
      </c>
      <c r="E403" s="1409">
        <f t="shared" si="56"/>
        <v>1</v>
      </c>
      <c r="F403" s="1410">
        <f t="shared" si="56"/>
        <v>0.3</v>
      </c>
      <c r="G403" s="1410">
        <f t="shared" si="56"/>
        <v>0.45</v>
      </c>
      <c r="H403" s="1411">
        <f t="shared" si="56"/>
        <v>0.30000000000000004</v>
      </c>
      <c r="I403" s="1406">
        <f t="shared" si="52"/>
        <v>-0.28350000000000009</v>
      </c>
      <c r="L403" s="1397"/>
      <c r="Q403" s="1394">
        <f>IFERROR(VLOOKUP(M403,#REF!,3,0),0)</f>
        <v>0</v>
      </c>
      <c r="R403" s="1394">
        <f t="shared" si="49"/>
        <v>0</v>
      </c>
      <c r="S403" s="1394">
        <f>IFERROR(VLOOKUP(M403,#REF!,6,0),0)</f>
        <v>0</v>
      </c>
      <c r="T403" s="1394">
        <f t="shared" si="50"/>
        <v>0</v>
      </c>
      <c r="U403" s="1394">
        <f>IFERROR(VLOOKUP(M403,#REF!,5,0),0)</f>
        <v>0</v>
      </c>
      <c r="V403" s="1394">
        <f t="shared" si="51"/>
        <v>0</v>
      </c>
      <c r="W403" s="1394"/>
    </row>
    <row r="404" spans="1:23" ht="30" hidden="1" customHeight="1">
      <c r="A404" s="1397"/>
      <c r="B404" s="1407"/>
      <c r="C404" s="1408"/>
      <c r="D404" s="1409"/>
      <c r="E404" s="1409"/>
      <c r="F404" s="1410"/>
      <c r="G404" s="1410"/>
      <c r="H404" s="1411"/>
      <c r="I404" s="1406">
        <f t="shared" si="52"/>
        <v>0</v>
      </c>
      <c r="L404" s="1397"/>
      <c r="Q404" s="1394">
        <f>IFERROR(VLOOKUP(M404,#REF!,3,0),0)</f>
        <v>0</v>
      </c>
      <c r="R404" s="1394">
        <f t="shared" si="49"/>
        <v>0</v>
      </c>
      <c r="S404" s="1394">
        <f>IFERROR(VLOOKUP(M404,#REF!,6,0),0)</f>
        <v>0</v>
      </c>
      <c r="T404" s="1394">
        <f t="shared" si="50"/>
        <v>0</v>
      </c>
      <c r="U404" s="1394">
        <f>IFERROR(VLOOKUP(M404,#REF!,5,0),0)</f>
        <v>0</v>
      </c>
      <c r="V404" s="1394">
        <f t="shared" si="51"/>
        <v>0</v>
      </c>
      <c r="W404" s="1394"/>
    </row>
    <row r="405" spans="1:23" ht="30" hidden="1" customHeight="1">
      <c r="B405" s="1407"/>
      <c r="C405" s="1408"/>
      <c r="D405" s="1409"/>
      <c r="E405" s="1409"/>
      <c r="F405" s="1410"/>
      <c r="G405" s="1410"/>
      <c r="H405" s="1411"/>
      <c r="I405" s="1406">
        <f t="shared" si="52"/>
        <v>0</v>
      </c>
      <c r="J405" s="1397"/>
      <c r="K405" s="1397"/>
      <c r="Q405" s="1394">
        <f>IFERROR(VLOOKUP(M405,#REF!,3,0),0)</f>
        <v>0</v>
      </c>
      <c r="R405" s="1394">
        <f t="shared" si="49"/>
        <v>0</v>
      </c>
      <c r="S405" s="1394">
        <f>IFERROR(VLOOKUP(M405,#REF!,6,0),0)</f>
        <v>0</v>
      </c>
      <c r="T405" s="1394">
        <f t="shared" si="50"/>
        <v>0</v>
      </c>
      <c r="U405" s="1394">
        <f>IFERROR(VLOOKUP(M405,#REF!,5,0),0)</f>
        <v>0</v>
      </c>
      <c r="V405" s="1394">
        <f t="shared" si="51"/>
        <v>0</v>
      </c>
      <c r="W405" s="1394"/>
    </row>
    <row r="406" spans="1:23" ht="30" customHeight="1">
      <c r="B406" s="1407"/>
      <c r="C406" s="1415" t="s">
        <v>225</v>
      </c>
      <c r="D406" s="1409"/>
      <c r="E406" s="1409"/>
      <c r="F406" s="1410"/>
      <c r="G406" s="1410"/>
      <c r="H406" s="1411"/>
      <c r="I406" s="1406">
        <f t="shared" si="52"/>
        <v>0</v>
      </c>
      <c r="Q406" s="1394">
        <f>IFERROR(VLOOKUP(M406,#REF!,3,0),0)</f>
        <v>0</v>
      </c>
      <c r="R406" s="1394">
        <f t="shared" si="49"/>
        <v>0</v>
      </c>
      <c r="S406" s="1394">
        <f>IFERROR(VLOOKUP(M406,#REF!,6,0),0)</f>
        <v>0</v>
      </c>
      <c r="T406" s="1394">
        <f t="shared" si="50"/>
        <v>0</v>
      </c>
      <c r="U406" s="1394">
        <f>IFERROR(VLOOKUP(M406,#REF!,5,0),0)</f>
        <v>0</v>
      </c>
      <c r="V406" s="1394">
        <f t="shared" si="51"/>
        <v>0</v>
      </c>
      <c r="W406" s="1394"/>
    </row>
    <row r="407" spans="1:23" ht="30" customHeight="1">
      <c r="B407" s="1407"/>
      <c r="C407" s="1408" t="str">
        <f>'det -detail'!B99</f>
        <v xml:space="preserve">For C1 Round Column Dia 0.3 Radius = 0.15 </v>
      </c>
      <c r="D407" s="1409">
        <f>'det -detail'!E99</f>
        <v>4</v>
      </c>
      <c r="E407" s="1409">
        <f>'det -detail'!F99</f>
        <v>3.14</v>
      </c>
      <c r="F407" s="1410">
        <f>'det -detail'!G99</f>
        <v>0.15</v>
      </c>
      <c r="G407" s="1410">
        <f>'det -detail'!H99</f>
        <v>0.15</v>
      </c>
      <c r="H407" s="1411">
        <f>'det -detail'!E15</f>
        <v>0.56999999999999995</v>
      </c>
      <c r="I407" s="1406">
        <f t="shared" si="52"/>
        <v>0.16108199999999998</v>
      </c>
      <c r="J407" s="1397"/>
      <c r="K407" s="1397"/>
      <c r="Q407" s="1394">
        <f>IFERROR(VLOOKUP(M407,#REF!,3,0),0)</f>
        <v>0</v>
      </c>
      <c r="R407" s="1394">
        <f t="shared" si="49"/>
        <v>0</v>
      </c>
      <c r="S407" s="1394">
        <f>IFERROR(VLOOKUP(M407,#REF!,6,0),0)</f>
        <v>0</v>
      </c>
      <c r="T407" s="1394">
        <f t="shared" si="50"/>
        <v>0</v>
      </c>
      <c r="U407" s="1394">
        <f>IFERROR(VLOOKUP(M407,#REF!,5,0),0)</f>
        <v>0</v>
      </c>
      <c r="V407" s="1394">
        <f t="shared" si="51"/>
        <v>0</v>
      </c>
      <c r="W407" s="1394"/>
    </row>
    <row r="408" spans="1:23" ht="30" customHeight="1">
      <c r="B408" s="1407"/>
      <c r="C408" s="1408" t="str">
        <f>'det -detail'!B100</f>
        <v>For C2</v>
      </c>
      <c r="D408" s="1409">
        <f>'det -detail'!E100</f>
        <v>11</v>
      </c>
      <c r="E408" s="1409">
        <f>'det -detail'!F100</f>
        <v>1</v>
      </c>
      <c r="F408" s="1410">
        <f>'det -detail'!G100</f>
        <v>0.23</v>
      </c>
      <c r="G408" s="1410">
        <f>'det -detail'!H100</f>
        <v>0.38</v>
      </c>
      <c r="H408" s="1411">
        <f>H407</f>
        <v>0.56999999999999995</v>
      </c>
      <c r="I408" s="1406">
        <f t="shared" si="52"/>
        <v>0.54799799999999999</v>
      </c>
      <c r="J408" s="1397"/>
      <c r="K408" s="1397"/>
      <c r="Q408" s="1394">
        <f>IFERROR(VLOOKUP(M408,#REF!,3,0),0)</f>
        <v>0</v>
      </c>
      <c r="R408" s="1394">
        <f t="shared" si="49"/>
        <v>0</v>
      </c>
      <c r="S408" s="1394">
        <f>IFERROR(VLOOKUP(M408,#REF!,6,0),0)</f>
        <v>0</v>
      </c>
      <c r="T408" s="1394">
        <f t="shared" si="50"/>
        <v>0</v>
      </c>
      <c r="U408" s="1394">
        <f>IFERROR(VLOOKUP(M408,#REF!,5,0),0)</f>
        <v>0</v>
      </c>
      <c r="V408" s="1394">
        <f t="shared" si="51"/>
        <v>0</v>
      </c>
      <c r="W408" s="1394"/>
    </row>
    <row r="409" spans="1:23" ht="30" customHeight="1">
      <c r="B409" s="1407"/>
      <c r="C409" s="1408" t="str">
        <f>'det -detail'!B101</f>
        <v>For C3</v>
      </c>
      <c r="D409" s="1409">
        <f>'det -detail'!E101</f>
        <v>10</v>
      </c>
      <c r="E409" s="1409">
        <f>'det -detail'!F101</f>
        <v>1</v>
      </c>
      <c r="F409" s="1410">
        <f>'det -detail'!G101</f>
        <v>0.23</v>
      </c>
      <c r="G409" s="1410">
        <f>'det -detail'!H101</f>
        <v>0.45</v>
      </c>
      <c r="H409" s="1411">
        <f t="shared" ref="H409:H410" si="57">H408</f>
        <v>0.56999999999999995</v>
      </c>
      <c r="I409" s="1406">
        <f t="shared" ref="I409:I410" si="58">PRODUCT(D409:H409)</f>
        <v>0.58995000000000009</v>
      </c>
      <c r="J409" s="1397"/>
      <c r="K409" s="1397"/>
      <c r="Q409" s="1394">
        <f>IFERROR(VLOOKUP(M409,#REF!,3,0),0)</f>
        <v>0</v>
      </c>
      <c r="R409" s="1394">
        <f t="shared" si="49"/>
        <v>0</v>
      </c>
      <c r="S409" s="1394">
        <f>IFERROR(VLOOKUP(M409,#REF!,6,0),0)</f>
        <v>0</v>
      </c>
      <c r="T409" s="1394">
        <f t="shared" si="50"/>
        <v>0</v>
      </c>
      <c r="U409" s="1394">
        <f>IFERROR(VLOOKUP(M409,#REF!,5,0),0)</f>
        <v>0</v>
      </c>
      <c r="V409" s="1394">
        <f t="shared" si="51"/>
        <v>0</v>
      </c>
      <c r="W409" s="1394"/>
    </row>
    <row r="410" spans="1:23" ht="30" customHeight="1">
      <c r="B410" s="1407"/>
      <c r="C410" s="1408" t="str">
        <f>'det -detail'!B102</f>
        <v>For C4</v>
      </c>
      <c r="D410" s="1409">
        <f>'det -detail'!E102</f>
        <v>7</v>
      </c>
      <c r="E410" s="1409">
        <f>'det -detail'!F102</f>
        <v>1</v>
      </c>
      <c r="F410" s="1410">
        <f>'det -detail'!G102</f>
        <v>0.3</v>
      </c>
      <c r="G410" s="1410">
        <f>'det -detail'!H102</f>
        <v>0.45</v>
      </c>
      <c r="H410" s="1411">
        <f t="shared" si="57"/>
        <v>0.56999999999999995</v>
      </c>
      <c r="I410" s="1406">
        <f t="shared" si="58"/>
        <v>0.53864999999999996</v>
      </c>
      <c r="J410" s="1397"/>
      <c r="K410" s="1397"/>
      <c r="Q410" s="1394">
        <f>IFERROR(VLOOKUP(M410,#REF!,3,0),0)</f>
        <v>0</v>
      </c>
      <c r="R410" s="1394">
        <f t="shared" si="49"/>
        <v>0</v>
      </c>
      <c r="S410" s="1394">
        <f>IFERROR(VLOOKUP(M410,#REF!,6,0),0)</f>
        <v>0</v>
      </c>
      <c r="T410" s="1394">
        <f t="shared" si="50"/>
        <v>0</v>
      </c>
      <c r="U410" s="1394">
        <f>IFERROR(VLOOKUP(M410,#REF!,5,0),0)</f>
        <v>0</v>
      </c>
      <c r="V410" s="1394">
        <f t="shared" si="51"/>
        <v>0</v>
      </c>
      <c r="W410" s="1394"/>
    </row>
    <row r="411" spans="1:23" ht="30" hidden="1" customHeight="1">
      <c r="A411" s="1397"/>
      <c r="B411" s="1407"/>
      <c r="C411" s="1408"/>
      <c r="D411" s="1409"/>
      <c r="E411" s="1409"/>
      <c r="F411" s="1410"/>
      <c r="G411" s="1410"/>
      <c r="H411" s="1411"/>
      <c r="I411" s="1406"/>
      <c r="L411" s="1397"/>
      <c r="Q411" s="1394">
        <f>IFERROR(VLOOKUP(M411,#REF!,3,0),0)</f>
        <v>0</v>
      </c>
      <c r="R411" s="1394">
        <f t="shared" si="49"/>
        <v>0</v>
      </c>
      <c r="S411" s="1394">
        <f>IFERROR(VLOOKUP(M411,#REF!,6,0),0)</f>
        <v>0</v>
      </c>
      <c r="T411" s="1394">
        <f t="shared" si="50"/>
        <v>0</v>
      </c>
      <c r="U411" s="1394">
        <f>IFERROR(VLOOKUP(M411,#REF!,5,0),0)</f>
        <v>0</v>
      </c>
      <c r="V411" s="1394">
        <f t="shared" si="51"/>
        <v>0</v>
      </c>
      <c r="W411" s="1394"/>
    </row>
    <row r="412" spans="1:23" ht="30" hidden="1" customHeight="1">
      <c r="B412" s="1407"/>
      <c r="C412" s="1408" t="str">
        <f>'det -detail'!B88&amp;"  "&amp;'det -detail'!C88</f>
        <v xml:space="preserve">  </v>
      </c>
      <c r="D412" s="1409">
        <f>'det -detail'!E88</f>
        <v>0</v>
      </c>
      <c r="E412" s="1409">
        <f>'det -detail'!F88</f>
        <v>0</v>
      </c>
      <c r="F412" s="1410">
        <f>'det -detail'!G88</f>
        <v>0</v>
      </c>
      <c r="G412" s="1410">
        <f>'det -detail'!K88</f>
        <v>0</v>
      </c>
      <c r="H412" s="1411">
        <f>'det -detail'!M88</f>
        <v>0</v>
      </c>
      <c r="I412" s="1406">
        <f t="shared" si="52"/>
        <v>0</v>
      </c>
      <c r="Q412" s="1394">
        <f>IFERROR(VLOOKUP(M412,#REF!,3,0),0)</f>
        <v>0</v>
      </c>
      <c r="R412" s="1394">
        <f t="shared" si="49"/>
        <v>0</v>
      </c>
      <c r="S412" s="1394">
        <f>IFERROR(VLOOKUP(M412,#REF!,6,0),0)</f>
        <v>0</v>
      </c>
      <c r="T412" s="1394">
        <f t="shared" si="50"/>
        <v>0</v>
      </c>
      <c r="U412" s="1394">
        <f>IFERROR(VLOOKUP(M412,#REF!,5,0),0)</f>
        <v>0</v>
      </c>
      <c r="V412" s="1394">
        <f t="shared" si="51"/>
        <v>0</v>
      </c>
      <c r="W412" s="1394"/>
    </row>
    <row r="413" spans="1:23" ht="30" customHeight="1">
      <c r="B413" s="1407"/>
      <c r="C413" s="1408"/>
      <c r="D413" s="1409"/>
      <c r="E413" s="1409"/>
      <c r="F413" s="1686" t="str">
        <f>"GRADE BEAM QTY ="&amp;FIXED(J401,2)</f>
        <v>GRADE BEAM QTY =12.20</v>
      </c>
      <c r="G413" s="1686"/>
      <c r="H413" s="1686"/>
      <c r="I413" s="1406">
        <f t="shared" ref="I413:I445" si="59">PRODUCT(D413:H413)</f>
        <v>0</v>
      </c>
      <c r="Q413" s="1394">
        <f>IFERROR(VLOOKUP(M413,#REF!,3,0),0)</f>
        <v>0</v>
      </c>
      <c r="R413" s="1394">
        <f t="shared" si="49"/>
        <v>0</v>
      </c>
      <c r="S413" s="1394">
        <f>IFERROR(VLOOKUP(M413,#REF!,6,0),0)</f>
        <v>0</v>
      </c>
      <c r="T413" s="1394">
        <f t="shared" si="50"/>
        <v>0</v>
      </c>
      <c r="U413" s="1394">
        <f>IFERROR(VLOOKUP(M413,#REF!,5,0),0)</f>
        <v>0</v>
      </c>
      <c r="V413" s="1394">
        <f t="shared" si="51"/>
        <v>0</v>
      </c>
      <c r="W413" s="1394"/>
    </row>
    <row r="414" spans="1:23" ht="30" hidden="1" customHeight="1">
      <c r="B414" s="1407"/>
      <c r="C414" s="1408" t="str">
        <f>'det -detail'!B88&amp;'det -detail'!C88</f>
        <v/>
      </c>
      <c r="D414" s="1409">
        <f>'det -detail'!E88</f>
        <v>0</v>
      </c>
      <c r="E414" s="1409">
        <f>'det -detail'!F88</f>
        <v>0</v>
      </c>
      <c r="F414" s="1410">
        <f>'det -detail'!G88</f>
        <v>0</v>
      </c>
      <c r="G414" s="1410">
        <f>'det -detail'!K88</f>
        <v>0</v>
      </c>
      <c r="H414" s="1411">
        <f>'det -detail'!M88</f>
        <v>0</v>
      </c>
      <c r="I414" s="1406">
        <f t="shared" si="59"/>
        <v>0</v>
      </c>
      <c r="Q414" s="1394">
        <f>IFERROR(VLOOKUP(M414,#REF!,3,0),0)</f>
        <v>0</v>
      </c>
      <c r="R414" s="1394">
        <f t="shared" si="49"/>
        <v>0</v>
      </c>
      <c r="S414" s="1394">
        <f>IFERROR(VLOOKUP(M414,#REF!,6,0),0)</f>
        <v>0</v>
      </c>
      <c r="T414" s="1394">
        <f t="shared" si="50"/>
        <v>0</v>
      </c>
      <c r="U414" s="1394">
        <f>IFERROR(VLOOKUP(M414,#REF!,5,0),0)</f>
        <v>0</v>
      </c>
      <c r="V414" s="1394">
        <f t="shared" si="51"/>
        <v>0</v>
      </c>
      <c r="W414" s="1394"/>
    </row>
    <row r="415" spans="1:23" ht="30" customHeight="1">
      <c r="B415" s="1407"/>
      <c r="C415" s="1415" t="s">
        <v>285</v>
      </c>
      <c r="D415" s="1409"/>
      <c r="E415" s="1409"/>
      <c r="F415" s="1410"/>
      <c r="G415" s="1410"/>
      <c r="H415" s="1411"/>
      <c r="I415" s="1406">
        <f t="shared" si="59"/>
        <v>0</v>
      </c>
      <c r="Q415" s="1394">
        <f>IFERROR(VLOOKUP(M415,#REF!,3,0),0)</f>
        <v>0</v>
      </c>
      <c r="R415" s="1394">
        <f t="shared" si="49"/>
        <v>0</v>
      </c>
      <c r="S415" s="1394">
        <f>IFERROR(VLOOKUP(M415,#REF!,6,0),0)</f>
        <v>0</v>
      </c>
      <c r="T415" s="1394">
        <f t="shared" si="50"/>
        <v>0</v>
      </c>
      <c r="U415" s="1394">
        <f>IFERROR(VLOOKUP(M415,#REF!,5,0),0)</f>
        <v>0</v>
      </c>
      <c r="V415" s="1394">
        <f t="shared" si="51"/>
        <v>0</v>
      </c>
      <c r="W415" s="1394"/>
    </row>
    <row r="416" spans="1:23" ht="30" customHeight="1">
      <c r="B416" s="1407"/>
      <c r="C416" s="1408" t="str">
        <f>'det -detail'!B65</f>
        <v>-X- Direction</v>
      </c>
      <c r="D416" s="1409">
        <f>'det -detail'!E65</f>
        <v>0</v>
      </c>
      <c r="E416" s="1409">
        <f>'det -detail'!F65</f>
        <v>0</v>
      </c>
      <c r="F416" s="1410">
        <f>'det -detail'!G65</f>
        <v>0</v>
      </c>
      <c r="G416" s="1410">
        <f>'det -detail'!H65</f>
        <v>0</v>
      </c>
      <c r="H416" s="1411"/>
      <c r="I416" s="1406">
        <f t="shared" si="59"/>
        <v>0</v>
      </c>
      <c r="Q416" s="1394">
        <f>IFERROR(VLOOKUP(M416,#REF!,3,0),0)</f>
        <v>0</v>
      </c>
      <c r="R416" s="1394">
        <f t="shared" si="49"/>
        <v>0</v>
      </c>
      <c r="S416" s="1394">
        <f>IFERROR(VLOOKUP(M416,#REF!,6,0),0)</f>
        <v>0</v>
      </c>
      <c r="T416" s="1394">
        <f t="shared" si="50"/>
        <v>0</v>
      </c>
      <c r="U416" s="1394">
        <f>IFERROR(VLOOKUP(M416,#REF!,5,0),0)</f>
        <v>0</v>
      </c>
      <c r="V416" s="1394">
        <f t="shared" si="51"/>
        <v>0</v>
      </c>
      <c r="W416" s="1394"/>
    </row>
    <row r="417" spans="2:23" ht="30" customHeight="1">
      <c r="B417" s="1407"/>
      <c r="C417" s="1408" t="str">
        <f>'det -detail'!B66</f>
        <v>A3 to B3, A5 to B5 , A6 to B6 and A6 to B6</v>
      </c>
      <c r="D417" s="1409">
        <f>'det -detail'!E66</f>
        <v>1</v>
      </c>
      <c r="E417" s="1409">
        <f>'det -detail'!F66</f>
        <v>4</v>
      </c>
      <c r="F417" s="1410">
        <f>'det -detail'!G66</f>
        <v>4.2300000000000004</v>
      </c>
      <c r="G417" s="1410">
        <f>'det -detail'!K66</f>
        <v>0.23</v>
      </c>
      <c r="H417" s="1411">
        <v>0.1</v>
      </c>
      <c r="I417" s="1406">
        <f t="shared" si="59"/>
        <v>0.38916000000000006</v>
      </c>
      <c r="Q417" s="1394">
        <f>IFERROR(VLOOKUP(M417,#REF!,3,0),0)</f>
        <v>0</v>
      </c>
      <c r="R417" s="1394">
        <f t="shared" si="49"/>
        <v>0</v>
      </c>
      <c r="S417" s="1394">
        <f>IFERROR(VLOOKUP(M417,#REF!,6,0),0)</f>
        <v>0</v>
      </c>
      <c r="T417" s="1394">
        <f t="shared" si="50"/>
        <v>0</v>
      </c>
      <c r="U417" s="1394">
        <f>IFERROR(VLOOKUP(M417,#REF!,5,0),0)</f>
        <v>0</v>
      </c>
      <c r="V417" s="1394">
        <f t="shared" si="51"/>
        <v>0</v>
      </c>
      <c r="W417" s="1394"/>
    </row>
    <row r="418" spans="2:23" ht="30" customHeight="1">
      <c r="B418" s="1407"/>
      <c r="C418" s="1408" t="str">
        <f>'det -detail'!B68</f>
        <v>B3 to F3</v>
      </c>
      <c r="D418" s="1409">
        <f>'det -detail'!E68</f>
        <v>1</v>
      </c>
      <c r="E418" s="1409">
        <f>'det -detail'!F68</f>
        <v>1</v>
      </c>
      <c r="F418" s="1410">
        <f>'det -detail'!G68</f>
        <v>6.8849999999999998</v>
      </c>
      <c r="G418" s="1410">
        <f>'det -detail'!K68</f>
        <v>0.23</v>
      </c>
      <c r="H418" s="1411">
        <f>H417</f>
        <v>0.1</v>
      </c>
      <c r="I418" s="1406">
        <f t="shared" si="59"/>
        <v>0.15835500000000002</v>
      </c>
      <c r="Q418" s="1394">
        <f>IFERROR(VLOOKUP(M418,#REF!,3,0),0)</f>
        <v>0</v>
      </c>
      <c r="R418" s="1394">
        <f t="shared" si="49"/>
        <v>0</v>
      </c>
      <c r="S418" s="1394">
        <f>IFERROR(VLOOKUP(M418,#REF!,6,0),0)</f>
        <v>0</v>
      </c>
      <c r="T418" s="1394">
        <f t="shared" si="50"/>
        <v>0</v>
      </c>
      <c r="U418" s="1394">
        <f>IFERROR(VLOOKUP(M418,#REF!,5,0),0)</f>
        <v>0</v>
      </c>
      <c r="V418" s="1394">
        <f t="shared" si="51"/>
        <v>0</v>
      </c>
      <c r="W418" s="1394"/>
    </row>
    <row r="419" spans="2:23" ht="30" customHeight="1">
      <c r="B419" s="1407"/>
      <c r="C419" s="1408" t="str">
        <f>'det -detail'!B69</f>
        <v>F3 to H3</v>
      </c>
      <c r="D419" s="1409">
        <f>'det -detail'!E69</f>
        <v>1</v>
      </c>
      <c r="E419" s="1409">
        <f>'det -detail'!F69</f>
        <v>1</v>
      </c>
      <c r="F419" s="1410">
        <f>'det -detail'!G69</f>
        <v>7.46</v>
      </c>
      <c r="G419" s="1410">
        <f>'det -detail'!K69</f>
        <v>0.23</v>
      </c>
      <c r="H419" s="1411">
        <f>H418</f>
        <v>0.1</v>
      </c>
      <c r="I419" s="1406">
        <f t="shared" si="59"/>
        <v>0.17158000000000001</v>
      </c>
      <c r="Q419" s="1394">
        <f>IFERROR(VLOOKUP(M419,#REF!,3,0),0)</f>
        <v>0</v>
      </c>
      <c r="R419" s="1394">
        <f t="shared" si="49"/>
        <v>0</v>
      </c>
      <c r="S419" s="1394">
        <f>IFERROR(VLOOKUP(M419,#REF!,6,0),0)</f>
        <v>0</v>
      </c>
      <c r="T419" s="1394">
        <f t="shared" si="50"/>
        <v>0</v>
      </c>
      <c r="U419" s="1394">
        <f>IFERROR(VLOOKUP(M419,#REF!,5,0),0)</f>
        <v>0</v>
      </c>
      <c r="V419" s="1394">
        <f t="shared" si="51"/>
        <v>0</v>
      </c>
      <c r="W419" s="1394"/>
    </row>
    <row r="420" spans="2:23" ht="30" customHeight="1">
      <c r="B420" s="1407"/>
      <c r="C420" s="1408" t="str">
        <f>'det -detail'!B70</f>
        <v>C4 to F4 , C5 to F5</v>
      </c>
      <c r="D420" s="1409">
        <f>'det -detail'!E70</f>
        <v>1</v>
      </c>
      <c r="E420" s="1409">
        <f>'det -detail'!F70</f>
        <v>2</v>
      </c>
      <c r="F420" s="1410">
        <f>'det -detail'!G70</f>
        <v>4.5549999999999997</v>
      </c>
      <c r="G420" s="1410">
        <f>'det -detail'!K70</f>
        <v>0.23</v>
      </c>
      <c r="H420" s="1411">
        <f>H419</f>
        <v>0.1</v>
      </c>
      <c r="I420" s="1406">
        <f t="shared" si="59"/>
        <v>0.20952999999999999</v>
      </c>
      <c r="Q420" s="1394">
        <f>IFERROR(VLOOKUP(M420,#REF!,3,0),0)</f>
        <v>0</v>
      </c>
      <c r="R420" s="1394">
        <f t="shared" si="49"/>
        <v>0</v>
      </c>
      <c r="S420" s="1394">
        <f>IFERROR(VLOOKUP(M420,#REF!,6,0),0)</f>
        <v>0</v>
      </c>
      <c r="T420" s="1394">
        <f t="shared" si="50"/>
        <v>0</v>
      </c>
      <c r="U420" s="1394">
        <f>IFERROR(VLOOKUP(M420,#REF!,5,0),0)</f>
        <v>0</v>
      </c>
      <c r="V420" s="1394">
        <f t="shared" si="51"/>
        <v>0</v>
      </c>
      <c r="W420" s="1394"/>
    </row>
    <row r="421" spans="2:23" ht="30" customHeight="1">
      <c r="B421" s="1407"/>
      <c r="C421" s="1408" t="str">
        <f>'det -detail'!B71</f>
        <v>B4 to C4 , B5 to C5</v>
      </c>
      <c r="D421" s="1409">
        <f>'det -detail'!E71</f>
        <v>1</v>
      </c>
      <c r="E421" s="1409">
        <f>'det -detail'!F71</f>
        <v>2</v>
      </c>
      <c r="F421" s="1410">
        <f>'det -detail'!G71</f>
        <v>2.33</v>
      </c>
      <c r="G421" s="1410">
        <f>'det -detail'!K71</f>
        <v>0.23</v>
      </c>
      <c r="H421" s="1411">
        <f>H420</f>
        <v>0.1</v>
      </c>
      <c r="I421" s="1406">
        <f t="shared" si="59"/>
        <v>0.10718000000000001</v>
      </c>
      <c r="Q421" s="1394">
        <f>IFERROR(VLOOKUP(M421,#REF!,3,0),0)</f>
        <v>0</v>
      </c>
      <c r="R421" s="1394">
        <f t="shared" si="49"/>
        <v>0</v>
      </c>
      <c r="S421" s="1394">
        <f>IFERROR(VLOOKUP(M421,#REF!,6,0),0)</f>
        <v>0</v>
      </c>
      <c r="T421" s="1394">
        <f t="shared" si="50"/>
        <v>0</v>
      </c>
      <c r="U421" s="1394">
        <f>IFERROR(VLOOKUP(M421,#REF!,5,0),0)</f>
        <v>0</v>
      </c>
      <c r="V421" s="1394">
        <f t="shared" si="51"/>
        <v>0</v>
      </c>
      <c r="W421" s="1394"/>
    </row>
    <row r="422" spans="2:23" ht="30" customHeight="1">
      <c r="B422" s="1407"/>
      <c r="C422" s="1408" t="str">
        <f>'det -detail'!B72</f>
        <v xml:space="preserve">F5 to G5 </v>
      </c>
      <c r="D422" s="1409">
        <f>'det -detail'!E72</f>
        <v>1</v>
      </c>
      <c r="E422" s="1409">
        <f>'det -detail'!F72</f>
        <v>1</v>
      </c>
      <c r="F422" s="1410">
        <f>'det -detail'!G72</f>
        <v>3.4649999999999999</v>
      </c>
      <c r="G422" s="1410">
        <f>'det -detail'!K72</f>
        <v>0.23</v>
      </c>
      <c r="H422" s="1411">
        <f t="shared" ref="H422:H428" si="60">H421</f>
        <v>0.1</v>
      </c>
      <c r="I422" s="1406">
        <f t="shared" ref="I422:I428" si="61">PRODUCT(D422:H422)</f>
        <v>7.9695000000000016E-2</v>
      </c>
      <c r="Q422" s="1394">
        <f>IFERROR(VLOOKUP(M422,#REF!,3,0),0)</f>
        <v>0</v>
      </c>
      <c r="R422" s="1394">
        <f t="shared" si="49"/>
        <v>0</v>
      </c>
      <c r="S422" s="1394">
        <f>IFERROR(VLOOKUP(M422,#REF!,6,0),0)</f>
        <v>0</v>
      </c>
      <c r="T422" s="1394">
        <f t="shared" si="50"/>
        <v>0</v>
      </c>
      <c r="U422" s="1394">
        <f>IFERROR(VLOOKUP(M422,#REF!,5,0),0)</f>
        <v>0</v>
      </c>
      <c r="V422" s="1394">
        <f t="shared" si="51"/>
        <v>0</v>
      </c>
      <c r="W422" s="1394"/>
    </row>
    <row r="423" spans="2:23" ht="30" customHeight="1">
      <c r="B423" s="1407"/>
      <c r="C423" s="1408" t="str">
        <f>'det -detail'!B73</f>
        <v xml:space="preserve">G5 to H5 </v>
      </c>
      <c r="D423" s="1409">
        <f>'det -detail'!E73</f>
        <v>1</v>
      </c>
      <c r="E423" s="1409">
        <f>'det -detail'!F73</f>
        <v>1</v>
      </c>
      <c r="F423" s="1410">
        <f>'det -detail'!G73</f>
        <v>3.9950000000000001</v>
      </c>
      <c r="G423" s="1410">
        <f>'det -detail'!K73</f>
        <v>0.23</v>
      </c>
      <c r="H423" s="1411">
        <f t="shared" si="60"/>
        <v>0.1</v>
      </c>
      <c r="I423" s="1406">
        <f t="shared" si="61"/>
        <v>9.1885000000000008E-2</v>
      </c>
      <c r="Q423" s="1394">
        <f>IFERROR(VLOOKUP(M423,#REF!,3,0),0)</f>
        <v>0</v>
      </c>
      <c r="R423" s="1394">
        <f t="shared" si="49"/>
        <v>0</v>
      </c>
      <c r="S423" s="1394">
        <f>IFERROR(VLOOKUP(M423,#REF!,6,0),0)</f>
        <v>0</v>
      </c>
      <c r="T423" s="1394">
        <f t="shared" si="50"/>
        <v>0</v>
      </c>
      <c r="U423" s="1394">
        <f>IFERROR(VLOOKUP(M423,#REF!,5,0),0)</f>
        <v>0</v>
      </c>
      <c r="V423" s="1394">
        <f t="shared" si="51"/>
        <v>0</v>
      </c>
      <c r="W423" s="1394"/>
    </row>
    <row r="424" spans="2:23" ht="30" customHeight="1">
      <c r="B424" s="1407"/>
      <c r="C424" s="1408" t="str">
        <f>'det -detail'!B74</f>
        <v>B6' to D6'</v>
      </c>
      <c r="D424" s="1409">
        <f>'det -detail'!E74</f>
        <v>1</v>
      </c>
      <c r="E424" s="1409">
        <f>'det -detail'!F74</f>
        <v>1</v>
      </c>
      <c r="F424" s="1410">
        <f>'det -detail'!G74</f>
        <v>3.125</v>
      </c>
      <c r="G424" s="1410">
        <f>'det -detail'!K74</f>
        <v>0.23</v>
      </c>
      <c r="H424" s="1411">
        <f t="shared" si="60"/>
        <v>0.1</v>
      </c>
      <c r="I424" s="1406">
        <f t="shared" si="61"/>
        <v>7.1875000000000008E-2</v>
      </c>
      <c r="Q424" s="1394">
        <f>IFERROR(VLOOKUP(M424,#REF!,3,0),0)</f>
        <v>0</v>
      </c>
      <c r="R424" s="1394">
        <f t="shared" si="49"/>
        <v>0</v>
      </c>
      <c r="S424" s="1394">
        <f>IFERROR(VLOOKUP(M424,#REF!,6,0),0)</f>
        <v>0</v>
      </c>
      <c r="T424" s="1394">
        <f t="shared" si="50"/>
        <v>0</v>
      </c>
      <c r="U424" s="1394">
        <f>IFERROR(VLOOKUP(M424,#REF!,5,0),0)</f>
        <v>0</v>
      </c>
      <c r="V424" s="1394">
        <f t="shared" si="51"/>
        <v>0</v>
      </c>
      <c r="W424" s="1394"/>
    </row>
    <row r="425" spans="2:23" ht="30" customHeight="1">
      <c r="B425" s="1407"/>
      <c r="C425" s="1408" t="str">
        <f>'det -detail'!B75</f>
        <v>G6 to H6</v>
      </c>
      <c r="D425" s="1409">
        <f>'det -detail'!E75</f>
        <v>1</v>
      </c>
      <c r="E425" s="1409">
        <f>'det -detail'!F75</f>
        <v>1</v>
      </c>
      <c r="F425" s="1410">
        <f>'det -detail'!G75</f>
        <v>4.2300000000000004</v>
      </c>
      <c r="G425" s="1410">
        <f>'det -detail'!K75</f>
        <v>0.23</v>
      </c>
      <c r="H425" s="1411">
        <f t="shared" si="60"/>
        <v>0.1</v>
      </c>
      <c r="I425" s="1406">
        <f t="shared" si="61"/>
        <v>9.7290000000000015E-2</v>
      </c>
      <c r="Q425" s="1394">
        <f>IFERROR(VLOOKUP(M425,#REF!,3,0),0)</f>
        <v>0</v>
      </c>
      <c r="R425" s="1394">
        <f t="shared" si="49"/>
        <v>0</v>
      </c>
      <c r="S425" s="1394">
        <f>IFERROR(VLOOKUP(M425,#REF!,6,0),0)</f>
        <v>0</v>
      </c>
      <c r="T425" s="1394">
        <f t="shared" si="50"/>
        <v>0</v>
      </c>
      <c r="U425" s="1394">
        <f>IFERROR(VLOOKUP(M425,#REF!,5,0),0)</f>
        <v>0</v>
      </c>
      <c r="V425" s="1394">
        <f t="shared" si="51"/>
        <v>0</v>
      </c>
      <c r="W425" s="1394"/>
    </row>
    <row r="426" spans="2:23" ht="30" customHeight="1">
      <c r="B426" s="1407"/>
      <c r="C426" s="1408" t="str">
        <f>'det -detail'!B76</f>
        <v>B7 to E7</v>
      </c>
      <c r="D426" s="1409">
        <f>'det -detail'!E76</f>
        <v>1</v>
      </c>
      <c r="E426" s="1409">
        <f>'det -detail'!F76</f>
        <v>1</v>
      </c>
      <c r="F426" s="1410">
        <f>'det -detail'!G76</f>
        <v>5.6549999999999994</v>
      </c>
      <c r="G426" s="1410">
        <f>'det -detail'!K76</f>
        <v>0.23</v>
      </c>
      <c r="H426" s="1411">
        <f t="shared" si="60"/>
        <v>0.1</v>
      </c>
      <c r="I426" s="1406">
        <f t="shared" si="61"/>
        <v>0.13006499999999999</v>
      </c>
      <c r="Q426" s="1394">
        <f>IFERROR(VLOOKUP(M426,#REF!,3,0),0)</f>
        <v>0</v>
      </c>
      <c r="R426" s="1394">
        <f t="shared" si="49"/>
        <v>0</v>
      </c>
      <c r="S426" s="1394">
        <f>IFERROR(VLOOKUP(M426,#REF!,6,0),0)</f>
        <v>0</v>
      </c>
      <c r="T426" s="1394">
        <f t="shared" si="50"/>
        <v>0</v>
      </c>
      <c r="U426" s="1394">
        <f>IFERROR(VLOOKUP(M426,#REF!,5,0),0)</f>
        <v>0</v>
      </c>
      <c r="V426" s="1394">
        <f t="shared" si="51"/>
        <v>0</v>
      </c>
      <c r="W426" s="1394"/>
    </row>
    <row r="427" spans="2:23" ht="30" customHeight="1">
      <c r="B427" s="1407"/>
      <c r="C427" s="1408" t="str">
        <f>'det -detail'!B77</f>
        <v>E7 to H7</v>
      </c>
      <c r="D427" s="1409">
        <f>'det -detail'!E77</f>
        <v>1</v>
      </c>
      <c r="E427" s="1409">
        <f>'det -detail'!F77</f>
        <v>1</v>
      </c>
      <c r="F427" s="1410">
        <f>'det -detail'!G77</f>
        <v>8.6900000000000013</v>
      </c>
      <c r="G427" s="1410">
        <f>'det -detail'!K77</f>
        <v>0.23</v>
      </c>
      <c r="H427" s="1411">
        <f t="shared" si="60"/>
        <v>0.1</v>
      </c>
      <c r="I427" s="1406">
        <f t="shared" si="61"/>
        <v>0.19987000000000005</v>
      </c>
      <c r="Q427" s="1394">
        <f>IFERROR(VLOOKUP(M427,#REF!,3,0),0)</f>
        <v>0</v>
      </c>
      <c r="R427" s="1394">
        <f t="shared" si="49"/>
        <v>0</v>
      </c>
      <c r="S427" s="1394">
        <f>IFERROR(VLOOKUP(M427,#REF!,6,0),0)</f>
        <v>0</v>
      </c>
      <c r="T427" s="1394">
        <f t="shared" si="50"/>
        <v>0</v>
      </c>
      <c r="U427" s="1394">
        <f>IFERROR(VLOOKUP(M427,#REF!,5,0),0)</f>
        <v>0</v>
      </c>
      <c r="V427" s="1394">
        <f t="shared" si="51"/>
        <v>0</v>
      </c>
      <c r="W427" s="1394"/>
    </row>
    <row r="428" spans="2:23" ht="30" customHeight="1">
      <c r="B428" s="1407"/>
      <c r="C428" s="1408" t="str">
        <f>'det -detail'!B78</f>
        <v>A8 to H8</v>
      </c>
      <c r="D428" s="1409">
        <f>'det -detail'!E78</f>
        <v>1</v>
      </c>
      <c r="E428" s="1409">
        <f>'det -detail'!F78</f>
        <v>1</v>
      </c>
      <c r="F428" s="1410">
        <f>'det -detail'!G78</f>
        <v>18.575000000000003</v>
      </c>
      <c r="G428" s="1410">
        <f>'det -detail'!K78</f>
        <v>0.23</v>
      </c>
      <c r="H428" s="1411">
        <f t="shared" si="60"/>
        <v>0.1</v>
      </c>
      <c r="I428" s="1406">
        <f t="shared" si="61"/>
        <v>0.42722500000000008</v>
      </c>
      <c r="Q428" s="1394">
        <f>IFERROR(VLOOKUP(M428,#REF!,3,0),0)</f>
        <v>0</v>
      </c>
      <c r="R428" s="1394">
        <f t="shared" si="49"/>
        <v>0</v>
      </c>
      <c r="S428" s="1394">
        <f>IFERROR(VLOOKUP(M428,#REF!,6,0),0)</f>
        <v>0</v>
      </c>
      <c r="T428" s="1394">
        <f t="shared" si="50"/>
        <v>0</v>
      </c>
      <c r="U428" s="1394">
        <f>IFERROR(VLOOKUP(M428,#REF!,5,0),0)</f>
        <v>0</v>
      </c>
      <c r="V428" s="1394">
        <f t="shared" si="51"/>
        <v>0</v>
      </c>
      <c r="W428" s="1394"/>
    </row>
    <row r="429" spans="2:23" ht="30" customHeight="1">
      <c r="B429" s="1407"/>
      <c r="C429" s="1408">
        <f>'det -detail'!B80</f>
        <v>0</v>
      </c>
      <c r="D429" s="1409">
        <f>'det -detail'!E80</f>
        <v>0</v>
      </c>
      <c r="E429" s="1409">
        <f>'det -detail'!F80</f>
        <v>0</v>
      </c>
      <c r="F429" s="1410">
        <f>'det -detail'!G80</f>
        <v>0</v>
      </c>
      <c r="G429" s="1410">
        <f>'det -detail'!K80</f>
        <v>0</v>
      </c>
      <c r="H429" s="1411"/>
      <c r="I429" s="1406">
        <f t="shared" si="59"/>
        <v>0</v>
      </c>
      <c r="Q429" s="1394">
        <f>IFERROR(VLOOKUP(M429,#REF!,3,0),0)</f>
        <v>0</v>
      </c>
      <c r="R429" s="1394">
        <f t="shared" si="49"/>
        <v>0</v>
      </c>
      <c r="S429" s="1394">
        <f>IFERROR(VLOOKUP(M429,#REF!,6,0),0)</f>
        <v>0</v>
      </c>
      <c r="T429" s="1394">
        <f t="shared" si="50"/>
        <v>0</v>
      </c>
      <c r="U429" s="1394">
        <f>IFERROR(VLOOKUP(M429,#REF!,5,0),0)</f>
        <v>0</v>
      </c>
      <c r="V429" s="1394">
        <f t="shared" si="51"/>
        <v>0</v>
      </c>
      <c r="W429" s="1394"/>
    </row>
    <row r="430" spans="2:23" ht="30" customHeight="1">
      <c r="B430" s="1407"/>
      <c r="C430" s="1408" t="str">
        <f>'det -detail'!B81</f>
        <v>-Y- Direction</v>
      </c>
      <c r="D430" s="1409">
        <f>'det -detail'!E81</f>
        <v>0</v>
      </c>
      <c r="E430" s="1409">
        <f>'det -detail'!F81</f>
        <v>0</v>
      </c>
      <c r="F430" s="1410">
        <f>'det -detail'!G81</f>
        <v>0</v>
      </c>
      <c r="G430" s="1410">
        <f>'det -detail'!K81</f>
        <v>0</v>
      </c>
      <c r="H430" s="1411"/>
      <c r="I430" s="1406">
        <f t="shared" si="59"/>
        <v>0</v>
      </c>
      <c r="Q430" s="1394">
        <f>IFERROR(VLOOKUP(M430,#REF!,3,0),0)</f>
        <v>0</v>
      </c>
      <c r="R430" s="1394">
        <f t="shared" ref="R430:R493" si="62">ROUND(O430,2)*ROUND(Q430,2)</f>
        <v>0</v>
      </c>
      <c r="S430" s="1394">
        <f>IFERROR(VLOOKUP(M430,#REF!,6,0),0)</f>
        <v>0</v>
      </c>
      <c r="T430" s="1394">
        <f t="shared" ref="T430:T493" si="63">R430-S430</f>
        <v>0</v>
      </c>
      <c r="U430" s="1394">
        <f>IFERROR(VLOOKUP(M430,#REF!,5,0),0)</f>
        <v>0</v>
      </c>
      <c r="V430" s="1394">
        <f t="shared" ref="V430:V493" si="64">O430-U430</f>
        <v>0</v>
      </c>
      <c r="W430" s="1394"/>
    </row>
    <row r="431" spans="2:23" ht="30" customHeight="1">
      <c r="B431" s="1407"/>
      <c r="C431" s="1408" t="str">
        <f>'det -detail'!B82</f>
        <v>D1 to D3 &amp; F1 to F3</v>
      </c>
      <c r="D431" s="1409">
        <f>'det -detail'!E82</f>
        <v>1</v>
      </c>
      <c r="E431" s="1409">
        <f>'det -detail'!F82</f>
        <v>2</v>
      </c>
      <c r="F431" s="1410">
        <f>'det -detail'!G82</f>
        <v>4.6899999999999995</v>
      </c>
      <c r="G431" s="1410">
        <f>'det -detail'!K82</f>
        <v>0.23</v>
      </c>
      <c r="H431" s="1411">
        <f>H417</f>
        <v>0.1</v>
      </c>
      <c r="I431" s="1406">
        <f t="shared" si="59"/>
        <v>0.21574000000000002</v>
      </c>
      <c r="Q431" s="1394">
        <f>IFERROR(VLOOKUP(M431,#REF!,3,0),0)</f>
        <v>0</v>
      </c>
      <c r="R431" s="1394">
        <f t="shared" si="62"/>
        <v>0</v>
      </c>
      <c r="S431" s="1394">
        <f>IFERROR(VLOOKUP(M431,#REF!,6,0),0)</f>
        <v>0</v>
      </c>
      <c r="T431" s="1394">
        <f t="shared" si="63"/>
        <v>0</v>
      </c>
      <c r="U431" s="1394">
        <f>IFERROR(VLOOKUP(M431,#REF!,5,0),0)</f>
        <v>0</v>
      </c>
      <c r="V431" s="1394">
        <f t="shared" si="64"/>
        <v>0</v>
      </c>
      <c r="W431" s="1394"/>
    </row>
    <row r="432" spans="2:23" ht="30" customHeight="1">
      <c r="B432" s="1407"/>
      <c r="C432" s="1408" t="str">
        <f>'det -detail'!B83</f>
        <v>A3 to A8 ,B3 to B8 &amp; H3 to H8</v>
      </c>
      <c r="D432" s="1409">
        <f>'det -detail'!E83</f>
        <v>1</v>
      </c>
      <c r="E432" s="1409">
        <f>'det -detail'!F83</f>
        <v>3</v>
      </c>
      <c r="F432" s="1410">
        <f>'det -detail'!G83</f>
        <v>15.649999999999999</v>
      </c>
      <c r="G432" s="1410">
        <f>'det -detail'!K83</f>
        <v>0.23</v>
      </c>
      <c r="H432" s="1411">
        <f t="shared" ref="H432:H436" si="65">H418</f>
        <v>0.1</v>
      </c>
      <c r="I432" s="1406">
        <f t="shared" ref="I432:I442" si="66">PRODUCT(D432:H432)</f>
        <v>1.07985</v>
      </c>
      <c r="Q432" s="1394">
        <f>IFERROR(VLOOKUP(M432,#REF!,3,0),0)</f>
        <v>0</v>
      </c>
      <c r="R432" s="1394">
        <f t="shared" si="62"/>
        <v>0</v>
      </c>
      <c r="S432" s="1394">
        <f>IFERROR(VLOOKUP(M432,#REF!,6,0),0)</f>
        <v>0</v>
      </c>
      <c r="T432" s="1394">
        <f t="shared" si="63"/>
        <v>0</v>
      </c>
      <c r="U432" s="1394">
        <f>IFERROR(VLOOKUP(M432,#REF!,5,0),0)</f>
        <v>0</v>
      </c>
      <c r="V432" s="1394">
        <f t="shared" si="64"/>
        <v>0</v>
      </c>
      <c r="W432" s="1394"/>
    </row>
    <row r="433" spans="1:23" ht="30" customHeight="1">
      <c r="B433" s="1407"/>
      <c r="C433" s="1408" t="str">
        <f>'det -detail'!B84</f>
        <v>D5 to D7</v>
      </c>
      <c r="D433" s="1409">
        <f>'det -detail'!E84</f>
        <v>1</v>
      </c>
      <c r="E433" s="1409">
        <f>'det -detail'!F84</f>
        <v>1</v>
      </c>
      <c r="F433" s="1410">
        <f>'det -detail'!G84</f>
        <v>5.99</v>
      </c>
      <c r="G433" s="1410">
        <f>'det -detail'!K84</f>
        <v>0.23</v>
      </c>
      <c r="H433" s="1411">
        <f t="shared" si="65"/>
        <v>0.1</v>
      </c>
      <c r="I433" s="1406">
        <f t="shared" si="66"/>
        <v>0.13777000000000003</v>
      </c>
      <c r="Q433" s="1394">
        <f>IFERROR(VLOOKUP(M433,#REF!,3,0),0)</f>
        <v>0</v>
      </c>
      <c r="R433" s="1394">
        <f t="shared" si="62"/>
        <v>0</v>
      </c>
      <c r="S433" s="1394">
        <f>IFERROR(VLOOKUP(M433,#REF!,6,0),0)</f>
        <v>0</v>
      </c>
      <c r="T433" s="1394">
        <f t="shared" si="63"/>
        <v>0</v>
      </c>
      <c r="U433" s="1394">
        <f>IFERROR(VLOOKUP(M433,#REF!,5,0),0)</f>
        <v>0</v>
      </c>
      <c r="V433" s="1394">
        <f t="shared" si="64"/>
        <v>0</v>
      </c>
      <c r="W433" s="1394"/>
    </row>
    <row r="434" spans="1:23" ht="30" customHeight="1">
      <c r="B434" s="1407"/>
      <c r="C434" s="1408" t="str">
        <f>'det -detail'!B85</f>
        <v>E7 to E8 &amp; G7 to G8</v>
      </c>
      <c r="D434" s="1409">
        <f>'det -detail'!E85</f>
        <v>1</v>
      </c>
      <c r="E434" s="1409">
        <f>'det -detail'!F85</f>
        <v>2</v>
      </c>
      <c r="F434" s="1410">
        <f>'det -detail'!G85</f>
        <v>4.13</v>
      </c>
      <c r="G434" s="1410">
        <f>'det -detail'!K85</f>
        <v>0.23</v>
      </c>
      <c r="H434" s="1411">
        <f t="shared" si="65"/>
        <v>0.1</v>
      </c>
      <c r="I434" s="1406">
        <f t="shared" si="66"/>
        <v>0.18998000000000001</v>
      </c>
      <c r="Q434" s="1394">
        <f>IFERROR(VLOOKUP(M434,#REF!,3,0),0)</f>
        <v>0</v>
      </c>
      <c r="R434" s="1394">
        <f t="shared" si="62"/>
        <v>0</v>
      </c>
      <c r="S434" s="1394">
        <f>IFERROR(VLOOKUP(M434,#REF!,6,0),0)</f>
        <v>0</v>
      </c>
      <c r="T434" s="1394">
        <f t="shared" si="63"/>
        <v>0</v>
      </c>
      <c r="U434" s="1394">
        <f>IFERROR(VLOOKUP(M434,#REF!,5,0),0)</f>
        <v>0</v>
      </c>
      <c r="V434" s="1394">
        <f t="shared" si="64"/>
        <v>0</v>
      </c>
      <c r="W434" s="1394"/>
    </row>
    <row r="435" spans="1:23" ht="30" customHeight="1">
      <c r="B435" s="1407"/>
      <c r="C435" s="1408" t="str">
        <f>'det -detail'!B86</f>
        <v>F3 To F5</v>
      </c>
      <c r="D435" s="1409">
        <f>'det -detail'!E86</f>
        <v>1</v>
      </c>
      <c r="E435" s="1409">
        <f>'det -detail'!F86</f>
        <v>1</v>
      </c>
      <c r="F435" s="1410">
        <f>'det -detail'!G86</f>
        <v>5.5299999999999994</v>
      </c>
      <c r="G435" s="1410">
        <f>'det -detail'!K86</f>
        <v>0.23</v>
      </c>
      <c r="H435" s="1411">
        <f t="shared" si="65"/>
        <v>0.1</v>
      </c>
      <c r="I435" s="1406">
        <f t="shared" si="66"/>
        <v>0.12719</v>
      </c>
      <c r="Q435" s="1394">
        <f>IFERROR(VLOOKUP(M435,#REF!,3,0),0)</f>
        <v>0</v>
      </c>
      <c r="R435" s="1394">
        <f t="shared" si="62"/>
        <v>0</v>
      </c>
      <c r="S435" s="1394">
        <f>IFERROR(VLOOKUP(M435,#REF!,6,0),0)</f>
        <v>0</v>
      </c>
      <c r="T435" s="1394">
        <f t="shared" si="63"/>
        <v>0</v>
      </c>
      <c r="U435" s="1394">
        <f>IFERROR(VLOOKUP(M435,#REF!,5,0),0)</f>
        <v>0</v>
      </c>
      <c r="V435" s="1394">
        <f t="shared" si="64"/>
        <v>0</v>
      </c>
      <c r="W435" s="1394"/>
    </row>
    <row r="436" spans="1:23" ht="30" customHeight="1">
      <c r="B436" s="1407"/>
      <c r="C436" s="1408" t="str">
        <f>'det -detail'!B87</f>
        <v>G5 to G7</v>
      </c>
      <c r="D436" s="1409">
        <f>'det -detail'!E87</f>
        <v>1</v>
      </c>
      <c r="E436" s="1409">
        <f>'det -detail'!F87</f>
        <v>1</v>
      </c>
      <c r="F436" s="1410">
        <f>'det -detail'!G87</f>
        <v>5.99</v>
      </c>
      <c r="G436" s="1410">
        <f>'det -detail'!K87</f>
        <v>0.23</v>
      </c>
      <c r="H436" s="1411">
        <f t="shared" si="65"/>
        <v>0.1</v>
      </c>
      <c r="I436" s="1406">
        <f t="shared" si="66"/>
        <v>0.13777000000000003</v>
      </c>
      <c r="Q436" s="1394">
        <f>IFERROR(VLOOKUP(M436,#REF!,3,0),0)</f>
        <v>0</v>
      </c>
      <c r="R436" s="1394">
        <f t="shared" si="62"/>
        <v>0</v>
      </c>
      <c r="S436" s="1394">
        <f>IFERROR(VLOOKUP(M436,#REF!,6,0),0)</f>
        <v>0</v>
      </c>
      <c r="T436" s="1394">
        <f t="shared" si="63"/>
        <v>0</v>
      </c>
      <c r="U436" s="1394">
        <f>IFERROR(VLOOKUP(M436,#REF!,5,0),0)</f>
        <v>0</v>
      </c>
      <c r="V436" s="1394">
        <f t="shared" si="64"/>
        <v>0</v>
      </c>
      <c r="W436" s="1394"/>
    </row>
    <row r="437" spans="1:23" ht="30" customHeight="1">
      <c r="B437" s="1407"/>
      <c r="C437" s="1408"/>
      <c r="D437" s="1409"/>
      <c r="E437" s="1409"/>
      <c r="F437" s="1410"/>
      <c r="G437" s="1410"/>
      <c r="H437" s="1411"/>
      <c r="I437" s="1406">
        <f t="shared" si="66"/>
        <v>0</v>
      </c>
      <c r="Q437" s="1394">
        <f>IFERROR(VLOOKUP(M437,#REF!,3,0),0)</f>
        <v>0</v>
      </c>
      <c r="R437" s="1394">
        <f t="shared" si="62"/>
        <v>0</v>
      </c>
      <c r="S437" s="1394">
        <f>IFERROR(VLOOKUP(M437,#REF!,6,0),0)</f>
        <v>0</v>
      </c>
      <c r="T437" s="1394">
        <f t="shared" si="63"/>
        <v>0</v>
      </c>
      <c r="U437" s="1394">
        <f>IFERROR(VLOOKUP(M437,#REF!,5,0),0)</f>
        <v>0</v>
      </c>
      <c r="V437" s="1394">
        <f t="shared" si="64"/>
        <v>0</v>
      </c>
      <c r="W437" s="1394"/>
    </row>
    <row r="438" spans="1:23" ht="30" customHeight="1">
      <c r="B438" s="1407"/>
      <c r="C438" s="1408" t="str">
        <f t="shared" ref="C438:H442" si="67">C399</f>
        <v>Dedution for Column</v>
      </c>
      <c r="D438" s="1409">
        <f t="shared" si="67"/>
        <v>0</v>
      </c>
      <c r="E438" s="1409">
        <f t="shared" si="67"/>
        <v>0</v>
      </c>
      <c r="F438" s="1410">
        <f t="shared" si="67"/>
        <v>0</v>
      </c>
      <c r="G438" s="1410">
        <f t="shared" si="67"/>
        <v>0</v>
      </c>
      <c r="H438" s="1411">
        <f t="shared" si="67"/>
        <v>0</v>
      </c>
      <c r="I438" s="1406">
        <f t="shared" si="66"/>
        <v>0</v>
      </c>
      <c r="Q438" s="1394">
        <f>IFERROR(VLOOKUP(M438,#REF!,3,0),0)</f>
        <v>0</v>
      </c>
      <c r="R438" s="1394">
        <f t="shared" si="62"/>
        <v>0</v>
      </c>
      <c r="S438" s="1394">
        <f>IFERROR(VLOOKUP(M438,#REF!,6,0),0)</f>
        <v>0</v>
      </c>
      <c r="T438" s="1394">
        <f t="shared" si="63"/>
        <v>0</v>
      </c>
      <c r="U438" s="1394">
        <f>IFERROR(VLOOKUP(M438,#REF!,5,0),0)</f>
        <v>0</v>
      </c>
      <c r="V438" s="1394">
        <f t="shared" si="64"/>
        <v>0</v>
      </c>
      <c r="W438" s="1394"/>
    </row>
    <row r="439" spans="1:23" ht="30" customHeight="1">
      <c r="B439" s="1407"/>
      <c r="C439" s="1408" t="str">
        <f t="shared" si="67"/>
        <v xml:space="preserve">For C1 Round Column Dia 0.3 Radius = 0.15 </v>
      </c>
      <c r="D439" s="1409">
        <f t="shared" si="67"/>
        <v>-4</v>
      </c>
      <c r="E439" s="1409">
        <f t="shared" si="67"/>
        <v>3.14</v>
      </c>
      <c r="F439" s="1410">
        <f t="shared" si="67"/>
        <v>0.15</v>
      </c>
      <c r="G439" s="1410">
        <f t="shared" si="67"/>
        <v>0.15</v>
      </c>
      <c r="H439" s="1411">
        <f>H436</f>
        <v>0.1</v>
      </c>
      <c r="I439" s="1406">
        <f t="shared" si="66"/>
        <v>-2.8259999999999997E-2</v>
      </c>
      <c r="J439" s="1397"/>
      <c r="Q439" s="1394">
        <f>IFERROR(VLOOKUP(M439,#REF!,3,0),0)</f>
        <v>0</v>
      </c>
      <c r="R439" s="1394">
        <f t="shared" si="62"/>
        <v>0</v>
      </c>
      <c r="S439" s="1394">
        <f>IFERROR(VLOOKUP(M439,#REF!,6,0),0)</f>
        <v>0</v>
      </c>
      <c r="T439" s="1394">
        <f t="shared" si="63"/>
        <v>0</v>
      </c>
      <c r="U439" s="1394">
        <f>IFERROR(VLOOKUP(M439,#REF!,5,0),0)</f>
        <v>0</v>
      </c>
      <c r="V439" s="1394">
        <f t="shared" si="64"/>
        <v>0</v>
      </c>
      <c r="W439" s="1394"/>
    </row>
    <row r="440" spans="1:23" ht="30" customHeight="1">
      <c r="B440" s="1407"/>
      <c r="C440" s="1408" t="str">
        <f t="shared" si="67"/>
        <v>For C2</v>
      </c>
      <c r="D440" s="1409">
        <f t="shared" si="67"/>
        <v>-11</v>
      </c>
      <c r="E440" s="1409">
        <f t="shared" si="67"/>
        <v>1</v>
      </c>
      <c r="F440" s="1410">
        <f t="shared" si="67"/>
        <v>0.23</v>
      </c>
      <c r="G440" s="1410">
        <f t="shared" si="67"/>
        <v>0.38</v>
      </c>
      <c r="H440" s="1411">
        <f>H439</f>
        <v>0.1</v>
      </c>
      <c r="I440" s="1406">
        <f t="shared" si="66"/>
        <v>-9.6140000000000017E-2</v>
      </c>
      <c r="Q440" s="1394">
        <f>IFERROR(VLOOKUP(M440,#REF!,3,0),0)</f>
        <v>0</v>
      </c>
      <c r="R440" s="1394">
        <f t="shared" si="62"/>
        <v>0</v>
      </c>
      <c r="S440" s="1394">
        <f>IFERROR(VLOOKUP(M440,#REF!,6,0),0)</f>
        <v>0</v>
      </c>
      <c r="T440" s="1394">
        <f t="shared" si="63"/>
        <v>0</v>
      </c>
      <c r="U440" s="1394">
        <f>IFERROR(VLOOKUP(M440,#REF!,5,0),0)</f>
        <v>0</v>
      </c>
      <c r="V440" s="1394">
        <f t="shared" si="64"/>
        <v>0</v>
      </c>
      <c r="W440" s="1394"/>
    </row>
    <row r="441" spans="1:23" ht="30" customHeight="1">
      <c r="B441" s="1407"/>
      <c r="C441" s="1408" t="str">
        <f t="shared" si="67"/>
        <v>For C3</v>
      </c>
      <c r="D441" s="1409">
        <f t="shared" si="67"/>
        <v>-10</v>
      </c>
      <c r="E441" s="1409">
        <f t="shared" si="67"/>
        <v>1</v>
      </c>
      <c r="F441" s="1410">
        <f t="shared" si="67"/>
        <v>0.23</v>
      </c>
      <c r="G441" s="1410">
        <f t="shared" si="67"/>
        <v>0.45</v>
      </c>
      <c r="H441" s="1411">
        <f t="shared" ref="H441:H442" si="68">H440</f>
        <v>0.1</v>
      </c>
      <c r="I441" s="1406">
        <f t="shared" si="66"/>
        <v>-0.10350000000000002</v>
      </c>
      <c r="Q441" s="1394">
        <f>IFERROR(VLOOKUP(M441,#REF!,3,0),0)</f>
        <v>0</v>
      </c>
      <c r="R441" s="1394">
        <f t="shared" si="62"/>
        <v>0</v>
      </c>
      <c r="S441" s="1394">
        <f>IFERROR(VLOOKUP(M441,#REF!,6,0),0)</f>
        <v>0</v>
      </c>
      <c r="T441" s="1394">
        <f t="shared" si="63"/>
        <v>0</v>
      </c>
      <c r="U441" s="1394">
        <f>IFERROR(VLOOKUP(M441,#REF!,5,0),0)</f>
        <v>0</v>
      </c>
      <c r="V441" s="1394">
        <f t="shared" si="64"/>
        <v>0</v>
      </c>
      <c r="W441" s="1394"/>
    </row>
    <row r="442" spans="1:23" ht="30" customHeight="1">
      <c r="B442" s="1407"/>
      <c r="C442" s="1408" t="str">
        <f t="shared" si="67"/>
        <v>For C4</v>
      </c>
      <c r="D442" s="1409">
        <f t="shared" si="67"/>
        <v>-7</v>
      </c>
      <c r="E442" s="1409">
        <f t="shared" si="67"/>
        <v>1</v>
      </c>
      <c r="F442" s="1410">
        <f t="shared" si="67"/>
        <v>0.3</v>
      </c>
      <c r="G442" s="1410">
        <f t="shared" si="67"/>
        <v>0.45</v>
      </c>
      <c r="H442" s="1411">
        <f t="shared" si="68"/>
        <v>0.1</v>
      </c>
      <c r="I442" s="1406">
        <f t="shared" si="66"/>
        <v>-9.4500000000000015E-2</v>
      </c>
      <c r="Q442" s="1394">
        <f>IFERROR(VLOOKUP(M442,#REF!,3,0),0)</f>
        <v>0</v>
      </c>
      <c r="R442" s="1394">
        <f t="shared" si="62"/>
        <v>0</v>
      </c>
      <c r="S442" s="1394">
        <f>IFERROR(VLOOKUP(M442,#REF!,6,0),0)</f>
        <v>0</v>
      </c>
      <c r="T442" s="1394">
        <f t="shared" si="63"/>
        <v>0</v>
      </c>
      <c r="U442" s="1394">
        <f>IFERROR(VLOOKUP(M442,#REF!,5,0),0)</f>
        <v>0</v>
      </c>
      <c r="V442" s="1394">
        <f t="shared" si="64"/>
        <v>0</v>
      </c>
      <c r="W442" s="1394"/>
    </row>
    <row r="443" spans="1:23" ht="30" hidden="1" customHeight="1">
      <c r="B443" s="1407"/>
      <c r="C443" s="1408"/>
      <c r="D443" s="1409"/>
      <c r="E443" s="1409"/>
      <c r="F443" s="1410"/>
      <c r="G443" s="1410"/>
      <c r="H443" s="1411"/>
      <c r="I443" s="1406"/>
      <c r="Q443" s="1394">
        <f>IFERROR(VLOOKUP(M443,#REF!,3,0),0)</f>
        <v>0</v>
      </c>
      <c r="R443" s="1394">
        <f t="shared" si="62"/>
        <v>0</v>
      </c>
      <c r="S443" s="1394">
        <f>IFERROR(VLOOKUP(M443,#REF!,6,0),0)</f>
        <v>0</v>
      </c>
      <c r="T443" s="1394">
        <f t="shared" si="63"/>
        <v>0</v>
      </c>
      <c r="U443" s="1394">
        <f>IFERROR(VLOOKUP(M443,#REF!,5,0),0)</f>
        <v>0</v>
      </c>
      <c r="V443" s="1394">
        <f t="shared" si="64"/>
        <v>0</v>
      </c>
      <c r="W443" s="1394"/>
    </row>
    <row r="444" spans="1:23" ht="30" hidden="1" customHeight="1">
      <c r="A444" s="1397"/>
      <c r="B444" s="1407"/>
      <c r="C444" s="1408">
        <f>'det -detail'!B88</f>
        <v>0</v>
      </c>
      <c r="D444" s="1409">
        <f>'det -detail'!E88</f>
        <v>0</v>
      </c>
      <c r="E444" s="1409">
        <f>'det -detail'!F88</f>
        <v>0</v>
      </c>
      <c r="F444" s="1410">
        <f>'det -detail'!G88</f>
        <v>0</v>
      </c>
      <c r="G444" s="1410">
        <f>'det -detail'!K88</f>
        <v>0</v>
      </c>
      <c r="H444" s="1411">
        <f>H430</f>
        <v>0</v>
      </c>
      <c r="I444" s="1406">
        <f t="shared" si="59"/>
        <v>0</v>
      </c>
      <c r="L444" s="1397">
        <f>SUM(I417:I445)</f>
        <v>3.6996099999999998</v>
      </c>
      <c r="Q444" s="1394">
        <f>IFERROR(VLOOKUP(M444,#REF!,3,0),0)</f>
        <v>0</v>
      </c>
      <c r="R444" s="1394">
        <f t="shared" si="62"/>
        <v>0</v>
      </c>
      <c r="S444" s="1394">
        <f>IFERROR(VLOOKUP(M444,#REF!,6,0),0)</f>
        <v>0</v>
      </c>
      <c r="T444" s="1394">
        <f t="shared" si="63"/>
        <v>0</v>
      </c>
      <c r="U444" s="1394">
        <f>IFERROR(VLOOKUP(M444,#REF!,5,0),0)</f>
        <v>0</v>
      </c>
      <c r="V444" s="1394">
        <f t="shared" si="64"/>
        <v>0</v>
      </c>
      <c r="W444" s="1394"/>
    </row>
    <row r="445" spans="1:23" ht="30" hidden="1" customHeight="1">
      <c r="B445" s="1407"/>
      <c r="C445" s="1408">
        <f>'det -detail'!B88</f>
        <v>0</v>
      </c>
      <c r="D445" s="1409">
        <f>'det -detail'!E88</f>
        <v>0</v>
      </c>
      <c r="E445" s="1409">
        <f>'det -detail'!F88</f>
        <v>0</v>
      </c>
      <c r="F445" s="1410">
        <f>'det -detail'!G88</f>
        <v>0</v>
      </c>
      <c r="G445" s="1410">
        <f>'det -detail'!K88</f>
        <v>0</v>
      </c>
      <c r="H445" s="1411"/>
      <c r="I445" s="1406">
        <f t="shared" si="59"/>
        <v>0</v>
      </c>
      <c r="Q445" s="1394">
        <f>IFERROR(VLOOKUP(M445,#REF!,3,0),0)</f>
        <v>0</v>
      </c>
      <c r="R445" s="1394">
        <f t="shared" si="62"/>
        <v>0</v>
      </c>
      <c r="S445" s="1394">
        <f>IFERROR(VLOOKUP(M445,#REF!,6,0),0)</f>
        <v>0</v>
      </c>
      <c r="T445" s="1394">
        <f t="shared" si="63"/>
        <v>0</v>
      </c>
      <c r="U445" s="1394">
        <f>IFERROR(VLOOKUP(M445,#REF!,5,0),0)</f>
        <v>0</v>
      </c>
      <c r="V445" s="1394">
        <f t="shared" si="64"/>
        <v>0</v>
      </c>
      <c r="W445" s="1394"/>
    </row>
    <row r="446" spans="1:23" ht="30" customHeight="1">
      <c r="B446" s="1407"/>
      <c r="C446" s="1455"/>
      <c r="D446" s="103"/>
      <c r="E446" s="103"/>
      <c r="F446" s="1686" t="str">
        <f>"PLINTH BEAM QTY ="&amp;FIXED(L444,2)</f>
        <v>PLINTH BEAM QTY =3.70</v>
      </c>
      <c r="G446" s="1686"/>
      <c r="H446" s="1686"/>
      <c r="I446" s="1406"/>
      <c r="Q446" s="1394">
        <f>IFERROR(VLOOKUP(M446,#REF!,3,0),0)</f>
        <v>0</v>
      </c>
      <c r="R446" s="1394">
        <f t="shared" si="62"/>
        <v>0</v>
      </c>
      <c r="S446" s="1394">
        <f>IFERROR(VLOOKUP(M446,#REF!,6,0),0)</f>
        <v>0</v>
      </c>
      <c r="T446" s="1394">
        <f t="shared" si="63"/>
        <v>0</v>
      </c>
      <c r="U446" s="1394">
        <f>IFERROR(VLOOKUP(M446,#REF!,5,0),0)</f>
        <v>0</v>
      </c>
      <c r="V446" s="1394">
        <f t="shared" si="64"/>
        <v>0</v>
      </c>
      <c r="W446" s="1394"/>
    </row>
    <row r="447" spans="1:23" ht="30" hidden="1" customHeight="1">
      <c r="B447" s="1407"/>
      <c r="C447" s="1455"/>
      <c r="D447" s="103"/>
      <c r="E447" s="103"/>
      <c r="F447" s="1413"/>
      <c r="G447" s="1413"/>
      <c r="H447" s="1414"/>
      <c r="I447" s="1406"/>
      <c r="Q447" s="1394">
        <f>IFERROR(VLOOKUP(M447,#REF!,3,0),0)</f>
        <v>0</v>
      </c>
      <c r="R447" s="1394">
        <f t="shared" si="62"/>
        <v>0</v>
      </c>
      <c r="S447" s="1394">
        <f>IFERROR(VLOOKUP(M447,#REF!,6,0),0)</f>
        <v>0</v>
      </c>
      <c r="T447" s="1394">
        <f t="shared" si="63"/>
        <v>0</v>
      </c>
      <c r="U447" s="1394">
        <f>IFERROR(VLOOKUP(M447,#REF!,5,0),0)</f>
        <v>0</v>
      </c>
      <c r="V447" s="1394">
        <f t="shared" si="64"/>
        <v>0</v>
      </c>
      <c r="W447" s="1394"/>
    </row>
    <row r="448" spans="1:23" ht="30" hidden="1" customHeight="1">
      <c r="B448" s="1407"/>
      <c r="C448" s="1455"/>
      <c r="D448" s="103"/>
      <c r="E448" s="103"/>
      <c r="F448" s="1413"/>
      <c r="G448" s="1413"/>
      <c r="H448" s="1414"/>
      <c r="I448" s="1406"/>
      <c r="Q448" s="1394">
        <f>IFERROR(VLOOKUP(M448,#REF!,3,0),0)</f>
        <v>0</v>
      </c>
      <c r="R448" s="1394">
        <f t="shared" si="62"/>
        <v>0</v>
      </c>
      <c r="S448" s="1394">
        <f>IFERROR(VLOOKUP(M448,#REF!,6,0),0)</f>
        <v>0</v>
      </c>
      <c r="T448" s="1394">
        <f t="shared" si="63"/>
        <v>0</v>
      </c>
      <c r="U448" s="1394">
        <f>IFERROR(VLOOKUP(M448,#REF!,5,0),0)</f>
        <v>0</v>
      </c>
      <c r="V448" s="1394">
        <f t="shared" si="64"/>
        <v>0</v>
      </c>
      <c r="W448" s="1394"/>
    </row>
    <row r="449" spans="1:24" s="1394" customFormat="1" ht="30" customHeight="1">
      <c r="B449" s="1421"/>
      <c r="C449" s="1422" t="s">
        <v>270</v>
      </c>
      <c r="D449" s="1389"/>
      <c r="E449" s="1389"/>
      <c r="F449" s="1423"/>
      <c r="G449" s="1423"/>
      <c r="H449" s="1424"/>
      <c r="I449" s="1425">
        <f>J450-J449</f>
        <v>2.689999999994086E-3</v>
      </c>
      <c r="J449" s="1394">
        <f>SUM(I368:I448)</f>
        <v>28.697310000000009</v>
      </c>
      <c r="M449" s="1426"/>
      <c r="Q449" s="1394">
        <f>IFERROR(VLOOKUP(M449,#REF!,3,0),0)</f>
        <v>0</v>
      </c>
      <c r="R449" s="1394">
        <f t="shared" si="62"/>
        <v>0</v>
      </c>
      <c r="S449" s="1394">
        <f>IFERROR(VLOOKUP(M449,#REF!,6,0),0)</f>
        <v>0</v>
      </c>
      <c r="T449" s="1394">
        <f t="shared" si="63"/>
        <v>0</v>
      </c>
      <c r="U449" s="1394">
        <f>IFERROR(VLOOKUP(M449,#REF!,5,0),0)</f>
        <v>0</v>
      </c>
      <c r="V449" s="1394">
        <f t="shared" si="64"/>
        <v>0</v>
      </c>
    </row>
    <row r="450" spans="1:24" s="1394" customFormat="1" ht="30" customHeight="1">
      <c r="B450" s="1421"/>
      <c r="C450" s="1422"/>
      <c r="D450" s="1389"/>
      <c r="E450" s="1389"/>
      <c r="F450" s="1423"/>
      <c r="G450" s="1423"/>
      <c r="H450" s="1424"/>
      <c r="I450" s="1427">
        <f>+J450</f>
        <v>28.700000000000003</v>
      </c>
      <c r="J450" s="1394">
        <f>ROUNDUP(J449,1)</f>
        <v>28.700000000000003</v>
      </c>
      <c r="M450" s="1426"/>
      <c r="Q450" s="1394">
        <f>IFERROR(VLOOKUP(M450,#REF!,3,0),0)</f>
        <v>0</v>
      </c>
      <c r="R450" s="1394">
        <f t="shared" si="62"/>
        <v>0</v>
      </c>
      <c r="S450" s="1394">
        <f>IFERROR(VLOOKUP(M450,#REF!,6,0),0)</f>
        <v>0</v>
      </c>
      <c r="T450" s="1394">
        <f t="shared" si="63"/>
        <v>0</v>
      </c>
      <c r="U450" s="1394">
        <f>IFERROR(VLOOKUP(M450,#REF!,5,0),0)</f>
        <v>0</v>
      </c>
      <c r="V450" s="1394">
        <f t="shared" si="64"/>
        <v>0</v>
      </c>
    </row>
    <row r="451" spans="1:24" s="1394" customFormat="1" ht="30" customHeight="1">
      <c r="B451" s="1421"/>
      <c r="C451" s="1422"/>
      <c r="D451" s="1389"/>
      <c r="E451" s="1389"/>
      <c r="F451" s="1423"/>
      <c r="G451" s="1428" t="s">
        <v>11</v>
      </c>
      <c r="H451" s="1429">
        <f>I450</f>
        <v>28.700000000000003</v>
      </c>
      <c r="I451" s="1427" t="s">
        <v>19</v>
      </c>
      <c r="M451" s="1426" t="str">
        <f>A367</f>
        <v>a. In Foundation and basement Standardised concrete Mix M20 Grade Concrete</v>
      </c>
      <c r="N451" s="1394">
        <f>B316</f>
        <v>0</v>
      </c>
      <c r="O451" s="1394">
        <f>H451</f>
        <v>28.700000000000003</v>
      </c>
      <c r="P451" s="1394" t="str">
        <f>I451</f>
        <v>Cum</v>
      </c>
      <c r="Q451" s="1394">
        <f>IFERROR(VLOOKUP(M451,#REF!,3,0),0)</f>
        <v>0</v>
      </c>
      <c r="R451" s="1394">
        <f t="shared" si="62"/>
        <v>0</v>
      </c>
      <c r="S451" s="1394">
        <f>IFERROR(VLOOKUP(M451,#REF!,6,0),0)</f>
        <v>0</v>
      </c>
      <c r="T451" s="1394">
        <f t="shared" si="63"/>
        <v>0</v>
      </c>
      <c r="U451" s="1394">
        <f>IFERROR(VLOOKUP(M451,#REF!,5,0),0)</f>
        <v>0</v>
      </c>
      <c r="V451" s="1394">
        <f t="shared" si="64"/>
        <v>28.700000000000003</v>
      </c>
    </row>
    <row r="452" spans="1:24" ht="63.75" customHeight="1">
      <c r="A452" s="110" t="s">
        <v>286</v>
      </c>
      <c r="B452" s="1405">
        <v>6.5</v>
      </c>
      <c r="C452" s="1678" t="e">
        <f>VLOOKUP(A452,#REF!,2,0)</f>
        <v>#REF!</v>
      </c>
      <c r="D452" s="1678"/>
      <c r="E452" s="1678"/>
      <c r="F452" s="1678"/>
      <c r="G452" s="1678"/>
      <c r="H452" s="1678"/>
      <c r="I452" s="1406"/>
      <c r="Q452" s="1394">
        <f>IFERROR(VLOOKUP(M452,#REF!,3,0),0)</f>
        <v>0</v>
      </c>
      <c r="R452" s="1394">
        <f t="shared" si="62"/>
        <v>0</v>
      </c>
      <c r="S452" s="1394">
        <f>IFERROR(VLOOKUP(M452,#REF!,6,0),0)</f>
        <v>0</v>
      </c>
      <c r="T452" s="1394">
        <f t="shared" si="63"/>
        <v>0</v>
      </c>
      <c r="U452" s="1394">
        <f>IFERROR(VLOOKUP(M452,#REF!,5,0),0)</f>
        <v>0</v>
      </c>
      <c r="V452" s="1394">
        <f t="shared" si="64"/>
        <v>0</v>
      </c>
      <c r="W452" s="1394"/>
      <c r="X452" s="1397"/>
    </row>
    <row r="453" spans="1:24" ht="30" customHeight="1">
      <c r="B453" s="1405"/>
      <c r="C453" s="1412" t="s">
        <v>287</v>
      </c>
      <c r="D453" s="103"/>
      <c r="E453" s="103"/>
      <c r="F453" s="1413"/>
      <c r="G453" s="1413"/>
      <c r="H453" s="1414"/>
      <c r="I453" s="1406"/>
      <c r="Q453" s="1394">
        <f>IFERROR(VLOOKUP(M453,#REF!,3,0),0)</f>
        <v>0</v>
      </c>
      <c r="R453" s="1394">
        <f t="shared" si="62"/>
        <v>0</v>
      </c>
      <c r="S453" s="1394">
        <f>IFERROR(VLOOKUP(M453,#REF!,6,0),0)</f>
        <v>0</v>
      </c>
      <c r="T453" s="1394">
        <f t="shared" si="63"/>
        <v>0</v>
      </c>
      <c r="U453" s="1394">
        <f>IFERROR(VLOOKUP(M453,#REF!,5,0),0)</f>
        <v>0</v>
      </c>
      <c r="V453" s="1394">
        <f t="shared" si="64"/>
        <v>0</v>
      </c>
      <c r="W453" s="1394"/>
    </row>
    <row r="454" spans="1:24" ht="30" customHeight="1">
      <c r="B454" s="1407"/>
      <c r="C454" s="1408" t="str">
        <f>'det -detail'!B65</f>
        <v>-X- Direction</v>
      </c>
      <c r="D454" s="1409"/>
      <c r="E454" s="1409"/>
      <c r="F454" s="1410"/>
      <c r="G454" s="1410"/>
      <c r="H454" s="1411"/>
      <c r="I454" s="1406"/>
      <c r="Q454" s="1394">
        <f>IFERROR(VLOOKUP(M454,#REF!,3,0),0)</f>
        <v>0</v>
      </c>
      <c r="R454" s="1394">
        <f t="shared" si="62"/>
        <v>0</v>
      </c>
      <c r="S454" s="1394">
        <f>IFERROR(VLOOKUP(M454,#REF!,6,0),0)</f>
        <v>0</v>
      </c>
      <c r="T454" s="1394">
        <f t="shared" si="63"/>
        <v>0</v>
      </c>
      <c r="U454" s="1394">
        <f>IFERROR(VLOOKUP(M454,#REF!,5,0),0)</f>
        <v>0</v>
      </c>
      <c r="V454" s="1394">
        <f t="shared" si="64"/>
        <v>0</v>
      </c>
      <c r="W454" s="1394"/>
    </row>
    <row r="455" spans="1:24" ht="30" customHeight="1">
      <c r="A455" s="1397"/>
      <c r="B455" s="1407"/>
      <c r="C455" s="1408" t="str">
        <f>'det -detail'!B66</f>
        <v>A3 to B3, A5 to B5 , A6 to B6 and A6 to B6</v>
      </c>
      <c r="D455" s="1409">
        <f>'det -detail'!E66</f>
        <v>1</v>
      </c>
      <c r="E455" s="1409">
        <f>'det -detail'!F66</f>
        <v>4</v>
      </c>
      <c r="F455" s="1410">
        <f>'det -detail'!G66</f>
        <v>4.2300000000000004</v>
      </c>
      <c r="G455" s="1410">
        <f>'det -detail'!K66</f>
        <v>0.23</v>
      </c>
      <c r="H455" s="1411">
        <f>'det -detail'!Q66</f>
        <v>0.56999999999999995</v>
      </c>
      <c r="I455" s="1406">
        <f t="shared" ref="I455" si="69">PRODUCT(D455:H455)</f>
        <v>2.2182119999999999</v>
      </c>
      <c r="J455" s="1397"/>
      <c r="K455" s="1397"/>
      <c r="L455" s="1397"/>
      <c r="Q455" s="1394">
        <f>IFERROR(VLOOKUP(M455,#REF!,3,0),0)</f>
        <v>0</v>
      </c>
      <c r="R455" s="1394">
        <f t="shared" si="62"/>
        <v>0</v>
      </c>
      <c r="S455" s="1394">
        <f>IFERROR(VLOOKUP(M455,#REF!,6,0),0)</f>
        <v>0</v>
      </c>
      <c r="T455" s="1394">
        <f t="shared" si="63"/>
        <v>0</v>
      </c>
      <c r="U455" s="1394">
        <f>IFERROR(VLOOKUP(M455,#REF!,5,0),0)</f>
        <v>0</v>
      </c>
      <c r="V455" s="1394">
        <f t="shared" si="64"/>
        <v>0</v>
      </c>
      <c r="W455" s="1394"/>
    </row>
    <row r="456" spans="1:24" ht="30" customHeight="1">
      <c r="A456" s="1397"/>
      <c r="B456" s="1407"/>
      <c r="C456" s="1408" t="str">
        <f>'det -detail'!B67</f>
        <v>D1 to F1 &amp; D2 to F2</v>
      </c>
      <c r="D456" s="1409">
        <f>'det -detail'!E67</f>
        <v>1</v>
      </c>
      <c r="E456" s="1409">
        <f>'det -detail'!F67</f>
        <v>2</v>
      </c>
      <c r="F456" s="1410">
        <f>'det -detail'!G67</f>
        <v>3.6549999999999998</v>
      </c>
      <c r="G456" s="1410">
        <f>'det -detail'!K67</f>
        <v>0.23</v>
      </c>
      <c r="H456" s="1411">
        <f>'det -detail'!Q67</f>
        <v>0.56999999999999995</v>
      </c>
      <c r="I456" s="1406">
        <f t="shared" ref="I456:I467" si="70">PRODUCT(D456:H456)</f>
        <v>0.95834099999999989</v>
      </c>
      <c r="J456" s="1397"/>
      <c r="K456" s="1397"/>
      <c r="L456" s="1397"/>
      <c r="Q456" s="1394">
        <f>IFERROR(VLOOKUP(M456,#REF!,3,0),0)</f>
        <v>0</v>
      </c>
      <c r="R456" s="1394">
        <f t="shared" si="62"/>
        <v>0</v>
      </c>
      <c r="S456" s="1394">
        <f>IFERROR(VLOOKUP(M456,#REF!,6,0),0)</f>
        <v>0</v>
      </c>
      <c r="T456" s="1394">
        <f t="shared" si="63"/>
        <v>0</v>
      </c>
      <c r="U456" s="1394">
        <f>IFERROR(VLOOKUP(M456,#REF!,5,0),0)</f>
        <v>0</v>
      </c>
      <c r="V456" s="1394">
        <f t="shared" si="64"/>
        <v>0</v>
      </c>
      <c r="W456" s="1394"/>
    </row>
    <row r="457" spans="1:24" ht="30" customHeight="1">
      <c r="A457" s="1397"/>
      <c r="B457" s="1407"/>
      <c r="C457" s="1408" t="str">
        <f>'det -detail'!B68</f>
        <v>B3 to F3</v>
      </c>
      <c r="D457" s="1409">
        <f>'det -detail'!E68</f>
        <v>1</v>
      </c>
      <c r="E457" s="1409">
        <f>'det -detail'!F68</f>
        <v>1</v>
      </c>
      <c r="F457" s="1410">
        <f>'det -detail'!G68</f>
        <v>6.8849999999999998</v>
      </c>
      <c r="G457" s="1410">
        <f>'det -detail'!K68</f>
        <v>0.23</v>
      </c>
      <c r="H457" s="1411">
        <f>'det -detail'!Q68</f>
        <v>0.56999999999999995</v>
      </c>
      <c r="I457" s="1406">
        <f t="shared" si="70"/>
        <v>0.90262349999999991</v>
      </c>
      <c r="J457" s="1397"/>
      <c r="K457" s="1397"/>
      <c r="L457" s="1397"/>
      <c r="Q457" s="1394">
        <f>IFERROR(VLOOKUP(M457,#REF!,3,0),0)</f>
        <v>0</v>
      </c>
      <c r="R457" s="1394">
        <f t="shared" si="62"/>
        <v>0</v>
      </c>
      <c r="S457" s="1394">
        <f>IFERROR(VLOOKUP(M457,#REF!,6,0),0)</f>
        <v>0</v>
      </c>
      <c r="T457" s="1394">
        <f t="shared" si="63"/>
        <v>0</v>
      </c>
      <c r="U457" s="1394">
        <f>IFERROR(VLOOKUP(M457,#REF!,5,0),0)</f>
        <v>0</v>
      </c>
      <c r="V457" s="1394">
        <f t="shared" si="64"/>
        <v>0</v>
      </c>
      <c r="W457" s="1394"/>
    </row>
    <row r="458" spans="1:24" ht="30" customHeight="1">
      <c r="A458" s="1397"/>
      <c r="B458" s="1407"/>
      <c r="C458" s="1408" t="str">
        <f>'det -detail'!B69</f>
        <v>F3 to H3</v>
      </c>
      <c r="D458" s="1409">
        <f>'det -detail'!E69</f>
        <v>1</v>
      </c>
      <c r="E458" s="1409">
        <f>'det -detail'!F69</f>
        <v>1</v>
      </c>
      <c r="F458" s="1410">
        <f>'det -detail'!G69</f>
        <v>7.46</v>
      </c>
      <c r="G458" s="1410">
        <f>'det -detail'!K69</f>
        <v>0.23</v>
      </c>
      <c r="H458" s="1411">
        <f>'det -detail'!Q69</f>
        <v>0.56999999999999995</v>
      </c>
      <c r="I458" s="1406">
        <f t="shared" si="70"/>
        <v>0.97800599999999993</v>
      </c>
      <c r="J458" s="1397"/>
      <c r="K458" s="1397"/>
      <c r="L458" s="1397"/>
      <c r="Q458" s="1394">
        <f>IFERROR(VLOOKUP(M458,#REF!,3,0),0)</f>
        <v>0</v>
      </c>
      <c r="R458" s="1394">
        <f t="shared" si="62"/>
        <v>0</v>
      </c>
      <c r="S458" s="1394">
        <f>IFERROR(VLOOKUP(M458,#REF!,6,0),0)</f>
        <v>0</v>
      </c>
      <c r="T458" s="1394">
        <f t="shared" si="63"/>
        <v>0</v>
      </c>
      <c r="U458" s="1394">
        <f>IFERROR(VLOOKUP(M458,#REF!,5,0),0)</f>
        <v>0</v>
      </c>
      <c r="V458" s="1394">
        <f t="shared" si="64"/>
        <v>0</v>
      </c>
      <c r="W458" s="1394"/>
    </row>
    <row r="459" spans="1:24" ht="30" customHeight="1">
      <c r="A459" s="1397"/>
      <c r="B459" s="1407"/>
      <c r="C459" s="1408" t="str">
        <f>'det -detail'!B70</f>
        <v>C4 to F4 , C5 to F5</v>
      </c>
      <c r="D459" s="1409">
        <f>'det -detail'!E70</f>
        <v>1</v>
      </c>
      <c r="E459" s="1409">
        <f>'det -detail'!F70</f>
        <v>2</v>
      </c>
      <c r="F459" s="1410">
        <f>'det -detail'!G70</f>
        <v>4.5549999999999997</v>
      </c>
      <c r="G459" s="1410">
        <f>'det -detail'!K70</f>
        <v>0.23</v>
      </c>
      <c r="H459" s="1411">
        <f>'det -detail'!Q70</f>
        <v>0.56999999999999995</v>
      </c>
      <c r="I459" s="1406">
        <f t="shared" si="70"/>
        <v>1.194321</v>
      </c>
      <c r="J459" s="1397"/>
      <c r="K459" s="1397"/>
      <c r="L459" s="1397"/>
      <c r="Q459" s="1394">
        <f>IFERROR(VLOOKUP(M459,#REF!,3,0),0)</f>
        <v>0</v>
      </c>
      <c r="R459" s="1394">
        <f t="shared" si="62"/>
        <v>0</v>
      </c>
      <c r="S459" s="1394">
        <f>IFERROR(VLOOKUP(M459,#REF!,6,0),0)</f>
        <v>0</v>
      </c>
      <c r="T459" s="1394">
        <f t="shared" si="63"/>
        <v>0</v>
      </c>
      <c r="U459" s="1394">
        <f>IFERROR(VLOOKUP(M459,#REF!,5,0),0)</f>
        <v>0</v>
      </c>
      <c r="V459" s="1394">
        <f t="shared" si="64"/>
        <v>0</v>
      </c>
      <c r="W459" s="1394"/>
    </row>
    <row r="460" spans="1:24" ht="30" customHeight="1">
      <c r="A460" s="1397"/>
      <c r="B460" s="1407"/>
      <c r="C460" s="1408" t="str">
        <f>'det -detail'!B71</f>
        <v>B4 to C4 , B5 to C5</v>
      </c>
      <c r="D460" s="1409">
        <f>'det -detail'!E71</f>
        <v>1</v>
      </c>
      <c r="E460" s="1409">
        <f>'det -detail'!F71</f>
        <v>2</v>
      </c>
      <c r="F460" s="1410">
        <f>'det -detail'!G71</f>
        <v>2.33</v>
      </c>
      <c r="G460" s="1410">
        <f>'det -detail'!K71</f>
        <v>0.23</v>
      </c>
      <c r="H460" s="1411">
        <f>'det -detail'!Q71</f>
        <v>0.56999999999999995</v>
      </c>
      <c r="I460" s="1406">
        <f t="shared" si="70"/>
        <v>0.61092599999999997</v>
      </c>
      <c r="J460" s="1397"/>
      <c r="K460" s="1397"/>
      <c r="L460" s="1397"/>
      <c r="Q460" s="1394">
        <f>IFERROR(VLOOKUP(M460,#REF!,3,0),0)</f>
        <v>0</v>
      </c>
      <c r="R460" s="1394">
        <f t="shared" si="62"/>
        <v>0</v>
      </c>
      <c r="S460" s="1394">
        <f>IFERROR(VLOOKUP(M460,#REF!,6,0),0)</f>
        <v>0</v>
      </c>
      <c r="T460" s="1394">
        <f t="shared" si="63"/>
        <v>0</v>
      </c>
      <c r="U460" s="1394">
        <f>IFERROR(VLOOKUP(M460,#REF!,5,0),0)</f>
        <v>0</v>
      </c>
      <c r="V460" s="1394">
        <f t="shared" si="64"/>
        <v>0</v>
      </c>
      <c r="W460" s="1394"/>
    </row>
    <row r="461" spans="1:24" ht="30" customHeight="1">
      <c r="A461" s="1397"/>
      <c r="B461" s="1407"/>
      <c r="C461" s="1408" t="str">
        <f>'det -detail'!B72</f>
        <v xml:space="preserve">F5 to G5 </v>
      </c>
      <c r="D461" s="1409">
        <f>'det -detail'!E72</f>
        <v>1</v>
      </c>
      <c r="E461" s="1409">
        <f>'det -detail'!F72</f>
        <v>1</v>
      </c>
      <c r="F461" s="1410">
        <f>'det -detail'!G72</f>
        <v>3.4649999999999999</v>
      </c>
      <c r="G461" s="1410">
        <f>'det -detail'!K72</f>
        <v>0.23</v>
      </c>
      <c r="H461" s="1411">
        <f>'det -detail'!Q72</f>
        <v>0.56999999999999995</v>
      </c>
      <c r="I461" s="1406">
        <f t="shared" si="70"/>
        <v>0.45426149999999998</v>
      </c>
      <c r="J461" s="1397"/>
      <c r="K461" s="1397"/>
      <c r="L461" s="1397"/>
      <c r="Q461" s="1394">
        <f>IFERROR(VLOOKUP(M461,#REF!,3,0),0)</f>
        <v>0</v>
      </c>
      <c r="R461" s="1394">
        <f t="shared" si="62"/>
        <v>0</v>
      </c>
      <c r="S461" s="1394">
        <f>IFERROR(VLOOKUP(M461,#REF!,6,0),0)</f>
        <v>0</v>
      </c>
      <c r="T461" s="1394">
        <f t="shared" si="63"/>
        <v>0</v>
      </c>
      <c r="U461" s="1394">
        <f>IFERROR(VLOOKUP(M461,#REF!,5,0),0)</f>
        <v>0</v>
      </c>
      <c r="V461" s="1394">
        <f t="shared" si="64"/>
        <v>0</v>
      </c>
      <c r="W461" s="1394"/>
    </row>
    <row r="462" spans="1:24" ht="30" customHeight="1">
      <c r="A462" s="1397"/>
      <c r="B462" s="1407"/>
      <c r="C462" s="1408" t="str">
        <f>'det -detail'!B73</f>
        <v xml:space="preserve">G5 to H5 </v>
      </c>
      <c r="D462" s="1409">
        <f>'det -detail'!E73</f>
        <v>1</v>
      </c>
      <c r="E462" s="1409">
        <f>'det -detail'!F73</f>
        <v>1</v>
      </c>
      <c r="F462" s="1410">
        <f>'det -detail'!G73</f>
        <v>3.9950000000000001</v>
      </c>
      <c r="G462" s="1410">
        <f>'det -detail'!K73</f>
        <v>0.23</v>
      </c>
      <c r="H462" s="1411">
        <f>'det -detail'!Q73</f>
        <v>0.56999999999999995</v>
      </c>
      <c r="I462" s="1406">
        <f t="shared" si="70"/>
        <v>0.52374449999999995</v>
      </c>
      <c r="J462" s="1397"/>
      <c r="K462" s="1397"/>
      <c r="L462" s="1397"/>
      <c r="Q462" s="1394">
        <f>IFERROR(VLOOKUP(M462,#REF!,3,0),0)</f>
        <v>0</v>
      </c>
      <c r="R462" s="1394">
        <f t="shared" si="62"/>
        <v>0</v>
      </c>
      <c r="S462" s="1394">
        <f>IFERROR(VLOOKUP(M462,#REF!,6,0),0)</f>
        <v>0</v>
      </c>
      <c r="T462" s="1394">
        <f t="shared" si="63"/>
        <v>0</v>
      </c>
      <c r="U462" s="1394">
        <f>IFERROR(VLOOKUP(M462,#REF!,5,0),0)</f>
        <v>0</v>
      </c>
      <c r="V462" s="1394">
        <f t="shared" si="64"/>
        <v>0</v>
      </c>
      <c r="W462" s="1394"/>
    </row>
    <row r="463" spans="1:24" ht="30" customHeight="1">
      <c r="A463" s="1397"/>
      <c r="B463" s="1407"/>
      <c r="C463" s="1408" t="str">
        <f>'det -detail'!B74</f>
        <v>B6' to D6'</v>
      </c>
      <c r="D463" s="1409">
        <f>'det -detail'!E74</f>
        <v>1</v>
      </c>
      <c r="E463" s="1409">
        <f>'det -detail'!F74</f>
        <v>1</v>
      </c>
      <c r="F463" s="1410">
        <f>'det -detail'!G74</f>
        <v>3.125</v>
      </c>
      <c r="G463" s="1410">
        <f>'det -detail'!K74</f>
        <v>0.23</v>
      </c>
      <c r="H463" s="1411">
        <f>'det -detail'!Q74</f>
        <v>0.56999999999999995</v>
      </c>
      <c r="I463" s="1406">
        <f t="shared" si="70"/>
        <v>0.40968749999999998</v>
      </c>
      <c r="J463" s="1397"/>
      <c r="K463" s="1397"/>
      <c r="L463" s="1397"/>
      <c r="Q463" s="1394">
        <f>IFERROR(VLOOKUP(M463,#REF!,3,0),0)</f>
        <v>0</v>
      </c>
      <c r="R463" s="1394">
        <f t="shared" si="62"/>
        <v>0</v>
      </c>
      <c r="S463" s="1394">
        <f>IFERROR(VLOOKUP(M463,#REF!,6,0),0)</f>
        <v>0</v>
      </c>
      <c r="T463" s="1394">
        <f t="shared" si="63"/>
        <v>0</v>
      </c>
      <c r="U463" s="1394">
        <f>IFERROR(VLOOKUP(M463,#REF!,5,0),0)</f>
        <v>0</v>
      </c>
      <c r="V463" s="1394">
        <f t="shared" si="64"/>
        <v>0</v>
      </c>
      <c r="W463" s="1394"/>
    </row>
    <row r="464" spans="1:24" ht="30" customHeight="1">
      <c r="A464" s="1397"/>
      <c r="B464" s="1407"/>
      <c r="C464" s="1408" t="str">
        <f>'det -detail'!B75</f>
        <v>G6 to H6</v>
      </c>
      <c r="D464" s="1409">
        <f>'det -detail'!E75</f>
        <v>1</v>
      </c>
      <c r="E464" s="1409">
        <f>'det -detail'!F75</f>
        <v>1</v>
      </c>
      <c r="F464" s="1410">
        <f>'det -detail'!G75</f>
        <v>4.2300000000000004</v>
      </c>
      <c r="G464" s="1410">
        <f>'det -detail'!K75</f>
        <v>0.23</v>
      </c>
      <c r="H464" s="1411">
        <f>'det -detail'!Q75</f>
        <v>0.56999999999999995</v>
      </c>
      <c r="I464" s="1406">
        <f t="shared" si="70"/>
        <v>0.55455299999999996</v>
      </c>
      <c r="J464" s="1397"/>
      <c r="K464" s="1397"/>
      <c r="L464" s="1397"/>
      <c r="Q464" s="1394">
        <f>IFERROR(VLOOKUP(M464,#REF!,3,0),0)</f>
        <v>0</v>
      </c>
      <c r="R464" s="1394">
        <f t="shared" si="62"/>
        <v>0</v>
      </c>
      <c r="S464" s="1394">
        <f>IFERROR(VLOOKUP(M464,#REF!,6,0),0)</f>
        <v>0</v>
      </c>
      <c r="T464" s="1394">
        <f t="shared" si="63"/>
        <v>0</v>
      </c>
      <c r="U464" s="1394">
        <f>IFERROR(VLOOKUP(M464,#REF!,5,0),0)</f>
        <v>0</v>
      </c>
      <c r="V464" s="1394">
        <f t="shared" si="64"/>
        <v>0</v>
      </c>
      <c r="W464" s="1394"/>
    </row>
    <row r="465" spans="1:23" ht="30" customHeight="1">
      <c r="A465" s="1397"/>
      <c r="B465" s="1407"/>
      <c r="C465" s="1408" t="str">
        <f>'det -detail'!B76</f>
        <v>B7 to E7</v>
      </c>
      <c r="D465" s="1409">
        <f>'det -detail'!E76</f>
        <v>1</v>
      </c>
      <c r="E465" s="1409">
        <f>'det -detail'!F76</f>
        <v>1</v>
      </c>
      <c r="F465" s="1410">
        <f>'det -detail'!G76</f>
        <v>5.6549999999999994</v>
      </c>
      <c r="G465" s="1410">
        <f>'det -detail'!K76</f>
        <v>0.23</v>
      </c>
      <c r="H465" s="1411">
        <f>'det -detail'!Q76</f>
        <v>0.56999999999999995</v>
      </c>
      <c r="I465" s="1406">
        <f t="shared" si="70"/>
        <v>0.74137049999999982</v>
      </c>
      <c r="J465" s="1397"/>
      <c r="K465" s="1397"/>
      <c r="L465" s="1397"/>
      <c r="Q465" s="1394">
        <f>IFERROR(VLOOKUP(M465,#REF!,3,0),0)</f>
        <v>0</v>
      </c>
      <c r="R465" s="1394">
        <f t="shared" si="62"/>
        <v>0</v>
      </c>
      <c r="S465" s="1394">
        <f>IFERROR(VLOOKUP(M465,#REF!,6,0),0)</f>
        <v>0</v>
      </c>
      <c r="T465" s="1394">
        <f t="shared" si="63"/>
        <v>0</v>
      </c>
      <c r="U465" s="1394">
        <f>IFERROR(VLOOKUP(M465,#REF!,5,0),0)</f>
        <v>0</v>
      </c>
      <c r="V465" s="1394">
        <f t="shared" si="64"/>
        <v>0</v>
      </c>
      <c r="W465" s="1394"/>
    </row>
    <row r="466" spans="1:23" ht="30" customHeight="1">
      <c r="A466" s="1397"/>
      <c r="B466" s="1407"/>
      <c r="C466" s="1408" t="str">
        <f>'det -detail'!B77</f>
        <v>E7 to H7</v>
      </c>
      <c r="D466" s="1409">
        <f>'det -detail'!E77</f>
        <v>1</v>
      </c>
      <c r="E466" s="1409">
        <f>'det -detail'!F77</f>
        <v>1</v>
      </c>
      <c r="F466" s="1410">
        <f>'det -detail'!G77</f>
        <v>8.6900000000000013</v>
      </c>
      <c r="G466" s="1410">
        <f>'det -detail'!K77</f>
        <v>0.23</v>
      </c>
      <c r="H466" s="1411">
        <f>'det -detail'!Q77</f>
        <v>0.56999999999999995</v>
      </c>
      <c r="I466" s="1406">
        <f t="shared" si="70"/>
        <v>1.139259</v>
      </c>
      <c r="J466" s="1397"/>
      <c r="K466" s="1397"/>
      <c r="L466" s="1397"/>
      <c r="Q466" s="1394">
        <f>IFERROR(VLOOKUP(M466,#REF!,3,0),0)</f>
        <v>0</v>
      </c>
      <c r="R466" s="1394">
        <f t="shared" si="62"/>
        <v>0</v>
      </c>
      <c r="S466" s="1394">
        <f>IFERROR(VLOOKUP(M466,#REF!,6,0),0)</f>
        <v>0</v>
      </c>
      <c r="T466" s="1394">
        <f t="shared" si="63"/>
        <v>0</v>
      </c>
      <c r="U466" s="1394">
        <f>IFERROR(VLOOKUP(M466,#REF!,5,0),0)</f>
        <v>0</v>
      </c>
      <c r="V466" s="1394">
        <f t="shared" si="64"/>
        <v>0</v>
      </c>
      <c r="W466" s="1394"/>
    </row>
    <row r="467" spans="1:23" ht="30" customHeight="1">
      <c r="A467" s="1397"/>
      <c r="B467" s="1407"/>
      <c r="C467" s="1408" t="str">
        <f>'det -detail'!B78</f>
        <v>A8 to H8</v>
      </c>
      <c r="D467" s="1409">
        <f>'det -detail'!E78</f>
        <v>1</v>
      </c>
      <c r="E467" s="1409">
        <f>'det -detail'!F78</f>
        <v>1</v>
      </c>
      <c r="F467" s="1410">
        <f>'det -detail'!G78</f>
        <v>18.575000000000003</v>
      </c>
      <c r="G467" s="1410">
        <f>'det -detail'!K78</f>
        <v>0.23</v>
      </c>
      <c r="H467" s="1411">
        <f>'det -detail'!Q78</f>
        <v>0.56999999999999995</v>
      </c>
      <c r="I467" s="1406">
        <f t="shared" si="70"/>
        <v>2.4351825000000002</v>
      </c>
      <c r="J467" s="1397"/>
      <c r="K467" s="1397"/>
      <c r="L467" s="1397"/>
      <c r="Q467" s="1394">
        <f>IFERROR(VLOOKUP(M467,#REF!,3,0),0)</f>
        <v>0</v>
      </c>
      <c r="R467" s="1394">
        <f t="shared" si="62"/>
        <v>0</v>
      </c>
      <c r="S467" s="1394">
        <f>IFERROR(VLOOKUP(M467,#REF!,6,0),0)</f>
        <v>0</v>
      </c>
      <c r="T467" s="1394">
        <f t="shared" si="63"/>
        <v>0</v>
      </c>
      <c r="U467" s="1394">
        <f>IFERROR(VLOOKUP(M467,#REF!,5,0),0)</f>
        <v>0</v>
      </c>
      <c r="V467" s="1394">
        <f t="shared" si="64"/>
        <v>0</v>
      </c>
      <c r="W467" s="1394"/>
    </row>
    <row r="468" spans="1:23" ht="30" hidden="1" customHeight="1">
      <c r="A468" s="1397"/>
      <c r="B468" s="1407"/>
      <c r="C468" s="1408">
        <f>'det -detail'!B79</f>
        <v>0</v>
      </c>
      <c r="D468" s="1409">
        <f>'det -detail'!E79</f>
        <v>0</v>
      </c>
      <c r="E468" s="1409">
        <f>'det -detail'!F79</f>
        <v>0</v>
      </c>
      <c r="F468" s="1410">
        <f>'det -detail'!G79</f>
        <v>0</v>
      </c>
      <c r="G468" s="1410">
        <f>'det -detail'!K79</f>
        <v>0</v>
      </c>
      <c r="H468" s="1411">
        <f>'det -detail'!Q79</f>
        <v>0</v>
      </c>
      <c r="I468" s="1406">
        <f t="shared" ref="I468:I471" si="71">PRODUCT(D468:H468)</f>
        <v>0</v>
      </c>
      <c r="J468" s="1397"/>
      <c r="K468" s="1397"/>
      <c r="L468" s="1397"/>
      <c r="Q468" s="1394">
        <f>IFERROR(VLOOKUP(M468,#REF!,3,0),0)</f>
        <v>0</v>
      </c>
      <c r="R468" s="1394">
        <f t="shared" si="62"/>
        <v>0</v>
      </c>
      <c r="S468" s="1394">
        <f>IFERROR(VLOOKUP(M468,#REF!,6,0),0)</f>
        <v>0</v>
      </c>
      <c r="T468" s="1394">
        <f t="shared" si="63"/>
        <v>0</v>
      </c>
      <c r="U468" s="1394">
        <f>IFERROR(VLOOKUP(M468,#REF!,5,0),0)</f>
        <v>0</v>
      </c>
      <c r="V468" s="1394">
        <f t="shared" si="64"/>
        <v>0</v>
      </c>
      <c r="W468" s="1394"/>
    </row>
    <row r="469" spans="1:23" ht="30" customHeight="1">
      <c r="A469" s="1397"/>
      <c r="B469" s="1407"/>
      <c r="C469" s="1408">
        <f>'det -detail'!B80</f>
        <v>0</v>
      </c>
      <c r="D469" s="1409">
        <f>'det -detail'!E80</f>
        <v>0</v>
      </c>
      <c r="E469" s="1409">
        <f>'det -detail'!F80</f>
        <v>0</v>
      </c>
      <c r="F469" s="1410">
        <f>'det -detail'!G80</f>
        <v>0</v>
      </c>
      <c r="G469" s="1410">
        <f>'det -detail'!K80</f>
        <v>0</v>
      </c>
      <c r="H469" s="1411">
        <f>'det -detail'!Q80</f>
        <v>0</v>
      </c>
      <c r="I469" s="1406">
        <f t="shared" si="71"/>
        <v>0</v>
      </c>
      <c r="J469" s="1397"/>
      <c r="K469" s="1397"/>
      <c r="L469" s="1397"/>
      <c r="Q469" s="1394">
        <f>IFERROR(VLOOKUP(M469,#REF!,3,0),0)</f>
        <v>0</v>
      </c>
      <c r="R469" s="1394">
        <f t="shared" si="62"/>
        <v>0</v>
      </c>
      <c r="S469" s="1394">
        <f>IFERROR(VLOOKUP(M469,#REF!,6,0),0)</f>
        <v>0</v>
      </c>
      <c r="T469" s="1394">
        <f t="shared" si="63"/>
        <v>0</v>
      </c>
      <c r="U469" s="1394">
        <f>IFERROR(VLOOKUP(M469,#REF!,5,0),0)</f>
        <v>0</v>
      </c>
      <c r="V469" s="1394">
        <f t="shared" si="64"/>
        <v>0</v>
      </c>
      <c r="W469" s="1394"/>
    </row>
    <row r="470" spans="1:23" ht="30" customHeight="1">
      <c r="A470" s="1397"/>
      <c r="B470" s="1407"/>
      <c r="C470" s="1415" t="str">
        <f>'det -detail'!B81</f>
        <v>-Y- Direction</v>
      </c>
      <c r="D470" s="1409">
        <f>'det -detail'!E81</f>
        <v>0</v>
      </c>
      <c r="E470" s="1409">
        <f>'det -detail'!F81</f>
        <v>0</v>
      </c>
      <c r="F470" s="1410">
        <f>'det -detail'!G81</f>
        <v>0</v>
      </c>
      <c r="G470" s="1410">
        <f>'det -detail'!K81</f>
        <v>0</v>
      </c>
      <c r="H470" s="1411">
        <f>'det -detail'!Q81</f>
        <v>0</v>
      </c>
      <c r="I470" s="1406">
        <f t="shared" si="71"/>
        <v>0</v>
      </c>
      <c r="J470" s="1397"/>
      <c r="K470" s="1397"/>
      <c r="L470" s="1397"/>
      <c r="Q470" s="1394">
        <f>IFERROR(VLOOKUP(M470,#REF!,3,0),0)</f>
        <v>0</v>
      </c>
      <c r="R470" s="1394">
        <f t="shared" si="62"/>
        <v>0</v>
      </c>
      <c r="S470" s="1394">
        <f>IFERROR(VLOOKUP(M470,#REF!,6,0),0)</f>
        <v>0</v>
      </c>
      <c r="T470" s="1394">
        <f t="shared" si="63"/>
        <v>0</v>
      </c>
      <c r="U470" s="1394">
        <f>IFERROR(VLOOKUP(M470,#REF!,5,0),0)</f>
        <v>0</v>
      </c>
      <c r="V470" s="1394">
        <f t="shared" si="64"/>
        <v>0</v>
      </c>
      <c r="W470" s="1394"/>
    </row>
    <row r="471" spans="1:23" ht="30" customHeight="1">
      <c r="A471" s="1397"/>
      <c r="B471" s="1407"/>
      <c r="C471" s="1408" t="str">
        <f>'det -detail'!B82</f>
        <v>D1 to D3 &amp; F1 to F3</v>
      </c>
      <c r="D471" s="1409">
        <f>'det -detail'!E82</f>
        <v>1</v>
      </c>
      <c r="E471" s="1409">
        <f>'det -detail'!F82</f>
        <v>2</v>
      </c>
      <c r="F471" s="1410">
        <f>'det -detail'!G82</f>
        <v>4.6899999999999995</v>
      </c>
      <c r="G471" s="1410">
        <f>'det -detail'!K82</f>
        <v>0.23</v>
      </c>
      <c r="H471" s="1411">
        <f>'det -detail'!Q82</f>
        <v>0.56999999999999995</v>
      </c>
      <c r="I471" s="1406">
        <f t="shared" si="71"/>
        <v>1.2297179999999999</v>
      </c>
      <c r="J471" s="1397"/>
      <c r="K471" s="1397"/>
      <c r="L471" s="1397"/>
      <c r="Q471" s="1394">
        <f>IFERROR(VLOOKUP(M471,#REF!,3,0),0)</f>
        <v>0</v>
      </c>
      <c r="R471" s="1394">
        <f t="shared" si="62"/>
        <v>0</v>
      </c>
      <c r="S471" s="1394">
        <f>IFERROR(VLOOKUP(M471,#REF!,6,0),0)</f>
        <v>0</v>
      </c>
      <c r="T471" s="1394">
        <f t="shared" si="63"/>
        <v>0</v>
      </c>
      <c r="U471" s="1394">
        <f>IFERROR(VLOOKUP(M471,#REF!,5,0),0)</f>
        <v>0</v>
      </c>
      <c r="V471" s="1394">
        <f t="shared" si="64"/>
        <v>0</v>
      </c>
      <c r="W471" s="1394"/>
    </row>
    <row r="472" spans="1:23" ht="30" customHeight="1">
      <c r="A472" s="1397"/>
      <c r="B472" s="1407"/>
      <c r="C472" s="1408" t="str">
        <f>'det -detail'!B83</f>
        <v>A3 to A8 ,B3 to B8 &amp; H3 to H8</v>
      </c>
      <c r="D472" s="1409">
        <f>'det -detail'!E83</f>
        <v>1</v>
      </c>
      <c r="E472" s="1409">
        <f>'det -detail'!F83</f>
        <v>3</v>
      </c>
      <c r="F472" s="1410">
        <f>'det -detail'!G83</f>
        <v>15.649999999999999</v>
      </c>
      <c r="G472" s="1410">
        <f>'det -detail'!K83</f>
        <v>0.23</v>
      </c>
      <c r="H472" s="1411">
        <f>'det -detail'!Q83</f>
        <v>0.56999999999999995</v>
      </c>
      <c r="I472" s="1406">
        <f t="shared" ref="I472:I476" si="72">PRODUCT(D472:H472)</f>
        <v>6.1551449999999992</v>
      </c>
      <c r="J472" s="1397"/>
      <c r="K472" s="1397"/>
      <c r="L472" s="1397"/>
      <c r="Q472" s="1394">
        <f>IFERROR(VLOOKUP(M472,#REF!,3,0),0)</f>
        <v>0</v>
      </c>
      <c r="R472" s="1394">
        <f t="shared" si="62"/>
        <v>0</v>
      </c>
      <c r="S472" s="1394">
        <f>IFERROR(VLOOKUP(M472,#REF!,6,0),0)</f>
        <v>0</v>
      </c>
      <c r="T472" s="1394">
        <f t="shared" si="63"/>
        <v>0</v>
      </c>
      <c r="U472" s="1394">
        <f>IFERROR(VLOOKUP(M472,#REF!,5,0),0)</f>
        <v>0</v>
      </c>
      <c r="V472" s="1394">
        <f t="shared" si="64"/>
        <v>0</v>
      </c>
      <c r="W472" s="1394"/>
    </row>
    <row r="473" spans="1:23" ht="30" customHeight="1">
      <c r="A473" s="1397"/>
      <c r="B473" s="1407"/>
      <c r="C473" s="1408" t="str">
        <f>'det -detail'!B84</f>
        <v>D5 to D7</v>
      </c>
      <c r="D473" s="1409">
        <f>'det -detail'!E84</f>
        <v>1</v>
      </c>
      <c r="E473" s="1409">
        <f>'det -detail'!F84</f>
        <v>1</v>
      </c>
      <c r="F473" s="1410">
        <f>'det -detail'!G84</f>
        <v>5.99</v>
      </c>
      <c r="G473" s="1410">
        <f>'det -detail'!K84</f>
        <v>0.23</v>
      </c>
      <c r="H473" s="1411">
        <f>'det -detail'!Q84</f>
        <v>0.56999999999999995</v>
      </c>
      <c r="I473" s="1406">
        <f t="shared" si="72"/>
        <v>0.78528900000000001</v>
      </c>
      <c r="J473" s="1397"/>
      <c r="K473" s="1397"/>
      <c r="L473" s="1397"/>
      <c r="Q473" s="1394">
        <f>IFERROR(VLOOKUP(M473,#REF!,3,0),0)</f>
        <v>0</v>
      </c>
      <c r="R473" s="1394">
        <f t="shared" si="62"/>
        <v>0</v>
      </c>
      <c r="S473" s="1394">
        <f>IFERROR(VLOOKUP(M473,#REF!,6,0),0)</f>
        <v>0</v>
      </c>
      <c r="T473" s="1394">
        <f t="shared" si="63"/>
        <v>0</v>
      </c>
      <c r="U473" s="1394">
        <f>IFERROR(VLOOKUP(M473,#REF!,5,0),0)</f>
        <v>0</v>
      </c>
      <c r="V473" s="1394">
        <f t="shared" si="64"/>
        <v>0</v>
      </c>
      <c r="W473" s="1394"/>
    </row>
    <row r="474" spans="1:23" ht="30" customHeight="1">
      <c r="A474" s="1397"/>
      <c r="B474" s="1407"/>
      <c r="C474" s="1408" t="str">
        <f>'det -detail'!B85</f>
        <v>E7 to E8 &amp; G7 to G8</v>
      </c>
      <c r="D474" s="1409">
        <f>'det -detail'!E85</f>
        <v>1</v>
      </c>
      <c r="E474" s="1409">
        <f>'det -detail'!F85</f>
        <v>2</v>
      </c>
      <c r="F474" s="1410">
        <f>'det -detail'!G85</f>
        <v>4.13</v>
      </c>
      <c r="G474" s="1410">
        <f>'det -detail'!K85</f>
        <v>0.23</v>
      </c>
      <c r="H474" s="1411">
        <f>'det -detail'!Q85</f>
        <v>0.56999999999999995</v>
      </c>
      <c r="I474" s="1406">
        <f t="shared" si="72"/>
        <v>1.0828859999999998</v>
      </c>
      <c r="J474" s="1397"/>
      <c r="K474" s="1397"/>
      <c r="L474" s="1397"/>
      <c r="Q474" s="1394">
        <f>IFERROR(VLOOKUP(M474,#REF!,3,0),0)</f>
        <v>0</v>
      </c>
      <c r="R474" s="1394">
        <f t="shared" si="62"/>
        <v>0</v>
      </c>
      <c r="S474" s="1394">
        <f>IFERROR(VLOOKUP(M474,#REF!,6,0),0)</f>
        <v>0</v>
      </c>
      <c r="T474" s="1394">
        <f t="shared" si="63"/>
        <v>0</v>
      </c>
      <c r="U474" s="1394">
        <f>IFERROR(VLOOKUP(M474,#REF!,5,0),0)</f>
        <v>0</v>
      </c>
      <c r="V474" s="1394">
        <f t="shared" si="64"/>
        <v>0</v>
      </c>
      <c r="W474" s="1394"/>
    </row>
    <row r="475" spans="1:23" ht="30" customHeight="1">
      <c r="A475" s="1397"/>
      <c r="B475" s="1407"/>
      <c r="C475" s="1408" t="str">
        <f>'det -detail'!B86</f>
        <v>F3 To F5</v>
      </c>
      <c r="D475" s="1409">
        <f>'det -detail'!E86</f>
        <v>1</v>
      </c>
      <c r="E475" s="1409">
        <f>'det -detail'!F86</f>
        <v>1</v>
      </c>
      <c r="F475" s="1410">
        <f>'det -detail'!G86</f>
        <v>5.5299999999999994</v>
      </c>
      <c r="G475" s="1410">
        <f>'det -detail'!K86</f>
        <v>0.23</v>
      </c>
      <c r="H475" s="1411">
        <f>'det -detail'!Q86</f>
        <v>0.56999999999999995</v>
      </c>
      <c r="I475" s="1406">
        <f t="shared" si="72"/>
        <v>0.72498299999999982</v>
      </c>
      <c r="J475" s="1397"/>
      <c r="K475" s="1397"/>
      <c r="L475" s="1397"/>
      <c r="Q475" s="1394">
        <f>IFERROR(VLOOKUP(M475,#REF!,3,0),0)</f>
        <v>0</v>
      </c>
      <c r="R475" s="1394">
        <f t="shared" si="62"/>
        <v>0</v>
      </c>
      <c r="S475" s="1394">
        <f>IFERROR(VLOOKUP(M475,#REF!,6,0),0)</f>
        <v>0</v>
      </c>
      <c r="T475" s="1394">
        <f t="shared" si="63"/>
        <v>0</v>
      </c>
      <c r="U475" s="1394">
        <f>IFERROR(VLOOKUP(M475,#REF!,5,0),0)</f>
        <v>0</v>
      </c>
      <c r="V475" s="1394">
        <f t="shared" si="64"/>
        <v>0</v>
      </c>
      <c r="W475" s="1394"/>
    </row>
    <row r="476" spans="1:23" ht="30" customHeight="1">
      <c r="A476" s="1397"/>
      <c r="B476" s="1407"/>
      <c r="C476" s="1408" t="str">
        <f>'det -detail'!B87</f>
        <v>G5 to G7</v>
      </c>
      <c r="D476" s="1409">
        <f>'det -detail'!E87</f>
        <v>1</v>
      </c>
      <c r="E476" s="1409">
        <f>'det -detail'!F87</f>
        <v>1</v>
      </c>
      <c r="F476" s="1410">
        <f>'det -detail'!G87</f>
        <v>5.99</v>
      </c>
      <c r="G476" s="1410">
        <f>'det -detail'!K87</f>
        <v>0.23</v>
      </c>
      <c r="H476" s="1411">
        <f>'det -detail'!Q87</f>
        <v>0.56999999999999995</v>
      </c>
      <c r="I476" s="1406">
        <f t="shared" si="72"/>
        <v>0.78528900000000001</v>
      </c>
      <c r="J476" s="1397"/>
      <c r="K476" s="1397"/>
      <c r="L476" s="1397"/>
      <c r="Q476" s="1394">
        <f>IFERROR(VLOOKUP(M476,#REF!,3,0),0)</f>
        <v>0</v>
      </c>
      <c r="R476" s="1394">
        <f t="shared" si="62"/>
        <v>0</v>
      </c>
      <c r="S476" s="1394">
        <f>IFERROR(VLOOKUP(M476,#REF!,6,0),0)</f>
        <v>0</v>
      </c>
      <c r="T476" s="1394">
        <f t="shared" si="63"/>
        <v>0</v>
      </c>
      <c r="U476" s="1394">
        <f>IFERROR(VLOOKUP(M476,#REF!,5,0),0)</f>
        <v>0</v>
      </c>
      <c r="V476" s="1394">
        <f t="shared" si="64"/>
        <v>0</v>
      </c>
      <c r="W476" s="1394"/>
    </row>
    <row r="477" spans="1:23" ht="30" customHeight="1">
      <c r="A477" s="1397"/>
      <c r="B477" s="1407"/>
      <c r="C477" s="1408" t="s">
        <v>288</v>
      </c>
      <c r="D477" s="1409"/>
      <c r="E477" s="1409"/>
      <c r="F477" s="1410"/>
      <c r="G477" s="1410"/>
      <c r="H477" s="1411"/>
      <c r="I477" s="1406">
        <f>-L444</f>
        <v>-3.6996099999999998</v>
      </c>
      <c r="J477" s="1397"/>
      <c r="K477" s="1397"/>
      <c r="L477" s="1397"/>
      <c r="Q477" s="1394">
        <f>IFERROR(VLOOKUP(M477,#REF!,3,0),0)</f>
        <v>0</v>
      </c>
      <c r="R477" s="1394">
        <f t="shared" si="62"/>
        <v>0</v>
      </c>
      <c r="S477" s="1394">
        <f>IFERROR(VLOOKUP(M477,#REF!,6,0),0)</f>
        <v>0</v>
      </c>
      <c r="T477" s="1394">
        <f t="shared" si="63"/>
        <v>0</v>
      </c>
      <c r="U477" s="1394">
        <f>IFERROR(VLOOKUP(M477,#REF!,5,0),0)</f>
        <v>0</v>
      </c>
      <c r="V477" s="1394">
        <f t="shared" si="64"/>
        <v>0</v>
      </c>
      <c r="W477" s="1394"/>
    </row>
    <row r="478" spans="1:23" ht="30" customHeight="1">
      <c r="A478" s="1397"/>
      <c r="B478" s="1407"/>
      <c r="C478" s="1408" t="s">
        <v>289</v>
      </c>
      <c r="D478" s="1409"/>
      <c r="E478" s="1409"/>
      <c r="F478" s="1410"/>
      <c r="G478" s="1410"/>
      <c r="H478" s="1411"/>
      <c r="I478" s="1406">
        <f>PRODUCT(D478:H478)</f>
        <v>0</v>
      </c>
      <c r="J478" s="1397"/>
      <c r="K478" s="1397"/>
      <c r="L478" s="1397"/>
      <c r="Q478" s="1394">
        <f>IFERROR(VLOOKUP(M478,#REF!,3,0),0)</f>
        <v>0</v>
      </c>
      <c r="R478" s="1394">
        <f t="shared" si="62"/>
        <v>0</v>
      </c>
      <c r="S478" s="1394">
        <f>IFERROR(VLOOKUP(M478,#REF!,6,0),0)</f>
        <v>0</v>
      </c>
      <c r="T478" s="1394">
        <f t="shared" si="63"/>
        <v>0</v>
      </c>
      <c r="U478" s="1394">
        <f>IFERROR(VLOOKUP(M478,#REF!,5,0),0)</f>
        <v>0</v>
      </c>
      <c r="V478" s="1394">
        <f t="shared" si="64"/>
        <v>0</v>
      </c>
      <c r="W478" s="1394"/>
    </row>
    <row r="479" spans="1:23" ht="30" customHeight="1">
      <c r="A479" s="1397"/>
      <c r="B479" s="1407"/>
      <c r="C479" s="1442" t="s">
        <v>290</v>
      </c>
      <c r="D479" s="1443">
        <v>1</v>
      </c>
      <c r="E479" s="1443">
        <v>1</v>
      </c>
      <c r="F479" s="1444">
        <f>'Main Building Details'!F296</f>
        <v>3.2250000000000001</v>
      </c>
      <c r="G479" s="1444">
        <v>0.9</v>
      </c>
      <c r="H479" s="1445">
        <v>0.15</v>
      </c>
      <c r="I479" s="1406">
        <f>PRODUCT(D479:H479)</f>
        <v>0.43537500000000001</v>
      </c>
      <c r="J479" s="1397"/>
      <c r="K479" s="1397"/>
      <c r="L479" s="1397"/>
      <c r="Q479" s="1394">
        <f>IFERROR(VLOOKUP(M479,#REF!,3,0),0)</f>
        <v>0</v>
      </c>
      <c r="R479" s="1394">
        <f t="shared" si="62"/>
        <v>0</v>
      </c>
      <c r="S479" s="1394">
        <f>IFERROR(VLOOKUP(M479,#REF!,6,0),0)</f>
        <v>0</v>
      </c>
      <c r="T479" s="1394">
        <f t="shared" si="63"/>
        <v>0</v>
      </c>
      <c r="U479" s="1394">
        <f>IFERROR(VLOOKUP(M479,#REF!,5,0),0)</f>
        <v>0</v>
      </c>
      <c r="V479" s="1394">
        <f t="shared" si="64"/>
        <v>0</v>
      </c>
      <c r="W479" s="1394"/>
    </row>
    <row r="480" spans="1:23" ht="30" customHeight="1">
      <c r="A480" s="1397"/>
      <c r="B480" s="1407"/>
      <c r="C480" s="1442" t="s">
        <v>291</v>
      </c>
      <c r="D480" s="1443">
        <v>1</v>
      </c>
      <c r="E480" s="1443">
        <v>1</v>
      </c>
      <c r="F480" s="1444">
        <f>F479</f>
        <v>3.2250000000000001</v>
      </c>
      <c r="G480" s="1444">
        <f>G479-0.3</f>
        <v>0.60000000000000009</v>
      </c>
      <c r="H480" s="1445">
        <v>0.15</v>
      </c>
      <c r="I480" s="1406">
        <f>PRODUCT(D480:H480)</f>
        <v>0.29025000000000001</v>
      </c>
      <c r="J480" s="1397"/>
      <c r="K480" s="1397"/>
      <c r="L480" s="1397"/>
      <c r="Q480" s="1394">
        <f>IFERROR(VLOOKUP(M480,#REF!,3,0),0)</f>
        <v>0</v>
      </c>
      <c r="R480" s="1394">
        <f t="shared" si="62"/>
        <v>0</v>
      </c>
      <c r="S480" s="1394">
        <f>IFERROR(VLOOKUP(M480,#REF!,6,0),0)</f>
        <v>0</v>
      </c>
      <c r="T480" s="1394">
        <f t="shared" si="63"/>
        <v>0</v>
      </c>
      <c r="U480" s="1394">
        <f>IFERROR(VLOOKUP(M480,#REF!,5,0),0)</f>
        <v>0</v>
      </c>
      <c r="V480" s="1394">
        <f t="shared" si="64"/>
        <v>0</v>
      </c>
      <c r="W480" s="1394"/>
    </row>
    <row r="481" spans="1:23" ht="30" customHeight="1">
      <c r="A481" s="1397"/>
      <c r="B481" s="1407"/>
      <c r="C481" s="1442" t="s">
        <v>292</v>
      </c>
      <c r="D481" s="1443">
        <v>1</v>
      </c>
      <c r="E481" s="1443">
        <v>1</v>
      </c>
      <c r="F481" s="1444">
        <f>F480</f>
        <v>3.2250000000000001</v>
      </c>
      <c r="G481" s="1444">
        <f>G480-0.3</f>
        <v>0.3000000000000001</v>
      </c>
      <c r="H481" s="1445">
        <v>0.15</v>
      </c>
      <c r="I481" s="1406">
        <f>PRODUCT(D481:H481)</f>
        <v>0.14512500000000006</v>
      </c>
      <c r="J481" s="1397"/>
      <c r="K481" s="1397"/>
      <c r="L481" s="1397"/>
      <c r="Q481" s="1394">
        <f>IFERROR(VLOOKUP(M481,#REF!,3,0),0)</f>
        <v>0</v>
      </c>
      <c r="R481" s="1394">
        <f t="shared" si="62"/>
        <v>0</v>
      </c>
      <c r="S481" s="1394">
        <f>IFERROR(VLOOKUP(M481,#REF!,6,0),0)</f>
        <v>0</v>
      </c>
      <c r="T481" s="1394">
        <f t="shared" si="63"/>
        <v>0</v>
      </c>
      <c r="U481" s="1394">
        <f>IFERROR(VLOOKUP(M481,#REF!,5,0),0)</f>
        <v>0</v>
      </c>
      <c r="V481" s="1394">
        <f t="shared" si="64"/>
        <v>0</v>
      </c>
      <c r="W481" s="1394"/>
    </row>
    <row r="482" spans="1:23" s="1438" customFormat="1" ht="30" customHeight="1">
      <c r="A482" s="1397"/>
      <c r="B482" s="1435"/>
      <c r="C482" s="1442" t="s">
        <v>50</v>
      </c>
      <c r="D482" s="1443">
        <v>1</v>
      </c>
      <c r="E482" s="1443">
        <f>+'Main Building Details'!E297</f>
        <v>6</v>
      </c>
      <c r="F482" s="1444">
        <v>3.32</v>
      </c>
      <c r="G482" s="1444">
        <v>0.23</v>
      </c>
      <c r="H482" s="1445">
        <v>1.2</v>
      </c>
      <c r="I482" s="1406">
        <f>PRODUCT(D482:H482)</f>
        <v>5.4979199999999997</v>
      </c>
      <c r="J482" s="1397"/>
      <c r="K482" s="1397"/>
      <c r="L482" s="1397"/>
      <c r="M482" s="1437"/>
      <c r="Q482" s="1394">
        <f>IFERROR(VLOOKUP(M482,#REF!,3,0),0)</f>
        <v>0</v>
      </c>
      <c r="R482" s="1394">
        <f t="shared" si="62"/>
        <v>0</v>
      </c>
      <c r="S482" s="1394">
        <f>IFERROR(VLOOKUP(M482,#REF!,6,0),0)</f>
        <v>0</v>
      </c>
      <c r="T482" s="1394">
        <f t="shared" si="63"/>
        <v>0</v>
      </c>
      <c r="U482" s="1394">
        <f>IFERROR(VLOOKUP(M482,#REF!,5,0),0)</f>
        <v>0</v>
      </c>
      <c r="V482" s="1394">
        <f t="shared" si="64"/>
        <v>0</v>
      </c>
      <c r="W482" s="1394"/>
    </row>
    <row r="483" spans="1:23" s="1394" customFormat="1" ht="30" customHeight="1">
      <c r="B483" s="1421"/>
      <c r="C483" s="1422" t="s">
        <v>270</v>
      </c>
      <c r="D483" s="1389"/>
      <c r="E483" s="1389"/>
      <c r="F483" s="1423"/>
      <c r="G483" s="1423"/>
      <c r="H483" s="1424"/>
      <c r="I483" s="1425">
        <f>J484-J483</f>
        <v>4.7142000000004458E-2</v>
      </c>
      <c r="J483" s="1394">
        <f>SUM(I455:I482)</f>
        <v>26.552857999999997</v>
      </c>
      <c r="M483" s="1426"/>
      <c r="Q483" s="1394">
        <f>IFERROR(VLOOKUP(M483,#REF!,3,0),0)</f>
        <v>0</v>
      </c>
      <c r="R483" s="1394">
        <f t="shared" si="62"/>
        <v>0</v>
      </c>
      <c r="S483" s="1394">
        <f>IFERROR(VLOOKUP(M483,#REF!,6,0),0)</f>
        <v>0</v>
      </c>
      <c r="T483" s="1394">
        <f t="shared" si="63"/>
        <v>0</v>
      </c>
      <c r="U483" s="1394">
        <f>IFERROR(VLOOKUP(M483,#REF!,5,0),0)</f>
        <v>0</v>
      </c>
      <c r="V483" s="1394">
        <f t="shared" si="64"/>
        <v>0</v>
      </c>
    </row>
    <row r="484" spans="1:23" s="1394" customFormat="1" ht="30" customHeight="1">
      <c r="B484" s="1421"/>
      <c r="C484" s="1422"/>
      <c r="D484" s="1389"/>
      <c r="E484" s="1389"/>
      <c r="F484" s="1423"/>
      <c r="G484" s="1423"/>
      <c r="H484" s="1424"/>
      <c r="I484" s="1427">
        <f>+J484</f>
        <v>26.6</v>
      </c>
      <c r="J484" s="1456">
        <f>ROUNDUP(J483,1)</f>
        <v>26.6</v>
      </c>
      <c r="M484" s="1426"/>
      <c r="Q484" s="1394">
        <f>IFERROR(VLOOKUP(M484,#REF!,3,0),0)</f>
        <v>0</v>
      </c>
      <c r="R484" s="1394">
        <f t="shared" si="62"/>
        <v>0</v>
      </c>
      <c r="S484" s="1394">
        <f>IFERROR(VLOOKUP(M484,#REF!,6,0),0)</f>
        <v>0</v>
      </c>
      <c r="T484" s="1394">
        <f t="shared" si="63"/>
        <v>0</v>
      </c>
      <c r="U484" s="1394">
        <f>IFERROR(VLOOKUP(M484,#REF!,5,0),0)</f>
        <v>0</v>
      </c>
      <c r="V484" s="1394">
        <f t="shared" si="64"/>
        <v>0</v>
      </c>
    </row>
    <row r="485" spans="1:23" s="1394" customFormat="1" ht="30" customHeight="1">
      <c r="B485" s="1421"/>
      <c r="C485" s="1422"/>
      <c r="D485" s="1389"/>
      <c r="E485" s="1389"/>
      <c r="F485" s="1423"/>
      <c r="G485" s="1428" t="s">
        <v>11</v>
      </c>
      <c r="H485" s="1429">
        <f>I484</f>
        <v>26.6</v>
      </c>
      <c r="I485" s="1427" t="s">
        <v>19</v>
      </c>
      <c r="M485" s="1426" t="str">
        <f>A452</f>
        <v>Brick work in C.M. 1:5 (F&amp; B) using Kiln Burnt Country bricks of size 22 x 11 x 7 cm (8 3/4" x 4 1/4" x 2 3/4")</v>
      </c>
      <c r="N485" s="1394">
        <f>B452</f>
        <v>6.5</v>
      </c>
      <c r="O485" s="1394">
        <f>H485</f>
        <v>26.6</v>
      </c>
      <c r="P485" s="1394" t="str">
        <f>I485</f>
        <v>Cum</v>
      </c>
      <c r="Q485" s="1394">
        <f>IFERROR(VLOOKUP(M485,#REF!,3,0),0)</f>
        <v>0</v>
      </c>
      <c r="R485" s="1394">
        <f t="shared" si="62"/>
        <v>0</v>
      </c>
      <c r="S485" s="1394">
        <f>IFERROR(VLOOKUP(M485,#REF!,6,0),0)</f>
        <v>0</v>
      </c>
      <c r="T485" s="1394">
        <f t="shared" si="63"/>
        <v>0</v>
      </c>
      <c r="U485" s="1394">
        <f>IFERROR(VLOOKUP(M485,#REF!,5,0),0)</f>
        <v>0</v>
      </c>
      <c r="V485" s="1394">
        <f t="shared" si="64"/>
        <v>26.6</v>
      </c>
    </row>
    <row r="486" spans="1:23" ht="30" customHeight="1">
      <c r="B486" s="1405">
        <v>18.100000000000001</v>
      </c>
      <c r="C486" s="1412" t="s">
        <v>293</v>
      </c>
      <c r="D486" s="103"/>
      <c r="E486" s="103"/>
      <c r="F486" s="1413"/>
      <c r="G486" s="1413"/>
      <c r="H486" s="1414"/>
      <c r="I486" s="1406"/>
      <c r="Q486" s="1394">
        <f>IFERROR(VLOOKUP(M486,#REF!,3,0),0)</f>
        <v>0</v>
      </c>
      <c r="R486" s="1394">
        <f t="shared" si="62"/>
        <v>0</v>
      </c>
      <c r="S486" s="1394">
        <f>IFERROR(VLOOKUP(M486,#REF!,6,0),0)</f>
        <v>0</v>
      </c>
      <c r="T486" s="1394">
        <f t="shared" si="63"/>
        <v>0</v>
      </c>
      <c r="U486" s="1394">
        <f>IFERROR(VLOOKUP(M486,#REF!,5,0),0)</f>
        <v>0</v>
      </c>
      <c r="V486" s="1394">
        <f t="shared" si="64"/>
        <v>0</v>
      </c>
      <c r="W486" s="1394"/>
    </row>
    <row r="487" spans="1:23" ht="30" customHeight="1">
      <c r="B487" s="1405"/>
      <c r="C487" s="1412" t="s">
        <v>294</v>
      </c>
      <c r="D487" s="103"/>
      <c r="E487" s="103"/>
      <c r="F487" s="1413"/>
      <c r="G487" s="1413"/>
      <c r="H487" s="1414"/>
      <c r="I487" s="1406"/>
      <c r="Q487" s="1394">
        <f>IFERROR(VLOOKUP(M487,#REF!,3,0),0)</f>
        <v>0</v>
      </c>
      <c r="R487" s="1394">
        <f t="shared" si="62"/>
        <v>0</v>
      </c>
      <c r="S487" s="1394">
        <f>IFERROR(VLOOKUP(M487,#REF!,6,0),0)</f>
        <v>0</v>
      </c>
      <c r="T487" s="1394">
        <f t="shared" si="63"/>
        <v>0</v>
      </c>
      <c r="U487" s="1394">
        <f>IFERROR(VLOOKUP(M487,#REF!,5,0),0)</f>
        <v>0</v>
      </c>
      <c r="V487" s="1394">
        <f t="shared" si="64"/>
        <v>0</v>
      </c>
      <c r="W487" s="1394"/>
    </row>
    <row r="488" spans="1:23" ht="30" customHeight="1">
      <c r="B488" s="1405"/>
      <c r="C488" s="1412" t="s">
        <v>295</v>
      </c>
      <c r="D488" s="103"/>
      <c r="E488" s="103"/>
      <c r="F488" s="1413"/>
      <c r="G488" s="1413"/>
      <c r="H488" s="1414"/>
      <c r="I488" s="1406"/>
      <c r="Q488" s="1394">
        <f>IFERROR(VLOOKUP(M488,#REF!,3,0),0)</f>
        <v>0</v>
      </c>
      <c r="R488" s="1394">
        <f t="shared" si="62"/>
        <v>0</v>
      </c>
      <c r="S488" s="1394">
        <f>IFERROR(VLOOKUP(M488,#REF!,6,0),0)</f>
        <v>0</v>
      </c>
      <c r="T488" s="1394">
        <f t="shared" si="63"/>
        <v>0</v>
      </c>
      <c r="U488" s="1394">
        <f>IFERROR(VLOOKUP(M488,#REF!,5,0),0)</f>
        <v>0</v>
      </c>
      <c r="V488" s="1394">
        <f t="shared" si="64"/>
        <v>0</v>
      </c>
      <c r="W488" s="1394"/>
    </row>
    <row r="489" spans="1:23" ht="30" customHeight="1">
      <c r="B489" s="1405"/>
      <c r="C489" s="1412" t="s">
        <v>296</v>
      </c>
      <c r="D489" s="103"/>
      <c r="E489" s="103"/>
      <c r="F489" s="1413"/>
      <c r="G489" s="1413"/>
      <c r="H489" s="1414"/>
      <c r="I489" s="1406"/>
      <c r="Q489" s="1394">
        <f>IFERROR(VLOOKUP(M489,#REF!,3,0),0)</f>
        <v>0</v>
      </c>
      <c r="R489" s="1394">
        <f t="shared" si="62"/>
        <v>0</v>
      </c>
      <c r="S489" s="1394">
        <f>IFERROR(VLOOKUP(M489,#REF!,6,0),0)</f>
        <v>0</v>
      </c>
      <c r="T489" s="1394">
        <f t="shared" si="63"/>
        <v>0</v>
      </c>
      <c r="U489" s="1394">
        <f>IFERROR(VLOOKUP(M489,#REF!,5,0),0)</f>
        <v>0</v>
      </c>
      <c r="V489" s="1394">
        <f t="shared" si="64"/>
        <v>0</v>
      </c>
      <c r="W489" s="1394"/>
    </row>
    <row r="490" spans="1:23" ht="30" customHeight="1">
      <c r="B490" s="1407"/>
      <c r="C490" s="1415" t="s">
        <v>165</v>
      </c>
      <c r="D490" s="1409"/>
      <c r="E490" s="1409"/>
      <c r="F490" s="1410"/>
      <c r="G490" s="1410"/>
      <c r="H490" s="1411"/>
      <c r="I490" s="1406"/>
      <c r="Q490" s="1394">
        <f>IFERROR(VLOOKUP(M490,#REF!,3,0),0)</f>
        <v>0</v>
      </c>
      <c r="R490" s="1394">
        <f t="shared" si="62"/>
        <v>0</v>
      </c>
      <c r="S490" s="1394">
        <f>IFERROR(VLOOKUP(M490,#REF!,6,0),0)</f>
        <v>0</v>
      </c>
      <c r="T490" s="1394">
        <f t="shared" si="63"/>
        <v>0</v>
      </c>
      <c r="U490" s="1394">
        <f>IFERROR(VLOOKUP(M490,#REF!,5,0),0)</f>
        <v>0</v>
      </c>
      <c r="V490" s="1394">
        <f t="shared" si="64"/>
        <v>0</v>
      </c>
      <c r="W490" s="1394"/>
    </row>
    <row r="491" spans="1:23" ht="30" customHeight="1">
      <c r="B491" s="1407"/>
      <c r="C491" s="1408" t="str">
        <f>'det -detail'!B47&amp;'det -detail'!C47&amp;'det -detail'!D47</f>
        <v>For C1 F1 Footing</v>
      </c>
      <c r="D491" s="1416">
        <f>'det -detail'!E56</f>
        <v>1</v>
      </c>
      <c r="E491" s="1416">
        <f>'det -detail'!F56</f>
        <v>3</v>
      </c>
      <c r="F491" s="1410">
        <f>('det -detail'!G56+'det -detail'!H56)*2</f>
        <v>4.8000000000000007</v>
      </c>
      <c r="G491" s="1410"/>
      <c r="H491" s="1411">
        <f>'det -detail'!I56</f>
        <v>0.3</v>
      </c>
      <c r="I491" s="1406">
        <f>PRODUCT(D491:H491)</f>
        <v>4.32</v>
      </c>
      <c r="Q491" s="1394">
        <f>IFERROR(VLOOKUP(M491,#REF!,3,0),0)</f>
        <v>0</v>
      </c>
      <c r="R491" s="1394">
        <f t="shared" si="62"/>
        <v>0</v>
      </c>
      <c r="S491" s="1394">
        <f>IFERROR(VLOOKUP(M491,#REF!,6,0),0)</f>
        <v>0</v>
      </c>
      <c r="T491" s="1394">
        <f t="shared" si="63"/>
        <v>0</v>
      </c>
      <c r="U491" s="1394">
        <f>IFERROR(VLOOKUP(M491,#REF!,5,0),0)</f>
        <v>0</v>
      </c>
      <c r="V491" s="1394">
        <f t="shared" si="64"/>
        <v>0</v>
      </c>
      <c r="W491" s="1394"/>
    </row>
    <row r="492" spans="1:23" ht="30" customHeight="1">
      <c r="B492" s="1407"/>
      <c r="C492" s="1408" t="str">
        <f>'det -detail'!B48&amp;'det -detail'!C48&amp;'det -detail'!D48</f>
        <v>For C2 F2 Footing</v>
      </c>
      <c r="D492" s="1416">
        <f>'det -detail'!E57</f>
        <v>1</v>
      </c>
      <c r="E492" s="1416">
        <f>'det -detail'!F57</f>
        <v>11</v>
      </c>
      <c r="F492" s="1410">
        <f>('det -detail'!G57+'det -detail'!H57)*2</f>
        <v>6.4</v>
      </c>
      <c r="G492" s="1410"/>
      <c r="H492" s="1411">
        <f>'det -detail'!I57</f>
        <v>0.45</v>
      </c>
      <c r="I492" s="1406">
        <f t="shared" ref="I492:I496" si="73">PRODUCT(D492:H492)</f>
        <v>31.680000000000003</v>
      </c>
      <c r="Q492" s="1394">
        <f>IFERROR(VLOOKUP(M492,#REF!,3,0),0)</f>
        <v>0</v>
      </c>
      <c r="R492" s="1394">
        <f t="shared" si="62"/>
        <v>0</v>
      </c>
      <c r="S492" s="1394">
        <f>IFERROR(VLOOKUP(M492,#REF!,6,0),0)</f>
        <v>0</v>
      </c>
      <c r="T492" s="1394">
        <f t="shared" si="63"/>
        <v>0</v>
      </c>
      <c r="U492" s="1394">
        <f>IFERROR(VLOOKUP(M492,#REF!,5,0),0)</f>
        <v>0</v>
      </c>
      <c r="V492" s="1394">
        <f t="shared" si="64"/>
        <v>0</v>
      </c>
      <c r="W492" s="1394"/>
    </row>
    <row r="493" spans="1:23" ht="30" customHeight="1">
      <c r="B493" s="1407"/>
      <c r="C493" s="1408" t="str">
        <f>'det -detail'!B49&amp;'det -detail'!C49&amp;'det -detail'!D49</f>
        <v>For C3 F3 Footing</v>
      </c>
      <c r="D493" s="1416">
        <f>'det -detail'!E58</f>
        <v>1</v>
      </c>
      <c r="E493" s="1416">
        <f>'det -detail'!F58</f>
        <v>9</v>
      </c>
      <c r="F493" s="1410">
        <f>('det -detail'!G58+'det -detail'!H58)*2</f>
        <v>7.2000000000000011</v>
      </c>
      <c r="G493" s="1410"/>
      <c r="H493" s="1411">
        <f>'det -detail'!I58</f>
        <v>0.45</v>
      </c>
      <c r="I493" s="1406">
        <f t="shared" si="73"/>
        <v>29.160000000000007</v>
      </c>
      <c r="Q493" s="1394">
        <f>IFERROR(VLOOKUP(M493,#REF!,3,0),0)</f>
        <v>0</v>
      </c>
      <c r="R493" s="1394">
        <f t="shared" si="62"/>
        <v>0</v>
      </c>
      <c r="S493" s="1394">
        <f>IFERROR(VLOOKUP(M493,#REF!,6,0),0)</f>
        <v>0</v>
      </c>
      <c r="T493" s="1394">
        <f t="shared" si="63"/>
        <v>0</v>
      </c>
      <c r="U493" s="1394">
        <f>IFERROR(VLOOKUP(M493,#REF!,5,0),0)</f>
        <v>0</v>
      </c>
      <c r="V493" s="1394">
        <f t="shared" si="64"/>
        <v>0</v>
      </c>
      <c r="W493" s="1394"/>
    </row>
    <row r="494" spans="1:23" ht="30" customHeight="1">
      <c r="B494" s="1407"/>
      <c r="C494" s="1408" t="str">
        <f>'det -detail'!B50&amp;'det -detail'!C50&amp;'det -detail'!D50</f>
        <v>For C4 F4 Footing</v>
      </c>
      <c r="D494" s="1416">
        <f>'det -detail'!E59</f>
        <v>1</v>
      </c>
      <c r="E494" s="1416">
        <f>'det -detail'!F59</f>
        <v>7</v>
      </c>
      <c r="F494" s="1410">
        <f>('det -detail'!G59+'det -detail'!H59)*2</f>
        <v>8.4</v>
      </c>
      <c r="G494" s="1410"/>
      <c r="H494" s="1411">
        <f>'det -detail'!I59</f>
        <v>0.6</v>
      </c>
      <c r="I494" s="1406">
        <f t="shared" si="73"/>
        <v>35.28</v>
      </c>
      <c r="Q494" s="1394">
        <f>IFERROR(VLOOKUP(M494,#REF!,3,0),0)</f>
        <v>0</v>
      </c>
      <c r="R494" s="1394">
        <f t="shared" ref="R494:R557" si="74">ROUND(O494,2)*ROUND(Q494,2)</f>
        <v>0</v>
      </c>
      <c r="S494" s="1394">
        <f>IFERROR(VLOOKUP(M494,#REF!,6,0),0)</f>
        <v>0</v>
      </c>
      <c r="T494" s="1394">
        <f t="shared" ref="T494:T557" si="75">R494-S494</f>
        <v>0</v>
      </c>
      <c r="U494" s="1394">
        <f>IFERROR(VLOOKUP(M494,#REF!,5,0),0)</f>
        <v>0</v>
      </c>
      <c r="V494" s="1394">
        <f t="shared" ref="V494:V557" si="76">O494-U494</f>
        <v>0</v>
      </c>
      <c r="W494" s="1394"/>
    </row>
    <row r="495" spans="1:23" ht="30" customHeight="1">
      <c r="B495" s="1407"/>
      <c r="C495" s="1408" t="str">
        <f>'det -detail'!B51&amp;'det -detail'!C51&amp;'det -detail'!D51</f>
        <v>For C3,c1F4 Footing</v>
      </c>
      <c r="D495" s="1416">
        <f>'det -detail'!E60</f>
        <v>1</v>
      </c>
      <c r="E495" s="1416">
        <f>'det -detail'!F60</f>
        <v>1</v>
      </c>
      <c r="F495" s="1410">
        <f>('det -detail'!G60+'det -detail'!H60)*2</f>
        <v>8.4</v>
      </c>
      <c r="G495" s="1410"/>
      <c r="H495" s="1411">
        <f>'det -detail'!I60</f>
        <v>0.45</v>
      </c>
      <c r="I495" s="1406">
        <f t="shared" si="73"/>
        <v>3.7800000000000002</v>
      </c>
      <c r="Q495" s="1394">
        <f>IFERROR(VLOOKUP(M495,#REF!,3,0),0)</f>
        <v>0</v>
      </c>
      <c r="R495" s="1394">
        <f t="shared" si="74"/>
        <v>0</v>
      </c>
      <c r="S495" s="1394">
        <f>IFERROR(VLOOKUP(M495,#REF!,6,0),0)</f>
        <v>0</v>
      </c>
      <c r="T495" s="1394">
        <f t="shared" si="75"/>
        <v>0</v>
      </c>
      <c r="U495" s="1394">
        <f>IFERROR(VLOOKUP(M495,#REF!,5,0),0)</f>
        <v>0</v>
      </c>
      <c r="V495" s="1394">
        <f t="shared" si="76"/>
        <v>0</v>
      </c>
      <c r="W495" s="1394"/>
    </row>
    <row r="496" spans="1:23" ht="27.75" customHeight="1">
      <c r="B496" s="1407"/>
      <c r="C496" s="1408" t="str">
        <f>C322</f>
        <v xml:space="preserve">Lift Raft </v>
      </c>
      <c r="D496" s="1416">
        <f t="shared" ref="D496:H496" si="77">D322</f>
        <v>1</v>
      </c>
      <c r="E496" s="1416">
        <f t="shared" si="77"/>
        <v>1</v>
      </c>
      <c r="F496" s="1410">
        <f>2*(F322+G322)</f>
        <v>11.64</v>
      </c>
      <c r="G496" s="1410"/>
      <c r="H496" s="1411">
        <f t="shared" si="77"/>
        <v>0.23</v>
      </c>
      <c r="I496" s="1406">
        <f t="shared" si="73"/>
        <v>2.6772000000000005</v>
      </c>
      <c r="Q496" s="1394">
        <f>IFERROR(VLOOKUP(M496,#REF!,3,0),0)</f>
        <v>0</v>
      </c>
      <c r="R496" s="1394">
        <f t="shared" si="74"/>
        <v>0</v>
      </c>
      <c r="S496" s="1394">
        <f>IFERROR(VLOOKUP(M496,#REF!,6,0),0)</f>
        <v>0</v>
      </c>
      <c r="T496" s="1394">
        <f t="shared" si="75"/>
        <v>0</v>
      </c>
      <c r="U496" s="1394">
        <f>IFERROR(VLOOKUP(M496,#REF!,5,0),0)</f>
        <v>0</v>
      </c>
      <c r="V496" s="1394">
        <f t="shared" si="76"/>
        <v>0</v>
      </c>
      <c r="W496" s="1394"/>
    </row>
    <row r="497" spans="2:23" ht="30" customHeight="1">
      <c r="B497" s="1407"/>
      <c r="C497" s="1408"/>
      <c r="D497" s="1416"/>
      <c r="E497" s="1416"/>
      <c r="F497" s="1410"/>
      <c r="G497" s="1410"/>
      <c r="H497" s="1411"/>
      <c r="I497" s="1406"/>
      <c r="Q497" s="1394">
        <f>IFERROR(VLOOKUP(M497,#REF!,3,0),0)</f>
        <v>0</v>
      </c>
      <c r="R497" s="1394">
        <f t="shared" si="74"/>
        <v>0</v>
      </c>
      <c r="S497" s="1394">
        <f>IFERROR(VLOOKUP(M497,#REF!,6,0),0)</f>
        <v>0</v>
      </c>
      <c r="T497" s="1394">
        <f t="shared" si="75"/>
        <v>0</v>
      </c>
      <c r="U497" s="1394">
        <f>IFERROR(VLOOKUP(M497,#REF!,5,0),0)</f>
        <v>0</v>
      </c>
      <c r="V497" s="1394">
        <f t="shared" si="76"/>
        <v>0</v>
      </c>
      <c r="W497" s="1394"/>
    </row>
    <row r="498" spans="2:23" ht="30" customHeight="1">
      <c r="B498" s="1405"/>
      <c r="C498" s="1415" t="s">
        <v>5721</v>
      </c>
      <c r="D498" s="1409"/>
      <c r="E498" s="1409"/>
      <c r="F498" s="1410"/>
      <c r="G498" s="1410"/>
      <c r="H498" s="1411"/>
      <c r="I498" s="1406">
        <f t="shared" ref="I498:I549" si="78">PRODUCT(D498:H498)</f>
        <v>0</v>
      </c>
      <c r="Q498" s="1394">
        <f>IFERROR(VLOOKUP(M498,#REF!,3,0),0)</f>
        <v>0</v>
      </c>
      <c r="R498" s="1394">
        <f t="shared" si="74"/>
        <v>0</v>
      </c>
      <c r="S498" s="1394">
        <f>IFERROR(VLOOKUP(M498,#REF!,6,0),0)</f>
        <v>0</v>
      </c>
      <c r="T498" s="1394">
        <f t="shared" si="75"/>
        <v>0</v>
      </c>
      <c r="U498" s="1394">
        <f>IFERROR(VLOOKUP(M498,#REF!,5,0),0)</f>
        <v>0</v>
      </c>
      <c r="V498" s="1394">
        <f t="shared" si="76"/>
        <v>0</v>
      </c>
      <c r="W498" s="1394"/>
    </row>
    <row r="499" spans="2:23" ht="30" customHeight="1">
      <c r="B499" s="1405"/>
      <c r="C499" s="1408" t="str">
        <f>C330</f>
        <v>-X- Direction</v>
      </c>
      <c r="D499" s="1416"/>
      <c r="E499" s="1409"/>
      <c r="F499" s="1410"/>
      <c r="G499" s="1410"/>
      <c r="H499" s="1411"/>
      <c r="I499" s="1406"/>
      <c r="Q499" s="1394">
        <f>IFERROR(VLOOKUP(M499,#REF!,3,0),0)</f>
        <v>0</v>
      </c>
      <c r="R499" s="1394">
        <f t="shared" si="74"/>
        <v>0</v>
      </c>
      <c r="S499" s="1394">
        <f>IFERROR(VLOOKUP(M499,#REF!,6,0),0)</f>
        <v>0</v>
      </c>
      <c r="T499" s="1394">
        <f t="shared" si="75"/>
        <v>0</v>
      </c>
      <c r="U499" s="1394">
        <f>IFERROR(VLOOKUP(M499,#REF!,5,0),0)</f>
        <v>0</v>
      </c>
      <c r="V499" s="1394">
        <f t="shared" si="76"/>
        <v>0</v>
      </c>
      <c r="W499" s="1394"/>
    </row>
    <row r="500" spans="2:23" ht="30" customHeight="1">
      <c r="B500" s="1405"/>
      <c r="C500" s="1408" t="str">
        <f t="shared" ref="C500:H500" si="79">C331</f>
        <v>A3 to B3, A5 to B5 , A6 to B6 and A6 to B6GB-2</v>
      </c>
      <c r="D500" s="1416">
        <f>D331*2</f>
        <v>2</v>
      </c>
      <c r="E500" s="1409">
        <f t="shared" si="79"/>
        <v>4</v>
      </c>
      <c r="F500" s="1410">
        <f t="shared" si="79"/>
        <v>4.2300000000000004</v>
      </c>
      <c r="G500" s="1410"/>
      <c r="H500" s="1411">
        <f t="shared" si="79"/>
        <v>0.30000000000000004</v>
      </c>
      <c r="I500" s="1406">
        <f t="shared" si="78"/>
        <v>10.152000000000003</v>
      </c>
      <c r="Q500" s="1394">
        <f>IFERROR(VLOOKUP(M500,#REF!,3,0),0)</f>
        <v>0</v>
      </c>
      <c r="R500" s="1394">
        <f t="shared" si="74"/>
        <v>0</v>
      </c>
      <c r="S500" s="1394">
        <f>IFERROR(VLOOKUP(M500,#REF!,6,0),0)</f>
        <v>0</v>
      </c>
      <c r="T500" s="1394">
        <f t="shared" si="75"/>
        <v>0</v>
      </c>
      <c r="U500" s="1394">
        <f>IFERROR(VLOOKUP(M500,#REF!,5,0),0)</f>
        <v>0</v>
      </c>
      <c r="V500" s="1394">
        <f t="shared" si="76"/>
        <v>0</v>
      </c>
      <c r="W500" s="1394"/>
    </row>
    <row r="501" spans="2:23" ht="30" customHeight="1">
      <c r="B501" s="1405"/>
      <c r="C501" s="1408" t="str">
        <f t="shared" ref="C501" si="80">C332</f>
        <v>D1 to F1 &amp; D2 to F2GB-3</v>
      </c>
      <c r="D501" s="1416">
        <f t="shared" ref="D501:D520" si="81">D332*2</f>
        <v>2</v>
      </c>
      <c r="E501" s="1409">
        <f t="shared" ref="E501:F501" si="82">E332</f>
        <v>2</v>
      </c>
      <c r="F501" s="1410">
        <f t="shared" si="82"/>
        <v>3.6549999999999998</v>
      </c>
      <c r="G501" s="1410"/>
      <c r="H501" s="1411">
        <f t="shared" ref="H501" si="83">H332</f>
        <v>0.30000000000000004</v>
      </c>
      <c r="I501" s="1406">
        <f t="shared" si="78"/>
        <v>4.3860000000000001</v>
      </c>
      <c r="Q501" s="1394">
        <f>IFERROR(VLOOKUP(M501,#REF!,3,0),0)</f>
        <v>0</v>
      </c>
      <c r="R501" s="1394">
        <f t="shared" si="74"/>
        <v>0</v>
      </c>
      <c r="S501" s="1394">
        <f>IFERROR(VLOOKUP(M501,#REF!,6,0),0)</f>
        <v>0</v>
      </c>
      <c r="T501" s="1394">
        <f t="shared" si="75"/>
        <v>0</v>
      </c>
      <c r="U501" s="1394">
        <f>IFERROR(VLOOKUP(M501,#REF!,5,0),0)</f>
        <v>0</v>
      </c>
      <c r="V501" s="1394">
        <f t="shared" si="76"/>
        <v>0</v>
      </c>
      <c r="W501" s="1394"/>
    </row>
    <row r="502" spans="2:23" ht="30" customHeight="1">
      <c r="B502" s="1405"/>
      <c r="C502" s="1408" t="str">
        <f t="shared" ref="C502" si="84">C333</f>
        <v>B3 to F3GB-1</v>
      </c>
      <c r="D502" s="1416">
        <f t="shared" si="81"/>
        <v>2</v>
      </c>
      <c r="E502" s="1409">
        <f t="shared" ref="E502:F502" si="85">E333</f>
        <v>1</v>
      </c>
      <c r="F502" s="1410">
        <f t="shared" si="85"/>
        <v>6.8849999999999998</v>
      </c>
      <c r="G502" s="1410"/>
      <c r="H502" s="1411">
        <f t="shared" ref="H502" si="86">H333</f>
        <v>0.38</v>
      </c>
      <c r="I502" s="1406">
        <f t="shared" si="78"/>
        <v>5.2325999999999997</v>
      </c>
      <c r="Q502" s="1394">
        <f>IFERROR(VLOOKUP(M502,#REF!,3,0),0)</f>
        <v>0</v>
      </c>
      <c r="R502" s="1394">
        <f t="shared" si="74"/>
        <v>0</v>
      </c>
      <c r="S502" s="1394">
        <f>IFERROR(VLOOKUP(M502,#REF!,6,0),0)</f>
        <v>0</v>
      </c>
      <c r="T502" s="1394">
        <f t="shared" si="75"/>
        <v>0</v>
      </c>
      <c r="U502" s="1394">
        <f>IFERROR(VLOOKUP(M502,#REF!,5,0),0)</f>
        <v>0</v>
      </c>
      <c r="V502" s="1394">
        <f t="shared" si="76"/>
        <v>0</v>
      </c>
      <c r="W502" s="1394"/>
    </row>
    <row r="503" spans="2:23" ht="30" customHeight="1">
      <c r="B503" s="1405"/>
      <c r="C503" s="1408" t="str">
        <f t="shared" ref="C503" si="87">C334</f>
        <v>F3 to H3GB-2</v>
      </c>
      <c r="D503" s="1416">
        <f t="shared" si="81"/>
        <v>2</v>
      </c>
      <c r="E503" s="1409">
        <f t="shared" ref="E503:F503" si="88">E334</f>
        <v>1</v>
      </c>
      <c r="F503" s="1410">
        <f t="shared" si="88"/>
        <v>7.46</v>
      </c>
      <c r="G503" s="1410"/>
      <c r="H503" s="1411">
        <f t="shared" ref="H503" si="89">H334</f>
        <v>0.30000000000000004</v>
      </c>
      <c r="I503" s="1406">
        <f t="shared" si="78"/>
        <v>4.4760000000000009</v>
      </c>
      <c r="Q503" s="1394">
        <f>IFERROR(VLOOKUP(M503,#REF!,3,0),0)</f>
        <v>0</v>
      </c>
      <c r="R503" s="1394">
        <f t="shared" si="74"/>
        <v>0</v>
      </c>
      <c r="S503" s="1394">
        <f>IFERROR(VLOOKUP(M503,#REF!,6,0),0)</f>
        <v>0</v>
      </c>
      <c r="T503" s="1394">
        <f t="shared" si="75"/>
        <v>0</v>
      </c>
      <c r="U503" s="1394">
        <f>IFERROR(VLOOKUP(M503,#REF!,5,0),0)</f>
        <v>0</v>
      </c>
      <c r="V503" s="1394">
        <f t="shared" si="76"/>
        <v>0</v>
      </c>
      <c r="W503" s="1394"/>
    </row>
    <row r="504" spans="2:23" ht="30" customHeight="1">
      <c r="B504" s="1405"/>
      <c r="C504" s="1408" t="str">
        <f t="shared" ref="C504" si="90">C335</f>
        <v>C4 to F4 , C5 to F5GB-1</v>
      </c>
      <c r="D504" s="1416">
        <f t="shared" si="81"/>
        <v>2</v>
      </c>
      <c r="E504" s="1409">
        <f t="shared" ref="E504:F504" si="91">E335</f>
        <v>2</v>
      </c>
      <c r="F504" s="1410">
        <f t="shared" si="91"/>
        <v>4.5549999999999997</v>
      </c>
      <c r="G504" s="1410"/>
      <c r="H504" s="1411">
        <f t="shared" ref="H504" si="92">H335</f>
        <v>0.38</v>
      </c>
      <c r="I504" s="1406">
        <f t="shared" si="78"/>
        <v>6.9235999999999995</v>
      </c>
      <c r="Q504" s="1394">
        <f>IFERROR(VLOOKUP(M504,#REF!,3,0),0)</f>
        <v>0</v>
      </c>
      <c r="R504" s="1394">
        <f t="shared" si="74"/>
        <v>0</v>
      </c>
      <c r="S504" s="1394">
        <f>IFERROR(VLOOKUP(M504,#REF!,6,0),0)</f>
        <v>0</v>
      </c>
      <c r="T504" s="1394">
        <f t="shared" si="75"/>
        <v>0</v>
      </c>
      <c r="U504" s="1394">
        <f>IFERROR(VLOOKUP(M504,#REF!,5,0),0)</f>
        <v>0</v>
      </c>
      <c r="V504" s="1394">
        <f t="shared" si="76"/>
        <v>0</v>
      </c>
      <c r="W504" s="1394"/>
    </row>
    <row r="505" spans="2:23" ht="30" customHeight="1">
      <c r="B505" s="1405"/>
      <c r="C505" s="1408" t="str">
        <f t="shared" ref="C505" si="93">C336</f>
        <v>B4 to C4 , B5 to C5GB-1</v>
      </c>
      <c r="D505" s="1416">
        <f t="shared" si="81"/>
        <v>2</v>
      </c>
      <c r="E505" s="1409">
        <f t="shared" ref="E505:F505" si="94">E336</f>
        <v>2</v>
      </c>
      <c r="F505" s="1410">
        <f t="shared" si="94"/>
        <v>2.33</v>
      </c>
      <c r="G505" s="1410"/>
      <c r="H505" s="1411">
        <f t="shared" ref="H505" si="95">H336</f>
        <v>0.38</v>
      </c>
      <c r="I505" s="1406">
        <f t="shared" si="78"/>
        <v>3.5416000000000003</v>
      </c>
      <c r="Q505" s="1394">
        <f>IFERROR(VLOOKUP(M505,#REF!,3,0),0)</f>
        <v>0</v>
      </c>
      <c r="R505" s="1394">
        <f t="shared" si="74"/>
        <v>0</v>
      </c>
      <c r="S505" s="1394">
        <f>IFERROR(VLOOKUP(M505,#REF!,6,0),0)</f>
        <v>0</v>
      </c>
      <c r="T505" s="1394">
        <f t="shared" si="75"/>
        <v>0</v>
      </c>
      <c r="U505" s="1394">
        <f>IFERROR(VLOOKUP(M505,#REF!,5,0),0)</f>
        <v>0</v>
      </c>
      <c r="V505" s="1394">
        <f t="shared" si="76"/>
        <v>0</v>
      </c>
      <c r="W505" s="1394"/>
    </row>
    <row r="506" spans="2:23" ht="30" customHeight="1">
      <c r="B506" s="1405"/>
      <c r="C506" s="1408" t="str">
        <f t="shared" ref="C506" si="96">C337</f>
        <v>F5 to G5 GB-2</v>
      </c>
      <c r="D506" s="1416">
        <f t="shared" si="81"/>
        <v>2</v>
      </c>
      <c r="E506" s="1409">
        <f t="shared" ref="E506:F506" si="97">E337</f>
        <v>1</v>
      </c>
      <c r="F506" s="1410">
        <f t="shared" si="97"/>
        <v>3.4649999999999999</v>
      </c>
      <c r="G506" s="1410"/>
      <c r="H506" s="1411">
        <f t="shared" ref="H506" si="98">H337</f>
        <v>0.30000000000000004</v>
      </c>
      <c r="I506" s="1406">
        <f t="shared" si="78"/>
        <v>2.0790000000000002</v>
      </c>
      <c r="Q506" s="1394">
        <f>IFERROR(VLOOKUP(M506,#REF!,3,0),0)</f>
        <v>0</v>
      </c>
      <c r="R506" s="1394">
        <f t="shared" si="74"/>
        <v>0</v>
      </c>
      <c r="S506" s="1394">
        <f>IFERROR(VLOOKUP(M506,#REF!,6,0),0)</f>
        <v>0</v>
      </c>
      <c r="T506" s="1394">
        <f t="shared" si="75"/>
        <v>0</v>
      </c>
      <c r="U506" s="1394">
        <f>IFERROR(VLOOKUP(M506,#REF!,5,0),0)</f>
        <v>0</v>
      </c>
      <c r="V506" s="1394">
        <f t="shared" si="76"/>
        <v>0</v>
      </c>
      <c r="W506" s="1394"/>
    </row>
    <row r="507" spans="2:23" ht="30" customHeight="1">
      <c r="B507" s="1405"/>
      <c r="C507" s="1408" t="str">
        <f t="shared" ref="C507" si="99">C338</f>
        <v>G5 to H5 GB-2</v>
      </c>
      <c r="D507" s="1416">
        <f t="shared" si="81"/>
        <v>2</v>
      </c>
      <c r="E507" s="1409">
        <f t="shared" ref="E507:F507" si="100">E338</f>
        <v>1</v>
      </c>
      <c r="F507" s="1410">
        <f t="shared" si="100"/>
        <v>3.9950000000000001</v>
      </c>
      <c r="G507" s="1410"/>
      <c r="H507" s="1411">
        <f t="shared" ref="H507" si="101">H338</f>
        <v>0.30000000000000004</v>
      </c>
      <c r="I507" s="1406">
        <f t="shared" si="78"/>
        <v>2.3970000000000002</v>
      </c>
      <c r="Q507" s="1394">
        <f>IFERROR(VLOOKUP(M507,#REF!,3,0),0)</f>
        <v>0</v>
      </c>
      <c r="R507" s="1394">
        <f t="shared" si="74"/>
        <v>0</v>
      </c>
      <c r="S507" s="1394">
        <f>IFERROR(VLOOKUP(M507,#REF!,6,0),0)</f>
        <v>0</v>
      </c>
      <c r="T507" s="1394">
        <f t="shared" si="75"/>
        <v>0</v>
      </c>
      <c r="U507" s="1394">
        <f>IFERROR(VLOOKUP(M507,#REF!,5,0),0)</f>
        <v>0</v>
      </c>
      <c r="V507" s="1394">
        <f t="shared" si="76"/>
        <v>0</v>
      </c>
      <c r="W507" s="1394"/>
    </row>
    <row r="508" spans="2:23" ht="30" customHeight="1">
      <c r="B508" s="1405"/>
      <c r="C508" s="1408" t="str">
        <f t="shared" ref="C508" si="102">C339</f>
        <v>B6' to D6'GB-3</v>
      </c>
      <c r="D508" s="1416">
        <f t="shared" si="81"/>
        <v>2</v>
      </c>
      <c r="E508" s="1409">
        <f t="shared" ref="E508:F508" si="103">E339</f>
        <v>1</v>
      </c>
      <c r="F508" s="1410">
        <f t="shared" si="103"/>
        <v>3.125</v>
      </c>
      <c r="G508" s="1410"/>
      <c r="H508" s="1411">
        <f t="shared" ref="H508" si="104">H339</f>
        <v>0.30000000000000004</v>
      </c>
      <c r="I508" s="1406">
        <f t="shared" si="78"/>
        <v>1.8750000000000002</v>
      </c>
      <c r="Q508" s="1394">
        <f>IFERROR(VLOOKUP(M508,#REF!,3,0),0)</f>
        <v>0</v>
      </c>
      <c r="R508" s="1394">
        <f t="shared" si="74"/>
        <v>0</v>
      </c>
      <c r="S508" s="1394">
        <f>IFERROR(VLOOKUP(M508,#REF!,6,0),0)</f>
        <v>0</v>
      </c>
      <c r="T508" s="1394">
        <f t="shared" si="75"/>
        <v>0</v>
      </c>
      <c r="U508" s="1394">
        <f>IFERROR(VLOOKUP(M508,#REF!,5,0),0)</f>
        <v>0</v>
      </c>
      <c r="V508" s="1394">
        <f t="shared" si="76"/>
        <v>0</v>
      </c>
      <c r="W508" s="1394"/>
    </row>
    <row r="509" spans="2:23" ht="30" customHeight="1">
      <c r="B509" s="1405"/>
      <c r="C509" s="1408" t="str">
        <f t="shared" ref="C509" si="105">C340</f>
        <v>G6 to H6GB-2</v>
      </c>
      <c r="D509" s="1416">
        <f t="shared" si="81"/>
        <v>2</v>
      </c>
      <c r="E509" s="1409">
        <f t="shared" ref="E509:F509" si="106">E340</f>
        <v>1</v>
      </c>
      <c r="F509" s="1410">
        <f t="shared" si="106"/>
        <v>4.2300000000000004</v>
      </c>
      <c r="G509" s="1410"/>
      <c r="H509" s="1411">
        <f t="shared" ref="H509" si="107">H340</f>
        <v>0.30000000000000004</v>
      </c>
      <c r="I509" s="1406">
        <f t="shared" si="78"/>
        <v>2.5380000000000007</v>
      </c>
      <c r="Q509" s="1394">
        <f>IFERROR(VLOOKUP(M509,#REF!,3,0),0)</f>
        <v>0</v>
      </c>
      <c r="R509" s="1394">
        <f t="shared" si="74"/>
        <v>0</v>
      </c>
      <c r="S509" s="1394">
        <f>IFERROR(VLOOKUP(M509,#REF!,6,0),0)</f>
        <v>0</v>
      </c>
      <c r="T509" s="1394">
        <f t="shared" si="75"/>
        <v>0</v>
      </c>
      <c r="U509" s="1394">
        <f>IFERROR(VLOOKUP(M509,#REF!,5,0),0)</f>
        <v>0</v>
      </c>
      <c r="V509" s="1394">
        <f t="shared" si="76"/>
        <v>0</v>
      </c>
      <c r="W509" s="1394"/>
    </row>
    <row r="510" spans="2:23" ht="30" customHeight="1">
      <c r="B510" s="1405"/>
      <c r="C510" s="1408" t="str">
        <f t="shared" ref="C510" si="108">C341</f>
        <v>B7 to E7GB-1</v>
      </c>
      <c r="D510" s="1416">
        <f t="shared" si="81"/>
        <v>2</v>
      </c>
      <c r="E510" s="1409">
        <f t="shared" ref="E510:F510" si="109">E341</f>
        <v>1</v>
      </c>
      <c r="F510" s="1410">
        <f t="shared" si="109"/>
        <v>5.6549999999999994</v>
      </c>
      <c r="G510" s="1410"/>
      <c r="H510" s="1411">
        <f t="shared" ref="H510" si="110">H341</f>
        <v>0.38</v>
      </c>
      <c r="I510" s="1406">
        <f t="shared" si="78"/>
        <v>4.2977999999999996</v>
      </c>
      <c r="Q510" s="1394">
        <f>IFERROR(VLOOKUP(M510,#REF!,3,0),0)</f>
        <v>0</v>
      </c>
      <c r="R510" s="1394">
        <f t="shared" si="74"/>
        <v>0</v>
      </c>
      <c r="S510" s="1394">
        <f>IFERROR(VLOOKUP(M510,#REF!,6,0),0)</f>
        <v>0</v>
      </c>
      <c r="T510" s="1394">
        <f t="shared" si="75"/>
        <v>0</v>
      </c>
      <c r="U510" s="1394">
        <f>IFERROR(VLOOKUP(M510,#REF!,5,0),0)</f>
        <v>0</v>
      </c>
      <c r="V510" s="1394">
        <f t="shared" si="76"/>
        <v>0</v>
      </c>
      <c r="W510" s="1394"/>
    </row>
    <row r="511" spans="2:23" ht="30" customHeight="1">
      <c r="B511" s="1405"/>
      <c r="C511" s="1408" t="str">
        <f t="shared" ref="C511" si="111">C342</f>
        <v>E7 to H7GB-2</v>
      </c>
      <c r="D511" s="1416">
        <f t="shared" si="81"/>
        <v>2</v>
      </c>
      <c r="E511" s="1409">
        <f t="shared" ref="E511:F511" si="112">E342</f>
        <v>1</v>
      </c>
      <c r="F511" s="1410">
        <f t="shared" si="112"/>
        <v>8.6900000000000013</v>
      </c>
      <c r="G511" s="1410"/>
      <c r="H511" s="1411">
        <f t="shared" ref="H511" si="113">H342</f>
        <v>0.30000000000000004</v>
      </c>
      <c r="I511" s="1406">
        <f t="shared" si="78"/>
        <v>5.2140000000000013</v>
      </c>
      <c r="Q511" s="1394">
        <f>IFERROR(VLOOKUP(M511,#REF!,3,0),0)</f>
        <v>0</v>
      </c>
      <c r="R511" s="1394">
        <f t="shared" si="74"/>
        <v>0</v>
      </c>
      <c r="S511" s="1394">
        <f>IFERROR(VLOOKUP(M511,#REF!,6,0),0)</f>
        <v>0</v>
      </c>
      <c r="T511" s="1394">
        <f t="shared" si="75"/>
        <v>0</v>
      </c>
      <c r="U511" s="1394">
        <f>IFERROR(VLOOKUP(M511,#REF!,5,0),0)</f>
        <v>0</v>
      </c>
      <c r="V511" s="1394">
        <f t="shared" si="76"/>
        <v>0</v>
      </c>
      <c r="W511" s="1394"/>
    </row>
    <row r="512" spans="2:23" ht="30" customHeight="1">
      <c r="B512" s="1405"/>
      <c r="C512" s="1408" t="str">
        <f t="shared" ref="C512" si="114">C343</f>
        <v>A8 to H8GB-3</v>
      </c>
      <c r="D512" s="1416">
        <f t="shared" si="81"/>
        <v>2</v>
      </c>
      <c r="E512" s="1409">
        <f t="shared" ref="E512:F512" si="115">E343</f>
        <v>1</v>
      </c>
      <c r="F512" s="1410">
        <f t="shared" si="115"/>
        <v>18.575000000000003</v>
      </c>
      <c r="G512" s="1410"/>
      <c r="H512" s="1411">
        <f t="shared" ref="H512" si="116">H343</f>
        <v>0.30000000000000004</v>
      </c>
      <c r="I512" s="1406">
        <f t="shared" si="78"/>
        <v>11.145000000000003</v>
      </c>
      <c r="Q512" s="1394">
        <f>IFERROR(VLOOKUP(M512,#REF!,3,0),0)</f>
        <v>0</v>
      </c>
      <c r="R512" s="1394">
        <f t="shared" si="74"/>
        <v>0</v>
      </c>
      <c r="S512" s="1394">
        <f>IFERROR(VLOOKUP(M512,#REF!,6,0),0)</f>
        <v>0</v>
      </c>
      <c r="T512" s="1394">
        <f t="shared" si="75"/>
        <v>0</v>
      </c>
      <c r="U512" s="1394">
        <f>IFERROR(VLOOKUP(M512,#REF!,5,0),0)</f>
        <v>0</v>
      </c>
      <c r="V512" s="1394">
        <f t="shared" si="76"/>
        <v>0</v>
      </c>
      <c r="W512" s="1394"/>
    </row>
    <row r="513" spans="2:23" ht="30" hidden="1" customHeight="1">
      <c r="B513" s="1405"/>
      <c r="C513" s="1408" t="str">
        <f t="shared" ref="C513" si="117">C344</f>
        <v/>
      </c>
      <c r="D513" s="1416">
        <f t="shared" si="81"/>
        <v>0</v>
      </c>
      <c r="E513" s="1409">
        <f t="shared" ref="E513:F513" si="118">E344</f>
        <v>0</v>
      </c>
      <c r="F513" s="1410">
        <f t="shared" si="118"/>
        <v>0</v>
      </c>
      <c r="G513" s="1410"/>
      <c r="H513" s="1411">
        <f t="shared" ref="H513" si="119">H344</f>
        <v>0</v>
      </c>
      <c r="I513" s="1406">
        <f t="shared" si="78"/>
        <v>0</v>
      </c>
      <c r="Q513" s="1394">
        <f>IFERROR(VLOOKUP(M513,#REF!,3,0),0)</f>
        <v>0</v>
      </c>
      <c r="R513" s="1394">
        <f t="shared" si="74"/>
        <v>0</v>
      </c>
      <c r="S513" s="1394">
        <f>IFERROR(VLOOKUP(M513,#REF!,6,0),0)</f>
        <v>0</v>
      </c>
      <c r="T513" s="1394">
        <f t="shared" si="75"/>
        <v>0</v>
      </c>
      <c r="U513" s="1394">
        <f>IFERROR(VLOOKUP(M513,#REF!,5,0),0)</f>
        <v>0</v>
      </c>
      <c r="V513" s="1394">
        <f t="shared" si="76"/>
        <v>0</v>
      </c>
      <c r="W513" s="1394"/>
    </row>
    <row r="514" spans="2:23" ht="30" hidden="1" customHeight="1">
      <c r="B514" s="1405"/>
      <c r="C514" s="1408" t="str">
        <f t="shared" ref="C514" si="120">C345</f>
        <v/>
      </c>
      <c r="D514" s="1416">
        <f t="shared" si="81"/>
        <v>0</v>
      </c>
      <c r="E514" s="1409">
        <f t="shared" ref="E514:F514" si="121">E345</f>
        <v>0</v>
      </c>
      <c r="F514" s="1410">
        <f t="shared" si="121"/>
        <v>0</v>
      </c>
      <c r="G514" s="1410"/>
      <c r="H514" s="1411">
        <f t="shared" ref="H514" si="122">H345</f>
        <v>0</v>
      </c>
      <c r="I514" s="1406">
        <f t="shared" si="78"/>
        <v>0</v>
      </c>
      <c r="Q514" s="1394">
        <f>IFERROR(VLOOKUP(M514,#REF!,3,0),0)</f>
        <v>0</v>
      </c>
      <c r="R514" s="1394">
        <f t="shared" si="74"/>
        <v>0</v>
      </c>
      <c r="S514" s="1394">
        <f>IFERROR(VLOOKUP(M514,#REF!,6,0),0)</f>
        <v>0</v>
      </c>
      <c r="T514" s="1394">
        <f t="shared" si="75"/>
        <v>0</v>
      </c>
      <c r="U514" s="1394">
        <f>IFERROR(VLOOKUP(M514,#REF!,5,0),0)</f>
        <v>0</v>
      </c>
      <c r="V514" s="1394">
        <f t="shared" si="76"/>
        <v>0</v>
      </c>
      <c r="W514" s="1394"/>
    </row>
    <row r="515" spans="2:23" ht="30" customHeight="1">
      <c r="B515" s="1405"/>
      <c r="C515" s="1415" t="str">
        <f t="shared" ref="C515" si="123">C346</f>
        <v>-Y- Direction</v>
      </c>
      <c r="D515" s="1416">
        <f t="shared" si="81"/>
        <v>0</v>
      </c>
      <c r="E515" s="1409">
        <f t="shared" ref="E515:F515" si="124">E346</f>
        <v>0</v>
      </c>
      <c r="F515" s="1410">
        <f t="shared" si="124"/>
        <v>0</v>
      </c>
      <c r="G515" s="1410"/>
      <c r="H515" s="1411">
        <f t="shared" ref="H515" si="125">H346</f>
        <v>0</v>
      </c>
      <c r="I515" s="1406">
        <f t="shared" si="78"/>
        <v>0</v>
      </c>
      <c r="Q515" s="1394">
        <f>IFERROR(VLOOKUP(M515,#REF!,3,0),0)</f>
        <v>0</v>
      </c>
      <c r="R515" s="1394">
        <f t="shared" si="74"/>
        <v>0</v>
      </c>
      <c r="S515" s="1394">
        <f>IFERROR(VLOOKUP(M515,#REF!,6,0),0)</f>
        <v>0</v>
      </c>
      <c r="T515" s="1394">
        <f t="shared" si="75"/>
        <v>0</v>
      </c>
      <c r="U515" s="1394">
        <f>IFERROR(VLOOKUP(M515,#REF!,5,0),0)</f>
        <v>0</v>
      </c>
      <c r="V515" s="1394">
        <f t="shared" si="76"/>
        <v>0</v>
      </c>
      <c r="W515" s="1394"/>
    </row>
    <row r="516" spans="2:23" ht="30" customHeight="1">
      <c r="B516" s="1405"/>
      <c r="C516" s="1408" t="str">
        <f t="shared" ref="C516" si="126">C347</f>
        <v>D1 to D3 &amp; F1 to F3GB-3</v>
      </c>
      <c r="D516" s="1416">
        <f t="shared" si="81"/>
        <v>2</v>
      </c>
      <c r="E516" s="1409">
        <f t="shared" ref="E516:F516" si="127">E347</f>
        <v>2</v>
      </c>
      <c r="F516" s="1410">
        <f t="shared" si="127"/>
        <v>4.6899999999999995</v>
      </c>
      <c r="G516" s="1410"/>
      <c r="H516" s="1411">
        <f t="shared" ref="H516" si="128">H347</f>
        <v>0.30000000000000004</v>
      </c>
      <c r="I516" s="1406">
        <f t="shared" si="78"/>
        <v>5.6280000000000001</v>
      </c>
      <c r="Q516" s="1394">
        <f>IFERROR(VLOOKUP(M516,#REF!,3,0),0)</f>
        <v>0</v>
      </c>
      <c r="R516" s="1394">
        <f t="shared" si="74"/>
        <v>0</v>
      </c>
      <c r="S516" s="1394">
        <f>IFERROR(VLOOKUP(M516,#REF!,6,0),0)</f>
        <v>0</v>
      </c>
      <c r="T516" s="1394">
        <f t="shared" si="75"/>
        <v>0</v>
      </c>
      <c r="U516" s="1394">
        <f>IFERROR(VLOOKUP(M516,#REF!,5,0),0)</f>
        <v>0</v>
      </c>
      <c r="V516" s="1394">
        <f t="shared" si="76"/>
        <v>0</v>
      </c>
      <c r="W516" s="1394"/>
    </row>
    <row r="517" spans="2:23" ht="30" customHeight="1">
      <c r="B517" s="1405"/>
      <c r="C517" s="1408" t="str">
        <f t="shared" ref="C517" si="129">C348</f>
        <v>A3 to A8 ,B3 to B8 &amp; H3 to H8GB-3</v>
      </c>
      <c r="D517" s="1416">
        <f t="shared" si="81"/>
        <v>2</v>
      </c>
      <c r="E517" s="1409">
        <f t="shared" ref="E517:F517" si="130">E348</f>
        <v>3</v>
      </c>
      <c r="F517" s="1410">
        <f t="shared" si="130"/>
        <v>15.649999999999999</v>
      </c>
      <c r="G517" s="1410"/>
      <c r="H517" s="1411">
        <f t="shared" ref="H517" si="131">H348</f>
        <v>0.30000000000000004</v>
      </c>
      <c r="I517" s="1406">
        <f t="shared" si="78"/>
        <v>28.17</v>
      </c>
      <c r="Q517" s="1394">
        <f>IFERROR(VLOOKUP(M517,#REF!,3,0),0)</f>
        <v>0</v>
      </c>
      <c r="R517" s="1394">
        <f t="shared" si="74"/>
        <v>0</v>
      </c>
      <c r="S517" s="1394">
        <f>IFERROR(VLOOKUP(M517,#REF!,6,0),0)</f>
        <v>0</v>
      </c>
      <c r="T517" s="1394">
        <f t="shared" si="75"/>
        <v>0</v>
      </c>
      <c r="U517" s="1394">
        <f>IFERROR(VLOOKUP(M517,#REF!,5,0),0)</f>
        <v>0</v>
      </c>
      <c r="V517" s="1394">
        <f t="shared" si="76"/>
        <v>0</v>
      </c>
      <c r="W517" s="1394"/>
    </row>
    <row r="518" spans="2:23" ht="30" customHeight="1">
      <c r="B518" s="1405"/>
      <c r="C518" s="1408" t="str">
        <f t="shared" ref="C518" si="132">C349</f>
        <v>D5 to D7GB-1</v>
      </c>
      <c r="D518" s="1416">
        <f t="shared" si="81"/>
        <v>2</v>
      </c>
      <c r="E518" s="1409">
        <f t="shared" ref="E518:F518" si="133">E349</f>
        <v>1</v>
      </c>
      <c r="F518" s="1410">
        <f t="shared" si="133"/>
        <v>5.99</v>
      </c>
      <c r="G518" s="1410"/>
      <c r="H518" s="1411">
        <f t="shared" ref="H518" si="134">H349</f>
        <v>0.38</v>
      </c>
      <c r="I518" s="1406">
        <f t="shared" si="78"/>
        <v>4.5524000000000004</v>
      </c>
      <c r="Q518" s="1394">
        <f>IFERROR(VLOOKUP(M518,#REF!,3,0),0)</f>
        <v>0</v>
      </c>
      <c r="R518" s="1394">
        <f t="shared" si="74"/>
        <v>0</v>
      </c>
      <c r="S518" s="1394">
        <f>IFERROR(VLOOKUP(M518,#REF!,6,0),0)</f>
        <v>0</v>
      </c>
      <c r="T518" s="1394">
        <f t="shared" si="75"/>
        <v>0</v>
      </c>
      <c r="U518" s="1394">
        <f>IFERROR(VLOOKUP(M518,#REF!,5,0),0)</f>
        <v>0</v>
      </c>
      <c r="V518" s="1394">
        <f t="shared" si="76"/>
        <v>0</v>
      </c>
      <c r="W518" s="1394"/>
    </row>
    <row r="519" spans="2:23" ht="30" customHeight="1">
      <c r="B519" s="1405"/>
      <c r="C519" s="1408" t="str">
        <f t="shared" ref="C519" si="135">C350</f>
        <v>E7 to E8 &amp; G7 to G8GB-3</v>
      </c>
      <c r="D519" s="1416">
        <f t="shared" si="81"/>
        <v>2</v>
      </c>
      <c r="E519" s="1409">
        <f t="shared" ref="E519:F519" si="136">E350</f>
        <v>2</v>
      </c>
      <c r="F519" s="1410">
        <f t="shared" si="136"/>
        <v>4.13</v>
      </c>
      <c r="G519" s="1410"/>
      <c r="H519" s="1411">
        <f t="shared" ref="H519" si="137">H350</f>
        <v>0.30000000000000004</v>
      </c>
      <c r="I519" s="1406">
        <f t="shared" si="78"/>
        <v>4.9560000000000004</v>
      </c>
      <c r="Q519" s="1394">
        <f>IFERROR(VLOOKUP(M519,#REF!,3,0),0)</f>
        <v>0</v>
      </c>
      <c r="R519" s="1394">
        <f t="shared" si="74"/>
        <v>0</v>
      </c>
      <c r="S519" s="1394">
        <f>IFERROR(VLOOKUP(M519,#REF!,6,0),0)</f>
        <v>0</v>
      </c>
      <c r="T519" s="1394">
        <f t="shared" si="75"/>
        <v>0</v>
      </c>
      <c r="U519" s="1394">
        <f>IFERROR(VLOOKUP(M519,#REF!,5,0),0)</f>
        <v>0</v>
      </c>
      <c r="V519" s="1394">
        <f t="shared" si="76"/>
        <v>0</v>
      </c>
      <c r="W519" s="1394"/>
    </row>
    <row r="520" spans="2:23" ht="30" customHeight="1">
      <c r="B520" s="1405"/>
      <c r="C520" s="1408" t="str">
        <f t="shared" ref="C520" si="138">C351</f>
        <v>F3 To F5GB-3</v>
      </c>
      <c r="D520" s="1416">
        <f t="shared" si="81"/>
        <v>2</v>
      </c>
      <c r="E520" s="1409">
        <f t="shared" ref="E520:F520" si="139">E351</f>
        <v>1</v>
      </c>
      <c r="F520" s="1410">
        <f t="shared" si="139"/>
        <v>5.5299999999999994</v>
      </c>
      <c r="G520" s="1410"/>
      <c r="H520" s="1411">
        <f t="shared" ref="H520" si="140">H351</f>
        <v>0.30000000000000004</v>
      </c>
      <c r="I520" s="1406">
        <f t="shared" si="78"/>
        <v>3.3180000000000001</v>
      </c>
      <c r="Q520" s="1394">
        <f>IFERROR(VLOOKUP(M520,#REF!,3,0),0)</f>
        <v>0</v>
      </c>
      <c r="R520" s="1394">
        <f t="shared" si="74"/>
        <v>0</v>
      </c>
      <c r="S520" s="1394">
        <f>IFERROR(VLOOKUP(M520,#REF!,6,0),0)</f>
        <v>0</v>
      </c>
      <c r="T520" s="1394">
        <f t="shared" si="75"/>
        <v>0</v>
      </c>
      <c r="U520" s="1394">
        <f>IFERROR(VLOOKUP(M520,#REF!,5,0),0)</f>
        <v>0</v>
      </c>
      <c r="V520" s="1394">
        <f t="shared" si="76"/>
        <v>0</v>
      </c>
      <c r="W520" s="1394"/>
    </row>
    <row r="521" spans="2:23" ht="30" customHeight="1">
      <c r="B521" s="1405"/>
      <c r="C521" s="1408" t="str">
        <f t="shared" ref="C521" si="141">C352</f>
        <v>G5 to G7GB-3</v>
      </c>
      <c r="D521" s="1416">
        <f>D352*2</f>
        <v>2</v>
      </c>
      <c r="E521" s="1409">
        <f t="shared" ref="E521:F521" si="142">E352</f>
        <v>1</v>
      </c>
      <c r="F521" s="1410">
        <f t="shared" si="142"/>
        <v>5.99</v>
      </c>
      <c r="G521" s="1410"/>
      <c r="H521" s="1411">
        <f t="shared" ref="H521" si="143">H352</f>
        <v>0.30000000000000004</v>
      </c>
      <c r="I521" s="1406">
        <f t="shared" si="78"/>
        <v>3.5940000000000007</v>
      </c>
      <c r="Q521" s="1394">
        <f>IFERROR(VLOOKUP(M521,#REF!,3,0),0)</f>
        <v>0</v>
      </c>
      <c r="R521" s="1394">
        <f t="shared" si="74"/>
        <v>0</v>
      </c>
      <c r="S521" s="1394">
        <f>IFERROR(VLOOKUP(M521,#REF!,6,0),0)</f>
        <v>0</v>
      </c>
      <c r="T521" s="1394">
        <f t="shared" si="75"/>
        <v>0</v>
      </c>
      <c r="U521" s="1394">
        <f>IFERROR(VLOOKUP(M521,#REF!,5,0),0)</f>
        <v>0</v>
      </c>
      <c r="V521" s="1394">
        <f t="shared" si="76"/>
        <v>0</v>
      </c>
      <c r="W521" s="1394"/>
    </row>
    <row r="522" spans="2:23" ht="30" customHeight="1">
      <c r="B522" s="1405"/>
      <c r="C522" s="1415" t="s">
        <v>5722</v>
      </c>
      <c r="D522" s="1416"/>
      <c r="E522" s="1409"/>
      <c r="F522" s="1410"/>
      <c r="G522" s="1410"/>
      <c r="H522" s="1411"/>
      <c r="I522" s="1406">
        <f t="shared" si="78"/>
        <v>0</v>
      </c>
      <c r="Q522" s="1394">
        <f>IFERROR(VLOOKUP(M522,#REF!,3,0),0)</f>
        <v>0</v>
      </c>
      <c r="R522" s="1394">
        <f t="shared" si="74"/>
        <v>0</v>
      </c>
      <c r="S522" s="1394">
        <f>IFERROR(VLOOKUP(M522,#REF!,6,0),0)</f>
        <v>0</v>
      </c>
      <c r="T522" s="1394">
        <f t="shared" si="75"/>
        <v>0</v>
      </c>
      <c r="U522" s="1394">
        <f>IFERROR(VLOOKUP(M522,#REF!,5,0),0)</f>
        <v>0</v>
      </c>
      <c r="V522" s="1394">
        <f t="shared" si="76"/>
        <v>0</v>
      </c>
      <c r="W522" s="1394"/>
    </row>
    <row r="523" spans="2:23" ht="30" customHeight="1">
      <c r="B523" s="1405"/>
      <c r="C523" s="1408" t="str">
        <f t="shared" ref="C523:H532" si="144">C499</f>
        <v>-X- Direction</v>
      </c>
      <c r="D523" s="1416">
        <f t="shared" si="144"/>
        <v>0</v>
      </c>
      <c r="E523" s="1409">
        <f t="shared" si="144"/>
        <v>0</v>
      </c>
      <c r="F523" s="1410">
        <f t="shared" si="144"/>
        <v>0</v>
      </c>
      <c r="G523" s="1410"/>
      <c r="H523" s="1411">
        <f t="shared" si="144"/>
        <v>0</v>
      </c>
      <c r="I523" s="1406">
        <f t="shared" si="78"/>
        <v>0</v>
      </c>
      <c r="Q523" s="1394">
        <f>IFERROR(VLOOKUP(M523,#REF!,3,0),0)</f>
        <v>0</v>
      </c>
      <c r="R523" s="1394">
        <f t="shared" si="74"/>
        <v>0</v>
      </c>
      <c r="S523" s="1394">
        <f>IFERROR(VLOOKUP(M523,#REF!,6,0),0)</f>
        <v>0</v>
      </c>
      <c r="T523" s="1394">
        <f t="shared" si="75"/>
        <v>0</v>
      </c>
      <c r="U523" s="1394">
        <f>IFERROR(VLOOKUP(M523,#REF!,5,0),0)</f>
        <v>0</v>
      </c>
      <c r="V523" s="1394">
        <f t="shared" si="76"/>
        <v>0</v>
      </c>
      <c r="W523" s="1394"/>
    </row>
    <row r="524" spans="2:23" ht="30" customHeight="1">
      <c r="B524" s="1405"/>
      <c r="C524" s="1408" t="str">
        <f t="shared" si="144"/>
        <v>A3 to B3, A5 to B5 , A6 to B6 and A6 to B6GB-2</v>
      </c>
      <c r="D524" s="1416">
        <f t="shared" si="144"/>
        <v>2</v>
      </c>
      <c r="E524" s="1409">
        <f t="shared" si="144"/>
        <v>4</v>
      </c>
      <c r="F524" s="1410">
        <f t="shared" si="144"/>
        <v>4.2300000000000004</v>
      </c>
      <c r="G524" s="1410"/>
      <c r="H524" s="1411">
        <f t="shared" si="144"/>
        <v>0.30000000000000004</v>
      </c>
      <c r="I524" s="1406">
        <f t="shared" si="78"/>
        <v>10.152000000000003</v>
      </c>
      <c r="Q524" s="1394">
        <f>IFERROR(VLOOKUP(M524,#REF!,3,0),0)</f>
        <v>0</v>
      </c>
      <c r="R524" s="1394">
        <f t="shared" si="74"/>
        <v>0</v>
      </c>
      <c r="S524" s="1394">
        <f>IFERROR(VLOOKUP(M524,#REF!,6,0),0)</f>
        <v>0</v>
      </c>
      <c r="T524" s="1394">
        <f t="shared" si="75"/>
        <v>0</v>
      </c>
      <c r="U524" s="1394">
        <f>IFERROR(VLOOKUP(M524,#REF!,5,0),0)</f>
        <v>0</v>
      </c>
      <c r="V524" s="1394">
        <f t="shared" si="76"/>
        <v>0</v>
      </c>
      <c r="W524" s="1394"/>
    </row>
    <row r="525" spans="2:23" ht="30" customHeight="1">
      <c r="B525" s="1405"/>
      <c r="C525" s="1408" t="str">
        <f t="shared" si="144"/>
        <v>D1 to F1 &amp; D2 to F2GB-3</v>
      </c>
      <c r="D525" s="1416">
        <f t="shared" si="144"/>
        <v>2</v>
      </c>
      <c r="E525" s="1409">
        <f t="shared" si="144"/>
        <v>2</v>
      </c>
      <c r="F525" s="1410">
        <f t="shared" si="144"/>
        <v>3.6549999999999998</v>
      </c>
      <c r="G525" s="1410"/>
      <c r="H525" s="1411">
        <f t="shared" si="144"/>
        <v>0.30000000000000004</v>
      </c>
      <c r="I525" s="1406">
        <f t="shared" si="78"/>
        <v>4.3860000000000001</v>
      </c>
      <c r="Q525" s="1394">
        <f>IFERROR(VLOOKUP(M525,#REF!,3,0),0)</f>
        <v>0</v>
      </c>
      <c r="R525" s="1394">
        <f t="shared" si="74"/>
        <v>0</v>
      </c>
      <c r="S525" s="1394">
        <f>IFERROR(VLOOKUP(M525,#REF!,6,0),0)</f>
        <v>0</v>
      </c>
      <c r="T525" s="1394">
        <f t="shared" si="75"/>
        <v>0</v>
      </c>
      <c r="U525" s="1394">
        <f>IFERROR(VLOOKUP(M525,#REF!,5,0),0)</f>
        <v>0</v>
      </c>
      <c r="V525" s="1394">
        <f t="shared" si="76"/>
        <v>0</v>
      </c>
      <c r="W525" s="1394"/>
    </row>
    <row r="526" spans="2:23" ht="30" customHeight="1">
      <c r="B526" s="1405"/>
      <c r="C526" s="1408" t="str">
        <f t="shared" si="144"/>
        <v>B3 to F3GB-1</v>
      </c>
      <c r="D526" s="1416">
        <f t="shared" si="144"/>
        <v>2</v>
      </c>
      <c r="E526" s="1409">
        <f t="shared" si="144"/>
        <v>1</v>
      </c>
      <c r="F526" s="1410">
        <f t="shared" si="144"/>
        <v>6.8849999999999998</v>
      </c>
      <c r="G526" s="1410"/>
      <c r="H526" s="1411">
        <f t="shared" si="144"/>
        <v>0.38</v>
      </c>
      <c r="I526" s="1406">
        <f t="shared" si="78"/>
        <v>5.2325999999999997</v>
      </c>
      <c r="Q526" s="1394">
        <f>IFERROR(VLOOKUP(M526,#REF!,3,0),0)</f>
        <v>0</v>
      </c>
      <c r="R526" s="1394">
        <f t="shared" si="74"/>
        <v>0</v>
      </c>
      <c r="S526" s="1394">
        <f>IFERROR(VLOOKUP(M526,#REF!,6,0),0)</f>
        <v>0</v>
      </c>
      <c r="T526" s="1394">
        <f t="shared" si="75"/>
        <v>0</v>
      </c>
      <c r="U526" s="1394">
        <f>IFERROR(VLOOKUP(M526,#REF!,5,0),0)</f>
        <v>0</v>
      </c>
      <c r="V526" s="1394">
        <f t="shared" si="76"/>
        <v>0</v>
      </c>
      <c r="W526" s="1394"/>
    </row>
    <row r="527" spans="2:23" ht="30" customHeight="1">
      <c r="B527" s="1405"/>
      <c r="C527" s="1408" t="str">
        <f t="shared" si="144"/>
        <v>F3 to H3GB-2</v>
      </c>
      <c r="D527" s="1416">
        <f t="shared" si="144"/>
        <v>2</v>
      </c>
      <c r="E527" s="1409">
        <f t="shared" si="144"/>
        <v>1</v>
      </c>
      <c r="F527" s="1410">
        <f t="shared" si="144"/>
        <v>7.46</v>
      </c>
      <c r="G527" s="1410"/>
      <c r="H527" s="1411">
        <f t="shared" si="144"/>
        <v>0.30000000000000004</v>
      </c>
      <c r="I527" s="1406">
        <f t="shared" si="78"/>
        <v>4.4760000000000009</v>
      </c>
      <c r="Q527" s="1394">
        <f>IFERROR(VLOOKUP(M527,#REF!,3,0),0)</f>
        <v>0</v>
      </c>
      <c r="R527" s="1394">
        <f t="shared" si="74"/>
        <v>0</v>
      </c>
      <c r="S527" s="1394">
        <f>IFERROR(VLOOKUP(M527,#REF!,6,0),0)</f>
        <v>0</v>
      </c>
      <c r="T527" s="1394">
        <f t="shared" si="75"/>
        <v>0</v>
      </c>
      <c r="U527" s="1394">
        <f>IFERROR(VLOOKUP(M527,#REF!,5,0),0)</f>
        <v>0</v>
      </c>
      <c r="V527" s="1394">
        <f t="shared" si="76"/>
        <v>0</v>
      </c>
      <c r="W527" s="1394"/>
    </row>
    <row r="528" spans="2:23" ht="30" customHeight="1">
      <c r="B528" s="1405"/>
      <c r="C528" s="1408" t="str">
        <f t="shared" si="144"/>
        <v>C4 to F4 , C5 to F5GB-1</v>
      </c>
      <c r="D528" s="1416">
        <f t="shared" si="144"/>
        <v>2</v>
      </c>
      <c r="E528" s="1409">
        <f t="shared" si="144"/>
        <v>2</v>
      </c>
      <c r="F528" s="1410">
        <f t="shared" si="144"/>
        <v>4.5549999999999997</v>
      </c>
      <c r="G528" s="1410"/>
      <c r="H528" s="1411">
        <f t="shared" si="144"/>
        <v>0.38</v>
      </c>
      <c r="I528" s="1406">
        <f t="shared" si="78"/>
        <v>6.9235999999999995</v>
      </c>
      <c r="Q528" s="1394">
        <f>IFERROR(VLOOKUP(M528,#REF!,3,0),0)</f>
        <v>0</v>
      </c>
      <c r="R528" s="1394">
        <f t="shared" si="74"/>
        <v>0</v>
      </c>
      <c r="S528" s="1394">
        <f>IFERROR(VLOOKUP(M528,#REF!,6,0),0)</f>
        <v>0</v>
      </c>
      <c r="T528" s="1394">
        <f t="shared" si="75"/>
        <v>0</v>
      </c>
      <c r="U528" s="1394">
        <f>IFERROR(VLOOKUP(M528,#REF!,5,0),0)</f>
        <v>0</v>
      </c>
      <c r="V528" s="1394">
        <f t="shared" si="76"/>
        <v>0</v>
      </c>
      <c r="W528" s="1394"/>
    </row>
    <row r="529" spans="2:23" ht="30" customHeight="1">
      <c r="B529" s="1405"/>
      <c r="C529" s="1408" t="str">
        <f t="shared" si="144"/>
        <v>B4 to C4 , B5 to C5GB-1</v>
      </c>
      <c r="D529" s="1416">
        <f t="shared" si="144"/>
        <v>2</v>
      </c>
      <c r="E529" s="1409">
        <f t="shared" si="144"/>
        <v>2</v>
      </c>
      <c r="F529" s="1410">
        <f t="shared" si="144"/>
        <v>2.33</v>
      </c>
      <c r="G529" s="1410"/>
      <c r="H529" s="1411">
        <f t="shared" si="144"/>
        <v>0.38</v>
      </c>
      <c r="I529" s="1406">
        <f t="shared" si="78"/>
        <v>3.5416000000000003</v>
      </c>
      <c r="Q529" s="1394">
        <f>IFERROR(VLOOKUP(M529,#REF!,3,0),0)</f>
        <v>0</v>
      </c>
      <c r="R529" s="1394">
        <f t="shared" si="74"/>
        <v>0</v>
      </c>
      <c r="S529" s="1394">
        <f>IFERROR(VLOOKUP(M529,#REF!,6,0),0)</f>
        <v>0</v>
      </c>
      <c r="T529" s="1394">
        <f t="shared" si="75"/>
        <v>0</v>
      </c>
      <c r="U529" s="1394">
        <f>IFERROR(VLOOKUP(M529,#REF!,5,0),0)</f>
        <v>0</v>
      </c>
      <c r="V529" s="1394">
        <f t="shared" si="76"/>
        <v>0</v>
      </c>
      <c r="W529" s="1394"/>
    </row>
    <row r="530" spans="2:23" ht="30" customHeight="1">
      <c r="B530" s="1405"/>
      <c r="C530" s="1408" t="str">
        <f t="shared" si="144"/>
        <v>F5 to G5 GB-2</v>
      </c>
      <c r="D530" s="1416">
        <f t="shared" si="144"/>
        <v>2</v>
      </c>
      <c r="E530" s="1409">
        <f t="shared" si="144"/>
        <v>1</v>
      </c>
      <c r="F530" s="1410">
        <f t="shared" si="144"/>
        <v>3.4649999999999999</v>
      </c>
      <c r="G530" s="1410"/>
      <c r="H530" s="1411">
        <f t="shared" si="144"/>
        <v>0.30000000000000004</v>
      </c>
      <c r="I530" s="1406">
        <f t="shared" si="78"/>
        <v>2.0790000000000002</v>
      </c>
      <c r="Q530" s="1394">
        <f>IFERROR(VLOOKUP(M530,#REF!,3,0),0)</f>
        <v>0</v>
      </c>
      <c r="R530" s="1394">
        <f t="shared" si="74"/>
        <v>0</v>
      </c>
      <c r="S530" s="1394">
        <f>IFERROR(VLOOKUP(M530,#REF!,6,0),0)</f>
        <v>0</v>
      </c>
      <c r="T530" s="1394">
        <f t="shared" si="75"/>
        <v>0</v>
      </c>
      <c r="U530" s="1394">
        <f>IFERROR(VLOOKUP(M530,#REF!,5,0),0)</f>
        <v>0</v>
      </c>
      <c r="V530" s="1394">
        <f t="shared" si="76"/>
        <v>0</v>
      </c>
      <c r="W530" s="1394"/>
    </row>
    <row r="531" spans="2:23" ht="30" customHeight="1">
      <c r="B531" s="1405"/>
      <c r="C531" s="1408" t="str">
        <f t="shared" si="144"/>
        <v>G5 to H5 GB-2</v>
      </c>
      <c r="D531" s="1416">
        <f t="shared" si="144"/>
        <v>2</v>
      </c>
      <c r="E531" s="1409">
        <f t="shared" si="144"/>
        <v>1</v>
      </c>
      <c r="F531" s="1410">
        <f t="shared" si="144"/>
        <v>3.9950000000000001</v>
      </c>
      <c r="G531" s="1410"/>
      <c r="H531" s="1411">
        <f t="shared" si="144"/>
        <v>0.30000000000000004</v>
      </c>
      <c r="I531" s="1406">
        <f t="shared" si="78"/>
        <v>2.3970000000000002</v>
      </c>
      <c r="Q531" s="1394">
        <f>IFERROR(VLOOKUP(M531,#REF!,3,0),0)</f>
        <v>0</v>
      </c>
      <c r="R531" s="1394">
        <f t="shared" si="74"/>
        <v>0</v>
      </c>
      <c r="S531" s="1394">
        <f>IFERROR(VLOOKUP(M531,#REF!,6,0),0)</f>
        <v>0</v>
      </c>
      <c r="T531" s="1394">
        <f t="shared" si="75"/>
        <v>0</v>
      </c>
      <c r="U531" s="1394">
        <f>IFERROR(VLOOKUP(M531,#REF!,5,0),0)</f>
        <v>0</v>
      </c>
      <c r="V531" s="1394">
        <f t="shared" si="76"/>
        <v>0</v>
      </c>
      <c r="W531" s="1394"/>
    </row>
    <row r="532" spans="2:23" ht="30" customHeight="1">
      <c r="B532" s="1405"/>
      <c r="C532" s="1408" t="str">
        <f t="shared" si="144"/>
        <v>B6' to D6'GB-3</v>
      </c>
      <c r="D532" s="1416">
        <f t="shared" si="144"/>
        <v>2</v>
      </c>
      <c r="E532" s="1409">
        <f t="shared" si="144"/>
        <v>1</v>
      </c>
      <c r="F532" s="1410">
        <f t="shared" si="144"/>
        <v>3.125</v>
      </c>
      <c r="G532" s="1410"/>
      <c r="H532" s="1411">
        <f t="shared" si="144"/>
        <v>0.30000000000000004</v>
      </c>
      <c r="I532" s="1406">
        <f t="shared" si="78"/>
        <v>1.8750000000000002</v>
      </c>
      <c r="Q532" s="1394">
        <f>IFERROR(VLOOKUP(M532,#REF!,3,0),0)</f>
        <v>0</v>
      </c>
      <c r="R532" s="1394">
        <f t="shared" si="74"/>
        <v>0</v>
      </c>
      <c r="S532" s="1394">
        <f>IFERROR(VLOOKUP(M532,#REF!,6,0),0)</f>
        <v>0</v>
      </c>
      <c r="T532" s="1394">
        <f t="shared" si="75"/>
        <v>0</v>
      </c>
      <c r="U532" s="1394">
        <f>IFERROR(VLOOKUP(M532,#REF!,5,0),0)</f>
        <v>0</v>
      </c>
      <c r="V532" s="1394">
        <f t="shared" si="76"/>
        <v>0</v>
      </c>
      <c r="W532" s="1394"/>
    </row>
    <row r="533" spans="2:23" ht="30" customHeight="1">
      <c r="B533" s="1405"/>
      <c r="C533" s="1408" t="str">
        <f t="shared" ref="C533:H542" si="145">C509</f>
        <v>G6 to H6GB-2</v>
      </c>
      <c r="D533" s="1416">
        <f t="shared" si="145"/>
        <v>2</v>
      </c>
      <c r="E533" s="1409">
        <f t="shared" si="145"/>
        <v>1</v>
      </c>
      <c r="F533" s="1410">
        <f t="shared" si="145"/>
        <v>4.2300000000000004</v>
      </c>
      <c r="G533" s="1410"/>
      <c r="H533" s="1411">
        <f t="shared" si="145"/>
        <v>0.30000000000000004</v>
      </c>
      <c r="I533" s="1406">
        <f t="shared" si="78"/>
        <v>2.5380000000000007</v>
      </c>
      <c r="Q533" s="1394">
        <f>IFERROR(VLOOKUP(M533,#REF!,3,0),0)</f>
        <v>0</v>
      </c>
      <c r="R533" s="1394">
        <f t="shared" si="74"/>
        <v>0</v>
      </c>
      <c r="S533" s="1394">
        <f>IFERROR(VLOOKUP(M533,#REF!,6,0),0)</f>
        <v>0</v>
      </c>
      <c r="T533" s="1394">
        <f t="shared" si="75"/>
        <v>0</v>
      </c>
      <c r="U533" s="1394">
        <f>IFERROR(VLOOKUP(M533,#REF!,5,0),0)</f>
        <v>0</v>
      </c>
      <c r="V533" s="1394">
        <f t="shared" si="76"/>
        <v>0</v>
      </c>
      <c r="W533" s="1394"/>
    </row>
    <row r="534" spans="2:23" ht="30" customHeight="1">
      <c r="B534" s="1405"/>
      <c r="C534" s="1408" t="str">
        <f t="shared" si="145"/>
        <v>B7 to E7GB-1</v>
      </c>
      <c r="D534" s="1416">
        <f t="shared" si="145"/>
        <v>2</v>
      </c>
      <c r="E534" s="1409">
        <f t="shared" si="145"/>
        <v>1</v>
      </c>
      <c r="F534" s="1410">
        <f t="shared" si="145"/>
        <v>5.6549999999999994</v>
      </c>
      <c r="G534" s="1410"/>
      <c r="H534" s="1411">
        <f t="shared" si="145"/>
        <v>0.38</v>
      </c>
      <c r="I534" s="1406">
        <f t="shared" si="78"/>
        <v>4.2977999999999996</v>
      </c>
      <c r="Q534" s="1394">
        <f>IFERROR(VLOOKUP(M534,#REF!,3,0),0)</f>
        <v>0</v>
      </c>
      <c r="R534" s="1394">
        <f t="shared" si="74"/>
        <v>0</v>
      </c>
      <c r="S534" s="1394">
        <f>IFERROR(VLOOKUP(M534,#REF!,6,0),0)</f>
        <v>0</v>
      </c>
      <c r="T534" s="1394">
        <f t="shared" si="75"/>
        <v>0</v>
      </c>
      <c r="U534" s="1394">
        <f>IFERROR(VLOOKUP(M534,#REF!,5,0),0)</f>
        <v>0</v>
      </c>
      <c r="V534" s="1394">
        <f t="shared" si="76"/>
        <v>0</v>
      </c>
      <c r="W534" s="1394"/>
    </row>
    <row r="535" spans="2:23" ht="30" customHeight="1">
      <c r="B535" s="1405"/>
      <c r="C535" s="1408" t="str">
        <f t="shared" si="145"/>
        <v>E7 to H7GB-2</v>
      </c>
      <c r="D535" s="1416">
        <f t="shared" si="145"/>
        <v>2</v>
      </c>
      <c r="E535" s="1409">
        <f t="shared" si="145"/>
        <v>1</v>
      </c>
      <c r="F535" s="1410">
        <f t="shared" si="145"/>
        <v>8.6900000000000013</v>
      </c>
      <c r="G535" s="1410"/>
      <c r="H535" s="1411">
        <f t="shared" si="145"/>
        <v>0.30000000000000004</v>
      </c>
      <c r="I535" s="1406">
        <f t="shared" si="78"/>
        <v>5.2140000000000013</v>
      </c>
      <c r="Q535" s="1394">
        <f>IFERROR(VLOOKUP(M535,#REF!,3,0),0)</f>
        <v>0</v>
      </c>
      <c r="R535" s="1394">
        <f t="shared" si="74"/>
        <v>0</v>
      </c>
      <c r="S535" s="1394">
        <f>IFERROR(VLOOKUP(M535,#REF!,6,0),0)</f>
        <v>0</v>
      </c>
      <c r="T535" s="1394">
        <f t="shared" si="75"/>
        <v>0</v>
      </c>
      <c r="U535" s="1394">
        <f>IFERROR(VLOOKUP(M535,#REF!,5,0),0)</f>
        <v>0</v>
      </c>
      <c r="V535" s="1394">
        <f t="shared" si="76"/>
        <v>0</v>
      </c>
      <c r="W535" s="1394"/>
    </row>
    <row r="536" spans="2:23" ht="30" customHeight="1">
      <c r="B536" s="1405"/>
      <c r="C536" s="1408" t="str">
        <f t="shared" si="145"/>
        <v>A8 to H8GB-3</v>
      </c>
      <c r="D536" s="1416">
        <f t="shared" si="145"/>
        <v>2</v>
      </c>
      <c r="E536" s="1409">
        <f t="shared" si="145"/>
        <v>1</v>
      </c>
      <c r="F536" s="1410">
        <f t="shared" si="145"/>
        <v>18.575000000000003</v>
      </c>
      <c r="G536" s="1410"/>
      <c r="H536" s="1411">
        <f t="shared" si="145"/>
        <v>0.30000000000000004</v>
      </c>
      <c r="I536" s="1406">
        <f t="shared" si="78"/>
        <v>11.145000000000003</v>
      </c>
      <c r="Q536" s="1394">
        <f>IFERROR(VLOOKUP(M536,#REF!,3,0),0)</f>
        <v>0</v>
      </c>
      <c r="R536" s="1394">
        <f t="shared" si="74"/>
        <v>0</v>
      </c>
      <c r="S536" s="1394">
        <f>IFERROR(VLOOKUP(M536,#REF!,6,0),0)</f>
        <v>0</v>
      </c>
      <c r="T536" s="1394">
        <f t="shared" si="75"/>
        <v>0</v>
      </c>
      <c r="U536" s="1394">
        <f>IFERROR(VLOOKUP(M536,#REF!,5,0),0)</f>
        <v>0</v>
      </c>
      <c r="V536" s="1394">
        <f t="shared" si="76"/>
        <v>0</v>
      </c>
      <c r="W536" s="1394"/>
    </row>
    <row r="537" spans="2:23" ht="30" hidden="1" customHeight="1">
      <c r="B537" s="1405"/>
      <c r="C537" s="1408" t="str">
        <f t="shared" si="145"/>
        <v/>
      </c>
      <c r="D537" s="1416">
        <f t="shared" si="145"/>
        <v>0</v>
      </c>
      <c r="E537" s="1409">
        <f t="shared" si="145"/>
        <v>0</v>
      </c>
      <c r="F537" s="1410">
        <f t="shared" si="145"/>
        <v>0</v>
      </c>
      <c r="G537" s="1410"/>
      <c r="H537" s="1411">
        <f t="shared" si="145"/>
        <v>0</v>
      </c>
      <c r="I537" s="1406">
        <f t="shared" si="78"/>
        <v>0</v>
      </c>
      <c r="Q537" s="1394">
        <f>IFERROR(VLOOKUP(M537,#REF!,3,0),0)</f>
        <v>0</v>
      </c>
      <c r="R537" s="1394">
        <f t="shared" si="74"/>
        <v>0</v>
      </c>
      <c r="S537" s="1394">
        <f>IFERROR(VLOOKUP(M537,#REF!,6,0),0)</f>
        <v>0</v>
      </c>
      <c r="T537" s="1394">
        <f t="shared" si="75"/>
        <v>0</v>
      </c>
      <c r="U537" s="1394">
        <f>IFERROR(VLOOKUP(M537,#REF!,5,0),0)</f>
        <v>0</v>
      </c>
      <c r="V537" s="1394">
        <f t="shared" si="76"/>
        <v>0</v>
      </c>
      <c r="W537" s="1394"/>
    </row>
    <row r="538" spans="2:23" ht="30" hidden="1" customHeight="1">
      <c r="B538" s="1405"/>
      <c r="C538" s="1408" t="str">
        <f t="shared" si="145"/>
        <v/>
      </c>
      <c r="D538" s="1416">
        <f t="shared" si="145"/>
        <v>0</v>
      </c>
      <c r="E538" s="1409">
        <f t="shared" si="145"/>
        <v>0</v>
      </c>
      <c r="F538" s="1410">
        <f t="shared" si="145"/>
        <v>0</v>
      </c>
      <c r="G538" s="1410"/>
      <c r="H538" s="1411">
        <f t="shared" si="145"/>
        <v>0</v>
      </c>
      <c r="I538" s="1406">
        <f t="shared" si="78"/>
        <v>0</v>
      </c>
      <c r="Q538" s="1394">
        <f>IFERROR(VLOOKUP(M538,#REF!,3,0),0)</f>
        <v>0</v>
      </c>
      <c r="R538" s="1394">
        <f t="shared" si="74"/>
        <v>0</v>
      </c>
      <c r="S538" s="1394">
        <f>IFERROR(VLOOKUP(M538,#REF!,6,0),0)</f>
        <v>0</v>
      </c>
      <c r="T538" s="1394">
        <f t="shared" si="75"/>
        <v>0</v>
      </c>
      <c r="U538" s="1394">
        <f>IFERROR(VLOOKUP(M538,#REF!,5,0),0)</f>
        <v>0</v>
      </c>
      <c r="V538" s="1394">
        <f t="shared" si="76"/>
        <v>0</v>
      </c>
      <c r="W538" s="1394"/>
    </row>
    <row r="539" spans="2:23" ht="30" customHeight="1">
      <c r="B539" s="1405"/>
      <c r="C539" s="1415" t="str">
        <f t="shared" si="145"/>
        <v>-Y- Direction</v>
      </c>
      <c r="D539" s="1416">
        <f t="shared" si="145"/>
        <v>0</v>
      </c>
      <c r="E539" s="1409">
        <f t="shared" si="145"/>
        <v>0</v>
      </c>
      <c r="F539" s="1410">
        <f t="shared" si="145"/>
        <v>0</v>
      </c>
      <c r="G539" s="1410"/>
      <c r="H539" s="1411">
        <f t="shared" si="145"/>
        <v>0</v>
      </c>
      <c r="I539" s="1406">
        <f t="shared" si="78"/>
        <v>0</v>
      </c>
      <c r="Q539" s="1394">
        <f>IFERROR(VLOOKUP(M539,#REF!,3,0),0)</f>
        <v>0</v>
      </c>
      <c r="R539" s="1394">
        <f t="shared" si="74"/>
        <v>0</v>
      </c>
      <c r="S539" s="1394">
        <f>IFERROR(VLOOKUP(M539,#REF!,6,0),0)</f>
        <v>0</v>
      </c>
      <c r="T539" s="1394">
        <f t="shared" si="75"/>
        <v>0</v>
      </c>
      <c r="U539" s="1394">
        <f>IFERROR(VLOOKUP(M539,#REF!,5,0),0)</f>
        <v>0</v>
      </c>
      <c r="V539" s="1394">
        <f t="shared" si="76"/>
        <v>0</v>
      </c>
      <c r="W539" s="1394"/>
    </row>
    <row r="540" spans="2:23" ht="30" customHeight="1">
      <c r="B540" s="1405"/>
      <c r="C540" s="1408" t="str">
        <f t="shared" si="145"/>
        <v>D1 to D3 &amp; F1 to F3GB-3</v>
      </c>
      <c r="D540" s="1416">
        <f t="shared" si="145"/>
        <v>2</v>
      </c>
      <c r="E540" s="1409">
        <f t="shared" si="145"/>
        <v>2</v>
      </c>
      <c r="F540" s="1410">
        <f t="shared" si="145"/>
        <v>4.6899999999999995</v>
      </c>
      <c r="G540" s="1410"/>
      <c r="H540" s="1411">
        <f t="shared" si="145"/>
        <v>0.30000000000000004</v>
      </c>
      <c r="I540" s="1406">
        <f t="shared" si="78"/>
        <v>5.6280000000000001</v>
      </c>
      <c r="Q540" s="1394">
        <f>IFERROR(VLOOKUP(M540,#REF!,3,0),0)</f>
        <v>0</v>
      </c>
      <c r="R540" s="1394">
        <f t="shared" si="74"/>
        <v>0</v>
      </c>
      <c r="S540" s="1394">
        <f>IFERROR(VLOOKUP(M540,#REF!,6,0),0)</f>
        <v>0</v>
      </c>
      <c r="T540" s="1394">
        <f t="shared" si="75"/>
        <v>0</v>
      </c>
      <c r="U540" s="1394">
        <f>IFERROR(VLOOKUP(M540,#REF!,5,0),0)</f>
        <v>0</v>
      </c>
      <c r="V540" s="1394">
        <f t="shared" si="76"/>
        <v>0</v>
      </c>
      <c r="W540" s="1394"/>
    </row>
    <row r="541" spans="2:23" ht="30" customHeight="1">
      <c r="B541" s="1405"/>
      <c r="C541" s="1408" t="str">
        <f t="shared" si="145"/>
        <v>A3 to A8 ,B3 to B8 &amp; H3 to H8GB-3</v>
      </c>
      <c r="D541" s="1416">
        <f t="shared" si="145"/>
        <v>2</v>
      </c>
      <c r="E541" s="1409">
        <f t="shared" si="145"/>
        <v>3</v>
      </c>
      <c r="F541" s="1410">
        <f t="shared" si="145"/>
        <v>15.649999999999999</v>
      </c>
      <c r="G541" s="1410"/>
      <c r="H541" s="1411">
        <f t="shared" si="145"/>
        <v>0.30000000000000004</v>
      </c>
      <c r="I541" s="1406">
        <f t="shared" si="78"/>
        <v>28.17</v>
      </c>
      <c r="Q541" s="1394">
        <f>IFERROR(VLOOKUP(M541,#REF!,3,0),0)</f>
        <v>0</v>
      </c>
      <c r="R541" s="1394">
        <f t="shared" si="74"/>
        <v>0</v>
      </c>
      <c r="S541" s="1394">
        <f>IFERROR(VLOOKUP(M541,#REF!,6,0),0)</f>
        <v>0</v>
      </c>
      <c r="T541" s="1394">
        <f t="shared" si="75"/>
        <v>0</v>
      </c>
      <c r="U541" s="1394">
        <f>IFERROR(VLOOKUP(M541,#REF!,5,0),0)</f>
        <v>0</v>
      </c>
      <c r="V541" s="1394">
        <f t="shared" si="76"/>
        <v>0</v>
      </c>
      <c r="W541" s="1394"/>
    </row>
    <row r="542" spans="2:23" ht="30" customHeight="1">
      <c r="B542" s="1405"/>
      <c r="C542" s="1408" t="str">
        <f t="shared" si="145"/>
        <v>D5 to D7GB-1</v>
      </c>
      <c r="D542" s="1416">
        <f t="shared" si="145"/>
        <v>2</v>
      </c>
      <c r="E542" s="1409">
        <f t="shared" si="145"/>
        <v>1</v>
      </c>
      <c r="F542" s="1410">
        <f t="shared" si="145"/>
        <v>5.99</v>
      </c>
      <c r="G542" s="1410"/>
      <c r="H542" s="1411">
        <f t="shared" si="145"/>
        <v>0.38</v>
      </c>
      <c r="I542" s="1406">
        <f t="shared" si="78"/>
        <v>4.5524000000000004</v>
      </c>
      <c r="Q542" s="1394">
        <f>IFERROR(VLOOKUP(M542,#REF!,3,0),0)</f>
        <v>0</v>
      </c>
      <c r="R542" s="1394">
        <f t="shared" si="74"/>
        <v>0</v>
      </c>
      <c r="S542" s="1394">
        <f>IFERROR(VLOOKUP(M542,#REF!,6,0),0)</f>
        <v>0</v>
      </c>
      <c r="T542" s="1394">
        <f t="shared" si="75"/>
        <v>0</v>
      </c>
      <c r="U542" s="1394">
        <f>IFERROR(VLOOKUP(M542,#REF!,5,0),0)</f>
        <v>0</v>
      </c>
      <c r="V542" s="1394">
        <f t="shared" si="76"/>
        <v>0</v>
      </c>
      <c r="W542" s="1394"/>
    </row>
    <row r="543" spans="2:23" ht="30" customHeight="1">
      <c r="B543" s="1405"/>
      <c r="C543" s="1408" t="str">
        <f t="shared" ref="C543:H545" si="146">C519</f>
        <v>E7 to E8 &amp; G7 to G8GB-3</v>
      </c>
      <c r="D543" s="1416">
        <f t="shared" si="146"/>
        <v>2</v>
      </c>
      <c r="E543" s="1409">
        <f t="shared" si="146"/>
        <v>2</v>
      </c>
      <c r="F543" s="1410">
        <f t="shared" si="146"/>
        <v>4.13</v>
      </c>
      <c r="G543" s="1410"/>
      <c r="H543" s="1411">
        <f t="shared" si="146"/>
        <v>0.30000000000000004</v>
      </c>
      <c r="I543" s="1406">
        <f t="shared" si="78"/>
        <v>4.9560000000000004</v>
      </c>
      <c r="Q543" s="1394">
        <f>IFERROR(VLOOKUP(M543,#REF!,3,0),0)</f>
        <v>0</v>
      </c>
      <c r="R543" s="1394">
        <f t="shared" si="74"/>
        <v>0</v>
      </c>
      <c r="S543" s="1394">
        <f>IFERROR(VLOOKUP(M543,#REF!,6,0),0)</f>
        <v>0</v>
      </c>
      <c r="T543" s="1394">
        <f t="shared" si="75"/>
        <v>0</v>
      </c>
      <c r="U543" s="1394">
        <f>IFERROR(VLOOKUP(M543,#REF!,5,0),0)</f>
        <v>0</v>
      </c>
      <c r="V543" s="1394">
        <f t="shared" si="76"/>
        <v>0</v>
      </c>
      <c r="W543" s="1394"/>
    </row>
    <row r="544" spans="2:23" ht="30" customHeight="1">
      <c r="B544" s="1405"/>
      <c r="C544" s="1408" t="str">
        <f t="shared" si="146"/>
        <v>F3 To F5GB-3</v>
      </c>
      <c r="D544" s="1416">
        <f t="shared" si="146"/>
        <v>2</v>
      </c>
      <c r="E544" s="1409">
        <f t="shared" si="146"/>
        <v>1</v>
      </c>
      <c r="F544" s="1410">
        <f t="shared" si="146"/>
        <v>5.5299999999999994</v>
      </c>
      <c r="G544" s="1410"/>
      <c r="H544" s="1411">
        <f t="shared" si="146"/>
        <v>0.30000000000000004</v>
      </c>
      <c r="I544" s="1406">
        <f t="shared" si="78"/>
        <v>3.3180000000000001</v>
      </c>
      <c r="Q544" s="1394">
        <f>IFERROR(VLOOKUP(M544,#REF!,3,0),0)</f>
        <v>0</v>
      </c>
      <c r="R544" s="1394">
        <f t="shared" si="74"/>
        <v>0</v>
      </c>
      <c r="S544" s="1394">
        <f>IFERROR(VLOOKUP(M544,#REF!,6,0),0)</f>
        <v>0</v>
      </c>
      <c r="T544" s="1394">
        <f t="shared" si="75"/>
        <v>0</v>
      </c>
      <c r="U544" s="1394">
        <f>IFERROR(VLOOKUP(M544,#REF!,5,0),0)</f>
        <v>0</v>
      </c>
      <c r="V544" s="1394">
        <f t="shared" si="76"/>
        <v>0</v>
      </c>
      <c r="W544" s="1394"/>
    </row>
    <row r="545" spans="2:23" ht="30" customHeight="1">
      <c r="B545" s="1405"/>
      <c r="C545" s="1408" t="str">
        <f t="shared" si="146"/>
        <v>G5 to G7GB-3</v>
      </c>
      <c r="D545" s="1416">
        <f t="shared" si="146"/>
        <v>2</v>
      </c>
      <c r="E545" s="1409">
        <f t="shared" si="146"/>
        <v>1</v>
      </c>
      <c r="F545" s="1410">
        <f t="shared" si="146"/>
        <v>5.99</v>
      </c>
      <c r="G545" s="1410"/>
      <c r="H545" s="1411">
        <f t="shared" si="146"/>
        <v>0.30000000000000004</v>
      </c>
      <c r="I545" s="1406">
        <f t="shared" si="78"/>
        <v>3.5940000000000007</v>
      </c>
      <c r="Q545" s="1394">
        <f>IFERROR(VLOOKUP(M545,#REF!,3,0),0)</f>
        <v>0</v>
      </c>
      <c r="R545" s="1394">
        <f t="shared" si="74"/>
        <v>0</v>
      </c>
      <c r="S545" s="1394">
        <f>IFERROR(VLOOKUP(M545,#REF!,6,0),0)</f>
        <v>0</v>
      </c>
      <c r="T545" s="1394">
        <f t="shared" si="75"/>
        <v>0</v>
      </c>
      <c r="U545" s="1394">
        <f>IFERROR(VLOOKUP(M545,#REF!,5,0),0)</f>
        <v>0</v>
      </c>
      <c r="V545" s="1394">
        <f t="shared" si="76"/>
        <v>0</v>
      </c>
      <c r="W545" s="1394"/>
    </row>
    <row r="546" spans="2:23" ht="30" hidden="1" customHeight="1">
      <c r="B546" s="1405"/>
      <c r="C546" s="1408"/>
      <c r="D546" s="1416"/>
      <c r="E546" s="1409"/>
      <c r="F546" s="1410"/>
      <c r="G546" s="1410"/>
      <c r="H546" s="1411"/>
      <c r="I546" s="1406">
        <f t="shared" si="78"/>
        <v>0</v>
      </c>
      <c r="Q546" s="1394">
        <f>IFERROR(VLOOKUP(M546,#REF!,3,0),0)</f>
        <v>0</v>
      </c>
      <c r="R546" s="1394">
        <f t="shared" si="74"/>
        <v>0</v>
      </c>
      <c r="S546" s="1394">
        <f>IFERROR(VLOOKUP(M546,#REF!,6,0),0)</f>
        <v>0</v>
      </c>
      <c r="T546" s="1394">
        <f t="shared" si="75"/>
        <v>0</v>
      </c>
      <c r="U546" s="1394">
        <f>IFERROR(VLOOKUP(M546,#REF!,5,0),0)</f>
        <v>0</v>
      </c>
      <c r="V546" s="1394">
        <f t="shared" si="76"/>
        <v>0</v>
      </c>
      <c r="W546" s="1394"/>
    </row>
    <row r="547" spans="2:23" ht="30" customHeight="1">
      <c r="B547" s="1405"/>
      <c r="C547" s="1415" t="s">
        <v>297</v>
      </c>
      <c r="D547" s="1409"/>
      <c r="E547" s="1409"/>
      <c r="F547" s="1410"/>
      <c r="G547" s="1410"/>
      <c r="H547" s="1411"/>
      <c r="I547" s="1406">
        <f t="shared" si="78"/>
        <v>0</v>
      </c>
      <c r="Q547" s="1394">
        <f>IFERROR(VLOOKUP(M547,#REF!,3,0),0)</f>
        <v>0</v>
      </c>
      <c r="R547" s="1394">
        <f t="shared" si="74"/>
        <v>0</v>
      </c>
      <c r="S547" s="1394">
        <f>IFERROR(VLOOKUP(M547,#REF!,6,0),0)</f>
        <v>0</v>
      </c>
      <c r="T547" s="1394">
        <f t="shared" si="75"/>
        <v>0</v>
      </c>
      <c r="U547" s="1394">
        <f>IFERROR(VLOOKUP(M547,#REF!,5,0),0)</f>
        <v>0</v>
      </c>
      <c r="V547" s="1394">
        <f t="shared" si="76"/>
        <v>0</v>
      </c>
      <c r="W547" s="1394"/>
    </row>
    <row r="548" spans="2:23" ht="30" customHeight="1">
      <c r="B548" s="1405"/>
      <c r="C548" s="1408" t="str">
        <f>C416</f>
        <v>-X- Direction</v>
      </c>
      <c r="D548" s="1409"/>
      <c r="E548" s="1409"/>
      <c r="F548" s="1410"/>
      <c r="G548" s="1410"/>
      <c r="H548" s="1411"/>
      <c r="I548" s="1406">
        <f t="shared" si="78"/>
        <v>0</v>
      </c>
      <c r="Q548" s="1394">
        <f>IFERROR(VLOOKUP(M548,#REF!,3,0),0)</f>
        <v>0</v>
      </c>
      <c r="R548" s="1394">
        <f t="shared" si="74"/>
        <v>0</v>
      </c>
      <c r="S548" s="1394">
        <f>IFERROR(VLOOKUP(M548,#REF!,6,0),0)</f>
        <v>0</v>
      </c>
      <c r="T548" s="1394">
        <f t="shared" si="75"/>
        <v>0</v>
      </c>
      <c r="U548" s="1394">
        <f>IFERROR(VLOOKUP(M548,#REF!,5,0),0)</f>
        <v>0</v>
      </c>
      <c r="V548" s="1394">
        <f t="shared" si="76"/>
        <v>0</v>
      </c>
      <c r="W548" s="1394"/>
    </row>
    <row r="549" spans="2:23" ht="30" customHeight="1">
      <c r="B549" s="1405"/>
      <c r="C549" s="1408" t="str">
        <f>C417</f>
        <v>A3 to B3, A5 to B5 , A6 to B6 and A6 to B6</v>
      </c>
      <c r="D549" s="1416">
        <f>D417*2</f>
        <v>2</v>
      </c>
      <c r="E549" s="1409">
        <f t="shared" ref="E549:H549" si="147">E417</f>
        <v>4</v>
      </c>
      <c r="F549" s="1410">
        <f t="shared" si="147"/>
        <v>4.2300000000000004</v>
      </c>
      <c r="G549" s="1410"/>
      <c r="H549" s="1411">
        <f t="shared" si="147"/>
        <v>0.1</v>
      </c>
      <c r="I549" s="1406">
        <f t="shared" si="78"/>
        <v>3.3840000000000003</v>
      </c>
      <c r="Q549" s="1394">
        <f>IFERROR(VLOOKUP(M549,#REF!,3,0),0)</f>
        <v>0</v>
      </c>
      <c r="R549" s="1394">
        <f t="shared" si="74"/>
        <v>0</v>
      </c>
      <c r="S549" s="1394">
        <f>IFERROR(VLOOKUP(M549,#REF!,6,0),0)</f>
        <v>0</v>
      </c>
      <c r="T549" s="1394">
        <f t="shared" si="75"/>
        <v>0</v>
      </c>
      <c r="U549" s="1394">
        <f>IFERROR(VLOOKUP(M549,#REF!,5,0),0)</f>
        <v>0</v>
      </c>
      <c r="V549" s="1394">
        <f t="shared" si="76"/>
        <v>0</v>
      </c>
      <c r="W549" s="1394"/>
    </row>
    <row r="550" spans="2:23" ht="30" customHeight="1">
      <c r="B550" s="1405"/>
      <c r="C550" s="1408" t="str">
        <f t="shared" ref="C550:C569" si="148">C418</f>
        <v>B3 to F3</v>
      </c>
      <c r="D550" s="1416">
        <f t="shared" ref="D550:D569" si="149">D418*2</f>
        <v>2</v>
      </c>
      <c r="E550" s="1409">
        <f t="shared" ref="E550:F550" si="150">E418</f>
        <v>1</v>
      </c>
      <c r="F550" s="1410">
        <f t="shared" si="150"/>
        <v>6.8849999999999998</v>
      </c>
      <c r="G550" s="1410"/>
      <c r="H550" s="1411">
        <f t="shared" ref="H550" si="151">H418</f>
        <v>0.1</v>
      </c>
      <c r="I550" s="1406">
        <f t="shared" ref="I550:I569" si="152">PRODUCT(D550:H550)</f>
        <v>1.377</v>
      </c>
      <c r="Q550" s="1394">
        <f>IFERROR(VLOOKUP(M550,#REF!,3,0),0)</f>
        <v>0</v>
      </c>
      <c r="R550" s="1394">
        <f t="shared" si="74"/>
        <v>0</v>
      </c>
      <c r="S550" s="1394">
        <f>IFERROR(VLOOKUP(M550,#REF!,6,0),0)</f>
        <v>0</v>
      </c>
      <c r="T550" s="1394">
        <f t="shared" si="75"/>
        <v>0</v>
      </c>
      <c r="U550" s="1394">
        <f>IFERROR(VLOOKUP(M550,#REF!,5,0),0)</f>
        <v>0</v>
      </c>
      <c r="V550" s="1394">
        <f t="shared" si="76"/>
        <v>0</v>
      </c>
      <c r="W550" s="1394"/>
    </row>
    <row r="551" spans="2:23" ht="30" customHeight="1">
      <c r="B551" s="1405"/>
      <c r="C551" s="1408" t="str">
        <f t="shared" si="148"/>
        <v>F3 to H3</v>
      </c>
      <c r="D551" s="1416">
        <f t="shared" si="149"/>
        <v>2</v>
      </c>
      <c r="E551" s="1409">
        <f t="shared" ref="E551:F551" si="153">E419</f>
        <v>1</v>
      </c>
      <c r="F551" s="1410">
        <f t="shared" si="153"/>
        <v>7.46</v>
      </c>
      <c r="G551" s="1410"/>
      <c r="H551" s="1411">
        <f t="shared" ref="H551" si="154">H419</f>
        <v>0.1</v>
      </c>
      <c r="I551" s="1406">
        <f t="shared" si="152"/>
        <v>1.492</v>
      </c>
      <c r="Q551" s="1394">
        <f>IFERROR(VLOOKUP(M551,#REF!,3,0),0)</f>
        <v>0</v>
      </c>
      <c r="R551" s="1394">
        <f t="shared" si="74"/>
        <v>0</v>
      </c>
      <c r="S551" s="1394">
        <f>IFERROR(VLOOKUP(M551,#REF!,6,0),0)</f>
        <v>0</v>
      </c>
      <c r="T551" s="1394">
        <f t="shared" si="75"/>
        <v>0</v>
      </c>
      <c r="U551" s="1394">
        <f>IFERROR(VLOOKUP(M551,#REF!,5,0),0)</f>
        <v>0</v>
      </c>
      <c r="V551" s="1394">
        <f t="shared" si="76"/>
        <v>0</v>
      </c>
      <c r="W551" s="1394"/>
    </row>
    <row r="552" spans="2:23" ht="30" customHeight="1">
      <c r="B552" s="1405"/>
      <c r="C552" s="1408" t="str">
        <f t="shared" si="148"/>
        <v>C4 to F4 , C5 to F5</v>
      </c>
      <c r="D552" s="1416">
        <f t="shared" si="149"/>
        <v>2</v>
      </c>
      <c r="E552" s="1409">
        <f t="shared" ref="E552:F552" si="155">E420</f>
        <v>2</v>
      </c>
      <c r="F552" s="1410">
        <f t="shared" si="155"/>
        <v>4.5549999999999997</v>
      </c>
      <c r="G552" s="1410"/>
      <c r="H552" s="1411">
        <f t="shared" ref="H552" si="156">H420</f>
        <v>0.1</v>
      </c>
      <c r="I552" s="1406">
        <f t="shared" si="152"/>
        <v>1.8220000000000001</v>
      </c>
      <c r="Q552" s="1394">
        <f>IFERROR(VLOOKUP(M552,#REF!,3,0),0)</f>
        <v>0</v>
      </c>
      <c r="R552" s="1394">
        <f t="shared" si="74"/>
        <v>0</v>
      </c>
      <c r="S552" s="1394">
        <f>IFERROR(VLOOKUP(M552,#REF!,6,0),0)</f>
        <v>0</v>
      </c>
      <c r="T552" s="1394">
        <f t="shared" si="75"/>
        <v>0</v>
      </c>
      <c r="U552" s="1394">
        <f>IFERROR(VLOOKUP(M552,#REF!,5,0),0)</f>
        <v>0</v>
      </c>
      <c r="V552" s="1394">
        <f t="shared" si="76"/>
        <v>0</v>
      </c>
      <c r="W552" s="1394"/>
    </row>
    <row r="553" spans="2:23" ht="30" customHeight="1">
      <c r="B553" s="1405"/>
      <c r="C553" s="1408" t="str">
        <f t="shared" si="148"/>
        <v>B4 to C4 , B5 to C5</v>
      </c>
      <c r="D553" s="1416">
        <f t="shared" si="149"/>
        <v>2</v>
      </c>
      <c r="E553" s="1409">
        <f t="shared" ref="E553:F553" si="157">E421</f>
        <v>2</v>
      </c>
      <c r="F553" s="1410">
        <f t="shared" si="157"/>
        <v>2.33</v>
      </c>
      <c r="G553" s="1410"/>
      <c r="H553" s="1411">
        <f t="shared" ref="H553" si="158">H421</f>
        <v>0.1</v>
      </c>
      <c r="I553" s="1406">
        <f t="shared" si="152"/>
        <v>0.93200000000000005</v>
      </c>
      <c r="Q553" s="1394">
        <f>IFERROR(VLOOKUP(M553,#REF!,3,0),0)</f>
        <v>0</v>
      </c>
      <c r="R553" s="1394">
        <f t="shared" si="74"/>
        <v>0</v>
      </c>
      <c r="S553" s="1394">
        <f>IFERROR(VLOOKUP(M553,#REF!,6,0),0)</f>
        <v>0</v>
      </c>
      <c r="T553" s="1394">
        <f t="shared" si="75"/>
        <v>0</v>
      </c>
      <c r="U553" s="1394">
        <f>IFERROR(VLOOKUP(M553,#REF!,5,0),0)</f>
        <v>0</v>
      </c>
      <c r="V553" s="1394">
        <f t="shared" si="76"/>
        <v>0</v>
      </c>
      <c r="W553" s="1394"/>
    </row>
    <row r="554" spans="2:23" ht="30" customHeight="1">
      <c r="B554" s="1405"/>
      <c r="C554" s="1408" t="str">
        <f t="shared" si="148"/>
        <v xml:space="preserve">F5 to G5 </v>
      </c>
      <c r="D554" s="1416">
        <f t="shared" si="149"/>
        <v>2</v>
      </c>
      <c r="E554" s="1409">
        <f t="shared" ref="E554:F554" si="159">E422</f>
        <v>1</v>
      </c>
      <c r="F554" s="1410">
        <f t="shared" si="159"/>
        <v>3.4649999999999999</v>
      </c>
      <c r="G554" s="1410"/>
      <c r="H554" s="1411">
        <f t="shared" ref="H554" si="160">H422</f>
        <v>0.1</v>
      </c>
      <c r="I554" s="1406">
        <f t="shared" si="152"/>
        <v>0.69300000000000006</v>
      </c>
      <c r="Q554" s="1394">
        <f>IFERROR(VLOOKUP(M554,#REF!,3,0),0)</f>
        <v>0</v>
      </c>
      <c r="R554" s="1394">
        <f t="shared" si="74"/>
        <v>0</v>
      </c>
      <c r="S554" s="1394">
        <f>IFERROR(VLOOKUP(M554,#REF!,6,0),0)</f>
        <v>0</v>
      </c>
      <c r="T554" s="1394">
        <f t="shared" si="75"/>
        <v>0</v>
      </c>
      <c r="U554" s="1394">
        <f>IFERROR(VLOOKUP(M554,#REF!,5,0),0)</f>
        <v>0</v>
      </c>
      <c r="V554" s="1394">
        <f t="shared" si="76"/>
        <v>0</v>
      </c>
      <c r="W554" s="1394"/>
    </row>
    <row r="555" spans="2:23" ht="30" customHeight="1">
      <c r="B555" s="1405"/>
      <c r="C555" s="1408" t="str">
        <f t="shared" si="148"/>
        <v xml:space="preserve">G5 to H5 </v>
      </c>
      <c r="D555" s="1416">
        <f t="shared" si="149"/>
        <v>2</v>
      </c>
      <c r="E555" s="1409">
        <f t="shared" ref="E555:F555" si="161">E423</f>
        <v>1</v>
      </c>
      <c r="F555" s="1410">
        <f t="shared" si="161"/>
        <v>3.9950000000000001</v>
      </c>
      <c r="G555" s="1410"/>
      <c r="H555" s="1411">
        <f t="shared" ref="H555" si="162">H423</f>
        <v>0.1</v>
      </c>
      <c r="I555" s="1406">
        <f t="shared" si="152"/>
        <v>0.79900000000000004</v>
      </c>
      <c r="Q555" s="1394">
        <f>IFERROR(VLOOKUP(M555,#REF!,3,0),0)</f>
        <v>0</v>
      </c>
      <c r="R555" s="1394">
        <f t="shared" si="74"/>
        <v>0</v>
      </c>
      <c r="S555" s="1394">
        <f>IFERROR(VLOOKUP(M555,#REF!,6,0),0)</f>
        <v>0</v>
      </c>
      <c r="T555" s="1394">
        <f t="shared" si="75"/>
        <v>0</v>
      </c>
      <c r="U555" s="1394">
        <f>IFERROR(VLOOKUP(M555,#REF!,5,0),0)</f>
        <v>0</v>
      </c>
      <c r="V555" s="1394">
        <f t="shared" si="76"/>
        <v>0</v>
      </c>
      <c r="W555" s="1394"/>
    </row>
    <row r="556" spans="2:23" ht="30" customHeight="1">
      <c r="B556" s="1405"/>
      <c r="C556" s="1408" t="str">
        <f t="shared" si="148"/>
        <v>B6' to D6'</v>
      </c>
      <c r="D556" s="1416">
        <f t="shared" si="149"/>
        <v>2</v>
      </c>
      <c r="E556" s="1409">
        <f t="shared" ref="E556:F556" si="163">E424</f>
        <v>1</v>
      </c>
      <c r="F556" s="1410">
        <f t="shared" si="163"/>
        <v>3.125</v>
      </c>
      <c r="G556" s="1410"/>
      <c r="H556" s="1411">
        <f t="shared" ref="H556" si="164">H424</f>
        <v>0.1</v>
      </c>
      <c r="I556" s="1406">
        <f t="shared" si="152"/>
        <v>0.625</v>
      </c>
      <c r="Q556" s="1394">
        <f>IFERROR(VLOOKUP(M556,#REF!,3,0),0)</f>
        <v>0</v>
      </c>
      <c r="R556" s="1394">
        <f t="shared" si="74"/>
        <v>0</v>
      </c>
      <c r="S556" s="1394">
        <f>IFERROR(VLOOKUP(M556,#REF!,6,0),0)</f>
        <v>0</v>
      </c>
      <c r="T556" s="1394">
        <f t="shared" si="75"/>
        <v>0</v>
      </c>
      <c r="U556" s="1394">
        <f>IFERROR(VLOOKUP(M556,#REF!,5,0),0)</f>
        <v>0</v>
      </c>
      <c r="V556" s="1394">
        <f t="shared" si="76"/>
        <v>0</v>
      </c>
      <c r="W556" s="1394"/>
    </row>
    <row r="557" spans="2:23" ht="30" customHeight="1">
      <c r="B557" s="1405"/>
      <c r="C557" s="1408" t="str">
        <f t="shared" si="148"/>
        <v>G6 to H6</v>
      </c>
      <c r="D557" s="1416">
        <f t="shared" si="149"/>
        <v>2</v>
      </c>
      <c r="E557" s="1409">
        <f t="shared" ref="E557:F557" si="165">E425</f>
        <v>1</v>
      </c>
      <c r="F557" s="1410">
        <f t="shared" si="165"/>
        <v>4.2300000000000004</v>
      </c>
      <c r="G557" s="1410"/>
      <c r="H557" s="1411">
        <f t="shared" ref="H557" si="166">H425</f>
        <v>0.1</v>
      </c>
      <c r="I557" s="1406">
        <f t="shared" si="152"/>
        <v>0.84600000000000009</v>
      </c>
      <c r="Q557" s="1394">
        <f>IFERROR(VLOOKUP(M557,#REF!,3,0),0)</f>
        <v>0</v>
      </c>
      <c r="R557" s="1394">
        <f t="shared" si="74"/>
        <v>0</v>
      </c>
      <c r="S557" s="1394">
        <f>IFERROR(VLOOKUP(M557,#REF!,6,0),0)</f>
        <v>0</v>
      </c>
      <c r="T557" s="1394">
        <f t="shared" si="75"/>
        <v>0</v>
      </c>
      <c r="U557" s="1394">
        <f>IFERROR(VLOOKUP(M557,#REF!,5,0),0)</f>
        <v>0</v>
      </c>
      <c r="V557" s="1394">
        <f t="shared" si="76"/>
        <v>0</v>
      </c>
      <c r="W557" s="1394"/>
    </row>
    <row r="558" spans="2:23" ht="30" customHeight="1">
      <c r="B558" s="1405"/>
      <c r="C558" s="1408" t="str">
        <f t="shared" si="148"/>
        <v>B7 to E7</v>
      </c>
      <c r="D558" s="1416">
        <f t="shared" si="149"/>
        <v>2</v>
      </c>
      <c r="E558" s="1409">
        <f t="shared" ref="E558:F558" si="167">E426</f>
        <v>1</v>
      </c>
      <c r="F558" s="1410">
        <f t="shared" si="167"/>
        <v>5.6549999999999994</v>
      </c>
      <c r="G558" s="1410"/>
      <c r="H558" s="1411">
        <f t="shared" ref="H558" si="168">H426</f>
        <v>0.1</v>
      </c>
      <c r="I558" s="1406">
        <f t="shared" si="152"/>
        <v>1.131</v>
      </c>
      <c r="Q558" s="1394">
        <f>IFERROR(VLOOKUP(M558,#REF!,3,0),0)</f>
        <v>0</v>
      </c>
      <c r="R558" s="1394">
        <f t="shared" ref="R558:R621" si="169">ROUND(O558,2)*ROUND(Q558,2)</f>
        <v>0</v>
      </c>
      <c r="S558" s="1394">
        <f>IFERROR(VLOOKUP(M558,#REF!,6,0),0)</f>
        <v>0</v>
      </c>
      <c r="T558" s="1394">
        <f t="shared" ref="T558:T621" si="170">R558-S558</f>
        <v>0</v>
      </c>
      <c r="U558" s="1394">
        <f>IFERROR(VLOOKUP(M558,#REF!,5,0),0)</f>
        <v>0</v>
      </c>
      <c r="V558" s="1394">
        <f t="shared" ref="V558:V621" si="171">O558-U558</f>
        <v>0</v>
      </c>
      <c r="W558" s="1394"/>
    </row>
    <row r="559" spans="2:23" ht="30" customHeight="1">
      <c r="B559" s="1405"/>
      <c r="C559" s="1408" t="str">
        <f t="shared" si="148"/>
        <v>E7 to H7</v>
      </c>
      <c r="D559" s="1416">
        <f t="shared" si="149"/>
        <v>2</v>
      </c>
      <c r="E559" s="1409">
        <f t="shared" ref="E559:F559" si="172">E427</f>
        <v>1</v>
      </c>
      <c r="F559" s="1410">
        <f t="shared" si="172"/>
        <v>8.6900000000000013</v>
      </c>
      <c r="G559" s="1410"/>
      <c r="H559" s="1411">
        <f t="shared" ref="H559" si="173">H427</f>
        <v>0.1</v>
      </c>
      <c r="I559" s="1406">
        <f t="shared" si="152"/>
        <v>1.7380000000000004</v>
      </c>
      <c r="Q559" s="1394">
        <f>IFERROR(VLOOKUP(M559,#REF!,3,0),0)</f>
        <v>0</v>
      </c>
      <c r="R559" s="1394">
        <f t="shared" si="169"/>
        <v>0</v>
      </c>
      <c r="S559" s="1394">
        <f>IFERROR(VLOOKUP(M559,#REF!,6,0),0)</f>
        <v>0</v>
      </c>
      <c r="T559" s="1394">
        <f t="shared" si="170"/>
        <v>0</v>
      </c>
      <c r="U559" s="1394">
        <f>IFERROR(VLOOKUP(M559,#REF!,5,0),0)</f>
        <v>0</v>
      </c>
      <c r="V559" s="1394">
        <f t="shared" si="171"/>
        <v>0</v>
      </c>
      <c r="W559" s="1394"/>
    </row>
    <row r="560" spans="2:23" ht="30" customHeight="1">
      <c r="B560" s="1405"/>
      <c r="C560" s="1408" t="str">
        <f t="shared" si="148"/>
        <v>A8 to H8</v>
      </c>
      <c r="D560" s="1416">
        <f t="shared" si="149"/>
        <v>2</v>
      </c>
      <c r="E560" s="1409">
        <f t="shared" ref="E560:F560" si="174">E428</f>
        <v>1</v>
      </c>
      <c r="F560" s="1410">
        <f t="shared" si="174"/>
        <v>18.575000000000003</v>
      </c>
      <c r="G560" s="1410"/>
      <c r="H560" s="1411">
        <f t="shared" ref="H560" si="175">H428</f>
        <v>0.1</v>
      </c>
      <c r="I560" s="1406">
        <f t="shared" si="152"/>
        <v>3.7150000000000007</v>
      </c>
      <c r="Q560" s="1394">
        <f>IFERROR(VLOOKUP(M560,#REF!,3,0),0)</f>
        <v>0</v>
      </c>
      <c r="R560" s="1394">
        <f t="shared" si="169"/>
        <v>0</v>
      </c>
      <c r="S560" s="1394">
        <f>IFERROR(VLOOKUP(M560,#REF!,6,0),0)</f>
        <v>0</v>
      </c>
      <c r="T560" s="1394">
        <f t="shared" si="170"/>
        <v>0</v>
      </c>
      <c r="U560" s="1394">
        <f>IFERROR(VLOOKUP(M560,#REF!,5,0),0)</f>
        <v>0</v>
      </c>
      <c r="V560" s="1394">
        <f t="shared" si="171"/>
        <v>0</v>
      </c>
      <c r="W560" s="1394"/>
    </row>
    <row r="561" spans="2:23" ht="30" customHeight="1">
      <c r="B561" s="1405"/>
      <c r="C561" s="1408">
        <f t="shared" si="148"/>
        <v>0</v>
      </c>
      <c r="D561" s="1416">
        <f t="shared" si="149"/>
        <v>0</v>
      </c>
      <c r="E561" s="1409">
        <f t="shared" ref="E561:F561" si="176">E429</f>
        <v>0</v>
      </c>
      <c r="F561" s="1410">
        <f t="shared" si="176"/>
        <v>0</v>
      </c>
      <c r="G561" s="1410"/>
      <c r="H561" s="1411">
        <f t="shared" ref="H561" si="177">H429</f>
        <v>0</v>
      </c>
      <c r="I561" s="1406">
        <f t="shared" si="152"/>
        <v>0</v>
      </c>
      <c r="Q561" s="1394">
        <f>IFERROR(VLOOKUP(M561,#REF!,3,0),0)</f>
        <v>0</v>
      </c>
      <c r="R561" s="1394">
        <f t="shared" si="169"/>
        <v>0</v>
      </c>
      <c r="S561" s="1394">
        <f>IFERROR(VLOOKUP(M561,#REF!,6,0),0)</f>
        <v>0</v>
      </c>
      <c r="T561" s="1394">
        <f t="shared" si="170"/>
        <v>0</v>
      </c>
      <c r="U561" s="1394">
        <f>IFERROR(VLOOKUP(M561,#REF!,5,0),0)</f>
        <v>0</v>
      </c>
      <c r="V561" s="1394">
        <f t="shared" si="171"/>
        <v>0</v>
      </c>
      <c r="W561" s="1394"/>
    </row>
    <row r="562" spans="2:23" ht="30" customHeight="1">
      <c r="B562" s="1405"/>
      <c r="C562" s="1415" t="str">
        <f t="shared" si="148"/>
        <v>-Y- Direction</v>
      </c>
      <c r="D562" s="1416">
        <f t="shared" si="149"/>
        <v>0</v>
      </c>
      <c r="E562" s="1409">
        <f t="shared" ref="E562:F562" si="178">E430</f>
        <v>0</v>
      </c>
      <c r="F562" s="1410">
        <f t="shared" si="178"/>
        <v>0</v>
      </c>
      <c r="G562" s="1410"/>
      <c r="H562" s="1411">
        <f t="shared" ref="H562" si="179">H430</f>
        <v>0</v>
      </c>
      <c r="I562" s="1406">
        <f t="shared" si="152"/>
        <v>0</v>
      </c>
      <c r="Q562" s="1394">
        <f>IFERROR(VLOOKUP(M562,#REF!,3,0),0)</f>
        <v>0</v>
      </c>
      <c r="R562" s="1394">
        <f t="shared" si="169"/>
        <v>0</v>
      </c>
      <c r="S562" s="1394">
        <f>IFERROR(VLOOKUP(M562,#REF!,6,0),0)</f>
        <v>0</v>
      </c>
      <c r="T562" s="1394">
        <f t="shared" si="170"/>
        <v>0</v>
      </c>
      <c r="U562" s="1394">
        <f>IFERROR(VLOOKUP(M562,#REF!,5,0),0)</f>
        <v>0</v>
      </c>
      <c r="V562" s="1394">
        <f t="shared" si="171"/>
        <v>0</v>
      </c>
      <c r="W562" s="1394"/>
    </row>
    <row r="563" spans="2:23" ht="30" customHeight="1">
      <c r="B563" s="1405"/>
      <c r="C563" s="1408" t="str">
        <f t="shared" si="148"/>
        <v>D1 to D3 &amp; F1 to F3</v>
      </c>
      <c r="D563" s="1416">
        <f t="shared" si="149"/>
        <v>2</v>
      </c>
      <c r="E563" s="1409">
        <f t="shared" ref="E563:F563" si="180">E431</f>
        <v>2</v>
      </c>
      <c r="F563" s="1410">
        <f t="shared" si="180"/>
        <v>4.6899999999999995</v>
      </c>
      <c r="G563" s="1410"/>
      <c r="H563" s="1411">
        <f t="shared" ref="H563" si="181">H431</f>
        <v>0.1</v>
      </c>
      <c r="I563" s="1406">
        <f t="shared" si="152"/>
        <v>1.8759999999999999</v>
      </c>
      <c r="Q563" s="1394">
        <f>IFERROR(VLOOKUP(M563,#REF!,3,0),0)</f>
        <v>0</v>
      </c>
      <c r="R563" s="1394">
        <f t="shared" si="169"/>
        <v>0</v>
      </c>
      <c r="S563" s="1394">
        <f>IFERROR(VLOOKUP(M563,#REF!,6,0),0)</f>
        <v>0</v>
      </c>
      <c r="T563" s="1394">
        <f t="shared" si="170"/>
        <v>0</v>
      </c>
      <c r="U563" s="1394">
        <f>IFERROR(VLOOKUP(M563,#REF!,5,0),0)</f>
        <v>0</v>
      </c>
      <c r="V563" s="1394">
        <f t="shared" si="171"/>
        <v>0</v>
      </c>
      <c r="W563" s="1394"/>
    </row>
    <row r="564" spans="2:23" ht="30" customHeight="1">
      <c r="B564" s="1405"/>
      <c r="C564" s="1408" t="str">
        <f t="shared" si="148"/>
        <v>A3 to A8 ,B3 to B8 &amp; H3 to H8</v>
      </c>
      <c r="D564" s="1416">
        <f t="shared" si="149"/>
        <v>2</v>
      </c>
      <c r="E564" s="1409">
        <f t="shared" ref="E564:F564" si="182">E432</f>
        <v>3</v>
      </c>
      <c r="F564" s="1410">
        <f t="shared" si="182"/>
        <v>15.649999999999999</v>
      </c>
      <c r="G564" s="1410"/>
      <c r="H564" s="1411">
        <f t="shared" ref="H564" si="183">H432</f>
        <v>0.1</v>
      </c>
      <c r="I564" s="1406">
        <f t="shared" si="152"/>
        <v>9.3899999999999988</v>
      </c>
      <c r="Q564" s="1394">
        <f>IFERROR(VLOOKUP(M564,#REF!,3,0),0)</f>
        <v>0</v>
      </c>
      <c r="R564" s="1394">
        <f t="shared" si="169"/>
        <v>0</v>
      </c>
      <c r="S564" s="1394">
        <f>IFERROR(VLOOKUP(M564,#REF!,6,0),0)</f>
        <v>0</v>
      </c>
      <c r="T564" s="1394">
        <f t="shared" si="170"/>
        <v>0</v>
      </c>
      <c r="U564" s="1394">
        <f>IFERROR(VLOOKUP(M564,#REF!,5,0),0)</f>
        <v>0</v>
      </c>
      <c r="V564" s="1394">
        <f t="shared" si="171"/>
        <v>0</v>
      </c>
      <c r="W564" s="1394"/>
    </row>
    <row r="565" spans="2:23" ht="30" customHeight="1">
      <c r="B565" s="1405"/>
      <c r="C565" s="1408" t="str">
        <f t="shared" si="148"/>
        <v>D5 to D7</v>
      </c>
      <c r="D565" s="1416">
        <f t="shared" si="149"/>
        <v>2</v>
      </c>
      <c r="E565" s="1409">
        <f t="shared" ref="E565:F565" si="184">E433</f>
        <v>1</v>
      </c>
      <c r="F565" s="1410">
        <f t="shared" si="184"/>
        <v>5.99</v>
      </c>
      <c r="G565" s="1410"/>
      <c r="H565" s="1411">
        <f t="shared" ref="H565" si="185">H433</f>
        <v>0.1</v>
      </c>
      <c r="I565" s="1406">
        <f t="shared" si="152"/>
        <v>1.1980000000000002</v>
      </c>
      <c r="Q565" s="1394">
        <f>IFERROR(VLOOKUP(M565,#REF!,3,0),0)</f>
        <v>0</v>
      </c>
      <c r="R565" s="1394">
        <f t="shared" si="169"/>
        <v>0</v>
      </c>
      <c r="S565" s="1394">
        <f>IFERROR(VLOOKUP(M565,#REF!,6,0),0)</f>
        <v>0</v>
      </c>
      <c r="T565" s="1394">
        <f t="shared" si="170"/>
        <v>0</v>
      </c>
      <c r="U565" s="1394">
        <f>IFERROR(VLOOKUP(M565,#REF!,5,0),0)</f>
        <v>0</v>
      </c>
      <c r="V565" s="1394">
        <f t="shared" si="171"/>
        <v>0</v>
      </c>
      <c r="W565" s="1394"/>
    </row>
    <row r="566" spans="2:23" ht="30" customHeight="1">
      <c r="B566" s="1405"/>
      <c r="C566" s="1408" t="str">
        <f t="shared" si="148"/>
        <v>E7 to E8 &amp; G7 to G8</v>
      </c>
      <c r="D566" s="1416">
        <f t="shared" si="149"/>
        <v>2</v>
      </c>
      <c r="E566" s="1409">
        <f t="shared" ref="E566:F566" si="186">E434</f>
        <v>2</v>
      </c>
      <c r="F566" s="1410">
        <f t="shared" si="186"/>
        <v>4.13</v>
      </c>
      <c r="G566" s="1410"/>
      <c r="H566" s="1411">
        <f t="shared" ref="H566" si="187">H434</f>
        <v>0.1</v>
      </c>
      <c r="I566" s="1406">
        <f t="shared" si="152"/>
        <v>1.6520000000000001</v>
      </c>
      <c r="Q566" s="1394">
        <f>IFERROR(VLOOKUP(M566,#REF!,3,0),0)</f>
        <v>0</v>
      </c>
      <c r="R566" s="1394">
        <f t="shared" si="169"/>
        <v>0</v>
      </c>
      <c r="S566" s="1394">
        <f>IFERROR(VLOOKUP(M566,#REF!,6,0),0)</f>
        <v>0</v>
      </c>
      <c r="T566" s="1394">
        <f t="shared" si="170"/>
        <v>0</v>
      </c>
      <c r="U566" s="1394">
        <f>IFERROR(VLOOKUP(M566,#REF!,5,0),0)</f>
        <v>0</v>
      </c>
      <c r="V566" s="1394">
        <f t="shared" si="171"/>
        <v>0</v>
      </c>
      <c r="W566" s="1394"/>
    </row>
    <row r="567" spans="2:23" ht="30" customHeight="1">
      <c r="B567" s="1405"/>
      <c r="C567" s="1408" t="str">
        <f t="shared" si="148"/>
        <v>F3 To F5</v>
      </c>
      <c r="D567" s="1416">
        <f t="shared" si="149"/>
        <v>2</v>
      </c>
      <c r="E567" s="1409">
        <f t="shared" ref="E567:F567" si="188">E435</f>
        <v>1</v>
      </c>
      <c r="F567" s="1410">
        <f t="shared" si="188"/>
        <v>5.5299999999999994</v>
      </c>
      <c r="G567" s="1410"/>
      <c r="H567" s="1411">
        <f t="shared" ref="H567" si="189">H435</f>
        <v>0.1</v>
      </c>
      <c r="I567" s="1406">
        <f t="shared" si="152"/>
        <v>1.1059999999999999</v>
      </c>
      <c r="Q567" s="1394">
        <f>IFERROR(VLOOKUP(M567,#REF!,3,0),0)</f>
        <v>0</v>
      </c>
      <c r="R567" s="1394">
        <f t="shared" si="169"/>
        <v>0</v>
      </c>
      <c r="S567" s="1394">
        <f>IFERROR(VLOOKUP(M567,#REF!,6,0),0)</f>
        <v>0</v>
      </c>
      <c r="T567" s="1394">
        <f t="shared" si="170"/>
        <v>0</v>
      </c>
      <c r="U567" s="1394">
        <f>IFERROR(VLOOKUP(M567,#REF!,5,0),0)</f>
        <v>0</v>
      </c>
      <c r="V567" s="1394">
        <f t="shared" si="171"/>
        <v>0</v>
      </c>
      <c r="W567" s="1394"/>
    </row>
    <row r="568" spans="2:23" ht="30" customHeight="1">
      <c r="B568" s="1405"/>
      <c r="C568" s="1408" t="str">
        <f t="shared" si="148"/>
        <v>G5 to G7</v>
      </c>
      <c r="D568" s="1416">
        <f t="shared" si="149"/>
        <v>2</v>
      </c>
      <c r="E568" s="1409">
        <f t="shared" ref="E568:F568" si="190">E436</f>
        <v>1</v>
      </c>
      <c r="F568" s="1410">
        <f t="shared" si="190"/>
        <v>5.99</v>
      </c>
      <c r="G568" s="1410"/>
      <c r="H568" s="1411">
        <f t="shared" ref="H568" si="191">H436</f>
        <v>0.1</v>
      </c>
      <c r="I568" s="1406">
        <f t="shared" si="152"/>
        <v>1.1980000000000002</v>
      </c>
      <c r="Q568" s="1394">
        <f>IFERROR(VLOOKUP(M568,#REF!,3,0),0)</f>
        <v>0</v>
      </c>
      <c r="R568" s="1394">
        <f t="shared" si="169"/>
        <v>0</v>
      </c>
      <c r="S568" s="1394">
        <f>IFERROR(VLOOKUP(M568,#REF!,6,0),0)</f>
        <v>0</v>
      </c>
      <c r="T568" s="1394">
        <f t="shared" si="170"/>
        <v>0</v>
      </c>
      <c r="U568" s="1394">
        <f>IFERROR(VLOOKUP(M568,#REF!,5,0),0)</f>
        <v>0</v>
      </c>
      <c r="V568" s="1394">
        <f t="shared" si="171"/>
        <v>0</v>
      </c>
      <c r="W568" s="1394"/>
    </row>
    <row r="569" spans="2:23" ht="30" hidden="1" customHeight="1">
      <c r="B569" s="1405"/>
      <c r="C569" s="1408">
        <f t="shared" si="148"/>
        <v>0</v>
      </c>
      <c r="D569" s="1416">
        <f t="shared" si="149"/>
        <v>0</v>
      </c>
      <c r="E569" s="1409">
        <f t="shared" ref="E569:F569" si="192">E437</f>
        <v>0</v>
      </c>
      <c r="F569" s="1410">
        <f t="shared" si="192"/>
        <v>0</v>
      </c>
      <c r="G569" s="1410"/>
      <c r="H569" s="1411">
        <f t="shared" ref="H569" si="193">H437</f>
        <v>0</v>
      </c>
      <c r="I569" s="1406">
        <f t="shared" si="152"/>
        <v>0</v>
      </c>
      <c r="Q569" s="1394">
        <f>IFERROR(VLOOKUP(M569,#REF!,3,0),0)</f>
        <v>0</v>
      </c>
      <c r="R569" s="1394">
        <f t="shared" si="169"/>
        <v>0</v>
      </c>
      <c r="S569" s="1394">
        <f>IFERROR(VLOOKUP(M569,#REF!,6,0),0)</f>
        <v>0</v>
      </c>
      <c r="T569" s="1394">
        <f t="shared" si="170"/>
        <v>0</v>
      </c>
      <c r="U569" s="1394">
        <f>IFERROR(VLOOKUP(M569,#REF!,5,0),0)</f>
        <v>0</v>
      </c>
      <c r="V569" s="1394">
        <f t="shared" si="171"/>
        <v>0</v>
      </c>
      <c r="W569" s="1394"/>
    </row>
    <row r="570" spans="2:23" ht="30" hidden="1" customHeight="1">
      <c r="B570" s="1405"/>
      <c r="C570" s="1408"/>
      <c r="D570" s="1416"/>
      <c r="E570" s="1409"/>
      <c r="F570" s="1410"/>
      <c r="G570" s="1410"/>
      <c r="H570" s="1411"/>
      <c r="I570" s="1406"/>
      <c r="Q570" s="1394">
        <f>IFERROR(VLOOKUP(M570,#REF!,3,0),0)</f>
        <v>0</v>
      </c>
      <c r="R570" s="1394">
        <f t="shared" si="169"/>
        <v>0</v>
      </c>
      <c r="S570" s="1394">
        <f>IFERROR(VLOOKUP(M570,#REF!,6,0),0)</f>
        <v>0</v>
      </c>
      <c r="T570" s="1394">
        <f t="shared" si="170"/>
        <v>0</v>
      </c>
      <c r="U570" s="1394">
        <f>IFERROR(VLOOKUP(M570,#REF!,5,0),0)</f>
        <v>0</v>
      </c>
      <c r="V570" s="1394">
        <f t="shared" si="171"/>
        <v>0</v>
      </c>
      <c r="W570" s="1394"/>
    </row>
    <row r="571" spans="2:23" ht="30" hidden="1" customHeight="1">
      <c r="B571" s="1405"/>
      <c r="C571" s="1408"/>
      <c r="D571" s="1416"/>
      <c r="E571" s="1409"/>
      <c r="F571" s="1410"/>
      <c r="G571" s="1410"/>
      <c r="H571" s="1411"/>
      <c r="I571" s="1406"/>
      <c r="Q571" s="1394">
        <f>IFERROR(VLOOKUP(M571,#REF!,3,0),0)</f>
        <v>0</v>
      </c>
      <c r="R571" s="1394">
        <f t="shared" si="169"/>
        <v>0</v>
      </c>
      <c r="S571" s="1394">
        <f>IFERROR(VLOOKUP(M571,#REF!,6,0),0)</f>
        <v>0</v>
      </c>
      <c r="T571" s="1394">
        <f t="shared" si="170"/>
        <v>0</v>
      </c>
      <c r="U571" s="1394">
        <f>IFERROR(VLOOKUP(M571,#REF!,5,0),0)</f>
        <v>0</v>
      </c>
      <c r="V571" s="1394">
        <f t="shared" si="171"/>
        <v>0</v>
      </c>
      <c r="W571" s="1394"/>
    </row>
    <row r="572" spans="2:23" ht="30" hidden="1" customHeight="1">
      <c r="B572" s="1405"/>
      <c r="C572" s="1408"/>
      <c r="D572" s="1416"/>
      <c r="E572" s="1409"/>
      <c r="F572" s="1410"/>
      <c r="G572" s="1410"/>
      <c r="H572" s="1411"/>
      <c r="I572" s="1406"/>
      <c r="Q572" s="1394">
        <f>IFERROR(VLOOKUP(M572,#REF!,3,0),0)</f>
        <v>0</v>
      </c>
      <c r="R572" s="1394">
        <f t="shared" si="169"/>
        <v>0</v>
      </c>
      <c r="S572" s="1394">
        <f>IFERROR(VLOOKUP(M572,#REF!,6,0),0)</f>
        <v>0</v>
      </c>
      <c r="T572" s="1394">
        <f t="shared" si="170"/>
        <v>0</v>
      </c>
      <c r="U572" s="1394">
        <f>IFERROR(VLOOKUP(M572,#REF!,5,0),0)</f>
        <v>0</v>
      </c>
      <c r="V572" s="1394">
        <f t="shared" si="171"/>
        <v>0</v>
      </c>
      <c r="W572" s="1394"/>
    </row>
    <row r="573" spans="2:23" ht="30" hidden="1" customHeight="1">
      <c r="B573" s="1405"/>
      <c r="C573" s="1408"/>
      <c r="D573" s="1416"/>
      <c r="E573" s="1409"/>
      <c r="F573" s="1410"/>
      <c r="G573" s="1410"/>
      <c r="H573" s="1411"/>
      <c r="I573" s="1406"/>
      <c r="Q573" s="1394">
        <f>IFERROR(VLOOKUP(M573,#REF!,3,0),0)</f>
        <v>0</v>
      </c>
      <c r="R573" s="1394">
        <f t="shared" si="169"/>
        <v>0</v>
      </c>
      <c r="S573" s="1394">
        <f>IFERROR(VLOOKUP(M573,#REF!,6,0),0)</f>
        <v>0</v>
      </c>
      <c r="T573" s="1394">
        <f t="shared" si="170"/>
        <v>0</v>
      </c>
      <c r="U573" s="1394">
        <f>IFERROR(VLOOKUP(M573,#REF!,5,0),0)</f>
        <v>0</v>
      </c>
      <c r="V573" s="1394">
        <f t="shared" si="171"/>
        <v>0</v>
      </c>
      <c r="W573" s="1394"/>
    </row>
    <row r="574" spans="2:23" s="1394" customFormat="1" ht="30" customHeight="1">
      <c r="B574" s="1421"/>
      <c r="C574" s="1422" t="s">
        <v>270</v>
      </c>
      <c r="D574" s="1389"/>
      <c r="E574" s="1389"/>
      <c r="F574" s="1423"/>
      <c r="G574" s="1423"/>
      <c r="H574" s="1424"/>
      <c r="I574" s="1425">
        <f>J575-J574</f>
        <v>7.6800000000162072E-2</v>
      </c>
      <c r="J574" s="1394">
        <f>SUM(I491:I573)</f>
        <v>370.82319999999987</v>
      </c>
      <c r="M574" s="1426"/>
      <c r="Q574" s="1394">
        <f>IFERROR(VLOOKUP(M574,#REF!,3,0),0)</f>
        <v>0</v>
      </c>
      <c r="R574" s="1394">
        <f t="shared" si="169"/>
        <v>0</v>
      </c>
      <c r="S574" s="1394">
        <f>IFERROR(VLOOKUP(M574,#REF!,6,0),0)</f>
        <v>0</v>
      </c>
      <c r="T574" s="1394">
        <f t="shared" si="170"/>
        <v>0</v>
      </c>
      <c r="U574" s="1394">
        <f>IFERROR(VLOOKUP(M574,#REF!,5,0),0)</f>
        <v>0</v>
      </c>
      <c r="V574" s="1394">
        <f t="shared" si="171"/>
        <v>0</v>
      </c>
    </row>
    <row r="575" spans="2:23" s="1394" customFormat="1" ht="30" customHeight="1">
      <c r="B575" s="1421"/>
      <c r="C575" s="1457"/>
      <c r="D575" s="1389"/>
      <c r="E575" s="1389"/>
      <c r="F575" s="1423"/>
      <c r="G575" s="1423"/>
      <c r="H575" s="1424"/>
      <c r="I575" s="1427">
        <f>+J575</f>
        <v>370.90000000000003</v>
      </c>
      <c r="J575" s="1394">
        <f>ROUNDUP(J574,1)</f>
        <v>370.90000000000003</v>
      </c>
      <c r="M575" s="1426"/>
      <c r="Q575" s="1394">
        <f>IFERROR(VLOOKUP(M575,#REF!,3,0),0)</f>
        <v>0</v>
      </c>
      <c r="R575" s="1394">
        <f t="shared" si="169"/>
        <v>0</v>
      </c>
      <c r="S575" s="1394">
        <f>IFERROR(VLOOKUP(M575,#REF!,6,0),0)</f>
        <v>0</v>
      </c>
      <c r="T575" s="1394">
        <f t="shared" si="170"/>
        <v>0</v>
      </c>
      <c r="U575" s="1394">
        <f>IFERROR(VLOOKUP(M575,#REF!,5,0),0)</f>
        <v>0</v>
      </c>
      <c r="V575" s="1394">
        <f t="shared" si="171"/>
        <v>0</v>
      </c>
    </row>
    <row r="576" spans="2:23" s="1394" customFormat="1" ht="30" customHeight="1">
      <c r="B576" s="1421"/>
      <c r="C576" s="1422"/>
      <c r="D576" s="1389"/>
      <c r="E576" s="1389"/>
      <c r="F576" s="1423"/>
      <c r="G576" s="1428" t="s">
        <v>11</v>
      </c>
      <c r="H576" s="1429">
        <f>I575</f>
        <v>370.90000000000003</v>
      </c>
      <c r="I576" s="1427" t="s">
        <v>12</v>
      </c>
      <c r="M576" s="1426"/>
      <c r="Q576" s="1394">
        <f>IFERROR(VLOOKUP(M576,#REF!,3,0),0)</f>
        <v>0</v>
      </c>
      <c r="R576" s="1394">
        <f t="shared" si="169"/>
        <v>0</v>
      </c>
      <c r="S576" s="1394">
        <f>IFERROR(VLOOKUP(M576,#REF!,6,0),0)</f>
        <v>0</v>
      </c>
      <c r="T576" s="1394">
        <f t="shared" si="170"/>
        <v>0</v>
      </c>
      <c r="U576" s="1394">
        <f>IFERROR(VLOOKUP(M576,#REF!,5,0),0)</f>
        <v>0</v>
      </c>
      <c r="V576" s="1394">
        <f t="shared" si="171"/>
        <v>0</v>
      </c>
    </row>
    <row r="577" spans="2:23" ht="30" customHeight="1">
      <c r="B577" s="1407"/>
      <c r="C577" s="1688" t="s">
        <v>298</v>
      </c>
      <c r="D577" s="1689"/>
      <c r="E577" s="1689"/>
      <c r="F577" s="1689"/>
      <c r="G577" s="1689"/>
      <c r="H577" s="1690"/>
      <c r="I577" s="1406"/>
      <c r="Q577" s="1394">
        <f>IFERROR(VLOOKUP(M577,#REF!,3,0),0)</f>
        <v>0</v>
      </c>
      <c r="R577" s="1394">
        <f t="shared" si="169"/>
        <v>0</v>
      </c>
      <c r="S577" s="1394">
        <f>IFERROR(VLOOKUP(M577,#REF!,6,0),0)</f>
        <v>0</v>
      </c>
      <c r="T577" s="1394">
        <f t="shared" si="170"/>
        <v>0</v>
      </c>
      <c r="U577" s="1394">
        <f>IFERROR(VLOOKUP(M577,#REF!,5,0),0)</f>
        <v>0</v>
      </c>
      <c r="V577" s="1394">
        <f t="shared" si="171"/>
        <v>0</v>
      </c>
      <c r="W577" s="1394"/>
    </row>
    <row r="578" spans="2:23" ht="30" customHeight="1">
      <c r="B578" s="1407"/>
      <c r="C578" s="1415" t="str">
        <f>C324</f>
        <v>Column raising up to Tie beam</v>
      </c>
      <c r="D578" s="1409"/>
      <c r="E578" s="1409"/>
      <c r="F578" s="1410"/>
      <c r="G578" s="1410"/>
      <c r="H578" s="1411"/>
      <c r="I578" s="1406"/>
      <c r="Q578" s="1394">
        <f>IFERROR(VLOOKUP(M578,#REF!,3,0),0)</f>
        <v>0</v>
      </c>
      <c r="R578" s="1394">
        <f t="shared" si="169"/>
        <v>0</v>
      </c>
      <c r="S578" s="1394">
        <f>IFERROR(VLOOKUP(M578,#REF!,6,0),0)</f>
        <v>0</v>
      </c>
      <c r="T578" s="1394">
        <f t="shared" si="170"/>
        <v>0</v>
      </c>
      <c r="U578" s="1394">
        <f>IFERROR(VLOOKUP(M578,#REF!,5,0),0)</f>
        <v>0</v>
      </c>
      <c r="V578" s="1394">
        <f t="shared" si="171"/>
        <v>0</v>
      </c>
      <c r="W578" s="1394"/>
    </row>
    <row r="579" spans="2:23" ht="30" customHeight="1">
      <c r="B579" s="1407"/>
      <c r="C579" s="1408" t="str">
        <f>C325</f>
        <v xml:space="preserve">For C1 Round Column Dia 0.3 Radius = 0.15 </v>
      </c>
      <c r="D579" s="1416">
        <f t="shared" ref="D579:H579" si="194">D325</f>
        <v>4</v>
      </c>
      <c r="E579" s="1409">
        <f t="shared" si="194"/>
        <v>3.14</v>
      </c>
      <c r="F579" s="1410">
        <f>F325*2</f>
        <v>0.3</v>
      </c>
      <c r="G579" s="1410"/>
      <c r="H579" s="1411">
        <f t="shared" si="194"/>
        <v>1.88</v>
      </c>
      <c r="I579" s="1406">
        <f t="shared" ref="I579:I593" si="195">PRODUCT(D579:H579)</f>
        <v>7.0838399999999995</v>
      </c>
      <c r="J579" s="1397"/>
      <c r="K579" s="1397"/>
      <c r="Q579" s="1394">
        <f>IFERROR(VLOOKUP(M579,#REF!,3,0),0)</f>
        <v>0</v>
      </c>
      <c r="R579" s="1394">
        <f t="shared" si="169"/>
        <v>0</v>
      </c>
      <c r="S579" s="1394">
        <f>IFERROR(VLOOKUP(M579,#REF!,6,0),0)</f>
        <v>0</v>
      </c>
      <c r="T579" s="1394">
        <f t="shared" si="170"/>
        <v>0</v>
      </c>
      <c r="U579" s="1394">
        <f>IFERROR(VLOOKUP(M579,#REF!,5,0),0)</f>
        <v>0</v>
      </c>
      <c r="V579" s="1394">
        <f t="shared" si="171"/>
        <v>0</v>
      </c>
      <c r="W579" s="1394"/>
    </row>
    <row r="580" spans="2:23" ht="30" customHeight="1">
      <c r="B580" s="1407"/>
      <c r="C580" s="1408" t="str">
        <f t="shared" ref="C580:E580" si="196">C326</f>
        <v>For C2</v>
      </c>
      <c r="D580" s="1416">
        <f t="shared" si="196"/>
        <v>11</v>
      </c>
      <c r="E580" s="1409">
        <f t="shared" si="196"/>
        <v>1</v>
      </c>
      <c r="F580" s="1410">
        <f>2*(F326+G326)</f>
        <v>1.22</v>
      </c>
      <c r="G580" s="1410"/>
      <c r="H580" s="1411">
        <f>H326</f>
        <v>1.7299999999999995</v>
      </c>
      <c r="I580" s="1406">
        <f>PRODUCT(D580:H580)</f>
        <v>23.216599999999993</v>
      </c>
      <c r="J580" s="1397"/>
      <c r="K580" s="1397"/>
      <c r="Q580" s="1394">
        <f>IFERROR(VLOOKUP(M580,#REF!,3,0),0)</f>
        <v>0</v>
      </c>
      <c r="R580" s="1394">
        <f t="shared" si="169"/>
        <v>0</v>
      </c>
      <c r="S580" s="1394">
        <f>IFERROR(VLOOKUP(M580,#REF!,6,0),0)</f>
        <v>0</v>
      </c>
      <c r="T580" s="1394">
        <f t="shared" si="170"/>
        <v>0</v>
      </c>
      <c r="U580" s="1394">
        <f>IFERROR(VLOOKUP(M580,#REF!,5,0),0)</f>
        <v>0</v>
      </c>
      <c r="V580" s="1394">
        <f t="shared" si="171"/>
        <v>0</v>
      </c>
      <c r="W580" s="1394"/>
    </row>
    <row r="581" spans="2:23" ht="30" customHeight="1">
      <c r="B581" s="1407"/>
      <c r="C581" s="1408" t="str">
        <f t="shared" ref="C581:E581" si="197">C327</f>
        <v>For C3</v>
      </c>
      <c r="D581" s="1416">
        <f t="shared" si="197"/>
        <v>10</v>
      </c>
      <c r="E581" s="1409">
        <f t="shared" si="197"/>
        <v>1</v>
      </c>
      <c r="F581" s="1410">
        <f t="shared" ref="F581:F582" si="198">2*(F327+G327)</f>
        <v>1.36</v>
      </c>
      <c r="G581" s="1410"/>
      <c r="H581" s="1411">
        <f>H327</f>
        <v>1.7299999999999995</v>
      </c>
      <c r="I581" s="1406">
        <f t="shared" ref="I581:I582" si="199">PRODUCT(D581:H581)</f>
        <v>23.527999999999995</v>
      </c>
      <c r="J581" s="1397"/>
      <c r="K581" s="1397"/>
      <c r="Q581" s="1394">
        <f>IFERROR(VLOOKUP(M581,#REF!,3,0),0)</f>
        <v>0</v>
      </c>
      <c r="R581" s="1394">
        <f t="shared" si="169"/>
        <v>0</v>
      </c>
      <c r="S581" s="1394">
        <f>IFERROR(VLOOKUP(M581,#REF!,6,0),0)</f>
        <v>0</v>
      </c>
      <c r="T581" s="1394">
        <f t="shared" si="170"/>
        <v>0</v>
      </c>
      <c r="U581" s="1394">
        <f>IFERROR(VLOOKUP(M581,#REF!,5,0),0)</f>
        <v>0</v>
      </c>
      <c r="V581" s="1394">
        <f t="shared" si="171"/>
        <v>0</v>
      </c>
      <c r="W581" s="1394"/>
    </row>
    <row r="582" spans="2:23" ht="30" customHeight="1">
      <c r="B582" s="1407"/>
      <c r="C582" s="1408" t="str">
        <f t="shared" ref="C582:E582" si="200">C328</f>
        <v>For C4</v>
      </c>
      <c r="D582" s="1416">
        <f t="shared" si="200"/>
        <v>7</v>
      </c>
      <c r="E582" s="1409">
        <f t="shared" si="200"/>
        <v>1</v>
      </c>
      <c r="F582" s="1410">
        <f t="shared" si="198"/>
        <v>1.5</v>
      </c>
      <c r="G582" s="1410"/>
      <c r="H582" s="1411">
        <f>H328</f>
        <v>1.5799999999999996</v>
      </c>
      <c r="I582" s="1406">
        <f t="shared" si="199"/>
        <v>16.589999999999996</v>
      </c>
      <c r="J582" s="1397"/>
      <c r="K582" s="1397"/>
      <c r="Q582" s="1394">
        <f>IFERROR(VLOOKUP(M582,#REF!,3,0),0)</f>
        <v>0</v>
      </c>
      <c r="R582" s="1394">
        <f t="shared" si="169"/>
        <v>0</v>
      </c>
      <c r="S582" s="1394">
        <f>IFERROR(VLOOKUP(M582,#REF!,6,0),0)</f>
        <v>0</v>
      </c>
      <c r="T582" s="1394">
        <f t="shared" si="170"/>
        <v>0</v>
      </c>
      <c r="U582" s="1394">
        <f>IFERROR(VLOOKUP(M582,#REF!,5,0),0)</f>
        <v>0</v>
      </c>
      <c r="V582" s="1394">
        <f t="shared" si="171"/>
        <v>0</v>
      </c>
      <c r="W582" s="1394"/>
    </row>
    <row r="583" spans="2:23" ht="30" customHeight="1">
      <c r="B583" s="1407"/>
      <c r="C583" s="1415" t="str">
        <f>C369</f>
        <v>Column raising Tie Beam to grade beam</v>
      </c>
      <c r="D583" s="1409"/>
      <c r="E583" s="1409"/>
      <c r="F583" s="1410"/>
      <c r="G583" s="1410"/>
      <c r="H583" s="1411"/>
      <c r="I583" s="1406"/>
      <c r="Q583" s="1394">
        <f>IFERROR(VLOOKUP(M583,#REF!,3,0),0)</f>
        <v>0</v>
      </c>
      <c r="R583" s="1394">
        <f t="shared" si="169"/>
        <v>0</v>
      </c>
      <c r="S583" s="1394">
        <f>IFERROR(VLOOKUP(M583,#REF!,6,0),0)</f>
        <v>0</v>
      </c>
      <c r="T583" s="1394">
        <f t="shared" si="170"/>
        <v>0</v>
      </c>
      <c r="U583" s="1394">
        <f>IFERROR(VLOOKUP(M583,#REF!,5,0),0)</f>
        <v>0</v>
      </c>
      <c r="V583" s="1394">
        <f t="shared" si="171"/>
        <v>0</v>
      </c>
      <c r="W583" s="1394"/>
    </row>
    <row r="584" spans="2:23" ht="30" customHeight="1">
      <c r="B584" s="1407"/>
      <c r="C584" s="1408" t="str">
        <f>C370</f>
        <v xml:space="preserve">For C1 Round Column Dia 0.3 Radius = 0.15 </v>
      </c>
      <c r="D584" s="1416">
        <f t="shared" ref="D584:H584" si="201">D370</f>
        <v>4</v>
      </c>
      <c r="E584" s="1409">
        <f t="shared" si="201"/>
        <v>3.14</v>
      </c>
      <c r="F584" s="1410">
        <f>F370*2</f>
        <v>0.3</v>
      </c>
      <c r="G584" s="1410"/>
      <c r="H584" s="1411">
        <f t="shared" si="201"/>
        <v>1.32</v>
      </c>
      <c r="I584" s="1406">
        <f t="shared" ref="I584" si="202">PRODUCT(D584:H584)</f>
        <v>4.9737600000000004</v>
      </c>
      <c r="J584" s="1397"/>
      <c r="K584" s="1397"/>
      <c r="Q584" s="1394">
        <f>IFERROR(VLOOKUP(M584,#REF!,3,0),0)</f>
        <v>0</v>
      </c>
      <c r="R584" s="1394">
        <f t="shared" si="169"/>
        <v>0</v>
      </c>
      <c r="S584" s="1394">
        <f>IFERROR(VLOOKUP(M584,#REF!,6,0),0)</f>
        <v>0</v>
      </c>
      <c r="T584" s="1394">
        <f t="shared" si="170"/>
        <v>0</v>
      </c>
      <c r="U584" s="1394">
        <f>IFERROR(VLOOKUP(M584,#REF!,5,0),0)</f>
        <v>0</v>
      </c>
      <c r="V584" s="1394">
        <f t="shared" si="171"/>
        <v>0</v>
      </c>
      <c r="W584" s="1394"/>
    </row>
    <row r="585" spans="2:23" ht="30" customHeight="1">
      <c r="B585" s="1407"/>
      <c r="C585" s="1408" t="str">
        <f t="shared" ref="C585:H587" si="203">C371</f>
        <v>For C2</v>
      </c>
      <c r="D585" s="1416">
        <f t="shared" si="203"/>
        <v>11</v>
      </c>
      <c r="E585" s="1409">
        <f t="shared" si="203"/>
        <v>1</v>
      </c>
      <c r="F585" s="1410">
        <f>2*(F371+G371)</f>
        <v>1.22</v>
      </c>
      <c r="G585" s="1410"/>
      <c r="H585" s="1411">
        <f t="shared" si="203"/>
        <v>1.32</v>
      </c>
      <c r="I585" s="1406">
        <f t="shared" ref="I585" si="204">PRODUCT(D585:H585)</f>
        <v>17.714400000000001</v>
      </c>
      <c r="J585" s="1397"/>
      <c r="K585" s="1397"/>
      <c r="Q585" s="1394">
        <f>IFERROR(VLOOKUP(M585,#REF!,3,0),0)</f>
        <v>0</v>
      </c>
      <c r="R585" s="1394">
        <f t="shared" si="169"/>
        <v>0</v>
      </c>
      <c r="S585" s="1394">
        <f>IFERROR(VLOOKUP(M585,#REF!,6,0),0)</f>
        <v>0</v>
      </c>
      <c r="T585" s="1394">
        <f t="shared" si="170"/>
        <v>0</v>
      </c>
      <c r="U585" s="1394">
        <f>IFERROR(VLOOKUP(M585,#REF!,5,0),0)</f>
        <v>0</v>
      </c>
      <c r="V585" s="1394">
        <f t="shared" si="171"/>
        <v>0</v>
      </c>
      <c r="W585" s="1394"/>
    </row>
    <row r="586" spans="2:23" ht="30" customHeight="1">
      <c r="B586" s="1407"/>
      <c r="C586" s="1408" t="str">
        <f t="shared" si="203"/>
        <v>For C3</v>
      </c>
      <c r="D586" s="1416">
        <f t="shared" ref="D586:E586" si="205">D372</f>
        <v>10</v>
      </c>
      <c r="E586" s="1409">
        <f t="shared" si="205"/>
        <v>1</v>
      </c>
      <c r="F586" s="1410">
        <f t="shared" ref="F586:F587" si="206">2*(F372+G372)</f>
        <v>1.36</v>
      </c>
      <c r="G586" s="1410"/>
      <c r="H586" s="1411">
        <f t="shared" ref="H586" si="207">H372</f>
        <v>1.32</v>
      </c>
      <c r="I586" s="1406">
        <f t="shared" ref="I586:I587" si="208">PRODUCT(D586:H586)</f>
        <v>17.952000000000002</v>
      </c>
      <c r="J586" s="1397"/>
      <c r="K586" s="1397"/>
      <c r="Q586" s="1394">
        <f>IFERROR(VLOOKUP(M586,#REF!,3,0),0)</f>
        <v>0</v>
      </c>
      <c r="R586" s="1394">
        <f t="shared" si="169"/>
        <v>0</v>
      </c>
      <c r="S586" s="1394">
        <f>IFERROR(VLOOKUP(M586,#REF!,6,0),0)</f>
        <v>0</v>
      </c>
      <c r="T586" s="1394">
        <f t="shared" si="170"/>
        <v>0</v>
      </c>
      <c r="U586" s="1394">
        <f>IFERROR(VLOOKUP(M586,#REF!,5,0),0)</f>
        <v>0</v>
      </c>
      <c r="V586" s="1394">
        <f t="shared" si="171"/>
        <v>0</v>
      </c>
      <c r="W586" s="1394"/>
    </row>
    <row r="587" spans="2:23" ht="30" customHeight="1">
      <c r="B587" s="1407"/>
      <c r="C587" s="1408" t="str">
        <f t="shared" si="203"/>
        <v>For C4</v>
      </c>
      <c r="D587" s="1416">
        <f t="shared" ref="D587:E587" si="209">D373</f>
        <v>7</v>
      </c>
      <c r="E587" s="1409">
        <f t="shared" si="209"/>
        <v>1</v>
      </c>
      <c r="F587" s="1410">
        <f t="shared" si="206"/>
        <v>1.5</v>
      </c>
      <c r="G587" s="1410"/>
      <c r="H587" s="1411">
        <f t="shared" ref="H587" si="210">H373</f>
        <v>1.32</v>
      </c>
      <c r="I587" s="1406">
        <f t="shared" si="208"/>
        <v>13.860000000000001</v>
      </c>
      <c r="J587" s="1397"/>
      <c r="K587" s="1397"/>
      <c r="Q587" s="1394">
        <f>IFERROR(VLOOKUP(M587,#REF!,3,0),0)</f>
        <v>0</v>
      </c>
      <c r="R587" s="1394">
        <f t="shared" si="169"/>
        <v>0</v>
      </c>
      <c r="S587" s="1394">
        <f>IFERROR(VLOOKUP(M587,#REF!,6,0),0)</f>
        <v>0</v>
      </c>
      <c r="T587" s="1394">
        <f t="shared" si="170"/>
        <v>0</v>
      </c>
      <c r="U587" s="1394">
        <f>IFERROR(VLOOKUP(M587,#REF!,5,0),0)</f>
        <v>0</v>
      </c>
      <c r="V587" s="1394">
        <f t="shared" si="171"/>
        <v>0</v>
      </c>
      <c r="W587" s="1394"/>
    </row>
    <row r="588" spans="2:23" ht="30" hidden="1" customHeight="1">
      <c r="B588" s="1407"/>
      <c r="C588" s="1408"/>
      <c r="D588" s="1409"/>
      <c r="E588" s="1409"/>
      <c r="F588" s="1410"/>
      <c r="G588" s="1410"/>
      <c r="H588" s="1411"/>
      <c r="I588" s="1406">
        <f t="shared" si="195"/>
        <v>0</v>
      </c>
      <c r="J588" s="1397"/>
      <c r="K588" s="1397"/>
      <c r="Q588" s="1394">
        <f>IFERROR(VLOOKUP(M588,#REF!,3,0),0)</f>
        <v>0</v>
      </c>
      <c r="R588" s="1394">
        <f t="shared" si="169"/>
        <v>0</v>
      </c>
      <c r="S588" s="1394">
        <f>IFERROR(VLOOKUP(M588,#REF!,6,0),0)</f>
        <v>0</v>
      </c>
      <c r="T588" s="1394">
        <f t="shared" si="170"/>
        <v>0</v>
      </c>
      <c r="U588" s="1394">
        <f>IFERROR(VLOOKUP(M588,#REF!,5,0),0)</f>
        <v>0</v>
      </c>
      <c r="V588" s="1394">
        <f t="shared" si="171"/>
        <v>0</v>
      </c>
      <c r="W588" s="1394"/>
    </row>
    <row r="589" spans="2:23" ht="30" customHeight="1">
      <c r="B589" s="1407"/>
      <c r="C589" s="1415" t="s">
        <v>225</v>
      </c>
      <c r="D589" s="1409"/>
      <c r="E589" s="1409"/>
      <c r="F589" s="1410"/>
      <c r="G589" s="1410"/>
      <c r="H589" s="1411"/>
      <c r="I589" s="1406">
        <f t="shared" si="195"/>
        <v>0</v>
      </c>
      <c r="Q589" s="1394">
        <f>IFERROR(VLOOKUP(M589,#REF!,3,0),0)</f>
        <v>0</v>
      </c>
      <c r="R589" s="1394">
        <f t="shared" si="169"/>
        <v>0</v>
      </c>
      <c r="S589" s="1394">
        <f>IFERROR(VLOOKUP(M589,#REF!,6,0),0)</f>
        <v>0</v>
      </c>
      <c r="T589" s="1394">
        <f t="shared" si="170"/>
        <v>0</v>
      </c>
      <c r="U589" s="1394">
        <f>IFERROR(VLOOKUP(M589,#REF!,5,0),0)</f>
        <v>0</v>
      </c>
      <c r="V589" s="1394">
        <f t="shared" si="171"/>
        <v>0</v>
      </c>
      <c r="W589" s="1394"/>
    </row>
    <row r="590" spans="2:23" ht="30" customHeight="1">
      <c r="B590" s="1407"/>
      <c r="C590" s="1408" t="str">
        <f>C407</f>
        <v xml:space="preserve">For C1 Round Column Dia 0.3 Radius = 0.15 </v>
      </c>
      <c r="D590" s="1416">
        <f t="shared" ref="D590:H590" si="211">D407</f>
        <v>4</v>
      </c>
      <c r="E590" s="1409">
        <f t="shared" si="211"/>
        <v>3.14</v>
      </c>
      <c r="F590" s="1410">
        <f>F407*2</f>
        <v>0.3</v>
      </c>
      <c r="G590" s="1410"/>
      <c r="H590" s="1411">
        <f t="shared" si="211"/>
        <v>0.56999999999999995</v>
      </c>
      <c r="I590" s="1406">
        <f t="shared" si="195"/>
        <v>2.1477599999999999</v>
      </c>
      <c r="J590" s="1397"/>
      <c r="K590" s="1397"/>
      <c r="Q590" s="1394">
        <f>IFERROR(VLOOKUP(M590,#REF!,3,0),0)</f>
        <v>0</v>
      </c>
      <c r="R590" s="1394">
        <f t="shared" si="169"/>
        <v>0</v>
      </c>
      <c r="S590" s="1394">
        <f>IFERROR(VLOOKUP(M590,#REF!,6,0),0)</f>
        <v>0</v>
      </c>
      <c r="T590" s="1394">
        <f t="shared" si="170"/>
        <v>0</v>
      </c>
      <c r="U590" s="1394">
        <f>IFERROR(VLOOKUP(M590,#REF!,5,0),0)</f>
        <v>0</v>
      </c>
      <c r="V590" s="1394">
        <f t="shared" si="171"/>
        <v>0</v>
      </c>
      <c r="W590" s="1394"/>
    </row>
    <row r="591" spans="2:23" ht="30" customHeight="1">
      <c r="B591" s="1407"/>
      <c r="C591" s="1408" t="str">
        <f t="shared" ref="C591:H593" si="212">C408</f>
        <v>For C2</v>
      </c>
      <c r="D591" s="1416">
        <f t="shared" si="212"/>
        <v>11</v>
      </c>
      <c r="E591" s="1409">
        <f t="shared" si="212"/>
        <v>1</v>
      </c>
      <c r="F591" s="1410">
        <f>2*(F408+G408)</f>
        <v>1.22</v>
      </c>
      <c r="G591" s="1410"/>
      <c r="H591" s="1411">
        <f t="shared" si="212"/>
        <v>0.56999999999999995</v>
      </c>
      <c r="I591" s="1406">
        <f t="shared" si="195"/>
        <v>7.6493999999999991</v>
      </c>
      <c r="J591" s="1397"/>
      <c r="K591" s="1397"/>
      <c r="Q591" s="1394">
        <f>IFERROR(VLOOKUP(M591,#REF!,3,0),0)</f>
        <v>0</v>
      </c>
      <c r="R591" s="1394">
        <f t="shared" si="169"/>
        <v>0</v>
      </c>
      <c r="S591" s="1394">
        <f>IFERROR(VLOOKUP(M591,#REF!,6,0),0)</f>
        <v>0</v>
      </c>
      <c r="T591" s="1394">
        <f t="shared" si="170"/>
        <v>0</v>
      </c>
      <c r="U591" s="1394">
        <f>IFERROR(VLOOKUP(M591,#REF!,5,0),0)</f>
        <v>0</v>
      </c>
      <c r="V591" s="1394">
        <f t="shared" si="171"/>
        <v>0</v>
      </c>
      <c r="W591" s="1394"/>
    </row>
    <row r="592" spans="2:23" ht="30" customHeight="1">
      <c r="B592" s="1407"/>
      <c r="C592" s="1408" t="str">
        <f t="shared" si="212"/>
        <v>For C3</v>
      </c>
      <c r="D592" s="1416">
        <f t="shared" si="212"/>
        <v>10</v>
      </c>
      <c r="E592" s="1409">
        <f t="shared" si="212"/>
        <v>1</v>
      </c>
      <c r="F592" s="1410">
        <f t="shared" ref="F592:F593" si="213">2*(F409+G409)</f>
        <v>1.36</v>
      </c>
      <c r="G592" s="1410"/>
      <c r="H592" s="1411">
        <f t="shared" si="212"/>
        <v>0.56999999999999995</v>
      </c>
      <c r="I592" s="1406">
        <f t="shared" si="195"/>
        <v>7.7519999999999998</v>
      </c>
      <c r="J592" s="1397"/>
      <c r="K592" s="1397"/>
      <c r="Q592" s="1394">
        <f>IFERROR(VLOOKUP(M592,#REF!,3,0),0)</f>
        <v>0</v>
      </c>
      <c r="R592" s="1394">
        <f t="shared" si="169"/>
        <v>0</v>
      </c>
      <c r="S592" s="1394">
        <f>IFERROR(VLOOKUP(M592,#REF!,6,0),0)</f>
        <v>0</v>
      </c>
      <c r="T592" s="1394">
        <f t="shared" si="170"/>
        <v>0</v>
      </c>
      <c r="U592" s="1394">
        <f>IFERROR(VLOOKUP(M592,#REF!,5,0),0)</f>
        <v>0</v>
      </c>
      <c r="V592" s="1394">
        <f t="shared" si="171"/>
        <v>0</v>
      </c>
      <c r="W592" s="1394"/>
    </row>
    <row r="593" spans="1:24" ht="30" customHeight="1">
      <c r="B593" s="1407"/>
      <c r="C593" s="1408" t="str">
        <f t="shared" si="212"/>
        <v>For C4</v>
      </c>
      <c r="D593" s="1416">
        <f t="shared" si="212"/>
        <v>7</v>
      </c>
      <c r="E593" s="1409">
        <f t="shared" si="212"/>
        <v>1</v>
      </c>
      <c r="F593" s="1410">
        <f t="shared" si="213"/>
        <v>1.5</v>
      </c>
      <c r="G593" s="1410"/>
      <c r="H593" s="1411">
        <f t="shared" si="212"/>
        <v>0.56999999999999995</v>
      </c>
      <c r="I593" s="1406">
        <f t="shared" si="195"/>
        <v>5.9849999999999994</v>
      </c>
      <c r="J593" s="1397"/>
      <c r="K593" s="1397"/>
      <c r="Q593" s="1394">
        <f>IFERROR(VLOOKUP(M593,#REF!,3,0),0)</f>
        <v>0</v>
      </c>
      <c r="R593" s="1394">
        <f t="shared" si="169"/>
        <v>0</v>
      </c>
      <c r="S593" s="1394">
        <f>IFERROR(VLOOKUP(M593,#REF!,6,0),0)</f>
        <v>0</v>
      </c>
      <c r="T593" s="1394">
        <f t="shared" si="170"/>
        <v>0</v>
      </c>
      <c r="U593" s="1394">
        <f>IFERROR(VLOOKUP(M593,#REF!,5,0),0)</f>
        <v>0</v>
      </c>
      <c r="V593" s="1394">
        <f t="shared" si="171"/>
        <v>0</v>
      </c>
      <c r="W593" s="1394"/>
    </row>
    <row r="594" spans="1:24" ht="30" customHeight="1">
      <c r="B594" s="1407"/>
      <c r="C594" s="1455"/>
      <c r="D594" s="103"/>
      <c r="E594" s="103"/>
      <c r="F594" s="1413"/>
      <c r="G594" s="1413"/>
      <c r="H594" s="1414"/>
      <c r="I594" s="1406"/>
      <c r="J594" s="1397"/>
      <c r="K594" s="1397"/>
      <c r="Q594" s="1394">
        <f>IFERROR(VLOOKUP(M594,#REF!,3,0),0)</f>
        <v>0</v>
      </c>
      <c r="R594" s="1394">
        <f t="shared" si="169"/>
        <v>0</v>
      </c>
      <c r="S594" s="1394">
        <f>IFERROR(VLOOKUP(M594,#REF!,6,0),0)</f>
        <v>0</v>
      </c>
      <c r="T594" s="1394">
        <f t="shared" si="170"/>
        <v>0</v>
      </c>
      <c r="U594" s="1394">
        <f>IFERROR(VLOOKUP(M594,#REF!,5,0),0)</f>
        <v>0</v>
      </c>
      <c r="V594" s="1394">
        <f t="shared" si="171"/>
        <v>0</v>
      </c>
      <c r="W594" s="1394"/>
    </row>
    <row r="595" spans="1:24" s="1394" customFormat="1" ht="30" customHeight="1">
      <c r="B595" s="1421"/>
      <c r="C595" s="1422" t="s">
        <v>270</v>
      </c>
      <c r="D595" s="1389"/>
      <c r="E595" s="1389"/>
      <c r="F595" s="1423"/>
      <c r="G595" s="1423"/>
      <c r="H595" s="1424"/>
      <c r="I595" s="1425">
        <f>J596-J595</f>
        <v>4.7240000000044802E-2</v>
      </c>
      <c r="J595" s="1394">
        <f>SUM(I579:I594)</f>
        <v>148.45275999999996</v>
      </c>
      <c r="M595" s="1426"/>
      <c r="Q595" s="1394">
        <f>IFERROR(VLOOKUP(M595,#REF!,3,0),0)</f>
        <v>0</v>
      </c>
      <c r="R595" s="1394">
        <f t="shared" si="169"/>
        <v>0</v>
      </c>
      <c r="S595" s="1394">
        <f>IFERROR(VLOOKUP(M595,#REF!,6,0),0)</f>
        <v>0</v>
      </c>
      <c r="T595" s="1394">
        <f t="shared" si="170"/>
        <v>0</v>
      </c>
      <c r="U595" s="1394">
        <f>IFERROR(VLOOKUP(M595,#REF!,5,0),0)</f>
        <v>0</v>
      </c>
      <c r="V595" s="1394">
        <f t="shared" si="171"/>
        <v>0</v>
      </c>
    </row>
    <row r="596" spans="1:24" s="1394" customFormat="1" ht="30" customHeight="1">
      <c r="B596" s="1421"/>
      <c r="C596" s="1457"/>
      <c r="D596" s="1389"/>
      <c r="E596" s="1389"/>
      <c r="F596" s="1423"/>
      <c r="G596" s="1423"/>
      <c r="H596" s="1424"/>
      <c r="I596" s="1427">
        <f>+J596</f>
        <v>148.5</v>
      </c>
      <c r="J596" s="1394">
        <f>ROUNDUP(J595,1)</f>
        <v>148.5</v>
      </c>
      <c r="M596" s="1426"/>
      <c r="Q596" s="1394">
        <f>IFERROR(VLOOKUP(M596,#REF!,3,0),0)</f>
        <v>0</v>
      </c>
      <c r="R596" s="1394">
        <f t="shared" si="169"/>
        <v>0</v>
      </c>
      <c r="S596" s="1394">
        <f>IFERROR(VLOOKUP(M596,#REF!,6,0),0)</f>
        <v>0</v>
      </c>
      <c r="T596" s="1394">
        <f t="shared" si="170"/>
        <v>0</v>
      </c>
      <c r="U596" s="1394">
        <f>IFERROR(VLOOKUP(M596,#REF!,5,0),0)</f>
        <v>0</v>
      </c>
      <c r="V596" s="1394">
        <f t="shared" si="171"/>
        <v>0</v>
      </c>
    </row>
    <row r="597" spans="1:24" s="1394" customFormat="1" ht="30" customHeight="1">
      <c r="B597" s="1421"/>
      <c r="C597" s="1457"/>
      <c r="D597" s="1389"/>
      <c r="E597" s="1389"/>
      <c r="F597" s="1423"/>
      <c r="G597" s="1423" t="s">
        <v>11</v>
      </c>
      <c r="H597" s="1424">
        <f>I596</f>
        <v>148.5</v>
      </c>
      <c r="I597" s="1427" t="s">
        <v>12</v>
      </c>
      <c r="M597" s="1426"/>
      <c r="Q597" s="1394">
        <f>IFERROR(VLOOKUP(M597,#REF!,3,0),0)</f>
        <v>0</v>
      </c>
      <c r="R597" s="1394">
        <f t="shared" si="169"/>
        <v>0</v>
      </c>
      <c r="S597" s="1394">
        <f>IFERROR(VLOOKUP(M597,#REF!,6,0),0)</f>
        <v>0</v>
      </c>
      <c r="T597" s="1394">
        <f t="shared" si="170"/>
        <v>0</v>
      </c>
      <c r="U597" s="1394">
        <f>IFERROR(VLOOKUP(M597,#REF!,5,0),0)</f>
        <v>0</v>
      </c>
      <c r="V597" s="1394">
        <f t="shared" si="171"/>
        <v>0</v>
      </c>
    </row>
    <row r="598" spans="1:24" ht="30" customHeight="1">
      <c r="A598" s="1390" t="s">
        <v>299</v>
      </c>
      <c r="B598" s="1407"/>
      <c r="C598" s="1678" t="e">
        <f>VLOOKUP(A598,#REF!,2,0)</f>
        <v>#REF!</v>
      </c>
      <c r="D598" s="1678"/>
      <c r="E598" s="1678"/>
      <c r="F598" s="1678"/>
      <c r="G598" s="1678"/>
      <c r="H598" s="1678"/>
      <c r="I598" s="1406"/>
      <c r="Q598" s="1394">
        <f>IFERROR(VLOOKUP(M598,#REF!,3,0),0)</f>
        <v>0</v>
      </c>
      <c r="R598" s="1394">
        <f t="shared" si="169"/>
        <v>0</v>
      </c>
      <c r="S598" s="1394">
        <f>IFERROR(VLOOKUP(M598,#REF!,6,0),0)</f>
        <v>0</v>
      </c>
      <c r="T598" s="1394">
        <f t="shared" si="170"/>
        <v>0</v>
      </c>
      <c r="U598" s="1394">
        <f>IFERROR(VLOOKUP(M598,#REF!,5,0),0)</f>
        <v>0</v>
      </c>
      <c r="V598" s="1394">
        <f t="shared" si="171"/>
        <v>0</v>
      </c>
      <c r="W598" s="1394"/>
      <c r="X598" s="1397"/>
    </row>
    <row r="599" spans="1:24" ht="30" customHeight="1">
      <c r="B599" s="1407"/>
      <c r="C599" s="1415" t="s">
        <v>284</v>
      </c>
      <c r="D599" s="1409"/>
      <c r="E599" s="1409"/>
      <c r="F599" s="1410"/>
      <c r="G599" s="1410"/>
      <c r="H599" s="1411"/>
      <c r="I599" s="1406"/>
      <c r="Q599" s="1394">
        <f>IFERROR(VLOOKUP(M599,#REF!,3,0),0)</f>
        <v>0</v>
      </c>
      <c r="R599" s="1394">
        <f t="shared" si="169"/>
        <v>0</v>
      </c>
      <c r="S599" s="1394">
        <f>IFERROR(VLOOKUP(M599,#REF!,6,0),0)</f>
        <v>0</v>
      </c>
      <c r="T599" s="1394">
        <f t="shared" si="170"/>
        <v>0</v>
      </c>
      <c r="U599" s="1394">
        <f>IFERROR(VLOOKUP(M599,#REF!,5,0),0)</f>
        <v>0</v>
      </c>
      <c r="V599" s="1394">
        <f t="shared" si="171"/>
        <v>0</v>
      </c>
      <c r="W599" s="1394"/>
    </row>
    <row r="600" spans="1:24" ht="30" customHeight="1">
      <c r="B600" s="1407"/>
      <c r="C600" s="1408" t="str">
        <f>C368</f>
        <v>Lift Wall</v>
      </c>
      <c r="D600" s="1416">
        <f t="shared" ref="D600:F600" si="214">D368</f>
        <v>1</v>
      </c>
      <c r="E600" s="1409">
        <f>E368*2</f>
        <v>2</v>
      </c>
      <c r="F600" s="1410">
        <f t="shared" si="214"/>
        <v>9.7200000000000006</v>
      </c>
      <c r="G600" s="1410"/>
      <c r="H600" s="1411">
        <f>H368+0.3</f>
        <v>1.8</v>
      </c>
      <c r="I600" s="1406">
        <f>PRODUCT(D600:H600)</f>
        <v>34.992000000000004</v>
      </c>
      <c r="J600" s="1397"/>
      <c r="K600" s="1397"/>
      <c r="Q600" s="1394">
        <f>IFERROR(VLOOKUP(M600,#REF!,3,0),0)</f>
        <v>0</v>
      </c>
      <c r="R600" s="1394">
        <f t="shared" si="169"/>
        <v>0</v>
      </c>
      <c r="S600" s="1394">
        <f>IFERROR(VLOOKUP(M600,#REF!,6,0),0)</f>
        <v>0</v>
      </c>
      <c r="T600" s="1394">
        <f t="shared" si="170"/>
        <v>0</v>
      </c>
      <c r="U600" s="1394">
        <f>IFERROR(VLOOKUP(M600,#REF!,5,0),0)</f>
        <v>0</v>
      </c>
      <c r="V600" s="1394">
        <f t="shared" si="171"/>
        <v>0</v>
      </c>
      <c r="W600" s="1394"/>
    </row>
    <row r="601" spans="1:24" ht="30" customHeight="1">
      <c r="B601" s="1407"/>
      <c r="C601" s="1455"/>
      <c r="D601" s="103"/>
      <c r="E601" s="103"/>
      <c r="F601" s="1413"/>
      <c r="G601" s="1413"/>
      <c r="H601" s="1414"/>
      <c r="I601" s="1406">
        <v>0.02</v>
      </c>
      <c r="J601" s="1397"/>
      <c r="K601" s="1397"/>
      <c r="Q601" s="1394">
        <f>IFERROR(VLOOKUP(M601,#REF!,3,0),0)</f>
        <v>0</v>
      </c>
      <c r="R601" s="1394">
        <f t="shared" si="169"/>
        <v>0</v>
      </c>
      <c r="S601" s="1394">
        <f>IFERROR(VLOOKUP(M601,#REF!,6,0),0)</f>
        <v>0</v>
      </c>
      <c r="T601" s="1394">
        <f t="shared" si="170"/>
        <v>0</v>
      </c>
      <c r="U601" s="1394">
        <f>IFERROR(VLOOKUP(M601,#REF!,5,0),0)</f>
        <v>0</v>
      </c>
      <c r="V601" s="1394">
        <f t="shared" si="171"/>
        <v>0</v>
      </c>
      <c r="W601" s="1394"/>
    </row>
    <row r="602" spans="1:24" s="1394" customFormat="1" ht="36.75" customHeight="1">
      <c r="B602" s="1421"/>
      <c r="C602" s="1457"/>
      <c r="D602" s="1389"/>
      <c r="E602" s="1389"/>
      <c r="F602" s="1423"/>
      <c r="G602" s="1423"/>
      <c r="H602" s="1424"/>
      <c r="I602" s="1427">
        <f>SUM(I600:I601)</f>
        <v>35.012000000000008</v>
      </c>
      <c r="J602" s="1394">
        <f>ROUNDUP(J600,1)</f>
        <v>0</v>
      </c>
      <c r="M602" s="1426"/>
      <c r="Q602" s="1394">
        <f>IFERROR(VLOOKUP(M602,#REF!,3,0),0)</f>
        <v>0</v>
      </c>
      <c r="R602" s="1394">
        <f t="shared" si="169"/>
        <v>0</v>
      </c>
      <c r="S602" s="1394">
        <f>IFERROR(VLOOKUP(M602,#REF!,6,0),0)</f>
        <v>0</v>
      </c>
      <c r="T602" s="1394">
        <f t="shared" si="170"/>
        <v>0</v>
      </c>
      <c r="U602" s="1394">
        <f>IFERROR(VLOOKUP(M602,#REF!,5,0),0)</f>
        <v>0</v>
      </c>
      <c r="V602" s="1394">
        <f t="shared" si="171"/>
        <v>0</v>
      </c>
    </row>
    <row r="603" spans="1:24" s="1394" customFormat="1" ht="30" customHeight="1" thickBot="1">
      <c r="B603" s="1591"/>
      <c r="C603" s="1458"/>
      <c r="D603" s="1592"/>
      <c r="E603" s="1458"/>
      <c r="F603" s="1459"/>
      <c r="G603" s="1460" t="s">
        <v>11</v>
      </c>
      <c r="H603" s="1461">
        <f>I602</f>
        <v>35.012000000000008</v>
      </c>
      <c r="I603" s="1462" t="s">
        <v>12</v>
      </c>
      <c r="M603" s="1426"/>
      <c r="Q603" s="1394">
        <f>IFERROR(VLOOKUP(M603,#REF!,3,0),0)</f>
        <v>0</v>
      </c>
      <c r="R603" s="1394">
        <f t="shared" si="169"/>
        <v>0</v>
      </c>
      <c r="S603" s="1394">
        <f>IFERROR(VLOOKUP(M603,#REF!,6,0),0)</f>
        <v>0</v>
      </c>
    </row>
    <row r="604" spans="1:24" s="1394" customFormat="1" ht="30" customHeight="1" thickTop="1">
      <c r="C604" s="1463"/>
      <c r="D604" s="1464"/>
      <c r="E604" s="1464"/>
      <c r="F604" s="1465"/>
      <c r="G604" s="1466"/>
      <c r="H604" s="1467"/>
      <c r="I604" s="1468"/>
      <c r="M604" s="1426"/>
      <c r="Q604" s="1394">
        <f>IFERROR(VLOOKUP(M604,#REF!,3,0),0)</f>
        <v>0</v>
      </c>
      <c r="R604" s="1394">
        <f t="shared" si="169"/>
        <v>0</v>
      </c>
      <c r="S604" s="1394">
        <f>IFERROR(VLOOKUP(M604,#REF!,6,0),0)</f>
        <v>0</v>
      </c>
      <c r="T604" s="1394">
        <f t="shared" si="170"/>
        <v>0</v>
      </c>
      <c r="U604" s="1394">
        <f>IFERROR(VLOOKUP(M604,#REF!,5,0),0)</f>
        <v>0</v>
      </c>
      <c r="V604" s="1394">
        <f t="shared" si="171"/>
        <v>0</v>
      </c>
    </row>
    <row r="605" spans="1:24" s="1394" customFormat="1" ht="30" customHeight="1">
      <c r="C605" s="1463"/>
      <c r="D605" s="1464"/>
      <c r="E605" s="1464"/>
      <c r="F605" s="1465"/>
      <c r="G605" s="1466"/>
      <c r="H605" s="1467"/>
      <c r="I605" s="1468"/>
      <c r="M605" s="1426"/>
      <c r="Q605" s="1394">
        <f>IFERROR(VLOOKUP(M605,#REF!,3,0),0)</f>
        <v>0</v>
      </c>
      <c r="R605" s="1394">
        <f t="shared" si="169"/>
        <v>0</v>
      </c>
      <c r="S605" s="1394">
        <f>IFERROR(VLOOKUP(M605,#REF!,6,0),0)</f>
        <v>0</v>
      </c>
      <c r="T605" s="1394">
        <f t="shared" si="170"/>
        <v>0</v>
      </c>
      <c r="U605" s="1394">
        <f>IFERROR(VLOOKUP(M605,#REF!,5,0),0)</f>
        <v>0</v>
      </c>
      <c r="V605" s="1394">
        <f t="shared" si="171"/>
        <v>0</v>
      </c>
    </row>
    <row r="606" spans="1:24" s="1394" customFormat="1" ht="67.5" customHeight="1">
      <c r="B606" s="1687" t="e">
        <f>B4</f>
        <v>#REF!</v>
      </c>
      <c r="C606" s="1687"/>
      <c r="D606" s="1687"/>
      <c r="E606" s="1687"/>
      <c r="F606" s="1687"/>
      <c r="G606" s="1687"/>
      <c r="H606" s="1687"/>
      <c r="I606" s="1687"/>
      <c r="M606" s="1426"/>
      <c r="Q606" s="1394">
        <f>IFERROR(VLOOKUP(M606,#REF!,3,0),0)</f>
        <v>0</v>
      </c>
      <c r="R606" s="1394">
        <f t="shared" si="169"/>
        <v>0</v>
      </c>
      <c r="S606" s="1394">
        <f>IFERROR(VLOOKUP(M606,#REF!,6,0),0)</f>
        <v>0</v>
      </c>
      <c r="T606" s="1394">
        <f t="shared" si="170"/>
        <v>0</v>
      </c>
      <c r="U606" s="1394">
        <f>IFERROR(VLOOKUP(M606,#REF!,5,0),0)</f>
        <v>0</v>
      </c>
      <c r="V606" s="1394">
        <f t="shared" si="171"/>
        <v>0</v>
      </c>
    </row>
    <row r="607" spans="1:24" s="1394" customFormat="1" ht="30" customHeight="1">
      <c r="B607" s="1687" t="str">
        <f>+'[6]Main Building Details'!B4</f>
        <v xml:space="preserve"> DETAILED ESTIMATE</v>
      </c>
      <c r="C607" s="1687"/>
      <c r="D607" s="1687"/>
      <c r="E607" s="1687"/>
      <c r="F607" s="1687"/>
      <c r="G607" s="1687"/>
      <c r="H607" s="1687"/>
      <c r="I607" s="1687"/>
      <c r="M607" s="1426"/>
      <c r="Q607" s="1394">
        <f>IFERROR(VLOOKUP(M607,#REF!,3,0),0)</f>
        <v>0</v>
      </c>
      <c r="R607" s="1394">
        <f t="shared" si="169"/>
        <v>0</v>
      </c>
      <c r="S607" s="1394">
        <f>IFERROR(VLOOKUP(M607,#REF!,6,0),0)</f>
        <v>0</v>
      </c>
      <c r="T607" s="1394">
        <f t="shared" si="170"/>
        <v>0</v>
      </c>
      <c r="U607" s="1394">
        <f>IFERROR(VLOOKUP(M607,#REF!,5,0),0)</f>
        <v>0</v>
      </c>
      <c r="V607" s="1394">
        <f t="shared" si="171"/>
        <v>0</v>
      </c>
    </row>
    <row r="608" spans="1:24" s="1394" customFormat="1" ht="30" customHeight="1" thickBot="1">
      <c r="B608" s="1691" t="s">
        <v>300</v>
      </c>
      <c r="C608" s="1691"/>
      <c r="D608" s="1691"/>
      <c r="E608" s="1691"/>
      <c r="F608" s="1691"/>
      <c r="G608" s="1691"/>
      <c r="H608" s="1691"/>
      <c r="I608" s="1691"/>
      <c r="M608" s="1426"/>
      <c r="O608" s="1469"/>
      <c r="P608" s="110"/>
      <c r="Q608" s="1394">
        <f>IFERROR(VLOOKUP(M608,#REF!,3,0),0)</f>
        <v>0</v>
      </c>
      <c r="R608" s="1394">
        <f t="shared" si="169"/>
        <v>0</v>
      </c>
      <c r="S608" s="1394">
        <f>IFERROR(VLOOKUP(M608,#REF!,6,0),0)</f>
        <v>0</v>
      </c>
      <c r="T608" s="1394">
        <f t="shared" si="170"/>
        <v>0</v>
      </c>
      <c r="U608" s="1394">
        <f>IFERROR(VLOOKUP(M608,#REF!,5,0),0)</f>
        <v>0</v>
      </c>
      <c r="V608" s="1394">
        <f t="shared" si="171"/>
        <v>0</v>
      </c>
    </row>
    <row r="609" spans="1:24" s="1394" customFormat="1" ht="30" customHeight="1" thickTop="1">
      <c r="B609" s="1400" t="s">
        <v>198</v>
      </c>
      <c r="C609" s="1401" t="s">
        <v>199</v>
      </c>
      <c r="D609" s="1692" t="s">
        <v>13</v>
      </c>
      <c r="E609" s="1692"/>
      <c r="F609" s="1402" t="s">
        <v>200</v>
      </c>
      <c r="G609" s="1402" t="s">
        <v>201</v>
      </c>
      <c r="H609" s="1403" t="s">
        <v>202</v>
      </c>
      <c r="I609" s="1404" t="s">
        <v>14</v>
      </c>
      <c r="M609" s="1426"/>
      <c r="O609" s="1395"/>
      <c r="P609" s="110"/>
      <c r="Q609" s="1394">
        <f>IFERROR(VLOOKUP(M609,#REF!,3,0),0)</f>
        <v>0</v>
      </c>
      <c r="R609" s="1394">
        <f t="shared" si="169"/>
        <v>0</v>
      </c>
      <c r="S609" s="1394">
        <f>IFERROR(VLOOKUP(M609,#REF!,6,0),0)</f>
        <v>0</v>
      </c>
      <c r="T609" s="1394">
        <f t="shared" si="170"/>
        <v>0</v>
      </c>
      <c r="U609" s="1394">
        <f>IFERROR(VLOOKUP(M609,#REF!,5,0),0)</f>
        <v>0</v>
      </c>
      <c r="V609" s="1394">
        <f t="shared" si="171"/>
        <v>0</v>
      </c>
    </row>
    <row r="610" spans="1:24" ht="135.75" customHeight="1">
      <c r="A610" s="1390" t="s">
        <v>280</v>
      </c>
      <c r="B610" s="1405">
        <v>8.1</v>
      </c>
      <c r="C610" s="1678" t="e">
        <f>VLOOKUP(A610,#REF!,2,0)</f>
        <v>#REF!</v>
      </c>
      <c r="D610" s="1678"/>
      <c r="E610" s="1678"/>
      <c r="F610" s="1678"/>
      <c r="G610" s="1678"/>
      <c r="H610" s="1678"/>
      <c r="I610" s="1406"/>
      <c r="O610" s="1395"/>
      <c r="Q610" s="1394">
        <f>IFERROR(VLOOKUP(M610,#REF!,3,0),0)</f>
        <v>0</v>
      </c>
      <c r="R610" s="1394">
        <f t="shared" si="169"/>
        <v>0</v>
      </c>
      <c r="S610" s="1394">
        <f>IFERROR(VLOOKUP(M610,#REF!,6,0),0)</f>
        <v>0</v>
      </c>
      <c r="T610" s="1394">
        <f t="shared" si="170"/>
        <v>0</v>
      </c>
      <c r="U610" s="1394">
        <f>IFERROR(VLOOKUP(M610,#REF!,5,0),0)</f>
        <v>0</v>
      </c>
      <c r="V610" s="1394">
        <f t="shared" si="171"/>
        <v>0</v>
      </c>
      <c r="W610" s="1394"/>
      <c r="X610" s="1397"/>
    </row>
    <row r="611" spans="1:24" ht="30" customHeight="1">
      <c r="A611" s="1390" t="s">
        <v>989</v>
      </c>
      <c r="B611" s="1407"/>
      <c r="C611" s="1678" t="e">
        <f>VLOOKUP(A611,#REF!,2,0)</f>
        <v>#REF!</v>
      </c>
      <c r="D611" s="1678"/>
      <c r="E611" s="1678"/>
      <c r="F611" s="1678"/>
      <c r="G611" s="1678"/>
      <c r="H611" s="1678"/>
      <c r="I611" s="1406"/>
      <c r="O611" s="1395"/>
      <c r="Q611" s="1394">
        <f>IFERROR(VLOOKUP(M611,#REF!,3,0),0)</f>
        <v>0</v>
      </c>
      <c r="R611" s="1394">
        <f t="shared" si="169"/>
        <v>0</v>
      </c>
      <c r="S611" s="1394">
        <f>IFERROR(VLOOKUP(M611,#REF!,6,0),0)</f>
        <v>0</v>
      </c>
      <c r="T611" s="1394">
        <f t="shared" si="170"/>
        <v>0</v>
      </c>
      <c r="U611" s="1394">
        <f>IFERROR(VLOOKUP(M611,#REF!,5,0),0)</f>
        <v>0</v>
      </c>
      <c r="V611" s="1394">
        <f t="shared" si="171"/>
        <v>0</v>
      </c>
      <c r="W611" s="1394"/>
      <c r="X611" s="1397"/>
    </row>
    <row r="612" spans="1:24" ht="30" customHeight="1">
      <c r="B612" s="1470"/>
      <c r="C612" s="1415" t="s">
        <v>302</v>
      </c>
      <c r="D612" s="1409"/>
      <c r="E612" s="1409"/>
      <c r="F612" s="1410"/>
      <c r="G612" s="1410"/>
      <c r="H612" s="1411"/>
      <c r="I612" s="1471"/>
      <c r="O612" s="1395"/>
      <c r="Q612" s="1394">
        <f>IFERROR(VLOOKUP(M612,#REF!,3,0),0)</f>
        <v>0</v>
      </c>
      <c r="R612" s="1394">
        <f t="shared" si="169"/>
        <v>0</v>
      </c>
      <c r="S612" s="1394">
        <f>IFERROR(VLOOKUP(M612,#REF!,6,0),0)</f>
        <v>0</v>
      </c>
      <c r="T612" s="1394">
        <f t="shared" si="170"/>
        <v>0</v>
      </c>
      <c r="U612" s="1394">
        <f>IFERROR(VLOOKUP(M612,#REF!,5,0),0)</f>
        <v>0</v>
      </c>
      <c r="V612" s="1394">
        <f t="shared" si="171"/>
        <v>0</v>
      </c>
      <c r="W612" s="1394"/>
    </row>
    <row r="613" spans="1:24" ht="30" customHeight="1">
      <c r="B613" s="1472"/>
      <c r="C613" s="1408" t="str">
        <f>'det -detail'!B193</f>
        <v xml:space="preserve">For C1 Round Column Dia 0.3 Radius = 0.15 </v>
      </c>
      <c r="D613" s="1409">
        <f>'det -detail'!E193</f>
        <v>4</v>
      </c>
      <c r="E613" s="1409">
        <f>'det -detail'!F193</f>
        <v>3.14</v>
      </c>
      <c r="F613" s="1410">
        <f>'det -detail'!G193</f>
        <v>0.15</v>
      </c>
      <c r="G613" s="1410">
        <f>'det -detail'!H193</f>
        <v>0.15</v>
      </c>
      <c r="H613" s="1411">
        <f>'det -detail'!I193</f>
        <v>2.92</v>
      </c>
      <c r="I613" s="1471">
        <f t="shared" ref="I613:I620" si="215">PRODUCT(D613:H613)</f>
        <v>0.82519199999999981</v>
      </c>
      <c r="J613" s="110" t="str">
        <f>'det -detail'!B193</f>
        <v xml:space="preserve">For C1 Round Column Dia 0.3 Radius = 0.15 </v>
      </c>
      <c r="O613" s="1395"/>
      <c r="Q613" s="1394">
        <f>IFERROR(VLOOKUP(M613,#REF!,3,0),0)</f>
        <v>0</v>
      </c>
      <c r="R613" s="1394">
        <f t="shared" si="169"/>
        <v>0</v>
      </c>
      <c r="S613" s="1394">
        <f>IFERROR(VLOOKUP(M613,#REF!,6,0),0)</f>
        <v>0</v>
      </c>
      <c r="T613" s="1394">
        <f t="shared" si="170"/>
        <v>0</v>
      </c>
      <c r="U613" s="1394">
        <f>IFERROR(VLOOKUP(M613,#REF!,5,0),0)</f>
        <v>0</v>
      </c>
      <c r="V613" s="1394">
        <f t="shared" si="171"/>
        <v>0</v>
      </c>
      <c r="W613" s="1394"/>
    </row>
    <row r="614" spans="1:24" ht="30" customHeight="1">
      <c r="B614" s="1472"/>
      <c r="C614" s="1408" t="str">
        <f>'det -detail'!B194</f>
        <v>For C2</v>
      </c>
      <c r="D614" s="1409">
        <f>'det -detail'!E194</f>
        <v>11</v>
      </c>
      <c r="E614" s="1409">
        <f>'det -detail'!F194</f>
        <v>1</v>
      </c>
      <c r="F614" s="1410">
        <f>'det -detail'!G194</f>
        <v>0.23</v>
      </c>
      <c r="G614" s="1410">
        <f>'det -detail'!H194</f>
        <v>0.38</v>
      </c>
      <c r="H614" s="1411">
        <f>'det -detail'!I194</f>
        <v>2.92</v>
      </c>
      <c r="I614" s="1471">
        <f t="shared" si="215"/>
        <v>2.8072880000000002</v>
      </c>
      <c r="O614" s="1469"/>
      <c r="Q614" s="1394">
        <f>IFERROR(VLOOKUP(M614,#REF!,3,0),0)</f>
        <v>0</v>
      </c>
      <c r="R614" s="1394">
        <f t="shared" si="169"/>
        <v>0</v>
      </c>
      <c r="S614" s="1394">
        <f>IFERROR(VLOOKUP(M614,#REF!,6,0),0)</f>
        <v>0</v>
      </c>
      <c r="T614" s="1394">
        <f t="shared" si="170"/>
        <v>0</v>
      </c>
      <c r="U614" s="1394">
        <f>IFERROR(VLOOKUP(M614,#REF!,5,0),0)</f>
        <v>0</v>
      </c>
      <c r="V614" s="1394">
        <f t="shared" si="171"/>
        <v>0</v>
      </c>
      <c r="W614" s="1394"/>
    </row>
    <row r="615" spans="1:24" ht="30" customHeight="1">
      <c r="B615" s="1472"/>
      <c r="C615" s="1408" t="str">
        <f>'det -detail'!B195</f>
        <v>For C3</v>
      </c>
      <c r="D615" s="1409">
        <f>'det -detail'!E195</f>
        <v>10</v>
      </c>
      <c r="E615" s="1409">
        <f>'det -detail'!F195</f>
        <v>1</v>
      </c>
      <c r="F615" s="1410">
        <f>'det -detail'!G195</f>
        <v>0.23</v>
      </c>
      <c r="G615" s="1410">
        <f>'det -detail'!H195</f>
        <v>0.45</v>
      </c>
      <c r="H615" s="1411">
        <f>'det -detail'!I195</f>
        <v>2.92</v>
      </c>
      <c r="I615" s="1471">
        <f t="shared" si="215"/>
        <v>3.0222000000000002</v>
      </c>
      <c r="L615" s="110">
        <f>3.3-0.6</f>
        <v>2.6999999999999997</v>
      </c>
      <c r="O615" s="1395"/>
      <c r="Q615" s="1394">
        <f>IFERROR(VLOOKUP(M615,#REF!,3,0),0)</f>
        <v>0</v>
      </c>
      <c r="R615" s="1394">
        <f t="shared" si="169"/>
        <v>0</v>
      </c>
      <c r="S615" s="1394">
        <f>IFERROR(VLOOKUP(M615,#REF!,6,0),0)</f>
        <v>0</v>
      </c>
      <c r="T615" s="1394">
        <f t="shared" si="170"/>
        <v>0</v>
      </c>
      <c r="U615" s="1394">
        <f>IFERROR(VLOOKUP(M615,#REF!,5,0),0)</f>
        <v>0</v>
      </c>
      <c r="V615" s="1394">
        <f t="shared" si="171"/>
        <v>0</v>
      </c>
      <c r="W615" s="1394"/>
    </row>
    <row r="616" spans="1:24" ht="30" customHeight="1">
      <c r="B616" s="1472"/>
      <c r="C616" s="1408" t="str">
        <f>'det -detail'!B196</f>
        <v>For C4</v>
      </c>
      <c r="D616" s="1409">
        <f>'det -detail'!E196</f>
        <v>7</v>
      </c>
      <c r="E616" s="1409">
        <f>'det -detail'!F196</f>
        <v>1</v>
      </c>
      <c r="F616" s="1410">
        <f>'det -detail'!G196</f>
        <v>0.3</v>
      </c>
      <c r="G616" s="1410">
        <f>'det -detail'!H196</f>
        <v>0.45</v>
      </c>
      <c r="H616" s="1411">
        <f>'det -detail'!I196</f>
        <v>2.92</v>
      </c>
      <c r="I616" s="1471">
        <f t="shared" si="215"/>
        <v>2.7594000000000003</v>
      </c>
      <c r="L616" s="110">
        <f>3.3-0.45</f>
        <v>2.8499999999999996</v>
      </c>
      <c r="O616" s="1395"/>
      <c r="Q616" s="1394">
        <f>IFERROR(VLOOKUP(M616,#REF!,3,0),0)</f>
        <v>0</v>
      </c>
      <c r="R616" s="1394">
        <f t="shared" si="169"/>
        <v>0</v>
      </c>
      <c r="S616" s="1394">
        <f>IFERROR(VLOOKUP(M616,#REF!,6,0),0)</f>
        <v>0</v>
      </c>
      <c r="T616" s="1394">
        <f t="shared" si="170"/>
        <v>0</v>
      </c>
      <c r="U616" s="1394">
        <f>IFERROR(VLOOKUP(M616,#REF!,5,0),0)</f>
        <v>0</v>
      </c>
      <c r="V616" s="1394">
        <f t="shared" si="171"/>
        <v>0</v>
      </c>
      <c r="W616" s="1394"/>
    </row>
    <row r="617" spans="1:24" ht="30" hidden="1" customHeight="1">
      <c r="B617" s="1472"/>
      <c r="C617" s="1408">
        <f>'det -detail'!B197</f>
        <v>0</v>
      </c>
      <c r="D617" s="1409">
        <f>'det -detail'!E197</f>
        <v>0</v>
      </c>
      <c r="E617" s="1409">
        <f>'det -detail'!F197</f>
        <v>0</v>
      </c>
      <c r="F617" s="1410">
        <f>'det -detail'!G197</f>
        <v>0</v>
      </c>
      <c r="G617" s="1410">
        <f>'det -detail'!H197</f>
        <v>0</v>
      </c>
      <c r="H617" s="1411">
        <f>'det -detail'!I197</f>
        <v>0</v>
      </c>
      <c r="I617" s="1471">
        <f t="shared" si="215"/>
        <v>0</v>
      </c>
      <c r="O617" s="1395"/>
      <c r="Q617" s="1394">
        <f>IFERROR(VLOOKUP(M617,#REF!,3,0),0)</f>
        <v>0</v>
      </c>
      <c r="R617" s="1394">
        <f t="shared" si="169"/>
        <v>0</v>
      </c>
      <c r="S617" s="1394">
        <f>IFERROR(VLOOKUP(M617,#REF!,6,0),0)</f>
        <v>0</v>
      </c>
      <c r="T617" s="1394">
        <f t="shared" si="170"/>
        <v>0</v>
      </c>
      <c r="U617" s="1394">
        <f>IFERROR(VLOOKUP(M617,#REF!,5,0),0)</f>
        <v>0</v>
      </c>
      <c r="V617" s="1394">
        <f t="shared" si="171"/>
        <v>0</v>
      </c>
      <c r="W617" s="1394"/>
    </row>
    <row r="618" spans="1:24" ht="30" hidden="1" customHeight="1">
      <c r="B618" s="1472"/>
      <c r="C618" s="1408">
        <f>'det -detail'!B198</f>
        <v>0</v>
      </c>
      <c r="D618" s="1409">
        <f>'det -detail'!E198</f>
        <v>0</v>
      </c>
      <c r="E618" s="1409">
        <f>'det -detail'!F198</f>
        <v>0</v>
      </c>
      <c r="F618" s="1410">
        <f>'det -detail'!G198</f>
        <v>0</v>
      </c>
      <c r="G618" s="1410">
        <f>'det -detail'!H198</f>
        <v>0</v>
      </c>
      <c r="H618" s="1411">
        <f>'det -detail'!I198</f>
        <v>0</v>
      </c>
      <c r="I618" s="1471">
        <f t="shared" si="215"/>
        <v>0</v>
      </c>
      <c r="O618" s="1395"/>
      <c r="Q618" s="1394">
        <f>IFERROR(VLOOKUP(M618,#REF!,3,0),0)</f>
        <v>0</v>
      </c>
      <c r="R618" s="1394">
        <f t="shared" si="169"/>
        <v>0</v>
      </c>
      <c r="S618" s="1394">
        <f>IFERROR(VLOOKUP(M618,#REF!,6,0),0)</f>
        <v>0</v>
      </c>
      <c r="T618" s="1394">
        <f t="shared" si="170"/>
        <v>0</v>
      </c>
      <c r="U618" s="1394">
        <f>IFERROR(VLOOKUP(M618,#REF!,5,0),0)</f>
        <v>0</v>
      </c>
      <c r="V618" s="1394">
        <f t="shared" si="171"/>
        <v>0</v>
      </c>
      <c r="W618" s="1394"/>
    </row>
    <row r="619" spans="1:24" ht="30" customHeight="1">
      <c r="B619" s="1472"/>
      <c r="C619" s="1408"/>
      <c r="D619" s="1409"/>
      <c r="E619" s="1409"/>
      <c r="F619" s="1410"/>
      <c r="G619" s="1410"/>
      <c r="H619" s="1411"/>
      <c r="I619" s="1471">
        <f t="shared" si="215"/>
        <v>0</v>
      </c>
      <c r="O619" s="1395"/>
      <c r="Q619" s="1394">
        <f>IFERROR(VLOOKUP(M619,#REF!,3,0),0)</f>
        <v>0</v>
      </c>
      <c r="R619" s="1394">
        <f t="shared" si="169"/>
        <v>0</v>
      </c>
      <c r="S619" s="1394">
        <f>IFERROR(VLOOKUP(M619,#REF!,6,0),0)</f>
        <v>0</v>
      </c>
      <c r="T619" s="1394">
        <f t="shared" si="170"/>
        <v>0</v>
      </c>
      <c r="U619" s="1394">
        <f>IFERROR(VLOOKUP(M619,#REF!,5,0),0)</f>
        <v>0</v>
      </c>
      <c r="V619" s="1394">
        <f t="shared" si="171"/>
        <v>0</v>
      </c>
      <c r="W619" s="1394"/>
    </row>
    <row r="620" spans="1:24" ht="30" customHeight="1">
      <c r="B620" s="1472"/>
      <c r="C620" s="1408" t="s">
        <v>303</v>
      </c>
      <c r="D620" s="1409"/>
      <c r="E620" s="1409"/>
      <c r="F620" s="1410"/>
      <c r="G620" s="1410"/>
      <c r="H620" s="1411"/>
      <c r="I620" s="1471">
        <f t="shared" si="215"/>
        <v>0</v>
      </c>
      <c r="O620" s="1395"/>
      <c r="Q620" s="1394">
        <f>IFERROR(VLOOKUP(M620,#REF!,3,0),0)</f>
        <v>0</v>
      </c>
      <c r="R620" s="1394">
        <f t="shared" si="169"/>
        <v>0</v>
      </c>
      <c r="S620" s="1394">
        <f>IFERROR(VLOOKUP(M620,#REF!,6,0),0)</f>
        <v>0</v>
      </c>
      <c r="T620" s="1394">
        <f t="shared" si="170"/>
        <v>0</v>
      </c>
      <c r="U620" s="1394">
        <f>IFERROR(VLOOKUP(M620,#REF!,5,0),0)</f>
        <v>0</v>
      </c>
      <c r="V620" s="1394">
        <f t="shared" si="171"/>
        <v>0</v>
      </c>
      <c r="W620" s="1394"/>
    </row>
    <row r="621" spans="1:24" ht="30" customHeight="1">
      <c r="B621" s="1472"/>
      <c r="C621" s="1415" t="s">
        <v>258</v>
      </c>
      <c r="D621" s="1409"/>
      <c r="E621" s="1409"/>
      <c r="F621" s="1410"/>
      <c r="G621" s="1410"/>
      <c r="H621" s="1411"/>
      <c r="I621" s="1471"/>
      <c r="O621" s="1395"/>
      <c r="Q621" s="1394">
        <f>IFERROR(VLOOKUP(M621,#REF!,3,0),0)</f>
        <v>0</v>
      </c>
      <c r="R621" s="1394">
        <f t="shared" si="169"/>
        <v>0</v>
      </c>
      <c r="S621" s="1394">
        <f>IFERROR(VLOOKUP(M621,#REF!,6,0),0)</f>
        <v>0</v>
      </c>
      <c r="T621" s="1394">
        <f t="shared" si="170"/>
        <v>0</v>
      </c>
      <c r="U621" s="1394">
        <f>IFERROR(VLOOKUP(M621,#REF!,5,0),0)</f>
        <v>0</v>
      </c>
      <c r="V621" s="1394">
        <f t="shared" si="171"/>
        <v>0</v>
      </c>
      <c r="W621" s="1394"/>
    </row>
    <row r="622" spans="1:24" ht="30" customHeight="1">
      <c r="B622" s="1472"/>
      <c r="C622" s="1408" t="s">
        <v>5521</v>
      </c>
      <c r="D622" s="1409"/>
      <c r="E622" s="1409"/>
      <c r="F622" s="1410"/>
      <c r="G622" s="1410"/>
      <c r="H622" s="1411"/>
      <c r="I622" s="1471"/>
      <c r="O622" s="1395"/>
      <c r="Q622" s="1394">
        <f>IFERROR(VLOOKUP(M622,#REF!,3,0),0)</f>
        <v>0</v>
      </c>
      <c r="R622" s="1394">
        <f t="shared" ref="R622:R685" si="216">ROUND(O622,2)*ROUND(Q622,2)</f>
        <v>0</v>
      </c>
      <c r="S622" s="1394">
        <f>IFERROR(VLOOKUP(M622,#REF!,6,0),0)</f>
        <v>0</v>
      </c>
      <c r="T622" s="1394">
        <f t="shared" ref="T622:T685" si="217">R622-S622</f>
        <v>0</v>
      </c>
      <c r="U622" s="1394">
        <f>IFERROR(VLOOKUP(M622,#REF!,5,0),0)</f>
        <v>0</v>
      </c>
      <c r="V622" s="1394">
        <f t="shared" ref="V622:V685" si="218">O622-U622</f>
        <v>0</v>
      </c>
      <c r="W622" s="1394"/>
    </row>
    <row r="623" spans="1:24" ht="30" customHeight="1">
      <c r="B623" s="1472"/>
      <c r="C623" s="1408" t="s">
        <v>189</v>
      </c>
      <c r="D623" s="1409">
        <v>1</v>
      </c>
      <c r="E623" s="1409">
        <f>VLOOKUP(C623,Sheet1!$I$7:$R$39,4,0)</f>
        <v>1</v>
      </c>
      <c r="F623" s="1410">
        <f>VLOOKUP(C623,Sheet1!$I$7:$R$39,2,0)+0.46</f>
        <v>2.2600000000000002</v>
      </c>
      <c r="G623" s="1410">
        <v>0.23</v>
      </c>
      <c r="H623" s="1411">
        <v>0.05</v>
      </c>
      <c r="I623" s="1471">
        <f t="shared" ref="I623:I629" si="219">PRODUCT(D623:H623)</f>
        <v>2.5990000000000003E-2</v>
      </c>
      <c r="O623" s="1395"/>
      <c r="Q623" s="1394">
        <f>IFERROR(VLOOKUP(M623,#REF!,3,0),0)</f>
        <v>0</v>
      </c>
      <c r="R623" s="1394">
        <f t="shared" si="216"/>
        <v>0</v>
      </c>
      <c r="S623" s="1394">
        <f>IFERROR(VLOOKUP(M623,#REF!,6,0),0)</f>
        <v>0</v>
      </c>
      <c r="T623" s="1394">
        <f t="shared" si="217"/>
        <v>0</v>
      </c>
      <c r="U623" s="1394">
        <f>IFERROR(VLOOKUP(M623,#REF!,5,0),0)</f>
        <v>0</v>
      </c>
      <c r="V623" s="1394">
        <f t="shared" si="218"/>
        <v>0</v>
      </c>
      <c r="W623" s="1394"/>
    </row>
    <row r="624" spans="1:24" ht="30" customHeight="1">
      <c r="B624" s="1472"/>
      <c r="C624" s="1408" t="s">
        <v>5507</v>
      </c>
      <c r="D624" s="1409">
        <v>1</v>
      </c>
      <c r="E624" s="1409">
        <f>VLOOKUP(C624,Sheet1!$I$7:$R$39,4,0)</f>
        <v>1</v>
      </c>
      <c r="F624" s="1410">
        <f>VLOOKUP(C624,Sheet1!$I$7:$R$39,2,0)+0.46</f>
        <v>2.2600000000000002</v>
      </c>
      <c r="G624" s="1410">
        <v>0.23</v>
      </c>
      <c r="H624" s="1411">
        <v>0.05</v>
      </c>
      <c r="I624" s="1471">
        <f t="shared" ref="I624" si="220">PRODUCT(D624:H624)</f>
        <v>2.5990000000000003E-2</v>
      </c>
      <c r="O624" s="1395"/>
      <c r="Q624" s="1394">
        <f>IFERROR(VLOOKUP(M624,#REF!,3,0),0)</f>
        <v>0</v>
      </c>
      <c r="R624" s="1394">
        <f t="shared" si="216"/>
        <v>0</v>
      </c>
      <c r="S624" s="1394">
        <f>IFERROR(VLOOKUP(M624,#REF!,6,0),0)</f>
        <v>0</v>
      </c>
      <c r="T624" s="1394">
        <f t="shared" si="217"/>
        <v>0</v>
      </c>
      <c r="U624" s="1394">
        <f>IFERROR(VLOOKUP(M624,#REF!,5,0),0)</f>
        <v>0</v>
      </c>
      <c r="V624" s="1394">
        <f t="shared" si="218"/>
        <v>0</v>
      </c>
      <c r="W624" s="1394"/>
    </row>
    <row r="625" spans="2:23" ht="30" customHeight="1">
      <c r="B625" s="1472"/>
      <c r="C625" s="1408" t="s">
        <v>256</v>
      </c>
      <c r="D625" s="1409">
        <v>1</v>
      </c>
      <c r="E625" s="1409">
        <f>VLOOKUP(C625,Sheet1!$I$7:$R$39,4,0)</f>
        <v>1</v>
      </c>
      <c r="F625" s="1410">
        <f>VLOOKUP(C625,Sheet1!$I$7:$R$39,2,0)+0.46</f>
        <v>1.66</v>
      </c>
      <c r="G625" s="1410">
        <v>0.23</v>
      </c>
      <c r="H625" s="1411">
        <v>0.05</v>
      </c>
      <c r="I625" s="1471">
        <f t="shared" ref="I625" si="221">PRODUCT(D625:H625)</f>
        <v>1.9089999999999999E-2</v>
      </c>
      <c r="O625" s="1395"/>
      <c r="Q625" s="1394">
        <f>IFERROR(VLOOKUP(M625,#REF!,3,0),0)</f>
        <v>0</v>
      </c>
      <c r="R625" s="1394">
        <f t="shared" si="216"/>
        <v>0</v>
      </c>
      <c r="S625" s="1394">
        <f>IFERROR(VLOOKUP(M625,#REF!,6,0),0)</f>
        <v>0</v>
      </c>
      <c r="T625" s="1394">
        <f t="shared" si="217"/>
        <v>0</v>
      </c>
      <c r="U625" s="1394">
        <f>IFERROR(VLOOKUP(M625,#REF!,5,0),0)</f>
        <v>0</v>
      </c>
      <c r="V625" s="1394">
        <f t="shared" si="218"/>
        <v>0</v>
      </c>
      <c r="W625" s="1394"/>
    </row>
    <row r="626" spans="2:23" ht="30" customHeight="1">
      <c r="B626" s="1472"/>
      <c r="C626" s="1408" t="s">
        <v>5519</v>
      </c>
      <c r="D626" s="1409">
        <v>1</v>
      </c>
      <c r="E626" s="1409">
        <f>VLOOKUP(C626,Sheet1!$I$7:$R$39,4,0)</f>
        <v>1</v>
      </c>
      <c r="F626" s="1410">
        <f>VLOOKUP(C626,Sheet1!$I$7:$R$39,2,0)+0.46</f>
        <v>1.46</v>
      </c>
      <c r="G626" s="1410">
        <v>0.23</v>
      </c>
      <c r="H626" s="1411">
        <v>0.05</v>
      </c>
      <c r="I626" s="1471">
        <f t="shared" ref="I626" si="222">PRODUCT(D626:H626)</f>
        <v>1.6789999999999999E-2</v>
      </c>
      <c r="O626" s="1395"/>
      <c r="Q626" s="1394">
        <f>IFERROR(VLOOKUP(M626,#REF!,3,0),0)</f>
        <v>0</v>
      </c>
      <c r="R626" s="1394">
        <f t="shared" si="216"/>
        <v>0</v>
      </c>
      <c r="S626" s="1394">
        <f>IFERROR(VLOOKUP(M626,#REF!,6,0),0)</f>
        <v>0</v>
      </c>
      <c r="T626" s="1394">
        <f t="shared" si="217"/>
        <v>0</v>
      </c>
      <c r="U626" s="1394">
        <f>IFERROR(VLOOKUP(M626,#REF!,5,0),0)</f>
        <v>0</v>
      </c>
      <c r="V626" s="1394">
        <f t="shared" si="218"/>
        <v>0</v>
      </c>
      <c r="W626" s="1394"/>
    </row>
    <row r="627" spans="2:23" ht="30" customHeight="1">
      <c r="B627" s="1472"/>
      <c r="C627" s="1408" t="s">
        <v>188</v>
      </c>
      <c r="D627" s="1409">
        <v>1</v>
      </c>
      <c r="E627" s="1409">
        <f>VLOOKUP(C627,Sheet1!$I$7:$R$39,4,0)</f>
        <v>1</v>
      </c>
      <c r="F627" s="1410">
        <f>VLOOKUP(C627,Sheet1!$I$7:$R$39,2,0)+0.46</f>
        <v>1.21</v>
      </c>
      <c r="G627" s="1410">
        <v>0.23</v>
      </c>
      <c r="H627" s="1411">
        <v>0.05</v>
      </c>
      <c r="I627" s="1471">
        <f t="shared" si="219"/>
        <v>1.3915E-2</v>
      </c>
      <c r="O627" s="1469"/>
      <c r="Q627" s="1394">
        <f>IFERROR(VLOOKUP(M627,#REF!,3,0),0)</f>
        <v>0</v>
      </c>
      <c r="R627" s="1394">
        <f t="shared" si="216"/>
        <v>0</v>
      </c>
      <c r="S627" s="1394">
        <f>IFERROR(VLOOKUP(M627,#REF!,6,0),0)</f>
        <v>0</v>
      </c>
      <c r="T627" s="1394">
        <f t="shared" si="217"/>
        <v>0</v>
      </c>
      <c r="U627" s="1394">
        <f>IFERROR(VLOOKUP(M627,#REF!,5,0),0)</f>
        <v>0</v>
      </c>
      <c r="V627" s="1394">
        <f t="shared" si="218"/>
        <v>0</v>
      </c>
      <c r="W627" s="1394"/>
    </row>
    <row r="628" spans="2:23" ht="30" customHeight="1">
      <c r="B628" s="1472"/>
      <c r="C628" s="1408" t="s">
        <v>5516</v>
      </c>
      <c r="D628" s="1409">
        <v>1</v>
      </c>
      <c r="E628" s="1409">
        <f>VLOOKUP(C628,Sheet1!$I$7:$R$39,4,0)</f>
        <v>1</v>
      </c>
      <c r="F628" s="1410">
        <f>VLOOKUP(C628,Sheet1!$I$7:$R$39,2,0)+0.46</f>
        <v>2.2600000000000002</v>
      </c>
      <c r="G628" s="1410">
        <v>0.23</v>
      </c>
      <c r="H628" s="1411">
        <v>0.05</v>
      </c>
      <c r="I628" s="1471">
        <f t="shared" si="219"/>
        <v>2.5990000000000003E-2</v>
      </c>
      <c r="O628" s="1469"/>
      <c r="Q628" s="1394">
        <f>IFERROR(VLOOKUP(M628,#REF!,3,0),0)</f>
        <v>0</v>
      </c>
      <c r="R628" s="1394">
        <f t="shared" si="216"/>
        <v>0</v>
      </c>
      <c r="S628" s="1394">
        <f>IFERROR(VLOOKUP(M628,#REF!,6,0),0)</f>
        <v>0</v>
      </c>
      <c r="T628" s="1394">
        <f t="shared" si="217"/>
        <v>0</v>
      </c>
      <c r="U628" s="1394">
        <f>IFERROR(VLOOKUP(M628,#REF!,5,0),0)</f>
        <v>0</v>
      </c>
      <c r="V628" s="1394">
        <f t="shared" si="218"/>
        <v>0</v>
      </c>
      <c r="W628" s="1394"/>
    </row>
    <row r="629" spans="2:23" ht="30" customHeight="1">
      <c r="B629" s="1472"/>
      <c r="C629" s="1408" t="s">
        <v>5511</v>
      </c>
      <c r="D629" s="1409">
        <v>1</v>
      </c>
      <c r="E629" s="1409">
        <f>VLOOKUP(C629,Sheet1!$I$7:$R$39,4,0)</f>
        <v>2</v>
      </c>
      <c r="F629" s="1410">
        <f>VLOOKUP(C629,Sheet1!$I$7:$R$39,2,0)+0.46</f>
        <v>2.2600000000000002</v>
      </c>
      <c r="G629" s="1410">
        <v>0.23</v>
      </c>
      <c r="H629" s="1411">
        <v>0.05</v>
      </c>
      <c r="I629" s="1471">
        <f t="shared" si="219"/>
        <v>5.1980000000000005E-2</v>
      </c>
      <c r="O629" s="1395"/>
      <c r="Q629" s="1394">
        <f>IFERROR(VLOOKUP(M629,#REF!,3,0),0)</f>
        <v>0</v>
      </c>
      <c r="R629" s="1394">
        <f t="shared" si="216"/>
        <v>0</v>
      </c>
      <c r="S629" s="1394">
        <f>IFERROR(VLOOKUP(M629,#REF!,6,0),0)</f>
        <v>0</v>
      </c>
      <c r="T629" s="1394">
        <f t="shared" si="217"/>
        <v>0</v>
      </c>
      <c r="U629" s="1394">
        <f>IFERROR(VLOOKUP(M629,#REF!,5,0),0)</f>
        <v>0</v>
      </c>
      <c r="V629" s="1394">
        <f t="shared" si="218"/>
        <v>0</v>
      </c>
      <c r="W629" s="1394"/>
    </row>
    <row r="630" spans="2:23" ht="30" customHeight="1">
      <c r="B630" s="1472"/>
      <c r="C630" s="1408" t="s">
        <v>5512</v>
      </c>
      <c r="D630" s="1409">
        <v>1</v>
      </c>
      <c r="E630" s="1409">
        <f>VLOOKUP(C630,Sheet1!$I$7:$R$39,4,0)</f>
        <v>1</v>
      </c>
      <c r="F630" s="1410">
        <f>VLOOKUP(C630,Sheet1!$I$7:$R$39,2,0)+0.46</f>
        <v>1.96</v>
      </c>
      <c r="G630" s="1410">
        <v>0.23</v>
      </c>
      <c r="H630" s="1411">
        <v>0.05</v>
      </c>
      <c r="I630" s="1471">
        <f>PRODUCT(D630:H630)</f>
        <v>2.2540000000000004E-2</v>
      </c>
      <c r="O630" s="1395"/>
      <c r="Q630" s="1394">
        <f>IFERROR(VLOOKUP(M630,#REF!,3,0),0)</f>
        <v>0</v>
      </c>
      <c r="R630" s="1394">
        <f t="shared" si="216"/>
        <v>0</v>
      </c>
      <c r="S630" s="1394">
        <f>IFERROR(VLOOKUP(M630,#REF!,6,0),0)</f>
        <v>0</v>
      </c>
      <c r="T630" s="1394">
        <f t="shared" si="217"/>
        <v>0</v>
      </c>
      <c r="U630" s="1394">
        <f>IFERROR(VLOOKUP(M630,#REF!,5,0),0)</f>
        <v>0</v>
      </c>
      <c r="V630" s="1394">
        <f t="shared" si="218"/>
        <v>0</v>
      </c>
      <c r="W630" s="1394"/>
    </row>
    <row r="631" spans="2:23" ht="30" customHeight="1">
      <c r="B631" s="1472"/>
      <c r="C631" s="1408" t="s">
        <v>5515</v>
      </c>
      <c r="D631" s="1409">
        <v>1</v>
      </c>
      <c r="E631" s="1409">
        <f>VLOOKUP(C631,Sheet1!$I$7:$R$39,4,0)</f>
        <v>1</v>
      </c>
      <c r="F631" s="1410">
        <f>VLOOKUP(C631,Sheet1!$I$7:$R$39,2,0)+0.46</f>
        <v>1.96</v>
      </c>
      <c r="G631" s="1410">
        <v>0.23</v>
      </c>
      <c r="H631" s="1411">
        <v>0.05</v>
      </c>
      <c r="I631" s="1471">
        <f t="shared" ref="I631:I633" si="223">PRODUCT(D631:H631)</f>
        <v>2.2540000000000004E-2</v>
      </c>
      <c r="O631" s="1395"/>
      <c r="Q631" s="1394">
        <f>IFERROR(VLOOKUP(M631,#REF!,3,0),0)</f>
        <v>0</v>
      </c>
      <c r="R631" s="1394">
        <f t="shared" si="216"/>
        <v>0</v>
      </c>
      <c r="S631" s="1394">
        <f>IFERROR(VLOOKUP(M631,#REF!,6,0),0)</f>
        <v>0</v>
      </c>
      <c r="T631" s="1394">
        <f t="shared" si="217"/>
        <v>0</v>
      </c>
      <c r="U631" s="1394">
        <f>IFERROR(VLOOKUP(M631,#REF!,5,0),0)</f>
        <v>0</v>
      </c>
      <c r="V631" s="1394">
        <f t="shared" si="218"/>
        <v>0</v>
      </c>
      <c r="W631" s="1394"/>
    </row>
    <row r="632" spans="2:23" ht="30" customHeight="1">
      <c r="B632" s="1472"/>
      <c r="C632" s="1408" t="s">
        <v>251</v>
      </c>
      <c r="D632" s="1409">
        <v>1</v>
      </c>
      <c r="E632" s="1409">
        <f>VLOOKUP(C632,Sheet1!$I$7:$R$39,4,0)</f>
        <v>1</v>
      </c>
      <c r="F632" s="1410">
        <f>VLOOKUP(C632,Sheet1!$I$7:$R$39,2,0)+0.46</f>
        <v>1.46</v>
      </c>
      <c r="G632" s="1410">
        <v>0.23</v>
      </c>
      <c r="H632" s="1411">
        <v>0.05</v>
      </c>
      <c r="I632" s="1471">
        <f t="shared" si="223"/>
        <v>1.6789999999999999E-2</v>
      </c>
      <c r="O632" s="1395"/>
      <c r="Q632" s="1394">
        <f>IFERROR(VLOOKUP(M632,#REF!,3,0),0)</f>
        <v>0</v>
      </c>
      <c r="R632" s="1394">
        <f t="shared" si="216"/>
        <v>0</v>
      </c>
      <c r="S632" s="1394">
        <f>IFERROR(VLOOKUP(M632,#REF!,6,0),0)</f>
        <v>0</v>
      </c>
      <c r="T632" s="1394">
        <f t="shared" si="217"/>
        <v>0</v>
      </c>
      <c r="U632" s="1394">
        <f>IFERROR(VLOOKUP(M632,#REF!,5,0),0)</f>
        <v>0</v>
      </c>
      <c r="V632" s="1394">
        <f t="shared" si="218"/>
        <v>0</v>
      </c>
      <c r="W632" s="1394"/>
    </row>
    <row r="633" spans="2:23" ht="30" customHeight="1">
      <c r="B633" s="1472"/>
      <c r="C633" s="1415" t="s">
        <v>257</v>
      </c>
      <c r="D633" s="1409">
        <v>1</v>
      </c>
      <c r="E633" s="1409">
        <f>VLOOKUP(C633,Sheet1!$I$7:$R$39,4,0)</f>
        <v>3</v>
      </c>
      <c r="F633" s="1410">
        <f>VLOOKUP(C633,Sheet1!$I$7:$R$39,2,0)+0.46</f>
        <v>1.36</v>
      </c>
      <c r="G633" s="1410">
        <v>0.23</v>
      </c>
      <c r="H633" s="1411">
        <v>0.05</v>
      </c>
      <c r="I633" s="1471">
        <f t="shared" si="223"/>
        <v>4.6920000000000003E-2</v>
      </c>
      <c r="O633" s="1395"/>
      <c r="Q633" s="1394">
        <f>IFERROR(VLOOKUP(M633,#REF!,3,0),0)</f>
        <v>0</v>
      </c>
      <c r="R633" s="1394">
        <f t="shared" si="216"/>
        <v>0</v>
      </c>
      <c r="S633" s="1394">
        <f>IFERROR(VLOOKUP(M633,#REF!,6,0),0)</f>
        <v>0</v>
      </c>
      <c r="T633" s="1394">
        <f t="shared" si="217"/>
        <v>0</v>
      </c>
      <c r="U633" s="1394">
        <f>IFERROR(VLOOKUP(M633,#REF!,5,0),0)</f>
        <v>0</v>
      </c>
      <c r="V633" s="1394">
        <f t="shared" si="218"/>
        <v>0</v>
      </c>
      <c r="W633" s="1394"/>
    </row>
    <row r="634" spans="2:23" ht="30" customHeight="1">
      <c r="B634" s="1472"/>
      <c r="C634" s="1408" t="str">
        <f t="shared" ref="C634:C640" si="224">C1287</f>
        <v>Main wall all alround in stilt floor</v>
      </c>
      <c r="D634" s="1409">
        <f>-D1287</f>
        <v>1</v>
      </c>
      <c r="E634" s="1409">
        <f t="shared" ref="E634:H640" si="225">E1287</f>
        <v>1</v>
      </c>
      <c r="F634" s="1410">
        <f t="shared" si="225"/>
        <v>38.875</v>
      </c>
      <c r="G634" s="1410">
        <f t="shared" si="225"/>
        <v>0.23</v>
      </c>
      <c r="H634" s="1411">
        <f t="shared" si="225"/>
        <v>0.1</v>
      </c>
      <c r="I634" s="1471">
        <f>PRODUCT(D634:H634)</f>
        <v>0.89412500000000006</v>
      </c>
      <c r="Q634" s="1394">
        <f>IFERROR(VLOOKUP(M634,#REF!,3,0),0)</f>
        <v>0</v>
      </c>
      <c r="R634" s="1394">
        <f t="shared" si="216"/>
        <v>0</v>
      </c>
      <c r="S634" s="1394">
        <f>IFERROR(VLOOKUP(M634,#REF!,6,0),0)</f>
        <v>0</v>
      </c>
      <c r="T634" s="1394">
        <f t="shared" si="217"/>
        <v>0</v>
      </c>
      <c r="U634" s="1394">
        <f>IFERROR(VLOOKUP(M634,#REF!,5,0),0)</f>
        <v>0</v>
      </c>
      <c r="V634" s="1394">
        <f t="shared" si="218"/>
        <v>0</v>
      </c>
      <c r="W634" s="1394"/>
    </row>
    <row r="635" spans="2:23" ht="30" customHeight="1">
      <c r="B635" s="1472"/>
      <c r="C635" s="1408" t="str">
        <f t="shared" si="224"/>
        <v>Lift</v>
      </c>
      <c r="D635" s="1409">
        <f t="shared" ref="D635:D640" si="226">-D1288</f>
        <v>0</v>
      </c>
      <c r="E635" s="1409">
        <f t="shared" si="225"/>
        <v>0</v>
      </c>
      <c r="F635" s="1410">
        <f t="shared" si="225"/>
        <v>0</v>
      </c>
      <c r="G635" s="1410">
        <f t="shared" si="225"/>
        <v>0</v>
      </c>
      <c r="H635" s="1411">
        <f t="shared" si="225"/>
        <v>0</v>
      </c>
      <c r="I635" s="1471">
        <f t="shared" ref="I635:I647" si="227">PRODUCT(D635:H635)</f>
        <v>0</v>
      </c>
      <c r="Q635" s="1394">
        <f>IFERROR(VLOOKUP(M635,#REF!,3,0),0)</f>
        <v>0</v>
      </c>
      <c r="R635" s="1394">
        <f t="shared" si="216"/>
        <v>0</v>
      </c>
      <c r="S635" s="1394">
        <f>IFERROR(VLOOKUP(M635,#REF!,6,0),0)</f>
        <v>0</v>
      </c>
      <c r="T635" s="1394">
        <f t="shared" si="217"/>
        <v>0</v>
      </c>
      <c r="U635" s="1394">
        <f>IFERROR(VLOOKUP(M635,#REF!,5,0),0)</f>
        <v>0</v>
      </c>
      <c r="V635" s="1394">
        <f t="shared" si="218"/>
        <v>0</v>
      </c>
      <c r="W635" s="1394"/>
    </row>
    <row r="636" spans="2:23" ht="30" customHeight="1">
      <c r="B636" s="1472"/>
      <c r="C636" s="1408" t="str">
        <f t="shared" si="224"/>
        <v>Cross wall between Toilet and Lift</v>
      </c>
      <c r="D636" s="1409">
        <f t="shared" si="226"/>
        <v>1</v>
      </c>
      <c r="E636" s="1409">
        <f t="shared" si="225"/>
        <v>1</v>
      </c>
      <c r="F636" s="1410">
        <f t="shared" si="225"/>
        <v>3.125</v>
      </c>
      <c r="G636" s="1410">
        <f t="shared" si="225"/>
        <v>0.23</v>
      </c>
      <c r="H636" s="1411">
        <f t="shared" si="225"/>
        <v>0.1</v>
      </c>
      <c r="I636" s="1471">
        <f t="shared" si="227"/>
        <v>7.1875000000000008E-2</v>
      </c>
      <c r="Q636" s="1394">
        <f>IFERROR(VLOOKUP(M636,#REF!,3,0),0)</f>
        <v>0</v>
      </c>
      <c r="R636" s="1394">
        <f t="shared" si="216"/>
        <v>0</v>
      </c>
      <c r="S636" s="1394">
        <f>IFERROR(VLOOKUP(M636,#REF!,6,0),0)</f>
        <v>0</v>
      </c>
      <c r="T636" s="1394">
        <f t="shared" si="217"/>
        <v>0</v>
      </c>
      <c r="U636" s="1394">
        <f>IFERROR(VLOOKUP(M636,#REF!,5,0),0)</f>
        <v>0</v>
      </c>
      <c r="V636" s="1394">
        <f t="shared" si="218"/>
        <v>0</v>
      </c>
      <c r="W636" s="1394"/>
    </row>
    <row r="637" spans="2:23" ht="30" customHeight="1">
      <c r="B637" s="1472"/>
      <c r="C637" s="1408" t="str">
        <f t="shared" si="224"/>
        <v>Lift Front Wall</v>
      </c>
      <c r="D637" s="1409">
        <f t="shared" si="226"/>
        <v>1</v>
      </c>
      <c r="E637" s="1409">
        <f t="shared" si="225"/>
        <v>1</v>
      </c>
      <c r="F637" s="1410">
        <f t="shared" si="225"/>
        <v>2.76</v>
      </c>
      <c r="G637" s="1410">
        <f t="shared" si="225"/>
        <v>0.23</v>
      </c>
      <c r="H637" s="1411">
        <f t="shared" si="225"/>
        <v>0.1</v>
      </c>
      <c r="I637" s="1471">
        <f t="shared" si="227"/>
        <v>6.3480000000000009E-2</v>
      </c>
      <c r="Q637" s="1394">
        <f>IFERROR(VLOOKUP(M637,#REF!,3,0),0)</f>
        <v>0</v>
      </c>
      <c r="R637" s="1394">
        <f t="shared" si="216"/>
        <v>0</v>
      </c>
      <c r="S637" s="1394">
        <f>IFERROR(VLOOKUP(M637,#REF!,6,0),0)</f>
        <v>0</v>
      </c>
      <c r="T637" s="1394">
        <f t="shared" si="217"/>
        <v>0</v>
      </c>
      <c r="U637" s="1394">
        <f>IFERROR(VLOOKUP(M637,#REF!,5,0),0)</f>
        <v>0</v>
      </c>
      <c r="V637" s="1394">
        <f t="shared" si="218"/>
        <v>0</v>
      </c>
      <c r="W637" s="1394"/>
    </row>
    <row r="638" spans="2:23" ht="30" customHeight="1">
      <c r="B638" s="1472"/>
      <c r="C638" s="1408" t="str">
        <f t="shared" si="224"/>
        <v>Lift Side Wall</v>
      </c>
      <c r="D638" s="1409">
        <f t="shared" si="226"/>
        <v>1</v>
      </c>
      <c r="E638" s="1409">
        <f t="shared" si="225"/>
        <v>1</v>
      </c>
      <c r="F638" s="1410">
        <f t="shared" si="225"/>
        <v>2.33</v>
      </c>
      <c r="G638" s="1410">
        <f t="shared" si="225"/>
        <v>0.23</v>
      </c>
      <c r="H638" s="1411">
        <f t="shared" si="225"/>
        <v>0.1</v>
      </c>
      <c r="I638" s="1471">
        <f t="shared" si="227"/>
        <v>5.3590000000000006E-2</v>
      </c>
      <c r="Q638" s="1394">
        <f>IFERROR(VLOOKUP(M638,#REF!,3,0),0)</f>
        <v>0</v>
      </c>
      <c r="R638" s="1394">
        <f t="shared" si="216"/>
        <v>0</v>
      </c>
      <c r="S638" s="1394">
        <f>IFERROR(VLOOKUP(M638,#REF!,6,0),0)</f>
        <v>0</v>
      </c>
      <c r="T638" s="1394">
        <f t="shared" si="217"/>
        <v>0</v>
      </c>
      <c r="U638" s="1394">
        <f>IFERROR(VLOOKUP(M638,#REF!,5,0),0)</f>
        <v>0</v>
      </c>
      <c r="V638" s="1394">
        <f t="shared" si="218"/>
        <v>0</v>
      </c>
      <c r="W638" s="1394"/>
    </row>
    <row r="639" spans="2:23" ht="30" customHeight="1">
      <c r="B639" s="1472"/>
      <c r="C639" s="1408" t="str">
        <f t="shared" si="224"/>
        <v>Front Entrance Verandah Side Wall</v>
      </c>
      <c r="D639" s="1409">
        <f t="shared" si="226"/>
        <v>1</v>
      </c>
      <c r="E639" s="1409">
        <f t="shared" si="225"/>
        <v>1</v>
      </c>
      <c r="F639" s="1410">
        <f t="shared" si="225"/>
        <v>1.5</v>
      </c>
      <c r="G639" s="1410">
        <f t="shared" si="225"/>
        <v>0.23</v>
      </c>
      <c r="H639" s="1411">
        <f t="shared" si="225"/>
        <v>0.1</v>
      </c>
      <c r="I639" s="1471">
        <f t="shared" si="227"/>
        <v>3.4500000000000003E-2</v>
      </c>
      <c r="Q639" s="1394">
        <f>IFERROR(VLOOKUP(M639,#REF!,3,0),0)</f>
        <v>0</v>
      </c>
      <c r="R639" s="1394">
        <f t="shared" si="216"/>
        <v>0</v>
      </c>
      <c r="S639" s="1394">
        <f>IFERROR(VLOOKUP(M639,#REF!,6,0),0)</f>
        <v>0</v>
      </c>
      <c r="T639" s="1394">
        <f t="shared" si="217"/>
        <v>0</v>
      </c>
      <c r="U639" s="1394">
        <f>IFERROR(VLOOKUP(M639,#REF!,5,0),0)</f>
        <v>0</v>
      </c>
      <c r="V639" s="1394">
        <f t="shared" si="218"/>
        <v>0</v>
      </c>
      <c r="W639" s="1394"/>
    </row>
    <row r="640" spans="2:23" ht="30" customHeight="1">
      <c r="B640" s="1472"/>
      <c r="C640" s="1408" t="str">
        <f t="shared" si="224"/>
        <v>Elevation Piller</v>
      </c>
      <c r="D640" s="1409">
        <f t="shared" si="226"/>
        <v>1</v>
      </c>
      <c r="E640" s="1409">
        <f t="shared" si="225"/>
        <v>4</v>
      </c>
      <c r="F640" s="1410">
        <f t="shared" si="225"/>
        <v>0.6</v>
      </c>
      <c r="G640" s="1410">
        <f t="shared" si="225"/>
        <v>0.23</v>
      </c>
      <c r="H640" s="1411">
        <f t="shared" si="225"/>
        <v>0.1</v>
      </c>
      <c r="I640" s="1471">
        <f t="shared" si="227"/>
        <v>5.5200000000000006E-2</v>
      </c>
      <c r="Q640" s="1394">
        <f>IFERROR(VLOOKUP(M640,#REF!,3,0),0)</f>
        <v>0</v>
      </c>
      <c r="R640" s="1394">
        <f t="shared" si="216"/>
        <v>0</v>
      </c>
      <c r="S640" s="1394">
        <f>IFERROR(VLOOKUP(M640,#REF!,6,0),0)</f>
        <v>0</v>
      </c>
      <c r="T640" s="1394">
        <f t="shared" si="217"/>
        <v>0</v>
      </c>
      <c r="U640" s="1394">
        <f>IFERROR(VLOOKUP(M640,#REF!,5,0),0)</f>
        <v>0</v>
      </c>
      <c r="V640" s="1394">
        <f t="shared" si="218"/>
        <v>0</v>
      </c>
      <c r="W640" s="1394"/>
    </row>
    <row r="641" spans="2:23" ht="30" customHeight="1">
      <c r="B641" s="1407"/>
      <c r="C641" s="1412" t="s">
        <v>5772</v>
      </c>
      <c r="D641" s="103">
        <v>0</v>
      </c>
      <c r="E641" s="103">
        <v>0</v>
      </c>
      <c r="F641" s="1413">
        <v>0</v>
      </c>
      <c r="G641" s="1413">
        <v>0</v>
      </c>
      <c r="H641" s="1414">
        <v>0</v>
      </c>
      <c r="I641" s="1471">
        <f t="shared" si="227"/>
        <v>0</v>
      </c>
      <c r="Q641" s="1394">
        <f>IFERROR(VLOOKUP(M641,#REF!,3,0),0)</f>
        <v>0</v>
      </c>
      <c r="R641" s="1394">
        <f t="shared" si="216"/>
        <v>0</v>
      </c>
      <c r="S641" s="1394">
        <f>IFERROR(VLOOKUP(M641,#REF!,6,0),0)</f>
        <v>0</v>
      </c>
      <c r="T641" s="1394">
        <f t="shared" si="217"/>
        <v>0</v>
      </c>
      <c r="U641" s="1394">
        <f>IFERROR(VLOOKUP(M641,#REF!,5,0),0)</f>
        <v>0</v>
      </c>
      <c r="V641" s="1394">
        <f t="shared" si="218"/>
        <v>0</v>
      </c>
      <c r="W641" s="1394"/>
    </row>
    <row r="642" spans="2:23" ht="30" customHeight="1">
      <c r="B642" s="1407"/>
      <c r="C642" s="1455" t="str">
        <f>C1593</f>
        <v>Cross wall between Toilet / Ph Toilet</v>
      </c>
      <c r="D642" s="103">
        <f>-D1593</f>
        <v>1</v>
      </c>
      <c r="E642" s="103">
        <f t="shared" ref="E642:F645" si="228">E1593</f>
        <v>1</v>
      </c>
      <c r="F642" s="1413">
        <f t="shared" si="228"/>
        <v>1.615</v>
      </c>
      <c r="G642" s="1413">
        <v>0.115</v>
      </c>
      <c r="H642" s="1414">
        <f>H1593</f>
        <v>0.1</v>
      </c>
      <c r="I642" s="1471">
        <f>PRODUCT(D642:H642)</f>
        <v>1.8572500000000002E-2</v>
      </c>
      <c r="Q642" s="1394">
        <f>IFERROR(VLOOKUP(M642,#REF!,3,0),0)</f>
        <v>0</v>
      </c>
      <c r="R642" s="1394">
        <f t="shared" si="216"/>
        <v>0</v>
      </c>
      <c r="S642" s="1394">
        <f>IFERROR(VLOOKUP(M642,#REF!,6,0),0)</f>
        <v>0</v>
      </c>
      <c r="T642" s="1394">
        <f t="shared" si="217"/>
        <v>0</v>
      </c>
      <c r="U642" s="1394">
        <f>IFERROR(VLOOKUP(M642,#REF!,5,0),0)</f>
        <v>0</v>
      </c>
      <c r="V642" s="1394">
        <f t="shared" si="218"/>
        <v>0</v>
      </c>
      <c r="W642" s="1394"/>
    </row>
    <row r="643" spans="2:23" ht="30" customHeight="1">
      <c r="B643" s="1407"/>
      <c r="C643" s="1455" t="str">
        <f>C1594</f>
        <v>Cross wall between Passage/ Ph Toilet</v>
      </c>
      <c r="D643" s="103">
        <f t="shared" ref="D643:D645" si="229">-D1594</f>
        <v>1</v>
      </c>
      <c r="E643" s="103">
        <f t="shared" si="228"/>
        <v>1</v>
      </c>
      <c r="F643" s="1413">
        <f t="shared" si="228"/>
        <v>2.2149999999999999</v>
      </c>
      <c r="G643" s="1413">
        <f>G642</f>
        <v>0.115</v>
      </c>
      <c r="H643" s="1414">
        <f>H1594</f>
        <v>0.1</v>
      </c>
      <c r="I643" s="1471">
        <f t="shared" ref="I643:I645" si="230">PRODUCT(D643:H643)</f>
        <v>2.5472499999999999E-2</v>
      </c>
      <c r="Q643" s="1394">
        <f>IFERROR(VLOOKUP(M643,#REF!,3,0),0)</f>
        <v>0</v>
      </c>
      <c r="R643" s="1394">
        <f t="shared" si="216"/>
        <v>0</v>
      </c>
      <c r="S643" s="1394">
        <f>IFERROR(VLOOKUP(M643,#REF!,6,0),0)</f>
        <v>0</v>
      </c>
      <c r="T643" s="1394">
        <f t="shared" si="217"/>
        <v>0</v>
      </c>
      <c r="U643" s="1394">
        <f>IFERROR(VLOOKUP(M643,#REF!,5,0),0)</f>
        <v>0</v>
      </c>
      <c r="V643" s="1394">
        <f t="shared" si="218"/>
        <v>0</v>
      </c>
      <c r="W643" s="1394"/>
    </row>
    <row r="644" spans="2:23" ht="30" customHeight="1">
      <c r="B644" s="1407"/>
      <c r="C644" s="1455" t="str">
        <f>C1595</f>
        <v>Cross wall between Passage/  Toilet</v>
      </c>
      <c r="D644" s="103">
        <f t="shared" si="229"/>
        <v>1</v>
      </c>
      <c r="E644" s="103">
        <f t="shared" si="228"/>
        <v>1</v>
      </c>
      <c r="F644" s="1413">
        <f t="shared" si="228"/>
        <v>1.35</v>
      </c>
      <c r="G644" s="1413">
        <f t="shared" ref="G644:G645" si="231">G643</f>
        <v>0.115</v>
      </c>
      <c r="H644" s="1414">
        <f>H1595</f>
        <v>0.1</v>
      </c>
      <c r="I644" s="1471">
        <f t="shared" si="230"/>
        <v>1.5525000000000004E-2</v>
      </c>
      <c r="Q644" s="1394">
        <f>IFERROR(VLOOKUP(M644,#REF!,3,0),0)</f>
        <v>0</v>
      </c>
      <c r="R644" s="1394">
        <f t="shared" si="216"/>
        <v>0</v>
      </c>
      <c r="S644" s="1394">
        <f>IFERROR(VLOOKUP(M644,#REF!,6,0),0)</f>
        <v>0</v>
      </c>
      <c r="T644" s="1394">
        <f t="shared" si="217"/>
        <v>0</v>
      </c>
      <c r="U644" s="1394">
        <f>IFERROR(VLOOKUP(M644,#REF!,5,0),0)</f>
        <v>0</v>
      </c>
      <c r="V644" s="1394">
        <f t="shared" si="218"/>
        <v>0</v>
      </c>
      <c r="W644" s="1394"/>
    </row>
    <row r="645" spans="2:23" ht="30" customHeight="1">
      <c r="B645" s="1407"/>
      <c r="C645" s="1455" t="str">
        <f>C1596</f>
        <v>Wash basin wall</v>
      </c>
      <c r="D645" s="103">
        <f t="shared" si="229"/>
        <v>1</v>
      </c>
      <c r="E645" s="103">
        <f t="shared" si="228"/>
        <v>1</v>
      </c>
      <c r="F645" s="1413">
        <f t="shared" si="228"/>
        <v>1.2</v>
      </c>
      <c r="G645" s="1413">
        <f t="shared" si="231"/>
        <v>0.115</v>
      </c>
      <c r="H645" s="1414">
        <f>H1596</f>
        <v>0.1</v>
      </c>
      <c r="I645" s="1471">
        <f t="shared" si="230"/>
        <v>1.3800000000000002E-2</v>
      </c>
      <c r="Q645" s="1394">
        <f>IFERROR(VLOOKUP(M645,#REF!,3,0),0)</f>
        <v>0</v>
      </c>
      <c r="R645" s="1394">
        <f t="shared" si="216"/>
        <v>0</v>
      </c>
      <c r="S645" s="1394">
        <f>IFERROR(VLOOKUP(M645,#REF!,6,0),0)</f>
        <v>0</v>
      </c>
      <c r="T645" s="1394">
        <f t="shared" si="217"/>
        <v>0</v>
      </c>
      <c r="U645" s="1394">
        <f>IFERROR(VLOOKUP(M645,#REF!,5,0),0)</f>
        <v>0</v>
      </c>
      <c r="V645" s="1394">
        <f t="shared" si="218"/>
        <v>0</v>
      </c>
      <c r="W645" s="1394"/>
    </row>
    <row r="646" spans="2:23" ht="30" hidden="1" customHeight="1">
      <c r="B646" s="1472"/>
      <c r="C646" s="1408">
        <f t="shared" ref="C646:H646" si="232">C1294</f>
        <v>0</v>
      </c>
      <c r="D646" s="1409">
        <f t="shared" si="232"/>
        <v>0</v>
      </c>
      <c r="E646" s="1409">
        <f t="shared" si="232"/>
        <v>0</v>
      </c>
      <c r="F646" s="1410">
        <f t="shared" si="232"/>
        <v>0</v>
      </c>
      <c r="G646" s="1410">
        <f t="shared" si="232"/>
        <v>0</v>
      </c>
      <c r="H646" s="1411">
        <f t="shared" si="232"/>
        <v>0</v>
      </c>
      <c r="I646" s="1471">
        <f t="shared" si="227"/>
        <v>0</v>
      </c>
      <c r="Q646" s="1394">
        <f>IFERROR(VLOOKUP(M646,#REF!,3,0),0)</f>
        <v>0</v>
      </c>
      <c r="R646" s="1394">
        <f t="shared" si="216"/>
        <v>0</v>
      </c>
      <c r="S646" s="1394">
        <f>IFERROR(VLOOKUP(M646,#REF!,6,0),0)</f>
        <v>0</v>
      </c>
      <c r="T646" s="1394">
        <f t="shared" si="217"/>
        <v>0</v>
      </c>
      <c r="U646" s="1394">
        <f>IFERROR(VLOOKUP(M646,#REF!,5,0),0)</f>
        <v>0</v>
      </c>
      <c r="V646" s="1394">
        <f t="shared" si="218"/>
        <v>0</v>
      </c>
      <c r="W646" s="1394"/>
    </row>
    <row r="647" spans="2:23" ht="30" hidden="1" customHeight="1">
      <c r="B647" s="1472"/>
      <c r="C647" s="1408">
        <f t="shared" ref="C647:H647" si="233">C1295</f>
        <v>0</v>
      </c>
      <c r="D647" s="1409">
        <f t="shared" si="233"/>
        <v>0</v>
      </c>
      <c r="E647" s="1409">
        <f t="shared" si="233"/>
        <v>0</v>
      </c>
      <c r="F647" s="1410">
        <f t="shared" si="233"/>
        <v>0</v>
      </c>
      <c r="G647" s="1410">
        <f t="shared" si="233"/>
        <v>0</v>
      </c>
      <c r="H647" s="1411">
        <f t="shared" si="233"/>
        <v>0</v>
      </c>
      <c r="I647" s="1471">
        <f t="shared" si="227"/>
        <v>0</v>
      </c>
      <c r="Q647" s="1394">
        <f>IFERROR(VLOOKUP(M647,#REF!,3,0),0)</f>
        <v>0</v>
      </c>
      <c r="R647" s="1394">
        <f t="shared" si="216"/>
        <v>0</v>
      </c>
      <c r="S647" s="1394">
        <f>IFERROR(VLOOKUP(M647,#REF!,6,0),0)</f>
        <v>0</v>
      </c>
      <c r="T647" s="1394">
        <f t="shared" si="217"/>
        <v>0</v>
      </c>
      <c r="U647" s="1394">
        <f>IFERROR(VLOOKUP(M647,#REF!,5,0),0)</f>
        <v>0</v>
      </c>
      <c r="V647" s="1394">
        <f t="shared" si="218"/>
        <v>0</v>
      </c>
      <c r="W647" s="1394"/>
    </row>
    <row r="648" spans="2:23" ht="30" hidden="1" customHeight="1">
      <c r="B648" s="1472"/>
      <c r="C648" s="1408"/>
      <c r="D648" s="1416"/>
      <c r="E648" s="1416"/>
      <c r="F648" s="1410"/>
      <c r="G648" s="1410"/>
      <c r="H648" s="1411"/>
      <c r="I648" s="1471"/>
      <c r="Q648" s="1394">
        <f>IFERROR(VLOOKUP(M648,#REF!,3,0),0)</f>
        <v>0</v>
      </c>
      <c r="R648" s="1394">
        <f t="shared" si="216"/>
        <v>0</v>
      </c>
      <c r="S648" s="1394">
        <f>IFERROR(VLOOKUP(M648,#REF!,6,0),0)</f>
        <v>0</v>
      </c>
      <c r="T648" s="1394">
        <f t="shared" si="217"/>
        <v>0</v>
      </c>
      <c r="U648" s="1394">
        <f>IFERROR(VLOOKUP(M648,#REF!,5,0),0)</f>
        <v>0</v>
      </c>
      <c r="V648" s="1394">
        <f t="shared" si="218"/>
        <v>0</v>
      </c>
      <c r="W648" s="1394"/>
    </row>
    <row r="649" spans="2:23" ht="30" hidden="1" customHeight="1">
      <c r="B649" s="1472"/>
      <c r="C649" s="1408"/>
      <c r="D649" s="1416"/>
      <c r="E649" s="1416"/>
      <c r="F649" s="1410"/>
      <c r="G649" s="1410"/>
      <c r="H649" s="1411"/>
      <c r="I649" s="1471"/>
      <c r="Q649" s="1394">
        <f>IFERROR(VLOOKUP(M649,#REF!,3,0),0)</f>
        <v>0</v>
      </c>
      <c r="R649" s="1394">
        <f t="shared" si="216"/>
        <v>0</v>
      </c>
      <c r="S649" s="1394">
        <f>IFERROR(VLOOKUP(M649,#REF!,6,0),0)</f>
        <v>0</v>
      </c>
      <c r="T649" s="1394">
        <f t="shared" si="217"/>
        <v>0</v>
      </c>
      <c r="U649" s="1394">
        <f>IFERROR(VLOOKUP(M649,#REF!,5,0),0)</f>
        <v>0</v>
      </c>
      <c r="V649" s="1394">
        <f t="shared" si="218"/>
        <v>0</v>
      </c>
      <c r="W649" s="1394"/>
    </row>
    <row r="650" spans="2:23" ht="30" customHeight="1">
      <c r="B650" s="1472"/>
      <c r="C650" s="1408"/>
      <c r="D650" s="1416"/>
      <c r="E650" s="1416"/>
      <c r="F650" s="1410"/>
      <c r="G650" s="1410"/>
      <c r="H650" s="1411"/>
      <c r="I650" s="1471"/>
      <c r="Q650" s="1394">
        <f>IFERROR(VLOOKUP(M650,#REF!,3,0),0)</f>
        <v>0</v>
      </c>
      <c r="R650" s="1394">
        <f t="shared" si="216"/>
        <v>0</v>
      </c>
      <c r="S650" s="1394">
        <f>IFERROR(VLOOKUP(M650,#REF!,6,0),0)</f>
        <v>0</v>
      </c>
      <c r="T650" s="1394">
        <f t="shared" si="217"/>
        <v>0</v>
      </c>
      <c r="U650" s="1394">
        <f>IFERROR(VLOOKUP(M650,#REF!,5,0),0)</f>
        <v>0</v>
      </c>
      <c r="V650" s="1394">
        <f t="shared" si="218"/>
        <v>0</v>
      </c>
      <c r="W650" s="1394"/>
    </row>
    <row r="651" spans="2:23" ht="30" customHeight="1">
      <c r="B651" s="1472"/>
      <c r="C651" s="1415" t="s">
        <v>305</v>
      </c>
      <c r="D651" s="1409"/>
      <c r="E651" s="1409"/>
      <c r="F651" s="1410"/>
      <c r="G651" s="1410"/>
      <c r="H651" s="1411"/>
      <c r="I651" s="1471">
        <f t="shared" ref="I651" si="234">PRODUCT(D651:H651)</f>
        <v>0</v>
      </c>
      <c r="Q651" s="1394">
        <f>IFERROR(VLOOKUP(M651,#REF!,3,0),0)</f>
        <v>0</v>
      </c>
      <c r="R651" s="1394">
        <f t="shared" si="216"/>
        <v>0</v>
      </c>
      <c r="S651" s="1394">
        <f>IFERROR(VLOOKUP(M651,#REF!,6,0),0)</f>
        <v>0</v>
      </c>
      <c r="T651" s="1394">
        <f t="shared" si="217"/>
        <v>0</v>
      </c>
      <c r="U651" s="1394">
        <f>IFERROR(VLOOKUP(M651,#REF!,5,0),0)</f>
        <v>0</v>
      </c>
      <c r="V651" s="1394">
        <f t="shared" si="218"/>
        <v>0</v>
      </c>
      <c r="W651" s="1394"/>
    </row>
    <row r="652" spans="2:23" ht="30" customHeight="1">
      <c r="B652" s="1472"/>
      <c r="C652" s="1415" t="str">
        <f t="shared" ref="C652:F661" si="235">C621</f>
        <v>Ground Floor</v>
      </c>
      <c r="D652" s="1409">
        <f t="shared" si="235"/>
        <v>0</v>
      </c>
      <c r="E652" s="1409">
        <f t="shared" si="235"/>
        <v>0</v>
      </c>
      <c r="F652" s="1410">
        <f t="shared" si="235"/>
        <v>0</v>
      </c>
      <c r="G652" s="1410"/>
      <c r="H652" s="1411"/>
      <c r="I652" s="1471"/>
      <c r="Q652" s="1394">
        <f>IFERROR(VLOOKUP(M652,#REF!,3,0),0)</f>
        <v>0</v>
      </c>
      <c r="R652" s="1394">
        <f t="shared" si="216"/>
        <v>0</v>
      </c>
      <c r="S652" s="1394">
        <f>IFERROR(VLOOKUP(M652,#REF!,6,0),0)</f>
        <v>0</v>
      </c>
      <c r="T652" s="1394">
        <f t="shared" si="217"/>
        <v>0</v>
      </c>
      <c r="U652" s="1394">
        <f>IFERROR(VLOOKUP(M652,#REF!,5,0),0)</f>
        <v>0</v>
      </c>
      <c r="V652" s="1394">
        <f t="shared" si="218"/>
        <v>0</v>
      </c>
      <c r="W652" s="1394"/>
    </row>
    <row r="653" spans="2:23" ht="30" customHeight="1">
      <c r="B653" s="1472"/>
      <c r="C653" s="1408" t="str">
        <f t="shared" si="235"/>
        <v>ENTRANCE LOBBY</v>
      </c>
      <c r="D653" s="1409">
        <f t="shared" si="235"/>
        <v>0</v>
      </c>
      <c r="E653" s="1409">
        <f t="shared" si="235"/>
        <v>0</v>
      </c>
      <c r="F653" s="1410">
        <f t="shared" si="235"/>
        <v>0</v>
      </c>
      <c r="G653" s="1410"/>
      <c r="H653" s="1411"/>
      <c r="I653" s="1471">
        <f>PRODUCT(D653:H653)</f>
        <v>0</v>
      </c>
      <c r="Q653" s="1394">
        <f>IFERROR(VLOOKUP(M653,#REF!,3,0),0)</f>
        <v>0</v>
      </c>
      <c r="R653" s="1394">
        <f t="shared" si="216"/>
        <v>0</v>
      </c>
      <c r="S653" s="1394">
        <f>IFERROR(VLOOKUP(M653,#REF!,6,0),0)</f>
        <v>0</v>
      </c>
      <c r="T653" s="1394">
        <f t="shared" si="217"/>
        <v>0</v>
      </c>
      <c r="U653" s="1394">
        <f>IFERROR(VLOOKUP(M653,#REF!,5,0),0)</f>
        <v>0</v>
      </c>
      <c r="V653" s="1394">
        <f t="shared" si="218"/>
        <v>0</v>
      </c>
      <c r="W653" s="1394"/>
    </row>
    <row r="654" spans="2:23" ht="30" customHeight="1">
      <c r="B654" s="1472"/>
      <c r="C654" s="1408" t="str">
        <f t="shared" si="235"/>
        <v>MD</v>
      </c>
      <c r="D654" s="1409">
        <f t="shared" si="235"/>
        <v>1</v>
      </c>
      <c r="E654" s="1409">
        <f t="shared" si="235"/>
        <v>1</v>
      </c>
      <c r="F654" s="1410">
        <f t="shared" si="235"/>
        <v>2.2600000000000002</v>
      </c>
      <c r="G654" s="1410">
        <v>0.6</v>
      </c>
      <c r="H654" s="1473">
        <v>6.25E-2</v>
      </c>
      <c r="I654" s="1471">
        <f t="shared" ref="I654:I693" si="236">PRODUCT(D654:H654)</f>
        <v>8.4750000000000006E-2</v>
      </c>
      <c r="Q654" s="1394">
        <f>IFERROR(VLOOKUP(M654,#REF!,3,0),0)</f>
        <v>0</v>
      </c>
      <c r="R654" s="1394">
        <f t="shared" si="216"/>
        <v>0</v>
      </c>
      <c r="S654" s="1394">
        <f>IFERROR(VLOOKUP(M654,#REF!,6,0),0)</f>
        <v>0</v>
      </c>
      <c r="T654" s="1394">
        <f t="shared" si="217"/>
        <v>0</v>
      </c>
      <c r="U654" s="1394">
        <f>IFERROR(VLOOKUP(M654,#REF!,5,0),0)</f>
        <v>0</v>
      </c>
      <c r="V654" s="1394">
        <f t="shared" si="218"/>
        <v>0</v>
      </c>
      <c r="W654" s="1394"/>
    </row>
    <row r="655" spans="2:23" ht="30" customHeight="1">
      <c r="B655" s="1472"/>
      <c r="C655" s="1408" t="str">
        <f t="shared" si="235"/>
        <v>MD-1</v>
      </c>
      <c r="D655" s="1409">
        <f t="shared" si="235"/>
        <v>1</v>
      </c>
      <c r="E655" s="1409">
        <f t="shared" si="235"/>
        <v>1</v>
      </c>
      <c r="F655" s="1410">
        <f t="shared" si="235"/>
        <v>2.2600000000000002</v>
      </c>
      <c r="G655" s="1410">
        <v>0.6</v>
      </c>
      <c r="H655" s="1473">
        <v>6.25E-2</v>
      </c>
      <c r="I655" s="1471">
        <f t="shared" si="236"/>
        <v>8.4750000000000006E-2</v>
      </c>
      <c r="Q655" s="1394">
        <f>IFERROR(VLOOKUP(M655,#REF!,3,0),0)</f>
        <v>0</v>
      </c>
      <c r="R655" s="1394">
        <f t="shared" si="216"/>
        <v>0</v>
      </c>
      <c r="S655" s="1394">
        <f>IFERROR(VLOOKUP(M655,#REF!,6,0),0)</f>
        <v>0</v>
      </c>
      <c r="T655" s="1394">
        <f t="shared" si="217"/>
        <v>0</v>
      </c>
      <c r="U655" s="1394">
        <f>IFERROR(VLOOKUP(M655,#REF!,5,0),0)</f>
        <v>0</v>
      </c>
      <c r="V655" s="1394">
        <f t="shared" si="218"/>
        <v>0</v>
      </c>
      <c r="W655" s="1394"/>
    </row>
    <row r="656" spans="2:23" ht="30" customHeight="1">
      <c r="B656" s="1472"/>
      <c r="C656" s="1408" t="str">
        <f t="shared" si="235"/>
        <v>LD</v>
      </c>
      <c r="D656" s="1409">
        <f t="shared" si="235"/>
        <v>1</v>
      </c>
      <c r="E656" s="1409">
        <f t="shared" si="235"/>
        <v>1</v>
      </c>
      <c r="F656" s="1410">
        <f t="shared" si="235"/>
        <v>1.66</v>
      </c>
      <c r="G656" s="1410">
        <v>0.6</v>
      </c>
      <c r="H656" s="1473">
        <v>6.25E-2</v>
      </c>
      <c r="I656" s="1471">
        <f t="shared" si="236"/>
        <v>6.2249999999999993E-2</v>
      </c>
      <c r="Q656" s="1394">
        <f>IFERROR(VLOOKUP(M656,#REF!,3,0),0)</f>
        <v>0</v>
      </c>
      <c r="R656" s="1394">
        <f t="shared" si="216"/>
        <v>0</v>
      </c>
      <c r="S656" s="1394">
        <f>IFERROR(VLOOKUP(M656,#REF!,6,0),0)</f>
        <v>0</v>
      </c>
      <c r="T656" s="1394">
        <f t="shared" si="217"/>
        <v>0</v>
      </c>
      <c r="U656" s="1394">
        <f>IFERROR(VLOOKUP(M656,#REF!,5,0),0)</f>
        <v>0</v>
      </c>
      <c r="V656" s="1394">
        <f t="shared" si="218"/>
        <v>0</v>
      </c>
      <c r="W656" s="1394"/>
    </row>
    <row r="657" spans="1:23" ht="30" customHeight="1">
      <c r="B657" s="1472"/>
      <c r="C657" s="1408" t="str">
        <f t="shared" si="235"/>
        <v>SLD</v>
      </c>
      <c r="D657" s="1409">
        <f t="shared" si="235"/>
        <v>1</v>
      </c>
      <c r="E657" s="1409">
        <f t="shared" si="235"/>
        <v>1</v>
      </c>
      <c r="F657" s="1410">
        <f t="shared" si="235"/>
        <v>1.46</v>
      </c>
      <c r="G657" s="1410">
        <v>0.6</v>
      </c>
      <c r="H657" s="1473">
        <v>6.25E-2</v>
      </c>
      <c r="I657" s="1471">
        <f t="shared" si="236"/>
        <v>5.475E-2</v>
      </c>
      <c r="J657" s="110">
        <f>2.85-0.625</f>
        <v>2.2250000000000001</v>
      </c>
      <c r="L657" s="110">
        <f>J657-2.1</f>
        <v>0.125</v>
      </c>
      <c r="Q657" s="1394">
        <f>IFERROR(VLOOKUP(M657,#REF!,3,0),0)</f>
        <v>0</v>
      </c>
      <c r="R657" s="1394">
        <f t="shared" si="216"/>
        <v>0</v>
      </c>
      <c r="S657" s="1394">
        <f>IFERROR(VLOOKUP(M657,#REF!,6,0),0)</f>
        <v>0</v>
      </c>
      <c r="T657" s="1394">
        <f t="shared" si="217"/>
        <v>0</v>
      </c>
      <c r="U657" s="1394">
        <f>IFERROR(VLOOKUP(M657,#REF!,5,0),0)</f>
        <v>0</v>
      </c>
      <c r="V657" s="1394">
        <f t="shared" si="218"/>
        <v>0</v>
      </c>
      <c r="W657" s="1394"/>
    </row>
    <row r="658" spans="1:23" ht="30" customHeight="1">
      <c r="B658" s="1472"/>
      <c r="C658" s="1408" t="str">
        <f t="shared" si="235"/>
        <v>TD</v>
      </c>
      <c r="D658" s="1409">
        <f t="shared" si="235"/>
        <v>1</v>
      </c>
      <c r="E658" s="1409">
        <f t="shared" si="235"/>
        <v>1</v>
      </c>
      <c r="F658" s="1410">
        <f t="shared" si="235"/>
        <v>1.21</v>
      </c>
      <c r="G658" s="1410">
        <v>0.6</v>
      </c>
      <c r="H658" s="1473">
        <v>6.25E-2</v>
      </c>
      <c r="I658" s="1471">
        <f t="shared" si="236"/>
        <v>4.5374999999999999E-2</v>
      </c>
      <c r="Q658" s="1394">
        <f>IFERROR(VLOOKUP(M658,#REF!,3,0),0)</f>
        <v>0</v>
      </c>
      <c r="R658" s="1394">
        <f t="shared" si="216"/>
        <v>0</v>
      </c>
      <c r="S658" s="1394">
        <f>IFERROR(VLOOKUP(M658,#REF!,6,0),0)</f>
        <v>0</v>
      </c>
      <c r="T658" s="1394">
        <f t="shared" si="217"/>
        <v>0</v>
      </c>
      <c r="U658" s="1394">
        <f>IFERROR(VLOOKUP(M658,#REF!,5,0),0)</f>
        <v>0</v>
      </c>
      <c r="V658" s="1394">
        <f t="shared" si="218"/>
        <v>0</v>
      </c>
      <c r="W658" s="1394"/>
    </row>
    <row r="659" spans="1:23" ht="30" customHeight="1">
      <c r="B659" s="1472"/>
      <c r="C659" s="1408" t="str">
        <f t="shared" si="235"/>
        <v>SFW</v>
      </c>
      <c r="D659" s="1409">
        <f t="shared" si="235"/>
        <v>1</v>
      </c>
      <c r="E659" s="1409">
        <f t="shared" si="235"/>
        <v>1</v>
      </c>
      <c r="F659" s="1410">
        <f t="shared" si="235"/>
        <v>2.2600000000000002</v>
      </c>
      <c r="G659" s="1410">
        <v>0.6</v>
      </c>
      <c r="H659" s="1473">
        <v>6.25E-2</v>
      </c>
      <c r="I659" s="1471">
        <f t="shared" si="236"/>
        <v>8.4750000000000006E-2</v>
      </c>
      <c r="Q659" s="1394">
        <f>IFERROR(VLOOKUP(M659,#REF!,3,0),0)</f>
        <v>0</v>
      </c>
      <c r="R659" s="1394">
        <f t="shared" si="216"/>
        <v>0</v>
      </c>
      <c r="S659" s="1394">
        <f>IFERROR(VLOOKUP(M659,#REF!,6,0),0)</f>
        <v>0</v>
      </c>
      <c r="T659" s="1394">
        <f t="shared" si="217"/>
        <v>0</v>
      </c>
      <c r="U659" s="1394">
        <f>IFERROR(VLOOKUP(M659,#REF!,5,0),0)</f>
        <v>0</v>
      </c>
      <c r="V659" s="1394">
        <f t="shared" si="218"/>
        <v>0</v>
      </c>
      <c r="W659" s="1394"/>
    </row>
    <row r="660" spans="1:23" ht="30" customHeight="1">
      <c r="B660" s="1472"/>
      <c r="C660" s="1408" t="str">
        <f t="shared" si="235"/>
        <v>FW-1</v>
      </c>
      <c r="D660" s="1409">
        <f t="shared" si="235"/>
        <v>1</v>
      </c>
      <c r="E660" s="1409">
        <f t="shared" si="235"/>
        <v>2</v>
      </c>
      <c r="F660" s="1410">
        <f t="shared" si="235"/>
        <v>2.2600000000000002</v>
      </c>
      <c r="G660" s="1410">
        <v>0.6</v>
      </c>
      <c r="H660" s="1473">
        <v>6.25E-2</v>
      </c>
      <c r="I660" s="1471">
        <f t="shared" si="236"/>
        <v>0.16950000000000001</v>
      </c>
      <c r="L660" s="110">
        <f>3.6/0.15</f>
        <v>24</v>
      </c>
      <c r="Q660" s="1394">
        <f>IFERROR(VLOOKUP(M660,#REF!,3,0),0)</f>
        <v>0</v>
      </c>
      <c r="R660" s="1394">
        <f t="shared" si="216"/>
        <v>0</v>
      </c>
      <c r="S660" s="1394">
        <f>IFERROR(VLOOKUP(M660,#REF!,6,0),0)</f>
        <v>0</v>
      </c>
      <c r="T660" s="1394">
        <f t="shared" si="217"/>
        <v>0</v>
      </c>
      <c r="U660" s="1394">
        <f>IFERROR(VLOOKUP(M660,#REF!,5,0),0)</f>
        <v>0</v>
      </c>
      <c r="V660" s="1394">
        <f t="shared" si="218"/>
        <v>0</v>
      </c>
      <c r="W660" s="1394"/>
    </row>
    <row r="661" spans="1:23" ht="30" customHeight="1">
      <c r="B661" s="1405"/>
      <c r="C661" s="1455" t="str">
        <f t="shared" si="235"/>
        <v>FW-2</v>
      </c>
      <c r="D661" s="103">
        <f t="shared" si="235"/>
        <v>1</v>
      </c>
      <c r="E661" s="103">
        <f t="shared" si="235"/>
        <v>1</v>
      </c>
      <c r="F661" s="1413">
        <f t="shared" si="235"/>
        <v>1.96</v>
      </c>
      <c r="G661" s="1410">
        <v>0.6</v>
      </c>
      <c r="H661" s="1473">
        <v>6.25E-2</v>
      </c>
      <c r="I661" s="1471">
        <f t="shared" si="236"/>
        <v>7.3499999999999996E-2</v>
      </c>
      <c r="Q661" s="1394">
        <f>IFERROR(VLOOKUP(M661,#REF!,3,0),0)</f>
        <v>0</v>
      </c>
      <c r="R661" s="1394">
        <f t="shared" si="216"/>
        <v>0</v>
      </c>
      <c r="S661" s="1394">
        <f>IFERROR(VLOOKUP(M661,#REF!,6,0),0)</f>
        <v>0</v>
      </c>
      <c r="T661" s="1394">
        <f t="shared" si="217"/>
        <v>0</v>
      </c>
      <c r="U661" s="1394">
        <f>IFERROR(VLOOKUP(M661,#REF!,5,0),0)</f>
        <v>0</v>
      </c>
      <c r="V661" s="1394">
        <f t="shared" si="218"/>
        <v>0</v>
      </c>
      <c r="W661" s="1394"/>
    </row>
    <row r="662" spans="1:23" ht="30" customHeight="1">
      <c r="B662" s="1405"/>
      <c r="C662" s="1455"/>
      <c r="D662" s="103"/>
      <c r="E662" s="103"/>
      <c r="F662" s="1413"/>
      <c r="G662" s="1413"/>
      <c r="H662" s="1414"/>
      <c r="I662" s="1471"/>
      <c r="Q662" s="1394">
        <f>IFERROR(VLOOKUP(M662,#REF!,3,0),0)</f>
        <v>0</v>
      </c>
      <c r="R662" s="1394">
        <f t="shared" si="216"/>
        <v>0</v>
      </c>
      <c r="S662" s="1394">
        <f>IFERROR(VLOOKUP(M662,#REF!,6,0),0)</f>
        <v>0</v>
      </c>
      <c r="T662" s="1394">
        <f t="shared" si="217"/>
        <v>0</v>
      </c>
      <c r="U662" s="1394">
        <f>IFERROR(VLOOKUP(M662,#REF!,5,0),0)</f>
        <v>0</v>
      </c>
      <c r="V662" s="1394">
        <f t="shared" si="218"/>
        <v>0</v>
      </c>
      <c r="W662" s="1394"/>
    </row>
    <row r="663" spans="1:23" ht="30" customHeight="1">
      <c r="B663" s="1405"/>
      <c r="C663" s="1455"/>
      <c r="D663" s="103"/>
      <c r="E663" s="103"/>
      <c r="F663" s="1413"/>
      <c r="G663" s="1413"/>
      <c r="H663" s="1414"/>
      <c r="I663" s="1471"/>
      <c r="Q663" s="1394">
        <f>IFERROR(VLOOKUP(M663,#REF!,3,0),0)</f>
        <v>0</v>
      </c>
      <c r="R663" s="1394">
        <f t="shared" si="216"/>
        <v>0</v>
      </c>
      <c r="S663" s="1394">
        <f>IFERROR(VLOOKUP(M663,#REF!,6,0),0)</f>
        <v>0</v>
      </c>
      <c r="T663" s="1394">
        <f t="shared" si="217"/>
        <v>0</v>
      </c>
      <c r="U663" s="1394">
        <f>IFERROR(VLOOKUP(M663,#REF!,5,0),0)</f>
        <v>0</v>
      </c>
      <c r="V663" s="1394">
        <f t="shared" si="218"/>
        <v>0</v>
      </c>
      <c r="W663" s="1394"/>
    </row>
    <row r="664" spans="1:23" ht="30" customHeight="1">
      <c r="B664" s="1405"/>
      <c r="C664" s="1415" t="s">
        <v>310</v>
      </c>
      <c r="D664" s="1409"/>
      <c r="E664" s="1409"/>
      <c r="F664" s="1410"/>
      <c r="G664" s="1410"/>
      <c r="H664" s="1411"/>
      <c r="I664" s="1471">
        <f t="shared" si="236"/>
        <v>0</v>
      </c>
      <c r="J664" s="110" t="e">
        <f>#REF!*30</f>
        <v>#REF!</v>
      </c>
      <c r="Q664" s="1394">
        <f>IFERROR(VLOOKUP(M664,#REF!,3,0),0)</f>
        <v>0</v>
      </c>
      <c r="R664" s="1394">
        <f t="shared" si="216"/>
        <v>0</v>
      </c>
      <c r="S664" s="1394">
        <f>IFERROR(VLOOKUP(M664,#REF!,6,0),0)</f>
        <v>0</v>
      </c>
      <c r="T664" s="1394">
        <f t="shared" si="217"/>
        <v>0</v>
      </c>
      <c r="U664" s="1394">
        <f>IFERROR(VLOOKUP(M664,#REF!,5,0),0)</f>
        <v>0</v>
      </c>
      <c r="V664" s="1394">
        <f t="shared" si="218"/>
        <v>0</v>
      </c>
      <c r="W664" s="1394"/>
    </row>
    <row r="665" spans="1:23" ht="30" customHeight="1">
      <c r="B665" s="1405"/>
      <c r="C665" s="1415" t="s">
        <v>311</v>
      </c>
      <c r="D665" s="1409"/>
      <c r="E665" s="1409"/>
      <c r="F665" s="1410"/>
      <c r="G665" s="1410"/>
      <c r="H665" s="1411"/>
      <c r="I665" s="1471">
        <f t="shared" si="236"/>
        <v>0</v>
      </c>
      <c r="Q665" s="1394">
        <f>IFERROR(VLOOKUP(M665,#REF!,3,0),0)</f>
        <v>0</v>
      </c>
      <c r="R665" s="1394">
        <f t="shared" si="216"/>
        <v>0</v>
      </c>
      <c r="S665" s="1394">
        <f>IFERROR(VLOOKUP(M665,#REF!,6,0),0)</f>
        <v>0</v>
      </c>
      <c r="T665" s="1394">
        <f t="shared" si="217"/>
        <v>0</v>
      </c>
      <c r="U665" s="1394">
        <f>IFERROR(VLOOKUP(M665,#REF!,5,0),0)</f>
        <v>0</v>
      </c>
      <c r="V665" s="1394">
        <f t="shared" si="218"/>
        <v>0</v>
      </c>
      <c r="W665" s="1394"/>
    </row>
    <row r="666" spans="1:23" ht="30" customHeight="1">
      <c r="A666" s="1396"/>
      <c r="B666" s="1405"/>
      <c r="C666" s="1408" t="s">
        <v>5699</v>
      </c>
      <c r="D666" s="1409">
        <v>1</v>
      </c>
      <c r="E666" s="1409">
        <v>2</v>
      </c>
      <c r="F666" s="1410">
        <f>2.425+1.23</f>
        <v>3.6549999999999998</v>
      </c>
      <c r="G666" s="1410">
        <v>0.23</v>
      </c>
      <c r="H666" s="1411">
        <v>0.38</v>
      </c>
      <c r="I666" s="1471">
        <f t="shared" si="236"/>
        <v>0.63889399999999996</v>
      </c>
      <c r="L666" s="1413"/>
      <c r="M666" s="1474"/>
      <c r="Q666" s="1394">
        <f>IFERROR(VLOOKUP(M666,#REF!,3,0),0)</f>
        <v>0</v>
      </c>
      <c r="R666" s="1394">
        <f t="shared" si="216"/>
        <v>0</v>
      </c>
      <c r="S666" s="1394">
        <f>IFERROR(VLOOKUP(M666,#REF!,6,0),0)</f>
        <v>0</v>
      </c>
      <c r="T666" s="1394">
        <f t="shared" si="217"/>
        <v>0</v>
      </c>
      <c r="U666" s="1394">
        <f>IFERROR(VLOOKUP(M666,#REF!,5,0),0)</f>
        <v>0</v>
      </c>
      <c r="V666" s="1394">
        <f t="shared" si="218"/>
        <v>0</v>
      </c>
      <c r="W666" s="1394"/>
    </row>
    <row r="667" spans="1:23" ht="30" customHeight="1">
      <c r="A667" s="1396"/>
      <c r="B667" s="1405"/>
      <c r="C667" s="1408" t="s">
        <v>5723</v>
      </c>
      <c r="D667" s="1409">
        <v>1</v>
      </c>
      <c r="E667" s="1409">
        <v>4</v>
      </c>
      <c r="F667" s="1410">
        <f>4.23</f>
        <v>4.2300000000000004</v>
      </c>
      <c r="G667" s="1410">
        <v>0.23</v>
      </c>
      <c r="H667" s="1411">
        <v>0.38</v>
      </c>
      <c r="I667" s="1471">
        <f t="shared" si="236"/>
        <v>1.4788080000000001</v>
      </c>
      <c r="L667" s="1413"/>
      <c r="M667" s="1474"/>
      <c r="Q667" s="1394">
        <f>IFERROR(VLOOKUP(M667,#REF!,3,0),0)</f>
        <v>0</v>
      </c>
      <c r="R667" s="1394">
        <f t="shared" si="216"/>
        <v>0</v>
      </c>
      <c r="S667" s="1394">
        <f>IFERROR(VLOOKUP(M667,#REF!,6,0),0)</f>
        <v>0</v>
      </c>
      <c r="T667" s="1394">
        <f t="shared" si="217"/>
        <v>0</v>
      </c>
      <c r="U667" s="1394">
        <f>IFERROR(VLOOKUP(M667,#REF!,5,0),0)</f>
        <v>0</v>
      </c>
      <c r="V667" s="1394">
        <f t="shared" si="218"/>
        <v>0</v>
      </c>
      <c r="W667" s="1394"/>
    </row>
    <row r="668" spans="1:23" ht="30" customHeight="1">
      <c r="A668" s="1396"/>
      <c r="B668" s="1405"/>
      <c r="C668" s="1408" t="s">
        <v>5698</v>
      </c>
      <c r="D668" s="1409">
        <v>1</v>
      </c>
      <c r="E668" s="1409">
        <v>1</v>
      </c>
      <c r="F668" s="1410">
        <f>4.23+2.33+0.9+2.425+1.23+3.465+3.995</f>
        <v>18.575000000000003</v>
      </c>
      <c r="G668" s="1410">
        <v>0.23</v>
      </c>
      <c r="H668" s="1411">
        <v>0.38</v>
      </c>
      <c r="I668" s="1471">
        <f t="shared" si="236"/>
        <v>1.6234550000000003</v>
      </c>
      <c r="L668" s="1413"/>
      <c r="M668" s="1474"/>
      <c r="Q668" s="1394">
        <f>IFERROR(VLOOKUP(M668,#REF!,3,0),0)</f>
        <v>0</v>
      </c>
      <c r="R668" s="1394">
        <f t="shared" si="216"/>
        <v>0</v>
      </c>
      <c r="S668" s="1394">
        <f>IFERROR(VLOOKUP(M668,#REF!,6,0),0)</f>
        <v>0</v>
      </c>
      <c r="T668" s="1394">
        <f t="shared" si="217"/>
        <v>0</v>
      </c>
      <c r="U668" s="1394">
        <f>IFERROR(VLOOKUP(M668,#REF!,5,0),0)</f>
        <v>0</v>
      </c>
      <c r="V668" s="1394">
        <f t="shared" si="218"/>
        <v>0</v>
      </c>
      <c r="W668" s="1394"/>
    </row>
    <row r="669" spans="1:23" ht="30" customHeight="1">
      <c r="A669" s="1396"/>
      <c r="B669" s="1405"/>
      <c r="C669" s="1408" t="s">
        <v>5725</v>
      </c>
      <c r="D669" s="1409">
        <v>1</v>
      </c>
      <c r="E669" s="1409">
        <v>1</v>
      </c>
      <c r="F669" s="1410">
        <f>2.33+0.9+2.425+1.23+3.465</f>
        <v>10.35</v>
      </c>
      <c r="G669" s="1410">
        <v>0.23</v>
      </c>
      <c r="H669" s="1411">
        <v>0.38</v>
      </c>
      <c r="I669" s="1471">
        <f t="shared" si="236"/>
        <v>0.90459000000000001</v>
      </c>
      <c r="L669" s="1413"/>
      <c r="M669" s="1474"/>
      <c r="Q669" s="1394">
        <f>IFERROR(VLOOKUP(M669,#REF!,3,0),0)</f>
        <v>0</v>
      </c>
      <c r="R669" s="1394">
        <f t="shared" si="216"/>
        <v>0</v>
      </c>
      <c r="S669" s="1394">
        <f>IFERROR(VLOOKUP(M669,#REF!,6,0),0)</f>
        <v>0</v>
      </c>
      <c r="T669" s="1394">
        <f t="shared" si="217"/>
        <v>0</v>
      </c>
      <c r="U669" s="1394">
        <f>IFERROR(VLOOKUP(M669,#REF!,5,0),0)</f>
        <v>0</v>
      </c>
      <c r="V669" s="1394">
        <f t="shared" si="218"/>
        <v>0</v>
      </c>
      <c r="W669" s="1394"/>
    </row>
    <row r="670" spans="1:23" ht="30" customHeight="1">
      <c r="A670" s="1396"/>
      <c r="B670" s="1405"/>
      <c r="C670" s="1408" t="s">
        <v>5724</v>
      </c>
      <c r="D670" s="1409">
        <v>1</v>
      </c>
      <c r="E670" s="1409">
        <v>1</v>
      </c>
      <c r="F670" s="1410">
        <f>2.33+0.9+2.425+1.23+3.465</f>
        <v>10.35</v>
      </c>
      <c r="G670" s="1410">
        <v>0.23</v>
      </c>
      <c r="H670" s="1411">
        <v>0.45</v>
      </c>
      <c r="I670" s="1471">
        <f t="shared" si="236"/>
        <v>1.0712250000000001</v>
      </c>
      <c r="L670" s="1413"/>
      <c r="M670" s="1474"/>
      <c r="Q670" s="1394">
        <f>IFERROR(VLOOKUP(M670,#REF!,3,0),0)</f>
        <v>0</v>
      </c>
      <c r="R670" s="1394">
        <f t="shared" si="216"/>
        <v>0</v>
      </c>
      <c r="S670" s="1394">
        <f>IFERROR(VLOOKUP(M670,#REF!,6,0),0)</f>
        <v>0</v>
      </c>
      <c r="T670" s="1394">
        <f t="shared" si="217"/>
        <v>0</v>
      </c>
      <c r="U670" s="1394">
        <f>IFERROR(VLOOKUP(M670,#REF!,5,0),0)</f>
        <v>0</v>
      </c>
      <c r="V670" s="1394">
        <f t="shared" si="218"/>
        <v>0</v>
      </c>
      <c r="W670" s="1394"/>
    </row>
    <row r="671" spans="1:23" ht="30" customHeight="1">
      <c r="A671" s="1396"/>
      <c r="B671" s="1405"/>
      <c r="C671" s="1408" t="s">
        <v>5726</v>
      </c>
      <c r="D671" s="1409">
        <v>1</v>
      </c>
      <c r="E671" s="1409">
        <v>1</v>
      </c>
      <c r="F671" s="1410">
        <f>2.33+0.9+2.425+1.23+3.465</f>
        <v>10.35</v>
      </c>
      <c r="G671" s="1410">
        <v>0.23</v>
      </c>
      <c r="H671" s="1411">
        <v>0.6</v>
      </c>
      <c r="I671" s="1471">
        <f t="shared" ref="I671:I672" si="237">PRODUCT(D671:H671)</f>
        <v>1.4282999999999999</v>
      </c>
      <c r="L671" s="1413"/>
      <c r="M671" s="1474"/>
      <c r="Q671" s="1394">
        <f>IFERROR(VLOOKUP(M671,#REF!,3,0),0)</f>
        <v>0</v>
      </c>
      <c r="R671" s="1394">
        <f t="shared" si="216"/>
        <v>0</v>
      </c>
      <c r="S671" s="1394">
        <f>IFERROR(VLOOKUP(M671,#REF!,6,0),0)</f>
        <v>0</v>
      </c>
      <c r="T671" s="1394">
        <f t="shared" si="217"/>
        <v>0</v>
      </c>
      <c r="U671" s="1394">
        <f>IFERROR(VLOOKUP(M671,#REF!,5,0),0)</f>
        <v>0</v>
      </c>
      <c r="V671" s="1394">
        <f t="shared" si="218"/>
        <v>0</v>
      </c>
      <c r="W671" s="1394"/>
    </row>
    <row r="672" spans="1:23" ht="30" customHeight="1">
      <c r="A672" s="1396"/>
      <c r="B672" s="1405"/>
      <c r="C672" s="1408" t="s">
        <v>5727</v>
      </c>
      <c r="D672" s="1409">
        <v>1</v>
      </c>
      <c r="E672" s="1409">
        <v>1</v>
      </c>
      <c r="F672" s="1410">
        <f>2.33+0.9+2.425+1.23</f>
        <v>6.8849999999999998</v>
      </c>
      <c r="G672" s="1410">
        <v>0.23</v>
      </c>
      <c r="H672" s="1411">
        <v>0.38</v>
      </c>
      <c r="I672" s="1471">
        <f t="shared" si="237"/>
        <v>0.60174899999999998</v>
      </c>
      <c r="L672" s="1413"/>
      <c r="M672" s="1474"/>
      <c r="Q672" s="1394">
        <f>IFERROR(VLOOKUP(M672,#REF!,3,0),0)</f>
        <v>0</v>
      </c>
      <c r="R672" s="1394">
        <f t="shared" si="216"/>
        <v>0</v>
      </c>
      <c r="S672" s="1394">
        <f>IFERROR(VLOOKUP(M672,#REF!,6,0),0)</f>
        <v>0</v>
      </c>
      <c r="T672" s="1394">
        <f t="shared" si="217"/>
        <v>0</v>
      </c>
      <c r="U672" s="1394">
        <f>IFERROR(VLOOKUP(M672,#REF!,5,0),0)</f>
        <v>0</v>
      </c>
      <c r="V672" s="1394">
        <f t="shared" si="218"/>
        <v>0</v>
      </c>
      <c r="W672" s="1394"/>
    </row>
    <row r="673" spans="1:23" ht="30" customHeight="1">
      <c r="A673" s="1396"/>
      <c r="B673" s="1405"/>
      <c r="C673" s="1408" t="s">
        <v>326</v>
      </c>
      <c r="D673" s="1409">
        <v>1</v>
      </c>
      <c r="E673" s="1409">
        <v>1</v>
      </c>
      <c r="F673" s="1410">
        <f>4.23</f>
        <v>4.2300000000000004</v>
      </c>
      <c r="G673" s="1410">
        <v>0.23</v>
      </c>
      <c r="H673" s="1411">
        <v>0.38</v>
      </c>
      <c r="I673" s="1471">
        <f t="shared" si="236"/>
        <v>0.36970200000000003</v>
      </c>
      <c r="L673" s="1413"/>
      <c r="M673" s="1474"/>
      <c r="Q673" s="1394">
        <f>IFERROR(VLOOKUP(M673,#REF!,3,0),0)</f>
        <v>0</v>
      </c>
      <c r="R673" s="1394">
        <f t="shared" si="216"/>
        <v>0</v>
      </c>
      <c r="S673" s="1394">
        <f>IFERROR(VLOOKUP(M673,#REF!,6,0),0)</f>
        <v>0</v>
      </c>
      <c r="T673" s="1394">
        <f t="shared" si="217"/>
        <v>0</v>
      </c>
      <c r="U673" s="1394">
        <f>IFERROR(VLOOKUP(M673,#REF!,5,0),0)</f>
        <v>0</v>
      </c>
      <c r="V673" s="1394">
        <f t="shared" si="218"/>
        <v>0</v>
      </c>
      <c r="W673" s="1394"/>
    </row>
    <row r="674" spans="1:23" ht="30" customHeight="1">
      <c r="A674" s="1396"/>
      <c r="B674" s="1405"/>
      <c r="C674" s="1408" t="s">
        <v>326</v>
      </c>
      <c r="D674" s="1409">
        <v>1</v>
      </c>
      <c r="E674" s="1409">
        <v>1</v>
      </c>
      <c r="F674" s="1410">
        <v>3.9950000000000001</v>
      </c>
      <c r="G674" s="1410">
        <v>0.23</v>
      </c>
      <c r="H674" s="1411">
        <v>0.38</v>
      </c>
      <c r="I674" s="1471">
        <f t="shared" ref="I674" si="238">PRODUCT(D674:H674)</f>
        <v>0.349163</v>
      </c>
      <c r="L674" s="1413"/>
      <c r="M674" s="1474"/>
      <c r="Q674" s="1394">
        <f>IFERROR(VLOOKUP(M674,#REF!,3,0),0)</f>
        <v>0</v>
      </c>
      <c r="R674" s="1394">
        <f t="shared" si="216"/>
        <v>0</v>
      </c>
      <c r="S674" s="1394">
        <f>IFERROR(VLOOKUP(M674,#REF!,6,0),0)</f>
        <v>0</v>
      </c>
      <c r="T674" s="1394">
        <f t="shared" si="217"/>
        <v>0</v>
      </c>
      <c r="U674" s="1394">
        <f>IFERROR(VLOOKUP(M674,#REF!,5,0),0)</f>
        <v>0</v>
      </c>
      <c r="V674" s="1394">
        <f t="shared" si="218"/>
        <v>0</v>
      </c>
      <c r="W674" s="1394"/>
    </row>
    <row r="675" spans="1:23" ht="30" customHeight="1">
      <c r="A675" s="1396"/>
      <c r="B675" s="1405"/>
      <c r="C675" s="1408" t="s">
        <v>5728</v>
      </c>
      <c r="D675" s="1409">
        <v>1</v>
      </c>
      <c r="E675" s="1409">
        <v>4</v>
      </c>
      <c r="F675" s="1410">
        <f>3.995</f>
        <v>3.9950000000000001</v>
      </c>
      <c r="G675" s="1410">
        <v>0.23</v>
      </c>
      <c r="H675" s="1411">
        <v>0.38</v>
      </c>
      <c r="I675" s="1471">
        <f t="shared" ref="I675" si="239">PRODUCT(D675:H675)</f>
        <v>1.396652</v>
      </c>
      <c r="L675" s="1413"/>
      <c r="M675" s="1474"/>
      <c r="Q675" s="1394">
        <f>IFERROR(VLOOKUP(M675,#REF!,3,0),0)</f>
        <v>0</v>
      </c>
      <c r="R675" s="1394">
        <f t="shared" si="216"/>
        <v>0</v>
      </c>
      <c r="S675" s="1394">
        <f>IFERROR(VLOOKUP(M675,#REF!,6,0),0)</f>
        <v>0</v>
      </c>
      <c r="T675" s="1394">
        <f t="shared" si="217"/>
        <v>0</v>
      </c>
      <c r="U675" s="1394">
        <f>IFERROR(VLOOKUP(M675,#REF!,5,0),0)</f>
        <v>0</v>
      </c>
      <c r="V675" s="1394">
        <f t="shared" si="218"/>
        <v>0</v>
      </c>
      <c r="W675" s="1394"/>
    </row>
    <row r="676" spans="1:23" ht="30" customHeight="1">
      <c r="A676" s="1396"/>
      <c r="B676" s="1405"/>
      <c r="C676" s="1408" t="s">
        <v>5729</v>
      </c>
      <c r="D676" s="1409">
        <v>1</v>
      </c>
      <c r="E676" s="1409">
        <v>1</v>
      </c>
      <c r="F676" s="1410">
        <f>1.735</f>
        <v>1.7350000000000001</v>
      </c>
      <c r="G676" s="1410">
        <v>0.23</v>
      </c>
      <c r="H676" s="1411">
        <v>0.38</v>
      </c>
      <c r="I676" s="1471">
        <f t="shared" ref="I676" si="240">PRODUCT(D676:H676)</f>
        <v>0.151639</v>
      </c>
      <c r="L676" s="1413"/>
      <c r="M676" s="1474"/>
      <c r="Q676" s="1394">
        <f>IFERROR(VLOOKUP(M676,#REF!,3,0),0)</f>
        <v>0</v>
      </c>
      <c r="R676" s="1394">
        <f t="shared" si="216"/>
        <v>0</v>
      </c>
      <c r="S676" s="1394">
        <f>IFERROR(VLOOKUP(M676,#REF!,6,0),0)</f>
        <v>0</v>
      </c>
      <c r="T676" s="1394">
        <f t="shared" si="217"/>
        <v>0</v>
      </c>
      <c r="U676" s="1394">
        <f>IFERROR(VLOOKUP(M676,#REF!,5,0),0)</f>
        <v>0</v>
      </c>
      <c r="V676" s="1394">
        <f t="shared" si="218"/>
        <v>0</v>
      </c>
      <c r="W676" s="1394"/>
    </row>
    <row r="677" spans="1:23" ht="30" customHeight="1">
      <c r="A677" s="1396"/>
      <c r="B677" s="1405"/>
      <c r="C677" s="1408" t="s">
        <v>5729</v>
      </c>
      <c r="D677" s="1409">
        <v>1</v>
      </c>
      <c r="E677" s="1409">
        <v>1</v>
      </c>
      <c r="F677" s="1410">
        <f>3.765</f>
        <v>3.7650000000000001</v>
      </c>
      <c r="G677" s="1410">
        <v>0.23</v>
      </c>
      <c r="H677" s="1411">
        <v>0.38</v>
      </c>
      <c r="I677" s="1471">
        <f t="shared" ref="I677" si="241">PRODUCT(D677:H677)</f>
        <v>0.32906100000000005</v>
      </c>
      <c r="L677" s="1413"/>
      <c r="M677" s="1474"/>
      <c r="Q677" s="1394">
        <f>IFERROR(VLOOKUP(M677,#REF!,3,0),0)</f>
        <v>0</v>
      </c>
      <c r="R677" s="1394">
        <f t="shared" si="216"/>
        <v>0</v>
      </c>
      <c r="S677" s="1394">
        <f>IFERROR(VLOOKUP(M677,#REF!,6,0),0)</f>
        <v>0</v>
      </c>
      <c r="T677" s="1394">
        <f t="shared" si="217"/>
        <v>0</v>
      </c>
      <c r="U677" s="1394">
        <f>IFERROR(VLOOKUP(M677,#REF!,5,0),0)</f>
        <v>0</v>
      </c>
      <c r="V677" s="1394">
        <f t="shared" si="218"/>
        <v>0</v>
      </c>
      <c r="W677" s="1394"/>
    </row>
    <row r="678" spans="1:23" ht="30" customHeight="1">
      <c r="A678" s="1396"/>
      <c r="B678" s="1405"/>
      <c r="C678" s="1415" t="s">
        <v>312</v>
      </c>
      <c r="D678" s="1409"/>
      <c r="E678" s="1409"/>
      <c r="F678" s="1410"/>
      <c r="G678" s="1410"/>
      <c r="H678" s="1411">
        <v>0</v>
      </c>
      <c r="I678" s="1471">
        <f t="shared" si="236"/>
        <v>0</v>
      </c>
      <c r="L678" s="1413"/>
      <c r="M678" s="1474"/>
      <c r="Q678" s="1394">
        <f>IFERROR(VLOOKUP(M678,#REF!,3,0),0)</f>
        <v>0</v>
      </c>
      <c r="R678" s="1394">
        <f t="shared" si="216"/>
        <v>0</v>
      </c>
      <c r="S678" s="1394">
        <f>IFERROR(VLOOKUP(M678,#REF!,6,0),0)</f>
        <v>0</v>
      </c>
      <c r="T678" s="1394">
        <f t="shared" si="217"/>
        <v>0</v>
      </c>
      <c r="U678" s="1394">
        <f>IFERROR(VLOOKUP(M678,#REF!,5,0),0)</f>
        <v>0</v>
      </c>
      <c r="V678" s="1394">
        <f t="shared" si="218"/>
        <v>0</v>
      </c>
      <c r="W678" s="1394"/>
    </row>
    <row r="679" spans="1:23" ht="30" customHeight="1">
      <c r="A679" s="1396"/>
      <c r="B679" s="1405"/>
      <c r="C679" s="1408" t="s">
        <v>5760</v>
      </c>
      <c r="D679" s="1409">
        <v>1</v>
      </c>
      <c r="E679" s="1409">
        <v>1</v>
      </c>
      <c r="F679" s="1410">
        <f>3+2.53</f>
        <v>5.5299999999999994</v>
      </c>
      <c r="G679" s="1410">
        <v>0.23</v>
      </c>
      <c r="H679" s="1475">
        <v>0.45</v>
      </c>
      <c r="I679" s="1471">
        <f t="shared" si="236"/>
        <v>0.57235499999999995</v>
      </c>
      <c r="L679" s="1413"/>
      <c r="M679" s="1474"/>
      <c r="Q679" s="1394">
        <f>IFERROR(VLOOKUP(M679,#REF!,3,0),0)</f>
        <v>0</v>
      </c>
      <c r="R679" s="1394">
        <f t="shared" si="216"/>
        <v>0</v>
      </c>
      <c r="S679" s="1394">
        <f>IFERROR(VLOOKUP(M679,#REF!,6,0),0)</f>
        <v>0</v>
      </c>
      <c r="T679" s="1394">
        <f t="shared" si="217"/>
        <v>0</v>
      </c>
      <c r="U679" s="1394">
        <f>IFERROR(VLOOKUP(M679,#REF!,5,0),0)</f>
        <v>0</v>
      </c>
      <c r="V679" s="1394">
        <f t="shared" si="218"/>
        <v>0</v>
      </c>
      <c r="W679" s="1394"/>
    </row>
    <row r="680" spans="1:23" ht="30" customHeight="1">
      <c r="A680" s="1396"/>
      <c r="B680" s="1405"/>
      <c r="C680" s="1408" t="s">
        <v>5761</v>
      </c>
      <c r="D680" s="1409">
        <v>1</v>
      </c>
      <c r="E680" s="1409">
        <v>1</v>
      </c>
      <c r="F680" s="1410">
        <f>3.26+2.73+4.13</f>
        <v>10.120000000000001</v>
      </c>
      <c r="G680" s="1410">
        <v>0.23</v>
      </c>
      <c r="H680" s="1411">
        <v>0.38</v>
      </c>
      <c r="I680" s="1471">
        <f t="shared" ref="I680" si="242">PRODUCT(D680:H680)</f>
        <v>0.88448800000000016</v>
      </c>
      <c r="L680" s="1413"/>
      <c r="M680" s="1474"/>
      <c r="Q680" s="1394">
        <f>IFERROR(VLOOKUP(M680,#REF!,3,0),0)</f>
        <v>0</v>
      </c>
      <c r="R680" s="1394">
        <f t="shared" si="216"/>
        <v>0</v>
      </c>
      <c r="S680" s="1394">
        <f>IFERROR(VLOOKUP(M680,#REF!,6,0),0)</f>
        <v>0</v>
      </c>
      <c r="T680" s="1394">
        <f t="shared" si="217"/>
        <v>0</v>
      </c>
      <c r="U680" s="1394">
        <f>IFERROR(VLOOKUP(M680,#REF!,5,0),0)</f>
        <v>0</v>
      </c>
      <c r="V680" s="1394">
        <f t="shared" si="218"/>
        <v>0</v>
      </c>
      <c r="W680" s="1394"/>
    </row>
    <row r="681" spans="1:23" ht="30" customHeight="1">
      <c r="A681" s="1396"/>
      <c r="B681" s="1405"/>
      <c r="C681" s="1408" t="s">
        <v>5730</v>
      </c>
      <c r="D681" s="1409">
        <v>1</v>
      </c>
      <c r="E681" s="1409">
        <v>1</v>
      </c>
      <c r="F681" s="1410">
        <f>3+2.53+3.26+2.73+4.13</f>
        <v>15.649999999999999</v>
      </c>
      <c r="G681" s="1410">
        <v>0.23</v>
      </c>
      <c r="H681" s="1411">
        <v>0.38</v>
      </c>
      <c r="I681" s="1471">
        <f t="shared" ref="I681" si="243">PRODUCT(D681:H681)</f>
        <v>1.36781</v>
      </c>
      <c r="L681" s="1413"/>
      <c r="M681" s="1474"/>
      <c r="Q681" s="1394">
        <f>IFERROR(VLOOKUP(M681,#REF!,3,0),0)</f>
        <v>0</v>
      </c>
      <c r="R681" s="1394">
        <f t="shared" si="216"/>
        <v>0</v>
      </c>
      <c r="S681" s="1394">
        <f>IFERROR(VLOOKUP(M681,#REF!,6,0),0)</f>
        <v>0</v>
      </c>
      <c r="T681" s="1394">
        <f t="shared" si="217"/>
        <v>0</v>
      </c>
      <c r="U681" s="1394">
        <f>IFERROR(VLOOKUP(M681,#REF!,5,0),0)</f>
        <v>0</v>
      </c>
      <c r="V681" s="1394">
        <f t="shared" si="218"/>
        <v>0</v>
      </c>
      <c r="W681" s="1394"/>
    </row>
    <row r="682" spans="1:23" ht="30" customHeight="1">
      <c r="A682" s="1396"/>
      <c r="B682" s="1405"/>
      <c r="C682" s="1408" t="s">
        <v>5729</v>
      </c>
      <c r="D682" s="1409">
        <v>1</v>
      </c>
      <c r="E682" s="1409">
        <v>1</v>
      </c>
      <c r="F682" s="1410">
        <f>4.13</f>
        <v>4.13</v>
      </c>
      <c r="G682" s="1410">
        <v>0.23</v>
      </c>
      <c r="H682" s="1411">
        <v>0.38</v>
      </c>
      <c r="I682" s="1471">
        <f t="shared" si="236"/>
        <v>0.36096200000000001</v>
      </c>
      <c r="L682" s="1413"/>
      <c r="M682" s="1474"/>
      <c r="Q682" s="1394">
        <f>IFERROR(VLOOKUP(M682,#REF!,3,0),0)</f>
        <v>0</v>
      </c>
      <c r="R682" s="1394">
        <f t="shared" si="216"/>
        <v>0</v>
      </c>
      <c r="S682" s="1394">
        <f>IFERROR(VLOOKUP(M682,#REF!,6,0),0)</f>
        <v>0</v>
      </c>
      <c r="T682" s="1394">
        <f t="shared" si="217"/>
        <v>0</v>
      </c>
      <c r="U682" s="1394">
        <f>IFERROR(VLOOKUP(M682,#REF!,5,0),0)</f>
        <v>0</v>
      </c>
      <c r="V682" s="1394">
        <f t="shared" si="218"/>
        <v>0</v>
      </c>
      <c r="W682" s="1394"/>
    </row>
    <row r="683" spans="1:23" ht="30" customHeight="1">
      <c r="A683" s="1396"/>
      <c r="B683" s="1405"/>
      <c r="C683" s="1408" t="s">
        <v>5729</v>
      </c>
      <c r="D683" s="1409">
        <v>1</v>
      </c>
      <c r="E683" s="1409">
        <v>1</v>
      </c>
      <c r="F683" s="1410">
        <f>4.13</f>
        <v>4.13</v>
      </c>
      <c r="G683" s="1410">
        <v>0.23</v>
      </c>
      <c r="H683" s="1475">
        <v>0.45</v>
      </c>
      <c r="I683" s="1471">
        <f t="shared" ref="I683" si="244">PRODUCT(D683:H683)</f>
        <v>0.42745499999999997</v>
      </c>
      <c r="L683" s="1413"/>
      <c r="M683" s="1474"/>
      <c r="Q683" s="1394">
        <f>IFERROR(VLOOKUP(M683,#REF!,3,0),0)</f>
        <v>0</v>
      </c>
      <c r="R683" s="1394">
        <f t="shared" si="216"/>
        <v>0</v>
      </c>
      <c r="S683" s="1394">
        <f>IFERROR(VLOOKUP(M683,#REF!,6,0),0)</f>
        <v>0</v>
      </c>
      <c r="T683" s="1394">
        <f t="shared" si="217"/>
        <v>0</v>
      </c>
      <c r="U683" s="1394">
        <f>IFERROR(VLOOKUP(M683,#REF!,5,0),0)</f>
        <v>0</v>
      </c>
      <c r="V683" s="1394">
        <f t="shared" si="218"/>
        <v>0</v>
      </c>
      <c r="W683" s="1394"/>
    </row>
    <row r="684" spans="1:23" ht="30" customHeight="1">
      <c r="A684" s="1396"/>
      <c r="B684" s="1405"/>
      <c r="C684" s="1408" t="s">
        <v>5731</v>
      </c>
      <c r="D684" s="1409">
        <v>1</v>
      </c>
      <c r="E684" s="1409">
        <v>1</v>
      </c>
      <c r="F684" s="1410">
        <f>2.53</f>
        <v>2.5299999999999998</v>
      </c>
      <c r="G684" s="1410">
        <v>0.23</v>
      </c>
      <c r="H684" s="1411">
        <v>0.45</v>
      </c>
      <c r="I684" s="1471">
        <f t="shared" ref="I684:I691" si="245">PRODUCT(D684:H684)</f>
        <v>0.261855</v>
      </c>
      <c r="L684" s="1413"/>
      <c r="M684" s="1474"/>
      <c r="Q684" s="1394">
        <f>IFERROR(VLOOKUP(M684,#REF!,3,0),0)</f>
        <v>0</v>
      </c>
      <c r="R684" s="1394">
        <f t="shared" si="216"/>
        <v>0</v>
      </c>
      <c r="S684" s="1394">
        <f>IFERROR(VLOOKUP(M684,#REF!,6,0),0)</f>
        <v>0</v>
      </c>
      <c r="T684" s="1394">
        <f t="shared" si="217"/>
        <v>0</v>
      </c>
      <c r="U684" s="1394">
        <f>IFERROR(VLOOKUP(M684,#REF!,5,0),0)</f>
        <v>0</v>
      </c>
      <c r="V684" s="1394">
        <f t="shared" si="218"/>
        <v>0</v>
      </c>
      <c r="W684" s="1394"/>
    </row>
    <row r="685" spans="1:23" ht="30" customHeight="1">
      <c r="A685" s="1396"/>
      <c r="B685" s="1405"/>
      <c r="C685" s="1408" t="s">
        <v>5737</v>
      </c>
      <c r="D685" s="1409">
        <v>1</v>
      </c>
      <c r="E685" s="1409">
        <v>2</v>
      </c>
      <c r="F685" s="1410">
        <f>3.26+2.73</f>
        <v>5.99</v>
      </c>
      <c r="G685" s="1410">
        <v>0.23</v>
      </c>
      <c r="H685" s="1411">
        <v>0.6</v>
      </c>
      <c r="I685" s="1471">
        <f t="shared" si="245"/>
        <v>1.65324</v>
      </c>
      <c r="L685" s="1413"/>
      <c r="M685" s="1474"/>
      <c r="Q685" s="1394">
        <f>IFERROR(VLOOKUP(M685,#REF!,3,0),0)</f>
        <v>0</v>
      </c>
      <c r="R685" s="1394">
        <f t="shared" si="216"/>
        <v>0</v>
      </c>
      <c r="S685" s="1394">
        <f>IFERROR(VLOOKUP(M685,#REF!,6,0),0)</f>
        <v>0</v>
      </c>
      <c r="T685" s="1394">
        <f t="shared" si="217"/>
        <v>0</v>
      </c>
      <c r="U685" s="1394">
        <f>IFERROR(VLOOKUP(M685,#REF!,5,0),0)</f>
        <v>0</v>
      </c>
      <c r="V685" s="1394">
        <f t="shared" si="218"/>
        <v>0</v>
      </c>
      <c r="W685" s="1394"/>
    </row>
    <row r="686" spans="1:23" ht="30" customHeight="1">
      <c r="A686" s="1396"/>
      <c r="B686" s="1405"/>
      <c r="C686" s="1408" t="s">
        <v>5736</v>
      </c>
      <c r="D686" s="1409">
        <v>1</v>
      </c>
      <c r="E686" s="1409">
        <v>1</v>
      </c>
      <c r="F686" s="1410">
        <f>3+2.53</f>
        <v>5.5299999999999994</v>
      </c>
      <c r="G686" s="1410">
        <v>0.23</v>
      </c>
      <c r="H686" s="1411">
        <v>0.45</v>
      </c>
      <c r="I686" s="1471">
        <f t="shared" si="245"/>
        <v>0.57235499999999995</v>
      </c>
      <c r="L686" s="1413"/>
      <c r="M686" s="1474"/>
      <c r="Q686" s="1394">
        <f>IFERROR(VLOOKUP(M686,#REF!,3,0),0)</f>
        <v>0</v>
      </c>
      <c r="R686" s="1394">
        <f t="shared" ref="R686:R749" si="246">ROUND(O686,2)*ROUND(Q686,2)</f>
        <v>0</v>
      </c>
      <c r="S686" s="1394">
        <f>IFERROR(VLOOKUP(M686,#REF!,6,0),0)</f>
        <v>0</v>
      </c>
      <c r="T686" s="1394">
        <f t="shared" ref="T686:T749" si="247">R686-S686</f>
        <v>0</v>
      </c>
      <c r="U686" s="1394">
        <f>IFERROR(VLOOKUP(M686,#REF!,5,0),0)</f>
        <v>0</v>
      </c>
      <c r="V686" s="1394">
        <f t="shared" ref="V686:V749" si="248">O686-U686</f>
        <v>0</v>
      </c>
      <c r="W686" s="1394"/>
    </row>
    <row r="687" spans="1:23" ht="30" customHeight="1">
      <c r="A687" s="1396"/>
      <c r="B687" s="1405"/>
      <c r="C687" s="1408" t="s">
        <v>5732</v>
      </c>
      <c r="D687" s="1409">
        <v>1</v>
      </c>
      <c r="E687" s="1409">
        <v>1</v>
      </c>
      <c r="F687" s="1410">
        <f>4.13</f>
        <v>4.13</v>
      </c>
      <c r="G687" s="1410">
        <v>0.23</v>
      </c>
      <c r="H687" s="1411">
        <v>0.38</v>
      </c>
      <c r="I687" s="1471">
        <f t="shared" si="245"/>
        <v>0.36096200000000001</v>
      </c>
      <c r="L687" s="1413"/>
      <c r="M687" s="1474"/>
      <c r="Q687" s="1394">
        <f>IFERROR(VLOOKUP(M687,#REF!,3,0),0)</f>
        <v>0</v>
      </c>
      <c r="R687" s="1394">
        <f t="shared" si="246"/>
        <v>0</v>
      </c>
      <c r="S687" s="1394">
        <f>IFERROR(VLOOKUP(M687,#REF!,6,0),0)</f>
        <v>0</v>
      </c>
      <c r="T687" s="1394">
        <f t="shared" si="247"/>
        <v>0</v>
      </c>
      <c r="U687" s="1394">
        <f>IFERROR(VLOOKUP(M687,#REF!,5,0),0)</f>
        <v>0</v>
      </c>
      <c r="V687" s="1394">
        <f t="shared" si="248"/>
        <v>0</v>
      </c>
      <c r="W687" s="1394"/>
    </row>
    <row r="688" spans="1:23" ht="30" customHeight="1">
      <c r="A688" s="1396"/>
      <c r="B688" s="1405"/>
      <c r="C688" s="1408" t="s">
        <v>5762</v>
      </c>
      <c r="D688" s="1409">
        <v>1</v>
      </c>
      <c r="E688" s="1409">
        <v>1</v>
      </c>
      <c r="F688" s="1410">
        <f>3+2.53+3.26+2.73</f>
        <v>11.52</v>
      </c>
      <c r="G688" s="1410">
        <v>0.23</v>
      </c>
      <c r="H688" s="1475">
        <v>0.45</v>
      </c>
      <c r="I688" s="1471">
        <f t="shared" si="245"/>
        <v>1.19232</v>
      </c>
      <c r="L688" s="1413"/>
      <c r="M688" s="1474"/>
      <c r="Q688" s="1394">
        <f>IFERROR(VLOOKUP(M688,#REF!,3,0),0)</f>
        <v>0</v>
      </c>
      <c r="R688" s="1394">
        <f t="shared" si="246"/>
        <v>0</v>
      </c>
      <c r="S688" s="1394">
        <f>IFERROR(VLOOKUP(M688,#REF!,6,0),0)</f>
        <v>0</v>
      </c>
      <c r="T688" s="1394">
        <f t="shared" si="247"/>
        <v>0</v>
      </c>
      <c r="U688" s="1394">
        <f>IFERROR(VLOOKUP(M688,#REF!,5,0),0)</f>
        <v>0</v>
      </c>
      <c r="V688" s="1394">
        <f t="shared" si="248"/>
        <v>0</v>
      </c>
      <c r="W688" s="1394"/>
    </row>
    <row r="689" spans="1:23" ht="30" customHeight="1">
      <c r="A689" s="1396"/>
      <c r="B689" s="1405"/>
      <c r="C689" s="1408" t="s">
        <v>5733</v>
      </c>
      <c r="D689" s="1409">
        <v>1</v>
      </c>
      <c r="E689" s="1409">
        <v>1</v>
      </c>
      <c r="F689" s="1410">
        <f>4.13</f>
        <v>4.13</v>
      </c>
      <c r="G689" s="1410">
        <v>0.23</v>
      </c>
      <c r="H689" s="1475">
        <v>0.45</v>
      </c>
      <c r="I689" s="1471">
        <f t="shared" si="245"/>
        <v>0.42745499999999997</v>
      </c>
      <c r="L689" s="1413"/>
      <c r="M689" s="1474"/>
      <c r="Q689" s="1394">
        <f>IFERROR(VLOOKUP(M689,#REF!,3,0),0)</f>
        <v>0</v>
      </c>
      <c r="R689" s="1394">
        <f t="shared" si="246"/>
        <v>0</v>
      </c>
      <c r="S689" s="1394">
        <f>IFERROR(VLOOKUP(M689,#REF!,6,0),0)</f>
        <v>0</v>
      </c>
      <c r="T689" s="1394">
        <f t="shared" si="247"/>
        <v>0</v>
      </c>
      <c r="U689" s="1394">
        <f>IFERROR(VLOOKUP(M689,#REF!,5,0),0)</f>
        <v>0</v>
      </c>
      <c r="V689" s="1394">
        <f t="shared" si="248"/>
        <v>0</v>
      </c>
      <c r="W689" s="1394"/>
    </row>
    <row r="690" spans="1:23" ht="30" customHeight="1">
      <c r="A690" s="1396"/>
      <c r="B690" s="1405"/>
      <c r="C690" s="1408" t="s">
        <v>5734</v>
      </c>
      <c r="D690" s="1409">
        <v>1</v>
      </c>
      <c r="E690" s="1409">
        <v>1</v>
      </c>
      <c r="F690" s="1410">
        <f>3+2.53+3.26+2.73+4.13</f>
        <v>15.649999999999999</v>
      </c>
      <c r="G690" s="1410">
        <v>0.23</v>
      </c>
      <c r="H690" s="1475">
        <v>0.45</v>
      </c>
      <c r="I690" s="1471">
        <f t="shared" si="245"/>
        <v>1.619775</v>
      </c>
      <c r="L690" s="1413"/>
      <c r="M690" s="1474"/>
      <c r="Q690" s="1394">
        <f>IFERROR(VLOOKUP(M690,#REF!,3,0),0)</f>
        <v>0</v>
      </c>
      <c r="R690" s="1394">
        <f t="shared" si="246"/>
        <v>0</v>
      </c>
      <c r="S690" s="1394">
        <f>IFERROR(VLOOKUP(M690,#REF!,6,0),0)</f>
        <v>0</v>
      </c>
      <c r="T690" s="1394">
        <f t="shared" si="247"/>
        <v>0</v>
      </c>
      <c r="U690" s="1394">
        <f>IFERROR(VLOOKUP(M690,#REF!,5,0),0)</f>
        <v>0</v>
      </c>
      <c r="V690" s="1394">
        <f t="shared" si="248"/>
        <v>0</v>
      </c>
      <c r="W690" s="1394"/>
    </row>
    <row r="691" spans="1:23" ht="30" customHeight="1">
      <c r="A691" s="1396"/>
      <c r="B691" s="1405"/>
      <c r="C691" s="1408" t="s">
        <v>5735</v>
      </c>
      <c r="D691" s="1409">
        <v>1</v>
      </c>
      <c r="E691" s="1409">
        <v>2</v>
      </c>
      <c r="F691" s="1410">
        <f>3.75+0.94</f>
        <v>4.6899999999999995</v>
      </c>
      <c r="G691" s="1410">
        <v>0.23</v>
      </c>
      <c r="H691" s="1411">
        <v>0.38</v>
      </c>
      <c r="I691" s="1471">
        <f t="shared" si="245"/>
        <v>0.81981199999999999</v>
      </c>
      <c r="L691" s="1413"/>
      <c r="M691" s="1474"/>
      <c r="Q691" s="1394">
        <f>IFERROR(VLOOKUP(M691,#REF!,3,0),0)</f>
        <v>0</v>
      </c>
      <c r="R691" s="1394">
        <f t="shared" si="246"/>
        <v>0</v>
      </c>
      <c r="S691" s="1394">
        <f>IFERROR(VLOOKUP(M691,#REF!,6,0),0)</f>
        <v>0</v>
      </c>
      <c r="T691" s="1394">
        <f t="shared" si="247"/>
        <v>0</v>
      </c>
      <c r="U691" s="1394">
        <f>IFERROR(VLOOKUP(M691,#REF!,5,0),0)</f>
        <v>0</v>
      </c>
      <c r="V691" s="1394">
        <f t="shared" si="248"/>
        <v>0</v>
      </c>
      <c r="W691" s="1394"/>
    </row>
    <row r="692" spans="1:23" ht="30" customHeight="1">
      <c r="A692" s="1396"/>
      <c r="B692" s="1405"/>
      <c r="C692" s="1408" t="s">
        <v>5729</v>
      </c>
      <c r="D692" s="1409">
        <v>1</v>
      </c>
      <c r="E692" s="1409">
        <v>1</v>
      </c>
      <c r="F692" s="1410">
        <f>3-0.23</f>
        <v>2.77</v>
      </c>
      <c r="G692" s="1410">
        <v>0.23</v>
      </c>
      <c r="H692" s="1411">
        <v>0.38</v>
      </c>
      <c r="I692" s="1471">
        <f t="shared" ref="I692" si="249">PRODUCT(D692:H692)</f>
        <v>0.24209800000000001</v>
      </c>
      <c r="L692" s="1413"/>
      <c r="M692" s="1474"/>
      <c r="Q692" s="1394">
        <f>IFERROR(VLOOKUP(M692,#REF!,3,0),0)</f>
        <v>0</v>
      </c>
      <c r="R692" s="1394">
        <f t="shared" si="246"/>
        <v>0</v>
      </c>
      <c r="S692" s="1394">
        <f>IFERROR(VLOOKUP(M692,#REF!,6,0),0)</f>
        <v>0</v>
      </c>
      <c r="T692" s="1394">
        <f t="shared" si="247"/>
        <v>0</v>
      </c>
      <c r="U692" s="1394">
        <f>IFERROR(VLOOKUP(M692,#REF!,5,0),0)</f>
        <v>0</v>
      </c>
      <c r="V692" s="1394">
        <f t="shared" si="248"/>
        <v>0</v>
      </c>
      <c r="W692" s="1394"/>
    </row>
    <row r="693" spans="1:23" ht="30" hidden="1" customHeight="1">
      <c r="A693" s="1396"/>
      <c r="B693" s="1405"/>
      <c r="C693" s="1408"/>
      <c r="D693" s="1409"/>
      <c r="E693" s="1409"/>
      <c r="F693" s="1410"/>
      <c r="G693" s="1410"/>
      <c r="H693" s="1411"/>
      <c r="I693" s="1471">
        <f t="shared" si="236"/>
        <v>0</v>
      </c>
      <c r="L693" s="1413"/>
      <c r="M693" s="1474"/>
      <c r="Q693" s="1394">
        <f>IFERROR(VLOOKUP(M693,#REF!,3,0),0)</f>
        <v>0</v>
      </c>
      <c r="R693" s="1394">
        <f t="shared" si="246"/>
        <v>0</v>
      </c>
      <c r="S693" s="1394">
        <f>IFERROR(VLOOKUP(M693,#REF!,6,0),0)</f>
        <v>0</v>
      </c>
      <c r="T693" s="1394">
        <f t="shared" si="247"/>
        <v>0</v>
      </c>
      <c r="U693" s="1394">
        <f>IFERROR(VLOOKUP(M693,#REF!,5,0),0)</f>
        <v>0</v>
      </c>
      <c r="V693" s="1394">
        <f t="shared" si="248"/>
        <v>0</v>
      </c>
      <c r="W693" s="1394"/>
    </row>
    <row r="694" spans="1:23" ht="30" hidden="1" customHeight="1">
      <c r="A694" s="1396"/>
      <c r="B694" s="1405"/>
      <c r="C694" s="1408"/>
      <c r="D694" s="1409"/>
      <c r="E694" s="1409"/>
      <c r="F694" s="1410"/>
      <c r="G694" s="1410"/>
      <c r="H694" s="1411"/>
      <c r="I694" s="1471">
        <f t="shared" ref="I694:I723" si="250">PRODUCT(D694:H694)</f>
        <v>0</v>
      </c>
      <c r="J694" s="1397"/>
      <c r="K694" s="1397"/>
      <c r="L694" s="1413"/>
      <c r="M694" s="1474"/>
      <c r="Q694" s="1394">
        <f>IFERROR(VLOOKUP(M694,#REF!,3,0),0)</f>
        <v>0</v>
      </c>
      <c r="R694" s="1394">
        <f t="shared" si="246"/>
        <v>0</v>
      </c>
      <c r="S694" s="1394">
        <f>IFERROR(VLOOKUP(M694,#REF!,6,0),0)</f>
        <v>0</v>
      </c>
      <c r="T694" s="1394">
        <f t="shared" si="247"/>
        <v>0</v>
      </c>
      <c r="U694" s="1394">
        <f>IFERROR(VLOOKUP(M694,#REF!,5,0),0)</f>
        <v>0</v>
      </c>
      <c r="V694" s="1394">
        <f t="shared" si="248"/>
        <v>0</v>
      </c>
      <c r="W694" s="1394"/>
    </row>
    <row r="695" spans="1:23" ht="30" hidden="1" customHeight="1">
      <c r="A695" s="1396"/>
      <c r="B695" s="1405"/>
      <c r="C695" s="1408"/>
      <c r="D695" s="1409"/>
      <c r="E695" s="1409"/>
      <c r="F695" s="1410"/>
      <c r="G695" s="1410"/>
      <c r="H695" s="1411"/>
      <c r="I695" s="1471">
        <f t="shared" si="250"/>
        <v>0</v>
      </c>
      <c r="J695" s="1397"/>
      <c r="K695" s="1397"/>
      <c r="L695" s="1413"/>
      <c r="M695" s="1474"/>
      <c r="Q695" s="1394">
        <f>IFERROR(VLOOKUP(M695,#REF!,3,0),0)</f>
        <v>0</v>
      </c>
      <c r="R695" s="1394">
        <f t="shared" si="246"/>
        <v>0</v>
      </c>
      <c r="S695" s="1394">
        <f>IFERROR(VLOOKUP(M695,#REF!,6,0),0)</f>
        <v>0</v>
      </c>
      <c r="T695" s="1394">
        <f t="shared" si="247"/>
        <v>0</v>
      </c>
      <c r="U695" s="1394">
        <f>IFERROR(VLOOKUP(M695,#REF!,5,0),0)</f>
        <v>0</v>
      </c>
      <c r="V695" s="1394">
        <f t="shared" si="248"/>
        <v>0</v>
      </c>
      <c r="W695" s="1394"/>
    </row>
    <row r="696" spans="1:23" ht="30" customHeight="1">
      <c r="B696" s="1405"/>
      <c r="C696" s="1415" t="s">
        <v>164</v>
      </c>
      <c r="D696" s="1409"/>
      <c r="E696" s="1409"/>
      <c r="F696" s="1410"/>
      <c r="G696" s="1410"/>
      <c r="H696" s="1411"/>
      <c r="I696" s="1471">
        <f t="shared" si="250"/>
        <v>0</v>
      </c>
      <c r="Q696" s="1394">
        <f>IFERROR(VLOOKUP(M696,#REF!,3,0),0)</f>
        <v>0</v>
      </c>
      <c r="R696" s="1394">
        <f t="shared" si="246"/>
        <v>0</v>
      </c>
      <c r="S696" s="1394">
        <f>IFERROR(VLOOKUP(M696,#REF!,6,0),0)</f>
        <v>0</v>
      </c>
      <c r="T696" s="1394">
        <f t="shared" si="247"/>
        <v>0</v>
      </c>
      <c r="U696" s="1394">
        <f>IFERROR(VLOOKUP(M696,#REF!,5,0),0)</f>
        <v>0</v>
      </c>
      <c r="V696" s="1394">
        <f t="shared" si="248"/>
        <v>0</v>
      </c>
      <c r="W696" s="1394"/>
    </row>
    <row r="697" spans="1:23" ht="30" customHeight="1">
      <c r="B697" s="1405"/>
      <c r="C697" s="1408" t="str">
        <f>K697&amp;" "&amp;L697</f>
        <v>SI Room Below Roof</v>
      </c>
      <c r="D697" s="1409">
        <v>1</v>
      </c>
      <c r="E697" s="1409">
        <v>1</v>
      </c>
      <c r="F697" s="1410">
        <v>4</v>
      </c>
      <c r="G697" s="1410">
        <v>5.0999999999999996</v>
      </c>
      <c r="H697" s="1410">
        <v>0.125</v>
      </c>
      <c r="I697" s="1471">
        <f t="shared" si="250"/>
        <v>2.5499999999999998</v>
      </c>
      <c r="K697" s="110" t="s">
        <v>5591</v>
      </c>
      <c r="L697" s="110" t="s">
        <v>5741</v>
      </c>
      <c r="Q697" s="1394">
        <f>IFERROR(VLOOKUP(M697,#REF!,3,0),0)</f>
        <v>0</v>
      </c>
      <c r="R697" s="1394">
        <f t="shared" si="246"/>
        <v>0</v>
      </c>
      <c r="S697" s="1394">
        <f>IFERROR(VLOOKUP(M697,#REF!,6,0),0)</f>
        <v>0</v>
      </c>
      <c r="T697" s="1394">
        <f t="shared" si="247"/>
        <v>0</v>
      </c>
      <c r="U697" s="1394">
        <f>IFERROR(VLOOKUP(M697,#REF!,5,0),0)</f>
        <v>0</v>
      </c>
      <c r="V697" s="1394">
        <f t="shared" si="248"/>
        <v>0</v>
      </c>
      <c r="W697" s="1394"/>
    </row>
    <row r="698" spans="1:23" ht="30" customHeight="1">
      <c r="B698" s="1405"/>
      <c r="C698" s="1408" t="str">
        <f t="shared" ref="C698:C716" si="251">K698&amp;" "&amp;L698</f>
        <v>SI Room Toilet Below Roof</v>
      </c>
      <c r="D698" s="1409">
        <v>1</v>
      </c>
      <c r="E698" s="1409">
        <v>1</v>
      </c>
      <c r="F698" s="1410">
        <v>4</v>
      </c>
      <c r="G698" s="1410">
        <v>1.5</v>
      </c>
      <c r="H698" s="1410">
        <v>0.125</v>
      </c>
      <c r="I698" s="1471">
        <f t="shared" si="250"/>
        <v>0.75</v>
      </c>
      <c r="K698" s="110" t="s">
        <v>5738</v>
      </c>
      <c r="L698" s="110" t="s">
        <v>5741</v>
      </c>
      <c r="Q698" s="1394">
        <f>IFERROR(VLOOKUP(M698,#REF!,3,0),0)</f>
        <v>0</v>
      </c>
      <c r="R698" s="1394">
        <f t="shared" si="246"/>
        <v>0</v>
      </c>
      <c r="S698" s="1394">
        <f>IFERROR(VLOOKUP(M698,#REF!,6,0),0)</f>
        <v>0</v>
      </c>
      <c r="T698" s="1394">
        <f t="shared" si="247"/>
        <v>0</v>
      </c>
      <c r="U698" s="1394">
        <f>IFERROR(VLOOKUP(M698,#REF!,5,0),0)</f>
        <v>0</v>
      </c>
      <c r="V698" s="1394">
        <f t="shared" si="248"/>
        <v>0</v>
      </c>
      <c r="W698" s="1394"/>
    </row>
    <row r="699" spans="1:23" ht="30" customHeight="1">
      <c r="B699" s="1405"/>
      <c r="C699" s="1408" t="str">
        <f t="shared" si="251"/>
        <v>Lock up Women Below Roof</v>
      </c>
      <c r="D699" s="1409">
        <v>1</v>
      </c>
      <c r="E699" s="1409">
        <v>1</v>
      </c>
      <c r="F699" s="1410">
        <v>4</v>
      </c>
      <c r="G699" s="1410">
        <v>2.5</v>
      </c>
      <c r="H699" s="1410">
        <v>0.125</v>
      </c>
      <c r="I699" s="1471">
        <f t="shared" si="250"/>
        <v>1.25</v>
      </c>
      <c r="K699" s="110" t="s">
        <v>5739</v>
      </c>
      <c r="L699" s="110" t="s">
        <v>5741</v>
      </c>
      <c r="Q699" s="1394">
        <f>IFERROR(VLOOKUP(M699,#REF!,3,0),0)</f>
        <v>0</v>
      </c>
      <c r="R699" s="1394">
        <f t="shared" si="246"/>
        <v>0</v>
      </c>
      <c r="S699" s="1394">
        <f>IFERROR(VLOOKUP(M699,#REF!,6,0),0)</f>
        <v>0</v>
      </c>
      <c r="T699" s="1394">
        <f t="shared" si="247"/>
        <v>0</v>
      </c>
      <c r="U699" s="1394">
        <f>IFERROR(VLOOKUP(M699,#REF!,5,0),0)</f>
        <v>0</v>
      </c>
      <c r="V699" s="1394">
        <f t="shared" si="248"/>
        <v>0</v>
      </c>
      <c r="W699" s="1394"/>
    </row>
    <row r="700" spans="1:23" ht="30" customHeight="1">
      <c r="B700" s="1405"/>
      <c r="C700" s="1408" t="str">
        <f t="shared" si="251"/>
        <v>CD Files/Store Below Roof</v>
      </c>
      <c r="D700" s="1409">
        <v>1</v>
      </c>
      <c r="E700" s="1409">
        <v>1</v>
      </c>
      <c r="F700" s="1410">
        <v>4</v>
      </c>
      <c r="G700" s="1410">
        <v>3.9</v>
      </c>
      <c r="H700" s="1410">
        <v>0.125</v>
      </c>
      <c r="I700" s="1471">
        <f t="shared" si="250"/>
        <v>1.95</v>
      </c>
      <c r="K700" s="110" t="s">
        <v>5740</v>
      </c>
      <c r="L700" s="110" t="s">
        <v>5741</v>
      </c>
      <c r="Q700" s="1394">
        <f>IFERROR(VLOOKUP(M700,#REF!,3,0),0)</f>
        <v>0</v>
      </c>
      <c r="R700" s="1394">
        <f t="shared" si="246"/>
        <v>0</v>
      </c>
      <c r="S700" s="1394">
        <f>IFERROR(VLOOKUP(M700,#REF!,6,0),0)</f>
        <v>0</v>
      </c>
      <c r="T700" s="1394">
        <f t="shared" si="247"/>
        <v>0</v>
      </c>
      <c r="U700" s="1394">
        <f>IFERROR(VLOOKUP(M700,#REF!,5,0),0)</f>
        <v>0</v>
      </c>
      <c r="V700" s="1394">
        <f t="shared" si="248"/>
        <v>0</v>
      </c>
      <c r="W700" s="1394"/>
    </row>
    <row r="701" spans="1:23" ht="30" customHeight="1">
      <c r="B701" s="1405"/>
      <c r="C701" s="1408" t="str">
        <f t="shared" si="251"/>
        <v>Toilet Below Roof</v>
      </c>
      <c r="D701" s="1409">
        <v>1</v>
      </c>
      <c r="E701" s="1409">
        <v>1</v>
      </c>
      <c r="F701" s="1410">
        <v>1.5</v>
      </c>
      <c r="G701" s="1410">
        <v>3.9</v>
      </c>
      <c r="H701" s="1410">
        <v>0.125</v>
      </c>
      <c r="I701" s="1471">
        <f t="shared" si="250"/>
        <v>0.73124999999999996</v>
      </c>
      <c r="K701" s="110" t="s">
        <v>400</v>
      </c>
      <c r="L701" s="110" t="s">
        <v>5741</v>
      </c>
      <c r="Q701" s="1394">
        <f>IFERROR(VLOOKUP(M701,#REF!,3,0),0)</f>
        <v>0</v>
      </c>
      <c r="R701" s="1394">
        <f t="shared" si="246"/>
        <v>0</v>
      </c>
      <c r="S701" s="1394">
        <f>IFERROR(VLOOKUP(M701,#REF!,6,0),0)</f>
        <v>0</v>
      </c>
      <c r="T701" s="1394">
        <f t="shared" si="247"/>
        <v>0</v>
      </c>
      <c r="U701" s="1394">
        <f>IFERROR(VLOOKUP(M701,#REF!,5,0),0)</f>
        <v>0</v>
      </c>
      <c r="V701" s="1394">
        <f t="shared" si="248"/>
        <v>0</v>
      </c>
      <c r="W701" s="1394"/>
    </row>
    <row r="702" spans="1:23" ht="30" customHeight="1">
      <c r="B702" s="1405"/>
      <c r="C702" s="1408" t="str">
        <f t="shared" si="251"/>
        <v>Computer / CCTNS Below Roof</v>
      </c>
      <c r="D702" s="1409">
        <v>1</v>
      </c>
      <c r="E702" s="1409">
        <v>1</v>
      </c>
      <c r="F702" s="1410">
        <v>3.6949999999999998</v>
      </c>
      <c r="G702" s="1410">
        <v>3.9</v>
      </c>
      <c r="H702" s="1410">
        <v>0.125</v>
      </c>
      <c r="I702" s="1471">
        <f t="shared" si="250"/>
        <v>1.8013124999999999</v>
      </c>
      <c r="K702" s="110" t="s">
        <v>5742</v>
      </c>
      <c r="L702" s="110" t="s">
        <v>5741</v>
      </c>
      <c r="Q702" s="1394">
        <f>IFERROR(VLOOKUP(M702,#REF!,3,0),0)</f>
        <v>0</v>
      </c>
      <c r="R702" s="1394">
        <f t="shared" si="246"/>
        <v>0</v>
      </c>
      <c r="S702" s="1394">
        <f>IFERROR(VLOOKUP(M702,#REF!,6,0),0)</f>
        <v>0</v>
      </c>
      <c r="T702" s="1394">
        <f t="shared" si="247"/>
        <v>0</v>
      </c>
      <c r="U702" s="1394">
        <f>IFERROR(VLOOKUP(M702,#REF!,5,0),0)</f>
        <v>0</v>
      </c>
      <c r="V702" s="1394">
        <f t="shared" si="248"/>
        <v>0</v>
      </c>
      <c r="W702" s="1394"/>
    </row>
    <row r="703" spans="1:23" ht="30" customHeight="1">
      <c r="B703" s="1405"/>
      <c r="C703" s="1408" t="str">
        <f t="shared" si="251"/>
        <v>Station Writer Below Roof</v>
      </c>
      <c r="D703" s="1409">
        <v>1</v>
      </c>
      <c r="E703" s="1409">
        <v>1</v>
      </c>
      <c r="F703" s="1410">
        <v>2.5</v>
      </c>
      <c r="G703" s="1410">
        <v>3.9</v>
      </c>
      <c r="H703" s="1410">
        <v>0.125</v>
      </c>
      <c r="I703" s="1471">
        <f t="shared" si="250"/>
        <v>1.21875</v>
      </c>
      <c r="K703" s="110" t="s">
        <v>5611</v>
      </c>
      <c r="L703" s="110" t="s">
        <v>5741</v>
      </c>
      <c r="Q703" s="1394">
        <f>IFERROR(VLOOKUP(M703,#REF!,3,0),0)</f>
        <v>0</v>
      </c>
      <c r="R703" s="1394">
        <f t="shared" si="246"/>
        <v>0</v>
      </c>
      <c r="S703" s="1394">
        <f>IFERROR(VLOOKUP(M703,#REF!,6,0),0)</f>
        <v>0</v>
      </c>
      <c r="T703" s="1394">
        <f t="shared" si="247"/>
        <v>0</v>
      </c>
      <c r="U703" s="1394">
        <f>IFERROR(VLOOKUP(M703,#REF!,5,0),0)</f>
        <v>0</v>
      </c>
      <c r="V703" s="1394">
        <f t="shared" si="248"/>
        <v>0</v>
      </c>
      <c r="W703" s="1394"/>
    </row>
    <row r="704" spans="1:23" ht="30" customHeight="1">
      <c r="B704" s="1405"/>
      <c r="C704" s="1408" t="str">
        <f t="shared" si="251"/>
        <v>Arms Ammunication Below Roof</v>
      </c>
      <c r="D704" s="1409">
        <v>1</v>
      </c>
      <c r="E704" s="1409">
        <v>1</v>
      </c>
      <c r="F704" s="1410">
        <v>1.7350000000000001</v>
      </c>
      <c r="G704" s="1410">
        <v>2.3199999999999998</v>
      </c>
      <c r="H704" s="1410">
        <v>0.125</v>
      </c>
      <c r="I704" s="1471">
        <f t="shared" si="250"/>
        <v>0.50314999999999999</v>
      </c>
      <c r="K704" s="110" t="s">
        <v>5743</v>
      </c>
      <c r="L704" s="110" t="s">
        <v>5741</v>
      </c>
      <c r="Q704" s="1394">
        <f>IFERROR(VLOOKUP(M704,#REF!,3,0),0)</f>
        <v>0</v>
      </c>
      <c r="R704" s="1394">
        <f t="shared" si="246"/>
        <v>0</v>
      </c>
      <c r="S704" s="1394">
        <f>IFERROR(VLOOKUP(M704,#REF!,6,0),0)</f>
        <v>0</v>
      </c>
      <c r="T704" s="1394">
        <f t="shared" si="247"/>
        <v>0</v>
      </c>
      <c r="U704" s="1394">
        <f>IFERROR(VLOOKUP(M704,#REF!,5,0),0)</f>
        <v>0</v>
      </c>
      <c r="V704" s="1394">
        <f t="shared" si="248"/>
        <v>0</v>
      </c>
      <c r="W704" s="1394"/>
    </row>
    <row r="705" spans="2:23" ht="30" customHeight="1">
      <c r="B705" s="1405"/>
      <c r="C705" s="1408" t="str">
        <f t="shared" ref="C705" si="252">K705&amp;" "&amp;L705</f>
        <v>Arms Ammunication Below Roof</v>
      </c>
      <c r="D705" s="1409">
        <v>1</v>
      </c>
      <c r="E705" s="1409">
        <v>1</v>
      </c>
      <c r="F705" s="1410">
        <v>1.7350000000000001</v>
      </c>
      <c r="G705" s="1410">
        <v>1.35</v>
      </c>
      <c r="H705" s="1410">
        <v>0.125</v>
      </c>
      <c r="I705" s="1471">
        <f t="shared" ref="I705" si="253">PRODUCT(D705:H705)</f>
        <v>0.29278125000000005</v>
      </c>
      <c r="K705" s="110" t="s">
        <v>5743</v>
      </c>
      <c r="L705" s="110" t="s">
        <v>5741</v>
      </c>
      <c r="Q705" s="1394">
        <f>IFERROR(VLOOKUP(M705,#REF!,3,0),0)</f>
        <v>0</v>
      </c>
      <c r="R705" s="1394">
        <f t="shared" si="246"/>
        <v>0</v>
      </c>
      <c r="S705" s="1394">
        <f>IFERROR(VLOOKUP(M705,#REF!,6,0),0)</f>
        <v>0</v>
      </c>
      <c r="T705" s="1394">
        <f t="shared" si="247"/>
        <v>0</v>
      </c>
      <c r="U705" s="1394">
        <f>IFERROR(VLOOKUP(M705,#REF!,5,0),0)</f>
        <v>0</v>
      </c>
      <c r="V705" s="1394">
        <f t="shared" si="248"/>
        <v>0</v>
      </c>
      <c r="W705" s="1394"/>
    </row>
    <row r="706" spans="2:23" ht="30" customHeight="1">
      <c r="B706" s="1405"/>
      <c r="C706" s="1408" t="str">
        <f t="shared" si="251"/>
        <v>Property Record Below Roof</v>
      </c>
      <c r="D706" s="1409">
        <v>1</v>
      </c>
      <c r="E706" s="1409">
        <v>1</v>
      </c>
      <c r="F706" s="1410">
        <v>3.7650000000000001</v>
      </c>
      <c r="G706" s="1410">
        <v>2.4350000000000001</v>
      </c>
      <c r="H706" s="1410">
        <v>0.125</v>
      </c>
      <c r="I706" s="1471">
        <f t="shared" si="250"/>
        <v>1.1459718750000001</v>
      </c>
      <c r="K706" s="110" t="s">
        <v>5744</v>
      </c>
      <c r="L706" s="110" t="s">
        <v>5741</v>
      </c>
      <c r="Q706" s="1394">
        <f>IFERROR(VLOOKUP(M706,#REF!,3,0),0)</f>
        <v>0</v>
      </c>
      <c r="R706" s="1394">
        <f t="shared" si="246"/>
        <v>0</v>
      </c>
      <c r="S706" s="1394">
        <f>IFERROR(VLOOKUP(M706,#REF!,6,0),0)</f>
        <v>0</v>
      </c>
      <c r="T706" s="1394">
        <f t="shared" si="247"/>
        <v>0</v>
      </c>
      <c r="U706" s="1394">
        <f>IFERROR(VLOOKUP(M706,#REF!,5,0),0)</f>
        <v>0</v>
      </c>
      <c r="V706" s="1394">
        <f t="shared" si="248"/>
        <v>0</v>
      </c>
      <c r="W706" s="1394"/>
    </row>
    <row r="707" spans="2:23" ht="30" customHeight="1">
      <c r="B707" s="1405"/>
      <c r="C707" s="1408" t="str">
        <f t="shared" si="251"/>
        <v>Toilet Below Roof</v>
      </c>
      <c r="D707" s="1409">
        <v>1</v>
      </c>
      <c r="E707" s="1409">
        <v>1</v>
      </c>
      <c r="F707" s="1410">
        <v>3.7650000000000001</v>
      </c>
      <c r="G707" s="1410">
        <v>1.2350000000000001</v>
      </c>
      <c r="H707" s="1410">
        <v>0.125</v>
      </c>
      <c r="I707" s="1471">
        <f t="shared" si="250"/>
        <v>0.58122187500000011</v>
      </c>
      <c r="K707" s="110" t="s">
        <v>400</v>
      </c>
      <c r="L707" s="110" t="s">
        <v>5741</v>
      </c>
      <c r="Q707" s="1394">
        <f>IFERROR(VLOOKUP(M707,#REF!,3,0),0)</f>
        <v>0</v>
      </c>
      <c r="R707" s="1394">
        <f t="shared" si="246"/>
        <v>0</v>
      </c>
      <c r="S707" s="1394">
        <f>IFERROR(VLOOKUP(M707,#REF!,6,0),0)</f>
        <v>0</v>
      </c>
      <c r="T707" s="1394">
        <f t="shared" si="247"/>
        <v>0</v>
      </c>
      <c r="U707" s="1394">
        <f>IFERROR(VLOOKUP(M707,#REF!,5,0),0)</f>
        <v>0</v>
      </c>
      <c r="V707" s="1394">
        <f t="shared" si="248"/>
        <v>0</v>
      </c>
      <c r="W707" s="1394"/>
    </row>
    <row r="708" spans="2:23" ht="30" customHeight="1">
      <c r="B708" s="1405"/>
      <c r="C708" s="1408" t="str">
        <f t="shared" si="251"/>
        <v>Lock up Men Below Roof</v>
      </c>
      <c r="D708" s="1409">
        <v>1</v>
      </c>
      <c r="E708" s="1409">
        <v>1</v>
      </c>
      <c r="F708" s="1410">
        <v>4</v>
      </c>
      <c r="G708" s="1410">
        <v>2.5499999999999998</v>
      </c>
      <c r="H708" s="1410">
        <v>0.125</v>
      </c>
      <c r="I708" s="1471">
        <f t="shared" si="250"/>
        <v>1.2749999999999999</v>
      </c>
      <c r="K708" s="110" t="s">
        <v>5745</v>
      </c>
      <c r="L708" s="110" t="s">
        <v>5741</v>
      </c>
      <c r="Q708" s="1394">
        <f>IFERROR(VLOOKUP(M708,#REF!,3,0),0)</f>
        <v>0</v>
      </c>
      <c r="R708" s="1394">
        <f t="shared" si="246"/>
        <v>0</v>
      </c>
      <c r="S708" s="1394">
        <f>IFERROR(VLOOKUP(M708,#REF!,6,0),0)</f>
        <v>0</v>
      </c>
      <c r="T708" s="1394">
        <f t="shared" si="247"/>
        <v>0</v>
      </c>
      <c r="U708" s="1394">
        <f>IFERROR(VLOOKUP(M708,#REF!,5,0),0)</f>
        <v>0</v>
      </c>
      <c r="V708" s="1394">
        <f t="shared" si="248"/>
        <v>0</v>
      </c>
      <c r="W708" s="1394"/>
    </row>
    <row r="709" spans="2:23" ht="30" customHeight="1">
      <c r="B709" s="1405"/>
      <c r="C709" s="1408" t="str">
        <f t="shared" si="251"/>
        <v>INS Room Below Roof</v>
      </c>
      <c r="D709" s="1409">
        <v>1</v>
      </c>
      <c r="E709" s="1409">
        <v>1</v>
      </c>
      <c r="F709" s="1410">
        <v>4</v>
      </c>
      <c r="G709" s="1410">
        <v>5.0999999999999996</v>
      </c>
      <c r="H709" s="1410">
        <v>0.125</v>
      </c>
      <c r="I709" s="1471">
        <f t="shared" si="250"/>
        <v>2.5499999999999998</v>
      </c>
      <c r="K709" s="110" t="s">
        <v>5746</v>
      </c>
      <c r="L709" s="110" t="s">
        <v>5741</v>
      </c>
      <c r="Q709" s="1394">
        <f>IFERROR(VLOOKUP(M709,#REF!,3,0),0)</f>
        <v>0</v>
      </c>
      <c r="R709" s="1394">
        <f t="shared" si="246"/>
        <v>0</v>
      </c>
      <c r="S709" s="1394">
        <f>IFERROR(VLOOKUP(M709,#REF!,6,0),0)</f>
        <v>0</v>
      </c>
      <c r="T709" s="1394">
        <f t="shared" si="247"/>
        <v>0</v>
      </c>
      <c r="U709" s="1394">
        <f>IFERROR(VLOOKUP(M709,#REF!,5,0),0)</f>
        <v>0</v>
      </c>
      <c r="V709" s="1394">
        <f t="shared" si="248"/>
        <v>0</v>
      </c>
      <c r="W709" s="1394"/>
    </row>
    <row r="710" spans="2:23" ht="30" customHeight="1">
      <c r="B710" s="1405"/>
      <c r="C710" s="1408" t="str">
        <f t="shared" si="251"/>
        <v>INS Room Toilet Below Roof</v>
      </c>
      <c r="D710" s="1409">
        <v>1</v>
      </c>
      <c r="E710" s="1409">
        <v>1</v>
      </c>
      <c r="F710" s="1410">
        <v>4</v>
      </c>
      <c r="G710" s="1410">
        <v>1.5</v>
      </c>
      <c r="H710" s="1410">
        <v>0.125</v>
      </c>
      <c r="I710" s="1471">
        <f t="shared" si="250"/>
        <v>0.75</v>
      </c>
      <c r="K710" s="110" t="s">
        <v>5747</v>
      </c>
      <c r="L710" s="110" t="s">
        <v>5741</v>
      </c>
      <c r="Q710" s="1394">
        <f>IFERROR(VLOOKUP(M710,#REF!,3,0),0)</f>
        <v>0</v>
      </c>
      <c r="R710" s="1394">
        <f t="shared" si="246"/>
        <v>0</v>
      </c>
      <c r="S710" s="1394">
        <f>IFERROR(VLOOKUP(M710,#REF!,6,0),0)</f>
        <v>0</v>
      </c>
      <c r="T710" s="1394">
        <f t="shared" si="247"/>
        <v>0</v>
      </c>
      <c r="U710" s="1394">
        <f>IFERROR(VLOOKUP(M710,#REF!,5,0),0)</f>
        <v>0</v>
      </c>
      <c r="V710" s="1394">
        <f t="shared" si="248"/>
        <v>0</v>
      </c>
      <c r="W710" s="1394"/>
    </row>
    <row r="711" spans="2:23" ht="30" customHeight="1">
      <c r="B711" s="1405"/>
      <c r="C711" s="1408" t="str">
        <f t="shared" si="251"/>
        <v>Writer Below Roof</v>
      </c>
      <c r="D711" s="1409">
        <v>1</v>
      </c>
      <c r="E711" s="1409">
        <v>1</v>
      </c>
      <c r="F711" s="1410">
        <v>3</v>
      </c>
      <c r="G711" s="1410">
        <v>5.3</v>
      </c>
      <c r="H711" s="1410">
        <v>0.125</v>
      </c>
      <c r="I711" s="1471">
        <f t="shared" si="250"/>
        <v>1.9874999999999998</v>
      </c>
      <c r="K711" s="110" t="s">
        <v>5593</v>
      </c>
      <c r="L711" s="110" t="s">
        <v>5741</v>
      </c>
      <c r="Q711" s="1394">
        <f>IFERROR(VLOOKUP(M711,#REF!,3,0),0)</f>
        <v>0</v>
      </c>
      <c r="R711" s="1394">
        <f t="shared" si="246"/>
        <v>0</v>
      </c>
      <c r="S711" s="1394">
        <f>IFERROR(VLOOKUP(M711,#REF!,6,0),0)</f>
        <v>0</v>
      </c>
      <c r="T711" s="1394">
        <f t="shared" si="247"/>
        <v>0</v>
      </c>
      <c r="U711" s="1394">
        <f>IFERROR(VLOOKUP(M711,#REF!,5,0),0)</f>
        <v>0</v>
      </c>
      <c r="V711" s="1394">
        <f t="shared" si="248"/>
        <v>0</v>
      </c>
      <c r="W711" s="1394"/>
    </row>
    <row r="712" spans="2:23" ht="30" customHeight="1">
      <c r="B712" s="1405"/>
      <c r="C712" s="1408" t="str">
        <f t="shared" si="251"/>
        <v>Stair Case Lobby-1 Below Roof</v>
      </c>
      <c r="D712" s="1409">
        <v>1</v>
      </c>
      <c r="E712" s="1409">
        <v>1</v>
      </c>
      <c r="F712" s="1410">
        <v>2.5249999999999999</v>
      </c>
      <c r="G712" s="1410">
        <v>2.77</v>
      </c>
      <c r="H712" s="1410">
        <v>0.125</v>
      </c>
      <c r="I712" s="1471">
        <f t="shared" si="250"/>
        <v>0.87428125000000001</v>
      </c>
      <c r="K712" s="110" t="s">
        <v>5748</v>
      </c>
      <c r="L712" s="110" t="s">
        <v>5741</v>
      </c>
      <c r="Q712" s="1394">
        <f>IFERROR(VLOOKUP(M712,#REF!,3,0),0)</f>
        <v>0</v>
      </c>
      <c r="R712" s="1394">
        <f t="shared" si="246"/>
        <v>0</v>
      </c>
      <c r="S712" s="1394">
        <f>IFERROR(VLOOKUP(M712,#REF!,6,0),0)</f>
        <v>0</v>
      </c>
      <c r="T712" s="1394">
        <f t="shared" si="247"/>
        <v>0</v>
      </c>
      <c r="U712" s="1394">
        <f>IFERROR(VLOOKUP(M712,#REF!,5,0),0)</f>
        <v>0</v>
      </c>
      <c r="V712" s="1394">
        <f t="shared" si="248"/>
        <v>0</v>
      </c>
      <c r="W712" s="1394"/>
    </row>
    <row r="713" spans="2:23" ht="30" customHeight="1">
      <c r="B713" s="1405"/>
      <c r="C713" s="1408" t="str">
        <f t="shared" si="251"/>
        <v>Stair Case Lobby-1 Below Roof</v>
      </c>
      <c r="D713" s="1409">
        <v>1</v>
      </c>
      <c r="E713" s="1409">
        <v>1</v>
      </c>
      <c r="F713" s="1410">
        <v>4.3250000000000002</v>
      </c>
      <c r="G713" s="1410">
        <v>2.2999999999999998</v>
      </c>
      <c r="H713" s="1410">
        <v>0.125</v>
      </c>
      <c r="I713" s="1471">
        <f t="shared" si="250"/>
        <v>1.2434375</v>
      </c>
      <c r="K713" s="110" t="s">
        <v>5748</v>
      </c>
      <c r="L713" s="110" t="s">
        <v>5741</v>
      </c>
      <c r="Q713" s="1394">
        <f>IFERROR(VLOOKUP(M713,#REF!,3,0),0)</f>
        <v>0</v>
      </c>
      <c r="R713" s="1394">
        <f t="shared" si="246"/>
        <v>0</v>
      </c>
      <c r="S713" s="1394">
        <f>IFERROR(VLOOKUP(M713,#REF!,6,0),0)</f>
        <v>0</v>
      </c>
      <c r="T713" s="1394">
        <f t="shared" si="247"/>
        <v>0</v>
      </c>
      <c r="U713" s="1394">
        <f>IFERROR(VLOOKUP(M713,#REF!,5,0),0)</f>
        <v>0</v>
      </c>
      <c r="V713" s="1394">
        <f t="shared" si="248"/>
        <v>0</v>
      </c>
      <c r="W713" s="1394"/>
    </row>
    <row r="714" spans="2:23" ht="30" customHeight="1">
      <c r="B714" s="1405"/>
      <c r="C714" s="1408" t="str">
        <f t="shared" si="251"/>
        <v>Hall Below Roof</v>
      </c>
      <c r="D714" s="1409">
        <v>1</v>
      </c>
      <c r="E714" s="1409">
        <v>1</v>
      </c>
      <c r="F714" s="1410">
        <v>2.1</v>
      </c>
      <c r="G714" s="1410">
        <v>5.76</v>
      </c>
      <c r="H714" s="1410">
        <v>0.125</v>
      </c>
      <c r="I714" s="1471">
        <f t="shared" ref="I714" si="254">PRODUCT(D714:H714)</f>
        <v>1.512</v>
      </c>
      <c r="K714" s="1408" t="s">
        <v>5753</v>
      </c>
      <c r="L714" s="110" t="s">
        <v>5741</v>
      </c>
      <c r="Q714" s="1394">
        <f>IFERROR(VLOOKUP(M714,#REF!,3,0),0)</f>
        <v>0</v>
      </c>
      <c r="R714" s="1394">
        <f t="shared" si="246"/>
        <v>0</v>
      </c>
      <c r="S714" s="1394">
        <f>IFERROR(VLOOKUP(M714,#REF!,6,0),0)</f>
        <v>0</v>
      </c>
      <c r="T714" s="1394">
        <f t="shared" si="247"/>
        <v>0</v>
      </c>
      <c r="U714" s="1394">
        <f>IFERROR(VLOOKUP(M714,#REF!,5,0),0)</f>
        <v>0</v>
      </c>
      <c r="V714" s="1394">
        <f t="shared" si="248"/>
        <v>0</v>
      </c>
      <c r="W714" s="1394"/>
    </row>
    <row r="715" spans="2:23" ht="30" customHeight="1">
      <c r="B715" s="1405"/>
      <c r="C715" s="1408" t="str">
        <f t="shared" si="251"/>
        <v>Hall Below Roof</v>
      </c>
      <c r="D715" s="1409">
        <v>1</v>
      </c>
      <c r="E715" s="1409">
        <v>1</v>
      </c>
      <c r="F715" s="1410">
        <v>4.3250000000000002</v>
      </c>
      <c r="G715" s="1410">
        <v>5.76</v>
      </c>
      <c r="H715" s="1410">
        <v>0.125</v>
      </c>
      <c r="I715" s="1471">
        <f t="shared" ref="I715" si="255">PRODUCT(D715:H715)</f>
        <v>3.1139999999999999</v>
      </c>
      <c r="K715" s="1408" t="s">
        <v>5753</v>
      </c>
      <c r="L715" s="110" t="s">
        <v>5741</v>
      </c>
      <c r="Q715" s="1394">
        <f>IFERROR(VLOOKUP(M715,#REF!,3,0),0)</f>
        <v>0</v>
      </c>
      <c r="R715" s="1394">
        <f t="shared" si="246"/>
        <v>0</v>
      </c>
      <c r="S715" s="1394">
        <f>IFERROR(VLOOKUP(M715,#REF!,6,0),0)</f>
        <v>0</v>
      </c>
      <c r="T715" s="1394">
        <f t="shared" si="247"/>
        <v>0</v>
      </c>
      <c r="U715" s="1394">
        <f>IFERROR(VLOOKUP(M715,#REF!,5,0),0)</f>
        <v>0</v>
      </c>
      <c r="V715" s="1394">
        <f t="shared" si="248"/>
        <v>0</v>
      </c>
      <c r="W715" s="1394"/>
    </row>
    <row r="716" spans="2:23" ht="30" customHeight="1">
      <c r="B716" s="1405"/>
      <c r="C716" s="1408" t="str">
        <f t="shared" si="251"/>
        <v>Hall Below Roof</v>
      </c>
      <c r="D716" s="1409">
        <v>1</v>
      </c>
      <c r="E716" s="1409">
        <v>1</v>
      </c>
      <c r="F716" s="1410">
        <v>3</v>
      </c>
      <c r="G716" s="1410">
        <v>5.76</v>
      </c>
      <c r="H716" s="1410">
        <v>0.125</v>
      </c>
      <c r="I716" s="1471">
        <f t="shared" ref="I716:I717" si="256">PRODUCT(D716:H716)</f>
        <v>2.16</v>
      </c>
      <c r="K716" s="1408" t="s">
        <v>5753</v>
      </c>
      <c r="L716" s="110" t="s">
        <v>5741</v>
      </c>
      <c r="Q716" s="1394">
        <f>IFERROR(VLOOKUP(M716,#REF!,3,0),0)</f>
        <v>0</v>
      </c>
      <c r="R716" s="1394">
        <f t="shared" si="246"/>
        <v>0</v>
      </c>
      <c r="S716" s="1394">
        <f>IFERROR(VLOOKUP(M716,#REF!,6,0),0)</f>
        <v>0</v>
      </c>
      <c r="T716" s="1394">
        <f t="shared" si="247"/>
        <v>0</v>
      </c>
      <c r="U716" s="1394">
        <f>IFERROR(VLOOKUP(M716,#REF!,5,0),0)</f>
        <v>0</v>
      </c>
      <c r="V716" s="1394">
        <f t="shared" si="248"/>
        <v>0</v>
      </c>
      <c r="W716" s="1394"/>
    </row>
    <row r="717" spans="2:23" ht="30" customHeight="1">
      <c r="B717" s="1405"/>
      <c r="C717" s="1408" t="s">
        <v>5861</v>
      </c>
      <c r="D717" s="1409">
        <v>1</v>
      </c>
      <c r="E717" s="1409">
        <v>1</v>
      </c>
      <c r="F717" s="1410">
        <v>3.4249999999999998</v>
      </c>
      <c r="G717" s="1410">
        <v>3.6349999999999998</v>
      </c>
      <c r="H717" s="1410">
        <v>0.125</v>
      </c>
      <c r="I717" s="1471">
        <f t="shared" si="256"/>
        <v>1.5562343749999998</v>
      </c>
      <c r="K717" s="1476"/>
      <c r="Q717" s="1394">
        <f>IFERROR(VLOOKUP(M717,#REF!,3,0),0)</f>
        <v>0</v>
      </c>
      <c r="R717" s="1394">
        <f t="shared" si="246"/>
        <v>0</v>
      </c>
      <c r="S717" s="1394">
        <f>IFERROR(VLOOKUP(M717,#REF!,6,0),0)</f>
        <v>0</v>
      </c>
      <c r="T717" s="1394">
        <f t="shared" si="247"/>
        <v>0</v>
      </c>
      <c r="U717" s="1394">
        <f>IFERROR(VLOOKUP(M717,#REF!,5,0),0)</f>
        <v>0</v>
      </c>
      <c r="V717" s="1394">
        <f t="shared" si="248"/>
        <v>0</v>
      </c>
      <c r="W717" s="1394"/>
    </row>
    <row r="718" spans="2:23" ht="30" customHeight="1">
      <c r="B718" s="1405"/>
      <c r="C718" s="1408" t="s">
        <v>5861</v>
      </c>
      <c r="D718" s="1409">
        <v>1</v>
      </c>
      <c r="E718" s="1409">
        <v>1</v>
      </c>
      <c r="F718" s="1410">
        <v>3.4249999999999998</v>
      </c>
      <c r="G718" s="1410">
        <v>0.71</v>
      </c>
      <c r="H718" s="1410">
        <v>0.125</v>
      </c>
      <c r="I718" s="1471">
        <f t="shared" ref="I718" si="257">PRODUCT(D718:H718)</f>
        <v>0.30396874999999995</v>
      </c>
      <c r="K718" s="1476"/>
      <c r="Q718" s="1394">
        <f>IFERROR(VLOOKUP(M718,#REF!,3,0),0)</f>
        <v>0</v>
      </c>
      <c r="R718" s="1394">
        <f t="shared" si="246"/>
        <v>0</v>
      </c>
      <c r="S718" s="1394">
        <f>IFERROR(VLOOKUP(M718,#REF!,6,0),0)</f>
        <v>0</v>
      </c>
      <c r="T718" s="1394">
        <f t="shared" si="247"/>
        <v>0</v>
      </c>
      <c r="U718" s="1394">
        <f>IFERROR(VLOOKUP(M718,#REF!,5,0),0)</f>
        <v>0</v>
      </c>
      <c r="V718" s="1394">
        <f t="shared" si="248"/>
        <v>0</v>
      </c>
      <c r="W718" s="1394"/>
    </row>
    <row r="719" spans="2:23" ht="30" customHeight="1">
      <c r="B719" s="1405"/>
      <c r="C719" s="1415" t="s">
        <v>502</v>
      </c>
      <c r="D719" s="1409"/>
      <c r="E719" s="1409"/>
      <c r="F719" s="1410"/>
      <c r="G719" s="1410"/>
      <c r="H719" s="1410"/>
      <c r="I719" s="1471"/>
      <c r="Q719" s="1394">
        <f>IFERROR(VLOOKUP(M719,#REF!,3,0),0)</f>
        <v>0</v>
      </c>
      <c r="R719" s="1394">
        <f t="shared" si="246"/>
        <v>0</v>
      </c>
      <c r="S719" s="1394">
        <f>IFERROR(VLOOKUP(M719,#REF!,6,0),0)</f>
        <v>0</v>
      </c>
      <c r="T719" s="1394">
        <f t="shared" si="247"/>
        <v>0</v>
      </c>
      <c r="U719" s="1394">
        <f>IFERROR(VLOOKUP(M719,#REF!,5,0),0)</f>
        <v>0</v>
      </c>
      <c r="V719" s="1394">
        <f t="shared" si="248"/>
        <v>0</v>
      </c>
      <c r="W719" s="1394"/>
    </row>
    <row r="720" spans="2:23" ht="30" customHeight="1">
      <c r="B720" s="1405"/>
      <c r="C720" s="1408" t="s">
        <v>306</v>
      </c>
      <c r="D720" s="1409">
        <v>1</v>
      </c>
      <c r="E720" s="1409">
        <v>1</v>
      </c>
      <c r="F720" s="1410">
        <v>3.6</v>
      </c>
      <c r="G720" s="1410">
        <v>1.2</v>
      </c>
      <c r="H720" s="1410">
        <v>0.15</v>
      </c>
      <c r="I720" s="1471">
        <f t="shared" si="250"/>
        <v>0.64800000000000002</v>
      </c>
      <c r="K720" s="110">
        <f>3.3/2.1</f>
        <v>1.5714285714285712</v>
      </c>
      <c r="Q720" s="1394">
        <f>IFERROR(VLOOKUP(M720,#REF!,3,0),0)</f>
        <v>0</v>
      </c>
      <c r="R720" s="1394">
        <f t="shared" si="246"/>
        <v>0</v>
      </c>
      <c r="S720" s="1394">
        <f>IFERROR(VLOOKUP(M720,#REF!,6,0),0)</f>
        <v>0</v>
      </c>
      <c r="T720" s="1394">
        <f t="shared" si="247"/>
        <v>0</v>
      </c>
      <c r="U720" s="1394">
        <f>IFERROR(VLOOKUP(M720,#REF!,5,0),0)</f>
        <v>0</v>
      </c>
      <c r="V720" s="1394">
        <f t="shared" si="248"/>
        <v>0</v>
      </c>
      <c r="W720" s="1394"/>
    </row>
    <row r="721" spans="1:24" ht="30" customHeight="1">
      <c r="B721" s="1405"/>
      <c r="C721" s="1408" t="s">
        <v>307</v>
      </c>
      <c r="D721" s="1409">
        <v>1</v>
      </c>
      <c r="E721" s="1409">
        <v>1</v>
      </c>
      <c r="F721" s="1410">
        <f>2.77+0.46</f>
        <v>3.23</v>
      </c>
      <c r="G721" s="1410">
        <v>1.2</v>
      </c>
      <c r="H721" s="1410">
        <v>0.15</v>
      </c>
      <c r="I721" s="1471">
        <f t="shared" si="250"/>
        <v>0.58139999999999992</v>
      </c>
      <c r="Q721" s="1394">
        <f>IFERROR(VLOOKUP(M721,#REF!,3,0),0)</f>
        <v>0</v>
      </c>
      <c r="R721" s="1394">
        <f t="shared" si="246"/>
        <v>0</v>
      </c>
      <c r="S721" s="1394">
        <f>IFERROR(VLOOKUP(M721,#REF!,6,0),0)</f>
        <v>0</v>
      </c>
      <c r="T721" s="1394">
        <f t="shared" si="247"/>
        <v>0</v>
      </c>
      <c r="U721" s="1394">
        <f>IFERROR(VLOOKUP(M721,#REF!,5,0),0)</f>
        <v>0</v>
      </c>
      <c r="V721" s="1394">
        <f t="shared" si="248"/>
        <v>0</v>
      </c>
      <c r="W721" s="1394"/>
    </row>
    <row r="722" spans="1:24" ht="30" customHeight="1">
      <c r="B722" s="1405"/>
      <c r="C722" s="1408" t="s">
        <v>308</v>
      </c>
      <c r="D722" s="1409">
        <v>1</v>
      </c>
      <c r="E722" s="1409">
        <v>1</v>
      </c>
      <c r="F722" s="1410">
        <v>3.4</v>
      </c>
      <c r="G722" s="1410">
        <v>1.2</v>
      </c>
      <c r="H722" s="1410">
        <v>0.15</v>
      </c>
      <c r="I722" s="1471">
        <f t="shared" si="250"/>
        <v>0.61199999999999999</v>
      </c>
      <c r="Q722" s="1394">
        <f>IFERROR(VLOOKUP(M722,#REF!,3,0),0)</f>
        <v>0</v>
      </c>
      <c r="R722" s="1394">
        <f t="shared" si="246"/>
        <v>0</v>
      </c>
      <c r="S722" s="1394">
        <f>IFERROR(VLOOKUP(M722,#REF!,6,0),0)</f>
        <v>0</v>
      </c>
      <c r="T722" s="1394">
        <f t="shared" si="247"/>
        <v>0</v>
      </c>
      <c r="U722" s="1394">
        <f>IFERROR(VLOOKUP(M722,#REF!,5,0),0)</f>
        <v>0</v>
      </c>
      <c r="V722" s="1394">
        <f t="shared" si="248"/>
        <v>0</v>
      </c>
      <c r="W722" s="1394"/>
    </row>
    <row r="723" spans="1:24" ht="30" customHeight="1">
      <c r="B723" s="1405"/>
      <c r="C723" s="1408" t="s">
        <v>309</v>
      </c>
      <c r="D723" s="1409">
        <v>0.5</v>
      </c>
      <c r="E723" s="1409">
        <v>21</v>
      </c>
      <c r="F723" s="1410">
        <v>1.2</v>
      </c>
      <c r="G723" s="1410">
        <v>0.3</v>
      </c>
      <c r="H723" s="1410">
        <v>0.157</v>
      </c>
      <c r="I723" s="1471">
        <f t="shared" si="250"/>
        <v>0.59345999999999999</v>
      </c>
      <c r="Q723" s="1394">
        <f>IFERROR(VLOOKUP(M723,#REF!,3,0),0)</f>
        <v>0</v>
      </c>
      <c r="R723" s="1394">
        <f t="shared" si="246"/>
        <v>0</v>
      </c>
      <c r="S723" s="1394">
        <f>IFERROR(VLOOKUP(M723,#REF!,6,0),0)</f>
        <v>0</v>
      </c>
      <c r="T723" s="1394">
        <f t="shared" si="247"/>
        <v>0</v>
      </c>
      <c r="U723" s="1394">
        <f>IFERROR(VLOOKUP(M723,#REF!,5,0),0)</f>
        <v>0</v>
      </c>
      <c r="V723" s="1394">
        <f t="shared" si="248"/>
        <v>0</v>
      </c>
      <c r="W723" s="1394"/>
    </row>
    <row r="724" spans="1:24" s="1394" customFormat="1" ht="30" customHeight="1">
      <c r="B724" s="1421"/>
      <c r="C724" s="1422" t="s">
        <v>270</v>
      </c>
      <c r="D724" s="1389"/>
      <c r="E724" s="1389"/>
      <c r="F724" s="1423"/>
      <c r="G724" s="1423"/>
      <c r="H724" s="1424"/>
      <c r="I724" s="1425">
        <f>J725-J724</f>
        <v>4.972062500000618E-2</v>
      </c>
      <c r="J724" s="1394">
        <f>SUM(I613:I723)</f>
        <v>65.250279374999991</v>
      </c>
      <c r="M724" s="1426"/>
      <c r="Q724" s="1394">
        <f>IFERROR(VLOOKUP(M724,#REF!,3,0),0)</f>
        <v>0</v>
      </c>
      <c r="R724" s="1394">
        <f t="shared" si="246"/>
        <v>0</v>
      </c>
      <c r="S724" s="1394">
        <f>IFERROR(VLOOKUP(M724,#REF!,6,0),0)</f>
        <v>0</v>
      </c>
      <c r="T724" s="1394">
        <f t="shared" si="247"/>
        <v>0</v>
      </c>
      <c r="U724" s="1394">
        <f>IFERROR(VLOOKUP(M724,#REF!,5,0),0)</f>
        <v>0</v>
      </c>
      <c r="V724" s="1394">
        <f t="shared" si="248"/>
        <v>0</v>
      </c>
    </row>
    <row r="725" spans="1:24" s="1394" customFormat="1" ht="30" customHeight="1">
      <c r="B725" s="1421"/>
      <c r="C725" s="1422"/>
      <c r="D725" s="1389"/>
      <c r="E725" s="1389"/>
      <c r="F725" s="1423"/>
      <c r="G725" s="1423"/>
      <c r="H725" s="1424"/>
      <c r="I725" s="1427">
        <f>+J725</f>
        <v>65.3</v>
      </c>
      <c r="J725" s="1394">
        <f>ROUNDUP(J724,1)</f>
        <v>65.3</v>
      </c>
      <c r="M725" s="1426"/>
      <c r="Q725" s="1394">
        <f>IFERROR(VLOOKUP(M725,#REF!,3,0),0)</f>
        <v>0</v>
      </c>
      <c r="R725" s="1394">
        <f t="shared" si="246"/>
        <v>0</v>
      </c>
      <c r="S725" s="1394">
        <f>IFERROR(VLOOKUP(M725,#REF!,6,0),0)</f>
        <v>0</v>
      </c>
      <c r="T725" s="1394">
        <f t="shared" si="247"/>
        <v>0</v>
      </c>
      <c r="U725" s="1394">
        <f>IFERROR(VLOOKUP(M725,#REF!,5,0),0)</f>
        <v>0</v>
      </c>
      <c r="V725" s="1394">
        <f t="shared" si="248"/>
        <v>0</v>
      </c>
    </row>
    <row r="726" spans="1:24" s="1394" customFormat="1" ht="30" customHeight="1">
      <c r="B726" s="1421"/>
      <c r="C726" s="1422"/>
      <c r="D726" s="1389"/>
      <c r="E726" s="1389"/>
      <c r="F726" s="1423"/>
      <c r="G726" s="1428" t="s">
        <v>11</v>
      </c>
      <c r="H726" s="1429">
        <f>I725</f>
        <v>65.3</v>
      </c>
      <c r="I726" s="1427" t="s">
        <v>19</v>
      </c>
      <c r="M726" s="1426" t="str">
        <f>A611</f>
        <v>b. Ground Floor Standardised concrete Mix M20 Grade Concrete</v>
      </c>
      <c r="N726" s="1394">
        <f>B611</f>
        <v>0</v>
      </c>
      <c r="O726" s="1394">
        <f>H726</f>
        <v>65.3</v>
      </c>
      <c r="P726" s="1394" t="str">
        <f>I726</f>
        <v>Cum</v>
      </c>
      <c r="Q726" s="1394">
        <f>IFERROR(VLOOKUP(M726,#REF!,3,0),0)</f>
        <v>0</v>
      </c>
      <c r="R726" s="1394">
        <f t="shared" si="246"/>
        <v>0</v>
      </c>
      <c r="S726" s="1394">
        <f>IFERROR(VLOOKUP(M726,#REF!,6,0),0)</f>
        <v>0</v>
      </c>
      <c r="T726" s="1394">
        <f t="shared" si="247"/>
        <v>0</v>
      </c>
      <c r="U726" s="1394">
        <f>IFERROR(VLOOKUP(M726,#REF!,5,0),0)</f>
        <v>0</v>
      </c>
      <c r="V726" s="1394">
        <f t="shared" si="248"/>
        <v>65.3</v>
      </c>
    </row>
    <row r="727" spans="1:24" ht="30" customHeight="1">
      <c r="A727" s="1477" t="s">
        <v>991</v>
      </c>
      <c r="B727" s="1407"/>
      <c r="C727" s="1678" t="e">
        <f>VLOOKUP(A727,#REF!,2,0)</f>
        <v>#REF!</v>
      </c>
      <c r="D727" s="1678"/>
      <c r="E727" s="1678"/>
      <c r="F727" s="1678"/>
      <c r="G727" s="1678"/>
      <c r="H727" s="1678"/>
      <c r="I727" s="1406"/>
      <c r="Q727" s="1394">
        <f>IFERROR(VLOOKUP(M727,#REF!,3,0),0)</f>
        <v>0</v>
      </c>
      <c r="R727" s="1394">
        <f t="shared" si="246"/>
        <v>0</v>
      </c>
      <c r="S727" s="1394">
        <f>IFERROR(VLOOKUP(M727,#REF!,6,0),0)</f>
        <v>0</v>
      </c>
      <c r="T727" s="1394">
        <f t="shared" si="247"/>
        <v>0</v>
      </c>
      <c r="U727" s="1394">
        <f>IFERROR(VLOOKUP(M727,#REF!,5,0),0)</f>
        <v>0</v>
      </c>
      <c r="V727" s="1394">
        <f t="shared" si="248"/>
        <v>0</v>
      </c>
      <c r="W727" s="1394"/>
      <c r="X727" s="1397"/>
    </row>
    <row r="728" spans="1:24" ht="30" customHeight="1">
      <c r="B728" s="1407"/>
      <c r="C728" s="1455"/>
      <c r="D728" s="103"/>
      <c r="E728" s="103"/>
      <c r="F728" s="1413"/>
      <c r="G728" s="1413"/>
      <c r="H728" s="1478"/>
      <c r="I728" s="1479"/>
      <c r="Q728" s="1394">
        <f>IFERROR(VLOOKUP(M728,#REF!,3,0),0)</f>
        <v>0</v>
      </c>
      <c r="R728" s="1394">
        <f t="shared" si="246"/>
        <v>0</v>
      </c>
      <c r="S728" s="1394">
        <f>IFERROR(VLOOKUP(M728,#REF!,6,0),0)</f>
        <v>0</v>
      </c>
      <c r="T728" s="1394">
        <f t="shared" si="247"/>
        <v>0</v>
      </c>
      <c r="U728" s="1394">
        <f>IFERROR(VLOOKUP(M728,#REF!,5,0),0)</f>
        <v>0</v>
      </c>
      <c r="V728" s="1394">
        <f t="shared" si="248"/>
        <v>0</v>
      </c>
      <c r="W728" s="1394"/>
    </row>
    <row r="729" spans="1:24" ht="30" customHeight="1">
      <c r="B729" s="1407"/>
      <c r="C729" s="1415" t="s">
        <v>302</v>
      </c>
      <c r="D729" s="1409"/>
      <c r="E729" s="1409"/>
      <c r="F729" s="1410"/>
      <c r="G729" s="1410"/>
      <c r="H729" s="1409"/>
      <c r="I729" s="1471"/>
      <c r="Q729" s="1394">
        <f>IFERROR(VLOOKUP(M729,#REF!,3,0),0)</f>
        <v>0</v>
      </c>
      <c r="R729" s="1394">
        <f t="shared" si="246"/>
        <v>0</v>
      </c>
      <c r="S729" s="1394">
        <f>IFERROR(VLOOKUP(M729,#REF!,6,0),0)</f>
        <v>0</v>
      </c>
      <c r="T729" s="1394">
        <f t="shared" si="247"/>
        <v>0</v>
      </c>
      <c r="U729" s="1394">
        <f>IFERROR(VLOOKUP(M729,#REF!,5,0),0)</f>
        <v>0</v>
      </c>
      <c r="V729" s="1394">
        <f t="shared" si="248"/>
        <v>0</v>
      </c>
      <c r="W729" s="1394"/>
    </row>
    <row r="730" spans="1:24" ht="30" customHeight="1">
      <c r="B730" s="1405"/>
      <c r="C730" s="1408" t="str">
        <f>'det -detail'!B209</f>
        <v xml:space="preserve">For C1 Round Column Dia 0.3 Radius = 0.15 </v>
      </c>
      <c r="D730" s="1409">
        <f>'det -detail'!E209</f>
        <v>4</v>
      </c>
      <c r="E730" s="1409">
        <f>'det -detail'!F209</f>
        <v>3.14</v>
      </c>
      <c r="F730" s="1410">
        <f>'det -detail'!G209</f>
        <v>0.15</v>
      </c>
      <c r="G730" s="1410">
        <f>'det -detail'!H209</f>
        <v>0.15</v>
      </c>
      <c r="H730" s="1411">
        <v>1.2</v>
      </c>
      <c r="I730" s="1471">
        <f t="shared" ref="I730:I737" si="258">PRODUCT(D730:H730)</f>
        <v>0.33911999999999992</v>
      </c>
      <c r="J730" s="110" t="e">
        <f>#REF!</f>
        <v>#REF!</v>
      </c>
      <c r="Q730" s="1394">
        <f>IFERROR(VLOOKUP(M730,#REF!,3,0),0)</f>
        <v>0</v>
      </c>
      <c r="R730" s="1394">
        <f t="shared" si="246"/>
        <v>0</v>
      </c>
      <c r="S730" s="1394">
        <f>IFERROR(VLOOKUP(M730,#REF!,6,0),0)</f>
        <v>0</v>
      </c>
      <c r="T730" s="1394">
        <f t="shared" si="247"/>
        <v>0</v>
      </c>
      <c r="U730" s="1394">
        <f>IFERROR(VLOOKUP(M730,#REF!,5,0),0)</f>
        <v>0</v>
      </c>
      <c r="V730" s="1394">
        <f t="shared" si="248"/>
        <v>0</v>
      </c>
      <c r="W730" s="1394"/>
    </row>
    <row r="731" spans="1:24" ht="30" customHeight="1">
      <c r="B731" s="1405"/>
      <c r="C731" s="1408" t="str">
        <f>'det -detail'!B210</f>
        <v>For C2</v>
      </c>
      <c r="D731" s="1409">
        <f>'det -detail'!E210</f>
        <v>11</v>
      </c>
      <c r="E731" s="1409">
        <f>'det -detail'!F210</f>
        <v>1</v>
      </c>
      <c r="F731" s="1410">
        <f>'det -detail'!G210</f>
        <v>0.23</v>
      </c>
      <c r="G731" s="1410">
        <f>'det -detail'!H210</f>
        <v>0.38</v>
      </c>
      <c r="H731" s="1411">
        <f>'det -detail'!I210</f>
        <v>2.92</v>
      </c>
      <c r="I731" s="1471">
        <f t="shared" si="258"/>
        <v>2.8072880000000002</v>
      </c>
      <c r="J731" s="110" t="e">
        <f>#REF!</f>
        <v>#REF!</v>
      </c>
      <c r="Q731" s="1394">
        <f>IFERROR(VLOOKUP(M731,#REF!,3,0),0)</f>
        <v>0</v>
      </c>
      <c r="R731" s="1394">
        <f t="shared" si="246"/>
        <v>0</v>
      </c>
      <c r="S731" s="1394">
        <f>IFERROR(VLOOKUP(M731,#REF!,6,0),0)</f>
        <v>0</v>
      </c>
      <c r="T731" s="1394">
        <f t="shared" si="247"/>
        <v>0</v>
      </c>
      <c r="U731" s="1394">
        <f>IFERROR(VLOOKUP(M731,#REF!,5,0),0)</f>
        <v>0</v>
      </c>
      <c r="V731" s="1394">
        <f t="shared" si="248"/>
        <v>0</v>
      </c>
      <c r="W731" s="1394"/>
    </row>
    <row r="732" spans="1:24" ht="30" customHeight="1">
      <c r="B732" s="1405"/>
      <c r="C732" s="1408" t="str">
        <f>'det -detail'!B211</f>
        <v>For C3</v>
      </c>
      <c r="D732" s="1409">
        <f>'det -detail'!E211</f>
        <v>10</v>
      </c>
      <c r="E732" s="1409">
        <f>'det -detail'!F211</f>
        <v>1</v>
      </c>
      <c r="F732" s="1410">
        <f>'det -detail'!G211</f>
        <v>0.23</v>
      </c>
      <c r="G732" s="1410">
        <f>'det -detail'!H211</f>
        <v>0.45</v>
      </c>
      <c r="H732" s="1411">
        <f>'det -detail'!I211</f>
        <v>2.92</v>
      </c>
      <c r="I732" s="1471">
        <f t="shared" si="258"/>
        <v>3.0222000000000002</v>
      </c>
      <c r="J732" s="110" t="e">
        <f>#REF!</f>
        <v>#REF!</v>
      </c>
      <c r="L732" s="110">
        <f>3.3-0.6</f>
        <v>2.6999999999999997</v>
      </c>
      <c r="Q732" s="1394">
        <f>IFERROR(VLOOKUP(M732,#REF!,3,0),0)</f>
        <v>0</v>
      </c>
      <c r="R732" s="1394">
        <f t="shared" si="246"/>
        <v>0</v>
      </c>
      <c r="S732" s="1394">
        <f>IFERROR(VLOOKUP(M732,#REF!,6,0),0)</f>
        <v>0</v>
      </c>
      <c r="T732" s="1394">
        <f t="shared" si="247"/>
        <v>0</v>
      </c>
      <c r="U732" s="1394">
        <f>IFERROR(VLOOKUP(M732,#REF!,5,0),0)</f>
        <v>0</v>
      </c>
      <c r="V732" s="1394">
        <f t="shared" si="248"/>
        <v>0</v>
      </c>
      <c r="W732" s="1394"/>
    </row>
    <row r="733" spans="1:24" ht="30" customHeight="1">
      <c r="B733" s="1405"/>
      <c r="C733" s="1415" t="str">
        <f>'det -detail'!B212</f>
        <v>For C4</v>
      </c>
      <c r="D733" s="1409">
        <f>'det -detail'!E212</f>
        <v>7</v>
      </c>
      <c r="E733" s="1409">
        <f>'det -detail'!F212</f>
        <v>1</v>
      </c>
      <c r="F733" s="1410">
        <f>'det -detail'!G212</f>
        <v>0.3</v>
      </c>
      <c r="G733" s="1410">
        <f>'det -detail'!H212</f>
        <v>0.45</v>
      </c>
      <c r="H733" s="1411">
        <f>'det -detail'!I212</f>
        <v>2.92</v>
      </c>
      <c r="I733" s="1471">
        <f t="shared" si="258"/>
        <v>2.7594000000000003</v>
      </c>
      <c r="J733" s="110" t="e">
        <f>#REF!</f>
        <v>#REF!</v>
      </c>
      <c r="L733" s="110">
        <f>3.3-0.45</f>
        <v>2.8499999999999996</v>
      </c>
      <c r="Q733" s="1394">
        <f>IFERROR(VLOOKUP(M733,#REF!,3,0),0)</f>
        <v>0</v>
      </c>
      <c r="R733" s="1394">
        <f t="shared" si="246"/>
        <v>0</v>
      </c>
      <c r="S733" s="1394">
        <f>IFERROR(VLOOKUP(M733,#REF!,6,0),0)</f>
        <v>0</v>
      </c>
      <c r="T733" s="1394">
        <f t="shared" si="247"/>
        <v>0</v>
      </c>
      <c r="U733" s="1394">
        <f>IFERROR(VLOOKUP(M733,#REF!,5,0),0)</f>
        <v>0</v>
      </c>
      <c r="V733" s="1394">
        <f t="shared" si="248"/>
        <v>0</v>
      </c>
      <c r="W733" s="1394"/>
    </row>
    <row r="734" spans="1:24" ht="30" customHeight="1">
      <c r="B734" s="1405"/>
      <c r="C734" s="1408">
        <f>'det -detail'!B213</f>
        <v>0</v>
      </c>
      <c r="D734" s="1409">
        <f>'det -detail'!E213</f>
        <v>0</v>
      </c>
      <c r="E734" s="1409">
        <f>'det -detail'!F213</f>
        <v>0</v>
      </c>
      <c r="F734" s="1410">
        <f>'det -detail'!G213</f>
        <v>0</v>
      </c>
      <c r="G734" s="1410">
        <f>'det -detail'!H213</f>
        <v>0</v>
      </c>
      <c r="H734" s="1411">
        <f>'det -detail'!I213</f>
        <v>0</v>
      </c>
      <c r="I734" s="1471">
        <f t="shared" si="258"/>
        <v>0</v>
      </c>
      <c r="J734" s="110" t="e">
        <f>#REF!</f>
        <v>#REF!</v>
      </c>
      <c r="Q734" s="1394">
        <f>IFERROR(VLOOKUP(M734,#REF!,3,0),0)</f>
        <v>0</v>
      </c>
      <c r="R734" s="1394">
        <f t="shared" si="246"/>
        <v>0</v>
      </c>
      <c r="S734" s="1394">
        <f>IFERROR(VLOOKUP(M734,#REF!,6,0),0)</f>
        <v>0</v>
      </c>
      <c r="T734" s="1394">
        <f t="shared" si="247"/>
        <v>0</v>
      </c>
      <c r="U734" s="1394">
        <f>IFERROR(VLOOKUP(M734,#REF!,5,0),0)</f>
        <v>0</v>
      </c>
      <c r="V734" s="1394">
        <f t="shared" si="248"/>
        <v>0</v>
      </c>
      <c r="W734" s="1394"/>
    </row>
    <row r="735" spans="1:24" ht="30" customHeight="1">
      <c r="B735" s="1405"/>
      <c r="C735" s="1415"/>
      <c r="D735" s="1409"/>
      <c r="E735" s="1409"/>
      <c r="F735" s="1410"/>
      <c r="G735" s="1410"/>
      <c r="H735" s="1409"/>
      <c r="I735" s="1471">
        <f t="shared" si="258"/>
        <v>0</v>
      </c>
      <c r="Q735" s="1394">
        <f>IFERROR(VLOOKUP(M735,#REF!,3,0),0)</f>
        <v>0</v>
      </c>
      <c r="R735" s="1394">
        <f t="shared" si="246"/>
        <v>0</v>
      </c>
      <c r="S735" s="1394">
        <f>IFERROR(VLOOKUP(M735,#REF!,6,0),0)</f>
        <v>0</v>
      </c>
      <c r="T735" s="1394">
        <f t="shared" si="247"/>
        <v>0</v>
      </c>
      <c r="U735" s="1394">
        <f>IFERROR(VLOOKUP(M735,#REF!,5,0),0)</f>
        <v>0</v>
      </c>
      <c r="V735" s="1394">
        <f t="shared" si="248"/>
        <v>0</v>
      </c>
      <c r="W735" s="1394"/>
    </row>
    <row r="736" spans="1:24" ht="30" customHeight="1">
      <c r="B736" s="1405"/>
      <c r="C736" s="1408" t="s">
        <v>313</v>
      </c>
      <c r="D736" s="1409"/>
      <c r="E736" s="1409"/>
      <c r="F736" s="1410"/>
      <c r="G736" s="1410"/>
      <c r="H736" s="1409"/>
      <c r="I736" s="1471"/>
      <c r="O736" s="1469"/>
      <c r="Q736" s="1394">
        <f>IFERROR(VLOOKUP(M736,#REF!,3,0),0)</f>
        <v>0</v>
      </c>
      <c r="R736" s="1394">
        <f t="shared" si="246"/>
        <v>0</v>
      </c>
      <c r="S736" s="1394">
        <f>IFERROR(VLOOKUP(M736,#REF!,6,0),0)</f>
        <v>0</v>
      </c>
      <c r="T736" s="1394">
        <f t="shared" si="247"/>
        <v>0</v>
      </c>
      <c r="U736" s="1394">
        <f>IFERROR(VLOOKUP(M736,#REF!,5,0),0)</f>
        <v>0</v>
      </c>
      <c r="V736" s="1394">
        <f t="shared" si="248"/>
        <v>0</v>
      </c>
      <c r="W736" s="1394"/>
    </row>
    <row r="737" spans="2:23" ht="30" customHeight="1">
      <c r="B737" s="1405"/>
      <c r="C737" s="1415" t="s">
        <v>190</v>
      </c>
      <c r="D737" s="1409">
        <v>1</v>
      </c>
      <c r="E737" s="1409">
        <f>VLOOKUP(C737,Sheet1!I7:$Q$39,5,0)</f>
        <v>2</v>
      </c>
      <c r="F737" s="1410">
        <f>VLOOKUP(C737,Sheet1!I7:$Q$39,2,0)+0.46</f>
        <v>1.2729999999999999</v>
      </c>
      <c r="G737" s="1410">
        <v>0.23</v>
      </c>
      <c r="H737" s="1410">
        <v>0.05</v>
      </c>
      <c r="I737" s="1471">
        <f t="shared" si="258"/>
        <v>2.9278999999999999E-2</v>
      </c>
      <c r="O737" s="1395"/>
      <c r="Q737" s="1394">
        <f>IFERROR(VLOOKUP(M737,#REF!,3,0),0)</f>
        <v>0</v>
      </c>
      <c r="R737" s="1394">
        <f t="shared" si="246"/>
        <v>0</v>
      </c>
      <c r="S737" s="1394">
        <f>IFERROR(VLOOKUP(M737,#REF!,6,0),0)</f>
        <v>0</v>
      </c>
      <c r="T737" s="1394">
        <f t="shared" si="247"/>
        <v>0</v>
      </c>
      <c r="U737" s="1394">
        <f>IFERROR(VLOOKUP(M737,#REF!,5,0),0)</f>
        <v>0</v>
      </c>
      <c r="V737" s="1394">
        <f t="shared" si="248"/>
        <v>0</v>
      </c>
      <c r="W737" s="1394"/>
    </row>
    <row r="738" spans="2:23" ht="30" customHeight="1">
      <c r="B738" s="1405"/>
      <c r="C738" s="1408" t="s">
        <v>5513</v>
      </c>
      <c r="D738" s="1409">
        <v>1</v>
      </c>
      <c r="E738" s="1409">
        <f>VLOOKUP(C738,Sheet1!I8:$Q$39,5,0)</f>
        <v>1</v>
      </c>
      <c r="F738" s="1410">
        <f>VLOOKUP(C738,Sheet1!I8:$Q$39,2,0)+0.46</f>
        <v>2.46</v>
      </c>
      <c r="G738" s="1410">
        <f>G737</f>
        <v>0.23</v>
      </c>
      <c r="H738" s="1410">
        <f>H737</f>
        <v>0.05</v>
      </c>
      <c r="I738" s="1471">
        <f t="shared" ref="I738:I747" si="259">PRODUCT(D738:H738)</f>
        <v>2.8289999999999999E-2</v>
      </c>
      <c r="O738" s="1469"/>
      <c r="Q738" s="1394">
        <f>IFERROR(VLOOKUP(M738,#REF!,3,0),0)</f>
        <v>0</v>
      </c>
      <c r="R738" s="1394">
        <f t="shared" si="246"/>
        <v>0</v>
      </c>
      <c r="S738" s="1394">
        <f>IFERROR(VLOOKUP(M738,#REF!,6,0),0)</f>
        <v>0</v>
      </c>
      <c r="T738" s="1394">
        <f t="shared" si="247"/>
        <v>0</v>
      </c>
      <c r="U738" s="1394">
        <f>IFERROR(VLOOKUP(M738,#REF!,5,0),0)</f>
        <v>0</v>
      </c>
      <c r="V738" s="1394">
        <f t="shared" si="248"/>
        <v>0</v>
      </c>
      <c r="W738" s="1394"/>
    </row>
    <row r="739" spans="2:23" ht="30" customHeight="1">
      <c r="B739" s="1405"/>
      <c r="C739" s="1415" t="s">
        <v>5514</v>
      </c>
      <c r="D739" s="1409">
        <v>1</v>
      </c>
      <c r="E739" s="1409">
        <f>VLOOKUP(C739,Sheet1!I9:$Q$39,5,0)</f>
        <v>2</v>
      </c>
      <c r="F739" s="1410">
        <f>VLOOKUP(C739,Sheet1!I9:$Q$39,2,0)+0.46</f>
        <v>1.66</v>
      </c>
      <c r="G739" s="1410">
        <f t="shared" ref="G739:G747" si="260">G738</f>
        <v>0.23</v>
      </c>
      <c r="H739" s="1410">
        <f t="shared" ref="H739:H747" si="261">H738</f>
        <v>0.05</v>
      </c>
      <c r="I739" s="1471">
        <f t="shared" si="259"/>
        <v>3.8179999999999999E-2</v>
      </c>
      <c r="O739" s="1395"/>
      <c r="Q739" s="1394">
        <f>IFERROR(VLOOKUP(M739,#REF!,3,0),0)</f>
        <v>0</v>
      </c>
      <c r="R739" s="1394">
        <f t="shared" si="246"/>
        <v>0</v>
      </c>
      <c r="S739" s="1394">
        <f>IFERROR(VLOOKUP(M739,#REF!,6,0),0)</f>
        <v>0</v>
      </c>
      <c r="T739" s="1394">
        <f t="shared" si="247"/>
        <v>0</v>
      </c>
      <c r="U739" s="1394">
        <f>IFERROR(VLOOKUP(M739,#REF!,5,0),0)</f>
        <v>0</v>
      </c>
      <c r="V739" s="1394">
        <f t="shared" si="248"/>
        <v>0</v>
      </c>
      <c r="W739" s="1394"/>
    </row>
    <row r="740" spans="2:23" ht="30" customHeight="1">
      <c r="B740" s="1405"/>
      <c r="C740" s="1408" t="s">
        <v>252</v>
      </c>
      <c r="D740" s="1409">
        <v>1</v>
      </c>
      <c r="E740" s="1409">
        <f>VLOOKUP(C740,Sheet1!I10:$Q$39,5,0)</f>
        <v>1</v>
      </c>
      <c r="F740" s="1410">
        <f>VLOOKUP(C740,Sheet1!I10:$Q$39,2,0)+0.46</f>
        <v>2.2600000000000002</v>
      </c>
      <c r="G740" s="1410">
        <f t="shared" si="260"/>
        <v>0.23</v>
      </c>
      <c r="H740" s="1410">
        <f t="shared" si="261"/>
        <v>0.05</v>
      </c>
      <c r="I740" s="1471">
        <f t="shared" si="259"/>
        <v>2.5990000000000003E-2</v>
      </c>
      <c r="O740" s="1395"/>
      <c r="Q740" s="1394">
        <f>IFERROR(VLOOKUP(M740,#REF!,3,0),0)</f>
        <v>0</v>
      </c>
      <c r="R740" s="1394">
        <f t="shared" si="246"/>
        <v>0</v>
      </c>
      <c r="S740" s="1394">
        <f>IFERROR(VLOOKUP(M740,#REF!,6,0),0)</f>
        <v>0</v>
      </c>
      <c r="T740" s="1394">
        <f t="shared" si="247"/>
        <v>0</v>
      </c>
      <c r="U740" s="1394">
        <f>IFERROR(VLOOKUP(M740,#REF!,5,0),0)</f>
        <v>0</v>
      </c>
      <c r="V740" s="1394">
        <f t="shared" si="248"/>
        <v>0</v>
      </c>
      <c r="W740" s="1394"/>
    </row>
    <row r="741" spans="2:23" ht="30" customHeight="1">
      <c r="B741" s="1405"/>
      <c r="C741" s="1415" t="s">
        <v>248</v>
      </c>
      <c r="D741" s="1409">
        <v>1</v>
      </c>
      <c r="E741" s="1409">
        <f>VLOOKUP(C741,Sheet1!I11:$Q$39,5,0)</f>
        <v>1</v>
      </c>
      <c r="F741" s="1410">
        <f>VLOOKUP(C741,Sheet1!I11:$Q$39,2,0)+0.46</f>
        <v>2.2600000000000002</v>
      </c>
      <c r="G741" s="1410">
        <f t="shared" si="260"/>
        <v>0.23</v>
      </c>
      <c r="H741" s="1410">
        <f t="shared" si="261"/>
        <v>0.05</v>
      </c>
      <c r="I741" s="1471">
        <f t="shared" si="259"/>
        <v>2.5990000000000003E-2</v>
      </c>
      <c r="O741" s="1469"/>
      <c r="Q741" s="1394">
        <f>IFERROR(VLOOKUP(M741,#REF!,3,0),0)</f>
        <v>0</v>
      </c>
      <c r="R741" s="1394">
        <f t="shared" si="246"/>
        <v>0</v>
      </c>
      <c r="S741" s="1394">
        <f>IFERROR(VLOOKUP(M741,#REF!,6,0),0)</f>
        <v>0</v>
      </c>
      <c r="T741" s="1394">
        <f t="shared" si="247"/>
        <v>0</v>
      </c>
      <c r="U741" s="1394">
        <f>IFERROR(VLOOKUP(M741,#REF!,5,0),0)</f>
        <v>0</v>
      </c>
      <c r="V741" s="1394">
        <f t="shared" si="248"/>
        <v>0</v>
      </c>
      <c r="W741" s="1394"/>
    </row>
    <row r="742" spans="2:23" ht="30" customHeight="1">
      <c r="B742" s="1405"/>
      <c r="C742" s="1408" t="s">
        <v>249</v>
      </c>
      <c r="D742" s="1409">
        <v>1</v>
      </c>
      <c r="E742" s="1409">
        <f>VLOOKUP(C742,Sheet1!I12:$Q$39,5,0)</f>
        <v>1</v>
      </c>
      <c r="F742" s="1410">
        <f>VLOOKUP(C742,Sheet1!I12:$Q$39,2,0)+0.46</f>
        <v>1.96</v>
      </c>
      <c r="G742" s="1410">
        <f t="shared" si="260"/>
        <v>0.23</v>
      </c>
      <c r="H742" s="1410">
        <f t="shared" si="261"/>
        <v>0.05</v>
      </c>
      <c r="I742" s="1471">
        <f t="shared" si="259"/>
        <v>2.2540000000000004E-2</v>
      </c>
      <c r="O742" s="1395"/>
      <c r="Q742" s="1394">
        <f>IFERROR(VLOOKUP(M742,#REF!,3,0),0)</f>
        <v>0</v>
      </c>
      <c r="R742" s="1394">
        <f t="shared" si="246"/>
        <v>0</v>
      </c>
      <c r="S742" s="1394">
        <f>IFERROR(VLOOKUP(M742,#REF!,6,0),0)</f>
        <v>0</v>
      </c>
      <c r="T742" s="1394">
        <f t="shared" si="247"/>
        <v>0</v>
      </c>
      <c r="U742" s="1394">
        <f>IFERROR(VLOOKUP(M742,#REF!,5,0),0)</f>
        <v>0</v>
      </c>
      <c r="V742" s="1394">
        <f t="shared" si="248"/>
        <v>0</v>
      </c>
      <c r="W742" s="1394"/>
    </row>
    <row r="743" spans="2:23" ht="30" customHeight="1">
      <c r="B743" s="1405"/>
      <c r="C743" s="1408" t="s">
        <v>250</v>
      </c>
      <c r="D743" s="1409">
        <v>1</v>
      </c>
      <c r="E743" s="1409">
        <f>VLOOKUP(C743,Sheet1!I13:$Q$39,5,0)</f>
        <v>10</v>
      </c>
      <c r="F743" s="1410">
        <f>VLOOKUP(C743,Sheet1!I13:$Q$39,2,0)+0.46</f>
        <v>1.66</v>
      </c>
      <c r="G743" s="1410">
        <f t="shared" si="260"/>
        <v>0.23</v>
      </c>
      <c r="H743" s="1410">
        <f t="shared" si="261"/>
        <v>0.05</v>
      </c>
      <c r="I743" s="1471">
        <f t="shared" si="259"/>
        <v>0.19089999999999999</v>
      </c>
      <c r="O743" s="1395"/>
      <c r="Q743" s="1394">
        <f>IFERROR(VLOOKUP(M743,#REF!,3,0),0)</f>
        <v>0</v>
      </c>
      <c r="R743" s="1394">
        <f t="shared" si="246"/>
        <v>0</v>
      </c>
      <c r="S743" s="1394">
        <f>IFERROR(VLOOKUP(M743,#REF!,6,0),0)</f>
        <v>0</v>
      </c>
      <c r="T743" s="1394">
        <f t="shared" si="247"/>
        <v>0</v>
      </c>
      <c r="U743" s="1394">
        <f>IFERROR(VLOOKUP(M743,#REF!,5,0),0)</f>
        <v>0</v>
      </c>
      <c r="V743" s="1394">
        <f t="shared" si="248"/>
        <v>0</v>
      </c>
      <c r="W743" s="1394"/>
    </row>
    <row r="744" spans="2:23" ht="30" customHeight="1">
      <c r="B744" s="1405"/>
      <c r="C744" s="1415" t="s">
        <v>251</v>
      </c>
      <c r="D744" s="1409">
        <v>1</v>
      </c>
      <c r="E744" s="1409">
        <f>VLOOKUP(C744,Sheet1!I14:$Q$39,5,0)</f>
        <v>4</v>
      </c>
      <c r="F744" s="1410">
        <f>VLOOKUP(C744,Sheet1!I14:$Q$39,2,0)+0.46</f>
        <v>1.46</v>
      </c>
      <c r="G744" s="1410">
        <f t="shared" si="260"/>
        <v>0.23</v>
      </c>
      <c r="H744" s="1410">
        <f t="shared" si="261"/>
        <v>0.05</v>
      </c>
      <c r="I744" s="1471">
        <f t="shared" si="259"/>
        <v>6.7159999999999997E-2</v>
      </c>
      <c r="O744" s="1395"/>
      <c r="Q744" s="1394">
        <f>IFERROR(VLOOKUP(M744,#REF!,3,0),0)</f>
        <v>0</v>
      </c>
      <c r="R744" s="1394">
        <f t="shared" si="246"/>
        <v>0</v>
      </c>
      <c r="S744" s="1394">
        <f>IFERROR(VLOOKUP(M744,#REF!,6,0),0)</f>
        <v>0</v>
      </c>
      <c r="T744" s="1394">
        <f t="shared" si="247"/>
        <v>0</v>
      </c>
      <c r="U744" s="1394">
        <f>IFERROR(VLOOKUP(M744,#REF!,5,0),0)</f>
        <v>0</v>
      </c>
      <c r="V744" s="1394">
        <f t="shared" si="248"/>
        <v>0</v>
      </c>
      <c r="W744" s="1394"/>
    </row>
    <row r="745" spans="2:23" ht="30" customHeight="1">
      <c r="B745" s="1405"/>
      <c r="C745" s="1408" t="s">
        <v>253</v>
      </c>
      <c r="D745" s="1409">
        <v>1</v>
      </c>
      <c r="E745" s="1409">
        <f>VLOOKUP(C745,Sheet1!I15:$Q$39,5,0)</f>
        <v>2</v>
      </c>
      <c r="F745" s="1410">
        <f>VLOOKUP(C745,Sheet1!I15:$Q$39,2,0)+0.46</f>
        <v>1.46</v>
      </c>
      <c r="G745" s="1410">
        <f t="shared" si="260"/>
        <v>0.23</v>
      </c>
      <c r="H745" s="1410">
        <f t="shared" si="261"/>
        <v>0.05</v>
      </c>
      <c r="I745" s="1471">
        <f t="shared" si="259"/>
        <v>3.3579999999999999E-2</v>
      </c>
      <c r="O745" s="1395"/>
      <c r="Q745" s="1394">
        <f>IFERROR(VLOOKUP(M745,#REF!,3,0),0)</f>
        <v>0</v>
      </c>
      <c r="R745" s="1394">
        <f t="shared" si="246"/>
        <v>0</v>
      </c>
      <c r="S745" s="1394">
        <f>IFERROR(VLOOKUP(M745,#REF!,6,0),0)</f>
        <v>0</v>
      </c>
      <c r="T745" s="1394">
        <f t="shared" si="247"/>
        <v>0</v>
      </c>
      <c r="U745" s="1394">
        <f>IFERROR(VLOOKUP(M745,#REF!,5,0),0)</f>
        <v>0</v>
      </c>
      <c r="V745" s="1394">
        <f t="shared" si="248"/>
        <v>0</v>
      </c>
      <c r="W745" s="1394"/>
    </row>
    <row r="746" spans="2:23" ht="30" customHeight="1">
      <c r="B746" s="1405"/>
      <c r="C746" s="1415" t="s">
        <v>372</v>
      </c>
      <c r="D746" s="1409">
        <v>1</v>
      </c>
      <c r="E746" s="1409">
        <f>VLOOKUP(C746,Sheet1!I16:$Q$39,5,0)</f>
        <v>2</v>
      </c>
      <c r="F746" s="1410">
        <f>VLOOKUP(C746,Sheet1!I16:$Q$39,2,0)+0.46</f>
        <v>1.06</v>
      </c>
      <c r="G746" s="1410">
        <f t="shared" si="260"/>
        <v>0.23</v>
      </c>
      <c r="H746" s="1410">
        <f t="shared" si="261"/>
        <v>0.05</v>
      </c>
      <c r="I746" s="1471">
        <f t="shared" si="259"/>
        <v>2.4380000000000002E-2</v>
      </c>
      <c r="O746" s="1395"/>
      <c r="Q746" s="1394">
        <f>IFERROR(VLOOKUP(M746,#REF!,3,0),0)</f>
        <v>0</v>
      </c>
      <c r="R746" s="1394">
        <f t="shared" si="246"/>
        <v>0</v>
      </c>
      <c r="S746" s="1394">
        <f>IFERROR(VLOOKUP(M746,#REF!,6,0),0)</f>
        <v>0</v>
      </c>
      <c r="T746" s="1394">
        <f t="shared" si="247"/>
        <v>0</v>
      </c>
      <c r="U746" s="1394">
        <f>IFERROR(VLOOKUP(M746,#REF!,5,0),0)</f>
        <v>0</v>
      </c>
      <c r="V746" s="1394">
        <f t="shared" si="248"/>
        <v>0</v>
      </c>
      <c r="W746" s="1394"/>
    </row>
    <row r="747" spans="2:23" ht="30" customHeight="1">
      <c r="B747" s="1405"/>
      <c r="C747" s="1408" t="s">
        <v>257</v>
      </c>
      <c r="D747" s="1409">
        <v>1</v>
      </c>
      <c r="E747" s="1409">
        <f>VLOOKUP(C747,Sheet1!I17:$Q$39,5,0)</f>
        <v>4</v>
      </c>
      <c r="F747" s="1410">
        <f>VLOOKUP(C747,Sheet1!I17:$Q$39,2,0)+0.46</f>
        <v>1.36</v>
      </c>
      <c r="G747" s="1410">
        <f t="shared" si="260"/>
        <v>0.23</v>
      </c>
      <c r="H747" s="1410">
        <f t="shared" si="261"/>
        <v>0.05</v>
      </c>
      <c r="I747" s="1471">
        <f t="shared" si="259"/>
        <v>6.2560000000000004E-2</v>
      </c>
      <c r="O747" s="1469"/>
      <c r="Q747" s="1394">
        <f>IFERROR(VLOOKUP(M747,#REF!,3,0),0)</f>
        <v>0</v>
      </c>
      <c r="R747" s="1394">
        <f t="shared" si="246"/>
        <v>0</v>
      </c>
      <c r="S747" s="1394">
        <f>IFERROR(VLOOKUP(M747,#REF!,6,0),0)</f>
        <v>0</v>
      </c>
      <c r="T747" s="1394">
        <f t="shared" si="247"/>
        <v>0</v>
      </c>
      <c r="U747" s="1394">
        <f>IFERROR(VLOOKUP(M747,#REF!,5,0),0)</f>
        <v>0</v>
      </c>
      <c r="V747" s="1394">
        <f t="shared" si="248"/>
        <v>0</v>
      </c>
      <c r="W747" s="1394"/>
    </row>
    <row r="748" spans="2:23" ht="30" customHeight="1">
      <c r="B748" s="1405"/>
      <c r="C748" s="1415"/>
      <c r="D748" s="1409"/>
      <c r="E748" s="1409"/>
      <c r="F748" s="1410"/>
      <c r="G748" s="1410"/>
      <c r="H748" s="1411"/>
      <c r="I748" s="1425"/>
      <c r="Q748" s="1394">
        <f>IFERROR(VLOOKUP(M748,#REF!,3,0),0)</f>
        <v>0</v>
      </c>
      <c r="R748" s="1394">
        <f t="shared" si="246"/>
        <v>0</v>
      </c>
      <c r="S748" s="1394">
        <f>IFERROR(VLOOKUP(M748,#REF!,6,0),0)</f>
        <v>0</v>
      </c>
      <c r="T748" s="1394">
        <f t="shared" si="247"/>
        <v>0</v>
      </c>
      <c r="U748" s="1394">
        <f>IFERROR(VLOOKUP(M748,#REF!,5,0),0)</f>
        <v>0</v>
      </c>
      <c r="V748" s="1394">
        <f t="shared" si="248"/>
        <v>0</v>
      </c>
      <c r="W748" s="1394"/>
    </row>
    <row r="749" spans="2:23" ht="30" customHeight="1">
      <c r="B749" s="1405"/>
      <c r="C749" s="1408"/>
      <c r="D749" s="1409"/>
      <c r="E749" s="1409"/>
      <c r="F749" s="1410"/>
      <c r="G749" s="1410"/>
      <c r="H749" s="1411"/>
      <c r="I749" s="1425"/>
      <c r="Q749" s="1394">
        <f>IFERROR(VLOOKUP(M749,#REF!,3,0),0)</f>
        <v>0</v>
      </c>
      <c r="R749" s="1394">
        <f t="shared" si="246"/>
        <v>0</v>
      </c>
      <c r="S749" s="1394">
        <f>IFERROR(VLOOKUP(M749,#REF!,6,0),0)</f>
        <v>0</v>
      </c>
      <c r="T749" s="1394">
        <f t="shared" si="247"/>
        <v>0</v>
      </c>
      <c r="U749" s="1394">
        <f>IFERROR(VLOOKUP(M749,#REF!,5,0),0)</f>
        <v>0</v>
      </c>
      <c r="V749" s="1394">
        <f t="shared" si="248"/>
        <v>0</v>
      </c>
      <c r="W749" s="1394"/>
    </row>
    <row r="750" spans="2:23" ht="30" customHeight="1">
      <c r="B750" s="1405"/>
      <c r="C750" s="1415" t="s">
        <v>304</v>
      </c>
      <c r="D750" s="1409"/>
      <c r="E750" s="1409"/>
      <c r="F750" s="1410"/>
      <c r="G750" s="1410"/>
      <c r="H750" s="1411"/>
      <c r="I750" s="1425">
        <f t="shared" ref="I750:I751" si="262">PRODUCT(D750:H750)</f>
        <v>0</v>
      </c>
      <c r="Q750" s="1394">
        <f>IFERROR(VLOOKUP(M750,#REF!,3,0),0)</f>
        <v>0</v>
      </c>
      <c r="R750" s="1394">
        <f t="shared" ref="R750:R813" si="263">ROUND(O750,2)*ROUND(Q750,2)</f>
        <v>0</v>
      </c>
      <c r="S750" s="1394">
        <f>IFERROR(VLOOKUP(M750,#REF!,6,0),0)</f>
        <v>0</v>
      </c>
      <c r="T750" s="1394">
        <f t="shared" ref="T750:T813" si="264">R750-S750</f>
        <v>0</v>
      </c>
      <c r="U750" s="1394">
        <f>IFERROR(VLOOKUP(M750,#REF!,5,0),0)</f>
        <v>0</v>
      </c>
      <c r="V750" s="1394">
        <f t="shared" ref="V750:V813" si="265">O750-U750</f>
        <v>0</v>
      </c>
      <c r="W750" s="1394"/>
    </row>
    <row r="751" spans="2:23" ht="30" customHeight="1">
      <c r="B751" s="1405"/>
      <c r="C751" s="1408" t="str">
        <f t="shared" ref="C751:C765" si="266">C1363</f>
        <v>Main wall all alround</v>
      </c>
      <c r="D751" s="1409">
        <f t="shared" ref="D751:D765" si="267">-D1363</f>
        <v>1</v>
      </c>
      <c r="E751" s="1409">
        <f>E1363</f>
        <v>1</v>
      </c>
      <c r="F751" s="1410">
        <f>F1363</f>
        <v>86.29</v>
      </c>
      <c r="G751" s="1410">
        <f>G1363</f>
        <v>0.23</v>
      </c>
      <c r="H751" s="1410">
        <f>H1363</f>
        <v>0.1</v>
      </c>
      <c r="I751" s="1471">
        <f t="shared" si="262"/>
        <v>1.9846700000000004</v>
      </c>
      <c r="Q751" s="1394">
        <f>IFERROR(VLOOKUP(M751,#REF!,3,0),0)</f>
        <v>0</v>
      </c>
      <c r="R751" s="1394">
        <f t="shared" si="263"/>
        <v>0</v>
      </c>
      <c r="S751" s="1394">
        <f>IFERROR(VLOOKUP(M751,#REF!,6,0),0)</f>
        <v>0</v>
      </c>
      <c r="T751" s="1394">
        <f t="shared" si="264"/>
        <v>0</v>
      </c>
      <c r="U751" s="1394">
        <f>IFERROR(VLOOKUP(M751,#REF!,5,0),0)</f>
        <v>0</v>
      </c>
      <c r="V751" s="1394">
        <f t="shared" si="265"/>
        <v>0</v>
      </c>
      <c r="W751" s="1394"/>
    </row>
    <row r="752" spans="2:23" ht="30" customHeight="1">
      <c r="B752" s="1405"/>
      <c r="C752" s="1408" t="str">
        <f t="shared" si="266"/>
        <v>Lift Front Wall</v>
      </c>
      <c r="D752" s="1409">
        <f t="shared" si="267"/>
        <v>1</v>
      </c>
      <c r="E752" s="1409">
        <f t="shared" ref="E752:H752" si="268">E1364</f>
        <v>1</v>
      </c>
      <c r="F752" s="1410">
        <f t="shared" si="268"/>
        <v>2.5350000000000001</v>
      </c>
      <c r="G752" s="1410">
        <f t="shared" si="268"/>
        <v>0.23</v>
      </c>
      <c r="H752" s="1410">
        <f t="shared" si="268"/>
        <v>0.1</v>
      </c>
      <c r="I752" s="1471">
        <f t="shared" ref="I752:I781" si="269">PRODUCT(D752:H752)</f>
        <v>5.830500000000001E-2</v>
      </c>
      <c r="Q752" s="1394">
        <f>IFERROR(VLOOKUP(M752,#REF!,3,0),0)</f>
        <v>0</v>
      </c>
      <c r="R752" s="1394">
        <f t="shared" si="263"/>
        <v>0</v>
      </c>
      <c r="S752" s="1394">
        <f>IFERROR(VLOOKUP(M752,#REF!,6,0),0)</f>
        <v>0</v>
      </c>
      <c r="T752" s="1394">
        <f t="shared" si="264"/>
        <v>0</v>
      </c>
      <c r="U752" s="1394">
        <f>IFERROR(VLOOKUP(M752,#REF!,5,0),0)</f>
        <v>0</v>
      </c>
      <c r="V752" s="1394">
        <f t="shared" si="265"/>
        <v>0</v>
      </c>
      <c r="W752" s="1394"/>
    </row>
    <row r="753" spans="2:23" ht="30" customHeight="1">
      <c r="B753" s="1405"/>
      <c r="C753" s="1408" t="str">
        <f t="shared" si="266"/>
        <v>Lift Side Wall</v>
      </c>
      <c r="D753" s="1409">
        <f t="shared" si="267"/>
        <v>1</v>
      </c>
      <c r="E753" s="1409">
        <f t="shared" ref="E753:H753" si="270">E1365</f>
        <v>1</v>
      </c>
      <c r="F753" s="1410">
        <f t="shared" si="270"/>
        <v>2.33</v>
      </c>
      <c r="G753" s="1410">
        <f t="shared" si="270"/>
        <v>0.23</v>
      </c>
      <c r="H753" s="1410">
        <f t="shared" si="270"/>
        <v>0.1</v>
      </c>
      <c r="I753" s="1471">
        <f t="shared" si="269"/>
        <v>5.3590000000000006E-2</v>
      </c>
      <c r="Q753" s="1394">
        <f>IFERROR(VLOOKUP(M753,#REF!,3,0),0)</f>
        <v>0</v>
      </c>
      <c r="R753" s="1394">
        <f t="shared" si="263"/>
        <v>0</v>
      </c>
      <c r="S753" s="1394">
        <f>IFERROR(VLOOKUP(M753,#REF!,6,0),0)</f>
        <v>0</v>
      </c>
      <c r="T753" s="1394">
        <f t="shared" si="264"/>
        <v>0</v>
      </c>
      <c r="U753" s="1394">
        <f>IFERROR(VLOOKUP(M753,#REF!,5,0),0)</f>
        <v>0</v>
      </c>
      <c r="V753" s="1394">
        <f t="shared" si="265"/>
        <v>0</v>
      </c>
      <c r="W753" s="1394"/>
    </row>
    <row r="754" spans="2:23" ht="30" customHeight="1">
      <c r="B754" s="1405"/>
      <c r="C754" s="1408" t="str">
        <f t="shared" si="266"/>
        <v>Cross wall between Stair case lobby / Hall</v>
      </c>
      <c r="D754" s="1409">
        <f t="shared" si="267"/>
        <v>1</v>
      </c>
      <c r="E754" s="1409">
        <f t="shared" ref="E754:H754" si="271">E1366</f>
        <v>1</v>
      </c>
      <c r="F754" s="1410">
        <f t="shared" si="271"/>
        <v>7.1150000000000002</v>
      </c>
      <c r="G754" s="1410">
        <f t="shared" si="271"/>
        <v>0.23</v>
      </c>
      <c r="H754" s="1410">
        <f t="shared" si="271"/>
        <v>0.1</v>
      </c>
      <c r="I754" s="1471">
        <f t="shared" si="269"/>
        <v>0.16364500000000004</v>
      </c>
      <c r="Q754" s="1394">
        <f>IFERROR(VLOOKUP(M754,#REF!,3,0),0)</f>
        <v>0</v>
      </c>
      <c r="R754" s="1394">
        <f t="shared" si="263"/>
        <v>0</v>
      </c>
      <c r="S754" s="1394">
        <f>IFERROR(VLOOKUP(M754,#REF!,6,0),0)</f>
        <v>0</v>
      </c>
      <c r="T754" s="1394">
        <f t="shared" si="264"/>
        <v>0</v>
      </c>
      <c r="U754" s="1394">
        <f>IFERROR(VLOOKUP(M754,#REF!,5,0),0)</f>
        <v>0</v>
      </c>
      <c r="V754" s="1394">
        <f t="shared" si="265"/>
        <v>0</v>
      </c>
      <c r="W754" s="1394"/>
    </row>
    <row r="755" spans="2:23" ht="30" customHeight="1">
      <c r="B755" s="1405"/>
      <c r="C755" s="1408" t="str">
        <f t="shared" si="266"/>
        <v>SI Room</v>
      </c>
      <c r="D755" s="1409">
        <f t="shared" si="267"/>
        <v>0</v>
      </c>
      <c r="E755" s="1409">
        <f t="shared" ref="E755:H755" si="272">E1367</f>
        <v>0</v>
      </c>
      <c r="F755" s="1410">
        <f t="shared" si="272"/>
        <v>0</v>
      </c>
      <c r="G755" s="1410">
        <f t="shared" si="272"/>
        <v>0</v>
      </c>
      <c r="H755" s="1410">
        <f t="shared" si="272"/>
        <v>0</v>
      </c>
      <c r="I755" s="1471">
        <f t="shared" si="269"/>
        <v>0</v>
      </c>
      <c r="Q755" s="1394">
        <f>IFERROR(VLOOKUP(M755,#REF!,3,0),0)</f>
        <v>0</v>
      </c>
      <c r="R755" s="1394">
        <f t="shared" si="263"/>
        <v>0</v>
      </c>
      <c r="S755" s="1394">
        <f>IFERROR(VLOOKUP(M755,#REF!,6,0),0)</f>
        <v>0</v>
      </c>
      <c r="T755" s="1394">
        <f t="shared" si="264"/>
        <v>0</v>
      </c>
      <c r="U755" s="1394">
        <f>IFERROR(VLOOKUP(M755,#REF!,5,0),0)</f>
        <v>0</v>
      </c>
      <c r="V755" s="1394">
        <f t="shared" si="265"/>
        <v>0</v>
      </c>
      <c r="W755" s="1394"/>
    </row>
    <row r="756" spans="2:23" ht="30" customHeight="1">
      <c r="B756" s="1405"/>
      <c r="C756" s="1408" t="str">
        <f t="shared" si="266"/>
        <v>Cross wall between SI Room  / Toilet /Hall</v>
      </c>
      <c r="D756" s="1409">
        <f t="shared" si="267"/>
        <v>1</v>
      </c>
      <c r="E756" s="1409">
        <f t="shared" ref="E756:H756" si="273">E1368</f>
        <v>1</v>
      </c>
      <c r="F756" s="1410">
        <f t="shared" si="273"/>
        <v>4</v>
      </c>
      <c r="G756" s="1410">
        <f t="shared" si="273"/>
        <v>0.23</v>
      </c>
      <c r="H756" s="1410">
        <f t="shared" si="273"/>
        <v>0.1</v>
      </c>
      <c r="I756" s="1471">
        <f t="shared" si="269"/>
        <v>9.2000000000000012E-2</v>
      </c>
      <c r="Q756" s="1394">
        <f>IFERROR(VLOOKUP(M756,#REF!,3,0),0)</f>
        <v>0</v>
      </c>
      <c r="R756" s="1394">
        <f t="shared" si="263"/>
        <v>0</v>
      </c>
      <c r="S756" s="1394">
        <f>IFERROR(VLOOKUP(M756,#REF!,6,0),0)</f>
        <v>0</v>
      </c>
      <c r="T756" s="1394">
        <f t="shared" si="264"/>
        <v>0</v>
      </c>
      <c r="U756" s="1394">
        <f>IFERROR(VLOOKUP(M756,#REF!,5,0),0)</f>
        <v>0</v>
      </c>
      <c r="V756" s="1394">
        <f t="shared" si="265"/>
        <v>0</v>
      </c>
      <c r="W756" s="1394"/>
    </row>
    <row r="757" spans="2:23" ht="30" customHeight="1">
      <c r="B757" s="1405"/>
      <c r="C757" s="1408" t="str">
        <f t="shared" si="266"/>
        <v>D/F Toilet Open</v>
      </c>
      <c r="D757" s="1409">
        <f t="shared" si="267"/>
        <v>-1</v>
      </c>
      <c r="E757" s="1409">
        <f t="shared" ref="E757:H757" si="274">E1369</f>
        <v>1</v>
      </c>
      <c r="F757" s="1410">
        <f t="shared" si="274"/>
        <v>1</v>
      </c>
      <c r="G757" s="1410">
        <f t="shared" si="274"/>
        <v>0.23</v>
      </c>
      <c r="H757" s="1410">
        <f t="shared" si="274"/>
        <v>0.1</v>
      </c>
      <c r="I757" s="1471">
        <f t="shared" si="269"/>
        <v>-2.3000000000000003E-2</v>
      </c>
      <c r="Q757" s="1394">
        <f>IFERROR(VLOOKUP(M757,#REF!,3,0),0)</f>
        <v>0</v>
      </c>
      <c r="R757" s="1394">
        <f t="shared" si="263"/>
        <v>0</v>
      </c>
      <c r="S757" s="1394">
        <f>IFERROR(VLOOKUP(M757,#REF!,6,0),0)</f>
        <v>0</v>
      </c>
      <c r="T757" s="1394">
        <f t="shared" si="264"/>
        <v>0</v>
      </c>
      <c r="U757" s="1394">
        <f>IFERROR(VLOOKUP(M757,#REF!,5,0),0)</f>
        <v>0</v>
      </c>
      <c r="V757" s="1394">
        <f t="shared" si="265"/>
        <v>0</v>
      </c>
      <c r="W757" s="1394"/>
    </row>
    <row r="758" spans="2:23" ht="30" customHeight="1">
      <c r="B758" s="1405"/>
      <c r="C758" s="1408" t="str">
        <f t="shared" si="266"/>
        <v>Piller</v>
      </c>
      <c r="D758" s="1409">
        <f t="shared" si="267"/>
        <v>1</v>
      </c>
      <c r="E758" s="1409">
        <f t="shared" ref="E758:H758" si="275">E1370</f>
        <v>1</v>
      </c>
      <c r="F758" s="1410">
        <f t="shared" si="275"/>
        <v>0.23</v>
      </c>
      <c r="G758" s="1410">
        <f t="shared" si="275"/>
        <v>0.23</v>
      </c>
      <c r="H758" s="1410">
        <f t="shared" si="275"/>
        <v>0.1</v>
      </c>
      <c r="I758" s="1471">
        <f t="shared" si="269"/>
        <v>5.2900000000000004E-3</v>
      </c>
      <c r="Q758" s="1394">
        <f>IFERROR(VLOOKUP(M758,#REF!,3,0),0)</f>
        <v>0</v>
      </c>
      <c r="R758" s="1394">
        <f t="shared" si="263"/>
        <v>0</v>
      </c>
      <c r="S758" s="1394">
        <f>IFERROR(VLOOKUP(M758,#REF!,6,0),0)</f>
        <v>0</v>
      </c>
      <c r="T758" s="1394">
        <f t="shared" si="264"/>
        <v>0</v>
      </c>
      <c r="U758" s="1394">
        <f>IFERROR(VLOOKUP(M758,#REF!,5,0),0)</f>
        <v>0</v>
      </c>
      <c r="V758" s="1394">
        <f t="shared" si="265"/>
        <v>0</v>
      </c>
      <c r="W758" s="1394"/>
    </row>
    <row r="759" spans="2:23" ht="30" customHeight="1">
      <c r="B759" s="1405"/>
      <c r="C759" s="1408" t="str">
        <f t="shared" si="266"/>
        <v>Cross wall between SI Room  / Lift Stair</v>
      </c>
      <c r="D759" s="1409">
        <f t="shared" si="267"/>
        <v>1</v>
      </c>
      <c r="E759" s="1409">
        <f t="shared" ref="E759:H759" si="276">E1371</f>
        <v>1</v>
      </c>
      <c r="F759" s="1410">
        <f t="shared" si="276"/>
        <v>5.53</v>
      </c>
      <c r="G759" s="1410">
        <f t="shared" si="276"/>
        <v>0.23</v>
      </c>
      <c r="H759" s="1410">
        <f t="shared" si="276"/>
        <v>0.1</v>
      </c>
      <c r="I759" s="1471">
        <f t="shared" si="269"/>
        <v>0.12719</v>
      </c>
      <c r="Q759" s="1394">
        <f>IFERROR(VLOOKUP(M759,#REF!,3,0),0)</f>
        <v>0</v>
      </c>
      <c r="R759" s="1394">
        <f t="shared" si="263"/>
        <v>0</v>
      </c>
      <c r="S759" s="1394">
        <f>IFERROR(VLOOKUP(M759,#REF!,6,0),0)</f>
        <v>0</v>
      </c>
      <c r="T759" s="1394">
        <f t="shared" si="264"/>
        <v>0</v>
      </c>
      <c r="U759" s="1394">
        <f>IFERROR(VLOOKUP(M759,#REF!,5,0),0)</f>
        <v>0</v>
      </c>
      <c r="V759" s="1394">
        <f t="shared" si="265"/>
        <v>0</v>
      </c>
      <c r="W759" s="1394"/>
    </row>
    <row r="760" spans="2:23" ht="30" customHeight="1">
      <c r="B760" s="1405"/>
      <c r="C760" s="1408" t="str">
        <f t="shared" si="266"/>
        <v>Writer</v>
      </c>
      <c r="D760" s="1409">
        <f t="shared" si="267"/>
        <v>0</v>
      </c>
      <c r="E760" s="1409">
        <f t="shared" ref="E760:H760" si="277">E1372</f>
        <v>0</v>
      </c>
      <c r="F760" s="1410">
        <f t="shared" si="277"/>
        <v>0</v>
      </c>
      <c r="G760" s="1410">
        <f t="shared" si="277"/>
        <v>0</v>
      </c>
      <c r="H760" s="1410">
        <f t="shared" si="277"/>
        <v>0</v>
      </c>
      <c r="I760" s="1471">
        <f t="shared" si="269"/>
        <v>0</v>
      </c>
      <c r="Q760" s="1394">
        <f>IFERROR(VLOOKUP(M760,#REF!,3,0),0)</f>
        <v>0</v>
      </c>
      <c r="R760" s="1394">
        <f t="shared" si="263"/>
        <v>0</v>
      </c>
      <c r="S760" s="1394">
        <f>IFERROR(VLOOKUP(M760,#REF!,6,0),0)</f>
        <v>0</v>
      </c>
      <c r="T760" s="1394">
        <f t="shared" si="264"/>
        <v>0</v>
      </c>
      <c r="U760" s="1394">
        <f>IFERROR(VLOOKUP(M760,#REF!,5,0),0)</f>
        <v>0</v>
      </c>
      <c r="V760" s="1394">
        <f t="shared" si="265"/>
        <v>0</v>
      </c>
      <c r="W760" s="1394"/>
    </row>
    <row r="761" spans="2:23" ht="30" customHeight="1">
      <c r="B761" s="1405"/>
      <c r="C761" s="1408" t="str">
        <f t="shared" si="266"/>
        <v>Cross wall between  Writer / Stair case lobby</v>
      </c>
      <c r="D761" s="1409">
        <f t="shared" si="267"/>
        <v>1</v>
      </c>
      <c r="E761" s="1409">
        <f t="shared" ref="E761:H761" si="278">E1373</f>
        <v>1</v>
      </c>
      <c r="F761" s="1410">
        <f t="shared" si="278"/>
        <v>5.53</v>
      </c>
      <c r="G761" s="1410">
        <f t="shared" si="278"/>
        <v>0.23</v>
      </c>
      <c r="H761" s="1410">
        <f t="shared" si="278"/>
        <v>0.1</v>
      </c>
      <c r="I761" s="1471">
        <f t="shared" si="269"/>
        <v>0.12719</v>
      </c>
      <c r="Q761" s="1394">
        <f>IFERROR(VLOOKUP(M761,#REF!,3,0),0)</f>
        <v>0</v>
      </c>
      <c r="R761" s="1394">
        <f t="shared" si="263"/>
        <v>0</v>
      </c>
      <c r="S761" s="1394">
        <f>IFERROR(VLOOKUP(M761,#REF!,6,0),0)</f>
        <v>0</v>
      </c>
      <c r="T761" s="1394">
        <f t="shared" si="264"/>
        <v>0</v>
      </c>
      <c r="U761" s="1394">
        <f>IFERROR(VLOOKUP(M761,#REF!,5,0),0)</f>
        <v>0</v>
      </c>
      <c r="V761" s="1394">
        <f t="shared" si="265"/>
        <v>0</v>
      </c>
      <c r="W761" s="1394"/>
    </row>
    <row r="762" spans="2:23" ht="30" customHeight="1">
      <c r="B762" s="1405"/>
      <c r="C762" s="1408" t="str">
        <f t="shared" si="266"/>
        <v>Cross wall between  Writer / Hall</v>
      </c>
      <c r="D762" s="1409">
        <f t="shared" si="267"/>
        <v>1</v>
      </c>
      <c r="E762" s="1409">
        <f t="shared" ref="E762:H762" si="279">E1374</f>
        <v>1</v>
      </c>
      <c r="F762" s="1410">
        <f t="shared" si="279"/>
        <v>3.4550000000000001</v>
      </c>
      <c r="G762" s="1410">
        <f t="shared" si="279"/>
        <v>0.23</v>
      </c>
      <c r="H762" s="1410">
        <f t="shared" si="279"/>
        <v>0.1</v>
      </c>
      <c r="I762" s="1471">
        <f t="shared" si="269"/>
        <v>7.9465000000000008E-2</v>
      </c>
      <c r="Q762" s="1394">
        <f>IFERROR(VLOOKUP(M762,#REF!,3,0),0)</f>
        <v>0</v>
      </c>
      <c r="R762" s="1394">
        <f t="shared" si="263"/>
        <v>0</v>
      </c>
      <c r="S762" s="1394">
        <f>IFERROR(VLOOKUP(M762,#REF!,6,0),0)</f>
        <v>0</v>
      </c>
      <c r="T762" s="1394">
        <f t="shared" si="264"/>
        <v>0</v>
      </c>
      <c r="U762" s="1394">
        <f>IFERROR(VLOOKUP(M762,#REF!,5,0),0)</f>
        <v>0</v>
      </c>
      <c r="V762" s="1394">
        <f t="shared" si="265"/>
        <v>0</v>
      </c>
      <c r="W762" s="1394"/>
    </row>
    <row r="763" spans="2:23" ht="30" customHeight="1">
      <c r="B763" s="1405"/>
      <c r="C763" s="1408" t="str">
        <f t="shared" si="266"/>
        <v>C/B Piller</v>
      </c>
      <c r="D763" s="1409">
        <f t="shared" si="267"/>
        <v>1</v>
      </c>
      <c r="E763" s="1409">
        <f t="shared" ref="E763:H763" si="280">E1375</f>
        <v>1</v>
      </c>
      <c r="F763" s="1410">
        <f t="shared" si="280"/>
        <v>0.71499999999999997</v>
      </c>
      <c r="G763" s="1410">
        <f t="shared" si="280"/>
        <v>0.23</v>
      </c>
      <c r="H763" s="1410">
        <f t="shared" si="280"/>
        <v>0.1</v>
      </c>
      <c r="I763" s="1471">
        <f t="shared" si="269"/>
        <v>1.6445000000000001E-2</v>
      </c>
      <c r="Q763" s="1394">
        <f>IFERROR(VLOOKUP(M763,#REF!,3,0),0)</f>
        <v>0</v>
      </c>
      <c r="R763" s="1394">
        <f t="shared" si="263"/>
        <v>0</v>
      </c>
      <c r="S763" s="1394">
        <f>IFERROR(VLOOKUP(M763,#REF!,6,0),0)</f>
        <v>0</v>
      </c>
      <c r="T763" s="1394">
        <f t="shared" si="264"/>
        <v>0</v>
      </c>
      <c r="U763" s="1394">
        <f>IFERROR(VLOOKUP(M763,#REF!,5,0),0)</f>
        <v>0</v>
      </c>
      <c r="V763" s="1394">
        <f t="shared" si="265"/>
        <v>0</v>
      </c>
      <c r="W763" s="1394"/>
    </row>
    <row r="764" spans="2:23" ht="30" customHeight="1">
      <c r="B764" s="1405"/>
      <c r="C764" s="1408" t="str">
        <f t="shared" si="266"/>
        <v>Ins L&amp;O</v>
      </c>
      <c r="D764" s="1409">
        <f t="shared" si="267"/>
        <v>0</v>
      </c>
      <c r="E764" s="1409">
        <f t="shared" ref="E764:H764" si="281">E1376</f>
        <v>0</v>
      </c>
      <c r="F764" s="1410">
        <f t="shared" si="281"/>
        <v>0</v>
      </c>
      <c r="G764" s="1410">
        <f t="shared" si="281"/>
        <v>0</v>
      </c>
      <c r="H764" s="1410">
        <f t="shared" si="281"/>
        <v>0</v>
      </c>
      <c r="I764" s="1471">
        <f t="shared" si="269"/>
        <v>0</v>
      </c>
      <c r="Q764" s="1394">
        <f>IFERROR(VLOOKUP(M764,#REF!,3,0),0)</f>
        <v>0</v>
      </c>
      <c r="R764" s="1394">
        <f t="shared" si="263"/>
        <v>0</v>
      </c>
      <c r="S764" s="1394">
        <f>IFERROR(VLOOKUP(M764,#REF!,6,0),0)</f>
        <v>0</v>
      </c>
      <c r="T764" s="1394">
        <f t="shared" si="264"/>
        <v>0</v>
      </c>
      <c r="U764" s="1394">
        <f>IFERROR(VLOOKUP(M764,#REF!,5,0),0)</f>
        <v>0</v>
      </c>
      <c r="V764" s="1394">
        <f t="shared" si="265"/>
        <v>0</v>
      </c>
      <c r="W764" s="1394"/>
    </row>
    <row r="765" spans="2:23" ht="30" customHeight="1">
      <c r="B765" s="1405"/>
      <c r="C765" s="1408" t="str">
        <f t="shared" si="266"/>
        <v>Cross wall between  Ins L&amp;O / Hall , Toilet</v>
      </c>
      <c r="D765" s="1409">
        <f t="shared" si="267"/>
        <v>1</v>
      </c>
      <c r="E765" s="1409">
        <f t="shared" ref="E765:H765" si="282">E1377</f>
        <v>1</v>
      </c>
      <c r="F765" s="1410">
        <f t="shared" si="282"/>
        <v>4</v>
      </c>
      <c r="G765" s="1410">
        <f t="shared" si="282"/>
        <v>0.23</v>
      </c>
      <c r="H765" s="1410">
        <f t="shared" si="282"/>
        <v>0.1</v>
      </c>
      <c r="I765" s="1471">
        <f t="shared" si="269"/>
        <v>9.2000000000000012E-2</v>
      </c>
      <c r="Q765" s="1394">
        <f>IFERROR(VLOOKUP(M765,#REF!,3,0),0)</f>
        <v>0</v>
      </c>
      <c r="R765" s="1394">
        <f t="shared" si="263"/>
        <v>0</v>
      </c>
      <c r="S765" s="1394">
        <f>IFERROR(VLOOKUP(M765,#REF!,6,0),0)</f>
        <v>0</v>
      </c>
      <c r="T765" s="1394">
        <f t="shared" si="264"/>
        <v>0</v>
      </c>
      <c r="U765" s="1394">
        <f>IFERROR(VLOOKUP(M765,#REF!,5,0),0)</f>
        <v>0</v>
      </c>
      <c r="V765" s="1394">
        <f t="shared" si="265"/>
        <v>0</v>
      </c>
      <c r="W765" s="1394"/>
    </row>
    <row r="766" spans="2:23" ht="30" customHeight="1">
      <c r="B766" s="1405"/>
      <c r="C766" s="1408"/>
      <c r="D766" s="1409"/>
      <c r="E766" s="1409"/>
      <c r="F766" s="1410"/>
      <c r="G766" s="1410"/>
      <c r="H766" s="1410"/>
      <c r="I766" s="1471"/>
      <c r="Q766" s="1394">
        <f>IFERROR(VLOOKUP(M766,#REF!,3,0),0)</f>
        <v>0</v>
      </c>
      <c r="R766" s="1394">
        <f t="shared" si="263"/>
        <v>0</v>
      </c>
      <c r="S766" s="1394">
        <f>IFERROR(VLOOKUP(M766,#REF!,6,0),0)</f>
        <v>0</v>
      </c>
      <c r="T766" s="1394">
        <f t="shared" si="264"/>
        <v>0</v>
      </c>
      <c r="U766" s="1394">
        <f>IFERROR(VLOOKUP(M766,#REF!,5,0),0)</f>
        <v>0</v>
      </c>
      <c r="V766" s="1394">
        <f t="shared" si="265"/>
        <v>0</v>
      </c>
      <c r="W766" s="1394"/>
    </row>
    <row r="767" spans="2:23" ht="30" customHeight="1">
      <c r="B767" s="1405"/>
      <c r="C767" s="1408" t="str">
        <f>C1378</f>
        <v>Cross wall between  Ins L&amp;O / Hall , Toilet Piller</v>
      </c>
      <c r="D767" s="1409">
        <f>-D1378</f>
        <v>1</v>
      </c>
      <c r="E767" s="1409">
        <f t="shared" ref="E767:H767" si="283">E1378</f>
        <v>1</v>
      </c>
      <c r="F767" s="1410">
        <f t="shared" si="283"/>
        <v>0.43</v>
      </c>
      <c r="G767" s="1410">
        <f t="shared" si="283"/>
        <v>0.23</v>
      </c>
      <c r="H767" s="1410">
        <f t="shared" si="283"/>
        <v>0.1</v>
      </c>
      <c r="I767" s="1471">
        <f t="shared" si="269"/>
        <v>9.8900000000000012E-3</v>
      </c>
      <c r="Q767" s="1394">
        <f>IFERROR(VLOOKUP(M767,#REF!,3,0),0)</f>
        <v>0</v>
      </c>
      <c r="R767" s="1394">
        <f t="shared" si="263"/>
        <v>0</v>
      </c>
      <c r="S767" s="1394">
        <f>IFERROR(VLOOKUP(M767,#REF!,6,0),0)</f>
        <v>0</v>
      </c>
      <c r="T767" s="1394">
        <f t="shared" si="264"/>
        <v>0</v>
      </c>
      <c r="U767" s="1394">
        <f>IFERROR(VLOOKUP(M767,#REF!,5,0),0)</f>
        <v>0</v>
      </c>
      <c r="V767" s="1394">
        <f t="shared" si="265"/>
        <v>0</v>
      </c>
      <c r="W767" s="1394"/>
    </row>
    <row r="768" spans="2:23" ht="30" customHeight="1">
      <c r="B768" s="1405"/>
      <c r="C768" s="1408" t="str">
        <f>C1379</f>
        <v>Lock up women</v>
      </c>
      <c r="D768" s="1409">
        <f>-D1379</f>
        <v>0</v>
      </c>
      <c r="E768" s="1409">
        <f t="shared" ref="E768:H768" si="284">E1379</f>
        <v>0</v>
      </c>
      <c r="F768" s="1410">
        <f t="shared" si="284"/>
        <v>0</v>
      </c>
      <c r="G768" s="1410">
        <f t="shared" si="284"/>
        <v>0</v>
      </c>
      <c r="H768" s="1410">
        <f t="shared" si="284"/>
        <v>0</v>
      </c>
      <c r="I768" s="1471">
        <f t="shared" si="269"/>
        <v>0</v>
      </c>
      <c r="Q768" s="1394">
        <f>IFERROR(VLOOKUP(M768,#REF!,3,0),0)</f>
        <v>0</v>
      </c>
      <c r="R768" s="1394">
        <f t="shared" si="263"/>
        <v>0</v>
      </c>
      <c r="S768" s="1394">
        <f>IFERROR(VLOOKUP(M768,#REF!,6,0),0)</f>
        <v>0</v>
      </c>
      <c r="T768" s="1394">
        <f t="shared" si="264"/>
        <v>0</v>
      </c>
      <c r="U768" s="1394">
        <f>IFERROR(VLOOKUP(M768,#REF!,5,0),0)</f>
        <v>0</v>
      </c>
      <c r="V768" s="1394">
        <f t="shared" si="265"/>
        <v>0</v>
      </c>
      <c r="W768" s="1394"/>
    </row>
    <row r="769" spans="2:23" ht="30" customHeight="1">
      <c r="B769" s="1405"/>
      <c r="C769" s="1408" t="str">
        <f>C1380</f>
        <v>Cross wall between Lock up women / Hall</v>
      </c>
      <c r="D769" s="1409">
        <f>-D1380</f>
        <v>1</v>
      </c>
      <c r="E769" s="1409">
        <f t="shared" ref="E769:H769" si="285">E1380</f>
        <v>1</v>
      </c>
      <c r="F769" s="1410">
        <f t="shared" si="285"/>
        <v>2.73</v>
      </c>
      <c r="G769" s="1410">
        <f t="shared" si="285"/>
        <v>0.23</v>
      </c>
      <c r="H769" s="1410">
        <f t="shared" si="285"/>
        <v>0.1</v>
      </c>
      <c r="I769" s="1471">
        <f t="shared" si="269"/>
        <v>6.2789999999999999E-2</v>
      </c>
      <c r="Q769" s="1394">
        <f>IFERROR(VLOOKUP(M769,#REF!,3,0),0)</f>
        <v>0</v>
      </c>
      <c r="R769" s="1394">
        <f t="shared" si="263"/>
        <v>0</v>
      </c>
      <c r="S769" s="1394">
        <f>IFERROR(VLOOKUP(M769,#REF!,6,0),0)</f>
        <v>0</v>
      </c>
      <c r="T769" s="1394">
        <f t="shared" si="264"/>
        <v>0</v>
      </c>
      <c r="U769" s="1394">
        <f>IFERROR(VLOOKUP(M769,#REF!,5,0),0)</f>
        <v>0</v>
      </c>
      <c r="V769" s="1394">
        <f t="shared" si="265"/>
        <v>0</v>
      </c>
      <c r="W769" s="1394"/>
    </row>
    <row r="770" spans="2:23" ht="30" customHeight="1">
      <c r="B770" s="1405"/>
      <c r="C770" s="1408" t="str">
        <f>C1381</f>
        <v>Cross wall between Lock up women / CD File / Store</v>
      </c>
      <c r="D770" s="1409">
        <f>-D1381</f>
        <v>1</v>
      </c>
      <c r="E770" s="1409">
        <f t="shared" ref="E770:H770" si="286">E1381</f>
        <v>1</v>
      </c>
      <c r="F770" s="1410">
        <f t="shared" si="286"/>
        <v>5.8449999999999998</v>
      </c>
      <c r="G770" s="1410">
        <f t="shared" si="286"/>
        <v>0.23</v>
      </c>
      <c r="H770" s="1410">
        <f t="shared" si="286"/>
        <v>0.1</v>
      </c>
      <c r="I770" s="1471">
        <f t="shared" si="269"/>
        <v>0.134435</v>
      </c>
      <c r="Q770" s="1394">
        <f>IFERROR(VLOOKUP(M770,#REF!,3,0),0)</f>
        <v>0</v>
      </c>
      <c r="R770" s="1394">
        <f t="shared" si="263"/>
        <v>0</v>
      </c>
      <c r="S770" s="1394">
        <f>IFERROR(VLOOKUP(M770,#REF!,6,0),0)</f>
        <v>0</v>
      </c>
      <c r="T770" s="1394">
        <f t="shared" si="264"/>
        <v>0</v>
      </c>
      <c r="U770" s="1394">
        <f>IFERROR(VLOOKUP(M770,#REF!,5,0),0)</f>
        <v>0</v>
      </c>
      <c r="V770" s="1394">
        <f t="shared" si="265"/>
        <v>0</v>
      </c>
      <c r="W770" s="1394"/>
    </row>
    <row r="771" spans="2:23" ht="30" customHeight="1">
      <c r="B771" s="1405"/>
      <c r="C771" s="1408"/>
      <c r="D771" s="1409"/>
      <c r="E771" s="1409"/>
      <c r="F771" s="1410"/>
      <c r="G771" s="1410"/>
      <c r="H771" s="1410"/>
      <c r="I771" s="1471"/>
      <c r="Q771" s="1394">
        <f>IFERROR(VLOOKUP(M771,#REF!,3,0),0)</f>
        <v>0</v>
      </c>
      <c r="R771" s="1394">
        <f t="shared" si="263"/>
        <v>0</v>
      </c>
      <c r="S771" s="1394">
        <f>IFERROR(VLOOKUP(M771,#REF!,6,0),0)</f>
        <v>0</v>
      </c>
      <c r="T771" s="1394">
        <f t="shared" si="264"/>
        <v>0</v>
      </c>
      <c r="U771" s="1394">
        <f>IFERROR(VLOOKUP(M771,#REF!,5,0),0)</f>
        <v>0</v>
      </c>
      <c r="V771" s="1394">
        <f t="shared" si="265"/>
        <v>0</v>
      </c>
      <c r="W771" s="1394"/>
    </row>
    <row r="772" spans="2:23" ht="30" customHeight="1">
      <c r="B772" s="1405"/>
      <c r="C772" s="1408" t="str">
        <f>C1382</f>
        <v>Lock up men</v>
      </c>
      <c r="D772" s="1409">
        <f>-D1382</f>
        <v>0</v>
      </c>
      <c r="E772" s="1409">
        <f t="shared" ref="E772:H772" si="287">E1382</f>
        <v>0</v>
      </c>
      <c r="F772" s="1410">
        <f t="shared" si="287"/>
        <v>0</v>
      </c>
      <c r="G772" s="1410">
        <f t="shared" si="287"/>
        <v>0</v>
      </c>
      <c r="H772" s="1410">
        <f t="shared" si="287"/>
        <v>0.1</v>
      </c>
      <c r="I772" s="1471">
        <f t="shared" si="269"/>
        <v>0</v>
      </c>
      <c r="Q772" s="1394">
        <f>IFERROR(VLOOKUP(M772,#REF!,3,0),0)</f>
        <v>0</v>
      </c>
      <c r="R772" s="1394">
        <f t="shared" si="263"/>
        <v>0</v>
      </c>
      <c r="S772" s="1394">
        <f>IFERROR(VLOOKUP(M772,#REF!,6,0),0)</f>
        <v>0</v>
      </c>
      <c r="T772" s="1394">
        <f t="shared" si="264"/>
        <v>0</v>
      </c>
      <c r="U772" s="1394">
        <f>IFERROR(VLOOKUP(M772,#REF!,5,0),0)</f>
        <v>0</v>
      </c>
      <c r="V772" s="1394">
        <f t="shared" si="265"/>
        <v>0</v>
      </c>
      <c r="W772" s="1394"/>
    </row>
    <row r="773" spans="2:23" ht="30" customHeight="1">
      <c r="B773" s="1405"/>
      <c r="C773" s="1408" t="str">
        <f>C1383</f>
        <v>Cross wall between Lock up men / Hall</v>
      </c>
      <c r="D773" s="1409">
        <f>-D1383</f>
        <v>1</v>
      </c>
      <c r="E773" s="1409">
        <f t="shared" ref="E773:H773" si="288">E1383</f>
        <v>1</v>
      </c>
      <c r="F773" s="1410">
        <f t="shared" si="288"/>
        <v>2.96</v>
      </c>
      <c r="G773" s="1410">
        <f t="shared" si="288"/>
        <v>0.23</v>
      </c>
      <c r="H773" s="1410">
        <f t="shared" si="288"/>
        <v>0.1</v>
      </c>
      <c r="I773" s="1471">
        <f t="shared" si="269"/>
        <v>6.8080000000000016E-2</v>
      </c>
      <c r="Q773" s="1394">
        <f>IFERROR(VLOOKUP(M773,#REF!,3,0),0)</f>
        <v>0</v>
      </c>
      <c r="R773" s="1394">
        <f t="shared" si="263"/>
        <v>0</v>
      </c>
      <c r="S773" s="1394">
        <f>IFERROR(VLOOKUP(M773,#REF!,6,0),0)</f>
        <v>0</v>
      </c>
      <c r="T773" s="1394">
        <f t="shared" si="264"/>
        <v>0</v>
      </c>
      <c r="U773" s="1394">
        <f>IFERROR(VLOOKUP(M773,#REF!,5,0),0)</f>
        <v>0</v>
      </c>
      <c r="V773" s="1394">
        <f t="shared" si="265"/>
        <v>0</v>
      </c>
      <c r="W773" s="1394"/>
    </row>
    <row r="774" spans="2:23" ht="30" customHeight="1">
      <c r="B774" s="1405"/>
      <c r="C774" s="1408" t="str">
        <f>C1384</f>
        <v>Cross wall between Lock up men / Toilet</v>
      </c>
      <c r="D774" s="1409">
        <f>-D1384</f>
        <v>1</v>
      </c>
      <c r="E774" s="1409">
        <f t="shared" ref="E774:H774" si="289">E1384</f>
        <v>1</v>
      </c>
      <c r="F774" s="1410">
        <f t="shared" si="289"/>
        <v>5.8449999999999998</v>
      </c>
      <c r="G774" s="1410">
        <f t="shared" si="289"/>
        <v>0.23</v>
      </c>
      <c r="H774" s="1410">
        <f t="shared" si="289"/>
        <v>0.1</v>
      </c>
      <c r="I774" s="1471">
        <f t="shared" si="269"/>
        <v>0.134435</v>
      </c>
      <c r="Q774" s="1394">
        <f>IFERROR(VLOOKUP(M774,#REF!,3,0),0)</f>
        <v>0</v>
      </c>
      <c r="R774" s="1394">
        <f t="shared" si="263"/>
        <v>0</v>
      </c>
      <c r="S774" s="1394">
        <f>IFERROR(VLOOKUP(M774,#REF!,6,0),0)</f>
        <v>0</v>
      </c>
      <c r="T774" s="1394">
        <f t="shared" si="264"/>
        <v>0</v>
      </c>
      <c r="U774" s="1394">
        <f>IFERROR(VLOOKUP(M774,#REF!,5,0),0)</f>
        <v>0</v>
      </c>
      <c r="V774" s="1394">
        <f t="shared" si="265"/>
        <v>0</v>
      </c>
      <c r="W774" s="1394"/>
    </row>
    <row r="775" spans="2:23" ht="30" customHeight="1">
      <c r="B775" s="1405"/>
      <c r="C775" s="1408"/>
      <c r="D775" s="1409"/>
      <c r="E775" s="1409"/>
      <c r="F775" s="1410"/>
      <c r="G775" s="1410"/>
      <c r="H775" s="1410"/>
      <c r="I775" s="1471"/>
      <c r="Q775" s="1394">
        <f>IFERROR(VLOOKUP(M775,#REF!,3,0),0)</f>
        <v>0</v>
      </c>
      <c r="R775" s="1394">
        <f t="shared" si="263"/>
        <v>0</v>
      </c>
      <c r="S775" s="1394">
        <f>IFERROR(VLOOKUP(M775,#REF!,6,0),0)</f>
        <v>0</v>
      </c>
      <c r="T775" s="1394">
        <f t="shared" si="264"/>
        <v>0</v>
      </c>
      <c r="U775" s="1394">
        <f>IFERROR(VLOOKUP(M775,#REF!,5,0),0)</f>
        <v>0</v>
      </c>
      <c r="V775" s="1394">
        <f t="shared" si="265"/>
        <v>0</v>
      </c>
      <c r="W775" s="1394"/>
    </row>
    <row r="776" spans="2:23" ht="30" customHeight="1">
      <c r="B776" s="1405"/>
      <c r="C776" s="1408" t="str">
        <f t="shared" ref="C776:C790" si="290">C1385</f>
        <v>CD File / Store</v>
      </c>
      <c r="D776" s="1409">
        <f t="shared" ref="D776:D790" si="291">-D1385</f>
        <v>0</v>
      </c>
      <c r="E776" s="1409">
        <f t="shared" ref="E776:G776" si="292">E1385</f>
        <v>0</v>
      </c>
      <c r="F776" s="1410">
        <f t="shared" si="292"/>
        <v>0</v>
      </c>
      <c r="G776" s="1410">
        <f t="shared" si="292"/>
        <v>0</v>
      </c>
      <c r="H776" s="1410"/>
      <c r="I776" s="1471">
        <f t="shared" si="269"/>
        <v>0</v>
      </c>
      <c r="Q776" s="1394">
        <f>IFERROR(VLOOKUP(M776,#REF!,3,0),0)</f>
        <v>0</v>
      </c>
      <c r="R776" s="1394">
        <f t="shared" si="263"/>
        <v>0</v>
      </c>
      <c r="S776" s="1394">
        <f>IFERROR(VLOOKUP(M776,#REF!,6,0),0)</f>
        <v>0</v>
      </c>
      <c r="T776" s="1394">
        <f t="shared" si="264"/>
        <v>0</v>
      </c>
      <c r="U776" s="1394">
        <f>IFERROR(VLOOKUP(M776,#REF!,5,0),0)</f>
        <v>0</v>
      </c>
      <c r="V776" s="1394">
        <f t="shared" si="265"/>
        <v>0</v>
      </c>
      <c r="W776" s="1394"/>
    </row>
    <row r="777" spans="2:23" ht="30" customHeight="1">
      <c r="B777" s="1405"/>
      <c r="C777" s="1408" t="str">
        <f t="shared" si="290"/>
        <v>Cross wall between CD File / Store and Toilet</v>
      </c>
      <c r="D777" s="1409">
        <f t="shared" si="291"/>
        <v>1</v>
      </c>
      <c r="E777" s="1409">
        <f t="shared" ref="E777:H777" si="293">E1386</f>
        <v>1</v>
      </c>
      <c r="F777" s="1410">
        <f t="shared" si="293"/>
        <v>1.6850000000000001</v>
      </c>
      <c r="G777" s="1410">
        <f t="shared" si="293"/>
        <v>0.23</v>
      </c>
      <c r="H777" s="1410">
        <f t="shared" si="293"/>
        <v>0.1</v>
      </c>
      <c r="I777" s="1471">
        <f t="shared" si="269"/>
        <v>3.8755000000000005E-2</v>
      </c>
      <c r="Q777" s="1394">
        <f>IFERROR(VLOOKUP(M777,#REF!,3,0),0)</f>
        <v>0</v>
      </c>
      <c r="R777" s="1394">
        <f t="shared" si="263"/>
        <v>0</v>
      </c>
      <c r="S777" s="1394">
        <f>IFERROR(VLOOKUP(M777,#REF!,6,0),0)</f>
        <v>0</v>
      </c>
      <c r="T777" s="1394">
        <f t="shared" si="264"/>
        <v>0</v>
      </c>
      <c r="U777" s="1394">
        <f>IFERROR(VLOOKUP(M777,#REF!,5,0),0)</f>
        <v>0</v>
      </c>
      <c r="V777" s="1394">
        <f t="shared" si="265"/>
        <v>0</v>
      </c>
      <c r="W777" s="1394"/>
    </row>
    <row r="778" spans="2:23" ht="30" customHeight="1">
      <c r="B778" s="1405"/>
      <c r="C778" s="1408" t="str">
        <f t="shared" si="290"/>
        <v>Cross wall between CD File / CCTN</v>
      </c>
      <c r="D778" s="1409">
        <f t="shared" si="291"/>
        <v>1</v>
      </c>
      <c r="E778" s="1409">
        <f t="shared" ref="E778:H778" si="294">E1387</f>
        <v>1</v>
      </c>
      <c r="F778" s="1410">
        <f t="shared" si="294"/>
        <v>1.2</v>
      </c>
      <c r="G778" s="1410">
        <f t="shared" si="294"/>
        <v>0.23</v>
      </c>
      <c r="H778" s="1410">
        <f t="shared" si="294"/>
        <v>0.1</v>
      </c>
      <c r="I778" s="1471">
        <f t="shared" si="269"/>
        <v>2.7600000000000003E-2</v>
      </c>
      <c r="Q778" s="1394">
        <f>IFERROR(VLOOKUP(M778,#REF!,3,0),0)</f>
        <v>0</v>
      </c>
      <c r="R778" s="1394">
        <f t="shared" si="263"/>
        <v>0</v>
      </c>
      <c r="S778" s="1394">
        <f>IFERROR(VLOOKUP(M778,#REF!,6,0),0)</f>
        <v>0</v>
      </c>
      <c r="T778" s="1394">
        <f t="shared" si="264"/>
        <v>0</v>
      </c>
      <c r="U778" s="1394">
        <f>IFERROR(VLOOKUP(M778,#REF!,5,0),0)</f>
        <v>0</v>
      </c>
      <c r="V778" s="1394">
        <f t="shared" si="265"/>
        <v>0</v>
      </c>
      <c r="W778" s="1394"/>
    </row>
    <row r="779" spans="2:23" ht="30" customHeight="1">
      <c r="B779" s="1405"/>
      <c r="C779" s="1408" t="str">
        <f t="shared" si="290"/>
        <v>Computer CCTN</v>
      </c>
      <c r="D779" s="1409">
        <f t="shared" si="291"/>
        <v>0</v>
      </c>
      <c r="E779" s="1409">
        <f t="shared" ref="E779:H779" si="295">E1388</f>
        <v>0</v>
      </c>
      <c r="F779" s="1410">
        <f t="shared" si="295"/>
        <v>0</v>
      </c>
      <c r="G779" s="1410">
        <f t="shared" si="295"/>
        <v>0</v>
      </c>
      <c r="H779" s="1410">
        <f t="shared" si="295"/>
        <v>0</v>
      </c>
      <c r="I779" s="1471">
        <f t="shared" si="269"/>
        <v>0</v>
      </c>
      <c r="Q779" s="1394">
        <f>IFERROR(VLOOKUP(M779,#REF!,3,0),0)</f>
        <v>0</v>
      </c>
      <c r="R779" s="1394">
        <f t="shared" si="263"/>
        <v>0</v>
      </c>
      <c r="S779" s="1394">
        <f>IFERROR(VLOOKUP(M779,#REF!,6,0),0)</f>
        <v>0</v>
      </c>
      <c r="T779" s="1394">
        <f t="shared" si="264"/>
        <v>0</v>
      </c>
      <c r="U779" s="1394">
        <f>IFERROR(VLOOKUP(M779,#REF!,5,0),0)</f>
        <v>0</v>
      </c>
      <c r="V779" s="1394">
        <f t="shared" si="265"/>
        <v>0</v>
      </c>
      <c r="W779" s="1394"/>
    </row>
    <row r="780" spans="2:23" ht="30" customHeight="1">
      <c r="B780" s="1405"/>
      <c r="C780" s="1408" t="str">
        <f t="shared" si="290"/>
        <v>Cross wall between Computer CCTN /Hall</v>
      </c>
      <c r="D780" s="1409">
        <f t="shared" si="291"/>
        <v>1</v>
      </c>
      <c r="E780" s="1409">
        <f t="shared" ref="E780:H780" si="296">E1389</f>
        <v>1</v>
      </c>
      <c r="F780" s="1410">
        <f t="shared" si="296"/>
        <v>3.9249999999999998</v>
      </c>
      <c r="G780" s="1410">
        <f t="shared" si="296"/>
        <v>0.23</v>
      </c>
      <c r="H780" s="1410">
        <f t="shared" si="296"/>
        <v>0.1</v>
      </c>
      <c r="I780" s="1471">
        <f t="shared" si="269"/>
        <v>9.0275000000000008E-2</v>
      </c>
      <c r="Q780" s="1394">
        <f>IFERROR(VLOOKUP(M780,#REF!,3,0),0)</f>
        <v>0</v>
      </c>
      <c r="R780" s="1394">
        <f t="shared" si="263"/>
        <v>0</v>
      </c>
      <c r="S780" s="1394">
        <f>IFERROR(VLOOKUP(M780,#REF!,6,0),0)</f>
        <v>0</v>
      </c>
      <c r="T780" s="1394">
        <f t="shared" si="264"/>
        <v>0</v>
      </c>
      <c r="U780" s="1394">
        <f>IFERROR(VLOOKUP(M780,#REF!,5,0),0)</f>
        <v>0</v>
      </c>
      <c r="V780" s="1394">
        <f t="shared" si="265"/>
        <v>0</v>
      </c>
      <c r="W780" s="1394"/>
    </row>
    <row r="781" spans="2:23" ht="30" customHeight="1">
      <c r="B781" s="1405"/>
      <c r="C781" s="1408" t="str">
        <f t="shared" si="290"/>
        <v>Station Writer</v>
      </c>
      <c r="D781" s="1409">
        <f t="shared" si="291"/>
        <v>0</v>
      </c>
      <c r="E781" s="1409">
        <f t="shared" ref="E781:H781" si="297">E1390</f>
        <v>0</v>
      </c>
      <c r="F781" s="1410">
        <f t="shared" si="297"/>
        <v>0</v>
      </c>
      <c r="G781" s="1410">
        <f t="shared" si="297"/>
        <v>0</v>
      </c>
      <c r="H781" s="1410">
        <f t="shared" si="297"/>
        <v>0</v>
      </c>
      <c r="I781" s="1471">
        <f t="shared" si="269"/>
        <v>0</v>
      </c>
      <c r="Q781" s="1394">
        <f>IFERROR(VLOOKUP(M781,#REF!,3,0),0)</f>
        <v>0</v>
      </c>
      <c r="R781" s="1394">
        <f t="shared" si="263"/>
        <v>0</v>
      </c>
      <c r="S781" s="1394">
        <f>IFERROR(VLOOKUP(M781,#REF!,6,0),0)</f>
        <v>0</v>
      </c>
      <c r="T781" s="1394">
        <f t="shared" si="264"/>
        <v>0</v>
      </c>
      <c r="U781" s="1394">
        <f>IFERROR(VLOOKUP(M781,#REF!,5,0),0)</f>
        <v>0</v>
      </c>
      <c r="V781" s="1394">
        <f t="shared" si="265"/>
        <v>0</v>
      </c>
      <c r="W781" s="1394"/>
    </row>
    <row r="782" spans="2:23" ht="30" customHeight="1">
      <c r="B782" s="1405"/>
      <c r="C782" s="1408" t="str">
        <f t="shared" si="290"/>
        <v xml:space="preserve">Cross wall between Station Writer / Arm </v>
      </c>
      <c r="D782" s="1409">
        <f t="shared" si="291"/>
        <v>1</v>
      </c>
      <c r="E782" s="1409">
        <f t="shared" ref="E782:H782" si="298">E1391</f>
        <v>1</v>
      </c>
      <c r="F782" s="1410">
        <f t="shared" si="298"/>
        <v>4.13</v>
      </c>
      <c r="G782" s="1410">
        <f t="shared" si="298"/>
        <v>0.23</v>
      </c>
      <c r="H782" s="1410">
        <f t="shared" si="298"/>
        <v>0.1</v>
      </c>
      <c r="I782" s="1471">
        <f t="shared" ref="I782:I819" si="299">PRODUCT(D782:H782)</f>
        <v>9.4990000000000005E-2</v>
      </c>
      <c r="Q782" s="1394">
        <f>IFERROR(VLOOKUP(M782,#REF!,3,0),0)</f>
        <v>0</v>
      </c>
      <c r="R782" s="1394">
        <f t="shared" si="263"/>
        <v>0</v>
      </c>
      <c r="S782" s="1394">
        <f>IFERROR(VLOOKUP(M782,#REF!,6,0),0)</f>
        <v>0</v>
      </c>
      <c r="T782" s="1394">
        <f t="shared" si="264"/>
        <v>0</v>
      </c>
      <c r="U782" s="1394">
        <f>IFERROR(VLOOKUP(M782,#REF!,5,0),0)</f>
        <v>0</v>
      </c>
      <c r="V782" s="1394">
        <f t="shared" si="265"/>
        <v>0</v>
      </c>
      <c r="W782" s="1394"/>
    </row>
    <row r="783" spans="2:23" ht="30" customHeight="1">
      <c r="B783" s="1405"/>
      <c r="C783" s="1408" t="str">
        <f t="shared" si="290"/>
        <v>Cross wall between Station Writer / Hall</v>
      </c>
      <c r="D783" s="1409">
        <f t="shared" si="291"/>
        <v>1</v>
      </c>
      <c r="E783" s="1409">
        <f t="shared" ref="E783:H783" si="300">E1392</f>
        <v>1</v>
      </c>
      <c r="F783" s="1410">
        <f t="shared" si="300"/>
        <v>2.5499999999999998</v>
      </c>
      <c r="G783" s="1410">
        <f t="shared" si="300"/>
        <v>0.23</v>
      </c>
      <c r="H783" s="1410">
        <f t="shared" si="300"/>
        <v>0.1</v>
      </c>
      <c r="I783" s="1471">
        <f t="shared" si="299"/>
        <v>5.8650000000000008E-2</v>
      </c>
      <c r="Q783" s="1394">
        <f>IFERROR(VLOOKUP(M783,#REF!,3,0),0)</f>
        <v>0</v>
      </c>
      <c r="R783" s="1394">
        <f t="shared" si="263"/>
        <v>0</v>
      </c>
      <c r="S783" s="1394">
        <f>IFERROR(VLOOKUP(M783,#REF!,6,0),0)</f>
        <v>0</v>
      </c>
      <c r="T783" s="1394">
        <f t="shared" si="264"/>
        <v>0</v>
      </c>
      <c r="U783" s="1394">
        <f>IFERROR(VLOOKUP(M783,#REF!,5,0),0)</f>
        <v>0</v>
      </c>
      <c r="V783" s="1394">
        <f t="shared" si="265"/>
        <v>0</v>
      </c>
      <c r="W783" s="1394"/>
    </row>
    <row r="784" spans="2:23" ht="30" customHeight="1">
      <c r="B784" s="1407"/>
      <c r="C784" s="1408" t="str">
        <f t="shared" si="290"/>
        <v>Cross wall between Station Writer / Hall Loft above</v>
      </c>
      <c r="D784" s="1409">
        <f t="shared" si="291"/>
        <v>1</v>
      </c>
      <c r="E784" s="1409">
        <f t="shared" ref="E784:H784" si="301">E1393</f>
        <v>1</v>
      </c>
      <c r="F784" s="1410">
        <f t="shared" si="301"/>
        <v>2.5499999999999998</v>
      </c>
      <c r="G784" s="1410">
        <f t="shared" si="301"/>
        <v>0.23</v>
      </c>
      <c r="H784" s="1410">
        <f t="shared" si="301"/>
        <v>0.1</v>
      </c>
      <c r="I784" s="1471">
        <f t="shared" si="299"/>
        <v>5.8650000000000008E-2</v>
      </c>
      <c r="Q784" s="1394">
        <f>IFERROR(VLOOKUP(M784,#REF!,3,0),0)</f>
        <v>0</v>
      </c>
      <c r="R784" s="1394">
        <f t="shared" si="263"/>
        <v>0</v>
      </c>
      <c r="S784" s="1394">
        <f>IFERROR(VLOOKUP(M784,#REF!,6,0),0)</f>
        <v>0</v>
      </c>
      <c r="T784" s="1394">
        <f t="shared" si="264"/>
        <v>0</v>
      </c>
      <c r="U784" s="1394">
        <f>IFERROR(VLOOKUP(M784,#REF!,5,0),0)</f>
        <v>0</v>
      </c>
      <c r="V784" s="1394">
        <f t="shared" si="265"/>
        <v>0</v>
      </c>
      <c r="W784" s="1394"/>
    </row>
    <row r="785" spans="2:23" ht="30" customHeight="1">
      <c r="B785" s="1407"/>
      <c r="C785" s="1408" t="str">
        <f t="shared" si="290"/>
        <v>Arm Ammunition</v>
      </c>
      <c r="D785" s="1409">
        <f t="shared" si="291"/>
        <v>0</v>
      </c>
      <c r="E785" s="1409">
        <f t="shared" ref="E785:H785" si="302">E1394</f>
        <v>0</v>
      </c>
      <c r="F785" s="1410">
        <f t="shared" si="302"/>
        <v>0</v>
      </c>
      <c r="G785" s="1410">
        <f t="shared" si="302"/>
        <v>0</v>
      </c>
      <c r="H785" s="1410">
        <f t="shared" si="302"/>
        <v>0</v>
      </c>
      <c r="I785" s="1471">
        <f t="shared" si="299"/>
        <v>0</v>
      </c>
      <c r="Q785" s="1394">
        <f>IFERROR(VLOOKUP(M785,#REF!,3,0),0)</f>
        <v>0</v>
      </c>
      <c r="R785" s="1394">
        <f t="shared" si="263"/>
        <v>0</v>
      </c>
      <c r="S785" s="1394">
        <f>IFERROR(VLOOKUP(M785,#REF!,6,0),0)</f>
        <v>0</v>
      </c>
      <c r="T785" s="1394">
        <f t="shared" si="264"/>
        <v>0</v>
      </c>
      <c r="U785" s="1394">
        <f>IFERROR(VLOOKUP(M785,#REF!,5,0),0)</f>
        <v>0</v>
      </c>
      <c r="V785" s="1394">
        <f t="shared" si="265"/>
        <v>0</v>
      </c>
      <c r="W785" s="1394"/>
    </row>
    <row r="786" spans="2:23" ht="30" customHeight="1">
      <c r="B786" s="1407"/>
      <c r="C786" s="1408" t="str">
        <f t="shared" si="290"/>
        <v xml:space="preserve">Cross wall between Hall/ Arm </v>
      </c>
      <c r="D786" s="1409">
        <f t="shared" si="291"/>
        <v>1</v>
      </c>
      <c r="E786" s="1409">
        <f t="shared" ref="E786:H786" si="303">E1395</f>
        <v>1</v>
      </c>
      <c r="F786" s="1410">
        <f t="shared" si="303"/>
        <v>1.9650000000000001</v>
      </c>
      <c r="G786" s="1410">
        <f t="shared" si="303"/>
        <v>0.23</v>
      </c>
      <c r="H786" s="1410">
        <f t="shared" si="303"/>
        <v>0.1</v>
      </c>
      <c r="I786" s="1471">
        <f t="shared" si="299"/>
        <v>4.5195000000000006E-2</v>
      </c>
      <c r="Q786" s="1394">
        <f>IFERROR(VLOOKUP(M786,#REF!,3,0),0)</f>
        <v>0</v>
      </c>
      <c r="R786" s="1394">
        <f t="shared" si="263"/>
        <v>0</v>
      </c>
      <c r="S786" s="1394">
        <f>IFERROR(VLOOKUP(M786,#REF!,6,0),0)</f>
        <v>0</v>
      </c>
      <c r="T786" s="1394">
        <f t="shared" si="264"/>
        <v>0</v>
      </c>
      <c r="U786" s="1394">
        <f>IFERROR(VLOOKUP(M786,#REF!,5,0),0)</f>
        <v>0</v>
      </c>
      <c r="V786" s="1394">
        <f t="shared" si="265"/>
        <v>0</v>
      </c>
      <c r="W786" s="1394"/>
    </row>
    <row r="787" spans="2:23" ht="30" customHeight="1">
      <c r="B787" s="1407"/>
      <c r="C787" s="1408" t="str">
        <f t="shared" si="290"/>
        <v xml:space="preserve">Cross wall between Record / Arm </v>
      </c>
      <c r="D787" s="1409">
        <f t="shared" si="291"/>
        <v>1</v>
      </c>
      <c r="E787" s="1409">
        <f t="shared" ref="E787:H787" si="304">E1396</f>
        <v>1</v>
      </c>
      <c r="F787" s="1410">
        <f t="shared" si="304"/>
        <v>2.5499999999999998</v>
      </c>
      <c r="G787" s="1410">
        <f t="shared" si="304"/>
        <v>0.23</v>
      </c>
      <c r="H787" s="1410">
        <f t="shared" si="304"/>
        <v>0.1</v>
      </c>
      <c r="I787" s="1471">
        <f t="shared" si="299"/>
        <v>5.8650000000000008E-2</v>
      </c>
      <c r="Q787" s="1394">
        <f>IFERROR(VLOOKUP(M787,#REF!,3,0),0)</f>
        <v>0</v>
      </c>
      <c r="R787" s="1394">
        <f t="shared" si="263"/>
        <v>0</v>
      </c>
      <c r="S787" s="1394">
        <f>IFERROR(VLOOKUP(M787,#REF!,6,0),0)</f>
        <v>0</v>
      </c>
      <c r="T787" s="1394">
        <f t="shared" si="264"/>
        <v>0</v>
      </c>
      <c r="U787" s="1394">
        <f>IFERROR(VLOOKUP(M787,#REF!,5,0),0)</f>
        <v>0</v>
      </c>
      <c r="V787" s="1394">
        <f t="shared" si="265"/>
        <v>0</v>
      </c>
      <c r="W787" s="1394"/>
    </row>
    <row r="788" spans="2:23" ht="30" customHeight="1">
      <c r="B788" s="1407"/>
      <c r="C788" s="1408" t="str">
        <f t="shared" si="290"/>
        <v>Record</v>
      </c>
      <c r="D788" s="1409">
        <f t="shared" si="291"/>
        <v>0</v>
      </c>
      <c r="E788" s="1409">
        <f t="shared" ref="E788:H788" si="305">E1397</f>
        <v>0</v>
      </c>
      <c r="F788" s="1410">
        <f t="shared" si="305"/>
        <v>0</v>
      </c>
      <c r="G788" s="1410">
        <f t="shared" si="305"/>
        <v>0</v>
      </c>
      <c r="H788" s="1410">
        <f t="shared" si="305"/>
        <v>0.1</v>
      </c>
      <c r="I788" s="1471">
        <f t="shared" si="299"/>
        <v>0</v>
      </c>
      <c r="Q788" s="1394">
        <f>IFERROR(VLOOKUP(M788,#REF!,3,0),0)</f>
        <v>0</v>
      </c>
      <c r="R788" s="1394">
        <f t="shared" si="263"/>
        <v>0</v>
      </c>
      <c r="S788" s="1394">
        <f>IFERROR(VLOOKUP(M788,#REF!,6,0),0)</f>
        <v>0</v>
      </c>
      <c r="T788" s="1394">
        <f t="shared" si="264"/>
        <v>0</v>
      </c>
      <c r="U788" s="1394">
        <f>IFERROR(VLOOKUP(M788,#REF!,5,0),0)</f>
        <v>0</v>
      </c>
      <c r="V788" s="1394">
        <f t="shared" si="265"/>
        <v>0</v>
      </c>
      <c r="W788" s="1394"/>
    </row>
    <row r="789" spans="2:23" ht="30" customHeight="1">
      <c r="B789" s="1407"/>
      <c r="C789" s="1408" t="str">
        <f t="shared" si="290"/>
        <v>Cross wall between  Record / Toilet</v>
      </c>
      <c r="D789" s="1409">
        <f t="shared" si="291"/>
        <v>1</v>
      </c>
      <c r="E789" s="1409">
        <f t="shared" ref="E789:H789" si="306">E1398</f>
        <v>1</v>
      </c>
      <c r="F789" s="1410">
        <f t="shared" si="306"/>
        <v>3.88</v>
      </c>
      <c r="G789" s="1410">
        <f t="shared" si="306"/>
        <v>0.23</v>
      </c>
      <c r="H789" s="1410">
        <f t="shared" si="306"/>
        <v>0.1</v>
      </c>
      <c r="I789" s="1471">
        <f t="shared" si="299"/>
        <v>8.924E-2</v>
      </c>
      <c r="Q789" s="1394">
        <f>IFERROR(VLOOKUP(M789,#REF!,3,0),0)</f>
        <v>0</v>
      </c>
      <c r="R789" s="1394">
        <f t="shared" si="263"/>
        <v>0</v>
      </c>
      <c r="S789" s="1394">
        <f>IFERROR(VLOOKUP(M789,#REF!,6,0),0)</f>
        <v>0</v>
      </c>
      <c r="T789" s="1394">
        <f t="shared" si="264"/>
        <v>0</v>
      </c>
      <c r="U789" s="1394">
        <f>IFERROR(VLOOKUP(M789,#REF!,5,0),0)</f>
        <v>0</v>
      </c>
      <c r="V789" s="1394">
        <f t="shared" si="265"/>
        <v>0</v>
      </c>
      <c r="W789" s="1394"/>
    </row>
    <row r="790" spans="2:23" ht="30" customHeight="1">
      <c r="B790" s="1407"/>
      <c r="C790" s="1408" t="str">
        <f t="shared" si="290"/>
        <v>Elevation Piller</v>
      </c>
      <c r="D790" s="1409">
        <f t="shared" si="291"/>
        <v>1</v>
      </c>
      <c r="E790" s="1409">
        <f t="shared" ref="E790:H790" si="307">E1399</f>
        <v>4</v>
      </c>
      <c r="F790" s="1410">
        <f t="shared" si="307"/>
        <v>0.6</v>
      </c>
      <c r="G790" s="1410">
        <f t="shared" si="307"/>
        <v>0.23</v>
      </c>
      <c r="H790" s="1410">
        <f t="shared" si="307"/>
        <v>0.1</v>
      </c>
      <c r="I790" s="1471">
        <f t="shared" si="299"/>
        <v>5.5200000000000006E-2</v>
      </c>
      <c r="Q790" s="1394">
        <f>IFERROR(VLOOKUP(M790,#REF!,3,0),0)</f>
        <v>0</v>
      </c>
      <c r="R790" s="1394">
        <f t="shared" si="263"/>
        <v>0</v>
      </c>
      <c r="S790" s="1394">
        <f>IFERROR(VLOOKUP(M790,#REF!,6,0),0)</f>
        <v>0</v>
      </c>
      <c r="T790" s="1394">
        <f t="shared" si="264"/>
        <v>0</v>
      </c>
      <c r="U790" s="1394">
        <f>IFERROR(VLOOKUP(M790,#REF!,5,0),0)</f>
        <v>0</v>
      </c>
      <c r="V790" s="1394">
        <f t="shared" si="265"/>
        <v>0</v>
      </c>
      <c r="W790" s="1394"/>
    </row>
    <row r="791" spans="2:23" ht="30" customHeight="1">
      <c r="B791" s="1407"/>
      <c r="C791" s="1412" t="s">
        <v>314</v>
      </c>
      <c r="D791" s="103">
        <f t="shared" ref="D791:H792" si="308">D1636</f>
        <v>0</v>
      </c>
      <c r="E791" s="103">
        <f t="shared" si="308"/>
        <v>0</v>
      </c>
      <c r="F791" s="1413">
        <f t="shared" si="308"/>
        <v>0</v>
      </c>
      <c r="G791" s="1413">
        <f t="shared" si="308"/>
        <v>0</v>
      </c>
      <c r="H791" s="1414">
        <f t="shared" si="308"/>
        <v>0</v>
      </c>
      <c r="I791" s="1471">
        <f t="shared" si="299"/>
        <v>0</v>
      </c>
      <c r="Q791" s="1394">
        <f>IFERROR(VLOOKUP(M791,#REF!,3,0),0)</f>
        <v>0</v>
      </c>
      <c r="R791" s="1394">
        <f t="shared" si="263"/>
        <v>0</v>
      </c>
      <c r="S791" s="1394">
        <f>IFERROR(VLOOKUP(M791,#REF!,6,0),0)</f>
        <v>0</v>
      </c>
      <c r="T791" s="1394">
        <f t="shared" si="264"/>
        <v>0</v>
      </c>
      <c r="U791" s="1394">
        <f>IFERROR(VLOOKUP(M791,#REF!,5,0),0)</f>
        <v>0</v>
      </c>
      <c r="V791" s="1394">
        <f t="shared" si="265"/>
        <v>0</v>
      </c>
      <c r="W791" s="1394"/>
    </row>
    <row r="792" spans="2:23" ht="30" customHeight="1">
      <c r="B792" s="1407"/>
      <c r="C792" s="1412" t="str">
        <f t="shared" ref="C792:C819" si="309">C1637</f>
        <v>SI Room</v>
      </c>
      <c r="D792" s="103">
        <f t="shared" si="308"/>
        <v>0</v>
      </c>
      <c r="E792" s="103">
        <f t="shared" si="308"/>
        <v>0</v>
      </c>
      <c r="F792" s="1413">
        <f t="shared" si="308"/>
        <v>0</v>
      </c>
      <c r="G792" s="1413">
        <f t="shared" si="308"/>
        <v>0</v>
      </c>
      <c r="H792" s="1414">
        <f t="shared" si="308"/>
        <v>0</v>
      </c>
      <c r="I792" s="1471">
        <f t="shared" si="299"/>
        <v>0</v>
      </c>
      <c r="Q792" s="1394">
        <f>IFERROR(VLOOKUP(M792,#REF!,3,0),0)</f>
        <v>0</v>
      </c>
      <c r="R792" s="1394">
        <f t="shared" si="263"/>
        <v>0</v>
      </c>
      <c r="S792" s="1394">
        <f>IFERROR(VLOOKUP(M792,#REF!,6,0),0)</f>
        <v>0</v>
      </c>
      <c r="T792" s="1394">
        <f t="shared" si="264"/>
        <v>0</v>
      </c>
      <c r="U792" s="1394">
        <f>IFERROR(VLOOKUP(M792,#REF!,5,0),0)</f>
        <v>0</v>
      </c>
      <c r="V792" s="1394">
        <f t="shared" si="265"/>
        <v>0</v>
      </c>
      <c r="W792" s="1394"/>
    </row>
    <row r="793" spans="2:23" ht="30" customHeight="1">
      <c r="B793" s="1407"/>
      <c r="C793" s="1455" t="str">
        <f t="shared" si="309"/>
        <v>C/B Wall</v>
      </c>
      <c r="D793" s="103">
        <f>-D1638</f>
        <v>1</v>
      </c>
      <c r="E793" s="103">
        <f t="shared" ref="E793:F819" si="310">E1638</f>
        <v>1</v>
      </c>
      <c r="F793" s="1413">
        <f t="shared" si="310"/>
        <v>0.6</v>
      </c>
      <c r="G793" s="1413">
        <v>0.115</v>
      </c>
      <c r="H793" s="1414">
        <f t="shared" ref="H793:H819" si="311">H1638</f>
        <v>0.1</v>
      </c>
      <c r="I793" s="1471">
        <f t="shared" si="299"/>
        <v>6.9000000000000008E-3</v>
      </c>
      <c r="Q793" s="1394">
        <f>IFERROR(VLOOKUP(M793,#REF!,3,0),0)</f>
        <v>0</v>
      </c>
      <c r="R793" s="1394">
        <f t="shared" si="263"/>
        <v>0</v>
      </c>
      <c r="S793" s="1394">
        <f>IFERROR(VLOOKUP(M793,#REF!,6,0),0)</f>
        <v>0</v>
      </c>
      <c r="T793" s="1394">
        <f t="shared" si="264"/>
        <v>0</v>
      </c>
      <c r="U793" s="1394">
        <f>IFERROR(VLOOKUP(M793,#REF!,5,0),0)</f>
        <v>0</v>
      </c>
      <c r="V793" s="1394">
        <f t="shared" si="265"/>
        <v>0</v>
      </c>
      <c r="W793" s="1394"/>
    </row>
    <row r="794" spans="2:23" ht="30" customHeight="1">
      <c r="B794" s="1407"/>
      <c r="C794" s="1455" t="str">
        <f t="shared" si="309"/>
        <v>Cross wall between Toilet / Passage</v>
      </c>
      <c r="D794" s="103">
        <f t="shared" ref="D794:D819" si="312">-D1639</f>
        <v>1</v>
      </c>
      <c r="E794" s="103">
        <f t="shared" si="310"/>
        <v>1</v>
      </c>
      <c r="F794" s="1413">
        <f t="shared" si="310"/>
        <v>1.5</v>
      </c>
      <c r="G794" s="1413">
        <f>G793</f>
        <v>0.115</v>
      </c>
      <c r="H794" s="1414">
        <f t="shared" si="311"/>
        <v>0.1</v>
      </c>
      <c r="I794" s="1471">
        <f t="shared" si="299"/>
        <v>1.7250000000000001E-2</v>
      </c>
      <c r="Q794" s="1394">
        <f>IFERROR(VLOOKUP(M794,#REF!,3,0),0)</f>
        <v>0</v>
      </c>
      <c r="R794" s="1394">
        <f t="shared" si="263"/>
        <v>0</v>
      </c>
      <c r="S794" s="1394">
        <f>IFERROR(VLOOKUP(M794,#REF!,6,0),0)</f>
        <v>0</v>
      </c>
      <c r="T794" s="1394">
        <f t="shared" si="264"/>
        <v>0</v>
      </c>
      <c r="U794" s="1394">
        <f>IFERROR(VLOOKUP(M794,#REF!,5,0),0)</f>
        <v>0</v>
      </c>
      <c r="V794" s="1394">
        <f t="shared" si="265"/>
        <v>0</v>
      </c>
      <c r="W794" s="1394"/>
    </row>
    <row r="795" spans="2:23" ht="30" customHeight="1">
      <c r="B795" s="1407"/>
      <c r="C795" s="1455" t="str">
        <f t="shared" si="309"/>
        <v>Cross wall between Hall  / Passage</v>
      </c>
      <c r="D795" s="103">
        <f t="shared" si="312"/>
        <v>1</v>
      </c>
      <c r="E795" s="103">
        <f t="shared" si="310"/>
        <v>1</v>
      </c>
      <c r="F795" s="1413">
        <f t="shared" si="310"/>
        <v>1.5</v>
      </c>
      <c r="G795" s="1413">
        <f>G794</f>
        <v>0.115</v>
      </c>
      <c r="H795" s="1414">
        <f t="shared" si="311"/>
        <v>0.1</v>
      </c>
      <c r="I795" s="1471">
        <f t="shared" si="299"/>
        <v>1.7250000000000001E-2</v>
      </c>
      <c r="Q795" s="1394">
        <f>IFERROR(VLOOKUP(M795,#REF!,3,0),0)</f>
        <v>0</v>
      </c>
      <c r="R795" s="1394">
        <f t="shared" si="263"/>
        <v>0</v>
      </c>
      <c r="S795" s="1394">
        <f>IFERROR(VLOOKUP(M795,#REF!,6,0),0)</f>
        <v>0</v>
      </c>
      <c r="T795" s="1394">
        <f t="shared" si="264"/>
        <v>0</v>
      </c>
      <c r="U795" s="1394">
        <f>IFERROR(VLOOKUP(M795,#REF!,5,0),0)</f>
        <v>0</v>
      </c>
      <c r="V795" s="1394">
        <f t="shared" si="265"/>
        <v>0</v>
      </c>
      <c r="W795" s="1394"/>
    </row>
    <row r="796" spans="2:23" ht="30" customHeight="1">
      <c r="B796" s="1407"/>
      <c r="C796" s="1412" t="str">
        <f t="shared" si="309"/>
        <v>Writer</v>
      </c>
      <c r="D796" s="103">
        <f t="shared" si="312"/>
        <v>0</v>
      </c>
      <c r="E796" s="103">
        <f t="shared" si="310"/>
        <v>0</v>
      </c>
      <c r="F796" s="1413">
        <f t="shared" si="310"/>
        <v>0</v>
      </c>
      <c r="G796" s="1413">
        <f>G1641</f>
        <v>0</v>
      </c>
      <c r="H796" s="1414">
        <f t="shared" si="311"/>
        <v>0</v>
      </c>
      <c r="I796" s="1471">
        <f t="shared" si="299"/>
        <v>0</v>
      </c>
      <c r="Q796" s="1394">
        <f>IFERROR(VLOOKUP(M796,#REF!,3,0),0)</f>
        <v>0</v>
      </c>
      <c r="R796" s="1394">
        <f t="shared" si="263"/>
        <v>0</v>
      </c>
      <c r="S796" s="1394">
        <f>IFERROR(VLOOKUP(M796,#REF!,6,0),0)</f>
        <v>0</v>
      </c>
      <c r="T796" s="1394">
        <f t="shared" si="264"/>
        <v>0</v>
      </c>
      <c r="U796" s="1394">
        <f>IFERROR(VLOOKUP(M796,#REF!,5,0),0)</f>
        <v>0</v>
      </c>
      <c r="V796" s="1394">
        <f t="shared" si="265"/>
        <v>0</v>
      </c>
      <c r="W796" s="1394"/>
    </row>
    <row r="797" spans="2:23" ht="30" customHeight="1">
      <c r="B797" s="1407"/>
      <c r="C797" s="1455" t="str">
        <f t="shared" si="309"/>
        <v>C/B Wall</v>
      </c>
      <c r="D797" s="103">
        <f t="shared" si="312"/>
        <v>1</v>
      </c>
      <c r="E797" s="103">
        <f t="shared" si="310"/>
        <v>1</v>
      </c>
      <c r="F797" s="1413">
        <f t="shared" si="310"/>
        <v>0.6</v>
      </c>
      <c r="G797" s="1413">
        <f t="shared" ref="G797:G819" si="313">$G$793</f>
        <v>0.115</v>
      </c>
      <c r="H797" s="1414">
        <f t="shared" si="311"/>
        <v>0.1</v>
      </c>
      <c r="I797" s="1471">
        <f t="shared" si="299"/>
        <v>6.9000000000000008E-3</v>
      </c>
      <c r="Q797" s="1394">
        <f>IFERROR(VLOOKUP(M797,#REF!,3,0),0)</f>
        <v>0</v>
      </c>
      <c r="R797" s="1394">
        <f t="shared" si="263"/>
        <v>0</v>
      </c>
      <c r="S797" s="1394">
        <f>IFERROR(VLOOKUP(M797,#REF!,6,0),0)</f>
        <v>0</v>
      </c>
      <c r="T797" s="1394">
        <f t="shared" si="264"/>
        <v>0</v>
      </c>
      <c r="U797" s="1394">
        <f>IFERROR(VLOOKUP(M797,#REF!,5,0),0)</f>
        <v>0</v>
      </c>
      <c r="V797" s="1394">
        <f t="shared" si="265"/>
        <v>0</v>
      </c>
      <c r="W797" s="1394"/>
    </row>
    <row r="798" spans="2:23" ht="30" customHeight="1">
      <c r="B798" s="1407"/>
      <c r="C798" s="1455" t="str">
        <f t="shared" si="309"/>
        <v>Cross wall between Writer / Ins L &amp;O</v>
      </c>
      <c r="D798" s="103">
        <f t="shared" si="312"/>
        <v>1</v>
      </c>
      <c r="E798" s="103">
        <f t="shared" si="310"/>
        <v>1</v>
      </c>
      <c r="F798" s="1413">
        <f t="shared" si="310"/>
        <v>1.8</v>
      </c>
      <c r="G798" s="1413">
        <f t="shared" si="313"/>
        <v>0.115</v>
      </c>
      <c r="H798" s="1414">
        <f t="shared" si="311"/>
        <v>0.1</v>
      </c>
      <c r="I798" s="1471">
        <f t="shared" si="299"/>
        <v>2.0700000000000003E-2</v>
      </c>
      <c r="Q798" s="1394">
        <f>IFERROR(VLOOKUP(M798,#REF!,3,0),0)</f>
        <v>0</v>
      </c>
      <c r="R798" s="1394">
        <f t="shared" si="263"/>
        <v>0</v>
      </c>
      <c r="S798" s="1394">
        <f>IFERROR(VLOOKUP(M798,#REF!,6,0),0)</f>
        <v>0</v>
      </c>
      <c r="T798" s="1394">
        <f t="shared" si="264"/>
        <v>0</v>
      </c>
      <c r="U798" s="1394">
        <f>IFERROR(VLOOKUP(M798,#REF!,5,0),0)</f>
        <v>0</v>
      </c>
      <c r="V798" s="1394">
        <f t="shared" si="265"/>
        <v>0</v>
      </c>
      <c r="W798" s="1394"/>
    </row>
    <row r="799" spans="2:23" ht="30" customHeight="1">
      <c r="B799" s="1407"/>
      <c r="C799" s="1455" t="str">
        <f t="shared" si="309"/>
        <v>Cross wall between Writer / Ins L &amp;O</v>
      </c>
      <c r="D799" s="103">
        <f t="shared" si="312"/>
        <v>1</v>
      </c>
      <c r="E799" s="103">
        <f t="shared" si="310"/>
        <v>1</v>
      </c>
      <c r="F799" s="1413">
        <f t="shared" si="310"/>
        <v>3.2759999999999998</v>
      </c>
      <c r="G799" s="1413">
        <f t="shared" si="313"/>
        <v>0.115</v>
      </c>
      <c r="H799" s="1414">
        <f t="shared" si="311"/>
        <v>0.1</v>
      </c>
      <c r="I799" s="1471">
        <f t="shared" si="299"/>
        <v>3.7674000000000006E-2</v>
      </c>
      <c r="Q799" s="1394">
        <f>IFERROR(VLOOKUP(M799,#REF!,3,0),0)</f>
        <v>0</v>
      </c>
      <c r="R799" s="1394">
        <f t="shared" si="263"/>
        <v>0</v>
      </c>
      <c r="S799" s="1394">
        <f>IFERROR(VLOOKUP(M799,#REF!,6,0),0)</f>
        <v>0</v>
      </c>
      <c r="T799" s="1394">
        <f t="shared" si="264"/>
        <v>0</v>
      </c>
      <c r="U799" s="1394">
        <f>IFERROR(VLOOKUP(M799,#REF!,5,0),0)</f>
        <v>0</v>
      </c>
      <c r="V799" s="1394">
        <f t="shared" si="265"/>
        <v>0</v>
      </c>
      <c r="W799" s="1394"/>
    </row>
    <row r="800" spans="2:23" ht="30" customHeight="1">
      <c r="B800" s="1407"/>
      <c r="C800" s="1412" t="str">
        <f t="shared" si="309"/>
        <v>Ins L &amp; O</v>
      </c>
      <c r="D800" s="103">
        <f t="shared" si="312"/>
        <v>0</v>
      </c>
      <c r="E800" s="103">
        <f t="shared" si="310"/>
        <v>0</v>
      </c>
      <c r="F800" s="1413">
        <f t="shared" si="310"/>
        <v>0</v>
      </c>
      <c r="G800" s="1413"/>
      <c r="H800" s="1414">
        <f t="shared" si="311"/>
        <v>0</v>
      </c>
      <c r="I800" s="1471">
        <f t="shared" si="299"/>
        <v>0</v>
      </c>
      <c r="Q800" s="1394">
        <f>IFERROR(VLOOKUP(M800,#REF!,3,0),0)</f>
        <v>0</v>
      </c>
      <c r="R800" s="1394">
        <f t="shared" si="263"/>
        <v>0</v>
      </c>
      <c r="S800" s="1394">
        <f>IFERROR(VLOOKUP(M800,#REF!,6,0),0)</f>
        <v>0</v>
      </c>
      <c r="T800" s="1394">
        <f t="shared" si="264"/>
        <v>0</v>
      </c>
      <c r="U800" s="1394">
        <f>IFERROR(VLOOKUP(M800,#REF!,5,0),0)</f>
        <v>0</v>
      </c>
      <c r="V800" s="1394">
        <f t="shared" si="265"/>
        <v>0</v>
      </c>
      <c r="W800" s="1394"/>
    </row>
    <row r="801" spans="2:23" ht="30" customHeight="1">
      <c r="B801" s="1407"/>
      <c r="C801" s="1455" t="str">
        <f t="shared" si="309"/>
        <v xml:space="preserve">C/B Wall </v>
      </c>
      <c r="D801" s="103">
        <f t="shared" si="312"/>
        <v>1</v>
      </c>
      <c r="E801" s="103">
        <f t="shared" si="310"/>
        <v>1</v>
      </c>
      <c r="F801" s="1413">
        <f t="shared" si="310"/>
        <v>0.6</v>
      </c>
      <c r="G801" s="1413">
        <f t="shared" si="313"/>
        <v>0.115</v>
      </c>
      <c r="H801" s="1414">
        <f t="shared" si="311"/>
        <v>0.1</v>
      </c>
      <c r="I801" s="1471">
        <f t="shared" si="299"/>
        <v>6.9000000000000008E-3</v>
      </c>
      <c r="Q801" s="1394">
        <f>IFERROR(VLOOKUP(M801,#REF!,3,0),0)</f>
        <v>0</v>
      </c>
      <c r="R801" s="1394">
        <f t="shared" si="263"/>
        <v>0</v>
      </c>
      <c r="S801" s="1394">
        <f>IFERROR(VLOOKUP(M801,#REF!,6,0),0)</f>
        <v>0</v>
      </c>
      <c r="T801" s="1394">
        <f t="shared" si="264"/>
        <v>0</v>
      </c>
      <c r="U801" s="1394">
        <f>IFERROR(VLOOKUP(M801,#REF!,5,0),0)</f>
        <v>0</v>
      </c>
      <c r="V801" s="1394">
        <f t="shared" si="265"/>
        <v>0</v>
      </c>
      <c r="W801" s="1394"/>
    </row>
    <row r="802" spans="2:23" ht="30" customHeight="1">
      <c r="B802" s="1407"/>
      <c r="C802" s="1455" t="str">
        <f t="shared" si="309"/>
        <v xml:space="preserve">Cross wall between Toilet / Passage </v>
      </c>
      <c r="D802" s="103">
        <f t="shared" si="312"/>
        <v>1</v>
      </c>
      <c r="E802" s="103">
        <f t="shared" si="310"/>
        <v>1</v>
      </c>
      <c r="F802" s="1413">
        <f t="shared" si="310"/>
        <v>1.5</v>
      </c>
      <c r="G802" s="1413">
        <f t="shared" si="313"/>
        <v>0.115</v>
      </c>
      <c r="H802" s="1414">
        <f t="shared" si="311"/>
        <v>0.1</v>
      </c>
      <c r="I802" s="1471">
        <f t="shared" si="299"/>
        <v>1.7250000000000001E-2</v>
      </c>
      <c r="Q802" s="1394">
        <f>IFERROR(VLOOKUP(M802,#REF!,3,0),0)</f>
        <v>0</v>
      </c>
      <c r="R802" s="1394">
        <f t="shared" si="263"/>
        <v>0</v>
      </c>
      <c r="S802" s="1394">
        <f>IFERROR(VLOOKUP(M802,#REF!,6,0),0)</f>
        <v>0</v>
      </c>
      <c r="T802" s="1394">
        <f t="shared" si="264"/>
        <v>0</v>
      </c>
      <c r="U802" s="1394">
        <f>IFERROR(VLOOKUP(M802,#REF!,5,0),0)</f>
        <v>0</v>
      </c>
      <c r="V802" s="1394">
        <f t="shared" si="265"/>
        <v>0</v>
      </c>
      <c r="W802" s="1394"/>
    </row>
    <row r="803" spans="2:23" ht="30" customHeight="1">
      <c r="B803" s="1407"/>
      <c r="C803" s="1455" t="str">
        <f t="shared" si="309"/>
        <v xml:space="preserve">Cross wall between Hall  / Passage </v>
      </c>
      <c r="D803" s="103">
        <f t="shared" si="312"/>
        <v>1</v>
      </c>
      <c r="E803" s="103">
        <f t="shared" si="310"/>
        <v>1</v>
      </c>
      <c r="F803" s="1413">
        <f t="shared" si="310"/>
        <v>1.5</v>
      </c>
      <c r="G803" s="1413">
        <f t="shared" si="313"/>
        <v>0.115</v>
      </c>
      <c r="H803" s="1414">
        <f t="shared" si="311"/>
        <v>0.1</v>
      </c>
      <c r="I803" s="1471">
        <f t="shared" si="299"/>
        <v>1.7250000000000001E-2</v>
      </c>
      <c r="Q803" s="1394">
        <f>IFERROR(VLOOKUP(M803,#REF!,3,0),0)</f>
        <v>0</v>
      </c>
      <c r="R803" s="1394">
        <f t="shared" si="263"/>
        <v>0</v>
      </c>
      <c r="S803" s="1394">
        <f>IFERROR(VLOOKUP(M803,#REF!,6,0),0)</f>
        <v>0</v>
      </c>
      <c r="T803" s="1394">
        <f t="shared" si="264"/>
        <v>0</v>
      </c>
      <c r="U803" s="1394">
        <f>IFERROR(VLOOKUP(M803,#REF!,5,0),0)</f>
        <v>0</v>
      </c>
      <c r="V803" s="1394">
        <f t="shared" si="265"/>
        <v>0</v>
      </c>
      <c r="W803" s="1394"/>
    </row>
    <row r="804" spans="2:23" ht="30" customHeight="1">
      <c r="B804" s="1407"/>
      <c r="C804" s="1412" t="str">
        <f t="shared" si="309"/>
        <v>CD File / Store</v>
      </c>
      <c r="D804" s="103">
        <f t="shared" si="312"/>
        <v>0</v>
      </c>
      <c r="E804" s="103">
        <f t="shared" si="310"/>
        <v>0</v>
      </c>
      <c r="F804" s="1413">
        <f t="shared" si="310"/>
        <v>0</v>
      </c>
      <c r="G804" s="1413"/>
      <c r="H804" s="1414">
        <f t="shared" si="311"/>
        <v>0</v>
      </c>
      <c r="I804" s="1471">
        <f t="shared" si="299"/>
        <v>0</v>
      </c>
      <c r="Q804" s="1394">
        <f>IFERROR(VLOOKUP(M804,#REF!,3,0),0)</f>
        <v>0</v>
      </c>
      <c r="R804" s="1394">
        <f t="shared" si="263"/>
        <v>0</v>
      </c>
      <c r="S804" s="1394">
        <f>IFERROR(VLOOKUP(M804,#REF!,6,0),0)</f>
        <v>0</v>
      </c>
      <c r="T804" s="1394">
        <f t="shared" si="264"/>
        <v>0</v>
      </c>
      <c r="U804" s="1394">
        <f>IFERROR(VLOOKUP(M804,#REF!,5,0),0)</f>
        <v>0</v>
      </c>
      <c r="V804" s="1394">
        <f t="shared" si="265"/>
        <v>0</v>
      </c>
      <c r="W804" s="1394"/>
    </row>
    <row r="805" spans="2:23" ht="30" customHeight="1">
      <c r="B805" s="1407"/>
      <c r="C805" s="1455" t="str">
        <f t="shared" si="309"/>
        <v xml:space="preserve">C/B Wall </v>
      </c>
      <c r="D805" s="103">
        <f t="shared" si="312"/>
        <v>1</v>
      </c>
      <c r="E805" s="103">
        <f t="shared" si="310"/>
        <v>1</v>
      </c>
      <c r="F805" s="1413">
        <f t="shared" si="310"/>
        <v>0.6</v>
      </c>
      <c r="G805" s="1413">
        <f t="shared" si="313"/>
        <v>0.115</v>
      </c>
      <c r="H805" s="1414">
        <f t="shared" si="311"/>
        <v>0.1</v>
      </c>
      <c r="I805" s="1471">
        <f t="shared" si="299"/>
        <v>6.9000000000000008E-3</v>
      </c>
      <c r="Q805" s="1394">
        <f>IFERROR(VLOOKUP(M805,#REF!,3,0),0)</f>
        <v>0</v>
      </c>
      <c r="R805" s="1394">
        <f t="shared" si="263"/>
        <v>0</v>
      </c>
      <c r="S805" s="1394">
        <f>IFERROR(VLOOKUP(M805,#REF!,6,0),0)</f>
        <v>0</v>
      </c>
      <c r="T805" s="1394">
        <f t="shared" si="264"/>
        <v>0</v>
      </c>
      <c r="U805" s="1394">
        <f>IFERROR(VLOOKUP(M805,#REF!,5,0),0)</f>
        <v>0</v>
      </c>
      <c r="V805" s="1394">
        <f t="shared" si="265"/>
        <v>0</v>
      </c>
      <c r="W805" s="1394"/>
    </row>
    <row r="806" spans="2:23" ht="30" customHeight="1">
      <c r="B806" s="1407"/>
      <c r="C806" s="1455" t="str">
        <f t="shared" si="309"/>
        <v>Cross wall between Toilet / CD File / Store</v>
      </c>
      <c r="D806" s="103">
        <f t="shared" si="312"/>
        <v>1</v>
      </c>
      <c r="E806" s="103">
        <f t="shared" si="310"/>
        <v>1</v>
      </c>
      <c r="F806" s="1413">
        <f t="shared" si="310"/>
        <v>1.1000000000000001</v>
      </c>
      <c r="G806" s="1413">
        <f t="shared" si="313"/>
        <v>0.115</v>
      </c>
      <c r="H806" s="1414">
        <f t="shared" si="311"/>
        <v>0.1</v>
      </c>
      <c r="I806" s="1471">
        <f t="shared" si="299"/>
        <v>1.2650000000000003E-2</v>
      </c>
      <c r="Q806" s="1394">
        <f>IFERROR(VLOOKUP(M806,#REF!,3,0),0)</f>
        <v>0</v>
      </c>
      <c r="R806" s="1394">
        <f t="shared" si="263"/>
        <v>0</v>
      </c>
      <c r="S806" s="1394">
        <f>IFERROR(VLOOKUP(M806,#REF!,6,0),0)</f>
        <v>0</v>
      </c>
      <c r="T806" s="1394">
        <f t="shared" si="264"/>
        <v>0</v>
      </c>
      <c r="U806" s="1394">
        <f>IFERROR(VLOOKUP(M806,#REF!,5,0),0)</f>
        <v>0</v>
      </c>
      <c r="V806" s="1394">
        <f t="shared" si="265"/>
        <v>0</v>
      </c>
      <c r="W806" s="1394"/>
    </row>
    <row r="807" spans="2:23" ht="30" customHeight="1">
      <c r="B807" s="1407"/>
      <c r="C807" s="1455" t="str">
        <f t="shared" si="309"/>
        <v xml:space="preserve">Cross wall between Toilet / Passage </v>
      </c>
      <c r="D807" s="103">
        <f t="shared" si="312"/>
        <v>1</v>
      </c>
      <c r="E807" s="103">
        <f t="shared" si="310"/>
        <v>1</v>
      </c>
      <c r="F807" s="1413">
        <f t="shared" si="310"/>
        <v>1.5</v>
      </c>
      <c r="G807" s="1413">
        <f t="shared" si="313"/>
        <v>0.115</v>
      </c>
      <c r="H807" s="1414">
        <f t="shared" si="311"/>
        <v>0.1</v>
      </c>
      <c r="I807" s="1471">
        <f t="shared" si="299"/>
        <v>1.7250000000000001E-2</v>
      </c>
      <c r="Q807" s="1394">
        <f>IFERROR(VLOOKUP(M807,#REF!,3,0),0)</f>
        <v>0</v>
      </c>
      <c r="R807" s="1394">
        <f t="shared" si="263"/>
        <v>0</v>
      </c>
      <c r="S807" s="1394">
        <f>IFERROR(VLOOKUP(M807,#REF!,6,0),0)</f>
        <v>0</v>
      </c>
      <c r="T807" s="1394">
        <f t="shared" si="264"/>
        <v>0</v>
      </c>
      <c r="U807" s="1394">
        <f>IFERROR(VLOOKUP(M807,#REF!,5,0),0)</f>
        <v>0</v>
      </c>
      <c r="V807" s="1394">
        <f t="shared" si="265"/>
        <v>0</v>
      </c>
      <c r="W807" s="1394"/>
    </row>
    <row r="808" spans="2:23" ht="30" customHeight="1">
      <c r="B808" s="1407"/>
      <c r="C808" s="1455" t="str">
        <f t="shared" si="309"/>
        <v xml:space="preserve">Cross wall between Halll / Passage </v>
      </c>
      <c r="D808" s="103">
        <f t="shared" si="312"/>
        <v>1</v>
      </c>
      <c r="E808" s="103">
        <f t="shared" si="310"/>
        <v>1</v>
      </c>
      <c r="F808" s="1413">
        <f t="shared" si="310"/>
        <v>0.6</v>
      </c>
      <c r="G808" s="1413">
        <f t="shared" si="313"/>
        <v>0.115</v>
      </c>
      <c r="H808" s="1414">
        <f t="shared" si="311"/>
        <v>0.1</v>
      </c>
      <c r="I808" s="1471">
        <f t="shared" si="299"/>
        <v>6.9000000000000008E-3</v>
      </c>
      <c r="Q808" s="1394">
        <f>IFERROR(VLOOKUP(M808,#REF!,3,0),0)</f>
        <v>0</v>
      </c>
      <c r="R808" s="1394">
        <f t="shared" si="263"/>
        <v>0</v>
      </c>
      <c r="S808" s="1394">
        <f>IFERROR(VLOOKUP(M808,#REF!,6,0),0)</f>
        <v>0</v>
      </c>
      <c r="T808" s="1394">
        <f t="shared" si="264"/>
        <v>0</v>
      </c>
      <c r="U808" s="1394">
        <f>IFERROR(VLOOKUP(M808,#REF!,5,0),0)</f>
        <v>0</v>
      </c>
      <c r="V808" s="1394">
        <f t="shared" si="265"/>
        <v>0</v>
      </c>
      <c r="W808" s="1394"/>
    </row>
    <row r="809" spans="2:23" ht="30" customHeight="1">
      <c r="B809" s="1407"/>
      <c r="C809" s="1412" t="str">
        <f t="shared" si="309"/>
        <v>Computer CCTNS</v>
      </c>
      <c r="D809" s="103">
        <f t="shared" si="312"/>
        <v>0</v>
      </c>
      <c r="E809" s="103">
        <f t="shared" si="310"/>
        <v>0</v>
      </c>
      <c r="F809" s="1413">
        <f t="shared" si="310"/>
        <v>0</v>
      </c>
      <c r="G809" s="1413"/>
      <c r="H809" s="1414">
        <f t="shared" si="311"/>
        <v>0</v>
      </c>
      <c r="I809" s="1471">
        <f t="shared" si="299"/>
        <v>0</v>
      </c>
      <c r="Q809" s="1394">
        <f>IFERROR(VLOOKUP(M809,#REF!,3,0),0)</f>
        <v>0</v>
      </c>
      <c r="R809" s="1394">
        <f t="shared" si="263"/>
        <v>0</v>
      </c>
      <c r="S809" s="1394">
        <f>IFERROR(VLOOKUP(M809,#REF!,6,0),0)</f>
        <v>0</v>
      </c>
      <c r="T809" s="1394">
        <f t="shared" si="264"/>
        <v>0</v>
      </c>
      <c r="U809" s="1394">
        <f>IFERROR(VLOOKUP(M809,#REF!,5,0),0)</f>
        <v>0</v>
      </c>
      <c r="V809" s="1394">
        <f t="shared" si="265"/>
        <v>0</v>
      </c>
      <c r="W809" s="1394"/>
    </row>
    <row r="810" spans="2:23" ht="30" customHeight="1">
      <c r="B810" s="1407"/>
      <c r="C810" s="1455" t="str">
        <f t="shared" si="309"/>
        <v xml:space="preserve">C/B Wall </v>
      </c>
      <c r="D810" s="103">
        <f t="shared" si="312"/>
        <v>1</v>
      </c>
      <c r="E810" s="103">
        <f t="shared" si="310"/>
        <v>1</v>
      </c>
      <c r="F810" s="1413">
        <f t="shared" si="310"/>
        <v>0.6</v>
      </c>
      <c r="G810" s="1413">
        <f t="shared" si="313"/>
        <v>0.115</v>
      </c>
      <c r="H810" s="1414">
        <f t="shared" si="311"/>
        <v>0.1</v>
      </c>
      <c r="I810" s="1471">
        <f t="shared" si="299"/>
        <v>6.9000000000000008E-3</v>
      </c>
      <c r="Q810" s="1394">
        <f>IFERROR(VLOOKUP(M810,#REF!,3,0),0)</f>
        <v>0</v>
      </c>
      <c r="R810" s="1394">
        <f t="shared" si="263"/>
        <v>0</v>
      </c>
      <c r="S810" s="1394">
        <f>IFERROR(VLOOKUP(M810,#REF!,6,0),0)</f>
        <v>0</v>
      </c>
      <c r="T810" s="1394">
        <f t="shared" si="264"/>
        <v>0</v>
      </c>
      <c r="U810" s="1394">
        <f>IFERROR(VLOOKUP(M810,#REF!,5,0),0)</f>
        <v>0</v>
      </c>
      <c r="V810" s="1394">
        <f t="shared" si="265"/>
        <v>0</v>
      </c>
      <c r="W810" s="1394"/>
    </row>
    <row r="811" spans="2:23" ht="30" customHeight="1">
      <c r="B811" s="1407"/>
      <c r="C811" s="1455" t="str">
        <f t="shared" si="309"/>
        <v>Cross wall between Toilet / Computer CCTNS</v>
      </c>
      <c r="D811" s="103">
        <f t="shared" si="312"/>
        <v>1</v>
      </c>
      <c r="E811" s="103">
        <f t="shared" si="310"/>
        <v>1</v>
      </c>
      <c r="F811" s="1413">
        <f t="shared" si="310"/>
        <v>2.93</v>
      </c>
      <c r="G811" s="1413">
        <f t="shared" si="313"/>
        <v>0.115</v>
      </c>
      <c r="H811" s="1414">
        <f t="shared" si="311"/>
        <v>0.1</v>
      </c>
      <c r="I811" s="1471">
        <f t="shared" si="299"/>
        <v>3.3695000000000003E-2</v>
      </c>
      <c r="Q811" s="1394">
        <f>IFERROR(VLOOKUP(M811,#REF!,3,0),0)</f>
        <v>0</v>
      </c>
      <c r="R811" s="1394">
        <f t="shared" si="263"/>
        <v>0</v>
      </c>
      <c r="S811" s="1394">
        <f>IFERROR(VLOOKUP(M811,#REF!,6,0),0)</f>
        <v>0</v>
      </c>
      <c r="T811" s="1394">
        <f t="shared" si="264"/>
        <v>0</v>
      </c>
      <c r="U811" s="1394">
        <f>IFERROR(VLOOKUP(M811,#REF!,5,0),0)</f>
        <v>0</v>
      </c>
      <c r="V811" s="1394">
        <f t="shared" si="265"/>
        <v>0</v>
      </c>
      <c r="W811" s="1394"/>
    </row>
    <row r="812" spans="2:23" ht="30" customHeight="1">
      <c r="B812" s="1407"/>
      <c r="C812" s="1455" t="str">
        <f t="shared" si="309"/>
        <v>Cross wall between Toilet / Passage</v>
      </c>
      <c r="D812" s="103">
        <f t="shared" si="312"/>
        <v>1</v>
      </c>
      <c r="E812" s="103">
        <f t="shared" si="310"/>
        <v>1</v>
      </c>
      <c r="F812" s="1413">
        <f t="shared" si="310"/>
        <v>3.9</v>
      </c>
      <c r="G812" s="1413">
        <f t="shared" si="313"/>
        <v>0.115</v>
      </c>
      <c r="H812" s="1414">
        <f t="shared" si="311"/>
        <v>0.1</v>
      </c>
      <c r="I812" s="1471">
        <f t="shared" si="299"/>
        <v>4.4850000000000001E-2</v>
      </c>
      <c r="Q812" s="1394">
        <f>IFERROR(VLOOKUP(M812,#REF!,3,0),0)</f>
        <v>0</v>
      </c>
      <c r="R812" s="1394">
        <f t="shared" si="263"/>
        <v>0</v>
      </c>
      <c r="S812" s="1394">
        <f>IFERROR(VLOOKUP(M812,#REF!,6,0),0)</f>
        <v>0</v>
      </c>
      <c r="T812" s="1394">
        <f t="shared" si="264"/>
        <v>0</v>
      </c>
      <c r="U812" s="1394">
        <f>IFERROR(VLOOKUP(M812,#REF!,5,0),0)</f>
        <v>0</v>
      </c>
      <c r="V812" s="1394">
        <f t="shared" si="265"/>
        <v>0</v>
      </c>
      <c r="W812" s="1394"/>
    </row>
    <row r="813" spans="2:23" ht="30" customHeight="1">
      <c r="B813" s="1407"/>
      <c r="C813" s="1412" t="str">
        <f t="shared" si="309"/>
        <v>Station Writer</v>
      </c>
      <c r="D813" s="103">
        <f t="shared" si="312"/>
        <v>0</v>
      </c>
      <c r="E813" s="103">
        <f t="shared" si="310"/>
        <v>0</v>
      </c>
      <c r="F813" s="1413">
        <f t="shared" si="310"/>
        <v>0</v>
      </c>
      <c r="G813" s="1413"/>
      <c r="H813" s="1414">
        <f t="shared" si="311"/>
        <v>0</v>
      </c>
      <c r="I813" s="1471">
        <f t="shared" si="299"/>
        <v>0</v>
      </c>
      <c r="Q813" s="1394">
        <f>IFERROR(VLOOKUP(M813,#REF!,3,0),0)</f>
        <v>0</v>
      </c>
      <c r="R813" s="1394">
        <f t="shared" si="263"/>
        <v>0</v>
      </c>
      <c r="S813" s="1394">
        <f>IFERROR(VLOOKUP(M813,#REF!,6,0),0)</f>
        <v>0</v>
      </c>
      <c r="T813" s="1394">
        <f t="shared" si="264"/>
        <v>0</v>
      </c>
      <c r="U813" s="1394">
        <f>IFERROR(VLOOKUP(M813,#REF!,5,0),0)</f>
        <v>0</v>
      </c>
      <c r="V813" s="1394">
        <f t="shared" si="265"/>
        <v>0</v>
      </c>
      <c r="W813" s="1394"/>
    </row>
    <row r="814" spans="2:23" ht="30" customHeight="1">
      <c r="B814" s="1407"/>
      <c r="C814" s="1455" t="str">
        <f t="shared" si="309"/>
        <v>Cross wall between Station Writer / Hall</v>
      </c>
      <c r="D814" s="103">
        <f t="shared" si="312"/>
        <v>1</v>
      </c>
      <c r="E814" s="103">
        <f t="shared" si="310"/>
        <v>1</v>
      </c>
      <c r="F814" s="1413">
        <f t="shared" si="310"/>
        <v>2.5</v>
      </c>
      <c r="G814" s="1413">
        <f t="shared" si="313"/>
        <v>0.115</v>
      </c>
      <c r="H814" s="1414">
        <f t="shared" si="311"/>
        <v>0.1</v>
      </c>
      <c r="I814" s="1471">
        <f t="shared" si="299"/>
        <v>2.8750000000000005E-2</v>
      </c>
      <c r="Q814" s="1394">
        <f>IFERROR(VLOOKUP(M814,#REF!,3,0),0)</f>
        <v>0</v>
      </c>
      <c r="R814" s="1394">
        <f t="shared" ref="R814:R877" si="314">ROUND(O814,2)*ROUND(Q814,2)</f>
        <v>0</v>
      </c>
      <c r="S814" s="1394">
        <f>IFERROR(VLOOKUP(M814,#REF!,6,0),0)</f>
        <v>0</v>
      </c>
      <c r="T814" s="1394">
        <f t="shared" ref="T814:T877" si="315">R814-S814</f>
        <v>0</v>
      </c>
      <c r="U814" s="1394">
        <f>IFERROR(VLOOKUP(M814,#REF!,5,0),0)</f>
        <v>0</v>
      </c>
      <c r="V814" s="1394">
        <f t="shared" ref="V814:V877" si="316">O814-U814</f>
        <v>0</v>
      </c>
      <c r="W814" s="1394"/>
    </row>
    <row r="815" spans="2:23" ht="30" customHeight="1">
      <c r="B815" s="1407"/>
      <c r="C815" s="1455" t="str">
        <f t="shared" si="309"/>
        <v>Cross wall between Toilet / Passage</v>
      </c>
      <c r="D815" s="103">
        <f t="shared" si="312"/>
        <v>1</v>
      </c>
      <c r="E815" s="103">
        <f t="shared" si="310"/>
        <v>1</v>
      </c>
      <c r="F815" s="1413">
        <f t="shared" si="310"/>
        <v>3.9</v>
      </c>
      <c r="G815" s="1413">
        <f t="shared" si="313"/>
        <v>0.115</v>
      </c>
      <c r="H815" s="1414">
        <f t="shared" si="311"/>
        <v>0.1</v>
      </c>
      <c r="I815" s="1471">
        <f t="shared" si="299"/>
        <v>4.4850000000000001E-2</v>
      </c>
      <c r="Q815" s="1394">
        <f>IFERROR(VLOOKUP(M815,#REF!,3,0),0)</f>
        <v>0</v>
      </c>
      <c r="R815" s="1394">
        <f t="shared" si="314"/>
        <v>0</v>
      </c>
      <c r="S815" s="1394">
        <f>IFERROR(VLOOKUP(M815,#REF!,6,0),0)</f>
        <v>0</v>
      </c>
      <c r="T815" s="1394">
        <f t="shared" si="315"/>
        <v>0</v>
      </c>
      <c r="U815" s="1394">
        <f>IFERROR(VLOOKUP(M815,#REF!,5,0),0)</f>
        <v>0</v>
      </c>
      <c r="V815" s="1394">
        <f t="shared" si="316"/>
        <v>0</v>
      </c>
      <c r="W815" s="1394"/>
    </row>
    <row r="816" spans="2:23" ht="30" customHeight="1">
      <c r="B816" s="1407"/>
      <c r="C816" s="1412" t="str">
        <f t="shared" si="309"/>
        <v>Property / Record</v>
      </c>
      <c r="D816" s="103">
        <f t="shared" si="312"/>
        <v>0</v>
      </c>
      <c r="E816" s="103">
        <f t="shared" si="310"/>
        <v>0</v>
      </c>
      <c r="F816" s="1413">
        <f t="shared" si="310"/>
        <v>0</v>
      </c>
      <c r="G816" s="1413"/>
      <c r="H816" s="1414">
        <f t="shared" si="311"/>
        <v>0</v>
      </c>
      <c r="I816" s="1471">
        <f t="shared" si="299"/>
        <v>0</v>
      </c>
      <c r="Q816" s="1394">
        <f>IFERROR(VLOOKUP(M816,#REF!,3,0),0)</f>
        <v>0</v>
      </c>
      <c r="R816" s="1394">
        <f t="shared" si="314"/>
        <v>0</v>
      </c>
      <c r="S816" s="1394">
        <f>IFERROR(VLOOKUP(M816,#REF!,6,0),0)</f>
        <v>0</v>
      </c>
      <c r="T816" s="1394">
        <f t="shared" si="315"/>
        <v>0</v>
      </c>
      <c r="U816" s="1394">
        <f>IFERROR(VLOOKUP(M816,#REF!,5,0),0)</f>
        <v>0</v>
      </c>
      <c r="V816" s="1394">
        <f t="shared" si="316"/>
        <v>0</v>
      </c>
      <c r="W816" s="1394"/>
    </row>
    <row r="817" spans="2:23" ht="30" customHeight="1">
      <c r="B817" s="1407"/>
      <c r="C817" s="1455" t="str">
        <f t="shared" si="309"/>
        <v>Cross wall between SProperty  Record / Hall</v>
      </c>
      <c r="D817" s="103">
        <f t="shared" si="312"/>
        <v>1</v>
      </c>
      <c r="E817" s="103">
        <f t="shared" si="310"/>
        <v>1</v>
      </c>
      <c r="F817" s="1413">
        <f t="shared" si="310"/>
        <v>1</v>
      </c>
      <c r="G817" s="1413">
        <f t="shared" si="313"/>
        <v>0.115</v>
      </c>
      <c r="H817" s="1414">
        <f t="shared" si="311"/>
        <v>0.1</v>
      </c>
      <c r="I817" s="1471">
        <f t="shared" si="299"/>
        <v>1.1500000000000002E-2</v>
      </c>
      <c r="Q817" s="1394">
        <f>IFERROR(VLOOKUP(M817,#REF!,3,0),0)</f>
        <v>0</v>
      </c>
      <c r="R817" s="1394">
        <f t="shared" si="314"/>
        <v>0</v>
      </c>
      <c r="S817" s="1394">
        <f>IFERROR(VLOOKUP(M817,#REF!,6,0),0)</f>
        <v>0</v>
      </c>
      <c r="T817" s="1394">
        <f t="shared" si="315"/>
        <v>0</v>
      </c>
      <c r="U817" s="1394">
        <f>IFERROR(VLOOKUP(M817,#REF!,5,0),0)</f>
        <v>0</v>
      </c>
      <c r="V817" s="1394">
        <f t="shared" si="316"/>
        <v>0</v>
      </c>
      <c r="W817" s="1394"/>
    </row>
    <row r="818" spans="2:23" ht="30" customHeight="1">
      <c r="B818" s="1407"/>
      <c r="C818" s="1455" t="str">
        <f t="shared" si="309"/>
        <v>C/B Wall</v>
      </c>
      <c r="D818" s="103">
        <f t="shared" si="312"/>
        <v>1</v>
      </c>
      <c r="E818" s="103">
        <f t="shared" si="310"/>
        <v>1</v>
      </c>
      <c r="F818" s="1413">
        <f t="shared" si="310"/>
        <v>0.6</v>
      </c>
      <c r="G818" s="1413">
        <f t="shared" si="313"/>
        <v>0.115</v>
      </c>
      <c r="H818" s="1414">
        <f t="shared" si="311"/>
        <v>0.1</v>
      </c>
      <c r="I818" s="1471">
        <f t="shared" si="299"/>
        <v>6.9000000000000008E-3</v>
      </c>
      <c r="Q818" s="1394">
        <f>IFERROR(VLOOKUP(M818,#REF!,3,0),0)</f>
        <v>0</v>
      </c>
      <c r="R818" s="1394">
        <f t="shared" si="314"/>
        <v>0</v>
      </c>
      <c r="S818" s="1394">
        <f>IFERROR(VLOOKUP(M818,#REF!,6,0),0)</f>
        <v>0</v>
      </c>
      <c r="T818" s="1394">
        <f t="shared" si="315"/>
        <v>0</v>
      </c>
      <c r="U818" s="1394">
        <f>IFERROR(VLOOKUP(M818,#REF!,5,0),0)</f>
        <v>0</v>
      </c>
      <c r="V818" s="1394">
        <f t="shared" si="316"/>
        <v>0</v>
      </c>
      <c r="W818" s="1394"/>
    </row>
    <row r="819" spans="2:23" ht="30" customHeight="1">
      <c r="B819" s="1407"/>
      <c r="C819" s="1455" t="str">
        <f t="shared" si="309"/>
        <v>Toilet wall</v>
      </c>
      <c r="D819" s="103">
        <f t="shared" si="312"/>
        <v>1</v>
      </c>
      <c r="E819" s="103">
        <f t="shared" si="310"/>
        <v>1</v>
      </c>
      <c r="F819" s="1413">
        <f t="shared" si="310"/>
        <v>1.2350000000000001</v>
      </c>
      <c r="G819" s="1413">
        <f t="shared" si="313"/>
        <v>0.115</v>
      </c>
      <c r="H819" s="1414">
        <f t="shared" si="311"/>
        <v>0.1</v>
      </c>
      <c r="I819" s="1471">
        <f t="shared" si="299"/>
        <v>1.4202500000000002E-2</v>
      </c>
      <c r="Q819" s="1394">
        <f>IFERROR(VLOOKUP(M819,#REF!,3,0),0)</f>
        <v>0</v>
      </c>
      <c r="R819" s="1394">
        <f t="shared" si="314"/>
        <v>0</v>
      </c>
      <c r="S819" s="1394">
        <f>IFERROR(VLOOKUP(M819,#REF!,6,0),0)</f>
        <v>0</v>
      </c>
      <c r="T819" s="1394">
        <f t="shared" si="315"/>
        <v>0</v>
      </c>
      <c r="U819" s="1394">
        <f>IFERROR(VLOOKUP(M819,#REF!,5,0),0)</f>
        <v>0</v>
      </c>
      <c r="V819" s="1394">
        <f t="shared" si="316"/>
        <v>0</v>
      </c>
      <c r="W819" s="1394"/>
    </row>
    <row r="820" spans="2:23" ht="30" customHeight="1">
      <c r="B820" s="1405"/>
      <c r="C820" s="1415" t="s">
        <v>315</v>
      </c>
      <c r="D820" s="1409"/>
      <c r="E820" s="1409"/>
      <c r="F820" s="1410"/>
      <c r="G820" s="1410"/>
      <c r="H820" s="1473"/>
      <c r="I820" s="1425">
        <f t="shared" ref="I820:I836" si="317">PRODUCT(D820:H820)</f>
        <v>0</v>
      </c>
      <c r="O820" s="1395"/>
      <c r="Q820" s="1394">
        <f>IFERROR(VLOOKUP(M820,#REF!,3,0),0)</f>
        <v>0</v>
      </c>
      <c r="R820" s="1394">
        <f t="shared" si="314"/>
        <v>0</v>
      </c>
      <c r="S820" s="1394">
        <f>IFERROR(VLOOKUP(M820,#REF!,6,0),0)</f>
        <v>0</v>
      </c>
      <c r="T820" s="1394">
        <f t="shared" si="315"/>
        <v>0</v>
      </c>
      <c r="U820" s="1394">
        <f>IFERROR(VLOOKUP(M820,#REF!,5,0),0)</f>
        <v>0</v>
      </c>
      <c r="V820" s="1394">
        <f t="shared" si="316"/>
        <v>0</v>
      </c>
      <c r="W820" s="1394"/>
    </row>
    <row r="821" spans="2:23" ht="30" customHeight="1">
      <c r="B821" s="1405"/>
      <c r="C821" s="1408" t="str">
        <f t="shared" ref="C821:F831" si="318">C737</f>
        <v>FW</v>
      </c>
      <c r="D821" s="1409">
        <f t="shared" si="318"/>
        <v>1</v>
      </c>
      <c r="E821" s="1409">
        <f t="shared" si="318"/>
        <v>2</v>
      </c>
      <c r="F821" s="1410">
        <f t="shared" si="318"/>
        <v>1.2729999999999999</v>
      </c>
      <c r="G821" s="1410">
        <v>0.6</v>
      </c>
      <c r="H821" s="1473">
        <v>6.25E-2</v>
      </c>
      <c r="I821" s="1471">
        <f t="shared" si="317"/>
        <v>9.547499999999999E-2</v>
      </c>
      <c r="O821" s="1395"/>
      <c r="Q821" s="1394">
        <f>IFERROR(VLOOKUP(M821,#REF!,3,0),0)</f>
        <v>0</v>
      </c>
      <c r="R821" s="1394">
        <f t="shared" si="314"/>
        <v>0</v>
      </c>
      <c r="S821" s="1394">
        <f>IFERROR(VLOOKUP(M821,#REF!,6,0),0)</f>
        <v>0</v>
      </c>
      <c r="T821" s="1394">
        <f t="shared" si="315"/>
        <v>0</v>
      </c>
      <c r="U821" s="1394">
        <f>IFERROR(VLOOKUP(M821,#REF!,5,0),0)</f>
        <v>0</v>
      </c>
      <c r="V821" s="1394">
        <f t="shared" si="316"/>
        <v>0</v>
      </c>
      <c r="W821" s="1394"/>
    </row>
    <row r="822" spans="2:23" ht="30" customHeight="1">
      <c r="B822" s="1405"/>
      <c r="C822" s="1408" t="str">
        <f t="shared" si="318"/>
        <v>FW-3</v>
      </c>
      <c r="D822" s="1409">
        <f t="shared" si="318"/>
        <v>1</v>
      </c>
      <c r="E822" s="1409">
        <f t="shared" si="318"/>
        <v>1</v>
      </c>
      <c r="F822" s="1410">
        <f t="shared" si="318"/>
        <v>2.46</v>
      </c>
      <c r="G822" s="1410">
        <f>G821</f>
        <v>0.6</v>
      </c>
      <c r="H822" s="1473">
        <f>H821</f>
        <v>6.25E-2</v>
      </c>
      <c r="I822" s="1471">
        <f t="shared" si="317"/>
        <v>9.2249999999999999E-2</v>
      </c>
      <c r="O822" s="1395"/>
      <c r="Q822" s="1394">
        <f>IFERROR(VLOOKUP(M822,#REF!,3,0),0)</f>
        <v>0</v>
      </c>
      <c r="R822" s="1394">
        <f t="shared" si="314"/>
        <v>0</v>
      </c>
      <c r="S822" s="1394">
        <f>IFERROR(VLOOKUP(M822,#REF!,6,0),0)</f>
        <v>0</v>
      </c>
      <c r="T822" s="1394">
        <f t="shared" si="315"/>
        <v>0</v>
      </c>
      <c r="U822" s="1394">
        <f>IFERROR(VLOOKUP(M822,#REF!,5,0),0)</f>
        <v>0</v>
      </c>
      <c r="V822" s="1394">
        <f t="shared" si="316"/>
        <v>0</v>
      </c>
      <c r="W822" s="1394"/>
    </row>
    <row r="823" spans="2:23" ht="30" customHeight="1">
      <c r="B823" s="1405"/>
      <c r="C823" s="1408" t="str">
        <f t="shared" si="318"/>
        <v>FW-4</v>
      </c>
      <c r="D823" s="1409">
        <f t="shared" si="318"/>
        <v>1</v>
      </c>
      <c r="E823" s="1409">
        <f t="shared" si="318"/>
        <v>2</v>
      </c>
      <c r="F823" s="1410">
        <f t="shared" si="318"/>
        <v>1.66</v>
      </c>
      <c r="G823" s="1410">
        <f t="shared" ref="G823:G831" si="319">G822</f>
        <v>0.6</v>
      </c>
      <c r="H823" s="1473">
        <f t="shared" ref="H823:H831" si="320">H822</f>
        <v>6.25E-2</v>
      </c>
      <c r="I823" s="1471">
        <f t="shared" si="317"/>
        <v>0.12449999999999999</v>
      </c>
      <c r="O823" s="1395"/>
      <c r="Q823" s="1394">
        <f>IFERROR(VLOOKUP(M823,#REF!,3,0),0)</f>
        <v>0</v>
      </c>
      <c r="R823" s="1394">
        <f t="shared" si="314"/>
        <v>0</v>
      </c>
      <c r="S823" s="1394">
        <f>IFERROR(VLOOKUP(M823,#REF!,6,0),0)</f>
        <v>0</v>
      </c>
      <c r="T823" s="1394">
        <f t="shared" si="315"/>
        <v>0</v>
      </c>
      <c r="U823" s="1394">
        <f>IFERROR(VLOOKUP(M823,#REF!,5,0),0)</f>
        <v>0</v>
      </c>
      <c r="V823" s="1394">
        <f t="shared" si="316"/>
        <v>0</v>
      </c>
      <c r="W823" s="1394"/>
    </row>
    <row r="824" spans="2:23" ht="30" customHeight="1">
      <c r="B824" s="1405"/>
      <c r="C824" s="1408" t="str">
        <f t="shared" si="318"/>
        <v>SW</v>
      </c>
      <c r="D824" s="1409">
        <f t="shared" si="318"/>
        <v>1</v>
      </c>
      <c r="E824" s="1409">
        <f t="shared" si="318"/>
        <v>1</v>
      </c>
      <c r="F824" s="1410">
        <f t="shared" si="318"/>
        <v>2.2600000000000002</v>
      </c>
      <c r="G824" s="1410">
        <f t="shared" si="319"/>
        <v>0.6</v>
      </c>
      <c r="H824" s="1473">
        <f t="shared" si="320"/>
        <v>6.25E-2</v>
      </c>
      <c r="I824" s="1471">
        <f t="shared" si="317"/>
        <v>8.4750000000000006E-2</v>
      </c>
      <c r="O824" s="1469"/>
      <c r="Q824" s="1394">
        <f>IFERROR(VLOOKUP(M824,#REF!,3,0),0)</f>
        <v>0</v>
      </c>
      <c r="R824" s="1394">
        <f t="shared" si="314"/>
        <v>0</v>
      </c>
      <c r="S824" s="1394">
        <f>IFERROR(VLOOKUP(M824,#REF!,6,0),0)</f>
        <v>0</v>
      </c>
      <c r="T824" s="1394">
        <f t="shared" si="315"/>
        <v>0</v>
      </c>
      <c r="U824" s="1394">
        <f>IFERROR(VLOOKUP(M824,#REF!,5,0),0)</f>
        <v>0</v>
      </c>
      <c r="V824" s="1394">
        <f t="shared" si="316"/>
        <v>0</v>
      </c>
      <c r="W824" s="1394"/>
    </row>
    <row r="825" spans="2:23" ht="30" customHeight="1">
      <c r="B825" s="1405"/>
      <c r="C825" s="1415" t="str">
        <f t="shared" si="318"/>
        <v>W</v>
      </c>
      <c r="D825" s="1409">
        <f t="shared" si="318"/>
        <v>1</v>
      </c>
      <c r="E825" s="1409">
        <f t="shared" si="318"/>
        <v>1</v>
      </c>
      <c r="F825" s="1410">
        <f t="shared" si="318"/>
        <v>2.2600000000000002</v>
      </c>
      <c r="G825" s="1410">
        <f t="shared" si="319"/>
        <v>0.6</v>
      </c>
      <c r="H825" s="1473">
        <f t="shared" si="320"/>
        <v>6.25E-2</v>
      </c>
      <c r="I825" s="1471">
        <f t="shared" si="317"/>
        <v>8.4750000000000006E-2</v>
      </c>
      <c r="O825" s="1469"/>
      <c r="Q825" s="1394">
        <f>IFERROR(VLOOKUP(M825,#REF!,3,0),0)</f>
        <v>0</v>
      </c>
      <c r="R825" s="1394">
        <f t="shared" si="314"/>
        <v>0</v>
      </c>
      <c r="S825" s="1394">
        <f>IFERROR(VLOOKUP(M825,#REF!,6,0),0)</f>
        <v>0</v>
      </c>
      <c r="T825" s="1394">
        <f t="shared" si="315"/>
        <v>0</v>
      </c>
      <c r="U825" s="1394">
        <f>IFERROR(VLOOKUP(M825,#REF!,5,0),0)</f>
        <v>0</v>
      </c>
      <c r="V825" s="1394">
        <f t="shared" si="316"/>
        <v>0</v>
      </c>
      <c r="W825" s="1394"/>
    </row>
    <row r="826" spans="2:23" ht="30" customHeight="1">
      <c r="B826" s="1405"/>
      <c r="C826" s="1415" t="str">
        <f t="shared" si="318"/>
        <v>W1</v>
      </c>
      <c r="D826" s="1409">
        <f t="shared" si="318"/>
        <v>1</v>
      </c>
      <c r="E826" s="1409">
        <f t="shared" si="318"/>
        <v>1</v>
      </c>
      <c r="F826" s="1410">
        <f t="shared" si="318"/>
        <v>1.96</v>
      </c>
      <c r="G826" s="1410">
        <f t="shared" si="319"/>
        <v>0.6</v>
      </c>
      <c r="H826" s="1473">
        <f t="shared" si="320"/>
        <v>6.25E-2</v>
      </c>
      <c r="I826" s="1471">
        <f t="shared" si="317"/>
        <v>7.3499999999999996E-2</v>
      </c>
      <c r="O826" s="1469"/>
      <c r="Q826" s="1394">
        <f>IFERROR(VLOOKUP(M826,#REF!,3,0),0)</f>
        <v>0</v>
      </c>
      <c r="R826" s="1394">
        <f t="shared" si="314"/>
        <v>0</v>
      </c>
      <c r="S826" s="1394">
        <f>IFERROR(VLOOKUP(M826,#REF!,6,0),0)</f>
        <v>0</v>
      </c>
      <c r="T826" s="1394">
        <f t="shared" si="315"/>
        <v>0</v>
      </c>
      <c r="U826" s="1394">
        <f>IFERROR(VLOOKUP(M826,#REF!,5,0),0)</f>
        <v>0</v>
      </c>
      <c r="V826" s="1394">
        <f t="shared" si="316"/>
        <v>0</v>
      </c>
      <c r="W826" s="1394"/>
    </row>
    <row r="827" spans="2:23" ht="30" customHeight="1">
      <c r="B827" s="1405"/>
      <c r="C827" s="1415" t="str">
        <f t="shared" si="318"/>
        <v>W2</v>
      </c>
      <c r="D827" s="1409">
        <f t="shared" si="318"/>
        <v>1</v>
      </c>
      <c r="E827" s="1409">
        <f t="shared" si="318"/>
        <v>10</v>
      </c>
      <c r="F827" s="1410">
        <f t="shared" si="318"/>
        <v>1.66</v>
      </c>
      <c r="G827" s="1410">
        <f t="shared" si="319"/>
        <v>0.6</v>
      </c>
      <c r="H827" s="1473">
        <f t="shared" si="320"/>
        <v>6.25E-2</v>
      </c>
      <c r="I827" s="1471">
        <f t="shared" si="317"/>
        <v>0.62249999999999994</v>
      </c>
      <c r="O827" s="1469"/>
      <c r="Q827" s="1394">
        <f>IFERROR(VLOOKUP(M827,#REF!,3,0),0)</f>
        <v>0</v>
      </c>
      <c r="R827" s="1394">
        <f t="shared" si="314"/>
        <v>0</v>
      </c>
      <c r="S827" s="1394">
        <f>IFERROR(VLOOKUP(M827,#REF!,6,0),0)</f>
        <v>0</v>
      </c>
      <c r="T827" s="1394">
        <f t="shared" si="315"/>
        <v>0</v>
      </c>
      <c r="U827" s="1394">
        <f>IFERROR(VLOOKUP(M827,#REF!,5,0),0)</f>
        <v>0</v>
      </c>
      <c r="V827" s="1394">
        <f t="shared" si="316"/>
        <v>0</v>
      </c>
      <c r="W827" s="1394"/>
    </row>
    <row r="828" spans="2:23" ht="30" customHeight="1">
      <c r="B828" s="1405"/>
      <c r="C828" s="1408" t="str">
        <f t="shared" si="318"/>
        <v>W3</v>
      </c>
      <c r="D828" s="1409">
        <f t="shared" si="318"/>
        <v>1</v>
      </c>
      <c r="E828" s="1409">
        <f t="shared" si="318"/>
        <v>4</v>
      </c>
      <c r="F828" s="1410">
        <f t="shared" si="318"/>
        <v>1.46</v>
      </c>
      <c r="G828" s="1410">
        <f t="shared" si="319"/>
        <v>0.6</v>
      </c>
      <c r="H828" s="1473">
        <f t="shared" si="320"/>
        <v>6.25E-2</v>
      </c>
      <c r="I828" s="1471">
        <f t="shared" si="317"/>
        <v>0.219</v>
      </c>
      <c r="O828" s="1469"/>
      <c r="Q828" s="1394">
        <f>IFERROR(VLOOKUP(M828,#REF!,3,0),0)</f>
        <v>0</v>
      </c>
      <c r="R828" s="1394">
        <f t="shared" si="314"/>
        <v>0</v>
      </c>
      <c r="S828" s="1394">
        <f>IFERROR(VLOOKUP(M828,#REF!,6,0),0)</f>
        <v>0</v>
      </c>
      <c r="T828" s="1394">
        <f t="shared" si="315"/>
        <v>0</v>
      </c>
      <c r="U828" s="1394">
        <f>IFERROR(VLOOKUP(M828,#REF!,5,0),0)</f>
        <v>0</v>
      </c>
      <c r="V828" s="1394">
        <f t="shared" si="316"/>
        <v>0</v>
      </c>
      <c r="W828" s="1394"/>
    </row>
    <row r="829" spans="2:23" ht="30" customHeight="1">
      <c r="B829" s="1405"/>
      <c r="C829" s="1408" t="str">
        <f t="shared" si="318"/>
        <v>V</v>
      </c>
      <c r="D829" s="1409">
        <f t="shared" si="318"/>
        <v>1</v>
      </c>
      <c r="E829" s="1409">
        <f t="shared" si="318"/>
        <v>2</v>
      </c>
      <c r="F829" s="1410">
        <f t="shared" si="318"/>
        <v>1.46</v>
      </c>
      <c r="G829" s="1410">
        <f t="shared" si="319"/>
        <v>0.6</v>
      </c>
      <c r="H829" s="1473">
        <f t="shared" si="320"/>
        <v>6.25E-2</v>
      </c>
      <c r="I829" s="1471">
        <f t="shared" si="317"/>
        <v>0.1095</v>
      </c>
      <c r="O829" s="1469"/>
      <c r="Q829" s="1394">
        <f>IFERROR(VLOOKUP(M829,#REF!,3,0),0)</f>
        <v>0</v>
      </c>
      <c r="R829" s="1394">
        <f t="shared" si="314"/>
        <v>0</v>
      </c>
      <c r="S829" s="1394">
        <f>IFERROR(VLOOKUP(M829,#REF!,6,0),0)</f>
        <v>0</v>
      </c>
      <c r="T829" s="1394">
        <f t="shared" si="315"/>
        <v>0</v>
      </c>
      <c r="U829" s="1394">
        <f>IFERROR(VLOOKUP(M829,#REF!,5,0),0)</f>
        <v>0</v>
      </c>
      <c r="V829" s="1394">
        <f t="shared" si="316"/>
        <v>0</v>
      </c>
      <c r="W829" s="1394"/>
    </row>
    <row r="830" spans="2:23" ht="30" customHeight="1">
      <c r="B830" s="1405"/>
      <c r="C830" s="1408" t="str">
        <f t="shared" si="318"/>
        <v>V1</v>
      </c>
      <c r="D830" s="1409">
        <f t="shared" si="318"/>
        <v>1</v>
      </c>
      <c r="E830" s="1409">
        <f t="shared" si="318"/>
        <v>2</v>
      </c>
      <c r="F830" s="1410">
        <f t="shared" si="318"/>
        <v>1.06</v>
      </c>
      <c r="G830" s="1410">
        <f t="shared" si="319"/>
        <v>0.6</v>
      </c>
      <c r="H830" s="1473">
        <f t="shared" si="320"/>
        <v>6.25E-2</v>
      </c>
      <c r="I830" s="1471">
        <f t="shared" si="317"/>
        <v>7.9500000000000001E-2</v>
      </c>
      <c r="O830" s="1469"/>
      <c r="Q830" s="1394">
        <f>IFERROR(VLOOKUP(M830,#REF!,3,0),0)</f>
        <v>0</v>
      </c>
      <c r="R830" s="1394">
        <f t="shared" si="314"/>
        <v>0</v>
      </c>
      <c r="S830" s="1394">
        <f>IFERROR(VLOOKUP(M830,#REF!,6,0),0)</f>
        <v>0</v>
      </c>
      <c r="T830" s="1394">
        <f t="shared" si="315"/>
        <v>0</v>
      </c>
      <c r="U830" s="1394">
        <f>IFERROR(VLOOKUP(M830,#REF!,5,0),0)</f>
        <v>0</v>
      </c>
      <c r="V830" s="1394">
        <f t="shared" si="316"/>
        <v>0</v>
      </c>
      <c r="W830" s="1394"/>
    </row>
    <row r="831" spans="2:23" ht="30" customHeight="1">
      <c r="B831" s="1405"/>
      <c r="C831" s="1408" t="str">
        <f t="shared" si="318"/>
        <v>V3</v>
      </c>
      <c r="D831" s="1409">
        <f t="shared" si="318"/>
        <v>1</v>
      </c>
      <c r="E831" s="1409">
        <f t="shared" si="318"/>
        <v>4</v>
      </c>
      <c r="F831" s="1410">
        <f t="shared" si="318"/>
        <v>1.36</v>
      </c>
      <c r="G831" s="1410">
        <f t="shared" si="319"/>
        <v>0.6</v>
      </c>
      <c r="H831" s="1473">
        <f t="shared" si="320"/>
        <v>6.25E-2</v>
      </c>
      <c r="I831" s="1471">
        <f t="shared" si="317"/>
        <v>0.20400000000000001</v>
      </c>
      <c r="O831" s="1469"/>
      <c r="Q831" s="1394">
        <f>IFERROR(VLOOKUP(M831,#REF!,3,0),0)</f>
        <v>0</v>
      </c>
      <c r="R831" s="1394">
        <f t="shared" si="314"/>
        <v>0</v>
      </c>
      <c r="S831" s="1394">
        <f>IFERROR(VLOOKUP(M831,#REF!,6,0),0)</f>
        <v>0</v>
      </c>
      <c r="T831" s="1394">
        <f t="shared" si="315"/>
        <v>0</v>
      </c>
      <c r="U831" s="1394">
        <f>IFERROR(VLOOKUP(M831,#REF!,5,0),0)</f>
        <v>0</v>
      </c>
      <c r="V831" s="1394">
        <f t="shared" si="316"/>
        <v>0</v>
      </c>
      <c r="W831" s="1394"/>
    </row>
    <row r="832" spans="2:23" ht="30" customHeight="1">
      <c r="B832" s="1405"/>
      <c r="C832" s="1415" t="s">
        <v>502</v>
      </c>
      <c r="D832" s="1409"/>
      <c r="E832" s="1409"/>
      <c r="F832" s="1410"/>
      <c r="G832" s="1410"/>
      <c r="H832" s="1410"/>
      <c r="I832" s="1471">
        <f t="shared" si="317"/>
        <v>0</v>
      </c>
      <c r="O832" s="1469"/>
      <c r="Q832" s="1394">
        <f>IFERROR(VLOOKUP(M832,#REF!,3,0),0)</f>
        <v>0</v>
      </c>
      <c r="R832" s="1394">
        <f t="shared" si="314"/>
        <v>0</v>
      </c>
      <c r="S832" s="1394">
        <f>IFERROR(VLOOKUP(M832,#REF!,6,0),0)</f>
        <v>0</v>
      </c>
      <c r="T832" s="1394">
        <f t="shared" si="315"/>
        <v>0</v>
      </c>
      <c r="U832" s="1394">
        <f>IFERROR(VLOOKUP(M832,#REF!,5,0),0)</f>
        <v>0</v>
      </c>
      <c r="V832" s="1394">
        <f t="shared" si="316"/>
        <v>0</v>
      </c>
      <c r="W832" s="1394"/>
    </row>
    <row r="833" spans="2:23" ht="30" customHeight="1">
      <c r="B833" s="1405"/>
      <c r="C833" s="1408" t="s">
        <v>316</v>
      </c>
      <c r="D833" s="1409">
        <v>1</v>
      </c>
      <c r="E833" s="1409">
        <v>1</v>
      </c>
      <c r="F833" s="1410">
        <v>3.75</v>
      </c>
      <c r="G833" s="1410">
        <v>1.2</v>
      </c>
      <c r="H833" s="1410">
        <v>0.15</v>
      </c>
      <c r="I833" s="1471">
        <f t="shared" si="317"/>
        <v>0.67499999999999993</v>
      </c>
      <c r="O833" s="1395"/>
      <c r="Q833" s="1394">
        <f>IFERROR(VLOOKUP(M833,#REF!,3,0),0)</f>
        <v>0</v>
      </c>
      <c r="R833" s="1394">
        <f t="shared" si="314"/>
        <v>0</v>
      </c>
      <c r="S833" s="1394">
        <f>IFERROR(VLOOKUP(M833,#REF!,6,0),0)</f>
        <v>0</v>
      </c>
      <c r="T833" s="1394">
        <f t="shared" si="315"/>
        <v>0</v>
      </c>
      <c r="U833" s="1394">
        <f>IFERROR(VLOOKUP(M833,#REF!,5,0),0)</f>
        <v>0</v>
      </c>
      <c r="V833" s="1394">
        <f t="shared" si="316"/>
        <v>0</v>
      </c>
      <c r="W833" s="1394"/>
    </row>
    <row r="834" spans="2:23" ht="30" customHeight="1">
      <c r="B834" s="1405"/>
      <c r="C834" s="1408" t="s">
        <v>307</v>
      </c>
      <c r="D834" s="1409">
        <v>1</v>
      </c>
      <c r="E834" s="1409">
        <v>1</v>
      </c>
      <c r="F834" s="1410">
        <f>2.77+0.46</f>
        <v>3.23</v>
      </c>
      <c r="G834" s="1410">
        <v>1.2</v>
      </c>
      <c r="H834" s="1410">
        <v>0.15</v>
      </c>
      <c r="I834" s="1471">
        <f t="shared" si="317"/>
        <v>0.58139999999999992</v>
      </c>
      <c r="O834" s="1395"/>
      <c r="Q834" s="1394">
        <f>IFERROR(VLOOKUP(M834,#REF!,3,0),0)</f>
        <v>0</v>
      </c>
      <c r="R834" s="1394">
        <f t="shared" si="314"/>
        <v>0</v>
      </c>
      <c r="S834" s="1394">
        <f>IFERROR(VLOOKUP(M834,#REF!,6,0),0)</f>
        <v>0</v>
      </c>
      <c r="T834" s="1394">
        <f t="shared" si="315"/>
        <v>0</v>
      </c>
      <c r="U834" s="1394">
        <f>IFERROR(VLOOKUP(M834,#REF!,5,0),0)</f>
        <v>0</v>
      </c>
      <c r="V834" s="1394">
        <f t="shared" si="316"/>
        <v>0</v>
      </c>
      <c r="W834" s="1394"/>
    </row>
    <row r="835" spans="2:23" ht="30" customHeight="1">
      <c r="B835" s="1405"/>
      <c r="C835" s="1408" t="s">
        <v>317</v>
      </c>
      <c r="D835" s="1409">
        <v>1</v>
      </c>
      <c r="E835" s="1409">
        <v>1</v>
      </c>
      <c r="F835" s="1410">
        <f>3.4</f>
        <v>3.4</v>
      </c>
      <c r="G835" s="1410">
        <v>1.2</v>
      </c>
      <c r="H835" s="1410">
        <v>0.15</v>
      </c>
      <c r="I835" s="1471">
        <f t="shared" si="317"/>
        <v>0.61199999999999999</v>
      </c>
      <c r="O835" s="1395"/>
      <c r="Q835" s="1394">
        <f>IFERROR(VLOOKUP(M835,#REF!,3,0),0)</f>
        <v>0</v>
      </c>
      <c r="R835" s="1394">
        <f t="shared" si="314"/>
        <v>0</v>
      </c>
      <c r="S835" s="1394">
        <f>IFERROR(VLOOKUP(M835,#REF!,6,0),0)</f>
        <v>0</v>
      </c>
      <c r="T835" s="1394">
        <f t="shared" si="315"/>
        <v>0</v>
      </c>
      <c r="U835" s="1394">
        <f>IFERROR(VLOOKUP(M835,#REF!,5,0),0)</f>
        <v>0</v>
      </c>
      <c r="V835" s="1394">
        <f t="shared" si="316"/>
        <v>0</v>
      </c>
      <c r="W835" s="1394"/>
    </row>
    <row r="836" spans="2:23" ht="30" customHeight="1">
      <c r="B836" s="1405"/>
      <c r="C836" s="1408" t="s">
        <v>309</v>
      </c>
      <c r="D836" s="1409">
        <v>0.5</v>
      </c>
      <c r="E836" s="1409">
        <v>21</v>
      </c>
      <c r="F836" s="1410">
        <v>1.2</v>
      </c>
      <c r="G836" s="1410">
        <v>0.3</v>
      </c>
      <c r="H836" s="1410">
        <v>0.157</v>
      </c>
      <c r="I836" s="1471">
        <f t="shared" si="317"/>
        <v>0.59345999999999999</v>
      </c>
      <c r="O836" s="1395"/>
      <c r="Q836" s="1394">
        <f>IFERROR(VLOOKUP(M836,#REF!,3,0),0)</f>
        <v>0</v>
      </c>
      <c r="R836" s="1394">
        <f t="shared" si="314"/>
        <v>0</v>
      </c>
      <c r="S836" s="1394">
        <f>IFERROR(VLOOKUP(M836,#REF!,6,0),0)</f>
        <v>0</v>
      </c>
      <c r="T836" s="1394">
        <f t="shared" si="315"/>
        <v>0</v>
      </c>
      <c r="U836" s="1394">
        <f>IFERROR(VLOOKUP(M836,#REF!,5,0),0)</f>
        <v>0</v>
      </c>
      <c r="V836" s="1394">
        <f t="shared" si="316"/>
        <v>0</v>
      </c>
      <c r="W836" s="1394"/>
    </row>
    <row r="837" spans="2:23" ht="30" customHeight="1">
      <c r="B837" s="1405"/>
      <c r="C837" s="1480"/>
      <c r="D837" s="1409"/>
      <c r="E837" s="1409"/>
      <c r="F837" s="1410"/>
      <c r="G837" s="1410"/>
      <c r="H837" s="1411"/>
      <c r="I837" s="1471">
        <f t="shared" ref="I837:I887" si="321">PRODUCT(D837:H837)</f>
        <v>0</v>
      </c>
      <c r="J837" s="110" t="e">
        <f>#REF!*30</f>
        <v>#REF!</v>
      </c>
      <c r="O837" s="1395"/>
      <c r="Q837" s="1394">
        <f>IFERROR(VLOOKUP(M837,#REF!,3,0),0)</f>
        <v>0</v>
      </c>
      <c r="R837" s="1394">
        <f t="shared" si="314"/>
        <v>0</v>
      </c>
      <c r="S837" s="1394">
        <f>IFERROR(VLOOKUP(M837,#REF!,6,0),0)</f>
        <v>0</v>
      </c>
      <c r="T837" s="1394">
        <f t="shared" si="315"/>
        <v>0</v>
      </c>
      <c r="U837" s="1394">
        <f>IFERROR(VLOOKUP(M837,#REF!,5,0),0)</f>
        <v>0</v>
      </c>
      <c r="V837" s="1394">
        <f t="shared" si="316"/>
        <v>0</v>
      </c>
      <c r="W837" s="1394"/>
    </row>
    <row r="838" spans="2:23" ht="30" customHeight="1">
      <c r="B838" s="1405"/>
      <c r="C838" s="1415" t="s">
        <v>310</v>
      </c>
      <c r="D838" s="1409"/>
      <c r="E838" s="1409"/>
      <c r="F838" s="1410"/>
      <c r="G838" s="1410"/>
      <c r="H838" s="1411"/>
      <c r="I838" s="1471">
        <f t="shared" si="321"/>
        <v>0</v>
      </c>
      <c r="O838" s="1395"/>
      <c r="Q838" s="1394">
        <f>IFERROR(VLOOKUP(M838,#REF!,3,0),0)</f>
        <v>0</v>
      </c>
      <c r="R838" s="1394">
        <f t="shared" si="314"/>
        <v>0</v>
      </c>
      <c r="S838" s="1394">
        <f>IFERROR(VLOOKUP(M838,#REF!,6,0),0)</f>
        <v>0</v>
      </c>
      <c r="T838" s="1394">
        <f t="shared" si="315"/>
        <v>0</v>
      </c>
      <c r="U838" s="1394">
        <f>IFERROR(VLOOKUP(M838,#REF!,5,0),0)</f>
        <v>0</v>
      </c>
      <c r="V838" s="1394">
        <f t="shared" si="316"/>
        <v>0</v>
      </c>
      <c r="W838" s="1394"/>
    </row>
    <row r="839" spans="2:23" ht="30" customHeight="1">
      <c r="B839" s="1405"/>
      <c r="C839" s="1415" t="s">
        <v>311</v>
      </c>
      <c r="D839" s="1409"/>
      <c r="E839" s="1409"/>
      <c r="F839" s="1410"/>
      <c r="G839" s="1410"/>
      <c r="H839" s="1411"/>
      <c r="I839" s="1471">
        <f t="shared" si="321"/>
        <v>0</v>
      </c>
      <c r="O839" s="1395"/>
      <c r="Q839" s="1394">
        <f>IFERROR(VLOOKUP(M839,#REF!,3,0),0)</f>
        <v>0</v>
      </c>
      <c r="R839" s="1394">
        <f t="shared" si="314"/>
        <v>0</v>
      </c>
      <c r="S839" s="1394">
        <f>IFERROR(VLOOKUP(M839,#REF!,6,0),0)</f>
        <v>0</v>
      </c>
      <c r="T839" s="1394">
        <f t="shared" si="315"/>
        <v>0</v>
      </c>
      <c r="U839" s="1394">
        <f>IFERROR(VLOOKUP(M839,#REF!,5,0),0)</f>
        <v>0</v>
      </c>
      <c r="V839" s="1394">
        <f t="shared" si="316"/>
        <v>0</v>
      </c>
      <c r="W839" s="1394"/>
    </row>
    <row r="840" spans="2:23" ht="30" customHeight="1">
      <c r="B840" s="1405"/>
      <c r="C840" s="1408" t="s">
        <v>5723</v>
      </c>
      <c r="D840" s="1409">
        <v>1</v>
      </c>
      <c r="E840" s="1409">
        <v>4</v>
      </c>
      <c r="F840" s="1410">
        <f>4.23</f>
        <v>4.2300000000000004</v>
      </c>
      <c r="G840" s="1410">
        <v>0.23</v>
      </c>
      <c r="H840" s="1411">
        <v>0.38</v>
      </c>
      <c r="I840" s="1471">
        <f t="shared" si="321"/>
        <v>1.4788080000000001</v>
      </c>
      <c r="L840" s="1413"/>
      <c r="O840" s="1395"/>
      <c r="Q840" s="1394">
        <f>IFERROR(VLOOKUP(M840,#REF!,3,0),0)</f>
        <v>0</v>
      </c>
      <c r="R840" s="1394">
        <f t="shared" si="314"/>
        <v>0</v>
      </c>
      <c r="S840" s="1394">
        <f>IFERROR(VLOOKUP(M840,#REF!,6,0),0)</f>
        <v>0</v>
      </c>
      <c r="T840" s="1394">
        <f t="shared" si="315"/>
        <v>0</v>
      </c>
      <c r="U840" s="1394">
        <f>IFERROR(VLOOKUP(M840,#REF!,5,0),0)</f>
        <v>0</v>
      </c>
      <c r="V840" s="1394">
        <f t="shared" si="316"/>
        <v>0</v>
      </c>
      <c r="W840" s="1394"/>
    </row>
    <row r="841" spans="2:23" ht="30" customHeight="1">
      <c r="B841" s="1405"/>
      <c r="C841" s="1408" t="s">
        <v>5698</v>
      </c>
      <c r="D841" s="1409">
        <v>1</v>
      </c>
      <c r="E841" s="1409">
        <v>1</v>
      </c>
      <c r="F841" s="1410">
        <f>4.23+2.33+0.9+2.425+1.23+3.465+3.995</f>
        <v>18.575000000000003</v>
      </c>
      <c r="G841" s="1410">
        <v>0.23</v>
      </c>
      <c r="H841" s="1411">
        <v>0.38</v>
      </c>
      <c r="I841" s="1471">
        <f t="shared" si="321"/>
        <v>1.6234550000000003</v>
      </c>
      <c r="L841" s="1413"/>
      <c r="O841" s="1395"/>
      <c r="Q841" s="1394">
        <f>IFERROR(VLOOKUP(M841,#REF!,3,0),0)</f>
        <v>0</v>
      </c>
      <c r="R841" s="1394">
        <f t="shared" si="314"/>
        <v>0</v>
      </c>
      <c r="S841" s="1394">
        <f>IFERROR(VLOOKUP(M841,#REF!,6,0),0)</f>
        <v>0</v>
      </c>
      <c r="T841" s="1394">
        <f t="shared" si="315"/>
        <v>0</v>
      </c>
      <c r="U841" s="1394">
        <f>IFERROR(VLOOKUP(M841,#REF!,5,0),0)</f>
        <v>0</v>
      </c>
      <c r="V841" s="1394">
        <f t="shared" si="316"/>
        <v>0</v>
      </c>
      <c r="W841" s="1394"/>
    </row>
    <row r="842" spans="2:23" ht="30" customHeight="1">
      <c r="B842" s="1405"/>
      <c r="C842" s="1408" t="s">
        <v>5725</v>
      </c>
      <c r="D842" s="1409">
        <v>1</v>
      </c>
      <c r="E842" s="1409">
        <v>1</v>
      </c>
      <c r="F842" s="1410">
        <f>2.33+0.9+2.425+1.23+3.465</f>
        <v>10.35</v>
      </c>
      <c r="G842" s="1410">
        <v>0.23</v>
      </c>
      <c r="H842" s="1411">
        <v>0.38</v>
      </c>
      <c r="I842" s="1471">
        <f t="shared" si="321"/>
        <v>0.90459000000000001</v>
      </c>
      <c r="L842" s="1413"/>
      <c r="O842" s="1395"/>
      <c r="Q842" s="1394">
        <f>IFERROR(VLOOKUP(M842,#REF!,3,0),0)</f>
        <v>0</v>
      </c>
      <c r="R842" s="1394">
        <f t="shared" si="314"/>
        <v>0</v>
      </c>
      <c r="S842" s="1394">
        <f>IFERROR(VLOOKUP(M842,#REF!,6,0),0)</f>
        <v>0</v>
      </c>
      <c r="T842" s="1394">
        <f t="shared" si="315"/>
        <v>0</v>
      </c>
      <c r="U842" s="1394">
        <f>IFERROR(VLOOKUP(M842,#REF!,5,0),0)</f>
        <v>0</v>
      </c>
      <c r="V842" s="1394">
        <f t="shared" si="316"/>
        <v>0</v>
      </c>
      <c r="W842" s="1394"/>
    </row>
    <row r="843" spans="2:23" ht="30" customHeight="1">
      <c r="B843" s="1405"/>
      <c r="C843" s="1408" t="s">
        <v>5724</v>
      </c>
      <c r="D843" s="1409">
        <v>1</v>
      </c>
      <c r="E843" s="1409">
        <v>1</v>
      </c>
      <c r="F843" s="1410">
        <f>2.33+0.9+2.425+1.23+3.465</f>
        <v>10.35</v>
      </c>
      <c r="G843" s="1410">
        <v>0.23</v>
      </c>
      <c r="H843" s="1411">
        <v>0.45</v>
      </c>
      <c r="I843" s="1471">
        <f t="shared" si="321"/>
        <v>1.0712250000000001</v>
      </c>
      <c r="L843" s="1413"/>
      <c r="O843" s="1395"/>
      <c r="Q843" s="1394">
        <f>IFERROR(VLOOKUP(M843,#REF!,3,0),0)</f>
        <v>0</v>
      </c>
      <c r="R843" s="1394">
        <f t="shared" si="314"/>
        <v>0</v>
      </c>
      <c r="S843" s="1394">
        <f>IFERROR(VLOOKUP(M843,#REF!,6,0),0)</f>
        <v>0</v>
      </c>
      <c r="T843" s="1394">
        <f t="shared" si="315"/>
        <v>0</v>
      </c>
      <c r="U843" s="1394">
        <f>IFERROR(VLOOKUP(M843,#REF!,5,0),0)</f>
        <v>0</v>
      </c>
      <c r="V843" s="1394">
        <f t="shared" si="316"/>
        <v>0</v>
      </c>
      <c r="W843" s="1394"/>
    </row>
    <row r="844" spans="2:23" ht="30" customHeight="1">
      <c r="B844" s="1405"/>
      <c r="C844" s="1408" t="s">
        <v>5726</v>
      </c>
      <c r="D844" s="1409">
        <v>1</v>
      </c>
      <c r="E844" s="1409">
        <v>1</v>
      </c>
      <c r="F844" s="1410">
        <f>2.33+0.9+2.425+1.23+3.465</f>
        <v>10.35</v>
      </c>
      <c r="G844" s="1410">
        <v>0.23</v>
      </c>
      <c r="H844" s="1411">
        <v>0.6</v>
      </c>
      <c r="I844" s="1471">
        <f t="shared" si="321"/>
        <v>1.4282999999999999</v>
      </c>
      <c r="L844" s="1413"/>
      <c r="O844" s="1395"/>
      <c r="Q844" s="1394">
        <f>IFERROR(VLOOKUP(M844,#REF!,3,0),0)</f>
        <v>0</v>
      </c>
      <c r="R844" s="1394">
        <f t="shared" si="314"/>
        <v>0</v>
      </c>
      <c r="S844" s="1394">
        <f>IFERROR(VLOOKUP(M844,#REF!,6,0),0)</f>
        <v>0</v>
      </c>
      <c r="T844" s="1394">
        <f t="shared" si="315"/>
        <v>0</v>
      </c>
      <c r="U844" s="1394">
        <f>IFERROR(VLOOKUP(M844,#REF!,5,0),0)</f>
        <v>0</v>
      </c>
      <c r="V844" s="1394">
        <f t="shared" si="316"/>
        <v>0</v>
      </c>
      <c r="W844" s="1394"/>
    </row>
    <row r="845" spans="2:23" ht="30" customHeight="1">
      <c r="B845" s="1405"/>
      <c r="C845" s="1408" t="s">
        <v>5727</v>
      </c>
      <c r="D845" s="1409">
        <v>1</v>
      </c>
      <c r="E845" s="1409">
        <v>1</v>
      </c>
      <c r="F845" s="1410">
        <f>2.33+0.9+2.425+1.23</f>
        <v>6.8849999999999998</v>
      </c>
      <c r="G845" s="1410">
        <v>0.23</v>
      </c>
      <c r="H845" s="1411">
        <v>0.38</v>
      </c>
      <c r="I845" s="1471">
        <f t="shared" si="321"/>
        <v>0.60174899999999998</v>
      </c>
      <c r="L845" s="1413"/>
      <c r="O845" s="1395"/>
      <c r="Q845" s="1394">
        <f>IFERROR(VLOOKUP(M845,#REF!,3,0),0)</f>
        <v>0</v>
      </c>
      <c r="R845" s="1394">
        <f t="shared" si="314"/>
        <v>0</v>
      </c>
      <c r="S845" s="1394">
        <f>IFERROR(VLOOKUP(M845,#REF!,6,0),0)</f>
        <v>0</v>
      </c>
      <c r="T845" s="1394">
        <f t="shared" si="315"/>
        <v>0</v>
      </c>
      <c r="U845" s="1394">
        <f>IFERROR(VLOOKUP(M845,#REF!,5,0),0)</f>
        <v>0</v>
      </c>
      <c r="V845" s="1394">
        <f t="shared" si="316"/>
        <v>0</v>
      </c>
      <c r="W845" s="1394"/>
    </row>
    <row r="846" spans="2:23" ht="30" customHeight="1">
      <c r="B846" s="1405"/>
      <c r="C846" s="1408" t="s">
        <v>326</v>
      </c>
      <c r="D846" s="1409">
        <v>1</v>
      </c>
      <c r="E846" s="1409">
        <v>1</v>
      </c>
      <c r="F846" s="1410">
        <f>4.23</f>
        <v>4.2300000000000004</v>
      </c>
      <c r="G846" s="1410">
        <v>0.23</v>
      </c>
      <c r="H846" s="1411">
        <v>0.38</v>
      </c>
      <c r="I846" s="1471">
        <f t="shared" si="321"/>
        <v>0.36970200000000003</v>
      </c>
      <c r="L846" s="1413"/>
      <c r="O846" s="1395"/>
      <c r="Q846" s="1394">
        <f>IFERROR(VLOOKUP(M846,#REF!,3,0),0)</f>
        <v>0</v>
      </c>
      <c r="R846" s="1394">
        <f t="shared" si="314"/>
        <v>0</v>
      </c>
      <c r="S846" s="1394">
        <f>IFERROR(VLOOKUP(M846,#REF!,6,0),0)</f>
        <v>0</v>
      </c>
      <c r="T846" s="1394">
        <f t="shared" si="315"/>
        <v>0</v>
      </c>
      <c r="U846" s="1394">
        <f>IFERROR(VLOOKUP(M846,#REF!,5,0),0)</f>
        <v>0</v>
      </c>
      <c r="V846" s="1394">
        <f t="shared" si="316"/>
        <v>0</v>
      </c>
      <c r="W846" s="1394"/>
    </row>
    <row r="847" spans="2:23" ht="30" customHeight="1">
      <c r="B847" s="1405"/>
      <c r="C847" s="1408" t="s">
        <v>326</v>
      </c>
      <c r="D847" s="1409">
        <v>1</v>
      </c>
      <c r="E847" s="1409">
        <v>1</v>
      </c>
      <c r="F847" s="1410">
        <v>3.9950000000000001</v>
      </c>
      <c r="G847" s="1410">
        <v>0.23</v>
      </c>
      <c r="H847" s="1411">
        <v>0.38</v>
      </c>
      <c r="I847" s="1471">
        <f t="shared" si="321"/>
        <v>0.349163</v>
      </c>
      <c r="L847" s="1413"/>
      <c r="O847" s="1395"/>
      <c r="Q847" s="1394">
        <f>IFERROR(VLOOKUP(M847,#REF!,3,0),0)</f>
        <v>0</v>
      </c>
      <c r="R847" s="1394">
        <f t="shared" si="314"/>
        <v>0</v>
      </c>
      <c r="S847" s="1394">
        <f>IFERROR(VLOOKUP(M847,#REF!,6,0),0)</f>
        <v>0</v>
      </c>
      <c r="T847" s="1394">
        <f t="shared" si="315"/>
        <v>0</v>
      </c>
      <c r="U847" s="1394">
        <f>IFERROR(VLOOKUP(M847,#REF!,5,0),0)</f>
        <v>0</v>
      </c>
      <c r="V847" s="1394">
        <f t="shared" si="316"/>
        <v>0</v>
      </c>
      <c r="W847" s="1394"/>
    </row>
    <row r="848" spans="2:23" ht="30" customHeight="1">
      <c r="B848" s="1405"/>
      <c r="C848" s="1408" t="s">
        <v>5728</v>
      </c>
      <c r="D848" s="1409">
        <v>1</v>
      </c>
      <c r="E848" s="1409">
        <v>4</v>
      </c>
      <c r="F848" s="1410">
        <f>3.995</f>
        <v>3.9950000000000001</v>
      </c>
      <c r="G848" s="1410">
        <v>0.23</v>
      </c>
      <c r="H848" s="1411">
        <v>0.38</v>
      </c>
      <c r="I848" s="1471">
        <f t="shared" si="321"/>
        <v>1.396652</v>
      </c>
      <c r="L848" s="1413"/>
      <c r="O848" s="1395"/>
      <c r="Q848" s="1394">
        <f>IFERROR(VLOOKUP(M848,#REF!,3,0),0)</f>
        <v>0</v>
      </c>
      <c r="R848" s="1394">
        <f t="shared" si="314"/>
        <v>0</v>
      </c>
      <c r="S848" s="1394">
        <f>IFERROR(VLOOKUP(M848,#REF!,6,0),0)</f>
        <v>0</v>
      </c>
      <c r="T848" s="1394">
        <f t="shared" si="315"/>
        <v>0</v>
      </c>
      <c r="U848" s="1394">
        <f>IFERROR(VLOOKUP(M848,#REF!,5,0),0)</f>
        <v>0</v>
      </c>
      <c r="V848" s="1394">
        <f t="shared" si="316"/>
        <v>0</v>
      </c>
      <c r="W848" s="1394"/>
    </row>
    <row r="849" spans="2:23" ht="30" customHeight="1">
      <c r="B849" s="1405"/>
      <c r="C849" s="1408" t="s">
        <v>5729</v>
      </c>
      <c r="D849" s="1409">
        <v>1</v>
      </c>
      <c r="E849" s="1409">
        <v>1</v>
      </c>
      <c r="F849" s="1410">
        <f>1.735</f>
        <v>1.7350000000000001</v>
      </c>
      <c r="G849" s="1410">
        <v>0.23</v>
      </c>
      <c r="H849" s="1411">
        <v>0.38</v>
      </c>
      <c r="I849" s="1471">
        <f t="shared" si="321"/>
        <v>0.151639</v>
      </c>
      <c r="L849" s="1413"/>
      <c r="O849" s="1395"/>
      <c r="Q849" s="1394">
        <f>IFERROR(VLOOKUP(M849,#REF!,3,0),0)</f>
        <v>0</v>
      </c>
      <c r="R849" s="1394">
        <f t="shared" si="314"/>
        <v>0</v>
      </c>
      <c r="S849" s="1394">
        <f>IFERROR(VLOOKUP(M849,#REF!,6,0),0)</f>
        <v>0</v>
      </c>
      <c r="T849" s="1394">
        <f t="shared" si="315"/>
        <v>0</v>
      </c>
      <c r="U849" s="1394">
        <f>IFERROR(VLOOKUP(M849,#REF!,5,0),0)</f>
        <v>0</v>
      </c>
      <c r="V849" s="1394">
        <f t="shared" si="316"/>
        <v>0</v>
      </c>
      <c r="W849" s="1394"/>
    </row>
    <row r="850" spans="2:23" ht="30" customHeight="1">
      <c r="B850" s="1405"/>
      <c r="C850" s="1408" t="s">
        <v>5729</v>
      </c>
      <c r="D850" s="1409">
        <v>1</v>
      </c>
      <c r="E850" s="1409">
        <v>1</v>
      </c>
      <c r="F850" s="1410">
        <f>3.765</f>
        <v>3.7650000000000001</v>
      </c>
      <c r="G850" s="1410">
        <v>0.23</v>
      </c>
      <c r="H850" s="1411">
        <v>0.38</v>
      </c>
      <c r="I850" s="1471">
        <f t="shared" si="321"/>
        <v>0.32906100000000005</v>
      </c>
      <c r="L850" s="1413"/>
      <c r="O850" s="1395"/>
      <c r="Q850" s="1394">
        <f>IFERROR(VLOOKUP(M850,#REF!,3,0),0)</f>
        <v>0</v>
      </c>
      <c r="R850" s="1394">
        <f t="shared" si="314"/>
        <v>0</v>
      </c>
      <c r="S850" s="1394">
        <f>IFERROR(VLOOKUP(M850,#REF!,6,0),0)</f>
        <v>0</v>
      </c>
      <c r="T850" s="1394">
        <f t="shared" si="315"/>
        <v>0</v>
      </c>
      <c r="U850" s="1394">
        <f>IFERROR(VLOOKUP(M850,#REF!,5,0),0)</f>
        <v>0</v>
      </c>
      <c r="V850" s="1394">
        <f t="shared" si="316"/>
        <v>0</v>
      </c>
      <c r="W850" s="1394"/>
    </row>
    <row r="851" spans="2:23" ht="30" customHeight="1">
      <c r="B851" s="1405"/>
      <c r="C851" s="1415" t="s">
        <v>312</v>
      </c>
      <c r="D851" s="1409"/>
      <c r="E851" s="1409"/>
      <c r="F851" s="1410"/>
      <c r="G851" s="1410"/>
      <c r="H851" s="1411">
        <v>0</v>
      </c>
      <c r="I851" s="1471">
        <f t="shared" si="321"/>
        <v>0</v>
      </c>
      <c r="L851" s="1413"/>
      <c r="O851" s="1395"/>
      <c r="Q851" s="1394">
        <f>IFERROR(VLOOKUP(M851,#REF!,3,0),0)</f>
        <v>0</v>
      </c>
      <c r="R851" s="1394">
        <f t="shared" si="314"/>
        <v>0</v>
      </c>
      <c r="S851" s="1394">
        <f>IFERROR(VLOOKUP(M851,#REF!,6,0),0)</f>
        <v>0</v>
      </c>
      <c r="T851" s="1394">
        <f t="shared" si="315"/>
        <v>0</v>
      </c>
      <c r="U851" s="1394">
        <f>IFERROR(VLOOKUP(M851,#REF!,5,0),0)</f>
        <v>0</v>
      </c>
      <c r="V851" s="1394">
        <f t="shared" si="316"/>
        <v>0</v>
      </c>
      <c r="W851" s="1394"/>
    </row>
    <row r="852" spans="2:23" ht="30" customHeight="1">
      <c r="B852" s="1405"/>
      <c r="C852" s="1408" t="s">
        <v>5760</v>
      </c>
      <c r="D852" s="1409">
        <v>1</v>
      </c>
      <c r="E852" s="1409">
        <v>1</v>
      </c>
      <c r="F852" s="1410">
        <f>3+2.53</f>
        <v>5.5299999999999994</v>
      </c>
      <c r="G852" s="1410">
        <v>0.23</v>
      </c>
      <c r="H852" s="1475">
        <v>0.45</v>
      </c>
      <c r="I852" s="1471">
        <f t="shared" si="321"/>
        <v>0.57235499999999995</v>
      </c>
      <c r="L852" s="1413"/>
      <c r="O852" s="1395"/>
      <c r="Q852" s="1394">
        <f>IFERROR(VLOOKUP(M852,#REF!,3,0),0)</f>
        <v>0</v>
      </c>
      <c r="R852" s="1394">
        <f t="shared" si="314"/>
        <v>0</v>
      </c>
      <c r="S852" s="1394">
        <f>IFERROR(VLOOKUP(M852,#REF!,6,0),0)</f>
        <v>0</v>
      </c>
      <c r="T852" s="1394">
        <f t="shared" si="315"/>
        <v>0</v>
      </c>
      <c r="U852" s="1394">
        <f>IFERROR(VLOOKUP(M852,#REF!,5,0),0)</f>
        <v>0</v>
      </c>
      <c r="V852" s="1394">
        <f t="shared" si="316"/>
        <v>0</v>
      </c>
      <c r="W852" s="1394"/>
    </row>
    <row r="853" spans="2:23" ht="30" customHeight="1">
      <c r="B853" s="1405"/>
      <c r="C853" s="1408" t="s">
        <v>5761</v>
      </c>
      <c r="D853" s="1409">
        <v>1</v>
      </c>
      <c r="E853" s="1409">
        <v>1</v>
      </c>
      <c r="F853" s="1410">
        <f>3.26+2.73+4.13</f>
        <v>10.120000000000001</v>
      </c>
      <c r="G853" s="1410">
        <v>0.23</v>
      </c>
      <c r="H853" s="1411">
        <v>0.38</v>
      </c>
      <c r="I853" s="1471">
        <f t="shared" si="321"/>
        <v>0.88448800000000016</v>
      </c>
      <c r="L853" s="1413"/>
      <c r="O853" s="1395"/>
      <c r="Q853" s="1394">
        <f>IFERROR(VLOOKUP(M853,#REF!,3,0),0)</f>
        <v>0</v>
      </c>
      <c r="R853" s="1394">
        <f t="shared" si="314"/>
        <v>0</v>
      </c>
      <c r="S853" s="1394">
        <f>IFERROR(VLOOKUP(M853,#REF!,6,0),0)</f>
        <v>0</v>
      </c>
      <c r="T853" s="1394">
        <f t="shared" si="315"/>
        <v>0</v>
      </c>
      <c r="U853" s="1394">
        <f>IFERROR(VLOOKUP(M853,#REF!,5,0),0)</f>
        <v>0</v>
      </c>
      <c r="V853" s="1394">
        <f t="shared" si="316"/>
        <v>0</v>
      </c>
      <c r="W853" s="1394"/>
    </row>
    <row r="854" spans="2:23" ht="30" customHeight="1">
      <c r="B854" s="1405"/>
      <c r="C854" s="1408" t="s">
        <v>5730</v>
      </c>
      <c r="D854" s="1409">
        <v>1</v>
      </c>
      <c r="E854" s="1409">
        <v>1</v>
      </c>
      <c r="F854" s="1410">
        <f>3+2.53+3.26+2.73+4.13</f>
        <v>15.649999999999999</v>
      </c>
      <c r="G854" s="1410">
        <v>0.23</v>
      </c>
      <c r="H854" s="1411">
        <v>0.38</v>
      </c>
      <c r="I854" s="1471">
        <f t="shared" si="321"/>
        <v>1.36781</v>
      </c>
      <c r="L854" s="1413"/>
      <c r="O854" s="1395"/>
      <c r="Q854" s="1394">
        <f>IFERROR(VLOOKUP(M854,#REF!,3,0),0)</f>
        <v>0</v>
      </c>
      <c r="R854" s="1394">
        <f t="shared" si="314"/>
        <v>0</v>
      </c>
      <c r="S854" s="1394">
        <f>IFERROR(VLOOKUP(M854,#REF!,6,0),0)</f>
        <v>0</v>
      </c>
      <c r="T854" s="1394">
        <f t="shared" si="315"/>
        <v>0</v>
      </c>
      <c r="U854" s="1394">
        <f>IFERROR(VLOOKUP(M854,#REF!,5,0),0)</f>
        <v>0</v>
      </c>
      <c r="V854" s="1394">
        <f t="shared" si="316"/>
        <v>0</v>
      </c>
      <c r="W854" s="1394"/>
    </row>
    <row r="855" spans="2:23" ht="30" customHeight="1">
      <c r="B855" s="1405"/>
      <c r="C855" s="1408" t="s">
        <v>5729</v>
      </c>
      <c r="D855" s="1409">
        <v>1</v>
      </c>
      <c r="E855" s="1409">
        <v>1</v>
      </c>
      <c r="F855" s="1410">
        <f>4.13</f>
        <v>4.13</v>
      </c>
      <c r="G855" s="1410">
        <v>0.23</v>
      </c>
      <c r="H855" s="1411">
        <v>0.38</v>
      </c>
      <c r="I855" s="1471">
        <f t="shared" si="321"/>
        <v>0.36096200000000001</v>
      </c>
      <c r="L855" s="1413"/>
      <c r="O855" s="1395"/>
      <c r="Q855" s="1394">
        <f>IFERROR(VLOOKUP(M855,#REF!,3,0),0)</f>
        <v>0</v>
      </c>
      <c r="R855" s="1394">
        <f t="shared" si="314"/>
        <v>0</v>
      </c>
      <c r="S855" s="1394">
        <f>IFERROR(VLOOKUP(M855,#REF!,6,0),0)</f>
        <v>0</v>
      </c>
      <c r="T855" s="1394">
        <f t="shared" si="315"/>
        <v>0</v>
      </c>
      <c r="U855" s="1394">
        <f>IFERROR(VLOOKUP(M855,#REF!,5,0),0)</f>
        <v>0</v>
      </c>
      <c r="V855" s="1394">
        <f t="shared" si="316"/>
        <v>0</v>
      </c>
      <c r="W855" s="1394"/>
    </row>
    <row r="856" spans="2:23" ht="30" customHeight="1">
      <c r="B856" s="1405"/>
      <c r="C856" s="1408" t="s">
        <v>5729</v>
      </c>
      <c r="D856" s="1409">
        <v>1</v>
      </c>
      <c r="E856" s="1409">
        <v>1</v>
      </c>
      <c r="F856" s="1410">
        <f>4.13</f>
        <v>4.13</v>
      </c>
      <c r="G856" s="1410">
        <v>0.23</v>
      </c>
      <c r="H856" s="1475">
        <v>0.45</v>
      </c>
      <c r="I856" s="1471">
        <f t="shared" si="321"/>
        <v>0.42745499999999997</v>
      </c>
      <c r="L856" s="1413"/>
      <c r="O856" s="1395"/>
      <c r="Q856" s="1394">
        <f>IFERROR(VLOOKUP(M856,#REF!,3,0),0)</f>
        <v>0</v>
      </c>
      <c r="R856" s="1394">
        <f t="shared" si="314"/>
        <v>0</v>
      </c>
      <c r="S856" s="1394">
        <f>IFERROR(VLOOKUP(M856,#REF!,6,0),0)</f>
        <v>0</v>
      </c>
      <c r="T856" s="1394">
        <f t="shared" si="315"/>
        <v>0</v>
      </c>
      <c r="U856" s="1394">
        <f>IFERROR(VLOOKUP(M856,#REF!,5,0),0)</f>
        <v>0</v>
      </c>
      <c r="V856" s="1394">
        <f t="shared" si="316"/>
        <v>0</v>
      </c>
      <c r="W856" s="1394"/>
    </row>
    <row r="857" spans="2:23" ht="30" customHeight="1">
      <c r="B857" s="1405"/>
      <c r="C857" s="1408" t="s">
        <v>5731</v>
      </c>
      <c r="D857" s="1409">
        <v>1</v>
      </c>
      <c r="E857" s="1409">
        <v>1</v>
      </c>
      <c r="F857" s="1410">
        <f>2.53</f>
        <v>2.5299999999999998</v>
      </c>
      <c r="G857" s="1410">
        <v>0.23</v>
      </c>
      <c r="H857" s="1411">
        <v>0.45</v>
      </c>
      <c r="I857" s="1471">
        <f t="shared" ref="I857:I863" si="322">PRODUCT(D857:H857)</f>
        <v>0.261855</v>
      </c>
      <c r="L857" s="1413"/>
      <c r="O857" s="1395"/>
      <c r="Q857" s="1394">
        <f>IFERROR(VLOOKUP(M857,#REF!,3,0),0)</f>
        <v>0</v>
      </c>
      <c r="R857" s="1394">
        <f t="shared" si="314"/>
        <v>0</v>
      </c>
      <c r="S857" s="1394">
        <f>IFERROR(VLOOKUP(M857,#REF!,6,0),0)</f>
        <v>0</v>
      </c>
      <c r="T857" s="1394">
        <f t="shared" si="315"/>
        <v>0</v>
      </c>
      <c r="U857" s="1394">
        <f>IFERROR(VLOOKUP(M857,#REF!,5,0),0)</f>
        <v>0</v>
      </c>
      <c r="V857" s="1394">
        <f t="shared" si="316"/>
        <v>0</v>
      </c>
      <c r="W857" s="1394"/>
    </row>
    <row r="858" spans="2:23" ht="30" customHeight="1">
      <c r="B858" s="1405"/>
      <c r="C858" s="1408" t="s">
        <v>5737</v>
      </c>
      <c r="D858" s="1409">
        <v>1</v>
      </c>
      <c r="E858" s="1409">
        <v>2</v>
      </c>
      <c r="F858" s="1410">
        <f>3.26+2.73</f>
        <v>5.99</v>
      </c>
      <c r="G858" s="1410">
        <v>0.23</v>
      </c>
      <c r="H858" s="1411">
        <v>0.6</v>
      </c>
      <c r="I858" s="1471">
        <f t="shared" si="322"/>
        <v>1.65324</v>
      </c>
      <c r="L858" s="1413"/>
      <c r="O858" s="1395"/>
      <c r="Q858" s="1394">
        <f>IFERROR(VLOOKUP(M858,#REF!,3,0),0)</f>
        <v>0</v>
      </c>
      <c r="R858" s="1394">
        <f t="shared" si="314"/>
        <v>0</v>
      </c>
      <c r="S858" s="1394">
        <f>IFERROR(VLOOKUP(M858,#REF!,6,0),0)</f>
        <v>0</v>
      </c>
      <c r="T858" s="1394">
        <f t="shared" si="315"/>
        <v>0</v>
      </c>
      <c r="U858" s="1394">
        <f>IFERROR(VLOOKUP(M858,#REF!,5,0),0)</f>
        <v>0</v>
      </c>
      <c r="V858" s="1394">
        <f t="shared" si="316"/>
        <v>0</v>
      </c>
      <c r="W858" s="1394"/>
    </row>
    <row r="859" spans="2:23" ht="30" customHeight="1">
      <c r="B859" s="1405"/>
      <c r="C859" s="1408" t="s">
        <v>5736</v>
      </c>
      <c r="D859" s="1409">
        <v>1</v>
      </c>
      <c r="E859" s="1409">
        <v>1</v>
      </c>
      <c r="F859" s="1410">
        <f>3+2.53</f>
        <v>5.5299999999999994</v>
      </c>
      <c r="G859" s="1410">
        <v>0.23</v>
      </c>
      <c r="H859" s="1411">
        <v>0.45</v>
      </c>
      <c r="I859" s="1471">
        <f t="shared" si="322"/>
        <v>0.57235499999999995</v>
      </c>
      <c r="L859" s="1413"/>
      <c r="O859" s="1395"/>
      <c r="Q859" s="1394">
        <f>IFERROR(VLOOKUP(M859,#REF!,3,0),0)</f>
        <v>0</v>
      </c>
      <c r="R859" s="1394">
        <f t="shared" si="314"/>
        <v>0</v>
      </c>
      <c r="S859" s="1394">
        <f>IFERROR(VLOOKUP(M859,#REF!,6,0),0)</f>
        <v>0</v>
      </c>
      <c r="T859" s="1394">
        <f t="shared" si="315"/>
        <v>0</v>
      </c>
      <c r="U859" s="1394">
        <f>IFERROR(VLOOKUP(M859,#REF!,5,0),0)</f>
        <v>0</v>
      </c>
      <c r="V859" s="1394">
        <f t="shared" si="316"/>
        <v>0</v>
      </c>
      <c r="W859" s="1394"/>
    </row>
    <row r="860" spans="2:23" ht="30" customHeight="1">
      <c r="B860" s="1405"/>
      <c r="C860" s="1408" t="s">
        <v>5732</v>
      </c>
      <c r="D860" s="1409">
        <v>1</v>
      </c>
      <c r="E860" s="1409">
        <v>1</v>
      </c>
      <c r="F860" s="1410">
        <f>4.13</f>
        <v>4.13</v>
      </c>
      <c r="G860" s="1410">
        <v>0.23</v>
      </c>
      <c r="H860" s="1411">
        <v>0.38</v>
      </c>
      <c r="I860" s="1471">
        <f t="shared" si="322"/>
        <v>0.36096200000000001</v>
      </c>
      <c r="L860" s="1413"/>
      <c r="O860" s="1395"/>
      <c r="Q860" s="1394">
        <f>IFERROR(VLOOKUP(M860,#REF!,3,0),0)</f>
        <v>0</v>
      </c>
      <c r="R860" s="1394">
        <f t="shared" si="314"/>
        <v>0</v>
      </c>
      <c r="S860" s="1394">
        <f>IFERROR(VLOOKUP(M860,#REF!,6,0),0)</f>
        <v>0</v>
      </c>
      <c r="T860" s="1394">
        <f t="shared" si="315"/>
        <v>0</v>
      </c>
      <c r="U860" s="1394">
        <f>IFERROR(VLOOKUP(M860,#REF!,5,0),0)</f>
        <v>0</v>
      </c>
      <c r="V860" s="1394">
        <f t="shared" si="316"/>
        <v>0</v>
      </c>
      <c r="W860" s="1394"/>
    </row>
    <row r="861" spans="2:23" ht="30" customHeight="1">
      <c r="B861" s="1405"/>
      <c r="C861" s="1408" t="s">
        <v>5762</v>
      </c>
      <c r="D861" s="1409">
        <v>1</v>
      </c>
      <c r="E861" s="1409">
        <v>1</v>
      </c>
      <c r="F861" s="1410">
        <f>3+2.53+3.26+2.73</f>
        <v>11.52</v>
      </c>
      <c r="G861" s="1410">
        <v>0.23</v>
      </c>
      <c r="H861" s="1475">
        <v>0.45</v>
      </c>
      <c r="I861" s="1471">
        <f t="shared" si="322"/>
        <v>1.19232</v>
      </c>
      <c r="L861" s="1413"/>
      <c r="O861" s="1395"/>
      <c r="Q861" s="1394">
        <f>IFERROR(VLOOKUP(M861,#REF!,3,0),0)</f>
        <v>0</v>
      </c>
      <c r="R861" s="1394">
        <f t="shared" si="314"/>
        <v>0</v>
      </c>
      <c r="S861" s="1394">
        <f>IFERROR(VLOOKUP(M861,#REF!,6,0),0)</f>
        <v>0</v>
      </c>
      <c r="T861" s="1394">
        <f t="shared" si="315"/>
        <v>0</v>
      </c>
      <c r="U861" s="1394">
        <f>IFERROR(VLOOKUP(M861,#REF!,5,0),0)</f>
        <v>0</v>
      </c>
      <c r="V861" s="1394">
        <f t="shared" si="316"/>
        <v>0</v>
      </c>
      <c r="W861" s="1394"/>
    </row>
    <row r="862" spans="2:23" ht="30" customHeight="1">
      <c r="B862" s="1405"/>
      <c r="C862" s="1408" t="s">
        <v>5733</v>
      </c>
      <c r="D862" s="1409">
        <v>1</v>
      </c>
      <c r="E862" s="1409">
        <v>1</v>
      </c>
      <c r="F862" s="1410">
        <f>4.13</f>
        <v>4.13</v>
      </c>
      <c r="G862" s="1410">
        <v>0.23</v>
      </c>
      <c r="H862" s="1475">
        <v>0.45</v>
      </c>
      <c r="I862" s="1471">
        <f t="shared" si="322"/>
        <v>0.42745499999999997</v>
      </c>
      <c r="L862" s="1413"/>
      <c r="O862" s="1395"/>
      <c r="Q862" s="1394">
        <f>IFERROR(VLOOKUP(M862,#REF!,3,0),0)</f>
        <v>0</v>
      </c>
      <c r="R862" s="1394">
        <f t="shared" si="314"/>
        <v>0</v>
      </c>
      <c r="S862" s="1394">
        <f>IFERROR(VLOOKUP(M862,#REF!,6,0),0)</f>
        <v>0</v>
      </c>
      <c r="T862" s="1394">
        <f t="shared" si="315"/>
        <v>0</v>
      </c>
      <c r="U862" s="1394">
        <f>IFERROR(VLOOKUP(M862,#REF!,5,0),0)</f>
        <v>0</v>
      </c>
      <c r="V862" s="1394">
        <f t="shared" si="316"/>
        <v>0</v>
      </c>
      <c r="W862" s="1394"/>
    </row>
    <row r="863" spans="2:23" ht="30" customHeight="1">
      <c r="B863" s="1405"/>
      <c r="C863" s="1408" t="s">
        <v>5734</v>
      </c>
      <c r="D863" s="1409">
        <v>1</v>
      </c>
      <c r="E863" s="1409">
        <v>1</v>
      </c>
      <c r="F863" s="1410">
        <f>3+2.53+3.26+2.73+4.13</f>
        <v>15.649999999999999</v>
      </c>
      <c r="G863" s="1410">
        <v>0.23</v>
      </c>
      <c r="H863" s="1475">
        <v>0.45</v>
      </c>
      <c r="I863" s="1471">
        <f t="shared" si="322"/>
        <v>1.619775</v>
      </c>
      <c r="L863" s="1413"/>
      <c r="O863" s="1395"/>
      <c r="Q863" s="1394">
        <f>IFERROR(VLOOKUP(M863,#REF!,3,0),0)</f>
        <v>0</v>
      </c>
      <c r="R863" s="1394">
        <f t="shared" si="314"/>
        <v>0</v>
      </c>
      <c r="S863" s="1394">
        <f>IFERROR(VLOOKUP(M863,#REF!,6,0),0)</f>
        <v>0</v>
      </c>
      <c r="T863" s="1394">
        <f t="shared" si="315"/>
        <v>0</v>
      </c>
      <c r="U863" s="1394">
        <f>IFERROR(VLOOKUP(M863,#REF!,5,0),0)</f>
        <v>0</v>
      </c>
      <c r="V863" s="1394">
        <f t="shared" si="316"/>
        <v>0</v>
      </c>
      <c r="W863" s="1394"/>
    </row>
    <row r="864" spans="2:23" ht="30" customHeight="1">
      <c r="B864" s="1405"/>
      <c r="C864" s="1408" t="s">
        <v>5729</v>
      </c>
      <c r="D864" s="1409">
        <v>1</v>
      </c>
      <c r="E864" s="1409">
        <v>1</v>
      </c>
      <c r="F864" s="1410">
        <f>3-0.23</f>
        <v>2.77</v>
      </c>
      <c r="G864" s="1410">
        <v>0.23</v>
      </c>
      <c r="H864" s="1411">
        <v>0.38</v>
      </c>
      <c r="I864" s="1471">
        <f t="shared" ref="I864" si="323">PRODUCT(D864:H864)</f>
        <v>0.24209800000000001</v>
      </c>
      <c r="L864" s="1413"/>
      <c r="O864" s="1395"/>
      <c r="Q864" s="1394">
        <f>IFERROR(VLOOKUP(M864,#REF!,3,0),0)</f>
        <v>0</v>
      </c>
      <c r="R864" s="1394">
        <f t="shared" si="314"/>
        <v>0</v>
      </c>
      <c r="S864" s="1394">
        <f>IFERROR(VLOOKUP(M864,#REF!,6,0),0)</f>
        <v>0</v>
      </c>
      <c r="T864" s="1394">
        <f t="shared" si="315"/>
        <v>0</v>
      </c>
      <c r="U864" s="1394">
        <f>IFERROR(VLOOKUP(M864,#REF!,5,0),0)</f>
        <v>0</v>
      </c>
      <c r="V864" s="1394">
        <f t="shared" si="316"/>
        <v>0</v>
      </c>
      <c r="W864" s="1394"/>
    </row>
    <row r="865" spans="2:23" ht="30" hidden="1" customHeight="1">
      <c r="B865" s="1405"/>
      <c r="C865" s="1408"/>
      <c r="D865" s="1409"/>
      <c r="E865" s="1409"/>
      <c r="F865" s="1410"/>
      <c r="G865" s="1410"/>
      <c r="H865" s="1411"/>
      <c r="I865" s="1471"/>
      <c r="L865" s="1413"/>
      <c r="O865" s="1395"/>
      <c r="Q865" s="1394">
        <f>IFERROR(VLOOKUP(M865,#REF!,3,0),0)</f>
        <v>0</v>
      </c>
      <c r="R865" s="1394">
        <f t="shared" si="314"/>
        <v>0</v>
      </c>
      <c r="S865" s="1394">
        <f>IFERROR(VLOOKUP(M865,#REF!,6,0),0)</f>
        <v>0</v>
      </c>
      <c r="T865" s="1394">
        <f t="shared" si="315"/>
        <v>0</v>
      </c>
      <c r="U865" s="1394">
        <f>IFERROR(VLOOKUP(M865,#REF!,5,0),0)</f>
        <v>0</v>
      </c>
      <c r="V865" s="1394">
        <f t="shared" si="316"/>
        <v>0</v>
      </c>
      <c r="W865" s="1394"/>
    </row>
    <row r="866" spans="2:23" ht="30" customHeight="1">
      <c r="B866" s="1405"/>
      <c r="C866" s="1408"/>
      <c r="D866" s="1409"/>
      <c r="E866" s="1409"/>
      <c r="F866" s="1410"/>
      <c r="G866" s="1410"/>
      <c r="H866" s="1411"/>
      <c r="I866" s="1471">
        <f t="shared" si="321"/>
        <v>0</v>
      </c>
      <c r="J866" s="1397"/>
      <c r="K866" s="1397"/>
      <c r="L866" s="1413"/>
      <c r="O866" s="1395"/>
      <c r="Q866" s="1394">
        <f>IFERROR(VLOOKUP(M866,#REF!,3,0),0)</f>
        <v>0</v>
      </c>
      <c r="R866" s="1394">
        <f t="shared" si="314"/>
        <v>0</v>
      </c>
      <c r="S866" s="1394">
        <f>IFERROR(VLOOKUP(M866,#REF!,6,0),0)</f>
        <v>0</v>
      </c>
      <c r="T866" s="1394">
        <f t="shared" si="315"/>
        <v>0</v>
      </c>
      <c r="U866" s="1394">
        <f>IFERROR(VLOOKUP(M866,#REF!,5,0),0)</f>
        <v>0</v>
      </c>
      <c r="V866" s="1394">
        <f t="shared" si="316"/>
        <v>0</v>
      </c>
      <c r="W866" s="1394"/>
    </row>
    <row r="867" spans="2:23" ht="30" customHeight="1">
      <c r="B867" s="1405"/>
      <c r="C867" s="1415" t="s">
        <v>164</v>
      </c>
      <c r="D867" s="1409"/>
      <c r="E867" s="1409"/>
      <c r="F867" s="1410"/>
      <c r="G867" s="1410"/>
      <c r="H867" s="1411"/>
      <c r="I867" s="1471">
        <f t="shared" si="321"/>
        <v>0</v>
      </c>
      <c r="O867" s="1395"/>
      <c r="Q867" s="1394">
        <f>IFERROR(VLOOKUP(M867,#REF!,3,0),0)</f>
        <v>0</v>
      </c>
      <c r="R867" s="1394">
        <f t="shared" si="314"/>
        <v>0</v>
      </c>
      <c r="S867" s="1394">
        <f>IFERROR(VLOOKUP(M867,#REF!,6,0),0)</f>
        <v>0</v>
      </c>
      <c r="T867" s="1394">
        <f t="shared" si="315"/>
        <v>0</v>
      </c>
      <c r="U867" s="1394">
        <f>IFERROR(VLOOKUP(M867,#REF!,5,0),0)</f>
        <v>0</v>
      </c>
      <c r="V867" s="1394">
        <f t="shared" si="316"/>
        <v>0</v>
      </c>
      <c r="W867" s="1394"/>
    </row>
    <row r="868" spans="2:23" ht="30" customHeight="1">
      <c r="B868" s="1405"/>
      <c r="C868" s="1408" t="str">
        <f>K868&amp;" "&amp;L868</f>
        <v>SI Room Below Roof</v>
      </c>
      <c r="D868" s="1409">
        <v>1</v>
      </c>
      <c r="E868" s="1409">
        <v>1</v>
      </c>
      <c r="F868" s="1410">
        <v>4</v>
      </c>
      <c r="G868" s="1410">
        <v>5.0999999999999996</v>
      </c>
      <c r="H868" s="1410">
        <v>0.125</v>
      </c>
      <c r="I868" s="1471">
        <f t="shared" si="321"/>
        <v>2.5499999999999998</v>
      </c>
      <c r="K868" s="110" t="s">
        <v>5591</v>
      </c>
      <c r="L868" s="110" t="s">
        <v>5741</v>
      </c>
      <c r="O868" s="1395"/>
      <c r="Q868" s="1394">
        <f>IFERROR(VLOOKUP(M868,#REF!,3,0),0)</f>
        <v>0</v>
      </c>
      <c r="R868" s="1394">
        <f t="shared" si="314"/>
        <v>0</v>
      </c>
      <c r="S868" s="1394">
        <f>IFERROR(VLOOKUP(M868,#REF!,6,0),0)</f>
        <v>0</v>
      </c>
      <c r="T868" s="1394">
        <f t="shared" si="315"/>
        <v>0</v>
      </c>
      <c r="U868" s="1394">
        <f>IFERROR(VLOOKUP(M868,#REF!,5,0),0)</f>
        <v>0</v>
      </c>
      <c r="V868" s="1394">
        <f t="shared" si="316"/>
        <v>0</v>
      </c>
      <c r="W868" s="1394"/>
    </row>
    <row r="869" spans="2:23" ht="30" customHeight="1">
      <c r="B869" s="1405"/>
      <c r="C869" s="1408" t="str">
        <f t="shared" ref="C869:C884" si="324">K869&amp;" "&amp;L869</f>
        <v>SI Room Toilet Below Roof</v>
      </c>
      <c r="D869" s="1409">
        <v>1</v>
      </c>
      <c r="E869" s="1409">
        <v>1</v>
      </c>
      <c r="F869" s="1410">
        <v>4</v>
      </c>
      <c r="G869" s="1410">
        <v>1.5</v>
      </c>
      <c r="H869" s="1410">
        <v>0.125</v>
      </c>
      <c r="I869" s="1471">
        <f t="shared" si="321"/>
        <v>0.75</v>
      </c>
      <c r="K869" s="110" t="s">
        <v>5738</v>
      </c>
      <c r="L869" s="110" t="s">
        <v>5741</v>
      </c>
      <c r="O869" s="1395"/>
      <c r="Q869" s="1394">
        <f>IFERROR(VLOOKUP(M869,#REF!,3,0),0)</f>
        <v>0</v>
      </c>
      <c r="R869" s="1394">
        <f t="shared" si="314"/>
        <v>0</v>
      </c>
      <c r="S869" s="1394">
        <f>IFERROR(VLOOKUP(M869,#REF!,6,0),0)</f>
        <v>0</v>
      </c>
      <c r="T869" s="1394">
        <f t="shared" si="315"/>
        <v>0</v>
      </c>
      <c r="U869" s="1394">
        <f>IFERROR(VLOOKUP(M869,#REF!,5,0),0)</f>
        <v>0</v>
      </c>
      <c r="V869" s="1394">
        <f t="shared" si="316"/>
        <v>0</v>
      </c>
      <c r="W869" s="1394"/>
    </row>
    <row r="870" spans="2:23" ht="30" customHeight="1">
      <c r="B870" s="1405"/>
      <c r="C870" s="1408" t="str">
        <f t="shared" si="324"/>
        <v>Lock up Women Below Roof</v>
      </c>
      <c r="D870" s="1409">
        <v>1</v>
      </c>
      <c r="E870" s="1409">
        <v>1</v>
      </c>
      <c r="F870" s="1410">
        <v>4</v>
      </c>
      <c r="G870" s="1410">
        <v>2.5</v>
      </c>
      <c r="H870" s="1410">
        <v>0.125</v>
      </c>
      <c r="I870" s="1471">
        <f t="shared" si="321"/>
        <v>1.25</v>
      </c>
      <c r="K870" s="110" t="s">
        <v>5739</v>
      </c>
      <c r="L870" s="110" t="s">
        <v>5741</v>
      </c>
      <c r="O870" s="1395"/>
      <c r="Q870" s="1394">
        <f>IFERROR(VLOOKUP(M870,#REF!,3,0),0)</f>
        <v>0</v>
      </c>
      <c r="R870" s="1394">
        <f t="shared" si="314"/>
        <v>0</v>
      </c>
      <c r="S870" s="1394">
        <f>IFERROR(VLOOKUP(M870,#REF!,6,0),0)</f>
        <v>0</v>
      </c>
      <c r="T870" s="1394">
        <f t="shared" si="315"/>
        <v>0</v>
      </c>
      <c r="U870" s="1394">
        <f>IFERROR(VLOOKUP(M870,#REF!,5,0),0)</f>
        <v>0</v>
      </c>
      <c r="V870" s="1394">
        <f t="shared" si="316"/>
        <v>0</v>
      </c>
      <c r="W870" s="1394"/>
    </row>
    <row r="871" spans="2:23" ht="30" customHeight="1">
      <c r="B871" s="1405"/>
      <c r="C871" s="1408" t="str">
        <f t="shared" si="324"/>
        <v>CD Files/Store Below Roof</v>
      </c>
      <c r="D871" s="1409">
        <v>1</v>
      </c>
      <c r="E871" s="1409">
        <v>1</v>
      </c>
      <c r="F871" s="1410">
        <v>4</v>
      </c>
      <c r="G871" s="1410">
        <v>3.9</v>
      </c>
      <c r="H871" s="1410">
        <v>0.125</v>
      </c>
      <c r="I871" s="1471">
        <f t="shared" si="321"/>
        <v>1.95</v>
      </c>
      <c r="K871" s="110" t="s">
        <v>5740</v>
      </c>
      <c r="L871" s="110" t="s">
        <v>5741</v>
      </c>
      <c r="O871" s="1395"/>
      <c r="Q871" s="1394">
        <f>IFERROR(VLOOKUP(M871,#REF!,3,0),0)</f>
        <v>0</v>
      </c>
      <c r="R871" s="1394">
        <f t="shared" si="314"/>
        <v>0</v>
      </c>
      <c r="S871" s="1394">
        <f>IFERROR(VLOOKUP(M871,#REF!,6,0),0)</f>
        <v>0</v>
      </c>
      <c r="T871" s="1394">
        <f t="shared" si="315"/>
        <v>0</v>
      </c>
      <c r="U871" s="1394">
        <f>IFERROR(VLOOKUP(M871,#REF!,5,0),0)</f>
        <v>0</v>
      </c>
      <c r="V871" s="1394">
        <f t="shared" si="316"/>
        <v>0</v>
      </c>
      <c r="W871" s="1394"/>
    </row>
    <row r="872" spans="2:23" ht="30" customHeight="1">
      <c r="B872" s="1405"/>
      <c r="C872" s="1408" t="str">
        <f t="shared" si="324"/>
        <v>Toilet Below Roof</v>
      </c>
      <c r="D872" s="1409">
        <v>1</v>
      </c>
      <c r="E872" s="1409">
        <v>1</v>
      </c>
      <c r="F872" s="1410">
        <v>1.5</v>
      </c>
      <c r="G872" s="1410">
        <v>3.9</v>
      </c>
      <c r="H872" s="1410">
        <v>0.125</v>
      </c>
      <c r="I872" s="1471">
        <f t="shared" si="321"/>
        <v>0.73124999999999996</v>
      </c>
      <c r="K872" s="110" t="s">
        <v>400</v>
      </c>
      <c r="L872" s="110" t="s">
        <v>5741</v>
      </c>
      <c r="O872" s="1395"/>
      <c r="Q872" s="1394">
        <f>IFERROR(VLOOKUP(M872,#REF!,3,0),0)</f>
        <v>0</v>
      </c>
      <c r="R872" s="1394">
        <f t="shared" si="314"/>
        <v>0</v>
      </c>
      <c r="S872" s="1394">
        <f>IFERROR(VLOOKUP(M872,#REF!,6,0),0)</f>
        <v>0</v>
      </c>
      <c r="T872" s="1394">
        <f t="shared" si="315"/>
        <v>0</v>
      </c>
      <c r="U872" s="1394">
        <f>IFERROR(VLOOKUP(M872,#REF!,5,0),0)</f>
        <v>0</v>
      </c>
      <c r="V872" s="1394">
        <f t="shared" si="316"/>
        <v>0</v>
      </c>
      <c r="W872" s="1394"/>
    </row>
    <row r="873" spans="2:23" ht="30" customHeight="1">
      <c r="B873" s="1405"/>
      <c r="C873" s="1408" t="str">
        <f t="shared" si="324"/>
        <v>Computer / CCTNS Below Roof</v>
      </c>
      <c r="D873" s="1409">
        <v>1</v>
      </c>
      <c r="E873" s="1409">
        <v>1</v>
      </c>
      <c r="F873" s="1410">
        <v>3.6949999999999998</v>
      </c>
      <c r="G873" s="1410">
        <v>3.9</v>
      </c>
      <c r="H873" s="1410">
        <v>0.125</v>
      </c>
      <c r="I873" s="1471">
        <f t="shared" si="321"/>
        <v>1.8013124999999999</v>
      </c>
      <c r="K873" s="110" t="s">
        <v>5742</v>
      </c>
      <c r="L873" s="110" t="s">
        <v>5741</v>
      </c>
      <c r="O873" s="1395"/>
      <c r="Q873" s="1394">
        <f>IFERROR(VLOOKUP(M873,#REF!,3,0),0)</f>
        <v>0</v>
      </c>
      <c r="R873" s="1394">
        <f t="shared" si="314"/>
        <v>0</v>
      </c>
      <c r="S873" s="1394">
        <f>IFERROR(VLOOKUP(M873,#REF!,6,0),0)</f>
        <v>0</v>
      </c>
      <c r="T873" s="1394">
        <f t="shared" si="315"/>
        <v>0</v>
      </c>
      <c r="U873" s="1394">
        <f>IFERROR(VLOOKUP(M873,#REF!,5,0),0)</f>
        <v>0</v>
      </c>
      <c r="V873" s="1394">
        <f t="shared" si="316"/>
        <v>0</v>
      </c>
      <c r="W873" s="1394"/>
    </row>
    <row r="874" spans="2:23" ht="30" customHeight="1">
      <c r="B874" s="1405"/>
      <c r="C874" s="1408" t="str">
        <f t="shared" si="324"/>
        <v>Station Writer Below Roof</v>
      </c>
      <c r="D874" s="1409">
        <v>1</v>
      </c>
      <c r="E874" s="1409">
        <v>1</v>
      </c>
      <c r="F874" s="1410">
        <v>2.5</v>
      </c>
      <c r="G874" s="1410">
        <v>3.9</v>
      </c>
      <c r="H874" s="1410">
        <v>0.125</v>
      </c>
      <c r="I874" s="1471">
        <f t="shared" si="321"/>
        <v>1.21875</v>
      </c>
      <c r="K874" s="110" t="s">
        <v>5611</v>
      </c>
      <c r="L874" s="110" t="s">
        <v>5741</v>
      </c>
      <c r="O874" s="1395"/>
      <c r="Q874" s="1394">
        <f>IFERROR(VLOOKUP(M874,#REF!,3,0),0)</f>
        <v>0</v>
      </c>
      <c r="R874" s="1394">
        <f t="shared" si="314"/>
        <v>0</v>
      </c>
      <c r="S874" s="1394">
        <f>IFERROR(VLOOKUP(M874,#REF!,6,0),0)</f>
        <v>0</v>
      </c>
      <c r="T874" s="1394">
        <f t="shared" si="315"/>
        <v>0</v>
      </c>
      <c r="U874" s="1394">
        <f>IFERROR(VLOOKUP(M874,#REF!,5,0),0)</f>
        <v>0</v>
      </c>
      <c r="V874" s="1394">
        <f t="shared" si="316"/>
        <v>0</v>
      </c>
      <c r="W874" s="1394"/>
    </row>
    <row r="875" spans="2:23" ht="30" customHeight="1">
      <c r="B875" s="1405"/>
      <c r="C875" s="1408" t="str">
        <f t="shared" si="324"/>
        <v>Arms Ammunication Below Roof</v>
      </c>
      <c r="D875" s="1409">
        <v>1</v>
      </c>
      <c r="E875" s="1409">
        <v>1</v>
      </c>
      <c r="F875" s="1410">
        <v>1.7350000000000001</v>
      </c>
      <c r="G875" s="1410">
        <v>2.3199999999999998</v>
      </c>
      <c r="H875" s="1410">
        <v>0.125</v>
      </c>
      <c r="I875" s="1471">
        <f t="shared" si="321"/>
        <v>0.50314999999999999</v>
      </c>
      <c r="K875" s="110" t="s">
        <v>5743</v>
      </c>
      <c r="L875" s="110" t="s">
        <v>5741</v>
      </c>
      <c r="O875" s="1395"/>
      <c r="Q875" s="1394">
        <f>IFERROR(VLOOKUP(M875,#REF!,3,0),0)</f>
        <v>0</v>
      </c>
      <c r="R875" s="1394">
        <f t="shared" si="314"/>
        <v>0</v>
      </c>
      <c r="S875" s="1394">
        <f>IFERROR(VLOOKUP(M875,#REF!,6,0),0)</f>
        <v>0</v>
      </c>
      <c r="T875" s="1394">
        <f t="shared" si="315"/>
        <v>0</v>
      </c>
      <c r="U875" s="1394">
        <f>IFERROR(VLOOKUP(M875,#REF!,5,0),0)</f>
        <v>0</v>
      </c>
      <c r="V875" s="1394">
        <f t="shared" si="316"/>
        <v>0</v>
      </c>
      <c r="W875" s="1394"/>
    </row>
    <row r="876" spans="2:23" ht="30" customHeight="1">
      <c r="B876" s="1405"/>
      <c r="C876" s="1408" t="str">
        <f t="shared" si="324"/>
        <v>Arms Ammunication Below Roof</v>
      </c>
      <c r="D876" s="1409">
        <v>1</v>
      </c>
      <c r="E876" s="1409">
        <v>1</v>
      </c>
      <c r="F876" s="1410">
        <v>1.7350000000000001</v>
      </c>
      <c r="G876" s="1410">
        <v>1.35</v>
      </c>
      <c r="H876" s="1410">
        <v>0.125</v>
      </c>
      <c r="I876" s="1471">
        <f t="shared" si="321"/>
        <v>0.29278125000000005</v>
      </c>
      <c r="K876" s="110" t="s">
        <v>5743</v>
      </c>
      <c r="L876" s="110" t="s">
        <v>5741</v>
      </c>
      <c r="O876" s="1395"/>
      <c r="Q876" s="1394">
        <f>IFERROR(VLOOKUP(M876,#REF!,3,0),0)</f>
        <v>0</v>
      </c>
      <c r="R876" s="1394">
        <f t="shared" si="314"/>
        <v>0</v>
      </c>
      <c r="S876" s="1394">
        <f>IFERROR(VLOOKUP(M876,#REF!,6,0),0)</f>
        <v>0</v>
      </c>
      <c r="T876" s="1394">
        <f t="shared" si="315"/>
        <v>0</v>
      </c>
      <c r="U876" s="1394">
        <f>IFERROR(VLOOKUP(M876,#REF!,5,0),0)</f>
        <v>0</v>
      </c>
      <c r="V876" s="1394">
        <f t="shared" si="316"/>
        <v>0</v>
      </c>
      <c r="W876" s="1394"/>
    </row>
    <row r="877" spans="2:23" ht="30" customHeight="1">
      <c r="B877" s="1405"/>
      <c r="C877" s="1408" t="str">
        <f t="shared" si="324"/>
        <v>Property Record Below Roof</v>
      </c>
      <c r="D877" s="1409">
        <v>1</v>
      </c>
      <c r="E877" s="1409">
        <v>1</v>
      </c>
      <c r="F877" s="1410">
        <v>3.7650000000000001</v>
      </c>
      <c r="G877" s="1410">
        <v>2.4350000000000001</v>
      </c>
      <c r="H877" s="1410">
        <v>0.125</v>
      </c>
      <c r="I877" s="1471">
        <f t="shared" si="321"/>
        <v>1.1459718750000001</v>
      </c>
      <c r="K877" s="110" t="s">
        <v>5744</v>
      </c>
      <c r="L877" s="110" t="s">
        <v>5741</v>
      </c>
      <c r="O877" s="1395"/>
      <c r="Q877" s="1394">
        <f>IFERROR(VLOOKUP(M877,#REF!,3,0),0)</f>
        <v>0</v>
      </c>
      <c r="R877" s="1394">
        <f t="shared" si="314"/>
        <v>0</v>
      </c>
      <c r="S877" s="1394">
        <f>IFERROR(VLOOKUP(M877,#REF!,6,0),0)</f>
        <v>0</v>
      </c>
      <c r="T877" s="1394">
        <f t="shared" si="315"/>
        <v>0</v>
      </c>
      <c r="U877" s="1394">
        <f>IFERROR(VLOOKUP(M877,#REF!,5,0),0)</f>
        <v>0</v>
      </c>
      <c r="V877" s="1394">
        <f t="shared" si="316"/>
        <v>0</v>
      </c>
      <c r="W877" s="1394"/>
    </row>
    <row r="878" spans="2:23" ht="30" customHeight="1">
      <c r="B878" s="1405"/>
      <c r="C878" s="1408" t="str">
        <f t="shared" si="324"/>
        <v>Toilet Below Roof</v>
      </c>
      <c r="D878" s="1409">
        <v>1</v>
      </c>
      <c r="E878" s="1409">
        <v>1</v>
      </c>
      <c r="F878" s="1410">
        <v>3.7650000000000001</v>
      </c>
      <c r="G878" s="1410">
        <v>1.2350000000000001</v>
      </c>
      <c r="H878" s="1410">
        <v>0.125</v>
      </c>
      <c r="I878" s="1471">
        <f t="shared" si="321"/>
        <v>0.58122187500000011</v>
      </c>
      <c r="K878" s="110" t="s">
        <v>400</v>
      </c>
      <c r="L878" s="110" t="s">
        <v>5741</v>
      </c>
      <c r="O878" s="1395"/>
      <c r="Q878" s="1394">
        <f>IFERROR(VLOOKUP(M878,#REF!,3,0),0)</f>
        <v>0</v>
      </c>
      <c r="R878" s="1394">
        <f t="shared" ref="R878:R941" si="325">ROUND(O878,2)*ROUND(Q878,2)</f>
        <v>0</v>
      </c>
      <c r="S878" s="1394">
        <f>IFERROR(VLOOKUP(M878,#REF!,6,0),0)</f>
        <v>0</v>
      </c>
      <c r="T878" s="1394">
        <f t="shared" ref="T878:T941" si="326">R878-S878</f>
        <v>0</v>
      </c>
      <c r="U878" s="1394">
        <f>IFERROR(VLOOKUP(M878,#REF!,5,0),0)</f>
        <v>0</v>
      </c>
      <c r="V878" s="1394">
        <f t="shared" ref="V878:V941" si="327">O878-U878</f>
        <v>0</v>
      </c>
      <c r="W878" s="1394"/>
    </row>
    <row r="879" spans="2:23" ht="30" customHeight="1">
      <c r="B879" s="1405"/>
      <c r="C879" s="1408" t="str">
        <f t="shared" si="324"/>
        <v>Lock up Men Below Roof</v>
      </c>
      <c r="D879" s="1409">
        <v>1</v>
      </c>
      <c r="E879" s="1409">
        <v>1</v>
      </c>
      <c r="F879" s="1410">
        <v>4</v>
      </c>
      <c r="G879" s="1410">
        <v>2.5499999999999998</v>
      </c>
      <c r="H879" s="1410">
        <v>0.125</v>
      </c>
      <c r="I879" s="1471">
        <f t="shared" si="321"/>
        <v>1.2749999999999999</v>
      </c>
      <c r="K879" s="110" t="s">
        <v>5745</v>
      </c>
      <c r="L879" s="110" t="s">
        <v>5741</v>
      </c>
      <c r="O879" s="1395"/>
      <c r="Q879" s="1394">
        <f>IFERROR(VLOOKUP(M879,#REF!,3,0),0)</f>
        <v>0</v>
      </c>
      <c r="R879" s="1394">
        <f t="shared" si="325"/>
        <v>0</v>
      </c>
      <c r="S879" s="1394">
        <f>IFERROR(VLOOKUP(M879,#REF!,6,0),0)</f>
        <v>0</v>
      </c>
      <c r="T879" s="1394">
        <f t="shared" si="326"/>
        <v>0</v>
      </c>
      <c r="U879" s="1394">
        <f>IFERROR(VLOOKUP(M879,#REF!,5,0),0)</f>
        <v>0</v>
      </c>
      <c r="V879" s="1394">
        <f t="shared" si="327"/>
        <v>0</v>
      </c>
      <c r="W879" s="1394"/>
    </row>
    <row r="880" spans="2:23" ht="30" customHeight="1">
      <c r="B880" s="1405"/>
      <c r="C880" s="1408" t="str">
        <f t="shared" si="324"/>
        <v>INS Room Below Roof</v>
      </c>
      <c r="D880" s="1409">
        <v>1</v>
      </c>
      <c r="E880" s="1409">
        <v>1</v>
      </c>
      <c r="F880" s="1410">
        <v>4</v>
      </c>
      <c r="G880" s="1410">
        <v>5.0999999999999996</v>
      </c>
      <c r="H880" s="1410">
        <v>0.125</v>
      </c>
      <c r="I880" s="1471">
        <f t="shared" si="321"/>
        <v>2.5499999999999998</v>
      </c>
      <c r="K880" s="110" t="s">
        <v>5746</v>
      </c>
      <c r="L880" s="110" t="s">
        <v>5741</v>
      </c>
      <c r="O880" s="1395"/>
      <c r="Q880" s="1394">
        <f>IFERROR(VLOOKUP(M880,#REF!,3,0),0)</f>
        <v>0</v>
      </c>
      <c r="R880" s="1394">
        <f t="shared" si="325"/>
        <v>0</v>
      </c>
      <c r="S880" s="1394">
        <f>IFERROR(VLOOKUP(M880,#REF!,6,0),0)</f>
        <v>0</v>
      </c>
      <c r="T880" s="1394">
        <f t="shared" si="326"/>
        <v>0</v>
      </c>
      <c r="U880" s="1394">
        <f>IFERROR(VLOOKUP(M880,#REF!,5,0),0)</f>
        <v>0</v>
      </c>
      <c r="V880" s="1394">
        <f t="shared" si="327"/>
        <v>0</v>
      </c>
      <c r="W880" s="1394"/>
    </row>
    <row r="881" spans="1:24" ht="30" customHeight="1">
      <c r="B881" s="1405"/>
      <c r="C881" s="1408" t="str">
        <f t="shared" si="324"/>
        <v>INS Room Toilet Below Roof</v>
      </c>
      <c r="D881" s="1409">
        <v>1</v>
      </c>
      <c r="E881" s="1409">
        <v>1</v>
      </c>
      <c r="F881" s="1410">
        <v>4</v>
      </c>
      <c r="G881" s="1410">
        <v>1.5</v>
      </c>
      <c r="H881" s="1410">
        <v>0.125</v>
      </c>
      <c r="I881" s="1471">
        <f t="shared" si="321"/>
        <v>0.75</v>
      </c>
      <c r="K881" s="110" t="s">
        <v>5747</v>
      </c>
      <c r="L881" s="110" t="s">
        <v>5741</v>
      </c>
      <c r="O881" s="1395"/>
      <c r="Q881" s="1394">
        <f>IFERROR(VLOOKUP(M881,#REF!,3,0),0)</f>
        <v>0</v>
      </c>
      <c r="R881" s="1394">
        <f t="shared" si="325"/>
        <v>0</v>
      </c>
      <c r="S881" s="1394">
        <f>IFERROR(VLOOKUP(M881,#REF!,6,0),0)</f>
        <v>0</v>
      </c>
      <c r="T881" s="1394">
        <f t="shared" si="326"/>
        <v>0</v>
      </c>
      <c r="U881" s="1394">
        <f>IFERROR(VLOOKUP(M881,#REF!,5,0),0)</f>
        <v>0</v>
      </c>
      <c r="V881" s="1394">
        <f t="shared" si="327"/>
        <v>0</v>
      </c>
      <c r="W881" s="1394"/>
    </row>
    <row r="882" spans="1:24" ht="30" customHeight="1">
      <c r="B882" s="1405"/>
      <c r="C882" s="1408" t="str">
        <f t="shared" si="324"/>
        <v>Writer Below Roof</v>
      </c>
      <c r="D882" s="1409">
        <v>1</v>
      </c>
      <c r="E882" s="1409">
        <v>1</v>
      </c>
      <c r="F882" s="1410">
        <v>3</v>
      </c>
      <c r="G882" s="1410">
        <v>5.3</v>
      </c>
      <c r="H882" s="1410">
        <v>0.125</v>
      </c>
      <c r="I882" s="1471">
        <f t="shared" si="321"/>
        <v>1.9874999999999998</v>
      </c>
      <c r="K882" s="110" t="s">
        <v>5593</v>
      </c>
      <c r="L882" s="110" t="s">
        <v>5741</v>
      </c>
      <c r="O882" s="1395"/>
      <c r="Q882" s="1394">
        <f>IFERROR(VLOOKUP(M882,#REF!,3,0),0)</f>
        <v>0</v>
      </c>
      <c r="R882" s="1394">
        <f t="shared" si="325"/>
        <v>0</v>
      </c>
      <c r="S882" s="1394">
        <f>IFERROR(VLOOKUP(M882,#REF!,6,0),0)</f>
        <v>0</v>
      </c>
      <c r="T882" s="1394">
        <f t="shared" si="326"/>
        <v>0</v>
      </c>
      <c r="U882" s="1394">
        <f>IFERROR(VLOOKUP(M882,#REF!,5,0),0)</f>
        <v>0</v>
      </c>
      <c r="V882" s="1394">
        <f t="shared" si="327"/>
        <v>0</v>
      </c>
      <c r="W882" s="1394"/>
    </row>
    <row r="883" spans="1:24" ht="30" customHeight="1">
      <c r="B883" s="1405"/>
      <c r="C883" s="1408" t="str">
        <f t="shared" si="324"/>
        <v>Stair Case Lobby-1 Below Roof</v>
      </c>
      <c r="D883" s="1409">
        <v>1</v>
      </c>
      <c r="E883" s="1409">
        <v>1</v>
      </c>
      <c r="F883" s="1410">
        <v>2.5249999999999999</v>
      </c>
      <c r="G883" s="1410">
        <v>2.77</v>
      </c>
      <c r="H883" s="1410">
        <v>0.125</v>
      </c>
      <c r="I883" s="1471">
        <f t="shared" si="321"/>
        <v>0.87428125000000001</v>
      </c>
      <c r="K883" s="110" t="s">
        <v>5748</v>
      </c>
      <c r="L883" s="110" t="s">
        <v>5741</v>
      </c>
      <c r="O883" s="1395"/>
      <c r="Q883" s="1394">
        <f>IFERROR(VLOOKUP(M883,#REF!,3,0),0)</f>
        <v>0</v>
      </c>
      <c r="R883" s="1394">
        <f t="shared" si="325"/>
        <v>0</v>
      </c>
      <c r="S883" s="1394">
        <f>IFERROR(VLOOKUP(M883,#REF!,6,0),0)</f>
        <v>0</v>
      </c>
      <c r="T883" s="1394">
        <f t="shared" si="326"/>
        <v>0</v>
      </c>
      <c r="U883" s="1394">
        <f>IFERROR(VLOOKUP(M883,#REF!,5,0),0)</f>
        <v>0</v>
      </c>
      <c r="V883" s="1394">
        <f t="shared" si="327"/>
        <v>0</v>
      </c>
      <c r="W883" s="1394"/>
    </row>
    <row r="884" spans="1:24" ht="30" customHeight="1">
      <c r="B884" s="1405"/>
      <c r="C884" s="1408" t="str">
        <f t="shared" si="324"/>
        <v>Stair Case Lobby-1 Below Roof</v>
      </c>
      <c r="D884" s="1409">
        <v>1</v>
      </c>
      <c r="E884" s="1409">
        <v>1</v>
      </c>
      <c r="F884" s="1410">
        <v>4.3250000000000002</v>
      </c>
      <c r="G884" s="1410">
        <v>2.2999999999999998</v>
      </c>
      <c r="H884" s="1410">
        <v>0.125</v>
      </c>
      <c r="I884" s="1471">
        <f t="shared" si="321"/>
        <v>1.2434375</v>
      </c>
      <c r="K884" s="110" t="s">
        <v>5748</v>
      </c>
      <c r="L884" s="110" t="s">
        <v>5741</v>
      </c>
      <c r="O884" s="1395"/>
      <c r="Q884" s="1394">
        <f>IFERROR(VLOOKUP(M884,#REF!,3,0),0)</f>
        <v>0</v>
      </c>
      <c r="R884" s="1394">
        <f t="shared" si="325"/>
        <v>0</v>
      </c>
      <c r="S884" s="1394">
        <f>IFERROR(VLOOKUP(M884,#REF!,6,0),0)</f>
        <v>0</v>
      </c>
      <c r="T884" s="1394">
        <f t="shared" si="326"/>
        <v>0</v>
      </c>
      <c r="U884" s="1394">
        <f>IFERROR(VLOOKUP(M884,#REF!,5,0),0)</f>
        <v>0</v>
      </c>
      <c r="V884" s="1394">
        <f t="shared" si="327"/>
        <v>0</v>
      </c>
      <c r="W884" s="1394"/>
    </row>
    <row r="885" spans="1:24" ht="30" customHeight="1">
      <c r="B885" s="1405"/>
      <c r="C885" s="1408" t="s">
        <v>5753</v>
      </c>
      <c r="D885" s="1409">
        <v>1</v>
      </c>
      <c r="E885" s="1409">
        <v>1</v>
      </c>
      <c r="F885" s="1410">
        <v>2.1</v>
      </c>
      <c r="G885" s="1410">
        <v>5.76</v>
      </c>
      <c r="H885" s="1410">
        <v>0.125</v>
      </c>
      <c r="I885" s="1471">
        <f t="shared" si="321"/>
        <v>1.512</v>
      </c>
      <c r="O885" s="1395"/>
      <c r="Q885" s="1394">
        <f>IFERROR(VLOOKUP(M885,#REF!,3,0),0)</f>
        <v>0</v>
      </c>
      <c r="R885" s="1394">
        <f t="shared" si="325"/>
        <v>0</v>
      </c>
      <c r="S885" s="1394">
        <f>IFERROR(VLOOKUP(M885,#REF!,6,0),0)</f>
        <v>0</v>
      </c>
      <c r="T885" s="1394">
        <f t="shared" si="326"/>
        <v>0</v>
      </c>
      <c r="U885" s="1394">
        <f>IFERROR(VLOOKUP(M885,#REF!,5,0),0)</f>
        <v>0</v>
      </c>
      <c r="V885" s="1394">
        <f t="shared" si="327"/>
        <v>0</v>
      </c>
      <c r="W885" s="1394"/>
    </row>
    <row r="886" spans="1:24" ht="30" customHeight="1">
      <c r="B886" s="1405"/>
      <c r="C886" s="1408" t="s">
        <v>5753</v>
      </c>
      <c r="D886" s="1409">
        <v>1</v>
      </c>
      <c r="E886" s="1409">
        <v>1</v>
      </c>
      <c r="F886" s="1410">
        <v>4.3250000000000002</v>
      </c>
      <c r="G886" s="1410">
        <v>5.76</v>
      </c>
      <c r="H886" s="1410">
        <v>0.125</v>
      </c>
      <c r="I886" s="1471">
        <f t="shared" si="321"/>
        <v>3.1139999999999999</v>
      </c>
      <c r="O886" s="1395"/>
      <c r="Q886" s="1394">
        <f>IFERROR(VLOOKUP(M886,#REF!,3,0),0)</f>
        <v>0</v>
      </c>
      <c r="R886" s="1394">
        <f t="shared" si="325"/>
        <v>0</v>
      </c>
      <c r="S886" s="1394">
        <f>IFERROR(VLOOKUP(M886,#REF!,6,0),0)</f>
        <v>0</v>
      </c>
      <c r="T886" s="1394">
        <f t="shared" si="326"/>
        <v>0</v>
      </c>
      <c r="U886" s="1394">
        <f>IFERROR(VLOOKUP(M886,#REF!,5,0),0)</f>
        <v>0</v>
      </c>
      <c r="V886" s="1394">
        <f t="shared" si="327"/>
        <v>0</v>
      </c>
      <c r="W886" s="1394"/>
    </row>
    <row r="887" spans="1:24" ht="30" customHeight="1">
      <c r="B887" s="1405"/>
      <c r="C887" s="1408" t="s">
        <v>5753</v>
      </c>
      <c r="D887" s="1409">
        <v>1</v>
      </c>
      <c r="E887" s="1409">
        <v>1</v>
      </c>
      <c r="F887" s="1410">
        <v>3</v>
      </c>
      <c r="G887" s="1410">
        <v>5.76</v>
      </c>
      <c r="H887" s="1410">
        <v>0.125</v>
      </c>
      <c r="I887" s="1471">
        <f t="shared" si="321"/>
        <v>2.16</v>
      </c>
      <c r="O887" s="1395"/>
      <c r="Q887" s="1394">
        <f>IFERROR(VLOOKUP(M887,#REF!,3,0),0)</f>
        <v>0</v>
      </c>
      <c r="R887" s="1394">
        <f t="shared" si="325"/>
        <v>0</v>
      </c>
      <c r="S887" s="1394">
        <f>IFERROR(VLOOKUP(M887,#REF!,6,0),0)</f>
        <v>0</v>
      </c>
      <c r="T887" s="1394">
        <f t="shared" si="326"/>
        <v>0</v>
      </c>
      <c r="U887" s="1394">
        <f>IFERROR(VLOOKUP(M887,#REF!,5,0),0)</f>
        <v>0</v>
      </c>
      <c r="V887" s="1394">
        <f t="shared" si="327"/>
        <v>0</v>
      </c>
      <c r="W887" s="1394"/>
    </row>
    <row r="888" spans="1:24" ht="30" customHeight="1">
      <c r="B888" s="1405"/>
      <c r="C888" s="1408"/>
      <c r="D888" s="1409"/>
      <c r="E888" s="1409"/>
      <c r="F888" s="1410"/>
      <c r="G888" s="1410"/>
      <c r="H888" s="1411"/>
      <c r="I888" s="1471"/>
      <c r="Q888" s="1394">
        <f>IFERROR(VLOOKUP(M888,#REF!,3,0),0)</f>
        <v>0</v>
      </c>
      <c r="R888" s="1394">
        <f t="shared" si="325"/>
        <v>0</v>
      </c>
      <c r="S888" s="1394">
        <f>IFERROR(VLOOKUP(M888,#REF!,6,0),0)</f>
        <v>0</v>
      </c>
      <c r="T888" s="1394">
        <f t="shared" si="326"/>
        <v>0</v>
      </c>
      <c r="U888" s="1394">
        <f>IFERROR(VLOOKUP(M888,#REF!,5,0),0)</f>
        <v>0</v>
      </c>
      <c r="V888" s="1394">
        <f t="shared" si="327"/>
        <v>0</v>
      </c>
      <c r="W888" s="1394"/>
    </row>
    <row r="889" spans="1:24" s="1394" customFormat="1" ht="30" customHeight="1">
      <c r="B889" s="1421"/>
      <c r="C889" s="1422" t="s">
        <v>270</v>
      </c>
      <c r="D889" s="1389"/>
      <c r="E889" s="1389"/>
      <c r="F889" s="1423"/>
      <c r="G889" s="1423"/>
      <c r="H889" s="1424"/>
      <c r="I889" s="1425">
        <f>J890-J889</f>
        <v>9.6381249999993202E-2</v>
      </c>
      <c r="J889" s="1394">
        <f>SUM(I728:I888)</f>
        <v>65.803618749999998</v>
      </c>
      <c r="M889" s="1399"/>
      <c r="N889" s="110"/>
      <c r="O889" s="110"/>
      <c r="P889" s="110"/>
      <c r="Q889" s="1394">
        <f>IFERROR(VLOOKUP(M889,#REF!,3,0),0)</f>
        <v>0</v>
      </c>
      <c r="R889" s="1394">
        <f t="shared" si="325"/>
        <v>0</v>
      </c>
      <c r="S889" s="1394">
        <f>IFERROR(VLOOKUP(M889,#REF!,6,0),0)</f>
        <v>0</v>
      </c>
      <c r="T889" s="1394">
        <f t="shared" si="326"/>
        <v>0</v>
      </c>
      <c r="U889" s="1394">
        <f>IFERROR(VLOOKUP(M889,#REF!,5,0),0)</f>
        <v>0</v>
      </c>
      <c r="V889" s="1394">
        <f t="shared" si="327"/>
        <v>0</v>
      </c>
    </row>
    <row r="890" spans="1:24" s="1394" customFormat="1" ht="30" customHeight="1">
      <c r="B890" s="1421"/>
      <c r="C890" s="1422"/>
      <c r="D890" s="1389"/>
      <c r="E890" s="1389"/>
      <c r="F890" s="1423"/>
      <c r="G890" s="1423"/>
      <c r="H890" s="1424"/>
      <c r="I890" s="1427">
        <f>+J890</f>
        <v>65.899999999999991</v>
      </c>
      <c r="J890" s="1394">
        <f>ROUNDUP(J889,1)</f>
        <v>65.899999999999991</v>
      </c>
      <c r="M890" s="1399"/>
      <c r="N890" s="110"/>
      <c r="O890" s="110"/>
      <c r="P890" s="110"/>
      <c r="Q890" s="1394">
        <f>IFERROR(VLOOKUP(M890,#REF!,3,0),0)</f>
        <v>0</v>
      </c>
      <c r="R890" s="1394">
        <f t="shared" si="325"/>
        <v>0</v>
      </c>
      <c r="S890" s="1394">
        <f>IFERROR(VLOOKUP(M890,#REF!,6,0),0)</f>
        <v>0</v>
      </c>
      <c r="T890" s="1394">
        <f t="shared" si="326"/>
        <v>0</v>
      </c>
      <c r="U890" s="1394">
        <f>IFERROR(VLOOKUP(M890,#REF!,5,0),0)</f>
        <v>0</v>
      </c>
      <c r="V890" s="1394">
        <f t="shared" si="327"/>
        <v>0</v>
      </c>
    </row>
    <row r="891" spans="1:24" s="1394" customFormat="1" ht="30" customHeight="1">
      <c r="B891" s="1421"/>
      <c r="C891" s="1422"/>
      <c r="D891" s="1389"/>
      <c r="E891" s="1389"/>
      <c r="F891" s="1423"/>
      <c r="G891" s="1428" t="s">
        <v>11</v>
      </c>
      <c r="H891" s="1429">
        <f>I890</f>
        <v>65.899999999999991</v>
      </c>
      <c r="I891" s="1427" t="s">
        <v>19</v>
      </c>
      <c r="M891" s="1426" t="str">
        <f>A727</f>
        <v>c. In First Floor Standardised concrete Mix M20 Grade Concrete</v>
      </c>
      <c r="N891" s="1394">
        <f>B727</f>
        <v>0</v>
      </c>
      <c r="O891" s="1394">
        <f>H891</f>
        <v>65.899999999999991</v>
      </c>
      <c r="P891" s="1394" t="str">
        <f>I891</f>
        <v>Cum</v>
      </c>
      <c r="Q891" s="1394">
        <f>IFERROR(VLOOKUP(M891,#REF!,3,0),0)</f>
        <v>0</v>
      </c>
      <c r="R891" s="1394">
        <f t="shared" si="325"/>
        <v>0</v>
      </c>
      <c r="S891" s="1394">
        <f>IFERROR(VLOOKUP(M891,#REF!,6,0),0)</f>
        <v>0</v>
      </c>
      <c r="T891" s="1394">
        <f t="shared" si="326"/>
        <v>0</v>
      </c>
      <c r="U891" s="1394">
        <f>IFERROR(VLOOKUP(M891,#REF!,5,0),0)</f>
        <v>0</v>
      </c>
      <c r="V891" s="1394">
        <f t="shared" si="327"/>
        <v>65.899999999999991</v>
      </c>
    </row>
    <row r="892" spans="1:24" ht="30" customHeight="1">
      <c r="A892" s="1481" t="s">
        <v>992</v>
      </c>
      <c r="B892" s="1407"/>
      <c r="C892" s="1678" t="e">
        <f>VLOOKUP(A892,#REF!,2,0)</f>
        <v>#REF!</v>
      </c>
      <c r="D892" s="1678"/>
      <c r="E892" s="1678"/>
      <c r="F892" s="1678"/>
      <c r="G892" s="1678"/>
      <c r="H892" s="1678"/>
      <c r="I892" s="1406"/>
      <c r="Q892" s="1394">
        <f>IFERROR(VLOOKUP(M892,#REF!,3,0),0)</f>
        <v>0</v>
      </c>
      <c r="R892" s="1394">
        <f t="shared" si="325"/>
        <v>0</v>
      </c>
      <c r="S892" s="1394">
        <f>IFERROR(VLOOKUP(M892,#REF!,6,0),0)</f>
        <v>0</v>
      </c>
      <c r="T892" s="1394">
        <f t="shared" si="326"/>
        <v>0</v>
      </c>
      <c r="U892" s="1394">
        <f>IFERROR(VLOOKUP(M892,#REF!,5,0),0)</f>
        <v>0</v>
      </c>
      <c r="V892" s="1394">
        <f t="shared" si="327"/>
        <v>0</v>
      </c>
      <c r="W892" s="1394"/>
      <c r="X892" s="1397"/>
    </row>
    <row r="893" spans="1:24" ht="30" customHeight="1">
      <c r="B893" s="1407"/>
      <c r="C893" s="1415" t="str">
        <f>'det -detail'!B216</f>
        <v>Column raising up to Roof in SF</v>
      </c>
      <c r="D893" s="1409"/>
      <c r="E893" s="1409"/>
      <c r="F893" s="1410"/>
      <c r="G893" s="1410"/>
      <c r="H893" s="1411"/>
      <c r="I893" s="1425"/>
      <c r="Q893" s="1394">
        <f>IFERROR(VLOOKUP(M893,#REF!,3,0),0)</f>
        <v>0</v>
      </c>
      <c r="R893" s="1394">
        <f t="shared" si="325"/>
        <v>0</v>
      </c>
      <c r="S893" s="1394">
        <f>IFERROR(VLOOKUP(M893,#REF!,6,0),0)</f>
        <v>0</v>
      </c>
      <c r="T893" s="1394">
        <f t="shared" si="326"/>
        <v>0</v>
      </c>
      <c r="U893" s="1394">
        <f>IFERROR(VLOOKUP(M893,#REF!,5,0),0)</f>
        <v>0</v>
      </c>
      <c r="V893" s="1394">
        <f t="shared" si="327"/>
        <v>0</v>
      </c>
      <c r="W893" s="1394"/>
    </row>
    <row r="894" spans="1:24" ht="30" customHeight="1">
      <c r="B894" s="1405"/>
      <c r="C894" s="1408">
        <f>'det -detail'!B217</f>
        <v>0</v>
      </c>
      <c r="D894" s="1409">
        <f>'det -detail'!E217</f>
        <v>0</v>
      </c>
      <c r="E894" s="1409">
        <f>'det -detail'!F217</f>
        <v>0</v>
      </c>
      <c r="F894" s="1410">
        <f>'det -detail'!G217</f>
        <v>0</v>
      </c>
      <c r="G894" s="1410">
        <f>'det -detail'!H217</f>
        <v>0</v>
      </c>
      <c r="H894" s="1411">
        <f>'det -detail'!I217</f>
        <v>0</v>
      </c>
      <c r="I894" s="1425">
        <f t="shared" ref="I894:I899" si="328">PRODUCT(D894:H894)</f>
        <v>0</v>
      </c>
      <c r="Q894" s="1394">
        <f>IFERROR(VLOOKUP(M894,#REF!,3,0),0)</f>
        <v>0</v>
      </c>
      <c r="R894" s="1394">
        <f t="shared" si="325"/>
        <v>0</v>
      </c>
      <c r="S894" s="1394">
        <f>IFERROR(VLOOKUP(M894,#REF!,6,0),0)</f>
        <v>0</v>
      </c>
      <c r="T894" s="1394">
        <f t="shared" si="326"/>
        <v>0</v>
      </c>
      <c r="U894" s="1394">
        <f>IFERROR(VLOOKUP(M894,#REF!,5,0),0)</f>
        <v>0</v>
      </c>
      <c r="V894" s="1394">
        <f t="shared" si="327"/>
        <v>0</v>
      </c>
      <c r="W894" s="1394"/>
    </row>
    <row r="895" spans="1:24" ht="30" customHeight="1">
      <c r="B895" s="1405"/>
      <c r="C895" s="1408" t="str">
        <f>'det -detail'!B218</f>
        <v>For C2</v>
      </c>
      <c r="D895" s="1409">
        <f>'det -detail'!E218</f>
        <v>11</v>
      </c>
      <c r="E895" s="1416">
        <f>'det -detail'!F218</f>
        <v>1</v>
      </c>
      <c r="F895" s="1410">
        <f>'det -detail'!G218</f>
        <v>0.23</v>
      </c>
      <c r="G895" s="1410">
        <f>'det -detail'!H218</f>
        <v>0.38</v>
      </c>
      <c r="H895" s="1411">
        <f>'det -detail'!I218</f>
        <v>2.92</v>
      </c>
      <c r="I895" s="1425">
        <f t="shared" si="328"/>
        <v>2.8072880000000002</v>
      </c>
      <c r="Q895" s="1394">
        <f>IFERROR(VLOOKUP(M895,#REF!,3,0),0)</f>
        <v>0</v>
      </c>
      <c r="R895" s="1394">
        <f t="shared" si="325"/>
        <v>0</v>
      </c>
      <c r="S895" s="1394">
        <f>IFERROR(VLOOKUP(M895,#REF!,6,0),0)</f>
        <v>0</v>
      </c>
      <c r="T895" s="1394">
        <f t="shared" si="326"/>
        <v>0</v>
      </c>
      <c r="U895" s="1394">
        <f>IFERROR(VLOOKUP(M895,#REF!,5,0),0)</f>
        <v>0</v>
      </c>
      <c r="V895" s="1394">
        <f t="shared" si="327"/>
        <v>0</v>
      </c>
      <c r="W895" s="1394"/>
    </row>
    <row r="896" spans="1:24" ht="30" customHeight="1">
      <c r="B896" s="1405"/>
      <c r="C896" s="1415" t="str">
        <f>'det -detail'!B219</f>
        <v>For C3</v>
      </c>
      <c r="D896" s="1409">
        <f>'det -detail'!E219</f>
        <v>10</v>
      </c>
      <c r="E896" s="1409">
        <f>'det -detail'!F219</f>
        <v>1</v>
      </c>
      <c r="F896" s="1410">
        <f>'det -detail'!G219</f>
        <v>0.23</v>
      </c>
      <c r="G896" s="1410">
        <f>'det -detail'!H219</f>
        <v>0.45</v>
      </c>
      <c r="H896" s="1411">
        <f>'det -detail'!I219</f>
        <v>2.92</v>
      </c>
      <c r="I896" s="1425">
        <f t="shared" si="328"/>
        <v>3.0222000000000002</v>
      </c>
      <c r="Q896" s="1394">
        <f>IFERROR(VLOOKUP(M896,#REF!,3,0),0)</f>
        <v>0</v>
      </c>
      <c r="R896" s="1394">
        <f t="shared" si="325"/>
        <v>0</v>
      </c>
      <c r="S896" s="1394">
        <f>IFERROR(VLOOKUP(M896,#REF!,6,0),0)</f>
        <v>0</v>
      </c>
      <c r="T896" s="1394">
        <f t="shared" si="326"/>
        <v>0</v>
      </c>
      <c r="U896" s="1394">
        <f>IFERROR(VLOOKUP(M896,#REF!,5,0),0)</f>
        <v>0</v>
      </c>
      <c r="V896" s="1394">
        <f t="shared" si="327"/>
        <v>0</v>
      </c>
      <c r="W896" s="1394"/>
    </row>
    <row r="897" spans="2:23" ht="30" customHeight="1">
      <c r="B897" s="1405"/>
      <c r="C897" s="1408" t="str">
        <f>'det -detail'!B220</f>
        <v>For C4</v>
      </c>
      <c r="D897" s="1409">
        <f>'det -detail'!E220</f>
        <v>7</v>
      </c>
      <c r="E897" s="1409">
        <f>'det -detail'!F220</f>
        <v>1</v>
      </c>
      <c r="F897" s="1410">
        <f>'det -detail'!G220</f>
        <v>0.3</v>
      </c>
      <c r="G897" s="1410">
        <f>'det -detail'!H220</f>
        <v>0.45</v>
      </c>
      <c r="H897" s="1411">
        <f>'det -detail'!I220</f>
        <v>2.92</v>
      </c>
      <c r="I897" s="1425">
        <f t="shared" si="328"/>
        <v>2.7594000000000003</v>
      </c>
      <c r="Q897" s="1394">
        <f>IFERROR(VLOOKUP(M897,#REF!,3,0),0)</f>
        <v>0</v>
      </c>
      <c r="R897" s="1394">
        <f t="shared" si="325"/>
        <v>0</v>
      </c>
      <c r="S897" s="1394">
        <f>IFERROR(VLOOKUP(M897,#REF!,6,0),0)</f>
        <v>0</v>
      </c>
      <c r="T897" s="1394">
        <f t="shared" si="326"/>
        <v>0</v>
      </c>
      <c r="U897" s="1394">
        <f>IFERROR(VLOOKUP(M897,#REF!,5,0),0)</f>
        <v>0</v>
      </c>
      <c r="V897" s="1394">
        <f t="shared" si="327"/>
        <v>0</v>
      </c>
      <c r="W897" s="1394"/>
    </row>
    <row r="898" spans="2:23" ht="30" hidden="1" customHeight="1">
      <c r="B898" s="1405"/>
      <c r="C898" s="1415">
        <f>'det -detail'!B221</f>
        <v>0</v>
      </c>
      <c r="D898" s="1409">
        <f>'det -detail'!E221</f>
        <v>0</v>
      </c>
      <c r="E898" s="1409">
        <f>'det -detail'!F221</f>
        <v>0</v>
      </c>
      <c r="F898" s="1410">
        <f>'det -detail'!G221</f>
        <v>0</v>
      </c>
      <c r="G898" s="1410">
        <f>'det -detail'!H221</f>
        <v>0</v>
      </c>
      <c r="H898" s="1411">
        <f>'det -detail'!I221</f>
        <v>0</v>
      </c>
      <c r="I898" s="1425">
        <f t="shared" si="328"/>
        <v>0</v>
      </c>
      <c r="M898" s="110"/>
      <c r="Q898" s="1394">
        <f>IFERROR(VLOOKUP(M898,#REF!,3,0),0)</f>
        <v>0</v>
      </c>
      <c r="R898" s="1394">
        <f t="shared" si="325"/>
        <v>0</v>
      </c>
      <c r="S898" s="1394">
        <f>IFERROR(VLOOKUP(M898,#REF!,6,0),0)</f>
        <v>0</v>
      </c>
      <c r="T898" s="1394">
        <f t="shared" si="326"/>
        <v>0</v>
      </c>
      <c r="U898" s="1394">
        <f>IFERROR(VLOOKUP(M898,#REF!,5,0),0)</f>
        <v>0</v>
      </c>
      <c r="V898" s="1394">
        <f t="shared" si="327"/>
        <v>0</v>
      </c>
      <c r="W898" s="1394"/>
    </row>
    <row r="899" spans="2:23" ht="30" hidden="1" customHeight="1">
      <c r="B899" s="1405"/>
      <c r="C899" s="1408">
        <f>'det -detail'!B222</f>
        <v>0</v>
      </c>
      <c r="D899" s="1409">
        <f>'det -detail'!E222</f>
        <v>0</v>
      </c>
      <c r="E899" s="1409">
        <f>'det -detail'!F222</f>
        <v>0</v>
      </c>
      <c r="F899" s="1410">
        <f>'det -detail'!G222</f>
        <v>0</v>
      </c>
      <c r="G899" s="1410">
        <f>'det -detail'!H222</f>
        <v>0</v>
      </c>
      <c r="H899" s="1411">
        <f>'det -detail'!I222</f>
        <v>0</v>
      </c>
      <c r="I899" s="1425">
        <f t="shared" si="328"/>
        <v>0</v>
      </c>
      <c r="M899" s="110"/>
      <c r="Q899" s="1394">
        <f>IFERROR(VLOOKUP(M899,#REF!,3,0),0)</f>
        <v>0</v>
      </c>
      <c r="R899" s="1394">
        <f t="shared" si="325"/>
        <v>0</v>
      </c>
      <c r="S899" s="1394">
        <f>IFERROR(VLOOKUP(M899,#REF!,6,0),0)</f>
        <v>0</v>
      </c>
      <c r="T899" s="1394">
        <f t="shared" si="326"/>
        <v>0</v>
      </c>
      <c r="U899" s="1394">
        <f>IFERROR(VLOOKUP(M899,#REF!,5,0),0)</f>
        <v>0</v>
      </c>
      <c r="V899" s="1394">
        <f t="shared" si="327"/>
        <v>0</v>
      </c>
      <c r="W899" s="1394"/>
    </row>
    <row r="900" spans="2:23" ht="30" hidden="1" customHeight="1">
      <c r="B900" s="1405"/>
      <c r="C900" s="1408"/>
      <c r="D900" s="1409"/>
      <c r="E900" s="1409"/>
      <c r="F900" s="1410"/>
      <c r="G900" s="1410"/>
      <c r="H900" s="1411"/>
      <c r="I900" s="1425"/>
      <c r="M900" s="110"/>
      <c r="Q900" s="1394">
        <f>IFERROR(VLOOKUP(M900,#REF!,3,0),0)</f>
        <v>0</v>
      </c>
      <c r="R900" s="1394">
        <f t="shared" si="325"/>
        <v>0</v>
      </c>
      <c r="S900" s="1394">
        <f>IFERROR(VLOOKUP(M900,#REF!,6,0),0)</f>
        <v>0</v>
      </c>
      <c r="T900" s="1394">
        <f t="shared" si="326"/>
        <v>0</v>
      </c>
      <c r="U900" s="1394">
        <f>IFERROR(VLOOKUP(M900,#REF!,5,0),0)</f>
        <v>0</v>
      </c>
      <c r="V900" s="1394">
        <f t="shared" si="327"/>
        <v>0</v>
      </c>
      <c r="W900" s="1394"/>
    </row>
    <row r="901" spans="2:23" ht="30" customHeight="1">
      <c r="B901" s="1407"/>
      <c r="C901" s="1408"/>
      <c r="D901" s="1409"/>
      <c r="E901" s="1409"/>
      <c r="F901" s="1410"/>
      <c r="G901" s="1410"/>
      <c r="H901" s="1411"/>
      <c r="I901" s="1425">
        <f>PRODUCT(D901:H901)</f>
        <v>0</v>
      </c>
      <c r="M901" s="110"/>
      <c r="Q901" s="1394">
        <f>IFERROR(VLOOKUP(M901,#REF!,3,0),0)</f>
        <v>0</v>
      </c>
      <c r="R901" s="1394">
        <f t="shared" si="325"/>
        <v>0</v>
      </c>
      <c r="S901" s="1394">
        <f>IFERROR(VLOOKUP(M901,#REF!,6,0),0)</f>
        <v>0</v>
      </c>
      <c r="T901" s="1394">
        <f t="shared" si="326"/>
        <v>0</v>
      </c>
      <c r="U901" s="1394">
        <f>IFERROR(VLOOKUP(M901,#REF!,5,0),0)</f>
        <v>0</v>
      </c>
      <c r="V901" s="1394">
        <f t="shared" si="327"/>
        <v>0</v>
      </c>
      <c r="W901" s="1394"/>
    </row>
    <row r="902" spans="2:23" ht="30" customHeight="1">
      <c r="B902" s="1407"/>
      <c r="C902" s="1415" t="s">
        <v>313</v>
      </c>
      <c r="D902" s="1409"/>
      <c r="E902" s="1409"/>
      <c r="F902" s="1410"/>
      <c r="G902" s="1410"/>
      <c r="H902" s="1411"/>
      <c r="I902" s="1425">
        <f>PRODUCT(D902:H902)</f>
        <v>0</v>
      </c>
      <c r="M902" s="110"/>
      <c r="Q902" s="1394">
        <f>IFERROR(VLOOKUP(M902,#REF!,3,0),0)</f>
        <v>0</v>
      </c>
      <c r="R902" s="1394">
        <f t="shared" si="325"/>
        <v>0</v>
      </c>
      <c r="S902" s="1394">
        <f>IFERROR(VLOOKUP(M902,#REF!,6,0),0)</f>
        <v>0</v>
      </c>
      <c r="T902" s="1394">
        <f t="shared" si="326"/>
        <v>0</v>
      </c>
      <c r="U902" s="1394">
        <f>IFERROR(VLOOKUP(M902,#REF!,5,0),0)</f>
        <v>0</v>
      </c>
      <c r="V902" s="1394">
        <f t="shared" si="327"/>
        <v>0</v>
      </c>
      <c r="W902" s="1394"/>
    </row>
    <row r="903" spans="2:23" ht="30" customHeight="1">
      <c r="B903" s="1407"/>
      <c r="C903" s="1408" t="s">
        <v>190</v>
      </c>
      <c r="D903" s="1409">
        <v>1</v>
      </c>
      <c r="E903" s="1409">
        <f>VLOOKUP(C903,Sheet1!$I$7:$Q$39,6,0)</f>
        <v>2</v>
      </c>
      <c r="F903" s="1410">
        <f>VLOOKUP(C903,Sheet1!$I$7:$Q$39,2,0)+0.46</f>
        <v>1.2729999999999999</v>
      </c>
      <c r="G903" s="1410">
        <v>0.23</v>
      </c>
      <c r="H903" s="1410">
        <v>0.05</v>
      </c>
      <c r="I903" s="1471">
        <f t="shared" ref="I903" si="329">PRODUCT(D903:H903)</f>
        <v>2.9278999999999999E-2</v>
      </c>
      <c r="M903" s="110"/>
      <c r="Q903" s="1394">
        <f>IFERROR(VLOOKUP(M903,#REF!,3,0),0)</f>
        <v>0</v>
      </c>
      <c r="R903" s="1394">
        <f t="shared" si="325"/>
        <v>0</v>
      </c>
      <c r="S903" s="1394">
        <f>IFERROR(VLOOKUP(M903,#REF!,6,0),0)</f>
        <v>0</v>
      </c>
      <c r="T903" s="1394">
        <f t="shared" si="326"/>
        <v>0</v>
      </c>
      <c r="U903" s="1394">
        <f>IFERROR(VLOOKUP(M903,#REF!,5,0),0)</f>
        <v>0</v>
      </c>
      <c r="V903" s="1394">
        <f t="shared" si="327"/>
        <v>0</v>
      </c>
      <c r="W903" s="1394"/>
    </row>
    <row r="904" spans="2:23" ht="30" customHeight="1">
      <c r="B904" s="1407"/>
      <c r="C904" s="1408" t="s">
        <v>5513</v>
      </c>
      <c r="D904" s="1409">
        <v>1</v>
      </c>
      <c r="E904" s="1409">
        <f>VLOOKUP(C904,Sheet1!$I$7:$Q$39,6,0)</f>
        <v>1</v>
      </c>
      <c r="F904" s="1410">
        <f>VLOOKUP(C904,Sheet1!$I$7:$Q$39,2,0)+0.46</f>
        <v>2.46</v>
      </c>
      <c r="G904" s="1410">
        <f>G903</f>
        <v>0.23</v>
      </c>
      <c r="H904" s="1410">
        <f>H903</f>
        <v>0.05</v>
      </c>
      <c r="I904" s="1471">
        <f t="shared" ref="I904" si="330">PRODUCT(D904:H904)</f>
        <v>2.8289999999999999E-2</v>
      </c>
      <c r="M904" s="110"/>
      <c r="Q904" s="1394">
        <f>IFERROR(VLOOKUP(M904,#REF!,3,0),0)</f>
        <v>0</v>
      </c>
      <c r="R904" s="1394">
        <f t="shared" si="325"/>
        <v>0</v>
      </c>
      <c r="S904" s="1394">
        <f>IFERROR(VLOOKUP(M904,#REF!,6,0),0)</f>
        <v>0</v>
      </c>
      <c r="T904" s="1394">
        <f t="shared" si="326"/>
        <v>0</v>
      </c>
      <c r="U904" s="1394">
        <f>IFERROR(VLOOKUP(M904,#REF!,5,0),0)</f>
        <v>0</v>
      </c>
      <c r="V904" s="1394">
        <f t="shared" si="327"/>
        <v>0</v>
      </c>
      <c r="W904" s="1394"/>
    </row>
    <row r="905" spans="2:23" ht="30" customHeight="1">
      <c r="B905" s="1407"/>
      <c r="C905" s="1408" t="s">
        <v>5514</v>
      </c>
      <c r="D905" s="1409">
        <v>1</v>
      </c>
      <c r="E905" s="1409">
        <f>VLOOKUP(C905,Sheet1!$I$7:$Q$39,6,0)</f>
        <v>2</v>
      </c>
      <c r="F905" s="1410">
        <f>VLOOKUP(C905,Sheet1!$I$7:$Q$39,2,0)+0.46</f>
        <v>1.66</v>
      </c>
      <c r="G905" s="1410">
        <f t="shared" ref="G905:G915" si="331">G904</f>
        <v>0.23</v>
      </c>
      <c r="H905" s="1410">
        <f t="shared" ref="H905:H915" si="332">H904</f>
        <v>0.05</v>
      </c>
      <c r="I905" s="1471">
        <f t="shared" ref="I905:I915" si="333">PRODUCT(D905:H905)</f>
        <v>3.8179999999999999E-2</v>
      </c>
      <c r="M905" s="110"/>
      <c r="Q905" s="1394">
        <f>IFERROR(VLOOKUP(M905,#REF!,3,0),0)</f>
        <v>0</v>
      </c>
      <c r="R905" s="1394">
        <f t="shared" si="325"/>
        <v>0</v>
      </c>
      <c r="S905" s="1394">
        <f>IFERROR(VLOOKUP(M905,#REF!,6,0),0)</f>
        <v>0</v>
      </c>
      <c r="T905" s="1394">
        <f t="shared" si="326"/>
        <v>0</v>
      </c>
      <c r="U905" s="1394">
        <f>IFERROR(VLOOKUP(M905,#REF!,5,0),0)</f>
        <v>0</v>
      </c>
      <c r="V905" s="1394">
        <f t="shared" si="327"/>
        <v>0</v>
      </c>
      <c r="W905" s="1394"/>
    </row>
    <row r="906" spans="2:23" ht="30" customHeight="1">
      <c r="B906" s="1407"/>
      <c r="C906" s="1408" t="s">
        <v>252</v>
      </c>
      <c r="D906" s="1409">
        <v>1</v>
      </c>
      <c r="E906" s="1409">
        <f>VLOOKUP(C906,Sheet1!$I$7:$Q$39,6,0)</f>
        <v>1</v>
      </c>
      <c r="F906" s="1410">
        <f>VLOOKUP(C906,Sheet1!$I$7:$Q$39,2,0)+0.46</f>
        <v>2.2600000000000002</v>
      </c>
      <c r="G906" s="1410">
        <f t="shared" si="331"/>
        <v>0.23</v>
      </c>
      <c r="H906" s="1410">
        <f t="shared" si="332"/>
        <v>0.05</v>
      </c>
      <c r="I906" s="1471">
        <f t="shared" si="333"/>
        <v>2.5990000000000003E-2</v>
      </c>
      <c r="J906" s="110">
        <f>2.86-0.23</f>
        <v>2.63</v>
      </c>
      <c r="L906" s="110">
        <f>2.56-0.23</f>
        <v>2.33</v>
      </c>
      <c r="M906" s="110"/>
      <c r="Q906" s="1394">
        <f>IFERROR(VLOOKUP(M906,#REF!,3,0),0)</f>
        <v>0</v>
      </c>
      <c r="R906" s="1394">
        <f t="shared" si="325"/>
        <v>0</v>
      </c>
      <c r="S906" s="1394">
        <f>IFERROR(VLOOKUP(M906,#REF!,6,0),0)</f>
        <v>0</v>
      </c>
      <c r="T906" s="1394">
        <f t="shared" si="326"/>
        <v>0</v>
      </c>
      <c r="U906" s="1394">
        <f>IFERROR(VLOOKUP(M906,#REF!,5,0),0)</f>
        <v>0</v>
      </c>
      <c r="V906" s="1394">
        <f t="shared" si="327"/>
        <v>0</v>
      </c>
      <c r="W906" s="1394"/>
    </row>
    <row r="907" spans="2:23" ht="30" customHeight="1">
      <c r="B907" s="1407"/>
      <c r="C907" s="1408" t="s">
        <v>248</v>
      </c>
      <c r="D907" s="1409">
        <v>1</v>
      </c>
      <c r="E907" s="1409">
        <f>VLOOKUP(C907,Sheet1!$I$7:$Q$39,6,0)</f>
        <v>1</v>
      </c>
      <c r="F907" s="1410">
        <f>VLOOKUP(C907,Sheet1!$I$7:$Q$39,2,0)+0.46</f>
        <v>2.2600000000000002</v>
      </c>
      <c r="G907" s="1410">
        <f t="shared" si="331"/>
        <v>0.23</v>
      </c>
      <c r="H907" s="1410">
        <f t="shared" si="332"/>
        <v>0.05</v>
      </c>
      <c r="I907" s="1471">
        <f t="shared" si="333"/>
        <v>2.5990000000000003E-2</v>
      </c>
      <c r="M907" s="110"/>
      <c r="Q907" s="1394">
        <f>IFERROR(VLOOKUP(M907,#REF!,3,0),0)</f>
        <v>0</v>
      </c>
      <c r="R907" s="1394">
        <f t="shared" si="325"/>
        <v>0</v>
      </c>
      <c r="S907" s="1394">
        <f>IFERROR(VLOOKUP(M907,#REF!,6,0),0)</f>
        <v>0</v>
      </c>
      <c r="T907" s="1394">
        <f t="shared" si="326"/>
        <v>0</v>
      </c>
      <c r="U907" s="1394">
        <f>IFERROR(VLOOKUP(M907,#REF!,5,0),0)</f>
        <v>0</v>
      </c>
      <c r="V907" s="1394">
        <f t="shared" si="327"/>
        <v>0</v>
      </c>
      <c r="W907" s="1394"/>
    </row>
    <row r="908" spans="2:23" ht="30" customHeight="1">
      <c r="B908" s="1407"/>
      <c r="C908" s="1408" t="s">
        <v>250</v>
      </c>
      <c r="D908" s="1409">
        <v>1</v>
      </c>
      <c r="E908" s="1409">
        <f>VLOOKUP(C908,Sheet1!$I$7:$Q$39,6,0)</f>
        <v>13</v>
      </c>
      <c r="F908" s="1410">
        <f>VLOOKUP(C908,Sheet1!$I$7:$Q$39,2,0)+0.46</f>
        <v>1.66</v>
      </c>
      <c r="G908" s="1410">
        <f t="shared" si="331"/>
        <v>0.23</v>
      </c>
      <c r="H908" s="1410">
        <f t="shared" si="332"/>
        <v>0.05</v>
      </c>
      <c r="I908" s="1471">
        <f t="shared" si="333"/>
        <v>0.24817</v>
      </c>
      <c r="M908" s="110"/>
      <c r="Q908" s="1394">
        <f>IFERROR(VLOOKUP(M908,#REF!,3,0),0)</f>
        <v>0</v>
      </c>
      <c r="R908" s="1394">
        <f t="shared" si="325"/>
        <v>0</v>
      </c>
      <c r="S908" s="1394">
        <f>IFERROR(VLOOKUP(M908,#REF!,6,0),0)</f>
        <v>0</v>
      </c>
      <c r="T908" s="1394">
        <f t="shared" si="326"/>
        <v>0</v>
      </c>
      <c r="U908" s="1394">
        <f>IFERROR(VLOOKUP(M908,#REF!,5,0),0)</f>
        <v>0</v>
      </c>
      <c r="V908" s="1394">
        <f t="shared" si="327"/>
        <v>0</v>
      </c>
      <c r="W908" s="1394"/>
    </row>
    <row r="909" spans="2:23" ht="30" customHeight="1">
      <c r="B909" s="1407"/>
      <c r="C909" s="1408" t="s">
        <v>251</v>
      </c>
      <c r="D909" s="1409">
        <v>1</v>
      </c>
      <c r="E909" s="1409">
        <f>VLOOKUP(C909,Sheet1!$I$7:$Q$39,6,0)</f>
        <v>4</v>
      </c>
      <c r="F909" s="1410">
        <f>VLOOKUP(C909,Sheet1!$I$7:$Q$39,2,0)+0.46</f>
        <v>1.46</v>
      </c>
      <c r="G909" s="1410">
        <f t="shared" si="331"/>
        <v>0.23</v>
      </c>
      <c r="H909" s="1410">
        <f t="shared" si="332"/>
        <v>0.05</v>
      </c>
      <c r="I909" s="1471">
        <f t="shared" si="333"/>
        <v>6.7159999999999997E-2</v>
      </c>
      <c r="M909" s="110"/>
      <c r="Q909" s="1394">
        <f>IFERROR(VLOOKUP(M909,#REF!,3,0),0)</f>
        <v>0</v>
      </c>
      <c r="R909" s="1394">
        <f t="shared" si="325"/>
        <v>0</v>
      </c>
      <c r="S909" s="1394">
        <f>IFERROR(VLOOKUP(M909,#REF!,6,0),0)</f>
        <v>0</v>
      </c>
      <c r="T909" s="1394">
        <f t="shared" si="326"/>
        <v>0</v>
      </c>
      <c r="U909" s="1394">
        <f>IFERROR(VLOOKUP(M909,#REF!,5,0),0)</f>
        <v>0</v>
      </c>
      <c r="V909" s="1394">
        <f t="shared" si="327"/>
        <v>0</v>
      </c>
      <c r="W909" s="1394"/>
    </row>
    <row r="910" spans="2:23" ht="30" customHeight="1">
      <c r="B910" s="1407"/>
      <c r="C910" s="1408" t="s">
        <v>5518</v>
      </c>
      <c r="D910" s="1409">
        <v>1</v>
      </c>
      <c r="E910" s="1409">
        <f>VLOOKUP(C910,Sheet1!$I$7:$Q$39,6,0)</f>
        <v>2</v>
      </c>
      <c r="F910" s="1410">
        <f>VLOOKUP(C910,Sheet1!$I$7:$Q$39,2,0)+0.46</f>
        <v>2.56</v>
      </c>
      <c r="G910" s="1410">
        <f t="shared" si="331"/>
        <v>0.23</v>
      </c>
      <c r="H910" s="1410">
        <f t="shared" si="332"/>
        <v>0.05</v>
      </c>
      <c r="I910" s="1471">
        <f t="shared" si="333"/>
        <v>5.8880000000000002E-2</v>
      </c>
      <c r="M910" s="110"/>
      <c r="Q910" s="1394">
        <f>IFERROR(VLOOKUP(M910,#REF!,3,0),0)</f>
        <v>0</v>
      </c>
      <c r="R910" s="1394">
        <f t="shared" si="325"/>
        <v>0</v>
      </c>
      <c r="S910" s="1394">
        <f>IFERROR(VLOOKUP(M910,#REF!,6,0),0)</f>
        <v>0</v>
      </c>
      <c r="T910" s="1394">
        <f t="shared" si="326"/>
        <v>0</v>
      </c>
      <c r="U910" s="1394">
        <f>IFERROR(VLOOKUP(M910,#REF!,5,0),0)</f>
        <v>0</v>
      </c>
      <c r="V910" s="1394">
        <f t="shared" si="327"/>
        <v>0</v>
      </c>
      <c r="W910" s="1394"/>
    </row>
    <row r="911" spans="2:23" ht="30" customHeight="1">
      <c r="B911" s="1407"/>
      <c r="C911" s="1415" t="s">
        <v>255</v>
      </c>
      <c r="D911" s="1409">
        <v>1</v>
      </c>
      <c r="E911" s="1409">
        <f>VLOOKUP(C911,Sheet1!$I$7:$Q$39,6,0)</f>
        <v>2</v>
      </c>
      <c r="F911" s="1410">
        <f>VLOOKUP(C911,Sheet1!$I$7:$Q$39,2,0)+0.46</f>
        <v>1.81</v>
      </c>
      <c r="G911" s="1410">
        <f t="shared" si="331"/>
        <v>0.23</v>
      </c>
      <c r="H911" s="1410">
        <f t="shared" si="332"/>
        <v>0.05</v>
      </c>
      <c r="I911" s="1471">
        <f t="shared" si="333"/>
        <v>4.163E-2</v>
      </c>
      <c r="M911" s="110"/>
      <c r="Q911" s="1394">
        <f>IFERROR(VLOOKUP(M911,#REF!,3,0),0)</f>
        <v>0</v>
      </c>
      <c r="R911" s="1394">
        <f t="shared" si="325"/>
        <v>0</v>
      </c>
      <c r="S911" s="1394">
        <f>IFERROR(VLOOKUP(M911,#REF!,6,0),0)</f>
        <v>0</v>
      </c>
      <c r="T911" s="1394">
        <f t="shared" si="326"/>
        <v>0</v>
      </c>
      <c r="U911" s="1394">
        <f>IFERROR(VLOOKUP(M911,#REF!,5,0),0)</f>
        <v>0</v>
      </c>
      <c r="V911" s="1394">
        <f t="shared" si="327"/>
        <v>0</v>
      </c>
      <c r="W911" s="1394"/>
    </row>
    <row r="912" spans="2:23" ht="30" customHeight="1">
      <c r="B912" s="1407"/>
      <c r="C912" s="1408" t="s">
        <v>254</v>
      </c>
      <c r="D912" s="1409">
        <v>1</v>
      </c>
      <c r="E912" s="1409">
        <f>VLOOKUP(C912,Sheet1!$I$7:$Q$39,6,0)</f>
        <v>1</v>
      </c>
      <c r="F912" s="1410">
        <f>VLOOKUP(C912,Sheet1!$I$7:$Q$39,2,0)+0.46</f>
        <v>1.36</v>
      </c>
      <c r="G912" s="1410">
        <f t="shared" si="331"/>
        <v>0.23</v>
      </c>
      <c r="H912" s="1410">
        <f t="shared" si="332"/>
        <v>0.05</v>
      </c>
      <c r="I912" s="1471">
        <f t="shared" si="333"/>
        <v>1.5640000000000001E-2</v>
      </c>
      <c r="M912" s="110"/>
      <c r="Q912" s="1394">
        <f>IFERROR(VLOOKUP(M912,#REF!,3,0),0)</f>
        <v>0</v>
      </c>
      <c r="R912" s="1394">
        <f t="shared" si="325"/>
        <v>0</v>
      </c>
      <c r="S912" s="1394">
        <f>IFERROR(VLOOKUP(M912,#REF!,6,0),0)</f>
        <v>0</v>
      </c>
      <c r="T912" s="1394">
        <f t="shared" si="326"/>
        <v>0</v>
      </c>
      <c r="U912" s="1394">
        <f>IFERROR(VLOOKUP(M912,#REF!,5,0),0)</f>
        <v>0</v>
      </c>
      <c r="V912" s="1394">
        <f t="shared" si="327"/>
        <v>0</v>
      </c>
      <c r="W912" s="1394"/>
    </row>
    <row r="913" spans="2:23" ht="30" customHeight="1">
      <c r="B913" s="1407"/>
      <c r="C913" s="1408" t="s">
        <v>253</v>
      </c>
      <c r="D913" s="1409">
        <v>1</v>
      </c>
      <c r="E913" s="1409">
        <f>VLOOKUP(C913,Sheet1!$I$7:$Q$39,6,0)</f>
        <v>2</v>
      </c>
      <c r="F913" s="1410">
        <f>VLOOKUP(C913,Sheet1!$I$7:$Q$39,2,0)+0.46</f>
        <v>1.46</v>
      </c>
      <c r="G913" s="1410">
        <f t="shared" si="331"/>
        <v>0.23</v>
      </c>
      <c r="H913" s="1410">
        <f t="shared" si="332"/>
        <v>0.05</v>
      </c>
      <c r="I913" s="1471">
        <f t="shared" si="333"/>
        <v>3.3579999999999999E-2</v>
      </c>
      <c r="M913" s="110"/>
      <c r="Q913" s="1394">
        <f>IFERROR(VLOOKUP(M913,#REF!,3,0),0)</f>
        <v>0</v>
      </c>
      <c r="R913" s="1394">
        <f t="shared" si="325"/>
        <v>0</v>
      </c>
      <c r="S913" s="1394">
        <f>IFERROR(VLOOKUP(M913,#REF!,6,0),0)</f>
        <v>0</v>
      </c>
      <c r="T913" s="1394">
        <f t="shared" si="326"/>
        <v>0</v>
      </c>
      <c r="U913" s="1394">
        <f>IFERROR(VLOOKUP(M913,#REF!,5,0),0)</f>
        <v>0</v>
      </c>
      <c r="V913" s="1394">
        <f t="shared" si="327"/>
        <v>0</v>
      </c>
      <c r="W913" s="1394"/>
    </row>
    <row r="914" spans="2:23" ht="30" customHeight="1">
      <c r="B914" s="1407"/>
      <c r="C914" s="1408" t="s">
        <v>372</v>
      </c>
      <c r="D914" s="1409">
        <v>1</v>
      </c>
      <c r="E914" s="1409">
        <f>VLOOKUP(C914,Sheet1!$I$7:$Q$39,6,0)</f>
        <v>2</v>
      </c>
      <c r="F914" s="1410">
        <f>VLOOKUP(C914,Sheet1!$I$7:$Q$39,2,0)+0.46</f>
        <v>1.06</v>
      </c>
      <c r="G914" s="1410">
        <f t="shared" si="331"/>
        <v>0.23</v>
      </c>
      <c r="H914" s="1410">
        <f t="shared" si="332"/>
        <v>0.05</v>
      </c>
      <c r="I914" s="1471">
        <f t="shared" si="333"/>
        <v>2.4380000000000002E-2</v>
      </c>
      <c r="M914" s="110"/>
      <c r="Q914" s="1394">
        <f>IFERROR(VLOOKUP(M914,#REF!,3,0),0)</f>
        <v>0</v>
      </c>
      <c r="R914" s="1394">
        <f t="shared" si="325"/>
        <v>0</v>
      </c>
      <c r="S914" s="1394">
        <f>IFERROR(VLOOKUP(M914,#REF!,6,0),0)</f>
        <v>0</v>
      </c>
      <c r="T914" s="1394">
        <f t="shared" si="326"/>
        <v>0</v>
      </c>
      <c r="U914" s="1394">
        <f>IFERROR(VLOOKUP(M914,#REF!,5,0),0)</f>
        <v>0</v>
      </c>
      <c r="V914" s="1394">
        <f t="shared" si="327"/>
        <v>0</v>
      </c>
      <c r="W914" s="1394"/>
    </row>
    <row r="915" spans="2:23" ht="30" customHeight="1">
      <c r="B915" s="1407"/>
      <c r="C915" s="1415" t="s">
        <v>257</v>
      </c>
      <c r="D915" s="1409">
        <v>1</v>
      </c>
      <c r="E915" s="1409">
        <f>VLOOKUP(C915,Sheet1!$I$7:$Q$39,6,0)</f>
        <v>4</v>
      </c>
      <c r="F915" s="1410">
        <f>VLOOKUP(C915,Sheet1!$I$7:$Q$39,2,0)+0.46</f>
        <v>1.36</v>
      </c>
      <c r="G915" s="1410">
        <f t="shared" si="331"/>
        <v>0.23</v>
      </c>
      <c r="H915" s="1410">
        <f t="shared" si="332"/>
        <v>0.05</v>
      </c>
      <c r="I915" s="1471">
        <f t="shared" si="333"/>
        <v>6.2560000000000004E-2</v>
      </c>
      <c r="M915" s="110"/>
      <c r="Q915" s="1394">
        <f>IFERROR(VLOOKUP(M915,#REF!,3,0),0)</f>
        <v>0</v>
      </c>
      <c r="R915" s="1394">
        <f t="shared" si="325"/>
        <v>0</v>
      </c>
      <c r="S915" s="1394">
        <f>IFERROR(VLOOKUP(M915,#REF!,6,0),0)</f>
        <v>0</v>
      </c>
      <c r="T915" s="1394">
        <f t="shared" si="326"/>
        <v>0</v>
      </c>
      <c r="U915" s="1394">
        <f>IFERROR(VLOOKUP(M915,#REF!,5,0),0)</f>
        <v>0</v>
      </c>
      <c r="V915" s="1394">
        <f t="shared" si="327"/>
        <v>0</v>
      </c>
      <c r="W915" s="1394"/>
    </row>
    <row r="916" spans="2:23" ht="30" customHeight="1">
      <c r="B916" s="1407"/>
      <c r="C916" s="1408"/>
      <c r="D916" s="1409"/>
      <c r="E916" s="1409"/>
      <c r="F916" s="1410"/>
      <c r="G916" s="1410"/>
      <c r="H916" s="1411"/>
      <c r="I916" s="1425">
        <f>PRODUCT(D916:H916)</f>
        <v>0</v>
      </c>
      <c r="M916" s="110"/>
      <c r="Q916" s="1394">
        <f>IFERROR(VLOOKUP(M916,#REF!,3,0),0)</f>
        <v>0</v>
      </c>
      <c r="R916" s="1394">
        <f t="shared" si="325"/>
        <v>0</v>
      </c>
      <c r="S916" s="1394">
        <f>IFERROR(VLOOKUP(M916,#REF!,6,0),0)</f>
        <v>0</v>
      </c>
      <c r="T916" s="1394">
        <f t="shared" si="326"/>
        <v>0</v>
      </c>
      <c r="U916" s="1394">
        <f>IFERROR(VLOOKUP(M916,#REF!,5,0),0)</f>
        <v>0</v>
      </c>
      <c r="V916" s="1394">
        <f t="shared" si="327"/>
        <v>0</v>
      </c>
      <c r="W916" s="1394"/>
    </row>
    <row r="917" spans="2:23" ht="30" customHeight="1">
      <c r="B917" s="1407"/>
      <c r="C917" s="1415" t="s">
        <v>304</v>
      </c>
      <c r="D917" s="1409"/>
      <c r="E917" s="1409"/>
      <c r="F917" s="1410"/>
      <c r="G917" s="1410"/>
      <c r="H917" s="1411"/>
      <c r="I917" s="1425"/>
      <c r="M917" s="110"/>
      <c r="Q917" s="1394">
        <f>IFERROR(VLOOKUP(M917,#REF!,3,0),0)</f>
        <v>0</v>
      </c>
      <c r="R917" s="1394">
        <f t="shared" si="325"/>
        <v>0</v>
      </c>
      <c r="S917" s="1394">
        <f>IFERROR(VLOOKUP(M917,#REF!,6,0),0)</f>
        <v>0</v>
      </c>
      <c r="T917" s="1394">
        <f t="shared" si="326"/>
        <v>0</v>
      </c>
      <c r="U917" s="1394">
        <f>IFERROR(VLOOKUP(M917,#REF!,5,0),0)</f>
        <v>0</v>
      </c>
      <c r="V917" s="1394">
        <f t="shared" si="327"/>
        <v>0</v>
      </c>
      <c r="W917" s="1394"/>
    </row>
    <row r="918" spans="2:23" ht="30" customHeight="1">
      <c r="B918" s="1405"/>
      <c r="C918" s="1408" t="str">
        <f t="shared" ref="C918:G923" si="334">C1405</f>
        <v>Main wall all alround</v>
      </c>
      <c r="D918" s="1409">
        <f t="shared" si="334"/>
        <v>1</v>
      </c>
      <c r="E918" s="1409">
        <f t="shared" si="334"/>
        <v>1</v>
      </c>
      <c r="F918" s="1410">
        <f t="shared" si="334"/>
        <v>86.29</v>
      </c>
      <c r="G918" s="1410">
        <f t="shared" si="334"/>
        <v>0.23</v>
      </c>
      <c r="H918" s="1411">
        <v>0.15</v>
      </c>
      <c r="I918" s="1425">
        <f t="shared" ref="I918" si="335">PRODUCT(D918:H918)</f>
        <v>2.9770050000000001</v>
      </c>
      <c r="M918" s="110"/>
      <c r="Q918" s="1394">
        <f>IFERROR(VLOOKUP(M918,#REF!,3,0),0)</f>
        <v>0</v>
      </c>
      <c r="R918" s="1394">
        <f t="shared" si="325"/>
        <v>0</v>
      </c>
      <c r="S918" s="1394">
        <f>IFERROR(VLOOKUP(M918,#REF!,6,0),0)</f>
        <v>0</v>
      </c>
      <c r="T918" s="1394">
        <f t="shared" si="326"/>
        <v>0</v>
      </c>
      <c r="U918" s="1394">
        <f>IFERROR(VLOOKUP(M918,#REF!,5,0),0)</f>
        <v>0</v>
      </c>
      <c r="V918" s="1394">
        <f t="shared" si="327"/>
        <v>0</v>
      </c>
      <c r="W918" s="1394"/>
    </row>
    <row r="919" spans="2:23" ht="30" customHeight="1">
      <c r="B919" s="1407"/>
      <c r="C919" s="1408" t="str">
        <f t="shared" si="334"/>
        <v>Lift Front Wall</v>
      </c>
      <c r="D919" s="1409">
        <f t="shared" si="334"/>
        <v>1</v>
      </c>
      <c r="E919" s="1409">
        <f t="shared" si="334"/>
        <v>1</v>
      </c>
      <c r="F919" s="1410">
        <f t="shared" si="334"/>
        <v>2.5350000000000001</v>
      </c>
      <c r="G919" s="1410">
        <f t="shared" si="334"/>
        <v>0.23</v>
      </c>
      <c r="H919" s="1411">
        <f>$H$918</f>
        <v>0.15</v>
      </c>
      <c r="I919" s="1425">
        <f t="shared" ref="I919:I944" si="336">PRODUCT(D919:H919)</f>
        <v>8.7457500000000007E-2</v>
      </c>
      <c r="M919" s="110"/>
      <c r="Q919" s="1394">
        <f>IFERROR(VLOOKUP(M919,#REF!,3,0),0)</f>
        <v>0</v>
      </c>
      <c r="R919" s="1394">
        <f t="shared" si="325"/>
        <v>0</v>
      </c>
      <c r="S919" s="1394">
        <f>IFERROR(VLOOKUP(M919,#REF!,6,0),0)</f>
        <v>0</v>
      </c>
      <c r="T919" s="1394">
        <f t="shared" si="326"/>
        <v>0</v>
      </c>
      <c r="U919" s="1394">
        <f>IFERROR(VLOOKUP(M919,#REF!,5,0),0)</f>
        <v>0</v>
      </c>
      <c r="V919" s="1394">
        <f t="shared" si="327"/>
        <v>0</v>
      </c>
      <c r="W919" s="1394"/>
    </row>
    <row r="920" spans="2:23" ht="30" customHeight="1">
      <c r="B920" s="1407"/>
      <c r="C920" s="1408" t="str">
        <f t="shared" si="334"/>
        <v>Lift Side Wall</v>
      </c>
      <c r="D920" s="1409">
        <f t="shared" si="334"/>
        <v>1</v>
      </c>
      <c r="E920" s="1409">
        <f t="shared" si="334"/>
        <v>1</v>
      </c>
      <c r="F920" s="1410">
        <f t="shared" si="334"/>
        <v>2.33</v>
      </c>
      <c r="G920" s="1410">
        <f t="shared" si="334"/>
        <v>0.23</v>
      </c>
      <c r="H920" s="1411">
        <f>$H$918</f>
        <v>0.15</v>
      </c>
      <c r="I920" s="1425">
        <f t="shared" si="336"/>
        <v>8.0384999999999998E-2</v>
      </c>
      <c r="M920" s="110"/>
      <c r="Q920" s="1394">
        <f>IFERROR(VLOOKUP(M920,#REF!,3,0),0)</f>
        <v>0</v>
      </c>
      <c r="R920" s="1394">
        <f t="shared" si="325"/>
        <v>0</v>
      </c>
      <c r="S920" s="1394">
        <f>IFERROR(VLOOKUP(M920,#REF!,6,0),0)</f>
        <v>0</v>
      </c>
      <c r="T920" s="1394">
        <f t="shared" si="326"/>
        <v>0</v>
      </c>
      <c r="U920" s="1394">
        <f>IFERROR(VLOOKUP(M920,#REF!,5,0),0)</f>
        <v>0</v>
      </c>
      <c r="V920" s="1394">
        <f t="shared" si="327"/>
        <v>0</v>
      </c>
      <c r="W920" s="1394"/>
    </row>
    <row r="921" spans="2:23" ht="30" customHeight="1">
      <c r="B921" s="1407"/>
      <c r="C921" s="1408" t="str">
        <f t="shared" si="334"/>
        <v>Cross wall between Stair case lobby / Hall</v>
      </c>
      <c r="D921" s="1409">
        <f t="shared" si="334"/>
        <v>1</v>
      </c>
      <c r="E921" s="1409">
        <f t="shared" si="334"/>
        <v>1</v>
      </c>
      <c r="F921" s="1410">
        <f t="shared" si="334"/>
        <v>7.1150000000000002</v>
      </c>
      <c r="G921" s="1410">
        <f t="shared" si="334"/>
        <v>0.23</v>
      </c>
      <c r="H921" s="1411">
        <f>$H$918</f>
        <v>0.15</v>
      </c>
      <c r="I921" s="1425">
        <f t="shared" si="336"/>
        <v>0.24546750000000001</v>
      </c>
      <c r="M921" s="110"/>
      <c r="Q921" s="1394">
        <f>IFERROR(VLOOKUP(M921,#REF!,3,0),0)</f>
        <v>0</v>
      </c>
      <c r="R921" s="1394">
        <f t="shared" si="325"/>
        <v>0</v>
      </c>
      <c r="S921" s="1394">
        <f>IFERROR(VLOOKUP(M921,#REF!,6,0),0)</f>
        <v>0</v>
      </c>
      <c r="T921" s="1394">
        <f t="shared" si="326"/>
        <v>0</v>
      </c>
      <c r="U921" s="1394">
        <f>IFERROR(VLOOKUP(M921,#REF!,5,0),0)</f>
        <v>0</v>
      </c>
      <c r="V921" s="1394">
        <f t="shared" si="327"/>
        <v>0</v>
      </c>
      <c r="W921" s="1394"/>
    </row>
    <row r="922" spans="2:23" ht="30" customHeight="1">
      <c r="B922" s="1407"/>
      <c r="C922" s="1408" t="str">
        <f t="shared" si="334"/>
        <v>Women Rest Room</v>
      </c>
      <c r="D922" s="1409">
        <f t="shared" si="334"/>
        <v>0</v>
      </c>
      <c r="E922" s="1409">
        <f t="shared" si="334"/>
        <v>0</v>
      </c>
      <c r="F922" s="1410">
        <f t="shared" si="334"/>
        <v>0</v>
      </c>
      <c r="G922" s="1410">
        <f t="shared" si="334"/>
        <v>0</v>
      </c>
      <c r="H922" s="1411"/>
      <c r="I922" s="1425">
        <f t="shared" si="336"/>
        <v>0</v>
      </c>
      <c r="M922" s="110"/>
      <c r="Q922" s="1394">
        <f>IFERROR(VLOOKUP(M922,#REF!,3,0),0)</f>
        <v>0</v>
      </c>
      <c r="R922" s="1394">
        <f t="shared" si="325"/>
        <v>0</v>
      </c>
      <c r="S922" s="1394">
        <f>IFERROR(VLOOKUP(M922,#REF!,6,0),0)</f>
        <v>0</v>
      </c>
      <c r="T922" s="1394">
        <f t="shared" si="326"/>
        <v>0</v>
      </c>
      <c r="U922" s="1394">
        <f>IFERROR(VLOOKUP(M922,#REF!,5,0),0)</f>
        <v>0</v>
      </c>
      <c r="V922" s="1394">
        <f t="shared" si="327"/>
        <v>0</v>
      </c>
      <c r="W922" s="1394"/>
    </row>
    <row r="923" spans="2:23" ht="30" customHeight="1">
      <c r="B923" s="1407"/>
      <c r="C923" s="1408" t="str">
        <f t="shared" si="334"/>
        <v>Cross wall between Women Rest Room  / Toilet /Hall</v>
      </c>
      <c r="D923" s="1409">
        <f t="shared" si="334"/>
        <v>1</v>
      </c>
      <c r="E923" s="1409">
        <f t="shared" si="334"/>
        <v>1</v>
      </c>
      <c r="F923" s="1410">
        <f t="shared" si="334"/>
        <v>4</v>
      </c>
      <c r="G923" s="1410">
        <f t="shared" si="334"/>
        <v>0.23</v>
      </c>
      <c r="H923" s="1411">
        <f>$H$918</f>
        <v>0.15</v>
      </c>
      <c r="I923" s="1425">
        <f t="shared" si="336"/>
        <v>0.13800000000000001</v>
      </c>
      <c r="M923" s="110"/>
      <c r="Q923" s="1394">
        <f>IFERROR(VLOOKUP(M923,#REF!,3,0),0)</f>
        <v>0</v>
      </c>
      <c r="R923" s="1394">
        <f t="shared" si="325"/>
        <v>0</v>
      </c>
      <c r="S923" s="1394">
        <f>IFERROR(VLOOKUP(M923,#REF!,6,0),0)</f>
        <v>0</v>
      </c>
      <c r="T923" s="1394">
        <f t="shared" si="326"/>
        <v>0</v>
      </c>
      <c r="U923" s="1394">
        <f>IFERROR(VLOOKUP(M923,#REF!,5,0),0)</f>
        <v>0</v>
      </c>
      <c r="V923" s="1394">
        <f t="shared" si="327"/>
        <v>0</v>
      </c>
      <c r="W923" s="1394"/>
    </row>
    <row r="924" spans="2:23" ht="30" customHeight="1">
      <c r="B924" s="1407"/>
      <c r="C924" s="1408" t="str">
        <f t="shared" ref="C924:G931" si="337">C1412</f>
        <v>Piller</v>
      </c>
      <c r="D924" s="1409">
        <f t="shared" si="337"/>
        <v>1</v>
      </c>
      <c r="E924" s="1409">
        <f t="shared" si="337"/>
        <v>1</v>
      </c>
      <c r="F924" s="1410">
        <f t="shared" si="337"/>
        <v>0.23</v>
      </c>
      <c r="G924" s="1410">
        <f t="shared" si="337"/>
        <v>0.23</v>
      </c>
      <c r="H924" s="1411">
        <f>$H$918</f>
        <v>0.15</v>
      </c>
      <c r="I924" s="1425">
        <f t="shared" si="336"/>
        <v>7.9349999999999993E-3</v>
      </c>
      <c r="M924" s="110"/>
      <c r="Q924" s="1394">
        <f>IFERROR(VLOOKUP(M924,#REF!,3,0),0)</f>
        <v>0</v>
      </c>
      <c r="R924" s="1394">
        <f t="shared" si="325"/>
        <v>0</v>
      </c>
      <c r="S924" s="1394">
        <f>IFERROR(VLOOKUP(M924,#REF!,6,0),0)</f>
        <v>0</v>
      </c>
      <c r="T924" s="1394">
        <f t="shared" si="326"/>
        <v>0</v>
      </c>
      <c r="U924" s="1394">
        <f>IFERROR(VLOOKUP(M924,#REF!,5,0),0)</f>
        <v>0</v>
      </c>
      <c r="V924" s="1394">
        <f t="shared" si="327"/>
        <v>0</v>
      </c>
      <c r="W924" s="1394"/>
    </row>
    <row r="925" spans="2:23" ht="30" customHeight="1">
      <c r="B925" s="1407"/>
      <c r="C925" s="1408" t="str">
        <f t="shared" si="337"/>
        <v>Cross wall between Women Rest Room  / Lift Stair</v>
      </c>
      <c r="D925" s="1409">
        <f t="shared" si="337"/>
        <v>1</v>
      </c>
      <c r="E925" s="1409">
        <f t="shared" si="337"/>
        <v>1</v>
      </c>
      <c r="F925" s="1410">
        <f t="shared" si="337"/>
        <v>5.53</v>
      </c>
      <c r="G925" s="1410">
        <f t="shared" si="337"/>
        <v>0.23</v>
      </c>
      <c r="H925" s="1411">
        <f>$H$918</f>
        <v>0.15</v>
      </c>
      <c r="I925" s="1425">
        <f t="shared" si="336"/>
        <v>0.19078500000000001</v>
      </c>
      <c r="M925" s="110"/>
      <c r="Q925" s="1394">
        <f>IFERROR(VLOOKUP(M925,#REF!,3,0),0)</f>
        <v>0</v>
      </c>
      <c r="R925" s="1394">
        <f t="shared" si="325"/>
        <v>0</v>
      </c>
      <c r="S925" s="1394">
        <f>IFERROR(VLOOKUP(M925,#REF!,6,0),0)</f>
        <v>0</v>
      </c>
      <c r="T925" s="1394">
        <f t="shared" si="326"/>
        <v>0</v>
      </c>
      <c r="U925" s="1394">
        <f>IFERROR(VLOOKUP(M925,#REF!,5,0),0)</f>
        <v>0</v>
      </c>
      <c r="V925" s="1394">
        <f t="shared" si="327"/>
        <v>0</v>
      </c>
      <c r="W925" s="1394"/>
    </row>
    <row r="926" spans="2:23" ht="30" customHeight="1">
      <c r="B926" s="1407"/>
      <c r="C926" s="1408" t="str">
        <f t="shared" si="337"/>
        <v>Writer</v>
      </c>
      <c r="D926" s="1409">
        <f t="shared" si="337"/>
        <v>0</v>
      </c>
      <c r="E926" s="1409">
        <f t="shared" si="337"/>
        <v>0</v>
      </c>
      <c r="F926" s="1410">
        <f t="shared" si="337"/>
        <v>0</v>
      </c>
      <c r="G926" s="1410">
        <f t="shared" si="337"/>
        <v>0</v>
      </c>
      <c r="H926" s="1411"/>
      <c r="I926" s="1425">
        <f t="shared" si="336"/>
        <v>0</v>
      </c>
      <c r="M926" s="110"/>
      <c r="Q926" s="1394">
        <f>IFERROR(VLOOKUP(M926,#REF!,3,0),0)</f>
        <v>0</v>
      </c>
      <c r="R926" s="1394">
        <f t="shared" si="325"/>
        <v>0</v>
      </c>
      <c r="S926" s="1394">
        <f>IFERROR(VLOOKUP(M926,#REF!,6,0),0)</f>
        <v>0</v>
      </c>
      <c r="T926" s="1394">
        <f t="shared" si="326"/>
        <v>0</v>
      </c>
      <c r="U926" s="1394">
        <f>IFERROR(VLOOKUP(M926,#REF!,5,0),0)</f>
        <v>0</v>
      </c>
      <c r="V926" s="1394">
        <f t="shared" si="327"/>
        <v>0</v>
      </c>
      <c r="W926" s="1394"/>
    </row>
    <row r="927" spans="2:23" ht="30" customHeight="1">
      <c r="B927" s="1407"/>
      <c r="C927" s="1408" t="str">
        <f t="shared" si="337"/>
        <v>Cross wall between  Writer / Stair case lobby</v>
      </c>
      <c r="D927" s="1409">
        <f t="shared" si="337"/>
        <v>1</v>
      </c>
      <c r="E927" s="1409">
        <f t="shared" si="337"/>
        <v>1</v>
      </c>
      <c r="F927" s="1410">
        <f t="shared" si="337"/>
        <v>5.53</v>
      </c>
      <c r="G927" s="1410">
        <f t="shared" si="337"/>
        <v>0.23</v>
      </c>
      <c r="H927" s="1411">
        <f>$H$918</f>
        <v>0.15</v>
      </c>
      <c r="I927" s="1425">
        <f t="shared" si="336"/>
        <v>0.19078500000000001</v>
      </c>
      <c r="M927" s="110"/>
      <c r="Q927" s="1394">
        <f>IFERROR(VLOOKUP(M927,#REF!,3,0),0)</f>
        <v>0</v>
      </c>
      <c r="R927" s="1394">
        <f t="shared" si="325"/>
        <v>0</v>
      </c>
      <c r="S927" s="1394">
        <f>IFERROR(VLOOKUP(M927,#REF!,6,0),0)</f>
        <v>0</v>
      </c>
      <c r="T927" s="1394">
        <f t="shared" si="326"/>
        <v>0</v>
      </c>
      <c r="U927" s="1394">
        <f>IFERROR(VLOOKUP(M927,#REF!,5,0),0)</f>
        <v>0</v>
      </c>
      <c r="V927" s="1394">
        <f t="shared" si="327"/>
        <v>0</v>
      </c>
      <c r="W927" s="1394"/>
    </row>
    <row r="928" spans="2:23" ht="30" customHeight="1">
      <c r="B928" s="1407"/>
      <c r="C928" s="1408" t="str">
        <f t="shared" si="337"/>
        <v>Cross wall between  Writer / Hall</v>
      </c>
      <c r="D928" s="1409">
        <f t="shared" si="337"/>
        <v>1</v>
      </c>
      <c r="E928" s="1409">
        <f t="shared" si="337"/>
        <v>1</v>
      </c>
      <c r="F928" s="1410">
        <f t="shared" si="337"/>
        <v>3.4550000000000001</v>
      </c>
      <c r="G928" s="1410">
        <f t="shared" si="337"/>
        <v>0.23</v>
      </c>
      <c r="H928" s="1411">
        <f>$H$918</f>
        <v>0.15</v>
      </c>
      <c r="I928" s="1425">
        <f t="shared" si="336"/>
        <v>0.11919750000000001</v>
      </c>
      <c r="M928" s="110"/>
      <c r="Q928" s="1394">
        <f>IFERROR(VLOOKUP(M928,#REF!,3,0),0)</f>
        <v>0</v>
      </c>
      <c r="R928" s="1394">
        <f t="shared" si="325"/>
        <v>0</v>
      </c>
      <c r="S928" s="1394">
        <f>IFERROR(VLOOKUP(M928,#REF!,6,0),0)</f>
        <v>0</v>
      </c>
      <c r="T928" s="1394">
        <f t="shared" si="326"/>
        <v>0</v>
      </c>
      <c r="U928" s="1394">
        <f>IFERROR(VLOOKUP(M928,#REF!,5,0),0)</f>
        <v>0</v>
      </c>
      <c r="V928" s="1394">
        <f t="shared" si="327"/>
        <v>0</v>
      </c>
      <c r="W928" s="1394"/>
    </row>
    <row r="929" spans="2:23" ht="30" customHeight="1">
      <c r="B929" s="1407"/>
      <c r="C929" s="1408" t="str">
        <f t="shared" si="337"/>
        <v>C/B Piller</v>
      </c>
      <c r="D929" s="1409">
        <f t="shared" si="337"/>
        <v>1</v>
      </c>
      <c r="E929" s="1409">
        <f t="shared" si="337"/>
        <v>1</v>
      </c>
      <c r="F929" s="1410">
        <f t="shared" si="337"/>
        <v>0.71499999999999997</v>
      </c>
      <c r="G929" s="1410">
        <f t="shared" si="337"/>
        <v>0.23</v>
      </c>
      <c r="H929" s="1411">
        <f>$H$918</f>
        <v>0.15</v>
      </c>
      <c r="I929" s="1425">
        <f t="shared" si="336"/>
        <v>2.4667500000000002E-2</v>
      </c>
      <c r="M929" s="110"/>
      <c r="Q929" s="1394">
        <f>IFERROR(VLOOKUP(M929,#REF!,3,0),0)</f>
        <v>0</v>
      </c>
      <c r="R929" s="1394">
        <f t="shared" si="325"/>
        <v>0</v>
      </c>
      <c r="S929" s="1394">
        <f>IFERROR(VLOOKUP(M929,#REF!,6,0),0)</f>
        <v>0</v>
      </c>
      <c r="T929" s="1394">
        <f t="shared" si="326"/>
        <v>0</v>
      </c>
      <c r="U929" s="1394">
        <f>IFERROR(VLOOKUP(M929,#REF!,5,0),0)</f>
        <v>0</v>
      </c>
      <c r="V929" s="1394">
        <f t="shared" si="327"/>
        <v>0</v>
      </c>
      <c r="W929" s="1394"/>
    </row>
    <row r="930" spans="2:23" ht="30" customHeight="1">
      <c r="B930" s="1407"/>
      <c r="C930" s="1408" t="str">
        <f t="shared" si="337"/>
        <v>Ins crime</v>
      </c>
      <c r="D930" s="1409">
        <f t="shared" si="337"/>
        <v>0</v>
      </c>
      <c r="E930" s="1409">
        <f t="shared" si="337"/>
        <v>0</v>
      </c>
      <c r="F930" s="1410">
        <f t="shared" si="337"/>
        <v>0</v>
      </c>
      <c r="G930" s="1410">
        <f t="shared" si="337"/>
        <v>0</v>
      </c>
      <c r="H930" s="1411"/>
      <c r="I930" s="1425">
        <f t="shared" si="336"/>
        <v>0</v>
      </c>
      <c r="M930" s="110"/>
      <c r="Q930" s="1394">
        <f>IFERROR(VLOOKUP(M930,#REF!,3,0),0)</f>
        <v>0</v>
      </c>
      <c r="R930" s="1394">
        <f t="shared" si="325"/>
        <v>0</v>
      </c>
      <c r="S930" s="1394">
        <f>IFERROR(VLOOKUP(M930,#REF!,6,0),0)</f>
        <v>0</v>
      </c>
      <c r="T930" s="1394">
        <f t="shared" si="326"/>
        <v>0</v>
      </c>
      <c r="U930" s="1394">
        <f>IFERROR(VLOOKUP(M930,#REF!,5,0),0)</f>
        <v>0</v>
      </c>
      <c r="V930" s="1394">
        <f t="shared" si="327"/>
        <v>0</v>
      </c>
      <c r="W930" s="1394"/>
    </row>
    <row r="931" spans="2:23" ht="30" customHeight="1">
      <c r="B931" s="1407"/>
      <c r="C931" s="1408" t="str">
        <f t="shared" si="337"/>
        <v>Cross wall between  Ins crime / Hall , Toilet</v>
      </c>
      <c r="D931" s="1409">
        <f t="shared" si="337"/>
        <v>1</v>
      </c>
      <c r="E931" s="1409">
        <f t="shared" si="337"/>
        <v>1</v>
      </c>
      <c r="F931" s="1410">
        <f t="shared" si="337"/>
        <v>4</v>
      </c>
      <c r="G931" s="1410">
        <f t="shared" si="337"/>
        <v>0.23</v>
      </c>
      <c r="H931" s="1411">
        <f>$H$918</f>
        <v>0.15</v>
      </c>
      <c r="I931" s="1425">
        <f t="shared" si="336"/>
        <v>0.13800000000000001</v>
      </c>
      <c r="M931" s="110"/>
      <c r="Q931" s="1394">
        <f>IFERROR(VLOOKUP(M931,#REF!,3,0),0)</f>
        <v>0</v>
      </c>
      <c r="R931" s="1394">
        <f t="shared" si="325"/>
        <v>0</v>
      </c>
      <c r="S931" s="1394">
        <f>IFERROR(VLOOKUP(M931,#REF!,6,0),0)</f>
        <v>0</v>
      </c>
      <c r="T931" s="1394">
        <f t="shared" si="326"/>
        <v>0</v>
      </c>
      <c r="U931" s="1394">
        <f>IFERROR(VLOOKUP(M931,#REF!,5,0),0)</f>
        <v>0</v>
      </c>
      <c r="V931" s="1394">
        <f t="shared" si="327"/>
        <v>0</v>
      </c>
      <c r="W931" s="1394"/>
    </row>
    <row r="932" spans="2:23" ht="30" customHeight="1">
      <c r="B932" s="1407"/>
      <c r="C932" s="1408" t="str">
        <f t="shared" ref="C932:G935" si="338">C1421</f>
        <v>Cross wall between  Ins crime  / Hall , Toilet Piller</v>
      </c>
      <c r="D932" s="1409">
        <f t="shared" si="338"/>
        <v>1</v>
      </c>
      <c r="E932" s="1409">
        <f t="shared" si="338"/>
        <v>1</v>
      </c>
      <c r="F932" s="1410">
        <f t="shared" si="338"/>
        <v>0.43</v>
      </c>
      <c r="G932" s="1410">
        <f t="shared" si="338"/>
        <v>0.23</v>
      </c>
      <c r="H932" s="1411">
        <f>$H$918</f>
        <v>0.15</v>
      </c>
      <c r="I932" s="1425">
        <f t="shared" si="336"/>
        <v>1.4834999999999999E-2</v>
      </c>
      <c r="M932" s="110"/>
      <c r="Q932" s="1394">
        <f>IFERROR(VLOOKUP(M932,#REF!,3,0),0)</f>
        <v>0</v>
      </c>
      <c r="R932" s="1394">
        <f t="shared" si="325"/>
        <v>0</v>
      </c>
      <c r="S932" s="1394">
        <f>IFERROR(VLOOKUP(M932,#REF!,6,0),0)</f>
        <v>0</v>
      </c>
      <c r="T932" s="1394">
        <f t="shared" si="326"/>
        <v>0</v>
      </c>
      <c r="U932" s="1394">
        <f>IFERROR(VLOOKUP(M932,#REF!,5,0),0)</f>
        <v>0</v>
      </c>
      <c r="V932" s="1394">
        <f t="shared" si="327"/>
        <v>0</v>
      </c>
      <c r="W932" s="1394"/>
    </row>
    <row r="933" spans="2:23" ht="30" customHeight="1">
      <c r="B933" s="1407"/>
      <c r="C933" s="1408" t="str">
        <f t="shared" si="338"/>
        <v>Lock up women</v>
      </c>
      <c r="D933" s="1409">
        <f t="shared" si="338"/>
        <v>0</v>
      </c>
      <c r="E933" s="1409">
        <f t="shared" si="338"/>
        <v>0</v>
      </c>
      <c r="F933" s="1410">
        <f t="shared" si="338"/>
        <v>0</v>
      </c>
      <c r="G933" s="1410">
        <f t="shared" si="338"/>
        <v>0</v>
      </c>
      <c r="H933" s="1411"/>
      <c r="I933" s="1425">
        <f t="shared" si="336"/>
        <v>0</v>
      </c>
      <c r="M933" s="110"/>
      <c r="Q933" s="1394">
        <f>IFERROR(VLOOKUP(M933,#REF!,3,0),0)</f>
        <v>0</v>
      </c>
      <c r="R933" s="1394">
        <f t="shared" si="325"/>
        <v>0</v>
      </c>
      <c r="S933" s="1394">
        <f>IFERROR(VLOOKUP(M933,#REF!,6,0),0)</f>
        <v>0</v>
      </c>
      <c r="T933" s="1394">
        <f t="shared" si="326"/>
        <v>0</v>
      </c>
      <c r="U933" s="1394">
        <f>IFERROR(VLOOKUP(M933,#REF!,5,0),0)</f>
        <v>0</v>
      </c>
      <c r="V933" s="1394">
        <f t="shared" si="327"/>
        <v>0</v>
      </c>
      <c r="W933" s="1394"/>
    </row>
    <row r="934" spans="2:23" ht="30" customHeight="1">
      <c r="B934" s="1407"/>
      <c r="C934" s="1408" t="str">
        <f t="shared" si="338"/>
        <v>Cross wall between Lock up women / Hall</v>
      </c>
      <c r="D934" s="1409">
        <f t="shared" si="338"/>
        <v>1</v>
      </c>
      <c r="E934" s="1409">
        <f t="shared" si="338"/>
        <v>1</v>
      </c>
      <c r="F934" s="1410">
        <f t="shared" si="338"/>
        <v>2.73</v>
      </c>
      <c r="G934" s="1410">
        <f t="shared" si="338"/>
        <v>0.23</v>
      </c>
      <c r="H934" s="1411">
        <f>$H$918</f>
        <v>0.15</v>
      </c>
      <c r="I934" s="1425">
        <f t="shared" si="336"/>
        <v>9.4185000000000005E-2</v>
      </c>
      <c r="M934" s="110"/>
      <c r="Q934" s="1394">
        <f>IFERROR(VLOOKUP(M934,#REF!,3,0),0)</f>
        <v>0</v>
      </c>
      <c r="R934" s="1394">
        <f t="shared" si="325"/>
        <v>0</v>
      </c>
      <c r="S934" s="1394">
        <f>IFERROR(VLOOKUP(M934,#REF!,6,0),0)</f>
        <v>0</v>
      </c>
      <c r="T934" s="1394">
        <f t="shared" si="326"/>
        <v>0</v>
      </c>
      <c r="U934" s="1394">
        <f>IFERROR(VLOOKUP(M934,#REF!,5,0),0)</f>
        <v>0</v>
      </c>
      <c r="V934" s="1394">
        <f t="shared" si="327"/>
        <v>0</v>
      </c>
      <c r="W934" s="1394"/>
    </row>
    <row r="935" spans="2:23" ht="30" customHeight="1">
      <c r="B935" s="1407"/>
      <c r="C935" s="1408" t="str">
        <f t="shared" si="338"/>
        <v>Cross wall between Lock up women / Compute room</v>
      </c>
      <c r="D935" s="1409">
        <f t="shared" si="338"/>
        <v>1</v>
      </c>
      <c r="E935" s="1409">
        <f t="shared" si="338"/>
        <v>1</v>
      </c>
      <c r="F935" s="1410">
        <f t="shared" si="338"/>
        <v>5.8449999999999998</v>
      </c>
      <c r="G935" s="1410">
        <f t="shared" si="338"/>
        <v>0.23</v>
      </c>
      <c r="H935" s="1411">
        <f>$H$918</f>
        <v>0.15</v>
      </c>
      <c r="I935" s="1425">
        <f t="shared" si="336"/>
        <v>0.20165249999999998</v>
      </c>
      <c r="M935" s="110"/>
      <c r="Q935" s="1394">
        <f>IFERROR(VLOOKUP(M935,#REF!,3,0),0)</f>
        <v>0</v>
      </c>
      <c r="R935" s="1394">
        <f t="shared" si="325"/>
        <v>0</v>
      </c>
      <c r="S935" s="1394">
        <f>IFERROR(VLOOKUP(M935,#REF!,6,0),0)</f>
        <v>0</v>
      </c>
      <c r="T935" s="1394">
        <f t="shared" si="326"/>
        <v>0</v>
      </c>
      <c r="U935" s="1394">
        <f>IFERROR(VLOOKUP(M935,#REF!,5,0),0)</f>
        <v>0</v>
      </c>
      <c r="V935" s="1394">
        <f t="shared" si="327"/>
        <v>0</v>
      </c>
      <c r="W935" s="1394"/>
    </row>
    <row r="936" spans="2:23" ht="30" customHeight="1">
      <c r="B936" s="1407"/>
      <c r="C936" s="1408" t="str">
        <f t="shared" ref="C936:G938" si="339">C1426</f>
        <v>Lock up men</v>
      </c>
      <c r="D936" s="1409">
        <f t="shared" si="339"/>
        <v>0</v>
      </c>
      <c r="E936" s="1409">
        <f t="shared" si="339"/>
        <v>0</v>
      </c>
      <c r="F936" s="1410">
        <f t="shared" si="339"/>
        <v>0</v>
      </c>
      <c r="G936" s="1410">
        <f t="shared" si="339"/>
        <v>0</v>
      </c>
      <c r="H936" s="1411"/>
      <c r="I936" s="1425">
        <f t="shared" si="336"/>
        <v>0</v>
      </c>
      <c r="M936" s="110"/>
      <c r="Q936" s="1394">
        <f>IFERROR(VLOOKUP(M936,#REF!,3,0),0)</f>
        <v>0</v>
      </c>
      <c r="R936" s="1394">
        <f t="shared" si="325"/>
        <v>0</v>
      </c>
      <c r="S936" s="1394">
        <f>IFERROR(VLOOKUP(M936,#REF!,6,0),0)</f>
        <v>0</v>
      </c>
      <c r="T936" s="1394">
        <f t="shared" si="326"/>
        <v>0</v>
      </c>
      <c r="U936" s="1394">
        <f>IFERROR(VLOOKUP(M936,#REF!,5,0),0)</f>
        <v>0</v>
      </c>
      <c r="V936" s="1394">
        <f t="shared" si="327"/>
        <v>0</v>
      </c>
      <c r="W936" s="1394"/>
    </row>
    <row r="937" spans="2:23" ht="30" customHeight="1">
      <c r="B937" s="1407"/>
      <c r="C937" s="1408" t="str">
        <f t="shared" si="339"/>
        <v>Cross wall between Lock up men / Hall</v>
      </c>
      <c r="D937" s="1409">
        <f t="shared" si="339"/>
        <v>1</v>
      </c>
      <c r="E937" s="1409">
        <f t="shared" si="339"/>
        <v>1</v>
      </c>
      <c r="F937" s="1410">
        <f t="shared" si="339"/>
        <v>2.96</v>
      </c>
      <c r="G937" s="1410">
        <f t="shared" si="339"/>
        <v>0.23</v>
      </c>
      <c r="H937" s="1411">
        <f>$H$918</f>
        <v>0.15</v>
      </c>
      <c r="I937" s="1425">
        <f t="shared" si="336"/>
        <v>0.10212</v>
      </c>
      <c r="M937" s="110"/>
      <c r="Q937" s="1394">
        <f>IFERROR(VLOOKUP(M937,#REF!,3,0),0)</f>
        <v>0</v>
      </c>
      <c r="R937" s="1394">
        <f t="shared" si="325"/>
        <v>0</v>
      </c>
      <c r="S937" s="1394">
        <f>IFERROR(VLOOKUP(M937,#REF!,6,0),0)</f>
        <v>0</v>
      </c>
      <c r="T937" s="1394">
        <f t="shared" si="326"/>
        <v>0</v>
      </c>
      <c r="U937" s="1394">
        <f>IFERROR(VLOOKUP(M937,#REF!,5,0),0)</f>
        <v>0</v>
      </c>
      <c r="V937" s="1394">
        <f t="shared" si="327"/>
        <v>0</v>
      </c>
      <c r="W937" s="1394"/>
    </row>
    <row r="938" spans="2:23" ht="30" customHeight="1">
      <c r="B938" s="1407"/>
      <c r="C938" s="1408" t="str">
        <f t="shared" si="339"/>
        <v>Cross wall between Lock up men / Toilet</v>
      </c>
      <c r="D938" s="1409">
        <f t="shared" si="339"/>
        <v>1</v>
      </c>
      <c r="E938" s="1409">
        <f t="shared" si="339"/>
        <v>1</v>
      </c>
      <c r="F938" s="1410">
        <f t="shared" si="339"/>
        <v>5.8449999999999998</v>
      </c>
      <c r="G938" s="1410">
        <f t="shared" si="339"/>
        <v>0.23</v>
      </c>
      <c r="H938" s="1411">
        <f>$H$918</f>
        <v>0.15</v>
      </c>
      <c r="I938" s="1425">
        <f t="shared" si="336"/>
        <v>0.20165249999999998</v>
      </c>
      <c r="M938" s="110"/>
      <c r="Q938" s="1394">
        <f>IFERROR(VLOOKUP(M938,#REF!,3,0),0)</f>
        <v>0</v>
      </c>
      <c r="R938" s="1394">
        <f t="shared" si="325"/>
        <v>0</v>
      </c>
      <c r="S938" s="1394">
        <f>IFERROR(VLOOKUP(M938,#REF!,6,0),0)</f>
        <v>0</v>
      </c>
      <c r="T938" s="1394">
        <f t="shared" si="326"/>
        <v>0</v>
      </c>
      <c r="U938" s="1394">
        <f>IFERROR(VLOOKUP(M938,#REF!,5,0),0)</f>
        <v>0</v>
      </c>
      <c r="V938" s="1394">
        <f t="shared" si="327"/>
        <v>0</v>
      </c>
      <c r="W938" s="1394"/>
    </row>
    <row r="939" spans="2:23" ht="30" customHeight="1">
      <c r="B939" s="1407"/>
      <c r="C939" s="1408" t="str">
        <f t="shared" ref="C939:G944" si="340">C1430</f>
        <v>Compute room</v>
      </c>
      <c r="D939" s="1409">
        <f t="shared" si="340"/>
        <v>0</v>
      </c>
      <c r="E939" s="1409">
        <f t="shared" si="340"/>
        <v>0</v>
      </c>
      <c r="F939" s="1410">
        <f t="shared" si="340"/>
        <v>0</v>
      </c>
      <c r="G939" s="1410">
        <f t="shared" si="340"/>
        <v>0</v>
      </c>
      <c r="H939" s="1411"/>
      <c r="I939" s="1425">
        <f t="shared" si="336"/>
        <v>0</v>
      </c>
      <c r="M939" s="110"/>
      <c r="Q939" s="1394">
        <f>IFERROR(VLOOKUP(M939,#REF!,3,0),0)</f>
        <v>0</v>
      </c>
      <c r="R939" s="1394">
        <f t="shared" si="325"/>
        <v>0</v>
      </c>
      <c r="S939" s="1394">
        <f>IFERROR(VLOOKUP(M939,#REF!,6,0),0)</f>
        <v>0</v>
      </c>
      <c r="T939" s="1394">
        <f t="shared" si="326"/>
        <v>0</v>
      </c>
      <c r="U939" s="1394">
        <f>IFERROR(VLOOKUP(M939,#REF!,5,0),0)</f>
        <v>0</v>
      </c>
      <c r="V939" s="1394">
        <f t="shared" si="327"/>
        <v>0</v>
      </c>
      <c r="W939" s="1394"/>
    </row>
    <row r="940" spans="2:23" ht="30" customHeight="1">
      <c r="B940" s="1407"/>
      <c r="C940" s="1408" t="str">
        <f t="shared" si="340"/>
        <v>Cross wall between Compute room  and Toilet</v>
      </c>
      <c r="D940" s="1409">
        <f t="shared" si="340"/>
        <v>1</v>
      </c>
      <c r="E940" s="1409">
        <f t="shared" si="340"/>
        <v>1</v>
      </c>
      <c r="F940" s="1410">
        <f t="shared" si="340"/>
        <v>1.6850000000000001</v>
      </c>
      <c r="G940" s="1410">
        <f t="shared" si="340"/>
        <v>0.23</v>
      </c>
      <c r="H940" s="1411">
        <f>$H$918</f>
        <v>0.15</v>
      </c>
      <c r="I940" s="1425">
        <f t="shared" si="336"/>
        <v>5.8132499999999997E-2</v>
      </c>
      <c r="M940" s="110"/>
      <c r="Q940" s="1394">
        <f>IFERROR(VLOOKUP(M940,#REF!,3,0),0)</f>
        <v>0</v>
      </c>
      <c r="R940" s="1394">
        <f t="shared" si="325"/>
        <v>0</v>
      </c>
      <c r="S940" s="1394">
        <f>IFERROR(VLOOKUP(M940,#REF!,6,0),0)</f>
        <v>0</v>
      </c>
      <c r="T940" s="1394">
        <f t="shared" si="326"/>
        <v>0</v>
      </c>
      <c r="U940" s="1394">
        <f>IFERROR(VLOOKUP(M940,#REF!,5,0),0)</f>
        <v>0</v>
      </c>
      <c r="V940" s="1394">
        <f t="shared" si="327"/>
        <v>0</v>
      </c>
      <c r="W940" s="1394"/>
    </row>
    <row r="941" spans="2:23" ht="30" customHeight="1">
      <c r="B941" s="1407"/>
      <c r="C941" s="1408" t="str">
        <f t="shared" si="340"/>
        <v>Cross wall between Compute room / SI</v>
      </c>
      <c r="D941" s="1409">
        <f t="shared" si="340"/>
        <v>1</v>
      </c>
      <c r="E941" s="1409">
        <f t="shared" si="340"/>
        <v>1</v>
      </c>
      <c r="F941" s="1410">
        <f t="shared" si="340"/>
        <v>1.2</v>
      </c>
      <c r="G941" s="1410">
        <f t="shared" si="340"/>
        <v>0.23</v>
      </c>
      <c r="H941" s="1411">
        <f>$H$918</f>
        <v>0.15</v>
      </c>
      <c r="I941" s="1425">
        <f t="shared" si="336"/>
        <v>4.1399999999999999E-2</v>
      </c>
      <c r="M941" s="110"/>
      <c r="Q941" s="1394">
        <f>IFERROR(VLOOKUP(M941,#REF!,3,0),0)</f>
        <v>0</v>
      </c>
      <c r="R941" s="1394">
        <f t="shared" si="325"/>
        <v>0</v>
      </c>
      <c r="S941" s="1394">
        <f>IFERROR(VLOOKUP(M941,#REF!,6,0),0)</f>
        <v>0</v>
      </c>
      <c r="T941" s="1394">
        <f t="shared" si="326"/>
        <v>0</v>
      </c>
      <c r="U941" s="1394">
        <f>IFERROR(VLOOKUP(M941,#REF!,5,0),0)</f>
        <v>0</v>
      </c>
      <c r="V941" s="1394">
        <f t="shared" si="327"/>
        <v>0</v>
      </c>
      <c r="W941" s="1394"/>
    </row>
    <row r="942" spans="2:23" ht="30" customHeight="1">
      <c r="B942" s="1407"/>
      <c r="C942" s="1408" t="str">
        <f t="shared" si="340"/>
        <v>SI Room</v>
      </c>
      <c r="D942" s="1409">
        <f t="shared" si="340"/>
        <v>0</v>
      </c>
      <c r="E942" s="1409">
        <f t="shared" si="340"/>
        <v>0</v>
      </c>
      <c r="F942" s="1410">
        <f t="shared" si="340"/>
        <v>0</v>
      </c>
      <c r="G942" s="1410">
        <f t="shared" si="340"/>
        <v>0</v>
      </c>
      <c r="H942" s="1411"/>
      <c r="I942" s="1425">
        <f t="shared" si="336"/>
        <v>0</v>
      </c>
      <c r="M942" s="110"/>
      <c r="Q942" s="1394">
        <f>IFERROR(VLOOKUP(M942,#REF!,3,0),0)</f>
        <v>0</v>
      </c>
      <c r="R942" s="1394">
        <f t="shared" ref="R942:R1005" si="341">ROUND(O942,2)*ROUND(Q942,2)</f>
        <v>0</v>
      </c>
      <c r="S942" s="1394">
        <f>IFERROR(VLOOKUP(M942,#REF!,6,0),0)</f>
        <v>0</v>
      </c>
      <c r="T942" s="1394">
        <f t="shared" ref="T942:T1005" si="342">R942-S942</f>
        <v>0</v>
      </c>
      <c r="U942" s="1394">
        <f>IFERROR(VLOOKUP(M942,#REF!,5,0),0)</f>
        <v>0</v>
      </c>
      <c r="V942" s="1394">
        <f t="shared" ref="V942:V1005" si="343">O942-U942</f>
        <v>0</v>
      </c>
      <c r="W942" s="1394"/>
    </row>
    <row r="943" spans="2:23" ht="30" customHeight="1">
      <c r="B943" s="1407"/>
      <c r="C943" s="1408" t="str">
        <f t="shared" si="340"/>
        <v>Cross wall between SI Room  /Hall</v>
      </c>
      <c r="D943" s="1409">
        <f t="shared" si="340"/>
        <v>1</v>
      </c>
      <c r="E943" s="1409">
        <f t="shared" si="340"/>
        <v>1</v>
      </c>
      <c r="F943" s="1410">
        <f t="shared" si="340"/>
        <v>6.6550000000000002</v>
      </c>
      <c r="G943" s="1410">
        <f t="shared" si="340"/>
        <v>0.23</v>
      </c>
      <c r="H943" s="1411">
        <f>$H$918</f>
        <v>0.15</v>
      </c>
      <c r="I943" s="1425">
        <f t="shared" si="336"/>
        <v>0.22959750000000001</v>
      </c>
      <c r="M943" s="110"/>
      <c r="Q943" s="1394">
        <f>IFERROR(VLOOKUP(M943,#REF!,3,0),0)</f>
        <v>0</v>
      </c>
      <c r="R943" s="1394">
        <f t="shared" si="341"/>
        <v>0</v>
      </c>
      <c r="S943" s="1394">
        <f>IFERROR(VLOOKUP(M943,#REF!,6,0),0)</f>
        <v>0</v>
      </c>
      <c r="T943" s="1394">
        <f t="shared" si="342"/>
        <v>0</v>
      </c>
      <c r="U943" s="1394">
        <f>IFERROR(VLOOKUP(M943,#REF!,5,0),0)</f>
        <v>0</v>
      </c>
      <c r="V943" s="1394">
        <f t="shared" si="343"/>
        <v>0</v>
      </c>
      <c r="W943" s="1394"/>
    </row>
    <row r="944" spans="2:23" ht="30" customHeight="1">
      <c r="B944" s="1407"/>
      <c r="C944" s="1408" t="str">
        <f t="shared" si="340"/>
        <v>Cross wall between SI Room / Record</v>
      </c>
      <c r="D944" s="1409">
        <f t="shared" si="340"/>
        <v>1</v>
      </c>
      <c r="E944" s="1409">
        <f t="shared" si="340"/>
        <v>1</v>
      </c>
      <c r="F944" s="1410">
        <f t="shared" si="340"/>
        <v>4.13</v>
      </c>
      <c r="G944" s="1410">
        <f t="shared" si="340"/>
        <v>0.23</v>
      </c>
      <c r="H944" s="1411">
        <f>$H$918</f>
        <v>0.15</v>
      </c>
      <c r="I944" s="1425">
        <f t="shared" si="336"/>
        <v>0.142485</v>
      </c>
      <c r="M944" s="110"/>
      <c r="Q944" s="1394">
        <f>IFERROR(VLOOKUP(M944,#REF!,3,0),0)</f>
        <v>0</v>
      </c>
      <c r="R944" s="1394">
        <f t="shared" si="341"/>
        <v>0</v>
      </c>
      <c r="S944" s="1394">
        <f>IFERROR(VLOOKUP(M944,#REF!,6,0),0)</f>
        <v>0</v>
      </c>
      <c r="T944" s="1394">
        <f t="shared" si="342"/>
        <v>0</v>
      </c>
      <c r="U944" s="1394">
        <f>IFERROR(VLOOKUP(M944,#REF!,5,0),0)</f>
        <v>0</v>
      </c>
      <c r="V944" s="1394">
        <f t="shared" si="343"/>
        <v>0</v>
      </c>
      <c r="W944" s="1394"/>
    </row>
    <row r="945" spans="2:23" ht="30" customHeight="1">
      <c r="B945" s="1407"/>
      <c r="C945" s="1408" t="str">
        <f t="shared" ref="C945:G946" si="344">C1437</f>
        <v>Interrogationn Room</v>
      </c>
      <c r="D945" s="1409">
        <f t="shared" si="344"/>
        <v>0</v>
      </c>
      <c r="E945" s="1409">
        <f t="shared" si="344"/>
        <v>0</v>
      </c>
      <c r="F945" s="1410">
        <f t="shared" si="344"/>
        <v>0</v>
      </c>
      <c r="G945" s="1410">
        <f t="shared" si="344"/>
        <v>0</v>
      </c>
      <c r="H945" s="1411"/>
      <c r="I945" s="1425">
        <f t="shared" ref="I945:I992" si="345">PRODUCT(D945:H945)</f>
        <v>0</v>
      </c>
      <c r="M945" s="110"/>
      <c r="Q945" s="1394">
        <f>IFERROR(VLOOKUP(M945,#REF!,3,0),0)</f>
        <v>0</v>
      </c>
      <c r="R945" s="1394">
        <f t="shared" si="341"/>
        <v>0</v>
      </c>
      <c r="S945" s="1394">
        <f>IFERROR(VLOOKUP(M945,#REF!,6,0),0)</f>
        <v>0</v>
      </c>
      <c r="T945" s="1394">
        <f t="shared" si="342"/>
        <v>0</v>
      </c>
      <c r="U945" s="1394">
        <f>IFERROR(VLOOKUP(M945,#REF!,5,0),0)</f>
        <v>0</v>
      </c>
      <c r="V945" s="1394">
        <f t="shared" si="343"/>
        <v>0</v>
      </c>
      <c r="W945" s="1394"/>
    </row>
    <row r="946" spans="2:23" ht="30" customHeight="1">
      <c r="B946" s="1407"/>
      <c r="C946" s="1408" t="str">
        <f t="shared" si="344"/>
        <v>Cross wall between  Interrogationn Room / Toilet</v>
      </c>
      <c r="D946" s="1409">
        <f t="shared" si="344"/>
        <v>1</v>
      </c>
      <c r="E946" s="1409">
        <f t="shared" si="344"/>
        <v>1</v>
      </c>
      <c r="F946" s="1410">
        <f t="shared" si="344"/>
        <v>3.88</v>
      </c>
      <c r="G946" s="1410">
        <f t="shared" si="344"/>
        <v>0.23</v>
      </c>
      <c r="H946" s="1411">
        <f>$H$918</f>
        <v>0.15</v>
      </c>
      <c r="I946" s="1425">
        <f t="shared" si="345"/>
        <v>0.13385999999999998</v>
      </c>
      <c r="M946" s="110"/>
      <c r="Q946" s="1394">
        <f>IFERROR(VLOOKUP(M946,#REF!,3,0),0)</f>
        <v>0</v>
      </c>
      <c r="R946" s="1394">
        <f t="shared" si="341"/>
        <v>0</v>
      </c>
      <c r="S946" s="1394">
        <f>IFERROR(VLOOKUP(M946,#REF!,6,0),0)</f>
        <v>0</v>
      </c>
      <c r="T946" s="1394">
        <f t="shared" si="342"/>
        <v>0</v>
      </c>
      <c r="U946" s="1394">
        <f>IFERROR(VLOOKUP(M946,#REF!,5,0),0)</f>
        <v>0</v>
      </c>
      <c r="V946" s="1394">
        <f t="shared" si="343"/>
        <v>0</v>
      </c>
      <c r="W946" s="1394"/>
    </row>
    <row r="947" spans="2:23" ht="30" customHeight="1">
      <c r="B947" s="1407"/>
      <c r="C947" s="1408" t="str">
        <f>C1440</f>
        <v>Elevation Piller</v>
      </c>
      <c r="D947" s="1409">
        <f>D1440</f>
        <v>1</v>
      </c>
      <c r="E947" s="1409">
        <f>E1440</f>
        <v>4</v>
      </c>
      <c r="F947" s="1410">
        <f>F1440</f>
        <v>0.6</v>
      </c>
      <c r="G947" s="1410">
        <f>G1440</f>
        <v>0.23</v>
      </c>
      <c r="H947" s="1411">
        <f>$H$918</f>
        <v>0.15</v>
      </c>
      <c r="I947" s="1425">
        <f t="shared" si="345"/>
        <v>8.2799999999999999E-2</v>
      </c>
      <c r="M947" s="110"/>
      <c r="Q947" s="1394">
        <f>IFERROR(VLOOKUP(M947,#REF!,3,0),0)</f>
        <v>0</v>
      </c>
      <c r="R947" s="1394">
        <f t="shared" si="341"/>
        <v>0</v>
      </c>
      <c r="S947" s="1394">
        <f>IFERROR(VLOOKUP(M947,#REF!,6,0),0)</f>
        <v>0</v>
      </c>
      <c r="T947" s="1394">
        <f t="shared" si="342"/>
        <v>0</v>
      </c>
      <c r="U947" s="1394">
        <f>IFERROR(VLOOKUP(M947,#REF!,5,0),0)</f>
        <v>0</v>
      </c>
      <c r="V947" s="1394">
        <f t="shared" si="343"/>
        <v>0</v>
      </c>
      <c r="W947" s="1394"/>
    </row>
    <row r="948" spans="2:23" ht="30" customHeight="1">
      <c r="B948" s="1407"/>
      <c r="C948" s="1412" t="s">
        <v>314</v>
      </c>
      <c r="D948" s="103">
        <f>D1705</f>
        <v>0</v>
      </c>
      <c r="E948" s="103">
        <f>E1705</f>
        <v>0</v>
      </c>
      <c r="F948" s="1413">
        <f>F1705</f>
        <v>0</v>
      </c>
      <c r="G948" s="1413">
        <f>G1705</f>
        <v>0</v>
      </c>
      <c r="H948" s="1414">
        <f>H1705</f>
        <v>0</v>
      </c>
      <c r="I948" s="1425">
        <f t="shared" si="345"/>
        <v>0</v>
      </c>
      <c r="M948" s="110"/>
      <c r="Q948" s="1394">
        <f>IFERROR(VLOOKUP(M948,#REF!,3,0),0)</f>
        <v>0</v>
      </c>
      <c r="R948" s="1394">
        <f t="shared" si="341"/>
        <v>0</v>
      </c>
      <c r="S948" s="1394">
        <f>IFERROR(VLOOKUP(M948,#REF!,6,0),0)</f>
        <v>0</v>
      </c>
      <c r="T948" s="1394">
        <f t="shared" si="342"/>
        <v>0</v>
      </c>
      <c r="U948" s="1394">
        <f>IFERROR(VLOOKUP(M948,#REF!,5,0),0)</f>
        <v>0</v>
      </c>
      <c r="V948" s="1394">
        <f t="shared" si="343"/>
        <v>0</v>
      </c>
      <c r="W948" s="1394"/>
    </row>
    <row r="949" spans="2:23" ht="30" customHeight="1">
      <c r="B949" s="1407"/>
      <c r="C949" s="1412" t="str">
        <f>C1706</f>
        <v>Women Rest Room</v>
      </c>
      <c r="D949" s="103">
        <f>D1706</f>
        <v>0</v>
      </c>
      <c r="E949" s="103">
        <f>E1706</f>
        <v>0</v>
      </c>
      <c r="F949" s="1413">
        <f>F1706</f>
        <v>0</v>
      </c>
      <c r="G949" s="1413"/>
      <c r="H949" s="1414">
        <f t="shared" ref="H949:H977" si="346">H1706</f>
        <v>0</v>
      </c>
      <c r="I949" s="1425">
        <f t="shared" si="345"/>
        <v>0</v>
      </c>
      <c r="M949" s="110"/>
      <c r="Q949" s="1394">
        <f>IFERROR(VLOOKUP(M949,#REF!,3,0),0)</f>
        <v>0</v>
      </c>
      <c r="R949" s="1394">
        <f t="shared" si="341"/>
        <v>0</v>
      </c>
      <c r="S949" s="1394">
        <f>IFERROR(VLOOKUP(M949,#REF!,6,0),0)</f>
        <v>0</v>
      </c>
      <c r="T949" s="1394">
        <f t="shared" si="342"/>
        <v>0</v>
      </c>
      <c r="U949" s="1394">
        <f>IFERROR(VLOOKUP(M949,#REF!,5,0),0)</f>
        <v>0</v>
      </c>
      <c r="V949" s="1394">
        <f t="shared" si="343"/>
        <v>0</v>
      </c>
      <c r="W949" s="1394"/>
    </row>
    <row r="950" spans="2:23" ht="30" customHeight="1">
      <c r="B950" s="1407"/>
      <c r="C950" s="1455" t="str">
        <f t="shared" ref="C950:C977" si="347">C1707</f>
        <v>C/B Wall</v>
      </c>
      <c r="D950" s="103">
        <f>-D1707</f>
        <v>1</v>
      </c>
      <c r="E950" s="103">
        <f t="shared" ref="E950:F977" si="348">E1707</f>
        <v>1</v>
      </c>
      <c r="F950" s="1413">
        <f t="shared" si="348"/>
        <v>0.6</v>
      </c>
      <c r="G950" s="1413">
        <v>0.115</v>
      </c>
      <c r="H950" s="1414">
        <f t="shared" si="346"/>
        <v>0.1</v>
      </c>
      <c r="I950" s="1425">
        <f t="shared" si="345"/>
        <v>6.9000000000000008E-3</v>
      </c>
      <c r="M950" s="110"/>
      <c r="Q950" s="1394">
        <f>IFERROR(VLOOKUP(M950,#REF!,3,0),0)</f>
        <v>0</v>
      </c>
      <c r="R950" s="1394">
        <f t="shared" si="341"/>
        <v>0</v>
      </c>
      <c r="S950" s="1394">
        <f>IFERROR(VLOOKUP(M950,#REF!,6,0),0)</f>
        <v>0</v>
      </c>
      <c r="T950" s="1394">
        <f t="shared" si="342"/>
        <v>0</v>
      </c>
      <c r="U950" s="1394">
        <f>IFERROR(VLOOKUP(M950,#REF!,5,0),0)</f>
        <v>0</v>
      </c>
      <c r="V950" s="1394">
        <f t="shared" si="343"/>
        <v>0</v>
      </c>
      <c r="W950" s="1394"/>
    </row>
    <row r="951" spans="2:23" ht="30" customHeight="1">
      <c r="B951" s="1407"/>
      <c r="C951" s="1455" t="str">
        <f t="shared" si="347"/>
        <v>Cross wall between Toilet / Passage</v>
      </c>
      <c r="D951" s="103">
        <f t="shared" ref="D951:D977" si="349">-D1708</f>
        <v>1</v>
      </c>
      <c r="E951" s="103">
        <f t="shared" si="348"/>
        <v>1</v>
      </c>
      <c r="F951" s="1413">
        <f t="shared" si="348"/>
        <v>1.5</v>
      </c>
      <c r="G951" s="1413">
        <f t="shared" ref="G951:G977" si="350">$G$950</f>
        <v>0.115</v>
      </c>
      <c r="H951" s="1414">
        <f t="shared" si="346"/>
        <v>0.1</v>
      </c>
      <c r="I951" s="1425">
        <f t="shared" si="345"/>
        <v>1.7250000000000001E-2</v>
      </c>
      <c r="M951" s="110"/>
      <c r="Q951" s="1394">
        <f>IFERROR(VLOOKUP(M951,#REF!,3,0),0)</f>
        <v>0</v>
      </c>
      <c r="R951" s="1394">
        <f t="shared" si="341"/>
        <v>0</v>
      </c>
      <c r="S951" s="1394">
        <f>IFERROR(VLOOKUP(M951,#REF!,6,0),0)</f>
        <v>0</v>
      </c>
      <c r="T951" s="1394">
        <f t="shared" si="342"/>
        <v>0</v>
      </c>
      <c r="U951" s="1394">
        <f>IFERROR(VLOOKUP(M951,#REF!,5,0),0)</f>
        <v>0</v>
      </c>
      <c r="V951" s="1394">
        <f t="shared" si="343"/>
        <v>0</v>
      </c>
      <c r="W951" s="1394"/>
    </row>
    <row r="952" spans="2:23" ht="30" customHeight="1">
      <c r="B952" s="1407"/>
      <c r="C952" s="1455" t="str">
        <f t="shared" si="347"/>
        <v>Cross wall between Hall  / Passage</v>
      </c>
      <c r="D952" s="103">
        <f t="shared" si="349"/>
        <v>1</v>
      </c>
      <c r="E952" s="103">
        <f t="shared" si="348"/>
        <v>1</v>
      </c>
      <c r="F952" s="1413">
        <f t="shared" si="348"/>
        <v>1.5</v>
      </c>
      <c r="G952" s="1413">
        <f t="shared" si="350"/>
        <v>0.115</v>
      </c>
      <c r="H952" s="1414">
        <f t="shared" si="346"/>
        <v>0.1</v>
      </c>
      <c r="I952" s="1425">
        <f t="shared" si="345"/>
        <v>1.7250000000000001E-2</v>
      </c>
      <c r="M952" s="110"/>
      <c r="Q952" s="1394">
        <f>IFERROR(VLOOKUP(M952,#REF!,3,0),0)</f>
        <v>0</v>
      </c>
      <c r="R952" s="1394">
        <f t="shared" si="341"/>
        <v>0</v>
      </c>
      <c r="S952" s="1394">
        <f>IFERROR(VLOOKUP(M952,#REF!,6,0),0)</f>
        <v>0</v>
      </c>
      <c r="T952" s="1394">
        <f t="shared" si="342"/>
        <v>0</v>
      </c>
      <c r="U952" s="1394">
        <f>IFERROR(VLOOKUP(M952,#REF!,5,0),0)</f>
        <v>0</v>
      </c>
      <c r="V952" s="1394">
        <f t="shared" si="343"/>
        <v>0</v>
      </c>
      <c r="W952" s="1394"/>
    </row>
    <row r="953" spans="2:23" ht="30" customHeight="1">
      <c r="B953" s="1407"/>
      <c r="C953" s="1412" t="str">
        <f t="shared" si="347"/>
        <v>Writer</v>
      </c>
      <c r="D953" s="103">
        <f t="shared" si="349"/>
        <v>0</v>
      </c>
      <c r="E953" s="103">
        <f t="shared" si="348"/>
        <v>0</v>
      </c>
      <c r="F953" s="1413">
        <f t="shared" si="348"/>
        <v>0</v>
      </c>
      <c r="G953" s="1413"/>
      <c r="H953" s="1414">
        <f t="shared" si="346"/>
        <v>0</v>
      </c>
      <c r="I953" s="1425">
        <f t="shared" si="345"/>
        <v>0</v>
      </c>
      <c r="M953" s="110"/>
      <c r="Q953" s="1394">
        <f>IFERROR(VLOOKUP(M953,#REF!,3,0),0)</f>
        <v>0</v>
      </c>
      <c r="R953" s="1394">
        <f t="shared" si="341"/>
        <v>0</v>
      </c>
      <c r="S953" s="1394">
        <f>IFERROR(VLOOKUP(M953,#REF!,6,0),0)</f>
        <v>0</v>
      </c>
      <c r="T953" s="1394">
        <f t="shared" si="342"/>
        <v>0</v>
      </c>
      <c r="U953" s="1394">
        <f>IFERROR(VLOOKUP(M953,#REF!,5,0),0)</f>
        <v>0</v>
      </c>
      <c r="V953" s="1394">
        <f t="shared" si="343"/>
        <v>0</v>
      </c>
      <c r="W953" s="1394"/>
    </row>
    <row r="954" spans="2:23" ht="30" customHeight="1">
      <c r="B954" s="1407"/>
      <c r="C954" s="1455" t="str">
        <f t="shared" si="347"/>
        <v>C/B Wall</v>
      </c>
      <c r="D954" s="103">
        <f t="shared" si="349"/>
        <v>1</v>
      </c>
      <c r="E954" s="103">
        <f t="shared" si="348"/>
        <v>1</v>
      </c>
      <c r="F954" s="1413">
        <f t="shared" si="348"/>
        <v>0.6</v>
      </c>
      <c r="G954" s="1413">
        <f t="shared" si="350"/>
        <v>0.115</v>
      </c>
      <c r="H954" s="1414">
        <f t="shared" si="346"/>
        <v>0.1</v>
      </c>
      <c r="I954" s="1425">
        <f t="shared" si="345"/>
        <v>6.9000000000000008E-3</v>
      </c>
      <c r="M954" s="110"/>
      <c r="Q954" s="1394">
        <f>IFERROR(VLOOKUP(M954,#REF!,3,0),0)</f>
        <v>0</v>
      </c>
      <c r="R954" s="1394">
        <f t="shared" si="341"/>
        <v>0</v>
      </c>
      <c r="S954" s="1394">
        <f>IFERROR(VLOOKUP(M954,#REF!,6,0),0)</f>
        <v>0</v>
      </c>
      <c r="T954" s="1394">
        <f t="shared" si="342"/>
        <v>0</v>
      </c>
      <c r="U954" s="1394">
        <f>IFERROR(VLOOKUP(M954,#REF!,5,0),0)</f>
        <v>0</v>
      </c>
      <c r="V954" s="1394">
        <f t="shared" si="343"/>
        <v>0</v>
      </c>
      <c r="W954" s="1394"/>
    </row>
    <row r="955" spans="2:23" ht="30" customHeight="1">
      <c r="B955" s="1407"/>
      <c r="C955" s="1455" t="str">
        <f t="shared" si="347"/>
        <v>Cross wall between Writer / Ins L &amp;O</v>
      </c>
      <c r="D955" s="103">
        <f t="shared" si="349"/>
        <v>1</v>
      </c>
      <c r="E955" s="103">
        <f t="shared" si="348"/>
        <v>1</v>
      </c>
      <c r="F955" s="1413">
        <f t="shared" si="348"/>
        <v>1.8</v>
      </c>
      <c r="G955" s="1413">
        <f t="shared" si="350"/>
        <v>0.115</v>
      </c>
      <c r="H955" s="1414">
        <f t="shared" si="346"/>
        <v>0.1</v>
      </c>
      <c r="I955" s="1425">
        <f t="shared" si="345"/>
        <v>2.0700000000000003E-2</v>
      </c>
      <c r="M955" s="110"/>
      <c r="Q955" s="1394">
        <f>IFERROR(VLOOKUP(M955,#REF!,3,0),0)</f>
        <v>0</v>
      </c>
      <c r="R955" s="1394">
        <f t="shared" si="341"/>
        <v>0</v>
      </c>
      <c r="S955" s="1394">
        <f>IFERROR(VLOOKUP(M955,#REF!,6,0),0)</f>
        <v>0</v>
      </c>
      <c r="T955" s="1394">
        <f t="shared" si="342"/>
        <v>0</v>
      </c>
      <c r="U955" s="1394">
        <f>IFERROR(VLOOKUP(M955,#REF!,5,0),0)</f>
        <v>0</v>
      </c>
      <c r="V955" s="1394">
        <f t="shared" si="343"/>
        <v>0</v>
      </c>
      <c r="W955" s="1394"/>
    </row>
    <row r="956" spans="2:23" ht="30" customHeight="1">
      <c r="B956" s="1407"/>
      <c r="C956" s="1455" t="str">
        <f t="shared" si="347"/>
        <v>Cross wall between Writer / Ins L &amp;O</v>
      </c>
      <c r="D956" s="103">
        <f t="shared" si="349"/>
        <v>1</v>
      </c>
      <c r="E956" s="103">
        <f t="shared" si="348"/>
        <v>1</v>
      </c>
      <c r="F956" s="1413">
        <f t="shared" si="348"/>
        <v>3.2759999999999998</v>
      </c>
      <c r="G956" s="1413">
        <f t="shared" si="350"/>
        <v>0.115</v>
      </c>
      <c r="H956" s="1414">
        <f t="shared" si="346"/>
        <v>0.1</v>
      </c>
      <c r="I956" s="1425">
        <f t="shared" si="345"/>
        <v>3.7674000000000006E-2</v>
      </c>
      <c r="M956" s="110"/>
      <c r="Q956" s="1394">
        <f>IFERROR(VLOOKUP(M956,#REF!,3,0),0)</f>
        <v>0</v>
      </c>
      <c r="R956" s="1394">
        <f t="shared" si="341"/>
        <v>0</v>
      </c>
      <c r="S956" s="1394">
        <f>IFERROR(VLOOKUP(M956,#REF!,6,0),0)</f>
        <v>0</v>
      </c>
      <c r="T956" s="1394">
        <f t="shared" si="342"/>
        <v>0</v>
      </c>
      <c r="U956" s="1394">
        <f>IFERROR(VLOOKUP(M956,#REF!,5,0),0)</f>
        <v>0</v>
      </c>
      <c r="V956" s="1394">
        <f t="shared" si="343"/>
        <v>0</v>
      </c>
      <c r="W956" s="1394"/>
    </row>
    <row r="957" spans="2:23" ht="30" customHeight="1">
      <c r="B957" s="1407"/>
      <c r="C957" s="1412" t="str">
        <f t="shared" si="347"/>
        <v>Ins Crime</v>
      </c>
      <c r="D957" s="103">
        <f t="shared" si="349"/>
        <v>0</v>
      </c>
      <c r="E957" s="103">
        <f t="shared" si="348"/>
        <v>0</v>
      </c>
      <c r="F957" s="1413">
        <f t="shared" si="348"/>
        <v>0</v>
      </c>
      <c r="G957" s="1413"/>
      <c r="H957" s="1414">
        <f t="shared" si="346"/>
        <v>0</v>
      </c>
      <c r="I957" s="1425">
        <f t="shared" si="345"/>
        <v>0</v>
      </c>
      <c r="M957" s="110"/>
      <c r="Q957" s="1394">
        <f>IFERROR(VLOOKUP(M957,#REF!,3,0),0)</f>
        <v>0</v>
      </c>
      <c r="R957" s="1394">
        <f t="shared" si="341"/>
        <v>0</v>
      </c>
      <c r="S957" s="1394">
        <f>IFERROR(VLOOKUP(M957,#REF!,6,0),0)</f>
        <v>0</v>
      </c>
      <c r="T957" s="1394">
        <f t="shared" si="342"/>
        <v>0</v>
      </c>
      <c r="U957" s="1394">
        <f>IFERROR(VLOOKUP(M957,#REF!,5,0),0)</f>
        <v>0</v>
      </c>
      <c r="V957" s="1394">
        <f t="shared" si="343"/>
        <v>0</v>
      </c>
      <c r="W957" s="1394"/>
    </row>
    <row r="958" spans="2:23" ht="30" customHeight="1">
      <c r="B958" s="1407"/>
      <c r="C958" s="1455" t="str">
        <f t="shared" si="347"/>
        <v xml:space="preserve">C/B Wall </v>
      </c>
      <c r="D958" s="103">
        <f t="shared" si="349"/>
        <v>1</v>
      </c>
      <c r="E958" s="103">
        <f t="shared" si="348"/>
        <v>1</v>
      </c>
      <c r="F958" s="1413">
        <f t="shared" si="348"/>
        <v>0.6</v>
      </c>
      <c r="G958" s="1413">
        <f t="shared" si="350"/>
        <v>0.115</v>
      </c>
      <c r="H958" s="1414">
        <f t="shared" si="346"/>
        <v>0.1</v>
      </c>
      <c r="I958" s="1425">
        <f t="shared" si="345"/>
        <v>6.9000000000000008E-3</v>
      </c>
      <c r="M958" s="110"/>
      <c r="Q958" s="1394">
        <f>IFERROR(VLOOKUP(M958,#REF!,3,0),0)</f>
        <v>0</v>
      </c>
      <c r="R958" s="1394">
        <f t="shared" si="341"/>
        <v>0</v>
      </c>
      <c r="S958" s="1394">
        <f>IFERROR(VLOOKUP(M958,#REF!,6,0),0)</f>
        <v>0</v>
      </c>
      <c r="T958" s="1394">
        <f t="shared" si="342"/>
        <v>0</v>
      </c>
      <c r="U958" s="1394">
        <f>IFERROR(VLOOKUP(M958,#REF!,5,0),0)</f>
        <v>0</v>
      </c>
      <c r="V958" s="1394">
        <f t="shared" si="343"/>
        <v>0</v>
      </c>
      <c r="W958" s="1394"/>
    </row>
    <row r="959" spans="2:23" ht="30" customHeight="1">
      <c r="B959" s="1407"/>
      <c r="C959" s="1455" t="str">
        <f t="shared" si="347"/>
        <v xml:space="preserve">Cross wall between Toilet / Passage </v>
      </c>
      <c r="D959" s="103">
        <f t="shared" si="349"/>
        <v>1</v>
      </c>
      <c r="E959" s="103">
        <f t="shared" si="348"/>
        <v>1</v>
      </c>
      <c r="F959" s="1413">
        <f t="shared" si="348"/>
        <v>1.5</v>
      </c>
      <c r="G959" s="1413">
        <f t="shared" si="350"/>
        <v>0.115</v>
      </c>
      <c r="H959" s="1414">
        <f t="shared" si="346"/>
        <v>0.1</v>
      </c>
      <c r="I959" s="1425">
        <f t="shared" si="345"/>
        <v>1.7250000000000001E-2</v>
      </c>
      <c r="M959" s="110"/>
      <c r="Q959" s="1394">
        <f>IFERROR(VLOOKUP(M959,#REF!,3,0),0)</f>
        <v>0</v>
      </c>
      <c r="R959" s="1394">
        <f t="shared" si="341"/>
        <v>0</v>
      </c>
      <c r="S959" s="1394">
        <f>IFERROR(VLOOKUP(M959,#REF!,6,0),0)</f>
        <v>0</v>
      </c>
      <c r="T959" s="1394">
        <f t="shared" si="342"/>
        <v>0</v>
      </c>
      <c r="U959" s="1394">
        <f>IFERROR(VLOOKUP(M959,#REF!,5,0),0)</f>
        <v>0</v>
      </c>
      <c r="V959" s="1394">
        <f t="shared" si="343"/>
        <v>0</v>
      </c>
      <c r="W959" s="1394"/>
    </row>
    <row r="960" spans="2:23" ht="30" customHeight="1">
      <c r="B960" s="1407"/>
      <c r="C960" s="1455" t="str">
        <f t="shared" si="347"/>
        <v xml:space="preserve">Cross wall between Hall  / Passage </v>
      </c>
      <c r="D960" s="103">
        <f t="shared" si="349"/>
        <v>1</v>
      </c>
      <c r="E960" s="103">
        <f t="shared" si="348"/>
        <v>1</v>
      </c>
      <c r="F960" s="1413">
        <f t="shared" si="348"/>
        <v>1.5</v>
      </c>
      <c r="G960" s="1413">
        <f t="shared" si="350"/>
        <v>0.115</v>
      </c>
      <c r="H960" s="1414">
        <f t="shared" si="346"/>
        <v>0.1</v>
      </c>
      <c r="I960" s="1425">
        <f t="shared" si="345"/>
        <v>1.7250000000000001E-2</v>
      </c>
      <c r="M960" s="110"/>
      <c r="Q960" s="1394">
        <f>IFERROR(VLOOKUP(M960,#REF!,3,0),0)</f>
        <v>0</v>
      </c>
      <c r="R960" s="1394">
        <f t="shared" si="341"/>
        <v>0</v>
      </c>
      <c r="S960" s="1394">
        <f>IFERROR(VLOOKUP(M960,#REF!,6,0),0)</f>
        <v>0</v>
      </c>
      <c r="T960" s="1394">
        <f t="shared" si="342"/>
        <v>0</v>
      </c>
      <c r="U960" s="1394">
        <f>IFERROR(VLOOKUP(M960,#REF!,5,0),0)</f>
        <v>0</v>
      </c>
      <c r="V960" s="1394">
        <f t="shared" si="343"/>
        <v>0</v>
      </c>
      <c r="W960" s="1394"/>
    </row>
    <row r="961" spans="2:23" ht="30" customHeight="1">
      <c r="B961" s="1407"/>
      <c r="C961" s="1412" t="str">
        <f t="shared" si="347"/>
        <v>Computer Room</v>
      </c>
      <c r="D961" s="103">
        <f t="shared" si="349"/>
        <v>0</v>
      </c>
      <c r="E961" s="103">
        <f t="shared" si="348"/>
        <v>0</v>
      </c>
      <c r="F961" s="1413">
        <f t="shared" si="348"/>
        <v>0</v>
      </c>
      <c r="G961" s="1413"/>
      <c r="H961" s="103">
        <f t="shared" si="346"/>
        <v>0</v>
      </c>
      <c r="I961" s="1425">
        <f t="shared" si="345"/>
        <v>0</v>
      </c>
      <c r="M961" s="110"/>
      <c r="Q961" s="1394">
        <f>IFERROR(VLOOKUP(M961,#REF!,3,0),0)</f>
        <v>0</v>
      </c>
      <c r="R961" s="1394">
        <f t="shared" si="341"/>
        <v>0</v>
      </c>
      <c r="S961" s="1394">
        <f>IFERROR(VLOOKUP(M961,#REF!,6,0),0)</f>
        <v>0</v>
      </c>
      <c r="T961" s="1394">
        <f t="shared" si="342"/>
        <v>0</v>
      </c>
      <c r="U961" s="1394">
        <f>IFERROR(VLOOKUP(M961,#REF!,5,0),0)</f>
        <v>0</v>
      </c>
      <c r="V961" s="1394">
        <f t="shared" si="343"/>
        <v>0</v>
      </c>
      <c r="W961" s="1394"/>
    </row>
    <row r="962" spans="2:23" ht="30" customHeight="1">
      <c r="B962" s="1407"/>
      <c r="C962" s="1455" t="str">
        <f t="shared" si="347"/>
        <v xml:space="preserve">C/B Wall </v>
      </c>
      <c r="D962" s="103">
        <f t="shared" si="349"/>
        <v>1</v>
      </c>
      <c r="E962" s="103">
        <f t="shared" si="348"/>
        <v>1</v>
      </c>
      <c r="F962" s="1413">
        <f t="shared" si="348"/>
        <v>0.6</v>
      </c>
      <c r="G962" s="1413">
        <f t="shared" si="350"/>
        <v>0.115</v>
      </c>
      <c r="H962" s="1414">
        <f t="shared" si="346"/>
        <v>0.1</v>
      </c>
      <c r="I962" s="1425">
        <f t="shared" si="345"/>
        <v>6.9000000000000008E-3</v>
      </c>
      <c r="M962" s="110"/>
      <c r="Q962" s="1394">
        <f>IFERROR(VLOOKUP(M962,#REF!,3,0),0)</f>
        <v>0</v>
      </c>
      <c r="R962" s="1394">
        <f t="shared" si="341"/>
        <v>0</v>
      </c>
      <c r="S962" s="1394">
        <f>IFERROR(VLOOKUP(M962,#REF!,6,0),0)</f>
        <v>0</v>
      </c>
      <c r="T962" s="1394">
        <f t="shared" si="342"/>
        <v>0</v>
      </c>
      <c r="U962" s="1394">
        <f>IFERROR(VLOOKUP(M962,#REF!,5,0),0)</f>
        <v>0</v>
      </c>
      <c r="V962" s="1394">
        <f t="shared" si="343"/>
        <v>0</v>
      </c>
      <c r="W962" s="1394"/>
    </row>
    <row r="963" spans="2:23" ht="30" customHeight="1">
      <c r="B963" s="1407"/>
      <c r="C963" s="1455" t="str">
        <f t="shared" si="347"/>
        <v>Cross wall between Toilet / CD File / Store</v>
      </c>
      <c r="D963" s="103">
        <f t="shared" si="349"/>
        <v>1</v>
      </c>
      <c r="E963" s="103">
        <f t="shared" si="348"/>
        <v>1</v>
      </c>
      <c r="F963" s="1413">
        <f t="shared" si="348"/>
        <v>1.1000000000000001</v>
      </c>
      <c r="G963" s="1413">
        <f t="shared" si="350"/>
        <v>0.115</v>
      </c>
      <c r="H963" s="1414">
        <f t="shared" si="346"/>
        <v>0.1</v>
      </c>
      <c r="I963" s="1425">
        <f t="shared" si="345"/>
        <v>1.2650000000000003E-2</v>
      </c>
      <c r="M963" s="110"/>
      <c r="Q963" s="1394">
        <f>IFERROR(VLOOKUP(M963,#REF!,3,0),0)</f>
        <v>0</v>
      </c>
      <c r="R963" s="1394">
        <f t="shared" si="341"/>
        <v>0</v>
      </c>
      <c r="S963" s="1394">
        <f>IFERROR(VLOOKUP(M963,#REF!,6,0),0)</f>
        <v>0</v>
      </c>
      <c r="T963" s="1394">
        <f t="shared" si="342"/>
        <v>0</v>
      </c>
      <c r="U963" s="1394">
        <f>IFERROR(VLOOKUP(M963,#REF!,5,0),0)</f>
        <v>0</v>
      </c>
      <c r="V963" s="1394">
        <f t="shared" si="343"/>
        <v>0</v>
      </c>
      <c r="W963" s="1394"/>
    </row>
    <row r="964" spans="2:23" ht="30" customHeight="1">
      <c r="B964" s="1407"/>
      <c r="C964" s="1455" t="str">
        <f t="shared" si="347"/>
        <v xml:space="preserve">Cross wall between Toilet / Passage </v>
      </c>
      <c r="D964" s="103">
        <f t="shared" si="349"/>
        <v>1</v>
      </c>
      <c r="E964" s="103">
        <f t="shared" si="348"/>
        <v>1</v>
      </c>
      <c r="F964" s="1413">
        <f t="shared" si="348"/>
        <v>1.5</v>
      </c>
      <c r="G964" s="1413">
        <f t="shared" si="350"/>
        <v>0.115</v>
      </c>
      <c r="H964" s="1414">
        <f t="shared" si="346"/>
        <v>0.1</v>
      </c>
      <c r="I964" s="1425">
        <f t="shared" si="345"/>
        <v>1.7250000000000001E-2</v>
      </c>
      <c r="M964" s="110"/>
      <c r="Q964" s="1394">
        <f>IFERROR(VLOOKUP(M964,#REF!,3,0),0)</f>
        <v>0</v>
      </c>
      <c r="R964" s="1394">
        <f t="shared" si="341"/>
        <v>0</v>
      </c>
      <c r="S964" s="1394">
        <f>IFERROR(VLOOKUP(M964,#REF!,6,0),0)</f>
        <v>0</v>
      </c>
      <c r="T964" s="1394">
        <f t="shared" si="342"/>
        <v>0</v>
      </c>
      <c r="U964" s="1394">
        <f>IFERROR(VLOOKUP(M964,#REF!,5,0),0)</f>
        <v>0</v>
      </c>
      <c r="V964" s="1394">
        <f t="shared" si="343"/>
        <v>0</v>
      </c>
      <c r="W964" s="1394"/>
    </row>
    <row r="965" spans="2:23" ht="30" customHeight="1">
      <c r="B965" s="1407"/>
      <c r="C965" s="1455" t="str">
        <f t="shared" si="347"/>
        <v xml:space="preserve">Cross wall between Halll / Passage </v>
      </c>
      <c r="D965" s="103">
        <f t="shared" si="349"/>
        <v>1</v>
      </c>
      <c r="E965" s="103">
        <f t="shared" si="348"/>
        <v>1</v>
      </c>
      <c r="F965" s="1413">
        <f t="shared" si="348"/>
        <v>0.6</v>
      </c>
      <c r="G965" s="1413">
        <f t="shared" si="350"/>
        <v>0.115</v>
      </c>
      <c r="H965" s="1414">
        <f t="shared" si="346"/>
        <v>0.1</v>
      </c>
      <c r="I965" s="1425">
        <f t="shared" si="345"/>
        <v>6.9000000000000008E-3</v>
      </c>
      <c r="M965" s="110"/>
      <c r="Q965" s="1394">
        <f>IFERROR(VLOOKUP(M965,#REF!,3,0),0)</f>
        <v>0</v>
      </c>
      <c r="R965" s="1394">
        <f t="shared" si="341"/>
        <v>0</v>
      </c>
      <c r="S965" s="1394">
        <f>IFERROR(VLOOKUP(M965,#REF!,6,0),0)</f>
        <v>0</v>
      </c>
      <c r="T965" s="1394">
        <f t="shared" si="342"/>
        <v>0</v>
      </c>
      <c r="U965" s="1394">
        <f>IFERROR(VLOOKUP(M965,#REF!,5,0),0)</f>
        <v>0</v>
      </c>
      <c r="V965" s="1394">
        <f t="shared" si="343"/>
        <v>0</v>
      </c>
      <c r="W965" s="1394"/>
    </row>
    <row r="966" spans="2:23" ht="30" customHeight="1">
      <c r="B966" s="1407"/>
      <c r="C966" s="1412" t="str">
        <f t="shared" si="347"/>
        <v>SI Room</v>
      </c>
      <c r="D966" s="103">
        <f t="shared" si="349"/>
        <v>0</v>
      </c>
      <c r="E966" s="103">
        <f t="shared" si="348"/>
        <v>0</v>
      </c>
      <c r="F966" s="1413">
        <f t="shared" si="348"/>
        <v>0</v>
      </c>
      <c r="G966" s="1413"/>
      <c r="H966" s="1414">
        <f t="shared" si="346"/>
        <v>0</v>
      </c>
      <c r="I966" s="1425">
        <f t="shared" si="345"/>
        <v>0</v>
      </c>
      <c r="M966" s="110"/>
      <c r="Q966" s="1394">
        <f>IFERROR(VLOOKUP(M966,#REF!,3,0),0)</f>
        <v>0</v>
      </c>
      <c r="R966" s="1394">
        <f t="shared" si="341"/>
        <v>0</v>
      </c>
      <c r="S966" s="1394">
        <f>IFERROR(VLOOKUP(M966,#REF!,6,0),0)</f>
        <v>0</v>
      </c>
      <c r="T966" s="1394">
        <f t="shared" si="342"/>
        <v>0</v>
      </c>
      <c r="U966" s="1394">
        <f>IFERROR(VLOOKUP(M966,#REF!,5,0),0)</f>
        <v>0</v>
      </c>
      <c r="V966" s="1394">
        <f t="shared" si="343"/>
        <v>0</v>
      </c>
      <c r="W966" s="1394"/>
    </row>
    <row r="967" spans="2:23" ht="30" customHeight="1">
      <c r="B967" s="1407"/>
      <c r="C967" s="1455" t="str">
        <f t="shared" si="347"/>
        <v xml:space="preserve">C/B Wall </v>
      </c>
      <c r="D967" s="103">
        <f t="shared" si="349"/>
        <v>1</v>
      </c>
      <c r="E967" s="103">
        <f t="shared" si="348"/>
        <v>1</v>
      </c>
      <c r="F967" s="1413">
        <f t="shared" si="348"/>
        <v>0.6</v>
      </c>
      <c r="G967" s="1413">
        <f t="shared" si="350"/>
        <v>0.115</v>
      </c>
      <c r="H967" s="1414">
        <f t="shared" si="346"/>
        <v>0.1</v>
      </c>
      <c r="I967" s="1425">
        <f t="shared" si="345"/>
        <v>6.9000000000000008E-3</v>
      </c>
      <c r="M967" s="110"/>
      <c r="Q967" s="1394">
        <f>IFERROR(VLOOKUP(M967,#REF!,3,0),0)</f>
        <v>0</v>
      </c>
      <c r="R967" s="1394">
        <f t="shared" si="341"/>
        <v>0</v>
      </c>
      <c r="S967" s="1394">
        <f>IFERROR(VLOOKUP(M967,#REF!,6,0),0)</f>
        <v>0</v>
      </c>
      <c r="T967" s="1394">
        <f t="shared" si="342"/>
        <v>0</v>
      </c>
      <c r="U967" s="1394">
        <f>IFERROR(VLOOKUP(M967,#REF!,5,0),0)</f>
        <v>0</v>
      </c>
      <c r="V967" s="1394">
        <f t="shared" si="343"/>
        <v>0</v>
      </c>
      <c r="W967" s="1394"/>
    </row>
    <row r="968" spans="2:23" ht="30" customHeight="1">
      <c r="B968" s="1407"/>
      <c r="C968" s="1455" t="str">
        <f t="shared" si="347"/>
        <v>Cross wall between Toilet / SI Room</v>
      </c>
      <c r="D968" s="103">
        <f t="shared" si="349"/>
        <v>1</v>
      </c>
      <c r="E968" s="103">
        <f t="shared" si="348"/>
        <v>1</v>
      </c>
      <c r="F968" s="1413">
        <f t="shared" si="348"/>
        <v>2.7450000000000001</v>
      </c>
      <c r="G968" s="1413">
        <f t="shared" si="350"/>
        <v>0.115</v>
      </c>
      <c r="H968" s="1414">
        <f t="shared" si="346"/>
        <v>0.1</v>
      </c>
      <c r="I968" s="1425">
        <f t="shared" si="345"/>
        <v>3.1567500000000005E-2</v>
      </c>
      <c r="M968" s="110"/>
      <c r="Q968" s="1394">
        <f>IFERROR(VLOOKUP(M968,#REF!,3,0),0)</f>
        <v>0</v>
      </c>
      <c r="R968" s="1394">
        <f t="shared" si="341"/>
        <v>0</v>
      </c>
      <c r="S968" s="1394">
        <f>IFERROR(VLOOKUP(M968,#REF!,6,0),0)</f>
        <v>0</v>
      </c>
      <c r="T968" s="1394">
        <f t="shared" si="342"/>
        <v>0</v>
      </c>
      <c r="U968" s="1394">
        <f>IFERROR(VLOOKUP(M968,#REF!,5,0),0)</f>
        <v>0</v>
      </c>
      <c r="V968" s="1394">
        <f t="shared" si="343"/>
        <v>0</v>
      </c>
      <c r="W968" s="1394"/>
    </row>
    <row r="969" spans="2:23" ht="30" customHeight="1">
      <c r="B969" s="1407"/>
      <c r="C969" s="1455" t="str">
        <f t="shared" si="347"/>
        <v>Cross wall between Record / SI Room</v>
      </c>
      <c r="D969" s="103">
        <f t="shared" si="349"/>
        <v>1</v>
      </c>
      <c r="E969" s="103">
        <f t="shared" si="348"/>
        <v>1</v>
      </c>
      <c r="F969" s="1413">
        <f t="shared" si="348"/>
        <v>2.4350000000000001</v>
      </c>
      <c r="G969" s="1413">
        <f t="shared" si="350"/>
        <v>0.115</v>
      </c>
      <c r="H969" s="1414">
        <f t="shared" si="346"/>
        <v>0.1</v>
      </c>
      <c r="I969" s="1425">
        <f t="shared" si="345"/>
        <v>2.8002500000000003E-2</v>
      </c>
      <c r="M969" s="110"/>
      <c r="Q969" s="1394">
        <f>IFERROR(VLOOKUP(M969,#REF!,3,0),0)</f>
        <v>0</v>
      </c>
      <c r="R969" s="1394">
        <f t="shared" si="341"/>
        <v>0</v>
      </c>
      <c r="S969" s="1394">
        <f>IFERROR(VLOOKUP(M969,#REF!,6,0),0)</f>
        <v>0</v>
      </c>
      <c r="T969" s="1394">
        <f t="shared" si="342"/>
        <v>0</v>
      </c>
      <c r="U969" s="1394">
        <f>IFERROR(VLOOKUP(M969,#REF!,5,0),0)</f>
        <v>0</v>
      </c>
      <c r="V969" s="1394">
        <f t="shared" si="343"/>
        <v>0</v>
      </c>
      <c r="W969" s="1394"/>
    </row>
    <row r="970" spans="2:23" ht="30" customHeight="1">
      <c r="B970" s="1407"/>
      <c r="C970" s="1412" t="str">
        <f t="shared" si="347"/>
        <v>Record Room</v>
      </c>
      <c r="D970" s="103">
        <f t="shared" si="349"/>
        <v>0</v>
      </c>
      <c r="E970" s="103">
        <f t="shared" si="348"/>
        <v>0</v>
      </c>
      <c r="F970" s="1413">
        <f t="shared" si="348"/>
        <v>0</v>
      </c>
      <c r="G970" s="1413"/>
      <c r="H970" s="1414">
        <f t="shared" si="346"/>
        <v>0</v>
      </c>
      <c r="I970" s="1425">
        <f t="shared" si="345"/>
        <v>0</v>
      </c>
      <c r="M970" s="110"/>
      <c r="Q970" s="1394">
        <f>IFERROR(VLOOKUP(M970,#REF!,3,0),0)</f>
        <v>0</v>
      </c>
      <c r="R970" s="1394">
        <f t="shared" si="341"/>
        <v>0</v>
      </c>
      <c r="S970" s="1394">
        <f>IFERROR(VLOOKUP(M970,#REF!,6,0),0)</f>
        <v>0</v>
      </c>
      <c r="T970" s="1394">
        <f t="shared" si="342"/>
        <v>0</v>
      </c>
      <c r="U970" s="1394">
        <f>IFERROR(VLOOKUP(M970,#REF!,5,0),0)</f>
        <v>0</v>
      </c>
      <c r="V970" s="1394">
        <f t="shared" si="343"/>
        <v>0</v>
      </c>
      <c r="W970" s="1394"/>
    </row>
    <row r="971" spans="2:23" ht="30" customHeight="1">
      <c r="B971" s="1407"/>
      <c r="C971" s="1455" t="str">
        <f t="shared" si="347"/>
        <v>Cross wall between Record Room / Hall</v>
      </c>
      <c r="D971" s="103">
        <f t="shared" si="349"/>
        <v>1</v>
      </c>
      <c r="E971" s="103">
        <f t="shared" si="348"/>
        <v>1</v>
      </c>
      <c r="F971" s="1413">
        <f t="shared" si="348"/>
        <v>1.85</v>
      </c>
      <c r="G971" s="1413">
        <f t="shared" si="350"/>
        <v>0.115</v>
      </c>
      <c r="H971" s="1414">
        <f t="shared" si="346"/>
        <v>0.1</v>
      </c>
      <c r="I971" s="1425">
        <f t="shared" si="345"/>
        <v>2.1275000000000002E-2</v>
      </c>
      <c r="M971" s="110"/>
      <c r="Q971" s="1394">
        <f>IFERROR(VLOOKUP(M971,#REF!,3,0),0)</f>
        <v>0</v>
      </c>
      <c r="R971" s="1394">
        <f t="shared" si="341"/>
        <v>0</v>
      </c>
      <c r="S971" s="1394">
        <f>IFERROR(VLOOKUP(M971,#REF!,6,0),0)</f>
        <v>0</v>
      </c>
      <c r="T971" s="1394">
        <f t="shared" si="342"/>
        <v>0</v>
      </c>
      <c r="U971" s="1394">
        <f>IFERROR(VLOOKUP(M971,#REF!,5,0),0)</f>
        <v>0</v>
      </c>
      <c r="V971" s="1394">
        <f t="shared" si="343"/>
        <v>0</v>
      </c>
      <c r="W971" s="1394"/>
    </row>
    <row r="972" spans="2:23" ht="30" customHeight="1">
      <c r="B972" s="1407"/>
      <c r="C972" s="1455" t="str">
        <f t="shared" si="347"/>
        <v>Cross wall between Record Room / Interrogation</v>
      </c>
      <c r="D972" s="103">
        <f t="shared" si="349"/>
        <v>1</v>
      </c>
      <c r="E972" s="103">
        <f t="shared" si="348"/>
        <v>1</v>
      </c>
      <c r="F972" s="1413">
        <f t="shared" si="348"/>
        <v>2</v>
      </c>
      <c r="G972" s="1413">
        <f t="shared" si="350"/>
        <v>0.115</v>
      </c>
      <c r="H972" s="1414">
        <f t="shared" si="346"/>
        <v>0.1</v>
      </c>
      <c r="I972" s="1425">
        <f t="shared" si="345"/>
        <v>2.3000000000000003E-2</v>
      </c>
      <c r="M972" s="110"/>
      <c r="Q972" s="1394">
        <f>IFERROR(VLOOKUP(M972,#REF!,3,0),0)</f>
        <v>0</v>
      </c>
      <c r="R972" s="1394">
        <f t="shared" si="341"/>
        <v>0</v>
      </c>
      <c r="S972" s="1394">
        <f>IFERROR(VLOOKUP(M972,#REF!,6,0),0)</f>
        <v>0</v>
      </c>
      <c r="T972" s="1394">
        <f t="shared" si="342"/>
        <v>0</v>
      </c>
      <c r="U972" s="1394">
        <f>IFERROR(VLOOKUP(M972,#REF!,5,0),0)</f>
        <v>0</v>
      </c>
      <c r="V972" s="1394">
        <f t="shared" si="343"/>
        <v>0</v>
      </c>
      <c r="W972" s="1394"/>
    </row>
    <row r="973" spans="2:23" ht="30" customHeight="1">
      <c r="B973" s="1407"/>
      <c r="C973" s="1455" t="str">
        <f t="shared" si="347"/>
        <v xml:space="preserve">C/B Wall </v>
      </c>
      <c r="D973" s="103">
        <f t="shared" si="349"/>
        <v>1</v>
      </c>
      <c r="E973" s="103">
        <f t="shared" si="348"/>
        <v>1</v>
      </c>
      <c r="F973" s="1413">
        <f t="shared" si="348"/>
        <v>0.6</v>
      </c>
      <c r="G973" s="1413">
        <f t="shared" si="350"/>
        <v>0.115</v>
      </c>
      <c r="H973" s="1414">
        <f t="shared" si="346"/>
        <v>0.1</v>
      </c>
      <c r="I973" s="1425">
        <f t="shared" si="345"/>
        <v>6.9000000000000008E-3</v>
      </c>
      <c r="M973" s="110"/>
      <c r="Q973" s="1394">
        <f>IFERROR(VLOOKUP(M973,#REF!,3,0),0)</f>
        <v>0</v>
      </c>
      <c r="R973" s="1394">
        <f t="shared" si="341"/>
        <v>0</v>
      </c>
      <c r="S973" s="1394">
        <f>IFERROR(VLOOKUP(M973,#REF!,6,0),0)</f>
        <v>0</v>
      </c>
      <c r="T973" s="1394">
        <f t="shared" si="342"/>
        <v>0</v>
      </c>
      <c r="U973" s="1394">
        <f>IFERROR(VLOOKUP(M973,#REF!,5,0),0)</f>
        <v>0</v>
      </c>
      <c r="V973" s="1394">
        <f t="shared" si="343"/>
        <v>0</v>
      </c>
      <c r="W973" s="1394"/>
    </row>
    <row r="974" spans="2:23" ht="30" customHeight="1">
      <c r="B974" s="1407"/>
      <c r="C974" s="1412" t="str">
        <f t="shared" si="347"/>
        <v>Introgation Room</v>
      </c>
      <c r="D974" s="103">
        <f t="shared" si="349"/>
        <v>0</v>
      </c>
      <c r="E974" s="103">
        <f t="shared" si="348"/>
        <v>0</v>
      </c>
      <c r="F974" s="1413">
        <f t="shared" si="348"/>
        <v>0</v>
      </c>
      <c r="G974" s="1413"/>
      <c r="H974" s="1414">
        <f t="shared" si="346"/>
        <v>0</v>
      </c>
      <c r="I974" s="1425">
        <f t="shared" si="345"/>
        <v>0</v>
      </c>
      <c r="M974" s="110"/>
      <c r="Q974" s="1394">
        <f>IFERROR(VLOOKUP(M974,#REF!,3,0),0)</f>
        <v>0</v>
      </c>
      <c r="R974" s="1394">
        <f t="shared" si="341"/>
        <v>0</v>
      </c>
      <c r="S974" s="1394">
        <f>IFERROR(VLOOKUP(M974,#REF!,6,0),0)</f>
        <v>0</v>
      </c>
      <c r="T974" s="1394">
        <f t="shared" si="342"/>
        <v>0</v>
      </c>
      <c r="U974" s="1394">
        <f>IFERROR(VLOOKUP(M974,#REF!,5,0),0)</f>
        <v>0</v>
      </c>
      <c r="V974" s="1394">
        <f t="shared" si="343"/>
        <v>0</v>
      </c>
      <c r="W974" s="1394"/>
    </row>
    <row r="975" spans="2:23" ht="30" customHeight="1">
      <c r="B975" s="1407"/>
      <c r="C975" s="1455" t="str">
        <f t="shared" si="347"/>
        <v>Cross wall between  Introgation Room / Hall</v>
      </c>
      <c r="D975" s="103">
        <f t="shared" si="349"/>
        <v>1</v>
      </c>
      <c r="E975" s="103">
        <f t="shared" si="348"/>
        <v>1</v>
      </c>
      <c r="F975" s="1413">
        <f t="shared" si="348"/>
        <v>1</v>
      </c>
      <c r="G975" s="1413">
        <f t="shared" si="350"/>
        <v>0.115</v>
      </c>
      <c r="H975" s="1414">
        <f t="shared" si="346"/>
        <v>0.1</v>
      </c>
      <c r="I975" s="1425">
        <f t="shared" si="345"/>
        <v>1.1500000000000002E-2</v>
      </c>
      <c r="M975" s="110"/>
      <c r="Q975" s="1394">
        <f>IFERROR(VLOOKUP(M975,#REF!,3,0),0)</f>
        <v>0</v>
      </c>
      <c r="R975" s="1394">
        <f t="shared" si="341"/>
        <v>0</v>
      </c>
      <c r="S975" s="1394">
        <f>IFERROR(VLOOKUP(M975,#REF!,6,0),0)</f>
        <v>0</v>
      </c>
      <c r="T975" s="1394">
        <f t="shared" si="342"/>
        <v>0</v>
      </c>
      <c r="U975" s="1394">
        <f>IFERROR(VLOOKUP(M975,#REF!,5,0),0)</f>
        <v>0</v>
      </c>
      <c r="V975" s="1394">
        <f t="shared" si="343"/>
        <v>0</v>
      </c>
      <c r="W975" s="1394"/>
    </row>
    <row r="976" spans="2:23" ht="30" customHeight="1">
      <c r="B976" s="1407"/>
      <c r="C976" s="1455" t="str">
        <f t="shared" si="347"/>
        <v xml:space="preserve">C/B Wall </v>
      </c>
      <c r="D976" s="103">
        <f t="shared" si="349"/>
        <v>1</v>
      </c>
      <c r="E976" s="103">
        <f t="shared" si="348"/>
        <v>1</v>
      </c>
      <c r="F976" s="1413">
        <f t="shared" si="348"/>
        <v>0.6</v>
      </c>
      <c r="G976" s="1413">
        <f t="shared" si="350"/>
        <v>0.115</v>
      </c>
      <c r="H976" s="1414">
        <f t="shared" si="346"/>
        <v>0.1</v>
      </c>
      <c r="I976" s="1425">
        <f t="shared" si="345"/>
        <v>6.9000000000000008E-3</v>
      </c>
      <c r="M976" s="110"/>
      <c r="Q976" s="1394">
        <f>IFERROR(VLOOKUP(M976,#REF!,3,0),0)</f>
        <v>0</v>
      </c>
      <c r="R976" s="1394">
        <f t="shared" si="341"/>
        <v>0</v>
      </c>
      <c r="S976" s="1394">
        <f>IFERROR(VLOOKUP(M976,#REF!,6,0),0)</f>
        <v>0</v>
      </c>
      <c r="T976" s="1394">
        <f t="shared" si="342"/>
        <v>0</v>
      </c>
      <c r="U976" s="1394">
        <f>IFERROR(VLOOKUP(M976,#REF!,5,0),0)</f>
        <v>0</v>
      </c>
      <c r="V976" s="1394">
        <f t="shared" si="343"/>
        <v>0</v>
      </c>
      <c r="W976" s="1394"/>
    </row>
    <row r="977" spans="2:23" ht="30" customHeight="1">
      <c r="B977" s="1407"/>
      <c r="C977" s="1455" t="str">
        <f t="shared" si="347"/>
        <v>Toilet wall</v>
      </c>
      <c r="D977" s="103">
        <f t="shared" si="349"/>
        <v>1</v>
      </c>
      <c r="E977" s="103">
        <f t="shared" si="348"/>
        <v>1</v>
      </c>
      <c r="F977" s="1413">
        <f t="shared" si="348"/>
        <v>1.2350000000000001</v>
      </c>
      <c r="G977" s="1413">
        <f t="shared" si="350"/>
        <v>0.115</v>
      </c>
      <c r="H977" s="1414">
        <f t="shared" si="346"/>
        <v>0.1</v>
      </c>
      <c r="I977" s="1425">
        <f t="shared" si="345"/>
        <v>1.4202500000000002E-2</v>
      </c>
      <c r="M977" s="110"/>
      <c r="Q977" s="1394">
        <f>IFERROR(VLOOKUP(M977,#REF!,3,0),0)</f>
        <v>0</v>
      </c>
      <c r="R977" s="1394">
        <f t="shared" si="341"/>
        <v>0</v>
      </c>
      <c r="S977" s="1394">
        <f>IFERROR(VLOOKUP(M977,#REF!,6,0),0)</f>
        <v>0</v>
      </c>
      <c r="T977" s="1394">
        <f t="shared" si="342"/>
        <v>0</v>
      </c>
      <c r="U977" s="1394">
        <f>IFERROR(VLOOKUP(M977,#REF!,5,0),0)</f>
        <v>0</v>
      </c>
      <c r="V977" s="1394">
        <f t="shared" si="343"/>
        <v>0</v>
      </c>
      <c r="W977" s="1394"/>
    </row>
    <row r="978" spans="2:23" ht="30" customHeight="1">
      <c r="B978" s="1407"/>
      <c r="C978" s="1415"/>
      <c r="D978" s="1409"/>
      <c r="E978" s="1409"/>
      <c r="F978" s="1410"/>
      <c r="G978" s="1410"/>
      <c r="H978" s="1411"/>
      <c r="I978" s="1425"/>
      <c r="Q978" s="1394">
        <f>IFERROR(VLOOKUP(M978,#REF!,3,0),0)</f>
        <v>0</v>
      </c>
      <c r="R978" s="1394">
        <f t="shared" si="341"/>
        <v>0</v>
      </c>
      <c r="S978" s="1394">
        <f>IFERROR(VLOOKUP(M978,#REF!,6,0),0)</f>
        <v>0</v>
      </c>
      <c r="T978" s="1394">
        <f t="shared" si="342"/>
        <v>0</v>
      </c>
      <c r="U978" s="1394">
        <f>IFERROR(VLOOKUP(M978,#REF!,5,0),0)</f>
        <v>0</v>
      </c>
      <c r="V978" s="1394">
        <f t="shared" si="343"/>
        <v>0</v>
      </c>
      <c r="W978" s="1394"/>
    </row>
    <row r="979" spans="2:23" ht="30" customHeight="1">
      <c r="B979" s="1407"/>
      <c r="C979" s="1415" t="s">
        <v>319</v>
      </c>
      <c r="D979" s="1409"/>
      <c r="E979" s="1409"/>
      <c r="F979" s="1410"/>
      <c r="G979" s="1410"/>
      <c r="H979" s="1411"/>
      <c r="I979" s="1425"/>
      <c r="Q979" s="1394">
        <f>IFERROR(VLOOKUP(M979,#REF!,3,0),0)</f>
        <v>0</v>
      </c>
      <c r="R979" s="1394">
        <f t="shared" si="341"/>
        <v>0</v>
      </c>
      <c r="S979" s="1394">
        <f>IFERROR(VLOOKUP(M979,#REF!,6,0),0)</f>
        <v>0</v>
      </c>
      <c r="T979" s="1394">
        <f t="shared" si="342"/>
        <v>0</v>
      </c>
      <c r="U979" s="1394">
        <f>IFERROR(VLOOKUP(M979,#REF!,5,0),0)</f>
        <v>0</v>
      </c>
      <c r="V979" s="1394">
        <f t="shared" si="343"/>
        <v>0</v>
      </c>
      <c r="W979" s="1394"/>
    </row>
    <row r="980" spans="2:23" ht="30" customHeight="1">
      <c r="B980" s="1407"/>
      <c r="C980" s="1408" t="str">
        <f t="shared" ref="C980:F992" si="351">C903</f>
        <v>FW</v>
      </c>
      <c r="D980" s="1409">
        <f t="shared" si="351"/>
        <v>1</v>
      </c>
      <c r="E980" s="1409">
        <f t="shared" si="351"/>
        <v>2</v>
      </c>
      <c r="F980" s="1410">
        <f t="shared" si="351"/>
        <v>1.2729999999999999</v>
      </c>
      <c r="G980" s="1410">
        <v>0.6</v>
      </c>
      <c r="H980" s="1473">
        <v>6.25E-2</v>
      </c>
      <c r="I980" s="1425">
        <f t="shared" si="345"/>
        <v>9.547499999999999E-2</v>
      </c>
      <c r="Q980" s="1394">
        <f>IFERROR(VLOOKUP(M980,#REF!,3,0),0)</f>
        <v>0</v>
      </c>
      <c r="R980" s="1394">
        <f t="shared" si="341"/>
        <v>0</v>
      </c>
      <c r="S980" s="1394">
        <f>IFERROR(VLOOKUP(M980,#REF!,6,0),0)</f>
        <v>0</v>
      </c>
      <c r="T980" s="1394">
        <f t="shared" si="342"/>
        <v>0</v>
      </c>
      <c r="U980" s="1394">
        <f>IFERROR(VLOOKUP(M980,#REF!,5,0),0)</f>
        <v>0</v>
      </c>
      <c r="V980" s="1394">
        <f t="shared" si="343"/>
        <v>0</v>
      </c>
      <c r="W980" s="1394"/>
    </row>
    <row r="981" spans="2:23" ht="30" customHeight="1">
      <c r="B981" s="1407"/>
      <c r="C981" s="1408" t="str">
        <f t="shared" si="351"/>
        <v>FW-3</v>
      </c>
      <c r="D981" s="1409">
        <f t="shared" si="351"/>
        <v>1</v>
      </c>
      <c r="E981" s="1409">
        <f t="shared" si="351"/>
        <v>1</v>
      </c>
      <c r="F981" s="1410">
        <f t="shared" si="351"/>
        <v>2.46</v>
      </c>
      <c r="G981" s="1410">
        <f>G980</f>
        <v>0.6</v>
      </c>
      <c r="H981" s="1473">
        <f>H980</f>
        <v>6.25E-2</v>
      </c>
      <c r="I981" s="1425">
        <f t="shared" si="345"/>
        <v>9.2249999999999999E-2</v>
      </c>
      <c r="Q981" s="1394">
        <f>IFERROR(VLOOKUP(M981,#REF!,3,0),0)</f>
        <v>0</v>
      </c>
      <c r="R981" s="1394">
        <f t="shared" si="341"/>
        <v>0</v>
      </c>
      <c r="S981" s="1394">
        <f>IFERROR(VLOOKUP(M981,#REF!,6,0),0)</f>
        <v>0</v>
      </c>
      <c r="T981" s="1394">
        <f t="shared" si="342"/>
        <v>0</v>
      </c>
      <c r="U981" s="1394">
        <f>IFERROR(VLOOKUP(M981,#REF!,5,0),0)</f>
        <v>0</v>
      </c>
      <c r="V981" s="1394">
        <f t="shared" si="343"/>
        <v>0</v>
      </c>
      <c r="W981" s="1394"/>
    </row>
    <row r="982" spans="2:23" ht="30" customHeight="1">
      <c r="B982" s="1407"/>
      <c r="C982" s="1408" t="str">
        <f t="shared" si="351"/>
        <v>FW-4</v>
      </c>
      <c r="D982" s="1409">
        <f t="shared" si="351"/>
        <v>1</v>
      </c>
      <c r="E982" s="1409">
        <f t="shared" si="351"/>
        <v>2</v>
      </c>
      <c r="F982" s="1410">
        <f t="shared" si="351"/>
        <v>1.66</v>
      </c>
      <c r="G982" s="1410">
        <f t="shared" ref="G982:G992" si="352">G981</f>
        <v>0.6</v>
      </c>
      <c r="H982" s="1473">
        <f t="shared" ref="H982:H992" si="353">H981</f>
        <v>6.25E-2</v>
      </c>
      <c r="I982" s="1425">
        <f t="shared" si="345"/>
        <v>0.12449999999999999</v>
      </c>
      <c r="Q982" s="1394">
        <f>IFERROR(VLOOKUP(M982,#REF!,3,0),0)</f>
        <v>0</v>
      </c>
      <c r="R982" s="1394">
        <f t="shared" si="341"/>
        <v>0</v>
      </c>
      <c r="S982" s="1394">
        <f>IFERROR(VLOOKUP(M982,#REF!,6,0),0)</f>
        <v>0</v>
      </c>
      <c r="T982" s="1394">
        <f t="shared" si="342"/>
        <v>0</v>
      </c>
      <c r="U982" s="1394">
        <f>IFERROR(VLOOKUP(M982,#REF!,5,0),0)</f>
        <v>0</v>
      </c>
      <c r="V982" s="1394">
        <f t="shared" si="343"/>
        <v>0</v>
      </c>
      <c r="W982" s="1394"/>
    </row>
    <row r="983" spans="2:23" ht="30" customHeight="1">
      <c r="B983" s="1407"/>
      <c r="C983" s="1408" t="str">
        <f t="shared" si="351"/>
        <v>SW</v>
      </c>
      <c r="D983" s="1409">
        <f t="shared" si="351"/>
        <v>1</v>
      </c>
      <c r="E983" s="1409">
        <f t="shared" si="351"/>
        <v>1</v>
      </c>
      <c r="F983" s="1410">
        <f t="shared" si="351"/>
        <v>2.2600000000000002</v>
      </c>
      <c r="G983" s="1410">
        <f t="shared" si="352"/>
        <v>0.6</v>
      </c>
      <c r="H983" s="1473">
        <f t="shared" si="353"/>
        <v>6.25E-2</v>
      </c>
      <c r="I983" s="1425">
        <f t="shared" si="345"/>
        <v>8.4750000000000006E-2</v>
      </c>
      <c r="Q983" s="1394">
        <f>IFERROR(VLOOKUP(M983,#REF!,3,0),0)</f>
        <v>0</v>
      </c>
      <c r="R983" s="1394">
        <f t="shared" si="341"/>
        <v>0</v>
      </c>
      <c r="S983" s="1394">
        <f>IFERROR(VLOOKUP(M983,#REF!,6,0),0)</f>
        <v>0</v>
      </c>
      <c r="T983" s="1394">
        <f t="shared" si="342"/>
        <v>0</v>
      </c>
      <c r="U983" s="1394">
        <f>IFERROR(VLOOKUP(M983,#REF!,5,0),0)</f>
        <v>0</v>
      </c>
      <c r="V983" s="1394">
        <f t="shared" si="343"/>
        <v>0</v>
      </c>
      <c r="W983" s="1394"/>
    </row>
    <row r="984" spans="2:23" ht="30" customHeight="1">
      <c r="B984" s="1407"/>
      <c r="C984" s="1408" t="str">
        <f t="shared" si="351"/>
        <v>W</v>
      </c>
      <c r="D984" s="1409">
        <f t="shared" si="351"/>
        <v>1</v>
      </c>
      <c r="E984" s="1409">
        <f t="shared" si="351"/>
        <v>1</v>
      </c>
      <c r="F984" s="1410">
        <f t="shared" si="351"/>
        <v>2.2600000000000002</v>
      </c>
      <c r="G984" s="1410">
        <f t="shared" si="352"/>
        <v>0.6</v>
      </c>
      <c r="H984" s="1473">
        <f t="shared" si="353"/>
        <v>6.25E-2</v>
      </c>
      <c r="I984" s="1425">
        <f t="shared" si="345"/>
        <v>8.4750000000000006E-2</v>
      </c>
      <c r="Q984" s="1394">
        <f>IFERROR(VLOOKUP(M984,#REF!,3,0),0)</f>
        <v>0</v>
      </c>
      <c r="R984" s="1394">
        <f t="shared" si="341"/>
        <v>0</v>
      </c>
      <c r="S984" s="1394">
        <f>IFERROR(VLOOKUP(M984,#REF!,6,0),0)</f>
        <v>0</v>
      </c>
      <c r="T984" s="1394">
        <f t="shared" si="342"/>
        <v>0</v>
      </c>
      <c r="U984" s="1394">
        <f>IFERROR(VLOOKUP(M984,#REF!,5,0),0)</f>
        <v>0</v>
      </c>
      <c r="V984" s="1394">
        <f t="shared" si="343"/>
        <v>0</v>
      </c>
      <c r="W984" s="1394"/>
    </row>
    <row r="985" spans="2:23" ht="30" customHeight="1">
      <c r="B985" s="1407"/>
      <c r="C985" s="1408" t="str">
        <f t="shared" si="351"/>
        <v>W2</v>
      </c>
      <c r="D985" s="1409">
        <f t="shared" si="351"/>
        <v>1</v>
      </c>
      <c r="E985" s="1409">
        <f t="shared" si="351"/>
        <v>13</v>
      </c>
      <c r="F985" s="1410">
        <f t="shared" si="351"/>
        <v>1.66</v>
      </c>
      <c r="G985" s="1410">
        <f t="shared" si="352"/>
        <v>0.6</v>
      </c>
      <c r="H985" s="1473">
        <f t="shared" si="353"/>
        <v>6.25E-2</v>
      </c>
      <c r="I985" s="1425">
        <f t="shared" si="345"/>
        <v>0.80924999999999991</v>
      </c>
      <c r="Q985" s="1394">
        <f>IFERROR(VLOOKUP(M985,#REF!,3,0),0)</f>
        <v>0</v>
      </c>
      <c r="R985" s="1394">
        <f t="shared" si="341"/>
        <v>0</v>
      </c>
      <c r="S985" s="1394">
        <f>IFERROR(VLOOKUP(M985,#REF!,6,0),0)</f>
        <v>0</v>
      </c>
      <c r="T985" s="1394">
        <f t="shared" si="342"/>
        <v>0</v>
      </c>
      <c r="U985" s="1394">
        <f>IFERROR(VLOOKUP(M985,#REF!,5,0),0)</f>
        <v>0</v>
      </c>
      <c r="V985" s="1394">
        <f t="shared" si="343"/>
        <v>0</v>
      </c>
      <c r="W985" s="1394"/>
    </row>
    <row r="986" spans="2:23" ht="30" customHeight="1">
      <c r="B986" s="1407"/>
      <c r="C986" s="1408" t="str">
        <f t="shared" si="351"/>
        <v>W3</v>
      </c>
      <c r="D986" s="1409">
        <f t="shared" si="351"/>
        <v>1</v>
      </c>
      <c r="E986" s="1409">
        <f t="shared" si="351"/>
        <v>4</v>
      </c>
      <c r="F986" s="1410">
        <f t="shared" si="351"/>
        <v>1.46</v>
      </c>
      <c r="G986" s="1410">
        <f t="shared" si="352"/>
        <v>0.6</v>
      </c>
      <c r="H986" s="1473">
        <f t="shared" si="353"/>
        <v>6.25E-2</v>
      </c>
      <c r="I986" s="1425">
        <f t="shared" si="345"/>
        <v>0.219</v>
      </c>
      <c r="Q986" s="1394">
        <f>IFERROR(VLOOKUP(M986,#REF!,3,0),0)</f>
        <v>0</v>
      </c>
      <c r="R986" s="1394">
        <f t="shared" si="341"/>
        <v>0</v>
      </c>
      <c r="S986" s="1394">
        <f>IFERROR(VLOOKUP(M986,#REF!,6,0),0)</f>
        <v>0</v>
      </c>
      <c r="T986" s="1394">
        <f t="shared" si="342"/>
        <v>0</v>
      </c>
      <c r="U986" s="1394">
        <f>IFERROR(VLOOKUP(M986,#REF!,5,0),0)</f>
        <v>0</v>
      </c>
      <c r="V986" s="1394">
        <f t="shared" si="343"/>
        <v>0</v>
      </c>
      <c r="W986" s="1394"/>
    </row>
    <row r="987" spans="2:23" ht="30" customHeight="1">
      <c r="B987" s="1407"/>
      <c r="C987" s="1408" t="str">
        <f t="shared" si="351"/>
        <v>SLW</v>
      </c>
      <c r="D987" s="1409">
        <f t="shared" si="351"/>
        <v>1</v>
      </c>
      <c r="E987" s="1409">
        <f t="shared" si="351"/>
        <v>2</v>
      </c>
      <c r="F987" s="1410">
        <f t="shared" si="351"/>
        <v>2.56</v>
      </c>
      <c r="G987" s="1410">
        <f t="shared" si="352"/>
        <v>0.6</v>
      </c>
      <c r="H987" s="1473">
        <f t="shared" si="353"/>
        <v>6.25E-2</v>
      </c>
      <c r="I987" s="1425">
        <f t="shared" si="345"/>
        <v>0.192</v>
      </c>
      <c r="Q987" s="1394">
        <f>IFERROR(VLOOKUP(M987,#REF!,3,0),0)</f>
        <v>0</v>
      </c>
      <c r="R987" s="1394">
        <f t="shared" si="341"/>
        <v>0</v>
      </c>
      <c r="S987" s="1394">
        <f>IFERROR(VLOOKUP(M987,#REF!,6,0),0)</f>
        <v>0</v>
      </c>
      <c r="T987" s="1394">
        <f t="shared" si="342"/>
        <v>0</v>
      </c>
      <c r="U987" s="1394">
        <f>IFERROR(VLOOKUP(M987,#REF!,5,0),0)</f>
        <v>0</v>
      </c>
      <c r="V987" s="1394">
        <f t="shared" si="343"/>
        <v>0</v>
      </c>
      <c r="W987" s="1394"/>
    </row>
    <row r="988" spans="2:23" ht="30" customHeight="1">
      <c r="B988" s="1407"/>
      <c r="C988" s="1408" t="str">
        <f t="shared" si="351"/>
        <v>RV</v>
      </c>
      <c r="D988" s="1409">
        <f t="shared" si="351"/>
        <v>1</v>
      </c>
      <c r="E988" s="1409">
        <f t="shared" si="351"/>
        <v>2</v>
      </c>
      <c r="F988" s="1410">
        <f t="shared" si="351"/>
        <v>1.81</v>
      </c>
      <c r="G988" s="1410">
        <f t="shared" si="352"/>
        <v>0.6</v>
      </c>
      <c r="H988" s="1473">
        <f t="shared" si="353"/>
        <v>6.25E-2</v>
      </c>
      <c r="I988" s="1425">
        <f t="shared" si="345"/>
        <v>0.13575000000000001</v>
      </c>
      <c r="Q988" s="1394">
        <f>IFERROR(VLOOKUP(M988,#REF!,3,0),0)</f>
        <v>0</v>
      </c>
      <c r="R988" s="1394">
        <f t="shared" si="341"/>
        <v>0</v>
      </c>
      <c r="S988" s="1394">
        <f>IFERROR(VLOOKUP(M988,#REF!,6,0),0)</f>
        <v>0</v>
      </c>
      <c r="T988" s="1394">
        <f t="shared" si="342"/>
        <v>0</v>
      </c>
      <c r="U988" s="1394">
        <f>IFERROR(VLOOKUP(M988,#REF!,5,0),0)</f>
        <v>0</v>
      </c>
      <c r="V988" s="1394">
        <f t="shared" si="343"/>
        <v>0</v>
      </c>
      <c r="W988" s="1394"/>
    </row>
    <row r="989" spans="2:23" ht="30" customHeight="1">
      <c r="B989" s="1407"/>
      <c r="C989" s="1408" t="str">
        <f t="shared" si="351"/>
        <v>RV1</v>
      </c>
      <c r="D989" s="1409">
        <f t="shared" si="351"/>
        <v>1</v>
      </c>
      <c r="E989" s="1409">
        <f t="shared" si="351"/>
        <v>1</v>
      </c>
      <c r="F989" s="1410">
        <f t="shared" si="351"/>
        <v>1.36</v>
      </c>
      <c r="G989" s="1410">
        <f t="shared" si="352"/>
        <v>0.6</v>
      </c>
      <c r="H989" s="1473">
        <f t="shared" si="353"/>
        <v>6.25E-2</v>
      </c>
      <c r="I989" s="1425">
        <f t="shared" si="345"/>
        <v>5.1000000000000004E-2</v>
      </c>
      <c r="Q989" s="1394">
        <f>IFERROR(VLOOKUP(M989,#REF!,3,0),0)</f>
        <v>0</v>
      </c>
      <c r="R989" s="1394">
        <f t="shared" si="341"/>
        <v>0</v>
      </c>
      <c r="S989" s="1394">
        <f>IFERROR(VLOOKUP(M989,#REF!,6,0),0)</f>
        <v>0</v>
      </c>
      <c r="T989" s="1394">
        <f t="shared" si="342"/>
        <v>0</v>
      </c>
      <c r="U989" s="1394">
        <f>IFERROR(VLOOKUP(M989,#REF!,5,0),0)</f>
        <v>0</v>
      </c>
      <c r="V989" s="1394">
        <f t="shared" si="343"/>
        <v>0</v>
      </c>
      <c r="W989" s="1394"/>
    </row>
    <row r="990" spans="2:23" ht="30" customHeight="1">
      <c r="B990" s="1407"/>
      <c r="C990" s="1408" t="str">
        <f t="shared" si="351"/>
        <v>V</v>
      </c>
      <c r="D990" s="1409">
        <f t="shared" si="351"/>
        <v>1</v>
      </c>
      <c r="E990" s="1409">
        <f t="shared" si="351"/>
        <v>2</v>
      </c>
      <c r="F990" s="1410">
        <f t="shared" si="351"/>
        <v>1.46</v>
      </c>
      <c r="G990" s="1410">
        <f t="shared" si="352"/>
        <v>0.6</v>
      </c>
      <c r="H990" s="1473">
        <f t="shared" si="353"/>
        <v>6.25E-2</v>
      </c>
      <c r="I990" s="1425">
        <f t="shared" si="345"/>
        <v>0.1095</v>
      </c>
      <c r="Q990" s="1394">
        <f>IFERROR(VLOOKUP(M990,#REF!,3,0),0)</f>
        <v>0</v>
      </c>
      <c r="R990" s="1394">
        <f t="shared" si="341"/>
        <v>0</v>
      </c>
      <c r="S990" s="1394">
        <f>IFERROR(VLOOKUP(M990,#REF!,6,0),0)</f>
        <v>0</v>
      </c>
      <c r="T990" s="1394">
        <f t="shared" si="342"/>
        <v>0</v>
      </c>
      <c r="U990" s="1394">
        <f>IFERROR(VLOOKUP(M990,#REF!,5,0),0)</f>
        <v>0</v>
      </c>
      <c r="V990" s="1394">
        <f t="shared" si="343"/>
        <v>0</v>
      </c>
      <c r="W990" s="1394"/>
    </row>
    <row r="991" spans="2:23" ht="30" customHeight="1">
      <c r="B991" s="1407"/>
      <c r="C991" s="1408" t="str">
        <f t="shared" si="351"/>
        <v>V1</v>
      </c>
      <c r="D991" s="1409">
        <f t="shared" si="351"/>
        <v>1</v>
      </c>
      <c r="E991" s="1409">
        <f t="shared" si="351"/>
        <v>2</v>
      </c>
      <c r="F991" s="1410">
        <f t="shared" si="351"/>
        <v>1.06</v>
      </c>
      <c r="G991" s="1410">
        <f t="shared" si="352"/>
        <v>0.6</v>
      </c>
      <c r="H991" s="1473">
        <f t="shared" si="353"/>
        <v>6.25E-2</v>
      </c>
      <c r="I991" s="1425">
        <f t="shared" si="345"/>
        <v>7.9500000000000001E-2</v>
      </c>
      <c r="Q991" s="1394">
        <f>IFERROR(VLOOKUP(M991,#REF!,3,0),0)</f>
        <v>0</v>
      </c>
      <c r="R991" s="1394">
        <f t="shared" si="341"/>
        <v>0</v>
      </c>
      <c r="S991" s="1394">
        <f>IFERROR(VLOOKUP(M991,#REF!,6,0),0)</f>
        <v>0</v>
      </c>
      <c r="T991" s="1394">
        <f t="shared" si="342"/>
        <v>0</v>
      </c>
      <c r="U991" s="1394">
        <f>IFERROR(VLOOKUP(M991,#REF!,5,0),0)</f>
        <v>0</v>
      </c>
      <c r="V991" s="1394">
        <f t="shared" si="343"/>
        <v>0</v>
      </c>
      <c r="W991" s="1394"/>
    </row>
    <row r="992" spans="2:23" ht="30" customHeight="1">
      <c r="B992" s="1405"/>
      <c r="C992" s="1408" t="str">
        <f t="shared" si="351"/>
        <v>V3</v>
      </c>
      <c r="D992" s="1409">
        <f t="shared" si="351"/>
        <v>1</v>
      </c>
      <c r="E992" s="1409">
        <f t="shared" si="351"/>
        <v>4</v>
      </c>
      <c r="F992" s="1410">
        <f t="shared" si="351"/>
        <v>1.36</v>
      </c>
      <c r="G992" s="1410">
        <f t="shared" si="352"/>
        <v>0.6</v>
      </c>
      <c r="H992" s="1473">
        <f t="shared" si="353"/>
        <v>6.25E-2</v>
      </c>
      <c r="I992" s="1425">
        <f t="shared" si="345"/>
        <v>0.20400000000000001</v>
      </c>
      <c r="O992" s="1469"/>
      <c r="Q992" s="1394">
        <f>IFERROR(VLOOKUP(M992,#REF!,3,0),0)</f>
        <v>0</v>
      </c>
      <c r="R992" s="1394">
        <f t="shared" si="341"/>
        <v>0</v>
      </c>
      <c r="S992" s="1394">
        <f>IFERROR(VLOOKUP(M992,#REF!,6,0),0)</f>
        <v>0</v>
      </c>
      <c r="T992" s="1394">
        <f t="shared" si="342"/>
        <v>0</v>
      </c>
      <c r="U992" s="1394">
        <f>IFERROR(VLOOKUP(M992,#REF!,5,0),0)</f>
        <v>0</v>
      </c>
      <c r="V992" s="1394">
        <f t="shared" si="343"/>
        <v>0</v>
      </c>
      <c r="W992" s="1394"/>
    </row>
    <row r="993" spans="2:23" ht="30" customHeight="1">
      <c r="B993" s="1405"/>
      <c r="C993" s="1408" t="s">
        <v>320</v>
      </c>
      <c r="D993" s="1409">
        <v>1</v>
      </c>
      <c r="E993" s="1409">
        <v>1</v>
      </c>
      <c r="F993" s="1410">
        <v>3.75</v>
      </c>
      <c r="G993" s="1410">
        <v>1.2</v>
      </c>
      <c r="H993" s="1410">
        <v>0.15</v>
      </c>
      <c r="I993" s="1471">
        <f t="shared" ref="I993:I996" si="354">PRODUCT(D993:H993)</f>
        <v>0.67499999999999993</v>
      </c>
      <c r="O993" s="1395"/>
      <c r="Q993" s="1394">
        <f>IFERROR(VLOOKUP(M993,#REF!,3,0),0)</f>
        <v>0</v>
      </c>
      <c r="R993" s="1394">
        <f t="shared" si="341"/>
        <v>0</v>
      </c>
      <c r="S993" s="1394">
        <f>IFERROR(VLOOKUP(M993,#REF!,6,0),0)</f>
        <v>0</v>
      </c>
      <c r="T993" s="1394">
        <f t="shared" si="342"/>
        <v>0</v>
      </c>
      <c r="U993" s="1394">
        <f>IFERROR(VLOOKUP(M993,#REF!,5,0),0)</f>
        <v>0</v>
      </c>
      <c r="V993" s="1394">
        <f t="shared" si="343"/>
        <v>0</v>
      </c>
      <c r="W993" s="1394"/>
    </row>
    <row r="994" spans="2:23" ht="30" customHeight="1">
      <c r="B994" s="1405"/>
      <c r="C994" s="1408" t="s">
        <v>307</v>
      </c>
      <c r="D994" s="1409">
        <v>1</v>
      </c>
      <c r="E994" s="1409">
        <v>1</v>
      </c>
      <c r="F994" s="1410">
        <f>2.7+0.46</f>
        <v>3.16</v>
      </c>
      <c r="G994" s="1410">
        <v>1.2</v>
      </c>
      <c r="H994" s="1410">
        <v>0.15</v>
      </c>
      <c r="I994" s="1471">
        <f t="shared" si="354"/>
        <v>0.56879999999999997</v>
      </c>
      <c r="O994" s="1395"/>
      <c r="Q994" s="1394">
        <f>IFERROR(VLOOKUP(M994,#REF!,3,0),0)</f>
        <v>0</v>
      </c>
      <c r="R994" s="1394">
        <f t="shared" si="341"/>
        <v>0</v>
      </c>
      <c r="S994" s="1394">
        <f>IFERROR(VLOOKUP(M994,#REF!,6,0),0)</f>
        <v>0</v>
      </c>
      <c r="T994" s="1394">
        <f t="shared" si="342"/>
        <v>0</v>
      </c>
      <c r="U994" s="1394">
        <f>IFERROR(VLOOKUP(M994,#REF!,5,0),0)</f>
        <v>0</v>
      </c>
      <c r="V994" s="1394">
        <f t="shared" si="343"/>
        <v>0</v>
      </c>
      <c r="W994" s="1394"/>
    </row>
    <row r="995" spans="2:23" ht="30" customHeight="1">
      <c r="B995" s="1407"/>
      <c r="C995" s="1480" t="s">
        <v>321</v>
      </c>
      <c r="D995" s="1409">
        <v>1</v>
      </c>
      <c r="E995" s="1409">
        <v>1</v>
      </c>
      <c r="F995" s="1410">
        <v>3.4</v>
      </c>
      <c r="G995" s="1410">
        <v>1.2</v>
      </c>
      <c r="H995" s="1410">
        <v>0.15</v>
      </c>
      <c r="I995" s="1471">
        <f t="shared" si="354"/>
        <v>0.61199999999999999</v>
      </c>
      <c r="Q995" s="1394">
        <f>IFERROR(VLOOKUP(M995,#REF!,3,0),0)</f>
        <v>0</v>
      </c>
      <c r="R995" s="1394">
        <f t="shared" si="341"/>
        <v>0</v>
      </c>
      <c r="S995" s="1394">
        <f>IFERROR(VLOOKUP(M995,#REF!,6,0),0)</f>
        <v>0</v>
      </c>
      <c r="T995" s="1394">
        <f t="shared" si="342"/>
        <v>0</v>
      </c>
      <c r="U995" s="1394">
        <f>IFERROR(VLOOKUP(M995,#REF!,5,0),0)</f>
        <v>0</v>
      </c>
      <c r="V995" s="1394">
        <f t="shared" si="343"/>
        <v>0</v>
      </c>
      <c r="W995" s="1394"/>
    </row>
    <row r="996" spans="2:23" ht="30" customHeight="1">
      <c r="B996" s="1405"/>
      <c r="C996" s="1408" t="s">
        <v>309</v>
      </c>
      <c r="D996" s="1409">
        <v>0.5</v>
      </c>
      <c r="E996" s="1409">
        <v>21</v>
      </c>
      <c r="F996" s="1410">
        <v>1.2</v>
      </c>
      <c r="G996" s="1410">
        <v>0.3</v>
      </c>
      <c r="H996" s="1410">
        <v>0.157</v>
      </c>
      <c r="I996" s="1471">
        <f t="shared" si="354"/>
        <v>0.59345999999999999</v>
      </c>
      <c r="J996" s="110" t="e">
        <f>#REF!*30</f>
        <v>#REF!</v>
      </c>
      <c r="O996" s="1395"/>
      <c r="Q996" s="1394">
        <f>IFERROR(VLOOKUP(M996,#REF!,3,0),0)</f>
        <v>0</v>
      </c>
      <c r="R996" s="1394">
        <f t="shared" si="341"/>
        <v>0</v>
      </c>
      <c r="S996" s="1394">
        <f>IFERROR(VLOOKUP(M996,#REF!,6,0),0)</f>
        <v>0</v>
      </c>
      <c r="T996" s="1394">
        <f t="shared" si="342"/>
        <v>0</v>
      </c>
      <c r="U996" s="1394">
        <f>IFERROR(VLOOKUP(M996,#REF!,5,0),0)</f>
        <v>0</v>
      </c>
      <c r="V996" s="1394">
        <f t="shared" si="343"/>
        <v>0</v>
      </c>
      <c r="W996" s="1394"/>
    </row>
    <row r="997" spans="2:23" ht="30" customHeight="1">
      <c r="B997" s="1405"/>
      <c r="C997" s="1408"/>
      <c r="D997" s="1409"/>
      <c r="E997" s="1409"/>
      <c r="F997" s="1410"/>
      <c r="G997" s="1410"/>
      <c r="H997" s="1411"/>
      <c r="I997" s="1471"/>
      <c r="O997" s="1395"/>
      <c r="Q997" s="1394">
        <f>IFERROR(VLOOKUP(M997,#REF!,3,0),0)</f>
        <v>0</v>
      </c>
      <c r="R997" s="1394">
        <f t="shared" si="341"/>
        <v>0</v>
      </c>
      <c r="S997" s="1394">
        <f>IFERROR(VLOOKUP(M997,#REF!,6,0),0)</f>
        <v>0</v>
      </c>
      <c r="T997" s="1394">
        <f t="shared" si="342"/>
        <v>0</v>
      </c>
      <c r="U997" s="1394">
        <f>IFERROR(VLOOKUP(M997,#REF!,5,0),0)</f>
        <v>0</v>
      </c>
      <c r="V997" s="1394">
        <f t="shared" si="343"/>
        <v>0</v>
      </c>
      <c r="W997" s="1394"/>
    </row>
    <row r="998" spans="2:23" ht="30" customHeight="1">
      <c r="B998" s="1405"/>
      <c r="C998" s="1415" t="s">
        <v>310</v>
      </c>
      <c r="D998" s="1409"/>
      <c r="E998" s="1409"/>
      <c r="F998" s="1410"/>
      <c r="G998" s="1410"/>
      <c r="H998" s="1411"/>
      <c r="I998" s="1471">
        <f t="shared" ref="I998:I1016" si="355">PRODUCT(D998:H998)</f>
        <v>0</v>
      </c>
      <c r="O998" s="1395"/>
      <c r="Q998" s="1394">
        <f>IFERROR(VLOOKUP(M998,#REF!,3,0),0)</f>
        <v>0</v>
      </c>
      <c r="R998" s="1394">
        <f t="shared" si="341"/>
        <v>0</v>
      </c>
      <c r="S998" s="1394">
        <f>IFERROR(VLOOKUP(M998,#REF!,6,0),0)</f>
        <v>0</v>
      </c>
      <c r="T998" s="1394">
        <f t="shared" si="342"/>
        <v>0</v>
      </c>
      <c r="U998" s="1394">
        <f>IFERROR(VLOOKUP(M998,#REF!,5,0),0)</f>
        <v>0</v>
      </c>
      <c r="V998" s="1394">
        <f t="shared" si="343"/>
        <v>0</v>
      </c>
      <c r="W998" s="1394"/>
    </row>
    <row r="999" spans="2:23" ht="30" customHeight="1">
      <c r="B999" s="1405"/>
      <c r="C999" s="1415" t="s">
        <v>311</v>
      </c>
      <c r="D999" s="1409"/>
      <c r="E999" s="1409"/>
      <c r="F999" s="1410"/>
      <c r="G999" s="1410"/>
      <c r="H999" s="1411"/>
      <c r="I999" s="1471">
        <f t="shared" si="355"/>
        <v>0</v>
      </c>
      <c r="O999" s="1395"/>
      <c r="Q999" s="1394">
        <f>IFERROR(VLOOKUP(M999,#REF!,3,0),0)</f>
        <v>0</v>
      </c>
      <c r="R999" s="1394">
        <f t="shared" si="341"/>
        <v>0</v>
      </c>
      <c r="S999" s="1394">
        <f>IFERROR(VLOOKUP(M999,#REF!,6,0),0)</f>
        <v>0</v>
      </c>
      <c r="T999" s="1394">
        <f t="shared" si="342"/>
        <v>0</v>
      </c>
      <c r="U999" s="1394">
        <f>IFERROR(VLOOKUP(M999,#REF!,5,0),0)</f>
        <v>0</v>
      </c>
      <c r="V999" s="1394">
        <f t="shared" si="343"/>
        <v>0</v>
      </c>
      <c r="W999" s="1394"/>
    </row>
    <row r="1000" spans="2:23" ht="30" customHeight="1">
      <c r="B1000" s="1405"/>
      <c r="C1000" s="1408" t="s">
        <v>5723</v>
      </c>
      <c r="D1000" s="1409">
        <v>1</v>
      </c>
      <c r="E1000" s="1409">
        <v>4</v>
      </c>
      <c r="F1000" s="1410">
        <f>4.23</f>
        <v>4.2300000000000004</v>
      </c>
      <c r="G1000" s="1410">
        <v>0.23</v>
      </c>
      <c r="H1000" s="1411">
        <v>0.38</v>
      </c>
      <c r="I1000" s="1471">
        <f t="shared" si="355"/>
        <v>1.4788080000000001</v>
      </c>
      <c r="Q1000" s="1394">
        <f>IFERROR(VLOOKUP(M1000,#REF!,3,0),0)</f>
        <v>0</v>
      </c>
      <c r="R1000" s="1394">
        <f t="shared" si="341"/>
        <v>0</v>
      </c>
      <c r="S1000" s="1394">
        <f>IFERROR(VLOOKUP(M1000,#REF!,6,0),0)</f>
        <v>0</v>
      </c>
      <c r="T1000" s="1394">
        <f t="shared" si="342"/>
        <v>0</v>
      </c>
      <c r="U1000" s="1394">
        <f>IFERROR(VLOOKUP(M1000,#REF!,5,0),0)</f>
        <v>0</v>
      </c>
      <c r="V1000" s="1394">
        <f t="shared" si="343"/>
        <v>0</v>
      </c>
      <c r="W1000" s="1394"/>
    </row>
    <row r="1001" spans="2:23" ht="30" customHeight="1">
      <c r="B1001" s="1405"/>
      <c r="C1001" s="1408" t="s">
        <v>5698</v>
      </c>
      <c r="D1001" s="1409">
        <v>1</v>
      </c>
      <c r="E1001" s="1409">
        <v>1</v>
      </c>
      <c r="F1001" s="1410">
        <f>4.23+2.33+0.9+2.425+1.23+3.465+3.995</f>
        <v>18.575000000000003</v>
      </c>
      <c r="G1001" s="1410">
        <v>0.23</v>
      </c>
      <c r="H1001" s="1411">
        <v>0.38</v>
      </c>
      <c r="I1001" s="1471">
        <f t="shared" si="355"/>
        <v>1.6234550000000003</v>
      </c>
      <c r="J1001" s="1397" t="e">
        <f>#REF!+#REF!+2.4</f>
        <v>#REF!</v>
      </c>
      <c r="K1001" s="1397"/>
      <c r="Q1001" s="1394">
        <f>IFERROR(VLOOKUP(M1001,#REF!,3,0),0)</f>
        <v>0</v>
      </c>
      <c r="R1001" s="1394">
        <f t="shared" si="341"/>
        <v>0</v>
      </c>
      <c r="S1001" s="1394">
        <f>IFERROR(VLOOKUP(M1001,#REF!,6,0),0)</f>
        <v>0</v>
      </c>
      <c r="T1001" s="1394">
        <f t="shared" si="342"/>
        <v>0</v>
      </c>
      <c r="U1001" s="1394">
        <f>IFERROR(VLOOKUP(M1001,#REF!,5,0),0)</f>
        <v>0</v>
      </c>
      <c r="V1001" s="1394">
        <f t="shared" si="343"/>
        <v>0</v>
      </c>
      <c r="W1001" s="1394"/>
    </row>
    <row r="1002" spans="2:23" ht="30" customHeight="1">
      <c r="B1002" s="1405"/>
      <c r="C1002" s="1408" t="s">
        <v>5725</v>
      </c>
      <c r="D1002" s="1409">
        <v>1</v>
      </c>
      <c r="E1002" s="1409">
        <v>1</v>
      </c>
      <c r="F1002" s="1410">
        <f>2.33+0.9+2.425+1.23+3.465</f>
        <v>10.35</v>
      </c>
      <c r="G1002" s="1410">
        <v>0.23</v>
      </c>
      <c r="H1002" s="1411">
        <v>0.38</v>
      </c>
      <c r="I1002" s="1471">
        <f t="shared" si="355"/>
        <v>0.90459000000000001</v>
      </c>
      <c r="J1002" s="1397"/>
      <c r="K1002" s="1397"/>
      <c r="Q1002" s="1394">
        <f>IFERROR(VLOOKUP(M1002,#REF!,3,0),0)</f>
        <v>0</v>
      </c>
      <c r="R1002" s="1394">
        <f t="shared" si="341"/>
        <v>0</v>
      </c>
      <c r="S1002" s="1394">
        <f>IFERROR(VLOOKUP(M1002,#REF!,6,0),0)</f>
        <v>0</v>
      </c>
      <c r="T1002" s="1394">
        <f t="shared" si="342"/>
        <v>0</v>
      </c>
      <c r="U1002" s="1394">
        <f>IFERROR(VLOOKUP(M1002,#REF!,5,0),0)</f>
        <v>0</v>
      </c>
      <c r="V1002" s="1394">
        <f t="shared" si="343"/>
        <v>0</v>
      </c>
      <c r="W1002" s="1394"/>
    </row>
    <row r="1003" spans="2:23" ht="30" customHeight="1">
      <c r="B1003" s="1405"/>
      <c r="C1003" s="1408" t="s">
        <v>5724</v>
      </c>
      <c r="D1003" s="1409">
        <v>1</v>
      </c>
      <c r="E1003" s="1409">
        <v>1</v>
      </c>
      <c r="F1003" s="1410">
        <f>2.33+0.9+2.425+1.23+3.465</f>
        <v>10.35</v>
      </c>
      <c r="G1003" s="1410">
        <v>0.23</v>
      </c>
      <c r="H1003" s="1411">
        <v>0.45</v>
      </c>
      <c r="I1003" s="1471">
        <f t="shared" si="355"/>
        <v>1.0712250000000001</v>
      </c>
      <c r="Q1003" s="1394">
        <f>IFERROR(VLOOKUP(M1003,#REF!,3,0),0)</f>
        <v>0</v>
      </c>
      <c r="R1003" s="1394">
        <f t="shared" si="341"/>
        <v>0</v>
      </c>
      <c r="S1003" s="1394">
        <f>IFERROR(VLOOKUP(M1003,#REF!,6,0),0)</f>
        <v>0</v>
      </c>
      <c r="T1003" s="1394">
        <f t="shared" si="342"/>
        <v>0</v>
      </c>
      <c r="U1003" s="1394">
        <f>IFERROR(VLOOKUP(M1003,#REF!,5,0),0)</f>
        <v>0</v>
      </c>
      <c r="V1003" s="1394">
        <f t="shared" si="343"/>
        <v>0</v>
      </c>
      <c r="W1003" s="1394"/>
    </row>
    <row r="1004" spans="2:23" ht="30" customHeight="1">
      <c r="B1004" s="1405"/>
      <c r="C1004" s="1408" t="s">
        <v>5726</v>
      </c>
      <c r="D1004" s="1409">
        <v>1</v>
      </c>
      <c r="E1004" s="1409">
        <v>1</v>
      </c>
      <c r="F1004" s="1410">
        <f>2.33+0.9+2.425+1.23+3.465</f>
        <v>10.35</v>
      </c>
      <c r="G1004" s="1410">
        <v>0.23</v>
      </c>
      <c r="H1004" s="1411">
        <v>0.6</v>
      </c>
      <c r="I1004" s="1471">
        <f t="shared" si="355"/>
        <v>1.4282999999999999</v>
      </c>
      <c r="Q1004" s="1394">
        <f>IFERROR(VLOOKUP(M1004,#REF!,3,0),0)</f>
        <v>0</v>
      </c>
      <c r="R1004" s="1394">
        <f t="shared" si="341"/>
        <v>0</v>
      </c>
      <c r="S1004" s="1394">
        <f>IFERROR(VLOOKUP(M1004,#REF!,6,0),0)</f>
        <v>0</v>
      </c>
      <c r="T1004" s="1394">
        <f t="shared" si="342"/>
        <v>0</v>
      </c>
      <c r="U1004" s="1394">
        <f>IFERROR(VLOOKUP(M1004,#REF!,5,0),0)</f>
        <v>0</v>
      </c>
      <c r="V1004" s="1394">
        <f t="shared" si="343"/>
        <v>0</v>
      </c>
      <c r="W1004" s="1394"/>
    </row>
    <row r="1005" spans="2:23" ht="30" customHeight="1">
      <c r="B1005" s="1405"/>
      <c r="C1005" s="1408" t="s">
        <v>5727</v>
      </c>
      <c r="D1005" s="1409">
        <v>1</v>
      </c>
      <c r="E1005" s="1409">
        <v>1</v>
      </c>
      <c r="F1005" s="1410">
        <f>2.33+0.9+2.425+1.23</f>
        <v>6.8849999999999998</v>
      </c>
      <c r="G1005" s="1410">
        <v>0.23</v>
      </c>
      <c r="H1005" s="1411">
        <v>0.38</v>
      </c>
      <c r="I1005" s="1471">
        <f t="shared" si="355"/>
        <v>0.60174899999999998</v>
      </c>
      <c r="Q1005" s="1394">
        <f>IFERROR(VLOOKUP(M1005,#REF!,3,0),0)</f>
        <v>0</v>
      </c>
      <c r="R1005" s="1394">
        <f t="shared" si="341"/>
        <v>0</v>
      </c>
      <c r="S1005" s="1394">
        <f>IFERROR(VLOOKUP(M1005,#REF!,6,0),0)</f>
        <v>0</v>
      </c>
      <c r="T1005" s="1394">
        <f t="shared" si="342"/>
        <v>0</v>
      </c>
      <c r="U1005" s="1394">
        <f>IFERROR(VLOOKUP(M1005,#REF!,5,0),0)</f>
        <v>0</v>
      </c>
      <c r="V1005" s="1394">
        <f t="shared" si="343"/>
        <v>0</v>
      </c>
      <c r="W1005" s="1394"/>
    </row>
    <row r="1006" spans="2:23" ht="30" customHeight="1">
      <c r="B1006" s="1405"/>
      <c r="C1006" s="1408" t="s">
        <v>326</v>
      </c>
      <c r="D1006" s="1409">
        <v>1</v>
      </c>
      <c r="E1006" s="1409">
        <v>1</v>
      </c>
      <c r="F1006" s="1410">
        <f>4.23</f>
        <v>4.2300000000000004</v>
      </c>
      <c r="G1006" s="1410">
        <v>0.23</v>
      </c>
      <c r="H1006" s="1411">
        <v>0.38</v>
      </c>
      <c r="I1006" s="1471">
        <f t="shared" si="355"/>
        <v>0.36970200000000003</v>
      </c>
      <c r="J1006" s="1396"/>
      <c r="K1006" s="1396"/>
      <c r="Q1006" s="1394">
        <f>IFERROR(VLOOKUP(M1006,#REF!,3,0),0)</f>
        <v>0</v>
      </c>
      <c r="R1006" s="1394">
        <f t="shared" ref="R1006:R1069" si="356">ROUND(O1006,2)*ROUND(Q1006,2)</f>
        <v>0</v>
      </c>
      <c r="S1006" s="1394">
        <f>IFERROR(VLOOKUP(M1006,#REF!,6,0),0)</f>
        <v>0</v>
      </c>
      <c r="T1006" s="1394">
        <f t="shared" ref="T1006:T1069" si="357">R1006-S1006</f>
        <v>0</v>
      </c>
      <c r="U1006" s="1394">
        <f>IFERROR(VLOOKUP(M1006,#REF!,5,0),0)</f>
        <v>0</v>
      </c>
      <c r="V1006" s="1394">
        <f t="shared" ref="V1006:V1069" si="358">O1006-U1006</f>
        <v>0</v>
      </c>
      <c r="W1006" s="1394"/>
    </row>
    <row r="1007" spans="2:23" ht="30" customHeight="1">
      <c r="B1007" s="1405"/>
      <c r="C1007" s="1408" t="s">
        <v>326</v>
      </c>
      <c r="D1007" s="1409">
        <v>1</v>
      </c>
      <c r="E1007" s="1409">
        <v>1</v>
      </c>
      <c r="F1007" s="1410">
        <v>3.9950000000000001</v>
      </c>
      <c r="G1007" s="1410">
        <v>0.23</v>
      </c>
      <c r="H1007" s="1411">
        <v>0.38</v>
      </c>
      <c r="I1007" s="1471">
        <f t="shared" si="355"/>
        <v>0.349163</v>
      </c>
      <c r="Q1007" s="1394">
        <f>IFERROR(VLOOKUP(M1007,#REF!,3,0),0)</f>
        <v>0</v>
      </c>
      <c r="R1007" s="1394">
        <f t="shared" si="356"/>
        <v>0</v>
      </c>
      <c r="S1007" s="1394">
        <f>IFERROR(VLOOKUP(M1007,#REF!,6,0),0)</f>
        <v>0</v>
      </c>
      <c r="T1007" s="1394">
        <f t="shared" si="357"/>
        <v>0</v>
      </c>
      <c r="U1007" s="1394">
        <f>IFERROR(VLOOKUP(M1007,#REF!,5,0),0)</f>
        <v>0</v>
      </c>
      <c r="V1007" s="1394">
        <f t="shared" si="358"/>
        <v>0</v>
      </c>
      <c r="W1007" s="1394"/>
    </row>
    <row r="1008" spans="2:23" ht="30" customHeight="1">
      <c r="B1008" s="1405"/>
      <c r="C1008" s="1408" t="s">
        <v>5728</v>
      </c>
      <c r="D1008" s="1409">
        <v>1</v>
      </c>
      <c r="E1008" s="1409">
        <v>4</v>
      </c>
      <c r="F1008" s="1410">
        <f>3.995</f>
        <v>3.9950000000000001</v>
      </c>
      <c r="G1008" s="1410">
        <v>0.23</v>
      </c>
      <c r="H1008" s="1411">
        <v>0.38</v>
      </c>
      <c r="I1008" s="1471">
        <f t="shared" si="355"/>
        <v>1.396652</v>
      </c>
      <c r="Q1008" s="1394">
        <f>IFERROR(VLOOKUP(M1008,#REF!,3,0),0)</f>
        <v>0</v>
      </c>
      <c r="R1008" s="1394">
        <f t="shared" si="356"/>
        <v>0</v>
      </c>
      <c r="S1008" s="1394">
        <f>IFERROR(VLOOKUP(M1008,#REF!,6,0),0)</f>
        <v>0</v>
      </c>
      <c r="T1008" s="1394">
        <f t="shared" si="357"/>
        <v>0</v>
      </c>
      <c r="U1008" s="1394">
        <f>IFERROR(VLOOKUP(M1008,#REF!,5,0),0)</f>
        <v>0</v>
      </c>
      <c r="V1008" s="1394">
        <f t="shared" si="358"/>
        <v>0</v>
      </c>
      <c r="W1008" s="1394"/>
    </row>
    <row r="1009" spans="2:23" ht="30" customHeight="1">
      <c r="B1009" s="1405"/>
      <c r="C1009" s="1408" t="s">
        <v>5729</v>
      </c>
      <c r="D1009" s="1409">
        <v>1</v>
      </c>
      <c r="E1009" s="1409">
        <v>1</v>
      </c>
      <c r="F1009" s="1410">
        <f>1.735</f>
        <v>1.7350000000000001</v>
      </c>
      <c r="G1009" s="1410">
        <v>0.23</v>
      </c>
      <c r="H1009" s="1411">
        <v>0.38</v>
      </c>
      <c r="I1009" s="1471">
        <f t="shared" si="355"/>
        <v>0.151639</v>
      </c>
      <c r="Q1009" s="1394">
        <f>IFERROR(VLOOKUP(M1009,#REF!,3,0),0)</f>
        <v>0</v>
      </c>
      <c r="R1009" s="1394">
        <f t="shared" si="356"/>
        <v>0</v>
      </c>
      <c r="S1009" s="1394">
        <f>IFERROR(VLOOKUP(M1009,#REF!,6,0),0)</f>
        <v>0</v>
      </c>
      <c r="T1009" s="1394">
        <f t="shared" si="357"/>
        <v>0</v>
      </c>
      <c r="U1009" s="1394">
        <f>IFERROR(VLOOKUP(M1009,#REF!,5,0),0)</f>
        <v>0</v>
      </c>
      <c r="V1009" s="1394">
        <f t="shared" si="358"/>
        <v>0</v>
      </c>
      <c r="W1009" s="1394"/>
    </row>
    <row r="1010" spans="2:23" ht="30" customHeight="1">
      <c r="B1010" s="1405"/>
      <c r="C1010" s="1408" t="s">
        <v>5729</v>
      </c>
      <c r="D1010" s="1409">
        <v>1</v>
      </c>
      <c r="E1010" s="1409">
        <v>1</v>
      </c>
      <c r="F1010" s="1410">
        <f>3.765</f>
        <v>3.7650000000000001</v>
      </c>
      <c r="G1010" s="1410">
        <v>0.23</v>
      </c>
      <c r="H1010" s="1411">
        <v>0.38</v>
      </c>
      <c r="I1010" s="1471">
        <f t="shared" si="355"/>
        <v>0.32906100000000005</v>
      </c>
      <c r="Q1010" s="1394">
        <f>IFERROR(VLOOKUP(M1010,#REF!,3,0),0)</f>
        <v>0</v>
      </c>
      <c r="R1010" s="1394">
        <f t="shared" si="356"/>
        <v>0</v>
      </c>
      <c r="S1010" s="1394">
        <f>IFERROR(VLOOKUP(M1010,#REF!,6,0),0)</f>
        <v>0</v>
      </c>
      <c r="T1010" s="1394">
        <f t="shared" si="357"/>
        <v>0</v>
      </c>
      <c r="U1010" s="1394">
        <f>IFERROR(VLOOKUP(M1010,#REF!,5,0),0)</f>
        <v>0</v>
      </c>
      <c r="V1010" s="1394">
        <f t="shared" si="358"/>
        <v>0</v>
      </c>
      <c r="W1010" s="1394"/>
    </row>
    <row r="1011" spans="2:23" ht="30" customHeight="1">
      <c r="B1011" s="1405"/>
      <c r="C1011" s="1415" t="s">
        <v>312</v>
      </c>
      <c r="D1011" s="1409"/>
      <c r="E1011" s="1409"/>
      <c r="F1011" s="1410"/>
      <c r="G1011" s="1410"/>
      <c r="H1011" s="1411">
        <v>0</v>
      </c>
      <c r="I1011" s="1471">
        <f t="shared" si="355"/>
        <v>0</v>
      </c>
      <c r="Q1011" s="1394">
        <f>IFERROR(VLOOKUP(M1011,#REF!,3,0),0)</f>
        <v>0</v>
      </c>
      <c r="R1011" s="1394">
        <f t="shared" si="356"/>
        <v>0</v>
      </c>
      <c r="S1011" s="1394">
        <f>IFERROR(VLOOKUP(M1011,#REF!,6,0),0)</f>
        <v>0</v>
      </c>
      <c r="T1011" s="1394">
        <f t="shared" si="357"/>
        <v>0</v>
      </c>
      <c r="U1011" s="1394">
        <f>IFERROR(VLOOKUP(M1011,#REF!,5,0),0)</f>
        <v>0</v>
      </c>
      <c r="V1011" s="1394">
        <f t="shared" si="358"/>
        <v>0</v>
      </c>
      <c r="W1011" s="1394"/>
    </row>
    <row r="1012" spans="2:23" ht="30" customHeight="1">
      <c r="B1012" s="1405"/>
      <c r="C1012" s="1408" t="s">
        <v>5760</v>
      </c>
      <c r="D1012" s="1409">
        <v>1</v>
      </c>
      <c r="E1012" s="1409">
        <v>1</v>
      </c>
      <c r="F1012" s="1410">
        <f>3+2.53</f>
        <v>5.5299999999999994</v>
      </c>
      <c r="G1012" s="1410">
        <v>0.23</v>
      </c>
      <c r="H1012" s="1475">
        <v>0.45</v>
      </c>
      <c r="I1012" s="1471">
        <f t="shared" si="355"/>
        <v>0.57235499999999995</v>
      </c>
      <c r="Q1012" s="1394">
        <f>IFERROR(VLOOKUP(M1012,#REF!,3,0),0)</f>
        <v>0</v>
      </c>
      <c r="R1012" s="1394">
        <f t="shared" si="356"/>
        <v>0</v>
      </c>
      <c r="S1012" s="1394">
        <f>IFERROR(VLOOKUP(M1012,#REF!,6,0),0)</f>
        <v>0</v>
      </c>
      <c r="T1012" s="1394">
        <f t="shared" si="357"/>
        <v>0</v>
      </c>
      <c r="U1012" s="1394">
        <f>IFERROR(VLOOKUP(M1012,#REF!,5,0),0)</f>
        <v>0</v>
      </c>
      <c r="V1012" s="1394">
        <f t="shared" si="358"/>
        <v>0</v>
      </c>
      <c r="W1012" s="1394"/>
    </row>
    <row r="1013" spans="2:23" ht="30" customHeight="1">
      <c r="B1013" s="1405"/>
      <c r="C1013" s="1408" t="s">
        <v>5761</v>
      </c>
      <c r="D1013" s="1409">
        <v>1</v>
      </c>
      <c r="E1013" s="1409">
        <v>1</v>
      </c>
      <c r="F1013" s="1410">
        <f>3.26+2.73+4.13</f>
        <v>10.120000000000001</v>
      </c>
      <c r="G1013" s="1410">
        <v>0.23</v>
      </c>
      <c r="H1013" s="1411">
        <v>0.38</v>
      </c>
      <c r="I1013" s="1471">
        <f t="shared" si="355"/>
        <v>0.88448800000000016</v>
      </c>
      <c r="Q1013" s="1394">
        <f>IFERROR(VLOOKUP(M1013,#REF!,3,0),0)</f>
        <v>0</v>
      </c>
      <c r="R1013" s="1394">
        <f t="shared" si="356"/>
        <v>0</v>
      </c>
      <c r="S1013" s="1394">
        <f>IFERROR(VLOOKUP(M1013,#REF!,6,0),0)</f>
        <v>0</v>
      </c>
      <c r="T1013" s="1394">
        <f t="shared" si="357"/>
        <v>0</v>
      </c>
      <c r="U1013" s="1394">
        <f>IFERROR(VLOOKUP(M1013,#REF!,5,0),0)</f>
        <v>0</v>
      </c>
      <c r="V1013" s="1394">
        <f t="shared" si="358"/>
        <v>0</v>
      </c>
      <c r="W1013" s="1394"/>
    </row>
    <row r="1014" spans="2:23" ht="30" customHeight="1">
      <c r="B1014" s="1405"/>
      <c r="C1014" s="1408" t="s">
        <v>5730</v>
      </c>
      <c r="D1014" s="1409">
        <v>1</v>
      </c>
      <c r="E1014" s="1409">
        <v>1</v>
      </c>
      <c r="F1014" s="1410">
        <f>3+2.53+3.26+2.73+4.13</f>
        <v>15.649999999999999</v>
      </c>
      <c r="G1014" s="1410">
        <v>0.23</v>
      </c>
      <c r="H1014" s="1411">
        <v>0.38</v>
      </c>
      <c r="I1014" s="1471">
        <f t="shared" si="355"/>
        <v>1.36781</v>
      </c>
      <c r="Q1014" s="1394">
        <f>IFERROR(VLOOKUP(M1014,#REF!,3,0),0)</f>
        <v>0</v>
      </c>
      <c r="R1014" s="1394">
        <f t="shared" si="356"/>
        <v>0</v>
      </c>
      <c r="S1014" s="1394">
        <f>IFERROR(VLOOKUP(M1014,#REF!,6,0),0)</f>
        <v>0</v>
      </c>
      <c r="T1014" s="1394">
        <f t="shared" si="357"/>
        <v>0</v>
      </c>
      <c r="U1014" s="1394">
        <f>IFERROR(VLOOKUP(M1014,#REF!,5,0),0)</f>
        <v>0</v>
      </c>
      <c r="V1014" s="1394">
        <f t="shared" si="358"/>
        <v>0</v>
      </c>
      <c r="W1014" s="1394"/>
    </row>
    <row r="1015" spans="2:23" ht="30" customHeight="1">
      <c r="B1015" s="1405"/>
      <c r="C1015" s="1408" t="s">
        <v>5729</v>
      </c>
      <c r="D1015" s="1409">
        <v>1</v>
      </c>
      <c r="E1015" s="1409">
        <v>1</v>
      </c>
      <c r="F1015" s="1410">
        <f>4.13</f>
        <v>4.13</v>
      </c>
      <c r="G1015" s="1410">
        <v>0.23</v>
      </c>
      <c r="H1015" s="1411">
        <v>0.38</v>
      </c>
      <c r="I1015" s="1471">
        <f t="shared" si="355"/>
        <v>0.36096200000000001</v>
      </c>
      <c r="Q1015" s="1394">
        <f>IFERROR(VLOOKUP(M1015,#REF!,3,0),0)</f>
        <v>0</v>
      </c>
      <c r="R1015" s="1394">
        <f t="shared" si="356"/>
        <v>0</v>
      </c>
      <c r="S1015" s="1394">
        <f>IFERROR(VLOOKUP(M1015,#REF!,6,0),0)</f>
        <v>0</v>
      </c>
      <c r="T1015" s="1394">
        <f t="shared" si="357"/>
        <v>0</v>
      </c>
      <c r="U1015" s="1394">
        <f>IFERROR(VLOOKUP(M1015,#REF!,5,0),0)</f>
        <v>0</v>
      </c>
      <c r="V1015" s="1394">
        <f t="shared" si="358"/>
        <v>0</v>
      </c>
      <c r="W1015" s="1394"/>
    </row>
    <row r="1016" spans="2:23" ht="30" customHeight="1">
      <c r="B1016" s="1405"/>
      <c r="C1016" s="1408" t="s">
        <v>5729</v>
      </c>
      <c r="D1016" s="1409">
        <v>1</v>
      </c>
      <c r="E1016" s="1409">
        <v>1</v>
      </c>
      <c r="F1016" s="1410">
        <f>4.13</f>
        <v>4.13</v>
      </c>
      <c r="G1016" s="1410">
        <v>0.23</v>
      </c>
      <c r="H1016" s="1475">
        <v>0.45</v>
      </c>
      <c r="I1016" s="1471">
        <f t="shared" si="355"/>
        <v>0.42745499999999997</v>
      </c>
      <c r="Q1016" s="1394">
        <f>IFERROR(VLOOKUP(M1016,#REF!,3,0),0)</f>
        <v>0</v>
      </c>
      <c r="R1016" s="1394">
        <f t="shared" si="356"/>
        <v>0</v>
      </c>
      <c r="S1016" s="1394">
        <f>IFERROR(VLOOKUP(M1016,#REF!,6,0),0)</f>
        <v>0</v>
      </c>
      <c r="T1016" s="1394">
        <f t="shared" si="357"/>
        <v>0</v>
      </c>
      <c r="U1016" s="1394">
        <f>IFERROR(VLOOKUP(M1016,#REF!,5,0),0)</f>
        <v>0</v>
      </c>
      <c r="V1016" s="1394">
        <f t="shared" si="358"/>
        <v>0</v>
      </c>
      <c r="W1016" s="1394"/>
    </row>
    <row r="1017" spans="2:23" ht="30" customHeight="1">
      <c r="B1017" s="1405"/>
      <c r="C1017" s="1408" t="s">
        <v>5731</v>
      </c>
      <c r="D1017" s="1409">
        <v>1</v>
      </c>
      <c r="E1017" s="1409">
        <v>1</v>
      </c>
      <c r="F1017" s="1410">
        <f>2.53</f>
        <v>2.5299999999999998</v>
      </c>
      <c r="G1017" s="1410">
        <v>0.23</v>
      </c>
      <c r="H1017" s="1411">
        <v>0.45</v>
      </c>
      <c r="I1017" s="1471">
        <f t="shared" ref="I1017:I1023" si="359">PRODUCT(D1017:H1017)</f>
        <v>0.261855</v>
      </c>
      <c r="Q1017" s="1394">
        <f>IFERROR(VLOOKUP(M1017,#REF!,3,0),0)</f>
        <v>0</v>
      </c>
      <c r="R1017" s="1394">
        <f t="shared" si="356"/>
        <v>0</v>
      </c>
      <c r="S1017" s="1394">
        <f>IFERROR(VLOOKUP(M1017,#REF!,6,0),0)</f>
        <v>0</v>
      </c>
      <c r="T1017" s="1394">
        <f t="shared" si="357"/>
        <v>0</v>
      </c>
      <c r="U1017" s="1394">
        <f>IFERROR(VLOOKUP(M1017,#REF!,5,0),0)</f>
        <v>0</v>
      </c>
      <c r="V1017" s="1394">
        <f t="shared" si="358"/>
        <v>0</v>
      </c>
      <c r="W1017" s="1394"/>
    </row>
    <row r="1018" spans="2:23" ht="30" customHeight="1">
      <c r="B1018" s="1405"/>
      <c r="C1018" s="1408" t="s">
        <v>5737</v>
      </c>
      <c r="D1018" s="1409">
        <v>1</v>
      </c>
      <c r="E1018" s="1409">
        <v>2</v>
      </c>
      <c r="F1018" s="1410">
        <f>3.26+2.73</f>
        <v>5.99</v>
      </c>
      <c r="G1018" s="1410">
        <v>0.23</v>
      </c>
      <c r="H1018" s="1411">
        <v>0.6</v>
      </c>
      <c r="I1018" s="1471">
        <f t="shared" si="359"/>
        <v>1.65324</v>
      </c>
      <c r="Q1018" s="1394">
        <f>IFERROR(VLOOKUP(M1018,#REF!,3,0),0)</f>
        <v>0</v>
      </c>
      <c r="R1018" s="1394">
        <f t="shared" si="356"/>
        <v>0</v>
      </c>
      <c r="S1018" s="1394">
        <f>IFERROR(VLOOKUP(M1018,#REF!,6,0),0)</f>
        <v>0</v>
      </c>
      <c r="T1018" s="1394">
        <f t="shared" si="357"/>
        <v>0</v>
      </c>
      <c r="U1018" s="1394">
        <f>IFERROR(VLOOKUP(M1018,#REF!,5,0),0)</f>
        <v>0</v>
      </c>
      <c r="V1018" s="1394">
        <f t="shared" si="358"/>
        <v>0</v>
      </c>
      <c r="W1018" s="1394"/>
    </row>
    <row r="1019" spans="2:23" ht="30" customHeight="1">
      <c r="B1019" s="1405"/>
      <c r="C1019" s="1408" t="s">
        <v>5736</v>
      </c>
      <c r="D1019" s="1409">
        <v>1</v>
      </c>
      <c r="E1019" s="1409">
        <v>1</v>
      </c>
      <c r="F1019" s="1410">
        <f>3+2.53</f>
        <v>5.5299999999999994</v>
      </c>
      <c r="G1019" s="1410">
        <v>0.23</v>
      </c>
      <c r="H1019" s="1411">
        <v>0.45</v>
      </c>
      <c r="I1019" s="1471">
        <f t="shared" si="359"/>
        <v>0.57235499999999995</v>
      </c>
      <c r="Q1019" s="1394">
        <f>IFERROR(VLOOKUP(M1019,#REF!,3,0),0)</f>
        <v>0</v>
      </c>
      <c r="R1019" s="1394">
        <f t="shared" si="356"/>
        <v>0</v>
      </c>
      <c r="S1019" s="1394">
        <f>IFERROR(VLOOKUP(M1019,#REF!,6,0),0)</f>
        <v>0</v>
      </c>
      <c r="T1019" s="1394">
        <f t="shared" si="357"/>
        <v>0</v>
      </c>
      <c r="U1019" s="1394">
        <f>IFERROR(VLOOKUP(M1019,#REF!,5,0),0)</f>
        <v>0</v>
      </c>
      <c r="V1019" s="1394">
        <f t="shared" si="358"/>
        <v>0</v>
      </c>
      <c r="W1019" s="1394"/>
    </row>
    <row r="1020" spans="2:23" ht="30" customHeight="1">
      <c r="B1020" s="1405"/>
      <c r="C1020" s="1408" t="s">
        <v>5732</v>
      </c>
      <c r="D1020" s="1409">
        <v>1</v>
      </c>
      <c r="E1020" s="1409">
        <v>1</v>
      </c>
      <c r="F1020" s="1410">
        <f>4.13</f>
        <v>4.13</v>
      </c>
      <c r="G1020" s="1410">
        <v>0.23</v>
      </c>
      <c r="H1020" s="1411">
        <v>0.38</v>
      </c>
      <c r="I1020" s="1471">
        <f t="shared" si="359"/>
        <v>0.36096200000000001</v>
      </c>
      <c r="Q1020" s="1394">
        <f>IFERROR(VLOOKUP(M1020,#REF!,3,0),0)</f>
        <v>0</v>
      </c>
      <c r="R1020" s="1394">
        <f t="shared" si="356"/>
        <v>0</v>
      </c>
      <c r="S1020" s="1394">
        <f>IFERROR(VLOOKUP(M1020,#REF!,6,0),0)</f>
        <v>0</v>
      </c>
      <c r="T1020" s="1394">
        <f t="shared" si="357"/>
        <v>0</v>
      </c>
      <c r="U1020" s="1394">
        <f>IFERROR(VLOOKUP(M1020,#REF!,5,0),0)</f>
        <v>0</v>
      </c>
      <c r="V1020" s="1394">
        <f t="shared" si="358"/>
        <v>0</v>
      </c>
      <c r="W1020" s="1394"/>
    </row>
    <row r="1021" spans="2:23" ht="30" customHeight="1">
      <c r="B1021" s="1405"/>
      <c r="C1021" s="1408" t="s">
        <v>5762</v>
      </c>
      <c r="D1021" s="1409">
        <v>1</v>
      </c>
      <c r="E1021" s="1409">
        <v>1</v>
      </c>
      <c r="F1021" s="1410">
        <f>3+2.53+3.26+2.73</f>
        <v>11.52</v>
      </c>
      <c r="G1021" s="1410">
        <v>0.23</v>
      </c>
      <c r="H1021" s="1475">
        <v>0.45</v>
      </c>
      <c r="I1021" s="1471">
        <f t="shared" si="359"/>
        <v>1.19232</v>
      </c>
      <c r="L1021" s="1413"/>
      <c r="O1021" s="1395"/>
      <c r="Q1021" s="1394">
        <f>IFERROR(VLOOKUP(M1021,#REF!,3,0),0)</f>
        <v>0</v>
      </c>
      <c r="R1021" s="1394">
        <f t="shared" si="356"/>
        <v>0</v>
      </c>
      <c r="S1021" s="1394">
        <f>IFERROR(VLOOKUP(M1021,#REF!,6,0),0)</f>
        <v>0</v>
      </c>
      <c r="T1021" s="1394">
        <f t="shared" si="357"/>
        <v>0</v>
      </c>
      <c r="U1021" s="1394">
        <f>IFERROR(VLOOKUP(M1021,#REF!,5,0),0)</f>
        <v>0</v>
      </c>
      <c r="V1021" s="1394">
        <f t="shared" si="358"/>
        <v>0</v>
      </c>
      <c r="W1021" s="1394"/>
    </row>
    <row r="1022" spans="2:23" ht="30" customHeight="1">
      <c r="B1022" s="1405"/>
      <c r="C1022" s="1408" t="s">
        <v>5733</v>
      </c>
      <c r="D1022" s="1409">
        <v>1</v>
      </c>
      <c r="E1022" s="1409">
        <v>1</v>
      </c>
      <c r="F1022" s="1410">
        <f>4.13</f>
        <v>4.13</v>
      </c>
      <c r="G1022" s="1410">
        <v>0.23</v>
      </c>
      <c r="H1022" s="1475">
        <v>0.45</v>
      </c>
      <c r="I1022" s="1471">
        <f t="shared" si="359"/>
        <v>0.42745499999999997</v>
      </c>
      <c r="L1022" s="1413"/>
      <c r="O1022" s="1395"/>
      <c r="Q1022" s="1394">
        <f>IFERROR(VLOOKUP(M1022,#REF!,3,0),0)</f>
        <v>0</v>
      </c>
      <c r="R1022" s="1394">
        <f t="shared" si="356"/>
        <v>0</v>
      </c>
      <c r="S1022" s="1394">
        <f>IFERROR(VLOOKUP(M1022,#REF!,6,0),0)</f>
        <v>0</v>
      </c>
      <c r="T1022" s="1394">
        <f t="shared" si="357"/>
        <v>0</v>
      </c>
      <c r="U1022" s="1394">
        <f>IFERROR(VLOOKUP(M1022,#REF!,5,0),0)</f>
        <v>0</v>
      </c>
      <c r="V1022" s="1394">
        <f t="shared" si="358"/>
        <v>0</v>
      </c>
      <c r="W1022" s="1394"/>
    </row>
    <row r="1023" spans="2:23" ht="30" customHeight="1">
      <c r="B1023" s="1405"/>
      <c r="C1023" s="1408" t="s">
        <v>5734</v>
      </c>
      <c r="D1023" s="1409">
        <v>1</v>
      </c>
      <c r="E1023" s="1409">
        <v>1</v>
      </c>
      <c r="F1023" s="1410">
        <f>3+2.53+3.26+2.73+4.13</f>
        <v>15.649999999999999</v>
      </c>
      <c r="G1023" s="1410">
        <v>0.23</v>
      </c>
      <c r="H1023" s="1475">
        <v>0.45</v>
      </c>
      <c r="I1023" s="1471">
        <f t="shared" si="359"/>
        <v>1.619775</v>
      </c>
      <c r="L1023" s="1413"/>
      <c r="O1023" s="1395"/>
      <c r="Q1023" s="1394">
        <f>IFERROR(VLOOKUP(M1023,#REF!,3,0),0)</f>
        <v>0</v>
      </c>
      <c r="R1023" s="1394">
        <f t="shared" si="356"/>
        <v>0</v>
      </c>
      <c r="S1023" s="1394">
        <f>IFERROR(VLOOKUP(M1023,#REF!,6,0),0)</f>
        <v>0</v>
      </c>
      <c r="T1023" s="1394">
        <f t="shared" si="357"/>
        <v>0</v>
      </c>
      <c r="U1023" s="1394">
        <f>IFERROR(VLOOKUP(M1023,#REF!,5,0),0)</f>
        <v>0</v>
      </c>
      <c r="V1023" s="1394">
        <f t="shared" si="358"/>
        <v>0</v>
      </c>
      <c r="W1023" s="1394"/>
    </row>
    <row r="1024" spans="2:23" ht="30" customHeight="1">
      <c r="B1024" s="1405"/>
      <c r="C1024" s="1408" t="s">
        <v>5729</v>
      </c>
      <c r="D1024" s="1409">
        <v>1</v>
      </c>
      <c r="E1024" s="1409">
        <v>1</v>
      </c>
      <c r="F1024" s="1410">
        <f>3-0.23</f>
        <v>2.77</v>
      </c>
      <c r="G1024" s="1410">
        <v>0.23</v>
      </c>
      <c r="H1024" s="1411">
        <v>0.38</v>
      </c>
      <c r="I1024" s="1471">
        <f t="shared" ref="I1024" si="360">PRODUCT(D1024:H1024)</f>
        <v>0.24209800000000001</v>
      </c>
      <c r="L1024" s="1413"/>
      <c r="O1024" s="1395"/>
      <c r="Q1024" s="1394">
        <f>IFERROR(VLOOKUP(M1024,#REF!,3,0),0)</f>
        <v>0</v>
      </c>
      <c r="R1024" s="1394">
        <f t="shared" si="356"/>
        <v>0</v>
      </c>
      <c r="S1024" s="1394">
        <f>IFERROR(VLOOKUP(M1024,#REF!,6,0),0)</f>
        <v>0</v>
      </c>
      <c r="T1024" s="1394">
        <f t="shared" si="357"/>
        <v>0</v>
      </c>
      <c r="U1024" s="1394">
        <f>IFERROR(VLOOKUP(M1024,#REF!,5,0),0)</f>
        <v>0</v>
      </c>
      <c r="V1024" s="1394">
        <f t="shared" si="358"/>
        <v>0</v>
      </c>
      <c r="W1024" s="1394"/>
    </row>
    <row r="1025" spans="2:23" ht="30" hidden="1" customHeight="1">
      <c r="B1025" s="1405"/>
      <c r="C1025" s="1408"/>
      <c r="D1025" s="1409"/>
      <c r="E1025" s="1409"/>
      <c r="F1025" s="1410"/>
      <c r="G1025" s="1410"/>
      <c r="H1025" s="1411"/>
      <c r="I1025" s="1471">
        <f t="shared" ref="I1025:I1048" si="361">PRODUCT(D1025:H1025)</f>
        <v>0</v>
      </c>
      <c r="Q1025" s="1394">
        <f>IFERROR(VLOOKUP(M1025,#REF!,3,0),0)</f>
        <v>0</v>
      </c>
      <c r="R1025" s="1394">
        <f t="shared" si="356"/>
        <v>0</v>
      </c>
      <c r="S1025" s="1394">
        <f>IFERROR(VLOOKUP(M1025,#REF!,6,0),0)</f>
        <v>0</v>
      </c>
      <c r="T1025" s="1394">
        <f t="shared" si="357"/>
        <v>0</v>
      </c>
      <c r="U1025" s="1394">
        <f>IFERROR(VLOOKUP(M1025,#REF!,5,0),0)</f>
        <v>0</v>
      </c>
      <c r="V1025" s="1394">
        <f t="shared" si="358"/>
        <v>0</v>
      </c>
      <c r="W1025" s="1394"/>
    </row>
    <row r="1026" spans="2:23" ht="30" hidden="1" customHeight="1">
      <c r="B1026" s="1405"/>
      <c r="C1026" s="1408"/>
      <c r="D1026" s="1409"/>
      <c r="E1026" s="1409"/>
      <c r="F1026" s="1410"/>
      <c r="G1026" s="1410"/>
      <c r="H1026" s="1411"/>
      <c r="I1026" s="1471">
        <f t="shared" si="361"/>
        <v>0</v>
      </c>
      <c r="M1026" s="110"/>
      <c r="Q1026" s="1394">
        <f>IFERROR(VLOOKUP(M1026,#REF!,3,0),0)</f>
        <v>0</v>
      </c>
      <c r="R1026" s="1394">
        <f t="shared" si="356"/>
        <v>0</v>
      </c>
      <c r="S1026" s="1394">
        <f>IFERROR(VLOOKUP(M1026,#REF!,6,0),0)</f>
        <v>0</v>
      </c>
      <c r="T1026" s="1394">
        <f t="shared" si="357"/>
        <v>0</v>
      </c>
      <c r="U1026" s="1394">
        <f>IFERROR(VLOOKUP(M1026,#REF!,5,0),0)</f>
        <v>0</v>
      </c>
      <c r="V1026" s="1394">
        <f t="shared" si="358"/>
        <v>0</v>
      </c>
      <c r="W1026" s="1394"/>
    </row>
    <row r="1027" spans="2:23" ht="30" customHeight="1">
      <c r="B1027" s="1405"/>
      <c r="C1027" s="1408"/>
      <c r="D1027" s="1409"/>
      <c r="E1027" s="1409"/>
      <c r="F1027" s="1410"/>
      <c r="G1027" s="1410"/>
      <c r="H1027" s="1411"/>
      <c r="I1027" s="1471">
        <f t="shared" si="361"/>
        <v>0</v>
      </c>
      <c r="M1027" s="110"/>
      <c r="Q1027" s="1394">
        <f>IFERROR(VLOOKUP(M1027,#REF!,3,0),0)</f>
        <v>0</v>
      </c>
      <c r="R1027" s="1394">
        <f t="shared" si="356"/>
        <v>0</v>
      </c>
      <c r="S1027" s="1394">
        <f>IFERROR(VLOOKUP(M1027,#REF!,6,0),0)</f>
        <v>0</v>
      </c>
      <c r="T1027" s="1394">
        <f t="shared" si="357"/>
        <v>0</v>
      </c>
      <c r="U1027" s="1394">
        <f>IFERROR(VLOOKUP(M1027,#REF!,5,0),0)</f>
        <v>0</v>
      </c>
      <c r="V1027" s="1394">
        <f t="shared" si="358"/>
        <v>0</v>
      </c>
      <c r="W1027" s="1394"/>
    </row>
    <row r="1028" spans="2:23" ht="30" customHeight="1">
      <c r="B1028" s="1405"/>
      <c r="C1028" s="1415" t="s">
        <v>164</v>
      </c>
      <c r="D1028" s="1409"/>
      <c r="E1028" s="1409"/>
      <c r="F1028" s="1410"/>
      <c r="G1028" s="1410"/>
      <c r="H1028" s="1411"/>
      <c r="I1028" s="1471">
        <f t="shared" si="361"/>
        <v>0</v>
      </c>
      <c r="M1028" s="110"/>
      <c r="Q1028" s="1394">
        <f>IFERROR(VLOOKUP(M1028,#REF!,3,0),0)</f>
        <v>0</v>
      </c>
      <c r="R1028" s="1394">
        <f t="shared" si="356"/>
        <v>0</v>
      </c>
      <c r="S1028" s="1394">
        <f>IFERROR(VLOOKUP(M1028,#REF!,6,0),0)</f>
        <v>0</v>
      </c>
      <c r="T1028" s="1394">
        <f t="shared" si="357"/>
        <v>0</v>
      </c>
      <c r="U1028" s="1394">
        <f>IFERROR(VLOOKUP(M1028,#REF!,5,0),0)</f>
        <v>0</v>
      </c>
      <c r="V1028" s="1394">
        <f t="shared" si="358"/>
        <v>0</v>
      </c>
      <c r="W1028" s="1394"/>
    </row>
    <row r="1029" spans="2:23" ht="30" customHeight="1">
      <c r="B1029" s="1405"/>
      <c r="C1029" s="1482" t="s">
        <v>5628</v>
      </c>
      <c r="D1029" s="1409">
        <v>1</v>
      </c>
      <c r="E1029" s="1409">
        <v>1</v>
      </c>
      <c r="F1029" s="1410">
        <v>4</v>
      </c>
      <c r="G1029" s="1410">
        <v>5.0999999999999996</v>
      </c>
      <c r="H1029" s="1410">
        <v>0.125</v>
      </c>
      <c r="I1029" s="1471">
        <f t="shared" si="361"/>
        <v>2.5499999999999998</v>
      </c>
      <c r="M1029" s="110"/>
      <c r="Q1029" s="1394">
        <f>IFERROR(VLOOKUP(M1029,#REF!,3,0),0)</f>
        <v>0</v>
      </c>
      <c r="R1029" s="1394">
        <f t="shared" si="356"/>
        <v>0</v>
      </c>
      <c r="S1029" s="1394">
        <f>IFERROR(VLOOKUP(M1029,#REF!,6,0),0)</f>
        <v>0</v>
      </c>
      <c r="T1029" s="1394">
        <f t="shared" si="357"/>
        <v>0</v>
      </c>
      <c r="U1029" s="1394">
        <f>IFERROR(VLOOKUP(M1029,#REF!,5,0),0)</f>
        <v>0</v>
      </c>
      <c r="V1029" s="1394">
        <f t="shared" si="358"/>
        <v>0</v>
      </c>
      <c r="W1029" s="1394"/>
    </row>
    <row r="1030" spans="2:23" ht="30" customHeight="1">
      <c r="B1030" s="1405"/>
      <c r="C1030" s="1482" t="s">
        <v>5749</v>
      </c>
      <c r="D1030" s="1409">
        <v>1</v>
      </c>
      <c r="E1030" s="1409">
        <v>1</v>
      </c>
      <c r="F1030" s="1410">
        <v>4</v>
      </c>
      <c r="G1030" s="1410">
        <v>1.5</v>
      </c>
      <c r="H1030" s="1410">
        <v>0.125</v>
      </c>
      <c r="I1030" s="1471">
        <f t="shared" si="361"/>
        <v>0.75</v>
      </c>
      <c r="M1030" s="110"/>
      <c r="Q1030" s="1394">
        <f>IFERROR(VLOOKUP(M1030,#REF!,3,0),0)</f>
        <v>0</v>
      </c>
      <c r="R1030" s="1394">
        <f t="shared" si="356"/>
        <v>0</v>
      </c>
      <c r="S1030" s="1394">
        <f>IFERROR(VLOOKUP(M1030,#REF!,6,0),0)</f>
        <v>0</v>
      </c>
      <c r="T1030" s="1394">
        <f t="shared" si="357"/>
        <v>0</v>
      </c>
      <c r="U1030" s="1394">
        <f>IFERROR(VLOOKUP(M1030,#REF!,5,0),0)</f>
        <v>0</v>
      </c>
      <c r="V1030" s="1394">
        <f t="shared" si="358"/>
        <v>0</v>
      </c>
      <c r="W1030" s="1394"/>
    </row>
    <row r="1031" spans="2:23" ht="30" customHeight="1">
      <c r="B1031" s="1405"/>
      <c r="C1031" s="1482" t="s">
        <v>5739</v>
      </c>
      <c r="D1031" s="1409">
        <v>1</v>
      </c>
      <c r="E1031" s="1409">
        <v>1</v>
      </c>
      <c r="F1031" s="1410">
        <v>4</v>
      </c>
      <c r="G1031" s="1410">
        <v>2.5</v>
      </c>
      <c r="H1031" s="1410">
        <v>0.125</v>
      </c>
      <c r="I1031" s="1471">
        <f t="shared" si="361"/>
        <v>1.25</v>
      </c>
      <c r="M1031" s="110"/>
      <c r="Q1031" s="1394">
        <f>IFERROR(VLOOKUP(M1031,#REF!,3,0),0)</f>
        <v>0</v>
      </c>
      <c r="R1031" s="1394">
        <f t="shared" si="356"/>
        <v>0</v>
      </c>
      <c r="S1031" s="1394">
        <f>IFERROR(VLOOKUP(M1031,#REF!,6,0),0)</f>
        <v>0</v>
      </c>
      <c r="T1031" s="1394">
        <f t="shared" si="357"/>
        <v>0</v>
      </c>
      <c r="U1031" s="1394">
        <f>IFERROR(VLOOKUP(M1031,#REF!,5,0),0)</f>
        <v>0</v>
      </c>
      <c r="V1031" s="1394">
        <f t="shared" si="358"/>
        <v>0</v>
      </c>
      <c r="W1031" s="1394"/>
    </row>
    <row r="1032" spans="2:23" ht="30" customHeight="1">
      <c r="B1032" s="1405"/>
      <c r="C1032" s="1482" t="s">
        <v>5674</v>
      </c>
      <c r="D1032" s="1409">
        <v>1</v>
      </c>
      <c r="E1032" s="1409">
        <v>1</v>
      </c>
      <c r="F1032" s="1410">
        <v>4</v>
      </c>
      <c r="G1032" s="1410">
        <v>3.9</v>
      </c>
      <c r="H1032" s="1410">
        <v>0.125</v>
      </c>
      <c r="I1032" s="1471">
        <f t="shared" si="361"/>
        <v>1.95</v>
      </c>
      <c r="M1032" s="110"/>
      <c r="Q1032" s="1394">
        <f>IFERROR(VLOOKUP(M1032,#REF!,3,0),0)</f>
        <v>0</v>
      </c>
      <c r="R1032" s="1394">
        <f t="shared" si="356"/>
        <v>0</v>
      </c>
      <c r="S1032" s="1394">
        <f>IFERROR(VLOOKUP(M1032,#REF!,6,0),0)</f>
        <v>0</v>
      </c>
      <c r="T1032" s="1394">
        <f t="shared" si="357"/>
        <v>0</v>
      </c>
      <c r="U1032" s="1394">
        <f>IFERROR(VLOOKUP(M1032,#REF!,5,0),0)</f>
        <v>0</v>
      </c>
      <c r="V1032" s="1394">
        <f t="shared" si="358"/>
        <v>0</v>
      </c>
      <c r="W1032" s="1394"/>
    </row>
    <row r="1033" spans="2:23" ht="30" customHeight="1">
      <c r="B1033" s="1405"/>
      <c r="C1033" s="1482" t="s">
        <v>400</v>
      </c>
      <c r="D1033" s="1409">
        <v>1</v>
      </c>
      <c r="E1033" s="1409">
        <v>1</v>
      </c>
      <c r="F1033" s="1410">
        <v>1.5</v>
      </c>
      <c r="G1033" s="1410">
        <v>3.9</v>
      </c>
      <c r="H1033" s="1410">
        <v>0.125</v>
      </c>
      <c r="I1033" s="1471">
        <f t="shared" si="361"/>
        <v>0.73124999999999996</v>
      </c>
      <c r="M1033" s="110"/>
      <c r="Q1033" s="1394">
        <f>IFERROR(VLOOKUP(M1033,#REF!,3,0),0)</f>
        <v>0</v>
      </c>
      <c r="R1033" s="1394">
        <f t="shared" si="356"/>
        <v>0</v>
      </c>
      <c r="S1033" s="1394">
        <f>IFERROR(VLOOKUP(M1033,#REF!,6,0),0)</f>
        <v>0</v>
      </c>
      <c r="T1033" s="1394">
        <f t="shared" si="357"/>
        <v>0</v>
      </c>
      <c r="U1033" s="1394">
        <f>IFERROR(VLOOKUP(M1033,#REF!,5,0),0)</f>
        <v>0</v>
      </c>
      <c r="V1033" s="1394">
        <f t="shared" si="358"/>
        <v>0</v>
      </c>
      <c r="W1033" s="1394"/>
    </row>
    <row r="1034" spans="2:23" ht="30" customHeight="1">
      <c r="B1034" s="1405"/>
      <c r="C1034" s="1482" t="s">
        <v>5591</v>
      </c>
      <c r="D1034" s="1409">
        <v>1</v>
      </c>
      <c r="E1034" s="1409">
        <v>1</v>
      </c>
      <c r="F1034" s="1410">
        <v>3.6949999999999998</v>
      </c>
      <c r="G1034" s="1410">
        <v>3.9</v>
      </c>
      <c r="H1034" s="1410">
        <v>0.125</v>
      </c>
      <c r="I1034" s="1471">
        <f t="shared" si="361"/>
        <v>1.8013124999999999</v>
      </c>
      <c r="M1034" s="110"/>
      <c r="Q1034" s="1394">
        <f>IFERROR(VLOOKUP(M1034,#REF!,3,0),0)</f>
        <v>0</v>
      </c>
      <c r="R1034" s="1394">
        <f t="shared" si="356"/>
        <v>0</v>
      </c>
      <c r="S1034" s="1394">
        <f>IFERROR(VLOOKUP(M1034,#REF!,6,0),0)</f>
        <v>0</v>
      </c>
      <c r="T1034" s="1394">
        <f t="shared" si="357"/>
        <v>0</v>
      </c>
      <c r="U1034" s="1394">
        <f>IFERROR(VLOOKUP(M1034,#REF!,5,0),0)</f>
        <v>0</v>
      </c>
      <c r="V1034" s="1394">
        <f t="shared" si="358"/>
        <v>0</v>
      </c>
      <c r="W1034" s="1394"/>
    </row>
    <row r="1035" spans="2:23" ht="30" customHeight="1">
      <c r="B1035" s="1405"/>
      <c r="C1035" s="1482" t="s">
        <v>5591</v>
      </c>
      <c r="D1035" s="1409">
        <v>1</v>
      </c>
      <c r="E1035" s="1409">
        <v>1</v>
      </c>
      <c r="F1035" s="1410">
        <v>2.5</v>
      </c>
      <c r="G1035" s="1410">
        <v>3.9</v>
      </c>
      <c r="H1035" s="1410">
        <v>0.125</v>
      </c>
      <c r="I1035" s="1471">
        <f t="shared" si="361"/>
        <v>1.21875</v>
      </c>
      <c r="M1035" s="110"/>
      <c r="Q1035" s="1394">
        <f>IFERROR(VLOOKUP(M1035,#REF!,3,0),0)</f>
        <v>0</v>
      </c>
      <c r="R1035" s="1394">
        <f t="shared" si="356"/>
        <v>0</v>
      </c>
      <c r="S1035" s="1394">
        <f>IFERROR(VLOOKUP(M1035,#REF!,6,0),0)</f>
        <v>0</v>
      </c>
      <c r="T1035" s="1394">
        <f t="shared" si="357"/>
        <v>0</v>
      </c>
      <c r="U1035" s="1394">
        <f>IFERROR(VLOOKUP(M1035,#REF!,5,0),0)</f>
        <v>0</v>
      </c>
      <c r="V1035" s="1394">
        <f t="shared" si="358"/>
        <v>0</v>
      </c>
      <c r="W1035" s="1394"/>
    </row>
    <row r="1036" spans="2:23" ht="30" customHeight="1">
      <c r="B1036" s="1405"/>
      <c r="C1036" s="1482" t="s">
        <v>5678</v>
      </c>
      <c r="D1036" s="1409">
        <v>1</v>
      </c>
      <c r="E1036" s="1409">
        <v>1</v>
      </c>
      <c r="F1036" s="1410">
        <v>1.7350000000000001</v>
      </c>
      <c r="G1036" s="1410">
        <v>2.3199999999999998</v>
      </c>
      <c r="H1036" s="1410">
        <v>0.125</v>
      </c>
      <c r="I1036" s="1471">
        <f t="shared" si="361"/>
        <v>0.50314999999999999</v>
      </c>
      <c r="M1036" s="110"/>
      <c r="Q1036" s="1394">
        <f>IFERROR(VLOOKUP(M1036,#REF!,3,0),0)</f>
        <v>0</v>
      </c>
      <c r="R1036" s="1394">
        <f t="shared" si="356"/>
        <v>0</v>
      </c>
      <c r="S1036" s="1394">
        <f>IFERROR(VLOOKUP(M1036,#REF!,6,0),0)</f>
        <v>0</v>
      </c>
      <c r="T1036" s="1394">
        <f t="shared" si="357"/>
        <v>0</v>
      </c>
      <c r="U1036" s="1394">
        <f>IFERROR(VLOOKUP(M1036,#REF!,5,0),0)</f>
        <v>0</v>
      </c>
      <c r="V1036" s="1394">
        <f t="shared" si="358"/>
        <v>0</v>
      </c>
      <c r="W1036" s="1394"/>
    </row>
    <row r="1037" spans="2:23" ht="30" customHeight="1">
      <c r="B1037" s="1405"/>
      <c r="C1037" s="1482" t="s">
        <v>5678</v>
      </c>
      <c r="D1037" s="1409">
        <v>1</v>
      </c>
      <c r="E1037" s="1409">
        <v>1</v>
      </c>
      <c r="F1037" s="1410">
        <v>1.7350000000000001</v>
      </c>
      <c r="G1037" s="1410">
        <v>1.35</v>
      </c>
      <c r="H1037" s="1410">
        <v>0.125</v>
      </c>
      <c r="I1037" s="1471">
        <f t="shared" si="361"/>
        <v>0.29278125000000005</v>
      </c>
      <c r="M1037" s="110"/>
      <c r="Q1037" s="1394">
        <f>IFERROR(VLOOKUP(M1037,#REF!,3,0),0)</f>
        <v>0</v>
      </c>
      <c r="R1037" s="1394">
        <f t="shared" si="356"/>
        <v>0</v>
      </c>
      <c r="S1037" s="1394">
        <f>IFERROR(VLOOKUP(M1037,#REF!,6,0),0)</f>
        <v>0</v>
      </c>
      <c r="T1037" s="1394">
        <f t="shared" si="357"/>
        <v>0</v>
      </c>
      <c r="U1037" s="1394">
        <f>IFERROR(VLOOKUP(M1037,#REF!,5,0),0)</f>
        <v>0</v>
      </c>
      <c r="V1037" s="1394">
        <f t="shared" si="358"/>
        <v>0</v>
      </c>
      <c r="W1037" s="1394"/>
    </row>
    <row r="1038" spans="2:23" ht="30" customHeight="1">
      <c r="B1038" s="1405"/>
      <c r="C1038" s="1482" t="s">
        <v>5750</v>
      </c>
      <c r="D1038" s="1409">
        <v>1</v>
      </c>
      <c r="E1038" s="1409">
        <v>1</v>
      </c>
      <c r="F1038" s="1410">
        <v>3.7650000000000001</v>
      </c>
      <c r="G1038" s="1410">
        <v>2.4350000000000001</v>
      </c>
      <c r="H1038" s="1410">
        <v>0.125</v>
      </c>
      <c r="I1038" s="1471">
        <f t="shared" si="361"/>
        <v>1.1459718750000001</v>
      </c>
      <c r="M1038" s="110"/>
      <c r="Q1038" s="1394">
        <f>IFERROR(VLOOKUP(M1038,#REF!,3,0),0)</f>
        <v>0</v>
      </c>
      <c r="R1038" s="1394">
        <f t="shared" si="356"/>
        <v>0</v>
      </c>
      <c r="S1038" s="1394">
        <f>IFERROR(VLOOKUP(M1038,#REF!,6,0),0)</f>
        <v>0</v>
      </c>
      <c r="T1038" s="1394">
        <f t="shared" si="357"/>
        <v>0</v>
      </c>
      <c r="U1038" s="1394">
        <f>IFERROR(VLOOKUP(M1038,#REF!,5,0),0)</f>
        <v>0</v>
      </c>
      <c r="V1038" s="1394">
        <f t="shared" si="358"/>
        <v>0</v>
      </c>
      <c r="W1038" s="1394"/>
    </row>
    <row r="1039" spans="2:23" ht="30" customHeight="1">
      <c r="B1039" s="1405"/>
      <c r="C1039" s="1482" t="s">
        <v>400</v>
      </c>
      <c r="D1039" s="1409">
        <v>1</v>
      </c>
      <c r="E1039" s="1409">
        <v>1</v>
      </c>
      <c r="F1039" s="1410">
        <v>3.7650000000000001</v>
      </c>
      <c r="G1039" s="1410">
        <v>1.2350000000000001</v>
      </c>
      <c r="H1039" s="1410">
        <v>0.125</v>
      </c>
      <c r="I1039" s="1471">
        <f t="shared" si="361"/>
        <v>0.58122187500000011</v>
      </c>
      <c r="M1039" s="110"/>
      <c r="Q1039" s="1394">
        <f>IFERROR(VLOOKUP(M1039,#REF!,3,0),0)</f>
        <v>0</v>
      </c>
      <c r="R1039" s="1394">
        <f t="shared" si="356"/>
        <v>0</v>
      </c>
      <c r="S1039" s="1394">
        <f>IFERROR(VLOOKUP(M1039,#REF!,6,0),0)</f>
        <v>0</v>
      </c>
      <c r="T1039" s="1394">
        <f t="shared" si="357"/>
        <v>0</v>
      </c>
      <c r="U1039" s="1394">
        <f>IFERROR(VLOOKUP(M1039,#REF!,5,0),0)</f>
        <v>0</v>
      </c>
      <c r="V1039" s="1394">
        <f t="shared" si="358"/>
        <v>0</v>
      </c>
      <c r="W1039" s="1394"/>
    </row>
    <row r="1040" spans="2:23" ht="30" customHeight="1">
      <c r="B1040" s="1405"/>
      <c r="C1040" s="1482" t="s">
        <v>5745</v>
      </c>
      <c r="D1040" s="1409">
        <v>1</v>
      </c>
      <c r="E1040" s="1409">
        <v>1</v>
      </c>
      <c r="F1040" s="1410">
        <v>4</v>
      </c>
      <c r="G1040" s="1410">
        <v>2.5499999999999998</v>
      </c>
      <c r="H1040" s="1410">
        <v>0.125</v>
      </c>
      <c r="I1040" s="1471">
        <f t="shared" si="361"/>
        <v>1.2749999999999999</v>
      </c>
      <c r="M1040" s="110"/>
      <c r="Q1040" s="1394">
        <f>IFERROR(VLOOKUP(M1040,#REF!,3,0),0)</f>
        <v>0</v>
      </c>
      <c r="R1040" s="1394">
        <f t="shared" si="356"/>
        <v>0</v>
      </c>
      <c r="S1040" s="1394">
        <f>IFERROR(VLOOKUP(M1040,#REF!,6,0),0)</f>
        <v>0</v>
      </c>
      <c r="T1040" s="1394">
        <f t="shared" si="357"/>
        <v>0</v>
      </c>
      <c r="U1040" s="1394">
        <f>IFERROR(VLOOKUP(M1040,#REF!,5,0),0)</f>
        <v>0</v>
      </c>
      <c r="V1040" s="1394">
        <f t="shared" si="358"/>
        <v>0</v>
      </c>
      <c r="W1040" s="1394"/>
    </row>
    <row r="1041" spans="1:26" ht="30" customHeight="1">
      <c r="B1041" s="1405"/>
      <c r="C1041" s="1482" t="s">
        <v>5746</v>
      </c>
      <c r="D1041" s="1409">
        <v>1</v>
      </c>
      <c r="E1041" s="1409">
        <v>1</v>
      </c>
      <c r="F1041" s="1410">
        <v>4</v>
      </c>
      <c r="G1041" s="1410">
        <v>5.0999999999999996</v>
      </c>
      <c r="H1041" s="1410">
        <v>0.125</v>
      </c>
      <c r="I1041" s="1471">
        <f t="shared" si="361"/>
        <v>2.5499999999999998</v>
      </c>
      <c r="M1041" s="110"/>
      <c r="Q1041" s="1394">
        <f>IFERROR(VLOOKUP(M1041,#REF!,3,0),0)</f>
        <v>0</v>
      </c>
      <c r="R1041" s="1394">
        <f t="shared" si="356"/>
        <v>0</v>
      </c>
      <c r="S1041" s="1394">
        <f>IFERROR(VLOOKUP(M1041,#REF!,6,0),0)</f>
        <v>0</v>
      </c>
      <c r="T1041" s="1394">
        <f t="shared" si="357"/>
        <v>0</v>
      </c>
      <c r="U1041" s="1394">
        <f>IFERROR(VLOOKUP(M1041,#REF!,5,0),0)</f>
        <v>0</v>
      </c>
      <c r="V1041" s="1394">
        <f t="shared" si="358"/>
        <v>0</v>
      </c>
      <c r="W1041" s="1394"/>
    </row>
    <row r="1042" spans="1:26" ht="30" customHeight="1">
      <c r="B1042" s="1405"/>
      <c r="C1042" s="1482" t="s">
        <v>5747</v>
      </c>
      <c r="D1042" s="1409">
        <v>1</v>
      </c>
      <c r="E1042" s="1409">
        <v>1</v>
      </c>
      <c r="F1042" s="1410">
        <v>4</v>
      </c>
      <c r="G1042" s="1410">
        <v>1.5</v>
      </c>
      <c r="H1042" s="1410">
        <v>0.125</v>
      </c>
      <c r="I1042" s="1471">
        <f t="shared" si="361"/>
        <v>0.75</v>
      </c>
      <c r="Q1042" s="1394">
        <f>IFERROR(VLOOKUP(M1042,#REF!,3,0),0)</f>
        <v>0</v>
      </c>
      <c r="R1042" s="1394">
        <f t="shared" si="356"/>
        <v>0</v>
      </c>
      <c r="S1042" s="1394">
        <f>IFERROR(VLOOKUP(M1042,#REF!,6,0),0)</f>
        <v>0</v>
      </c>
      <c r="T1042" s="1394">
        <f t="shared" si="357"/>
        <v>0</v>
      </c>
      <c r="U1042" s="1394">
        <f>IFERROR(VLOOKUP(M1042,#REF!,5,0),0)</f>
        <v>0</v>
      </c>
      <c r="V1042" s="1394">
        <f t="shared" si="358"/>
        <v>0</v>
      </c>
      <c r="W1042" s="1394"/>
    </row>
    <row r="1043" spans="1:26" ht="30" customHeight="1">
      <c r="B1043" s="1405"/>
      <c r="C1043" s="1482" t="s">
        <v>5593</v>
      </c>
      <c r="D1043" s="1409">
        <v>1</v>
      </c>
      <c r="E1043" s="1409">
        <v>1</v>
      </c>
      <c r="F1043" s="1410">
        <v>3</v>
      </c>
      <c r="G1043" s="1410">
        <v>5.3</v>
      </c>
      <c r="H1043" s="1410">
        <v>0.125</v>
      </c>
      <c r="I1043" s="1471">
        <f t="shared" si="361"/>
        <v>1.9874999999999998</v>
      </c>
      <c r="Q1043" s="1394">
        <f>IFERROR(VLOOKUP(M1043,#REF!,3,0),0)</f>
        <v>0</v>
      </c>
      <c r="R1043" s="1394">
        <f t="shared" si="356"/>
        <v>0</v>
      </c>
      <c r="S1043" s="1394">
        <f>IFERROR(VLOOKUP(M1043,#REF!,6,0),0)</f>
        <v>0</v>
      </c>
      <c r="T1043" s="1394">
        <f t="shared" si="357"/>
        <v>0</v>
      </c>
      <c r="U1043" s="1394">
        <f>IFERROR(VLOOKUP(M1043,#REF!,5,0),0)</f>
        <v>0</v>
      </c>
      <c r="V1043" s="1394">
        <f t="shared" si="358"/>
        <v>0</v>
      </c>
      <c r="W1043" s="1394"/>
    </row>
    <row r="1044" spans="1:26" ht="30" customHeight="1">
      <c r="B1044" s="1405"/>
      <c r="C1044" s="1482" t="s">
        <v>5748</v>
      </c>
      <c r="D1044" s="1409">
        <v>1</v>
      </c>
      <c r="E1044" s="1409">
        <v>1</v>
      </c>
      <c r="F1044" s="1410">
        <v>2.5249999999999999</v>
      </c>
      <c r="G1044" s="1410">
        <v>2.77</v>
      </c>
      <c r="H1044" s="1410">
        <v>0.125</v>
      </c>
      <c r="I1044" s="1471">
        <f t="shared" si="361"/>
        <v>0.87428125000000001</v>
      </c>
      <c r="Q1044" s="1394">
        <f>IFERROR(VLOOKUP(M1044,#REF!,3,0),0)</f>
        <v>0</v>
      </c>
      <c r="R1044" s="1394">
        <f t="shared" si="356"/>
        <v>0</v>
      </c>
      <c r="S1044" s="1394">
        <f>IFERROR(VLOOKUP(M1044,#REF!,6,0),0)</f>
        <v>0</v>
      </c>
      <c r="T1044" s="1394">
        <f t="shared" si="357"/>
        <v>0</v>
      </c>
      <c r="U1044" s="1394">
        <f>IFERROR(VLOOKUP(M1044,#REF!,5,0),0)</f>
        <v>0</v>
      </c>
      <c r="V1044" s="1394">
        <f t="shared" si="358"/>
        <v>0</v>
      </c>
      <c r="W1044" s="1394"/>
    </row>
    <row r="1045" spans="1:26" ht="30" customHeight="1">
      <c r="B1045" s="1405"/>
      <c r="C1045" s="1482" t="s">
        <v>5748</v>
      </c>
      <c r="D1045" s="1409">
        <v>1</v>
      </c>
      <c r="E1045" s="1409">
        <v>1</v>
      </c>
      <c r="F1045" s="1410">
        <v>4.3250000000000002</v>
      </c>
      <c r="G1045" s="1410">
        <v>2.2999999999999998</v>
      </c>
      <c r="H1045" s="1410">
        <v>0.125</v>
      </c>
      <c r="I1045" s="1471">
        <f t="shared" si="361"/>
        <v>1.2434375</v>
      </c>
      <c r="Q1045" s="1394">
        <f>IFERROR(VLOOKUP(M1045,#REF!,3,0),0)</f>
        <v>0</v>
      </c>
      <c r="R1045" s="1394">
        <f t="shared" si="356"/>
        <v>0</v>
      </c>
      <c r="S1045" s="1394">
        <f>IFERROR(VLOOKUP(M1045,#REF!,6,0),0)</f>
        <v>0</v>
      </c>
      <c r="T1045" s="1394">
        <f t="shared" si="357"/>
        <v>0</v>
      </c>
      <c r="U1045" s="1394">
        <f>IFERROR(VLOOKUP(M1045,#REF!,5,0),0)</f>
        <v>0</v>
      </c>
      <c r="V1045" s="1394">
        <f t="shared" si="358"/>
        <v>0</v>
      </c>
      <c r="W1045" s="1394"/>
    </row>
    <row r="1046" spans="1:26" ht="30" customHeight="1">
      <c r="B1046" s="1405"/>
      <c r="C1046" s="1408" t="s">
        <v>5753</v>
      </c>
      <c r="D1046" s="1409">
        <v>1</v>
      </c>
      <c r="E1046" s="1409">
        <v>1</v>
      </c>
      <c r="F1046" s="1410">
        <v>2.1</v>
      </c>
      <c r="G1046" s="1410">
        <v>5.76</v>
      </c>
      <c r="H1046" s="1410">
        <v>0.125</v>
      </c>
      <c r="I1046" s="1471">
        <f t="shared" si="361"/>
        <v>1.512</v>
      </c>
      <c r="O1046" s="1395"/>
      <c r="Q1046" s="1394">
        <f>IFERROR(VLOOKUP(M1046,#REF!,3,0),0)</f>
        <v>0</v>
      </c>
      <c r="R1046" s="1394">
        <f t="shared" si="356"/>
        <v>0</v>
      </c>
      <c r="S1046" s="1394">
        <f>IFERROR(VLOOKUP(M1046,#REF!,6,0),0)</f>
        <v>0</v>
      </c>
      <c r="T1046" s="1394">
        <f t="shared" si="357"/>
        <v>0</v>
      </c>
      <c r="U1046" s="1394">
        <f>IFERROR(VLOOKUP(M1046,#REF!,5,0),0)</f>
        <v>0</v>
      </c>
      <c r="V1046" s="1394">
        <f t="shared" si="358"/>
        <v>0</v>
      </c>
      <c r="W1046" s="1394"/>
    </row>
    <row r="1047" spans="1:26" ht="30" customHeight="1">
      <c r="B1047" s="1405"/>
      <c r="C1047" s="1408" t="s">
        <v>5753</v>
      </c>
      <c r="D1047" s="1409">
        <v>1</v>
      </c>
      <c r="E1047" s="1409">
        <v>1</v>
      </c>
      <c r="F1047" s="1410">
        <v>4.3250000000000002</v>
      </c>
      <c r="G1047" s="1410">
        <v>5.76</v>
      </c>
      <c r="H1047" s="1410">
        <v>0.125</v>
      </c>
      <c r="I1047" s="1471">
        <f t="shared" si="361"/>
        <v>3.1139999999999999</v>
      </c>
      <c r="O1047" s="1395"/>
      <c r="Q1047" s="1394">
        <f>IFERROR(VLOOKUP(M1047,#REF!,3,0),0)</f>
        <v>0</v>
      </c>
      <c r="R1047" s="1394">
        <f t="shared" si="356"/>
        <v>0</v>
      </c>
      <c r="S1047" s="1394">
        <f>IFERROR(VLOOKUP(M1047,#REF!,6,0),0)</f>
        <v>0</v>
      </c>
      <c r="T1047" s="1394">
        <f t="shared" si="357"/>
        <v>0</v>
      </c>
      <c r="U1047" s="1394">
        <f>IFERROR(VLOOKUP(M1047,#REF!,5,0),0)</f>
        <v>0</v>
      </c>
      <c r="V1047" s="1394">
        <f t="shared" si="358"/>
        <v>0</v>
      </c>
      <c r="W1047" s="1394"/>
    </row>
    <row r="1048" spans="1:26" ht="30" customHeight="1">
      <c r="B1048" s="1405"/>
      <c r="C1048" s="1408" t="s">
        <v>5753</v>
      </c>
      <c r="D1048" s="1409">
        <v>1</v>
      </c>
      <c r="E1048" s="1409">
        <v>1</v>
      </c>
      <c r="F1048" s="1410">
        <v>3</v>
      </c>
      <c r="G1048" s="1410">
        <v>5.76</v>
      </c>
      <c r="H1048" s="1410">
        <v>0.125</v>
      </c>
      <c r="I1048" s="1471">
        <f t="shared" si="361"/>
        <v>2.16</v>
      </c>
      <c r="O1048" s="1395"/>
      <c r="Q1048" s="1394">
        <f>IFERROR(VLOOKUP(M1048,#REF!,3,0),0)</f>
        <v>0</v>
      </c>
      <c r="R1048" s="1394">
        <f t="shared" si="356"/>
        <v>0</v>
      </c>
      <c r="S1048" s="1394">
        <f>IFERROR(VLOOKUP(M1048,#REF!,6,0),0)</f>
        <v>0</v>
      </c>
      <c r="T1048" s="1394">
        <f t="shared" si="357"/>
        <v>0</v>
      </c>
      <c r="U1048" s="1394">
        <f>IFERROR(VLOOKUP(M1048,#REF!,5,0),0)</f>
        <v>0</v>
      </c>
      <c r="V1048" s="1394">
        <f t="shared" si="358"/>
        <v>0</v>
      </c>
      <c r="W1048" s="1394"/>
    </row>
    <row r="1049" spans="1:26" ht="30" hidden="1" customHeight="1">
      <c r="B1049" s="1405"/>
      <c r="C1049" s="1408"/>
      <c r="D1049" s="1409"/>
      <c r="E1049" s="1409"/>
      <c r="F1049" s="1410"/>
      <c r="G1049" s="1410"/>
      <c r="H1049" s="1411"/>
      <c r="I1049" s="1471"/>
      <c r="Q1049" s="1394">
        <f>IFERROR(VLOOKUP(M1049,#REF!,3,0),0)</f>
        <v>0</v>
      </c>
      <c r="R1049" s="1394">
        <f t="shared" si="356"/>
        <v>0</v>
      </c>
      <c r="S1049" s="1394">
        <f>IFERROR(VLOOKUP(M1049,#REF!,6,0),0)</f>
        <v>0</v>
      </c>
      <c r="T1049" s="1394">
        <f t="shared" si="357"/>
        <v>0</v>
      </c>
      <c r="U1049" s="1394">
        <f>IFERROR(VLOOKUP(M1049,#REF!,5,0),0)</f>
        <v>0</v>
      </c>
      <c r="V1049" s="1394">
        <f t="shared" si="358"/>
        <v>0</v>
      </c>
      <c r="W1049" s="1394"/>
    </row>
    <row r="1050" spans="1:26" ht="30" customHeight="1">
      <c r="B1050" s="1407"/>
      <c r="C1050" s="1455"/>
      <c r="D1050" s="103"/>
      <c r="E1050" s="103"/>
      <c r="F1050" s="1413"/>
      <c r="G1050" s="1413"/>
      <c r="H1050" s="1414"/>
      <c r="I1050" s="1406">
        <f>J1051-J1050</f>
        <v>4.784125000000472E-2</v>
      </c>
      <c r="J1050" s="1397">
        <f>SUM(I894:I1048)</f>
        <v>67.752158749999992</v>
      </c>
      <c r="K1050" s="1397"/>
      <c r="Q1050" s="1394">
        <f>IFERROR(VLOOKUP(M1050,#REF!,3,0),0)</f>
        <v>0</v>
      </c>
      <c r="R1050" s="1394">
        <f t="shared" si="356"/>
        <v>0</v>
      </c>
      <c r="S1050" s="1394">
        <f>IFERROR(VLOOKUP(M1050,#REF!,6,0),0)</f>
        <v>0</v>
      </c>
      <c r="T1050" s="1394">
        <f t="shared" si="357"/>
        <v>0</v>
      </c>
      <c r="U1050" s="1394">
        <f>IFERROR(VLOOKUP(M1050,#REF!,5,0),0)</f>
        <v>0</v>
      </c>
      <c r="V1050" s="1394">
        <f t="shared" si="358"/>
        <v>0</v>
      </c>
      <c r="W1050" s="1394"/>
    </row>
    <row r="1051" spans="1:26" ht="30" customHeight="1">
      <c r="B1051" s="1407"/>
      <c r="C1051" s="1455"/>
      <c r="D1051" s="103"/>
      <c r="E1051" s="103"/>
      <c r="F1051" s="1413"/>
      <c r="G1051" s="1413"/>
      <c r="H1051" s="1414"/>
      <c r="I1051" s="1479">
        <f>SUM(I893:I1050)</f>
        <v>67.8</v>
      </c>
      <c r="J1051" s="1394">
        <f>ROUNDUP(J1050,1)</f>
        <v>67.8</v>
      </c>
      <c r="K1051" s="1394"/>
      <c r="Q1051" s="1394">
        <f>IFERROR(VLOOKUP(M1051,#REF!,3,0),0)</f>
        <v>0</v>
      </c>
      <c r="R1051" s="1394">
        <f t="shared" si="356"/>
        <v>0</v>
      </c>
      <c r="S1051" s="1394">
        <f>IFERROR(VLOOKUP(M1051,#REF!,6,0),0)</f>
        <v>0</v>
      </c>
      <c r="T1051" s="1394">
        <f t="shared" si="357"/>
        <v>0</v>
      </c>
      <c r="U1051" s="1394">
        <f>IFERROR(VLOOKUP(M1051,#REF!,5,0),0)</f>
        <v>0</v>
      </c>
      <c r="V1051" s="1394">
        <f t="shared" si="358"/>
        <v>0</v>
      </c>
      <c r="W1051" s="1394"/>
    </row>
    <row r="1052" spans="1:26" ht="30" customHeight="1">
      <c r="B1052" s="1407"/>
      <c r="C1052" s="1455"/>
      <c r="D1052" s="103"/>
      <c r="E1052" s="103"/>
      <c r="F1052" s="1413"/>
      <c r="G1052" s="1483" t="s">
        <v>11</v>
      </c>
      <c r="H1052" s="1478">
        <f>I1051</f>
        <v>67.8</v>
      </c>
      <c r="I1052" s="1479" t="s">
        <v>19</v>
      </c>
      <c r="M1052" s="1426" t="str">
        <f>A892</f>
        <v>d. In Second Floor Standardised concrete Mix M20 Grade Concrete</v>
      </c>
      <c r="N1052" s="1394">
        <f>B892</f>
        <v>0</v>
      </c>
      <c r="O1052" s="1394">
        <f>H1052</f>
        <v>67.8</v>
      </c>
      <c r="P1052" s="1394" t="str">
        <f>I1052</f>
        <v>Cum</v>
      </c>
      <c r="Q1052" s="1394">
        <f>IFERROR(VLOOKUP(M1052,#REF!,3,0),0)</f>
        <v>0</v>
      </c>
      <c r="R1052" s="1394">
        <f t="shared" si="356"/>
        <v>0</v>
      </c>
      <c r="S1052" s="1394">
        <f>IFERROR(VLOOKUP(M1052,#REF!,6,0),0)</f>
        <v>0</v>
      </c>
      <c r="T1052" s="1394">
        <f t="shared" si="357"/>
        <v>0</v>
      </c>
      <c r="U1052" s="1394">
        <f>IFERROR(VLOOKUP(M1052,#REF!,5,0),0)</f>
        <v>0</v>
      </c>
      <c r="V1052" s="1394">
        <f t="shared" si="358"/>
        <v>67.8</v>
      </c>
      <c r="W1052" s="1394"/>
      <c r="Z1052" s="1394"/>
    </row>
    <row r="1053" spans="1:26" s="1394" customFormat="1" ht="30" customHeight="1">
      <c r="B1053" s="1421"/>
      <c r="C1053" s="1422"/>
      <c r="D1053" s="1389"/>
      <c r="E1053" s="1389"/>
      <c r="F1053" s="1423"/>
      <c r="G1053" s="1428"/>
      <c r="H1053" s="1429"/>
      <c r="I1053" s="1427"/>
      <c r="M1053" s="1426"/>
      <c r="Q1053" s="1394">
        <f>IFERROR(VLOOKUP(M1053,#REF!,3,0),0)</f>
        <v>0</v>
      </c>
      <c r="R1053" s="1394">
        <f t="shared" si="356"/>
        <v>0</v>
      </c>
      <c r="S1053" s="1394">
        <f>IFERROR(VLOOKUP(M1053,#REF!,6,0),0)</f>
        <v>0</v>
      </c>
      <c r="T1053" s="1394">
        <f t="shared" si="357"/>
        <v>0</v>
      </c>
      <c r="U1053" s="1394">
        <f>IFERROR(VLOOKUP(M1053,#REF!,5,0),0)</f>
        <v>0</v>
      </c>
      <c r="V1053" s="1394">
        <f t="shared" si="358"/>
        <v>0</v>
      </c>
    </row>
    <row r="1054" spans="1:26" ht="30" customHeight="1">
      <c r="A1054" s="1481" t="s">
        <v>993</v>
      </c>
      <c r="B1054" s="1407"/>
      <c r="C1054" s="1678" t="e">
        <f>VLOOKUP(A1054,#REF!,2,0)</f>
        <v>#REF!</v>
      </c>
      <c r="D1054" s="1678"/>
      <c r="E1054" s="1678"/>
      <c r="F1054" s="1678"/>
      <c r="G1054" s="1678"/>
      <c r="H1054" s="1678"/>
      <c r="I1054" s="1406"/>
      <c r="Q1054" s="1394">
        <f>IFERROR(VLOOKUP(M1054,#REF!,3,0),0)</f>
        <v>0</v>
      </c>
      <c r="R1054" s="1394">
        <f t="shared" si="356"/>
        <v>0</v>
      </c>
      <c r="S1054" s="1394">
        <f>IFERROR(VLOOKUP(M1054,#REF!,6,0),0)</f>
        <v>0</v>
      </c>
      <c r="T1054" s="1394">
        <f t="shared" si="357"/>
        <v>0</v>
      </c>
      <c r="U1054" s="1394">
        <f>IFERROR(VLOOKUP(M1054,#REF!,5,0),0)</f>
        <v>0</v>
      </c>
      <c r="V1054" s="1394">
        <f t="shared" si="358"/>
        <v>0</v>
      </c>
      <c r="W1054" s="1394"/>
      <c r="X1054" s="1397"/>
    </row>
    <row r="1055" spans="1:26" ht="30" customHeight="1">
      <c r="B1055" s="1407"/>
      <c r="C1055" s="1415" t="str">
        <f>'det -detail'!B223</f>
        <v>Column raising up to Roof in TF</v>
      </c>
      <c r="D1055" s="1409"/>
      <c r="E1055" s="1409"/>
      <c r="F1055" s="1410"/>
      <c r="G1055" s="1410"/>
      <c r="H1055" s="1411"/>
      <c r="I1055" s="1471"/>
      <c r="Q1055" s="1394">
        <f>IFERROR(VLOOKUP(M1055,#REF!,3,0),0)</f>
        <v>0</v>
      </c>
      <c r="R1055" s="1394">
        <f t="shared" si="356"/>
        <v>0</v>
      </c>
      <c r="S1055" s="1394">
        <f>IFERROR(VLOOKUP(M1055,#REF!,6,0),0)</f>
        <v>0</v>
      </c>
      <c r="T1055" s="1394">
        <f t="shared" si="357"/>
        <v>0</v>
      </c>
      <c r="U1055" s="1394">
        <f>IFERROR(VLOOKUP(M1055,#REF!,5,0),0)</f>
        <v>0</v>
      </c>
      <c r="V1055" s="1394">
        <f t="shared" si="358"/>
        <v>0</v>
      </c>
      <c r="W1055" s="1394"/>
    </row>
    <row r="1056" spans="1:26" ht="30" hidden="1" customHeight="1">
      <c r="B1056" s="1405"/>
      <c r="C1056" s="1408">
        <f>'det -detail'!B224</f>
        <v>0</v>
      </c>
      <c r="D1056" s="1409">
        <f>'det -detail'!E224</f>
        <v>0</v>
      </c>
      <c r="E1056" s="1409">
        <f>'det -detail'!F224</f>
        <v>0</v>
      </c>
      <c r="F1056" s="1410">
        <f>'det -detail'!G224</f>
        <v>0</v>
      </c>
      <c r="G1056" s="1410">
        <f>'det -detail'!H224</f>
        <v>0</v>
      </c>
      <c r="H1056" s="1411">
        <f>'det -detail'!I224</f>
        <v>0</v>
      </c>
      <c r="I1056" s="1471">
        <f t="shared" ref="I1056:I1065" si="362">PRODUCT(D1056:H1056)</f>
        <v>0</v>
      </c>
      <c r="Q1056" s="1394">
        <f>IFERROR(VLOOKUP(M1056,#REF!,3,0),0)</f>
        <v>0</v>
      </c>
      <c r="R1056" s="1394">
        <f t="shared" si="356"/>
        <v>0</v>
      </c>
      <c r="S1056" s="1394">
        <f>IFERROR(VLOOKUP(M1056,#REF!,6,0),0)</f>
        <v>0</v>
      </c>
      <c r="T1056" s="1394">
        <f t="shared" si="357"/>
        <v>0</v>
      </c>
      <c r="U1056" s="1394">
        <f>IFERROR(VLOOKUP(M1056,#REF!,5,0),0)</f>
        <v>0</v>
      </c>
      <c r="V1056" s="1394">
        <f t="shared" si="358"/>
        <v>0</v>
      </c>
      <c r="W1056" s="1394"/>
    </row>
    <row r="1057" spans="2:23" ht="30" customHeight="1">
      <c r="B1057" s="1405"/>
      <c r="C1057" s="1408" t="str">
        <f>'det -detail'!B225</f>
        <v>For C2</v>
      </c>
      <c r="D1057" s="1409">
        <f>'det -detail'!E225</f>
        <v>11</v>
      </c>
      <c r="E1057" s="1409">
        <f>'det -detail'!F225</f>
        <v>1</v>
      </c>
      <c r="F1057" s="1410">
        <f>'det -detail'!G225</f>
        <v>0.23</v>
      </c>
      <c r="G1057" s="1410">
        <f>'det -detail'!H225</f>
        <v>0.38</v>
      </c>
      <c r="H1057" s="1411">
        <f>'det -detail'!I225</f>
        <v>2.92</v>
      </c>
      <c r="I1057" s="1471">
        <f t="shared" si="362"/>
        <v>2.8072880000000002</v>
      </c>
      <c r="Q1057" s="1394">
        <f>IFERROR(VLOOKUP(M1057,#REF!,3,0),0)</f>
        <v>0</v>
      </c>
      <c r="R1057" s="1394">
        <f t="shared" si="356"/>
        <v>0</v>
      </c>
      <c r="S1057" s="1394">
        <f>IFERROR(VLOOKUP(M1057,#REF!,6,0),0)</f>
        <v>0</v>
      </c>
      <c r="T1057" s="1394">
        <f t="shared" si="357"/>
        <v>0</v>
      </c>
      <c r="U1057" s="1394">
        <f>IFERROR(VLOOKUP(M1057,#REF!,5,0),0)</f>
        <v>0</v>
      </c>
      <c r="V1057" s="1394">
        <f t="shared" si="358"/>
        <v>0</v>
      </c>
      <c r="W1057" s="1394"/>
    </row>
    <row r="1058" spans="2:23" ht="30" customHeight="1">
      <c r="B1058" s="1405"/>
      <c r="C1058" s="1408" t="str">
        <f>'det -detail'!B226</f>
        <v>For C3</v>
      </c>
      <c r="D1058" s="1409">
        <f>'det -detail'!E226</f>
        <v>10</v>
      </c>
      <c r="E1058" s="1409">
        <f>'det -detail'!F226</f>
        <v>1</v>
      </c>
      <c r="F1058" s="1410">
        <f>'det -detail'!G226</f>
        <v>0.23</v>
      </c>
      <c r="G1058" s="1410">
        <f>'det -detail'!H226</f>
        <v>0.45</v>
      </c>
      <c r="H1058" s="1411">
        <f>'det -detail'!I226</f>
        <v>2.92</v>
      </c>
      <c r="I1058" s="1471">
        <f t="shared" si="362"/>
        <v>3.0222000000000002</v>
      </c>
      <c r="Q1058" s="1394">
        <f>IFERROR(VLOOKUP(M1058,#REF!,3,0),0)</f>
        <v>0</v>
      </c>
      <c r="R1058" s="1394">
        <f t="shared" si="356"/>
        <v>0</v>
      </c>
      <c r="S1058" s="1394">
        <f>IFERROR(VLOOKUP(M1058,#REF!,6,0),0)</f>
        <v>0</v>
      </c>
      <c r="T1058" s="1394">
        <f t="shared" si="357"/>
        <v>0</v>
      </c>
      <c r="U1058" s="1394">
        <f>IFERROR(VLOOKUP(M1058,#REF!,5,0),0)</f>
        <v>0</v>
      </c>
      <c r="V1058" s="1394">
        <f t="shared" si="358"/>
        <v>0</v>
      </c>
      <c r="W1058" s="1394"/>
    </row>
    <row r="1059" spans="2:23" ht="30" customHeight="1">
      <c r="B1059" s="1405"/>
      <c r="C1059" s="1408" t="str">
        <f>'det -detail'!B227</f>
        <v>For C4</v>
      </c>
      <c r="D1059" s="1409">
        <f>'det -detail'!E227</f>
        <v>7</v>
      </c>
      <c r="E1059" s="1409">
        <f>'det -detail'!F227</f>
        <v>1</v>
      </c>
      <c r="F1059" s="1410">
        <f>'det -detail'!G227</f>
        <v>0.3</v>
      </c>
      <c r="G1059" s="1410">
        <f>'det -detail'!H227</f>
        <v>0.45</v>
      </c>
      <c r="H1059" s="1411">
        <f>'det -detail'!I227</f>
        <v>2.92</v>
      </c>
      <c r="I1059" s="1471">
        <f t="shared" si="362"/>
        <v>2.7594000000000003</v>
      </c>
      <c r="Q1059" s="1394">
        <f>IFERROR(VLOOKUP(M1059,#REF!,3,0),0)</f>
        <v>0</v>
      </c>
      <c r="R1059" s="1394">
        <f t="shared" si="356"/>
        <v>0</v>
      </c>
      <c r="S1059" s="1394">
        <f>IFERROR(VLOOKUP(M1059,#REF!,6,0),0)</f>
        <v>0</v>
      </c>
      <c r="T1059" s="1394">
        <f t="shared" si="357"/>
        <v>0</v>
      </c>
      <c r="U1059" s="1394">
        <f>IFERROR(VLOOKUP(M1059,#REF!,5,0),0)</f>
        <v>0</v>
      </c>
      <c r="V1059" s="1394">
        <f t="shared" si="358"/>
        <v>0</v>
      </c>
      <c r="W1059" s="1394"/>
    </row>
    <row r="1060" spans="2:23" ht="30" customHeight="1">
      <c r="B1060" s="1405"/>
      <c r="C1060" s="1408">
        <f>'det -detail'!B228</f>
        <v>0</v>
      </c>
      <c r="D1060" s="1409">
        <f>'det -detail'!E228</f>
        <v>0</v>
      </c>
      <c r="E1060" s="1409">
        <f>'det -detail'!F228</f>
        <v>0</v>
      </c>
      <c r="F1060" s="1410">
        <f>'det -detail'!G228</f>
        <v>0</v>
      </c>
      <c r="G1060" s="1410">
        <f>'det -detail'!H228</f>
        <v>0</v>
      </c>
      <c r="H1060" s="1411">
        <f>'det -detail'!I228</f>
        <v>0</v>
      </c>
      <c r="I1060" s="1471">
        <f t="shared" si="362"/>
        <v>0</v>
      </c>
      <c r="Q1060" s="1394">
        <f>IFERROR(VLOOKUP(M1060,#REF!,3,0),0)</f>
        <v>0</v>
      </c>
      <c r="R1060" s="1394">
        <f t="shared" si="356"/>
        <v>0</v>
      </c>
      <c r="S1060" s="1394">
        <f>IFERROR(VLOOKUP(M1060,#REF!,6,0),0)</f>
        <v>0</v>
      </c>
      <c r="T1060" s="1394">
        <f t="shared" si="357"/>
        <v>0</v>
      </c>
      <c r="U1060" s="1394">
        <f>IFERROR(VLOOKUP(M1060,#REF!,5,0),0)</f>
        <v>0</v>
      </c>
      <c r="V1060" s="1394">
        <f t="shared" si="358"/>
        <v>0</v>
      </c>
      <c r="W1060" s="1394"/>
    </row>
    <row r="1061" spans="2:23" s="1391" customFormat="1" ht="30" customHeight="1">
      <c r="B1061" s="1405"/>
      <c r="C1061" s="1415">
        <f>'det -detail'!B229</f>
        <v>0</v>
      </c>
      <c r="D1061" s="1484">
        <f>'det -detail'!E229</f>
        <v>0</v>
      </c>
      <c r="E1061" s="1484">
        <f>'det -detail'!F229</f>
        <v>0</v>
      </c>
      <c r="F1061" s="1485">
        <f>'det -detail'!G229</f>
        <v>0</v>
      </c>
      <c r="G1061" s="1485">
        <f>'det -detail'!H229</f>
        <v>0</v>
      </c>
      <c r="H1061" s="1486">
        <f>'det -detail'!I229</f>
        <v>0</v>
      </c>
      <c r="I1061" s="1487">
        <f t="shared" si="362"/>
        <v>0</v>
      </c>
      <c r="M1061" s="1488"/>
      <c r="Q1061" s="1394">
        <f>IFERROR(VLOOKUP(M1061,#REF!,3,0),0)</f>
        <v>0</v>
      </c>
      <c r="R1061" s="1394">
        <f t="shared" si="356"/>
        <v>0</v>
      </c>
      <c r="S1061" s="1394">
        <f>IFERROR(VLOOKUP(M1061,#REF!,6,0),0)</f>
        <v>0</v>
      </c>
      <c r="T1061" s="1394">
        <f t="shared" si="357"/>
        <v>0</v>
      </c>
      <c r="U1061" s="1394">
        <f>IFERROR(VLOOKUP(M1061,#REF!,5,0),0)</f>
        <v>0</v>
      </c>
      <c r="V1061" s="1394">
        <f t="shared" si="358"/>
        <v>0</v>
      </c>
      <c r="W1061" s="1394"/>
    </row>
    <row r="1062" spans="2:23" s="1391" customFormat="1" ht="30" customHeight="1">
      <c r="B1062" s="1405"/>
      <c r="C1062" s="1415">
        <f>'det -detail'!B230</f>
        <v>0</v>
      </c>
      <c r="D1062" s="1484">
        <f>'det -detail'!E230</f>
        <v>0</v>
      </c>
      <c r="E1062" s="1484">
        <f>'det -detail'!F230</f>
        <v>0</v>
      </c>
      <c r="F1062" s="1485">
        <f>'det -detail'!G230</f>
        <v>0</v>
      </c>
      <c r="G1062" s="1485">
        <f>'det -detail'!H230</f>
        <v>0</v>
      </c>
      <c r="H1062" s="1486">
        <f>'det -detail'!I230</f>
        <v>0</v>
      </c>
      <c r="I1062" s="1487">
        <f t="shared" si="362"/>
        <v>0</v>
      </c>
      <c r="M1062" s="1488"/>
      <c r="Q1062" s="1394">
        <f>IFERROR(VLOOKUP(M1062,#REF!,3,0),0)</f>
        <v>0</v>
      </c>
      <c r="R1062" s="1394">
        <f t="shared" si="356"/>
        <v>0</v>
      </c>
      <c r="S1062" s="1394">
        <f>IFERROR(VLOOKUP(M1062,#REF!,6,0),0)</f>
        <v>0</v>
      </c>
      <c r="T1062" s="1394">
        <f t="shared" si="357"/>
        <v>0</v>
      </c>
      <c r="U1062" s="1394">
        <f>IFERROR(VLOOKUP(M1062,#REF!,5,0),0)</f>
        <v>0</v>
      </c>
      <c r="V1062" s="1394">
        <f t="shared" si="358"/>
        <v>0</v>
      </c>
      <c r="W1062" s="1394"/>
    </row>
    <row r="1063" spans="2:23" s="1391" customFormat="1" ht="30" customHeight="1">
      <c r="B1063" s="1405"/>
      <c r="C1063" s="1415"/>
      <c r="D1063" s="1484"/>
      <c r="E1063" s="1484"/>
      <c r="F1063" s="1485"/>
      <c r="G1063" s="1485"/>
      <c r="H1063" s="1486"/>
      <c r="I1063" s="1487">
        <f t="shared" si="362"/>
        <v>0</v>
      </c>
      <c r="M1063" s="1488"/>
      <c r="Q1063" s="1394">
        <f>IFERROR(VLOOKUP(M1063,#REF!,3,0),0)</f>
        <v>0</v>
      </c>
      <c r="R1063" s="1394">
        <f t="shared" si="356"/>
        <v>0</v>
      </c>
      <c r="S1063" s="1394">
        <f>IFERROR(VLOOKUP(M1063,#REF!,6,0),0)</f>
        <v>0</v>
      </c>
      <c r="T1063" s="1394">
        <f t="shared" si="357"/>
        <v>0</v>
      </c>
      <c r="U1063" s="1394">
        <f>IFERROR(VLOOKUP(M1063,#REF!,5,0),0)</f>
        <v>0</v>
      </c>
      <c r="V1063" s="1394">
        <f t="shared" si="358"/>
        <v>0</v>
      </c>
      <c r="W1063" s="1394"/>
    </row>
    <row r="1064" spans="2:23" ht="30" customHeight="1">
      <c r="B1064" s="1407"/>
      <c r="C1064" s="1415" t="s">
        <v>313</v>
      </c>
      <c r="D1064" s="1409"/>
      <c r="E1064" s="1409"/>
      <c r="F1064" s="1410"/>
      <c r="G1064" s="1410"/>
      <c r="H1064" s="1411"/>
      <c r="I1064" s="1471">
        <f t="shared" si="362"/>
        <v>0</v>
      </c>
      <c r="Q1064" s="1394">
        <f>IFERROR(VLOOKUP(M1064,#REF!,3,0),0)</f>
        <v>0</v>
      </c>
      <c r="R1064" s="1394">
        <f t="shared" si="356"/>
        <v>0</v>
      </c>
      <c r="S1064" s="1394">
        <f>IFERROR(VLOOKUP(M1064,#REF!,6,0),0)</f>
        <v>0</v>
      </c>
      <c r="T1064" s="1394">
        <f t="shared" si="357"/>
        <v>0</v>
      </c>
      <c r="U1064" s="1394">
        <f>IFERROR(VLOOKUP(M1064,#REF!,5,0),0)</f>
        <v>0</v>
      </c>
      <c r="V1064" s="1394">
        <f t="shared" si="358"/>
        <v>0</v>
      </c>
      <c r="W1064" s="1394"/>
    </row>
    <row r="1065" spans="2:23" ht="30" customHeight="1">
      <c r="B1065" s="1407"/>
      <c r="C1065" s="1408" t="str">
        <f>Sheet1!$I$22</f>
        <v>FW</v>
      </c>
      <c r="D1065" s="1409">
        <v>1</v>
      </c>
      <c r="E1065" s="1409">
        <f>VLOOKUP(C1065,Sheet1!$I$7:$Q$39,7,0)</f>
        <v>2</v>
      </c>
      <c r="F1065" s="1410">
        <f>VLOOKUP(C1065,Sheet1!$I$7:$Q$39,2,0)+0.46</f>
        <v>1.2729999999999999</v>
      </c>
      <c r="G1065" s="1410">
        <v>0.23</v>
      </c>
      <c r="H1065" s="1410">
        <v>0.05</v>
      </c>
      <c r="I1065" s="1471">
        <f t="shared" si="362"/>
        <v>2.9278999999999999E-2</v>
      </c>
      <c r="Q1065" s="1394">
        <f>IFERROR(VLOOKUP(M1065,#REF!,3,0),0)</f>
        <v>0</v>
      </c>
      <c r="R1065" s="1394">
        <f t="shared" si="356"/>
        <v>0</v>
      </c>
      <c r="S1065" s="1394">
        <f>IFERROR(VLOOKUP(M1065,#REF!,6,0),0)</f>
        <v>0</v>
      </c>
      <c r="T1065" s="1394">
        <f t="shared" si="357"/>
        <v>0</v>
      </c>
      <c r="U1065" s="1394">
        <f>IFERROR(VLOOKUP(M1065,#REF!,5,0),0)</f>
        <v>0</v>
      </c>
      <c r="V1065" s="1394">
        <f t="shared" si="358"/>
        <v>0</v>
      </c>
      <c r="W1065" s="1394"/>
    </row>
    <row r="1066" spans="2:23" ht="30" customHeight="1">
      <c r="B1066" s="1407"/>
      <c r="C1066" s="1408" t="str">
        <f>Sheet1!I25</f>
        <v>FW-3</v>
      </c>
      <c r="D1066" s="1409">
        <v>1</v>
      </c>
      <c r="E1066" s="1409">
        <f>VLOOKUP(C1066,Sheet1!$I$7:$Q$39,7,0)</f>
        <v>1</v>
      </c>
      <c r="F1066" s="1410">
        <f>VLOOKUP(C1066,Sheet1!$I$7:$Q$39,2,0)+0.46</f>
        <v>2.46</v>
      </c>
      <c r="G1066" s="1410">
        <v>0.23</v>
      </c>
      <c r="H1066" s="1410">
        <v>0.05</v>
      </c>
      <c r="I1066" s="1471">
        <f t="shared" ref="I1066" si="363">PRODUCT(D1066:H1066)</f>
        <v>2.8289999999999999E-2</v>
      </c>
      <c r="Q1066" s="1394">
        <f>IFERROR(VLOOKUP(M1066,#REF!,3,0),0)</f>
        <v>0</v>
      </c>
      <c r="R1066" s="1394">
        <f t="shared" si="356"/>
        <v>0</v>
      </c>
      <c r="S1066" s="1394">
        <f>IFERROR(VLOOKUP(M1066,#REF!,6,0),0)</f>
        <v>0</v>
      </c>
      <c r="T1066" s="1394">
        <f t="shared" si="357"/>
        <v>0</v>
      </c>
      <c r="U1066" s="1394">
        <f>IFERROR(VLOOKUP(M1066,#REF!,5,0),0)</f>
        <v>0</v>
      </c>
      <c r="V1066" s="1394">
        <f t="shared" si="358"/>
        <v>0</v>
      </c>
      <c r="W1066" s="1394"/>
    </row>
    <row r="1067" spans="2:23" ht="30" customHeight="1">
      <c r="B1067" s="1407"/>
      <c r="C1067" s="1415" t="str">
        <f>Sheet1!I26</f>
        <v>FW-4</v>
      </c>
      <c r="D1067" s="1409">
        <v>1</v>
      </c>
      <c r="E1067" s="1409">
        <f>VLOOKUP(C1067,Sheet1!$I$7:$Q$39,7,0)</f>
        <v>2</v>
      </c>
      <c r="F1067" s="1410">
        <f>VLOOKUP(C1067,Sheet1!$I$7:$Q$39,2,0)+0.46</f>
        <v>1.66</v>
      </c>
      <c r="G1067" s="1410">
        <v>0.23</v>
      </c>
      <c r="H1067" s="1410">
        <v>0.05</v>
      </c>
      <c r="I1067" s="1471">
        <f t="shared" ref="I1067:I1098" si="364">PRODUCT(D1067:H1067)</f>
        <v>3.8179999999999999E-2</v>
      </c>
      <c r="Q1067" s="1394">
        <f>IFERROR(VLOOKUP(M1067,#REF!,3,0),0)</f>
        <v>0</v>
      </c>
      <c r="R1067" s="1394">
        <f t="shared" si="356"/>
        <v>0</v>
      </c>
      <c r="S1067" s="1394">
        <f>IFERROR(VLOOKUP(M1067,#REF!,6,0),0)</f>
        <v>0</v>
      </c>
      <c r="T1067" s="1394">
        <f t="shared" si="357"/>
        <v>0</v>
      </c>
      <c r="U1067" s="1394">
        <f>IFERROR(VLOOKUP(M1067,#REF!,5,0),0)</f>
        <v>0</v>
      </c>
      <c r="V1067" s="1394">
        <f t="shared" si="358"/>
        <v>0</v>
      </c>
      <c r="W1067" s="1394"/>
    </row>
    <row r="1068" spans="2:23" ht="30" customHeight="1">
      <c r="B1068" s="1407"/>
      <c r="C1068" s="1408" t="str">
        <f>Sheet1!I28</f>
        <v>SW</v>
      </c>
      <c r="D1068" s="1409">
        <v>1</v>
      </c>
      <c r="E1068" s="1409">
        <f>VLOOKUP(C1068,Sheet1!$I$7:$Q$39,7,0)</f>
        <v>1</v>
      </c>
      <c r="F1068" s="1410">
        <f>VLOOKUP(C1068,Sheet1!$I$7:$Q$39,2,0)+0.46</f>
        <v>2.2600000000000002</v>
      </c>
      <c r="G1068" s="1410">
        <v>0.23</v>
      </c>
      <c r="H1068" s="1410">
        <v>0.05</v>
      </c>
      <c r="I1068" s="1471">
        <f t="shared" si="364"/>
        <v>2.5990000000000003E-2</v>
      </c>
      <c r="J1068" s="110">
        <f>2.86-0.23</f>
        <v>2.63</v>
      </c>
      <c r="L1068" s="110">
        <f>2.56-0.23</f>
        <v>2.33</v>
      </c>
      <c r="Q1068" s="1394">
        <f>IFERROR(VLOOKUP(M1068,#REF!,3,0),0)</f>
        <v>0</v>
      </c>
      <c r="R1068" s="1394">
        <f t="shared" si="356"/>
        <v>0</v>
      </c>
      <c r="S1068" s="1394">
        <f>IFERROR(VLOOKUP(M1068,#REF!,6,0),0)</f>
        <v>0</v>
      </c>
      <c r="T1068" s="1394">
        <f t="shared" si="357"/>
        <v>0</v>
      </c>
      <c r="U1068" s="1394">
        <f>IFERROR(VLOOKUP(M1068,#REF!,5,0),0)</f>
        <v>0</v>
      </c>
      <c r="V1068" s="1394">
        <f t="shared" si="358"/>
        <v>0</v>
      </c>
      <c r="W1068" s="1394"/>
    </row>
    <row r="1069" spans="2:23" ht="30" customHeight="1">
      <c r="B1069" s="1407"/>
      <c r="C1069" s="1408" t="str">
        <f>Sheet1!I29</f>
        <v>W</v>
      </c>
      <c r="D1069" s="1409">
        <v>1</v>
      </c>
      <c r="E1069" s="1409">
        <f>VLOOKUP(C1069,Sheet1!$I$7:$Q$39,7,0)</f>
        <v>1</v>
      </c>
      <c r="F1069" s="1410">
        <f>VLOOKUP(C1069,Sheet1!$I$7:$Q$39,2,0)+0.46</f>
        <v>2.2600000000000002</v>
      </c>
      <c r="G1069" s="1410">
        <v>0.23</v>
      </c>
      <c r="H1069" s="1410">
        <v>0.05</v>
      </c>
      <c r="I1069" s="1471">
        <f t="shared" si="364"/>
        <v>2.5990000000000003E-2</v>
      </c>
      <c r="Q1069" s="1394">
        <f>IFERROR(VLOOKUP(M1069,#REF!,3,0),0)</f>
        <v>0</v>
      </c>
      <c r="R1069" s="1394">
        <f t="shared" si="356"/>
        <v>0</v>
      </c>
      <c r="S1069" s="1394">
        <f>IFERROR(VLOOKUP(M1069,#REF!,6,0),0)</f>
        <v>0</v>
      </c>
      <c r="T1069" s="1394">
        <f t="shared" si="357"/>
        <v>0</v>
      </c>
      <c r="U1069" s="1394">
        <f>IFERROR(VLOOKUP(M1069,#REF!,5,0),0)</f>
        <v>0</v>
      </c>
      <c r="V1069" s="1394">
        <f t="shared" si="358"/>
        <v>0</v>
      </c>
      <c r="W1069" s="1394"/>
    </row>
    <row r="1070" spans="2:23" ht="30" customHeight="1">
      <c r="B1070" s="1407"/>
      <c r="C1070" s="1415" t="str">
        <f>Sheet1!I31</f>
        <v>W2</v>
      </c>
      <c r="D1070" s="1409">
        <v>1</v>
      </c>
      <c r="E1070" s="1409">
        <f>VLOOKUP(C1070,Sheet1!$I$7:$Q$39,7,0)</f>
        <v>13</v>
      </c>
      <c r="F1070" s="1410">
        <f>VLOOKUP(C1070,Sheet1!$I$7:$Q$39,2,0)+0.46</f>
        <v>1.66</v>
      </c>
      <c r="G1070" s="1410">
        <v>0.23</v>
      </c>
      <c r="H1070" s="1410">
        <v>0.05</v>
      </c>
      <c r="I1070" s="1471">
        <f t="shared" si="364"/>
        <v>0.24817</v>
      </c>
      <c r="Q1070" s="1394">
        <f>IFERROR(VLOOKUP(M1070,#REF!,3,0),0)</f>
        <v>0</v>
      </c>
      <c r="R1070" s="1394">
        <f t="shared" ref="R1070:R1133" si="365">ROUND(O1070,2)*ROUND(Q1070,2)</f>
        <v>0</v>
      </c>
      <c r="S1070" s="1394">
        <f>IFERROR(VLOOKUP(M1070,#REF!,6,0),0)</f>
        <v>0</v>
      </c>
      <c r="T1070" s="1394">
        <f t="shared" ref="T1070:T1133" si="366">R1070-S1070</f>
        <v>0</v>
      </c>
      <c r="U1070" s="1394">
        <f>IFERROR(VLOOKUP(M1070,#REF!,5,0),0)</f>
        <v>0</v>
      </c>
      <c r="V1070" s="1394">
        <f t="shared" ref="V1070:V1133" si="367">O1070-U1070</f>
        <v>0</v>
      </c>
      <c r="W1070" s="1394"/>
    </row>
    <row r="1071" spans="2:23" ht="30" customHeight="1">
      <c r="B1071" s="1407"/>
      <c r="C1071" s="1408" t="str">
        <f>Sheet1!I32</f>
        <v>W3</v>
      </c>
      <c r="D1071" s="1409">
        <v>1</v>
      </c>
      <c r="E1071" s="1409">
        <f>VLOOKUP(C1071,Sheet1!$I$7:$Q$39,7,0)</f>
        <v>5</v>
      </c>
      <c r="F1071" s="1410">
        <f>VLOOKUP(C1071,Sheet1!$I$7:$Q$39,2,0)+0.46</f>
        <v>1.46</v>
      </c>
      <c r="G1071" s="1410">
        <v>0.23</v>
      </c>
      <c r="H1071" s="1410">
        <v>0.05</v>
      </c>
      <c r="I1071" s="1471">
        <f t="shared" si="364"/>
        <v>8.3950000000000011E-2</v>
      </c>
      <c r="Q1071" s="1394">
        <f>IFERROR(VLOOKUP(M1071,#REF!,3,0),0)</f>
        <v>0</v>
      </c>
      <c r="R1071" s="1394">
        <f t="shared" si="365"/>
        <v>0</v>
      </c>
      <c r="S1071" s="1394">
        <f>IFERROR(VLOOKUP(M1071,#REF!,6,0),0)</f>
        <v>0</v>
      </c>
      <c r="T1071" s="1394">
        <f t="shared" si="366"/>
        <v>0</v>
      </c>
      <c r="U1071" s="1394">
        <f>IFERROR(VLOOKUP(M1071,#REF!,5,0),0)</f>
        <v>0</v>
      </c>
      <c r="V1071" s="1394">
        <f t="shared" si="367"/>
        <v>0</v>
      </c>
      <c r="W1071" s="1394"/>
    </row>
    <row r="1072" spans="2:23" ht="30" customHeight="1">
      <c r="B1072" s="1407"/>
      <c r="C1072" s="1415" t="str">
        <f>Sheet1!I33</f>
        <v>SLW</v>
      </c>
      <c r="D1072" s="1409">
        <v>1</v>
      </c>
      <c r="E1072" s="1409">
        <f>VLOOKUP(C1072,Sheet1!$I$7:$Q$39,7,0)</f>
        <v>2</v>
      </c>
      <c r="F1072" s="1410">
        <f>VLOOKUP(C1072,Sheet1!$I$7:$Q$39,2,0)+0.46</f>
        <v>2.56</v>
      </c>
      <c r="G1072" s="1410">
        <v>0.23</v>
      </c>
      <c r="H1072" s="1410">
        <v>0.05</v>
      </c>
      <c r="I1072" s="1471">
        <f t="shared" si="364"/>
        <v>5.8880000000000002E-2</v>
      </c>
      <c r="Q1072" s="1394">
        <f>IFERROR(VLOOKUP(M1072,#REF!,3,0),0)</f>
        <v>0</v>
      </c>
      <c r="R1072" s="1394">
        <f t="shared" si="365"/>
        <v>0</v>
      </c>
      <c r="S1072" s="1394">
        <f>IFERROR(VLOOKUP(M1072,#REF!,6,0),0)</f>
        <v>0</v>
      </c>
      <c r="T1072" s="1394">
        <f t="shared" si="366"/>
        <v>0</v>
      </c>
      <c r="U1072" s="1394">
        <f>IFERROR(VLOOKUP(M1072,#REF!,5,0),0)</f>
        <v>0</v>
      </c>
      <c r="V1072" s="1394">
        <f t="shared" si="367"/>
        <v>0</v>
      </c>
      <c r="W1072" s="1394"/>
    </row>
    <row r="1073" spans="2:23" ht="30" customHeight="1">
      <c r="B1073" s="1407"/>
      <c r="C1073" s="1408" t="str">
        <f>Sheet1!I34</f>
        <v>RV</v>
      </c>
      <c r="D1073" s="1409">
        <v>1</v>
      </c>
      <c r="E1073" s="1409">
        <f>VLOOKUP(C1073,Sheet1!$I$7:$Q$39,7,0)</f>
        <v>3</v>
      </c>
      <c r="F1073" s="1410">
        <f>VLOOKUP(C1073,Sheet1!$I$7:$Q$39,2,0)+0.46</f>
        <v>1.81</v>
      </c>
      <c r="G1073" s="1410">
        <v>0.23</v>
      </c>
      <c r="H1073" s="1410">
        <v>0.05</v>
      </c>
      <c r="I1073" s="1471">
        <f t="shared" si="364"/>
        <v>6.2445000000000001E-2</v>
      </c>
      <c r="Q1073" s="1394">
        <f>IFERROR(VLOOKUP(M1073,#REF!,3,0),0)</f>
        <v>0</v>
      </c>
      <c r="R1073" s="1394">
        <f t="shared" si="365"/>
        <v>0</v>
      </c>
      <c r="S1073" s="1394">
        <f>IFERROR(VLOOKUP(M1073,#REF!,6,0),0)</f>
        <v>0</v>
      </c>
      <c r="T1073" s="1394">
        <f t="shared" si="366"/>
        <v>0</v>
      </c>
      <c r="U1073" s="1394">
        <f>IFERROR(VLOOKUP(M1073,#REF!,5,0),0)</f>
        <v>0</v>
      </c>
      <c r="V1073" s="1394">
        <f t="shared" si="367"/>
        <v>0</v>
      </c>
      <c r="W1073" s="1394"/>
    </row>
    <row r="1074" spans="2:23" ht="30" customHeight="1">
      <c r="B1074" s="1407"/>
      <c r="C1074" s="1408" t="str">
        <f>Sheet1!I38</f>
        <v>V3</v>
      </c>
      <c r="D1074" s="1409">
        <v>1</v>
      </c>
      <c r="E1074" s="1409">
        <f>VLOOKUP(C1074,Sheet1!$I$7:$Q$39,7,0)</f>
        <v>5</v>
      </c>
      <c r="F1074" s="1410">
        <f>VLOOKUP(C1074,Sheet1!$I$7:$Q$39,2,0)+0.46</f>
        <v>1.36</v>
      </c>
      <c r="G1074" s="1410">
        <v>0.23</v>
      </c>
      <c r="H1074" s="1410">
        <v>0.05</v>
      </c>
      <c r="I1074" s="1471">
        <f t="shared" si="364"/>
        <v>7.8200000000000019E-2</v>
      </c>
      <c r="M1074" s="110"/>
      <c r="Q1074" s="1394">
        <f>IFERROR(VLOOKUP(M1074,#REF!,3,0),0)</f>
        <v>0</v>
      </c>
      <c r="R1074" s="1394">
        <f t="shared" si="365"/>
        <v>0</v>
      </c>
      <c r="S1074" s="1394">
        <f>IFERROR(VLOOKUP(M1074,#REF!,6,0),0)</f>
        <v>0</v>
      </c>
      <c r="T1074" s="1394">
        <f t="shared" si="366"/>
        <v>0</v>
      </c>
      <c r="U1074" s="1394">
        <f>IFERROR(VLOOKUP(M1074,#REF!,5,0),0)</f>
        <v>0</v>
      </c>
      <c r="V1074" s="1394">
        <f t="shared" si="367"/>
        <v>0</v>
      </c>
      <c r="W1074" s="1394"/>
    </row>
    <row r="1075" spans="2:23" ht="30" customHeight="1">
      <c r="B1075" s="1407"/>
      <c r="C1075" s="1408" t="str">
        <f>Sheet1!I39</f>
        <v>RVT</v>
      </c>
      <c r="D1075" s="1409">
        <v>1</v>
      </c>
      <c r="E1075" s="1409">
        <f>VLOOKUP(C1075,Sheet1!$I$7:$Q$39,7,0)</f>
        <v>2</v>
      </c>
      <c r="F1075" s="1410">
        <f>VLOOKUP(C1075,Sheet1!$I$7:$Q$39,2,0)+0.46</f>
        <v>1.36</v>
      </c>
      <c r="G1075" s="1410">
        <v>0.23</v>
      </c>
      <c r="H1075" s="1410">
        <v>0.05</v>
      </c>
      <c r="I1075" s="1471">
        <f t="shared" si="364"/>
        <v>3.1280000000000002E-2</v>
      </c>
      <c r="M1075" s="110"/>
      <c r="Q1075" s="1394">
        <f>IFERROR(VLOOKUP(M1075,#REF!,3,0),0)</f>
        <v>0</v>
      </c>
      <c r="R1075" s="1394">
        <f t="shared" si="365"/>
        <v>0</v>
      </c>
      <c r="S1075" s="1394">
        <f>IFERROR(VLOOKUP(M1075,#REF!,6,0),0)</f>
        <v>0</v>
      </c>
      <c r="T1075" s="1394">
        <f t="shared" si="366"/>
        <v>0</v>
      </c>
      <c r="U1075" s="1394">
        <f>IFERROR(VLOOKUP(M1075,#REF!,5,0),0)</f>
        <v>0</v>
      </c>
      <c r="V1075" s="1394">
        <f t="shared" si="367"/>
        <v>0</v>
      </c>
      <c r="W1075" s="1394"/>
    </row>
    <row r="1076" spans="2:23" ht="30" customHeight="1">
      <c r="B1076" s="1407"/>
      <c r="C1076" s="1408"/>
      <c r="D1076" s="1409"/>
      <c r="E1076" s="1409"/>
      <c r="F1076" s="1410"/>
      <c r="G1076" s="1410"/>
      <c r="H1076" s="1411"/>
      <c r="I1076" s="1471">
        <f t="shared" si="364"/>
        <v>0</v>
      </c>
      <c r="M1076" s="110"/>
      <c r="Q1076" s="1394">
        <f>IFERROR(VLOOKUP(M1076,#REF!,3,0),0)</f>
        <v>0</v>
      </c>
      <c r="R1076" s="1394">
        <f t="shared" si="365"/>
        <v>0</v>
      </c>
      <c r="S1076" s="1394">
        <f>IFERROR(VLOOKUP(M1076,#REF!,6,0),0)</f>
        <v>0</v>
      </c>
      <c r="T1076" s="1394">
        <f t="shared" si="366"/>
        <v>0</v>
      </c>
      <c r="U1076" s="1394">
        <f>IFERROR(VLOOKUP(M1076,#REF!,5,0),0)</f>
        <v>0</v>
      </c>
      <c r="V1076" s="1394">
        <f t="shared" si="367"/>
        <v>0</v>
      </c>
      <c r="W1076" s="1394"/>
    </row>
    <row r="1077" spans="2:23" ht="30" customHeight="1">
      <c r="B1077" s="1407"/>
      <c r="C1077" s="1415" t="s">
        <v>304</v>
      </c>
      <c r="D1077" s="1409"/>
      <c r="E1077" s="1409"/>
      <c r="F1077" s="1410"/>
      <c r="G1077" s="1410"/>
      <c r="H1077" s="1411"/>
      <c r="I1077" s="1471">
        <f t="shared" si="364"/>
        <v>0</v>
      </c>
      <c r="M1077" s="110"/>
      <c r="Q1077" s="1394">
        <f>IFERROR(VLOOKUP(M1077,#REF!,3,0),0)</f>
        <v>0</v>
      </c>
      <c r="R1077" s="1394">
        <f t="shared" si="365"/>
        <v>0</v>
      </c>
      <c r="S1077" s="1394">
        <f>IFERROR(VLOOKUP(M1077,#REF!,6,0),0)</f>
        <v>0</v>
      </c>
      <c r="T1077" s="1394">
        <f t="shared" si="366"/>
        <v>0</v>
      </c>
      <c r="U1077" s="1394">
        <f>IFERROR(VLOOKUP(M1077,#REF!,5,0),0)</f>
        <v>0</v>
      </c>
      <c r="V1077" s="1394">
        <f t="shared" si="367"/>
        <v>0</v>
      </c>
      <c r="W1077" s="1394"/>
    </row>
    <row r="1078" spans="2:23" ht="30" customHeight="1">
      <c r="B1078" s="1405"/>
      <c r="C1078" s="1408" t="str">
        <f t="shared" ref="C1078:C1099" si="368">C1540</f>
        <v>Main wall all alround</v>
      </c>
      <c r="D1078" s="1409">
        <f>-D1540</f>
        <v>1</v>
      </c>
      <c r="E1078" s="1409">
        <f t="shared" ref="E1078:H1099" si="369">E1540</f>
        <v>1</v>
      </c>
      <c r="F1078" s="1410">
        <f t="shared" si="369"/>
        <v>86.29</v>
      </c>
      <c r="G1078" s="1410">
        <f t="shared" si="369"/>
        <v>0.23</v>
      </c>
      <c r="H1078" s="1411">
        <f t="shared" si="369"/>
        <v>0.1</v>
      </c>
      <c r="I1078" s="1471">
        <f t="shared" si="364"/>
        <v>1.9846700000000004</v>
      </c>
      <c r="M1078" s="110"/>
      <c r="Q1078" s="1394">
        <f>IFERROR(VLOOKUP(M1078,#REF!,3,0),0)</f>
        <v>0</v>
      </c>
      <c r="R1078" s="1394">
        <f t="shared" si="365"/>
        <v>0</v>
      </c>
      <c r="S1078" s="1394">
        <f>IFERROR(VLOOKUP(M1078,#REF!,6,0),0)</f>
        <v>0</v>
      </c>
      <c r="T1078" s="1394">
        <f t="shared" si="366"/>
        <v>0</v>
      </c>
      <c r="U1078" s="1394">
        <f>IFERROR(VLOOKUP(M1078,#REF!,5,0),0)</f>
        <v>0</v>
      </c>
      <c r="V1078" s="1394">
        <f t="shared" si="367"/>
        <v>0</v>
      </c>
      <c r="W1078" s="1394"/>
    </row>
    <row r="1079" spans="2:23" ht="30" customHeight="1">
      <c r="B1079" s="1407"/>
      <c r="C1079" s="1408" t="str">
        <f t="shared" si="368"/>
        <v>Lift Front Wall</v>
      </c>
      <c r="D1079" s="1409">
        <f t="shared" ref="D1079:D1099" si="370">-D1541</f>
        <v>1</v>
      </c>
      <c r="E1079" s="1409">
        <f t="shared" si="369"/>
        <v>1</v>
      </c>
      <c r="F1079" s="1410">
        <f t="shared" si="369"/>
        <v>2.5350000000000001</v>
      </c>
      <c r="G1079" s="1410">
        <f t="shared" si="369"/>
        <v>0.23</v>
      </c>
      <c r="H1079" s="1411">
        <f t="shared" si="369"/>
        <v>0.1</v>
      </c>
      <c r="I1079" s="1471">
        <f t="shared" si="364"/>
        <v>5.830500000000001E-2</v>
      </c>
      <c r="M1079" s="110"/>
      <c r="Q1079" s="1394">
        <f>IFERROR(VLOOKUP(M1079,#REF!,3,0),0)</f>
        <v>0</v>
      </c>
      <c r="R1079" s="1394">
        <f t="shared" si="365"/>
        <v>0</v>
      </c>
      <c r="S1079" s="1394">
        <f>IFERROR(VLOOKUP(M1079,#REF!,6,0),0)</f>
        <v>0</v>
      </c>
      <c r="T1079" s="1394">
        <f t="shared" si="366"/>
        <v>0</v>
      </c>
      <c r="U1079" s="1394">
        <f>IFERROR(VLOOKUP(M1079,#REF!,5,0),0)</f>
        <v>0</v>
      </c>
      <c r="V1079" s="1394">
        <f t="shared" si="367"/>
        <v>0</v>
      </c>
      <c r="W1079" s="1394"/>
    </row>
    <row r="1080" spans="2:23" ht="30" customHeight="1">
      <c r="B1080" s="1407"/>
      <c r="C1080" s="1408" t="str">
        <f t="shared" si="368"/>
        <v>Lift Side Wall</v>
      </c>
      <c r="D1080" s="1409">
        <f t="shared" si="370"/>
        <v>1</v>
      </c>
      <c r="E1080" s="1409">
        <f t="shared" si="369"/>
        <v>1</v>
      </c>
      <c r="F1080" s="1410">
        <f t="shared" si="369"/>
        <v>2.33</v>
      </c>
      <c r="G1080" s="1410">
        <f t="shared" si="369"/>
        <v>0.23</v>
      </c>
      <c r="H1080" s="1411">
        <f t="shared" si="369"/>
        <v>0.1</v>
      </c>
      <c r="I1080" s="1471">
        <f t="shared" si="364"/>
        <v>5.3590000000000006E-2</v>
      </c>
      <c r="M1080" s="110"/>
      <c r="Q1080" s="1394">
        <f>IFERROR(VLOOKUP(M1080,#REF!,3,0),0)</f>
        <v>0</v>
      </c>
      <c r="R1080" s="1394">
        <f t="shared" si="365"/>
        <v>0</v>
      </c>
      <c r="S1080" s="1394">
        <f>IFERROR(VLOOKUP(M1080,#REF!,6,0),0)</f>
        <v>0</v>
      </c>
      <c r="T1080" s="1394">
        <f t="shared" si="366"/>
        <v>0</v>
      </c>
      <c r="U1080" s="1394">
        <f>IFERROR(VLOOKUP(M1080,#REF!,5,0),0)</f>
        <v>0</v>
      </c>
      <c r="V1080" s="1394">
        <f t="shared" si="367"/>
        <v>0</v>
      </c>
      <c r="W1080" s="1394"/>
    </row>
    <row r="1081" spans="2:23" ht="30" customHeight="1">
      <c r="B1081" s="1407"/>
      <c r="C1081" s="1408" t="str">
        <f t="shared" si="368"/>
        <v>Cross wall between Stair case lobby / Hall</v>
      </c>
      <c r="D1081" s="1409">
        <f t="shared" si="370"/>
        <v>1</v>
      </c>
      <c r="E1081" s="1409">
        <f t="shared" si="369"/>
        <v>1</v>
      </c>
      <c r="F1081" s="1410">
        <f t="shared" si="369"/>
        <v>7.1150000000000002</v>
      </c>
      <c r="G1081" s="1410">
        <f t="shared" si="369"/>
        <v>0.23</v>
      </c>
      <c r="H1081" s="1411">
        <f t="shared" si="369"/>
        <v>0.1</v>
      </c>
      <c r="I1081" s="1471">
        <f t="shared" si="364"/>
        <v>0.16364500000000004</v>
      </c>
      <c r="M1081" s="110"/>
      <c r="Q1081" s="1394">
        <f>IFERROR(VLOOKUP(M1081,#REF!,3,0),0)</f>
        <v>0</v>
      </c>
      <c r="R1081" s="1394">
        <f t="shared" si="365"/>
        <v>0</v>
      </c>
      <c r="S1081" s="1394">
        <f>IFERROR(VLOOKUP(M1081,#REF!,6,0),0)</f>
        <v>0</v>
      </c>
      <c r="T1081" s="1394">
        <f t="shared" si="366"/>
        <v>0</v>
      </c>
      <c r="U1081" s="1394">
        <f>IFERROR(VLOOKUP(M1081,#REF!,5,0),0)</f>
        <v>0</v>
      </c>
      <c r="V1081" s="1394">
        <f t="shared" si="367"/>
        <v>0</v>
      </c>
      <c r="W1081" s="1394"/>
    </row>
    <row r="1082" spans="2:23" ht="30" customHeight="1">
      <c r="B1082" s="1407"/>
      <c r="C1082" s="1408" t="str">
        <f t="shared" si="368"/>
        <v>Men Rest Room</v>
      </c>
      <c r="D1082" s="1409">
        <f t="shared" si="370"/>
        <v>0</v>
      </c>
      <c r="E1082" s="1409">
        <f t="shared" si="369"/>
        <v>0</v>
      </c>
      <c r="F1082" s="1410">
        <f t="shared" si="369"/>
        <v>0</v>
      </c>
      <c r="G1082" s="1410">
        <f t="shared" si="369"/>
        <v>0</v>
      </c>
      <c r="H1082" s="1411">
        <f t="shared" si="369"/>
        <v>0</v>
      </c>
      <c r="I1082" s="1471">
        <f t="shared" si="364"/>
        <v>0</v>
      </c>
      <c r="M1082" s="110"/>
      <c r="Q1082" s="1394">
        <f>IFERROR(VLOOKUP(M1082,#REF!,3,0),0)</f>
        <v>0</v>
      </c>
      <c r="R1082" s="1394">
        <f t="shared" si="365"/>
        <v>0</v>
      </c>
      <c r="S1082" s="1394">
        <f>IFERROR(VLOOKUP(M1082,#REF!,6,0),0)</f>
        <v>0</v>
      </c>
      <c r="T1082" s="1394">
        <f t="shared" si="366"/>
        <v>0</v>
      </c>
      <c r="U1082" s="1394">
        <f>IFERROR(VLOOKUP(M1082,#REF!,5,0),0)</f>
        <v>0</v>
      </c>
      <c r="V1082" s="1394">
        <f t="shared" si="367"/>
        <v>0</v>
      </c>
      <c r="W1082" s="1394"/>
    </row>
    <row r="1083" spans="2:23" ht="30" customHeight="1">
      <c r="B1083" s="1407"/>
      <c r="C1083" s="1408" t="str">
        <f t="shared" si="368"/>
        <v>Cross wall between Men Rest Room  / Toilet /Hall</v>
      </c>
      <c r="D1083" s="1409">
        <f t="shared" si="370"/>
        <v>1</v>
      </c>
      <c r="E1083" s="1409">
        <f t="shared" si="369"/>
        <v>1</v>
      </c>
      <c r="F1083" s="1410">
        <f t="shared" si="369"/>
        <v>4</v>
      </c>
      <c r="G1083" s="1410">
        <f t="shared" si="369"/>
        <v>0.23</v>
      </c>
      <c r="H1083" s="1411">
        <f t="shared" si="369"/>
        <v>0.1</v>
      </c>
      <c r="I1083" s="1471">
        <f t="shared" si="364"/>
        <v>9.2000000000000012E-2</v>
      </c>
      <c r="M1083" s="110"/>
      <c r="Q1083" s="1394">
        <f>IFERROR(VLOOKUP(M1083,#REF!,3,0),0)</f>
        <v>0</v>
      </c>
      <c r="R1083" s="1394">
        <f t="shared" si="365"/>
        <v>0</v>
      </c>
      <c r="S1083" s="1394">
        <f>IFERROR(VLOOKUP(M1083,#REF!,6,0),0)</f>
        <v>0</v>
      </c>
      <c r="T1083" s="1394">
        <f t="shared" si="366"/>
        <v>0</v>
      </c>
      <c r="U1083" s="1394">
        <f>IFERROR(VLOOKUP(M1083,#REF!,5,0),0)</f>
        <v>0</v>
      </c>
      <c r="V1083" s="1394">
        <f t="shared" si="367"/>
        <v>0</v>
      </c>
      <c r="W1083" s="1394"/>
    </row>
    <row r="1084" spans="2:23" ht="30" customHeight="1">
      <c r="B1084" s="1407"/>
      <c r="C1084" s="1408" t="str">
        <f t="shared" si="368"/>
        <v>D/F Toilet Open</v>
      </c>
      <c r="D1084" s="1409">
        <f t="shared" si="370"/>
        <v>-1</v>
      </c>
      <c r="E1084" s="1409">
        <f t="shared" si="369"/>
        <v>1</v>
      </c>
      <c r="F1084" s="1410">
        <f t="shared" si="369"/>
        <v>1</v>
      </c>
      <c r="G1084" s="1410">
        <f t="shared" si="369"/>
        <v>0.23</v>
      </c>
      <c r="H1084" s="1411">
        <f t="shared" si="369"/>
        <v>0.1</v>
      </c>
      <c r="I1084" s="1471">
        <f t="shared" si="364"/>
        <v>-2.3000000000000003E-2</v>
      </c>
      <c r="M1084" s="110"/>
      <c r="Q1084" s="1394">
        <f>IFERROR(VLOOKUP(M1084,#REF!,3,0),0)</f>
        <v>0</v>
      </c>
      <c r="R1084" s="1394">
        <f t="shared" si="365"/>
        <v>0</v>
      </c>
      <c r="S1084" s="1394">
        <f>IFERROR(VLOOKUP(M1084,#REF!,6,0),0)</f>
        <v>0</v>
      </c>
      <c r="T1084" s="1394">
        <f t="shared" si="366"/>
        <v>0</v>
      </c>
      <c r="U1084" s="1394">
        <f>IFERROR(VLOOKUP(M1084,#REF!,5,0),0)</f>
        <v>0</v>
      </c>
      <c r="V1084" s="1394">
        <f t="shared" si="367"/>
        <v>0</v>
      </c>
      <c r="W1084" s="1394"/>
    </row>
    <row r="1085" spans="2:23" ht="30" customHeight="1">
      <c r="B1085" s="1407"/>
      <c r="C1085" s="1408" t="str">
        <f t="shared" si="368"/>
        <v>Piller</v>
      </c>
      <c r="D1085" s="1409">
        <f t="shared" si="370"/>
        <v>1</v>
      </c>
      <c r="E1085" s="1409">
        <f t="shared" si="369"/>
        <v>1</v>
      </c>
      <c r="F1085" s="1410">
        <f t="shared" si="369"/>
        <v>0.23</v>
      </c>
      <c r="G1085" s="1410">
        <f t="shared" si="369"/>
        <v>0.23</v>
      </c>
      <c r="H1085" s="1411">
        <f t="shared" si="369"/>
        <v>0.1</v>
      </c>
      <c r="I1085" s="1471">
        <f t="shared" si="364"/>
        <v>5.2900000000000004E-3</v>
      </c>
      <c r="M1085" s="110"/>
      <c r="Q1085" s="1394">
        <f>IFERROR(VLOOKUP(M1085,#REF!,3,0),0)</f>
        <v>0</v>
      </c>
      <c r="R1085" s="1394">
        <f t="shared" si="365"/>
        <v>0</v>
      </c>
      <c r="S1085" s="1394">
        <f>IFERROR(VLOOKUP(M1085,#REF!,6,0),0)</f>
        <v>0</v>
      </c>
      <c r="T1085" s="1394">
        <f t="shared" si="366"/>
        <v>0</v>
      </c>
      <c r="U1085" s="1394">
        <f>IFERROR(VLOOKUP(M1085,#REF!,5,0),0)</f>
        <v>0</v>
      </c>
      <c r="V1085" s="1394">
        <f t="shared" si="367"/>
        <v>0</v>
      </c>
      <c r="W1085" s="1394"/>
    </row>
    <row r="1086" spans="2:23" ht="30" customHeight="1">
      <c r="B1086" s="1407"/>
      <c r="C1086" s="1408" t="str">
        <f t="shared" si="368"/>
        <v>Cross wall between Men Rest Room  / Lift Stair</v>
      </c>
      <c r="D1086" s="1409">
        <f t="shared" si="370"/>
        <v>1</v>
      </c>
      <c r="E1086" s="1409">
        <f t="shared" si="369"/>
        <v>1</v>
      </c>
      <c r="F1086" s="1410">
        <f t="shared" si="369"/>
        <v>5.53</v>
      </c>
      <c r="G1086" s="1410">
        <f t="shared" si="369"/>
        <v>0.23</v>
      </c>
      <c r="H1086" s="1411">
        <f t="shared" si="369"/>
        <v>0.1</v>
      </c>
      <c r="I1086" s="1471">
        <f t="shared" si="364"/>
        <v>0.12719</v>
      </c>
      <c r="M1086" s="110"/>
      <c r="Q1086" s="1394">
        <f>IFERROR(VLOOKUP(M1086,#REF!,3,0),0)</f>
        <v>0</v>
      </c>
      <c r="R1086" s="1394">
        <f t="shared" si="365"/>
        <v>0</v>
      </c>
      <c r="S1086" s="1394">
        <f>IFERROR(VLOOKUP(M1086,#REF!,6,0),0)</f>
        <v>0</v>
      </c>
      <c r="T1086" s="1394">
        <f t="shared" si="366"/>
        <v>0</v>
      </c>
      <c r="U1086" s="1394">
        <f>IFERROR(VLOOKUP(M1086,#REF!,5,0),0)</f>
        <v>0</v>
      </c>
      <c r="V1086" s="1394">
        <f t="shared" si="367"/>
        <v>0</v>
      </c>
      <c r="W1086" s="1394"/>
    </row>
    <row r="1087" spans="2:23" ht="30" customHeight="1">
      <c r="B1087" s="1407"/>
      <c r="C1087" s="1408" t="str">
        <f t="shared" si="368"/>
        <v>Writer</v>
      </c>
      <c r="D1087" s="1409">
        <f t="shared" si="370"/>
        <v>0</v>
      </c>
      <c r="E1087" s="1409">
        <f t="shared" si="369"/>
        <v>0</v>
      </c>
      <c r="F1087" s="1410">
        <f t="shared" si="369"/>
        <v>0</v>
      </c>
      <c r="G1087" s="1410">
        <f t="shared" si="369"/>
        <v>0</v>
      </c>
      <c r="H1087" s="1411">
        <f t="shared" si="369"/>
        <v>0</v>
      </c>
      <c r="I1087" s="1471">
        <f t="shared" si="364"/>
        <v>0</v>
      </c>
      <c r="M1087" s="110"/>
      <c r="Q1087" s="1394">
        <f>IFERROR(VLOOKUP(M1087,#REF!,3,0),0)</f>
        <v>0</v>
      </c>
      <c r="R1087" s="1394">
        <f t="shared" si="365"/>
        <v>0</v>
      </c>
      <c r="S1087" s="1394">
        <f>IFERROR(VLOOKUP(M1087,#REF!,6,0),0)</f>
        <v>0</v>
      </c>
      <c r="T1087" s="1394">
        <f t="shared" si="366"/>
        <v>0</v>
      </c>
      <c r="U1087" s="1394">
        <f>IFERROR(VLOOKUP(M1087,#REF!,5,0),0)</f>
        <v>0</v>
      </c>
      <c r="V1087" s="1394">
        <f t="shared" si="367"/>
        <v>0</v>
      </c>
      <c r="W1087" s="1394"/>
    </row>
    <row r="1088" spans="2:23" ht="30" customHeight="1">
      <c r="B1088" s="1407"/>
      <c r="C1088" s="1408" t="str">
        <f t="shared" si="368"/>
        <v>Cross wall between  Writer / Stair case lobby</v>
      </c>
      <c r="D1088" s="1409">
        <f t="shared" si="370"/>
        <v>1</v>
      </c>
      <c r="E1088" s="1409">
        <f t="shared" si="369"/>
        <v>1</v>
      </c>
      <c r="F1088" s="1410">
        <f t="shared" si="369"/>
        <v>5.53</v>
      </c>
      <c r="G1088" s="1410">
        <f t="shared" si="369"/>
        <v>0.23</v>
      </c>
      <c r="H1088" s="1411">
        <f t="shared" si="369"/>
        <v>0.1</v>
      </c>
      <c r="I1088" s="1471">
        <f t="shared" si="364"/>
        <v>0.12719</v>
      </c>
      <c r="M1088" s="110"/>
      <c r="Q1088" s="1394">
        <f>IFERROR(VLOOKUP(M1088,#REF!,3,0),0)</f>
        <v>0</v>
      </c>
      <c r="R1088" s="1394">
        <f t="shared" si="365"/>
        <v>0</v>
      </c>
      <c r="S1088" s="1394">
        <f>IFERROR(VLOOKUP(M1088,#REF!,6,0),0)</f>
        <v>0</v>
      </c>
      <c r="T1088" s="1394">
        <f t="shared" si="366"/>
        <v>0</v>
      </c>
      <c r="U1088" s="1394">
        <f>IFERROR(VLOOKUP(M1088,#REF!,5,0),0)</f>
        <v>0</v>
      </c>
      <c r="V1088" s="1394">
        <f t="shared" si="367"/>
        <v>0</v>
      </c>
      <c r="W1088" s="1394"/>
    </row>
    <row r="1089" spans="2:23" ht="30" customHeight="1">
      <c r="B1089" s="1407"/>
      <c r="C1089" s="1408" t="str">
        <f t="shared" si="368"/>
        <v>Cross wall between  Writer / Hall</v>
      </c>
      <c r="D1089" s="1409">
        <f t="shared" si="370"/>
        <v>1</v>
      </c>
      <c r="E1089" s="1409">
        <f t="shared" si="369"/>
        <v>1</v>
      </c>
      <c r="F1089" s="1410">
        <f t="shared" si="369"/>
        <v>3.4550000000000001</v>
      </c>
      <c r="G1089" s="1410">
        <f t="shared" si="369"/>
        <v>0.23</v>
      </c>
      <c r="H1089" s="1411">
        <f t="shared" si="369"/>
        <v>0.1</v>
      </c>
      <c r="I1089" s="1471">
        <f t="shared" si="364"/>
        <v>7.9465000000000008E-2</v>
      </c>
      <c r="M1089" s="110"/>
      <c r="Q1089" s="1394">
        <f>IFERROR(VLOOKUP(M1089,#REF!,3,0),0)</f>
        <v>0</v>
      </c>
      <c r="R1089" s="1394">
        <f t="shared" si="365"/>
        <v>0</v>
      </c>
      <c r="S1089" s="1394">
        <f>IFERROR(VLOOKUP(M1089,#REF!,6,0),0)</f>
        <v>0</v>
      </c>
      <c r="T1089" s="1394">
        <f t="shared" si="366"/>
        <v>0</v>
      </c>
      <c r="U1089" s="1394">
        <f>IFERROR(VLOOKUP(M1089,#REF!,5,0),0)</f>
        <v>0</v>
      </c>
      <c r="V1089" s="1394">
        <f t="shared" si="367"/>
        <v>0</v>
      </c>
      <c r="W1089" s="1394"/>
    </row>
    <row r="1090" spans="2:23" ht="30" customHeight="1">
      <c r="B1090" s="1407"/>
      <c r="C1090" s="1408" t="str">
        <f t="shared" si="368"/>
        <v>C/B Piller</v>
      </c>
      <c r="D1090" s="1409">
        <f t="shared" si="370"/>
        <v>1</v>
      </c>
      <c r="E1090" s="1409">
        <f t="shared" si="369"/>
        <v>1</v>
      </c>
      <c r="F1090" s="1410">
        <f t="shared" si="369"/>
        <v>0.71499999999999997</v>
      </c>
      <c r="G1090" s="1410">
        <f t="shared" si="369"/>
        <v>0.23</v>
      </c>
      <c r="H1090" s="1411">
        <f t="shared" si="369"/>
        <v>0.1</v>
      </c>
      <c r="I1090" s="1471">
        <f t="shared" si="364"/>
        <v>1.6445000000000001E-2</v>
      </c>
      <c r="M1090" s="110"/>
      <c r="Q1090" s="1394">
        <f>IFERROR(VLOOKUP(M1090,#REF!,3,0),0)</f>
        <v>0</v>
      </c>
      <c r="R1090" s="1394">
        <f t="shared" si="365"/>
        <v>0</v>
      </c>
      <c r="S1090" s="1394">
        <f>IFERROR(VLOOKUP(M1090,#REF!,6,0),0)</f>
        <v>0</v>
      </c>
      <c r="T1090" s="1394">
        <f t="shared" si="366"/>
        <v>0</v>
      </c>
      <c r="U1090" s="1394">
        <f>IFERROR(VLOOKUP(M1090,#REF!,5,0),0)</f>
        <v>0</v>
      </c>
      <c r="V1090" s="1394">
        <f t="shared" si="367"/>
        <v>0</v>
      </c>
      <c r="W1090" s="1394"/>
    </row>
    <row r="1091" spans="2:23" ht="30" customHeight="1">
      <c r="B1091" s="1407"/>
      <c r="C1091" s="1408" t="str">
        <f t="shared" si="368"/>
        <v xml:space="preserve">Ins Trafic </v>
      </c>
      <c r="D1091" s="1409">
        <f t="shared" si="370"/>
        <v>0</v>
      </c>
      <c r="E1091" s="1409">
        <f t="shared" si="369"/>
        <v>0</v>
      </c>
      <c r="F1091" s="1410">
        <f t="shared" si="369"/>
        <v>0</v>
      </c>
      <c r="G1091" s="1410">
        <f t="shared" si="369"/>
        <v>0</v>
      </c>
      <c r="H1091" s="1411">
        <f t="shared" si="369"/>
        <v>0</v>
      </c>
      <c r="I1091" s="1471">
        <f t="shared" si="364"/>
        <v>0</v>
      </c>
      <c r="M1091" s="110"/>
      <c r="Q1091" s="1394">
        <f>IFERROR(VLOOKUP(M1091,#REF!,3,0),0)</f>
        <v>0</v>
      </c>
      <c r="R1091" s="1394">
        <f t="shared" si="365"/>
        <v>0</v>
      </c>
      <c r="S1091" s="1394">
        <f>IFERROR(VLOOKUP(M1091,#REF!,6,0),0)</f>
        <v>0</v>
      </c>
      <c r="T1091" s="1394">
        <f t="shared" si="366"/>
        <v>0</v>
      </c>
      <c r="U1091" s="1394">
        <f>IFERROR(VLOOKUP(M1091,#REF!,5,0),0)</f>
        <v>0</v>
      </c>
      <c r="V1091" s="1394">
        <f t="shared" si="367"/>
        <v>0</v>
      </c>
      <c r="W1091" s="1394"/>
    </row>
    <row r="1092" spans="2:23" ht="30" customHeight="1">
      <c r="B1092" s="1407"/>
      <c r="C1092" s="1408" t="str">
        <f t="shared" si="368"/>
        <v>Cross wall between  Ins Trafic  / Hall , Toilet</v>
      </c>
      <c r="D1092" s="1409">
        <f t="shared" si="370"/>
        <v>1</v>
      </c>
      <c r="E1092" s="1409">
        <f t="shared" si="369"/>
        <v>1</v>
      </c>
      <c r="F1092" s="1410">
        <f t="shared" si="369"/>
        <v>4</v>
      </c>
      <c r="G1092" s="1410">
        <f t="shared" si="369"/>
        <v>0.23</v>
      </c>
      <c r="H1092" s="1411">
        <f t="shared" si="369"/>
        <v>0.1</v>
      </c>
      <c r="I1092" s="1471">
        <f t="shared" si="364"/>
        <v>9.2000000000000012E-2</v>
      </c>
      <c r="M1092" s="110"/>
      <c r="Q1092" s="1394">
        <f>IFERROR(VLOOKUP(M1092,#REF!,3,0),0)</f>
        <v>0</v>
      </c>
      <c r="R1092" s="1394">
        <f t="shared" si="365"/>
        <v>0</v>
      </c>
      <c r="S1092" s="1394">
        <f>IFERROR(VLOOKUP(M1092,#REF!,6,0),0)</f>
        <v>0</v>
      </c>
      <c r="T1092" s="1394">
        <f t="shared" si="366"/>
        <v>0</v>
      </c>
      <c r="U1092" s="1394">
        <f>IFERROR(VLOOKUP(M1092,#REF!,5,0),0)</f>
        <v>0</v>
      </c>
      <c r="V1092" s="1394">
        <f t="shared" si="367"/>
        <v>0</v>
      </c>
      <c r="W1092" s="1394"/>
    </row>
    <row r="1093" spans="2:23" ht="30" customHeight="1">
      <c r="B1093" s="1407"/>
      <c r="C1093" s="1408" t="str">
        <f t="shared" si="368"/>
        <v>D/F Toilet Open</v>
      </c>
      <c r="D1093" s="1409">
        <f t="shared" si="370"/>
        <v>-1</v>
      </c>
      <c r="E1093" s="1409">
        <f t="shared" si="369"/>
        <v>1</v>
      </c>
      <c r="F1093" s="1410">
        <f t="shared" si="369"/>
        <v>1</v>
      </c>
      <c r="G1093" s="1410">
        <f t="shared" si="369"/>
        <v>0.23</v>
      </c>
      <c r="H1093" s="1411">
        <f t="shared" si="369"/>
        <v>0.1</v>
      </c>
      <c r="I1093" s="1471">
        <f t="shared" si="364"/>
        <v>-2.3000000000000003E-2</v>
      </c>
      <c r="M1093" s="110"/>
      <c r="Q1093" s="1394">
        <f>IFERROR(VLOOKUP(M1093,#REF!,3,0),0)</f>
        <v>0</v>
      </c>
      <c r="R1093" s="1394">
        <f t="shared" si="365"/>
        <v>0</v>
      </c>
      <c r="S1093" s="1394">
        <f>IFERROR(VLOOKUP(M1093,#REF!,6,0),0)</f>
        <v>0</v>
      </c>
      <c r="T1093" s="1394">
        <f t="shared" si="366"/>
        <v>0</v>
      </c>
      <c r="U1093" s="1394">
        <f>IFERROR(VLOOKUP(M1093,#REF!,5,0),0)</f>
        <v>0</v>
      </c>
      <c r="V1093" s="1394">
        <f t="shared" si="367"/>
        <v>0</v>
      </c>
      <c r="W1093" s="1394"/>
    </row>
    <row r="1094" spans="2:23" ht="30" customHeight="1">
      <c r="B1094" s="1407"/>
      <c r="C1094" s="1408" t="str">
        <f t="shared" si="368"/>
        <v>Cross wall between  Ins Trafic  / Hall , Toilet Piller</v>
      </c>
      <c r="D1094" s="1409">
        <f t="shared" si="370"/>
        <v>1</v>
      </c>
      <c r="E1094" s="1409">
        <f t="shared" si="369"/>
        <v>1</v>
      </c>
      <c r="F1094" s="1410">
        <f t="shared" si="369"/>
        <v>0.43</v>
      </c>
      <c r="G1094" s="1410">
        <f t="shared" si="369"/>
        <v>0.23</v>
      </c>
      <c r="H1094" s="1411">
        <f t="shared" si="369"/>
        <v>0.1</v>
      </c>
      <c r="I1094" s="1471">
        <f t="shared" si="364"/>
        <v>9.8900000000000012E-3</v>
      </c>
      <c r="M1094" s="110"/>
      <c r="Q1094" s="1394">
        <f>IFERROR(VLOOKUP(M1094,#REF!,3,0),0)</f>
        <v>0</v>
      </c>
      <c r="R1094" s="1394">
        <f t="shared" si="365"/>
        <v>0</v>
      </c>
      <c r="S1094" s="1394">
        <f>IFERROR(VLOOKUP(M1094,#REF!,6,0),0)</f>
        <v>0</v>
      </c>
      <c r="T1094" s="1394">
        <f t="shared" si="366"/>
        <v>0</v>
      </c>
      <c r="U1094" s="1394">
        <f>IFERROR(VLOOKUP(M1094,#REF!,5,0),0)</f>
        <v>0</v>
      </c>
      <c r="V1094" s="1394">
        <f t="shared" si="367"/>
        <v>0</v>
      </c>
      <c r="W1094" s="1394"/>
    </row>
    <row r="1095" spans="2:23" ht="30" customHeight="1">
      <c r="B1095" s="1407"/>
      <c r="C1095" s="1408" t="str">
        <f t="shared" si="368"/>
        <v>Store</v>
      </c>
      <c r="D1095" s="1409">
        <f t="shared" si="370"/>
        <v>0</v>
      </c>
      <c r="E1095" s="1409">
        <f t="shared" si="369"/>
        <v>0</v>
      </c>
      <c r="F1095" s="1410">
        <f t="shared" si="369"/>
        <v>0</v>
      </c>
      <c r="G1095" s="1410">
        <f t="shared" si="369"/>
        <v>0</v>
      </c>
      <c r="H1095" s="1411">
        <f t="shared" si="369"/>
        <v>0</v>
      </c>
      <c r="I1095" s="1471">
        <f t="shared" si="364"/>
        <v>0</v>
      </c>
      <c r="M1095" s="110"/>
      <c r="Q1095" s="1394">
        <f>IFERROR(VLOOKUP(M1095,#REF!,3,0),0)</f>
        <v>0</v>
      </c>
      <c r="R1095" s="1394">
        <f t="shared" si="365"/>
        <v>0</v>
      </c>
      <c r="S1095" s="1394">
        <f>IFERROR(VLOOKUP(M1095,#REF!,6,0),0)</f>
        <v>0</v>
      </c>
      <c r="T1095" s="1394">
        <f t="shared" si="366"/>
        <v>0</v>
      </c>
      <c r="U1095" s="1394">
        <f>IFERROR(VLOOKUP(M1095,#REF!,5,0),0)</f>
        <v>0</v>
      </c>
      <c r="V1095" s="1394">
        <f t="shared" si="367"/>
        <v>0</v>
      </c>
      <c r="W1095" s="1394"/>
    </row>
    <row r="1096" spans="2:23" ht="30" customHeight="1">
      <c r="B1096" s="1407"/>
      <c r="C1096" s="1408" t="str">
        <f t="shared" si="368"/>
        <v>Cross wall between Store / Hall</v>
      </c>
      <c r="D1096" s="1409">
        <f t="shared" si="370"/>
        <v>1</v>
      </c>
      <c r="E1096" s="1409">
        <f t="shared" si="369"/>
        <v>1</v>
      </c>
      <c r="F1096" s="1410">
        <f t="shared" si="369"/>
        <v>2.73</v>
      </c>
      <c r="G1096" s="1410">
        <f t="shared" si="369"/>
        <v>0.23</v>
      </c>
      <c r="H1096" s="1411">
        <f t="shared" si="369"/>
        <v>0.1</v>
      </c>
      <c r="I1096" s="1471">
        <f t="shared" si="364"/>
        <v>6.2789999999999999E-2</v>
      </c>
      <c r="M1096" s="110"/>
      <c r="Q1096" s="1394">
        <f>IFERROR(VLOOKUP(M1096,#REF!,3,0),0)</f>
        <v>0</v>
      </c>
      <c r="R1096" s="1394">
        <f t="shared" si="365"/>
        <v>0</v>
      </c>
      <c r="S1096" s="1394">
        <f>IFERROR(VLOOKUP(M1096,#REF!,6,0),0)</f>
        <v>0</v>
      </c>
      <c r="T1096" s="1394">
        <f t="shared" si="366"/>
        <v>0</v>
      </c>
      <c r="U1096" s="1394">
        <f>IFERROR(VLOOKUP(M1096,#REF!,5,0),0)</f>
        <v>0</v>
      </c>
      <c r="V1096" s="1394">
        <f t="shared" si="367"/>
        <v>0</v>
      </c>
      <c r="W1096" s="1394"/>
    </row>
    <row r="1097" spans="2:23" ht="30" customHeight="1">
      <c r="B1097" s="1407"/>
      <c r="C1097" s="1408" t="str">
        <f t="shared" si="368"/>
        <v>Cross wall between Store / Men Rest Room</v>
      </c>
      <c r="D1097" s="1409">
        <f t="shared" si="370"/>
        <v>1</v>
      </c>
      <c r="E1097" s="1409">
        <f t="shared" si="369"/>
        <v>1</v>
      </c>
      <c r="F1097" s="1410">
        <f t="shared" si="369"/>
        <v>9.77</v>
      </c>
      <c r="G1097" s="1410">
        <f t="shared" si="369"/>
        <v>0.23</v>
      </c>
      <c r="H1097" s="1411">
        <f t="shared" si="369"/>
        <v>0.1</v>
      </c>
      <c r="I1097" s="1471">
        <f t="shared" si="364"/>
        <v>0.22471000000000002</v>
      </c>
      <c r="M1097" s="110"/>
      <c r="Q1097" s="1394">
        <f>IFERROR(VLOOKUP(M1097,#REF!,3,0),0)</f>
        <v>0</v>
      </c>
      <c r="R1097" s="1394">
        <f t="shared" si="365"/>
        <v>0</v>
      </c>
      <c r="S1097" s="1394">
        <f>IFERROR(VLOOKUP(M1097,#REF!,6,0),0)</f>
        <v>0</v>
      </c>
      <c r="T1097" s="1394">
        <f t="shared" si="366"/>
        <v>0</v>
      </c>
      <c r="U1097" s="1394">
        <f>IFERROR(VLOOKUP(M1097,#REF!,5,0),0)</f>
        <v>0</v>
      </c>
      <c r="V1097" s="1394">
        <f t="shared" si="367"/>
        <v>0</v>
      </c>
      <c r="W1097" s="1394"/>
    </row>
    <row r="1098" spans="2:23" ht="30" customHeight="1">
      <c r="B1098" s="1407"/>
      <c r="C1098" s="1408" t="str">
        <f t="shared" si="368"/>
        <v>Men Rest Room</v>
      </c>
      <c r="D1098" s="1409">
        <f t="shared" si="370"/>
        <v>0</v>
      </c>
      <c r="E1098" s="1409">
        <f t="shared" si="369"/>
        <v>0</v>
      </c>
      <c r="F1098" s="1410">
        <f t="shared" si="369"/>
        <v>0</v>
      </c>
      <c r="G1098" s="1410">
        <f t="shared" si="369"/>
        <v>0</v>
      </c>
      <c r="H1098" s="1409">
        <f t="shared" si="369"/>
        <v>0</v>
      </c>
      <c r="I1098" s="1471">
        <f t="shared" si="364"/>
        <v>0</v>
      </c>
      <c r="M1098" s="110"/>
      <c r="Q1098" s="1394">
        <f>IFERROR(VLOOKUP(M1098,#REF!,3,0),0)</f>
        <v>0</v>
      </c>
      <c r="R1098" s="1394">
        <f t="shared" si="365"/>
        <v>0</v>
      </c>
      <c r="S1098" s="1394">
        <f>IFERROR(VLOOKUP(M1098,#REF!,6,0),0)</f>
        <v>0</v>
      </c>
      <c r="T1098" s="1394">
        <f t="shared" si="366"/>
        <v>0</v>
      </c>
      <c r="U1098" s="1394">
        <f>IFERROR(VLOOKUP(M1098,#REF!,5,0),0)</f>
        <v>0</v>
      </c>
      <c r="V1098" s="1394">
        <f t="shared" si="367"/>
        <v>0</v>
      </c>
      <c r="W1098" s="1394"/>
    </row>
    <row r="1099" spans="2:23" ht="30" customHeight="1">
      <c r="B1099" s="1407"/>
      <c r="C1099" s="1408" t="str">
        <f t="shared" si="368"/>
        <v>Cross wall between Men Rest Room / Hall</v>
      </c>
      <c r="D1099" s="1409">
        <f t="shared" si="370"/>
        <v>1</v>
      </c>
      <c r="E1099" s="1409">
        <f t="shared" si="369"/>
        <v>1</v>
      </c>
      <c r="F1099" s="1410">
        <f t="shared" si="369"/>
        <v>5.9349999999999996</v>
      </c>
      <c r="G1099" s="1410">
        <f t="shared" si="369"/>
        <v>0.23</v>
      </c>
      <c r="H1099" s="1411">
        <f t="shared" si="369"/>
        <v>0.1</v>
      </c>
      <c r="I1099" s="1471">
        <f>PRODUCT(D1099:H1099)</f>
        <v>0.13650499999999999</v>
      </c>
      <c r="M1099" s="110"/>
      <c r="Q1099" s="1394">
        <f>IFERROR(VLOOKUP(M1099,#REF!,3,0),0)</f>
        <v>0</v>
      </c>
      <c r="R1099" s="1394">
        <f t="shared" si="365"/>
        <v>0</v>
      </c>
      <c r="S1099" s="1394">
        <f>IFERROR(VLOOKUP(M1099,#REF!,6,0),0)</f>
        <v>0</v>
      </c>
      <c r="T1099" s="1394">
        <f t="shared" si="366"/>
        <v>0</v>
      </c>
      <c r="U1099" s="1394">
        <f>IFERROR(VLOOKUP(M1099,#REF!,5,0),0)</f>
        <v>0</v>
      </c>
      <c r="V1099" s="1394">
        <f t="shared" si="367"/>
        <v>0</v>
      </c>
      <c r="W1099" s="1394"/>
    </row>
    <row r="1100" spans="2:23" ht="30" customHeight="1">
      <c r="B1100" s="1407"/>
      <c r="C1100" s="1412" t="s">
        <v>314</v>
      </c>
      <c r="D1100" s="1409">
        <f t="shared" ref="D1100:H1101" si="371">D1768</f>
        <v>0</v>
      </c>
      <c r="E1100" s="1409">
        <f t="shared" si="371"/>
        <v>0</v>
      </c>
      <c r="F1100" s="1410">
        <f t="shared" si="371"/>
        <v>0</v>
      </c>
      <c r="G1100" s="1410">
        <f t="shared" si="371"/>
        <v>0</v>
      </c>
      <c r="H1100" s="1411">
        <f t="shared" si="371"/>
        <v>0</v>
      </c>
      <c r="I1100" s="1471">
        <f t="shared" ref="I1100:I1125" si="372">PRODUCT(D1100:H1100)</f>
        <v>0</v>
      </c>
      <c r="M1100" s="110"/>
      <c r="Q1100" s="1394">
        <f>IFERROR(VLOOKUP(M1100,#REF!,3,0),0)</f>
        <v>0</v>
      </c>
      <c r="R1100" s="1394">
        <f t="shared" si="365"/>
        <v>0</v>
      </c>
      <c r="S1100" s="1394">
        <f>IFERROR(VLOOKUP(M1100,#REF!,6,0),0)</f>
        <v>0</v>
      </c>
      <c r="T1100" s="1394">
        <f t="shared" si="366"/>
        <v>0</v>
      </c>
      <c r="U1100" s="1394">
        <f>IFERROR(VLOOKUP(M1100,#REF!,5,0),0)</f>
        <v>0</v>
      </c>
      <c r="V1100" s="1394">
        <f t="shared" si="367"/>
        <v>0</v>
      </c>
      <c r="W1100" s="1394"/>
    </row>
    <row r="1101" spans="2:23" ht="30" customHeight="1">
      <c r="B1101" s="1407"/>
      <c r="C1101" s="1412" t="str">
        <f t="shared" ref="C1101:C1125" si="373">C1769</f>
        <v>Men Rest Room</v>
      </c>
      <c r="D1101" s="103">
        <f t="shared" si="371"/>
        <v>0</v>
      </c>
      <c r="E1101" s="103">
        <f t="shared" si="371"/>
        <v>0</v>
      </c>
      <c r="F1101" s="1413">
        <f t="shared" si="371"/>
        <v>0</v>
      </c>
      <c r="G1101" s="1413">
        <f t="shared" si="371"/>
        <v>0</v>
      </c>
      <c r="H1101" s="1414">
        <f t="shared" si="371"/>
        <v>0</v>
      </c>
      <c r="I1101" s="1471">
        <f t="shared" si="372"/>
        <v>0</v>
      </c>
      <c r="M1101" s="110"/>
      <c r="Q1101" s="1394">
        <f>IFERROR(VLOOKUP(M1101,#REF!,3,0),0)</f>
        <v>0</v>
      </c>
      <c r="R1101" s="1394">
        <f t="shared" si="365"/>
        <v>0</v>
      </c>
      <c r="S1101" s="1394">
        <f>IFERROR(VLOOKUP(M1101,#REF!,6,0),0)</f>
        <v>0</v>
      </c>
      <c r="T1101" s="1394">
        <f t="shared" si="366"/>
        <v>0</v>
      </c>
      <c r="U1101" s="1394">
        <f>IFERROR(VLOOKUP(M1101,#REF!,5,0),0)</f>
        <v>0</v>
      </c>
      <c r="V1101" s="1394">
        <f t="shared" si="367"/>
        <v>0</v>
      </c>
      <c r="W1101" s="1394"/>
    </row>
    <row r="1102" spans="2:23" ht="30" customHeight="1">
      <c r="B1102" s="1407"/>
      <c r="C1102" s="1455" t="str">
        <f t="shared" si="373"/>
        <v>C/B Wall</v>
      </c>
      <c r="D1102" s="103">
        <f>-D1770</f>
        <v>1</v>
      </c>
      <c r="E1102" s="103">
        <f t="shared" ref="E1102:F1125" si="374">E1770</f>
        <v>1</v>
      </c>
      <c r="F1102" s="1413">
        <f t="shared" si="374"/>
        <v>0.6</v>
      </c>
      <c r="G1102" s="1413">
        <v>0.115</v>
      </c>
      <c r="H1102" s="1414">
        <f t="shared" ref="H1102:H1125" si="375">H1770</f>
        <v>0.1</v>
      </c>
      <c r="I1102" s="1471">
        <f t="shared" si="372"/>
        <v>6.9000000000000008E-3</v>
      </c>
      <c r="M1102" s="110"/>
      <c r="Q1102" s="1394">
        <f>IFERROR(VLOOKUP(M1102,#REF!,3,0),0)</f>
        <v>0</v>
      </c>
      <c r="R1102" s="1394">
        <f t="shared" si="365"/>
        <v>0</v>
      </c>
      <c r="S1102" s="1394">
        <f>IFERROR(VLOOKUP(M1102,#REF!,6,0),0)</f>
        <v>0</v>
      </c>
      <c r="T1102" s="1394">
        <f t="shared" si="366"/>
        <v>0</v>
      </c>
      <c r="U1102" s="1394">
        <f>IFERROR(VLOOKUP(M1102,#REF!,5,0),0)</f>
        <v>0</v>
      </c>
      <c r="V1102" s="1394">
        <f t="shared" si="367"/>
        <v>0</v>
      </c>
      <c r="W1102" s="1394"/>
    </row>
    <row r="1103" spans="2:23" ht="30" customHeight="1">
      <c r="B1103" s="1407"/>
      <c r="C1103" s="1455" t="str">
        <f t="shared" si="373"/>
        <v>Cross wall between Toilet / Passage</v>
      </c>
      <c r="D1103" s="103">
        <f t="shared" ref="D1103:D1125" si="376">-D1771</f>
        <v>1</v>
      </c>
      <c r="E1103" s="103">
        <f t="shared" si="374"/>
        <v>1</v>
      </c>
      <c r="F1103" s="1413">
        <f t="shared" si="374"/>
        <v>1.5</v>
      </c>
      <c r="G1103" s="1413">
        <f t="shared" ref="G1103:G1125" si="377">$G$1102</f>
        <v>0.115</v>
      </c>
      <c r="H1103" s="1414">
        <f t="shared" si="375"/>
        <v>0.1</v>
      </c>
      <c r="I1103" s="1471">
        <f t="shared" si="372"/>
        <v>1.7250000000000001E-2</v>
      </c>
      <c r="M1103" s="110"/>
      <c r="Q1103" s="1394">
        <f>IFERROR(VLOOKUP(M1103,#REF!,3,0),0)</f>
        <v>0</v>
      </c>
      <c r="R1103" s="1394">
        <f t="shared" si="365"/>
        <v>0</v>
      </c>
      <c r="S1103" s="1394">
        <f>IFERROR(VLOOKUP(M1103,#REF!,6,0),0)</f>
        <v>0</v>
      </c>
      <c r="T1103" s="1394">
        <f t="shared" si="366"/>
        <v>0</v>
      </c>
      <c r="U1103" s="1394">
        <f>IFERROR(VLOOKUP(M1103,#REF!,5,0),0)</f>
        <v>0</v>
      </c>
      <c r="V1103" s="1394">
        <f t="shared" si="367"/>
        <v>0</v>
      </c>
      <c r="W1103" s="1394"/>
    </row>
    <row r="1104" spans="2:23" ht="30" customHeight="1">
      <c r="B1104" s="1407"/>
      <c r="C1104" s="1455" t="str">
        <f t="shared" si="373"/>
        <v>Cross wall between Hall  / Passage</v>
      </c>
      <c r="D1104" s="103">
        <f t="shared" si="376"/>
        <v>1</v>
      </c>
      <c r="E1104" s="103">
        <f t="shared" si="374"/>
        <v>1</v>
      </c>
      <c r="F1104" s="1413">
        <f t="shared" si="374"/>
        <v>1.5</v>
      </c>
      <c r="G1104" s="1413">
        <f t="shared" si="377"/>
        <v>0.115</v>
      </c>
      <c r="H1104" s="1414">
        <f t="shared" si="375"/>
        <v>0.1</v>
      </c>
      <c r="I1104" s="1471">
        <f t="shared" si="372"/>
        <v>1.7250000000000001E-2</v>
      </c>
      <c r="M1104" s="110"/>
      <c r="Q1104" s="1394">
        <f>IFERROR(VLOOKUP(M1104,#REF!,3,0),0)</f>
        <v>0</v>
      </c>
      <c r="R1104" s="1394">
        <f t="shared" si="365"/>
        <v>0</v>
      </c>
      <c r="S1104" s="1394">
        <f>IFERROR(VLOOKUP(M1104,#REF!,6,0),0)</f>
        <v>0</v>
      </c>
      <c r="T1104" s="1394">
        <f t="shared" si="366"/>
        <v>0</v>
      </c>
      <c r="U1104" s="1394">
        <f>IFERROR(VLOOKUP(M1104,#REF!,5,0),0)</f>
        <v>0</v>
      </c>
      <c r="V1104" s="1394">
        <f t="shared" si="367"/>
        <v>0</v>
      </c>
      <c r="W1104" s="1394"/>
    </row>
    <row r="1105" spans="2:23" ht="30" customHeight="1">
      <c r="B1105" s="1407"/>
      <c r="C1105" s="1412" t="str">
        <f t="shared" si="373"/>
        <v>Writer</v>
      </c>
      <c r="D1105" s="103">
        <f t="shared" si="376"/>
        <v>0</v>
      </c>
      <c r="E1105" s="103">
        <f t="shared" si="374"/>
        <v>0</v>
      </c>
      <c r="F1105" s="1413">
        <f t="shared" si="374"/>
        <v>0</v>
      </c>
      <c r="G1105" s="1413"/>
      <c r="H1105" s="1414">
        <f t="shared" si="375"/>
        <v>0</v>
      </c>
      <c r="I1105" s="1471">
        <f t="shared" si="372"/>
        <v>0</v>
      </c>
      <c r="M1105" s="110"/>
      <c r="Q1105" s="1394">
        <f>IFERROR(VLOOKUP(M1105,#REF!,3,0),0)</f>
        <v>0</v>
      </c>
      <c r="R1105" s="1394">
        <f t="shared" si="365"/>
        <v>0</v>
      </c>
      <c r="S1105" s="1394">
        <f>IFERROR(VLOOKUP(M1105,#REF!,6,0),0)</f>
        <v>0</v>
      </c>
      <c r="T1105" s="1394">
        <f t="shared" si="366"/>
        <v>0</v>
      </c>
      <c r="U1105" s="1394">
        <f>IFERROR(VLOOKUP(M1105,#REF!,5,0),0)</f>
        <v>0</v>
      </c>
      <c r="V1105" s="1394">
        <f t="shared" si="367"/>
        <v>0</v>
      </c>
      <c r="W1105" s="1394"/>
    </row>
    <row r="1106" spans="2:23" ht="30" customHeight="1">
      <c r="B1106" s="1407"/>
      <c r="C1106" s="1455" t="str">
        <f t="shared" si="373"/>
        <v>C/B Wall</v>
      </c>
      <c r="D1106" s="103">
        <f t="shared" si="376"/>
        <v>1</v>
      </c>
      <c r="E1106" s="103">
        <f t="shared" si="374"/>
        <v>1</v>
      </c>
      <c r="F1106" s="1413">
        <f t="shared" si="374"/>
        <v>0.6</v>
      </c>
      <c r="G1106" s="1413">
        <f t="shared" si="377"/>
        <v>0.115</v>
      </c>
      <c r="H1106" s="1414">
        <f t="shared" si="375"/>
        <v>0.1</v>
      </c>
      <c r="I1106" s="1471">
        <f t="shared" si="372"/>
        <v>6.9000000000000008E-3</v>
      </c>
      <c r="M1106" s="110"/>
      <c r="Q1106" s="1394">
        <f>IFERROR(VLOOKUP(M1106,#REF!,3,0),0)</f>
        <v>0</v>
      </c>
      <c r="R1106" s="1394">
        <f t="shared" si="365"/>
        <v>0</v>
      </c>
      <c r="S1106" s="1394">
        <f>IFERROR(VLOOKUP(M1106,#REF!,6,0),0)</f>
        <v>0</v>
      </c>
      <c r="T1106" s="1394">
        <f t="shared" si="366"/>
        <v>0</v>
      </c>
      <c r="U1106" s="1394">
        <f>IFERROR(VLOOKUP(M1106,#REF!,5,0),0)</f>
        <v>0</v>
      </c>
      <c r="V1106" s="1394">
        <f t="shared" si="367"/>
        <v>0</v>
      </c>
      <c r="W1106" s="1394"/>
    </row>
    <row r="1107" spans="2:23" ht="30" customHeight="1">
      <c r="B1107" s="1407"/>
      <c r="C1107" s="1455" t="str">
        <f t="shared" si="373"/>
        <v>Cross wall between Writer / Ins Traffic</v>
      </c>
      <c r="D1107" s="103">
        <f t="shared" si="376"/>
        <v>1</v>
      </c>
      <c r="E1107" s="103">
        <f t="shared" si="374"/>
        <v>1</v>
      </c>
      <c r="F1107" s="1413">
        <f t="shared" si="374"/>
        <v>1.8</v>
      </c>
      <c r="G1107" s="1413">
        <f t="shared" si="377"/>
        <v>0.115</v>
      </c>
      <c r="H1107" s="1414">
        <f t="shared" si="375"/>
        <v>0.1</v>
      </c>
      <c r="I1107" s="1471">
        <f t="shared" si="372"/>
        <v>2.0700000000000003E-2</v>
      </c>
      <c r="M1107" s="110"/>
      <c r="Q1107" s="1394">
        <f>IFERROR(VLOOKUP(M1107,#REF!,3,0),0)</f>
        <v>0</v>
      </c>
      <c r="R1107" s="1394">
        <f t="shared" si="365"/>
        <v>0</v>
      </c>
      <c r="S1107" s="1394">
        <f>IFERROR(VLOOKUP(M1107,#REF!,6,0),0)</f>
        <v>0</v>
      </c>
      <c r="T1107" s="1394">
        <f t="shared" si="366"/>
        <v>0</v>
      </c>
      <c r="U1107" s="1394">
        <f>IFERROR(VLOOKUP(M1107,#REF!,5,0),0)</f>
        <v>0</v>
      </c>
      <c r="V1107" s="1394">
        <f t="shared" si="367"/>
        <v>0</v>
      </c>
      <c r="W1107" s="1394"/>
    </row>
    <row r="1108" spans="2:23" ht="30" customHeight="1">
      <c r="B1108" s="1407"/>
      <c r="C1108" s="1455" t="str">
        <f t="shared" si="373"/>
        <v>Cross wall between Writer / Ins Traffic</v>
      </c>
      <c r="D1108" s="103">
        <f t="shared" si="376"/>
        <v>1</v>
      </c>
      <c r="E1108" s="103">
        <f t="shared" si="374"/>
        <v>1</v>
      </c>
      <c r="F1108" s="1413">
        <f t="shared" si="374"/>
        <v>3.2759999999999998</v>
      </c>
      <c r="G1108" s="1413">
        <f t="shared" si="377"/>
        <v>0.115</v>
      </c>
      <c r="H1108" s="1414">
        <f t="shared" si="375"/>
        <v>0.1</v>
      </c>
      <c r="I1108" s="1471">
        <f t="shared" si="372"/>
        <v>3.7674000000000006E-2</v>
      </c>
      <c r="M1108" s="110"/>
      <c r="Q1108" s="1394">
        <f>IFERROR(VLOOKUP(M1108,#REF!,3,0),0)</f>
        <v>0</v>
      </c>
      <c r="R1108" s="1394">
        <f t="shared" si="365"/>
        <v>0</v>
      </c>
      <c r="S1108" s="1394">
        <f>IFERROR(VLOOKUP(M1108,#REF!,6,0),0)</f>
        <v>0</v>
      </c>
      <c r="T1108" s="1394">
        <f t="shared" si="366"/>
        <v>0</v>
      </c>
      <c r="U1108" s="1394">
        <f>IFERROR(VLOOKUP(M1108,#REF!,5,0),0)</f>
        <v>0</v>
      </c>
      <c r="V1108" s="1394">
        <f t="shared" si="367"/>
        <v>0</v>
      </c>
      <c r="W1108" s="1394"/>
    </row>
    <row r="1109" spans="2:23" ht="30" customHeight="1">
      <c r="B1109" s="1407"/>
      <c r="C1109" s="1412" t="str">
        <f t="shared" si="373"/>
        <v>Ins Traffic</v>
      </c>
      <c r="D1109" s="103">
        <f t="shared" si="376"/>
        <v>0</v>
      </c>
      <c r="E1109" s="103">
        <f t="shared" si="374"/>
        <v>0</v>
      </c>
      <c r="F1109" s="1413">
        <f t="shared" si="374"/>
        <v>0</v>
      </c>
      <c r="G1109" s="1413"/>
      <c r="H1109" s="1414">
        <f t="shared" si="375"/>
        <v>0</v>
      </c>
      <c r="I1109" s="1471">
        <f t="shared" si="372"/>
        <v>0</v>
      </c>
      <c r="M1109" s="110"/>
      <c r="Q1109" s="1394">
        <f>IFERROR(VLOOKUP(M1109,#REF!,3,0),0)</f>
        <v>0</v>
      </c>
      <c r="R1109" s="1394">
        <f t="shared" si="365"/>
        <v>0</v>
      </c>
      <c r="S1109" s="1394">
        <f>IFERROR(VLOOKUP(M1109,#REF!,6,0),0)</f>
        <v>0</v>
      </c>
      <c r="T1109" s="1394">
        <f t="shared" si="366"/>
        <v>0</v>
      </c>
      <c r="U1109" s="1394">
        <f>IFERROR(VLOOKUP(M1109,#REF!,5,0),0)</f>
        <v>0</v>
      </c>
      <c r="V1109" s="1394">
        <f t="shared" si="367"/>
        <v>0</v>
      </c>
      <c r="W1109" s="1394"/>
    </row>
    <row r="1110" spans="2:23" ht="30" customHeight="1">
      <c r="B1110" s="1407"/>
      <c r="C1110" s="1455" t="str">
        <f t="shared" si="373"/>
        <v xml:space="preserve">C/B Wall </v>
      </c>
      <c r="D1110" s="103">
        <f t="shared" si="376"/>
        <v>1</v>
      </c>
      <c r="E1110" s="103">
        <f t="shared" si="374"/>
        <v>1</v>
      </c>
      <c r="F1110" s="1413">
        <f t="shared" si="374"/>
        <v>0.6</v>
      </c>
      <c r="G1110" s="1413">
        <f t="shared" si="377"/>
        <v>0.115</v>
      </c>
      <c r="H1110" s="1414">
        <f t="shared" si="375"/>
        <v>0.1</v>
      </c>
      <c r="I1110" s="1471">
        <f t="shared" si="372"/>
        <v>6.9000000000000008E-3</v>
      </c>
      <c r="M1110" s="110"/>
      <c r="Q1110" s="1394">
        <f>IFERROR(VLOOKUP(M1110,#REF!,3,0),0)</f>
        <v>0</v>
      </c>
      <c r="R1110" s="1394">
        <f t="shared" si="365"/>
        <v>0</v>
      </c>
      <c r="S1110" s="1394">
        <f>IFERROR(VLOOKUP(M1110,#REF!,6,0),0)</f>
        <v>0</v>
      </c>
      <c r="T1110" s="1394">
        <f t="shared" si="366"/>
        <v>0</v>
      </c>
      <c r="U1110" s="1394">
        <f>IFERROR(VLOOKUP(M1110,#REF!,5,0),0)</f>
        <v>0</v>
      </c>
      <c r="V1110" s="1394">
        <f t="shared" si="367"/>
        <v>0</v>
      </c>
      <c r="W1110" s="1394"/>
    </row>
    <row r="1111" spans="2:23" ht="30" customHeight="1">
      <c r="B1111" s="1407"/>
      <c r="C1111" s="1455" t="str">
        <f t="shared" si="373"/>
        <v xml:space="preserve">Cross wall between Toilet / Passage </v>
      </c>
      <c r="D1111" s="103">
        <f t="shared" si="376"/>
        <v>1</v>
      </c>
      <c r="E1111" s="103">
        <f t="shared" si="374"/>
        <v>1</v>
      </c>
      <c r="F1111" s="1413">
        <f t="shared" si="374"/>
        <v>1.5</v>
      </c>
      <c r="G1111" s="1413">
        <f t="shared" si="377"/>
        <v>0.115</v>
      </c>
      <c r="H1111" s="1414">
        <f t="shared" si="375"/>
        <v>0.1</v>
      </c>
      <c r="I1111" s="1471">
        <f t="shared" si="372"/>
        <v>1.7250000000000001E-2</v>
      </c>
      <c r="M1111" s="110"/>
      <c r="Q1111" s="1394">
        <f>IFERROR(VLOOKUP(M1111,#REF!,3,0),0)</f>
        <v>0</v>
      </c>
      <c r="R1111" s="1394">
        <f t="shared" si="365"/>
        <v>0</v>
      </c>
      <c r="S1111" s="1394">
        <f>IFERROR(VLOOKUP(M1111,#REF!,6,0),0)</f>
        <v>0</v>
      </c>
      <c r="T1111" s="1394">
        <f t="shared" si="366"/>
        <v>0</v>
      </c>
      <c r="U1111" s="1394">
        <f>IFERROR(VLOOKUP(M1111,#REF!,5,0),0)</f>
        <v>0</v>
      </c>
      <c r="V1111" s="1394">
        <f t="shared" si="367"/>
        <v>0</v>
      </c>
      <c r="W1111" s="1394"/>
    </row>
    <row r="1112" spans="2:23" ht="30" customHeight="1">
      <c r="B1112" s="1407"/>
      <c r="C1112" s="1455" t="str">
        <f t="shared" si="373"/>
        <v xml:space="preserve">Cross wall between Hall  / Passage </v>
      </c>
      <c r="D1112" s="103">
        <f t="shared" si="376"/>
        <v>1</v>
      </c>
      <c r="E1112" s="103">
        <f t="shared" si="374"/>
        <v>1</v>
      </c>
      <c r="F1112" s="1413">
        <f t="shared" si="374"/>
        <v>1.5</v>
      </c>
      <c r="G1112" s="1413">
        <f t="shared" si="377"/>
        <v>0.115</v>
      </c>
      <c r="H1112" s="1414">
        <f t="shared" si="375"/>
        <v>0.1</v>
      </c>
      <c r="I1112" s="1471">
        <f t="shared" si="372"/>
        <v>1.7250000000000001E-2</v>
      </c>
      <c r="M1112" s="110"/>
      <c r="Q1112" s="1394">
        <f>IFERROR(VLOOKUP(M1112,#REF!,3,0),0)</f>
        <v>0</v>
      </c>
      <c r="R1112" s="1394">
        <f t="shared" si="365"/>
        <v>0</v>
      </c>
      <c r="S1112" s="1394">
        <f>IFERROR(VLOOKUP(M1112,#REF!,6,0),0)</f>
        <v>0</v>
      </c>
      <c r="T1112" s="1394">
        <f t="shared" si="366"/>
        <v>0</v>
      </c>
      <c r="U1112" s="1394">
        <f>IFERROR(VLOOKUP(M1112,#REF!,5,0),0)</f>
        <v>0</v>
      </c>
      <c r="V1112" s="1394">
        <f t="shared" si="367"/>
        <v>0</v>
      </c>
      <c r="W1112" s="1394"/>
    </row>
    <row r="1113" spans="2:23" ht="30" customHeight="1">
      <c r="B1113" s="1407"/>
      <c r="C1113" s="1412" t="str">
        <f t="shared" si="373"/>
        <v>Meeting Hall</v>
      </c>
      <c r="D1113" s="103">
        <f t="shared" si="376"/>
        <v>0</v>
      </c>
      <c r="E1113" s="103">
        <f t="shared" si="374"/>
        <v>0</v>
      </c>
      <c r="F1113" s="1413">
        <f t="shared" si="374"/>
        <v>0</v>
      </c>
      <c r="G1113" s="1413"/>
      <c r="H1113" s="1414">
        <f t="shared" si="375"/>
        <v>0</v>
      </c>
      <c r="I1113" s="1471">
        <f t="shared" si="372"/>
        <v>0</v>
      </c>
      <c r="M1113" s="110"/>
      <c r="Q1113" s="1394">
        <f>IFERROR(VLOOKUP(M1113,#REF!,3,0),0)</f>
        <v>0</v>
      </c>
      <c r="R1113" s="1394">
        <f t="shared" si="365"/>
        <v>0</v>
      </c>
      <c r="S1113" s="1394">
        <f>IFERROR(VLOOKUP(M1113,#REF!,6,0),0)</f>
        <v>0</v>
      </c>
      <c r="T1113" s="1394">
        <f t="shared" si="366"/>
        <v>0</v>
      </c>
      <c r="U1113" s="1394">
        <f>IFERROR(VLOOKUP(M1113,#REF!,5,0),0)</f>
        <v>0</v>
      </c>
      <c r="V1113" s="1394">
        <f t="shared" si="367"/>
        <v>0</v>
      </c>
      <c r="W1113" s="1394"/>
    </row>
    <row r="1114" spans="2:23" ht="30" customHeight="1">
      <c r="B1114" s="1407"/>
      <c r="C1114" s="1455" t="str">
        <f t="shared" si="373"/>
        <v xml:space="preserve">C/B Wall </v>
      </c>
      <c r="D1114" s="103">
        <f t="shared" si="376"/>
        <v>1</v>
      </c>
      <c r="E1114" s="103">
        <f t="shared" si="374"/>
        <v>1</v>
      </c>
      <c r="F1114" s="1413">
        <f t="shared" si="374"/>
        <v>0.6</v>
      </c>
      <c r="G1114" s="1413">
        <f t="shared" si="377"/>
        <v>0.115</v>
      </c>
      <c r="H1114" s="1414">
        <f t="shared" si="375"/>
        <v>0.1</v>
      </c>
      <c r="I1114" s="1471">
        <f t="shared" si="372"/>
        <v>6.9000000000000008E-3</v>
      </c>
      <c r="M1114" s="110"/>
      <c r="Q1114" s="1394">
        <f>IFERROR(VLOOKUP(M1114,#REF!,3,0),0)</f>
        <v>0</v>
      </c>
      <c r="R1114" s="1394">
        <f t="shared" si="365"/>
        <v>0</v>
      </c>
      <c r="S1114" s="1394">
        <f>IFERROR(VLOOKUP(M1114,#REF!,6,0),0)</f>
        <v>0</v>
      </c>
      <c r="T1114" s="1394">
        <f t="shared" si="366"/>
        <v>0</v>
      </c>
      <c r="U1114" s="1394">
        <f>IFERROR(VLOOKUP(M1114,#REF!,5,0),0)</f>
        <v>0</v>
      </c>
      <c r="V1114" s="1394">
        <f t="shared" si="367"/>
        <v>0</v>
      </c>
      <c r="W1114" s="1394"/>
    </row>
    <row r="1115" spans="2:23" ht="30" customHeight="1">
      <c r="B1115" s="1407"/>
      <c r="C1115" s="1455" t="str">
        <f t="shared" si="373"/>
        <v>Cross wall between Meeting Hall / Men Rest Room</v>
      </c>
      <c r="D1115" s="103">
        <f t="shared" si="376"/>
        <v>1</v>
      </c>
      <c r="E1115" s="103">
        <f t="shared" si="374"/>
        <v>1</v>
      </c>
      <c r="F1115" s="1413">
        <f t="shared" si="374"/>
        <v>1.1000000000000001</v>
      </c>
      <c r="G1115" s="1413">
        <f t="shared" si="377"/>
        <v>0.115</v>
      </c>
      <c r="H1115" s="1414">
        <f t="shared" si="375"/>
        <v>0.1</v>
      </c>
      <c r="I1115" s="1471">
        <f t="shared" si="372"/>
        <v>1.2650000000000003E-2</v>
      </c>
      <c r="M1115" s="110"/>
      <c r="Q1115" s="1394">
        <f>IFERROR(VLOOKUP(M1115,#REF!,3,0),0)</f>
        <v>0</v>
      </c>
      <c r="R1115" s="1394">
        <f t="shared" si="365"/>
        <v>0</v>
      </c>
      <c r="S1115" s="1394">
        <f>IFERROR(VLOOKUP(M1115,#REF!,6,0),0)</f>
        <v>0</v>
      </c>
      <c r="T1115" s="1394">
        <f t="shared" si="366"/>
        <v>0</v>
      </c>
      <c r="U1115" s="1394">
        <f>IFERROR(VLOOKUP(M1115,#REF!,5,0),0)</f>
        <v>0</v>
      </c>
      <c r="V1115" s="1394">
        <f t="shared" si="367"/>
        <v>0</v>
      </c>
      <c r="W1115" s="1394"/>
    </row>
    <row r="1116" spans="2:23" ht="30" customHeight="1">
      <c r="B1116" s="1407"/>
      <c r="C1116" s="1412" t="str">
        <f t="shared" si="373"/>
        <v>Men Rest Room</v>
      </c>
      <c r="D1116" s="103">
        <f t="shared" si="376"/>
        <v>0</v>
      </c>
      <c r="E1116" s="103">
        <f t="shared" si="374"/>
        <v>0</v>
      </c>
      <c r="F1116" s="1413">
        <f t="shared" si="374"/>
        <v>0</v>
      </c>
      <c r="G1116" s="1413"/>
      <c r="H1116" s="1414">
        <f t="shared" si="375"/>
        <v>0</v>
      </c>
      <c r="I1116" s="1471">
        <f t="shared" si="372"/>
        <v>0</v>
      </c>
      <c r="M1116" s="110"/>
      <c r="Q1116" s="1394">
        <f>IFERROR(VLOOKUP(M1116,#REF!,3,0),0)</f>
        <v>0</v>
      </c>
      <c r="R1116" s="1394">
        <f t="shared" si="365"/>
        <v>0</v>
      </c>
      <c r="S1116" s="1394">
        <f>IFERROR(VLOOKUP(M1116,#REF!,6,0),0)</f>
        <v>0</v>
      </c>
      <c r="T1116" s="1394">
        <f t="shared" si="366"/>
        <v>0</v>
      </c>
      <c r="U1116" s="1394">
        <f>IFERROR(VLOOKUP(M1116,#REF!,5,0),0)</f>
        <v>0</v>
      </c>
      <c r="V1116" s="1394">
        <f t="shared" si="367"/>
        <v>0</v>
      </c>
      <c r="W1116" s="1394"/>
    </row>
    <row r="1117" spans="2:23" ht="30" customHeight="1">
      <c r="B1117" s="1407"/>
      <c r="C1117" s="1455" t="str">
        <f t="shared" si="373"/>
        <v xml:space="preserve">C/B Wall </v>
      </c>
      <c r="D1117" s="103">
        <f t="shared" si="376"/>
        <v>1</v>
      </c>
      <c r="E1117" s="103">
        <f t="shared" si="374"/>
        <v>1</v>
      </c>
      <c r="F1117" s="1413">
        <f t="shared" si="374"/>
        <v>0.6</v>
      </c>
      <c r="G1117" s="1413">
        <f t="shared" si="377"/>
        <v>0.115</v>
      </c>
      <c r="H1117" s="1414">
        <f t="shared" si="375"/>
        <v>0.1</v>
      </c>
      <c r="I1117" s="1471">
        <f t="shared" si="372"/>
        <v>6.9000000000000008E-3</v>
      </c>
      <c r="M1117" s="110"/>
      <c r="Q1117" s="1394">
        <f>IFERROR(VLOOKUP(M1117,#REF!,3,0),0)</f>
        <v>0</v>
      </c>
      <c r="R1117" s="1394">
        <f t="shared" si="365"/>
        <v>0</v>
      </c>
      <c r="S1117" s="1394">
        <f>IFERROR(VLOOKUP(M1117,#REF!,6,0),0)</f>
        <v>0</v>
      </c>
      <c r="T1117" s="1394">
        <f t="shared" si="366"/>
        <v>0</v>
      </c>
      <c r="U1117" s="1394">
        <f>IFERROR(VLOOKUP(M1117,#REF!,5,0),0)</f>
        <v>0</v>
      </c>
      <c r="V1117" s="1394">
        <f t="shared" si="367"/>
        <v>0</v>
      </c>
      <c r="W1117" s="1394"/>
    </row>
    <row r="1118" spans="2:23" ht="30" customHeight="1">
      <c r="B1118" s="1407"/>
      <c r="C1118" s="1455" t="str">
        <f t="shared" si="373"/>
        <v>Cross wall between Toilet / SI Room</v>
      </c>
      <c r="D1118" s="103">
        <f t="shared" si="376"/>
        <v>1</v>
      </c>
      <c r="E1118" s="103">
        <f t="shared" si="374"/>
        <v>1</v>
      </c>
      <c r="F1118" s="1413">
        <f t="shared" si="374"/>
        <v>2.7450000000000001</v>
      </c>
      <c r="G1118" s="1413">
        <f t="shared" si="377"/>
        <v>0.115</v>
      </c>
      <c r="H1118" s="1414">
        <f t="shared" si="375"/>
        <v>0.1</v>
      </c>
      <c r="I1118" s="1471">
        <f t="shared" si="372"/>
        <v>3.1567500000000005E-2</v>
      </c>
      <c r="M1118" s="110"/>
      <c r="Q1118" s="1394">
        <f>IFERROR(VLOOKUP(M1118,#REF!,3,0),0)</f>
        <v>0</v>
      </c>
      <c r="R1118" s="1394">
        <f t="shared" si="365"/>
        <v>0</v>
      </c>
      <c r="S1118" s="1394">
        <f>IFERROR(VLOOKUP(M1118,#REF!,6,0),0)</f>
        <v>0</v>
      </c>
      <c r="T1118" s="1394">
        <f t="shared" si="366"/>
        <v>0</v>
      </c>
      <c r="U1118" s="1394">
        <f>IFERROR(VLOOKUP(M1118,#REF!,5,0),0)</f>
        <v>0</v>
      </c>
      <c r="V1118" s="1394">
        <f t="shared" si="367"/>
        <v>0</v>
      </c>
      <c r="W1118" s="1394"/>
    </row>
    <row r="1119" spans="2:23" ht="30" customHeight="1">
      <c r="B1119" s="1407"/>
      <c r="C1119" s="1455" t="str">
        <f t="shared" si="373"/>
        <v>Cross wall between Record / SI Room</v>
      </c>
      <c r="D1119" s="103">
        <f t="shared" si="376"/>
        <v>1</v>
      </c>
      <c r="E1119" s="103">
        <f t="shared" si="374"/>
        <v>1</v>
      </c>
      <c r="F1119" s="1413">
        <f t="shared" si="374"/>
        <v>2.4350000000000001</v>
      </c>
      <c r="G1119" s="1413">
        <f t="shared" si="377"/>
        <v>0.115</v>
      </c>
      <c r="H1119" s="1414">
        <f t="shared" si="375"/>
        <v>0.1</v>
      </c>
      <c r="I1119" s="1471">
        <f t="shared" si="372"/>
        <v>2.8002500000000003E-2</v>
      </c>
      <c r="M1119" s="110"/>
      <c r="Q1119" s="1394">
        <f>IFERROR(VLOOKUP(M1119,#REF!,3,0),0)</f>
        <v>0</v>
      </c>
      <c r="R1119" s="1394">
        <f t="shared" si="365"/>
        <v>0</v>
      </c>
      <c r="S1119" s="1394">
        <f>IFERROR(VLOOKUP(M1119,#REF!,6,0),0)</f>
        <v>0</v>
      </c>
      <c r="T1119" s="1394">
        <f t="shared" si="366"/>
        <v>0</v>
      </c>
      <c r="U1119" s="1394">
        <f>IFERROR(VLOOKUP(M1119,#REF!,5,0),0)</f>
        <v>0</v>
      </c>
      <c r="V1119" s="1394">
        <f t="shared" si="367"/>
        <v>0</v>
      </c>
      <c r="W1119" s="1394"/>
    </row>
    <row r="1120" spans="2:23" ht="30" customHeight="1">
      <c r="B1120" s="1407"/>
      <c r="C1120" s="1412" t="str">
        <f t="shared" si="373"/>
        <v>Men Rest Room Toilet</v>
      </c>
      <c r="D1120" s="103">
        <f t="shared" si="376"/>
        <v>0</v>
      </c>
      <c r="E1120" s="103">
        <f t="shared" si="374"/>
        <v>0</v>
      </c>
      <c r="F1120" s="1413">
        <f t="shared" si="374"/>
        <v>0</v>
      </c>
      <c r="G1120" s="1413"/>
      <c r="H1120" s="1414">
        <f t="shared" si="375"/>
        <v>0</v>
      </c>
      <c r="I1120" s="1471">
        <f t="shared" si="372"/>
        <v>0</v>
      </c>
      <c r="M1120" s="110"/>
      <c r="Q1120" s="1394">
        <f>IFERROR(VLOOKUP(M1120,#REF!,3,0),0)</f>
        <v>0</v>
      </c>
      <c r="R1120" s="1394">
        <f t="shared" si="365"/>
        <v>0</v>
      </c>
      <c r="S1120" s="1394">
        <f>IFERROR(VLOOKUP(M1120,#REF!,6,0),0)</f>
        <v>0</v>
      </c>
      <c r="T1120" s="1394">
        <f t="shared" si="366"/>
        <v>0</v>
      </c>
      <c r="U1120" s="1394">
        <f>IFERROR(VLOOKUP(M1120,#REF!,5,0),0)</f>
        <v>0</v>
      </c>
      <c r="V1120" s="1394">
        <f t="shared" si="367"/>
        <v>0</v>
      </c>
      <c r="W1120" s="1394"/>
    </row>
    <row r="1121" spans="2:23" ht="30" customHeight="1">
      <c r="B1121" s="1407"/>
      <c r="C1121" s="1455" t="str">
        <f t="shared" si="373"/>
        <v>Cross wall between Toilet</v>
      </c>
      <c r="D1121" s="103">
        <f t="shared" si="376"/>
        <v>1</v>
      </c>
      <c r="E1121" s="103">
        <f t="shared" si="374"/>
        <v>2</v>
      </c>
      <c r="F1121" s="1413">
        <f t="shared" si="374"/>
        <v>1.615</v>
      </c>
      <c r="G1121" s="1413">
        <f t="shared" si="377"/>
        <v>0.115</v>
      </c>
      <c r="H1121" s="1414">
        <f t="shared" si="375"/>
        <v>0.1</v>
      </c>
      <c r="I1121" s="1471">
        <f t="shared" si="372"/>
        <v>3.7145000000000004E-2</v>
      </c>
      <c r="M1121" s="110"/>
      <c r="Q1121" s="1394">
        <f>IFERROR(VLOOKUP(M1121,#REF!,3,0),0)</f>
        <v>0</v>
      </c>
      <c r="R1121" s="1394">
        <f t="shared" si="365"/>
        <v>0</v>
      </c>
      <c r="S1121" s="1394">
        <f>IFERROR(VLOOKUP(M1121,#REF!,6,0),0)</f>
        <v>0</v>
      </c>
      <c r="T1121" s="1394">
        <f t="shared" si="366"/>
        <v>0</v>
      </c>
      <c r="U1121" s="1394">
        <f>IFERROR(VLOOKUP(M1121,#REF!,5,0),0)</f>
        <v>0</v>
      </c>
      <c r="V1121" s="1394">
        <f t="shared" si="367"/>
        <v>0</v>
      </c>
      <c r="W1121" s="1394"/>
    </row>
    <row r="1122" spans="2:23" ht="30" customHeight="1">
      <c r="B1122" s="1407"/>
      <c r="C1122" s="1455" t="str">
        <f t="shared" si="373"/>
        <v>Cross wall betweenToilet / Common Toilet</v>
      </c>
      <c r="D1122" s="103">
        <f t="shared" si="376"/>
        <v>1</v>
      </c>
      <c r="E1122" s="103">
        <f t="shared" si="374"/>
        <v>1</v>
      </c>
      <c r="F1122" s="1413">
        <f t="shared" si="374"/>
        <v>2.87</v>
      </c>
      <c r="G1122" s="1413">
        <f t="shared" si="377"/>
        <v>0.115</v>
      </c>
      <c r="H1122" s="1414">
        <f t="shared" si="375"/>
        <v>0.1</v>
      </c>
      <c r="I1122" s="1471">
        <f t="shared" si="372"/>
        <v>3.3005E-2</v>
      </c>
      <c r="M1122" s="110"/>
      <c r="Q1122" s="1394">
        <f>IFERROR(VLOOKUP(M1122,#REF!,3,0),0)</f>
        <v>0</v>
      </c>
      <c r="R1122" s="1394">
        <f t="shared" si="365"/>
        <v>0</v>
      </c>
      <c r="S1122" s="1394">
        <f>IFERROR(VLOOKUP(M1122,#REF!,6,0),0)</f>
        <v>0</v>
      </c>
      <c r="T1122" s="1394">
        <f t="shared" si="366"/>
        <v>0</v>
      </c>
      <c r="U1122" s="1394">
        <f>IFERROR(VLOOKUP(M1122,#REF!,5,0),0)</f>
        <v>0</v>
      </c>
      <c r="V1122" s="1394">
        <f t="shared" si="367"/>
        <v>0</v>
      </c>
      <c r="W1122" s="1394"/>
    </row>
    <row r="1123" spans="2:23" ht="30" customHeight="1">
      <c r="B1123" s="1407"/>
      <c r="C1123" s="1455" t="str">
        <f t="shared" si="373"/>
        <v>Cross wall for Toilet Front wall</v>
      </c>
      <c r="D1123" s="103">
        <f t="shared" si="376"/>
        <v>1</v>
      </c>
      <c r="E1123" s="103">
        <f t="shared" si="374"/>
        <v>1</v>
      </c>
      <c r="F1123" s="1413">
        <f t="shared" si="374"/>
        <v>3.9</v>
      </c>
      <c r="G1123" s="1413">
        <f t="shared" si="377"/>
        <v>0.115</v>
      </c>
      <c r="H1123" s="1414">
        <f t="shared" si="375"/>
        <v>0.1</v>
      </c>
      <c r="I1123" s="1471">
        <f t="shared" si="372"/>
        <v>4.4850000000000001E-2</v>
      </c>
      <c r="M1123" s="110"/>
      <c r="Q1123" s="1394">
        <f>IFERROR(VLOOKUP(M1123,#REF!,3,0),0)</f>
        <v>0</v>
      </c>
      <c r="R1123" s="1394">
        <f t="shared" si="365"/>
        <v>0</v>
      </c>
      <c r="S1123" s="1394">
        <f>IFERROR(VLOOKUP(M1123,#REF!,6,0),0)</f>
        <v>0</v>
      </c>
      <c r="T1123" s="1394">
        <f t="shared" si="366"/>
        <v>0</v>
      </c>
      <c r="U1123" s="1394">
        <f>IFERROR(VLOOKUP(M1123,#REF!,5,0),0)</f>
        <v>0</v>
      </c>
      <c r="V1123" s="1394">
        <f t="shared" si="367"/>
        <v>0</v>
      </c>
      <c r="W1123" s="1394"/>
    </row>
    <row r="1124" spans="2:23" ht="30" customHeight="1">
      <c r="B1124" s="1407"/>
      <c r="C1124" s="1455" t="str">
        <f t="shared" si="373"/>
        <v>Cross wall betweenToilet / Men Rest Room</v>
      </c>
      <c r="D1124" s="103">
        <f t="shared" si="376"/>
        <v>1</v>
      </c>
      <c r="E1124" s="103">
        <f t="shared" si="374"/>
        <v>1</v>
      </c>
      <c r="F1124" s="1413">
        <f t="shared" si="374"/>
        <v>3.9</v>
      </c>
      <c r="G1124" s="1413">
        <f t="shared" si="377"/>
        <v>0.115</v>
      </c>
      <c r="H1124" s="1414">
        <f t="shared" si="375"/>
        <v>0.1</v>
      </c>
      <c r="I1124" s="1471">
        <f t="shared" si="372"/>
        <v>4.4850000000000001E-2</v>
      </c>
      <c r="M1124" s="110"/>
      <c r="Q1124" s="1394">
        <f>IFERROR(VLOOKUP(M1124,#REF!,3,0),0)</f>
        <v>0</v>
      </c>
      <c r="R1124" s="1394">
        <f t="shared" si="365"/>
        <v>0</v>
      </c>
      <c r="S1124" s="1394">
        <f>IFERROR(VLOOKUP(M1124,#REF!,6,0),0)</f>
        <v>0</v>
      </c>
      <c r="T1124" s="1394">
        <f t="shared" si="366"/>
        <v>0</v>
      </c>
      <c r="U1124" s="1394">
        <f>IFERROR(VLOOKUP(M1124,#REF!,5,0),0)</f>
        <v>0</v>
      </c>
      <c r="V1124" s="1394">
        <f t="shared" si="367"/>
        <v>0</v>
      </c>
      <c r="W1124" s="1394"/>
    </row>
    <row r="1125" spans="2:23" ht="30" customHeight="1">
      <c r="B1125" s="1407"/>
      <c r="C1125" s="1455" t="str">
        <f t="shared" si="373"/>
        <v xml:space="preserve">C/B Wall </v>
      </c>
      <c r="D1125" s="103">
        <f t="shared" si="376"/>
        <v>1</v>
      </c>
      <c r="E1125" s="103">
        <f t="shared" si="374"/>
        <v>1</v>
      </c>
      <c r="F1125" s="1413">
        <f t="shared" si="374"/>
        <v>0.6</v>
      </c>
      <c r="G1125" s="1413">
        <f t="shared" si="377"/>
        <v>0.115</v>
      </c>
      <c r="H1125" s="1414">
        <f t="shared" si="375"/>
        <v>0.1</v>
      </c>
      <c r="I1125" s="1471">
        <f t="shared" si="372"/>
        <v>6.9000000000000008E-3</v>
      </c>
      <c r="M1125" s="110"/>
      <c r="Q1125" s="1394">
        <f>IFERROR(VLOOKUP(M1125,#REF!,3,0),0)</f>
        <v>0</v>
      </c>
      <c r="R1125" s="1394">
        <f t="shared" si="365"/>
        <v>0</v>
      </c>
      <c r="S1125" s="1394">
        <f>IFERROR(VLOOKUP(M1125,#REF!,6,0),0)</f>
        <v>0</v>
      </c>
      <c r="T1125" s="1394">
        <f t="shared" si="366"/>
        <v>0</v>
      </c>
      <c r="U1125" s="1394">
        <f>IFERROR(VLOOKUP(M1125,#REF!,5,0),0)</f>
        <v>0</v>
      </c>
      <c r="V1125" s="1394">
        <f t="shared" si="367"/>
        <v>0</v>
      </c>
      <c r="W1125" s="1394"/>
    </row>
    <row r="1126" spans="2:23" ht="30" customHeight="1">
      <c r="B1126" s="1407"/>
      <c r="C1126" s="1408"/>
      <c r="D1126" s="1409"/>
      <c r="E1126" s="1409"/>
      <c r="F1126" s="1410"/>
      <c r="G1126" s="1410"/>
      <c r="H1126" s="1411"/>
      <c r="I1126" s="1425"/>
      <c r="M1126" s="110"/>
      <c r="Q1126" s="1394">
        <f>IFERROR(VLOOKUP(M1126,#REF!,3,0),0)</f>
        <v>0</v>
      </c>
      <c r="R1126" s="1394">
        <f t="shared" si="365"/>
        <v>0</v>
      </c>
      <c r="S1126" s="1394">
        <f>IFERROR(VLOOKUP(M1126,#REF!,6,0),0)</f>
        <v>0</v>
      </c>
      <c r="T1126" s="1394">
        <f t="shared" si="366"/>
        <v>0</v>
      </c>
      <c r="U1126" s="1394">
        <f>IFERROR(VLOOKUP(M1126,#REF!,5,0),0)</f>
        <v>0</v>
      </c>
      <c r="V1126" s="1394">
        <f t="shared" si="367"/>
        <v>0</v>
      </c>
      <c r="W1126" s="1394"/>
    </row>
    <row r="1127" spans="2:23" ht="30" customHeight="1">
      <c r="B1127" s="1407"/>
      <c r="C1127" s="1415" t="s">
        <v>319</v>
      </c>
      <c r="D1127" s="1409">
        <v>0</v>
      </c>
      <c r="E1127" s="1409">
        <v>0</v>
      </c>
      <c r="F1127" s="1410">
        <v>0</v>
      </c>
      <c r="G1127" s="1410">
        <v>0</v>
      </c>
      <c r="H1127" s="1409">
        <v>0</v>
      </c>
      <c r="I1127" s="1425">
        <f t="shared" ref="I1127" si="378">PRODUCT(D1127:H1127)</f>
        <v>0</v>
      </c>
      <c r="M1127" s="110"/>
      <c r="Q1127" s="1394">
        <f>IFERROR(VLOOKUP(M1127,#REF!,3,0),0)</f>
        <v>0</v>
      </c>
      <c r="R1127" s="1394">
        <f t="shared" si="365"/>
        <v>0</v>
      </c>
      <c r="S1127" s="1394">
        <f>IFERROR(VLOOKUP(M1127,#REF!,6,0),0)</f>
        <v>0</v>
      </c>
      <c r="T1127" s="1394">
        <f t="shared" si="366"/>
        <v>0</v>
      </c>
      <c r="U1127" s="1394">
        <f>IFERROR(VLOOKUP(M1127,#REF!,5,0),0)</f>
        <v>0</v>
      </c>
      <c r="V1127" s="1394">
        <f t="shared" si="367"/>
        <v>0</v>
      </c>
      <c r="W1127" s="1394"/>
    </row>
    <row r="1128" spans="2:23" ht="30" hidden="1" customHeight="1">
      <c r="B1128" s="1407"/>
      <c r="C1128" s="1415"/>
      <c r="D1128" s="1409"/>
      <c r="E1128" s="1409"/>
      <c r="F1128" s="1410"/>
      <c r="G1128" s="1410"/>
      <c r="H1128" s="1409"/>
      <c r="I1128" s="1471"/>
      <c r="M1128" s="110"/>
      <c r="Q1128" s="1394">
        <f>IFERROR(VLOOKUP(M1128,#REF!,3,0),0)</f>
        <v>0</v>
      </c>
      <c r="R1128" s="1394">
        <f t="shared" si="365"/>
        <v>0</v>
      </c>
      <c r="S1128" s="1394">
        <f>IFERROR(VLOOKUP(M1128,#REF!,6,0),0)</f>
        <v>0</v>
      </c>
      <c r="T1128" s="1394">
        <f t="shared" si="366"/>
        <v>0</v>
      </c>
      <c r="U1128" s="1394">
        <f>IFERROR(VLOOKUP(M1128,#REF!,5,0),0)</f>
        <v>0</v>
      </c>
      <c r="V1128" s="1394">
        <f t="shared" si="367"/>
        <v>0</v>
      </c>
      <c r="W1128" s="1394"/>
    </row>
    <row r="1129" spans="2:23" ht="30" customHeight="1">
      <c r="B1129" s="1407"/>
      <c r="C1129" s="1408" t="str">
        <f t="shared" ref="C1129:F1139" si="379">C1065</f>
        <v>FW</v>
      </c>
      <c r="D1129" s="1409">
        <f t="shared" si="379"/>
        <v>1</v>
      </c>
      <c r="E1129" s="1409">
        <f t="shared" si="379"/>
        <v>2</v>
      </c>
      <c r="F1129" s="1410">
        <f t="shared" si="379"/>
        <v>1.2729999999999999</v>
      </c>
      <c r="G1129" s="1410">
        <v>0.6</v>
      </c>
      <c r="H1129" s="1473">
        <v>6.25E-2</v>
      </c>
      <c r="I1129" s="1425">
        <f t="shared" ref="I1129:I1145" si="380">PRODUCT(D1129:H1129)</f>
        <v>9.547499999999999E-2</v>
      </c>
      <c r="M1129" s="110"/>
      <c r="Q1129" s="1394">
        <f>IFERROR(VLOOKUP(M1129,#REF!,3,0),0)</f>
        <v>0</v>
      </c>
      <c r="R1129" s="1394">
        <f t="shared" si="365"/>
        <v>0</v>
      </c>
      <c r="S1129" s="1394">
        <f>IFERROR(VLOOKUP(M1129,#REF!,6,0),0)</f>
        <v>0</v>
      </c>
      <c r="T1129" s="1394">
        <f t="shared" si="366"/>
        <v>0</v>
      </c>
      <c r="U1129" s="1394">
        <f>IFERROR(VLOOKUP(M1129,#REF!,5,0),0)</f>
        <v>0</v>
      </c>
      <c r="V1129" s="1394">
        <f t="shared" si="367"/>
        <v>0</v>
      </c>
      <c r="W1129" s="1394"/>
    </row>
    <row r="1130" spans="2:23" ht="30" customHeight="1">
      <c r="B1130" s="1407"/>
      <c r="C1130" s="1408" t="str">
        <f t="shared" si="379"/>
        <v>FW-3</v>
      </c>
      <c r="D1130" s="1409">
        <f t="shared" si="379"/>
        <v>1</v>
      </c>
      <c r="E1130" s="1409">
        <f t="shared" si="379"/>
        <v>1</v>
      </c>
      <c r="F1130" s="1410">
        <f t="shared" si="379"/>
        <v>2.46</v>
      </c>
      <c r="G1130" s="1410">
        <v>0.6</v>
      </c>
      <c r="H1130" s="1473">
        <v>6.25E-2</v>
      </c>
      <c r="I1130" s="1425">
        <f t="shared" si="380"/>
        <v>9.2249999999999999E-2</v>
      </c>
      <c r="M1130" s="110"/>
      <c r="Q1130" s="1394">
        <f>IFERROR(VLOOKUP(M1130,#REF!,3,0),0)</f>
        <v>0</v>
      </c>
      <c r="R1130" s="1394">
        <f t="shared" si="365"/>
        <v>0</v>
      </c>
      <c r="S1130" s="1394">
        <f>IFERROR(VLOOKUP(M1130,#REF!,6,0),0)</f>
        <v>0</v>
      </c>
      <c r="T1130" s="1394">
        <f t="shared" si="366"/>
        <v>0</v>
      </c>
      <c r="U1130" s="1394">
        <f>IFERROR(VLOOKUP(M1130,#REF!,5,0),0)</f>
        <v>0</v>
      </c>
      <c r="V1130" s="1394">
        <f t="shared" si="367"/>
        <v>0</v>
      </c>
      <c r="W1130" s="1394"/>
    </row>
    <row r="1131" spans="2:23" ht="30" customHeight="1">
      <c r="B1131" s="1407"/>
      <c r="C1131" s="1408" t="str">
        <f t="shared" si="379"/>
        <v>FW-4</v>
      </c>
      <c r="D1131" s="1409">
        <f t="shared" si="379"/>
        <v>1</v>
      </c>
      <c r="E1131" s="1409">
        <f t="shared" si="379"/>
        <v>2</v>
      </c>
      <c r="F1131" s="1410">
        <f t="shared" si="379"/>
        <v>1.66</v>
      </c>
      <c r="G1131" s="1410">
        <v>0.6</v>
      </c>
      <c r="H1131" s="1473">
        <v>6.25E-2</v>
      </c>
      <c r="I1131" s="1425">
        <f t="shared" si="380"/>
        <v>0.12449999999999999</v>
      </c>
      <c r="M1131" s="110"/>
      <c r="Q1131" s="1394">
        <f>IFERROR(VLOOKUP(M1131,#REF!,3,0),0)</f>
        <v>0</v>
      </c>
      <c r="R1131" s="1394">
        <f t="shared" si="365"/>
        <v>0</v>
      </c>
      <c r="S1131" s="1394">
        <f>IFERROR(VLOOKUP(M1131,#REF!,6,0),0)</f>
        <v>0</v>
      </c>
      <c r="T1131" s="1394">
        <f t="shared" si="366"/>
        <v>0</v>
      </c>
      <c r="U1131" s="1394">
        <f>IFERROR(VLOOKUP(M1131,#REF!,5,0),0)</f>
        <v>0</v>
      </c>
      <c r="V1131" s="1394">
        <f t="shared" si="367"/>
        <v>0</v>
      </c>
      <c r="W1131" s="1394"/>
    </row>
    <row r="1132" spans="2:23" ht="30" customHeight="1">
      <c r="B1132" s="1407"/>
      <c r="C1132" s="1408" t="str">
        <f t="shared" si="379"/>
        <v>SW</v>
      </c>
      <c r="D1132" s="1409">
        <f t="shared" si="379"/>
        <v>1</v>
      </c>
      <c r="E1132" s="1409">
        <f t="shared" si="379"/>
        <v>1</v>
      </c>
      <c r="F1132" s="1410">
        <f t="shared" si="379"/>
        <v>2.2600000000000002</v>
      </c>
      <c r="G1132" s="1410">
        <v>0.6</v>
      </c>
      <c r="H1132" s="1473">
        <v>6.25E-2</v>
      </c>
      <c r="I1132" s="1425">
        <f t="shared" si="380"/>
        <v>8.4750000000000006E-2</v>
      </c>
      <c r="M1132" s="110"/>
      <c r="Q1132" s="1394">
        <f>IFERROR(VLOOKUP(M1132,#REF!,3,0),0)</f>
        <v>0</v>
      </c>
      <c r="R1132" s="1394">
        <f t="shared" si="365"/>
        <v>0</v>
      </c>
      <c r="S1132" s="1394">
        <f>IFERROR(VLOOKUP(M1132,#REF!,6,0),0)</f>
        <v>0</v>
      </c>
      <c r="T1132" s="1394">
        <f t="shared" si="366"/>
        <v>0</v>
      </c>
      <c r="U1132" s="1394">
        <f>IFERROR(VLOOKUP(M1132,#REF!,5,0),0)</f>
        <v>0</v>
      </c>
      <c r="V1132" s="1394">
        <f t="shared" si="367"/>
        <v>0</v>
      </c>
      <c r="W1132" s="1394"/>
    </row>
    <row r="1133" spans="2:23" ht="30" customHeight="1">
      <c r="B1133" s="1407"/>
      <c r="C1133" s="1408" t="str">
        <f t="shared" si="379"/>
        <v>W</v>
      </c>
      <c r="D1133" s="1409">
        <f t="shared" si="379"/>
        <v>1</v>
      </c>
      <c r="E1133" s="1409">
        <f t="shared" si="379"/>
        <v>1</v>
      </c>
      <c r="F1133" s="1410">
        <f t="shared" si="379"/>
        <v>2.2600000000000002</v>
      </c>
      <c r="G1133" s="1410">
        <v>0.6</v>
      </c>
      <c r="H1133" s="1473">
        <v>6.25E-2</v>
      </c>
      <c r="I1133" s="1425">
        <f t="shared" si="380"/>
        <v>8.4750000000000006E-2</v>
      </c>
      <c r="M1133" s="110"/>
      <c r="Q1133" s="1394">
        <f>IFERROR(VLOOKUP(M1133,#REF!,3,0),0)</f>
        <v>0</v>
      </c>
      <c r="R1133" s="1394">
        <f t="shared" si="365"/>
        <v>0</v>
      </c>
      <c r="S1133" s="1394">
        <f>IFERROR(VLOOKUP(M1133,#REF!,6,0),0)</f>
        <v>0</v>
      </c>
      <c r="T1133" s="1394">
        <f t="shared" si="366"/>
        <v>0</v>
      </c>
      <c r="U1133" s="1394">
        <f>IFERROR(VLOOKUP(M1133,#REF!,5,0),0)</f>
        <v>0</v>
      </c>
      <c r="V1133" s="1394">
        <f t="shared" si="367"/>
        <v>0</v>
      </c>
      <c r="W1133" s="1394"/>
    </row>
    <row r="1134" spans="2:23" ht="30" customHeight="1">
      <c r="B1134" s="1407"/>
      <c r="C1134" s="1408" t="str">
        <f t="shared" si="379"/>
        <v>W2</v>
      </c>
      <c r="D1134" s="1409">
        <f t="shared" si="379"/>
        <v>1</v>
      </c>
      <c r="E1134" s="1409">
        <f t="shared" si="379"/>
        <v>13</v>
      </c>
      <c r="F1134" s="1410">
        <f t="shared" si="379"/>
        <v>1.66</v>
      </c>
      <c r="G1134" s="1410">
        <v>0.6</v>
      </c>
      <c r="H1134" s="1473">
        <v>6.25E-2</v>
      </c>
      <c r="I1134" s="1425">
        <f t="shared" si="380"/>
        <v>0.80924999999999991</v>
      </c>
      <c r="M1134" s="110"/>
      <c r="Q1134" s="1394">
        <f>IFERROR(VLOOKUP(M1134,#REF!,3,0),0)</f>
        <v>0</v>
      </c>
      <c r="R1134" s="1394">
        <f t="shared" ref="R1134:R1197" si="381">ROUND(O1134,2)*ROUND(Q1134,2)</f>
        <v>0</v>
      </c>
      <c r="S1134" s="1394">
        <f>IFERROR(VLOOKUP(M1134,#REF!,6,0),0)</f>
        <v>0</v>
      </c>
      <c r="T1134" s="1394">
        <f t="shared" ref="T1134:T1197" si="382">R1134-S1134</f>
        <v>0</v>
      </c>
      <c r="U1134" s="1394">
        <f>IFERROR(VLOOKUP(M1134,#REF!,5,0),0)</f>
        <v>0</v>
      </c>
      <c r="V1134" s="1394">
        <f t="shared" ref="V1134:V1197" si="383">O1134-U1134</f>
        <v>0</v>
      </c>
      <c r="W1134" s="1394"/>
    </row>
    <row r="1135" spans="2:23" ht="30" customHeight="1">
      <c r="B1135" s="1407"/>
      <c r="C1135" s="1408" t="str">
        <f t="shared" si="379"/>
        <v>W3</v>
      </c>
      <c r="D1135" s="1409">
        <f t="shared" si="379"/>
        <v>1</v>
      </c>
      <c r="E1135" s="1409">
        <f t="shared" si="379"/>
        <v>5</v>
      </c>
      <c r="F1135" s="1410">
        <f t="shared" si="379"/>
        <v>1.46</v>
      </c>
      <c r="G1135" s="1410">
        <v>0.6</v>
      </c>
      <c r="H1135" s="1473">
        <v>6.25E-2</v>
      </c>
      <c r="I1135" s="1425">
        <f t="shared" ref="I1135:I1139" si="384">PRODUCT(D1135:H1135)</f>
        <v>0.27374999999999999</v>
      </c>
      <c r="M1135" s="110"/>
      <c r="Q1135" s="1394">
        <f>IFERROR(VLOOKUP(M1135,#REF!,3,0),0)</f>
        <v>0</v>
      </c>
      <c r="R1135" s="1394">
        <f t="shared" si="381"/>
        <v>0</v>
      </c>
      <c r="S1135" s="1394">
        <f>IFERROR(VLOOKUP(M1135,#REF!,6,0),0)</f>
        <v>0</v>
      </c>
      <c r="T1135" s="1394">
        <f t="shared" si="382"/>
        <v>0</v>
      </c>
      <c r="U1135" s="1394">
        <f>IFERROR(VLOOKUP(M1135,#REF!,5,0),0)</f>
        <v>0</v>
      </c>
      <c r="V1135" s="1394">
        <f t="shared" si="383"/>
        <v>0</v>
      </c>
      <c r="W1135" s="1394"/>
    </row>
    <row r="1136" spans="2:23" ht="30" customHeight="1">
      <c r="B1136" s="1407"/>
      <c r="C1136" s="1408" t="str">
        <f t="shared" si="379"/>
        <v>SLW</v>
      </c>
      <c r="D1136" s="1409">
        <f t="shared" si="379"/>
        <v>1</v>
      </c>
      <c r="E1136" s="1409">
        <f t="shared" si="379"/>
        <v>2</v>
      </c>
      <c r="F1136" s="1410">
        <f t="shared" si="379"/>
        <v>2.56</v>
      </c>
      <c r="G1136" s="1410">
        <v>0.6</v>
      </c>
      <c r="H1136" s="1473">
        <v>6.25E-2</v>
      </c>
      <c r="I1136" s="1425">
        <f t="shared" si="384"/>
        <v>0.192</v>
      </c>
      <c r="M1136" s="110"/>
      <c r="Q1136" s="1394">
        <f>IFERROR(VLOOKUP(M1136,#REF!,3,0),0)</f>
        <v>0</v>
      </c>
      <c r="R1136" s="1394">
        <f t="shared" si="381"/>
        <v>0</v>
      </c>
      <c r="S1136" s="1394">
        <f>IFERROR(VLOOKUP(M1136,#REF!,6,0),0)</f>
        <v>0</v>
      </c>
      <c r="T1136" s="1394">
        <f t="shared" si="382"/>
        <v>0</v>
      </c>
      <c r="U1136" s="1394">
        <f>IFERROR(VLOOKUP(M1136,#REF!,5,0),0)</f>
        <v>0</v>
      </c>
      <c r="V1136" s="1394">
        <f t="shared" si="383"/>
        <v>0</v>
      </c>
      <c r="W1136" s="1394"/>
    </row>
    <row r="1137" spans="2:23" ht="30" customHeight="1">
      <c r="B1137" s="1407"/>
      <c r="C1137" s="1408" t="str">
        <f t="shared" si="379"/>
        <v>RV</v>
      </c>
      <c r="D1137" s="1409">
        <f t="shared" si="379"/>
        <v>1</v>
      </c>
      <c r="E1137" s="1409">
        <f t="shared" si="379"/>
        <v>3</v>
      </c>
      <c r="F1137" s="1410">
        <f t="shared" si="379"/>
        <v>1.81</v>
      </c>
      <c r="G1137" s="1410">
        <v>0.6</v>
      </c>
      <c r="H1137" s="1473">
        <v>6.25E-2</v>
      </c>
      <c r="I1137" s="1425">
        <f t="shared" si="384"/>
        <v>0.20362499999999997</v>
      </c>
      <c r="M1137" s="110"/>
      <c r="Q1137" s="1394">
        <f>IFERROR(VLOOKUP(M1137,#REF!,3,0),0)</f>
        <v>0</v>
      </c>
      <c r="R1137" s="1394">
        <f t="shared" si="381"/>
        <v>0</v>
      </c>
      <c r="S1137" s="1394">
        <f>IFERROR(VLOOKUP(M1137,#REF!,6,0),0)</f>
        <v>0</v>
      </c>
      <c r="T1137" s="1394">
        <f t="shared" si="382"/>
        <v>0</v>
      </c>
      <c r="U1137" s="1394">
        <f>IFERROR(VLOOKUP(M1137,#REF!,5,0),0)</f>
        <v>0</v>
      </c>
      <c r="V1137" s="1394">
        <f t="shared" si="383"/>
        <v>0</v>
      </c>
      <c r="W1137" s="1394"/>
    </row>
    <row r="1138" spans="2:23" ht="30" customHeight="1">
      <c r="B1138" s="1407"/>
      <c r="C1138" s="1408" t="str">
        <f t="shared" si="379"/>
        <v>V3</v>
      </c>
      <c r="D1138" s="1409">
        <f t="shared" si="379"/>
        <v>1</v>
      </c>
      <c r="E1138" s="1409">
        <f t="shared" si="379"/>
        <v>5</v>
      </c>
      <c r="F1138" s="1410">
        <f t="shared" si="379"/>
        <v>1.36</v>
      </c>
      <c r="G1138" s="1410">
        <v>0.6</v>
      </c>
      <c r="H1138" s="1473">
        <v>6.25E-2</v>
      </c>
      <c r="I1138" s="1425">
        <f t="shared" si="384"/>
        <v>0.255</v>
      </c>
      <c r="Q1138" s="1394">
        <f>IFERROR(VLOOKUP(M1138,#REF!,3,0),0)</f>
        <v>0</v>
      </c>
      <c r="R1138" s="1394">
        <f t="shared" si="381"/>
        <v>0</v>
      </c>
      <c r="S1138" s="1394">
        <f>IFERROR(VLOOKUP(M1138,#REF!,6,0),0)</f>
        <v>0</v>
      </c>
      <c r="T1138" s="1394">
        <f t="shared" si="382"/>
        <v>0</v>
      </c>
      <c r="U1138" s="1394">
        <f>IFERROR(VLOOKUP(M1138,#REF!,5,0),0)</f>
        <v>0</v>
      </c>
      <c r="V1138" s="1394">
        <f t="shared" si="383"/>
        <v>0</v>
      </c>
      <c r="W1138" s="1394"/>
    </row>
    <row r="1139" spans="2:23" ht="30" customHeight="1">
      <c r="B1139" s="1407"/>
      <c r="C1139" s="1408" t="str">
        <f t="shared" si="379"/>
        <v>RVT</v>
      </c>
      <c r="D1139" s="1409">
        <f t="shared" si="379"/>
        <v>1</v>
      </c>
      <c r="E1139" s="1409">
        <f t="shared" si="379"/>
        <v>2</v>
      </c>
      <c r="F1139" s="1410">
        <f t="shared" si="379"/>
        <v>1.36</v>
      </c>
      <c r="G1139" s="1410">
        <v>0.6</v>
      </c>
      <c r="H1139" s="1473">
        <v>6.25E-2</v>
      </c>
      <c r="I1139" s="1425">
        <f t="shared" si="384"/>
        <v>0.10200000000000001</v>
      </c>
      <c r="Q1139" s="1394">
        <f>IFERROR(VLOOKUP(M1139,#REF!,3,0),0)</f>
        <v>0</v>
      </c>
      <c r="R1139" s="1394">
        <f t="shared" si="381"/>
        <v>0</v>
      </c>
      <c r="S1139" s="1394">
        <f>IFERROR(VLOOKUP(M1139,#REF!,6,0),0)</f>
        <v>0</v>
      </c>
      <c r="T1139" s="1394">
        <f t="shared" si="382"/>
        <v>0</v>
      </c>
      <c r="U1139" s="1394">
        <f>IFERROR(VLOOKUP(M1139,#REF!,5,0),0)</f>
        <v>0</v>
      </c>
      <c r="V1139" s="1394">
        <f t="shared" si="383"/>
        <v>0</v>
      </c>
      <c r="W1139" s="1394"/>
    </row>
    <row r="1140" spans="2:23" ht="30" customHeight="1">
      <c r="B1140" s="1407"/>
      <c r="C1140" s="1408"/>
      <c r="D1140" s="1409"/>
      <c r="E1140" s="1409"/>
      <c r="F1140" s="1410"/>
      <c r="G1140" s="1410"/>
      <c r="H1140" s="1473"/>
      <c r="I1140" s="1425"/>
      <c r="Q1140" s="1394">
        <f>IFERROR(VLOOKUP(M1140,#REF!,3,0),0)</f>
        <v>0</v>
      </c>
      <c r="R1140" s="1394">
        <f t="shared" si="381"/>
        <v>0</v>
      </c>
      <c r="S1140" s="1394">
        <f>IFERROR(VLOOKUP(M1140,#REF!,6,0),0)</f>
        <v>0</v>
      </c>
      <c r="T1140" s="1394">
        <f t="shared" si="382"/>
        <v>0</v>
      </c>
      <c r="U1140" s="1394">
        <f>IFERROR(VLOOKUP(M1140,#REF!,5,0),0)</f>
        <v>0</v>
      </c>
      <c r="V1140" s="1394">
        <f t="shared" si="383"/>
        <v>0</v>
      </c>
      <c r="W1140" s="1394"/>
    </row>
    <row r="1141" spans="2:23" ht="30" customHeight="1">
      <c r="B1141" s="1407"/>
      <c r="C1141" s="1408"/>
      <c r="D1141" s="1409"/>
      <c r="E1141" s="1409"/>
      <c r="F1141" s="1410"/>
      <c r="G1141" s="1410"/>
      <c r="H1141" s="1473"/>
      <c r="I1141" s="1425"/>
      <c r="Q1141" s="1394">
        <f>IFERROR(VLOOKUP(M1141,#REF!,3,0),0)</f>
        <v>0</v>
      </c>
      <c r="R1141" s="1394">
        <f t="shared" si="381"/>
        <v>0</v>
      </c>
      <c r="S1141" s="1394">
        <f>IFERROR(VLOOKUP(M1141,#REF!,6,0),0)</f>
        <v>0</v>
      </c>
      <c r="T1141" s="1394">
        <f t="shared" si="382"/>
        <v>0</v>
      </c>
      <c r="U1141" s="1394">
        <f>IFERROR(VLOOKUP(M1141,#REF!,5,0),0)</f>
        <v>0</v>
      </c>
      <c r="V1141" s="1394">
        <f t="shared" si="383"/>
        <v>0</v>
      </c>
      <c r="W1141" s="1394"/>
    </row>
    <row r="1142" spans="2:23" ht="30" customHeight="1">
      <c r="B1142" s="1405"/>
      <c r="C1142" s="1408" t="s">
        <v>324</v>
      </c>
      <c r="D1142" s="1409">
        <v>1</v>
      </c>
      <c r="E1142" s="1409">
        <v>1</v>
      </c>
      <c r="F1142" s="1410">
        <v>3.75</v>
      </c>
      <c r="G1142" s="1410">
        <v>1.2</v>
      </c>
      <c r="H1142" s="1410">
        <v>0.15</v>
      </c>
      <c r="I1142" s="1471">
        <f t="shared" si="380"/>
        <v>0.67499999999999993</v>
      </c>
      <c r="O1142" s="1469"/>
      <c r="Q1142" s="1394">
        <f>IFERROR(VLOOKUP(M1142,#REF!,3,0),0)</f>
        <v>0</v>
      </c>
      <c r="R1142" s="1394">
        <f t="shared" si="381"/>
        <v>0</v>
      </c>
      <c r="S1142" s="1394">
        <f>IFERROR(VLOOKUP(M1142,#REF!,6,0),0)</f>
        <v>0</v>
      </c>
      <c r="T1142" s="1394">
        <f t="shared" si="382"/>
        <v>0</v>
      </c>
      <c r="U1142" s="1394">
        <f>IFERROR(VLOOKUP(M1142,#REF!,5,0),0)</f>
        <v>0</v>
      </c>
      <c r="V1142" s="1394">
        <f t="shared" si="383"/>
        <v>0</v>
      </c>
      <c r="W1142" s="1394"/>
    </row>
    <row r="1143" spans="2:23" ht="30" customHeight="1">
      <c r="B1143" s="1405"/>
      <c r="C1143" s="1408" t="s">
        <v>307</v>
      </c>
      <c r="D1143" s="1409">
        <v>1</v>
      </c>
      <c r="E1143" s="1409">
        <v>1</v>
      </c>
      <c r="F1143" s="1410">
        <f>2.77+0.46</f>
        <v>3.23</v>
      </c>
      <c r="G1143" s="1410">
        <v>1.2</v>
      </c>
      <c r="H1143" s="1410">
        <v>0.15</v>
      </c>
      <c r="I1143" s="1471">
        <f t="shared" si="380"/>
        <v>0.58139999999999992</v>
      </c>
      <c r="O1143" s="1395"/>
      <c r="Q1143" s="1394">
        <f>IFERROR(VLOOKUP(M1143,#REF!,3,0),0)</f>
        <v>0</v>
      </c>
      <c r="R1143" s="1394">
        <f t="shared" si="381"/>
        <v>0</v>
      </c>
      <c r="S1143" s="1394">
        <f>IFERROR(VLOOKUP(M1143,#REF!,6,0),0)</f>
        <v>0</v>
      </c>
      <c r="T1143" s="1394">
        <f t="shared" si="382"/>
        <v>0</v>
      </c>
      <c r="U1143" s="1394">
        <f>IFERROR(VLOOKUP(M1143,#REF!,5,0),0)</f>
        <v>0</v>
      </c>
      <c r="V1143" s="1394">
        <f t="shared" si="383"/>
        <v>0</v>
      </c>
      <c r="W1143" s="1394"/>
    </row>
    <row r="1144" spans="2:23" ht="30" customHeight="1">
      <c r="B1144" s="1405"/>
      <c r="C1144" s="1408" t="s">
        <v>325</v>
      </c>
      <c r="D1144" s="1409">
        <v>1</v>
      </c>
      <c r="E1144" s="1409">
        <v>1</v>
      </c>
      <c r="F1144" s="1410">
        <v>3.7</v>
      </c>
      <c r="G1144" s="1410">
        <v>1.2</v>
      </c>
      <c r="H1144" s="1410">
        <v>0.15</v>
      </c>
      <c r="I1144" s="1471">
        <f t="shared" si="380"/>
        <v>0.66600000000000004</v>
      </c>
      <c r="O1144" s="1395"/>
      <c r="Q1144" s="1394">
        <f>IFERROR(VLOOKUP(M1144,#REF!,3,0),0)</f>
        <v>0</v>
      </c>
      <c r="R1144" s="1394">
        <f t="shared" si="381"/>
        <v>0</v>
      </c>
      <c r="S1144" s="1394">
        <f>IFERROR(VLOOKUP(M1144,#REF!,6,0),0)</f>
        <v>0</v>
      </c>
      <c r="T1144" s="1394">
        <f t="shared" si="382"/>
        <v>0</v>
      </c>
      <c r="U1144" s="1394">
        <f>IFERROR(VLOOKUP(M1144,#REF!,5,0),0)</f>
        <v>0</v>
      </c>
      <c r="V1144" s="1394">
        <f t="shared" si="383"/>
        <v>0</v>
      </c>
      <c r="W1144" s="1394"/>
    </row>
    <row r="1145" spans="2:23" ht="30" customHeight="1">
      <c r="B1145" s="1405"/>
      <c r="C1145" s="1408" t="s">
        <v>309</v>
      </c>
      <c r="D1145" s="1409">
        <v>0.5</v>
      </c>
      <c r="E1145" s="1409">
        <v>19</v>
      </c>
      <c r="F1145" s="1410">
        <v>1.2</v>
      </c>
      <c r="G1145" s="1410">
        <v>0.3</v>
      </c>
      <c r="H1145" s="1410">
        <v>0.157</v>
      </c>
      <c r="I1145" s="1471">
        <f t="shared" si="380"/>
        <v>0.53693999999999997</v>
      </c>
      <c r="O1145" s="1395"/>
      <c r="Q1145" s="1394">
        <f>IFERROR(VLOOKUP(M1145,#REF!,3,0),0)</f>
        <v>0</v>
      </c>
      <c r="R1145" s="1394">
        <f t="shared" si="381"/>
        <v>0</v>
      </c>
      <c r="S1145" s="1394">
        <f>IFERROR(VLOOKUP(M1145,#REF!,6,0),0)</f>
        <v>0</v>
      </c>
      <c r="T1145" s="1394">
        <f t="shared" si="382"/>
        <v>0</v>
      </c>
      <c r="U1145" s="1394">
        <f>IFERROR(VLOOKUP(M1145,#REF!,5,0),0)</f>
        <v>0</v>
      </c>
      <c r="V1145" s="1394">
        <f t="shared" si="383"/>
        <v>0</v>
      </c>
      <c r="W1145" s="1394"/>
    </row>
    <row r="1146" spans="2:23" ht="30" customHeight="1">
      <c r="B1146" s="1407"/>
      <c r="C1146" s="1408"/>
      <c r="D1146" s="1409"/>
      <c r="E1146" s="1409"/>
      <c r="F1146" s="1410"/>
      <c r="G1146" s="1410"/>
      <c r="H1146" s="1473"/>
      <c r="I1146" s="1425"/>
      <c r="Q1146" s="1394">
        <f>IFERROR(VLOOKUP(M1146,#REF!,3,0),0)</f>
        <v>0</v>
      </c>
      <c r="R1146" s="1394">
        <f t="shared" si="381"/>
        <v>0</v>
      </c>
      <c r="S1146" s="1394">
        <f>IFERROR(VLOOKUP(M1146,#REF!,6,0),0)</f>
        <v>0</v>
      </c>
      <c r="T1146" s="1394">
        <f t="shared" si="382"/>
        <v>0</v>
      </c>
      <c r="U1146" s="1394">
        <f>IFERROR(VLOOKUP(M1146,#REF!,5,0),0)</f>
        <v>0</v>
      </c>
      <c r="V1146" s="1394">
        <f t="shared" si="383"/>
        <v>0</v>
      </c>
      <c r="W1146" s="1394"/>
    </row>
    <row r="1147" spans="2:23" ht="30" customHeight="1">
      <c r="B1147" s="1405"/>
      <c r="C1147" s="1415" t="s">
        <v>310</v>
      </c>
      <c r="D1147" s="1409"/>
      <c r="E1147" s="1409"/>
      <c r="F1147" s="1410"/>
      <c r="G1147" s="1410"/>
      <c r="H1147" s="1411"/>
      <c r="I1147" s="1471">
        <f t="shared" ref="I1147:I1165" si="385">PRODUCT(D1147:H1147)</f>
        <v>0</v>
      </c>
      <c r="J1147" s="110" t="e">
        <f>#REF!*30</f>
        <v>#REF!</v>
      </c>
      <c r="O1147" s="1395"/>
      <c r="Q1147" s="1394">
        <f>IFERROR(VLOOKUP(M1147,#REF!,3,0),0)</f>
        <v>0</v>
      </c>
      <c r="R1147" s="1394">
        <f t="shared" si="381"/>
        <v>0</v>
      </c>
      <c r="S1147" s="1394">
        <f>IFERROR(VLOOKUP(M1147,#REF!,6,0),0)</f>
        <v>0</v>
      </c>
      <c r="T1147" s="1394">
        <f t="shared" si="382"/>
        <v>0</v>
      </c>
      <c r="U1147" s="1394">
        <f>IFERROR(VLOOKUP(M1147,#REF!,5,0),0)</f>
        <v>0</v>
      </c>
      <c r="V1147" s="1394">
        <f t="shared" si="383"/>
        <v>0</v>
      </c>
      <c r="W1147" s="1394"/>
    </row>
    <row r="1148" spans="2:23" ht="30" customHeight="1">
      <c r="B1148" s="1405"/>
      <c r="C1148" s="1415" t="s">
        <v>311</v>
      </c>
      <c r="D1148" s="1409"/>
      <c r="E1148" s="1409"/>
      <c r="F1148" s="1410"/>
      <c r="G1148" s="1410"/>
      <c r="H1148" s="1411"/>
      <c r="I1148" s="1471">
        <f t="shared" si="385"/>
        <v>0</v>
      </c>
      <c r="O1148" s="1395"/>
      <c r="Q1148" s="1394">
        <f>IFERROR(VLOOKUP(M1148,#REF!,3,0),0)</f>
        <v>0</v>
      </c>
      <c r="R1148" s="1394">
        <f t="shared" si="381"/>
        <v>0</v>
      </c>
      <c r="S1148" s="1394">
        <f>IFERROR(VLOOKUP(M1148,#REF!,6,0),0)</f>
        <v>0</v>
      </c>
      <c r="T1148" s="1394">
        <f t="shared" si="382"/>
        <v>0</v>
      </c>
      <c r="U1148" s="1394">
        <f>IFERROR(VLOOKUP(M1148,#REF!,5,0),0)</f>
        <v>0</v>
      </c>
      <c r="V1148" s="1394">
        <f t="shared" si="383"/>
        <v>0</v>
      </c>
      <c r="W1148" s="1394"/>
    </row>
    <row r="1149" spans="2:23" ht="30" customHeight="1">
      <c r="B1149" s="1405"/>
      <c r="C1149" s="1408" t="s">
        <v>5723</v>
      </c>
      <c r="D1149" s="1409">
        <v>1</v>
      </c>
      <c r="E1149" s="1409">
        <v>4</v>
      </c>
      <c r="F1149" s="1410">
        <f>4.23</f>
        <v>4.2300000000000004</v>
      </c>
      <c r="G1149" s="1410">
        <v>0.23</v>
      </c>
      <c r="H1149" s="1411">
        <v>0.38</v>
      </c>
      <c r="I1149" s="1471">
        <f t="shared" si="385"/>
        <v>1.4788080000000001</v>
      </c>
      <c r="O1149" s="1395"/>
      <c r="Q1149" s="1394">
        <f>IFERROR(VLOOKUP(M1149,#REF!,3,0),0)</f>
        <v>0</v>
      </c>
      <c r="R1149" s="1394">
        <f t="shared" si="381"/>
        <v>0</v>
      </c>
      <c r="S1149" s="1394">
        <f>IFERROR(VLOOKUP(M1149,#REF!,6,0),0)</f>
        <v>0</v>
      </c>
      <c r="T1149" s="1394">
        <f t="shared" si="382"/>
        <v>0</v>
      </c>
      <c r="U1149" s="1394">
        <f>IFERROR(VLOOKUP(M1149,#REF!,5,0),0)</f>
        <v>0</v>
      </c>
      <c r="V1149" s="1394">
        <f t="shared" si="383"/>
        <v>0</v>
      </c>
      <c r="W1149" s="1394"/>
    </row>
    <row r="1150" spans="2:23" ht="30" customHeight="1">
      <c r="B1150" s="1405"/>
      <c r="C1150" s="1408" t="s">
        <v>5698</v>
      </c>
      <c r="D1150" s="1409">
        <v>1</v>
      </c>
      <c r="E1150" s="1409">
        <v>1</v>
      </c>
      <c r="F1150" s="1410">
        <f>4.23+2.33+0.9+2.425+1.23+3.465+3.995</f>
        <v>18.575000000000003</v>
      </c>
      <c r="G1150" s="1410">
        <v>0.23</v>
      </c>
      <c r="H1150" s="1411">
        <v>0.38</v>
      </c>
      <c r="I1150" s="1471">
        <f t="shared" si="385"/>
        <v>1.6234550000000003</v>
      </c>
      <c r="Q1150" s="1394">
        <f>IFERROR(VLOOKUP(M1150,#REF!,3,0),0)</f>
        <v>0</v>
      </c>
      <c r="R1150" s="1394">
        <f t="shared" si="381"/>
        <v>0</v>
      </c>
      <c r="S1150" s="1394">
        <f>IFERROR(VLOOKUP(M1150,#REF!,6,0),0)</f>
        <v>0</v>
      </c>
      <c r="T1150" s="1394">
        <f t="shared" si="382"/>
        <v>0</v>
      </c>
      <c r="U1150" s="1394">
        <f>IFERROR(VLOOKUP(M1150,#REF!,5,0),0)</f>
        <v>0</v>
      </c>
      <c r="V1150" s="1394">
        <f t="shared" si="383"/>
        <v>0</v>
      </c>
      <c r="W1150" s="1394"/>
    </row>
    <row r="1151" spans="2:23" ht="30" customHeight="1">
      <c r="B1151" s="1405"/>
      <c r="C1151" s="1408" t="s">
        <v>5725</v>
      </c>
      <c r="D1151" s="1409">
        <v>1</v>
      </c>
      <c r="E1151" s="1409">
        <v>1</v>
      </c>
      <c r="F1151" s="1410">
        <f>2.33+0.9+2.425+1.23+3.465</f>
        <v>10.35</v>
      </c>
      <c r="G1151" s="1410">
        <v>0.23</v>
      </c>
      <c r="H1151" s="1411">
        <v>0.38</v>
      </c>
      <c r="I1151" s="1471">
        <f t="shared" si="385"/>
        <v>0.90459000000000001</v>
      </c>
      <c r="Q1151" s="1394">
        <f>IFERROR(VLOOKUP(M1151,#REF!,3,0),0)</f>
        <v>0</v>
      </c>
      <c r="R1151" s="1394">
        <f t="shared" si="381"/>
        <v>0</v>
      </c>
      <c r="S1151" s="1394">
        <f>IFERROR(VLOOKUP(M1151,#REF!,6,0),0)</f>
        <v>0</v>
      </c>
      <c r="T1151" s="1394">
        <f t="shared" si="382"/>
        <v>0</v>
      </c>
      <c r="U1151" s="1394">
        <f>IFERROR(VLOOKUP(M1151,#REF!,5,0),0)</f>
        <v>0</v>
      </c>
      <c r="V1151" s="1394">
        <f t="shared" si="383"/>
        <v>0</v>
      </c>
      <c r="W1151" s="1394"/>
    </row>
    <row r="1152" spans="2:23" ht="30" customHeight="1">
      <c r="B1152" s="1405"/>
      <c r="C1152" s="1408" t="s">
        <v>5724</v>
      </c>
      <c r="D1152" s="1409">
        <v>1</v>
      </c>
      <c r="E1152" s="1409">
        <v>1</v>
      </c>
      <c r="F1152" s="1410">
        <f>2.33+0.9+2.425+1.23+3.465</f>
        <v>10.35</v>
      </c>
      <c r="G1152" s="1410">
        <v>0.23</v>
      </c>
      <c r="H1152" s="1411">
        <v>0.45</v>
      </c>
      <c r="I1152" s="1471">
        <f t="shared" si="385"/>
        <v>1.0712250000000001</v>
      </c>
      <c r="J1152" s="1397" t="e">
        <f>#REF!+#REF!+2.4</f>
        <v>#REF!</v>
      </c>
      <c r="K1152" s="1397"/>
      <c r="Q1152" s="1394">
        <f>IFERROR(VLOOKUP(M1152,#REF!,3,0),0)</f>
        <v>0</v>
      </c>
      <c r="R1152" s="1394">
        <f t="shared" si="381"/>
        <v>0</v>
      </c>
      <c r="S1152" s="1394">
        <f>IFERROR(VLOOKUP(M1152,#REF!,6,0),0)</f>
        <v>0</v>
      </c>
      <c r="T1152" s="1394">
        <f t="shared" si="382"/>
        <v>0</v>
      </c>
      <c r="U1152" s="1394">
        <f>IFERROR(VLOOKUP(M1152,#REF!,5,0),0)</f>
        <v>0</v>
      </c>
      <c r="V1152" s="1394">
        <f t="shared" si="383"/>
        <v>0</v>
      </c>
      <c r="W1152" s="1394"/>
    </row>
    <row r="1153" spans="2:23" ht="30" customHeight="1">
      <c r="B1153" s="1405"/>
      <c r="C1153" s="1408" t="s">
        <v>5726</v>
      </c>
      <c r="D1153" s="1409">
        <v>1</v>
      </c>
      <c r="E1153" s="1409">
        <v>1</v>
      </c>
      <c r="F1153" s="1410">
        <f>2.33+0.9+2.425+1.23+3.465</f>
        <v>10.35</v>
      </c>
      <c r="G1153" s="1410">
        <v>0.23</v>
      </c>
      <c r="H1153" s="1411">
        <v>0.6</v>
      </c>
      <c r="I1153" s="1471">
        <f t="shared" si="385"/>
        <v>1.4282999999999999</v>
      </c>
      <c r="J1153" s="1397"/>
      <c r="K1153" s="1397"/>
      <c r="Q1153" s="1394">
        <f>IFERROR(VLOOKUP(M1153,#REF!,3,0),0)</f>
        <v>0</v>
      </c>
      <c r="R1153" s="1394">
        <f t="shared" si="381"/>
        <v>0</v>
      </c>
      <c r="S1153" s="1394">
        <f>IFERROR(VLOOKUP(M1153,#REF!,6,0),0)</f>
        <v>0</v>
      </c>
      <c r="T1153" s="1394">
        <f t="shared" si="382"/>
        <v>0</v>
      </c>
      <c r="U1153" s="1394">
        <f>IFERROR(VLOOKUP(M1153,#REF!,5,0),0)</f>
        <v>0</v>
      </c>
      <c r="V1153" s="1394">
        <f t="shared" si="383"/>
        <v>0</v>
      </c>
      <c r="W1153" s="1394"/>
    </row>
    <row r="1154" spans="2:23" ht="30" customHeight="1">
      <c r="B1154" s="1405"/>
      <c r="C1154" s="1408" t="s">
        <v>5727</v>
      </c>
      <c r="D1154" s="1409">
        <v>1</v>
      </c>
      <c r="E1154" s="1409">
        <v>1</v>
      </c>
      <c r="F1154" s="1410">
        <f>2.33+0.9+2.425+1.23</f>
        <v>6.8849999999999998</v>
      </c>
      <c r="G1154" s="1410">
        <v>0.23</v>
      </c>
      <c r="H1154" s="1411">
        <v>0.38</v>
      </c>
      <c r="I1154" s="1471">
        <f t="shared" si="385"/>
        <v>0.60174899999999998</v>
      </c>
      <c r="M1154" s="110"/>
      <c r="Q1154" s="1394">
        <f>IFERROR(VLOOKUP(M1154,#REF!,3,0),0)</f>
        <v>0</v>
      </c>
      <c r="R1154" s="1394">
        <f t="shared" si="381"/>
        <v>0</v>
      </c>
      <c r="S1154" s="1394">
        <f>IFERROR(VLOOKUP(M1154,#REF!,6,0),0)</f>
        <v>0</v>
      </c>
      <c r="T1154" s="1394">
        <f t="shared" si="382"/>
        <v>0</v>
      </c>
      <c r="U1154" s="1394">
        <f>IFERROR(VLOOKUP(M1154,#REF!,5,0),0)</f>
        <v>0</v>
      </c>
      <c r="V1154" s="1394">
        <f t="shared" si="383"/>
        <v>0</v>
      </c>
      <c r="W1154" s="1394"/>
    </row>
    <row r="1155" spans="2:23" ht="30" customHeight="1">
      <c r="B1155" s="1405"/>
      <c r="C1155" s="1408" t="s">
        <v>326</v>
      </c>
      <c r="D1155" s="1409">
        <v>1</v>
      </c>
      <c r="E1155" s="1409">
        <v>1</v>
      </c>
      <c r="F1155" s="1410">
        <f>4.23</f>
        <v>4.2300000000000004</v>
      </c>
      <c r="G1155" s="1410">
        <v>0.23</v>
      </c>
      <c r="H1155" s="1411">
        <v>0.38</v>
      </c>
      <c r="I1155" s="1471">
        <f t="shared" si="385"/>
        <v>0.36970200000000003</v>
      </c>
      <c r="M1155" s="110"/>
      <c r="Q1155" s="1394">
        <f>IFERROR(VLOOKUP(M1155,#REF!,3,0),0)</f>
        <v>0</v>
      </c>
      <c r="R1155" s="1394">
        <f t="shared" si="381"/>
        <v>0</v>
      </c>
      <c r="S1155" s="1394">
        <f>IFERROR(VLOOKUP(M1155,#REF!,6,0),0)</f>
        <v>0</v>
      </c>
      <c r="T1155" s="1394">
        <f t="shared" si="382"/>
        <v>0</v>
      </c>
      <c r="U1155" s="1394">
        <f>IFERROR(VLOOKUP(M1155,#REF!,5,0),0)</f>
        <v>0</v>
      </c>
      <c r="V1155" s="1394">
        <f t="shared" si="383"/>
        <v>0</v>
      </c>
      <c r="W1155" s="1394"/>
    </row>
    <row r="1156" spans="2:23" ht="30" customHeight="1">
      <c r="B1156" s="1405"/>
      <c r="C1156" s="1408" t="s">
        <v>326</v>
      </c>
      <c r="D1156" s="1409">
        <v>1</v>
      </c>
      <c r="E1156" s="1409">
        <v>1</v>
      </c>
      <c r="F1156" s="1410">
        <v>3.9950000000000001</v>
      </c>
      <c r="G1156" s="1410">
        <v>0.23</v>
      </c>
      <c r="H1156" s="1411">
        <v>0.38</v>
      </c>
      <c r="I1156" s="1471">
        <f t="shared" si="385"/>
        <v>0.349163</v>
      </c>
      <c r="M1156" s="110"/>
      <c r="Q1156" s="1394">
        <f>IFERROR(VLOOKUP(M1156,#REF!,3,0),0)</f>
        <v>0</v>
      </c>
      <c r="R1156" s="1394">
        <f t="shared" si="381"/>
        <v>0</v>
      </c>
      <c r="S1156" s="1394">
        <f>IFERROR(VLOOKUP(M1156,#REF!,6,0),0)</f>
        <v>0</v>
      </c>
      <c r="T1156" s="1394">
        <f t="shared" si="382"/>
        <v>0</v>
      </c>
      <c r="U1156" s="1394">
        <f>IFERROR(VLOOKUP(M1156,#REF!,5,0),0)</f>
        <v>0</v>
      </c>
      <c r="V1156" s="1394">
        <f t="shared" si="383"/>
        <v>0</v>
      </c>
      <c r="W1156" s="1394"/>
    </row>
    <row r="1157" spans="2:23" ht="30" customHeight="1">
      <c r="B1157" s="1405"/>
      <c r="C1157" s="1408" t="s">
        <v>5728</v>
      </c>
      <c r="D1157" s="1409">
        <v>1</v>
      </c>
      <c r="E1157" s="1409">
        <v>4</v>
      </c>
      <c r="F1157" s="1410">
        <f>3.995</f>
        <v>3.9950000000000001</v>
      </c>
      <c r="G1157" s="1410">
        <v>0.23</v>
      </c>
      <c r="H1157" s="1411">
        <v>0.38</v>
      </c>
      <c r="I1157" s="1471">
        <f t="shared" si="385"/>
        <v>1.396652</v>
      </c>
      <c r="M1157" s="110"/>
      <c r="Q1157" s="1394">
        <f>IFERROR(VLOOKUP(M1157,#REF!,3,0),0)</f>
        <v>0</v>
      </c>
      <c r="R1157" s="1394">
        <f t="shared" si="381"/>
        <v>0</v>
      </c>
      <c r="S1157" s="1394">
        <f>IFERROR(VLOOKUP(M1157,#REF!,6,0),0)</f>
        <v>0</v>
      </c>
      <c r="T1157" s="1394">
        <f t="shared" si="382"/>
        <v>0</v>
      </c>
      <c r="U1157" s="1394">
        <f>IFERROR(VLOOKUP(M1157,#REF!,5,0),0)</f>
        <v>0</v>
      </c>
      <c r="V1157" s="1394">
        <f t="shared" si="383"/>
        <v>0</v>
      </c>
      <c r="W1157" s="1394"/>
    </row>
    <row r="1158" spans="2:23" ht="30" customHeight="1">
      <c r="B1158" s="1405"/>
      <c r="C1158" s="1408" t="s">
        <v>5729</v>
      </c>
      <c r="D1158" s="1409">
        <v>1</v>
      </c>
      <c r="E1158" s="1409">
        <v>1</v>
      </c>
      <c r="F1158" s="1410">
        <f>1.735</f>
        <v>1.7350000000000001</v>
      </c>
      <c r="G1158" s="1410">
        <v>0.23</v>
      </c>
      <c r="H1158" s="1411">
        <v>0.38</v>
      </c>
      <c r="I1158" s="1471">
        <f t="shared" si="385"/>
        <v>0.151639</v>
      </c>
      <c r="M1158" s="110"/>
      <c r="Q1158" s="1394">
        <f>IFERROR(VLOOKUP(M1158,#REF!,3,0),0)</f>
        <v>0</v>
      </c>
      <c r="R1158" s="1394">
        <f t="shared" si="381"/>
        <v>0</v>
      </c>
      <c r="S1158" s="1394">
        <f>IFERROR(VLOOKUP(M1158,#REF!,6,0),0)</f>
        <v>0</v>
      </c>
      <c r="T1158" s="1394">
        <f t="shared" si="382"/>
        <v>0</v>
      </c>
      <c r="U1158" s="1394">
        <f>IFERROR(VLOOKUP(M1158,#REF!,5,0),0)</f>
        <v>0</v>
      </c>
      <c r="V1158" s="1394">
        <f t="shared" si="383"/>
        <v>0</v>
      </c>
      <c r="W1158" s="1394"/>
    </row>
    <row r="1159" spans="2:23" ht="30" customHeight="1">
      <c r="B1159" s="1405"/>
      <c r="C1159" s="1408" t="s">
        <v>5729</v>
      </c>
      <c r="D1159" s="1409">
        <v>1</v>
      </c>
      <c r="E1159" s="1409">
        <v>1</v>
      </c>
      <c r="F1159" s="1410">
        <f>3.765</f>
        <v>3.7650000000000001</v>
      </c>
      <c r="G1159" s="1410">
        <v>0.23</v>
      </c>
      <c r="H1159" s="1411">
        <v>0.38</v>
      </c>
      <c r="I1159" s="1471">
        <f t="shared" si="385"/>
        <v>0.32906100000000005</v>
      </c>
      <c r="J1159" s="1396"/>
      <c r="K1159" s="1396"/>
      <c r="M1159" s="110"/>
      <c r="Q1159" s="1394">
        <f>IFERROR(VLOOKUP(M1159,#REF!,3,0),0)</f>
        <v>0</v>
      </c>
      <c r="R1159" s="1394">
        <f t="shared" si="381"/>
        <v>0</v>
      </c>
      <c r="S1159" s="1394">
        <f>IFERROR(VLOOKUP(M1159,#REF!,6,0),0)</f>
        <v>0</v>
      </c>
      <c r="T1159" s="1394">
        <f t="shared" si="382"/>
        <v>0</v>
      </c>
      <c r="U1159" s="1394">
        <f>IFERROR(VLOOKUP(M1159,#REF!,5,0),0)</f>
        <v>0</v>
      </c>
      <c r="V1159" s="1394">
        <f t="shared" si="383"/>
        <v>0</v>
      </c>
      <c r="W1159" s="1394"/>
    </row>
    <row r="1160" spans="2:23" ht="30" customHeight="1">
      <c r="B1160" s="1405"/>
      <c r="C1160" s="1415" t="s">
        <v>312</v>
      </c>
      <c r="D1160" s="1409"/>
      <c r="E1160" s="1409"/>
      <c r="F1160" s="1410"/>
      <c r="G1160" s="1410"/>
      <c r="H1160" s="1411">
        <v>0</v>
      </c>
      <c r="I1160" s="1471">
        <f t="shared" si="385"/>
        <v>0</v>
      </c>
      <c r="M1160" s="110"/>
      <c r="Q1160" s="1394">
        <f>IFERROR(VLOOKUP(M1160,#REF!,3,0),0)</f>
        <v>0</v>
      </c>
      <c r="R1160" s="1394">
        <f t="shared" si="381"/>
        <v>0</v>
      </c>
      <c r="S1160" s="1394">
        <f>IFERROR(VLOOKUP(M1160,#REF!,6,0),0)</f>
        <v>0</v>
      </c>
      <c r="T1160" s="1394">
        <f t="shared" si="382"/>
        <v>0</v>
      </c>
      <c r="U1160" s="1394">
        <f>IFERROR(VLOOKUP(M1160,#REF!,5,0),0)</f>
        <v>0</v>
      </c>
      <c r="V1160" s="1394">
        <f t="shared" si="383"/>
        <v>0</v>
      </c>
      <c r="W1160" s="1394"/>
    </row>
    <row r="1161" spans="2:23" ht="30" customHeight="1">
      <c r="B1161" s="1405"/>
      <c r="C1161" s="1408" t="s">
        <v>5760</v>
      </c>
      <c r="D1161" s="1409">
        <v>1</v>
      </c>
      <c r="E1161" s="1409">
        <v>1</v>
      </c>
      <c r="F1161" s="1410">
        <f>3+2.53</f>
        <v>5.5299999999999994</v>
      </c>
      <c r="G1161" s="1410">
        <v>0.23</v>
      </c>
      <c r="H1161" s="1475">
        <v>0.45</v>
      </c>
      <c r="I1161" s="1471">
        <f t="shared" si="385"/>
        <v>0.57235499999999995</v>
      </c>
      <c r="M1161" s="110"/>
      <c r="Q1161" s="1394">
        <f>IFERROR(VLOOKUP(M1161,#REF!,3,0),0)</f>
        <v>0</v>
      </c>
      <c r="R1161" s="1394">
        <f t="shared" si="381"/>
        <v>0</v>
      </c>
      <c r="S1161" s="1394">
        <f>IFERROR(VLOOKUP(M1161,#REF!,6,0),0)</f>
        <v>0</v>
      </c>
      <c r="T1161" s="1394">
        <f t="shared" si="382"/>
        <v>0</v>
      </c>
      <c r="U1161" s="1394">
        <f>IFERROR(VLOOKUP(M1161,#REF!,5,0),0)</f>
        <v>0</v>
      </c>
      <c r="V1161" s="1394">
        <f t="shared" si="383"/>
        <v>0</v>
      </c>
      <c r="W1161" s="1394"/>
    </row>
    <row r="1162" spans="2:23" ht="30" customHeight="1">
      <c r="B1162" s="1405"/>
      <c r="C1162" s="1408" t="s">
        <v>5761</v>
      </c>
      <c r="D1162" s="1409">
        <v>1</v>
      </c>
      <c r="E1162" s="1409">
        <v>1</v>
      </c>
      <c r="F1162" s="1410">
        <f>3.26+2.73+4.13</f>
        <v>10.120000000000001</v>
      </c>
      <c r="G1162" s="1410">
        <v>0.23</v>
      </c>
      <c r="H1162" s="1411">
        <v>0.38</v>
      </c>
      <c r="I1162" s="1471">
        <f t="shared" si="385"/>
        <v>0.88448800000000016</v>
      </c>
      <c r="J1162" s="110" t="e">
        <f>#REF!+#REF!</f>
        <v>#REF!</v>
      </c>
      <c r="M1162" s="110"/>
      <c r="Q1162" s="1394">
        <f>IFERROR(VLOOKUP(M1162,#REF!,3,0),0)</f>
        <v>0</v>
      </c>
      <c r="R1162" s="1394">
        <f t="shared" si="381"/>
        <v>0</v>
      </c>
      <c r="S1162" s="1394">
        <f>IFERROR(VLOOKUP(M1162,#REF!,6,0),0)</f>
        <v>0</v>
      </c>
      <c r="T1162" s="1394">
        <f t="shared" si="382"/>
        <v>0</v>
      </c>
      <c r="U1162" s="1394">
        <f>IFERROR(VLOOKUP(M1162,#REF!,5,0),0)</f>
        <v>0</v>
      </c>
      <c r="V1162" s="1394">
        <f t="shared" si="383"/>
        <v>0</v>
      </c>
      <c r="W1162" s="1394"/>
    </row>
    <row r="1163" spans="2:23" ht="30" customHeight="1">
      <c r="B1163" s="1405"/>
      <c r="C1163" s="1408" t="s">
        <v>5730</v>
      </c>
      <c r="D1163" s="1409">
        <v>1</v>
      </c>
      <c r="E1163" s="1409">
        <v>1</v>
      </c>
      <c r="F1163" s="1410">
        <f>3+2.53+3.26+2.73+4.13</f>
        <v>15.649999999999999</v>
      </c>
      <c r="G1163" s="1410">
        <v>0.23</v>
      </c>
      <c r="H1163" s="1411">
        <v>0.38</v>
      </c>
      <c r="I1163" s="1471">
        <f t="shared" si="385"/>
        <v>1.36781</v>
      </c>
      <c r="M1163" s="110"/>
      <c r="Q1163" s="1394">
        <f>IFERROR(VLOOKUP(M1163,#REF!,3,0),0)</f>
        <v>0</v>
      </c>
      <c r="R1163" s="1394">
        <f t="shared" si="381"/>
        <v>0</v>
      </c>
      <c r="S1163" s="1394">
        <f>IFERROR(VLOOKUP(M1163,#REF!,6,0),0)</f>
        <v>0</v>
      </c>
      <c r="T1163" s="1394">
        <f t="shared" si="382"/>
        <v>0</v>
      </c>
      <c r="U1163" s="1394">
        <f>IFERROR(VLOOKUP(M1163,#REF!,5,0),0)</f>
        <v>0</v>
      </c>
      <c r="V1163" s="1394">
        <f t="shared" si="383"/>
        <v>0</v>
      </c>
      <c r="W1163" s="1394"/>
    </row>
    <row r="1164" spans="2:23" ht="30" customHeight="1">
      <c r="B1164" s="1405"/>
      <c r="C1164" s="1408" t="s">
        <v>5729</v>
      </c>
      <c r="D1164" s="1409">
        <v>1</v>
      </c>
      <c r="E1164" s="1409">
        <v>1</v>
      </c>
      <c r="F1164" s="1410">
        <f>4.13</f>
        <v>4.13</v>
      </c>
      <c r="G1164" s="1410">
        <v>0.23</v>
      </c>
      <c r="H1164" s="1411">
        <v>0.38</v>
      </c>
      <c r="I1164" s="1471">
        <f t="shared" si="385"/>
        <v>0.36096200000000001</v>
      </c>
      <c r="M1164" s="110"/>
      <c r="Q1164" s="1394">
        <f>IFERROR(VLOOKUP(M1164,#REF!,3,0),0)</f>
        <v>0</v>
      </c>
      <c r="R1164" s="1394">
        <f t="shared" si="381"/>
        <v>0</v>
      </c>
      <c r="S1164" s="1394">
        <f>IFERROR(VLOOKUP(M1164,#REF!,6,0),0)</f>
        <v>0</v>
      </c>
      <c r="T1164" s="1394">
        <f t="shared" si="382"/>
        <v>0</v>
      </c>
      <c r="U1164" s="1394">
        <f>IFERROR(VLOOKUP(M1164,#REF!,5,0),0)</f>
        <v>0</v>
      </c>
      <c r="V1164" s="1394">
        <f t="shared" si="383"/>
        <v>0</v>
      </c>
      <c r="W1164" s="1394"/>
    </row>
    <row r="1165" spans="2:23" ht="30" customHeight="1">
      <c r="B1165" s="1405"/>
      <c r="C1165" s="1408" t="s">
        <v>5729</v>
      </c>
      <c r="D1165" s="1409">
        <v>1</v>
      </c>
      <c r="E1165" s="1409">
        <v>1</v>
      </c>
      <c r="F1165" s="1410">
        <f>4.13</f>
        <v>4.13</v>
      </c>
      <c r="G1165" s="1410">
        <v>0.23</v>
      </c>
      <c r="H1165" s="1475">
        <v>0.45</v>
      </c>
      <c r="I1165" s="1471">
        <f t="shared" si="385"/>
        <v>0.42745499999999997</v>
      </c>
      <c r="M1165" s="110"/>
      <c r="Q1165" s="1394">
        <f>IFERROR(VLOOKUP(M1165,#REF!,3,0),0)</f>
        <v>0</v>
      </c>
      <c r="R1165" s="1394">
        <f t="shared" si="381"/>
        <v>0</v>
      </c>
      <c r="S1165" s="1394">
        <f>IFERROR(VLOOKUP(M1165,#REF!,6,0),0)</f>
        <v>0</v>
      </c>
      <c r="T1165" s="1394">
        <f t="shared" si="382"/>
        <v>0</v>
      </c>
      <c r="U1165" s="1394">
        <f>IFERROR(VLOOKUP(M1165,#REF!,5,0),0)</f>
        <v>0</v>
      </c>
      <c r="V1165" s="1394">
        <f t="shared" si="383"/>
        <v>0</v>
      </c>
      <c r="W1165" s="1394"/>
    </row>
    <row r="1166" spans="2:23" ht="30" customHeight="1">
      <c r="B1166" s="1405"/>
      <c r="C1166" s="1408" t="s">
        <v>5731</v>
      </c>
      <c r="D1166" s="1409">
        <v>1</v>
      </c>
      <c r="E1166" s="1409">
        <v>1</v>
      </c>
      <c r="F1166" s="1410">
        <f>2.53</f>
        <v>2.5299999999999998</v>
      </c>
      <c r="G1166" s="1410">
        <v>0.23</v>
      </c>
      <c r="H1166" s="1411">
        <v>0.45</v>
      </c>
      <c r="I1166" s="1471">
        <f t="shared" ref="I1166:I1172" si="386">PRODUCT(D1166:H1166)</f>
        <v>0.261855</v>
      </c>
      <c r="M1166" s="110"/>
      <c r="Q1166" s="1394">
        <f>IFERROR(VLOOKUP(M1166,#REF!,3,0),0)</f>
        <v>0</v>
      </c>
      <c r="R1166" s="1394">
        <f t="shared" si="381"/>
        <v>0</v>
      </c>
      <c r="S1166" s="1394">
        <f>IFERROR(VLOOKUP(M1166,#REF!,6,0),0)</f>
        <v>0</v>
      </c>
      <c r="T1166" s="1394">
        <f t="shared" si="382"/>
        <v>0</v>
      </c>
      <c r="U1166" s="1394">
        <f>IFERROR(VLOOKUP(M1166,#REF!,5,0),0)</f>
        <v>0</v>
      </c>
      <c r="V1166" s="1394">
        <f t="shared" si="383"/>
        <v>0</v>
      </c>
      <c r="W1166" s="1394"/>
    </row>
    <row r="1167" spans="2:23" ht="30" customHeight="1">
      <c r="B1167" s="1405"/>
      <c r="C1167" s="1408" t="s">
        <v>5737</v>
      </c>
      <c r="D1167" s="1409">
        <v>1</v>
      </c>
      <c r="E1167" s="1409">
        <v>2</v>
      </c>
      <c r="F1167" s="1410">
        <f>3.26+2.73</f>
        <v>5.99</v>
      </c>
      <c r="G1167" s="1410">
        <v>0.23</v>
      </c>
      <c r="H1167" s="1411">
        <v>0.6</v>
      </c>
      <c r="I1167" s="1471">
        <f t="shared" si="386"/>
        <v>1.65324</v>
      </c>
      <c r="M1167" s="110"/>
      <c r="Q1167" s="1394">
        <f>IFERROR(VLOOKUP(M1167,#REF!,3,0),0)</f>
        <v>0</v>
      </c>
      <c r="R1167" s="1394">
        <f t="shared" si="381"/>
        <v>0</v>
      </c>
      <c r="S1167" s="1394">
        <f>IFERROR(VLOOKUP(M1167,#REF!,6,0),0)</f>
        <v>0</v>
      </c>
      <c r="T1167" s="1394">
        <f t="shared" si="382"/>
        <v>0</v>
      </c>
      <c r="U1167" s="1394">
        <f>IFERROR(VLOOKUP(M1167,#REF!,5,0),0)</f>
        <v>0</v>
      </c>
      <c r="V1167" s="1394">
        <f t="shared" si="383"/>
        <v>0</v>
      </c>
      <c r="W1167" s="1394"/>
    </row>
    <row r="1168" spans="2:23" ht="30" customHeight="1">
      <c r="B1168" s="1405"/>
      <c r="C1168" s="1408" t="s">
        <v>5736</v>
      </c>
      <c r="D1168" s="1409">
        <v>1</v>
      </c>
      <c r="E1168" s="1409">
        <v>1</v>
      </c>
      <c r="F1168" s="1410">
        <f>3+2.53</f>
        <v>5.5299999999999994</v>
      </c>
      <c r="G1168" s="1410">
        <v>0.23</v>
      </c>
      <c r="H1168" s="1411">
        <v>0.45</v>
      </c>
      <c r="I1168" s="1471">
        <f t="shared" si="386"/>
        <v>0.57235499999999995</v>
      </c>
      <c r="M1168" s="110"/>
      <c r="Q1168" s="1394">
        <f>IFERROR(VLOOKUP(M1168,#REF!,3,0),0)</f>
        <v>0</v>
      </c>
      <c r="R1168" s="1394">
        <f t="shared" si="381"/>
        <v>0</v>
      </c>
      <c r="S1168" s="1394">
        <f>IFERROR(VLOOKUP(M1168,#REF!,6,0),0)</f>
        <v>0</v>
      </c>
      <c r="T1168" s="1394">
        <f t="shared" si="382"/>
        <v>0</v>
      </c>
      <c r="U1168" s="1394">
        <f>IFERROR(VLOOKUP(M1168,#REF!,5,0),0)</f>
        <v>0</v>
      </c>
      <c r="V1168" s="1394">
        <f t="shared" si="383"/>
        <v>0</v>
      </c>
      <c r="W1168" s="1394"/>
    </row>
    <row r="1169" spans="2:23" ht="30" customHeight="1">
      <c r="B1169" s="1405"/>
      <c r="C1169" s="1408" t="s">
        <v>5732</v>
      </c>
      <c r="D1169" s="1409">
        <v>1</v>
      </c>
      <c r="E1169" s="1409">
        <v>1</v>
      </c>
      <c r="F1169" s="1410">
        <f>4.13</f>
        <v>4.13</v>
      </c>
      <c r="G1169" s="1410">
        <v>0.23</v>
      </c>
      <c r="H1169" s="1411">
        <v>0.38</v>
      </c>
      <c r="I1169" s="1471">
        <f t="shared" si="386"/>
        <v>0.36096200000000001</v>
      </c>
      <c r="M1169" s="110"/>
      <c r="Q1169" s="1394">
        <f>IFERROR(VLOOKUP(M1169,#REF!,3,0),0)</f>
        <v>0</v>
      </c>
      <c r="R1169" s="1394">
        <f t="shared" si="381"/>
        <v>0</v>
      </c>
      <c r="S1169" s="1394">
        <f>IFERROR(VLOOKUP(M1169,#REF!,6,0),0)</f>
        <v>0</v>
      </c>
      <c r="T1169" s="1394">
        <f t="shared" si="382"/>
        <v>0</v>
      </c>
      <c r="U1169" s="1394">
        <f>IFERROR(VLOOKUP(M1169,#REF!,5,0),0)</f>
        <v>0</v>
      </c>
      <c r="V1169" s="1394">
        <f t="shared" si="383"/>
        <v>0</v>
      </c>
      <c r="W1169" s="1394"/>
    </row>
    <row r="1170" spans="2:23" ht="30" customHeight="1">
      <c r="B1170" s="1405"/>
      <c r="C1170" s="1408" t="s">
        <v>5762</v>
      </c>
      <c r="D1170" s="1409">
        <v>1</v>
      </c>
      <c r="E1170" s="1409">
        <v>1</v>
      </c>
      <c r="F1170" s="1410">
        <f>3+2.53+3.26+2.73</f>
        <v>11.52</v>
      </c>
      <c r="G1170" s="1410">
        <v>0.23</v>
      </c>
      <c r="H1170" s="1475">
        <v>0.45</v>
      </c>
      <c r="I1170" s="1471">
        <f t="shared" si="386"/>
        <v>1.19232</v>
      </c>
      <c r="L1170" s="1413"/>
      <c r="O1170" s="1395"/>
      <c r="Q1170" s="1394">
        <f>IFERROR(VLOOKUP(M1170,#REF!,3,0),0)</f>
        <v>0</v>
      </c>
      <c r="R1170" s="1394">
        <f t="shared" si="381"/>
        <v>0</v>
      </c>
      <c r="S1170" s="1394">
        <f>IFERROR(VLOOKUP(M1170,#REF!,6,0),0)</f>
        <v>0</v>
      </c>
      <c r="T1170" s="1394">
        <f t="shared" si="382"/>
        <v>0</v>
      </c>
      <c r="U1170" s="1394">
        <f>IFERROR(VLOOKUP(M1170,#REF!,5,0),0)</f>
        <v>0</v>
      </c>
      <c r="V1170" s="1394">
        <f t="shared" si="383"/>
        <v>0</v>
      </c>
      <c r="W1170" s="1394"/>
    </row>
    <row r="1171" spans="2:23" ht="30" customHeight="1">
      <c r="B1171" s="1405"/>
      <c r="C1171" s="1408" t="s">
        <v>5733</v>
      </c>
      <c r="D1171" s="1409">
        <v>1</v>
      </c>
      <c r="E1171" s="1409">
        <v>1</v>
      </c>
      <c r="F1171" s="1410">
        <f>4.13</f>
        <v>4.13</v>
      </c>
      <c r="G1171" s="1410">
        <v>0.23</v>
      </c>
      <c r="H1171" s="1475">
        <v>0.45</v>
      </c>
      <c r="I1171" s="1471">
        <f t="shared" si="386"/>
        <v>0.42745499999999997</v>
      </c>
      <c r="L1171" s="1413"/>
      <c r="O1171" s="1395"/>
      <c r="Q1171" s="1394">
        <f>IFERROR(VLOOKUP(M1171,#REF!,3,0),0)</f>
        <v>0</v>
      </c>
      <c r="R1171" s="1394">
        <f t="shared" si="381"/>
        <v>0</v>
      </c>
      <c r="S1171" s="1394">
        <f>IFERROR(VLOOKUP(M1171,#REF!,6,0),0)</f>
        <v>0</v>
      </c>
      <c r="T1171" s="1394">
        <f t="shared" si="382"/>
        <v>0</v>
      </c>
      <c r="U1171" s="1394">
        <f>IFERROR(VLOOKUP(M1171,#REF!,5,0),0)</f>
        <v>0</v>
      </c>
      <c r="V1171" s="1394">
        <f t="shared" si="383"/>
        <v>0</v>
      </c>
      <c r="W1171" s="1394"/>
    </row>
    <row r="1172" spans="2:23" ht="30" customHeight="1">
      <c r="B1172" s="1405"/>
      <c r="C1172" s="1408" t="s">
        <v>5734</v>
      </c>
      <c r="D1172" s="1409">
        <v>1</v>
      </c>
      <c r="E1172" s="1409">
        <v>1</v>
      </c>
      <c r="F1172" s="1410">
        <f>3+2.53+3.26+2.73+4.13</f>
        <v>15.649999999999999</v>
      </c>
      <c r="G1172" s="1410">
        <v>0.23</v>
      </c>
      <c r="H1172" s="1475">
        <v>0.45</v>
      </c>
      <c r="I1172" s="1471">
        <f t="shared" si="386"/>
        <v>1.619775</v>
      </c>
      <c r="L1172" s="1413"/>
      <c r="O1172" s="1395"/>
      <c r="Q1172" s="1394">
        <f>IFERROR(VLOOKUP(M1172,#REF!,3,0),0)</f>
        <v>0</v>
      </c>
      <c r="R1172" s="1394">
        <f t="shared" si="381"/>
        <v>0</v>
      </c>
      <c r="S1172" s="1394">
        <f>IFERROR(VLOOKUP(M1172,#REF!,6,0),0)</f>
        <v>0</v>
      </c>
      <c r="T1172" s="1394">
        <f t="shared" si="382"/>
        <v>0</v>
      </c>
      <c r="U1172" s="1394">
        <f>IFERROR(VLOOKUP(M1172,#REF!,5,0),0)</f>
        <v>0</v>
      </c>
      <c r="V1172" s="1394">
        <f t="shared" si="383"/>
        <v>0</v>
      </c>
      <c r="W1172" s="1394"/>
    </row>
    <row r="1173" spans="2:23" ht="30" customHeight="1">
      <c r="B1173" s="1405"/>
      <c r="C1173" s="1408" t="s">
        <v>5729</v>
      </c>
      <c r="D1173" s="1409">
        <v>1</v>
      </c>
      <c r="E1173" s="1409">
        <v>1</v>
      </c>
      <c r="F1173" s="1410">
        <f>3-0.23</f>
        <v>2.77</v>
      </c>
      <c r="G1173" s="1410">
        <v>0.23</v>
      </c>
      <c r="H1173" s="1411">
        <v>0.38</v>
      </c>
      <c r="I1173" s="1471">
        <f t="shared" ref="I1173" si="387">PRODUCT(D1173:H1173)</f>
        <v>0.24209800000000001</v>
      </c>
      <c r="L1173" s="1413"/>
      <c r="O1173" s="1395"/>
      <c r="Q1173" s="1394">
        <f>IFERROR(VLOOKUP(M1173,#REF!,3,0),0)</f>
        <v>0</v>
      </c>
      <c r="R1173" s="1394">
        <f t="shared" si="381"/>
        <v>0</v>
      </c>
      <c r="S1173" s="1394">
        <f>IFERROR(VLOOKUP(M1173,#REF!,6,0),0)</f>
        <v>0</v>
      </c>
      <c r="T1173" s="1394">
        <f t="shared" si="382"/>
        <v>0</v>
      </c>
      <c r="U1173" s="1394">
        <f>IFERROR(VLOOKUP(M1173,#REF!,5,0),0)</f>
        <v>0</v>
      </c>
      <c r="V1173" s="1394">
        <f t="shared" si="383"/>
        <v>0</v>
      </c>
      <c r="W1173" s="1394"/>
    </row>
    <row r="1174" spans="2:23" ht="30" hidden="1" customHeight="1">
      <c r="B1174" s="1405"/>
      <c r="C1174" s="1408"/>
      <c r="D1174" s="1409"/>
      <c r="E1174" s="1409"/>
      <c r="F1174" s="1410"/>
      <c r="G1174" s="1410"/>
      <c r="H1174" s="1411"/>
      <c r="I1174" s="1471">
        <f t="shared" ref="I1174:I1196" si="388">PRODUCT(D1174:H1174)</f>
        <v>0</v>
      </c>
      <c r="Q1174" s="1394">
        <f>IFERROR(VLOOKUP(M1174,#REF!,3,0),0)</f>
        <v>0</v>
      </c>
      <c r="R1174" s="1394">
        <f t="shared" si="381"/>
        <v>0</v>
      </c>
      <c r="S1174" s="1394">
        <f>IFERROR(VLOOKUP(M1174,#REF!,6,0),0)</f>
        <v>0</v>
      </c>
      <c r="T1174" s="1394">
        <f t="shared" si="382"/>
        <v>0</v>
      </c>
      <c r="U1174" s="1394">
        <f>IFERROR(VLOOKUP(M1174,#REF!,5,0),0)</f>
        <v>0</v>
      </c>
      <c r="V1174" s="1394">
        <f t="shared" si="383"/>
        <v>0</v>
      </c>
      <c r="W1174" s="1394"/>
    </row>
    <row r="1175" spans="2:23" ht="30" hidden="1" customHeight="1">
      <c r="B1175" s="1405"/>
      <c r="C1175" s="1408"/>
      <c r="D1175" s="1409"/>
      <c r="E1175" s="1409"/>
      <c r="F1175" s="1410"/>
      <c r="G1175" s="1410"/>
      <c r="H1175" s="1411"/>
      <c r="I1175" s="1471">
        <f t="shared" si="388"/>
        <v>0</v>
      </c>
      <c r="Q1175" s="1394">
        <f>IFERROR(VLOOKUP(M1175,#REF!,3,0),0)</f>
        <v>0</v>
      </c>
      <c r="R1175" s="1394">
        <f t="shared" si="381"/>
        <v>0</v>
      </c>
      <c r="S1175" s="1394">
        <f>IFERROR(VLOOKUP(M1175,#REF!,6,0),0)</f>
        <v>0</v>
      </c>
      <c r="T1175" s="1394">
        <f t="shared" si="382"/>
        <v>0</v>
      </c>
      <c r="U1175" s="1394">
        <f>IFERROR(VLOOKUP(M1175,#REF!,5,0),0)</f>
        <v>0</v>
      </c>
      <c r="V1175" s="1394">
        <f t="shared" si="383"/>
        <v>0</v>
      </c>
      <c r="W1175" s="1394"/>
    </row>
    <row r="1176" spans="2:23" ht="30" customHeight="1">
      <c r="B1176" s="1405"/>
      <c r="C1176" s="1408"/>
      <c r="D1176" s="1409"/>
      <c r="E1176" s="1409"/>
      <c r="F1176" s="1410"/>
      <c r="G1176" s="1410"/>
      <c r="H1176" s="1411"/>
      <c r="I1176" s="1471">
        <f t="shared" si="388"/>
        <v>0</v>
      </c>
      <c r="Q1176" s="1394">
        <f>IFERROR(VLOOKUP(M1176,#REF!,3,0),0)</f>
        <v>0</v>
      </c>
      <c r="R1176" s="1394">
        <f t="shared" si="381"/>
        <v>0</v>
      </c>
      <c r="S1176" s="1394">
        <f>IFERROR(VLOOKUP(M1176,#REF!,6,0),0)</f>
        <v>0</v>
      </c>
      <c r="T1176" s="1394">
        <f t="shared" si="382"/>
        <v>0</v>
      </c>
      <c r="U1176" s="1394">
        <f>IFERROR(VLOOKUP(M1176,#REF!,5,0),0)</f>
        <v>0</v>
      </c>
      <c r="V1176" s="1394">
        <f t="shared" si="383"/>
        <v>0</v>
      </c>
      <c r="W1176" s="1394"/>
    </row>
    <row r="1177" spans="2:23" ht="30" customHeight="1">
      <c r="B1177" s="1405"/>
      <c r="C1177" s="1415" t="s">
        <v>164</v>
      </c>
      <c r="D1177" s="1409"/>
      <c r="E1177" s="1409"/>
      <c r="F1177" s="1410"/>
      <c r="G1177" s="1410"/>
      <c r="H1177" s="1411"/>
      <c r="I1177" s="1471">
        <f t="shared" si="388"/>
        <v>0</v>
      </c>
      <c r="Q1177" s="1394">
        <f>IFERROR(VLOOKUP(M1177,#REF!,3,0),0)</f>
        <v>0</v>
      </c>
      <c r="R1177" s="1394">
        <f t="shared" si="381"/>
        <v>0</v>
      </c>
      <c r="S1177" s="1394">
        <f>IFERROR(VLOOKUP(M1177,#REF!,6,0),0)</f>
        <v>0</v>
      </c>
      <c r="T1177" s="1394">
        <f t="shared" si="382"/>
        <v>0</v>
      </c>
      <c r="U1177" s="1394">
        <f>IFERROR(VLOOKUP(M1177,#REF!,5,0),0)</f>
        <v>0</v>
      </c>
      <c r="V1177" s="1394">
        <f t="shared" si="383"/>
        <v>0</v>
      </c>
      <c r="W1177" s="1394"/>
    </row>
    <row r="1178" spans="2:23" ht="30" customHeight="1">
      <c r="B1178" s="1405"/>
      <c r="C1178" s="1482" t="s">
        <v>5643</v>
      </c>
      <c r="D1178" s="1409">
        <v>1</v>
      </c>
      <c r="E1178" s="1409">
        <v>1</v>
      </c>
      <c r="F1178" s="1410">
        <v>4</v>
      </c>
      <c r="G1178" s="1410">
        <v>5.0999999999999996</v>
      </c>
      <c r="H1178" s="1410">
        <v>0.125</v>
      </c>
      <c r="I1178" s="1471">
        <f t="shared" si="388"/>
        <v>2.5499999999999998</v>
      </c>
      <c r="Q1178" s="1394">
        <f>IFERROR(VLOOKUP(M1178,#REF!,3,0),0)</f>
        <v>0</v>
      </c>
      <c r="R1178" s="1394">
        <f t="shared" si="381"/>
        <v>0</v>
      </c>
      <c r="S1178" s="1394">
        <f>IFERROR(VLOOKUP(M1178,#REF!,6,0),0)</f>
        <v>0</v>
      </c>
      <c r="T1178" s="1394">
        <f t="shared" si="382"/>
        <v>0</v>
      </c>
      <c r="U1178" s="1394">
        <f>IFERROR(VLOOKUP(M1178,#REF!,5,0),0)</f>
        <v>0</v>
      </c>
      <c r="V1178" s="1394">
        <f t="shared" si="383"/>
        <v>0</v>
      </c>
      <c r="W1178" s="1394"/>
    </row>
    <row r="1179" spans="2:23" ht="30" customHeight="1">
      <c r="B1179" s="1405"/>
      <c r="C1179" s="1482" t="s">
        <v>5751</v>
      </c>
      <c r="D1179" s="1409">
        <v>1</v>
      </c>
      <c r="E1179" s="1409">
        <v>1</v>
      </c>
      <c r="F1179" s="1410">
        <v>4</v>
      </c>
      <c r="G1179" s="1410">
        <v>1.5</v>
      </c>
      <c r="H1179" s="1410">
        <v>0.125</v>
      </c>
      <c r="I1179" s="1471">
        <f t="shared" si="388"/>
        <v>0.75</v>
      </c>
      <c r="Q1179" s="1394">
        <f>IFERROR(VLOOKUP(M1179,#REF!,3,0),0)</f>
        <v>0</v>
      </c>
      <c r="R1179" s="1394">
        <f t="shared" si="381"/>
        <v>0</v>
      </c>
      <c r="S1179" s="1394">
        <f>IFERROR(VLOOKUP(M1179,#REF!,6,0),0)</f>
        <v>0</v>
      </c>
      <c r="T1179" s="1394">
        <f t="shared" si="382"/>
        <v>0</v>
      </c>
      <c r="U1179" s="1394">
        <f>IFERROR(VLOOKUP(M1179,#REF!,5,0),0)</f>
        <v>0</v>
      </c>
      <c r="V1179" s="1394">
        <f t="shared" si="383"/>
        <v>0</v>
      </c>
      <c r="W1179" s="1394"/>
    </row>
    <row r="1180" spans="2:23" ht="30" customHeight="1">
      <c r="B1180" s="1405"/>
      <c r="C1180" s="1482" t="s">
        <v>341</v>
      </c>
      <c r="D1180" s="1409">
        <v>1</v>
      </c>
      <c r="E1180" s="1409">
        <v>1</v>
      </c>
      <c r="F1180" s="1410">
        <v>4</v>
      </c>
      <c r="G1180" s="1410">
        <v>2.5</v>
      </c>
      <c r="H1180" s="1410">
        <v>0.125</v>
      </c>
      <c r="I1180" s="1471">
        <f t="shared" si="388"/>
        <v>1.25</v>
      </c>
      <c r="Q1180" s="1394">
        <f>IFERROR(VLOOKUP(M1180,#REF!,3,0),0)</f>
        <v>0</v>
      </c>
      <c r="R1180" s="1394">
        <f t="shared" si="381"/>
        <v>0</v>
      </c>
      <c r="S1180" s="1394">
        <f>IFERROR(VLOOKUP(M1180,#REF!,6,0),0)</f>
        <v>0</v>
      </c>
      <c r="T1180" s="1394">
        <f t="shared" si="382"/>
        <v>0</v>
      </c>
      <c r="U1180" s="1394">
        <f>IFERROR(VLOOKUP(M1180,#REF!,5,0),0)</f>
        <v>0</v>
      </c>
      <c r="V1180" s="1394">
        <f t="shared" si="383"/>
        <v>0</v>
      </c>
      <c r="W1180" s="1394"/>
    </row>
    <row r="1181" spans="2:23" ht="30" customHeight="1">
      <c r="B1181" s="1405"/>
      <c r="C1181" s="1482" t="s">
        <v>5752</v>
      </c>
      <c r="D1181" s="1409">
        <v>1</v>
      </c>
      <c r="E1181" s="1409">
        <v>1</v>
      </c>
      <c r="F1181" s="1410">
        <v>4</v>
      </c>
      <c r="G1181" s="1410">
        <v>3.9</v>
      </c>
      <c r="H1181" s="1410">
        <v>0.125</v>
      </c>
      <c r="I1181" s="1471">
        <f t="shared" si="388"/>
        <v>1.95</v>
      </c>
      <c r="Q1181" s="1394">
        <f>IFERROR(VLOOKUP(M1181,#REF!,3,0),0)</f>
        <v>0</v>
      </c>
      <c r="R1181" s="1394">
        <f t="shared" si="381"/>
        <v>0</v>
      </c>
      <c r="S1181" s="1394">
        <f>IFERROR(VLOOKUP(M1181,#REF!,6,0),0)</f>
        <v>0</v>
      </c>
      <c r="T1181" s="1394">
        <f t="shared" si="382"/>
        <v>0</v>
      </c>
      <c r="U1181" s="1394">
        <f>IFERROR(VLOOKUP(M1181,#REF!,5,0),0)</f>
        <v>0</v>
      </c>
      <c r="V1181" s="1394">
        <f t="shared" si="383"/>
        <v>0</v>
      </c>
      <c r="W1181" s="1394"/>
    </row>
    <row r="1182" spans="2:23" ht="30" customHeight="1">
      <c r="B1182" s="1405"/>
      <c r="C1182" s="1482" t="s">
        <v>5752</v>
      </c>
      <c r="D1182" s="1409">
        <v>1</v>
      </c>
      <c r="E1182" s="1409">
        <v>1</v>
      </c>
      <c r="F1182" s="1410">
        <v>1.5</v>
      </c>
      <c r="G1182" s="1410">
        <v>3.9</v>
      </c>
      <c r="H1182" s="1410">
        <v>0.125</v>
      </c>
      <c r="I1182" s="1471">
        <f t="shared" si="388"/>
        <v>0.73124999999999996</v>
      </c>
      <c r="Q1182" s="1394">
        <f>IFERROR(VLOOKUP(M1182,#REF!,3,0),0)</f>
        <v>0</v>
      </c>
      <c r="R1182" s="1394">
        <f t="shared" si="381"/>
        <v>0</v>
      </c>
      <c r="S1182" s="1394">
        <f>IFERROR(VLOOKUP(M1182,#REF!,6,0),0)</f>
        <v>0</v>
      </c>
      <c r="T1182" s="1394">
        <f t="shared" si="382"/>
        <v>0</v>
      </c>
      <c r="U1182" s="1394">
        <f>IFERROR(VLOOKUP(M1182,#REF!,5,0),0)</f>
        <v>0</v>
      </c>
      <c r="V1182" s="1394">
        <f t="shared" si="383"/>
        <v>0</v>
      </c>
      <c r="W1182" s="1394"/>
    </row>
    <row r="1183" spans="2:23" ht="30" customHeight="1">
      <c r="B1183" s="1405"/>
      <c r="C1183" s="1482" t="s">
        <v>5752</v>
      </c>
      <c r="D1183" s="1409">
        <v>1</v>
      </c>
      <c r="E1183" s="1409">
        <v>1</v>
      </c>
      <c r="F1183" s="1410">
        <v>3.6949999999999998</v>
      </c>
      <c r="G1183" s="1410">
        <v>3.9</v>
      </c>
      <c r="H1183" s="1410">
        <v>0.125</v>
      </c>
      <c r="I1183" s="1471">
        <f t="shared" si="388"/>
        <v>1.8013124999999999</v>
      </c>
      <c r="Q1183" s="1394">
        <f>IFERROR(VLOOKUP(M1183,#REF!,3,0),0)</f>
        <v>0</v>
      </c>
      <c r="R1183" s="1394">
        <f t="shared" si="381"/>
        <v>0</v>
      </c>
      <c r="S1183" s="1394">
        <f>IFERROR(VLOOKUP(M1183,#REF!,6,0),0)</f>
        <v>0</v>
      </c>
      <c r="T1183" s="1394">
        <f t="shared" si="382"/>
        <v>0</v>
      </c>
      <c r="U1183" s="1394">
        <f>IFERROR(VLOOKUP(M1183,#REF!,5,0),0)</f>
        <v>0</v>
      </c>
      <c r="V1183" s="1394">
        <f t="shared" si="383"/>
        <v>0</v>
      </c>
      <c r="W1183" s="1394"/>
    </row>
    <row r="1184" spans="2:23" ht="30" customHeight="1">
      <c r="B1184" s="1405"/>
      <c r="C1184" s="1482" t="s">
        <v>5643</v>
      </c>
      <c r="D1184" s="1409">
        <v>1</v>
      </c>
      <c r="E1184" s="1409">
        <v>1</v>
      </c>
      <c r="F1184" s="1410">
        <v>2.5</v>
      </c>
      <c r="G1184" s="1410">
        <v>3.9</v>
      </c>
      <c r="H1184" s="1410">
        <v>0.125</v>
      </c>
      <c r="I1184" s="1471">
        <f t="shared" si="388"/>
        <v>1.21875</v>
      </c>
      <c r="Q1184" s="1394">
        <f>IFERROR(VLOOKUP(M1184,#REF!,3,0),0)</f>
        <v>0</v>
      </c>
      <c r="R1184" s="1394">
        <f t="shared" si="381"/>
        <v>0</v>
      </c>
      <c r="S1184" s="1394">
        <f>IFERROR(VLOOKUP(M1184,#REF!,6,0),0)</f>
        <v>0</v>
      </c>
      <c r="T1184" s="1394">
        <f t="shared" si="382"/>
        <v>0</v>
      </c>
      <c r="U1184" s="1394">
        <f>IFERROR(VLOOKUP(M1184,#REF!,5,0),0)</f>
        <v>0</v>
      </c>
      <c r="V1184" s="1394">
        <f t="shared" si="383"/>
        <v>0</v>
      </c>
      <c r="W1184" s="1394"/>
    </row>
    <row r="1185" spans="1:26" ht="30" customHeight="1">
      <c r="B1185" s="1405"/>
      <c r="C1185" s="1482" t="s">
        <v>5643</v>
      </c>
      <c r="D1185" s="1409">
        <v>1</v>
      </c>
      <c r="E1185" s="1409">
        <v>1</v>
      </c>
      <c r="F1185" s="1410">
        <v>1.7350000000000001</v>
      </c>
      <c r="G1185" s="1410">
        <v>2.3199999999999998</v>
      </c>
      <c r="H1185" s="1410">
        <v>0.125</v>
      </c>
      <c r="I1185" s="1471">
        <f t="shared" si="388"/>
        <v>0.50314999999999999</v>
      </c>
      <c r="Q1185" s="1394">
        <f>IFERROR(VLOOKUP(M1185,#REF!,3,0),0)</f>
        <v>0</v>
      </c>
      <c r="R1185" s="1394">
        <f t="shared" si="381"/>
        <v>0</v>
      </c>
      <c r="S1185" s="1394">
        <f>IFERROR(VLOOKUP(M1185,#REF!,6,0),0)</f>
        <v>0</v>
      </c>
      <c r="T1185" s="1394">
        <f t="shared" si="382"/>
        <v>0</v>
      </c>
      <c r="U1185" s="1394">
        <f>IFERROR(VLOOKUP(M1185,#REF!,5,0),0)</f>
        <v>0</v>
      </c>
      <c r="V1185" s="1394">
        <f t="shared" si="383"/>
        <v>0</v>
      </c>
      <c r="W1185" s="1394"/>
    </row>
    <row r="1186" spans="1:26" ht="30" customHeight="1">
      <c r="B1186" s="1405"/>
      <c r="C1186" s="1482" t="s">
        <v>5751</v>
      </c>
      <c r="D1186" s="1409">
        <v>1</v>
      </c>
      <c r="E1186" s="1409">
        <v>1</v>
      </c>
      <c r="F1186" s="1410">
        <v>1.7350000000000001</v>
      </c>
      <c r="G1186" s="1410">
        <v>1.35</v>
      </c>
      <c r="H1186" s="1410">
        <v>0.125</v>
      </c>
      <c r="I1186" s="1471">
        <f t="shared" si="388"/>
        <v>0.29278125000000005</v>
      </c>
      <c r="Q1186" s="1394">
        <f>IFERROR(VLOOKUP(M1186,#REF!,3,0),0)</f>
        <v>0</v>
      </c>
      <c r="R1186" s="1394">
        <f t="shared" si="381"/>
        <v>0</v>
      </c>
      <c r="S1186" s="1394">
        <f>IFERROR(VLOOKUP(M1186,#REF!,6,0),0)</f>
        <v>0</v>
      </c>
      <c r="T1186" s="1394">
        <f t="shared" si="382"/>
        <v>0</v>
      </c>
      <c r="U1186" s="1394">
        <f>IFERROR(VLOOKUP(M1186,#REF!,5,0),0)</f>
        <v>0</v>
      </c>
      <c r="V1186" s="1394">
        <f t="shared" si="383"/>
        <v>0</v>
      </c>
      <c r="W1186" s="1394"/>
    </row>
    <row r="1187" spans="1:26" ht="30" customHeight="1">
      <c r="B1187" s="1405"/>
      <c r="C1187" s="1482" t="s">
        <v>5751</v>
      </c>
      <c r="D1187" s="1409">
        <v>1</v>
      </c>
      <c r="E1187" s="1409">
        <v>1</v>
      </c>
      <c r="F1187" s="1410">
        <v>3.7650000000000001</v>
      </c>
      <c r="G1187" s="1410">
        <v>2.4350000000000001</v>
      </c>
      <c r="H1187" s="1410">
        <v>0.125</v>
      </c>
      <c r="I1187" s="1471">
        <f t="shared" si="388"/>
        <v>1.1459718750000001</v>
      </c>
      <c r="Q1187" s="1394">
        <f>IFERROR(VLOOKUP(M1187,#REF!,3,0),0)</f>
        <v>0</v>
      </c>
      <c r="R1187" s="1394">
        <f t="shared" si="381"/>
        <v>0</v>
      </c>
      <c r="S1187" s="1394">
        <f>IFERROR(VLOOKUP(M1187,#REF!,6,0),0)</f>
        <v>0</v>
      </c>
      <c r="T1187" s="1394">
        <f t="shared" si="382"/>
        <v>0</v>
      </c>
      <c r="U1187" s="1394">
        <f>IFERROR(VLOOKUP(M1187,#REF!,5,0),0)</f>
        <v>0</v>
      </c>
      <c r="V1187" s="1394">
        <f t="shared" si="383"/>
        <v>0</v>
      </c>
      <c r="W1187" s="1394"/>
    </row>
    <row r="1188" spans="1:26" ht="30" customHeight="1">
      <c r="B1188" s="1405"/>
      <c r="C1188" s="1482" t="s">
        <v>5753</v>
      </c>
      <c r="D1188" s="1409">
        <v>1</v>
      </c>
      <c r="E1188" s="1409">
        <v>1</v>
      </c>
      <c r="F1188" s="1410">
        <v>1.1299999999999999</v>
      </c>
      <c r="G1188" s="1410">
        <v>2.5</v>
      </c>
      <c r="H1188" s="1410">
        <v>0.125</v>
      </c>
      <c r="I1188" s="1471">
        <f t="shared" si="388"/>
        <v>0.35312499999999997</v>
      </c>
      <c r="Q1188" s="1394">
        <f>IFERROR(VLOOKUP(M1188,#REF!,3,0),0)</f>
        <v>0</v>
      </c>
      <c r="R1188" s="1394">
        <f t="shared" si="381"/>
        <v>0</v>
      </c>
      <c r="S1188" s="1394">
        <f>IFERROR(VLOOKUP(M1188,#REF!,6,0),0)</f>
        <v>0</v>
      </c>
      <c r="T1188" s="1394">
        <f t="shared" si="382"/>
        <v>0</v>
      </c>
      <c r="U1188" s="1394">
        <f>IFERROR(VLOOKUP(M1188,#REF!,5,0),0)</f>
        <v>0</v>
      </c>
      <c r="V1188" s="1394">
        <f t="shared" si="383"/>
        <v>0</v>
      </c>
      <c r="W1188" s="1394"/>
    </row>
    <row r="1189" spans="1:26" ht="30" customHeight="1">
      <c r="B1189" s="1405"/>
      <c r="C1189" s="1482" t="s">
        <v>5746</v>
      </c>
      <c r="D1189" s="1409">
        <v>1</v>
      </c>
      <c r="E1189" s="1409">
        <v>1</v>
      </c>
      <c r="F1189" s="1410">
        <v>4</v>
      </c>
      <c r="G1189" s="1410">
        <v>5.0999999999999996</v>
      </c>
      <c r="H1189" s="1410">
        <v>0.125</v>
      </c>
      <c r="I1189" s="1471">
        <f t="shared" si="388"/>
        <v>2.5499999999999998</v>
      </c>
      <c r="Q1189" s="1394">
        <f>IFERROR(VLOOKUP(M1189,#REF!,3,0),0)</f>
        <v>0</v>
      </c>
      <c r="R1189" s="1394">
        <f t="shared" si="381"/>
        <v>0</v>
      </c>
      <c r="S1189" s="1394">
        <f>IFERROR(VLOOKUP(M1189,#REF!,6,0),0)</f>
        <v>0</v>
      </c>
      <c r="T1189" s="1394">
        <f t="shared" si="382"/>
        <v>0</v>
      </c>
      <c r="U1189" s="1394">
        <f>IFERROR(VLOOKUP(M1189,#REF!,5,0),0)</f>
        <v>0</v>
      </c>
      <c r="V1189" s="1394">
        <f t="shared" si="383"/>
        <v>0</v>
      </c>
      <c r="W1189" s="1394"/>
    </row>
    <row r="1190" spans="1:26" ht="30" customHeight="1">
      <c r="B1190" s="1405"/>
      <c r="C1190" s="1482" t="s">
        <v>5747</v>
      </c>
      <c r="D1190" s="1409">
        <v>1</v>
      </c>
      <c r="E1190" s="1409">
        <v>1</v>
      </c>
      <c r="F1190" s="1410">
        <v>4</v>
      </c>
      <c r="G1190" s="1410">
        <v>1.5</v>
      </c>
      <c r="H1190" s="1410">
        <v>0.125</v>
      </c>
      <c r="I1190" s="1471">
        <f t="shared" si="388"/>
        <v>0.75</v>
      </c>
      <c r="Q1190" s="1394">
        <f>IFERROR(VLOOKUP(M1190,#REF!,3,0),0)</f>
        <v>0</v>
      </c>
      <c r="R1190" s="1394">
        <f t="shared" si="381"/>
        <v>0</v>
      </c>
      <c r="S1190" s="1394">
        <f>IFERROR(VLOOKUP(M1190,#REF!,6,0),0)</f>
        <v>0</v>
      </c>
      <c r="T1190" s="1394">
        <f t="shared" si="382"/>
        <v>0</v>
      </c>
      <c r="U1190" s="1394">
        <f>IFERROR(VLOOKUP(M1190,#REF!,5,0),0)</f>
        <v>0</v>
      </c>
      <c r="V1190" s="1394">
        <f t="shared" si="383"/>
        <v>0</v>
      </c>
      <c r="W1190" s="1394"/>
    </row>
    <row r="1191" spans="1:26" ht="30" customHeight="1">
      <c r="B1191" s="1405"/>
      <c r="C1191" s="1482" t="s">
        <v>5593</v>
      </c>
      <c r="D1191" s="1409">
        <v>1</v>
      </c>
      <c r="E1191" s="1409">
        <v>1</v>
      </c>
      <c r="F1191" s="1410">
        <v>3</v>
      </c>
      <c r="G1191" s="1410">
        <v>5.3</v>
      </c>
      <c r="H1191" s="1410">
        <v>0.125</v>
      </c>
      <c r="I1191" s="1471">
        <f t="shared" si="388"/>
        <v>1.9874999999999998</v>
      </c>
      <c r="Q1191" s="1394">
        <f>IFERROR(VLOOKUP(M1191,#REF!,3,0),0)</f>
        <v>0</v>
      </c>
      <c r="R1191" s="1394">
        <f t="shared" si="381"/>
        <v>0</v>
      </c>
      <c r="S1191" s="1394">
        <f>IFERROR(VLOOKUP(M1191,#REF!,6,0),0)</f>
        <v>0</v>
      </c>
      <c r="T1191" s="1394">
        <f t="shared" si="382"/>
        <v>0</v>
      </c>
      <c r="U1191" s="1394">
        <f>IFERROR(VLOOKUP(M1191,#REF!,5,0),0)</f>
        <v>0</v>
      </c>
      <c r="V1191" s="1394">
        <f t="shared" si="383"/>
        <v>0</v>
      </c>
      <c r="W1191" s="1394"/>
    </row>
    <row r="1192" spans="1:26" ht="30" customHeight="1">
      <c r="B1192" s="1405"/>
      <c r="C1192" s="1482" t="s">
        <v>5748</v>
      </c>
      <c r="D1192" s="1409">
        <v>1</v>
      </c>
      <c r="E1192" s="1409">
        <v>1</v>
      </c>
      <c r="F1192" s="1410">
        <v>2.5249999999999999</v>
      </c>
      <c r="G1192" s="1410">
        <v>2.77</v>
      </c>
      <c r="H1192" s="1410">
        <v>0.125</v>
      </c>
      <c r="I1192" s="1471">
        <f t="shared" si="388"/>
        <v>0.87428125000000001</v>
      </c>
      <c r="Q1192" s="1394">
        <f>IFERROR(VLOOKUP(M1192,#REF!,3,0),0)</f>
        <v>0</v>
      </c>
      <c r="R1192" s="1394">
        <f t="shared" si="381"/>
        <v>0</v>
      </c>
      <c r="S1192" s="1394">
        <f>IFERROR(VLOOKUP(M1192,#REF!,6,0),0)</f>
        <v>0</v>
      </c>
      <c r="T1192" s="1394">
        <f t="shared" si="382"/>
        <v>0</v>
      </c>
      <c r="U1192" s="1394">
        <f>IFERROR(VLOOKUP(M1192,#REF!,5,0),0)</f>
        <v>0</v>
      </c>
      <c r="V1192" s="1394">
        <f t="shared" si="383"/>
        <v>0</v>
      </c>
      <c r="W1192" s="1394"/>
    </row>
    <row r="1193" spans="1:26" ht="30" customHeight="1">
      <c r="B1193" s="1405"/>
      <c r="C1193" s="1482" t="s">
        <v>5748</v>
      </c>
      <c r="D1193" s="1409">
        <v>1</v>
      </c>
      <c r="E1193" s="1409">
        <v>1</v>
      </c>
      <c r="F1193" s="1410">
        <v>4.3250000000000002</v>
      </c>
      <c r="G1193" s="1410">
        <v>2.2999999999999998</v>
      </c>
      <c r="H1193" s="1410">
        <v>0.125</v>
      </c>
      <c r="I1193" s="1471">
        <f t="shared" si="388"/>
        <v>1.2434375</v>
      </c>
      <c r="Q1193" s="1394">
        <f>IFERROR(VLOOKUP(M1193,#REF!,3,0),0)</f>
        <v>0</v>
      </c>
      <c r="R1193" s="1394">
        <f t="shared" si="381"/>
        <v>0</v>
      </c>
      <c r="S1193" s="1394">
        <f>IFERROR(VLOOKUP(M1193,#REF!,6,0),0)</f>
        <v>0</v>
      </c>
      <c r="T1193" s="1394">
        <f t="shared" si="382"/>
        <v>0</v>
      </c>
      <c r="U1193" s="1394">
        <f>IFERROR(VLOOKUP(M1193,#REF!,5,0),0)</f>
        <v>0</v>
      </c>
      <c r="V1193" s="1394">
        <f t="shared" si="383"/>
        <v>0</v>
      </c>
      <c r="W1193" s="1394"/>
    </row>
    <row r="1194" spans="1:26" ht="30" customHeight="1">
      <c r="B1194" s="1405"/>
      <c r="C1194" s="1408" t="s">
        <v>5753</v>
      </c>
      <c r="D1194" s="1409">
        <v>1</v>
      </c>
      <c r="E1194" s="1409">
        <v>1</v>
      </c>
      <c r="F1194" s="1410">
        <v>2.1</v>
      </c>
      <c r="G1194" s="1410">
        <v>5.76</v>
      </c>
      <c r="H1194" s="1410">
        <v>0.125</v>
      </c>
      <c r="I1194" s="1471">
        <f t="shared" si="388"/>
        <v>1.512</v>
      </c>
      <c r="O1194" s="1395"/>
      <c r="Q1194" s="1394">
        <f>IFERROR(VLOOKUP(M1194,#REF!,3,0),0)</f>
        <v>0</v>
      </c>
      <c r="R1194" s="1394">
        <f t="shared" si="381"/>
        <v>0</v>
      </c>
      <c r="S1194" s="1394">
        <f>IFERROR(VLOOKUP(M1194,#REF!,6,0),0)</f>
        <v>0</v>
      </c>
      <c r="T1194" s="1394">
        <f t="shared" si="382"/>
        <v>0</v>
      </c>
      <c r="U1194" s="1394">
        <f>IFERROR(VLOOKUP(M1194,#REF!,5,0),0)</f>
        <v>0</v>
      </c>
      <c r="V1194" s="1394">
        <f t="shared" si="383"/>
        <v>0</v>
      </c>
      <c r="W1194" s="1394"/>
    </row>
    <row r="1195" spans="1:26" ht="30" customHeight="1">
      <c r="B1195" s="1405"/>
      <c r="C1195" s="1408" t="s">
        <v>5753</v>
      </c>
      <c r="D1195" s="1409">
        <v>1</v>
      </c>
      <c r="E1195" s="1409">
        <v>1</v>
      </c>
      <c r="F1195" s="1410">
        <v>4.3250000000000002</v>
      </c>
      <c r="G1195" s="1410">
        <v>5.76</v>
      </c>
      <c r="H1195" s="1410">
        <v>0.125</v>
      </c>
      <c r="I1195" s="1471">
        <f t="shared" si="388"/>
        <v>3.1139999999999999</v>
      </c>
      <c r="O1195" s="1395"/>
      <c r="Q1195" s="1394">
        <f>IFERROR(VLOOKUP(M1195,#REF!,3,0),0)</f>
        <v>0</v>
      </c>
      <c r="R1195" s="1394">
        <f t="shared" si="381"/>
        <v>0</v>
      </c>
      <c r="S1195" s="1394">
        <f>IFERROR(VLOOKUP(M1195,#REF!,6,0),0)</f>
        <v>0</v>
      </c>
      <c r="T1195" s="1394">
        <f t="shared" si="382"/>
        <v>0</v>
      </c>
      <c r="U1195" s="1394">
        <f>IFERROR(VLOOKUP(M1195,#REF!,5,0),0)</f>
        <v>0</v>
      </c>
      <c r="V1195" s="1394">
        <f t="shared" si="383"/>
        <v>0</v>
      </c>
      <c r="W1195" s="1394"/>
    </row>
    <row r="1196" spans="1:26" ht="30" customHeight="1">
      <c r="B1196" s="1405"/>
      <c r="C1196" s="1408" t="s">
        <v>5753</v>
      </c>
      <c r="D1196" s="1409">
        <v>1</v>
      </c>
      <c r="E1196" s="1409">
        <v>1</v>
      </c>
      <c r="F1196" s="1410">
        <v>3</v>
      </c>
      <c r="G1196" s="1410">
        <v>5.76</v>
      </c>
      <c r="H1196" s="1410">
        <v>0.125</v>
      </c>
      <c r="I1196" s="1471">
        <f t="shared" si="388"/>
        <v>2.16</v>
      </c>
      <c r="O1196" s="1395"/>
      <c r="Q1196" s="1394">
        <f>IFERROR(VLOOKUP(M1196,#REF!,3,0),0)</f>
        <v>0</v>
      </c>
      <c r="R1196" s="1394">
        <f t="shared" si="381"/>
        <v>0</v>
      </c>
      <c r="S1196" s="1394">
        <f>IFERROR(VLOOKUP(M1196,#REF!,6,0),0)</f>
        <v>0</v>
      </c>
      <c r="T1196" s="1394">
        <f t="shared" si="382"/>
        <v>0</v>
      </c>
      <c r="U1196" s="1394">
        <f>IFERROR(VLOOKUP(M1196,#REF!,5,0),0)</f>
        <v>0</v>
      </c>
      <c r="V1196" s="1394">
        <f t="shared" si="383"/>
        <v>0</v>
      </c>
      <c r="W1196" s="1394"/>
    </row>
    <row r="1197" spans="1:26" ht="30" customHeight="1">
      <c r="B1197" s="1407"/>
      <c r="C1197" s="1455"/>
      <c r="D1197" s="103"/>
      <c r="E1197" s="103"/>
      <c r="F1197" s="1413"/>
      <c r="G1197" s="1413"/>
      <c r="H1197" s="1414"/>
      <c r="I1197" s="1406">
        <f>J1198-J1197</f>
        <v>5.0205624999989595E-2</v>
      </c>
      <c r="J1197" s="1489">
        <f>SUM('Main Building Details'!I1054:I1196)</f>
        <v>64.049794375000005</v>
      </c>
      <c r="K1197" s="1397"/>
      <c r="Q1197" s="1394">
        <f>IFERROR(VLOOKUP(M1197,#REF!,3,0),0)</f>
        <v>0</v>
      </c>
      <c r="R1197" s="1394">
        <f t="shared" si="381"/>
        <v>0</v>
      </c>
      <c r="S1197" s="1394">
        <f>IFERROR(VLOOKUP(M1197,#REF!,6,0),0)</f>
        <v>0</v>
      </c>
      <c r="T1197" s="1394">
        <f t="shared" si="382"/>
        <v>0</v>
      </c>
      <c r="U1197" s="1394">
        <f>IFERROR(VLOOKUP(M1197,#REF!,5,0),0)</f>
        <v>0</v>
      </c>
      <c r="V1197" s="1394">
        <f t="shared" si="383"/>
        <v>0</v>
      </c>
      <c r="W1197" s="1394"/>
    </row>
    <row r="1198" spans="1:26" ht="30" customHeight="1">
      <c r="B1198" s="1407"/>
      <c r="C1198" s="1455"/>
      <c r="D1198" s="103"/>
      <c r="E1198" s="103"/>
      <c r="F1198" s="1413"/>
      <c r="G1198" s="1413"/>
      <c r="H1198" s="1414"/>
      <c r="I1198" s="1479">
        <f>SUM(I1055:I1197)</f>
        <v>64.099999999999994</v>
      </c>
      <c r="J1198" s="1394">
        <f>ROUNDUP(J1197,1)</f>
        <v>64.099999999999994</v>
      </c>
      <c r="K1198" s="1394"/>
      <c r="Q1198" s="1394">
        <f>IFERROR(VLOOKUP(M1198,#REF!,3,0),0)</f>
        <v>0</v>
      </c>
      <c r="R1198" s="1394">
        <f t="shared" ref="R1198:R1261" si="389">ROUND(O1198,2)*ROUND(Q1198,2)</f>
        <v>0</v>
      </c>
      <c r="S1198" s="1394">
        <f>IFERROR(VLOOKUP(M1198,#REF!,6,0),0)</f>
        <v>0</v>
      </c>
      <c r="T1198" s="1394">
        <f t="shared" ref="T1198:T1261" si="390">R1198-S1198</f>
        <v>0</v>
      </c>
      <c r="U1198" s="1394">
        <f>IFERROR(VLOOKUP(M1198,#REF!,5,0),0)</f>
        <v>0</v>
      </c>
      <c r="V1198" s="1394">
        <f t="shared" ref="V1198:V1261" si="391">O1198-U1198</f>
        <v>0</v>
      </c>
      <c r="W1198" s="1394"/>
    </row>
    <row r="1199" spans="1:26" ht="30" customHeight="1">
      <c r="B1199" s="1407"/>
      <c r="C1199" s="1455"/>
      <c r="D1199" s="103"/>
      <c r="E1199" s="103"/>
      <c r="F1199" s="1413"/>
      <c r="G1199" s="1483" t="s">
        <v>11</v>
      </c>
      <c r="H1199" s="1478">
        <f>I1198</f>
        <v>64.099999999999994</v>
      </c>
      <c r="I1199" s="1479" t="s">
        <v>19</v>
      </c>
      <c r="M1199" s="1426" t="str">
        <f>A1054</f>
        <v>e. In Third floor Standardised concrete Mix M20 Grade Concrete</v>
      </c>
      <c r="N1199" s="1394">
        <f>B1054</f>
        <v>0</v>
      </c>
      <c r="O1199" s="1394">
        <f>H1199</f>
        <v>64.099999999999994</v>
      </c>
      <c r="P1199" s="1394" t="str">
        <f>I1199</f>
        <v>Cum</v>
      </c>
      <c r="Q1199" s="1394">
        <f>IFERROR(VLOOKUP(M1199,#REF!,3,0),0)</f>
        <v>0</v>
      </c>
      <c r="R1199" s="1394">
        <f t="shared" si="389"/>
        <v>0</v>
      </c>
      <c r="S1199" s="1394">
        <f>IFERROR(VLOOKUP(M1199,#REF!,6,0),0)</f>
        <v>0</v>
      </c>
      <c r="T1199" s="1394">
        <f t="shared" si="390"/>
        <v>0</v>
      </c>
      <c r="U1199" s="1394">
        <f>IFERROR(VLOOKUP(M1199,#REF!,5,0),0)</f>
        <v>0</v>
      </c>
      <c r="V1199" s="1394">
        <f t="shared" si="391"/>
        <v>64.099999999999994</v>
      </c>
      <c r="W1199" s="1394"/>
      <c r="Z1199" s="1394"/>
    </row>
    <row r="1200" spans="1:26" ht="30" customHeight="1">
      <c r="A1200" s="1481" t="s">
        <v>994</v>
      </c>
      <c r="B1200" s="1407"/>
      <c r="C1200" s="1678" t="e">
        <f>VLOOKUP(A1200,#REF!,2,0)</f>
        <v>#REF!</v>
      </c>
      <c r="D1200" s="1678"/>
      <c r="E1200" s="1678"/>
      <c r="F1200" s="1678"/>
      <c r="G1200" s="1678"/>
      <c r="H1200" s="1678"/>
      <c r="I1200" s="1406"/>
      <c r="Q1200" s="1394">
        <f>IFERROR(VLOOKUP(M1200,#REF!,3,0),0)</f>
        <v>0</v>
      </c>
      <c r="R1200" s="1394">
        <f t="shared" si="389"/>
        <v>0</v>
      </c>
      <c r="S1200" s="1394">
        <f>IFERROR(VLOOKUP(M1200,#REF!,6,0),0)</f>
        <v>0</v>
      </c>
      <c r="T1200" s="1394">
        <f t="shared" si="390"/>
        <v>0</v>
      </c>
      <c r="U1200" s="1394">
        <f>IFERROR(VLOOKUP(M1200,#REF!,5,0),0)</f>
        <v>0</v>
      </c>
      <c r="V1200" s="1394">
        <f t="shared" si="391"/>
        <v>0</v>
      </c>
      <c r="W1200" s="1394"/>
      <c r="X1200" s="1397"/>
    </row>
    <row r="1201" spans="2:23" ht="30" customHeight="1">
      <c r="B1201" s="1407"/>
      <c r="C1201" s="1415" t="str">
        <f>'det -detail'!B233</f>
        <v>Column raising up to Roof in 4th Floor</v>
      </c>
      <c r="D1201" s="1409"/>
      <c r="E1201" s="1409"/>
      <c r="F1201" s="1410"/>
      <c r="G1201" s="1410"/>
      <c r="H1201" s="1411"/>
      <c r="I1201" s="1471"/>
      <c r="Q1201" s="1394">
        <f>IFERROR(VLOOKUP(M1201,#REF!,3,0),0)</f>
        <v>0</v>
      </c>
      <c r="R1201" s="1394">
        <f t="shared" si="389"/>
        <v>0</v>
      </c>
      <c r="S1201" s="1394">
        <f>IFERROR(VLOOKUP(M1201,#REF!,6,0),0)</f>
        <v>0</v>
      </c>
      <c r="T1201" s="1394">
        <f t="shared" si="390"/>
        <v>0</v>
      </c>
      <c r="U1201" s="1394">
        <f>IFERROR(VLOOKUP(M1201,#REF!,5,0),0)</f>
        <v>0</v>
      </c>
      <c r="V1201" s="1394">
        <f t="shared" si="391"/>
        <v>0</v>
      </c>
      <c r="W1201" s="1394"/>
    </row>
    <row r="1202" spans="2:23" ht="30" customHeight="1">
      <c r="B1202" s="1405"/>
      <c r="C1202" s="1408" t="str">
        <f>'det -detail'!B235</f>
        <v>For C2</v>
      </c>
      <c r="D1202" s="1409">
        <f>'det -detail'!E235</f>
        <v>2</v>
      </c>
      <c r="E1202" s="1409">
        <f>'det -detail'!F235</f>
        <v>1</v>
      </c>
      <c r="F1202" s="1410">
        <f>'det -detail'!G235</f>
        <v>0.23</v>
      </c>
      <c r="G1202" s="1410">
        <f>'det -detail'!H235</f>
        <v>0.38</v>
      </c>
      <c r="H1202" s="1411">
        <f>'det -detail'!I235</f>
        <v>2.37</v>
      </c>
      <c r="I1202" s="1471">
        <f>PRODUCT(D1202:H1202)</f>
        <v>0.41427600000000003</v>
      </c>
      <c r="M1202" s="110"/>
      <c r="Q1202" s="1394">
        <f>IFERROR(VLOOKUP(M1202,#REF!,3,0),0)</f>
        <v>0</v>
      </c>
      <c r="R1202" s="1394">
        <f t="shared" si="389"/>
        <v>0</v>
      </c>
      <c r="S1202" s="1394">
        <f>IFERROR(VLOOKUP(M1202,#REF!,6,0),0)</f>
        <v>0</v>
      </c>
      <c r="T1202" s="1394">
        <f t="shared" si="390"/>
        <v>0</v>
      </c>
      <c r="U1202" s="1394">
        <f>IFERROR(VLOOKUP(M1202,#REF!,5,0),0)</f>
        <v>0</v>
      </c>
      <c r="V1202" s="1394">
        <f t="shared" si="391"/>
        <v>0</v>
      </c>
      <c r="W1202" s="1394"/>
    </row>
    <row r="1203" spans="2:23" ht="30" customHeight="1">
      <c r="B1203" s="1405"/>
      <c r="C1203" s="1408" t="str">
        <f>'det -detail'!B236</f>
        <v>For C3</v>
      </c>
      <c r="D1203" s="1409">
        <f>'det -detail'!E236</f>
        <v>3</v>
      </c>
      <c r="E1203" s="1409">
        <f>'det -detail'!F236</f>
        <v>1</v>
      </c>
      <c r="F1203" s="1410">
        <f>'det -detail'!G236</f>
        <v>0.23</v>
      </c>
      <c r="G1203" s="1410">
        <f>'det -detail'!H236</f>
        <v>0.45</v>
      </c>
      <c r="H1203" s="1411">
        <f>'det -detail'!I236</f>
        <v>2.37</v>
      </c>
      <c r="I1203" s="1471">
        <f t="shared" ref="I1203:I1208" si="392">PRODUCT(D1203:H1203)</f>
        <v>0.73588500000000012</v>
      </c>
      <c r="M1203" s="110"/>
      <c r="Q1203" s="1394">
        <f>IFERROR(VLOOKUP(M1203,#REF!,3,0),0)</f>
        <v>0</v>
      </c>
      <c r="R1203" s="1394">
        <f t="shared" si="389"/>
        <v>0</v>
      </c>
      <c r="S1203" s="1394">
        <f>IFERROR(VLOOKUP(M1203,#REF!,6,0),0)</f>
        <v>0</v>
      </c>
      <c r="T1203" s="1394">
        <f t="shared" si="390"/>
        <v>0</v>
      </c>
      <c r="U1203" s="1394">
        <f>IFERROR(VLOOKUP(M1203,#REF!,5,0),0)</f>
        <v>0</v>
      </c>
      <c r="V1203" s="1394">
        <f t="shared" si="391"/>
        <v>0</v>
      </c>
      <c r="W1203" s="1394"/>
    </row>
    <row r="1204" spans="2:23" ht="30" customHeight="1">
      <c r="B1204" s="1405"/>
      <c r="C1204" s="1408" t="str">
        <f>'det -detail'!B237</f>
        <v>For C4</v>
      </c>
      <c r="D1204" s="1409">
        <f>'det -detail'!E237</f>
        <v>3</v>
      </c>
      <c r="E1204" s="1409">
        <f>'det -detail'!F237</f>
        <v>1</v>
      </c>
      <c r="F1204" s="1410">
        <f>'det -detail'!G237</f>
        <v>0.3</v>
      </c>
      <c r="G1204" s="1410">
        <f>'det -detail'!H237</f>
        <v>0.45</v>
      </c>
      <c r="H1204" s="1411">
        <f>'det -detail'!I237</f>
        <v>2.37</v>
      </c>
      <c r="I1204" s="1471">
        <f t="shared" si="392"/>
        <v>0.95984999999999998</v>
      </c>
      <c r="M1204" s="110"/>
      <c r="Q1204" s="1394">
        <f>IFERROR(VLOOKUP(M1204,#REF!,3,0),0)</f>
        <v>0</v>
      </c>
      <c r="R1204" s="1394">
        <f t="shared" si="389"/>
        <v>0</v>
      </c>
      <c r="S1204" s="1394">
        <f>IFERROR(VLOOKUP(M1204,#REF!,6,0),0)</f>
        <v>0</v>
      </c>
      <c r="T1204" s="1394">
        <f t="shared" si="390"/>
        <v>0</v>
      </c>
      <c r="U1204" s="1394">
        <f>IFERROR(VLOOKUP(M1204,#REF!,5,0),0)</f>
        <v>0</v>
      </c>
      <c r="V1204" s="1394">
        <f t="shared" si="391"/>
        <v>0</v>
      </c>
      <c r="W1204" s="1394"/>
    </row>
    <row r="1205" spans="2:23" ht="30" customHeight="1">
      <c r="B1205" s="1407"/>
      <c r="C1205" s="1415" t="s">
        <v>246</v>
      </c>
      <c r="D1205" s="1409"/>
      <c r="E1205" s="1409"/>
      <c r="F1205" s="1410"/>
      <c r="G1205" s="1410"/>
      <c r="H1205" s="1411"/>
      <c r="I1205" s="1471">
        <f t="shared" si="392"/>
        <v>0</v>
      </c>
      <c r="M1205" s="110"/>
      <c r="Q1205" s="1394">
        <f>IFERROR(VLOOKUP(M1205,#REF!,3,0),0)</f>
        <v>0</v>
      </c>
      <c r="R1205" s="1394">
        <f t="shared" si="389"/>
        <v>0</v>
      </c>
      <c r="S1205" s="1394">
        <f>IFERROR(VLOOKUP(M1205,#REF!,6,0),0)</f>
        <v>0</v>
      </c>
      <c r="T1205" s="1394">
        <f t="shared" si="390"/>
        <v>0</v>
      </c>
      <c r="U1205" s="1394">
        <f>IFERROR(VLOOKUP(M1205,#REF!,5,0),0)</f>
        <v>0</v>
      </c>
      <c r="V1205" s="1394">
        <f t="shared" si="391"/>
        <v>0</v>
      </c>
      <c r="W1205" s="1394"/>
    </row>
    <row r="1206" spans="2:23" ht="30" customHeight="1">
      <c r="B1206" s="1405"/>
      <c r="C1206" s="1408" t="str">
        <f t="shared" ref="C1206:C1208" si="393">C1202</f>
        <v>For C2</v>
      </c>
      <c r="D1206" s="1409">
        <f>'det -detail'!E225-'Main Building Details'!D1202</f>
        <v>9</v>
      </c>
      <c r="E1206" s="1409">
        <f t="shared" ref="E1206:G1208" si="394">E1202</f>
        <v>1</v>
      </c>
      <c r="F1206" s="1410">
        <f t="shared" si="394"/>
        <v>0.23</v>
      </c>
      <c r="G1206" s="1410">
        <f t="shared" si="394"/>
        <v>0.38</v>
      </c>
      <c r="H1206" s="1411">
        <v>1.2</v>
      </c>
      <c r="I1206" s="1471">
        <f>PRODUCT(D1206:H1206)</f>
        <v>0.94392000000000009</v>
      </c>
      <c r="M1206" s="110"/>
      <c r="Q1206" s="1394">
        <f>IFERROR(VLOOKUP(M1206,#REF!,3,0),0)</f>
        <v>0</v>
      </c>
      <c r="R1206" s="1394">
        <f t="shared" si="389"/>
        <v>0</v>
      </c>
      <c r="S1206" s="1394">
        <f>IFERROR(VLOOKUP(M1206,#REF!,6,0),0)</f>
        <v>0</v>
      </c>
      <c r="T1206" s="1394">
        <f t="shared" si="390"/>
        <v>0</v>
      </c>
      <c r="U1206" s="1394">
        <f>IFERROR(VLOOKUP(M1206,#REF!,5,0),0)</f>
        <v>0</v>
      </c>
      <c r="V1206" s="1394">
        <f t="shared" si="391"/>
        <v>0</v>
      </c>
      <c r="W1206" s="1394"/>
    </row>
    <row r="1207" spans="2:23" ht="30" customHeight="1">
      <c r="B1207" s="1405"/>
      <c r="C1207" s="1408" t="str">
        <f t="shared" si="393"/>
        <v>For C3</v>
      </c>
      <c r="D1207" s="1409">
        <f>'det -detail'!E226-'Main Building Details'!D1203</f>
        <v>7</v>
      </c>
      <c r="E1207" s="1409">
        <f t="shared" si="394"/>
        <v>1</v>
      </c>
      <c r="F1207" s="1410">
        <f t="shared" si="394"/>
        <v>0.23</v>
      </c>
      <c r="G1207" s="1410">
        <f t="shared" si="394"/>
        <v>0.45</v>
      </c>
      <c r="H1207" s="1411">
        <v>1.2</v>
      </c>
      <c r="I1207" s="1471">
        <f t="shared" si="392"/>
        <v>0.86940000000000006</v>
      </c>
      <c r="M1207" s="110"/>
      <c r="Q1207" s="1394">
        <f>IFERROR(VLOOKUP(M1207,#REF!,3,0),0)</f>
        <v>0</v>
      </c>
      <c r="R1207" s="1394">
        <f t="shared" si="389"/>
        <v>0</v>
      </c>
      <c r="S1207" s="1394">
        <f>IFERROR(VLOOKUP(M1207,#REF!,6,0),0)</f>
        <v>0</v>
      </c>
      <c r="T1207" s="1394">
        <f t="shared" si="390"/>
        <v>0</v>
      </c>
      <c r="U1207" s="1394">
        <f>IFERROR(VLOOKUP(M1207,#REF!,5,0),0)</f>
        <v>0</v>
      </c>
      <c r="V1207" s="1394">
        <f t="shared" si="391"/>
        <v>0</v>
      </c>
      <c r="W1207" s="1394"/>
    </row>
    <row r="1208" spans="2:23" ht="30" customHeight="1">
      <c r="B1208" s="1405"/>
      <c r="C1208" s="1408" t="str">
        <f t="shared" si="393"/>
        <v>For C4</v>
      </c>
      <c r="D1208" s="1409">
        <f>'det -detail'!E227-'Main Building Details'!D1204</f>
        <v>4</v>
      </c>
      <c r="E1208" s="1409">
        <f t="shared" si="394"/>
        <v>1</v>
      </c>
      <c r="F1208" s="1410">
        <f t="shared" si="394"/>
        <v>0.3</v>
      </c>
      <c r="G1208" s="1410">
        <f t="shared" si="394"/>
        <v>0.45</v>
      </c>
      <c r="H1208" s="1411">
        <v>1.2</v>
      </c>
      <c r="I1208" s="1471">
        <f t="shared" si="392"/>
        <v>0.64800000000000002</v>
      </c>
      <c r="M1208" s="110"/>
      <c r="Q1208" s="1394">
        <f>IFERROR(VLOOKUP(M1208,#REF!,3,0),0)</f>
        <v>0</v>
      </c>
      <c r="R1208" s="1394">
        <f t="shared" si="389"/>
        <v>0</v>
      </c>
      <c r="S1208" s="1394">
        <f>IFERROR(VLOOKUP(M1208,#REF!,6,0),0)</f>
        <v>0</v>
      </c>
      <c r="T1208" s="1394">
        <f t="shared" si="390"/>
        <v>0</v>
      </c>
      <c r="U1208" s="1394">
        <f>IFERROR(VLOOKUP(M1208,#REF!,5,0),0)</f>
        <v>0</v>
      </c>
      <c r="V1208" s="1394">
        <f t="shared" si="391"/>
        <v>0</v>
      </c>
      <c r="W1208" s="1394"/>
    </row>
    <row r="1209" spans="2:23" ht="30" customHeight="1">
      <c r="B1209" s="1407"/>
      <c r="C1209" s="1415" t="s">
        <v>5759</v>
      </c>
      <c r="D1209" s="1409"/>
      <c r="E1209" s="1409"/>
      <c r="F1209" s="1410"/>
      <c r="G1209" s="1410"/>
      <c r="H1209" s="1411"/>
      <c r="I1209" s="1471"/>
      <c r="M1209" s="110"/>
      <c r="Q1209" s="1394">
        <f>IFERROR(VLOOKUP(M1209,#REF!,3,0),0)</f>
        <v>0</v>
      </c>
      <c r="R1209" s="1394">
        <f t="shared" si="389"/>
        <v>0</v>
      </c>
      <c r="S1209" s="1394">
        <f>IFERROR(VLOOKUP(M1209,#REF!,6,0),0)</f>
        <v>0</v>
      </c>
      <c r="T1209" s="1394">
        <f t="shared" si="390"/>
        <v>0</v>
      </c>
      <c r="U1209" s="1394">
        <f>IFERROR(VLOOKUP(M1209,#REF!,5,0),0)</f>
        <v>0</v>
      </c>
      <c r="V1209" s="1394">
        <f t="shared" si="391"/>
        <v>0</v>
      </c>
      <c r="W1209" s="1394"/>
    </row>
    <row r="1210" spans="2:23" ht="30" customHeight="1">
      <c r="B1210" s="1405"/>
      <c r="C1210" s="1408" t="str">
        <f t="shared" ref="C1210:G1212" si="395">C1202</f>
        <v>For C2</v>
      </c>
      <c r="D1210" s="1409">
        <f t="shared" si="395"/>
        <v>2</v>
      </c>
      <c r="E1210" s="1409">
        <f t="shared" si="395"/>
        <v>1</v>
      </c>
      <c r="F1210" s="1410">
        <f t="shared" si="395"/>
        <v>0.23</v>
      </c>
      <c r="G1210" s="1410">
        <f t="shared" si="395"/>
        <v>0.38</v>
      </c>
      <c r="H1210" s="1411">
        <v>0.45</v>
      </c>
      <c r="I1210" s="1471">
        <f>I1202</f>
        <v>0.41427600000000003</v>
      </c>
      <c r="M1210" s="110"/>
      <c r="Q1210" s="1394">
        <f>IFERROR(VLOOKUP(M1210,#REF!,3,0),0)</f>
        <v>0</v>
      </c>
      <c r="R1210" s="1394">
        <f t="shared" si="389"/>
        <v>0</v>
      </c>
      <c r="S1210" s="1394">
        <f>IFERROR(VLOOKUP(M1210,#REF!,6,0),0)</f>
        <v>0</v>
      </c>
      <c r="T1210" s="1394">
        <f t="shared" si="390"/>
        <v>0</v>
      </c>
      <c r="U1210" s="1394">
        <f>IFERROR(VLOOKUP(M1210,#REF!,5,0),0)</f>
        <v>0</v>
      </c>
      <c r="V1210" s="1394">
        <f t="shared" si="391"/>
        <v>0</v>
      </c>
      <c r="W1210" s="1394"/>
    </row>
    <row r="1211" spans="2:23" ht="30" customHeight="1">
      <c r="B1211" s="1405"/>
      <c r="C1211" s="1408" t="str">
        <f t="shared" si="395"/>
        <v>For C3</v>
      </c>
      <c r="D1211" s="1409">
        <f t="shared" si="395"/>
        <v>3</v>
      </c>
      <c r="E1211" s="1409">
        <f t="shared" si="395"/>
        <v>1</v>
      </c>
      <c r="F1211" s="1410">
        <f t="shared" si="395"/>
        <v>0.23</v>
      </c>
      <c r="G1211" s="1410">
        <f t="shared" si="395"/>
        <v>0.45</v>
      </c>
      <c r="H1211" s="1411">
        <v>0.45</v>
      </c>
      <c r="I1211" s="1471">
        <f>I1203</f>
        <v>0.73588500000000012</v>
      </c>
      <c r="M1211" s="110"/>
      <c r="Q1211" s="1394">
        <f>IFERROR(VLOOKUP(M1211,#REF!,3,0),0)</f>
        <v>0</v>
      </c>
      <c r="R1211" s="1394">
        <f t="shared" si="389"/>
        <v>0</v>
      </c>
      <c r="S1211" s="1394">
        <f>IFERROR(VLOOKUP(M1211,#REF!,6,0),0)</f>
        <v>0</v>
      </c>
      <c r="T1211" s="1394">
        <f t="shared" si="390"/>
        <v>0</v>
      </c>
      <c r="U1211" s="1394">
        <f>IFERROR(VLOOKUP(M1211,#REF!,5,0),0)</f>
        <v>0</v>
      </c>
      <c r="V1211" s="1394">
        <f t="shared" si="391"/>
        <v>0</v>
      </c>
      <c r="W1211" s="1394"/>
    </row>
    <row r="1212" spans="2:23" ht="30" customHeight="1">
      <c r="B1212" s="1405"/>
      <c r="C1212" s="1408" t="str">
        <f t="shared" si="395"/>
        <v>For C4</v>
      </c>
      <c r="D1212" s="1409">
        <f t="shared" si="395"/>
        <v>3</v>
      </c>
      <c r="E1212" s="1409">
        <f t="shared" si="395"/>
        <v>1</v>
      </c>
      <c r="F1212" s="1410">
        <f t="shared" si="395"/>
        <v>0.3</v>
      </c>
      <c r="G1212" s="1410">
        <f t="shared" si="395"/>
        <v>0.45</v>
      </c>
      <c r="H1212" s="1411">
        <v>0.45</v>
      </c>
      <c r="I1212" s="1471">
        <f>I1204</f>
        <v>0.95984999999999998</v>
      </c>
      <c r="M1212" s="110"/>
      <c r="Q1212" s="1394">
        <f>IFERROR(VLOOKUP(M1212,#REF!,3,0),0)</f>
        <v>0</v>
      </c>
      <c r="R1212" s="1394">
        <f t="shared" si="389"/>
        <v>0</v>
      </c>
      <c r="S1212" s="1394">
        <f>IFERROR(VLOOKUP(M1212,#REF!,6,0),0)</f>
        <v>0</v>
      </c>
      <c r="T1212" s="1394">
        <f t="shared" si="390"/>
        <v>0</v>
      </c>
      <c r="U1212" s="1394">
        <f>IFERROR(VLOOKUP(M1212,#REF!,5,0),0)</f>
        <v>0</v>
      </c>
      <c r="V1212" s="1394">
        <f t="shared" si="391"/>
        <v>0</v>
      </c>
      <c r="W1212" s="1394"/>
    </row>
    <row r="1213" spans="2:23" ht="30" customHeight="1">
      <c r="B1213" s="1405"/>
      <c r="C1213" s="1408"/>
      <c r="D1213" s="1409"/>
      <c r="E1213" s="1409"/>
      <c r="F1213" s="1410"/>
      <c r="G1213" s="1410"/>
      <c r="H1213" s="1411"/>
      <c r="I1213" s="1471"/>
      <c r="M1213" s="110"/>
      <c r="Q1213" s="1394">
        <f>IFERROR(VLOOKUP(M1213,#REF!,3,0),0)</f>
        <v>0</v>
      </c>
      <c r="R1213" s="1394">
        <f t="shared" si="389"/>
        <v>0</v>
      </c>
      <c r="S1213" s="1394">
        <f>IFERROR(VLOOKUP(M1213,#REF!,6,0),0)</f>
        <v>0</v>
      </c>
      <c r="T1213" s="1394">
        <f t="shared" si="390"/>
        <v>0</v>
      </c>
      <c r="U1213" s="1394">
        <f>IFERROR(VLOOKUP(M1213,#REF!,5,0),0)</f>
        <v>0</v>
      </c>
      <c r="V1213" s="1394">
        <f t="shared" si="391"/>
        <v>0</v>
      </c>
      <c r="W1213" s="1394"/>
    </row>
    <row r="1214" spans="2:23" ht="30" customHeight="1">
      <c r="B1214" s="1407"/>
      <c r="C1214" s="1415" t="s">
        <v>313</v>
      </c>
      <c r="D1214" s="1409"/>
      <c r="E1214" s="1409"/>
      <c r="F1214" s="1410"/>
      <c r="G1214" s="1410"/>
      <c r="H1214" s="1411"/>
      <c r="I1214" s="1471">
        <f t="shared" ref="I1214:I1218" si="396">PRODUCT(D1214:H1214)</f>
        <v>0</v>
      </c>
      <c r="L1214" s="110" t="str">
        <f>C1568</f>
        <v>Main wall all alround Head Room</v>
      </c>
      <c r="M1214" s="110"/>
      <c r="Q1214" s="1394">
        <f>IFERROR(VLOOKUP(M1214,#REF!,3,0),0)</f>
        <v>0</v>
      </c>
      <c r="R1214" s="1394">
        <f t="shared" si="389"/>
        <v>0</v>
      </c>
      <c r="S1214" s="1394">
        <f>IFERROR(VLOOKUP(M1214,#REF!,6,0),0)</f>
        <v>0</v>
      </c>
      <c r="T1214" s="1394">
        <f t="shared" si="390"/>
        <v>0</v>
      </c>
      <c r="U1214" s="1394">
        <f>IFERROR(VLOOKUP(M1214,#REF!,5,0),0)</f>
        <v>0</v>
      </c>
      <c r="V1214" s="1394">
        <f t="shared" si="391"/>
        <v>0</v>
      </c>
      <c r="W1214" s="1394"/>
    </row>
    <row r="1215" spans="2:23" ht="30" customHeight="1">
      <c r="B1215" s="1407"/>
      <c r="C1215" s="1408" t="s">
        <v>252</v>
      </c>
      <c r="D1215" s="1409">
        <v>1</v>
      </c>
      <c r="E1215" s="1409">
        <f>VLOOKUP(C1215,Sheet1!$I$7:$Q$39,8,0)</f>
        <v>1</v>
      </c>
      <c r="F1215" s="1410">
        <f>VLOOKUP(C1215,Sheet1!$I$7:$Q$39,2,0)+0.46</f>
        <v>2.2600000000000002</v>
      </c>
      <c r="G1215" s="1410">
        <f>'[7]Main Building Details'!G1220</f>
        <v>0.23</v>
      </c>
      <c r="H1215" s="1411">
        <v>0.05</v>
      </c>
      <c r="I1215" s="1471">
        <f t="shared" si="396"/>
        <v>2.5990000000000003E-2</v>
      </c>
      <c r="M1215" s="110"/>
      <c r="Q1215" s="1394">
        <f>IFERROR(VLOOKUP(M1215,#REF!,3,0),0)</f>
        <v>0</v>
      </c>
      <c r="R1215" s="1394">
        <f t="shared" si="389"/>
        <v>0</v>
      </c>
      <c r="S1215" s="1394">
        <f>IFERROR(VLOOKUP(M1215,#REF!,6,0),0)</f>
        <v>0</v>
      </c>
      <c r="T1215" s="1394">
        <f t="shared" si="390"/>
        <v>0</v>
      </c>
      <c r="U1215" s="1394">
        <f>IFERROR(VLOOKUP(M1215,#REF!,5,0),0)</f>
        <v>0</v>
      </c>
      <c r="V1215" s="1394">
        <f t="shared" si="391"/>
        <v>0</v>
      </c>
      <c r="W1215" s="1394"/>
    </row>
    <row r="1216" spans="2:23" ht="30" customHeight="1">
      <c r="B1216" s="1407"/>
      <c r="C1216" s="1408" t="s">
        <v>249</v>
      </c>
      <c r="D1216" s="1409">
        <v>1</v>
      </c>
      <c r="E1216" s="1409">
        <f>VLOOKUP(C1216,Sheet1!$I$7:$Q$39,8,0)</f>
        <v>1</v>
      </c>
      <c r="F1216" s="1410">
        <f>VLOOKUP(C1216,Sheet1!$I$7:$Q$39,2,0)+0.46</f>
        <v>1.96</v>
      </c>
      <c r="G1216" s="1410">
        <f>'[7]Main Building Details'!G1221</f>
        <v>0.23</v>
      </c>
      <c r="H1216" s="1411">
        <v>0.05</v>
      </c>
      <c r="I1216" s="1471">
        <f t="shared" si="396"/>
        <v>2.2540000000000004E-2</v>
      </c>
      <c r="M1216" s="110"/>
      <c r="Q1216" s="1394">
        <f>IFERROR(VLOOKUP(M1216,#REF!,3,0),0)</f>
        <v>0</v>
      </c>
      <c r="R1216" s="1394">
        <f t="shared" si="389"/>
        <v>0</v>
      </c>
      <c r="S1216" s="1394">
        <f>IFERROR(VLOOKUP(M1216,#REF!,6,0),0)</f>
        <v>0</v>
      </c>
      <c r="T1216" s="1394">
        <f t="shared" si="390"/>
        <v>0</v>
      </c>
      <c r="U1216" s="1394">
        <f>IFERROR(VLOOKUP(M1216,#REF!,5,0),0)</f>
        <v>0</v>
      </c>
      <c r="V1216" s="1394">
        <f t="shared" si="391"/>
        <v>0</v>
      </c>
      <c r="W1216" s="1394"/>
    </row>
    <row r="1217" spans="2:23" ht="30" customHeight="1">
      <c r="B1217" s="1407"/>
      <c r="C1217" s="1408" t="s">
        <v>250</v>
      </c>
      <c r="D1217" s="1409">
        <v>1</v>
      </c>
      <c r="E1217" s="1409">
        <f>VLOOKUP(C1217,Sheet1!$I$7:$Q$39,8,0)</f>
        <v>1</v>
      </c>
      <c r="F1217" s="1410">
        <f>VLOOKUP(C1217,Sheet1!$I$7:$Q$39,2,0)+0.46</f>
        <v>1.66</v>
      </c>
      <c r="G1217" s="1410">
        <f>'[7]Main Building Details'!G1222</f>
        <v>0.23</v>
      </c>
      <c r="H1217" s="1411">
        <v>0.05</v>
      </c>
      <c r="I1217" s="1471">
        <f t="shared" si="396"/>
        <v>1.9089999999999999E-2</v>
      </c>
      <c r="M1217" s="110"/>
      <c r="Q1217" s="1394">
        <f>IFERROR(VLOOKUP(M1217,#REF!,3,0),0)</f>
        <v>0</v>
      </c>
      <c r="R1217" s="1394">
        <f t="shared" si="389"/>
        <v>0</v>
      </c>
      <c r="S1217" s="1394">
        <f>IFERROR(VLOOKUP(M1217,#REF!,6,0),0)</f>
        <v>0</v>
      </c>
      <c r="T1217" s="1394">
        <f t="shared" si="390"/>
        <v>0</v>
      </c>
      <c r="U1217" s="1394">
        <f>IFERROR(VLOOKUP(M1217,#REF!,5,0),0)</f>
        <v>0</v>
      </c>
      <c r="V1217" s="1394">
        <f t="shared" si="391"/>
        <v>0</v>
      </c>
      <c r="W1217" s="1394"/>
    </row>
    <row r="1218" spans="2:23" ht="30" customHeight="1">
      <c r="B1218" s="1407"/>
      <c r="C1218" s="1408" t="s">
        <v>251</v>
      </c>
      <c r="D1218" s="1409">
        <v>1</v>
      </c>
      <c r="E1218" s="1409">
        <f>VLOOKUP(C1218,Sheet1!$I$7:$Q$39,8,0)</f>
        <v>1</v>
      </c>
      <c r="F1218" s="1410">
        <f>VLOOKUP(C1218,Sheet1!$I$7:$Q$39,2,0)+0.46</f>
        <v>1.46</v>
      </c>
      <c r="G1218" s="1410">
        <f>'[7]Main Building Details'!G1223</f>
        <v>0.23</v>
      </c>
      <c r="H1218" s="1411">
        <v>0.05</v>
      </c>
      <c r="I1218" s="1471">
        <f t="shared" si="396"/>
        <v>1.6789999999999999E-2</v>
      </c>
      <c r="Q1218" s="1394">
        <f>IFERROR(VLOOKUP(M1218,#REF!,3,0),0)</f>
        <v>0</v>
      </c>
      <c r="R1218" s="1394">
        <f t="shared" si="389"/>
        <v>0</v>
      </c>
      <c r="S1218" s="1394">
        <f>IFERROR(VLOOKUP(M1218,#REF!,6,0),0)</f>
        <v>0</v>
      </c>
      <c r="T1218" s="1394">
        <f t="shared" si="390"/>
        <v>0</v>
      </c>
      <c r="U1218" s="1394">
        <f>IFERROR(VLOOKUP(M1218,#REF!,5,0),0)</f>
        <v>0</v>
      </c>
      <c r="V1218" s="1394">
        <f t="shared" si="391"/>
        <v>0</v>
      </c>
      <c r="W1218" s="1394"/>
    </row>
    <row r="1219" spans="2:23" ht="30" customHeight="1">
      <c r="B1219" s="1407"/>
      <c r="C1219" s="1408"/>
      <c r="D1219" s="1409"/>
      <c r="E1219" s="1409"/>
      <c r="F1219" s="1410"/>
      <c r="G1219" s="1410"/>
      <c r="H1219" s="1411"/>
      <c r="I1219" s="1471"/>
      <c r="Q1219" s="1394">
        <f>IFERROR(VLOOKUP(M1219,#REF!,3,0),0)</f>
        <v>0</v>
      </c>
      <c r="R1219" s="1394">
        <f t="shared" si="389"/>
        <v>0</v>
      </c>
      <c r="S1219" s="1394">
        <f>IFERROR(VLOOKUP(M1219,#REF!,6,0),0)</f>
        <v>0</v>
      </c>
      <c r="T1219" s="1394">
        <f t="shared" si="390"/>
        <v>0</v>
      </c>
      <c r="U1219" s="1394">
        <f>IFERROR(VLOOKUP(M1219,#REF!,5,0),0)</f>
        <v>0</v>
      </c>
      <c r="V1219" s="1394">
        <f t="shared" si="391"/>
        <v>0</v>
      </c>
      <c r="W1219" s="1394"/>
    </row>
    <row r="1220" spans="2:23" ht="30" customHeight="1">
      <c r="B1220" s="1407"/>
      <c r="C1220" s="1415" t="s">
        <v>304</v>
      </c>
      <c r="D1220" s="1409"/>
      <c r="E1220" s="1409"/>
      <c r="F1220" s="1410"/>
      <c r="G1220" s="1410"/>
      <c r="H1220" s="1411"/>
      <c r="I1220" s="1425"/>
      <c r="Q1220" s="1394">
        <f>IFERROR(VLOOKUP(M1220,#REF!,3,0),0)</f>
        <v>0</v>
      </c>
      <c r="R1220" s="1394">
        <f t="shared" si="389"/>
        <v>0</v>
      </c>
      <c r="S1220" s="1394">
        <f>IFERROR(VLOOKUP(M1220,#REF!,6,0),0)</f>
        <v>0</v>
      </c>
      <c r="T1220" s="1394">
        <f t="shared" si="390"/>
        <v>0</v>
      </c>
      <c r="U1220" s="1394">
        <f>IFERROR(VLOOKUP(M1220,#REF!,5,0),0)</f>
        <v>0</v>
      </c>
      <c r="V1220" s="1394">
        <f t="shared" si="391"/>
        <v>0</v>
      </c>
      <c r="W1220" s="1394"/>
    </row>
    <row r="1221" spans="2:23" ht="30" customHeight="1">
      <c r="B1221" s="1405"/>
      <c r="C1221" s="1408" t="str">
        <f>C1579</f>
        <v>Main wall all alround Head Room</v>
      </c>
      <c r="D1221" s="1409">
        <f>-D1579</f>
        <v>1</v>
      </c>
      <c r="E1221" s="1409">
        <f t="shared" ref="E1221:H1222" si="397">E1579</f>
        <v>1</v>
      </c>
      <c r="F1221" s="1410">
        <f t="shared" si="397"/>
        <v>20.69</v>
      </c>
      <c r="G1221" s="1410">
        <f t="shared" si="397"/>
        <v>0.23</v>
      </c>
      <c r="H1221" s="1411">
        <f t="shared" si="397"/>
        <v>0.1</v>
      </c>
      <c r="I1221" s="1425">
        <f t="shared" ref="I1221:I1222" si="398">PRODUCT(D1221:H1221)</f>
        <v>0.47587000000000002</v>
      </c>
      <c r="Q1221" s="1394">
        <f>IFERROR(VLOOKUP(M1221,#REF!,3,0),0)</f>
        <v>0</v>
      </c>
      <c r="R1221" s="1394">
        <f t="shared" si="389"/>
        <v>0</v>
      </c>
      <c r="S1221" s="1394">
        <f>IFERROR(VLOOKUP(M1221,#REF!,6,0),0)</f>
        <v>0</v>
      </c>
      <c r="T1221" s="1394">
        <f t="shared" si="390"/>
        <v>0</v>
      </c>
      <c r="U1221" s="1394">
        <f>IFERROR(VLOOKUP(M1221,#REF!,5,0),0)</f>
        <v>0</v>
      </c>
      <c r="V1221" s="1394">
        <f t="shared" si="391"/>
        <v>0</v>
      </c>
      <c r="W1221" s="1394"/>
    </row>
    <row r="1222" spans="2:23" ht="30" customHeight="1">
      <c r="B1222" s="1407"/>
      <c r="C1222" s="1408" t="str">
        <f>C1580</f>
        <v>Main wall all alround Lift Machine Room</v>
      </c>
      <c r="D1222" s="1409">
        <f>-D1580</f>
        <v>1</v>
      </c>
      <c r="E1222" s="1409">
        <f t="shared" si="397"/>
        <v>1</v>
      </c>
      <c r="F1222" s="1410">
        <f t="shared" si="397"/>
        <v>12.175000000000001</v>
      </c>
      <c r="G1222" s="1410">
        <f t="shared" si="397"/>
        <v>0.23</v>
      </c>
      <c r="H1222" s="1411">
        <f t="shared" si="397"/>
        <v>0.1</v>
      </c>
      <c r="I1222" s="1425">
        <f t="shared" si="398"/>
        <v>0.28002500000000002</v>
      </c>
      <c r="Q1222" s="1394">
        <f>IFERROR(VLOOKUP(M1222,#REF!,3,0),0)</f>
        <v>0</v>
      </c>
      <c r="R1222" s="1394">
        <f t="shared" si="389"/>
        <v>0</v>
      </c>
      <c r="S1222" s="1394">
        <f>IFERROR(VLOOKUP(M1222,#REF!,6,0),0)</f>
        <v>0</v>
      </c>
      <c r="T1222" s="1394">
        <f t="shared" si="390"/>
        <v>0</v>
      </c>
      <c r="U1222" s="1394">
        <f>IFERROR(VLOOKUP(M1222,#REF!,5,0),0)</f>
        <v>0</v>
      </c>
      <c r="V1222" s="1394">
        <f t="shared" si="391"/>
        <v>0</v>
      </c>
      <c r="W1222" s="1394"/>
    </row>
    <row r="1223" spans="2:23" ht="30" customHeight="1">
      <c r="B1223" s="1407"/>
      <c r="C1223" s="1408"/>
      <c r="D1223" s="1409"/>
      <c r="E1223" s="1409"/>
      <c r="F1223" s="1410"/>
      <c r="G1223" s="1410"/>
      <c r="H1223" s="1411"/>
      <c r="I1223" s="1425"/>
      <c r="Q1223" s="1394">
        <f>IFERROR(VLOOKUP(M1223,#REF!,3,0),0)</f>
        <v>0</v>
      </c>
      <c r="R1223" s="1394">
        <f t="shared" si="389"/>
        <v>0</v>
      </c>
      <c r="S1223" s="1394">
        <f>IFERROR(VLOOKUP(M1223,#REF!,6,0),0)</f>
        <v>0</v>
      </c>
      <c r="T1223" s="1394">
        <f t="shared" si="390"/>
        <v>0</v>
      </c>
      <c r="U1223" s="1394">
        <f>IFERROR(VLOOKUP(M1223,#REF!,5,0),0)</f>
        <v>0</v>
      </c>
      <c r="V1223" s="1394">
        <f t="shared" si="391"/>
        <v>0</v>
      </c>
      <c r="W1223" s="1394"/>
    </row>
    <row r="1224" spans="2:23" ht="30" customHeight="1">
      <c r="B1224" s="1407"/>
      <c r="C1224" s="1415" t="s">
        <v>319</v>
      </c>
      <c r="D1224" s="1409">
        <v>0</v>
      </c>
      <c r="E1224" s="1409">
        <v>0</v>
      </c>
      <c r="F1224" s="1410">
        <v>0</v>
      </c>
      <c r="G1224" s="1410"/>
      <c r="H1224" s="1409">
        <v>0</v>
      </c>
      <c r="I1224" s="1425">
        <f>PRODUCT(D1224:H1224)</f>
        <v>0</v>
      </c>
      <c r="Q1224" s="1394">
        <f>IFERROR(VLOOKUP(M1224,#REF!,3,0),0)</f>
        <v>0</v>
      </c>
      <c r="R1224" s="1394">
        <f t="shared" si="389"/>
        <v>0</v>
      </c>
      <c r="S1224" s="1394">
        <f>IFERROR(VLOOKUP(M1224,#REF!,6,0),0)</f>
        <v>0</v>
      </c>
      <c r="T1224" s="1394">
        <f t="shared" si="390"/>
        <v>0</v>
      </c>
      <c r="U1224" s="1394">
        <f>IFERROR(VLOOKUP(M1224,#REF!,5,0),0)</f>
        <v>0</v>
      </c>
      <c r="V1224" s="1394">
        <f t="shared" si="391"/>
        <v>0</v>
      </c>
      <c r="W1224" s="1394"/>
    </row>
    <row r="1225" spans="2:23" ht="30" customHeight="1">
      <c r="B1225" s="1407"/>
      <c r="C1225" s="1415"/>
      <c r="D1225" s="1409"/>
      <c r="E1225" s="1409"/>
      <c r="F1225" s="1410"/>
      <c r="G1225" s="1410"/>
      <c r="H1225" s="1409"/>
      <c r="I1225" s="1471"/>
      <c r="Q1225" s="1394">
        <f>IFERROR(VLOOKUP(M1225,#REF!,3,0),0)</f>
        <v>0</v>
      </c>
      <c r="R1225" s="1394">
        <f t="shared" si="389"/>
        <v>0</v>
      </c>
      <c r="S1225" s="1394">
        <f>IFERROR(VLOOKUP(M1225,#REF!,6,0),0)</f>
        <v>0</v>
      </c>
      <c r="T1225" s="1394">
        <f t="shared" si="390"/>
        <v>0</v>
      </c>
      <c r="U1225" s="1394">
        <f>IFERROR(VLOOKUP(M1225,#REF!,5,0),0)</f>
        <v>0</v>
      </c>
      <c r="V1225" s="1394">
        <f t="shared" si="391"/>
        <v>0</v>
      </c>
      <c r="W1225" s="1394"/>
    </row>
    <row r="1226" spans="2:23" ht="30" customHeight="1">
      <c r="B1226" s="1407"/>
      <c r="C1226" s="1408" t="str">
        <f t="shared" ref="C1226:F1229" si="399">C1215</f>
        <v>SW</v>
      </c>
      <c r="D1226" s="1409">
        <f t="shared" si="399"/>
        <v>1</v>
      </c>
      <c r="E1226" s="1409">
        <f t="shared" si="399"/>
        <v>1</v>
      </c>
      <c r="F1226" s="1410">
        <f t="shared" si="399"/>
        <v>2.2600000000000002</v>
      </c>
      <c r="G1226" s="1410">
        <v>0.6</v>
      </c>
      <c r="H1226" s="1473">
        <v>6.25E-2</v>
      </c>
      <c r="I1226" s="1425">
        <f t="shared" ref="I1226:I1229" si="400">PRODUCT(D1226:H1226)</f>
        <v>8.4750000000000006E-2</v>
      </c>
      <c r="Q1226" s="1394">
        <f>IFERROR(VLOOKUP(M1226,#REF!,3,0),0)</f>
        <v>0</v>
      </c>
      <c r="R1226" s="1394">
        <f t="shared" si="389"/>
        <v>0</v>
      </c>
      <c r="S1226" s="1394">
        <f>IFERROR(VLOOKUP(M1226,#REF!,6,0),0)</f>
        <v>0</v>
      </c>
      <c r="T1226" s="1394">
        <f t="shared" si="390"/>
        <v>0</v>
      </c>
      <c r="U1226" s="1394">
        <f>IFERROR(VLOOKUP(M1226,#REF!,5,0),0)</f>
        <v>0</v>
      </c>
      <c r="V1226" s="1394">
        <f t="shared" si="391"/>
        <v>0</v>
      </c>
      <c r="W1226" s="1394"/>
    </row>
    <row r="1227" spans="2:23" ht="30" customHeight="1">
      <c r="B1227" s="1407"/>
      <c r="C1227" s="1408" t="str">
        <f t="shared" si="399"/>
        <v>W1</v>
      </c>
      <c r="D1227" s="1409">
        <f t="shared" si="399"/>
        <v>1</v>
      </c>
      <c r="E1227" s="1409">
        <f t="shared" si="399"/>
        <v>1</v>
      </c>
      <c r="F1227" s="1410">
        <f t="shared" si="399"/>
        <v>1.96</v>
      </c>
      <c r="G1227" s="1410">
        <v>0.6</v>
      </c>
      <c r="H1227" s="1473">
        <v>6.25E-2</v>
      </c>
      <c r="I1227" s="1425">
        <f t="shared" si="400"/>
        <v>7.3499999999999996E-2</v>
      </c>
      <c r="Q1227" s="1394">
        <f>IFERROR(VLOOKUP(M1227,#REF!,3,0),0)</f>
        <v>0</v>
      </c>
      <c r="R1227" s="1394">
        <f t="shared" si="389"/>
        <v>0</v>
      </c>
      <c r="S1227" s="1394">
        <f>IFERROR(VLOOKUP(M1227,#REF!,6,0),0)</f>
        <v>0</v>
      </c>
      <c r="T1227" s="1394">
        <f t="shared" si="390"/>
        <v>0</v>
      </c>
      <c r="U1227" s="1394">
        <f>IFERROR(VLOOKUP(M1227,#REF!,5,0),0)</f>
        <v>0</v>
      </c>
      <c r="V1227" s="1394">
        <f t="shared" si="391"/>
        <v>0</v>
      </c>
      <c r="W1227" s="1394"/>
    </row>
    <row r="1228" spans="2:23" ht="30" customHeight="1">
      <c r="B1228" s="1407"/>
      <c r="C1228" s="1408" t="str">
        <f t="shared" si="399"/>
        <v>W2</v>
      </c>
      <c r="D1228" s="1409">
        <f t="shared" si="399"/>
        <v>1</v>
      </c>
      <c r="E1228" s="1409">
        <f t="shared" si="399"/>
        <v>1</v>
      </c>
      <c r="F1228" s="1410">
        <f t="shared" si="399"/>
        <v>1.66</v>
      </c>
      <c r="G1228" s="1410">
        <v>0.6</v>
      </c>
      <c r="H1228" s="1473">
        <v>6.25E-2</v>
      </c>
      <c r="I1228" s="1425">
        <f t="shared" si="400"/>
        <v>6.2249999999999993E-2</v>
      </c>
      <c r="Q1228" s="1394">
        <f>IFERROR(VLOOKUP(M1228,#REF!,3,0),0)</f>
        <v>0</v>
      </c>
      <c r="R1228" s="1394">
        <f t="shared" si="389"/>
        <v>0</v>
      </c>
      <c r="S1228" s="1394">
        <f>IFERROR(VLOOKUP(M1228,#REF!,6,0),0)</f>
        <v>0</v>
      </c>
      <c r="T1228" s="1394">
        <f t="shared" si="390"/>
        <v>0</v>
      </c>
      <c r="U1228" s="1394">
        <f>IFERROR(VLOOKUP(M1228,#REF!,5,0),0)</f>
        <v>0</v>
      </c>
      <c r="V1228" s="1394">
        <f t="shared" si="391"/>
        <v>0</v>
      </c>
      <c r="W1228" s="1394"/>
    </row>
    <row r="1229" spans="2:23" ht="30" customHeight="1">
      <c r="B1229" s="1407"/>
      <c r="C1229" s="1408" t="str">
        <f t="shared" si="399"/>
        <v>W3</v>
      </c>
      <c r="D1229" s="1409">
        <f t="shared" si="399"/>
        <v>1</v>
      </c>
      <c r="E1229" s="1409">
        <f t="shared" si="399"/>
        <v>1</v>
      </c>
      <c r="F1229" s="1410">
        <f t="shared" si="399"/>
        <v>1.46</v>
      </c>
      <c r="G1229" s="1410">
        <v>0.6</v>
      </c>
      <c r="H1229" s="1473">
        <v>6.25E-2</v>
      </c>
      <c r="I1229" s="1425">
        <f t="shared" si="400"/>
        <v>5.475E-2</v>
      </c>
      <c r="Q1229" s="1394">
        <f>IFERROR(VLOOKUP(M1229,#REF!,3,0),0)</f>
        <v>0</v>
      </c>
      <c r="R1229" s="1394">
        <f t="shared" si="389"/>
        <v>0</v>
      </c>
      <c r="S1229" s="1394">
        <f>IFERROR(VLOOKUP(M1229,#REF!,6,0),0)</f>
        <v>0</v>
      </c>
      <c r="T1229" s="1394">
        <f t="shared" si="390"/>
        <v>0</v>
      </c>
      <c r="U1229" s="1394">
        <f>IFERROR(VLOOKUP(M1229,#REF!,5,0),0)</f>
        <v>0</v>
      </c>
      <c r="V1229" s="1394">
        <f t="shared" si="391"/>
        <v>0</v>
      </c>
      <c r="W1229" s="1394"/>
    </row>
    <row r="1230" spans="2:23" ht="30" customHeight="1">
      <c r="B1230" s="1407"/>
      <c r="C1230" s="1408"/>
      <c r="D1230" s="1409"/>
      <c r="E1230" s="1409"/>
      <c r="F1230" s="1410"/>
      <c r="G1230" s="1410"/>
      <c r="H1230" s="1473"/>
      <c r="I1230" s="1425"/>
      <c r="O1230" s="1395"/>
      <c r="Q1230" s="1394">
        <f>IFERROR(VLOOKUP(M1230,#REF!,3,0),0)</f>
        <v>0</v>
      </c>
      <c r="R1230" s="1394">
        <f t="shared" si="389"/>
        <v>0</v>
      </c>
      <c r="S1230" s="1394">
        <f>IFERROR(VLOOKUP(M1230,#REF!,6,0),0)</f>
        <v>0</v>
      </c>
      <c r="T1230" s="1394">
        <f t="shared" si="390"/>
        <v>0</v>
      </c>
      <c r="U1230" s="1394">
        <f>IFERROR(VLOOKUP(M1230,#REF!,5,0),0)</f>
        <v>0</v>
      </c>
      <c r="V1230" s="1394">
        <f t="shared" si="391"/>
        <v>0</v>
      </c>
      <c r="W1230" s="1394"/>
    </row>
    <row r="1231" spans="2:23" ht="30" customHeight="1">
      <c r="B1231" s="1405"/>
      <c r="C1231" s="1415" t="s">
        <v>310</v>
      </c>
      <c r="D1231" s="1409"/>
      <c r="E1231" s="1409"/>
      <c r="F1231" s="1410"/>
      <c r="G1231" s="1410"/>
      <c r="H1231" s="1411"/>
      <c r="I1231" s="1471">
        <f t="shared" ref="I1231:I1235" si="401">PRODUCT(D1231:H1231)</f>
        <v>0</v>
      </c>
      <c r="J1231" s="110" t="e">
        <f>#REF!*30</f>
        <v>#REF!</v>
      </c>
      <c r="O1231" s="1395"/>
      <c r="Q1231" s="1394">
        <f>IFERROR(VLOOKUP(M1231,#REF!,3,0),0)</f>
        <v>0</v>
      </c>
      <c r="R1231" s="1394">
        <f t="shared" si="389"/>
        <v>0</v>
      </c>
      <c r="S1231" s="1394">
        <f>IFERROR(VLOOKUP(M1231,#REF!,6,0),0)</f>
        <v>0</v>
      </c>
      <c r="T1231" s="1394">
        <f t="shared" si="390"/>
        <v>0</v>
      </c>
      <c r="U1231" s="1394">
        <f>IFERROR(VLOOKUP(M1231,#REF!,5,0),0)</f>
        <v>0</v>
      </c>
      <c r="V1231" s="1394">
        <f t="shared" si="391"/>
        <v>0</v>
      </c>
      <c r="W1231" s="1394"/>
    </row>
    <row r="1232" spans="2:23" ht="30" customHeight="1">
      <c r="B1232" s="1405"/>
      <c r="C1232" s="1415" t="s">
        <v>311</v>
      </c>
      <c r="D1232" s="1409"/>
      <c r="E1232" s="1409"/>
      <c r="F1232" s="1410"/>
      <c r="G1232" s="1410"/>
      <c r="H1232" s="1411"/>
      <c r="I1232" s="1471">
        <f t="shared" si="401"/>
        <v>0</v>
      </c>
      <c r="O1232" s="1395"/>
      <c r="Q1232" s="1394">
        <f>IFERROR(VLOOKUP(M1232,#REF!,3,0),0)</f>
        <v>0</v>
      </c>
      <c r="R1232" s="1394">
        <f t="shared" si="389"/>
        <v>0</v>
      </c>
      <c r="S1232" s="1394">
        <f>IFERROR(VLOOKUP(M1232,#REF!,6,0),0)</f>
        <v>0</v>
      </c>
      <c r="T1232" s="1394">
        <f t="shared" si="390"/>
        <v>0</v>
      </c>
      <c r="U1232" s="1394">
        <f>IFERROR(VLOOKUP(M1232,#REF!,5,0),0)</f>
        <v>0</v>
      </c>
      <c r="V1232" s="1394">
        <f t="shared" si="391"/>
        <v>0</v>
      </c>
      <c r="W1232" s="1394"/>
    </row>
    <row r="1233" spans="2:23" ht="30" customHeight="1">
      <c r="B1233" s="1405"/>
      <c r="C1233" s="1408" t="s">
        <v>5687</v>
      </c>
      <c r="D1233" s="1409">
        <v>1</v>
      </c>
      <c r="E1233" s="1409">
        <v>1</v>
      </c>
      <c r="F1233" s="1410">
        <f>2.33+0.9+2.425+1.23</f>
        <v>6.8849999999999998</v>
      </c>
      <c r="G1233" s="1410">
        <v>0.23</v>
      </c>
      <c r="H1233" s="1410">
        <v>0.45</v>
      </c>
      <c r="I1233" s="1471">
        <f t="shared" si="401"/>
        <v>0.71259749999999999</v>
      </c>
      <c r="O1233" s="1395"/>
      <c r="Q1233" s="1394">
        <f>IFERROR(VLOOKUP(M1233,#REF!,3,0),0)</f>
        <v>0</v>
      </c>
      <c r="R1233" s="1394">
        <f t="shared" si="389"/>
        <v>0</v>
      </c>
      <c r="S1233" s="1394">
        <f>IFERROR(VLOOKUP(M1233,#REF!,6,0),0)</f>
        <v>0</v>
      </c>
      <c r="T1233" s="1394">
        <f t="shared" si="390"/>
        <v>0</v>
      </c>
      <c r="U1233" s="1394">
        <f>IFERROR(VLOOKUP(M1233,#REF!,5,0),0)</f>
        <v>0</v>
      </c>
      <c r="V1233" s="1394">
        <f t="shared" si="391"/>
        <v>0</v>
      </c>
      <c r="W1233" s="1394"/>
    </row>
    <row r="1234" spans="2:23" ht="30" customHeight="1">
      <c r="B1234" s="1405"/>
      <c r="C1234" s="1408" t="s">
        <v>5727</v>
      </c>
      <c r="D1234" s="1409">
        <v>1</v>
      </c>
      <c r="E1234" s="1409">
        <v>1</v>
      </c>
      <c r="F1234" s="1410">
        <f>2.33+0.9+2.425+1.23</f>
        <v>6.8849999999999998</v>
      </c>
      <c r="G1234" s="1410">
        <v>0.23</v>
      </c>
      <c r="H1234" s="1410">
        <v>0.38</v>
      </c>
      <c r="I1234" s="1471">
        <f t="shared" ref="I1234" si="402">PRODUCT(D1234:H1234)</f>
        <v>0.60174899999999998</v>
      </c>
      <c r="O1234" s="1395"/>
      <c r="Q1234" s="1394">
        <f>IFERROR(VLOOKUP(M1234,#REF!,3,0),0)</f>
        <v>0</v>
      </c>
      <c r="R1234" s="1394">
        <f t="shared" si="389"/>
        <v>0</v>
      </c>
      <c r="S1234" s="1394">
        <f>IFERROR(VLOOKUP(M1234,#REF!,6,0),0)</f>
        <v>0</v>
      </c>
      <c r="T1234" s="1394">
        <f t="shared" si="390"/>
        <v>0</v>
      </c>
      <c r="U1234" s="1394">
        <f>IFERROR(VLOOKUP(M1234,#REF!,5,0),0)</f>
        <v>0</v>
      </c>
      <c r="V1234" s="1394">
        <f t="shared" si="391"/>
        <v>0</v>
      </c>
      <c r="W1234" s="1394"/>
    </row>
    <row r="1235" spans="2:23" ht="30" customHeight="1">
      <c r="B1235" s="1405"/>
      <c r="C1235" s="1408" t="s">
        <v>5754</v>
      </c>
      <c r="D1235" s="1409">
        <v>1</v>
      </c>
      <c r="E1235" s="1409">
        <v>1</v>
      </c>
      <c r="F1235" s="1410">
        <f>2.33+0.9+2.425+1.23</f>
        <v>6.8849999999999998</v>
      </c>
      <c r="G1235" s="1410">
        <v>0.23</v>
      </c>
      <c r="H1235" s="1410">
        <v>0.38</v>
      </c>
      <c r="I1235" s="1471">
        <f t="shared" si="401"/>
        <v>0.60174899999999998</v>
      </c>
      <c r="O1235" s="1395"/>
      <c r="Q1235" s="1394">
        <f>IFERROR(VLOOKUP(M1235,#REF!,3,0),0)</f>
        <v>0</v>
      </c>
      <c r="R1235" s="1394">
        <f t="shared" si="389"/>
        <v>0</v>
      </c>
      <c r="S1235" s="1394">
        <f>IFERROR(VLOOKUP(M1235,#REF!,6,0),0)</f>
        <v>0</v>
      </c>
      <c r="T1235" s="1394">
        <f t="shared" si="390"/>
        <v>0</v>
      </c>
      <c r="U1235" s="1394">
        <f>IFERROR(VLOOKUP(M1235,#REF!,5,0),0)</f>
        <v>0</v>
      </c>
      <c r="V1235" s="1394">
        <f t="shared" si="391"/>
        <v>0</v>
      </c>
      <c r="W1235" s="1394"/>
    </row>
    <row r="1236" spans="2:23" ht="30" customHeight="1">
      <c r="B1236" s="1405"/>
      <c r="C1236" s="1408"/>
      <c r="D1236" s="1409"/>
      <c r="E1236" s="1409"/>
      <c r="F1236" s="1410"/>
      <c r="G1236" s="1410"/>
      <c r="H1236" s="1410"/>
      <c r="I1236" s="1471"/>
      <c r="O1236" s="1395"/>
      <c r="Q1236" s="1394">
        <f>IFERROR(VLOOKUP(M1236,#REF!,3,0),0)</f>
        <v>0</v>
      </c>
      <c r="R1236" s="1394">
        <f t="shared" si="389"/>
        <v>0</v>
      </c>
      <c r="S1236" s="1394">
        <f>IFERROR(VLOOKUP(M1236,#REF!,6,0),0)</f>
        <v>0</v>
      </c>
      <c r="T1236" s="1394">
        <f t="shared" si="390"/>
        <v>0</v>
      </c>
      <c r="U1236" s="1394">
        <f>IFERROR(VLOOKUP(M1236,#REF!,5,0),0)</f>
        <v>0</v>
      </c>
      <c r="V1236" s="1394">
        <f t="shared" si="391"/>
        <v>0</v>
      </c>
      <c r="W1236" s="1394"/>
    </row>
    <row r="1237" spans="2:23" ht="30" customHeight="1">
      <c r="B1237" s="1405"/>
      <c r="C1237" s="1415" t="s">
        <v>312</v>
      </c>
      <c r="D1237" s="1409"/>
      <c r="E1237" s="1409"/>
      <c r="F1237" s="1410"/>
      <c r="G1237" s="1410"/>
      <c r="H1237" s="1411"/>
      <c r="I1237" s="1471">
        <f t="shared" ref="I1237:I1240" si="403">PRODUCT(D1237:H1237)</f>
        <v>0</v>
      </c>
      <c r="J1237" s="1396"/>
      <c r="K1237" s="1396"/>
      <c r="O1237" s="1395"/>
      <c r="Q1237" s="1394">
        <f>IFERROR(VLOOKUP(M1237,#REF!,3,0),0)</f>
        <v>0</v>
      </c>
      <c r="R1237" s="1394">
        <f t="shared" si="389"/>
        <v>0</v>
      </c>
      <c r="S1237" s="1394">
        <f>IFERROR(VLOOKUP(M1237,#REF!,6,0),0)</f>
        <v>0</v>
      </c>
      <c r="T1237" s="1394">
        <f t="shared" si="390"/>
        <v>0</v>
      </c>
      <c r="U1237" s="1394">
        <f>IFERROR(VLOOKUP(M1237,#REF!,5,0),0)</f>
        <v>0</v>
      </c>
      <c r="V1237" s="1394">
        <f t="shared" si="391"/>
        <v>0</v>
      </c>
      <c r="W1237" s="1394"/>
    </row>
    <row r="1238" spans="2:23" ht="30" customHeight="1">
      <c r="B1238" s="1405"/>
      <c r="C1238" s="1408" t="s">
        <v>5755</v>
      </c>
      <c r="D1238" s="1409">
        <v>1</v>
      </c>
      <c r="E1238" s="1409">
        <v>1</v>
      </c>
      <c r="F1238" s="1409">
        <f>3+2.53</f>
        <v>5.5299999999999994</v>
      </c>
      <c r="G1238" s="1410">
        <v>0.23</v>
      </c>
      <c r="H1238" s="1411">
        <v>0.38</v>
      </c>
      <c r="I1238" s="1471">
        <f>PRODUCT(D1238:H1238)</f>
        <v>0.48332199999999992</v>
      </c>
      <c r="O1238" s="1395"/>
      <c r="Q1238" s="1394">
        <f>IFERROR(VLOOKUP(M1238,#REF!,3,0),0)</f>
        <v>0</v>
      </c>
      <c r="R1238" s="1394">
        <f t="shared" si="389"/>
        <v>0</v>
      </c>
      <c r="S1238" s="1394">
        <f>IFERROR(VLOOKUP(M1238,#REF!,6,0),0)</f>
        <v>0</v>
      </c>
      <c r="T1238" s="1394">
        <f t="shared" si="390"/>
        <v>0</v>
      </c>
      <c r="U1238" s="1394">
        <f>IFERROR(VLOOKUP(M1238,#REF!,5,0),0)</f>
        <v>0</v>
      </c>
      <c r="V1238" s="1394">
        <f t="shared" si="391"/>
        <v>0</v>
      </c>
      <c r="W1238" s="1394"/>
    </row>
    <row r="1239" spans="2:23" ht="30" customHeight="1">
      <c r="B1239" s="1405"/>
      <c r="C1239" s="1408" t="s">
        <v>5731</v>
      </c>
      <c r="D1239" s="1409">
        <v>1</v>
      </c>
      <c r="E1239" s="1409">
        <v>1</v>
      </c>
      <c r="F1239" s="1410">
        <f>2.53</f>
        <v>2.5299999999999998</v>
      </c>
      <c r="G1239" s="1410">
        <v>0.23</v>
      </c>
      <c r="H1239" s="1411">
        <v>0.45</v>
      </c>
      <c r="I1239" s="1471">
        <f t="shared" si="403"/>
        <v>0.261855</v>
      </c>
      <c r="O1239" s="1395"/>
      <c r="Q1239" s="1394">
        <f>IFERROR(VLOOKUP(M1239,#REF!,3,0),0)</f>
        <v>0</v>
      </c>
      <c r="R1239" s="1394">
        <f t="shared" si="389"/>
        <v>0</v>
      </c>
      <c r="S1239" s="1394">
        <f>IFERROR(VLOOKUP(M1239,#REF!,6,0),0)</f>
        <v>0</v>
      </c>
      <c r="T1239" s="1394">
        <f t="shared" si="390"/>
        <v>0</v>
      </c>
      <c r="U1239" s="1394">
        <f>IFERROR(VLOOKUP(M1239,#REF!,5,0),0)</f>
        <v>0</v>
      </c>
      <c r="V1239" s="1394">
        <f t="shared" si="391"/>
        <v>0</v>
      </c>
      <c r="W1239" s="1394"/>
    </row>
    <row r="1240" spans="2:23" ht="30" customHeight="1">
      <c r="B1240" s="1405"/>
      <c r="C1240" s="1408" t="s">
        <v>5756</v>
      </c>
      <c r="D1240" s="1409">
        <v>1</v>
      </c>
      <c r="E1240" s="1409">
        <v>1</v>
      </c>
      <c r="F1240" s="1410">
        <f>3</f>
        <v>3</v>
      </c>
      <c r="G1240" s="1410">
        <v>0.23</v>
      </c>
      <c r="H1240" s="1411">
        <v>0.38</v>
      </c>
      <c r="I1240" s="1471">
        <f t="shared" si="403"/>
        <v>0.26220000000000004</v>
      </c>
      <c r="J1240" s="110" t="e">
        <f>#REF!+#REF!</f>
        <v>#REF!</v>
      </c>
      <c r="Q1240" s="1394">
        <f>IFERROR(VLOOKUP(M1240,#REF!,3,0),0)</f>
        <v>0</v>
      </c>
      <c r="R1240" s="1394">
        <f t="shared" si="389"/>
        <v>0</v>
      </c>
      <c r="S1240" s="1394">
        <f>IFERROR(VLOOKUP(M1240,#REF!,6,0),0)</f>
        <v>0</v>
      </c>
      <c r="T1240" s="1394">
        <f t="shared" si="390"/>
        <v>0</v>
      </c>
      <c r="U1240" s="1394">
        <f>IFERROR(VLOOKUP(M1240,#REF!,5,0),0)</f>
        <v>0</v>
      </c>
      <c r="V1240" s="1394">
        <f t="shared" si="391"/>
        <v>0</v>
      </c>
      <c r="W1240" s="1394"/>
    </row>
    <row r="1241" spans="2:23" ht="30" customHeight="1">
      <c r="B1241" s="1405"/>
      <c r="C1241" s="1408" t="s">
        <v>5736</v>
      </c>
      <c r="D1241" s="1409">
        <v>1</v>
      </c>
      <c r="E1241" s="1409">
        <v>1</v>
      </c>
      <c r="F1241" s="1409">
        <f>3+2.53</f>
        <v>5.5299999999999994</v>
      </c>
      <c r="G1241" s="1410">
        <v>0.23</v>
      </c>
      <c r="H1241" s="1411">
        <v>0.45</v>
      </c>
      <c r="I1241" s="1471">
        <f>PRODUCT(D1241:H1241)</f>
        <v>0.57235499999999995</v>
      </c>
      <c r="Q1241" s="1394">
        <f>IFERROR(VLOOKUP(M1241,#REF!,3,0),0)</f>
        <v>0</v>
      </c>
      <c r="R1241" s="1394">
        <f t="shared" si="389"/>
        <v>0</v>
      </c>
      <c r="S1241" s="1394">
        <f>IFERROR(VLOOKUP(M1241,#REF!,6,0),0)</f>
        <v>0</v>
      </c>
      <c r="T1241" s="1394">
        <f t="shared" si="390"/>
        <v>0</v>
      </c>
      <c r="U1241" s="1394">
        <f>IFERROR(VLOOKUP(M1241,#REF!,5,0),0)</f>
        <v>0</v>
      </c>
      <c r="V1241" s="1394">
        <f t="shared" si="391"/>
        <v>0</v>
      </c>
      <c r="W1241" s="1394"/>
    </row>
    <row r="1242" spans="2:23" ht="30" customHeight="1">
      <c r="B1242" s="1405"/>
      <c r="C1242" s="1408"/>
      <c r="D1242" s="1409"/>
      <c r="E1242" s="1409"/>
      <c r="F1242" s="1410"/>
      <c r="G1242" s="1410"/>
      <c r="H1242" s="1410"/>
      <c r="I1242" s="1471"/>
      <c r="Q1242" s="1394">
        <f>IFERROR(VLOOKUP(M1242,#REF!,3,0),0)</f>
        <v>0</v>
      </c>
      <c r="R1242" s="1394">
        <f t="shared" si="389"/>
        <v>0</v>
      </c>
      <c r="S1242" s="1394">
        <f>IFERROR(VLOOKUP(M1242,#REF!,6,0),0)</f>
        <v>0</v>
      </c>
      <c r="T1242" s="1394">
        <f t="shared" si="390"/>
        <v>0</v>
      </c>
      <c r="U1242" s="1394">
        <f>IFERROR(VLOOKUP(M1242,#REF!,5,0),0)</f>
        <v>0</v>
      </c>
      <c r="V1242" s="1394">
        <f t="shared" si="391"/>
        <v>0</v>
      </c>
      <c r="W1242" s="1394"/>
    </row>
    <row r="1243" spans="2:23" ht="30" customHeight="1">
      <c r="B1243" s="1405"/>
      <c r="C1243" s="1415" t="s">
        <v>318</v>
      </c>
      <c r="D1243" s="1409"/>
      <c r="E1243" s="1409"/>
      <c r="F1243" s="1410"/>
      <c r="G1243" s="1410"/>
      <c r="H1243" s="1411"/>
      <c r="I1243" s="1471">
        <f t="shared" ref="I1243:I1261" si="404">PRODUCT(D1243:H1243)</f>
        <v>0</v>
      </c>
      <c r="Q1243" s="1394">
        <f>IFERROR(VLOOKUP(M1243,#REF!,3,0),0)</f>
        <v>0</v>
      </c>
      <c r="R1243" s="1394">
        <f t="shared" si="389"/>
        <v>0</v>
      </c>
      <c r="S1243" s="1394">
        <f>IFERROR(VLOOKUP(M1243,#REF!,6,0),0)</f>
        <v>0</v>
      </c>
      <c r="T1243" s="1394">
        <f t="shared" si="390"/>
        <v>0</v>
      </c>
      <c r="U1243" s="1394">
        <f>IFERROR(VLOOKUP(M1243,#REF!,5,0),0)</f>
        <v>0</v>
      </c>
      <c r="V1243" s="1394">
        <f t="shared" si="391"/>
        <v>0</v>
      </c>
      <c r="W1243" s="1394"/>
    </row>
    <row r="1244" spans="2:23" ht="30" customHeight="1">
      <c r="B1244" s="1405"/>
      <c r="C1244" s="1408" t="s">
        <v>327</v>
      </c>
      <c r="D1244" s="1409">
        <v>1</v>
      </c>
      <c r="E1244" s="1409">
        <v>1</v>
      </c>
      <c r="F1244" s="1410">
        <v>3.9</v>
      </c>
      <c r="G1244" s="1410">
        <v>2.77</v>
      </c>
      <c r="H1244" s="1410">
        <v>0.125</v>
      </c>
      <c r="I1244" s="1471">
        <f t="shared" si="404"/>
        <v>1.3503749999999999</v>
      </c>
      <c r="Q1244" s="1394">
        <f>IFERROR(VLOOKUP(M1244,#REF!,3,0),0)</f>
        <v>0</v>
      </c>
      <c r="R1244" s="1394">
        <f t="shared" si="389"/>
        <v>0</v>
      </c>
      <c r="S1244" s="1394">
        <f>IFERROR(VLOOKUP(M1244,#REF!,6,0),0)</f>
        <v>0</v>
      </c>
      <c r="T1244" s="1394">
        <f t="shared" si="390"/>
        <v>0</v>
      </c>
      <c r="U1244" s="1394">
        <f>IFERROR(VLOOKUP(M1244,#REF!,5,0),0)</f>
        <v>0</v>
      </c>
      <c r="V1244" s="1394">
        <f t="shared" si="391"/>
        <v>0</v>
      </c>
      <c r="W1244" s="1394"/>
    </row>
    <row r="1245" spans="2:23" ht="30" customHeight="1">
      <c r="B1245" s="1405"/>
      <c r="C1245" s="1408" t="s">
        <v>5757</v>
      </c>
      <c r="D1245" s="1409">
        <v>1</v>
      </c>
      <c r="E1245" s="1409">
        <v>1</v>
      </c>
      <c r="F1245" s="1410">
        <v>2.5249999999999999</v>
      </c>
      <c r="G1245" s="1410">
        <v>2.77</v>
      </c>
      <c r="H1245" s="1410">
        <v>0.125</v>
      </c>
      <c r="I1245" s="1471">
        <f t="shared" si="404"/>
        <v>0.87428125000000001</v>
      </c>
      <c r="Q1245" s="1394">
        <f>IFERROR(VLOOKUP(M1245,#REF!,3,0),0)</f>
        <v>0</v>
      </c>
      <c r="R1245" s="1394">
        <f t="shared" si="389"/>
        <v>0</v>
      </c>
      <c r="S1245" s="1394">
        <f>IFERROR(VLOOKUP(M1245,#REF!,6,0),0)</f>
        <v>0</v>
      </c>
      <c r="T1245" s="1394">
        <f t="shared" si="390"/>
        <v>0</v>
      </c>
      <c r="U1245" s="1394">
        <f>IFERROR(VLOOKUP(M1245,#REF!,5,0),0)</f>
        <v>0</v>
      </c>
      <c r="V1245" s="1394">
        <f t="shared" si="391"/>
        <v>0</v>
      </c>
      <c r="W1245" s="1394"/>
    </row>
    <row r="1246" spans="2:23" ht="30" customHeight="1">
      <c r="B1246" s="1405"/>
      <c r="C1246" s="1408" t="s">
        <v>332</v>
      </c>
      <c r="D1246" s="1409">
        <v>1</v>
      </c>
      <c r="E1246" s="1409">
        <v>1</v>
      </c>
      <c r="F1246" s="1410">
        <f>2.1</f>
        <v>2.1</v>
      </c>
      <c r="G1246" s="1410">
        <v>2.2999999999999998</v>
      </c>
      <c r="H1246" s="1410">
        <v>0.125</v>
      </c>
      <c r="I1246" s="1471">
        <f t="shared" si="404"/>
        <v>0.60375000000000001</v>
      </c>
      <c r="Q1246" s="1394">
        <f>IFERROR(VLOOKUP(M1246,#REF!,3,0),0)</f>
        <v>0</v>
      </c>
      <c r="R1246" s="1394">
        <f t="shared" si="389"/>
        <v>0</v>
      </c>
      <c r="S1246" s="1394">
        <f>IFERROR(VLOOKUP(M1246,#REF!,6,0),0)</f>
        <v>0</v>
      </c>
      <c r="T1246" s="1394">
        <f t="shared" si="390"/>
        <v>0</v>
      </c>
      <c r="U1246" s="1394">
        <f>IFERROR(VLOOKUP(M1246,#REF!,5,0),0)</f>
        <v>0</v>
      </c>
      <c r="V1246" s="1394">
        <f t="shared" si="391"/>
        <v>0</v>
      </c>
      <c r="W1246" s="1394"/>
    </row>
    <row r="1247" spans="2:23" ht="30" customHeight="1">
      <c r="B1247" s="1405"/>
      <c r="C1247" s="1408" t="s">
        <v>347</v>
      </c>
      <c r="D1247" s="1409">
        <v>1</v>
      </c>
      <c r="E1247" s="1409">
        <v>1</v>
      </c>
      <c r="F1247" s="1410">
        <f>4.325</f>
        <v>4.3250000000000002</v>
      </c>
      <c r="G1247" s="1410">
        <v>2.2999999999999998</v>
      </c>
      <c r="H1247" s="1410">
        <v>0.125</v>
      </c>
      <c r="I1247" s="1471">
        <f t="shared" si="404"/>
        <v>1.2434375</v>
      </c>
      <c r="Q1247" s="1394">
        <f>IFERROR(VLOOKUP(M1247,#REF!,3,0),0)</f>
        <v>0</v>
      </c>
      <c r="R1247" s="1394">
        <f t="shared" si="389"/>
        <v>0</v>
      </c>
      <c r="S1247" s="1394">
        <f>IFERROR(VLOOKUP(M1247,#REF!,6,0),0)</f>
        <v>0</v>
      </c>
      <c r="T1247" s="1394">
        <f t="shared" si="390"/>
        <v>0</v>
      </c>
      <c r="U1247" s="1394">
        <f>IFERROR(VLOOKUP(M1247,#REF!,5,0),0)</f>
        <v>0</v>
      </c>
      <c r="V1247" s="1394">
        <f t="shared" si="391"/>
        <v>0</v>
      </c>
      <c r="W1247" s="1394"/>
    </row>
    <row r="1248" spans="2:23" ht="30" customHeight="1">
      <c r="B1248" s="1405"/>
      <c r="C1248" s="1408"/>
      <c r="D1248" s="1409"/>
      <c r="E1248" s="1409"/>
      <c r="F1248" s="1410"/>
      <c r="G1248" s="1410"/>
      <c r="H1248" s="1410"/>
      <c r="I1248" s="1471"/>
      <c r="Q1248" s="1394">
        <f>IFERROR(VLOOKUP(M1248,#REF!,3,0),0)</f>
        <v>0</v>
      </c>
      <c r="R1248" s="1394">
        <f t="shared" si="389"/>
        <v>0</v>
      </c>
      <c r="S1248" s="1394">
        <f>IFERROR(VLOOKUP(M1248,#REF!,6,0),0)</f>
        <v>0</v>
      </c>
      <c r="T1248" s="1394">
        <f t="shared" si="390"/>
        <v>0</v>
      </c>
      <c r="U1248" s="1394">
        <f>IFERROR(VLOOKUP(M1248,#REF!,5,0),0)</f>
        <v>0</v>
      </c>
      <c r="V1248" s="1394">
        <f t="shared" si="391"/>
        <v>0</v>
      </c>
      <c r="W1248" s="1394"/>
    </row>
    <row r="1249" spans="2:26" ht="30" customHeight="1">
      <c r="B1249" s="1405"/>
      <c r="C1249" s="1415" t="s">
        <v>329</v>
      </c>
      <c r="D1249" s="1409"/>
      <c r="E1249" s="1409"/>
      <c r="F1249" s="1410"/>
      <c r="G1249" s="1410"/>
      <c r="H1249" s="1411"/>
      <c r="I1249" s="1471"/>
      <c r="Q1249" s="1394">
        <f>IFERROR(VLOOKUP(M1249,#REF!,3,0),0)</f>
        <v>0</v>
      </c>
      <c r="R1249" s="1394">
        <f t="shared" si="389"/>
        <v>0</v>
      </c>
      <c r="S1249" s="1394">
        <f>IFERROR(VLOOKUP(M1249,#REF!,6,0),0)</f>
        <v>0</v>
      </c>
      <c r="T1249" s="1394">
        <f t="shared" si="390"/>
        <v>0</v>
      </c>
      <c r="U1249" s="1394">
        <f>IFERROR(VLOOKUP(M1249,#REF!,5,0),0)</f>
        <v>0</v>
      </c>
      <c r="V1249" s="1394">
        <f t="shared" si="391"/>
        <v>0</v>
      </c>
      <c r="W1249" s="1394"/>
    </row>
    <row r="1250" spans="2:26" ht="30" customHeight="1">
      <c r="B1250" s="1405"/>
      <c r="C1250" s="1408" t="s">
        <v>311</v>
      </c>
      <c r="D1250" s="1409">
        <v>1</v>
      </c>
      <c r="E1250" s="1409">
        <v>2</v>
      </c>
      <c r="F1250" s="1410">
        <v>4.2300000000000004</v>
      </c>
      <c r="G1250" s="1410">
        <v>0.23</v>
      </c>
      <c r="H1250" s="1411">
        <v>0.45</v>
      </c>
      <c r="I1250" s="1471">
        <f t="shared" ref="I1250:I1256" si="405">PRODUCT(D1250:H1250)</f>
        <v>0.87561000000000011</v>
      </c>
      <c r="Q1250" s="1394">
        <f>IFERROR(VLOOKUP(M1250,#REF!,3,0),0)</f>
        <v>0</v>
      </c>
      <c r="R1250" s="1394">
        <f t="shared" si="389"/>
        <v>0</v>
      </c>
      <c r="S1250" s="1394">
        <f>IFERROR(VLOOKUP(M1250,#REF!,6,0),0)</f>
        <v>0</v>
      </c>
      <c r="T1250" s="1394">
        <f t="shared" si="390"/>
        <v>0</v>
      </c>
      <c r="U1250" s="1394">
        <f>IFERROR(VLOOKUP(M1250,#REF!,5,0),0)</f>
        <v>0</v>
      </c>
      <c r="V1250" s="1394">
        <f t="shared" si="391"/>
        <v>0</v>
      </c>
      <c r="W1250" s="1394"/>
    </row>
    <row r="1251" spans="2:26" ht="30" customHeight="1">
      <c r="B1251" s="1405"/>
      <c r="C1251" s="1408" t="s">
        <v>312</v>
      </c>
      <c r="D1251" s="1409">
        <v>1</v>
      </c>
      <c r="E1251" s="1409">
        <v>2</v>
      </c>
      <c r="F1251" s="1410">
        <v>3</v>
      </c>
      <c r="G1251" s="1410">
        <v>0.23</v>
      </c>
      <c r="H1251" s="1411">
        <v>0.45</v>
      </c>
      <c r="I1251" s="1471">
        <f t="shared" si="405"/>
        <v>0.62100000000000011</v>
      </c>
      <c r="L1251" s="110">
        <f>2.7*4*1</f>
        <v>10.8</v>
      </c>
      <c r="Q1251" s="1394">
        <f>IFERROR(VLOOKUP(M1251,#REF!,3,0),0)</f>
        <v>0</v>
      </c>
      <c r="R1251" s="1394">
        <f t="shared" si="389"/>
        <v>0</v>
      </c>
      <c r="S1251" s="1394">
        <f>IFERROR(VLOOKUP(M1251,#REF!,6,0),0)</f>
        <v>0</v>
      </c>
      <c r="T1251" s="1394">
        <f t="shared" si="390"/>
        <v>0</v>
      </c>
      <c r="U1251" s="1394">
        <f>IFERROR(VLOOKUP(M1251,#REF!,5,0),0)</f>
        <v>0</v>
      </c>
      <c r="V1251" s="1394">
        <f t="shared" si="391"/>
        <v>0</v>
      </c>
      <c r="W1251" s="1394"/>
    </row>
    <row r="1252" spans="2:26" ht="30" customHeight="1">
      <c r="B1252" s="1405"/>
      <c r="C1252" s="1408" t="s">
        <v>312</v>
      </c>
      <c r="D1252" s="1409">
        <v>1</v>
      </c>
      <c r="E1252" s="1409">
        <v>1</v>
      </c>
      <c r="F1252" s="1410">
        <v>3</v>
      </c>
      <c r="G1252" s="1410">
        <v>0.23</v>
      </c>
      <c r="H1252" s="1411">
        <v>0.38</v>
      </c>
      <c r="I1252" s="1471">
        <f t="shared" si="405"/>
        <v>0.26220000000000004</v>
      </c>
      <c r="Q1252" s="1394">
        <f>IFERROR(VLOOKUP(M1252,#REF!,3,0),0)</f>
        <v>0</v>
      </c>
      <c r="R1252" s="1394">
        <f t="shared" si="389"/>
        <v>0</v>
      </c>
      <c r="S1252" s="1394">
        <f>IFERROR(VLOOKUP(M1252,#REF!,6,0),0)</f>
        <v>0</v>
      </c>
      <c r="T1252" s="1394">
        <f t="shared" si="390"/>
        <v>0</v>
      </c>
      <c r="U1252" s="1394">
        <f>IFERROR(VLOOKUP(M1252,#REF!,5,0),0)</f>
        <v>0</v>
      </c>
      <c r="V1252" s="1394">
        <f t="shared" si="391"/>
        <v>0</v>
      </c>
      <c r="W1252" s="1394"/>
    </row>
    <row r="1253" spans="2:26" ht="30" customHeight="1">
      <c r="B1253" s="1405"/>
      <c r="C1253" s="1408" t="s">
        <v>164</v>
      </c>
      <c r="D1253" s="1409">
        <v>1</v>
      </c>
      <c r="E1253" s="1409">
        <v>2</v>
      </c>
      <c r="F1253" s="1410">
        <v>1.885</v>
      </c>
      <c r="G1253" s="1410">
        <v>2.77</v>
      </c>
      <c r="H1253" s="1410">
        <v>0.15</v>
      </c>
      <c r="I1253" s="1471">
        <f t="shared" si="405"/>
        <v>1.566435</v>
      </c>
      <c r="Q1253" s="1394">
        <f>IFERROR(VLOOKUP(M1253,#REF!,3,0),0)</f>
        <v>0</v>
      </c>
      <c r="R1253" s="1394">
        <f t="shared" si="389"/>
        <v>0</v>
      </c>
      <c r="S1253" s="1394">
        <f>IFERROR(VLOOKUP(M1253,#REF!,6,0),0)</f>
        <v>0</v>
      </c>
      <c r="T1253" s="1394">
        <f t="shared" si="390"/>
        <v>0</v>
      </c>
      <c r="U1253" s="1394">
        <f>IFERROR(VLOOKUP(M1253,#REF!,5,0),0)</f>
        <v>0</v>
      </c>
      <c r="V1253" s="1394">
        <f t="shared" si="391"/>
        <v>0</v>
      </c>
      <c r="W1253" s="1394"/>
    </row>
    <row r="1254" spans="2:26" ht="30" customHeight="1">
      <c r="B1254" s="1405"/>
      <c r="C1254" s="1408" t="s">
        <v>330</v>
      </c>
      <c r="D1254" s="1409">
        <v>1</v>
      </c>
      <c r="E1254" s="1409">
        <v>1</v>
      </c>
      <c r="F1254" s="1410">
        <f>2*(F1250+F1251)</f>
        <v>14.46</v>
      </c>
      <c r="G1254" s="1410">
        <v>0.23</v>
      </c>
      <c r="H1254" s="1411">
        <v>1</v>
      </c>
      <c r="I1254" s="1471">
        <f t="shared" si="405"/>
        <v>3.3258000000000005</v>
      </c>
      <c r="K1254" s="110">
        <f>0.23-0.15</f>
        <v>8.0000000000000016E-2</v>
      </c>
      <c r="Q1254" s="1394">
        <f>IFERROR(VLOOKUP(M1254,#REF!,3,0),0)</f>
        <v>0</v>
      </c>
      <c r="R1254" s="1394">
        <f t="shared" si="389"/>
        <v>0</v>
      </c>
      <c r="S1254" s="1394">
        <f>IFERROR(VLOOKUP(M1254,#REF!,6,0),0)</f>
        <v>0</v>
      </c>
      <c r="T1254" s="1394">
        <f t="shared" si="390"/>
        <v>0</v>
      </c>
      <c r="U1254" s="1394">
        <f>IFERROR(VLOOKUP(M1254,#REF!,5,0),0)</f>
        <v>0</v>
      </c>
      <c r="V1254" s="1394">
        <f t="shared" si="391"/>
        <v>0</v>
      </c>
      <c r="W1254" s="1394"/>
    </row>
    <row r="1255" spans="2:26" ht="30" customHeight="1">
      <c r="B1255" s="1405"/>
      <c r="C1255" s="1408" t="s">
        <v>5758</v>
      </c>
      <c r="D1255" s="1409">
        <v>1</v>
      </c>
      <c r="E1255" s="1409">
        <v>1</v>
      </c>
      <c r="F1255" s="1410">
        <v>3</v>
      </c>
      <c r="G1255" s="1410">
        <v>0.15</v>
      </c>
      <c r="H1255" s="1411">
        <v>1</v>
      </c>
      <c r="I1255" s="1471">
        <f t="shared" si="405"/>
        <v>0.44999999999999996</v>
      </c>
      <c r="Q1255" s="1394">
        <f>IFERROR(VLOOKUP(M1255,#REF!,3,0),0)</f>
        <v>0</v>
      </c>
      <c r="R1255" s="1394">
        <f t="shared" si="389"/>
        <v>0</v>
      </c>
      <c r="S1255" s="1394">
        <f>IFERROR(VLOOKUP(M1255,#REF!,6,0),0)</f>
        <v>0</v>
      </c>
      <c r="T1255" s="1394">
        <f t="shared" si="390"/>
        <v>0</v>
      </c>
      <c r="U1255" s="1394">
        <f>IFERROR(VLOOKUP(M1255,#REF!,5,0),0)</f>
        <v>0</v>
      </c>
      <c r="V1255" s="1394">
        <f t="shared" si="391"/>
        <v>0</v>
      </c>
      <c r="W1255" s="1394"/>
    </row>
    <row r="1256" spans="2:26" ht="30" customHeight="1">
      <c r="B1256" s="1405"/>
      <c r="C1256" s="1408" t="s">
        <v>331</v>
      </c>
      <c r="D1256" s="1409">
        <v>1</v>
      </c>
      <c r="E1256" s="1409">
        <v>2</v>
      </c>
      <c r="F1256" s="1410">
        <f>1.885+0.04</f>
        <v>1.925</v>
      </c>
      <c r="G1256" s="1410">
        <v>2.77</v>
      </c>
      <c r="H1256" s="1410">
        <v>0.125</v>
      </c>
      <c r="I1256" s="1471">
        <f t="shared" si="405"/>
        <v>1.3330625</v>
      </c>
      <c r="L1256" s="110">
        <f>40*135</f>
        <v>5400</v>
      </c>
      <c r="Q1256" s="1394">
        <f>IFERROR(VLOOKUP(M1256,#REF!,3,0),0)</f>
        <v>0</v>
      </c>
      <c r="R1256" s="1394">
        <f t="shared" si="389"/>
        <v>0</v>
      </c>
      <c r="S1256" s="1394">
        <f>IFERROR(VLOOKUP(M1256,#REF!,6,0),0)</f>
        <v>0</v>
      </c>
      <c r="T1256" s="1394">
        <f t="shared" si="390"/>
        <v>0</v>
      </c>
      <c r="U1256" s="1394">
        <f>IFERROR(VLOOKUP(M1256,#REF!,5,0),0)</f>
        <v>0</v>
      </c>
      <c r="V1256" s="1394">
        <f t="shared" si="391"/>
        <v>0</v>
      </c>
      <c r="W1256" s="1394"/>
    </row>
    <row r="1257" spans="2:26" ht="30" customHeight="1">
      <c r="B1257" s="1407"/>
      <c r="C1257" s="1415" t="s">
        <v>5498</v>
      </c>
      <c r="D1257" s="1409"/>
      <c r="E1257" s="1409"/>
      <c r="F1257" s="1410"/>
      <c r="G1257" s="1410"/>
      <c r="H1257" s="1409"/>
      <c r="I1257" s="1471"/>
      <c r="Q1257" s="1394">
        <f>IFERROR(VLOOKUP(M1257,#REF!,3,0),0)</f>
        <v>0</v>
      </c>
      <c r="R1257" s="1394">
        <f t="shared" si="389"/>
        <v>0</v>
      </c>
      <c r="S1257" s="1394">
        <f>IFERROR(VLOOKUP(M1257,#REF!,6,0),0)</f>
        <v>0</v>
      </c>
      <c r="T1257" s="1394">
        <f t="shared" si="390"/>
        <v>0</v>
      </c>
      <c r="U1257" s="1394">
        <f>IFERROR(VLOOKUP(M1257,#REF!,5,0),0)</f>
        <v>0</v>
      </c>
      <c r="V1257" s="1394">
        <f t="shared" si="391"/>
        <v>0</v>
      </c>
      <c r="W1257" s="1394"/>
    </row>
    <row r="1258" spans="2:26" ht="30" customHeight="1">
      <c r="B1258" s="1407"/>
      <c r="C1258" s="1415" t="s">
        <v>332</v>
      </c>
      <c r="D1258" s="1409"/>
      <c r="E1258" s="1409"/>
      <c r="F1258" s="1410"/>
      <c r="G1258" s="1410"/>
      <c r="H1258" s="1411"/>
      <c r="I1258" s="1425"/>
      <c r="Q1258" s="1394">
        <f>IFERROR(VLOOKUP(M1258,#REF!,3,0),0)</f>
        <v>0</v>
      </c>
      <c r="R1258" s="1394">
        <f t="shared" si="389"/>
        <v>0</v>
      </c>
      <c r="S1258" s="1394">
        <f>IFERROR(VLOOKUP(M1258,#REF!,6,0),0)</f>
        <v>0</v>
      </c>
      <c r="T1258" s="1394">
        <f t="shared" si="390"/>
        <v>0</v>
      </c>
      <c r="U1258" s="1394">
        <f>IFERROR(VLOOKUP(M1258,#REF!,5,0),0)</f>
        <v>0</v>
      </c>
      <c r="V1258" s="1394">
        <f t="shared" si="391"/>
        <v>0</v>
      </c>
      <c r="W1258" s="1394"/>
    </row>
    <row r="1259" spans="2:26" ht="30" customHeight="1">
      <c r="B1259" s="1407"/>
      <c r="C1259" s="1408" t="s">
        <v>333</v>
      </c>
      <c r="D1259" s="1409">
        <v>1</v>
      </c>
      <c r="E1259" s="1409">
        <v>1</v>
      </c>
      <c r="F1259" s="1410">
        <f>2*(2.53+2.33)</f>
        <v>9.7199999999999989</v>
      </c>
      <c r="G1259" s="1410">
        <v>0.23</v>
      </c>
      <c r="H1259" s="1411">
        <v>1.2</v>
      </c>
      <c r="I1259" s="1425">
        <f>PRODUCT(D1259:H1259)</f>
        <v>2.6827199999999998</v>
      </c>
      <c r="Q1259" s="1394">
        <f>IFERROR(VLOOKUP(M1259,#REF!,3,0),0)</f>
        <v>0</v>
      </c>
      <c r="R1259" s="1394">
        <f t="shared" si="389"/>
        <v>0</v>
      </c>
      <c r="S1259" s="1394">
        <f>IFERROR(VLOOKUP(M1259,#REF!,6,0),0)</f>
        <v>0</v>
      </c>
      <c r="T1259" s="1394">
        <f t="shared" si="390"/>
        <v>0</v>
      </c>
      <c r="U1259" s="1394">
        <f>IFERROR(VLOOKUP(M1259,#REF!,5,0),0)</f>
        <v>0</v>
      </c>
      <c r="V1259" s="1394">
        <f t="shared" si="391"/>
        <v>0</v>
      </c>
      <c r="W1259" s="1394"/>
    </row>
    <row r="1260" spans="2:26" ht="30" customHeight="1">
      <c r="B1260" s="1405"/>
      <c r="C1260" s="1408"/>
      <c r="D1260" s="1409"/>
      <c r="E1260" s="1409"/>
      <c r="F1260" s="1410"/>
      <c r="G1260" s="1410"/>
      <c r="H1260" s="1410"/>
      <c r="I1260" s="1471">
        <f t="shared" si="404"/>
        <v>0</v>
      </c>
      <c r="L1260" s="110">
        <f>L1256*1.5</f>
        <v>8100</v>
      </c>
      <c r="Q1260" s="1394">
        <f>IFERROR(VLOOKUP(M1260,#REF!,3,0),0)</f>
        <v>0</v>
      </c>
      <c r="R1260" s="1394">
        <f t="shared" si="389"/>
        <v>0</v>
      </c>
      <c r="S1260" s="1394">
        <f>IFERROR(VLOOKUP(M1260,#REF!,6,0),0)</f>
        <v>0</v>
      </c>
      <c r="T1260" s="1394">
        <f t="shared" si="390"/>
        <v>0</v>
      </c>
      <c r="U1260" s="1394">
        <f>IFERROR(VLOOKUP(M1260,#REF!,5,0),0)</f>
        <v>0</v>
      </c>
      <c r="V1260" s="1394">
        <f t="shared" si="391"/>
        <v>0</v>
      </c>
      <c r="W1260" s="1394"/>
    </row>
    <row r="1261" spans="2:26" ht="30" customHeight="1">
      <c r="B1261" s="1405"/>
      <c r="C1261" s="1408"/>
      <c r="D1261" s="1409"/>
      <c r="E1261" s="1409"/>
      <c r="F1261" s="1410"/>
      <c r="G1261" s="1410"/>
      <c r="H1261" s="1410"/>
      <c r="I1261" s="1471">
        <f t="shared" si="404"/>
        <v>0</v>
      </c>
      <c r="K1261" s="110">
        <f>5.53*7</f>
        <v>38.71</v>
      </c>
      <c r="Q1261" s="1394">
        <f>IFERROR(VLOOKUP(M1261,#REF!,3,0),0)</f>
        <v>0</v>
      </c>
      <c r="R1261" s="1394">
        <f t="shared" si="389"/>
        <v>0</v>
      </c>
      <c r="S1261" s="1394">
        <f>IFERROR(VLOOKUP(M1261,#REF!,6,0),0)</f>
        <v>0</v>
      </c>
      <c r="T1261" s="1394">
        <f t="shared" si="390"/>
        <v>0</v>
      </c>
      <c r="U1261" s="1394">
        <f>IFERROR(VLOOKUP(M1261,#REF!,5,0),0)</f>
        <v>0</v>
      </c>
      <c r="V1261" s="1394">
        <f t="shared" si="391"/>
        <v>0</v>
      </c>
      <c r="W1261" s="1394"/>
    </row>
    <row r="1262" spans="2:26" ht="30" customHeight="1">
      <c r="B1262" s="1407"/>
      <c r="C1262" s="1455"/>
      <c r="D1262" s="103"/>
      <c r="E1262" s="103"/>
      <c r="F1262" s="1413"/>
      <c r="G1262" s="1413"/>
      <c r="H1262" s="1414"/>
      <c r="I1262" s="1406">
        <f>J1263-J1262</f>
        <v>1.8604249999999212E-2</v>
      </c>
      <c r="J1262" s="1489">
        <f>SUM(I1202:I1261)</f>
        <v>26.481395750000001</v>
      </c>
      <c r="K1262" s="1397"/>
      <c r="Q1262" s="1394">
        <f>IFERROR(VLOOKUP(M1262,#REF!,3,0),0)</f>
        <v>0</v>
      </c>
      <c r="R1262" s="1394">
        <f t="shared" ref="R1262:R1325" si="406">ROUND(O1262,2)*ROUND(Q1262,2)</f>
        <v>0</v>
      </c>
      <c r="S1262" s="1394">
        <f>IFERROR(VLOOKUP(M1262,#REF!,6,0),0)</f>
        <v>0</v>
      </c>
      <c r="T1262" s="1394">
        <f t="shared" ref="T1262:T1325" si="407">R1262-S1262</f>
        <v>0</v>
      </c>
      <c r="U1262" s="1394">
        <f>IFERROR(VLOOKUP(M1262,#REF!,5,0),0)</f>
        <v>0</v>
      </c>
      <c r="V1262" s="1394">
        <f t="shared" ref="V1262:V1325" si="408">O1262-U1262</f>
        <v>0</v>
      </c>
      <c r="W1262" s="1394"/>
    </row>
    <row r="1263" spans="2:26" ht="30" customHeight="1">
      <c r="B1263" s="1407"/>
      <c r="C1263" s="1455"/>
      <c r="D1263" s="103"/>
      <c r="E1263" s="103"/>
      <c r="F1263" s="1413"/>
      <c r="G1263" s="1413"/>
      <c r="H1263" s="1414"/>
      <c r="I1263" s="1479">
        <f>J1263</f>
        <v>26.5</v>
      </c>
      <c r="J1263" s="1490">
        <f>ROUNDUP(J1262,1)</f>
        <v>26.5</v>
      </c>
      <c r="K1263" s="1394"/>
      <c r="Q1263" s="1394">
        <f>IFERROR(VLOOKUP(M1263,#REF!,3,0),0)</f>
        <v>0</v>
      </c>
      <c r="R1263" s="1394">
        <f t="shared" si="406"/>
        <v>0</v>
      </c>
      <c r="S1263" s="1394">
        <f>IFERROR(VLOOKUP(M1263,#REF!,6,0),0)</f>
        <v>0</v>
      </c>
      <c r="T1263" s="1394">
        <f t="shared" si="407"/>
        <v>0</v>
      </c>
      <c r="U1263" s="1394">
        <f>IFERROR(VLOOKUP(M1263,#REF!,5,0),0)</f>
        <v>0</v>
      </c>
      <c r="V1263" s="1394">
        <f t="shared" si="408"/>
        <v>0</v>
      </c>
      <c r="W1263" s="1394"/>
    </row>
    <row r="1264" spans="2:26" ht="30" customHeight="1">
      <c r="B1264" s="1407"/>
      <c r="C1264" s="1455"/>
      <c r="D1264" s="103"/>
      <c r="E1264" s="103"/>
      <c r="F1264" s="1413"/>
      <c r="G1264" s="1483" t="s">
        <v>11</v>
      </c>
      <c r="H1264" s="1478">
        <f>I1263</f>
        <v>26.5</v>
      </c>
      <c r="I1264" s="1479" t="s">
        <v>19</v>
      </c>
      <c r="M1264" s="1426" t="str">
        <f>A1200</f>
        <v>f.In fourth floor Standardised concrete Mix M20 Grade Concrete</v>
      </c>
      <c r="N1264" s="1394">
        <f>B1200</f>
        <v>0</v>
      </c>
      <c r="O1264" s="1394">
        <f>H1264</f>
        <v>26.5</v>
      </c>
      <c r="P1264" s="1394" t="str">
        <f>I1264</f>
        <v>Cum</v>
      </c>
      <c r="Q1264" s="1394">
        <f>IFERROR(VLOOKUP(M1264,#REF!,3,0),0)</f>
        <v>0</v>
      </c>
      <c r="R1264" s="1394">
        <f t="shared" si="406"/>
        <v>0</v>
      </c>
      <c r="S1264" s="1394">
        <f>IFERROR(VLOOKUP(M1264,#REF!,6,0),0)</f>
        <v>0</v>
      </c>
      <c r="T1264" s="1394">
        <f t="shared" si="407"/>
        <v>0</v>
      </c>
      <c r="U1264" s="1394">
        <f>IFERROR(VLOOKUP(M1264,#REF!,5,0),0)</f>
        <v>0</v>
      </c>
      <c r="V1264" s="1394">
        <f t="shared" si="408"/>
        <v>26.5</v>
      </c>
      <c r="W1264" s="1394"/>
      <c r="Z1264" s="1394"/>
    </row>
    <row r="1265" spans="1:24" ht="111" customHeight="1">
      <c r="A1265" s="110" t="s">
        <v>334</v>
      </c>
      <c r="B1265" s="1405">
        <v>9.5</v>
      </c>
      <c r="C1265" s="1678" t="e">
        <f>VLOOKUP(A1265,#REF!,2,0)</f>
        <v>#REF!</v>
      </c>
      <c r="D1265" s="1678"/>
      <c r="E1265" s="1678"/>
      <c r="F1265" s="1678"/>
      <c r="G1265" s="1678"/>
      <c r="H1265" s="1678"/>
      <c r="I1265" s="1406"/>
      <c r="Q1265" s="1394">
        <f>IFERROR(VLOOKUP(M1265,#REF!,3,0),0)</f>
        <v>0</v>
      </c>
      <c r="R1265" s="1394">
        <f t="shared" si="406"/>
        <v>0</v>
      </c>
      <c r="S1265" s="1394">
        <f>IFERROR(VLOOKUP(M1265,#REF!,6,0),0)</f>
        <v>0</v>
      </c>
      <c r="T1265" s="1394">
        <f t="shared" si="407"/>
        <v>0</v>
      </c>
      <c r="U1265" s="1394">
        <f>IFERROR(VLOOKUP(M1265,#REF!,5,0),0)</f>
        <v>0</v>
      </c>
      <c r="V1265" s="1394">
        <f t="shared" si="408"/>
        <v>0</v>
      </c>
      <c r="W1265" s="1394"/>
      <c r="X1265" s="1397"/>
    </row>
    <row r="1266" spans="1:24" ht="30" customHeight="1">
      <c r="A1266" s="110" t="s">
        <v>335</v>
      </c>
      <c r="B1266" s="1405"/>
      <c r="C1266" s="1678" t="e">
        <f>VLOOKUP(A1266,#REF!,2,0)</f>
        <v>#REF!</v>
      </c>
      <c r="D1266" s="1678"/>
      <c r="E1266" s="1678"/>
      <c r="F1266" s="1678"/>
      <c r="G1266" s="1678"/>
      <c r="H1266" s="1678"/>
      <c r="I1266" s="1406"/>
      <c r="Q1266" s="1394">
        <f>IFERROR(VLOOKUP(M1266,#REF!,3,0),0)</f>
        <v>0</v>
      </c>
      <c r="R1266" s="1394">
        <f t="shared" si="406"/>
        <v>0</v>
      </c>
      <c r="S1266" s="1394">
        <f>IFERROR(VLOOKUP(M1266,#REF!,6,0),0)</f>
        <v>0</v>
      </c>
      <c r="T1266" s="1394">
        <f t="shared" si="407"/>
        <v>0</v>
      </c>
      <c r="U1266" s="1394">
        <f>IFERROR(VLOOKUP(M1266,#REF!,5,0),0)</f>
        <v>0</v>
      </c>
      <c r="V1266" s="1394">
        <f t="shared" si="408"/>
        <v>0</v>
      </c>
      <c r="W1266" s="1394"/>
      <c r="X1266" s="1397"/>
    </row>
    <row r="1267" spans="1:24" ht="30" customHeight="1">
      <c r="B1267" s="1407"/>
      <c r="C1267" s="1455" t="s">
        <v>336</v>
      </c>
      <c r="D1267" s="103">
        <v>1</v>
      </c>
      <c r="E1267" s="103">
        <v>1</v>
      </c>
      <c r="F1267" s="1413">
        <f>L1267/1000</f>
        <v>38.875</v>
      </c>
      <c r="G1267" s="1413">
        <v>0.23</v>
      </c>
      <c r="H1267" s="1414">
        <f>3.3-0.38</f>
        <v>2.92</v>
      </c>
      <c r="I1267" s="1425">
        <f t="shared" ref="I1267:I1270" si="409">PRODUCT(D1267:H1267)</f>
        <v>26.108450000000001</v>
      </c>
      <c r="J1267" s="1397"/>
      <c r="K1267" s="1397"/>
      <c r="L1267" s="110">
        <v>38875</v>
      </c>
      <c r="Q1267" s="1394">
        <f>IFERROR(VLOOKUP(M1267,#REF!,3,0),0)</f>
        <v>0</v>
      </c>
      <c r="R1267" s="1394">
        <f t="shared" si="406"/>
        <v>0</v>
      </c>
      <c r="S1267" s="1394">
        <f>IFERROR(VLOOKUP(M1267,#REF!,6,0),0)</f>
        <v>0</v>
      </c>
      <c r="T1267" s="1394">
        <f t="shared" si="407"/>
        <v>0</v>
      </c>
      <c r="U1267" s="1394">
        <f>IFERROR(VLOOKUP(M1267,#REF!,5,0),0)</f>
        <v>0</v>
      </c>
      <c r="V1267" s="1394">
        <f t="shared" si="408"/>
        <v>0</v>
      </c>
      <c r="W1267" s="1394"/>
    </row>
    <row r="1268" spans="1:24" ht="30" customHeight="1">
      <c r="B1268" s="1407"/>
      <c r="C1268" s="1412" t="s">
        <v>337</v>
      </c>
      <c r="D1268" s="103"/>
      <c r="E1268" s="103"/>
      <c r="F1268" s="1413"/>
      <c r="G1268" s="1413"/>
      <c r="H1268" s="1414"/>
      <c r="I1268" s="1425">
        <f t="shared" si="409"/>
        <v>0</v>
      </c>
      <c r="J1268" s="1397"/>
      <c r="K1268" s="1397"/>
      <c r="Q1268" s="1394">
        <f>IFERROR(VLOOKUP(M1268,#REF!,3,0),0)</f>
        <v>0</v>
      </c>
      <c r="R1268" s="1394">
        <f t="shared" si="406"/>
        <v>0</v>
      </c>
      <c r="S1268" s="1394">
        <f>IFERROR(VLOOKUP(M1268,#REF!,6,0),0)</f>
        <v>0</v>
      </c>
      <c r="T1268" s="1394">
        <f t="shared" si="407"/>
        <v>0</v>
      </c>
      <c r="U1268" s="1394">
        <f>IFERROR(VLOOKUP(M1268,#REF!,5,0),0)</f>
        <v>0</v>
      </c>
      <c r="V1268" s="1394">
        <f t="shared" si="408"/>
        <v>0</v>
      </c>
      <c r="W1268" s="1394"/>
    </row>
    <row r="1269" spans="1:24" ht="30" customHeight="1">
      <c r="B1269" s="1407"/>
      <c r="C1269" s="1455" t="s">
        <v>5588</v>
      </c>
      <c r="D1269" s="103">
        <v>1</v>
      </c>
      <c r="E1269" s="103">
        <v>1</v>
      </c>
      <c r="F1269" s="1413">
        <v>3.125</v>
      </c>
      <c r="G1269" s="1413">
        <v>0.23</v>
      </c>
      <c r="H1269" s="1414">
        <f>H1267</f>
        <v>2.92</v>
      </c>
      <c r="I1269" s="1425">
        <f t="shared" si="409"/>
        <v>2.0987499999999999</v>
      </c>
      <c r="J1269" s="1397"/>
      <c r="K1269" s="1397"/>
      <c r="Q1269" s="1394">
        <f>IFERROR(VLOOKUP(M1269,#REF!,3,0),0)</f>
        <v>0</v>
      </c>
      <c r="R1269" s="1394">
        <f t="shared" si="406"/>
        <v>0</v>
      </c>
      <c r="S1269" s="1394">
        <f>IFERROR(VLOOKUP(M1269,#REF!,6,0),0)</f>
        <v>0</v>
      </c>
      <c r="T1269" s="1394">
        <f t="shared" si="407"/>
        <v>0</v>
      </c>
      <c r="U1269" s="1394">
        <f>IFERROR(VLOOKUP(M1269,#REF!,5,0),0)</f>
        <v>0</v>
      </c>
      <c r="V1269" s="1394">
        <f t="shared" si="408"/>
        <v>0</v>
      </c>
      <c r="W1269" s="1394"/>
    </row>
    <row r="1270" spans="1:24" ht="30" customHeight="1">
      <c r="B1270" s="1407"/>
      <c r="C1270" s="1455" t="s">
        <v>5585</v>
      </c>
      <c r="D1270" s="103">
        <v>1</v>
      </c>
      <c r="E1270" s="103">
        <v>1</v>
      </c>
      <c r="F1270" s="1413">
        <v>2.76</v>
      </c>
      <c r="G1270" s="1413">
        <v>0.23</v>
      </c>
      <c r="H1270" s="1414">
        <f>H1269</f>
        <v>2.92</v>
      </c>
      <c r="I1270" s="1425">
        <f t="shared" si="409"/>
        <v>1.8536160000000002</v>
      </c>
      <c r="J1270" s="1397"/>
      <c r="K1270" s="1397"/>
      <c r="Q1270" s="1394">
        <f>IFERROR(VLOOKUP(M1270,#REF!,3,0),0)</f>
        <v>0</v>
      </c>
      <c r="R1270" s="1394">
        <f t="shared" si="406"/>
        <v>0</v>
      </c>
      <c r="S1270" s="1394">
        <f>IFERROR(VLOOKUP(M1270,#REF!,6,0),0)</f>
        <v>0</v>
      </c>
      <c r="T1270" s="1394">
        <f t="shared" si="407"/>
        <v>0</v>
      </c>
      <c r="U1270" s="1394">
        <f>IFERROR(VLOOKUP(M1270,#REF!,5,0),0)</f>
        <v>0</v>
      </c>
      <c r="V1270" s="1394">
        <f t="shared" si="408"/>
        <v>0</v>
      </c>
      <c r="W1270" s="1394"/>
    </row>
    <row r="1271" spans="1:24" ht="30" customHeight="1">
      <c r="B1271" s="1407"/>
      <c r="C1271" s="1455" t="s">
        <v>5586</v>
      </c>
      <c r="D1271" s="103">
        <v>1</v>
      </c>
      <c r="E1271" s="103">
        <v>1</v>
      </c>
      <c r="F1271" s="1413">
        <v>2.33</v>
      </c>
      <c r="G1271" s="1413">
        <v>0.23</v>
      </c>
      <c r="H1271" s="1414">
        <f t="shared" ref="H1271:H1273" si="410">H1270</f>
        <v>2.92</v>
      </c>
      <c r="I1271" s="1425">
        <f t="shared" ref="I1271" si="411">PRODUCT(D1271:H1271)</f>
        <v>1.5648280000000001</v>
      </c>
      <c r="J1271" s="1397"/>
      <c r="K1271" s="1397"/>
      <c r="Q1271" s="1394">
        <f>IFERROR(VLOOKUP(M1271,#REF!,3,0),0)</f>
        <v>0</v>
      </c>
      <c r="R1271" s="1394">
        <f t="shared" si="406"/>
        <v>0</v>
      </c>
      <c r="S1271" s="1394">
        <f>IFERROR(VLOOKUP(M1271,#REF!,6,0),0)</f>
        <v>0</v>
      </c>
      <c r="T1271" s="1394">
        <f t="shared" si="407"/>
        <v>0</v>
      </c>
      <c r="U1271" s="1394">
        <f>IFERROR(VLOOKUP(M1271,#REF!,5,0),0)</f>
        <v>0</v>
      </c>
      <c r="V1271" s="1394">
        <f t="shared" si="408"/>
        <v>0</v>
      </c>
      <c r="W1271" s="1394"/>
    </row>
    <row r="1272" spans="1:24" ht="30" customHeight="1">
      <c r="B1272" s="1407"/>
      <c r="C1272" s="1455" t="s">
        <v>5587</v>
      </c>
      <c r="D1272" s="103">
        <v>1</v>
      </c>
      <c r="E1272" s="103">
        <v>1</v>
      </c>
      <c r="F1272" s="1413">
        <v>1.5</v>
      </c>
      <c r="G1272" s="1413">
        <v>0.23</v>
      </c>
      <c r="H1272" s="1414">
        <f t="shared" si="410"/>
        <v>2.92</v>
      </c>
      <c r="I1272" s="1425">
        <f t="shared" ref="I1272:I1295" si="412">PRODUCT(D1272:H1272)</f>
        <v>1.0074000000000001</v>
      </c>
      <c r="J1272" s="1397"/>
      <c r="K1272" s="1397"/>
      <c r="Q1272" s="1394">
        <f>IFERROR(VLOOKUP(M1272,#REF!,3,0),0)</f>
        <v>0</v>
      </c>
      <c r="R1272" s="1394">
        <f t="shared" si="406"/>
        <v>0</v>
      </c>
      <c r="S1272" s="1394">
        <f>IFERROR(VLOOKUP(M1272,#REF!,6,0),0)</f>
        <v>0</v>
      </c>
      <c r="T1272" s="1394">
        <f t="shared" si="407"/>
        <v>0</v>
      </c>
      <c r="U1272" s="1394">
        <f>IFERROR(VLOOKUP(M1272,#REF!,5,0),0)</f>
        <v>0</v>
      </c>
      <c r="V1272" s="1394">
        <f t="shared" si="408"/>
        <v>0</v>
      </c>
      <c r="W1272" s="1394"/>
    </row>
    <row r="1273" spans="1:24" ht="30" customHeight="1">
      <c r="B1273" s="1407"/>
      <c r="C1273" s="1455" t="s">
        <v>5622</v>
      </c>
      <c r="D1273" s="103">
        <v>1</v>
      </c>
      <c r="E1273" s="103">
        <v>4</v>
      </c>
      <c r="F1273" s="1413">
        <v>0.6</v>
      </c>
      <c r="G1273" s="1413">
        <v>0.23</v>
      </c>
      <c r="H1273" s="1414">
        <f t="shared" si="410"/>
        <v>2.92</v>
      </c>
      <c r="I1273" s="1425">
        <f t="shared" si="412"/>
        <v>1.6118400000000002</v>
      </c>
      <c r="J1273" s="1397"/>
      <c r="K1273" s="1397"/>
      <c r="Q1273" s="1394">
        <f>IFERROR(VLOOKUP(M1273,#REF!,3,0),0)</f>
        <v>0</v>
      </c>
      <c r="R1273" s="1394">
        <f t="shared" si="406"/>
        <v>0</v>
      </c>
      <c r="S1273" s="1394">
        <f>IFERROR(VLOOKUP(M1273,#REF!,6,0),0)</f>
        <v>0</v>
      </c>
      <c r="T1273" s="1394">
        <f t="shared" si="407"/>
        <v>0</v>
      </c>
      <c r="U1273" s="1394">
        <f>IFERROR(VLOOKUP(M1273,#REF!,5,0),0)</f>
        <v>0</v>
      </c>
      <c r="V1273" s="1394">
        <f t="shared" si="408"/>
        <v>0</v>
      </c>
      <c r="W1273" s="1394"/>
    </row>
    <row r="1274" spans="1:24" ht="30" customHeight="1">
      <c r="B1274" s="1407"/>
      <c r="C1274" s="1455" t="s">
        <v>5589</v>
      </c>
      <c r="D1274" s="103"/>
      <c r="E1274" s="103"/>
      <c r="F1274" s="1413"/>
      <c r="G1274" s="1413"/>
      <c r="H1274" s="1414"/>
      <c r="I1274" s="1425">
        <f t="shared" si="412"/>
        <v>0</v>
      </c>
      <c r="J1274" s="1397"/>
      <c r="K1274" s="1397"/>
      <c r="Q1274" s="1394">
        <f>IFERROR(VLOOKUP(M1274,#REF!,3,0),0)</f>
        <v>0</v>
      </c>
      <c r="R1274" s="1394">
        <f t="shared" si="406"/>
        <v>0</v>
      </c>
      <c r="S1274" s="1394">
        <f>IFERROR(VLOOKUP(M1274,#REF!,6,0),0)</f>
        <v>0</v>
      </c>
      <c r="T1274" s="1394">
        <f t="shared" si="407"/>
        <v>0</v>
      </c>
      <c r="U1274" s="1394">
        <f>IFERROR(VLOOKUP(M1274,#REF!,5,0),0)</f>
        <v>0</v>
      </c>
      <c r="V1274" s="1394">
        <f t="shared" si="408"/>
        <v>0</v>
      </c>
      <c r="W1274" s="1394"/>
    </row>
    <row r="1275" spans="1:24" ht="30" customHeight="1">
      <c r="B1275" s="1407"/>
      <c r="C1275" s="1455" t="s">
        <v>189</v>
      </c>
      <c r="D1275" s="103">
        <v>-1</v>
      </c>
      <c r="E1275" s="103">
        <v>1</v>
      </c>
      <c r="F1275" s="1413">
        <v>1.8</v>
      </c>
      <c r="G1275" s="1413">
        <v>0.23</v>
      </c>
      <c r="H1275" s="1414">
        <v>2.4</v>
      </c>
      <c r="I1275" s="1425">
        <f t="shared" si="412"/>
        <v>-0.99360000000000004</v>
      </c>
      <c r="J1275" s="1397"/>
      <c r="K1275" s="1397"/>
      <c r="Q1275" s="1394">
        <f>IFERROR(VLOOKUP(M1275,#REF!,3,0),0)</f>
        <v>0</v>
      </c>
      <c r="R1275" s="1394">
        <f t="shared" si="406"/>
        <v>0</v>
      </c>
      <c r="S1275" s="1394">
        <f>IFERROR(VLOOKUP(M1275,#REF!,6,0),0)</f>
        <v>0</v>
      </c>
      <c r="T1275" s="1394">
        <f t="shared" si="407"/>
        <v>0</v>
      </c>
      <c r="U1275" s="1394">
        <f>IFERROR(VLOOKUP(M1275,#REF!,5,0),0)</f>
        <v>0</v>
      </c>
      <c r="V1275" s="1394">
        <f t="shared" si="408"/>
        <v>0</v>
      </c>
      <c r="W1275" s="1394"/>
    </row>
    <row r="1276" spans="1:24" ht="30" customHeight="1">
      <c r="B1276" s="1407"/>
      <c r="C1276" s="1455" t="s">
        <v>5507</v>
      </c>
      <c r="D1276" s="103">
        <v>-1</v>
      </c>
      <c r="E1276" s="103">
        <v>1</v>
      </c>
      <c r="F1276" s="1413">
        <v>1.8</v>
      </c>
      <c r="G1276" s="1413">
        <v>0.23</v>
      </c>
      <c r="H1276" s="1414">
        <v>2.1</v>
      </c>
      <c r="I1276" s="1425">
        <f t="shared" ref="I1276" si="413">PRODUCT(D1276:H1276)</f>
        <v>-0.86940000000000006</v>
      </c>
      <c r="J1276" s="1397"/>
      <c r="K1276" s="1397"/>
      <c r="Q1276" s="1394">
        <f>IFERROR(VLOOKUP(M1276,#REF!,3,0),0)</f>
        <v>0</v>
      </c>
      <c r="R1276" s="1394">
        <f t="shared" si="406"/>
        <v>0</v>
      </c>
      <c r="S1276" s="1394">
        <f>IFERROR(VLOOKUP(M1276,#REF!,6,0),0)</f>
        <v>0</v>
      </c>
      <c r="T1276" s="1394">
        <f t="shared" si="407"/>
        <v>0</v>
      </c>
      <c r="U1276" s="1394">
        <f>IFERROR(VLOOKUP(M1276,#REF!,5,0),0)</f>
        <v>0</v>
      </c>
      <c r="V1276" s="1394">
        <f t="shared" si="408"/>
        <v>0</v>
      </c>
      <c r="W1276" s="1394"/>
    </row>
    <row r="1277" spans="1:24" ht="30" customHeight="1">
      <c r="B1277" s="1407"/>
      <c r="C1277" s="1455" t="s">
        <v>256</v>
      </c>
      <c r="D1277" s="103">
        <v>-1</v>
      </c>
      <c r="E1277" s="103">
        <v>1</v>
      </c>
      <c r="F1277" s="1413">
        <v>1.2</v>
      </c>
      <c r="G1277" s="1413">
        <v>0.23</v>
      </c>
      <c r="H1277" s="1414">
        <v>2.1</v>
      </c>
      <c r="I1277" s="1425">
        <f t="shared" ref="I1277" si="414">PRODUCT(D1277:H1277)</f>
        <v>-0.57960000000000012</v>
      </c>
      <c r="J1277" s="1397"/>
      <c r="K1277" s="1397"/>
      <c r="Q1277" s="1394">
        <f>IFERROR(VLOOKUP(M1277,#REF!,3,0),0)</f>
        <v>0</v>
      </c>
      <c r="R1277" s="1394">
        <f t="shared" si="406"/>
        <v>0</v>
      </c>
      <c r="S1277" s="1394">
        <f>IFERROR(VLOOKUP(M1277,#REF!,6,0),0)</f>
        <v>0</v>
      </c>
      <c r="T1277" s="1394">
        <f t="shared" si="407"/>
        <v>0</v>
      </c>
      <c r="U1277" s="1394">
        <f>IFERROR(VLOOKUP(M1277,#REF!,5,0),0)</f>
        <v>0</v>
      </c>
      <c r="V1277" s="1394">
        <f t="shared" si="408"/>
        <v>0</v>
      </c>
      <c r="W1277" s="1394"/>
    </row>
    <row r="1278" spans="1:24" ht="30" customHeight="1">
      <c r="B1278" s="1407"/>
      <c r="C1278" s="1455" t="s">
        <v>5519</v>
      </c>
      <c r="D1278" s="103">
        <v>-1</v>
      </c>
      <c r="E1278" s="103">
        <v>1</v>
      </c>
      <c r="F1278" s="1413">
        <v>1</v>
      </c>
      <c r="G1278" s="1413">
        <v>0.23</v>
      </c>
      <c r="H1278" s="1414">
        <v>2.1</v>
      </c>
      <c r="I1278" s="1425">
        <f t="shared" ref="I1278" si="415">PRODUCT(D1278:H1278)</f>
        <v>-0.48300000000000004</v>
      </c>
      <c r="J1278" s="1397"/>
      <c r="K1278" s="1397"/>
      <c r="Q1278" s="1394">
        <f>IFERROR(VLOOKUP(M1278,#REF!,3,0),0)</f>
        <v>0</v>
      </c>
      <c r="R1278" s="1394">
        <f t="shared" si="406"/>
        <v>0</v>
      </c>
      <c r="S1278" s="1394">
        <f>IFERROR(VLOOKUP(M1278,#REF!,6,0),0)</f>
        <v>0</v>
      </c>
      <c r="T1278" s="1394">
        <f t="shared" si="407"/>
        <v>0</v>
      </c>
      <c r="U1278" s="1394">
        <f>IFERROR(VLOOKUP(M1278,#REF!,5,0),0)</f>
        <v>0</v>
      </c>
      <c r="V1278" s="1394">
        <f t="shared" si="408"/>
        <v>0</v>
      </c>
      <c r="W1278" s="1394"/>
    </row>
    <row r="1279" spans="1:24" ht="30" customHeight="1">
      <c r="B1279" s="1407"/>
      <c r="C1279" s="1455" t="s">
        <v>188</v>
      </c>
      <c r="D1279" s="103">
        <v>-1</v>
      </c>
      <c r="E1279" s="103">
        <v>1</v>
      </c>
      <c r="F1279" s="1413">
        <v>0.75</v>
      </c>
      <c r="G1279" s="1413">
        <v>0.23</v>
      </c>
      <c r="H1279" s="1414">
        <v>2.1</v>
      </c>
      <c r="I1279" s="1425">
        <f t="shared" ref="I1279" si="416">PRODUCT(D1279:H1279)</f>
        <v>-0.36225000000000007</v>
      </c>
      <c r="J1279" s="1397"/>
      <c r="K1279" s="1397"/>
      <c r="Q1279" s="1394">
        <f>IFERROR(VLOOKUP(M1279,#REF!,3,0),0)</f>
        <v>0</v>
      </c>
      <c r="R1279" s="1394">
        <f t="shared" si="406"/>
        <v>0</v>
      </c>
      <c r="S1279" s="1394">
        <f>IFERROR(VLOOKUP(M1279,#REF!,6,0),0)</f>
        <v>0</v>
      </c>
      <c r="T1279" s="1394">
        <f t="shared" si="407"/>
        <v>0</v>
      </c>
      <c r="U1279" s="1394">
        <f>IFERROR(VLOOKUP(M1279,#REF!,5,0),0)</f>
        <v>0</v>
      </c>
      <c r="V1279" s="1394">
        <f t="shared" si="408"/>
        <v>0</v>
      </c>
      <c r="W1279" s="1394"/>
    </row>
    <row r="1280" spans="1:24" ht="30" customHeight="1">
      <c r="B1280" s="1407"/>
      <c r="C1280" s="1455" t="s">
        <v>5516</v>
      </c>
      <c r="D1280" s="103">
        <v>-1</v>
      </c>
      <c r="E1280" s="103">
        <v>1</v>
      </c>
      <c r="F1280" s="1413">
        <v>1.8</v>
      </c>
      <c r="G1280" s="1413">
        <v>0.23</v>
      </c>
      <c r="H1280" s="1414">
        <v>1.8</v>
      </c>
      <c r="I1280" s="1425">
        <f t="shared" ref="I1280" si="417">PRODUCT(D1280:H1280)</f>
        <v>-0.74520000000000008</v>
      </c>
      <c r="J1280" s="1397"/>
      <c r="K1280" s="1397"/>
      <c r="Q1280" s="1394">
        <f>IFERROR(VLOOKUP(M1280,#REF!,3,0),0)</f>
        <v>0</v>
      </c>
      <c r="R1280" s="1394">
        <f t="shared" si="406"/>
        <v>0</v>
      </c>
      <c r="S1280" s="1394">
        <f>IFERROR(VLOOKUP(M1280,#REF!,6,0),0)</f>
        <v>0</v>
      </c>
      <c r="T1280" s="1394">
        <f t="shared" si="407"/>
        <v>0</v>
      </c>
      <c r="U1280" s="1394">
        <f>IFERROR(VLOOKUP(M1280,#REF!,5,0),0)</f>
        <v>0</v>
      </c>
      <c r="V1280" s="1394">
        <f t="shared" si="408"/>
        <v>0</v>
      </c>
      <c r="W1280" s="1394"/>
    </row>
    <row r="1281" spans="2:23" ht="30" customHeight="1">
      <c r="B1281" s="1407"/>
      <c r="C1281" s="1455" t="s">
        <v>5511</v>
      </c>
      <c r="D1281" s="103">
        <v>-1</v>
      </c>
      <c r="E1281" s="103">
        <v>2</v>
      </c>
      <c r="F1281" s="1413">
        <v>1.8</v>
      </c>
      <c r="G1281" s="1413">
        <v>0.23</v>
      </c>
      <c r="H1281" s="1414">
        <v>1.8</v>
      </c>
      <c r="I1281" s="1425">
        <f t="shared" ref="I1281" si="418">PRODUCT(D1281:H1281)</f>
        <v>-1.4904000000000002</v>
      </c>
      <c r="J1281" s="1397"/>
      <c r="K1281" s="1397"/>
      <c r="Q1281" s="1394">
        <f>IFERROR(VLOOKUP(M1281,#REF!,3,0),0)</f>
        <v>0</v>
      </c>
      <c r="R1281" s="1394">
        <f t="shared" si="406"/>
        <v>0</v>
      </c>
      <c r="S1281" s="1394">
        <f>IFERROR(VLOOKUP(M1281,#REF!,6,0),0)</f>
        <v>0</v>
      </c>
      <c r="T1281" s="1394">
        <f t="shared" si="407"/>
        <v>0</v>
      </c>
      <c r="U1281" s="1394">
        <f>IFERROR(VLOOKUP(M1281,#REF!,5,0),0)</f>
        <v>0</v>
      </c>
      <c r="V1281" s="1394">
        <f t="shared" si="408"/>
        <v>0</v>
      </c>
      <c r="W1281" s="1394"/>
    </row>
    <row r="1282" spans="2:23" ht="30" customHeight="1">
      <c r="B1282" s="1407"/>
      <c r="C1282" s="1455" t="s">
        <v>5512</v>
      </c>
      <c r="D1282" s="103">
        <v>-1</v>
      </c>
      <c r="E1282" s="103">
        <v>1</v>
      </c>
      <c r="F1282" s="1413">
        <v>1.5</v>
      </c>
      <c r="G1282" s="1413">
        <v>0.23</v>
      </c>
      <c r="H1282" s="1414">
        <v>1.8</v>
      </c>
      <c r="I1282" s="1425">
        <f t="shared" ref="I1282" si="419">PRODUCT(D1282:H1282)</f>
        <v>-0.62100000000000011</v>
      </c>
      <c r="J1282" s="1397"/>
      <c r="K1282" s="1397"/>
      <c r="Q1282" s="1394">
        <f>IFERROR(VLOOKUP(M1282,#REF!,3,0),0)</f>
        <v>0</v>
      </c>
      <c r="R1282" s="1394">
        <f t="shared" si="406"/>
        <v>0</v>
      </c>
      <c r="S1282" s="1394">
        <f>IFERROR(VLOOKUP(M1282,#REF!,6,0),0)</f>
        <v>0</v>
      </c>
      <c r="T1282" s="1394">
        <f t="shared" si="407"/>
        <v>0</v>
      </c>
      <c r="U1282" s="1394">
        <f>IFERROR(VLOOKUP(M1282,#REF!,5,0),0)</f>
        <v>0</v>
      </c>
      <c r="V1282" s="1394">
        <f t="shared" si="408"/>
        <v>0</v>
      </c>
      <c r="W1282" s="1394"/>
    </row>
    <row r="1283" spans="2:23" ht="30" customHeight="1">
      <c r="B1283" s="1407"/>
      <c r="C1283" s="1455" t="s">
        <v>5515</v>
      </c>
      <c r="D1283" s="103">
        <v>-1</v>
      </c>
      <c r="E1283" s="103">
        <v>1</v>
      </c>
      <c r="F1283" s="1413">
        <v>1.5</v>
      </c>
      <c r="G1283" s="1413">
        <v>0.23</v>
      </c>
      <c r="H1283" s="1414">
        <v>1.35</v>
      </c>
      <c r="I1283" s="1425">
        <f t="shared" ref="I1283" si="420">PRODUCT(D1283:H1283)</f>
        <v>-0.46575000000000005</v>
      </c>
      <c r="J1283" s="1397"/>
      <c r="K1283" s="1397"/>
      <c r="Q1283" s="1394">
        <f>IFERROR(VLOOKUP(M1283,#REF!,3,0),0)</f>
        <v>0</v>
      </c>
      <c r="R1283" s="1394">
        <f t="shared" si="406"/>
        <v>0</v>
      </c>
      <c r="S1283" s="1394">
        <f>IFERROR(VLOOKUP(M1283,#REF!,6,0),0)</f>
        <v>0</v>
      </c>
      <c r="T1283" s="1394">
        <f t="shared" si="407"/>
        <v>0</v>
      </c>
      <c r="U1283" s="1394">
        <f>IFERROR(VLOOKUP(M1283,#REF!,5,0),0)</f>
        <v>0</v>
      </c>
      <c r="V1283" s="1394">
        <f t="shared" si="408"/>
        <v>0</v>
      </c>
      <c r="W1283" s="1394"/>
    </row>
    <row r="1284" spans="2:23" ht="30" customHeight="1">
      <c r="B1284" s="1407"/>
      <c r="C1284" s="1455" t="s">
        <v>251</v>
      </c>
      <c r="D1284" s="103">
        <v>-1</v>
      </c>
      <c r="E1284" s="103">
        <v>1</v>
      </c>
      <c r="F1284" s="1413">
        <v>1</v>
      </c>
      <c r="G1284" s="1413">
        <v>0.23</v>
      </c>
      <c r="H1284" s="1414">
        <v>1.35</v>
      </c>
      <c r="I1284" s="1425">
        <f t="shared" ref="I1284" si="421">PRODUCT(D1284:H1284)</f>
        <v>-0.31050000000000005</v>
      </c>
      <c r="J1284" s="1397"/>
      <c r="K1284" s="1397"/>
      <c r="Q1284" s="1394">
        <f>IFERROR(VLOOKUP(M1284,#REF!,3,0),0)</f>
        <v>0</v>
      </c>
      <c r="R1284" s="1394">
        <f t="shared" si="406"/>
        <v>0</v>
      </c>
      <c r="S1284" s="1394">
        <f>IFERROR(VLOOKUP(M1284,#REF!,6,0),0)</f>
        <v>0</v>
      </c>
      <c r="T1284" s="1394">
        <f t="shared" si="407"/>
        <v>0</v>
      </c>
      <c r="U1284" s="1394">
        <f>IFERROR(VLOOKUP(M1284,#REF!,5,0),0)</f>
        <v>0</v>
      </c>
      <c r="V1284" s="1394">
        <f t="shared" si="408"/>
        <v>0</v>
      </c>
      <c r="W1284" s="1394"/>
    </row>
    <row r="1285" spans="2:23" ht="30" customHeight="1">
      <c r="B1285" s="1407"/>
      <c r="C1285" s="1455" t="s">
        <v>257</v>
      </c>
      <c r="D1285" s="103">
        <v>-1</v>
      </c>
      <c r="E1285" s="103">
        <v>1</v>
      </c>
      <c r="F1285" s="1413">
        <v>0.9</v>
      </c>
      <c r="G1285" s="1413">
        <v>0.23</v>
      </c>
      <c r="H1285" s="1414">
        <v>0.75</v>
      </c>
      <c r="I1285" s="1425">
        <f t="shared" ref="I1285:I1293" si="422">PRODUCT(D1285:H1285)</f>
        <v>-0.15525</v>
      </c>
      <c r="J1285" s="1397"/>
      <c r="K1285" s="1397"/>
      <c r="Q1285" s="1394">
        <f>IFERROR(VLOOKUP(M1285,#REF!,3,0),0)</f>
        <v>0</v>
      </c>
      <c r="R1285" s="1394">
        <f t="shared" si="406"/>
        <v>0</v>
      </c>
      <c r="S1285" s="1394">
        <f>IFERROR(VLOOKUP(M1285,#REF!,6,0),0)</f>
        <v>0</v>
      </c>
      <c r="T1285" s="1394">
        <f t="shared" si="407"/>
        <v>0</v>
      </c>
      <c r="U1285" s="1394">
        <f>IFERROR(VLOOKUP(M1285,#REF!,5,0),0)</f>
        <v>0</v>
      </c>
      <c r="V1285" s="1394">
        <f t="shared" si="408"/>
        <v>0</v>
      </c>
      <c r="W1285" s="1394"/>
    </row>
    <row r="1286" spans="2:23" ht="30" customHeight="1">
      <c r="B1286" s="1407"/>
      <c r="C1286" s="1412" t="s">
        <v>338</v>
      </c>
      <c r="D1286" s="103"/>
      <c r="E1286" s="103"/>
      <c r="F1286" s="1413"/>
      <c r="G1286" s="1413"/>
      <c r="H1286" s="1414"/>
      <c r="I1286" s="1425">
        <f t="shared" si="422"/>
        <v>0</v>
      </c>
      <c r="J1286" s="1397"/>
      <c r="K1286" s="1397"/>
      <c r="Q1286" s="1394">
        <f>IFERROR(VLOOKUP(M1286,#REF!,3,0),0)</f>
        <v>0</v>
      </c>
      <c r="R1286" s="1394">
        <f t="shared" si="406"/>
        <v>0</v>
      </c>
      <c r="S1286" s="1394">
        <f>IFERROR(VLOOKUP(M1286,#REF!,6,0),0)</f>
        <v>0</v>
      </c>
      <c r="T1286" s="1394">
        <f t="shared" si="407"/>
        <v>0</v>
      </c>
      <c r="U1286" s="1394">
        <f>IFERROR(VLOOKUP(M1286,#REF!,5,0),0)</f>
        <v>0</v>
      </c>
      <c r="V1286" s="1394">
        <f t="shared" si="408"/>
        <v>0</v>
      </c>
      <c r="W1286" s="1394"/>
    </row>
    <row r="1287" spans="2:23" ht="30" customHeight="1">
      <c r="B1287" s="1407"/>
      <c r="C1287" s="1455" t="str">
        <f>C1267</f>
        <v>Main wall all alround in stilt floor</v>
      </c>
      <c r="D1287" s="103">
        <f>-D1267</f>
        <v>-1</v>
      </c>
      <c r="E1287" s="103">
        <f>E1267</f>
        <v>1</v>
      </c>
      <c r="F1287" s="1413">
        <f t="shared" ref="F1287:G1287" si="423">F1267</f>
        <v>38.875</v>
      </c>
      <c r="G1287" s="1413">
        <f t="shared" si="423"/>
        <v>0.23</v>
      </c>
      <c r="H1287" s="1414">
        <v>0.1</v>
      </c>
      <c r="I1287" s="1425">
        <f t="shared" si="422"/>
        <v>-0.89412500000000006</v>
      </c>
      <c r="J1287" s="1397"/>
      <c r="K1287" s="1397"/>
      <c r="Q1287" s="1394">
        <f>IFERROR(VLOOKUP(M1287,#REF!,3,0),0)</f>
        <v>0</v>
      </c>
      <c r="R1287" s="1394">
        <f t="shared" si="406"/>
        <v>0</v>
      </c>
      <c r="S1287" s="1394">
        <f>IFERROR(VLOOKUP(M1287,#REF!,6,0),0)</f>
        <v>0</v>
      </c>
      <c r="T1287" s="1394">
        <f t="shared" si="407"/>
        <v>0</v>
      </c>
      <c r="U1287" s="1394">
        <f>IFERROR(VLOOKUP(M1287,#REF!,5,0),0)</f>
        <v>0</v>
      </c>
      <c r="V1287" s="1394">
        <f t="shared" si="408"/>
        <v>0</v>
      </c>
      <c r="W1287" s="1394"/>
    </row>
    <row r="1288" spans="2:23" ht="30" customHeight="1">
      <c r="B1288" s="1407"/>
      <c r="C1288" s="1455" t="str">
        <f t="shared" ref="C1288:G1288" si="424">C1268</f>
        <v>Lift</v>
      </c>
      <c r="D1288" s="103">
        <f t="shared" ref="D1288:D1293" si="425">-D1268</f>
        <v>0</v>
      </c>
      <c r="E1288" s="103">
        <f t="shared" si="424"/>
        <v>0</v>
      </c>
      <c r="F1288" s="1413">
        <f t="shared" si="424"/>
        <v>0</v>
      </c>
      <c r="G1288" s="1413">
        <f t="shared" si="424"/>
        <v>0</v>
      </c>
      <c r="H1288" s="1414"/>
      <c r="I1288" s="1425">
        <f t="shared" si="422"/>
        <v>0</v>
      </c>
      <c r="J1288" s="1397"/>
      <c r="K1288" s="1397"/>
      <c r="Q1288" s="1394">
        <f>IFERROR(VLOOKUP(M1288,#REF!,3,0),0)</f>
        <v>0</v>
      </c>
      <c r="R1288" s="1394">
        <f t="shared" si="406"/>
        <v>0</v>
      </c>
      <c r="S1288" s="1394">
        <f>IFERROR(VLOOKUP(M1288,#REF!,6,0),0)</f>
        <v>0</v>
      </c>
      <c r="T1288" s="1394">
        <f t="shared" si="407"/>
        <v>0</v>
      </c>
      <c r="U1288" s="1394">
        <f>IFERROR(VLOOKUP(M1288,#REF!,5,0),0)</f>
        <v>0</v>
      </c>
      <c r="V1288" s="1394">
        <f t="shared" si="408"/>
        <v>0</v>
      </c>
      <c r="W1288" s="1394"/>
    </row>
    <row r="1289" spans="2:23" ht="30" customHeight="1">
      <c r="B1289" s="1407"/>
      <c r="C1289" s="1455" t="str">
        <f t="shared" ref="C1289:G1289" si="426">C1269</f>
        <v>Cross wall between Toilet and Lift</v>
      </c>
      <c r="D1289" s="103">
        <f t="shared" si="425"/>
        <v>-1</v>
      </c>
      <c r="E1289" s="103">
        <f t="shared" si="426"/>
        <v>1</v>
      </c>
      <c r="F1289" s="1413">
        <f t="shared" si="426"/>
        <v>3.125</v>
      </c>
      <c r="G1289" s="1413">
        <f t="shared" si="426"/>
        <v>0.23</v>
      </c>
      <c r="H1289" s="1414">
        <f>H1287</f>
        <v>0.1</v>
      </c>
      <c r="I1289" s="1425">
        <f t="shared" si="422"/>
        <v>-7.1875000000000008E-2</v>
      </c>
      <c r="J1289" s="1397"/>
      <c r="K1289" s="1397"/>
      <c r="Q1289" s="1394">
        <f>IFERROR(VLOOKUP(M1289,#REF!,3,0),0)</f>
        <v>0</v>
      </c>
      <c r="R1289" s="1394">
        <f t="shared" si="406"/>
        <v>0</v>
      </c>
      <c r="S1289" s="1394">
        <f>IFERROR(VLOOKUP(M1289,#REF!,6,0),0)</f>
        <v>0</v>
      </c>
      <c r="T1289" s="1394">
        <f t="shared" si="407"/>
        <v>0</v>
      </c>
      <c r="U1289" s="1394">
        <f>IFERROR(VLOOKUP(M1289,#REF!,5,0),0)</f>
        <v>0</v>
      </c>
      <c r="V1289" s="1394">
        <f t="shared" si="408"/>
        <v>0</v>
      </c>
      <c r="W1289" s="1394"/>
    </row>
    <row r="1290" spans="2:23" ht="30" customHeight="1">
      <c r="B1290" s="1407"/>
      <c r="C1290" s="1455" t="str">
        <f t="shared" ref="C1290:G1290" si="427">C1270</f>
        <v>Lift Front Wall</v>
      </c>
      <c r="D1290" s="103">
        <f t="shared" si="425"/>
        <v>-1</v>
      </c>
      <c r="E1290" s="103">
        <f t="shared" si="427"/>
        <v>1</v>
      </c>
      <c r="F1290" s="1413">
        <f t="shared" si="427"/>
        <v>2.76</v>
      </c>
      <c r="G1290" s="1413">
        <f t="shared" si="427"/>
        <v>0.23</v>
      </c>
      <c r="H1290" s="1414">
        <f>H1289</f>
        <v>0.1</v>
      </c>
      <c r="I1290" s="1425">
        <f t="shared" si="422"/>
        <v>-6.3480000000000009E-2</v>
      </c>
      <c r="J1290" s="1397"/>
      <c r="K1290" s="1397"/>
      <c r="Q1290" s="1394">
        <f>IFERROR(VLOOKUP(M1290,#REF!,3,0),0)</f>
        <v>0</v>
      </c>
      <c r="R1290" s="1394">
        <f t="shared" si="406"/>
        <v>0</v>
      </c>
      <c r="S1290" s="1394">
        <f>IFERROR(VLOOKUP(M1290,#REF!,6,0),0)</f>
        <v>0</v>
      </c>
      <c r="T1290" s="1394">
        <f t="shared" si="407"/>
        <v>0</v>
      </c>
      <c r="U1290" s="1394">
        <f>IFERROR(VLOOKUP(M1290,#REF!,5,0),0)</f>
        <v>0</v>
      </c>
      <c r="V1290" s="1394">
        <f t="shared" si="408"/>
        <v>0</v>
      </c>
      <c r="W1290" s="1394"/>
    </row>
    <row r="1291" spans="2:23" ht="30" customHeight="1">
      <c r="B1291" s="1407"/>
      <c r="C1291" s="1455" t="str">
        <f t="shared" ref="C1291:G1291" si="428">C1271</f>
        <v>Lift Side Wall</v>
      </c>
      <c r="D1291" s="103">
        <f t="shared" si="425"/>
        <v>-1</v>
      </c>
      <c r="E1291" s="103">
        <f t="shared" si="428"/>
        <v>1</v>
      </c>
      <c r="F1291" s="1413">
        <f t="shared" si="428"/>
        <v>2.33</v>
      </c>
      <c r="G1291" s="1413">
        <f t="shared" si="428"/>
        <v>0.23</v>
      </c>
      <c r="H1291" s="1414">
        <f t="shared" ref="H1291:H1293" si="429">H1290</f>
        <v>0.1</v>
      </c>
      <c r="I1291" s="1425">
        <f t="shared" si="422"/>
        <v>-5.3590000000000006E-2</v>
      </c>
      <c r="J1291" s="1397"/>
      <c r="K1291" s="1397"/>
      <c r="Q1291" s="1394">
        <f>IFERROR(VLOOKUP(M1291,#REF!,3,0),0)</f>
        <v>0</v>
      </c>
      <c r="R1291" s="1394">
        <f t="shared" si="406"/>
        <v>0</v>
      </c>
      <c r="S1291" s="1394">
        <f>IFERROR(VLOOKUP(M1291,#REF!,6,0),0)</f>
        <v>0</v>
      </c>
      <c r="T1291" s="1394">
        <f t="shared" si="407"/>
        <v>0</v>
      </c>
      <c r="U1291" s="1394">
        <f>IFERROR(VLOOKUP(M1291,#REF!,5,0),0)</f>
        <v>0</v>
      </c>
      <c r="V1291" s="1394">
        <f t="shared" si="408"/>
        <v>0</v>
      </c>
      <c r="W1291" s="1394"/>
    </row>
    <row r="1292" spans="2:23" ht="30" customHeight="1">
      <c r="B1292" s="1407"/>
      <c r="C1292" s="1455" t="str">
        <f t="shared" ref="C1292:G1292" si="430">C1272</f>
        <v>Front Entrance Verandah Side Wall</v>
      </c>
      <c r="D1292" s="103">
        <f t="shared" si="425"/>
        <v>-1</v>
      </c>
      <c r="E1292" s="103">
        <f t="shared" si="430"/>
        <v>1</v>
      </c>
      <c r="F1292" s="1413">
        <f t="shared" si="430"/>
        <v>1.5</v>
      </c>
      <c r="G1292" s="1413">
        <f t="shared" si="430"/>
        <v>0.23</v>
      </c>
      <c r="H1292" s="1414">
        <f t="shared" si="429"/>
        <v>0.1</v>
      </c>
      <c r="I1292" s="1425">
        <f t="shared" si="422"/>
        <v>-3.4500000000000003E-2</v>
      </c>
      <c r="J1292" s="1397"/>
      <c r="K1292" s="1397"/>
      <c r="Q1292" s="1394">
        <f>IFERROR(VLOOKUP(M1292,#REF!,3,0),0)</f>
        <v>0</v>
      </c>
      <c r="R1292" s="1394">
        <f t="shared" si="406"/>
        <v>0</v>
      </c>
      <c r="S1292" s="1394">
        <f>IFERROR(VLOOKUP(M1292,#REF!,6,0),0)</f>
        <v>0</v>
      </c>
      <c r="T1292" s="1394">
        <f t="shared" si="407"/>
        <v>0</v>
      </c>
      <c r="U1292" s="1394">
        <f>IFERROR(VLOOKUP(M1292,#REF!,5,0),0)</f>
        <v>0</v>
      </c>
      <c r="V1292" s="1394">
        <f t="shared" si="408"/>
        <v>0</v>
      </c>
      <c r="W1292" s="1394"/>
    </row>
    <row r="1293" spans="2:23" ht="30" customHeight="1">
      <c r="B1293" s="1407"/>
      <c r="C1293" s="1455" t="str">
        <f>C1273</f>
        <v>Elevation Piller</v>
      </c>
      <c r="D1293" s="103">
        <f t="shared" si="425"/>
        <v>-1</v>
      </c>
      <c r="E1293" s="103">
        <f>E1273</f>
        <v>4</v>
      </c>
      <c r="F1293" s="1413">
        <f t="shared" ref="F1293:G1293" si="431">F1273</f>
        <v>0.6</v>
      </c>
      <c r="G1293" s="1413">
        <f t="shared" si="431"/>
        <v>0.23</v>
      </c>
      <c r="H1293" s="1414">
        <f t="shared" si="429"/>
        <v>0.1</v>
      </c>
      <c r="I1293" s="1425">
        <f t="shared" si="422"/>
        <v>-5.5200000000000006E-2</v>
      </c>
      <c r="J1293" s="1397"/>
      <c r="K1293" s="1397"/>
      <c r="Q1293" s="1394">
        <f>IFERROR(VLOOKUP(M1293,#REF!,3,0),0)</f>
        <v>0</v>
      </c>
      <c r="R1293" s="1394">
        <f t="shared" si="406"/>
        <v>0</v>
      </c>
      <c r="S1293" s="1394">
        <f>IFERROR(VLOOKUP(M1293,#REF!,6,0),0)</f>
        <v>0</v>
      </c>
      <c r="T1293" s="1394">
        <f t="shared" si="407"/>
        <v>0</v>
      </c>
      <c r="U1293" s="1394">
        <f>IFERROR(VLOOKUP(M1293,#REF!,5,0),0)</f>
        <v>0</v>
      </c>
      <c r="V1293" s="1394">
        <f t="shared" si="408"/>
        <v>0</v>
      </c>
      <c r="W1293" s="1394"/>
    </row>
    <row r="1294" spans="2:23" ht="30" customHeight="1">
      <c r="B1294" s="1407"/>
      <c r="C1294" s="1455"/>
      <c r="D1294" s="103"/>
      <c r="E1294" s="103"/>
      <c r="F1294" s="1413"/>
      <c r="G1294" s="1413"/>
      <c r="H1294" s="1414"/>
      <c r="I1294" s="1425"/>
      <c r="J1294" s="1397"/>
      <c r="K1294" s="1397"/>
      <c r="Q1294" s="1394">
        <f>IFERROR(VLOOKUP(M1294,#REF!,3,0),0)</f>
        <v>0</v>
      </c>
      <c r="R1294" s="1394">
        <f t="shared" si="406"/>
        <v>0</v>
      </c>
      <c r="S1294" s="1394">
        <f>IFERROR(VLOOKUP(M1294,#REF!,6,0),0)</f>
        <v>0</v>
      </c>
      <c r="T1294" s="1394">
        <f t="shared" si="407"/>
        <v>0</v>
      </c>
      <c r="U1294" s="1394">
        <f>IFERROR(VLOOKUP(M1294,#REF!,5,0),0)</f>
        <v>0</v>
      </c>
      <c r="V1294" s="1394">
        <f t="shared" si="408"/>
        <v>0</v>
      </c>
      <c r="W1294" s="1394"/>
    </row>
    <row r="1295" spans="2:23" ht="30" customHeight="1">
      <c r="B1295" s="1407"/>
      <c r="C1295" s="1455"/>
      <c r="D1295" s="103"/>
      <c r="E1295" s="103"/>
      <c r="F1295" s="1413"/>
      <c r="G1295" s="1413"/>
      <c r="H1295" s="1414"/>
      <c r="I1295" s="1425">
        <f t="shared" si="412"/>
        <v>0</v>
      </c>
      <c r="J1295" s="1397"/>
      <c r="K1295" s="1397"/>
      <c r="Q1295" s="1394">
        <f>IFERROR(VLOOKUP(M1295,#REF!,3,0),0)</f>
        <v>0</v>
      </c>
      <c r="R1295" s="1394">
        <f t="shared" si="406"/>
        <v>0</v>
      </c>
      <c r="S1295" s="1394">
        <f>IFERROR(VLOOKUP(M1295,#REF!,6,0),0)</f>
        <v>0</v>
      </c>
      <c r="T1295" s="1394">
        <f t="shared" si="407"/>
        <v>0</v>
      </c>
      <c r="U1295" s="1394">
        <f>IFERROR(VLOOKUP(M1295,#REF!,5,0),0)</f>
        <v>0</v>
      </c>
      <c r="V1295" s="1394">
        <f t="shared" si="408"/>
        <v>0</v>
      </c>
      <c r="W1295" s="1394"/>
    </row>
    <row r="1296" spans="2:23" s="1394" customFormat="1" ht="30" customHeight="1">
      <c r="B1296" s="1421"/>
      <c r="C1296" s="1422" t="s">
        <v>270</v>
      </c>
      <c r="D1296" s="1389"/>
      <c r="E1296" s="1389"/>
      <c r="F1296" s="1423"/>
      <c r="G1296" s="1423"/>
      <c r="H1296" s="1424"/>
      <c r="I1296" s="1425">
        <f>J1297-J1296</f>
        <v>3.8359999999961758E-3</v>
      </c>
      <c r="J1296" s="1394">
        <f>SUM(I1267:I1295)</f>
        <v>25.996164000000004</v>
      </c>
      <c r="M1296" s="1426"/>
      <c r="Q1296" s="1394">
        <f>IFERROR(VLOOKUP(M1296,#REF!,3,0),0)</f>
        <v>0</v>
      </c>
      <c r="R1296" s="1394">
        <f t="shared" si="406"/>
        <v>0</v>
      </c>
      <c r="S1296" s="1394">
        <f>IFERROR(VLOOKUP(M1296,#REF!,6,0),0)</f>
        <v>0</v>
      </c>
      <c r="T1296" s="1394">
        <f t="shared" si="407"/>
        <v>0</v>
      </c>
      <c r="U1296" s="1394">
        <f>IFERROR(VLOOKUP(M1296,#REF!,5,0),0)</f>
        <v>0</v>
      </c>
      <c r="V1296" s="1394">
        <f t="shared" si="408"/>
        <v>0</v>
      </c>
    </row>
    <row r="1297" spans="1:24" s="1394" customFormat="1" ht="30" customHeight="1">
      <c r="B1297" s="1421"/>
      <c r="C1297" s="1422"/>
      <c r="D1297" s="1389"/>
      <c r="E1297" s="1389"/>
      <c r="F1297" s="1423"/>
      <c r="G1297" s="1423"/>
      <c r="H1297" s="1424"/>
      <c r="I1297" s="1427">
        <f>+J1297</f>
        <v>26</v>
      </c>
      <c r="J1297" s="1394">
        <f>ROUNDUP(J1296,1)</f>
        <v>26</v>
      </c>
      <c r="M1297" s="1426"/>
      <c r="Q1297" s="1394">
        <f>IFERROR(VLOOKUP(M1297,#REF!,3,0),0)</f>
        <v>0</v>
      </c>
      <c r="R1297" s="1394">
        <f t="shared" si="406"/>
        <v>0</v>
      </c>
      <c r="S1297" s="1394">
        <f>IFERROR(VLOOKUP(M1297,#REF!,6,0),0)</f>
        <v>0</v>
      </c>
      <c r="T1297" s="1394">
        <f t="shared" si="407"/>
        <v>0</v>
      </c>
      <c r="U1297" s="1394">
        <f>IFERROR(VLOOKUP(M1297,#REF!,5,0),0)</f>
        <v>0</v>
      </c>
      <c r="V1297" s="1394">
        <f t="shared" si="408"/>
        <v>0</v>
      </c>
    </row>
    <row r="1298" spans="1:24" s="1394" customFormat="1" ht="30" customHeight="1">
      <c r="B1298" s="1421"/>
      <c r="C1298" s="1422"/>
      <c r="D1298" s="1389"/>
      <c r="E1298" s="1389"/>
      <c r="F1298" s="1423"/>
      <c r="G1298" s="1428" t="s">
        <v>11</v>
      </c>
      <c r="H1298" s="1429">
        <f>I1297</f>
        <v>26</v>
      </c>
      <c r="I1298" s="1427" t="s">
        <v>19</v>
      </c>
      <c r="M1298" s="1426" t="str">
        <f>A1266</f>
        <v>a. In Ground Floor Brick work in C.M. 1:6  using Kiln Burnt Country bricks of size 22 x 11 x 7 cm ( 8 3/4" x 4 1/4" x 2 3/4")</v>
      </c>
      <c r="N1298" s="1394">
        <f>B1266</f>
        <v>0</v>
      </c>
      <c r="O1298" s="1394">
        <f>H1298</f>
        <v>26</v>
      </c>
      <c r="P1298" s="1394" t="str">
        <f>I1298</f>
        <v>Cum</v>
      </c>
      <c r="Q1298" s="1394">
        <f>IFERROR(VLOOKUP(M1298,#REF!,3,0),0)</f>
        <v>0</v>
      </c>
      <c r="R1298" s="1394">
        <f t="shared" si="406"/>
        <v>0</v>
      </c>
      <c r="S1298" s="1394">
        <f>IFERROR(VLOOKUP(M1298,#REF!,6,0),0)</f>
        <v>0</v>
      </c>
      <c r="T1298" s="1394">
        <f t="shared" si="407"/>
        <v>0</v>
      </c>
      <c r="U1298" s="1394">
        <f>IFERROR(VLOOKUP(M1298,#REF!,5,0),0)</f>
        <v>0</v>
      </c>
      <c r="V1298" s="1394">
        <f t="shared" si="408"/>
        <v>26</v>
      </c>
    </row>
    <row r="1299" spans="1:24" ht="30" customHeight="1">
      <c r="A1299" s="110" t="s">
        <v>339</v>
      </c>
      <c r="B1299" s="1405"/>
      <c r="C1299" s="1678" t="e">
        <f>VLOOKUP(A1299,#REF!,2,0)</f>
        <v>#REF!</v>
      </c>
      <c r="D1299" s="1678"/>
      <c r="E1299" s="1678"/>
      <c r="F1299" s="1678"/>
      <c r="G1299" s="1678"/>
      <c r="H1299" s="1678"/>
      <c r="I1299" s="1406"/>
      <c r="Q1299" s="1394">
        <f>IFERROR(VLOOKUP(M1299,#REF!,3,0),0)</f>
        <v>0</v>
      </c>
      <c r="R1299" s="1394">
        <f t="shared" si="406"/>
        <v>0</v>
      </c>
      <c r="S1299" s="1394">
        <f>IFERROR(VLOOKUP(M1299,#REF!,6,0),0)</f>
        <v>0</v>
      </c>
      <c r="T1299" s="1394">
        <f t="shared" si="407"/>
        <v>0</v>
      </c>
      <c r="U1299" s="1394">
        <f>IFERROR(VLOOKUP(M1299,#REF!,5,0),0)</f>
        <v>0</v>
      </c>
      <c r="V1299" s="1394">
        <f t="shared" si="408"/>
        <v>0</v>
      </c>
      <c r="W1299" s="1394"/>
      <c r="X1299" s="1397"/>
    </row>
    <row r="1300" spans="1:24" ht="30" customHeight="1">
      <c r="B1300" s="1405"/>
      <c r="C1300" s="1455" t="s">
        <v>323</v>
      </c>
      <c r="D1300" s="103">
        <v>1</v>
      </c>
      <c r="E1300" s="103">
        <v>1</v>
      </c>
      <c r="F1300" s="1413">
        <f>L1300/1000</f>
        <v>86.29</v>
      </c>
      <c r="G1300" s="1413">
        <v>0.23</v>
      </c>
      <c r="H1300" s="1414">
        <f>H1273</f>
        <v>2.92</v>
      </c>
      <c r="I1300" s="1425">
        <f t="shared" ref="I1300:I1327" si="432">PRODUCT(D1300:H1300)</f>
        <v>57.952364000000003</v>
      </c>
      <c r="L1300" s="110">
        <v>86290</v>
      </c>
      <c r="Q1300" s="1394">
        <f>IFERROR(VLOOKUP(M1300,#REF!,3,0),0)</f>
        <v>0</v>
      </c>
      <c r="R1300" s="1394">
        <f t="shared" si="406"/>
        <v>0</v>
      </c>
      <c r="S1300" s="1394">
        <f>IFERROR(VLOOKUP(M1300,#REF!,6,0),0)</f>
        <v>0</v>
      </c>
      <c r="T1300" s="1394">
        <f t="shared" si="407"/>
        <v>0</v>
      </c>
      <c r="U1300" s="1394">
        <f>IFERROR(VLOOKUP(M1300,#REF!,5,0),0)</f>
        <v>0</v>
      </c>
      <c r="V1300" s="1394">
        <f t="shared" si="408"/>
        <v>0</v>
      </c>
      <c r="W1300" s="1394"/>
    </row>
    <row r="1301" spans="1:24" ht="30" customHeight="1">
      <c r="A1301" s="110" t="s">
        <v>5627</v>
      </c>
      <c r="B1301" s="1407"/>
      <c r="C1301" s="1455" t="s">
        <v>5585</v>
      </c>
      <c r="D1301" s="103">
        <v>1</v>
      </c>
      <c r="E1301" s="103">
        <v>1</v>
      </c>
      <c r="F1301" s="1413">
        <v>2.5350000000000001</v>
      </c>
      <c r="G1301" s="1413">
        <v>0.23</v>
      </c>
      <c r="H1301" s="1414">
        <f>H1300</f>
        <v>2.92</v>
      </c>
      <c r="I1301" s="1425">
        <f t="shared" si="432"/>
        <v>1.7025060000000001</v>
      </c>
      <c r="J1301" s="1397"/>
      <c r="K1301" s="1397"/>
      <c r="Q1301" s="1394">
        <f>IFERROR(VLOOKUP(M1301,#REF!,3,0),0)</f>
        <v>0</v>
      </c>
      <c r="R1301" s="1394">
        <f t="shared" si="406"/>
        <v>0</v>
      </c>
      <c r="S1301" s="1394">
        <f>IFERROR(VLOOKUP(M1301,#REF!,6,0),0)</f>
        <v>0</v>
      </c>
      <c r="T1301" s="1394">
        <f t="shared" si="407"/>
        <v>0</v>
      </c>
      <c r="U1301" s="1394">
        <f>IFERROR(VLOOKUP(M1301,#REF!,5,0),0)</f>
        <v>0</v>
      </c>
      <c r="V1301" s="1394">
        <f t="shared" si="408"/>
        <v>0</v>
      </c>
      <c r="W1301" s="1394"/>
    </row>
    <row r="1302" spans="1:24" ht="30" customHeight="1">
      <c r="B1302" s="1407"/>
      <c r="C1302" s="1455" t="s">
        <v>5586</v>
      </c>
      <c r="D1302" s="103">
        <v>1</v>
      </c>
      <c r="E1302" s="103">
        <v>1</v>
      </c>
      <c r="F1302" s="1413">
        <v>2.33</v>
      </c>
      <c r="G1302" s="1413">
        <v>0.23</v>
      </c>
      <c r="H1302" s="1414">
        <f t="shared" ref="H1302:H1303" si="433">H1301</f>
        <v>2.92</v>
      </c>
      <c r="I1302" s="1425">
        <f t="shared" ref="I1302" si="434">PRODUCT(D1302:H1302)</f>
        <v>1.5648280000000001</v>
      </c>
      <c r="J1302" s="1397"/>
      <c r="K1302" s="1397"/>
      <c r="Q1302" s="1394">
        <f>IFERROR(VLOOKUP(M1302,#REF!,3,0),0)</f>
        <v>0</v>
      </c>
      <c r="R1302" s="1394">
        <f t="shared" si="406"/>
        <v>0</v>
      </c>
      <c r="S1302" s="1394">
        <f>IFERROR(VLOOKUP(M1302,#REF!,6,0),0)</f>
        <v>0</v>
      </c>
      <c r="T1302" s="1394">
        <f t="shared" si="407"/>
        <v>0</v>
      </c>
      <c r="U1302" s="1394">
        <f>IFERROR(VLOOKUP(M1302,#REF!,5,0),0)</f>
        <v>0</v>
      </c>
      <c r="V1302" s="1394">
        <f t="shared" si="408"/>
        <v>0</v>
      </c>
      <c r="W1302" s="1394"/>
    </row>
    <row r="1303" spans="1:24" ht="34.5" customHeight="1">
      <c r="B1303" s="1407"/>
      <c r="C1303" s="1455" t="s">
        <v>5590</v>
      </c>
      <c r="D1303" s="103">
        <v>1</v>
      </c>
      <c r="E1303" s="103">
        <v>1</v>
      </c>
      <c r="F1303" s="1413">
        <v>7.1150000000000002</v>
      </c>
      <c r="G1303" s="1413">
        <v>0.23</v>
      </c>
      <c r="H1303" s="1414">
        <f t="shared" si="433"/>
        <v>2.92</v>
      </c>
      <c r="I1303" s="1425">
        <f t="shared" ref="I1303" si="435">PRODUCT(D1303:H1303)</f>
        <v>4.7784340000000007</v>
      </c>
      <c r="J1303" s="1397"/>
      <c r="K1303" s="1397"/>
      <c r="Q1303" s="1394">
        <f>IFERROR(VLOOKUP(M1303,#REF!,3,0),0)</f>
        <v>0</v>
      </c>
      <c r="R1303" s="1394">
        <f t="shared" si="406"/>
        <v>0</v>
      </c>
      <c r="S1303" s="1394">
        <f>IFERROR(VLOOKUP(M1303,#REF!,6,0),0)</f>
        <v>0</v>
      </c>
      <c r="T1303" s="1394">
        <f t="shared" si="407"/>
        <v>0</v>
      </c>
      <c r="U1303" s="1394">
        <f>IFERROR(VLOOKUP(M1303,#REF!,5,0),0)</f>
        <v>0</v>
      </c>
      <c r="V1303" s="1394">
        <f t="shared" si="408"/>
        <v>0</v>
      </c>
      <c r="W1303" s="1394"/>
    </row>
    <row r="1304" spans="1:24" ht="30" customHeight="1">
      <c r="B1304" s="1407"/>
      <c r="C1304" s="1412" t="s">
        <v>5591</v>
      </c>
      <c r="D1304" s="103"/>
      <c r="E1304" s="103"/>
      <c r="F1304" s="1413"/>
      <c r="G1304" s="1413"/>
      <c r="H1304" s="1414"/>
      <c r="I1304" s="1425">
        <f t="shared" si="432"/>
        <v>0</v>
      </c>
      <c r="Q1304" s="1394">
        <f>IFERROR(VLOOKUP(M1304,#REF!,3,0),0)</f>
        <v>0</v>
      </c>
      <c r="R1304" s="1394">
        <f t="shared" si="406"/>
        <v>0</v>
      </c>
      <c r="S1304" s="1394">
        <f>IFERROR(VLOOKUP(M1304,#REF!,6,0),0)</f>
        <v>0</v>
      </c>
      <c r="T1304" s="1394">
        <f t="shared" si="407"/>
        <v>0</v>
      </c>
      <c r="U1304" s="1394">
        <f>IFERROR(VLOOKUP(M1304,#REF!,5,0),0)</f>
        <v>0</v>
      </c>
      <c r="V1304" s="1394">
        <f t="shared" si="408"/>
        <v>0</v>
      </c>
      <c r="W1304" s="1394"/>
    </row>
    <row r="1305" spans="1:24" ht="30" customHeight="1">
      <c r="B1305" s="1407"/>
      <c r="C1305" s="1455" t="s">
        <v>5618</v>
      </c>
      <c r="D1305" s="103">
        <v>1</v>
      </c>
      <c r="E1305" s="103">
        <v>1</v>
      </c>
      <c r="F1305" s="1413">
        <v>4</v>
      </c>
      <c r="G1305" s="1413">
        <v>0.23</v>
      </c>
      <c r="H1305" s="1414">
        <f>H1303</f>
        <v>2.92</v>
      </c>
      <c r="I1305" s="1425">
        <f t="shared" si="432"/>
        <v>2.6863999999999999</v>
      </c>
      <c r="K1305" s="110">
        <v>1.7649999999999999</v>
      </c>
      <c r="Q1305" s="1394">
        <f>IFERROR(VLOOKUP(M1305,#REF!,3,0),0)</f>
        <v>0</v>
      </c>
      <c r="R1305" s="1394">
        <f t="shared" si="406"/>
        <v>0</v>
      </c>
      <c r="S1305" s="1394">
        <f>IFERROR(VLOOKUP(M1305,#REF!,6,0),0)</f>
        <v>0</v>
      </c>
      <c r="T1305" s="1394">
        <f t="shared" si="407"/>
        <v>0</v>
      </c>
      <c r="U1305" s="1394">
        <f>IFERROR(VLOOKUP(M1305,#REF!,5,0),0)</f>
        <v>0</v>
      </c>
      <c r="V1305" s="1394">
        <f t="shared" si="408"/>
        <v>0</v>
      </c>
      <c r="W1305" s="1394"/>
    </row>
    <row r="1306" spans="1:24" ht="30" customHeight="1">
      <c r="B1306" s="1407"/>
      <c r="C1306" s="1455" t="s">
        <v>5619</v>
      </c>
      <c r="D1306" s="103">
        <v>-1</v>
      </c>
      <c r="E1306" s="103">
        <v>1</v>
      </c>
      <c r="F1306" s="1413">
        <v>1</v>
      </c>
      <c r="G1306" s="1413">
        <v>0.23</v>
      </c>
      <c r="H1306" s="1414">
        <f>H1305</f>
        <v>2.92</v>
      </c>
      <c r="I1306" s="1425">
        <f t="shared" si="432"/>
        <v>-0.67159999999999997</v>
      </c>
      <c r="Q1306" s="1394">
        <f>IFERROR(VLOOKUP(M1306,#REF!,3,0),0)</f>
        <v>0</v>
      </c>
      <c r="R1306" s="1394">
        <f t="shared" si="406"/>
        <v>0</v>
      </c>
      <c r="S1306" s="1394">
        <f>IFERROR(VLOOKUP(M1306,#REF!,6,0),0)</f>
        <v>0</v>
      </c>
      <c r="T1306" s="1394">
        <f t="shared" si="407"/>
        <v>0</v>
      </c>
      <c r="U1306" s="1394">
        <f>IFERROR(VLOOKUP(M1306,#REF!,5,0),0)</f>
        <v>0</v>
      </c>
      <c r="V1306" s="1394">
        <f t="shared" si="408"/>
        <v>0</v>
      </c>
      <c r="W1306" s="1394"/>
    </row>
    <row r="1307" spans="1:24" ht="30" customHeight="1">
      <c r="B1307" s="1407"/>
      <c r="C1307" s="1455" t="s">
        <v>5502</v>
      </c>
      <c r="D1307" s="103">
        <v>1</v>
      </c>
      <c r="E1307" s="103">
        <v>1</v>
      </c>
      <c r="F1307" s="1413">
        <v>0.23</v>
      </c>
      <c r="G1307" s="1413">
        <v>0.23</v>
      </c>
      <c r="H1307" s="1414">
        <f t="shared" ref="H1307:H1308" si="436">H1306</f>
        <v>2.92</v>
      </c>
      <c r="I1307" s="1425">
        <f t="shared" si="432"/>
        <v>0.15446799999999999</v>
      </c>
      <c r="Q1307" s="1394">
        <f>IFERROR(VLOOKUP(M1307,#REF!,3,0),0)</f>
        <v>0</v>
      </c>
      <c r="R1307" s="1394">
        <f t="shared" si="406"/>
        <v>0</v>
      </c>
      <c r="S1307" s="1394">
        <f>IFERROR(VLOOKUP(M1307,#REF!,6,0),0)</f>
        <v>0</v>
      </c>
      <c r="T1307" s="1394">
        <f t="shared" si="407"/>
        <v>0</v>
      </c>
      <c r="U1307" s="1394">
        <f>IFERROR(VLOOKUP(M1307,#REF!,5,0),0)</f>
        <v>0</v>
      </c>
      <c r="V1307" s="1394">
        <f t="shared" si="408"/>
        <v>0</v>
      </c>
      <c r="W1307" s="1394"/>
    </row>
    <row r="1308" spans="1:24" ht="30" customHeight="1">
      <c r="B1308" s="1407"/>
      <c r="C1308" s="1455" t="s">
        <v>5592</v>
      </c>
      <c r="D1308" s="103">
        <v>1</v>
      </c>
      <c r="E1308" s="103">
        <v>1</v>
      </c>
      <c r="F1308" s="1413">
        <v>5.53</v>
      </c>
      <c r="G1308" s="1413">
        <v>0.23</v>
      </c>
      <c r="H1308" s="1414">
        <f t="shared" si="436"/>
        <v>2.92</v>
      </c>
      <c r="I1308" s="1425">
        <f t="shared" si="432"/>
        <v>3.7139479999999998</v>
      </c>
      <c r="Q1308" s="1394">
        <f>IFERROR(VLOOKUP(M1308,#REF!,3,0),0)</f>
        <v>0</v>
      </c>
      <c r="R1308" s="1394">
        <f t="shared" si="406"/>
        <v>0</v>
      </c>
      <c r="S1308" s="1394">
        <f>IFERROR(VLOOKUP(M1308,#REF!,6,0),0)</f>
        <v>0</v>
      </c>
      <c r="T1308" s="1394">
        <f t="shared" si="407"/>
        <v>0</v>
      </c>
      <c r="U1308" s="1394">
        <f>IFERROR(VLOOKUP(M1308,#REF!,5,0),0)</f>
        <v>0</v>
      </c>
      <c r="V1308" s="1394">
        <f t="shared" si="408"/>
        <v>0</v>
      </c>
      <c r="W1308" s="1394"/>
    </row>
    <row r="1309" spans="1:24" ht="30" customHeight="1">
      <c r="B1309" s="1407"/>
      <c r="C1309" s="1412" t="s">
        <v>5593</v>
      </c>
      <c r="D1309" s="103"/>
      <c r="E1309" s="103"/>
      <c r="F1309" s="1413"/>
      <c r="G1309" s="1413"/>
      <c r="H1309" s="1414"/>
      <c r="I1309" s="1425">
        <f t="shared" si="432"/>
        <v>0</v>
      </c>
      <c r="Q1309" s="1394">
        <f>IFERROR(VLOOKUP(M1309,#REF!,3,0),0)</f>
        <v>0</v>
      </c>
      <c r="R1309" s="1394">
        <f t="shared" si="406"/>
        <v>0</v>
      </c>
      <c r="S1309" s="1394">
        <f>IFERROR(VLOOKUP(M1309,#REF!,6,0),0)</f>
        <v>0</v>
      </c>
      <c r="T1309" s="1394">
        <f t="shared" si="407"/>
        <v>0</v>
      </c>
      <c r="U1309" s="1394">
        <f>IFERROR(VLOOKUP(M1309,#REF!,5,0),0)</f>
        <v>0</v>
      </c>
      <c r="V1309" s="1394">
        <f t="shared" si="408"/>
        <v>0</v>
      </c>
      <c r="W1309" s="1394"/>
    </row>
    <row r="1310" spans="1:24" ht="30" customHeight="1">
      <c r="A1310" s="1395"/>
      <c r="B1310" s="1407"/>
      <c r="C1310" s="1455" t="s">
        <v>5594</v>
      </c>
      <c r="D1310" s="103">
        <v>1</v>
      </c>
      <c r="E1310" s="103">
        <v>1</v>
      </c>
      <c r="F1310" s="1413">
        <v>5.53</v>
      </c>
      <c r="G1310" s="1413">
        <v>0.23</v>
      </c>
      <c r="H1310" s="1414">
        <f>H1308</f>
        <v>2.92</v>
      </c>
      <c r="I1310" s="1425">
        <f t="shared" si="432"/>
        <v>3.7139479999999998</v>
      </c>
      <c r="L1310" s="1395" t="s">
        <v>340</v>
      </c>
      <c r="Q1310" s="1394">
        <f>IFERROR(VLOOKUP(M1310,#REF!,3,0),0)</f>
        <v>0</v>
      </c>
      <c r="R1310" s="1394">
        <f t="shared" si="406"/>
        <v>0</v>
      </c>
      <c r="S1310" s="1394">
        <f>IFERROR(VLOOKUP(M1310,#REF!,6,0),0)</f>
        <v>0</v>
      </c>
      <c r="T1310" s="1394">
        <f t="shared" si="407"/>
        <v>0</v>
      </c>
      <c r="U1310" s="1394">
        <f>IFERROR(VLOOKUP(M1310,#REF!,5,0),0)</f>
        <v>0</v>
      </c>
      <c r="V1310" s="1394">
        <f t="shared" si="408"/>
        <v>0</v>
      </c>
      <c r="W1310" s="1394"/>
    </row>
    <row r="1311" spans="1:24" ht="30" customHeight="1">
      <c r="B1311" s="1407"/>
      <c r="C1311" s="1455" t="s">
        <v>5595</v>
      </c>
      <c r="D1311" s="103">
        <v>1</v>
      </c>
      <c r="E1311" s="103">
        <v>1</v>
      </c>
      <c r="F1311" s="1413">
        <v>3.4550000000000001</v>
      </c>
      <c r="G1311" s="1413">
        <v>0.23</v>
      </c>
      <c r="H1311" s="1414">
        <f>H1310</f>
        <v>2.92</v>
      </c>
      <c r="I1311" s="1425">
        <f t="shared" si="432"/>
        <v>2.3203780000000003</v>
      </c>
      <c r="Q1311" s="1394">
        <f>IFERROR(VLOOKUP(M1311,#REF!,3,0),0)</f>
        <v>0</v>
      </c>
      <c r="R1311" s="1394">
        <f t="shared" si="406"/>
        <v>0</v>
      </c>
      <c r="S1311" s="1394">
        <f>IFERROR(VLOOKUP(M1311,#REF!,6,0),0)</f>
        <v>0</v>
      </c>
      <c r="T1311" s="1394">
        <f t="shared" si="407"/>
        <v>0</v>
      </c>
      <c r="U1311" s="1394">
        <f>IFERROR(VLOOKUP(M1311,#REF!,5,0),0)</f>
        <v>0</v>
      </c>
      <c r="V1311" s="1394">
        <f t="shared" si="408"/>
        <v>0</v>
      </c>
      <c r="W1311" s="1394"/>
    </row>
    <row r="1312" spans="1:24" ht="30" customHeight="1">
      <c r="B1312" s="1407"/>
      <c r="C1312" s="1455" t="s">
        <v>5596</v>
      </c>
      <c r="D1312" s="103">
        <v>1</v>
      </c>
      <c r="E1312" s="103">
        <v>1</v>
      </c>
      <c r="F1312" s="1413">
        <v>0.71499999999999997</v>
      </c>
      <c r="G1312" s="1413">
        <v>0.23</v>
      </c>
      <c r="H1312" s="1414">
        <f>H1311</f>
        <v>2.92</v>
      </c>
      <c r="I1312" s="1425">
        <f t="shared" ref="I1312:I1315" si="437">PRODUCT(D1312:H1312)</f>
        <v>0.48019400000000001</v>
      </c>
      <c r="Q1312" s="1394">
        <f>IFERROR(VLOOKUP(M1312,#REF!,3,0),0)</f>
        <v>0</v>
      </c>
      <c r="R1312" s="1394">
        <f t="shared" si="406"/>
        <v>0</v>
      </c>
      <c r="S1312" s="1394">
        <f>IFERROR(VLOOKUP(M1312,#REF!,6,0),0)</f>
        <v>0</v>
      </c>
      <c r="T1312" s="1394">
        <f t="shared" si="407"/>
        <v>0</v>
      </c>
      <c r="U1312" s="1394">
        <f>IFERROR(VLOOKUP(M1312,#REF!,5,0),0)</f>
        <v>0</v>
      </c>
      <c r="V1312" s="1394">
        <f t="shared" si="408"/>
        <v>0</v>
      </c>
      <c r="W1312" s="1394"/>
    </row>
    <row r="1313" spans="1:23" ht="30" customHeight="1">
      <c r="B1313" s="1407"/>
      <c r="C1313" s="1412" t="s">
        <v>5597</v>
      </c>
      <c r="D1313" s="103"/>
      <c r="E1313" s="103"/>
      <c r="F1313" s="1413"/>
      <c r="G1313" s="1413"/>
      <c r="H1313" s="1414"/>
      <c r="I1313" s="1425">
        <f t="shared" si="437"/>
        <v>0</v>
      </c>
      <c r="Q1313" s="1394">
        <f>IFERROR(VLOOKUP(M1313,#REF!,3,0),0)</f>
        <v>0</v>
      </c>
      <c r="R1313" s="1394">
        <f t="shared" si="406"/>
        <v>0</v>
      </c>
      <c r="S1313" s="1394">
        <f>IFERROR(VLOOKUP(M1313,#REF!,6,0),0)</f>
        <v>0</v>
      </c>
      <c r="T1313" s="1394">
        <f t="shared" si="407"/>
        <v>0</v>
      </c>
      <c r="U1313" s="1394">
        <f>IFERROR(VLOOKUP(M1313,#REF!,5,0),0)</f>
        <v>0</v>
      </c>
      <c r="V1313" s="1394">
        <f t="shared" si="408"/>
        <v>0</v>
      </c>
      <c r="W1313" s="1394"/>
    </row>
    <row r="1314" spans="1:23" ht="30" customHeight="1">
      <c r="A1314" s="1395"/>
      <c r="B1314" s="1407"/>
      <c r="C1314" s="1455" t="s">
        <v>5598</v>
      </c>
      <c r="D1314" s="103">
        <v>1</v>
      </c>
      <c r="E1314" s="103">
        <v>1</v>
      </c>
      <c r="F1314" s="1413">
        <v>4</v>
      </c>
      <c r="G1314" s="1413">
        <v>0.23</v>
      </c>
      <c r="H1314" s="1414">
        <f>H1312</f>
        <v>2.92</v>
      </c>
      <c r="I1314" s="1425">
        <f t="shared" si="437"/>
        <v>2.6863999999999999</v>
      </c>
      <c r="L1314" s="1395" t="s">
        <v>340</v>
      </c>
      <c r="Q1314" s="1394">
        <f>IFERROR(VLOOKUP(M1314,#REF!,3,0),0)</f>
        <v>0</v>
      </c>
      <c r="R1314" s="1394">
        <f t="shared" si="406"/>
        <v>0</v>
      </c>
      <c r="S1314" s="1394">
        <f>IFERROR(VLOOKUP(M1314,#REF!,6,0),0)</f>
        <v>0</v>
      </c>
      <c r="T1314" s="1394">
        <f t="shared" si="407"/>
        <v>0</v>
      </c>
      <c r="U1314" s="1394">
        <f>IFERROR(VLOOKUP(M1314,#REF!,5,0),0)</f>
        <v>0</v>
      </c>
      <c r="V1314" s="1394">
        <f t="shared" si="408"/>
        <v>0</v>
      </c>
      <c r="W1314" s="1394"/>
    </row>
    <row r="1315" spans="1:23" ht="30" customHeight="1">
      <c r="B1315" s="1407"/>
      <c r="C1315" s="1455" t="s">
        <v>5619</v>
      </c>
      <c r="D1315" s="103">
        <v>-1</v>
      </c>
      <c r="E1315" s="103">
        <v>1</v>
      </c>
      <c r="F1315" s="1413">
        <v>1</v>
      </c>
      <c r="G1315" s="1413">
        <v>0.23</v>
      </c>
      <c r="H1315" s="1414">
        <f>H1314</f>
        <v>2.92</v>
      </c>
      <c r="I1315" s="1425">
        <f t="shared" si="437"/>
        <v>-0.67159999999999997</v>
      </c>
      <c r="Q1315" s="1394">
        <f>IFERROR(VLOOKUP(M1315,#REF!,3,0),0)</f>
        <v>0</v>
      </c>
      <c r="R1315" s="1394">
        <f t="shared" si="406"/>
        <v>0</v>
      </c>
      <c r="S1315" s="1394">
        <f>IFERROR(VLOOKUP(M1315,#REF!,6,0),0)</f>
        <v>0</v>
      </c>
      <c r="T1315" s="1394">
        <f t="shared" si="407"/>
        <v>0</v>
      </c>
      <c r="U1315" s="1394">
        <f>IFERROR(VLOOKUP(M1315,#REF!,5,0),0)</f>
        <v>0</v>
      </c>
      <c r="V1315" s="1394">
        <f t="shared" si="408"/>
        <v>0</v>
      </c>
      <c r="W1315" s="1394"/>
    </row>
    <row r="1316" spans="1:23" ht="30" customHeight="1">
      <c r="A1316" s="1395"/>
      <c r="B1316" s="1407"/>
      <c r="C1316" s="1455" t="s">
        <v>5599</v>
      </c>
      <c r="D1316" s="103">
        <v>1</v>
      </c>
      <c r="E1316" s="103">
        <v>1</v>
      </c>
      <c r="F1316" s="1413">
        <v>0.43</v>
      </c>
      <c r="G1316" s="1413">
        <v>0.23</v>
      </c>
      <c r="H1316" s="1414">
        <f>H1315</f>
        <v>2.92</v>
      </c>
      <c r="I1316" s="1425">
        <f t="shared" ref="I1316" si="438">PRODUCT(D1316:H1316)</f>
        <v>0.28878799999999999</v>
      </c>
      <c r="L1316" s="1395"/>
      <c r="Q1316" s="1394">
        <f>IFERROR(VLOOKUP(M1316,#REF!,3,0),0)</f>
        <v>0</v>
      </c>
      <c r="R1316" s="1394">
        <f t="shared" si="406"/>
        <v>0</v>
      </c>
      <c r="S1316" s="1394">
        <f>IFERROR(VLOOKUP(M1316,#REF!,6,0),0)</f>
        <v>0</v>
      </c>
      <c r="T1316" s="1394">
        <f t="shared" si="407"/>
        <v>0</v>
      </c>
      <c r="U1316" s="1394">
        <f>IFERROR(VLOOKUP(M1316,#REF!,5,0),0)</f>
        <v>0</v>
      </c>
      <c r="V1316" s="1394">
        <f t="shared" si="408"/>
        <v>0</v>
      </c>
      <c r="W1316" s="1394"/>
    </row>
    <row r="1317" spans="1:23" ht="30" customHeight="1">
      <c r="B1317" s="1407"/>
      <c r="C1317" s="1412" t="s">
        <v>5600</v>
      </c>
      <c r="D1317" s="103"/>
      <c r="E1317" s="103"/>
      <c r="F1317" s="1413"/>
      <c r="G1317" s="1413"/>
      <c r="H1317" s="1414"/>
      <c r="I1317" s="1425">
        <f t="shared" si="432"/>
        <v>0</v>
      </c>
      <c r="Q1317" s="1394">
        <f>IFERROR(VLOOKUP(M1317,#REF!,3,0),0)</f>
        <v>0</v>
      </c>
      <c r="R1317" s="1394">
        <f t="shared" si="406"/>
        <v>0</v>
      </c>
      <c r="S1317" s="1394">
        <f>IFERROR(VLOOKUP(M1317,#REF!,6,0),0)</f>
        <v>0</v>
      </c>
      <c r="T1317" s="1394">
        <f t="shared" si="407"/>
        <v>0</v>
      </c>
      <c r="U1317" s="1394">
        <f>IFERROR(VLOOKUP(M1317,#REF!,5,0),0)</f>
        <v>0</v>
      </c>
      <c r="V1317" s="1394">
        <f t="shared" si="408"/>
        <v>0</v>
      </c>
      <c r="W1317" s="1394"/>
    </row>
    <row r="1318" spans="1:23" ht="30" customHeight="1">
      <c r="B1318" s="1407"/>
      <c r="C1318" s="1455" t="s">
        <v>5601</v>
      </c>
      <c r="D1318" s="103">
        <v>1</v>
      </c>
      <c r="E1318" s="103">
        <v>1</v>
      </c>
      <c r="F1318" s="1413">
        <v>2.73</v>
      </c>
      <c r="G1318" s="1413">
        <v>0.23</v>
      </c>
      <c r="H1318" s="1414">
        <f>H1316</f>
        <v>2.92</v>
      </c>
      <c r="I1318" s="1425">
        <f t="shared" si="432"/>
        <v>1.8334680000000001</v>
      </c>
      <c r="Q1318" s="1394">
        <f>IFERROR(VLOOKUP(M1318,#REF!,3,0),0)</f>
        <v>0</v>
      </c>
      <c r="R1318" s="1394">
        <f t="shared" si="406"/>
        <v>0</v>
      </c>
      <c r="S1318" s="1394">
        <f>IFERROR(VLOOKUP(M1318,#REF!,6,0),0)</f>
        <v>0</v>
      </c>
      <c r="T1318" s="1394">
        <f t="shared" si="407"/>
        <v>0</v>
      </c>
      <c r="U1318" s="1394">
        <f>IFERROR(VLOOKUP(M1318,#REF!,5,0),0)</f>
        <v>0</v>
      </c>
      <c r="V1318" s="1394">
        <f t="shared" si="408"/>
        <v>0</v>
      </c>
      <c r="W1318" s="1394"/>
    </row>
    <row r="1319" spans="1:23" ht="30" customHeight="1">
      <c r="A1319" s="110" t="s">
        <v>5626</v>
      </c>
      <c r="B1319" s="1407"/>
      <c r="C1319" s="1455" t="s">
        <v>5602</v>
      </c>
      <c r="D1319" s="103">
        <v>1</v>
      </c>
      <c r="E1319" s="103">
        <v>1</v>
      </c>
      <c r="F1319" s="1413">
        <v>5.8449999999999998</v>
      </c>
      <c r="G1319" s="1413">
        <v>0.23</v>
      </c>
      <c r="H1319" s="1414">
        <f>H1317</f>
        <v>0</v>
      </c>
      <c r="I1319" s="1425">
        <f t="shared" si="432"/>
        <v>0</v>
      </c>
      <c r="Q1319" s="1394">
        <f>IFERROR(VLOOKUP(M1319,#REF!,3,0),0)</f>
        <v>0</v>
      </c>
      <c r="R1319" s="1394">
        <f t="shared" si="406"/>
        <v>0</v>
      </c>
      <c r="S1319" s="1394">
        <f>IFERROR(VLOOKUP(M1319,#REF!,6,0),0)</f>
        <v>0</v>
      </c>
      <c r="T1319" s="1394">
        <f t="shared" si="407"/>
        <v>0</v>
      </c>
      <c r="U1319" s="1394">
        <f>IFERROR(VLOOKUP(M1319,#REF!,5,0),0)</f>
        <v>0</v>
      </c>
      <c r="V1319" s="1394">
        <f t="shared" si="408"/>
        <v>0</v>
      </c>
      <c r="W1319" s="1394"/>
    </row>
    <row r="1320" spans="1:23" ht="30" customHeight="1">
      <c r="B1320" s="1407"/>
      <c r="C1320" s="1455" t="s">
        <v>5620</v>
      </c>
      <c r="D1320" s="103">
        <v>-1</v>
      </c>
      <c r="E1320" s="103">
        <v>1</v>
      </c>
      <c r="F1320" s="1413">
        <v>1.5</v>
      </c>
      <c r="G1320" s="1413">
        <v>0.23</v>
      </c>
      <c r="H1320" s="1414">
        <v>2.1</v>
      </c>
      <c r="I1320" s="1425">
        <f t="shared" si="432"/>
        <v>-0.72450000000000014</v>
      </c>
      <c r="Q1320" s="1394">
        <f>IFERROR(VLOOKUP(M1320,#REF!,3,0),0)</f>
        <v>0</v>
      </c>
      <c r="R1320" s="1394">
        <f t="shared" si="406"/>
        <v>0</v>
      </c>
      <c r="S1320" s="1394">
        <f>IFERROR(VLOOKUP(M1320,#REF!,6,0),0)</f>
        <v>0</v>
      </c>
      <c r="T1320" s="1394">
        <f t="shared" si="407"/>
        <v>0</v>
      </c>
      <c r="U1320" s="1394">
        <f>IFERROR(VLOOKUP(M1320,#REF!,5,0),0)</f>
        <v>0</v>
      </c>
      <c r="V1320" s="1394">
        <f t="shared" si="408"/>
        <v>0</v>
      </c>
      <c r="W1320" s="1394"/>
    </row>
    <row r="1321" spans="1:23" ht="30" customHeight="1">
      <c r="B1321" s="1407"/>
      <c r="C1321" s="1412" t="s">
        <v>5603</v>
      </c>
      <c r="D1321" s="103"/>
      <c r="E1321" s="103"/>
      <c r="F1321" s="1413"/>
      <c r="G1321" s="1413"/>
      <c r="H1321" s="1414"/>
      <c r="I1321" s="1425">
        <f t="shared" ref="I1321:I1324" si="439">PRODUCT(D1321:H1321)</f>
        <v>0</v>
      </c>
      <c r="Q1321" s="1394">
        <f>IFERROR(VLOOKUP(M1321,#REF!,3,0),0)</f>
        <v>0</v>
      </c>
      <c r="R1321" s="1394">
        <f t="shared" si="406"/>
        <v>0</v>
      </c>
      <c r="S1321" s="1394">
        <f>IFERROR(VLOOKUP(M1321,#REF!,6,0),0)</f>
        <v>0</v>
      </c>
      <c r="T1321" s="1394">
        <f t="shared" si="407"/>
        <v>0</v>
      </c>
      <c r="U1321" s="1394">
        <f>IFERROR(VLOOKUP(M1321,#REF!,5,0),0)</f>
        <v>0</v>
      </c>
      <c r="V1321" s="1394">
        <f t="shared" si="408"/>
        <v>0</v>
      </c>
      <c r="W1321" s="1394"/>
    </row>
    <row r="1322" spans="1:23" ht="30" customHeight="1">
      <c r="B1322" s="1407"/>
      <c r="C1322" s="1455" t="s">
        <v>5604</v>
      </c>
      <c r="D1322" s="103">
        <v>1</v>
      </c>
      <c r="E1322" s="103">
        <v>1</v>
      </c>
      <c r="F1322" s="1413">
        <v>2.96</v>
      </c>
      <c r="G1322" s="1413">
        <v>0.23</v>
      </c>
      <c r="H1322" s="1414">
        <f>H1318</f>
        <v>2.92</v>
      </c>
      <c r="I1322" s="1425">
        <f t="shared" si="439"/>
        <v>1.9879360000000001</v>
      </c>
      <c r="Q1322" s="1394">
        <f>IFERROR(VLOOKUP(M1322,#REF!,3,0),0)</f>
        <v>0</v>
      </c>
      <c r="R1322" s="1394">
        <f t="shared" si="406"/>
        <v>0</v>
      </c>
      <c r="S1322" s="1394">
        <f>IFERROR(VLOOKUP(M1322,#REF!,6,0),0)</f>
        <v>0</v>
      </c>
      <c r="T1322" s="1394">
        <f t="shared" si="407"/>
        <v>0</v>
      </c>
      <c r="U1322" s="1394">
        <f>IFERROR(VLOOKUP(M1322,#REF!,5,0),0)</f>
        <v>0</v>
      </c>
      <c r="V1322" s="1394">
        <f t="shared" si="408"/>
        <v>0</v>
      </c>
      <c r="W1322" s="1394"/>
    </row>
    <row r="1323" spans="1:23" ht="30" customHeight="1">
      <c r="B1323" s="1407"/>
      <c r="C1323" s="1455" t="s">
        <v>5605</v>
      </c>
      <c r="D1323" s="103">
        <v>1</v>
      </c>
      <c r="E1323" s="103">
        <v>1</v>
      </c>
      <c r="F1323" s="1413">
        <v>5.8449999999999998</v>
      </c>
      <c r="G1323" s="1413">
        <v>0.23</v>
      </c>
      <c r="H1323" s="1414">
        <f>H1322</f>
        <v>2.92</v>
      </c>
      <c r="I1323" s="1425">
        <f t="shared" si="439"/>
        <v>3.9255019999999998</v>
      </c>
      <c r="Q1323" s="1394">
        <f>IFERROR(VLOOKUP(M1323,#REF!,3,0),0)</f>
        <v>0</v>
      </c>
      <c r="R1323" s="1394">
        <f t="shared" si="406"/>
        <v>0</v>
      </c>
      <c r="S1323" s="1394">
        <f>IFERROR(VLOOKUP(M1323,#REF!,6,0),0)</f>
        <v>0</v>
      </c>
      <c r="T1323" s="1394">
        <f t="shared" si="407"/>
        <v>0</v>
      </c>
      <c r="U1323" s="1394">
        <f>IFERROR(VLOOKUP(M1323,#REF!,5,0),0)</f>
        <v>0</v>
      </c>
      <c r="V1323" s="1394">
        <f t="shared" si="408"/>
        <v>0</v>
      </c>
      <c r="W1323" s="1394"/>
    </row>
    <row r="1324" spans="1:23" ht="30" customHeight="1">
      <c r="B1324" s="1407"/>
      <c r="C1324" s="1455" t="s">
        <v>5620</v>
      </c>
      <c r="D1324" s="103">
        <v>-1</v>
      </c>
      <c r="E1324" s="103">
        <v>1</v>
      </c>
      <c r="F1324" s="1413">
        <v>1.5</v>
      </c>
      <c r="G1324" s="1413">
        <v>0.23</v>
      </c>
      <c r="H1324" s="1414">
        <v>2.1</v>
      </c>
      <c r="I1324" s="1425">
        <f t="shared" si="439"/>
        <v>-0.72450000000000014</v>
      </c>
      <c r="Q1324" s="1394">
        <f>IFERROR(VLOOKUP(M1324,#REF!,3,0),0)</f>
        <v>0</v>
      </c>
      <c r="R1324" s="1394">
        <f t="shared" si="406"/>
        <v>0</v>
      </c>
      <c r="S1324" s="1394">
        <f>IFERROR(VLOOKUP(M1324,#REF!,6,0),0)</f>
        <v>0</v>
      </c>
      <c r="T1324" s="1394">
        <f t="shared" si="407"/>
        <v>0</v>
      </c>
      <c r="U1324" s="1394">
        <f>IFERROR(VLOOKUP(M1324,#REF!,5,0),0)</f>
        <v>0</v>
      </c>
      <c r="V1324" s="1394">
        <f t="shared" si="408"/>
        <v>0</v>
      </c>
      <c r="W1324" s="1394"/>
    </row>
    <row r="1325" spans="1:23" ht="30" customHeight="1">
      <c r="B1325" s="1407"/>
      <c r="C1325" s="1412" t="s">
        <v>5606</v>
      </c>
      <c r="D1325" s="103"/>
      <c r="E1325" s="103"/>
      <c r="F1325" s="1413"/>
      <c r="G1325" s="1413"/>
      <c r="H1325" s="1414"/>
      <c r="I1325" s="1425">
        <f t="shared" si="432"/>
        <v>0</v>
      </c>
      <c r="Q1325" s="1394">
        <f>IFERROR(VLOOKUP(M1325,#REF!,3,0),0)</f>
        <v>0</v>
      </c>
      <c r="R1325" s="1394">
        <f t="shared" si="406"/>
        <v>0</v>
      </c>
      <c r="S1325" s="1394">
        <f>IFERROR(VLOOKUP(M1325,#REF!,6,0),0)</f>
        <v>0</v>
      </c>
      <c r="T1325" s="1394">
        <f t="shared" si="407"/>
        <v>0</v>
      </c>
      <c r="U1325" s="1394">
        <f>IFERROR(VLOOKUP(M1325,#REF!,5,0),0)</f>
        <v>0</v>
      </c>
      <c r="V1325" s="1394">
        <f t="shared" si="408"/>
        <v>0</v>
      </c>
      <c r="W1325" s="1394"/>
    </row>
    <row r="1326" spans="1:23" ht="30" customHeight="1">
      <c r="B1326" s="1407"/>
      <c r="C1326" s="1455" t="s">
        <v>5607</v>
      </c>
      <c r="D1326" s="103">
        <v>1</v>
      </c>
      <c r="E1326" s="103">
        <v>1</v>
      </c>
      <c r="F1326" s="1413">
        <v>1.6850000000000001</v>
      </c>
      <c r="G1326" s="1413">
        <v>0.23</v>
      </c>
      <c r="H1326" s="1414">
        <f>H1322</f>
        <v>2.92</v>
      </c>
      <c r="I1326" s="1425">
        <f t="shared" si="432"/>
        <v>1.1316459999999999</v>
      </c>
      <c r="Q1326" s="1394">
        <f>IFERROR(VLOOKUP(M1326,#REF!,3,0),0)</f>
        <v>0</v>
      </c>
      <c r="R1326" s="1394">
        <f t="shared" ref="R1326:R1389" si="440">ROUND(O1326,2)*ROUND(Q1326,2)</f>
        <v>0</v>
      </c>
      <c r="S1326" s="1394">
        <f>IFERROR(VLOOKUP(M1326,#REF!,6,0),0)</f>
        <v>0</v>
      </c>
      <c r="T1326" s="1394">
        <f t="shared" ref="T1326:T1389" si="441">R1326-S1326</f>
        <v>0</v>
      </c>
      <c r="U1326" s="1394">
        <f>IFERROR(VLOOKUP(M1326,#REF!,5,0),0)</f>
        <v>0</v>
      </c>
      <c r="V1326" s="1394">
        <f t="shared" ref="V1326:V1389" si="442">O1326-U1326</f>
        <v>0</v>
      </c>
      <c r="W1326" s="1394"/>
    </row>
    <row r="1327" spans="1:23" ht="30" customHeight="1">
      <c r="B1327" s="1407"/>
      <c r="C1327" s="1455" t="s">
        <v>5608</v>
      </c>
      <c r="D1327" s="103">
        <v>1</v>
      </c>
      <c r="E1327" s="103">
        <v>1</v>
      </c>
      <c r="F1327" s="1413">
        <v>1.2</v>
      </c>
      <c r="G1327" s="1413">
        <v>0.23</v>
      </c>
      <c r="H1327" s="1414">
        <f>H1323</f>
        <v>2.92</v>
      </c>
      <c r="I1327" s="1425">
        <f t="shared" si="432"/>
        <v>0.80592000000000008</v>
      </c>
      <c r="Q1327" s="1394">
        <f>IFERROR(VLOOKUP(M1327,#REF!,3,0),0)</f>
        <v>0</v>
      </c>
      <c r="R1327" s="1394">
        <f t="shared" si="440"/>
        <v>0</v>
      </c>
      <c r="S1327" s="1394">
        <f>IFERROR(VLOOKUP(M1327,#REF!,6,0),0)</f>
        <v>0</v>
      </c>
      <c r="T1327" s="1394">
        <f t="shared" si="441"/>
        <v>0</v>
      </c>
      <c r="U1327" s="1394">
        <f>IFERROR(VLOOKUP(M1327,#REF!,5,0),0)</f>
        <v>0</v>
      </c>
      <c r="V1327" s="1394">
        <f t="shared" si="442"/>
        <v>0</v>
      </c>
      <c r="W1327" s="1394"/>
    </row>
    <row r="1328" spans="1:23" ht="30" customHeight="1">
      <c r="B1328" s="1407"/>
      <c r="C1328" s="1412" t="s">
        <v>5609</v>
      </c>
      <c r="D1328" s="103"/>
      <c r="E1328" s="103"/>
      <c r="F1328" s="1413"/>
      <c r="G1328" s="1413"/>
      <c r="H1328" s="1414"/>
      <c r="I1328" s="1425">
        <f t="shared" ref="I1328:I1342" si="443">PRODUCT(D1328:H1328)</f>
        <v>0</v>
      </c>
      <c r="Q1328" s="1394">
        <f>IFERROR(VLOOKUP(M1328,#REF!,3,0),0)</f>
        <v>0</v>
      </c>
      <c r="R1328" s="1394">
        <f t="shared" si="440"/>
        <v>0</v>
      </c>
      <c r="S1328" s="1394">
        <f>IFERROR(VLOOKUP(M1328,#REF!,6,0),0)</f>
        <v>0</v>
      </c>
      <c r="T1328" s="1394">
        <f t="shared" si="441"/>
        <v>0</v>
      </c>
      <c r="U1328" s="1394">
        <f>IFERROR(VLOOKUP(M1328,#REF!,5,0),0)</f>
        <v>0</v>
      </c>
      <c r="V1328" s="1394">
        <f t="shared" si="442"/>
        <v>0</v>
      </c>
      <c r="W1328" s="1394"/>
    </row>
    <row r="1329" spans="2:23" ht="30" customHeight="1">
      <c r="B1329" s="1407"/>
      <c r="C1329" s="1455" t="s">
        <v>5610</v>
      </c>
      <c r="D1329" s="103">
        <v>1</v>
      </c>
      <c r="E1329" s="103">
        <v>1</v>
      </c>
      <c r="F1329" s="1413">
        <v>3.9249999999999998</v>
      </c>
      <c r="G1329" s="1413">
        <v>0.23</v>
      </c>
      <c r="H1329" s="1414">
        <f>H1327</f>
        <v>2.92</v>
      </c>
      <c r="I1329" s="1425">
        <f t="shared" si="443"/>
        <v>2.6360299999999999</v>
      </c>
      <c r="Q1329" s="1394">
        <f>IFERROR(VLOOKUP(M1329,#REF!,3,0),0)</f>
        <v>0</v>
      </c>
      <c r="R1329" s="1394">
        <f t="shared" si="440"/>
        <v>0</v>
      </c>
      <c r="S1329" s="1394">
        <f>IFERROR(VLOOKUP(M1329,#REF!,6,0),0)</f>
        <v>0</v>
      </c>
      <c r="T1329" s="1394">
        <f t="shared" si="441"/>
        <v>0</v>
      </c>
      <c r="U1329" s="1394">
        <f>IFERROR(VLOOKUP(M1329,#REF!,5,0),0)</f>
        <v>0</v>
      </c>
      <c r="V1329" s="1394">
        <f t="shared" si="442"/>
        <v>0</v>
      </c>
      <c r="W1329" s="1394"/>
    </row>
    <row r="1330" spans="2:23" ht="30" customHeight="1">
      <c r="B1330" s="1407"/>
      <c r="C1330" s="1412" t="s">
        <v>5611</v>
      </c>
      <c r="D1330" s="103"/>
      <c r="E1330" s="103"/>
      <c r="F1330" s="1413"/>
      <c r="G1330" s="1413"/>
      <c r="H1330" s="1414"/>
      <c r="I1330" s="1425">
        <f t="shared" ref="I1330:I1331" si="444">PRODUCT(D1330:H1330)</f>
        <v>0</v>
      </c>
      <c r="M1330" s="110"/>
      <c r="Q1330" s="1394">
        <f>IFERROR(VLOOKUP(M1330,#REF!,3,0),0)</f>
        <v>0</v>
      </c>
      <c r="R1330" s="1394">
        <f t="shared" si="440"/>
        <v>0</v>
      </c>
      <c r="S1330" s="1394">
        <f>IFERROR(VLOOKUP(M1330,#REF!,6,0),0)</f>
        <v>0</v>
      </c>
      <c r="T1330" s="1394">
        <f t="shared" si="441"/>
        <v>0</v>
      </c>
      <c r="U1330" s="1394">
        <f>IFERROR(VLOOKUP(M1330,#REF!,5,0),0)</f>
        <v>0</v>
      </c>
      <c r="V1330" s="1394">
        <f t="shared" si="442"/>
        <v>0</v>
      </c>
      <c r="W1330" s="1394"/>
    </row>
    <row r="1331" spans="2:23" ht="30" customHeight="1">
      <c r="B1331" s="1407"/>
      <c r="C1331" s="1455" t="s">
        <v>5612</v>
      </c>
      <c r="D1331" s="103">
        <v>1</v>
      </c>
      <c r="E1331" s="103">
        <v>1</v>
      </c>
      <c r="F1331" s="1413">
        <v>4.13</v>
      </c>
      <c r="G1331" s="1413">
        <v>0.23</v>
      </c>
      <c r="H1331" s="1414">
        <f>H1329</f>
        <v>2.92</v>
      </c>
      <c r="I1331" s="1425">
        <f t="shared" si="444"/>
        <v>2.7737079999999996</v>
      </c>
      <c r="M1331" s="110"/>
      <c r="Q1331" s="1394">
        <f>IFERROR(VLOOKUP(M1331,#REF!,3,0),0)</f>
        <v>0</v>
      </c>
      <c r="R1331" s="1394">
        <f t="shared" si="440"/>
        <v>0</v>
      </c>
      <c r="S1331" s="1394">
        <f>IFERROR(VLOOKUP(M1331,#REF!,6,0),0)</f>
        <v>0</v>
      </c>
      <c r="T1331" s="1394">
        <f t="shared" si="441"/>
        <v>0</v>
      </c>
      <c r="U1331" s="1394">
        <f>IFERROR(VLOOKUP(M1331,#REF!,5,0),0)</f>
        <v>0</v>
      </c>
      <c r="V1331" s="1394">
        <f t="shared" si="442"/>
        <v>0</v>
      </c>
      <c r="W1331" s="1394"/>
    </row>
    <row r="1332" spans="2:23" ht="30" customHeight="1">
      <c r="B1332" s="1407"/>
      <c r="C1332" s="1455" t="s">
        <v>5624</v>
      </c>
      <c r="D1332" s="103">
        <v>1</v>
      </c>
      <c r="E1332" s="103">
        <v>1</v>
      </c>
      <c r="F1332" s="1413">
        <v>2.5499999999999998</v>
      </c>
      <c r="G1332" s="1413">
        <v>0.23</v>
      </c>
      <c r="H1332" s="1414">
        <f>H1331</f>
        <v>2.92</v>
      </c>
      <c r="I1332" s="1425">
        <f t="shared" ref="I1332" si="445">PRODUCT(D1332:H1332)</f>
        <v>1.71258</v>
      </c>
      <c r="M1332" s="110"/>
      <c r="Q1332" s="1394">
        <f>IFERROR(VLOOKUP(M1332,#REF!,3,0),0)</f>
        <v>0</v>
      </c>
      <c r="R1332" s="1394">
        <f t="shared" si="440"/>
        <v>0</v>
      </c>
      <c r="S1332" s="1394">
        <f>IFERROR(VLOOKUP(M1332,#REF!,6,0),0)</f>
        <v>0</v>
      </c>
      <c r="T1332" s="1394">
        <f t="shared" si="441"/>
        <v>0</v>
      </c>
      <c r="U1332" s="1394">
        <f>IFERROR(VLOOKUP(M1332,#REF!,5,0),0)</f>
        <v>0</v>
      </c>
      <c r="V1332" s="1394">
        <f t="shared" si="442"/>
        <v>0</v>
      </c>
      <c r="W1332" s="1394"/>
    </row>
    <row r="1333" spans="2:23" ht="30" customHeight="1">
      <c r="B1333" s="1407"/>
      <c r="C1333" s="1455" t="s">
        <v>5625</v>
      </c>
      <c r="D1333" s="103">
        <v>1</v>
      </c>
      <c r="E1333" s="103">
        <v>1</v>
      </c>
      <c r="F1333" s="1413">
        <v>2.5499999999999998</v>
      </c>
      <c r="G1333" s="1413">
        <v>0.23</v>
      </c>
      <c r="H1333" s="1414">
        <f>H1332</f>
        <v>2.92</v>
      </c>
      <c r="I1333" s="1425">
        <f t="shared" ref="I1333" si="446">PRODUCT(D1333:H1333)</f>
        <v>1.71258</v>
      </c>
      <c r="M1333" s="110"/>
      <c r="Q1333" s="1394">
        <f>IFERROR(VLOOKUP(M1333,#REF!,3,0),0)</f>
        <v>0</v>
      </c>
      <c r="R1333" s="1394">
        <f t="shared" si="440"/>
        <v>0</v>
      </c>
      <c r="S1333" s="1394">
        <f>IFERROR(VLOOKUP(M1333,#REF!,6,0),0)</f>
        <v>0</v>
      </c>
      <c r="T1333" s="1394">
        <f t="shared" si="441"/>
        <v>0</v>
      </c>
      <c r="U1333" s="1394">
        <f>IFERROR(VLOOKUP(M1333,#REF!,5,0),0)</f>
        <v>0</v>
      </c>
      <c r="V1333" s="1394">
        <f t="shared" si="442"/>
        <v>0</v>
      </c>
      <c r="W1333" s="1394"/>
    </row>
    <row r="1334" spans="2:23" ht="30" customHeight="1">
      <c r="B1334" s="1407"/>
      <c r="C1334" s="1412" t="s">
        <v>5613</v>
      </c>
      <c r="D1334" s="103"/>
      <c r="E1334" s="103"/>
      <c r="F1334" s="1413"/>
      <c r="G1334" s="1413"/>
      <c r="H1334" s="1414"/>
      <c r="I1334" s="1425"/>
      <c r="M1334" s="110"/>
      <c r="Q1334" s="1394">
        <f>IFERROR(VLOOKUP(M1334,#REF!,3,0),0)</f>
        <v>0</v>
      </c>
      <c r="R1334" s="1394">
        <f t="shared" si="440"/>
        <v>0</v>
      </c>
      <c r="S1334" s="1394">
        <f>IFERROR(VLOOKUP(M1334,#REF!,6,0),0)</f>
        <v>0</v>
      </c>
      <c r="T1334" s="1394">
        <f t="shared" si="441"/>
        <v>0</v>
      </c>
      <c r="U1334" s="1394">
        <f>IFERROR(VLOOKUP(M1334,#REF!,5,0),0)</f>
        <v>0</v>
      </c>
      <c r="V1334" s="1394">
        <f t="shared" si="442"/>
        <v>0</v>
      </c>
      <c r="W1334" s="1394"/>
    </row>
    <row r="1335" spans="2:23" ht="30" customHeight="1">
      <c r="B1335" s="1407"/>
      <c r="C1335" s="1455" t="s">
        <v>5614</v>
      </c>
      <c r="D1335" s="103">
        <v>1</v>
      </c>
      <c r="E1335" s="103">
        <v>1</v>
      </c>
      <c r="F1335" s="1413">
        <v>1.9650000000000001</v>
      </c>
      <c r="G1335" s="1413">
        <v>0.23</v>
      </c>
      <c r="H1335" s="1414">
        <f>H1333</f>
        <v>2.92</v>
      </c>
      <c r="I1335" s="1425">
        <f t="shared" ref="I1335" si="447">PRODUCT(D1335:H1335)</f>
        <v>1.3196939999999999</v>
      </c>
      <c r="M1335" s="110"/>
      <c r="Q1335" s="1394">
        <f>IFERROR(VLOOKUP(M1335,#REF!,3,0),0)</f>
        <v>0</v>
      </c>
      <c r="R1335" s="1394">
        <f t="shared" si="440"/>
        <v>0</v>
      </c>
      <c r="S1335" s="1394">
        <f>IFERROR(VLOOKUP(M1335,#REF!,6,0),0)</f>
        <v>0</v>
      </c>
      <c r="T1335" s="1394">
        <f t="shared" si="441"/>
        <v>0</v>
      </c>
      <c r="U1335" s="1394">
        <f>IFERROR(VLOOKUP(M1335,#REF!,5,0),0)</f>
        <v>0</v>
      </c>
      <c r="V1335" s="1394">
        <f t="shared" si="442"/>
        <v>0</v>
      </c>
      <c r="W1335" s="1394"/>
    </row>
    <row r="1336" spans="2:23" ht="30" customHeight="1">
      <c r="B1336" s="1407"/>
      <c r="C1336" s="1455" t="s">
        <v>5615</v>
      </c>
      <c r="D1336" s="103">
        <v>1</v>
      </c>
      <c r="E1336" s="103">
        <v>1</v>
      </c>
      <c r="F1336" s="1413">
        <v>2.5499999999999998</v>
      </c>
      <c r="G1336" s="1413">
        <v>0.23</v>
      </c>
      <c r="H1336" s="1414">
        <f>H1335</f>
        <v>2.92</v>
      </c>
      <c r="I1336" s="1425">
        <f t="shared" ref="I1336" si="448">PRODUCT(D1336:H1336)</f>
        <v>1.71258</v>
      </c>
      <c r="M1336" s="110"/>
      <c r="Q1336" s="1394">
        <f>IFERROR(VLOOKUP(M1336,#REF!,3,0),0)</f>
        <v>0</v>
      </c>
      <c r="R1336" s="1394">
        <f t="shared" si="440"/>
        <v>0</v>
      </c>
      <c r="S1336" s="1394">
        <f>IFERROR(VLOOKUP(M1336,#REF!,6,0),0)</f>
        <v>0</v>
      </c>
      <c r="T1336" s="1394">
        <f t="shared" si="441"/>
        <v>0</v>
      </c>
      <c r="U1336" s="1394">
        <f>IFERROR(VLOOKUP(M1336,#REF!,5,0),0)</f>
        <v>0</v>
      </c>
      <c r="V1336" s="1394">
        <f t="shared" si="442"/>
        <v>0</v>
      </c>
      <c r="W1336" s="1394"/>
    </row>
    <row r="1337" spans="2:23" ht="30" customHeight="1">
      <c r="B1337" s="1407"/>
      <c r="C1337" s="1412" t="s">
        <v>5616</v>
      </c>
      <c r="D1337" s="103"/>
      <c r="E1337" s="103"/>
      <c r="F1337" s="1413"/>
      <c r="G1337" s="1413"/>
      <c r="H1337" s="1414"/>
      <c r="I1337" s="1425">
        <f t="shared" si="443"/>
        <v>0</v>
      </c>
      <c r="M1337" s="110"/>
      <c r="Q1337" s="1394">
        <f>IFERROR(VLOOKUP(M1337,#REF!,3,0),0)</f>
        <v>0</v>
      </c>
      <c r="R1337" s="1394">
        <f t="shared" si="440"/>
        <v>0</v>
      </c>
      <c r="S1337" s="1394">
        <f>IFERROR(VLOOKUP(M1337,#REF!,6,0),0)</f>
        <v>0</v>
      </c>
      <c r="T1337" s="1394">
        <f t="shared" si="441"/>
        <v>0</v>
      </c>
      <c r="U1337" s="1394">
        <f>IFERROR(VLOOKUP(M1337,#REF!,5,0),0)</f>
        <v>0</v>
      </c>
      <c r="V1337" s="1394">
        <f t="shared" si="442"/>
        <v>0</v>
      </c>
      <c r="W1337" s="1394"/>
    </row>
    <row r="1338" spans="2:23" ht="30" customHeight="1">
      <c r="B1338" s="1407"/>
      <c r="C1338" s="1455" t="s">
        <v>5617</v>
      </c>
      <c r="D1338" s="103">
        <v>1</v>
      </c>
      <c r="E1338" s="103">
        <v>1</v>
      </c>
      <c r="F1338" s="1413">
        <v>3.88</v>
      </c>
      <c r="G1338" s="1413">
        <v>0.23</v>
      </c>
      <c r="H1338" s="1414">
        <f>H1336</f>
        <v>2.92</v>
      </c>
      <c r="I1338" s="1425">
        <f t="shared" si="443"/>
        <v>2.6058079999999997</v>
      </c>
      <c r="M1338" s="110"/>
      <c r="Q1338" s="1394">
        <f>IFERROR(VLOOKUP(M1338,#REF!,3,0),0)</f>
        <v>0</v>
      </c>
      <c r="R1338" s="1394">
        <f t="shared" si="440"/>
        <v>0</v>
      </c>
      <c r="S1338" s="1394">
        <f>IFERROR(VLOOKUP(M1338,#REF!,6,0),0)</f>
        <v>0</v>
      </c>
      <c r="T1338" s="1394">
        <f t="shared" si="441"/>
        <v>0</v>
      </c>
      <c r="U1338" s="1394">
        <f>IFERROR(VLOOKUP(M1338,#REF!,5,0),0)</f>
        <v>0</v>
      </c>
      <c r="V1338" s="1394">
        <f t="shared" si="442"/>
        <v>0</v>
      </c>
      <c r="W1338" s="1394"/>
    </row>
    <row r="1339" spans="2:23" ht="30" customHeight="1">
      <c r="B1339" s="1407"/>
      <c r="C1339" s="1455" t="s">
        <v>5621</v>
      </c>
      <c r="D1339" s="103">
        <v>-1</v>
      </c>
      <c r="E1339" s="103">
        <v>1</v>
      </c>
      <c r="F1339" s="1413">
        <v>1</v>
      </c>
      <c r="G1339" s="1413">
        <v>0.23</v>
      </c>
      <c r="H1339" s="1414">
        <f>H1338</f>
        <v>2.92</v>
      </c>
      <c r="I1339" s="1425">
        <f t="shared" si="443"/>
        <v>-0.67159999999999997</v>
      </c>
      <c r="M1339" s="110"/>
      <c r="Q1339" s="1394">
        <f>IFERROR(VLOOKUP(M1339,#REF!,3,0),0)</f>
        <v>0</v>
      </c>
      <c r="R1339" s="1394">
        <f t="shared" si="440"/>
        <v>0</v>
      </c>
      <c r="S1339" s="1394">
        <f>IFERROR(VLOOKUP(M1339,#REF!,6,0),0)</f>
        <v>0</v>
      </c>
      <c r="T1339" s="1394">
        <f t="shared" si="441"/>
        <v>0</v>
      </c>
      <c r="U1339" s="1394">
        <f>IFERROR(VLOOKUP(M1339,#REF!,5,0),0)</f>
        <v>0</v>
      </c>
      <c r="V1339" s="1394">
        <f t="shared" si="442"/>
        <v>0</v>
      </c>
      <c r="W1339" s="1394"/>
    </row>
    <row r="1340" spans="2:23" ht="30" customHeight="1">
      <c r="B1340" s="1407"/>
      <c r="C1340" s="1455" t="s">
        <v>5622</v>
      </c>
      <c r="D1340" s="103">
        <v>1</v>
      </c>
      <c r="E1340" s="103">
        <v>4</v>
      </c>
      <c r="F1340" s="1413">
        <v>0.6</v>
      </c>
      <c r="G1340" s="1413">
        <v>0.23</v>
      </c>
      <c r="H1340" s="1414">
        <v>3.3</v>
      </c>
      <c r="I1340" s="1425">
        <f t="shared" si="443"/>
        <v>1.8216000000000001</v>
      </c>
      <c r="J1340" s="1397"/>
      <c r="K1340" s="1397"/>
      <c r="M1340" s="110"/>
      <c r="Q1340" s="1394">
        <f>IFERROR(VLOOKUP(M1340,#REF!,3,0),0)</f>
        <v>0</v>
      </c>
      <c r="R1340" s="1394">
        <f t="shared" si="440"/>
        <v>0</v>
      </c>
      <c r="S1340" s="1394">
        <f>IFERROR(VLOOKUP(M1340,#REF!,6,0),0)</f>
        <v>0</v>
      </c>
      <c r="T1340" s="1394">
        <f t="shared" si="441"/>
        <v>0</v>
      </c>
      <c r="U1340" s="1394">
        <f>IFERROR(VLOOKUP(M1340,#REF!,5,0),0)</f>
        <v>0</v>
      </c>
      <c r="V1340" s="1394">
        <f t="shared" si="442"/>
        <v>0</v>
      </c>
      <c r="W1340" s="1394"/>
    </row>
    <row r="1341" spans="2:23" ht="30" customHeight="1">
      <c r="B1341" s="1407"/>
      <c r="C1341" s="1455" t="s">
        <v>5623</v>
      </c>
      <c r="D1341" s="103">
        <v>1</v>
      </c>
      <c r="E1341" s="103">
        <v>1</v>
      </c>
      <c r="F1341" s="1413">
        <v>19.945</v>
      </c>
      <c r="G1341" s="1413">
        <v>0.23</v>
      </c>
      <c r="H1341" s="1414">
        <v>1</v>
      </c>
      <c r="I1341" s="1425">
        <f t="shared" si="443"/>
        <v>4.5873500000000007</v>
      </c>
      <c r="M1341" s="110"/>
      <c r="Q1341" s="1394">
        <f>IFERROR(VLOOKUP(M1341,#REF!,3,0),0)</f>
        <v>0</v>
      </c>
      <c r="R1341" s="1394">
        <f t="shared" si="440"/>
        <v>0</v>
      </c>
      <c r="S1341" s="1394">
        <f>IFERROR(VLOOKUP(M1341,#REF!,6,0),0)</f>
        <v>0</v>
      </c>
      <c r="T1341" s="1394">
        <f t="shared" si="441"/>
        <v>0</v>
      </c>
      <c r="U1341" s="1394">
        <f>IFERROR(VLOOKUP(M1341,#REF!,5,0),0)</f>
        <v>0</v>
      </c>
      <c r="V1341" s="1394">
        <f t="shared" si="442"/>
        <v>0</v>
      </c>
      <c r="W1341" s="1394"/>
    </row>
    <row r="1342" spans="2:23" ht="30" customHeight="1">
      <c r="B1342" s="1407"/>
      <c r="C1342" s="1412" t="s">
        <v>5589</v>
      </c>
      <c r="D1342" s="103"/>
      <c r="E1342" s="103"/>
      <c r="F1342" s="1413"/>
      <c r="G1342" s="1413"/>
      <c r="H1342" s="1414"/>
      <c r="I1342" s="1425">
        <f t="shared" si="443"/>
        <v>0</v>
      </c>
      <c r="M1342" s="110"/>
      <c r="Q1342" s="1394">
        <f>IFERROR(VLOOKUP(M1342,#REF!,3,0),0)</f>
        <v>0</v>
      </c>
      <c r="R1342" s="1394">
        <f t="shared" si="440"/>
        <v>0</v>
      </c>
      <c r="S1342" s="1394">
        <f>IFERROR(VLOOKUP(M1342,#REF!,6,0),0)</f>
        <v>0</v>
      </c>
      <c r="T1342" s="1394">
        <f t="shared" si="441"/>
        <v>0</v>
      </c>
      <c r="U1342" s="1394">
        <f>IFERROR(VLOOKUP(M1342,#REF!,5,0),0)</f>
        <v>0</v>
      </c>
      <c r="V1342" s="1394">
        <f t="shared" si="442"/>
        <v>0</v>
      </c>
      <c r="W1342" s="1394"/>
    </row>
    <row r="1343" spans="2:23" ht="30" customHeight="1">
      <c r="B1343" s="1407"/>
      <c r="C1343" s="1455" t="s">
        <v>5507</v>
      </c>
      <c r="D1343" s="103">
        <v>-1</v>
      </c>
      <c r="E1343" s="103">
        <f>VLOOKUP(C1343,Sheet1!$I$7:$P$39,5,0)</f>
        <v>1</v>
      </c>
      <c r="F1343" s="1413">
        <f>VLOOKUP(C1343,Sheet1!$I$7:$P$39,2,0)</f>
        <v>1.8</v>
      </c>
      <c r="G1343" s="1413">
        <v>0.23</v>
      </c>
      <c r="H1343" s="1414">
        <f>VLOOKUP(C1343,Sheet1!$I$7:$P$39,3,0)</f>
        <v>2.1</v>
      </c>
      <c r="I1343" s="1425">
        <f t="shared" ref="I1343:I1361" si="449">PRODUCT(D1343:H1343)</f>
        <v>-0.86940000000000006</v>
      </c>
      <c r="M1343" s="110"/>
      <c r="Q1343" s="1394">
        <f>IFERROR(VLOOKUP(M1343,#REF!,3,0),0)</f>
        <v>0</v>
      </c>
      <c r="R1343" s="1394">
        <f t="shared" si="440"/>
        <v>0</v>
      </c>
      <c r="S1343" s="1394">
        <f>IFERROR(VLOOKUP(M1343,#REF!,6,0),0)</f>
        <v>0</v>
      </c>
      <c r="T1343" s="1394">
        <f t="shared" si="441"/>
        <v>0</v>
      </c>
      <c r="U1343" s="1394">
        <f>IFERROR(VLOOKUP(M1343,#REF!,5,0),0)</f>
        <v>0</v>
      </c>
      <c r="V1343" s="1394">
        <f t="shared" si="442"/>
        <v>0</v>
      </c>
      <c r="W1343" s="1394"/>
    </row>
    <row r="1344" spans="2:23" ht="30" customHeight="1">
      <c r="B1344" s="1407"/>
      <c r="C1344" s="1455" t="s">
        <v>5508</v>
      </c>
      <c r="D1344" s="103">
        <v>-1</v>
      </c>
      <c r="E1344" s="103">
        <f>VLOOKUP(C1344,Sheet1!$I$7:$P$39,5,0)</f>
        <v>1</v>
      </c>
      <c r="F1344" s="1413">
        <f>VLOOKUP(C1344,Sheet1!$I$7:$P$39,2,0)</f>
        <v>1</v>
      </c>
      <c r="G1344" s="1413">
        <v>0.23</v>
      </c>
      <c r="H1344" s="1414">
        <f>VLOOKUP(C1344,Sheet1!$I$7:$P$39,3,0)</f>
        <v>2.1</v>
      </c>
      <c r="I1344" s="1425">
        <f t="shared" si="449"/>
        <v>-0.48300000000000004</v>
      </c>
      <c r="M1344" s="110"/>
      <c r="Q1344" s="1394">
        <f>IFERROR(VLOOKUP(M1344,#REF!,3,0),0)</f>
        <v>0</v>
      </c>
      <c r="R1344" s="1394">
        <f t="shared" si="440"/>
        <v>0</v>
      </c>
      <c r="S1344" s="1394">
        <f>IFERROR(VLOOKUP(M1344,#REF!,6,0),0)</f>
        <v>0</v>
      </c>
      <c r="T1344" s="1394">
        <f t="shared" si="441"/>
        <v>0</v>
      </c>
      <c r="U1344" s="1394">
        <f>IFERROR(VLOOKUP(M1344,#REF!,5,0),0)</f>
        <v>0</v>
      </c>
      <c r="V1344" s="1394">
        <f t="shared" si="442"/>
        <v>0</v>
      </c>
      <c r="W1344" s="1394"/>
    </row>
    <row r="1345" spans="2:23" ht="30" customHeight="1">
      <c r="B1345" s="1407"/>
      <c r="C1345" s="1455" t="s">
        <v>5509</v>
      </c>
      <c r="D1345" s="103">
        <v>-1</v>
      </c>
      <c r="E1345" s="103">
        <f>VLOOKUP(C1345,Sheet1!$I$7:$P$39,5,0)</f>
        <v>2</v>
      </c>
      <c r="F1345" s="1413">
        <f>VLOOKUP(C1345,Sheet1!$I$7:$P$39,2,0)</f>
        <v>0.75</v>
      </c>
      <c r="G1345" s="1413">
        <v>0.23</v>
      </c>
      <c r="H1345" s="1414">
        <f>VLOOKUP(C1345,Sheet1!$I$7:$P$39,3,0)</f>
        <v>2.1</v>
      </c>
      <c r="I1345" s="1425">
        <f t="shared" si="449"/>
        <v>-0.72450000000000014</v>
      </c>
      <c r="M1345" s="110"/>
      <c r="Q1345" s="1394">
        <f>IFERROR(VLOOKUP(M1345,#REF!,3,0),0)</f>
        <v>0</v>
      </c>
      <c r="R1345" s="1394">
        <f t="shared" si="440"/>
        <v>0</v>
      </c>
      <c r="S1345" s="1394">
        <f>IFERROR(VLOOKUP(M1345,#REF!,6,0),0)</f>
        <v>0</v>
      </c>
      <c r="T1345" s="1394">
        <f t="shared" si="441"/>
        <v>0</v>
      </c>
      <c r="U1345" s="1394">
        <f>IFERROR(VLOOKUP(M1345,#REF!,5,0),0)</f>
        <v>0</v>
      </c>
      <c r="V1345" s="1394">
        <f t="shared" si="442"/>
        <v>0</v>
      </c>
      <c r="W1345" s="1394"/>
    </row>
    <row r="1346" spans="2:23" ht="30" customHeight="1">
      <c r="B1346" s="1407"/>
      <c r="C1346" s="1412" t="s">
        <v>25</v>
      </c>
      <c r="D1346" s="103">
        <v>-1</v>
      </c>
      <c r="E1346" s="103">
        <f>VLOOKUP(C1346,Sheet1!$I$7:$P$39,5,0)</f>
        <v>5</v>
      </c>
      <c r="F1346" s="1413">
        <f>VLOOKUP(C1346,Sheet1!$I$7:$P$39,2,0)</f>
        <v>1</v>
      </c>
      <c r="G1346" s="1413">
        <v>0.23</v>
      </c>
      <c r="H1346" s="1414">
        <f>VLOOKUP(C1346,Sheet1!$I$7:$P$39,3,0)</f>
        <v>2.1</v>
      </c>
      <c r="I1346" s="1425">
        <f t="shared" si="449"/>
        <v>-2.4150000000000005</v>
      </c>
      <c r="M1346" s="110"/>
      <c r="Q1346" s="1394">
        <f>IFERROR(VLOOKUP(M1346,#REF!,3,0),0)</f>
        <v>0</v>
      </c>
      <c r="R1346" s="1394">
        <f t="shared" si="440"/>
        <v>0</v>
      </c>
      <c r="S1346" s="1394">
        <f>IFERROR(VLOOKUP(M1346,#REF!,6,0),0)</f>
        <v>0</v>
      </c>
      <c r="T1346" s="1394">
        <f t="shared" si="441"/>
        <v>0</v>
      </c>
      <c r="U1346" s="1394">
        <f>IFERROR(VLOOKUP(M1346,#REF!,5,0),0)</f>
        <v>0</v>
      </c>
      <c r="V1346" s="1394">
        <f t="shared" si="442"/>
        <v>0</v>
      </c>
      <c r="W1346" s="1394"/>
    </row>
    <row r="1347" spans="2:23" ht="30" customHeight="1">
      <c r="B1347" s="1407"/>
      <c r="C1347" s="1455" t="s">
        <v>193</v>
      </c>
      <c r="D1347" s="103">
        <v>-1</v>
      </c>
      <c r="E1347" s="103">
        <f>VLOOKUP(C1347,Sheet1!$I$7:$P$39,5,0)</f>
        <v>2</v>
      </c>
      <c r="F1347" s="1413">
        <f>VLOOKUP(C1347,Sheet1!$I$7:$P$39,2,0)</f>
        <v>0.9</v>
      </c>
      <c r="G1347" s="1413">
        <v>0.23</v>
      </c>
      <c r="H1347" s="1414">
        <f>VLOOKUP(C1347,Sheet1!$I$7:$P$39,3,0)</f>
        <v>2.1</v>
      </c>
      <c r="I1347" s="1425">
        <f t="shared" si="449"/>
        <v>-0.86940000000000006</v>
      </c>
      <c r="M1347" s="110"/>
      <c r="Q1347" s="1394">
        <f>IFERROR(VLOOKUP(M1347,#REF!,3,0),0)</f>
        <v>0</v>
      </c>
      <c r="R1347" s="1394">
        <f t="shared" si="440"/>
        <v>0</v>
      </c>
      <c r="S1347" s="1394">
        <f>IFERROR(VLOOKUP(M1347,#REF!,6,0),0)</f>
        <v>0</v>
      </c>
      <c r="T1347" s="1394">
        <f t="shared" si="441"/>
        <v>0</v>
      </c>
      <c r="U1347" s="1394">
        <f>IFERROR(VLOOKUP(M1347,#REF!,5,0),0)</f>
        <v>0</v>
      </c>
      <c r="V1347" s="1394">
        <f t="shared" si="442"/>
        <v>0</v>
      </c>
      <c r="W1347" s="1394"/>
    </row>
    <row r="1348" spans="2:23" ht="30" customHeight="1">
      <c r="B1348" s="1407"/>
      <c r="C1348" s="1455" t="s">
        <v>195</v>
      </c>
      <c r="D1348" s="103">
        <v>-1</v>
      </c>
      <c r="E1348" s="103">
        <f>VLOOKUP(C1348,Sheet1!$I$7:$P$39,5,0)</f>
        <v>2</v>
      </c>
      <c r="F1348" s="1413">
        <f>VLOOKUP(C1348,Sheet1!$I$7:$P$39,2,0)</f>
        <v>0.75</v>
      </c>
      <c r="G1348" s="1413">
        <v>0.23</v>
      </c>
      <c r="H1348" s="1414">
        <f>VLOOKUP(C1348,Sheet1!$I$7:$P$39,3,0)</f>
        <v>1.35</v>
      </c>
      <c r="I1348" s="1425">
        <f t="shared" si="449"/>
        <v>-0.46575000000000005</v>
      </c>
      <c r="M1348" s="110"/>
      <c r="Q1348" s="1394">
        <f>IFERROR(VLOOKUP(M1348,#REF!,3,0),0)</f>
        <v>0</v>
      </c>
      <c r="R1348" s="1394">
        <f t="shared" si="440"/>
        <v>0</v>
      </c>
      <c r="S1348" s="1394">
        <f>IFERROR(VLOOKUP(M1348,#REF!,6,0),0)</f>
        <v>0</v>
      </c>
      <c r="T1348" s="1394">
        <f t="shared" si="441"/>
        <v>0</v>
      </c>
      <c r="U1348" s="1394">
        <f>IFERROR(VLOOKUP(M1348,#REF!,5,0),0)</f>
        <v>0</v>
      </c>
      <c r="V1348" s="1394">
        <f t="shared" si="442"/>
        <v>0</v>
      </c>
      <c r="W1348" s="1394"/>
    </row>
    <row r="1349" spans="2:23" ht="30" customHeight="1">
      <c r="B1349" s="1407"/>
      <c r="C1349" s="1455" t="s">
        <v>256</v>
      </c>
      <c r="D1349" s="103">
        <v>-1</v>
      </c>
      <c r="E1349" s="103">
        <f>VLOOKUP(C1349,Sheet1!$I$7:$P$39,5,0)</f>
        <v>1</v>
      </c>
      <c r="F1349" s="1413">
        <f>VLOOKUP(C1349,Sheet1!$I$7:$P$39,2,0)</f>
        <v>1.2</v>
      </c>
      <c r="G1349" s="1413">
        <v>0.23</v>
      </c>
      <c r="H1349" s="1414">
        <f>VLOOKUP(C1349,Sheet1!$I$7:$P$39,3,0)</f>
        <v>2.1</v>
      </c>
      <c r="I1349" s="1425">
        <f t="shared" si="449"/>
        <v>-0.57960000000000012</v>
      </c>
      <c r="M1349" s="110"/>
      <c r="Q1349" s="1394">
        <f>IFERROR(VLOOKUP(M1349,#REF!,3,0),0)</f>
        <v>0</v>
      </c>
      <c r="R1349" s="1394">
        <f t="shared" si="440"/>
        <v>0</v>
      </c>
      <c r="S1349" s="1394">
        <f>IFERROR(VLOOKUP(M1349,#REF!,6,0),0)</f>
        <v>0</v>
      </c>
      <c r="T1349" s="1394">
        <f t="shared" si="441"/>
        <v>0</v>
      </c>
      <c r="U1349" s="1394">
        <f>IFERROR(VLOOKUP(M1349,#REF!,5,0),0)</f>
        <v>0</v>
      </c>
      <c r="V1349" s="1394">
        <f t="shared" si="442"/>
        <v>0</v>
      </c>
      <c r="W1349" s="1394"/>
    </row>
    <row r="1350" spans="2:23" ht="30" customHeight="1">
      <c r="B1350" s="1407"/>
      <c r="C1350" s="1455" t="s">
        <v>5510</v>
      </c>
      <c r="D1350" s="103">
        <v>-1</v>
      </c>
      <c r="E1350" s="103">
        <f>VLOOKUP(C1350,Sheet1!$I$7:$P$39,5,0)</f>
        <v>2</v>
      </c>
      <c r="F1350" s="1413">
        <f>VLOOKUP(C1350,Sheet1!$I$7:$P$39,2,0)</f>
        <v>1</v>
      </c>
      <c r="G1350" s="1413">
        <v>0.23</v>
      </c>
      <c r="H1350" s="1414">
        <f>VLOOKUP(C1350,Sheet1!$I$7:$P$39,3,0)</f>
        <v>2.1</v>
      </c>
      <c r="I1350" s="1425">
        <f t="shared" si="449"/>
        <v>-0.96600000000000008</v>
      </c>
      <c r="M1350" s="110"/>
      <c r="Q1350" s="1394">
        <f>IFERROR(VLOOKUP(M1350,#REF!,3,0),0)</f>
        <v>0</v>
      </c>
      <c r="R1350" s="1394">
        <f t="shared" si="440"/>
        <v>0</v>
      </c>
      <c r="S1350" s="1394">
        <f>IFERROR(VLOOKUP(M1350,#REF!,6,0),0)</f>
        <v>0</v>
      </c>
      <c r="T1350" s="1394">
        <f t="shared" si="441"/>
        <v>0</v>
      </c>
      <c r="U1350" s="1394">
        <f>IFERROR(VLOOKUP(M1350,#REF!,5,0),0)</f>
        <v>0</v>
      </c>
      <c r="V1350" s="1394">
        <f t="shared" si="442"/>
        <v>0</v>
      </c>
      <c r="W1350" s="1394"/>
    </row>
    <row r="1351" spans="2:23" ht="30" customHeight="1">
      <c r="B1351" s="1407"/>
      <c r="C1351" s="1455" t="s">
        <v>190</v>
      </c>
      <c r="D1351" s="103">
        <v>-1</v>
      </c>
      <c r="E1351" s="103">
        <f>VLOOKUP(C1351,Sheet1!$I$7:$P$39,5,0)</f>
        <v>2</v>
      </c>
      <c r="F1351" s="1413">
        <f>VLOOKUP(C1351,Sheet1!$I$7:$P$39,2,0)</f>
        <v>0.81299999999999994</v>
      </c>
      <c r="G1351" s="1413">
        <v>0.23</v>
      </c>
      <c r="H1351" s="1414">
        <f>VLOOKUP(C1351,Sheet1!$I$7:$P$39,3,0)</f>
        <v>1.8</v>
      </c>
      <c r="I1351" s="1425">
        <f t="shared" si="449"/>
        <v>-0.67316399999999998</v>
      </c>
      <c r="M1351" s="110"/>
      <c r="Q1351" s="1394">
        <f>IFERROR(VLOOKUP(M1351,#REF!,3,0),0)</f>
        <v>0</v>
      </c>
      <c r="R1351" s="1394">
        <f t="shared" si="440"/>
        <v>0</v>
      </c>
      <c r="S1351" s="1394">
        <f>IFERROR(VLOOKUP(M1351,#REF!,6,0),0)</f>
        <v>0</v>
      </c>
      <c r="T1351" s="1394">
        <f t="shared" si="441"/>
        <v>0</v>
      </c>
      <c r="U1351" s="1394">
        <f>IFERROR(VLOOKUP(M1351,#REF!,5,0),0)</f>
        <v>0</v>
      </c>
      <c r="V1351" s="1394">
        <f t="shared" si="442"/>
        <v>0</v>
      </c>
      <c r="W1351" s="1394"/>
    </row>
    <row r="1352" spans="2:23" ht="30" customHeight="1">
      <c r="B1352" s="1407"/>
      <c r="C1352" s="1412" t="s">
        <v>5513</v>
      </c>
      <c r="D1352" s="103">
        <v>-1</v>
      </c>
      <c r="E1352" s="103">
        <f>VLOOKUP(C1352,Sheet1!$I$7:$P$39,5,0)</f>
        <v>1</v>
      </c>
      <c r="F1352" s="1413">
        <f>VLOOKUP(C1352,Sheet1!$I$7:$P$39,2,0)</f>
        <v>2</v>
      </c>
      <c r="G1352" s="1413">
        <v>0.23</v>
      </c>
      <c r="H1352" s="1414">
        <f>VLOOKUP(C1352,Sheet1!$I$7:$P$39,3,0)</f>
        <v>1.8</v>
      </c>
      <c r="I1352" s="1425">
        <f t="shared" si="449"/>
        <v>-0.82800000000000007</v>
      </c>
      <c r="M1352" s="110"/>
      <c r="Q1352" s="1394">
        <f>IFERROR(VLOOKUP(M1352,#REF!,3,0),0)</f>
        <v>0</v>
      </c>
      <c r="R1352" s="1394">
        <f t="shared" si="440"/>
        <v>0</v>
      </c>
      <c r="S1352" s="1394">
        <f>IFERROR(VLOOKUP(M1352,#REF!,6,0),0)</f>
        <v>0</v>
      </c>
      <c r="T1352" s="1394">
        <f t="shared" si="441"/>
        <v>0</v>
      </c>
      <c r="U1352" s="1394">
        <f>IFERROR(VLOOKUP(M1352,#REF!,5,0),0)</f>
        <v>0</v>
      </c>
      <c r="V1352" s="1394">
        <f t="shared" si="442"/>
        <v>0</v>
      </c>
      <c r="W1352" s="1394"/>
    </row>
    <row r="1353" spans="2:23" ht="30" customHeight="1">
      <c r="B1353" s="1407"/>
      <c r="C1353" s="1455" t="s">
        <v>5514</v>
      </c>
      <c r="D1353" s="103">
        <v>-1</v>
      </c>
      <c r="E1353" s="103">
        <f>VLOOKUP(C1353,Sheet1!$I$7:$P$39,5,0)</f>
        <v>2</v>
      </c>
      <c r="F1353" s="1413">
        <f>VLOOKUP(C1353,Sheet1!$I$7:$P$39,2,0)</f>
        <v>1.2</v>
      </c>
      <c r="G1353" s="1413">
        <v>0.23</v>
      </c>
      <c r="H1353" s="1414">
        <f>VLOOKUP(C1353,Sheet1!$I$7:$P$39,3,0)</f>
        <v>1.8</v>
      </c>
      <c r="I1353" s="1425">
        <f t="shared" si="449"/>
        <v>-0.99360000000000015</v>
      </c>
      <c r="M1353" s="110"/>
      <c r="Q1353" s="1394">
        <f>IFERROR(VLOOKUP(M1353,#REF!,3,0),0)</f>
        <v>0</v>
      </c>
      <c r="R1353" s="1394">
        <f t="shared" si="440"/>
        <v>0</v>
      </c>
      <c r="S1353" s="1394">
        <f>IFERROR(VLOOKUP(M1353,#REF!,6,0),0)</f>
        <v>0</v>
      </c>
      <c r="T1353" s="1394">
        <f t="shared" si="441"/>
        <v>0</v>
      </c>
      <c r="U1353" s="1394">
        <f>IFERROR(VLOOKUP(M1353,#REF!,5,0),0)</f>
        <v>0</v>
      </c>
      <c r="V1353" s="1394">
        <f t="shared" si="442"/>
        <v>0</v>
      </c>
      <c r="W1353" s="1394"/>
    </row>
    <row r="1354" spans="2:23" ht="30" customHeight="1">
      <c r="B1354" s="1407"/>
      <c r="C1354" s="1455" t="s">
        <v>252</v>
      </c>
      <c r="D1354" s="103">
        <v>-1</v>
      </c>
      <c r="E1354" s="103">
        <f>VLOOKUP(C1354,Sheet1!$I$7:$P$39,5,0)</f>
        <v>1</v>
      </c>
      <c r="F1354" s="1413">
        <f>VLOOKUP(C1354,Sheet1!$I$7:$P$39,2,0)</f>
        <v>1.8</v>
      </c>
      <c r="G1354" s="1413">
        <v>0.23</v>
      </c>
      <c r="H1354" s="1414">
        <f>VLOOKUP(C1354,Sheet1!$I$7:$P$39,3,0)</f>
        <v>1.35</v>
      </c>
      <c r="I1354" s="1425">
        <f t="shared" si="449"/>
        <v>-0.55890000000000006</v>
      </c>
      <c r="M1354" s="110"/>
      <c r="Q1354" s="1394">
        <f>IFERROR(VLOOKUP(M1354,#REF!,3,0),0)</f>
        <v>0</v>
      </c>
      <c r="R1354" s="1394">
        <f t="shared" si="440"/>
        <v>0</v>
      </c>
      <c r="S1354" s="1394">
        <f>IFERROR(VLOOKUP(M1354,#REF!,6,0),0)</f>
        <v>0</v>
      </c>
      <c r="T1354" s="1394">
        <f t="shared" si="441"/>
        <v>0</v>
      </c>
      <c r="U1354" s="1394">
        <f>IFERROR(VLOOKUP(M1354,#REF!,5,0),0)</f>
        <v>0</v>
      </c>
      <c r="V1354" s="1394">
        <f t="shared" si="442"/>
        <v>0</v>
      </c>
      <c r="W1354" s="1394"/>
    </row>
    <row r="1355" spans="2:23" ht="30" customHeight="1">
      <c r="B1355" s="1407"/>
      <c r="C1355" s="1455" t="s">
        <v>248</v>
      </c>
      <c r="D1355" s="103">
        <v>-1</v>
      </c>
      <c r="E1355" s="103">
        <f>VLOOKUP(C1355,Sheet1!$I$7:$P$39,5,0)</f>
        <v>1</v>
      </c>
      <c r="F1355" s="1413">
        <f>VLOOKUP(C1355,Sheet1!$I$7:$P$39,2,0)</f>
        <v>1.8</v>
      </c>
      <c r="G1355" s="1413">
        <v>0.23</v>
      </c>
      <c r="H1355" s="1414">
        <f>VLOOKUP(C1355,Sheet1!$I$7:$P$39,3,0)</f>
        <v>1.35</v>
      </c>
      <c r="I1355" s="1425">
        <f t="shared" si="449"/>
        <v>-0.55890000000000006</v>
      </c>
      <c r="M1355" s="110"/>
      <c r="Q1355" s="1394">
        <f>IFERROR(VLOOKUP(M1355,#REF!,3,0),0)</f>
        <v>0</v>
      </c>
      <c r="R1355" s="1394">
        <f t="shared" si="440"/>
        <v>0</v>
      </c>
      <c r="S1355" s="1394">
        <f>IFERROR(VLOOKUP(M1355,#REF!,6,0),0)</f>
        <v>0</v>
      </c>
      <c r="T1355" s="1394">
        <f t="shared" si="441"/>
        <v>0</v>
      </c>
      <c r="U1355" s="1394">
        <f>IFERROR(VLOOKUP(M1355,#REF!,5,0),0)</f>
        <v>0</v>
      </c>
      <c r="V1355" s="1394">
        <f t="shared" si="442"/>
        <v>0</v>
      </c>
      <c r="W1355" s="1394"/>
    </row>
    <row r="1356" spans="2:23" ht="30" customHeight="1">
      <c r="B1356" s="1407"/>
      <c r="C1356" s="1455" t="s">
        <v>249</v>
      </c>
      <c r="D1356" s="103">
        <v>-1</v>
      </c>
      <c r="E1356" s="103">
        <f>VLOOKUP(C1356,Sheet1!$I$7:$P$39,5,0)</f>
        <v>1</v>
      </c>
      <c r="F1356" s="1413">
        <f>VLOOKUP(C1356,Sheet1!$I$7:$P$39,2,0)</f>
        <v>1.5</v>
      </c>
      <c r="G1356" s="1413">
        <v>0.23</v>
      </c>
      <c r="H1356" s="1414">
        <f>VLOOKUP(C1356,Sheet1!$I$7:$P$39,3,0)</f>
        <v>1.35</v>
      </c>
      <c r="I1356" s="1425">
        <f t="shared" si="449"/>
        <v>-0.46575000000000005</v>
      </c>
      <c r="M1356" s="110"/>
      <c r="Q1356" s="1394">
        <f>IFERROR(VLOOKUP(M1356,#REF!,3,0),0)</f>
        <v>0</v>
      </c>
      <c r="R1356" s="1394">
        <f t="shared" si="440"/>
        <v>0</v>
      </c>
      <c r="S1356" s="1394">
        <f>IFERROR(VLOOKUP(M1356,#REF!,6,0),0)</f>
        <v>0</v>
      </c>
      <c r="T1356" s="1394">
        <f t="shared" si="441"/>
        <v>0</v>
      </c>
      <c r="U1356" s="1394">
        <f>IFERROR(VLOOKUP(M1356,#REF!,5,0),0)</f>
        <v>0</v>
      </c>
      <c r="V1356" s="1394">
        <f t="shared" si="442"/>
        <v>0</v>
      </c>
      <c r="W1356" s="1394"/>
    </row>
    <row r="1357" spans="2:23" ht="30" customHeight="1">
      <c r="B1357" s="1407"/>
      <c r="C1357" s="1455" t="s">
        <v>250</v>
      </c>
      <c r="D1357" s="103">
        <v>-1</v>
      </c>
      <c r="E1357" s="103">
        <f>VLOOKUP(C1357,Sheet1!$I$7:$P$39,5,0)</f>
        <v>10</v>
      </c>
      <c r="F1357" s="1413">
        <f>VLOOKUP(C1357,Sheet1!$I$7:$P$39,2,0)</f>
        <v>1.2</v>
      </c>
      <c r="G1357" s="1413">
        <v>0.23</v>
      </c>
      <c r="H1357" s="1414">
        <f>VLOOKUP(C1357,Sheet1!$I$7:$P$39,3,0)</f>
        <v>1.35</v>
      </c>
      <c r="I1357" s="1425">
        <f t="shared" si="449"/>
        <v>-3.7260000000000004</v>
      </c>
      <c r="M1357" s="110"/>
      <c r="Q1357" s="1394">
        <f>IFERROR(VLOOKUP(M1357,#REF!,3,0),0)</f>
        <v>0</v>
      </c>
      <c r="R1357" s="1394">
        <f t="shared" si="440"/>
        <v>0</v>
      </c>
      <c r="S1357" s="1394">
        <f>IFERROR(VLOOKUP(M1357,#REF!,6,0),0)</f>
        <v>0</v>
      </c>
      <c r="T1357" s="1394">
        <f t="shared" si="441"/>
        <v>0</v>
      </c>
      <c r="U1357" s="1394">
        <f>IFERROR(VLOOKUP(M1357,#REF!,5,0),0)</f>
        <v>0</v>
      </c>
      <c r="V1357" s="1394">
        <f t="shared" si="442"/>
        <v>0</v>
      </c>
      <c r="W1357" s="1394"/>
    </row>
    <row r="1358" spans="2:23" ht="30" customHeight="1">
      <c r="B1358" s="1407"/>
      <c r="C1358" s="1412" t="s">
        <v>251</v>
      </c>
      <c r="D1358" s="103">
        <v>-1</v>
      </c>
      <c r="E1358" s="103">
        <f>VLOOKUP(C1358,Sheet1!$I$7:$P$39,5,0)</f>
        <v>4</v>
      </c>
      <c r="F1358" s="1413">
        <f>VLOOKUP(C1358,Sheet1!$I$7:$P$39,2,0)</f>
        <v>1</v>
      </c>
      <c r="G1358" s="1413">
        <v>0.23</v>
      </c>
      <c r="H1358" s="1414">
        <f>VLOOKUP(C1358,Sheet1!$I$7:$P$39,3,0)</f>
        <v>1.35</v>
      </c>
      <c r="I1358" s="1425">
        <f t="shared" si="449"/>
        <v>-1.2420000000000002</v>
      </c>
      <c r="M1358" s="110"/>
      <c r="Q1358" s="1394">
        <f>IFERROR(VLOOKUP(M1358,#REF!,3,0),0)</f>
        <v>0</v>
      </c>
      <c r="R1358" s="1394">
        <f t="shared" si="440"/>
        <v>0</v>
      </c>
      <c r="S1358" s="1394">
        <f>IFERROR(VLOOKUP(M1358,#REF!,6,0),0)</f>
        <v>0</v>
      </c>
      <c r="T1358" s="1394">
        <f t="shared" si="441"/>
        <v>0</v>
      </c>
      <c r="U1358" s="1394">
        <f>IFERROR(VLOOKUP(M1358,#REF!,5,0),0)</f>
        <v>0</v>
      </c>
      <c r="V1358" s="1394">
        <f t="shared" si="442"/>
        <v>0</v>
      </c>
      <c r="W1358" s="1394"/>
    </row>
    <row r="1359" spans="2:23" ht="30" customHeight="1">
      <c r="B1359" s="1407"/>
      <c r="C1359" s="1455" t="s">
        <v>253</v>
      </c>
      <c r="D1359" s="103">
        <v>-1</v>
      </c>
      <c r="E1359" s="103">
        <f>VLOOKUP(C1359,Sheet1!$I$7:$P$39,5,0)</f>
        <v>2</v>
      </c>
      <c r="F1359" s="1413">
        <f>VLOOKUP(C1359,Sheet1!$I$7:$P$39,2,0)</f>
        <v>1</v>
      </c>
      <c r="G1359" s="1413">
        <v>0.23</v>
      </c>
      <c r="H1359" s="1414">
        <f>VLOOKUP(C1359,Sheet1!$I$7:$P$39,3,0)</f>
        <v>0.6</v>
      </c>
      <c r="I1359" s="1425">
        <f t="shared" si="449"/>
        <v>-0.27600000000000002</v>
      </c>
      <c r="M1359" s="110"/>
      <c r="Q1359" s="1394">
        <f>IFERROR(VLOOKUP(M1359,#REF!,3,0),0)</f>
        <v>0</v>
      </c>
      <c r="R1359" s="1394">
        <f t="shared" si="440"/>
        <v>0</v>
      </c>
      <c r="S1359" s="1394">
        <f>IFERROR(VLOOKUP(M1359,#REF!,6,0),0)</f>
        <v>0</v>
      </c>
      <c r="T1359" s="1394">
        <f t="shared" si="441"/>
        <v>0</v>
      </c>
      <c r="U1359" s="1394">
        <f>IFERROR(VLOOKUP(M1359,#REF!,5,0),0)</f>
        <v>0</v>
      </c>
      <c r="V1359" s="1394">
        <f t="shared" si="442"/>
        <v>0</v>
      </c>
      <c r="W1359" s="1394"/>
    </row>
    <row r="1360" spans="2:23" ht="30" customHeight="1">
      <c r="B1360" s="1407"/>
      <c r="C1360" s="1455" t="s">
        <v>372</v>
      </c>
      <c r="D1360" s="103">
        <v>-1</v>
      </c>
      <c r="E1360" s="103">
        <f>VLOOKUP(C1360,Sheet1!$I$7:$P$39,5,0)</f>
        <v>2</v>
      </c>
      <c r="F1360" s="1413">
        <f>VLOOKUP(C1360,Sheet1!$I$7:$P$39,2,0)</f>
        <v>0.6</v>
      </c>
      <c r="G1360" s="1413">
        <v>0.23</v>
      </c>
      <c r="H1360" s="1414">
        <f>VLOOKUP(C1360,Sheet1!$I$7:$P$39,3,0)</f>
        <v>0.6</v>
      </c>
      <c r="I1360" s="1425">
        <f t="shared" si="449"/>
        <v>-0.1656</v>
      </c>
      <c r="M1360" s="110"/>
      <c r="Q1360" s="1394">
        <f>IFERROR(VLOOKUP(M1360,#REF!,3,0),0)</f>
        <v>0</v>
      </c>
      <c r="R1360" s="1394">
        <f t="shared" si="440"/>
        <v>0</v>
      </c>
      <c r="S1360" s="1394">
        <f>IFERROR(VLOOKUP(M1360,#REF!,6,0),0)</f>
        <v>0</v>
      </c>
      <c r="T1360" s="1394">
        <f t="shared" si="441"/>
        <v>0</v>
      </c>
      <c r="U1360" s="1394">
        <f>IFERROR(VLOOKUP(M1360,#REF!,5,0),0)</f>
        <v>0</v>
      </c>
      <c r="V1360" s="1394">
        <f t="shared" si="442"/>
        <v>0</v>
      </c>
      <c r="W1360" s="1394"/>
    </row>
    <row r="1361" spans="1:23" ht="30" customHeight="1">
      <c r="B1361" s="1407"/>
      <c r="C1361" s="1412" t="s">
        <v>257</v>
      </c>
      <c r="D1361" s="103">
        <v>-1</v>
      </c>
      <c r="E1361" s="103">
        <f>VLOOKUP(C1361,Sheet1!$I$7:$P$39,5,0)</f>
        <v>4</v>
      </c>
      <c r="F1361" s="1413">
        <f>VLOOKUP(C1361,Sheet1!$I$7:$P$39,2,0)</f>
        <v>0.9</v>
      </c>
      <c r="G1361" s="1413">
        <v>0.23</v>
      </c>
      <c r="H1361" s="1414">
        <f>VLOOKUP(C1361,Sheet1!$I$7:$P$39,3,0)</f>
        <v>0.75</v>
      </c>
      <c r="I1361" s="1425">
        <f t="shared" si="449"/>
        <v>-0.621</v>
      </c>
      <c r="M1361" s="110"/>
      <c r="Q1361" s="1394">
        <f>IFERROR(VLOOKUP(M1361,#REF!,3,0),0)</f>
        <v>0</v>
      </c>
      <c r="R1361" s="1394">
        <f t="shared" si="440"/>
        <v>0</v>
      </c>
      <c r="S1361" s="1394">
        <f>IFERROR(VLOOKUP(M1361,#REF!,6,0),0)</f>
        <v>0</v>
      </c>
      <c r="T1361" s="1394">
        <f t="shared" si="441"/>
        <v>0</v>
      </c>
      <c r="U1361" s="1394">
        <f>IFERROR(VLOOKUP(M1361,#REF!,5,0),0)</f>
        <v>0</v>
      </c>
      <c r="V1361" s="1394">
        <f t="shared" si="442"/>
        <v>0</v>
      </c>
      <c r="W1361" s="1394"/>
    </row>
    <row r="1362" spans="1:23" ht="30" customHeight="1">
      <c r="B1362" s="1407"/>
      <c r="C1362" s="1412" t="s">
        <v>338</v>
      </c>
      <c r="D1362" s="103"/>
      <c r="E1362" s="103"/>
      <c r="F1362" s="1413"/>
      <c r="G1362" s="1413"/>
      <c r="H1362" s="1414"/>
      <c r="I1362" s="1425">
        <f t="shared" ref="I1362:I1393" si="450">PRODUCT(D1362:H1362)</f>
        <v>0</v>
      </c>
      <c r="Q1362" s="1394">
        <f>IFERROR(VLOOKUP(M1362,#REF!,3,0),0)</f>
        <v>0</v>
      </c>
      <c r="R1362" s="1394">
        <f t="shared" si="440"/>
        <v>0</v>
      </c>
      <c r="S1362" s="1394">
        <f>IFERROR(VLOOKUP(M1362,#REF!,6,0),0)</f>
        <v>0</v>
      </c>
      <c r="T1362" s="1394">
        <f t="shared" si="441"/>
        <v>0</v>
      </c>
      <c r="U1362" s="1394">
        <f>IFERROR(VLOOKUP(M1362,#REF!,5,0),0)</f>
        <v>0</v>
      </c>
      <c r="V1362" s="1394">
        <f t="shared" si="442"/>
        <v>0</v>
      </c>
      <c r="W1362" s="1394"/>
    </row>
    <row r="1363" spans="1:23" ht="30" customHeight="1">
      <c r="B1363" s="1405"/>
      <c r="C1363" s="1455" t="str">
        <f t="shared" ref="C1363:H1372" si="451">C1300</f>
        <v>Main wall all alround</v>
      </c>
      <c r="D1363" s="103">
        <f>-D1300</f>
        <v>-1</v>
      </c>
      <c r="E1363" s="103">
        <f t="shared" si="451"/>
        <v>1</v>
      </c>
      <c r="F1363" s="1413">
        <f t="shared" si="451"/>
        <v>86.29</v>
      </c>
      <c r="G1363" s="1413">
        <f t="shared" si="451"/>
        <v>0.23</v>
      </c>
      <c r="H1363" s="1414">
        <v>0.1</v>
      </c>
      <c r="I1363" s="1425">
        <f t="shared" si="450"/>
        <v>-1.9846700000000004</v>
      </c>
      <c r="L1363" s="110">
        <v>68450</v>
      </c>
      <c r="Q1363" s="1394">
        <f>IFERROR(VLOOKUP(M1363,#REF!,3,0),0)</f>
        <v>0</v>
      </c>
      <c r="R1363" s="1394">
        <f t="shared" si="440"/>
        <v>0</v>
      </c>
      <c r="S1363" s="1394">
        <f>IFERROR(VLOOKUP(M1363,#REF!,6,0),0)</f>
        <v>0</v>
      </c>
      <c r="T1363" s="1394">
        <f t="shared" si="441"/>
        <v>0</v>
      </c>
      <c r="U1363" s="1394">
        <f>IFERROR(VLOOKUP(M1363,#REF!,5,0),0)</f>
        <v>0</v>
      </c>
      <c r="V1363" s="1394">
        <f t="shared" si="442"/>
        <v>0</v>
      </c>
      <c r="W1363" s="1394"/>
    </row>
    <row r="1364" spans="1:23" ht="30" customHeight="1">
      <c r="A1364" s="110" t="s">
        <v>5627</v>
      </c>
      <c r="B1364" s="1407"/>
      <c r="C1364" s="1455" t="str">
        <f t="shared" si="451"/>
        <v>Lift Front Wall</v>
      </c>
      <c r="D1364" s="103">
        <f t="shared" ref="D1364:D1377" si="452">-D1301</f>
        <v>-1</v>
      </c>
      <c r="E1364" s="103">
        <f t="shared" si="451"/>
        <v>1</v>
      </c>
      <c r="F1364" s="1413">
        <f t="shared" si="451"/>
        <v>2.5350000000000001</v>
      </c>
      <c r="G1364" s="1413">
        <f t="shared" si="451"/>
        <v>0.23</v>
      </c>
      <c r="H1364" s="1414">
        <f>H1363</f>
        <v>0.1</v>
      </c>
      <c r="I1364" s="1425">
        <f t="shared" si="450"/>
        <v>-5.830500000000001E-2</v>
      </c>
      <c r="J1364" s="1397"/>
      <c r="K1364" s="1397"/>
      <c r="Q1364" s="1394">
        <f>IFERROR(VLOOKUP(M1364,#REF!,3,0),0)</f>
        <v>0</v>
      </c>
      <c r="R1364" s="1394">
        <f t="shared" si="440"/>
        <v>0</v>
      </c>
      <c r="S1364" s="1394">
        <f>IFERROR(VLOOKUP(M1364,#REF!,6,0),0)</f>
        <v>0</v>
      </c>
      <c r="T1364" s="1394">
        <f t="shared" si="441"/>
        <v>0</v>
      </c>
      <c r="U1364" s="1394">
        <f>IFERROR(VLOOKUP(M1364,#REF!,5,0),0)</f>
        <v>0</v>
      </c>
      <c r="V1364" s="1394">
        <f t="shared" si="442"/>
        <v>0</v>
      </c>
      <c r="W1364" s="1394"/>
    </row>
    <row r="1365" spans="1:23" ht="30" customHeight="1">
      <c r="B1365" s="1407"/>
      <c r="C1365" s="1455" t="str">
        <f t="shared" si="451"/>
        <v>Lift Side Wall</v>
      </c>
      <c r="D1365" s="103">
        <f t="shared" si="452"/>
        <v>-1</v>
      </c>
      <c r="E1365" s="103">
        <f t="shared" si="451"/>
        <v>1</v>
      </c>
      <c r="F1365" s="1413">
        <f t="shared" si="451"/>
        <v>2.33</v>
      </c>
      <c r="G1365" s="1413">
        <f t="shared" si="451"/>
        <v>0.23</v>
      </c>
      <c r="H1365" s="1414">
        <f t="shared" ref="H1365:H1366" si="453">H1364</f>
        <v>0.1</v>
      </c>
      <c r="I1365" s="1425">
        <f t="shared" si="450"/>
        <v>-5.3590000000000006E-2</v>
      </c>
      <c r="J1365" s="1397"/>
      <c r="K1365" s="1397"/>
      <c r="Q1365" s="1394">
        <f>IFERROR(VLOOKUP(M1365,#REF!,3,0),0)</f>
        <v>0</v>
      </c>
      <c r="R1365" s="1394">
        <f t="shared" si="440"/>
        <v>0</v>
      </c>
      <c r="S1365" s="1394">
        <f>IFERROR(VLOOKUP(M1365,#REF!,6,0),0)</f>
        <v>0</v>
      </c>
      <c r="T1365" s="1394">
        <f t="shared" si="441"/>
        <v>0</v>
      </c>
      <c r="U1365" s="1394">
        <f>IFERROR(VLOOKUP(M1365,#REF!,5,0),0)</f>
        <v>0</v>
      </c>
      <c r="V1365" s="1394">
        <f t="shared" si="442"/>
        <v>0</v>
      </c>
      <c r="W1365" s="1394"/>
    </row>
    <row r="1366" spans="1:23" ht="34.5" customHeight="1">
      <c r="B1366" s="1407"/>
      <c r="C1366" s="1455" t="str">
        <f t="shared" si="451"/>
        <v>Cross wall between Stair case lobby / Hall</v>
      </c>
      <c r="D1366" s="103">
        <f t="shared" si="452"/>
        <v>-1</v>
      </c>
      <c r="E1366" s="103">
        <f t="shared" si="451"/>
        <v>1</v>
      </c>
      <c r="F1366" s="1413">
        <f t="shared" si="451"/>
        <v>7.1150000000000002</v>
      </c>
      <c r="G1366" s="1413">
        <f t="shared" si="451"/>
        <v>0.23</v>
      </c>
      <c r="H1366" s="1414">
        <f t="shared" si="453"/>
        <v>0.1</v>
      </c>
      <c r="I1366" s="1425">
        <f t="shared" si="450"/>
        <v>-0.16364500000000004</v>
      </c>
      <c r="J1366" s="1397"/>
      <c r="K1366" s="1397"/>
      <c r="Q1366" s="1394">
        <f>IFERROR(VLOOKUP(M1366,#REF!,3,0),0)</f>
        <v>0</v>
      </c>
      <c r="R1366" s="1394">
        <f t="shared" si="440"/>
        <v>0</v>
      </c>
      <c r="S1366" s="1394">
        <f>IFERROR(VLOOKUP(M1366,#REF!,6,0),0)</f>
        <v>0</v>
      </c>
      <c r="T1366" s="1394">
        <f t="shared" si="441"/>
        <v>0</v>
      </c>
      <c r="U1366" s="1394">
        <f>IFERROR(VLOOKUP(M1366,#REF!,5,0),0)</f>
        <v>0</v>
      </c>
      <c r="V1366" s="1394">
        <f t="shared" si="442"/>
        <v>0</v>
      </c>
      <c r="W1366" s="1394"/>
    </row>
    <row r="1367" spans="1:23" ht="30" customHeight="1">
      <c r="B1367" s="1407"/>
      <c r="C1367" s="1412" t="str">
        <f t="shared" si="451"/>
        <v>SI Room</v>
      </c>
      <c r="D1367" s="103">
        <f t="shared" si="452"/>
        <v>0</v>
      </c>
      <c r="E1367" s="103">
        <f t="shared" si="451"/>
        <v>0</v>
      </c>
      <c r="F1367" s="1413">
        <f t="shared" si="451"/>
        <v>0</v>
      </c>
      <c r="G1367" s="1413">
        <f t="shared" si="451"/>
        <v>0</v>
      </c>
      <c r="H1367" s="1414">
        <f t="shared" si="451"/>
        <v>0</v>
      </c>
      <c r="I1367" s="1425">
        <f t="shared" si="450"/>
        <v>0</v>
      </c>
      <c r="Q1367" s="1394">
        <f>IFERROR(VLOOKUP(M1367,#REF!,3,0),0)</f>
        <v>0</v>
      </c>
      <c r="R1367" s="1394">
        <f t="shared" si="440"/>
        <v>0</v>
      </c>
      <c r="S1367" s="1394">
        <f>IFERROR(VLOOKUP(M1367,#REF!,6,0),0)</f>
        <v>0</v>
      </c>
      <c r="T1367" s="1394">
        <f t="shared" si="441"/>
        <v>0</v>
      </c>
      <c r="U1367" s="1394">
        <f>IFERROR(VLOOKUP(M1367,#REF!,5,0),0)</f>
        <v>0</v>
      </c>
      <c r="V1367" s="1394">
        <f t="shared" si="442"/>
        <v>0</v>
      </c>
      <c r="W1367" s="1394"/>
    </row>
    <row r="1368" spans="1:23" ht="30" customHeight="1">
      <c r="B1368" s="1407"/>
      <c r="C1368" s="1455" t="str">
        <f t="shared" si="451"/>
        <v>Cross wall between SI Room  / Toilet /Hall</v>
      </c>
      <c r="D1368" s="103">
        <f t="shared" si="452"/>
        <v>-1</v>
      </c>
      <c r="E1368" s="103">
        <f t="shared" si="451"/>
        <v>1</v>
      </c>
      <c r="F1368" s="1413">
        <f t="shared" si="451"/>
        <v>4</v>
      </c>
      <c r="G1368" s="1413">
        <f t="shared" si="451"/>
        <v>0.23</v>
      </c>
      <c r="H1368" s="1414">
        <f>H1366</f>
        <v>0.1</v>
      </c>
      <c r="I1368" s="1425">
        <f t="shared" si="450"/>
        <v>-9.2000000000000012E-2</v>
      </c>
      <c r="K1368" s="110">
        <v>1.7649999999999999</v>
      </c>
      <c r="Q1368" s="1394">
        <f>IFERROR(VLOOKUP(M1368,#REF!,3,0),0)</f>
        <v>0</v>
      </c>
      <c r="R1368" s="1394">
        <f t="shared" si="440"/>
        <v>0</v>
      </c>
      <c r="S1368" s="1394">
        <f>IFERROR(VLOOKUP(M1368,#REF!,6,0),0)</f>
        <v>0</v>
      </c>
      <c r="T1368" s="1394">
        <f t="shared" si="441"/>
        <v>0</v>
      </c>
      <c r="U1368" s="1394">
        <f>IFERROR(VLOOKUP(M1368,#REF!,5,0),0)</f>
        <v>0</v>
      </c>
      <c r="V1368" s="1394">
        <f t="shared" si="442"/>
        <v>0</v>
      </c>
      <c r="W1368" s="1394"/>
    </row>
    <row r="1369" spans="1:23" ht="30" customHeight="1">
      <c r="B1369" s="1407"/>
      <c r="C1369" s="1455" t="str">
        <f t="shared" si="451"/>
        <v>D/F Toilet Open</v>
      </c>
      <c r="D1369" s="103">
        <f t="shared" si="452"/>
        <v>1</v>
      </c>
      <c r="E1369" s="103">
        <f t="shared" si="451"/>
        <v>1</v>
      </c>
      <c r="F1369" s="1413">
        <f t="shared" si="451"/>
        <v>1</v>
      </c>
      <c r="G1369" s="1413">
        <f t="shared" si="451"/>
        <v>0.23</v>
      </c>
      <c r="H1369" s="1414">
        <f>H1368</f>
        <v>0.1</v>
      </c>
      <c r="I1369" s="1425">
        <f t="shared" si="450"/>
        <v>2.3000000000000003E-2</v>
      </c>
      <c r="Q1369" s="1394">
        <f>IFERROR(VLOOKUP(M1369,#REF!,3,0),0)</f>
        <v>0</v>
      </c>
      <c r="R1369" s="1394">
        <f t="shared" si="440"/>
        <v>0</v>
      </c>
      <c r="S1369" s="1394">
        <f>IFERROR(VLOOKUP(M1369,#REF!,6,0),0)</f>
        <v>0</v>
      </c>
      <c r="T1369" s="1394">
        <f t="shared" si="441"/>
        <v>0</v>
      </c>
      <c r="U1369" s="1394">
        <f>IFERROR(VLOOKUP(M1369,#REF!,5,0),0)</f>
        <v>0</v>
      </c>
      <c r="V1369" s="1394">
        <f t="shared" si="442"/>
        <v>0</v>
      </c>
      <c r="W1369" s="1394"/>
    </row>
    <row r="1370" spans="1:23" ht="30" customHeight="1">
      <c r="B1370" s="1407"/>
      <c r="C1370" s="1455" t="str">
        <f t="shared" si="451"/>
        <v>Piller</v>
      </c>
      <c r="D1370" s="103">
        <f t="shared" si="452"/>
        <v>-1</v>
      </c>
      <c r="E1370" s="103">
        <f t="shared" si="451"/>
        <v>1</v>
      </c>
      <c r="F1370" s="1413">
        <f t="shared" si="451"/>
        <v>0.23</v>
      </c>
      <c r="G1370" s="1413">
        <f t="shared" si="451"/>
        <v>0.23</v>
      </c>
      <c r="H1370" s="1414">
        <f t="shared" ref="H1370:H1371" si="454">H1369</f>
        <v>0.1</v>
      </c>
      <c r="I1370" s="1425">
        <f t="shared" si="450"/>
        <v>-5.2900000000000004E-3</v>
      </c>
      <c r="Q1370" s="1394">
        <f>IFERROR(VLOOKUP(M1370,#REF!,3,0),0)</f>
        <v>0</v>
      </c>
      <c r="R1370" s="1394">
        <f t="shared" si="440"/>
        <v>0</v>
      </c>
      <c r="S1370" s="1394">
        <f>IFERROR(VLOOKUP(M1370,#REF!,6,0),0)</f>
        <v>0</v>
      </c>
      <c r="T1370" s="1394">
        <f t="shared" si="441"/>
        <v>0</v>
      </c>
      <c r="U1370" s="1394">
        <f>IFERROR(VLOOKUP(M1370,#REF!,5,0),0)</f>
        <v>0</v>
      </c>
      <c r="V1370" s="1394">
        <f t="shared" si="442"/>
        <v>0</v>
      </c>
      <c r="W1370" s="1394"/>
    </row>
    <row r="1371" spans="1:23" ht="30" customHeight="1">
      <c r="B1371" s="1407"/>
      <c r="C1371" s="1455" t="str">
        <f t="shared" si="451"/>
        <v>Cross wall between SI Room  / Lift Stair</v>
      </c>
      <c r="D1371" s="103">
        <f t="shared" si="452"/>
        <v>-1</v>
      </c>
      <c r="E1371" s="103">
        <f t="shared" si="451"/>
        <v>1</v>
      </c>
      <c r="F1371" s="1413">
        <f t="shared" si="451"/>
        <v>5.53</v>
      </c>
      <c r="G1371" s="1413">
        <f t="shared" si="451"/>
        <v>0.23</v>
      </c>
      <c r="H1371" s="1414">
        <f t="shared" si="454"/>
        <v>0.1</v>
      </c>
      <c r="I1371" s="1425">
        <f t="shared" si="450"/>
        <v>-0.12719</v>
      </c>
      <c r="Q1371" s="1394">
        <f>IFERROR(VLOOKUP(M1371,#REF!,3,0),0)</f>
        <v>0</v>
      </c>
      <c r="R1371" s="1394">
        <f t="shared" si="440"/>
        <v>0</v>
      </c>
      <c r="S1371" s="1394">
        <f>IFERROR(VLOOKUP(M1371,#REF!,6,0),0)</f>
        <v>0</v>
      </c>
      <c r="T1371" s="1394">
        <f t="shared" si="441"/>
        <v>0</v>
      </c>
      <c r="U1371" s="1394">
        <f>IFERROR(VLOOKUP(M1371,#REF!,5,0),0)</f>
        <v>0</v>
      </c>
      <c r="V1371" s="1394">
        <f t="shared" si="442"/>
        <v>0</v>
      </c>
      <c r="W1371" s="1394"/>
    </row>
    <row r="1372" spans="1:23" ht="30" customHeight="1">
      <c r="B1372" s="1407"/>
      <c r="C1372" s="1412" t="str">
        <f t="shared" si="451"/>
        <v>Writer</v>
      </c>
      <c r="D1372" s="103">
        <f t="shared" si="452"/>
        <v>0</v>
      </c>
      <c r="E1372" s="103">
        <f t="shared" si="451"/>
        <v>0</v>
      </c>
      <c r="F1372" s="1413">
        <f t="shared" si="451"/>
        <v>0</v>
      </c>
      <c r="G1372" s="1413">
        <f t="shared" si="451"/>
        <v>0</v>
      </c>
      <c r="H1372" s="1414">
        <f t="shared" si="451"/>
        <v>0</v>
      </c>
      <c r="I1372" s="1425">
        <f t="shared" si="450"/>
        <v>0</v>
      </c>
      <c r="Q1372" s="1394">
        <f>IFERROR(VLOOKUP(M1372,#REF!,3,0),0)</f>
        <v>0</v>
      </c>
      <c r="R1372" s="1394">
        <f t="shared" si="440"/>
        <v>0</v>
      </c>
      <c r="S1372" s="1394">
        <f>IFERROR(VLOOKUP(M1372,#REF!,6,0),0)</f>
        <v>0</v>
      </c>
      <c r="T1372" s="1394">
        <f t="shared" si="441"/>
        <v>0</v>
      </c>
      <c r="U1372" s="1394">
        <f>IFERROR(VLOOKUP(M1372,#REF!,5,0),0)</f>
        <v>0</v>
      </c>
      <c r="V1372" s="1394">
        <f t="shared" si="442"/>
        <v>0</v>
      </c>
      <c r="W1372" s="1394"/>
    </row>
    <row r="1373" spans="1:23" ht="30" customHeight="1">
      <c r="A1373" s="1395"/>
      <c r="B1373" s="1407"/>
      <c r="C1373" s="1455" t="str">
        <f t="shared" ref="C1373:H1377" si="455">C1310</f>
        <v>Cross wall between  Writer / Stair case lobby</v>
      </c>
      <c r="D1373" s="103">
        <f t="shared" si="452"/>
        <v>-1</v>
      </c>
      <c r="E1373" s="103">
        <f t="shared" si="455"/>
        <v>1</v>
      </c>
      <c r="F1373" s="1413">
        <f t="shared" si="455"/>
        <v>5.53</v>
      </c>
      <c r="G1373" s="1413">
        <f t="shared" si="455"/>
        <v>0.23</v>
      </c>
      <c r="H1373" s="1414">
        <f>H1371</f>
        <v>0.1</v>
      </c>
      <c r="I1373" s="1425">
        <f t="shared" si="450"/>
        <v>-0.12719</v>
      </c>
      <c r="L1373" s="1395" t="s">
        <v>340</v>
      </c>
      <c r="Q1373" s="1394">
        <f>IFERROR(VLOOKUP(M1373,#REF!,3,0),0)</f>
        <v>0</v>
      </c>
      <c r="R1373" s="1394">
        <f t="shared" si="440"/>
        <v>0</v>
      </c>
      <c r="S1373" s="1394">
        <f>IFERROR(VLOOKUP(M1373,#REF!,6,0),0)</f>
        <v>0</v>
      </c>
      <c r="T1373" s="1394">
        <f t="shared" si="441"/>
        <v>0</v>
      </c>
      <c r="U1373" s="1394">
        <f>IFERROR(VLOOKUP(M1373,#REF!,5,0),0)</f>
        <v>0</v>
      </c>
      <c r="V1373" s="1394">
        <f t="shared" si="442"/>
        <v>0</v>
      </c>
      <c r="W1373" s="1394"/>
    </row>
    <row r="1374" spans="1:23" ht="30" customHeight="1">
      <c r="B1374" s="1407"/>
      <c r="C1374" s="1455" t="str">
        <f t="shared" si="455"/>
        <v>Cross wall between  Writer / Hall</v>
      </c>
      <c r="D1374" s="103">
        <f t="shared" si="452"/>
        <v>-1</v>
      </c>
      <c r="E1374" s="103">
        <f t="shared" si="455"/>
        <v>1</v>
      </c>
      <c r="F1374" s="1413">
        <f t="shared" si="455"/>
        <v>3.4550000000000001</v>
      </c>
      <c r="G1374" s="1413">
        <f t="shared" si="455"/>
        <v>0.23</v>
      </c>
      <c r="H1374" s="1414">
        <f>H1373</f>
        <v>0.1</v>
      </c>
      <c r="I1374" s="1425">
        <f t="shared" si="450"/>
        <v>-7.9465000000000008E-2</v>
      </c>
      <c r="Q1374" s="1394">
        <f>IFERROR(VLOOKUP(M1374,#REF!,3,0),0)</f>
        <v>0</v>
      </c>
      <c r="R1374" s="1394">
        <f t="shared" si="440"/>
        <v>0</v>
      </c>
      <c r="S1374" s="1394">
        <f>IFERROR(VLOOKUP(M1374,#REF!,6,0),0)</f>
        <v>0</v>
      </c>
      <c r="T1374" s="1394">
        <f t="shared" si="441"/>
        <v>0</v>
      </c>
      <c r="U1374" s="1394">
        <f>IFERROR(VLOOKUP(M1374,#REF!,5,0),0)</f>
        <v>0</v>
      </c>
      <c r="V1374" s="1394">
        <f t="shared" si="442"/>
        <v>0</v>
      </c>
      <c r="W1374" s="1394"/>
    </row>
    <row r="1375" spans="1:23" ht="30" customHeight="1">
      <c r="B1375" s="1407"/>
      <c r="C1375" s="1455" t="str">
        <f t="shared" si="455"/>
        <v>C/B Piller</v>
      </c>
      <c r="D1375" s="103">
        <f t="shared" si="452"/>
        <v>-1</v>
      </c>
      <c r="E1375" s="103">
        <f t="shared" si="455"/>
        <v>1</v>
      </c>
      <c r="F1375" s="1413">
        <f t="shared" si="455"/>
        <v>0.71499999999999997</v>
      </c>
      <c r="G1375" s="1413">
        <f t="shared" si="455"/>
        <v>0.23</v>
      </c>
      <c r="H1375" s="1414">
        <f>H1374</f>
        <v>0.1</v>
      </c>
      <c r="I1375" s="1425">
        <f t="shared" si="450"/>
        <v>-1.6445000000000001E-2</v>
      </c>
      <c r="Q1375" s="1394">
        <f>IFERROR(VLOOKUP(M1375,#REF!,3,0),0)</f>
        <v>0</v>
      </c>
      <c r="R1375" s="1394">
        <f t="shared" si="440"/>
        <v>0</v>
      </c>
      <c r="S1375" s="1394">
        <f>IFERROR(VLOOKUP(M1375,#REF!,6,0),0)</f>
        <v>0</v>
      </c>
      <c r="T1375" s="1394">
        <f t="shared" si="441"/>
        <v>0</v>
      </c>
      <c r="U1375" s="1394">
        <f>IFERROR(VLOOKUP(M1375,#REF!,5,0),0)</f>
        <v>0</v>
      </c>
      <c r="V1375" s="1394">
        <f t="shared" si="442"/>
        <v>0</v>
      </c>
      <c r="W1375" s="1394"/>
    </row>
    <row r="1376" spans="1:23" ht="30" customHeight="1">
      <c r="B1376" s="1407"/>
      <c r="C1376" s="1412" t="str">
        <f t="shared" si="455"/>
        <v>Ins L&amp;O</v>
      </c>
      <c r="D1376" s="103">
        <f t="shared" si="452"/>
        <v>0</v>
      </c>
      <c r="E1376" s="103">
        <f t="shared" si="455"/>
        <v>0</v>
      </c>
      <c r="F1376" s="1413">
        <f t="shared" si="455"/>
        <v>0</v>
      </c>
      <c r="G1376" s="1413">
        <f t="shared" si="455"/>
        <v>0</v>
      </c>
      <c r="H1376" s="1414">
        <f t="shared" si="455"/>
        <v>0</v>
      </c>
      <c r="I1376" s="1425">
        <f t="shared" si="450"/>
        <v>0</v>
      </c>
      <c r="Q1376" s="1394">
        <f>IFERROR(VLOOKUP(M1376,#REF!,3,0),0)</f>
        <v>0</v>
      </c>
      <c r="R1376" s="1394">
        <f t="shared" si="440"/>
        <v>0</v>
      </c>
      <c r="S1376" s="1394">
        <f>IFERROR(VLOOKUP(M1376,#REF!,6,0),0)</f>
        <v>0</v>
      </c>
      <c r="T1376" s="1394">
        <f t="shared" si="441"/>
        <v>0</v>
      </c>
      <c r="U1376" s="1394">
        <f>IFERROR(VLOOKUP(M1376,#REF!,5,0),0)</f>
        <v>0</v>
      </c>
      <c r="V1376" s="1394">
        <f t="shared" si="442"/>
        <v>0</v>
      </c>
      <c r="W1376" s="1394"/>
    </row>
    <row r="1377" spans="1:23" ht="30" customHeight="1">
      <c r="A1377" s="1395"/>
      <c r="B1377" s="1407"/>
      <c r="C1377" s="1455" t="str">
        <f t="shared" si="455"/>
        <v>Cross wall between  Ins L&amp;O / Hall , Toilet</v>
      </c>
      <c r="D1377" s="103">
        <f t="shared" si="452"/>
        <v>-1</v>
      </c>
      <c r="E1377" s="103">
        <f t="shared" si="455"/>
        <v>1</v>
      </c>
      <c r="F1377" s="1413">
        <f t="shared" si="455"/>
        <v>4</v>
      </c>
      <c r="G1377" s="1413">
        <f t="shared" si="455"/>
        <v>0.23</v>
      </c>
      <c r="H1377" s="1414">
        <f>H1375</f>
        <v>0.1</v>
      </c>
      <c r="I1377" s="1425">
        <f t="shared" si="450"/>
        <v>-9.2000000000000012E-2</v>
      </c>
      <c r="L1377" s="1395" t="s">
        <v>340</v>
      </c>
      <c r="Q1377" s="1394">
        <f>IFERROR(VLOOKUP(M1377,#REF!,3,0),0)</f>
        <v>0</v>
      </c>
      <c r="R1377" s="1394">
        <f t="shared" si="440"/>
        <v>0</v>
      </c>
      <c r="S1377" s="1394">
        <f>IFERROR(VLOOKUP(M1377,#REF!,6,0),0)</f>
        <v>0</v>
      </c>
      <c r="T1377" s="1394">
        <f t="shared" si="441"/>
        <v>0</v>
      </c>
      <c r="U1377" s="1394">
        <f>IFERROR(VLOOKUP(M1377,#REF!,5,0),0)</f>
        <v>0</v>
      </c>
      <c r="V1377" s="1394">
        <f t="shared" si="442"/>
        <v>0</v>
      </c>
      <c r="W1377" s="1394"/>
    </row>
    <row r="1378" spans="1:23" ht="30" customHeight="1">
      <c r="A1378" s="1395"/>
      <c r="B1378" s="1407"/>
      <c r="C1378" s="1455" t="str">
        <f>C1316</f>
        <v>Cross wall between  Ins L&amp;O / Hall , Toilet Piller</v>
      </c>
      <c r="D1378" s="103">
        <f>-D1316</f>
        <v>-1</v>
      </c>
      <c r="E1378" s="103">
        <f t="shared" ref="E1378:G1381" si="456">E1316</f>
        <v>1</v>
      </c>
      <c r="F1378" s="1413">
        <f t="shared" si="456"/>
        <v>0.43</v>
      </c>
      <c r="G1378" s="1413">
        <f t="shared" si="456"/>
        <v>0.23</v>
      </c>
      <c r="H1378" s="1414">
        <f>H1377</f>
        <v>0.1</v>
      </c>
      <c r="I1378" s="1425">
        <f t="shared" si="450"/>
        <v>-9.8900000000000012E-3</v>
      </c>
      <c r="L1378" s="1395"/>
      <c r="Q1378" s="1394">
        <f>IFERROR(VLOOKUP(M1378,#REF!,3,0),0)</f>
        <v>0</v>
      </c>
      <c r="R1378" s="1394">
        <f t="shared" si="440"/>
        <v>0</v>
      </c>
      <c r="S1378" s="1394">
        <f>IFERROR(VLOOKUP(M1378,#REF!,6,0),0)</f>
        <v>0</v>
      </c>
      <c r="T1378" s="1394">
        <f t="shared" si="441"/>
        <v>0</v>
      </c>
      <c r="U1378" s="1394">
        <f>IFERROR(VLOOKUP(M1378,#REF!,5,0),0)</f>
        <v>0</v>
      </c>
      <c r="V1378" s="1394">
        <f t="shared" si="442"/>
        <v>0</v>
      </c>
      <c r="W1378" s="1394"/>
    </row>
    <row r="1379" spans="1:23" ht="30" customHeight="1">
      <c r="B1379" s="1407"/>
      <c r="C1379" s="1412" t="str">
        <f>C1317</f>
        <v>Lock up women</v>
      </c>
      <c r="D1379" s="103">
        <f>-D1317</f>
        <v>0</v>
      </c>
      <c r="E1379" s="103">
        <f t="shared" si="456"/>
        <v>0</v>
      </c>
      <c r="F1379" s="1413">
        <f t="shared" si="456"/>
        <v>0</v>
      </c>
      <c r="G1379" s="1413">
        <f t="shared" si="456"/>
        <v>0</v>
      </c>
      <c r="H1379" s="1414">
        <f>H1317</f>
        <v>0</v>
      </c>
      <c r="I1379" s="1425">
        <f t="shared" si="450"/>
        <v>0</v>
      </c>
      <c r="Q1379" s="1394">
        <f>IFERROR(VLOOKUP(M1379,#REF!,3,0),0)</f>
        <v>0</v>
      </c>
      <c r="R1379" s="1394">
        <f t="shared" si="440"/>
        <v>0</v>
      </c>
      <c r="S1379" s="1394">
        <f>IFERROR(VLOOKUP(M1379,#REF!,6,0),0)</f>
        <v>0</v>
      </c>
      <c r="T1379" s="1394">
        <f t="shared" si="441"/>
        <v>0</v>
      </c>
      <c r="U1379" s="1394">
        <f>IFERROR(VLOOKUP(M1379,#REF!,5,0),0)</f>
        <v>0</v>
      </c>
      <c r="V1379" s="1394">
        <f t="shared" si="442"/>
        <v>0</v>
      </c>
      <c r="W1379" s="1394"/>
    </row>
    <row r="1380" spans="1:23" ht="30" customHeight="1">
      <c r="B1380" s="1407"/>
      <c r="C1380" s="1455" t="str">
        <f>C1318</f>
        <v>Cross wall between Lock up women / Hall</v>
      </c>
      <c r="D1380" s="103">
        <f>-D1318</f>
        <v>-1</v>
      </c>
      <c r="E1380" s="103">
        <f t="shared" si="456"/>
        <v>1</v>
      </c>
      <c r="F1380" s="1413">
        <f t="shared" si="456"/>
        <v>2.73</v>
      </c>
      <c r="G1380" s="1413">
        <f t="shared" si="456"/>
        <v>0.23</v>
      </c>
      <c r="H1380" s="1414">
        <f t="shared" ref="H1380:H1399" si="457">$H$1377</f>
        <v>0.1</v>
      </c>
      <c r="I1380" s="1425">
        <f t="shared" si="450"/>
        <v>-6.2789999999999999E-2</v>
      </c>
      <c r="Q1380" s="1394">
        <f>IFERROR(VLOOKUP(M1380,#REF!,3,0),0)</f>
        <v>0</v>
      </c>
      <c r="R1380" s="1394">
        <f t="shared" si="440"/>
        <v>0</v>
      </c>
      <c r="S1380" s="1394">
        <f>IFERROR(VLOOKUP(M1380,#REF!,6,0),0)</f>
        <v>0</v>
      </c>
      <c r="T1380" s="1394">
        <f t="shared" si="441"/>
        <v>0</v>
      </c>
      <c r="U1380" s="1394">
        <f>IFERROR(VLOOKUP(M1380,#REF!,5,0),0)</f>
        <v>0</v>
      </c>
      <c r="V1380" s="1394">
        <f t="shared" si="442"/>
        <v>0</v>
      </c>
      <c r="W1380" s="1394"/>
    </row>
    <row r="1381" spans="1:23" ht="30" customHeight="1">
      <c r="A1381" s="110" t="s">
        <v>5626</v>
      </c>
      <c r="B1381" s="1407"/>
      <c r="C1381" s="1455" t="str">
        <f>C1319</f>
        <v>Cross wall between Lock up women / CD File / Store</v>
      </c>
      <c r="D1381" s="103">
        <f>-D1319</f>
        <v>-1</v>
      </c>
      <c r="E1381" s="103">
        <f t="shared" si="456"/>
        <v>1</v>
      </c>
      <c r="F1381" s="1413">
        <f t="shared" si="456"/>
        <v>5.8449999999999998</v>
      </c>
      <c r="G1381" s="1413">
        <f t="shared" si="456"/>
        <v>0.23</v>
      </c>
      <c r="H1381" s="1414">
        <f t="shared" si="457"/>
        <v>0.1</v>
      </c>
      <c r="I1381" s="1425">
        <f t="shared" si="450"/>
        <v>-0.134435</v>
      </c>
      <c r="Q1381" s="1394">
        <f>IFERROR(VLOOKUP(M1381,#REF!,3,0),0)</f>
        <v>0</v>
      </c>
      <c r="R1381" s="1394">
        <f t="shared" si="440"/>
        <v>0</v>
      </c>
      <c r="S1381" s="1394">
        <f>IFERROR(VLOOKUP(M1381,#REF!,6,0),0)</f>
        <v>0</v>
      </c>
      <c r="T1381" s="1394">
        <f t="shared" si="441"/>
        <v>0</v>
      </c>
      <c r="U1381" s="1394">
        <f>IFERROR(VLOOKUP(M1381,#REF!,5,0),0)</f>
        <v>0</v>
      </c>
      <c r="V1381" s="1394">
        <f t="shared" si="442"/>
        <v>0</v>
      </c>
      <c r="W1381" s="1394"/>
    </row>
    <row r="1382" spans="1:23" ht="30" customHeight="1">
      <c r="B1382" s="1407"/>
      <c r="C1382" s="1412" t="str">
        <f>C1321</f>
        <v>Lock up men</v>
      </c>
      <c r="D1382" s="103">
        <f>-D1321</f>
        <v>0</v>
      </c>
      <c r="E1382" s="103">
        <f t="shared" ref="E1382:G1384" si="458">E1321</f>
        <v>0</v>
      </c>
      <c r="F1382" s="1413">
        <f t="shared" si="458"/>
        <v>0</v>
      </c>
      <c r="G1382" s="1413">
        <f t="shared" si="458"/>
        <v>0</v>
      </c>
      <c r="H1382" s="1414">
        <f t="shared" si="457"/>
        <v>0.1</v>
      </c>
      <c r="I1382" s="1425">
        <f t="shared" si="450"/>
        <v>0</v>
      </c>
      <c r="Q1382" s="1394">
        <f>IFERROR(VLOOKUP(M1382,#REF!,3,0),0)</f>
        <v>0</v>
      </c>
      <c r="R1382" s="1394">
        <f t="shared" si="440"/>
        <v>0</v>
      </c>
      <c r="S1382" s="1394">
        <f>IFERROR(VLOOKUP(M1382,#REF!,6,0),0)</f>
        <v>0</v>
      </c>
      <c r="T1382" s="1394">
        <f t="shared" si="441"/>
        <v>0</v>
      </c>
      <c r="U1382" s="1394">
        <f>IFERROR(VLOOKUP(M1382,#REF!,5,0),0)</f>
        <v>0</v>
      </c>
      <c r="V1382" s="1394">
        <f t="shared" si="442"/>
        <v>0</v>
      </c>
      <c r="W1382" s="1394"/>
    </row>
    <row r="1383" spans="1:23" ht="30" customHeight="1">
      <c r="B1383" s="1407"/>
      <c r="C1383" s="1455" t="str">
        <f>C1322</f>
        <v>Cross wall between Lock up men / Hall</v>
      </c>
      <c r="D1383" s="103">
        <f>-D1322</f>
        <v>-1</v>
      </c>
      <c r="E1383" s="103">
        <f t="shared" si="458"/>
        <v>1</v>
      </c>
      <c r="F1383" s="1413">
        <f t="shared" si="458"/>
        <v>2.96</v>
      </c>
      <c r="G1383" s="1413">
        <f t="shared" si="458"/>
        <v>0.23</v>
      </c>
      <c r="H1383" s="1414">
        <f t="shared" si="457"/>
        <v>0.1</v>
      </c>
      <c r="I1383" s="1425">
        <f t="shared" si="450"/>
        <v>-6.8080000000000016E-2</v>
      </c>
      <c r="Q1383" s="1394">
        <f>IFERROR(VLOOKUP(M1383,#REF!,3,0),0)</f>
        <v>0</v>
      </c>
      <c r="R1383" s="1394">
        <f t="shared" si="440"/>
        <v>0</v>
      </c>
      <c r="S1383" s="1394">
        <f>IFERROR(VLOOKUP(M1383,#REF!,6,0),0)</f>
        <v>0</v>
      </c>
      <c r="T1383" s="1394">
        <f t="shared" si="441"/>
        <v>0</v>
      </c>
      <c r="U1383" s="1394">
        <f>IFERROR(VLOOKUP(M1383,#REF!,5,0),0)</f>
        <v>0</v>
      </c>
      <c r="V1383" s="1394">
        <f t="shared" si="442"/>
        <v>0</v>
      </c>
      <c r="W1383" s="1394"/>
    </row>
    <row r="1384" spans="1:23" ht="30" customHeight="1">
      <c r="B1384" s="1407"/>
      <c r="C1384" s="1455" t="str">
        <f>C1323</f>
        <v>Cross wall between Lock up men / Toilet</v>
      </c>
      <c r="D1384" s="103">
        <f>-D1323</f>
        <v>-1</v>
      </c>
      <c r="E1384" s="103">
        <f t="shared" si="458"/>
        <v>1</v>
      </c>
      <c r="F1384" s="1413">
        <f t="shared" si="458"/>
        <v>5.8449999999999998</v>
      </c>
      <c r="G1384" s="1413">
        <f t="shared" si="458"/>
        <v>0.23</v>
      </c>
      <c r="H1384" s="1414">
        <f t="shared" si="457"/>
        <v>0.1</v>
      </c>
      <c r="I1384" s="1425">
        <f t="shared" si="450"/>
        <v>-0.134435</v>
      </c>
      <c r="Q1384" s="1394">
        <f>IFERROR(VLOOKUP(M1384,#REF!,3,0),0)</f>
        <v>0</v>
      </c>
      <c r="R1384" s="1394">
        <f t="shared" si="440"/>
        <v>0</v>
      </c>
      <c r="S1384" s="1394">
        <f>IFERROR(VLOOKUP(M1384,#REF!,6,0),0)</f>
        <v>0</v>
      </c>
      <c r="T1384" s="1394">
        <f t="shared" si="441"/>
        <v>0</v>
      </c>
      <c r="U1384" s="1394">
        <f>IFERROR(VLOOKUP(M1384,#REF!,5,0),0)</f>
        <v>0</v>
      </c>
      <c r="V1384" s="1394">
        <f t="shared" si="442"/>
        <v>0</v>
      </c>
      <c r="W1384" s="1394"/>
    </row>
    <row r="1385" spans="1:23" ht="30" customHeight="1">
      <c r="B1385" s="1407"/>
      <c r="C1385" s="1412" t="str">
        <f t="shared" ref="C1385:C1398" si="459">C1325</f>
        <v>CD File / Store</v>
      </c>
      <c r="D1385" s="103">
        <f t="shared" ref="D1385:D1398" si="460">-D1325</f>
        <v>0</v>
      </c>
      <c r="E1385" s="103">
        <f t="shared" ref="E1385:G1398" si="461">E1325</f>
        <v>0</v>
      </c>
      <c r="F1385" s="1413">
        <f t="shared" si="461"/>
        <v>0</v>
      </c>
      <c r="G1385" s="1413">
        <f t="shared" si="461"/>
        <v>0</v>
      </c>
      <c r="H1385" s="1414">
        <f t="shared" si="457"/>
        <v>0.1</v>
      </c>
      <c r="I1385" s="1425">
        <f t="shared" si="450"/>
        <v>0</v>
      </c>
      <c r="Q1385" s="1394">
        <f>IFERROR(VLOOKUP(M1385,#REF!,3,0),0)</f>
        <v>0</v>
      </c>
      <c r="R1385" s="1394">
        <f t="shared" si="440"/>
        <v>0</v>
      </c>
      <c r="S1385" s="1394">
        <f>IFERROR(VLOOKUP(M1385,#REF!,6,0),0)</f>
        <v>0</v>
      </c>
      <c r="T1385" s="1394">
        <f t="shared" si="441"/>
        <v>0</v>
      </c>
      <c r="U1385" s="1394">
        <f>IFERROR(VLOOKUP(M1385,#REF!,5,0),0)</f>
        <v>0</v>
      </c>
      <c r="V1385" s="1394">
        <f t="shared" si="442"/>
        <v>0</v>
      </c>
      <c r="W1385" s="1394"/>
    </row>
    <row r="1386" spans="1:23" ht="30" customHeight="1">
      <c r="B1386" s="1407"/>
      <c r="C1386" s="1455" t="str">
        <f t="shared" si="459"/>
        <v>Cross wall between CD File / Store and Toilet</v>
      </c>
      <c r="D1386" s="103">
        <f t="shared" si="460"/>
        <v>-1</v>
      </c>
      <c r="E1386" s="103">
        <f t="shared" si="461"/>
        <v>1</v>
      </c>
      <c r="F1386" s="1413">
        <f t="shared" si="461"/>
        <v>1.6850000000000001</v>
      </c>
      <c r="G1386" s="1413">
        <f t="shared" si="461"/>
        <v>0.23</v>
      </c>
      <c r="H1386" s="1414">
        <f t="shared" si="457"/>
        <v>0.1</v>
      </c>
      <c r="I1386" s="1425">
        <f t="shared" si="450"/>
        <v>-3.8755000000000005E-2</v>
      </c>
      <c r="Q1386" s="1394">
        <f>IFERROR(VLOOKUP(M1386,#REF!,3,0),0)</f>
        <v>0</v>
      </c>
      <c r="R1386" s="1394">
        <f t="shared" si="440"/>
        <v>0</v>
      </c>
      <c r="S1386" s="1394">
        <f>IFERROR(VLOOKUP(M1386,#REF!,6,0),0)</f>
        <v>0</v>
      </c>
      <c r="T1386" s="1394">
        <f t="shared" si="441"/>
        <v>0</v>
      </c>
      <c r="U1386" s="1394">
        <f>IFERROR(VLOOKUP(M1386,#REF!,5,0),0)</f>
        <v>0</v>
      </c>
      <c r="V1386" s="1394">
        <f t="shared" si="442"/>
        <v>0</v>
      </c>
      <c r="W1386" s="1394"/>
    </row>
    <row r="1387" spans="1:23" ht="30" customHeight="1">
      <c r="B1387" s="1407"/>
      <c r="C1387" s="1455" t="str">
        <f t="shared" si="459"/>
        <v>Cross wall between CD File / CCTN</v>
      </c>
      <c r="D1387" s="103">
        <f t="shared" si="460"/>
        <v>-1</v>
      </c>
      <c r="E1387" s="103">
        <f t="shared" si="461"/>
        <v>1</v>
      </c>
      <c r="F1387" s="1413">
        <f t="shared" si="461"/>
        <v>1.2</v>
      </c>
      <c r="G1387" s="1413">
        <f t="shared" si="461"/>
        <v>0.23</v>
      </c>
      <c r="H1387" s="1414">
        <f t="shared" si="457"/>
        <v>0.1</v>
      </c>
      <c r="I1387" s="1425">
        <f t="shared" si="450"/>
        <v>-2.7600000000000003E-2</v>
      </c>
      <c r="Q1387" s="1394">
        <f>IFERROR(VLOOKUP(M1387,#REF!,3,0),0)</f>
        <v>0</v>
      </c>
      <c r="R1387" s="1394">
        <f t="shared" si="440"/>
        <v>0</v>
      </c>
      <c r="S1387" s="1394">
        <f>IFERROR(VLOOKUP(M1387,#REF!,6,0),0)</f>
        <v>0</v>
      </c>
      <c r="T1387" s="1394">
        <f t="shared" si="441"/>
        <v>0</v>
      </c>
      <c r="U1387" s="1394">
        <f>IFERROR(VLOOKUP(M1387,#REF!,5,0),0)</f>
        <v>0</v>
      </c>
      <c r="V1387" s="1394">
        <f t="shared" si="442"/>
        <v>0</v>
      </c>
      <c r="W1387" s="1394"/>
    </row>
    <row r="1388" spans="1:23" ht="30" customHeight="1">
      <c r="B1388" s="1407"/>
      <c r="C1388" s="1412" t="str">
        <f t="shared" si="459"/>
        <v>Computer CCTN</v>
      </c>
      <c r="D1388" s="103">
        <f t="shared" si="460"/>
        <v>0</v>
      </c>
      <c r="E1388" s="103">
        <f t="shared" si="461"/>
        <v>0</v>
      </c>
      <c r="F1388" s="1413">
        <f t="shared" si="461"/>
        <v>0</v>
      </c>
      <c r="G1388" s="1413">
        <f t="shared" si="461"/>
        <v>0</v>
      </c>
      <c r="H1388" s="1414"/>
      <c r="I1388" s="1425">
        <f t="shared" si="450"/>
        <v>0</v>
      </c>
      <c r="Q1388" s="1394">
        <f>IFERROR(VLOOKUP(M1388,#REF!,3,0),0)</f>
        <v>0</v>
      </c>
      <c r="R1388" s="1394">
        <f t="shared" si="440"/>
        <v>0</v>
      </c>
      <c r="S1388" s="1394">
        <f>IFERROR(VLOOKUP(M1388,#REF!,6,0),0)</f>
        <v>0</v>
      </c>
      <c r="T1388" s="1394">
        <f t="shared" si="441"/>
        <v>0</v>
      </c>
      <c r="U1388" s="1394">
        <f>IFERROR(VLOOKUP(M1388,#REF!,5,0),0)</f>
        <v>0</v>
      </c>
      <c r="V1388" s="1394">
        <f t="shared" si="442"/>
        <v>0</v>
      </c>
      <c r="W1388" s="1394"/>
    </row>
    <row r="1389" spans="1:23" ht="30" customHeight="1">
      <c r="B1389" s="1407"/>
      <c r="C1389" s="1455" t="str">
        <f t="shared" si="459"/>
        <v>Cross wall between Computer CCTN /Hall</v>
      </c>
      <c r="D1389" s="103">
        <f t="shared" si="460"/>
        <v>-1</v>
      </c>
      <c r="E1389" s="103">
        <f t="shared" si="461"/>
        <v>1</v>
      </c>
      <c r="F1389" s="1413">
        <f t="shared" si="461"/>
        <v>3.9249999999999998</v>
      </c>
      <c r="G1389" s="1413">
        <f t="shared" si="461"/>
        <v>0.23</v>
      </c>
      <c r="H1389" s="1414">
        <f t="shared" si="457"/>
        <v>0.1</v>
      </c>
      <c r="I1389" s="1425">
        <f t="shared" si="450"/>
        <v>-9.0275000000000008E-2</v>
      </c>
      <c r="Q1389" s="1394">
        <f>IFERROR(VLOOKUP(M1389,#REF!,3,0),0)</f>
        <v>0</v>
      </c>
      <c r="R1389" s="1394">
        <f t="shared" si="440"/>
        <v>0</v>
      </c>
      <c r="S1389" s="1394">
        <f>IFERROR(VLOOKUP(M1389,#REF!,6,0),0)</f>
        <v>0</v>
      </c>
      <c r="T1389" s="1394">
        <f t="shared" si="441"/>
        <v>0</v>
      </c>
      <c r="U1389" s="1394">
        <f>IFERROR(VLOOKUP(M1389,#REF!,5,0),0)</f>
        <v>0</v>
      </c>
      <c r="V1389" s="1394">
        <f t="shared" si="442"/>
        <v>0</v>
      </c>
      <c r="W1389" s="1394"/>
    </row>
    <row r="1390" spans="1:23" ht="30" customHeight="1">
      <c r="B1390" s="1407"/>
      <c r="C1390" s="1412" t="str">
        <f t="shared" si="459"/>
        <v>Station Writer</v>
      </c>
      <c r="D1390" s="103">
        <f t="shared" si="460"/>
        <v>0</v>
      </c>
      <c r="E1390" s="103">
        <f t="shared" si="461"/>
        <v>0</v>
      </c>
      <c r="F1390" s="1413">
        <f t="shared" si="461"/>
        <v>0</v>
      </c>
      <c r="G1390" s="1413">
        <f t="shared" si="461"/>
        <v>0</v>
      </c>
      <c r="H1390" s="1414"/>
      <c r="I1390" s="1425">
        <f t="shared" si="450"/>
        <v>0</v>
      </c>
      <c r="Q1390" s="1394">
        <f>IFERROR(VLOOKUP(M1390,#REF!,3,0),0)</f>
        <v>0</v>
      </c>
      <c r="R1390" s="1394">
        <f t="shared" ref="R1390:R1453" si="462">ROUND(O1390,2)*ROUND(Q1390,2)</f>
        <v>0</v>
      </c>
      <c r="S1390" s="1394">
        <f>IFERROR(VLOOKUP(M1390,#REF!,6,0),0)</f>
        <v>0</v>
      </c>
      <c r="T1390" s="1394">
        <f t="shared" ref="T1390:T1453" si="463">R1390-S1390</f>
        <v>0</v>
      </c>
      <c r="U1390" s="1394">
        <f>IFERROR(VLOOKUP(M1390,#REF!,5,0),0)</f>
        <v>0</v>
      </c>
      <c r="V1390" s="1394">
        <f t="shared" ref="V1390:V1453" si="464">O1390-U1390</f>
        <v>0</v>
      </c>
      <c r="W1390" s="1394"/>
    </row>
    <row r="1391" spans="1:23" ht="30" customHeight="1">
      <c r="B1391" s="1407"/>
      <c r="C1391" s="1455" t="str">
        <f t="shared" si="459"/>
        <v xml:space="preserve">Cross wall between Station Writer / Arm </v>
      </c>
      <c r="D1391" s="103">
        <f t="shared" si="460"/>
        <v>-1</v>
      </c>
      <c r="E1391" s="103">
        <f t="shared" si="461"/>
        <v>1</v>
      </c>
      <c r="F1391" s="1413">
        <f t="shared" si="461"/>
        <v>4.13</v>
      </c>
      <c r="G1391" s="1413">
        <f t="shared" si="461"/>
        <v>0.23</v>
      </c>
      <c r="H1391" s="1414">
        <f t="shared" si="457"/>
        <v>0.1</v>
      </c>
      <c r="I1391" s="1425">
        <f t="shared" si="450"/>
        <v>-9.4990000000000005E-2</v>
      </c>
      <c r="Q1391" s="1394">
        <f>IFERROR(VLOOKUP(M1391,#REF!,3,0),0)</f>
        <v>0</v>
      </c>
      <c r="R1391" s="1394">
        <f t="shared" si="462"/>
        <v>0</v>
      </c>
      <c r="S1391" s="1394">
        <f>IFERROR(VLOOKUP(M1391,#REF!,6,0),0)</f>
        <v>0</v>
      </c>
      <c r="T1391" s="1394">
        <f t="shared" si="463"/>
        <v>0</v>
      </c>
      <c r="U1391" s="1394">
        <f>IFERROR(VLOOKUP(M1391,#REF!,5,0),0)</f>
        <v>0</v>
      </c>
      <c r="V1391" s="1394">
        <f t="shared" si="464"/>
        <v>0</v>
      </c>
      <c r="W1391" s="1394"/>
    </row>
    <row r="1392" spans="1:23" ht="30" customHeight="1">
      <c r="B1392" s="1407"/>
      <c r="C1392" s="1455" t="str">
        <f t="shared" si="459"/>
        <v>Cross wall between Station Writer / Hall</v>
      </c>
      <c r="D1392" s="103">
        <f t="shared" si="460"/>
        <v>-1</v>
      </c>
      <c r="E1392" s="103">
        <f t="shared" si="461"/>
        <v>1</v>
      </c>
      <c r="F1392" s="1413">
        <f t="shared" si="461"/>
        <v>2.5499999999999998</v>
      </c>
      <c r="G1392" s="1413">
        <f t="shared" si="461"/>
        <v>0.23</v>
      </c>
      <c r="H1392" s="1414">
        <f t="shared" si="457"/>
        <v>0.1</v>
      </c>
      <c r="I1392" s="1425">
        <f t="shared" si="450"/>
        <v>-5.8650000000000008E-2</v>
      </c>
      <c r="Q1392" s="1394">
        <f>IFERROR(VLOOKUP(M1392,#REF!,3,0),0)</f>
        <v>0</v>
      </c>
      <c r="R1392" s="1394">
        <f t="shared" si="462"/>
        <v>0</v>
      </c>
      <c r="S1392" s="1394">
        <f>IFERROR(VLOOKUP(M1392,#REF!,6,0),0)</f>
        <v>0</v>
      </c>
      <c r="T1392" s="1394">
        <f t="shared" si="463"/>
        <v>0</v>
      </c>
      <c r="U1392" s="1394">
        <f>IFERROR(VLOOKUP(M1392,#REF!,5,0),0)</f>
        <v>0</v>
      </c>
      <c r="V1392" s="1394">
        <f t="shared" si="464"/>
        <v>0</v>
      </c>
      <c r="W1392" s="1394"/>
    </row>
    <row r="1393" spans="1:24" ht="30" customHeight="1">
      <c r="B1393" s="1407"/>
      <c r="C1393" s="1455" t="str">
        <f t="shared" si="459"/>
        <v>Cross wall between Station Writer / Hall Loft above</v>
      </c>
      <c r="D1393" s="103">
        <f t="shared" si="460"/>
        <v>-1</v>
      </c>
      <c r="E1393" s="103">
        <f t="shared" si="461"/>
        <v>1</v>
      </c>
      <c r="F1393" s="1413">
        <f t="shared" si="461"/>
        <v>2.5499999999999998</v>
      </c>
      <c r="G1393" s="1413">
        <f t="shared" si="461"/>
        <v>0.23</v>
      </c>
      <c r="H1393" s="1414">
        <f t="shared" si="457"/>
        <v>0.1</v>
      </c>
      <c r="I1393" s="1425">
        <f t="shared" si="450"/>
        <v>-5.8650000000000008E-2</v>
      </c>
      <c r="Q1393" s="1394">
        <f>IFERROR(VLOOKUP(M1393,#REF!,3,0),0)</f>
        <v>0</v>
      </c>
      <c r="R1393" s="1394">
        <f t="shared" si="462"/>
        <v>0</v>
      </c>
      <c r="S1393" s="1394">
        <f>IFERROR(VLOOKUP(M1393,#REF!,6,0),0)</f>
        <v>0</v>
      </c>
      <c r="T1393" s="1394">
        <f t="shared" si="463"/>
        <v>0</v>
      </c>
      <c r="U1393" s="1394">
        <f>IFERROR(VLOOKUP(M1393,#REF!,5,0),0)</f>
        <v>0</v>
      </c>
      <c r="V1393" s="1394">
        <f t="shared" si="464"/>
        <v>0</v>
      </c>
      <c r="W1393" s="1394"/>
    </row>
    <row r="1394" spans="1:24" ht="30" customHeight="1">
      <c r="B1394" s="1407"/>
      <c r="C1394" s="1412" t="str">
        <f t="shared" si="459"/>
        <v>Arm Ammunition</v>
      </c>
      <c r="D1394" s="103">
        <f t="shared" si="460"/>
        <v>0</v>
      </c>
      <c r="E1394" s="103">
        <f t="shared" si="461"/>
        <v>0</v>
      </c>
      <c r="F1394" s="1413">
        <f t="shared" si="461"/>
        <v>0</v>
      </c>
      <c r="G1394" s="1413">
        <f t="shared" si="461"/>
        <v>0</v>
      </c>
      <c r="H1394" s="1414"/>
      <c r="I1394" s="1425"/>
      <c r="Q1394" s="1394">
        <f>IFERROR(VLOOKUP(M1394,#REF!,3,0),0)</f>
        <v>0</v>
      </c>
      <c r="R1394" s="1394">
        <f t="shared" si="462"/>
        <v>0</v>
      </c>
      <c r="S1394" s="1394">
        <f>IFERROR(VLOOKUP(M1394,#REF!,6,0),0)</f>
        <v>0</v>
      </c>
      <c r="T1394" s="1394">
        <f t="shared" si="463"/>
        <v>0</v>
      </c>
      <c r="U1394" s="1394">
        <f>IFERROR(VLOOKUP(M1394,#REF!,5,0),0)</f>
        <v>0</v>
      </c>
      <c r="V1394" s="1394">
        <f t="shared" si="464"/>
        <v>0</v>
      </c>
      <c r="W1394" s="1394"/>
    </row>
    <row r="1395" spans="1:24" ht="30" customHeight="1">
      <c r="B1395" s="1407"/>
      <c r="C1395" s="1455" t="str">
        <f t="shared" si="459"/>
        <v xml:space="preserve">Cross wall between Hall/ Arm </v>
      </c>
      <c r="D1395" s="103">
        <f t="shared" si="460"/>
        <v>-1</v>
      </c>
      <c r="E1395" s="103">
        <f t="shared" si="461"/>
        <v>1</v>
      </c>
      <c r="F1395" s="1413">
        <f t="shared" si="461"/>
        <v>1.9650000000000001</v>
      </c>
      <c r="G1395" s="1413">
        <f t="shared" si="461"/>
        <v>0.23</v>
      </c>
      <c r="H1395" s="1414">
        <f t="shared" si="457"/>
        <v>0.1</v>
      </c>
      <c r="I1395" s="1425">
        <f t="shared" ref="I1395:I1399" si="465">PRODUCT(D1395:H1395)</f>
        <v>-4.5195000000000006E-2</v>
      </c>
      <c r="Q1395" s="1394">
        <f>IFERROR(VLOOKUP(M1395,#REF!,3,0),0)</f>
        <v>0</v>
      </c>
      <c r="R1395" s="1394">
        <f t="shared" si="462"/>
        <v>0</v>
      </c>
      <c r="S1395" s="1394">
        <f>IFERROR(VLOOKUP(M1395,#REF!,6,0),0)</f>
        <v>0</v>
      </c>
      <c r="T1395" s="1394">
        <f t="shared" si="463"/>
        <v>0</v>
      </c>
      <c r="U1395" s="1394">
        <f>IFERROR(VLOOKUP(M1395,#REF!,5,0),0)</f>
        <v>0</v>
      </c>
      <c r="V1395" s="1394">
        <f t="shared" si="464"/>
        <v>0</v>
      </c>
      <c r="W1395" s="1394"/>
    </row>
    <row r="1396" spans="1:24" ht="30" customHeight="1">
      <c r="B1396" s="1407"/>
      <c r="C1396" s="1455" t="str">
        <f t="shared" si="459"/>
        <v xml:space="preserve">Cross wall between Record / Arm </v>
      </c>
      <c r="D1396" s="103">
        <f t="shared" si="460"/>
        <v>-1</v>
      </c>
      <c r="E1396" s="103">
        <f t="shared" si="461"/>
        <v>1</v>
      </c>
      <c r="F1396" s="1413">
        <f t="shared" si="461"/>
        <v>2.5499999999999998</v>
      </c>
      <c r="G1396" s="1413">
        <f t="shared" si="461"/>
        <v>0.23</v>
      </c>
      <c r="H1396" s="1414">
        <f t="shared" si="457"/>
        <v>0.1</v>
      </c>
      <c r="I1396" s="1425">
        <f t="shared" si="465"/>
        <v>-5.8650000000000008E-2</v>
      </c>
      <c r="Q1396" s="1394">
        <f>IFERROR(VLOOKUP(M1396,#REF!,3,0),0)</f>
        <v>0</v>
      </c>
      <c r="R1396" s="1394">
        <f t="shared" si="462"/>
        <v>0</v>
      </c>
      <c r="S1396" s="1394">
        <f>IFERROR(VLOOKUP(M1396,#REF!,6,0),0)</f>
        <v>0</v>
      </c>
      <c r="T1396" s="1394">
        <f t="shared" si="463"/>
        <v>0</v>
      </c>
      <c r="U1396" s="1394">
        <f>IFERROR(VLOOKUP(M1396,#REF!,5,0),0)</f>
        <v>0</v>
      </c>
      <c r="V1396" s="1394">
        <f t="shared" si="464"/>
        <v>0</v>
      </c>
      <c r="W1396" s="1394"/>
    </row>
    <row r="1397" spans="1:24" ht="30" customHeight="1">
      <c r="B1397" s="1407"/>
      <c r="C1397" s="1412" t="str">
        <f t="shared" si="459"/>
        <v>Record</v>
      </c>
      <c r="D1397" s="103">
        <f t="shared" si="460"/>
        <v>0</v>
      </c>
      <c r="E1397" s="103">
        <f t="shared" si="461"/>
        <v>0</v>
      </c>
      <c r="F1397" s="1413">
        <f t="shared" si="461"/>
        <v>0</v>
      </c>
      <c r="G1397" s="1413">
        <f t="shared" si="461"/>
        <v>0</v>
      </c>
      <c r="H1397" s="1414">
        <f t="shared" si="457"/>
        <v>0.1</v>
      </c>
      <c r="I1397" s="1425">
        <f t="shared" si="465"/>
        <v>0</v>
      </c>
      <c r="Q1397" s="1394">
        <f>IFERROR(VLOOKUP(M1397,#REF!,3,0),0)</f>
        <v>0</v>
      </c>
      <c r="R1397" s="1394">
        <f t="shared" si="462"/>
        <v>0</v>
      </c>
      <c r="S1397" s="1394">
        <f>IFERROR(VLOOKUP(M1397,#REF!,6,0),0)</f>
        <v>0</v>
      </c>
      <c r="T1397" s="1394">
        <f t="shared" si="463"/>
        <v>0</v>
      </c>
      <c r="U1397" s="1394">
        <f>IFERROR(VLOOKUP(M1397,#REF!,5,0),0)</f>
        <v>0</v>
      </c>
      <c r="V1397" s="1394">
        <f t="shared" si="464"/>
        <v>0</v>
      </c>
      <c r="W1397" s="1394"/>
    </row>
    <row r="1398" spans="1:24" ht="30" customHeight="1">
      <c r="B1398" s="1407"/>
      <c r="C1398" s="1455" t="str">
        <f t="shared" si="459"/>
        <v>Cross wall between  Record / Toilet</v>
      </c>
      <c r="D1398" s="103">
        <f t="shared" si="460"/>
        <v>-1</v>
      </c>
      <c r="E1398" s="103">
        <f t="shared" si="461"/>
        <v>1</v>
      </c>
      <c r="F1398" s="1413">
        <f t="shared" si="461"/>
        <v>3.88</v>
      </c>
      <c r="G1398" s="1413">
        <f t="shared" si="461"/>
        <v>0.23</v>
      </c>
      <c r="H1398" s="1414">
        <f t="shared" si="457"/>
        <v>0.1</v>
      </c>
      <c r="I1398" s="1425">
        <f t="shared" si="465"/>
        <v>-8.924E-2</v>
      </c>
      <c r="Q1398" s="1394">
        <f>IFERROR(VLOOKUP(M1398,#REF!,3,0),0)</f>
        <v>0</v>
      </c>
      <c r="R1398" s="1394">
        <f t="shared" si="462"/>
        <v>0</v>
      </c>
      <c r="S1398" s="1394">
        <f>IFERROR(VLOOKUP(M1398,#REF!,6,0),0)</f>
        <v>0</v>
      </c>
      <c r="T1398" s="1394">
        <f t="shared" si="463"/>
        <v>0</v>
      </c>
      <c r="U1398" s="1394">
        <f>IFERROR(VLOOKUP(M1398,#REF!,5,0),0)</f>
        <v>0</v>
      </c>
      <c r="V1398" s="1394">
        <f t="shared" si="464"/>
        <v>0</v>
      </c>
      <c r="W1398" s="1394"/>
    </row>
    <row r="1399" spans="1:24" ht="30" customHeight="1">
      <c r="B1399" s="1407"/>
      <c r="C1399" s="1455" t="str">
        <f>C1340</f>
        <v>Elevation Piller</v>
      </c>
      <c r="D1399" s="103">
        <f>-D1340</f>
        <v>-1</v>
      </c>
      <c r="E1399" s="103">
        <f>E1340</f>
        <v>4</v>
      </c>
      <c r="F1399" s="1413">
        <f>F1340</f>
        <v>0.6</v>
      </c>
      <c r="G1399" s="1413">
        <f>G1340</f>
        <v>0.23</v>
      </c>
      <c r="H1399" s="1414">
        <f t="shared" si="457"/>
        <v>0.1</v>
      </c>
      <c r="I1399" s="1425">
        <f t="shared" si="465"/>
        <v>-5.5200000000000006E-2</v>
      </c>
      <c r="J1399" s="1397"/>
      <c r="K1399" s="1397"/>
      <c r="Q1399" s="1394">
        <f>IFERROR(VLOOKUP(M1399,#REF!,3,0),0)</f>
        <v>0</v>
      </c>
      <c r="R1399" s="1394">
        <f t="shared" si="462"/>
        <v>0</v>
      </c>
      <c r="S1399" s="1394">
        <f>IFERROR(VLOOKUP(M1399,#REF!,6,0),0)</f>
        <v>0</v>
      </c>
      <c r="T1399" s="1394">
        <f t="shared" si="463"/>
        <v>0</v>
      </c>
      <c r="U1399" s="1394">
        <f>IFERROR(VLOOKUP(M1399,#REF!,5,0),0)</f>
        <v>0</v>
      </c>
      <c r="V1399" s="1394">
        <f t="shared" si="464"/>
        <v>0</v>
      </c>
      <c r="W1399" s="1394"/>
    </row>
    <row r="1400" spans="1:24" ht="30" customHeight="1">
      <c r="B1400" s="1407"/>
      <c r="C1400" s="1455"/>
      <c r="D1400" s="103"/>
      <c r="E1400" s="103"/>
      <c r="F1400" s="1413"/>
      <c r="G1400" s="1413"/>
      <c r="H1400" s="1414"/>
      <c r="I1400" s="1425"/>
      <c r="Q1400" s="1394">
        <f>IFERROR(VLOOKUP(M1400,#REF!,3,0),0)</f>
        <v>0</v>
      </c>
      <c r="R1400" s="1394">
        <f t="shared" si="462"/>
        <v>0</v>
      </c>
      <c r="S1400" s="1394">
        <f>IFERROR(VLOOKUP(M1400,#REF!,6,0),0)</f>
        <v>0</v>
      </c>
      <c r="T1400" s="1394">
        <f t="shared" si="463"/>
        <v>0</v>
      </c>
      <c r="U1400" s="1394">
        <f>IFERROR(VLOOKUP(M1400,#REF!,5,0),0)</f>
        <v>0</v>
      </c>
      <c r="V1400" s="1394">
        <f t="shared" si="464"/>
        <v>0</v>
      </c>
      <c r="W1400" s="1394"/>
    </row>
    <row r="1401" spans="1:24" s="1394" customFormat="1" ht="30" customHeight="1">
      <c r="B1401" s="1421"/>
      <c r="C1401" s="1422" t="s">
        <v>270</v>
      </c>
      <c r="D1401" s="1389"/>
      <c r="E1401" s="1389"/>
      <c r="F1401" s="1423"/>
      <c r="G1401" s="1423"/>
      <c r="H1401" s="1424"/>
      <c r="I1401" s="1425">
        <f>J1402-J1401</f>
        <v>3.9930999999981509E-2</v>
      </c>
      <c r="J1401" s="1394">
        <f>SUM(I1300:I1400)</f>
        <v>87.86006900000001</v>
      </c>
      <c r="M1401" s="1426"/>
      <c r="Q1401" s="1394">
        <f>IFERROR(VLOOKUP(M1401,#REF!,3,0),0)</f>
        <v>0</v>
      </c>
      <c r="R1401" s="1394">
        <f t="shared" si="462"/>
        <v>0</v>
      </c>
      <c r="S1401" s="1394">
        <f>IFERROR(VLOOKUP(M1401,#REF!,6,0),0)</f>
        <v>0</v>
      </c>
      <c r="T1401" s="1394">
        <f t="shared" si="463"/>
        <v>0</v>
      </c>
      <c r="U1401" s="1394">
        <f>IFERROR(VLOOKUP(M1401,#REF!,5,0),0)</f>
        <v>0</v>
      </c>
      <c r="V1401" s="1394">
        <f t="shared" si="464"/>
        <v>0</v>
      </c>
    </row>
    <row r="1402" spans="1:24" s="1394" customFormat="1" ht="30" customHeight="1">
      <c r="B1402" s="1421"/>
      <c r="C1402" s="1422"/>
      <c r="D1402" s="1389"/>
      <c r="E1402" s="1389"/>
      <c r="F1402" s="1423"/>
      <c r="G1402" s="1423"/>
      <c r="H1402" s="1424"/>
      <c r="I1402" s="1427">
        <f>+J1402</f>
        <v>87.899999999999991</v>
      </c>
      <c r="J1402" s="1394">
        <f>ROUNDUP(J1401,1)</f>
        <v>87.899999999999991</v>
      </c>
      <c r="M1402" s="1426"/>
      <c r="Q1402" s="1394">
        <f>IFERROR(VLOOKUP(M1402,#REF!,3,0),0)</f>
        <v>0</v>
      </c>
      <c r="R1402" s="1394">
        <f t="shared" si="462"/>
        <v>0</v>
      </c>
      <c r="S1402" s="1394">
        <f>IFERROR(VLOOKUP(M1402,#REF!,6,0),0)</f>
        <v>0</v>
      </c>
      <c r="T1402" s="1394">
        <f t="shared" si="463"/>
        <v>0</v>
      </c>
      <c r="U1402" s="1394">
        <f>IFERROR(VLOOKUP(M1402,#REF!,5,0),0)</f>
        <v>0</v>
      </c>
      <c r="V1402" s="1394">
        <f t="shared" si="464"/>
        <v>0</v>
      </c>
    </row>
    <row r="1403" spans="1:24" s="1394" customFormat="1" ht="30" customHeight="1">
      <c r="B1403" s="1421"/>
      <c r="C1403" s="1422"/>
      <c r="D1403" s="1389"/>
      <c r="E1403" s="1389"/>
      <c r="F1403" s="1423"/>
      <c r="G1403" s="1428" t="s">
        <v>11</v>
      </c>
      <c r="H1403" s="1429">
        <f>I1402</f>
        <v>87.899999999999991</v>
      </c>
      <c r="I1403" s="1427" t="s">
        <v>19</v>
      </c>
      <c r="M1403" s="1426" t="str">
        <f>A1299</f>
        <v>b. In First Floor Brick work in C.M. 1:6  using Kiln Burnt Country bricks of size 22 x 11 x 7 cm ( 8 3/4" x 4 1/4" x 2 3/4")</v>
      </c>
      <c r="N1403" s="1394">
        <f>B1299</f>
        <v>0</v>
      </c>
      <c r="O1403" s="1394">
        <f>H1403</f>
        <v>87.899999999999991</v>
      </c>
      <c r="P1403" s="1394" t="str">
        <f>I1403</f>
        <v>Cum</v>
      </c>
      <c r="Q1403" s="1394">
        <f>IFERROR(VLOOKUP(M1403,#REF!,3,0),0)</f>
        <v>0</v>
      </c>
      <c r="R1403" s="1394">
        <f t="shared" si="462"/>
        <v>0</v>
      </c>
      <c r="S1403" s="1394">
        <f>IFERROR(VLOOKUP(M1403,#REF!,6,0),0)</f>
        <v>0</v>
      </c>
      <c r="T1403" s="1394">
        <f t="shared" si="463"/>
        <v>0</v>
      </c>
      <c r="U1403" s="1394">
        <f>IFERROR(VLOOKUP(M1403,#REF!,5,0),0)</f>
        <v>0</v>
      </c>
      <c r="V1403" s="1394">
        <f t="shared" si="464"/>
        <v>87.899999999999991</v>
      </c>
    </row>
    <row r="1404" spans="1:24" ht="30" customHeight="1">
      <c r="A1404" s="110" t="s">
        <v>343</v>
      </c>
      <c r="B1404" s="1405"/>
      <c r="C1404" s="1678" t="e">
        <f>VLOOKUP(A1404,#REF!,2,0)</f>
        <v>#REF!</v>
      </c>
      <c r="D1404" s="1678"/>
      <c r="E1404" s="1678"/>
      <c r="F1404" s="1678"/>
      <c r="G1404" s="1678"/>
      <c r="H1404" s="1678"/>
      <c r="I1404" s="1479"/>
      <c r="Q1404" s="1394">
        <f>IFERROR(VLOOKUP(M1404,#REF!,3,0),0)</f>
        <v>0</v>
      </c>
      <c r="R1404" s="1394">
        <f t="shared" si="462"/>
        <v>0</v>
      </c>
      <c r="S1404" s="1394">
        <f>IFERROR(VLOOKUP(M1404,#REF!,6,0),0)</f>
        <v>0</v>
      </c>
      <c r="T1404" s="1394">
        <f t="shared" si="463"/>
        <v>0</v>
      </c>
      <c r="U1404" s="1394">
        <f>IFERROR(VLOOKUP(M1404,#REF!,5,0),0)</f>
        <v>0</v>
      </c>
      <c r="V1404" s="1394">
        <f t="shared" si="464"/>
        <v>0</v>
      </c>
      <c r="W1404" s="1394"/>
      <c r="X1404" s="1397"/>
    </row>
    <row r="1405" spans="1:24" ht="30" customHeight="1">
      <c r="B1405" s="1405"/>
      <c r="C1405" s="1455" t="s">
        <v>323</v>
      </c>
      <c r="D1405" s="103">
        <v>1</v>
      </c>
      <c r="E1405" s="103">
        <v>1</v>
      </c>
      <c r="F1405" s="1413">
        <f>L1405/1000</f>
        <v>86.29</v>
      </c>
      <c r="G1405" s="1413">
        <v>0.23</v>
      </c>
      <c r="H1405" s="1414">
        <f>H1338</f>
        <v>2.92</v>
      </c>
      <c r="I1405" s="1425">
        <f t="shared" ref="I1405:I1435" si="466">PRODUCT(D1405:H1405)</f>
        <v>57.952364000000003</v>
      </c>
      <c r="K1405" s="1397"/>
      <c r="L1405" s="110">
        <v>86290</v>
      </c>
      <c r="Q1405" s="1394">
        <f>IFERROR(VLOOKUP(M1405,#REF!,3,0),0)</f>
        <v>0</v>
      </c>
      <c r="R1405" s="1394">
        <f t="shared" si="462"/>
        <v>0</v>
      </c>
      <c r="S1405" s="1394">
        <f>IFERROR(VLOOKUP(M1405,#REF!,6,0),0)</f>
        <v>0</v>
      </c>
      <c r="T1405" s="1394">
        <f t="shared" si="463"/>
        <v>0</v>
      </c>
      <c r="U1405" s="1394">
        <f>IFERROR(VLOOKUP(M1405,#REF!,5,0),0)</f>
        <v>0</v>
      </c>
      <c r="V1405" s="1394">
        <f t="shared" si="464"/>
        <v>0</v>
      </c>
      <c r="W1405" s="1394"/>
    </row>
    <row r="1406" spans="1:24" ht="30" customHeight="1">
      <c r="A1406" s="110" t="s">
        <v>5627</v>
      </c>
      <c r="B1406" s="1407"/>
      <c r="C1406" s="1455" t="s">
        <v>5585</v>
      </c>
      <c r="D1406" s="103">
        <v>1</v>
      </c>
      <c r="E1406" s="103">
        <v>1</v>
      </c>
      <c r="F1406" s="1413">
        <v>2.5350000000000001</v>
      </c>
      <c r="G1406" s="1413">
        <v>0.23</v>
      </c>
      <c r="H1406" s="1414">
        <f>H1405</f>
        <v>2.92</v>
      </c>
      <c r="I1406" s="1425">
        <f t="shared" si="466"/>
        <v>1.7025060000000001</v>
      </c>
      <c r="J1406" s="1397"/>
      <c r="K1406" s="1397"/>
      <c r="Q1406" s="1394">
        <f>IFERROR(VLOOKUP(M1406,#REF!,3,0),0)</f>
        <v>0</v>
      </c>
      <c r="R1406" s="1394">
        <f t="shared" si="462"/>
        <v>0</v>
      </c>
      <c r="S1406" s="1394">
        <f>IFERROR(VLOOKUP(M1406,#REF!,6,0),0)</f>
        <v>0</v>
      </c>
      <c r="T1406" s="1394">
        <f t="shared" si="463"/>
        <v>0</v>
      </c>
      <c r="U1406" s="1394">
        <f>IFERROR(VLOOKUP(M1406,#REF!,5,0),0)</f>
        <v>0</v>
      </c>
      <c r="V1406" s="1394">
        <f t="shared" si="464"/>
        <v>0</v>
      </c>
      <c r="W1406" s="1394"/>
    </row>
    <row r="1407" spans="1:24" ht="30" customHeight="1">
      <c r="B1407" s="1407"/>
      <c r="C1407" s="1455" t="s">
        <v>5586</v>
      </c>
      <c r="D1407" s="103">
        <v>1</v>
      </c>
      <c r="E1407" s="103">
        <v>1</v>
      </c>
      <c r="F1407" s="1413">
        <v>2.33</v>
      </c>
      <c r="G1407" s="1413">
        <v>0.23</v>
      </c>
      <c r="H1407" s="1414">
        <f t="shared" ref="H1407:H1408" si="467">H1406</f>
        <v>2.92</v>
      </c>
      <c r="I1407" s="1425">
        <f t="shared" si="466"/>
        <v>1.5648280000000001</v>
      </c>
      <c r="J1407" s="1397"/>
      <c r="K1407" s="1397"/>
      <c r="Q1407" s="1394">
        <f>IFERROR(VLOOKUP(M1407,#REF!,3,0),0)</f>
        <v>0</v>
      </c>
      <c r="R1407" s="1394">
        <f t="shared" si="462"/>
        <v>0</v>
      </c>
      <c r="S1407" s="1394">
        <f>IFERROR(VLOOKUP(M1407,#REF!,6,0),0)</f>
        <v>0</v>
      </c>
      <c r="T1407" s="1394">
        <f t="shared" si="463"/>
        <v>0</v>
      </c>
      <c r="U1407" s="1394">
        <f>IFERROR(VLOOKUP(M1407,#REF!,5,0),0)</f>
        <v>0</v>
      </c>
      <c r="V1407" s="1394">
        <f t="shared" si="464"/>
        <v>0</v>
      </c>
      <c r="W1407" s="1394"/>
    </row>
    <row r="1408" spans="1:24" ht="34.5" customHeight="1">
      <c r="B1408" s="1407"/>
      <c r="C1408" s="1455" t="s">
        <v>5590</v>
      </c>
      <c r="D1408" s="103">
        <v>1</v>
      </c>
      <c r="E1408" s="103">
        <v>1</v>
      </c>
      <c r="F1408" s="1413">
        <v>7.1150000000000002</v>
      </c>
      <c r="G1408" s="1413">
        <v>0.23</v>
      </c>
      <c r="H1408" s="1414">
        <f t="shared" si="467"/>
        <v>2.92</v>
      </c>
      <c r="I1408" s="1425">
        <f t="shared" si="466"/>
        <v>4.7784340000000007</v>
      </c>
      <c r="J1408" s="1397"/>
      <c r="K1408" s="1397"/>
      <c r="Q1408" s="1394">
        <f>IFERROR(VLOOKUP(M1408,#REF!,3,0),0)</f>
        <v>0</v>
      </c>
      <c r="R1408" s="1394">
        <f t="shared" si="462"/>
        <v>0</v>
      </c>
      <c r="S1408" s="1394">
        <f>IFERROR(VLOOKUP(M1408,#REF!,6,0),0)</f>
        <v>0</v>
      </c>
      <c r="T1408" s="1394">
        <f t="shared" si="463"/>
        <v>0</v>
      </c>
      <c r="U1408" s="1394">
        <f>IFERROR(VLOOKUP(M1408,#REF!,5,0),0)</f>
        <v>0</v>
      </c>
      <c r="V1408" s="1394">
        <f t="shared" si="464"/>
        <v>0</v>
      </c>
      <c r="W1408" s="1394"/>
    </row>
    <row r="1409" spans="1:23" ht="30" customHeight="1">
      <c r="B1409" s="1407"/>
      <c r="C1409" s="1412" t="s">
        <v>5628</v>
      </c>
      <c r="D1409" s="103"/>
      <c r="E1409" s="103"/>
      <c r="F1409" s="1413"/>
      <c r="G1409" s="1413"/>
      <c r="H1409" s="1414"/>
      <c r="I1409" s="1425">
        <f t="shared" si="466"/>
        <v>0</v>
      </c>
      <c r="Q1409" s="1394">
        <f>IFERROR(VLOOKUP(M1409,#REF!,3,0),0)</f>
        <v>0</v>
      </c>
      <c r="R1409" s="1394">
        <f t="shared" si="462"/>
        <v>0</v>
      </c>
      <c r="S1409" s="1394">
        <f>IFERROR(VLOOKUP(M1409,#REF!,6,0),0)</f>
        <v>0</v>
      </c>
      <c r="T1409" s="1394">
        <f t="shared" si="463"/>
        <v>0</v>
      </c>
      <c r="U1409" s="1394">
        <f>IFERROR(VLOOKUP(M1409,#REF!,5,0),0)</f>
        <v>0</v>
      </c>
      <c r="V1409" s="1394">
        <f t="shared" si="464"/>
        <v>0</v>
      </c>
      <c r="W1409" s="1394"/>
    </row>
    <row r="1410" spans="1:23" ht="30" customHeight="1">
      <c r="B1410" s="1407"/>
      <c r="C1410" s="1455" t="s">
        <v>5629</v>
      </c>
      <c r="D1410" s="103">
        <v>1</v>
      </c>
      <c r="E1410" s="103">
        <v>1</v>
      </c>
      <c r="F1410" s="1413">
        <v>4</v>
      </c>
      <c r="G1410" s="1413">
        <v>0.23</v>
      </c>
      <c r="H1410" s="1414">
        <f>H1408</f>
        <v>2.92</v>
      </c>
      <c r="I1410" s="1425">
        <f t="shared" si="466"/>
        <v>2.6863999999999999</v>
      </c>
      <c r="K1410" s="110">
        <v>1.7649999999999999</v>
      </c>
      <c r="Q1410" s="1394">
        <f>IFERROR(VLOOKUP(M1410,#REF!,3,0),0)</f>
        <v>0</v>
      </c>
      <c r="R1410" s="1394">
        <f t="shared" si="462"/>
        <v>0</v>
      </c>
      <c r="S1410" s="1394">
        <f>IFERROR(VLOOKUP(M1410,#REF!,6,0),0)</f>
        <v>0</v>
      </c>
      <c r="T1410" s="1394">
        <f t="shared" si="463"/>
        <v>0</v>
      </c>
      <c r="U1410" s="1394">
        <f>IFERROR(VLOOKUP(M1410,#REF!,5,0),0)</f>
        <v>0</v>
      </c>
      <c r="V1410" s="1394">
        <f t="shared" si="464"/>
        <v>0</v>
      </c>
      <c r="W1410" s="1394"/>
    </row>
    <row r="1411" spans="1:23" ht="30" customHeight="1">
      <c r="B1411" s="1407"/>
      <c r="C1411" s="1455" t="s">
        <v>5619</v>
      </c>
      <c r="D1411" s="103">
        <v>-1</v>
      </c>
      <c r="E1411" s="103">
        <v>1</v>
      </c>
      <c r="F1411" s="1413">
        <v>1</v>
      </c>
      <c r="G1411" s="1413">
        <v>0.23</v>
      </c>
      <c r="H1411" s="1414">
        <v>2.1</v>
      </c>
      <c r="I1411" s="1425">
        <f t="shared" si="466"/>
        <v>-0.48300000000000004</v>
      </c>
      <c r="Q1411" s="1394">
        <f>IFERROR(VLOOKUP(M1411,#REF!,3,0),0)</f>
        <v>0</v>
      </c>
      <c r="R1411" s="1394">
        <f t="shared" si="462"/>
        <v>0</v>
      </c>
      <c r="S1411" s="1394">
        <f>IFERROR(VLOOKUP(M1411,#REF!,6,0),0)</f>
        <v>0</v>
      </c>
      <c r="T1411" s="1394">
        <f t="shared" si="463"/>
        <v>0</v>
      </c>
      <c r="U1411" s="1394">
        <f>IFERROR(VLOOKUP(M1411,#REF!,5,0),0)</f>
        <v>0</v>
      </c>
      <c r="V1411" s="1394">
        <f t="shared" si="464"/>
        <v>0</v>
      </c>
      <c r="W1411" s="1394"/>
    </row>
    <row r="1412" spans="1:23" ht="30" customHeight="1">
      <c r="B1412" s="1407"/>
      <c r="C1412" s="1455" t="s">
        <v>5502</v>
      </c>
      <c r="D1412" s="103">
        <v>1</v>
      </c>
      <c r="E1412" s="103">
        <v>1</v>
      </c>
      <c r="F1412" s="1413">
        <v>0.23</v>
      </c>
      <c r="G1412" s="1413">
        <v>0.23</v>
      </c>
      <c r="H1412" s="1414">
        <f>H1410</f>
        <v>2.92</v>
      </c>
      <c r="I1412" s="1425">
        <f t="shared" si="466"/>
        <v>0.15446799999999999</v>
      </c>
      <c r="Q1412" s="1394">
        <f>IFERROR(VLOOKUP(M1412,#REF!,3,0),0)</f>
        <v>0</v>
      </c>
      <c r="R1412" s="1394">
        <f t="shared" si="462"/>
        <v>0</v>
      </c>
      <c r="S1412" s="1394">
        <f>IFERROR(VLOOKUP(M1412,#REF!,6,0),0)</f>
        <v>0</v>
      </c>
      <c r="T1412" s="1394">
        <f t="shared" si="463"/>
        <v>0</v>
      </c>
      <c r="U1412" s="1394">
        <f>IFERROR(VLOOKUP(M1412,#REF!,5,0),0)</f>
        <v>0</v>
      </c>
      <c r="V1412" s="1394">
        <f t="shared" si="464"/>
        <v>0</v>
      </c>
      <c r="W1412" s="1394"/>
    </row>
    <row r="1413" spans="1:23" ht="30" customHeight="1">
      <c r="B1413" s="1407"/>
      <c r="C1413" s="1455" t="s">
        <v>5630</v>
      </c>
      <c r="D1413" s="103">
        <v>1</v>
      </c>
      <c r="E1413" s="103">
        <v>1</v>
      </c>
      <c r="F1413" s="1413">
        <v>5.53</v>
      </c>
      <c r="G1413" s="1413">
        <v>0.23</v>
      </c>
      <c r="H1413" s="1414">
        <f>H1411</f>
        <v>2.1</v>
      </c>
      <c r="I1413" s="1425">
        <f t="shared" si="466"/>
        <v>2.6709900000000002</v>
      </c>
      <c r="Q1413" s="1394">
        <f>IFERROR(VLOOKUP(M1413,#REF!,3,0),0)</f>
        <v>0</v>
      </c>
      <c r="R1413" s="1394">
        <f t="shared" si="462"/>
        <v>0</v>
      </c>
      <c r="S1413" s="1394">
        <f>IFERROR(VLOOKUP(M1413,#REF!,6,0),0)</f>
        <v>0</v>
      </c>
      <c r="T1413" s="1394">
        <f t="shared" si="463"/>
        <v>0</v>
      </c>
      <c r="U1413" s="1394">
        <f>IFERROR(VLOOKUP(M1413,#REF!,5,0),0)</f>
        <v>0</v>
      </c>
      <c r="V1413" s="1394">
        <f t="shared" si="464"/>
        <v>0</v>
      </c>
      <c r="W1413" s="1394"/>
    </row>
    <row r="1414" spans="1:23" ht="30" customHeight="1">
      <c r="B1414" s="1407"/>
      <c r="C1414" s="1412" t="s">
        <v>5593</v>
      </c>
      <c r="D1414" s="103"/>
      <c r="E1414" s="103"/>
      <c r="F1414" s="1413"/>
      <c r="G1414" s="1413"/>
      <c r="H1414" s="1414"/>
      <c r="I1414" s="1425">
        <f t="shared" si="466"/>
        <v>0</v>
      </c>
      <c r="Q1414" s="1394">
        <f>IFERROR(VLOOKUP(M1414,#REF!,3,0),0)</f>
        <v>0</v>
      </c>
      <c r="R1414" s="1394">
        <f t="shared" si="462"/>
        <v>0</v>
      </c>
      <c r="S1414" s="1394">
        <f>IFERROR(VLOOKUP(M1414,#REF!,6,0),0)</f>
        <v>0</v>
      </c>
      <c r="T1414" s="1394">
        <f t="shared" si="463"/>
        <v>0</v>
      </c>
      <c r="U1414" s="1394">
        <f>IFERROR(VLOOKUP(M1414,#REF!,5,0),0)</f>
        <v>0</v>
      </c>
      <c r="V1414" s="1394">
        <f t="shared" si="464"/>
        <v>0</v>
      </c>
      <c r="W1414" s="1394"/>
    </row>
    <row r="1415" spans="1:23" ht="30" customHeight="1">
      <c r="A1415" s="1395"/>
      <c r="B1415" s="1407"/>
      <c r="C1415" s="1455" t="s">
        <v>5594</v>
      </c>
      <c r="D1415" s="103">
        <v>1</v>
      </c>
      <c r="E1415" s="103">
        <v>1</v>
      </c>
      <c r="F1415" s="1413">
        <v>5.53</v>
      </c>
      <c r="G1415" s="1413">
        <v>0.23</v>
      </c>
      <c r="H1415" s="1414">
        <f>H1412</f>
        <v>2.92</v>
      </c>
      <c r="I1415" s="1425">
        <f t="shared" si="466"/>
        <v>3.7139479999999998</v>
      </c>
      <c r="L1415" s="1395" t="s">
        <v>340</v>
      </c>
      <c r="Q1415" s="1394">
        <f>IFERROR(VLOOKUP(M1415,#REF!,3,0),0)</f>
        <v>0</v>
      </c>
      <c r="R1415" s="1394">
        <f t="shared" si="462"/>
        <v>0</v>
      </c>
      <c r="S1415" s="1394">
        <f>IFERROR(VLOOKUP(M1415,#REF!,6,0),0)</f>
        <v>0</v>
      </c>
      <c r="T1415" s="1394">
        <f t="shared" si="463"/>
        <v>0</v>
      </c>
      <c r="U1415" s="1394">
        <f>IFERROR(VLOOKUP(M1415,#REF!,5,0),0)</f>
        <v>0</v>
      </c>
      <c r="V1415" s="1394">
        <f t="shared" si="464"/>
        <v>0</v>
      </c>
      <c r="W1415" s="1394"/>
    </row>
    <row r="1416" spans="1:23" ht="30" customHeight="1">
      <c r="B1416" s="1407"/>
      <c r="C1416" s="1455" t="s">
        <v>5595</v>
      </c>
      <c r="D1416" s="103">
        <v>1</v>
      </c>
      <c r="E1416" s="103">
        <v>1</v>
      </c>
      <c r="F1416" s="1413">
        <v>3.4550000000000001</v>
      </c>
      <c r="G1416" s="1413">
        <v>0.23</v>
      </c>
      <c r="H1416" s="1414">
        <f>H1415</f>
        <v>2.92</v>
      </c>
      <c r="I1416" s="1425">
        <f t="shared" si="466"/>
        <v>2.3203780000000003</v>
      </c>
      <c r="Q1416" s="1394">
        <f>IFERROR(VLOOKUP(M1416,#REF!,3,0),0)</f>
        <v>0</v>
      </c>
      <c r="R1416" s="1394">
        <f t="shared" si="462"/>
        <v>0</v>
      </c>
      <c r="S1416" s="1394">
        <f>IFERROR(VLOOKUP(M1416,#REF!,6,0),0)</f>
        <v>0</v>
      </c>
      <c r="T1416" s="1394">
        <f t="shared" si="463"/>
        <v>0</v>
      </c>
      <c r="U1416" s="1394">
        <f>IFERROR(VLOOKUP(M1416,#REF!,5,0),0)</f>
        <v>0</v>
      </c>
      <c r="V1416" s="1394">
        <f t="shared" si="464"/>
        <v>0</v>
      </c>
      <c r="W1416" s="1394"/>
    </row>
    <row r="1417" spans="1:23" ht="30" customHeight="1">
      <c r="B1417" s="1407"/>
      <c r="C1417" s="1455" t="s">
        <v>5596</v>
      </c>
      <c r="D1417" s="103">
        <v>1</v>
      </c>
      <c r="E1417" s="103">
        <v>1</v>
      </c>
      <c r="F1417" s="1413">
        <v>0.71499999999999997</v>
      </c>
      <c r="G1417" s="1413">
        <v>0.23</v>
      </c>
      <c r="H1417" s="1414">
        <f>H1416</f>
        <v>2.92</v>
      </c>
      <c r="I1417" s="1425">
        <f t="shared" si="466"/>
        <v>0.48019400000000001</v>
      </c>
      <c r="Q1417" s="1394">
        <f>IFERROR(VLOOKUP(M1417,#REF!,3,0),0)</f>
        <v>0</v>
      </c>
      <c r="R1417" s="1394">
        <f t="shared" si="462"/>
        <v>0</v>
      </c>
      <c r="S1417" s="1394">
        <f>IFERROR(VLOOKUP(M1417,#REF!,6,0),0)</f>
        <v>0</v>
      </c>
      <c r="T1417" s="1394">
        <f t="shared" si="463"/>
        <v>0</v>
      </c>
      <c r="U1417" s="1394">
        <f>IFERROR(VLOOKUP(M1417,#REF!,5,0),0)</f>
        <v>0</v>
      </c>
      <c r="V1417" s="1394">
        <f t="shared" si="464"/>
        <v>0</v>
      </c>
      <c r="W1417" s="1394"/>
    </row>
    <row r="1418" spans="1:23" ht="30" customHeight="1">
      <c r="B1418" s="1407"/>
      <c r="C1418" s="1412" t="s">
        <v>5631</v>
      </c>
      <c r="D1418" s="103"/>
      <c r="E1418" s="103"/>
      <c r="F1418" s="1413"/>
      <c r="G1418" s="1413"/>
      <c r="H1418" s="1414"/>
      <c r="I1418" s="1425">
        <f t="shared" si="466"/>
        <v>0</v>
      </c>
      <c r="Q1418" s="1394">
        <f>IFERROR(VLOOKUP(M1418,#REF!,3,0),0)</f>
        <v>0</v>
      </c>
      <c r="R1418" s="1394">
        <f t="shared" si="462"/>
        <v>0</v>
      </c>
      <c r="S1418" s="1394">
        <f>IFERROR(VLOOKUP(M1418,#REF!,6,0),0)</f>
        <v>0</v>
      </c>
      <c r="T1418" s="1394">
        <f t="shared" si="463"/>
        <v>0</v>
      </c>
      <c r="U1418" s="1394">
        <f>IFERROR(VLOOKUP(M1418,#REF!,5,0),0)</f>
        <v>0</v>
      </c>
      <c r="V1418" s="1394">
        <f t="shared" si="464"/>
        <v>0</v>
      </c>
      <c r="W1418" s="1394"/>
    </row>
    <row r="1419" spans="1:23" ht="30" customHeight="1">
      <c r="A1419" s="1395"/>
      <c r="B1419" s="1407"/>
      <c r="C1419" s="1455" t="s">
        <v>5632</v>
      </c>
      <c r="D1419" s="103">
        <v>1</v>
      </c>
      <c r="E1419" s="103">
        <v>1</v>
      </c>
      <c r="F1419" s="1413">
        <v>4</v>
      </c>
      <c r="G1419" s="1413">
        <v>0.23</v>
      </c>
      <c r="H1419" s="1414">
        <f>H1417</f>
        <v>2.92</v>
      </c>
      <c r="I1419" s="1425">
        <f t="shared" si="466"/>
        <v>2.6863999999999999</v>
      </c>
      <c r="L1419" s="1395" t="s">
        <v>340</v>
      </c>
      <c r="Q1419" s="1394">
        <f>IFERROR(VLOOKUP(M1419,#REF!,3,0),0)</f>
        <v>0</v>
      </c>
      <c r="R1419" s="1394">
        <f t="shared" si="462"/>
        <v>0</v>
      </c>
      <c r="S1419" s="1394">
        <f>IFERROR(VLOOKUP(M1419,#REF!,6,0),0)</f>
        <v>0</v>
      </c>
      <c r="T1419" s="1394">
        <f t="shared" si="463"/>
        <v>0</v>
      </c>
      <c r="U1419" s="1394">
        <f>IFERROR(VLOOKUP(M1419,#REF!,5,0),0)</f>
        <v>0</v>
      </c>
      <c r="V1419" s="1394">
        <f t="shared" si="464"/>
        <v>0</v>
      </c>
      <c r="W1419" s="1394"/>
    </row>
    <row r="1420" spans="1:23" ht="30" customHeight="1">
      <c r="B1420" s="1407"/>
      <c r="C1420" s="1455" t="s">
        <v>5619</v>
      </c>
      <c r="D1420" s="103">
        <v>-1</v>
      </c>
      <c r="E1420" s="103">
        <v>1</v>
      </c>
      <c r="F1420" s="1413">
        <v>1</v>
      </c>
      <c r="G1420" s="1413">
        <v>0.23</v>
      </c>
      <c r="H1420" s="1414">
        <v>2.1</v>
      </c>
      <c r="I1420" s="1425">
        <f t="shared" si="466"/>
        <v>-0.48300000000000004</v>
      </c>
      <c r="Q1420" s="1394">
        <f>IFERROR(VLOOKUP(M1420,#REF!,3,0),0)</f>
        <v>0</v>
      </c>
      <c r="R1420" s="1394">
        <f t="shared" si="462"/>
        <v>0</v>
      </c>
      <c r="S1420" s="1394">
        <f>IFERROR(VLOOKUP(M1420,#REF!,6,0),0)</f>
        <v>0</v>
      </c>
      <c r="T1420" s="1394">
        <f t="shared" si="463"/>
        <v>0</v>
      </c>
      <c r="U1420" s="1394">
        <f>IFERROR(VLOOKUP(M1420,#REF!,5,0),0)</f>
        <v>0</v>
      </c>
      <c r="V1420" s="1394">
        <f t="shared" si="464"/>
        <v>0</v>
      </c>
      <c r="W1420" s="1394"/>
    </row>
    <row r="1421" spans="1:23" ht="30" customHeight="1">
      <c r="A1421" s="1395"/>
      <c r="B1421" s="1407"/>
      <c r="C1421" s="1455" t="s">
        <v>5633</v>
      </c>
      <c r="D1421" s="103">
        <v>1</v>
      </c>
      <c r="E1421" s="103">
        <v>1</v>
      </c>
      <c r="F1421" s="1413">
        <v>0.43</v>
      </c>
      <c r="G1421" s="1413">
        <v>0.23</v>
      </c>
      <c r="H1421" s="1414">
        <f>H1419</f>
        <v>2.92</v>
      </c>
      <c r="I1421" s="1425">
        <f t="shared" si="466"/>
        <v>0.28878799999999999</v>
      </c>
      <c r="L1421" s="1395"/>
      <c r="Q1421" s="1394">
        <f>IFERROR(VLOOKUP(M1421,#REF!,3,0),0)</f>
        <v>0</v>
      </c>
      <c r="R1421" s="1394">
        <f t="shared" si="462"/>
        <v>0</v>
      </c>
      <c r="S1421" s="1394">
        <f>IFERROR(VLOOKUP(M1421,#REF!,6,0),0)</f>
        <v>0</v>
      </c>
      <c r="T1421" s="1394">
        <f t="shared" si="463"/>
        <v>0</v>
      </c>
      <c r="U1421" s="1394">
        <f>IFERROR(VLOOKUP(M1421,#REF!,5,0),0)</f>
        <v>0</v>
      </c>
      <c r="V1421" s="1394">
        <f t="shared" si="464"/>
        <v>0</v>
      </c>
      <c r="W1421" s="1394"/>
    </row>
    <row r="1422" spans="1:23" ht="30" customHeight="1">
      <c r="B1422" s="1407"/>
      <c r="C1422" s="1412" t="s">
        <v>5600</v>
      </c>
      <c r="D1422" s="103"/>
      <c r="E1422" s="103"/>
      <c r="F1422" s="1413"/>
      <c r="G1422" s="1413"/>
      <c r="H1422" s="1414"/>
      <c r="I1422" s="1425">
        <f t="shared" si="466"/>
        <v>0</v>
      </c>
      <c r="Q1422" s="1394">
        <f>IFERROR(VLOOKUP(M1422,#REF!,3,0),0)</f>
        <v>0</v>
      </c>
      <c r="R1422" s="1394">
        <f t="shared" si="462"/>
        <v>0</v>
      </c>
      <c r="S1422" s="1394">
        <f>IFERROR(VLOOKUP(M1422,#REF!,6,0),0)</f>
        <v>0</v>
      </c>
      <c r="T1422" s="1394">
        <f t="shared" si="463"/>
        <v>0</v>
      </c>
      <c r="U1422" s="1394">
        <f>IFERROR(VLOOKUP(M1422,#REF!,5,0),0)</f>
        <v>0</v>
      </c>
      <c r="V1422" s="1394">
        <f t="shared" si="464"/>
        <v>0</v>
      </c>
      <c r="W1422" s="1394"/>
    </row>
    <row r="1423" spans="1:23" ht="30" customHeight="1">
      <c r="B1423" s="1407"/>
      <c r="C1423" s="1455" t="s">
        <v>5601</v>
      </c>
      <c r="D1423" s="103">
        <v>1</v>
      </c>
      <c r="E1423" s="103">
        <v>1</v>
      </c>
      <c r="F1423" s="1413">
        <v>2.73</v>
      </c>
      <c r="G1423" s="1413">
        <v>0.23</v>
      </c>
      <c r="H1423" s="1414">
        <f>H1421</f>
        <v>2.92</v>
      </c>
      <c r="I1423" s="1425">
        <f t="shared" si="466"/>
        <v>1.8334680000000001</v>
      </c>
      <c r="Q1423" s="1394">
        <f>IFERROR(VLOOKUP(M1423,#REF!,3,0),0)</f>
        <v>0</v>
      </c>
      <c r="R1423" s="1394">
        <f t="shared" si="462"/>
        <v>0</v>
      </c>
      <c r="S1423" s="1394">
        <f>IFERROR(VLOOKUP(M1423,#REF!,6,0),0)</f>
        <v>0</v>
      </c>
      <c r="T1423" s="1394">
        <f t="shared" si="463"/>
        <v>0</v>
      </c>
      <c r="U1423" s="1394">
        <f>IFERROR(VLOOKUP(M1423,#REF!,5,0),0)</f>
        <v>0</v>
      </c>
      <c r="V1423" s="1394">
        <f t="shared" si="464"/>
        <v>0</v>
      </c>
      <c r="W1423" s="1394"/>
    </row>
    <row r="1424" spans="1:23" ht="30" customHeight="1">
      <c r="A1424" s="110" t="s">
        <v>5626</v>
      </c>
      <c r="B1424" s="1407"/>
      <c r="C1424" s="1455" t="s">
        <v>5634</v>
      </c>
      <c r="D1424" s="103">
        <v>1</v>
      </c>
      <c r="E1424" s="103">
        <v>1</v>
      </c>
      <c r="F1424" s="1413">
        <v>5.8449999999999998</v>
      </c>
      <c r="G1424" s="1413">
        <v>0.23</v>
      </c>
      <c r="H1424" s="1414">
        <f>H1423</f>
        <v>2.92</v>
      </c>
      <c r="I1424" s="1425">
        <f t="shared" si="466"/>
        <v>3.9255019999999998</v>
      </c>
      <c r="Q1424" s="1394">
        <f>IFERROR(VLOOKUP(M1424,#REF!,3,0),0)</f>
        <v>0</v>
      </c>
      <c r="R1424" s="1394">
        <f t="shared" si="462"/>
        <v>0</v>
      </c>
      <c r="S1424" s="1394">
        <f>IFERROR(VLOOKUP(M1424,#REF!,6,0),0)</f>
        <v>0</v>
      </c>
      <c r="T1424" s="1394">
        <f t="shared" si="463"/>
        <v>0</v>
      </c>
      <c r="U1424" s="1394">
        <f>IFERROR(VLOOKUP(M1424,#REF!,5,0),0)</f>
        <v>0</v>
      </c>
      <c r="V1424" s="1394">
        <f t="shared" si="464"/>
        <v>0</v>
      </c>
      <c r="W1424" s="1394"/>
    </row>
    <row r="1425" spans="2:23" ht="30" customHeight="1">
      <c r="B1425" s="1407"/>
      <c r="C1425" s="1455" t="s">
        <v>5620</v>
      </c>
      <c r="D1425" s="103">
        <v>-1</v>
      </c>
      <c r="E1425" s="103">
        <v>1</v>
      </c>
      <c r="F1425" s="1413">
        <v>1.5</v>
      </c>
      <c r="G1425" s="1413">
        <v>0.23</v>
      </c>
      <c r="H1425" s="1414">
        <v>2.1</v>
      </c>
      <c r="I1425" s="1425">
        <f t="shared" si="466"/>
        <v>-0.72450000000000014</v>
      </c>
      <c r="Q1425" s="1394">
        <f>IFERROR(VLOOKUP(M1425,#REF!,3,0),0)</f>
        <v>0</v>
      </c>
      <c r="R1425" s="1394">
        <f t="shared" si="462"/>
        <v>0</v>
      </c>
      <c r="S1425" s="1394">
        <f>IFERROR(VLOOKUP(M1425,#REF!,6,0),0)</f>
        <v>0</v>
      </c>
      <c r="T1425" s="1394">
        <f t="shared" si="463"/>
        <v>0</v>
      </c>
      <c r="U1425" s="1394">
        <f>IFERROR(VLOOKUP(M1425,#REF!,5,0),0)</f>
        <v>0</v>
      </c>
      <c r="V1425" s="1394">
        <f t="shared" si="464"/>
        <v>0</v>
      </c>
      <c r="W1425" s="1394"/>
    </row>
    <row r="1426" spans="2:23" ht="30" customHeight="1">
      <c r="B1426" s="1407"/>
      <c r="C1426" s="1412" t="s">
        <v>5603</v>
      </c>
      <c r="D1426" s="103"/>
      <c r="E1426" s="103"/>
      <c r="F1426" s="1413"/>
      <c r="G1426" s="1413"/>
      <c r="H1426" s="1414"/>
      <c r="I1426" s="1425">
        <f t="shared" si="466"/>
        <v>0</v>
      </c>
      <c r="M1426" s="110"/>
      <c r="Q1426" s="1394">
        <f>IFERROR(VLOOKUP(M1426,#REF!,3,0),0)</f>
        <v>0</v>
      </c>
      <c r="R1426" s="1394">
        <f t="shared" si="462"/>
        <v>0</v>
      </c>
      <c r="S1426" s="1394">
        <f>IFERROR(VLOOKUP(M1426,#REF!,6,0),0)</f>
        <v>0</v>
      </c>
      <c r="T1426" s="1394">
        <f t="shared" si="463"/>
        <v>0</v>
      </c>
      <c r="U1426" s="1394">
        <f>IFERROR(VLOOKUP(M1426,#REF!,5,0),0)</f>
        <v>0</v>
      </c>
      <c r="V1426" s="1394">
        <f t="shared" si="464"/>
        <v>0</v>
      </c>
      <c r="W1426" s="1394"/>
    </row>
    <row r="1427" spans="2:23" ht="30" customHeight="1">
      <c r="B1427" s="1407"/>
      <c r="C1427" s="1455" t="s">
        <v>5604</v>
      </c>
      <c r="D1427" s="103">
        <v>1</v>
      </c>
      <c r="E1427" s="103">
        <v>1</v>
      </c>
      <c r="F1427" s="1413">
        <v>2.96</v>
      </c>
      <c r="G1427" s="1413">
        <v>0.23</v>
      </c>
      <c r="H1427" s="1414">
        <f>H1424</f>
        <v>2.92</v>
      </c>
      <c r="I1427" s="1425">
        <f t="shared" si="466"/>
        <v>1.9879360000000001</v>
      </c>
      <c r="M1427" s="110"/>
      <c r="Q1427" s="1394">
        <f>IFERROR(VLOOKUP(M1427,#REF!,3,0),0)</f>
        <v>0</v>
      </c>
      <c r="R1427" s="1394">
        <f t="shared" si="462"/>
        <v>0</v>
      </c>
      <c r="S1427" s="1394">
        <f>IFERROR(VLOOKUP(M1427,#REF!,6,0),0)</f>
        <v>0</v>
      </c>
      <c r="T1427" s="1394">
        <f t="shared" si="463"/>
        <v>0</v>
      </c>
      <c r="U1427" s="1394">
        <f>IFERROR(VLOOKUP(M1427,#REF!,5,0),0)</f>
        <v>0</v>
      </c>
      <c r="V1427" s="1394">
        <f t="shared" si="464"/>
        <v>0</v>
      </c>
      <c r="W1427" s="1394"/>
    </row>
    <row r="1428" spans="2:23" ht="30" customHeight="1">
      <c r="B1428" s="1407"/>
      <c r="C1428" s="1455" t="s">
        <v>5605</v>
      </c>
      <c r="D1428" s="103">
        <v>1</v>
      </c>
      <c r="E1428" s="103">
        <v>1</v>
      </c>
      <c r="F1428" s="1413">
        <v>5.8449999999999998</v>
      </c>
      <c r="G1428" s="1413">
        <v>0.23</v>
      </c>
      <c r="H1428" s="1414">
        <f>H1427</f>
        <v>2.92</v>
      </c>
      <c r="I1428" s="1425">
        <f t="shared" si="466"/>
        <v>3.9255019999999998</v>
      </c>
      <c r="M1428" s="110"/>
      <c r="Q1428" s="1394">
        <f>IFERROR(VLOOKUP(M1428,#REF!,3,0),0)</f>
        <v>0</v>
      </c>
      <c r="R1428" s="1394">
        <f t="shared" si="462"/>
        <v>0</v>
      </c>
      <c r="S1428" s="1394">
        <f>IFERROR(VLOOKUP(M1428,#REF!,6,0),0)</f>
        <v>0</v>
      </c>
      <c r="T1428" s="1394">
        <f t="shared" si="463"/>
        <v>0</v>
      </c>
      <c r="U1428" s="1394">
        <f>IFERROR(VLOOKUP(M1428,#REF!,5,0),0)</f>
        <v>0</v>
      </c>
      <c r="V1428" s="1394">
        <f t="shared" si="464"/>
        <v>0</v>
      </c>
      <c r="W1428" s="1394"/>
    </row>
    <row r="1429" spans="2:23" ht="30" customHeight="1">
      <c r="B1429" s="1407"/>
      <c r="C1429" s="1455" t="s">
        <v>5620</v>
      </c>
      <c r="D1429" s="103">
        <v>-1</v>
      </c>
      <c r="E1429" s="103">
        <v>1</v>
      </c>
      <c r="F1429" s="1413">
        <v>1.5</v>
      </c>
      <c r="G1429" s="1413">
        <v>0.23</v>
      </c>
      <c r="H1429" s="1414">
        <v>2.1</v>
      </c>
      <c r="I1429" s="1425">
        <f t="shared" si="466"/>
        <v>-0.72450000000000014</v>
      </c>
      <c r="M1429" s="110"/>
      <c r="Q1429" s="1394">
        <f>IFERROR(VLOOKUP(M1429,#REF!,3,0),0)</f>
        <v>0</v>
      </c>
      <c r="R1429" s="1394">
        <f t="shared" si="462"/>
        <v>0</v>
      </c>
      <c r="S1429" s="1394">
        <f>IFERROR(VLOOKUP(M1429,#REF!,6,0),0)</f>
        <v>0</v>
      </c>
      <c r="T1429" s="1394">
        <f t="shared" si="463"/>
        <v>0</v>
      </c>
      <c r="U1429" s="1394">
        <f>IFERROR(VLOOKUP(M1429,#REF!,5,0),0)</f>
        <v>0</v>
      </c>
      <c r="V1429" s="1394">
        <f t="shared" si="464"/>
        <v>0</v>
      </c>
      <c r="W1429" s="1394"/>
    </row>
    <row r="1430" spans="2:23" ht="30" customHeight="1">
      <c r="B1430" s="1407"/>
      <c r="C1430" s="1412" t="s">
        <v>5635</v>
      </c>
      <c r="D1430" s="103"/>
      <c r="E1430" s="103"/>
      <c r="F1430" s="1413"/>
      <c r="G1430" s="1413"/>
      <c r="H1430" s="1414"/>
      <c r="I1430" s="1425">
        <f t="shared" si="466"/>
        <v>0</v>
      </c>
      <c r="M1430" s="110"/>
      <c r="Q1430" s="1394">
        <f>IFERROR(VLOOKUP(M1430,#REF!,3,0),0)</f>
        <v>0</v>
      </c>
      <c r="R1430" s="1394">
        <f t="shared" si="462"/>
        <v>0</v>
      </c>
      <c r="S1430" s="1394">
        <f>IFERROR(VLOOKUP(M1430,#REF!,6,0),0)</f>
        <v>0</v>
      </c>
      <c r="T1430" s="1394">
        <f t="shared" si="463"/>
        <v>0</v>
      </c>
      <c r="U1430" s="1394">
        <f>IFERROR(VLOOKUP(M1430,#REF!,5,0),0)</f>
        <v>0</v>
      </c>
      <c r="V1430" s="1394">
        <f t="shared" si="464"/>
        <v>0</v>
      </c>
      <c r="W1430" s="1394"/>
    </row>
    <row r="1431" spans="2:23" ht="30" customHeight="1">
      <c r="B1431" s="1407"/>
      <c r="C1431" s="1455" t="s">
        <v>5637</v>
      </c>
      <c r="D1431" s="103">
        <v>1</v>
      </c>
      <c r="E1431" s="103">
        <v>1</v>
      </c>
      <c r="F1431" s="1413">
        <v>1.6850000000000001</v>
      </c>
      <c r="G1431" s="1413">
        <v>0.23</v>
      </c>
      <c r="H1431" s="1414">
        <f>H1428</f>
        <v>2.92</v>
      </c>
      <c r="I1431" s="1425">
        <f t="shared" si="466"/>
        <v>1.1316459999999999</v>
      </c>
      <c r="M1431" s="110"/>
      <c r="Q1431" s="1394">
        <f>IFERROR(VLOOKUP(M1431,#REF!,3,0),0)</f>
        <v>0</v>
      </c>
      <c r="R1431" s="1394">
        <f t="shared" si="462"/>
        <v>0</v>
      </c>
      <c r="S1431" s="1394">
        <f>IFERROR(VLOOKUP(M1431,#REF!,6,0),0)</f>
        <v>0</v>
      </c>
      <c r="T1431" s="1394">
        <f t="shared" si="463"/>
        <v>0</v>
      </c>
      <c r="U1431" s="1394">
        <f>IFERROR(VLOOKUP(M1431,#REF!,5,0),0)</f>
        <v>0</v>
      </c>
      <c r="V1431" s="1394">
        <f t="shared" si="464"/>
        <v>0</v>
      </c>
      <c r="W1431" s="1394"/>
    </row>
    <row r="1432" spans="2:23" ht="30" customHeight="1">
      <c r="B1432" s="1407"/>
      <c r="C1432" s="1455" t="s">
        <v>5636</v>
      </c>
      <c r="D1432" s="103">
        <v>1</v>
      </c>
      <c r="E1432" s="103">
        <v>1</v>
      </c>
      <c r="F1432" s="1413">
        <v>1.2</v>
      </c>
      <c r="G1432" s="1413">
        <v>0.23</v>
      </c>
      <c r="H1432" s="1414">
        <f>H1431</f>
        <v>2.92</v>
      </c>
      <c r="I1432" s="1425">
        <f t="shared" si="466"/>
        <v>0.80592000000000008</v>
      </c>
      <c r="M1432" s="110"/>
      <c r="Q1432" s="1394">
        <f>IFERROR(VLOOKUP(M1432,#REF!,3,0),0)</f>
        <v>0</v>
      </c>
      <c r="R1432" s="1394">
        <f t="shared" si="462"/>
        <v>0</v>
      </c>
      <c r="S1432" s="1394">
        <f>IFERROR(VLOOKUP(M1432,#REF!,6,0),0)</f>
        <v>0</v>
      </c>
      <c r="T1432" s="1394">
        <f t="shared" si="463"/>
        <v>0</v>
      </c>
      <c r="U1432" s="1394">
        <f>IFERROR(VLOOKUP(M1432,#REF!,5,0),0)</f>
        <v>0</v>
      </c>
      <c r="V1432" s="1394">
        <f t="shared" si="464"/>
        <v>0</v>
      </c>
      <c r="W1432" s="1394"/>
    </row>
    <row r="1433" spans="2:23" ht="30" customHeight="1">
      <c r="B1433" s="1407"/>
      <c r="C1433" s="1412" t="s">
        <v>5591</v>
      </c>
      <c r="D1433" s="103"/>
      <c r="E1433" s="103"/>
      <c r="F1433" s="1413"/>
      <c r="G1433" s="1413"/>
      <c r="H1433" s="1414"/>
      <c r="I1433" s="1425">
        <f t="shared" si="466"/>
        <v>0</v>
      </c>
      <c r="M1433" s="110"/>
      <c r="Q1433" s="1394">
        <f>IFERROR(VLOOKUP(M1433,#REF!,3,0),0)</f>
        <v>0</v>
      </c>
      <c r="R1433" s="1394">
        <f t="shared" si="462"/>
        <v>0</v>
      </c>
      <c r="S1433" s="1394">
        <f>IFERROR(VLOOKUP(M1433,#REF!,6,0),0)</f>
        <v>0</v>
      </c>
      <c r="T1433" s="1394">
        <f t="shared" si="463"/>
        <v>0</v>
      </c>
      <c r="U1433" s="1394">
        <f>IFERROR(VLOOKUP(M1433,#REF!,5,0),0)</f>
        <v>0</v>
      </c>
      <c r="V1433" s="1394">
        <f t="shared" si="464"/>
        <v>0</v>
      </c>
      <c r="W1433" s="1394"/>
    </row>
    <row r="1434" spans="2:23" ht="30" customHeight="1">
      <c r="B1434" s="1407"/>
      <c r="C1434" s="1455" t="s">
        <v>5638</v>
      </c>
      <c r="D1434" s="103">
        <v>1</v>
      </c>
      <c r="E1434" s="103">
        <v>1</v>
      </c>
      <c r="F1434" s="1413">
        <v>6.6550000000000002</v>
      </c>
      <c r="G1434" s="1413">
        <v>0.23</v>
      </c>
      <c r="H1434" s="1414">
        <f>H1431</f>
        <v>2.92</v>
      </c>
      <c r="I1434" s="1425">
        <f t="shared" si="466"/>
        <v>4.4694979999999997</v>
      </c>
      <c r="M1434" s="110"/>
      <c r="Q1434" s="1394">
        <f>IFERROR(VLOOKUP(M1434,#REF!,3,0),0)</f>
        <v>0</v>
      </c>
      <c r="R1434" s="1394">
        <f t="shared" si="462"/>
        <v>0</v>
      </c>
      <c r="S1434" s="1394">
        <f>IFERROR(VLOOKUP(M1434,#REF!,6,0),0)</f>
        <v>0</v>
      </c>
      <c r="T1434" s="1394">
        <f t="shared" si="463"/>
        <v>0</v>
      </c>
      <c r="U1434" s="1394">
        <f>IFERROR(VLOOKUP(M1434,#REF!,5,0),0)</f>
        <v>0</v>
      </c>
      <c r="V1434" s="1394">
        <f t="shared" si="464"/>
        <v>0</v>
      </c>
      <c r="W1434" s="1394"/>
    </row>
    <row r="1435" spans="2:23" ht="30" customHeight="1">
      <c r="B1435" s="1407"/>
      <c r="C1435" s="1455" t="s">
        <v>5639</v>
      </c>
      <c r="D1435" s="103">
        <v>1</v>
      </c>
      <c r="E1435" s="103">
        <v>1</v>
      </c>
      <c r="F1435" s="1413">
        <v>4.13</v>
      </c>
      <c r="G1435" s="1413">
        <v>0.23</v>
      </c>
      <c r="H1435" s="1414">
        <f>H1434</f>
        <v>2.92</v>
      </c>
      <c r="I1435" s="1425">
        <f t="shared" si="466"/>
        <v>2.7737079999999996</v>
      </c>
      <c r="M1435" s="110"/>
      <c r="Q1435" s="1394">
        <f>IFERROR(VLOOKUP(M1435,#REF!,3,0),0)</f>
        <v>0</v>
      </c>
      <c r="R1435" s="1394">
        <f t="shared" si="462"/>
        <v>0</v>
      </c>
      <c r="S1435" s="1394">
        <f>IFERROR(VLOOKUP(M1435,#REF!,6,0),0)</f>
        <v>0</v>
      </c>
      <c r="T1435" s="1394">
        <f t="shared" si="463"/>
        <v>0</v>
      </c>
      <c r="U1435" s="1394">
        <f>IFERROR(VLOOKUP(M1435,#REF!,5,0),0)</f>
        <v>0</v>
      </c>
      <c r="V1435" s="1394">
        <f t="shared" si="464"/>
        <v>0</v>
      </c>
      <c r="W1435" s="1394"/>
    </row>
    <row r="1436" spans="2:23" ht="30" customHeight="1">
      <c r="B1436" s="1407"/>
      <c r="C1436" s="1455" t="s">
        <v>5640</v>
      </c>
      <c r="D1436" s="103">
        <v>-1</v>
      </c>
      <c r="E1436" s="103">
        <v>1</v>
      </c>
      <c r="F1436" s="1413">
        <v>2.4359999999999999</v>
      </c>
      <c r="G1436" s="1413">
        <v>0.23</v>
      </c>
      <c r="H1436" s="1414">
        <f>H1435</f>
        <v>2.92</v>
      </c>
      <c r="I1436" s="1425">
        <f t="shared" ref="I1436" si="468">PRODUCT(D1436:H1436)</f>
        <v>-1.6360176</v>
      </c>
      <c r="M1436" s="110"/>
      <c r="Q1436" s="1394">
        <f>IFERROR(VLOOKUP(M1436,#REF!,3,0),0)</f>
        <v>0</v>
      </c>
      <c r="R1436" s="1394">
        <f t="shared" si="462"/>
        <v>0</v>
      </c>
      <c r="S1436" s="1394">
        <f>IFERROR(VLOOKUP(M1436,#REF!,6,0),0)</f>
        <v>0</v>
      </c>
      <c r="T1436" s="1394">
        <f t="shared" si="463"/>
        <v>0</v>
      </c>
      <c r="U1436" s="1394">
        <f>IFERROR(VLOOKUP(M1436,#REF!,5,0),0)</f>
        <v>0</v>
      </c>
      <c r="V1436" s="1394">
        <f t="shared" si="464"/>
        <v>0</v>
      </c>
      <c r="W1436" s="1394"/>
    </row>
    <row r="1437" spans="2:23" ht="30" customHeight="1">
      <c r="B1437" s="1407"/>
      <c r="C1437" s="1412" t="s">
        <v>5641</v>
      </c>
      <c r="D1437" s="103"/>
      <c r="E1437" s="103"/>
      <c r="F1437" s="1413"/>
      <c r="G1437" s="1413"/>
      <c r="H1437" s="1414"/>
      <c r="I1437" s="1425">
        <f t="shared" ref="I1437:I1440" si="469">PRODUCT(D1437:H1437)</f>
        <v>0</v>
      </c>
      <c r="M1437" s="110"/>
      <c r="Q1437" s="1394">
        <f>IFERROR(VLOOKUP(M1437,#REF!,3,0),0)</f>
        <v>0</v>
      </c>
      <c r="R1437" s="1394">
        <f t="shared" si="462"/>
        <v>0</v>
      </c>
      <c r="S1437" s="1394">
        <f>IFERROR(VLOOKUP(M1437,#REF!,6,0),0)</f>
        <v>0</v>
      </c>
      <c r="T1437" s="1394">
        <f t="shared" si="463"/>
        <v>0</v>
      </c>
      <c r="U1437" s="1394">
        <f>IFERROR(VLOOKUP(M1437,#REF!,5,0),0)</f>
        <v>0</v>
      </c>
      <c r="V1437" s="1394">
        <f t="shared" si="464"/>
        <v>0</v>
      </c>
      <c r="W1437" s="1394"/>
    </row>
    <row r="1438" spans="2:23" ht="30" customHeight="1">
      <c r="B1438" s="1407"/>
      <c r="C1438" s="1455" t="s">
        <v>5642</v>
      </c>
      <c r="D1438" s="103">
        <v>1</v>
      </c>
      <c r="E1438" s="103">
        <v>1</v>
      </c>
      <c r="F1438" s="1413">
        <v>3.88</v>
      </c>
      <c r="G1438" s="1413">
        <v>0.23</v>
      </c>
      <c r="H1438" s="1414">
        <f>H1436</f>
        <v>2.92</v>
      </c>
      <c r="I1438" s="1425">
        <f t="shared" si="469"/>
        <v>2.6058079999999997</v>
      </c>
      <c r="M1438" s="110"/>
      <c r="Q1438" s="1394">
        <f>IFERROR(VLOOKUP(M1438,#REF!,3,0),0)</f>
        <v>0</v>
      </c>
      <c r="R1438" s="1394">
        <f t="shared" si="462"/>
        <v>0</v>
      </c>
      <c r="S1438" s="1394">
        <f>IFERROR(VLOOKUP(M1438,#REF!,6,0),0)</f>
        <v>0</v>
      </c>
      <c r="T1438" s="1394">
        <f t="shared" si="463"/>
        <v>0</v>
      </c>
      <c r="U1438" s="1394">
        <f>IFERROR(VLOOKUP(M1438,#REF!,5,0),0)</f>
        <v>0</v>
      </c>
      <c r="V1438" s="1394">
        <f t="shared" si="464"/>
        <v>0</v>
      </c>
      <c r="W1438" s="1394"/>
    </row>
    <row r="1439" spans="2:23" ht="30" customHeight="1">
      <c r="B1439" s="1407"/>
      <c r="C1439" s="1455" t="s">
        <v>5621</v>
      </c>
      <c r="D1439" s="103">
        <v>-1</v>
      </c>
      <c r="E1439" s="103">
        <v>1</v>
      </c>
      <c r="F1439" s="1413">
        <v>1</v>
      </c>
      <c r="G1439" s="1413">
        <v>0.23</v>
      </c>
      <c r="H1439" s="1414">
        <f>H1438</f>
        <v>2.92</v>
      </c>
      <c r="I1439" s="1425">
        <f t="shared" si="469"/>
        <v>-0.67159999999999997</v>
      </c>
      <c r="M1439" s="110"/>
      <c r="Q1439" s="1394">
        <f>IFERROR(VLOOKUP(M1439,#REF!,3,0),0)</f>
        <v>0</v>
      </c>
      <c r="R1439" s="1394">
        <f t="shared" si="462"/>
        <v>0</v>
      </c>
      <c r="S1439" s="1394">
        <f>IFERROR(VLOOKUP(M1439,#REF!,6,0),0)</f>
        <v>0</v>
      </c>
      <c r="T1439" s="1394">
        <f t="shared" si="463"/>
        <v>0</v>
      </c>
      <c r="U1439" s="1394">
        <f>IFERROR(VLOOKUP(M1439,#REF!,5,0),0)</f>
        <v>0</v>
      </c>
      <c r="V1439" s="1394">
        <f t="shared" si="464"/>
        <v>0</v>
      </c>
      <c r="W1439" s="1394"/>
    </row>
    <row r="1440" spans="2:23" ht="30" customHeight="1">
      <c r="B1440" s="1407"/>
      <c r="C1440" s="1455" t="s">
        <v>5622</v>
      </c>
      <c r="D1440" s="103">
        <v>1</v>
      </c>
      <c r="E1440" s="103">
        <v>4</v>
      </c>
      <c r="F1440" s="1413">
        <v>0.6</v>
      </c>
      <c r="G1440" s="1413">
        <v>0.23</v>
      </c>
      <c r="H1440" s="1414">
        <f>H1439</f>
        <v>2.92</v>
      </c>
      <c r="I1440" s="1425">
        <f t="shared" si="469"/>
        <v>1.6118400000000002</v>
      </c>
      <c r="J1440" s="1397"/>
      <c r="K1440" s="1397"/>
      <c r="M1440" s="110"/>
      <c r="Q1440" s="1394">
        <f>IFERROR(VLOOKUP(M1440,#REF!,3,0),0)</f>
        <v>0</v>
      </c>
      <c r="R1440" s="1394">
        <f t="shared" si="462"/>
        <v>0</v>
      </c>
      <c r="S1440" s="1394">
        <f>IFERROR(VLOOKUP(M1440,#REF!,6,0),0)</f>
        <v>0</v>
      </c>
      <c r="T1440" s="1394">
        <f t="shared" si="463"/>
        <v>0</v>
      </c>
      <c r="U1440" s="1394">
        <f>IFERROR(VLOOKUP(M1440,#REF!,5,0),0)</f>
        <v>0</v>
      </c>
      <c r="V1440" s="1394">
        <f t="shared" si="464"/>
        <v>0</v>
      </c>
      <c r="W1440" s="1394"/>
    </row>
    <row r="1441" spans="2:23" ht="30" customHeight="1">
      <c r="B1441" s="1407"/>
      <c r="C1441" s="1412" t="s">
        <v>5589</v>
      </c>
      <c r="D1441" s="103"/>
      <c r="E1441" s="103"/>
      <c r="F1441" s="1413"/>
      <c r="G1441" s="1413"/>
      <c r="H1441" s="1414"/>
      <c r="I1441" s="1425"/>
      <c r="K1441" s="1397"/>
      <c r="M1441" s="110"/>
      <c r="Q1441" s="1394">
        <f>IFERROR(VLOOKUP(M1441,#REF!,3,0),0)</f>
        <v>0</v>
      </c>
      <c r="R1441" s="1394">
        <f t="shared" si="462"/>
        <v>0</v>
      </c>
      <c r="S1441" s="1394">
        <f>IFERROR(VLOOKUP(M1441,#REF!,6,0),0)</f>
        <v>0</v>
      </c>
      <c r="T1441" s="1394">
        <f t="shared" si="463"/>
        <v>0</v>
      </c>
      <c r="U1441" s="1394">
        <f>IFERROR(VLOOKUP(M1441,#REF!,5,0),0)</f>
        <v>0</v>
      </c>
      <c r="V1441" s="1394">
        <f t="shared" si="464"/>
        <v>0</v>
      </c>
      <c r="W1441" s="1394"/>
    </row>
    <row r="1442" spans="2:23" ht="30" customHeight="1">
      <c r="B1442" s="1407"/>
      <c r="C1442" s="1455" t="s">
        <v>5507</v>
      </c>
      <c r="D1442" s="103">
        <v>-1</v>
      </c>
      <c r="E1442" s="103">
        <f>VLOOKUP(C1442,Sheet1!$I$7:$P$39,6,0)</f>
        <v>1</v>
      </c>
      <c r="F1442" s="1413">
        <f>VLOOKUP(C1442,Sheet1!$I$7:$P$39,2,0)</f>
        <v>1.8</v>
      </c>
      <c r="G1442" s="1413">
        <v>0.23</v>
      </c>
      <c r="H1442" s="1414">
        <f>VLOOKUP(C1442,Sheet1!$I$7:$P$39,3,0)</f>
        <v>2.1</v>
      </c>
      <c r="I1442" s="1425">
        <f t="shared" ref="I1442:I1460" si="470">PRODUCT(D1442:H1442)</f>
        <v>-0.86940000000000006</v>
      </c>
      <c r="K1442" s="1397"/>
      <c r="Q1442" s="1394">
        <f>IFERROR(VLOOKUP(M1442,#REF!,3,0),0)</f>
        <v>0</v>
      </c>
      <c r="R1442" s="1394">
        <f t="shared" si="462"/>
        <v>0</v>
      </c>
      <c r="S1442" s="1394">
        <f>IFERROR(VLOOKUP(M1442,#REF!,6,0),0)</f>
        <v>0</v>
      </c>
      <c r="T1442" s="1394">
        <f t="shared" si="463"/>
        <v>0</v>
      </c>
      <c r="U1442" s="1394">
        <f>IFERROR(VLOOKUP(M1442,#REF!,5,0),0)</f>
        <v>0</v>
      </c>
      <c r="V1442" s="1394">
        <f t="shared" si="464"/>
        <v>0</v>
      </c>
      <c r="W1442" s="1394"/>
    </row>
    <row r="1443" spans="2:23" ht="30" customHeight="1">
      <c r="B1443" s="1407"/>
      <c r="C1443" s="1455" t="s">
        <v>25</v>
      </c>
      <c r="D1443" s="103">
        <v>-1</v>
      </c>
      <c r="E1443" s="103">
        <f>VLOOKUP(C1443,Sheet1!$I$7:$P$39,6,0)</f>
        <v>6</v>
      </c>
      <c r="F1443" s="1413">
        <f>VLOOKUP(C1443,Sheet1!$I$7:$P$39,2,0)</f>
        <v>1</v>
      </c>
      <c r="G1443" s="1413">
        <v>0.23</v>
      </c>
      <c r="H1443" s="1414">
        <f>VLOOKUP(C1443,Sheet1!$I$7:$P$39,3,0)</f>
        <v>2.1</v>
      </c>
      <c r="I1443" s="1425">
        <f t="shared" si="470"/>
        <v>-2.8980000000000006</v>
      </c>
      <c r="K1443" s="1397"/>
      <c r="Q1443" s="1394">
        <f>IFERROR(VLOOKUP(M1443,#REF!,3,0),0)</f>
        <v>0</v>
      </c>
      <c r="R1443" s="1394">
        <f t="shared" si="462"/>
        <v>0</v>
      </c>
      <c r="S1443" s="1394">
        <f>IFERROR(VLOOKUP(M1443,#REF!,6,0),0)</f>
        <v>0</v>
      </c>
      <c r="T1443" s="1394">
        <f t="shared" si="463"/>
        <v>0</v>
      </c>
      <c r="U1443" s="1394">
        <f>IFERROR(VLOOKUP(M1443,#REF!,5,0),0)</f>
        <v>0</v>
      </c>
      <c r="V1443" s="1394">
        <f t="shared" si="464"/>
        <v>0</v>
      </c>
      <c r="W1443" s="1394"/>
    </row>
    <row r="1444" spans="2:23" ht="30" customHeight="1">
      <c r="B1444" s="1407"/>
      <c r="C1444" s="1455" t="s">
        <v>193</v>
      </c>
      <c r="D1444" s="103">
        <v>-1</v>
      </c>
      <c r="E1444" s="103">
        <f>VLOOKUP(C1444,Sheet1!$I$7:$P$39,6,0)</f>
        <v>2</v>
      </c>
      <c r="F1444" s="1413">
        <f>VLOOKUP(C1444,Sheet1!$I$7:$P$39,2,0)</f>
        <v>0.9</v>
      </c>
      <c r="G1444" s="1413">
        <v>0.23</v>
      </c>
      <c r="H1444" s="1414">
        <f>VLOOKUP(C1444,Sheet1!$I$7:$P$39,3,0)</f>
        <v>2.1</v>
      </c>
      <c r="I1444" s="1425">
        <f t="shared" si="470"/>
        <v>-0.86940000000000006</v>
      </c>
      <c r="K1444" s="1397"/>
      <c r="Q1444" s="1394">
        <f>IFERROR(VLOOKUP(M1444,#REF!,3,0),0)</f>
        <v>0</v>
      </c>
      <c r="R1444" s="1394">
        <f t="shared" si="462"/>
        <v>0</v>
      </c>
      <c r="S1444" s="1394">
        <f>IFERROR(VLOOKUP(M1444,#REF!,6,0),0)</f>
        <v>0</v>
      </c>
      <c r="T1444" s="1394">
        <f t="shared" si="463"/>
        <v>0</v>
      </c>
      <c r="U1444" s="1394">
        <f>IFERROR(VLOOKUP(M1444,#REF!,5,0),0)</f>
        <v>0</v>
      </c>
      <c r="V1444" s="1394">
        <f t="shared" si="464"/>
        <v>0</v>
      </c>
      <c r="W1444" s="1394"/>
    </row>
    <row r="1445" spans="2:23" ht="30" customHeight="1">
      <c r="B1445" s="1407"/>
      <c r="C1445" s="1412" t="s">
        <v>195</v>
      </c>
      <c r="D1445" s="103">
        <v>-1</v>
      </c>
      <c r="E1445" s="103">
        <f>VLOOKUP(C1445,Sheet1!$I$7:$P$39,6,0)</f>
        <v>2</v>
      </c>
      <c r="F1445" s="1413">
        <f>VLOOKUP(C1445,Sheet1!$I$7:$P$39,2,0)</f>
        <v>0.75</v>
      </c>
      <c r="G1445" s="1413">
        <v>0.23</v>
      </c>
      <c r="H1445" s="1414">
        <f>VLOOKUP(C1445,Sheet1!$I$7:$P$39,3,0)</f>
        <v>1.35</v>
      </c>
      <c r="I1445" s="1425">
        <f t="shared" si="470"/>
        <v>-0.46575000000000005</v>
      </c>
      <c r="K1445" s="1397"/>
      <c r="Q1445" s="1394">
        <f>IFERROR(VLOOKUP(M1445,#REF!,3,0),0)</f>
        <v>0</v>
      </c>
      <c r="R1445" s="1394">
        <f t="shared" si="462"/>
        <v>0</v>
      </c>
      <c r="S1445" s="1394">
        <f>IFERROR(VLOOKUP(M1445,#REF!,6,0),0)</f>
        <v>0</v>
      </c>
      <c r="T1445" s="1394">
        <f t="shared" si="463"/>
        <v>0</v>
      </c>
      <c r="U1445" s="1394">
        <f>IFERROR(VLOOKUP(M1445,#REF!,5,0),0)</f>
        <v>0</v>
      </c>
      <c r="V1445" s="1394">
        <f t="shared" si="464"/>
        <v>0</v>
      </c>
      <c r="W1445" s="1394"/>
    </row>
    <row r="1446" spans="2:23" ht="30" customHeight="1">
      <c r="B1446" s="1407"/>
      <c r="C1446" s="1455" t="s">
        <v>256</v>
      </c>
      <c r="D1446" s="103">
        <v>-1</v>
      </c>
      <c r="E1446" s="103">
        <f>VLOOKUP(C1446,Sheet1!$I$7:$P$39,6,0)</f>
        <v>1</v>
      </c>
      <c r="F1446" s="1413">
        <f>VLOOKUP(C1446,Sheet1!$I$7:$P$39,2,0)</f>
        <v>1.2</v>
      </c>
      <c r="G1446" s="1413">
        <v>0.23</v>
      </c>
      <c r="H1446" s="1414">
        <f>VLOOKUP(C1446,Sheet1!$I$7:$P$39,3,0)</f>
        <v>2.1</v>
      </c>
      <c r="I1446" s="1425">
        <f t="shared" si="470"/>
        <v>-0.57960000000000012</v>
      </c>
      <c r="K1446" s="1397"/>
      <c r="Q1446" s="1394">
        <f>IFERROR(VLOOKUP(M1446,#REF!,3,0),0)</f>
        <v>0</v>
      </c>
      <c r="R1446" s="1394">
        <f t="shared" si="462"/>
        <v>0</v>
      </c>
      <c r="S1446" s="1394">
        <f>IFERROR(VLOOKUP(M1446,#REF!,6,0),0)</f>
        <v>0</v>
      </c>
      <c r="T1446" s="1394">
        <f t="shared" si="463"/>
        <v>0</v>
      </c>
      <c r="U1446" s="1394">
        <f>IFERROR(VLOOKUP(M1446,#REF!,5,0),0)</f>
        <v>0</v>
      </c>
      <c r="V1446" s="1394">
        <f t="shared" si="464"/>
        <v>0</v>
      </c>
      <c r="W1446" s="1394"/>
    </row>
    <row r="1447" spans="2:23" ht="30" customHeight="1">
      <c r="B1447" s="1407"/>
      <c r="C1447" s="1455" t="s">
        <v>5510</v>
      </c>
      <c r="D1447" s="103">
        <v>-1</v>
      </c>
      <c r="E1447" s="103">
        <f>VLOOKUP(C1447,Sheet1!$I$7:$P$39,6,0)</f>
        <v>1</v>
      </c>
      <c r="F1447" s="1413">
        <f>VLOOKUP(C1447,Sheet1!$I$7:$P$39,2,0)</f>
        <v>1</v>
      </c>
      <c r="G1447" s="1413">
        <v>0.23</v>
      </c>
      <c r="H1447" s="1414">
        <f>VLOOKUP(C1447,Sheet1!$I$7:$P$39,3,0)</f>
        <v>2.1</v>
      </c>
      <c r="I1447" s="1425">
        <f t="shared" si="470"/>
        <v>-0.48300000000000004</v>
      </c>
      <c r="K1447" s="1397"/>
      <c r="Q1447" s="1394">
        <f>IFERROR(VLOOKUP(M1447,#REF!,3,0),0)</f>
        <v>0</v>
      </c>
      <c r="R1447" s="1394">
        <f t="shared" si="462"/>
        <v>0</v>
      </c>
      <c r="S1447" s="1394">
        <f>IFERROR(VLOOKUP(M1447,#REF!,6,0),0)</f>
        <v>0</v>
      </c>
      <c r="T1447" s="1394">
        <f t="shared" si="463"/>
        <v>0</v>
      </c>
      <c r="U1447" s="1394">
        <f>IFERROR(VLOOKUP(M1447,#REF!,5,0),0)</f>
        <v>0</v>
      </c>
      <c r="V1447" s="1394">
        <f t="shared" si="464"/>
        <v>0</v>
      </c>
      <c r="W1447" s="1394"/>
    </row>
    <row r="1448" spans="2:23" ht="30" customHeight="1">
      <c r="B1448" s="1407"/>
      <c r="C1448" s="1455" t="s">
        <v>190</v>
      </c>
      <c r="D1448" s="103">
        <v>-1</v>
      </c>
      <c r="E1448" s="103">
        <f>VLOOKUP(C1448,Sheet1!$I$7:$P$39,6,0)</f>
        <v>2</v>
      </c>
      <c r="F1448" s="1413">
        <f>VLOOKUP(C1448,Sheet1!$I$7:$P$39,2,0)</f>
        <v>0.81299999999999994</v>
      </c>
      <c r="G1448" s="1413">
        <v>0.23</v>
      </c>
      <c r="H1448" s="1414">
        <f>VLOOKUP(C1448,Sheet1!$I$7:$P$39,3,0)</f>
        <v>1.8</v>
      </c>
      <c r="I1448" s="1425">
        <f t="shared" si="470"/>
        <v>-0.67316399999999998</v>
      </c>
      <c r="K1448" s="1397"/>
      <c r="Q1448" s="1394">
        <f>IFERROR(VLOOKUP(M1448,#REF!,3,0),0)</f>
        <v>0</v>
      </c>
      <c r="R1448" s="1394">
        <f t="shared" si="462"/>
        <v>0</v>
      </c>
      <c r="S1448" s="1394">
        <f>IFERROR(VLOOKUP(M1448,#REF!,6,0),0)</f>
        <v>0</v>
      </c>
      <c r="T1448" s="1394">
        <f t="shared" si="463"/>
        <v>0</v>
      </c>
      <c r="U1448" s="1394">
        <f>IFERROR(VLOOKUP(M1448,#REF!,5,0),0)</f>
        <v>0</v>
      </c>
      <c r="V1448" s="1394">
        <f t="shared" si="464"/>
        <v>0</v>
      </c>
      <c r="W1448" s="1394"/>
    </row>
    <row r="1449" spans="2:23" ht="30" customHeight="1">
      <c r="B1449" s="1407"/>
      <c r="C1449" s="1455" t="s">
        <v>5513</v>
      </c>
      <c r="D1449" s="103">
        <v>-1</v>
      </c>
      <c r="E1449" s="103">
        <f>VLOOKUP(C1449,Sheet1!$I$7:$P$39,6,0)</f>
        <v>1</v>
      </c>
      <c r="F1449" s="1413">
        <f>VLOOKUP(C1449,Sheet1!$I$7:$P$39,2,0)</f>
        <v>2</v>
      </c>
      <c r="G1449" s="1413">
        <v>0.23</v>
      </c>
      <c r="H1449" s="1414">
        <f>VLOOKUP(C1449,Sheet1!$I$7:$P$39,3,0)</f>
        <v>1.8</v>
      </c>
      <c r="I1449" s="1425">
        <f t="shared" si="470"/>
        <v>-0.82800000000000007</v>
      </c>
      <c r="K1449" s="1397"/>
      <c r="Q1449" s="1394">
        <f>IFERROR(VLOOKUP(M1449,#REF!,3,0),0)</f>
        <v>0</v>
      </c>
      <c r="R1449" s="1394">
        <f t="shared" si="462"/>
        <v>0</v>
      </c>
      <c r="S1449" s="1394">
        <f>IFERROR(VLOOKUP(M1449,#REF!,6,0),0)</f>
        <v>0</v>
      </c>
      <c r="T1449" s="1394">
        <f t="shared" si="463"/>
        <v>0</v>
      </c>
      <c r="U1449" s="1394">
        <f>IFERROR(VLOOKUP(M1449,#REF!,5,0),0)</f>
        <v>0</v>
      </c>
      <c r="V1449" s="1394">
        <f t="shared" si="464"/>
        <v>0</v>
      </c>
      <c r="W1449" s="1394"/>
    </row>
    <row r="1450" spans="2:23" ht="30" customHeight="1">
      <c r="B1450" s="1407"/>
      <c r="C1450" s="1455" t="s">
        <v>5514</v>
      </c>
      <c r="D1450" s="103">
        <v>-1</v>
      </c>
      <c r="E1450" s="103">
        <f>VLOOKUP(C1450,Sheet1!$I$7:$P$39,6,0)</f>
        <v>2</v>
      </c>
      <c r="F1450" s="1413">
        <f>VLOOKUP(C1450,Sheet1!$I$7:$P$39,2,0)</f>
        <v>1.2</v>
      </c>
      <c r="G1450" s="1413">
        <v>0.23</v>
      </c>
      <c r="H1450" s="1414">
        <f>VLOOKUP(C1450,Sheet1!$I$7:$P$39,3,0)</f>
        <v>1.8</v>
      </c>
      <c r="I1450" s="1425">
        <f t="shared" si="470"/>
        <v>-0.99360000000000015</v>
      </c>
      <c r="K1450" s="1397"/>
      <c r="Q1450" s="1394">
        <f>IFERROR(VLOOKUP(M1450,#REF!,3,0),0)</f>
        <v>0</v>
      </c>
      <c r="R1450" s="1394">
        <f t="shared" si="462"/>
        <v>0</v>
      </c>
      <c r="S1450" s="1394">
        <f>IFERROR(VLOOKUP(M1450,#REF!,6,0),0)</f>
        <v>0</v>
      </c>
      <c r="T1450" s="1394">
        <f t="shared" si="463"/>
        <v>0</v>
      </c>
      <c r="U1450" s="1394">
        <f>IFERROR(VLOOKUP(M1450,#REF!,5,0),0)</f>
        <v>0</v>
      </c>
      <c r="V1450" s="1394">
        <f t="shared" si="464"/>
        <v>0</v>
      </c>
      <c r="W1450" s="1394"/>
    </row>
    <row r="1451" spans="2:23" ht="30" customHeight="1">
      <c r="B1451" s="1407"/>
      <c r="C1451" s="1455" t="s">
        <v>252</v>
      </c>
      <c r="D1451" s="103">
        <v>-1</v>
      </c>
      <c r="E1451" s="103">
        <f>VLOOKUP(C1451,Sheet1!$I$7:$P$39,6,0)</f>
        <v>1</v>
      </c>
      <c r="F1451" s="1413">
        <f>VLOOKUP(C1451,Sheet1!$I$7:$P$39,2,0)</f>
        <v>1.8</v>
      </c>
      <c r="G1451" s="1413">
        <v>0.23</v>
      </c>
      <c r="H1451" s="1414">
        <f>VLOOKUP(C1451,Sheet1!$I$7:$P$39,3,0)</f>
        <v>1.35</v>
      </c>
      <c r="I1451" s="1425">
        <f t="shared" si="470"/>
        <v>-0.55890000000000006</v>
      </c>
      <c r="K1451" s="1397"/>
      <c r="M1451" s="110"/>
      <c r="Q1451" s="1394">
        <f>IFERROR(VLOOKUP(M1451,#REF!,3,0),0)</f>
        <v>0</v>
      </c>
      <c r="R1451" s="1394">
        <f t="shared" si="462"/>
        <v>0</v>
      </c>
      <c r="S1451" s="1394">
        <f>IFERROR(VLOOKUP(M1451,#REF!,6,0),0)</f>
        <v>0</v>
      </c>
      <c r="T1451" s="1394">
        <f t="shared" si="463"/>
        <v>0</v>
      </c>
      <c r="U1451" s="1394">
        <f>IFERROR(VLOOKUP(M1451,#REF!,5,0),0)</f>
        <v>0</v>
      </c>
      <c r="V1451" s="1394">
        <f t="shared" si="464"/>
        <v>0</v>
      </c>
      <c r="W1451" s="1394"/>
    </row>
    <row r="1452" spans="2:23" ht="30" customHeight="1">
      <c r="B1452" s="1407"/>
      <c r="C1452" s="1455" t="s">
        <v>248</v>
      </c>
      <c r="D1452" s="103">
        <v>-1</v>
      </c>
      <c r="E1452" s="103">
        <f>VLOOKUP(C1452,Sheet1!$I$7:$P$39,6,0)</f>
        <v>1</v>
      </c>
      <c r="F1452" s="1413">
        <f>VLOOKUP(C1452,Sheet1!$I$7:$P$39,2,0)</f>
        <v>1.8</v>
      </c>
      <c r="G1452" s="1413">
        <v>0.23</v>
      </c>
      <c r="H1452" s="1414">
        <f>VLOOKUP(C1452,Sheet1!$I$7:$P$39,3,0)</f>
        <v>1.35</v>
      </c>
      <c r="I1452" s="1425">
        <f t="shared" si="470"/>
        <v>-0.55890000000000006</v>
      </c>
      <c r="K1452" s="1397"/>
      <c r="M1452" s="110"/>
      <c r="Q1452" s="1394">
        <f>IFERROR(VLOOKUP(M1452,#REF!,3,0),0)</f>
        <v>0</v>
      </c>
      <c r="R1452" s="1394">
        <f t="shared" si="462"/>
        <v>0</v>
      </c>
      <c r="S1452" s="1394">
        <f>IFERROR(VLOOKUP(M1452,#REF!,6,0),0)</f>
        <v>0</v>
      </c>
      <c r="T1452" s="1394">
        <f t="shared" si="463"/>
        <v>0</v>
      </c>
      <c r="U1452" s="1394">
        <f>IFERROR(VLOOKUP(M1452,#REF!,5,0),0)</f>
        <v>0</v>
      </c>
      <c r="V1452" s="1394">
        <f t="shared" si="464"/>
        <v>0</v>
      </c>
      <c r="W1452" s="1394"/>
    </row>
    <row r="1453" spans="2:23" ht="30" customHeight="1">
      <c r="B1453" s="1407"/>
      <c r="C1453" s="1455" t="s">
        <v>250</v>
      </c>
      <c r="D1453" s="103">
        <v>-1</v>
      </c>
      <c r="E1453" s="103">
        <f>VLOOKUP(C1453,Sheet1!$I$7:$P$39,6,0)</f>
        <v>13</v>
      </c>
      <c r="F1453" s="1413">
        <f>VLOOKUP(C1453,Sheet1!$I$7:$P$39,2,0)</f>
        <v>1.2</v>
      </c>
      <c r="G1453" s="1413">
        <v>0.23</v>
      </c>
      <c r="H1453" s="1414">
        <f>VLOOKUP(C1453,Sheet1!$I$7:$P$39,3,0)</f>
        <v>1.35</v>
      </c>
      <c r="I1453" s="1425">
        <f t="shared" si="470"/>
        <v>-4.8438000000000008</v>
      </c>
      <c r="K1453" s="1397"/>
      <c r="M1453" s="110"/>
      <c r="Q1453" s="1394">
        <f>IFERROR(VLOOKUP(M1453,#REF!,3,0),0)</f>
        <v>0</v>
      </c>
      <c r="R1453" s="1394">
        <f t="shared" si="462"/>
        <v>0</v>
      </c>
      <c r="S1453" s="1394">
        <f>IFERROR(VLOOKUP(M1453,#REF!,6,0),0)</f>
        <v>0</v>
      </c>
      <c r="T1453" s="1394">
        <f t="shared" si="463"/>
        <v>0</v>
      </c>
      <c r="U1453" s="1394">
        <f>IFERROR(VLOOKUP(M1453,#REF!,5,0),0)</f>
        <v>0</v>
      </c>
      <c r="V1453" s="1394">
        <f t="shared" si="464"/>
        <v>0</v>
      </c>
      <c r="W1453" s="1394"/>
    </row>
    <row r="1454" spans="2:23" ht="30" customHeight="1">
      <c r="B1454" s="1407"/>
      <c r="C1454" s="1455" t="s">
        <v>251</v>
      </c>
      <c r="D1454" s="103">
        <v>-1</v>
      </c>
      <c r="E1454" s="103">
        <f>VLOOKUP(C1454,Sheet1!$I$7:$P$39,6,0)</f>
        <v>4</v>
      </c>
      <c r="F1454" s="1413">
        <f>VLOOKUP(C1454,Sheet1!$I$7:$P$39,2,0)</f>
        <v>1</v>
      </c>
      <c r="G1454" s="1413">
        <v>0.23</v>
      </c>
      <c r="H1454" s="1414">
        <f>VLOOKUP(C1454,Sheet1!$I$7:$P$39,3,0)</f>
        <v>1.35</v>
      </c>
      <c r="I1454" s="1425">
        <f t="shared" si="470"/>
        <v>-1.2420000000000002</v>
      </c>
      <c r="K1454" s="1397"/>
      <c r="M1454" s="110"/>
      <c r="Q1454" s="1394">
        <f>IFERROR(VLOOKUP(M1454,#REF!,3,0),0)</f>
        <v>0</v>
      </c>
      <c r="R1454" s="1394">
        <f t="shared" ref="R1454:R1517" si="471">ROUND(O1454,2)*ROUND(Q1454,2)</f>
        <v>0</v>
      </c>
      <c r="S1454" s="1394">
        <f>IFERROR(VLOOKUP(M1454,#REF!,6,0),0)</f>
        <v>0</v>
      </c>
      <c r="T1454" s="1394">
        <f t="shared" ref="T1454:T1517" si="472">R1454-S1454</f>
        <v>0</v>
      </c>
      <c r="U1454" s="1394">
        <f>IFERROR(VLOOKUP(M1454,#REF!,5,0),0)</f>
        <v>0</v>
      </c>
      <c r="V1454" s="1394">
        <f t="shared" ref="V1454:V1517" si="473">O1454-U1454</f>
        <v>0</v>
      </c>
      <c r="W1454" s="1394"/>
    </row>
    <row r="1455" spans="2:23" ht="30" customHeight="1">
      <c r="B1455" s="1407"/>
      <c r="C1455" s="1455" t="s">
        <v>5518</v>
      </c>
      <c r="D1455" s="103">
        <v>-1</v>
      </c>
      <c r="E1455" s="103">
        <f>VLOOKUP(C1455,Sheet1!$I$7:$P$39,6,0)</f>
        <v>2</v>
      </c>
      <c r="F1455" s="1413">
        <f>VLOOKUP(C1455,Sheet1!$I$7:$P$39,2,0)</f>
        <v>2.1</v>
      </c>
      <c r="G1455" s="1413">
        <v>0.23</v>
      </c>
      <c r="H1455" s="1414">
        <f>VLOOKUP(C1455,Sheet1!$I$7:$P$39,3,0)</f>
        <v>1.35</v>
      </c>
      <c r="I1455" s="1425">
        <f t="shared" si="470"/>
        <v>-1.3041000000000003</v>
      </c>
      <c r="K1455" s="1397"/>
      <c r="M1455" s="110"/>
      <c r="Q1455" s="1394">
        <f>IFERROR(VLOOKUP(M1455,#REF!,3,0),0)</f>
        <v>0</v>
      </c>
      <c r="R1455" s="1394">
        <f t="shared" si="471"/>
        <v>0</v>
      </c>
      <c r="S1455" s="1394">
        <f>IFERROR(VLOOKUP(M1455,#REF!,6,0),0)</f>
        <v>0</v>
      </c>
      <c r="T1455" s="1394">
        <f t="shared" si="472"/>
        <v>0</v>
      </c>
      <c r="U1455" s="1394">
        <f>IFERROR(VLOOKUP(M1455,#REF!,5,0),0)</f>
        <v>0</v>
      </c>
      <c r="V1455" s="1394">
        <f t="shared" si="473"/>
        <v>0</v>
      </c>
      <c r="W1455" s="1394"/>
    </row>
    <row r="1456" spans="2:23" ht="30" customHeight="1">
      <c r="B1456" s="1407"/>
      <c r="C1456" s="1455" t="s">
        <v>255</v>
      </c>
      <c r="D1456" s="103">
        <v>-1</v>
      </c>
      <c r="E1456" s="103">
        <f>VLOOKUP(C1456,Sheet1!$I$7:$P$39,6,0)</f>
        <v>2</v>
      </c>
      <c r="F1456" s="1413">
        <f>VLOOKUP(C1456,Sheet1!$I$7:$P$39,2,0)</f>
        <v>1.35</v>
      </c>
      <c r="G1456" s="1413">
        <v>0.23</v>
      </c>
      <c r="H1456" s="1414">
        <f>VLOOKUP(C1456,Sheet1!$I$7:$P$39,3,0)</f>
        <v>0.6</v>
      </c>
      <c r="I1456" s="1425">
        <f t="shared" si="470"/>
        <v>-0.37260000000000004</v>
      </c>
      <c r="K1456" s="1397"/>
      <c r="M1456" s="110"/>
      <c r="Q1456" s="1394">
        <f>IFERROR(VLOOKUP(M1456,#REF!,3,0),0)</f>
        <v>0</v>
      </c>
      <c r="R1456" s="1394">
        <f t="shared" si="471"/>
        <v>0</v>
      </c>
      <c r="S1456" s="1394">
        <f>IFERROR(VLOOKUP(M1456,#REF!,6,0),0)</f>
        <v>0</v>
      </c>
      <c r="T1456" s="1394">
        <f t="shared" si="472"/>
        <v>0</v>
      </c>
      <c r="U1456" s="1394">
        <f>IFERROR(VLOOKUP(M1456,#REF!,5,0),0)</f>
        <v>0</v>
      </c>
      <c r="V1456" s="1394">
        <f t="shared" si="473"/>
        <v>0</v>
      </c>
      <c r="W1456" s="1394"/>
    </row>
    <row r="1457" spans="1:23" ht="30" customHeight="1">
      <c r="B1457" s="1407"/>
      <c r="C1457" s="1455" t="s">
        <v>254</v>
      </c>
      <c r="D1457" s="103">
        <v>-1</v>
      </c>
      <c r="E1457" s="103">
        <f>VLOOKUP(C1457,Sheet1!$I$7:$P$39,6,0)</f>
        <v>1</v>
      </c>
      <c r="F1457" s="1413">
        <f>VLOOKUP(C1457,Sheet1!$I$7:$P$39,2,0)</f>
        <v>0.9</v>
      </c>
      <c r="G1457" s="1413">
        <v>0.23</v>
      </c>
      <c r="H1457" s="1414">
        <f>VLOOKUP(C1457,Sheet1!$I$7:$P$39,3,0)</f>
        <v>0.6</v>
      </c>
      <c r="I1457" s="1425">
        <f t="shared" si="470"/>
        <v>-0.1242</v>
      </c>
      <c r="K1457" s="1397"/>
      <c r="M1457" s="110"/>
      <c r="Q1457" s="1394">
        <f>IFERROR(VLOOKUP(M1457,#REF!,3,0),0)</f>
        <v>0</v>
      </c>
      <c r="R1457" s="1394">
        <f t="shared" si="471"/>
        <v>0</v>
      </c>
      <c r="S1457" s="1394">
        <f>IFERROR(VLOOKUP(M1457,#REF!,6,0),0)</f>
        <v>0</v>
      </c>
      <c r="T1457" s="1394">
        <f t="shared" si="472"/>
        <v>0</v>
      </c>
      <c r="U1457" s="1394">
        <f>IFERROR(VLOOKUP(M1457,#REF!,5,0),0)</f>
        <v>0</v>
      </c>
      <c r="V1457" s="1394">
        <f t="shared" si="473"/>
        <v>0</v>
      </c>
      <c r="W1457" s="1394"/>
    </row>
    <row r="1458" spans="1:23" ht="30" customHeight="1">
      <c r="B1458" s="1407"/>
      <c r="C1458" s="1455" t="s">
        <v>253</v>
      </c>
      <c r="D1458" s="103">
        <v>-1</v>
      </c>
      <c r="E1458" s="103">
        <f>VLOOKUP(C1458,Sheet1!$I$7:$P$39,6,0)</f>
        <v>2</v>
      </c>
      <c r="F1458" s="1413">
        <f>VLOOKUP(C1458,Sheet1!$I$7:$P$39,2,0)</f>
        <v>1</v>
      </c>
      <c r="G1458" s="1413">
        <v>0.23</v>
      </c>
      <c r="H1458" s="1414">
        <f>VLOOKUP(C1458,Sheet1!$I$7:$P$39,3,0)</f>
        <v>0.6</v>
      </c>
      <c r="I1458" s="1425">
        <f t="shared" si="470"/>
        <v>-0.27600000000000002</v>
      </c>
      <c r="K1458" s="1397"/>
      <c r="M1458" s="110"/>
      <c r="Q1458" s="1394">
        <f>IFERROR(VLOOKUP(M1458,#REF!,3,0),0)</f>
        <v>0</v>
      </c>
      <c r="R1458" s="1394">
        <f t="shared" si="471"/>
        <v>0</v>
      </c>
      <c r="S1458" s="1394">
        <f>IFERROR(VLOOKUP(M1458,#REF!,6,0),0)</f>
        <v>0</v>
      </c>
      <c r="T1458" s="1394">
        <f t="shared" si="472"/>
        <v>0</v>
      </c>
      <c r="U1458" s="1394">
        <f>IFERROR(VLOOKUP(M1458,#REF!,5,0),0)</f>
        <v>0</v>
      </c>
      <c r="V1458" s="1394">
        <f t="shared" si="473"/>
        <v>0</v>
      </c>
      <c r="W1458" s="1394"/>
    </row>
    <row r="1459" spans="1:23" ht="30" customHeight="1">
      <c r="B1459" s="1407"/>
      <c r="C1459" s="1455" t="s">
        <v>372</v>
      </c>
      <c r="D1459" s="103">
        <v>-1</v>
      </c>
      <c r="E1459" s="103">
        <f>VLOOKUP(C1459,Sheet1!$I$7:$P$39,6,0)</f>
        <v>2</v>
      </c>
      <c r="F1459" s="1413">
        <f>VLOOKUP(C1459,Sheet1!$I$7:$P$39,2,0)</f>
        <v>0.6</v>
      </c>
      <c r="G1459" s="1413">
        <v>0.23</v>
      </c>
      <c r="H1459" s="1414">
        <f>VLOOKUP(C1459,Sheet1!$I$7:$P$39,3,0)</f>
        <v>0.6</v>
      </c>
      <c r="I1459" s="1425">
        <f t="shared" si="470"/>
        <v>-0.1656</v>
      </c>
      <c r="K1459" s="1397"/>
      <c r="M1459" s="110"/>
      <c r="Q1459" s="1394">
        <f>IFERROR(VLOOKUP(M1459,#REF!,3,0),0)</f>
        <v>0</v>
      </c>
      <c r="R1459" s="1394">
        <f t="shared" si="471"/>
        <v>0</v>
      </c>
      <c r="S1459" s="1394">
        <f>IFERROR(VLOOKUP(M1459,#REF!,6,0),0)</f>
        <v>0</v>
      </c>
      <c r="T1459" s="1394">
        <f t="shared" si="472"/>
        <v>0</v>
      </c>
      <c r="U1459" s="1394">
        <f>IFERROR(VLOOKUP(M1459,#REF!,5,0),0)</f>
        <v>0</v>
      </c>
      <c r="V1459" s="1394">
        <f t="shared" si="473"/>
        <v>0</v>
      </c>
      <c r="W1459" s="1394"/>
    </row>
    <row r="1460" spans="1:23" ht="30" customHeight="1">
      <c r="B1460" s="1407"/>
      <c r="C1460" s="1455" t="s">
        <v>257</v>
      </c>
      <c r="D1460" s="103">
        <v>-1</v>
      </c>
      <c r="E1460" s="103">
        <f>VLOOKUP(C1460,Sheet1!$I$7:$P$39,6,0)</f>
        <v>4</v>
      </c>
      <c r="F1460" s="1413">
        <f>VLOOKUP(C1460,Sheet1!$I$7:$P$39,2,0)</f>
        <v>0.9</v>
      </c>
      <c r="G1460" s="1413">
        <v>0.23</v>
      </c>
      <c r="H1460" s="1414">
        <f>VLOOKUP(C1460,Sheet1!$I$7:$P$39,3,0)</f>
        <v>0.75</v>
      </c>
      <c r="I1460" s="1425">
        <f t="shared" si="470"/>
        <v>-0.621</v>
      </c>
      <c r="K1460" s="1397"/>
      <c r="M1460" s="110"/>
      <c r="Q1460" s="1394">
        <f>IFERROR(VLOOKUP(M1460,#REF!,3,0),0)</f>
        <v>0</v>
      </c>
      <c r="R1460" s="1394">
        <f t="shared" si="471"/>
        <v>0</v>
      </c>
      <c r="S1460" s="1394">
        <f>IFERROR(VLOOKUP(M1460,#REF!,6,0),0)</f>
        <v>0</v>
      </c>
      <c r="T1460" s="1394">
        <f t="shared" si="472"/>
        <v>0</v>
      </c>
      <c r="U1460" s="1394">
        <f>IFERROR(VLOOKUP(M1460,#REF!,5,0),0)</f>
        <v>0</v>
      </c>
      <c r="V1460" s="1394">
        <f t="shared" si="473"/>
        <v>0</v>
      </c>
      <c r="W1460" s="1394"/>
    </row>
    <row r="1461" spans="1:23" ht="30" customHeight="1">
      <c r="B1461" s="1407"/>
      <c r="C1461" s="1412" t="s">
        <v>338</v>
      </c>
      <c r="D1461" s="103"/>
      <c r="E1461" s="103"/>
      <c r="F1461" s="1413"/>
      <c r="G1461" s="1413"/>
      <c r="H1461" s="1414"/>
      <c r="I1461" s="1425"/>
      <c r="K1461" s="1397"/>
      <c r="M1461" s="110"/>
      <c r="Q1461" s="1394">
        <f>IFERROR(VLOOKUP(M1461,#REF!,3,0),0)</f>
        <v>0</v>
      </c>
      <c r="R1461" s="1394">
        <f t="shared" si="471"/>
        <v>0</v>
      </c>
      <c r="S1461" s="1394">
        <f>IFERROR(VLOOKUP(M1461,#REF!,6,0),0)</f>
        <v>0</v>
      </c>
      <c r="T1461" s="1394">
        <f t="shared" si="472"/>
        <v>0</v>
      </c>
      <c r="U1461" s="1394">
        <f>IFERROR(VLOOKUP(M1461,#REF!,5,0),0)</f>
        <v>0</v>
      </c>
      <c r="V1461" s="1394">
        <f t="shared" si="473"/>
        <v>0</v>
      </c>
      <c r="W1461" s="1394"/>
    </row>
    <row r="1462" spans="1:23" ht="30" customHeight="1">
      <c r="B1462" s="1405"/>
      <c r="C1462" s="1455" t="str">
        <f t="shared" ref="C1462:G1467" si="474">C1405</f>
        <v>Main wall all alround</v>
      </c>
      <c r="D1462" s="103">
        <f>-D1405</f>
        <v>-1</v>
      </c>
      <c r="E1462" s="103">
        <f t="shared" si="474"/>
        <v>1</v>
      </c>
      <c r="F1462" s="1413">
        <f t="shared" si="474"/>
        <v>86.29</v>
      </c>
      <c r="G1462" s="1413">
        <f t="shared" si="474"/>
        <v>0.23</v>
      </c>
      <c r="H1462" s="1414">
        <f>H1392</f>
        <v>0.1</v>
      </c>
      <c r="I1462" s="1425">
        <f t="shared" ref="I1462:I1491" si="475">PRODUCT(D1462:H1462)</f>
        <v>-1.9846700000000004</v>
      </c>
      <c r="K1462" s="1397"/>
      <c r="L1462" s="110">
        <v>85370</v>
      </c>
      <c r="Q1462" s="1394">
        <f>IFERROR(VLOOKUP(M1462,#REF!,3,0),0)</f>
        <v>0</v>
      </c>
      <c r="R1462" s="1394">
        <f t="shared" si="471"/>
        <v>0</v>
      </c>
      <c r="S1462" s="1394">
        <f>IFERROR(VLOOKUP(M1462,#REF!,6,0),0)</f>
        <v>0</v>
      </c>
      <c r="T1462" s="1394">
        <f t="shared" si="472"/>
        <v>0</v>
      </c>
      <c r="U1462" s="1394">
        <f>IFERROR(VLOOKUP(M1462,#REF!,5,0),0)</f>
        <v>0</v>
      </c>
      <c r="V1462" s="1394">
        <f t="shared" si="473"/>
        <v>0</v>
      </c>
      <c r="W1462" s="1394"/>
    </row>
    <row r="1463" spans="1:23" ht="30" customHeight="1">
      <c r="B1463" s="1407"/>
      <c r="C1463" s="1455" t="str">
        <f t="shared" si="474"/>
        <v>Lift Front Wall</v>
      </c>
      <c r="D1463" s="103">
        <f t="shared" ref="D1463:D1467" si="476">-D1406</f>
        <v>-1</v>
      </c>
      <c r="E1463" s="103">
        <f t="shared" si="474"/>
        <v>1</v>
      </c>
      <c r="F1463" s="1413">
        <f t="shared" si="474"/>
        <v>2.5350000000000001</v>
      </c>
      <c r="G1463" s="1413">
        <f t="shared" si="474"/>
        <v>0.23</v>
      </c>
      <c r="H1463" s="1414">
        <f>H1462</f>
        <v>0.1</v>
      </c>
      <c r="I1463" s="1425">
        <f t="shared" si="475"/>
        <v>-5.830500000000001E-2</v>
      </c>
      <c r="J1463" s="1397"/>
      <c r="K1463" s="1397"/>
      <c r="Q1463" s="1394">
        <f>IFERROR(VLOOKUP(M1463,#REF!,3,0),0)</f>
        <v>0</v>
      </c>
      <c r="R1463" s="1394">
        <f t="shared" si="471"/>
        <v>0</v>
      </c>
      <c r="S1463" s="1394">
        <f>IFERROR(VLOOKUP(M1463,#REF!,6,0),0)</f>
        <v>0</v>
      </c>
      <c r="T1463" s="1394">
        <f t="shared" si="472"/>
        <v>0</v>
      </c>
      <c r="U1463" s="1394">
        <f>IFERROR(VLOOKUP(M1463,#REF!,5,0),0)</f>
        <v>0</v>
      </c>
      <c r="V1463" s="1394">
        <f t="shared" si="473"/>
        <v>0</v>
      </c>
      <c r="W1463" s="1394"/>
    </row>
    <row r="1464" spans="1:23" ht="30" customHeight="1">
      <c r="B1464" s="1407"/>
      <c r="C1464" s="1455" t="str">
        <f t="shared" si="474"/>
        <v>Lift Side Wall</v>
      </c>
      <c r="D1464" s="103">
        <f t="shared" si="476"/>
        <v>-1</v>
      </c>
      <c r="E1464" s="103">
        <f t="shared" si="474"/>
        <v>1</v>
      </c>
      <c r="F1464" s="1413">
        <f t="shared" si="474"/>
        <v>2.33</v>
      </c>
      <c r="G1464" s="1413">
        <f t="shared" si="474"/>
        <v>0.23</v>
      </c>
      <c r="H1464" s="1414">
        <f t="shared" ref="H1464:H1465" si="477">H1463</f>
        <v>0.1</v>
      </c>
      <c r="I1464" s="1425">
        <f t="shared" si="475"/>
        <v>-5.3590000000000006E-2</v>
      </c>
      <c r="J1464" s="1397"/>
      <c r="K1464" s="1397"/>
      <c r="Q1464" s="1394">
        <f>IFERROR(VLOOKUP(M1464,#REF!,3,0),0)</f>
        <v>0</v>
      </c>
      <c r="R1464" s="1394">
        <f t="shared" si="471"/>
        <v>0</v>
      </c>
      <c r="S1464" s="1394">
        <f>IFERROR(VLOOKUP(M1464,#REF!,6,0),0)</f>
        <v>0</v>
      </c>
      <c r="T1464" s="1394">
        <f t="shared" si="472"/>
        <v>0</v>
      </c>
      <c r="U1464" s="1394">
        <f>IFERROR(VLOOKUP(M1464,#REF!,5,0),0)</f>
        <v>0</v>
      </c>
      <c r="V1464" s="1394">
        <f t="shared" si="473"/>
        <v>0</v>
      </c>
      <c r="W1464" s="1394"/>
    </row>
    <row r="1465" spans="1:23" ht="34.5" customHeight="1">
      <c r="B1465" s="1407"/>
      <c r="C1465" s="1455" t="str">
        <f t="shared" si="474"/>
        <v>Cross wall between Stair case lobby / Hall</v>
      </c>
      <c r="D1465" s="103">
        <f t="shared" si="476"/>
        <v>-1</v>
      </c>
      <c r="E1465" s="103">
        <f t="shared" si="474"/>
        <v>1</v>
      </c>
      <c r="F1465" s="1413">
        <f t="shared" si="474"/>
        <v>7.1150000000000002</v>
      </c>
      <c r="G1465" s="1413">
        <f t="shared" si="474"/>
        <v>0.23</v>
      </c>
      <c r="H1465" s="1414">
        <f t="shared" si="477"/>
        <v>0.1</v>
      </c>
      <c r="I1465" s="1425">
        <f t="shared" si="475"/>
        <v>-0.16364500000000004</v>
      </c>
      <c r="J1465" s="1397"/>
      <c r="K1465" s="1397"/>
      <c r="Q1465" s="1394">
        <f>IFERROR(VLOOKUP(M1465,#REF!,3,0),0)</f>
        <v>0</v>
      </c>
      <c r="R1465" s="1394">
        <f t="shared" si="471"/>
        <v>0</v>
      </c>
      <c r="S1465" s="1394">
        <f>IFERROR(VLOOKUP(M1465,#REF!,6,0),0)</f>
        <v>0</v>
      </c>
      <c r="T1465" s="1394">
        <f t="shared" si="472"/>
        <v>0</v>
      </c>
      <c r="U1465" s="1394">
        <f>IFERROR(VLOOKUP(M1465,#REF!,5,0),0)</f>
        <v>0</v>
      </c>
      <c r="V1465" s="1394">
        <f t="shared" si="473"/>
        <v>0</v>
      </c>
      <c r="W1465" s="1394"/>
    </row>
    <row r="1466" spans="1:23" ht="30" customHeight="1">
      <c r="B1466" s="1407"/>
      <c r="C1466" s="1412" t="str">
        <f t="shared" si="474"/>
        <v>Women Rest Room</v>
      </c>
      <c r="D1466" s="103">
        <f t="shared" si="476"/>
        <v>0</v>
      </c>
      <c r="E1466" s="103">
        <f t="shared" si="474"/>
        <v>0</v>
      </c>
      <c r="F1466" s="1413">
        <f t="shared" si="474"/>
        <v>0</v>
      </c>
      <c r="G1466" s="1413">
        <f t="shared" si="474"/>
        <v>0</v>
      </c>
      <c r="H1466" s="1414"/>
      <c r="I1466" s="1425">
        <f t="shared" si="475"/>
        <v>0</v>
      </c>
      <c r="Q1466" s="1394">
        <f>IFERROR(VLOOKUP(M1466,#REF!,3,0),0)</f>
        <v>0</v>
      </c>
      <c r="R1466" s="1394">
        <f t="shared" si="471"/>
        <v>0</v>
      </c>
      <c r="S1466" s="1394">
        <f>IFERROR(VLOOKUP(M1466,#REF!,6,0),0)</f>
        <v>0</v>
      </c>
      <c r="T1466" s="1394">
        <f t="shared" si="472"/>
        <v>0</v>
      </c>
      <c r="U1466" s="1394">
        <f>IFERROR(VLOOKUP(M1466,#REF!,5,0),0)</f>
        <v>0</v>
      </c>
      <c r="V1466" s="1394">
        <f t="shared" si="473"/>
        <v>0</v>
      </c>
      <c r="W1466" s="1394"/>
    </row>
    <row r="1467" spans="1:23" ht="30" customHeight="1">
      <c r="B1467" s="1407"/>
      <c r="C1467" s="1455" t="str">
        <f t="shared" si="474"/>
        <v>Cross wall between Women Rest Room  / Toilet /Hall</v>
      </c>
      <c r="D1467" s="103">
        <f t="shared" si="476"/>
        <v>-1</v>
      </c>
      <c r="E1467" s="103">
        <f t="shared" si="474"/>
        <v>1</v>
      </c>
      <c r="F1467" s="1413">
        <f t="shared" si="474"/>
        <v>4</v>
      </c>
      <c r="G1467" s="1413">
        <f t="shared" si="474"/>
        <v>0.23</v>
      </c>
      <c r="H1467" s="1414">
        <f>H1465</f>
        <v>0.1</v>
      </c>
      <c r="I1467" s="1425">
        <f t="shared" si="475"/>
        <v>-9.2000000000000012E-2</v>
      </c>
      <c r="K1467" s="110">
        <v>1.7649999999999999</v>
      </c>
      <c r="Q1467" s="1394">
        <f>IFERROR(VLOOKUP(M1467,#REF!,3,0),0)</f>
        <v>0</v>
      </c>
      <c r="R1467" s="1394">
        <f t="shared" si="471"/>
        <v>0</v>
      </c>
      <c r="S1467" s="1394">
        <f>IFERROR(VLOOKUP(M1467,#REF!,6,0),0)</f>
        <v>0</v>
      </c>
      <c r="T1467" s="1394">
        <f t="shared" si="472"/>
        <v>0</v>
      </c>
      <c r="U1467" s="1394">
        <f>IFERROR(VLOOKUP(M1467,#REF!,5,0),0)</f>
        <v>0</v>
      </c>
      <c r="V1467" s="1394">
        <f t="shared" si="473"/>
        <v>0</v>
      </c>
      <c r="W1467" s="1394"/>
    </row>
    <row r="1468" spans="1:23" ht="30" customHeight="1">
      <c r="B1468" s="1407"/>
      <c r="C1468" s="1455" t="str">
        <f t="shared" ref="C1468:C1475" si="478">C1412</f>
        <v>Piller</v>
      </c>
      <c r="D1468" s="103">
        <f t="shared" ref="D1468:D1475" si="479">-D1412</f>
        <v>-1</v>
      </c>
      <c r="E1468" s="103">
        <f t="shared" ref="E1468:G1475" si="480">E1412</f>
        <v>1</v>
      </c>
      <c r="F1468" s="1413">
        <f t="shared" si="480"/>
        <v>0.23</v>
      </c>
      <c r="G1468" s="1413">
        <f t="shared" si="480"/>
        <v>0.23</v>
      </c>
      <c r="H1468" s="1414">
        <f>$H$1467</f>
        <v>0.1</v>
      </c>
      <c r="I1468" s="1425">
        <f t="shared" si="475"/>
        <v>-5.2900000000000004E-3</v>
      </c>
      <c r="Q1468" s="1394">
        <f>IFERROR(VLOOKUP(M1468,#REF!,3,0),0)</f>
        <v>0</v>
      </c>
      <c r="R1468" s="1394">
        <f t="shared" si="471"/>
        <v>0</v>
      </c>
      <c r="S1468" s="1394">
        <f>IFERROR(VLOOKUP(M1468,#REF!,6,0),0)</f>
        <v>0</v>
      </c>
      <c r="T1468" s="1394">
        <f t="shared" si="472"/>
        <v>0</v>
      </c>
      <c r="U1468" s="1394">
        <f>IFERROR(VLOOKUP(M1468,#REF!,5,0),0)</f>
        <v>0</v>
      </c>
      <c r="V1468" s="1394">
        <f t="shared" si="473"/>
        <v>0</v>
      </c>
      <c r="W1468" s="1394"/>
    </row>
    <row r="1469" spans="1:23" ht="30" customHeight="1">
      <c r="B1469" s="1407"/>
      <c r="C1469" s="1455" t="str">
        <f t="shared" si="478"/>
        <v>Cross wall between Women Rest Room  / Lift Stair</v>
      </c>
      <c r="D1469" s="103">
        <f t="shared" si="479"/>
        <v>-1</v>
      </c>
      <c r="E1469" s="103">
        <f t="shared" si="480"/>
        <v>1</v>
      </c>
      <c r="F1469" s="1413">
        <f t="shared" si="480"/>
        <v>5.53</v>
      </c>
      <c r="G1469" s="1413">
        <f t="shared" si="480"/>
        <v>0.23</v>
      </c>
      <c r="H1469" s="1414">
        <f>$H$1467</f>
        <v>0.1</v>
      </c>
      <c r="I1469" s="1425">
        <f t="shared" si="475"/>
        <v>-0.12719</v>
      </c>
      <c r="Q1469" s="1394">
        <f>IFERROR(VLOOKUP(M1469,#REF!,3,0),0)</f>
        <v>0</v>
      </c>
      <c r="R1469" s="1394">
        <f t="shared" si="471"/>
        <v>0</v>
      </c>
      <c r="S1469" s="1394">
        <f>IFERROR(VLOOKUP(M1469,#REF!,6,0),0)</f>
        <v>0</v>
      </c>
      <c r="T1469" s="1394">
        <f t="shared" si="472"/>
        <v>0</v>
      </c>
      <c r="U1469" s="1394">
        <f>IFERROR(VLOOKUP(M1469,#REF!,5,0),0)</f>
        <v>0</v>
      </c>
      <c r="V1469" s="1394">
        <f t="shared" si="473"/>
        <v>0</v>
      </c>
      <c r="W1469" s="1394"/>
    </row>
    <row r="1470" spans="1:23" ht="30" customHeight="1">
      <c r="B1470" s="1407"/>
      <c r="C1470" s="1412" t="str">
        <f t="shared" si="478"/>
        <v>Writer</v>
      </c>
      <c r="D1470" s="103">
        <f t="shared" si="479"/>
        <v>0</v>
      </c>
      <c r="E1470" s="103">
        <f t="shared" si="480"/>
        <v>0</v>
      </c>
      <c r="F1470" s="1413">
        <f t="shared" si="480"/>
        <v>0</v>
      </c>
      <c r="G1470" s="1413">
        <f t="shared" si="480"/>
        <v>0</v>
      </c>
      <c r="H1470" s="1414"/>
      <c r="I1470" s="1425">
        <f t="shared" si="475"/>
        <v>0</v>
      </c>
      <c r="Q1470" s="1394">
        <f>IFERROR(VLOOKUP(M1470,#REF!,3,0),0)</f>
        <v>0</v>
      </c>
      <c r="R1470" s="1394">
        <f t="shared" si="471"/>
        <v>0</v>
      </c>
      <c r="S1470" s="1394">
        <f>IFERROR(VLOOKUP(M1470,#REF!,6,0),0)</f>
        <v>0</v>
      </c>
      <c r="T1470" s="1394">
        <f t="shared" si="472"/>
        <v>0</v>
      </c>
      <c r="U1470" s="1394">
        <f>IFERROR(VLOOKUP(M1470,#REF!,5,0),0)</f>
        <v>0</v>
      </c>
      <c r="V1470" s="1394">
        <f t="shared" si="473"/>
        <v>0</v>
      </c>
      <c r="W1470" s="1394"/>
    </row>
    <row r="1471" spans="1:23" ht="30" customHeight="1">
      <c r="A1471" s="1395"/>
      <c r="B1471" s="1407"/>
      <c r="C1471" s="1455" t="str">
        <f t="shared" si="478"/>
        <v>Cross wall between  Writer / Stair case lobby</v>
      </c>
      <c r="D1471" s="103">
        <f t="shared" si="479"/>
        <v>-1</v>
      </c>
      <c r="E1471" s="103">
        <f t="shared" si="480"/>
        <v>1</v>
      </c>
      <c r="F1471" s="1413">
        <f t="shared" si="480"/>
        <v>5.53</v>
      </c>
      <c r="G1471" s="1413">
        <f t="shared" si="480"/>
        <v>0.23</v>
      </c>
      <c r="H1471" s="1414">
        <f>$H$1467</f>
        <v>0.1</v>
      </c>
      <c r="I1471" s="1425">
        <f t="shared" si="475"/>
        <v>-0.12719</v>
      </c>
      <c r="L1471" s="1395" t="s">
        <v>340</v>
      </c>
      <c r="Q1471" s="1394">
        <f>IFERROR(VLOOKUP(M1471,#REF!,3,0),0)</f>
        <v>0</v>
      </c>
      <c r="R1471" s="1394">
        <f t="shared" si="471"/>
        <v>0</v>
      </c>
      <c r="S1471" s="1394">
        <f>IFERROR(VLOOKUP(M1471,#REF!,6,0),0)</f>
        <v>0</v>
      </c>
      <c r="T1471" s="1394">
        <f t="shared" si="472"/>
        <v>0</v>
      </c>
      <c r="U1471" s="1394">
        <f>IFERROR(VLOOKUP(M1471,#REF!,5,0),0)</f>
        <v>0</v>
      </c>
      <c r="V1471" s="1394">
        <f t="shared" si="473"/>
        <v>0</v>
      </c>
      <c r="W1471" s="1394"/>
    </row>
    <row r="1472" spans="1:23" ht="30" customHeight="1">
      <c r="B1472" s="1407"/>
      <c r="C1472" s="1455" t="str">
        <f t="shared" si="478"/>
        <v>Cross wall between  Writer / Hall</v>
      </c>
      <c r="D1472" s="103">
        <f t="shared" si="479"/>
        <v>-1</v>
      </c>
      <c r="E1472" s="103">
        <f t="shared" si="480"/>
        <v>1</v>
      </c>
      <c r="F1472" s="1413">
        <f t="shared" si="480"/>
        <v>3.4550000000000001</v>
      </c>
      <c r="G1472" s="1413">
        <f t="shared" si="480"/>
        <v>0.23</v>
      </c>
      <c r="H1472" s="1414">
        <f>$H$1467</f>
        <v>0.1</v>
      </c>
      <c r="I1472" s="1425">
        <f t="shared" si="475"/>
        <v>-7.9465000000000008E-2</v>
      </c>
      <c r="Q1472" s="1394">
        <f>IFERROR(VLOOKUP(M1472,#REF!,3,0),0)</f>
        <v>0</v>
      </c>
      <c r="R1472" s="1394">
        <f t="shared" si="471"/>
        <v>0</v>
      </c>
      <c r="S1472" s="1394">
        <f>IFERROR(VLOOKUP(M1472,#REF!,6,0),0)</f>
        <v>0</v>
      </c>
      <c r="T1472" s="1394">
        <f t="shared" si="472"/>
        <v>0</v>
      </c>
      <c r="U1472" s="1394">
        <f>IFERROR(VLOOKUP(M1472,#REF!,5,0),0)</f>
        <v>0</v>
      </c>
      <c r="V1472" s="1394">
        <f t="shared" si="473"/>
        <v>0</v>
      </c>
      <c r="W1472" s="1394"/>
    </row>
    <row r="1473" spans="1:23" ht="30" customHeight="1">
      <c r="B1473" s="1407"/>
      <c r="C1473" s="1455" t="str">
        <f t="shared" si="478"/>
        <v>C/B Piller</v>
      </c>
      <c r="D1473" s="103">
        <f t="shared" si="479"/>
        <v>-1</v>
      </c>
      <c r="E1473" s="103">
        <f t="shared" si="480"/>
        <v>1</v>
      </c>
      <c r="F1473" s="1413">
        <f t="shared" si="480"/>
        <v>0.71499999999999997</v>
      </c>
      <c r="G1473" s="1413">
        <f t="shared" si="480"/>
        <v>0.23</v>
      </c>
      <c r="H1473" s="1414">
        <f>$H$1467</f>
        <v>0.1</v>
      </c>
      <c r="I1473" s="1425">
        <f t="shared" si="475"/>
        <v>-1.6445000000000001E-2</v>
      </c>
      <c r="Q1473" s="1394">
        <f>IFERROR(VLOOKUP(M1473,#REF!,3,0),0)</f>
        <v>0</v>
      </c>
      <c r="R1473" s="1394">
        <f t="shared" si="471"/>
        <v>0</v>
      </c>
      <c r="S1473" s="1394">
        <f>IFERROR(VLOOKUP(M1473,#REF!,6,0),0)</f>
        <v>0</v>
      </c>
      <c r="T1473" s="1394">
        <f t="shared" si="472"/>
        <v>0</v>
      </c>
      <c r="U1473" s="1394">
        <f>IFERROR(VLOOKUP(M1473,#REF!,5,0),0)</f>
        <v>0</v>
      </c>
      <c r="V1473" s="1394">
        <f t="shared" si="473"/>
        <v>0</v>
      </c>
      <c r="W1473" s="1394"/>
    </row>
    <row r="1474" spans="1:23" ht="30" customHeight="1">
      <c r="B1474" s="1407"/>
      <c r="C1474" s="1412" t="str">
        <f t="shared" si="478"/>
        <v>Ins crime</v>
      </c>
      <c r="D1474" s="103">
        <f t="shared" si="479"/>
        <v>0</v>
      </c>
      <c r="E1474" s="103">
        <f t="shared" si="480"/>
        <v>0</v>
      </c>
      <c r="F1474" s="1413">
        <f t="shared" si="480"/>
        <v>0</v>
      </c>
      <c r="G1474" s="1413">
        <f t="shared" si="480"/>
        <v>0</v>
      </c>
      <c r="H1474" s="1414"/>
      <c r="I1474" s="1425">
        <f t="shared" si="475"/>
        <v>0</v>
      </c>
      <c r="Q1474" s="1394">
        <f>IFERROR(VLOOKUP(M1474,#REF!,3,0),0)</f>
        <v>0</v>
      </c>
      <c r="R1474" s="1394">
        <f t="shared" si="471"/>
        <v>0</v>
      </c>
      <c r="S1474" s="1394">
        <f>IFERROR(VLOOKUP(M1474,#REF!,6,0),0)</f>
        <v>0</v>
      </c>
      <c r="T1474" s="1394">
        <f t="shared" si="472"/>
        <v>0</v>
      </c>
      <c r="U1474" s="1394">
        <f>IFERROR(VLOOKUP(M1474,#REF!,5,0),0)</f>
        <v>0</v>
      </c>
      <c r="V1474" s="1394">
        <f t="shared" si="473"/>
        <v>0</v>
      </c>
      <c r="W1474" s="1394"/>
    </row>
    <row r="1475" spans="1:23" ht="30" customHeight="1">
      <c r="A1475" s="1395"/>
      <c r="B1475" s="1407"/>
      <c r="C1475" s="1455" t="str">
        <f t="shared" si="478"/>
        <v>Cross wall between  Ins crime / Hall , Toilet</v>
      </c>
      <c r="D1475" s="103">
        <f t="shared" si="479"/>
        <v>-1</v>
      </c>
      <c r="E1475" s="103">
        <f t="shared" si="480"/>
        <v>1</v>
      </c>
      <c r="F1475" s="1413">
        <f t="shared" si="480"/>
        <v>4</v>
      </c>
      <c r="G1475" s="1413">
        <f t="shared" si="480"/>
        <v>0.23</v>
      </c>
      <c r="H1475" s="1414">
        <f>$H$1467</f>
        <v>0.1</v>
      </c>
      <c r="I1475" s="1425">
        <f t="shared" si="475"/>
        <v>-9.2000000000000012E-2</v>
      </c>
      <c r="L1475" s="1395" t="s">
        <v>340</v>
      </c>
      <c r="Q1475" s="1394">
        <f>IFERROR(VLOOKUP(M1475,#REF!,3,0),0)</f>
        <v>0</v>
      </c>
      <c r="R1475" s="1394">
        <f t="shared" si="471"/>
        <v>0</v>
      </c>
      <c r="S1475" s="1394">
        <f>IFERROR(VLOOKUP(M1475,#REF!,6,0),0)</f>
        <v>0</v>
      </c>
      <c r="T1475" s="1394">
        <f t="shared" si="472"/>
        <v>0</v>
      </c>
      <c r="U1475" s="1394">
        <f>IFERROR(VLOOKUP(M1475,#REF!,5,0),0)</f>
        <v>0</v>
      </c>
      <c r="V1475" s="1394">
        <f t="shared" si="473"/>
        <v>0</v>
      </c>
      <c r="W1475" s="1394"/>
    </row>
    <row r="1476" spans="1:23" ht="30" customHeight="1">
      <c r="A1476" s="1395"/>
      <c r="B1476" s="1407"/>
      <c r="C1476" s="1455" t="str">
        <f>C1421</f>
        <v>Cross wall between  Ins crime  / Hall , Toilet Piller</v>
      </c>
      <c r="D1476" s="103">
        <f>-D1421</f>
        <v>-1</v>
      </c>
      <c r="E1476" s="103">
        <f t="shared" ref="E1476:G1479" si="481">E1421</f>
        <v>1</v>
      </c>
      <c r="F1476" s="1413">
        <f t="shared" si="481"/>
        <v>0.43</v>
      </c>
      <c r="G1476" s="1413">
        <f t="shared" si="481"/>
        <v>0.23</v>
      </c>
      <c r="H1476" s="1414">
        <f>$H$1467</f>
        <v>0.1</v>
      </c>
      <c r="I1476" s="1425">
        <f t="shared" si="475"/>
        <v>-9.8900000000000012E-3</v>
      </c>
      <c r="L1476" s="1395"/>
      <c r="Q1476" s="1394">
        <f>IFERROR(VLOOKUP(M1476,#REF!,3,0),0)</f>
        <v>0</v>
      </c>
      <c r="R1476" s="1394">
        <f t="shared" si="471"/>
        <v>0</v>
      </c>
      <c r="S1476" s="1394">
        <f>IFERROR(VLOOKUP(M1476,#REF!,6,0),0)</f>
        <v>0</v>
      </c>
      <c r="T1476" s="1394">
        <f t="shared" si="472"/>
        <v>0</v>
      </c>
      <c r="U1476" s="1394">
        <f>IFERROR(VLOOKUP(M1476,#REF!,5,0),0)</f>
        <v>0</v>
      </c>
      <c r="V1476" s="1394">
        <f t="shared" si="473"/>
        <v>0</v>
      </c>
      <c r="W1476" s="1394"/>
    </row>
    <row r="1477" spans="1:23" ht="30" customHeight="1">
      <c r="B1477" s="1407"/>
      <c r="C1477" s="1412" t="str">
        <f>C1422</f>
        <v>Lock up women</v>
      </c>
      <c r="D1477" s="103">
        <f>-D1422</f>
        <v>0</v>
      </c>
      <c r="E1477" s="103">
        <f t="shared" si="481"/>
        <v>0</v>
      </c>
      <c r="F1477" s="1413">
        <f t="shared" si="481"/>
        <v>0</v>
      </c>
      <c r="G1477" s="1413">
        <f t="shared" si="481"/>
        <v>0</v>
      </c>
      <c r="H1477" s="1414"/>
      <c r="I1477" s="1425">
        <f t="shared" si="475"/>
        <v>0</v>
      </c>
      <c r="Q1477" s="1394">
        <f>IFERROR(VLOOKUP(M1477,#REF!,3,0),0)</f>
        <v>0</v>
      </c>
      <c r="R1477" s="1394">
        <f t="shared" si="471"/>
        <v>0</v>
      </c>
      <c r="S1477" s="1394">
        <f>IFERROR(VLOOKUP(M1477,#REF!,6,0),0)</f>
        <v>0</v>
      </c>
      <c r="T1477" s="1394">
        <f t="shared" si="472"/>
        <v>0</v>
      </c>
      <c r="U1477" s="1394">
        <f>IFERROR(VLOOKUP(M1477,#REF!,5,0),0)</f>
        <v>0</v>
      </c>
      <c r="V1477" s="1394">
        <f t="shared" si="473"/>
        <v>0</v>
      </c>
      <c r="W1477" s="1394"/>
    </row>
    <row r="1478" spans="1:23" ht="30" customHeight="1">
      <c r="B1478" s="1407"/>
      <c r="C1478" s="1455" t="str">
        <f>C1423</f>
        <v>Cross wall between Lock up women / Hall</v>
      </c>
      <c r="D1478" s="103">
        <f>-D1423</f>
        <v>-1</v>
      </c>
      <c r="E1478" s="103">
        <f t="shared" si="481"/>
        <v>1</v>
      </c>
      <c r="F1478" s="1413">
        <f t="shared" si="481"/>
        <v>2.73</v>
      </c>
      <c r="G1478" s="1413">
        <f t="shared" si="481"/>
        <v>0.23</v>
      </c>
      <c r="H1478" s="1414">
        <f>$H$1467</f>
        <v>0.1</v>
      </c>
      <c r="I1478" s="1425">
        <f t="shared" si="475"/>
        <v>-6.2789999999999999E-2</v>
      </c>
      <c r="Q1478" s="1394">
        <f>IFERROR(VLOOKUP(M1478,#REF!,3,0),0)</f>
        <v>0</v>
      </c>
      <c r="R1478" s="1394">
        <f t="shared" si="471"/>
        <v>0</v>
      </c>
      <c r="S1478" s="1394">
        <f>IFERROR(VLOOKUP(M1478,#REF!,6,0),0)</f>
        <v>0</v>
      </c>
      <c r="T1478" s="1394">
        <f t="shared" si="472"/>
        <v>0</v>
      </c>
      <c r="U1478" s="1394">
        <f>IFERROR(VLOOKUP(M1478,#REF!,5,0),0)</f>
        <v>0</v>
      </c>
      <c r="V1478" s="1394">
        <f t="shared" si="473"/>
        <v>0</v>
      </c>
      <c r="W1478" s="1394"/>
    </row>
    <row r="1479" spans="1:23" ht="30" customHeight="1">
      <c r="A1479" s="110" t="s">
        <v>5626</v>
      </c>
      <c r="B1479" s="1407"/>
      <c r="C1479" s="1455" t="str">
        <f>C1424</f>
        <v>Cross wall between Lock up women / Compute room</v>
      </c>
      <c r="D1479" s="103">
        <f>-D1424</f>
        <v>-1</v>
      </c>
      <c r="E1479" s="103">
        <f t="shared" si="481"/>
        <v>1</v>
      </c>
      <c r="F1479" s="1413">
        <f t="shared" si="481"/>
        <v>5.8449999999999998</v>
      </c>
      <c r="G1479" s="1413">
        <f t="shared" si="481"/>
        <v>0.23</v>
      </c>
      <c r="H1479" s="1414">
        <f>$H$1467</f>
        <v>0.1</v>
      </c>
      <c r="I1479" s="1425">
        <f t="shared" si="475"/>
        <v>-0.134435</v>
      </c>
      <c r="Q1479" s="1394">
        <f>IFERROR(VLOOKUP(M1479,#REF!,3,0),0)</f>
        <v>0</v>
      </c>
      <c r="R1479" s="1394">
        <f t="shared" si="471"/>
        <v>0</v>
      </c>
      <c r="S1479" s="1394">
        <f>IFERROR(VLOOKUP(M1479,#REF!,6,0),0)</f>
        <v>0</v>
      </c>
      <c r="T1479" s="1394">
        <f t="shared" si="472"/>
        <v>0</v>
      </c>
      <c r="U1479" s="1394">
        <f>IFERROR(VLOOKUP(M1479,#REF!,5,0),0)</f>
        <v>0</v>
      </c>
      <c r="V1479" s="1394">
        <f t="shared" si="473"/>
        <v>0</v>
      </c>
      <c r="W1479" s="1394"/>
    </row>
    <row r="1480" spans="1:23" ht="30" customHeight="1">
      <c r="B1480" s="1407"/>
      <c r="C1480" s="1412" t="str">
        <f>C1426</f>
        <v>Lock up men</v>
      </c>
      <c r="D1480" s="103">
        <f>-D1426</f>
        <v>0</v>
      </c>
      <c r="E1480" s="103">
        <f t="shared" ref="E1480:G1482" si="482">E1426</f>
        <v>0</v>
      </c>
      <c r="F1480" s="1413">
        <f t="shared" si="482"/>
        <v>0</v>
      </c>
      <c r="G1480" s="1413">
        <f t="shared" si="482"/>
        <v>0</v>
      </c>
      <c r="H1480" s="1414"/>
      <c r="I1480" s="1425">
        <f t="shared" si="475"/>
        <v>0</v>
      </c>
      <c r="Q1480" s="1394">
        <f>IFERROR(VLOOKUP(M1480,#REF!,3,0),0)</f>
        <v>0</v>
      </c>
      <c r="R1480" s="1394">
        <f t="shared" si="471"/>
        <v>0</v>
      </c>
      <c r="S1480" s="1394">
        <f>IFERROR(VLOOKUP(M1480,#REF!,6,0),0)</f>
        <v>0</v>
      </c>
      <c r="T1480" s="1394">
        <f t="shared" si="472"/>
        <v>0</v>
      </c>
      <c r="U1480" s="1394">
        <f>IFERROR(VLOOKUP(M1480,#REF!,5,0),0)</f>
        <v>0</v>
      </c>
      <c r="V1480" s="1394">
        <f t="shared" si="473"/>
        <v>0</v>
      </c>
      <c r="W1480" s="1394"/>
    </row>
    <row r="1481" spans="1:23" ht="30" customHeight="1">
      <c r="B1481" s="1407"/>
      <c r="C1481" s="1455" t="str">
        <f>C1427</f>
        <v>Cross wall between Lock up men / Hall</v>
      </c>
      <c r="D1481" s="103">
        <f>-D1427</f>
        <v>-1</v>
      </c>
      <c r="E1481" s="103">
        <f t="shared" si="482"/>
        <v>1</v>
      </c>
      <c r="F1481" s="1413">
        <f t="shared" si="482"/>
        <v>2.96</v>
      </c>
      <c r="G1481" s="1413">
        <f t="shared" si="482"/>
        <v>0.23</v>
      </c>
      <c r="H1481" s="1414">
        <f>$H$1467</f>
        <v>0.1</v>
      </c>
      <c r="I1481" s="1425">
        <f t="shared" si="475"/>
        <v>-6.8080000000000016E-2</v>
      </c>
      <c r="Q1481" s="1394">
        <f>IFERROR(VLOOKUP(M1481,#REF!,3,0),0)</f>
        <v>0</v>
      </c>
      <c r="R1481" s="1394">
        <f t="shared" si="471"/>
        <v>0</v>
      </c>
      <c r="S1481" s="1394">
        <f>IFERROR(VLOOKUP(M1481,#REF!,6,0),0)</f>
        <v>0</v>
      </c>
      <c r="T1481" s="1394">
        <f t="shared" si="472"/>
        <v>0</v>
      </c>
      <c r="U1481" s="1394">
        <f>IFERROR(VLOOKUP(M1481,#REF!,5,0),0)</f>
        <v>0</v>
      </c>
      <c r="V1481" s="1394">
        <f t="shared" si="473"/>
        <v>0</v>
      </c>
      <c r="W1481" s="1394"/>
    </row>
    <row r="1482" spans="1:23" ht="30" customHeight="1">
      <c r="B1482" s="1407"/>
      <c r="C1482" s="1455" t="str">
        <f>C1428</f>
        <v>Cross wall between Lock up men / Toilet</v>
      </c>
      <c r="D1482" s="103">
        <f>-D1428</f>
        <v>-1</v>
      </c>
      <c r="E1482" s="103">
        <f t="shared" si="482"/>
        <v>1</v>
      </c>
      <c r="F1482" s="1413">
        <f t="shared" si="482"/>
        <v>5.8449999999999998</v>
      </c>
      <c r="G1482" s="1413">
        <f t="shared" si="482"/>
        <v>0.23</v>
      </c>
      <c r="H1482" s="1414">
        <f>$H$1467</f>
        <v>0.1</v>
      </c>
      <c r="I1482" s="1425">
        <f t="shared" si="475"/>
        <v>-0.134435</v>
      </c>
      <c r="Q1482" s="1394">
        <f>IFERROR(VLOOKUP(M1482,#REF!,3,0),0)</f>
        <v>0</v>
      </c>
      <c r="R1482" s="1394">
        <f t="shared" si="471"/>
        <v>0</v>
      </c>
      <c r="S1482" s="1394">
        <f>IFERROR(VLOOKUP(M1482,#REF!,6,0),0)</f>
        <v>0</v>
      </c>
      <c r="T1482" s="1394">
        <f t="shared" si="472"/>
        <v>0</v>
      </c>
      <c r="U1482" s="1394">
        <f>IFERROR(VLOOKUP(M1482,#REF!,5,0),0)</f>
        <v>0</v>
      </c>
      <c r="V1482" s="1394">
        <f t="shared" si="473"/>
        <v>0</v>
      </c>
      <c r="W1482" s="1394"/>
    </row>
    <row r="1483" spans="1:23" ht="30" customHeight="1">
      <c r="B1483" s="1407"/>
      <c r="C1483" s="1412" t="str">
        <f t="shared" ref="C1483:C1488" si="483">C1430</f>
        <v>Compute room</v>
      </c>
      <c r="D1483" s="103">
        <f t="shared" ref="D1483:D1488" si="484">-D1430</f>
        <v>0</v>
      </c>
      <c r="E1483" s="103">
        <f t="shared" ref="E1483:G1488" si="485">E1430</f>
        <v>0</v>
      </c>
      <c r="F1483" s="1413">
        <f t="shared" si="485"/>
        <v>0</v>
      </c>
      <c r="G1483" s="1413">
        <f t="shared" si="485"/>
        <v>0</v>
      </c>
      <c r="H1483" s="1414"/>
      <c r="I1483" s="1425">
        <f t="shared" si="475"/>
        <v>0</v>
      </c>
      <c r="Q1483" s="1394">
        <f>IFERROR(VLOOKUP(M1483,#REF!,3,0),0)</f>
        <v>0</v>
      </c>
      <c r="R1483" s="1394">
        <f t="shared" si="471"/>
        <v>0</v>
      </c>
      <c r="S1483" s="1394">
        <f>IFERROR(VLOOKUP(M1483,#REF!,6,0),0)</f>
        <v>0</v>
      </c>
      <c r="T1483" s="1394">
        <f t="shared" si="472"/>
        <v>0</v>
      </c>
      <c r="U1483" s="1394">
        <f>IFERROR(VLOOKUP(M1483,#REF!,5,0),0)</f>
        <v>0</v>
      </c>
      <c r="V1483" s="1394">
        <f t="shared" si="473"/>
        <v>0</v>
      </c>
      <c r="W1483" s="1394"/>
    </row>
    <row r="1484" spans="1:23" ht="30" customHeight="1">
      <c r="B1484" s="1407"/>
      <c r="C1484" s="1455" t="str">
        <f t="shared" si="483"/>
        <v>Cross wall between Compute room  and Toilet</v>
      </c>
      <c r="D1484" s="103">
        <f t="shared" si="484"/>
        <v>-1</v>
      </c>
      <c r="E1484" s="103">
        <f t="shared" si="485"/>
        <v>1</v>
      </c>
      <c r="F1484" s="1413">
        <f t="shared" si="485"/>
        <v>1.6850000000000001</v>
      </c>
      <c r="G1484" s="1413">
        <f t="shared" si="485"/>
        <v>0.23</v>
      </c>
      <c r="H1484" s="1414">
        <f>$H$1467</f>
        <v>0.1</v>
      </c>
      <c r="I1484" s="1425">
        <f t="shared" si="475"/>
        <v>-3.8755000000000005E-2</v>
      </c>
      <c r="Q1484" s="1394">
        <f>IFERROR(VLOOKUP(M1484,#REF!,3,0),0)</f>
        <v>0</v>
      </c>
      <c r="R1484" s="1394">
        <f t="shared" si="471"/>
        <v>0</v>
      </c>
      <c r="S1484" s="1394">
        <f>IFERROR(VLOOKUP(M1484,#REF!,6,0),0)</f>
        <v>0</v>
      </c>
      <c r="T1484" s="1394">
        <f t="shared" si="472"/>
        <v>0</v>
      </c>
      <c r="U1484" s="1394">
        <f>IFERROR(VLOOKUP(M1484,#REF!,5,0),0)</f>
        <v>0</v>
      </c>
      <c r="V1484" s="1394">
        <f t="shared" si="473"/>
        <v>0</v>
      </c>
      <c r="W1484" s="1394"/>
    </row>
    <row r="1485" spans="1:23" ht="30" customHeight="1">
      <c r="B1485" s="1407"/>
      <c r="C1485" s="1455" t="str">
        <f t="shared" si="483"/>
        <v>Cross wall between Compute room / SI</v>
      </c>
      <c r="D1485" s="103">
        <f t="shared" si="484"/>
        <v>-1</v>
      </c>
      <c r="E1485" s="103">
        <f t="shared" si="485"/>
        <v>1</v>
      </c>
      <c r="F1485" s="1413">
        <f t="shared" si="485"/>
        <v>1.2</v>
      </c>
      <c r="G1485" s="1413">
        <f t="shared" si="485"/>
        <v>0.23</v>
      </c>
      <c r="H1485" s="1414">
        <f>$H$1467</f>
        <v>0.1</v>
      </c>
      <c r="I1485" s="1425">
        <f t="shared" si="475"/>
        <v>-2.7600000000000003E-2</v>
      </c>
      <c r="Q1485" s="1394">
        <f>IFERROR(VLOOKUP(M1485,#REF!,3,0),0)</f>
        <v>0</v>
      </c>
      <c r="R1485" s="1394">
        <f t="shared" si="471"/>
        <v>0</v>
      </c>
      <c r="S1485" s="1394">
        <f>IFERROR(VLOOKUP(M1485,#REF!,6,0),0)</f>
        <v>0</v>
      </c>
      <c r="T1485" s="1394">
        <f t="shared" si="472"/>
        <v>0</v>
      </c>
      <c r="U1485" s="1394">
        <f>IFERROR(VLOOKUP(M1485,#REF!,5,0),0)</f>
        <v>0</v>
      </c>
      <c r="V1485" s="1394">
        <f t="shared" si="473"/>
        <v>0</v>
      </c>
      <c r="W1485" s="1394"/>
    </row>
    <row r="1486" spans="1:23" ht="30" customHeight="1">
      <c r="B1486" s="1407"/>
      <c r="C1486" s="1412" t="str">
        <f t="shared" si="483"/>
        <v>SI Room</v>
      </c>
      <c r="D1486" s="103">
        <f t="shared" si="484"/>
        <v>0</v>
      </c>
      <c r="E1486" s="103">
        <f t="shared" si="485"/>
        <v>0</v>
      </c>
      <c r="F1486" s="1413">
        <f t="shared" si="485"/>
        <v>0</v>
      </c>
      <c r="G1486" s="1413">
        <f t="shared" si="485"/>
        <v>0</v>
      </c>
      <c r="H1486" s="1414"/>
      <c r="I1486" s="1425">
        <f t="shared" si="475"/>
        <v>0</v>
      </c>
      <c r="Q1486" s="1394">
        <f>IFERROR(VLOOKUP(M1486,#REF!,3,0),0)</f>
        <v>0</v>
      </c>
      <c r="R1486" s="1394">
        <f t="shared" si="471"/>
        <v>0</v>
      </c>
      <c r="S1486" s="1394">
        <f>IFERROR(VLOOKUP(M1486,#REF!,6,0),0)</f>
        <v>0</v>
      </c>
      <c r="T1486" s="1394">
        <f t="shared" si="472"/>
        <v>0</v>
      </c>
      <c r="U1486" s="1394">
        <f>IFERROR(VLOOKUP(M1486,#REF!,5,0),0)</f>
        <v>0</v>
      </c>
      <c r="V1486" s="1394">
        <f t="shared" si="473"/>
        <v>0</v>
      </c>
      <c r="W1486" s="1394"/>
    </row>
    <row r="1487" spans="1:23" ht="30" customHeight="1">
      <c r="B1487" s="1407"/>
      <c r="C1487" s="1455" t="str">
        <f t="shared" si="483"/>
        <v>Cross wall between SI Room  /Hall</v>
      </c>
      <c r="D1487" s="103">
        <f t="shared" si="484"/>
        <v>-1</v>
      </c>
      <c r="E1487" s="103">
        <f t="shared" si="485"/>
        <v>1</v>
      </c>
      <c r="F1487" s="1413">
        <f t="shared" si="485"/>
        <v>6.6550000000000002</v>
      </c>
      <c r="G1487" s="1413">
        <f t="shared" si="485"/>
        <v>0.23</v>
      </c>
      <c r="H1487" s="1414">
        <f>$H$1467</f>
        <v>0.1</v>
      </c>
      <c r="I1487" s="1425">
        <f t="shared" si="475"/>
        <v>-0.15306500000000001</v>
      </c>
      <c r="Q1487" s="1394">
        <f>IFERROR(VLOOKUP(M1487,#REF!,3,0),0)</f>
        <v>0</v>
      </c>
      <c r="R1487" s="1394">
        <f t="shared" si="471"/>
        <v>0</v>
      </c>
      <c r="S1487" s="1394">
        <f>IFERROR(VLOOKUP(M1487,#REF!,6,0),0)</f>
        <v>0</v>
      </c>
      <c r="T1487" s="1394">
        <f t="shared" si="472"/>
        <v>0</v>
      </c>
      <c r="U1487" s="1394">
        <f>IFERROR(VLOOKUP(M1487,#REF!,5,0),0)</f>
        <v>0</v>
      </c>
      <c r="V1487" s="1394">
        <f t="shared" si="473"/>
        <v>0</v>
      </c>
      <c r="W1487" s="1394"/>
    </row>
    <row r="1488" spans="1:23" ht="30" customHeight="1">
      <c r="B1488" s="1407"/>
      <c r="C1488" s="1455" t="str">
        <f t="shared" si="483"/>
        <v>Cross wall between SI Room / Record</v>
      </c>
      <c r="D1488" s="103">
        <f t="shared" si="484"/>
        <v>-1</v>
      </c>
      <c r="E1488" s="103">
        <f t="shared" si="485"/>
        <v>1</v>
      </c>
      <c r="F1488" s="1413">
        <f t="shared" si="485"/>
        <v>4.13</v>
      </c>
      <c r="G1488" s="1413">
        <f t="shared" si="485"/>
        <v>0.23</v>
      </c>
      <c r="H1488" s="1414">
        <f>$H$1467</f>
        <v>0.1</v>
      </c>
      <c r="I1488" s="1425">
        <f t="shared" si="475"/>
        <v>-9.4990000000000005E-2</v>
      </c>
      <c r="Q1488" s="1394">
        <f>IFERROR(VLOOKUP(M1488,#REF!,3,0),0)</f>
        <v>0</v>
      </c>
      <c r="R1488" s="1394">
        <f t="shared" si="471"/>
        <v>0</v>
      </c>
      <c r="S1488" s="1394">
        <f>IFERROR(VLOOKUP(M1488,#REF!,6,0),0)</f>
        <v>0</v>
      </c>
      <c r="T1488" s="1394">
        <f t="shared" si="472"/>
        <v>0</v>
      </c>
      <c r="U1488" s="1394">
        <f>IFERROR(VLOOKUP(M1488,#REF!,5,0),0)</f>
        <v>0</v>
      </c>
      <c r="V1488" s="1394">
        <f t="shared" si="473"/>
        <v>0</v>
      </c>
      <c r="W1488" s="1394"/>
    </row>
    <row r="1489" spans="1:26" ht="30" customHeight="1">
      <c r="B1489" s="1407"/>
      <c r="C1489" s="1412" t="str">
        <f>C1437</f>
        <v>Interrogationn Room</v>
      </c>
      <c r="D1489" s="103">
        <f>-D1437</f>
        <v>0</v>
      </c>
      <c r="E1489" s="103">
        <f t="shared" ref="E1489:G1490" si="486">E1437</f>
        <v>0</v>
      </c>
      <c r="F1489" s="1413">
        <f t="shared" si="486"/>
        <v>0</v>
      </c>
      <c r="G1489" s="1413">
        <f t="shared" si="486"/>
        <v>0</v>
      </c>
      <c r="H1489" s="1414"/>
      <c r="I1489" s="1425">
        <f t="shared" si="475"/>
        <v>0</v>
      </c>
      <c r="Q1489" s="1394">
        <f>IFERROR(VLOOKUP(M1489,#REF!,3,0),0)</f>
        <v>0</v>
      </c>
      <c r="R1489" s="1394">
        <f t="shared" si="471"/>
        <v>0</v>
      </c>
      <c r="S1489" s="1394">
        <f>IFERROR(VLOOKUP(M1489,#REF!,6,0),0)</f>
        <v>0</v>
      </c>
      <c r="T1489" s="1394">
        <f t="shared" si="472"/>
        <v>0</v>
      </c>
      <c r="U1489" s="1394">
        <f>IFERROR(VLOOKUP(M1489,#REF!,5,0),0)</f>
        <v>0</v>
      </c>
      <c r="V1489" s="1394">
        <f t="shared" si="473"/>
        <v>0</v>
      </c>
      <c r="W1489" s="1394"/>
    </row>
    <row r="1490" spans="1:26" ht="30" customHeight="1">
      <c r="B1490" s="1407"/>
      <c r="C1490" s="1455" t="str">
        <f>C1438</f>
        <v>Cross wall between  Interrogationn Room / Toilet</v>
      </c>
      <c r="D1490" s="103">
        <f>-D1438</f>
        <v>-1</v>
      </c>
      <c r="E1490" s="103">
        <f t="shared" si="486"/>
        <v>1</v>
      </c>
      <c r="F1490" s="1413">
        <f t="shared" si="486"/>
        <v>3.88</v>
      </c>
      <c r="G1490" s="1413">
        <f t="shared" si="486"/>
        <v>0.23</v>
      </c>
      <c r="H1490" s="1414">
        <f>$H$1467</f>
        <v>0.1</v>
      </c>
      <c r="I1490" s="1425">
        <f t="shared" si="475"/>
        <v>-8.924E-2</v>
      </c>
      <c r="Q1490" s="1394">
        <f>IFERROR(VLOOKUP(M1490,#REF!,3,0),0)</f>
        <v>0</v>
      </c>
      <c r="R1490" s="1394">
        <f t="shared" si="471"/>
        <v>0</v>
      </c>
      <c r="S1490" s="1394">
        <f>IFERROR(VLOOKUP(M1490,#REF!,6,0),0)</f>
        <v>0</v>
      </c>
      <c r="T1490" s="1394">
        <f t="shared" si="472"/>
        <v>0</v>
      </c>
      <c r="U1490" s="1394">
        <f>IFERROR(VLOOKUP(M1490,#REF!,5,0),0)</f>
        <v>0</v>
      </c>
      <c r="V1490" s="1394">
        <f t="shared" si="473"/>
        <v>0</v>
      </c>
      <c r="W1490" s="1394"/>
    </row>
    <row r="1491" spans="1:26" ht="30" customHeight="1">
      <c r="B1491" s="1407"/>
      <c r="C1491" s="1455" t="str">
        <f>C1440</f>
        <v>Elevation Piller</v>
      </c>
      <c r="D1491" s="103">
        <f>-D1440</f>
        <v>-1</v>
      </c>
      <c r="E1491" s="103">
        <f>E1440</f>
        <v>4</v>
      </c>
      <c r="F1491" s="1413">
        <f>F1440</f>
        <v>0.6</v>
      </c>
      <c r="G1491" s="1413">
        <f>G1440</f>
        <v>0.23</v>
      </c>
      <c r="H1491" s="1414">
        <f>$H$1467</f>
        <v>0.1</v>
      </c>
      <c r="I1491" s="1425">
        <f t="shared" si="475"/>
        <v>-5.5200000000000006E-2</v>
      </c>
      <c r="J1491" s="1397"/>
      <c r="K1491" s="1397"/>
      <c r="Q1491" s="1394">
        <f>IFERROR(VLOOKUP(M1491,#REF!,3,0),0)</f>
        <v>0</v>
      </c>
      <c r="R1491" s="1394">
        <f t="shared" si="471"/>
        <v>0</v>
      </c>
      <c r="S1491" s="1394">
        <f>IFERROR(VLOOKUP(M1491,#REF!,6,0),0)</f>
        <v>0</v>
      </c>
      <c r="T1491" s="1394">
        <f t="shared" si="472"/>
        <v>0</v>
      </c>
      <c r="U1491" s="1394">
        <f>IFERROR(VLOOKUP(M1491,#REF!,5,0),0)</f>
        <v>0</v>
      </c>
      <c r="V1491" s="1394">
        <f t="shared" si="473"/>
        <v>0</v>
      </c>
      <c r="W1491" s="1394"/>
    </row>
    <row r="1492" spans="1:26" ht="30" customHeight="1">
      <c r="B1492" s="1407"/>
      <c r="C1492" s="1455"/>
      <c r="D1492" s="103"/>
      <c r="E1492" s="103"/>
      <c r="F1492" s="1413"/>
      <c r="G1492" s="1413"/>
      <c r="H1492" s="1414"/>
      <c r="I1492" s="1425"/>
      <c r="K1492" s="1397"/>
      <c r="Q1492" s="1394">
        <f>IFERROR(VLOOKUP(M1492,#REF!,3,0),0)</f>
        <v>0</v>
      </c>
      <c r="R1492" s="1394">
        <f t="shared" si="471"/>
        <v>0</v>
      </c>
      <c r="S1492" s="1394">
        <f>IFERROR(VLOOKUP(M1492,#REF!,6,0),0)</f>
        <v>0</v>
      </c>
      <c r="T1492" s="1394">
        <f t="shared" si="472"/>
        <v>0</v>
      </c>
      <c r="U1492" s="1394">
        <f>IFERROR(VLOOKUP(M1492,#REF!,5,0),0)</f>
        <v>0</v>
      </c>
      <c r="V1492" s="1394">
        <f t="shared" si="473"/>
        <v>0</v>
      </c>
      <c r="W1492" s="1394"/>
    </row>
    <row r="1493" spans="1:26" ht="30" customHeight="1">
      <c r="B1493" s="1407"/>
      <c r="C1493" s="1455"/>
      <c r="D1493" s="103"/>
      <c r="E1493" s="103"/>
      <c r="F1493" s="1413"/>
      <c r="G1493" s="1413"/>
      <c r="H1493" s="1414"/>
      <c r="I1493" s="1425">
        <f>J1494-J1493</f>
        <v>4.7375600000009399E-2</v>
      </c>
      <c r="J1493" s="1394">
        <f>SUM(I1405:I1492)</f>
        <v>78.952624399999991</v>
      </c>
      <c r="K1493" s="1394"/>
      <c r="Q1493" s="1394">
        <f>IFERROR(VLOOKUP(M1493,#REF!,3,0),0)</f>
        <v>0</v>
      </c>
      <c r="R1493" s="1394">
        <f t="shared" si="471"/>
        <v>0</v>
      </c>
      <c r="S1493" s="1394">
        <f>IFERROR(VLOOKUP(M1493,#REF!,6,0),0)</f>
        <v>0</v>
      </c>
      <c r="T1493" s="1394">
        <f t="shared" si="472"/>
        <v>0</v>
      </c>
      <c r="U1493" s="1394">
        <f>IFERROR(VLOOKUP(M1493,#REF!,5,0),0)</f>
        <v>0</v>
      </c>
      <c r="V1493" s="1394">
        <f t="shared" si="473"/>
        <v>0</v>
      </c>
      <c r="W1493" s="1394"/>
    </row>
    <row r="1494" spans="1:26" ht="30" customHeight="1">
      <c r="B1494" s="1407"/>
      <c r="C1494" s="1455"/>
      <c r="D1494" s="103"/>
      <c r="E1494" s="103"/>
      <c r="F1494" s="1413"/>
      <c r="G1494" s="1413"/>
      <c r="H1494" s="1414"/>
      <c r="I1494" s="1479">
        <f>SUM(I1405:I1493)</f>
        <v>79</v>
      </c>
      <c r="J1494" s="1394">
        <f>ROUNDUP(J1493,1)</f>
        <v>79</v>
      </c>
      <c r="K1494" s="1394"/>
      <c r="Q1494" s="1394">
        <f>IFERROR(VLOOKUP(M1494,#REF!,3,0),0)</f>
        <v>0</v>
      </c>
      <c r="R1494" s="1394">
        <f t="shared" si="471"/>
        <v>0</v>
      </c>
      <c r="S1494" s="1394">
        <f>IFERROR(VLOOKUP(M1494,#REF!,6,0),0)</f>
        <v>0</v>
      </c>
      <c r="T1494" s="1394">
        <f t="shared" si="472"/>
        <v>0</v>
      </c>
      <c r="U1494" s="1394">
        <f>IFERROR(VLOOKUP(M1494,#REF!,5,0),0)</f>
        <v>0</v>
      </c>
      <c r="V1494" s="1394">
        <f t="shared" si="473"/>
        <v>0</v>
      </c>
      <c r="W1494" s="1394"/>
    </row>
    <row r="1495" spans="1:26" ht="30" customHeight="1">
      <c r="B1495" s="1407"/>
      <c r="C1495" s="1455"/>
      <c r="D1495" s="103"/>
      <c r="E1495" s="103"/>
      <c r="F1495" s="1413"/>
      <c r="G1495" s="1483" t="s">
        <v>11</v>
      </c>
      <c r="H1495" s="1478">
        <f>ROUNDUP(J1494,1)</f>
        <v>79</v>
      </c>
      <c r="I1495" s="1479" t="s">
        <v>19</v>
      </c>
      <c r="M1495" s="1426" t="str">
        <f>A1404</f>
        <v>c. In Second Floor Brick work in C.M. 1:6  using Kiln Burnt Country bricks of size 22 x 11 x 7 cm ( 8 3/4" x 4 1/4" x 2 3/4")</v>
      </c>
      <c r="N1495" s="1426">
        <f>B1404</f>
        <v>0</v>
      </c>
      <c r="O1495" s="1394">
        <f>H1495</f>
        <v>79</v>
      </c>
      <c r="P1495" s="1394" t="str">
        <f>I1495</f>
        <v>Cum</v>
      </c>
      <c r="Q1495" s="1394">
        <f>IFERROR(VLOOKUP(M1495,#REF!,3,0),0)</f>
        <v>0</v>
      </c>
      <c r="R1495" s="1394">
        <f t="shared" si="471"/>
        <v>0</v>
      </c>
      <c r="S1495" s="1394">
        <f>IFERROR(VLOOKUP(M1495,#REF!,6,0),0)</f>
        <v>0</v>
      </c>
      <c r="T1495" s="1394">
        <f t="shared" si="472"/>
        <v>0</v>
      </c>
      <c r="U1495" s="1394">
        <f>IFERROR(VLOOKUP(M1495,#REF!,5,0),0)</f>
        <v>0</v>
      </c>
      <c r="V1495" s="1394">
        <f t="shared" si="473"/>
        <v>79</v>
      </c>
      <c r="W1495" s="1394"/>
      <c r="Z1495" s="1394"/>
    </row>
    <row r="1496" spans="1:26" ht="30" customHeight="1">
      <c r="A1496" s="110" t="s">
        <v>344</v>
      </c>
      <c r="B1496" s="1405"/>
      <c r="C1496" s="1678" t="e">
        <f>VLOOKUP(A1496,#REF!,2,0)</f>
        <v>#REF!</v>
      </c>
      <c r="D1496" s="1678"/>
      <c r="E1496" s="1678"/>
      <c r="F1496" s="1678"/>
      <c r="G1496" s="1678"/>
      <c r="H1496" s="1678"/>
      <c r="I1496" s="1479"/>
      <c r="Q1496" s="1394">
        <f>IFERROR(VLOOKUP(M1496,#REF!,3,0),0)</f>
        <v>0</v>
      </c>
      <c r="R1496" s="1394">
        <f t="shared" si="471"/>
        <v>0</v>
      </c>
      <c r="S1496" s="1394">
        <f>IFERROR(VLOOKUP(M1496,#REF!,6,0),0)</f>
        <v>0</v>
      </c>
      <c r="T1496" s="1394">
        <f t="shared" si="472"/>
        <v>0</v>
      </c>
      <c r="U1496" s="1394">
        <f>IFERROR(VLOOKUP(M1496,#REF!,5,0),0)</f>
        <v>0</v>
      </c>
      <c r="V1496" s="1394">
        <f t="shared" si="473"/>
        <v>0</v>
      </c>
      <c r="W1496" s="1394"/>
      <c r="X1496" s="1397"/>
    </row>
    <row r="1497" spans="1:26" ht="30" customHeight="1">
      <c r="B1497" s="1405"/>
      <c r="C1497" s="1455" t="s">
        <v>323</v>
      </c>
      <c r="D1497" s="103">
        <v>1</v>
      </c>
      <c r="E1497" s="103">
        <v>1</v>
      </c>
      <c r="F1497" s="1413">
        <f>L1497/1000</f>
        <v>86.29</v>
      </c>
      <c r="G1497" s="1413">
        <v>0.23</v>
      </c>
      <c r="H1497" s="1414">
        <f>H1440</f>
        <v>2.92</v>
      </c>
      <c r="I1497" s="1425">
        <f t="shared" ref="I1497:I1519" si="487">PRODUCT(D1497:H1497)</f>
        <v>57.952364000000003</v>
      </c>
      <c r="L1497" s="110">
        <v>86290</v>
      </c>
      <c r="Q1497" s="1394">
        <f>IFERROR(VLOOKUP(M1497,#REF!,3,0),0)</f>
        <v>0</v>
      </c>
      <c r="R1497" s="1394">
        <f t="shared" si="471"/>
        <v>0</v>
      </c>
      <c r="S1497" s="1394">
        <f>IFERROR(VLOOKUP(M1497,#REF!,6,0),0)</f>
        <v>0</v>
      </c>
      <c r="T1497" s="1394">
        <f t="shared" si="472"/>
        <v>0</v>
      </c>
      <c r="U1497" s="1394">
        <f>IFERROR(VLOOKUP(M1497,#REF!,5,0),0)</f>
        <v>0</v>
      </c>
      <c r="V1497" s="1394">
        <f t="shared" si="473"/>
        <v>0</v>
      </c>
      <c r="W1497" s="1394"/>
    </row>
    <row r="1498" spans="1:26" ht="30" customHeight="1">
      <c r="A1498" s="110" t="s">
        <v>5627</v>
      </c>
      <c r="B1498" s="1407"/>
      <c r="C1498" s="1455" t="s">
        <v>5585</v>
      </c>
      <c r="D1498" s="103">
        <v>1</v>
      </c>
      <c r="E1498" s="103">
        <v>1</v>
      </c>
      <c r="F1498" s="1413">
        <v>2.5350000000000001</v>
      </c>
      <c r="G1498" s="1413">
        <v>0.23</v>
      </c>
      <c r="H1498" s="1414">
        <f>H1497</f>
        <v>2.92</v>
      </c>
      <c r="I1498" s="1425">
        <f t="shared" si="487"/>
        <v>1.7025060000000001</v>
      </c>
      <c r="J1498" s="1397"/>
      <c r="K1498" s="1397"/>
      <c r="Q1498" s="1394">
        <f>IFERROR(VLOOKUP(M1498,#REF!,3,0),0)</f>
        <v>0</v>
      </c>
      <c r="R1498" s="1394">
        <f t="shared" si="471"/>
        <v>0</v>
      </c>
      <c r="S1498" s="1394">
        <f>IFERROR(VLOOKUP(M1498,#REF!,6,0),0)</f>
        <v>0</v>
      </c>
      <c r="T1498" s="1394">
        <f t="shared" si="472"/>
        <v>0</v>
      </c>
      <c r="U1498" s="1394">
        <f>IFERROR(VLOOKUP(M1498,#REF!,5,0),0)</f>
        <v>0</v>
      </c>
      <c r="V1498" s="1394">
        <f t="shared" si="473"/>
        <v>0</v>
      </c>
      <c r="W1498" s="1394"/>
    </row>
    <row r="1499" spans="1:26" ht="30" customHeight="1">
      <c r="B1499" s="1407"/>
      <c r="C1499" s="1455" t="s">
        <v>5586</v>
      </c>
      <c r="D1499" s="103">
        <v>1</v>
      </c>
      <c r="E1499" s="103">
        <v>1</v>
      </c>
      <c r="F1499" s="1413">
        <v>2.33</v>
      </c>
      <c r="G1499" s="1413">
        <v>0.23</v>
      </c>
      <c r="H1499" s="1414">
        <f t="shared" ref="H1499:H1500" si="488">H1498</f>
        <v>2.92</v>
      </c>
      <c r="I1499" s="1425">
        <f t="shared" si="487"/>
        <v>1.5648280000000001</v>
      </c>
      <c r="J1499" s="1397"/>
      <c r="K1499" s="1397"/>
      <c r="Q1499" s="1394">
        <f>IFERROR(VLOOKUP(M1499,#REF!,3,0),0)</f>
        <v>0</v>
      </c>
      <c r="R1499" s="1394">
        <f t="shared" si="471"/>
        <v>0</v>
      </c>
      <c r="S1499" s="1394">
        <f>IFERROR(VLOOKUP(M1499,#REF!,6,0),0)</f>
        <v>0</v>
      </c>
      <c r="T1499" s="1394">
        <f t="shared" si="472"/>
        <v>0</v>
      </c>
      <c r="U1499" s="1394">
        <f>IFERROR(VLOOKUP(M1499,#REF!,5,0),0)</f>
        <v>0</v>
      </c>
      <c r="V1499" s="1394">
        <f t="shared" si="473"/>
        <v>0</v>
      </c>
      <c r="W1499" s="1394"/>
    </row>
    <row r="1500" spans="1:26" ht="34.5" customHeight="1">
      <c r="B1500" s="1407"/>
      <c r="C1500" s="1455" t="s">
        <v>5590</v>
      </c>
      <c r="D1500" s="103">
        <v>1</v>
      </c>
      <c r="E1500" s="103">
        <v>1</v>
      </c>
      <c r="F1500" s="1413">
        <v>7.1150000000000002</v>
      </c>
      <c r="G1500" s="1413">
        <v>0.23</v>
      </c>
      <c r="H1500" s="1414">
        <f t="shared" si="488"/>
        <v>2.92</v>
      </c>
      <c r="I1500" s="1425">
        <f t="shared" si="487"/>
        <v>4.7784340000000007</v>
      </c>
      <c r="J1500" s="1397"/>
      <c r="K1500" s="1397"/>
      <c r="Q1500" s="1394">
        <f>IFERROR(VLOOKUP(M1500,#REF!,3,0),0)</f>
        <v>0</v>
      </c>
      <c r="R1500" s="1394">
        <f t="shared" si="471"/>
        <v>0</v>
      </c>
      <c r="S1500" s="1394">
        <f>IFERROR(VLOOKUP(M1500,#REF!,6,0),0)</f>
        <v>0</v>
      </c>
      <c r="T1500" s="1394">
        <f t="shared" si="472"/>
        <v>0</v>
      </c>
      <c r="U1500" s="1394">
        <f>IFERROR(VLOOKUP(M1500,#REF!,5,0),0)</f>
        <v>0</v>
      </c>
      <c r="V1500" s="1394">
        <f t="shared" si="473"/>
        <v>0</v>
      </c>
      <c r="W1500" s="1394"/>
    </row>
    <row r="1501" spans="1:26" ht="30" customHeight="1">
      <c r="B1501" s="1407"/>
      <c r="C1501" s="1412" t="s">
        <v>5643</v>
      </c>
      <c r="D1501" s="103"/>
      <c r="E1501" s="103"/>
      <c r="F1501" s="1413"/>
      <c r="G1501" s="1413"/>
      <c r="H1501" s="1414"/>
      <c r="I1501" s="1425">
        <f t="shared" si="487"/>
        <v>0</v>
      </c>
      <c r="Q1501" s="1394">
        <f>IFERROR(VLOOKUP(M1501,#REF!,3,0),0)</f>
        <v>0</v>
      </c>
      <c r="R1501" s="1394">
        <f t="shared" si="471"/>
        <v>0</v>
      </c>
      <c r="S1501" s="1394">
        <f>IFERROR(VLOOKUP(M1501,#REF!,6,0),0)</f>
        <v>0</v>
      </c>
      <c r="T1501" s="1394">
        <f t="shared" si="472"/>
        <v>0</v>
      </c>
      <c r="U1501" s="1394">
        <f>IFERROR(VLOOKUP(M1501,#REF!,5,0),0)</f>
        <v>0</v>
      </c>
      <c r="V1501" s="1394">
        <f t="shared" si="473"/>
        <v>0</v>
      </c>
      <c r="W1501" s="1394"/>
    </row>
    <row r="1502" spans="1:26" ht="30" customHeight="1">
      <c r="B1502" s="1407"/>
      <c r="C1502" s="1455" t="s">
        <v>5644</v>
      </c>
      <c r="D1502" s="103">
        <v>1</v>
      </c>
      <c r="E1502" s="103">
        <v>1</v>
      </c>
      <c r="F1502" s="1413">
        <v>4</v>
      </c>
      <c r="G1502" s="1413">
        <v>0.23</v>
      </c>
      <c r="H1502" s="1414">
        <f>H1500</f>
        <v>2.92</v>
      </c>
      <c r="I1502" s="1425">
        <f t="shared" si="487"/>
        <v>2.6863999999999999</v>
      </c>
      <c r="K1502" s="110">
        <v>1.7649999999999999</v>
      </c>
      <c r="Q1502" s="1394">
        <f>IFERROR(VLOOKUP(M1502,#REF!,3,0),0)</f>
        <v>0</v>
      </c>
      <c r="R1502" s="1394">
        <f t="shared" si="471"/>
        <v>0</v>
      </c>
      <c r="S1502" s="1394">
        <f>IFERROR(VLOOKUP(M1502,#REF!,6,0),0)</f>
        <v>0</v>
      </c>
      <c r="T1502" s="1394">
        <f t="shared" si="472"/>
        <v>0</v>
      </c>
      <c r="U1502" s="1394">
        <f>IFERROR(VLOOKUP(M1502,#REF!,5,0),0)</f>
        <v>0</v>
      </c>
      <c r="V1502" s="1394">
        <f t="shared" si="473"/>
        <v>0</v>
      </c>
      <c r="W1502" s="1394"/>
    </row>
    <row r="1503" spans="1:26" ht="30" customHeight="1">
      <c r="B1503" s="1407"/>
      <c r="C1503" s="1455" t="s">
        <v>5619</v>
      </c>
      <c r="D1503" s="103">
        <v>-1</v>
      </c>
      <c r="E1503" s="103">
        <v>1</v>
      </c>
      <c r="F1503" s="1413">
        <v>1</v>
      </c>
      <c r="G1503" s="1413">
        <v>0.23</v>
      </c>
      <c r="H1503" s="1414">
        <v>2.1</v>
      </c>
      <c r="I1503" s="1425">
        <f t="shared" si="487"/>
        <v>-0.48300000000000004</v>
      </c>
      <c r="Q1503" s="1394">
        <f>IFERROR(VLOOKUP(M1503,#REF!,3,0),0)</f>
        <v>0</v>
      </c>
      <c r="R1503" s="1394">
        <f t="shared" si="471"/>
        <v>0</v>
      </c>
      <c r="S1503" s="1394">
        <f>IFERROR(VLOOKUP(M1503,#REF!,6,0),0)</f>
        <v>0</v>
      </c>
      <c r="T1503" s="1394">
        <f t="shared" si="472"/>
        <v>0</v>
      </c>
      <c r="U1503" s="1394">
        <f>IFERROR(VLOOKUP(M1503,#REF!,5,0),0)</f>
        <v>0</v>
      </c>
      <c r="V1503" s="1394">
        <f t="shared" si="473"/>
        <v>0</v>
      </c>
      <c r="W1503" s="1394"/>
    </row>
    <row r="1504" spans="1:26" ht="30" customHeight="1">
      <c r="B1504" s="1407"/>
      <c r="C1504" s="1455" t="s">
        <v>5502</v>
      </c>
      <c r="D1504" s="103">
        <v>1</v>
      </c>
      <c r="E1504" s="103">
        <v>1</v>
      </c>
      <c r="F1504" s="1413">
        <v>0.23</v>
      </c>
      <c r="G1504" s="1413">
        <v>0.23</v>
      </c>
      <c r="H1504" s="1414">
        <f>H1502</f>
        <v>2.92</v>
      </c>
      <c r="I1504" s="1425">
        <f t="shared" si="487"/>
        <v>0.15446799999999999</v>
      </c>
      <c r="Q1504" s="1394">
        <f>IFERROR(VLOOKUP(M1504,#REF!,3,0),0)</f>
        <v>0</v>
      </c>
      <c r="R1504" s="1394">
        <f t="shared" si="471"/>
        <v>0</v>
      </c>
      <c r="S1504" s="1394">
        <f>IFERROR(VLOOKUP(M1504,#REF!,6,0),0)</f>
        <v>0</v>
      </c>
      <c r="T1504" s="1394">
        <f t="shared" si="472"/>
        <v>0</v>
      </c>
      <c r="U1504" s="1394">
        <f>IFERROR(VLOOKUP(M1504,#REF!,5,0),0)</f>
        <v>0</v>
      </c>
      <c r="V1504" s="1394">
        <f t="shared" si="473"/>
        <v>0</v>
      </c>
      <c r="W1504" s="1394"/>
    </row>
    <row r="1505" spans="1:23" ht="30" customHeight="1">
      <c r="B1505" s="1407"/>
      <c r="C1505" s="1455" t="s">
        <v>5645</v>
      </c>
      <c r="D1505" s="103">
        <v>1</v>
      </c>
      <c r="E1505" s="103">
        <v>1</v>
      </c>
      <c r="F1505" s="1413">
        <v>5.53</v>
      </c>
      <c r="G1505" s="1413">
        <v>0.23</v>
      </c>
      <c r="H1505" s="1414">
        <v>2.1</v>
      </c>
      <c r="I1505" s="1425">
        <f t="shared" si="487"/>
        <v>2.6709900000000002</v>
      </c>
      <c r="Q1505" s="1394">
        <f>IFERROR(VLOOKUP(M1505,#REF!,3,0),0)</f>
        <v>0</v>
      </c>
      <c r="R1505" s="1394">
        <f t="shared" si="471"/>
        <v>0</v>
      </c>
      <c r="S1505" s="1394">
        <f>IFERROR(VLOOKUP(M1505,#REF!,6,0),0)</f>
        <v>0</v>
      </c>
      <c r="T1505" s="1394">
        <f t="shared" si="472"/>
        <v>0</v>
      </c>
      <c r="U1505" s="1394">
        <f>IFERROR(VLOOKUP(M1505,#REF!,5,0),0)</f>
        <v>0</v>
      </c>
      <c r="V1505" s="1394">
        <f t="shared" si="473"/>
        <v>0</v>
      </c>
      <c r="W1505" s="1394"/>
    </row>
    <row r="1506" spans="1:23" ht="30" customHeight="1">
      <c r="B1506" s="1407"/>
      <c r="C1506" s="1412" t="s">
        <v>5593</v>
      </c>
      <c r="D1506" s="103"/>
      <c r="E1506" s="103"/>
      <c r="F1506" s="1413"/>
      <c r="G1506" s="1413"/>
      <c r="H1506" s="1414"/>
      <c r="I1506" s="1425">
        <f t="shared" si="487"/>
        <v>0</v>
      </c>
      <c r="Q1506" s="1394">
        <f>IFERROR(VLOOKUP(M1506,#REF!,3,0),0)</f>
        <v>0</v>
      </c>
      <c r="R1506" s="1394">
        <f t="shared" si="471"/>
        <v>0</v>
      </c>
      <c r="S1506" s="1394">
        <f>IFERROR(VLOOKUP(M1506,#REF!,6,0),0)</f>
        <v>0</v>
      </c>
      <c r="T1506" s="1394">
        <f t="shared" si="472"/>
        <v>0</v>
      </c>
      <c r="U1506" s="1394">
        <f>IFERROR(VLOOKUP(M1506,#REF!,5,0),0)</f>
        <v>0</v>
      </c>
      <c r="V1506" s="1394">
        <f t="shared" si="473"/>
        <v>0</v>
      </c>
      <c r="W1506" s="1394"/>
    </row>
    <row r="1507" spans="1:23" ht="30" customHeight="1">
      <c r="A1507" s="1395"/>
      <c r="B1507" s="1407"/>
      <c r="C1507" s="1455" t="s">
        <v>5594</v>
      </c>
      <c r="D1507" s="103">
        <v>1</v>
      </c>
      <c r="E1507" s="103">
        <v>1</v>
      </c>
      <c r="F1507" s="1413">
        <v>5.53</v>
      </c>
      <c r="G1507" s="1413">
        <v>0.23</v>
      </c>
      <c r="H1507" s="1414">
        <f>H1504</f>
        <v>2.92</v>
      </c>
      <c r="I1507" s="1425">
        <f t="shared" si="487"/>
        <v>3.7139479999999998</v>
      </c>
      <c r="L1507" s="1395" t="s">
        <v>340</v>
      </c>
      <c r="Q1507" s="1394">
        <f>IFERROR(VLOOKUP(M1507,#REF!,3,0),0)</f>
        <v>0</v>
      </c>
      <c r="R1507" s="1394">
        <f t="shared" si="471"/>
        <v>0</v>
      </c>
      <c r="S1507" s="1394">
        <f>IFERROR(VLOOKUP(M1507,#REF!,6,0),0)</f>
        <v>0</v>
      </c>
      <c r="T1507" s="1394">
        <f t="shared" si="472"/>
        <v>0</v>
      </c>
      <c r="U1507" s="1394">
        <f>IFERROR(VLOOKUP(M1507,#REF!,5,0),0)</f>
        <v>0</v>
      </c>
      <c r="V1507" s="1394">
        <f t="shared" si="473"/>
        <v>0</v>
      </c>
      <c r="W1507" s="1394"/>
    </row>
    <row r="1508" spans="1:23" ht="30" customHeight="1">
      <c r="B1508" s="1407"/>
      <c r="C1508" s="1455" t="s">
        <v>5595</v>
      </c>
      <c r="D1508" s="103">
        <v>1</v>
      </c>
      <c r="E1508" s="103">
        <v>1</v>
      </c>
      <c r="F1508" s="1413">
        <v>3.4550000000000001</v>
      </c>
      <c r="G1508" s="1413">
        <v>0.23</v>
      </c>
      <c r="H1508" s="1414">
        <f>H1507</f>
        <v>2.92</v>
      </c>
      <c r="I1508" s="1425">
        <f t="shared" si="487"/>
        <v>2.3203780000000003</v>
      </c>
      <c r="Q1508" s="1394">
        <f>IFERROR(VLOOKUP(M1508,#REF!,3,0),0)</f>
        <v>0</v>
      </c>
      <c r="R1508" s="1394">
        <f t="shared" si="471"/>
        <v>0</v>
      </c>
      <c r="S1508" s="1394">
        <f>IFERROR(VLOOKUP(M1508,#REF!,6,0),0)</f>
        <v>0</v>
      </c>
      <c r="T1508" s="1394">
        <f t="shared" si="472"/>
        <v>0</v>
      </c>
      <c r="U1508" s="1394">
        <f>IFERROR(VLOOKUP(M1508,#REF!,5,0),0)</f>
        <v>0</v>
      </c>
      <c r="V1508" s="1394">
        <f t="shared" si="473"/>
        <v>0</v>
      </c>
      <c r="W1508" s="1394"/>
    </row>
    <row r="1509" spans="1:23" ht="30" customHeight="1">
      <c r="B1509" s="1407"/>
      <c r="C1509" s="1455" t="s">
        <v>5596</v>
      </c>
      <c r="D1509" s="103">
        <v>1</v>
      </c>
      <c r="E1509" s="103">
        <v>1</v>
      </c>
      <c r="F1509" s="1413">
        <v>0.71499999999999997</v>
      </c>
      <c r="G1509" s="1413">
        <v>0.23</v>
      </c>
      <c r="H1509" s="1414">
        <f>H1508</f>
        <v>2.92</v>
      </c>
      <c r="I1509" s="1425">
        <f t="shared" si="487"/>
        <v>0.48019400000000001</v>
      </c>
      <c r="Q1509" s="1394">
        <f>IFERROR(VLOOKUP(M1509,#REF!,3,0),0)</f>
        <v>0</v>
      </c>
      <c r="R1509" s="1394">
        <f t="shared" si="471"/>
        <v>0</v>
      </c>
      <c r="S1509" s="1394">
        <f>IFERROR(VLOOKUP(M1509,#REF!,6,0),0)</f>
        <v>0</v>
      </c>
      <c r="T1509" s="1394">
        <f t="shared" si="472"/>
        <v>0</v>
      </c>
      <c r="U1509" s="1394">
        <f>IFERROR(VLOOKUP(M1509,#REF!,5,0),0)</f>
        <v>0</v>
      </c>
      <c r="V1509" s="1394">
        <f t="shared" si="473"/>
        <v>0</v>
      </c>
      <c r="W1509" s="1394"/>
    </row>
    <row r="1510" spans="1:23" ht="30" customHeight="1">
      <c r="B1510" s="1407"/>
      <c r="C1510" s="1412" t="s">
        <v>5646</v>
      </c>
      <c r="D1510" s="103"/>
      <c r="E1510" s="103"/>
      <c r="F1510" s="1413"/>
      <c r="G1510" s="1413"/>
      <c r="H1510" s="1414"/>
      <c r="I1510" s="1425">
        <f t="shared" si="487"/>
        <v>0</v>
      </c>
      <c r="Q1510" s="1394">
        <f>IFERROR(VLOOKUP(M1510,#REF!,3,0),0)</f>
        <v>0</v>
      </c>
      <c r="R1510" s="1394">
        <f t="shared" si="471"/>
        <v>0</v>
      </c>
      <c r="S1510" s="1394">
        <f>IFERROR(VLOOKUP(M1510,#REF!,6,0),0)</f>
        <v>0</v>
      </c>
      <c r="T1510" s="1394">
        <f t="shared" si="472"/>
        <v>0</v>
      </c>
      <c r="U1510" s="1394">
        <f>IFERROR(VLOOKUP(M1510,#REF!,5,0),0)</f>
        <v>0</v>
      </c>
      <c r="V1510" s="1394">
        <f t="shared" si="473"/>
        <v>0</v>
      </c>
      <c r="W1510" s="1394"/>
    </row>
    <row r="1511" spans="1:23" ht="30" customHeight="1">
      <c r="A1511" s="1395"/>
      <c r="B1511" s="1407"/>
      <c r="C1511" s="1455" t="s">
        <v>5647</v>
      </c>
      <c r="D1511" s="103">
        <v>1</v>
      </c>
      <c r="E1511" s="103">
        <v>1</v>
      </c>
      <c r="F1511" s="1413">
        <v>4</v>
      </c>
      <c r="G1511" s="1413">
        <v>0.23</v>
      </c>
      <c r="H1511" s="1414">
        <f>H1509</f>
        <v>2.92</v>
      </c>
      <c r="I1511" s="1425">
        <f t="shared" si="487"/>
        <v>2.6863999999999999</v>
      </c>
      <c r="L1511" s="1395" t="s">
        <v>340</v>
      </c>
      <c r="Q1511" s="1394">
        <f>IFERROR(VLOOKUP(M1511,#REF!,3,0),0)</f>
        <v>0</v>
      </c>
      <c r="R1511" s="1394">
        <f t="shared" si="471"/>
        <v>0</v>
      </c>
      <c r="S1511" s="1394">
        <f>IFERROR(VLOOKUP(M1511,#REF!,6,0),0)</f>
        <v>0</v>
      </c>
      <c r="T1511" s="1394">
        <f t="shared" si="472"/>
        <v>0</v>
      </c>
      <c r="U1511" s="1394">
        <f>IFERROR(VLOOKUP(M1511,#REF!,5,0),0)</f>
        <v>0</v>
      </c>
      <c r="V1511" s="1394">
        <f t="shared" si="473"/>
        <v>0</v>
      </c>
      <c r="W1511" s="1394"/>
    </row>
    <row r="1512" spans="1:23" ht="30" customHeight="1">
      <c r="B1512" s="1407"/>
      <c r="C1512" s="1455" t="s">
        <v>5619</v>
      </c>
      <c r="D1512" s="103">
        <v>-1</v>
      </c>
      <c r="E1512" s="103">
        <v>1</v>
      </c>
      <c r="F1512" s="1413">
        <v>1</v>
      </c>
      <c r="G1512" s="1413">
        <v>0.23</v>
      </c>
      <c r="H1512" s="1414">
        <v>2.1</v>
      </c>
      <c r="I1512" s="1425">
        <f t="shared" si="487"/>
        <v>-0.48300000000000004</v>
      </c>
      <c r="Q1512" s="1394">
        <f>IFERROR(VLOOKUP(M1512,#REF!,3,0),0)</f>
        <v>0</v>
      </c>
      <c r="R1512" s="1394">
        <f t="shared" si="471"/>
        <v>0</v>
      </c>
      <c r="S1512" s="1394">
        <f>IFERROR(VLOOKUP(M1512,#REF!,6,0),0)</f>
        <v>0</v>
      </c>
      <c r="T1512" s="1394">
        <f t="shared" si="472"/>
        <v>0</v>
      </c>
      <c r="U1512" s="1394">
        <f>IFERROR(VLOOKUP(M1512,#REF!,5,0),0)</f>
        <v>0</v>
      </c>
      <c r="V1512" s="1394">
        <f t="shared" si="473"/>
        <v>0</v>
      </c>
      <c r="W1512" s="1394"/>
    </row>
    <row r="1513" spans="1:23" ht="30" customHeight="1">
      <c r="A1513" s="1395"/>
      <c r="B1513" s="1407"/>
      <c r="C1513" s="1455" t="s">
        <v>5648</v>
      </c>
      <c r="D1513" s="103">
        <v>1</v>
      </c>
      <c r="E1513" s="103">
        <v>1</v>
      </c>
      <c r="F1513" s="1413">
        <v>0.43</v>
      </c>
      <c r="G1513" s="1413">
        <v>0.23</v>
      </c>
      <c r="H1513" s="1414">
        <f>H1511</f>
        <v>2.92</v>
      </c>
      <c r="I1513" s="1425">
        <f t="shared" si="487"/>
        <v>0.28878799999999999</v>
      </c>
      <c r="L1513" s="1395"/>
      <c r="Q1513" s="1394">
        <f>IFERROR(VLOOKUP(M1513,#REF!,3,0),0)</f>
        <v>0</v>
      </c>
      <c r="R1513" s="1394">
        <f t="shared" si="471"/>
        <v>0</v>
      </c>
      <c r="S1513" s="1394">
        <f>IFERROR(VLOOKUP(M1513,#REF!,6,0),0)</f>
        <v>0</v>
      </c>
      <c r="T1513" s="1394">
        <f t="shared" si="472"/>
        <v>0</v>
      </c>
      <c r="U1513" s="1394">
        <f>IFERROR(VLOOKUP(M1513,#REF!,5,0),0)</f>
        <v>0</v>
      </c>
      <c r="V1513" s="1394">
        <f t="shared" si="473"/>
        <v>0</v>
      </c>
      <c r="W1513" s="1394"/>
    </row>
    <row r="1514" spans="1:23" ht="30" customHeight="1">
      <c r="B1514" s="1407"/>
      <c r="C1514" s="1412" t="s">
        <v>341</v>
      </c>
      <c r="D1514" s="103"/>
      <c r="E1514" s="103"/>
      <c r="F1514" s="1413"/>
      <c r="G1514" s="1413"/>
      <c r="H1514" s="1414"/>
      <c r="I1514" s="1425">
        <f t="shared" si="487"/>
        <v>0</v>
      </c>
      <c r="Q1514" s="1394">
        <f>IFERROR(VLOOKUP(M1514,#REF!,3,0),0)</f>
        <v>0</v>
      </c>
      <c r="R1514" s="1394">
        <f t="shared" si="471"/>
        <v>0</v>
      </c>
      <c r="S1514" s="1394">
        <f>IFERROR(VLOOKUP(M1514,#REF!,6,0),0)</f>
        <v>0</v>
      </c>
      <c r="T1514" s="1394">
        <f t="shared" si="472"/>
        <v>0</v>
      </c>
      <c r="U1514" s="1394">
        <f>IFERROR(VLOOKUP(M1514,#REF!,5,0),0)</f>
        <v>0</v>
      </c>
      <c r="V1514" s="1394">
        <f t="shared" si="473"/>
        <v>0</v>
      </c>
      <c r="W1514" s="1394"/>
    </row>
    <row r="1515" spans="1:23" ht="30" customHeight="1">
      <c r="B1515" s="1407"/>
      <c r="C1515" s="1455" t="s">
        <v>5649</v>
      </c>
      <c r="D1515" s="103">
        <v>1</v>
      </c>
      <c r="E1515" s="103">
        <v>1</v>
      </c>
      <c r="F1515" s="1413">
        <v>2.73</v>
      </c>
      <c r="G1515" s="1413">
        <v>0.23</v>
      </c>
      <c r="H1515" s="1414">
        <f>H1511</f>
        <v>2.92</v>
      </c>
      <c r="I1515" s="1425">
        <f t="shared" si="487"/>
        <v>1.8334680000000001</v>
      </c>
      <c r="Q1515" s="1394">
        <f>IFERROR(VLOOKUP(M1515,#REF!,3,0),0)</f>
        <v>0</v>
      </c>
      <c r="R1515" s="1394">
        <f t="shared" si="471"/>
        <v>0</v>
      </c>
      <c r="S1515" s="1394">
        <f>IFERROR(VLOOKUP(M1515,#REF!,6,0),0)</f>
        <v>0</v>
      </c>
      <c r="T1515" s="1394">
        <f t="shared" si="472"/>
        <v>0</v>
      </c>
      <c r="U1515" s="1394">
        <f>IFERROR(VLOOKUP(M1515,#REF!,5,0),0)</f>
        <v>0</v>
      </c>
      <c r="V1515" s="1394">
        <f t="shared" si="473"/>
        <v>0</v>
      </c>
      <c r="W1515" s="1394"/>
    </row>
    <row r="1516" spans="1:23" ht="30" customHeight="1">
      <c r="A1516" s="110" t="s">
        <v>5626</v>
      </c>
      <c r="B1516" s="1407"/>
      <c r="C1516" s="1455" t="s">
        <v>5650</v>
      </c>
      <c r="D1516" s="103">
        <v>1</v>
      </c>
      <c r="E1516" s="103">
        <v>1</v>
      </c>
      <c r="F1516" s="1413">
        <v>9.77</v>
      </c>
      <c r="G1516" s="1413">
        <v>0.23</v>
      </c>
      <c r="H1516" s="1414">
        <f>H1515</f>
        <v>2.92</v>
      </c>
      <c r="I1516" s="1425">
        <f t="shared" si="487"/>
        <v>6.5615319999999997</v>
      </c>
      <c r="Q1516" s="1394">
        <f>IFERROR(VLOOKUP(M1516,#REF!,3,0),0)</f>
        <v>0</v>
      </c>
      <c r="R1516" s="1394">
        <f t="shared" si="471"/>
        <v>0</v>
      </c>
      <c r="S1516" s="1394">
        <f>IFERROR(VLOOKUP(M1516,#REF!,6,0),0)</f>
        <v>0</v>
      </c>
      <c r="T1516" s="1394">
        <f t="shared" si="472"/>
        <v>0</v>
      </c>
      <c r="U1516" s="1394">
        <f>IFERROR(VLOOKUP(M1516,#REF!,5,0),0)</f>
        <v>0</v>
      </c>
      <c r="V1516" s="1394">
        <f t="shared" si="473"/>
        <v>0</v>
      </c>
      <c r="W1516" s="1394"/>
    </row>
    <row r="1517" spans="1:23" ht="30" customHeight="1">
      <c r="B1517" s="1407"/>
      <c r="C1517" s="1412" t="s">
        <v>5643</v>
      </c>
      <c r="D1517" s="103"/>
      <c r="E1517" s="103"/>
      <c r="F1517" s="1413"/>
      <c r="G1517" s="1413"/>
      <c r="H1517" s="1414"/>
      <c r="I1517" s="1425">
        <f t="shared" si="487"/>
        <v>0</v>
      </c>
      <c r="Q1517" s="1394">
        <f>IFERROR(VLOOKUP(M1517,#REF!,3,0),0)</f>
        <v>0</v>
      </c>
      <c r="R1517" s="1394">
        <f t="shared" si="471"/>
        <v>0</v>
      </c>
      <c r="S1517" s="1394">
        <f>IFERROR(VLOOKUP(M1517,#REF!,6,0),0)</f>
        <v>0</v>
      </c>
      <c r="T1517" s="1394">
        <f t="shared" si="472"/>
        <v>0</v>
      </c>
      <c r="U1517" s="1394">
        <f>IFERROR(VLOOKUP(M1517,#REF!,5,0),0)</f>
        <v>0</v>
      </c>
      <c r="V1517" s="1394">
        <f t="shared" si="473"/>
        <v>0</v>
      </c>
      <c r="W1517" s="1394"/>
    </row>
    <row r="1518" spans="1:23" ht="30" customHeight="1">
      <c r="B1518" s="1407"/>
      <c r="C1518" s="1455" t="s">
        <v>5651</v>
      </c>
      <c r="D1518" s="103">
        <v>1</v>
      </c>
      <c r="E1518" s="103">
        <v>1</v>
      </c>
      <c r="F1518" s="1413">
        <v>5.9349999999999996</v>
      </c>
      <c r="G1518" s="1413">
        <v>0.23</v>
      </c>
      <c r="H1518" s="1414">
        <f>H1516</f>
        <v>2.92</v>
      </c>
      <c r="I1518" s="1425">
        <f t="shared" si="487"/>
        <v>3.9859459999999993</v>
      </c>
      <c r="Q1518" s="1394">
        <f>IFERROR(VLOOKUP(M1518,#REF!,3,0),0)</f>
        <v>0</v>
      </c>
      <c r="R1518" s="1394">
        <f t="shared" ref="R1518:R1581" si="489">ROUND(O1518,2)*ROUND(Q1518,2)</f>
        <v>0</v>
      </c>
      <c r="S1518" s="1394">
        <f>IFERROR(VLOOKUP(M1518,#REF!,6,0),0)</f>
        <v>0</v>
      </c>
      <c r="T1518" s="1394">
        <f t="shared" ref="T1518:T1581" si="490">R1518-S1518</f>
        <v>0</v>
      </c>
      <c r="U1518" s="1394">
        <f>IFERROR(VLOOKUP(M1518,#REF!,5,0),0)</f>
        <v>0</v>
      </c>
      <c r="V1518" s="1394">
        <f t="shared" ref="V1518:V1581" si="491">O1518-U1518</f>
        <v>0</v>
      </c>
      <c r="W1518" s="1394"/>
    </row>
    <row r="1519" spans="1:23" ht="30" customHeight="1">
      <c r="B1519" s="1407"/>
      <c r="C1519" s="1412" t="s">
        <v>5589</v>
      </c>
      <c r="D1519" s="103"/>
      <c r="E1519" s="103"/>
      <c r="F1519" s="1413"/>
      <c r="G1519" s="1413"/>
      <c r="H1519" s="1414"/>
      <c r="I1519" s="1425">
        <f t="shared" si="487"/>
        <v>0</v>
      </c>
      <c r="K1519" s="1397"/>
      <c r="Q1519" s="1394">
        <f>IFERROR(VLOOKUP(M1519,#REF!,3,0),0)</f>
        <v>0</v>
      </c>
      <c r="R1519" s="1394">
        <f t="shared" si="489"/>
        <v>0</v>
      </c>
      <c r="S1519" s="1394">
        <f>IFERROR(VLOOKUP(M1519,#REF!,6,0),0)</f>
        <v>0</v>
      </c>
      <c r="T1519" s="1394">
        <f t="shared" si="490"/>
        <v>0</v>
      </c>
      <c r="U1519" s="1394">
        <f>IFERROR(VLOOKUP(M1519,#REF!,5,0),0)</f>
        <v>0</v>
      </c>
      <c r="V1519" s="1394">
        <f t="shared" si="491"/>
        <v>0</v>
      </c>
      <c r="W1519" s="1394"/>
    </row>
    <row r="1520" spans="1:23" ht="30" customHeight="1">
      <c r="B1520" s="1407"/>
      <c r="C1520" s="1455" t="s">
        <v>5507</v>
      </c>
      <c r="D1520" s="103">
        <v>-1</v>
      </c>
      <c r="E1520" s="103">
        <f>VLOOKUP(C1520,Sheet1!$I$7:$P$39,7,0)</f>
        <v>1</v>
      </c>
      <c r="F1520" s="1413">
        <f>VLOOKUP(C1520,Sheet1!$I$7:$P$39,2,0)</f>
        <v>1.8</v>
      </c>
      <c r="G1520" s="1413">
        <v>0.23</v>
      </c>
      <c r="H1520" s="1414">
        <f>VLOOKUP(C1520,Sheet1!$I$7:$P$39,3,0)</f>
        <v>2.1</v>
      </c>
      <c r="I1520" s="1425">
        <f t="shared" ref="I1520:I1561" si="492">PRODUCT(D1520:H1520)</f>
        <v>-0.86940000000000006</v>
      </c>
      <c r="Q1520" s="1394">
        <f>IFERROR(VLOOKUP(M1520,#REF!,3,0),0)</f>
        <v>0</v>
      </c>
      <c r="R1520" s="1394">
        <f t="shared" si="489"/>
        <v>0</v>
      </c>
      <c r="S1520" s="1394">
        <f>IFERROR(VLOOKUP(M1520,#REF!,6,0),0)</f>
        <v>0</v>
      </c>
      <c r="T1520" s="1394">
        <f t="shared" si="490"/>
        <v>0</v>
      </c>
      <c r="U1520" s="1394">
        <f>IFERROR(VLOOKUP(M1520,#REF!,5,0),0)</f>
        <v>0</v>
      </c>
      <c r="V1520" s="1394">
        <f t="shared" si="491"/>
        <v>0</v>
      </c>
      <c r="W1520" s="1394"/>
    </row>
    <row r="1521" spans="2:23" ht="30" customHeight="1">
      <c r="B1521" s="1407"/>
      <c r="C1521" s="1455" t="s">
        <v>5509</v>
      </c>
      <c r="D1521" s="103">
        <v>-1</v>
      </c>
      <c r="E1521" s="103">
        <f>VLOOKUP(C1521,Sheet1!$I$7:$P$39,7,0)</f>
        <v>1</v>
      </c>
      <c r="F1521" s="1413">
        <f>VLOOKUP(C1521,Sheet1!$I$7:$P$39,2,0)</f>
        <v>0.75</v>
      </c>
      <c r="G1521" s="1413">
        <v>0.23</v>
      </c>
      <c r="H1521" s="1414">
        <f>VLOOKUP(C1521,Sheet1!$I$7:$P$39,3,0)</f>
        <v>2.1</v>
      </c>
      <c r="I1521" s="1425">
        <f t="shared" si="492"/>
        <v>-0.36225000000000007</v>
      </c>
      <c r="Q1521" s="1394">
        <f>IFERROR(VLOOKUP(M1521,#REF!,3,0),0)</f>
        <v>0</v>
      </c>
      <c r="R1521" s="1394">
        <f t="shared" si="489"/>
        <v>0</v>
      </c>
      <c r="S1521" s="1394">
        <f>IFERROR(VLOOKUP(M1521,#REF!,6,0),0)</f>
        <v>0</v>
      </c>
      <c r="T1521" s="1394">
        <f t="shared" si="490"/>
        <v>0</v>
      </c>
      <c r="U1521" s="1394">
        <f>IFERROR(VLOOKUP(M1521,#REF!,5,0),0)</f>
        <v>0</v>
      </c>
      <c r="V1521" s="1394">
        <f t="shared" si="491"/>
        <v>0</v>
      </c>
      <c r="W1521" s="1394"/>
    </row>
    <row r="1522" spans="2:23" ht="30" customHeight="1">
      <c r="B1522" s="1407"/>
      <c r="C1522" s="1412" t="s">
        <v>25</v>
      </c>
      <c r="D1522" s="103">
        <v>-1</v>
      </c>
      <c r="E1522" s="103">
        <f>VLOOKUP(C1522,Sheet1!$I$7:$P$39,7,0)</f>
        <v>5</v>
      </c>
      <c r="F1522" s="1413">
        <f>VLOOKUP(C1522,Sheet1!$I$7:$P$39,2,0)</f>
        <v>1</v>
      </c>
      <c r="G1522" s="1413">
        <v>0.23</v>
      </c>
      <c r="H1522" s="1414">
        <f>VLOOKUP(C1522,Sheet1!$I$7:$P$39,3,0)</f>
        <v>2.1</v>
      </c>
      <c r="I1522" s="1425">
        <f t="shared" si="492"/>
        <v>-2.4150000000000005</v>
      </c>
      <c r="M1522" s="110"/>
      <c r="Q1522" s="1394">
        <f>IFERROR(VLOOKUP(M1522,#REF!,3,0),0)</f>
        <v>0</v>
      </c>
      <c r="R1522" s="1394">
        <f t="shared" si="489"/>
        <v>0</v>
      </c>
      <c r="S1522" s="1394">
        <f>IFERROR(VLOOKUP(M1522,#REF!,6,0),0)</f>
        <v>0</v>
      </c>
      <c r="T1522" s="1394">
        <f t="shared" si="490"/>
        <v>0</v>
      </c>
      <c r="U1522" s="1394">
        <f>IFERROR(VLOOKUP(M1522,#REF!,5,0),0)</f>
        <v>0</v>
      </c>
      <c r="V1522" s="1394">
        <f t="shared" si="491"/>
        <v>0</v>
      </c>
      <c r="W1522" s="1394"/>
    </row>
    <row r="1523" spans="2:23" ht="30" customHeight="1">
      <c r="B1523" s="1407"/>
      <c r="C1523" s="1455" t="s">
        <v>342</v>
      </c>
      <c r="D1523" s="103">
        <v>-1</v>
      </c>
      <c r="E1523" s="103">
        <f>VLOOKUP(C1523,Sheet1!$I$7:$P$39,7,0)</f>
        <v>1</v>
      </c>
      <c r="F1523" s="1413">
        <f>VLOOKUP(C1523,Sheet1!$I$7:$P$39,2,0)</f>
        <v>1</v>
      </c>
      <c r="G1523" s="1413">
        <v>0.23</v>
      </c>
      <c r="H1523" s="1414">
        <f>VLOOKUP(C1523,Sheet1!$I$7:$P$39,3,0)</f>
        <v>2.1</v>
      </c>
      <c r="I1523" s="1425">
        <f t="shared" si="492"/>
        <v>-0.48300000000000004</v>
      </c>
      <c r="M1523" s="110"/>
      <c r="Q1523" s="1394">
        <f>IFERROR(VLOOKUP(M1523,#REF!,3,0),0)</f>
        <v>0</v>
      </c>
      <c r="R1523" s="1394">
        <f t="shared" si="489"/>
        <v>0</v>
      </c>
      <c r="S1523" s="1394">
        <f>IFERROR(VLOOKUP(M1523,#REF!,6,0),0)</f>
        <v>0</v>
      </c>
      <c r="T1523" s="1394">
        <f t="shared" si="490"/>
        <v>0</v>
      </c>
      <c r="U1523" s="1394">
        <f>IFERROR(VLOOKUP(M1523,#REF!,5,0),0)</f>
        <v>0</v>
      </c>
      <c r="V1523" s="1394">
        <f t="shared" si="491"/>
        <v>0</v>
      </c>
      <c r="W1523" s="1394"/>
    </row>
    <row r="1524" spans="2:23" ht="30" customHeight="1">
      <c r="B1524" s="1407"/>
      <c r="C1524" s="1412" t="s">
        <v>256</v>
      </c>
      <c r="D1524" s="103">
        <v>-1</v>
      </c>
      <c r="E1524" s="103">
        <f>VLOOKUP(C1524,Sheet1!$I$7:$P$39,7,0)</f>
        <v>1</v>
      </c>
      <c r="F1524" s="1413">
        <f>VLOOKUP(C1524,Sheet1!$I$7:$P$39,2,0)</f>
        <v>1.2</v>
      </c>
      <c r="G1524" s="1413">
        <v>0.23</v>
      </c>
      <c r="H1524" s="1414">
        <f>VLOOKUP(C1524,Sheet1!$I$7:$P$39,3,0)</f>
        <v>2.1</v>
      </c>
      <c r="I1524" s="1425">
        <f t="shared" si="492"/>
        <v>-0.57960000000000012</v>
      </c>
      <c r="M1524" s="110"/>
      <c r="Q1524" s="1394">
        <f>IFERROR(VLOOKUP(M1524,#REF!,3,0),0)</f>
        <v>0</v>
      </c>
      <c r="R1524" s="1394">
        <f t="shared" si="489"/>
        <v>0</v>
      </c>
      <c r="S1524" s="1394">
        <f>IFERROR(VLOOKUP(M1524,#REF!,6,0),0)</f>
        <v>0</v>
      </c>
      <c r="T1524" s="1394">
        <f t="shared" si="490"/>
        <v>0</v>
      </c>
      <c r="U1524" s="1394">
        <f>IFERROR(VLOOKUP(M1524,#REF!,5,0),0)</f>
        <v>0</v>
      </c>
      <c r="V1524" s="1394">
        <f t="shared" si="491"/>
        <v>0</v>
      </c>
      <c r="W1524" s="1394"/>
    </row>
    <row r="1525" spans="2:23" ht="30" customHeight="1">
      <c r="B1525" s="1407"/>
      <c r="C1525" s="1455" t="s">
        <v>5510</v>
      </c>
      <c r="D1525" s="103">
        <v>-1</v>
      </c>
      <c r="E1525" s="103">
        <f>VLOOKUP(C1525,Sheet1!$I$7:$P$39,7,0)</f>
        <v>1</v>
      </c>
      <c r="F1525" s="1413">
        <f>VLOOKUP(C1525,Sheet1!$I$7:$P$39,2,0)</f>
        <v>1</v>
      </c>
      <c r="G1525" s="1413">
        <v>0.23</v>
      </c>
      <c r="H1525" s="1414">
        <f>VLOOKUP(C1525,Sheet1!$I$7:$P$39,3,0)</f>
        <v>2.1</v>
      </c>
      <c r="I1525" s="1425">
        <f t="shared" si="492"/>
        <v>-0.48300000000000004</v>
      </c>
      <c r="M1525" s="110"/>
      <c r="Q1525" s="1394">
        <f>IFERROR(VLOOKUP(M1525,#REF!,3,0),0)</f>
        <v>0</v>
      </c>
      <c r="R1525" s="1394">
        <f t="shared" si="489"/>
        <v>0</v>
      </c>
      <c r="S1525" s="1394">
        <f>IFERROR(VLOOKUP(M1525,#REF!,6,0),0)</f>
        <v>0</v>
      </c>
      <c r="T1525" s="1394">
        <f t="shared" si="490"/>
        <v>0</v>
      </c>
      <c r="U1525" s="1394">
        <f>IFERROR(VLOOKUP(M1525,#REF!,5,0),0)</f>
        <v>0</v>
      </c>
      <c r="V1525" s="1394">
        <f t="shared" si="491"/>
        <v>0</v>
      </c>
      <c r="W1525" s="1394"/>
    </row>
    <row r="1526" spans="2:23" ht="30" customHeight="1">
      <c r="B1526" s="1407"/>
      <c r="C1526" s="1455" t="s">
        <v>188</v>
      </c>
      <c r="D1526" s="103">
        <v>-1</v>
      </c>
      <c r="E1526" s="103">
        <f>VLOOKUP(C1526,Sheet1!$I$7:$P$39,7,0)</f>
        <v>5</v>
      </c>
      <c r="F1526" s="1413">
        <f>VLOOKUP(C1526,Sheet1!$I$7:$P$39,2,0)</f>
        <v>0.75</v>
      </c>
      <c r="G1526" s="1413">
        <v>0.23</v>
      </c>
      <c r="H1526" s="1414">
        <f>VLOOKUP(C1526,Sheet1!$I$7:$P$39,3,0)</f>
        <v>2.1</v>
      </c>
      <c r="I1526" s="1425">
        <f t="shared" si="492"/>
        <v>-1.8112500000000002</v>
      </c>
      <c r="M1526" s="110"/>
      <c r="Q1526" s="1394">
        <f>IFERROR(VLOOKUP(M1526,#REF!,3,0),0)</f>
        <v>0</v>
      </c>
      <c r="R1526" s="1394">
        <f t="shared" si="489"/>
        <v>0</v>
      </c>
      <c r="S1526" s="1394">
        <f>IFERROR(VLOOKUP(M1526,#REF!,6,0),0)</f>
        <v>0</v>
      </c>
      <c r="T1526" s="1394">
        <f t="shared" si="490"/>
        <v>0</v>
      </c>
      <c r="U1526" s="1394">
        <f>IFERROR(VLOOKUP(M1526,#REF!,5,0),0)</f>
        <v>0</v>
      </c>
      <c r="V1526" s="1394">
        <f t="shared" si="491"/>
        <v>0</v>
      </c>
      <c r="W1526" s="1394"/>
    </row>
    <row r="1527" spans="2:23" ht="30" customHeight="1">
      <c r="B1527" s="1407"/>
      <c r="C1527" s="1455" t="s">
        <v>5577</v>
      </c>
      <c r="D1527" s="103">
        <v>-1</v>
      </c>
      <c r="E1527" s="103">
        <f>VLOOKUP(C1527,Sheet1!$I$7:$P$39,7,0)</f>
        <v>1</v>
      </c>
      <c r="F1527" s="1413">
        <f>VLOOKUP(C1527,Sheet1!$I$7:$P$39,2,0)</f>
        <v>0.9</v>
      </c>
      <c r="G1527" s="1413">
        <v>0.23</v>
      </c>
      <c r="H1527" s="1414">
        <f>VLOOKUP(C1527,Sheet1!$I$7:$P$39,3,0)</f>
        <v>2.1</v>
      </c>
      <c r="I1527" s="1425">
        <f t="shared" si="492"/>
        <v>-0.43470000000000003</v>
      </c>
      <c r="M1527" s="110"/>
      <c r="Q1527" s="1394">
        <f>IFERROR(VLOOKUP(M1527,#REF!,3,0),0)</f>
        <v>0</v>
      </c>
      <c r="R1527" s="1394">
        <f t="shared" si="489"/>
        <v>0</v>
      </c>
      <c r="S1527" s="1394">
        <f>IFERROR(VLOOKUP(M1527,#REF!,6,0),0)</f>
        <v>0</v>
      </c>
      <c r="T1527" s="1394">
        <f t="shared" si="490"/>
        <v>0</v>
      </c>
      <c r="U1527" s="1394">
        <f>IFERROR(VLOOKUP(M1527,#REF!,5,0),0)</f>
        <v>0</v>
      </c>
      <c r="V1527" s="1394">
        <f t="shared" si="491"/>
        <v>0</v>
      </c>
      <c r="W1527" s="1394"/>
    </row>
    <row r="1528" spans="2:23" ht="30" customHeight="1">
      <c r="B1528" s="1407"/>
      <c r="C1528" s="1412" t="s">
        <v>190</v>
      </c>
      <c r="D1528" s="103">
        <v>-1</v>
      </c>
      <c r="E1528" s="103">
        <f>VLOOKUP(C1528,Sheet1!$I$7:$P$39,7,0)</f>
        <v>2</v>
      </c>
      <c r="F1528" s="1413">
        <f>VLOOKUP(C1528,Sheet1!$I$7:$P$39,2,0)</f>
        <v>0.81299999999999994</v>
      </c>
      <c r="G1528" s="1413">
        <v>0.23</v>
      </c>
      <c r="H1528" s="1414">
        <f>VLOOKUP(C1528,Sheet1!$I$7:$P$39,3,0)</f>
        <v>1.8</v>
      </c>
      <c r="I1528" s="1425">
        <f t="shared" si="492"/>
        <v>-0.67316399999999998</v>
      </c>
      <c r="M1528" s="110"/>
      <c r="Q1528" s="1394">
        <f>IFERROR(VLOOKUP(M1528,#REF!,3,0),0)</f>
        <v>0</v>
      </c>
      <c r="R1528" s="1394">
        <f t="shared" si="489"/>
        <v>0</v>
      </c>
      <c r="S1528" s="1394">
        <f>IFERROR(VLOOKUP(M1528,#REF!,6,0),0)</f>
        <v>0</v>
      </c>
      <c r="T1528" s="1394">
        <f t="shared" si="490"/>
        <v>0</v>
      </c>
      <c r="U1528" s="1394">
        <f>IFERROR(VLOOKUP(M1528,#REF!,5,0),0)</f>
        <v>0</v>
      </c>
      <c r="V1528" s="1394">
        <f t="shared" si="491"/>
        <v>0</v>
      </c>
      <c r="W1528" s="1394"/>
    </row>
    <row r="1529" spans="2:23" ht="30" customHeight="1">
      <c r="B1529" s="1407"/>
      <c r="C1529" s="1455" t="s">
        <v>5513</v>
      </c>
      <c r="D1529" s="103">
        <v>-1</v>
      </c>
      <c r="E1529" s="103">
        <f>VLOOKUP(C1529,Sheet1!$I$7:$P$39,7,0)</f>
        <v>1</v>
      </c>
      <c r="F1529" s="1413">
        <f>VLOOKUP(C1529,Sheet1!$I$7:$P$39,2,0)</f>
        <v>2</v>
      </c>
      <c r="G1529" s="1413">
        <v>0.23</v>
      </c>
      <c r="H1529" s="1414">
        <f>VLOOKUP(C1529,Sheet1!$I$7:$P$39,3,0)</f>
        <v>1.8</v>
      </c>
      <c r="I1529" s="1425">
        <f t="shared" si="492"/>
        <v>-0.82800000000000007</v>
      </c>
      <c r="M1529" s="110"/>
      <c r="Q1529" s="1394">
        <f>IFERROR(VLOOKUP(M1529,#REF!,3,0),0)</f>
        <v>0</v>
      </c>
      <c r="R1529" s="1394">
        <f t="shared" si="489"/>
        <v>0</v>
      </c>
      <c r="S1529" s="1394">
        <f>IFERROR(VLOOKUP(M1529,#REF!,6,0),0)</f>
        <v>0</v>
      </c>
      <c r="T1529" s="1394">
        <f t="shared" si="490"/>
        <v>0</v>
      </c>
      <c r="U1529" s="1394">
        <f>IFERROR(VLOOKUP(M1529,#REF!,5,0),0)</f>
        <v>0</v>
      </c>
      <c r="V1529" s="1394">
        <f t="shared" si="491"/>
        <v>0</v>
      </c>
      <c r="W1529" s="1394"/>
    </row>
    <row r="1530" spans="2:23" ht="30" customHeight="1">
      <c r="B1530" s="1407"/>
      <c r="C1530" s="1455" t="s">
        <v>5514</v>
      </c>
      <c r="D1530" s="103">
        <v>-1</v>
      </c>
      <c r="E1530" s="103">
        <f>VLOOKUP(C1530,Sheet1!$I$7:$P$39,7,0)</f>
        <v>2</v>
      </c>
      <c r="F1530" s="1413">
        <f>VLOOKUP(C1530,Sheet1!$I$7:$P$39,2,0)</f>
        <v>1.2</v>
      </c>
      <c r="G1530" s="1413">
        <v>0.23</v>
      </c>
      <c r="H1530" s="1414">
        <f>VLOOKUP(C1530,Sheet1!$I$7:$P$39,3,0)</f>
        <v>1.8</v>
      </c>
      <c r="I1530" s="1425">
        <f t="shared" si="492"/>
        <v>-0.99360000000000015</v>
      </c>
      <c r="M1530" s="110"/>
      <c r="Q1530" s="1394">
        <f>IFERROR(VLOOKUP(M1530,#REF!,3,0),0)</f>
        <v>0</v>
      </c>
      <c r="R1530" s="1394">
        <f t="shared" si="489"/>
        <v>0</v>
      </c>
      <c r="S1530" s="1394">
        <f>IFERROR(VLOOKUP(M1530,#REF!,6,0),0)</f>
        <v>0</v>
      </c>
      <c r="T1530" s="1394">
        <f t="shared" si="490"/>
        <v>0</v>
      </c>
      <c r="U1530" s="1394">
        <f>IFERROR(VLOOKUP(M1530,#REF!,5,0),0)</f>
        <v>0</v>
      </c>
      <c r="V1530" s="1394">
        <f t="shared" si="491"/>
        <v>0</v>
      </c>
      <c r="W1530" s="1394"/>
    </row>
    <row r="1531" spans="2:23" ht="30" customHeight="1">
      <c r="B1531" s="1407"/>
      <c r="C1531" s="1455" t="s">
        <v>252</v>
      </c>
      <c r="D1531" s="103">
        <v>-1</v>
      </c>
      <c r="E1531" s="103">
        <f>VLOOKUP(C1531,Sheet1!$I$7:$P$39,7,0)</f>
        <v>1</v>
      </c>
      <c r="F1531" s="1413">
        <f>VLOOKUP(C1531,Sheet1!$I$7:$P$39,2,0)</f>
        <v>1.8</v>
      </c>
      <c r="G1531" s="1413">
        <v>0.23</v>
      </c>
      <c r="H1531" s="1414">
        <f>VLOOKUP(C1531,Sheet1!$I$7:$P$39,3,0)</f>
        <v>1.35</v>
      </c>
      <c r="I1531" s="1425">
        <f t="shared" si="492"/>
        <v>-0.55890000000000006</v>
      </c>
      <c r="J1531" s="1394"/>
      <c r="K1531" s="1394"/>
      <c r="M1531" s="110"/>
      <c r="Q1531" s="1394">
        <f>IFERROR(VLOOKUP(M1531,#REF!,3,0),0)</f>
        <v>0</v>
      </c>
      <c r="R1531" s="1394">
        <f t="shared" si="489"/>
        <v>0</v>
      </c>
      <c r="S1531" s="1394">
        <f>IFERROR(VLOOKUP(M1531,#REF!,6,0),0)</f>
        <v>0</v>
      </c>
      <c r="T1531" s="1394">
        <f t="shared" si="490"/>
        <v>0</v>
      </c>
      <c r="U1531" s="1394">
        <f>IFERROR(VLOOKUP(M1531,#REF!,5,0),0)</f>
        <v>0</v>
      </c>
      <c r="V1531" s="1394">
        <f t="shared" si="491"/>
        <v>0</v>
      </c>
      <c r="W1531" s="1394"/>
    </row>
    <row r="1532" spans="2:23" ht="30" customHeight="1">
      <c r="B1532" s="1407"/>
      <c r="C1532" s="1455" t="s">
        <v>248</v>
      </c>
      <c r="D1532" s="103">
        <v>-1</v>
      </c>
      <c r="E1532" s="103">
        <f>VLOOKUP(C1532,Sheet1!$I$7:$P$39,7,0)</f>
        <v>1</v>
      </c>
      <c r="F1532" s="1413">
        <f>VLOOKUP(C1532,Sheet1!$I$7:$P$39,2,0)</f>
        <v>1.8</v>
      </c>
      <c r="G1532" s="1413">
        <v>0.23</v>
      </c>
      <c r="H1532" s="1414">
        <f>VLOOKUP(C1532,Sheet1!$I$7:$P$39,3,0)</f>
        <v>1.35</v>
      </c>
      <c r="I1532" s="1425">
        <f t="shared" si="492"/>
        <v>-0.55890000000000006</v>
      </c>
      <c r="J1532" s="1394"/>
      <c r="K1532" s="1394"/>
      <c r="M1532" s="110"/>
      <c r="Q1532" s="1394">
        <f>IFERROR(VLOOKUP(M1532,#REF!,3,0),0)</f>
        <v>0</v>
      </c>
      <c r="R1532" s="1394">
        <f t="shared" si="489"/>
        <v>0</v>
      </c>
      <c r="S1532" s="1394">
        <f>IFERROR(VLOOKUP(M1532,#REF!,6,0),0)</f>
        <v>0</v>
      </c>
      <c r="T1532" s="1394">
        <f t="shared" si="490"/>
        <v>0</v>
      </c>
      <c r="U1532" s="1394">
        <f>IFERROR(VLOOKUP(M1532,#REF!,5,0),0)</f>
        <v>0</v>
      </c>
      <c r="V1532" s="1394">
        <f t="shared" si="491"/>
        <v>0</v>
      </c>
      <c r="W1532" s="1394"/>
    </row>
    <row r="1533" spans="2:23" ht="30" customHeight="1">
      <c r="B1533" s="1407"/>
      <c r="C1533" s="1455" t="s">
        <v>250</v>
      </c>
      <c r="D1533" s="103">
        <v>-1</v>
      </c>
      <c r="E1533" s="103">
        <f>VLOOKUP(C1533,Sheet1!$I$7:$P$39,7,0)</f>
        <v>13</v>
      </c>
      <c r="F1533" s="1413">
        <f>VLOOKUP(C1533,Sheet1!$I$7:$P$39,2,0)</f>
        <v>1.2</v>
      </c>
      <c r="G1533" s="1413">
        <v>0.23</v>
      </c>
      <c r="H1533" s="1414">
        <f>VLOOKUP(C1533,Sheet1!$I$7:$P$39,3,0)</f>
        <v>1.35</v>
      </c>
      <c r="I1533" s="1425">
        <f t="shared" si="492"/>
        <v>-4.8438000000000008</v>
      </c>
      <c r="J1533" s="1394"/>
      <c r="K1533" s="1394"/>
      <c r="M1533" s="110"/>
      <c r="Q1533" s="1394">
        <f>IFERROR(VLOOKUP(M1533,#REF!,3,0),0)</f>
        <v>0</v>
      </c>
      <c r="R1533" s="1394">
        <f t="shared" si="489"/>
        <v>0</v>
      </c>
      <c r="S1533" s="1394">
        <f>IFERROR(VLOOKUP(M1533,#REF!,6,0),0)</f>
        <v>0</v>
      </c>
      <c r="T1533" s="1394">
        <f t="shared" si="490"/>
        <v>0</v>
      </c>
      <c r="U1533" s="1394">
        <f>IFERROR(VLOOKUP(M1533,#REF!,5,0),0)</f>
        <v>0</v>
      </c>
      <c r="V1533" s="1394">
        <f t="shared" si="491"/>
        <v>0</v>
      </c>
      <c r="W1533" s="1394"/>
    </row>
    <row r="1534" spans="2:23" ht="30" customHeight="1">
      <c r="B1534" s="1407"/>
      <c r="C1534" s="1455" t="s">
        <v>251</v>
      </c>
      <c r="D1534" s="103">
        <v>-1</v>
      </c>
      <c r="E1534" s="103">
        <f>VLOOKUP(C1534,Sheet1!$I$7:$P$39,7,0)</f>
        <v>5</v>
      </c>
      <c r="F1534" s="1413">
        <f>VLOOKUP(C1534,Sheet1!$I$7:$P$39,2,0)</f>
        <v>1</v>
      </c>
      <c r="G1534" s="1413">
        <v>0.23</v>
      </c>
      <c r="H1534" s="1414">
        <f>VLOOKUP(C1534,Sheet1!$I$7:$P$39,3,0)</f>
        <v>1.35</v>
      </c>
      <c r="I1534" s="1425">
        <f t="shared" si="492"/>
        <v>-1.5525000000000002</v>
      </c>
      <c r="J1534" s="1394"/>
      <c r="K1534" s="1394"/>
      <c r="M1534" s="110"/>
      <c r="Q1534" s="1394">
        <f>IFERROR(VLOOKUP(M1534,#REF!,3,0),0)</f>
        <v>0</v>
      </c>
      <c r="R1534" s="1394">
        <f t="shared" si="489"/>
        <v>0</v>
      </c>
      <c r="S1534" s="1394">
        <f>IFERROR(VLOOKUP(M1534,#REF!,6,0),0)</f>
        <v>0</v>
      </c>
      <c r="T1534" s="1394">
        <f t="shared" si="490"/>
        <v>0</v>
      </c>
      <c r="U1534" s="1394">
        <f>IFERROR(VLOOKUP(M1534,#REF!,5,0),0)</f>
        <v>0</v>
      </c>
      <c r="V1534" s="1394">
        <f t="shared" si="491"/>
        <v>0</v>
      </c>
      <c r="W1534" s="1394"/>
    </row>
    <row r="1535" spans="2:23" ht="30" customHeight="1">
      <c r="B1535" s="1407"/>
      <c r="C1535" s="1455" t="s">
        <v>5518</v>
      </c>
      <c r="D1535" s="103">
        <v>-1</v>
      </c>
      <c r="E1535" s="103">
        <f>VLOOKUP(C1535,Sheet1!$I$7:$P$39,7,0)</f>
        <v>2</v>
      </c>
      <c r="F1535" s="1413">
        <f>VLOOKUP(C1535,Sheet1!$I$7:$P$39,2,0)</f>
        <v>2.1</v>
      </c>
      <c r="G1535" s="1413">
        <v>0.23</v>
      </c>
      <c r="H1535" s="1414">
        <f>VLOOKUP(C1535,Sheet1!$I$7:$P$39,3,0)</f>
        <v>1.35</v>
      </c>
      <c r="I1535" s="1425">
        <f t="shared" si="492"/>
        <v>-1.3041000000000003</v>
      </c>
      <c r="J1535" s="1394"/>
      <c r="K1535" s="1394"/>
      <c r="M1535" s="110"/>
      <c r="Q1535" s="1394">
        <f>IFERROR(VLOOKUP(M1535,#REF!,3,0),0)</f>
        <v>0</v>
      </c>
      <c r="R1535" s="1394">
        <f t="shared" si="489"/>
        <v>0</v>
      </c>
      <c r="S1535" s="1394">
        <f>IFERROR(VLOOKUP(M1535,#REF!,6,0),0)</f>
        <v>0</v>
      </c>
      <c r="T1535" s="1394">
        <f t="shared" si="490"/>
        <v>0</v>
      </c>
      <c r="U1535" s="1394">
        <f>IFERROR(VLOOKUP(M1535,#REF!,5,0),0)</f>
        <v>0</v>
      </c>
      <c r="V1535" s="1394">
        <f t="shared" si="491"/>
        <v>0</v>
      </c>
      <c r="W1535" s="1394"/>
    </row>
    <row r="1536" spans="2:23" ht="30" customHeight="1">
      <c r="B1536" s="1407"/>
      <c r="C1536" s="1455" t="s">
        <v>255</v>
      </c>
      <c r="D1536" s="103">
        <v>-1</v>
      </c>
      <c r="E1536" s="103">
        <f>VLOOKUP(C1536,Sheet1!$I$7:$P$39,7,0)</f>
        <v>3</v>
      </c>
      <c r="F1536" s="1413">
        <f>VLOOKUP(C1536,Sheet1!$I$7:$P$39,2,0)</f>
        <v>1.35</v>
      </c>
      <c r="G1536" s="1413">
        <v>0.23</v>
      </c>
      <c r="H1536" s="1414">
        <f>VLOOKUP(C1536,Sheet1!$I$7:$P$39,3,0)</f>
        <v>0.6</v>
      </c>
      <c r="I1536" s="1425">
        <f t="shared" si="492"/>
        <v>-0.55890000000000006</v>
      </c>
      <c r="J1536" s="1394"/>
      <c r="K1536" s="1394"/>
      <c r="M1536" s="110"/>
      <c r="Q1536" s="1394">
        <f>IFERROR(VLOOKUP(M1536,#REF!,3,0),0)</f>
        <v>0</v>
      </c>
      <c r="R1536" s="1394">
        <f t="shared" si="489"/>
        <v>0</v>
      </c>
      <c r="S1536" s="1394">
        <f>IFERROR(VLOOKUP(M1536,#REF!,6,0),0)</f>
        <v>0</v>
      </c>
      <c r="T1536" s="1394">
        <f t="shared" si="490"/>
        <v>0</v>
      </c>
      <c r="U1536" s="1394">
        <f>IFERROR(VLOOKUP(M1536,#REF!,5,0),0)</f>
        <v>0</v>
      </c>
      <c r="V1536" s="1394">
        <f t="shared" si="491"/>
        <v>0</v>
      </c>
      <c r="W1536" s="1394"/>
    </row>
    <row r="1537" spans="1:23" ht="30" customHeight="1">
      <c r="B1537" s="1407"/>
      <c r="C1537" s="1455" t="s">
        <v>257</v>
      </c>
      <c r="D1537" s="103">
        <v>-1</v>
      </c>
      <c r="E1537" s="103">
        <f>VLOOKUP(C1537,Sheet1!$I$7:$P$39,7,0)</f>
        <v>5</v>
      </c>
      <c r="F1537" s="1413">
        <f>VLOOKUP(C1537,Sheet1!$I$7:$P$39,2,0)</f>
        <v>0.9</v>
      </c>
      <c r="G1537" s="1413">
        <v>0.23</v>
      </c>
      <c r="H1537" s="1414">
        <f>VLOOKUP(C1537,Sheet1!$I$7:$P$39,3,0)</f>
        <v>0.75</v>
      </c>
      <c r="I1537" s="1425">
        <f t="shared" si="492"/>
        <v>-0.77625000000000011</v>
      </c>
      <c r="M1537" s="110"/>
      <c r="Q1537" s="1394">
        <f>IFERROR(VLOOKUP(M1537,#REF!,3,0),0)</f>
        <v>0</v>
      </c>
      <c r="R1537" s="1394">
        <f t="shared" si="489"/>
        <v>0</v>
      </c>
      <c r="S1537" s="1394">
        <f>IFERROR(VLOOKUP(M1537,#REF!,6,0),0)</f>
        <v>0</v>
      </c>
      <c r="T1537" s="1394">
        <f t="shared" si="490"/>
        <v>0</v>
      </c>
      <c r="U1537" s="1394">
        <f>IFERROR(VLOOKUP(M1537,#REF!,5,0),0)</f>
        <v>0</v>
      </c>
      <c r="V1537" s="1394">
        <f t="shared" si="491"/>
        <v>0</v>
      </c>
      <c r="W1537" s="1394"/>
    </row>
    <row r="1538" spans="1:23" ht="30" customHeight="1">
      <c r="B1538" s="1407"/>
      <c r="C1538" s="1455" t="s">
        <v>5520</v>
      </c>
      <c r="D1538" s="103">
        <v>-1</v>
      </c>
      <c r="E1538" s="103">
        <f>VLOOKUP(C1538,Sheet1!$I$7:$P$39,7,0)</f>
        <v>2</v>
      </c>
      <c r="F1538" s="1413">
        <f>VLOOKUP(C1538,Sheet1!$I$7:$P$39,2,0)</f>
        <v>0.9</v>
      </c>
      <c r="G1538" s="1413">
        <v>0.23</v>
      </c>
      <c r="H1538" s="1414">
        <f>VLOOKUP(C1538,Sheet1!$I$7:$P$39,3,0)</f>
        <v>0.75</v>
      </c>
      <c r="I1538" s="1425">
        <f t="shared" si="492"/>
        <v>-0.3105</v>
      </c>
      <c r="Q1538" s="1394">
        <f>IFERROR(VLOOKUP(M1538,#REF!,3,0),0)</f>
        <v>0</v>
      </c>
      <c r="R1538" s="1394">
        <f t="shared" si="489"/>
        <v>0</v>
      </c>
      <c r="S1538" s="1394">
        <f>IFERROR(VLOOKUP(M1538,#REF!,6,0),0)</f>
        <v>0</v>
      </c>
      <c r="T1538" s="1394">
        <f t="shared" si="490"/>
        <v>0</v>
      </c>
      <c r="U1538" s="1394">
        <f>IFERROR(VLOOKUP(M1538,#REF!,5,0),0)</f>
        <v>0</v>
      </c>
      <c r="V1538" s="1394">
        <f t="shared" si="491"/>
        <v>0</v>
      </c>
      <c r="W1538" s="1394"/>
    </row>
    <row r="1539" spans="1:23" ht="30" customHeight="1">
      <c r="B1539" s="1407"/>
      <c r="C1539" s="1412" t="s">
        <v>338</v>
      </c>
      <c r="D1539" s="103"/>
      <c r="E1539" s="103"/>
      <c r="F1539" s="1413"/>
      <c r="G1539" s="1413"/>
      <c r="H1539" s="1414"/>
      <c r="I1539" s="1425">
        <f t="shared" si="492"/>
        <v>0</v>
      </c>
      <c r="Q1539" s="1394">
        <f>IFERROR(VLOOKUP(M1539,#REF!,3,0),0)</f>
        <v>0</v>
      </c>
      <c r="R1539" s="1394">
        <f t="shared" si="489"/>
        <v>0</v>
      </c>
      <c r="S1539" s="1394">
        <f>IFERROR(VLOOKUP(M1539,#REF!,6,0),0)</f>
        <v>0</v>
      </c>
      <c r="T1539" s="1394">
        <f t="shared" si="490"/>
        <v>0</v>
      </c>
      <c r="U1539" s="1394">
        <f>IFERROR(VLOOKUP(M1539,#REF!,5,0),0)</f>
        <v>0</v>
      </c>
      <c r="V1539" s="1394">
        <f t="shared" si="491"/>
        <v>0</v>
      </c>
      <c r="W1539" s="1394"/>
    </row>
    <row r="1540" spans="1:23" ht="30" customHeight="1">
      <c r="B1540" s="1405"/>
      <c r="C1540" s="1455" t="str">
        <f t="shared" ref="C1540:G1549" si="493">C1497</f>
        <v>Main wall all alround</v>
      </c>
      <c r="D1540" s="103">
        <f>-D1497</f>
        <v>-1</v>
      </c>
      <c r="E1540" s="103">
        <f t="shared" si="493"/>
        <v>1</v>
      </c>
      <c r="F1540" s="1413">
        <f t="shared" si="493"/>
        <v>86.29</v>
      </c>
      <c r="G1540" s="1413">
        <f t="shared" si="493"/>
        <v>0.23</v>
      </c>
      <c r="H1540" s="1414">
        <f>H1491</f>
        <v>0.1</v>
      </c>
      <c r="I1540" s="1425">
        <f t="shared" si="492"/>
        <v>-1.9846700000000004</v>
      </c>
      <c r="Q1540" s="1394">
        <f>IFERROR(VLOOKUP(M1540,#REF!,3,0),0)</f>
        <v>0</v>
      </c>
      <c r="R1540" s="1394">
        <f t="shared" si="489"/>
        <v>0</v>
      </c>
      <c r="S1540" s="1394">
        <f>IFERROR(VLOOKUP(M1540,#REF!,6,0),0)</f>
        <v>0</v>
      </c>
      <c r="T1540" s="1394">
        <f t="shared" si="490"/>
        <v>0</v>
      </c>
      <c r="U1540" s="1394">
        <f>IFERROR(VLOOKUP(M1540,#REF!,5,0),0)</f>
        <v>0</v>
      </c>
      <c r="V1540" s="1394">
        <f t="shared" si="491"/>
        <v>0</v>
      </c>
      <c r="W1540" s="1394"/>
    </row>
    <row r="1541" spans="1:23" ht="30" customHeight="1">
      <c r="B1541" s="1407"/>
      <c r="C1541" s="1455" t="str">
        <f t="shared" si="493"/>
        <v>Lift Front Wall</v>
      </c>
      <c r="D1541" s="103">
        <f t="shared" ref="D1541:D1561" si="494">-D1498</f>
        <v>-1</v>
      </c>
      <c r="E1541" s="103">
        <f t="shared" si="493"/>
        <v>1</v>
      </c>
      <c r="F1541" s="1413">
        <f t="shared" si="493"/>
        <v>2.5350000000000001</v>
      </c>
      <c r="G1541" s="1413">
        <f t="shared" si="493"/>
        <v>0.23</v>
      </c>
      <c r="H1541" s="1414">
        <f>H1540</f>
        <v>0.1</v>
      </c>
      <c r="I1541" s="1425">
        <f t="shared" si="492"/>
        <v>-5.830500000000001E-2</v>
      </c>
      <c r="J1541" s="1397"/>
      <c r="K1541" s="1397"/>
      <c r="Q1541" s="1394">
        <f>IFERROR(VLOOKUP(M1541,#REF!,3,0),0)</f>
        <v>0</v>
      </c>
      <c r="R1541" s="1394">
        <f t="shared" si="489"/>
        <v>0</v>
      </c>
      <c r="S1541" s="1394">
        <f>IFERROR(VLOOKUP(M1541,#REF!,6,0),0)</f>
        <v>0</v>
      </c>
      <c r="T1541" s="1394">
        <f t="shared" si="490"/>
        <v>0</v>
      </c>
      <c r="U1541" s="1394">
        <f>IFERROR(VLOOKUP(M1541,#REF!,5,0),0)</f>
        <v>0</v>
      </c>
      <c r="V1541" s="1394">
        <f t="shared" si="491"/>
        <v>0</v>
      </c>
      <c r="W1541" s="1394"/>
    </row>
    <row r="1542" spans="1:23" ht="30" customHeight="1">
      <c r="B1542" s="1407"/>
      <c r="C1542" s="1455" t="str">
        <f t="shared" si="493"/>
        <v>Lift Side Wall</v>
      </c>
      <c r="D1542" s="103">
        <f t="shared" si="494"/>
        <v>-1</v>
      </c>
      <c r="E1542" s="103">
        <f t="shared" si="493"/>
        <v>1</v>
      </c>
      <c r="F1542" s="1413">
        <f t="shared" si="493"/>
        <v>2.33</v>
      </c>
      <c r="G1542" s="1413">
        <f t="shared" si="493"/>
        <v>0.23</v>
      </c>
      <c r="H1542" s="1414">
        <f t="shared" ref="H1542:H1559" si="495">H1541</f>
        <v>0.1</v>
      </c>
      <c r="I1542" s="1425">
        <f t="shared" si="492"/>
        <v>-5.3590000000000006E-2</v>
      </c>
      <c r="J1542" s="1397"/>
      <c r="K1542" s="1397"/>
      <c r="Q1542" s="1394">
        <f>IFERROR(VLOOKUP(M1542,#REF!,3,0),0)</f>
        <v>0</v>
      </c>
      <c r="R1542" s="1394">
        <f t="shared" si="489"/>
        <v>0</v>
      </c>
      <c r="S1542" s="1394">
        <f>IFERROR(VLOOKUP(M1542,#REF!,6,0),0)</f>
        <v>0</v>
      </c>
      <c r="T1542" s="1394">
        <f t="shared" si="490"/>
        <v>0</v>
      </c>
      <c r="U1542" s="1394">
        <f>IFERROR(VLOOKUP(M1542,#REF!,5,0),0)</f>
        <v>0</v>
      </c>
      <c r="V1542" s="1394">
        <f t="shared" si="491"/>
        <v>0</v>
      </c>
      <c r="W1542" s="1394"/>
    </row>
    <row r="1543" spans="1:23" ht="34.5" customHeight="1">
      <c r="B1543" s="1407"/>
      <c r="C1543" s="1455" t="str">
        <f t="shared" si="493"/>
        <v>Cross wall between Stair case lobby / Hall</v>
      </c>
      <c r="D1543" s="103">
        <f t="shared" si="494"/>
        <v>-1</v>
      </c>
      <c r="E1543" s="103">
        <f t="shared" si="493"/>
        <v>1</v>
      </c>
      <c r="F1543" s="1413">
        <f t="shared" si="493"/>
        <v>7.1150000000000002</v>
      </c>
      <c r="G1543" s="1413">
        <f t="shared" si="493"/>
        <v>0.23</v>
      </c>
      <c r="H1543" s="1414">
        <f t="shared" si="495"/>
        <v>0.1</v>
      </c>
      <c r="I1543" s="1425">
        <f t="shared" si="492"/>
        <v>-0.16364500000000004</v>
      </c>
      <c r="J1543" s="1397"/>
      <c r="K1543" s="1397"/>
      <c r="Q1543" s="1394">
        <f>IFERROR(VLOOKUP(M1543,#REF!,3,0),0)</f>
        <v>0</v>
      </c>
      <c r="R1543" s="1394">
        <f t="shared" si="489"/>
        <v>0</v>
      </c>
      <c r="S1543" s="1394">
        <f>IFERROR(VLOOKUP(M1543,#REF!,6,0),0)</f>
        <v>0</v>
      </c>
      <c r="T1543" s="1394">
        <f t="shared" si="490"/>
        <v>0</v>
      </c>
      <c r="U1543" s="1394">
        <f>IFERROR(VLOOKUP(M1543,#REF!,5,0),0)</f>
        <v>0</v>
      </c>
      <c r="V1543" s="1394">
        <f t="shared" si="491"/>
        <v>0</v>
      </c>
      <c r="W1543" s="1394"/>
    </row>
    <row r="1544" spans="1:23" ht="30" customHeight="1">
      <c r="B1544" s="1407"/>
      <c r="C1544" s="1412" t="str">
        <f t="shared" si="493"/>
        <v>Men Rest Room</v>
      </c>
      <c r="D1544" s="103">
        <f t="shared" si="494"/>
        <v>0</v>
      </c>
      <c r="E1544" s="103">
        <f t="shared" si="493"/>
        <v>0</v>
      </c>
      <c r="F1544" s="1413">
        <f t="shared" si="493"/>
        <v>0</v>
      </c>
      <c r="G1544" s="1413">
        <f t="shared" si="493"/>
        <v>0</v>
      </c>
      <c r="H1544" s="1414"/>
      <c r="I1544" s="1425">
        <f t="shared" si="492"/>
        <v>0</v>
      </c>
      <c r="Q1544" s="1394">
        <f>IFERROR(VLOOKUP(M1544,#REF!,3,0),0)</f>
        <v>0</v>
      </c>
      <c r="R1544" s="1394">
        <f t="shared" si="489"/>
        <v>0</v>
      </c>
      <c r="S1544" s="1394">
        <f>IFERROR(VLOOKUP(M1544,#REF!,6,0),0)</f>
        <v>0</v>
      </c>
      <c r="T1544" s="1394">
        <f t="shared" si="490"/>
        <v>0</v>
      </c>
      <c r="U1544" s="1394">
        <f>IFERROR(VLOOKUP(M1544,#REF!,5,0),0)</f>
        <v>0</v>
      </c>
      <c r="V1544" s="1394">
        <f t="shared" si="491"/>
        <v>0</v>
      </c>
      <c r="W1544" s="1394"/>
    </row>
    <row r="1545" spans="1:23" ht="30" customHeight="1">
      <c r="B1545" s="1407"/>
      <c r="C1545" s="1455" t="str">
        <f t="shared" si="493"/>
        <v>Cross wall between Men Rest Room  / Toilet /Hall</v>
      </c>
      <c r="D1545" s="103">
        <f t="shared" si="494"/>
        <v>-1</v>
      </c>
      <c r="E1545" s="103">
        <f t="shared" si="493"/>
        <v>1</v>
      </c>
      <c r="F1545" s="1413">
        <f t="shared" si="493"/>
        <v>4</v>
      </c>
      <c r="G1545" s="1413">
        <f t="shared" si="493"/>
        <v>0.23</v>
      </c>
      <c r="H1545" s="1414">
        <f>H1543</f>
        <v>0.1</v>
      </c>
      <c r="I1545" s="1425">
        <f t="shared" si="492"/>
        <v>-9.2000000000000012E-2</v>
      </c>
      <c r="Q1545" s="1394">
        <f>IFERROR(VLOOKUP(M1545,#REF!,3,0),0)</f>
        <v>0</v>
      </c>
      <c r="R1545" s="1394">
        <f t="shared" si="489"/>
        <v>0</v>
      </c>
      <c r="S1545" s="1394">
        <f>IFERROR(VLOOKUP(M1545,#REF!,6,0),0)</f>
        <v>0</v>
      </c>
      <c r="T1545" s="1394">
        <f t="shared" si="490"/>
        <v>0</v>
      </c>
      <c r="U1545" s="1394">
        <f>IFERROR(VLOOKUP(M1545,#REF!,5,0),0)</f>
        <v>0</v>
      </c>
      <c r="V1545" s="1394">
        <f t="shared" si="491"/>
        <v>0</v>
      </c>
      <c r="W1545" s="1394"/>
    </row>
    <row r="1546" spans="1:23" ht="30" customHeight="1">
      <c r="B1546" s="1407"/>
      <c r="C1546" s="1455" t="str">
        <f t="shared" si="493"/>
        <v>D/F Toilet Open</v>
      </c>
      <c r="D1546" s="103">
        <f t="shared" si="494"/>
        <v>1</v>
      </c>
      <c r="E1546" s="103">
        <f t="shared" si="493"/>
        <v>1</v>
      </c>
      <c r="F1546" s="1413">
        <f t="shared" si="493"/>
        <v>1</v>
      </c>
      <c r="G1546" s="1413">
        <f t="shared" si="493"/>
        <v>0.23</v>
      </c>
      <c r="H1546" s="1414">
        <f t="shared" si="495"/>
        <v>0.1</v>
      </c>
      <c r="I1546" s="1425">
        <f t="shared" si="492"/>
        <v>2.3000000000000003E-2</v>
      </c>
      <c r="Q1546" s="1394">
        <f>IFERROR(VLOOKUP(M1546,#REF!,3,0),0)</f>
        <v>0</v>
      </c>
      <c r="R1546" s="1394">
        <f t="shared" si="489"/>
        <v>0</v>
      </c>
      <c r="S1546" s="1394">
        <f>IFERROR(VLOOKUP(M1546,#REF!,6,0),0)</f>
        <v>0</v>
      </c>
      <c r="T1546" s="1394">
        <f t="shared" si="490"/>
        <v>0</v>
      </c>
      <c r="U1546" s="1394">
        <f>IFERROR(VLOOKUP(M1546,#REF!,5,0),0)</f>
        <v>0</v>
      </c>
      <c r="V1546" s="1394">
        <f t="shared" si="491"/>
        <v>0</v>
      </c>
      <c r="W1546" s="1394"/>
    </row>
    <row r="1547" spans="1:23" ht="30" customHeight="1">
      <c r="B1547" s="1407"/>
      <c r="C1547" s="1455" t="str">
        <f t="shared" si="493"/>
        <v>Piller</v>
      </c>
      <c r="D1547" s="103">
        <f t="shared" si="494"/>
        <v>-1</v>
      </c>
      <c r="E1547" s="103">
        <f t="shared" si="493"/>
        <v>1</v>
      </c>
      <c r="F1547" s="1413">
        <f t="shared" si="493"/>
        <v>0.23</v>
      </c>
      <c r="G1547" s="1413">
        <f t="shared" si="493"/>
        <v>0.23</v>
      </c>
      <c r="H1547" s="1414">
        <f t="shared" si="495"/>
        <v>0.1</v>
      </c>
      <c r="I1547" s="1425">
        <f t="shared" si="492"/>
        <v>-5.2900000000000004E-3</v>
      </c>
      <c r="Q1547" s="1394">
        <f>IFERROR(VLOOKUP(M1547,#REF!,3,0),0)</f>
        <v>0</v>
      </c>
      <c r="R1547" s="1394">
        <f t="shared" si="489"/>
        <v>0</v>
      </c>
      <c r="S1547" s="1394">
        <f>IFERROR(VLOOKUP(M1547,#REF!,6,0),0)</f>
        <v>0</v>
      </c>
      <c r="T1547" s="1394">
        <f t="shared" si="490"/>
        <v>0</v>
      </c>
      <c r="U1547" s="1394">
        <f>IFERROR(VLOOKUP(M1547,#REF!,5,0),0)</f>
        <v>0</v>
      </c>
      <c r="V1547" s="1394">
        <f t="shared" si="491"/>
        <v>0</v>
      </c>
      <c r="W1547" s="1394"/>
    </row>
    <row r="1548" spans="1:23" ht="30" customHeight="1">
      <c r="B1548" s="1407"/>
      <c r="C1548" s="1455" t="str">
        <f t="shared" si="493"/>
        <v>Cross wall between Men Rest Room  / Lift Stair</v>
      </c>
      <c r="D1548" s="103">
        <f t="shared" si="494"/>
        <v>-1</v>
      </c>
      <c r="E1548" s="103">
        <f t="shared" si="493"/>
        <v>1</v>
      </c>
      <c r="F1548" s="1413">
        <f t="shared" si="493"/>
        <v>5.53</v>
      </c>
      <c r="G1548" s="1413">
        <f t="shared" si="493"/>
        <v>0.23</v>
      </c>
      <c r="H1548" s="1414">
        <f t="shared" si="495"/>
        <v>0.1</v>
      </c>
      <c r="I1548" s="1425">
        <f t="shared" si="492"/>
        <v>-0.12719</v>
      </c>
      <c r="Q1548" s="1394">
        <f>IFERROR(VLOOKUP(M1548,#REF!,3,0),0)</f>
        <v>0</v>
      </c>
      <c r="R1548" s="1394">
        <f t="shared" si="489"/>
        <v>0</v>
      </c>
      <c r="S1548" s="1394">
        <f>IFERROR(VLOOKUP(M1548,#REF!,6,0),0)</f>
        <v>0</v>
      </c>
      <c r="T1548" s="1394">
        <f t="shared" si="490"/>
        <v>0</v>
      </c>
      <c r="U1548" s="1394">
        <f>IFERROR(VLOOKUP(M1548,#REF!,5,0),0)</f>
        <v>0</v>
      </c>
      <c r="V1548" s="1394">
        <f t="shared" si="491"/>
        <v>0</v>
      </c>
      <c r="W1548" s="1394"/>
    </row>
    <row r="1549" spans="1:23" ht="30" customHeight="1">
      <c r="B1549" s="1407"/>
      <c r="C1549" s="1412" t="str">
        <f t="shared" si="493"/>
        <v>Writer</v>
      </c>
      <c r="D1549" s="103">
        <f t="shared" si="494"/>
        <v>0</v>
      </c>
      <c r="E1549" s="103">
        <f t="shared" si="493"/>
        <v>0</v>
      </c>
      <c r="F1549" s="1413">
        <f t="shared" si="493"/>
        <v>0</v>
      </c>
      <c r="G1549" s="1413">
        <f t="shared" si="493"/>
        <v>0</v>
      </c>
      <c r="H1549" s="1414"/>
      <c r="I1549" s="1425">
        <f t="shared" si="492"/>
        <v>0</v>
      </c>
      <c r="Q1549" s="1394">
        <f>IFERROR(VLOOKUP(M1549,#REF!,3,0),0)</f>
        <v>0</v>
      </c>
      <c r="R1549" s="1394">
        <f t="shared" si="489"/>
        <v>0</v>
      </c>
      <c r="S1549" s="1394">
        <f>IFERROR(VLOOKUP(M1549,#REF!,6,0),0)</f>
        <v>0</v>
      </c>
      <c r="T1549" s="1394">
        <f t="shared" si="490"/>
        <v>0</v>
      </c>
      <c r="U1549" s="1394">
        <f>IFERROR(VLOOKUP(M1549,#REF!,5,0),0)</f>
        <v>0</v>
      </c>
      <c r="V1549" s="1394">
        <f t="shared" si="491"/>
        <v>0</v>
      </c>
      <c r="W1549" s="1394"/>
    </row>
    <row r="1550" spans="1:23" ht="30" customHeight="1">
      <c r="A1550" s="1395"/>
      <c r="B1550" s="1407"/>
      <c r="C1550" s="1455" t="str">
        <f t="shared" ref="C1550:G1559" si="496">C1507</f>
        <v>Cross wall between  Writer / Stair case lobby</v>
      </c>
      <c r="D1550" s="103">
        <f t="shared" si="494"/>
        <v>-1</v>
      </c>
      <c r="E1550" s="103">
        <f t="shared" si="496"/>
        <v>1</v>
      </c>
      <c r="F1550" s="1413">
        <f t="shared" si="496"/>
        <v>5.53</v>
      </c>
      <c r="G1550" s="1413">
        <f t="shared" si="496"/>
        <v>0.23</v>
      </c>
      <c r="H1550" s="1414">
        <f>H1548</f>
        <v>0.1</v>
      </c>
      <c r="I1550" s="1425">
        <f t="shared" si="492"/>
        <v>-0.12719</v>
      </c>
      <c r="L1550" s="1395"/>
      <c r="Q1550" s="1394">
        <f>IFERROR(VLOOKUP(M1550,#REF!,3,0),0)</f>
        <v>0</v>
      </c>
      <c r="R1550" s="1394">
        <f t="shared" si="489"/>
        <v>0</v>
      </c>
      <c r="S1550" s="1394">
        <f>IFERROR(VLOOKUP(M1550,#REF!,6,0),0)</f>
        <v>0</v>
      </c>
      <c r="T1550" s="1394">
        <f t="shared" si="490"/>
        <v>0</v>
      </c>
      <c r="U1550" s="1394">
        <f>IFERROR(VLOOKUP(M1550,#REF!,5,0),0)</f>
        <v>0</v>
      </c>
      <c r="V1550" s="1394">
        <f t="shared" si="491"/>
        <v>0</v>
      </c>
      <c r="W1550" s="1394"/>
    </row>
    <row r="1551" spans="1:23" ht="30" customHeight="1">
      <c r="B1551" s="1407"/>
      <c r="C1551" s="1455" t="str">
        <f t="shared" si="496"/>
        <v>Cross wall between  Writer / Hall</v>
      </c>
      <c r="D1551" s="103">
        <f t="shared" si="494"/>
        <v>-1</v>
      </c>
      <c r="E1551" s="103">
        <f t="shared" si="496"/>
        <v>1</v>
      </c>
      <c r="F1551" s="1413">
        <f t="shared" si="496"/>
        <v>3.4550000000000001</v>
      </c>
      <c r="G1551" s="1413">
        <f t="shared" si="496"/>
        <v>0.23</v>
      </c>
      <c r="H1551" s="1414">
        <f t="shared" si="495"/>
        <v>0.1</v>
      </c>
      <c r="I1551" s="1425">
        <f t="shared" si="492"/>
        <v>-7.9465000000000008E-2</v>
      </c>
      <c r="Q1551" s="1394">
        <f>IFERROR(VLOOKUP(M1551,#REF!,3,0),0)</f>
        <v>0</v>
      </c>
      <c r="R1551" s="1394">
        <f t="shared" si="489"/>
        <v>0</v>
      </c>
      <c r="S1551" s="1394">
        <f>IFERROR(VLOOKUP(M1551,#REF!,6,0),0)</f>
        <v>0</v>
      </c>
      <c r="T1551" s="1394">
        <f t="shared" si="490"/>
        <v>0</v>
      </c>
      <c r="U1551" s="1394">
        <f>IFERROR(VLOOKUP(M1551,#REF!,5,0),0)</f>
        <v>0</v>
      </c>
      <c r="V1551" s="1394">
        <f t="shared" si="491"/>
        <v>0</v>
      </c>
      <c r="W1551" s="1394"/>
    </row>
    <row r="1552" spans="1:23" ht="30" customHeight="1">
      <c r="B1552" s="1407"/>
      <c r="C1552" s="1455" t="str">
        <f t="shared" si="496"/>
        <v>C/B Piller</v>
      </c>
      <c r="D1552" s="103">
        <f t="shared" si="494"/>
        <v>-1</v>
      </c>
      <c r="E1552" s="103">
        <f t="shared" si="496"/>
        <v>1</v>
      </c>
      <c r="F1552" s="1413">
        <f t="shared" si="496"/>
        <v>0.71499999999999997</v>
      </c>
      <c r="G1552" s="1413">
        <f t="shared" si="496"/>
        <v>0.23</v>
      </c>
      <c r="H1552" s="1414">
        <f t="shared" si="495"/>
        <v>0.1</v>
      </c>
      <c r="I1552" s="1425">
        <f t="shared" si="492"/>
        <v>-1.6445000000000001E-2</v>
      </c>
      <c r="Q1552" s="1394">
        <f>IFERROR(VLOOKUP(M1552,#REF!,3,0),0)</f>
        <v>0</v>
      </c>
      <c r="R1552" s="1394">
        <f t="shared" si="489"/>
        <v>0</v>
      </c>
      <c r="S1552" s="1394">
        <f>IFERROR(VLOOKUP(M1552,#REF!,6,0),0)</f>
        <v>0</v>
      </c>
      <c r="T1552" s="1394">
        <f t="shared" si="490"/>
        <v>0</v>
      </c>
      <c r="U1552" s="1394">
        <f>IFERROR(VLOOKUP(M1552,#REF!,5,0),0)</f>
        <v>0</v>
      </c>
      <c r="V1552" s="1394">
        <f t="shared" si="491"/>
        <v>0</v>
      </c>
      <c r="W1552" s="1394"/>
    </row>
    <row r="1553" spans="1:26" ht="30" customHeight="1">
      <c r="B1553" s="1407"/>
      <c r="C1553" s="1412" t="str">
        <f t="shared" si="496"/>
        <v xml:space="preserve">Ins Trafic </v>
      </c>
      <c r="D1553" s="103">
        <f t="shared" si="494"/>
        <v>0</v>
      </c>
      <c r="E1553" s="103">
        <f t="shared" si="496"/>
        <v>0</v>
      </c>
      <c r="F1553" s="1413">
        <f t="shared" si="496"/>
        <v>0</v>
      </c>
      <c r="G1553" s="1413">
        <f t="shared" si="496"/>
        <v>0</v>
      </c>
      <c r="H1553" s="1414"/>
      <c r="I1553" s="1425">
        <f t="shared" si="492"/>
        <v>0</v>
      </c>
      <c r="Q1553" s="1394">
        <f>IFERROR(VLOOKUP(M1553,#REF!,3,0),0)</f>
        <v>0</v>
      </c>
      <c r="R1553" s="1394">
        <f t="shared" si="489"/>
        <v>0</v>
      </c>
      <c r="S1553" s="1394">
        <f>IFERROR(VLOOKUP(M1553,#REF!,6,0),0)</f>
        <v>0</v>
      </c>
      <c r="T1553" s="1394">
        <f t="shared" si="490"/>
        <v>0</v>
      </c>
      <c r="U1553" s="1394">
        <f>IFERROR(VLOOKUP(M1553,#REF!,5,0),0)</f>
        <v>0</v>
      </c>
      <c r="V1553" s="1394">
        <f t="shared" si="491"/>
        <v>0</v>
      </c>
      <c r="W1553" s="1394"/>
    </row>
    <row r="1554" spans="1:26" ht="30" customHeight="1">
      <c r="A1554" s="1395"/>
      <c r="B1554" s="1407"/>
      <c r="C1554" s="1455" t="str">
        <f t="shared" si="496"/>
        <v>Cross wall between  Ins Trafic  / Hall , Toilet</v>
      </c>
      <c r="D1554" s="103">
        <f t="shared" si="494"/>
        <v>-1</v>
      </c>
      <c r="E1554" s="103">
        <f t="shared" si="496"/>
        <v>1</v>
      </c>
      <c r="F1554" s="1413">
        <f t="shared" si="496"/>
        <v>4</v>
      </c>
      <c r="G1554" s="1413">
        <f t="shared" si="496"/>
        <v>0.23</v>
      </c>
      <c r="H1554" s="1414">
        <f>H1552</f>
        <v>0.1</v>
      </c>
      <c r="I1554" s="1425">
        <f t="shared" si="492"/>
        <v>-9.2000000000000012E-2</v>
      </c>
      <c r="L1554" s="1395"/>
      <c r="Q1554" s="1394">
        <f>IFERROR(VLOOKUP(M1554,#REF!,3,0),0)</f>
        <v>0</v>
      </c>
      <c r="R1554" s="1394">
        <f t="shared" si="489"/>
        <v>0</v>
      </c>
      <c r="S1554" s="1394">
        <f>IFERROR(VLOOKUP(M1554,#REF!,6,0),0)</f>
        <v>0</v>
      </c>
      <c r="T1554" s="1394">
        <f t="shared" si="490"/>
        <v>0</v>
      </c>
      <c r="U1554" s="1394">
        <f>IFERROR(VLOOKUP(M1554,#REF!,5,0),0)</f>
        <v>0</v>
      </c>
      <c r="V1554" s="1394">
        <f t="shared" si="491"/>
        <v>0</v>
      </c>
      <c r="W1554" s="1394"/>
    </row>
    <row r="1555" spans="1:26" ht="30" customHeight="1">
      <c r="B1555" s="1407"/>
      <c r="C1555" s="1455" t="str">
        <f t="shared" si="496"/>
        <v>D/F Toilet Open</v>
      </c>
      <c r="D1555" s="103">
        <f t="shared" si="494"/>
        <v>1</v>
      </c>
      <c r="E1555" s="103">
        <f t="shared" si="496"/>
        <v>1</v>
      </c>
      <c r="F1555" s="1413">
        <f t="shared" si="496"/>
        <v>1</v>
      </c>
      <c r="G1555" s="1413">
        <f t="shared" si="496"/>
        <v>0.23</v>
      </c>
      <c r="H1555" s="1414">
        <f t="shared" si="495"/>
        <v>0.1</v>
      </c>
      <c r="I1555" s="1425">
        <f t="shared" si="492"/>
        <v>2.3000000000000003E-2</v>
      </c>
      <c r="Q1555" s="1394">
        <f>IFERROR(VLOOKUP(M1555,#REF!,3,0),0)</f>
        <v>0</v>
      </c>
      <c r="R1555" s="1394">
        <f t="shared" si="489"/>
        <v>0</v>
      </c>
      <c r="S1555" s="1394">
        <f>IFERROR(VLOOKUP(M1555,#REF!,6,0),0)</f>
        <v>0</v>
      </c>
      <c r="T1555" s="1394">
        <f t="shared" si="490"/>
        <v>0</v>
      </c>
      <c r="U1555" s="1394">
        <f>IFERROR(VLOOKUP(M1555,#REF!,5,0),0)</f>
        <v>0</v>
      </c>
      <c r="V1555" s="1394">
        <f t="shared" si="491"/>
        <v>0</v>
      </c>
      <c r="W1555" s="1394"/>
    </row>
    <row r="1556" spans="1:26" ht="30" customHeight="1">
      <c r="A1556" s="1395"/>
      <c r="B1556" s="1407"/>
      <c r="C1556" s="1455" t="str">
        <f t="shared" si="496"/>
        <v>Cross wall between  Ins Trafic  / Hall , Toilet Piller</v>
      </c>
      <c r="D1556" s="103">
        <f t="shared" si="494"/>
        <v>-1</v>
      </c>
      <c r="E1556" s="103">
        <f t="shared" si="496"/>
        <v>1</v>
      </c>
      <c r="F1556" s="1413">
        <f t="shared" si="496"/>
        <v>0.43</v>
      </c>
      <c r="G1556" s="1413">
        <f t="shared" si="496"/>
        <v>0.23</v>
      </c>
      <c r="H1556" s="1414">
        <f t="shared" si="495"/>
        <v>0.1</v>
      </c>
      <c r="I1556" s="1425">
        <f t="shared" si="492"/>
        <v>-9.8900000000000012E-3</v>
      </c>
      <c r="L1556" s="1395"/>
      <c r="Q1556" s="1394">
        <f>IFERROR(VLOOKUP(M1556,#REF!,3,0),0)</f>
        <v>0</v>
      </c>
      <c r="R1556" s="1394">
        <f t="shared" si="489"/>
        <v>0</v>
      </c>
      <c r="S1556" s="1394">
        <f>IFERROR(VLOOKUP(M1556,#REF!,6,0),0)</f>
        <v>0</v>
      </c>
      <c r="T1556" s="1394">
        <f t="shared" si="490"/>
        <v>0</v>
      </c>
      <c r="U1556" s="1394">
        <f>IFERROR(VLOOKUP(M1556,#REF!,5,0),0)</f>
        <v>0</v>
      </c>
      <c r="V1556" s="1394">
        <f t="shared" si="491"/>
        <v>0</v>
      </c>
      <c r="W1556" s="1394"/>
    </row>
    <row r="1557" spans="1:26" ht="30" customHeight="1">
      <c r="B1557" s="1407"/>
      <c r="C1557" s="1412" t="str">
        <f t="shared" si="496"/>
        <v>Store</v>
      </c>
      <c r="D1557" s="103">
        <f t="shared" si="494"/>
        <v>0</v>
      </c>
      <c r="E1557" s="103">
        <f t="shared" si="496"/>
        <v>0</v>
      </c>
      <c r="F1557" s="1413">
        <f t="shared" si="496"/>
        <v>0</v>
      </c>
      <c r="G1557" s="1413">
        <f t="shared" si="496"/>
        <v>0</v>
      </c>
      <c r="H1557" s="1414"/>
      <c r="I1557" s="1425">
        <f t="shared" si="492"/>
        <v>0</v>
      </c>
      <c r="Q1557" s="1394">
        <f>IFERROR(VLOOKUP(M1557,#REF!,3,0),0)</f>
        <v>0</v>
      </c>
      <c r="R1557" s="1394">
        <f t="shared" si="489"/>
        <v>0</v>
      </c>
      <c r="S1557" s="1394">
        <f>IFERROR(VLOOKUP(M1557,#REF!,6,0),0)</f>
        <v>0</v>
      </c>
      <c r="T1557" s="1394">
        <f t="shared" si="490"/>
        <v>0</v>
      </c>
      <c r="U1557" s="1394">
        <f>IFERROR(VLOOKUP(M1557,#REF!,5,0),0)</f>
        <v>0</v>
      </c>
      <c r="V1557" s="1394">
        <f t="shared" si="491"/>
        <v>0</v>
      </c>
      <c r="W1557" s="1394"/>
    </row>
    <row r="1558" spans="1:26" ht="30" customHeight="1">
      <c r="B1558" s="1407"/>
      <c r="C1558" s="1455" t="str">
        <f t="shared" si="496"/>
        <v>Cross wall between Store / Hall</v>
      </c>
      <c r="D1558" s="103">
        <f t="shared" si="494"/>
        <v>-1</v>
      </c>
      <c r="E1558" s="103">
        <f t="shared" si="496"/>
        <v>1</v>
      </c>
      <c r="F1558" s="1413">
        <f t="shared" si="496"/>
        <v>2.73</v>
      </c>
      <c r="G1558" s="1413">
        <f t="shared" si="496"/>
        <v>0.23</v>
      </c>
      <c r="H1558" s="1414">
        <f>H1556</f>
        <v>0.1</v>
      </c>
      <c r="I1558" s="1425">
        <f t="shared" si="492"/>
        <v>-6.2789999999999999E-2</v>
      </c>
      <c r="Q1558" s="1394">
        <f>IFERROR(VLOOKUP(M1558,#REF!,3,0),0)</f>
        <v>0</v>
      </c>
      <c r="R1558" s="1394">
        <f t="shared" si="489"/>
        <v>0</v>
      </c>
      <c r="S1558" s="1394">
        <f>IFERROR(VLOOKUP(M1558,#REF!,6,0),0)</f>
        <v>0</v>
      </c>
      <c r="T1558" s="1394">
        <f t="shared" si="490"/>
        <v>0</v>
      </c>
      <c r="U1558" s="1394">
        <f>IFERROR(VLOOKUP(M1558,#REF!,5,0),0)</f>
        <v>0</v>
      </c>
      <c r="V1558" s="1394">
        <f t="shared" si="491"/>
        <v>0</v>
      </c>
      <c r="W1558" s="1394"/>
    </row>
    <row r="1559" spans="1:26" ht="30" customHeight="1">
      <c r="B1559" s="1407"/>
      <c r="C1559" s="1455" t="str">
        <f t="shared" si="496"/>
        <v>Cross wall between Store / Men Rest Room</v>
      </c>
      <c r="D1559" s="103">
        <f t="shared" si="494"/>
        <v>-1</v>
      </c>
      <c r="E1559" s="103">
        <f t="shared" si="496"/>
        <v>1</v>
      </c>
      <c r="F1559" s="1413">
        <f t="shared" si="496"/>
        <v>9.77</v>
      </c>
      <c r="G1559" s="1413">
        <f t="shared" si="496"/>
        <v>0.23</v>
      </c>
      <c r="H1559" s="1414">
        <f t="shared" si="495"/>
        <v>0.1</v>
      </c>
      <c r="I1559" s="1425">
        <f>PRODUCT(D1559:H1559)</f>
        <v>-0.22471000000000002</v>
      </c>
      <c r="Q1559" s="1394">
        <f>IFERROR(VLOOKUP(M1559,#REF!,3,0),0)</f>
        <v>0</v>
      </c>
      <c r="R1559" s="1394">
        <f t="shared" si="489"/>
        <v>0</v>
      </c>
      <c r="S1559" s="1394">
        <f>IFERROR(VLOOKUP(M1559,#REF!,6,0),0)</f>
        <v>0</v>
      </c>
      <c r="T1559" s="1394">
        <f t="shared" si="490"/>
        <v>0</v>
      </c>
      <c r="U1559" s="1394">
        <f>IFERROR(VLOOKUP(M1559,#REF!,5,0),0)</f>
        <v>0</v>
      </c>
      <c r="V1559" s="1394">
        <f t="shared" si="491"/>
        <v>0</v>
      </c>
      <c r="W1559" s="1394"/>
    </row>
    <row r="1560" spans="1:26" ht="30" customHeight="1">
      <c r="B1560" s="1407"/>
      <c r="C1560" s="1412" t="str">
        <f t="shared" ref="C1560:G1561" si="497">C1517</f>
        <v>Men Rest Room</v>
      </c>
      <c r="D1560" s="103">
        <f t="shared" si="494"/>
        <v>0</v>
      </c>
      <c r="E1560" s="103">
        <f t="shared" si="497"/>
        <v>0</v>
      </c>
      <c r="F1560" s="1413">
        <f t="shared" si="497"/>
        <v>0</v>
      </c>
      <c r="G1560" s="1413">
        <f t="shared" si="497"/>
        <v>0</v>
      </c>
      <c r="H1560" s="1414"/>
      <c r="I1560" s="1425">
        <f t="shared" si="492"/>
        <v>0</v>
      </c>
      <c r="Q1560" s="1394">
        <f>IFERROR(VLOOKUP(M1560,#REF!,3,0),0)</f>
        <v>0</v>
      </c>
      <c r="R1560" s="1394">
        <f t="shared" si="489"/>
        <v>0</v>
      </c>
      <c r="S1560" s="1394">
        <f>IFERROR(VLOOKUP(M1560,#REF!,6,0),0)</f>
        <v>0</v>
      </c>
      <c r="T1560" s="1394">
        <f t="shared" si="490"/>
        <v>0</v>
      </c>
      <c r="U1560" s="1394">
        <f>IFERROR(VLOOKUP(M1560,#REF!,5,0),0)</f>
        <v>0</v>
      </c>
      <c r="V1560" s="1394">
        <f t="shared" si="491"/>
        <v>0</v>
      </c>
      <c r="W1560" s="1394"/>
    </row>
    <row r="1561" spans="1:26" ht="30" customHeight="1">
      <c r="B1561" s="1407"/>
      <c r="C1561" s="1455" t="str">
        <f t="shared" si="497"/>
        <v>Cross wall between Men Rest Room / Hall</v>
      </c>
      <c r="D1561" s="103">
        <f t="shared" si="494"/>
        <v>-1</v>
      </c>
      <c r="E1561" s="103">
        <f t="shared" si="497"/>
        <v>1</v>
      </c>
      <c r="F1561" s="1413">
        <f t="shared" si="497"/>
        <v>5.9349999999999996</v>
      </c>
      <c r="G1561" s="1413">
        <f t="shared" si="497"/>
        <v>0.23</v>
      </c>
      <c r="H1561" s="1414">
        <f>H1559</f>
        <v>0.1</v>
      </c>
      <c r="I1561" s="1425">
        <f t="shared" si="492"/>
        <v>-0.13650499999999999</v>
      </c>
      <c r="Q1561" s="1394">
        <f>IFERROR(VLOOKUP(M1561,#REF!,3,0),0)</f>
        <v>0</v>
      </c>
      <c r="R1561" s="1394">
        <f t="shared" si="489"/>
        <v>0</v>
      </c>
      <c r="S1561" s="1394">
        <f>IFERROR(VLOOKUP(M1561,#REF!,6,0),0)</f>
        <v>0</v>
      </c>
      <c r="T1561" s="1394">
        <f t="shared" si="490"/>
        <v>0</v>
      </c>
      <c r="U1561" s="1394">
        <f>IFERROR(VLOOKUP(M1561,#REF!,5,0),0)</f>
        <v>0</v>
      </c>
      <c r="V1561" s="1394">
        <f t="shared" si="491"/>
        <v>0</v>
      </c>
      <c r="W1561" s="1394"/>
    </row>
    <row r="1562" spans="1:26" ht="30" customHeight="1">
      <c r="B1562" s="1407"/>
      <c r="C1562" s="1455"/>
      <c r="D1562" s="103"/>
      <c r="E1562" s="103"/>
      <c r="F1562" s="1413"/>
      <c r="G1562" s="1413"/>
      <c r="H1562" s="1414"/>
      <c r="I1562" s="1425"/>
      <c r="Q1562" s="1394">
        <f>IFERROR(VLOOKUP(M1562,#REF!,3,0),0)</f>
        <v>0</v>
      </c>
      <c r="R1562" s="1394">
        <f t="shared" si="489"/>
        <v>0</v>
      </c>
      <c r="S1562" s="1394">
        <f>IFERROR(VLOOKUP(M1562,#REF!,6,0),0)</f>
        <v>0</v>
      </c>
      <c r="T1562" s="1394">
        <f t="shared" si="490"/>
        <v>0</v>
      </c>
      <c r="U1562" s="1394">
        <f>IFERROR(VLOOKUP(M1562,#REF!,5,0),0)</f>
        <v>0</v>
      </c>
      <c r="V1562" s="1394">
        <f t="shared" si="491"/>
        <v>0</v>
      </c>
      <c r="W1562" s="1394"/>
    </row>
    <row r="1563" spans="1:26" ht="30" customHeight="1">
      <c r="B1563" s="1407"/>
      <c r="C1563" s="1455"/>
      <c r="D1563" s="103"/>
      <c r="E1563" s="103"/>
      <c r="F1563" s="1413"/>
      <c r="G1563" s="1413"/>
      <c r="H1563" s="1414"/>
      <c r="I1563" s="1425"/>
      <c r="J1563" s="1394"/>
      <c r="K1563" s="1394"/>
      <c r="M1563" s="110"/>
      <c r="Q1563" s="1394">
        <f>IFERROR(VLOOKUP(M1563,#REF!,3,0),0)</f>
        <v>0</v>
      </c>
      <c r="R1563" s="1394">
        <f t="shared" si="489"/>
        <v>0</v>
      </c>
      <c r="S1563" s="1394">
        <f>IFERROR(VLOOKUP(M1563,#REF!,6,0),0)</f>
        <v>0</v>
      </c>
      <c r="T1563" s="1394">
        <f t="shared" si="490"/>
        <v>0</v>
      </c>
      <c r="U1563" s="1394">
        <f>IFERROR(VLOOKUP(M1563,#REF!,5,0),0)</f>
        <v>0</v>
      </c>
      <c r="V1563" s="1394">
        <f t="shared" si="491"/>
        <v>0</v>
      </c>
      <c r="W1563" s="1394"/>
    </row>
    <row r="1564" spans="1:26" ht="30" customHeight="1">
      <c r="B1564" s="1407"/>
      <c r="C1564" s="1455"/>
      <c r="D1564" s="103"/>
      <c r="E1564" s="103"/>
      <c r="F1564" s="1413"/>
      <c r="G1564" s="1413"/>
      <c r="H1564" s="1414"/>
      <c r="I1564" s="1425">
        <f>J1565-J1564</f>
        <v>6.9855000000032419E-2</v>
      </c>
      <c r="J1564" s="1394">
        <f>SUM(I1497:I1563)</f>
        <v>68.830144999999959</v>
      </c>
      <c r="K1564" s="1394"/>
      <c r="M1564" s="110"/>
      <c r="Q1564" s="1394">
        <f>IFERROR(VLOOKUP(M1564,#REF!,3,0),0)</f>
        <v>0</v>
      </c>
      <c r="R1564" s="1394">
        <f t="shared" si="489"/>
        <v>0</v>
      </c>
      <c r="S1564" s="1394">
        <f>IFERROR(VLOOKUP(M1564,#REF!,6,0),0)</f>
        <v>0</v>
      </c>
      <c r="T1564" s="1394">
        <f t="shared" si="490"/>
        <v>0</v>
      </c>
      <c r="U1564" s="1394">
        <f>IFERROR(VLOOKUP(M1564,#REF!,5,0),0)</f>
        <v>0</v>
      </c>
      <c r="V1564" s="1394">
        <f t="shared" si="491"/>
        <v>0</v>
      </c>
      <c r="W1564" s="1394"/>
    </row>
    <row r="1565" spans="1:26" ht="30" customHeight="1">
      <c r="B1565" s="1407"/>
      <c r="C1565" s="1455"/>
      <c r="D1565" s="103"/>
      <c r="E1565" s="103"/>
      <c r="F1565" s="1413"/>
      <c r="G1565" s="1413"/>
      <c r="H1565" s="1414"/>
      <c r="I1565" s="1479">
        <f>SUM(I1497:I1564)</f>
        <v>68.899999999999991</v>
      </c>
      <c r="J1565" s="1394">
        <f>ROUNDUP(J1564,1)</f>
        <v>68.899999999999991</v>
      </c>
      <c r="K1565" s="1394"/>
      <c r="Q1565" s="1394">
        <f>IFERROR(VLOOKUP(M1565,#REF!,3,0),0)</f>
        <v>0</v>
      </c>
      <c r="R1565" s="1394">
        <f t="shared" si="489"/>
        <v>0</v>
      </c>
      <c r="S1565" s="1394">
        <f>IFERROR(VLOOKUP(M1565,#REF!,6,0),0)</f>
        <v>0</v>
      </c>
      <c r="T1565" s="1394">
        <f t="shared" si="490"/>
        <v>0</v>
      </c>
      <c r="U1565" s="1394">
        <f>IFERROR(VLOOKUP(M1565,#REF!,5,0),0)</f>
        <v>0</v>
      </c>
      <c r="V1565" s="1394">
        <f t="shared" si="491"/>
        <v>0</v>
      </c>
      <c r="W1565" s="1394"/>
    </row>
    <row r="1566" spans="1:26" ht="30" customHeight="1">
      <c r="B1566" s="1407"/>
      <c r="C1566" s="1455"/>
      <c r="D1566" s="103"/>
      <c r="E1566" s="103"/>
      <c r="F1566" s="1413"/>
      <c r="G1566" s="1483" t="s">
        <v>11</v>
      </c>
      <c r="H1566" s="1478">
        <f>ROUNDUP(J1565,1)</f>
        <v>68.900000000000006</v>
      </c>
      <c r="I1566" s="1479" t="s">
        <v>19</v>
      </c>
      <c r="M1566" s="1426" t="str">
        <f>A1496</f>
        <v>d. In Third Floor Brick work in C.M. 1:6  using Kiln Burnt Country bricks of size 22 x 11 x 7 cm ( 8 3/4" x 4 1/4" x 2 3/4")</v>
      </c>
      <c r="N1566" s="1426">
        <f>B1496</f>
        <v>0</v>
      </c>
      <c r="O1566" s="1394">
        <f>H1566</f>
        <v>68.900000000000006</v>
      </c>
      <c r="P1566" s="1394" t="str">
        <f>I1566</f>
        <v>Cum</v>
      </c>
      <c r="Q1566" s="1394">
        <f>IFERROR(VLOOKUP(M1566,#REF!,3,0),0)</f>
        <v>0</v>
      </c>
      <c r="R1566" s="1394">
        <f t="shared" si="489"/>
        <v>0</v>
      </c>
      <c r="S1566" s="1394">
        <f>IFERROR(VLOOKUP(M1566,#REF!,6,0),0)</f>
        <v>0</v>
      </c>
      <c r="T1566" s="1394">
        <f t="shared" si="490"/>
        <v>0</v>
      </c>
      <c r="U1566" s="1394">
        <f>IFERROR(VLOOKUP(M1566,#REF!,5,0),0)</f>
        <v>0</v>
      </c>
      <c r="V1566" s="1394">
        <f t="shared" si="491"/>
        <v>68.900000000000006</v>
      </c>
      <c r="W1566" s="1394"/>
      <c r="Z1566" s="1394"/>
    </row>
    <row r="1567" spans="1:26" ht="30" customHeight="1">
      <c r="A1567" s="110" t="s">
        <v>345</v>
      </c>
      <c r="B1567" s="1405"/>
      <c r="C1567" s="1678" t="e">
        <f>VLOOKUP(A1567,#REF!,2,0)</f>
        <v>#REF!</v>
      </c>
      <c r="D1567" s="1678"/>
      <c r="E1567" s="1678"/>
      <c r="F1567" s="1678"/>
      <c r="G1567" s="1678"/>
      <c r="H1567" s="1678"/>
      <c r="I1567" s="1479"/>
      <c r="Q1567" s="1394">
        <f>IFERROR(VLOOKUP(M1567,#REF!,3,0),0)</f>
        <v>0</v>
      </c>
      <c r="R1567" s="1394">
        <f t="shared" si="489"/>
        <v>0</v>
      </c>
      <c r="S1567" s="1394">
        <f>IFERROR(VLOOKUP(M1567,#REF!,6,0),0)</f>
        <v>0</v>
      </c>
      <c r="T1567" s="1394">
        <f t="shared" si="490"/>
        <v>0</v>
      </c>
      <c r="U1567" s="1394">
        <f>IFERROR(VLOOKUP(M1567,#REF!,5,0),0)</f>
        <v>0</v>
      </c>
      <c r="V1567" s="1394">
        <f t="shared" si="491"/>
        <v>0</v>
      </c>
      <c r="W1567" s="1394"/>
      <c r="X1567" s="1397"/>
    </row>
    <row r="1568" spans="1:26" ht="30" customHeight="1">
      <c r="B1568" s="1405"/>
      <c r="C1568" s="1455" t="s">
        <v>346</v>
      </c>
      <c r="D1568" s="103">
        <v>1</v>
      </c>
      <c r="E1568" s="103">
        <v>1</v>
      </c>
      <c r="F1568" s="1413">
        <f>2.77+0.46+7.115+2.77+0.46+7.115</f>
        <v>20.69</v>
      </c>
      <c r="G1568" s="1413">
        <v>0.23</v>
      </c>
      <c r="H1568" s="1414">
        <f>H1518</f>
        <v>2.92</v>
      </c>
      <c r="I1568" s="1425">
        <f t="shared" ref="I1568" si="498">PRODUCT(D1568:H1568)</f>
        <v>13.895404000000001</v>
      </c>
      <c r="Q1568" s="1394">
        <f>IFERROR(VLOOKUP(M1568,#REF!,3,0),0)</f>
        <v>0</v>
      </c>
      <c r="R1568" s="1394">
        <f t="shared" si="489"/>
        <v>0</v>
      </c>
      <c r="S1568" s="1394">
        <f>IFERROR(VLOOKUP(M1568,#REF!,6,0),0)</f>
        <v>0</v>
      </c>
      <c r="T1568" s="1394">
        <f t="shared" si="490"/>
        <v>0</v>
      </c>
      <c r="U1568" s="1394">
        <f>IFERROR(VLOOKUP(M1568,#REF!,5,0),0)</f>
        <v>0</v>
      </c>
      <c r="V1568" s="1394">
        <f t="shared" si="491"/>
        <v>0</v>
      </c>
      <c r="W1568" s="1394"/>
    </row>
    <row r="1569" spans="2:26" ht="30" customHeight="1">
      <c r="B1569" s="1407"/>
      <c r="C1569" s="1455" t="s">
        <v>5652</v>
      </c>
      <c r="D1569" s="103">
        <v>1</v>
      </c>
      <c r="E1569" s="103">
        <v>1</v>
      </c>
      <c r="F1569" s="1413">
        <f>2.3+0.23+7.115+2.3+0.23</f>
        <v>12.175000000000001</v>
      </c>
      <c r="G1569" s="1413">
        <v>0.23</v>
      </c>
      <c r="H1569" s="1414">
        <f>H1568</f>
        <v>2.92</v>
      </c>
      <c r="I1569" s="1425">
        <f t="shared" ref="I1569:I1570" si="499">PRODUCT(D1569:H1569)</f>
        <v>8.1767300000000009</v>
      </c>
      <c r="Q1569" s="1394">
        <f>IFERROR(VLOOKUP(M1569,#REF!,3,0),0)</f>
        <v>0</v>
      </c>
      <c r="R1569" s="1394">
        <f t="shared" si="489"/>
        <v>0</v>
      </c>
      <c r="S1569" s="1394">
        <f>IFERROR(VLOOKUP(M1569,#REF!,6,0),0)</f>
        <v>0</v>
      </c>
      <c r="T1569" s="1394">
        <f t="shared" si="490"/>
        <v>0</v>
      </c>
      <c r="U1569" s="1394">
        <f>IFERROR(VLOOKUP(M1569,#REF!,5,0),0)</f>
        <v>0</v>
      </c>
      <c r="V1569" s="1394">
        <f t="shared" si="491"/>
        <v>0</v>
      </c>
      <c r="W1569" s="1394"/>
    </row>
    <row r="1570" spans="2:26" ht="30" customHeight="1">
      <c r="B1570" s="1407"/>
      <c r="C1570" s="1412" t="s">
        <v>5589</v>
      </c>
      <c r="D1570" s="103"/>
      <c r="E1570" s="103"/>
      <c r="F1570" s="1413"/>
      <c r="G1570" s="1413"/>
      <c r="H1570" s="1414"/>
      <c r="I1570" s="1425">
        <f t="shared" si="499"/>
        <v>0</v>
      </c>
      <c r="Q1570" s="1394">
        <f>IFERROR(VLOOKUP(M1570,#REF!,3,0),0)</f>
        <v>0</v>
      </c>
      <c r="R1570" s="1394">
        <f t="shared" si="489"/>
        <v>0</v>
      </c>
      <c r="S1570" s="1394">
        <f>IFERROR(VLOOKUP(M1570,#REF!,6,0),0)</f>
        <v>0</v>
      </c>
      <c r="T1570" s="1394">
        <f t="shared" si="490"/>
        <v>0</v>
      </c>
      <c r="U1570" s="1394">
        <f>IFERROR(VLOOKUP(M1570,#REF!,5,0),0)</f>
        <v>0</v>
      </c>
      <c r="V1570" s="1394">
        <f t="shared" si="491"/>
        <v>0</v>
      </c>
      <c r="W1570" s="1394"/>
    </row>
    <row r="1571" spans="2:26" ht="30" customHeight="1">
      <c r="B1571" s="1407"/>
      <c r="C1571" s="1455" t="s">
        <v>5509</v>
      </c>
      <c r="D1571" s="103">
        <v>-1</v>
      </c>
      <c r="E1571" s="103">
        <f>VLOOKUP(C1571,Sheet1!$I$7:$P$39,8,0)</f>
        <v>1</v>
      </c>
      <c r="F1571" s="1413">
        <f>VLOOKUP(C1571,Sheet1!$I$7:$P$39,2,0)</f>
        <v>0.75</v>
      </c>
      <c r="G1571" s="1413">
        <v>0.23</v>
      </c>
      <c r="H1571" s="1414">
        <f>VLOOKUP(C1571,Sheet1!$I$7:$P$39,3,0)</f>
        <v>2.1</v>
      </c>
      <c r="I1571" s="1425">
        <f t="shared" ref="I1571:I1580" si="500">PRODUCT(D1571:H1571)</f>
        <v>-0.36225000000000007</v>
      </c>
      <c r="Q1571" s="1394">
        <f>IFERROR(VLOOKUP(M1571,#REF!,3,0),0)</f>
        <v>0</v>
      </c>
      <c r="R1571" s="1394">
        <f t="shared" si="489"/>
        <v>0</v>
      </c>
      <c r="S1571" s="1394">
        <f>IFERROR(VLOOKUP(M1571,#REF!,6,0),0)</f>
        <v>0</v>
      </c>
      <c r="T1571" s="1394">
        <f t="shared" si="490"/>
        <v>0</v>
      </c>
      <c r="U1571" s="1394">
        <f>IFERROR(VLOOKUP(M1571,#REF!,5,0),0)</f>
        <v>0</v>
      </c>
      <c r="V1571" s="1394">
        <f t="shared" si="491"/>
        <v>0</v>
      </c>
      <c r="W1571" s="1394"/>
    </row>
    <row r="1572" spans="2:26" ht="30" customHeight="1">
      <c r="B1572" s="1407"/>
      <c r="C1572" s="1455" t="s">
        <v>5517</v>
      </c>
      <c r="D1572" s="103">
        <v>-1</v>
      </c>
      <c r="E1572" s="103">
        <f>VLOOKUP(C1572,Sheet1!$I$7:$P$39,8,0)</f>
        <v>1</v>
      </c>
      <c r="F1572" s="1413">
        <f>VLOOKUP(C1572,Sheet1!$I$7:$P$39,2,0)</f>
        <v>1</v>
      </c>
      <c r="G1572" s="1413">
        <v>0.23</v>
      </c>
      <c r="H1572" s="1414">
        <f>VLOOKUP(C1572,Sheet1!$I$7:$P$39,3,0)</f>
        <v>2.1</v>
      </c>
      <c r="I1572" s="1425">
        <f t="shared" si="500"/>
        <v>-0.48300000000000004</v>
      </c>
      <c r="Q1572" s="1394">
        <f>IFERROR(VLOOKUP(M1572,#REF!,3,0),0)</f>
        <v>0</v>
      </c>
      <c r="R1572" s="1394">
        <f t="shared" si="489"/>
        <v>0</v>
      </c>
      <c r="S1572" s="1394">
        <f>IFERROR(VLOOKUP(M1572,#REF!,6,0),0)</f>
        <v>0</v>
      </c>
      <c r="T1572" s="1394">
        <f t="shared" si="490"/>
        <v>0</v>
      </c>
      <c r="U1572" s="1394">
        <f>IFERROR(VLOOKUP(M1572,#REF!,5,0),0)</f>
        <v>0</v>
      </c>
      <c r="V1572" s="1394">
        <f t="shared" si="491"/>
        <v>0</v>
      </c>
      <c r="W1572" s="1394"/>
    </row>
    <row r="1573" spans="2:26" ht="30" customHeight="1">
      <c r="B1573" s="1407"/>
      <c r="C1573" s="1455" t="s">
        <v>252</v>
      </c>
      <c r="D1573" s="103">
        <v>-1</v>
      </c>
      <c r="E1573" s="103">
        <f>VLOOKUP(C1573,Sheet1!$I$7:$P$39,8,0)</f>
        <v>1</v>
      </c>
      <c r="F1573" s="1413">
        <f>VLOOKUP(C1573,Sheet1!$I$7:$P$39,2,0)</f>
        <v>1.8</v>
      </c>
      <c r="G1573" s="1413">
        <v>0.23</v>
      </c>
      <c r="H1573" s="1414">
        <f>VLOOKUP(C1573,Sheet1!$I$7:$P$39,3,0)</f>
        <v>1.35</v>
      </c>
      <c r="I1573" s="1425">
        <f t="shared" si="500"/>
        <v>-0.55890000000000006</v>
      </c>
      <c r="Q1573" s="1394">
        <f>IFERROR(VLOOKUP(M1573,#REF!,3,0),0)</f>
        <v>0</v>
      </c>
      <c r="R1573" s="1394">
        <f t="shared" si="489"/>
        <v>0</v>
      </c>
      <c r="S1573" s="1394">
        <f>IFERROR(VLOOKUP(M1573,#REF!,6,0),0)</f>
        <v>0</v>
      </c>
      <c r="T1573" s="1394">
        <f t="shared" si="490"/>
        <v>0</v>
      </c>
      <c r="U1573" s="1394">
        <f>IFERROR(VLOOKUP(M1573,#REF!,5,0),0)</f>
        <v>0</v>
      </c>
      <c r="V1573" s="1394">
        <f t="shared" si="491"/>
        <v>0</v>
      </c>
      <c r="W1573" s="1394"/>
    </row>
    <row r="1574" spans="2:26" ht="30" customHeight="1">
      <c r="B1574" s="1407"/>
      <c r="C1574" s="1455" t="s">
        <v>249</v>
      </c>
      <c r="D1574" s="103">
        <v>-1</v>
      </c>
      <c r="E1574" s="103">
        <f>VLOOKUP(C1574,Sheet1!$I$7:$P$39,8,0)</f>
        <v>1</v>
      </c>
      <c r="F1574" s="1413">
        <f>VLOOKUP(C1574,Sheet1!$I$7:$P$39,2,0)</f>
        <v>1.5</v>
      </c>
      <c r="G1574" s="1413">
        <v>0.23</v>
      </c>
      <c r="H1574" s="1414">
        <f>VLOOKUP(C1574,Sheet1!$I$7:$P$39,3,0)</f>
        <v>1.35</v>
      </c>
      <c r="I1574" s="1425">
        <f t="shared" si="500"/>
        <v>-0.46575000000000005</v>
      </c>
      <c r="Q1574" s="1394">
        <f>IFERROR(VLOOKUP(M1574,#REF!,3,0),0)</f>
        <v>0</v>
      </c>
      <c r="R1574" s="1394">
        <f t="shared" si="489"/>
        <v>0</v>
      </c>
      <c r="S1574" s="1394">
        <f>IFERROR(VLOOKUP(M1574,#REF!,6,0),0)</f>
        <v>0</v>
      </c>
      <c r="T1574" s="1394">
        <f t="shared" si="490"/>
        <v>0</v>
      </c>
      <c r="U1574" s="1394">
        <f>IFERROR(VLOOKUP(M1574,#REF!,5,0),0)</f>
        <v>0</v>
      </c>
      <c r="V1574" s="1394">
        <f t="shared" si="491"/>
        <v>0</v>
      </c>
      <c r="W1574" s="1394"/>
    </row>
    <row r="1575" spans="2:26" ht="30" customHeight="1">
      <c r="B1575" s="1407"/>
      <c r="C1575" s="1455" t="s">
        <v>250</v>
      </c>
      <c r="D1575" s="103">
        <v>-1</v>
      </c>
      <c r="E1575" s="103">
        <f>VLOOKUP(C1575,Sheet1!$I$7:$P$39,8,0)</f>
        <v>1</v>
      </c>
      <c r="F1575" s="1413">
        <f>VLOOKUP(C1575,Sheet1!$I$7:$P$39,2,0)</f>
        <v>1.2</v>
      </c>
      <c r="G1575" s="1413">
        <v>0.23</v>
      </c>
      <c r="H1575" s="1414">
        <f>VLOOKUP(C1575,Sheet1!$I$7:$P$39,3,0)</f>
        <v>1.35</v>
      </c>
      <c r="I1575" s="1425">
        <f t="shared" si="500"/>
        <v>-0.37260000000000004</v>
      </c>
      <c r="J1575" s="1394"/>
      <c r="K1575" s="1394"/>
      <c r="Q1575" s="1394">
        <f>IFERROR(VLOOKUP(M1575,#REF!,3,0),0)</f>
        <v>0</v>
      </c>
      <c r="R1575" s="1394">
        <f t="shared" si="489"/>
        <v>0</v>
      </c>
      <c r="S1575" s="1394">
        <f>IFERROR(VLOOKUP(M1575,#REF!,6,0),0)</f>
        <v>0</v>
      </c>
      <c r="T1575" s="1394">
        <f t="shared" si="490"/>
        <v>0</v>
      </c>
      <c r="U1575" s="1394">
        <f>IFERROR(VLOOKUP(M1575,#REF!,5,0),0)</f>
        <v>0</v>
      </c>
      <c r="V1575" s="1394">
        <f t="shared" si="491"/>
        <v>0</v>
      </c>
      <c r="W1575" s="1394"/>
    </row>
    <row r="1576" spans="2:26" ht="30" customHeight="1">
      <c r="B1576" s="1407"/>
      <c r="C1576" s="1455" t="s">
        <v>251</v>
      </c>
      <c r="D1576" s="103">
        <v>-1</v>
      </c>
      <c r="E1576" s="103">
        <f>VLOOKUP(C1576,Sheet1!$I$7:$P$39,8,0)</f>
        <v>1</v>
      </c>
      <c r="F1576" s="1413">
        <f>VLOOKUP(C1576,Sheet1!$I$7:$P$39,2,0)</f>
        <v>1</v>
      </c>
      <c r="G1576" s="1413">
        <v>0.23</v>
      </c>
      <c r="H1576" s="1414">
        <f>VLOOKUP(C1576,Sheet1!$I$7:$P$39,3,0)</f>
        <v>1.35</v>
      </c>
      <c r="I1576" s="1425">
        <f t="shared" si="500"/>
        <v>-0.31050000000000005</v>
      </c>
      <c r="J1576" s="1394"/>
      <c r="K1576" s="1394"/>
      <c r="M1576" s="110"/>
      <c r="Q1576" s="1394">
        <f>IFERROR(VLOOKUP(M1576,#REF!,3,0),0)</f>
        <v>0</v>
      </c>
      <c r="R1576" s="1394">
        <f t="shared" si="489"/>
        <v>0</v>
      </c>
      <c r="S1576" s="1394">
        <f>IFERROR(VLOOKUP(M1576,#REF!,6,0),0)</f>
        <v>0</v>
      </c>
      <c r="T1576" s="1394">
        <f t="shared" si="490"/>
        <v>0</v>
      </c>
      <c r="U1576" s="1394">
        <f>IFERROR(VLOOKUP(M1576,#REF!,5,0),0)</f>
        <v>0</v>
      </c>
      <c r="V1576" s="1394">
        <f t="shared" si="491"/>
        <v>0</v>
      </c>
      <c r="W1576" s="1394"/>
    </row>
    <row r="1577" spans="2:26" ht="30" customHeight="1">
      <c r="B1577" s="1407"/>
      <c r="C1577" s="1455" t="s">
        <v>5518</v>
      </c>
      <c r="D1577" s="103">
        <v>-1</v>
      </c>
      <c r="E1577" s="103">
        <f>VLOOKUP(C1577,Sheet1!$I$7:$P$39,8,0)</f>
        <v>0</v>
      </c>
      <c r="F1577" s="1413">
        <f>VLOOKUP(C1577,Sheet1!$I$7:$P$39,2,0)</f>
        <v>2.1</v>
      </c>
      <c r="G1577" s="1413">
        <v>0.23</v>
      </c>
      <c r="H1577" s="1414">
        <f>VLOOKUP(C1577,Sheet1!$I$7:$P$39,3,0)</f>
        <v>1.35</v>
      </c>
      <c r="I1577" s="1425">
        <f t="shared" si="500"/>
        <v>0</v>
      </c>
      <c r="J1577" s="1394"/>
      <c r="K1577" s="1394"/>
      <c r="M1577" s="110"/>
      <c r="Q1577" s="1394">
        <f>IFERROR(VLOOKUP(M1577,#REF!,3,0),0)</f>
        <v>0</v>
      </c>
      <c r="R1577" s="1394">
        <f t="shared" si="489"/>
        <v>0</v>
      </c>
      <c r="S1577" s="1394">
        <f>IFERROR(VLOOKUP(M1577,#REF!,6,0),0)</f>
        <v>0</v>
      </c>
      <c r="T1577" s="1394">
        <f t="shared" si="490"/>
        <v>0</v>
      </c>
      <c r="U1577" s="1394">
        <f>IFERROR(VLOOKUP(M1577,#REF!,5,0),0)</f>
        <v>0</v>
      </c>
      <c r="V1577" s="1394">
        <f t="shared" si="491"/>
        <v>0</v>
      </c>
      <c r="W1577" s="1394"/>
    </row>
    <row r="1578" spans="2:26" ht="30" customHeight="1">
      <c r="B1578" s="1407"/>
      <c r="C1578" s="1412" t="s">
        <v>338</v>
      </c>
      <c r="D1578" s="103"/>
      <c r="E1578" s="103"/>
      <c r="F1578" s="1413"/>
      <c r="G1578" s="1413"/>
      <c r="H1578" s="1414"/>
      <c r="I1578" s="1425">
        <f t="shared" si="500"/>
        <v>0</v>
      </c>
      <c r="Q1578" s="1394">
        <f>IFERROR(VLOOKUP(M1578,#REF!,3,0),0)</f>
        <v>0</v>
      </c>
      <c r="R1578" s="1394">
        <f t="shared" si="489"/>
        <v>0</v>
      </c>
      <c r="S1578" s="1394">
        <f>IFERROR(VLOOKUP(M1578,#REF!,6,0),0)</f>
        <v>0</v>
      </c>
      <c r="T1578" s="1394">
        <f t="shared" si="490"/>
        <v>0</v>
      </c>
      <c r="U1578" s="1394">
        <f>IFERROR(VLOOKUP(M1578,#REF!,5,0),0)</f>
        <v>0</v>
      </c>
      <c r="V1578" s="1394">
        <f t="shared" si="491"/>
        <v>0</v>
      </c>
      <c r="W1578" s="1394"/>
    </row>
    <row r="1579" spans="2:26" ht="30" customHeight="1">
      <c r="B1579" s="1405"/>
      <c r="C1579" s="1455" t="str">
        <f>C1568</f>
        <v>Main wall all alround Head Room</v>
      </c>
      <c r="D1579" s="103">
        <f>-D1568</f>
        <v>-1</v>
      </c>
      <c r="E1579" s="103">
        <f t="shared" ref="E1579:G1580" si="501">E1568</f>
        <v>1</v>
      </c>
      <c r="F1579" s="1413">
        <f>F1568</f>
        <v>20.69</v>
      </c>
      <c r="G1579" s="1413">
        <f t="shared" si="501"/>
        <v>0.23</v>
      </c>
      <c r="H1579" s="1414">
        <f>H1561</f>
        <v>0.1</v>
      </c>
      <c r="I1579" s="1425">
        <f t="shared" si="500"/>
        <v>-0.47587000000000002</v>
      </c>
      <c r="L1579" s="110">
        <v>78220</v>
      </c>
      <c r="Q1579" s="1394">
        <f>IFERROR(VLOOKUP(M1579,#REF!,3,0),0)</f>
        <v>0</v>
      </c>
      <c r="R1579" s="1394">
        <f t="shared" si="489"/>
        <v>0</v>
      </c>
      <c r="S1579" s="1394">
        <f>IFERROR(VLOOKUP(M1579,#REF!,6,0),0)</f>
        <v>0</v>
      </c>
      <c r="T1579" s="1394">
        <f t="shared" si="490"/>
        <v>0</v>
      </c>
      <c r="U1579" s="1394">
        <f>IFERROR(VLOOKUP(M1579,#REF!,5,0),0)</f>
        <v>0</v>
      </c>
      <c r="V1579" s="1394">
        <f t="shared" si="491"/>
        <v>0</v>
      </c>
      <c r="W1579" s="1394"/>
    </row>
    <row r="1580" spans="2:26" ht="30" customHeight="1">
      <c r="B1580" s="1407"/>
      <c r="C1580" s="1455" t="str">
        <f>C1569</f>
        <v>Main wall all alround Lift Machine Room</v>
      </c>
      <c r="D1580" s="103">
        <f>-D1569</f>
        <v>-1</v>
      </c>
      <c r="E1580" s="103">
        <f t="shared" si="501"/>
        <v>1</v>
      </c>
      <c r="F1580" s="1413">
        <f>F1569</f>
        <v>12.175000000000001</v>
      </c>
      <c r="G1580" s="1413">
        <f t="shared" si="501"/>
        <v>0.23</v>
      </c>
      <c r="H1580" s="1414">
        <f>H1579</f>
        <v>0.1</v>
      </c>
      <c r="I1580" s="1425">
        <f t="shared" si="500"/>
        <v>-0.28002500000000002</v>
      </c>
      <c r="Q1580" s="1394">
        <f>IFERROR(VLOOKUP(M1580,#REF!,3,0),0)</f>
        <v>0</v>
      </c>
      <c r="R1580" s="1394">
        <f t="shared" si="489"/>
        <v>0</v>
      </c>
      <c r="S1580" s="1394">
        <f>IFERROR(VLOOKUP(M1580,#REF!,6,0),0)</f>
        <v>0</v>
      </c>
      <c r="T1580" s="1394">
        <f t="shared" si="490"/>
        <v>0</v>
      </c>
      <c r="U1580" s="1394">
        <f>IFERROR(VLOOKUP(M1580,#REF!,5,0),0)</f>
        <v>0</v>
      </c>
      <c r="V1580" s="1394">
        <f t="shared" si="491"/>
        <v>0</v>
      </c>
      <c r="W1580" s="1394"/>
    </row>
    <row r="1581" spans="2:26" ht="30" customHeight="1">
      <c r="B1581" s="1407"/>
      <c r="C1581" s="1455"/>
      <c r="D1581" s="103"/>
      <c r="E1581" s="103"/>
      <c r="F1581" s="1413"/>
      <c r="G1581" s="1413"/>
      <c r="H1581" s="1414"/>
      <c r="I1581" s="1425"/>
      <c r="J1581" s="1394"/>
      <c r="K1581" s="1394"/>
      <c r="M1581" s="110"/>
      <c r="Q1581" s="1394">
        <f>IFERROR(VLOOKUP(M1581,#REF!,3,0),0)</f>
        <v>0</v>
      </c>
      <c r="R1581" s="1394">
        <f t="shared" si="489"/>
        <v>0</v>
      </c>
      <c r="S1581" s="1394">
        <f>IFERROR(VLOOKUP(M1581,#REF!,6,0),0)</f>
        <v>0</v>
      </c>
      <c r="T1581" s="1394">
        <f t="shared" si="490"/>
        <v>0</v>
      </c>
      <c r="U1581" s="1394">
        <f>IFERROR(VLOOKUP(M1581,#REF!,5,0),0)</f>
        <v>0</v>
      </c>
      <c r="V1581" s="1394">
        <f t="shared" si="491"/>
        <v>0</v>
      </c>
      <c r="W1581" s="1394"/>
    </row>
    <row r="1582" spans="2:26" ht="30" customHeight="1">
      <c r="B1582" s="1407"/>
      <c r="C1582" s="1455"/>
      <c r="D1582" s="103"/>
      <c r="E1582" s="103"/>
      <c r="F1582" s="1413"/>
      <c r="G1582" s="1413"/>
      <c r="H1582" s="1414"/>
      <c r="I1582" s="1425">
        <f>J1583-J1582</f>
        <v>3.6760999999998489E-2</v>
      </c>
      <c r="J1582" s="1394">
        <f>SUM(I1568:I1581)</f>
        <v>18.763239000000002</v>
      </c>
      <c r="K1582" s="1394"/>
      <c r="Q1582" s="1394">
        <f>IFERROR(VLOOKUP(M1582,#REF!,3,0),0)</f>
        <v>0</v>
      </c>
      <c r="R1582" s="1394">
        <f t="shared" ref="R1582:R1645" si="502">ROUND(O1582,2)*ROUND(Q1582,2)</f>
        <v>0</v>
      </c>
      <c r="S1582" s="1394">
        <f>IFERROR(VLOOKUP(M1582,#REF!,6,0),0)</f>
        <v>0</v>
      </c>
      <c r="T1582" s="1394">
        <f t="shared" ref="T1582:T1645" si="503">R1582-S1582</f>
        <v>0</v>
      </c>
      <c r="U1582" s="1394">
        <f>IFERROR(VLOOKUP(M1582,#REF!,5,0),0)</f>
        <v>0</v>
      </c>
      <c r="V1582" s="1394">
        <f t="shared" ref="V1582:V1645" si="504">O1582-U1582</f>
        <v>0</v>
      </c>
      <c r="W1582" s="1394"/>
    </row>
    <row r="1583" spans="2:26" ht="30" customHeight="1">
      <c r="B1583" s="1407"/>
      <c r="C1583" s="1455"/>
      <c r="D1583" s="103"/>
      <c r="E1583" s="103"/>
      <c r="F1583" s="1413"/>
      <c r="G1583" s="1413"/>
      <c r="H1583" s="1414"/>
      <c r="I1583" s="1479">
        <f>SUM(I1568:I1582)</f>
        <v>18.8</v>
      </c>
      <c r="J1583" s="1394">
        <f>ROUNDUP(J1582,1)</f>
        <v>18.8</v>
      </c>
      <c r="K1583" s="1394"/>
      <c r="Q1583" s="1394">
        <f>IFERROR(VLOOKUP(M1583,#REF!,3,0),0)</f>
        <v>0</v>
      </c>
      <c r="R1583" s="1394">
        <f t="shared" si="502"/>
        <v>0</v>
      </c>
      <c r="S1583" s="1394">
        <f>IFERROR(VLOOKUP(M1583,#REF!,6,0),0)</f>
        <v>0</v>
      </c>
      <c r="T1583" s="1394">
        <f t="shared" si="503"/>
        <v>0</v>
      </c>
      <c r="U1583" s="1394">
        <f>IFERROR(VLOOKUP(M1583,#REF!,5,0),0)</f>
        <v>0</v>
      </c>
      <c r="V1583" s="1394">
        <f t="shared" si="504"/>
        <v>0</v>
      </c>
      <c r="W1583" s="1394"/>
    </row>
    <row r="1584" spans="2:26" ht="30" customHeight="1">
      <c r="B1584" s="1407"/>
      <c r="C1584" s="1455"/>
      <c r="D1584" s="103"/>
      <c r="E1584" s="103"/>
      <c r="F1584" s="1413"/>
      <c r="G1584" s="1483" t="s">
        <v>11</v>
      </c>
      <c r="H1584" s="1478">
        <f>ROUNDUP(J1583,1)</f>
        <v>18.8</v>
      </c>
      <c r="I1584" s="1479" t="s">
        <v>19</v>
      </c>
      <c r="M1584" s="1426" t="str">
        <f>A1567</f>
        <v>e. In Fourth Floor Brick work in C.M. 1:6  using Kiln Burnt Country bricks of size 22 x 11 x 7 cm ( 8 3/4" x 4 1/4" x 2 3/4")</v>
      </c>
      <c r="N1584" s="1426">
        <f>B1567</f>
        <v>0</v>
      </c>
      <c r="O1584" s="1394">
        <f>H1584</f>
        <v>18.8</v>
      </c>
      <c r="P1584" s="1394" t="str">
        <f>I1584</f>
        <v>Cum</v>
      </c>
      <c r="Q1584" s="1394">
        <f>IFERROR(VLOOKUP(M1584,#REF!,3,0),0)</f>
        <v>0</v>
      </c>
      <c r="R1584" s="1394">
        <f t="shared" si="502"/>
        <v>0</v>
      </c>
      <c r="S1584" s="1394">
        <f>IFERROR(VLOOKUP(M1584,#REF!,6,0),0)</f>
        <v>0</v>
      </c>
      <c r="T1584" s="1394">
        <f t="shared" si="503"/>
        <v>0</v>
      </c>
      <c r="U1584" s="1394">
        <f>IFERROR(VLOOKUP(M1584,#REF!,5,0),0)</f>
        <v>0</v>
      </c>
      <c r="V1584" s="1394">
        <f t="shared" si="504"/>
        <v>18.8</v>
      </c>
      <c r="W1584" s="1394"/>
      <c r="Z1584" s="1394"/>
    </row>
    <row r="1585" spans="1:26" ht="114.75" customHeight="1">
      <c r="A1585" s="110" t="s">
        <v>63</v>
      </c>
      <c r="B1585" s="1405">
        <v>10.5</v>
      </c>
      <c r="C1585" s="1678" t="e">
        <f>VLOOKUP(A1585,#REF!,2,0)</f>
        <v>#REF!</v>
      </c>
      <c r="D1585" s="1678"/>
      <c r="E1585" s="1678"/>
      <c r="F1585" s="1678"/>
      <c r="G1585" s="1678"/>
      <c r="H1585" s="1678"/>
      <c r="I1585" s="1406"/>
      <c r="Q1585" s="1394">
        <f>IFERROR(VLOOKUP(M1585,#REF!,3,0),0)</f>
        <v>0</v>
      </c>
      <c r="R1585" s="1394">
        <f t="shared" si="502"/>
        <v>0</v>
      </c>
      <c r="S1585" s="1394">
        <f>IFERROR(VLOOKUP(M1585,#REF!,6,0),0)</f>
        <v>0</v>
      </c>
      <c r="T1585" s="1394">
        <f t="shared" si="503"/>
        <v>0</v>
      </c>
      <c r="U1585" s="1394">
        <f>IFERROR(VLOOKUP(M1585,#REF!,5,0),0)</f>
        <v>0</v>
      </c>
      <c r="V1585" s="1394">
        <f t="shared" si="504"/>
        <v>0</v>
      </c>
      <c r="W1585" s="1394"/>
      <c r="X1585" s="1397"/>
    </row>
    <row r="1586" spans="1:26" ht="30" customHeight="1">
      <c r="A1586" s="110" t="s">
        <v>348</v>
      </c>
      <c r="B1586" s="1407"/>
      <c r="C1586" s="1678" t="e">
        <f>VLOOKUP(A1586,#REF!,2,0)</f>
        <v>#REF!</v>
      </c>
      <c r="D1586" s="1678"/>
      <c r="E1586" s="1678"/>
      <c r="F1586" s="1678"/>
      <c r="G1586" s="1678"/>
      <c r="H1586" s="1678"/>
      <c r="I1586" s="1406"/>
      <c r="Q1586" s="1394">
        <f>IFERROR(VLOOKUP(M1586,#REF!,3,0),0)</f>
        <v>0</v>
      </c>
      <c r="R1586" s="1394">
        <f t="shared" si="502"/>
        <v>0</v>
      </c>
      <c r="S1586" s="1394">
        <f>IFERROR(VLOOKUP(M1586,#REF!,6,0),0)</f>
        <v>0</v>
      </c>
      <c r="T1586" s="1394">
        <f t="shared" si="503"/>
        <v>0</v>
      </c>
      <c r="U1586" s="1394">
        <f>IFERROR(VLOOKUP(M1586,#REF!,5,0),0)</f>
        <v>0</v>
      </c>
      <c r="V1586" s="1394">
        <f t="shared" si="504"/>
        <v>0</v>
      </c>
      <c r="W1586" s="1394"/>
      <c r="X1586" s="1397"/>
    </row>
    <row r="1587" spans="1:26" ht="30" customHeight="1">
      <c r="B1587" s="1407"/>
      <c r="C1587" s="1412" t="s">
        <v>544</v>
      </c>
      <c r="D1587" s="103"/>
      <c r="E1587" s="103"/>
      <c r="F1587" s="1413"/>
      <c r="G1587" s="1413"/>
      <c r="H1587" s="1414"/>
      <c r="I1587" s="1425">
        <f>PRODUCT(D1587:H1587)</f>
        <v>0</v>
      </c>
      <c r="Q1587" s="1394">
        <f>IFERROR(VLOOKUP(M1587,#REF!,3,0),0)</f>
        <v>0</v>
      </c>
      <c r="R1587" s="1394">
        <f t="shared" si="502"/>
        <v>0</v>
      </c>
      <c r="S1587" s="1394">
        <f>IFERROR(VLOOKUP(M1587,#REF!,6,0),0)</f>
        <v>0</v>
      </c>
      <c r="T1587" s="1394">
        <f t="shared" si="503"/>
        <v>0</v>
      </c>
      <c r="U1587" s="1394">
        <f>IFERROR(VLOOKUP(M1587,#REF!,5,0),0)</f>
        <v>0</v>
      </c>
      <c r="V1587" s="1394">
        <f t="shared" si="504"/>
        <v>0</v>
      </c>
      <c r="W1587" s="1394"/>
    </row>
    <row r="1588" spans="1:26" ht="30" customHeight="1">
      <c r="B1588" s="1407"/>
      <c r="C1588" s="1455" t="s">
        <v>5653</v>
      </c>
      <c r="D1588" s="103">
        <v>1</v>
      </c>
      <c r="E1588" s="103">
        <v>1</v>
      </c>
      <c r="F1588" s="1413">
        <v>1.615</v>
      </c>
      <c r="G1588" s="1413"/>
      <c r="H1588" s="1414">
        <f>3.3-0.38</f>
        <v>2.92</v>
      </c>
      <c r="I1588" s="1425">
        <f>PRODUCT(D1588:H1588)</f>
        <v>4.7157999999999998</v>
      </c>
      <c r="J1588" s="110">
        <f>2.85</f>
        <v>2.85</v>
      </c>
      <c r="L1588" s="110">
        <f>J1588-0.4</f>
        <v>2.4500000000000002</v>
      </c>
      <c r="Q1588" s="1394">
        <f>IFERROR(VLOOKUP(M1588,#REF!,3,0),0)</f>
        <v>0</v>
      </c>
      <c r="R1588" s="1394">
        <f t="shared" si="502"/>
        <v>0</v>
      </c>
      <c r="S1588" s="1394">
        <f>IFERROR(VLOOKUP(M1588,#REF!,6,0),0)</f>
        <v>0</v>
      </c>
      <c r="T1588" s="1394">
        <f t="shared" si="503"/>
        <v>0</v>
      </c>
      <c r="U1588" s="1394">
        <f>IFERROR(VLOOKUP(M1588,#REF!,5,0),0)</f>
        <v>0</v>
      </c>
      <c r="V1588" s="1394">
        <f t="shared" si="504"/>
        <v>0</v>
      </c>
      <c r="W1588" s="1394"/>
    </row>
    <row r="1589" spans="1:26" ht="30" customHeight="1">
      <c r="B1589" s="1407"/>
      <c r="C1589" s="1455" t="s">
        <v>5654</v>
      </c>
      <c r="D1589" s="103">
        <v>1</v>
      </c>
      <c r="E1589" s="103">
        <v>1</v>
      </c>
      <c r="F1589" s="1413">
        <v>2.2149999999999999</v>
      </c>
      <c r="G1589" s="1413"/>
      <c r="H1589" s="1414">
        <f>H1588</f>
        <v>2.92</v>
      </c>
      <c r="I1589" s="1425">
        <f>PRODUCT(D1589:H1589)</f>
        <v>6.4677999999999995</v>
      </c>
      <c r="Q1589" s="1394">
        <f>IFERROR(VLOOKUP(M1589,#REF!,3,0),0)</f>
        <v>0</v>
      </c>
      <c r="R1589" s="1394">
        <f t="shared" si="502"/>
        <v>0</v>
      </c>
      <c r="S1589" s="1394">
        <f>IFERROR(VLOOKUP(M1589,#REF!,6,0),0)</f>
        <v>0</v>
      </c>
      <c r="T1589" s="1394">
        <f t="shared" si="503"/>
        <v>0</v>
      </c>
      <c r="U1589" s="1394">
        <f>IFERROR(VLOOKUP(M1589,#REF!,5,0),0)</f>
        <v>0</v>
      </c>
      <c r="V1589" s="1394">
        <f t="shared" si="504"/>
        <v>0</v>
      </c>
      <c r="W1589" s="1394"/>
    </row>
    <row r="1590" spans="1:26" ht="30" customHeight="1">
      <c r="B1590" s="1407"/>
      <c r="C1590" s="1455" t="s">
        <v>5655</v>
      </c>
      <c r="D1590" s="103">
        <v>1</v>
      </c>
      <c r="E1590" s="103">
        <v>1</v>
      </c>
      <c r="F1590" s="1413">
        <v>1.35</v>
      </c>
      <c r="G1590" s="1413"/>
      <c r="H1590" s="1414">
        <f t="shared" ref="H1590:H1591" si="505">H1589</f>
        <v>2.92</v>
      </c>
      <c r="I1590" s="1425">
        <f>PRODUCT(D1590:H1590)</f>
        <v>3.9420000000000002</v>
      </c>
      <c r="Q1590" s="1394">
        <f>IFERROR(VLOOKUP(M1590,#REF!,3,0),0)</f>
        <v>0</v>
      </c>
      <c r="R1590" s="1394">
        <f t="shared" si="502"/>
        <v>0</v>
      </c>
      <c r="S1590" s="1394">
        <f>IFERROR(VLOOKUP(M1590,#REF!,6,0),0)</f>
        <v>0</v>
      </c>
      <c r="T1590" s="1394">
        <f t="shared" si="503"/>
        <v>0</v>
      </c>
      <c r="U1590" s="1394">
        <f>IFERROR(VLOOKUP(M1590,#REF!,5,0),0)</f>
        <v>0</v>
      </c>
      <c r="V1590" s="1394">
        <f t="shared" si="504"/>
        <v>0</v>
      </c>
      <c r="W1590" s="1394"/>
    </row>
    <row r="1591" spans="1:26" ht="30" customHeight="1">
      <c r="B1591" s="1407"/>
      <c r="C1591" s="1455" t="s">
        <v>5656</v>
      </c>
      <c r="D1591" s="103">
        <v>1</v>
      </c>
      <c r="E1591" s="103">
        <v>1</v>
      </c>
      <c r="F1591" s="1413">
        <v>1.2</v>
      </c>
      <c r="G1591" s="1413"/>
      <c r="H1591" s="1414">
        <f t="shared" si="505"/>
        <v>2.92</v>
      </c>
      <c r="I1591" s="1425">
        <f>PRODUCT(D1591:H1591)</f>
        <v>3.504</v>
      </c>
      <c r="Q1591" s="1394">
        <f>IFERROR(VLOOKUP(M1591,#REF!,3,0),0)</f>
        <v>0</v>
      </c>
      <c r="R1591" s="1394">
        <f t="shared" si="502"/>
        <v>0</v>
      </c>
      <c r="S1591" s="1394">
        <f>IFERROR(VLOOKUP(M1591,#REF!,6,0),0)</f>
        <v>0</v>
      </c>
      <c r="T1591" s="1394">
        <f t="shared" si="503"/>
        <v>0</v>
      </c>
      <c r="U1591" s="1394">
        <f>IFERROR(VLOOKUP(M1591,#REF!,5,0),0)</f>
        <v>0</v>
      </c>
      <c r="V1591" s="1394">
        <f t="shared" si="504"/>
        <v>0</v>
      </c>
      <c r="W1591" s="1394"/>
    </row>
    <row r="1592" spans="1:26" ht="30" customHeight="1">
      <c r="B1592" s="1407">
        <f>B733</f>
        <v>0</v>
      </c>
      <c r="C1592" s="1412" t="s">
        <v>5772</v>
      </c>
      <c r="D1592" s="103">
        <v>0</v>
      </c>
      <c r="E1592" s="103">
        <v>0</v>
      </c>
      <c r="F1592" s="1413">
        <v>0</v>
      </c>
      <c r="G1592" s="1413">
        <v>0</v>
      </c>
      <c r="H1592" s="1414">
        <v>0</v>
      </c>
      <c r="I1592" s="1425">
        <f t="shared" ref="I1592:I1596" si="506">PRODUCT(D1592:H1592)</f>
        <v>0</v>
      </c>
      <c r="Q1592" s="1394">
        <f>IFERROR(VLOOKUP(M1592,#REF!,3,0),0)</f>
        <v>0</v>
      </c>
      <c r="R1592" s="1394">
        <f t="shared" si="502"/>
        <v>0</v>
      </c>
      <c r="S1592" s="1394">
        <f>IFERROR(VLOOKUP(M1592,#REF!,6,0),0)</f>
        <v>0</v>
      </c>
      <c r="T1592" s="1394">
        <f t="shared" si="503"/>
        <v>0</v>
      </c>
      <c r="U1592" s="1394">
        <f>IFERROR(VLOOKUP(M1592,#REF!,5,0),0)</f>
        <v>0</v>
      </c>
      <c r="V1592" s="1394">
        <f t="shared" si="504"/>
        <v>0</v>
      </c>
      <c r="W1592" s="1394"/>
    </row>
    <row r="1593" spans="1:26" ht="30" customHeight="1">
      <c r="B1593" s="1407"/>
      <c r="C1593" s="1455" t="str">
        <f t="shared" ref="C1593:F1596" si="507">C1588</f>
        <v>Cross wall between Toilet / Ph Toilet</v>
      </c>
      <c r="D1593" s="103">
        <f>-D1588</f>
        <v>-1</v>
      </c>
      <c r="E1593" s="103">
        <f t="shared" si="507"/>
        <v>1</v>
      </c>
      <c r="F1593" s="1413">
        <f t="shared" si="507"/>
        <v>1.615</v>
      </c>
      <c r="G1593" s="1413"/>
      <c r="H1593" s="1414">
        <v>0.1</v>
      </c>
      <c r="I1593" s="1425">
        <f t="shared" si="506"/>
        <v>-0.1615</v>
      </c>
      <c r="Q1593" s="1394">
        <f>IFERROR(VLOOKUP(M1593,#REF!,3,0),0)</f>
        <v>0</v>
      </c>
      <c r="R1593" s="1394">
        <f t="shared" si="502"/>
        <v>0</v>
      </c>
      <c r="S1593" s="1394">
        <f>IFERROR(VLOOKUP(M1593,#REF!,6,0),0)</f>
        <v>0</v>
      </c>
      <c r="T1593" s="1394">
        <f t="shared" si="503"/>
        <v>0</v>
      </c>
      <c r="U1593" s="1394">
        <f>IFERROR(VLOOKUP(M1593,#REF!,5,0),0)</f>
        <v>0</v>
      </c>
      <c r="V1593" s="1394">
        <f t="shared" si="504"/>
        <v>0</v>
      </c>
      <c r="W1593" s="1394"/>
    </row>
    <row r="1594" spans="1:26" ht="30" customHeight="1">
      <c r="B1594" s="1407"/>
      <c r="C1594" s="1455" t="str">
        <f t="shared" si="507"/>
        <v>Cross wall between Passage/ Ph Toilet</v>
      </c>
      <c r="D1594" s="103">
        <f t="shared" ref="D1594:D1596" si="508">-D1589</f>
        <v>-1</v>
      </c>
      <c r="E1594" s="103">
        <f t="shared" si="507"/>
        <v>1</v>
      </c>
      <c r="F1594" s="1413">
        <f t="shared" si="507"/>
        <v>2.2149999999999999</v>
      </c>
      <c r="G1594" s="1413"/>
      <c r="H1594" s="1414">
        <f>H1593</f>
        <v>0.1</v>
      </c>
      <c r="I1594" s="1425">
        <f t="shared" si="506"/>
        <v>-0.2215</v>
      </c>
      <c r="Q1594" s="1394">
        <f>IFERROR(VLOOKUP(M1594,#REF!,3,0),0)</f>
        <v>0</v>
      </c>
      <c r="R1594" s="1394">
        <f t="shared" si="502"/>
        <v>0</v>
      </c>
      <c r="S1594" s="1394">
        <f>IFERROR(VLOOKUP(M1594,#REF!,6,0),0)</f>
        <v>0</v>
      </c>
      <c r="T1594" s="1394">
        <f t="shared" si="503"/>
        <v>0</v>
      </c>
      <c r="U1594" s="1394">
        <f>IFERROR(VLOOKUP(M1594,#REF!,5,0),0)</f>
        <v>0</v>
      </c>
      <c r="V1594" s="1394">
        <f t="shared" si="504"/>
        <v>0</v>
      </c>
      <c r="W1594" s="1394"/>
    </row>
    <row r="1595" spans="1:26" ht="30" customHeight="1">
      <c r="B1595" s="1407"/>
      <c r="C1595" s="1455" t="str">
        <f t="shared" si="507"/>
        <v>Cross wall between Passage/  Toilet</v>
      </c>
      <c r="D1595" s="103">
        <f t="shared" si="508"/>
        <v>-1</v>
      </c>
      <c r="E1595" s="103">
        <f t="shared" si="507"/>
        <v>1</v>
      </c>
      <c r="F1595" s="1413">
        <f t="shared" si="507"/>
        <v>1.35</v>
      </c>
      <c r="G1595" s="1413"/>
      <c r="H1595" s="1414">
        <f t="shared" ref="H1595:H1596" si="509">H1594</f>
        <v>0.1</v>
      </c>
      <c r="I1595" s="1425">
        <f t="shared" si="506"/>
        <v>-0.13500000000000001</v>
      </c>
      <c r="Q1595" s="1394">
        <f>IFERROR(VLOOKUP(M1595,#REF!,3,0),0)</f>
        <v>0</v>
      </c>
      <c r="R1595" s="1394">
        <f t="shared" si="502"/>
        <v>0</v>
      </c>
      <c r="S1595" s="1394">
        <f>IFERROR(VLOOKUP(M1595,#REF!,6,0),0)</f>
        <v>0</v>
      </c>
      <c r="T1595" s="1394">
        <f t="shared" si="503"/>
        <v>0</v>
      </c>
      <c r="U1595" s="1394">
        <f>IFERROR(VLOOKUP(M1595,#REF!,5,0),0)</f>
        <v>0</v>
      </c>
      <c r="V1595" s="1394">
        <f t="shared" si="504"/>
        <v>0</v>
      </c>
      <c r="W1595" s="1394"/>
    </row>
    <row r="1596" spans="1:26" ht="30" customHeight="1">
      <c r="B1596" s="1407"/>
      <c r="C1596" s="1455" t="str">
        <f t="shared" si="507"/>
        <v>Wash basin wall</v>
      </c>
      <c r="D1596" s="103">
        <f t="shared" si="508"/>
        <v>-1</v>
      </c>
      <c r="E1596" s="103">
        <f t="shared" si="507"/>
        <v>1</v>
      </c>
      <c r="F1596" s="1413">
        <f t="shared" si="507"/>
        <v>1.2</v>
      </c>
      <c r="G1596" s="1413"/>
      <c r="H1596" s="1414">
        <f t="shared" si="509"/>
        <v>0.1</v>
      </c>
      <c r="I1596" s="1425">
        <f t="shared" si="506"/>
        <v>-0.12</v>
      </c>
      <c r="Q1596" s="1394">
        <f>IFERROR(VLOOKUP(M1596,#REF!,3,0),0)</f>
        <v>0</v>
      </c>
      <c r="R1596" s="1394">
        <f t="shared" si="502"/>
        <v>0</v>
      </c>
      <c r="S1596" s="1394">
        <f>IFERROR(VLOOKUP(M1596,#REF!,6,0),0)</f>
        <v>0</v>
      </c>
      <c r="T1596" s="1394">
        <f t="shared" si="503"/>
        <v>0</v>
      </c>
      <c r="U1596" s="1394">
        <f>IFERROR(VLOOKUP(M1596,#REF!,5,0),0)</f>
        <v>0</v>
      </c>
      <c r="V1596" s="1394">
        <f t="shared" si="504"/>
        <v>0</v>
      </c>
      <c r="W1596" s="1394"/>
    </row>
    <row r="1597" spans="1:26" ht="30" customHeight="1">
      <c r="B1597" s="1407"/>
      <c r="C1597" s="1412"/>
      <c r="D1597" s="103"/>
      <c r="E1597" s="103"/>
      <c r="F1597" s="1413"/>
      <c r="G1597" s="1413"/>
      <c r="H1597" s="1424"/>
      <c r="I1597" s="1406">
        <f>J1598-J1597</f>
        <v>8.4000000000017394E-3</v>
      </c>
      <c r="J1597" s="1394">
        <f>SUM(I1588:I1596)</f>
        <v>17.991599999999998</v>
      </c>
      <c r="K1597" s="1394"/>
      <c r="Q1597" s="1394">
        <f>IFERROR(VLOOKUP(M1597,#REF!,3,0),0)</f>
        <v>0</v>
      </c>
      <c r="R1597" s="1394">
        <f t="shared" si="502"/>
        <v>0</v>
      </c>
      <c r="S1597" s="1394">
        <f>IFERROR(VLOOKUP(M1597,#REF!,6,0),0)</f>
        <v>0</v>
      </c>
      <c r="T1597" s="1394">
        <f t="shared" si="503"/>
        <v>0</v>
      </c>
      <c r="U1597" s="1394">
        <f>IFERROR(VLOOKUP(M1597,#REF!,5,0),0)</f>
        <v>0</v>
      </c>
      <c r="V1597" s="1394">
        <f t="shared" si="504"/>
        <v>0</v>
      </c>
      <c r="W1597" s="1394"/>
    </row>
    <row r="1598" spans="1:26" ht="30" customHeight="1">
      <c r="B1598" s="1407"/>
      <c r="C1598" s="1455"/>
      <c r="D1598" s="103"/>
      <c r="E1598" s="103"/>
      <c r="F1598" s="1413"/>
      <c r="G1598" s="1413"/>
      <c r="H1598" s="1424"/>
      <c r="I1598" s="1427">
        <f>+J1598</f>
        <v>18</v>
      </c>
      <c r="J1598" s="1394">
        <f>ROUNDUP(J1597,1)</f>
        <v>18</v>
      </c>
      <c r="K1598" s="1394"/>
      <c r="Q1598" s="1394">
        <f>IFERROR(VLOOKUP(M1598,#REF!,3,0),0)</f>
        <v>0</v>
      </c>
      <c r="R1598" s="1394">
        <f t="shared" si="502"/>
        <v>0</v>
      </c>
      <c r="S1598" s="1394">
        <f>IFERROR(VLOOKUP(M1598,#REF!,6,0),0)</f>
        <v>0</v>
      </c>
      <c r="T1598" s="1394">
        <f t="shared" si="503"/>
        <v>0</v>
      </c>
      <c r="U1598" s="1394">
        <f>IFERROR(VLOOKUP(M1598,#REF!,5,0),0)</f>
        <v>0</v>
      </c>
      <c r="V1598" s="1394">
        <f t="shared" si="504"/>
        <v>0</v>
      </c>
      <c r="W1598" s="1394"/>
    </row>
    <row r="1599" spans="1:26" ht="30" customHeight="1">
      <c r="B1599" s="1407"/>
      <c r="C1599" s="1455"/>
      <c r="D1599" s="103"/>
      <c r="E1599" s="103"/>
      <c r="F1599" s="1413"/>
      <c r="G1599" s="1483" t="s">
        <v>11</v>
      </c>
      <c r="H1599" s="1429">
        <f>I1598</f>
        <v>18</v>
      </c>
      <c r="I1599" s="1427" t="s">
        <v>26</v>
      </c>
      <c r="J1599" s="1394"/>
      <c r="K1599" s="1394"/>
      <c r="M1599" s="1426" t="str">
        <f>A1586</f>
        <v>b. In Ground FloorBrick partition work in C.M. 1:4 Kiln Burnt Country bricks of size 22 x 11 x 7 cm (8 3/4" x 4 1/4" x 2 3/4") 110 mm tk (B.P.)</v>
      </c>
      <c r="N1599" s="1426">
        <f>B1586</f>
        <v>0</v>
      </c>
      <c r="O1599" s="1394">
        <f>H1599</f>
        <v>18</v>
      </c>
      <c r="P1599" s="1394" t="str">
        <f>I1599</f>
        <v>Sqm</v>
      </c>
      <c r="Q1599" s="1394">
        <f>IFERROR(VLOOKUP(M1599,#REF!,3,0),0)</f>
        <v>0</v>
      </c>
      <c r="R1599" s="1394">
        <f t="shared" si="502"/>
        <v>0</v>
      </c>
      <c r="S1599" s="1394">
        <f>IFERROR(VLOOKUP(M1599,#REF!,6,0),0)</f>
        <v>0</v>
      </c>
      <c r="T1599" s="1394">
        <f t="shared" si="503"/>
        <v>0</v>
      </c>
      <c r="U1599" s="1394">
        <f>IFERROR(VLOOKUP(M1599,#REF!,5,0),0)</f>
        <v>0</v>
      </c>
      <c r="V1599" s="1394">
        <f t="shared" si="504"/>
        <v>18</v>
      </c>
      <c r="W1599" s="1394"/>
      <c r="Z1599" s="1394"/>
    </row>
    <row r="1600" spans="1:26" ht="30" customHeight="1">
      <c r="A1600" s="110" t="s">
        <v>349</v>
      </c>
      <c r="B1600" s="1407"/>
      <c r="C1600" s="1678" t="e">
        <f>VLOOKUP(A1600,#REF!,2,0)</f>
        <v>#REF!</v>
      </c>
      <c r="D1600" s="1678"/>
      <c r="E1600" s="1678"/>
      <c r="F1600" s="1678"/>
      <c r="G1600" s="1678"/>
      <c r="H1600" s="1678"/>
      <c r="I1600" s="1406"/>
      <c r="Q1600" s="1394">
        <f>IFERROR(VLOOKUP(M1600,#REF!,3,0),0)</f>
        <v>0</v>
      </c>
      <c r="R1600" s="1394">
        <f t="shared" si="502"/>
        <v>0</v>
      </c>
      <c r="S1600" s="1394">
        <f>IFERROR(VLOOKUP(M1600,#REF!,6,0),0)</f>
        <v>0</v>
      </c>
      <c r="T1600" s="1394">
        <f t="shared" si="503"/>
        <v>0</v>
      </c>
      <c r="U1600" s="1394">
        <f>IFERROR(VLOOKUP(M1600,#REF!,5,0),0)</f>
        <v>0</v>
      </c>
      <c r="V1600" s="1394">
        <f t="shared" si="504"/>
        <v>0</v>
      </c>
      <c r="W1600" s="1394"/>
      <c r="X1600" s="1397"/>
    </row>
    <row r="1601" spans="1:23" ht="30" customHeight="1">
      <c r="B1601" s="1407"/>
      <c r="C1601" s="1412" t="s">
        <v>5591</v>
      </c>
      <c r="D1601" s="103"/>
      <c r="E1601" s="103"/>
      <c r="F1601" s="1413"/>
      <c r="G1601" s="1413"/>
      <c r="H1601" s="1414"/>
      <c r="I1601" s="1425">
        <f t="shared" ref="I1601" si="510">PRODUCT(D1601:H1601)</f>
        <v>0</v>
      </c>
      <c r="Q1601" s="1394">
        <f>IFERROR(VLOOKUP(M1601,#REF!,3,0),0)</f>
        <v>0</v>
      </c>
      <c r="R1601" s="1394">
        <f t="shared" si="502"/>
        <v>0</v>
      </c>
      <c r="S1601" s="1394">
        <f>IFERROR(VLOOKUP(M1601,#REF!,6,0),0)</f>
        <v>0</v>
      </c>
      <c r="T1601" s="1394">
        <f t="shared" si="503"/>
        <v>0</v>
      </c>
      <c r="U1601" s="1394">
        <f>IFERROR(VLOOKUP(M1601,#REF!,5,0),0)</f>
        <v>0</v>
      </c>
      <c r="V1601" s="1394">
        <f t="shared" si="504"/>
        <v>0</v>
      </c>
      <c r="W1601" s="1394"/>
    </row>
    <row r="1602" spans="1:23" ht="30" customHeight="1">
      <c r="B1602" s="1407"/>
      <c r="C1602" s="1455" t="s">
        <v>401</v>
      </c>
      <c r="D1602" s="103">
        <v>1</v>
      </c>
      <c r="E1602" s="103">
        <v>1</v>
      </c>
      <c r="F1602" s="1413">
        <v>0.6</v>
      </c>
      <c r="G1602" s="1413"/>
      <c r="H1602" s="1414">
        <v>2.1</v>
      </c>
      <c r="I1602" s="1425">
        <f>PRODUCT(D1602:H1602)</f>
        <v>1.26</v>
      </c>
      <c r="J1602" s="110">
        <f>2.85</f>
        <v>2.85</v>
      </c>
      <c r="L1602" s="110">
        <f>J1602-0.4</f>
        <v>2.4500000000000002</v>
      </c>
      <c r="M1602" s="110"/>
      <c r="Q1602" s="1394">
        <f>IFERROR(VLOOKUP(M1602,#REF!,3,0),0)</f>
        <v>0</v>
      </c>
      <c r="R1602" s="1394">
        <f t="shared" si="502"/>
        <v>0</v>
      </c>
      <c r="S1602" s="1394">
        <f>IFERROR(VLOOKUP(M1602,#REF!,6,0),0)</f>
        <v>0</v>
      </c>
      <c r="T1602" s="1394">
        <f t="shared" si="503"/>
        <v>0</v>
      </c>
      <c r="U1602" s="1394">
        <f>IFERROR(VLOOKUP(M1602,#REF!,5,0),0)</f>
        <v>0</v>
      </c>
      <c r="V1602" s="1394">
        <f t="shared" si="504"/>
        <v>0</v>
      </c>
      <c r="W1602" s="1394"/>
    </row>
    <row r="1603" spans="1:23" ht="30" customHeight="1">
      <c r="B1603" s="1407"/>
      <c r="C1603" s="1455" t="s">
        <v>5657</v>
      </c>
      <c r="D1603" s="103">
        <v>1</v>
      </c>
      <c r="E1603" s="103">
        <v>1</v>
      </c>
      <c r="F1603" s="1413">
        <v>1.5</v>
      </c>
      <c r="G1603" s="1413"/>
      <c r="H1603" s="1414">
        <f>H1591</f>
        <v>2.92</v>
      </c>
      <c r="I1603" s="1425">
        <f>PRODUCT(D1603:H1603)</f>
        <v>4.38</v>
      </c>
      <c r="M1603" s="110"/>
      <c r="Q1603" s="1394">
        <f>IFERROR(VLOOKUP(M1603,#REF!,3,0),0)</f>
        <v>0</v>
      </c>
      <c r="R1603" s="1394">
        <f t="shared" si="502"/>
        <v>0</v>
      </c>
      <c r="S1603" s="1394">
        <f>IFERROR(VLOOKUP(M1603,#REF!,6,0),0)</f>
        <v>0</v>
      </c>
      <c r="T1603" s="1394">
        <f t="shared" si="503"/>
        <v>0</v>
      </c>
      <c r="U1603" s="1394">
        <f>IFERROR(VLOOKUP(M1603,#REF!,5,0),0)</f>
        <v>0</v>
      </c>
      <c r="V1603" s="1394">
        <f t="shared" si="504"/>
        <v>0</v>
      </c>
      <c r="W1603" s="1394"/>
    </row>
    <row r="1604" spans="1:23" ht="30" customHeight="1">
      <c r="B1604" s="1407"/>
      <c r="C1604" s="1455" t="s">
        <v>5660</v>
      </c>
      <c r="D1604" s="103">
        <v>1</v>
      </c>
      <c r="E1604" s="103">
        <v>1</v>
      </c>
      <c r="F1604" s="1413">
        <v>1.5</v>
      </c>
      <c r="G1604" s="1413"/>
      <c r="H1604" s="1414">
        <f>H1603</f>
        <v>2.92</v>
      </c>
      <c r="I1604" s="1425">
        <f>PRODUCT(D1604:H1604)</f>
        <v>4.38</v>
      </c>
      <c r="M1604" s="110"/>
      <c r="Q1604" s="1394">
        <f>IFERROR(VLOOKUP(M1604,#REF!,3,0),0)</f>
        <v>0</v>
      </c>
      <c r="R1604" s="1394">
        <f t="shared" si="502"/>
        <v>0</v>
      </c>
      <c r="S1604" s="1394">
        <f>IFERROR(VLOOKUP(M1604,#REF!,6,0),0)</f>
        <v>0</v>
      </c>
      <c r="T1604" s="1394">
        <f t="shared" si="503"/>
        <v>0</v>
      </c>
      <c r="U1604" s="1394">
        <f>IFERROR(VLOOKUP(M1604,#REF!,5,0),0)</f>
        <v>0</v>
      </c>
      <c r="V1604" s="1394">
        <f t="shared" si="504"/>
        <v>0</v>
      </c>
      <c r="W1604" s="1394"/>
    </row>
    <row r="1605" spans="1:23" ht="30" customHeight="1">
      <c r="B1605" s="1407"/>
      <c r="C1605" s="1412" t="s">
        <v>5593</v>
      </c>
      <c r="D1605" s="103"/>
      <c r="E1605" s="103"/>
      <c r="F1605" s="1413"/>
      <c r="G1605" s="1413"/>
      <c r="H1605" s="1414"/>
      <c r="I1605" s="1425">
        <f t="shared" ref="I1605:I1637" si="511">PRODUCT(D1605:H1605)</f>
        <v>0</v>
      </c>
      <c r="M1605" s="110"/>
      <c r="Q1605" s="1394">
        <f>IFERROR(VLOOKUP(M1605,#REF!,3,0),0)</f>
        <v>0</v>
      </c>
      <c r="R1605" s="1394">
        <f t="shared" si="502"/>
        <v>0</v>
      </c>
      <c r="S1605" s="1394">
        <f>IFERROR(VLOOKUP(M1605,#REF!,6,0),0)</f>
        <v>0</v>
      </c>
      <c r="T1605" s="1394">
        <f t="shared" si="503"/>
        <v>0</v>
      </c>
      <c r="U1605" s="1394">
        <f>IFERROR(VLOOKUP(M1605,#REF!,5,0),0)</f>
        <v>0</v>
      </c>
      <c r="V1605" s="1394">
        <f t="shared" si="504"/>
        <v>0</v>
      </c>
      <c r="W1605" s="1394"/>
    </row>
    <row r="1606" spans="1:23" ht="30" customHeight="1">
      <c r="B1606" s="1407"/>
      <c r="C1606" s="1455" t="s">
        <v>401</v>
      </c>
      <c r="D1606" s="103">
        <v>1</v>
      </c>
      <c r="E1606" s="103">
        <v>1</v>
      </c>
      <c r="F1606" s="1413">
        <v>0.6</v>
      </c>
      <c r="G1606" s="1413"/>
      <c r="H1606" s="1414">
        <v>2.1</v>
      </c>
      <c r="I1606" s="1425">
        <f t="shared" si="511"/>
        <v>1.26</v>
      </c>
      <c r="M1606" s="110"/>
      <c r="Q1606" s="1394">
        <f>IFERROR(VLOOKUP(M1606,#REF!,3,0),0)</f>
        <v>0</v>
      </c>
      <c r="R1606" s="1394">
        <f t="shared" si="502"/>
        <v>0</v>
      </c>
      <c r="S1606" s="1394">
        <f>IFERROR(VLOOKUP(M1606,#REF!,6,0),0)</f>
        <v>0</v>
      </c>
      <c r="T1606" s="1394">
        <f t="shared" si="503"/>
        <v>0</v>
      </c>
      <c r="U1606" s="1394">
        <f>IFERROR(VLOOKUP(M1606,#REF!,5,0),0)</f>
        <v>0</v>
      </c>
      <c r="V1606" s="1394">
        <f t="shared" si="504"/>
        <v>0</v>
      </c>
      <c r="W1606" s="1394"/>
    </row>
    <row r="1607" spans="1:23" ht="30" customHeight="1">
      <c r="B1607" s="1407"/>
      <c r="C1607" s="1455" t="s">
        <v>5658</v>
      </c>
      <c r="D1607" s="103">
        <v>1</v>
      </c>
      <c r="E1607" s="103">
        <v>1</v>
      </c>
      <c r="F1607" s="1413">
        <v>1.8</v>
      </c>
      <c r="G1607" s="1413"/>
      <c r="H1607" s="1414">
        <f>H1604</f>
        <v>2.92</v>
      </c>
      <c r="I1607" s="1425">
        <f t="shared" si="511"/>
        <v>5.2560000000000002</v>
      </c>
      <c r="M1607" s="110"/>
      <c r="Q1607" s="1394">
        <f>IFERROR(VLOOKUP(M1607,#REF!,3,0),0)</f>
        <v>0</v>
      </c>
      <c r="R1607" s="1394">
        <f t="shared" si="502"/>
        <v>0</v>
      </c>
      <c r="S1607" s="1394">
        <f>IFERROR(VLOOKUP(M1607,#REF!,6,0),0)</f>
        <v>0</v>
      </c>
      <c r="T1607" s="1394">
        <f t="shared" si="503"/>
        <v>0</v>
      </c>
      <c r="U1607" s="1394">
        <f>IFERROR(VLOOKUP(M1607,#REF!,5,0),0)</f>
        <v>0</v>
      </c>
      <c r="V1607" s="1394">
        <f t="shared" si="504"/>
        <v>0</v>
      </c>
      <c r="W1607" s="1394"/>
    </row>
    <row r="1608" spans="1:23" ht="30" customHeight="1">
      <c r="B1608" s="1407"/>
      <c r="C1608" s="1455" t="s">
        <v>5658</v>
      </c>
      <c r="D1608" s="103">
        <v>1</v>
      </c>
      <c r="E1608" s="103">
        <v>1</v>
      </c>
      <c r="F1608" s="1413">
        <v>3.2759999999999998</v>
      </c>
      <c r="G1608" s="1413"/>
      <c r="H1608" s="1414">
        <f>H1607</f>
        <v>2.92</v>
      </c>
      <c r="I1608" s="1425">
        <f t="shared" ref="I1608" si="512">PRODUCT(D1608:H1608)</f>
        <v>9.5659199999999984</v>
      </c>
      <c r="M1608" s="110"/>
      <c r="Q1608" s="1394">
        <f>IFERROR(VLOOKUP(M1608,#REF!,3,0),0)</f>
        <v>0</v>
      </c>
      <c r="R1608" s="1394">
        <f t="shared" si="502"/>
        <v>0</v>
      </c>
      <c r="S1608" s="1394">
        <f>IFERROR(VLOOKUP(M1608,#REF!,6,0),0)</f>
        <v>0</v>
      </c>
      <c r="T1608" s="1394">
        <f t="shared" si="503"/>
        <v>0</v>
      </c>
      <c r="U1608" s="1394">
        <f>IFERROR(VLOOKUP(M1608,#REF!,5,0),0)</f>
        <v>0</v>
      </c>
      <c r="V1608" s="1394">
        <f t="shared" si="504"/>
        <v>0</v>
      </c>
      <c r="W1608" s="1394"/>
    </row>
    <row r="1609" spans="1:23" ht="30" customHeight="1">
      <c r="B1609" s="1407"/>
      <c r="C1609" s="1412" t="s">
        <v>5659</v>
      </c>
      <c r="D1609" s="103"/>
      <c r="E1609" s="103"/>
      <c r="F1609" s="1413"/>
      <c r="G1609" s="1413"/>
      <c r="H1609" s="1414"/>
      <c r="I1609" s="1425">
        <f t="shared" si="511"/>
        <v>0</v>
      </c>
      <c r="M1609" s="110"/>
      <c r="Q1609" s="1394">
        <f>IFERROR(VLOOKUP(M1609,#REF!,3,0),0)</f>
        <v>0</v>
      </c>
      <c r="R1609" s="1394">
        <f t="shared" si="502"/>
        <v>0</v>
      </c>
      <c r="S1609" s="1394">
        <f>IFERROR(VLOOKUP(M1609,#REF!,6,0),0)</f>
        <v>0</v>
      </c>
      <c r="T1609" s="1394">
        <f t="shared" si="503"/>
        <v>0</v>
      </c>
      <c r="U1609" s="1394">
        <f>IFERROR(VLOOKUP(M1609,#REF!,5,0),0)</f>
        <v>0</v>
      </c>
      <c r="V1609" s="1394">
        <f t="shared" si="504"/>
        <v>0</v>
      </c>
      <c r="W1609" s="1394"/>
    </row>
    <row r="1610" spans="1:23" ht="30" customHeight="1">
      <c r="B1610" s="1407"/>
      <c r="C1610" s="1455" t="s">
        <v>5664</v>
      </c>
      <c r="D1610" s="103">
        <v>1</v>
      </c>
      <c r="E1610" s="103">
        <v>1</v>
      </c>
      <c r="F1610" s="1413">
        <v>0.6</v>
      </c>
      <c r="G1610" s="1413"/>
      <c r="H1610" s="1414">
        <v>2.1</v>
      </c>
      <c r="I1610" s="1425">
        <f t="shared" si="511"/>
        <v>1.26</v>
      </c>
      <c r="M1610" s="110"/>
      <c r="Q1610" s="1394">
        <f>IFERROR(VLOOKUP(M1610,#REF!,3,0),0)</f>
        <v>0</v>
      </c>
      <c r="R1610" s="1394">
        <f t="shared" si="502"/>
        <v>0</v>
      </c>
      <c r="S1610" s="1394">
        <f>IFERROR(VLOOKUP(M1610,#REF!,6,0),0)</f>
        <v>0</v>
      </c>
      <c r="T1610" s="1394">
        <f t="shared" si="503"/>
        <v>0</v>
      </c>
      <c r="U1610" s="1394">
        <f>IFERROR(VLOOKUP(M1610,#REF!,5,0),0)</f>
        <v>0</v>
      </c>
      <c r="V1610" s="1394">
        <f t="shared" si="504"/>
        <v>0</v>
      </c>
      <c r="W1610" s="1394"/>
    </row>
    <row r="1611" spans="1:23" ht="30" customHeight="1">
      <c r="B1611" s="1407"/>
      <c r="C1611" s="1455" t="s">
        <v>5665</v>
      </c>
      <c r="D1611" s="103">
        <v>1</v>
      </c>
      <c r="E1611" s="103">
        <v>1</v>
      </c>
      <c r="F1611" s="1413">
        <v>1.5</v>
      </c>
      <c r="G1611" s="1413"/>
      <c r="H1611" s="1414">
        <f>H1608</f>
        <v>2.92</v>
      </c>
      <c r="I1611" s="1425">
        <f t="shared" si="511"/>
        <v>4.38</v>
      </c>
      <c r="M1611" s="110"/>
      <c r="Q1611" s="1394">
        <f>IFERROR(VLOOKUP(M1611,#REF!,3,0),0)</f>
        <v>0</v>
      </c>
      <c r="R1611" s="1394">
        <f t="shared" si="502"/>
        <v>0</v>
      </c>
      <c r="S1611" s="1394">
        <f>IFERROR(VLOOKUP(M1611,#REF!,6,0),0)</f>
        <v>0</v>
      </c>
      <c r="T1611" s="1394">
        <f t="shared" si="503"/>
        <v>0</v>
      </c>
      <c r="U1611" s="1394">
        <f>IFERROR(VLOOKUP(M1611,#REF!,5,0),0)</f>
        <v>0</v>
      </c>
      <c r="V1611" s="1394">
        <f t="shared" si="504"/>
        <v>0</v>
      </c>
      <c r="W1611" s="1394"/>
    </row>
    <row r="1612" spans="1:23" ht="30" customHeight="1">
      <c r="B1612" s="1407"/>
      <c r="C1612" s="1455" t="s">
        <v>5666</v>
      </c>
      <c r="D1612" s="103">
        <v>1</v>
      </c>
      <c r="E1612" s="103">
        <v>1</v>
      </c>
      <c r="F1612" s="1413">
        <v>1.5</v>
      </c>
      <c r="G1612" s="1413"/>
      <c r="H1612" s="1414">
        <f>H1611</f>
        <v>2.92</v>
      </c>
      <c r="I1612" s="1425">
        <f t="shared" si="511"/>
        <v>4.38</v>
      </c>
      <c r="M1612" s="110"/>
      <c r="Q1612" s="1394">
        <f>IFERROR(VLOOKUP(M1612,#REF!,3,0),0)</f>
        <v>0</v>
      </c>
      <c r="R1612" s="1394">
        <f t="shared" si="502"/>
        <v>0</v>
      </c>
      <c r="S1612" s="1394">
        <f>IFERROR(VLOOKUP(M1612,#REF!,6,0),0)</f>
        <v>0</v>
      </c>
      <c r="T1612" s="1394">
        <f t="shared" si="503"/>
        <v>0</v>
      </c>
      <c r="U1612" s="1394">
        <f>IFERROR(VLOOKUP(M1612,#REF!,5,0),0)</f>
        <v>0</v>
      </c>
      <c r="V1612" s="1394">
        <f t="shared" si="504"/>
        <v>0</v>
      </c>
      <c r="W1612" s="1394"/>
    </row>
    <row r="1613" spans="1:23" ht="30" customHeight="1">
      <c r="A1613" s="110">
        <f>53542500/1000000</f>
        <v>53.542499999999997</v>
      </c>
      <c r="B1613" s="1407"/>
      <c r="C1613" s="1412" t="s">
        <v>5661</v>
      </c>
      <c r="D1613" s="103"/>
      <c r="E1613" s="103"/>
      <c r="F1613" s="1413"/>
      <c r="G1613" s="1413"/>
      <c r="H1613" s="1414"/>
      <c r="I1613" s="1425">
        <f t="shared" si="511"/>
        <v>0</v>
      </c>
      <c r="M1613" s="110"/>
      <c r="Q1613" s="1394">
        <f>IFERROR(VLOOKUP(M1613,#REF!,3,0),0)</f>
        <v>0</v>
      </c>
      <c r="R1613" s="1394">
        <f t="shared" si="502"/>
        <v>0</v>
      </c>
      <c r="S1613" s="1394">
        <f>IFERROR(VLOOKUP(M1613,#REF!,6,0),0)</f>
        <v>0</v>
      </c>
      <c r="T1613" s="1394">
        <f t="shared" si="503"/>
        <v>0</v>
      </c>
      <c r="U1613" s="1394">
        <f>IFERROR(VLOOKUP(M1613,#REF!,5,0),0)</f>
        <v>0</v>
      </c>
      <c r="V1613" s="1394">
        <f t="shared" si="504"/>
        <v>0</v>
      </c>
      <c r="W1613" s="1394"/>
    </row>
    <row r="1614" spans="1:23" ht="30" customHeight="1">
      <c r="A1614" s="110">
        <f>-A1613*10.76</f>
        <v>-576.1173</v>
      </c>
      <c r="B1614" s="1407"/>
      <c r="C1614" s="1455" t="s">
        <v>5662</v>
      </c>
      <c r="D1614" s="103">
        <v>1</v>
      </c>
      <c r="E1614" s="103">
        <v>1</v>
      </c>
      <c r="F1614" s="1413">
        <f>1.015+1.415</f>
        <v>2.4299999999999997</v>
      </c>
      <c r="G1614" s="1413"/>
      <c r="H1614" s="1414">
        <v>1.35</v>
      </c>
      <c r="I1614" s="1425">
        <f t="shared" si="511"/>
        <v>3.2805</v>
      </c>
      <c r="M1614" s="110"/>
      <c r="Q1614" s="1394">
        <f>IFERROR(VLOOKUP(M1614,#REF!,3,0),0)</f>
        <v>0</v>
      </c>
      <c r="R1614" s="1394">
        <f t="shared" si="502"/>
        <v>0</v>
      </c>
      <c r="S1614" s="1394">
        <f>IFERROR(VLOOKUP(M1614,#REF!,6,0),0)</f>
        <v>0</v>
      </c>
      <c r="T1614" s="1394">
        <f t="shared" si="503"/>
        <v>0</v>
      </c>
      <c r="U1614" s="1394">
        <f>IFERROR(VLOOKUP(M1614,#REF!,5,0),0)</f>
        <v>0</v>
      </c>
      <c r="V1614" s="1394">
        <f t="shared" si="504"/>
        <v>0</v>
      </c>
      <c r="W1614" s="1394"/>
    </row>
    <row r="1615" spans="1:23" ht="30" customHeight="1">
      <c r="B1615" s="1407"/>
      <c r="C1615" s="1412" t="s">
        <v>5663</v>
      </c>
      <c r="D1615" s="103"/>
      <c r="E1615" s="103"/>
      <c r="F1615" s="1413"/>
      <c r="G1615" s="1413"/>
      <c r="H1615" s="1414"/>
      <c r="I1615" s="1425">
        <f t="shared" ref="I1615:I1616" si="513">PRODUCT(D1615:H1615)</f>
        <v>0</v>
      </c>
      <c r="M1615" s="110"/>
      <c r="Q1615" s="1394">
        <f>IFERROR(VLOOKUP(M1615,#REF!,3,0),0)</f>
        <v>0</v>
      </c>
      <c r="R1615" s="1394">
        <f t="shared" si="502"/>
        <v>0</v>
      </c>
      <c r="S1615" s="1394">
        <f>IFERROR(VLOOKUP(M1615,#REF!,6,0),0)</f>
        <v>0</v>
      </c>
      <c r="T1615" s="1394">
        <f t="shared" si="503"/>
        <v>0</v>
      </c>
      <c r="U1615" s="1394">
        <f>IFERROR(VLOOKUP(M1615,#REF!,5,0),0)</f>
        <v>0</v>
      </c>
      <c r="V1615" s="1394">
        <f t="shared" si="504"/>
        <v>0</v>
      </c>
      <c r="W1615" s="1394"/>
    </row>
    <row r="1616" spans="1:23" ht="30" customHeight="1">
      <c r="B1616" s="1407"/>
      <c r="C1616" s="1455" t="s">
        <v>5662</v>
      </c>
      <c r="D1616" s="103">
        <v>1</v>
      </c>
      <c r="E1616" s="103">
        <v>1</v>
      </c>
      <c r="F1616" s="1413">
        <f>1.015+1.415</f>
        <v>2.4299999999999997</v>
      </c>
      <c r="G1616" s="1413"/>
      <c r="H1616" s="1414">
        <v>1.35</v>
      </c>
      <c r="I1616" s="1425">
        <f t="shared" si="513"/>
        <v>3.2805</v>
      </c>
      <c r="M1616" s="110"/>
      <c r="Q1616" s="1394">
        <f>IFERROR(VLOOKUP(M1616,#REF!,3,0),0)</f>
        <v>0</v>
      </c>
      <c r="R1616" s="1394">
        <f t="shared" si="502"/>
        <v>0</v>
      </c>
      <c r="S1616" s="1394">
        <f>IFERROR(VLOOKUP(M1616,#REF!,6,0),0)</f>
        <v>0</v>
      </c>
      <c r="T1616" s="1394">
        <f t="shared" si="503"/>
        <v>0</v>
      </c>
      <c r="U1616" s="1394">
        <f>IFERROR(VLOOKUP(M1616,#REF!,5,0),0)</f>
        <v>0</v>
      </c>
      <c r="V1616" s="1394">
        <f t="shared" si="504"/>
        <v>0</v>
      </c>
      <c r="W1616" s="1394"/>
    </row>
    <row r="1617" spans="2:23" ht="30" customHeight="1">
      <c r="B1617" s="1407"/>
      <c r="C1617" s="1412" t="s">
        <v>5606</v>
      </c>
      <c r="D1617" s="103"/>
      <c r="E1617" s="103"/>
      <c r="F1617" s="1413"/>
      <c r="G1617" s="1413"/>
      <c r="H1617" s="1414"/>
      <c r="I1617" s="1425">
        <f t="shared" ref="I1617:I1619" si="514">PRODUCT(D1617:H1617)</f>
        <v>0</v>
      </c>
      <c r="M1617" s="110"/>
      <c r="Q1617" s="1394">
        <f>IFERROR(VLOOKUP(M1617,#REF!,3,0),0)</f>
        <v>0</v>
      </c>
      <c r="R1617" s="1394">
        <f t="shared" si="502"/>
        <v>0</v>
      </c>
      <c r="S1617" s="1394">
        <f>IFERROR(VLOOKUP(M1617,#REF!,6,0),0)</f>
        <v>0</v>
      </c>
      <c r="T1617" s="1394">
        <f t="shared" si="503"/>
        <v>0</v>
      </c>
      <c r="U1617" s="1394">
        <f>IFERROR(VLOOKUP(M1617,#REF!,5,0),0)</f>
        <v>0</v>
      </c>
      <c r="V1617" s="1394">
        <f t="shared" si="504"/>
        <v>0</v>
      </c>
      <c r="W1617" s="1394"/>
    </row>
    <row r="1618" spans="2:23" ht="30" customHeight="1">
      <c r="B1618" s="1407"/>
      <c r="C1618" s="1455" t="s">
        <v>5664</v>
      </c>
      <c r="D1618" s="103">
        <v>1</v>
      </c>
      <c r="E1618" s="103">
        <v>1</v>
      </c>
      <c r="F1618" s="1413">
        <v>0.6</v>
      </c>
      <c r="G1618" s="1413"/>
      <c r="H1618" s="1414">
        <v>2.1</v>
      </c>
      <c r="I1618" s="1425">
        <f t="shared" si="514"/>
        <v>1.26</v>
      </c>
      <c r="M1618" s="110"/>
      <c r="Q1618" s="1394">
        <f>IFERROR(VLOOKUP(M1618,#REF!,3,0),0)</f>
        <v>0</v>
      </c>
      <c r="R1618" s="1394">
        <f t="shared" si="502"/>
        <v>0</v>
      </c>
      <c r="S1618" s="1394">
        <f>IFERROR(VLOOKUP(M1618,#REF!,6,0),0)</f>
        <v>0</v>
      </c>
      <c r="T1618" s="1394">
        <f t="shared" si="503"/>
        <v>0</v>
      </c>
      <c r="U1618" s="1394">
        <f>IFERROR(VLOOKUP(M1618,#REF!,5,0),0)</f>
        <v>0</v>
      </c>
      <c r="V1618" s="1394">
        <f t="shared" si="504"/>
        <v>0</v>
      </c>
      <c r="W1618" s="1394"/>
    </row>
    <row r="1619" spans="2:23" ht="30" customHeight="1">
      <c r="B1619" s="1407"/>
      <c r="C1619" s="1455" t="s">
        <v>5667</v>
      </c>
      <c r="D1619" s="103">
        <v>1</v>
      </c>
      <c r="E1619" s="103">
        <v>1</v>
      </c>
      <c r="F1619" s="1413">
        <v>1.1000000000000001</v>
      </c>
      <c r="G1619" s="1413"/>
      <c r="H1619" s="1414">
        <f>H1612</f>
        <v>2.92</v>
      </c>
      <c r="I1619" s="1425">
        <f t="shared" si="514"/>
        <v>3.2120000000000002</v>
      </c>
      <c r="M1619" s="110"/>
      <c r="Q1619" s="1394">
        <f>IFERROR(VLOOKUP(M1619,#REF!,3,0),0)</f>
        <v>0</v>
      </c>
      <c r="R1619" s="1394">
        <f t="shared" si="502"/>
        <v>0</v>
      </c>
      <c r="S1619" s="1394">
        <f>IFERROR(VLOOKUP(M1619,#REF!,6,0),0)</f>
        <v>0</v>
      </c>
      <c r="T1619" s="1394">
        <f t="shared" si="503"/>
        <v>0</v>
      </c>
      <c r="U1619" s="1394">
        <f>IFERROR(VLOOKUP(M1619,#REF!,5,0),0)</f>
        <v>0</v>
      </c>
      <c r="V1619" s="1394">
        <f t="shared" si="504"/>
        <v>0</v>
      </c>
      <c r="W1619" s="1394"/>
    </row>
    <row r="1620" spans="2:23" ht="30" customHeight="1">
      <c r="B1620" s="1407"/>
      <c r="C1620" s="1455" t="s">
        <v>5665</v>
      </c>
      <c r="D1620" s="103">
        <v>1</v>
      </c>
      <c r="E1620" s="103">
        <v>1</v>
      </c>
      <c r="F1620" s="1413">
        <v>1.5</v>
      </c>
      <c r="G1620" s="1413"/>
      <c r="H1620" s="1414">
        <f>H1619</f>
        <v>2.92</v>
      </c>
      <c r="I1620" s="1425">
        <f t="shared" ref="I1620:I1624" si="515">PRODUCT(D1620:H1620)</f>
        <v>4.38</v>
      </c>
      <c r="M1620" s="110"/>
      <c r="Q1620" s="1394">
        <f>IFERROR(VLOOKUP(M1620,#REF!,3,0),0)</f>
        <v>0</v>
      </c>
      <c r="R1620" s="1394">
        <f t="shared" si="502"/>
        <v>0</v>
      </c>
      <c r="S1620" s="1394">
        <f>IFERROR(VLOOKUP(M1620,#REF!,6,0),0)</f>
        <v>0</v>
      </c>
      <c r="T1620" s="1394">
        <f t="shared" si="503"/>
        <v>0</v>
      </c>
      <c r="U1620" s="1394">
        <f>IFERROR(VLOOKUP(M1620,#REF!,5,0),0)</f>
        <v>0</v>
      </c>
      <c r="V1620" s="1394">
        <f t="shared" si="504"/>
        <v>0</v>
      </c>
      <c r="W1620" s="1394"/>
    </row>
    <row r="1621" spans="2:23" ht="30" customHeight="1">
      <c r="B1621" s="1407"/>
      <c r="C1621" s="1455" t="s">
        <v>5675</v>
      </c>
      <c r="D1621" s="103">
        <v>1</v>
      </c>
      <c r="E1621" s="103">
        <v>1</v>
      </c>
      <c r="F1621" s="1413">
        <v>0.6</v>
      </c>
      <c r="G1621" s="1413"/>
      <c r="H1621" s="1414">
        <f>H1620</f>
        <v>2.92</v>
      </c>
      <c r="I1621" s="1425">
        <f t="shared" si="515"/>
        <v>1.752</v>
      </c>
      <c r="M1621" s="110"/>
      <c r="Q1621" s="1394">
        <f>IFERROR(VLOOKUP(M1621,#REF!,3,0),0)</f>
        <v>0</v>
      </c>
      <c r="R1621" s="1394">
        <f t="shared" si="502"/>
        <v>0</v>
      </c>
      <c r="S1621" s="1394">
        <f>IFERROR(VLOOKUP(M1621,#REF!,6,0),0)</f>
        <v>0</v>
      </c>
      <c r="T1621" s="1394">
        <f t="shared" si="503"/>
        <v>0</v>
      </c>
      <c r="U1621" s="1394">
        <f>IFERROR(VLOOKUP(M1621,#REF!,5,0),0)</f>
        <v>0</v>
      </c>
      <c r="V1621" s="1394">
        <f t="shared" si="504"/>
        <v>0</v>
      </c>
      <c r="W1621" s="1394"/>
    </row>
    <row r="1622" spans="2:23" ht="30" customHeight="1">
      <c r="B1622" s="1407"/>
      <c r="C1622" s="1412" t="s">
        <v>5668</v>
      </c>
      <c r="D1622" s="103"/>
      <c r="E1622" s="103"/>
      <c r="F1622" s="1413"/>
      <c r="G1622" s="1413"/>
      <c r="H1622" s="1414"/>
      <c r="I1622" s="1425">
        <f t="shared" si="515"/>
        <v>0</v>
      </c>
      <c r="M1622" s="110"/>
      <c r="Q1622" s="1394">
        <f>IFERROR(VLOOKUP(M1622,#REF!,3,0),0)</f>
        <v>0</v>
      </c>
      <c r="R1622" s="1394">
        <f t="shared" si="502"/>
        <v>0</v>
      </c>
      <c r="S1622" s="1394">
        <f>IFERROR(VLOOKUP(M1622,#REF!,6,0),0)</f>
        <v>0</v>
      </c>
      <c r="T1622" s="1394">
        <f t="shared" si="503"/>
        <v>0</v>
      </c>
      <c r="U1622" s="1394">
        <f>IFERROR(VLOOKUP(M1622,#REF!,5,0),0)</f>
        <v>0</v>
      </c>
      <c r="V1622" s="1394">
        <f t="shared" si="504"/>
        <v>0</v>
      </c>
      <c r="W1622" s="1394"/>
    </row>
    <row r="1623" spans="2:23" ht="30" customHeight="1">
      <c r="B1623" s="1407"/>
      <c r="C1623" s="1455" t="s">
        <v>5664</v>
      </c>
      <c r="D1623" s="103">
        <v>1</v>
      </c>
      <c r="E1623" s="103">
        <v>1</v>
      </c>
      <c r="F1623" s="1413">
        <v>0.6</v>
      </c>
      <c r="G1623" s="1413"/>
      <c r="H1623" s="1414">
        <v>2.1</v>
      </c>
      <c r="I1623" s="1425">
        <f t="shared" si="515"/>
        <v>1.26</v>
      </c>
      <c r="M1623" s="110"/>
      <c r="Q1623" s="1394">
        <f>IFERROR(VLOOKUP(M1623,#REF!,3,0),0)</f>
        <v>0</v>
      </c>
      <c r="R1623" s="1394">
        <f t="shared" si="502"/>
        <v>0</v>
      </c>
      <c r="S1623" s="1394">
        <f>IFERROR(VLOOKUP(M1623,#REF!,6,0),0)</f>
        <v>0</v>
      </c>
      <c r="T1623" s="1394">
        <f t="shared" si="503"/>
        <v>0</v>
      </c>
      <c r="U1623" s="1394">
        <f>IFERROR(VLOOKUP(M1623,#REF!,5,0),0)</f>
        <v>0</v>
      </c>
      <c r="V1623" s="1394">
        <f t="shared" si="504"/>
        <v>0</v>
      </c>
      <c r="W1623" s="1394"/>
    </row>
    <row r="1624" spans="2:23" ht="30" customHeight="1">
      <c r="B1624" s="1407"/>
      <c r="C1624" s="1455" t="s">
        <v>5669</v>
      </c>
      <c r="D1624" s="103">
        <v>1</v>
      </c>
      <c r="E1624" s="103">
        <v>1</v>
      </c>
      <c r="F1624" s="1413">
        <v>2.93</v>
      </c>
      <c r="G1624" s="1413"/>
      <c r="H1624" s="1414">
        <f>H1619</f>
        <v>2.92</v>
      </c>
      <c r="I1624" s="1425">
        <f t="shared" si="515"/>
        <v>8.5556000000000001</v>
      </c>
      <c r="M1624" s="110"/>
      <c r="Q1624" s="1394">
        <f>IFERROR(VLOOKUP(M1624,#REF!,3,0),0)</f>
        <v>0</v>
      </c>
      <c r="R1624" s="1394">
        <f t="shared" si="502"/>
        <v>0</v>
      </c>
      <c r="S1624" s="1394">
        <f>IFERROR(VLOOKUP(M1624,#REF!,6,0),0)</f>
        <v>0</v>
      </c>
      <c r="T1624" s="1394">
        <f t="shared" si="503"/>
        <v>0</v>
      </c>
      <c r="U1624" s="1394">
        <f>IFERROR(VLOOKUP(M1624,#REF!,5,0),0)</f>
        <v>0</v>
      </c>
      <c r="V1624" s="1394">
        <f t="shared" si="504"/>
        <v>0</v>
      </c>
      <c r="W1624" s="1394"/>
    </row>
    <row r="1625" spans="2:23" ht="30" customHeight="1">
      <c r="B1625" s="1407"/>
      <c r="C1625" s="1455" t="s">
        <v>5657</v>
      </c>
      <c r="D1625" s="103">
        <v>1</v>
      </c>
      <c r="E1625" s="103">
        <v>1</v>
      </c>
      <c r="F1625" s="1413">
        <v>3.9</v>
      </c>
      <c r="G1625" s="1413"/>
      <c r="H1625" s="1414">
        <f>H1620</f>
        <v>2.92</v>
      </c>
      <c r="I1625" s="1425">
        <f t="shared" ref="I1625:I1627" si="516">PRODUCT(D1625:H1625)</f>
        <v>11.388</v>
      </c>
      <c r="M1625" s="110"/>
      <c r="Q1625" s="1394">
        <f>IFERROR(VLOOKUP(M1625,#REF!,3,0),0)</f>
        <v>0</v>
      </c>
      <c r="R1625" s="1394">
        <f t="shared" si="502"/>
        <v>0</v>
      </c>
      <c r="S1625" s="1394">
        <f>IFERROR(VLOOKUP(M1625,#REF!,6,0),0)</f>
        <v>0</v>
      </c>
      <c r="T1625" s="1394">
        <f t="shared" si="503"/>
        <v>0</v>
      </c>
      <c r="U1625" s="1394">
        <f>IFERROR(VLOOKUP(M1625,#REF!,5,0),0)</f>
        <v>0</v>
      </c>
      <c r="V1625" s="1394">
        <f t="shared" si="504"/>
        <v>0</v>
      </c>
      <c r="W1625" s="1394"/>
    </row>
    <row r="1626" spans="2:23" ht="30" customHeight="1">
      <c r="B1626" s="1407"/>
      <c r="C1626" s="1412" t="s">
        <v>5611</v>
      </c>
      <c r="D1626" s="103"/>
      <c r="E1626" s="103"/>
      <c r="F1626" s="1413"/>
      <c r="G1626" s="1413"/>
      <c r="H1626" s="1414"/>
      <c r="I1626" s="1425">
        <f t="shared" si="516"/>
        <v>0</v>
      </c>
      <c r="M1626" s="110"/>
      <c r="Q1626" s="1394">
        <f>IFERROR(VLOOKUP(M1626,#REF!,3,0),0)</f>
        <v>0</v>
      </c>
      <c r="R1626" s="1394">
        <f t="shared" si="502"/>
        <v>0</v>
      </c>
      <c r="S1626" s="1394">
        <f>IFERROR(VLOOKUP(M1626,#REF!,6,0),0)</f>
        <v>0</v>
      </c>
      <c r="T1626" s="1394">
        <f t="shared" si="503"/>
        <v>0</v>
      </c>
      <c r="U1626" s="1394">
        <f>IFERROR(VLOOKUP(M1626,#REF!,5,0),0)</f>
        <v>0</v>
      </c>
      <c r="V1626" s="1394">
        <f t="shared" si="504"/>
        <v>0</v>
      </c>
      <c r="W1626" s="1394"/>
    </row>
    <row r="1627" spans="2:23" ht="30" customHeight="1">
      <c r="B1627" s="1407"/>
      <c r="C1627" s="1455" t="s">
        <v>5624</v>
      </c>
      <c r="D1627" s="103">
        <v>1</v>
      </c>
      <c r="E1627" s="103">
        <v>1</v>
      </c>
      <c r="F1627" s="1413">
        <v>2.5</v>
      </c>
      <c r="G1627" s="1413"/>
      <c r="H1627" s="1414">
        <f>H1624</f>
        <v>2.92</v>
      </c>
      <c r="I1627" s="1425">
        <f t="shared" si="516"/>
        <v>7.3</v>
      </c>
      <c r="M1627" s="110"/>
      <c r="Q1627" s="1394">
        <f>IFERROR(VLOOKUP(M1627,#REF!,3,0),0)</f>
        <v>0</v>
      </c>
      <c r="R1627" s="1394">
        <f t="shared" si="502"/>
        <v>0</v>
      </c>
      <c r="S1627" s="1394">
        <f>IFERROR(VLOOKUP(M1627,#REF!,6,0),0)</f>
        <v>0</v>
      </c>
      <c r="T1627" s="1394">
        <f t="shared" si="503"/>
        <v>0</v>
      </c>
      <c r="U1627" s="1394">
        <f>IFERROR(VLOOKUP(M1627,#REF!,5,0),0)</f>
        <v>0</v>
      </c>
      <c r="V1627" s="1394">
        <f t="shared" si="504"/>
        <v>0</v>
      </c>
      <c r="W1627" s="1394"/>
    </row>
    <row r="1628" spans="2:23" ht="30" customHeight="1">
      <c r="B1628" s="1407"/>
      <c r="C1628" s="1455" t="s">
        <v>5657</v>
      </c>
      <c r="D1628" s="103">
        <v>1</v>
      </c>
      <c r="E1628" s="103">
        <v>1</v>
      </c>
      <c r="F1628" s="1413">
        <v>3.9</v>
      </c>
      <c r="G1628" s="1413"/>
      <c r="H1628" s="1414">
        <f>H1625</f>
        <v>2.92</v>
      </c>
      <c r="I1628" s="1425">
        <f t="shared" ref="I1628:I1632" si="517">PRODUCT(D1628:H1628)</f>
        <v>11.388</v>
      </c>
      <c r="M1628" s="110"/>
      <c r="Q1628" s="1394">
        <f>IFERROR(VLOOKUP(M1628,#REF!,3,0),0)</f>
        <v>0</v>
      </c>
      <c r="R1628" s="1394">
        <f t="shared" si="502"/>
        <v>0</v>
      </c>
      <c r="S1628" s="1394">
        <f>IFERROR(VLOOKUP(M1628,#REF!,6,0),0)</f>
        <v>0</v>
      </c>
      <c r="T1628" s="1394">
        <f t="shared" si="503"/>
        <v>0</v>
      </c>
      <c r="U1628" s="1394">
        <f>IFERROR(VLOOKUP(M1628,#REF!,5,0),0)</f>
        <v>0</v>
      </c>
      <c r="V1628" s="1394">
        <f t="shared" si="504"/>
        <v>0</v>
      </c>
      <c r="W1628" s="1394"/>
    </row>
    <row r="1629" spans="2:23" ht="30" customHeight="1">
      <c r="B1629" s="1407"/>
      <c r="C1629" s="1412" t="s">
        <v>5670</v>
      </c>
      <c r="D1629" s="103"/>
      <c r="E1629" s="103"/>
      <c r="F1629" s="1413"/>
      <c r="G1629" s="1413"/>
      <c r="H1629" s="1414"/>
      <c r="I1629" s="1425">
        <f t="shared" si="517"/>
        <v>0</v>
      </c>
      <c r="M1629" s="110"/>
      <c r="Q1629" s="1394">
        <f>IFERROR(VLOOKUP(M1629,#REF!,3,0),0)</f>
        <v>0</v>
      </c>
      <c r="R1629" s="1394">
        <f t="shared" si="502"/>
        <v>0</v>
      </c>
      <c r="S1629" s="1394">
        <f>IFERROR(VLOOKUP(M1629,#REF!,6,0),0)</f>
        <v>0</v>
      </c>
      <c r="T1629" s="1394">
        <f t="shared" si="503"/>
        <v>0</v>
      </c>
      <c r="U1629" s="1394">
        <f>IFERROR(VLOOKUP(M1629,#REF!,5,0),0)</f>
        <v>0</v>
      </c>
      <c r="V1629" s="1394">
        <f t="shared" si="504"/>
        <v>0</v>
      </c>
      <c r="W1629" s="1394"/>
    </row>
    <row r="1630" spans="2:23" ht="30" customHeight="1">
      <c r="B1630" s="1407"/>
      <c r="C1630" s="1455" t="s">
        <v>5671</v>
      </c>
      <c r="D1630" s="103">
        <v>1</v>
      </c>
      <c r="E1630" s="103">
        <v>1</v>
      </c>
      <c r="F1630" s="1413">
        <v>1</v>
      </c>
      <c r="G1630" s="1413"/>
      <c r="H1630" s="1414">
        <f>H1627</f>
        <v>2.92</v>
      </c>
      <c r="I1630" s="1425">
        <f t="shared" si="517"/>
        <v>2.92</v>
      </c>
      <c r="M1630" s="110"/>
      <c r="Q1630" s="1394">
        <f>IFERROR(VLOOKUP(M1630,#REF!,3,0),0)</f>
        <v>0</v>
      </c>
      <c r="R1630" s="1394">
        <f t="shared" si="502"/>
        <v>0</v>
      </c>
      <c r="S1630" s="1394">
        <f>IFERROR(VLOOKUP(M1630,#REF!,6,0),0)</f>
        <v>0</v>
      </c>
      <c r="T1630" s="1394">
        <f t="shared" si="503"/>
        <v>0</v>
      </c>
      <c r="U1630" s="1394">
        <f>IFERROR(VLOOKUP(M1630,#REF!,5,0),0)</f>
        <v>0</v>
      </c>
      <c r="V1630" s="1394">
        <f t="shared" si="504"/>
        <v>0</v>
      </c>
      <c r="W1630" s="1394"/>
    </row>
    <row r="1631" spans="2:23" ht="30" customHeight="1">
      <c r="B1631" s="1407"/>
      <c r="C1631" s="1455" t="s">
        <v>401</v>
      </c>
      <c r="D1631" s="103">
        <v>1</v>
      </c>
      <c r="E1631" s="103">
        <v>1</v>
      </c>
      <c r="F1631" s="1413">
        <v>0.6</v>
      </c>
      <c r="G1631" s="1413"/>
      <c r="H1631" s="1414">
        <v>2.1</v>
      </c>
      <c r="I1631" s="1425">
        <f t="shared" si="517"/>
        <v>1.26</v>
      </c>
      <c r="M1631" s="110"/>
      <c r="Q1631" s="1394">
        <f>IFERROR(VLOOKUP(M1631,#REF!,3,0),0)</f>
        <v>0</v>
      </c>
      <c r="R1631" s="1394">
        <f t="shared" si="502"/>
        <v>0</v>
      </c>
      <c r="S1631" s="1394">
        <f>IFERROR(VLOOKUP(M1631,#REF!,6,0),0)</f>
        <v>0</v>
      </c>
      <c r="T1631" s="1394">
        <f t="shared" si="503"/>
        <v>0</v>
      </c>
      <c r="U1631" s="1394">
        <f>IFERROR(VLOOKUP(M1631,#REF!,5,0),0)</f>
        <v>0</v>
      </c>
      <c r="V1631" s="1394">
        <f t="shared" si="504"/>
        <v>0</v>
      </c>
      <c r="W1631" s="1394"/>
    </row>
    <row r="1632" spans="2:23" ht="30" customHeight="1">
      <c r="B1632" s="1407"/>
      <c r="C1632" s="1455" t="s">
        <v>5662</v>
      </c>
      <c r="D1632" s="103">
        <v>1</v>
      </c>
      <c r="E1632" s="103">
        <v>1</v>
      </c>
      <c r="F1632" s="1413">
        <v>1.2350000000000001</v>
      </c>
      <c r="G1632" s="1413"/>
      <c r="H1632" s="1414">
        <f>H1630</f>
        <v>2.92</v>
      </c>
      <c r="I1632" s="1425">
        <f t="shared" si="517"/>
        <v>3.6062000000000003</v>
      </c>
      <c r="M1632" s="110"/>
      <c r="Q1632" s="1394">
        <f>IFERROR(VLOOKUP(M1632,#REF!,3,0),0)</f>
        <v>0</v>
      </c>
      <c r="R1632" s="1394">
        <f t="shared" si="502"/>
        <v>0</v>
      </c>
      <c r="S1632" s="1394">
        <f>IFERROR(VLOOKUP(M1632,#REF!,6,0),0)</f>
        <v>0</v>
      </c>
      <c r="T1632" s="1394">
        <f t="shared" si="503"/>
        <v>0</v>
      </c>
      <c r="U1632" s="1394">
        <f>IFERROR(VLOOKUP(M1632,#REF!,5,0),0)</f>
        <v>0</v>
      </c>
      <c r="V1632" s="1394">
        <f t="shared" si="504"/>
        <v>0</v>
      </c>
      <c r="W1632" s="1394"/>
    </row>
    <row r="1633" spans="2:23" ht="30" customHeight="1">
      <c r="B1633" s="1407"/>
      <c r="C1633" s="1412" t="s">
        <v>5672</v>
      </c>
      <c r="D1633" s="103"/>
      <c r="E1633" s="103"/>
      <c r="F1633" s="1413"/>
      <c r="G1633" s="1413"/>
      <c r="H1633" s="1414"/>
      <c r="I1633" s="1425"/>
      <c r="M1633" s="110"/>
      <c r="Q1633" s="1394">
        <f>IFERROR(VLOOKUP(M1633,#REF!,3,0),0)</f>
        <v>0</v>
      </c>
      <c r="R1633" s="1394">
        <f t="shared" si="502"/>
        <v>0</v>
      </c>
      <c r="S1633" s="1394">
        <f>IFERROR(VLOOKUP(M1633,#REF!,6,0),0)</f>
        <v>0</v>
      </c>
      <c r="T1633" s="1394">
        <f t="shared" si="503"/>
        <v>0</v>
      </c>
      <c r="U1633" s="1394">
        <f>IFERROR(VLOOKUP(M1633,#REF!,5,0),0)</f>
        <v>0</v>
      </c>
      <c r="V1633" s="1394">
        <f t="shared" si="504"/>
        <v>0</v>
      </c>
      <c r="W1633" s="1394"/>
    </row>
    <row r="1634" spans="2:23" ht="30" customHeight="1">
      <c r="B1634" s="1407"/>
      <c r="C1634" s="1455" t="s">
        <v>188</v>
      </c>
      <c r="D1634" s="103">
        <v>-1</v>
      </c>
      <c r="E1634" s="103">
        <f>VLOOKUP(C1634,Sheet1!$I$7:$P$39,5,0)</f>
        <v>4</v>
      </c>
      <c r="F1634" s="1413">
        <f>VLOOKUP(C1634,Sheet1!$I$7:$P$39,2,0)</f>
        <v>0.75</v>
      </c>
      <c r="G1634" s="1413"/>
      <c r="H1634" s="1414">
        <f>VLOOKUP(C1634,Sheet1!$I$7:$P$39,3,0)</f>
        <v>2.1</v>
      </c>
      <c r="I1634" s="1425">
        <f>PRODUCT(D1634:H1634)</f>
        <v>-6.3000000000000007</v>
      </c>
      <c r="M1634" s="110"/>
      <c r="Q1634" s="1394">
        <f>IFERROR(VLOOKUP(M1634,#REF!,3,0),0)</f>
        <v>0</v>
      </c>
      <c r="R1634" s="1394">
        <f t="shared" si="502"/>
        <v>0</v>
      </c>
      <c r="S1634" s="1394">
        <f>IFERROR(VLOOKUP(M1634,#REF!,6,0),0)</f>
        <v>0</v>
      </c>
      <c r="T1634" s="1394">
        <f t="shared" si="503"/>
        <v>0</v>
      </c>
      <c r="U1634" s="1394">
        <f>IFERROR(VLOOKUP(M1634,#REF!,5,0),0)</f>
        <v>0</v>
      </c>
      <c r="V1634" s="1394">
        <f t="shared" si="504"/>
        <v>0</v>
      </c>
      <c r="W1634" s="1394"/>
    </row>
    <row r="1635" spans="2:23" ht="30" customHeight="1">
      <c r="B1635" s="1407"/>
      <c r="C1635" s="1455"/>
      <c r="D1635" s="103"/>
      <c r="E1635" s="103"/>
      <c r="F1635" s="1413"/>
      <c r="G1635" s="1413"/>
      <c r="H1635" s="1414"/>
      <c r="I1635" s="1425"/>
      <c r="M1635" s="110"/>
      <c r="Q1635" s="1394">
        <f>IFERROR(VLOOKUP(M1635,#REF!,3,0),0)</f>
        <v>0</v>
      </c>
      <c r="R1635" s="1394">
        <f t="shared" si="502"/>
        <v>0</v>
      </c>
      <c r="S1635" s="1394">
        <f>IFERROR(VLOOKUP(M1635,#REF!,6,0),0)</f>
        <v>0</v>
      </c>
      <c r="T1635" s="1394">
        <f t="shared" si="503"/>
        <v>0</v>
      </c>
      <c r="U1635" s="1394">
        <f>IFERROR(VLOOKUP(M1635,#REF!,5,0),0)</f>
        <v>0</v>
      </c>
      <c r="V1635" s="1394">
        <f t="shared" si="504"/>
        <v>0</v>
      </c>
      <c r="W1635" s="1394"/>
    </row>
    <row r="1636" spans="2:23" ht="30" customHeight="1">
      <c r="B1636" s="1407">
        <f>B783</f>
        <v>0</v>
      </c>
      <c r="C1636" s="1412" t="s">
        <v>5772</v>
      </c>
      <c r="D1636" s="103">
        <v>0</v>
      </c>
      <c r="E1636" s="103">
        <v>0</v>
      </c>
      <c r="F1636" s="1413">
        <v>0</v>
      </c>
      <c r="G1636" s="1413">
        <v>0</v>
      </c>
      <c r="H1636" s="1414">
        <v>0</v>
      </c>
      <c r="I1636" s="1425">
        <f t="shared" si="511"/>
        <v>0</v>
      </c>
      <c r="M1636" s="110"/>
      <c r="Q1636" s="1394">
        <f>IFERROR(VLOOKUP(M1636,#REF!,3,0),0)</f>
        <v>0</v>
      </c>
      <c r="R1636" s="1394">
        <f t="shared" si="502"/>
        <v>0</v>
      </c>
      <c r="S1636" s="1394">
        <f>IFERROR(VLOOKUP(M1636,#REF!,6,0),0)</f>
        <v>0</v>
      </c>
      <c r="T1636" s="1394">
        <f t="shared" si="503"/>
        <v>0</v>
      </c>
      <c r="U1636" s="1394">
        <f>IFERROR(VLOOKUP(M1636,#REF!,5,0),0)</f>
        <v>0</v>
      </c>
      <c r="V1636" s="1394">
        <f t="shared" si="504"/>
        <v>0</v>
      </c>
      <c r="W1636" s="1394"/>
    </row>
    <row r="1637" spans="2:23" ht="30" customHeight="1">
      <c r="B1637" s="1407"/>
      <c r="C1637" s="1412" t="str">
        <f t="shared" ref="C1637:H1646" si="518">C1601</f>
        <v>SI Room</v>
      </c>
      <c r="D1637" s="103">
        <f t="shared" si="518"/>
        <v>0</v>
      </c>
      <c r="E1637" s="103">
        <f t="shared" si="518"/>
        <v>0</v>
      </c>
      <c r="F1637" s="1413">
        <f t="shared" si="518"/>
        <v>0</v>
      </c>
      <c r="G1637" s="1413"/>
      <c r="H1637" s="1414">
        <f t="shared" si="518"/>
        <v>0</v>
      </c>
      <c r="I1637" s="1425">
        <f t="shared" si="511"/>
        <v>0</v>
      </c>
      <c r="M1637" s="110"/>
      <c r="Q1637" s="1394">
        <f>IFERROR(VLOOKUP(M1637,#REF!,3,0),0)</f>
        <v>0</v>
      </c>
      <c r="R1637" s="1394">
        <f t="shared" si="502"/>
        <v>0</v>
      </c>
      <c r="S1637" s="1394">
        <f>IFERROR(VLOOKUP(M1637,#REF!,6,0),0)</f>
        <v>0</v>
      </c>
      <c r="T1637" s="1394">
        <f t="shared" si="503"/>
        <v>0</v>
      </c>
      <c r="U1637" s="1394">
        <f>IFERROR(VLOOKUP(M1637,#REF!,5,0),0)</f>
        <v>0</v>
      </c>
      <c r="V1637" s="1394">
        <f t="shared" si="504"/>
        <v>0</v>
      </c>
      <c r="W1637" s="1394"/>
    </row>
    <row r="1638" spans="2:23" ht="30" customHeight="1">
      <c r="B1638" s="1407"/>
      <c r="C1638" s="1455" t="str">
        <f t="shared" si="518"/>
        <v>C/B Wall</v>
      </c>
      <c r="D1638" s="103">
        <f>-D1602</f>
        <v>-1</v>
      </c>
      <c r="E1638" s="103">
        <f t="shared" si="518"/>
        <v>1</v>
      </c>
      <c r="F1638" s="1413">
        <f t="shared" si="518"/>
        <v>0.6</v>
      </c>
      <c r="G1638" s="1413"/>
      <c r="H1638" s="1414">
        <v>0.1</v>
      </c>
      <c r="I1638" s="1425">
        <f>PRODUCT(D1638:H1638)</f>
        <v>-0.06</v>
      </c>
      <c r="J1638" s="110">
        <f>2.85</f>
        <v>2.85</v>
      </c>
      <c r="L1638" s="110">
        <f>J1638-0.4</f>
        <v>2.4500000000000002</v>
      </c>
      <c r="M1638" s="110"/>
      <c r="Q1638" s="1394">
        <f>IFERROR(VLOOKUP(M1638,#REF!,3,0),0)</f>
        <v>0</v>
      </c>
      <c r="R1638" s="1394">
        <f t="shared" si="502"/>
        <v>0</v>
      </c>
      <c r="S1638" s="1394">
        <f>IFERROR(VLOOKUP(M1638,#REF!,6,0),0)</f>
        <v>0</v>
      </c>
      <c r="T1638" s="1394">
        <f t="shared" si="503"/>
        <v>0</v>
      </c>
      <c r="U1638" s="1394">
        <f>IFERROR(VLOOKUP(M1638,#REF!,5,0),0)</f>
        <v>0</v>
      </c>
      <c r="V1638" s="1394">
        <f t="shared" si="504"/>
        <v>0</v>
      </c>
      <c r="W1638" s="1394"/>
    </row>
    <row r="1639" spans="2:23" ht="30" customHeight="1">
      <c r="B1639" s="1407"/>
      <c r="C1639" s="1455" t="str">
        <f t="shared" si="518"/>
        <v>Cross wall between Toilet / Passage</v>
      </c>
      <c r="D1639" s="103">
        <f t="shared" ref="D1639:D1648" si="519">-D1603</f>
        <v>-1</v>
      </c>
      <c r="E1639" s="103">
        <f t="shared" si="518"/>
        <v>1</v>
      </c>
      <c r="F1639" s="1413">
        <f t="shared" si="518"/>
        <v>1.5</v>
      </c>
      <c r="G1639" s="1413"/>
      <c r="H1639" s="1414">
        <f>H1638</f>
        <v>0.1</v>
      </c>
      <c r="I1639" s="1425">
        <f>PRODUCT(D1639:H1639)</f>
        <v>-0.15000000000000002</v>
      </c>
      <c r="M1639" s="110"/>
      <c r="Q1639" s="1394">
        <f>IFERROR(VLOOKUP(M1639,#REF!,3,0),0)</f>
        <v>0</v>
      </c>
      <c r="R1639" s="1394">
        <f t="shared" si="502"/>
        <v>0</v>
      </c>
      <c r="S1639" s="1394">
        <f>IFERROR(VLOOKUP(M1639,#REF!,6,0),0)</f>
        <v>0</v>
      </c>
      <c r="T1639" s="1394">
        <f t="shared" si="503"/>
        <v>0</v>
      </c>
      <c r="U1639" s="1394">
        <f>IFERROR(VLOOKUP(M1639,#REF!,5,0),0)</f>
        <v>0</v>
      </c>
      <c r="V1639" s="1394">
        <f t="shared" si="504"/>
        <v>0</v>
      </c>
      <c r="W1639" s="1394"/>
    </row>
    <row r="1640" spans="2:23" ht="30" customHeight="1">
      <c r="B1640" s="1407"/>
      <c r="C1640" s="1455" t="str">
        <f t="shared" si="518"/>
        <v>Cross wall between Hall  / Passage</v>
      </c>
      <c r="D1640" s="103">
        <f t="shared" si="519"/>
        <v>-1</v>
      </c>
      <c r="E1640" s="103">
        <f t="shared" si="518"/>
        <v>1</v>
      </c>
      <c r="F1640" s="1413">
        <f t="shared" si="518"/>
        <v>1.5</v>
      </c>
      <c r="G1640" s="1413"/>
      <c r="H1640" s="1414">
        <f>H1639</f>
        <v>0.1</v>
      </c>
      <c r="I1640" s="1425">
        <f>PRODUCT(D1640:H1640)</f>
        <v>-0.15000000000000002</v>
      </c>
      <c r="M1640" s="110"/>
      <c r="Q1640" s="1394">
        <f>IFERROR(VLOOKUP(M1640,#REF!,3,0),0)</f>
        <v>0</v>
      </c>
      <c r="R1640" s="1394">
        <f t="shared" si="502"/>
        <v>0</v>
      </c>
      <c r="S1640" s="1394">
        <f>IFERROR(VLOOKUP(M1640,#REF!,6,0),0)</f>
        <v>0</v>
      </c>
      <c r="T1640" s="1394">
        <f t="shared" si="503"/>
        <v>0</v>
      </c>
      <c r="U1640" s="1394">
        <f>IFERROR(VLOOKUP(M1640,#REF!,5,0),0)</f>
        <v>0</v>
      </c>
      <c r="V1640" s="1394">
        <f t="shared" si="504"/>
        <v>0</v>
      </c>
      <c r="W1640" s="1394"/>
    </row>
    <row r="1641" spans="2:23" ht="30" customHeight="1">
      <c r="B1641" s="1407"/>
      <c r="C1641" s="1412" t="str">
        <f t="shared" si="518"/>
        <v>Writer</v>
      </c>
      <c r="D1641" s="103">
        <f t="shared" si="519"/>
        <v>0</v>
      </c>
      <c r="E1641" s="103">
        <f t="shared" si="518"/>
        <v>0</v>
      </c>
      <c r="F1641" s="1413">
        <f t="shared" si="518"/>
        <v>0</v>
      </c>
      <c r="G1641" s="1413"/>
      <c r="H1641" s="1414">
        <f t="shared" si="518"/>
        <v>0</v>
      </c>
      <c r="I1641" s="1425">
        <f t="shared" ref="I1641:I1664" si="520">PRODUCT(D1641:H1641)</f>
        <v>0</v>
      </c>
      <c r="M1641" s="110"/>
      <c r="Q1641" s="1394">
        <f>IFERROR(VLOOKUP(M1641,#REF!,3,0),0)</f>
        <v>0</v>
      </c>
      <c r="R1641" s="1394">
        <f t="shared" si="502"/>
        <v>0</v>
      </c>
      <c r="S1641" s="1394">
        <f>IFERROR(VLOOKUP(M1641,#REF!,6,0),0)</f>
        <v>0</v>
      </c>
      <c r="T1641" s="1394">
        <f t="shared" si="503"/>
        <v>0</v>
      </c>
      <c r="U1641" s="1394">
        <f>IFERROR(VLOOKUP(M1641,#REF!,5,0),0)</f>
        <v>0</v>
      </c>
      <c r="V1641" s="1394">
        <f t="shared" si="504"/>
        <v>0</v>
      </c>
      <c r="W1641" s="1394"/>
    </row>
    <row r="1642" spans="2:23" ht="30" customHeight="1">
      <c r="B1642" s="1407"/>
      <c r="C1642" s="1455" t="str">
        <f t="shared" si="518"/>
        <v>C/B Wall</v>
      </c>
      <c r="D1642" s="103">
        <f t="shared" si="519"/>
        <v>-1</v>
      </c>
      <c r="E1642" s="103">
        <f t="shared" si="518"/>
        <v>1</v>
      </c>
      <c r="F1642" s="1413">
        <f t="shared" si="518"/>
        <v>0.6</v>
      </c>
      <c r="G1642" s="1413"/>
      <c r="H1642" s="1414">
        <f>H1640</f>
        <v>0.1</v>
      </c>
      <c r="I1642" s="1425">
        <f t="shared" si="520"/>
        <v>-0.06</v>
      </c>
      <c r="M1642" s="110"/>
      <c r="Q1642" s="1394">
        <f>IFERROR(VLOOKUP(M1642,#REF!,3,0),0)</f>
        <v>0</v>
      </c>
      <c r="R1642" s="1394">
        <f t="shared" si="502"/>
        <v>0</v>
      </c>
      <c r="S1642" s="1394">
        <f>IFERROR(VLOOKUP(M1642,#REF!,6,0),0)</f>
        <v>0</v>
      </c>
      <c r="T1642" s="1394">
        <f t="shared" si="503"/>
        <v>0</v>
      </c>
      <c r="U1642" s="1394">
        <f>IFERROR(VLOOKUP(M1642,#REF!,5,0),0)</f>
        <v>0</v>
      </c>
      <c r="V1642" s="1394">
        <f t="shared" si="504"/>
        <v>0</v>
      </c>
      <c r="W1642" s="1394"/>
    </row>
    <row r="1643" spans="2:23" ht="30" customHeight="1">
      <c r="B1643" s="1407"/>
      <c r="C1643" s="1455" t="str">
        <f t="shared" si="518"/>
        <v>Cross wall between Writer / Ins L &amp;O</v>
      </c>
      <c r="D1643" s="103">
        <f t="shared" si="519"/>
        <v>-1</v>
      </c>
      <c r="E1643" s="103">
        <f t="shared" si="518"/>
        <v>1</v>
      </c>
      <c r="F1643" s="1413">
        <f t="shared" si="518"/>
        <v>1.8</v>
      </c>
      <c r="G1643" s="1413"/>
      <c r="H1643" s="1414">
        <f>H1642</f>
        <v>0.1</v>
      </c>
      <c r="I1643" s="1425">
        <f t="shared" si="520"/>
        <v>-0.18000000000000002</v>
      </c>
      <c r="M1643" s="110"/>
      <c r="Q1643" s="1394">
        <f>IFERROR(VLOOKUP(M1643,#REF!,3,0),0)</f>
        <v>0</v>
      </c>
      <c r="R1643" s="1394">
        <f t="shared" si="502"/>
        <v>0</v>
      </c>
      <c r="S1643" s="1394">
        <f>IFERROR(VLOOKUP(M1643,#REF!,6,0),0)</f>
        <v>0</v>
      </c>
      <c r="T1643" s="1394">
        <f t="shared" si="503"/>
        <v>0</v>
      </c>
      <c r="U1643" s="1394">
        <f>IFERROR(VLOOKUP(M1643,#REF!,5,0),0)</f>
        <v>0</v>
      </c>
      <c r="V1643" s="1394">
        <f t="shared" si="504"/>
        <v>0</v>
      </c>
      <c r="W1643" s="1394"/>
    </row>
    <row r="1644" spans="2:23" ht="30" customHeight="1">
      <c r="B1644" s="1407"/>
      <c r="C1644" s="1455" t="str">
        <f t="shared" si="518"/>
        <v>Cross wall between Writer / Ins L &amp;O</v>
      </c>
      <c r="D1644" s="103">
        <f t="shared" si="519"/>
        <v>-1</v>
      </c>
      <c r="E1644" s="103">
        <f t="shared" si="518"/>
        <v>1</v>
      </c>
      <c r="F1644" s="1413">
        <f t="shared" si="518"/>
        <v>3.2759999999999998</v>
      </c>
      <c r="G1644" s="1413"/>
      <c r="H1644" s="1414">
        <f>H1643</f>
        <v>0.1</v>
      </c>
      <c r="I1644" s="1425">
        <f t="shared" si="520"/>
        <v>-0.3276</v>
      </c>
      <c r="M1644" s="110"/>
      <c r="Q1644" s="1394">
        <f>IFERROR(VLOOKUP(M1644,#REF!,3,0),0)</f>
        <v>0</v>
      </c>
      <c r="R1644" s="1394">
        <f t="shared" si="502"/>
        <v>0</v>
      </c>
      <c r="S1644" s="1394">
        <f>IFERROR(VLOOKUP(M1644,#REF!,6,0),0)</f>
        <v>0</v>
      </c>
      <c r="T1644" s="1394">
        <f t="shared" si="503"/>
        <v>0</v>
      </c>
      <c r="U1644" s="1394">
        <f>IFERROR(VLOOKUP(M1644,#REF!,5,0),0)</f>
        <v>0</v>
      </c>
      <c r="V1644" s="1394">
        <f t="shared" si="504"/>
        <v>0</v>
      </c>
      <c r="W1644" s="1394"/>
    </row>
    <row r="1645" spans="2:23" ht="30" customHeight="1">
      <c r="B1645" s="1407"/>
      <c r="C1645" s="1412" t="str">
        <f t="shared" si="518"/>
        <v>Ins L &amp; O</v>
      </c>
      <c r="D1645" s="103">
        <f t="shared" si="519"/>
        <v>0</v>
      </c>
      <c r="E1645" s="103">
        <f t="shared" si="518"/>
        <v>0</v>
      </c>
      <c r="F1645" s="1413">
        <f t="shared" si="518"/>
        <v>0</v>
      </c>
      <c r="G1645" s="1413"/>
      <c r="H1645" s="1414">
        <f t="shared" si="518"/>
        <v>0</v>
      </c>
      <c r="I1645" s="1425">
        <f t="shared" si="520"/>
        <v>0</v>
      </c>
      <c r="M1645" s="110"/>
      <c r="Q1645" s="1394">
        <f>IFERROR(VLOOKUP(M1645,#REF!,3,0),0)</f>
        <v>0</v>
      </c>
      <c r="R1645" s="1394">
        <f t="shared" si="502"/>
        <v>0</v>
      </c>
      <c r="S1645" s="1394">
        <f>IFERROR(VLOOKUP(M1645,#REF!,6,0),0)</f>
        <v>0</v>
      </c>
      <c r="T1645" s="1394">
        <f t="shared" si="503"/>
        <v>0</v>
      </c>
      <c r="U1645" s="1394">
        <f>IFERROR(VLOOKUP(M1645,#REF!,5,0),0)</f>
        <v>0</v>
      </c>
      <c r="V1645" s="1394">
        <f t="shared" si="504"/>
        <v>0</v>
      </c>
      <c r="W1645" s="1394"/>
    </row>
    <row r="1646" spans="2:23" ht="30" customHeight="1">
      <c r="B1646" s="1407"/>
      <c r="C1646" s="1455" t="str">
        <f t="shared" si="518"/>
        <v xml:space="preserve">C/B Wall </v>
      </c>
      <c r="D1646" s="103">
        <f t="shared" si="519"/>
        <v>-1</v>
      </c>
      <c r="E1646" s="103">
        <f t="shared" si="518"/>
        <v>1</v>
      </c>
      <c r="F1646" s="1413">
        <f t="shared" si="518"/>
        <v>0.6</v>
      </c>
      <c r="G1646" s="1413"/>
      <c r="H1646" s="1414">
        <f>H1644</f>
        <v>0.1</v>
      </c>
      <c r="I1646" s="1425">
        <f t="shared" si="520"/>
        <v>-0.06</v>
      </c>
      <c r="M1646" s="110"/>
      <c r="Q1646" s="1394">
        <f>IFERROR(VLOOKUP(M1646,#REF!,3,0),0)</f>
        <v>0</v>
      </c>
      <c r="R1646" s="1394">
        <f t="shared" ref="R1646:R1709" si="521">ROUND(O1646,2)*ROUND(Q1646,2)</f>
        <v>0</v>
      </c>
      <c r="S1646" s="1394">
        <f>IFERROR(VLOOKUP(M1646,#REF!,6,0),0)</f>
        <v>0</v>
      </c>
      <c r="T1646" s="1394">
        <f t="shared" ref="T1646:T1709" si="522">R1646-S1646</f>
        <v>0</v>
      </c>
      <c r="U1646" s="1394">
        <f>IFERROR(VLOOKUP(M1646,#REF!,5,0),0)</f>
        <v>0</v>
      </c>
      <c r="V1646" s="1394">
        <f t="shared" ref="V1646:V1709" si="523">O1646-U1646</f>
        <v>0</v>
      </c>
      <c r="W1646" s="1394"/>
    </row>
    <row r="1647" spans="2:23" ht="30" customHeight="1">
      <c r="B1647" s="1407"/>
      <c r="C1647" s="1455" t="str">
        <f t="shared" ref="C1647:F1648" si="524">C1611</f>
        <v xml:space="preserve">Cross wall between Toilet / Passage </v>
      </c>
      <c r="D1647" s="103">
        <f t="shared" si="519"/>
        <v>-1</v>
      </c>
      <c r="E1647" s="103">
        <f t="shared" si="524"/>
        <v>1</v>
      </c>
      <c r="F1647" s="1413">
        <f t="shared" si="524"/>
        <v>1.5</v>
      </c>
      <c r="G1647" s="1413"/>
      <c r="H1647" s="1414">
        <f>H1646</f>
        <v>0.1</v>
      </c>
      <c r="I1647" s="1425">
        <f t="shared" si="520"/>
        <v>-0.15000000000000002</v>
      </c>
      <c r="M1647" s="110"/>
      <c r="Q1647" s="1394">
        <f>IFERROR(VLOOKUP(M1647,#REF!,3,0),0)</f>
        <v>0</v>
      </c>
      <c r="R1647" s="1394">
        <f t="shared" si="521"/>
        <v>0</v>
      </c>
      <c r="S1647" s="1394">
        <f>IFERROR(VLOOKUP(M1647,#REF!,6,0),0)</f>
        <v>0</v>
      </c>
      <c r="T1647" s="1394">
        <f t="shared" si="522"/>
        <v>0</v>
      </c>
      <c r="U1647" s="1394">
        <f>IFERROR(VLOOKUP(M1647,#REF!,5,0),0)</f>
        <v>0</v>
      </c>
      <c r="V1647" s="1394">
        <f t="shared" si="523"/>
        <v>0</v>
      </c>
      <c r="W1647" s="1394"/>
    </row>
    <row r="1648" spans="2:23" ht="30" customHeight="1">
      <c r="B1648" s="1407"/>
      <c r="C1648" s="1455" t="str">
        <f t="shared" si="524"/>
        <v xml:space="preserve">Cross wall between Hall  / Passage </v>
      </c>
      <c r="D1648" s="103">
        <f t="shared" si="519"/>
        <v>-1</v>
      </c>
      <c r="E1648" s="103">
        <f t="shared" si="524"/>
        <v>1</v>
      </c>
      <c r="F1648" s="1413">
        <f t="shared" si="524"/>
        <v>1.5</v>
      </c>
      <c r="G1648" s="1413"/>
      <c r="H1648" s="1414">
        <f>H1647</f>
        <v>0.1</v>
      </c>
      <c r="I1648" s="1425">
        <f t="shared" si="520"/>
        <v>-0.15000000000000002</v>
      </c>
      <c r="M1648" s="110"/>
      <c r="Q1648" s="1394">
        <f>IFERROR(VLOOKUP(M1648,#REF!,3,0),0)</f>
        <v>0</v>
      </c>
      <c r="R1648" s="1394">
        <f t="shared" si="521"/>
        <v>0</v>
      </c>
      <c r="S1648" s="1394">
        <f>IFERROR(VLOOKUP(M1648,#REF!,6,0),0)</f>
        <v>0</v>
      </c>
      <c r="T1648" s="1394">
        <f t="shared" si="522"/>
        <v>0</v>
      </c>
      <c r="U1648" s="1394">
        <f>IFERROR(VLOOKUP(M1648,#REF!,5,0),0)</f>
        <v>0</v>
      </c>
      <c r="V1648" s="1394">
        <f t="shared" si="523"/>
        <v>0</v>
      </c>
      <c r="W1648" s="1394"/>
    </row>
    <row r="1649" spans="2:23" ht="30" customHeight="1">
      <c r="B1649" s="1407"/>
      <c r="C1649" s="1412" t="str">
        <f t="shared" ref="C1649:C1664" si="525">C1617</f>
        <v>CD File / Store</v>
      </c>
      <c r="D1649" s="103">
        <f t="shared" ref="D1649:D1664" si="526">-D1617</f>
        <v>0</v>
      </c>
      <c r="E1649" s="103">
        <f t="shared" ref="E1649:F1664" si="527">E1617</f>
        <v>0</v>
      </c>
      <c r="F1649" s="1413">
        <f t="shared" si="527"/>
        <v>0</v>
      </c>
      <c r="G1649" s="1413"/>
      <c r="H1649" s="1414">
        <f>H1617</f>
        <v>0</v>
      </c>
      <c r="I1649" s="1425">
        <f t="shared" si="520"/>
        <v>0</v>
      </c>
      <c r="M1649" s="110"/>
      <c r="Q1649" s="1394">
        <f>IFERROR(VLOOKUP(M1649,#REF!,3,0),0)</f>
        <v>0</v>
      </c>
      <c r="R1649" s="1394">
        <f t="shared" si="521"/>
        <v>0</v>
      </c>
      <c r="S1649" s="1394">
        <f>IFERROR(VLOOKUP(M1649,#REF!,6,0),0)</f>
        <v>0</v>
      </c>
      <c r="T1649" s="1394">
        <f t="shared" si="522"/>
        <v>0</v>
      </c>
      <c r="U1649" s="1394">
        <f>IFERROR(VLOOKUP(M1649,#REF!,5,0),0)</f>
        <v>0</v>
      </c>
      <c r="V1649" s="1394">
        <f t="shared" si="523"/>
        <v>0</v>
      </c>
      <c r="W1649" s="1394"/>
    </row>
    <row r="1650" spans="2:23" ht="30" customHeight="1">
      <c r="B1650" s="1407"/>
      <c r="C1650" s="1455" t="str">
        <f t="shared" si="525"/>
        <v xml:space="preserve">C/B Wall </v>
      </c>
      <c r="D1650" s="103">
        <f t="shared" si="526"/>
        <v>-1</v>
      </c>
      <c r="E1650" s="103">
        <f t="shared" si="527"/>
        <v>1</v>
      </c>
      <c r="F1650" s="1413">
        <f t="shared" si="527"/>
        <v>0.6</v>
      </c>
      <c r="G1650" s="1413"/>
      <c r="H1650" s="1414">
        <f>H1648</f>
        <v>0.1</v>
      </c>
      <c r="I1650" s="1425">
        <f t="shared" si="520"/>
        <v>-0.06</v>
      </c>
      <c r="M1650" s="110"/>
      <c r="Q1650" s="1394">
        <f>IFERROR(VLOOKUP(M1650,#REF!,3,0),0)</f>
        <v>0</v>
      </c>
      <c r="R1650" s="1394">
        <f t="shared" si="521"/>
        <v>0</v>
      </c>
      <c r="S1650" s="1394">
        <f>IFERROR(VLOOKUP(M1650,#REF!,6,0),0)</f>
        <v>0</v>
      </c>
      <c r="T1650" s="1394">
        <f t="shared" si="522"/>
        <v>0</v>
      </c>
      <c r="U1650" s="1394">
        <f>IFERROR(VLOOKUP(M1650,#REF!,5,0),0)</f>
        <v>0</v>
      </c>
      <c r="V1650" s="1394">
        <f t="shared" si="523"/>
        <v>0</v>
      </c>
      <c r="W1650" s="1394"/>
    </row>
    <row r="1651" spans="2:23" ht="30" customHeight="1">
      <c r="B1651" s="1407"/>
      <c r="C1651" s="1455" t="str">
        <f t="shared" si="525"/>
        <v>Cross wall between Toilet / CD File / Store</v>
      </c>
      <c r="D1651" s="103">
        <f t="shared" si="526"/>
        <v>-1</v>
      </c>
      <c r="E1651" s="103">
        <f t="shared" si="527"/>
        <v>1</v>
      </c>
      <c r="F1651" s="1413">
        <f t="shared" si="527"/>
        <v>1.1000000000000001</v>
      </c>
      <c r="G1651" s="1413"/>
      <c r="H1651" s="1414">
        <f>H1650</f>
        <v>0.1</v>
      </c>
      <c r="I1651" s="1425">
        <f t="shared" si="520"/>
        <v>-0.11000000000000001</v>
      </c>
      <c r="M1651" s="110"/>
      <c r="Q1651" s="1394">
        <f>IFERROR(VLOOKUP(M1651,#REF!,3,0),0)</f>
        <v>0</v>
      </c>
      <c r="R1651" s="1394">
        <f t="shared" si="521"/>
        <v>0</v>
      </c>
      <c r="S1651" s="1394">
        <f>IFERROR(VLOOKUP(M1651,#REF!,6,0),0)</f>
        <v>0</v>
      </c>
      <c r="T1651" s="1394">
        <f t="shared" si="522"/>
        <v>0</v>
      </c>
      <c r="U1651" s="1394">
        <f>IFERROR(VLOOKUP(M1651,#REF!,5,0),0)</f>
        <v>0</v>
      </c>
      <c r="V1651" s="1394">
        <f t="shared" si="523"/>
        <v>0</v>
      </c>
      <c r="W1651" s="1394"/>
    </row>
    <row r="1652" spans="2:23" ht="30" customHeight="1">
      <c r="B1652" s="1407"/>
      <c r="C1652" s="1455" t="str">
        <f t="shared" si="525"/>
        <v xml:space="preserve">Cross wall between Toilet / Passage </v>
      </c>
      <c r="D1652" s="103">
        <f t="shared" si="526"/>
        <v>-1</v>
      </c>
      <c r="E1652" s="103">
        <f t="shared" si="527"/>
        <v>1</v>
      </c>
      <c r="F1652" s="1413">
        <f t="shared" si="527"/>
        <v>1.5</v>
      </c>
      <c r="G1652" s="1413"/>
      <c r="H1652" s="1414">
        <f t="shared" ref="H1652:H1653" si="528">H1651</f>
        <v>0.1</v>
      </c>
      <c r="I1652" s="1425">
        <f t="shared" si="520"/>
        <v>-0.15000000000000002</v>
      </c>
      <c r="M1652" s="110"/>
      <c r="Q1652" s="1394">
        <f>IFERROR(VLOOKUP(M1652,#REF!,3,0),0)</f>
        <v>0</v>
      </c>
      <c r="R1652" s="1394">
        <f t="shared" si="521"/>
        <v>0</v>
      </c>
      <c r="S1652" s="1394">
        <f>IFERROR(VLOOKUP(M1652,#REF!,6,0),0)</f>
        <v>0</v>
      </c>
      <c r="T1652" s="1394">
        <f t="shared" si="522"/>
        <v>0</v>
      </c>
      <c r="U1652" s="1394">
        <f>IFERROR(VLOOKUP(M1652,#REF!,5,0),0)</f>
        <v>0</v>
      </c>
      <c r="V1652" s="1394">
        <f t="shared" si="523"/>
        <v>0</v>
      </c>
      <c r="W1652" s="1394"/>
    </row>
    <row r="1653" spans="2:23" ht="30" customHeight="1">
      <c r="B1653" s="1407"/>
      <c r="C1653" s="1455" t="str">
        <f t="shared" si="525"/>
        <v xml:space="preserve">Cross wall between Halll / Passage </v>
      </c>
      <c r="D1653" s="103">
        <f t="shared" si="526"/>
        <v>-1</v>
      </c>
      <c r="E1653" s="103">
        <f t="shared" si="527"/>
        <v>1</v>
      </c>
      <c r="F1653" s="1413">
        <f t="shared" si="527"/>
        <v>0.6</v>
      </c>
      <c r="G1653" s="1413"/>
      <c r="H1653" s="1414">
        <f t="shared" si="528"/>
        <v>0.1</v>
      </c>
      <c r="I1653" s="1425">
        <f t="shared" si="520"/>
        <v>-0.06</v>
      </c>
      <c r="M1653" s="110"/>
      <c r="Q1653" s="1394">
        <f>IFERROR(VLOOKUP(M1653,#REF!,3,0),0)</f>
        <v>0</v>
      </c>
      <c r="R1653" s="1394">
        <f t="shared" si="521"/>
        <v>0</v>
      </c>
      <c r="S1653" s="1394">
        <f>IFERROR(VLOOKUP(M1653,#REF!,6,0),0)</f>
        <v>0</v>
      </c>
      <c r="T1653" s="1394">
        <f t="shared" si="522"/>
        <v>0</v>
      </c>
      <c r="U1653" s="1394">
        <f>IFERROR(VLOOKUP(M1653,#REF!,5,0),0)</f>
        <v>0</v>
      </c>
      <c r="V1653" s="1394">
        <f t="shared" si="523"/>
        <v>0</v>
      </c>
      <c r="W1653" s="1394"/>
    </row>
    <row r="1654" spans="2:23" ht="30" customHeight="1">
      <c r="B1654" s="1407"/>
      <c r="C1654" s="1412" t="str">
        <f t="shared" si="525"/>
        <v>Computer CCTNS</v>
      </c>
      <c r="D1654" s="103">
        <f t="shared" si="526"/>
        <v>0</v>
      </c>
      <c r="E1654" s="103">
        <f t="shared" si="527"/>
        <v>0</v>
      </c>
      <c r="F1654" s="1413">
        <f t="shared" si="527"/>
        <v>0</v>
      </c>
      <c r="G1654" s="1413"/>
      <c r="H1654" s="1414">
        <f>H1622</f>
        <v>0</v>
      </c>
      <c r="I1654" s="1425">
        <f t="shared" si="520"/>
        <v>0</v>
      </c>
      <c r="M1654" s="110"/>
      <c r="Q1654" s="1394">
        <f>IFERROR(VLOOKUP(M1654,#REF!,3,0),0)</f>
        <v>0</v>
      </c>
      <c r="R1654" s="1394">
        <f t="shared" si="521"/>
        <v>0</v>
      </c>
      <c r="S1654" s="1394">
        <f>IFERROR(VLOOKUP(M1654,#REF!,6,0),0)</f>
        <v>0</v>
      </c>
      <c r="T1654" s="1394">
        <f t="shared" si="522"/>
        <v>0</v>
      </c>
      <c r="U1654" s="1394">
        <f>IFERROR(VLOOKUP(M1654,#REF!,5,0),0)</f>
        <v>0</v>
      </c>
      <c r="V1654" s="1394">
        <f t="shared" si="523"/>
        <v>0</v>
      </c>
      <c r="W1654" s="1394"/>
    </row>
    <row r="1655" spans="2:23" ht="30" customHeight="1">
      <c r="B1655" s="1407"/>
      <c r="C1655" s="1455" t="str">
        <f t="shared" si="525"/>
        <v xml:space="preserve">C/B Wall </v>
      </c>
      <c r="D1655" s="103">
        <f t="shared" si="526"/>
        <v>-1</v>
      </c>
      <c r="E1655" s="103">
        <f t="shared" si="527"/>
        <v>1</v>
      </c>
      <c r="F1655" s="1413">
        <f t="shared" si="527"/>
        <v>0.6</v>
      </c>
      <c r="G1655" s="1413"/>
      <c r="H1655" s="1414">
        <f>H1653</f>
        <v>0.1</v>
      </c>
      <c r="I1655" s="1425">
        <f t="shared" si="520"/>
        <v>-0.06</v>
      </c>
      <c r="M1655" s="110"/>
      <c r="Q1655" s="1394">
        <f>IFERROR(VLOOKUP(M1655,#REF!,3,0),0)</f>
        <v>0</v>
      </c>
      <c r="R1655" s="1394">
        <f t="shared" si="521"/>
        <v>0</v>
      </c>
      <c r="S1655" s="1394">
        <f>IFERROR(VLOOKUP(M1655,#REF!,6,0),0)</f>
        <v>0</v>
      </c>
      <c r="T1655" s="1394">
        <f t="shared" si="522"/>
        <v>0</v>
      </c>
      <c r="U1655" s="1394">
        <f>IFERROR(VLOOKUP(M1655,#REF!,5,0),0)</f>
        <v>0</v>
      </c>
      <c r="V1655" s="1394">
        <f t="shared" si="523"/>
        <v>0</v>
      </c>
      <c r="W1655" s="1394"/>
    </row>
    <row r="1656" spans="2:23" ht="30" customHeight="1">
      <c r="B1656" s="1407"/>
      <c r="C1656" s="1455" t="str">
        <f t="shared" si="525"/>
        <v>Cross wall between Toilet / Computer CCTNS</v>
      </c>
      <c r="D1656" s="103">
        <f t="shared" si="526"/>
        <v>-1</v>
      </c>
      <c r="E1656" s="103">
        <f t="shared" si="527"/>
        <v>1</v>
      </c>
      <c r="F1656" s="1413">
        <f t="shared" si="527"/>
        <v>2.93</v>
      </c>
      <c r="G1656" s="1413"/>
      <c r="H1656" s="1414">
        <f>H1655</f>
        <v>0.1</v>
      </c>
      <c r="I1656" s="1425">
        <f t="shared" si="520"/>
        <v>-0.29300000000000004</v>
      </c>
      <c r="M1656" s="110"/>
      <c r="Q1656" s="1394">
        <f>IFERROR(VLOOKUP(M1656,#REF!,3,0),0)</f>
        <v>0</v>
      </c>
      <c r="R1656" s="1394">
        <f t="shared" si="521"/>
        <v>0</v>
      </c>
      <c r="S1656" s="1394">
        <f>IFERROR(VLOOKUP(M1656,#REF!,6,0),0)</f>
        <v>0</v>
      </c>
      <c r="T1656" s="1394">
        <f t="shared" si="522"/>
        <v>0</v>
      </c>
      <c r="U1656" s="1394">
        <f>IFERROR(VLOOKUP(M1656,#REF!,5,0),0)</f>
        <v>0</v>
      </c>
      <c r="V1656" s="1394">
        <f t="shared" si="523"/>
        <v>0</v>
      </c>
      <c r="W1656" s="1394"/>
    </row>
    <row r="1657" spans="2:23" ht="30" customHeight="1">
      <c r="B1657" s="1407"/>
      <c r="C1657" s="1455" t="str">
        <f t="shared" si="525"/>
        <v>Cross wall between Toilet / Passage</v>
      </c>
      <c r="D1657" s="103">
        <f t="shared" si="526"/>
        <v>-1</v>
      </c>
      <c r="E1657" s="103">
        <f t="shared" si="527"/>
        <v>1</v>
      </c>
      <c r="F1657" s="1413">
        <f t="shared" si="527"/>
        <v>3.9</v>
      </c>
      <c r="G1657" s="1413"/>
      <c r="H1657" s="1414">
        <f t="shared" ref="H1657" si="529">H1656</f>
        <v>0.1</v>
      </c>
      <c r="I1657" s="1425">
        <f t="shared" si="520"/>
        <v>-0.39</v>
      </c>
      <c r="M1657" s="110"/>
      <c r="Q1657" s="1394">
        <f>IFERROR(VLOOKUP(M1657,#REF!,3,0),0)</f>
        <v>0</v>
      </c>
      <c r="R1657" s="1394">
        <f t="shared" si="521"/>
        <v>0</v>
      </c>
      <c r="S1657" s="1394">
        <f>IFERROR(VLOOKUP(M1657,#REF!,6,0),0)</f>
        <v>0</v>
      </c>
      <c r="T1657" s="1394">
        <f t="shared" si="522"/>
        <v>0</v>
      </c>
      <c r="U1657" s="1394">
        <f>IFERROR(VLOOKUP(M1657,#REF!,5,0),0)</f>
        <v>0</v>
      </c>
      <c r="V1657" s="1394">
        <f t="shared" si="523"/>
        <v>0</v>
      </c>
      <c r="W1657" s="1394"/>
    </row>
    <row r="1658" spans="2:23" ht="30" customHeight="1">
      <c r="B1658" s="1407"/>
      <c r="C1658" s="1412" t="str">
        <f t="shared" si="525"/>
        <v>Station Writer</v>
      </c>
      <c r="D1658" s="103">
        <f t="shared" si="526"/>
        <v>0</v>
      </c>
      <c r="E1658" s="103">
        <f t="shared" si="527"/>
        <v>0</v>
      </c>
      <c r="F1658" s="1413">
        <f t="shared" si="527"/>
        <v>0</v>
      </c>
      <c r="G1658" s="1413"/>
      <c r="H1658" s="1414">
        <f>H1626</f>
        <v>0</v>
      </c>
      <c r="I1658" s="1425">
        <f t="shared" si="520"/>
        <v>0</v>
      </c>
      <c r="M1658" s="110"/>
      <c r="Q1658" s="1394">
        <f>IFERROR(VLOOKUP(M1658,#REF!,3,0),0)</f>
        <v>0</v>
      </c>
      <c r="R1658" s="1394">
        <f t="shared" si="521"/>
        <v>0</v>
      </c>
      <c r="S1658" s="1394">
        <f>IFERROR(VLOOKUP(M1658,#REF!,6,0),0)</f>
        <v>0</v>
      </c>
      <c r="T1658" s="1394">
        <f t="shared" si="522"/>
        <v>0</v>
      </c>
      <c r="U1658" s="1394">
        <f>IFERROR(VLOOKUP(M1658,#REF!,5,0),0)</f>
        <v>0</v>
      </c>
      <c r="V1658" s="1394">
        <f t="shared" si="523"/>
        <v>0</v>
      </c>
      <c r="W1658" s="1394"/>
    </row>
    <row r="1659" spans="2:23" ht="30" customHeight="1">
      <c r="B1659" s="1407"/>
      <c r="C1659" s="1455" t="str">
        <f t="shared" si="525"/>
        <v>Cross wall between Station Writer / Hall</v>
      </c>
      <c r="D1659" s="103">
        <f t="shared" si="526"/>
        <v>-1</v>
      </c>
      <c r="E1659" s="103">
        <f t="shared" si="527"/>
        <v>1</v>
      </c>
      <c r="F1659" s="1413">
        <f t="shared" si="527"/>
        <v>2.5</v>
      </c>
      <c r="G1659" s="1413"/>
      <c r="H1659" s="1414">
        <f>H1657</f>
        <v>0.1</v>
      </c>
      <c r="I1659" s="1425">
        <f t="shared" si="520"/>
        <v>-0.25</v>
      </c>
      <c r="M1659" s="110"/>
      <c r="Q1659" s="1394">
        <f>IFERROR(VLOOKUP(M1659,#REF!,3,0),0)</f>
        <v>0</v>
      </c>
      <c r="R1659" s="1394">
        <f t="shared" si="521"/>
        <v>0</v>
      </c>
      <c r="S1659" s="1394">
        <f>IFERROR(VLOOKUP(M1659,#REF!,6,0),0)</f>
        <v>0</v>
      </c>
      <c r="T1659" s="1394">
        <f t="shared" si="522"/>
        <v>0</v>
      </c>
      <c r="U1659" s="1394">
        <f>IFERROR(VLOOKUP(M1659,#REF!,5,0),0)</f>
        <v>0</v>
      </c>
      <c r="V1659" s="1394">
        <f t="shared" si="523"/>
        <v>0</v>
      </c>
      <c r="W1659" s="1394"/>
    </row>
    <row r="1660" spans="2:23" ht="30" customHeight="1">
      <c r="B1660" s="1407"/>
      <c r="C1660" s="1455" t="str">
        <f t="shared" si="525"/>
        <v>Cross wall between Toilet / Passage</v>
      </c>
      <c r="D1660" s="103">
        <f t="shared" si="526"/>
        <v>-1</v>
      </c>
      <c r="E1660" s="103">
        <f t="shared" si="527"/>
        <v>1</v>
      </c>
      <c r="F1660" s="1413">
        <f t="shared" si="527"/>
        <v>3.9</v>
      </c>
      <c r="G1660" s="1413"/>
      <c r="H1660" s="1414">
        <f>H1659</f>
        <v>0.1</v>
      </c>
      <c r="I1660" s="1425">
        <f t="shared" si="520"/>
        <v>-0.39</v>
      </c>
      <c r="M1660" s="110"/>
      <c r="Q1660" s="1394">
        <f>IFERROR(VLOOKUP(M1660,#REF!,3,0),0)</f>
        <v>0</v>
      </c>
      <c r="R1660" s="1394">
        <f t="shared" si="521"/>
        <v>0</v>
      </c>
      <c r="S1660" s="1394">
        <f>IFERROR(VLOOKUP(M1660,#REF!,6,0),0)</f>
        <v>0</v>
      </c>
      <c r="T1660" s="1394">
        <f t="shared" si="522"/>
        <v>0</v>
      </c>
      <c r="U1660" s="1394">
        <f>IFERROR(VLOOKUP(M1660,#REF!,5,0),0)</f>
        <v>0</v>
      </c>
      <c r="V1660" s="1394">
        <f t="shared" si="523"/>
        <v>0</v>
      </c>
      <c r="W1660" s="1394"/>
    </row>
    <row r="1661" spans="2:23" ht="30" customHeight="1">
      <c r="B1661" s="1407"/>
      <c r="C1661" s="1412" t="str">
        <f t="shared" si="525"/>
        <v>Property / Record</v>
      </c>
      <c r="D1661" s="103">
        <f t="shared" si="526"/>
        <v>0</v>
      </c>
      <c r="E1661" s="103">
        <f t="shared" si="527"/>
        <v>0</v>
      </c>
      <c r="F1661" s="1413">
        <f t="shared" si="527"/>
        <v>0</v>
      </c>
      <c r="G1661" s="1413"/>
      <c r="H1661" s="1414"/>
      <c r="I1661" s="1425">
        <f t="shared" si="520"/>
        <v>0</v>
      </c>
      <c r="M1661" s="110"/>
      <c r="Q1661" s="1394">
        <f>IFERROR(VLOOKUP(M1661,#REF!,3,0),0)</f>
        <v>0</v>
      </c>
      <c r="R1661" s="1394">
        <f t="shared" si="521"/>
        <v>0</v>
      </c>
      <c r="S1661" s="1394">
        <f>IFERROR(VLOOKUP(M1661,#REF!,6,0),0)</f>
        <v>0</v>
      </c>
      <c r="T1661" s="1394">
        <f t="shared" si="522"/>
        <v>0</v>
      </c>
      <c r="U1661" s="1394">
        <f>IFERROR(VLOOKUP(M1661,#REF!,5,0),0)</f>
        <v>0</v>
      </c>
      <c r="V1661" s="1394">
        <f t="shared" si="523"/>
        <v>0</v>
      </c>
      <c r="W1661" s="1394"/>
    </row>
    <row r="1662" spans="2:23" ht="30" customHeight="1">
      <c r="B1662" s="1407"/>
      <c r="C1662" s="1455" t="str">
        <f t="shared" si="525"/>
        <v>Cross wall between SProperty  Record / Hall</v>
      </c>
      <c r="D1662" s="103">
        <f t="shared" si="526"/>
        <v>-1</v>
      </c>
      <c r="E1662" s="103">
        <f t="shared" si="527"/>
        <v>1</v>
      </c>
      <c r="F1662" s="1413">
        <f t="shared" si="527"/>
        <v>1</v>
      </c>
      <c r="G1662" s="1413"/>
      <c r="H1662" s="1414">
        <f>H1660</f>
        <v>0.1</v>
      </c>
      <c r="I1662" s="1425">
        <f t="shared" si="520"/>
        <v>-0.1</v>
      </c>
      <c r="M1662" s="110"/>
      <c r="Q1662" s="1394">
        <f>IFERROR(VLOOKUP(M1662,#REF!,3,0),0)</f>
        <v>0</v>
      </c>
      <c r="R1662" s="1394">
        <f t="shared" si="521"/>
        <v>0</v>
      </c>
      <c r="S1662" s="1394">
        <f>IFERROR(VLOOKUP(M1662,#REF!,6,0),0)</f>
        <v>0</v>
      </c>
      <c r="T1662" s="1394">
        <f t="shared" si="522"/>
        <v>0</v>
      </c>
      <c r="U1662" s="1394">
        <f>IFERROR(VLOOKUP(M1662,#REF!,5,0),0)</f>
        <v>0</v>
      </c>
      <c r="V1662" s="1394">
        <f t="shared" si="523"/>
        <v>0</v>
      </c>
      <c r="W1662" s="1394"/>
    </row>
    <row r="1663" spans="2:23" ht="30" customHeight="1">
      <c r="B1663" s="1407"/>
      <c r="C1663" s="1455" t="str">
        <f t="shared" si="525"/>
        <v>C/B Wall</v>
      </c>
      <c r="D1663" s="103">
        <f t="shared" si="526"/>
        <v>-1</v>
      </c>
      <c r="E1663" s="103">
        <f t="shared" si="527"/>
        <v>1</v>
      </c>
      <c r="F1663" s="1413">
        <f t="shared" si="527"/>
        <v>0.6</v>
      </c>
      <c r="G1663" s="1413"/>
      <c r="H1663" s="1414">
        <f>H1662</f>
        <v>0.1</v>
      </c>
      <c r="I1663" s="1425">
        <f t="shared" si="520"/>
        <v>-0.06</v>
      </c>
      <c r="M1663" s="110"/>
      <c r="Q1663" s="1394">
        <f>IFERROR(VLOOKUP(M1663,#REF!,3,0),0)</f>
        <v>0</v>
      </c>
      <c r="R1663" s="1394">
        <f t="shared" si="521"/>
        <v>0</v>
      </c>
      <c r="S1663" s="1394">
        <f>IFERROR(VLOOKUP(M1663,#REF!,6,0),0)</f>
        <v>0</v>
      </c>
      <c r="T1663" s="1394">
        <f t="shared" si="522"/>
        <v>0</v>
      </c>
      <c r="U1663" s="1394">
        <f>IFERROR(VLOOKUP(M1663,#REF!,5,0),0)</f>
        <v>0</v>
      </c>
      <c r="V1663" s="1394">
        <f t="shared" si="523"/>
        <v>0</v>
      </c>
      <c r="W1663" s="1394"/>
    </row>
    <row r="1664" spans="2:23" ht="30" customHeight="1">
      <c r="B1664" s="1407"/>
      <c r="C1664" s="1455" t="str">
        <f t="shared" si="525"/>
        <v>Toilet wall</v>
      </c>
      <c r="D1664" s="103">
        <f t="shared" si="526"/>
        <v>-1</v>
      </c>
      <c r="E1664" s="103">
        <f t="shared" si="527"/>
        <v>1</v>
      </c>
      <c r="F1664" s="1413">
        <f t="shared" si="527"/>
        <v>1.2350000000000001</v>
      </c>
      <c r="G1664" s="1413"/>
      <c r="H1664" s="1414">
        <f t="shared" ref="H1664" si="530">H1663</f>
        <v>0.1</v>
      </c>
      <c r="I1664" s="1425">
        <f t="shared" si="520"/>
        <v>-0.12350000000000001</v>
      </c>
      <c r="M1664" s="110"/>
      <c r="Q1664" s="1394">
        <f>IFERROR(VLOOKUP(M1664,#REF!,3,0),0)</f>
        <v>0</v>
      </c>
      <c r="R1664" s="1394">
        <f t="shared" si="521"/>
        <v>0</v>
      </c>
      <c r="S1664" s="1394">
        <f>IFERROR(VLOOKUP(M1664,#REF!,6,0),0)</f>
        <v>0</v>
      </c>
      <c r="T1664" s="1394">
        <f t="shared" si="522"/>
        <v>0</v>
      </c>
      <c r="U1664" s="1394">
        <f>IFERROR(VLOOKUP(M1664,#REF!,5,0),0)</f>
        <v>0</v>
      </c>
      <c r="V1664" s="1394">
        <f t="shared" si="523"/>
        <v>0</v>
      </c>
      <c r="W1664" s="1394"/>
    </row>
    <row r="1665" spans="1:26" ht="30" customHeight="1">
      <c r="B1665" s="1407"/>
      <c r="C1665" s="1412"/>
      <c r="D1665" s="103"/>
      <c r="E1665" s="103"/>
      <c r="F1665" s="1413"/>
      <c r="G1665" s="1413"/>
      <c r="H1665" s="1424"/>
      <c r="I1665" s="1406">
        <f>J1666-J1665</f>
        <v>6.9380000000023756E-2</v>
      </c>
      <c r="J1665" s="1394">
        <f>SUM(I1602:I1664)</f>
        <v>91.330619999999968</v>
      </c>
      <c r="K1665" s="1394"/>
      <c r="Q1665" s="1394">
        <f>IFERROR(VLOOKUP(M1665,#REF!,3,0),0)</f>
        <v>0</v>
      </c>
      <c r="R1665" s="1394">
        <f t="shared" si="521"/>
        <v>0</v>
      </c>
      <c r="S1665" s="1394">
        <f>IFERROR(VLOOKUP(M1665,#REF!,6,0),0)</f>
        <v>0</v>
      </c>
      <c r="T1665" s="1394">
        <f t="shared" si="522"/>
        <v>0</v>
      </c>
      <c r="U1665" s="1394">
        <f>IFERROR(VLOOKUP(M1665,#REF!,5,0),0)</f>
        <v>0</v>
      </c>
      <c r="V1665" s="1394">
        <f t="shared" si="523"/>
        <v>0</v>
      </c>
      <c r="W1665" s="1394"/>
    </row>
    <row r="1666" spans="1:26" ht="30" customHeight="1">
      <c r="B1666" s="1407"/>
      <c r="C1666" s="1455"/>
      <c r="D1666" s="103"/>
      <c r="E1666" s="103"/>
      <c r="F1666" s="1413"/>
      <c r="G1666" s="1413"/>
      <c r="H1666" s="1424"/>
      <c r="I1666" s="1427">
        <f>+J1666</f>
        <v>91.399999999999991</v>
      </c>
      <c r="J1666" s="1394">
        <f>ROUNDUP(J1665,1)</f>
        <v>91.399999999999991</v>
      </c>
      <c r="K1666" s="1394"/>
      <c r="Q1666" s="1394">
        <f>IFERROR(VLOOKUP(M1666,#REF!,3,0),0)</f>
        <v>0</v>
      </c>
      <c r="R1666" s="1394">
        <f t="shared" si="521"/>
        <v>0</v>
      </c>
      <c r="S1666" s="1394">
        <f>IFERROR(VLOOKUP(M1666,#REF!,6,0),0)</f>
        <v>0</v>
      </c>
      <c r="T1666" s="1394">
        <f t="shared" si="522"/>
        <v>0</v>
      </c>
      <c r="U1666" s="1394">
        <f>IFERROR(VLOOKUP(M1666,#REF!,5,0),0)</f>
        <v>0</v>
      </c>
      <c r="V1666" s="1394">
        <f t="shared" si="523"/>
        <v>0</v>
      </c>
      <c r="W1666" s="1394"/>
    </row>
    <row r="1667" spans="1:26" ht="30" customHeight="1">
      <c r="B1667" s="1407"/>
      <c r="C1667" s="1455"/>
      <c r="D1667" s="103"/>
      <c r="E1667" s="103"/>
      <c r="F1667" s="1413"/>
      <c r="G1667" s="1483" t="s">
        <v>11</v>
      </c>
      <c r="H1667" s="1429">
        <f>I1666</f>
        <v>91.399999999999991</v>
      </c>
      <c r="I1667" s="1427" t="s">
        <v>26</v>
      </c>
      <c r="J1667" s="1394"/>
      <c r="K1667" s="1394"/>
      <c r="M1667" s="1426" t="str">
        <f>A1600</f>
        <v>c. In First Floor Brick partition work in C.M. 1:4 Kiln Burnt Country bricks of size 22 x 11 x 7 cm (8 3/4" x 4 1/4" x 2 3/4") 110 mm tk (B.P.)</v>
      </c>
      <c r="N1667" s="1426">
        <f>B1600</f>
        <v>0</v>
      </c>
      <c r="O1667" s="1394">
        <f>H1667</f>
        <v>91.399999999999991</v>
      </c>
      <c r="P1667" s="1394" t="str">
        <f>I1667</f>
        <v>Sqm</v>
      </c>
      <c r="Q1667" s="1394">
        <f>IFERROR(VLOOKUP(M1667,#REF!,3,0),0)</f>
        <v>0</v>
      </c>
      <c r="R1667" s="1394">
        <f t="shared" si="521"/>
        <v>0</v>
      </c>
      <c r="S1667" s="1394">
        <f>IFERROR(VLOOKUP(M1667,#REF!,6,0),0)</f>
        <v>0</v>
      </c>
      <c r="T1667" s="1394">
        <f t="shared" si="522"/>
        <v>0</v>
      </c>
      <c r="U1667" s="1394">
        <f>IFERROR(VLOOKUP(M1667,#REF!,5,0),0)</f>
        <v>0</v>
      </c>
      <c r="V1667" s="1394">
        <f t="shared" si="523"/>
        <v>91.399999999999991</v>
      </c>
      <c r="W1667" s="1394"/>
      <c r="Z1667" s="1394"/>
    </row>
    <row r="1668" spans="1:26" ht="30" customHeight="1">
      <c r="A1668" s="110" t="s">
        <v>350</v>
      </c>
      <c r="B1668" s="1407"/>
      <c r="C1668" s="1678" t="e">
        <f>VLOOKUP(A1668,#REF!,2,0)</f>
        <v>#REF!</v>
      </c>
      <c r="D1668" s="1678"/>
      <c r="E1668" s="1678"/>
      <c r="F1668" s="1678"/>
      <c r="G1668" s="1678"/>
      <c r="H1668" s="1678"/>
      <c r="I1668" s="1406"/>
      <c r="Q1668" s="1394">
        <f>IFERROR(VLOOKUP(M1668,#REF!,3,0),0)</f>
        <v>0</v>
      </c>
      <c r="R1668" s="1394">
        <f t="shared" si="521"/>
        <v>0</v>
      </c>
      <c r="S1668" s="1394">
        <f>IFERROR(VLOOKUP(M1668,#REF!,6,0),0)</f>
        <v>0</v>
      </c>
      <c r="T1668" s="1394">
        <f t="shared" si="522"/>
        <v>0</v>
      </c>
      <c r="U1668" s="1394">
        <f>IFERROR(VLOOKUP(M1668,#REF!,5,0),0)</f>
        <v>0</v>
      </c>
      <c r="V1668" s="1394">
        <f t="shared" si="523"/>
        <v>0</v>
      </c>
      <c r="W1668" s="1394"/>
      <c r="X1668" s="1397"/>
    </row>
    <row r="1669" spans="1:26" ht="30" customHeight="1">
      <c r="B1669" s="1407"/>
      <c r="C1669" s="1412"/>
      <c r="D1669" s="103"/>
      <c r="E1669" s="103"/>
      <c r="F1669" s="1413"/>
      <c r="G1669" s="1413"/>
      <c r="H1669" s="1414"/>
      <c r="I1669" s="1406"/>
      <c r="Q1669" s="1394">
        <f>IFERROR(VLOOKUP(M1669,#REF!,3,0),0)</f>
        <v>0</v>
      </c>
      <c r="R1669" s="1394">
        <f t="shared" si="521"/>
        <v>0</v>
      </c>
      <c r="S1669" s="1394">
        <f>IFERROR(VLOOKUP(M1669,#REF!,6,0),0)</f>
        <v>0</v>
      </c>
      <c r="T1669" s="1394">
        <f t="shared" si="522"/>
        <v>0</v>
      </c>
      <c r="U1669" s="1394">
        <f>IFERROR(VLOOKUP(M1669,#REF!,5,0),0)</f>
        <v>0</v>
      </c>
      <c r="V1669" s="1394">
        <f t="shared" si="523"/>
        <v>0</v>
      </c>
      <c r="W1669" s="1394"/>
    </row>
    <row r="1670" spans="1:26" ht="30" customHeight="1">
      <c r="B1670" s="1407"/>
      <c r="C1670" s="1412" t="s">
        <v>5628</v>
      </c>
      <c r="D1670" s="103"/>
      <c r="E1670" s="103"/>
      <c r="F1670" s="1413"/>
      <c r="G1670" s="1413"/>
      <c r="H1670" s="1414"/>
      <c r="I1670" s="1425">
        <f t="shared" ref="I1670:I1733" si="531">PRODUCT(D1670:H1670)</f>
        <v>0</v>
      </c>
      <c r="Q1670" s="1394">
        <f>IFERROR(VLOOKUP(M1670,#REF!,3,0),0)</f>
        <v>0</v>
      </c>
      <c r="R1670" s="1394">
        <f t="shared" si="521"/>
        <v>0</v>
      </c>
      <c r="S1670" s="1394">
        <f>IFERROR(VLOOKUP(M1670,#REF!,6,0),0)</f>
        <v>0</v>
      </c>
      <c r="T1670" s="1394">
        <f t="shared" si="522"/>
        <v>0</v>
      </c>
      <c r="U1670" s="1394">
        <f>IFERROR(VLOOKUP(M1670,#REF!,5,0),0)</f>
        <v>0</v>
      </c>
      <c r="V1670" s="1394">
        <f t="shared" si="523"/>
        <v>0</v>
      </c>
      <c r="W1670" s="1394"/>
    </row>
    <row r="1671" spans="1:26" ht="30" customHeight="1">
      <c r="B1671" s="1407"/>
      <c r="C1671" s="1455" t="s">
        <v>401</v>
      </c>
      <c r="D1671" s="103">
        <v>1</v>
      </c>
      <c r="E1671" s="103">
        <v>1</v>
      </c>
      <c r="F1671" s="1413">
        <v>0.6</v>
      </c>
      <c r="G1671" s="1413"/>
      <c r="H1671" s="1414">
        <v>2.1</v>
      </c>
      <c r="I1671" s="1425">
        <f t="shared" si="531"/>
        <v>1.26</v>
      </c>
      <c r="J1671" s="110">
        <f>2.85</f>
        <v>2.85</v>
      </c>
      <c r="L1671" s="110">
        <f>J1671-0.4</f>
        <v>2.4500000000000002</v>
      </c>
      <c r="Q1671" s="1394">
        <f>IFERROR(VLOOKUP(M1671,#REF!,3,0),0)</f>
        <v>0</v>
      </c>
      <c r="R1671" s="1394">
        <f t="shared" si="521"/>
        <v>0</v>
      </c>
      <c r="S1671" s="1394">
        <f>IFERROR(VLOOKUP(M1671,#REF!,6,0),0)</f>
        <v>0</v>
      </c>
      <c r="T1671" s="1394">
        <f t="shared" si="522"/>
        <v>0</v>
      </c>
      <c r="U1671" s="1394">
        <f>IFERROR(VLOOKUP(M1671,#REF!,5,0),0)</f>
        <v>0</v>
      </c>
      <c r="V1671" s="1394">
        <f t="shared" si="523"/>
        <v>0</v>
      </c>
      <c r="W1671" s="1394"/>
    </row>
    <row r="1672" spans="1:26" ht="30" customHeight="1">
      <c r="B1672" s="1407"/>
      <c r="C1672" s="1455" t="s">
        <v>5657</v>
      </c>
      <c r="D1672" s="103">
        <v>1</v>
      </c>
      <c r="E1672" s="103">
        <v>1</v>
      </c>
      <c r="F1672" s="1413">
        <v>1.5</v>
      </c>
      <c r="G1672" s="1413"/>
      <c r="H1672" s="1414">
        <f>H1630</f>
        <v>2.92</v>
      </c>
      <c r="I1672" s="1425">
        <f t="shared" si="531"/>
        <v>4.38</v>
      </c>
      <c r="Q1672" s="1394">
        <f>IFERROR(VLOOKUP(M1672,#REF!,3,0),0)</f>
        <v>0</v>
      </c>
      <c r="R1672" s="1394">
        <f t="shared" si="521"/>
        <v>0</v>
      </c>
      <c r="S1672" s="1394">
        <f>IFERROR(VLOOKUP(M1672,#REF!,6,0),0)</f>
        <v>0</v>
      </c>
      <c r="T1672" s="1394">
        <f t="shared" si="522"/>
        <v>0</v>
      </c>
      <c r="U1672" s="1394">
        <f>IFERROR(VLOOKUP(M1672,#REF!,5,0),0)</f>
        <v>0</v>
      </c>
      <c r="V1672" s="1394">
        <f t="shared" si="523"/>
        <v>0</v>
      </c>
      <c r="W1672" s="1394"/>
    </row>
    <row r="1673" spans="1:26" ht="30" customHeight="1">
      <c r="B1673" s="1407"/>
      <c r="C1673" s="1455" t="s">
        <v>5660</v>
      </c>
      <c r="D1673" s="103">
        <v>1</v>
      </c>
      <c r="E1673" s="103">
        <v>1</v>
      </c>
      <c r="F1673" s="1413">
        <v>1.5</v>
      </c>
      <c r="G1673" s="1413"/>
      <c r="H1673" s="1414">
        <f>H1672</f>
        <v>2.92</v>
      </c>
      <c r="I1673" s="1425">
        <f t="shared" si="531"/>
        <v>4.38</v>
      </c>
      <c r="Q1673" s="1394">
        <f>IFERROR(VLOOKUP(M1673,#REF!,3,0),0)</f>
        <v>0</v>
      </c>
      <c r="R1673" s="1394">
        <f t="shared" si="521"/>
        <v>0</v>
      </c>
      <c r="S1673" s="1394">
        <f>IFERROR(VLOOKUP(M1673,#REF!,6,0),0)</f>
        <v>0</v>
      </c>
      <c r="T1673" s="1394">
        <f t="shared" si="522"/>
        <v>0</v>
      </c>
      <c r="U1673" s="1394">
        <f>IFERROR(VLOOKUP(M1673,#REF!,5,0),0)</f>
        <v>0</v>
      </c>
      <c r="V1673" s="1394">
        <f t="shared" si="523"/>
        <v>0</v>
      </c>
      <c r="W1673" s="1394"/>
    </row>
    <row r="1674" spans="1:26" ht="30" customHeight="1">
      <c r="B1674" s="1407"/>
      <c r="C1674" s="1412" t="s">
        <v>5593</v>
      </c>
      <c r="D1674" s="103"/>
      <c r="E1674" s="103"/>
      <c r="F1674" s="1413"/>
      <c r="G1674" s="1413"/>
      <c r="H1674" s="1414"/>
      <c r="I1674" s="1425">
        <f t="shared" si="531"/>
        <v>0</v>
      </c>
      <c r="Q1674" s="1394">
        <f>IFERROR(VLOOKUP(M1674,#REF!,3,0),0)</f>
        <v>0</v>
      </c>
      <c r="R1674" s="1394">
        <f t="shared" si="521"/>
        <v>0</v>
      </c>
      <c r="S1674" s="1394">
        <f>IFERROR(VLOOKUP(M1674,#REF!,6,0),0)</f>
        <v>0</v>
      </c>
      <c r="T1674" s="1394">
        <f t="shared" si="522"/>
        <v>0</v>
      </c>
      <c r="U1674" s="1394">
        <f>IFERROR(VLOOKUP(M1674,#REF!,5,0),0)</f>
        <v>0</v>
      </c>
      <c r="V1674" s="1394">
        <f t="shared" si="523"/>
        <v>0</v>
      </c>
      <c r="W1674" s="1394"/>
    </row>
    <row r="1675" spans="1:26" ht="30" customHeight="1">
      <c r="B1675" s="1407"/>
      <c r="C1675" s="1455" t="s">
        <v>401</v>
      </c>
      <c r="D1675" s="103">
        <v>1</v>
      </c>
      <c r="E1675" s="103">
        <v>1</v>
      </c>
      <c r="F1675" s="1413">
        <v>0.6</v>
      </c>
      <c r="G1675" s="1413"/>
      <c r="H1675" s="1414">
        <v>2.1</v>
      </c>
      <c r="I1675" s="1425">
        <f t="shared" si="531"/>
        <v>1.26</v>
      </c>
      <c r="Q1675" s="1394">
        <f>IFERROR(VLOOKUP(M1675,#REF!,3,0),0)</f>
        <v>0</v>
      </c>
      <c r="R1675" s="1394">
        <f t="shared" si="521"/>
        <v>0</v>
      </c>
      <c r="S1675" s="1394">
        <f>IFERROR(VLOOKUP(M1675,#REF!,6,0),0)</f>
        <v>0</v>
      </c>
      <c r="T1675" s="1394">
        <f t="shared" si="522"/>
        <v>0</v>
      </c>
      <c r="U1675" s="1394">
        <f>IFERROR(VLOOKUP(M1675,#REF!,5,0),0)</f>
        <v>0</v>
      </c>
      <c r="V1675" s="1394">
        <f t="shared" si="523"/>
        <v>0</v>
      </c>
      <c r="W1675" s="1394"/>
    </row>
    <row r="1676" spans="1:26" ht="30" customHeight="1">
      <c r="B1676" s="1407"/>
      <c r="C1676" s="1455" t="s">
        <v>5658</v>
      </c>
      <c r="D1676" s="103">
        <v>1</v>
      </c>
      <c r="E1676" s="103">
        <v>1</v>
      </c>
      <c r="F1676" s="1413">
        <v>1.8</v>
      </c>
      <c r="G1676" s="1413"/>
      <c r="H1676" s="1414">
        <f>H1673</f>
        <v>2.92</v>
      </c>
      <c r="I1676" s="1425">
        <f t="shared" si="531"/>
        <v>5.2560000000000002</v>
      </c>
      <c r="Q1676" s="1394">
        <f>IFERROR(VLOOKUP(M1676,#REF!,3,0),0)</f>
        <v>0</v>
      </c>
      <c r="R1676" s="1394">
        <f t="shared" si="521"/>
        <v>0</v>
      </c>
      <c r="S1676" s="1394">
        <f>IFERROR(VLOOKUP(M1676,#REF!,6,0),0)</f>
        <v>0</v>
      </c>
      <c r="T1676" s="1394">
        <f t="shared" si="522"/>
        <v>0</v>
      </c>
      <c r="U1676" s="1394">
        <f>IFERROR(VLOOKUP(M1676,#REF!,5,0),0)</f>
        <v>0</v>
      </c>
      <c r="V1676" s="1394">
        <f t="shared" si="523"/>
        <v>0</v>
      </c>
      <c r="W1676" s="1394"/>
    </row>
    <row r="1677" spans="1:26" ht="30" customHeight="1">
      <c r="B1677" s="1407"/>
      <c r="C1677" s="1455" t="s">
        <v>5658</v>
      </c>
      <c r="D1677" s="103">
        <v>1</v>
      </c>
      <c r="E1677" s="103">
        <v>1</v>
      </c>
      <c r="F1677" s="1413">
        <v>3.2759999999999998</v>
      </c>
      <c r="G1677" s="1413"/>
      <c r="H1677" s="1414">
        <f>H1676</f>
        <v>2.92</v>
      </c>
      <c r="I1677" s="1425">
        <f t="shared" si="531"/>
        <v>9.5659199999999984</v>
      </c>
      <c r="Q1677" s="1394">
        <f>IFERROR(VLOOKUP(M1677,#REF!,3,0),0)</f>
        <v>0</v>
      </c>
      <c r="R1677" s="1394">
        <f t="shared" si="521"/>
        <v>0</v>
      </c>
      <c r="S1677" s="1394">
        <f>IFERROR(VLOOKUP(M1677,#REF!,6,0),0)</f>
        <v>0</v>
      </c>
      <c r="T1677" s="1394">
        <f t="shared" si="522"/>
        <v>0</v>
      </c>
      <c r="U1677" s="1394">
        <f>IFERROR(VLOOKUP(M1677,#REF!,5,0),0)</f>
        <v>0</v>
      </c>
      <c r="V1677" s="1394">
        <f t="shared" si="523"/>
        <v>0</v>
      </c>
      <c r="W1677" s="1394"/>
    </row>
    <row r="1678" spans="1:26" ht="30" customHeight="1">
      <c r="B1678" s="1407"/>
      <c r="C1678" s="1412" t="s">
        <v>5673</v>
      </c>
      <c r="D1678" s="103"/>
      <c r="E1678" s="103"/>
      <c r="F1678" s="1413"/>
      <c r="G1678" s="1413"/>
      <c r="H1678" s="1414"/>
      <c r="I1678" s="1425">
        <f t="shared" si="531"/>
        <v>0</v>
      </c>
      <c r="Q1678" s="1394">
        <f>IFERROR(VLOOKUP(M1678,#REF!,3,0),0)</f>
        <v>0</v>
      </c>
      <c r="R1678" s="1394">
        <f t="shared" si="521"/>
        <v>0</v>
      </c>
      <c r="S1678" s="1394">
        <f>IFERROR(VLOOKUP(M1678,#REF!,6,0),0)</f>
        <v>0</v>
      </c>
      <c r="T1678" s="1394">
        <f t="shared" si="522"/>
        <v>0</v>
      </c>
      <c r="U1678" s="1394">
        <f>IFERROR(VLOOKUP(M1678,#REF!,5,0),0)</f>
        <v>0</v>
      </c>
      <c r="V1678" s="1394">
        <f t="shared" si="523"/>
        <v>0</v>
      </c>
      <c r="W1678" s="1394"/>
    </row>
    <row r="1679" spans="1:26" ht="30" customHeight="1">
      <c r="B1679" s="1407"/>
      <c r="C1679" s="1455" t="s">
        <v>5664</v>
      </c>
      <c r="D1679" s="103">
        <v>1</v>
      </c>
      <c r="E1679" s="103">
        <v>1</v>
      </c>
      <c r="F1679" s="1413">
        <v>0.6</v>
      </c>
      <c r="G1679" s="1413"/>
      <c r="H1679" s="1414">
        <v>2.1</v>
      </c>
      <c r="I1679" s="1425">
        <f t="shared" si="531"/>
        <v>1.26</v>
      </c>
      <c r="Q1679" s="1394">
        <f>IFERROR(VLOOKUP(M1679,#REF!,3,0),0)</f>
        <v>0</v>
      </c>
      <c r="R1679" s="1394">
        <f t="shared" si="521"/>
        <v>0</v>
      </c>
      <c r="S1679" s="1394">
        <f>IFERROR(VLOOKUP(M1679,#REF!,6,0),0)</f>
        <v>0</v>
      </c>
      <c r="T1679" s="1394">
        <f t="shared" si="522"/>
        <v>0</v>
      </c>
      <c r="U1679" s="1394">
        <f>IFERROR(VLOOKUP(M1679,#REF!,5,0),0)</f>
        <v>0</v>
      </c>
      <c r="V1679" s="1394">
        <f t="shared" si="523"/>
        <v>0</v>
      </c>
      <c r="W1679" s="1394"/>
    </row>
    <row r="1680" spans="1:26" ht="30" customHeight="1">
      <c r="B1680" s="1407"/>
      <c r="C1680" s="1455" t="s">
        <v>5665</v>
      </c>
      <c r="D1680" s="103">
        <v>1</v>
      </c>
      <c r="E1680" s="103">
        <v>1</v>
      </c>
      <c r="F1680" s="1413">
        <v>1.5</v>
      </c>
      <c r="G1680" s="1413"/>
      <c r="H1680" s="1414">
        <f>H1677</f>
        <v>2.92</v>
      </c>
      <c r="I1680" s="1425">
        <f t="shared" si="531"/>
        <v>4.38</v>
      </c>
      <c r="M1680" s="110"/>
      <c r="Q1680" s="1394">
        <f>IFERROR(VLOOKUP(M1680,#REF!,3,0),0)</f>
        <v>0</v>
      </c>
      <c r="R1680" s="1394">
        <f t="shared" si="521"/>
        <v>0</v>
      </c>
      <c r="S1680" s="1394">
        <f>IFERROR(VLOOKUP(M1680,#REF!,6,0),0)</f>
        <v>0</v>
      </c>
      <c r="T1680" s="1394">
        <f t="shared" si="522"/>
        <v>0</v>
      </c>
      <c r="U1680" s="1394">
        <f>IFERROR(VLOOKUP(M1680,#REF!,5,0),0)</f>
        <v>0</v>
      </c>
      <c r="V1680" s="1394">
        <f t="shared" si="523"/>
        <v>0</v>
      </c>
      <c r="W1680" s="1394"/>
    </row>
    <row r="1681" spans="2:23" ht="30" customHeight="1">
      <c r="B1681" s="1407"/>
      <c r="C1681" s="1455" t="s">
        <v>5666</v>
      </c>
      <c r="D1681" s="103">
        <v>1</v>
      </c>
      <c r="E1681" s="103">
        <v>1</v>
      </c>
      <c r="F1681" s="1413">
        <v>1.5</v>
      </c>
      <c r="G1681" s="1413"/>
      <c r="H1681" s="1414">
        <f>H1680</f>
        <v>2.92</v>
      </c>
      <c r="I1681" s="1425">
        <f t="shared" si="531"/>
        <v>4.38</v>
      </c>
      <c r="M1681" s="110"/>
      <c r="Q1681" s="1394">
        <f>IFERROR(VLOOKUP(M1681,#REF!,3,0),0)</f>
        <v>0</v>
      </c>
      <c r="R1681" s="1394">
        <f t="shared" si="521"/>
        <v>0</v>
      </c>
      <c r="S1681" s="1394">
        <f>IFERROR(VLOOKUP(M1681,#REF!,6,0),0)</f>
        <v>0</v>
      </c>
      <c r="T1681" s="1394">
        <f t="shared" si="522"/>
        <v>0</v>
      </c>
      <c r="U1681" s="1394">
        <f>IFERROR(VLOOKUP(M1681,#REF!,5,0),0)</f>
        <v>0</v>
      </c>
      <c r="V1681" s="1394">
        <f t="shared" si="523"/>
        <v>0</v>
      </c>
      <c r="W1681" s="1394"/>
    </row>
    <row r="1682" spans="2:23" ht="30" customHeight="1">
      <c r="B1682" s="1407"/>
      <c r="C1682" s="1412" t="s">
        <v>5661</v>
      </c>
      <c r="D1682" s="103"/>
      <c r="E1682" s="103"/>
      <c r="F1682" s="1413"/>
      <c r="G1682" s="1413"/>
      <c r="H1682" s="1414"/>
      <c r="I1682" s="1425">
        <f t="shared" si="531"/>
        <v>0</v>
      </c>
      <c r="M1682" s="110"/>
      <c r="Q1682" s="1394">
        <f>IFERROR(VLOOKUP(M1682,#REF!,3,0),0)</f>
        <v>0</v>
      </c>
      <c r="R1682" s="1394">
        <f t="shared" si="521"/>
        <v>0</v>
      </c>
      <c r="S1682" s="1394">
        <f>IFERROR(VLOOKUP(M1682,#REF!,6,0),0)</f>
        <v>0</v>
      </c>
      <c r="T1682" s="1394">
        <f t="shared" si="522"/>
        <v>0</v>
      </c>
      <c r="U1682" s="1394">
        <f>IFERROR(VLOOKUP(M1682,#REF!,5,0),0)</f>
        <v>0</v>
      </c>
      <c r="V1682" s="1394">
        <f t="shared" si="523"/>
        <v>0</v>
      </c>
      <c r="W1682" s="1394"/>
    </row>
    <row r="1683" spans="2:23" ht="30" customHeight="1">
      <c r="B1683" s="1407"/>
      <c r="C1683" s="1455" t="s">
        <v>5662</v>
      </c>
      <c r="D1683" s="103">
        <v>1</v>
      </c>
      <c r="E1683" s="103">
        <v>1</v>
      </c>
      <c r="F1683" s="1413">
        <f>1.015+1.415</f>
        <v>2.4299999999999997</v>
      </c>
      <c r="G1683" s="1413"/>
      <c r="H1683" s="1414">
        <v>1.35</v>
      </c>
      <c r="I1683" s="1425">
        <f t="shared" si="531"/>
        <v>3.2805</v>
      </c>
      <c r="M1683" s="110"/>
      <c r="Q1683" s="1394">
        <f>IFERROR(VLOOKUP(M1683,#REF!,3,0),0)</f>
        <v>0</v>
      </c>
      <c r="R1683" s="1394">
        <f t="shared" si="521"/>
        <v>0</v>
      </c>
      <c r="S1683" s="1394">
        <f>IFERROR(VLOOKUP(M1683,#REF!,6,0),0)</f>
        <v>0</v>
      </c>
      <c r="T1683" s="1394">
        <f t="shared" si="522"/>
        <v>0</v>
      </c>
      <c r="U1683" s="1394">
        <f>IFERROR(VLOOKUP(M1683,#REF!,5,0),0)</f>
        <v>0</v>
      </c>
      <c r="V1683" s="1394">
        <f t="shared" si="523"/>
        <v>0</v>
      </c>
      <c r="W1683" s="1394"/>
    </row>
    <row r="1684" spans="2:23" ht="30" customHeight="1">
      <c r="B1684" s="1407"/>
      <c r="C1684" s="1412" t="s">
        <v>5663</v>
      </c>
      <c r="D1684" s="103"/>
      <c r="E1684" s="103"/>
      <c r="F1684" s="1413"/>
      <c r="G1684" s="1413"/>
      <c r="H1684" s="1414"/>
      <c r="I1684" s="1425">
        <f t="shared" si="531"/>
        <v>0</v>
      </c>
      <c r="M1684" s="110"/>
      <c r="Q1684" s="1394">
        <f>IFERROR(VLOOKUP(M1684,#REF!,3,0),0)</f>
        <v>0</v>
      </c>
      <c r="R1684" s="1394">
        <f t="shared" si="521"/>
        <v>0</v>
      </c>
      <c r="S1684" s="1394">
        <f>IFERROR(VLOOKUP(M1684,#REF!,6,0),0)</f>
        <v>0</v>
      </c>
      <c r="T1684" s="1394">
        <f t="shared" si="522"/>
        <v>0</v>
      </c>
      <c r="U1684" s="1394">
        <f>IFERROR(VLOOKUP(M1684,#REF!,5,0),0)</f>
        <v>0</v>
      </c>
      <c r="V1684" s="1394">
        <f t="shared" si="523"/>
        <v>0</v>
      </c>
      <c r="W1684" s="1394"/>
    </row>
    <row r="1685" spans="2:23" ht="30" customHeight="1">
      <c r="B1685" s="1407"/>
      <c r="C1685" s="1455" t="s">
        <v>5662</v>
      </c>
      <c r="D1685" s="103">
        <v>1</v>
      </c>
      <c r="E1685" s="103">
        <v>1</v>
      </c>
      <c r="F1685" s="1413">
        <f>1.015+1.415</f>
        <v>2.4299999999999997</v>
      </c>
      <c r="G1685" s="1413"/>
      <c r="H1685" s="1414">
        <v>1.35</v>
      </c>
      <c r="I1685" s="1425">
        <f t="shared" si="531"/>
        <v>3.2805</v>
      </c>
      <c r="M1685" s="110"/>
      <c r="Q1685" s="1394">
        <f>IFERROR(VLOOKUP(M1685,#REF!,3,0),0)</f>
        <v>0</v>
      </c>
      <c r="R1685" s="1394">
        <f t="shared" si="521"/>
        <v>0</v>
      </c>
      <c r="S1685" s="1394">
        <f>IFERROR(VLOOKUP(M1685,#REF!,6,0),0)</f>
        <v>0</v>
      </c>
      <c r="T1685" s="1394">
        <f t="shared" si="522"/>
        <v>0</v>
      </c>
      <c r="U1685" s="1394">
        <f>IFERROR(VLOOKUP(M1685,#REF!,5,0),0)</f>
        <v>0</v>
      </c>
      <c r="V1685" s="1394">
        <f t="shared" si="523"/>
        <v>0</v>
      </c>
      <c r="W1685" s="1394"/>
    </row>
    <row r="1686" spans="2:23" ht="30" customHeight="1">
      <c r="B1686" s="1407"/>
      <c r="C1686" s="1412" t="s">
        <v>5674</v>
      </c>
      <c r="D1686" s="103"/>
      <c r="E1686" s="103"/>
      <c r="F1686" s="1413"/>
      <c r="G1686" s="1413"/>
      <c r="H1686" s="1414"/>
      <c r="I1686" s="1425">
        <f t="shared" si="531"/>
        <v>0</v>
      </c>
      <c r="M1686" s="110"/>
      <c r="Q1686" s="1394">
        <f>IFERROR(VLOOKUP(M1686,#REF!,3,0),0)</f>
        <v>0</v>
      </c>
      <c r="R1686" s="1394">
        <f t="shared" si="521"/>
        <v>0</v>
      </c>
      <c r="S1686" s="1394">
        <f>IFERROR(VLOOKUP(M1686,#REF!,6,0),0)</f>
        <v>0</v>
      </c>
      <c r="T1686" s="1394">
        <f t="shared" si="522"/>
        <v>0</v>
      </c>
      <c r="U1686" s="1394">
        <f>IFERROR(VLOOKUP(M1686,#REF!,5,0),0)</f>
        <v>0</v>
      </c>
      <c r="V1686" s="1394">
        <f t="shared" si="523"/>
        <v>0</v>
      </c>
      <c r="W1686" s="1394"/>
    </row>
    <row r="1687" spans="2:23" ht="30" customHeight="1">
      <c r="B1687" s="1407"/>
      <c r="C1687" s="1455" t="s">
        <v>5664</v>
      </c>
      <c r="D1687" s="103">
        <v>1</v>
      </c>
      <c r="E1687" s="103">
        <v>1</v>
      </c>
      <c r="F1687" s="1413">
        <v>0.6</v>
      </c>
      <c r="G1687" s="1413"/>
      <c r="H1687" s="1414">
        <v>2.1</v>
      </c>
      <c r="I1687" s="1425">
        <f t="shared" si="531"/>
        <v>1.26</v>
      </c>
      <c r="M1687" s="110"/>
      <c r="Q1687" s="1394">
        <f>IFERROR(VLOOKUP(M1687,#REF!,3,0),0)</f>
        <v>0</v>
      </c>
      <c r="R1687" s="1394">
        <f t="shared" si="521"/>
        <v>0</v>
      </c>
      <c r="S1687" s="1394">
        <f>IFERROR(VLOOKUP(M1687,#REF!,6,0),0)</f>
        <v>0</v>
      </c>
      <c r="T1687" s="1394">
        <f t="shared" si="522"/>
        <v>0</v>
      </c>
      <c r="U1687" s="1394">
        <f>IFERROR(VLOOKUP(M1687,#REF!,5,0),0)</f>
        <v>0</v>
      </c>
      <c r="V1687" s="1394">
        <f t="shared" si="523"/>
        <v>0</v>
      </c>
      <c r="W1687" s="1394"/>
    </row>
    <row r="1688" spans="2:23" ht="30" customHeight="1">
      <c r="B1688" s="1407"/>
      <c r="C1688" s="1455" t="s">
        <v>5667</v>
      </c>
      <c r="D1688" s="103">
        <v>1</v>
      </c>
      <c r="E1688" s="103">
        <v>1</v>
      </c>
      <c r="F1688" s="1413">
        <v>1.1000000000000001</v>
      </c>
      <c r="G1688" s="1413"/>
      <c r="H1688" s="1414">
        <f>H1681</f>
        <v>2.92</v>
      </c>
      <c r="I1688" s="1425">
        <f t="shared" si="531"/>
        <v>3.2120000000000002</v>
      </c>
      <c r="M1688" s="110"/>
      <c r="Q1688" s="1394">
        <f>IFERROR(VLOOKUP(M1688,#REF!,3,0),0)</f>
        <v>0</v>
      </c>
      <c r="R1688" s="1394">
        <f t="shared" si="521"/>
        <v>0</v>
      </c>
      <c r="S1688" s="1394">
        <f>IFERROR(VLOOKUP(M1688,#REF!,6,0),0)</f>
        <v>0</v>
      </c>
      <c r="T1688" s="1394">
        <f t="shared" si="522"/>
        <v>0</v>
      </c>
      <c r="U1688" s="1394">
        <f>IFERROR(VLOOKUP(M1688,#REF!,5,0),0)</f>
        <v>0</v>
      </c>
      <c r="V1688" s="1394">
        <f t="shared" si="523"/>
        <v>0</v>
      </c>
      <c r="W1688" s="1394"/>
    </row>
    <row r="1689" spans="2:23" ht="30" customHeight="1">
      <c r="B1689" s="1407"/>
      <c r="C1689" s="1455" t="s">
        <v>5665</v>
      </c>
      <c r="D1689" s="103">
        <v>1</v>
      </c>
      <c r="E1689" s="103">
        <v>1</v>
      </c>
      <c r="F1689" s="1413">
        <v>1.5</v>
      </c>
      <c r="G1689" s="1413"/>
      <c r="H1689" s="1414">
        <f>H1688</f>
        <v>2.92</v>
      </c>
      <c r="I1689" s="1425">
        <f t="shared" si="531"/>
        <v>4.38</v>
      </c>
      <c r="M1689" s="110"/>
      <c r="Q1689" s="1394">
        <f>IFERROR(VLOOKUP(M1689,#REF!,3,0),0)</f>
        <v>0</v>
      </c>
      <c r="R1689" s="1394">
        <f t="shared" si="521"/>
        <v>0</v>
      </c>
      <c r="S1689" s="1394">
        <f>IFERROR(VLOOKUP(M1689,#REF!,6,0),0)</f>
        <v>0</v>
      </c>
      <c r="T1689" s="1394">
        <f t="shared" si="522"/>
        <v>0</v>
      </c>
      <c r="U1689" s="1394">
        <f>IFERROR(VLOOKUP(M1689,#REF!,5,0),0)</f>
        <v>0</v>
      </c>
      <c r="V1689" s="1394">
        <f t="shared" si="523"/>
        <v>0</v>
      </c>
      <c r="W1689" s="1394"/>
    </row>
    <row r="1690" spans="2:23" ht="30" customHeight="1">
      <c r="B1690" s="1407"/>
      <c r="C1690" s="1455" t="s">
        <v>5675</v>
      </c>
      <c r="D1690" s="103">
        <v>1</v>
      </c>
      <c r="E1690" s="103">
        <v>1</v>
      </c>
      <c r="F1690" s="1413">
        <v>0.6</v>
      </c>
      <c r="G1690" s="1413"/>
      <c r="H1690" s="1414">
        <f>H1689</f>
        <v>2.92</v>
      </c>
      <c r="I1690" s="1425">
        <f t="shared" si="531"/>
        <v>1.752</v>
      </c>
      <c r="M1690" s="110"/>
      <c r="Q1690" s="1394">
        <f>IFERROR(VLOOKUP(M1690,#REF!,3,0),0)</f>
        <v>0</v>
      </c>
      <c r="R1690" s="1394">
        <f t="shared" si="521"/>
        <v>0</v>
      </c>
      <c r="S1690" s="1394">
        <f>IFERROR(VLOOKUP(M1690,#REF!,6,0),0)</f>
        <v>0</v>
      </c>
      <c r="T1690" s="1394">
        <f t="shared" si="522"/>
        <v>0</v>
      </c>
      <c r="U1690" s="1394">
        <f>IFERROR(VLOOKUP(M1690,#REF!,5,0),0)</f>
        <v>0</v>
      </c>
      <c r="V1690" s="1394">
        <f t="shared" si="523"/>
        <v>0</v>
      </c>
      <c r="W1690" s="1394"/>
    </row>
    <row r="1691" spans="2:23" ht="30" customHeight="1">
      <c r="B1691" s="1407"/>
      <c r="C1691" s="1412" t="s">
        <v>5591</v>
      </c>
      <c r="D1691" s="103"/>
      <c r="E1691" s="103"/>
      <c r="F1691" s="1413"/>
      <c r="G1691" s="1413"/>
      <c r="H1691" s="1414"/>
      <c r="I1691" s="1425">
        <f t="shared" si="531"/>
        <v>0</v>
      </c>
      <c r="M1691" s="110"/>
      <c r="Q1691" s="1394">
        <f>IFERROR(VLOOKUP(M1691,#REF!,3,0),0)</f>
        <v>0</v>
      </c>
      <c r="R1691" s="1394">
        <f t="shared" si="521"/>
        <v>0</v>
      </c>
      <c r="S1691" s="1394">
        <f>IFERROR(VLOOKUP(M1691,#REF!,6,0),0)</f>
        <v>0</v>
      </c>
      <c r="T1691" s="1394">
        <f t="shared" si="522"/>
        <v>0</v>
      </c>
      <c r="U1691" s="1394">
        <f>IFERROR(VLOOKUP(M1691,#REF!,5,0),0)</f>
        <v>0</v>
      </c>
      <c r="V1691" s="1394">
        <f t="shared" si="523"/>
        <v>0</v>
      </c>
      <c r="W1691" s="1394"/>
    </row>
    <row r="1692" spans="2:23" ht="30" customHeight="1">
      <c r="B1692" s="1407"/>
      <c r="C1692" s="1455" t="s">
        <v>5664</v>
      </c>
      <c r="D1692" s="103">
        <v>1</v>
      </c>
      <c r="E1692" s="103">
        <v>1</v>
      </c>
      <c r="F1692" s="1413">
        <v>0.6</v>
      </c>
      <c r="G1692" s="1413"/>
      <c r="H1692" s="1414">
        <v>2.1</v>
      </c>
      <c r="I1692" s="1425">
        <f t="shared" si="531"/>
        <v>1.26</v>
      </c>
      <c r="M1692" s="110"/>
      <c r="Q1692" s="1394">
        <f>IFERROR(VLOOKUP(M1692,#REF!,3,0),0)</f>
        <v>0</v>
      </c>
      <c r="R1692" s="1394">
        <f t="shared" si="521"/>
        <v>0</v>
      </c>
      <c r="S1692" s="1394">
        <f>IFERROR(VLOOKUP(M1692,#REF!,6,0),0)</f>
        <v>0</v>
      </c>
      <c r="T1692" s="1394">
        <f t="shared" si="522"/>
        <v>0</v>
      </c>
      <c r="U1692" s="1394">
        <f>IFERROR(VLOOKUP(M1692,#REF!,5,0),0)</f>
        <v>0</v>
      </c>
      <c r="V1692" s="1394">
        <f t="shared" si="523"/>
        <v>0</v>
      </c>
      <c r="W1692" s="1394"/>
    </row>
    <row r="1693" spans="2:23" ht="30" customHeight="1">
      <c r="B1693" s="1407"/>
      <c r="C1693" s="1455" t="s">
        <v>5676</v>
      </c>
      <c r="D1693" s="103">
        <v>1</v>
      </c>
      <c r="E1693" s="103">
        <v>1</v>
      </c>
      <c r="F1693" s="1413">
        <v>2.7450000000000001</v>
      </c>
      <c r="G1693" s="1413"/>
      <c r="H1693" s="1414">
        <f>H1688</f>
        <v>2.92</v>
      </c>
      <c r="I1693" s="1425">
        <f t="shared" si="531"/>
        <v>8.0153999999999996</v>
      </c>
      <c r="M1693" s="110"/>
      <c r="Q1693" s="1394">
        <f>IFERROR(VLOOKUP(M1693,#REF!,3,0),0)</f>
        <v>0</v>
      </c>
      <c r="R1693" s="1394">
        <f t="shared" si="521"/>
        <v>0</v>
      </c>
      <c r="S1693" s="1394">
        <f>IFERROR(VLOOKUP(M1693,#REF!,6,0),0)</f>
        <v>0</v>
      </c>
      <c r="T1693" s="1394">
        <f t="shared" si="522"/>
        <v>0</v>
      </c>
      <c r="U1693" s="1394">
        <f>IFERROR(VLOOKUP(M1693,#REF!,5,0),0)</f>
        <v>0</v>
      </c>
      <c r="V1693" s="1394">
        <f t="shared" si="523"/>
        <v>0</v>
      </c>
      <c r="W1693" s="1394"/>
    </row>
    <row r="1694" spans="2:23" ht="30" customHeight="1">
      <c r="B1694" s="1407"/>
      <c r="C1694" s="1455" t="s">
        <v>5677</v>
      </c>
      <c r="D1694" s="103">
        <v>1</v>
      </c>
      <c r="E1694" s="103">
        <v>1</v>
      </c>
      <c r="F1694" s="1413">
        <v>2.4350000000000001</v>
      </c>
      <c r="G1694" s="1413"/>
      <c r="H1694" s="1414">
        <f>H1689</f>
        <v>2.92</v>
      </c>
      <c r="I1694" s="1425">
        <f t="shared" si="531"/>
        <v>7.1101999999999999</v>
      </c>
      <c r="M1694" s="110"/>
      <c r="Q1694" s="1394">
        <f>IFERROR(VLOOKUP(M1694,#REF!,3,0),0)</f>
        <v>0</v>
      </c>
      <c r="R1694" s="1394">
        <f t="shared" si="521"/>
        <v>0</v>
      </c>
      <c r="S1694" s="1394">
        <f>IFERROR(VLOOKUP(M1694,#REF!,6,0),0)</f>
        <v>0</v>
      </c>
      <c r="T1694" s="1394">
        <f t="shared" si="522"/>
        <v>0</v>
      </c>
      <c r="U1694" s="1394">
        <f>IFERROR(VLOOKUP(M1694,#REF!,5,0),0)</f>
        <v>0</v>
      </c>
      <c r="V1694" s="1394">
        <f t="shared" si="523"/>
        <v>0</v>
      </c>
      <c r="W1694" s="1394"/>
    </row>
    <row r="1695" spans="2:23" ht="30" customHeight="1">
      <c r="B1695" s="1407"/>
      <c r="C1695" s="1412" t="s">
        <v>5678</v>
      </c>
      <c r="D1695" s="103"/>
      <c r="E1695" s="103"/>
      <c r="F1695" s="1413"/>
      <c r="G1695" s="1413"/>
      <c r="H1695" s="1414"/>
      <c r="I1695" s="1425">
        <f t="shared" si="531"/>
        <v>0</v>
      </c>
      <c r="M1695" s="110"/>
      <c r="Q1695" s="1394">
        <f>IFERROR(VLOOKUP(M1695,#REF!,3,0),0)</f>
        <v>0</v>
      </c>
      <c r="R1695" s="1394">
        <f t="shared" si="521"/>
        <v>0</v>
      </c>
      <c r="S1695" s="1394">
        <f>IFERROR(VLOOKUP(M1695,#REF!,6,0),0)</f>
        <v>0</v>
      </c>
      <c r="T1695" s="1394">
        <f t="shared" si="522"/>
        <v>0</v>
      </c>
      <c r="U1695" s="1394">
        <f>IFERROR(VLOOKUP(M1695,#REF!,5,0),0)</f>
        <v>0</v>
      </c>
      <c r="V1695" s="1394">
        <f t="shared" si="523"/>
        <v>0</v>
      </c>
      <c r="W1695" s="1394"/>
    </row>
    <row r="1696" spans="2:23" ht="30" customHeight="1">
      <c r="B1696" s="1407"/>
      <c r="C1696" s="1455" t="s">
        <v>5679</v>
      </c>
      <c r="D1696" s="103">
        <v>1</v>
      </c>
      <c r="E1696" s="103">
        <v>1</v>
      </c>
      <c r="F1696" s="1413">
        <v>1.85</v>
      </c>
      <c r="G1696" s="1413"/>
      <c r="H1696" s="1414">
        <f>H1693</f>
        <v>2.92</v>
      </c>
      <c r="I1696" s="1425">
        <f t="shared" si="531"/>
        <v>5.4020000000000001</v>
      </c>
      <c r="M1696" s="110"/>
      <c r="Q1696" s="1394">
        <f>IFERROR(VLOOKUP(M1696,#REF!,3,0),0)</f>
        <v>0</v>
      </c>
      <c r="R1696" s="1394">
        <f t="shared" si="521"/>
        <v>0</v>
      </c>
      <c r="S1696" s="1394">
        <f>IFERROR(VLOOKUP(M1696,#REF!,6,0),0)</f>
        <v>0</v>
      </c>
      <c r="T1696" s="1394">
        <f t="shared" si="522"/>
        <v>0</v>
      </c>
      <c r="U1696" s="1394">
        <f>IFERROR(VLOOKUP(M1696,#REF!,5,0),0)</f>
        <v>0</v>
      </c>
      <c r="V1696" s="1394">
        <f t="shared" si="523"/>
        <v>0</v>
      </c>
      <c r="W1696" s="1394"/>
    </row>
    <row r="1697" spans="2:23" ht="30" customHeight="1">
      <c r="B1697" s="1407"/>
      <c r="C1697" s="1455" t="s">
        <v>5680</v>
      </c>
      <c r="D1697" s="103">
        <v>1</v>
      </c>
      <c r="E1697" s="103">
        <v>1</v>
      </c>
      <c r="F1697" s="1413">
        <v>2</v>
      </c>
      <c r="G1697" s="1413"/>
      <c r="H1697" s="1414">
        <f>H1696</f>
        <v>2.92</v>
      </c>
      <c r="I1697" s="1425">
        <f t="shared" si="531"/>
        <v>5.84</v>
      </c>
      <c r="M1697" s="110"/>
      <c r="Q1697" s="1394">
        <f>IFERROR(VLOOKUP(M1697,#REF!,3,0),0)</f>
        <v>0</v>
      </c>
      <c r="R1697" s="1394">
        <f t="shared" si="521"/>
        <v>0</v>
      </c>
      <c r="S1697" s="1394">
        <f>IFERROR(VLOOKUP(M1697,#REF!,6,0),0)</f>
        <v>0</v>
      </c>
      <c r="T1697" s="1394">
        <f t="shared" si="522"/>
        <v>0</v>
      </c>
      <c r="U1697" s="1394">
        <f>IFERROR(VLOOKUP(M1697,#REF!,5,0),0)</f>
        <v>0</v>
      </c>
      <c r="V1697" s="1394">
        <f t="shared" si="523"/>
        <v>0</v>
      </c>
      <c r="W1697" s="1394"/>
    </row>
    <row r="1698" spans="2:23" ht="30" customHeight="1">
      <c r="B1698" s="1407"/>
      <c r="C1698" s="1455" t="s">
        <v>5664</v>
      </c>
      <c r="D1698" s="103">
        <v>1</v>
      </c>
      <c r="E1698" s="103">
        <v>1</v>
      </c>
      <c r="F1698" s="1413">
        <v>0.6</v>
      </c>
      <c r="G1698" s="1413"/>
      <c r="H1698" s="1414">
        <v>2.1</v>
      </c>
      <c r="I1698" s="1425">
        <f t="shared" si="531"/>
        <v>1.26</v>
      </c>
      <c r="M1698" s="110"/>
      <c r="Q1698" s="1394">
        <f>IFERROR(VLOOKUP(M1698,#REF!,3,0),0)</f>
        <v>0</v>
      </c>
      <c r="R1698" s="1394">
        <f t="shared" si="521"/>
        <v>0</v>
      </c>
      <c r="S1698" s="1394">
        <f>IFERROR(VLOOKUP(M1698,#REF!,6,0),0)</f>
        <v>0</v>
      </c>
      <c r="T1698" s="1394">
        <f t="shared" si="522"/>
        <v>0</v>
      </c>
      <c r="U1698" s="1394">
        <f>IFERROR(VLOOKUP(M1698,#REF!,5,0),0)</f>
        <v>0</v>
      </c>
      <c r="V1698" s="1394">
        <f t="shared" si="523"/>
        <v>0</v>
      </c>
      <c r="W1698" s="1394"/>
    </row>
    <row r="1699" spans="2:23" ht="30" customHeight="1">
      <c r="B1699" s="1407"/>
      <c r="C1699" s="1412" t="s">
        <v>5763</v>
      </c>
      <c r="D1699" s="103"/>
      <c r="E1699" s="103"/>
      <c r="F1699" s="1413"/>
      <c r="G1699" s="1413"/>
      <c r="H1699" s="1414"/>
      <c r="I1699" s="1425">
        <f t="shared" si="531"/>
        <v>0</v>
      </c>
      <c r="M1699" s="110"/>
      <c r="Q1699" s="1394">
        <f>IFERROR(VLOOKUP(M1699,#REF!,3,0),0)</f>
        <v>0</v>
      </c>
      <c r="R1699" s="1394">
        <f t="shared" si="521"/>
        <v>0</v>
      </c>
      <c r="S1699" s="1394">
        <f>IFERROR(VLOOKUP(M1699,#REF!,6,0),0)</f>
        <v>0</v>
      </c>
      <c r="T1699" s="1394">
        <f t="shared" si="522"/>
        <v>0</v>
      </c>
      <c r="U1699" s="1394">
        <f>IFERROR(VLOOKUP(M1699,#REF!,5,0),0)</f>
        <v>0</v>
      </c>
      <c r="V1699" s="1394">
        <f t="shared" si="523"/>
        <v>0</v>
      </c>
      <c r="W1699" s="1394"/>
    </row>
    <row r="1700" spans="2:23" ht="30" customHeight="1">
      <c r="B1700" s="1407"/>
      <c r="C1700" s="1455" t="s">
        <v>5764</v>
      </c>
      <c r="D1700" s="103">
        <v>1</v>
      </c>
      <c r="E1700" s="103">
        <v>1</v>
      </c>
      <c r="F1700" s="1413">
        <v>1</v>
      </c>
      <c r="G1700" s="1413"/>
      <c r="H1700" s="1414">
        <f>H1696</f>
        <v>2.92</v>
      </c>
      <c r="I1700" s="1425">
        <f t="shared" si="531"/>
        <v>2.92</v>
      </c>
      <c r="M1700" s="110"/>
      <c r="Q1700" s="1394">
        <f>IFERROR(VLOOKUP(M1700,#REF!,3,0),0)</f>
        <v>0</v>
      </c>
      <c r="R1700" s="1394">
        <f t="shared" si="521"/>
        <v>0</v>
      </c>
      <c r="S1700" s="1394">
        <f>IFERROR(VLOOKUP(M1700,#REF!,6,0),0)</f>
        <v>0</v>
      </c>
      <c r="T1700" s="1394">
        <f t="shared" si="522"/>
        <v>0</v>
      </c>
      <c r="U1700" s="1394">
        <f>IFERROR(VLOOKUP(M1700,#REF!,5,0),0)</f>
        <v>0</v>
      </c>
      <c r="V1700" s="1394">
        <f t="shared" si="523"/>
        <v>0</v>
      </c>
      <c r="W1700" s="1394"/>
    </row>
    <row r="1701" spans="2:23" ht="30" customHeight="1">
      <c r="B1701" s="1407"/>
      <c r="C1701" s="1455" t="s">
        <v>5664</v>
      </c>
      <c r="D1701" s="103">
        <v>1</v>
      </c>
      <c r="E1701" s="103">
        <v>1</v>
      </c>
      <c r="F1701" s="1413">
        <v>0.6</v>
      </c>
      <c r="G1701" s="1413"/>
      <c r="H1701" s="1414">
        <v>2.1</v>
      </c>
      <c r="I1701" s="1425">
        <f t="shared" si="531"/>
        <v>1.26</v>
      </c>
      <c r="M1701" s="110"/>
      <c r="Q1701" s="1394">
        <f>IFERROR(VLOOKUP(M1701,#REF!,3,0),0)</f>
        <v>0</v>
      </c>
      <c r="R1701" s="1394">
        <f t="shared" si="521"/>
        <v>0</v>
      </c>
      <c r="S1701" s="1394">
        <f>IFERROR(VLOOKUP(M1701,#REF!,6,0),0)</f>
        <v>0</v>
      </c>
      <c r="T1701" s="1394">
        <f t="shared" si="522"/>
        <v>0</v>
      </c>
      <c r="U1701" s="1394">
        <f>IFERROR(VLOOKUP(M1701,#REF!,5,0),0)</f>
        <v>0</v>
      </c>
      <c r="V1701" s="1394">
        <f t="shared" si="523"/>
        <v>0</v>
      </c>
      <c r="W1701" s="1394"/>
    </row>
    <row r="1702" spans="2:23" ht="30" customHeight="1">
      <c r="B1702" s="1407"/>
      <c r="C1702" s="1455" t="s">
        <v>5662</v>
      </c>
      <c r="D1702" s="103">
        <v>1</v>
      </c>
      <c r="E1702" s="103">
        <v>1</v>
      </c>
      <c r="F1702" s="1413">
        <v>1.2350000000000001</v>
      </c>
      <c r="G1702" s="1413"/>
      <c r="H1702" s="1414">
        <f>H1700</f>
        <v>2.92</v>
      </c>
      <c r="I1702" s="1425">
        <f t="shared" si="531"/>
        <v>3.6062000000000003</v>
      </c>
      <c r="M1702" s="110"/>
      <c r="Q1702" s="1394">
        <f>IFERROR(VLOOKUP(M1702,#REF!,3,0),0)</f>
        <v>0</v>
      </c>
      <c r="R1702" s="1394">
        <f t="shared" si="521"/>
        <v>0</v>
      </c>
      <c r="S1702" s="1394">
        <f>IFERROR(VLOOKUP(M1702,#REF!,6,0),0)</f>
        <v>0</v>
      </c>
      <c r="T1702" s="1394">
        <f t="shared" si="522"/>
        <v>0</v>
      </c>
      <c r="U1702" s="1394">
        <f>IFERROR(VLOOKUP(M1702,#REF!,5,0),0)</f>
        <v>0</v>
      </c>
      <c r="V1702" s="1394">
        <f t="shared" si="523"/>
        <v>0</v>
      </c>
      <c r="W1702" s="1394"/>
    </row>
    <row r="1703" spans="2:23" ht="30" customHeight="1">
      <c r="B1703" s="1407"/>
      <c r="C1703" s="1412" t="s">
        <v>5672</v>
      </c>
      <c r="D1703" s="103"/>
      <c r="E1703" s="103"/>
      <c r="F1703" s="1413"/>
      <c r="G1703" s="1413"/>
      <c r="H1703" s="1414"/>
      <c r="I1703" s="1425">
        <f t="shared" si="531"/>
        <v>0</v>
      </c>
      <c r="M1703" s="110"/>
      <c r="Q1703" s="1394">
        <f>IFERROR(VLOOKUP(M1703,#REF!,3,0),0)</f>
        <v>0</v>
      </c>
      <c r="R1703" s="1394">
        <f t="shared" si="521"/>
        <v>0</v>
      </c>
      <c r="S1703" s="1394">
        <f>IFERROR(VLOOKUP(M1703,#REF!,6,0),0)</f>
        <v>0</v>
      </c>
      <c r="T1703" s="1394">
        <f t="shared" si="522"/>
        <v>0</v>
      </c>
      <c r="U1703" s="1394">
        <f>IFERROR(VLOOKUP(M1703,#REF!,5,0),0)</f>
        <v>0</v>
      </c>
      <c r="V1703" s="1394">
        <f t="shared" si="523"/>
        <v>0</v>
      </c>
      <c r="W1703" s="1394"/>
    </row>
    <row r="1704" spans="2:23" ht="30" customHeight="1">
      <c r="B1704" s="1407"/>
      <c r="C1704" s="1455" t="s">
        <v>188</v>
      </c>
      <c r="D1704" s="103">
        <v>-1</v>
      </c>
      <c r="E1704" s="103">
        <f>VLOOKUP(C1704,Sheet1!$I$7:$P$39,6,0)</f>
        <v>4</v>
      </c>
      <c r="F1704" s="1413">
        <f>VLOOKUP(C1704,Sheet1!$I$7:$P$39,2,0)</f>
        <v>0.75</v>
      </c>
      <c r="G1704" s="1413"/>
      <c r="H1704" s="1414">
        <f>VLOOKUP(C1704,Sheet1!$I$7:$P$39,3,0)</f>
        <v>2.1</v>
      </c>
      <c r="I1704" s="1425">
        <f t="shared" si="531"/>
        <v>-6.3000000000000007</v>
      </c>
      <c r="K1704" s="1397"/>
      <c r="M1704" s="110"/>
      <c r="Q1704" s="1394">
        <f>IFERROR(VLOOKUP(M1704,#REF!,3,0),0)</f>
        <v>0</v>
      </c>
      <c r="R1704" s="1394">
        <f t="shared" si="521"/>
        <v>0</v>
      </c>
      <c r="S1704" s="1394">
        <f>IFERROR(VLOOKUP(M1704,#REF!,6,0),0)</f>
        <v>0</v>
      </c>
      <c r="T1704" s="1394">
        <f t="shared" si="522"/>
        <v>0</v>
      </c>
      <c r="U1704" s="1394">
        <f>IFERROR(VLOOKUP(M1704,#REF!,5,0),0)</f>
        <v>0</v>
      </c>
      <c r="V1704" s="1394">
        <f t="shared" si="523"/>
        <v>0</v>
      </c>
      <c r="W1704" s="1394"/>
    </row>
    <row r="1705" spans="2:23" ht="30" customHeight="1">
      <c r="B1705" s="1407"/>
      <c r="C1705" s="1412" t="s">
        <v>5772</v>
      </c>
      <c r="D1705" s="103"/>
      <c r="E1705" s="103"/>
      <c r="F1705" s="1413"/>
      <c r="G1705" s="1413"/>
      <c r="H1705" s="1414"/>
      <c r="I1705" s="1425">
        <f t="shared" si="531"/>
        <v>0</v>
      </c>
      <c r="M1705" s="110"/>
      <c r="Q1705" s="1394">
        <f>IFERROR(VLOOKUP(M1705,#REF!,3,0),0)</f>
        <v>0</v>
      </c>
      <c r="R1705" s="1394">
        <f t="shared" si="521"/>
        <v>0</v>
      </c>
      <c r="S1705" s="1394">
        <f>IFERROR(VLOOKUP(M1705,#REF!,6,0),0)</f>
        <v>0</v>
      </c>
      <c r="T1705" s="1394">
        <f t="shared" si="522"/>
        <v>0</v>
      </c>
      <c r="U1705" s="1394">
        <f>IFERROR(VLOOKUP(M1705,#REF!,5,0),0)</f>
        <v>0</v>
      </c>
      <c r="V1705" s="1394">
        <f t="shared" si="523"/>
        <v>0</v>
      </c>
      <c r="W1705" s="1394"/>
    </row>
    <row r="1706" spans="2:23" ht="30" customHeight="1">
      <c r="B1706" s="1407"/>
      <c r="C1706" s="1412" t="str">
        <f t="shared" ref="C1706:H1715" si="532">C1670</f>
        <v>Women Rest Room</v>
      </c>
      <c r="D1706" s="103">
        <f t="shared" si="532"/>
        <v>0</v>
      </c>
      <c r="E1706" s="103">
        <f t="shared" si="532"/>
        <v>0</v>
      </c>
      <c r="F1706" s="1413">
        <f t="shared" si="532"/>
        <v>0</v>
      </c>
      <c r="G1706" s="1413"/>
      <c r="H1706" s="1414">
        <f t="shared" si="532"/>
        <v>0</v>
      </c>
      <c r="I1706" s="1425">
        <f t="shared" si="531"/>
        <v>0</v>
      </c>
      <c r="M1706" s="110"/>
      <c r="Q1706" s="1394">
        <f>IFERROR(VLOOKUP(M1706,#REF!,3,0),0)</f>
        <v>0</v>
      </c>
      <c r="R1706" s="1394">
        <f t="shared" si="521"/>
        <v>0</v>
      </c>
      <c r="S1706" s="1394">
        <f>IFERROR(VLOOKUP(M1706,#REF!,6,0),0)</f>
        <v>0</v>
      </c>
      <c r="T1706" s="1394">
        <f t="shared" si="522"/>
        <v>0</v>
      </c>
      <c r="U1706" s="1394">
        <f>IFERROR(VLOOKUP(M1706,#REF!,5,0),0)</f>
        <v>0</v>
      </c>
      <c r="V1706" s="1394">
        <f t="shared" si="523"/>
        <v>0</v>
      </c>
      <c r="W1706" s="1394"/>
    </row>
    <row r="1707" spans="2:23" ht="30" customHeight="1">
      <c r="B1707" s="1407"/>
      <c r="C1707" s="1455" t="str">
        <f t="shared" si="532"/>
        <v>C/B Wall</v>
      </c>
      <c r="D1707" s="103">
        <f>-D1671</f>
        <v>-1</v>
      </c>
      <c r="E1707" s="103">
        <f t="shared" si="532"/>
        <v>1</v>
      </c>
      <c r="F1707" s="1413">
        <f t="shared" si="532"/>
        <v>0.6</v>
      </c>
      <c r="G1707" s="1413"/>
      <c r="H1707" s="1414">
        <v>0.1</v>
      </c>
      <c r="I1707" s="1425">
        <f t="shared" si="531"/>
        <v>-0.06</v>
      </c>
      <c r="M1707" s="110"/>
      <c r="Q1707" s="1394">
        <f>IFERROR(VLOOKUP(M1707,#REF!,3,0),0)</f>
        <v>0</v>
      </c>
      <c r="R1707" s="1394">
        <f t="shared" si="521"/>
        <v>0</v>
      </c>
      <c r="S1707" s="1394">
        <f>IFERROR(VLOOKUP(M1707,#REF!,6,0),0)</f>
        <v>0</v>
      </c>
      <c r="T1707" s="1394">
        <f t="shared" si="522"/>
        <v>0</v>
      </c>
      <c r="U1707" s="1394">
        <f>IFERROR(VLOOKUP(M1707,#REF!,5,0),0)</f>
        <v>0</v>
      </c>
      <c r="V1707" s="1394">
        <f t="shared" si="523"/>
        <v>0</v>
      </c>
      <c r="W1707" s="1394"/>
    </row>
    <row r="1708" spans="2:23" ht="30" customHeight="1">
      <c r="B1708" s="1407"/>
      <c r="C1708" s="1455" t="str">
        <f t="shared" si="532"/>
        <v>Cross wall between Toilet / Passage</v>
      </c>
      <c r="D1708" s="103">
        <f t="shared" ref="D1708:D1717" si="533">-D1672</f>
        <v>-1</v>
      </c>
      <c r="E1708" s="103">
        <f t="shared" si="532"/>
        <v>1</v>
      </c>
      <c r="F1708" s="1413">
        <f t="shared" si="532"/>
        <v>1.5</v>
      </c>
      <c r="G1708" s="1413"/>
      <c r="H1708" s="1414">
        <f>H1707</f>
        <v>0.1</v>
      </c>
      <c r="I1708" s="1425">
        <f t="shared" si="531"/>
        <v>-0.15000000000000002</v>
      </c>
      <c r="M1708" s="110"/>
      <c r="Q1708" s="1394">
        <f>IFERROR(VLOOKUP(M1708,#REF!,3,0),0)</f>
        <v>0</v>
      </c>
      <c r="R1708" s="1394">
        <f t="shared" si="521"/>
        <v>0</v>
      </c>
      <c r="S1708" s="1394">
        <f>IFERROR(VLOOKUP(M1708,#REF!,6,0),0)</f>
        <v>0</v>
      </c>
      <c r="T1708" s="1394">
        <f t="shared" si="522"/>
        <v>0</v>
      </c>
      <c r="U1708" s="1394">
        <f>IFERROR(VLOOKUP(M1708,#REF!,5,0),0)</f>
        <v>0</v>
      </c>
      <c r="V1708" s="1394">
        <f t="shared" si="523"/>
        <v>0</v>
      </c>
      <c r="W1708" s="1394"/>
    </row>
    <row r="1709" spans="2:23" ht="30" customHeight="1">
      <c r="B1709" s="1407"/>
      <c r="C1709" s="1455" t="str">
        <f t="shared" si="532"/>
        <v>Cross wall between Hall  / Passage</v>
      </c>
      <c r="D1709" s="103">
        <f t="shared" si="533"/>
        <v>-1</v>
      </c>
      <c r="E1709" s="103">
        <f t="shared" si="532"/>
        <v>1</v>
      </c>
      <c r="F1709" s="1413">
        <f t="shared" si="532"/>
        <v>1.5</v>
      </c>
      <c r="G1709" s="1413"/>
      <c r="H1709" s="1414">
        <f>H1708</f>
        <v>0.1</v>
      </c>
      <c r="I1709" s="1425">
        <f t="shared" si="531"/>
        <v>-0.15000000000000002</v>
      </c>
      <c r="M1709" s="110"/>
      <c r="Q1709" s="1394">
        <f>IFERROR(VLOOKUP(M1709,#REF!,3,0),0)</f>
        <v>0</v>
      </c>
      <c r="R1709" s="1394">
        <f t="shared" si="521"/>
        <v>0</v>
      </c>
      <c r="S1709" s="1394">
        <f>IFERROR(VLOOKUP(M1709,#REF!,6,0),0)</f>
        <v>0</v>
      </c>
      <c r="T1709" s="1394">
        <f t="shared" si="522"/>
        <v>0</v>
      </c>
      <c r="U1709" s="1394">
        <f>IFERROR(VLOOKUP(M1709,#REF!,5,0),0)</f>
        <v>0</v>
      </c>
      <c r="V1709" s="1394">
        <f t="shared" si="523"/>
        <v>0</v>
      </c>
      <c r="W1709" s="1394"/>
    </row>
    <row r="1710" spans="2:23" ht="30" customHeight="1">
      <c r="B1710" s="1407"/>
      <c r="C1710" s="1412" t="str">
        <f t="shared" si="532"/>
        <v>Writer</v>
      </c>
      <c r="D1710" s="103">
        <f t="shared" si="533"/>
        <v>0</v>
      </c>
      <c r="E1710" s="103">
        <f t="shared" si="532"/>
        <v>0</v>
      </c>
      <c r="F1710" s="1413">
        <f t="shared" si="532"/>
        <v>0</v>
      </c>
      <c r="G1710" s="1413"/>
      <c r="H1710" s="1414">
        <f t="shared" si="532"/>
        <v>0</v>
      </c>
      <c r="I1710" s="1425">
        <f t="shared" si="531"/>
        <v>0</v>
      </c>
      <c r="M1710" s="110"/>
      <c r="Q1710" s="1394">
        <f>IFERROR(VLOOKUP(M1710,#REF!,3,0),0)</f>
        <v>0</v>
      </c>
      <c r="R1710" s="1394">
        <f t="shared" ref="R1710:R1773" si="534">ROUND(O1710,2)*ROUND(Q1710,2)</f>
        <v>0</v>
      </c>
      <c r="S1710" s="1394">
        <f>IFERROR(VLOOKUP(M1710,#REF!,6,0),0)</f>
        <v>0</v>
      </c>
      <c r="T1710" s="1394">
        <f t="shared" ref="T1710:T1773" si="535">R1710-S1710</f>
        <v>0</v>
      </c>
      <c r="U1710" s="1394">
        <f>IFERROR(VLOOKUP(M1710,#REF!,5,0),0)</f>
        <v>0</v>
      </c>
      <c r="V1710" s="1394">
        <f t="shared" ref="V1710:V1773" si="536">O1710-U1710</f>
        <v>0</v>
      </c>
      <c r="W1710" s="1394"/>
    </row>
    <row r="1711" spans="2:23" ht="30" customHeight="1">
      <c r="B1711" s="1407"/>
      <c r="C1711" s="1455" t="str">
        <f t="shared" si="532"/>
        <v>C/B Wall</v>
      </c>
      <c r="D1711" s="103">
        <f t="shared" si="533"/>
        <v>-1</v>
      </c>
      <c r="E1711" s="103">
        <f t="shared" si="532"/>
        <v>1</v>
      </c>
      <c r="F1711" s="1413">
        <f t="shared" si="532"/>
        <v>0.6</v>
      </c>
      <c r="G1711" s="1413"/>
      <c r="H1711" s="1414">
        <f>H1709</f>
        <v>0.1</v>
      </c>
      <c r="I1711" s="1425">
        <f t="shared" si="531"/>
        <v>-0.06</v>
      </c>
      <c r="M1711" s="110"/>
      <c r="Q1711" s="1394">
        <f>IFERROR(VLOOKUP(M1711,#REF!,3,0),0)</f>
        <v>0</v>
      </c>
      <c r="R1711" s="1394">
        <f t="shared" si="534"/>
        <v>0</v>
      </c>
      <c r="S1711" s="1394">
        <f>IFERROR(VLOOKUP(M1711,#REF!,6,0),0)</f>
        <v>0</v>
      </c>
      <c r="T1711" s="1394">
        <f t="shared" si="535"/>
        <v>0</v>
      </c>
      <c r="U1711" s="1394">
        <f>IFERROR(VLOOKUP(M1711,#REF!,5,0),0)</f>
        <v>0</v>
      </c>
      <c r="V1711" s="1394">
        <f t="shared" si="536"/>
        <v>0</v>
      </c>
      <c r="W1711" s="1394"/>
    </row>
    <row r="1712" spans="2:23" ht="30" customHeight="1">
      <c r="B1712" s="1407"/>
      <c r="C1712" s="1455" t="str">
        <f t="shared" si="532"/>
        <v>Cross wall between Writer / Ins L &amp;O</v>
      </c>
      <c r="D1712" s="103">
        <f t="shared" si="533"/>
        <v>-1</v>
      </c>
      <c r="E1712" s="103">
        <f t="shared" si="532"/>
        <v>1</v>
      </c>
      <c r="F1712" s="1413">
        <f t="shared" si="532"/>
        <v>1.8</v>
      </c>
      <c r="G1712" s="1413"/>
      <c r="H1712" s="1414">
        <f>H1711</f>
        <v>0.1</v>
      </c>
      <c r="I1712" s="1425">
        <f t="shared" si="531"/>
        <v>-0.18000000000000002</v>
      </c>
      <c r="Q1712" s="1394">
        <f>IFERROR(VLOOKUP(M1712,#REF!,3,0),0)</f>
        <v>0</v>
      </c>
      <c r="R1712" s="1394">
        <f t="shared" si="534"/>
        <v>0</v>
      </c>
      <c r="S1712" s="1394">
        <f>IFERROR(VLOOKUP(M1712,#REF!,6,0),0)</f>
        <v>0</v>
      </c>
      <c r="T1712" s="1394">
        <f t="shared" si="535"/>
        <v>0</v>
      </c>
      <c r="U1712" s="1394">
        <f>IFERROR(VLOOKUP(M1712,#REF!,5,0),0)</f>
        <v>0</v>
      </c>
      <c r="V1712" s="1394">
        <f t="shared" si="536"/>
        <v>0</v>
      </c>
      <c r="W1712" s="1394"/>
    </row>
    <row r="1713" spans="2:23" ht="30" customHeight="1">
      <c r="B1713" s="1407"/>
      <c r="C1713" s="1455" t="str">
        <f t="shared" si="532"/>
        <v>Cross wall between Writer / Ins L &amp;O</v>
      </c>
      <c r="D1713" s="103">
        <f t="shared" si="533"/>
        <v>-1</v>
      </c>
      <c r="E1713" s="103">
        <f t="shared" si="532"/>
        <v>1</v>
      </c>
      <c r="F1713" s="1413">
        <f t="shared" si="532"/>
        <v>3.2759999999999998</v>
      </c>
      <c r="G1713" s="1413"/>
      <c r="H1713" s="1414">
        <f>H1712</f>
        <v>0.1</v>
      </c>
      <c r="I1713" s="1425">
        <f t="shared" si="531"/>
        <v>-0.3276</v>
      </c>
      <c r="Q1713" s="1394">
        <f>IFERROR(VLOOKUP(M1713,#REF!,3,0),0)</f>
        <v>0</v>
      </c>
      <c r="R1713" s="1394">
        <f t="shared" si="534"/>
        <v>0</v>
      </c>
      <c r="S1713" s="1394">
        <f>IFERROR(VLOOKUP(M1713,#REF!,6,0),0)</f>
        <v>0</v>
      </c>
      <c r="T1713" s="1394">
        <f t="shared" si="535"/>
        <v>0</v>
      </c>
      <c r="U1713" s="1394">
        <f>IFERROR(VLOOKUP(M1713,#REF!,5,0),0)</f>
        <v>0</v>
      </c>
      <c r="V1713" s="1394">
        <f t="shared" si="536"/>
        <v>0</v>
      </c>
      <c r="W1713" s="1394"/>
    </row>
    <row r="1714" spans="2:23" ht="30" customHeight="1">
      <c r="B1714" s="1407"/>
      <c r="C1714" s="1412" t="str">
        <f t="shared" si="532"/>
        <v>Ins Crime</v>
      </c>
      <c r="D1714" s="103">
        <f t="shared" si="533"/>
        <v>0</v>
      </c>
      <c r="E1714" s="103">
        <f t="shared" si="532"/>
        <v>0</v>
      </c>
      <c r="F1714" s="1413">
        <f t="shared" si="532"/>
        <v>0</v>
      </c>
      <c r="G1714" s="1413"/>
      <c r="H1714" s="1414">
        <f t="shared" si="532"/>
        <v>0</v>
      </c>
      <c r="I1714" s="1425">
        <f t="shared" si="531"/>
        <v>0</v>
      </c>
      <c r="Q1714" s="1394">
        <f>IFERROR(VLOOKUP(M1714,#REF!,3,0),0)</f>
        <v>0</v>
      </c>
      <c r="R1714" s="1394">
        <f t="shared" si="534"/>
        <v>0</v>
      </c>
      <c r="S1714" s="1394">
        <f>IFERROR(VLOOKUP(M1714,#REF!,6,0),0)</f>
        <v>0</v>
      </c>
      <c r="T1714" s="1394">
        <f t="shared" si="535"/>
        <v>0</v>
      </c>
      <c r="U1714" s="1394">
        <f>IFERROR(VLOOKUP(M1714,#REF!,5,0),0)</f>
        <v>0</v>
      </c>
      <c r="V1714" s="1394">
        <f t="shared" si="536"/>
        <v>0</v>
      </c>
      <c r="W1714" s="1394"/>
    </row>
    <row r="1715" spans="2:23" ht="30" customHeight="1">
      <c r="B1715" s="1407"/>
      <c r="C1715" s="1455" t="str">
        <f t="shared" si="532"/>
        <v xml:space="preserve">C/B Wall </v>
      </c>
      <c r="D1715" s="103">
        <f t="shared" si="533"/>
        <v>-1</v>
      </c>
      <c r="E1715" s="103">
        <f t="shared" si="532"/>
        <v>1</v>
      </c>
      <c r="F1715" s="1413">
        <f t="shared" si="532"/>
        <v>0.6</v>
      </c>
      <c r="G1715" s="1413"/>
      <c r="H1715" s="1414">
        <f>H1713</f>
        <v>0.1</v>
      </c>
      <c r="I1715" s="1425">
        <f t="shared" si="531"/>
        <v>-0.06</v>
      </c>
      <c r="Q1715" s="1394">
        <f>IFERROR(VLOOKUP(M1715,#REF!,3,0),0)</f>
        <v>0</v>
      </c>
      <c r="R1715" s="1394">
        <f t="shared" si="534"/>
        <v>0</v>
      </c>
      <c r="S1715" s="1394">
        <f>IFERROR(VLOOKUP(M1715,#REF!,6,0),0)</f>
        <v>0</v>
      </c>
      <c r="T1715" s="1394">
        <f t="shared" si="535"/>
        <v>0</v>
      </c>
      <c r="U1715" s="1394">
        <f>IFERROR(VLOOKUP(M1715,#REF!,5,0),0)</f>
        <v>0</v>
      </c>
      <c r="V1715" s="1394">
        <f t="shared" si="536"/>
        <v>0</v>
      </c>
      <c r="W1715" s="1394"/>
    </row>
    <row r="1716" spans="2:23" ht="30" customHeight="1">
      <c r="B1716" s="1407"/>
      <c r="C1716" s="1455" t="str">
        <f t="shared" ref="C1716:F1717" si="537">C1680</f>
        <v xml:space="preserve">Cross wall between Toilet / Passage </v>
      </c>
      <c r="D1716" s="103">
        <f t="shared" si="533"/>
        <v>-1</v>
      </c>
      <c r="E1716" s="103">
        <f t="shared" si="537"/>
        <v>1</v>
      </c>
      <c r="F1716" s="1413">
        <f t="shared" si="537"/>
        <v>1.5</v>
      </c>
      <c r="G1716" s="1413"/>
      <c r="H1716" s="1414">
        <f>H1715</f>
        <v>0.1</v>
      </c>
      <c r="I1716" s="1425">
        <f t="shared" si="531"/>
        <v>-0.15000000000000002</v>
      </c>
      <c r="Q1716" s="1394">
        <f>IFERROR(VLOOKUP(M1716,#REF!,3,0),0)</f>
        <v>0</v>
      </c>
      <c r="R1716" s="1394">
        <f t="shared" si="534"/>
        <v>0</v>
      </c>
      <c r="S1716" s="1394">
        <f>IFERROR(VLOOKUP(M1716,#REF!,6,0),0)</f>
        <v>0</v>
      </c>
      <c r="T1716" s="1394">
        <f t="shared" si="535"/>
        <v>0</v>
      </c>
      <c r="U1716" s="1394">
        <f>IFERROR(VLOOKUP(M1716,#REF!,5,0),0)</f>
        <v>0</v>
      </c>
      <c r="V1716" s="1394">
        <f t="shared" si="536"/>
        <v>0</v>
      </c>
      <c r="W1716" s="1394"/>
    </row>
    <row r="1717" spans="2:23" ht="30" customHeight="1">
      <c r="B1717" s="1407"/>
      <c r="C1717" s="1455" t="str">
        <f t="shared" si="537"/>
        <v xml:space="preserve">Cross wall between Hall  / Passage </v>
      </c>
      <c r="D1717" s="103">
        <f t="shared" si="533"/>
        <v>-1</v>
      </c>
      <c r="E1717" s="103">
        <f t="shared" si="537"/>
        <v>1</v>
      </c>
      <c r="F1717" s="1413">
        <f t="shared" si="537"/>
        <v>1.5</v>
      </c>
      <c r="G1717" s="1413"/>
      <c r="H1717" s="1414">
        <f>H1716</f>
        <v>0.1</v>
      </c>
      <c r="I1717" s="1425">
        <f t="shared" si="531"/>
        <v>-0.15000000000000002</v>
      </c>
      <c r="Q1717" s="1394">
        <f>IFERROR(VLOOKUP(M1717,#REF!,3,0),0)</f>
        <v>0</v>
      </c>
      <c r="R1717" s="1394">
        <f t="shared" si="534"/>
        <v>0</v>
      </c>
      <c r="S1717" s="1394">
        <f>IFERROR(VLOOKUP(M1717,#REF!,6,0),0)</f>
        <v>0</v>
      </c>
      <c r="T1717" s="1394">
        <f t="shared" si="535"/>
        <v>0</v>
      </c>
      <c r="U1717" s="1394">
        <f>IFERROR(VLOOKUP(M1717,#REF!,5,0),0)</f>
        <v>0</v>
      </c>
      <c r="V1717" s="1394">
        <f t="shared" si="536"/>
        <v>0</v>
      </c>
      <c r="W1717" s="1394"/>
    </row>
    <row r="1718" spans="2:23" ht="30" customHeight="1">
      <c r="B1718" s="1407"/>
      <c r="C1718" s="1412" t="str">
        <f t="shared" ref="C1718:C1734" si="538">C1686</f>
        <v>Computer Room</v>
      </c>
      <c r="D1718" s="103">
        <f t="shared" ref="D1718:D1734" si="539">-D1686</f>
        <v>0</v>
      </c>
      <c r="E1718" s="103">
        <f t="shared" ref="E1718:F1734" si="540">E1686</f>
        <v>0</v>
      </c>
      <c r="F1718" s="1413">
        <f t="shared" si="540"/>
        <v>0</v>
      </c>
      <c r="G1718" s="1413"/>
      <c r="H1718" s="103">
        <f>H1686</f>
        <v>0</v>
      </c>
      <c r="I1718" s="1425">
        <f t="shared" si="531"/>
        <v>0</v>
      </c>
      <c r="Q1718" s="1394">
        <f>IFERROR(VLOOKUP(M1718,#REF!,3,0),0)</f>
        <v>0</v>
      </c>
      <c r="R1718" s="1394">
        <f t="shared" si="534"/>
        <v>0</v>
      </c>
      <c r="S1718" s="1394">
        <f>IFERROR(VLOOKUP(M1718,#REF!,6,0),0)</f>
        <v>0</v>
      </c>
      <c r="T1718" s="1394">
        <f t="shared" si="535"/>
        <v>0</v>
      </c>
      <c r="U1718" s="1394">
        <f>IFERROR(VLOOKUP(M1718,#REF!,5,0),0)</f>
        <v>0</v>
      </c>
      <c r="V1718" s="1394">
        <f t="shared" si="536"/>
        <v>0</v>
      </c>
      <c r="W1718" s="1394"/>
    </row>
    <row r="1719" spans="2:23" ht="30" customHeight="1">
      <c r="B1719" s="1407"/>
      <c r="C1719" s="1455" t="str">
        <f t="shared" si="538"/>
        <v xml:space="preserve">C/B Wall </v>
      </c>
      <c r="D1719" s="103">
        <f t="shared" si="539"/>
        <v>-1</v>
      </c>
      <c r="E1719" s="103">
        <f t="shared" si="540"/>
        <v>1</v>
      </c>
      <c r="F1719" s="1413">
        <f t="shared" si="540"/>
        <v>0.6</v>
      </c>
      <c r="G1719" s="1413"/>
      <c r="H1719" s="1414">
        <f>H1717</f>
        <v>0.1</v>
      </c>
      <c r="I1719" s="1425">
        <f t="shared" si="531"/>
        <v>-0.06</v>
      </c>
      <c r="Q1719" s="1394">
        <f>IFERROR(VLOOKUP(M1719,#REF!,3,0),0)</f>
        <v>0</v>
      </c>
      <c r="R1719" s="1394">
        <f t="shared" si="534"/>
        <v>0</v>
      </c>
      <c r="S1719" s="1394">
        <f>IFERROR(VLOOKUP(M1719,#REF!,6,0),0)</f>
        <v>0</v>
      </c>
      <c r="T1719" s="1394">
        <f t="shared" si="535"/>
        <v>0</v>
      </c>
      <c r="U1719" s="1394">
        <f>IFERROR(VLOOKUP(M1719,#REF!,5,0),0)</f>
        <v>0</v>
      </c>
      <c r="V1719" s="1394">
        <f t="shared" si="536"/>
        <v>0</v>
      </c>
      <c r="W1719" s="1394"/>
    </row>
    <row r="1720" spans="2:23" ht="30" customHeight="1">
      <c r="B1720" s="1407"/>
      <c r="C1720" s="1455" t="str">
        <f t="shared" si="538"/>
        <v>Cross wall between Toilet / CD File / Store</v>
      </c>
      <c r="D1720" s="103">
        <f t="shared" si="539"/>
        <v>-1</v>
      </c>
      <c r="E1720" s="103">
        <f t="shared" si="540"/>
        <v>1</v>
      </c>
      <c r="F1720" s="1413">
        <f t="shared" si="540"/>
        <v>1.1000000000000001</v>
      </c>
      <c r="G1720" s="1413"/>
      <c r="H1720" s="1414">
        <f>H1719</f>
        <v>0.1</v>
      </c>
      <c r="I1720" s="1425">
        <f t="shared" si="531"/>
        <v>-0.11000000000000001</v>
      </c>
      <c r="Q1720" s="1394">
        <f>IFERROR(VLOOKUP(M1720,#REF!,3,0),0)</f>
        <v>0</v>
      </c>
      <c r="R1720" s="1394">
        <f t="shared" si="534"/>
        <v>0</v>
      </c>
      <c r="S1720" s="1394">
        <f>IFERROR(VLOOKUP(M1720,#REF!,6,0),0)</f>
        <v>0</v>
      </c>
      <c r="T1720" s="1394">
        <f t="shared" si="535"/>
        <v>0</v>
      </c>
      <c r="U1720" s="1394">
        <f>IFERROR(VLOOKUP(M1720,#REF!,5,0),0)</f>
        <v>0</v>
      </c>
      <c r="V1720" s="1394">
        <f t="shared" si="536"/>
        <v>0</v>
      </c>
      <c r="W1720" s="1394"/>
    </row>
    <row r="1721" spans="2:23" ht="30" customHeight="1">
      <c r="B1721" s="1407"/>
      <c r="C1721" s="1455" t="str">
        <f t="shared" si="538"/>
        <v xml:space="preserve">Cross wall between Toilet / Passage </v>
      </c>
      <c r="D1721" s="103">
        <f t="shared" si="539"/>
        <v>-1</v>
      </c>
      <c r="E1721" s="103">
        <f t="shared" si="540"/>
        <v>1</v>
      </c>
      <c r="F1721" s="1413">
        <f t="shared" si="540"/>
        <v>1.5</v>
      </c>
      <c r="G1721" s="1413"/>
      <c r="H1721" s="1414">
        <f>H1720</f>
        <v>0.1</v>
      </c>
      <c r="I1721" s="1425">
        <f t="shared" si="531"/>
        <v>-0.15000000000000002</v>
      </c>
      <c r="M1721" s="110"/>
      <c r="Q1721" s="1394">
        <f>IFERROR(VLOOKUP(M1721,#REF!,3,0),0)</f>
        <v>0</v>
      </c>
      <c r="R1721" s="1394">
        <f t="shared" si="534"/>
        <v>0</v>
      </c>
      <c r="S1721" s="1394">
        <f>IFERROR(VLOOKUP(M1721,#REF!,6,0),0)</f>
        <v>0</v>
      </c>
      <c r="T1721" s="1394">
        <f t="shared" si="535"/>
        <v>0</v>
      </c>
      <c r="U1721" s="1394">
        <f>IFERROR(VLOOKUP(M1721,#REF!,5,0),0)</f>
        <v>0</v>
      </c>
      <c r="V1721" s="1394">
        <f t="shared" si="536"/>
        <v>0</v>
      </c>
      <c r="W1721" s="1394"/>
    </row>
    <row r="1722" spans="2:23" ht="30" customHeight="1">
      <c r="B1722" s="1407"/>
      <c r="C1722" s="1455" t="str">
        <f t="shared" si="538"/>
        <v xml:space="preserve">Cross wall between Halll / Passage </v>
      </c>
      <c r="D1722" s="103">
        <f t="shared" si="539"/>
        <v>-1</v>
      </c>
      <c r="E1722" s="103">
        <f t="shared" si="540"/>
        <v>1</v>
      </c>
      <c r="F1722" s="1413">
        <f t="shared" si="540"/>
        <v>0.6</v>
      </c>
      <c r="G1722" s="1413"/>
      <c r="H1722" s="1414">
        <f>H1721</f>
        <v>0.1</v>
      </c>
      <c r="I1722" s="1425">
        <f t="shared" si="531"/>
        <v>-0.06</v>
      </c>
      <c r="M1722" s="110"/>
      <c r="Q1722" s="1394">
        <f>IFERROR(VLOOKUP(M1722,#REF!,3,0),0)</f>
        <v>0</v>
      </c>
      <c r="R1722" s="1394">
        <f t="shared" si="534"/>
        <v>0</v>
      </c>
      <c r="S1722" s="1394">
        <f>IFERROR(VLOOKUP(M1722,#REF!,6,0),0)</f>
        <v>0</v>
      </c>
      <c r="T1722" s="1394">
        <f t="shared" si="535"/>
        <v>0</v>
      </c>
      <c r="U1722" s="1394">
        <f>IFERROR(VLOOKUP(M1722,#REF!,5,0),0)</f>
        <v>0</v>
      </c>
      <c r="V1722" s="1394">
        <f t="shared" si="536"/>
        <v>0</v>
      </c>
      <c r="W1722" s="1394"/>
    </row>
    <row r="1723" spans="2:23" ht="30" customHeight="1">
      <c r="B1723" s="1407"/>
      <c r="C1723" s="1412" t="str">
        <f t="shared" si="538"/>
        <v>SI Room</v>
      </c>
      <c r="D1723" s="103">
        <f t="shared" si="539"/>
        <v>0</v>
      </c>
      <c r="E1723" s="103">
        <f t="shared" si="540"/>
        <v>0</v>
      </c>
      <c r="F1723" s="1413">
        <f t="shared" si="540"/>
        <v>0</v>
      </c>
      <c r="G1723" s="1413"/>
      <c r="H1723" s="1414">
        <f>H1691</f>
        <v>0</v>
      </c>
      <c r="I1723" s="1425">
        <f t="shared" si="531"/>
        <v>0</v>
      </c>
      <c r="M1723" s="110"/>
      <c r="Q1723" s="1394">
        <f>IFERROR(VLOOKUP(M1723,#REF!,3,0),0)</f>
        <v>0</v>
      </c>
      <c r="R1723" s="1394">
        <f t="shared" si="534"/>
        <v>0</v>
      </c>
      <c r="S1723" s="1394">
        <f>IFERROR(VLOOKUP(M1723,#REF!,6,0),0)</f>
        <v>0</v>
      </c>
      <c r="T1723" s="1394">
        <f t="shared" si="535"/>
        <v>0</v>
      </c>
      <c r="U1723" s="1394">
        <f>IFERROR(VLOOKUP(M1723,#REF!,5,0),0)</f>
        <v>0</v>
      </c>
      <c r="V1723" s="1394">
        <f t="shared" si="536"/>
        <v>0</v>
      </c>
      <c r="W1723" s="1394"/>
    </row>
    <row r="1724" spans="2:23" ht="30" customHeight="1">
      <c r="B1724" s="1407"/>
      <c r="C1724" s="1455" t="str">
        <f t="shared" si="538"/>
        <v xml:space="preserve">C/B Wall </v>
      </c>
      <c r="D1724" s="103">
        <f t="shared" si="539"/>
        <v>-1</v>
      </c>
      <c r="E1724" s="103">
        <f t="shared" si="540"/>
        <v>1</v>
      </c>
      <c r="F1724" s="1413">
        <f t="shared" si="540"/>
        <v>0.6</v>
      </c>
      <c r="G1724" s="1413"/>
      <c r="H1724" s="1414">
        <f>H1722</f>
        <v>0.1</v>
      </c>
      <c r="I1724" s="1425">
        <f t="shared" si="531"/>
        <v>-0.06</v>
      </c>
      <c r="M1724" s="110"/>
      <c r="Q1724" s="1394">
        <f>IFERROR(VLOOKUP(M1724,#REF!,3,0),0)</f>
        <v>0</v>
      </c>
      <c r="R1724" s="1394">
        <f t="shared" si="534"/>
        <v>0</v>
      </c>
      <c r="S1724" s="1394">
        <f>IFERROR(VLOOKUP(M1724,#REF!,6,0),0)</f>
        <v>0</v>
      </c>
      <c r="T1724" s="1394">
        <f t="shared" si="535"/>
        <v>0</v>
      </c>
      <c r="U1724" s="1394">
        <f>IFERROR(VLOOKUP(M1724,#REF!,5,0),0)</f>
        <v>0</v>
      </c>
      <c r="V1724" s="1394">
        <f t="shared" si="536"/>
        <v>0</v>
      </c>
      <c r="W1724" s="1394"/>
    </row>
    <row r="1725" spans="2:23" ht="30" customHeight="1">
      <c r="B1725" s="1407"/>
      <c r="C1725" s="1455" t="str">
        <f t="shared" si="538"/>
        <v>Cross wall between Toilet / SI Room</v>
      </c>
      <c r="D1725" s="103">
        <f t="shared" si="539"/>
        <v>-1</v>
      </c>
      <c r="E1725" s="103">
        <f t="shared" si="540"/>
        <v>1</v>
      </c>
      <c r="F1725" s="1413">
        <f t="shared" si="540"/>
        <v>2.7450000000000001</v>
      </c>
      <c r="G1725" s="1413"/>
      <c r="H1725" s="1414">
        <f>H1724</f>
        <v>0.1</v>
      </c>
      <c r="I1725" s="1425">
        <f t="shared" si="531"/>
        <v>-0.27450000000000002</v>
      </c>
      <c r="M1725" s="110"/>
      <c r="Q1725" s="1394">
        <f>IFERROR(VLOOKUP(M1725,#REF!,3,0),0)</f>
        <v>0</v>
      </c>
      <c r="R1725" s="1394">
        <f t="shared" si="534"/>
        <v>0</v>
      </c>
      <c r="S1725" s="1394">
        <f>IFERROR(VLOOKUP(M1725,#REF!,6,0),0)</f>
        <v>0</v>
      </c>
      <c r="T1725" s="1394">
        <f t="shared" si="535"/>
        <v>0</v>
      </c>
      <c r="U1725" s="1394">
        <f>IFERROR(VLOOKUP(M1725,#REF!,5,0),0)</f>
        <v>0</v>
      </c>
      <c r="V1725" s="1394">
        <f t="shared" si="536"/>
        <v>0</v>
      </c>
      <c r="W1725" s="1394"/>
    </row>
    <row r="1726" spans="2:23" ht="30" customHeight="1">
      <c r="B1726" s="1407"/>
      <c r="C1726" s="1455" t="str">
        <f t="shared" si="538"/>
        <v>Cross wall between Record / SI Room</v>
      </c>
      <c r="D1726" s="103">
        <f t="shared" si="539"/>
        <v>-1</v>
      </c>
      <c r="E1726" s="103">
        <f t="shared" si="540"/>
        <v>1</v>
      </c>
      <c r="F1726" s="1413">
        <f t="shared" si="540"/>
        <v>2.4350000000000001</v>
      </c>
      <c r="G1726" s="1413"/>
      <c r="H1726" s="1414">
        <f>H1725</f>
        <v>0.1</v>
      </c>
      <c r="I1726" s="1425">
        <f t="shared" si="531"/>
        <v>-0.24350000000000002</v>
      </c>
      <c r="M1726" s="110"/>
      <c r="Q1726" s="1394">
        <f>IFERROR(VLOOKUP(M1726,#REF!,3,0),0)</f>
        <v>0</v>
      </c>
      <c r="R1726" s="1394">
        <f t="shared" si="534"/>
        <v>0</v>
      </c>
      <c r="S1726" s="1394">
        <f>IFERROR(VLOOKUP(M1726,#REF!,6,0),0)</f>
        <v>0</v>
      </c>
      <c r="T1726" s="1394">
        <f t="shared" si="535"/>
        <v>0</v>
      </c>
      <c r="U1726" s="1394">
        <f>IFERROR(VLOOKUP(M1726,#REF!,5,0),0)</f>
        <v>0</v>
      </c>
      <c r="V1726" s="1394">
        <f t="shared" si="536"/>
        <v>0</v>
      </c>
      <c r="W1726" s="1394"/>
    </row>
    <row r="1727" spans="2:23" ht="30" customHeight="1">
      <c r="B1727" s="1407"/>
      <c r="C1727" s="1412" t="str">
        <f t="shared" si="538"/>
        <v>Record Room</v>
      </c>
      <c r="D1727" s="103">
        <f t="shared" si="539"/>
        <v>0</v>
      </c>
      <c r="E1727" s="103">
        <f t="shared" si="540"/>
        <v>0</v>
      </c>
      <c r="F1727" s="1413">
        <f t="shared" si="540"/>
        <v>0</v>
      </c>
      <c r="G1727" s="1413"/>
      <c r="H1727" s="1414">
        <f>H1695</f>
        <v>0</v>
      </c>
      <c r="I1727" s="1425">
        <f t="shared" si="531"/>
        <v>0</v>
      </c>
      <c r="M1727" s="110"/>
      <c r="Q1727" s="1394">
        <f>IFERROR(VLOOKUP(M1727,#REF!,3,0),0)</f>
        <v>0</v>
      </c>
      <c r="R1727" s="1394">
        <f t="shared" si="534"/>
        <v>0</v>
      </c>
      <c r="S1727" s="1394">
        <f>IFERROR(VLOOKUP(M1727,#REF!,6,0),0)</f>
        <v>0</v>
      </c>
      <c r="T1727" s="1394">
        <f t="shared" si="535"/>
        <v>0</v>
      </c>
      <c r="U1727" s="1394">
        <f>IFERROR(VLOOKUP(M1727,#REF!,5,0),0)</f>
        <v>0</v>
      </c>
      <c r="V1727" s="1394">
        <f t="shared" si="536"/>
        <v>0</v>
      </c>
      <c r="W1727" s="1394"/>
    </row>
    <row r="1728" spans="2:23" ht="30" customHeight="1">
      <c r="B1728" s="1407"/>
      <c r="C1728" s="1455" t="str">
        <f t="shared" si="538"/>
        <v>Cross wall between Record Room / Hall</v>
      </c>
      <c r="D1728" s="103">
        <f t="shared" si="539"/>
        <v>-1</v>
      </c>
      <c r="E1728" s="103">
        <f t="shared" si="540"/>
        <v>1</v>
      </c>
      <c r="F1728" s="1413">
        <f t="shared" si="540"/>
        <v>1.85</v>
      </c>
      <c r="G1728" s="1413"/>
      <c r="H1728" s="1414">
        <f>H1726</f>
        <v>0.1</v>
      </c>
      <c r="I1728" s="1425">
        <f t="shared" si="531"/>
        <v>-0.18500000000000003</v>
      </c>
      <c r="M1728" s="110"/>
      <c r="Q1728" s="1394">
        <f>IFERROR(VLOOKUP(M1728,#REF!,3,0),0)</f>
        <v>0</v>
      </c>
      <c r="R1728" s="1394">
        <f t="shared" si="534"/>
        <v>0</v>
      </c>
      <c r="S1728" s="1394">
        <f>IFERROR(VLOOKUP(M1728,#REF!,6,0),0)</f>
        <v>0</v>
      </c>
      <c r="T1728" s="1394">
        <f t="shared" si="535"/>
        <v>0</v>
      </c>
      <c r="U1728" s="1394">
        <f>IFERROR(VLOOKUP(M1728,#REF!,5,0),0)</f>
        <v>0</v>
      </c>
      <c r="V1728" s="1394">
        <f t="shared" si="536"/>
        <v>0</v>
      </c>
      <c r="W1728" s="1394"/>
    </row>
    <row r="1729" spans="1:26" ht="30" customHeight="1">
      <c r="B1729" s="1407"/>
      <c r="C1729" s="1455" t="str">
        <f t="shared" si="538"/>
        <v>Cross wall between Record Room / Interrogation</v>
      </c>
      <c r="D1729" s="103">
        <f t="shared" si="539"/>
        <v>-1</v>
      </c>
      <c r="E1729" s="103">
        <f t="shared" si="540"/>
        <v>1</v>
      </c>
      <c r="F1729" s="1413">
        <f t="shared" si="540"/>
        <v>2</v>
      </c>
      <c r="G1729" s="1413"/>
      <c r="H1729" s="1414">
        <f>H1728</f>
        <v>0.1</v>
      </c>
      <c r="I1729" s="1425">
        <f t="shared" si="531"/>
        <v>-0.2</v>
      </c>
      <c r="M1729" s="110"/>
      <c r="Q1729" s="1394">
        <f>IFERROR(VLOOKUP(M1729,#REF!,3,0),0)</f>
        <v>0</v>
      </c>
      <c r="R1729" s="1394">
        <f t="shared" si="534"/>
        <v>0</v>
      </c>
      <c r="S1729" s="1394">
        <f>IFERROR(VLOOKUP(M1729,#REF!,6,0),0)</f>
        <v>0</v>
      </c>
      <c r="T1729" s="1394">
        <f t="shared" si="535"/>
        <v>0</v>
      </c>
      <c r="U1729" s="1394">
        <f>IFERROR(VLOOKUP(M1729,#REF!,5,0),0)</f>
        <v>0</v>
      </c>
      <c r="V1729" s="1394">
        <f t="shared" si="536"/>
        <v>0</v>
      </c>
      <c r="W1729" s="1394"/>
    </row>
    <row r="1730" spans="1:26" ht="30" customHeight="1">
      <c r="B1730" s="1407"/>
      <c r="C1730" s="1455" t="str">
        <f t="shared" si="538"/>
        <v xml:space="preserve">C/B Wall </v>
      </c>
      <c r="D1730" s="103">
        <f t="shared" si="539"/>
        <v>-1</v>
      </c>
      <c r="E1730" s="103">
        <f t="shared" si="540"/>
        <v>1</v>
      </c>
      <c r="F1730" s="1413">
        <f t="shared" si="540"/>
        <v>0.6</v>
      </c>
      <c r="G1730" s="1413"/>
      <c r="H1730" s="1414">
        <f>H1729</f>
        <v>0.1</v>
      </c>
      <c r="I1730" s="1425">
        <f t="shared" si="531"/>
        <v>-0.06</v>
      </c>
      <c r="M1730" s="110"/>
      <c r="Q1730" s="1394">
        <f>IFERROR(VLOOKUP(M1730,#REF!,3,0),0)</f>
        <v>0</v>
      </c>
      <c r="R1730" s="1394">
        <f t="shared" si="534"/>
        <v>0</v>
      </c>
      <c r="S1730" s="1394">
        <f>IFERROR(VLOOKUP(M1730,#REF!,6,0),0)</f>
        <v>0</v>
      </c>
      <c r="T1730" s="1394">
        <f t="shared" si="535"/>
        <v>0</v>
      </c>
      <c r="U1730" s="1394">
        <f>IFERROR(VLOOKUP(M1730,#REF!,5,0),0)</f>
        <v>0</v>
      </c>
      <c r="V1730" s="1394">
        <f t="shared" si="536"/>
        <v>0</v>
      </c>
      <c r="W1730" s="1394"/>
    </row>
    <row r="1731" spans="1:26" ht="30" customHeight="1">
      <c r="B1731" s="1407"/>
      <c r="C1731" s="1412" t="str">
        <f t="shared" si="538"/>
        <v>Introgation Room</v>
      </c>
      <c r="D1731" s="103">
        <f t="shared" si="539"/>
        <v>0</v>
      </c>
      <c r="E1731" s="103">
        <f t="shared" si="540"/>
        <v>0</v>
      </c>
      <c r="F1731" s="1413">
        <f t="shared" si="540"/>
        <v>0</v>
      </c>
      <c r="G1731" s="1413"/>
      <c r="H1731" s="1414">
        <f>H1699</f>
        <v>0</v>
      </c>
      <c r="I1731" s="1425">
        <f t="shared" si="531"/>
        <v>0</v>
      </c>
      <c r="M1731" s="110"/>
      <c r="Q1731" s="1394">
        <f>IFERROR(VLOOKUP(M1731,#REF!,3,0),0)</f>
        <v>0</v>
      </c>
      <c r="R1731" s="1394">
        <f t="shared" si="534"/>
        <v>0</v>
      </c>
      <c r="S1731" s="1394">
        <f>IFERROR(VLOOKUP(M1731,#REF!,6,0),0)</f>
        <v>0</v>
      </c>
      <c r="T1731" s="1394">
        <f t="shared" si="535"/>
        <v>0</v>
      </c>
      <c r="U1731" s="1394">
        <f>IFERROR(VLOOKUP(M1731,#REF!,5,0),0)</f>
        <v>0</v>
      </c>
      <c r="V1731" s="1394">
        <f t="shared" si="536"/>
        <v>0</v>
      </c>
      <c r="W1731" s="1394"/>
    </row>
    <row r="1732" spans="1:26" ht="30" customHeight="1">
      <c r="B1732" s="1407"/>
      <c r="C1732" s="1455" t="str">
        <f t="shared" si="538"/>
        <v>Cross wall between  Introgation Room / Hall</v>
      </c>
      <c r="D1732" s="103">
        <f t="shared" si="539"/>
        <v>-1</v>
      </c>
      <c r="E1732" s="103">
        <f t="shared" si="540"/>
        <v>1</v>
      </c>
      <c r="F1732" s="1413">
        <f t="shared" si="540"/>
        <v>1</v>
      </c>
      <c r="G1732" s="1413"/>
      <c r="H1732" s="1414">
        <f>H1730</f>
        <v>0.1</v>
      </c>
      <c r="I1732" s="1425">
        <f t="shared" si="531"/>
        <v>-0.1</v>
      </c>
      <c r="M1732" s="110"/>
      <c r="Q1732" s="1394">
        <f>IFERROR(VLOOKUP(M1732,#REF!,3,0),0)</f>
        <v>0</v>
      </c>
      <c r="R1732" s="1394">
        <f t="shared" si="534"/>
        <v>0</v>
      </c>
      <c r="S1732" s="1394">
        <f>IFERROR(VLOOKUP(M1732,#REF!,6,0),0)</f>
        <v>0</v>
      </c>
      <c r="T1732" s="1394">
        <f t="shared" si="535"/>
        <v>0</v>
      </c>
      <c r="U1732" s="1394">
        <f>IFERROR(VLOOKUP(M1732,#REF!,5,0),0)</f>
        <v>0</v>
      </c>
      <c r="V1732" s="1394">
        <f t="shared" si="536"/>
        <v>0</v>
      </c>
      <c r="W1732" s="1394"/>
    </row>
    <row r="1733" spans="1:26" ht="30" customHeight="1">
      <c r="B1733" s="1407"/>
      <c r="C1733" s="1455" t="str">
        <f t="shared" si="538"/>
        <v xml:space="preserve">C/B Wall </v>
      </c>
      <c r="D1733" s="103">
        <f t="shared" si="539"/>
        <v>-1</v>
      </c>
      <c r="E1733" s="103">
        <f t="shared" si="540"/>
        <v>1</v>
      </c>
      <c r="F1733" s="1413">
        <f t="shared" si="540"/>
        <v>0.6</v>
      </c>
      <c r="G1733" s="1413"/>
      <c r="H1733" s="1414">
        <f>H1732</f>
        <v>0.1</v>
      </c>
      <c r="I1733" s="1425">
        <f t="shared" si="531"/>
        <v>-0.06</v>
      </c>
      <c r="M1733" s="110"/>
      <c r="Q1733" s="1394">
        <f>IFERROR(VLOOKUP(M1733,#REF!,3,0),0)</f>
        <v>0</v>
      </c>
      <c r="R1733" s="1394">
        <f t="shared" si="534"/>
        <v>0</v>
      </c>
      <c r="S1733" s="1394">
        <f>IFERROR(VLOOKUP(M1733,#REF!,6,0),0)</f>
        <v>0</v>
      </c>
      <c r="T1733" s="1394">
        <f t="shared" si="535"/>
        <v>0</v>
      </c>
      <c r="U1733" s="1394">
        <f>IFERROR(VLOOKUP(M1733,#REF!,5,0),0)</f>
        <v>0</v>
      </c>
      <c r="V1733" s="1394">
        <f t="shared" si="536"/>
        <v>0</v>
      </c>
      <c r="W1733" s="1394"/>
    </row>
    <row r="1734" spans="1:26" ht="30" customHeight="1">
      <c r="B1734" s="1407"/>
      <c r="C1734" s="1455" t="str">
        <f t="shared" si="538"/>
        <v>Toilet wall</v>
      </c>
      <c r="D1734" s="103">
        <f t="shared" si="539"/>
        <v>-1</v>
      </c>
      <c r="E1734" s="103">
        <f t="shared" si="540"/>
        <v>1</v>
      </c>
      <c r="F1734" s="1413">
        <f t="shared" si="540"/>
        <v>1.2350000000000001</v>
      </c>
      <c r="G1734" s="1413"/>
      <c r="H1734" s="1414">
        <f>H1733</f>
        <v>0.1</v>
      </c>
      <c r="I1734" s="1425">
        <f t="shared" ref="I1734" si="541">PRODUCT(D1734:H1734)</f>
        <v>-0.12350000000000001</v>
      </c>
      <c r="Q1734" s="1394">
        <f>IFERROR(VLOOKUP(M1734,#REF!,3,0),0)</f>
        <v>0</v>
      </c>
      <c r="R1734" s="1394">
        <f t="shared" si="534"/>
        <v>0</v>
      </c>
      <c r="S1734" s="1394">
        <f>IFERROR(VLOOKUP(M1734,#REF!,6,0),0)</f>
        <v>0</v>
      </c>
      <c r="T1734" s="1394">
        <f t="shared" si="535"/>
        <v>0</v>
      </c>
      <c r="U1734" s="1394">
        <f>IFERROR(VLOOKUP(M1734,#REF!,5,0),0)</f>
        <v>0</v>
      </c>
      <c r="V1734" s="1394">
        <f t="shared" si="536"/>
        <v>0</v>
      </c>
      <c r="W1734" s="1394"/>
    </row>
    <row r="1735" spans="1:26" ht="30" customHeight="1">
      <c r="B1735" s="1407"/>
      <c r="C1735" s="1455"/>
      <c r="D1735" s="103"/>
      <c r="E1735" s="103"/>
      <c r="F1735" s="1413"/>
      <c r="G1735" s="1413"/>
      <c r="H1735" s="1414"/>
      <c r="I1735" s="1425"/>
      <c r="Q1735" s="1394">
        <f>IFERROR(VLOOKUP(M1735,#REF!,3,0),0)</f>
        <v>0</v>
      </c>
      <c r="R1735" s="1394">
        <f t="shared" si="534"/>
        <v>0</v>
      </c>
      <c r="S1735" s="1394">
        <f>IFERROR(VLOOKUP(M1735,#REF!,6,0),0)</f>
        <v>0</v>
      </c>
      <c r="T1735" s="1394">
        <f t="shared" si="535"/>
        <v>0</v>
      </c>
      <c r="U1735" s="1394">
        <f>IFERROR(VLOOKUP(M1735,#REF!,5,0),0)</f>
        <v>0</v>
      </c>
      <c r="V1735" s="1394">
        <f t="shared" si="536"/>
        <v>0</v>
      </c>
      <c r="W1735" s="1394"/>
    </row>
    <row r="1736" spans="1:26" ht="30" customHeight="1">
      <c r="B1736" s="1407"/>
      <c r="C1736" s="1412"/>
      <c r="D1736" s="103"/>
      <c r="E1736" s="103"/>
      <c r="F1736" s="1413"/>
      <c r="G1736" s="1413"/>
      <c r="H1736" s="1424"/>
      <c r="I1736" s="1406">
        <f>J1737-J1736</f>
        <v>1.338000000001216E-2</v>
      </c>
      <c r="J1736" s="1394">
        <f>SUM(I1671:I1735)</f>
        <v>80.686619999999976</v>
      </c>
      <c r="K1736" s="1394"/>
      <c r="Q1736" s="1394">
        <f>IFERROR(VLOOKUP(M1736,#REF!,3,0),0)</f>
        <v>0</v>
      </c>
      <c r="R1736" s="1394">
        <f t="shared" si="534"/>
        <v>0</v>
      </c>
      <c r="S1736" s="1394">
        <f>IFERROR(VLOOKUP(M1736,#REF!,6,0),0)</f>
        <v>0</v>
      </c>
      <c r="T1736" s="1394">
        <f t="shared" si="535"/>
        <v>0</v>
      </c>
      <c r="U1736" s="1394">
        <f>IFERROR(VLOOKUP(M1736,#REF!,5,0),0)</f>
        <v>0</v>
      </c>
      <c r="V1736" s="1394">
        <f t="shared" si="536"/>
        <v>0</v>
      </c>
      <c r="W1736" s="1394"/>
    </row>
    <row r="1737" spans="1:26" ht="30" customHeight="1">
      <c r="B1737" s="1407"/>
      <c r="C1737" s="1455"/>
      <c r="D1737" s="103"/>
      <c r="E1737" s="103"/>
      <c r="F1737" s="1413"/>
      <c r="G1737" s="1413"/>
      <c r="H1737" s="1424"/>
      <c r="I1737" s="1427">
        <f>+J1737</f>
        <v>80.699999999999989</v>
      </c>
      <c r="J1737" s="1394">
        <f>ROUNDUP(J1736,1)</f>
        <v>80.699999999999989</v>
      </c>
      <c r="K1737" s="1394"/>
      <c r="Q1737" s="1394">
        <f>IFERROR(VLOOKUP(M1737,#REF!,3,0),0)</f>
        <v>0</v>
      </c>
      <c r="R1737" s="1394">
        <f t="shared" si="534"/>
        <v>0</v>
      </c>
      <c r="S1737" s="1394">
        <f>IFERROR(VLOOKUP(M1737,#REF!,6,0),0)</f>
        <v>0</v>
      </c>
      <c r="T1737" s="1394">
        <f t="shared" si="535"/>
        <v>0</v>
      </c>
      <c r="U1737" s="1394">
        <f>IFERROR(VLOOKUP(M1737,#REF!,5,0),0)</f>
        <v>0</v>
      </c>
      <c r="V1737" s="1394">
        <f t="shared" si="536"/>
        <v>0</v>
      </c>
      <c r="W1737" s="1394"/>
    </row>
    <row r="1738" spans="1:26" ht="30" customHeight="1">
      <c r="B1738" s="1407"/>
      <c r="C1738" s="1455"/>
      <c r="D1738" s="103"/>
      <c r="E1738" s="103"/>
      <c r="F1738" s="1413"/>
      <c r="G1738" s="1483" t="s">
        <v>11</v>
      </c>
      <c r="H1738" s="1429">
        <f>I1737</f>
        <v>80.699999999999989</v>
      </c>
      <c r="I1738" s="1427" t="s">
        <v>26</v>
      </c>
      <c r="J1738" s="1394"/>
      <c r="K1738" s="1394"/>
      <c r="M1738" s="1426" t="str">
        <f>A1668</f>
        <v>d. In Second FloorBrick partition work in C.M. 1:4 Kiln Burnt Country bricks of size 22 x 11 x 7 cm (8 3/4" x 4 1/4" x 2 3/4") 110 mm tk (B.P.)</v>
      </c>
      <c r="N1738" s="1426">
        <f>B1668</f>
        <v>0</v>
      </c>
      <c r="O1738" s="1394">
        <f>H1738</f>
        <v>80.699999999999989</v>
      </c>
      <c r="P1738" s="1394" t="str">
        <f>I1738</f>
        <v>Sqm</v>
      </c>
      <c r="Q1738" s="1394">
        <f>IFERROR(VLOOKUP(M1738,#REF!,3,0),0)</f>
        <v>0</v>
      </c>
      <c r="R1738" s="1394">
        <f t="shared" si="534"/>
        <v>0</v>
      </c>
      <c r="S1738" s="1394">
        <f>IFERROR(VLOOKUP(M1738,#REF!,6,0),0)</f>
        <v>0</v>
      </c>
      <c r="T1738" s="1394">
        <f t="shared" si="535"/>
        <v>0</v>
      </c>
      <c r="U1738" s="1394">
        <f>IFERROR(VLOOKUP(M1738,#REF!,5,0),0)</f>
        <v>0</v>
      </c>
      <c r="V1738" s="1394">
        <f t="shared" si="536"/>
        <v>80.699999999999989</v>
      </c>
      <c r="W1738" s="1394"/>
      <c r="Z1738" s="1394"/>
    </row>
    <row r="1739" spans="1:26" ht="30" customHeight="1">
      <c r="A1739" s="110" t="s">
        <v>351</v>
      </c>
      <c r="B1739" s="1407"/>
      <c r="C1739" s="1678" t="e">
        <f>VLOOKUP(A1739,#REF!,2,0)</f>
        <v>#REF!</v>
      </c>
      <c r="D1739" s="1678"/>
      <c r="E1739" s="1678"/>
      <c r="F1739" s="1678"/>
      <c r="G1739" s="1678"/>
      <c r="H1739" s="1678"/>
      <c r="I1739" s="1406"/>
      <c r="Q1739" s="1394">
        <f>IFERROR(VLOOKUP(M1739,#REF!,3,0),0)</f>
        <v>0</v>
      </c>
      <c r="R1739" s="1394">
        <f t="shared" si="534"/>
        <v>0</v>
      </c>
      <c r="S1739" s="1394">
        <f>IFERROR(VLOOKUP(M1739,#REF!,6,0),0)</f>
        <v>0</v>
      </c>
      <c r="T1739" s="1394">
        <f t="shared" si="535"/>
        <v>0</v>
      </c>
      <c r="U1739" s="1394">
        <f>IFERROR(VLOOKUP(M1739,#REF!,5,0),0)</f>
        <v>0</v>
      </c>
      <c r="V1739" s="1394">
        <f t="shared" si="536"/>
        <v>0</v>
      </c>
      <c r="W1739" s="1394"/>
      <c r="X1739" s="1397"/>
    </row>
    <row r="1740" spans="1:26" ht="30" customHeight="1">
      <c r="B1740" s="1407"/>
      <c r="C1740" s="1412" t="s">
        <v>5643</v>
      </c>
      <c r="D1740" s="103"/>
      <c r="E1740" s="103"/>
      <c r="F1740" s="1413"/>
      <c r="G1740" s="1413"/>
      <c r="H1740" s="1414"/>
      <c r="I1740" s="1406"/>
      <c r="Q1740" s="1394">
        <f>IFERROR(VLOOKUP(M1740,#REF!,3,0),0)</f>
        <v>0</v>
      </c>
      <c r="R1740" s="1394">
        <f t="shared" si="534"/>
        <v>0</v>
      </c>
      <c r="S1740" s="1394">
        <f>IFERROR(VLOOKUP(M1740,#REF!,6,0),0)</f>
        <v>0</v>
      </c>
      <c r="T1740" s="1394">
        <f t="shared" si="535"/>
        <v>0</v>
      </c>
      <c r="U1740" s="1394">
        <f>IFERROR(VLOOKUP(M1740,#REF!,5,0),0)</f>
        <v>0</v>
      </c>
      <c r="V1740" s="1394">
        <f t="shared" si="536"/>
        <v>0</v>
      </c>
      <c r="W1740" s="1394"/>
    </row>
    <row r="1741" spans="1:26" ht="30" customHeight="1">
      <c r="B1741" s="1407"/>
      <c r="C1741" s="1455" t="s">
        <v>401</v>
      </c>
      <c r="D1741" s="103">
        <v>1</v>
      </c>
      <c r="E1741" s="103">
        <v>1</v>
      </c>
      <c r="F1741" s="1413">
        <v>0.6</v>
      </c>
      <c r="G1741" s="1413"/>
      <c r="H1741" s="1414">
        <v>2.1</v>
      </c>
      <c r="I1741" s="1425">
        <f>PRODUCT(D1741:H1741)</f>
        <v>1.26</v>
      </c>
      <c r="Q1741" s="1394">
        <f>IFERROR(VLOOKUP(M1741,#REF!,3,0),0)</f>
        <v>0</v>
      </c>
      <c r="R1741" s="1394">
        <f t="shared" si="534"/>
        <v>0</v>
      </c>
      <c r="S1741" s="1394">
        <f>IFERROR(VLOOKUP(M1741,#REF!,6,0),0)</f>
        <v>0</v>
      </c>
      <c r="T1741" s="1394">
        <f t="shared" si="535"/>
        <v>0</v>
      </c>
      <c r="U1741" s="1394">
        <f>IFERROR(VLOOKUP(M1741,#REF!,5,0),0)</f>
        <v>0</v>
      </c>
      <c r="V1741" s="1394">
        <f t="shared" si="536"/>
        <v>0</v>
      </c>
      <c r="W1741" s="1394"/>
    </row>
    <row r="1742" spans="1:26" ht="30" customHeight="1">
      <c r="B1742" s="1407"/>
      <c r="C1742" s="1455" t="s">
        <v>5657</v>
      </c>
      <c r="D1742" s="103">
        <v>1</v>
      </c>
      <c r="E1742" s="103">
        <v>1</v>
      </c>
      <c r="F1742" s="1413">
        <v>1.5</v>
      </c>
      <c r="G1742" s="1413"/>
      <c r="H1742" s="1414">
        <f>H1693</f>
        <v>2.92</v>
      </c>
      <c r="I1742" s="1425">
        <f t="shared" ref="I1742:I1793" si="542">PRODUCT(D1742:H1742)</f>
        <v>4.38</v>
      </c>
      <c r="Q1742" s="1394">
        <f>IFERROR(VLOOKUP(M1742,#REF!,3,0),0)</f>
        <v>0</v>
      </c>
      <c r="R1742" s="1394">
        <f t="shared" si="534"/>
        <v>0</v>
      </c>
      <c r="S1742" s="1394">
        <f>IFERROR(VLOOKUP(M1742,#REF!,6,0),0)</f>
        <v>0</v>
      </c>
      <c r="T1742" s="1394">
        <f t="shared" si="535"/>
        <v>0</v>
      </c>
      <c r="U1742" s="1394">
        <f>IFERROR(VLOOKUP(M1742,#REF!,5,0),0)</f>
        <v>0</v>
      </c>
      <c r="V1742" s="1394">
        <f t="shared" si="536"/>
        <v>0</v>
      </c>
      <c r="W1742" s="1394"/>
    </row>
    <row r="1743" spans="1:26" ht="30" customHeight="1">
      <c r="B1743" s="1407"/>
      <c r="C1743" s="1455" t="s">
        <v>5660</v>
      </c>
      <c r="D1743" s="103">
        <v>1</v>
      </c>
      <c r="E1743" s="103">
        <v>1</v>
      </c>
      <c r="F1743" s="1413">
        <v>1.5</v>
      </c>
      <c r="G1743" s="1413"/>
      <c r="H1743" s="1414">
        <f>H1742</f>
        <v>2.92</v>
      </c>
      <c r="I1743" s="1425">
        <f t="shared" si="542"/>
        <v>4.38</v>
      </c>
      <c r="Q1743" s="1394">
        <f>IFERROR(VLOOKUP(M1743,#REF!,3,0),0)</f>
        <v>0</v>
      </c>
      <c r="R1743" s="1394">
        <f t="shared" si="534"/>
        <v>0</v>
      </c>
      <c r="S1743" s="1394">
        <f>IFERROR(VLOOKUP(M1743,#REF!,6,0),0)</f>
        <v>0</v>
      </c>
      <c r="T1743" s="1394">
        <f t="shared" si="535"/>
        <v>0</v>
      </c>
      <c r="U1743" s="1394">
        <f>IFERROR(VLOOKUP(M1743,#REF!,5,0),0)</f>
        <v>0</v>
      </c>
      <c r="V1743" s="1394">
        <f t="shared" si="536"/>
        <v>0</v>
      </c>
      <c r="W1743" s="1394"/>
    </row>
    <row r="1744" spans="1:26" ht="30" customHeight="1">
      <c r="B1744" s="1407"/>
      <c r="C1744" s="1412" t="s">
        <v>5593</v>
      </c>
      <c r="D1744" s="103"/>
      <c r="E1744" s="103"/>
      <c r="F1744" s="1413"/>
      <c r="G1744" s="1413"/>
      <c r="H1744" s="1414"/>
      <c r="I1744" s="1425">
        <f t="shared" si="542"/>
        <v>0</v>
      </c>
      <c r="M1744" s="110"/>
      <c r="Q1744" s="1394">
        <f>IFERROR(VLOOKUP(M1744,#REF!,3,0),0)</f>
        <v>0</v>
      </c>
      <c r="R1744" s="1394">
        <f t="shared" si="534"/>
        <v>0</v>
      </c>
      <c r="S1744" s="1394">
        <f>IFERROR(VLOOKUP(M1744,#REF!,6,0),0)</f>
        <v>0</v>
      </c>
      <c r="T1744" s="1394">
        <f t="shared" si="535"/>
        <v>0</v>
      </c>
      <c r="U1744" s="1394">
        <f>IFERROR(VLOOKUP(M1744,#REF!,5,0),0)</f>
        <v>0</v>
      </c>
      <c r="V1744" s="1394">
        <f t="shared" si="536"/>
        <v>0</v>
      </c>
      <c r="W1744" s="1394"/>
    </row>
    <row r="1745" spans="2:23" ht="30" customHeight="1">
      <c r="B1745" s="1407"/>
      <c r="C1745" s="1455" t="s">
        <v>401</v>
      </c>
      <c r="D1745" s="103">
        <v>1</v>
      </c>
      <c r="E1745" s="103">
        <v>1</v>
      </c>
      <c r="F1745" s="1413">
        <v>0.6</v>
      </c>
      <c r="G1745" s="1413"/>
      <c r="H1745" s="1414">
        <v>2.1</v>
      </c>
      <c r="I1745" s="1425">
        <f t="shared" si="542"/>
        <v>1.26</v>
      </c>
      <c r="M1745" s="110"/>
      <c r="Q1745" s="1394">
        <f>IFERROR(VLOOKUP(M1745,#REF!,3,0),0)</f>
        <v>0</v>
      </c>
      <c r="R1745" s="1394">
        <f t="shared" si="534"/>
        <v>0</v>
      </c>
      <c r="S1745" s="1394">
        <f>IFERROR(VLOOKUP(M1745,#REF!,6,0),0)</f>
        <v>0</v>
      </c>
      <c r="T1745" s="1394">
        <f t="shared" si="535"/>
        <v>0</v>
      </c>
      <c r="U1745" s="1394">
        <f>IFERROR(VLOOKUP(M1745,#REF!,5,0),0)</f>
        <v>0</v>
      </c>
      <c r="V1745" s="1394">
        <f t="shared" si="536"/>
        <v>0</v>
      </c>
      <c r="W1745" s="1394"/>
    </row>
    <row r="1746" spans="2:23" ht="30" customHeight="1">
      <c r="B1746" s="1407"/>
      <c r="C1746" s="1455" t="s">
        <v>5767</v>
      </c>
      <c r="D1746" s="103">
        <v>1</v>
      </c>
      <c r="E1746" s="103">
        <v>1</v>
      </c>
      <c r="F1746" s="1413">
        <v>1.8</v>
      </c>
      <c r="G1746" s="1413"/>
      <c r="H1746" s="1414">
        <f>H1743</f>
        <v>2.92</v>
      </c>
      <c r="I1746" s="1425">
        <f t="shared" si="542"/>
        <v>5.2560000000000002</v>
      </c>
      <c r="M1746" s="110"/>
      <c r="Q1746" s="1394">
        <f>IFERROR(VLOOKUP(M1746,#REF!,3,0),0)</f>
        <v>0</v>
      </c>
      <c r="R1746" s="1394">
        <f t="shared" si="534"/>
        <v>0</v>
      </c>
      <c r="S1746" s="1394">
        <f>IFERROR(VLOOKUP(M1746,#REF!,6,0),0)</f>
        <v>0</v>
      </c>
      <c r="T1746" s="1394">
        <f t="shared" si="535"/>
        <v>0</v>
      </c>
      <c r="U1746" s="1394">
        <f>IFERROR(VLOOKUP(M1746,#REF!,5,0),0)</f>
        <v>0</v>
      </c>
      <c r="V1746" s="1394">
        <f t="shared" si="536"/>
        <v>0</v>
      </c>
      <c r="W1746" s="1394"/>
    </row>
    <row r="1747" spans="2:23" ht="30" customHeight="1">
      <c r="B1747" s="1407"/>
      <c r="C1747" s="1455" t="s">
        <v>5767</v>
      </c>
      <c r="D1747" s="103">
        <v>1</v>
      </c>
      <c r="E1747" s="103">
        <v>1</v>
      </c>
      <c r="F1747" s="1413">
        <v>3.2759999999999998</v>
      </c>
      <c r="G1747" s="1413"/>
      <c r="H1747" s="1414">
        <f>H1746</f>
        <v>2.92</v>
      </c>
      <c r="I1747" s="1425">
        <f t="shared" si="542"/>
        <v>9.5659199999999984</v>
      </c>
      <c r="M1747" s="110"/>
      <c r="Q1747" s="1394">
        <f>IFERROR(VLOOKUP(M1747,#REF!,3,0),0)</f>
        <v>0</v>
      </c>
      <c r="R1747" s="1394">
        <f t="shared" si="534"/>
        <v>0</v>
      </c>
      <c r="S1747" s="1394">
        <f>IFERROR(VLOOKUP(M1747,#REF!,6,0),0)</f>
        <v>0</v>
      </c>
      <c r="T1747" s="1394">
        <f t="shared" si="535"/>
        <v>0</v>
      </c>
      <c r="U1747" s="1394">
        <f>IFERROR(VLOOKUP(M1747,#REF!,5,0),0)</f>
        <v>0</v>
      </c>
      <c r="V1747" s="1394">
        <f t="shared" si="536"/>
        <v>0</v>
      </c>
      <c r="W1747" s="1394"/>
    </row>
    <row r="1748" spans="2:23" ht="30" customHeight="1">
      <c r="B1748" s="1407"/>
      <c r="C1748" s="1412" t="s">
        <v>5765</v>
      </c>
      <c r="D1748" s="103"/>
      <c r="E1748" s="103"/>
      <c r="F1748" s="1413"/>
      <c r="G1748" s="1413"/>
      <c r="H1748" s="1414"/>
      <c r="I1748" s="1425">
        <f t="shared" si="542"/>
        <v>0</v>
      </c>
      <c r="M1748" s="110"/>
      <c r="Q1748" s="1394">
        <f>IFERROR(VLOOKUP(M1748,#REF!,3,0),0)</f>
        <v>0</v>
      </c>
      <c r="R1748" s="1394">
        <f t="shared" si="534"/>
        <v>0</v>
      </c>
      <c r="S1748" s="1394">
        <f>IFERROR(VLOOKUP(M1748,#REF!,6,0),0)</f>
        <v>0</v>
      </c>
      <c r="T1748" s="1394">
        <f t="shared" si="535"/>
        <v>0</v>
      </c>
      <c r="U1748" s="1394">
        <f>IFERROR(VLOOKUP(M1748,#REF!,5,0),0)</f>
        <v>0</v>
      </c>
      <c r="V1748" s="1394">
        <f t="shared" si="536"/>
        <v>0</v>
      </c>
      <c r="W1748" s="1394"/>
    </row>
    <row r="1749" spans="2:23" ht="30" customHeight="1">
      <c r="B1749" s="1407"/>
      <c r="C1749" s="1455" t="s">
        <v>5664</v>
      </c>
      <c r="D1749" s="103">
        <v>1</v>
      </c>
      <c r="E1749" s="103">
        <v>1</v>
      </c>
      <c r="F1749" s="1413">
        <v>0.6</v>
      </c>
      <c r="G1749" s="1413"/>
      <c r="H1749" s="1414">
        <v>2.1</v>
      </c>
      <c r="I1749" s="1425">
        <f t="shared" si="542"/>
        <v>1.26</v>
      </c>
      <c r="M1749" s="110"/>
      <c r="Q1749" s="1394">
        <f>IFERROR(VLOOKUP(M1749,#REF!,3,0),0)</f>
        <v>0</v>
      </c>
      <c r="R1749" s="1394">
        <f t="shared" si="534"/>
        <v>0</v>
      </c>
      <c r="S1749" s="1394">
        <f>IFERROR(VLOOKUP(M1749,#REF!,6,0),0)</f>
        <v>0</v>
      </c>
      <c r="T1749" s="1394">
        <f t="shared" si="535"/>
        <v>0</v>
      </c>
      <c r="U1749" s="1394">
        <f>IFERROR(VLOOKUP(M1749,#REF!,5,0),0)</f>
        <v>0</v>
      </c>
      <c r="V1749" s="1394">
        <f t="shared" si="536"/>
        <v>0</v>
      </c>
      <c r="W1749" s="1394"/>
    </row>
    <row r="1750" spans="2:23" ht="30" customHeight="1">
      <c r="B1750" s="1407"/>
      <c r="C1750" s="1455" t="s">
        <v>5665</v>
      </c>
      <c r="D1750" s="103">
        <v>1</v>
      </c>
      <c r="E1750" s="103">
        <v>1</v>
      </c>
      <c r="F1750" s="1413">
        <v>1.5</v>
      </c>
      <c r="G1750" s="1413"/>
      <c r="H1750" s="1414">
        <f>H1747</f>
        <v>2.92</v>
      </c>
      <c r="I1750" s="1425">
        <f t="shared" si="542"/>
        <v>4.38</v>
      </c>
      <c r="M1750" s="110"/>
      <c r="Q1750" s="1394">
        <f>IFERROR(VLOOKUP(M1750,#REF!,3,0),0)</f>
        <v>0</v>
      </c>
      <c r="R1750" s="1394">
        <f t="shared" si="534"/>
        <v>0</v>
      </c>
      <c r="S1750" s="1394">
        <f>IFERROR(VLOOKUP(M1750,#REF!,6,0),0)</f>
        <v>0</v>
      </c>
      <c r="T1750" s="1394">
        <f t="shared" si="535"/>
        <v>0</v>
      </c>
      <c r="U1750" s="1394">
        <f>IFERROR(VLOOKUP(M1750,#REF!,5,0),0)</f>
        <v>0</v>
      </c>
      <c r="V1750" s="1394">
        <f t="shared" si="536"/>
        <v>0</v>
      </c>
      <c r="W1750" s="1394"/>
    </row>
    <row r="1751" spans="2:23" ht="30" customHeight="1">
      <c r="B1751" s="1407"/>
      <c r="C1751" s="1455" t="s">
        <v>5666</v>
      </c>
      <c r="D1751" s="103">
        <v>1</v>
      </c>
      <c r="E1751" s="103">
        <v>1</v>
      </c>
      <c r="F1751" s="1413">
        <v>1.5</v>
      </c>
      <c r="G1751" s="1413"/>
      <c r="H1751" s="1414">
        <f>H1750</f>
        <v>2.92</v>
      </c>
      <c r="I1751" s="1425">
        <f t="shared" si="542"/>
        <v>4.38</v>
      </c>
      <c r="M1751" s="110"/>
      <c r="Q1751" s="1394">
        <f>IFERROR(VLOOKUP(M1751,#REF!,3,0),0)</f>
        <v>0</v>
      </c>
      <c r="R1751" s="1394">
        <f t="shared" si="534"/>
        <v>0</v>
      </c>
      <c r="S1751" s="1394">
        <f>IFERROR(VLOOKUP(M1751,#REF!,6,0),0)</f>
        <v>0</v>
      </c>
      <c r="T1751" s="1394">
        <f t="shared" si="535"/>
        <v>0</v>
      </c>
      <c r="U1751" s="1394">
        <f>IFERROR(VLOOKUP(M1751,#REF!,5,0),0)</f>
        <v>0</v>
      </c>
      <c r="V1751" s="1394">
        <f t="shared" si="536"/>
        <v>0</v>
      </c>
      <c r="W1751" s="1394"/>
    </row>
    <row r="1752" spans="2:23" ht="30" customHeight="1">
      <c r="B1752" s="1407"/>
      <c r="C1752" s="1412" t="s">
        <v>5752</v>
      </c>
      <c r="D1752" s="103"/>
      <c r="E1752" s="103"/>
      <c r="F1752" s="1413"/>
      <c r="G1752" s="1413"/>
      <c r="H1752" s="1414"/>
      <c r="I1752" s="1425">
        <f t="shared" si="542"/>
        <v>0</v>
      </c>
      <c r="Q1752" s="1394">
        <f>IFERROR(VLOOKUP(M1752,#REF!,3,0),0)</f>
        <v>0</v>
      </c>
      <c r="R1752" s="1394">
        <f t="shared" si="534"/>
        <v>0</v>
      </c>
      <c r="S1752" s="1394">
        <f>IFERROR(VLOOKUP(M1752,#REF!,6,0),0)</f>
        <v>0</v>
      </c>
      <c r="T1752" s="1394">
        <f t="shared" si="535"/>
        <v>0</v>
      </c>
      <c r="U1752" s="1394">
        <f>IFERROR(VLOOKUP(M1752,#REF!,5,0),0)</f>
        <v>0</v>
      </c>
      <c r="V1752" s="1394">
        <f t="shared" si="536"/>
        <v>0</v>
      </c>
      <c r="W1752" s="1394"/>
    </row>
    <row r="1753" spans="2:23" ht="30" customHeight="1">
      <c r="B1753" s="1407"/>
      <c r="C1753" s="1455" t="s">
        <v>5664</v>
      </c>
      <c r="D1753" s="103">
        <v>1</v>
      </c>
      <c r="E1753" s="103">
        <v>1</v>
      </c>
      <c r="F1753" s="1413">
        <v>0.6</v>
      </c>
      <c r="G1753" s="1413"/>
      <c r="H1753" s="1414">
        <v>2.1</v>
      </c>
      <c r="I1753" s="1425">
        <f t="shared" si="542"/>
        <v>1.26</v>
      </c>
      <c r="Q1753" s="1394">
        <f>IFERROR(VLOOKUP(M1753,#REF!,3,0),0)</f>
        <v>0</v>
      </c>
      <c r="R1753" s="1394">
        <f t="shared" si="534"/>
        <v>0</v>
      </c>
      <c r="S1753" s="1394">
        <f>IFERROR(VLOOKUP(M1753,#REF!,6,0),0)</f>
        <v>0</v>
      </c>
      <c r="T1753" s="1394">
        <f t="shared" si="535"/>
        <v>0</v>
      </c>
      <c r="U1753" s="1394">
        <f>IFERROR(VLOOKUP(M1753,#REF!,5,0),0)</f>
        <v>0</v>
      </c>
      <c r="V1753" s="1394">
        <f t="shared" si="536"/>
        <v>0</v>
      </c>
      <c r="W1753" s="1394"/>
    </row>
    <row r="1754" spans="2:23" ht="30" customHeight="1">
      <c r="B1754" s="1407"/>
      <c r="C1754" s="1455" t="s">
        <v>5766</v>
      </c>
      <c r="D1754" s="103">
        <v>1</v>
      </c>
      <c r="E1754" s="103">
        <v>1</v>
      </c>
      <c r="F1754" s="1413">
        <v>1.1000000000000001</v>
      </c>
      <c r="G1754" s="1413"/>
      <c r="H1754" s="1414">
        <f>H1751</f>
        <v>2.92</v>
      </c>
      <c r="I1754" s="1425">
        <f t="shared" si="542"/>
        <v>3.2120000000000002</v>
      </c>
      <c r="Q1754" s="1394">
        <f>IFERROR(VLOOKUP(M1754,#REF!,3,0),0)</f>
        <v>0</v>
      </c>
      <c r="R1754" s="1394">
        <f t="shared" si="534"/>
        <v>0</v>
      </c>
      <c r="S1754" s="1394">
        <f>IFERROR(VLOOKUP(M1754,#REF!,6,0),0)</f>
        <v>0</v>
      </c>
      <c r="T1754" s="1394">
        <f t="shared" si="535"/>
        <v>0</v>
      </c>
      <c r="U1754" s="1394">
        <f>IFERROR(VLOOKUP(M1754,#REF!,5,0),0)</f>
        <v>0</v>
      </c>
      <c r="V1754" s="1394">
        <f t="shared" si="536"/>
        <v>0</v>
      </c>
      <c r="W1754" s="1394"/>
    </row>
    <row r="1755" spans="2:23" ht="30" customHeight="1">
      <c r="B1755" s="1407"/>
      <c r="C1755" s="1412" t="s">
        <v>5643</v>
      </c>
      <c r="D1755" s="103"/>
      <c r="E1755" s="103"/>
      <c r="F1755" s="1413"/>
      <c r="G1755" s="1413"/>
      <c r="H1755" s="1414"/>
      <c r="I1755" s="1425">
        <f t="shared" si="542"/>
        <v>0</v>
      </c>
      <c r="Q1755" s="1394">
        <f>IFERROR(VLOOKUP(M1755,#REF!,3,0),0)</f>
        <v>0</v>
      </c>
      <c r="R1755" s="1394">
        <f t="shared" si="534"/>
        <v>0</v>
      </c>
      <c r="S1755" s="1394">
        <f>IFERROR(VLOOKUP(M1755,#REF!,6,0),0)</f>
        <v>0</v>
      </c>
      <c r="T1755" s="1394">
        <f t="shared" si="535"/>
        <v>0</v>
      </c>
      <c r="U1755" s="1394">
        <f>IFERROR(VLOOKUP(M1755,#REF!,5,0),0)</f>
        <v>0</v>
      </c>
      <c r="V1755" s="1394">
        <f t="shared" si="536"/>
        <v>0</v>
      </c>
      <c r="W1755" s="1394"/>
    </row>
    <row r="1756" spans="2:23" ht="30" customHeight="1">
      <c r="B1756" s="1407"/>
      <c r="C1756" s="1455" t="s">
        <v>5664</v>
      </c>
      <c r="D1756" s="103">
        <v>1</v>
      </c>
      <c r="E1756" s="103">
        <v>1</v>
      </c>
      <c r="F1756" s="1413">
        <v>0.6</v>
      </c>
      <c r="G1756" s="1413"/>
      <c r="H1756" s="1414">
        <v>2.1</v>
      </c>
      <c r="I1756" s="1425">
        <f t="shared" si="542"/>
        <v>1.26</v>
      </c>
      <c r="Q1756" s="1394">
        <f>IFERROR(VLOOKUP(M1756,#REF!,3,0),0)</f>
        <v>0</v>
      </c>
      <c r="R1756" s="1394">
        <f t="shared" si="534"/>
        <v>0</v>
      </c>
      <c r="S1756" s="1394">
        <f>IFERROR(VLOOKUP(M1756,#REF!,6,0),0)</f>
        <v>0</v>
      </c>
      <c r="T1756" s="1394">
        <f t="shared" si="535"/>
        <v>0</v>
      </c>
      <c r="U1756" s="1394">
        <f>IFERROR(VLOOKUP(M1756,#REF!,5,0),0)</f>
        <v>0</v>
      </c>
      <c r="V1756" s="1394">
        <f t="shared" si="536"/>
        <v>0</v>
      </c>
      <c r="W1756" s="1394"/>
    </row>
    <row r="1757" spans="2:23" ht="30" customHeight="1">
      <c r="B1757" s="1407"/>
      <c r="C1757" s="1455" t="s">
        <v>5676</v>
      </c>
      <c r="D1757" s="103">
        <v>1</v>
      </c>
      <c r="E1757" s="103">
        <v>1</v>
      </c>
      <c r="F1757" s="1413">
        <v>2.7450000000000001</v>
      </c>
      <c r="G1757" s="1413"/>
      <c r="H1757" s="1414">
        <f>H1754</f>
        <v>2.92</v>
      </c>
      <c r="I1757" s="1425">
        <f t="shared" si="542"/>
        <v>8.0153999999999996</v>
      </c>
      <c r="Q1757" s="1394">
        <f>IFERROR(VLOOKUP(M1757,#REF!,3,0),0)</f>
        <v>0</v>
      </c>
      <c r="R1757" s="1394">
        <f t="shared" si="534"/>
        <v>0</v>
      </c>
      <c r="S1757" s="1394">
        <f>IFERROR(VLOOKUP(M1757,#REF!,6,0),0)</f>
        <v>0</v>
      </c>
      <c r="T1757" s="1394">
        <f t="shared" si="535"/>
        <v>0</v>
      </c>
      <c r="U1757" s="1394">
        <f>IFERROR(VLOOKUP(M1757,#REF!,5,0),0)</f>
        <v>0</v>
      </c>
      <c r="V1757" s="1394">
        <f t="shared" si="536"/>
        <v>0</v>
      </c>
      <c r="W1757" s="1394"/>
    </row>
    <row r="1758" spans="2:23" ht="30" customHeight="1">
      <c r="B1758" s="1407"/>
      <c r="C1758" s="1455" t="s">
        <v>5677</v>
      </c>
      <c r="D1758" s="103">
        <v>1</v>
      </c>
      <c r="E1758" s="103">
        <v>1</v>
      </c>
      <c r="F1758" s="1413">
        <v>2.4350000000000001</v>
      </c>
      <c r="G1758" s="1413"/>
      <c r="H1758" s="1414">
        <f>H1757</f>
        <v>2.92</v>
      </c>
      <c r="I1758" s="1425">
        <f t="shared" si="542"/>
        <v>7.1101999999999999</v>
      </c>
      <c r="Q1758" s="1394">
        <f>IFERROR(VLOOKUP(M1758,#REF!,3,0),0)</f>
        <v>0</v>
      </c>
      <c r="R1758" s="1394">
        <f t="shared" si="534"/>
        <v>0</v>
      </c>
      <c r="S1758" s="1394">
        <f>IFERROR(VLOOKUP(M1758,#REF!,6,0),0)</f>
        <v>0</v>
      </c>
      <c r="T1758" s="1394">
        <f t="shared" si="535"/>
        <v>0</v>
      </c>
      <c r="U1758" s="1394">
        <f>IFERROR(VLOOKUP(M1758,#REF!,5,0),0)</f>
        <v>0</v>
      </c>
      <c r="V1758" s="1394">
        <f t="shared" si="536"/>
        <v>0</v>
      </c>
      <c r="W1758" s="1394"/>
    </row>
    <row r="1759" spans="2:23" ht="30" customHeight="1">
      <c r="B1759" s="1407"/>
      <c r="C1759" s="1412" t="s">
        <v>5751</v>
      </c>
      <c r="D1759" s="103"/>
      <c r="E1759" s="103"/>
      <c r="F1759" s="1413"/>
      <c r="G1759" s="1413"/>
      <c r="H1759" s="1414"/>
      <c r="I1759" s="1425">
        <f t="shared" si="542"/>
        <v>0</v>
      </c>
      <c r="Q1759" s="1394">
        <f>IFERROR(VLOOKUP(M1759,#REF!,3,0),0)</f>
        <v>0</v>
      </c>
      <c r="R1759" s="1394">
        <f t="shared" si="534"/>
        <v>0</v>
      </c>
      <c r="S1759" s="1394">
        <f>IFERROR(VLOOKUP(M1759,#REF!,6,0),0)</f>
        <v>0</v>
      </c>
      <c r="T1759" s="1394">
        <f t="shared" si="535"/>
        <v>0</v>
      </c>
      <c r="U1759" s="1394">
        <f>IFERROR(VLOOKUP(M1759,#REF!,5,0),0)</f>
        <v>0</v>
      </c>
      <c r="V1759" s="1394">
        <f t="shared" si="536"/>
        <v>0</v>
      </c>
      <c r="W1759" s="1394"/>
    </row>
    <row r="1760" spans="2:23" ht="30" customHeight="1">
      <c r="B1760" s="1407"/>
      <c r="C1760" s="1455" t="s">
        <v>5768</v>
      </c>
      <c r="D1760" s="103">
        <v>1</v>
      </c>
      <c r="E1760" s="103">
        <v>2</v>
      </c>
      <c r="F1760" s="1413">
        <f>1.5+0.115</f>
        <v>1.615</v>
      </c>
      <c r="G1760" s="1413"/>
      <c r="H1760" s="1414">
        <f>H1757</f>
        <v>2.92</v>
      </c>
      <c r="I1760" s="1425">
        <f t="shared" si="542"/>
        <v>9.4315999999999995</v>
      </c>
      <c r="Q1760" s="1394">
        <f>IFERROR(VLOOKUP(M1760,#REF!,3,0),0)</f>
        <v>0</v>
      </c>
      <c r="R1760" s="1394">
        <f t="shared" si="534"/>
        <v>0</v>
      </c>
      <c r="S1760" s="1394">
        <f>IFERROR(VLOOKUP(M1760,#REF!,6,0),0)</f>
        <v>0</v>
      </c>
      <c r="T1760" s="1394">
        <f t="shared" si="535"/>
        <v>0</v>
      </c>
      <c r="U1760" s="1394">
        <f>IFERROR(VLOOKUP(M1760,#REF!,5,0),0)</f>
        <v>0</v>
      </c>
      <c r="V1760" s="1394">
        <f t="shared" si="536"/>
        <v>0</v>
      </c>
      <c r="W1760" s="1394"/>
    </row>
    <row r="1761" spans="2:23" ht="30" customHeight="1">
      <c r="B1761" s="1407"/>
      <c r="C1761" s="1455" t="s">
        <v>5769</v>
      </c>
      <c r="D1761" s="103">
        <v>1</v>
      </c>
      <c r="E1761" s="103">
        <v>1</v>
      </c>
      <c r="F1761" s="1413">
        <f>2.27+0.6</f>
        <v>2.87</v>
      </c>
      <c r="G1761" s="1413"/>
      <c r="H1761" s="1414">
        <f>H1760</f>
        <v>2.92</v>
      </c>
      <c r="I1761" s="1425">
        <f t="shared" si="542"/>
        <v>8.3803999999999998</v>
      </c>
      <c r="Q1761" s="1394">
        <f>IFERROR(VLOOKUP(M1761,#REF!,3,0),0)</f>
        <v>0</v>
      </c>
      <c r="R1761" s="1394">
        <f t="shared" si="534"/>
        <v>0</v>
      </c>
      <c r="S1761" s="1394">
        <f>IFERROR(VLOOKUP(M1761,#REF!,6,0),0)</f>
        <v>0</v>
      </c>
      <c r="T1761" s="1394">
        <f t="shared" si="535"/>
        <v>0</v>
      </c>
      <c r="U1761" s="1394">
        <f>IFERROR(VLOOKUP(M1761,#REF!,5,0),0)</f>
        <v>0</v>
      </c>
      <c r="V1761" s="1394">
        <f t="shared" si="536"/>
        <v>0</v>
      </c>
      <c r="W1761" s="1394"/>
    </row>
    <row r="1762" spans="2:23" ht="30" customHeight="1">
      <c r="B1762" s="1407"/>
      <c r="C1762" s="1455" t="s">
        <v>5770</v>
      </c>
      <c r="D1762" s="103">
        <v>1</v>
      </c>
      <c r="E1762" s="103">
        <v>1</v>
      </c>
      <c r="F1762" s="1413">
        <v>3.9</v>
      </c>
      <c r="G1762" s="1413"/>
      <c r="H1762" s="1414">
        <f>H1761</f>
        <v>2.92</v>
      </c>
      <c r="I1762" s="1425">
        <f t="shared" si="542"/>
        <v>11.388</v>
      </c>
      <c r="Q1762" s="1394">
        <f>IFERROR(VLOOKUP(M1762,#REF!,3,0),0)</f>
        <v>0</v>
      </c>
      <c r="R1762" s="1394">
        <f t="shared" si="534"/>
        <v>0</v>
      </c>
      <c r="S1762" s="1394">
        <f>IFERROR(VLOOKUP(M1762,#REF!,6,0),0)</f>
        <v>0</v>
      </c>
      <c r="T1762" s="1394">
        <f t="shared" si="535"/>
        <v>0</v>
      </c>
      <c r="U1762" s="1394">
        <f>IFERROR(VLOOKUP(M1762,#REF!,5,0),0)</f>
        <v>0</v>
      </c>
      <c r="V1762" s="1394">
        <f t="shared" si="536"/>
        <v>0</v>
      </c>
      <c r="W1762" s="1394"/>
    </row>
    <row r="1763" spans="2:23" ht="30" customHeight="1">
      <c r="B1763" s="1407"/>
      <c r="C1763" s="1455" t="s">
        <v>5771</v>
      </c>
      <c r="D1763" s="103">
        <v>1</v>
      </c>
      <c r="E1763" s="103">
        <v>1</v>
      </c>
      <c r="F1763" s="1413">
        <v>3.9</v>
      </c>
      <c r="G1763" s="1413"/>
      <c r="H1763" s="1414">
        <f>H1762</f>
        <v>2.92</v>
      </c>
      <c r="I1763" s="1425">
        <f t="shared" si="542"/>
        <v>11.388</v>
      </c>
      <c r="Q1763" s="1394">
        <f>IFERROR(VLOOKUP(M1763,#REF!,3,0),0)</f>
        <v>0</v>
      </c>
      <c r="R1763" s="1394">
        <f t="shared" si="534"/>
        <v>0</v>
      </c>
      <c r="S1763" s="1394">
        <f>IFERROR(VLOOKUP(M1763,#REF!,6,0),0)</f>
        <v>0</v>
      </c>
      <c r="T1763" s="1394">
        <f t="shared" si="535"/>
        <v>0</v>
      </c>
      <c r="U1763" s="1394">
        <f>IFERROR(VLOOKUP(M1763,#REF!,5,0),0)</f>
        <v>0</v>
      </c>
      <c r="V1763" s="1394">
        <f t="shared" si="536"/>
        <v>0</v>
      </c>
      <c r="W1763" s="1394"/>
    </row>
    <row r="1764" spans="2:23" ht="30" customHeight="1">
      <c r="B1764" s="1407"/>
      <c r="C1764" s="1455" t="s">
        <v>5664</v>
      </c>
      <c r="D1764" s="103">
        <v>1</v>
      </c>
      <c r="E1764" s="103">
        <v>1</v>
      </c>
      <c r="F1764" s="1413">
        <v>0.6</v>
      </c>
      <c r="G1764" s="1413"/>
      <c r="H1764" s="1414">
        <v>2.1</v>
      </c>
      <c r="I1764" s="1425">
        <f t="shared" si="542"/>
        <v>1.26</v>
      </c>
      <c r="Q1764" s="1394">
        <f>IFERROR(VLOOKUP(M1764,#REF!,3,0),0)</f>
        <v>0</v>
      </c>
      <c r="R1764" s="1394">
        <f t="shared" si="534"/>
        <v>0</v>
      </c>
      <c r="S1764" s="1394">
        <f>IFERROR(VLOOKUP(M1764,#REF!,6,0),0)</f>
        <v>0</v>
      </c>
      <c r="T1764" s="1394">
        <f t="shared" si="535"/>
        <v>0</v>
      </c>
      <c r="U1764" s="1394">
        <f>IFERROR(VLOOKUP(M1764,#REF!,5,0),0)</f>
        <v>0</v>
      </c>
      <c r="V1764" s="1394">
        <f t="shared" si="536"/>
        <v>0</v>
      </c>
      <c r="W1764" s="1394"/>
    </row>
    <row r="1765" spans="2:23" ht="30" customHeight="1">
      <c r="B1765" s="1407"/>
      <c r="C1765" s="1412" t="s">
        <v>5672</v>
      </c>
      <c r="D1765" s="103"/>
      <c r="E1765" s="103"/>
      <c r="F1765" s="1413"/>
      <c r="G1765" s="1413"/>
      <c r="H1765" s="1414"/>
      <c r="I1765" s="1425">
        <f t="shared" si="542"/>
        <v>0</v>
      </c>
      <c r="M1765" s="110"/>
      <c r="Q1765" s="1394">
        <f>IFERROR(VLOOKUP(M1765,#REF!,3,0),0)</f>
        <v>0</v>
      </c>
      <c r="R1765" s="1394">
        <f t="shared" si="534"/>
        <v>0</v>
      </c>
      <c r="S1765" s="1394">
        <f>IFERROR(VLOOKUP(M1765,#REF!,6,0),0)</f>
        <v>0</v>
      </c>
      <c r="T1765" s="1394">
        <f t="shared" si="535"/>
        <v>0</v>
      </c>
      <c r="U1765" s="1394">
        <f>IFERROR(VLOOKUP(M1765,#REF!,5,0),0)</f>
        <v>0</v>
      </c>
      <c r="V1765" s="1394">
        <f t="shared" si="536"/>
        <v>0</v>
      </c>
      <c r="W1765" s="1394"/>
    </row>
    <row r="1766" spans="2:23" ht="30" customHeight="1">
      <c r="B1766" s="1407"/>
      <c r="C1766" s="1455" t="s">
        <v>188</v>
      </c>
      <c r="D1766" s="103">
        <v>-1</v>
      </c>
      <c r="E1766" s="103">
        <v>5</v>
      </c>
      <c r="F1766" s="1413">
        <f>VLOOKUP(C1766,Sheet1!$I$7:$P$39,2,0)</f>
        <v>0.75</v>
      </c>
      <c r="G1766" s="1413"/>
      <c r="H1766" s="1414">
        <f>VLOOKUP(C1766,Sheet1!$I$7:$P$39,3,0)</f>
        <v>2.1</v>
      </c>
      <c r="I1766" s="1425">
        <f t="shared" si="542"/>
        <v>-7.875</v>
      </c>
      <c r="M1766" s="110"/>
      <c r="Q1766" s="1394">
        <f>IFERROR(VLOOKUP(M1766,#REF!,3,0),0)</f>
        <v>0</v>
      </c>
      <c r="R1766" s="1394">
        <f t="shared" si="534"/>
        <v>0</v>
      </c>
      <c r="S1766" s="1394">
        <f>IFERROR(VLOOKUP(M1766,#REF!,6,0),0)</f>
        <v>0</v>
      </c>
      <c r="T1766" s="1394">
        <f t="shared" si="535"/>
        <v>0</v>
      </c>
      <c r="U1766" s="1394">
        <f>IFERROR(VLOOKUP(M1766,#REF!,5,0),0)</f>
        <v>0</v>
      </c>
      <c r="V1766" s="1394">
        <f t="shared" si="536"/>
        <v>0</v>
      </c>
      <c r="W1766" s="1394"/>
    </row>
    <row r="1767" spans="2:23" ht="30" customHeight="1">
      <c r="B1767" s="1407"/>
      <c r="C1767" s="1455" t="s">
        <v>5577</v>
      </c>
      <c r="D1767" s="103">
        <v>-1</v>
      </c>
      <c r="E1767" s="103">
        <v>1</v>
      </c>
      <c r="F1767" s="1413">
        <f>VLOOKUP(C1767,Sheet1!$I$7:$P$39,2,0)</f>
        <v>0.9</v>
      </c>
      <c r="G1767" s="1413"/>
      <c r="H1767" s="1414">
        <f>VLOOKUP(C1767,Sheet1!$I$7:$P$39,3,0)</f>
        <v>2.1</v>
      </c>
      <c r="I1767" s="1425">
        <f t="shared" si="542"/>
        <v>-1.8900000000000001</v>
      </c>
      <c r="M1767" s="110"/>
      <c r="Q1767" s="1394">
        <f>IFERROR(VLOOKUP(M1767,#REF!,3,0),0)</f>
        <v>0</v>
      </c>
      <c r="R1767" s="1394">
        <f t="shared" si="534"/>
        <v>0</v>
      </c>
      <c r="S1767" s="1394">
        <f>IFERROR(VLOOKUP(M1767,#REF!,6,0),0)</f>
        <v>0</v>
      </c>
      <c r="T1767" s="1394">
        <f t="shared" si="535"/>
        <v>0</v>
      </c>
      <c r="U1767" s="1394">
        <f>IFERROR(VLOOKUP(M1767,#REF!,5,0),0)</f>
        <v>0</v>
      </c>
      <c r="V1767" s="1394">
        <f t="shared" si="536"/>
        <v>0</v>
      </c>
      <c r="W1767" s="1394"/>
    </row>
    <row r="1768" spans="2:23" ht="30" customHeight="1">
      <c r="B1768" s="1407"/>
      <c r="C1768" s="1412" t="s">
        <v>5772</v>
      </c>
      <c r="D1768" s="103"/>
      <c r="E1768" s="103"/>
      <c r="F1768" s="1413"/>
      <c r="G1768" s="1413"/>
      <c r="H1768" s="1414"/>
      <c r="I1768" s="1425">
        <f t="shared" si="542"/>
        <v>0</v>
      </c>
      <c r="M1768" s="110"/>
      <c r="Q1768" s="1394">
        <f>IFERROR(VLOOKUP(M1768,#REF!,3,0),0)</f>
        <v>0</v>
      </c>
      <c r="R1768" s="1394">
        <f t="shared" si="534"/>
        <v>0</v>
      </c>
      <c r="S1768" s="1394">
        <f>IFERROR(VLOOKUP(M1768,#REF!,6,0),0)</f>
        <v>0</v>
      </c>
      <c r="T1768" s="1394">
        <f t="shared" si="535"/>
        <v>0</v>
      </c>
      <c r="U1768" s="1394">
        <f>IFERROR(VLOOKUP(M1768,#REF!,5,0),0)</f>
        <v>0</v>
      </c>
      <c r="V1768" s="1394">
        <f t="shared" si="536"/>
        <v>0</v>
      </c>
      <c r="W1768" s="1394"/>
    </row>
    <row r="1769" spans="2:23" ht="30" customHeight="1">
      <c r="B1769" s="1407"/>
      <c r="C1769" s="1412" t="str">
        <f t="shared" ref="C1769:H1778" si="543">C1740</f>
        <v>Men Rest Room</v>
      </c>
      <c r="D1769" s="103">
        <f t="shared" si="543"/>
        <v>0</v>
      </c>
      <c r="E1769" s="103">
        <f t="shared" si="543"/>
        <v>0</v>
      </c>
      <c r="F1769" s="1413">
        <f t="shared" si="543"/>
        <v>0</v>
      </c>
      <c r="G1769" s="1413"/>
      <c r="H1769" s="1414">
        <f t="shared" si="543"/>
        <v>0</v>
      </c>
      <c r="I1769" s="1425">
        <f t="shared" si="542"/>
        <v>0</v>
      </c>
      <c r="M1769" s="110"/>
      <c r="Q1769" s="1394">
        <f>IFERROR(VLOOKUP(M1769,#REF!,3,0),0)</f>
        <v>0</v>
      </c>
      <c r="R1769" s="1394">
        <f t="shared" si="534"/>
        <v>0</v>
      </c>
      <c r="S1769" s="1394">
        <f>IFERROR(VLOOKUP(M1769,#REF!,6,0),0)</f>
        <v>0</v>
      </c>
      <c r="T1769" s="1394">
        <f t="shared" si="535"/>
        <v>0</v>
      </c>
      <c r="U1769" s="1394">
        <f>IFERROR(VLOOKUP(M1769,#REF!,5,0),0)</f>
        <v>0</v>
      </c>
      <c r="V1769" s="1394">
        <f t="shared" si="536"/>
        <v>0</v>
      </c>
      <c r="W1769" s="1394"/>
    </row>
    <row r="1770" spans="2:23" ht="30" customHeight="1">
      <c r="B1770" s="1407"/>
      <c r="C1770" s="1455" t="str">
        <f t="shared" si="543"/>
        <v>C/B Wall</v>
      </c>
      <c r="D1770" s="103">
        <f>-D1741</f>
        <v>-1</v>
      </c>
      <c r="E1770" s="103">
        <f t="shared" si="543"/>
        <v>1</v>
      </c>
      <c r="F1770" s="1413">
        <f t="shared" si="543"/>
        <v>0.6</v>
      </c>
      <c r="G1770" s="1413"/>
      <c r="H1770" s="1414">
        <v>0.1</v>
      </c>
      <c r="I1770" s="1425">
        <f t="shared" si="542"/>
        <v>-0.06</v>
      </c>
      <c r="M1770" s="110"/>
      <c r="Q1770" s="1394">
        <f>IFERROR(VLOOKUP(M1770,#REF!,3,0),0)</f>
        <v>0</v>
      </c>
      <c r="R1770" s="1394">
        <f t="shared" si="534"/>
        <v>0</v>
      </c>
      <c r="S1770" s="1394">
        <f>IFERROR(VLOOKUP(M1770,#REF!,6,0),0)</f>
        <v>0</v>
      </c>
      <c r="T1770" s="1394">
        <f t="shared" si="535"/>
        <v>0</v>
      </c>
      <c r="U1770" s="1394">
        <f>IFERROR(VLOOKUP(M1770,#REF!,5,0),0)</f>
        <v>0</v>
      </c>
      <c r="V1770" s="1394">
        <f t="shared" si="536"/>
        <v>0</v>
      </c>
      <c r="W1770" s="1394"/>
    </row>
    <row r="1771" spans="2:23" ht="30" customHeight="1">
      <c r="B1771" s="1407"/>
      <c r="C1771" s="1455" t="str">
        <f t="shared" si="543"/>
        <v>Cross wall between Toilet / Passage</v>
      </c>
      <c r="D1771" s="103">
        <f t="shared" ref="D1771:D1793" si="544">-D1742</f>
        <v>-1</v>
      </c>
      <c r="E1771" s="103">
        <f t="shared" si="543"/>
        <v>1</v>
      </c>
      <c r="F1771" s="1413">
        <f t="shared" si="543"/>
        <v>1.5</v>
      </c>
      <c r="G1771" s="1413"/>
      <c r="H1771" s="1414">
        <f t="shared" ref="H1771:H1793" si="545">$H$1770</f>
        <v>0.1</v>
      </c>
      <c r="I1771" s="1425">
        <f t="shared" si="542"/>
        <v>-0.15000000000000002</v>
      </c>
      <c r="M1771" s="110"/>
      <c r="Q1771" s="1394">
        <f>IFERROR(VLOOKUP(M1771,#REF!,3,0),0)</f>
        <v>0</v>
      </c>
      <c r="R1771" s="1394">
        <f t="shared" si="534"/>
        <v>0</v>
      </c>
      <c r="S1771" s="1394">
        <f>IFERROR(VLOOKUP(M1771,#REF!,6,0),0)</f>
        <v>0</v>
      </c>
      <c r="T1771" s="1394">
        <f t="shared" si="535"/>
        <v>0</v>
      </c>
      <c r="U1771" s="1394">
        <f>IFERROR(VLOOKUP(M1771,#REF!,5,0),0)</f>
        <v>0</v>
      </c>
      <c r="V1771" s="1394">
        <f t="shared" si="536"/>
        <v>0</v>
      </c>
      <c r="W1771" s="1394"/>
    </row>
    <row r="1772" spans="2:23" ht="30" customHeight="1">
      <c r="B1772" s="1407"/>
      <c r="C1772" s="1455" t="str">
        <f t="shared" si="543"/>
        <v>Cross wall between Hall  / Passage</v>
      </c>
      <c r="D1772" s="103">
        <f t="shared" si="544"/>
        <v>-1</v>
      </c>
      <c r="E1772" s="103">
        <f t="shared" si="543"/>
        <v>1</v>
      </c>
      <c r="F1772" s="1413">
        <f t="shared" si="543"/>
        <v>1.5</v>
      </c>
      <c r="G1772" s="1413"/>
      <c r="H1772" s="1414">
        <f t="shared" si="545"/>
        <v>0.1</v>
      </c>
      <c r="I1772" s="1425">
        <f t="shared" si="542"/>
        <v>-0.15000000000000002</v>
      </c>
      <c r="M1772" s="110"/>
      <c r="Q1772" s="1394">
        <f>IFERROR(VLOOKUP(M1772,#REF!,3,0),0)</f>
        <v>0</v>
      </c>
      <c r="R1772" s="1394">
        <f t="shared" si="534"/>
        <v>0</v>
      </c>
      <c r="S1772" s="1394">
        <f>IFERROR(VLOOKUP(M1772,#REF!,6,0),0)</f>
        <v>0</v>
      </c>
      <c r="T1772" s="1394">
        <f t="shared" si="535"/>
        <v>0</v>
      </c>
      <c r="U1772" s="1394">
        <f>IFERROR(VLOOKUP(M1772,#REF!,5,0),0)</f>
        <v>0</v>
      </c>
      <c r="V1772" s="1394">
        <f t="shared" si="536"/>
        <v>0</v>
      </c>
      <c r="W1772" s="1394"/>
    </row>
    <row r="1773" spans="2:23" ht="30" customHeight="1">
      <c r="B1773" s="1407"/>
      <c r="C1773" s="1412" t="str">
        <f t="shared" si="543"/>
        <v>Writer</v>
      </c>
      <c r="D1773" s="103">
        <f t="shared" si="544"/>
        <v>0</v>
      </c>
      <c r="E1773" s="103">
        <f t="shared" si="543"/>
        <v>0</v>
      </c>
      <c r="F1773" s="1413">
        <f t="shared" si="543"/>
        <v>0</v>
      </c>
      <c r="G1773" s="1413"/>
      <c r="H1773" s="1414"/>
      <c r="I1773" s="1425">
        <f t="shared" si="542"/>
        <v>0</v>
      </c>
      <c r="M1773" s="110"/>
      <c r="Q1773" s="1394">
        <f>IFERROR(VLOOKUP(M1773,#REF!,3,0),0)</f>
        <v>0</v>
      </c>
      <c r="R1773" s="1394">
        <f t="shared" si="534"/>
        <v>0</v>
      </c>
      <c r="S1773" s="1394">
        <f>IFERROR(VLOOKUP(M1773,#REF!,6,0),0)</f>
        <v>0</v>
      </c>
      <c r="T1773" s="1394">
        <f t="shared" si="535"/>
        <v>0</v>
      </c>
      <c r="U1773" s="1394">
        <f>IFERROR(VLOOKUP(M1773,#REF!,5,0),0)</f>
        <v>0</v>
      </c>
      <c r="V1773" s="1394">
        <f t="shared" si="536"/>
        <v>0</v>
      </c>
      <c r="W1773" s="1394"/>
    </row>
    <row r="1774" spans="2:23" ht="30" customHeight="1">
      <c r="B1774" s="1407"/>
      <c r="C1774" s="1455" t="str">
        <f t="shared" si="543"/>
        <v>C/B Wall</v>
      </c>
      <c r="D1774" s="103">
        <f t="shared" si="544"/>
        <v>-1</v>
      </c>
      <c r="E1774" s="103">
        <f t="shared" si="543"/>
        <v>1</v>
      </c>
      <c r="F1774" s="1413">
        <f t="shared" si="543"/>
        <v>0.6</v>
      </c>
      <c r="G1774" s="1413"/>
      <c r="H1774" s="1414">
        <f t="shared" si="545"/>
        <v>0.1</v>
      </c>
      <c r="I1774" s="1425">
        <f t="shared" si="542"/>
        <v>-0.06</v>
      </c>
      <c r="M1774" s="110"/>
      <c r="Q1774" s="1394">
        <f>IFERROR(VLOOKUP(M1774,#REF!,3,0),0)</f>
        <v>0</v>
      </c>
      <c r="R1774" s="1394">
        <f t="shared" ref="R1774:R1837" si="546">ROUND(O1774,2)*ROUND(Q1774,2)</f>
        <v>0</v>
      </c>
      <c r="S1774" s="1394">
        <f>IFERROR(VLOOKUP(M1774,#REF!,6,0),0)</f>
        <v>0</v>
      </c>
      <c r="T1774" s="1394">
        <f t="shared" ref="T1774:T1837" si="547">R1774-S1774</f>
        <v>0</v>
      </c>
      <c r="U1774" s="1394">
        <f>IFERROR(VLOOKUP(M1774,#REF!,5,0),0)</f>
        <v>0</v>
      </c>
      <c r="V1774" s="1394">
        <f t="shared" ref="V1774:V1837" si="548">O1774-U1774</f>
        <v>0</v>
      </c>
      <c r="W1774" s="1394"/>
    </row>
    <row r="1775" spans="2:23" ht="30" customHeight="1">
      <c r="B1775" s="1407"/>
      <c r="C1775" s="1455" t="str">
        <f t="shared" si="543"/>
        <v>Cross wall between Writer / Ins Traffic</v>
      </c>
      <c r="D1775" s="103">
        <f t="shared" si="544"/>
        <v>-1</v>
      </c>
      <c r="E1775" s="103">
        <f t="shared" si="543"/>
        <v>1</v>
      </c>
      <c r="F1775" s="1413">
        <f t="shared" si="543"/>
        <v>1.8</v>
      </c>
      <c r="G1775" s="1413"/>
      <c r="H1775" s="1414">
        <f t="shared" si="545"/>
        <v>0.1</v>
      </c>
      <c r="I1775" s="1425">
        <f t="shared" si="542"/>
        <v>-0.18000000000000002</v>
      </c>
      <c r="M1775" s="110"/>
      <c r="Q1775" s="1394">
        <f>IFERROR(VLOOKUP(M1775,#REF!,3,0),0)</f>
        <v>0</v>
      </c>
      <c r="R1775" s="1394">
        <f t="shared" si="546"/>
        <v>0</v>
      </c>
      <c r="S1775" s="1394">
        <f>IFERROR(VLOOKUP(M1775,#REF!,6,0),0)</f>
        <v>0</v>
      </c>
      <c r="T1775" s="1394">
        <f t="shared" si="547"/>
        <v>0</v>
      </c>
      <c r="U1775" s="1394">
        <f>IFERROR(VLOOKUP(M1775,#REF!,5,0),0)</f>
        <v>0</v>
      </c>
      <c r="V1775" s="1394">
        <f t="shared" si="548"/>
        <v>0</v>
      </c>
      <c r="W1775" s="1394"/>
    </row>
    <row r="1776" spans="2:23" ht="30" customHeight="1">
      <c r="B1776" s="1407"/>
      <c r="C1776" s="1455" t="str">
        <f t="shared" si="543"/>
        <v>Cross wall between Writer / Ins Traffic</v>
      </c>
      <c r="D1776" s="103">
        <f t="shared" si="544"/>
        <v>-1</v>
      </c>
      <c r="E1776" s="103">
        <f t="shared" si="543"/>
        <v>1</v>
      </c>
      <c r="F1776" s="1413">
        <f t="shared" si="543"/>
        <v>3.2759999999999998</v>
      </c>
      <c r="G1776" s="1413"/>
      <c r="H1776" s="1414">
        <f t="shared" si="545"/>
        <v>0.1</v>
      </c>
      <c r="I1776" s="1425">
        <f t="shared" si="542"/>
        <v>-0.3276</v>
      </c>
      <c r="M1776" s="110"/>
      <c r="Q1776" s="1394">
        <f>IFERROR(VLOOKUP(M1776,#REF!,3,0),0)</f>
        <v>0</v>
      </c>
      <c r="R1776" s="1394">
        <f t="shared" si="546"/>
        <v>0</v>
      </c>
      <c r="S1776" s="1394">
        <f>IFERROR(VLOOKUP(M1776,#REF!,6,0),0)</f>
        <v>0</v>
      </c>
      <c r="T1776" s="1394">
        <f t="shared" si="547"/>
        <v>0</v>
      </c>
      <c r="U1776" s="1394">
        <f>IFERROR(VLOOKUP(M1776,#REF!,5,0),0)</f>
        <v>0</v>
      </c>
      <c r="V1776" s="1394">
        <f t="shared" si="548"/>
        <v>0</v>
      </c>
      <c r="W1776" s="1394"/>
    </row>
    <row r="1777" spans="2:23" ht="30" customHeight="1">
      <c r="B1777" s="1407"/>
      <c r="C1777" s="1412" t="str">
        <f t="shared" si="543"/>
        <v>Ins Traffic</v>
      </c>
      <c r="D1777" s="103">
        <f t="shared" si="544"/>
        <v>0</v>
      </c>
      <c r="E1777" s="103">
        <f t="shared" si="543"/>
        <v>0</v>
      </c>
      <c r="F1777" s="1413">
        <f t="shared" si="543"/>
        <v>0</v>
      </c>
      <c r="G1777" s="1413"/>
      <c r="H1777" s="1414"/>
      <c r="I1777" s="1425">
        <f t="shared" si="542"/>
        <v>0</v>
      </c>
      <c r="M1777" s="110"/>
      <c r="Q1777" s="1394">
        <f>IFERROR(VLOOKUP(M1777,#REF!,3,0),0)</f>
        <v>0</v>
      </c>
      <c r="R1777" s="1394">
        <f t="shared" si="546"/>
        <v>0</v>
      </c>
      <c r="S1777" s="1394">
        <f>IFERROR(VLOOKUP(M1777,#REF!,6,0),0)</f>
        <v>0</v>
      </c>
      <c r="T1777" s="1394">
        <f t="shared" si="547"/>
        <v>0</v>
      </c>
      <c r="U1777" s="1394">
        <f>IFERROR(VLOOKUP(M1777,#REF!,5,0),0)</f>
        <v>0</v>
      </c>
      <c r="V1777" s="1394">
        <f t="shared" si="548"/>
        <v>0</v>
      </c>
      <c r="W1777" s="1394"/>
    </row>
    <row r="1778" spans="2:23" ht="30" customHeight="1">
      <c r="B1778" s="1407"/>
      <c r="C1778" s="1455" t="str">
        <f t="shared" si="543"/>
        <v xml:space="preserve">C/B Wall </v>
      </c>
      <c r="D1778" s="103">
        <f t="shared" si="544"/>
        <v>-1</v>
      </c>
      <c r="E1778" s="103">
        <f t="shared" si="543"/>
        <v>1</v>
      </c>
      <c r="F1778" s="1413">
        <f t="shared" si="543"/>
        <v>0.6</v>
      </c>
      <c r="G1778" s="1413"/>
      <c r="H1778" s="1414">
        <f t="shared" si="545"/>
        <v>0.1</v>
      </c>
      <c r="I1778" s="1425">
        <f t="shared" si="542"/>
        <v>-0.06</v>
      </c>
      <c r="M1778" s="110"/>
      <c r="Q1778" s="1394">
        <f>IFERROR(VLOOKUP(M1778,#REF!,3,0),0)</f>
        <v>0</v>
      </c>
      <c r="R1778" s="1394">
        <f t="shared" si="546"/>
        <v>0</v>
      </c>
      <c r="S1778" s="1394">
        <f>IFERROR(VLOOKUP(M1778,#REF!,6,0),0)</f>
        <v>0</v>
      </c>
      <c r="T1778" s="1394">
        <f t="shared" si="547"/>
        <v>0</v>
      </c>
      <c r="U1778" s="1394">
        <f>IFERROR(VLOOKUP(M1778,#REF!,5,0),0)</f>
        <v>0</v>
      </c>
      <c r="V1778" s="1394">
        <f t="shared" si="548"/>
        <v>0</v>
      </c>
      <c r="W1778" s="1394"/>
    </row>
    <row r="1779" spans="2:23" ht="30" customHeight="1">
      <c r="B1779" s="1407"/>
      <c r="C1779" s="1455" t="str">
        <f t="shared" ref="C1779:F1788" si="549">C1750</f>
        <v xml:space="preserve">Cross wall between Toilet / Passage </v>
      </c>
      <c r="D1779" s="103">
        <f t="shared" si="544"/>
        <v>-1</v>
      </c>
      <c r="E1779" s="103">
        <f t="shared" si="549"/>
        <v>1</v>
      </c>
      <c r="F1779" s="1413">
        <f t="shared" si="549"/>
        <v>1.5</v>
      </c>
      <c r="G1779" s="1413"/>
      <c r="H1779" s="1414">
        <f t="shared" si="545"/>
        <v>0.1</v>
      </c>
      <c r="I1779" s="1425">
        <f t="shared" si="542"/>
        <v>-0.15000000000000002</v>
      </c>
      <c r="M1779" s="110"/>
      <c r="Q1779" s="1394">
        <f>IFERROR(VLOOKUP(M1779,#REF!,3,0),0)</f>
        <v>0</v>
      </c>
      <c r="R1779" s="1394">
        <f t="shared" si="546"/>
        <v>0</v>
      </c>
      <c r="S1779" s="1394">
        <f>IFERROR(VLOOKUP(M1779,#REF!,6,0),0)</f>
        <v>0</v>
      </c>
      <c r="T1779" s="1394">
        <f t="shared" si="547"/>
        <v>0</v>
      </c>
      <c r="U1779" s="1394">
        <f>IFERROR(VLOOKUP(M1779,#REF!,5,0),0)</f>
        <v>0</v>
      </c>
      <c r="V1779" s="1394">
        <f t="shared" si="548"/>
        <v>0</v>
      </c>
      <c r="W1779" s="1394"/>
    </row>
    <row r="1780" spans="2:23" ht="30" customHeight="1">
      <c r="B1780" s="1407"/>
      <c r="C1780" s="1455" t="str">
        <f t="shared" si="549"/>
        <v xml:space="preserve">Cross wall between Hall  / Passage </v>
      </c>
      <c r="D1780" s="103">
        <f t="shared" si="544"/>
        <v>-1</v>
      </c>
      <c r="E1780" s="103">
        <f t="shared" si="549"/>
        <v>1</v>
      </c>
      <c r="F1780" s="1413">
        <f t="shared" si="549"/>
        <v>1.5</v>
      </c>
      <c r="G1780" s="1413"/>
      <c r="H1780" s="1414">
        <f t="shared" si="545"/>
        <v>0.1</v>
      </c>
      <c r="I1780" s="1425">
        <f t="shared" si="542"/>
        <v>-0.15000000000000002</v>
      </c>
      <c r="M1780" s="110"/>
      <c r="Q1780" s="1394">
        <f>IFERROR(VLOOKUP(M1780,#REF!,3,0),0)</f>
        <v>0</v>
      </c>
      <c r="R1780" s="1394">
        <f t="shared" si="546"/>
        <v>0</v>
      </c>
      <c r="S1780" s="1394">
        <f>IFERROR(VLOOKUP(M1780,#REF!,6,0),0)</f>
        <v>0</v>
      </c>
      <c r="T1780" s="1394">
        <f t="shared" si="547"/>
        <v>0</v>
      </c>
      <c r="U1780" s="1394">
        <f>IFERROR(VLOOKUP(M1780,#REF!,5,0),0)</f>
        <v>0</v>
      </c>
      <c r="V1780" s="1394">
        <f t="shared" si="548"/>
        <v>0</v>
      </c>
      <c r="W1780" s="1394"/>
    </row>
    <row r="1781" spans="2:23" ht="30" customHeight="1">
      <c r="B1781" s="1407"/>
      <c r="C1781" s="1412" t="str">
        <f t="shared" si="549"/>
        <v>Meeting Hall</v>
      </c>
      <c r="D1781" s="103">
        <f t="shared" si="544"/>
        <v>0</v>
      </c>
      <c r="E1781" s="103">
        <f t="shared" si="549"/>
        <v>0</v>
      </c>
      <c r="F1781" s="1413">
        <f t="shared" si="549"/>
        <v>0</v>
      </c>
      <c r="G1781" s="1413"/>
      <c r="H1781" s="1414"/>
      <c r="I1781" s="1425">
        <f t="shared" si="542"/>
        <v>0</v>
      </c>
      <c r="M1781" s="110"/>
      <c r="Q1781" s="1394">
        <f>IFERROR(VLOOKUP(M1781,#REF!,3,0),0)</f>
        <v>0</v>
      </c>
      <c r="R1781" s="1394">
        <f t="shared" si="546"/>
        <v>0</v>
      </c>
      <c r="S1781" s="1394">
        <f>IFERROR(VLOOKUP(M1781,#REF!,6,0),0)</f>
        <v>0</v>
      </c>
      <c r="T1781" s="1394">
        <f t="shared" si="547"/>
        <v>0</v>
      </c>
      <c r="U1781" s="1394">
        <f>IFERROR(VLOOKUP(M1781,#REF!,5,0),0)</f>
        <v>0</v>
      </c>
      <c r="V1781" s="1394">
        <f t="shared" si="548"/>
        <v>0</v>
      </c>
      <c r="W1781" s="1394"/>
    </row>
    <row r="1782" spans="2:23" ht="30" customHeight="1">
      <c r="B1782" s="1407"/>
      <c r="C1782" s="1455" t="str">
        <f t="shared" si="549"/>
        <v xml:space="preserve">C/B Wall </v>
      </c>
      <c r="D1782" s="103">
        <f t="shared" si="544"/>
        <v>-1</v>
      </c>
      <c r="E1782" s="103">
        <f t="shared" si="549"/>
        <v>1</v>
      </c>
      <c r="F1782" s="1413">
        <f t="shared" si="549"/>
        <v>0.6</v>
      </c>
      <c r="G1782" s="1413"/>
      <c r="H1782" s="1414">
        <f t="shared" si="545"/>
        <v>0.1</v>
      </c>
      <c r="I1782" s="1425">
        <f t="shared" si="542"/>
        <v>-0.06</v>
      </c>
      <c r="M1782" s="110"/>
      <c r="Q1782" s="1394">
        <f>IFERROR(VLOOKUP(M1782,#REF!,3,0),0)</f>
        <v>0</v>
      </c>
      <c r="R1782" s="1394">
        <f t="shared" si="546"/>
        <v>0</v>
      </c>
      <c r="S1782" s="1394">
        <f>IFERROR(VLOOKUP(M1782,#REF!,6,0),0)</f>
        <v>0</v>
      </c>
      <c r="T1782" s="1394">
        <f t="shared" si="547"/>
        <v>0</v>
      </c>
      <c r="U1782" s="1394">
        <f>IFERROR(VLOOKUP(M1782,#REF!,5,0),0)</f>
        <v>0</v>
      </c>
      <c r="V1782" s="1394">
        <f t="shared" si="548"/>
        <v>0</v>
      </c>
      <c r="W1782" s="1394"/>
    </row>
    <row r="1783" spans="2:23" ht="30" customHeight="1">
      <c r="B1783" s="1407"/>
      <c r="C1783" s="1455" t="str">
        <f t="shared" si="549"/>
        <v>Cross wall between Meeting Hall / Men Rest Room</v>
      </c>
      <c r="D1783" s="103">
        <f t="shared" si="544"/>
        <v>-1</v>
      </c>
      <c r="E1783" s="103">
        <f t="shared" si="549"/>
        <v>1</v>
      </c>
      <c r="F1783" s="1413">
        <f t="shared" si="549"/>
        <v>1.1000000000000001</v>
      </c>
      <c r="G1783" s="1413"/>
      <c r="H1783" s="1414">
        <f t="shared" si="545"/>
        <v>0.1</v>
      </c>
      <c r="I1783" s="1425">
        <f t="shared" si="542"/>
        <v>-0.11000000000000001</v>
      </c>
      <c r="M1783" s="110"/>
      <c r="Q1783" s="1394">
        <f>IFERROR(VLOOKUP(M1783,#REF!,3,0),0)</f>
        <v>0</v>
      </c>
      <c r="R1783" s="1394">
        <f t="shared" si="546"/>
        <v>0</v>
      </c>
      <c r="S1783" s="1394">
        <f>IFERROR(VLOOKUP(M1783,#REF!,6,0),0)</f>
        <v>0</v>
      </c>
      <c r="T1783" s="1394">
        <f t="shared" si="547"/>
        <v>0</v>
      </c>
      <c r="U1783" s="1394">
        <f>IFERROR(VLOOKUP(M1783,#REF!,5,0),0)</f>
        <v>0</v>
      </c>
      <c r="V1783" s="1394">
        <f t="shared" si="548"/>
        <v>0</v>
      </c>
      <c r="W1783" s="1394"/>
    </row>
    <row r="1784" spans="2:23" ht="30" customHeight="1">
      <c r="B1784" s="1407"/>
      <c r="C1784" s="1412" t="str">
        <f t="shared" si="549"/>
        <v>Men Rest Room</v>
      </c>
      <c r="D1784" s="103">
        <f t="shared" si="544"/>
        <v>0</v>
      </c>
      <c r="E1784" s="103">
        <f t="shared" si="549"/>
        <v>0</v>
      </c>
      <c r="F1784" s="1413">
        <f t="shared" si="549"/>
        <v>0</v>
      </c>
      <c r="G1784" s="1413"/>
      <c r="H1784" s="1414"/>
      <c r="I1784" s="1425">
        <f t="shared" si="542"/>
        <v>0</v>
      </c>
      <c r="M1784" s="110"/>
      <c r="Q1784" s="1394">
        <f>IFERROR(VLOOKUP(M1784,#REF!,3,0),0)</f>
        <v>0</v>
      </c>
      <c r="R1784" s="1394">
        <f t="shared" si="546"/>
        <v>0</v>
      </c>
      <c r="S1784" s="1394">
        <f>IFERROR(VLOOKUP(M1784,#REF!,6,0),0)</f>
        <v>0</v>
      </c>
      <c r="T1784" s="1394">
        <f t="shared" si="547"/>
        <v>0</v>
      </c>
      <c r="U1784" s="1394">
        <f>IFERROR(VLOOKUP(M1784,#REF!,5,0),0)</f>
        <v>0</v>
      </c>
      <c r="V1784" s="1394">
        <f t="shared" si="548"/>
        <v>0</v>
      </c>
      <c r="W1784" s="1394"/>
    </row>
    <row r="1785" spans="2:23" ht="30" customHeight="1">
      <c r="B1785" s="1407"/>
      <c r="C1785" s="1455" t="str">
        <f t="shared" si="549"/>
        <v xml:space="preserve">C/B Wall </v>
      </c>
      <c r="D1785" s="103">
        <f t="shared" si="544"/>
        <v>-1</v>
      </c>
      <c r="E1785" s="103">
        <f t="shared" si="549"/>
        <v>1</v>
      </c>
      <c r="F1785" s="1413">
        <f t="shared" si="549"/>
        <v>0.6</v>
      </c>
      <c r="G1785" s="1413"/>
      <c r="H1785" s="1414">
        <f t="shared" si="545"/>
        <v>0.1</v>
      </c>
      <c r="I1785" s="1425">
        <f t="shared" si="542"/>
        <v>-0.06</v>
      </c>
      <c r="M1785" s="110"/>
      <c r="Q1785" s="1394">
        <f>IFERROR(VLOOKUP(M1785,#REF!,3,0),0)</f>
        <v>0</v>
      </c>
      <c r="R1785" s="1394">
        <f t="shared" si="546"/>
        <v>0</v>
      </c>
      <c r="S1785" s="1394">
        <f>IFERROR(VLOOKUP(M1785,#REF!,6,0),0)</f>
        <v>0</v>
      </c>
      <c r="T1785" s="1394">
        <f t="shared" si="547"/>
        <v>0</v>
      </c>
      <c r="U1785" s="1394">
        <f>IFERROR(VLOOKUP(M1785,#REF!,5,0),0)</f>
        <v>0</v>
      </c>
      <c r="V1785" s="1394">
        <f t="shared" si="548"/>
        <v>0</v>
      </c>
      <c r="W1785" s="1394"/>
    </row>
    <row r="1786" spans="2:23" ht="30" customHeight="1">
      <c r="B1786" s="1407"/>
      <c r="C1786" s="1455" t="str">
        <f t="shared" si="549"/>
        <v>Cross wall between Toilet / SI Room</v>
      </c>
      <c r="D1786" s="103">
        <f t="shared" si="544"/>
        <v>-1</v>
      </c>
      <c r="E1786" s="103">
        <f t="shared" si="549"/>
        <v>1</v>
      </c>
      <c r="F1786" s="1413">
        <f t="shared" si="549"/>
        <v>2.7450000000000001</v>
      </c>
      <c r="G1786" s="1413"/>
      <c r="H1786" s="1414">
        <f t="shared" si="545"/>
        <v>0.1</v>
      </c>
      <c r="I1786" s="1425">
        <f t="shared" si="542"/>
        <v>-0.27450000000000002</v>
      </c>
      <c r="M1786" s="110"/>
      <c r="Q1786" s="1394">
        <f>IFERROR(VLOOKUP(M1786,#REF!,3,0),0)</f>
        <v>0</v>
      </c>
      <c r="R1786" s="1394">
        <f t="shared" si="546"/>
        <v>0</v>
      </c>
      <c r="S1786" s="1394">
        <f>IFERROR(VLOOKUP(M1786,#REF!,6,0),0)</f>
        <v>0</v>
      </c>
      <c r="T1786" s="1394">
        <f t="shared" si="547"/>
        <v>0</v>
      </c>
      <c r="U1786" s="1394">
        <f>IFERROR(VLOOKUP(M1786,#REF!,5,0),0)</f>
        <v>0</v>
      </c>
      <c r="V1786" s="1394">
        <f t="shared" si="548"/>
        <v>0</v>
      </c>
      <c r="W1786" s="1394"/>
    </row>
    <row r="1787" spans="2:23" ht="30" customHeight="1">
      <c r="B1787" s="1407"/>
      <c r="C1787" s="1455" t="str">
        <f t="shared" si="549"/>
        <v>Cross wall between Record / SI Room</v>
      </c>
      <c r="D1787" s="103">
        <f t="shared" si="544"/>
        <v>-1</v>
      </c>
      <c r="E1787" s="103">
        <f t="shared" si="549"/>
        <v>1</v>
      </c>
      <c r="F1787" s="1413">
        <f t="shared" si="549"/>
        <v>2.4350000000000001</v>
      </c>
      <c r="G1787" s="1413"/>
      <c r="H1787" s="1414">
        <f t="shared" si="545"/>
        <v>0.1</v>
      </c>
      <c r="I1787" s="1425">
        <f t="shared" si="542"/>
        <v>-0.24350000000000002</v>
      </c>
      <c r="M1787" s="110"/>
      <c r="Q1787" s="1394">
        <f>IFERROR(VLOOKUP(M1787,#REF!,3,0),0)</f>
        <v>0</v>
      </c>
      <c r="R1787" s="1394">
        <f t="shared" si="546"/>
        <v>0</v>
      </c>
      <c r="S1787" s="1394">
        <f>IFERROR(VLOOKUP(M1787,#REF!,6,0),0)</f>
        <v>0</v>
      </c>
      <c r="T1787" s="1394">
        <f t="shared" si="547"/>
        <v>0</v>
      </c>
      <c r="U1787" s="1394">
        <f>IFERROR(VLOOKUP(M1787,#REF!,5,0),0)</f>
        <v>0</v>
      </c>
      <c r="V1787" s="1394">
        <f t="shared" si="548"/>
        <v>0</v>
      </c>
      <c r="W1787" s="1394"/>
    </row>
    <row r="1788" spans="2:23" ht="30" customHeight="1">
      <c r="B1788" s="1407"/>
      <c r="C1788" s="1412" t="str">
        <f t="shared" si="549"/>
        <v>Men Rest Room Toilet</v>
      </c>
      <c r="D1788" s="103">
        <f t="shared" si="544"/>
        <v>0</v>
      </c>
      <c r="E1788" s="103">
        <f t="shared" si="549"/>
        <v>0</v>
      </c>
      <c r="F1788" s="1413">
        <f t="shared" si="549"/>
        <v>0</v>
      </c>
      <c r="G1788" s="1413"/>
      <c r="H1788" s="1414"/>
      <c r="I1788" s="1425">
        <f t="shared" si="542"/>
        <v>0</v>
      </c>
      <c r="M1788" s="110"/>
      <c r="Q1788" s="1394">
        <f>IFERROR(VLOOKUP(M1788,#REF!,3,0),0)</f>
        <v>0</v>
      </c>
      <c r="R1788" s="1394">
        <f t="shared" si="546"/>
        <v>0</v>
      </c>
      <c r="S1788" s="1394">
        <f>IFERROR(VLOOKUP(M1788,#REF!,6,0),0)</f>
        <v>0</v>
      </c>
      <c r="T1788" s="1394">
        <f t="shared" si="547"/>
        <v>0</v>
      </c>
      <c r="U1788" s="1394">
        <f>IFERROR(VLOOKUP(M1788,#REF!,5,0),0)</f>
        <v>0</v>
      </c>
      <c r="V1788" s="1394">
        <f t="shared" si="548"/>
        <v>0</v>
      </c>
      <c r="W1788" s="1394"/>
    </row>
    <row r="1789" spans="2:23" ht="30" customHeight="1">
      <c r="B1789" s="1407"/>
      <c r="C1789" s="1455" t="str">
        <f t="shared" ref="C1789:F1793" si="550">C1760</f>
        <v>Cross wall between Toilet</v>
      </c>
      <c r="D1789" s="103">
        <f t="shared" si="544"/>
        <v>-1</v>
      </c>
      <c r="E1789" s="103">
        <f t="shared" si="550"/>
        <v>2</v>
      </c>
      <c r="F1789" s="1413">
        <f t="shared" si="550"/>
        <v>1.615</v>
      </c>
      <c r="G1789" s="1413"/>
      <c r="H1789" s="1414">
        <f t="shared" si="545"/>
        <v>0.1</v>
      </c>
      <c r="I1789" s="1425">
        <f t="shared" si="542"/>
        <v>-0.32300000000000001</v>
      </c>
      <c r="M1789" s="110"/>
      <c r="Q1789" s="1394">
        <f>IFERROR(VLOOKUP(M1789,#REF!,3,0),0)</f>
        <v>0</v>
      </c>
      <c r="R1789" s="1394">
        <f t="shared" si="546"/>
        <v>0</v>
      </c>
      <c r="S1789" s="1394">
        <f>IFERROR(VLOOKUP(M1789,#REF!,6,0),0)</f>
        <v>0</v>
      </c>
      <c r="T1789" s="1394">
        <f t="shared" si="547"/>
        <v>0</v>
      </c>
      <c r="U1789" s="1394">
        <f>IFERROR(VLOOKUP(M1789,#REF!,5,0),0)</f>
        <v>0</v>
      </c>
      <c r="V1789" s="1394">
        <f t="shared" si="548"/>
        <v>0</v>
      </c>
      <c r="W1789" s="1394"/>
    </row>
    <row r="1790" spans="2:23" ht="30" customHeight="1">
      <c r="B1790" s="1407"/>
      <c r="C1790" s="1455" t="str">
        <f t="shared" si="550"/>
        <v>Cross wall betweenToilet / Common Toilet</v>
      </c>
      <c r="D1790" s="103">
        <f t="shared" si="544"/>
        <v>-1</v>
      </c>
      <c r="E1790" s="103">
        <f t="shared" si="550"/>
        <v>1</v>
      </c>
      <c r="F1790" s="1413">
        <f t="shared" si="550"/>
        <v>2.87</v>
      </c>
      <c r="G1790" s="1413"/>
      <c r="H1790" s="1414">
        <f t="shared" si="545"/>
        <v>0.1</v>
      </c>
      <c r="I1790" s="1425">
        <f t="shared" si="542"/>
        <v>-0.28700000000000003</v>
      </c>
      <c r="M1790" s="110"/>
      <c r="Q1790" s="1394">
        <f>IFERROR(VLOOKUP(M1790,#REF!,3,0),0)</f>
        <v>0</v>
      </c>
      <c r="R1790" s="1394">
        <f t="shared" si="546"/>
        <v>0</v>
      </c>
      <c r="S1790" s="1394">
        <f>IFERROR(VLOOKUP(M1790,#REF!,6,0),0)</f>
        <v>0</v>
      </c>
      <c r="T1790" s="1394">
        <f t="shared" si="547"/>
        <v>0</v>
      </c>
      <c r="U1790" s="1394">
        <f>IFERROR(VLOOKUP(M1790,#REF!,5,0),0)</f>
        <v>0</v>
      </c>
      <c r="V1790" s="1394">
        <f t="shared" si="548"/>
        <v>0</v>
      </c>
      <c r="W1790" s="1394"/>
    </row>
    <row r="1791" spans="2:23" ht="30" customHeight="1">
      <c r="B1791" s="1407"/>
      <c r="C1791" s="1455" t="str">
        <f t="shared" si="550"/>
        <v>Cross wall for Toilet Front wall</v>
      </c>
      <c r="D1791" s="103">
        <f t="shared" si="544"/>
        <v>-1</v>
      </c>
      <c r="E1791" s="103">
        <f t="shared" si="550"/>
        <v>1</v>
      </c>
      <c r="F1791" s="1413">
        <f t="shared" si="550"/>
        <v>3.9</v>
      </c>
      <c r="G1791" s="1413"/>
      <c r="H1791" s="1414">
        <f t="shared" si="545"/>
        <v>0.1</v>
      </c>
      <c r="I1791" s="1425">
        <f t="shared" si="542"/>
        <v>-0.39</v>
      </c>
      <c r="M1791" s="110"/>
      <c r="Q1791" s="1394">
        <f>IFERROR(VLOOKUP(M1791,#REF!,3,0),0)</f>
        <v>0</v>
      </c>
      <c r="R1791" s="1394">
        <f t="shared" si="546"/>
        <v>0</v>
      </c>
      <c r="S1791" s="1394">
        <f>IFERROR(VLOOKUP(M1791,#REF!,6,0),0)</f>
        <v>0</v>
      </c>
      <c r="T1791" s="1394">
        <f t="shared" si="547"/>
        <v>0</v>
      </c>
      <c r="U1791" s="1394">
        <f>IFERROR(VLOOKUP(M1791,#REF!,5,0),0)</f>
        <v>0</v>
      </c>
      <c r="V1791" s="1394">
        <f t="shared" si="548"/>
        <v>0</v>
      </c>
      <c r="W1791" s="1394"/>
    </row>
    <row r="1792" spans="2:23" ht="30" customHeight="1">
      <c r="B1792" s="1407"/>
      <c r="C1792" s="1455" t="str">
        <f t="shared" si="550"/>
        <v>Cross wall betweenToilet / Men Rest Room</v>
      </c>
      <c r="D1792" s="103">
        <f t="shared" si="544"/>
        <v>-1</v>
      </c>
      <c r="E1792" s="103">
        <f t="shared" si="550"/>
        <v>1</v>
      </c>
      <c r="F1792" s="1413">
        <f t="shared" si="550"/>
        <v>3.9</v>
      </c>
      <c r="G1792" s="1413"/>
      <c r="H1792" s="1414">
        <f t="shared" si="545"/>
        <v>0.1</v>
      </c>
      <c r="I1792" s="1425">
        <f t="shared" si="542"/>
        <v>-0.39</v>
      </c>
      <c r="M1792" s="110"/>
      <c r="Q1792" s="1394">
        <f>IFERROR(VLOOKUP(M1792,#REF!,3,0),0)</f>
        <v>0</v>
      </c>
      <c r="R1792" s="1394">
        <f t="shared" si="546"/>
        <v>0</v>
      </c>
      <c r="S1792" s="1394">
        <f>IFERROR(VLOOKUP(M1792,#REF!,6,0),0)</f>
        <v>0</v>
      </c>
      <c r="T1792" s="1394">
        <f t="shared" si="547"/>
        <v>0</v>
      </c>
      <c r="U1792" s="1394">
        <f>IFERROR(VLOOKUP(M1792,#REF!,5,0),0)</f>
        <v>0</v>
      </c>
      <c r="V1792" s="1394">
        <f t="shared" si="548"/>
        <v>0</v>
      </c>
      <c r="W1792" s="1394"/>
    </row>
    <row r="1793" spans="1:26" ht="30" customHeight="1">
      <c r="B1793" s="1407"/>
      <c r="C1793" s="1455" t="str">
        <f t="shared" si="550"/>
        <v xml:space="preserve">C/B Wall </v>
      </c>
      <c r="D1793" s="103">
        <f t="shared" si="544"/>
        <v>-1</v>
      </c>
      <c r="E1793" s="103">
        <f t="shared" si="550"/>
        <v>1</v>
      </c>
      <c r="F1793" s="1413">
        <f t="shared" si="550"/>
        <v>0.6</v>
      </c>
      <c r="G1793" s="1413"/>
      <c r="H1793" s="1414">
        <f t="shared" si="545"/>
        <v>0.1</v>
      </c>
      <c r="I1793" s="1425">
        <f t="shared" si="542"/>
        <v>-0.06</v>
      </c>
      <c r="M1793" s="110"/>
      <c r="Q1793" s="1394">
        <f>IFERROR(VLOOKUP(M1793,#REF!,3,0),0)</f>
        <v>0</v>
      </c>
      <c r="R1793" s="1394">
        <f t="shared" si="546"/>
        <v>0</v>
      </c>
      <c r="S1793" s="1394">
        <f>IFERROR(VLOOKUP(M1793,#REF!,6,0),0)</f>
        <v>0</v>
      </c>
      <c r="T1793" s="1394">
        <f t="shared" si="547"/>
        <v>0</v>
      </c>
      <c r="U1793" s="1394">
        <f>IFERROR(VLOOKUP(M1793,#REF!,5,0),0)</f>
        <v>0</v>
      </c>
      <c r="V1793" s="1394">
        <f t="shared" si="548"/>
        <v>0</v>
      </c>
      <c r="W1793" s="1394"/>
    </row>
    <row r="1794" spans="1:26" ht="30" customHeight="1">
      <c r="B1794" s="1407"/>
      <c r="C1794" s="1455"/>
      <c r="D1794" s="103"/>
      <c r="E1794" s="103"/>
      <c r="F1794" s="1413"/>
      <c r="G1794" s="1413"/>
      <c r="H1794" s="1414"/>
      <c r="I1794" s="1425"/>
      <c r="M1794" s="110"/>
      <c r="Q1794" s="1394">
        <f>IFERROR(VLOOKUP(M1794,#REF!,3,0),0)</f>
        <v>0</v>
      </c>
      <c r="R1794" s="1394">
        <f t="shared" si="546"/>
        <v>0</v>
      </c>
      <c r="S1794" s="1394">
        <f>IFERROR(VLOOKUP(M1794,#REF!,6,0),0)</f>
        <v>0</v>
      </c>
      <c r="T1794" s="1394">
        <f t="shared" si="547"/>
        <v>0</v>
      </c>
      <c r="U1794" s="1394">
        <f>IFERROR(VLOOKUP(M1794,#REF!,5,0),0)</f>
        <v>0</v>
      </c>
      <c r="V1794" s="1394">
        <f t="shared" si="548"/>
        <v>0</v>
      </c>
      <c r="W1794" s="1394"/>
    </row>
    <row r="1795" spans="1:26" ht="30" customHeight="1">
      <c r="B1795" s="1407"/>
      <c r="C1795" s="1455"/>
      <c r="D1795" s="103"/>
      <c r="E1795" s="103"/>
      <c r="F1795" s="1413"/>
      <c r="G1795" s="1413"/>
      <c r="H1795" s="1414"/>
      <c r="I1795" s="1406">
        <f>J1796-J1795</f>
        <v>2.3080000000035739E-2</v>
      </c>
      <c r="J1795" s="1394">
        <f>SUM(I1741:I1794)</f>
        <v>85.576919999999959</v>
      </c>
      <c r="K1795" s="1394"/>
      <c r="M1795" s="110"/>
      <c r="Q1795" s="1394">
        <f>IFERROR(VLOOKUP(M1795,#REF!,3,0),0)</f>
        <v>0</v>
      </c>
      <c r="R1795" s="1394">
        <f t="shared" si="546"/>
        <v>0</v>
      </c>
      <c r="S1795" s="1394">
        <f>IFERROR(VLOOKUP(M1795,#REF!,6,0),0)</f>
        <v>0</v>
      </c>
      <c r="T1795" s="1394">
        <f t="shared" si="547"/>
        <v>0</v>
      </c>
      <c r="U1795" s="1394">
        <f>IFERROR(VLOOKUP(M1795,#REF!,5,0),0)</f>
        <v>0</v>
      </c>
      <c r="V1795" s="1394">
        <f t="shared" si="548"/>
        <v>0</v>
      </c>
      <c r="W1795" s="1394"/>
    </row>
    <row r="1796" spans="1:26" ht="30" customHeight="1">
      <c r="B1796" s="1407"/>
      <c r="C1796" s="1455"/>
      <c r="D1796" s="103"/>
      <c r="E1796" s="103"/>
      <c r="F1796" s="1413"/>
      <c r="G1796" s="1413"/>
      <c r="H1796" s="1424"/>
      <c r="I1796" s="1427">
        <f>+J1796</f>
        <v>85.6</v>
      </c>
      <c r="J1796" s="1394">
        <f>ROUNDUP(J1795,1)</f>
        <v>85.6</v>
      </c>
      <c r="K1796" s="1394"/>
      <c r="M1796" s="110"/>
      <c r="Q1796" s="1394">
        <f>IFERROR(VLOOKUP(M1796,#REF!,3,0),0)</f>
        <v>0</v>
      </c>
      <c r="R1796" s="1394">
        <f t="shared" si="546"/>
        <v>0</v>
      </c>
      <c r="S1796" s="1394">
        <f>IFERROR(VLOOKUP(M1796,#REF!,6,0),0)</f>
        <v>0</v>
      </c>
      <c r="T1796" s="1394">
        <f t="shared" si="547"/>
        <v>0</v>
      </c>
      <c r="U1796" s="1394">
        <f>IFERROR(VLOOKUP(M1796,#REF!,5,0),0)</f>
        <v>0</v>
      </c>
      <c r="V1796" s="1394">
        <f t="shared" si="548"/>
        <v>0</v>
      </c>
      <c r="W1796" s="1394"/>
    </row>
    <row r="1797" spans="1:26" ht="30" customHeight="1">
      <c r="B1797" s="1407"/>
      <c r="C1797" s="1455"/>
      <c r="D1797" s="103"/>
      <c r="E1797" s="103"/>
      <c r="F1797" s="1413"/>
      <c r="G1797" s="1483" t="s">
        <v>11</v>
      </c>
      <c r="H1797" s="1429">
        <f>I1796</f>
        <v>85.6</v>
      </c>
      <c r="I1797" s="1427" t="s">
        <v>26</v>
      </c>
      <c r="J1797" s="1394"/>
      <c r="K1797" s="1394"/>
      <c r="M1797" s="1426" t="str">
        <f>A1739</f>
        <v>e. In Third FloorBrick partition work in C.M. 1:4 Kiln Burnt Country bricks of size 22 x 11 x 7 cm (8 3/4" x 4 1/4" x 2 3/4") 110 mm tk (B.P.)</v>
      </c>
      <c r="N1797" s="1426">
        <f>B1739</f>
        <v>0</v>
      </c>
      <c r="O1797" s="1394">
        <f>H1797</f>
        <v>85.6</v>
      </c>
      <c r="P1797" s="1394" t="str">
        <f>I1797</f>
        <v>Sqm</v>
      </c>
      <c r="Q1797" s="1394">
        <f>IFERROR(VLOOKUP(M1797,#REF!,3,0),0)</f>
        <v>0</v>
      </c>
      <c r="R1797" s="1394">
        <f t="shared" si="546"/>
        <v>0</v>
      </c>
      <c r="S1797" s="1394">
        <f>IFERROR(VLOOKUP(M1797,#REF!,6,0),0)</f>
        <v>0</v>
      </c>
      <c r="T1797" s="1394">
        <f t="shared" si="547"/>
        <v>0</v>
      </c>
      <c r="U1797" s="1394">
        <f>IFERROR(VLOOKUP(M1797,#REF!,5,0),0)</f>
        <v>0</v>
      </c>
      <c r="V1797" s="1394">
        <f t="shared" si="548"/>
        <v>85.6</v>
      </c>
      <c r="W1797" s="1394"/>
      <c r="Z1797" s="1394"/>
    </row>
    <row r="1798" spans="1:26" ht="80.25" customHeight="1">
      <c r="A1798" s="110" t="s">
        <v>352</v>
      </c>
      <c r="B1798" s="1405">
        <v>11.5</v>
      </c>
      <c r="C1798" s="1678" t="e">
        <f>VLOOKUP(A1798,#REF!,2,0)</f>
        <v>#REF!</v>
      </c>
      <c r="D1798" s="1678"/>
      <c r="E1798" s="1678"/>
      <c r="F1798" s="1678"/>
      <c r="G1798" s="1678"/>
      <c r="H1798" s="1678"/>
      <c r="I1798" s="1406"/>
      <c r="Q1798" s="1394">
        <f>IFERROR(VLOOKUP(M1798,#REF!,3,0),0)</f>
        <v>0</v>
      </c>
      <c r="R1798" s="1394">
        <f t="shared" si="546"/>
        <v>0</v>
      </c>
      <c r="S1798" s="1394">
        <f>IFERROR(VLOOKUP(M1798,#REF!,6,0),0)</f>
        <v>0</v>
      </c>
      <c r="T1798" s="1394">
        <f t="shared" si="547"/>
        <v>0</v>
      </c>
      <c r="U1798" s="1394">
        <f>IFERROR(VLOOKUP(M1798,#REF!,5,0),0)</f>
        <v>0</v>
      </c>
      <c r="V1798" s="1394">
        <f t="shared" si="548"/>
        <v>0</v>
      </c>
      <c r="W1798" s="1394"/>
      <c r="X1798" s="1397"/>
    </row>
    <row r="1799" spans="1:26" ht="30" customHeight="1">
      <c r="A1799" s="110" t="s">
        <v>353</v>
      </c>
      <c r="B1799" s="1407"/>
      <c r="C1799" s="1678" t="e">
        <f>VLOOKUP(A1799,#REF!,2,0)</f>
        <v>#REF!</v>
      </c>
      <c r="D1799" s="1678"/>
      <c r="E1799" s="1678"/>
      <c r="F1799" s="1678"/>
      <c r="G1799" s="1678"/>
      <c r="H1799" s="1678"/>
      <c r="I1799" s="1406"/>
      <c r="Q1799" s="1394">
        <f>IFERROR(VLOOKUP(M1799,#REF!,3,0),0)</f>
        <v>0</v>
      </c>
      <c r="R1799" s="1394">
        <f t="shared" si="546"/>
        <v>0</v>
      </c>
      <c r="S1799" s="1394">
        <f>IFERROR(VLOOKUP(M1799,#REF!,6,0),0)</f>
        <v>0</v>
      </c>
      <c r="T1799" s="1394">
        <f t="shared" si="547"/>
        <v>0</v>
      </c>
      <c r="U1799" s="1394">
        <f>IFERROR(VLOOKUP(M1799,#REF!,5,0),0)</f>
        <v>0</v>
      </c>
      <c r="V1799" s="1394">
        <f t="shared" si="548"/>
        <v>0</v>
      </c>
      <c r="W1799" s="1394"/>
      <c r="X1799" s="1397"/>
    </row>
    <row r="1800" spans="1:26" ht="30" customHeight="1">
      <c r="B1800" s="1407"/>
      <c r="C1800" s="1455" t="s">
        <v>5773</v>
      </c>
      <c r="D1800" s="103">
        <v>1</v>
      </c>
      <c r="E1800" s="103">
        <v>2</v>
      </c>
      <c r="F1800" s="1413">
        <v>0.6</v>
      </c>
      <c r="G1800" s="1413"/>
      <c r="H1800" s="1414">
        <v>0.75</v>
      </c>
      <c r="I1800" s="1406">
        <f>PRODUCT(D1800:H1800)</f>
        <v>0.89999999999999991</v>
      </c>
      <c r="J1800" s="110">
        <f>ROUNDUP(4.335/0.9,0)</f>
        <v>5</v>
      </c>
      <c r="Q1800" s="1394">
        <f>IFERROR(VLOOKUP(M1800,#REF!,3,0),0)</f>
        <v>0</v>
      </c>
      <c r="R1800" s="1394">
        <f t="shared" si="546"/>
        <v>0</v>
      </c>
      <c r="S1800" s="1394">
        <f>IFERROR(VLOOKUP(M1800,#REF!,6,0),0)</f>
        <v>0</v>
      </c>
      <c r="T1800" s="1394">
        <f t="shared" si="547"/>
        <v>0</v>
      </c>
      <c r="U1800" s="1394">
        <f>IFERROR(VLOOKUP(M1800,#REF!,5,0),0)</f>
        <v>0</v>
      </c>
      <c r="V1800" s="1394">
        <f t="shared" si="548"/>
        <v>0</v>
      </c>
      <c r="W1800" s="1394"/>
    </row>
    <row r="1801" spans="1:26" s="1394" customFormat="1" ht="30" customHeight="1">
      <c r="B1801" s="1421"/>
      <c r="C1801" s="1422" t="s">
        <v>270</v>
      </c>
      <c r="D1801" s="1389"/>
      <c r="E1801" s="1389"/>
      <c r="F1801" s="1423"/>
      <c r="G1801" s="1423"/>
      <c r="H1801" s="1424"/>
      <c r="I1801" s="1425">
        <v>0.02</v>
      </c>
      <c r="J1801" s="1394">
        <f>SUM(I1800)</f>
        <v>0.89999999999999991</v>
      </c>
      <c r="M1801" s="1426"/>
      <c r="Q1801" s="1394">
        <f>IFERROR(VLOOKUP(M1801,#REF!,3,0),0)</f>
        <v>0</v>
      </c>
      <c r="R1801" s="1394">
        <f t="shared" si="546"/>
        <v>0</v>
      </c>
      <c r="S1801" s="1394">
        <f>IFERROR(VLOOKUP(M1801,#REF!,6,0),0)</f>
        <v>0</v>
      </c>
      <c r="T1801" s="1394">
        <f t="shared" si="547"/>
        <v>0</v>
      </c>
      <c r="U1801" s="1394">
        <f>IFERROR(VLOOKUP(M1801,#REF!,5,0),0)</f>
        <v>0</v>
      </c>
      <c r="V1801" s="1394">
        <f t="shared" si="548"/>
        <v>0</v>
      </c>
    </row>
    <row r="1802" spans="1:26" s="1394" customFormat="1" ht="30" customHeight="1">
      <c r="B1802" s="1421"/>
      <c r="C1802" s="1422"/>
      <c r="D1802" s="1389"/>
      <c r="E1802" s="1389"/>
      <c r="F1802" s="1423"/>
      <c r="G1802" s="1423"/>
      <c r="H1802" s="1424"/>
      <c r="I1802" s="1427">
        <f>J1802</f>
        <v>0.9</v>
      </c>
      <c r="J1802" s="1394">
        <f>ROUNDUP(J1801,1)</f>
        <v>0.9</v>
      </c>
      <c r="M1802" s="1426"/>
      <c r="Q1802" s="1394">
        <f>IFERROR(VLOOKUP(M1802,#REF!,3,0),0)</f>
        <v>0</v>
      </c>
      <c r="R1802" s="1394">
        <f t="shared" si="546"/>
        <v>0</v>
      </c>
      <c r="S1802" s="1394">
        <f>IFERROR(VLOOKUP(M1802,#REF!,6,0),0)</f>
        <v>0</v>
      </c>
      <c r="T1802" s="1394">
        <f t="shared" si="547"/>
        <v>0</v>
      </c>
      <c r="U1802" s="1394">
        <f>IFERROR(VLOOKUP(M1802,#REF!,5,0),0)</f>
        <v>0</v>
      </c>
      <c r="V1802" s="1394">
        <f t="shared" si="548"/>
        <v>0</v>
      </c>
    </row>
    <row r="1803" spans="1:26" s="1394" customFormat="1" ht="30" customHeight="1">
      <c r="B1803" s="1421"/>
      <c r="C1803" s="1422"/>
      <c r="D1803" s="1389"/>
      <c r="E1803" s="1389"/>
      <c r="F1803" s="1423"/>
      <c r="G1803" s="1428" t="s">
        <v>11</v>
      </c>
      <c r="H1803" s="1429">
        <f>I1802</f>
        <v>0.9</v>
      </c>
      <c r="I1803" s="1427" t="s">
        <v>26</v>
      </c>
      <c r="M1803" s="1426" t="str">
        <f>A1799</f>
        <v>a. In Ground Floor  Brick work in C.M. 1:4 Kiln Burnt Country bricks of size 22 x 11 x 7 cm (8 3/4" x 4 1/4" x 2 3/4") 70 mm tk (B.P.)</v>
      </c>
      <c r="N1803" s="1426">
        <f>B1798</f>
        <v>11.5</v>
      </c>
      <c r="O1803" s="1394">
        <f>H1803</f>
        <v>0.9</v>
      </c>
      <c r="P1803" s="1394" t="str">
        <f>I1803</f>
        <v>Sqm</v>
      </c>
      <c r="Q1803" s="1394">
        <f>IFERROR(VLOOKUP(M1803,#REF!,3,0),0)</f>
        <v>0</v>
      </c>
      <c r="R1803" s="1394">
        <f t="shared" si="546"/>
        <v>0</v>
      </c>
      <c r="S1803" s="1394">
        <f>IFERROR(VLOOKUP(M1803,#REF!,6,0),0)</f>
        <v>0</v>
      </c>
      <c r="T1803" s="1394">
        <f t="shared" si="547"/>
        <v>0</v>
      </c>
      <c r="U1803" s="1394">
        <f>IFERROR(VLOOKUP(M1803,#REF!,5,0),0)</f>
        <v>0</v>
      </c>
      <c r="V1803" s="1394">
        <f t="shared" si="548"/>
        <v>0.9</v>
      </c>
    </row>
    <row r="1804" spans="1:26" ht="30" customHeight="1">
      <c r="A1804" s="110" t="s">
        <v>354</v>
      </c>
      <c r="B1804" s="1407"/>
      <c r="C1804" s="1678" t="e">
        <f>VLOOKUP(A1804,#REF!,2,0)</f>
        <v>#REF!</v>
      </c>
      <c r="D1804" s="1678"/>
      <c r="E1804" s="1678"/>
      <c r="F1804" s="1678"/>
      <c r="G1804" s="1678"/>
      <c r="H1804" s="1678"/>
      <c r="I1804" s="1406"/>
      <c r="Q1804" s="1394">
        <f>IFERROR(VLOOKUP(M1804,#REF!,3,0),0)</f>
        <v>0</v>
      </c>
      <c r="R1804" s="1394">
        <f t="shared" si="546"/>
        <v>0</v>
      </c>
      <c r="S1804" s="1394">
        <f>IFERROR(VLOOKUP(M1804,#REF!,6,0),0)</f>
        <v>0</v>
      </c>
      <c r="T1804" s="1394">
        <f t="shared" si="547"/>
        <v>0</v>
      </c>
      <c r="U1804" s="1394">
        <f>IFERROR(VLOOKUP(M1804,#REF!,5,0),0)</f>
        <v>0</v>
      </c>
      <c r="V1804" s="1394">
        <f t="shared" si="548"/>
        <v>0</v>
      </c>
      <c r="W1804" s="1394"/>
      <c r="X1804" s="1397"/>
    </row>
    <row r="1805" spans="1:26" ht="30" customHeight="1">
      <c r="B1805" s="1407"/>
      <c r="C1805" s="1491" t="s">
        <v>5591</v>
      </c>
      <c r="D1805" s="103">
        <v>1</v>
      </c>
      <c r="E1805" s="103">
        <f>ROUNDUP(L1805/1.2,0)</f>
        <v>2</v>
      </c>
      <c r="F1805" s="1413">
        <v>0.6</v>
      </c>
      <c r="G1805" s="1413"/>
      <c r="H1805" s="1414">
        <v>2.1</v>
      </c>
      <c r="I1805" s="1406">
        <f t="shared" ref="I1805:I1812" si="551">PRODUCT(D1805:H1805)</f>
        <v>2.52</v>
      </c>
      <c r="L1805" s="1413">
        <v>1.65</v>
      </c>
      <c r="Q1805" s="1394">
        <f>IFERROR(VLOOKUP(M1805,#REF!,3,0),0)</f>
        <v>0</v>
      </c>
      <c r="R1805" s="1394">
        <f t="shared" si="546"/>
        <v>0</v>
      </c>
      <c r="S1805" s="1394">
        <f>IFERROR(VLOOKUP(M1805,#REF!,6,0),0)</f>
        <v>0</v>
      </c>
      <c r="T1805" s="1394">
        <f t="shared" si="547"/>
        <v>0</v>
      </c>
      <c r="U1805" s="1394">
        <f>IFERROR(VLOOKUP(M1805,#REF!,5,0),0)</f>
        <v>0</v>
      </c>
      <c r="V1805" s="1394">
        <f t="shared" si="548"/>
        <v>0</v>
      </c>
      <c r="W1805" s="1394"/>
    </row>
    <row r="1806" spans="1:26" ht="30" customHeight="1">
      <c r="B1806" s="1407"/>
      <c r="C1806" s="1491" t="s">
        <v>5593</v>
      </c>
      <c r="D1806" s="103">
        <v>1</v>
      </c>
      <c r="E1806" s="103">
        <f t="shared" ref="E1806:E1812" si="552">ROUNDUP(L1806/1.2,0)</f>
        <v>2</v>
      </c>
      <c r="F1806" s="1413">
        <v>0.6</v>
      </c>
      <c r="G1806" s="1413"/>
      <c r="H1806" s="1414">
        <v>2.1</v>
      </c>
      <c r="I1806" s="1406">
        <f t="shared" si="551"/>
        <v>2.52</v>
      </c>
      <c r="L1806" s="1413">
        <v>2.0350000000000001</v>
      </c>
      <c r="Q1806" s="1394">
        <f>IFERROR(VLOOKUP(M1806,#REF!,3,0),0)</f>
        <v>0</v>
      </c>
      <c r="R1806" s="1394">
        <f t="shared" si="546"/>
        <v>0</v>
      </c>
      <c r="S1806" s="1394">
        <f>IFERROR(VLOOKUP(M1806,#REF!,6,0),0)</f>
        <v>0</v>
      </c>
      <c r="T1806" s="1394">
        <f t="shared" si="547"/>
        <v>0</v>
      </c>
      <c r="U1806" s="1394">
        <f>IFERROR(VLOOKUP(M1806,#REF!,5,0),0)</f>
        <v>0</v>
      </c>
      <c r="V1806" s="1394">
        <f t="shared" si="548"/>
        <v>0</v>
      </c>
      <c r="W1806" s="1394"/>
    </row>
    <row r="1807" spans="1:26" ht="30" customHeight="1">
      <c r="B1807" s="1407"/>
      <c r="C1807" s="1491" t="s">
        <v>5783</v>
      </c>
      <c r="D1807" s="103">
        <v>1</v>
      </c>
      <c r="E1807" s="103">
        <f t="shared" si="552"/>
        <v>2</v>
      </c>
      <c r="F1807" s="1413">
        <v>0.6</v>
      </c>
      <c r="G1807" s="1413"/>
      <c r="H1807" s="1414">
        <v>2.1</v>
      </c>
      <c r="I1807" s="1406">
        <f t="shared" si="551"/>
        <v>2.52</v>
      </c>
      <c r="L1807" s="1413">
        <v>1.65</v>
      </c>
      <c r="Q1807" s="1394">
        <f>IFERROR(VLOOKUP(M1807,#REF!,3,0),0)</f>
        <v>0</v>
      </c>
      <c r="R1807" s="1394">
        <f t="shared" si="546"/>
        <v>0</v>
      </c>
      <c r="S1807" s="1394">
        <f>IFERROR(VLOOKUP(M1807,#REF!,6,0),0)</f>
        <v>0</v>
      </c>
      <c r="T1807" s="1394">
        <f t="shared" si="547"/>
        <v>0</v>
      </c>
      <c r="U1807" s="1394">
        <f>IFERROR(VLOOKUP(M1807,#REF!,5,0),0)</f>
        <v>0</v>
      </c>
      <c r="V1807" s="1394">
        <f t="shared" si="548"/>
        <v>0</v>
      </c>
      <c r="W1807" s="1394"/>
    </row>
    <row r="1808" spans="1:26" ht="30" customHeight="1">
      <c r="B1808" s="1407"/>
      <c r="C1808" s="1491" t="s">
        <v>5783</v>
      </c>
      <c r="D1808" s="103">
        <v>1</v>
      </c>
      <c r="E1808" s="103">
        <f t="shared" si="552"/>
        <v>2</v>
      </c>
      <c r="F1808" s="1413">
        <v>0.6</v>
      </c>
      <c r="G1808" s="1413"/>
      <c r="H1808" s="1414">
        <v>2.1</v>
      </c>
      <c r="I1808" s="1406">
        <f t="shared" si="551"/>
        <v>2.52</v>
      </c>
      <c r="L1808" s="1413">
        <v>1.8</v>
      </c>
      <c r="Q1808" s="1394">
        <f>IFERROR(VLOOKUP(M1808,#REF!,3,0),0)</f>
        <v>0</v>
      </c>
      <c r="R1808" s="1394">
        <f t="shared" si="546"/>
        <v>0</v>
      </c>
      <c r="S1808" s="1394">
        <f>IFERROR(VLOOKUP(M1808,#REF!,6,0),0)</f>
        <v>0</v>
      </c>
      <c r="T1808" s="1394">
        <f t="shared" si="547"/>
        <v>0</v>
      </c>
      <c r="U1808" s="1394">
        <f>IFERROR(VLOOKUP(M1808,#REF!,5,0),0)</f>
        <v>0</v>
      </c>
      <c r="V1808" s="1394">
        <f t="shared" si="548"/>
        <v>0</v>
      </c>
      <c r="W1808" s="1394"/>
    </row>
    <row r="1809" spans="1:24" ht="30" customHeight="1">
      <c r="B1809" s="1407"/>
      <c r="C1809" s="1491" t="s">
        <v>5784</v>
      </c>
      <c r="D1809" s="103">
        <v>1</v>
      </c>
      <c r="E1809" s="103">
        <f t="shared" si="552"/>
        <v>3</v>
      </c>
      <c r="F1809" s="1413">
        <v>0.6</v>
      </c>
      <c r="G1809" s="1413"/>
      <c r="H1809" s="1414">
        <v>2.1</v>
      </c>
      <c r="I1809" s="1406">
        <f t="shared" si="551"/>
        <v>3.78</v>
      </c>
      <c r="L1809" s="1413">
        <v>2.7850000000000001</v>
      </c>
      <c r="Q1809" s="1394">
        <f>IFERROR(VLOOKUP(M1809,#REF!,3,0),0)</f>
        <v>0</v>
      </c>
      <c r="R1809" s="1394">
        <f t="shared" si="546"/>
        <v>0</v>
      </c>
      <c r="S1809" s="1394">
        <f>IFERROR(VLOOKUP(M1809,#REF!,6,0),0)</f>
        <v>0</v>
      </c>
      <c r="T1809" s="1394">
        <f t="shared" si="547"/>
        <v>0</v>
      </c>
      <c r="U1809" s="1394">
        <f>IFERROR(VLOOKUP(M1809,#REF!,5,0),0)</f>
        <v>0</v>
      </c>
      <c r="V1809" s="1394">
        <f t="shared" si="548"/>
        <v>0</v>
      </c>
      <c r="W1809" s="1394"/>
    </row>
    <row r="1810" spans="1:24" ht="30" customHeight="1">
      <c r="B1810" s="1407"/>
      <c r="C1810" s="1491" t="s">
        <v>5785</v>
      </c>
      <c r="D1810" s="103">
        <v>1</v>
      </c>
      <c r="E1810" s="103">
        <f t="shared" si="552"/>
        <v>2</v>
      </c>
      <c r="F1810" s="1413">
        <v>0.6</v>
      </c>
      <c r="G1810" s="1413"/>
      <c r="H1810" s="1414">
        <v>2.1</v>
      </c>
      <c r="I1810" s="1406">
        <f t="shared" si="551"/>
        <v>2.52</v>
      </c>
      <c r="L1810" s="1413">
        <v>1.9350000000000001</v>
      </c>
      <c r="Q1810" s="1394">
        <f>IFERROR(VLOOKUP(M1810,#REF!,3,0),0)</f>
        <v>0</v>
      </c>
      <c r="R1810" s="1394">
        <f t="shared" si="546"/>
        <v>0</v>
      </c>
      <c r="S1810" s="1394">
        <f>IFERROR(VLOOKUP(M1810,#REF!,6,0),0)</f>
        <v>0</v>
      </c>
      <c r="T1810" s="1394">
        <f t="shared" si="547"/>
        <v>0</v>
      </c>
      <c r="U1810" s="1394">
        <f>IFERROR(VLOOKUP(M1810,#REF!,5,0),0)</f>
        <v>0</v>
      </c>
      <c r="V1810" s="1394">
        <f t="shared" si="548"/>
        <v>0</v>
      </c>
      <c r="W1810" s="1394"/>
    </row>
    <row r="1811" spans="1:24" ht="30" customHeight="1">
      <c r="B1811" s="1407"/>
      <c r="C1811" s="1491" t="s">
        <v>5786</v>
      </c>
      <c r="D1811" s="103">
        <v>1</v>
      </c>
      <c r="E1811" s="103">
        <f t="shared" si="552"/>
        <v>2</v>
      </c>
      <c r="F1811" s="1413">
        <v>0.6</v>
      </c>
      <c r="G1811" s="1413"/>
      <c r="H1811" s="1414">
        <v>2.1</v>
      </c>
      <c r="I1811" s="1406">
        <f t="shared" si="551"/>
        <v>2.52</v>
      </c>
      <c r="L1811" s="1413">
        <v>1.82</v>
      </c>
      <c r="Q1811" s="1394">
        <f>IFERROR(VLOOKUP(M1811,#REF!,3,0),0)</f>
        <v>0</v>
      </c>
      <c r="R1811" s="1394">
        <f t="shared" si="546"/>
        <v>0</v>
      </c>
      <c r="S1811" s="1394">
        <f>IFERROR(VLOOKUP(M1811,#REF!,6,0),0)</f>
        <v>0</v>
      </c>
      <c r="T1811" s="1394">
        <f t="shared" si="547"/>
        <v>0</v>
      </c>
      <c r="U1811" s="1394">
        <f>IFERROR(VLOOKUP(M1811,#REF!,5,0),0)</f>
        <v>0</v>
      </c>
      <c r="V1811" s="1394">
        <f t="shared" si="548"/>
        <v>0</v>
      </c>
      <c r="W1811" s="1394"/>
    </row>
    <row r="1812" spans="1:24" ht="30" customHeight="1">
      <c r="B1812" s="1407"/>
      <c r="C1812" s="1491" t="s">
        <v>5744</v>
      </c>
      <c r="D1812" s="103">
        <v>1</v>
      </c>
      <c r="E1812" s="103">
        <f t="shared" si="552"/>
        <v>2</v>
      </c>
      <c r="F1812" s="1413">
        <v>0.6</v>
      </c>
      <c r="G1812" s="1413"/>
      <c r="H1812" s="1414">
        <v>2.1</v>
      </c>
      <c r="I1812" s="1406">
        <f t="shared" si="551"/>
        <v>2.52</v>
      </c>
      <c r="L1812" s="1413">
        <v>1.23</v>
      </c>
      <c r="Q1812" s="1394">
        <f>IFERROR(VLOOKUP(M1812,#REF!,3,0),0)</f>
        <v>0</v>
      </c>
      <c r="R1812" s="1394">
        <f t="shared" si="546"/>
        <v>0</v>
      </c>
      <c r="S1812" s="1394">
        <f>IFERROR(VLOOKUP(M1812,#REF!,6,0),0)</f>
        <v>0</v>
      </c>
      <c r="T1812" s="1394">
        <f t="shared" si="547"/>
        <v>0</v>
      </c>
      <c r="U1812" s="1394">
        <f>IFERROR(VLOOKUP(M1812,#REF!,5,0),0)</f>
        <v>0</v>
      </c>
      <c r="V1812" s="1394">
        <f t="shared" si="548"/>
        <v>0</v>
      </c>
      <c r="W1812" s="1394"/>
    </row>
    <row r="1813" spans="1:24" ht="30" customHeight="1">
      <c r="B1813" s="1407"/>
      <c r="C1813" s="1455"/>
      <c r="D1813" s="103"/>
      <c r="E1813" s="103"/>
      <c r="F1813" s="1413"/>
      <c r="G1813" s="1413"/>
      <c r="H1813" s="1414"/>
      <c r="I1813" s="1406"/>
      <c r="Q1813" s="1394">
        <f>IFERROR(VLOOKUP(M1813,#REF!,3,0),0)</f>
        <v>0</v>
      </c>
      <c r="R1813" s="1394">
        <f t="shared" si="546"/>
        <v>0</v>
      </c>
      <c r="S1813" s="1394">
        <f>IFERROR(VLOOKUP(M1813,#REF!,6,0),0)</f>
        <v>0</v>
      </c>
      <c r="T1813" s="1394">
        <f t="shared" si="547"/>
        <v>0</v>
      </c>
      <c r="U1813" s="1394">
        <f>IFERROR(VLOOKUP(M1813,#REF!,5,0),0)</f>
        <v>0</v>
      </c>
      <c r="V1813" s="1394">
        <f t="shared" si="548"/>
        <v>0</v>
      </c>
      <c r="W1813" s="1394"/>
    </row>
    <row r="1814" spans="1:24" s="1394" customFormat="1" ht="30" customHeight="1">
      <c r="B1814" s="1421"/>
      <c r="C1814" s="1422" t="s">
        <v>270</v>
      </c>
      <c r="D1814" s="1389"/>
      <c r="E1814" s="1389"/>
      <c r="F1814" s="1423"/>
      <c r="G1814" s="1423"/>
      <c r="H1814" s="1424"/>
      <c r="I1814" s="1425">
        <f>J1815-J1814</f>
        <v>8.0000000000001847E-2</v>
      </c>
      <c r="J1814" s="1394">
        <f>SUM(I1805:I1812)</f>
        <v>21.419999999999998</v>
      </c>
      <c r="M1814" s="1426"/>
      <c r="Q1814" s="1394">
        <f>IFERROR(VLOOKUP(M1814,#REF!,3,0),0)</f>
        <v>0</v>
      </c>
      <c r="R1814" s="1394">
        <f t="shared" si="546"/>
        <v>0</v>
      </c>
      <c r="S1814" s="1394">
        <f>IFERROR(VLOOKUP(M1814,#REF!,6,0),0)</f>
        <v>0</v>
      </c>
      <c r="T1814" s="1394">
        <f t="shared" si="547"/>
        <v>0</v>
      </c>
      <c r="U1814" s="1394">
        <f>IFERROR(VLOOKUP(M1814,#REF!,5,0),0)</f>
        <v>0</v>
      </c>
      <c r="V1814" s="1394">
        <f t="shared" si="548"/>
        <v>0</v>
      </c>
    </row>
    <row r="1815" spans="1:24" s="1394" customFormat="1" ht="30" customHeight="1">
      <c r="B1815" s="1421"/>
      <c r="C1815" s="1422"/>
      <c r="D1815" s="1389"/>
      <c r="E1815" s="1389"/>
      <c r="F1815" s="1423"/>
      <c r="G1815" s="1423"/>
      <c r="H1815" s="1424"/>
      <c r="I1815" s="1427">
        <f>J1815</f>
        <v>21.5</v>
      </c>
      <c r="J1815" s="1394">
        <f>ROUNDUP(J1814,1)</f>
        <v>21.5</v>
      </c>
      <c r="M1815" s="1426"/>
      <c r="Q1815" s="1394">
        <f>IFERROR(VLOOKUP(M1815,#REF!,3,0),0)</f>
        <v>0</v>
      </c>
      <c r="R1815" s="1394">
        <f t="shared" si="546"/>
        <v>0</v>
      </c>
      <c r="S1815" s="1394">
        <f>IFERROR(VLOOKUP(M1815,#REF!,6,0),0)</f>
        <v>0</v>
      </c>
      <c r="T1815" s="1394">
        <f t="shared" si="547"/>
        <v>0</v>
      </c>
      <c r="U1815" s="1394">
        <f>IFERROR(VLOOKUP(M1815,#REF!,5,0),0)</f>
        <v>0</v>
      </c>
      <c r="V1815" s="1394">
        <f t="shared" si="548"/>
        <v>0</v>
      </c>
    </row>
    <row r="1816" spans="1:24" s="1394" customFormat="1" ht="30" customHeight="1">
      <c r="B1816" s="1421"/>
      <c r="C1816" s="1422"/>
      <c r="D1816" s="1389"/>
      <c r="E1816" s="1389"/>
      <c r="F1816" s="1423"/>
      <c r="G1816" s="1428" t="s">
        <v>11</v>
      </c>
      <c r="H1816" s="1429">
        <f>I1815</f>
        <v>21.5</v>
      </c>
      <c r="I1816" s="1427" t="s">
        <v>26</v>
      </c>
      <c r="M1816" s="1426" t="str">
        <f>A1804</f>
        <v>b. In First Floor  Brick work in C.M. 1:4 Kiln Burnt Country bricks of size 22 x 11 x 7 cm (8 3/4" x 4 1/4" x 2 3/4") 70 mm tk (B.P.)</v>
      </c>
      <c r="N1816" s="1426">
        <f>B1804</f>
        <v>0</v>
      </c>
      <c r="O1816" s="1394">
        <f>H1816</f>
        <v>21.5</v>
      </c>
      <c r="P1816" s="1394" t="str">
        <f>I1816</f>
        <v>Sqm</v>
      </c>
      <c r="Q1816" s="1394">
        <f>IFERROR(VLOOKUP(M1816,#REF!,3,0),0)</f>
        <v>0</v>
      </c>
      <c r="R1816" s="1394">
        <f t="shared" si="546"/>
        <v>0</v>
      </c>
      <c r="S1816" s="1394">
        <f>IFERROR(VLOOKUP(M1816,#REF!,6,0),0)</f>
        <v>0</v>
      </c>
      <c r="T1816" s="1394">
        <f t="shared" si="547"/>
        <v>0</v>
      </c>
      <c r="U1816" s="1394">
        <f>IFERROR(VLOOKUP(M1816,#REF!,5,0),0)</f>
        <v>0</v>
      </c>
      <c r="V1816" s="1394">
        <f t="shared" si="548"/>
        <v>21.5</v>
      </c>
    </row>
    <row r="1817" spans="1:24" ht="30" customHeight="1">
      <c r="A1817" s="110" t="s">
        <v>355</v>
      </c>
      <c r="B1817" s="1407"/>
      <c r="C1817" s="1678" t="e">
        <f>VLOOKUP(A1817,#REF!,2,0)</f>
        <v>#REF!</v>
      </c>
      <c r="D1817" s="1678"/>
      <c r="E1817" s="1678"/>
      <c r="F1817" s="1678"/>
      <c r="G1817" s="1678"/>
      <c r="H1817" s="1678"/>
      <c r="I1817" s="1406"/>
      <c r="Q1817" s="1394">
        <f>IFERROR(VLOOKUP(M1817,#REF!,3,0),0)</f>
        <v>0</v>
      </c>
      <c r="R1817" s="1394">
        <f t="shared" si="546"/>
        <v>0</v>
      </c>
      <c r="S1817" s="1394">
        <f>IFERROR(VLOOKUP(M1817,#REF!,6,0),0)</f>
        <v>0</v>
      </c>
      <c r="T1817" s="1394">
        <f t="shared" si="547"/>
        <v>0</v>
      </c>
      <c r="U1817" s="1394">
        <f>IFERROR(VLOOKUP(M1817,#REF!,5,0),0)</f>
        <v>0</v>
      </c>
      <c r="V1817" s="1394">
        <f t="shared" si="548"/>
        <v>0</v>
      </c>
      <c r="W1817" s="1394"/>
      <c r="X1817" s="1397"/>
    </row>
    <row r="1818" spans="1:24" ht="30" customHeight="1">
      <c r="B1818" s="1407"/>
      <c r="C1818" s="1491" t="s">
        <v>5628</v>
      </c>
      <c r="D1818" s="103">
        <v>1</v>
      </c>
      <c r="E1818" s="103">
        <f>ROUNDUP(L1818/1.2,0)</f>
        <v>2</v>
      </c>
      <c r="F1818" s="1413">
        <v>0.6</v>
      </c>
      <c r="G1818" s="1413"/>
      <c r="H1818" s="1414">
        <v>2.1</v>
      </c>
      <c r="I1818" s="1406">
        <f t="shared" ref="I1818:I1825" si="553">PRODUCT(D1818:H1818)</f>
        <v>2.52</v>
      </c>
      <c r="L1818" s="1413">
        <v>1.65</v>
      </c>
      <c r="Q1818" s="1394">
        <f>IFERROR(VLOOKUP(M1818,#REF!,3,0),0)</f>
        <v>0</v>
      </c>
      <c r="R1818" s="1394">
        <f t="shared" si="546"/>
        <v>0</v>
      </c>
      <c r="S1818" s="1394">
        <f>IFERROR(VLOOKUP(M1818,#REF!,6,0),0)</f>
        <v>0</v>
      </c>
      <c r="T1818" s="1394">
        <f t="shared" si="547"/>
        <v>0</v>
      </c>
      <c r="U1818" s="1394">
        <f>IFERROR(VLOOKUP(M1818,#REF!,5,0),0)</f>
        <v>0</v>
      </c>
      <c r="V1818" s="1394">
        <f t="shared" si="548"/>
        <v>0</v>
      </c>
      <c r="W1818" s="1394"/>
    </row>
    <row r="1819" spans="1:24" ht="30" customHeight="1">
      <c r="B1819" s="1407"/>
      <c r="C1819" s="1491" t="s">
        <v>5593</v>
      </c>
      <c r="D1819" s="103">
        <v>1</v>
      </c>
      <c r="E1819" s="103">
        <f t="shared" ref="E1819:E1825" si="554">ROUNDUP(L1819/1.2,0)</f>
        <v>2</v>
      </c>
      <c r="F1819" s="1413">
        <v>0.6</v>
      </c>
      <c r="G1819" s="1413"/>
      <c r="H1819" s="1414">
        <v>2.1</v>
      </c>
      <c r="I1819" s="1406">
        <f t="shared" si="553"/>
        <v>2.52</v>
      </c>
      <c r="L1819" s="1413">
        <v>2.0350000000000001</v>
      </c>
      <c r="Q1819" s="1394">
        <f>IFERROR(VLOOKUP(M1819,#REF!,3,0),0)</f>
        <v>0</v>
      </c>
      <c r="R1819" s="1394">
        <f t="shared" si="546"/>
        <v>0</v>
      </c>
      <c r="S1819" s="1394">
        <f>IFERROR(VLOOKUP(M1819,#REF!,6,0),0)</f>
        <v>0</v>
      </c>
      <c r="T1819" s="1394">
        <f t="shared" si="547"/>
        <v>0</v>
      </c>
      <c r="U1819" s="1394">
        <f>IFERROR(VLOOKUP(M1819,#REF!,5,0),0)</f>
        <v>0</v>
      </c>
      <c r="V1819" s="1394">
        <f t="shared" si="548"/>
        <v>0</v>
      </c>
      <c r="W1819" s="1394"/>
    </row>
    <row r="1820" spans="1:24" ht="30" customHeight="1">
      <c r="B1820" s="1407"/>
      <c r="C1820" s="1491" t="s">
        <v>5783</v>
      </c>
      <c r="D1820" s="103">
        <v>1</v>
      </c>
      <c r="E1820" s="103">
        <f t="shared" si="554"/>
        <v>2</v>
      </c>
      <c r="F1820" s="1413">
        <v>0.6</v>
      </c>
      <c r="G1820" s="1413"/>
      <c r="H1820" s="1414">
        <v>2.1</v>
      </c>
      <c r="I1820" s="1406">
        <f t="shared" si="553"/>
        <v>2.52</v>
      </c>
      <c r="L1820" s="1413">
        <v>1.65</v>
      </c>
      <c r="Q1820" s="1394">
        <f>IFERROR(VLOOKUP(M1820,#REF!,3,0),0)</f>
        <v>0</v>
      </c>
      <c r="R1820" s="1394">
        <f t="shared" si="546"/>
        <v>0</v>
      </c>
      <c r="S1820" s="1394">
        <f>IFERROR(VLOOKUP(M1820,#REF!,6,0),0)</f>
        <v>0</v>
      </c>
      <c r="T1820" s="1394">
        <f t="shared" si="547"/>
        <v>0</v>
      </c>
      <c r="U1820" s="1394">
        <f>IFERROR(VLOOKUP(M1820,#REF!,5,0),0)</f>
        <v>0</v>
      </c>
      <c r="V1820" s="1394">
        <f t="shared" si="548"/>
        <v>0</v>
      </c>
      <c r="W1820" s="1394"/>
    </row>
    <row r="1821" spans="1:24" ht="30" customHeight="1">
      <c r="B1821" s="1407"/>
      <c r="C1821" s="1491" t="s">
        <v>5783</v>
      </c>
      <c r="D1821" s="103">
        <v>1</v>
      </c>
      <c r="E1821" s="103">
        <f t="shared" si="554"/>
        <v>2</v>
      </c>
      <c r="F1821" s="1413">
        <v>0.6</v>
      </c>
      <c r="G1821" s="1413"/>
      <c r="H1821" s="1414">
        <v>2.1</v>
      </c>
      <c r="I1821" s="1406">
        <f t="shared" si="553"/>
        <v>2.52</v>
      </c>
      <c r="L1821" s="1413">
        <v>1.8</v>
      </c>
      <c r="Q1821" s="1394">
        <f>IFERROR(VLOOKUP(M1821,#REF!,3,0),0)</f>
        <v>0</v>
      </c>
      <c r="R1821" s="1394">
        <f t="shared" si="546"/>
        <v>0</v>
      </c>
      <c r="S1821" s="1394">
        <f>IFERROR(VLOOKUP(M1821,#REF!,6,0),0)</f>
        <v>0</v>
      </c>
      <c r="T1821" s="1394">
        <f t="shared" si="547"/>
        <v>0</v>
      </c>
      <c r="U1821" s="1394">
        <f>IFERROR(VLOOKUP(M1821,#REF!,5,0),0)</f>
        <v>0</v>
      </c>
      <c r="V1821" s="1394">
        <f t="shared" si="548"/>
        <v>0</v>
      </c>
      <c r="W1821" s="1394"/>
    </row>
    <row r="1822" spans="1:24" ht="30" customHeight="1">
      <c r="B1822" s="1407"/>
      <c r="C1822" s="1491" t="s">
        <v>5674</v>
      </c>
      <c r="D1822" s="103">
        <v>1</v>
      </c>
      <c r="E1822" s="103">
        <f t="shared" si="554"/>
        <v>3</v>
      </c>
      <c r="F1822" s="1413">
        <v>0.6</v>
      </c>
      <c r="G1822" s="1413"/>
      <c r="H1822" s="1414">
        <v>2.1</v>
      </c>
      <c r="I1822" s="1406">
        <f t="shared" si="553"/>
        <v>3.78</v>
      </c>
      <c r="L1822" s="1413">
        <v>2.7850000000000001</v>
      </c>
      <c r="Q1822" s="1394">
        <f>IFERROR(VLOOKUP(M1822,#REF!,3,0),0)</f>
        <v>0</v>
      </c>
      <c r="R1822" s="1394">
        <f t="shared" si="546"/>
        <v>0</v>
      </c>
      <c r="S1822" s="1394">
        <f>IFERROR(VLOOKUP(M1822,#REF!,6,0),0)</f>
        <v>0</v>
      </c>
      <c r="T1822" s="1394">
        <f t="shared" si="547"/>
        <v>0</v>
      </c>
      <c r="U1822" s="1394">
        <f>IFERROR(VLOOKUP(M1822,#REF!,5,0),0)</f>
        <v>0</v>
      </c>
      <c r="V1822" s="1394">
        <f t="shared" si="548"/>
        <v>0</v>
      </c>
      <c r="W1822" s="1394"/>
    </row>
    <row r="1823" spans="1:24" ht="30" customHeight="1">
      <c r="B1823" s="1407"/>
      <c r="C1823" s="1491" t="s">
        <v>5591</v>
      </c>
      <c r="D1823" s="103">
        <v>1</v>
      </c>
      <c r="E1823" s="103">
        <f t="shared" si="554"/>
        <v>2</v>
      </c>
      <c r="F1823" s="1413">
        <v>0.6</v>
      </c>
      <c r="G1823" s="1413"/>
      <c r="H1823" s="1414">
        <v>2.1</v>
      </c>
      <c r="I1823" s="1406">
        <f t="shared" si="553"/>
        <v>2.52</v>
      </c>
      <c r="L1823" s="1413">
        <v>1.9350000000000001</v>
      </c>
      <c r="Q1823" s="1394">
        <f>IFERROR(VLOOKUP(M1823,#REF!,3,0),0)</f>
        <v>0</v>
      </c>
      <c r="R1823" s="1394">
        <f t="shared" si="546"/>
        <v>0</v>
      </c>
      <c r="S1823" s="1394">
        <f>IFERROR(VLOOKUP(M1823,#REF!,6,0),0)</f>
        <v>0</v>
      </c>
      <c r="T1823" s="1394">
        <f t="shared" si="547"/>
        <v>0</v>
      </c>
      <c r="U1823" s="1394">
        <f>IFERROR(VLOOKUP(M1823,#REF!,5,0),0)</f>
        <v>0</v>
      </c>
      <c r="V1823" s="1394">
        <f t="shared" si="548"/>
        <v>0</v>
      </c>
      <c r="W1823" s="1394"/>
    </row>
    <row r="1824" spans="1:24" ht="30" customHeight="1">
      <c r="B1824" s="1407"/>
      <c r="C1824" s="1491" t="s">
        <v>5678</v>
      </c>
      <c r="D1824" s="103">
        <v>1</v>
      </c>
      <c r="E1824" s="103">
        <f t="shared" si="554"/>
        <v>2</v>
      </c>
      <c r="F1824" s="1413">
        <v>0.6</v>
      </c>
      <c r="G1824" s="1413"/>
      <c r="H1824" s="1414">
        <v>2.1</v>
      </c>
      <c r="I1824" s="1406">
        <f t="shared" si="553"/>
        <v>2.52</v>
      </c>
      <c r="L1824" s="1413">
        <f>2.32</f>
        <v>2.3199999999999998</v>
      </c>
      <c r="Q1824" s="1394">
        <f>IFERROR(VLOOKUP(M1824,#REF!,3,0),0)</f>
        <v>0</v>
      </c>
      <c r="R1824" s="1394">
        <f t="shared" si="546"/>
        <v>0</v>
      </c>
      <c r="S1824" s="1394">
        <f>IFERROR(VLOOKUP(M1824,#REF!,6,0),0)</f>
        <v>0</v>
      </c>
      <c r="T1824" s="1394">
        <f t="shared" si="547"/>
        <v>0</v>
      </c>
      <c r="U1824" s="1394">
        <f>IFERROR(VLOOKUP(M1824,#REF!,5,0),0)</f>
        <v>0</v>
      </c>
      <c r="V1824" s="1394">
        <f t="shared" si="548"/>
        <v>0</v>
      </c>
      <c r="W1824" s="1394"/>
    </row>
    <row r="1825" spans="1:24" ht="30" customHeight="1">
      <c r="B1825" s="1407"/>
      <c r="C1825" s="1491" t="s">
        <v>5787</v>
      </c>
      <c r="D1825" s="103">
        <v>1</v>
      </c>
      <c r="E1825" s="103">
        <f t="shared" si="554"/>
        <v>2</v>
      </c>
      <c r="F1825" s="1413">
        <v>0.6</v>
      </c>
      <c r="G1825" s="1413"/>
      <c r="H1825" s="1414">
        <v>2.1</v>
      </c>
      <c r="I1825" s="1406">
        <f t="shared" si="553"/>
        <v>2.52</v>
      </c>
      <c r="L1825" s="1413">
        <v>1.218</v>
      </c>
      <c r="Q1825" s="1394">
        <f>IFERROR(VLOOKUP(M1825,#REF!,3,0),0)</f>
        <v>0</v>
      </c>
      <c r="R1825" s="1394">
        <f t="shared" si="546"/>
        <v>0</v>
      </c>
      <c r="S1825" s="1394">
        <f>IFERROR(VLOOKUP(M1825,#REF!,6,0),0)</f>
        <v>0</v>
      </c>
      <c r="T1825" s="1394">
        <f t="shared" si="547"/>
        <v>0</v>
      </c>
      <c r="U1825" s="1394">
        <f>IFERROR(VLOOKUP(M1825,#REF!,5,0),0)</f>
        <v>0</v>
      </c>
      <c r="V1825" s="1394">
        <f t="shared" si="548"/>
        <v>0</v>
      </c>
      <c r="W1825" s="1394"/>
    </row>
    <row r="1826" spans="1:24" ht="30" customHeight="1">
      <c r="B1826" s="1407"/>
      <c r="C1826" s="1455"/>
      <c r="D1826" s="103"/>
      <c r="E1826" s="103"/>
      <c r="F1826" s="1413"/>
      <c r="G1826" s="1413"/>
      <c r="H1826" s="1414"/>
      <c r="I1826" s="1406"/>
      <c r="Q1826" s="1394">
        <f>IFERROR(VLOOKUP(M1826,#REF!,3,0),0)</f>
        <v>0</v>
      </c>
      <c r="R1826" s="1394">
        <f t="shared" si="546"/>
        <v>0</v>
      </c>
      <c r="S1826" s="1394">
        <f>IFERROR(VLOOKUP(M1826,#REF!,6,0),0)</f>
        <v>0</v>
      </c>
      <c r="T1826" s="1394">
        <f t="shared" si="547"/>
        <v>0</v>
      </c>
      <c r="U1826" s="1394">
        <f>IFERROR(VLOOKUP(M1826,#REF!,5,0),0)</f>
        <v>0</v>
      </c>
      <c r="V1826" s="1394">
        <f t="shared" si="548"/>
        <v>0</v>
      </c>
      <c r="W1826" s="1394"/>
    </row>
    <row r="1827" spans="1:24" s="1394" customFormat="1" ht="30" customHeight="1">
      <c r="B1827" s="1421"/>
      <c r="C1827" s="1422" t="s">
        <v>270</v>
      </c>
      <c r="D1827" s="1389"/>
      <c r="E1827" s="1389"/>
      <c r="F1827" s="1423"/>
      <c r="G1827" s="1423"/>
      <c r="H1827" s="1424"/>
      <c r="I1827" s="1425">
        <f>J1828-J1827</f>
        <v>8.0000000000001847E-2</v>
      </c>
      <c r="J1827" s="1394">
        <f>SUM(I1818:I1826)</f>
        <v>21.419999999999998</v>
      </c>
      <c r="M1827" s="1426"/>
      <c r="Q1827" s="1394">
        <f>IFERROR(VLOOKUP(M1827,#REF!,3,0),0)</f>
        <v>0</v>
      </c>
      <c r="R1827" s="1394">
        <f t="shared" si="546"/>
        <v>0</v>
      </c>
      <c r="S1827" s="1394">
        <f>IFERROR(VLOOKUP(M1827,#REF!,6,0),0)</f>
        <v>0</v>
      </c>
      <c r="T1827" s="1394">
        <f t="shared" si="547"/>
        <v>0</v>
      </c>
      <c r="U1827" s="1394">
        <f>IFERROR(VLOOKUP(M1827,#REF!,5,0),0)</f>
        <v>0</v>
      </c>
      <c r="V1827" s="1394">
        <f t="shared" si="548"/>
        <v>0</v>
      </c>
    </row>
    <row r="1828" spans="1:24" s="1394" customFormat="1" ht="30" customHeight="1">
      <c r="B1828" s="1421"/>
      <c r="C1828" s="1422"/>
      <c r="D1828" s="1389"/>
      <c r="E1828" s="1389"/>
      <c r="F1828" s="1423"/>
      <c r="G1828" s="1423"/>
      <c r="H1828" s="1424"/>
      <c r="I1828" s="1427">
        <f>J1828</f>
        <v>21.5</v>
      </c>
      <c r="J1828" s="1394">
        <f>ROUNDUP(J1827,1)</f>
        <v>21.5</v>
      </c>
      <c r="M1828" s="1426"/>
      <c r="Q1828" s="1394">
        <f>IFERROR(VLOOKUP(M1828,#REF!,3,0),0)</f>
        <v>0</v>
      </c>
      <c r="R1828" s="1394">
        <f t="shared" si="546"/>
        <v>0</v>
      </c>
      <c r="S1828" s="1394">
        <f>IFERROR(VLOOKUP(M1828,#REF!,6,0),0)</f>
        <v>0</v>
      </c>
      <c r="T1828" s="1394">
        <f t="shared" si="547"/>
        <v>0</v>
      </c>
      <c r="U1828" s="1394">
        <f>IFERROR(VLOOKUP(M1828,#REF!,5,0),0)</f>
        <v>0</v>
      </c>
      <c r="V1828" s="1394">
        <f t="shared" si="548"/>
        <v>0</v>
      </c>
    </row>
    <row r="1829" spans="1:24" s="1394" customFormat="1" ht="30" customHeight="1">
      <c r="B1829" s="1421"/>
      <c r="C1829" s="1422"/>
      <c r="D1829" s="1389"/>
      <c r="E1829" s="1389"/>
      <c r="F1829" s="1423"/>
      <c r="G1829" s="1428" t="s">
        <v>11</v>
      </c>
      <c r="H1829" s="1429">
        <f>I1828</f>
        <v>21.5</v>
      </c>
      <c r="I1829" s="1427" t="s">
        <v>26</v>
      </c>
      <c r="M1829" s="1426" t="str">
        <f>A1817</f>
        <v>c. In Second Floor Brick work in C.M. 1:4 Kiln Burnt Country bricks of size 22 x 11 x 7 cm (8 3/4" x 4 1/4" x 2 3/4") 70 mm tk (B.P.)</v>
      </c>
      <c r="N1829" s="1426">
        <f>B1817</f>
        <v>0</v>
      </c>
      <c r="O1829" s="1394">
        <f>H1829</f>
        <v>21.5</v>
      </c>
      <c r="P1829" s="1394" t="str">
        <f>I1829</f>
        <v>Sqm</v>
      </c>
      <c r="Q1829" s="1394">
        <f>IFERROR(VLOOKUP(M1829,#REF!,3,0),0)</f>
        <v>0</v>
      </c>
      <c r="R1829" s="1394">
        <f t="shared" si="546"/>
        <v>0</v>
      </c>
      <c r="S1829" s="1394">
        <f>IFERROR(VLOOKUP(M1829,#REF!,6,0),0)</f>
        <v>0</v>
      </c>
      <c r="T1829" s="1394">
        <f t="shared" si="547"/>
        <v>0</v>
      </c>
      <c r="U1829" s="1394">
        <f>IFERROR(VLOOKUP(M1829,#REF!,5,0),0)</f>
        <v>0</v>
      </c>
      <c r="V1829" s="1394">
        <f t="shared" si="548"/>
        <v>21.5</v>
      </c>
    </row>
    <row r="1830" spans="1:24" ht="30" customHeight="1">
      <c r="A1830" s="110" t="s">
        <v>356</v>
      </c>
      <c r="B1830" s="1407"/>
      <c r="C1830" s="1678" t="e">
        <f>VLOOKUP(A1830,#REF!,2,0)</f>
        <v>#REF!</v>
      </c>
      <c r="D1830" s="1678"/>
      <c r="E1830" s="1678"/>
      <c r="F1830" s="1678"/>
      <c r="G1830" s="1678"/>
      <c r="H1830" s="1678"/>
      <c r="I1830" s="1406"/>
      <c r="Q1830" s="1394">
        <f>IFERROR(VLOOKUP(M1830,#REF!,3,0),0)</f>
        <v>0</v>
      </c>
      <c r="R1830" s="1394">
        <f t="shared" si="546"/>
        <v>0</v>
      </c>
      <c r="S1830" s="1394">
        <f>IFERROR(VLOOKUP(M1830,#REF!,6,0),0)</f>
        <v>0</v>
      </c>
      <c r="T1830" s="1394">
        <f t="shared" si="547"/>
        <v>0</v>
      </c>
      <c r="U1830" s="1394">
        <f>IFERROR(VLOOKUP(M1830,#REF!,5,0),0)</f>
        <v>0</v>
      </c>
      <c r="V1830" s="1394">
        <f t="shared" si="548"/>
        <v>0</v>
      </c>
      <c r="W1830" s="1394"/>
      <c r="X1830" s="1397"/>
    </row>
    <row r="1831" spans="1:24" ht="30" customHeight="1">
      <c r="B1831" s="1407"/>
      <c r="C1831" s="1491" t="s">
        <v>5643</v>
      </c>
      <c r="D1831" s="103">
        <v>1</v>
      </c>
      <c r="E1831" s="103">
        <f>ROUNDUP(L1831/1.2,0)</f>
        <v>2</v>
      </c>
      <c r="F1831" s="1413">
        <v>0.6</v>
      </c>
      <c r="G1831" s="1413"/>
      <c r="H1831" s="1414">
        <v>2.1</v>
      </c>
      <c r="I1831" s="1406">
        <f t="shared" ref="I1831:I1839" si="555">PRODUCT(D1831:H1831)</f>
        <v>2.52</v>
      </c>
      <c r="L1831" s="1413">
        <v>1.65</v>
      </c>
      <c r="Q1831" s="1394">
        <f>IFERROR(VLOOKUP(M1831,#REF!,3,0),0)</f>
        <v>0</v>
      </c>
      <c r="R1831" s="1394">
        <f t="shared" si="546"/>
        <v>0</v>
      </c>
      <c r="S1831" s="1394">
        <f>IFERROR(VLOOKUP(M1831,#REF!,6,0),0)</f>
        <v>0</v>
      </c>
      <c r="T1831" s="1394">
        <f t="shared" si="547"/>
        <v>0</v>
      </c>
      <c r="U1831" s="1394">
        <f>IFERROR(VLOOKUP(M1831,#REF!,5,0),0)</f>
        <v>0</v>
      </c>
      <c r="V1831" s="1394">
        <f t="shared" si="548"/>
        <v>0</v>
      </c>
      <c r="W1831" s="1394"/>
    </row>
    <row r="1832" spans="1:24" ht="30" customHeight="1">
      <c r="B1832" s="1407"/>
      <c r="C1832" s="1491" t="s">
        <v>5593</v>
      </c>
      <c r="D1832" s="103">
        <v>1</v>
      </c>
      <c r="E1832" s="103">
        <f t="shared" ref="E1832:E1839" si="556">ROUNDUP(L1832/1.2,0)</f>
        <v>2</v>
      </c>
      <c r="F1832" s="1413">
        <v>0.6</v>
      </c>
      <c r="G1832" s="1413"/>
      <c r="H1832" s="1414">
        <v>2.1</v>
      </c>
      <c r="I1832" s="1406">
        <f t="shared" si="555"/>
        <v>2.52</v>
      </c>
      <c r="L1832" s="1413">
        <v>2.0350000000000001</v>
      </c>
      <c r="Q1832" s="1394">
        <f>IFERROR(VLOOKUP(M1832,#REF!,3,0),0)</f>
        <v>0</v>
      </c>
      <c r="R1832" s="1394">
        <f t="shared" si="546"/>
        <v>0</v>
      </c>
      <c r="S1832" s="1394">
        <f>IFERROR(VLOOKUP(M1832,#REF!,6,0),0)</f>
        <v>0</v>
      </c>
      <c r="T1832" s="1394">
        <f t="shared" si="547"/>
        <v>0</v>
      </c>
      <c r="U1832" s="1394">
        <f>IFERROR(VLOOKUP(M1832,#REF!,5,0),0)</f>
        <v>0</v>
      </c>
      <c r="V1832" s="1394">
        <f t="shared" si="548"/>
        <v>0</v>
      </c>
      <c r="W1832" s="1394"/>
    </row>
    <row r="1833" spans="1:24" ht="30" customHeight="1">
      <c r="B1833" s="1407"/>
      <c r="C1833" s="1491" t="s">
        <v>5783</v>
      </c>
      <c r="D1833" s="103">
        <v>1</v>
      </c>
      <c r="E1833" s="103">
        <f t="shared" si="556"/>
        <v>2</v>
      </c>
      <c r="F1833" s="1413">
        <v>0.6</v>
      </c>
      <c r="G1833" s="1413"/>
      <c r="H1833" s="1414">
        <v>2.1</v>
      </c>
      <c r="I1833" s="1406">
        <f t="shared" si="555"/>
        <v>2.52</v>
      </c>
      <c r="L1833" s="1413">
        <v>1.65</v>
      </c>
      <c r="Q1833" s="1394">
        <f>IFERROR(VLOOKUP(M1833,#REF!,3,0),0)</f>
        <v>0</v>
      </c>
      <c r="R1833" s="1394">
        <f t="shared" si="546"/>
        <v>0</v>
      </c>
      <c r="S1833" s="1394">
        <f>IFERROR(VLOOKUP(M1833,#REF!,6,0),0)</f>
        <v>0</v>
      </c>
      <c r="T1833" s="1394">
        <f t="shared" si="547"/>
        <v>0</v>
      </c>
      <c r="U1833" s="1394">
        <f>IFERROR(VLOOKUP(M1833,#REF!,5,0),0)</f>
        <v>0</v>
      </c>
      <c r="V1833" s="1394">
        <f t="shared" si="548"/>
        <v>0</v>
      </c>
      <c r="W1833" s="1394"/>
    </row>
    <row r="1834" spans="1:24" ht="30" customHeight="1">
      <c r="B1834" s="1407"/>
      <c r="C1834" s="1491" t="s">
        <v>5783</v>
      </c>
      <c r="D1834" s="103">
        <v>1</v>
      </c>
      <c r="E1834" s="103">
        <f t="shared" si="556"/>
        <v>2</v>
      </c>
      <c r="F1834" s="1413">
        <v>0.6</v>
      </c>
      <c r="G1834" s="1413"/>
      <c r="H1834" s="1414">
        <v>2.1</v>
      </c>
      <c r="I1834" s="1406">
        <f t="shared" si="555"/>
        <v>2.52</v>
      </c>
      <c r="L1834" s="1413">
        <v>1.8</v>
      </c>
      <c r="Q1834" s="1394">
        <f>IFERROR(VLOOKUP(M1834,#REF!,3,0),0)</f>
        <v>0</v>
      </c>
      <c r="R1834" s="1394">
        <f t="shared" si="546"/>
        <v>0</v>
      </c>
      <c r="S1834" s="1394">
        <f>IFERROR(VLOOKUP(M1834,#REF!,6,0),0)</f>
        <v>0</v>
      </c>
      <c r="T1834" s="1394">
        <f t="shared" si="547"/>
        <v>0</v>
      </c>
      <c r="U1834" s="1394">
        <f>IFERROR(VLOOKUP(M1834,#REF!,5,0),0)</f>
        <v>0</v>
      </c>
      <c r="V1834" s="1394">
        <f t="shared" si="548"/>
        <v>0</v>
      </c>
      <c r="W1834" s="1394"/>
    </row>
    <row r="1835" spans="1:24" ht="30" customHeight="1">
      <c r="B1835" s="1407"/>
      <c r="C1835" s="1491" t="s">
        <v>341</v>
      </c>
      <c r="D1835" s="103">
        <v>1</v>
      </c>
      <c r="E1835" s="103">
        <f t="shared" si="556"/>
        <v>4</v>
      </c>
      <c r="F1835" s="1413">
        <v>0.6</v>
      </c>
      <c r="G1835" s="1413"/>
      <c r="H1835" s="1414">
        <v>2.1</v>
      </c>
      <c r="I1835" s="1406">
        <f t="shared" si="555"/>
        <v>5.04</v>
      </c>
      <c r="L1835" s="1413">
        <f>3.4+0.9</f>
        <v>4.3</v>
      </c>
      <c r="Q1835" s="1394">
        <f>IFERROR(VLOOKUP(M1835,#REF!,3,0),0)</f>
        <v>0</v>
      </c>
      <c r="R1835" s="1394">
        <f t="shared" si="546"/>
        <v>0</v>
      </c>
      <c r="S1835" s="1394">
        <f>IFERROR(VLOOKUP(M1835,#REF!,6,0),0)</f>
        <v>0</v>
      </c>
      <c r="T1835" s="1394">
        <f t="shared" si="547"/>
        <v>0</v>
      </c>
      <c r="U1835" s="1394">
        <f>IFERROR(VLOOKUP(M1835,#REF!,5,0),0)</f>
        <v>0</v>
      </c>
      <c r="V1835" s="1394">
        <f t="shared" si="548"/>
        <v>0</v>
      </c>
      <c r="W1835" s="1394"/>
    </row>
    <row r="1836" spans="1:24" ht="30" customHeight="1">
      <c r="B1836" s="1407"/>
      <c r="C1836" s="1491" t="s">
        <v>5752</v>
      </c>
      <c r="D1836" s="103">
        <v>1</v>
      </c>
      <c r="E1836" s="103">
        <f t="shared" si="556"/>
        <v>2</v>
      </c>
      <c r="F1836" s="1413">
        <v>0.6</v>
      </c>
      <c r="G1836" s="1413"/>
      <c r="H1836" s="1414">
        <v>2.1</v>
      </c>
      <c r="I1836" s="1406">
        <f t="shared" si="555"/>
        <v>2.52</v>
      </c>
      <c r="L1836" s="1413">
        <v>1.9350000000000001</v>
      </c>
      <c r="Q1836" s="1394">
        <f>IFERROR(VLOOKUP(M1836,#REF!,3,0),0)</f>
        <v>0</v>
      </c>
      <c r="R1836" s="1394">
        <f t="shared" si="546"/>
        <v>0</v>
      </c>
      <c r="S1836" s="1394">
        <f>IFERROR(VLOOKUP(M1836,#REF!,6,0),0)</f>
        <v>0</v>
      </c>
      <c r="T1836" s="1394">
        <f t="shared" si="547"/>
        <v>0</v>
      </c>
      <c r="U1836" s="1394">
        <f>IFERROR(VLOOKUP(M1836,#REF!,5,0),0)</f>
        <v>0</v>
      </c>
      <c r="V1836" s="1394">
        <f t="shared" si="548"/>
        <v>0</v>
      </c>
      <c r="W1836" s="1394"/>
    </row>
    <row r="1837" spans="1:24" ht="30" customHeight="1">
      <c r="B1837" s="1407"/>
      <c r="C1837" s="1491" t="s">
        <v>5643</v>
      </c>
      <c r="D1837" s="103">
        <v>1</v>
      </c>
      <c r="E1837" s="103">
        <f t="shared" si="556"/>
        <v>2</v>
      </c>
      <c r="F1837" s="1413">
        <v>0.6</v>
      </c>
      <c r="G1837" s="1413"/>
      <c r="H1837" s="1414">
        <v>2.1</v>
      </c>
      <c r="I1837" s="1406">
        <f t="shared" si="555"/>
        <v>2.52</v>
      </c>
      <c r="L1837" s="1413">
        <f>2.32</f>
        <v>2.3199999999999998</v>
      </c>
      <c r="Q1837" s="1394">
        <f>IFERROR(VLOOKUP(M1837,#REF!,3,0),0)</f>
        <v>0</v>
      </c>
      <c r="R1837" s="1394">
        <f t="shared" si="546"/>
        <v>0</v>
      </c>
      <c r="S1837" s="1394">
        <f>IFERROR(VLOOKUP(M1837,#REF!,6,0),0)</f>
        <v>0</v>
      </c>
      <c r="T1837" s="1394">
        <f t="shared" si="547"/>
        <v>0</v>
      </c>
      <c r="U1837" s="1394">
        <f>IFERROR(VLOOKUP(M1837,#REF!,5,0),0)</f>
        <v>0</v>
      </c>
      <c r="V1837" s="1394">
        <f t="shared" si="548"/>
        <v>0</v>
      </c>
      <c r="W1837" s="1394"/>
    </row>
    <row r="1838" spans="1:24" ht="30" customHeight="1">
      <c r="B1838" s="1407"/>
      <c r="C1838" s="1491" t="s">
        <v>5643</v>
      </c>
      <c r="D1838" s="103">
        <v>1</v>
      </c>
      <c r="E1838" s="103">
        <f t="shared" si="556"/>
        <v>2</v>
      </c>
      <c r="F1838" s="1413">
        <v>0.6</v>
      </c>
      <c r="G1838" s="1413"/>
      <c r="H1838" s="1414">
        <v>2.1</v>
      </c>
      <c r="I1838" s="1406">
        <f t="shared" si="555"/>
        <v>2.52</v>
      </c>
      <c r="L1838" s="1413">
        <v>1.27</v>
      </c>
      <c r="Q1838" s="1394">
        <f>IFERROR(VLOOKUP(M1838,#REF!,3,0),0)</f>
        <v>0</v>
      </c>
      <c r="R1838" s="1394">
        <f t="shared" ref="R1838:R1901" si="557">ROUND(O1838,2)*ROUND(Q1838,2)</f>
        <v>0</v>
      </c>
      <c r="S1838" s="1394">
        <f>IFERROR(VLOOKUP(M1838,#REF!,6,0),0)</f>
        <v>0</v>
      </c>
      <c r="T1838" s="1394">
        <f t="shared" ref="T1838:T1901" si="558">R1838-S1838</f>
        <v>0</v>
      </c>
      <c r="U1838" s="1394">
        <f>IFERROR(VLOOKUP(M1838,#REF!,5,0),0)</f>
        <v>0</v>
      </c>
      <c r="V1838" s="1394">
        <f t="shared" ref="V1838:V1901" si="559">O1838-U1838</f>
        <v>0</v>
      </c>
      <c r="W1838" s="1394"/>
    </row>
    <row r="1839" spans="1:24" ht="30" customHeight="1">
      <c r="B1839" s="1407"/>
      <c r="C1839" s="1491" t="s">
        <v>5643</v>
      </c>
      <c r="D1839" s="103">
        <v>1</v>
      </c>
      <c r="E1839" s="103">
        <f t="shared" si="556"/>
        <v>2</v>
      </c>
      <c r="F1839" s="1413">
        <v>0.6</v>
      </c>
      <c r="G1839" s="1413"/>
      <c r="H1839" s="1414">
        <v>2.1</v>
      </c>
      <c r="I1839" s="1406">
        <f t="shared" si="555"/>
        <v>2.52</v>
      </c>
      <c r="L1839" s="1413">
        <v>1.5</v>
      </c>
      <c r="Q1839" s="1394">
        <f>IFERROR(VLOOKUP(M1839,#REF!,3,0),0)</f>
        <v>0</v>
      </c>
      <c r="R1839" s="1394">
        <f t="shared" si="557"/>
        <v>0</v>
      </c>
      <c r="S1839" s="1394">
        <f>IFERROR(VLOOKUP(M1839,#REF!,6,0),0)</f>
        <v>0</v>
      </c>
      <c r="T1839" s="1394">
        <f t="shared" si="558"/>
        <v>0</v>
      </c>
      <c r="U1839" s="1394">
        <f>IFERROR(VLOOKUP(M1839,#REF!,5,0),0)</f>
        <v>0</v>
      </c>
      <c r="V1839" s="1394">
        <f t="shared" si="559"/>
        <v>0</v>
      </c>
      <c r="W1839" s="1394"/>
    </row>
    <row r="1840" spans="1:24" ht="30" customHeight="1">
      <c r="B1840" s="1407"/>
      <c r="C1840" s="1455"/>
      <c r="D1840" s="103"/>
      <c r="E1840" s="103"/>
      <c r="F1840" s="1413"/>
      <c r="G1840" s="1413"/>
      <c r="H1840" s="1414"/>
      <c r="I1840" s="1406"/>
      <c r="Q1840" s="1394">
        <f>IFERROR(VLOOKUP(M1840,#REF!,3,0),0)</f>
        <v>0</v>
      </c>
      <c r="R1840" s="1394">
        <f t="shared" si="557"/>
        <v>0</v>
      </c>
      <c r="S1840" s="1394">
        <f>IFERROR(VLOOKUP(M1840,#REF!,6,0),0)</f>
        <v>0</v>
      </c>
      <c r="T1840" s="1394">
        <f t="shared" si="558"/>
        <v>0</v>
      </c>
      <c r="U1840" s="1394">
        <f>IFERROR(VLOOKUP(M1840,#REF!,5,0),0)</f>
        <v>0</v>
      </c>
      <c r="V1840" s="1394">
        <f t="shared" si="559"/>
        <v>0</v>
      </c>
      <c r="W1840" s="1394"/>
    </row>
    <row r="1841" spans="1:24" s="1394" customFormat="1" ht="30" customHeight="1">
      <c r="B1841" s="1421"/>
      <c r="C1841" s="1422" t="s">
        <v>270</v>
      </c>
      <c r="D1841" s="1389"/>
      <c r="E1841" s="1389"/>
      <c r="F1841" s="1423"/>
      <c r="G1841" s="1423"/>
      <c r="H1841" s="1424"/>
      <c r="I1841" s="1425">
        <f>J1842-J1841</f>
        <v>0</v>
      </c>
      <c r="J1841" s="1394">
        <f>SUM(I1831:I1840)</f>
        <v>25.2</v>
      </c>
      <c r="M1841" s="1426"/>
      <c r="Q1841" s="1394">
        <f>IFERROR(VLOOKUP(M1841,#REF!,3,0),0)</f>
        <v>0</v>
      </c>
      <c r="R1841" s="1394">
        <f t="shared" si="557"/>
        <v>0</v>
      </c>
      <c r="S1841" s="1394">
        <f>IFERROR(VLOOKUP(M1841,#REF!,6,0),0)</f>
        <v>0</v>
      </c>
      <c r="T1841" s="1394">
        <f t="shared" si="558"/>
        <v>0</v>
      </c>
      <c r="U1841" s="1394">
        <f>IFERROR(VLOOKUP(M1841,#REF!,5,0),0)</f>
        <v>0</v>
      </c>
      <c r="V1841" s="1394">
        <f t="shared" si="559"/>
        <v>0</v>
      </c>
    </row>
    <row r="1842" spans="1:24" s="1394" customFormat="1" ht="30" customHeight="1">
      <c r="B1842" s="1421"/>
      <c r="C1842" s="1422"/>
      <c r="D1842" s="1389"/>
      <c r="E1842" s="1389"/>
      <c r="F1842" s="1423"/>
      <c r="G1842" s="1423"/>
      <c r="H1842" s="1424"/>
      <c r="I1842" s="1427">
        <f>J1842</f>
        <v>25.2</v>
      </c>
      <c r="J1842" s="1394">
        <f>ROUNDUP(J1841,1)</f>
        <v>25.2</v>
      </c>
      <c r="M1842" s="1426"/>
      <c r="Q1842" s="1394">
        <f>IFERROR(VLOOKUP(M1842,#REF!,3,0),0)</f>
        <v>0</v>
      </c>
      <c r="R1842" s="1394">
        <f t="shared" si="557"/>
        <v>0</v>
      </c>
      <c r="S1842" s="1394">
        <f>IFERROR(VLOOKUP(M1842,#REF!,6,0),0)</f>
        <v>0</v>
      </c>
      <c r="T1842" s="1394">
        <f t="shared" si="558"/>
        <v>0</v>
      </c>
      <c r="U1842" s="1394">
        <f>IFERROR(VLOOKUP(M1842,#REF!,5,0),0)</f>
        <v>0</v>
      </c>
      <c r="V1842" s="1394">
        <f t="shared" si="559"/>
        <v>0</v>
      </c>
    </row>
    <row r="1843" spans="1:24" s="1394" customFormat="1" ht="30" customHeight="1">
      <c r="B1843" s="1421"/>
      <c r="C1843" s="1422"/>
      <c r="D1843" s="1389"/>
      <c r="E1843" s="1389"/>
      <c r="F1843" s="1423"/>
      <c r="G1843" s="1428" t="s">
        <v>11</v>
      </c>
      <c r="H1843" s="1429">
        <f>I1842</f>
        <v>25.2</v>
      </c>
      <c r="I1843" s="1427" t="s">
        <v>26</v>
      </c>
      <c r="M1843" s="1426" t="str">
        <f>A1830</f>
        <v>d. In Third Floor Brick work in C.M. 1:4 Kiln Burnt Country bricks of size 22 x 11 x 7 cm (8 3/4" x 4 1/4" x 2 3/4") 70 mm tk (B.P.)</v>
      </c>
      <c r="N1843" s="1426">
        <f>B1830</f>
        <v>0</v>
      </c>
      <c r="O1843" s="1394">
        <f>H1843</f>
        <v>25.2</v>
      </c>
      <c r="P1843" s="1394" t="str">
        <f>I1843</f>
        <v>Sqm</v>
      </c>
      <c r="Q1843" s="1394">
        <f>IFERROR(VLOOKUP(M1843,#REF!,3,0),0)</f>
        <v>0</v>
      </c>
      <c r="R1843" s="1394">
        <f t="shared" si="557"/>
        <v>0</v>
      </c>
      <c r="S1843" s="1394">
        <f>IFERROR(VLOOKUP(M1843,#REF!,6,0),0)</f>
        <v>0</v>
      </c>
      <c r="T1843" s="1394">
        <f t="shared" si="558"/>
        <v>0</v>
      </c>
      <c r="U1843" s="1394">
        <f>IFERROR(VLOOKUP(M1843,#REF!,5,0),0)</f>
        <v>0</v>
      </c>
      <c r="V1843" s="1394">
        <f t="shared" si="559"/>
        <v>25.2</v>
      </c>
    </row>
    <row r="1844" spans="1:24" ht="30" customHeight="1">
      <c r="A1844" s="110" t="s">
        <v>357</v>
      </c>
      <c r="B1844" s="1407"/>
      <c r="C1844" s="1678" t="e">
        <f>VLOOKUP(A1844,#REF!,2,0)</f>
        <v>#REF!</v>
      </c>
      <c r="D1844" s="1678"/>
      <c r="E1844" s="1678"/>
      <c r="F1844" s="1678"/>
      <c r="G1844" s="1678"/>
      <c r="H1844" s="1678"/>
      <c r="I1844" s="1406"/>
      <c r="Q1844" s="1394">
        <f>IFERROR(VLOOKUP(M1844,#REF!,3,0),0)</f>
        <v>0</v>
      </c>
      <c r="R1844" s="1394">
        <f t="shared" si="557"/>
        <v>0</v>
      </c>
      <c r="S1844" s="1394">
        <f>IFERROR(VLOOKUP(M1844,#REF!,6,0),0)</f>
        <v>0</v>
      </c>
      <c r="T1844" s="1394">
        <f t="shared" si="558"/>
        <v>0</v>
      </c>
      <c r="U1844" s="1394">
        <f>IFERROR(VLOOKUP(M1844,#REF!,5,0),0)</f>
        <v>0</v>
      </c>
      <c r="V1844" s="1394">
        <f t="shared" si="559"/>
        <v>0</v>
      </c>
      <c r="W1844" s="1394"/>
      <c r="X1844" s="1397"/>
    </row>
    <row r="1845" spans="1:24" ht="30" customHeight="1">
      <c r="B1845" s="1407"/>
      <c r="C1845" s="1455" t="s">
        <v>347</v>
      </c>
      <c r="D1845" s="103">
        <v>1</v>
      </c>
      <c r="E1845" s="103">
        <v>2</v>
      </c>
      <c r="F1845" s="1413">
        <v>0.6</v>
      </c>
      <c r="G1845" s="1413"/>
      <c r="H1845" s="1414">
        <v>2.1</v>
      </c>
      <c r="I1845" s="1406">
        <f>PRODUCT(D1845:H1845)</f>
        <v>2.52</v>
      </c>
      <c r="J1845" s="110">
        <f>ROUNDUP(4.335/0.9,0)</f>
        <v>5</v>
      </c>
      <c r="Q1845" s="1394">
        <f>IFERROR(VLOOKUP(M1845,#REF!,3,0),0)</f>
        <v>0</v>
      </c>
      <c r="R1845" s="1394">
        <f t="shared" si="557"/>
        <v>0</v>
      </c>
      <c r="S1845" s="1394">
        <f>IFERROR(VLOOKUP(M1845,#REF!,6,0),0)</f>
        <v>0</v>
      </c>
      <c r="T1845" s="1394">
        <f t="shared" si="558"/>
        <v>0</v>
      </c>
      <c r="U1845" s="1394">
        <f>IFERROR(VLOOKUP(M1845,#REF!,5,0),0)</f>
        <v>0</v>
      </c>
      <c r="V1845" s="1394">
        <f t="shared" si="559"/>
        <v>0</v>
      </c>
      <c r="W1845" s="1394"/>
    </row>
    <row r="1846" spans="1:24" ht="30" customHeight="1">
      <c r="B1846" s="1407"/>
      <c r="C1846" s="1455"/>
      <c r="D1846" s="103"/>
      <c r="E1846" s="103"/>
      <c r="F1846" s="1413"/>
      <c r="G1846" s="1413"/>
      <c r="H1846" s="1414"/>
      <c r="I1846" s="1406"/>
      <c r="Q1846" s="1394">
        <f>IFERROR(VLOOKUP(M1846,#REF!,3,0),0)</f>
        <v>0</v>
      </c>
      <c r="R1846" s="1394">
        <f t="shared" si="557"/>
        <v>0</v>
      </c>
      <c r="S1846" s="1394">
        <f>IFERROR(VLOOKUP(M1846,#REF!,6,0),0)</f>
        <v>0</v>
      </c>
      <c r="T1846" s="1394">
        <f t="shared" si="558"/>
        <v>0</v>
      </c>
      <c r="U1846" s="1394">
        <f>IFERROR(VLOOKUP(M1846,#REF!,5,0),0)</f>
        <v>0</v>
      </c>
      <c r="V1846" s="1394">
        <f t="shared" si="559"/>
        <v>0</v>
      </c>
      <c r="W1846" s="1394"/>
    </row>
    <row r="1847" spans="1:24" s="1394" customFormat="1" ht="30" customHeight="1">
      <c r="B1847" s="1421"/>
      <c r="C1847" s="1422" t="s">
        <v>270</v>
      </c>
      <c r="D1847" s="1389"/>
      <c r="E1847" s="1389"/>
      <c r="F1847" s="1423"/>
      <c r="G1847" s="1423"/>
      <c r="H1847" s="1424"/>
      <c r="I1847" s="1425">
        <f>J1848-J1847</f>
        <v>8.0000000000000071E-2</v>
      </c>
      <c r="J1847" s="1394">
        <f>SUM(I1845:I1846)</f>
        <v>2.52</v>
      </c>
      <c r="M1847" s="1426"/>
      <c r="Q1847" s="1394">
        <f>IFERROR(VLOOKUP(M1847,#REF!,3,0),0)</f>
        <v>0</v>
      </c>
      <c r="R1847" s="1394">
        <f t="shared" si="557"/>
        <v>0</v>
      </c>
      <c r="S1847" s="1394">
        <f>IFERROR(VLOOKUP(M1847,#REF!,6,0),0)</f>
        <v>0</v>
      </c>
      <c r="T1847" s="1394">
        <f t="shared" si="558"/>
        <v>0</v>
      </c>
      <c r="U1847" s="1394">
        <f>IFERROR(VLOOKUP(M1847,#REF!,5,0),0)</f>
        <v>0</v>
      </c>
      <c r="V1847" s="1394">
        <f t="shared" si="559"/>
        <v>0</v>
      </c>
    </row>
    <row r="1848" spans="1:24" s="1394" customFormat="1" ht="30" customHeight="1">
      <c r="B1848" s="1421"/>
      <c r="C1848" s="1422"/>
      <c r="D1848" s="1389"/>
      <c r="E1848" s="1389"/>
      <c r="F1848" s="1423"/>
      <c r="G1848" s="1423"/>
      <c r="H1848" s="1424"/>
      <c r="I1848" s="1427">
        <f>J1848</f>
        <v>2.6</v>
      </c>
      <c r="J1848" s="1394">
        <f>ROUNDUP(J1847,1)</f>
        <v>2.6</v>
      </c>
      <c r="M1848" s="1426"/>
      <c r="Q1848" s="1394">
        <f>IFERROR(VLOOKUP(M1848,#REF!,3,0),0)</f>
        <v>0</v>
      </c>
      <c r="R1848" s="1394">
        <f t="shared" si="557"/>
        <v>0</v>
      </c>
      <c r="S1848" s="1394">
        <f>IFERROR(VLOOKUP(M1848,#REF!,6,0),0)</f>
        <v>0</v>
      </c>
      <c r="T1848" s="1394">
        <f t="shared" si="558"/>
        <v>0</v>
      </c>
      <c r="U1848" s="1394">
        <f>IFERROR(VLOOKUP(M1848,#REF!,5,0),0)</f>
        <v>0</v>
      </c>
      <c r="V1848" s="1394">
        <f t="shared" si="559"/>
        <v>0</v>
      </c>
    </row>
    <row r="1849" spans="1:24" s="1394" customFormat="1" ht="30" customHeight="1">
      <c r="B1849" s="1421"/>
      <c r="C1849" s="1422"/>
      <c r="D1849" s="1389"/>
      <c r="E1849" s="1389"/>
      <c r="F1849" s="1423"/>
      <c r="G1849" s="1428" t="s">
        <v>11</v>
      </c>
      <c r="H1849" s="1429">
        <f>I1848</f>
        <v>2.6</v>
      </c>
      <c r="I1849" s="1427" t="s">
        <v>26</v>
      </c>
      <c r="M1849" s="1426" t="str">
        <f>A1844</f>
        <v>e. In Fourth Floor Brick work in C.M. 1:4 Kiln Burnt Country bricks of size 22 x 11 x 7 cm (8 3/4" x 4 1/4" x 2 3/4") 70 mm tk (B.P.)</v>
      </c>
      <c r="N1849" s="1426">
        <f>B1844</f>
        <v>0</v>
      </c>
      <c r="O1849" s="1394">
        <f>H1849</f>
        <v>2.6</v>
      </c>
      <c r="P1849" s="1394" t="str">
        <f>I1849</f>
        <v>Sqm</v>
      </c>
      <c r="Q1849" s="1394">
        <f>IFERROR(VLOOKUP(M1849,#REF!,3,0),0)</f>
        <v>0</v>
      </c>
      <c r="R1849" s="1394">
        <f t="shared" si="557"/>
        <v>0</v>
      </c>
      <c r="S1849" s="1394">
        <f>IFERROR(VLOOKUP(M1849,#REF!,6,0),0)</f>
        <v>0</v>
      </c>
      <c r="T1849" s="1394">
        <f t="shared" si="558"/>
        <v>0</v>
      </c>
      <c r="U1849" s="1394">
        <f>IFERROR(VLOOKUP(M1849,#REF!,5,0),0)</f>
        <v>0</v>
      </c>
      <c r="V1849" s="1394">
        <f t="shared" si="559"/>
        <v>2.6</v>
      </c>
    </row>
    <row r="1850" spans="1:24" ht="81" customHeight="1">
      <c r="A1850" s="110" t="s">
        <v>358</v>
      </c>
      <c r="B1850" s="1405">
        <v>12.1</v>
      </c>
      <c r="C1850" s="1678" t="e">
        <f>VLOOKUP(A1850,#REF!,2,0)</f>
        <v>#REF!</v>
      </c>
      <c r="D1850" s="1678"/>
      <c r="E1850" s="1678"/>
      <c r="F1850" s="1678"/>
      <c r="G1850" s="1678"/>
      <c r="H1850" s="1678"/>
      <c r="I1850" s="1406"/>
      <c r="Q1850" s="1394">
        <f>IFERROR(VLOOKUP(M1850,#REF!,3,0),0)</f>
        <v>0</v>
      </c>
      <c r="R1850" s="1394">
        <f t="shared" si="557"/>
        <v>0</v>
      </c>
      <c r="S1850" s="1394">
        <f>IFERROR(VLOOKUP(M1850,#REF!,6,0),0)</f>
        <v>0</v>
      </c>
      <c r="T1850" s="1394">
        <f t="shared" si="558"/>
        <v>0</v>
      </c>
      <c r="U1850" s="1394">
        <f>IFERROR(VLOOKUP(M1850,#REF!,5,0),0)</f>
        <v>0</v>
      </c>
      <c r="V1850" s="1394">
        <f t="shared" si="559"/>
        <v>0</v>
      </c>
      <c r="W1850" s="1394"/>
      <c r="X1850" s="1397"/>
    </row>
    <row r="1851" spans="1:24" ht="30" customHeight="1">
      <c r="A1851" s="110" t="s">
        <v>723</v>
      </c>
      <c r="B1851" s="1407"/>
      <c r="C1851" s="1678" t="e">
        <f>VLOOKUP(A1851,#REF!,2,0)</f>
        <v>#REF!</v>
      </c>
      <c r="D1851" s="1678"/>
      <c r="E1851" s="1678"/>
      <c r="F1851" s="1678"/>
      <c r="G1851" s="1678"/>
      <c r="H1851" s="1678"/>
      <c r="I1851" s="1406"/>
      <c r="Q1851" s="1394">
        <f>IFERROR(VLOOKUP(M1851,#REF!,3,0),0)</f>
        <v>0</v>
      </c>
      <c r="R1851" s="1394">
        <f t="shared" si="557"/>
        <v>0</v>
      </c>
      <c r="S1851" s="1394">
        <f>IFERROR(VLOOKUP(M1851,#REF!,6,0),0)</f>
        <v>0</v>
      </c>
      <c r="T1851" s="1394">
        <f t="shared" si="558"/>
        <v>0</v>
      </c>
      <c r="U1851" s="1394">
        <f>IFERROR(VLOOKUP(M1851,#REF!,5,0),0)</f>
        <v>0</v>
      </c>
      <c r="V1851" s="1394">
        <f t="shared" si="559"/>
        <v>0</v>
      </c>
      <c r="W1851" s="1394"/>
      <c r="X1851" s="1397"/>
    </row>
    <row r="1852" spans="1:24" ht="30" customHeight="1">
      <c r="B1852" s="1407"/>
      <c r="C1852" s="1455" t="s">
        <v>5774</v>
      </c>
      <c r="D1852" s="103">
        <v>1</v>
      </c>
      <c r="E1852" s="103">
        <v>1</v>
      </c>
      <c r="F1852" s="1413">
        <v>3.6</v>
      </c>
      <c r="G1852" s="1413"/>
      <c r="H1852" s="1414">
        <v>1</v>
      </c>
      <c r="I1852" s="1406">
        <f>PRODUCT(D1852:H1852)</f>
        <v>3.6</v>
      </c>
      <c r="Q1852" s="1394">
        <f>IFERROR(VLOOKUP(M1852,#REF!,3,0),0)</f>
        <v>0</v>
      </c>
      <c r="R1852" s="1394">
        <f t="shared" si="557"/>
        <v>0</v>
      </c>
      <c r="S1852" s="1394">
        <f>IFERROR(VLOOKUP(M1852,#REF!,6,0),0)</f>
        <v>0</v>
      </c>
      <c r="T1852" s="1394">
        <f t="shared" si="558"/>
        <v>0</v>
      </c>
      <c r="U1852" s="1394">
        <f>IFERROR(VLOOKUP(M1852,#REF!,5,0),0)</f>
        <v>0</v>
      </c>
      <c r="V1852" s="1394">
        <f t="shared" si="559"/>
        <v>0</v>
      </c>
      <c r="W1852" s="1394"/>
    </row>
    <row r="1853" spans="1:24" ht="30" customHeight="1">
      <c r="B1853" s="1407"/>
      <c r="C1853" s="1455" t="s">
        <v>307</v>
      </c>
      <c r="D1853" s="103">
        <v>1</v>
      </c>
      <c r="E1853" s="103">
        <v>1</v>
      </c>
      <c r="F1853" s="1413">
        <v>0.57499999999999996</v>
      </c>
      <c r="G1853" s="1413"/>
      <c r="H1853" s="1414">
        <v>1</v>
      </c>
      <c r="I1853" s="1406">
        <f>PRODUCT(D1853:H1853)</f>
        <v>0.57499999999999996</v>
      </c>
      <c r="Q1853" s="1394">
        <f>IFERROR(VLOOKUP(M1853,#REF!,3,0),0)</f>
        <v>0</v>
      </c>
      <c r="R1853" s="1394">
        <f t="shared" si="557"/>
        <v>0</v>
      </c>
      <c r="S1853" s="1394">
        <f>IFERROR(VLOOKUP(M1853,#REF!,6,0),0)</f>
        <v>0</v>
      </c>
      <c r="T1853" s="1394">
        <f t="shared" si="558"/>
        <v>0</v>
      </c>
      <c r="U1853" s="1394">
        <f>IFERROR(VLOOKUP(M1853,#REF!,5,0),0)</f>
        <v>0</v>
      </c>
      <c r="V1853" s="1394">
        <f t="shared" si="559"/>
        <v>0</v>
      </c>
      <c r="W1853" s="1394"/>
    </row>
    <row r="1854" spans="1:24" ht="30" customHeight="1">
      <c r="B1854" s="1407"/>
      <c r="C1854" s="1455" t="s">
        <v>5775</v>
      </c>
      <c r="D1854" s="103">
        <v>1</v>
      </c>
      <c r="E1854" s="103">
        <v>1</v>
      </c>
      <c r="F1854" s="1413">
        <v>3.4</v>
      </c>
      <c r="G1854" s="1413"/>
      <c r="H1854" s="1414">
        <v>1</v>
      </c>
      <c r="I1854" s="1406">
        <f>PRODUCT(D1854:H1854)</f>
        <v>3.4</v>
      </c>
      <c r="Q1854" s="1394">
        <f>IFERROR(VLOOKUP(M1854,#REF!,3,0),0)</f>
        <v>0</v>
      </c>
      <c r="R1854" s="1394">
        <f t="shared" si="557"/>
        <v>0</v>
      </c>
      <c r="S1854" s="1394">
        <f>IFERROR(VLOOKUP(M1854,#REF!,6,0),0)</f>
        <v>0</v>
      </c>
      <c r="T1854" s="1394">
        <f t="shared" si="558"/>
        <v>0</v>
      </c>
      <c r="U1854" s="1394">
        <f>IFERROR(VLOOKUP(M1854,#REF!,5,0),0)</f>
        <v>0</v>
      </c>
      <c r="V1854" s="1394">
        <f t="shared" si="559"/>
        <v>0</v>
      </c>
      <c r="W1854" s="1394"/>
    </row>
    <row r="1855" spans="1:24" ht="30" customHeight="1">
      <c r="B1855" s="1407"/>
      <c r="C1855" s="1455"/>
      <c r="D1855" s="103"/>
      <c r="E1855" s="103"/>
      <c r="F1855" s="1413"/>
      <c r="G1855" s="1413"/>
      <c r="H1855" s="1414"/>
      <c r="I1855" s="1425">
        <f>J1856-J1855</f>
        <v>2.5000000000000355E-2</v>
      </c>
      <c r="J1855" s="1394">
        <f>SUM(I1852:I1854)</f>
        <v>7.5749999999999993</v>
      </c>
      <c r="K1855" s="1394"/>
      <c r="Q1855" s="1394">
        <f>IFERROR(VLOOKUP(M1855,#REF!,3,0),0)</f>
        <v>0</v>
      </c>
      <c r="R1855" s="1394">
        <f t="shared" si="557"/>
        <v>0</v>
      </c>
      <c r="S1855" s="1394">
        <f>IFERROR(VLOOKUP(M1855,#REF!,6,0),0)</f>
        <v>0</v>
      </c>
      <c r="T1855" s="1394">
        <f t="shared" si="558"/>
        <v>0</v>
      </c>
      <c r="U1855" s="1394">
        <f>IFERROR(VLOOKUP(M1855,#REF!,5,0),0)</f>
        <v>0</v>
      </c>
      <c r="V1855" s="1394">
        <f t="shared" si="559"/>
        <v>0</v>
      </c>
      <c r="W1855" s="1394"/>
    </row>
    <row r="1856" spans="1:24" ht="30" customHeight="1">
      <c r="B1856" s="1407"/>
      <c r="C1856" s="1455"/>
      <c r="D1856" s="103"/>
      <c r="E1856" s="103"/>
      <c r="F1856" s="1413"/>
      <c r="G1856" s="1413"/>
      <c r="H1856" s="1414"/>
      <c r="I1856" s="1427">
        <f>J1856</f>
        <v>7.6</v>
      </c>
      <c r="J1856" s="1394">
        <f>ROUNDUP(J1855,1)</f>
        <v>7.6</v>
      </c>
      <c r="K1856" s="1394"/>
      <c r="Q1856" s="1394">
        <f>IFERROR(VLOOKUP(M1856,#REF!,3,0),0)</f>
        <v>0</v>
      </c>
      <c r="R1856" s="1394">
        <f t="shared" si="557"/>
        <v>0</v>
      </c>
      <c r="S1856" s="1394">
        <f>IFERROR(VLOOKUP(M1856,#REF!,6,0),0)</f>
        <v>0</v>
      </c>
      <c r="T1856" s="1394">
        <f t="shared" si="558"/>
        <v>0</v>
      </c>
      <c r="U1856" s="1394">
        <f>IFERROR(VLOOKUP(M1856,#REF!,5,0),0)</f>
        <v>0</v>
      </c>
      <c r="V1856" s="1394">
        <f t="shared" si="559"/>
        <v>0</v>
      </c>
      <c r="W1856" s="1394"/>
    </row>
    <row r="1857" spans="1:26" ht="30" customHeight="1">
      <c r="B1857" s="1407"/>
      <c r="C1857" s="1455"/>
      <c r="D1857" s="103"/>
      <c r="E1857" s="103"/>
      <c r="F1857" s="1413"/>
      <c r="G1857" s="1483" t="s">
        <v>11</v>
      </c>
      <c r="H1857" s="1478">
        <f>I1856</f>
        <v>7.6</v>
      </c>
      <c r="I1857" s="1479" t="s">
        <v>26</v>
      </c>
      <c r="J1857" s="1394" t="e">
        <f>ROUNDUP(#REF!,1)</f>
        <v>#REF!</v>
      </c>
      <c r="K1857" s="1394"/>
      <c r="M1857" s="1426" t="str">
        <f>A1851</f>
        <v>a. In Ground FloorBrick partition in C.M. 1:4 using country bricks of size 22 x11x5cm 50 mm thick</v>
      </c>
      <c r="N1857" s="1426">
        <f>B1851</f>
        <v>0</v>
      </c>
      <c r="O1857" s="1394">
        <f>H1857</f>
        <v>7.6</v>
      </c>
      <c r="P1857" s="1394" t="str">
        <f>I1857</f>
        <v>Sqm</v>
      </c>
      <c r="Q1857" s="1394">
        <f>IFERROR(VLOOKUP(M1857,#REF!,3,0),0)</f>
        <v>0</v>
      </c>
      <c r="R1857" s="1394">
        <f t="shared" si="557"/>
        <v>0</v>
      </c>
      <c r="S1857" s="1394">
        <f>IFERROR(VLOOKUP(M1857,#REF!,6,0),0)</f>
        <v>0</v>
      </c>
      <c r="T1857" s="1394">
        <f t="shared" si="558"/>
        <v>0</v>
      </c>
      <c r="U1857" s="1394">
        <f>IFERROR(VLOOKUP(M1857,#REF!,5,0),0)</f>
        <v>0</v>
      </c>
      <c r="V1857" s="1394">
        <f t="shared" si="559"/>
        <v>7.6</v>
      </c>
      <c r="W1857" s="1394"/>
      <c r="Z1857" s="1394"/>
    </row>
    <row r="1858" spans="1:26" ht="30" customHeight="1">
      <c r="A1858" s="110" t="s">
        <v>724</v>
      </c>
      <c r="B1858" s="1407"/>
      <c r="C1858" s="1678" t="e">
        <f>VLOOKUP(A1858,#REF!,2,0)</f>
        <v>#REF!</v>
      </c>
      <c r="D1858" s="1678"/>
      <c r="E1858" s="1678"/>
      <c r="F1858" s="1678"/>
      <c r="G1858" s="1678"/>
      <c r="H1858" s="1678"/>
      <c r="I1858" s="1406"/>
      <c r="Q1858" s="1394">
        <f>IFERROR(VLOOKUP(M1858,#REF!,3,0),0)</f>
        <v>0</v>
      </c>
      <c r="R1858" s="1394">
        <f t="shared" si="557"/>
        <v>0</v>
      </c>
      <c r="S1858" s="1394">
        <f>IFERROR(VLOOKUP(M1858,#REF!,6,0),0)</f>
        <v>0</v>
      </c>
      <c r="T1858" s="1394">
        <f t="shared" si="558"/>
        <v>0</v>
      </c>
      <c r="U1858" s="1394">
        <f>IFERROR(VLOOKUP(M1858,#REF!,5,0),0)</f>
        <v>0</v>
      </c>
      <c r="V1858" s="1394">
        <f t="shared" si="559"/>
        <v>0</v>
      </c>
      <c r="W1858" s="1394"/>
      <c r="X1858" s="1397"/>
    </row>
    <row r="1859" spans="1:26" ht="30" customHeight="1">
      <c r="B1859" s="1407"/>
      <c r="C1859" s="1455" t="s">
        <v>5776</v>
      </c>
      <c r="D1859" s="103">
        <v>1</v>
      </c>
      <c r="E1859" s="103">
        <v>1</v>
      </c>
      <c r="F1859" s="1413">
        <v>3.75</v>
      </c>
      <c r="G1859" s="1413"/>
      <c r="H1859" s="1414">
        <v>1</v>
      </c>
      <c r="I1859" s="1406">
        <f>PRODUCT(D1859:H1859)</f>
        <v>3.75</v>
      </c>
      <c r="Q1859" s="1394">
        <f>IFERROR(VLOOKUP(M1859,#REF!,3,0),0)</f>
        <v>0</v>
      </c>
      <c r="R1859" s="1394">
        <f t="shared" si="557"/>
        <v>0</v>
      </c>
      <c r="S1859" s="1394">
        <f>IFERROR(VLOOKUP(M1859,#REF!,6,0),0)</f>
        <v>0</v>
      </c>
      <c r="T1859" s="1394">
        <f t="shared" si="558"/>
        <v>0</v>
      </c>
      <c r="U1859" s="1394">
        <f>IFERROR(VLOOKUP(M1859,#REF!,5,0),0)</f>
        <v>0</v>
      </c>
      <c r="V1859" s="1394">
        <f t="shared" si="559"/>
        <v>0</v>
      </c>
      <c r="W1859" s="1394"/>
    </row>
    <row r="1860" spans="1:26" ht="30" customHeight="1">
      <c r="B1860" s="1407"/>
      <c r="C1860" s="1455" t="s">
        <v>307</v>
      </c>
      <c r="D1860" s="103">
        <v>1</v>
      </c>
      <c r="E1860" s="103">
        <v>1</v>
      </c>
      <c r="F1860" s="1413">
        <v>0.57499999999999996</v>
      </c>
      <c r="G1860" s="1413"/>
      <c r="H1860" s="1414">
        <v>1</v>
      </c>
      <c r="I1860" s="1406">
        <f>PRODUCT(D1860:H1860)</f>
        <v>0.57499999999999996</v>
      </c>
      <c r="Q1860" s="1394">
        <f>IFERROR(VLOOKUP(M1860,#REF!,3,0),0)</f>
        <v>0</v>
      </c>
      <c r="R1860" s="1394">
        <f t="shared" si="557"/>
        <v>0</v>
      </c>
      <c r="S1860" s="1394">
        <f>IFERROR(VLOOKUP(M1860,#REF!,6,0),0)</f>
        <v>0</v>
      </c>
      <c r="T1860" s="1394">
        <f t="shared" si="558"/>
        <v>0</v>
      </c>
      <c r="U1860" s="1394">
        <f>IFERROR(VLOOKUP(M1860,#REF!,5,0),0)</f>
        <v>0</v>
      </c>
      <c r="V1860" s="1394">
        <f t="shared" si="559"/>
        <v>0</v>
      </c>
      <c r="W1860" s="1394"/>
    </row>
    <row r="1861" spans="1:26" ht="30" customHeight="1">
      <c r="B1861" s="1407"/>
      <c r="C1861" s="1455" t="s">
        <v>5777</v>
      </c>
      <c r="D1861" s="103">
        <v>1</v>
      </c>
      <c r="E1861" s="103">
        <v>1</v>
      </c>
      <c r="F1861" s="1413">
        <v>3.4</v>
      </c>
      <c r="G1861" s="1413"/>
      <c r="H1861" s="1414">
        <v>1</v>
      </c>
      <c r="I1861" s="1406">
        <f>PRODUCT(D1861:H1861)</f>
        <v>3.4</v>
      </c>
      <c r="Q1861" s="1394">
        <f>IFERROR(VLOOKUP(M1861,#REF!,3,0),0)</f>
        <v>0</v>
      </c>
      <c r="R1861" s="1394">
        <f t="shared" si="557"/>
        <v>0</v>
      </c>
      <c r="S1861" s="1394">
        <f>IFERROR(VLOOKUP(M1861,#REF!,6,0),0)</f>
        <v>0</v>
      </c>
      <c r="T1861" s="1394">
        <f t="shared" si="558"/>
        <v>0</v>
      </c>
      <c r="U1861" s="1394">
        <f>IFERROR(VLOOKUP(M1861,#REF!,5,0),0)</f>
        <v>0</v>
      </c>
      <c r="V1861" s="1394">
        <f t="shared" si="559"/>
        <v>0</v>
      </c>
      <c r="W1861" s="1394"/>
    </row>
    <row r="1862" spans="1:26" ht="30" customHeight="1">
      <c r="B1862" s="1407"/>
      <c r="C1862" s="1455"/>
      <c r="D1862" s="103"/>
      <c r="E1862" s="103"/>
      <c r="F1862" s="1413"/>
      <c r="G1862" s="1413"/>
      <c r="H1862" s="1414"/>
      <c r="I1862" s="1425">
        <f>J1863-J1862</f>
        <v>7.5000000000000178E-2</v>
      </c>
      <c r="J1862" s="1394">
        <f>SUM(I1859:I1861)</f>
        <v>7.7249999999999996</v>
      </c>
      <c r="K1862" s="1394"/>
      <c r="Q1862" s="1394">
        <f>IFERROR(VLOOKUP(M1862,#REF!,3,0),0)</f>
        <v>0</v>
      </c>
      <c r="R1862" s="1394">
        <f t="shared" si="557"/>
        <v>0</v>
      </c>
      <c r="S1862" s="1394">
        <f>IFERROR(VLOOKUP(M1862,#REF!,6,0),0)</f>
        <v>0</v>
      </c>
      <c r="T1862" s="1394">
        <f t="shared" si="558"/>
        <v>0</v>
      </c>
      <c r="U1862" s="1394">
        <f>IFERROR(VLOOKUP(M1862,#REF!,5,0),0)</f>
        <v>0</v>
      </c>
      <c r="V1862" s="1394">
        <f t="shared" si="559"/>
        <v>0</v>
      </c>
      <c r="W1862" s="1394"/>
    </row>
    <row r="1863" spans="1:26" ht="30" customHeight="1">
      <c r="B1863" s="1407"/>
      <c r="C1863" s="1455"/>
      <c r="D1863" s="103"/>
      <c r="E1863" s="103"/>
      <c r="F1863" s="1413"/>
      <c r="G1863" s="1413"/>
      <c r="H1863" s="1414"/>
      <c r="I1863" s="1427">
        <f>J1863</f>
        <v>7.8</v>
      </c>
      <c r="J1863" s="1394">
        <f>ROUNDUP(J1862,1)</f>
        <v>7.8</v>
      </c>
      <c r="K1863" s="1394"/>
      <c r="Q1863" s="1394">
        <f>IFERROR(VLOOKUP(M1863,#REF!,3,0),0)</f>
        <v>0</v>
      </c>
      <c r="R1863" s="1394">
        <f t="shared" si="557"/>
        <v>0</v>
      </c>
      <c r="S1863" s="1394">
        <f>IFERROR(VLOOKUP(M1863,#REF!,6,0),0)</f>
        <v>0</v>
      </c>
      <c r="T1863" s="1394">
        <f t="shared" si="558"/>
        <v>0</v>
      </c>
      <c r="U1863" s="1394">
        <f>IFERROR(VLOOKUP(M1863,#REF!,5,0),0)</f>
        <v>0</v>
      </c>
      <c r="V1863" s="1394">
        <f t="shared" si="559"/>
        <v>0</v>
      </c>
      <c r="W1863" s="1394"/>
    </row>
    <row r="1864" spans="1:26" ht="30" customHeight="1">
      <c r="B1864" s="1407"/>
      <c r="C1864" s="1455"/>
      <c r="D1864" s="103"/>
      <c r="E1864" s="103"/>
      <c r="F1864" s="1413"/>
      <c r="G1864" s="1483" t="s">
        <v>11</v>
      </c>
      <c r="H1864" s="1478">
        <f>I1863</f>
        <v>7.8</v>
      </c>
      <c r="I1864" s="1479" t="s">
        <v>26</v>
      </c>
      <c r="J1864" s="1394" t="e">
        <f>ROUNDUP(#REF!,1)</f>
        <v>#REF!</v>
      </c>
      <c r="K1864" s="1394"/>
      <c r="M1864" s="1426" t="str">
        <f>A1858</f>
        <v>b. In First FloorBrick partition in C.M. 1:4 using country bricks of size 22 x11x5cm 50 mm thick</v>
      </c>
      <c r="N1864" s="1426">
        <f>B1858</f>
        <v>0</v>
      </c>
      <c r="O1864" s="1394">
        <f>H1864</f>
        <v>7.8</v>
      </c>
      <c r="P1864" s="1394" t="str">
        <f>I1864</f>
        <v>Sqm</v>
      </c>
      <c r="Q1864" s="1394">
        <f>IFERROR(VLOOKUP(M1864,#REF!,3,0),0)</f>
        <v>0</v>
      </c>
      <c r="R1864" s="1394">
        <f t="shared" si="557"/>
        <v>0</v>
      </c>
      <c r="S1864" s="1394">
        <f>IFERROR(VLOOKUP(M1864,#REF!,6,0),0)</f>
        <v>0</v>
      </c>
      <c r="T1864" s="1394">
        <f t="shared" si="558"/>
        <v>0</v>
      </c>
      <c r="U1864" s="1394">
        <f>IFERROR(VLOOKUP(M1864,#REF!,5,0),0)</f>
        <v>0</v>
      </c>
      <c r="V1864" s="1394">
        <f t="shared" si="559"/>
        <v>7.8</v>
      </c>
      <c r="W1864" s="1394"/>
      <c r="Z1864" s="1394"/>
    </row>
    <row r="1865" spans="1:26" ht="30" customHeight="1">
      <c r="A1865" s="110" t="s">
        <v>725</v>
      </c>
      <c r="B1865" s="1407"/>
      <c r="C1865" s="1678" t="e">
        <f>VLOOKUP(A1865,#REF!,2,0)</f>
        <v>#REF!</v>
      </c>
      <c r="D1865" s="1678"/>
      <c r="E1865" s="1678"/>
      <c r="F1865" s="1678"/>
      <c r="G1865" s="1678"/>
      <c r="H1865" s="1678"/>
      <c r="I1865" s="1406"/>
      <c r="Q1865" s="1394">
        <f>IFERROR(VLOOKUP(M1865,#REF!,3,0),0)</f>
        <v>0</v>
      </c>
      <c r="R1865" s="1394">
        <f t="shared" si="557"/>
        <v>0</v>
      </c>
      <c r="S1865" s="1394">
        <f>IFERROR(VLOOKUP(M1865,#REF!,6,0),0)</f>
        <v>0</v>
      </c>
      <c r="T1865" s="1394">
        <f t="shared" si="558"/>
        <v>0</v>
      </c>
      <c r="U1865" s="1394">
        <f>IFERROR(VLOOKUP(M1865,#REF!,5,0),0)</f>
        <v>0</v>
      </c>
      <c r="V1865" s="1394">
        <f t="shared" si="559"/>
        <v>0</v>
      </c>
      <c r="W1865" s="1394"/>
      <c r="X1865" s="1397"/>
    </row>
    <row r="1866" spans="1:26" ht="30" customHeight="1">
      <c r="B1866" s="1407"/>
      <c r="C1866" s="1455" t="s">
        <v>5778</v>
      </c>
      <c r="D1866" s="103">
        <v>1</v>
      </c>
      <c r="E1866" s="103">
        <v>1</v>
      </c>
      <c r="F1866" s="1413">
        <v>3.75</v>
      </c>
      <c r="G1866" s="1413"/>
      <c r="H1866" s="1414">
        <v>1</v>
      </c>
      <c r="I1866" s="1406">
        <f>PRODUCT(D1866:H1866)</f>
        <v>3.75</v>
      </c>
      <c r="Q1866" s="1394">
        <f>IFERROR(VLOOKUP(M1866,#REF!,3,0),0)</f>
        <v>0</v>
      </c>
      <c r="R1866" s="1394">
        <f t="shared" si="557"/>
        <v>0</v>
      </c>
      <c r="S1866" s="1394">
        <f>IFERROR(VLOOKUP(M1866,#REF!,6,0),0)</f>
        <v>0</v>
      </c>
      <c r="T1866" s="1394">
        <f t="shared" si="558"/>
        <v>0</v>
      </c>
      <c r="U1866" s="1394">
        <f>IFERROR(VLOOKUP(M1866,#REF!,5,0),0)</f>
        <v>0</v>
      </c>
      <c r="V1866" s="1394">
        <f t="shared" si="559"/>
        <v>0</v>
      </c>
      <c r="W1866" s="1394"/>
    </row>
    <row r="1867" spans="1:26" ht="30" customHeight="1">
      <c r="B1867" s="1407"/>
      <c r="C1867" s="1455" t="s">
        <v>307</v>
      </c>
      <c r="D1867" s="103">
        <v>1</v>
      </c>
      <c r="E1867" s="103">
        <v>1</v>
      </c>
      <c r="F1867" s="1413">
        <v>0.57499999999999996</v>
      </c>
      <c r="G1867" s="1413"/>
      <c r="H1867" s="1414">
        <v>1</v>
      </c>
      <c r="I1867" s="1406">
        <f>PRODUCT(D1867:H1867)</f>
        <v>0.57499999999999996</v>
      </c>
      <c r="Q1867" s="1394">
        <f>IFERROR(VLOOKUP(M1867,#REF!,3,0),0)</f>
        <v>0</v>
      </c>
      <c r="R1867" s="1394">
        <f t="shared" si="557"/>
        <v>0</v>
      </c>
      <c r="S1867" s="1394">
        <f>IFERROR(VLOOKUP(M1867,#REF!,6,0),0)</f>
        <v>0</v>
      </c>
      <c r="T1867" s="1394">
        <f t="shared" si="558"/>
        <v>0</v>
      </c>
      <c r="U1867" s="1394">
        <f>IFERROR(VLOOKUP(M1867,#REF!,5,0),0)</f>
        <v>0</v>
      </c>
      <c r="V1867" s="1394">
        <f t="shared" si="559"/>
        <v>0</v>
      </c>
      <c r="W1867" s="1394"/>
    </row>
    <row r="1868" spans="1:26" ht="30" customHeight="1">
      <c r="B1868" s="1407"/>
      <c r="C1868" s="1455" t="s">
        <v>5779</v>
      </c>
      <c r="D1868" s="103">
        <v>1</v>
      </c>
      <c r="E1868" s="103">
        <v>1</v>
      </c>
      <c r="F1868" s="1413">
        <v>3.4</v>
      </c>
      <c r="G1868" s="1413"/>
      <c r="H1868" s="1414">
        <v>1</v>
      </c>
      <c r="I1868" s="1406">
        <f>PRODUCT(D1868:H1868)</f>
        <v>3.4</v>
      </c>
      <c r="Q1868" s="1394">
        <f>IFERROR(VLOOKUP(M1868,#REF!,3,0),0)</f>
        <v>0</v>
      </c>
      <c r="R1868" s="1394">
        <f t="shared" si="557"/>
        <v>0</v>
      </c>
      <c r="S1868" s="1394">
        <f>IFERROR(VLOOKUP(M1868,#REF!,6,0),0)</f>
        <v>0</v>
      </c>
      <c r="T1868" s="1394">
        <f t="shared" si="558"/>
        <v>0</v>
      </c>
      <c r="U1868" s="1394">
        <f>IFERROR(VLOOKUP(M1868,#REF!,5,0),0)</f>
        <v>0</v>
      </c>
      <c r="V1868" s="1394">
        <f t="shared" si="559"/>
        <v>0</v>
      </c>
      <c r="W1868" s="1394"/>
    </row>
    <row r="1869" spans="1:26" ht="30" customHeight="1">
      <c r="B1869" s="1407"/>
      <c r="C1869" s="1455"/>
      <c r="D1869" s="103"/>
      <c r="E1869" s="103"/>
      <c r="F1869" s="1413"/>
      <c r="G1869" s="1413"/>
      <c r="H1869" s="1414"/>
      <c r="I1869" s="1425">
        <f>J1870-J1869</f>
        <v>7.5000000000000178E-2</v>
      </c>
      <c r="J1869" s="1394">
        <f>SUM(I1866:I1868)</f>
        <v>7.7249999999999996</v>
      </c>
      <c r="K1869" s="1394"/>
      <c r="Q1869" s="1394">
        <f>IFERROR(VLOOKUP(M1869,#REF!,3,0),0)</f>
        <v>0</v>
      </c>
      <c r="R1869" s="1394">
        <f t="shared" si="557"/>
        <v>0</v>
      </c>
      <c r="S1869" s="1394">
        <f>IFERROR(VLOOKUP(M1869,#REF!,6,0),0)</f>
        <v>0</v>
      </c>
      <c r="T1869" s="1394">
        <f t="shared" si="558"/>
        <v>0</v>
      </c>
      <c r="U1869" s="1394">
        <f>IFERROR(VLOOKUP(M1869,#REF!,5,0),0)</f>
        <v>0</v>
      </c>
      <c r="V1869" s="1394">
        <f t="shared" si="559"/>
        <v>0</v>
      </c>
      <c r="W1869" s="1394"/>
    </row>
    <row r="1870" spans="1:26" ht="30" customHeight="1">
      <c r="B1870" s="1407"/>
      <c r="C1870" s="1455"/>
      <c r="D1870" s="103"/>
      <c r="E1870" s="103"/>
      <c r="F1870" s="1413"/>
      <c r="G1870" s="1413"/>
      <c r="H1870" s="1414"/>
      <c r="I1870" s="1427">
        <f>J1870</f>
        <v>7.8</v>
      </c>
      <c r="J1870" s="1394">
        <f>ROUNDUP(J1869,1)</f>
        <v>7.8</v>
      </c>
      <c r="K1870" s="1394"/>
      <c r="Q1870" s="1394">
        <f>IFERROR(VLOOKUP(M1870,#REF!,3,0),0)</f>
        <v>0</v>
      </c>
      <c r="R1870" s="1394">
        <f t="shared" si="557"/>
        <v>0</v>
      </c>
      <c r="S1870" s="1394">
        <f>IFERROR(VLOOKUP(M1870,#REF!,6,0),0)</f>
        <v>0</v>
      </c>
      <c r="T1870" s="1394">
        <f t="shared" si="558"/>
        <v>0</v>
      </c>
      <c r="U1870" s="1394">
        <f>IFERROR(VLOOKUP(M1870,#REF!,5,0),0)</f>
        <v>0</v>
      </c>
      <c r="V1870" s="1394">
        <f t="shared" si="559"/>
        <v>0</v>
      </c>
      <c r="W1870" s="1394"/>
    </row>
    <row r="1871" spans="1:26" ht="30" customHeight="1">
      <c r="B1871" s="1407"/>
      <c r="C1871" s="1455"/>
      <c r="D1871" s="103"/>
      <c r="E1871" s="103"/>
      <c r="F1871" s="1413"/>
      <c r="G1871" s="1483" t="s">
        <v>11</v>
      </c>
      <c r="H1871" s="1478">
        <f>I1870</f>
        <v>7.8</v>
      </c>
      <c r="I1871" s="1479" t="s">
        <v>26</v>
      </c>
      <c r="J1871" s="1394" t="e">
        <f>ROUNDUP(#REF!,1)</f>
        <v>#REF!</v>
      </c>
      <c r="K1871" s="1394"/>
      <c r="M1871" s="1426" t="str">
        <f>A1865</f>
        <v>c. In Second FloorBrick partition in C.M. 1:4 using country bricks of size 22 x11x5cm 50 mm thick</v>
      </c>
      <c r="N1871" s="1426">
        <f>B1865</f>
        <v>0</v>
      </c>
      <c r="O1871" s="1394">
        <f>H1871</f>
        <v>7.8</v>
      </c>
      <c r="P1871" s="1394" t="str">
        <f>I1871</f>
        <v>Sqm</v>
      </c>
      <c r="Q1871" s="1394">
        <f>IFERROR(VLOOKUP(M1871,#REF!,3,0),0)</f>
        <v>0</v>
      </c>
      <c r="R1871" s="1394">
        <f t="shared" si="557"/>
        <v>0</v>
      </c>
      <c r="S1871" s="1394">
        <f>IFERROR(VLOOKUP(M1871,#REF!,6,0),0)</f>
        <v>0</v>
      </c>
      <c r="T1871" s="1394">
        <f t="shared" si="558"/>
        <v>0</v>
      </c>
      <c r="U1871" s="1394">
        <f>IFERROR(VLOOKUP(M1871,#REF!,5,0),0)</f>
        <v>0</v>
      </c>
      <c r="V1871" s="1394">
        <f t="shared" si="559"/>
        <v>7.8</v>
      </c>
      <c r="W1871" s="1394"/>
      <c r="Z1871" s="1394"/>
    </row>
    <row r="1872" spans="1:26" ht="30" customHeight="1">
      <c r="A1872" s="110" t="s">
        <v>726</v>
      </c>
      <c r="B1872" s="1407"/>
      <c r="C1872" s="1678" t="e">
        <f>VLOOKUP(A1872,#REF!,2,0)</f>
        <v>#REF!</v>
      </c>
      <c r="D1872" s="1678"/>
      <c r="E1872" s="1678"/>
      <c r="F1872" s="1678"/>
      <c r="G1872" s="1678"/>
      <c r="H1872" s="1678"/>
      <c r="I1872" s="1406"/>
      <c r="Q1872" s="1394">
        <f>IFERROR(VLOOKUP(M1872,#REF!,3,0),0)</f>
        <v>0</v>
      </c>
      <c r="R1872" s="1394">
        <f t="shared" si="557"/>
        <v>0</v>
      </c>
      <c r="S1872" s="1394">
        <f>IFERROR(VLOOKUP(M1872,#REF!,6,0),0)</f>
        <v>0</v>
      </c>
      <c r="T1872" s="1394">
        <f t="shared" si="558"/>
        <v>0</v>
      </c>
      <c r="U1872" s="1394">
        <f>IFERROR(VLOOKUP(M1872,#REF!,5,0),0)</f>
        <v>0</v>
      </c>
      <c r="V1872" s="1394">
        <f t="shared" si="559"/>
        <v>0</v>
      </c>
      <c r="W1872" s="1394"/>
      <c r="X1872" s="1397"/>
    </row>
    <row r="1873" spans="1:26" ht="30" customHeight="1">
      <c r="B1873" s="1407"/>
      <c r="C1873" s="1455" t="s">
        <v>5780</v>
      </c>
      <c r="D1873" s="103">
        <v>1</v>
      </c>
      <c r="E1873" s="103">
        <v>1</v>
      </c>
      <c r="F1873" s="1413">
        <v>3.75</v>
      </c>
      <c r="G1873" s="1413"/>
      <c r="H1873" s="1414">
        <v>1</v>
      </c>
      <c r="I1873" s="1406">
        <f>PRODUCT(D1873:H1873)</f>
        <v>3.75</v>
      </c>
      <c r="Q1873" s="1394">
        <f>IFERROR(VLOOKUP(M1873,#REF!,3,0),0)</f>
        <v>0</v>
      </c>
      <c r="R1873" s="1394">
        <f t="shared" si="557"/>
        <v>0</v>
      </c>
      <c r="S1873" s="1394">
        <f>IFERROR(VLOOKUP(M1873,#REF!,6,0),0)</f>
        <v>0</v>
      </c>
      <c r="T1873" s="1394">
        <f t="shared" si="558"/>
        <v>0</v>
      </c>
      <c r="U1873" s="1394">
        <f>IFERROR(VLOOKUP(M1873,#REF!,5,0),0)</f>
        <v>0</v>
      </c>
      <c r="V1873" s="1394">
        <f t="shared" si="559"/>
        <v>0</v>
      </c>
      <c r="W1873" s="1394"/>
    </row>
    <row r="1874" spans="1:26" ht="30" customHeight="1">
      <c r="B1874" s="1407"/>
      <c r="C1874" s="1455" t="s">
        <v>307</v>
      </c>
      <c r="D1874" s="103">
        <v>1</v>
      </c>
      <c r="E1874" s="103">
        <v>1</v>
      </c>
      <c r="F1874" s="1413">
        <v>0.57499999999999996</v>
      </c>
      <c r="G1874" s="1413"/>
      <c r="H1874" s="1414">
        <v>1</v>
      </c>
      <c r="I1874" s="1406">
        <f>PRODUCT(D1874:H1874)</f>
        <v>0.57499999999999996</v>
      </c>
      <c r="Q1874" s="1394">
        <f>IFERROR(VLOOKUP(M1874,#REF!,3,0),0)</f>
        <v>0</v>
      </c>
      <c r="R1874" s="1394">
        <f t="shared" si="557"/>
        <v>0</v>
      </c>
      <c r="S1874" s="1394">
        <f>IFERROR(VLOOKUP(M1874,#REF!,6,0),0)</f>
        <v>0</v>
      </c>
      <c r="T1874" s="1394">
        <f t="shared" si="558"/>
        <v>0</v>
      </c>
      <c r="U1874" s="1394">
        <f>IFERROR(VLOOKUP(M1874,#REF!,5,0),0)</f>
        <v>0</v>
      </c>
      <c r="V1874" s="1394">
        <f t="shared" si="559"/>
        <v>0</v>
      </c>
      <c r="W1874" s="1394"/>
    </row>
    <row r="1875" spans="1:26" ht="30" customHeight="1">
      <c r="B1875" s="1407"/>
      <c r="C1875" s="1455" t="s">
        <v>5781</v>
      </c>
      <c r="D1875" s="103">
        <v>1</v>
      </c>
      <c r="E1875" s="103">
        <v>1</v>
      </c>
      <c r="F1875" s="1413">
        <v>3.7</v>
      </c>
      <c r="G1875" s="1413"/>
      <c r="H1875" s="1414">
        <v>1</v>
      </c>
      <c r="I1875" s="1406">
        <f>PRODUCT(D1875:H1875)</f>
        <v>3.7</v>
      </c>
      <c r="Q1875" s="1394">
        <f>IFERROR(VLOOKUP(M1875,#REF!,3,0),0)</f>
        <v>0</v>
      </c>
      <c r="R1875" s="1394">
        <f t="shared" si="557"/>
        <v>0</v>
      </c>
      <c r="S1875" s="1394">
        <f>IFERROR(VLOOKUP(M1875,#REF!,6,0),0)</f>
        <v>0</v>
      </c>
      <c r="T1875" s="1394">
        <f t="shared" si="558"/>
        <v>0</v>
      </c>
      <c r="U1875" s="1394">
        <f>IFERROR(VLOOKUP(M1875,#REF!,5,0),0)</f>
        <v>0</v>
      </c>
      <c r="V1875" s="1394">
        <f t="shared" si="559"/>
        <v>0</v>
      </c>
      <c r="W1875" s="1394"/>
    </row>
    <row r="1876" spans="1:26" ht="30" customHeight="1">
      <c r="B1876" s="1407"/>
      <c r="C1876" s="1455"/>
      <c r="D1876" s="103"/>
      <c r="E1876" s="103"/>
      <c r="F1876" s="1413"/>
      <c r="G1876" s="1413"/>
      <c r="H1876" s="1414"/>
      <c r="I1876" s="1425">
        <f>J1877-J1876</f>
        <v>7.4999999999999289E-2</v>
      </c>
      <c r="J1876" s="1394">
        <f>SUM(I1873:I1875)</f>
        <v>8.0250000000000004</v>
      </c>
      <c r="K1876" s="1394"/>
      <c r="Q1876" s="1394">
        <f>IFERROR(VLOOKUP(M1876,#REF!,3,0),0)</f>
        <v>0</v>
      </c>
      <c r="R1876" s="1394">
        <f t="shared" si="557"/>
        <v>0</v>
      </c>
      <c r="S1876" s="1394">
        <f>IFERROR(VLOOKUP(M1876,#REF!,6,0),0)</f>
        <v>0</v>
      </c>
      <c r="T1876" s="1394">
        <f t="shared" si="558"/>
        <v>0</v>
      </c>
      <c r="U1876" s="1394">
        <f>IFERROR(VLOOKUP(M1876,#REF!,5,0),0)</f>
        <v>0</v>
      </c>
      <c r="V1876" s="1394">
        <f t="shared" si="559"/>
        <v>0</v>
      </c>
      <c r="W1876" s="1394"/>
    </row>
    <row r="1877" spans="1:26" ht="30" customHeight="1">
      <c r="B1877" s="1407"/>
      <c r="C1877" s="1455"/>
      <c r="D1877" s="103"/>
      <c r="E1877" s="103"/>
      <c r="F1877" s="1413"/>
      <c r="G1877" s="1413"/>
      <c r="H1877" s="1414"/>
      <c r="I1877" s="1427">
        <f>J1877</f>
        <v>8.1</v>
      </c>
      <c r="J1877" s="1394">
        <f>ROUNDUP(J1876,1)</f>
        <v>8.1</v>
      </c>
      <c r="K1877" s="1394"/>
      <c r="Q1877" s="1394">
        <f>IFERROR(VLOOKUP(M1877,#REF!,3,0),0)</f>
        <v>0</v>
      </c>
      <c r="R1877" s="1394">
        <f t="shared" si="557"/>
        <v>0</v>
      </c>
      <c r="S1877" s="1394">
        <f>IFERROR(VLOOKUP(M1877,#REF!,6,0),0)</f>
        <v>0</v>
      </c>
      <c r="T1877" s="1394">
        <f t="shared" si="558"/>
        <v>0</v>
      </c>
      <c r="U1877" s="1394">
        <f>IFERROR(VLOOKUP(M1877,#REF!,5,0),0)</f>
        <v>0</v>
      </c>
      <c r="V1877" s="1394">
        <f t="shared" si="559"/>
        <v>0</v>
      </c>
      <c r="W1877" s="1394"/>
    </row>
    <row r="1878" spans="1:26" ht="30" customHeight="1">
      <c r="B1878" s="1407"/>
      <c r="C1878" s="1455"/>
      <c r="D1878" s="103"/>
      <c r="E1878" s="103"/>
      <c r="F1878" s="1413"/>
      <c r="G1878" s="1483" t="s">
        <v>11</v>
      </c>
      <c r="H1878" s="1478">
        <f>I1877</f>
        <v>8.1</v>
      </c>
      <c r="I1878" s="1479" t="s">
        <v>26</v>
      </c>
      <c r="J1878" s="1394" t="e">
        <f>ROUNDUP(#REF!,1)</f>
        <v>#REF!</v>
      </c>
      <c r="K1878" s="1394"/>
      <c r="M1878" s="1426" t="str">
        <f>A1872</f>
        <v>d. In Third FloorBrick partition in C.M. 1:4 using country bricks of size 22 x11x5cm 50 mm thick</v>
      </c>
      <c r="N1878" s="1426">
        <f>B1872</f>
        <v>0</v>
      </c>
      <c r="O1878" s="1394">
        <f>H1878</f>
        <v>8.1</v>
      </c>
      <c r="P1878" s="1394" t="str">
        <f>I1878</f>
        <v>Sqm</v>
      </c>
      <c r="Q1878" s="1394">
        <f>IFERROR(VLOOKUP(M1878,#REF!,3,0),0)</f>
        <v>0</v>
      </c>
      <c r="R1878" s="1394">
        <f t="shared" si="557"/>
        <v>0</v>
      </c>
      <c r="S1878" s="1394">
        <f>IFERROR(VLOOKUP(M1878,#REF!,6,0),0)</f>
        <v>0</v>
      </c>
      <c r="T1878" s="1394">
        <f t="shared" si="558"/>
        <v>0</v>
      </c>
      <c r="U1878" s="1394">
        <f>IFERROR(VLOOKUP(M1878,#REF!,5,0),0)</f>
        <v>0</v>
      </c>
      <c r="V1878" s="1394">
        <f t="shared" si="559"/>
        <v>8.1</v>
      </c>
      <c r="W1878" s="1394"/>
      <c r="Z1878" s="1394"/>
    </row>
    <row r="1879" spans="1:26" ht="30" customHeight="1">
      <c r="A1879" s="110" t="s">
        <v>727</v>
      </c>
      <c r="B1879" s="1407"/>
      <c r="C1879" s="1678" t="e">
        <f>VLOOKUP(A1879,#REF!,2,0)</f>
        <v>#REF!</v>
      </c>
      <c r="D1879" s="1678"/>
      <c r="E1879" s="1678"/>
      <c r="F1879" s="1678"/>
      <c r="G1879" s="1678"/>
      <c r="H1879" s="1678"/>
      <c r="I1879" s="1406"/>
      <c r="Q1879" s="1394">
        <f>IFERROR(VLOOKUP(M1879,#REF!,3,0),0)</f>
        <v>0</v>
      </c>
      <c r="R1879" s="1394">
        <f t="shared" si="557"/>
        <v>0</v>
      </c>
      <c r="S1879" s="1394">
        <f>IFERROR(VLOOKUP(M1879,#REF!,6,0),0)</f>
        <v>0</v>
      </c>
      <c r="T1879" s="1394">
        <f t="shared" si="558"/>
        <v>0</v>
      </c>
      <c r="U1879" s="1394">
        <f>IFERROR(VLOOKUP(M1879,#REF!,5,0),0)</f>
        <v>0</v>
      </c>
      <c r="V1879" s="1394">
        <f t="shared" si="559"/>
        <v>0</v>
      </c>
      <c r="W1879" s="1394"/>
      <c r="X1879" s="1397"/>
    </row>
    <row r="1880" spans="1:26" ht="30" customHeight="1">
      <c r="B1880" s="1407"/>
      <c r="C1880" s="1455" t="s">
        <v>5782</v>
      </c>
      <c r="D1880" s="103">
        <v>1</v>
      </c>
      <c r="E1880" s="103">
        <v>1</v>
      </c>
      <c r="F1880" s="1413">
        <f>2.7-1.2</f>
        <v>1.5000000000000002</v>
      </c>
      <c r="G1880" s="1413"/>
      <c r="H1880" s="1414">
        <v>1</v>
      </c>
      <c r="I1880" s="1406">
        <f>PRODUCT(D1880:H1880)</f>
        <v>1.5000000000000002</v>
      </c>
      <c r="Q1880" s="1394">
        <f>IFERROR(VLOOKUP(M1880,#REF!,3,0),0)</f>
        <v>0</v>
      </c>
      <c r="R1880" s="1394">
        <f t="shared" si="557"/>
        <v>0</v>
      </c>
      <c r="S1880" s="1394">
        <f>IFERROR(VLOOKUP(M1880,#REF!,6,0),0)</f>
        <v>0</v>
      </c>
      <c r="T1880" s="1394">
        <f t="shared" si="558"/>
        <v>0</v>
      </c>
      <c r="U1880" s="1394">
        <f>IFERROR(VLOOKUP(M1880,#REF!,5,0),0)</f>
        <v>0</v>
      </c>
      <c r="V1880" s="1394">
        <f t="shared" si="559"/>
        <v>0</v>
      </c>
      <c r="W1880" s="1394"/>
    </row>
    <row r="1881" spans="1:26" ht="30" customHeight="1">
      <c r="B1881" s="1407"/>
      <c r="C1881" s="1455"/>
      <c r="D1881" s="103"/>
      <c r="E1881" s="103"/>
      <c r="F1881" s="1413"/>
      <c r="G1881" s="1413"/>
      <c r="H1881" s="1414"/>
      <c r="I1881" s="1425">
        <f>J1882-J1881</f>
        <v>0</v>
      </c>
      <c r="J1881" s="1394">
        <f>SUM(I1880:I1880)</f>
        <v>1.5000000000000002</v>
      </c>
      <c r="K1881" s="1394"/>
      <c r="Q1881" s="1394">
        <f>IFERROR(VLOOKUP(M1881,#REF!,3,0),0)</f>
        <v>0</v>
      </c>
      <c r="R1881" s="1394">
        <f t="shared" si="557"/>
        <v>0</v>
      </c>
      <c r="S1881" s="1394">
        <f>IFERROR(VLOOKUP(M1881,#REF!,6,0),0)</f>
        <v>0</v>
      </c>
      <c r="T1881" s="1394">
        <f t="shared" si="558"/>
        <v>0</v>
      </c>
      <c r="U1881" s="1394">
        <f>IFERROR(VLOOKUP(M1881,#REF!,5,0),0)</f>
        <v>0</v>
      </c>
      <c r="V1881" s="1394">
        <f t="shared" si="559"/>
        <v>0</v>
      </c>
      <c r="W1881" s="1394"/>
    </row>
    <row r="1882" spans="1:26" ht="30" customHeight="1">
      <c r="B1882" s="1407"/>
      <c r="C1882" s="1455"/>
      <c r="D1882" s="103"/>
      <c r="E1882" s="103"/>
      <c r="F1882" s="1413"/>
      <c r="G1882" s="1413"/>
      <c r="H1882" s="1414"/>
      <c r="I1882" s="1427">
        <f>J1882</f>
        <v>1.5</v>
      </c>
      <c r="J1882" s="1394">
        <f>ROUNDUP(J1881,1)</f>
        <v>1.5</v>
      </c>
      <c r="K1882" s="1394"/>
      <c r="Q1882" s="1394">
        <f>IFERROR(VLOOKUP(M1882,#REF!,3,0),0)</f>
        <v>0</v>
      </c>
      <c r="R1882" s="1394">
        <f t="shared" si="557"/>
        <v>0</v>
      </c>
      <c r="S1882" s="1394">
        <f>IFERROR(VLOOKUP(M1882,#REF!,6,0),0)</f>
        <v>0</v>
      </c>
      <c r="T1882" s="1394">
        <f t="shared" si="558"/>
        <v>0</v>
      </c>
      <c r="U1882" s="1394">
        <f>IFERROR(VLOOKUP(M1882,#REF!,5,0),0)</f>
        <v>0</v>
      </c>
      <c r="V1882" s="1394">
        <f t="shared" si="559"/>
        <v>0</v>
      </c>
      <c r="W1882" s="1394"/>
    </row>
    <row r="1883" spans="1:26" ht="30" customHeight="1">
      <c r="B1883" s="1407"/>
      <c r="C1883" s="1455"/>
      <c r="D1883" s="103"/>
      <c r="E1883" s="103"/>
      <c r="F1883" s="1413"/>
      <c r="G1883" s="1483" t="s">
        <v>11</v>
      </c>
      <c r="H1883" s="1478">
        <f>I1882</f>
        <v>1.5</v>
      </c>
      <c r="I1883" s="1479" t="s">
        <v>26</v>
      </c>
      <c r="J1883" s="1394"/>
      <c r="K1883" s="1394"/>
      <c r="M1883" s="1426" t="str">
        <f>A1879</f>
        <v>e. In Fourth Floor Brick partition in C.M. 1:4 using country bricks of size 22 x11x5cm 50 mm thick</v>
      </c>
      <c r="N1883" s="1426">
        <f>B1879</f>
        <v>0</v>
      </c>
      <c r="O1883" s="1394">
        <f>H1883</f>
        <v>1.5</v>
      </c>
      <c r="P1883" s="1394" t="str">
        <f>I1883</f>
        <v>Sqm</v>
      </c>
      <c r="Q1883" s="1394">
        <f>IFERROR(VLOOKUP(M1883,#REF!,3,0),0)</f>
        <v>0</v>
      </c>
      <c r="R1883" s="1394">
        <f t="shared" si="557"/>
        <v>0</v>
      </c>
      <c r="S1883" s="1394">
        <f>IFERROR(VLOOKUP(M1883,#REF!,6,0),0)</f>
        <v>0</v>
      </c>
      <c r="T1883" s="1394">
        <f t="shared" si="558"/>
        <v>0</v>
      </c>
      <c r="U1883" s="1394">
        <f>IFERROR(VLOOKUP(M1883,#REF!,5,0),0)</f>
        <v>0</v>
      </c>
      <c r="V1883" s="1394">
        <f t="shared" si="559"/>
        <v>1.5</v>
      </c>
      <c r="W1883" s="1394"/>
      <c r="Z1883" s="1394"/>
    </row>
    <row r="1884" spans="1:26" ht="161.25" customHeight="1">
      <c r="A1884" s="110" t="s">
        <v>359</v>
      </c>
      <c r="B1884" s="1405" t="s">
        <v>75</v>
      </c>
      <c r="C1884" s="1678" t="e">
        <f>VLOOKUP(A1884,#REF!,2,0)</f>
        <v>#REF!</v>
      </c>
      <c r="D1884" s="1678"/>
      <c r="E1884" s="1678"/>
      <c r="F1884" s="1678"/>
      <c r="G1884" s="1678"/>
      <c r="H1884" s="1678"/>
      <c r="I1884" s="1406"/>
      <c r="Q1884" s="1394">
        <f>IFERROR(VLOOKUP(M1884,#REF!,3,0),0)</f>
        <v>0</v>
      </c>
      <c r="R1884" s="1394">
        <f t="shared" si="557"/>
        <v>0</v>
      </c>
      <c r="S1884" s="1394">
        <f>IFERROR(VLOOKUP(M1884,#REF!,6,0),0)</f>
        <v>0</v>
      </c>
      <c r="T1884" s="1394">
        <f t="shared" si="558"/>
        <v>0</v>
      </c>
      <c r="U1884" s="1394">
        <f>IFERROR(VLOOKUP(M1884,#REF!,5,0),0)</f>
        <v>0</v>
      </c>
      <c r="V1884" s="1394">
        <f t="shared" si="559"/>
        <v>0</v>
      </c>
      <c r="W1884" s="1394"/>
      <c r="X1884" s="1397"/>
    </row>
    <row r="1885" spans="1:26" ht="30" customHeight="1">
      <c r="A1885" s="110" t="s">
        <v>360</v>
      </c>
      <c r="B1885" s="1407"/>
      <c r="C1885" s="1678" t="e">
        <f>VLOOKUP(A1885,#REF!,2,0)</f>
        <v>#REF!</v>
      </c>
      <c r="D1885" s="1678"/>
      <c r="E1885" s="1678"/>
      <c r="F1885" s="1678"/>
      <c r="G1885" s="1678"/>
      <c r="H1885" s="1678"/>
      <c r="I1885" s="1406"/>
      <c r="Q1885" s="1394">
        <f>IFERROR(VLOOKUP(M1885,#REF!,3,0),0)</f>
        <v>0</v>
      </c>
      <c r="R1885" s="1394">
        <f t="shared" si="557"/>
        <v>0</v>
      </c>
      <c r="S1885" s="1394">
        <f>IFERROR(VLOOKUP(M1885,#REF!,6,0),0)</f>
        <v>0</v>
      </c>
      <c r="T1885" s="1394">
        <f t="shared" si="558"/>
        <v>0</v>
      </c>
      <c r="U1885" s="1394">
        <f>IFERROR(VLOOKUP(M1885,#REF!,5,0),0)</f>
        <v>0</v>
      </c>
      <c r="V1885" s="1394">
        <f t="shared" si="559"/>
        <v>0</v>
      </c>
      <c r="W1885" s="1394"/>
      <c r="X1885" s="1397"/>
    </row>
    <row r="1886" spans="1:26" ht="30" customHeight="1">
      <c r="B1886" s="1407"/>
      <c r="C1886" s="1455" t="s">
        <v>361</v>
      </c>
      <c r="D1886" s="103">
        <v>1</v>
      </c>
      <c r="E1886" s="96">
        <f>+E2092</f>
        <v>6</v>
      </c>
      <c r="F1886" s="1413">
        <v>0.9</v>
      </c>
      <c r="G1886" s="1413">
        <v>0.9</v>
      </c>
      <c r="H1886" s="1414"/>
      <c r="I1886" s="1406">
        <f>PRODUCT(D1886:H1886)</f>
        <v>4.8600000000000003</v>
      </c>
      <c r="Q1886" s="1394">
        <f>IFERROR(VLOOKUP(M1886,#REF!,3,0),0)</f>
        <v>0</v>
      </c>
      <c r="R1886" s="1394">
        <f t="shared" si="557"/>
        <v>0</v>
      </c>
      <c r="S1886" s="1394">
        <f>IFERROR(VLOOKUP(M1886,#REF!,6,0),0)</f>
        <v>0</v>
      </c>
      <c r="T1886" s="1394">
        <f t="shared" si="558"/>
        <v>0</v>
      </c>
      <c r="U1886" s="1394">
        <f>IFERROR(VLOOKUP(M1886,#REF!,5,0),0)</f>
        <v>0</v>
      </c>
      <c r="V1886" s="1394">
        <f t="shared" si="559"/>
        <v>0</v>
      </c>
      <c r="W1886" s="1394"/>
    </row>
    <row r="1887" spans="1:26" s="1394" customFormat="1" ht="30" customHeight="1">
      <c r="B1887" s="1421"/>
      <c r="C1887" s="1422" t="s">
        <v>270</v>
      </c>
      <c r="D1887" s="1389"/>
      <c r="E1887" s="1389"/>
      <c r="F1887" s="1423"/>
      <c r="G1887" s="1423"/>
      <c r="H1887" s="1424"/>
      <c r="I1887" s="1425">
        <f>J1888-J1887</f>
        <v>3.9999999999999147E-2</v>
      </c>
      <c r="J1887" s="1394">
        <f>SUM(I1886)</f>
        <v>4.8600000000000003</v>
      </c>
      <c r="M1887" s="1426"/>
      <c r="Q1887" s="1394">
        <f>IFERROR(VLOOKUP(M1887,#REF!,3,0),0)</f>
        <v>0</v>
      </c>
      <c r="R1887" s="1394">
        <f t="shared" si="557"/>
        <v>0</v>
      </c>
      <c r="S1887" s="1394">
        <f>IFERROR(VLOOKUP(M1887,#REF!,6,0),0)</f>
        <v>0</v>
      </c>
      <c r="T1887" s="1394">
        <f t="shared" si="558"/>
        <v>0</v>
      </c>
      <c r="U1887" s="1394">
        <f>IFERROR(VLOOKUP(M1887,#REF!,5,0),0)</f>
        <v>0</v>
      </c>
      <c r="V1887" s="1394">
        <f t="shared" si="559"/>
        <v>0</v>
      </c>
    </row>
    <row r="1888" spans="1:26" s="1394" customFormat="1" ht="30" customHeight="1">
      <c r="B1888" s="1421"/>
      <c r="C1888" s="1422"/>
      <c r="D1888" s="1389"/>
      <c r="E1888" s="1389"/>
      <c r="F1888" s="1423"/>
      <c r="G1888" s="1423"/>
      <c r="H1888" s="1424"/>
      <c r="I1888" s="1427">
        <f>+J1888</f>
        <v>4.8999999999999995</v>
      </c>
      <c r="J1888" s="1394">
        <f>ROUNDUP(J1887,1)</f>
        <v>4.8999999999999995</v>
      </c>
      <c r="M1888" s="1426"/>
      <c r="Q1888" s="1394">
        <f>IFERROR(VLOOKUP(M1888,#REF!,3,0),0)</f>
        <v>0</v>
      </c>
      <c r="R1888" s="1394">
        <f t="shared" si="557"/>
        <v>0</v>
      </c>
      <c r="S1888" s="1394">
        <f>IFERROR(VLOOKUP(M1888,#REF!,6,0),0)</f>
        <v>0</v>
      </c>
      <c r="T1888" s="1394">
        <f t="shared" si="558"/>
        <v>0</v>
      </c>
      <c r="U1888" s="1394">
        <f>IFERROR(VLOOKUP(M1888,#REF!,5,0),0)</f>
        <v>0</v>
      </c>
      <c r="V1888" s="1394">
        <f t="shared" si="559"/>
        <v>0</v>
      </c>
    </row>
    <row r="1889" spans="1:24" s="1394" customFormat="1" ht="30" customHeight="1">
      <c r="B1889" s="1421"/>
      <c r="C1889" s="1422"/>
      <c r="D1889" s="1389"/>
      <c r="E1889" s="1389"/>
      <c r="F1889" s="1423"/>
      <c r="G1889" s="1428" t="s">
        <v>11</v>
      </c>
      <c r="H1889" s="1429">
        <f>I1888</f>
        <v>4.8999999999999995</v>
      </c>
      <c r="I1889" s="1427" t="s">
        <v>26</v>
      </c>
      <c r="M1889" s="1426" t="str">
        <f>A1885</f>
        <v>a. In Foundation &amp; basement Precast cupboard slab 40 mm tkusing standardised concrete mix M20 (annexure)</v>
      </c>
      <c r="N1889" s="1426" t="str">
        <f>B1884</f>
        <v>14.II</v>
      </c>
      <c r="O1889" s="1394">
        <f>H1889</f>
        <v>4.8999999999999995</v>
      </c>
      <c r="P1889" s="1394" t="str">
        <f>I1889</f>
        <v>Sqm</v>
      </c>
      <c r="Q1889" s="1394">
        <f>IFERROR(VLOOKUP(M1889,#REF!,3,0),0)</f>
        <v>0</v>
      </c>
      <c r="R1889" s="1394">
        <f t="shared" si="557"/>
        <v>0</v>
      </c>
      <c r="S1889" s="1394">
        <f>IFERROR(VLOOKUP(M1889,#REF!,6,0),0)</f>
        <v>0</v>
      </c>
      <c r="T1889" s="1394">
        <f t="shared" si="558"/>
        <v>0</v>
      </c>
      <c r="U1889" s="1394">
        <f>IFERROR(VLOOKUP(M1889,#REF!,5,0),0)</f>
        <v>0</v>
      </c>
      <c r="V1889" s="1394">
        <f t="shared" si="559"/>
        <v>4.8999999999999995</v>
      </c>
    </row>
    <row r="1890" spans="1:24" ht="155.25" customHeight="1">
      <c r="A1890" s="110" t="s">
        <v>966</v>
      </c>
      <c r="B1890" s="1405">
        <v>15.1</v>
      </c>
      <c r="C1890" s="1678" t="e">
        <f>VLOOKUP(A1890,#REF!,2,0)</f>
        <v>#REF!</v>
      </c>
      <c r="D1890" s="1678"/>
      <c r="E1890" s="1678"/>
      <c r="F1890" s="1678"/>
      <c r="G1890" s="1678"/>
      <c r="H1890" s="1678"/>
      <c r="I1890" s="1406"/>
      <c r="Q1890" s="1394">
        <f>IFERROR(VLOOKUP(M1890,#REF!,3,0),0)</f>
        <v>0</v>
      </c>
      <c r="R1890" s="1394">
        <f t="shared" si="557"/>
        <v>0</v>
      </c>
      <c r="S1890" s="1394">
        <f>IFERROR(VLOOKUP(M1890,#REF!,6,0),0)</f>
        <v>0</v>
      </c>
      <c r="T1890" s="1394">
        <f t="shared" si="558"/>
        <v>0</v>
      </c>
      <c r="U1890" s="1394">
        <f>IFERROR(VLOOKUP(M1890,#REF!,5,0),0)</f>
        <v>0</v>
      </c>
      <c r="V1890" s="1394">
        <f t="shared" si="559"/>
        <v>0</v>
      </c>
      <c r="W1890" s="1394"/>
      <c r="X1890" s="1397"/>
    </row>
    <row r="1891" spans="1:24" ht="30" customHeight="1">
      <c r="A1891" s="110" t="s">
        <v>968</v>
      </c>
      <c r="B1891" s="1407"/>
      <c r="C1891" s="1678" t="e">
        <f>VLOOKUP(A1891,#REF!,2,0)</f>
        <v>#REF!</v>
      </c>
      <c r="D1891" s="1678"/>
      <c r="E1891" s="1678"/>
      <c r="F1891" s="1678"/>
      <c r="G1891" s="1678"/>
      <c r="H1891" s="1678"/>
      <c r="I1891" s="1406"/>
      <c r="Q1891" s="1394">
        <f>IFERROR(VLOOKUP(M1891,#REF!,3,0),0)</f>
        <v>0</v>
      </c>
      <c r="R1891" s="1394">
        <f t="shared" si="557"/>
        <v>0</v>
      </c>
      <c r="S1891" s="1394">
        <f>IFERROR(VLOOKUP(M1891,#REF!,6,0),0)</f>
        <v>0</v>
      </c>
      <c r="T1891" s="1394">
        <f t="shared" si="558"/>
        <v>0</v>
      </c>
      <c r="U1891" s="1394">
        <f>IFERROR(VLOOKUP(M1891,#REF!,5,0),0)</f>
        <v>0</v>
      </c>
      <c r="V1891" s="1394">
        <f t="shared" si="559"/>
        <v>0</v>
      </c>
      <c r="W1891" s="1394"/>
      <c r="X1891" s="1397"/>
    </row>
    <row r="1892" spans="1:24" ht="30" customHeight="1">
      <c r="B1892" s="1407"/>
      <c r="C1892" s="1491" t="str">
        <f>C1800</f>
        <v>Wash Basin Wall</v>
      </c>
      <c r="D1892" s="103">
        <v>1</v>
      </c>
      <c r="E1892" s="103">
        <v>1</v>
      </c>
      <c r="F1892" s="1413">
        <v>0.45</v>
      </c>
      <c r="G1892" s="1413">
        <f>F1800</f>
        <v>0.6</v>
      </c>
      <c r="H1892" s="1414"/>
      <c r="I1892" s="1406">
        <f>PRODUCT(D1892:H1892)</f>
        <v>0.27</v>
      </c>
      <c r="Q1892" s="1394">
        <f>IFERROR(VLOOKUP(M1892,#REF!,3,0),0)</f>
        <v>0</v>
      </c>
      <c r="R1892" s="1394">
        <f t="shared" si="557"/>
        <v>0</v>
      </c>
      <c r="S1892" s="1394">
        <f>IFERROR(VLOOKUP(M1892,#REF!,6,0),0)</f>
        <v>0</v>
      </c>
      <c r="T1892" s="1394">
        <f t="shared" si="558"/>
        <v>0</v>
      </c>
      <c r="U1892" s="1394">
        <f>IFERROR(VLOOKUP(M1892,#REF!,5,0),0)</f>
        <v>0</v>
      </c>
      <c r="V1892" s="1394">
        <f t="shared" si="559"/>
        <v>0</v>
      </c>
      <c r="W1892" s="1394"/>
    </row>
    <row r="1893" spans="1:24" s="1394" customFormat="1" ht="30" customHeight="1">
      <c r="B1893" s="1421"/>
      <c r="C1893" s="1422" t="s">
        <v>270</v>
      </c>
      <c r="D1893" s="1389"/>
      <c r="E1893" s="1389"/>
      <c r="F1893" s="1423"/>
      <c r="G1893" s="1423"/>
      <c r="H1893" s="1424"/>
      <c r="I1893" s="1425">
        <f>J1894-J1893</f>
        <v>3.0000000000000027E-2</v>
      </c>
      <c r="J1893" s="1394">
        <f>SUM(I1892:I1892)</f>
        <v>0.27</v>
      </c>
      <c r="M1893" s="1426"/>
      <c r="Q1893" s="1394">
        <f>IFERROR(VLOOKUP(M1893,#REF!,3,0),0)</f>
        <v>0</v>
      </c>
      <c r="R1893" s="1394">
        <f t="shared" si="557"/>
        <v>0</v>
      </c>
      <c r="S1893" s="1394">
        <f>IFERROR(VLOOKUP(M1893,#REF!,6,0),0)</f>
        <v>0</v>
      </c>
      <c r="T1893" s="1394">
        <f t="shared" si="558"/>
        <v>0</v>
      </c>
      <c r="U1893" s="1394">
        <f>IFERROR(VLOOKUP(M1893,#REF!,5,0),0)</f>
        <v>0</v>
      </c>
      <c r="V1893" s="1394">
        <f t="shared" si="559"/>
        <v>0</v>
      </c>
    </row>
    <row r="1894" spans="1:24" s="1394" customFormat="1" ht="30" customHeight="1">
      <c r="B1894" s="1421"/>
      <c r="C1894" s="1422"/>
      <c r="D1894" s="1389"/>
      <c r="E1894" s="1389"/>
      <c r="F1894" s="1423"/>
      <c r="G1894" s="1423"/>
      <c r="H1894" s="1424"/>
      <c r="I1894" s="1427">
        <f>+J1894</f>
        <v>0.30000000000000004</v>
      </c>
      <c r="J1894" s="1394">
        <f>ROUNDUP(J1893,1)</f>
        <v>0.30000000000000004</v>
      </c>
      <c r="M1894" s="1426"/>
      <c r="Q1894" s="1394">
        <f>IFERROR(VLOOKUP(M1894,#REF!,3,0),0)</f>
        <v>0</v>
      </c>
      <c r="R1894" s="1394">
        <f t="shared" si="557"/>
        <v>0</v>
      </c>
      <c r="S1894" s="1394">
        <f>IFERROR(VLOOKUP(M1894,#REF!,6,0),0)</f>
        <v>0</v>
      </c>
      <c r="T1894" s="1394">
        <f t="shared" si="558"/>
        <v>0</v>
      </c>
      <c r="U1894" s="1394">
        <f>IFERROR(VLOOKUP(M1894,#REF!,5,0),0)</f>
        <v>0</v>
      </c>
      <c r="V1894" s="1394">
        <f t="shared" si="559"/>
        <v>0</v>
      </c>
    </row>
    <row r="1895" spans="1:24" s="1394" customFormat="1" ht="30" customHeight="1">
      <c r="B1895" s="1421"/>
      <c r="C1895" s="1422"/>
      <c r="D1895" s="1389"/>
      <c r="E1895" s="1389"/>
      <c r="F1895" s="1423"/>
      <c r="G1895" s="1428" t="s">
        <v>11</v>
      </c>
      <c r="H1895" s="1429">
        <f>I1894</f>
        <v>0.30000000000000004</v>
      </c>
      <c r="I1895" s="1427" t="s">
        <v>26</v>
      </c>
      <c r="M1895" s="1426" t="str">
        <f>A1891</f>
        <v>a. In Ground floor Precast Cupboard slab 20 mm tk.using standardised concrete mix M20 (annexure)</v>
      </c>
      <c r="N1895" s="1426">
        <f>B1890</f>
        <v>15.1</v>
      </c>
      <c r="O1895" s="1394">
        <f>H1895</f>
        <v>0.30000000000000004</v>
      </c>
      <c r="P1895" s="1394" t="str">
        <f>I1895</f>
        <v>Sqm</v>
      </c>
      <c r="Q1895" s="1394">
        <f>IFERROR(VLOOKUP(M1895,#REF!,3,0),0)</f>
        <v>0</v>
      </c>
      <c r="R1895" s="1394">
        <f t="shared" si="557"/>
        <v>0</v>
      </c>
      <c r="S1895" s="1394">
        <f>IFERROR(VLOOKUP(M1895,#REF!,6,0),0)</f>
        <v>0</v>
      </c>
      <c r="T1895" s="1394">
        <f t="shared" si="558"/>
        <v>0</v>
      </c>
      <c r="U1895" s="1394">
        <f>IFERROR(VLOOKUP(M1895,#REF!,5,0),0)</f>
        <v>0</v>
      </c>
      <c r="V1895" s="1394">
        <f t="shared" si="559"/>
        <v>0.30000000000000004</v>
      </c>
    </row>
    <row r="1896" spans="1:24" ht="30" customHeight="1">
      <c r="A1896" s="110" t="s">
        <v>969</v>
      </c>
      <c r="B1896" s="1407"/>
      <c r="C1896" s="1678" t="e">
        <f>VLOOKUP(A1896,#REF!,2,0)</f>
        <v>#REF!</v>
      </c>
      <c r="D1896" s="1678"/>
      <c r="E1896" s="1678"/>
      <c r="F1896" s="1678"/>
      <c r="G1896" s="1678"/>
      <c r="H1896" s="1678"/>
      <c r="I1896" s="1406"/>
      <c r="Q1896" s="1394">
        <f>IFERROR(VLOOKUP(M1896,#REF!,3,0),0)</f>
        <v>0</v>
      </c>
      <c r="R1896" s="1394">
        <f t="shared" si="557"/>
        <v>0</v>
      </c>
      <c r="S1896" s="1394">
        <f>IFERROR(VLOOKUP(M1896,#REF!,6,0),0)</f>
        <v>0</v>
      </c>
      <c r="T1896" s="1394">
        <f t="shared" si="558"/>
        <v>0</v>
      </c>
      <c r="U1896" s="1394">
        <f>IFERROR(VLOOKUP(M1896,#REF!,5,0),0)</f>
        <v>0</v>
      </c>
      <c r="V1896" s="1394">
        <f t="shared" si="559"/>
        <v>0</v>
      </c>
      <c r="W1896" s="1394"/>
      <c r="X1896" s="1397"/>
    </row>
    <row r="1897" spans="1:24" ht="30" customHeight="1">
      <c r="B1897" s="1407"/>
      <c r="C1897" s="1491" t="s">
        <v>5591</v>
      </c>
      <c r="D1897" s="103">
        <v>1</v>
      </c>
      <c r="E1897" s="103">
        <v>4</v>
      </c>
      <c r="F1897" s="1413">
        <v>1.65</v>
      </c>
      <c r="G1897" s="1413">
        <v>0.6</v>
      </c>
      <c r="H1897" s="1414"/>
      <c r="I1897" s="1406">
        <f t="shared" ref="I1897:I1904" si="560">PRODUCT(D1897:H1897)</f>
        <v>3.9599999999999995</v>
      </c>
      <c r="Q1897" s="1394">
        <f>IFERROR(VLOOKUP(M1897,#REF!,3,0),0)</f>
        <v>0</v>
      </c>
      <c r="R1897" s="1394">
        <f t="shared" si="557"/>
        <v>0</v>
      </c>
      <c r="S1897" s="1394">
        <f>IFERROR(VLOOKUP(M1897,#REF!,6,0),0)</f>
        <v>0</v>
      </c>
      <c r="T1897" s="1394">
        <f t="shared" si="558"/>
        <v>0</v>
      </c>
      <c r="U1897" s="1394">
        <f>IFERROR(VLOOKUP(M1897,#REF!,5,0),0)</f>
        <v>0</v>
      </c>
      <c r="V1897" s="1394">
        <f t="shared" si="559"/>
        <v>0</v>
      </c>
      <c r="W1897" s="1394"/>
    </row>
    <row r="1898" spans="1:24" ht="30" customHeight="1">
      <c r="B1898" s="1407"/>
      <c r="C1898" s="1491" t="s">
        <v>5593</v>
      </c>
      <c r="D1898" s="103">
        <v>1</v>
      </c>
      <c r="E1898" s="103">
        <v>4</v>
      </c>
      <c r="F1898" s="1413">
        <v>2.0350000000000001</v>
      </c>
      <c r="G1898" s="1413">
        <v>0.6</v>
      </c>
      <c r="H1898" s="1414"/>
      <c r="I1898" s="1406">
        <f t="shared" si="560"/>
        <v>4.8840000000000003</v>
      </c>
      <c r="Q1898" s="1394">
        <f>IFERROR(VLOOKUP(M1898,#REF!,3,0),0)</f>
        <v>0</v>
      </c>
      <c r="R1898" s="1394">
        <f t="shared" si="557"/>
        <v>0</v>
      </c>
      <c r="S1898" s="1394">
        <f>IFERROR(VLOOKUP(M1898,#REF!,6,0),0)</f>
        <v>0</v>
      </c>
      <c r="T1898" s="1394">
        <f t="shared" si="558"/>
        <v>0</v>
      </c>
      <c r="U1898" s="1394">
        <f>IFERROR(VLOOKUP(M1898,#REF!,5,0),0)</f>
        <v>0</v>
      </c>
      <c r="V1898" s="1394">
        <f t="shared" si="559"/>
        <v>0</v>
      </c>
      <c r="W1898" s="1394"/>
    </row>
    <row r="1899" spans="1:24" ht="30" customHeight="1">
      <c r="B1899" s="1407"/>
      <c r="C1899" s="1491" t="s">
        <v>5783</v>
      </c>
      <c r="D1899" s="103">
        <v>1</v>
      </c>
      <c r="E1899" s="103">
        <v>4</v>
      </c>
      <c r="F1899" s="1413">
        <v>1.65</v>
      </c>
      <c r="G1899" s="1413">
        <v>0.6</v>
      </c>
      <c r="H1899" s="1414"/>
      <c r="I1899" s="1406">
        <f t="shared" si="560"/>
        <v>3.9599999999999995</v>
      </c>
      <c r="Q1899" s="1394">
        <f>IFERROR(VLOOKUP(M1899,#REF!,3,0),0)</f>
        <v>0</v>
      </c>
      <c r="R1899" s="1394">
        <f t="shared" si="557"/>
        <v>0</v>
      </c>
      <c r="S1899" s="1394">
        <f>IFERROR(VLOOKUP(M1899,#REF!,6,0),0)</f>
        <v>0</v>
      </c>
      <c r="T1899" s="1394">
        <f t="shared" si="558"/>
        <v>0</v>
      </c>
      <c r="U1899" s="1394">
        <f>IFERROR(VLOOKUP(M1899,#REF!,5,0),0)</f>
        <v>0</v>
      </c>
      <c r="V1899" s="1394">
        <f t="shared" si="559"/>
        <v>0</v>
      </c>
      <c r="W1899" s="1394"/>
    </row>
    <row r="1900" spans="1:24" ht="30" customHeight="1">
      <c r="B1900" s="1407"/>
      <c r="C1900" s="1491" t="s">
        <v>5783</v>
      </c>
      <c r="D1900" s="103">
        <v>1</v>
      </c>
      <c r="E1900" s="103">
        <v>4</v>
      </c>
      <c r="F1900" s="1413">
        <v>1.8</v>
      </c>
      <c r="G1900" s="1413">
        <v>0.6</v>
      </c>
      <c r="H1900" s="1414"/>
      <c r="I1900" s="1406">
        <f t="shared" si="560"/>
        <v>4.32</v>
      </c>
      <c r="Q1900" s="1394">
        <f>IFERROR(VLOOKUP(M1900,#REF!,3,0),0)</f>
        <v>0</v>
      </c>
      <c r="R1900" s="1394">
        <f t="shared" si="557"/>
        <v>0</v>
      </c>
      <c r="S1900" s="1394">
        <f>IFERROR(VLOOKUP(M1900,#REF!,6,0),0)</f>
        <v>0</v>
      </c>
      <c r="T1900" s="1394">
        <f t="shared" si="558"/>
        <v>0</v>
      </c>
      <c r="U1900" s="1394">
        <f>IFERROR(VLOOKUP(M1900,#REF!,5,0),0)</f>
        <v>0</v>
      </c>
      <c r="V1900" s="1394">
        <f t="shared" si="559"/>
        <v>0</v>
      </c>
      <c r="W1900" s="1394"/>
    </row>
    <row r="1901" spans="1:24" ht="30" customHeight="1">
      <c r="B1901" s="1407"/>
      <c r="C1901" s="1491" t="s">
        <v>5784</v>
      </c>
      <c r="D1901" s="103">
        <v>1</v>
      </c>
      <c r="E1901" s="103">
        <v>4</v>
      </c>
      <c r="F1901" s="1413">
        <v>2.7850000000000001</v>
      </c>
      <c r="G1901" s="1413">
        <v>0.6</v>
      </c>
      <c r="H1901" s="1414"/>
      <c r="I1901" s="1406">
        <f t="shared" si="560"/>
        <v>6.6840000000000002</v>
      </c>
      <c r="Q1901" s="1394">
        <f>IFERROR(VLOOKUP(M1901,#REF!,3,0),0)</f>
        <v>0</v>
      </c>
      <c r="R1901" s="1394">
        <f t="shared" si="557"/>
        <v>0</v>
      </c>
      <c r="S1901" s="1394">
        <f>IFERROR(VLOOKUP(M1901,#REF!,6,0),0)</f>
        <v>0</v>
      </c>
      <c r="T1901" s="1394">
        <f t="shared" si="558"/>
        <v>0</v>
      </c>
      <c r="U1901" s="1394">
        <f>IFERROR(VLOOKUP(M1901,#REF!,5,0),0)</f>
        <v>0</v>
      </c>
      <c r="V1901" s="1394">
        <f t="shared" si="559"/>
        <v>0</v>
      </c>
      <c r="W1901" s="1394"/>
    </row>
    <row r="1902" spans="1:24" ht="30" customHeight="1">
      <c r="B1902" s="1407"/>
      <c r="C1902" s="1491" t="s">
        <v>5785</v>
      </c>
      <c r="D1902" s="103">
        <v>1</v>
      </c>
      <c r="E1902" s="103">
        <v>4</v>
      </c>
      <c r="F1902" s="1413">
        <v>1.9350000000000001</v>
      </c>
      <c r="G1902" s="1413">
        <v>0.6</v>
      </c>
      <c r="H1902" s="1414"/>
      <c r="I1902" s="1406">
        <f t="shared" si="560"/>
        <v>4.6440000000000001</v>
      </c>
      <c r="Q1902" s="1394">
        <f>IFERROR(VLOOKUP(M1902,#REF!,3,0),0)</f>
        <v>0</v>
      </c>
      <c r="R1902" s="1394">
        <f t="shared" ref="R1902:R1965" si="561">ROUND(O1902,2)*ROUND(Q1902,2)</f>
        <v>0</v>
      </c>
      <c r="S1902" s="1394">
        <f>IFERROR(VLOOKUP(M1902,#REF!,6,0),0)</f>
        <v>0</v>
      </c>
      <c r="T1902" s="1394">
        <f t="shared" ref="T1902:T1965" si="562">R1902-S1902</f>
        <v>0</v>
      </c>
      <c r="U1902" s="1394">
        <f>IFERROR(VLOOKUP(M1902,#REF!,5,0),0)</f>
        <v>0</v>
      </c>
      <c r="V1902" s="1394">
        <f t="shared" ref="V1902:V1965" si="563">O1902-U1902</f>
        <v>0</v>
      </c>
      <c r="W1902" s="1394"/>
    </row>
    <row r="1903" spans="1:24" ht="30" customHeight="1">
      <c r="B1903" s="1407"/>
      <c r="C1903" s="1491" t="s">
        <v>5786</v>
      </c>
      <c r="D1903" s="103">
        <v>1</v>
      </c>
      <c r="E1903" s="103">
        <v>4</v>
      </c>
      <c r="F1903" s="1413">
        <v>1.82</v>
      </c>
      <c r="G1903" s="1413">
        <v>0.6</v>
      </c>
      <c r="H1903" s="1414"/>
      <c r="I1903" s="1406">
        <f t="shared" si="560"/>
        <v>4.3680000000000003</v>
      </c>
      <c r="Q1903" s="1394">
        <f>IFERROR(VLOOKUP(M1903,#REF!,3,0),0)</f>
        <v>0</v>
      </c>
      <c r="R1903" s="1394">
        <f t="shared" si="561"/>
        <v>0</v>
      </c>
      <c r="S1903" s="1394">
        <f>IFERROR(VLOOKUP(M1903,#REF!,6,0),0)</f>
        <v>0</v>
      </c>
      <c r="T1903" s="1394">
        <f t="shared" si="562"/>
        <v>0</v>
      </c>
      <c r="U1903" s="1394">
        <f>IFERROR(VLOOKUP(M1903,#REF!,5,0),0)</f>
        <v>0</v>
      </c>
      <c r="V1903" s="1394">
        <f t="shared" si="563"/>
        <v>0</v>
      </c>
      <c r="W1903" s="1394"/>
    </row>
    <row r="1904" spans="1:24" ht="30" customHeight="1">
      <c r="B1904" s="1407"/>
      <c r="C1904" s="1491" t="s">
        <v>5744</v>
      </c>
      <c r="D1904" s="103">
        <v>1</v>
      </c>
      <c r="E1904" s="103">
        <v>4</v>
      </c>
      <c r="F1904" s="1413">
        <v>1.23</v>
      </c>
      <c r="G1904" s="1413">
        <v>0.6</v>
      </c>
      <c r="H1904" s="1414"/>
      <c r="I1904" s="1406">
        <f t="shared" si="560"/>
        <v>2.952</v>
      </c>
      <c r="Q1904" s="1394">
        <f>IFERROR(VLOOKUP(M1904,#REF!,3,0),0)</f>
        <v>0</v>
      </c>
      <c r="R1904" s="1394">
        <f t="shared" si="561"/>
        <v>0</v>
      </c>
      <c r="S1904" s="1394">
        <f>IFERROR(VLOOKUP(M1904,#REF!,6,0),0)</f>
        <v>0</v>
      </c>
      <c r="T1904" s="1394">
        <f t="shared" si="562"/>
        <v>0</v>
      </c>
      <c r="U1904" s="1394">
        <f>IFERROR(VLOOKUP(M1904,#REF!,5,0),0)</f>
        <v>0</v>
      </c>
      <c r="V1904" s="1394">
        <f t="shared" si="563"/>
        <v>0</v>
      </c>
      <c r="W1904" s="1394"/>
    </row>
    <row r="1905" spans="1:24" s="1394" customFormat="1" ht="30" customHeight="1">
      <c r="B1905" s="1421"/>
      <c r="C1905" s="1422" t="s">
        <v>270</v>
      </c>
      <c r="D1905" s="1389"/>
      <c r="E1905" s="1389"/>
      <c r="F1905" s="1423"/>
      <c r="G1905" s="1423"/>
      <c r="H1905" s="1424"/>
      <c r="I1905" s="1425">
        <f>J1906-J1905</f>
        <v>2.8000000000005798E-2</v>
      </c>
      <c r="J1905" s="1394">
        <f>SUM(I1897:I1904)</f>
        <v>35.771999999999998</v>
      </c>
      <c r="M1905" s="1426"/>
      <c r="Q1905" s="1394">
        <f>IFERROR(VLOOKUP(M1905,#REF!,3,0),0)</f>
        <v>0</v>
      </c>
      <c r="R1905" s="1394">
        <f t="shared" si="561"/>
        <v>0</v>
      </c>
      <c r="S1905" s="1394">
        <f>IFERROR(VLOOKUP(M1905,#REF!,6,0),0)</f>
        <v>0</v>
      </c>
      <c r="T1905" s="1394">
        <f t="shared" si="562"/>
        <v>0</v>
      </c>
      <c r="U1905" s="1394">
        <f>IFERROR(VLOOKUP(M1905,#REF!,5,0),0)</f>
        <v>0</v>
      </c>
      <c r="V1905" s="1394">
        <f t="shared" si="563"/>
        <v>0</v>
      </c>
    </row>
    <row r="1906" spans="1:24" s="1394" customFormat="1" ht="30" customHeight="1">
      <c r="B1906" s="1421"/>
      <c r="C1906" s="1422"/>
      <c r="D1906" s="1389"/>
      <c r="E1906" s="1389"/>
      <c r="F1906" s="1423"/>
      <c r="G1906" s="1423"/>
      <c r="H1906" s="1424"/>
      <c r="I1906" s="1427">
        <f>+J1906</f>
        <v>35.800000000000004</v>
      </c>
      <c r="J1906" s="1394">
        <f>ROUNDUP(J1905,1)</f>
        <v>35.800000000000004</v>
      </c>
      <c r="M1906" s="1426"/>
      <c r="Q1906" s="1394">
        <f>IFERROR(VLOOKUP(M1906,#REF!,3,0),0)</f>
        <v>0</v>
      </c>
      <c r="R1906" s="1394">
        <f t="shared" si="561"/>
        <v>0</v>
      </c>
      <c r="S1906" s="1394">
        <f>IFERROR(VLOOKUP(M1906,#REF!,6,0),0)</f>
        <v>0</v>
      </c>
      <c r="T1906" s="1394">
        <f t="shared" si="562"/>
        <v>0</v>
      </c>
      <c r="U1906" s="1394">
        <f>IFERROR(VLOOKUP(M1906,#REF!,5,0),0)</f>
        <v>0</v>
      </c>
      <c r="V1906" s="1394">
        <f t="shared" si="563"/>
        <v>0</v>
      </c>
    </row>
    <row r="1907" spans="1:24" s="1394" customFormat="1" ht="30" customHeight="1">
      <c r="B1907" s="1421"/>
      <c r="C1907" s="1422"/>
      <c r="D1907" s="1389"/>
      <c r="E1907" s="1389"/>
      <c r="F1907" s="1423"/>
      <c r="G1907" s="1428" t="s">
        <v>11</v>
      </c>
      <c r="H1907" s="1429">
        <f>I1906</f>
        <v>35.800000000000004</v>
      </c>
      <c r="I1907" s="1427" t="s">
        <v>26</v>
      </c>
      <c r="M1907" s="1426" t="str">
        <f>A1896</f>
        <v>b. In First floor Precast Cupboard slab 20 mm tk.using standardised concrete mix M20 (annexure)</v>
      </c>
      <c r="N1907" s="1426">
        <f>B1896</f>
        <v>0</v>
      </c>
      <c r="O1907" s="1394">
        <f>H1907</f>
        <v>35.800000000000004</v>
      </c>
      <c r="P1907" s="1394" t="str">
        <f>I1907</f>
        <v>Sqm</v>
      </c>
      <c r="Q1907" s="1394">
        <f>IFERROR(VLOOKUP(M1907,#REF!,3,0),0)</f>
        <v>0</v>
      </c>
      <c r="R1907" s="1394">
        <f t="shared" si="561"/>
        <v>0</v>
      </c>
      <c r="S1907" s="1394">
        <f>IFERROR(VLOOKUP(M1907,#REF!,6,0),0)</f>
        <v>0</v>
      </c>
      <c r="T1907" s="1394">
        <f t="shared" si="562"/>
        <v>0</v>
      </c>
      <c r="U1907" s="1394">
        <f>IFERROR(VLOOKUP(M1907,#REF!,5,0),0)</f>
        <v>0</v>
      </c>
      <c r="V1907" s="1394">
        <f t="shared" si="563"/>
        <v>35.800000000000004</v>
      </c>
    </row>
    <row r="1908" spans="1:24" ht="30" customHeight="1">
      <c r="A1908" s="110" t="s">
        <v>970</v>
      </c>
      <c r="B1908" s="1407"/>
      <c r="C1908" s="1678" t="e">
        <f>VLOOKUP(A1908,#REF!,2,0)</f>
        <v>#REF!</v>
      </c>
      <c r="D1908" s="1678"/>
      <c r="E1908" s="1678"/>
      <c r="F1908" s="1678"/>
      <c r="G1908" s="1678"/>
      <c r="H1908" s="1678"/>
      <c r="I1908" s="1406"/>
      <c r="Q1908" s="1394">
        <f>IFERROR(VLOOKUP(M1908,#REF!,3,0),0)</f>
        <v>0</v>
      </c>
      <c r="R1908" s="1394">
        <f t="shared" si="561"/>
        <v>0</v>
      </c>
      <c r="S1908" s="1394">
        <f>IFERROR(VLOOKUP(M1908,#REF!,6,0),0)</f>
        <v>0</v>
      </c>
      <c r="T1908" s="1394">
        <f t="shared" si="562"/>
        <v>0</v>
      </c>
      <c r="U1908" s="1394">
        <f>IFERROR(VLOOKUP(M1908,#REF!,5,0),0)</f>
        <v>0</v>
      </c>
      <c r="V1908" s="1394">
        <f t="shared" si="563"/>
        <v>0</v>
      </c>
      <c r="W1908" s="1394"/>
      <c r="X1908" s="1397"/>
    </row>
    <row r="1909" spans="1:24" ht="30" customHeight="1">
      <c r="B1909" s="1407"/>
      <c r="C1909" s="1491" t="s">
        <v>5628</v>
      </c>
      <c r="D1909" s="103">
        <v>1</v>
      </c>
      <c r="E1909" s="103">
        <v>4</v>
      </c>
      <c r="F1909" s="1413">
        <v>1.65</v>
      </c>
      <c r="G1909" s="1413">
        <v>0.6</v>
      </c>
      <c r="H1909" s="1414"/>
      <c r="I1909" s="1406">
        <f t="shared" ref="I1909:I1916" si="564">PRODUCT(D1909:H1909)</f>
        <v>3.9599999999999995</v>
      </c>
      <c r="Q1909" s="1394">
        <f>IFERROR(VLOOKUP(M1909,#REF!,3,0),0)</f>
        <v>0</v>
      </c>
      <c r="R1909" s="1394">
        <f t="shared" si="561"/>
        <v>0</v>
      </c>
      <c r="S1909" s="1394">
        <f>IFERROR(VLOOKUP(M1909,#REF!,6,0),0)</f>
        <v>0</v>
      </c>
      <c r="T1909" s="1394">
        <f t="shared" si="562"/>
        <v>0</v>
      </c>
      <c r="U1909" s="1394">
        <f>IFERROR(VLOOKUP(M1909,#REF!,5,0),0)</f>
        <v>0</v>
      </c>
      <c r="V1909" s="1394">
        <f t="shared" si="563"/>
        <v>0</v>
      </c>
      <c r="W1909" s="1394"/>
    </row>
    <row r="1910" spans="1:24" ht="30" customHeight="1">
      <c r="B1910" s="1407"/>
      <c r="C1910" s="1491" t="s">
        <v>5593</v>
      </c>
      <c r="D1910" s="103">
        <v>1</v>
      </c>
      <c r="E1910" s="103">
        <v>4</v>
      </c>
      <c r="F1910" s="1413">
        <v>2.0350000000000001</v>
      </c>
      <c r="G1910" s="1413">
        <v>0.6</v>
      </c>
      <c r="H1910" s="1414"/>
      <c r="I1910" s="1406">
        <f t="shared" si="564"/>
        <v>4.8840000000000003</v>
      </c>
      <c r="Q1910" s="1394">
        <f>IFERROR(VLOOKUP(M1910,#REF!,3,0),0)</f>
        <v>0</v>
      </c>
      <c r="R1910" s="1394">
        <f t="shared" si="561"/>
        <v>0</v>
      </c>
      <c r="S1910" s="1394">
        <f>IFERROR(VLOOKUP(M1910,#REF!,6,0),0)</f>
        <v>0</v>
      </c>
      <c r="T1910" s="1394">
        <f t="shared" si="562"/>
        <v>0</v>
      </c>
      <c r="U1910" s="1394">
        <f>IFERROR(VLOOKUP(M1910,#REF!,5,0),0)</f>
        <v>0</v>
      </c>
      <c r="V1910" s="1394">
        <f t="shared" si="563"/>
        <v>0</v>
      </c>
      <c r="W1910" s="1394"/>
    </row>
    <row r="1911" spans="1:24" ht="30" customHeight="1">
      <c r="B1911" s="1407"/>
      <c r="C1911" s="1491" t="s">
        <v>5783</v>
      </c>
      <c r="D1911" s="103">
        <v>1</v>
      </c>
      <c r="E1911" s="103">
        <v>4</v>
      </c>
      <c r="F1911" s="1413">
        <v>1.65</v>
      </c>
      <c r="G1911" s="1413">
        <v>0.6</v>
      </c>
      <c r="H1911" s="1414"/>
      <c r="I1911" s="1406">
        <f t="shared" si="564"/>
        <v>3.9599999999999995</v>
      </c>
      <c r="Q1911" s="1394">
        <f>IFERROR(VLOOKUP(M1911,#REF!,3,0),0)</f>
        <v>0</v>
      </c>
      <c r="R1911" s="1394">
        <f t="shared" si="561"/>
        <v>0</v>
      </c>
      <c r="S1911" s="1394">
        <f>IFERROR(VLOOKUP(M1911,#REF!,6,0),0)</f>
        <v>0</v>
      </c>
      <c r="T1911" s="1394">
        <f t="shared" si="562"/>
        <v>0</v>
      </c>
      <c r="U1911" s="1394">
        <f>IFERROR(VLOOKUP(M1911,#REF!,5,0),0)</f>
        <v>0</v>
      </c>
      <c r="V1911" s="1394">
        <f t="shared" si="563"/>
        <v>0</v>
      </c>
      <c r="W1911" s="1394"/>
    </row>
    <row r="1912" spans="1:24" ht="30" customHeight="1">
      <c r="B1912" s="1407"/>
      <c r="C1912" s="1491" t="s">
        <v>5783</v>
      </c>
      <c r="D1912" s="103">
        <v>1</v>
      </c>
      <c r="E1912" s="103">
        <v>4</v>
      </c>
      <c r="F1912" s="1413">
        <v>1.8</v>
      </c>
      <c r="G1912" s="1413">
        <v>0.6</v>
      </c>
      <c r="H1912" s="1414"/>
      <c r="I1912" s="1406">
        <f t="shared" si="564"/>
        <v>4.32</v>
      </c>
      <c r="Q1912" s="1394">
        <f>IFERROR(VLOOKUP(M1912,#REF!,3,0),0)</f>
        <v>0</v>
      </c>
      <c r="R1912" s="1394">
        <f t="shared" si="561"/>
        <v>0</v>
      </c>
      <c r="S1912" s="1394">
        <f>IFERROR(VLOOKUP(M1912,#REF!,6,0),0)</f>
        <v>0</v>
      </c>
      <c r="T1912" s="1394">
        <f t="shared" si="562"/>
        <v>0</v>
      </c>
      <c r="U1912" s="1394">
        <f>IFERROR(VLOOKUP(M1912,#REF!,5,0),0)</f>
        <v>0</v>
      </c>
      <c r="V1912" s="1394">
        <f t="shared" si="563"/>
        <v>0</v>
      </c>
      <c r="W1912" s="1394"/>
    </row>
    <row r="1913" spans="1:24" ht="30" customHeight="1">
      <c r="B1913" s="1407"/>
      <c r="C1913" s="1491" t="s">
        <v>5674</v>
      </c>
      <c r="D1913" s="103">
        <v>1</v>
      </c>
      <c r="E1913" s="103">
        <v>4</v>
      </c>
      <c r="F1913" s="1413">
        <v>2.7850000000000001</v>
      </c>
      <c r="G1913" s="1413">
        <v>0.6</v>
      </c>
      <c r="H1913" s="1414"/>
      <c r="I1913" s="1406">
        <f t="shared" si="564"/>
        <v>6.6840000000000002</v>
      </c>
      <c r="Q1913" s="1394">
        <f>IFERROR(VLOOKUP(M1913,#REF!,3,0),0)</f>
        <v>0</v>
      </c>
      <c r="R1913" s="1394">
        <f t="shared" si="561"/>
        <v>0</v>
      </c>
      <c r="S1913" s="1394">
        <f>IFERROR(VLOOKUP(M1913,#REF!,6,0),0)</f>
        <v>0</v>
      </c>
      <c r="T1913" s="1394">
        <f t="shared" si="562"/>
        <v>0</v>
      </c>
      <c r="U1913" s="1394">
        <f>IFERROR(VLOOKUP(M1913,#REF!,5,0),0)</f>
        <v>0</v>
      </c>
      <c r="V1913" s="1394">
        <f t="shared" si="563"/>
        <v>0</v>
      </c>
      <c r="W1913" s="1394"/>
    </row>
    <row r="1914" spans="1:24" ht="30" customHeight="1">
      <c r="B1914" s="1407"/>
      <c r="C1914" s="1491" t="s">
        <v>5591</v>
      </c>
      <c r="D1914" s="103">
        <v>1</v>
      </c>
      <c r="E1914" s="103">
        <v>4</v>
      </c>
      <c r="F1914" s="1413">
        <v>1.9350000000000001</v>
      </c>
      <c r="G1914" s="1413">
        <v>0.6</v>
      </c>
      <c r="H1914" s="1414"/>
      <c r="I1914" s="1406">
        <f t="shared" si="564"/>
        <v>4.6440000000000001</v>
      </c>
      <c r="Q1914" s="1394">
        <f>IFERROR(VLOOKUP(M1914,#REF!,3,0),0)</f>
        <v>0</v>
      </c>
      <c r="R1914" s="1394">
        <f t="shared" si="561"/>
        <v>0</v>
      </c>
      <c r="S1914" s="1394">
        <f>IFERROR(VLOOKUP(M1914,#REF!,6,0),0)</f>
        <v>0</v>
      </c>
      <c r="T1914" s="1394">
        <f t="shared" si="562"/>
        <v>0</v>
      </c>
      <c r="U1914" s="1394">
        <f>IFERROR(VLOOKUP(M1914,#REF!,5,0),0)</f>
        <v>0</v>
      </c>
      <c r="V1914" s="1394">
        <f t="shared" si="563"/>
        <v>0</v>
      </c>
      <c r="W1914" s="1394"/>
    </row>
    <row r="1915" spans="1:24" ht="30" customHeight="1">
      <c r="B1915" s="1407"/>
      <c r="C1915" s="1491" t="s">
        <v>5678</v>
      </c>
      <c r="D1915" s="103">
        <v>1</v>
      </c>
      <c r="E1915" s="103">
        <v>4</v>
      </c>
      <c r="F1915" s="1413">
        <f>2.32</f>
        <v>2.3199999999999998</v>
      </c>
      <c r="G1915" s="1413">
        <v>0.6</v>
      </c>
      <c r="H1915" s="1414"/>
      <c r="I1915" s="1406">
        <f t="shared" si="564"/>
        <v>5.5679999999999996</v>
      </c>
      <c r="Q1915" s="1394">
        <f>IFERROR(VLOOKUP(M1915,#REF!,3,0),0)</f>
        <v>0</v>
      </c>
      <c r="R1915" s="1394">
        <f t="shared" si="561"/>
        <v>0</v>
      </c>
      <c r="S1915" s="1394">
        <f>IFERROR(VLOOKUP(M1915,#REF!,6,0),0)</f>
        <v>0</v>
      </c>
      <c r="T1915" s="1394">
        <f t="shared" si="562"/>
        <v>0</v>
      </c>
      <c r="U1915" s="1394">
        <f>IFERROR(VLOOKUP(M1915,#REF!,5,0),0)</f>
        <v>0</v>
      </c>
      <c r="V1915" s="1394">
        <f t="shared" si="563"/>
        <v>0</v>
      </c>
      <c r="W1915" s="1394"/>
    </row>
    <row r="1916" spans="1:24" ht="30" customHeight="1">
      <c r="B1916" s="1407"/>
      <c r="C1916" s="1491" t="s">
        <v>5787</v>
      </c>
      <c r="D1916" s="103">
        <v>1</v>
      </c>
      <c r="E1916" s="103">
        <v>4</v>
      </c>
      <c r="F1916" s="1413">
        <v>1.218</v>
      </c>
      <c r="G1916" s="1413">
        <v>0.6</v>
      </c>
      <c r="H1916" s="1414"/>
      <c r="I1916" s="1406">
        <f t="shared" si="564"/>
        <v>2.9232</v>
      </c>
      <c r="Q1916" s="1394">
        <f>IFERROR(VLOOKUP(M1916,#REF!,3,0),0)</f>
        <v>0</v>
      </c>
      <c r="R1916" s="1394">
        <f t="shared" si="561"/>
        <v>0</v>
      </c>
      <c r="S1916" s="1394">
        <f>IFERROR(VLOOKUP(M1916,#REF!,6,0),0)</f>
        <v>0</v>
      </c>
      <c r="T1916" s="1394">
        <f t="shared" si="562"/>
        <v>0</v>
      </c>
      <c r="U1916" s="1394">
        <f>IFERROR(VLOOKUP(M1916,#REF!,5,0),0)</f>
        <v>0</v>
      </c>
      <c r="V1916" s="1394">
        <f t="shared" si="563"/>
        <v>0</v>
      </c>
      <c r="W1916" s="1394"/>
    </row>
    <row r="1917" spans="1:24" s="1394" customFormat="1" ht="30" customHeight="1">
      <c r="B1917" s="1421"/>
      <c r="C1917" s="1422" t="s">
        <v>270</v>
      </c>
      <c r="D1917" s="1389"/>
      <c r="E1917" s="1389"/>
      <c r="F1917" s="1423"/>
      <c r="G1917" s="1423"/>
      <c r="H1917" s="1424"/>
      <c r="I1917" s="1425">
        <f>J1918-J1917</f>
        <v>5.6800000000002626E-2</v>
      </c>
      <c r="J1917" s="1394">
        <f>SUM(I1909:I1916)</f>
        <v>36.943199999999997</v>
      </c>
      <c r="M1917" s="1426"/>
      <c r="Q1917" s="1394">
        <f>IFERROR(VLOOKUP(M1917,#REF!,3,0),0)</f>
        <v>0</v>
      </c>
      <c r="R1917" s="1394">
        <f t="shared" si="561"/>
        <v>0</v>
      </c>
      <c r="S1917" s="1394">
        <f>IFERROR(VLOOKUP(M1917,#REF!,6,0),0)</f>
        <v>0</v>
      </c>
      <c r="T1917" s="1394">
        <f t="shared" si="562"/>
        <v>0</v>
      </c>
      <c r="U1917" s="1394">
        <f>IFERROR(VLOOKUP(M1917,#REF!,5,0),0)</f>
        <v>0</v>
      </c>
      <c r="V1917" s="1394">
        <f t="shared" si="563"/>
        <v>0</v>
      </c>
    </row>
    <row r="1918" spans="1:24" s="1394" customFormat="1" ht="30" customHeight="1">
      <c r="B1918" s="1421"/>
      <c r="C1918" s="1422"/>
      <c r="D1918" s="1389"/>
      <c r="E1918" s="1389"/>
      <c r="F1918" s="1423"/>
      <c r="G1918" s="1423"/>
      <c r="H1918" s="1424"/>
      <c r="I1918" s="1427">
        <f>+J1918</f>
        <v>37</v>
      </c>
      <c r="J1918" s="1394">
        <f>ROUNDUP(J1917,1)</f>
        <v>37</v>
      </c>
      <c r="M1918" s="1426"/>
      <c r="Q1918" s="1394">
        <f>IFERROR(VLOOKUP(M1918,#REF!,3,0),0)</f>
        <v>0</v>
      </c>
      <c r="R1918" s="1394">
        <f t="shared" si="561"/>
        <v>0</v>
      </c>
      <c r="S1918" s="1394">
        <f>IFERROR(VLOOKUP(M1918,#REF!,6,0),0)</f>
        <v>0</v>
      </c>
      <c r="T1918" s="1394">
        <f t="shared" si="562"/>
        <v>0</v>
      </c>
      <c r="U1918" s="1394">
        <f>IFERROR(VLOOKUP(M1918,#REF!,5,0),0)</f>
        <v>0</v>
      </c>
      <c r="V1918" s="1394">
        <f t="shared" si="563"/>
        <v>0</v>
      </c>
    </row>
    <row r="1919" spans="1:24" s="1394" customFormat="1" ht="30" customHeight="1">
      <c r="B1919" s="1421"/>
      <c r="C1919" s="1422"/>
      <c r="D1919" s="1389"/>
      <c r="E1919" s="1389"/>
      <c r="F1919" s="1423"/>
      <c r="G1919" s="1428" t="s">
        <v>11</v>
      </c>
      <c r="H1919" s="1429">
        <f>I1918</f>
        <v>37</v>
      </c>
      <c r="I1919" s="1427" t="s">
        <v>26</v>
      </c>
      <c r="M1919" s="1426" t="str">
        <f>A1908</f>
        <v>c. In Second floor Precast Cupboard slab 20 mm tk.using standardised concrete mix M20 (annexure)</v>
      </c>
      <c r="N1919" s="1426">
        <f>B1908</f>
        <v>0</v>
      </c>
      <c r="O1919" s="1394">
        <f>H1919</f>
        <v>37</v>
      </c>
      <c r="P1919" s="1394" t="str">
        <f>I1919</f>
        <v>Sqm</v>
      </c>
      <c r="Q1919" s="1394">
        <f>IFERROR(VLOOKUP(M1919,#REF!,3,0),0)</f>
        <v>0</v>
      </c>
      <c r="R1919" s="1394">
        <f t="shared" si="561"/>
        <v>0</v>
      </c>
      <c r="S1919" s="1394">
        <f>IFERROR(VLOOKUP(M1919,#REF!,6,0),0)</f>
        <v>0</v>
      </c>
      <c r="T1919" s="1394">
        <f t="shared" si="562"/>
        <v>0</v>
      </c>
      <c r="U1919" s="1394">
        <f>IFERROR(VLOOKUP(M1919,#REF!,5,0),0)</f>
        <v>0</v>
      </c>
      <c r="V1919" s="1394">
        <f t="shared" si="563"/>
        <v>37</v>
      </c>
    </row>
    <row r="1920" spans="1:24" ht="30" customHeight="1">
      <c r="A1920" s="110" t="s">
        <v>971</v>
      </c>
      <c r="B1920" s="1407"/>
      <c r="C1920" s="1678" t="e">
        <f>VLOOKUP(A1920,#REF!,2,0)</f>
        <v>#REF!</v>
      </c>
      <c r="D1920" s="1678"/>
      <c r="E1920" s="1678"/>
      <c r="F1920" s="1678"/>
      <c r="G1920" s="1678"/>
      <c r="H1920" s="1678"/>
      <c r="I1920" s="1406"/>
      <c r="Q1920" s="1394">
        <f>IFERROR(VLOOKUP(M1920,#REF!,3,0),0)</f>
        <v>0</v>
      </c>
      <c r="R1920" s="1394">
        <f t="shared" si="561"/>
        <v>0</v>
      </c>
      <c r="S1920" s="1394">
        <f>IFERROR(VLOOKUP(M1920,#REF!,6,0),0)</f>
        <v>0</v>
      </c>
      <c r="T1920" s="1394">
        <f t="shared" si="562"/>
        <v>0</v>
      </c>
      <c r="U1920" s="1394">
        <f>IFERROR(VLOOKUP(M1920,#REF!,5,0),0)</f>
        <v>0</v>
      </c>
      <c r="V1920" s="1394">
        <f t="shared" si="563"/>
        <v>0</v>
      </c>
      <c r="W1920" s="1394"/>
      <c r="X1920" s="1397"/>
    </row>
    <row r="1921" spans="1:24" ht="30" customHeight="1">
      <c r="B1921" s="1407"/>
      <c r="C1921" s="1491" t="s">
        <v>5643</v>
      </c>
      <c r="D1921" s="103">
        <v>1</v>
      </c>
      <c r="E1921" s="103">
        <v>4</v>
      </c>
      <c r="F1921" s="1413">
        <v>1.65</v>
      </c>
      <c r="G1921" s="1413">
        <v>0.6</v>
      </c>
      <c r="H1921" s="1414"/>
      <c r="I1921" s="1406">
        <f t="shared" ref="I1921:I1929" si="565">PRODUCT(D1921:H1921)</f>
        <v>3.9599999999999995</v>
      </c>
      <c r="Q1921" s="1394">
        <f>IFERROR(VLOOKUP(M1921,#REF!,3,0),0)</f>
        <v>0</v>
      </c>
      <c r="R1921" s="1394">
        <f t="shared" si="561"/>
        <v>0</v>
      </c>
      <c r="S1921" s="1394">
        <f>IFERROR(VLOOKUP(M1921,#REF!,6,0),0)</f>
        <v>0</v>
      </c>
      <c r="T1921" s="1394">
        <f t="shared" si="562"/>
        <v>0</v>
      </c>
      <c r="U1921" s="1394">
        <f>IFERROR(VLOOKUP(M1921,#REF!,5,0),0)</f>
        <v>0</v>
      </c>
      <c r="V1921" s="1394">
        <f t="shared" si="563"/>
        <v>0</v>
      </c>
      <c r="W1921" s="1394"/>
    </row>
    <row r="1922" spans="1:24" ht="30" customHeight="1">
      <c r="B1922" s="1407"/>
      <c r="C1922" s="1491" t="s">
        <v>5593</v>
      </c>
      <c r="D1922" s="103">
        <v>1</v>
      </c>
      <c r="E1922" s="103">
        <v>4</v>
      </c>
      <c r="F1922" s="1413">
        <v>2.0350000000000001</v>
      </c>
      <c r="G1922" s="1413">
        <v>0.6</v>
      </c>
      <c r="H1922" s="1414"/>
      <c r="I1922" s="1406">
        <f t="shared" si="565"/>
        <v>4.8840000000000003</v>
      </c>
      <c r="Q1922" s="1394">
        <f>IFERROR(VLOOKUP(M1922,#REF!,3,0),0)</f>
        <v>0</v>
      </c>
      <c r="R1922" s="1394">
        <f t="shared" si="561"/>
        <v>0</v>
      </c>
      <c r="S1922" s="1394">
        <f>IFERROR(VLOOKUP(M1922,#REF!,6,0),0)</f>
        <v>0</v>
      </c>
      <c r="T1922" s="1394">
        <f t="shared" si="562"/>
        <v>0</v>
      </c>
      <c r="U1922" s="1394">
        <f>IFERROR(VLOOKUP(M1922,#REF!,5,0),0)</f>
        <v>0</v>
      </c>
      <c r="V1922" s="1394">
        <f t="shared" si="563"/>
        <v>0</v>
      </c>
      <c r="W1922" s="1394"/>
    </row>
    <row r="1923" spans="1:24" ht="30" customHeight="1">
      <c r="B1923" s="1407"/>
      <c r="C1923" s="1491" t="s">
        <v>5783</v>
      </c>
      <c r="D1923" s="103">
        <v>1</v>
      </c>
      <c r="E1923" s="103">
        <v>4</v>
      </c>
      <c r="F1923" s="1413">
        <v>1.65</v>
      </c>
      <c r="G1923" s="1413">
        <v>0.6</v>
      </c>
      <c r="H1923" s="1414"/>
      <c r="I1923" s="1406">
        <f t="shared" si="565"/>
        <v>3.9599999999999995</v>
      </c>
      <c r="Q1923" s="1394">
        <f>IFERROR(VLOOKUP(M1923,#REF!,3,0),0)</f>
        <v>0</v>
      </c>
      <c r="R1923" s="1394">
        <f t="shared" si="561"/>
        <v>0</v>
      </c>
      <c r="S1923" s="1394">
        <f>IFERROR(VLOOKUP(M1923,#REF!,6,0),0)</f>
        <v>0</v>
      </c>
      <c r="T1923" s="1394">
        <f t="shared" si="562"/>
        <v>0</v>
      </c>
      <c r="U1923" s="1394">
        <f>IFERROR(VLOOKUP(M1923,#REF!,5,0),0)</f>
        <v>0</v>
      </c>
      <c r="V1923" s="1394">
        <f t="shared" si="563"/>
        <v>0</v>
      </c>
      <c r="W1923" s="1394"/>
    </row>
    <row r="1924" spans="1:24" ht="30" customHeight="1">
      <c r="B1924" s="1407"/>
      <c r="C1924" s="1491" t="s">
        <v>5783</v>
      </c>
      <c r="D1924" s="103">
        <v>1</v>
      </c>
      <c r="E1924" s="103">
        <v>4</v>
      </c>
      <c r="F1924" s="1413">
        <v>1.8</v>
      </c>
      <c r="G1924" s="1413">
        <v>0.6</v>
      </c>
      <c r="H1924" s="1414"/>
      <c r="I1924" s="1406">
        <f t="shared" si="565"/>
        <v>4.32</v>
      </c>
      <c r="Q1924" s="1394">
        <f>IFERROR(VLOOKUP(M1924,#REF!,3,0),0)</f>
        <v>0</v>
      </c>
      <c r="R1924" s="1394">
        <f t="shared" si="561"/>
        <v>0</v>
      </c>
      <c r="S1924" s="1394">
        <f>IFERROR(VLOOKUP(M1924,#REF!,6,0),0)</f>
        <v>0</v>
      </c>
      <c r="T1924" s="1394">
        <f t="shared" si="562"/>
        <v>0</v>
      </c>
      <c r="U1924" s="1394">
        <f>IFERROR(VLOOKUP(M1924,#REF!,5,0),0)</f>
        <v>0</v>
      </c>
      <c r="V1924" s="1394">
        <f t="shared" si="563"/>
        <v>0</v>
      </c>
      <c r="W1924" s="1394"/>
    </row>
    <row r="1925" spans="1:24" ht="30" customHeight="1">
      <c r="B1925" s="1407"/>
      <c r="C1925" s="1491" t="s">
        <v>341</v>
      </c>
      <c r="D1925" s="103">
        <v>1</v>
      </c>
      <c r="E1925" s="103">
        <v>4</v>
      </c>
      <c r="F1925" s="1413">
        <f>3.4+0.9</f>
        <v>4.3</v>
      </c>
      <c r="G1925" s="1413">
        <v>0.6</v>
      </c>
      <c r="H1925" s="1414"/>
      <c r="I1925" s="1406">
        <f t="shared" si="565"/>
        <v>10.319999999999999</v>
      </c>
      <c r="Q1925" s="1394">
        <f>IFERROR(VLOOKUP(M1925,#REF!,3,0),0)</f>
        <v>0</v>
      </c>
      <c r="R1925" s="1394">
        <f t="shared" si="561"/>
        <v>0</v>
      </c>
      <c r="S1925" s="1394">
        <f>IFERROR(VLOOKUP(M1925,#REF!,6,0),0)</f>
        <v>0</v>
      </c>
      <c r="T1925" s="1394">
        <f t="shared" si="562"/>
        <v>0</v>
      </c>
      <c r="U1925" s="1394">
        <f>IFERROR(VLOOKUP(M1925,#REF!,5,0),0)</f>
        <v>0</v>
      </c>
      <c r="V1925" s="1394">
        <f t="shared" si="563"/>
        <v>0</v>
      </c>
      <c r="W1925" s="1394"/>
    </row>
    <row r="1926" spans="1:24" ht="30" customHeight="1">
      <c r="B1926" s="1407"/>
      <c r="C1926" s="1491" t="s">
        <v>5752</v>
      </c>
      <c r="D1926" s="103">
        <v>1</v>
      </c>
      <c r="E1926" s="103">
        <v>4</v>
      </c>
      <c r="F1926" s="1413">
        <v>1.9350000000000001</v>
      </c>
      <c r="G1926" s="1413">
        <v>0.6</v>
      </c>
      <c r="H1926" s="1414"/>
      <c r="I1926" s="1406">
        <f t="shared" si="565"/>
        <v>4.6440000000000001</v>
      </c>
      <c r="Q1926" s="1394">
        <f>IFERROR(VLOOKUP(M1926,#REF!,3,0),0)</f>
        <v>0</v>
      </c>
      <c r="R1926" s="1394">
        <f t="shared" si="561"/>
        <v>0</v>
      </c>
      <c r="S1926" s="1394">
        <f>IFERROR(VLOOKUP(M1926,#REF!,6,0),0)</f>
        <v>0</v>
      </c>
      <c r="T1926" s="1394">
        <f t="shared" si="562"/>
        <v>0</v>
      </c>
      <c r="U1926" s="1394">
        <f>IFERROR(VLOOKUP(M1926,#REF!,5,0),0)</f>
        <v>0</v>
      </c>
      <c r="V1926" s="1394">
        <f t="shared" si="563"/>
        <v>0</v>
      </c>
      <c r="W1926" s="1394"/>
    </row>
    <row r="1927" spans="1:24" ht="30" customHeight="1">
      <c r="B1927" s="1407"/>
      <c r="C1927" s="1491" t="s">
        <v>5643</v>
      </c>
      <c r="D1927" s="103">
        <v>1</v>
      </c>
      <c r="E1927" s="103">
        <v>4</v>
      </c>
      <c r="F1927" s="1413">
        <f>2.32</f>
        <v>2.3199999999999998</v>
      </c>
      <c r="G1927" s="1413">
        <v>0.6</v>
      </c>
      <c r="H1927" s="1414"/>
      <c r="I1927" s="1406">
        <f t="shared" si="565"/>
        <v>5.5679999999999996</v>
      </c>
      <c r="Q1927" s="1394">
        <f>IFERROR(VLOOKUP(M1927,#REF!,3,0),0)</f>
        <v>0</v>
      </c>
      <c r="R1927" s="1394">
        <f t="shared" si="561"/>
        <v>0</v>
      </c>
      <c r="S1927" s="1394">
        <f>IFERROR(VLOOKUP(M1927,#REF!,6,0),0)</f>
        <v>0</v>
      </c>
      <c r="T1927" s="1394">
        <f t="shared" si="562"/>
        <v>0</v>
      </c>
      <c r="U1927" s="1394">
        <f>IFERROR(VLOOKUP(M1927,#REF!,5,0),0)</f>
        <v>0</v>
      </c>
      <c r="V1927" s="1394">
        <f t="shared" si="563"/>
        <v>0</v>
      </c>
      <c r="W1927" s="1394"/>
    </row>
    <row r="1928" spans="1:24" ht="30" customHeight="1">
      <c r="B1928" s="1407"/>
      <c r="C1928" s="1491" t="s">
        <v>5643</v>
      </c>
      <c r="D1928" s="103">
        <v>1</v>
      </c>
      <c r="E1928" s="103">
        <v>4</v>
      </c>
      <c r="F1928" s="1413">
        <v>1.27</v>
      </c>
      <c r="G1928" s="1413">
        <v>0.6</v>
      </c>
      <c r="H1928" s="1414"/>
      <c r="I1928" s="1406">
        <f t="shared" si="565"/>
        <v>3.048</v>
      </c>
      <c r="Q1928" s="1394">
        <f>IFERROR(VLOOKUP(M1928,#REF!,3,0),0)</f>
        <v>0</v>
      </c>
      <c r="R1928" s="1394">
        <f t="shared" si="561"/>
        <v>0</v>
      </c>
      <c r="S1928" s="1394">
        <f>IFERROR(VLOOKUP(M1928,#REF!,6,0),0)</f>
        <v>0</v>
      </c>
      <c r="T1928" s="1394">
        <f t="shared" si="562"/>
        <v>0</v>
      </c>
      <c r="U1928" s="1394">
        <f>IFERROR(VLOOKUP(M1928,#REF!,5,0),0)</f>
        <v>0</v>
      </c>
      <c r="V1928" s="1394">
        <f t="shared" si="563"/>
        <v>0</v>
      </c>
      <c r="W1928" s="1394"/>
    </row>
    <row r="1929" spans="1:24" ht="30" customHeight="1">
      <c r="B1929" s="1407"/>
      <c r="C1929" s="1491" t="s">
        <v>5643</v>
      </c>
      <c r="D1929" s="103">
        <v>1</v>
      </c>
      <c r="E1929" s="103">
        <v>4</v>
      </c>
      <c r="F1929" s="1413">
        <v>1.5</v>
      </c>
      <c r="G1929" s="1413">
        <v>0.6</v>
      </c>
      <c r="H1929" s="1414"/>
      <c r="I1929" s="1406">
        <f t="shared" si="565"/>
        <v>3.5999999999999996</v>
      </c>
      <c r="Q1929" s="1394">
        <f>IFERROR(VLOOKUP(M1929,#REF!,3,0),0)</f>
        <v>0</v>
      </c>
      <c r="R1929" s="1394">
        <f t="shared" si="561"/>
        <v>0</v>
      </c>
      <c r="S1929" s="1394">
        <f>IFERROR(VLOOKUP(M1929,#REF!,6,0),0)</f>
        <v>0</v>
      </c>
      <c r="T1929" s="1394">
        <f t="shared" si="562"/>
        <v>0</v>
      </c>
      <c r="U1929" s="1394">
        <f>IFERROR(VLOOKUP(M1929,#REF!,5,0),0)</f>
        <v>0</v>
      </c>
      <c r="V1929" s="1394">
        <f t="shared" si="563"/>
        <v>0</v>
      </c>
      <c r="W1929" s="1394"/>
    </row>
    <row r="1930" spans="1:24" s="1394" customFormat="1" ht="30" customHeight="1">
      <c r="B1930" s="1421"/>
      <c r="C1930" s="1422" t="s">
        <v>270</v>
      </c>
      <c r="D1930" s="1389"/>
      <c r="E1930" s="1389"/>
      <c r="F1930" s="1423"/>
      <c r="G1930" s="1423"/>
      <c r="H1930" s="1424"/>
      <c r="I1930" s="1425">
        <f>J1931-J1930</f>
        <v>9.6000000000003638E-2</v>
      </c>
      <c r="J1930" s="1394">
        <f>SUM(I1921:I1929)</f>
        <v>44.303999999999995</v>
      </c>
      <c r="M1930" s="1426"/>
      <c r="Q1930" s="1394">
        <f>IFERROR(VLOOKUP(M1930,#REF!,3,0),0)</f>
        <v>0</v>
      </c>
      <c r="R1930" s="1394">
        <f t="shared" si="561"/>
        <v>0</v>
      </c>
      <c r="S1930" s="1394">
        <f>IFERROR(VLOOKUP(M1930,#REF!,6,0),0)</f>
        <v>0</v>
      </c>
      <c r="T1930" s="1394">
        <f t="shared" si="562"/>
        <v>0</v>
      </c>
      <c r="U1930" s="1394">
        <f>IFERROR(VLOOKUP(M1930,#REF!,5,0),0)</f>
        <v>0</v>
      </c>
      <c r="V1930" s="1394">
        <f t="shared" si="563"/>
        <v>0</v>
      </c>
    </row>
    <row r="1931" spans="1:24" s="1394" customFormat="1" ht="30" customHeight="1">
      <c r="B1931" s="1421"/>
      <c r="C1931" s="1422"/>
      <c r="D1931" s="1389"/>
      <c r="E1931" s="1389"/>
      <c r="F1931" s="1423"/>
      <c r="G1931" s="1423"/>
      <c r="H1931" s="1424"/>
      <c r="I1931" s="1427">
        <f>+J1931</f>
        <v>44.4</v>
      </c>
      <c r="J1931" s="1394">
        <f>ROUNDUP(J1930,1)</f>
        <v>44.4</v>
      </c>
      <c r="M1931" s="1426"/>
      <c r="Q1931" s="1394">
        <f>IFERROR(VLOOKUP(M1931,#REF!,3,0),0)</f>
        <v>0</v>
      </c>
      <c r="R1931" s="1394">
        <f t="shared" si="561"/>
        <v>0</v>
      </c>
      <c r="S1931" s="1394">
        <f>IFERROR(VLOOKUP(M1931,#REF!,6,0),0)</f>
        <v>0</v>
      </c>
      <c r="T1931" s="1394">
        <f t="shared" si="562"/>
        <v>0</v>
      </c>
      <c r="U1931" s="1394">
        <f>IFERROR(VLOOKUP(M1931,#REF!,5,0),0)</f>
        <v>0</v>
      </c>
      <c r="V1931" s="1394">
        <f t="shared" si="563"/>
        <v>0</v>
      </c>
    </row>
    <row r="1932" spans="1:24" s="1394" customFormat="1" ht="30" customHeight="1">
      <c r="B1932" s="1421"/>
      <c r="C1932" s="1422"/>
      <c r="D1932" s="1389"/>
      <c r="E1932" s="1389"/>
      <c r="F1932" s="1423"/>
      <c r="G1932" s="1428" t="s">
        <v>11</v>
      </c>
      <c r="H1932" s="1429">
        <f>I1931</f>
        <v>44.4</v>
      </c>
      <c r="I1932" s="1427" t="s">
        <v>26</v>
      </c>
      <c r="M1932" s="1426" t="str">
        <f>A1920</f>
        <v>d. In Third floor Precast Cupboard slab 20 mm tk.using standardised concrete mix M20 (annexure)</v>
      </c>
      <c r="N1932" s="1426">
        <f>B1920</f>
        <v>0</v>
      </c>
      <c r="O1932" s="1394">
        <f>H1932</f>
        <v>44.4</v>
      </c>
      <c r="P1932" s="1394" t="str">
        <f>I1932</f>
        <v>Sqm</v>
      </c>
      <c r="Q1932" s="1394">
        <f>IFERROR(VLOOKUP(M1932,#REF!,3,0),0)</f>
        <v>0</v>
      </c>
      <c r="R1932" s="1394">
        <f t="shared" si="561"/>
        <v>0</v>
      </c>
      <c r="S1932" s="1394">
        <f>IFERROR(VLOOKUP(M1932,#REF!,6,0),0)</f>
        <v>0</v>
      </c>
      <c r="T1932" s="1394">
        <f t="shared" si="562"/>
        <v>0</v>
      </c>
      <c r="U1932" s="1394">
        <f>IFERROR(VLOOKUP(M1932,#REF!,5,0),0)</f>
        <v>0</v>
      </c>
      <c r="V1932" s="1394">
        <f t="shared" si="563"/>
        <v>44.4</v>
      </c>
    </row>
    <row r="1933" spans="1:24" ht="30" customHeight="1">
      <c r="A1933" s="110" t="s">
        <v>972</v>
      </c>
      <c r="B1933" s="1407"/>
      <c r="C1933" s="1678" t="e">
        <f>VLOOKUP(A1933,#REF!,2,0)</f>
        <v>#REF!</v>
      </c>
      <c r="D1933" s="1678"/>
      <c r="E1933" s="1678"/>
      <c r="F1933" s="1678"/>
      <c r="G1933" s="1678"/>
      <c r="H1933" s="1678"/>
      <c r="I1933" s="1406"/>
      <c r="Q1933" s="1394">
        <f>IFERROR(VLOOKUP(M1933,#REF!,3,0),0)</f>
        <v>0</v>
      </c>
      <c r="R1933" s="1394">
        <f t="shared" si="561"/>
        <v>0</v>
      </c>
      <c r="S1933" s="1394">
        <f>IFERROR(VLOOKUP(M1933,#REF!,6,0),0)</f>
        <v>0</v>
      </c>
      <c r="T1933" s="1394">
        <f t="shared" si="562"/>
        <v>0</v>
      </c>
      <c r="U1933" s="1394">
        <f>IFERROR(VLOOKUP(M1933,#REF!,5,0),0)</f>
        <v>0</v>
      </c>
      <c r="V1933" s="1394">
        <f t="shared" si="563"/>
        <v>0</v>
      </c>
      <c r="W1933" s="1394"/>
      <c r="X1933" s="1397"/>
    </row>
    <row r="1934" spans="1:24" ht="30" customHeight="1">
      <c r="B1934" s="1407"/>
      <c r="C1934" s="1491" t="s">
        <v>347</v>
      </c>
      <c r="D1934" s="103">
        <f>D1921</f>
        <v>1</v>
      </c>
      <c r="E1934" s="103">
        <v>4</v>
      </c>
      <c r="F1934" s="1413">
        <v>1.2</v>
      </c>
      <c r="G1934" s="1413">
        <v>0.6</v>
      </c>
      <c r="H1934" s="103"/>
      <c r="I1934" s="1406">
        <f>PRODUCT(D1934:H1934)</f>
        <v>2.88</v>
      </c>
      <c r="Q1934" s="1394">
        <f>IFERROR(VLOOKUP(M1934,#REF!,3,0),0)</f>
        <v>0</v>
      </c>
      <c r="R1934" s="1394">
        <f t="shared" si="561"/>
        <v>0</v>
      </c>
      <c r="S1934" s="1394">
        <f>IFERROR(VLOOKUP(M1934,#REF!,6,0),0)</f>
        <v>0</v>
      </c>
      <c r="T1934" s="1394">
        <f t="shared" si="562"/>
        <v>0</v>
      </c>
      <c r="U1934" s="1394">
        <f>IFERROR(VLOOKUP(M1934,#REF!,5,0),0)</f>
        <v>0</v>
      </c>
      <c r="V1934" s="1394">
        <f t="shared" si="563"/>
        <v>0</v>
      </c>
      <c r="W1934" s="1394"/>
    </row>
    <row r="1935" spans="1:24" s="1394" customFormat="1" ht="30" customHeight="1">
      <c r="B1935" s="1421"/>
      <c r="C1935" s="1422" t="s">
        <v>270</v>
      </c>
      <c r="D1935" s="1389"/>
      <c r="E1935" s="1389"/>
      <c r="F1935" s="1423"/>
      <c r="G1935" s="1423"/>
      <c r="H1935" s="1424"/>
      <c r="I1935" s="1425">
        <f>J1936-J1935</f>
        <v>2.0000000000000018E-2</v>
      </c>
      <c r="J1935" s="1394">
        <f>SUM(I1934:I1934)</f>
        <v>2.88</v>
      </c>
      <c r="M1935" s="1426"/>
      <c r="Q1935" s="1394">
        <f>IFERROR(VLOOKUP(M1935,#REF!,3,0),0)</f>
        <v>0</v>
      </c>
      <c r="R1935" s="1394">
        <f t="shared" si="561"/>
        <v>0</v>
      </c>
      <c r="S1935" s="1394">
        <f>IFERROR(VLOOKUP(M1935,#REF!,6,0),0)</f>
        <v>0</v>
      </c>
      <c r="T1935" s="1394">
        <f t="shared" si="562"/>
        <v>0</v>
      </c>
      <c r="U1935" s="1394">
        <f>IFERROR(VLOOKUP(M1935,#REF!,5,0),0)</f>
        <v>0</v>
      </c>
      <c r="V1935" s="1394">
        <f t="shared" si="563"/>
        <v>0</v>
      </c>
    </row>
    <row r="1936" spans="1:24" s="1394" customFormat="1" ht="30" customHeight="1">
      <c r="B1936" s="1421"/>
      <c r="C1936" s="1422"/>
      <c r="D1936" s="1389"/>
      <c r="E1936" s="1389"/>
      <c r="F1936" s="1423"/>
      <c r="G1936" s="1423"/>
      <c r="H1936" s="1424"/>
      <c r="I1936" s="1427">
        <f>+J1936</f>
        <v>2.9</v>
      </c>
      <c r="J1936" s="1394">
        <f>ROUNDUP(J1935,1)</f>
        <v>2.9</v>
      </c>
      <c r="M1936" s="1426"/>
      <c r="Q1936" s="1394">
        <f>IFERROR(VLOOKUP(M1936,#REF!,3,0),0)</f>
        <v>0</v>
      </c>
      <c r="R1936" s="1394">
        <f t="shared" si="561"/>
        <v>0</v>
      </c>
      <c r="S1936" s="1394">
        <f>IFERROR(VLOOKUP(M1936,#REF!,6,0),0)</f>
        <v>0</v>
      </c>
      <c r="T1936" s="1394">
        <f t="shared" si="562"/>
        <v>0</v>
      </c>
      <c r="U1936" s="1394">
        <f>IFERROR(VLOOKUP(M1936,#REF!,5,0),0)</f>
        <v>0</v>
      </c>
      <c r="V1936" s="1394">
        <f t="shared" si="563"/>
        <v>0</v>
      </c>
    </row>
    <row r="1937" spans="1:24" s="1394" customFormat="1" ht="30" customHeight="1">
      <c r="B1937" s="1421"/>
      <c r="C1937" s="1422"/>
      <c r="D1937" s="1389"/>
      <c r="E1937" s="1389"/>
      <c r="F1937" s="1423"/>
      <c r="G1937" s="1428" t="s">
        <v>11</v>
      </c>
      <c r="H1937" s="1429">
        <f>I1936</f>
        <v>2.9</v>
      </c>
      <c r="I1937" s="1427" t="s">
        <v>26</v>
      </c>
      <c r="M1937" s="1426" t="str">
        <f>A1933</f>
        <v>e.  In Fourth floor Precast Cupboard slab 20 mm tk.using standardised concrete mix M20 (annexure)</v>
      </c>
      <c r="N1937" s="1426">
        <f>B1933</f>
        <v>0</v>
      </c>
      <c r="O1937" s="1394">
        <f>H1937</f>
        <v>2.9</v>
      </c>
      <c r="P1937" s="1394" t="str">
        <f>I1937</f>
        <v>Sqm</v>
      </c>
      <c r="Q1937" s="1394">
        <f>IFERROR(VLOOKUP(M1937,#REF!,3,0),0)</f>
        <v>0</v>
      </c>
      <c r="R1937" s="1394">
        <f t="shared" si="561"/>
        <v>0</v>
      </c>
      <c r="S1937" s="1394">
        <f>IFERROR(VLOOKUP(M1937,#REF!,6,0),0)</f>
        <v>0</v>
      </c>
      <c r="T1937" s="1394">
        <f t="shared" si="562"/>
        <v>0</v>
      </c>
      <c r="U1937" s="1394">
        <f>IFERROR(VLOOKUP(M1937,#REF!,5,0),0)</f>
        <v>0</v>
      </c>
      <c r="V1937" s="1394">
        <f t="shared" si="563"/>
        <v>2.9</v>
      </c>
    </row>
    <row r="1938" spans="1:24" ht="105" customHeight="1">
      <c r="A1938" s="110" t="s">
        <v>363</v>
      </c>
      <c r="B1938" s="1405">
        <v>21.2</v>
      </c>
      <c r="C1938" s="1678" t="e">
        <f>VLOOKUP(A1938,#REF!,2,0)</f>
        <v>#REF!</v>
      </c>
      <c r="D1938" s="1678"/>
      <c r="E1938" s="1678"/>
      <c r="F1938" s="1678"/>
      <c r="G1938" s="1678"/>
      <c r="H1938" s="1678"/>
      <c r="I1938" s="1479"/>
      <c r="Q1938" s="1394">
        <f>IFERROR(VLOOKUP(M1938,#REF!,3,0),0)</f>
        <v>0</v>
      </c>
      <c r="R1938" s="1394">
        <f t="shared" si="561"/>
        <v>0</v>
      </c>
      <c r="S1938" s="1394">
        <f>IFERROR(VLOOKUP(M1938,#REF!,6,0),0)</f>
        <v>0</v>
      </c>
      <c r="T1938" s="1394">
        <f t="shared" si="562"/>
        <v>0</v>
      </c>
      <c r="U1938" s="1394">
        <f>IFERROR(VLOOKUP(M1938,#REF!,5,0),0)</f>
        <v>0</v>
      </c>
      <c r="V1938" s="1394">
        <f t="shared" si="563"/>
        <v>0</v>
      </c>
      <c r="W1938" s="1394"/>
      <c r="X1938" s="1397"/>
    </row>
    <row r="1939" spans="1:24" ht="30" customHeight="1">
      <c r="A1939" s="110" t="s">
        <v>364</v>
      </c>
      <c r="B1939" s="1405"/>
      <c r="C1939" s="1678" t="e">
        <f>VLOOKUP(A1939,#REF!,2,0)</f>
        <v>#REF!</v>
      </c>
      <c r="D1939" s="1678"/>
      <c r="E1939" s="1678"/>
      <c r="F1939" s="1678"/>
      <c r="G1939" s="1678"/>
      <c r="H1939" s="1678"/>
      <c r="I1939" s="1479"/>
      <c r="Q1939" s="1394">
        <f>IFERROR(VLOOKUP(M1939,#REF!,3,0),0)</f>
        <v>0</v>
      </c>
      <c r="R1939" s="1394">
        <f t="shared" si="561"/>
        <v>0</v>
      </c>
      <c r="S1939" s="1394">
        <f>IFERROR(VLOOKUP(M1939,#REF!,6,0),0)</f>
        <v>0</v>
      </c>
      <c r="T1939" s="1394">
        <f t="shared" si="562"/>
        <v>0</v>
      </c>
      <c r="U1939" s="1394">
        <f>IFERROR(VLOOKUP(M1939,#REF!,5,0),0)</f>
        <v>0</v>
      </c>
      <c r="V1939" s="1394">
        <f t="shared" si="563"/>
        <v>0</v>
      </c>
      <c r="W1939" s="1394"/>
      <c r="X1939" s="1397"/>
    </row>
    <row r="1940" spans="1:24" ht="30" customHeight="1">
      <c r="B1940" s="1405"/>
      <c r="C1940" s="1492" t="s">
        <v>5788</v>
      </c>
      <c r="D1940" s="1492"/>
      <c r="E1940" s="1492"/>
      <c r="F1940" s="1492"/>
      <c r="G1940" s="1493"/>
      <c r="H1940" s="1492"/>
      <c r="I1940" s="1479"/>
      <c r="Q1940" s="1394">
        <f>IFERROR(VLOOKUP(M1940,#REF!,3,0),0)</f>
        <v>0</v>
      </c>
      <c r="R1940" s="1394">
        <f t="shared" si="561"/>
        <v>0</v>
      </c>
      <c r="S1940" s="1394">
        <f>IFERROR(VLOOKUP(M1940,#REF!,6,0),0)</f>
        <v>0</v>
      </c>
      <c r="T1940" s="1394">
        <f t="shared" si="562"/>
        <v>0</v>
      </c>
      <c r="U1940" s="1394">
        <f>IFERROR(VLOOKUP(M1940,#REF!,5,0),0)</f>
        <v>0</v>
      </c>
      <c r="V1940" s="1394">
        <f t="shared" si="563"/>
        <v>0</v>
      </c>
      <c r="W1940" s="1394"/>
      <c r="X1940" s="1397"/>
    </row>
    <row r="1941" spans="1:24" ht="30" customHeight="1">
      <c r="B1941" s="1407"/>
      <c r="C1941" s="1494" t="s">
        <v>189</v>
      </c>
      <c r="D1941" s="68">
        <v>2</v>
      </c>
      <c r="E1941" s="68">
        <f>VLOOKUP(C1941,Sheet1!$I$7:$R$39,10,0)</f>
        <v>1</v>
      </c>
      <c r="F1941" s="1495">
        <v>0.15</v>
      </c>
      <c r="G1941" s="1495">
        <v>0.1</v>
      </c>
      <c r="H1941" s="69">
        <f>VLOOKUP(C1941,Sheet1!$I$7:$R$39,3,0)</f>
        <v>2.4</v>
      </c>
      <c r="I1941" s="1496">
        <f t="shared" ref="I1941:I1949" si="566">PRODUCT(D1941:H1941)</f>
        <v>7.1999999999999995E-2</v>
      </c>
      <c r="K1941" s="110">
        <f>VLOOKUP(C1941,Sheet1!$I$7:$R$39,2,0)</f>
        <v>1.8</v>
      </c>
      <c r="L1941" s="110">
        <f>VLOOKUP(C1941,Sheet1!$I$7:$R$39,3,0)</f>
        <v>2.4</v>
      </c>
      <c r="Q1941" s="1394">
        <f>IFERROR(VLOOKUP(M1941,#REF!,3,0),0)</f>
        <v>0</v>
      </c>
      <c r="R1941" s="1394">
        <f t="shared" si="561"/>
        <v>0</v>
      </c>
      <c r="S1941" s="1394">
        <f>IFERROR(VLOOKUP(M1941,#REF!,6,0),0)</f>
        <v>0</v>
      </c>
      <c r="T1941" s="1394">
        <f t="shared" si="562"/>
        <v>0</v>
      </c>
      <c r="U1941" s="1394">
        <f>IFERROR(VLOOKUP(M1941,#REF!,5,0),0)</f>
        <v>0</v>
      </c>
      <c r="V1941" s="1394">
        <f t="shared" si="563"/>
        <v>0</v>
      </c>
      <c r="W1941" s="1394"/>
    </row>
    <row r="1942" spans="1:24" ht="30" customHeight="1">
      <c r="B1942" s="1407"/>
      <c r="C1942" s="1497" t="s">
        <v>5507</v>
      </c>
      <c r="D1942" s="68">
        <v>2</v>
      </c>
      <c r="E1942" s="68">
        <f>VLOOKUP(C1942,Sheet1!$I$7:$R$39,10,0)</f>
        <v>4</v>
      </c>
      <c r="F1942" s="1495">
        <v>0.15</v>
      </c>
      <c r="G1942" s="1495">
        <v>0.1</v>
      </c>
      <c r="H1942" s="69">
        <f>VLOOKUP(C1942,Sheet1!$I$7:$R$39,3,0)</f>
        <v>2.1</v>
      </c>
      <c r="I1942" s="1496">
        <f t="shared" si="566"/>
        <v>0.252</v>
      </c>
      <c r="K1942" s="110">
        <f>VLOOKUP(C1942,Sheet1!$I$7:$R$39,2,0)</f>
        <v>1.8</v>
      </c>
      <c r="L1942" s="110">
        <f>VLOOKUP(C1942,Sheet1!$I$7:$R$39,3,0)</f>
        <v>2.1</v>
      </c>
      <c r="Q1942" s="1394">
        <f>IFERROR(VLOOKUP(M1942,#REF!,3,0),0)</f>
        <v>0</v>
      </c>
      <c r="R1942" s="1394">
        <f t="shared" si="561"/>
        <v>0</v>
      </c>
      <c r="S1942" s="1394">
        <f>IFERROR(VLOOKUP(M1942,#REF!,6,0),0)</f>
        <v>0</v>
      </c>
      <c r="T1942" s="1394">
        <f t="shared" si="562"/>
        <v>0</v>
      </c>
      <c r="U1942" s="1394">
        <f>IFERROR(VLOOKUP(M1942,#REF!,5,0),0)</f>
        <v>0</v>
      </c>
      <c r="V1942" s="1394">
        <f t="shared" si="563"/>
        <v>0</v>
      </c>
      <c r="W1942" s="1394"/>
    </row>
    <row r="1943" spans="1:24" ht="30" customHeight="1">
      <c r="B1943" s="1407"/>
      <c r="C1943" s="1497" t="s">
        <v>5508</v>
      </c>
      <c r="D1943" s="68">
        <v>2</v>
      </c>
      <c r="E1943" s="68">
        <f>VLOOKUP(C1943,Sheet1!$I$7:$R$39,10,0)</f>
        <v>1</v>
      </c>
      <c r="F1943" s="1495">
        <v>0.1</v>
      </c>
      <c r="G1943" s="1495">
        <v>7.4999999999999997E-2</v>
      </c>
      <c r="H1943" s="69">
        <f>VLOOKUP(C1943,Sheet1!$I$7:$R$39,3,0)</f>
        <v>2.1</v>
      </c>
      <c r="I1943" s="1496">
        <f t="shared" si="566"/>
        <v>3.15E-2</v>
      </c>
      <c r="K1943" s="110">
        <f>VLOOKUP(C1943,Sheet1!$I$7:$R$39,2,0)</f>
        <v>1</v>
      </c>
      <c r="L1943" s="110">
        <f>VLOOKUP(C1943,Sheet1!$I$7:$R$39,3,0)</f>
        <v>2.1</v>
      </c>
      <c r="Q1943" s="1394">
        <f>IFERROR(VLOOKUP(M1943,#REF!,3,0),0)</f>
        <v>0</v>
      </c>
      <c r="R1943" s="1394">
        <f t="shared" si="561"/>
        <v>0</v>
      </c>
      <c r="S1943" s="1394">
        <f>IFERROR(VLOOKUP(M1943,#REF!,6,0),0)</f>
        <v>0</v>
      </c>
      <c r="T1943" s="1394">
        <f t="shared" si="562"/>
        <v>0</v>
      </c>
      <c r="U1943" s="1394">
        <f>IFERROR(VLOOKUP(M1943,#REF!,5,0),0)</f>
        <v>0</v>
      </c>
      <c r="V1943" s="1394">
        <f t="shared" si="563"/>
        <v>0</v>
      </c>
      <c r="W1943" s="1394"/>
    </row>
    <row r="1944" spans="1:24" ht="30" customHeight="1">
      <c r="B1944" s="1407"/>
      <c r="C1944" s="1497" t="s">
        <v>5509</v>
      </c>
      <c r="D1944" s="68">
        <v>2</v>
      </c>
      <c r="E1944" s="68">
        <f>VLOOKUP(C1944,Sheet1!$I$7:$R$39,10,0)</f>
        <v>4</v>
      </c>
      <c r="F1944" s="1495">
        <v>0.1</v>
      </c>
      <c r="G1944" s="1495">
        <v>7.4999999999999997E-2</v>
      </c>
      <c r="H1944" s="69">
        <f>VLOOKUP(C1944,Sheet1!$I$7:$R$39,3,0)</f>
        <v>2.1</v>
      </c>
      <c r="I1944" s="1496">
        <f t="shared" si="566"/>
        <v>0.126</v>
      </c>
      <c r="K1944" s="110">
        <f>VLOOKUP(C1944,Sheet1!$I$7:$R$39,2,0)</f>
        <v>0.75</v>
      </c>
      <c r="L1944" s="110">
        <f>VLOOKUP(C1944,Sheet1!$I$7:$R$39,3,0)</f>
        <v>2.1</v>
      </c>
      <c r="Q1944" s="1394">
        <f>IFERROR(VLOOKUP(M1944,#REF!,3,0),0)</f>
        <v>0</v>
      </c>
      <c r="R1944" s="1394">
        <f t="shared" si="561"/>
        <v>0</v>
      </c>
      <c r="S1944" s="1394">
        <f>IFERROR(VLOOKUP(M1944,#REF!,6,0),0)</f>
        <v>0</v>
      </c>
      <c r="T1944" s="1394">
        <f t="shared" si="562"/>
        <v>0</v>
      </c>
      <c r="U1944" s="1394">
        <f>IFERROR(VLOOKUP(M1944,#REF!,5,0),0)</f>
        <v>0</v>
      </c>
      <c r="V1944" s="1394">
        <f t="shared" si="563"/>
        <v>0</v>
      </c>
      <c r="W1944" s="1394"/>
    </row>
    <row r="1945" spans="1:24" ht="30" customHeight="1">
      <c r="B1945" s="1407"/>
      <c r="C1945" s="1494" t="s">
        <v>25</v>
      </c>
      <c r="D1945" s="68">
        <v>2</v>
      </c>
      <c r="E1945" s="68">
        <f>VLOOKUP(C1945,Sheet1!$I$7:$R$39,10,0)</f>
        <v>16</v>
      </c>
      <c r="F1945" s="1495">
        <v>0.1</v>
      </c>
      <c r="G1945" s="1495">
        <v>7.4999999999999997E-2</v>
      </c>
      <c r="H1945" s="69">
        <f>VLOOKUP(C1945,Sheet1!$I$7:$R$39,3,0)</f>
        <v>2.1</v>
      </c>
      <c r="I1945" s="1496">
        <f t="shared" si="566"/>
        <v>0.504</v>
      </c>
      <c r="K1945" s="110">
        <f>VLOOKUP(C1945,Sheet1!$I$7:$R$39,2,0)</f>
        <v>1</v>
      </c>
      <c r="L1945" s="110">
        <f>VLOOKUP(C1945,Sheet1!$I$7:$R$39,3,0)</f>
        <v>2.1</v>
      </c>
      <c r="M1945" s="110"/>
      <c r="Q1945" s="1394">
        <f>IFERROR(VLOOKUP(M1945,#REF!,3,0),0)</f>
        <v>0</v>
      </c>
      <c r="R1945" s="1394">
        <f t="shared" si="561"/>
        <v>0</v>
      </c>
      <c r="S1945" s="1394">
        <f>IFERROR(VLOOKUP(M1945,#REF!,6,0),0)</f>
        <v>0</v>
      </c>
      <c r="T1945" s="1394">
        <f t="shared" si="562"/>
        <v>0</v>
      </c>
      <c r="U1945" s="1394">
        <f>IFERROR(VLOOKUP(M1945,#REF!,5,0),0)</f>
        <v>0</v>
      </c>
      <c r="V1945" s="1394">
        <f t="shared" si="563"/>
        <v>0</v>
      </c>
      <c r="W1945" s="1394"/>
    </row>
    <row r="1946" spans="1:24" ht="30" customHeight="1">
      <c r="B1946" s="1407"/>
      <c r="C1946" s="1497" t="s">
        <v>342</v>
      </c>
      <c r="D1946" s="68">
        <v>2</v>
      </c>
      <c r="E1946" s="68">
        <f>VLOOKUP(C1946,Sheet1!$I$7:$R$39,10,0)</f>
        <v>1</v>
      </c>
      <c r="F1946" s="1495">
        <v>0.1</v>
      </c>
      <c r="G1946" s="1495">
        <v>7.4999999999999997E-2</v>
      </c>
      <c r="H1946" s="69">
        <f>VLOOKUP(C1946,Sheet1!$I$7:$R$39,3,0)</f>
        <v>2.1</v>
      </c>
      <c r="I1946" s="1496">
        <f t="shared" si="566"/>
        <v>3.15E-2</v>
      </c>
      <c r="K1946" s="110">
        <f>VLOOKUP(C1946,Sheet1!$I$7:$R$39,2,0)</f>
        <v>1</v>
      </c>
      <c r="L1946" s="110">
        <f>VLOOKUP(C1946,Sheet1!$I$7:$R$39,3,0)</f>
        <v>2.1</v>
      </c>
      <c r="M1946" s="110"/>
      <c r="Q1946" s="1394">
        <f>IFERROR(VLOOKUP(M1946,#REF!,3,0),0)</f>
        <v>0</v>
      </c>
      <c r="R1946" s="1394">
        <f t="shared" si="561"/>
        <v>0</v>
      </c>
      <c r="S1946" s="1394">
        <f>IFERROR(VLOOKUP(M1946,#REF!,6,0),0)</f>
        <v>0</v>
      </c>
      <c r="T1946" s="1394">
        <f t="shared" si="562"/>
        <v>0</v>
      </c>
      <c r="U1946" s="1394">
        <f>IFERROR(VLOOKUP(M1946,#REF!,5,0),0)</f>
        <v>0</v>
      </c>
      <c r="V1946" s="1394">
        <f t="shared" si="563"/>
        <v>0</v>
      </c>
      <c r="W1946" s="1394"/>
    </row>
    <row r="1947" spans="1:24" ht="30" customHeight="1">
      <c r="B1947" s="1407"/>
      <c r="C1947" s="1497" t="s">
        <v>193</v>
      </c>
      <c r="D1947" s="68">
        <v>2</v>
      </c>
      <c r="E1947" s="68">
        <f>VLOOKUP(C1947,Sheet1!$I$7:$R$39,10,0)</f>
        <v>4</v>
      </c>
      <c r="F1947" s="1495">
        <v>0.1</v>
      </c>
      <c r="G1947" s="1495">
        <v>7.4999999999999997E-2</v>
      </c>
      <c r="H1947" s="69">
        <f>VLOOKUP(C1947,Sheet1!$I$7:$R$39,3,0)</f>
        <v>2.1</v>
      </c>
      <c r="I1947" s="1496">
        <f t="shared" si="566"/>
        <v>0.126</v>
      </c>
      <c r="K1947" s="110">
        <f>VLOOKUP(C1947,Sheet1!$I$7:$R$39,2,0)</f>
        <v>0.9</v>
      </c>
      <c r="L1947" s="110">
        <f>VLOOKUP(C1947,Sheet1!$I$7:$R$39,3,0)</f>
        <v>2.1</v>
      </c>
      <c r="M1947" s="110"/>
      <c r="Q1947" s="1394">
        <f>IFERROR(VLOOKUP(M1947,#REF!,3,0),0)</f>
        <v>0</v>
      </c>
      <c r="R1947" s="1394">
        <f t="shared" si="561"/>
        <v>0</v>
      </c>
      <c r="S1947" s="1394">
        <f>IFERROR(VLOOKUP(M1947,#REF!,6,0),0)</f>
        <v>0</v>
      </c>
      <c r="T1947" s="1394">
        <f t="shared" si="562"/>
        <v>0</v>
      </c>
      <c r="U1947" s="1394">
        <f>IFERROR(VLOOKUP(M1947,#REF!,5,0),0)</f>
        <v>0</v>
      </c>
      <c r="V1947" s="1394">
        <f t="shared" si="563"/>
        <v>0</v>
      </c>
      <c r="W1947" s="1394"/>
    </row>
    <row r="1948" spans="1:24" ht="30" customHeight="1">
      <c r="B1948" s="1407"/>
      <c r="C1948" s="1497" t="s">
        <v>5517</v>
      </c>
      <c r="D1948" s="68">
        <v>2</v>
      </c>
      <c r="E1948" s="68">
        <f>VLOOKUP(C1948,Sheet1!$I$7:$R$39,10,0)</f>
        <v>1</v>
      </c>
      <c r="F1948" s="1495">
        <v>0.1</v>
      </c>
      <c r="G1948" s="1495">
        <v>7.4999999999999997E-2</v>
      </c>
      <c r="H1948" s="69">
        <f>VLOOKUP(C1948,Sheet1!$I$7:$R$39,3,0)</f>
        <v>2.1</v>
      </c>
      <c r="I1948" s="1496">
        <f t="shared" si="566"/>
        <v>3.15E-2</v>
      </c>
      <c r="K1948" s="110">
        <f>VLOOKUP(C1948,Sheet1!$I$7:$R$39,2,0)</f>
        <v>1</v>
      </c>
      <c r="L1948" s="110">
        <f>VLOOKUP(C1948,Sheet1!$I$7:$R$39,3,0)</f>
        <v>2.1</v>
      </c>
      <c r="M1948" s="110"/>
      <c r="Q1948" s="1394">
        <f>IFERROR(VLOOKUP(M1948,#REF!,3,0),0)</f>
        <v>0</v>
      </c>
      <c r="R1948" s="1394">
        <f t="shared" si="561"/>
        <v>0</v>
      </c>
      <c r="S1948" s="1394">
        <f>IFERROR(VLOOKUP(M1948,#REF!,6,0),0)</f>
        <v>0</v>
      </c>
      <c r="T1948" s="1394">
        <f t="shared" si="562"/>
        <v>0</v>
      </c>
      <c r="U1948" s="1394">
        <f>IFERROR(VLOOKUP(M1948,#REF!,5,0),0)</f>
        <v>0</v>
      </c>
      <c r="V1948" s="1394">
        <f t="shared" si="563"/>
        <v>0</v>
      </c>
      <c r="W1948" s="1394"/>
    </row>
    <row r="1949" spans="1:24" ht="30" customHeight="1">
      <c r="B1949" s="1407"/>
      <c r="C1949" s="1497" t="s">
        <v>5577</v>
      </c>
      <c r="D1949" s="68">
        <v>2</v>
      </c>
      <c r="E1949" s="68">
        <f>VLOOKUP(C1949,Sheet1!$I$7:$R$39,10,0)</f>
        <v>1</v>
      </c>
      <c r="F1949" s="1495">
        <v>0.1</v>
      </c>
      <c r="G1949" s="1495">
        <v>7.4999999999999997E-2</v>
      </c>
      <c r="H1949" s="69">
        <f>VLOOKUP(C1949,Sheet1!$I$7:$R$39,3,0)</f>
        <v>2.1</v>
      </c>
      <c r="I1949" s="1496">
        <f t="shared" si="566"/>
        <v>3.15E-2</v>
      </c>
      <c r="K1949" s="110">
        <f>VLOOKUP(C1949,Sheet1!$I$7:$R$39,2,0)</f>
        <v>0.9</v>
      </c>
      <c r="L1949" s="110">
        <f>VLOOKUP(C1949,Sheet1!$I$7:$R$39,3,0)</f>
        <v>2.1</v>
      </c>
      <c r="M1949" s="110"/>
      <c r="Q1949" s="1394">
        <f>IFERROR(VLOOKUP(M1949,#REF!,3,0),0)</f>
        <v>0</v>
      </c>
      <c r="R1949" s="1394">
        <f t="shared" si="561"/>
        <v>0</v>
      </c>
      <c r="S1949" s="1394">
        <f>IFERROR(VLOOKUP(M1949,#REF!,6,0),0)</f>
        <v>0</v>
      </c>
      <c r="T1949" s="1394">
        <f t="shared" si="562"/>
        <v>0</v>
      </c>
      <c r="U1949" s="1394">
        <f>IFERROR(VLOOKUP(M1949,#REF!,5,0),0)</f>
        <v>0</v>
      </c>
      <c r="V1949" s="1394">
        <f t="shared" si="563"/>
        <v>0</v>
      </c>
      <c r="W1949" s="1394"/>
    </row>
    <row r="1950" spans="1:24" ht="30" customHeight="1">
      <c r="B1950" s="1405"/>
      <c r="C1950" s="1492" t="s">
        <v>5789</v>
      </c>
      <c r="D1950" s="1492"/>
      <c r="E1950" s="1492"/>
      <c r="F1950" s="1492"/>
      <c r="G1950" s="1493"/>
      <c r="H1950" s="1492"/>
      <c r="I1950" s="1498"/>
      <c r="Q1950" s="1394">
        <f>IFERROR(VLOOKUP(M1950,#REF!,3,0),0)</f>
        <v>0</v>
      </c>
      <c r="R1950" s="1394">
        <f t="shared" si="561"/>
        <v>0</v>
      </c>
      <c r="S1950" s="1394">
        <f>IFERROR(VLOOKUP(M1950,#REF!,6,0),0)</f>
        <v>0</v>
      </c>
      <c r="T1950" s="1394">
        <f t="shared" si="562"/>
        <v>0</v>
      </c>
      <c r="U1950" s="1394">
        <f>IFERROR(VLOOKUP(M1950,#REF!,5,0),0)</f>
        <v>0</v>
      </c>
      <c r="V1950" s="1394">
        <f t="shared" si="563"/>
        <v>0</v>
      </c>
      <c r="W1950" s="1394"/>
      <c r="X1950" s="1397"/>
    </row>
    <row r="1951" spans="1:24" ht="30" customHeight="1">
      <c r="B1951" s="1407"/>
      <c r="C1951" s="1497" t="s">
        <v>5513</v>
      </c>
      <c r="D1951" s="68">
        <v>2</v>
      </c>
      <c r="E1951" s="68">
        <f>VLOOKUP(C1951,Sheet1!$I$7:$R$39,10,0)</f>
        <v>3</v>
      </c>
      <c r="F1951" s="1495">
        <v>0.1</v>
      </c>
      <c r="G1951" s="1495">
        <v>0.05</v>
      </c>
      <c r="H1951" s="69">
        <f>VLOOKUP(C1951,Sheet1!$I$7:$R$39,2,0)</f>
        <v>2</v>
      </c>
      <c r="I1951" s="1496">
        <f>PRODUCT(D1951:H1951)</f>
        <v>6.0000000000000012E-2</v>
      </c>
      <c r="Q1951" s="1394">
        <f>IFERROR(VLOOKUP(M1951,#REF!,3,0),0)</f>
        <v>0</v>
      </c>
      <c r="R1951" s="1394">
        <f t="shared" si="561"/>
        <v>0</v>
      </c>
      <c r="S1951" s="1394">
        <f>IFERROR(VLOOKUP(M1951,#REF!,6,0),0)</f>
        <v>0</v>
      </c>
      <c r="T1951" s="1394">
        <f t="shared" si="562"/>
        <v>0</v>
      </c>
      <c r="U1951" s="1394">
        <f>IFERROR(VLOOKUP(M1951,#REF!,5,0),0)</f>
        <v>0</v>
      </c>
      <c r="V1951" s="1394">
        <f t="shared" si="563"/>
        <v>0</v>
      </c>
      <c r="W1951" s="1394"/>
    </row>
    <row r="1952" spans="1:24" ht="30" customHeight="1">
      <c r="B1952" s="1407"/>
      <c r="C1952" s="94"/>
      <c r="D1952" s="68"/>
      <c r="E1952" s="68"/>
      <c r="F1952" s="1495"/>
      <c r="G1952" s="1495"/>
      <c r="H1952" s="1495"/>
      <c r="I1952" s="1406">
        <f t="shared" ref="I1952" si="567">PRODUCT(D1952:H1952)</f>
        <v>0</v>
      </c>
      <c r="Q1952" s="1394">
        <f>IFERROR(VLOOKUP(M1952,#REF!,3,0),0)</f>
        <v>0</v>
      </c>
      <c r="R1952" s="1394">
        <f t="shared" si="561"/>
        <v>0</v>
      </c>
      <c r="S1952" s="1394">
        <f>IFERROR(VLOOKUP(M1952,#REF!,6,0),0)</f>
        <v>0</v>
      </c>
      <c r="T1952" s="1394">
        <f t="shared" si="562"/>
        <v>0</v>
      </c>
      <c r="U1952" s="1394">
        <f>IFERROR(VLOOKUP(M1952,#REF!,5,0),0)</f>
        <v>0</v>
      </c>
      <c r="V1952" s="1394">
        <f t="shared" si="563"/>
        <v>0</v>
      </c>
      <c r="W1952" s="1394"/>
    </row>
    <row r="1953" spans="1:26" ht="30" customHeight="1">
      <c r="B1953" s="1407"/>
      <c r="C1953" s="1455"/>
      <c r="D1953" s="103"/>
      <c r="E1953" s="103"/>
      <c r="F1953" s="1413"/>
      <c r="G1953" s="1413"/>
      <c r="H1953" s="1414"/>
      <c r="I1953" s="1496">
        <f>SUM(I1941:I1952)</f>
        <v>1.2660000000000005</v>
      </c>
      <c r="Q1953" s="1394">
        <f>IFERROR(VLOOKUP(M1953,#REF!,3,0),0)</f>
        <v>0</v>
      </c>
      <c r="R1953" s="1394">
        <f t="shared" si="561"/>
        <v>0</v>
      </c>
      <c r="S1953" s="1394">
        <f>IFERROR(VLOOKUP(M1953,#REF!,6,0),0)</f>
        <v>0</v>
      </c>
      <c r="T1953" s="1394">
        <f t="shared" si="562"/>
        <v>0</v>
      </c>
      <c r="U1953" s="1394">
        <f>IFERROR(VLOOKUP(M1953,#REF!,5,0),0)</f>
        <v>0</v>
      </c>
      <c r="V1953" s="1394">
        <f t="shared" si="563"/>
        <v>0</v>
      </c>
      <c r="W1953" s="1394"/>
    </row>
    <row r="1954" spans="1:26" ht="30" customHeight="1">
      <c r="B1954" s="1407"/>
      <c r="C1954" s="1455"/>
      <c r="D1954" s="103"/>
      <c r="E1954" s="103"/>
      <c r="F1954" s="1413"/>
      <c r="G1954" s="1483" t="s">
        <v>11</v>
      </c>
      <c r="H1954" s="1483">
        <f>I1953</f>
        <v>1.2660000000000005</v>
      </c>
      <c r="I1954" s="1479" t="s">
        <v>19</v>
      </c>
      <c r="M1954" s="1426" t="str">
        <f>A1939</f>
        <v>a. T.W. over 2 m &amp; below 3 m</v>
      </c>
      <c r="N1954" s="1426">
        <f>B1939</f>
        <v>0</v>
      </c>
      <c r="O1954" s="1394">
        <f>H1954</f>
        <v>1.2660000000000005</v>
      </c>
      <c r="P1954" s="1394" t="str">
        <f>I1954</f>
        <v>Cum</v>
      </c>
      <c r="Q1954" s="1394">
        <f>IFERROR(VLOOKUP(M1954,#REF!,3,0),0)</f>
        <v>0</v>
      </c>
      <c r="R1954" s="1394">
        <f t="shared" si="561"/>
        <v>0</v>
      </c>
      <c r="S1954" s="1394">
        <f>IFERROR(VLOOKUP(M1954,#REF!,6,0),0)</f>
        <v>0</v>
      </c>
      <c r="T1954" s="1394">
        <f t="shared" si="562"/>
        <v>0</v>
      </c>
      <c r="U1954" s="1394">
        <f>IFERROR(VLOOKUP(M1954,#REF!,5,0),0)</f>
        <v>0</v>
      </c>
      <c r="V1954" s="1394">
        <f t="shared" si="563"/>
        <v>1.2660000000000005</v>
      </c>
      <c r="W1954" s="1394"/>
      <c r="Z1954" s="1394"/>
    </row>
    <row r="1955" spans="1:26" ht="45.75" customHeight="1">
      <c r="A1955" s="110" t="s">
        <v>369</v>
      </c>
      <c r="B1955" s="1407"/>
      <c r="C1955" s="1682" t="e">
        <f>VLOOKUP(A1955,#REF!,2,0)</f>
        <v>#REF!</v>
      </c>
      <c r="D1955" s="1682"/>
      <c r="E1955" s="1682"/>
      <c r="F1955" s="1682"/>
      <c r="G1955" s="1682"/>
      <c r="H1955" s="1682"/>
      <c r="I1955" s="1479"/>
      <c r="Q1955" s="1394">
        <f>IFERROR(VLOOKUP(M1955,#REF!,3,0),0)</f>
        <v>0</v>
      </c>
      <c r="R1955" s="1394">
        <f t="shared" si="561"/>
        <v>0</v>
      </c>
      <c r="S1955" s="1394">
        <f>IFERROR(VLOOKUP(M1955,#REF!,6,0),0)</f>
        <v>0</v>
      </c>
      <c r="T1955" s="1394">
        <f t="shared" si="562"/>
        <v>0</v>
      </c>
      <c r="U1955" s="1394">
        <f>IFERROR(VLOOKUP(M1955,#REF!,5,0),0)</f>
        <v>0</v>
      </c>
      <c r="V1955" s="1394">
        <f t="shared" si="563"/>
        <v>0</v>
      </c>
      <c r="W1955" s="1394"/>
      <c r="X1955" s="1397"/>
    </row>
    <row r="1956" spans="1:26" ht="30" customHeight="1">
      <c r="B1956" s="1405"/>
      <c r="C1956" s="1492" t="s">
        <v>5789</v>
      </c>
      <c r="D1956" s="1492"/>
      <c r="E1956" s="1492"/>
      <c r="F1956" s="1492"/>
      <c r="G1956" s="1493"/>
      <c r="H1956" s="1492"/>
      <c r="I1956" s="1479"/>
      <c r="Q1956" s="1394">
        <f>IFERROR(VLOOKUP(M1956,#REF!,3,0),0)</f>
        <v>0</v>
      </c>
      <c r="R1956" s="1394">
        <f t="shared" si="561"/>
        <v>0</v>
      </c>
      <c r="S1956" s="1394">
        <f>IFERROR(VLOOKUP(M1956,#REF!,6,0),0)</f>
        <v>0</v>
      </c>
      <c r="T1956" s="1394">
        <f t="shared" si="562"/>
        <v>0</v>
      </c>
      <c r="U1956" s="1394">
        <f>IFERROR(VLOOKUP(M1956,#REF!,5,0),0)</f>
        <v>0</v>
      </c>
      <c r="V1956" s="1394">
        <f t="shared" si="563"/>
        <v>0</v>
      </c>
      <c r="W1956" s="1394"/>
      <c r="X1956" s="1397"/>
    </row>
    <row r="1957" spans="1:26" ht="30" customHeight="1">
      <c r="B1957" s="1407"/>
      <c r="C1957" s="1494" t="s">
        <v>189</v>
      </c>
      <c r="D1957" s="68">
        <v>2</v>
      </c>
      <c r="E1957" s="68">
        <f>VLOOKUP(C1957,Sheet1!$I$7:$R$39,10,0)</f>
        <v>1</v>
      </c>
      <c r="F1957" s="1495">
        <v>0.15</v>
      </c>
      <c r="G1957" s="1495">
        <v>0.1</v>
      </c>
      <c r="H1957" s="69">
        <f>VLOOKUP(C1957,Sheet1!$I$7:$R$39,2,0)</f>
        <v>1.8</v>
      </c>
      <c r="I1957" s="1496">
        <f t="shared" ref="I1957:I1964" si="568">PRODUCT(D1957:H1957)</f>
        <v>5.3999999999999999E-2</v>
      </c>
      <c r="Q1957" s="1394">
        <f>IFERROR(VLOOKUP(M1957,#REF!,3,0),0)</f>
        <v>0</v>
      </c>
      <c r="R1957" s="1394">
        <f t="shared" si="561"/>
        <v>0</v>
      </c>
      <c r="S1957" s="1394">
        <f>IFERROR(VLOOKUP(M1957,#REF!,6,0),0)</f>
        <v>0</v>
      </c>
      <c r="T1957" s="1394">
        <f t="shared" si="562"/>
        <v>0</v>
      </c>
      <c r="U1957" s="1394">
        <f>IFERROR(VLOOKUP(M1957,#REF!,5,0),0)</f>
        <v>0</v>
      </c>
      <c r="V1957" s="1394">
        <f t="shared" si="563"/>
        <v>0</v>
      </c>
      <c r="W1957" s="1394"/>
    </row>
    <row r="1958" spans="1:26" ht="30" customHeight="1">
      <c r="B1958" s="1407"/>
      <c r="C1958" s="1497" t="s">
        <v>5507</v>
      </c>
      <c r="D1958" s="68">
        <v>2</v>
      </c>
      <c r="E1958" s="68">
        <f>VLOOKUP(C1958,Sheet1!$I$7:$R$39,10,0)</f>
        <v>4</v>
      </c>
      <c r="F1958" s="1495">
        <v>0.15</v>
      </c>
      <c r="G1958" s="1495">
        <v>0.1</v>
      </c>
      <c r="H1958" s="69">
        <f>VLOOKUP(C1958,Sheet1!$I$7:$R$39,2,0)</f>
        <v>1.8</v>
      </c>
      <c r="I1958" s="1496">
        <f t="shared" si="568"/>
        <v>0.216</v>
      </c>
      <c r="Q1958" s="1394">
        <f>IFERROR(VLOOKUP(M1958,#REF!,3,0),0)</f>
        <v>0</v>
      </c>
      <c r="R1958" s="1394">
        <f t="shared" si="561"/>
        <v>0</v>
      </c>
      <c r="S1958" s="1394">
        <f>IFERROR(VLOOKUP(M1958,#REF!,6,0),0)</f>
        <v>0</v>
      </c>
      <c r="T1958" s="1394">
        <f t="shared" si="562"/>
        <v>0</v>
      </c>
      <c r="U1958" s="1394">
        <f>IFERROR(VLOOKUP(M1958,#REF!,5,0),0)</f>
        <v>0</v>
      </c>
      <c r="V1958" s="1394">
        <f t="shared" si="563"/>
        <v>0</v>
      </c>
      <c r="W1958" s="1394"/>
    </row>
    <row r="1959" spans="1:26" ht="30" customHeight="1">
      <c r="B1959" s="1407"/>
      <c r="C1959" s="1497" t="s">
        <v>5508</v>
      </c>
      <c r="D1959" s="68">
        <v>2</v>
      </c>
      <c r="E1959" s="68">
        <f>VLOOKUP(C1959,Sheet1!$I$7:$R$39,10,0)</f>
        <v>1</v>
      </c>
      <c r="F1959" s="1495">
        <v>0.1</v>
      </c>
      <c r="G1959" s="1495">
        <v>0.05</v>
      </c>
      <c r="H1959" s="69">
        <f>VLOOKUP(C1959,Sheet1!$I$7:$R$39,2,0)</f>
        <v>1</v>
      </c>
      <c r="I1959" s="1496">
        <f t="shared" si="568"/>
        <v>1.0000000000000002E-2</v>
      </c>
      <c r="Q1959" s="1394">
        <f>IFERROR(VLOOKUP(M1959,#REF!,3,0),0)</f>
        <v>0</v>
      </c>
      <c r="R1959" s="1394">
        <f t="shared" si="561"/>
        <v>0</v>
      </c>
      <c r="S1959" s="1394">
        <f>IFERROR(VLOOKUP(M1959,#REF!,6,0),0)</f>
        <v>0</v>
      </c>
      <c r="T1959" s="1394">
        <f t="shared" si="562"/>
        <v>0</v>
      </c>
      <c r="U1959" s="1394">
        <f>IFERROR(VLOOKUP(M1959,#REF!,5,0),0)</f>
        <v>0</v>
      </c>
      <c r="V1959" s="1394">
        <f t="shared" si="563"/>
        <v>0</v>
      </c>
      <c r="W1959" s="1394"/>
    </row>
    <row r="1960" spans="1:26" ht="30" customHeight="1">
      <c r="B1960" s="1407"/>
      <c r="C1960" s="1497" t="s">
        <v>5509</v>
      </c>
      <c r="D1960" s="68">
        <v>2</v>
      </c>
      <c r="E1960" s="68">
        <f>VLOOKUP(C1960,Sheet1!$I$7:$R$39,10,0)</f>
        <v>4</v>
      </c>
      <c r="F1960" s="1495">
        <v>0.1</v>
      </c>
      <c r="G1960" s="1495">
        <v>0.05</v>
      </c>
      <c r="H1960" s="69">
        <f>VLOOKUP(C1960,Sheet1!$I$7:$R$39,2,0)</f>
        <v>0.75</v>
      </c>
      <c r="I1960" s="1496">
        <f t="shared" si="568"/>
        <v>3.0000000000000006E-2</v>
      </c>
      <c r="Q1960" s="1394">
        <f>IFERROR(VLOOKUP(M1960,#REF!,3,0),0)</f>
        <v>0</v>
      </c>
      <c r="R1960" s="1394">
        <f t="shared" si="561"/>
        <v>0</v>
      </c>
      <c r="S1960" s="1394">
        <f>IFERROR(VLOOKUP(M1960,#REF!,6,0),0)</f>
        <v>0</v>
      </c>
      <c r="T1960" s="1394">
        <f t="shared" si="562"/>
        <v>0</v>
      </c>
      <c r="U1960" s="1394">
        <f>IFERROR(VLOOKUP(M1960,#REF!,5,0),0)</f>
        <v>0</v>
      </c>
      <c r="V1960" s="1394">
        <f t="shared" si="563"/>
        <v>0</v>
      </c>
      <c r="W1960" s="1394"/>
    </row>
    <row r="1961" spans="1:26" ht="30" customHeight="1">
      <c r="B1961" s="1407"/>
      <c r="C1961" s="1494" t="s">
        <v>25</v>
      </c>
      <c r="D1961" s="68">
        <v>2</v>
      </c>
      <c r="E1961" s="68">
        <f>VLOOKUP(C1961,Sheet1!$I$7:$R$39,10,0)</f>
        <v>16</v>
      </c>
      <c r="F1961" s="1495">
        <v>0.1</v>
      </c>
      <c r="G1961" s="1495">
        <v>0.05</v>
      </c>
      <c r="H1961" s="69">
        <f>VLOOKUP(C1961,Sheet1!$I$7:$R$39,2,0)</f>
        <v>1</v>
      </c>
      <c r="I1961" s="1496">
        <f t="shared" si="568"/>
        <v>0.16000000000000003</v>
      </c>
      <c r="Q1961" s="1394">
        <f>IFERROR(VLOOKUP(M1961,#REF!,3,0),0)</f>
        <v>0</v>
      </c>
      <c r="R1961" s="1394">
        <f t="shared" si="561"/>
        <v>0</v>
      </c>
      <c r="S1961" s="1394">
        <f>IFERROR(VLOOKUP(M1961,#REF!,6,0),0)</f>
        <v>0</v>
      </c>
      <c r="T1961" s="1394">
        <f t="shared" si="562"/>
        <v>0</v>
      </c>
      <c r="U1961" s="1394">
        <f>IFERROR(VLOOKUP(M1961,#REF!,5,0),0)</f>
        <v>0</v>
      </c>
      <c r="V1961" s="1394">
        <f t="shared" si="563"/>
        <v>0</v>
      </c>
      <c r="W1961" s="1394"/>
    </row>
    <row r="1962" spans="1:26" ht="30" customHeight="1">
      <c r="B1962" s="1407"/>
      <c r="C1962" s="1497" t="s">
        <v>342</v>
      </c>
      <c r="D1962" s="68">
        <v>2</v>
      </c>
      <c r="E1962" s="68">
        <f>VLOOKUP(C1962,Sheet1!$I$7:$R$39,10,0)</f>
        <v>1</v>
      </c>
      <c r="F1962" s="1495">
        <v>0.1</v>
      </c>
      <c r="G1962" s="1495">
        <v>0.05</v>
      </c>
      <c r="H1962" s="69">
        <f>VLOOKUP(C1962,Sheet1!$I$7:$R$39,2,0)</f>
        <v>1</v>
      </c>
      <c r="I1962" s="1496">
        <f t="shared" si="568"/>
        <v>1.0000000000000002E-2</v>
      </c>
      <c r="Q1962" s="1394">
        <f>IFERROR(VLOOKUP(M1962,#REF!,3,0),0)</f>
        <v>0</v>
      </c>
      <c r="R1962" s="1394">
        <f t="shared" si="561"/>
        <v>0</v>
      </c>
      <c r="S1962" s="1394">
        <f>IFERROR(VLOOKUP(M1962,#REF!,6,0),0)</f>
        <v>0</v>
      </c>
      <c r="T1962" s="1394">
        <f t="shared" si="562"/>
        <v>0</v>
      </c>
      <c r="U1962" s="1394">
        <f>IFERROR(VLOOKUP(M1962,#REF!,5,0),0)</f>
        <v>0</v>
      </c>
      <c r="V1962" s="1394">
        <f t="shared" si="563"/>
        <v>0</v>
      </c>
      <c r="W1962" s="1394"/>
    </row>
    <row r="1963" spans="1:26" ht="30" customHeight="1">
      <c r="B1963" s="1407"/>
      <c r="C1963" s="1497" t="s">
        <v>193</v>
      </c>
      <c r="D1963" s="68">
        <v>2</v>
      </c>
      <c r="E1963" s="68">
        <f>VLOOKUP(C1963,Sheet1!$I$7:$R$39,10,0)</f>
        <v>4</v>
      </c>
      <c r="F1963" s="1495">
        <v>0.1</v>
      </c>
      <c r="G1963" s="1495">
        <v>0.05</v>
      </c>
      <c r="H1963" s="69">
        <f>VLOOKUP(C1963,Sheet1!$I$7:$R$39,2,0)</f>
        <v>0.9</v>
      </c>
      <c r="I1963" s="1496">
        <f t="shared" si="568"/>
        <v>3.6000000000000011E-2</v>
      </c>
      <c r="Q1963" s="1394">
        <f>IFERROR(VLOOKUP(M1963,#REF!,3,0),0)</f>
        <v>0</v>
      </c>
      <c r="R1963" s="1394">
        <f t="shared" si="561"/>
        <v>0</v>
      </c>
      <c r="S1963" s="1394">
        <f>IFERROR(VLOOKUP(M1963,#REF!,6,0),0)</f>
        <v>0</v>
      </c>
      <c r="T1963" s="1394">
        <f t="shared" si="562"/>
        <v>0</v>
      </c>
      <c r="U1963" s="1394">
        <f>IFERROR(VLOOKUP(M1963,#REF!,5,0),0)</f>
        <v>0</v>
      </c>
      <c r="V1963" s="1394">
        <f t="shared" si="563"/>
        <v>0</v>
      </c>
      <c r="W1963" s="1394"/>
    </row>
    <row r="1964" spans="1:26" ht="30" customHeight="1">
      <c r="B1964" s="1407"/>
      <c r="C1964" s="1497" t="s">
        <v>5517</v>
      </c>
      <c r="D1964" s="68">
        <v>2</v>
      </c>
      <c r="E1964" s="68">
        <f>VLOOKUP(C1964,Sheet1!$I$7:$R$39,10,0)</f>
        <v>1</v>
      </c>
      <c r="F1964" s="1495">
        <v>0.1</v>
      </c>
      <c r="G1964" s="1495">
        <v>0.05</v>
      </c>
      <c r="H1964" s="69">
        <f>VLOOKUP(C1964,Sheet1!$I$7:$R$39,2,0)</f>
        <v>1</v>
      </c>
      <c r="I1964" s="1496">
        <f t="shared" si="568"/>
        <v>1.0000000000000002E-2</v>
      </c>
      <c r="Q1964" s="1394">
        <f>IFERROR(VLOOKUP(M1964,#REF!,3,0),0)</f>
        <v>0</v>
      </c>
      <c r="R1964" s="1394">
        <f t="shared" si="561"/>
        <v>0</v>
      </c>
      <c r="S1964" s="1394">
        <f>IFERROR(VLOOKUP(M1964,#REF!,6,0),0)</f>
        <v>0</v>
      </c>
      <c r="T1964" s="1394">
        <f t="shared" si="562"/>
        <v>0</v>
      </c>
      <c r="U1964" s="1394">
        <f>IFERROR(VLOOKUP(M1964,#REF!,5,0),0)</f>
        <v>0</v>
      </c>
      <c r="V1964" s="1394">
        <f t="shared" si="563"/>
        <v>0</v>
      </c>
      <c r="W1964" s="1394"/>
    </row>
    <row r="1965" spans="1:26" ht="30" customHeight="1">
      <c r="B1965" s="1407"/>
      <c r="C1965" s="1497" t="s">
        <v>5577</v>
      </c>
      <c r="D1965" s="68">
        <v>2</v>
      </c>
      <c r="E1965" s="68">
        <f>VLOOKUP(C1965,Sheet1!$I$7:$R$39,10,0)</f>
        <v>1</v>
      </c>
      <c r="F1965" s="1495">
        <v>0.1</v>
      </c>
      <c r="G1965" s="1495">
        <v>0.05</v>
      </c>
      <c r="H1965" s="69">
        <f>VLOOKUP(C1965,Sheet1!$I$7:$R$39,2,0)</f>
        <v>0.9</v>
      </c>
      <c r="I1965" s="1496">
        <f t="shared" ref="I1965:I1970" si="569">PRODUCT(D1965:H1965)</f>
        <v>9.0000000000000028E-3</v>
      </c>
      <c r="Q1965" s="1394">
        <f>IFERROR(VLOOKUP(M1965,#REF!,3,0),0)</f>
        <v>0</v>
      </c>
      <c r="R1965" s="1394">
        <f t="shared" si="561"/>
        <v>0</v>
      </c>
      <c r="S1965" s="1394">
        <f>IFERROR(VLOOKUP(M1965,#REF!,6,0),0)</f>
        <v>0</v>
      </c>
      <c r="T1965" s="1394">
        <f t="shared" si="562"/>
        <v>0</v>
      </c>
      <c r="U1965" s="1394">
        <f>IFERROR(VLOOKUP(M1965,#REF!,5,0),0)</f>
        <v>0</v>
      </c>
      <c r="V1965" s="1394">
        <f t="shared" si="563"/>
        <v>0</v>
      </c>
      <c r="W1965" s="1394"/>
    </row>
    <row r="1966" spans="1:26" ht="30" customHeight="1">
      <c r="B1966" s="1407"/>
      <c r="C1966" s="1494" t="s">
        <v>5516</v>
      </c>
      <c r="D1966" s="68">
        <v>2</v>
      </c>
      <c r="E1966" s="68">
        <f>VLOOKUP(C1966,Sheet1!$I$7:$R$39,10,0)</f>
        <v>1</v>
      </c>
      <c r="F1966" s="1495">
        <v>0.1</v>
      </c>
      <c r="G1966" s="1495">
        <v>7.4999999999999997E-2</v>
      </c>
      <c r="H1966" s="69">
        <f>VLOOKUP(C1966,Sheet1!$I$7:$R$39,2,0)</f>
        <v>1.8</v>
      </c>
      <c r="I1966" s="1496">
        <f t="shared" si="569"/>
        <v>2.7E-2</v>
      </c>
      <c r="Q1966" s="1394">
        <f>IFERROR(VLOOKUP(M1966,#REF!,3,0),0)</f>
        <v>0</v>
      </c>
      <c r="R1966" s="1394">
        <f t="shared" ref="R1966:R2029" si="570">ROUND(O1966,2)*ROUND(Q1966,2)</f>
        <v>0</v>
      </c>
      <c r="S1966" s="1394">
        <f>IFERROR(VLOOKUP(M1966,#REF!,6,0),0)</f>
        <v>0</v>
      </c>
      <c r="T1966" s="1394">
        <f t="shared" ref="T1966:T2034" si="571">R1966-S1966</f>
        <v>0</v>
      </c>
      <c r="U1966" s="1394">
        <f>IFERROR(VLOOKUP(M1966,#REF!,5,0),0)</f>
        <v>0</v>
      </c>
      <c r="V1966" s="1394">
        <f t="shared" ref="V1966:V2034" si="572">O1966-U1966</f>
        <v>0</v>
      </c>
      <c r="W1966" s="1394"/>
    </row>
    <row r="1967" spans="1:26" ht="30" customHeight="1">
      <c r="B1967" s="1407"/>
      <c r="C1967" s="1497" t="s">
        <v>190</v>
      </c>
      <c r="D1967" s="68">
        <v>2</v>
      </c>
      <c r="E1967" s="68">
        <f>VLOOKUP(C1967,Sheet1!$I$7:$R$39,10,0)</f>
        <v>6</v>
      </c>
      <c r="F1967" s="1495">
        <v>0.1</v>
      </c>
      <c r="G1967" s="1495">
        <v>7.4999999999999997E-2</v>
      </c>
      <c r="H1967" s="69">
        <f>VLOOKUP(C1967,Sheet1!$I$7:$R$39,2,0)</f>
        <v>0.81299999999999994</v>
      </c>
      <c r="I1967" s="1496">
        <f t="shared" si="569"/>
        <v>7.3169999999999999E-2</v>
      </c>
      <c r="Q1967" s="1394">
        <f>IFERROR(VLOOKUP(M1967,#REF!,3,0),0)</f>
        <v>0</v>
      </c>
      <c r="R1967" s="1394">
        <f t="shared" si="570"/>
        <v>0</v>
      </c>
      <c r="S1967" s="1394">
        <f>IFERROR(VLOOKUP(M1967,#REF!,6,0),0)</f>
        <v>0</v>
      </c>
      <c r="T1967" s="1394">
        <f t="shared" si="571"/>
        <v>0</v>
      </c>
      <c r="U1967" s="1394">
        <f>IFERROR(VLOOKUP(M1967,#REF!,5,0),0)</f>
        <v>0</v>
      </c>
      <c r="V1967" s="1394">
        <f t="shared" si="572"/>
        <v>0</v>
      </c>
      <c r="W1967" s="1394"/>
    </row>
    <row r="1968" spans="1:26" ht="30" customHeight="1">
      <c r="B1968" s="1407"/>
      <c r="C1968" s="94" t="s">
        <v>5511</v>
      </c>
      <c r="D1968" s="68">
        <v>2</v>
      </c>
      <c r="E1968" s="68">
        <f>VLOOKUP(C1968,Sheet1!$I$7:$R$39,10,0)</f>
        <v>2</v>
      </c>
      <c r="F1968" s="1495">
        <v>0.1</v>
      </c>
      <c r="G1968" s="1495">
        <v>7.4999999999999997E-2</v>
      </c>
      <c r="H1968" s="69">
        <f>VLOOKUP(C1968,Sheet1!$I$7:$R$39,2,0)</f>
        <v>1.8</v>
      </c>
      <c r="I1968" s="1496">
        <f t="shared" si="569"/>
        <v>5.3999999999999999E-2</v>
      </c>
      <c r="Q1968" s="1394">
        <f>IFERROR(VLOOKUP(M1968,#REF!,3,0),0)</f>
        <v>0</v>
      </c>
      <c r="R1968" s="1394">
        <f t="shared" si="570"/>
        <v>0</v>
      </c>
      <c r="S1968" s="1394">
        <f>IFERROR(VLOOKUP(M1968,#REF!,6,0),0)</f>
        <v>0</v>
      </c>
      <c r="T1968" s="1394">
        <f t="shared" si="571"/>
        <v>0</v>
      </c>
      <c r="U1968" s="1394">
        <f>IFERROR(VLOOKUP(M1968,#REF!,5,0),0)</f>
        <v>0</v>
      </c>
      <c r="V1968" s="1394">
        <f t="shared" si="572"/>
        <v>0</v>
      </c>
      <c r="W1968" s="1394"/>
    </row>
    <row r="1969" spans="1:26" ht="30" customHeight="1">
      <c r="B1969" s="1407"/>
      <c r="C1969" s="1494" t="s">
        <v>5512</v>
      </c>
      <c r="D1969" s="68">
        <v>2</v>
      </c>
      <c r="E1969" s="68">
        <f>VLOOKUP(C1969,Sheet1!$I$7:$R$39,10,0)</f>
        <v>1</v>
      </c>
      <c r="F1969" s="1495">
        <v>0.1</v>
      </c>
      <c r="G1969" s="1495">
        <v>7.4999999999999997E-2</v>
      </c>
      <c r="H1969" s="69">
        <f>VLOOKUP(C1969,Sheet1!$I$7:$R$39,2,0)</f>
        <v>1.5</v>
      </c>
      <c r="I1969" s="1496">
        <f t="shared" si="569"/>
        <v>2.2499999999999999E-2</v>
      </c>
      <c r="Q1969" s="1394">
        <f>IFERROR(VLOOKUP(M1969,#REF!,3,0),0)</f>
        <v>0</v>
      </c>
      <c r="R1969" s="1394">
        <f t="shared" si="570"/>
        <v>0</v>
      </c>
      <c r="S1969" s="1394">
        <f>IFERROR(VLOOKUP(M1969,#REF!,6,0),0)</f>
        <v>0</v>
      </c>
      <c r="T1969" s="1394">
        <f t="shared" si="571"/>
        <v>0</v>
      </c>
      <c r="U1969" s="1394">
        <f>IFERROR(VLOOKUP(M1969,#REF!,5,0),0)</f>
        <v>0</v>
      </c>
      <c r="V1969" s="1394">
        <f t="shared" si="572"/>
        <v>0</v>
      </c>
      <c r="W1969" s="1394"/>
    </row>
    <row r="1970" spans="1:26" ht="30" customHeight="1">
      <c r="B1970" s="1407"/>
      <c r="C1970" s="1497" t="s">
        <v>5514</v>
      </c>
      <c r="D1970" s="68">
        <v>2</v>
      </c>
      <c r="E1970" s="68">
        <f>VLOOKUP(C1970,Sheet1!$I$7:$R$39,10,0)</f>
        <v>6</v>
      </c>
      <c r="F1970" s="1495">
        <v>0.1</v>
      </c>
      <c r="G1970" s="1495">
        <v>7.4999999999999997E-2</v>
      </c>
      <c r="H1970" s="69">
        <f>VLOOKUP(C1970,Sheet1!$I$7:$R$39,2,0)</f>
        <v>1.2</v>
      </c>
      <c r="I1970" s="1496">
        <f t="shared" si="569"/>
        <v>0.10800000000000001</v>
      </c>
      <c r="Q1970" s="1394">
        <f>IFERROR(VLOOKUP(M1970,#REF!,3,0),0)</f>
        <v>0</v>
      </c>
      <c r="R1970" s="1394">
        <f t="shared" si="570"/>
        <v>0</v>
      </c>
      <c r="S1970" s="1394">
        <f>IFERROR(VLOOKUP(M1970,#REF!,6,0),0)</f>
        <v>0</v>
      </c>
      <c r="T1970" s="1394">
        <f t="shared" si="571"/>
        <v>0</v>
      </c>
      <c r="U1970" s="1394">
        <f>IFERROR(VLOOKUP(M1970,#REF!,5,0),0)</f>
        <v>0</v>
      </c>
      <c r="V1970" s="1394">
        <f t="shared" si="572"/>
        <v>0</v>
      </c>
      <c r="W1970" s="1394"/>
    </row>
    <row r="1971" spans="1:26" ht="30" customHeight="1">
      <c r="B1971" s="1405"/>
      <c r="C1971" s="1492" t="s">
        <v>5788</v>
      </c>
      <c r="D1971" s="1492"/>
      <c r="E1971" s="1492"/>
      <c r="F1971" s="1492"/>
      <c r="G1971" s="1493"/>
      <c r="H1971" s="1492"/>
      <c r="I1971" s="1498"/>
      <c r="Q1971" s="1394">
        <f>IFERROR(VLOOKUP(M1971,#REF!,3,0),0)</f>
        <v>0</v>
      </c>
      <c r="R1971" s="1394">
        <f t="shared" si="570"/>
        <v>0</v>
      </c>
      <c r="S1971" s="1394">
        <f>IFERROR(VLOOKUP(M1971,#REF!,6,0),0)</f>
        <v>0</v>
      </c>
      <c r="T1971" s="1394">
        <f t="shared" si="571"/>
        <v>0</v>
      </c>
      <c r="U1971" s="1394">
        <f>IFERROR(VLOOKUP(M1971,#REF!,5,0),0)</f>
        <v>0</v>
      </c>
      <c r="V1971" s="1394">
        <f t="shared" si="572"/>
        <v>0</v>
      </c>
      <c r="W1971" s="1394"/>
      <c r="X1971" s="1397"/>
    </row>
    <row r="1972" spans="1:26" ht="30" customHeight="1">
      <c r="B1972" s="1407"/>
      <c r="C1972" s="1494" t="s">
        <v>5516</v>
      </c>
      <c r="D1972" s="68">
        <v>2</v>
      </c>
      <c r="E1972" s="68">
        <f>VLOOKUP(C1972,Sheet1!$I$7:$R$39,10,0)</f>
        <v>1</v>
      </c>
      <c r="F1972" s="1495">
        <v>0.1</v>
      </c>
      <c r="G1972" s="1495">
        <v>7.4999999999999997E-2</v>
      </c>
      <c r="H1972" s="69">
        <f>VLOOKUP(C1972,Sheet1!$I$7:$R$39,3,0)</f>
        <v>1.8</v>
      </c>
      <c r="I1972" s="1496">
        <f t="shared" ref="I1972:I1977" si="573">PRODUCT(D1972:H1972)</f>
        <v>2.7E-2</v>
      </c>
      <c r="K1972" s="110">
        <f>VLOOKUP(C1972,Sheet1!$I$7:$R$39,2,0)</f>
        <v>1.8</v>
      </c>
      <c r="L1972" s="110">
        <f>VLOOKUP(C1972,Sheet1!$I$7:$R$39,3,0)</f>
        <v>1.8</v>
      </c>
      <c r="Q1972" s="1394">
        <f>IFERROR(VLOOKUP(M1972,#REF!,3,0),0)</f>
        <v>0</v>
      </c>
      <c r="R1972" s="1394">
        <f t="shared" si="570"/>
        <v>0</v>
      </c>
      <c r="S1972" s="1394">
        <f>IFERROR(VLOOKUP(M1972,#REF!,6,0),0)</f>
        <v>0</v>
      </c>
      <c r="T1972" s="1394">
        <f t="shared" si="571"/>
        <v>0</v>
      </c>
      <c r="U1972" s="1394">
        <f>IFERROR(VLOOKUP(M1972,#REF!,5,0),0)</f>
        <v>0</v>
      </c>
      <c r="V1972" s="1394">
        <f t="shared" si="572"/>
        <v>0</v>
      </c>
      <c r="W1972" s="1394"/>
    </row>
    <row r="1973" spans="1:26" ht="30" customHeight="1">
      <c r="B1973" s="1407"/>
      <c r="C1973" s="1497" t="s">
        <v>190</v>
      </c>
      <c r="D1973" s="68">
        <v>2</v>
      </c>
      <c r="E1973" s="68">
        <f>VLOOKUP(C1973,Sheet1!$I$7:$R$39,10,0)</f>
        <v>6</v>
      </c>
      <c r="F1973" s="1495">
        <v>0.1</v>
      </c>
      <c r="G1973" s="1495">
        <v>7.4999999999999997E-2</v>
      </c>
      <c r="H1973" s="69">
        <f>VLOOKUP(C1973,Sheet1!$I$7:$R$39,3,0)</f>
        <v>1.8</v>
      </c>
      <c r="I1973" s="1496">
        <f t="shared" si="573"/>
        <v>0.16200000000000003</v>
      </c>
      <c r="K1973" s="110">
        <f>VLOOKUP(C1973,Sheet1!$I$7:$R$39,2,0)</f>
        <v>0.81299999999999994</v>
      </c>
      <c r="L1973" s="110">
        <f>VLOOKUP(C1973,Sheet1!$I$7:$R$39,3,0)</f>
        <v>1.8</v>
      </c>
      <c r="Q1973" s="1394">
        <f>IFERROR(VLOOKUP(M1973,#REF!,3,0),0)</f>
        <v>0</v>
      </c>
      <c r="R1973" s="1394">
        <f t="shared" si="570"/>
        <v>0</v>
      </c>
      <c r="S1973" s="1394">
        <f>IFERROR(VLOOKUP(M1973,#REF!,6,0),0)</f>
        <v>0</v>
      </c>
      <c r="T1973" s="1394">
        <f t="shared" si="571"/>
        <v>0</v>
      </c>
      <c r="U1973" s="1394">
        <f>IFERROR(VLOOKUP(M1973,#REF!,5,0),0)</f>
        <v>0</v>
      </c>
      <c r="V1973" s="1394">
        <f t="shared" si="572"/>
        <v>0</v>
      </c>
      <c r="W1973" s="1394"/>
    </row>
    <row r="1974" spans="1:26" ht="30" customHeight="1">
      <c r="B1974" s="1407"/>
      <c r="C1974" s="94" t="s">
        <v>5511</v>
      </c>
      <c r="D1974" s="68">
        <v>2</v>
      </c>
      <c r="E1974" s="68">
        <f>VLOOKUP(C1974,Sheet1!$I$7:$R$39,10,0)</f>
        <v>2</v>
      </c>
      <c r="F1974" s="1495">
        <v>0.1</v>
      </c>
      <c r="G1974" s="1495">
        <v>7.4999999999999997E-2</v>
      </c>
      <c r="H1974" s="69">
        <f>VLOOKUP(C1974,Sheet1!$I$7:$R$39,3,0)</f>
        <v>1.8</v>
      </c>
      <c r="I1974" s="1496">
        <f t="shared" si="573"/>
        <v>5.3999999999999999E-2</v>
      </c>
      <c r="K1974" s="110">
        <f>VLOOKUP(C1974,Sheet1!$I$7:$R$39,2,0)</f>
        <v>1.8</v>
      </c>
      <c r="L1974" s="110">
        <f>VLOOKUP(C1974,Sheet1!$I$7:$R$39,3,0)</f>
        <v>1.8</v>
      </c>
      <c r="Q1974" s="1394">
        <f>IFERROR(VLOOKUP(M1974,#REF!,3,0),0)</f>
        <v>0</v>
      </c>
      <c r="R1974" s="1394">
        <f t="shared" si="570"/>
        <v>0</v>
      </c>
      <c r="S1974" s="1394">
        <f>IFERROR(VLOOKUP(M1974,#REF!,6,0),0)</f>
        <v>0</v>
      </c>
      <c r="T1974" s="1394">
        <f t="shared" si="571"/>
        <v>0</v>
      </c>
      <c r="U1974" s="1394">
        <f>IFERROR(VLOOKUP(M1974,#REF!,5,0),0)</f>
        <v>0</v>
      </c>
      <c r="V1974" s="1394">
        <f t="shared" si="572"/>
        <v>0</v>
      </c>
      <c r="W1974" s="1394"/>
    </row>
    <row r="1975" spans="1:26" ht="30" customHeight="1">
      <c r="B1975" s="1407"/>
      <c r="C1975" s="1494" t="s">
        <v>5512</v>
      </c>
      <c r="D1975" s="68">
        <v>2</v>
      </c>
      <c r="E1975" s="68">
        <f>VLOOKUP(C1975,Sheet1!$I$7:$R$39,10,0)</f>
        <v>1</v>
      </c>
      <c r="F1975" s="1495">
        <v>0.1</v>
      </c>
      <c r="G1975" s="1495">
        <v>7.4999999999999997E-2</v>
      </c>
      <c r="H1975" s="69">
        <f>VLOOKUP(C1975,Sheet1!$I$7:$R$39,3,0)</f>
        <v>1.8</v>
      </c>
      <c r="I1975" s="1496">
        <f t="shared" si="573"/>
        <v>2.7E-2</v>
      </c>
      <c r="K1975" s="110">
        <f>VLOOKUP(C1975,Sheet1!$I$7:$R$39,2,0)</f>
        <v>1.5</v>
      </c>
      <c r="L1975" s="110">
        <f>VLOOKUP(C1975,Sheet1!$I$7:$R$39,3,0)</f>
        <v>1.8</v>
      </c>
      <c r="Q1975" s="1394">
        <f>IFERROR(VLOOKUP(M1975,#REF!,3,0),0)</f>
        <v>0</v>
      </c>
      <c r="R1975" s="1394">
        <f t="shared" si="570"/>
        <v>0</v>
      </c>
      <c r="S1975" s="1394">
        <f>IFERROR(VLOOKUP(M1975,#REF!,6,0),0)</f>
        <v>0</v>
      </c>
      <c r="T1975" s="1394">
        <f t="shared" si="571"/>
        <v>0</v>
      </c>
      <c r="U1975" s="1394">
        <f>IFERROR(VLOOKUP(M1975,#REF!,5,0),0)</f>
        <v>0</v>
      </c>
      <c r="V1975" s="1394">
        <f t="shared" si="572"/>
        <v>0</v>
      </c>
      <c r="W1975" s="1394"/>
    </row>
    <row r="1976" spans="1:26" ht="30" customHeight="1">
      <c r="B1976" s="1407"/>
      <c r="C1976" s="1497" t="s">
        <v>5513</v>
      </c>
      <c r="D1976" s="68">
        <v>2</v>
      </c>
      <c r="E1976" s="68">
        <f>VLOOKUP(C1976,Sheet1!$I$7:$R$39,10,0)</f>
        <v>3</v>
      </c>
      <c r="F1976" s="1495">
        <v>0.1</v>
      </c>
      <c r="G1976" s="1495">
        <v>7.4999999999999997E-2</v>
      </c>
      <c r="H1976" s="69">
        <f>VLOOKUP(C1976,Sheet1!$I$7:$R$39,3,0)</f>
        <v>1.8</v>
      </c>
      <c r="I1976" s="1496">
        <f t="shared" si="573"/>
        <v>8.1000000000000016E-2</v>
      </c>
      <c r="K1976" s="110">
        <f>VLOOKUP(C1976,Sheet1!$I$7:$R$39,2,0)</f>
        <v>2</v>
      </c>
      <c r="L1976" s="110">
        <f>VLOOKUP(C1976,Sheet1!$I$7:$R$39,3,0)</f>
        <v>1.8</v>
      </c>
      <c r="Q1976" s="1394">
        <f>IFERROR(VLOOKUP(M1976,#REF!,3,0),0)</f>
        <v>0</v>
      </c>
      <c r="R1976" s="1394">
        <f t="shared" si="570"/>
        <v>0</v>
      </c>
      <c r="S1976" s="1394">
        <f>IFERROR(VLOOKUP(M1976,#REF!,6,0),0)</f>
        <v>0</v>
      </c>
      <c r="T1976" s="1394">
        <f t="shared" si="571"/>
        <v>0</v>
      </c>
      <c r="U1976" s="1394">
        <f>IFERROR(VLOOKUP(M1976,#REF!,5,0),0)</f>
        <v>0</v>
      </c>
      <c r="V1976" s="1394">
        <f t="shared" si="572"/>
        <v>0</v>
      </c>
      <c r="W1976" s="1394"/>
    </row>
    <row r="1977" spans="1:26" ht="30" customHeight="1">
      <c r="B1977" s="1407"/>
      <c r="C1977" s="1497" t="s">
        <v>5514</v>
      </c>
      <c r="D1977" s="68">
        <v>2</v>
      </c>
      <c r="E1977" s="68">
        <f>VLOOKUP(C1977,Sheet1!$I$7:$R$39,10,0)</f>
        <v>6</v>
      </c>
      <c r="F1977" s="1495">
        <v>0.1</v>
      </c>
      <c r="G1977" s="1495">
        <v>7.4999999999999997E-2</v>
      </c>
      <c r="H1977" s="69">
        <f>VLOOKUP(C1977,Sheet1!$I$7:$R$39,3,0)</f>
        <v>1.8</v>
      </c>
      <c r="I1977" s="1496">
        <f t="shared" si="573"/>
        <v>0.16200000000000003</v>
      </c>
      <c r="K1977" s="110">
        <f>VLOOKUP(C1977,Sheet1!$I$7:$R$39,2,0)</f>
        <v>1.2</v>
      </c>
      <c r="L1977" s="110">
        <f>VLOOKUP(C1977,Sheet1!$I$7:$R$39,3,0)</f>
        <v>1.8</v>
      </c>
      <c r="Q1977" s="1394">
        <f>IFERROR(VLOOKUP(M1977,#REF!,3,0),0)</f>
        <v>0</v>
      </c>
      <c r="R1977" s="1394">
        <f t="shared" si="570"/>
        <v>0</v>
      </c>
      <c r="S1977" s="1394">
        <f>IFERROR(VLOOKUP(M1977,#REF!,6,0),0)</f>
        <v>0</v>
      </c>
      <c r="T1977" s="1394">
        <f t="shared" si="571"/>
        <v>0</v>
      </c>
      <c r="U1977" s="1394">
        <f>IFERROR(VLOOKUP(M1977,#REF!,5,0),0)</f>
        <v>0</v>
      </c>
      <c r="V1977" s="1394">
        <f t="shared" si="572"/>
        <v>0</v>
      </c>
      <c r="W1977" s="1394"/>
    </row>
    <row r="1978" spans="1:26" ht="30" customHeight="1">
      <c r="B1978" s="1407"/>
      <c r="C1978" s="1455"/>
      <c r="D1978" s="103"/>
      <c r="E1978" s="103"/>
      <c r="F1978" s="1413"/>
      <c r="G1978" s="1413"/>
      <c r="H1978" s="1414"/>
      <c r="I1978" s="1479">
        <f>SUM(I1957:I1977)</f>
        <v>1.3326700000000002</v>
      </c>
      <c r="Q1978" s="1394">
        <f>IFERROR(VLOOKUP(M1978,#REF!,3,0),0)</f>
        <v>0</v>
      </c>
      <c r="R1978" s="1394">
        <f t="shared" si="570"/>
        <v>0</v>
      </c>
      <c r="S1978" s="1394">
        <f>IFERROR(VLOOKUP(M1978,#REF!,6,0),0)</f>
        <v>0</v>
      </c>
      <c r="T1978" s="1394">
        <f t="shared" si="571"/>
        <v>0</v>
      </c>
      <c r="U1978" s="1394">
        <f>IFERROR(VLOOKUP(M1978,#REF!,5,0),0)</f>
        <v>0</v>
      </c>
      <c r="V1978" s="1394">
        <f t="shared" si="572"/>
        <v>0</v>
      </c>
      <c r="W1978" s="1394"/>
    </row>
    <row r="1979" spans="1:26" ht="30" customHeight="1">
      <c r="B1979" s="1407"/>
      <c r="C1979" s="1455"/>
      <c r="D1979" s="103"/>
      <c r="E1979" s="103"/>
      <c r="F1979" s="1413"/>
      <c r="G1979" s="1483" t="s">
        <v>11</v>
      </c>
      <c r="H1979" s="1483">
        <f>I1978</f>
        <v>1.3326700000000002</v>
      </c>
      <c r="I1979" s="1479" t="s">
        <v>19</v>
      </c>
      <c r="M1979" s="1426" t="str">
        <f>A1955</f>
        <v>b. T.W. below 2 m length.</v>
      </c>
      <c r="N1979" s="1426">
        <f>B1955</f>
        <v>0</v>
      </c>
      <c r="O1979" s="1394">
        <f>H1979</f>
        <v>1.3326700000000002</v>
      </c>
      <c r="P1979" s="1394" t="str">
        <f>I1979</f>
        <v>Cum</v>
      </c>
      <c r="Q1979" s="1394">
        <f>IFERROR(VLOOKUP(M1979,#REF!,3,0),0)</f>
        <v>0</v>
      </c>
      <c r="R1979" s="1394">
        <f t="shared" si="570"/>
        <v>0</v>
      </c>
      <c r="S1979" s="1394">
        <f>IFERROR(VLOOKUP(M1979,#REF!,6,0),0)</f>
        <v>0</v>
      </c>
      <c r="T1979" s="1394">
        <f t="shared" si="571"/>
        <v>0</v>
      </c>
      <c r="U1979" s="1394">
        <f>IFERROR(VLOOKUP(M1979,#REF!,5,0),0)</f>
        <v>0</v>
      </c>
      <c r="V1979" s="1394">
        <f t="shared" si="572"/>
        <v>1.3326700000000002</v>
      </c>
      <c r="W1979" s="1394"/>
      <c r="Z1979" s="1394"/>
    </row>
    <row r="1980" spans="1:26" ht="91.5" customHeight="1">
      <c r="A1980" s="110" t="s">
        <v>370</v>
      </c>
      <c r="B1980" s="1405">
        <v>23.3</v>
      </c>
      <c r="C1980" s="1678" t="e">
        <f>VLOOKUP(A1980,#REF!,2,0)</f>
        <v>#REF!</v>
      </c>
      <c r="D1980" s="1678"/>
      <c r="E1980" s="1678"/>
      <c r="F1980" s="1678"/>
      <c r="G1980" s="1678"/>
      <c r="H1980" s="1678"/>
      <c r="I1980" s="1406"/>
      <c r="Q1980" s="1394">
        <f>IFERROR(VLOOKUP(M1980,#REF!,3,0),0)</f>
        <v>0</v>
      </c>
      <c r="R1980" s="1394">
        <f t="shared" si="570"/>
        <v>0</v>
      </c>
      <c r="S1980" s="1394">
        <f>IFERROR(VLOOKUP(M1980,#REF!,6,0),0)</f>
        <v>0</v>
      </c>
      <c r="T1980" s="1394">
        <f t="shared" si="571"/>
        <v>0</v>
      </c>
      <c r="U1980" s="1394">
        <f>IFERROR(VLOOKUP(M1980,#REF!,5,0),0)</f>
        <v>0</v>
      </c>
      <c r="V1980" s="1394">
        <f t="shared" si="572"/>
        <v>0</v>
      </c>
      <c r="W1980" s="1394"/>
      <c r="X1980" s="1397"/>
    </row>
    <row r="1981" spans="1:26" ht="30" customHeight="1">
      <c r="B1981" s="1407"/>
      <c r="C1981" s="1455" t="s">
        <v>365</v>
      </c>
      <c r="D1981" s="103"/>
      <c r="E1981" s="103"/>
      <c r="F1981" s="1413"/>
      <c r="G1981" s="1413"/>
      <c r="H1981" s="1414"/>
      <c r="I1981" s="1406"/>
      <c r="Q1981" s="1394">
        <f>IFERROR(VLOOKUP(M1981,#REF!,3,0),0)</f>
        <v>0</v>
      </c>
      <c r="R1981" s="1394">
        <f t="shared" si="570"/>
        <v>0</v>
      </c>
      <c r="S1981" s="1394">
        <f>IFERROR(VLOOKUP(M1981,#REF!,6,0),0)</f>
        <v>0</v>
      </c>
      <c r="T1981" s="1394">
        <f t="shared" si="571"/>
        <v>0</v>
      </c>
      <c r="U1981" s="1394">
        <f>IFERROR(VLOOKUP(M1981,#REF!,5,0),0)</f>
        <v>0</v>
      </c>
      <c r="V1981" s="1394">
        <f t="shared" si="572"/>
        <v>0</v>
      </c>
      <c r="W1981" s="1394"/>
    </row>
    <row r="1982" spans="1:26" ht="30" customHeight="1">
      <c r="B1982" s="1407"/>
      <c r="C1982" s="1455" t="s">
        <v>189</v>
      </c>
      <c r="D1982" s="103">
        <v>2</v>
      </c>
      <c r="E1982" s="68">
        <f>VLOOKUP(C1982,Sheet1!$I$7:$R$39,10,0)</f>
        <v>1</v>
      </c>
      <c r="F1982" s="1413"/>
      <c r="G1982" s="1413"/>
      <c r="H1982" s="1414"/>
      <c r="I1982" s="1406">
        <f t="shared" ref="I1982:I1990" si="574">PRODUCT(D1982:H1982)</f>
        <v>2</v>
      </c>
      <c r="Q1982" s="1394">
        <f>IFERROR(VLOOKUP(M1982,#REF!,3,0),0)</f>
        <v>0</v>
      </c>
      <c r="R1982" s="1394">
        <f t="shared" si="570"/>
        <v>0</v>
      </c>
      <c r="S1982" s="1394">
        <f>IFERROR(VLOOKUP(M1982,#REF!,6,0),0)</f>
        <v>0</v>
      </c>
      <c r="T1982" s="1394">
        <f t="shared" si="571"/>
        <v>0</v>
      </c>
      <c r="U1982" s="1394">
        <f>IFERROR(VLOOKUP(M1982,#REF!,5,0),0)</f>
        <v>0</v>
      </c>
      <c r="V1982" s="1394">
        <f t="shared" si="572"/>
        <v>0</v>
      </c>
      <c r="W1982" s="1394"/>
    </row>
    <row r="1983" spans="1:26" ht="30" customHeight="1">
      <c r="B1983" s="1407"/>
      <c r="C1983" s="1412" t="s">
        <v>5507</v>
      </c>
      <c r="D1983" s="103">
        <v>2</v>
      </c>
      <c r="E1983" s="68">
        <f>VLOOKUP(C1983,Sheet1!$I$7:$R$39,10,0)</f>
        <v>4</v>
      </c>
      <c r="F1983" s="1413"/>
      <c r="G1983" s="1413"/>
      <c r="H1983" s="1414"/>
      <c r="I1983" s="1406">
        <f t="shared" si="574"/>
        <v>8</v>
      </c>
      <c r="Q1983" s="1394">
        <f>IFERROR(VLOOKUP(M1983,#REF!,3,0),0)</f>
        <v>0</v>
      </c>
      <c r="R1983" s="1394">
        <f t="shared" si="570"/>
        <v>0</v>
      </c>
      <c r="S1983" s="1394">
        <f>IFERROR(VLOOKUP(M1983,#REF!,6,0),0)</f>
        <v>0</v>
      </c>
      <c r="T1983" s="1394">
        <f t="shared" si="571"/>
        <v>0</v>
      </c>
      <c r="U1983" s="1394">
        <f>IFERROR(VLOOKUP(M1983,#REF!,5,0),0)</f>
        <v>0</v>
      </c>
      <c r="V1983" s="1394">
        <f t="shared" si="572"/>
        <v>0</v>
      </c>
      <c r="W1983" s="1394"/>
    </row>
    <row r="1984" spans="1:26" ht="30" customHeight="1">
      <c r="B1984" s="1407"/>
      <c r="C1984" s="1455" t="s">
        <v>5508</v>
      </c>
      <c r="D1984" s="103">
        <v>1</v>
      </c>
      <c r="E1984" s="68">
        <f>VLOOKUP(C1984,Sheet1!$I$7:$R$39,10,0)</f>
        <v>1</v>
      </c>
      <c r="F1984" s="1413"/>
      <c r="G1984" s="1413"/>
      <c r="H1984" s="1414"/>
      <c r="I1984" s="1406">
        <f t="shared" si="574"/>
        <v>1</v>
      </c>
      <c r="Q1984" s="1394">
        <f>IFERROR(VLOOKUP(M1984,#REF!,3,0),0)</f>
        <v>0</v>
      </c>
      <c r="R1984" s="1394">
        <f t="shared" si="570"/>
        <v>0</v>
      </c>
      <c r="S1984" s="1394">
        <f>IFERROR(VLOOKUP(M1984,#REF!,6,0),0)</f>
        <v>0</v>
      </c>
      <c r="T1984" s="1394">
        <f t="shared" si="571"/>
        <v>0</v>
      </c>
      <c r="U1984" s="1394">
        <f>IFERROR(VLOOKUP(M1984,#REF!,5,0),0)</f>
        <v>0</v>
      </c>
      <c r="V1984" s="1394">
        <f t="shared" si="572"/>
        <v>0</v>
      </c>
      <c r="W1984" s="1394"/>
    </row>
    <row r="1985" spans="1:26" ht="30" customHeight="1">
      <c r="B1985" s="1407"/>
      <c r="C1985" s="1412" t="s">
        <v>5509</v>
      </c>
      <c r="D1985" s="103">
        <v>1</v>
      </c>
      <c r="E1985" s="68">
        <f>VLOOKUP(C1985,Sheet1!$I$7:$R$39,10,0)</f>
        <v>4</v>
      </c>
      <c r="F1985" s="1413"/>
      <c r="G1985" s="1413"/>
      <c r="H1985" s="1414"/>
      <c r="I1985" s="1406">
        <f t="shared" si="574"/>
        <v>4</v>
      </c>
      <c r="Q1985" s="1394">
        <f>IFERROR(VLOOKUP(M1985,#REF!,3,0),0)</f>
        <v>0</v>
      </c>
      <c r="R1985" s="1394">
        <f t="shared" si="570"/>
        <v>0</v>
      </c>
      <c r="S1985" s="1394">
        <f>IFERROR(VLOOKUP(M1985,#REF!,6,0),0)</f>
        <v>0</v>
      </c>
      <c r="T1985" s="1394">
        <f t="shared" si="571"/>
        <v>0</v>
      </c>
      <c r="U1985" s="1394">
        <f>IFERROR(VLOOKUP(M1985,#REF!,5,0),0)</f>
        <v>0</v>
      </c>
      <c r="V1985" s="1394">
        <f t="shared" si="572"/>
        <v>0</v>
      </c>
      <c r="W1985" s="1394"/>
    </row>
    <row r="1986" spans="1:26" ht="30" customHeight="1">
      <c r="B1986" s="1407"/>
      <c r="C1986" s="1455" t="s">
        <v>25</v>
      </c>
      <c r="D1986" s="103">
        <v>1</v>
      </c>
      <c r="E1986" s="68">
        <f>VLOOKUP(C1986,Sheet1!$I$7:$R$39,10,0)</f>
        <v>16</v>
      </c>
      <c r="F1986" s="1413"/>
      <c r="G1986" s="1413"/>
      <c r="H1986" s="1414"/>
      <c r="I1986" s="1406">
        <f t="shared" si="574"/>
        <v>16</v>
      </c>
      <c r="Q1986" s="1394">
        <f>IFERROR(VLOOKUP(M1986,#REF!,3,0),0)</f>
        <v>0</v>
      </c>
      <c r="R1986" s="1394">
        <f t="shared" si="570"/>
        <v>0</v>
      </c>
      <c r="S1986" s="1394">
        <f>IFERROR(VLOOKUP(M1986,#REF!,6,0),0)</f>
        <v>0</v>
      </c>
      <c r="T1986" s="1394">
        <f t="shared" si="571"/>
        <v>0</v>
      </c>
      <c r="U1986" s="1394">
        <f>IFERROR(VLOOKUP(M1986,#REF!,5,0),0)</f>
        <v>0</v>
      </c>
      <c r="V1986" s="1394">
        <f t="shared" si="572"/>
        <v>0</v>
      </c>
      <c r="W1986" s="1394"/>
    </row>
    <row r="1987" spans="1:26" ht="30" customHeight="1">
      <c r="B1987" s="1407"/>
      <c r="C1987" s="1412" t="s">
        <v>342</v>
      </c>
      <c r="D1987" s="103">
        <v>1</v>
      </c>
      <c r="E1987" s="68">
        <f>VLOOKUP(C1987,Sheet1!$I$7:$R$39,10,0)</f>
        <v>1</v>
      </c>
      <c r="F1987" s="1413"/>
      <c r="G1987" s="1413"/>
      <c r="H1987" s="1414"/>
      <c r="I1987" s="1406">
        <f t="shared" si="574"/>
        <v>1</v>
      </c>
      <c r="Q1987" s="1394">
        <f>IFERROR(VLOOKUP(M1987,#REF!,3,0),0)</f>
        <v>0</v>
      </c>
      <c r="R1987" s="1394">
        <f t="shared" si="570"/>
        <v>0</v>
      </c>
      <c r="S1987" s="1394">
        <f>IFERROR(VLOOKUP(M1987,#REF!,6,0),0)</f>
        <v>0</v>
      </c>
      <c r="T1987" s="1394">
        <f t="shared" si="571"/>
        <v>0</v>
      </c>
      <c r="U1987" s="1394">
        <f>IFERROR(VLOOKUP(M1987,#REF!,5,0),0)</f>
        <v>0</v>
      </c>
      <c r="V1987" s="1394">
        <f t="shared" si="572"/>
        <v>0</v>
      </c>
      <c r="W1987" s="1394"/>
    </row>
    <row r="1988" spans="1:26" ht="30" customHeight="1">
      <c r="B1988" s="1407"/>
      <c r="C1988" s="1455" t="s">
        <v>193</v>
      </c>
      <c r="D1988" s="103">
        <v>1</v>
      </c>
      <c r="E1988" s="68">
        <f>VLOOKUP(C1988,Sheet1!$I$7:$R$39,10,0)</f>
        <v>4</v>
      </c>
      <c r="F1988" s="1413"/>
      <c r="G1988" s="1413"/>
      <c r="H1988" s="1414"/>
      <c r="I1988" s="1406">
        <f t="shared" si="574"/>
        <v>4</v>
      </c>
      <c r="Q1988" s="1394">
        <f>IFERROR(VLOOKUP(M1988,#REF!,3,0),0)</f>
        <v>0</v>
      </c>
      <c r="R1988" s="1394">
        <f t="shared" si="570"/>
        <v>0</v>
      </c>
      <c r="S1988" s="1394">
        <f>IFERROR(VLOOKUP(M1988,#REF!,6,0),0)</f>
        <v>0</v>
      </c>
      <c r="T1988" s="1394">
        <f t="shared" si="571"/>
        <v>0</v>
      </c>
      <c r="U1988" s="1394">
        <f>IFERROR(VLOOKUP(M1988,#REF!,5,0),0)</f>
        <v>0</v>
      </c>
      <c r="V1988" s="1394">
        <f t="shared" si="572"/>
        <v>0</v>
      </c>
      <c r="W1988" s="1394"/>
    </row>
    <row r="1989" spans="1:26" ht="30" customHeight="1">
      <c r="B1989" s="1407"/>
      <c r="C1989" s="1455" t="s">
        <v>5517</v>
      </c>
      <c r="D1989" s="103">
        <v>1</v>
      </c>
      <c r="E1989" s="68">
        <f>VLOOKUP(C1989,Sheet1!$I$7:$R$39,10,0)</f>
        <v>1</v>
      </c>
      <c r="F1989" s="1413"/>
      <c r="G1989" s="1413"/>
      <c r="H1989" s="1414"/>
      <c r="I1989" s="1406">
        <f t="shared" si="574"/>
        <v>1</v>
      </c>
      <c r="Q1989" s="1394">
        <f>IFERROR(VLOOKUP(M1989,#REF!,3,0),0)</f>
        <v>0</v>
      </c>
      <c r="R1989" s="1394">
        <f t="shared" si="570"/>
        <v>0</v>
      </c>
      <c r="S1989" s="1394">
        <f>IFERROR(VLOOKUP(M1989,#REF!,6,0),0)</f>
        <v>0</v>
      </c>
      <c r="T1989" s="1394">
        <f t="shared" si="571"/>
        <v>0</v>
      </c>
      <c r="U1989" s="1394">
        <f>IFERROR(VLOOKUP(M1989,#REF!,5,0),0)</f>
        <v>0</v>
      </c>
      <c r="V1989" s="1394">
        <f t="shared" si="572"/>
        <v>0</v>
      </c>
      <c r="W1989" s="1394"/>
    </row>
    <row r="1990" spans="1:26" ht="30" customHeight="1">
      <c r="B1990" s="1407"/>
      <c r="C1990" s="1412" t="s">
        <v>5577</v>
      </c>
      <c r="D1990" s="103">
        <v>1</v>
      </c>
      <c r="E1990" s="68">
        <f>VLOOKUP(C1990,Sheet1!$I$7:$R$39,10,0)</f>
        <v>1</v>
      </c>
      <c r="F1990" s="1413"/>
      <c r="G1990" s="1413"/>
      <c r="H1990" s="1414"/>
      <c r="I1990" s="1406">
        <f t="shared" si="574"/>
        <v>1</v>
      </c>
      <c r="Q1990" s="1394">
        <f>IFERROR(VLOOKUP(M1990,#REF!,3,0),0)</f>
        <v>0</v>
      </c>
      <c r="R1990" s="1394">
        <f t="shared" si="570"/>
        <v>0</v>
      </c>
      <c r="S1990" s="1394">
        <f>IFERROR(VLOOKUP(M1990,#REF!,6,0),0)</f>
        <v>0</v>
      </c>
      <c r="T1990" s="1394">
        <f t="shared" si="571"/>
        <v>0</v>
      </c>
      <c r="U1990" s="1394">
        <f>IFERROR(VLOOKUP(M1990,#REF!,5,0),0)</f>
        <v>0</v>
      </c>
      <c r="V1990" s="1394">
        <f t="shared" si="572"/>
        <v>0</v>
      </c>
      <c r="W1990" s="1394"/>
    </row>
    <row r="1991" spans="1:26" ht="30" customHeight="1">
      <c r="B1991" s="1407"/>
      <c r="C1991" s="1455"/>
      <c r="D1991" s="103"/>
      <c r="E1991" s="103"/>
      <c r="F1991" s="1413"/>
      <c r="G1991" s="1413"/>
      <c r="H1991" s="1414"/>
      <c r="I1991" s="1479">
        <f>SUM(I1981:I1990)</f>
        <v>38</v>
      </c>
      <c r="Q1991" s="1394">
        <f>IFERROR(VLOOKUP(M1991,#REF!,3,0),0)</f>
        <v>0</v>
      </c>
      <c r="R1991" s="1394">
        <f t="shared" si="570"/>
        <v>0</v>
      </c>
      <c r="S1991" s="1394">
        <f>IFERROR(VLOOKUP(M1991,#REF!,6,0),0)</f>
        <v>0</v>
      </c>
      <c r="T1991" s="1394">
        <f t="shared" si="571"/>
        <v>0</v>
      </c>
      <c r="U1991" s="1394">
        <f>IFERROR(VLOOKUP(M1991,#REF!,5,0),0)</f>
        <v>0</v>
      </c>
      <c r="V1991" s="1394">
        <f t="shared" si="572"/>
        <v>0</v>
      </c>
      <c r="W1991" s="1394"/>
    </row>
    <row r="1992" spans="1:26" ht="30" customHeight="1">
      <c r="B1992" s="1407"/>
      <c r="C1992" s="1455"/>
      <c r="D1992" s="103"/>
      <c r="E1992" s="103"/>
      <c r="F1992" s="1413"/>
      <c r="G1992" s="1483" t="s">
        <v>11</v>
      </c>
      <c r="H1992" s="1478">
        <f>I1991</f>
        <v>38</v>
      </c>
      <c r="I1992" s="1479" t="s">
        <v>13</v>
      </c>
      <c r="M1992" s="1426" t="str">
        <f>A1980</f>
        <v>S&amp;F of Magnetic door catches</v>
      </c>
      <c r="N1992" s="1426">
        <f>B1980</f>
        <v>23.3</v>
      </c>
      <c r="O1992" s="1394">
        <f>H1992</f>
        <v>38</v>
      </c>
      <c r="P1992" s="1394" t="str">
        <f>I1992</f>
        <v>Nos</v>
      </c>
      <c r="Q1992" s="1394">
        <f>IFERROR(VLOOKUP(M1992,#REF!,3,0),0)</f>
        <v>0</v>
      </c>
      <c r="R1992" s="1394">
        <f t="shared" si="570"/>
        <v>0</v>
      </c>
      <c r="S1992" s="1394">
        <f>IFERROR(VLOOKUP(M1992,#REF!,6,0),0)</f>
        <v>0</v>
      </c>
      <c r="T1992" s="1394">
        <f t="shared" si="571"/>
        <v>0</v>
      </c>
      <c r="U1992" s="1394">
        <f>IFERROR(VLOOKUP(M1992,#REF!,5,0),0)</f>
        <v>0</v>
      </c>
      <c r="V1992" s="1394">
        <f t="shared" si="572"/>
        <v>38</v>
      </c>
      <c r="W1992" s="1394"/>
      <c r="Z1992" s="1394"/>
    </row>
    <row r="1993" spans="1:26" ht="47.25" customHeight="1">
      <c r="A1993" s="110" t="s">
        <v>371</v>
      </c>
      <c r="B1993" s="1405">
        <v>39</v>
      </c>
      <c r="C1993" s="1678" t="e">
        <f>VLOOKUP(A1993,#REF!,2,0)</f>
        <v>#REF!</v>
      </c>
      <c r="D1993" s="1678"/>
      <c r="E1993" s="1678"/>
      <c r="F1993" s="1678"/>
      <c r="G1993" s="1678"/>
      <c r="H1993" s="1678"/>
      <c r="I1993" s="1479"/>
      <c r="Q1993" s="1394">
        <f>IFERROR(VLOOKUP(M1993,#REF!,3,0),0)</f>
        <v>0</v>
      </c>
      <c r="R1993" s="1394">
        <f t="shared" si="570"/>
        <v>0</v>
      </c>
      <c r="S1993" s="1394">
        <f>IFERROR(VLOOKUP(M1993,#REF!,6,0),0)</f>
        <v>0</v>
      </c>
      <c r="T1993" s="1394">
        <f t="shared" si="571"/>
        <v>0</v>
      </c>
      <c r="U1993" s="1394">
        <f>IFERROR(VLOOKUP(M1993,#REF!,5,0),0)</f>
        <v>0</v>
      </c>
      <c r="V1993" s="1394">
        <f t="shared" si="572"/>
        <v>0</v>
      </c>
      <c r="W1993" s="1394"/>
      <c r="X1993" s="1397"/>
    </row>
    <row r="1994" spans="1:26" ht="30" customHeight="1">
      <c r="B1994" s="1407"/>
      <c r="C1994" s="1494" t="s">
        <v>365</v>
      </c>
      <c r="D1994" s="68"/>
      <c r="E1994" s="68"/>
      <c r="F1994" s="1499"/>
      <c r="G1994" s="1499"/>
      <c r="H1994" s="1500"/>
      <c r="I1994" s="1425">
        <f t="shared" ref="I1994:I2000" si="575">PRODUCT(D1994:H1994)</f>
        <v>0</v>
      </c>
      <c r="Q1994" s="1394">
        <f>IFERROR(VLOOKUP(M1994,#REF!,3,0),0)</f>
        <v>0</v>
      </c>
      <c r="R1994" s="1394">
        <f t="shared" si="570"/>
        <v>0</v>
      </c>
      <c r="S1994" s="1394">
        <f>IFERROR(VLOOKUP(M1994,#REF!,6,0),0)</f>
        <v>0</v>
      </c>
      <c r="T1994" s="1394">
        <f t="shared" si="571"/>
        <v>0</v>
      </c>
      <c r="U1994" s="1394">
        <f>IFERROR(VLOOKUP(M1994,#REF!,5,0),0)</f>
        <v>0</v>
      </c>
      <c r="V1994" s="1394">
        <f t="shared" si="572"/>
        <v>0</v>
      </c>
      <c r="W1994" s="1394"/>
    </row>
    <row r="1995" spans="1:26" ht="30" customHeight="1">
      <c r="B1995" s="1407"/>
      <c r="C1995" s="1497" t="s">
        <v>5516</v>
      </c>
      <c r="D1995" s="68">
        <v>1</v>
      </c>
      <c r="E1995" s="68">
        <f>VLOOKUP(C1995,Sheet1!$I$7:$R$39,10,0)</f>
        <v>1</v>
      </c>
      <c r="F1995" s="1495">
        <f>VLOOKUP(C1995,Sheet1!$I$7:$R$39,2,0)</f>
        <v>1.8</v>
      </c>
      <c r="G1995" s="1495"/>
      <c r="H1995" s="1501">
        <f>VLOOKUP(C1995,Sheet1!$I$7:$R$39,3,0)</f>
        <v>1.8</v>
      </c>
      <c r="I1995" s="1425">
        <f t="shared" si="575"/>
        <v>3.24</v>
      </c>
      <c r="Q1995" s="1394">
        <f>IFERROR(VLOOKUP(M1995,#REF!,3,0),0)</f>
        <v>0</v>
      </c>
      <c r="R1995" s="1394">
        <f t="shared" si="570"/>
        <v>0</v>
      </c>
      <c r="S1995" s="1394">
        <f>IFERROR(VLOOKUP(M1995,#REF!,6,0),0)</f>
        <v>0</v>
      </c>
      <c r="T1995" s="1394">
        <f t="shared" si="571"/>
        <v>0</v>
      </c>
      <c r="U1995" s="1394">
        <f>IFERROR(VLOOKUP(M1995,#REF!,5,0),0)</f>
        <v>0</v>
      </c>
      <c r="V1995" s="1394">
        <f t="shared" si="572"/>
        <v>0</v>
      </c>
      <c r="W1995" s="1394"/>
    </row>
    <row r="1996" spans="1:26" ht="30" customHeight="1">
      <c r="B1996" s="1407"/>
      <c r="C1996" s="1497" t="s">
        <v>190</v>
      </c>
      <c r="D1996" s="68">
        <v>1</v>
      </c>
      <c r="E1996" s="68">
        <f>VLOOKUP(C1996,Sheet1!$I$7:$R$39,10,0)</f>
        <v>6</v>
      </c>
      <c r="F1996" s="1495">
        <f>VLOOKUP(C1996,Sheet1!$I$7:$R$39,2,0)</f>
        <v>0.81299999999999994</v>
      </c>
      <c r="G1996" s="1495"/>
      <c r="H1996" s="1501">
        <f>VLOOKUP(C1996,Sheet1!$I$7:$R$39,3,0)</f>
        <v>1.8</v>
      </c>
      <c r="I1996" s="1425">
        <f t="shared" si="575"/>
        <v>8.7804000000000002</v>
      </c>
      <c r="M1996" s="110"/>
      <c r="Q1996" s="1394">
        <f>IFERROR(VLOOKUP(M1996,#REF!,3,0),0)</f>
        <v>0</v>
      </c>
      <c r="R1996" s="1394">
        <f t="shared" si="570"/>
        <v>0</v>
      </c>
      <c r="S1996" s="1394">
        <f>IFERROR(VLOOKUP(M1996,#REF!,6,0),0)</f>
        <v>0</v>
      </c>
      <c r="T1996" s="1394">
        <f t="shared" si="571"/>
        <v>0</v>
      </c>
      <c r="U1996" s="1394">
        <f>IFERROR(VLOOKUP(M1996,#REF!,5,0),0)</f>
        <v>0</v>
      </c>
      <c r="V1996" s="1394">
        <f t="shared" si="572"/>
        <v>0</v>
      </c>
      <c r="W1996" s="1394"/>
    </row>
    <row r="1997" spans="1:26" ht="30" customHeight="1">
      <c r="B1997" s="1407"/>
      <c r="C1997" s="1497" t="s">
        <v>5511</v>
      </c>
      <c r="D1997" s="68">
        <v>1</v>
      </c>
      <c r="E1997" s="68">
        <f>VLOOKUP(C1997,Sheet1!$I$7:$R$39,10,0)</f>
        <v>2</v>
      </c>
      <c r="F1997" s="1495">
        <f>VLOOKUP(C1997,Sheet1!$I$7:$R$39,2,0)</f>
        <v>1.8</v>
      </c>
      <c r="G1997" s="1495"/>
      <c r="H1997" s="1501">
        <f>VLOOKUP(C1997,Sheet1!$I$7:$R$39,3,0)</f>
        <v>1.8</v>
      </c>
      <c r="I1997" s="1425">
        <f t="shared" si="575"/>
        <v>6.48</v>
      </c>
      <c r="M1997" s="110"/>
      <c r="Q1997" s="1394">
        <f>IFERROR(VLOOKUP(M1997,#REF!,3,0),0)</f>
        <v>0</v>
      </c>
      <c r="R1997" s="1394">
        <f t="shared" si="570"/>
        <v>0</v>
      </c>
      <c r="S1997" s="1394">
        <f>IFERROR(VLOOKUP(M1997,#REF!,6,0),0)</f>
        <v>0</v>
      </c>
      <c r="T1997" s="1394">
        <f t="shared" si="571"/>
        <v>0</v>
      </c>
      <c r="U1997" s="1394">
        <f>IFERROR(VLOOKUP(M1997,#REF!,5,0),0)</f>
        <v>0</v>
      </c>
      <c r="V1997" s="1394">
        <f t="shared" si="572"/>
        <v>0</v>
      </c>
      <c r="W1997" s="1394"/>
    </row>
    <row r="1998" spans="1:26" ht="30" customHeight="1">
      <c r="B1998" s="1407"/>
      <c r="C1998" s="1497" t="s">
        <v>5512</v>
      </c>
      <c r="D1998" s="68">
        <v>1</v>
      </c>
      <c r="E1998" s="68">
        <f>VLOOKUP(C1998,Sheet1!$I$7:$R$39,10,0)</f>
        <v>1</v>
      </c>
      <c r="F1998" s="1495">
        <f>VLOOKUP(C1998,Sheet1!$I$7:$R$39,2,0)</f>
        <v>1.5</v>
      </c>
      <c r="G1998" s="1495"/>
      <c r="H1998" s="1501">
        <f>VLOOKUP(C1998,Sheet1!$I$7:$R$39,3,0)</f>
        <v>1.8</v>
      </c>
      <c r="I1998" s="1425">
        <f t="shared" si="575"/>
        <v>2.7</v>
      </c>
      <c r="M1998" s="110"/>
      <c r="Q1998" s="1394">
        <f>IFERROR(VLOOKUP(M1998,#REF!,3,0),0)</f>
        <v>0</v>
      </c>
      <c r="R1998" s="1394">
        <f t="shared" si="570"/>
        <v>0</v>
      </c>
      <c r="S1998" s="1394">
        <f>IFERROR(VLOOKUP(M1998,#REF!,6,0),0)</f>
        <v>0</v>
      </c>
      <c r="T1998" s="1394">
        <f t="shared" si="571"/>
        <v>0</v>
      </c>
      <c r="U1998" s="1394">
        <f>IFERROR(VLOOKUP(M1998,#REF!,5,0),0)</f>
        <v>0</v>
      </c>
      <c r="V1998" s="1394">
        <f t="shared" si="572"/>
        <v>0</v>
      </c>
      <c r="W1998" s="1394"/>
    </row>
    <row r="1999" spans="1:26" ht="30" customHeight="1">
      <c r="B1999" s="1407"/>
      <c r="C1999" s="1494" t="s">
        <v>5513</v>
      </c>
      <c r="D1999" s="68">
        <v>1</v>
      </c>
      <c r="E1999" s="68">
        <f>VLOOKUP(C1999,Sheet1!$I$7:$R$39,10,0)</f>
        <v>3</v>
      </c>
      <c r="F1999" s="1495">
        <f>VLOOKUP(C1999,Sheet1!$I$7:$R$39,2,0)</f>
        <v>2</v>
      </c>
      <c r="G1999" s="1495"/>
      <c r="H1999" s="1501">
        <f>VLOOKUP(C1999,Sheet1!$I$7:$R$39,3,0)</f>
        <v>1.8</v>
      </c>
      <c r="I1999" s="1425">
        <f t="shared" si="575"/>
        <v>10.8</v>
      </c>
      <c r="M1999" s="110"/>
      <c r="Q1999" s="1394">
        <f>IFERROR(VLOOKUP(M1999,#REF!,3,0),0)</f>
        <v>0</v>
      </c>
      <c r="R1999" s="1394">
        <f t="shared" si="570"/>
        <v>0</v>
      </c>
      <c r="S1999" s="1394">
        <f>IFERROR(VLOOKUP(M1999,#REF!,6,0),0)</f>
        <v>0</v>
      </c>
      <c r="T1999" s="1394">
        <f t="shared" si="571"/>
        <v>0</v>
      </c>
      <c r="U1999" s="1394">
        <f>IFERROR(VLOOKUP(M1999,#REF!,5,0),0)</f>
        <v>0</v>
      </c>
      <c r="V1999" s="1394">
        <f t="shared" si="572"/>
        <v>0</v>
      </c>
      <c r="W1999" s="1394"/>
    </row>
    <row r="2000" spans="1:26" ht="30" customHeight="1">
      <c r="B2000" s="1407"/>
      <c r="C2000" s="1497" t="s">
        <v>5514</v>
      </c>
      <c r="D2000" s="68">
        <v>1</v>
      </c>
      <c r="E2000" s="68">
        <f>VLOOKUP(C2000,Sheet1!$I$7:$R$39,10,0)</f>
        <v>6</v>
      </c>
      <c r="F2000" s="1495">
        <f>VLOOKUP(C2000,Sheet1!$I$7:$R$39,2,0)</f>
        <v>1.2</v>
      </c>
      <c r="G2000" s="1495"/>
      <c r="H2000" s="1501">
        <f>VLOOKUP(C2000,Sheet1!$I$7:$R$39,3,0)</f>
        <v>1.8</v>
      </c>
      <c r="I2000" s="1425">
        <f t="shared" si="575"/>
        <v>12.959999999999999</v>
      </c>
      <c r="M2000" s="110"/>
      <c r="Q2000" s="1394">
        <f>IFERROR(VLOOKUP(M2000,#REF!,3,0),0)</f>
        <v>0</v>
      </c>
      <c r="R2000" s="1394">
        <f t="shared" si="570"/>
        <v>0</v>
      </c>
      <c r="S2000" s="1394">
        <f>IFERROR(VLOOKUP(M2000,#REF!,6,0),0)</f>
        <v>0</v>
      </c>
      <c r="T2000" s="1394">
        <f t="shared" si="571"/>
        <v>0</v>
      </c>
      <c r="U2000" s="1394">
        <f>IFERROR(VLOOKUP(M2000,#REF!,5,0),0)</f>
        <v>0</v>
      </c>
      <c r="V2000" s="1394">
        <f t="shared" si="572"/>
        <v>0</v>
      </c>
      <c r="W2000" s="1394"/>
    </row>
    <row r="2001" spans="1:26" ht="30" customHeight="1">
      <c r="B2001" s="1407"/>
      <c r="C2001" s="1494"/>
      <c r="D2001" s="68"/>
      <c r="E2001" s="68"/>
      <c r="F2001" s="1499"/>
      <c r="G2001" s="1499"/>
      <c r="H2001" s="1499"/>
      <c r="I2001" s="1425"/>
      <c r="Q2001" s="1394">
        <f>IFERROR(VLOOKUP(M2001,#REF!,3,0),0)</f>
        <v>0</v>
      </c>
      <c r="R2001" s="1394">
        <f t="shared" si="570"/>
        <v>0</v>
      </c>
      <c r="S2001" s="1394">
        <f>IFERROR(VLOOKUP(M2001,#REF!,6,0),0)</f>
        <v>0</v>
      </c>
      <c r="T2001" s="1394">
        <f t="shared" si="571"/>
        <v>0</v>
      </c>
      <c r="U2001" s="1394">
        <f>IFERROR(VLOOKUP(M2001,#REF!,5,0),0)</f>
        <v>0</v>
      </c>
      <c r="V2001" s="1394">
        <f t="shared" si="572"/>
        <v>0</v>
      </c>
      <c r="W2001" s="1394"/>
    </row>
    <row r="2002" spans="1:26" ht="30" customHeight="1">
      <c r="B2002" s="1407"/>
      <c r="C2002" s="1455"/>
      <c r="D2002" s="103"/>
      <c r="E2002" s="103"/>
      <c r="F2002" s="1413"/>
      <c r="G2002" s="1413"/>
      <c r="H2002" s="1414"/>
      <c r="I2002" s="1425">
        <f>SUM(I1994:I2001)</f>
        <v>44.9604</v>
      </c>
      <c r="Q2002" s="1394">
        <f>IFERROR(VLOOKUP(M2002,#REF!,3,0),0)</f>
        <v>0</v>
      </c>
      <c r="R2002" s="1394">
        <f t="shared" si="570"/>
        <v>0</v>
      </c>
      <c r="S2002" s="1394">
        <f>IFERROR(VLOOKUP(M2002,#REF!,6,0),0)</f>
        <v>0</v>
      </c>
      <c r="T2002" s="1394">
        <f t="shared" si="571"/>
        <v>0</v>
      </c>
      <c r="U2002" s="1394">
        <f>IFERROR(VLOOKUP(M2002,#REF!,5,0),0)</f>
        <v>0</v>
      </c>
      <c r="V2002" s="1394">
        <f t="shared" si="572"/>
        <v>0</v>
      </c>
      <c r="W2002" s="1394"/>
    </row>
    <row r="2003" spans="1:26" ht="30" customHeight="1">
      <c r="B2003" s="1407"/>
      <c r="C2003" s="1455"/>
      <c r="D2003" s="103"/>
      <c r="E2003" s="103"/>
      <c r="F2003" s="1413">
        <f>I2002</f>
        <v>44.9604</v>
      </c>
      <c r="G2003" s="1413">
        <v>20</v>
      </c>
      <c r="H2003" s="1414"/>
      <c r="I2003" s="1406">
        <f>F2003*G2003</f>
        <v>899.20799999999997</v>
      </c>
      <c r="Q2003" s="1394">
        <f>IFERROR(VLOOKUP(M2003,#REF!,3,0),0)</f>
        <v>0</v>
      </c>
      <c r="R2003" s="1394">
        <f t="shared" si="570"/>
        <v>0</v>
      </c>
      <c r="S2003" s="1394">
        <f>IFERROR(VLOOKUP(M2003,#REF!,6,0),0)</f>
        <v>0</v>
      </c>
      <c r="T2003" s="1394">
        <f t="shared" si="571"/>
        <v>0</v>
      </c>
      <c r="U2003" s="1394">
        <f>IFERROR(VLOOKUP(M2003,#REF!,5,0),0)</f>
        <v>0</v>
      </c>
      <c r="V2003" s="1394">
        <f t="shared" si="572"/>
        <v>0</v>
      </c>
      <c r="W2003" s="1394"/>
    </row>
    <row r="2004" spans="1:26" ht="30" customHeight="1">
      <c r="B2004" s="1407"/>
      <c r="C2004" s="1455"/>
      <c r="D2004" s="103"/>
      <c r="E2004" s="103"/>
      <c r="F2004" s="1413"/>
      <c r="G2004" s="1413"/>
      <c r="H2004" s="1414"/>
      <c r="I2004" s="1406">
        <f>J2005-J2004</f>
        <v>0.79200000000003001</v>
      </c>
      <c r="J2004" s="1394">
        <f>SUM(I2003)</f>
        <v>899.20799999999997</v>
      </c>
      <c r="K2004" s="1394"/>
      <c r="Q2004" s="1394">
        <f>IFERROR(VLOOKUP(M2004,#REF!,3,0),0)</f>
        <v>0</v>
      </c>
      <c r="R2004" s="1394">
        <f t="shared" si="570"/>
        <v>0</v>
      </c>
      <c r="S2004" s="1394">
        <f>IFERROR(VLOOKUP(M2004,#REF!,6,0),0)</f>
        <v>0</v>
      </c>
      <c r="T2004" s="1394">
        <f t="shared" si="571"/>
        <v>0</v>
      </c>
      <c r="U2004" s="1394">
        <f>IFERROR(VLOOKUP(M2004,#REF!,5,0),0)</f>
        <v>0</v>
      </c>
      <c r="V2004" s="1394">
        <f t="shared" si="572"/>
        <v>0</v>
      </c>
      <c r="W2004" s="1394"/>
    </row>
    <row r="2005" spans="1:26" ht="30" customHeight="1">
      <c r="B2005" s="1407"/>
      <c r="C2005" s="1455"/>
      <c r="D2005" s="103"/>
      <c r="E2005" s="103"/>
      <c r="F2005" s="1413"/>
      <c r="G2005" s="1413"/>
      <c r="H2005" s="1414"/>
      <c r="I2005" s="1406">
        <f>SUM(I2003:I2004)</f>
        <v>900</v>
      </c>
      <c r="J2005" s="1394">
        <f>ROUNDUP(J2004,0)</f>
        <v>900</v>
      </c>
      <c r="K2005" s="1394"/>
      <c r="Q2005" s="1394">
        <f>IFERROR(VLOOKUP(M2005,#REF!,3,0),0)</f>
        <v>0</v>
      </c>
      <c r="R2005" s="1394">
        <f t="shared" si="570"/>
        <v>0</v>
      </c>
      <c r="S2005" s="1394">
        <f>IFERROR(VLOOKUP(M2005,#REF!,6,0),0)</f>
        <v>0</v>
      </c>
      <c r="T2005" s="1394">
        <f t="shared" si="571"/>
        <v>0</v>
      </c>
      <c r="U2005" s="1394">
        <f>IFERROR(VLOOKUP(M2005,#REF!,5,0),0)</f>
        <v>0</v>
      </c>
      <c r="V2005" s="1394">
        <f t="shared" si="572"/>
        <v>0</v>
      </c>
      <c r="W2005" s="1394"/>
    </row>
    <row r="2006" spans="1:26" ht="30" customHeight="1">
      <c r="B2006" s="1407"/>
      <c r="C2006" s="1455"/>
      <c r="D2006" s="103"/>
      <c r="E2006" s="103"/>
      <c r="F2006" s="1413"/>
      <c r="G2006" s="1483" t="s">
        <v>11</v>
      </c>
      <c r="H2006" s="1478">
        <f>I2005</f>
        <v>900</v>
      </c>
      <c r="I2006" s="1479" t="s">
        <v>40</v>
      </c>
      <c r="J2006" s="110" t="s">
        <v>373</v>
      </c>
      <c r="M2006" s="1426" t="str">
        <f>A1993</f>
        <v>M.s Grills</v>
      </c>
      <c r="N2006" s="1426">
        <f>B1993</f>
        <v>39</v>
      </c>
      <c r="O2006" s="1394">
        <f>H2006</f>
        <v>900</v>
      </c>
      <c r="P2006" s="1394" t="str">
        <f>I2006</f>
        <v>Kg</v>
      </c>
      <c r="Q2006" s="1394">
        <f>IFERROR(VLOOKUP(M2006,#REF!,3,0),0)</f>
        <v>0</v>
      </c>
      <c r="R2006" s="1394">
        <f t="shared" si="570"/>
        <v>0</v>
      </c>
      <c r="S2006" s="1394">
        <f>IFERROR(VLOOKUP(M2006,#REF!,6,0),0)</f>
        <v>0</v>
      </c>
      <c r="T2006" s="1394">
        <f t="shared" si="571"/>
        <v>0</v>
      </c>
      <c r="U2006" s="1394">
        <f>IFERROR(VLOOKUP(M2006,#REF!,5,0),0)</f>
        <v>0</v>
      </c>
      <c r="V2006" s="1394">
        <f t="shared" si="572"/>
        <v>900</v>
      </c>
      <c r="W2006" s="1394"/>
      <c r="Z2006" s="1394"/>
    </row>
    <row r="2007" spans="1:26" ht="30" customHeight="1">
      <c r="B2007" s="1407"/>
      <c r="C2007" s="1455"/>
      <c r="D2007" s="103"/>
      <c r="E2007" s="103"/>
      <c r="F2007" s="1413"/>
      <c r="G2007" s="1483"/>
      <c r="H2007" s="1478"/>
      <c r="I2007" s="1479"/>
      <c r="Q2007" s="1394">
        <f>IFERROR(VLOOKUP(M2007,#REF!,3,0),0)</f>
        <v>0</v>
      </c>
      <c r="R2007" s="1394">
        <f t="shared" si="570"/>
        <v>0</v>
      </c>
      <c r="S2007" s="1394">
        <f>IFERROR(VLOOKUP(M2007,#REF!,6,0),0)</f>
        <v>0</v>
      </c>
      <c r="T2007" s="1394">
        <f t="shared" si="571"/>
        <v>0</v>
      </c>
      <c r="U2007" s="1394">
        <f>IFERROR(VLOOKUP(M2007,#REF!,5,0),0)</f>
        <v>0</v>
      </c>
      <c r="V2007" s="1394">
        <f t="shared" si="572"/>
        <v>0</v>
      </c>
      <c r="W2007" s="1394"/>
    </row>
    <row r="2008" spans="1:26" ht="141.75" customHeight="1">
      <c r="A2008" s="110" t="s">
        <v>794</v>
      </c>
      <c r="B2008" s="1405">
        <v>24</v>
      </c>
      <c r="C2008" s="1678" t="str">
        <f>VLOOKUP($A2008,'[8]Development - i'!$B$5:$D$1441,2,0)</f>
        <v>Manufacturing and supplying of steel windows confirming to is 1038/1983 specification  with steel section used for fabrication of windows  as per is 7452/1982 specification and as per the approved type design for all size applicable for the work with iron oxidised handles with locking arrangements, peg stays and including cost for one coat of red oxide primer etc., complete and as directed by the departmental officers. (windows should be weighed excluding aluminium beeding and glass  panel. the standard models of window with grill design drawing are enclosed in the annexure. however the windows grill and design  should be got approved by the executive engineer before use.)</v>
      </c>
      <c r="D2008" s="1678"/>
      <c r="E2008" s="1678"/>
      <c r="F2008" s="1678"/>
      <c r="G2008" s="1678"/>
      <c r="H2008" s="1678"/>
      <c r="I2008" s="1406"/>
      <c r="Q2008" s="1394">
        <f>IFERROR(VLOOKUP(M2008,#REF!,3,0),0)</f>
        <v>0</v>
      </c>
      <c r="R2008" s="1394">
        <f t="shared" si="570"/>
        <v>0</v>
      </c>
      <c r="S2008" s="1394">
        <f>IFERROR(VLOOKUP(M2008,#REF!,6,0),0)</f>
        <v>0</v>
      </c>
      <c r="T2008" s="1394">
        <f t="shared" ref="T2008:T2025" si="576">R2008-S2008</f>
        <v>0</v>
      </c>
      <c r="U2008" s="1394">
        <f>IFERROR(VLOOKUP(M2008,#REF!,5,0),0)</f>
        <v>0</v>
      </c>
      <c r="V2008" s="1394">
        <f t="shared" ref="V2008:V2025" si="577">O2008-U2008</f>
        <v>0</v>
      </c>
      <c r="W2008" s="1394"/>
    </row>
    <row r="2009" spans="1:26" ht="30" customHeight="1">
      <c r="B2009" s="1407"/>
      <c r="C2009" s="1497" t="s">
        <v>248</v>
      </c>
      <c r="D2009" s="68">
        <v>1</v>
      </c>
      <c r="E2009" s="68">
        <f>VLOOKUP(C2009,Sheet1!$I$7:$R$39,10,0)</f>
        <v>3</v>
      </c>
      <c r="F2009" s="1495">
        <f>VLOOKUP(C2009,Sheet1!$I$7:$R$39,2,0)</f>
        <v>1.8</v>
      </c>
      <c r="G2009" s="1495">
        <v>25</v>
      </c>
      <c r="H2009" s="1501">
        <f>VLOOKUP(C2009,Sheet1!$I$7:$R$39,3,0)</f>
        <v>1.35</v>
      </c>
      <c r="I2009" s="1425">
        <f t="shared" ref="I2009:I2021" si="578">PRODUCT(D2009:H2009)</f>
        <v>182.25</v>
      </c>
      <c r="Q2009" s="1394">
        <f>IFERROR(VLOOKUP(M2009,#REF!,3,0),0)</f>
        <v>0</v>
      </c>
      <c r="R2009" s="1394">
        <f t="shared" si="570"/>
        <v>0</v>
      </c>
      <c r="S2009" s="1394">
        <f>IFERROR(VLOOKUP(M2009,#REF!,6,0),0)</f>
        <v>0</v>
      </c>
      <c r="T2009" s="1394">
        <f t="shared" si="576"/>
        <v>0</v>
      </c>
      <c r="U2009" s="1394">
        <f>IFERROR(VLOOKUP(M2009,#REF!,5,0),0)</f>
        <v>0</v>
      </c>
      <c r="V2009" s="1394">
        <f t="shared" si="577"/>
        <v>0</v>
      </c>
      <c r="W2009" s="1394"/>
    </row>
    <row r="2010" spans="1:26" ht="30" customHeight="1">
      <c r="B2010" s="1407"/>
      <c r="C2010" s="1497" t="s">
        <v>249</v>
      </c>
      <c r="D2010" s="68">
        <v>1</v>
      </c>
      <c r="E2010" s="68">
        <f>VLOOKUP(C2010,Sheet1!$I$7:$R$39,10,0)</f>
        <v>2</v>
      </c>
      <c r="F2010" s="1495">
        <f>VLOOKUP(C2010,Sheet1!$I$7:$R$39,2,0)</f>
        <v>1.5</v>
      </c>
      <c r="G2010" s="1495">
        <v>25</v>
      </c>
      <c r="H2010" s="1501">
        <f>VLOOKUP(C2010,Sheet1!$I$7:$R$39,3,0)</f>
        <v>1.35</v>
      </c>
      <c r="I2010" s="1425">
        <f t="shared" si="578"/>
        <v>101.25</v>
      </c>
      <c r="Q2010" s="1394">
        <f>IFERROR(VLOOKUP(M2010,#REF!,3,0),0)</f>
        <v>0</v>
      </c>
      <c r="R2010" s="1394">
        <f t="shared" si="570"/>
        <v>0</v>
      </c>
      <c r="S2010" s="1394">
        <f>IFERROR(VLOOKUP(M2010,#REF!,6,0),0)</f>
        <v>0</v>
      </c>
      <c r="T2010" s="1394">
        <f t="shared" si="576"/>
        <v>0</v>
      </c>
      <c r="U2010" s="1394">
        <f>IFERROR(VLOOKUP(M2010,#REF!,5,0),0)</f>
        <v>0</v>
      </c>
      <c r="V2010" s="1394">
        <f t="shared" si="577"/>
        <v>0</v>
      </c>
      <c r="W2010" s="1394"/>
    </row>
    <row r="2011" spans="1:26" ht="30" customHeight="1">
      <c r="B2011" s="1407"/>
      <c r="C2011" s="1497" t="s">
        <v>250</v>
      </c>
      <c r="D2011" s="68">
        <v>1</v>
      </c>
      <c r="E2011" s="68">
        <f>VLOOKUP(C2011,Sheet1!$I$7:$R$39,10,0)</f>
        <v>37</v>
      </c>
      <c r="F2011" s="1495">
        <f>VLOOKUP(C2011,Sheet1!$I$7:$R$39,2,0)</f>
        <v>1.2</v>
      </c>
      <c r="G2011" s="1495">
        <v>25</v>
      </c>
      <c r="H2011" s="1501">
        <f>VLOOKUP(C2011,Sheet1!$I$7:$R$39,3,0)</f>
        <v>1.35</v>
      </c>
      <c r="I2011" s="1425">
        <f t="shared" si="578"/>
        <v>1498.5</v>
      </c>
      <c r="Q2011" s="1394">
        <f>IFERROR(VLOOKUP(M2011,#REF!,3,0),0)</f>
        <v>0</v>
      </c>
      <c r="R2011" s="1394">
        <f t="shared" si="570"/>
        <v>0</v>
      </c>
      <c r="S2011" s="1394">
        <f>IFERROR(VLOOKUP(M2011,#REF!,6,0),0)</f>
        <v>0</v>
      </c>
      <c r="T2011" s="1394">
        <f t="shared" si="576"/>
        <v>0</v>
      </c>
      <c r="U2011" s="1394">
        <f>IFERROR(VLOOKUP(M2011,#REF!,5,0),0)</f>
        <v>0</v>
      </c>
      <c r="V2011" s="1394">
        <f t="shared" si="577"/>
        <v>0</v>
      </c>
      <c r="W2011" s="1394"/>
    </row>
    <row r="2012" spans="1:26" ht="30" customHeight="1">
      <c r="B2012" s="1407"/>
      <c r="C2012" s="1497" t="s">
        <v>251</v>
      </c>
      <c r="D2012" s="68">
        <v>1</v>
      </c>
      <c r="E2012" s="68">
        <f>VLOOKUP(C2012,Sheet1!$I$7:$R$39,10,0)</f>
        <v>15</v>
      </c>
      <c r="F2012" s="1495">
        <f>VLOOKUP(C2012,Sheet1!$I$7:$R$39,2,0)</f>
        <v>1</v>
      </c>
      <c r="G2012" s="1495">
        <v>25</v>
      </c>
      <c r="H2012" s="1501">
        <f>VLOOKUP(C2012,Sheet1!$I$7:$R$39,3,0)</f>
        <v>1.35</v>
      </c>
      <c r="I2012" s="1425">
        <f t="shared" si="578"/>
        <v>506.25000000000006</v>
      </c>
      <c r="Q2012" s="1394">
        <f>IFERROR(VLOOKUP(M2012,#REF!,3,0),0)</f>
        <v>0</v>
      </c>
      <c r="R2012" s="1394">
        <f t="shared" si="570"/>
        <v>0</v>
      </c>
      <c r="S2012" s="1394">
        <f>IFERROR(VLOOKUP(M2012,#REF!,6,0),0)</f>
        <v>0</v>
      </c>
      <c r="T2012" s="1394">
        <f t="shared" si="576"/>
        <v>0</v>
      </c>
      <c r="U2012" s="1394">
        <f>IFERROR(VLOOKUP(M2012,#REF!,5,0),0)</f>
        <v>0</v>
      </c>
      <c r="V2012" s="1394">
        <f t="shared" si="577"/>
        <v>0</v>
      </c>
      <c r="W2012" s="1394"/>
    </row>
    <row r="2013" spans="1:26" ht="30" customHeight="1">
      <c r="B2013" s="1407"/>
      <c r="C2013" s="1497" t="s">
        <v>5518</v>
      </c>
      <c r="D2013" s="68">
        <v>1</v>
      </c>
      <c r="E2013" s="68">
        <f>VLOOKUP(C2013,Sheet1!$I$7:$R$39,10,0)</f>
        <v>4</v>
      </c>
      <c r="F2013" s="1495">
        <f>VLOOKUP(C2013,Sheet1!$I$7:$R$39,2,0)</f>
        <v>2.1</v>
      </c>
      <c r="G2013" s="1495">
        <v>25</v>
      </c>
      <c r="H2013" s="1501">
        <f>VLOOKUP(C2013,Sheet1!$I$7:$R$39,3,0)</f>
        <v>1.35</v>
      </c>
      <c r="I2013" s="1425">
        <f t="shared" si="578"/>
        <v>283.5</v>
      </c>
      <c r="Q2013" s="1394">
        <f>IFERROR(VLOOKUP(M2013,#REF!,3,0),0)</f>
        <v>0</v>
      </c>
      <c r="R2013" s="1394">
        <f t="shared" si="570"/>
        <v>0</v>
      </c>
      <c r="S2013" s="1394">
        <f>IFERROR(VLOOKUP(M2013,#REF!,6,0),0)</f>
        <v>0</v>
      </c>
      <c r="T2013" s="1394">
        <f t="shared" si="576"/>
        <v>0</v>
      </c>
      <c r="U2013" s="1394">
        <f>IFERROR(VLOOKUP(M2013,#REF!,5,0),0)</f>
        <v>0</v>
      </c>
      <c r="V2013" s="1394">
        <f t="shared" si="577"/>
        <v>0</v>
      </c>
      <c r="W2013" s="1394"/>
    </row>
    <row r="2014" spans="1:26" ht="30" customHeight="1">
      <c r="B2014" s="1407"/>
      <c r="C2014" s="1497" t="s">
        <v>255</v>
      </c>
      <c r="D2014" s="68">
        <v>1</v>
      </c>
      <c r="E2014" s="68">
        <f>VLOOKUP(C2014,Sheet1!$I$7:$R$39,10,0)</f>
        <v>5</v>
      </c>
      <c r="F2014" s="1495">
        <f>VLOOKUP(C2014,Sheet1!$I$7:$R$39,2,0)</f>
        <v>1.35</v>
      </c>
      <c r="G2014" s="1495">
        <v>25</v>
      </c>
      <c r="H2014" s="1501">
        <f>VLOOKUP(C2014,Sheet1!$I$7:$R$39,3,0)</f>
        <v>0.6</v>
      </c>
      <c r="I2014" s="1425">
        <f t="shared" si="578"/>
        <v>101.25</v>
      </c>
      <c r="Q2014" s="1394">
        <f>IFERROR(VLOOKUP(M2014,#REF!,3,0),0)</f>
        <v>0</v>
      </c>
      <c r="R2014" s="1394">
        <f t="shared" si="570"/>
        <v>0</v>
      </c>
      <c r="S2014" s="1394">
        <f>IFERROR(VLOOKUP(M2014,#REF!,6,0),0)</f>
        <v>0</v>
      </c>
      <c r="T2014" s="1394">
        <f t="shared" si="576"/>
        <v>0</v>
      </c>
      <c r="U2014" s="1394">
        <f>IFERROR(VLOOKUP(M2014,#REF!,5,0),0)</f>
        <v>0</v>
      </c>
      <c r="V2014" s="1394">
        <f t="shared" si="577"/>
        <v>0</v>
      </c>
      <c r="W2014" s="1394"/>
    </row>
    <row r="2015" spans="1:26" ht="30" customHeight="1">
      <c r="B2015" s="1407"/>
      <c r="C2015" s="1497" t="s">
        <v>254</v>
      </c>
      <c r="D2015" s="68">
        <v>1</v>
      </c>
      <c r="E2015" s="68">
        <f>VLOOKUP(C2015,Sheet1!$I$7:$R$39,10,0)</f>
        <v>1</v>
      </c>
      <c r="F2015" s="1495">
        <f>VLOOKUP(C2015,Sheet1!$I$7:$R$39,2,0)</f>
        <v>0.9</v>
      </c>
      <c r="G2015" s="1495">
        <v>25</v>
      </c>
      <c r="H2015" s="1501">
        <f>VLOOKUP(C2015,Sheet1!$I$7:$R$39,3,0)</f>
        <v>0.6</v>
      </c>
      <c r="I2015" s="1425">
        <f t="shared" si="578"/>
        <v>13.5</v>
      </c>
      <c r="Q2015" s="1394">
        <f>IFERROR(VLOOKUP(M2015,#REF!,3,0),0)</f>
        <v>0</v>
      </c>
      <c r="R2015" s="1394">
        <f t="shared" si="570"/>
        <v>0</v>
      </c>
      <c r="S2015" s="1394">
        <f>IFERROR(VLOOKUP(M2015,#REF!,6,0),0)</f>
        <v>0</v>
      </c>
      <c r="T2015" s="1394">
        <f t="shared" si="576"/>
        <v>0</v>
      </c>
      <c r="U2015" s="1394">
        <f>IFERROR(VLOOKUP(M2015,#REF!,5,0),0)</f>
        <v>0</v>
      </c>
      <c r="V2015" s="1394">
        <f t="shared" si="577"/>
        <v>0</v>
      </c>
      <c r="W2015" s="1394"/>
    </row>
    <row r="2016" spans="1:26" ht="30" customHeight="1">
      <c r="B2016" s="1407"/>
      <c r="C2016" s="1497" t="s">
        <v>253</v>
      </c>
      <c r="D2016" s="68">
        <v>1</v>
      </c>
      <c r="E2016" s="68">
        <f>VLOOKUP(C2016,Sheet1!$I$7:$R$39,10,0)</f>
        <v>4</v>
      </c>
      <c r="F2016" s="1495">
        <f>VLOOKUP(C2016,Sheet1!$I$7:$R$39,2,0)</f>
        <v>1</v>
      </c>
      <c r="G2016" s="1495">
        <v>25</v>
      </c>
      <c r="H2016" s="1501">
        <f>VLOOKUP(C2016,Sheet1!$I$7:$R$39,3,0)</f>
        <v>0.6</v>
      </c>
      <c r="I2016" s="1425">
        <f t="shared" si="578"/>
        <v>60</v>
      </c>
      <c r="Q2016" s="1394">
        <f>IFERROR(VLOOKUP(M2016,#REF!,3,0),0)</f>
        <v>0</v>
      </c>
      <c r="R2016" s="1394">
        <f t="shared" si="570"/>
        <v>0</v>
      </c>
      <c r="S2016" s="1394">
        <f>IFERROR(VLOOKUP(M2016,#REF!,6,0),0)</f>
        <v>0</v>
      </c>
      <c r="T2016" s="1394">
        <f t="shared" si="576"/>
        <v>0</v>
      </c>
      <c r="U2016" s="1394">
        <f>IFERROR(VLOOKUP(M2016,#REF!,5,0),0)</f>
        <v>0</v>
      </c>
      <c r="V2016" s="1394">
        <f t="shared" si="577"/>
        <v>0</v>
      </c>
      <c r="W2016" s="1394"/>
    </row>
    <row r="2017" spans="1:23" ht="30" customHeight="1">
      <c r="B2017" s="1407"/>
      <c r="C2017" s="1497" t="s">
        <v>372</v>
      </c>
      <c r="D2017" s="68">
        <v>1</v>
      </c>
      <c r="E2017" s="68">
        <f>VLOOKUP(C2017,Sheet1!$I$7:$R$39,10,0)</f>
        <v>4</v>
      </c>
      <c r="F2017" s="1495">
        <f>VLOOKUP(C2017,Sheet1!$I$7:$R$39,2,0)</f>
        <v>0.6</v>
      </c>
      <c r="G2017" s="1495">
        <v>25</v>
      </c>
      <c r="H2017" s="1501">
        <f>VLOOKUP(C2017,Sheet1!$I$7:$R$39,3,0)</f>
        <v>0.6</v>
      </c>
      <c r="I2017" s="1425">
        <f t="shared" si="578"/>
        <v>36</v>
      </c>
      <c r="Q2017" s="1394">
        <f>IFERROR(VLOOKUP(M2017,#REF!,3,0),0)</f>
        <v>0</v>
      </c>
      <c r="R2017" s="1394">
        <f t="shared" si="570"/>
        <v>0</v>
      </c>
      <c r="S2017" s="1394">
        <f>IFERROR(VLOOKUP(M2017,#REF!,6,0),0)</f>
        <v>0</v>
      </c>
      <c r="T2017" s="1394">
        <f t="shared" si="576"/>
        <v>0</v>
      </c>
      <c r="U2017" s="1394">
        <f>IFERROR(VLOOKUP(M2017,#REF!,5,0),0)</f>
        <v>0</v>
      </c>
      <c r="V2017" s="1394">
        <f t="shared" si="577"/>
        <v>0</v>
      </c>
      <c r="W2017" s="1394"/>
    </row>
    <row r="2018" spans="1:23" ht="30" customHeight="1">
      <c r="B2018" s="1407"/>
      <c r="C2018" s="1497" t="s">
        <v>257</v>
      </c>
      <c r="D2018" s="68">
        <v>1</v>
      </c>
      <c r="E2018" s="68">
        <f>VLOOKUP(C2018,Sheet1!$I$7:$R$39,10,0)</f>
        <v>16</v>
      </c>
      <c r="F2018" s="1495">
        <f>VLOOKUP(C2018,Sheet1!$I$7:$R$39,2,0)</f>
        <v>0.9</v>
      </c>
      <c r="G2018" s="1495">
        <v>25</v>
      </c>
      <c r="H2018" s="1501">
        <f>VLOOKUP(C2018,Sheet1!$I$7:$R$39,3,0)</f>
        <v>0.75</v>
      </c>
      <c r="I2018" s="1425">
        <f t="shared" si="578"/>
        <v>270</v>
      </c>
      <c r="Q2018" s="1394">
        <f>IFERROR(VLOOKUP(M2018,#REF!,3,0),0)</f>
        <v>0</v>
      </c>
      <c r="R2018" s="1394">
        <f t="shared" si="570"/>
        <v>0</v>
      </c>
      <c r="S2018" s="1394">
        <f>IFERROR(VLOOKUP(M2018,#REF!,6,0),0)</f>
        <v>0</v>
      </c>
      <c r="T2018" s="1394">
        <f t="shared" si="576"/>
        <v>0</v>
      </c>
      <c r="U2018" s="1394">
        <f>IFERROR(VLOOKUP(M2018,#REF!,5,0),0)</f>
        <v>0</v>
      </c>
      <c r="V2018" s="1394">
        <f t="shared" si="577"/>
        <v>0</v>
      </c>
      <c r="W2018" s="1394"/>
    </row>
    <row r="2019" spans="1:23" ht="30" customHeight="1">
      <c r="B2019" s="1407"/>
      <c r="C2019" s="1497" t="s">
        <v>5520</v>
      </c>
      <c r="D2019" s="68">
        <v>1</v>
      </c>
      <c r="E2019" s="68">
        <f>VLOOKUP(C2019,Sheet1!$I$7:$R$39,10,0)</f>
        <v>2</v>
      </c>
      <c r="F2019" s="1495">
        <f>VLOOKUP(C2019,Sheet1!$I$7:$R$39,2,0)</f>
        <v>0.9</v>
      </c>
      <c r="G2019" s="1495">
        <v>25</v>
      </c>
      <c r="H2019" s="1501">
        <f>VLOOKUP(C2019,Sheet1!$I$7:$R$39,3,0)</f>
        <v>0.75</v>
      </c>
      <c r="I2019" s="1425">
        <f t="shared" si="578"/>
        <v>33.75</v>
      </c>
      <c r="Q2019" s="1394">
        <f>IFERROR(VLOOKUP(M2019,#REF!,3,0),0)</f>
        <v>0</v>
      </c>
      <c r="R2019" s="1394">
        <f t="shared" si="570"/>
        <v>0</v>
      </c>
      <c r="S2019" s="1394">
        <f>IFERROR(VLOOKUP(M2019,#REF!,6,0),0)</f>
        <v>0</v>
      </c>
      <c r="T2019" s="1394">
        <f t="shared" si="576"/>
        <v>0</v>
      </c>
      <c r="U2019" s="1394">
        <f>IFERROR(VLOOKUP(M2019,#REF!,5,0),0)</f>
        <v>0</v>
      </c>
      <c r="V2019" s="1394">
        <f t="shared" si="577"/>
        <v>0</v>
      </c>
      <c r="W2019" s="1394"/>
    </row>
    <row r="2020" spans="1:23" ht="30" customHeight="1">
      <c r="B2020" s="1407"/>
      <c r="C2020" s="1497" t="s">
        <v>5515</v>
      </c>
      <c r="D2020" s="68">
        <v>1</v>
      </c>
      <c r="E2020" s="68">
        <f>VLOOKUP(C2020,Sheet1!$I$7:$R$39,10,0)</f>
        <v>1</v>
      </c>
      <c r="F2020" s="1495">
        <f>VLOOKUP(C2020,Sheet1!$I$7:$R$39,2,0)</f>
        <v>1.5</v>
      </c>
      <c r="G2020" s="1495">
        <v>25</v>
      </c>
      <c r="H2020" s="1501">
        <f>VLOOKUP(C2020,Sheet1!$I$7:$R$39,3,0)</f>
        <v>1.35</v>
      </c>
      <c r="I2020" s="1425">
        <f t="shared" si="578"/>
        <v>50.625</v>
      </c>
      <c r="Q2020" s="1394">
        <f>IFERROR(VLOOKUP(M2020,#REF!,3,0),0)</f>
        <v>0</v>
      </c>
      <c r="R2020" s="1394">
        <f t="shared" si="570"/>
        <v>0</v>
      </c>
      <c r="S2020" s="1394">
        <f>IFERROR(VLOOKUP(M2020,#REF!,6,0),0)</f>
        <v>0</v>
      </c>
      <c r="T2020" s="1394">
        <f t="shared" si="576"/>
        <v>0</v>
      </c>
      <c r="U2020" s="1394">
        <f>IFERROR(VLOOKUP(M2020,#REF!,5,0),0)</f>
        <v>0</v>
      </c>
      <c r="V2020" s="1394">
        <f t="shared" si="577"/>
        <v>0</v>
      </c>
      <c r="W2020" s="1394"/>
    </row>
    <row r="2021" spans="1:23" ht="30" customHeight="1">
      <c r="B2021" s="1407"/>
      <c r="C2021" s="1497" t="s">
        <v>252</v>
      </c>
      <c r="D2021" s="68">
        <v>1</v>
      </c>
      <c r="E2021" s="68">
        <f>VLOOKUP(C2021,Sheet1!$I$7:$R$39,10,0)</f>
        <v>4</v>
      </c>
      <c r="F2021" s="1495">
        <f>VLOOKUP(C2021,Sheet1!$I$7:$R$39,2,0)</f>
        <v>1.8</v>
      </c>
      <c r="G2021" s="1495">
        <v>25</v>
      </c>
      <c r="H2021" s="1501">
        <f>VLOOKUP(C2021,Sheet1!$I$7:$R$39,3,0)</f>
        <v>1.35</v>
      </c>
      <c r="I2021" s="1425">
        <f t="shared" si="578"/>
        <v>243.00000000000003</v>
      </c>
      <c r="Q2021" s="1394">
        <f>IFERROR(VLOOKUP(M2021,#REF!,3,0),0)</f>
        <v>0</v>
      </c>
      <c r="R2021" s="1394">
        <f t="shared" si="570"/>
        <v>0</v>
      </c>
      <c r="S2021" s="1394">
        <f>IFERROR(VLOOKUP(M2021,#REF!,6,0),0)</f>
        <v>0</v>
      </c>
      <c r="T2021" s="1394">
        <f t="shared" si="576"/>
        <v>0</v>
      </c>
      <c r="U2021" s="1394">
        <f>IFERROR(VLOOKUP(M2021,#REF!,5,0),0)</f>
        <v>0</v>
      </c>
      <c r="V2021" s="1394">
        <f t="shared" si="577"/>
        <v>0</v>
      </c>
      <c r="W2021" s="1394"/>
    </row>
    <row r="2022" spans="1:23" ht="30" customHeight="1">
      <c r="B2022" s="1407"/>
      <c r="C2022" s="1502"/>
      <c r="D2022" s="1503"/>
      <c r="E2022" s="1503"/>
      <c r="F2022" s="1504"/>
      <c r="G2022" s="1504"/>
      <c r="H2022" s="1505"/>
      <c r="I2022" s="1425"/>
      <c r="Q2022" s="1394">
        <f>IFERROR(VLOOKUP(M2022,#REF!,3,0),0)</f>
        <v>0</v>
      </c>
      <c r="R2022" s="1394">
        <f t="shared" si="570"/>
        <v>0</v>
      </c>
      <c r="S2022" s="1394">
        <f>IFERROR(VLOOKUP(M2022,#REF!,6,0),0)</f>
        <v>0</v>
      </c>
      <c r="T2022" s="1394">
        <f t="shared" si="576"/>
        <v>0</v>
      </c>
      <c r="U2022" s="1394">
        <f>IFERROR(VLOOKUP(M2022,#REF!,5,0),0)</f>
        <v>0</v>
      </c>
      <c r="V2022" s="1394">
        <f t="shared" si="577"/>
        <v>0</v>
      </c>
      <c r="W2022" s="1394"/>
    </row>
    <row r="2023" spans="1:23" s="1394" customFormat="1" ht="30" customHeight="1">
      <c r="B2023" s="1421"/>
      <c r="C2023" s="1422" t="s">
        <v>270</v>
      </c>
      <c r="D2023" s="1389"/>
      <c r="E2023" s="1389"/>
      <c r="F2023" s="1423"/>
      <c r="G2023" s="1423"/>
      <c r="H2023" s="1424"/>
      <c r="I2023" s="1425">
        <f>J2024-J2023</f>
        <v>2.5000000000090949E-2</v>
      </c>
      <c r="J2023" s="1394">
        <f>SUM(I2009:I2022)</f>
        <v>3379.875</v>
      </c>
      <c r="M2023" s="1426"/>
      <c r="Q2023" s="1394">
        <f>IFERROR(VLOOKUP(M2023,#REF!,3,0),0)</f>
        <v>0</v>
      </c>
      <c r="R2023" s="1394">
        <f t="shared" si="570"/>
        <v>0</v>
      </c>
      <c r="S2023" s="1394">
        <f>IFERROR(VLOOKUP(M2023,#REF!,6,0),0)</f>
        <v>0</v>
      </c>
      <c r="T2023" s="1394">
        <f t="shared" si="576"/>
        <v>0</v>
      </c>
      <c r="U2023" s="1394">
        <f>IFERROR(VLOOKUP(M2023,#REF!,5,0),0)</f>
        <v>0</v>
      </c>
      <c r="V2023" s="1394">
        <f t="shared" si="577"/>
        <v>0</v>
      </c>
    </row>
    <row r="2024" spans="1:23" s="1394" customFormat="1" ht="30" customHeight="1">
      <c r="B2024" s="1421"/>
      <c r="C2024" s="1422"/>
      <c r="D2024" s="1389"/>
      <c r="E2024" s="1389"/>
      <c r="F2024" s="1423"/>
      <c r="G2024" s="1423"/>
      <c r="H2024" s="1424"/>
      <c r="I2024" s="1427">
        <f>+J2024</f>
        <v>3379.9</v>
      </c>
      <c r="J2024" s="1394">
        <f>ROUNDUP(J2023,1)</f>
        <v>3379.9</v>
      </c>
      <c r="M2024" s="1426"/>
      <c r="Q2024" s="1394">
        <f>IFERROR(VLOOKUP(M2024,#REF!,3,0),0)</f>
        <v>0</v>
      </c>
      <c r="R2024" s="1394">
        <f t="shared" si="570"/>
        <v>0</v>
      </c>
      <c r="S2024" s="1394">
        <f>IFERROR(VLOOKUP(M2024,#REF!,6,0),0)</f>
        <v>0</v>
      </c>
      <c r="T2024" s="1394">
        <f t="shared" si="576"/>
        <v>0</v>
      </c>
      <c r="U2024" s="1394">
        <f>IFERROR(VLOOKUP(M2024,#REF!,5,0),0)</f>
        <v>0</v>
      </c>
      <c r="V2024" s="1394">
        <f t="shared" si="577"/>
        <v>0</v>
      </c>
    </row>
    <row r="2025" spans="1:23" s="1394" customFormat="1" ht="30" customHeight="1">
      <c r="B2025" s="1421"/>
      <c r="C2025" s="1422"/>
      <c r="D2025" s="1389"/>
      <c r="E2025" s="1389"/>
      <c r="F2025" s="1423"/>
      <c r="G2025" s="1428" t="s">
        <v>11</v>
      </c>
      <c r="H2025" s="1429">
        <f>I2024</f>
        <v>3379.9</v>
      </c>
      <c r="I2025" s="1427" t="s">
        <v>26</v>
      </c>
      <c r="M2025" s="1394" t="str">
        <f>A2008</f>
        <v>Manufacturing &amp; supply of steel windows (Weight basis)</v>
      </c>
      <c r="N2025" s="1394">
        <f>B2008</f>
        <v>24</v>
      </c>
      <c r="O2025" s="1394">
        <f>H2025</f>
        <v>3379.9</v>
      </c>
      <c r="P2025" s="1394" t="str">
        <f>I2025</f>
        <v>Sqm</v>
      </c>
      <c r="Q2025" s="1394">
        <f>IFERROR(VLOOKUP(M2025,#REF!,3,0),0)</f>
        <v>0</v>
      </c>
      <c r="R2025" s="1394">
        <f t="shared" si="570"/>
        <v>0</v>
      </c>
      <c r="S2025" s="1394">
        <f>IFERROR(VLOOKUP(M2025,#REF!,6,0),0)</f>
        <v>0</v>
      </c>
      <c r="T2025" s="1394">
        <f t="shared" si="576"/>
        <v>0</v>
      </c>
      <c r="U2025" s="1394">
        <f>IFERROR(VLOOKUP(M2025,#REF!,5,0),0)</f>
        <v>0</v>
      </c>
      <c r="V2025" s="1394">
        <f t="shared" si="577"/>
        <v>3379.9</v>
      </c>
    </row>
    <row r="2026" spans="1:23" ht="141.75" customHeight="1">
      <c r="A2026" s="1397" t="s">
        <v>1097</v>
      </c>
      <c r="B2026" s="1405"/>
      <c r="C2026" s="1678" t="str">
        <f>VLOOKUP($A2026,'[8]Development - i'!$B$5:$D$1441,2,0)</f>
        <v>Supplying and fixing of 4mm thick pin headed glass panels with aluminium anodized 'U'  shape beeding of size 12x12 mm with 107 gram in average weight for 1 m length with aluminium bolts and nuts for the shutters of the steel windows already supplied to suit all the size and as directed by the departmental officers.(The quality of glass and aluminium beeding should be got approved from the executive engineer before use)</v>
      </c>
      <c r="D2026" s="1678"/>
      <c r="E2026" s="1678"/>
      <c r="F2026" s="1678"/>
      <c r="G2026" s="1678"/>
      <c r="H2026" s="1678"/>
      <c r="I2026" s="1406"/>
      <c r="Q2026" s="1394">
        <f>IFERROR(VLOOKUP(M2026,#REF!,3,0),0)</f>
        <v>0</v>
      </c>
      <c r="R2026" s="1394">
        <f t="shared" si="570"/>
        <v>0</v>
      </c>
      <c r="S2026" s="1394">
        <f>IFERROR(VLOOKUP(M2026,#REF!,6,0),0)</f>
        <v>0</v>
      </c>
      <c r="T2026" s="1394">
        <f t="shared" si="571"/>
        <v>0</v>
      </c>
      <c r="U2026" s="1394">
        <f>IFERROR(VLOOKUP(M2026,#REF!,5,0),0)</f>
        <v>0</v>
      </c>
      <c r="V2026" s="1394">
        <f t="shared" si="572"/>
        <v>0</v>
      </c>
      <c r="W2026" s="1394"/>
    </row>
    <row r="2027" spans="1:23" ht="30" customHeight="1">
      <c r="B2027" s="1407"/>
      <c r="C2027" s="1497" t="s">
        <v>248</v>
      </c>
      <c r="D2027" s="68">
        <v>1</v>
      </c>
      <c r="E2027" s="68">
        <f>VLOOKUP(C2027,Sheet1!$I$7:$R$39,10,0)</f>
        <v>3</v>
      </c>
      <c r="F2027" s="1495">
        <f>VLOOKUP(C2027,Sheet1!$I$7:$R$39,2,0)</f>
        <v>1.8</v>
      </c>
      <c r="G2027" s="1495">
        <v>0.86</v>
      </c>
      <c r="H2027" s="1501">
        <f>VLOOKUP(C2027,Sheet1!$I$7:$R$39,3,0)</f>
        <v>1.35</v>
      </c>
      <c r="I2027" s="1425">
        <f t="shared" ref="I2027:I2039" si="579">PRODUCT(D2027:H2027)</f>
        <v>6.269400000000001</v>
      </c>
      <c r="Q2027" s="1394">
        <f>IFERROR(VLOOKUP(M2027,#REF!,3,0),0)</f>
        <v>0</v>
      </c>
      <c r="R2027" s="1394">
        <f t="shared" si="570"/>
        <v>0</v>
      </c>
      <c r="S2027" s="1394">
        <f>IFERROR(VLOOKUP(M2027,#REF!,6,0),0)</f>
        <v>0</v>
      </c>
      <c r="T2027" s="1394">
        <f t="shared" si="571"/>
        <v>0</v>
      </c>
      <c r="U2027" s="1394">
        <f>IFERROR(VLOOKUP(M2027,#REF!,5,0),0)</f>
        <v>0</v>
      </c>
      <c r="V2027" s="1394">
        <f t="shared" si="572"/>
        <v>0</v>
      </c>
      <c r="W2027" s="1394"/>
    </row>
    <row r="2028" spans="1:23" ht="30" customHeight="1">
      <c r="B2028" s="1407"/>
      <c r="C2028" s="1497" t="s">
        <v>249</v>
      </c>
      <c r="D2028" s="68">
        <v>1</v>
      </c>
      <c r="E2028" s="68">
        <f>VLOOKUP(C2028,Sheet1!$I$7:$R$39,10,0)</f>
        <v>2</v>
      </c>
      <c r="F2028" s="1495">
        <f>VLOOKUP(C2028,Sheet1!$I$7:$R$39,2,0)</f>
        <v>1.5</v>
      </c>
      <c r="G2028" s="1495">
        <v>0.86</v>
      </c>
      <c r="H2028" s="1501">
        <f>VLOOKUP(C2028,Sheet1!$I$7:$R$39,3,0)</f>
        <v>1.35</v>
      </c>
      <c r="I2028" s="1425">
        <f t="shared" si="579"/>
        <v>3.4830000000000005</v>
      </c>
      <c r="Q2028" s="1394">
        <f>IFERROR(VLOOKUP(M2028,#REF!,3,0),0)</f>
        <v>0</v>
      </c>
      <c r="R2028" s="1394">
        <f t="shared" si="570"/>
        <v>0</v>
      </c>
      <c r="S2028" s="1394">
        <f>IFERROR(VLOOKUP(M2028,#REF!,6,0),0)</f>
        <v>0</v>
      </c>
      <c r="T2028" s="1394">
        <f t="shared" si="571"/>
        <v>0</v>
      </c>
      <c r="U2028" s="1394">
        <f>IFERROR(VLOOKUP(M2028,#REF!,5,0),0)</f>
        <v>0</v>
      </c>
      <c r="V2028" s="1394">
        <f t="shared" si="572"/>
        <v>0</v>
      </c>
      <c r="W2028" s="1394"/>
    </row>
    <row r="2029" spans="1:23" ht="30" customHeight="1">
      <c r="B2029" s="1407"/>
      <c r="C2029" s="1497" t="s">
        <v>250</v>
      </c>
      <c r="D2029" s="68">
        <v>1</v>
      </c>
      <c r="E2029" s="68">
        <f>VLOOKUP(C2029,Sheet1!$I$7:$R$39,10,0)</f>
        <v>37</v>
      </c>
      <c r="F2029" s="1495">
        <f>VLOOKUP(C2029,Sheet1!$I$7:$R$39,2,0)</f>
        <v>1.2</v>
      </c>
      <c r="G2029" s="1495">
        <v>0.86</v>
      </c>
      <c r="H2029" s="1501">
        <f>VLOOKUP(C2029,Sheet1!$I$7:$R$39,3,0)</f>
        <v>1.35</v>
      </c>
      <c r="I2029" s="1425">
        <f t="shared" si="579"/>
        <v>51.548400000000001</v>
      </c>
      <c r="Q2029" s="1394">
        <f>IFERROR(VLOOKUP(M2029,#REF!,3,0),0)</f>
        <v>0</v>
      </c>
      <c r="R2029" s="1394">
        <f t="shared" si="570"/>
        <v>0</v>
      </c>
      <c r="S2029" s="1394">
        <f>IFERROR(VLOOKUP(M2029,#REF!,6,0),0)</f>
        <v>0</v>
      </c>
      <c r="T2029" s="1394">
        <f t="shared" si="571"/>
        <v>0</v>
      </c>
      <c r="U2029" s="1394">
        <f>IFERROR(VLOOKUP(M2029,#REF!,5,0),0)</f>
        <v>0</v>
      </c>
      <c r="V2029" s="1394">
        <f t="shared" si="572"/>
        <v>0</v>
      </c>
      <c r="W2029" s="1394"/>
    </row>
    <row r="2030" spans="1:23" ht="30" customHeight="1">
      <c r="B2030" s="1407"/>
      <c r="C2030" s="1497" t="s">
        <v>251</v>
      </c>
      <c r="D2030" s="68">
        <v>1</v>
      </c>
      <c r="E2030" s="68">
        <f>VLOOKUP(C2030,Sheet1!$I$7:$R$39,10,0)</f>
        <v>15</v>
      </c>
      <c r="F2030" s="1495">
        <f>VLOOKUP(C2030,Sheet1!$I$7:$R$39,2,0)</f>
        <v>1</v>
      </c>
      <c r="G2030" s="1495">
        <v>0.86</v>
      </c>
      <c r="H2030" s="1501">
        <f>VLOOKUP(C2030,Sheet1!$I$7:$R$39,3,0)</f>
        <v>1.35</v>
      </c>
      <c r="I2030" s="1425">
        <f t="shared" si="579"/>
        <v>17.415000000000003</v>
      </c>
      <c r="Q2030" s="1394">
        <f>IFERROR(VLOOKUP(M2030,#REF!,3,0),0)</f>
        <v>0</v>
      </c>
      <c r="R2030" s="1394">
        <f t="shared" ref="R2030:R2093" si="580">ROUND(O2030,2)*ROUND(Q2030,2)</f>
        <v>0</v>
      </c>
      <c r="S2030" s="1394">
        <f>IFERROR(VLOOKUP(M2030,#REF!,6,0),0)</f>
        <v>0</v>
      </c>
      <c r="T2030" s="1394">
        <f t="shared" si="571"/>
        <v>0</v>
      </c>
      <c r="U2030" s="1394">
        <f>IFERROR(VLOOKUP(M2030,#REF!,5,0),0)</f>
        <v>0</v>
      </c>
      <c r="V2030" s="1394">
        <f t="shared" si="572"/>
        <v>0</v>
      </c>
      <c r="W2030" s="1394"/>
    </row>
    <row r="2031" spans="1:23" ht="30" customHeight="1">
      <c r="B2031" s="1407"/>
      <c r="C2031" s="1497" t="s">
        <v>5518</v>
      </c>
      <c r="D2031" s="68">
        <v>1</v>
      </c>
      <c r="E2031" s="68">
        <f>VLOOKUP(C2031,Sheet1!$I$7:$R$39,10,0)</f>
        <v>4</v>
      </c>
      <c r="F2031" s="1495">
        <f>VLOOKUP(C2031,Sheet1!$I$7:$R$39,2,0)</f>
        <v>2.1</v>
      </c>
      <c r="G2031" s="1495">
        <v>0.86</v>
      </c>
      <c r="H2031" s="1501">
        <f>VLOOKUP(C2031,Sheet1!$I$7:$R$39,3,0)</f>
        <v>1.35</v>
      </c>
      <c r="I2031" s="1425">
        <f t="shared" si="579"/>
        <v>9.7524000000000015</v>
      </c>
      <c r="Q2031" s="1394">
        <f>IFERROR(VLOOKUP(M2031,#REF!,3,0),0)</f>
        <v>0</v>
      </c>
      <c r="R2031" s="1394">
        <f t="shared" si="580"/>
        <v>0</v>
      </c>
      <c r="S2031" s="1394">
        <f>IFERROR(VLOOKUP(M2031,#REF!,6,0),0)</f>
        <v>0</v>
      </c>
      <c r="T2031" s="1394">
        <f t="shared" si="571"/>
        <v>0</v>
      </c>
      <c r="U2031" s="1394">
        <f>IFERROR(VLOOKUP(M2031,#REF!,5,0),0)</f>
        <v>0</v>
      </c>
      <c r="V2031" s="1394">
        <f t="shared" si="572"/>
        <v>0</v>
      </c>
      <c r="W2031" s="1394"/>
    </row>
    <row r="2032" spans="1:23" ht="30" customHeight="1">
      <c r="B2032" s="1407"/>
      <c r="C2032" s="1497" t="s">
        <v>255</v>
      </c>
      <c r="D2032" s="68">
        <v>1</v>
      </c>
      <c r="E2032" s="68">
        <f>VLOOKUP(C2032,Sheet1!$I$7:$R$39,10,0)</f>
        <v>5</v>
      </c>
      <c r="F2032" s="1495">
        <f>VLOOKUP(C2032,Sheet1!$I$7:$R$39,2,0)</f>
        <v>1.35</v>
      </c>
      <c r="G2032" s="1495">
        <v>0.86</v>
      </c>
      <c r="H2032" s="1501">
        <f>VLOOKUP(C2032,Sheet1!$I$7:$R$39,3,0)</f>
        <v>0.6</v>
      </c>
      <c r="I2032" s="1425">
        <f t="shared" si="579"/>
        <v>3.4829999999999997</v>
      </c>
      <c r="Q2032" s="1394">
        <f>IFERROR(VLOOKUP(M2032,#REF!,3,0),0)</f>
        <v>0</v>
      </c>
      <c r="R2032" s="1394">
        <f t="shared" si="580"/>
        <v>0</v>
      </c>
      <c r="S2032" s="1394">
        <f>IFERROR(VLOOKUP(M2032,#REF!,6,0),0)</f>
        <v>0</v>
      </c>
      <c r="T2032" s="1394">
        <f t="shared" si="571"/>
        <v>0</v>
      </c>
      <c r="U2032" s="1394">
        <f>IFERROR(VLOOKUP(M2032,#REF!,5,0),0)</f>
        <v>0</v>
      </c>
      <c r="V2032" s="1394">
        <f t="shared" si="572"/>
        <v>0</v>
      </c>
      <c r="W2032" s="1394"/>
    </row>
    <row r="2033" spans="1:24" ht="30" customHeight="1">
      <c r="B2033" s="1407"/>
      <c r="C2033" s="1497" t="s">
        <v>254</v>
      </c>
      <c r="D2033" s="68">
        <v>1</v>
      </c>
      <c r="E2033" s="68">
        <f>VLOOKUP(C2033,Sheet1!$I$7:$R$39,10,0)</f>
        <v>1</v>
      </c>
      <c r="F2033" s="1495">
        <f>VLOOKUP(C2033,Sheet1!$I$7:$R$39,2,0)</f>
        <v>0.9</v>
      </c>
      <c r="G2033" s="1495">
        <v>0.86</v>
      </c>
      <c r="H2033" s="1501">
        <f>VLOOKUP(C2033,Sheet1!$I$7:$R$39,3,0)</f>
        <v>0.6</v>
      </c>
      <c r="I2033" s="1425">
        <f t="shared" si="579"/>
        <v>0.46439999999999998</v>
      </c>
      <c r="Q2033" s="1394">
        <f>IFERROR(VLOOKUP(M2033,#REF!,3,0),0)</f>
        <v>0</v>
      </c>
      <c r="R2033" s="1394">
        <f t="shared" si="580"/>
        <v>0</v>
      </c>
      <c r="S2033" s="1394">
        <f>IFERROR(VLOOKUP(M2033,#REF!,6,0),0)</f>
        <v>0</v>
      </c>
      <c r="T2033" s="1394">
        <f t="shared" si="571"/>
        <v>0</v>
      </c>
      <c r="U2033" s="1394">
        <f>IFERROR(VLOOKUP(M2033,#REF!,5,0),0)</f>
        <v>0</v>
      </c>
      <c r="V2033" s="1394">
        <f t="shared" si="572"/>
        <v>0</v>
      </c>
      <c r="W2033" s="1394"/>
    </row>
    <row r="2034" spans="1:24" ht="30" customHeight="1">
      <c r="B2034" s="1407"/>
      <c r="C2034" s="1497" t="s">
        <v>253</v>
      </c>
      <c r="D2034" s="68">
        <v>1</v>
      </c>
      <c r="E2034" s="68">
        <f>VLOOKUP(C2034,Sheet1!$I$7:$R$39,10,0)</f>
        <v>4</v>
      </c>
      <c r="F2034" s="1495">
        <f>VLOOKUP(C2034,Sheet1!$I$7:$R$39,2,0)</f>
        <v>1</v>
      </c>
      <c r="G2034" s="1495">
        <v>0.86</v>
      </c>
      <c r="H2034" s="1501">
        <f>VLOOKUP(C2034,Sheet1!$I$7:$R$39,3,0)</f>
        <v>0.6</v>
      </c>
      <c r="I2034" s="1425">
        <f t="shared" si="579"/>
        <v>2.0640000000000001</v>
      </c>
      <c r="Q2034" s="1394">
        <f>IFERROR(VLOOKUP(M2034,#REF!,3,0),0)</f>
        <v>0</v>
      </c>
      <c r="R2034" s="1394">
        <f t="shared" si="580"/>
        <v>0</v>
      </c>
      <c r="S2034" s="1394">
        <f>IFERROR(VLOOKUP(M2034,#REF!,6,0),0)</f>
        <v>0</v>
      </c>
      <c r="T2034" s="1394">
        <f t="shared" si="571"/>
        <v>0</v>
      </c>
      <c r="U2034" s="1394">
        <f>IFERROR(VLOOKUP(M2034,#REF!,5,0),0)</f>
        <v>0</v>
      </c>
      <c r="V2034" s="1394">
        <f t="shared" si="572"/>
        <v>0</v>
      </c>
      <c r="W2034" s="1394"/>
    </row>
    <row r="2035" spans="1:24" ht="30" customHeight="1">
      <c r="B2035" s="1407"/>
      <c r="C2035" s="1497" t="s">
        <v>372</v>
      </c>
      <c r="D2035" s="68">
        <v>1</v>
      </c>
      <c r="E2035" s="68">
        <f>VLOOKUP(C2035,Sheet1!$I$7:$R$39,10,0)</f>
        <v>4</v>
      </c>
      <c r="F2035" s="1495">
        <f>VLOOKUP(C2035,Sheet1!$I$7:$R$39,2,0)</f>
        <v>0.6</v>
      </c>
      <c r="G2035" s="1495">
        <v>0.86</v>
      </c>
      <c r="H2035" s="1501">
        <f>VLOOKUP(C2035,Sheet1!$I$7:$R$39,3,0)</f>
        <v>0.6</v>
      </c>
      <c r="I2035" s="1425">
        <f t="shared" si="579"/>
        <v>1.2383999999999999</v>
      </c>
      <c r="Q2035" s="1394">
        <f>IFERROR(VLOOKUP(M2035,#REF!,3,0),0)</f>
        <v>0</v>
      </c>
      <c r="R2035" s="1394">
        <f t="shared" si="580"/>
        <v>0</v>
      </c>
      <c r="S2035" s="1394">
        <f>IFERROR(VLOOKUP(M2035,#REF!,6,0),0)</f>
        <v>0</v>
      </c>
      <c r="T2035" s="1394">
        <f t="shared" ref="T2035:T2039" si="581">R2035-S2035</f>
        <v>0</v>
      </c>
      <c r="U2035" s="1394">
        <f>IFERROR(VLOOKUP(M2035,#REF!,5,0),0)</f>
        <v>0</v>
      </c>
      <c r="V2035" s="1394">
        <f t="shared" ref="V2035:V2039" si="582">O2035-U2035</f>
        <v>0</v>
      </c>
      <c r="W2035" s="1394"/>
    </row>
    <row r="2036" spans="1:24" ht="30" customHeight="1">
      <c r="B2036" s="1407"/>
      <c r="C2036" s="1497" t="s">
        <v>257</v>
      </c>
      <c r="D2036" s="68">
        <v>1</v>
      </c>
      <c r="E2036" s="68">
        <f>VLOOKUP(C2036,Sheet1!$I$7:$R$39,10,0)</f>
        <v>16</v>
      </c>
      <c r="F2036" s="1495">
        <f>VLOOKUP(C2036,Sheet1!$I$7:$R$39,2,0)</f>
        <v>0.9</v>
      </c>
      <c r="G2036" s="1495">
        <v>0.86</v>
      </c>
      <c r="H2036" s="1501">
        <f>VLOOKUP(C2036,Sheet1!$I$7:$R$39,3,0)</f>
        <v>0.75</v>
      </c>
      <c r="I2036" s="1425">
        <f t="shared" si="579"/>
        <v>9.2880000000000003</v>
      </c>
      <c r="Q2036" s="1394">
        <f>IFERROR(VLOOKUP(M2036,#REF!,3,0),0)</f>
        <v>0</v>
      </c>
      <c r="R2036" s="1394">
        <f t="shared" si="580"/>
        <v>0</v>
      </c>
      <c r="S2036" s="1394">
        <f>IFERROR(VLOOKUP(M2036,#REF!,6,0),0)</f>
        <v>0</v>
      </c>
      <c r="T2036" s="1394">
        <f t="shared" si="581"/>
        <v>0</v>
      </c>
      <c r="U2036" s="1394">
        <f>IFERROR(VLOOKUP(M2036,#REF!,5,0),0)</f>
        <v>0</v>
      </c>
      <c r="V2036" s="1394">
        <f t="shared" si="582"/>
        <v>0</v>
      </c>
      <c r="W2036" s="1394"/>
    </row>
    <row r="2037" spans="1:24" ht="30" customHeight="1">
      <c r="B2037" s="1407"/>
      <c r="C2037" s="1497" t="s">
        <v>5520</v>
      </c>
      <c r="D2037" s="68">
        <v>1</v>
      </c>
      <c r="E2037" s="68">
        <f>VLOOKUP(C2037,Sheet1!$I$7:$R$39,10,0)</f>
        <v>2</v>
      </c>
      <c r="F2037" s="1495">
        <f>VLOOKUP(C2037,Sheet1!$I$7:$R$39,2,0)</f>
        <v>0.9</v>
      </c>
      <c r="G2037" s="1495">
        <v>0.86</v>
      </c>
      <c r="H2037" s="1501">
        <f>VLOOKUP(C2037,Sheet1!$I$7:$R$39,3,0)</f>
        <v>0.75</v>
      </c>
      <c r="I2037" s="1425">
        <f t="shared" si="579"/>
        <v>1.161</v>
      </c>
      <c r="Q2037" s="1394">
        <f>IFERROR(VLOOKUP(M2037,#REF!,3,0),0)</f>
        <v>0</v>
      </c>
      <c r="R2037" s="1394">
        <f t="shared" si="580"/>
        <v>0</v>
      </c>
      <c r="S2037" s="1394">
        <f>IFERROR(VLOOKUP(M2037,#REF!,6,0),0)</f>
        <v>0</v>
      </c>
      <c r="T2037" s="1394">
        <f t="shared" si="581"/>
        <v>0</v>
      </c>
      <c r="U2037" s="1394">
        <f>IFERROR(VLOOKUP(M2037,#REF!,5,0),0)</f>
        <v>0</v>
      </c>
      <c r="V2037" s="1394">
        <f t="shared" si="582"/>
        <v>0</v>
      </c>
      <c r="W2037" s="1394"/>
    </row>
    <row r="2038" spans="1:24" ht="30" customHeight="1">
      <c r="B2038" s="1407"/>
      <c r="C2038" s="1497" t="s">
        <v>5515</v>
      </c>
      <c r="D2038" s="68">
        <v>1</v>
      </c>
      <c r="E2038" s="68">
        <f>VLOOKUP(C2038,Sheet1!$I$7:$R$39,10,0)</f>
        <v>1</v>
      </c>
      <c r="F2038" s="1495">
        <f>VLOOKUP(C2038,Sheet1!$I$7:$R$39,2,0)</f>
        <v>1.5</v>
      </c>
      <c r="G2038" s="1495">
        <v>0.86</v>
      </c>
      <c r="H2038" s="1501">
        <f>VLOOKUP(C2038,Sheet1!$I$7:$R$39,3,0)</f>
        <v>1.35</v>
      </c>
      <c r="I2038" s="1425">
        <f t="shared" si="579"/>
        <v>1.7415000000000003</v>
      </c>
      <c r="Q2038" s="1394">
        <f>IFERROR(VLOOKUP(M2038,#REF!,3,0),0)</f>
        <v>0</v>
      </c>
      <c r="R2038" s="1394">
        <f t="shared" si="580"/>
        <v>0</v>
      </c>
      <c r="S2038" s="1394">
        <f>IFERROR(VLOOKUP(M2038,#REF!,6,0),0)</f>
        <v>0</v>
      </c>
      <c r="T2038" s="1394">
        <f t="shared" si="581"/>
        <v>0</v>
      </c>
      <c r="U2038" s="1394">
        <f>IFERROR(VLOOKUP(M2038,#REF!,5,0),0)</f>
        <v>0</v>
      </c>
      <c r="V2038" s="1394">
        <f t="shared" si="582"/>
        <v>0</v>
      </c>
      <c r="W2038" s="1394"/>
    </row>
    <row r="2039" spans="1:24" ht="30" customHeight="1">
      <c r="B2039" s="1407"/>
      <c r="C2039" s="1497" t="s">
        <v>252</v>
      </c>
      <c r="D2039" s="68">
        <v>1</v>
      </c>
      <c r="E2039" s="68">
        <f>VLOOKUP(C2039,Sheet1!$I$7:$R$39,10,0)</f>
        <v>4</v>
      </c>
      <c r="F2039" s="1495">
        <f>VLOOKUP(C2039,Sheet1!$I$7:$R$39,2,0)</f>
        <v>1.8</v>
      </c>
      <c r="G2039" s="1495">
        <v>0.86</v>
      </c>
      <c r="H2039" s="1501">
        <f>VLOOKUP(C2039,Sheet1!$I$7:$R$39,3,0)</f>
        <v>1.35</v>
      </c>
      <c r="I2039" s="1425">
        <f t="shared" si="579"/>
        <v>8.3592000000000013</v>
      </c>
      <c r="Q2039" s="1394">
        <f>IFERROR(VLOOKUP(M2039,#REF!,3,0),0)</f>
        <v>0</v>
      </c>
      <c r="R2039" s="1394">
        <f t="shared" si="580"/>
        <v>0</v>
      </c>
      <c r="S2039" s="1394">
        <f>IFERROR(VLOOKUP(M2039,#REF!,6,0),0)</f>
        <v>0</v>
      </c>
      <c r="T2039" s="1394">
        <f t="shared" si="581"/>
        <v>0</v>
      </c>
      <c r="U2039" s="1394">
        <f>IFERROR(VLOOKUP(M2039,#REF!,5,0),0)</f>
        <v>0</v>
      </c>
      <c r="V2039" s="1394">
        <f t="shared" si="582"/>
        <v>0</v>
      </c>
      <c r="W2039" s="1394"/>
    </row>
    <row r="2040" spans="1:24" ht="30" customHeight="1">
      <c r="B2040" s="1407"/>
      <c r="C2040" s="1502"/>
      <c r="D2040" s="1503"/>
      <c r="E2040" s="1503"/>
      <c r="F2040" s="1504"/>
      <c r="G2040" s="1504"/>
      <c r="H2040" s="1505"/>
      <c r="I2040" s="1425"/>
      <c r="Q2040" s="1394">
        <f>IFERROR(VLOOKUP(M2040,#REF!,3,0),0)</f>
        <v>0</v>
      </c>
      <c r="R2040" s="1394">
        <f t="shared" si="580"/>
        <v>0</v>
      </c>
      <c r="S2040" s="1394">
        <f>IFERROR(VLOOKUP(M2040,#REF!,6,0),0)</f>
        <v>0</v>
      </c>
      <c r="T2040" s="1394">
        <f t="shared" ref="T2040:T2102" si="583">R2040-S2040</f>
        <v>0</v>
      </c>
      <c r="U2040" s="1394">
        <f>IFERROR(VLOOKUP(M2040,#REF!,5,0),0)</f>
        <v>0</v>
      </c>
      <c r="V2040" s="1394">
        <f t="shared" ref="V2040:V2102" si="584">O2040-U2040</f>
        <v>0</v>
      </c>
      <c r="W2040" s="1394"/>
    </row>
    <row r="2041" spans="1:24" s="1394" customFormat="1" ht="30" customHeight="1">
      <c r="B2041" s="1421"/>
      <c r="C2041" s="1422" t="s">
        <v>270</v>
      </c>
      <c r="D2041" s="1389"/>
      <c r="E2041" s="1389"/>
      <c r="F2041" s="1423"/>
      <c r="G2041" s="1423"/>
      <c r="H2041" s="1424"/>
      <c r="I2041" s="1425">
        <f>J2042-J2041</f>
        <v>3.2299999999992224E-2</v>
      </c>
      <c r="J2041" s="1394">
        <f>SUM(I2027:I2040)</f>
        <v>116.2677</v>
      </c>
      <c r="M2041" s="1426"/>
      <c r="Q2041" s="1394">
        <f>IFERROR(VLOOKUP(M2041,#REF!,3,0),0)</f>
        <v>0</v>
      </c>
      <c r="R2041" s="1394">
        <f t="shared" si="580"/>
        <v>0</v>
      </c>
      <c r="S2041" s="1394">
        <f>IFERROR(VLOOKUP(M2041,#REF!,6,0),0)</f>
        <v>0</v>
      </c>
      <c r="T2041" s="1394">
        <f t="shared" si="583"/>
        <v>0</v>
      </c>
      <c r="U2041" s="1394">
        <f>IFERROR(VLOOKUP(M2041,#REF!,5,0),0)</f>
        <v>0</v>
      </c>
      <c r="V2041" s="1394">
        <f t="shared" si="584"/>
        <v>0</v>
      </c>
    </row>
    <row r="2042" spans="1:24" s="1394" customFormat="1" ht="30" customHeight="1">
      <c r="B2042" s="1421"/>
      <c r="C2042" s="1422"/>
      <c r="D2042" s="1389"/>
      <c r="E2042" s="1389"/>
      <c r="F2042" s="1423"/>
      <c r="G2042" s="1423"/>
      <c r="H2042" s="1424"/>
      <c r="I2042" s="1427">
        <f>+J2042</f>
        <v>116.3</v>
      </c>
      <c r="J2042" s="1394">
        <f>ROUNDUP(J2041,1)</f>
        <v>116.3</v>
      </c>
      <c r="M2042" s="1426"/>
      <c r="Q2042" s="1394">
        <f>IFERROR(VLOOKUP(M2042,#REF!,3,0),0)</f>
        <v>0</v>
      </c>
      <c r="R2042" s="1394">
        <f t="shared" si="580"/>
        <v>0</v>
      </c>
      <c r="S2042" s="1394">
        <f>IFERROR(VLOOKUP(M2042,#REF!,6,0),0)</f>
        <v>0</v>
      </c>
      <c r="T2042" s="1394">
        <f t="shared" si="583"/>
        <v>0</v>
      </c>
      <c r="U2042" s="1394">
        <f>IFERROR(VLOOKUP(M2042,#REF!,5,0),0)</f>
        <v>0</v>
      </c>
      <c r="V2042" s="1394">
        <f t="shared" si="584"/>
        <v>0</v>
      </c>
    </row>
    <row r="2043" spans="1:24" s="1394" customFormat="1" ht="30" customHeight="1">
      <c r="B2043" s="1421"/>
      <c r="C2043" s="1422"/>
      <c r="D2043" s="1389"/>
      <c r="E2043" s="1389"/>
      <c r="F2043" s="1423"/>
      <c r="G2043" s="1428" t="s">
        <v>11</v>
      </c>
      <c r="H2043" s="1429">
        <f>I2042</f>
        <v>116.3</v>
      </c>
      <c r="I2043" s="1427" t="s">
        <v>26</v>
      </c>
      <c r="M2043" s="1394" t="str">
        <f>A2026</f>
        <v>4mm thick pin headed Glass panels with Aluminium beedings</v>
      </c>
      <c r="N2043" s="1394">
        <f>B2026</f>
        <v>0</v>
      </c>
      <c r="O2043" s="1394">
        <f>H2043</f>
        <v>116.3</v>
      </c>
      <c r="P2043" s="1394" t="str">
        <f>I2043</f>
        <v>Sqm</v>
      </c>
      <c r="Q2043" s="1394">
        <f>IFERROR(VLOOKUP(M2043,#REF!,3,0),0)</f>
        <v>0</v>
      </c>
      <c r="R2043" s="1394">
        <f t="shared" si="580"/>
        <v>0</v>
      </c>
      <c r="S2043" s="1394">
        <f>IFERROR(VLOOKUP(M2043,#REF!,6,0),0)</f>
        <v>0</v>
      </c>
      <c r="T2043" s="1394">
        <f t="shared" si="583"/>
        <v>0</v>
      </c>
      <c r="U2043" s="1394">
        <f>IFERROR(VLOOKUP(M2043,#REF!,5,0),0)</f>
        <v>0</v>
      </c>
      <c r="V2043" s="1394">
        <f t="shared" si="584"/>
        <v>116.3</v>
      </c>
    </row>
    <row r="2044" spans="1:24" ht="52.5" customHeight="1">
      <c r="A2044" s="110" t="s">
        <v>374</v>
      </c>
      <c r="B2044" s="1405">
        <v>25</v>
      </c>
      <c r="C2044" s="1678" t="e">
        <f>VLOOKUP(A2044,#REF!,2,0)</f>
        <v>#REF!</v>
      </c>
      <c r="D2044" s="1678"/>
      <c r="E2044" s="1678"/>
      <c r="F2044" s="1678"/>
      <c r="G2044" s="1678"/>
      <c r="H2044" s="1678"/>
      <c r="I2044" s="1406"/>
      <c r="Q2044" s="1394">
        <f>IFERROR(VLOOKUP(M2044,#REF!,3,0),0)</f>
        <v>0</v>
      </c>
      <c r="R2044" s="1394">
        <f t="shared" si="580"/>
        <v>0</v>
      </c>
      <c r="S2044" s="1394">
        <f>IFERROR(VLOOKUP(M2044,#REF!,6,0),0)</f>
        <v>0</v>
      </c>
      <c r="T2044" s="1394">
        <f t="shared" si="583"/>
        <v>0</v>
      </c>
      <c r="U2044" s="1394">
        <f>IFERROR(VLOOKUP(M2044,#REF!,5,0),0)</f>
        <v>0</v>
      </c>
      <c r="V2044" s="1394">
        <f t="shared" si="584"/>
        <v>0</v>
      </c>
      <c r="W2044" s="1394"/>
      <c r="X2044" s="1397"/>
    </row>
    <row r="2045" spans="1:24" ht="30" customHeight="1">
      <c r="B2045" s="1407"/>
      <c r="C2045" s="1497" t="s">
        <v>5516</v>
      </c>
      <c r="D2045" s="68">
        <v>1</v>
      </c>
      <c r="E2045" s="68">
        <f>VLOOKUP(C2045,Sheet1!$I$7:$R$39,10,0)</f>
        <v>1</v>
      </c>
      <c r="F2045" s="1413"/>
      <c r="G2045" s="1413"/>
      <c r="H2045" s="1414"/>
      <c r="I2045" s="1425">
        <f t="shared" ref="I2045:I2064" si="585">PRODUCT(D2045:H2045)</f>
        <v>1</v>
      </c>
      <c r="Q2045" s="1394">
        <f>IFERROR(VLOOKUP(M2045,#REF!,3,0),0)</f>
        <v>0</v>
      </c>
      <c r="R2045" s="1394">
        <f t="shared" si="580"/>
        <v>0</v>
      </c>
      <c r="S2045" s="1394">
        <f>IFERROR(VLOOKUP(M2045,#REF!,6,0),0)</f>
        <v>0</v>
      </c>
      <c r="T2045" s="1394">
        <f t="shared" si="583"/>
        <v>0</v>
      </c>
      <c r="U2045" s="1394">
        <f>IFERROR(VLOOKUP(M2045,#REF!,5,0),0)</f>
        <v>0</v>
      </c>
      <c r="V2045" s="1394">
        <f t="shared" si="584"/>
        <v>0</v>
      </c>
      <c r="W2045" s="1394"/>
    </row>
    <row r="2046" spans="1:24" ht="30" customHeight="1">
      <c r="B2046" s="1407"/>
      <c r="C2046" s="1497" t="s">
        <v>190</v>
      </c>
      <c r="D2046" s="68">
        <v>1</v>
      </c>
      <c r="E2046" s="68">
        <f>VLOOKUP(C2046,Sheet1!$I$7:$R$39,10,0)</f>
        <v>6</v>
      </c>
      <c r="F2046" s="1413"/>
      <c r="G2046" s="1413"/>
      <c r="H2046" s="1414"/>
      <c r="I2046" s="1425">
        <f t="shared" si="585"/>
        <v>6</v>
      </c>
      <c r="Q2046" s="1394">
        <f>IFERROR(VLOOKUP(M2046,#REF!,3,0),0)</f>
        <v>0</v>
      </c>
      <c r="R2046" s="1394">
        <f t="shared" si="580"/>
        <v>0</v>
      </c>
      <c r="S2046" s="1394">
        <f>IFERROR(VLOOKUP(M2046,#REF!,6,0),0)</f>
        <v>0</v>
      </c>
      <c r="T2046" s="1394">
        <f t="shared" si="583"/>
        <v>0</v>
      </c>
      <c r="U2046" s="1394">
        <f>IFERROR(VLOOKUP(M2046,#REF!,5,0),0)</f>
        <v>0</v>
      </c>
      <c r="V2046" s="1394">
        <f t="shared" si="584"/>
        <v>0</v>
      </c>
      <c r="W2046" s="1394"/>
    </row>
    <row r="2047" spans="1:24" ht="30" customHeight="1">
      <c r="B2047" s="1407"/>
      <c r="C2047" s="1497" t="s">
        <v>5511</v>
      </c>
      <c r="D2047" s="68">
        <v>1</v>
      </c>
      <c r="E2047" s="68">
        <f>VLOOKUP(C2047,Sheet1!$I$7:$R$39,10,0)</f>
        <v>2</v>
      </c>
      <c r="F2047" s="1413"/>
      <c r="G2047" s="1413"/>
      <c r="H2047" s="1414"/>
      <c r="I2047" s="1425">
        <f t="shared" si="585"/>
        <v>2</v>
      </c>
      <c r="Q2047" s="1394">
        <f>IFERROR(VLOOKUP(M2047,#REF!,3,0),0)</f>
        <v>0</v>
      </c>
      <c r="R2047" s="1394">
        <f t="shared" si="580"/>
        <v>0</v>
      </c>
      <c r="S2047" s="1394">
        <f>IFERROR(VLOOKUP(M2047,#REF!,6,0),0)</f>
        <v>0</v>
      </c>
      <c r="T2047" s="1394">
        <f t="shared" si="583"/>
        <v>0</v>
      </c>
      <c r="U2047" s="1394">
        <f>IFERROR(VLOOKUP(M2047,#REF!,5,0),0)</f>
        <v>0</v>
      </c>
      <c r="V2047" s="1394">
        <f t="shared" si="584"/>
        <v>0</v>
      </c>
      <c r="W2047" s="1394"/>
    </row>
    <row r="2048" spans="1:24" ht="30" customHeight="1">
      <c r="B2048" s="1407"/>
      <c r="C2048" s="1497" t="s">
        <v>5512</v>
      </c>
      <c r="D2048" s="68">
        <v>1</v>
      </c>
      <c r="E2048" s="68">
        <f>VLOOKUP(C2048,Sheet1!$I$7:$R$39,10,0)</f>
        <v>1</v>
      </c>
      <c r="F2048" s="1413"/>
      <c r="G2048" s="1413"/>
      <c r="H2048" s="1414"/>
      <c r="I2048" s="1425">
        <f t="shared" si="585"/>
        <v>1</v>
      </c>
      <c r="Q2048" s="1394">
        <f>IFERROR(VLOOKUP(M2048,#REF!,3,0),0)</f>
        <v>0</v>
      </c>
      <c r="R2048" s="1394">
        <f t="shared" si="580"/>
        <v>0</v>
      </c>
      <c r="S2048" s="1394">
        <f>IFERROR(VLOOKUP(M2048,#REF!,6,0),0)</f>
        <v>0</v>
      </c>
      <c r="T2048" s="1394">
        <f t="shared" si="583"/>
        <v>0</v>
      </c>
      <c r="U2048" s="1394">
        <f>IFERROR(VLOOKUP(M2048,#REF!,5,0),0)</f>
        <v>0</v>
      </c>
      <c r="V2048" s="1394">
        <f t="shared" si="584"/>
        <v>0</v>
      </c>
      <c r="W2048" s="1394"/>
    </row>
    <row r="2049" spans="2:23" ht="30" customHeight="1">
      <c r="B2049" s="1407"/>
      <c r="C2049" s="1494" t="s">
        <v>5513</v>
      </c>
      <c r="D2049" s="68">
        <v>1</v>
      </c>
      <c r="E2049" s="68">
        <f>VLOOKUP(C2049,Sheet1!$I$7:$R$39,10,0)</f>
        <v>3</v>
      </c>
      <c r="F2049" s="1413"/>
      <c r="G2049" s="1413"/>
      <c r="H2049" s="1414"/>
      <c r="I2049" s="1425">
        <f t="shared" si="585"/>
        <v>3</v>
      </c>
      <c r="Q2049" s="1394">
        <f>IFERROR(VLOOKUP(M2049,#REF!,3,0),0)</f>
        <v>0</v>
      </c>
      <c r="R2049" s="1394">
        <f t="shared" si="580"/>
        <v>0</v>
      </c>
      <c r="S2049" s="1394">
        <f>IFERROR(VLOOKUP(M2049,#REF!,6,0),0)</f>
        <v>0</v>
      </c>
      <c r="T2049" s="1394">
        <f t="shared" si="583"/>
        <v>0</v>
      </c>
      <c r="U2049" s="1394">
        <f>IFERROR(VLOOKUP(M2049,#REF!,5,0),0)</f>
        <v>0</v>
      </c>
      <c r="V2049" s="1394">
        <f t="shared" si="584"/>
        <v>0</v>
      </c>
      <c r="W2049" s="1394"/>
    </row>
    <row r="2050" spans="2:23" ht="30" customHeight="1">
      <c r="B2050" s="1407"/>
      <c r="C2050" s="1497" t="s">
        <v>5514</v>
      </c>
      <c r="D2050" s="68">
        <v>1</v>
      </c>
      <c r="E2050" s="68">
        <f>VLOOKUP(C2050,Sheet1!$I$7:$R$39,10,0)</f>
        <v>6</v>
      </c>
      <c r="F2050" s="1413"/>
      <c r="G2050" s="1413"/>
      <c r="H2050" s="1414"/>
      <c r="I2050" s="1425">
        <f t="shared" si="585"/>
        <v>6</v>
      </c>
      <c r="Q2050" s="1394">
        <f>IFERROR(VLOOKUP(M2050,#REF!,3,0),0)</f>
        <v>0</v>
      </c>
      <c r="R2050" s="1394">
        <f t="shared" si="580"/>
        <v>0</v>
      </c>
      <c r="S2050" s="1394">
        <f>IFERROR(VLOOKUP(M2050,#REF!,6,0),0)</f>
        <v>0</v>
      </c>
      <c r="T2050" s="1394">
        <f t="shared" si="583"/>
        <v>0</v>
      </c>
      <c r="U2050" s="1394">
        <f>IFERROR(VLOOKUP(M2050,#REF!,5,0),0)</f>
        <v>0</v>
      </c>
      <c r="V2050" s="1394">
        <f t="shared" si="584"/>
        <v>0</v>
      </c>
      <c r="W2050" s="1394"/>
    </row>
    <row r="2051" spans="2:23" ht="30" customHeight="1">
      <c r="B2051" s="1407"/>
      <c r="C2051" s="1497" t="s">
        <v>5515</v>
      </c>
      <c r="D2051" s="68">
        <v>1</v>
      </c>
      <c r="E2051" s="68">
        <f>VLOOKUP(C2051,Sheet1!$I$7:$R$39,10,0)</f>
        <v>1</v>
      </c>
      <c r="F2051" s="1413"/>
      <c r="G2051" s="1413"/>
      <c r="H2051" s="1414"/>
      <c r="I2051" s="1425">
        <f t="shared" si="585"/>
        <v>1</v>
      </c>
      <c r="Q2051" s="1394">
        <f>IFERROR(VLOOKUP(M2051,#REF!,3,0),0)</f>
        <v>0</v>
      </c>
      <c r="R2051" s="1394">
        <f t="shared" si="580"/>
        <v>0</v>
      </c>
      <c r="S2051" s="1394">
        <f>IFERROR(VLOOKUP(M2051,#REF!,6,0),0)</f>
        <v>0</v>
      </c>
      <c r="T2051" s="1394">
        <f t="shared" si="583"/>
        <v>0</v>
      </c>
      <c r="U2051" s="1394">
        <f>IFERROR(VLOOKUP(M2051,#REF!,5,0),0)</f>
        <v>0</v>
      </c>
      <c r="V2051" s="1394">
        <f t="shared" si="584"/>
        <v>0</v>
      </c>
      <c r="W2051" s="1394"/>
    </row>
    <row r="2052" spans="2:23" ht="30" customHeight="1">
      <c r="B2052" s="1407"/>
      <c r="C2052" s="1497" t="s">
        <v>252</v>
      </c>
      <c r="D2052" s="68">
        <v>1</v>
      </c>
      <c r="E2052" s="68">
        <f>VLOOKUP(C2052,Sheet1!$I$7:$R$39,10,0)</f>
        <v>4</v>
      </c>
      <c r="F2052" s="1413"/>
      <c r="G2052" s="1413"/>
      <c r="H2052" s="1414"/>
      <c r="I2052" s="1425">
        <f t="shared" si="585"/>
        <v>4</v>
      </c>
      <c r="Q2052" s="1394">
        <f>IFERROR(VLOOKUP(M2052,#REF!,3,0),0)</f>
        <v>0</v>
      </c>
      <c r="R2052" s="1394">
        <f t="shared" si="580"/>
        <v>0</v>
      </c>
      <c r="S2052" s="1394">
        <f>IFERROR(VLOOKUP(M2052,#REF!,6,0),0)</f>
        <v>0</v>
      </c>
      <c r="T2052" s="1394">
        <f t="shared" si="583"/>
        <v>0</v>
      </c>
      <c r="U2052" s="1394">
        <f>IFERROR(VLOOKUP(M2052,#REF!,5,0),0)</f>
        <v>0</v>
      </c>
      <c r="V2052" s="1394">
        <f t="shared" si="584"/>
        <v>0</v>
      </c>
      <c r="W2052" s="1394"/>
    </row>
    <row r="2053" spans="2:23" ht="30" customHeight="1">
      <c r="B2053" s="1407"/>
      <c r="C2053" s="1497" t="s">
        <v>248</v>
      </c>
      <c r="D2053" s="68">
        <v>1</v>
      </c>
      <c r="E2053" s="68">
        <f>VLOOKUP(C2053,Sheet1!$I$7:$R$39,10,0)</f>
        <v>3</v>
      </c>
      <c r="F2053" s="1413"/>
      <c r="G2053" s="1413"/>
      <c r="H2053" s="1414"/>
      <c r="I2053" s="1425">
        <f t="shared" si="585"/>
        <v>3</v>
      </c>
      <c r="Q2053" s="1394">
        <f>IFERROR(VLOOKUP(M2053,#REF!,3,0),0)</f>
        <v>0</v>
      </c>
      <c r="R2053" s="1394">
        <f t="shared" si="580"/>
        <v>0</v>
      </c>
      <c r="S2053" s="1394">
        <f>IFERROR(VLOOKUP(M2053,#REF!,6,0),0)</f>
        <v>0</v>
      </c>
      <c r="T2053" s="1394">
        <f t="shared" si="583"/>
        <v>0</v>
      </c>
      <c r="U2053" s="1394">
        <f>IFERROR(VLOOKUP(M2053,#REF!,5,0),0)</f>
        <v>0</v>
      </c>
      <c r="V2053" s="1394">
        <f t="shared" si="584"/>
        <v>0</v>
      </c>
      <c r="W2053" s="1394"/>
    </row>
    <row r="2054" spans="2:23" ht="30" customHeight="1">
      <c r="B2054" s="1407"/>
      <c r="C2054" s="1497" t="s">
        <v>249</v>
      </c>
      <c r="D2054" s="68">
        <v>1</v>
      </c>
      <c r="E2054" s="68">
        <f>VLOOKUP(C2054,Sheet1!$I$7:$R$39,10,0)</f>
        <v>2</v>
      </c>
      <c r="F2054" s="1413"/>
      <c r="G2054" s="1413"/>
      <c r="H2054" s="1414"/>
      <c r="I2054" s="1425">
        <f t="shared" si="585"/>
        <v>2</v>
      </c>
      <c r="Q2054" s="1394">
        <f>IFERROR(VLOOKUP(M2054,#REF!,3,0),0)</f>
        <v>0</v>
      </c>
      <c r="R2054" s="1394">
        <f t="shared" si="580"/>
        <v>0</v>
      </c>
      <c r="S2054" s="1394">
        <f>IFERROR(VLOOKUP(M2054,#REF!,6,0),0)</f>
        <v>0</v>
      </c>
      <c r="T2054" s="1394">
        <f t="shared" si="583"/>
        <v>0</v>
      </c>
      <c r="U2054" s="1394">
        <f>IFERROR(VLOOKUP(M2054,#REF!,5,0),0)</f>
        <v>0</v>
      </c>
      <c r="V2054" s="1394">
        <f t="shared" si="584"/>
        <v>0</v>
      </c>
      <c r="W2054" s="1394"/>
    </row>
    <row r="2055" spans="2:23" ht="30" customHeight="1">
      <c r="B2055" s="1407"/>
      <c r="C2055" s="1497" t="s">
        <v>250</v>
      </c>
      <c r="D2055" s="68">
        <v>1</v>
      </c>
      <c r="E2055" s="68">
        <f>VLOOKUP(C2055,Sheet1!$I$7:$R$39,10,0)</f>
        <v>37</v>
      </c>
      <c r="F2055" s="1413"/>
      <c r="G2055" s="1413"/>
      <c r="H2055" s="1414"/>
      <c r="I2055" s="1425">
        <f t="shared" si="585"/>
        <v>37</v>
      </c>
      <c r="Q2055" s="1394">
        <f>IFERROR(VLOOKUP(M2055,#REF!,3,0),0)</f>
        <v>0</v>
      </c>
      <c r="R2055" s="1394">
        <f t="shared" si="580"/>
        <v>0</v>
      </c>
      <c r="S2055" s="1394">
        <f>IFERROR(VLOOKUP(M2055,#REF!,6,0),0)</f>
        <v>0</v>
      </c>
      <c r="T2055" s="1394">
        <f t="shared" si="583"/>
        <v>0</v>
      </c>
      <c r="U2055" s="1394">
        <f>IFERROR(VLOOKUP(M2055,#REF!,5,0),0)</f>
        <v>0</v>
      </c>
      <c r="V2055" s="1394">
        <f t="shared" si="584"/>
        <v>0</v>
      </c>
      <c r="W2055" s="1394"/>
    </row>
    <row r="2056" spans="2:23" ht="30" customHeight="1">
      <c r="B2056" s="1407"/>
      <c r="C2056" s="1497" t="s">
        <v>251</v>
      </c>
      <c r="D2056" s="68">
        <v>1</v>
      </c>
      <c r="E2056" s="68">
        <f>VLOOKUP(C2056,Sheet1!$I$7:$R$39,10,0)</f>
        <v>15</v>
      </c>
      <c r="F2056" s="1413"/>
      <c r="G2056" s="1413"/>
      <c r="H2056" s="1414"/>
      <c r="I2056" s="1425">
        <f t="shared" si="585"/>
        <v>15</v>
      </c>
      <c r="Q2056" s="1394">
        <f>IFERROR(VLOOKUP(M2056,#REF!,3,0),0)</f>
        <v>0</v>
      </c>
      <c r="R2056" s="1394">
        <f t="shared" si="580"/>
        <v>0</v>
      </c>
      <c r="S2056" s="1394">
        <f>IFERROR(VLOOKUP(M2056,#REF!,6,0),0)</f>
        <v>0</v>
      </c>
      <c r="T2056" s="1394">
        <f t="shared" si="583"/>
        <v>0</v>
      </c>
      <c r="U2056" s="1394">
        <f>IFERROR(VLOOKUP(M2056,#REF!,5,0),0)</f>
        <v>0</v>
      </c>
      <c r="V2056" s="1394">
        <f t="shared" si="584"/>
        <v>0</v>
      </c>
      <c r="W2056" s="1394"/>
    </row>
    <row r="2057" spans="2:23" ht="30" customHeight="1">
      <c r="B2057" s="1407"/>
      <c r="C2057" s="1497" t="s">
        <v>5518</v>
      </c>
      <c r="D2057" s="68">
        <v>1</v>
      </c>
      <c r="E2057" s="68">
        <f>VLOOKUP(C2057,Sheet1!$I$7:$R$39,10,0)</f>
        <v>4</v>
      </c>
      <c r="F2057" s="1413"/>
      <c r="G2057" s="1413"/>
      <c r="H2057" s="1414"/>
      <c r="I2057" s="1425">
        <f t="shared" si="585"/>
        <v>4</v>
      </c>
      <c r="Q2057" s="1394">
        <f>IFERROR(VLOOKUP(M2057,#REF!,3,0),0)</f>
        <v>0</v>
      </c>
      <c r="R2057" s="1394">
        <f t="shared" si="580"/>
        <v>0</v>
      </c>
      <c r="S2057" s="1394">
        <f>IFERROR(VLOOKUP(M2057,#REF!,6,0),0)</f>
        <v>0</v>
      </c>
      <c r="T2057" s="1394">
        <f t="shared" si="583"/>
        <v>0</v>
      </c>
      <c r="U2057" s="1394">
        <f>IFERROR(VLOOKUP(M2057,#REF!,5,0),0)</f>
        <v>0</v>
      </c>
      <c r="V2057" s="1394">
        <f t="shared" si="584"/>
        <v>0</v>
      </c>
      <c r="W2057" s="1394"/>
    </row>
    <row r="2058" spans="2:23" ht="30" customHeight="1">
      <c r="B2058" s="1407"/>
      <c r="C2058" s="1497" t="s">
        <v>255</v>
      </c>
      <c r="D2058" s="68">
        <v>1</v>
      </c>
      <c r="E2058" s="68">
        <f>VLOOKUP(C2058,Sheet1!$I$7:$R$39,10,0)</f>
        <v>5</v>
      </c>
      <c r="F2058" s="1413"/>
      <c r="G2058" s="1413"/>
      <c r="H2058" s="1414"/>
      <c r="I2058" s="1425">
        <f t="shared" si="585"/>
        <v>5</v>
      </c>
      <c r="Q2058" s="1394">
        <f>IFERROR(VLOOKUP(M2058,#REF!,3,0),0)</f>
        <v>0</v>
      </c>
      <c r="R2058" s="1394">
        <f t="shared" si="580"/>
        <v>0</v>
      </c>
      <c r="S2058" s="1394">
        <f>IFERROR(VLOOKUP(M2058,#REF!,6,0),0)</f>
        <v>0</v>
      </c>
      <c r="T2058" s="1394">
        <f t="shared" si="583"/>
        <v>0</v>
      </c>
      <c r="U2058" s="1394">
        <f>IFERROR(VLOOKUP(M2058,#REF!,5,0),0)</f>
        <v>0</v>
      </c>
      <c r="V2058" s="1394">
        <f t="shared" si="584"/>
        <v>0</v>
      </c>
      <c r="W2058" s="1394"/>
    </row>
    <row r="2059" spans="2:23" ht="30" customHeight="1">
      <c r="B2059" s="1407"/>
      <c r="C2059" s="1497" t="s">
        <v>254</v>
      </c>
      <c r="D2059" s="68">
        <v>1</v>
      </c>
      <c r="E2059" s="68">
        <f>VLOOKUP(C2059,Sheet1!$I$7:$R$39,10,0)</f>
        <v>1</v>
      </c>
      <c r="F2059" s="1413"/>
      <c r="G2059" s="1413"/>
      <c r="H2059" s="1414"/>
      <c r="I2059" s="1425">
        <f t="shared" si="585"/>
        <v>1</v>
      </c>
      <c r="Q2059" s="1394">
        <f>IFERROR(VLOOKUP(M2059,#REF!,3,0),0)</f>
        <v>0</v>
      </c>
      <c r="R2059" s="1394">
        <f t="shared" si="580"/>
        <v>0</v>
      </c>
      <c r="S2059" s="1394">
        <f>IFERROR(VLOOKUP(M2059,#REF!,6,0),0)</f>
        <v>0</v>
      </c>
      <c r="T2059" s="1394">
        <f t="shared" si="583"/>
        <v>0</v>
      </c>
      <c r="U2059" s="1394">
        <f>IFERROR(VLOOKUP(M2059,#REF!,5,0),0)</f>
        <v>0</v>
      </c>
      <c r="V2059" s="1394">
        <f t="shared" si="584"/>
        <v>0</v>
      </c>
      <c r="W2059" s="1394"/>
    </row>
    <row r="2060" spans="2:23" ht="30" customHeight="1">
      <c r="B2060" s="1407"/>
      <c r="C2060" s="1497" t="s">
        <v>253</v>
      </c>
      <c r="D2060" s="68">
        <v>1</v>
      </c>
      <c r="E2060" s="68">
        <f>VLOOKUP(C2060,Sheet1!$I$7:$R$39,10,0)</f>
        <v>4</v>
      </c>
      <c r="F2060" s="1413"/>
      <c r="G2060" s="1413"/>
      <c r="H2060" s="1414"/>
      <c r="I2060" s="1425">
        <f t="shared" si="585"/>
        <v>4</v>
      </c>
      <c r="Q2060" s="1394">
        <f>IFERROR(VLOOKUP(M2060,#REF!,3,0),0)</f>
        <v>0</v>
      </c>
      <c r="R2060" s="1394">
        <f t="shared" si="580"/>
        <v>0</v>
      </c>
      <c r="S2060" s="1394">
        <f>IFERROR(VLOOKUP(M2060,#REF!,6,0),0)</f>
        <v>0</v>
      </c>
      <c r="T2060" s="1394">
        <f t="shared" si="583"/>
        <v>0</v>
      </c>
      <c r="U2060" s="1394">
        <f>IFERROR(VLOOKUP(M2060,#REF!,5,0),0)</f>
        <v>0</v>
      </c>
      <c r="V2060" s="1394">
        <f t="shared" si="584"/>
        <v>0</v>
      </c>
      <c r="W2060" s="1394"/>
    </row>
    <row r="2061" spans="2:23" ht="30" customHeight="1">
      <c r="B2061" s="1407"/>
      <c r="C2061" s="1497" t="s">
        <v>372</v>
      </c>
      <c r="D2061" s="68">
        <v>1</v>
      </c>
      <c r="E2061" s="68">
        <f>VLOOKUP(C2061,Sheet1!$I$7:$R$39,10,0)</f>
        <v>4</v>
      </c>
      <c r="F2061" s="1413"/>
      <c r="G2061" s="1413"/>
      <c r="H2061" s="1414"/>
      <c r="I2061" s="1425">
        <f t="shared" si="585"/>
        <v>4</v>
      </c>
      <c r="Q2061" s="1394">
        <f>IFERROR(VLOOKUP(M2061,#REF!,3,0),0)</f>
        <v>0</v>
      </c>
      <c r="R2061" s="1394">
        <f t="shared" si="580"/>
        <v>0</v>
      </c>
      <c r="S2061" s="1394">
        <f>IFERROR(VLOOKUP(M2061,#REF!,6,0),0)</f>
        <v>0</v>
      </c>
      <c r="T2061" s="1394">
        <f t="shared" si="583"/>
        <v>0</v>
      </c>
      <c r="U2061" s="1394">
        <f>IFERROR(VLOOKUP(M2061,#REF!,5,0),0)</f>
        <v>0</v>
      </c>
      <c r="V2061" s="1394">
        <f t="shared" si="584"/>
        <v>0</v>
      </c>
      <c r="W2061" s="1394"/>
    </row>
    <row r="2062" spans="2:23" ht="30" customHeight="1">
      <c r="B2062" s="1407"/>
      <c r="C2062" s="1497" t="s">
        <v>257</v>
      </c>
      <c r="D2062" s="68">
        <v>1</v>
      </c>
      <c r="E2062" s="68">
        <f>VLOOKUP(C2062,Sheet1!$I$7:$R$39,10,0)</f>
        <v>16</v>
      </c>
      <c r="F2062" s="1413"/>
      <c r="G2062" s="1413"/>
      <c r="H2062" s="1414"/>
      <c r="I2062" s="1425">
        <f t="shared" si="585"/>
        <v>16</v>
      </c>
      <c r="M2062" s="110"/>
      <c r="Q2062" s="1394">
        <f>IFERROR(VLOOKUP(M2062,#REF!,3,0),0)</f>
        <v>0</v>
      </c>
      <c r="R2062" s="1394">
        <f t="shared" si="580"/>
        <v>0</v>
      </c>
      <c r="S2062" s="1394">
        <f>IFERROR(VLOOKUP(M2062,#REF!,6,0),0)</f>
        <v>0</v>
      </c>
      <c r="T2062" s="1394">
        <f t="shared" si="583"/>
        <v>0</v>
      </c>
      <c r="U2062" s="1394">
        <f>IFERROR(VLOOKUP(M2062,#REF!,5,0),0)</f>
        <v>0</v>
      </c>
      <c r="V2062" s="1394">
        <f t="shared" si="584"/>
        <v>0</v>
      </c>
      <c r="W2062" s="1394"/>
    </row>
    <row r="2063" spans="2:23" ht="30" customHeight="1">
      <c r="B2063" s="1407"/>
      <c r="C2063" s="1497" t="s">
        <v>5520</v>
      </c>
      <c r="D2063" s="68">
        <v>1</v>
      </c>
      <c r="E2063" s="68">
        <f>VLOOKUP(C2063,Sheet1!$I$7:$R$39,10,0)</f>
        <v>2</v>
      </c>
      <c r="F2063" s="1413"/>
      <c r="G2063" s="1413"/>
      <c r="H2063" s="1414"/>
      <c r="I2063" s="1425">
        <f t="shared" si="585"/>
        <v>2</v>
      </c>
      <c r="M2063" s="110"/>
      <c r="Q2063" s="1394">
        <f>IFERROR(VLOOKUP(M2063,#REF!,3,0),0)</f>
        <v>0</v>
      </c>
      <c r="R2063" s="1394">
        <f t="shared" si="580"/>
        <v>0</v>
      </c>
      <c r="S2063" s="1394">
        <f>IFERROR(VLOOKUP(M2063,#REF!,6,0),0)</f>
        <v>0</v>
      </c>
      <c r="T2063" s="1394">
        <f t="shared" si="583"/>
        <v>0</v>
      </c>
      <c r="U2063" s="1394">
        <f>IFERROR(VLOOKUP(M2063,#REF!,5,0),0)</f>
        <v>0</v>
      </c>
      <c r="V2063" s="1394">
        <f t="shared" si="584"/>
        <v>0</v>
      </c>
      <c r="W2063" s="1394"/>
    </row>
    <row r="2064" spans="2:23" ht="30" customHeight="1">
      <c r="B2064" s="1407"/>
      <c r="C2064" s="1455"/>
      <c r="D2064" s="103"/>
      <c r="E2064" s="103"/>
      <c r="F2064" s="1413"/>
      <c r="G2064" s="1413"/>
      <c r="H2064" s="1414"/>
      <c r="I2064" s="1425">
        <f t="shared" si="585"/>
        <v>0</v>
      </c>
      <c r="M2064" s="110"/>
      <c r="Q2064" s="1394">
        <f>IFERROR(VLOOKUP(M2064,#REF!,3,0),0)</f>
        <v>0</v>
      </c>
      <c r="R2064" s="1394">
        <f t="shared" si="580"/>
        <v>0</v>
      </c>
      <c r="S2064" s="1394">
        <f>IFERROR(VLOOKUP(M2064,#REF!,6,0),0)</f>
        <v>0</v>
      </c>
      <c r="T2064" s="1394">
        <f t="shared" si="583"/>
        <v>0</v>
      </c>
      <c r="U2064" s="1394">
        <f>IFERROR(VLOOKUP(M2064,#REF!,5,0),0)</f>
        <v>0</v>
      </c>
      <c r="V2064" s="1394">
        <f t="shared" si="584"/>
        <v>0</v>
      </c>
      <c r="W2064" s="1394"/>
    </row>
    <row r="2065" spans="1:26" ht="30" customHeight="1">
      <c r="B2065" s="1407"/>
      <c r="C2065" s="1455"/>
      <c r="D2065" s="103"/>
      <c r="E2065" s="103"/>
      <c r="F2065" s="1413"/>
      <c r="G2065" s="1413"/>
      <c r="H2065" s="1414"/>
      <c r="I2065" s="1406">
        <f>SUM(I2045:I2064)</f>
        <v>117</v>
      </c>
      <c r="Q2065" s="1394">
        <f>IFERROR(VLOOKUP(M2065,#REF!,3,0),0)</f>
        <v>0</v>
      </c>
      <c r="R2065" s="1394">
        <f t="shared" si="580"/>
        <v>0</v>
      </c>
      <c r="S2065" s="1394">
        <f>IFERROR(VLOOKUP(M2065,#REF!,6,0),0)</f>
        <v>0</v>
      </c>
      <c r="T2065" s="1394">
        <f t="shared" si="583"/>
        <v>0</v>
      </c>
      <c r="U2065" s="1394">
        <f>IFERROR(VLOOKUP(M2065,#REF!,5,0),0)</f>
        <v>0</v>
      </c>
      <c r="V2065" s="1394">
        <f t="shared" si="584"/>
        <v>0</v>
      </c>
      <c r="W2065" s="1394"/>
    </row>
    <row r="2066" spans="1:26" ht="30" customHeight="1">
      <c r="B2066" s="1407"/>
      <c r="C2066" s="1455"/>
      <c r="D2066" s="103"/>
      <c r="E2066" s="103"/>
      <c r="F2066" s="1413"/>
      <c r="G2066" s="1483" t="s">
        <v>11</v>
      </c>
      <c r="H2066" s="1478">
        <f>I2065</f>
        <v>117</v>
      </c>
      <c r="I2066" s="1479" t="s">
        <v>13</v>
      </c>
      <c r="M2066" s="1426" t="str">
        <f>A2044</f>
        <v>M.S.Holdfast</v>
      </c>
      <c r="N2066" s="1426">
        <f>B2044</f>
        <v>25</v>
      </c>
      <c r="O2066" s="1394">
        <f>H2066</f>
        <v>117</v>
      </c>
      <c r="P2066" s="1394" t="str">
        <f>I2066</f>
        <v>Nos</v>
      </c>
      <c r="Q2066" s="1394">
        <f>IFERROR(VLOOKUP(M2066,#REF!,3,0),0)</f>
        <v>0</v>
      </c>
      <c r="R2066" s="1394">
        <f t="shared" si="580"/>
        <v>0</v>
      </c>
      <c r="S2066" s="1394">
        <f>IFERROR(VLOOKUP(M2066,#REF!,6,0),0)</f>
        <v>0</v>
      </c>
      <c r="T2066" s="1394">
        <f t="shared" si="583"/>
        <v>0</v>
      </c>
      <c r="U2066" s="1394">
        <f>IFERROR(VLOOKUP(M2066,#REF!,5,0),0)</f>
        <v>0</v>
      </c>
      <c r="V2066" s="1394">
        <f t="shared" si="584"/>
        <v>117</v>
      </c>
      <c r="W2066" s="1394"/>
      <c r="Z2066" s="1394"/>
    </row>
    <row r="2067" spans="1:26" ht="75.75" customHeight="1">
      <c r="A2067" s="110" t="s">
        <v>375</v>
      </c>
      <c r="B2067" s="1405">
        <v>26</v>
      </c>
      <c r="C2067" s="1678" t="e">
        <f>VLOOKUP(A2067,#REF!,2,0)</f>
        <v>#REF!</v>
      </c>
      <c r="D2067" s="1678"/>
      <c r="E2067" s="1678"/>
      <c r="F2067" s="1678"/>
      <c r="G2067" s="1678"/>
      <c r="H2067" s="1678"/>
      <c r="I2067" s="1406"/>
      <c r="Q2067" s="1394">
        <f>IFERROR(VLOOKUP(M2067,#REF!,3,0),0)</f>
        <v>0</v>
      </c>
      <c r="R2067" s="1394">
        <f t="shared" si="580"/>
        <v>0</v>
      </c>
      <c r="S2067" s="1394">
        <f>IFERROR(VLOOKUP(M2067,#REF!,6,0),0)</f>
        <v>0</v>
      </c>
      <c r="T2067" s="1394">
        <f t="shared" si="583"/>
        <v>0</v>
      </c>
      <c r="U2067" s="1394">
        <f>IFERROR(VLOOKUP(M2067,#REF!,5,0),0)</f>
        <v>0</v>
      </c>
      <c r="V2067" s="1394">
        <f t="shared" si="584"/>
        <v>0</v>
      </c>
      <c r="W2067" s="1394"/>
      <c r="X2067" s="1397"/>
    </row>
    <row r="2068" spans="1:26" ht="30" customHeight="1">
      <c r="B2068" s="1407"/>
      <c r="C2068" s="1446" t="str">
        <f t="shared" ref="C2068:G2077" si="586">C172</f>
        <v>Part-1</v>
      </c>
      <c r="D2068" s="1447">
        <f t="shared" si="586"/>
        <v>1</v>
      </c>
      <c r="E2068" s="1447">
        <f t="shared" si="586"/>
        <v>1</v>
      </c>
      <c r="F2068" s="1448">
        <f t="shared" si="586"/>
        <v>4</v>
      </c>
      <c r="G2068" s="1448">
        <f t="shared" si="586"/>
        <v>5.0999999999999996</v>
      </c>
      <c r="H2068" s="1449">
        <v>0.08</v>
      </c>
      <c r="I2068" s="1406">
        <f t="shared" ref="I2068" si="587">PRODUCT(D2068:H2068)</f>
        <v>1.6319999999999999</v>
      </c>
      <c r="Q2068" s="1394">
        <f>IFERROR(VLOOKUP(M2068,#REF!,3,0),0)</f>
        <v>0</v>
      </c>
      <c r="R2068" s="1394">
        <f t="shared" si="580"/>
        <v>0</v>
      </c>
      <c r="S2068" s="1394">
        <f>IFERROR(VLOOKUP(M2068,#REF!,6,0),0)</f>
        <v>0</v>
      </c>
      <c r="T2068" s="1394">
        <f t="shared" si="583"/>
        <v>0</v>
      </c>
      <c r="U2068" s="1394">
        <f>IFERROR(VLOOKUP(M2068,#REF!,5,0),0)</f>
        <v>0</v>
      </c>
      <c r="V2068" s="1394">
        <f t="shared" si="584"/>
        <v>0</v>
      </c>
      <c r="W2068" s="1394"/>
    </row>
    <row r="2069" spans="1:26" ht="30" customHeight="1">
      <c r="B2069" s="1407"/>
      <c r="C2069" s="1446" t="str">
        <f t="shared" si="586"/>
        <v>Part-2</v>
      </c>
      <c r="D2069" s="1447">
        <f t="shared" si="586"/>
        <v>1</v>
      </c>
      <c r="E2069" s="1447">
        <f t="shared" si="586"/>
        <v>1</v>
      </c>
      <c r="F2069" s="1448">
        <f t="shared" si="586"/>
        <v>3.9</v>
      </c>
      <c r="G2069" s="1448">
        <f t="shared" si="586"/>
        <v>2.77</v>
      </c>
      <c r="H2069" s="1449">
        <v>0.08</v>
      </c>
      <c r="I2069" s="1406">
        <f t="shared" ref="I2069:I2086" si="588">PRODUCT(D2069:H2069)</f>
        <v>0.8642399999999999</v>
      </c>
      <c r="M2069" s="110"/>
      <c r="Q2069" s="1394">
        <f>IFERROR(VLOOKUP(M2069,#REF!,3,0),0)</f>
        <v>0</v>
      </c>
      <c r="R2069" s="1394">
        <f t="shared" si="580"/>
        <v>0</v>
      </c>
      <c r="S2069" s="1394">
        <f>IFERROR(VLOOKUP(M2069,#REF!,6,0),0)</f>
        <v>0</v>
      </c>
      <c r="T2069" s="1394">
        <f t="shared" si="583"/>
        <v>0</v>
      </c>
      <c r="U2069" s="1394">
        <f>IFERROR(VLOOKUP(M2069,#REF!,5,0),0)</f>
        <v>0</v>
      </c>
      <c r="V2069" s="1394">
        <f t="shared" si="584"/>
        <v>0</v>
      </c>
      <c r="W2069" s="1394"/>
    </row>
    <row r="2070" spans="1:26" ht="30" customHeight="1">
      <c r="B2070" s="1407"/>
      <c r="C2070" s="1446" t="str">
        <f t="shared" si="586"/>
        <v>Part-3</v>
      </c>
      <c r="D2070" s="1447">
        <f t="shared" si="586"/>
        <v>1</v>
      </c>
      <c r="E2070" s="1447">
        <f t="shared" si="586"/>
        <v>1</v>
      </c>
      <c r="F2070" s="1448">
        <f t="shared" si="586"/>
        <v>2.5249999999999999</v>
      </c>
      <c r="G2070" s="1448">
        <f t="shared" si="586"/>
        <v>2.77</v>
      </c>
      <c r="H2070" s="1449">
        <v>0.08</v>
      </c>
      <c r="I2070" s="1406">
        <f t="shared" si="588"/>
        <v>0.55954000000000004</v>
      </c>
      <c r="M2070" s="110"/>
      <c r="Q2070" s="1394">
        <f>IFERROR(VLOOKUP(M2070,#REF!,3,0),0)</f>
        <v>0</v>
      </c>
      <c r="R2070" s="1394">
        <f t="shared" si="580"/>
        <v>0</v>
      </c>
      <c r="S2070" s="1394">
        <f>IFERROR(VLOOKUP(M2070,#REF!,6,0),0)</f>
        <v>0</v>
      </c>
      <c r="T2070" s="1394">
        <f t="shared" si="583"/>
        <v>0</v>
      </c>
      <c r="U2070" s="1394">
        <f>IFERROR(VLOOKUP(M2070,#REF!,5,0),0)</f>
        <v>0</v>
      </c>
      <c r="V2070" s="1394">
        <f t="shared" si="584"/>
        <v>0</v>
      </c>
      <c r="W2070" s="1394"/>
    </row>
    <row r="2071" spans="1:26" ht="30" customHeight="1">
      <c r="B2071" s="1407"/>
      <c r="C2071" s="1446" t="str">
        <f t="shared" si="586"/>
        <v>Part-4</v>
      </c>
      <c r="D2071" s="1447">
        <f t="shared" si="586"/>
        <v>1</v>
      </c>
      <c r="E2071" s="1447">
        <f t="shared" si="586"/>
        <v>1</v>
      </c>
      <c r="F2071" s="1448">
        <f t="shared" si="586"/>
        <v>3</v>
      </c>
      <c r="G2071" s="1448">
        <f t="shared" si="586"/>
        <v>5.3</v>
      </c>
      <c r="H2071" s="1449">
        <v>0.08</v>
      </c>
      <c r="I2071" s="1406">
        <f t="shared" si="588"/>
        <v>1.272</v>
      </c>
      <c r="M2071" s="110"/>
      <c r="Q2071" s="1394">
        <f>IFERROR(VLOOKUP(M2071,#REF!,3,0),0)</f>
        <v>0</v>
      </c>
      <c r="R2071" s="1394">
        <f t="shared" si="580"/>
        <v>0</v>
      </c>
      <c r="S2071" s="1394">
        <f>IFERROR(VLOOKUP(M2071,#REF!,6,0),0)</f>
        <v>0</v>
      </c>
      <c r="T2071" s="1394">
        <f t="shared" si="583"/>
        <v>0</v>
      </c>
      <c r="U2071" s="1394">
        <f>IFERROR(VLOOKUP(M2071,#REF!,5,0),0)</f>
        <v>0</v>
      </c>
      <c r="V2071" s="1394">
        <f t="shared" si="584"/>
        <v>0</v>
      </c>
      <c r="W2071" s="1394"/>
    </row>
    <row r="2072" spans="1:26" ht="30" customHeight="1">
      <c r="B2072" s="1407"/>
      <c r="C2072" s="1446" t="str">
        <f t="shared" si="586"/>
        <v>Part-5</v>
      </c>
      <c r="D2072" s="1447">
        <f t="shared" si="586"/>
        <v>1</v>
      </c>
      <c r="E2072" s="1447">
        <f t="shared" si="586"/>
        <v>1</v>
      </c>
      <c r="F2072" s="1448">
        <f t="shared" si="586"/>
        <v>4</v>
      </c>
      <c r="G2072" s="1448">
        <f t="shared" si="586"/>
        <v>5.0999999999999996</v>
      </c>
      <c r="H2072" s="1449">
        <v>0.08</v>
      </c>
      <c r="I2072" s="1406">
        <f t="shared" si="588"/>
        <v>1.6319999999999999</v>
      </c>
      <c r="M2072" s="110"/>
      <c r="Q2072" s="1394">
        <f>IFERROR(VLOOKUP(M2072,#REF!,3,0),0)</f>
        <v>0</v>
      </c>
      <c r="R2072" s="1394">
        <f t="shared" si="580"/>
        <v>0</v>
      </c>
      <c r="S2072" s="1394">
        <f>IFERROR(VLOOKUP(M2072,#REF!,6,0),0)</f>
        <v>0</v>
      </c>
      <c r="T2072" s="1394">
        <f t="shared" si="583"/>
        <v>0</v>
      </c>
      <c r="U2072" s="1394">
        <f>IFERROR(VLOOKUP(M2072,#REF!,5,0),0)</f>
        <v>0</v>
      </c>
      <c r="V2072" s="1394">
        <f t="shared" si="584"/>
        <v>0</v>
      </c>
      <c r="W2072" s="1394"/>
    </row>
    <row r="2073" spans="1:26" ht="30" customHeight="1">
      <c r="B2073" s="1407"/>
      <c r="C2073" s="1446" t="str">
        <f t="shared" si="586"/>
        <v>Part-6</v>
      </c>
      <c r="D2073" s="1447">
        <f t="shared" si="586"/>
        <v>1</v>
      </c>
      <c r="E2073" s="1447">
        <f t="shared" si="586"/>
        <v>1</v>
      </c>
      <c r="F2073" s="1448">
        <f t="shared" si="586"/>
        <v>4</v>
      </c>
      <c r="G2073" s="1448">
        <f t="shared" si="586"/>
        <v>3.23</v>
      </c>
      <c r="H2073" s="1449">
        <v>0.08</v>
      </c>
      <c r="I2073" s="1406">
        <f t="shared" si="588"/>
        <v>1.0336000000000001</v>
      </c>
      <c r="M2073" s="110"/>
      <c r="Q2073" s="1394">
        <f>IFERROR(VLOOKUP(M2073,#REF!,3,0),0)</f>
        <v>0</v>
      </c>
      <c r="R2073" s="1394">
        <f t="shared" si="580"/>
        <v>0</v>
      </c>
      <c r="S2073" s="1394">
        <f>IFERROR(VLOOKUP(M2073,#REF!,6,0),0)</f>
        <v>0</v>
      </c>
      <c r="T2073" s="1394">
        <f t="shared" si="583"/>
        <v>0</v>
      </c>
      <c r="U2073" s="1394">
        <f>IFERROR(VLOOKUP(M2073,#REF!,5,0),0)</f>
        <v>0</v>
      </c>
      <c r="V2073" s="1394">
        <f t="shared" si="584"/>
        <v>0</v>
      </c>
      <c r="W2073" s="1394"/>
    </row>
    <row r="2074" spans="1:26" ht="30" customHeight="1">
      <c r="B2074" s="1407"/>
      <c r="C2074" s="1446" t="str">
        <f t="shared" si="586"/>
        <v>Part-7</v>
      </c>
      <c r="D2074" s="1447">
        <f t="shared" si="586"/>
        <v>1</v>
      </c>
      <c r="E2074" s="1447">
        <f t="shared" si="586"/>
        <v>1</v>
      </c>
      <c r="F2074" s="1448">
        <f t="shared" si="586"/>
        <v>2.895</v>
      </c>
      <c r="G2074" s="1448">
        <f t="shared" si="586"/>
        <v>3.5649999999999999</v>
      </c>
      <c r="H2074" s="1449">
        <v>0.08</v>
      </c>
      <c r="I2074" s="1406">
        <f t="shared" si="588"/>
        <v>0.825654</v>
      </c>
      <c r="M2074" s="110"/>
      <c r="Q2074" s="1394">
        <f>IFERROR(VLOOKUP(M2074,#REF!,3,0),0)</f>
        <v>0</v>
      </c>
      <c r="R2074" s="1394">
        <f t="shared" si="580"/>
        <v>0</v>
      </c>
      <c r="S2074" s="1394">
        <f>IFERROR(VLOOKUP(M2074,#REF!,6,0),0)</f>
        <v>0</v>
      </c>
      <c r="T2074" s="1394">
        <f t="shared" si="583"/>
        <v>0</v>
      </c>
      <c r="U2074" s="1394">
        <f>IFERROR(VLOOKUP(M2074,#REF!,5,0),0)</f>
        <v>0</v>
      </c>
      <c r="V2074" s="1394">
        <f t="shared" si="584"/>
        <v>0</v>
      </c>
      <c r="W2074" s="1394"/>
    </row>
    <row r="2075" spans="1:26" ht="30" customHeight="1">
      <c r="B2075" s="1407"/>
      <c r="C2075" s="1446" t="str">
        <f t="shared" si="586"/>
        <v>Part-8</v>
      </c>
      <c r="D2075" s="1447">
        <f t="shared" si="586"/>
        <v>1</v>
      </c>
      <c r="E2075" s="1447">
        <f t="shared" si="586"/>
        <v>1</v>
      </c>
      <c r="F2075" s="1448">
        <f t="shared" si="586"/>
        <v>6.76</v>
      </c>
      <c r="G2075" s="1448">
        <f t="shared" si="586"/>
        <v>5.76</v>
      </c>
      <c r="H2075" s="1449">
        <v>0.08</v>
      </c>
      <c r="I2075" s="1406">
        <f t="shared" si="588"/>
        <v>3.1150079999999996</v>
      </c>
      <c r="M2075" s="110"/>
      <c r="Q2075" s="1394">
        <f>IFERROR(VLOOKUP(M2075,#REF!,3,0),0)</f>
        <v>0</v>
      </c>
      <c r="R2075" s="1394">
        <f t="shared" si="580"/>
        <v>0</v>
      </c>
      <c r="S2075" s="1394">
        <f>IFERROR(VLOOKUP(M2075,#REF!,6,0),0)</f>
        <v>0</v>
      </c>
      <c r="T2075" s="1394">
        <f t="shared" si="583"/>
        <v>0</v>
      </c>
      <c r="U2075" s="1394">
        <f>IFERROR(VLOOKUP(M2075,#REF!,5,0),0)</f>
        <v>0</v>
      </c>
      <c r="V2075" s="1394">
        <f t="shared" si="584"/>
        <v>0</v>
      </c>
      <c r="W2075" s="1394"/>
    </row>
    <row r="2076" spans="1:26" ht="30" customHeight="1">
      <c r="B2076" s="1407"/>
      <c r="C2076" s="1446" t="str">
        <f t="shared" si="586"/>
        <v>Part-9</v>
      </c>
      <c r="D2076" s="1447">
        <f t="shared" si="586"/>
        <v>1</v>
      </c>
      <c r="E2076" s="1447">
        <f t="shared" si="586"/>
        <v>1</v>
      </c>
      <c r="F2076" s="1448">
        <f t="shared" si="586"/>
        <v>4</v>
      </c>
      <c r="G2076" s="1448">
        <f t="shared" si="586"/>
        <v>3.23</v>
      </c>
      <c r="H2076" s="1449">
        <v>0.08</v>
      </c>
      <c r="I2076" s="1406">
        <f t="shared" si="588"/>
        <v>1.0336000000000001</v>
      </c>
      <c r="M2076" s="110"/>
      <c r="Q2076" s="1394">
        <f>IFERROR(VLOOKUP(M2076,#REF!,3,0),0)</f>
        <v>0</v>
      </c>
      <c r="R2076" s="1394">
        <f t="shared" si="580"/>
        <v>0</v>
      </c>
      <c r="S2076" s="1394">
        <f>IFERROR(VLOOKUP(M2076,#REF!,6,0),0)</f>
        <v>0</v>
      </c>
      <c r="T2076" s="1394">
        <f t="shared" si="583"/>
        <v>0</v>
      </c>
      <c r="U2076" s="1394">
        <f>IFERROR(VLOOKUP(M2076,#REF!,5,0),0)</f>
        <v>0</v>
      </c>
      <c r="V2076" s="1394">
        <f t="shared" si="584"/>
        <v>0</v>
      </c>
      <c r="W2076" s="1394"/>
    </row>
    <row r="2077" spans="1:26" ht="30" customHeight="1">
      <c r="B2077" s="1407"/>
      <c r="C2077" s="1446" t="str">
        <f t="shared" si="586"/>
        <v>Part-10</v>
      </c>
      <c r="D2077" s="1447">
        <f t="shared" si="586"/>
        <v>1</v>
      </c>
      <c r="E2077" s="1447">
        <f t="shared" si="586"/>
        <v>1</v>
      </c>
      <c r="F2077" s="1448">
        <f t="shared" si="586"/>
        <v>4</v>
      </c>
      <c r="G2077" s="1448">
        <f t="shared" si="586"/>
        <v>2.5</v>
      </c>
      <c r="H2077" s="1449">
        <v>0.08</v>
      </c>
      <c r="I2077" s="1406">
        <f t="shared" si="588"/>
        <v>0.8</v>
      </c>
      <c r="M2077" s="110"/>
      <c r="Q2077" s="1394">
        <f>IFERROR(VLOOKUP(M2077,#REF!,3,0),0)</f>
        <v>0</v>
      </c>
      <c r="R2077" s="1394">
        <f t="shared" si="580"/>
        <v>0</v>
      </c>
      <c r="S2077" s="1394">
        <f>IFERROR(VLOOKUP(M2077,#REF!,6,0),0)</f>
        <v>0</v>
      </c>
      <c r="T2077" s="1394">
        <f t="shared" si="583"/>
        <v>0</v>
      </c>
      <c r="U2077" s="1394">
        <f>IFERROR(VLOOKUP(M2077,#REF!,5,0),0)</f>
        <v>0</v>
      </c>
      <c r="V2077" s="1394">
        <f t="shared" si="584"/>
        <v>0</v>
      </c>
      <c r="W2077" s="1394"/>
    </row>
    <row r="2078" spans="1:26" ht="30" customHeight="1">
      <c r="B2078" s="1407"/>
      <c r="C2078" s="1446" t="str">
        <f t="shared" ref="C2078:G2086" si="589">C182</f>
        <v>Part-11</v>
      </c>
      <c r="D2078" s="1447">
        <f t="shared" si="589"/>
        <v>1</v>
      </c>
      <c r="E2078" s="1447">
        <f t="shared" si="589"/>
        <v>1</v>
      </c>
      <c r="F2078" s="1448">
        <f t="shared" si="589"/>
        <v>2.895</v>
      </c>
      <c r="G2078" s="1448">
        <f t="shared" si="589"/>
        <v>1.9650000000000001</v>
      </c>
      <c r="H2078" s="1449">
        <v>0.08</v>
      </c>
      <c r="I2078" s="1406">
        <f t="shared" si="588"/>
        <v>0.455094</v>
      </c>
      <c r="M2078" s="110"/>
      <c r="Q2078" s="1394">
        <f>IFERROR(VLOOKUP(M2078,#REF!,3,0),0)</f>
        <v>0</v>
      </c>
      <c r="R2078" s="1394">
        <f t="shared" si="580"/>
        <v>0</v>
      </c>
      <c r="S2078" s="1394">
        <f>IFERROR(VLOOKUP(M2078,#REF!,6,0),0)</f>
        <v>0</v>
      </c>
      <c r="T2078" s="1394">
        <f t="shared" si="583"/>
        <v>0</v>
      </c>
      <c r="U2078" s="1394">
        <f>IFERROR(VLOOKUP(M2078,#REF!,5,0),0)</f>
        <v>0</v>
      </c>
      <c r="V2078" s="1394">
        <f t="shared" si="584"/>
        <v>0</v>
      </c>
      <c r="W2078" s="1394"/>
    </row>
    <row r="2079" spans="1:26" ht="30" customHeight="1">
      <c r="B2079" s="1407"/>
      <c r="C2079" s="1446" t="str">
        <f t="shared" si="589"/>
        <v>Part-12</v>
      </c>
      <c r="D2079" s="1447">
        <f t="shared" si="589"/>
        <v>1</v>
      </c>
      <c r="E2079" s="1447">
        <f t="shared" si="589"/>
        <v>1</v>
      </c>
      <c r="F2079" s="1448">
        <f t="shared" si="589"/>
        <v>4</v>
      </c>
      <c r="G2079" s="1448">
        <f t="shared" si="589"/>
        <v>2.5</v>
      </c>
      <c r="H2079" s="1449">
        <v>0.08</v>
      </c>
      <c r="I2079" s="1406">
        <f t="shared" si="588"/>
        <v>0.8</v>
      </c>
      <c r="M2079" s="110"/>
      <c r="Q2079" s="1394">
        <f>IFERROR(VLOOKUP(M2079,#REF!,3,0),0)</f>
        <v>0</v>
      </c>
      <c r="R2079" s="1394">
        <f t="shared" si="580"/>
        <v>0</v>
      </c>
      <c r="S2079" s="1394">
        <f>IFERROR(VLOOKUP(M2079,#REF!,6,0),0)</f>
        <v>0</v>
      </c>
      <c r="T2079" s="1394">
        <f t="shared" si="583"/>
        <v>0</v>
      </c>
      <c r="U2079" s="1394">
        <f>IFERROR(VLOOKUP(M2079,#REF!,5,0),0)</f>
        <v>0</v>
      </c>
      <c r="V2079" s="1394">
        <f t="shared" si="584"/>
        <v>0</v>
      </c>
      <c r="W2079" s="1394"/>
    </row>
    <row r="2080" spans="1:26" ht="30" customHeight="1">
      <c r="B2080" s="1407"/>
      <c r="C2080" s="1446" t="str">
        <f t="shared" si="589"/>
        <v>Part-13</v>
      </c>
      <c r="D2080" s="1447">
        <f t="shared" si="589"/>
        <v>1</v>
      </c>
      <c r="E2080" s="1447">
        <f t="shared" si="589"/>
        <v>1</v>
      </c>
      <c r="F2080" s="1448">
        <f t="shared" si="589"/>
        <v>4</v>
      </c>
      <c r="G2080" s="1448">
        <f t="shared" si="589"/>
        <v>3.9</v>
      </c>
      <c r="H2080" s="1449">
        <v>0.08</v>
      </c>
      <c r="I2080" s="1406">
        <f t="shared" si="588"/>
        <v>1.248</v>
      </c>
      <c r="M2080" s="110"/>
      <c r="Q2080" s="1394">
        <f>IFERROR(VLOOKUP(M2080,#REF!,3,0),0)</f>
        <v>0</v>
      </c>
      <c r="R2080" s="1394">
        <f t="shared" si="580"/>
        <v>0</v>
      </c>
      <c r="S2080" s="1394">
        <f>IFERROR(VLOOKUP(M2080,#REF!,6,0),0)</f>
        <v>0</v>
      </c>
      <c r="T2080" s="1394">
        <f t="shared" si="583"/>
        <v>0</v>
      </c>
      <c r="U2080" s="1394">
        <f>IFERROR(VLOOKUP(M2080,#REF!,5,0),0)</f>
        <v>0</v>
      </c>
      <c r="V2080" s="1394">
        <f t="shared" si="584"/>
        <v>0</v>
      </c>
      <c r="W2080" s="1394"/>
    </row>
    <row r="2081" spans="1:24" ht="30" customHeight="1">
      <c r="B2081" s="1407"/>
      <c r="C2081" s="1446" t="str">
        <f t="shared" si="589"/>
        <v>Part-14</v>
      </c>
      <c r="D2081" s="1447">
        <f t="shared" si="589"/>
        <v>1</v>
      </c>
      <c r="E2081" s="1447">
        <f t="shared" si="589"/>
        <v>1</v>
      </c>
      <c r="F2081" s="1448">
        <f t="shared" si="589"/>
        <v>5.4249999999999998</v>
      </c>
      <c r="G2081" s="1448">
        <f t="shared" si="589"/>
        <v>3.9</v>
      </c>
      <c r="H2081" s="1449">
        <v>0.08</v>
      </c>
      <c r="I2081" s="1406">
        <f t="shared" si="588"/>
        <v>1.6925999999999999</v>
      </c>
      <c r="M2081" s="110"/>
      <c r="Q2081" s="1394">
        <f>IFERROR(VLOOKUP(M2081,#REF!,3,0),0)</f>
        <v>0</v>
      </c>
      <c r="R2081" s="1394">
        <f t="shared" si="580"/>
        <v>0</v>
      </c>
      <c r="S2081" s="1394">
        <f>IFERROR(VLOOKUP(M2081,#REF!,6,0),0)</f>
        <v>0</v>
      </c>
      <c r="T2081" s="1394">
        <f t="shared" si="583"/>
        <v>0</v>
      </c>
      <c r="U2081" s="1394">
        <f>IFERROR(VLOOKUP(M2081,#REF!,5,0),0)</f>
        <v>0</v>
      </c>
      <c r="V2081" s="1394">
        <f t="shared" si="584"/>
        <v>0</v>
      </c>
      <c r="W2081" s="1394"/>
    </row>
    <row r="2082" spans="1:24" ht="30" customHeight="1">
      <c r="B2082" s="1407"/>
      <c r="C2082" s="1446" t="str">
        <f t="shared" si="589"/>
        <v>Part-15</v>
      </c>
      <c r="D2082" s="1447">
        <f t="shared" si="589"/>
        <v>1</v>
      </c>
      <c r="E2082" s="1447">
        <f t="shared" si="589"/>
        <v>1</v>
      </c>
      <c r="F2082" s="1448">
        <f t="shared" si="589"/>
        <v>4.4649999999999999</v>
      </c>
      <c r="G2082" s="1448">
        <f t="shared" si="589"/>
        <v>3.9</v>
      </c>
      <c r="H2082" s="1449">
        <v>0.08</v>
      </c>
      <c r="I2082" s="1406">
        <f t="shared" si="588"/>
        <v>1.3930799999999999</v>
      </c>
      <c r="M2082" s="110"/>
      <c r="Q2082" s="1394">
        <f>IFERROR(VLOOKUP(M2082,#REF!,3,0),0)</f>
        <v>0</v>
      </c>
      <c r="R2082" s="1394">
        <f t="shared" si="580"/>
        <v>0</v>
      </c>
      <c r="S2082" s="1394">
        <f>IFERROR(VLOOKUP(M2082,#REF!,6,0),0)</f>
        <v>0</v>
      </c>
      <c r="T2082" s="1394">
        <f t="shared" si="583"/>
        <v>0</v>
      </c>
      <c r="U2082" s="1394">
        <f>IFERROR(VLOOKUP(M2082,#REF!,5,0),0)</f>
        <v>0</v>
      </c>
      <c r="V2082" s="1394">
        <f t="shared" si="584"/>
        <v>0</v>
      </c>
      <c r="W2082" s="1394"/>
    </row>
    <row r="2083" spans="1:24" ht="30" customHeight="1">
      <c r="B2083" s="1407"/>
      <c r="C2083" s="1446" t="str">
        <f t="shared" si="589"/>
        <v>Part-16</v>
      </c>
      <c r="D2083" s="1447">
        <f t="shared" si="589"/>
        <v>1</v>
      </c>
      <c r="E2083" s="1447">
        <f t="shared" si="589"/>
        <v>1</v>
      </c>
      <c r="F2083" s="1448">
        <f t="shared" si="589"/>
        <v>3.7650000000000001</v>
      </c>
      <c r="G2083" s="1448">
        <f t="shared" si="589"/>
        <v>3.9</v>
      </c>
      <c r="H2083" s="1449">
        <v>0.08</v>
      </c>
      <c r="I2083" s="1406">
        <f t="shared" si="588"/>
        <v>1.1746800000000002</v>
      </c>
      <c r="M2083" s="110"/>
      <c r="Q2083" s="1394">
        <f>IFERROR(VLOOKUP(M2083,#REF!,3,0),0)</f>
        <v>0</v>
      </c>
      <c r="R2083" s="1394">
        <f t="shared" si="580"/>
        <v>0</v>
      </c>
      <c r="S2083" s="1394">
        <f>IFERROR(VLOOKUP(M2083,#REF!,6,0),0)</f>
        <v>0</v>
      </c>
      <c r="T2083" s="1394">
        <f t="shared" si="583"/>
        <v>0</v>
      </c>
      <c r="U2083" s="1394">
        <f>IFERROR(VLOOKUP(M2083,#REF!,5,0),0)</f>
        <v>0</v>
      </c>
      <c r="V2083" s="1394">
        <f t="shared" si="584"/>
        <v>0</v>
      </c>
      <c r="W2083" s="1394"/>
    </row>
    <row r="2084" spans="1:24" ht="30" customHeight="1">
      <c r="B2084" s="1407"/>
      <c r="C2084" s="1446" t="str">
        <f t="shared" si="589"/>
        <v>Part-17</v>
      </c>
      <c r="D2084" s="1447">
        <f t="shared" si="589"/>
        <v>1</v>
      </c>
      <c r="E2084" s="1447">
        <f t="shared" si="589"/>
        <v>1</v>
      </c>
      <c r="F2084" s="1448">
        <f t="shared" si="589"/>
        <v>4.3250000000000002</v>
      </c>
      <c r="G2084" s="1448">
        <f t="shared" si="589"/>
        <v>2.2999999999999998</v>
      </c>
      <c r="H2084" s="1449">
        <v>0.08</v>
      </c>
      <c r="I2084" s="1406">
        <f t="shared" si="588"/>
        <v>0.79579999999999995</v>
      </c>
      <c r="M2084" s="110"/>
      <c r="Q2084" s="1394">
        <f>IFERROR(VLOOKUP(M2084,#REF!,3,0),0)</f>
        <v>0</v>
      </c>
      <c r="R2084" s="1394">
        <f t="shared" si="580"/>
        <v>0</v>
      </c>
      <c r="S2084" s="1394">
        <f>IFERROR(VLOOKUP(M2084,#REF!,6,0),0)</f>
        <v>0</v>
      </c>
      <c r="T2084" s="1394">
        <f t="shared" si="583"/>
        <v>0</v>
      </c>
      <c r="U2084" s="1394">
        <f>IFERROR(VLOOKUP(M2084,#REF!,5,0),0)</f>
        <v>0</v>
      </c>
      <c r="V2084" s="1394">
        <f t="shared" si="584"/>
        <v>0</v>
      </c>
      <c r="W2084" s="1394"/>
    </row>
    <row r="2085" spans="1:24" ht="30" customHeight="1">
      <c r="B2085" s="1407"/>
      <c r="C2085" s="1446" t="str">
        <f t="shared" si="589"/>
        <v>Part-18</v>
      </c>
      <c r="D2085" s="1447">
        <f t="shared" si="589"/>
        <v>1</v>
      </c>
      <c r="E2085" s="1447">
        <f t="shared" si="589"/>
        <v>1</v>
      </c>
      <c r="F2085" s="1448">
        <f t="shared" si="589"/>
        <v>3.4249999999999998</v>
      </c>
      <c r="G2085" s="1448">
        <f t="shared" si="589"/>
        <v>0.745</v>
      </c>
      <c r="H2085" s="1449">
        <v>0.08</v>
      </c>
      <c r="I2085" s="1406">
        <f t="shared" si="588"/>
        <v>0.20413000000000001</v>
      </c>
      <c r="Q2085" s="1394">
        <f>IFERROR(VLOOKUP(M2085,#REF!,3,0),0)</f>
        <v>0</v>
      </c>
      <c r="R2085" s="1394">
        <f t="shared" si="580"/>
        <v>0</v>
      </c>
      <c r="S2085" s="1394">
        <f>IFERROR(VLOOKUP(M2085,#REF!,6,0),0)</f>
        <v>0</v>
      </c>
      <c r="T2085" s="1394">
        <f t="shared" si="583"/>
        <v>0</v>
      </c>
      <c r="U2085" s="1394">
        <f>IFERROR(VLOOKUP(M2085,#REF!,5,0),0)</f>
        <v>0</v>
      </c>
      <c r="V2085" s="1394">
        <f t="shared" si="584"/>
        <v>0</v>
      </c>
      <c r="W2085" s="1394"/>
    </row>
    <row r="2086" spans="1:24" ht="30" customHeight="1">
      <c r="B2086" s="1407"/>
      <c r="C2086" s="1446" t="str">
        <f t="shared" si="589"/>
        <v>Part-19</v>
      </c>
      <c r="D2086" s="1447">
        <f t="shared" si="589"/>
        <v>1</v>
      </c>
      <c r="E2086" s="1447">
        <f t="shared" si="589"/>
        <v>1</v>
      </c>
      <c r="F2086" s="1448">
        <f t="shared" si="589"/>
        <v>3.4249999999999998</v>
      </c>
      <c r="G2086" s="1448">
        <f t="shared" si="589"/>
        <v>3.6</v>
      </c>
      <c r="H2086" s="1449">
        <v>0.08</v>
      </c>
      <c r="I2086" s="1406">
        <f t="shared" si="588"/>
        <v>0.98640000000000005</v>
      </c>
      <c r="Q2086" s="1394">
        <f>IFERROR(VLOOKUP(M2086,#REF!,3,0),0)</f>
        <v>0</v>
      </c>
      <c r="R2086" s="1394">
        <f t="shared" si="580"/>
        <v>0</v>
      </c>
      <c r="S2086" s="1394">
        <f>IFERROR(VLOOKUP(M2086,#REF!,6,0),0)</f>
        <v>0</v>
      </c>
      <c r="T2086" s="1394">
        <f t="shared" si="583"/>
        <v>0</v>
      </c>
      <c r="U2086" s="1394">
        <f>IFERROR(VLOOKUP(M2086,#REF!,5,0),0)</f>
        <v>0</v>
      </c>
      <c r="V2086" s="1394">
        <f t="shared" si="584"/>
        <v>0</v>
      </c>
      <c r="W2086" s="1394"/>
    </row>
    <row r="2087" spans="1:24" ht="30" customHeight="1">
      <c r="B2087" s="1407"/>
      <c r="C2087" s="1446"/>
      <c r="D2087" s="1447"/>
      <c r="E2087" s="1447"/>
      <c r="F2087" s="1448"/>
      <c r="G2087" s="1448"/>
      <c r="H2087" s="1449"/>
      <c r="I2087" s="1406"/>
      <c r="Q2087" s="1394">
        <f>IFERROR(VLOOKUP(M2087,#REF!,3,0),0)</f>
        <v>0</v>
      </c>
      <c r="R2087" s="1394">
        <f t="shared" si="580"/>
        <v>0</v>
      </c>
      <c r="S2087" s="1394">
        <f>IFERROR(VLOOKUP(M2087,#REF!,6,0),0)</f>
        <v>0</v>
      </c>
      <c r="T2087" s="1394">
        <f t="shared" si="583"/>
        <v>0</v>
      </c>
      <c r="U2087" s="1394">
        <f>IFERROR(VLOOKUP(M2087,#REF!,5,0),0)</f>
        <v>0</v>
      </c>
      <c r="V2087" s="1394">
        <f t="shared" si="584"/>
        <v>0</v>
      </c>
      <c r="W2087" s="1394"/>
    </row>
    <row r="2088" spans="1:24" s="1394" customFormat="1" ht="30" customHeight="1">
      <c r="B2088" s="1421"/>
      <c r="C2088" s="1422" t="s">
        <v>270</v>
      </c>
      <c r="D2088" s="1389"/>
      <c r="E2088" s="1389"/>
      <c r="F2088" s="1423"/>
      <c r="G2088" s="1423"/>
      <c r="H2088" s="1424"/>
      <c r="I2088" s="1425">
        <f>J2089-J2088</f>
        <v>3.2358000000000331E-2</v>
      </c>
      <c r="J2088" s="1394">
        <f>SUM(I2068:I2077)</f>
        <v>12.767641999999999</v>
      </c>
      <c r="M2088" s="1426"/>
      <c r="Q2088" s="1394">
        <f>IFERROR(VLOOKUP(M2088,#REF!,3,0),0)</f>
        <v>0</v>
      </c>
      <c r="R2088" s="1394">
        <f t="shared" si="580"/>
        <v>0</v>
      </c>
      <c r="S2088" s="1394">
        <f>IFERROR(VLOOKUP(M2088,#REF!,6,0),0)</f>
        <v>0</v>
      </c>
      <c r="T2088" s="1394">
        <f t="shared" si="583"/>
        <v>0</v>
      </c>
      <c r="U2088" s="1394">
        <f>IFERROR(VLOOKUP(M2088,#REF!,5,0),0)</f>
        <v>0</v>
      </c>
      <c r="V2088" s="1394">
        <f t="shared" si="584"/>
        <v>0</v>
      </c>
    </row>
    <row r="2089" spans="1:24" s="1394" customFormat="1" ht="30" customHeight="1">
      <c r="B2089" s="1421"/>
      <c r="C2089" s="1422"/>
      <c r="D2089" s="1389"/>
      <c r="E2089" s="1389"/>
      <c r="F2089" s="1423"/>
      <c r="G2089" s="1423"/>
      <c r="H2089" s="1424"/>
      <c r="I2089" s="1427">
        <f>+J2089</f>
        <v>12.799999999999999</v>
      </c>
      <c r="J2089" s="1394">
        <f>ROUNDUP(J2088,1)</f>
        <v>12.799999999999999</v>
      </c>
      <c r="M2089" s="1426"/>
      <c r="Q2089" s="1394">
        <f>IFERROR(VLOOKUP(M2089,#REF!,3,0),0)</f>
        <v>0</v>
      </c>
      <c r="R2089" s="1394">
        <f t="shared" si="580"/>
        <v>0</v>
      </c>
      <c r="S2089" s="1394">
        <f>IFERROR(VLOOKUP(M2089,#REF!,6,0),0)</f>
        <v>0</v>
      </c>
      <c r="T2089" s="1394">
        <f t="shared" si="583"/>
        <v>0</v>
      </c>
      <c r="U2089" s="1394">
        <f>IFERROR(VLOOKUP(M2089,#REF!,5,0),0)</f>
        <v>0</v>
      </c>
      <c r="V2089" s="1394">
        <f t="shared" si="584"/>
        <v>0</v>
      </c>
    </row>
    <row r="2090" spans="1:24" s="1394" customFormat="1" ht="30" customHeight="1">
      <c r="B2090" s="1421"/>
      <c r="C2090" s="1422"/>
      <c r="D2090" s="1389"/>
      <c r="E2090" s="1389"/>
      <c r="F2090" s="1423"/>
      <c r="G2090" s="1428" t="s">
        <v>11</v>
      </c>
      <c r="H2090" s="1429">
        <f>I2089</f>
        <v>12.799999999999999</v>
      </c>
      <c r="I2090" s="1427" t="s">
        <v>19</v>
      </c>
      <c r="M2090" s="1394" t="str">
        <f>A2067</f>
        <v>Flooring in C.C.1:5:10</v>
      </c>
      <c r="N2090" s="1394">
        <f>B2067</f>
        <v>26</v>
      </c>
      <c r="O2090" s="1394">
        <f>H2090</f>
        <v>12.799999999999999</v>
      </c>
      <c r="P2090" s="1394" t="str">
        <f>I2090</f>
        <v>Cum</v>
      </c>
      <c r="Q2090" s="1394">
        <f>IFERROR(VLOOKUP(M2090,#REF!,3,0),0)</f>
        <v>0</v>
      </c>
      <c r="R2090" s="1394">
        <f t="shared" si="580"/>
        <v>0</v>
      </c>
      <c r="S2090" s="1394">
        <f>IFERROR(VLOOKUP(M2090,#REF!,6,0),0)</f>
        <v>0</v>
      </c>
      <c r="T2090" s="1394">
        <f t="shared" si="583"/>
        <v>0</v>
      </c>
      <c r="U2090" s="1394">
        <f>IFERROR(VLOOKUP(M2090,#REF!,5,0),0)</f>
        <v>0</v>
      </c>
      <c r="V2090" s="1394">
        <f t="shared" si="584"/>
        <v>12.799999999999999</v>
      </c>
    </row>
    <row r="2091" spans="1:24" ht="84" customHeight="1">
      <c r="A2091" s="110" t="s">
        <v>376</v>
      </c>
      <c r="B2091" s="1405">
        <v>28</v>
      </c>
      <c r="C2091" s="1678" t="e">
        <f>VLOOKUP(A2091,#REF!,2,0)</f>
        <v>#REF!</v>
      </c>
      <c r="D2091" s="1678"/>
      <c r="E2091" s="1678"/>
      <c r="F2091" s="1678"/>
      <c r="G2091" s="1678"/>
      <c r="H2091" s="1678"/>
      <c r="I2091" s="1406"/>
      <c r="Q2091" s="1394">
        <f>IFERROR(VLOOKUP(M2091,#REF!,3,0),0)</f>
        <v>0</v>
      </c>
      <c r="R2091" s="1394">
        <f t="shared" si="580"/>
        <v>0</v>
      </c>
      <c r="S2091" s="1394">
        <f>IFERROR(VLOOKUP(M2091,#REF!,6,0),0)</f>
        <v>0</v>
      </c>
      <c r="T2091" s="1394">
        <f t="shared" si="583"/>
        <v>0</v>
      </c>
      <c r="U2091" s="1394">
        <f>IFERROR(VLOOKUP(M2091,#REF!,5,0),0)</f>
        <v>0</v>
      </c>
      <c r="V2091" s="1394">
        <f t="shared" si="584"/>
        <v>0</v>
      </c>
      <c r="W2091" s="1394"/>
      <c r="X2091" s="1397"/>
    </row>
    <row r="2092" spans="1:24" ht="30" customHeight="1">
      <c r="B2092" s="1407"/>
      <c r="C2092" s="1455" t="s">
        <v>377</v>
      </c>
      <c r="D2092" s="103">
        <v>1</v>
      </c>
      <c r="E2092" s="103">
        <f>+E42</f>
        <v>6</v>
      </c>
      <c r="F2092" s="1413">
        <v>0.6</v>
      </c>
      <c r="G2092" s="1413">
        <v>0.6</v>
      </c>
      <c r="H2092" s="1414"/>
      <c r="I2092" s="1406">
        <f t="shared" ref="I2092" si="590">PRODUCT(D2092:H2092)</f>
        <v>2.1599999999999997</v>
      </c>
      <c r="Q2092" s="1394">
        <f>IFERROR(VLOOKUP(M2092,#REF!,3,0),0)</f>
        <v>0</v>
      </c>
      <c r="R2092" s="1394">
        <f t="shared" si="580"/>
        <v>0</v>
      </c>
      <c r="S2092" s="1394">
        <f>IFERROR(VLOOKUP(M2092,#REF!,6,0),0)</f>
        <v>0</v>
      </c>
      <c r="T2092" s="1394">
        <f t="shared" si="583"/>
        <v>0</v>
      </c>
      <c r="U2092" s="1394">
        <f>IFERROR(VLOOKUP(M2092,#REF!,5,0),0)</f>
        <v>0</v>
      </c>
      <c r="V2092" s="1394">
        <f t="shared" si="584"/>
        <v>0</v>
      </c>
      <c r="W2092" s="1394"/>
    </row>
    <row r="2093" spans="1:24" ht="30" customHeight="1">
      <c r="B2093" s="1407"/>
      <c r="C2093" s="1455"/>
      <c r="D2093" s="103"/>
      <c r="E2093" s="103"/>
      <c r="F2093" s="1413"/>
      <c r="G2093" s="1413"/>
      <c r="H2093" s="1414"/>
      <c r="I2093" s="1406"/>
      <c r="Q2093" s="1394">
        <f>IFERROR(VLOOKUP(M2093,#REF!,3,0),0)</f>
        <v>0</v>
      </c>
      <c r="R2093" s="1394">
        <f t="shared" si="580"/>
        <v>0</v>
      </c>
      <c r="S2093" s="1394">
        <f>IFERROR(VLOOKUP(M2093,#REF!,6,0),0)</f>
        <v>0</v>
      </c>
      <c r="T2093" s="1394">
        <f t="shared" si="583"/>
        <v>0</v>
      </c>
      <c r="U2093" s="1394">
        <f>IFERROR(VLOOKUP(M2093,#REF!,5,0),0)</f>
        <v>0</v>
      </c>
      <c r="V2093" s="1394">
        <f t="shared" si="584"/>
        <v>0</v>
      </c>
      <c r="W2093" s="1394"/>
    </row>
    <row r="2094" spans="1:24" s="1394" customFormat="1" ht="30" customHeight="1">
      <c r="B2094" s="1421"/>
      <c r="C2094" s="1422" t="s">
        <v>270</v>
      </c>
      <c r="D2094" s="1389"/>
      <c r="E2094" s="1389"/>
      <c r="F2094" s="1423"/>
      <c r="G2094" s="1423"/>
      <c r="H2094" s="1424"/>
      <c r="I2094" s="1425">
        <f>J2095-J2094</f>
        <v>4.000000000000048E-2</v>
      </c>
      <c r="J2094" s="1394">
        <f>SUM(I2092:I2093)</f>
        <v>2.1599999999999997</v>
      </c>
      <c r="M2094" s="1426"/>
      <c r="Q2094" s="1394">
        <f>IFERROR(VLOOKUP(M2094,#REF!,3,0),0)</f>
        <v>0</v>
      </c>
      <c r="R2094" s="1394">
        <f t="shared" ref="R2094:R2125" si="591">ROUND(O2094,2)*ROUND(Q2094,2)</f>
        <v>0</v>
      </c>
      <c r="S2094" s="1394">
        <f>IFERROR(VLOOKUP(M2094,#REF!,6,0),0)</f>
        <v>0</v>
      </c>
      <c r="T2094" s="1394">
        <f t="shared" si="583"/>
        <v>0</v>
      </c>
      <c r="U2094" s="1394">
        <f>IFERROR(VLOOKUP(M2094,#REF!,5,0),0)</f>
        <v>0</v>
      </c>
      <c r="V2094" s="1394">
        <f t="shared" si="584"/>
        <v>0</v>
      </c>
    </row>
    <row r="2095" spans="1:24" s="1394" customFormat="1" ht="30" customHeight="1">
      <c r="B2095" s="1421"/>
      <c r="C2095" s="1422"/>
      <c r="D2095" s="1389"/>
      <c r="E2095" s="1389"/>
      <c r="F2095" s="1423"/>
      <c r="G2095" s="1423"/>
      <c r="H2095" s="1424"/>
      <c r="I2095" s="1427">
        <f>+J2095</f>
        <v>2.2000000000000002</v>
      </c>
      <c r="J2095" s="1394">
        <f>ROUNDUP(J2094,1)</f>
        <v>2.2000000000000002</v>
      </c>
      <c r="M2095" s="1426"/>
      <c r="Q2095" s="1394">
        <f>IFERROR(VLOOKUP(M2095,#REF!,3,0),0)</f>
        <v>0</v>
      </c>
      <c r="R2095" s="1394">
        <f t="shared" si="591"/>
        <v>0</v>
      </c>
      <c r="S2095" s="1394">
        <f>IFERROR(VLOOKUP(M2095,#REF!,6,0),0)</f>
        <v>0</v>
      </c>
      <c r="T2095" s="1394">
        <f t="shared" si="583"/>
        <v>0</v>
      </c>
      <c r="U2095" s="1394">
        <f>IFERROR(VLOOKUP(M2095,#REF!,5,0),0)</f>
        <v>0</v>
      </c>
      <c r="V2095" s="1394">
        <f t="shared" si="584"/>
        <v>0</v>
      </c>
    </row>
    <row r="2096" spans="1:24" s="1394" customFormat="1" ht="30" customHeight="1">
      <c r="B2096" s="1421"/>
      <c r="C2096" s="1422"/>
      <c r="D2096" s="1389"/>
      <c r="E2096" s="1389"/>
      <c r="F2096" s="1423"/>
      <c r="G2096" s="1428" t="s">
        <v>11</v>
      </c>
      <c r="H2096" s="1429">
        <f>I2095</f>
        <v>2.2000000000000002</v>
      </c>
      <c r="I2096" s="1427" t="s">
        <v>26</v>
      </c>
      <c r="M2096" s="1394" t="str">
        <f>A2091</f>
        <v>Floor plastering in C.M. 1:4, 20 mm tk.</v>
      </c>
      <c r="N2096" s="1394">
        <f>B2091</f>
        <v>28</v>
      </c>
      <c r="O2096" s="1394">
        <f>H2096</f>
        <v>2.2000000000000002</v>
      </c>
      <c r="P2096" s="1394" t="str">
        <f>I2096</f>
        <v>Sqm</v>
      </c>
      <c r="Q2096" s="1394">
        <f>IFERROR(VLOOKUP(M2096,#REF!,3,0),0)</f>
        <v>0</v>
      </c>
      <c r="R2096" s="1394">
        <f t="shared" si="591"/>
        <v>0</v>
      </c>
      <c r="S2096" s="1394">
        <f>IFERROR(VLOOKUP(M2096,#REF!,6,0),0)</f>
        <v>0</v>
      </c>
      <c r="T2096" s="1394">
        <f t="shared" si="583"/>
        <v>0</v>
      </c>
      <c r="U2096" s="1394">
        <f>IFERROR(VLOOKUP(M2096,#REF!,5,0),0)</f>
        <v>0</v>
      </c>
      <c r="V2096" s="1394">
        <f t="shared" si="584"/>
        <v>2.2000000000000002</v>
      </c>
    </row>
    <row r="2097" spans="1:24" ht="123.75" customHeight="1">
      <c r="A2097" s="110" t="s">
        <v>378</v>
      </c>
      <c r="B2097" s="1405">
        <f>B2091+1</f>
        <v>29</v>
      </c>
      <c r="C2097" s="1678" t="e">
        <f>VLOOKUP(A2097,#REF!,2,0)</f>
        <v>#REF!</v>
      </c>
      <c r="D2097" s="1678"/>
      <c r="E2097" s="1678"/>
      <c r="F2097" s="1678"/>
      <c r="G2097" s="1678"/>
      <c r="H2097" s="1678"/>
      <c r="I2097" s="1406"/>
      <c r="Q2097" s="1394">
        <f>IFERROR(VLOOKUP(M2097,#REF!,3,0),0)</f>
        <v>0</v>
      </c>
      <c r="R2097" s="1394">
        <f t="shared" si="591"/>
        <v>0</v>
      </c>
      <c r="S2097" s="1394">
        <f>IFERROR(VLOOKUP(M2097,#REF!,6,0),0)</f>
        <v>0</v>
      </c>
      <c r="T2097" s="1394">
        <f t="shared" si="583"/>
        <v>0</v>
      </c>
      <c r="U2097" s="1394">
        <f>IFERROR(VLOOKUP(M2097,#REF!,5,0),0)</f>
        <v>0</v>
      </c>
      <c r="V2097" s="1394">
        <f t="shared" si="584"/>
        <v>0</v>
      </c>
      <c r="W2097" s="1394"/>
      <c r="X2097" s="1397"/>
    </row>
    <row r="2098" spans="1:24" ht="30" customHeight="1">
      <c r="B2098" s="1407"/>
      <c r="C2098" s="1455" t="s">
        <v>5790</v>
      </c>
      <c r="D2098" s="103">
        <v>1</v>
      </c>
      <c r="E2098" s="103">
        <v>2</v>
      </c>
      <c r="F2098" s="1413">
        <v>1.65</v>
      </c>
      <c r="G2098" s="1413">
        <v>1.5</v>
      </c>
      <c r="H2098" s="1414"/>
      <c r="I2098" s="1406">
        <f>PRODUCT(D2098:H2098)</f>
        <v>4.9499999999999993</v>
      </c>
      <c r="Q2098" s="1394">
        <f>IFERROR(VLOOKUP(M2098,#REF!,3,0),0)</f>
        <v>0</v>
      </c>
      <c r="R2098" s="1394">
        <f t="shared" si="591"/>
        <v>0</v>
      </c>
      <c r="S2098" s="1394">
        <f>IFERROR(VLOOKUP(M2098,#REF!,6,0),0)</f>
        <v>0</v>
      </c>
      <c r="T2098" s="1394">
        <f t="shared" si="583"/>
        <v>0</v>
      </c>
      <c r="U2098" s="1394">
        <f>IFERROR(VLOOKUP(M2098,#REF!,5,0),0)</f>
        <v>0</v>
      </c>
      <c r="V2098" s="1394">
        <f t="shared" si="584"/>
        <v>0</v>
      </c>
      <c r="W2098" s="1394"/>
    </row>
    <row r="2099" spans="1:24" ht="30" customHeight="1">
      <c r="B2099" s="1407"/>
      <c r="C2099" s="1455" t="s">
        <v>5791</v>
      </c>
      <c r="D2099" s="103">
        <v>1</v>
      </c>
      <c r="E2099" s="103">
        <v>1</v>
      </c>
      <c r="F2099" s="1413">
        <v>1.5</v>
      </c>
      <c r="G2099" s="1413">
        <v>1.5</v>
      </c>
      <c r="H2099" s="1414"/>
      <c r="I2099" s="1406">
        <f>PRODUCT(D2099:H2099)</f>
        <v>2.25</v>
      </c>
      <c r="Q2099" s="1394">
        <f>IFERROR(VLOOKUP(M2099,#REF!,3,0),0)</f>
        <v>0</v>
      </c>
      <c r="R2099" s="1394">
        <f t="shared" si="591"/>
        <v>0</v>
      </c>
      <c r="S2099" s="1394">
        <f>IFERROR(VLOOKUP(M2099,#REF!,6,0),0)</f>
        <v>0</v>
      </c>
      <c r="T2099" s="1394">
        <f t="shared" si="583"/>
        <v>0</v>
      </c>
      <c r="U2099" s="1394">
        <f>IFERROR(VLOOKUP(M2099,#REF!,5,0),0)</f>
        <v>0</v>
      </c>
      <c r="V2099" s="1394">
        <f t="shared" si="584"/>
        <v>0</v>
      </c>
      <c r="W2099" s="1394"/>
    </row>
    <row r="2100" spans="1:24" ht="30" customHeight="1">
      <c r="B2100" s="1407"/>
      <c r="C2100" s="1455" t="s">
        <v>5791</v>
      </c>
      <c r="D2100" s="103">
        <v>1</v>
      </c>
      <c r="E2100" s="103">
        <v>1</v>
      </c>
      <c r="F2100" s="1413">
        <v>1.65</v>
      </c>
      <c r="G2100" s="1413">
        <v>1.2350000000000001</v>
      </c>
      <c r="H2100" s="1414"/>
      <c r="I2100" s="1406">
        <f>PRODUCT(D2100:H2100)</f>
        <v>2.03775</v>
      </c>
      <c r="Q2100" s="1394">
        <f>IFERROR(VLOOKUP(M2100,#REF!,3,0),0)</f>
        <v>0</v>
      </c>
      <c r="R2100" s="1394">
        <f t="shared" si="591"/>
        <v>0</v>
      </c>
      <c r="S2100" s="1394">
        <f>IFERROR(VLOOKUP(M2100,#REF!,6,0),0)</f>
        <v>0</v>
      </c>
      <c r="T2100" s="1394">
        <f t="shared" si="583"/>
        <v>0</v>
      </c>
      <c r="U2100" s="1394">
        <f>IFERROR(VLOOKUP(M2100,#REF!,5,0),0)</f>
        <v>0</v>
      </c>
      <c r="V2100" s="1394">
        <f t="shared" si="584"/>
        <v>0</v>
      </c>
      <c r="W2100" s="1394"/>
    </row>
    <row r="2101" spans="1:24" ht="30" customHeight="1">
      <c r="B2101" s="1407"/>
      <c r="C2101" s="1455" t="s">
        <v>5793</v>
      </c>
      <c r="D2101" s="103">
        <v>1</v>
      </c>
      <c r="E2101" s="103">
        <v>2</v>
      </c>
      <c r="F2101" s="1413">
        <v>1.65</v>
      </c>
      <c r="G2101" s="1413">
        <v>1.5</v>
      </c>
      <c r="H2101" s="1414"/>
      <c r="I2101" s="1406">
        <f>PRODUCT(D2101:H2101)</f>
        <v>4.9499999999999993</v>
      </c>
      <c r="Q2101" s="1394">
        <f>IFERROR(VLOOKUP(M2101,#REF!,3,0),0)</f>
        <v>0</v>
      </c>
      <c r="R2101" s="1394">
        <f t="shared" si="591"/>
        <v>0</v>
      </c>
      <c r="S2101" s="1394">
        <f>IFERROR(VLOOKUP(M2101,#REF!,6,0),0)</f>
        <v>0</v>
      </c>
      <c r="T2101" s="1394">
        <f t="shared" si="583"/>
        <v>0</v>
      </c>
      <c r="U2101" s="1394">
        <f>IFERROR(VLOOKUP(M2101,#REF!,5,0),0)</f>
        <v>0</v>
      </c>
      <c r="V2101" s="1394">
        <f t="shared" si="584"/>
        <v>0</v>
      </c>
      <c r="W2101" s="1394"/>
    </row>
    <row r="2102" spans="1:24" ht="30" customHeight="1">
      <c r="B2102" s="1407"/>
      <c r="C2102" s="1455" t="s">
        <v>5794</v>
      </c>
      <c r="D2102" s="103">
        <v>1</v>
      </c>
      <c r="E2102" s="103">
        <v>1</v>
      </c>
      <c r="F2102" s="1413">
        <v>1.5</v>
      </c>
      <c r="G2102" s="1413">
        <v>1.5</v>
      </c>
      <c r="H2102" s="1414"/>
      <c r="I2102" s="1406">
        <f t="shared" ref="I2102:I2103" si="592">PRODUCT(D2102:H2102)</f>
        <v>2.25</v>
      </c>
      <c r="Q2102" s="1394">
        <f>IFERROR(VLOOKUP(M2102,#REF!,3,0),0)</f>
        <v>0</v>
      </c>
      <c r="R2102" s="1394">
        <f t="shared" si="591"/>
        <v>0</v>
      </c>
      <c r="S2102" s="1394">
        <f>IFERROR(VLOOKUP(M2102,#REF!,6,0),0)</f>
        <v>0</v>
      </c>
      <c r="T2102" s="1394">
        <f t="shared" si="583"/>
        <v>0</v>
      </c>
      <c r="U2102" s="1394">
        <f>IFERROR(VLOOKUP(M2102,#REF!,5,0),0)</f>
        <v>0</v>
      </c>
      <c r="V2102" s="1394">
        <f t="shared" si="584"/>
        <v>0</v>
      </c>
      <c r="W2102" s="1394"/>
    </row>
    <row r="2103" spans="1:24" ht="30" customHeight="1">
      <c r="B2103" s="1407"/>
      <c r="C2103" s="1455" t="s">
        <v>5794</v>
      </c>
      <c r="D2103" s="103">
        <v>1</v>
      </c>
      <c r="E2103" s="103">
        <v>1</v>
      </c>
      <c r="F2103" s="1413">
        <v>1.65</v>
      </c>
      <c r="G2103" s="1413">
        <v>1.2350000000000001</v>
      </c>
      <c r="H2103" s="1414"/>
      <c r="I2103" s="1406">
        <f t="shared" si="592"/>
        <v>2.03775</v>
      </c>
      <c r="Q2103" s="1394">
        <f>IFERROR(VLOOKUP(M2103,#REF!,3,0),0)</f>
        <v>0</v>
      </c>
      <c r="R2103" s="1394">
        <f t="shared" si="591"/>
        <v>0</v>
      </c>
      <c r="S2103" s="1394">
        <f>IFERROR(VLOOKUP(M2103,#REF!,6,0),0)</f>
        <v>0</v>
      </c>
      <c r="T2103" s="1394">
        <f t="shared" ref="T2103:T2125" si="593">R2103-S2103</f>
        <v>0</v>
      </c>
      <c r="U2103" s="1394">
        <f>IFERROR(VLOOKUP(M2103,#REF!,5,0),0)</f>
        <v>0</v>
      </c>
      <c r="V2103" s="1394">
        <f t="shared" ref="V2103:V2125" si="594">O2103-U2103</f>
        <v>0</v>
      </c>
      <c r="W2103" s="1394"/>
    </row>
    <row r="2104" spans="1:24" ht="30" customHeight="1">
      <c r="B2104" s="1407"/>
      <c r="C2104" s="1455" t="s">
        <v>5795</v>
      </c>
      <c r="D2104" s="103">
        <v>1</v>
      </c>
      <c r="E2104" s="103">
        <v>2</v>
      </c>
      <c r="F2104" s="1413">
        <v>1.65</v>
      </c>
      <c r="G2104" s="1413">
        <v>1.5</v>
      </c>
      <c r="H2104" s="1414"/>
      <c r="I2104" s="1406">
        <f>PRODUCT(D2104:H2104)</f>
        <v>4.9499999999999993</v>
      </c>
      <c r="Q2104" s="1394">
        <f>IFERROR(VLOOKUP(M2104,#REF!,3,0),0)</f>
        <v>0</v>
      </c>
      <c r="R2104" s="1394">
        <f t="shared" si="591"/>
        <v>0</v>
      </c>
      <c r="S2104" s="1394">
        <f>IFERROR(VLOOKUP(M2104,#REF!,6,0),0)</f>
        <v>0</v>
      </c>
      <c r="T2104" s="1394">
        <f t="shared" si="593"/>
        <v>0</v>
      </c>
      <c r="U2104" s="1394">
        <f>IFERROR(VLOOKUP(M2104,#REF!,5,0),0)</f>
        <v>0</v>
      </c>
      <c r="V2104" s="1394">
        <f t="shared" si="594"/>
        <v>0</v>
      </c>
      <c r="W2104" s="1394"/>
    </row>
    <row r="2105" spans="1:24" ht="30" customHeight="1">
      <c r="B2105" s="1407"/>
      <c r="C2105" s="1455" t="s">
        <v>5792</v>
      </c>
      <c r="D2105" s="103">
        <v>1</v>
      </c>
      <c r="E2105" s="103">
        <v>1</v>
      </c>
      <c r="F2105" s="1413">
        <v>3.8849999999999998</v>
      </c>
      <c r="G2105" s="1413">
        <v>3.9</v>
      </c>
      <c r="H2105" s="1414"/>
      <c r="I2105" s="1406">
        <f>PRODUCT(D2105:H2105)</f>
        <v>15.151499999999999</v>
      </c>
      <c r="Q2105" s="1394">
        <f>IFERROR(VLOOKUP(M2105,#REF!,3,0),0)</f>
        <v>0</v>
      </c>
      <c r="R2105" s="1394">
        <f t="shared" si="591"/>
        <v>0</v>
      </c>
      <c r="S2105" s="1394">
        <f>IFERROR(VLOOKUP(M2105,#REF!,6,0),0)</f>
        <v>0</v>
      </c>
      <c r="T2105" s="1394">
        <f t="shared" si="593"/>
        <v>0</v>
      </c>
      <c r="U2105" s="1394">
        <f>IFERROR(VLOOKUP(M2105,#REF!,5,0),0)</f>
        <v>0</v>
      </c>
      <c r="V2105" s="1394">
        <f t="shared" si="594"/>
        <v>0</v>
      </c>
      <c r="W2105" s="1394"/>
    </row>
    <row r="2106" spans="1:24" ht="30" customHeight="1">
      <c r="B2106" s="1407"/>
      <c r="C2106" s="1422" t="s">
        <v>329</v>
      </c>
      <c r="D2106" s="1389">
        <v>0</v>
      </c>
      <c r="E2106" s="1389">
        <v>0</v>
      </c>
      <c r="F2106" s="1423">
        <v>0</v>
      </c>
      <c r="G2106" s="1423">
        <v>0</v>
      </c>
      <c r="H2106" s="1424">
        <v>0</v>
      </c>
      <c r="I2106" s="1425">
        <f>PRODUCT(D2106:H2106)</f>
        <v>0</v>
      </c>
      <c r="Q2106" s="1394">
        <f>IFERROR(VLOOKUP(M2106,#REF!,3,0),0)</f>
        <v>0</v>
      </c>
      <c r="R2106" s="1394">
        <f t="shared" si="591"/>
        <v>0</v>
      </c>
      <c r="S2106" s="1394">
        <f>IFERROR(VLOOKUP(M2106,#REF!,6,0),0)</f>
        <v>0</v>
      </c>
      <c r="T2106" s="1394">
        <f>R2106-S2106</f>
        <v>0</v>
      </c>
      <c r="U2106" s="1394">
        <f>IFERROR(VLOOKUP(M2106,#REF!,5,0),0)</f>
        <v>0</v>
      </c>
      <c r="V2106" s="1394">
        <f>O2106-U2106</f>
        <v>0</v>
      </c>
      <c r="W2106" s="1394"/>
    </row>
    <row r="2107" spans="1:24" ht="30" customHeight="1">
      <c r="B2107" s="1407"/>
      <c r="C2107" s="1422" t="s">
        <v>411</v>
      </c>
      <c r="D2107" s="1389">
        <v>1</v>
      </c>
      <c r="E2107" s="1389">
        <v>1</v>
      </c>
      <c r="F2107" s="1423">
        <v>4.2300000000000004</v>
      </c>
      <c r="G2107" s="1423">
        <v>3.23</v>
      </c>
      <c r="H2107" s="1424"/>
      <c r="I2107" s="1425">
        <f>PRODUCT(D2107:H2107)</f>
        <v>13.6629</v>
      </c>
      <c r="Q2107" s="1394">
        <f>IFERROR(VLOOKUP(M2107,#REF!,3,0),0)</f>
        <v>0</v>
      </c>
      <c r="R2107" s="1394">
        <f t="shared" si="591"/>
        <v>0</v>
      </c>
      <c r="S2107" s="1394">
        <f>IFERROR(VLOOKUP(M2107,#REF!,6,0),0)</f>
        <v>0</v>
      </c>
      <c r="T2107" s="1394">
        <f>R2107-S2107</f>
        <v>0</v>
      </c>
      <c r="U2107" s="1394">
        <f>IFERROR(VLOOKUP(M2107,#REF!,5,0),0)</f>
        <v>0</v>
      </c>
      <c r="V2107" s="1394">
        <f>O2107-U2107</f>
        <v>0</v>
      </c>
      <c r="W2107" s="1394"/>
    </row>
    <row r="2108" spans="1:24" ht="30" customHeight="1">
      <c r="B2108" s="1407"/>
      <c r="C2108" s="1422" t="s">
        <v>331</v>
      </c>
      <c r="D2108" s="1389">
        <v>1</v>
      </c>
      <c r="E2108" s="1389">
        <v>1</v>
      </c>
      <c r="F2108" s="1423">
        <v>4.2300000000000004</v>
      </c>
      <c r="G2108" s="1423">
        <v>3.23</v>
      </c>
      <c r="H2108" s="1424"/>
      <c r="I2108" s="1425">
        <f>PRODUCT(D2108:H2108)</f>
        <v>13.6629</v>
      </c>
      <c r="Q2108" s="1394">
        <f>IFERROR(VLOOKUP(M2108,#REF!,3,0),0)</f>
        <v>0</v>
      </c>
      <c r="R2108" s="1394">
        <f t="shared" si="591"/>
        <v>0</v>
      </c>
      <c r="S2108" s="1394">
        <f>IFERROR(VLOOKUP(M2108,#REF!,6,0),0)</f>
        <v>0</v>
      </c>
      <c r="T2108" s="1394">
        <f>R2108-S2108</f>
        <v>0</v>
      </c>
      <c r="U2108" s="1394">
        <f>IFERROR(VLOOKUP(M2108,#REF!,5,0),0)</f>
        <v>0</v>
      </c>
      <c r="V2108" s="1394">
        <f>O2108-U2108</f>
        <v>0</v>
      </c>
      <c r="W2108" s="1394"/>
    </row>
    <row r="2109" spans="1:24" s="1394" customFormat="1" ht="30" customHeight="1">
      <c r="B2109" s="1421"/>
      <c r="C2109" s="1422" t="s">
        <v>412</v>
      </c>
      <c r="D2109" s="1389">
        <v>1</v>
      </c>
      <c r="E2109" s="1389">
        <v>1</v>
      </c>
      <c r="F2109" s="1423">
        <f>(F2107+G2107)*2</f>
        <v>14.920000000000002</v>
      </c>
      <c r="G2109" s="1423"/>
      <c r="H2109" s="1424">
        <v>1.2</v>
      </c>
      <c r="I2109" s="1406">
        <f>ROUND(PRODUCT(D2109:H2109),2)</f>
        <v>17.899999999999999</v>
      </c>
      <c r="J2109" s="1394">
        <f>2.7-0.15-0.3</f>
        <v>2.2500000000000004</v>
      </c>
      <c r="L2109" s="1394">
        <f>J2109/2</f>
        <v>1.1250000000000002</v>
      </c>
      <c r="M2109" s="1426"/>
      <c r="Q2109" s="1394">
        <f>IFERROR(VLOOKUP(M2109,#REF!,3,0),0)</f>
        <v>0</v>
      </c>
      <c r="R2109" s="1394">
        <f t="shared" si="591"/>
        <v>0</v>
      </c>
      <c r="S2109" s="1394">
        <f>IFERROR(VLOOKUP(M2109,#REF!,6,0),0)</f>
        <v>0</v>
      </c>
      <c r="T2109" s="1394">
        <f>R2109-S2109</f>
        <v>0</v>
      </c>
      <c r="U2109" s="1394">
        <f>IFERROR(VLOOKUP(M2109,#REF!,5,0),0)</f>
        <v>0</v>
      </c>
      <c r="V2109" s="1394">
        <f>O2109-U2109</f>
        <v>0</v>
      </c>
    </row>
    <row r="2110" spans="1:24" s="1394" customFormat="1" ht="30" customHeight="1">
      <c r="B2110" s="1421"/>
      <c r="C2110" s="1422" t="s">
        <v>413</v>
      </c>
      <c r="D2110" s="1389">
        <v>1</v>
      </c>
      <c r="E2110" s="1389">
        <v>1</v>
      </c>
      <c r="F2110" s="1423">
        <f>(F2108+0.23+G2108+0.23)*2</f>
        <v>15.840000000000003</v>
      </c>
      <c r="G2110" s="1423"/>
      <c r="H2110" s="1424">
        <v>1.2</v>
      </c>
      <c r="I2110" s="1406">
        <f>ROUND(PRODUCT(D2110:H2110),2)</f>
        <v>19.010000000000002</v>
      </c>
      <c r="M2110" s="1426"/>
      <c r="Q2110" s="1394">
        <f>IFERROR(VLOOKUP(M2110,#REF!,3,0),0)</f>
        <v>0</v>
      </c>
      <c r="R2110" s="1394">
        <f t="shared" si="591"/>
        <v>0</v>
      </c>
      <c r="S2110" s="1394">
        <f>IFERROR(VLOOKUP(M2110,#REF!,6,0),0)</f>
        <v>0</v>
      </c>
      <c r="T2110" s="1394">
        <f>R2110-S2110</f>
        <v>0</v>
      </c>
      <c r="U2110" s="1394">
        <f>IFERROR(VLOOKUP(M2110,#REF!,5,0),0)</f>
        <v>0</v>
      </c>
      <c r="V2110" s="1394">
        <f>O2110-U2110</f>
        <v>0</v>
      </c>
    </row>
    <row r="2111" spans="1:24" ht="30" customHeight="1">
      <c r="B2111" s="1407"/>
      <c r="C2111" s="1455" t="s">
        <v>329</v>
      </c>
      <c r="D2111" s="103">
        <v>1</v>
      </c>
      <c r="E2111" s="103">
        <v>1</v>
      </c>
      <c r="F2111" s="1413">
        <f>(F1251+F1250)*2</f>
        <v>14.46</v>
      </c>
      <c r="G2111" s="1413">
        <v>1</v>
      </c>
      <c r="H2111" s="1414"/>
      <c r="I2111" s="1406">
        <f>PRODUCT(D2111:H2111)</f>
        <v>14.46</v>
      </c>
      <c r="Q2111" s="1394">
        <f>IFERROR(VLOOKUP(M2111,#REF!,3,0),0)</f>
        <v>0</v>
      </c>
      <c r="R2111" s="1394">
        <f t="shared" si="591"/>
        <v>0</v>
      </c>
      <c r="S2111" s="1394">
        <f>IFERROR(VLOOKUP(M2111,#REF!,6,0),0)</f>
        <v>0</v>
      </c>
      <c r="T2111" s="1394">
        <f t="shared" si="593"/>
        <v>0</v>
      </c>
      <c r="U2111" s="1394">
        <f>IFERROR(VLOOKUP(M2111,#REF!,5,0),0)</f>
        <v>0</v>
      </c>
      <c r="V2111" s="1394">
        <f t="shared" si="594"/>
        <v>0</v>
      </c>
      <c r="W2111" s="1394"/>
    </row>
    <row r="2112" spans="1:24" s="1394" customFormat="1" ht="30" customHeight="1">
      <c r="B2112" s="1421"/>
      <c r="C2112" s="1422" t="s">
        <v>270</v>
      </c>
      <c r="D2112" s="1389"/>
      <c r="E2112" s="1389"/>
      <c r="F2112" s="1423"/>
      <c r="G2112" s="1423"/>
      <c r="H2112" s="1424"/>
      <c r="I2112" s="1425">
        <f>J2113-J2112</f>
        <v>2.7200000000007662E-2</v>
      </c>
      <c r="J2112" s="1394">
        <f>SUM(I2098:I2111)</f>
        <v>117.27279999999999</v>
      </c>
      <c r="M2112" s="1426"/>
      <c r="Q2112" s="1394">
        <f>IFERROR(VLOOKUP(M2112,#REF!,3,0),0)</f>
        <v>0</v>
      </c>
      <c r="R2112" s="1394">
        <f t="shared" si="591"/>
        <v>0</v>
      </c>
      <c r="S2112" s="1394">
        <f>IFERROR(VLOOKUP(M2112,#REF!,6,0),0)</f>
        <v>0</v>
      </c>
      <c r="T2112" s="1394">
        <f t="shared" si="593"/>
        <v>0</v>
      </c>
      <c r="U2112" s="1394">
        <f>IFERROR(VLOOKUP(M2112,#REF!,5,0),0)</f>
        <v>0</v>
      </c>
      <c r="V2112" s="1394">
        <f t="shared" si="594"/>
        <v>0</v>
      </c>
    </row>
    <row r="2113" spans="1:24" s="1394" customFormat="1" ht="30" customHeight="1">
      <c r="B2113" s="1421"/>
      <c r="C2113" s="1422"/>
      <c r="D2113" s="1389"/>
      <c r="E2113" s="1389"/>
      <c r="F2113" s="1423"/>
      <c r="G2113" s="1423"/>
      <c r="H2113" s="1424"/>
      <c r="I2113" s="1427">
        <f>+J2113</f>
        <v>117.3</v>
      </c>
      <c r="J2113" s="1394">
        <f>ROUNDUP(J2112,1)</f>
        <v>117.3</v>
      </c>
      <c r="M2113" s="1426"/>
      <c r="Q2113" s="1394">
        <f>IFERROR(VLOOKUP(M2113,#REF!,3,0),0)</f>
        <v>0</v>
      </c>
      <c r="R2113" s="1394">
        <f t="shared" si="591"/>
        <v>0</v>
      </c>
      <c r="S2113" s="1394">
        <f>IFERROR(VLOOKUP(M2113,#REF!,6,0),0)</f>
        <v>0</v>
      </c>
      <c r="T2113" s="1394">
        <f t="shared" si="593"/>
        <v>0</v>
      </c>
      <c r="U2113" s="1394">
        <f>IFERROR(VLOOKUP(M2113,#REF!,5,0),0)</f>
        <v>0</v>
      </c>
      <c r="V2113" s="1394">
        <f t="shared" si="594"/>
        <v>0</v>
      </c>
    </row>
    <row r="2114" spans="1:24" s="1394" customFormat="1" ht="30" customHeight="1">
      <c r="B2114" s="1421"/>
      <c r="C2114" s="1422"/>
      <c r="D2114" s="1389"/>
      <c r="E2114" s="1389"/>
      <c r="F2114" s="1423"/>
      <c r="G2114" s="1428" t="s">
        <v>11</v>
      </c>
      <c r="H2114" s="1429">
        <f>I2113</f>
        <v>117.3</v>
      </c>
      <c r="I2114" s="1427" t="s">
        <v>26</v>
      </c>
      <c r="M2114" s="1394" t="str">
        <f>A2097</f>
        <v>Plastering with CM 1:3, 12mm with WPC</v>
      </c>
      <c r="N2114" s="1394">
        <f>B2097</f>
        <v>29</v>
      </c>
      <c r="O2114" s="1394">
        <f>H2114</f>
        <v>117.3</v>
      </c>
      <c r="P2114" s="1394" t="str">
        <f>I2114</f>
        <v>Sqm</v>
      </c>
      <c r="Q2114" s="1394">
        <f>IFERROR(VLOOKUP(M2114,#REF!,3,0),0)</f>
        <v>0</v>
      </c>
      <c r="R2114" s="1394">
        <f t="shared" si="591"/>
        <v>0</v>
      </c>
      <c r="S2114" s="1394">
        <f>IFERROR(VLOOKUP(M2114,#REF!,6,0),0)</f>
        <v>0</v>
      </c>
      <c r="T2114" s="1394">
        <f t="shared" si="593"/>
        <v>0</v>
      </c>
      <c r="U2114" s="1394">
        <f>IFERROR(VLOOKUP(M2114,#REF!,5,0),0)</f>
        <v>0</v>
      </c>
      <c r="V2114" s="1394">
        <f t="shared" si="594"/>
        <v>117.3</v>
      </c>
    </row>
    <row r="2115" spans="1:24" ht="143.25" customHeight="1">
      <c r="A2115" s="110" t="s">
        <v>380</v>
      </c>
      <c r="B2115" s="1405" t="s">
        <v>379</v>
      </c>
      <c r="C2115" s="1678" t="e">
        <f>VLOOKUP(A2115,#REF!,2,0)</f>
        <v>#REF!</v>
      </c>
      <c r="D2115" s="1678"/>
      <c r="E2115" s="1678"/>
      <c r="F2115" s="1678"/>
      <c r="G2115" s="1678"/>
      <c r="H2115" s="1678"/>
      <c r="I2115" s="1479"/>
      <c r="Q2115" s="1394">
        <f>IFERROR(VLOOKUP(M2115,#REF!,3,0),0)</f>
        <v>0</v>
      </c>
      <c r="R2115" s="1394">
        <f t="shared" si="591"/>
        <v>0</v>
      </c>
      <c r="S2115" s="1394">
        <f>IFERROR(VLOOKUP(M2115,#REF!,6,0),0)</f>
        <v>0</v>
      </c>
      <c r="T2115" s="1394">
        <f t="shared" si="593"/>
        <v>0</v>
      </c>
      <c r="U2115" s="1394">
        <f>IFERROR(VLOOKUP(M2115,#REF!,5,0),0)</f>
        <v>0</v>
      </c>
      <c r="V2115" s="1394">
        <f t="shared" si="594"/>
        <v>0</v>
      </c>
      <c r="W2115" s="1394"/>
      <c r="X2115" s="1397"/>
    </row>
    <row r="2116" spans="1:24" ht="30" customHeight="1">
      <c r="B2116" s="1407"/>
      <c r="C2116" s="1455" t="str">
        <f t="shared" ref="C2116:H2116" si="595">C478</f>
        <v>Front Steps</v>
      </c>
      <c r="D2116" s="103">
        <f t="shared" si="595"/>
        <v>0</v>
      </c>
      <c r="E2116" s="103">
        <f t="shared" si="595"/>
        <v>0</v>
      </c>
      <c r="F2116" s="1413">
        <f t="shared" si="595"/>
        <v>0</v>
      </c>
      <c r="G2116" s="1413">
        <f t="shared" si="595"/>
        <v>0</v>
      </c>
      <c r="H2116" s="1414">
        <f t="shared" si="595"/>
        <v>0</v>
      </c>
      <c r="I2116" s="1406"/>
      <c r="Q2116" s="1394">
        <f>IFERROR(VLOOKUP(M2116,#REF!,3,0),0)</f>
        <v>0</v>
      </c>
      <c r="R2116" s="1394">
        <f t="shared" si="591"/>
        <v>0</v>
      </c>
      <c r="S2116" s="1394">
        <f>IFERROR(VLOOKUP(M2116,#REF!,6,0),0)</f>
        <v>0</v>
      </c>
      <c r="T2116" s="1394">
        <f t="shared" si="593"/>
        <v>0</v>
      </c>
      <c r="U2116" s="1394">
        <f>IFERROR(VLOOKUP(M2116,#REF!,5,0),0)</f>
        <v>0</v>
      </c>
      <c r="V2116" s="1394">
        <f t="shared" si="594"/>
        <v>0</v>
      </c>
      <c r="W2116" s="1394"/>
    </row>
    <row r="2117" spans="1:24" ht="30" customHeight="1">
      <c r="B2117" s="1407"/>
      <c r="C2117" s="1455" t="str">
        <f>C479</f>
        <v>1st step</v>
      </c>
      <c r="D2117" s="103">
        <f>D479</f>
        <v>1</v>
      </c>
      <c r="E2117" s="103">
        <f>E479</f>
        <v>1</v>
      </c>
      <c r="F2117" s="1413">
        <f>F479</f>
        <v>3.2250000000000001</v>
      </c>
      <c r="G2117" s="1413">
        <v>0.3</v>
      </c>
      <c r="H2117" s="1414"/>
      <c r="I2117" s="1406">
        <f>PRODUCT(D2117:H2117)</f>
        <v>0.96750000000000003</v>
      </c>
      <c r="Q2117" s="1394">
        <f>IFERROR(VLOOKUP(M2117,#REF!,3,0),0)</f>
        <v>0</v>
      </c>
      <c r="R2117" s="1394">
        <f t="shared" si="591"/>
        <v>0</v>
      </c>
      <c r="S2117" s="1394">
        <f>IFERROR(VLOOKUP(M2117,#REF!,6,0),0)</f>
        <v>0</v>
      </c>
      <c r="T2117" s="1394">
        <f t="shared" si="593"/>
        <v>0</v>
      </c>
      <c r="U2117" s="1394">
        <f>IFERROR(VLOOKUP(M2117,#REF!,5,0),0)</f>
        <v>0</v>
      </c>
      <c r="V2117" s="1394">
        <f t="shared" si="594"/>
        <v>0</v>
      </c>
      <c r="W2117" s="1394"/>
    </row>
    <row r="2118" spans="1:24" ht="30" customHeight="1">
      <c r="B2118" s="1407"/>
      <c r="C2118" s="1455" t="s">
        <v>5946</v>
      </c>
      <c r="D2118" s="103">
        <f>D2117</f>
        <v>1</v>
      </c>
      <c r="E2118" s="103">
        <f t="shared" ref="E2118:F2118" si="596">E2117</f>
        <v>1</v>
      </c>
      <c r="F2118" s="1413">
        <f t="shared" si="596"/>
        <v>3.2250000000000001</v>
      </c>
      <c r="G2118" s="1413"/>
      <c r="H2118" s="1414">
        <v>0.15</v>
      </c>
      <c r="I2118" s="1406"/>
      <c r="Q2118" s="1394">
        <f>IFERROR(VLOOKUP(M2118,#REF!,3,0),0)</f>
        <v>0</v>
      </c>
      <c r="R2118" s="1394">
        <f t="shared" si="591"/>
        <v>0</v>
      </c>
      <c r="S2118" s="1394">
        <f>IFERROR(VLOOKUP(M2118,#REF!,6,0),0)</f>
        <v>0</v>
      </c>
      <c r="T2118" s="1394">
        <f t="shared" si="593"/>
        <v>0</v>
      </c>
      <c r="U2118" s="1394">
        <f>IFERROR(VLOOKUP(M2118,#REF!,5,0),0)</f>
        <v>0</v>
      </c>
      <c r="V2118" s="1394">
        <f t="shared" si="594"/>
        <v>0</v>
      </c>
      <c r="W2118" s="1394"/>
    </row>
    <row r="2119" spans="1:24" ht="30" customHeight="1">
      <c r="B2119" s="1407"/>
      <c r="C2119" s="1455" t="str">
        <f>C480</f>
        <v>2nd step</v>
      </c>
      <c r="D2119" s="103">
        <f>D480</f>
        <v>1</v>
      </c>
      <c r="E2119" s="103">
        <f>E480</f>
        <v>1</v>
      </c>
      <c r="F2119" s="1413">
        <f>F480</f>
        <v>3.2250000000000001</v>
      </c>
      <c r="G2119" s="1413">
        <f>G480</f>
        <v>0.60000000000000009</v>
      </c>
      <c r="H2119" s="1414"/>
      <c r="I2119" s="1406">
        <f t="shared" ref="I2119:I2121" si="597">PRODUCT(D2119:H2119)</f>
        <v>1.9350000000000003</v>
      </c>
      <c r="Q2119" s="1394">
        <f>IFERROR(VLOOKUP(M2119,#REF!,3,0),0)</f>
        <v>0</v>
      </c>
      <c r="R2119" s="1394">
        <f t="shared" si="591"/>
        <v>0</v>
      </c>
      <c r="S2119" s="1394">
        <f>IFERROR(VLOOKUP(M2119,#REF!,6,0),0)</f>
        <v>0</v>
      </c>
      <c r="T2119" s="1394">
        <f t="shared" si="593"/>
        <v>0</v>
      </c>
      <c r="U2119" s="1394">
        <f>IFERROR(VLOOKUP(M2119,#REF!,5,0),0)</f>
        <v>0</v>
      </c>
      <c r="V2119" s="1394">
        <f t="shared" si="594"/>
        <v>0</v>
      </c>
      <c r="W2119" s="1394"/>
    </row>
    <row r="2120" spans="1:24" ht="30" customHeight="1">
      <c r="B2120" s="1407"/>
      <c r="C2120" s="1455" t="s">
        <v>5946</v>
      </c>
      <c r="D2120" s="103">
        <f>D2119</f>
        <v>1</v>
      </c>
      <c r="E2120" s="103">
        <f t="shared" ref="E2120" si="598">E2119</f>
        <v>1</v>
      </c>
      <c r="F2120" s="1413">
        <f t="shared" ref="F2120" si="599">F2119</f>
        <v>3.2250000000000001</v>
      </c>
      <c r="G2120" s="1413"/>
      <c r="H2120" s="1414">
        <v>0.15</v>
      </c>
      <c r="I2120" s="1406"/>
      <c r="Q2120" s="1394">
        <f>IFERROR(VLOOKUP(M2120,#REF!,3,0),0)</f>
        <v>0</v>
      </c>
      <c r="R2120" s="1394">
        <f t="shared" si="591"/>
        <v>0</v>
      </c>
      <c r="S2120" s="1394">
        <f>IFERROR(VLOOKUP(M2120,#REF!,6,0),0)</f>
        <v>0</v>
      </c>
      <c r="T2120" s="1394">
        <f t="shared" si="593"/>
        <v>0</v>
      </c>
      <c r="U2120" s="1394">
        <f>IFERROR(VLOOKUP(M2120,#REF!,5,0),0)</f>
        <v>0</v>
      </c>
      <c r="V2120" s="1394">
        <f t="shared" si="594"/>
        <v>0</v>
      </c>
      <c r="W2120" s="1394"/>
    </row>
    <row r="2121" spans="1:24" ht="30" customHeight="1">
      <c r="B2121" s="1407"/>
      <c r="C2121" s="1455" t="str">
        <f>C481</f>
        <v>3rd step</v>
      </c>
      <c r="D2121" s="103">
        <f>D481</f>
        <v>1</v>
      </c>
      <c r="E2121" s="103">
        <f>E481</f>
        <v>1</v>
      </c>
      <c r="F2121" s="1413">
        <f>F481</f>
        <v>3.2250000000000001</v>
      </c>
      <c r="G2121" s="1413">
        <f>G481</f>
        <v>0.3000000000000001</v>
      </c>
      <c r="H2121" s="1414"/>
      <c r="I2121" s="1406">
        <f t="shared" si="597"/>
        <v>0.96750000000000036</v>
      </c>
      <c r="Q2121" s="1394">
        <f>IFERROR(VLOOKUP(M2121,#REF!,3,0),0)</f>
        <v>0</v>
      </c>
      <c r="R2121" s="1394">
        <f t="shared" si="591"/>
        <v>0</v>
      </c>
      <c r="S2121" s="1394">
        <f>IFERROR(VLOOKUP(M2121,#REF!,6,0),0)</f>
        <v>0</v>
      </c>
      <c r="T2121" s="1394">
        <f t="shared" si="593"/>
        <v>0</v>
      </c>
      <c r="U2121" s="1394">
        <f>IFERROR(VLOOKUP(M2121,#REF!,5,0),0)</f>
        <v>0</v>
      </c>
      <c r="V2121" s="1394">
        <f t="shared" si="594"/>
        <v>0</v>
      </c>
      <c r="W2121" s="1394"/>
    </row>
    <row r="2122" spans="1:24" ht="30" customHeight="1">
      <c r="B2122" s="1407"/>
      <c r="C2122" s="1455" t="s">
        <v>5946</v>
      </c>
      <c r="D2122" s="103">
        <f>D2121</f>
        <v>1</v>
      </c>
      <c r="E2122" s="103">
        <f t="shared" ref="E2122" si="600">E2121</f>
        <v>1</v>
      </c>
      <c r="F2122" s="1413">
        <f t="shared" ref="F2122" si="601">F2121</f>
        <v>3.2250000000000001</v>
      </c>
      <c r="G2122" s="1413"/>
      <c r="H2122" s="1414">
        <v>0.15</v>
      </c>
      <c r="I2122" s="1406"/>
      <c r="Q2122" s="1394">
        <f>IFERROR(VLOOKUP(M2122,#REF!,3,0),0)</f>
        <v>0</v>
      </c>
      <c r="R2122" s="1394">
        <f t="shared" si="591"/>
        <v>0</v>
      </c>
      <c r="S2122" s="1394">
        <f>IFERROR(VLOOKUP(M2122,#REF!,6,0),0)</f>
        <v>0</v>
      </c>
      <c r="T2122" s="1394">
        <f t="shared" si="593"/>
        <v>0</v>
      </c>
      <c r="U2122" s="1394">
        <f>IFERROR(VLOOKUP(M2122,#REF!,5,0),0)</f>
        <v>0</v>
      </c>
      <c r="V2122" s="1394">
        <f t="shared" si="594"/>
        <v>0</v>
      </c>
      <c r="W2122" s="1394"/>
    </row>
    <row r="2123" spans="1:24" s="1394" customFormat="1" ht="30" customHeight="1">
      <c r="B2123" s="1421"/>
      <c r="C2123" s="1422" t="s">
        <v>270</v>
      </c>
      <c r="D2123" s="1389"/>
      <c r="E2123" s="1389"/>
      <c r="F2123" s="1423"/>
      <c r="G2123" s="1423"/>
      <c r="H2123" s="1424"/>
      <c r="I2123" s="1425">
        <f>J2124-J2123</f>
        <v>0.12999999999999945</v>
      </c>
      <c r="J2123" s="1394">
        <f>SUM(I2116:I2122)</f>
        <v>3.8700000000000006</v>
      </c>
      <c r="M2123" s="1426"/>
      <c r="Q2123" s="1394">
        <f>IFERROR(VLOOKUP(M2123,#REF!,3,0),0)</f>
        <v>0</v>
      </c>
      <c r="R2123" s="1394">
        <f t="shared" si="591"/>
        <v>0</v>
      </c>
      <c r="S2123" s="1394">
        <f>IFERROR(VLOOKUP(M2123,#REF!,6,0),0)</f>
        <v>0</v>
      </c>
      <c r="T2123" s="1394">
        <f t="shared" si="593"/>
        <v>0</v>
      </c>
      <c r="U2123" s="1394">
        <f>IFERROR(VLOOKUP(M2123,#REF!,5,0),0)</f>
        <v>0</v>
      </c>
      <c r="V2123" s="1394">
        <f t="shared" si="594"/>
        <v>0</v>
      </c>
    </row>
    <row r="2124" spans="1:24" s="1394" customFormat="1" ht="30" customHeight="1">
      <c r="B2124" s="1421"/>
      <c r="C2124" s="1422"/>
      <c r="D2124" s="1389"/>
      <c r="E2124" s="1389"/>
      <c r="F2124" s="1423"/>
      <c r="G2124" s="1423"/>
      <c r="H2124" s="1424"/>
      <c r="I2124" s="1427">
        <f>+J2124</f>
        <v>4</v>
      </c>
      <c r="J2124" s="1394">
        <f>ROUNDUP(J2123,0)</f>
        <v>4</v>
      </c>
      <c r="M2124" s="1426"/>
      <c r="Q2124" s="1394">
        <f>IFERROR(VLOOKUP(M2124,#REF!,3,0),0)</f>
        <v>0</v>
      </c>
      <c r="R2124" s="1394">
        <f t="shared" si="591"/>
        <v>0</v>
      </c>
      <c r="S2124" s="1394">
        <f>IFERROR(VLOOKUP(M2124,#REF!,6,0),0)</f>
        <v>0</v>
      </c>
      <c r="T2124" s="1394">
        <f t="shared" si="593"/>
        <v>0</v>
      </c>
      <c r="U2124" s="1394">
        <f>IFERROR(VLOOKUP(M2124,#REF!,5,0),0)</f>
        <v>0</v>
      </c>
      <c r="V2124" s="1394">
        <f t="shared" si="594"/>
        <v>0</v>
      </c>
    </row>
    <row r="2125" spans="1:24" s="1394" customFormat="1" ht="30" customHeight="1">
      <c r="B2125" s="1421"/>
      <c r="C2125" s="1422"/>
      <c r="D2125" s="1389"/>
      <c r="E2125" s="1389"/>
      <c r="F2125" s="1423"/>
      <c r="G2125" s="1428" t="s">
        <v>11</v>
      </c>
      <c r="H2125" s="1429">
        <f>I2124</f>
        <v>4</v>
      </c>
      <c r="I2125" s="1427" t="s">
        <v>26</v>
      </c>
      <c r="M2125" s="1394" t="str">
        <f>A2115</f>
        <v>Concrete designer tiles flooring</v>
      </c>
      <c r="N2125" s="1394" t="str">
        <f>B2115</f>
        <v>29.1.1</v>
      </c>
      <c r="O2125" s="1394">
        <f>H2125</f>
        <v>4</v>
      </c>
      <c r="P2125" s="1394" t="str">
        <f>I2125</f>
        <v>Sqm</v>
      </c>
      <c r="Q2125" s="1394">
        <f>IFERROR(VLOOKUP(M2125,#REF!,3,0),0)</f>
        <v>0</v>
      </c>
      <c r="R2125" s="1394">
        <f t="shared" si="591"/>
        <v>0</v>
      </c>
      <c r="S2125" s="1394">
        <f>IFERROR(VLOOKUP(M2125,#REF!,6,0),0)</f>
        <v>0</v>
      </c>
      <c r="T2125" s="1394">
        <f t="shared" si="593"/>
        <v>0</v>
      </c>
      <c r="U2125" s="1394">
        <f>IFERROR(VLOOKUP(M2125,#REF!,5,0),0)</f>
        <v>0</v>
      </c>
      <c r="V2125" s="1394">
        <f t="shared" si="594"/>
        <v>4</v>
      </c>
    </row>
    <row r="2126" spans="1:24" ht="117" hidden="1" customHeight="1">
      <c r="B2126" s="1405"/>
      <c r="C2126" s="1678"/>
      <c r="D2126" s="1678"/>
      <c r="E2126" s="1678"/>
      <c r="F2126" s="1678"/>
      <c r="G2126" s="1678"/>
      <c r="H2126" s="1678"/>
      <c r="I2126" s="1406"/>
      <c r="Q2126" s="1394"/>
      <c r="R2126" s="1394"/>
      <c r="S2126" s="1394"/>
      <c r="T2126" s="1394"/>
      <c r="U2126" s="1394"/>
      <c r="V2126" s="1394"/>
      <c r="W2126" s="1394"/>
      <c r="X2126" s="1397"/>
    </row>
    <row r="2127" spans="1:24" s="1506" customFormat="1" ht="30" hidden="1" customHeight="1">
      <c r="B2127" s="1507"/>
      <c r="C2127" s="1494"/>
      <c r="D2127" s="99"/>
      <c r="E2127" s="99"/>
      <c r="F2127" s="1495"/>
      <c r="G2127" s="1495"/>
      <c r="H2127" s="69"/>
      <c r="I2127" s="1508"/>
      <c r="M2127" s="1509"/>
      <c r="Q2127" s="1394"/>
      <c r="R2127" s="1394"/>
      <c r="S2127" s="1394"/>
      <c r="T2127" s="1394"/>
      <c r="U2127" s="1394"/>
      <c r="V2127" s="1394"/>
      <c r="W2127" s="1394"/>
    </row>
    <row r="2128" spans="1:24" s="1506" customFormat="1" ht="30" hidden="1" customHeight="1">
      <c r="B2128" s="1507"/>
      <c r="C2128" s="1497"/>
      <c r="D2128" s="99"/>
      <c r="E2128" s="99"/>
      <c r="F2128" s="1495"/>
      <c r="G2128" s="1495"/>
      <c r="H2128" s="69"/>
      <c r="I2128" s="1508"/>
      <c r="M2128" s="1509"/>
      <c r="Q2128" s="1394"/>
      <c r="R2128" s="1394"/>
      <c r="S2128" s="1394"/>
      <c r="T2128" s="1394"/>
      <c r="U2128" s="1394"/>
      <c r="V2128" s="1394"/>
      <c r="W2128" s="1394"/>
    </row>
    <row r="2129" spans="2:23" s="1506" customFormat="1" ht="30" hidden="1" customHeight="1">
      <c r="B2129" s="1507"/>
      <c r="C2129" s="1497"/>
      <c r="D2129" s="99"/>
      <c r="E2129" s="99"/>
      <c r="F2129" s="1495"/>
      <c r="G2129" s="1495"/>
      <c r="H2129" s="69"/>
      <c r="I2129" s="1508"/>
      <c r="M2129" s="1509"/>
      <c r="Q2129" s="1394"/>
      <c r="R2129" s="1394"/>
      <c r="S2129" s="1394"/>
      <c r="T2129" s="1394"/>
      <c r="U2129" s="1394"/>
      <c r="V2129" s="1394"/>
      <c r="W2129" s="1394"/>
    </row>
    <row r="2130" spans="2:23" s="1506" customFormat="1" ht="30" hidden="1" customHeight="1">
      <c r="B2130" s="1507"/>
      <c r="C2130" s="1497"/>
      <c r="D2130" s="99"/>
      <c r="E2130" s="99"/>
      <c r="F2130" s="1495"/>
      <c r="G2130" s="1495"/>
      <c r="H2130" s="69"/>
      <c r="I2130" s="1508"/>
      <c r="M2130" s="1509"/>
      <c r="Q2130" s="1394"/>
      <c r="R2130" s="1394"/>
      <c r="S2130" s="1394"/>
      <c r="T2130" s="1394"/>
      <c r="U2130" s="1394"/>
      <c r="V2130" s="1394"/>
      <c r="W2130" s="1394"/>
    </row>
    <row r="2131" spans="2:23" s="1506" customFormat="1" ht="30" hidden="1" customHeight="1">
      <c r="B2131" s="1507"/>
      <c r="C2131" s="1497"/>
      <c r="D2131" s="99"/>
      <c r="E2131" s="99"/>
      <c r="F2131" s="1495"/>
      <c r="G2131" s="1495"/>
      <c r="H2131" s="69"/>
      <c r="I2131" s="1508"/>
      <c r="M2131" s="1509"/>
      <c r="Q2131" s="1394"/>
      <c r="R2131" s="1394"/>
      <c r="S2131" s="1394"/>
      <c r="T2131" s="1394"/>
      <c r="U2131" s="1394"/>
      <c r="V2131" s="1394"/>
      <c r="W2131" s="1394"/>
    </row>
    <row r="2132" spans="2:23" s="1506" customFormat="1" ht="30" hidden="1" customHeight="1">
      <c r="B2132" s="1507"/>
      <c r="C2132" s="1497"/>
      <c r="D2132" s="99"/>
      <c r="E2132" s="99"/>
      <c r="F2132" s="1495"/>
      <c r="G2132" s="1495"/>
      <c r="H2132" s="69"/>
      <c r="I2132" s="1508"/>
      <c r="M2132" s="1509"/>
      <c r="Q2132" s="1394"/>
      <c r="R2132" s="1394"/>
      <c r="S2132" s="1394"/>
      <c r="T2132" s="1394"/>
      <c r="U2132" s="1394"/>
      <c r="V2132" s="1394"/>
      <c r="W2132" s="1394"/>
    </row>
    <row r="2133" spans="2:23" s="1506" customFormat="1" ht="30" hidden="1" customHeight="1">
      <c r="B2133" s="1507"/>
      <c r="C2133" s="1497"/>
      <c r="D2133" s="99"/>
      <c r="E2133" s="99"/>
      <c r="F2133" s="1495"/>
      <c r="G2133" s="1495"/>
      <c r="H2133" s="69"/>
      <c r="I2133" s="1508"/>
      <c r="M2133" s="1509"/>
      <c r="Q2133" s="1394"/>
      <c r="R2133" s="1394"/>
      <c r="S2133" s="1394"/>
      <c r="T2133" s="1394"/>
      <c r="U2133" s="1394"/>
      <c r="V2133" s="1394"/>
      <c r="W2133" s="1394"/>
    </row>
    <row r="2134" spans="2:23" s="1506" customFormat="1" ht="30" hidden="1" customHeight="1">
      <c r="B2134" s="1507"/>
      <c r="C2134" s="1497"/>
      <c r="D2134" s="99"/>
      <c r="E2134" s="99"/>
      <c r="F2134" s="1495"/>
      <c r="G2134" s="1495"/>
      <c r="H2134" s="69"/>
      <c r="I2134" s="1508"/>
      <c r="M2134" s="1509"/>
      <c r="Q2134" s="1394"/>
      <c r="R2134" s="1394"/>
      <c r="S2134" s="1394"/>
      <c r="T2134" s="1394"/>
      <c r="U2134" s="1394"/>
      <c r="V2134" s="1394"/>
      <c r="W2134" s="1394"/>
    </row>
    <row r="2135" spans="2:23" s="1506" customFormat="1" ht="30" hidden="1" customHeight="1">
      <c r="B2135" s="1507"/>
      <c r="C2135" s="1497"/>
      <c r="D2135" s="99"/>
      <c r="E2135" s="99"/>
      <c r="F2135" s="1495"/>
      <c r="G2135" s="1495"/>
      <c r="H2135" s="69"/>
      <c r="I2135" s="1508"/>
      <c r="M2135" s="1509"/>
      <c r="Q2135" s="1394"/>
      <c r="R2135" s="1394"/>
      <c r="S2135" s="1394"/>
      <c r="T2135" s="1394"/>
      <c r="U2135" s="1394"/>
      <c r="V2135" s="1394"/>
      <c r="W2135" s="1394"/>
    </row>
    <row r="2136" spans="2:23" s="1506" customFormat="1" ht="30" hidden="1" customHeight="1">
      <c r="B2136" s="1507"/>
      <c r="C2136" s="1494"/>
      <c r="D2136" s="99"/>
      <c r="E2136" s="99"/>
      <c r="F2136" s="1495"/>
      <c r="G2136" s="1495"/>
      <c r="H2136" s="69"/>
      <c r="I2136" s="1508"/>
      <c r="M2136" s="1509"/>
      <c r="Q2136" s="1394"/>
      <c r="R2136" s="1394"/>
      <c r="S2136" s="1394"/>
      <c r="T2136" s="1394"/>
      <c r="U2136" s="1394"/>
      <c r="V2136" s="1394"/>
      <c r="W2136" s="1394"/>
    </row>
    <row r="2137" spans="2:23" s="1506" customFormat="1" ht="30" hidden="1" customHeight="1">
      <c r="B2137" s="1507"/>
      <c r="C2137" s="1497"/>
      <c r="D2137" s="99"/>
      <c r="E2137" s="99"/>
      <c r="F2137" s="1495"/>
      <c r="G2137" s="1495"/>
      <c r="H2137" s="69"/>
      <c r="I2137" s="1508"/>
      <c r="M2137" s="1509"/>
      <c r="Q2137" s="1394"/>
      <c r="R2137" s="1394"/>
      <c r="S2137" s="1394"/>
      <c r="T2137" s="1394"/>
      <c r="U2137" s="1394"/>
      <c r="V2137" s="1394"/>
      <c r="W2137" s="1394"/>
    </row>
    <row r="2138" spans="2:23" s="1506" customFormat="1" ht="30" hidden="1" customHeight="1">
      <c r="B2138" s="1507"/>
      <c r="C2138" s="1497"/>
      <c r="D2138" s="99"/>
      <c r="E2138" s="99"/>
      <c r="F2138" s="1495"/>
      <c r="G2138" s="1495"/>
      <c r="H2138" s="69"/>
      <c r="I2138" s="1508"/>
      <c r="M2138" s="1509"/>
      <c r="Q2138" s="1394"/>
      <c r="R2138" s="1394"/>
      <c r="S2138" s="1394"/>
      <c r="T2138" s="1394"/>
      <c r="U2138" s="1394"/>
      <c r="V2138" s="1394"/>
      <c r="W2138" s="1394"/>
    </row>
    <row r="2139" spans="2:23" s="1506" customFormat="1" ht="30" hidden="1" customHeight="1">
      <c r="B2139" s="1507"/>
      <c r="C2139" s="1497"/>
      <c r="D2139" s="99"/>
      <c r="E2139" s="99"/>
      <c r="F2139" s="1495"/>
      <c r="G2139" s="1495"/>
      <c r="H2139" s="69"/>
      <c r="I2139" s="1508"/>
      <c r="M2139" s="1509"/>
      <c r="Q2139" s="1394"/>
      <c r="R2139" s="1394"/>
      <c r="S2139" s="1394"/>
      <c r="T2139" s="1394"/>
      <c r="U2139" s="1394"/>
      <c r="V2139" s="1394"/>
      <c r="W2139" s="1394"/>
    </row>
    <row r="2140" spans="2:23" s="1506" customFormat="1" ht="30" hidden="1" customHeight="1">
      <c r="B2140" s="1507"/>
      <c r="C2140" s="1494"/>
      <c r="D2140" s="99"/>
      <c r="E2140" s="99"/>
      <c r="F2140" s="1495"/>
      <c r="G2140" s="1495"/>
      <c r="H2140" s="69"/>
      <c r="I2140" s="1508"/>
      <c r="M2140" s="1509"/>
      <c r="Q2140" s="1394"/>
      <c r="R2140" s="1394"/>
      <c r="S2140" s="1394"/>
      <c r="T2140" s="1394"/>
      <c r="U2140" s="1394"/>
      <c r="V2140" s="1394"/>
      <c r="W2140" s="1394"/>
    </row>
    <row r="2141" spans="2:23" s="1506" customFormat="1" ht="30" hidden="1" customHeight="1">
      <c r="B2141" s="1507"/>
      <c r="C2141" s="1497"/>
      <c r="D2141" s="99"/>
      <c r="E2141" s="99"/>
      <c r="F2141" s="1495"/>
      <c r="G2141" s="1495"/>
      <c r="H2141" s="69"/>
      <c r="I2141" s="1508"/>
      <c r="M2141" s="1509"/>
      <c r="Q2141" s="1394"/>
      <c r="R2141" s="1394"/>
      <c r="S2141" s="1394"/>
      <c r="T2141" s="1394"/>
      <c r="U2141" s="1394"/>
      <c r="V2141" s="1394"/>
      <c r="W2141" s="1394"/>
    </row>
    <row r="2142" spans="2:23" s="1506" customFormat="1" ht="30" hidden="1" customHeight="1">
      <c r="B2142" s="1507"/>
      <c r="C2142" s="1497"/>
      <c r="D2142" s="99"/>
      <c r="E2142" s="99"/>
      <c r="F2142" s="1495"/>
      <c r="G2142" s="1495"/>
      <c r="H2142" s="69"/>
      <c r="I2142" s="1508"/>
      <c r="M2142" s="1509"/>
      <c r="Q2142" s="1394"/>
      <c r="R2142" s="1394"/>
      <c r="S2142" s="1394"/>
      <c r="T2142" s="1394"/>
      <c r="U2142" s="1394"/>
      <c r="V2142" s="1394"/>
      <c r="W2142" s="1394"/>
    </row>
    <row r="2143" spans="2:23" s="1506" customFormat="1" ht="30" hidden="1" customHeight="1">
      <c r="B2143" s="1507"/>
      <c r="C2143" s="1497"/>
      <c r="D2143" s="99"/>
      <c r="E2143" s="99"/>
      <c r="F2143" s="1495"/>
      <c r="G2143" s="1495"/>
      <c r="H2143" s="69"/>
      <c r="I2143" s="1508"/>
      <c r="M2143" s="1509"/>
      <c r="Q2143" s="1394"/>
      <c r="R2143" s="1394"/>
      <c r="S2143" s="1394"/>
      <c r="T2143" s="1394"/>
      <c r="U2143" s="1394"/>
      <c r="V2143" s="1394"/>
      <c r="W2143" s="1394"/>
    </row>
    <row r="2144" spans="2:23" s="1506" customFormat="1" ht="30" hidden="1" customHeight="1">
      <c r="B2144" s="1507"/>
      <c r="C2144" s="1494"/>
      <c r="D2144" s="99"/>
      <c r="E2144" s="99"/>
      <c r="F2144" s="1495"/>
      <c r="G2144" s="1495"/>
      <c r="H2144" s="69"/>
      <c r="I2144" s="1508"/>
      <c r="M2144" s="1509"/>
      <c r="Q2144" s="1394"/>
      <c r="R2144" s="1394"/>
      <c r="S2144" s="1394"/>
      <c r="T2144" s="1394"/>
      <c r="U2144" s="1394"/>
      <c r="V2144" s="1394"/>
      <c r="W2144" s="1394"/>
    </row>
    <row r="2145" spans="1:23" s="1506" customFormat="1" ht="30" hidden="1" customHeight="1">
      <c r="B2145" s="1507"/>
      <c r="C2145" s="1497"/>
      <c r="D2145" s="99"/>
      <c r="E2145" s="99"/>
      <c r="F2145" s="1495"/>
      <c r="G2145" s="1495"/>
      <c r="H2145" s="69"/>
      <c r="I2145" s="1508"/>
      <c r="M2145" s="1509"/>
      <c r="Q2145" s="1394"/>
      <c r="R2145" s="1394"/>
      <c r="S2145" s="1394"/>
      <c r="T2145" s="1394"/>
      <c r="U2145" s="1394"/>
      <c r="V2145" s="1394"/>
      <c r="W2145" s="1394"/>
    </row>
    <row r="2146" spans="1:23" s="1506" customFormat="1" ht="30" hidden="1" customHeight="1">
      <c r="B2146" s="1507"/>
      <c r="C2146" s="1497"/>
      <c r="D2146" s="99"/>
      <c r="E2146" s="99"/>
      <c r="F2146" s="1495"/>
      <c r="G2146" s="1495"/>
      <c r="H2146" s="69"/>
      <c r="I2146" s="1508"/>
      <c r="M2146" s="1509"/>
      <c r="Q2146" s="1394"/>
      <c r="R2146" s="1394"/>
      <c r="S2146" s="1394"/>
      <c r="T2146" s="1394"/>
      <c r="U2146" s="1394"/>
      <c r="V2146" s="1394"/>
      <c r="W2146" s="1394"/>
    </row>
    <row r="2147" spans="1:23" s="1506" customFormat="1" ht="30" hidden="1" customHeight="1">
      <c r="B2147" s="1507"/>
      <c r="C2147" s="1497"/>
      <c r="D2147" s="99"/>
      <c r="E2147" s="99"/>
      <c r="F2147" s="1495"/>
      <c r="G2147" s="1495"/>
      <c r="H2147" s="69"/>
      <c r="I2147" s="1508"/>
      <c r="M2147" s="1509"/>
      <c r="Q2147" s="1394"/>
      <c r="R2147" s="1394"/>
      <c r="S2147" s="1394"/>
      <c r="T2147" s="1394"/>
      <c r="U2147" s="1394"/>
      <c r="V2147" s="1394"/>
      <c r="W2147" s="1394"/>
    </row>
    <row r="2148" spans="1:23" s="1506" customFormat="1" ht="30" hidden="1" customHeight="1">
      <c r="B2148" s="1507"/>
      <c r="C2148" s="1494"/>
      <c r="D2148" s="99"/>
      <c r="E2148" s="99"/>
      <c r="F2148" s="1495"/>
      <c r="G2148" s="1495"/>
      <c r="H2148" s="69"/>
      <c r="I2148" s="1508"/>
      <c r="M2148" s="1509"/>
      <c r="Q2148" s="1394"/>
      <c r="R2148" s="1394"/>
      <c r="S2148" s="1394"/>
      <c r="T2148" s="1394"/>
      <c r="U2148" s="1394"/>
      <c r="V2148" s="1394"/>
      <c r="W2148" s="1394"/>
    </row>
    <row r="2149" spans="1:23" s="1506" customFormat="1" ht="30" hidden="1" customHeight="1">
      <c r="B2149" s="1507"/>
      <c r="C2149" s="1497"/>
      <c r="D2149" s="99"/>
      <c r="E2149" s="99"/>
      <c r="F2149" s="1495"/>
      <c r="G2149" s="1495"/>
      <c r="H2149" s="69"/>
      <c r="I2149" s="1508"/>
      <c r="M2149" s="1509"/>
      <c r="Q2149" s="1394"/>
      <c r="R2149" s="1394"/>
      <c r="S2149" s="1394"/>
      <c r="T2149" s="1394"/>
      <c r="U2149" s="1394"/>
      <c r="V2149" s="1394"/>
      <c r="W2149" s="1394"/>
    </row>
    <row r="2150" spans="1:23" s="1506" customFormat="1" ht="30" hidden="1" customHeight="1">
      <c r="B2150" s="1507"/>
      <c r="C2150" s="1497"/>
      <c r="D2150" s="99"/>
      <c r="E2150" s="99"/>
      <c r="F2150" s="1495"/>
      <c r="G2150" s="1495"/>
      <c r="H2150" s="69"/>
      <c r="I2150" s="1508"/>
      <c r="M2150" s="1509"/>
      <c r="Q2150" s="1394"/>
      <c r="R2150" s="1394"/>
      <c r="S2150" s="1394"/>
      <c r="T2150" s="1394"/>
      <c r="U2150" s="1394"/>
      <c r="V2150" s="1394"/>
      <c r="W2150" s="1394"/>
    </row>
    <row r="2151" spans="1:23" s="1506" customFormat="1" ht="30" hidden="1" customHeight="1">
      <c r="B2151" s="1507"/>
      <c r="C2151" s="1497"/>
      <c r="D2151" s="99"/>
      <c r="E2151" s="99"/>
      <c r="F2151" s="1495"/>
      <c r="G2151" s="1495"/>
      <c r="H2151" s="69"/>
      <c r="I2151" s="1508"/>
      <c r="M2151" s="1509"/>
      <c r="Q2151" s="1394"/>
      <c r="R2151" s="1394"/>
      <c r="S2151" s="1394"/>
      <c r="T2151" s="1394"/>
      <c r="U2151" s="1394"/>
      <c r="V2151" s="1394"/>
      <c r="W2151" s="1394"/>
    </row>
    <row r="2152" spans="1:23" s="1394" customFormat="1" ht="30" hidden="1" customHeight="1">
      <c r="B2152" s="1421"/>
      <c r="C2152" s="1422"/>
      <c r="D2152" s="1389"/>
      <c r="E2152" s="1389"/>
      <c r="F2152" s="1423"/>
      <c r="G2152" s="1423"/>
      <c r="H2152" s="1424"/>
      <c r="I2152" s="1425"/>
      <c r="M2152" s="1426"/>
    </row>
    <row r="2153" spans="1:23" s="1394" customFormat="1" ht="30" hidden="1" customHeight="1">
      <c r="B2153" s="1421"/>
      <c r="C2153" s="1422"/>
      <c r="D2153" s="1389"/>
      <c r="E2153" s="1389"/>
      <c r="F2153" s="1423"/>
      <c r="G2153" s="1423"/>
      <c r="H2153" s="1424"/>
      <c r="I2153" s="1427"/>
      <c r="M2153" s="1426"/>
    </row>
    <row r="2154" spans="1:23" s="1394" customFormat="1" ht="30" hidden="1" customHeight="1">
      <c r="B2154" s="1421"/>
      <c r="C2154" s="1422"/>
      <c r="D2154" s="1389"/>
      <c r="E2154" s="1389"/>
      <c r="F2154" s="1423"/>
      <c r="G2154" s="1428"/>
      <c r="H2154" s="1429"/>
      <c r="I2154" s="1427"/>
    </row>
    <row r="2155" spans="1:23" ht="148.5" hidden="1" customHeight="1">
      <c r="A2155" s="1397"/>
      <c r="B2155" s="1405"/>
      <c r="C2155" s="1678"/>
      <c r="D2155" s="1678"/>
      <c r="E2155" s="1678"/>
      <c r="F2155" s="1678"/>
      <c r="G2155" s="1678"/>
      <c r="H2155" s="1678"/>
      <c r="I2155" s="1406"/>
      <c r="Q2155" s="1394"/>
      <c r="R2155" s="1394"/>
      <c r="S2155" s="1394"/>
      <c r="T2155" s="1394"/>
      <c r="U2155" s="1394"/>
      <c r="V2155" s="1394"/>
      <c r="W2155" s="1394"/>
    </row>
    <row r="2156" spans="1:23" s="1506" customFormat="1" ht="30" hidden="1" customHeight="1">
      <c r="B2156" s="1507"/>
      <c r="C2156" s="1494"/>
      <c r="D2156" s="99"/>
      <c r="E2156" s="99"/>
      <c r="F2156" s="1495"/>
      <c r="G2156" s="1495"/>
      <c r="H2156" s="69"/>
      <c r="I2156" s="1508"/>
      <c r="M2156" s="1509"/>
      <c r="Q2156" s="1394"/>
      <c r="R2156" s="1394"/>
      <c r="S2156" s="1394"/>
      <c r="T2156" s="1394"/>
      <c r="U2156" s="1394"/>
      <c r="V2156" s="1394"/>
      <c r="W2156" s="1394"/>
    </row>
    <row r="2157" spans="1:23" s="1506" customFormat="1" ht="30" hidden="1" customHeight="1">
      <c r="B2157" s="1507"/>
      <c r="C2157" s="1497"/>
      <c r="D2157" s="99"/>
      <c r="E2157" s="99"/>
      <c r="F2157" s="1495"/>
      <c r="G2157" s="1495"/>
      <c r="H2157" s="69"/>
      <c r="I2157" s="1508"/>
      <c r="M2157" s="1509"/>
      <c r="Q2157" s="1394"/>
      <c r="R2157" s="1394"/>
      <c r="S2157" s="1394"/>
      <c r="T2157" s="1394"/>
      <c r="U2157" s="1394"/>
      <c r="V2157" s="1394"/>
      <c r="W2157" s="1394"/>
    </row>
    <row r="2158" spans="1:23" s="1506" customFormat="1" ht="30" hidden="1" customHeight="1">
      <c r="B2158" s="1507"/>
      <c r="C2158" s="1497"/>
      <c r="D2158" s="99"/>
      <c r="E2158" s="99"/>
      <c r="F2158" s="1495"/>
      <c r="G2158" s="1495"/>
      <c r="H2158" s="69"/>
      <c r="I2158" s="1508"/>
      <c r="M2158" s="1509"/>
      <c r="Q2158" s="1394"/>
      <c r="R2158" s="1394"/>
      <c r="S2158" s="1394"/>
      <c r="T2158" s="1394"/>
      <c r="U2158" s="1394"/>
      <c r="V2158" s="1394"/>
      <c r="W2158" s="1394"/>
    </row>
    <row r="2159" spans="1:23" s="1506" customFormat="1" ht="30" hidden="1" customHeight="1">
      <c r="B2159" s="1507"/>
      <c r="C2159" s="1497"/>
      <c r="D2159" s="99"/>
      <c r="E2159" s="99"/>
      <c r="F2159" s="1495"/>
      <c r="G2159" s="1495"/>
      <c r="H2159" s="69"/>
      <c r="I2159" s="1508"/>
      <c r="M2159" s="1509"/>
      <c r="Q2159" s="1394"/>
      <c r="R2159" s="1394"/>
      <c r="S2159" s="1394"/>
      <c r="T2159" s="1394"/>
      <c r="U2159" s="1394"/>
      <c r="V2159" s="1394"/>
      <c r="W2159" s="1394"/>
    </row>
    <row r="2160" spans="1:23" s="1506" customFormat="1" ht="30" hidden="1" customHeight="1">
      <c r="B2160" s="1507"/>
      <c r="C2160" s="1497"/>
      <c r="D2160" s="99"/>
      <c r="E2160" s="99"/>
      <c r="F2160" s="1495"/>
      <c r="G2160" s="1495"/>
      <c r="H2160" s="69"/>
      <c r="I2160" s="1508"/>
      <c r="M2160" s="1509"/>
      <c r="Q2160" s="1394"/>
      <c r="R2160" s="1394"/>
      <c r="S2160" s="1394"/>
      <c r="T2160" s="1394"/>
      <c r="U2160" s="1394"/>
      <c r="V2160" s="1394"/>
      <c r="W2160" s="1394"/>
    </row>
    <row r="2161" spans="1:23" s="1506" customFormat="1" ht="30" hidden="1" customHeight="1">
      <c r="B2161" s="1507"/>
      <c r="C2161" s="1497"/>
      <c r="D2161" s="99"/>
      <c r="E2161" s="99"/>
      <c r="F2161" s="1495"/>
      <c r="G2161" s="1495"/>
      <c r="H2161" s="69"/>
      <c r="I2161" s="1508"/>
      <c r="M2161" s="1509"/>
      <c r="Q2161" s="1394"/>
      <c r="R2161" s="1394"/>
      <c r="S2161" s="1394"/>
      <c r="T2161" s="1394"/>
      <c r="U2161" s="1394"/>
      <c r="V2161" s="1394"/>
      <c r="W2161" s="1394"/>
    </row>
    <row r="2162" spans="1:23" s="1506" customFormat="1" ht="30" hidden="1" customHeight="1">
      <c r="B2162" s="1507"/>
      <c r="C2162" s="1497"/>
      <c r="D2162" s="99"/>
      <c r="E2162" s="99"/>
      <c r="F2162" s="1495"/>
      <c r="G2162" s="1495"/>
      <c r="H2162" s="69"/>
      <c r="I2162" s="1508"/>
      <c r="M2162" s="1509"/>
      <c r="Q2162" s="1394"/>
      <c r="R2162" s="1394"/>
      <c r="S2162" s="1394"/>
      <c r="T2162" s="1394"/>
      <c r="U2162" s="1394"/>
      <c r="V2162" s="1394"/>
      <c r="W2162" s="1394"/>
    </row>
    <row r="2163" spans="1:23" s="1506" customFormat="1" ht="30" hidden="1" customHeight="1">
      <c r="B2163" s="1507"/>
      <c r="C2163" s="1494"/>
      <c r="D2163" s="99"/>
      <c r="E2163" s="99"/>
      <c r="F2163" s="1495"/>
      <c r="G2163" s="1495"/>
      <c r="H2163" s="69"/>
      <c r="I2163" s="1508"/>
      <c r="M2163" s="1509"/>
      <c r="Q2163" s="1394"/>
      <c r="R2163" s="1394"/>
      <c r="S2163" s="1394"/>
      <c r="T2163" s="1394"/>
      <c r="U2163" s="1394"/>
      <c r="V2163" s="1394"/>
      <c r="W2163" s="1394"/>
    </row>
    <row r="2164" spans="1:23" s="1506" customFormat="1" ht="30" hidden="1" customHeight="1">
      <c r="B2164" s="1507"/>
      <c r="C2164" s="1497"/>
      <c r="D2164" s="99"/>
      <c r="E2164" s="99"/>
      <c r="F2164" s="1495"/>
      <c r="G2164" s="1495"/>
      <c r="H2164" s="69"/>
      <c r="I2164" s="1508"/>
      <c r="M2164" s="1509"/>
      <c r="Q2164" s="1394"/>
      <c r="R2164" s="1394"/>
      <c r="S2164" s="1394"/>
      <c r="T2164" s="1394"/>
      <c r="U2164" s="1394"/>
      <c r="V2164" s="1394"/>
      <c r="W2164" s="1394"/>
    </row>
    <row r="2165" spans="1:23" s="1506" customFormat="1" ht="30" hidden="1" customHeight="1">
      <c r="B2165" s="1507"/>
      <c r="C2165" s="1497"/>
      <c r="D2165" s="99"/>
      <c r="E2165" s="99"/>
      <c r="F2165" s="1495"/>
      <c r="G2165" s="1495"/>
      <c r="H2165" s="69"/>
      <c r="I2165" s="1508"/>
      <c r="M2165" s="1509"/>
      <c r="Q2165" s="1394"/>
      <c r="R2165" s="1394"/>
      <c r="S2165" s="1394"/>
      <c r="T2165" s="1394"/>
      <c r="U2165" s="1394"/>
      <c r="V2165" s="1394"/>
      <c r="W2165" s="1394"/>
    </row>
    <row r="2166" spans="1:23" s="1506" customFormat="1" ht="30" hidden="1" customHeight="1">
      <c r="B2166" s="1507"/>
      <c r="C2166" s="1497"/>
      <c r="D2166" s="99"/>
      <c r="E2166" s="99"/>
      <c r="F2166" s="1495"/>
      <c r="G2166" s="1495"/>
      <c r="H2166" s="69"/>
      <c r="I2166" s="1508"/>
      <c r="M2166" s="1509"/>
      <c r="Q2166" s="1394"/>
      <c r="R2166" s="1394"/>
      <c r="S2166" s="1394"/>
      <c r="T2166" s="1394"/>
      <c r="U2166" s="1394"/>
      <c r="V2166" s="1394"/>
      <c r="W2166" s="1394"/>
    </row>
    <row r="2167" spans="1:23" s="1506" customFormat="1" ht="30" hidden="1" customHeight="1">
      <c r="B2167" s="1507"/>
      <c r="C2167" s="1497"/>
      <c r="D2167" s="99"/>
      <c r="E2167" s="99"/>
      <c r="F2167" s="1495"/>
      <c r="G2167" s="1495"/>
      <c r="H2167" s="69"/>
      <c r="I2167" s="1508"/>
      <c r="M2167" s="1509"/>
      <c r="Q2167" s="1394"/>
      <c r="R2167" s="1394"/>
      <c r="S2167" s="1394"/>
      <c r="T2167" s="1394"/>
      <c r="U2167" s="1394"/>
      <c r="V2167" s="1394"/>
      <c r="W2167" s="1394"/>
    </row>
    <row r="2168" spans="1:23" s="1506" customFormat="1" ht="30" hidden="1" customHeight="1">
      <c r="B2168" s="1507"/>
      <c r="C2168" s="1494"/>
      <c r="D2168" s="99"/>
      <c r="E2168" s="99"/>
      <c r="F2168" s="1495"/>
      <c r="G2168" s="1495"/>
      <c r="H2168" s="69"/>
      <c r="I2168" s="1508"/>
      <c r="M2168" s="1509"/>
      <c r="Q2168" s="1394"/>
      <c r="R2168" s="1394"/>
      <c r="S2168" s="1394"/>
      <c r="T2168" s="1394"/>
      <c r="U2168" s="1394"/>
      <c r="V2168" s="1394"/>
      <c r="W2168" s="1394"/>
    </row>
    <row r="2169" spans="1:23" s="1506" customFormat="1" ht="30" hidden="1" customHeight="1">
      <c r="B2169" s="1507"/>
      <c r="C2169" s="1497"/>
      <c r="D2169" s="99"/>
      <c r="E2169" s="99"/>
      <c r="F2169" s="1495"/>
      <c r="G2169" s="1495"/>
      <c r="H2169" s="69"/>
      <c r="I2169" s="1508"/>
      <c r="M2169" s="1509"/>
      <c r="Q2169" s="1394"/>
      <c r="R2169" s="1394"/>
      <c r="S2169" s="1394"/>
      <c r="T2169" s="1394"/>
      <c r="U2169" s="1394"/>
      <c r="V2169" s="1394"/>
      <c r="W2169" s="1394"/>
    </row>
    <row r="2170" spans="1:23" s="1506" customFormat="1" ht="30" hidden="1" customHeight="1">
      <c r="B2170" s="1507"/>
      <c r="C2170" s="1497"/>
      <c r="D2170" s="99"/>
      <c r="E2170" s="99"/>
      <c r="F2170" s="1495"/>
      <c r="G2170" s="1495"/>
      <c r="H2170" s="69"/>
      <c r="I2170" s="1508"/>
      <c r="M2170" s="1509"/>
      <c r="Q2170" s="1394"/>
      <c r="R2170" s="1394"/>
      <c r="S2170" s="1394"/>
      <c r="T2170" s="1394"/>
      <c r="U2170" s="1394"/>
      <c r="V2170" s="1394"/>
      <c r="W2170" s="1394"/>
    </row>
    <row r="2171" spans="1:23" s="1506" customFormat="1" ht="30" hidden="1" customHeight="1">
      <c r="B2171" s="1507"/>
      <c r="C2171" s="1497"/>
      <c r="D2171" s="99"/>
      <c r="E2171" s="99"/>
      <c r="F2171" s="1495"/>
      <c r="G2171" s="1495"/>
      <c r="H2171" s="69"/>
      <c r="I2171" s="1508"/>
      <c r="M2171" s="1509"/>
      <c r="Q2171" s="1394"/>
      <c r="R2171" s="1394"/>
      <c r="S2171" s="1394"/>
      <c r="T2171" s="1394"/>
      <c r="U2171" s="1394"/>
      <c r="V2171" s="1394"/>
      <c r="W2171" s="1394"/>
    </row>
    <row r="2172" spans="1:23" s="1506" customFormat="1" ht="30" hidden="1" customHeight="1">
      <c r="B2172" s="1507"/>
      <c r="C2172" s="1497"/>
      <c r="D2172" s="99"/>
      <c r="E2172" s="99"/>
      <c r="F2172" s="1495"/>
      <c r="G2172" s="1495"/>
      <c r="H2172" s="69"/>
      <c r="I2172" s="1508"/>
      <c r="M2172" s="1509"/>
      <c r="Q2172" s="1394"/>
      <c r="R2172" s="1394"/>
      <c r="S2172" s="1394"/>
      <c r="T2172" s="1394"/>
      <c r="U2172" s="1394"/>
      <c r="V2172" s="1394"/>
      <c r="W2172" s="1394"/>
    </row>
    <row r="2173" spans="1:23" s="1394" customFormat="1" ht="30" hidden="1" customHeight="1">
      <c r="B2173" s="1421"/>
      <c r="C2173" s="1422"/>
      <c r="D2173" s="1389"/>
      <c r="E2173" s="1389"/>
      <c r="F2173" s="1423"/>
      <c r="G2173" s="1423"/>
      <c r="H2173" s="1424"/>
      <c r="I2173" s="1425"/>
      <c r="M2173" s="1426"/>
    </row>
    <row r="2174" spans="1:23" s="1394" customFormat="1" ht="30" hidden="1" customHeight="1">
      <c r="B2174" s="1421"/>
      <c r="C2174" s="1422"/>
      <c r="D2174" s="1389"/>
      <c r="E2174" s="1389"/>
      <c r="F2174" s="1423"/>
      <c r="G2174" s="1423"/>
      <c r="H2174" s="1424"/>
      <c r="I2174" s="1427"/>
      <c r="M2174" s="1426"/>
    </row>
    <row r="2175" spans="1:23" s="1394" customFormat="1" ht="30" hidden="1" customHeight="1">
      <c r="B2175" s="1421"/>
      <c r="C2175" s="1422"/>
      <c r="D2175" s="1389"/>
      <c r="E2175" s="1389"/>
      <c r="F2175" s="1423"/>
      <c r="G2175" s="1428"/>
      <c r="H2175" s="1429"/>
      <c r="I2175" s="1427"/>
    </row>
    <row r="2176" spans="1:23" ht="121.5" customHeight="1">
      <c r="A2176" s="1397" t="e">
        <f>#REF!</f>
        <v>#REF!</v>
      </c>
      <c r="B2176" s="1405" t="s">
        <v>381</v>
      </c>
      <c r="C2176" s="1678" t="e">
        <f>VLOOKUP(A2176,#REF!,2,0)</f>
        <v>#REF!</v>
      </c>
      <c r="D2176" s="1678"/>
      <c r="E2176" s="1678"/>
      <c r="F2176" s="1678"/>
      <c r="G2176" s="1678"/>
      <c r="H2176" s="1678"/>
      <c r="I2176" s="1406"/>
      <c r="Q2176" s="1394">
        <f>IFERROR(VLOOKUP(M2176,#REF!,3,0),0)</f>
        <v>0</v>
      </c>
      <c r="R2176" s="1394">
        <f t="shared" ref="R2176:R2221" si="602">ROUND(O2176,2)*ROUND(Q2176,2)</f>
        <v>0</v>
      </c>
      <c r="S2176" s="1394">
        <f>IFERROR(VLOOKUP(M2176,#REF!,6,0),0)</f>
        <v>0</v>
      </c>
      <c r="T2176" s="1394">
        <f t="shared" ref="T2176:T2235" si="603">R2176-S2176</f>
        <v>0</v>
      </c>
      <c r="U2176" s="1394">
        <f>IFERROR(VLOOKUP(M2176,#REF!,5,0),0)</f>
        <v>0</v>
      </c>
      <c r="V2176" s="1394">
        <f t="shared" ref="V2176:V2235" si="604">O2176-U2176</f>
        <v>0</v>
      </c>
      <c r="W2176" s="1394"/>
    </row>
    <row r="2177" spans="2:23" s="1506" customFormat="1" ht="30" customHeight="1">
      <c r="B2177" s="1507"/>
      <c r="C2177" s="1494" t="s">
        <v>5796</v>
      </c>
      <c r="D2177" s="99"/>
      <c r="E2177" s="99"/>
      <c r="F2177" s="1495"/>
      <c r="G2177" s="1495"/>
      <c r="H2177" s="69"/>
      <c r="I2177" s="1508">
        <f t="shared" ref="I2177:I2182" si="605">ROUND((PRODUCT(D2177:H2177)),2)</f>
        <v>0</v>
      </c>
      <c r="M2177" s="1509"/>
      <c r="Q2177" s="1394">
        <f>IFERROR(VLOOKUP(M2177,#REF!,3,0),0)</f>
        <v>0</v>
      </c>
      <c r="R2177" s="1394">
        <f t="shared" si="602"/>
        <v>0</v>
      </c>
      <c r="S2177" s="1394">
        <f>IFERROR(VLOOKUP(M2177,#REF!,6,0),0)</f>
        <v>0</v>
      </c>
      <c r="T2177" s="1394">
        <f t="shared" si="603"/>
        <v>0</v>
      </c>
      <c r="U2177" s="1394">
        <f>IFERROR(VLOOKUP(M2177,#REF!,5,0),0)</f>
        <v>0</v>
      </c>
      <c r="V2177" s="1394">
        <f t="shared" si="604"/>
        <v>0</v>
      </c>
      <c r="W2177" s="1394"/>
    </row>
    <row r="2178" spans="2:23" s="1506" customFormat="1" ht="30" customHeight="1">
      <c r="B2178" s="1507"/>
      <c r="C2178" s="1497" t="s">
        <v>5797</v>
      </c>
      <c r="D2178" s="99">
        <v>1</v>
      </c>
      <c r="E2178" s="99">
        <v>1</v>
      </c>
      <c r="F2178" s="1495">
        <v>7.56</v>
      </c>
      <c r="G2178" s="1495">
        <v>2.44</v>
      </c>
      <c r="H2178" s="69"/>
      <c r="I2178" s="1508">
        <f t="shared" si="605"/>
        <v>18.45</v>
      </c>
      <c r="M2178" s="1509"/>
      <c r="Q2178" s="1394">
        <f>IFERROR(VLOOKUP(M2178,#REF!,3,0),0)</f>
        <v>0</v>
      </c>
      <c r="R2178" s="1394">
        <f t="shared" si="602"/>
        <v>0</v>
      </c>
      <c r="S2178" s="1394">
        <f>IFERROR(VLOOKUP(M2178,#REF!,6,0),0)</f>
        <v>0</v>
      </c>
      <c r="T2178" s="1394">
        <f t="shared" si="603"/>
        <v>0</v>
      </c>
      <c r="U2178" s="1394">
        <f>IFERROR(VLOOKUP(M2178,#REF!,5,0),0)</f>
        <v>0</v>
      </c>
      <c r="V2178" s="1394">
        <f t="shared" si="604"/>
        <v>0</v>
      </c>
      <c r="W2178" s="1394"/>
    </row>
    <row r="2179" spans="2:23" s="1506" customFormat="1" ht="30" customHeight="1">
      <c r="B2179" s="1507"/>
      <c r="C2179" s="1497" t="s">
        <v>5797</v>
      </c>
      <c r="D2179" s="99">
        <v>1</v>
      </c>
      <c r="E2179" s="99">
        <v>1</v>
      </c>
      <c r="F2179" s="1495">
        <v>5.6</v>
      </c>
      <c r="G2179" s="1495">
        <v>2.8570000000000002</v>
      </c>
      <c r="H2179" s="69"/>
      <c r="I2179" s="1508">
        <f t="shared" si="605"/>
        <v>16</v>
      </c>
      <c r="M2179" s="1509"/>
      <c r="Q2179" s="1394">
        <f>IFERROR(VLOOKUP(M2179,#REF!,3,0),0)</f>
        <v>0</v>
      </c>
      <c r="R2179" s="1394">
        <f t="shared" si="602"/>
        <v>0</v>
      </c>
      <c r="S2179" s="1394">
        <f>IFERROR(VLOOKUP(M2179,#REF!,6,0),0)</f>
        <v>0</v>
      </c>
      <c r="T2179" s="1394">
        <f t="shared" si="603"/>
        <v>0</v>
      </c>
      <c r="U2179" s="1394">
        <f>IFERROR(VLOOKUP(M2179,#REF!,5,0),0)</f>
        <v>0</v>
      </c>
      <c r="V2179" s="1394">
        <f t="shared" si="604"/>
        <v>0</v>
      </c>
      <c r="W2179" s="1394"/>
    </row>
    <row r="2180" spans="2:23" s="1506" customFormat="1" ht="30" customHeight="1">
      <c r="B2180" s="1507"/>
      <c r="C2180" s="1497" t="s">
        <v>5798</v>
      </c>
      <c r="D2180" s="99">
        <v>1</v>
      </c>
      <c r="E2180" s="99">
        <v>1</v>
      </c>
      <c r="F2180" s="1495">
        <v>6.76</v>
      </c>
      <c r="G2180" s="1495">
        <v>2</v>
      </c>
      <c r="H2180" s="69"/>
      <c r="I2180" s="1508">
        <f t="shared" si="605"/>
        <v>13.52</v>
      </c>
      <c r="M2180" s="1509"/>
      <c r="Q2180" s="1394">
        <f>IFERROR(VLOOKUP(M2180,#REF!,3,0),0)</f>
        <v>0</v>
      </c>
      <c r="R2180" s="1394">
        <f t="shared" si="602"/>
        <v>0</v>
      </c>
      <c r="S2180" s="1394">
        <f>IFERROR(VLOOKUP(M2180,#REF!,6,0),0)</f>
        <v>0</v>
      </c>
      <c r="T2180" s="1394">
        <f t="shared" si="603"/>
        <v>0</v>
      </c>
      <c r="U2180" s="1394">
        <f>IFERROR(VLOOKUP(M2180,#REF!,5,0),0)</f>
        <v>0</v>
      </c>
      <c r="V2180" s="1394">
        <f t="shared" si="604"/>
        <v>0</v>
      </c>
      <c r="W2180" s="1394"/>
    </row>
    <row r="2181" spans="2:23" s="1506" customFormat="1" ht="30" customHeight="1">
      <c r="B2181" s="1507"/>
      <c r="C2181" s="1497" t="s">
        <v>5799</v>
      </c>
      <c r="D2181" s="99">
        <v>1</v>
      </c>
      <c r="E2181" s="99">
        <v>1</v>
      </c>
      <c r="F2181" s="1495">
        <v>1.5</v>
      </c>
      <c r="G2181" s="1495">
        <v>1.8</v>
      </c>
      <c r="H2181" s="69"/>
      <c r="I2181" s="1508">
        <f t="shared" si="605"/>
        <v>2.7</v>
      </c>
      <c r="M2181" s="1509"/>
      <c r="Q2181" s="1394">
        <f>IFERROR(VLOOKUP(M2181,#REF!,3,0),0)</f>
        <v>0</v>
      </c>
      <c r="R2181" s="1394">
        <f t="shared" si="602"/>
        <v>0</v>
      </c>
      <c r="S2181" s="1394">
        <f>IFERROR(VLOOKUP(M2181,#REF!,6,0),0)</f>
        <v>0</v>
      </c>
      <c r="T2181" s="1394">
        <f t="shared" si="603"/>
        <v>0</v>
      </c>
      <c r="U2181" s="1394">
        <f>IFERROR(VLOOKUP(M2181,#REF!,5,0),0)</f>
        <v>0</v>
      </c>
      <c r="V2181" s="1394">
        <f t="shared" si="604"/>
        <v>0</v>
      </c>
      <c r="W2181" s="1394"/>
    </row>
    <row r="2182" spans="2:23" s="1506" customFormat="1" ht="30" customHeight="1">
      <c r="B2182" s="1507"/>
      <c r="C2182" s="1497" t="s">
        <v>5800</v>
      </c>
      <c r="D2182" s="99">
        <v>1</v>
      </c>
      <c r="E2182" s="99">
        <v>1</v>
      </c>
      <c r="F2182" s="1495">
        <v>3</v>
      </c>
      <c r="G2182" s="1495">
        <v>1.5</v>
      </c>
      <c r="H2182" s="69"/>
      <c r="I2182" s="1508">
        <f t="shared" si="605"/>
        <v>4.5</v>
      </c>
      <c r="M2182" s="1509"/>
      <c r="Q2182" s="1394">
        <f>IFERROR(VLOOKUP(M2182,#REF!,3,0),0)</f>
        <v>0</v>
      </c>
      <c r="R2182" s="1394">
        <f t="shared" si="602"/>
        <v>0</v>
      </c>
      <c r="S2182" s="1394">
        <f>IFERROR(VLOOKUP(M2182,#REF!,6,0),0)</f>
        <v>0</v>
      </c>
      <c r="T2182" s="1394">
        <f t="shared" si="603"/>
        <v>0</v>
      </c>
      <c r="U2182" s="1394">
        <f>IFERROR(VLOOKUP(M2182,#REF!,5,0),0)</f>
        <v>0</v>
      </c>
      <c r="V2182" s="1394">
        <f t="shared" si="604"/>
        <v>0</v>
      </c>
      <c r="W2182" s="1394"/>
    </row>
    <row r="2183" spans="2:23" s="1506" customFormat="1" ht="30" customHeight="1">
      <c r="B2183" s="1507"/>
      <c r="C2183" s="1494" t="s">
        <v>259</v>
      </c>
      <c r="D2183" s="99"/>
      <c r="E2183" s="99"/>
      <c r="F2183" s="1495"/>
      <c r="G2183" s="1495"/>
      <c r="H2183" s="69"/>
      <c r="I2183" s="1508">
        <f t="shared" ref="I2183" si="606">ROUND((PRODUCT(D2183:H2183)),2)</f>
        <v>0</v>
      </c>
      <c r="M2183" s="1509"/>
      <c r="Q2183" s="1394">
        <f>IFERROR(VLOOKUP(M2183,#REF!,3,0),0)</f>
        <v>0</v>
      </c>
      <c r="R2183" s="1394">
        <f t="shared" si="602"/>
        <v>0</v>
      </c>
      <c r="S2183" s="1394">
        <f>IFERROR(VLOOKUP(M2183,#REF!,6,0),0)</f>
        <v>0</v>
      </c>
      <c r="T2183" s="1394">
        <f t="shared" si="603"/>
        <v>0</v>
      </c>
      <c r="U2183" s="1394">
        <f>IFERROR(VLOOKUP(M2183,#REF!,5,0),0)</f>
        <v>0</v>
      </c>
      <c r="V2183" s="1394">
        <f t="shared" si="604"/>
        <v>0</v>
      </c>
      <c r="W2183" s="1394"/>
    </row>
    <row r="2184" spans="2:23" s="1506" customFormat="1" ht="30" customHeight="1">
      <c r="B2184" s="1507"/>
      <c r="C2184" s="1497" t="s">
        <v>5801</v>
      </c>
      <c r="D2184" s="99">
        <v>1</v>
      </c>
      <c r="E2184" s="99">
        <v>1</v>
      </c>
      <c r="F2184" s="1495">
        <v>4.3250000000000002</v>
      </c>
      <c r="G2184" s="1495">
        <v>2.4430000000000001</v>
      </c>
      <c r="H2184" s="69"/>
      <c r="I2184" s="1508">
        <f>ROUND((PRODUCT(D2184:H2184)),2)</f>
        <v>10.57</v>
      </c>
      <c r="M2184" s="1509"/>
      <c r="Q2184" s="1394">
        <f>IFERROR(VLOOKUP(M2184,#REF!,3,0),0)</f>
        <v>0</v>
      </c>
      <c r="R2184" s="1394">
        <f t="shared" si="602"/>
        <v>0</v>
      </c>
      <c r="S2184" s="1394">
        <f>IFERROR(VLOOKUP(M2184,#REF!,6,0),0)</f>
        <v>0</v>
      </c>
      <c r="T2184" s="1394">
        <f t="shared" si="603"/>
        <v>0</v>
      </c>
      <c r="U2184" s="1394">
        <f>IFERROR(VLOOKUP(M2184,#REF!,5,0),0)</f>
        <v>0</v>
      </c>
      <c r="V2184" s="1394">
        <f t="shared" si="604"/>
        <v>0</v>
      </c>
      <c r="W2184" s="1394"/>
    </row>
    <row r="2185" spans="2:23" s="1506" customFormat="1" ht="30" customHeight="1">
      <c r="B2185" s="1507"/>
      <c r="C2185" s="1497" t="s">
        <v>5801</v>
      </c>
      <c r="D2185" s="99">
        <v>1</v>
      </c>
      <c r="E2185" s="99">
        <v>1</v>
      </c>
      <c r="F2185" s="1495">
        <v>2.4550000000000001</v>
      </c>
      <c r="G2185" s="1495">
        <v>2.8570000000000002</v>
      </c>
      <c r="H2185" s="69"/>
      <c r="I2185" s="1508">
        <f t="shared" ref="I2185" si="607">ROUND((PRODUCT(D2185:H2185)),2)</f>
        <v>7.01</v>
      </c>
      <c r="M2185" s="1509"/>
      <c r="Q2185" s="1394">
        <f>IFERROR(VLOOKUP(M2185,#REF!,3,0),0)</f>
        <v>0</v>
      </c>
      <c r="R2185" s="1394">
        <f t="shared" si="602"/>
        <v>0</v>
      </c>
      <c r="S2185" s="1394">
        <f>IFERROR(VLOOKUP(M2185,#REF!,6,0),0)</f>
        <v>0</v>
      </c>
      <c r="T2185" s="1394">
        <f t="shared" si="603"/>
        <v>0</v>
      </c>
      <c r="U2185" s="1394">
        <f>IFERROR(VLOOKUP(M2185,#REF!,5,0),0)</f>
        <v>0</v>
      </c>
      <c r="V2185" s="1394">
        <f t="shared" si="604"/>
        <v>0</v>
      </c>
      <c r="W2185" s="1394"/>
    </row>
    <row r="2186" spans="2:23" s="1506" customFormat="1" ht="30" customHeight="1">
      <c r="B2186" s="1507"/>
      <c r="C2186" s="1497" t="s">
        <v>5753</v>
      </c>
      <c r="D2186" s="99">
        <v>1</v>
      </c>
      <c r="E2186" s="99">
        <v>1</v>
      </c>
      <c r="F2186" s="1495">
        <v>9.8849999999999998</v>
      </c>
      <c r="G2186" s="1495">
        <v>5.76</v>
      </c>
      <c r="H2186" s="69"/>
      <c r="I2186" s="1508">
        <f>ROUND((PRODUCT(D2186:H2186)),2)</f>
        <v>56.94</v>
      </c>
      <c r="M2186" s="1509"/>
      <c r="Q2186" s="1394">
        <f>IFERROR(VLOOKUP(M2186,#REF!,3,0),0)</f>
        <v>0</v>
      </c>
      <c r="R2186" s="1394">
        <f t="shared" si="602"/>
        <v>0</v>
      </c>
      <c r="S2186" s="1394">
        <f>IFERROR(VLOOKUP(M2186,#REF!,6,0),0)</f>
        <v>0</v>
      </c>
      <c r="T2186" s="1394">
        <f t="shared" si="603"/>
        <v>0</v>
      </c>
      <c r="U2186" s="1394">
        <f>IFERROR(VLOOKUP(M2186,#REF!,5,0),0)</f>
        <v>0</v>
      </c>
      <c r="V2186" s="1394">
        <f t="shared" si="604"/>
        <v>0</v>
      </c>
      <c r="W2186" s="1394"/>
    </row>
    <row r="2187" spans="2:23" s="1506" customFormat="1" ht="30" customHeight="1">
      <c r="B2187" s="1507"/>
      <c r="C2187" s="1494" t="s">
        <v>260</v>
      </c>
      <c r="D2187" s="99"/>
      <c r="E2187" s="99"/>
      <c r="F2187" s="1495"/>
      <c r="G2187" s="1495"/>
      <c r="H2187" s="69"/>
      <c r="I2187" s="1508">
        <f t="shared" ref="I2187:I2189" si="608">ROUND((PRODUCT(D2187:H2187)),2)</f>
        <v>0</v>
      </c>
      <c r="M2187" s="1509"/>
      <c r="Q2187" s="1394">
        <f>IFERROR(VLOOKUP(M2187,#REF!,3,0),0)</f>
        <v>0</v>
      </c>
      <c r="R2187" s="1394">
        <f t="shared" si="602"/>
        <v>0</v>
      </c>
      <c r="S2187" s="1394">
        <f>IFERROR(VLOOKUP(M2187,#REF!,6,0),0)</f>
        <v>0</v>
      </c>
      <c r="T2187" s="1394">
        <f t="shared" si="603"/>
        <v>0</v>
      </c>
      <c r="U2187" s="1394">
        <f>IFERROR(VLOOKUP(M2187,#REF!,5,0),0)</f>
        <v>0</v>
      </c>
      <c r="V2187" s="1394">
        <f t="shared" si="604"/>
        <v>0</v>
      </c>
      <c r="W2187" s="1394"/>
    </row>
    <row r="2188" spans="2:23" s="1506" customFormat="1" ht="30" customHeight="1">
      <c r="B2188" s="1507"/>
      <c r="C2188" s="1497" t="s">
        <v>5801</v>
      </c>
      <c r="D2188" s="99">
        <v>1</v>
      </c>
      <c r="E2188" s="99">
        <v>1</v>
      </c>
      <c r="F2188" s="1495">
        <v>4.3250000000000002</v>
      </c>
      <c r="G2188" s="1495">
        <v>2.4430000000000001</v>
      </c>
      <c r="H2188" s="69"/>
      <c r="I2188" s="1508">
        <f t="shared" si="608"/>
        <v>10.57</v>
      </c>
      <c r="M2188" s="1509"/>
      <c r="Q2188" s="1394">
        <f>IFERROR(VLOOKUP(M2188,#REF!,3,0),0)</f>
        <v>0</v>
      </c>
      <c r="R2188" s="1394">
        <f t="shared" si="602"/>
        <v>0</v>
      </c>
      <c r="S2188" s="1394">
        <f>IFERROR(VLOOKUP(M2188,#REF!,6,0),0)</f>
        <v>0</v>
      </c>
      <c r="T2188" s="1394">
        <f t="shared" si="603"/>
        <v>0</v>
      </c>
      <c r="U2188" s="1394">
        <f>IFERROR(VLOOKUP(M2188,#REF!,5,0),0)</f>
        <v>0</v>
      </c>
      <c r="V2188" s="1394">
        <f t="shared" si="604"/>
        <v>0</v>
      </c>
      <c r="W2188" s="1394"/>
    </row>
    <row r="2189" spans="2:23" s="1506" customFormat="1" ht="30" customHeight="1">
      <c r="B2189" s="1507"/>
      <c r="C2189" s="1497" t="s">
        <v>5801</v>
      </c>
      <c r="D2189" s="99">
        <v>1</v>
      </c>
      <c r="E2189" s="99">
        <v>1</v>
      </c>
      <c r="F2189" s="1495">
        <v>2.4550000000000001</v>
      </c>
      <c r="G2189" s="1495">
        <v>2.8570000000000002</v>
      </c>
      <c r="H2189" s="69"/>
      <c r="I2189" s="1508">
        <f t="shared" si="608"/>
        <v>7.01</v>
      </c>
      <c r="M2189" s="1509"/>
      <c r="Q2189" s="1394">
        <f>IFERROR(VLOOKUP(M2189,#REF!,3,0),0)</f>
        <v>0</v>
      </c>
      <c r="R2189" s="1394">
        <f t="shared" si="602"/>
        <v>0</v>
      </c>
      <c r="S2189" s="1394">
        <f>IFERROR(VLOOKUP(M2189,#REF!,6,0),0)</f>
        <v>0</v>
      </c>
      <c r="T2189" s="1394">
        <f t="shared" si="603"/>
        <v>0</v>
      </c>
      <c r="U2189" s="1394">
        <f>IFERROR(VLOOKUP(M2189,#REF!,5,0),0)</f>
        <v>0</v>
      </c>
      <c r="V2189" s="1394">
        <f t="shared" si="604"/>
        <v>0</v>
      </c>
      <c r="W2189" s="1394"/>
    </row>
    <row r="2190" spans="2:23" s="1506" customFormat="1" ht="30" customHeight="1">
      <c r="B2190" s="1507"/>
      <c r="C2190" s="1497" t="s">
        <v>5753</v>
      </c>
      <c r="D2190" s="99">
        <v>1</v>
      </c>
      <c r="E2190" s="99">
        <v>1</v>
      </c>
      <c r="F2190" s="1495">
        <v>9.8849999999999998</v>
      </c>
      <c r="G2190" s="1495">
        <v>5.76</v>
      </c>
      <c r="H2190" s="69"/>
      <c r="I2190" s="1508">
        <f>ROUND((PRODUCT(D2190:H2190)),2)</f>
        <v>56.94</v>
      </c>
      <c r="M2190" s="1509"/>
      <c r="Q2190" s="1394">
        <f>IFERROR(VLOOKUP(M2190,#REF!,3,0),0)</f>
        <v>0</v>
      </c>
      <c r="R2190" s="1394">
        <f t="shared" si="602"/>
        <v>0</v>
      </c>
      <c r="S2190" s="1394">
        <f>IFERROR(VLOOKUP(M2190,#REF!,6,0),0)</f>
        <v>0</v>
      </c>
      <c r="T2190" s="1394">
        <f t="shared" si="603"/>
        <v>0</v>
      </c>
      <c r="U2190" s="1394">
        <f>IFERROR(VLOOKUP(M2190,#REF!,5,0),0)</f>
        <v>0</v>
      </c>
      <c r="V2190" s="1394">
        <f t="shared" si="604"/>
        <v>0</v>
      </c>
      <c r="W2190" s="1394"/>
    </row>
    <row r="2191" spans="2:23" s="1506" customFormat="1" ht="30" customHeight="1">
      <c r="B2191" s="1507"/>
      <c r="C2191" s="1494" t="s">
        <v>5816</v>
      </c>
      <c r="D2191" s="99"/>
      <c r="E2191" s="99"/>
      <c r="F2191" s="1495"/>
      <c r="G2191" s="1495"/>
      <c r="H2191" s="69"/>
      <c r="I2191" s="1508">
        <f t="shared" ref="I2191" si="609">ROUND((PRODUCT(D2191:H2191)),2)</f>
        <v>0</v>
      </c>
      <c r="M2191" s="1509"/>
      <c r="Q2191" s="1394">
        <f>IFERROR(VLOOKUP(M2191,#REF!,3,0),0)</f>
        <v>0</v>
      </c>
      <c r="R2191" s="1394">
        <f t="shared" si="602"/>
        <v>0</v>
      </c>
      <c r="S2191" s="1394">
        <f>IFERROR(VLOOKUP(M2191,#REF!,6,0),0)</f>
        <v>0</v>
      </c>
      <c r="T2191" s="1394">
        <f t="shared" si="603"/>
        <v>0</v>
      </c>
      <c r="U2191" s="1394">
        <f>IFERROR(VLOOKUP(M2191,#REF!,5,0),0)</f>
        <v>0</v>
      </c>
      <c r="V2191" s="1394">
        <f t="shared" si="604"/>
        <v>0</v>
      </c>
      <c r="W2191" s="1394"/>
    </row>
    <row r="2192" spans="2:23" s="1506" customFormat="1" ht="30" customHeight="1">
      <c r="B2192" s="1507"/>
      <c r="C2192" s="1497" t="s">
        <v>5801</v>
      </c>
      <c r="D2192" s="99">
        <v>1</v>
      </c>
      <c r="E2192" s="99">
        <v>1</v>
      </c>
      <c r="F2192" s="1495">
        <v>4.3250000000000002</v>
      </c>
      <c r="G2192" s="1495">
        <v>2.4430000000000001</v>
      </c>
      <c r="H2192" s="69"/>
      <c r="I2192" s="1508">
        <f>ROUND((PRODUCT(D2192:H2192)),2)</f>
        <v>10.57</v>
      </c>
      <c r="M2192" s="1509"/>
      <c r="Q2192" s="1394">
        <f>IFERROR(VLOOKUP(M2192,#REF!,3,0),0)</f>
        <v>0</v>
      </c>
      <c r="R2192" s="1394">
        <f t="shared" si="602"/>
        <v>0</v>
      </c>
      <c r="S2192" s="1394">
        <f>IFERROR(VLOOKUP(M2192,#REF!,6,0),0)</f>
        <v>0</v>
      </c>
      <c r="T2192" s="1394">
        <f t="shared" si="603"/>
        <v>0</v>
      </c>
      <c r="U2192" s="1394">
        <f>IFERROR(VLOOKUP(M2192,#REF!,5,0),0)</f>
        <v>0</v>
      </c>
      <c r="V2192" s="1394">
        <f t="shared" si="604"/>
        <v>0</v>
      </c>
      <c r="W2192" s="1394"/>
    </row>
    <row r="2193" spans="1:24" s="1506" customFormat="1" ht="30" customHeight="1">
      <c r="B2193" s="1507"/>
      <c r="C2193" s="1497" t="s">
        <v>5801</v>
      </c>
      <c r="D2193" s="99">
        <v>1</v>
      </c>
      <c r="E2193" s="99">
        <v>1</v>
      </c>
      <c r="F2193" s="1495">
        <v>2.4550000000000001</v>
      </c>
      <c r="G2193" s="1495">
        <v>2.8570000000000002</v>
      </c>
      <c r="H2193" s="69"/>
      <c r="I2193" s="1508">
        <f>ROUND((PRODUCT(D2193:H2193)),2)</f>
        <v>7.01</v>
      </c>
      <c r="M2193" s="1509"/>
      <c r="Q2193" s="1394">
        <f>IFERROR(VLOOKUP(M2193,#REF!,3,0),0)</f>
        <v>0</v>
      </c>
      <c r="R2193" s="1394">
        <f t="shared" si="602"/>
        <v>0</v>
      </c>
      <c r="S2193" s="1394">
        <f>IFERROR(VLOOKUP(M2193,#REF!,6,0),0)</f>
        <v>0</v>
      </c>
      <c r="T2193" s="1394">
        <f t="shared" si="603"/>
        <v>0</v>
      </c>
      <c r="U2193" s="1394">
        <f>IFERROR(VLOOKUP(M2193,#REF!,5,0),0)</f>
        <v>0</v>
      </c>
      <c r="V2193" s="1394">
        <f t="shared" si="604"/>
        <v>0</v>
      </c>
      <c r="W2193" s="1394"/>
    </row>
    <row r="2194" spans="1:24" s="1506" customFormat="1" ht="30" customHeight="1">
      <c r="B2194" s="1507"/>
      <c r="C2194" s="1497" t="s">
        <v>5753</v>
      </c>
      <c r="D2194" s="99">
        <v>1</v>
      </c>
      <c r="E2194" s="99">
        <v>1</v>
      </c>
      <c r="F2194" s="1495">
        <v>9.8849999999999998</v>
      </c>
      <c r="G2194" s="1495">
        <v>5.76</v>
      </c>
      <c r="H2194" s="69"/>
      <c r="I2194" s="1508">
        <f>ROUND((PRODUCT(D2194:H2194)),2)</f>
        <v>56.94</v>
      </c>
      <c r="M2194" s="1509"/>
      <c r="Q2194" s="1394">
        <f>IFERROR(VLOOKUP(M2194,#REF!,3,0),0)</f>
        <v>0</v>
      </c>
      <c r="R2194" s="1394">
        <f t="shared" si="602"/>
        <v>0</v>
      </c>
      <c r="S2194" s="1394">
        <f>IFERROR(VLOOKUP(M2194,#REF!,6,0),0)</f>
        <v>0</v>
      </c>
      <c r="T2194" s="1394">
        <f t="shared" si="603"/>
        <v>0</v>
      </c>
      <c r="U2194" s="1394">
        <f>IFERROR(VLOOKUP(M2194,#REF!,5,0),0)</f>
        <v>0</v>
      </c>
      <c r="V2194" s="1394">
        <f t="shared" si="604"/>
        <v>0</v>
      </c>
      <c r="W2194" s="1394"/>
    </row>
    <row r="2195" spans="1:24" s="1506" customFormat="1" ht="30" customHeight="1">
      <c r="B2195" s="1507"/>
      <c r="C2195" s="1497"/>
      <c r="D2195" s="99"/>
      <c r="E2195" s="99"/>
      <c r="F2195" s="1495"/>
      <c r="G2195" s="1495"/>
      <c r="H2195" s="69"/>
      <c r="I2195" s="1508"/>
      <c r="M2195" s="1509"/>
      <c r="Q2195" s="1394">
        <f>IFERROR(VLOOKUP(M2195,#REF!,3,0),0)</f>
        <v>0</v>
      </c>
      <c r="R2195" s="1394">
        <f t="shared" si="602"/>
        <v>0</v>
      </c>
      <c r="S2195" s="1394">
        <f>IFERROR(VLOOKUP(M2195,#REF!,6,0),0)</f>
        <v>0</v>
      </c>
      <c r="T2195" s="1394">
        <f t="shared" si="603"/>
        <v>0</v>
      </c>
      <c r="U2195" s="1394">
        <f>IFERROR(VLOOKUP(M2195,#REF!,5,0),0)</f>
        <v>0</v>
      </c>
      <c r="V2195" s="1394">
        <f t="shared" si="604"/>
        <v>0</v>
      </c>
      <c r="W2195" s="1394"/>
    </row>
    <row r="2196" spans="1:24" s="1506" customFormat="1" ht="30" customHeight="1">
      <c r="B2196" s="1507"/>
      <c r="C2196" s="1497"/>
      <c r="D2196" s="99"/>
      <c r="E2196" s="99"/>
      <c r="F2196" s="1495"/>
      <c r="G2196" s="1495"/>
      <c r="H2196" s="69"/>
      <c r="I2196" s="1508"/>
      <c r="M2196" s="1509"/>
      <c r="Q2196" s="1394">
        <f>IFERROR(VLOOKUP(M2196,#REF!,3,0),0)</f>
        <v>0</v>
      </c>
      <c r="R2196" s="1394">
        <f t="shared" si="602"/>
        <v>0</v>
      </c>
      <c r="S2196" s="1394">
        <f>IFERROR(VLOOKUP(M2196,#REF!,6,0),0)</f>
        <v>0</v>
      </c>
      <c r="T2196" s="1394">
        <f t="shared" si="603"/>
        <v>0</v>
      </c>
      <c r="U2196" s="1394">
        <f>IFERROR(VLOOKUP(M2196,#REF!,5,0),0)</f>
        <v>0</v>
      </c>
      <c r="V2196" s="1394">
        <f t="shared" si="604"/>
        <v>0</v>
      </c>
      <c r="W2196" s="1394"/>
    </row>
    <row r="2197" spans="1:24" s="1394" customFormat="1" ht="30" customHeight="1">
      <c r="B2197" s="1421"/>
      <c r="C2197" s="1422" t="s">
        <v>270</v>
      </c>
      <c r="D2197" s="1389"/>
      <c r="E2197" s="1389"/>
      <c r="F2197" s="1423"/>
      <c r="G2197" s="1423"/>
      <c r="H2197" s="1424"/>
      <c r="I2197" s="1425">
        <f>J2198-J2197</f>
        <v>0.27000000000003865</v>
      </c>
      <c r="J2197" s="1394">
        <f>SUM(I2177:I2196)</f>
        <v>278.72999999999996</v>
      </c>
      <c r="M2197" s="1426"/>
      <c r="Q2197" s="1394">
        <f>IFERROR(VLOOKUP(M2197,#REF!,3,0),0)</f>
        <v>0</v>
      </c>
      <c r="R2197" s="1394">
        <f t="shared" si="602"/>
        <v>0</v>
      </c>
      <c r="S2197" s="1394">
        <f>IFERROR(VLOOKUP(M2197,#REF!,6,0),0)</f>
        <v>0</v>
      </c>
      <c r="T2197" s="1394">
        <f t="shared" si="603"/>
        <v>0</v>
      </c>
      <c r="U2197" s="1394">
        <f>IFERROR(VLOOKUP(M2197,#REF!,5,0),0)</f>
        <v>0</v>
      </c>
      <c r="V2197" s="1394">
        <f t="shared" si="604"/>
        <v>0</v>
      </c>
    </row>
    <row r="2198" spans="1:24" s="1394" customFormat="1" ht="30" customHeight="1">
      <c r="B2198" s="1421"/>
      <c r="C2198" s="1422"/>
      <c r="D2198" s="1389"/>
      <c r="E2198" s="1389"/>
      <c r="F2198" s="1423"/>
      <c r="G2198" s="1423"/>
      <c r="H2198" s="1424"/>
      <c r="I2198" s="1427">
        <f>+J2198</f>
        <v>279</v>
      </c>
      <c r="J2198" s="1394">
        <f>ROUNDUP(J2197,0)</f>
        <v>279</v>
      </c>
      <c r="M2198" s="1426"/>
      <c r="Q2198" s="1394">
        <f>IFERROR(VLOOKUP(M2198,#REF!,3,0),0)</f>
        <v>0</v>
      </c>
      <c r="R2198" s="1394">
        <f t="shared" si="602"/>
        <v>0</v>
      </c>
      <c r="S2198" s="1394">
        <f>IFERROR(VLOOKUP(M2198,#REF!,6,0),0)</f>
        <v>0</v>
      </c>
      <c r="T2198" s="1394">
        <f t="shared" si="603"/>
        <v>0</v>
      </c>
      <c r="U2198" s="1394">
        <f>IFERROR(VLOOKUP(M2198,#REF!,5,0),0)</f>
        <v>0</v>
      </c>
      <c r="V2198" s="1394">
        <f t="shared" si="604"/>
        <v>0</v>
      </c>
    </row>
    <row r="2199" spans="1:24" s="1394" customFormat="1" ht="30" customHeight="1">
      <c r="B2199" s="1421"/>
      <c r="C2199" s="1422"/>
      <c r="D2199" s="1389"/>
      <c r="E2199" s="1389"/>
      <c r="F2199" s="1423"/>
      <c r="G2199" s="1428" t="s">
        <v>11</v>
      </c>
      <c r="H2199" s="1429">
        <f>I2198</f>
        <v>279</v>
      </c>
      <c r="I2199" s="1427" t="s">
        <v>26</v>
      </c>
      <c r="M2199" s="1394" t="e">
        <f>A2176</f>
        <v>#REF!</v>
      </c>
      <c r="N2199" s="1394" t="str">
        <f>B2176</f>
        <v>29.1.2</v>
      </c>
      <c r="O2199" s="1394">
        <f>H2199</f>
        <v>279</v>
      </c>
      <c r="P2199" s="1394" t="str">
        <f>I2199</f>
        <v>Sqm</v>
      </c>
      <c r="Q2199" s="1394">
        <f>IFERROR(VLOOKUP(M2199,#REF!,3,0),0)</f>
        <v>0</v>
      </c>
      <c r="R2199" s="1394">
        <f t="shared" si="602"/>
        <v>0</v>
      </c>
      <c r="S2199" s="1394">
        <f>IFERROR(VLOOKUP(M2199,#REF!,6,0),0)</f>
        <v>0</v>
      </c>
      <c r="T2199" s="1394">
        <f t="shared" si="603"/>
        <v>0</v>
      </c>
      <c r="U2199" s="1394">
        <f>IFERROR(VLOOKUP(M2199,#REF!,5,0),0)</f>
        <v>0</v>
      </c>
      <c r="V2199" s="1394">
        <f t="shared" si="604"/>
        <v>279</v>
      </c>
    </row>
    <row r="2200" spans="1:24" ht="139.5" customHeight="1">
      <c r="A2200" s="110" t="s">
        <v>382</v>
      </c>
      <c r="B2200" s="1405" t="s">
        <v>381</v>
      </c>
      <c r="C2200" s="1678" t="e">
        <f>VLOOKUP(A2200,#REF!,2,0)</f>
        <v>#REF!</v>
      </c>
      <c r="D2200" s="1678"/>
      <c r="E2200" s="1678"/>
      <c r="F2200" s="1678"/>
      <c r="G2200" s="1678"/>
      <c r="H2200" s="1678"/>
      <c r="I2200" s="1406"/>
      <c r="L2200" s="110" t="s">
        <v>382</v>
      </c>
      <c r="Q2200" s="1394">
        <f>IFERROR(VLOOKUP(M2200,#REF!,3,0),0)</f>
        <v>0</v>
      </c>
      <c r="R2200" s="1394">
        <f t="shared" si="602"/>
        <v>0</v>
      </c>
      <c r="S2200" s="1394">
        <f>IFERROR(VLOOKUP(M2200,#REF!,6,0),0)</f>
        <v>0</v>
      </c>
      <c r="T2200" s="1394">
        <f t="shared" si="603"/>
        <v>0</v>
      </c>
      <c r="U2200" s="1394">
        <f>IFERROR(VLOOKUP(M2200,#REF!,5,0),0)</f>
        <v>0</v>
      </c>
      <c r="V2200" s="1394">
        <f t="shared" si="604"/>
        <v>0</v>
      </c>
      <c r="W2200" s="1394"/>
      <c r="X2200" s="1397"/>
    </row>
    <row r="2201" spans="1:24" s="1506" customFormat="1" ht="30" customHeight="1">
      <c r="B2201" s="1507"/>
      <c r="C2201" s="1494" t="s">
        <v>5796</v>
      </c>
      <c r="D2201" s="99"/>
      <c r="E2201" s="99"/>
      <c r="F2201" s="1495"/>
      <c r="G2201" s="1495"/>
      <c r="H2201" s="69"/>
      <c r="I2201" s="1508">
        <f>ROUND((PRODUCT(D2201:H2201)),2)</f>
        <v>0</v>
      </c>
      <c r="M2201" s="1509"/>
      <c r="Q2201" s="1394">
        <f>IFERROR(VLOOKUP(M2201,#REF!,3,0),0)</f>
        <v>0</v>
      </c>
      <c r="R2201" s="1394">
        <f t="shared" si="602"/>
        <v>0</v>
      </c>
      <c r="S2201" s="1394">
        <f>IFERROR(VLOOKUP(M2201,#REF!,6,0),0)</f>
        <v>0</v>
      </c>
      <c r="T2201" s="1394">
        <f t="shared" si="603"/>
        <v>0</v>
      </c>
      <c r="U2201" s="1394">
        <f>IFERROR(VLOOKUP(M2201,#REF!,5,0),0)</f>
        <v>0</v>
      </c>
      <c r="V2201" s="1394">
        <f t="shared" si="604"/>
        <v>0</v>
      </c>
      <c r="W2201" s="1394"/>
    </row>
    <row r="2202" spans="1:24" s="1506" customFormat="1" ht="30" customHeight="1">
      <c r="B2202" s="1507"/>
      <c r="C2202" s="1497"/>
      <c r="D2202" s="99"/>
      <c r="E2202" s="99"/>
      <c r="F2202" s="1495"/>
      <c r="G2202" s="1495"/>
      <c r="H2202" s="69"/>
      <c r="I2202" s="1508">
        <f t="shared" ref="I2202:I2203" si="610">ROUND((PRODUCT(D2202:H2202)),2)</f>
        <v>0</v>
      </c>
      <c r="M2202" s="1509"/>
      <c r="Q2202" s="1394">
        <f>IFERROR(VLOOKUP(M2202,#REF!,3,0),0)</f>
        <v>0</v>
      </c>
      <c r="R2202" s="1394">
        <f t="shared" si="602"/>
        <v>0</v>
      </c>
      <c r="S2202" s="1394">
        <f>IFERROR(VLOOKUP(M2202,#REF!,6,0),0)</f>
        <v>0</v>
      </c>
      <c r="T2202" s="1394">
        <f t="shared" si="603"/>
        <v>0</v>
      </c>
      <c r="U2202" s="1394">
        <f>IFERROR(VLOOKUP(M2202,#REF!,5,0),0)</f>
        <v>0</v>
      </c>
      <c r="V2202" s="1394">
        <f t="shared" si="604"/>
        <v>0</v>
      </c>
      <c r="W2202" s="1394"/>
    </row>
    <row r="2203" spans="1:24" s="1506" customFormat="1" ht="30" customHeight="1">
      <c r="B2203" s="1507"/>
      <c r="C2203" s="1494" t="s">
        <v>259</v>
      </c>
      <c r="D2203" s="99"/>
      <c r="E2203" s="99"/>
      <c r="F2203" s="1495"/>
      <c r="G2203" s="1495"/>
      <c r="H2203" s="69"/>
      <c r="I2203" s="1508">
        <f t="shared" si="610"/>
        <v>0</v>
      </c>
      <c r="M2203" s="1509"/>
      <c r="Q2203" s="1394">
        <f>IFERROR(VLOOKUP(M2203,#REF!,3,0),0)</f>
        <v>0</v>
      </c>
      <c r="R2203" s="1394">
        <f t="shared" si="602"/>
        <v>0</v>
      </c>
      <c r="S2203" s="1394">
        <f>IFERROR(VLOOKUP(M2203,#REF!,6,0),0)</f>
        <v>0</v>
      </c>
      <c r="T2203" s="1394">
        <f t="shared" si="603"/>
        <v>0</v>
      </c>
      <c r="U2203" s="1394">
        <f>IFERROR(VLOOKUP(M2203,#REF!,5,0),0)</f>
        <v>0</v>
      </c>
      <c r="V2203" s="1394">
        <f t="shared" si="604"/>
        <v>0</v>
      </c>
      <c r="W2203" s="1394"/>
    </row>
    <row r="2204" spans="1:24" s="1506" customFormat="1" ht="30" customHeight="1">
      <c r="B2204" s="1507"/>
      <c r="C2204" s="1497" t="s">
        <v>5591</v>
      </c>
      <c r="D2204" s="99">
        <v>1</v>
      </c>
      <c r="E2204" s="99">
        <v>1</v>
      </c>
      <c r="F2204" s="1495">
        <v>4</v>
      </c>
      <c r="G2204" s="1495">
        <v>5.0999999999999996</v>
      </c>
      <c r="H2204" s="69"/>
      <c r="I2204" s="1508">
        <f t="shared" ref="I2204" si="611">ROUND((PRODUCT(D2204:H2204)),2)</f>
        <v>20.399999999999999</v>
      </c>
      <c r="M2204" s="1509"/>
      <c r="Q2204" s="1394">
        <f>IFERROR(VLOOKUP(M2204,#REF!,3,0),0)</f>
        <v>0</v>
      </c>
      <c r="R2204" s="1394">
        <f t="shared" si="602"/>
        <v>0</v>
      </c>
      <c r="S2204" s="1394">
        <f>IFERROR(VLOOKUP(M2204,#REF!,6,0),0)</f>
        <v>0</v>
      </c>
      <c r="T2204" s="1394">
        <f t="shared" si="603"/>
        <v>0</v>
      </c>
      <c r="U2204" s="1394">
        <f>IFERROR(VLOOKUP(M2204,#REF!,5,0),0)</f>
        <v>0</v>
      </c>
      <c r="V2204" s="1394">
        <f t="shared" si="604"/>
        <v>0</v>
      </c>
      <c r="W2204" s="1394"/>
    </row>
    <row r="2205" spans="1:24" s="1506" customFormat="1" ht="30" customHeight="1">
      <c r="B2205" s="1507"/>
      <c r="C2205" s="1497" t="s">
        <v>5809</v>
      </c>
      <c r="D2205" s="99">
        <v>1</v>
      </c>
      <c r="E2205" s="99">
        <v>1</v>
      </c>
      <c r="F2205" s="1495">
        <v>1.23</v>
      </c>
      <c r="G2205" s="1495">
        <v>1.73</v>
      </c>
      <c r="H2205" s="69"/>
      <c r="I2205" s="1508">
        <f t="shared" ref="I2205" si="612">ROUND((PRODUCT(D2205:H2205)),2)</f>
        <v>2.13</v>
      </c>
      <c r="M2205" s="1509"/>
      <c r="Q2205" s="1394">
        <f>IFERROR(VLOOKUP(M2205,#REF!,3,0),0)</f>
        <v>0</v>
      </c>
      <c r="R2205" s="1394">
        <f t="shared" si="602"/>
        <v>0</v>
      </c>
      <c r="S2205" s="1394">
        <f>IFERROR(VLOOKUP(M2205,#REF!,6,0),0)</f>
        <v>0</v>
      </c>
      <c r="T2205" s="1394">
        <f t="shared" si="603"/>
        <v>0</v>
      </c>
      <c r="U2205" s="1394">
        <f>IFERROR(VLOOKUP(M2205,#REF!,5,0),0)</f>
        <v>0</v>
      </c>
      <c r="V2205" s="1394">
        <f t="shared" si="604"/>
        <v>0</v>
      </c>
      <c r="W2205" s="1394"/>
    </row>
    <row r="2206" spans="1:24" s="1506" customFormat="1" ht="30" customHeight="1">
      <c r="B2206" s="1507"/>
      <c r="C2206" s="1497" t="s">
        <v>5802</v>
      </c>
      <c r="D2206" s="99">
        <v>1</v>
      </c>
      <c r="E2206" s="99">
        <v>1</v>
      </c>
      <c r="F2206" s="1495">
        <v>4</v>
      </c>
      <c r="G2206" s="1495">
        <v>5.0999999999999996</v>
      </c>
      <c r="H2206" s="69"/>
      <c r="I2206" s="1508">
        <f t="shared" ref="I2206:I2207" si="613">ROUND((PRODUCT(D2206:H2206)),2)</f>
        <v>20.399999999999999</v>
      </c>
      <c r="M2206" s="1509"/>
      <c r="Q2206" s="1394">
        <f>IFERROR(VLOOKUP(M2206,#REF!,3,0),0)</f>
        <v>0</v>
      </c>
      <c r="R2206" s="1394">
        <f t="shared" si="602"/>
        <v>0</v>
      </c>
      <c r="S2206" s="1394">
        <f>IFERROR(VLOOKUP(M2206,#REF!,6,0),0)</f>
        <v>0</v>
      </c>
      <c r="T2206" s="1394">
        <f t="shared" si="603"/>
        <v>0</v>
      </c>
      <c r="U2206" s="1394">
        <f>IFERROR(VLOOKUP(M2206,#REF!,5,0),0)</f>
        <v>0</v>
      </c>
      <c r="V2206" s="1394">
        <f t="shared" si="604"/>
        <v>0</v>
      </c>
      <c r="W2206" s="1394"/>
    </row>
    <row r="2207" spans="1:24" s="1506" customFormat="1" ht="30" customHeight="1">
      <c r="B2207" s="1507"/>
      <c r="C2207" s="1497" t="s">
        <v>5808</v>
      </c>
      <c r="D2207" s="99">
        <v>1</v>
      </c>
      <c r="E2207" s="99">
        <v>1</v>
      </c>
      <c r="F2207" s="1495">
        <v>1.23</v>
      </c>
      <c r="G2207" s="1495">
        <v>1.73</v>
      </c>
      <c r="H2207" s="69"/>
      <c r="I2207" s="1508">
        <f t="shared" si="613"/>
        <v>2.13</v>
      </c>
      <c r="M2207" s="1509"/>
      <c r="Q2207" s="1394">
        <f>IFERROR(VLOOKUP(M2207,#REF!,3,0),0)</f>
        <v>0</v>
      </c>
      <c r="R2207" s="1394">
        <f t="shared" si="602"/>
        <v>0</v>
      </c>
      <c r="S2207" s="1394">
        <f>IFERROR(VLOOKUP(M2207,#REF!,6,0),0)</f>
        <v>0</v>
      </c>
      <c r="T2207" s="1394">
        <f t="shared" si="603"/>
        <v>0</v>
      </c>
      <c r="U2207" s="1394">
        <f>IFERROR(VLOOKUP(M2207,#REF!,5,0),0)</f>
        <v>0</v>
      </c>
      <c r="V2207" s="1394">
        <f t="shared" si="604"/>
        <v>0</v>
      </c>
      <c r="W2207" s="1394"/>
    </row>
    <row r="2208" spans="1:24" s="1506" customFormat="1" ht="30" customHeight="1">
      <c r="B2208" s="1507"/>
      <c r="C2208" s="1497" t="s">
        <v>5803</v>
      </c>
      <c r="D2208" s="99">
        <v>1</v>
      </c>
      <c r="E2208" s="99">
        <v>1</v>
      </c>
      <c r="F2208" s="1495">
        <v>3.1150000000000002</v>
      </c>
      <c r="G2208" s="1495">
        <v>5.0999999999999996</v>
      </c>
      <c r="H2208" s="69"/>
      <c r="I2208" s="1508">
        <f t="shared" ref="I2208" si="614">ROUND((PRODUCT(D2208:H2208)),2)</f>
        <v>15.89</v>
      </c>
      <c r="M2208" s="1509"/>
      <c r="Q2208" s="1394">
        <f>IFERROR(VLOOKUP(M2208,#REF!,3,0),0)</f>
        <v>0</v>
      </c>
      <c r="R2208" s="1394">
        <f t="shared" si="602"/>
        <v>0</v>
      </c>
      <c r="S2208" s="1394">
        <f>IFERROR(VLOOKUP(M2208,#REF!,6,0),0)</f>
        <v>0</v>
      </c>
      <c r="T2208" s="1394">
        <f t="shared" si="603"/>
        <v>0</v>
      </c>
      <c r="U2208" s="1394">
        <f>IFERROR(VLOOKUP(M2208,#REF!,5,0),0)</f>
        <v>0</v>
      </c>
      <c r="V2208" s="1394">
        <f t="shared" si="604"/>
        <v>0</v>
      </c>
      <c r="W2208" s="1394"/>
    </row>
    <row r="2209" spans="2:23" s="1506" customFormat="1" ht="30" customHeight="1">
      <c r="B2209" s="1507"/>
      <c r="C2209" s="1497" t="s">
        <v>5804</v>
      </c>
      <c r="D2209" s="99">
        <v>1</v>
      </c>
      <c r="E2209" s="99">
        <v>1</v>
      </c>
      <c r="F2209" s="1495">
        <v>4</v>
      </c>
      <c r="G2209" s="1495">
        <v>3.9</v>
      </c>
      <c r="H2209" s="69"/>
      <c r="I2209" s="1508">
        <f t="shared" ref="I2209:I2210" si="615">ROUND((PRODUCT(D2209:H2209)),2)</f>
        <v>15.6</v>
      </c>
      <c r="M2209" s="1509"/>
      <c r="Q2209" s="1394">
        <f>IFERROR(VLOOKUP(M2209,#REF!,3,0),0)</f>
        <v>0</v>
      </c>
      <c r="R2209" s="1394">
        <f t="shared" si="602"/>
        <v>0</v>
      </c>
      <c r="S2209" s="1394">
        <f>IFERROR(VLOOKUP(M2209,#REF!,6,0),0)</f>
        <v>0</v>
      </c>
      <c r="T2209" s="1394">
        <f t="shared" si="603"/>
        <v>0</v>
      </c>
      <c r="U2209" s="1394">
        <f>IFERROR(VLOOKUP(M2209,#REF!,5,0),0)</f>
        <v>0</v>
      </c>
      <c r="V2209" s="1394">
        <f t="shared" si="604"/>
        <v>0</v>
      </c>
      <c r="W2209" s="1394"/>
    </row>
    <row r="2210" spans="2:23" s="1506" customFormat="1" ht="30" customHeight="1">
      <c r="B2210" s="1507"/>
      <c r="C2210" s="1497" t="s">
        <v>5805</v>
      </c>
      <c r="D2210" s="99">
        <v>1</v>
      </c>
      <c r="E2210" s="99">
        <v>1</v>
      </c>
      <c r="F2210" s="1495">
        <v>1.5</v>
      </c>
      <c r="G2210" s="1495">
        <v>1</v>
      </c>
      <c r="H2210" s="69"/>
      <c r="I2210" s="1508">
        <f t="shared" si="615"/>
        <v>1.5</v>
      </c>
      <c r="M2210" s="1509"/>
      <c r="Q2210" s="1394">
        <f>IFERROR(VLOOKUP(M2210,#REF!,3,0),0)</f>
        <v>0</v>
      </c>
      <c r="R2210" s="1394">
        <f t="shared" si="602"/>
        <v>0</v>
      </c>
      <c r="S2210" s="1394">
        <f>IFERROR(VLOOKUP(M2210,#REF!,6,0),0)</f>
        <v>0</v>
      </c>
      <c r="T2210" s="1394">
        <f t="shared" si="603"/>
        <v>0</v>
      </c>
      <c r="U2210" s="1394">
        <f>IFERROR(VLOOKUP(M2210,#REF!,5,0),0)</f>
        <v>0</v>
      </c>
      <c r="V2210" s="1394">
        <f t="shared" si="604"/>
        <v>0</v>
      </c>
      <c r="W2210" s="1394"/>
    </row>
    <row r="2211" spans="2:23" s="1506" customFormat="1" ht="30" customHeight="1">
      <c r="B2211" s="1507"/>
      <c r="C2211" s="1497" t="s">
        <v>5785</v>
      </c>
      <c r="D2211" s="99">
        <v>1</v>
      </c>
      <c r="E2211" s="99">
        <v>1</v>
      </c>
      <c r="F2211" s="1495">
        <v>3.34</v>
      </c>
      <c r="G2211" s="1495">
        <v>3.9</v>
      </c>
      <c r="H2211" s="69"/>
      <c r="I2211" s="1508">
        <f t="shared" ref="I2211:I2212" si="616">ROUND((PRODUCT(D2211:H2211)),2)</f>
        <v>13.03</v>
      </c>
      <c r="M2211" s="1509"/>
      <c r="Q2211" s="1394">
        <f>IFERROR(VLOOKUP(M2211,#REF!,3,0),0)</f>
        <v>0</v>
      </c>
      <c r="R2211" s="1394">
        <f t="shared" si="602"/>
        <v>0</v>
      </c>
      <c r="S2211" s="1394">
        <f>IFERROR(VLOOKUP(M2211,#REF!,6,0),0)</f>
        <v>0</v>
      </c>
      <c r="T2211" s="1394">
        <f t="shared" si="603"/>
        <v>0</v>
      </c>
      <c r="U2211" s="1394">
        <f>IFERROR(VLOOKUP(M2211,#REF!,5,0),0)</f>
        <v>0</v>
      </c>
      <c r="V2211" s="1394">
        <f t="shared" si="604"/>
        <v>0</v>
      </c>
      <c r="W2211" s="1394"/>
    </row>
    <row r="2212" spans="2:23" s="1506" customFormat="1" ht="30" customHeight="1">
      <c r="B2212" s="1507"/>
      <c r="C2212" s="1497" t="s">
        <v>5806</v>
      </c>
      <c r="D2212" s="99">
        <v>1</v>
      </c>
      <c r="E2212" s="99">
        <v>1</v>
      </c>
      <c r="F2212" s="1495">
        <v>0.6</v>
      </c>
      <c r="G2212" s="1495">
        <v>3.9</v>
      </c>
      <c r="H2212" s="69"/>
      <c r="I2212" s="1508">
        <f t="shared" si="616"/>
        <v>2.34</v>
      </c>
      <c r="M2212" s="1509"/>
      <c r="Q2212" s="1394">
        <f>IFERROR(VLOOKUP(M2212,#REF!,3,0),0)</f>
        <v>0</v>
      </c>
      <c r="R2212" s="1394">
        <f t="shared" si="602"/>
        <v>0</v>
      </c>
      <c r="S2212" s="1394">
        <f>IFERROR(VLOOKUP(M2212,#REF!,6,0),0)</f>
        <v>0</v>
      </c>
      <c r="T2212" s="1394">
        <f t="shared" si="603"/>
        <v>0</v>
      </c>
      <c r="U2212" s="1394">
        <f>IFERROR(VLOOKUP(M2212,#REF!,5,0),0)</f>
        <v>0</v>
      </c>
      <c r="V2212" s="1394">
        <f t="shared" si="604"/>
        <v>0</v>
      </c>
      <c r="W2212" s="1394"/>
    </row>
    <row r="2213" spans="2:23" s="1506" customFormat="1" ht="30" customHeight="1">
      <c r="B2213" s="1507"/>
      <c r="C2213" s="1497" t="s">
        <v>5611</v>
      </c>
      <c r="D2213" s="99">
        <v>1</v>
      </c>
      <c r="E2213" s="99">
        <v>1</v>
      </c>
      <c r="F2213" s="1495">
        <v>2.5</v>
      </c>
      <c r="G2213" s="1495">
        <v>4.0149999999999997</v>
      </c>
      <c r="H2213" s="69"/>
      <c r="I2213" s="1508">
        <f t="shared" ref="I2213" si="617">ROUND((PRODUCT(D2213:H2213)),2)</f>
        <v>10.039999999999999</v>
      </c>
      <c r="M2213" s="1509"/>
      <c r="Q2213" s="1394">
        <f>IFERROR(VLOOKUP(M2213,#REF!,3,0),0)</f>
        <v>0</v>
      </c>
      <c r="R2213" s="1394">
        <f t="shared" si="602"/>
        <v>0</v>
      </c>
      <c r="S2213" s="1394">
        <f>IFERROR(VLOOKUP(M2213,#REF!,6,0),0)</f>
        <v>0</v>
      </c>
      <c r="T2213" s="1394">
        <f t="shared" si="603"/>
        <v>0</v>
      </c>
      <c r="U2213" s="1394">
        <f>IFERROR(VLOOKUP(M2213,#REF!,5,0),0)</f>
        <v>0</v>
      </c>
      <c r="V2213" s="1394">
        <f t="shared" si="604"/>
        <v>0</v>
      </c>
      <c r="W2213" s="1394"/>
    </row>
    <row r="2214" spans="2:23" s="1506" customFormat="1" ht="30" customHeight="1">
      <c r="B2214" s="1507"/>
      <c r="C2214" s="1497" t="s">
        <v>5743</v>
      </c>
      <c r="D2214" s="99">
        <v>1</v>
      </c>
      <c r="E2214" s="99">
        <v>1</v>
      </c>
      <c r="F2214" s="1495">
        <v>1.7350000000000001</v>
      </c>
      <c r="G2214" s="1495">
        <v>2.3199999999999998</v>
      </c>
      <c r="H2214" s="69"/>
      <c r="I2214" s="1508">
        <f t="shared" ref="I2214" si="618">ROUND((PRODUCT(D2214:H2214)),2)</f>
        <v>4.03</v>
      </c>
      <c r="M2214" s="1509"/>
      <c r="Q2214" s="1394">
        <f>IFERROR(VLOOKUP(M2214,#REF!,3,0),0)</f>
        <v>0</v>
      </c>
      <c r="R2214" s="1394">
        <f t="shared" si="602"/>
        <v>0</v>
      </c>
      <c r="S2214" s="1394">
        <f>IFERROR(VLOOKUP(M2214,#REF!,6,0),0)</f>
        <v>0</v>
      </c>
      <c r="T2214" s="1394">
        <f t="shared" si="603"/>
        <v>0</v>
      </c>
      <c r="U2214" s="1394">
        <f>IFERROR(VLOOKUP(M2214,#REF!,5,0),0)</f>
        <v>0</v>
      </c>
      <c r="V2214" s="1394">
        <f t="shared" si="604"/>
        <v>0</v>
      </c>
      <c r="W2214" s="1394"/>
    </row>
    <row r="2215" spans="2:23" s="1506" customFormat="1" ht="30" customHeight="1">
      <c r="B2215" s="1507"/>
      <c r="C2215" s="1497" t="s">
        <v>5744</v>
      </c>
      <c r="D2215" s="99">
        <v>1</v>
      </c>
      <c r="E2215" s="99">
        <v>1</v>
      </c>
      <c r="F2215" s="1495">
        <v>3.7650000000000001</v>
      </c>
      <c r="G2215" s="1495">
        <v>2.4350000000000001</v>
      </c>
      <c r="H2215" s="69"/>
      <c r="I2215" s="1508">
        <f t="shared" ref="I2215" si="619">ROUND((PRODUCT(D2215:H2215)),2)</f>
        <v>9.17</v>
      </c>
      <c r="M2215" s="1509"/>
      <c r="Q2215" s="1394">
        <f>IFERROR(VLOOKUP(M2215,#REF!,3,0),0)</f>
        <v>0</v>
      </c>
      <c r="R2215" s="1394">
        <f t="shared" si="602"/>
        <v>0</v>
      </c>
      <c r="S2215" s="1394">
        <f>IFERROR(VLOOKUP(M2215,#REF!,6,0),0)</f>
        <v>0</v>
      </c>
      <c r="T2215" s="1394">
        <f t="shared" si="603"/>
        <v>0</v>
      </c>
      <c r="U2215" s="1394">
        <f>IFERROR(VLOOKUP(M2215,#REF!,5,0),0)</f>
        <v>0</v>
      </c>
      <c r="V2215" s="1394">
        <f t="shared" si="604"/>
        <v>0</v>
      </c>
      <c r="W2215" s="1394"/>
    </row>
    <row r="2216" spans="2:23" s="1506" customFormat="1" ht="30" customHeight="1">
      <c r="B2216" s="1507"/>
      <c r="C2216" s="1497" t="s">
        <v>5807</v>
      </c>
      <c r="D2216" s="99">
        <v>1</v>
      </c>
      <c r="E2216" s="99">
        <v>1</v>
      </c>
      <c r="F2216" s="1495">
        <v>3.9649999999999999</v>
      </c>
      <c r="G2216" s="1495">
        <f>1.35+0.23</f>
        <v>1.58</v>
      </c>
      <c r="H2216" s="69"/>
      <c r="I2216" s="1508">
        <f t="shared" ref="I2216:I2229" si="620">ROUND((PRODUCT(D2216:H2216)),2)</f>
        <v>6.26</v>
      </c>
      <c r="M2216" s="1509"/>
      <c r="Q2216" s="1394">
        <f>IFERROR(VLOOKUP(M2216,#REF!,3,0),0)</f>
        <v>0</v>
      </c>
      <c r="R2216" s="1394">
        <f t="shared" si="602"/>
        <v>0</v>
      </c>
      <c r="S2216" s="1394">
        <f>IFERROR(VLOOKUP(M2216,#REF!,6,0),0)</f>
        <v>0</v>
      </c>
      <c r="T2216" s="1394">
        <f t="shared" si="603"/>
        <v>0</v>
      </c>
      <c r="U2216" s="1394">
        <f>IFERROR(VLOOKUP(M2216,#REF!,5,0),0)</f>
        <v>0</v>
      </c>
      <c r="V2216" s="1394">
        <f t="shared" si="604"/>
        <v>0</v>
      </c>
      <c r="W2216" s="1394"/>
    </row>
    <row r="2217" spans="2:23" s="1506" customFormat="1" ht="30" customHeight="1">
      <c r="B2217" s="1507"/>
      <c r="C2217" s="1494" t="s">
        <v>260</v>
      </c>
      <c r="D2217" s="99"/>
      <c r="E2217" s="99"/>
      <c r="F2217" s="1495"/>
      <c r="G2217" s="1495"/>
      <c r="H2217" s="69"/>
      <c r="I2217" s="1508">
        <f t="shared" si="620"/>
        <v>0</v>
      </c>
      <c r="M2217" s="1509"/>
      <c r="Q2217" s="1394">
        <f>IFERROR(VLOOKUP(M2217,#REF!,3,0),0)</f>
        <v>0</v>
      </c>
      <c r="R2217" s="1394">
        <f t="shared" si="602"/>
        <v>0</v>
      </c>
      <c r="S2217" s="1394">
        <f>IFERROR(VLOOKUP(M2217,#REF!,6,0),0)</f>
        <v>0</v>
      </c>
      <c r="T2217" s="1394">
        <f t="shared" si="603"/>
        <v>0</v>
      </c>
      <c r="U2217" s="1394">
        <f>IFERROR(VLOOKUP(M2217,#REF!,5,0),0)</f>
        <v>0</v>
      </c>
      <c r="V2217" s="1394">
        <f t="shared" si="604"/>
        <v>0</v>
      </c>
      <c r="W2217" s="1394"/>
    </row>
    <row r="2218" spans="2:23" s="1506" customFormat="1" ht="30" customHeight="1">
      <c r="B2218" s="1507"/>
      <c r="C2218" s="1497" t="s">
        <v>5801</v>
      </c>
      <c r="D2218" s="99">
        <v>1</v>
      </c>
      <c r="E2218" s="99">
        <v>1</v>
      </c>
      <c r="F2218" s="1495">
        <v>4.3250000000000002</v>
      </c>
      <c r="G2218" s="1495">
        <v>2.4430000000000001</v>
      </c>
      <c r="H2218" s="69"/>
      <c r="I2218" s="1508">
        <f t="shared" si="620"/>
        <v>10.57</v>
      </c>
      <c r="M2218" s="1509"/>
      <c r="Q2218" s="1394">
        <f>IFERROR(VLOOKUP(M2218,#REF!,3,0),0)</f>
        <v>0</v>
      </c>
      <c r="R2218" s="1394">
        <f t="shared" si="602"/>
        <v>0</v>
      </c>
      <c r="S2218" s="1394">
        <f>IFERROR(VLOOKUP(M2218,#REF!,6,0),0)</f>
        <v>0</v>
      </c>
      <c r="T2218" s="1394">
        <f t="shared" si="603"/>
        <v>0</v>
      </c>
      <c r="U2218" s="1394">
        <f>IFERROR(VLOOKUP(M2218,#REF!,5,0),0)</f>
        <v>0</v>
      </c>
      <c r="V2218" s="1394">
        <f t="shared" si="604"/>
        <v>0</v>
      </c>
      <c r="W2218" s="1394"/>
    </row>
    <row r="2219" spans="2:23" s="1506" customFormat="1" ht="30" customHeight="1">
      <c r="B2219" s="1507"/>
      <c r="C2219" s="1497" t="s">
        <v>5801</v>
      </c>
      <c r="D2219" s="99">
        <v>1</v>
      </c>
      <c r="E2219" s="99">
        <v>1</v>
      </c>
      <c r="F2219" s="1495">
        <v>2.4550000000000001</v>
      </c>
      <c r="G2219" s="1495">
        <v>2.8570000000000002</v>
      </c>
      <c r="H2219" s="69"/>
      <c r="I2219" s="1508">
        <f t="shared" si="620"/>
        <v>7.01</v>
      </c>
      <c r="M2219" s="1509"/>
      <c r="Q2219" s="1394">
        <f>IFERROR(VLOOKUP(M2219,#REF!,3,0),0)</f>
        <v>0</v>
      </c>
      <c r="R2219" s="1394">
        <f t="shared" si="602"/>
        <v>0</v>
      </c>
      <c r="S2219" s="1394">
        <f>IFERROR(VLOOKUP(M2219,#REF!,6,0),0)</f>
        <v>0</v>
      </c>
      <c r="T2219" s="1394">
        <f t="shared" si="603"/>
        <v>0</v>
      </c>
      <c r="U2219" s="1394">
        <f>IFERROR(VLOOKUP(M2219,#REF!,5,0),0)</f>
        <v>0</v>
      </c>
      <c r="V2219" s="1394">
        <f t="shared" si="604"/>
        <v>0</v>
      </c>
      <c r="W2219" s="1394"/>
    </row>
    <row r="2220" spans="2:23" s="1506" customFormat="1" ht="30" customHeight="1">
      <c r="B2220" s="1507"/>
      <c r="C2220" s="1497" t="s">
        <v>5628</v>
      </c>
      <c r="D2220" s="99">
        <v>1</v>
      </c>
      <c r="E2220" s="99">
        <v>1</v>
      </c>
      <c r="F2220" s="1495">
        <v>4</v>
      </c>
      <c r="G2220" s="1495">
        <v>5.0999999999999996</v>
      </c>
      <c r="H2220" s="69"/>
      <c r="I2220" s="1508">
        <f t="shared" si="620"/>
        <v>20.399999999999999</v>
      </c>
      <c r="M2220" s="1509"/>
      <c r="Q2220" s="1394">
        <f>IFERROR(VLOOKUP(M2220,#REF!,3,0),0)</f>
        <v>0</v>
      </c>
      <c r="R2220" s="1394">
        <f t="shared" si="602"/>
        <v>0</v>
      </c>
      <c r="S2220" s="1394">
        <f>IFERROR(VLOOKUP(M2220,#REF!,6,0),0)</f>
        <v>0</v>
      </c>
      <c r="T2220" s="1394">
        <f t="shared" si="603"/>
        <v>0</v>
      </c>
      <c r="U2220" s="1394">
        <f>IFERROR(VLOOKUP(M2220,#REF!,5,0),0)</f>
        <v>0</v>
      </c>
      <c r="V2220" s="1394">
        <f t="shared" si="604"/>
        <v>0</v>
      </c>
      <c r="W2220" s="1394"/>
    </row>
    <row r="2221" spans="2:23" s="1506" customFormat="1" ht="30" customHeight="1">
      <c r="B2221" s="1507"/>
      <c r="C2221" s="1497" t="s">
        <v>5810</v>
      </c>
      <c r="D2221" s="99">
        <v>1</v>
      </c>
      <c r="E2221" s="99">
        <v>1</v>
      </c>
      <c r="F2221" s="1495">
        <v>1.23</v>
      </c>
      <c r="G2221" s="1495">
        <v>1.73</v>
      </c>
      <c r="H2221" s="69"/>
      <c r="I2221" s="1508">
        <f t="shared" si="620"/>
        <v>2.13</v>
      </c>
      <c r="M2221" s="1509"/>
      <c r="Q2221" s="1394">
        <f>IFERROR(VLOOKUP(M2221,#REF!,3,0),0)</f>
        <v>0</v>
      </c>
      <c r="R2221" s="1394">
        <f t="shared" si="602"/>
        <v>0</v>
      </c>
      <c r="S2221" s="1394">
        <f>IFERROR(VLOOKUP(M2221,#REF!,6,0),0)</f>
        <v>0</v>
      </c>
      <c r="T2221" s="1394">
        <f t="shared" si="603"/>
        <v>0</v>
      </c>
      <c r="U2221" s="1394">
        <f>IFERROR(VLOOKUP(M2221,#REF!,5,0),0)</f>
        <v>0</v>
      </c>
      <c r="V2221" s="1394">
        <f t="shared" si="604"/>
        <v>0</v>
      </c>
      <c r="W2221" s="1394"/>
    </row>
    <row r="2222" spans="2:23" s="1506" customFormat="1" ht="30" customHeight="1">
      <c r="B2222" s="1507"/>
      <c r="C2222" s="1497" t="s">
        <v>5811</v>
      </c>
      <c r="D2222" s="99">
        <v>1</v>
      </c>
      <c r="E2222" s="99">
        <v>1</v>
      </c>
      <c r="F2222" s="1495">
        <v>4</v>
      </c>
      <c r="G2222" s="1495">
        <v>5.0999999999999996</v>
      </c>
      <c r="H2222" s="69"/>
      <c r="I2222" s="1508">
        <f t="shared" si="620"/>
        <v>20.399999999999999</v>
      </c>
      <c r="M2222" s="1509"/>
      <c r="Q2222" s="1394">
        <f>IFERROR(VLOOKUP(M2222,#REF!,3,0),0)</f>
        <v>0</v>
      </c>
      <c r="R2222" s="1394">
        <f t="shared" ref="R2222:R2285" si="621">ROUND(O2222,2)*ROUND(Q2222,2)</f>
        <v>0</v>
      </c>
      <c r="S2222" s="1394">
        <f>IFERROR(VLOOKUP(M2222,#REF!,6,0),0)</f>
        <v>0</v>
      </c>
      <c r="T2222" s="1394">
        <f t="shared" si="603"/>
        <v>0</v>
      </c>
      <c r="U2222" s="1394">
        <f>IFERROR(VLOOKUP(M2222,#REF!,5,0),0)</f>
        <v>0</v>
      </c>
      <c r="V2222" s="1394">
        <f t="shared" si="604"/>
        <v>0</v>
      </c>
      <c r="W2222" s="1394"/>
    </row>
    <row r="2223" spans="2:23" s="1506" customFormat="1" ht="30" customHeight="1">
      <c r="B2223" s="1507"/>
      <c r="C2223" s="1497" t="s">
        <v>5812</v>
      </c>
      <c r="D2223" s="99">
        <v>1</v>
      </c>
      <c r="E2223" s="99">
        <v>1</v>
      </c>
      <c r="F2223" s="1495">
        <v>1.23</v>
      </c>
      <c r="G2223" s="1495">
        <v>1.73</v>
      </c>
      <c r="H2223" s="69"/>
      <c r="I2223" s="1508">
        <f t="shared" si="620"/>
        <v>2.13</v>
      </c>
      <c r="M2223" s="1509"/>
      <c r="Q2223" s="1394">
        <f>IFERROR(VLOOKUP(M2223,#REF!,3,0),0)</f>
        <v>0</v>
      </c>
      <c r="R2223" s="1394">
        <f t="shared" si="621"/>
        <v>0</v>
      </c>
      <c r="S2223" s="1394">
        <f>IFERROR(VLOOKUP(M2223,#REF!,6,0),0)</f>
        <v>0</v>
      </c>
      <c r="T2223" s="1394">
        <f t="shared" si="603"/>
        <v>0</v>
      </c>
      <c r="U2223" s="1394">
        <f>IFERROR(VLOOKUP(M2223,#REF!,5,0),0)</f>
        <v>0</v>
      </c>
      <c r="V2223" s="1394">
        <f t="shared" si="604"/>
        <v>0</v>
      </c>
      <c r="W2223" s="1394"/>
    </row>
    <row r="2224" spans="2:23" s="1506" customFormat="1" ht="30" customHeight="1">
      <c r="B2224" s="1507"/>
      <c r="C2224" s="1497" t="s">
        <v>5803</v>
      </c>
      <c r="D2224" s="99">
        <v>1</v>
      </c>
      <c r="E2224" s="99">
        <v>1</v>
      </c>
      <c r="F2224" s="1495">
        <v>3.1150000000000002</v>
      </c>
      <c r="G2224" s="1495">
        <v>5.0999999999999996</v>
      </c>
      <c r="H2224" s="69"/>
      <c r="I2224" s="1508">
        <f t="shared" si="620"/>
        <v>15.89</v>
      </c>
      <c r="M2224" s="1509"/>
      <c r="Q2224" s="1394">
        <f>IFERROR(VLOOKUP(M2224,#REF!,3,0),0)</f>
        <v>0</v>
      </c>
      <c r="R2224" s="1394">
        <f t="shared" si="621"/>
        <v>0</v>
      </c>
      <c r="S2224" s="1394">
        <f>IFERROR(VLOOKUP(M2224,#REF!,6,0),0)</f>
        <v>0</v>
      </c>
      <c r="T2224" s="1394">
        <f t="shared" si="603"/>
        <v>0</v>
      </c>
      <c r="U2224" s="1394">
        <f>IFERROR(VLOOKUP(M2224,#REF!,5,0),0)</f>
        <v>0</v>
      </c>
      <c r="V2224" s="1394">
        <f t="shared" si="604"/>
        <v>0</v>
      </c>
      <c r="W2224" s="1394"/>
    </row>
    <row r="2225" spans="2:23" s="1506" customFormat="1" ht="30" customHeight="1">
      <c r="B2225" s="1507"/>
      <c r="C2225" s="1497" t="s">
        <v>5674</v>
      </c>
      <c r="D2225" s="99">
        <v>1</v>
      </c>
      <c r="E2225" s="99">
        <v>1</v>
      </c>
      <c r="F2225" s="1495">
        <v>4.1150000000000002</v>
      </c>
      <c r="G2225" s="1495">
        <v>3.9</v>
      </c>
      <c r="H2225" s="69"/>
      <c r="I2225" s="1508">
        <f t="shared" si="620"/>
        <v>16.05</v>
      </c>
      <c r="M2225" s="1509"/>
      <c r="Q2225" s="1394">
        <f>IFERROR(VLOOKUP(M2225,#REF!,3,0),0)</f>
        <v>0</v>
      </c>
      <c r="R2225" s="1394">
        <f t="shared" si="621"/>
        <v>0</v>
      </c>
      <c r="S2225" s="1394">
        <f>IFERROR(VLOOKUP(M2225,#REF!,6,0),0)</f>
        <v>0</v>
      </c>
      <c r="T2225" s="1394">
        <f t="shared" si="603"/>
        <v>0</v>
      </c>
      <c r="U2225" s="1394">
        <f>IFERROR(VLOOKUP(M2225,#REF!,5,0),0)</f>
        <v>0</v>
      </c>
      <c r="V2225" s="1394">
        <f t="shared" si="604"/>
        <v>0</v>
      </c>
      <c r="W2225" s="1394"/>
    </row>
    <row r="2226" spans="2:23" s="1506" customFormat="1" ht="30" customHeight="1">
      <c r="B2226" s="1507"/>
      <c r="C2226" s="1497" t="s">
        <v>5813</v>
      </c>
      <c r="D2226" s="99">
        <v>1</v>
      </c>
      <c r="E2226" s="99">
        <v>1</v>
      </c>
      <c r="F2226" s="1495">
        <v>1.5</v>
      </c>
      <c r="G2226" s="1495">
        <v>1</v>
      </c>
      <c r="H2226" s="69"/>
      <c r="I2226" s="1508">
        <f t="shared" si="620"/>
        <v>1.5</v>
      </c>
      <c r="M2226" s="1509"/>
      <c r="Q2226" s="1394">
        <f>IFERROR(VLOOKUP(M2226,#REF!,3,0),0)</f>
        <v>0</v>
      </c>
      <c r="R2226" s="1394">
        <f t="shared" si="621"/>
        <v>0</v>
      </c>
      <c r="S2226" s="1394">
        <f>IFERROR(VLOOKUP(M2226,#REF!,6,0),0)</f>
        <v>0</v>
      </c>
      <c r="T2226" s="1394">
        <f t="shared" si="603"/>
        <v>0</v>
      </c>
      <c r="U2226" s="1394">
        <f>IFERROR(VLOOKUP(M2226,#REF!,5,0),0)</f>
        <v>0</v>
      </c>
      <c r="V2226" s="1394">
        <f t="shared" si="604"/>
        <v>0</v>
      </c>
      <c r="W2226" s="1394"/>
    </row>
    <row r="2227" spans="2:23" s="1506" customFormat="1" ht="30" customHeight="1">
      <c r="B2227" s="1507"/>
      <c r="C2227" s="1497" t="s">
        <v>5814</v>
      </c>
      <c r="D2227" s="99">
        <v>1</v>
      </c>
      <c r="E2227" s="99">
        <v>1</v>
      </c>
      <c r="F2227" s="1495">
        <v>6.54</v>
      </c>
      <c r="G2227" s="1495">
        <v>3.9</v>
      </c>
      <c r="H2227" s="69"/>
      <c r="I2227" s="1508">
        <f t="shared" si="620"/>
        <v>25.51</v>
      </c>
      <c r="M2227" s="1509"/>
      <c r="Q2227" s="1394">
        <f>IFERROR(VLOOKUP(M2227,#REF!,3,0),0)</f>
        <v>0</v>
      </c>
      <c r="R2227" s="1394">
        <f t="shared" si="621"/>
        <v>0</v>
      </c>
      <c r="S2227" s="1394">
        <f>IFERROR(VLOOKUP(M2227,#REF!,6,0),0)</f>
        <v>0</v>
      </c>
      <c r="T2227" s="1394">
        <f t="shared" si="603"/>
        <v>0</v>
      </c>
      <c r="U2227" s="1394">
        <f>IFERROR(VLOOKUP(M2227,#REF!,5,0),0)</f>
        <v>0</v>
      </c>
      <c r="V2227" s="1394">
        <f t="shared" si="604"/>
        <v>0</v>
      </c>
      <c r="W2227" s="1394"/>
    </row>
    <row r="2228" spans="2:23" s="1506" customFormat="1" ht="30" customHeight="1">
      <c r="B2228" s="1507"/>
      <c r="C2228" s="1497" t="s">
        <v>5678</v>
      </c>
      <c r="D2228" s="99">
        <v>1</v>
      </c>
      <c r="E2228" s="99">
        <v>1</v>
      </c>
      <c r="F2228" s="1495">
        <v>1.9650000000000001</v>
      </c>
      <c r="G2228" s="1495">
        <v>2.3199999999999998</v>
      </c>
      <c r="H2228" s="69"/>
      <c r="I2228" s="1508">
        <f t="shared" si="620"/>
        <v>4.5599999999999996</v>
      </c>
      <c r="M2228" s="1509"/>
      <c r="Q2228" s="1394">
        <f>IFERROR(VLOOKUP(M2228,#REF!,3,0),0)</f>
        <v>0</v>
      </c>
      <c r="R2228" s="1394">
        <f t="shared" si="621"/>
        <v>0</v>
      </c>
      <c r="S2228" s="1394">
        <f>IFERROR(VLOOKUP(M2228,#REF!,6,0),0)</f>
        <v>0</v>
      </c>
      <c r="T2228" s="1394">
        <f t="shared" si="603"/>
        <v>0</v>
      </c>
      <c r="U2228" s="1394">
        <f>IFERROR(VLOOKUP(M2228,#REF!,5,0),0)</f>
        <v>0</v>
      </c>
      <c r="V2228" s="1394">
        <f t="shared" si="604"/>
        <v>0</v>
      </c>
      <c r="W2228" s="1394"/>
    </row>
    <row r="2229" spans="2:23" s="1506" customFormat="1" ht="30" customHeight="1">
      <c r="B2229" s="1507"/>
      <c r="C2229" s="1497" t="s">
        <v>5787</v>
      </c>
      <c r="D2229" s="99">
        <v>1</v>
      </c>
      <c r="E2229" s="99">
        <v>1</v>
      </c>
      <c r="F2229" s="1495">
        <v>3.7650000000000001</v>
      </c>
      <c r="G2229" s="1495">
        <v>2.4350000000000001</v>
      </c>
      <c r="H2229" s="69"/>
      <c r="I2229" s="1508">
        <f t="shared" si="620"/>
        <v>9.17</v>
      </c>
      <c r="M2229" s="1509"/>
      <c r="Q2229" s="1394">
        <f>IFERROR(VLOOKUP(M2229,#REF!,3,0),0)</f>
        <v>0</v>
      </c>
      <c r="R2229" s="1394">
        <f t="shared" si="621"/>
        <v>0</v>
      </c>
      <c r="S2229" s="1394">
        <f>IFERROR(VLOOKUP(M2229,#REF!,6,0),0)</f>
        <v>0</v>
      </c>
      <c r="T2229" s="1394">
        <f t="shared" si="603"/>
        <v>0</v>
      </c>
      <c r="U2229" s="1394">
        <f>IFERROR(VLOOKUP(M2229,#REF!,5,0),0)</f>
        <v>0</v>
      </c>
      <c r="V2229" s="1394">
        <f t="shared" si="604"/>
        <v>0</v>
      </c>
      <c r="W2229" s="1394"/>
    </row>
    <row r="2230" spans="2:23" s="1506" customFormat="1" ht="30" customHeight="1">
      <c r="B2230" s="1507"/>
      <c r="C2230" s="1497" t="s">
        <v>5815</v>
      </c>
      <c r="D2230" s="99">
        <v>1</v>
      </c>
      <c r="E2230" s="99">
        <v>1</v>
      </c>
      <c r="F2230" s="1495">
        <v>3.9649999999999999</v>
      </c>
      <c r="G2230" s="1495">
        <f>1.35+0.23</f>
        <v>1.58</v>
      </c>
      <c r="H2230" s="69"/>
      <c r="I2230" s="1508">
        <f t="shared" ref="I2230" si="622">ROUND((PRODUCT(D2230:H2230)),2)</f>
        <v>6.26</v>
      </c>
      <c r="M2230" s="1509"/>
      <c r="Q2230" s="1394">
        <f>IFERROR(VLOOKUP(M2230,#REF!,3,0),0)</f>
        <v>0</v>
      </c>
      <c r="R2230" s="1394">
        <f t="shared" si="621"/>
        <v>0</v>
      </c>
      <c r="S2230" s="1394">
        <f>IFERROR(VLOOKUP(M2230,#REF!,6,0),0)</f>
        <v>0</v>
      </c>
      <c r="T2230" s="1394">
        <f t="shared" si="603"/>
        <v>0</v>
      </c>
      <c r="U2230" s="1394">
        <f>IFERROR(VLOOKUP(M2230,#REF!,5,0),0)</f>
        <v>0</v>
      </c>
      <c r="V2230" s="1394">
        <f t="shared" si="604"/>
        <v>0</v>
      </c>
      <c r="W2230" s="1394"/>
    </row>
    <row r="2231" spans="2:23" s="1506" customFormat="1" ht="30" customHeight="1">
      <c r="B2231" s="1507"/>
      <c r="C2231" s="1494" t="s">
        <v>5816</v>
      </c>
      <c r="D2231" s="99"/>
      <c r="E2231" s="99"/>
      <c r="F2231" s="1495"/>
      <c r="G2231" s="1495"/>
      <c r="H2231" s="69"/>
      <c r="I2231" s="1508">
        <f t="shared" ref="I2231:I2284" si="623">ROUND((PRODUCT(D2231:H2231)),2)</f>
        <v>0</v>
      </c>
      <c r="M2231" s="1509"/>
      <c r="Q2231" s="1394">
        <f>IFERROR(VLOOKUP(M2231,#REF!,3,0),0)</f>
        <v>0</v>
      </c>
      <c r="R2231" s="1394">
        <f t="shared" si="621"/>
        <v>0</v>
      </c>
      <c r="S2231" s="1394">
        <f>IFERROR(VLOOKUP(M2231,#REF!,6,0),0)</f>
        <v>0</v>
      </c>
      <c r="T2231" s="1394">
        <f t="shared" si="603"/>
        <v>0</v>
      </c>
      <c r="U2231" s="1394">
        <f>IFERROR(VLOOKUP(M2231,#REF!,5,0),0)</f>
        <v>0</v>
      </c>
      <c r="V2231" s="1394">
        <f t="shared" si="604"/>
        <v>0</v>
      </c>
      <c r="W2231" s="1394"/>
    </row>
    <row r="2232" spans="2:23" s="1506" customFormat="1" ht="30" customHeight="1">
      <c r="B2232" s="1507"/>
      <c r="C2232" s="1497" t="s">
        <v>5643</v>
      </c>
      <c r="D2232" s="99">
        <v>1</v>
      </c>
      <c r="E2232" s="99">
        <v>1</v>
      </c>
      <c r="F2232" s="1495">
        <v>4</v>
      </c>
      <c r="G2232" s="1495">
        <v>5.0999999999999996</v>
      </c>
      <c r="H2232" s="69"/>
      <c r="I2232" s="1508">
        <f t="shared" si="623"/>
        <v>20.399999999999999</v>
      </c>
      <c r="M2232" s="1509"/>
      <c r="Q2232" s="1394">
        <f>IFERROR(VLOOKUP(M2232,#REF!,3,0),0)</f>
        <v>0</v>
      </c>
      <c r="R2232" s="1394">
        <f t="shared" si="621"/>
        <v>0</v>
      </c>
      <c r="S2232" s="1394">
        <f>IFERROR(VLOOKUP(M2232,#REF!,6,0),0)</f>
        <v>0</v>
      </c>
      <c r="T2232" s="1394">
        <f t="shared" si="603"/>
        <v>0</v>
      </c>
      <c r="U2232" s="1394">
        <f>IFERROR(VLOOKUP(M2232,#REF!,5,0),0)</f>
        <v>0</v>
      </c>
      <c r="V2232" s="1394">
        <f t="shared" si="604"/>
        <v>0</v>
      </c>
      <c r="W2232" s="1394"/>
    </row>
    <row r="2233" spans="2:23" s="1506" customFormat="1" ht="30" customHeight="1">
      <c r="B2233" s="1507"/>
      <c r="C2233" s="1497" t="s">
        <v>5817</v>
      </c>
      <c r="D2233" s="99">
        <v>1</v>
      </c>
      <c r="E2233" s="99">
        <v>1</v>
      </c>
      <c r="F2233" s="1495">
        <v>1.23</v>
      </c>
      <c r="G2233" s="1495">
        <v>1.73</v>
      </c>
      <c r="H2233" s="69"/>
      <c r="I2233" s="1508">
        <f t="shared" si="623"/>
        <v>2.13</v>
      </c>
      <c r="M2233" s="1509"/>
      <c r="Q2233" s="1394">
        <f>IFERROR(VLOOKUP(M2233,#REF!,3,0),0)</f>
        <v>0</v>
      </c>
      <c r="R2233" s="1394">
        <f t="shared" si="621"/>
        <v>0</v>
      </c>
      <c r="S2233" s="1394">
        <f>IFERROR(VLOOKUP(M2233,#REF!,6,0),0)</f>
        <v>0</v>
      </c>
      <c r="T2233" s="1394">
        <f t="shared" si="603"/>
        <v>0</v>
      </c>
      <c r="U2233" s="1394">
        <f>IFERROR(VLOOKUP(M2233,#REF!,5,0),0)</f>
        <v>0</v>
      </c>
      <c r="V2233" s="1394">
        <f t="shared" si="604"/>
        <v>0</v>
      </c>
      <c r="W2233" s="1394"/>
    </row>
    <row r="2234" spans="2:23" s="1506" customFormat="1" ht="30" customHeight="1">
      <c r="B2234" s="1507"/>
      <c r="C2234" s="1497" t="s">
        <v>5818</v>
      </c>
      <c r="D2234" s="99">
        <v>1</v>
      </c>
      <c r="E2234" s="99">
        <v>1</v>
      </c>
      <c r="F2234" s="1495">
        <v>4</v>
      </c>
      <c r="G2234" s="1495">
        <v>5.0999999999999996</v>
      </c>
      <c r="H2234" s="69"/>
      <c r="I2234" s="1508">
        <f t="shared" si="623"/>
        <v>20.399999999999999</v>
      </c>
      <c r="M2234" s="1509"/>
      <c r="Q2234" s="1394">
        <f>IFERROR(VLOOKUP(M2234,#REF!,3,0),0)</f>
        <v>0</v>
      </c>
      <c r="R2234" s="1394">
        <f t="shared" si="621"/>
        <v>0</v>
      </c>
      <c r="S2234" s="1394">
        <f>IFERROR(VLOOKUP(M2234,#REF!,6,0),0)</f>
        <v>0</v>
      </c>
      <c r="T2234" s="1394">
        <f t="shared" si="603"/>
        <v>0</v>
      </c>
      <c r="U2234" s="1394">
        <f>IFERROR(VLOOKUP(M2234,#REF!,5,0),0)</f>
        <v>0</v>
      </c>
      <c r="V2234" s="1394">
        <f t="shared" si="604"/>
        <v>0</v>
      </c>
      <c r="W2234" s="1394"/>
    </row>
    <row r="2235" spans="2:23" s="1506" customFormat="1" ht="30" customHeight="1">
      <c r="B2235" s="1507"/>
      <c r="C2235" s="1497" t="s">
        <v>5819</v>
      </c>
      <c r="D2235" s="99">
        <v>1</v>
      </c>
      <c r="E2235" s="99">
        <v>1</v>
      </c>
      <c r="F2235" s="1495">
        <v>1.23</v>
      </c>
      <c r="G2235" s="1495">
        <v>1.73</v>
      </c>
      <c r="H2235" s="69"/>
      <c r="I2235" s="1508">
        <f t="shared" si="623"/>
        <v>2.13</v>
      </c>
      <c r="M2235" s="1509"/>
      <c r="Q2235" s="1394">
        <f>IFERROR(VLOOKUP(M2235,#REF!,3,0),0)</f>
        <v>0</v>
      </c>
      <c r="R2235" s="1394">
        <f t="shared" si="621"/>
        <v>0</v>
      </c>
      <c r="S2235" s="1394">
        <f>IFERROR(VLOOKUP(M2235,#REF!,6,0),0)</f>
        <v>0</v>
      </c>
      <c r="T2235" s="1394">
        <f t="shared" si="603"/>
        <v>0</v>
      </c>
      <c r="U2235" s="1394">
        <f>IFERROR(VLOOKUP(M2235,#REF!,5,0),0)</f>
        <v>0</v>
      </c>
      <c r="V2235" s="1394">
        <f t="shared" si="604"/>
        <v>0</v>
      </c>
      <c r="W2235" s="1394"/>
    </row>
    <row r="2236" spans="2:23" s="1506" customFormat="1" ht="30" customHeight="1">
      <c r="B2236" s="1507"/>
      <c r="C2236" s="1497" t="s">
        <v>5803</v>
      </c>
      <c r="D2236" s="99">
        <v>1</v>
      </c>
      <c r="E2236" s="99">
        <v>1</v>
      </c>
      <c r="F2236" s="1495">
        <v>3.1150000000000002</v>
      </c>
      <c r="G2236" s="1495">
        <v>5.0999999999999996</v>
      </c>
      <c r="H2236" s="69"/>
      <c r="I2236" s="1508">
        <f t="shared" si="623"/>
        <v>15.89</v>
      </c>
      <c r="M2236" s="1509"/>
      <c r="Q2236" s="1394">
        <f>IFERROR(VLOOKUP(M2236,#REF!,3,0),0)</f>
        <v>0</v>
      </c>
      <c r="R2236" s="1394">
        <f t="shared" si="621"/>
        <v>0</v>
      </c>
      <c r="S2236" s="1394">
        <f>IFERROR(VLOOKUP(M2236,#REF!,6,0),0)</f>
        <v>0</v>
      </c>
      <c r="T2236" s="1394">
        <f t="shared" ref="T2236:T2299" si="624">R2236-S2236</f>
        <v>0</v>
      </c>
      <c r="U2236" s="1394">
        <f>IFERROR(VLOOKUP(M2236,#REF!,5,0),0)</f>
        <v>0</v>
      </c>
      <c r="V2236" s="1394">
        <f t="shared" ref="V2236:V2299" si="625">O2236-U2236</f>
        <v>0</v>
      </c>
      <c r="W2236" s="1394"/>
    </row>
    <row r="2237" spans="2:23" s="1506" customFormat="1" ht="30" customHeight="1">
      <c r="B2237" s="1507"/>
      <c r="C2237" s="1497" t="s">
        <v>341</v>
      </c>
      <c r="D2237" s="99">
        <v>1</v>
      </c>
      <c r="E2237" s="99">
        <v>1</v>
      </c>
      <c r="F2237" s="1495">
        <v>4.1150000000000002</v>
      </c>
      <c r="G2237" s="1495">
        <v>2.5</v>
      </c>
      <c r="H2237" s="69"/>
      <c r="I2237" s="1508">
        <f t="shared" ref="I2237" si="626">ROUND((PRODUCT(D2237:H2237)),2)</f>
        <v>10.29</v>
      </c>
      <c r="M2237" s="1509"/>
      <c r="Q2237" s="1394">
        <f>IFERROR(VLOOKUP(M2237,#REF!,3,0),0)</f>
        <v>0</v>
      </c>
      <c r="R2237" s="1394">
        <f t="shared" si="621"/>
        <v>0</v>
      </c>
      <c r="S2237" s="1394">
        <f>IFERROR(VLOOKUP(M2237,#REF!,6,0),0)</f>
        <v>0</v>
      </c>
      <c r="T2237" s="1394">
        <f t="shared" si="624"/>
        <v>0</v>
      </c>
      <c r="U2237" s="1394">
        <f>IFERROR(VLOOKUP(M2237,#REF!,5,0),0)</f>
        <v>0</v>
      </c>
      <c r="V2237" s="1394">
        <f t="shared" si="625"/>
        <v>0</v>
      </c>
      <c r="W2237" s="1394"/>
    </row>
    <row r="2238" spans="2:23" s="1506" customFormat="1" ht="30" customHeight="1">
      <c r="B2238" s="1507"/>
      <c r="C2238" s="1497" t="s">
        <v>5752</v>
      </c>
      <c r="D2238" s="99">
        <v>1</v>
      </c>
      <c r="E2238" s="99">
        <v>1</v>
      </c>
      <c r="F2238" s="1495">
        <v>9.17</v>
      </c>
      <c r="G2238" s="1495">
        <v>3.9</v>
      </c>
      <c r="H2238" s="69"/>
      <c r="I2238" s="1508">
        <f t="shared" si="623"/>
        <v>35.76</v>
      </c>
      <c r="M2238" s="1509"/>
      <c r="Q2238" s="1394">
        <f>IFERROR(VLOOKUP(M2238,#REF!,3,0),0)</f>
        <v>0</v>
      </c>
      <c r="R2238" s="1394">
        <f t="shared" si="621"/>
        <v>0</v>
      </c>
      <c r="S2238" s="1394">
        <f>IFERROR(VLOOKUP(M2238,#REF!,6,0),0)</f>
        <v>0</v>
      </c>
      <c r="T2238" s="1394">
        <f t="shared" si="624"/>
        <v>0</v>
      </c>
      <c r="U2238" s="1394">
        <f>IFERROR(VLOOKUP(M2238,#REF!,5,0),0)</f>
        <v>0</v>
      </c>
      <c r="V2238" s="1394">
        <f t="shared" si="625"/>
        <v>0</v>
      </c>
      <c r="W2238" s="1394"/>
    </row>
    <row r="2239" spans="2:23" s="1506" customFormat="1" ht="30" customHeight="1">
      <c r="B2239" s="1507"/>
      <c r="C2239" s="1497" t="s">
        <v>5806</v>
      </c>
      <c r="D2239" s="99">
        <v>1</v>
      </c>
      <c r="E2239" s="99">
        <v>1</v>
      </c>
      <c r="F2239" s="1495">
        <v>0.6</v>
      </c>
      <c r="G2239" s="1495">
        <v>3.9</v>
      </c>
      <c r="H2239" s="69"/>
      <c r="I2239" s="1508">
        <f t="shared" ref="I2239" si="627">ROUND((PRODUCT(D2239:H2239)),2)</f>
        <v>2.34</v>
      </c>
      <c r="M2239" s="1509"/>
      <c r="Q2239" s="1394">
        <f>IFERROR(VLOOKUP(M2239,#REF!,3,0),0)</f>
        <v>0</v>
      </c>
      <c r="R2239" s="1394">
        <f t="shared" si="621"/>
        <v>0</v>
      </c>
      <c r="S2239" s="1394">
        <f>IFERROR(VLOOKUP(M2239,#REF!,6,0),0)</f>
        <v>0</v>
      </c>
      <c r="T2239" s="1394">
        <f t="shared" si="624"/>
        <v>0</v>
      </c>
      <c r="U2239" s="1394">
        <f>IFERROR(VLOOKUP(M2239,#REF!,5,0),0)</f>
        <v>0</v>
      </c>
      <c r="V2239" s="1394">
        <f t="shared" si="625"/>
        <v>0</v>
      </c>
      <c r="W2239" s="1394"/>
    </row>
    <row r="2240" spans="2:23" s="1506" customFormat="1" ht="30" customHeight="1">
      <c r="B2240" s="1507"/>
      <c r="C2240" s="1497" t="s">
        <v>5643</v>
      </c>
      <c r="D2240" s="99">
        <v>1</v>
      </c>
      <c r="E2240" s="99">
        <v>1</v>
      </c>
      <c r="F2240" s="1495">
        <v>3.86</v>
      </c>
      <c r="G2240" s="1495">
        <v>3.9</v>
      </c>
      <c r="H2240" s="69"/>
      <c r="I2240" s="1508">
        <f t="shared" si="623"/>
        <v>15.05</v>
      </c>
      <c r="M2240" s="1509"/>
      <c r="Q2240" s="1394">
        <f>IFERROR(VLOOKUP(M2240,#REF!,3,0),0)</f>
        <v>0</v>
      </c>
      <c r="R2240" s="1394">
        <f t="shared" si="621"/>
        <v>0</v>
      </c>
      <c r="S2240" s="1394">
        <f>IFERROR(VLOOKUP(M2240,#REF!,6,0),0)</f>
        <v>0</v>
      </c>
      <c r="T2240" s="1394">
        <f t="shared" si="624"/>
        <v>0</v>
      </c>
      <c r="U2240" s="1394">
        <f>IFERROR(VLOOKUP(M2240,#REF!,5,0),0)</f>
        <v>0</v>
      </c>
      <c r="V2240" s="1394">
        <f t="shared" si="625"/>
        <v>0</v>
      </c>
      <c r="W2240" s="1394"/>
    </row>
    <row r="2241" spans="2:23" s="1506" customFormat="1" ht="30" customHeight="1">
      <c r="B2241" s="1507"/>
      <c r="C2241" s="1497" t="s">
        <v>5806</v>
      </c>
      <c r="D2241" s="99">
        <v>1</v>
      </c>
      <c r="E2241" s="99">
        <v>1</v>
      </c>
      <c r="F2241" s="1495">
        <v>0.6</v>
      </c>
      <c r="G2241" s="1495">
        <v>3.9</v>
      </c>
      <c r="H2241" s="69"/>
      <c r="I2241" s="1508">
        <f t="shared" si="623"/>
        <v>2.34</v>
      </c>
      <c r="M2241" s="1509"/>
      <c r="Q2241" s="1394">
        <f>IFERROR(VLOOKUP(M2241,#REF!,3,0),0)</f>
        <v>0</v>
      </c>
      <c r="R2241" s="1394">
        <f t="shared" si="621"/>
        <v>0</v>
      </c>
      <c r="S2241" s="1394">
        <f>IFERROR(VLOOKUP(M2241,#REF!,6,0),0)</f>
        <v>0</v>
      </c>
      <c r="T2241" s="1394">
        <f t="shared" si="624"/>
        <v>0</v>
      </c>
      <c r="U2241" s="1394">
        <f>IFERROR(VLOOKUP(M2241,#REF!,5,0),0)</f>
        <v>0</v>
      </c>
      <c r="V2241" s="1394">
        <f t="shared" si="625"/>
        <v>0</v>
      </c>
      <c r="W2241" s="1394"/>
    </row>
    <row r="2242" spans="2:23" s="1506" customFormat="1" ht="30" customHeight="1">
      <c r="B2242" s="1507"/>
      <c r="C2242" s="1497" t="s">
        <v>5820</v>
      </c>
      <c r="D2242" s="99">
        <v>1</v>
      </c>
      <c r="E2242" s="99">
        <v>1</v>
      </c>
      <c r="F2242" s="1495">
        <v>1.36</v>
      </c>
      <c r="G2242" s="1495">
        <v>2.5</v>
      </c>
      <c r="H2242" s="69"/>
      <c r="I2242" s="1508">
        <f t="shared" si="623"/>
        <v>3.4</v>
      </c>
      <c r="M2242" s="1509"/>
      <c r="Q2242" s="1394">
        <f>IFERROR(VLOOKUP(M2242,#REF!,3,0),0)</f>
        <v>0</v>
      </c>
      <c r="R2242" s="1394">
        <f t="shared" si="621"/>
        <v>0</v>
      </c>
      <c r="S2242" s="1394">
        <f>IFERROR(VLOOKUP(M2242,#REF!,6,0),0)</f>
        <v>0</v>
      </c>
      <c r="T2242" s="1394">
        <f t="shared" si="624"/>
        <v>0</v>
      </c>
      <c r="U2242" s="1394">
        <f>IFERROR(VLOOKUP(M2242,#REF!,5,0),0)</f>
        <v>0</v>
      </c>
      <c r="V2242" s="1394">
        <f t="shared" si="625"/>
        <v>0</v>
      </c>
      <c r="W2242" s="1394"/>
    </row>
    <row r="2243" spans="2:23" s="1506" customFormat="1" ht="30" customHeight="1">
      <c r="B2243" s="1507"/>
      <c r="C2243" s="1494" t="s">
        <v>262</v>
      </c>
      <c r="D2243" s="99"/>
      <c r="E2243" s="99"/>
      <c r="F2243" s="1495"/>
      <c r="G2243" s="1495"/>
      <c r="H2243" s="69"/>
      <c r="I2243" s="1508"/>
      <c r="M2243" s="1509"/>
      <c r="Q2243" s="1394">
        <f>IFERROR(VLOOKUP(M2243,#REF!,3,0),0)</f>
        <v>0</v>
      </c>
      <c r="R2243" s="1394">
        <f t="shared" si="621"/>
        <v>0</v>
      </c>
      <c r="S2243" s="1394">
        <f>IFERROR(VLOOKUP(M2243,#REF!,6,0),0)</f>
        <v>0</v>
      </c>
      <c r="T2243" s="1394">
        <f t="shared" si="624"/>
        <v>0</v>
      </c>
      <c r="U2243" s="1394">
        <f>IFERROR(VLOOKUP(M2243,#REF!,5,0),0)</f>
        <v>0</v>
      </c>
      <c r="V2243" s="1394">
        <f t="shared" si="625"/>
        <v>0</v>
      </c>
      <c r="W2243" s="1394"/>
    </row>
    <row r="2244" spans="2:23" s="1506" customFormat="1" ht="30" customHeight="1">
      <c r="B2244" s="1507"/>
      <c r="C2244" s="1497" t="s">
        <v>5839</v>
      </c>
      <c r="D2244" s="99">
        <v>1</v>
      </c>
      <c r="E2244" s="99">
        <v>1</v>
      </c>
      <c r="F2244" s="1495">
        <v>6.5549999999999997</v>
      </c>
      <c r="G2244" s="1495">
        <v>2.2999999999999998</v>
      </c>
      <c r="H2244" s="69"/>
      <c r="I2244" s="1508">
        <f t="shared" si="623"/>
        <v>15.08</v>
      </c>
      <c r="M2244" s="1509"/>
      <c r="Q2244" s="1394">
        <f>IFERROR(VLOOKUP(M2244,#REF!,3,0),0)</f>
        <v>0</v>
      </c>
      <c r="R2244" s="1394">
        <f t="shared" si="621"/>
        <v>0</v>
      </c>
      <c r="S2244" s="1394">
        <f>IFERROR(VLOOKUP(M2244,#REF!,6,0),0)</f>
        <v>0</v>
      </c>
      <c r="T2244" s="1394">
        <f t="shared" si="624"/>
        <v>0</v>
      </c>
      <c r="U2244" s="1394">
        <f>IFERROR(VLOOKUP(M2244,#REF!,5,0),0)</f>
        <v>0</v>
      </c>
      <c r="V2244" s="1394">
        <f t="shared" si="625"/>
        <v>0</v>
      </c>
      <c r="W2244" s="1394"/>
    </row>
    <row r="2245" spans="2:23" s="1506" customFormat="1" ht="30" customHeight="1">
      <c r="B2245" s="1507"/>
      <c r="C2245" s="1494" t="s">
        <v>5821</v>
      </c>
      <c r="D2245" s="99"/>
      <c r="E2245" s="99"/>
      <c r="F2245" s="1495"/>
      <c r="G2245" s="1495"/>
      <c r="H2245" s="69"/>
      <c r="I2245" s="1508">
        <f t="shared" si="623"/>
        <v>0</v>
      </c>
      <c r="M2245" s="1509"/>
      <c r="Q2245" s="1394">
        <f>IFERROR(VLOOKUP(M2245,#REF!,3,0),0)</f>
        <v>0</v>
      </c>
      <c r="R2245" s="1394">
        <f t="shared" si="621"/>
        <v>0</v>
      </c>
      <c r="S2245" s="1394">
        <f>IFERROR(VLOOKUP(M2245,#REF!,6,0),0)</f>
        <v>0</v>
      </c>
      <c r="T2245" s="1394">
        <f t="shared" si="624"/>
        <v>0</v>
      </c>
      <c r="U2245" s="1394">
        <f>IFERROR(VLOOKUP(M2245,#REF!,5,0),0)</f>
        <v>0</v>
      </c>
      <c r="V2245" s="1394">
        <f t="shared" si="625"/>
        <v>0</v>
      </c>
      <c r="W2245" s="1394"/>
    </row>
    <row r="2246" spans="2:23" s="1506" customFormat="1" ht="30" customHeight="1">
      <c r="B2246" s="1507"/>
      <c r="C2246" s="1494" t="str">
        <f t="shared" ref="C2246:H2246" si="628">C2201</f>
        <v>Ground floor /Stilit Floor</v>
      </c>
      <c r="D2246" s="99">
        <f t="shared" si="628"/>
        <v>0</v>
      </c>
      <c r="E2246" s="99">
        <f t="shared" si="628"/>
        <v>0</v>
      </c>
      <c r="F2246" s="1495">
        <f t="shared" si="628"/>
        <v>0</v>
      </c>
      <c r="G2246" s="1495">
        <f t="shared" si="628"/>
        <v>0</v>
      </c>
      <c r="H2246" s="69">
        <f t="shared" si="628"/>
        <v>0</v>
      </c>
      <c r="I2246" s="1508">
        <f t="shared" si="623"/>
        <v>0</v>
      </c>
      <c r="M2246" s="1509"/>
      <c r="Q2246" s="1394">
        <f>IFERROR(VLOOKUP(M2246,#REF!,3,0),0)</f>
        <v>0</v>
      </c>
      <c r="R2246" s="1394">
        <f t="shared" si="621"/>
        <v>0</v>
      </c>
      <c r="S2246" s="1394">
        <f>IFERROR(VLOOKUP(M2246,#REF!,6,0),0)</f>
        <v>0</v>
      </c>
      <c r="T2246" s="1394">
        <f t="shared" si="624"/>
        <v>0</v>
      </c>
      <c r="U2246" s="1394">
        <f>IFERROR(VLOOKUP(M2246,#REF!,5,0),0)</f>
        <v>0</v>
      </c>
      <c r="V2246" s="1394">
        <f t="shared" si="625"/>
        <v>0</v>
      </c>
      <c r="W2246" s="1394"/>
    </row>
    <row r="2247" spans="2:23" s="1506" customFormat="1" ht="30" customHeight="1">
      <c r="B2247" s="1507"/>
      <c r="C2247" s="1497" t="str">
        <f t="shared" ref="C2247:E2251" si="629">C2178</f>
        <v>Entrance Lobby</v>
      </c>
      <c r="D2247" s="99">
        <f t="shared" si="629"/>
        <v>1</v>
      </c>
      <c r="E2247" s="99">
        <f t="shared" si="629"/>
        <v>1</v>
      </c>
      <c r="F2247" s="1495">
        <f>(F2178+G2178)*2</f>
        <v>20</v>
      </c>
      <c r="G2247" s="1495"/>
      <c r="H2247" s="69">
        <v>0.1</v>
      </c>
      <c r="I2247" s="1508">
        <f t="shared" si="623"/>
        <v>2</v>
      </c>
      <c r="M2247" s="1509"/>
      <c r="Q2247" s="1394">
        <f>IFERROR(VLOOKUP(M2247,#REF!,3,0),0)</f>
        <v>0</v>
      </c>
      <c r="R2247" s="1394">
        <f t="shared" si="621"/>
        <v>0</v>
      </c>
      <c r="S2247" s="1394">
        <f>IFERROR(VLOOKUP(M2247,#REF!,6,0),0)</f>
        <v>0</v>
      </c>
      <c r="T2247" s="1394">
        <f t="shared" si="624"/>
        <v>0</v>
      </c>
      <c r="U2247" s="1394">
        <f>IFERROR(VLOOKUP(M2247,#REF!,5,0),0)</f>
        <v>0</v>
      </c>
      <c r="V2247" s="1394">
        <f t="shared" si="625"/>
        <v>0</v>
      </c>
      <c r="W2247" s="1394"/>
    </row>
    <row r="2248" spans="2:23" s="1506" customFormat="1" ht="30" customHeight="1">
      <c r="B2248" s="1507"/>
      <c r="C2248" s="1497" t="str">
        <f t="shared" si="629"/>
        <v>Entrance Lobby</v>
      </c>
      <c r="D2248" s="99">
        <f t="shared" si="629"/>
        <v>1</v>
      </c>
      <c r="E2248" s="99">
        <f t="shared" si="629"/>
        <v>1</v>
      </c>
      <c r="F2248" s="1495">
        <f>(F2179+G2179)*2</f>
        <v>16.914000000000001</v>
      </c>
      <c r="G2248" s="1495"/>
      <c r="H2248" s="69">
        <f t="shared" ref="H2248:H2251" si="630">$H$2247</f>
        <v>0.1</v>
      </c>
      <c r="I2248" s="1508">
        <f t="shared" si="623"/>
        <v>1.69</v>
      </c>
      <c r="M2248" s="1509"/>
      <c r="Q2248" s="1394">
        <f>IFERROR(VLOOKUP(M2248,#REF!,3,0),0)</f>
        <v>0</v>
      </c>
      <c r="R2248" s="1394">
        <f t="shared" si="621"/>
        <v>0</v>
      </c>
      <c r="S2248" s="1394">
        <f>IFERROR(VLOOKUP(M2248,#REF!,6,0),0)</f>
        <v>0</v>
      </c>
      <c r="T2248" s="1394">
        <f t="shared" si="624"/>
        <v>0</v>
      </c>
      <c r="U2248" s="1394">
        <f>IFERROR(VLOOKUP(M2248,#REF!,5,0),0)</f>
        <v>0</v>
      </c>
      <c r="V2248" s="1394">
        <f t="shared" si="625"/>
        <v>0</v>
      </c>
      <c r="W2248" s="1394"/>
    </row>
    <row r="2249" spans="2:23" s="1506" customFormat="1" ht="30" customHeight="1">
      <c r="B2249" s="1507"/>
      <c r="C2249" s="1497" t="str">
        <f t="shared" si="629"/>
        <v>Entrance Verandah</v>
      </c>
      <c r="D2249" s="99">
        <f t="shared" si="629"/>
        <v>1</v>
      </c>
      <c r="E2249" s="99">
        <f t="shared" si="629"/>
        <v>1</v>
      </c>
      <c r="F2249" s="1495">
        <f>(F2180+G2180)*2</f>
        <v>17.52</v>
      </c>
      <c r="G2249" s="1495"/>
      <c r="H2249" s="69">
        <f t="shared" si="630"/>
        <v>0.1</v>
      </c>
      <c r="I2249" s="1508">
        <f t="shared" si="623"/>
        <v>1.75</v>
      </c>
      <c r="M2249" s="1509"/>
      <c r="Q2249" s="1394">
        <f>IFERROR(VLOOKUP(M2249,#REF!,3,0),0)</f>
        <v>0</v>
      </c>
      <c r="R2249" s="1394">
        <f t="shared" si="621"/>
        <v>0</v>
      </c>
      <c r="S2249" s="1394">
        <f>IFERROR(VLOOKUP(M2249,#REF!,6,0),0)</f>
        <v>0</v>
      </c>
      <c r="T2249" s="1394">
        <f t="shared" si="624"/>
        <v>0</v>
      </c>
      <c r="U2249" s="1394">
        <f>IFERROR(VLOOKUP(M2249,#REF!,5,0),0)</f>
        <v>0</v>
      </c>
      <c r="V2249" s="1394">
        <f t="shared" si="625"/>
        <v>0</v>
      </c>
      <c r="W2249" s="1394"/>
    </row>
    <row r="2250" spans="2:23" s="1506" customFormat="1" ht="30" customHeight="1">
      <c r="B2250" s="1507"/>
      <c r="C2250" s="1497" t="str">
        <f t="shared" si="629"/>
        <v>Toilet Verandah</v>
      </c>
      <c r="D2250" s="99">
        <f t="shared" si="629"/>
        <v>1</v>
      </c>
      <c r="E2250" s="99">
        <f t="shared" si="629"/>
        <v>1</v>
      </c>
      <c r="F2250" s="1495">
        <f>(F2181+G2181)*2</f>
        <v>6.6</v>
      </c>
      <c r="G2250" s="1495"/>
      <c r="H2250" s="69">
        <f t="shared" si="630"/>
        <v>0.1</v>
      </c>
      <c r="I2250" s="1508">
        <f t="shared" si="623"/>
        <v>0.66</v>
      </c>
      <c r="M2250" s="1509"/>
      <c r="Q2250" s="1394">
        <f>IFERROR(VLOOKUP(M2250,#REF!,3,0),0)</f>
        <v>0</v>
      </c>
      <c r="R2250" s="1394">
        <f t="shared" si="621"/>
        <v>0</v>
      </c>
      <c r="S2250" s="1394">
        <f>IFERROR(VLOOKUP(M2250,#REF!,6,0),0)</f>
        <v>0</v>
      </c>
      <c r="T2250" s="1394">
        <f t="shared" si="624"/>
        <v>0</v>
      </c>
      <c r="U2250" s="1394">
        <f>IFERROR(VLOOKUP(M2250,#REF!,5,0),0)</f>
        <v>0</v>
      </c>
      <c r="V2250" s="1394">
        <f t="shared" si="625"/>
        <v>0</v>
      </c>
      <c r="W2250" s="1394"/>
    </row>
    <row r="2251" spans="2:23" s="1506" customFormat="1" ht="30" customHeight="1">
      <c r="B2251" s="1507"/>
      <c r="C2251" s="1497" t="str">
        <f t="shared" si="629"/>
        <v>Front Entrance Verandah</v>
      </c>
      <c r="D2251" s="99">
        <f t="shared" si="629"/>
        <v>1</v>
      </c>
      <c r="E2251" s="99">
        <f t="shared" si="629"/>
        <v>1</v>
      </c>
      <c r="F2251" s="1495">
        <f>(F2182+G2182)*2</f>
        <v>9</v>
      </c>
      <c r="G2251" s="1495"/>
      <c r="H2251" s="69">
        <f t="shared" si="630"/>
        <v>0.1</v>
      </c>
      <c r="I2251" s="1508">
        <f t="shared" si="623"/>
        <v>0.9</v>
      </c>
      <c r="M2251" s="1509"/>
      <c r="Q2251" s="1394">
        <f>IFERROR(VLOOKUP(M2251,#REF!,3,0),0)</f>
        <v>0</v>
      </c>
      <c r="R2251" s="1394">
        <f t="shared" si="621"/>
        <v>0</v>
      </c>
      <c r="S2251" s="1394">
        <f>IFERROR(VLOOKUP(M2251,#REF!,6,0),0)</f>
        <v>0</v>
      </c>
      <c r="T2251" s="1394">
        <f t="shared" si="624"/>
        <v>0</v>
      </c>
      <c r="U2251" s="1394">
        <f>IFERROR(VLOOKUP(M2251,#REF!,5,0),0)</f>
        <v>0</v>
      </c>
      <c r="V2251" s="1394">
        <f t="shared" si="625"/>
        <v>0</v>
      </c>
      <c r="W2251" s="1394"/>
    </row>
    <row r="2252" spans="2:23" s="1506" customFormat="1" ht="30" customHeight="1">
      <c r="B2252" s="1507"/>
      <c r="C2252" s="1497">
        <f t="shared" ref="C2252:E2253" si="631">C2202</f>
        <v>0</v>
      </c>
      <c r="D2252" s="99">
        <f t="shared" si="631"/>
        <v>0</v>
      </c>
      <c r="E2252" s="99">
        <f t="shared" si="631"/>
        <v>0</v>
      </c>
      <c r="F2252" s="1495">
        <f>(F2202+G2202)*2</f>
        <v>0</v>
      </c>
      <c r="G2252" s="1495"/>
      <c r="H2252" s="69">
        <f>H2202</f>
        <v>0</v>
      </c>
      <c r="I2252" s="1508">
        <f t="shared" si="623"/>
        <v>0</v>
      </c>
      <c r="M2252" s="1509"/>
      <c r="Q2252" s="1394">
        <f>IFERROR(VLOOKUP(M2252,#REF!,3,0),0)</f>
        <v>0</v>
      </c>
      <c r="R2252" s="1394">
        <f t="shared" si="621"/>
        <v>0</v>
      </c>
      <c r="S2252" s="1394">
        <f>IFERROR(VLOOKUP(M2252,#REF!,6,0),0)</f>
        <v>0</v>
      </c>
      <c r="T2252" s="1394">
        <f t="shared" si="624"/>
        <v>0</v>
      </c>
      <c r="U2252" s="1394">
        <f>IFERROR(VLOOKUP(M2252,#REF!,5,0),0)</f>
        <v>0</v>
      </c>
      <c r="V2252" s="1394">
        <f t="shared" si="625"/>
        <v>0</v>
      </c>
      <c r="W2252" s="1394"/>
    </row>
    <row r="2253" spans="2:23" s="1506" customFormat="1" ht="30" customHeight="1">
      <c r="B2253" s="1507"/>
      <c r="C2253" s="1494" t="str">
        <f t="shared" si="631"/>
        <v>First Floor</v>
      </c>
      <c r="D2253" s="99">
        <f t="shared" si="631"/>
        <v>0</v>
      </c>
      <c r="E2253" s="99">
        <f t="shared" si="631"/>
        <v>0</v>
      </c>
      <c r="F2253" s="1495">
        <f>(F2203+G2203)*2</f>
        <v>0</v>
      </c>
      <c r="G2253" s="1495"/>
      <c r="H2253" s="69">
        <f>H2203</f>
        <v>0</v>
      </c>
      <c r="I2253" s="1508">
        <f t="shared" si="623"/>
        <v>0</v>
      </c>
      <c r="M2253" s="1509"/>
      <c r="Q2253" s="1394">
        <f>IFERROR(VLOOKUP(M2253,#REF!,3,0),0)</f>
        <v>0</v>
      </c>
      <c r="R2253" s="1394">
        <f t="shared" si="621"/>
        <v>0</v>
      </c>
      <c r="S2253" s="1394">
        <f>IFERROR(VLOOKUP(M2253,#REF!,6,0),0)</f>
        <v>0</v>
      </c>
      <c r="T2253" s="1394">
        <f t="shared" si="624"/>
        <v>0</v>
      </c>
      <c r="U2253" s="1394">
        <f>IFERROR(VLOOKUP(M2253,#REF!,5,0),0)</f>
        <v>0</v>
      </c>
      <c r="V2253" s="1394">
        <f t="shared" si="625"/>
        <v>0</v>
      </c>
      <c r="W2253" s="1394"/>
    </row>
    <row r="2254" spans="2:23" s="1506" customFormat="1" ht="30" customHeight="1">
      <c r="B2254" s="1507"/>
      <c r="C2254" s="1497" t="str">
        <f t="shared" ref="C2254:E2255" si="632">C2184</f>
        <v>Staircase Lift / lobby</v>
      </c>
      <c r="D2254" s="99">
        <f t="shared" si="632"/>
        <v>1</v>
      </c>
      <c r="E2254" s="99">
        <f t="shared" si="632"/>
        <v>1</v>
      </c>
      <c r="F2254" s="1495">
        <f>(F2184+G2184)*2</f>
        <v>13.536000000000001</v>
      </c>
      <c r="G2254" s="1495"/>
      <c r="H2254" s="69">
        <f t="shared" ref="H2254:H2260" si="633">$H$2247</f>
        <v>0.1</v>
      </c>
      <c r="I2254" s="1508">
        <f t="shared" si="623"/>
        <v>1.35</v>
      </c>
      <c r="M2254" s="1509"/>
      <c r="Q2254" s="1394">
        <f>IFERROR(VLOOKUP(M2254,#REF!,3,0),0)</f>
        <v>0</v>
      </c>
      <c r="R2254" s="1394">
        <f t="shared" si="621"/>
        <v>0</v>
      </c>
      <c r="S2254" s="1394">
        <f>IFERROR(VLOOKUP(M2254,#REF!,6,0),0)</f>
        <v>0</v>
      </c>
      <c r="T2254" s="1394">
        <f t="shared" si="624"/>
        <v>0</v>
      </c>
      <c r="U2254" s="1394">
        <f>IFERROR(VLOOKUP(M2254,#REF!,5,0),0)</f>
        <v>0</v>
      </c>
      <c r="V2254" s="1394">
        <f t="shared" si="625"/>
        <v>0</v>
      </c>
      <c r="W2254" s="1394"/>
    </row>
    <row r="2255" spans="2:23" s="1506" customFormat="1" ht="30" customHeight="1">
      <c r="B2255" s="1507"/>
      <c r="C2255" s="1497" t="str">
        <f t="shared" si="632"/>
        <v>Staircase Lift / lobby</v>
      </c>
      <c r="D2255" s="99">
        <f t="shared" si="632"/>
        <v>1</v>
      </c>
      <c r="E2255" s="99">
        <f t="shared" si="632"/>
        <v>1</v>
      </c>
      <c r="F2255" s="1495">
        <f>(F2185+G2185)*2</f>
        <v>10.624000000000001</v>
      </c>
      <c r="G2255" s="1495"/>
      <c r="H2255" s="69">
        <f t="shared" si="633"/>
        <v>0.1</v>
      </c>
      <c r="I2255" s="1508">
        <f t="shared" si="623"/>
        <v>1.06</v>
      </c>
      <c r="M2255" s="1509"/>
      <c r="Q2255" s="1394">
        <f>IFERROR(VLOOKUP(M2255,#REF!,3,0),0)</f>
        <v>0</v>
      </c>
      <c r="R2255" s="1394">
        <f t="shared" si="621"/>
        <v>0</v>
      </c>
      <c r="S2255" s="1394">
        <f>IFERROR(VLOOKUP(M2255,#REF!,6,0),0)</f>
        <v>0</v>
      </c>
      <c r="T2255" s="1394">
        <f t="shared" si="624"/>
        <v>0</v>
      </c>
      <c r="U2255" s="1394">
        <f>IFERROR(VLOOKUP(M2255,#REF!,5,0),0)</f>
        <v>0</v>
      </c>
      <c r="V2255" s="1394">
        <f t="shared" si="625"/>
        <v>0</v>
      </c>
      <c r="W2255" s="1394"/>
    </row>
    <row r="2256" spans="2:23" s="1506" customFormat="1" ht="30" customHeight="1">
      <c r="B2256" s="1507"/>
      <c r="C2256" s="1497" t="str">
        <f t="shared" ref="C2256:E2260" si="634">C2204</f>
        <v>SI Room</v>
      </c>
      <c r="D2256" s="99">
        <f t="shared" si="634"/>
        <v>1</v>
      </c>
      <c r="E2256" s="99">
        <f t="shared" si="634"/>
        <v>1</v>
      </c>
      <c r="F2256" s="1495">
        <f>(F2204+G2204)*2</f>
        <v>18.2</v>
      </c>
      <c r="G2256" s="1495"/>
      <c r="H2256" s="69">
        <f t="shared" si="633"/>
        <v>0.1</v>
      </c>
      <c r="I2256" s="1508">
        <f t="shared" si="623"/>
        <v>1.82</v>
      </c>
      <c r="M2256" s="1509"/>
      <c r="Q2256" s="1394">
        <f>IFERROR(VLOOKUP(M2256,#REF!,3,0),0)</f>
        <v>0</v>
      </c>
      <c r="R2256" s="1394">
        <f t="shared" si="621"/>
        <v>0</v>
      </c>
      <c r="S2256" s="1394">
        <f>IFERROR(VLOOKUP(M2256,#REF!,6,0),0)</f>
        <v>0</v>
      </c>
      <c r="T2256" s="1394">
        <f t="shared" si="624"/>
        <v>0</v>
      </c>
      <c r="U2256" s="1394">
        <f>IFERROR(VLOOKUP(M2256,#REF!,5,0),0)</f>
        <v>0</v>
      </c>
      <c r="V2256" s="1394">
        <f t="shared" si="625"/>
        <v>0</v>
      </c>
      <c r="W2256" s="1394"/>
    </row>
    <row r="2257" spans="2:23" s="1506" customFormat="1" ht="30" customHeight="1">
      <c r="B2257" s="1507"/>
      <c r="C2257" s="1497" t="str">
        <f t="shared" si="634"/>
        <v>SI Room Lobby</v>
      </c>
      <c r="D2257" s="99">
        <f t="shared" si="634"/>
        <v>1</v>
      </c>
      <c r="E2257" s="99">
        <f t="shared" si="634"/>
        <v>1</v>
      </c>
      <c r="F2257" s="1495">
        <f>(F2205+G2205)*2</f>
        <v>5.92</v>
      </c>
      <c r="G2257" s="1495"/>
      <c r="H2257" s="69">
        <f t="shared" si="633"/>
        <v>0.1</v>
      </c>
      <c r="I2257" s="1508">
        <f t="shared" si="623"/>
        <v>0.59</v>
      </c>
      <c r="M2257" s="1509"/>
      <c r="Q2257" s="1394">
        <f>IFERROR(VLOOKUP(M2257,#REF!,3,0),0)</f>
        <v>0</v>
      </c>
      <c r="R2257" s="1394">
        <f t="shared" si="621"/>
        <v>0</v>
      </c>
      <c r="S2257" s="1394">
        <f>IFERROR(VLOOKUP(M2257,#REF!,6,0),0)</f>
        <v>0</v>
      </c>
      <c r="T2257" s="1394">
        <f t="shared" si="624"/>
        <v>0</v>
      </c>
      <c r="U2257" s="1394">
        <f>IFERROR(VLOOKUP(M2257,#REF!,5,0),0)</f>
        <v>0</v>
      </c>
      <c r="V2257" s="1394">
        <f t="shared" si="625"/>
        <v>0</v>
      </c>
      <c r="W2257" s="1394"/>
    </row>
    <row r="2258" spans="2:23" s="1506" customFormat="1" ht="30" customHeight="1">
      <c r="B2258" s="1507"/>
      <c r="C2258" s="1497" t="str">
        <f t="shared" si="634"/>
        <v>Ins  L &amp; O Room</v>
      </c>
      <c r="D2258" s="99">
        <f t="shared" si="634"/>
        <v>1</v>
      </c>
      <c r="E2258" s="99">
        <f t="shared" si="634"/>
        <v>1</v>
      </c>
      <c r="F2258" s="1495">
        <f>(F2206+G2206)*2</f>
        <v>18.2</v>
      </c>
      <c r="G2258" s="1495"/>
      <c r="H2258" s="69">
        <f t="shared" si="633"/>
        <v>0.1</v>
      </c>
      <c r="I2258" s="1508">
        <f t="shared" si="623"/>
        <v>1.82</v>
      </c>
      <c r="M2258" s="1509"/>
      <c r="Q2258" s="1394">
        <f>IFERROR(VLOOKUP(M2258,#REF!,3,0),0)</f>
        <v>0</v>
      </c>
      <c r="R2258" s="1394">
        <f t="shared" si="621"/>
        <v>0</v>
      </c>
      <c r="S2258" s="1394">
        <f>IFERROR(VLOOKUP(M2258,#REF!,6,0),0)</f>
        <v>0</v>
      </c>
      <c r="T2258" s="1394">
        <f t="shared" si="624"/>
        <v>0</v>
      </c>
      <c r="U2258" s="1394">
        <f>IFERROR(VLOOKUP(M2258,#REF!,5,0),0)</f>
        <v>0</v>
      </c>
      <c r="V2258" s="1394">
        <f t="shared" si="625"/>
        <v>0</v>
      </c>
      <c r="W2258" s="1394"/>
    </row>
    <row r="2259" spans="2:23" s="1506" customFormat="1" ht="30" customHeight="1">
      <c r="B2259" s="1507"/>
      <c r="C2259" s="1497" t="str">
        <f t="shared" si="634"/>
        <v>Ins  L &amp; O Room Lobby</v>
      </c>
      <c r="D2259" s="99">
        <f t="shared" si="634"/>
        <v>1</v>
      </c>
      <c r="E2259" s="99">
        <f t="shared" si="634"/>
        <v>1</v>
      </c>
      <c r="F2259" s="1495">
        <f>(F2207+G2207)*2</f>
        <v>5.92</v>
      </c>
      <c r="G2259" s="1495"/>
      <c r="H2259" s="69">
        <f t="shared" si="633"/>
        <v>0.1</v>
      </c>
      <c r="I2259" s="1508">
        <f t="shared" si="623"/>
        <v>0.59</v>
      </c>
      <c r="M2259" s="1509"/>
      <c r="Q2259" s="1394">
        <f>IFERROR(VLOOKUP(M2259,#REF!,3,0),0)</f>
        <v>0</v>
      </c>
      <c r="R2259" s="1394">
        <f t="shared" si="621"/>
        <v>0</v>
      </c>
      <c r="S2259" s="1394">
        <f>IFERROR(VLOOKUP(M2259,#REF!,6,0),0)</f>
        <v>0</v>
      </c>
      <c r="T2259" s="1394">
        <f t="shared" si="624"/>
        <v>0</v>
      </c>
      <c r="U2259" s="1394">
        <f>IFERROR(VLOOKUP(M2259,#REF!,5,0),0)</f>
        <v>0</v>
      </c>
      <c r="V2259" s="1394">
        <f t="shared" si="625"/>
        <v>0</v>
      </c>
      <c r="W2259" s="1394"/>
    </row>
    <row r="2260" spans="2:23" s="1506" customFormat="1" ht="30" customHeight="1">
      <c r="B2260" s="1507"/>
      <c r="C2260" s="1497" t="str">
        <f t="shared" si="634"/>
        <v>Writer Room</v>
      </c>
      <c r="D2260" s="99">
        <f t="shared" si="634"/>
        <v>1</v>
      </c>
      <c r="E2260" s="99">
        <f t="shared" si="634"/>
        <v>1</v>
      </c>
      <c r="F2260" s="1495">
        <f>(F2208+G2208)*2</f>
        <v>16.43</v>
      </c>
      <c r="G2260" s="1495"/>
      <c r="H2260" s="69">
        <f t="shared" si="633"/>
        <v>0.1</v>
      </c>
      <c r="I2260" s="1508">
        <f t="shared" si="623"/>
        <v>1.64</v>
      </c>
      <c r="M2260" s="1509"/>
      <c r="Q2260" s="1394">
        <f>IFERROR(VLOOKUP(M2260,#REF!,3,0),0)</f>
        <v>0</v>
      </c>
      <c r="R2260" s="1394">
        <f t="shared" si="621"/>
        <v>0</v>
      </c>
      <c r="S2260" s="1394">
        <f>IFERROR(VLOOKUP(M2260,#REF!,6,0),0)</f>
        <v>0</v>
      </c>
      <c r="T2260" s="1394">
        <f t="shared" si="624"/>
        <v>0</v>
      </c>
      <c r="U2260" s="1394">
        <f>IFERROR(VLOOKUP(M2260,#REF!,5,0),0)</f>
        <v>0</v>
      </c>
      <c r="V2260" s="1394">
        <f t="shared" si="625"/>
        <v>0</v>
      </c>
      <c r="W2260" s="1394"/>
    </row>
    <row r="2261" spans="2:23" s="1506" customFormat="1" ht="30" customHeight="1">
      <c r="B2261" s="1507"/>
      <c r="C2261" s="1497" t="str">
        <f>C2186</f>
        <v>Hall</v>
      </c>
      <c r="D2261" s="99">
        <f>D2186</f>
        <v>1</v>
      </c>
      <c r="E2261" s="99">
        <f>E2186</f>
        <v>1</v>
      </c>
      <c r="F2261" s="1495">
        <f>(F2186+G2186)*2</f>
        <v>31.29</v>
      </c>
      <c r="G2261" s="1495"/>
      <c r="H2261" s="69">
        <f t="shared" ref="H2261" si="635">$H$2247</f>
        <v>0.1</v>
      </c>
      <c r="I2261" s="1508">
        <f t="shared" si="623"/>
        <v>3.13</v>
      </c>
      <c r="M2261" s="1509"/>
      <c r="Q2261" s="1394">
        <f>IFERROR(VLOOKUP(M2261,#REF!,3,0),0)</f>
        <v>0</v>
      </c>
      <c r="R2261" s="1394">
        <f t="shared" si="621"/>
        <v>0</v>
      </c>
      <c r="S2261" s="1394">
        <f>IFERROR(VLOOKUP(M2261,#REF!,6,0),0)</f>
        <v>0</v>
      </c>
      <c r="T2261" s="1394">
        <f t="shared" si="624"/>
        <v>0</v>
      </c>
      <c r="U2261" s="1394">
        <f>IFERROR(VLOOKUP(M2261,#REF!,5,0),0)</f>
        <v>0</v>
      </c>
      <c r="V2261" s="1394">
        <f t="shared" si="625"/>
        <v>0</v>
      </c>
      <c r="W2261" s="1394"/>
    </row>
    <row r="2262" spans="2:23" s="1506" customFormat="1" ht="30" customHeight="1">
      <c r="B2262" s="1507"/>
      <c r="C2262" s="1497" t="str">
        <f t="shared" ref="C2262:E2277" si="636">C2209</f>
        <v>CD File</v>
      </c>
      <c r="D2262" s="99">
        <f t="shared" si="636"/>
        <v>1</v>
      </c>
      <c r="E2262" s="99">
        <f t="shared" si="636"/>
        <v>1</v>
      </c>
      <c r="F2262" s="1495">
        <f t="shared" ref="F2262:F2277" si="637">(F2209+G2209)*2</f>
        <v>15.8</v>
      </c>
      <c r="G2262" s="1495"/>
      <c r="H2262" s="69">
        <f t="shared" ref="H2262:H2269" si="638">$H$2247</f>
        <v>0.1</v>
      </c>
      <c r="I2262" s="1508">
        <f t="shared" si="623"/>
        <v>1.58</v>
      </c>
      <c r="M2262" s="1509"/>
      <c r="Q2262" s="1394">
        <f>IFERROR(VLOOKUP(M2262,#REF!,3,0),0)</f>
        <v>0</v>
      </c>
      <c r="R2262" s="1394">
        <f t="shared" si="621"/>
        <v>0</v>
      </c>
      <c r="S2262" s="1394">
        <f>IFERROR(VLOOKUP(M2262,#REF!,6,0),0)</f>
        <v>0</v>
      </c>
      <c r="T2262" s="1394">
        <f t="shared" si="624"/>
        <v>0</v>
      </c>
      <c r="U2262" s="1394">
        <f>IFERROR(VLOOKUP(M2262,#REF!,5,0),0)</f>
        <v>0</v>
      </c>
      <c r="V2262" s="1394">
        <f t="shared" si="625"/>
        <v>0</v>
      </c>
      <c r="W2262" s="1394"/>
    </row>
    <row r="2263" spans="2:23" s="1506" customFormat="1" ht="30" customHeight="1">
      <c r="B2263" s="1507"/>
      <c r="C2263" s="1497" t="str">
        <f t="shared" si="636"/>
        <v>CD File Verandah</v>
      </c>
      <c r="D2263" s="99">
        <f t="shared" si="636"/>
        <v>1</v>
      </c>
      <c r="E2263" s="99">
        <f t="shared" si="636"/>
        <v>1</v>
      </c>
      <c r="F2263" s="1495">
        <f t="shared" si="637"/>
        <v>5</v>
      </c>
      <c r="G2263" s="1495"/>
      <c r="H2263" s="69">
        <f t="shared" si="638"/>
        <v>0.1</v>
      </c>
      <c r="I2263" s="1508">
        <f t="shared" si="623"/>
        <v>0.5</v>
      </c>
      <c r="M2263" s="1509"/>
      <c r="Q2263" s="1394">
        <f>IFERROR(VLOOKUP(M2263,#REF!,3,0),0)</f>
        <v>0</v>
      </c>
      <c r="R2263" s="1394">
        <f t="shared" si="621"/>
        <v>0</v>
      </c>
      <c r="S2263" s="1394">
        <f>IFERROR(VLOOKUP(M2263,#REF!,6,0),0)</f>
        <v>0</v>
      </c>
      <c r="T2263" s="1394">
        <f t="shared" si="624"/>
        <v>0</v>
      </c>
      <c r="U2263" s="1394">
        <f>IFERROR(VLOOKUP(M2263,#REF!,5,0),0)</f>
        <v>0</v>
      </c>
      <c r="V2263" s="1394">
        <f t="shared" si="625"/>
        <v>0</v>
      </c>
      <c r="W2263" s="1394"/>
    </row>
    <row r="2264" spans="2:23" s="1506" customFormat="1" ht="30" customHeight="1">
      <c r="B2264" s="1507"/>
      <c r="C2264" s="1497" t="str">
        <f t="shared" si="636"/>
        <v>CCTNS</v>
      </c>
      <c r="D2264" s="99">
        <f t="shared" si="636"/>
        <v>1</v>
      </c>
      <c r="E2264" s="99">
        <f t="shared" si="636"/>
        <v>1</v>
      </c>
      <c r="F2264" s="1495">
        <f t="shared" si="637"/>
        <v>14.48</v>
      </c>
      <c r="G2264" s="1495"/>
      <c r="H2264" s="69">
        <f t="shared" si="638"/>
        <v>0.1</v>
      </c>
      <c r="I2264" s="1508">
        <f t="shared" si="623"/>
        <v>1.45</v>
      </c>
      <c r="M2264" s="1509"/>
      <c r="Q2264" s="1394">
        <f>IFERROR(VLOOKUP(M2264,#REF!,3,0),0)</f>
        <v>0</v>
      </c>
      <c r="R2264" s="1394">
        <f t="shared" si="621"/>
        <v>0</v>
      </c>
      <c r="S2264" s="1394">
        <f>IFERROR(VLOOKUP(M2264,#REF!,6,0),0)</f>
        <v>0</v>
      </c>
      <c r="T2264" s="1394">
        <f t="shared" si="624"/>
        <v>0</v>
      </c>
      <c r="U2264" s="1394">
        <f>IFERROR(VLOOKUP(M2264,#REF!,5,0),0)</f>
        <v>0</v>
      </c>
      <c r="V2264" s="1394">
        <f t="shared" si="625"/>
        <v>0</v>
      </c>
      <c r="W2264" s="1394"/>
    </row>
    <row r="2265" spans="2:23" s="1506" customFormat="1" ht="30" customHeight="1">
      <c r="B2265" s="1507"/>
      <c r="C2265" s="1497" t="str">
        <f t="shared" si="636"/>
        <v>C/B</v>
      </c>
      <c r="D2265" s="99">
        <f t="shared" si="636"/>
        <v>1</v>
      </c>
      <c r="E2265" s="99">
        <f t="shared" si="636"/>
        <v>1</v>
      </c>
      <c r="F2265" s="1495">
        <f t="shared" si="637"/>
        <v>9</v>
      </c>
      <c r="G2265" s="1495"/>
      <c r="H2265" s="69">
        <f t="shared" si="638"/>
        <v>0.1</v>
      </c>
      <c r="I2265" s="1508">
        <f t="shared" si="623"/>
        <v>0.9</v>
      </c>
      <c r="M2265" s="1509"/>
      <c r="Q2265" s="1394">
        <f>IFERROR(VLOOKUP(M2265,#REF!,3,0),0)</f>
        <v>0</v>
      </c>
      <c r="R2265" s="1394">
        <f t="shared" si="621"/>
        <v>0</v>
      </c>
      <c r="S2265" s="1394">
        <f>IFERROR(VLOOKUP(M2265,#REF!,6,0),0)</f>
        <v>0</v>
      </c>
      <c r="T2265" s="1394">
        <f t="shared" si="624"/>
        <v>0</v>
      </c>
      <c r="U2265" s="1394">
        <f>IFERROR(VLOOKUP(M2265,#REF!,5,0),0)</f>
        <v>0</v>
      </c>
      <c r="V2265" s="1394">
        <f t="shared" si="625"/>
        <v>0</v>
      </c>
      <c r="W2265" s="1394"/>
    </row>
    <row r="2266" spans="2:23" s="1506" customFormat="1" ht="30" customHeight="1">
      <c r="B2266" s="1507"/>
      <c r="C2266" s="1497" t="str">
        <f t="shared" si="636"/>
        <v>Station Writer</v>
      </c>
      <c r="D2266" s="99">
        <f t="shared" si="636"/>
        <v>1</v>
      </c>
      <c r="E2266" s="99">
        <f t="shared" si="636"/>
        <v>1</v>
      </c>
      <c r="F2266" s="1495">
        <f t="shared" si="637"/>
        <v>13.03</v>
      </c>
      <c r="G2266" s="1495"/>
      <c r="H2266" s="69">
        <f t="shared" si="638"/>
        <v>0.1</v>
      </c>
      <c r="I2266" s="1508">
        <f t="shared" si="623"/>
        <v>1.3</v>
      </c>
      <c r="M2266" s="1509"/>
      <c r="Q2266" s="1394">
        <f>IFERROR(VLOOKUP(M2266,#REF!,3,0),0)</f>
        <v>0</v>
      </c>
      <c r="R2266" s="1394">
        <f t="shared" si="621"/>
        <v>0</v>
      </c>
      <c r="S2266" s="1394">
        <f>IFERROR(VLOOKUP(M2266,#REF!,6,0),0)</f>
        <v>0</v>
      </c>
      <c r="T2266" s="1394">
        <f t="shared" si="624"/>
        <v>0</v>
      </c>
      <c r="U2266" s="1394">
        <f>IFERROR(VLOOKUP(M2266,#REF!,5,0),0)</f>
        <v>0</v>
      </c>
      <c r="V2266" s="1394">
        <f t="shared" si="625"/>
        <v>0</v>
      </c>
      <c r="W2266" s="1394"/>
    </row>
    <row r="2267" spans="2:23" s="1506" customFormat="1" ht="30" customHeight="1">
      <c r="B2267" s="1507"/>
      <c r="C2267" s="1497" t="str">
        <f t="shared" si="636"/>
        <v>Arms Ammunication</v>
      </c>
      <c r="D2267" s="99">
        <f t="shared" si="636"/>
        <v>1</v>
      </c>
      <c r="E2267" s="99">
        <f t="shared" si="636"/>
        <v>1</v>
      </c>
      <c r="F2267" s="1495">
        <f t="shared" si="637"/>
        <v>8.11</v>
      </c>
      <c r="G2267" s="1495"/>
      <c r="H2267" s="69">
        <f t="shared" si="638"/>
        <v>0.1</v>
      </c>
      <c r="I2267" s="1508">
        <f t="shared" si="623"/>
        <v>0.81</v>
      </c>
      <c r="M2267" s="1509"/>
      <c r="Q2267" s="1394">
        <f>IFERROR(VLOOKUP(M2267,#REF!,3,0),0)</f>
        <v>0</v>
      </c>
      <c r="R2267" s="1394">
        <f t="shared" si="621"/>
        <v>0</v>
      </c>
      <c r="S2267" s="1394">
        <f>IFERROR(VLOOKUP(M2267,#REF!,6,0),0)</f>
        <v>0</v>
      </c>
      <c r="T2267" s="1394">
        <f t="shared" si="624"/>
        <v>0</v>
      </c>
      <c r="U2267" s="1394">
        <f>IFERROR(VLOOKUP(M2267,#REF!,5,0),0)</f>
        <v>0</v>
      </c>
      <c r="V2267" s="1394">
        <f t="shared" si="625"/>
        <v>0</v>
      </c>
      <c r="W2267" s="1394"/>
    </row>
    <row r="2268" spans="2:23" s="1506" customFormat="1" ht="30" customHeight="1">
      <c r="B2268" s="1507"/>
      <c r="C2268" s="1497" t="str">
        <f t="shared" si="636"/>
        <v>Property Record</v>
      </c>
      <c r="D2268" s="99">
        <f t="shared" si="636"/>
        <v>1</v>
      </c>
      <c r="E2268" s="99">
        <f t="shared" si="636"/>
        <v>1</v>
      </c>
      <c r="F2268" s="1495">
        <f t="shared" si="637"/>
        <v>12.4</v>
      </c>
      <c r="G2268" s="1495"/>
      <c r="H2268" s="69">
        <f t="shared" si="638"/>
        <v>0.1</v>
      </c>
      <c r="I2268" s="1508">
        <f t="shared" si="623"/>
        <v>1.24</v>
      </c>
      <c r="M2268" s="1509"/>
      <c r="Q2268" s="1394">
        <f>IFERROR(VLOOKUP(M2268,#REF!,3,0),0)</f>
        <v>0</v>
      </c>
      <c r="R2268" s="1394">
        <f t="shared" si="621"/>
        <v>0</v>
      </c>
      <c r="S2268" s="1394">
        <f>IFERROR(VLOOKUP(M2268,#REF!,6,0),0)</f>
        <v>0</v>
      </c>
      <c r="T2268" s="1394">
        <f t="shared" si="624"/>
        <v>0</v>
      </c>
      <c r="U2268" s="1394">
        <f>IFERROR(VLOOKUP(M2268,#REF!,5,0),0)</f>
        <v>0</v>
      </c>
      <c r="V2268" s="1394">
        <f t="shared" si="625"/>
        <v>0</v>
      </c>
      <c r="W2268" s="1394"/>
    </row>
    <row r="2269" spans="2:23" s="1506" customFormat="1" ht="30" customHeight="1">
      <c r="B2269" s="1507"/>
      <c r="C2269" s="1497" t="str">
        <f t="shared" si="636"/>
        <v>Property Record Lobby</v>
      </c>
      <c r="D2269" s="99">
        <f t="shared" si="636"/>
        <v>1</v>
      </c>
      <c r="E2269" s="99">
        <f t="shared" si="636"/>
        <v>1</v>
      </c>
      <c r="F2269" s="1495">
        <f t="shared" si="637"/>
        <v>11.09</v>
      </c>
      <c r="G2269" s="1495"/>
      <c r="H2269" s="69">
        <f t="shared" si="638"/>
        <v>0.1</v>
      </c>
      <c r="I2269" s="1508">
        <f t="shared" si="623"/>
        <v>1.1100000000000001</v>
      </c>
      <c r="M2269" s="1509"/>
      <c r="Q2269" s="1394">
        <f>IFERROR(VLOOKUP(M2269,#REF!,3,0),0)</f>
        <v>0</v>
      </c>
      <c r="R2269" s="1394">
        <f t="shared" si="621"/>
        <v>0</v>
      </c>
      <c r="S2269" s="1394">
        <f>IFERROR(VLOOKUP(M2269,#REF!,6,0),0)</f>
        <v>0</v>
      </c>
      <c r="T2269" s="1394">
        <f t="shared" si="624"/>
        <v>0</v>
      </c>
      <c r="U2269" s="1394">
        <f>IFERROR(VLOOKUP(M2269,#REF!,5,0),0)</f>
        <v>0</v>
      </c>
      <c r="V2269" s="1394">
        <f t="shared" si="625"/>
        <v>0</v>
      </c>
      <c r="W2269" s="1394"/>
    </row>
    <row r="2270" spans="2:23" s="1506" customFormat="1" ht="30" customHeight="1">
      <c r="B2270" s="1507"/>
      <c r="C2270" s="1494" t="str">
        <f t="shared" si="636"/>
        <v>Second Floor</v>
      </c>
      <c r="D2270" s="99">
        <f t="shared" si="636"/>
        <v>0</v>
      </c>
      <c r="E2270" s="99">
        <f t="shared" si="636"/>
        <v>0</v>
      </c>
      <c r="F2270" s="1495">
        <f t="shared" si="637"/>
        <v>0</v>
      </c>
      <c r="G2270" s="1495"/>
      <c r="H2270" s="69">
        <f>H2217</f>
        <v>0</v>
      </c>
      <c r="I2270" s="1508">
        <f t="shared" si="623"/>
        <v>0</v>
      </c>
      <c r="M2270" s="1509"/>
      <c r="Q2270" s="1394">
        <f>IFERROR(VLOOKUP(M2270,#REF!,3,0),0)</f>
        <v>0</v>
      </c>
      <c r="R2270" s="1394">
        <f t="shared" si="621"/>
        <v>0</v>
      </c>
      <c r="S2270" s="1394">
        <f>IFERROR(VLOOKUP(M2270,#REF!,6,0),0)</f>
        <v>0</v>
      </c>
      <c r="T2270" s="1394">
        <f t="shared" si="624"/>
        <v>0</v>
      </c>
      <c r="U2270" s="1394">
        <f>IFERROR(VLOOKUP(M2270,#REF!,5,0),0)</f>
        <v>0</v>
      </c>
      <c r="V2270" s="1394">
        <f t="shared" si="625"/>
        <v>0</v>
      </c>
      <c r="W2270" s="1394"/>
    </row>
    <row r="2271" spans="2:23" s="1506" customFormat="1" ht="30" customHeight="1">
      <c r="B2271" s="1507"/>
      <c r="C2271" s="1497" t="str">
        <f t="shared" si="636"/>
        <v>Staircase Lift / lobby</v>
      </c>
      <c r="D2271" s="99">
        <f t="shared" si="636"/>
        <v>1</v>
      </c>
      <c r="E2271" s="99">
        <f t="shared" si="636"/>
        <v>1</v>
      </c>
      <c r="F2271" s="1495">
        <f t="shared" si="637"/>
        <v>13.536000000000001</v>
      </c>
      <c r="G2271" s="1495"/>
      <c r="H2271" s="69">
        <f t="shared" ref="H2271:H2272" si="639">$H$2247</f>
        <v>0.1</v>
      </c>
      <c r="I2271" s="1508">
        <f t="shared" si="623"/>
        <v>1.35</v>
      </c>
      <c r="M2271" s="1509"/>
      <c r="Q2271" s="1394">
        <f>IFERROR(VLOOKUP(M2271,#REF!,3,0),0)</f>
        <v>0</v>
      </c>
      <c r="R2271" s="1394">
        <f t="shared" si="621"/>
        <v>0</v>
      </c>
      <c r="S2271" s="1394">
        <f>IFERROR(VLOOKUP(M2271,#REF!,6,0),0)</f>
        <v>0</v>
      </c>
      <c r="T2271" s="1394">
        <f t="shared" si="624"/>
        <v>0</v>
      </c>
      <c r="U2271" s="1394">
        <f>IFERROR(VLOOKUP(M2271,#REF!,5,0),0)</f>
        <v>0</v>
      </c>
      <c r="V2271" s="1394">
        <f t="shared" si="625"/>
        <v>0</v>
      </c>
      <c r="W2271" s="1394"/>
    </row>
    <row r="2272" spans="2:23" s="1506" customFormat="1" ht="30" customHeight="1">
      <c r="B2272" s="1507"/>
      <c r="C2272" s="1497" t="str">
        <f t="shared" si="636"/>
        <v>Staircase Lift / lobby</v>
      </c>
      <c r="D2272" s="99">
        <f t="shared" si="636"/>
        <v>1</v>
      </c>
      <c r="E2272" s="99">
        <f t="shared" si="636"/>
        <v>1</v>
      </c>
      <c r="F2272" s="1495">
        <f t="shared" si="637"/>
        <v>10.624000000000001</v>
      </c>
      <c r="G2272" s="1495"/>
      <c r="H2272" s="69">
        <f t="shared" si="639"/>
        <v>0.1</v>
      </c>
      <c r="I2272" s="1508">
        <f t="shared" si="623"/>
        <v>1.06</v>
      </c>
      <c r="M2272" s="1509"/>
      <c r="Q2272" s="1394">
        <f>IFERROR(VLOOKUP(M2272,#REF!,3,0),0)</f>
        <v>0</v>
      </c>
      <c r="R2272" s="1394">
        <f t="shared" si="621"/>
        <v>0</v>
      </c>
      <c r="S2272" s="1394">
        <f>IFERROR(VLOOKUP(M2272,#REF!,6,0),0)</f>
        <v>0</v>
      </c>
      <c r="T2272" s="1394">
        <f t="shared" si="624"/>
        <v>0</v>
      </c>
      <c r="U2272" s="1394">
        <f>IFERROR(VLOOKUP(M2272,#REF!,5,0),0)</f>
        <v>0</v>
      </c>
      <c r="V2272" s="1394">
        <f t="shared" si="625"/>
        <v>0</v>
      </c>
      <c r="W2272" s="1394"/>
    </row>
    <row r="2273" spans="2:23" s="1506" customFormat="1" ht="30" customHeight="1">
      <c r="B2273" s="1507"/>
      <c r="C2273" s="1497" t="str">
        <f t="shared" si="636"/>
        <v>Women Rest Room</v>
      </c>
      <c r="D2273" s="99">
        <f t="shared" si="636"/>
        <v>1</v>
      </c>
      <c r="E2273" s="99">
        <f t="shared" si="636"/>
        <v>1</v>
      </c>
      <c r="F2273" s="1495">
        <f t="shared" si="637"/>
        <v>18.2</v>
      </c>
      <c r="G2273" s="1495"/>
      <c r="H2273" s="69">
        <f t="shared" ref="H2273:H2284" si="640">$H$2247</f>
        <v>0.1</v>
      </c>
      <c r="I2273" s="1508">
        <f t="shared" si="623"/>
        <v>1.82</v>
      </c>
      <c r="M2273" s="1509"/>
      <c r="Q2273" s="1394">
        <f>IFERROR(VLOOKUP(M2273,#REF!,3,0),0)</f>
        <v>0</v>
      </c>
      <c r="R2273" s="1394">
        <f t="shared" si="621"/>
        <v>0</v>
      </c>
      <c r="S2273" s="1394">
        <f>IFERROR(VLOOKUP(M2273,#REF!,6,0),0)</f>
        <v>0</v>
      </c>
      <c r="T2273" s="1394">
        <f t="shared" si="624"/>
        <v>0</v>
      </c>
      <c r="U2273" s="1394">
        <f>IFERROR(VLOOKUP(M2273,#REF!,5,0),0)</f>
        <v>0</v>
      </c>
      <c r="V2273" s="1394">
        <f t="shared" si="625"/>
        <v>0</v>
      </c>
      <c r="W2273" s="1394"/>
    </row>
    <row r="2274" spans="2:23" s="1506" customFormat="1" ht="30" customHeight="1">
      <c r="B2274" s="1507"/>
      <c r="C2274" s="1497" t="str">
        <f t="shared" si="636"/>
        <v>Women Rest Room Lobby</v>
      </c>
      <c r="D2274" s="99">
        <f t="shared" si="636"/>
        <v>1</v>
      </c>
      <c r="E2274" s="99">
        <f t="shared" si="636"/>
        <v>1</v>
      </c>
      <c r="F2274" s="1495">
        <f t="shared" si="637"/>
        <v>5.92</v>
      </c>
      <c r="G2274" s="1495"/>
      <c r="H2274" s="69">
        <f t="shared" si="640"/>
        <v>0.1</v>
      </c>
      <c r="I2274" s="1508">
        <f t="shared" si="623"/>
        <v>0.59</v>
      </c>
      <c r="M2274" s="1509"/>
      <c r="Q2274" s="1394">
        <f>IFERROR(VLOOKUP(M2274,#REF!,3,0),0)</f>
        <v>0</v>
      </c>
      <c r="R2274" s="1394">
        <f t="shared" si="621"/>
        <v>0</v>
      </c>
      <c r="S2274" s="1394">
        <f>IFERROR(VLOOKUP(M2274,#REF!,6,0),0)</f>
        <v>0</v>
      </c>
      <c r="T2274" s="1394">
        <f t="shared" si="624"/>
        <v>0</v>
      </c>
      <c r="U2274" s="1394">
        <f>IFERROR(VLOOKUP(M2274,#REF!,5,0),0)</f>
        <v>0</v>
      </c>
      <c r="V2274" s="1394">
        <f t="shared" si="625"/>
        <v>0</v>
      </c>
      <c r="W2274" s="1394"/>
    </row>
    <row r="2275" spans="2:23" s="1506" customFormat="1" ht="30" customHeight="1">
      <c r="B2275" s="1507"/>
      <c r="C2275" s="1497" t="str">
        <f t="shared" si="636"/>
        <v>Ins  Crime  Room</v>
      </c>
      <c r="D2275" s="99">
        <f t="shared" si="636"/>
        <v>1</v>
      </c>
      <c r="E2275" s="99">
        <f t="shared" si="636"/>
        <v>1</v>
      </c>
      <c r="F2275" s="1495">
        <f t="shared" si="637"/>
        <v>18.2</v>
      </c>
      <c r="G2275" s="1495"/>
      <c r="H2275" s="69">
        <f t="shared" si="640"/>
        <v>0.1</v>
      </c>
      <c r="I2275" s="1508">
        <f t="shared" si="623"/>
        <v>1.82</v>
      </c>
      <c r="M2275" s="1509"/>
      <c r="Q2275" s="1394">
        <f>IFERROR(VLOOKUP(M2275,#REF!,3,0),0)</f>
        <v>0</v>
      </c>
      <c r="R2275" s="1394">
        <f t="shared" si="621"/>
        <v>0</v>
      </c>
      <c r="S2275" s="1394">
        <f>IFERROR(VLOOKUP(M2275,#REF!,6,0),0)</f>
        <v>0</v>
      </c>
      <c r="T2275" s="1394">
        <f t="shared" si="624"/>
        <v>0</v>
      </c>
      <c r="U2275" s="1394">
        <f>IFERROR(VLOOKUP(M2275,#REF!,5,0),0)</f>
        <v>0</v>
      </c>
      <c r="V2275" s="1394">
        <f t="shared" si="625"/>
        <v>0</v>
      </c>
      <c r="W2275" s="1394"/>
    </row>
    <row r="2276" spans="2:23" s="1506" customFormat="1" ht="30" customHeight="1">
      <c r="B2276" s="1507"/>
      <c r="C2276" s="1497" t="str">
        <f t="shared" si="636"/>
        <v xml:space="preserve"> Ins Crime Room Lobby</v>
      </c>
      <c r="D2276" s="99">
        <f t="shared" si="636"/>
        <v>1</v>
      </c>
      <c r="E2276" s="99">
        <f t="shared" si="636"/>
        <v>1</v>
      </c>
      <c r="F2276" s="1495">
        <f t="shared" si="637"/>
        <v>5.92</v>
      </c>
      <c r="G2276" s="1495"/>
      <c r="H2276" s="69">
        <f t="shared" si="640"/>
        <v>0.1</v>
      </c>
      <c r="I2276" s="1508">
        <f t="shared" si="623"/>
        <v>0.59</v>
      </c>
      <c r="M2276" s="1509"/>
      <c r="Q2276" s="1394">
        <f>IFERROR(VLOOKUP(M2276,#REF!,3,0),0)</f>
        <v>0</v>
      </c>
      <c r="R2276" s="1394">
        <f t="shared" si="621"/>
        <v>0</v>
      </c>
      <c r="S2276" s="1394">
        <f>IFERROR(VLOOKUP(M2276,#REF!,6,0),0)</f>
        <v>0</v>
      </c>
      <c r="T2276" s="1394">
        <f t="shared" si="624"/>
        <v>0</v>
      </c>
      <c r="U2276" s="1394">
        <f>IFERROR(VLOOKUP(M2276,#REF!,5,0),0)</f>
        <v>0</v>
      </c>
      <c r="V2276" s="1394">
        <f t="shared" si="625"/>
        <v>0</v>
      </c>
      <c r="W2276" s="1394"/>
    </row>
    <row r="2277" spans="2:23" s="1506" customFormat="1" ht="30" customHeight="1">
      <c r="B2277" s="1507"/>
      <c r="C2277" s="1497" t="str">
        <f t="shared" si="636"/>
        <v>Writer Room</v>
      </c>
      <c r="D2277" s="99">
        <f t="shared" si="636"/>
        <v>1</v>
      </c>
      <c r="E2277" s="99">
        <f t="shared" si="636"/>
        <v>1</v>
      </c>
      <c r="F2277" s="1495">
        <f t="shared" si="637"/>
        <v>16.43</v>
      </c>
      <c r="G2277" s="1495"/>
      <c r="H2277" s="69">
        <f t="shared" si="640"/>
        <v>0.1</v>
      </c>
      <c r="I2277" s="1508">
        <f t="shared" si="623"/>
        <v>1.64</v>
      </c>
      <c r="M2277" s="1509"/>
      <c r="Q2277" s="1394">
        <f>IFERROR(VLOOKUP(M2277,#REF!,3,0),0)</f>
        <v>0</v>
      </c>
      <c r="R2277" s="1394">
        <f t="shared" si="621"/>
        <v>0</v>
      </c>
      <c r="S2277" s="1394">
        <f>IFERROR(VLOOKUP(M2277,#REF!,6,0),0)</f>
        <v>0</v>
      </c>
      <c r="T2277" s="1394">
        <f t="shared" si="624"/>
        <v>0</v>
      </c>
      <c r="U2277" s="1394">
        <f>IFERROR(VLOOKUP(M2277,#REF!,5,0),0)</f>
        <v>0</v>
      </c>
      <c r="V2277" s="1394">
        <f t="shared" si="625"/>
        <v>0</v>
      </c>
      <c r="W2277" s="1394"/>
    </row>
    <row r="2278" spans="2:23" s="1506" customFormat="1" ht="30" customHeight="1">
      <c r="B2278" s="1507"/>
      <c r="C2278" s="1497" t="str">
        <f>C2190</f>
        <v>Hall</v>
      </c>
      <c r="D2278" s="99">
        <f>D2190</f>
        <v>1</v>
      </c>
      <c r="E2278" s="99">
        <f>E2190</f>
        <v>1</v>
      </c>
      <c r="F2278" s="1495">
        <f>(F2190+G2190)*2</f>
        <v>31.29</v>
      </c>
      <c r="G2278" s="1495"/>
      <c r="H2278" s="69">
        <f t="shared" si="640"/>
        <v>0.1</v>
      </c>
      <c r="I2278" s="1508">
        <f t="shared" si="623"/>
        <v>3.13</v>
      </c>
      <c r="M2278" s="1509"/>
      <c r="Q2278" s="1394">
        <f>IFERROR(VLOOKUP(M2278,#REF!,3,0),0)</f>
        <v>0</v>
      </c>
      <c r="R2278" s="1394">
        <f t="shared" si="621"/>
        <v>0</v>
      </c>
      <c r="S2278" s="1394">
        <f>IFERROR(VLOOKUP(M2278,#REF!,6,0),0)</f>
        <v>0</v>
      </c>
      <c r="T2278" s="1394">
        <f t="shared" si="624"/>
        <v>0</v>
      </c>
      <c r="U2278" s="1394">
        <f>IFERROR(VLOOKUP(M2278,#REF!,5,0),0)</f>
        <v>0</v>
      </c>
      <c r="V2278" s="1394">
        <f t="shared" si="625"/>
        <v>0</v>
      </c>
      <c r="W2278" s="1394"/>
    </row>
    <row r="2279" spans="2:23" s="1506" customFormat="1" ht="30" customHeight="1">
      <c r="B2279" s="1507"/>
      <c r="C2279" s="1497" t="str">
        <f t="shared" ref="C2279:E2285" si="641">C2225</f>
        <v>Computer Room</v>
      </c>
      <c r="D2279" s="99">
        <f t="shared" si="641"/>
        <v>1</v>
      </c>
      <c r="E2279" s="99">
        <f t="shared" si="641"/>
        <v>1</v>
      </c>
      <c r="F2279" s="1495">
        <f t="shared" ref="F2279:F2285" si="642">(F2225+G2225)*2</f>
        <v>16.03</v>
      </c>
      <c r="G2279" s="1495"/>
      <c r="H2279" s="69">
        <f t="shared" si="640"/>
        <v>0.1</v>
      </c>
      <c r="I2279" s="1508">
        <f t="shared" si="623"/>
        <v>1.6</v>
      </c>
      <c r="M2279" s="1509"/>
      <c r="Q2279" s="1394">
        <f>IFERROR(VLOOKUP(M2279,#REF!,3,0),0)</f>
        <v>0</v>
      </c>
      <c r="R2279" s="1394">
        <f t="shared" si="621"/>
        <v>0</v>
      </c>
      <c r="S2279" s="1394">
        <f>IFERROR(VLOOKUP(M2279,#REF!,6,0),0)</f>
        <v>0</v>
      </c>
      <c r="T2279" s="1394">
        <f t="shared" si="624"/>
        <v>0</v>
      </c>
      <c r="U2279" s="1394">
        <f>IFERROR(VLOOKUP(M2279,#REF!,5,0),0)</f>
        <v>0</v>
      </c>
      <c r="V2279" s="1394">
        <f t="shared" si="625"/>
        <v>0</v>
      </c>
      <c r="W2279" s="1394"/>
    </row>
    <row r="2280" spans="2:23" s="1506" customFormat="1" ht="30" customHeight="1">
      <c r="B2280" s="1507"/>
      <c r="C2280" s="1497" t="str">
        <f t="shared" si="641"/>
        <v>Computer Room Verandah</v>
      </c>
      <c r="D2280" s="99">
        <f t="shared" si="641"/>
        <v>1</v>
      </c>
      <c r="E2280" s="99">
        <f t="shared" si="641"/>
        <v>1</v>
      </c>
      <c r="F2280" s="1495">
        <f t="shared" si="642"/>
        <v>5</v>
      </c>
      <c r="G2280" s="1495"/>
      <c r="H2280" s="69">
        <f t="shared" si="640"/>
        <v>0.1</v>
      </c>
      <c r="I2280" s="1508">
        <f t="shared" si="623"/>
        <v>0.5</v>
      </c>
      <c r="M2280" s="1509"/>
      <c r="Q2280" s="1394">
        <f>IFERROR(VLOOKUP(M2280,#REF!,3,0),0)</f>
        <v>0</v>
      </c>
      <c r="R2280" s="1394">
        <f t="shared" si="621"/>
        <v>0</v>
      </c>
      <c r="S2280" s="1394">
        <f>IFERROR(VLOOKUP(M2280,#REF!,6,0),0)</f>
        <v>0</v>
      </c>
      <c r="T2280" s="1394">
        <f t="shared" si="624"/>
        <v>0</v>
      </c>
      <c r="U2280" s="1394">
        <f>IFERROR(VLOOKUP(M2280,#REF!,5,0),0)</f>
        <v>0</v>
      </c>
      <c r="V2280" s="1394">
        <f t="shared" si="625"/>
        <v>0</v>
      </c>
      <c r="W2280" s="1394"/>
    </row>
    <row r="2281" spans="2:23" s="1506" customFormat="1" ht="30" customHeight="1">
      <c r="B2281" s="1507"/>
      <c r="C2281" s="1497" t="str">
        <f t="shared" si="641"/>
        <v>SI room</v>
      </c>
      <c r="D2281" s="99">
        <f t="shared" si="641"/>
        <v>1</v>
      </c>
      <c r="E2281" s="99">
        <f t="shared" si="641"/>
        <v>1</v>
      </c>
      <c r="F2281" s="1495">
        <f t="shared" si="642"/>
        <v>20.88</v>
      </c>
      <c r="G2281" s="1495"/>
      <c r="H2281" s="69">
        <f t="shared" si="640"/>
        <v>0.1</v>
      </c>
      <c r="I2281" s="1508">
        <f t="shared" si="623"/>
        <v>2.09</v>
      </c>
      <c r="M2281" s="1509"/>
      <c r="Q2281" s="1394">
        <f>IFERROR(VLOOKUP(M2281,#REF!,3,0),0)</f>
        <v>0</v>
      </c>
      <c r="R2281" s="1394">
        <f t="shared" si="621"/>
        <v>0</v>
      </c>
      <c r="S2281" s="1394">
        <f>IFERROR(VLOOKUP(M2281,#REF!,6,0),0)</f>
        <v>0</v>
      </c>
      <c r="T2281" s="1394">
        <f t="shared" si="624"/>
        <v>0</v>
      </c>
      <c r="U2281" s="1394">
        <f>IFERROR(VLOOKUP(M2281,#REF!,5,0),0)</f>
        <v>0</v>
      </c>
      <c r="V2281" s="1394">
        <f t="shared" si="625"/>
        <v>0</v>
      </c>
      <c r="W2281" s="1394"/>
    </row>
    <row r="2282" spans="2:23" s="1506" customFormat="1" ht="30" customHeight="1">
      <c r="B2282" s="1507"/>
      <c r="C2282" s="1497" t="str">
        <f t="shared" si="641"/>
        <v>Record Room</v>
      </c>
      <c r="D2282" s="99">
        <f t="shared" si="641"/>
        <v>1</v>
      </c>
      <c r="E2282" s="99">
        <f t="shared" si="641"/>
        <v>1</v>
      </c>
      <c r="F2282" s="1495">
        <f t="shared" si="642"/>
        <v>8.57</v>
      </c>
      <c r="G2282" s="1495"/>
      <c r="H2282" s="69">
        <f t="shared" si="640"/>
        <v>0.1</v>
      </c>
      <c r="I2282" s="1508">
        <f t="shared" si="623"/>
        <v>0.86</v>
      </c>
      <c r="M2282" s="1509"/>
      <c r="Q2282" s="1394">
        <f>IFERROR(VLOOKUP(M2282,#REF!,3,0),0)</f>
        <v>0</v>
      </c>
      <c r="R2282" s="1394">
        <f t="shared" si="621"/>
        <v>0</v>
      </c>
      <c r="S2282" s="1394">
        <f>IFERROR(VLOOKUP(M2282,#REF!,6,0),0)</f>
        <v>0</v>
      </c>
      <c r="T2282" s="1394">
        <f t="shared" si="624"/>
        <v>0</v>
      </c>
      <c r="U2282" s="1394">
        <f>IFERROR(VLOOKUP(M2282,#REF!,5,0),0)</f>
        <v>0</v>
      </c>
      <c r="V2282" s="1394">
        <f t="shared" si="625"/>
        <v>0</v>
      </c>
      <c r="W2282" s="1394"/>
    </row>
    <row r="2283" spans="2:23" s="1506" customFormat="1" ht="30" customHeight="1">
      <c r="B2283" s="1507"/>
      <c r="C2283" s="1497" t="str">
        <f t="shared" si="641"/>
        <v>Interogation</v>
      </c>
      <c r="D2283" s="99">
        <f t="shared" si="641"/>
        <v>1</v>
      </c>
      <c r="E2283" s="99">
        <f t="shared" si="641"/>
        <v>1</v>
      </c>
      <c r="F2283" s="1495">
        <f t="shared" si="642"/>
        <v>12.4</v>
      </c>
      <c r="G2283" s="1495"/>
      <c r="H2283" s="69">
        <f t="shared" si="640"/>
        <v>0.1</v>
      </c>
      <c r="I2283" s="1508">
        <f t="shared" si="623"/>
        <v>1.24</v>
      </c>
      <c r="M2283" s="1509"/>
      <c r="Q2283" s="1394">
        <f>IFERROR(VLOOKUP(M2283,#REF!,3,0),0)</f>
        <v>0</v>
      </c>
      <c r="R2283" s="1394">
        <f t="shared" si="621"/>
        <v>0</v>
      </c>
      <c r="S2283" s="1394">
        <f>IFERROR(VLOOKUP(M2283,#REF!,6,0),0)</f>
        <v>0</v>
      </c>
      <c r="T2283" s="1394">
        <f t="shared" si="624"/>
        <v>0</v>
      </c>
      <c r="U2283" s="1394">
        <f>IFERROR(VLOOKUP(M2283,#REF!,5,0),0)</f>
        <v>0</v>
      </c>
      <c r="V2283" s="1394">
        <f t="shared" si="625"/>
        <v>0</v>
      </c>
      <c r="W2283" s="1394"/>
    </row>
    <row r="2284" spans="2:23" s="1506" customFormat="1" ht="30" customHeight="1">
      <c r="B2284" s="1507"/>
      <c r="C2284" s="1497" t="str">
        <f t="shared" si="641"/>
        <v>Interogation Lobby</v>
      </c>
      <c r="D2284" s="99">
        <f t="shared" si="641"/>
        <v>1</v>
      </c>
      <c r="E2284" s="99">
        <f t="shared" si="641"/>
        <v>1</v>
      </c>
      <c r="F2284" s="1495">
        <f t="shared" si="642"/>
        <v>11.09</v>
      </c>
      <c r="G2284" s="1495"/>
      <c r="H2284" s="69">
        <f t="shared" si="640"/>
        <v>0.1</v>
      </c>
      <c r="I2284" s="1508">
        <f t="shared" si="623"/>
        <v>1.1100000000000001</v>
      </c>
      <c r="M2284" s="1509"/>
      <c r="Q2284" s="1394">
        <f>IFERROR(VLOOKUP(M2284,#REF!,3,0),0)</f>
        <v>0</v>
      </c>
      <c r="R2284" s="1394">
        <f t="shared" si="621"/>
        <v>0</v>
      </c>
      <c r="S2284" s="1394">
        <f>IFERROR(VLOOKUP(M2284,#REF!,6,0),0)</f>
        <v>0</v>
      </c>
      <c r="T2284" s="1394">
        <f t="shared" si="624"/>
        <v>0</v>
      </c>
      <c r="U2284" s="1394">
        <f>IFERROR(VLOOKUP(M2284,#REF!,5,0),0)</f>
        <v>0</v>
      </c>
      <c r="V2284" s="1394">
        <f t="shared" si="625"/>
        <v>0</v>
      </c>
      <c r="W2284" s="1394"/>
    </row>
    <row r="2285" spans="2:23" s="1506" customFormat="1" ht="30" customHeight="1">
      <c r="B2285" s="1507"/>
      <c r="C2285" s="1494" t="str">
        <f t="shared" si="641"/>
        <v>Thiord Floor</v>
      </c>
      <c r="D2285" s="99">
        <f t="shared" si="641"/>
        <v>0</v>
      </c>
      <c r="E2285" s="99">
        <f t="shared" si="641"/>
        <v>0</v>
      </c>
      <c r="F2285" s="1495">
        <f t="shared" si="642"/>
        <v>0</v>
      </c>
      <c r="G2285" s="1495"/>
      <c r="H2285" s="69">
        <f>H2231</f>
        <v>0</v>
      </c>
      <c r="I2285" s="1508">
        <f t="shared" ref="I2285:I2299" si="643">ROUND((PRODUCT(D2285:H2285)),2)</f>
        <v>0</v>
      </c>
      <c r="M2285" s="1509"/>
      <c r="Q2285" s="1394">
        <f>IFERROR(VLOOKUP(M2285,#REF!,3,0),0)</f>
        <v>0</v>
      </c>
      <c r="R2285" s="1394">
        <f t="shared" si="621"/>
        <v>0</v>
      </c>
      <c r="S2285" s="1394">
        <f>IFERROR(VLOOKUP(M2285,#REF!,6,0),0)</f>
        <v>0</v>
      </c>
      <c r="T2285" s="1394">
        <f t="shared" si="624"/>
        <v>0</v>
      </c>
      <c r="U2285" s="1394">
        <f>IFERROR(VLOOKUP(M2285,#REF!,5,0),0)</f>
        <v>0</v>
      </c>
      <c r="V2285" s="1394">
        <f t="shared" si="625"/>
        <v>0</v>
      </c>
      <c r="W2285" s="1394"/>
    </row>
    <row r="2286" spans="2:23" s="1506" customFormat="1" ht="30" customHeight="1">
      <c r="B2286" s="1507"/>
      <c r="C2286" s="1497" t="str">
        <f t="shared" ref="C2286:E2287" si="644">C2192</f>
        <v>Staircase Lift / lobby</v>
      </c>
      <c r="D2286" s="99">
        <f t="shared" si="644"/>
        <v>1</v>
      </c>
      <c r="E2286" s="99">
        <f t="shared" si="644"/>
        <v>1</v>
      </c>
      <c r="F2286" s="1495">
        <f>(F2192+G2192)*2</f>
        <v>13.536000000000001</v>
      </c>
      <c r="G2286" s="1495"/>
      <c r="H2286" s="69">
        <f t="shared" ref="H2286:H2301" si="645">$H$2247</f>
        <v>0.1</v>
      </c>
      <c r="I2286" s="1508">
        <f t="shared" si="643"/>
        <v>1.35</v>
      </c>
      <c r="M2286" s="1509"/>
      <c r="Q2286" s="1394">
        <f>IFERROR(VLOOKUP(M2286,#REF!,3,0),0)</f>
        <v>0</v>
      </c>
      <c r="R2286" s="1394">
        <f t="shared" ref="R2286:R2349" si="646">ROUND(O2286,2)*ROUND(Q2286,2)</f>
        <v>0</v>
      </c>
      <c r="S2286" s="1394">
        <f>IFERROR(VLOOKUP(M2286,#REF!,6,0),0)</f>
        <v>0</v>
      </c>
      <c r="T2286" s="1394">
        <f t="shared" si="624"/>
        <v>0</v>
      </c>
      <c r="U2286" s="1394">
        <f>IFERROR(VLOOKUP(M2286,#REF!,5,0),0)</f>
        <v>0</v>
      </c>
      <c r="V2286" s="1394">
        <f t="shared" si="625"/>
        <v>0</v>
      </c>
      <c r="W2286" s="1394"/>
    </row>
    <row r="2287" spans="2:23" s="1506" customFormat="1" ht="30" customHeight="1">
      <c r="B2287" s="1507"/>
      <c r="C2287" s="1497" t="str">
        <f t="shared" si="644"/>
        <v>Staircase Lift / lobby</v>
      </c>
      <c r="D2287" s="99">
        <f t="shared" si="644"/>
        <v>1</v>
      </c>
      <c r="E2287" s="99">
        <f t="shared" si="644"/>
        <v>1</v>
      </c>
      <c r="F2287" s="1495">
        <f>(F2193+G2193)*2</f>
        <v>10.624000000000001</v>
      </c>
      <c r="G2287" s="1495"/>
      <c r="H2287" s="69">
        <f t="shared" si="645"/>
        <v>0.1</v>
      </c>
      <c r="I2287" s="1508">
        <f t="shared" si="643"/>
        <v>1.06</v>
      </c>
      <c r="M2287" s="1509"/>
      <c r="Q2287" s="1394">
        <f>IFERROR(VLOOKUP(M2287,#REF!,3,0),0)</f>
        <v>0</v>
      </c>
      <c r="R2287" s="1394">
        <f t="shared" si="646"/>
        <v>0</v>
      </c>
      <c r="S2287" s="1394">
        <f>IFERROR(VLOOKUP(M2287,#REF!,6,0),0)</f>
        <v>0</v>
      </c>
      <c r="T2287" s="1394">
        <f t="shared" si="624"/>
        <v>0</v>
      </c>
      <c r="U2287" s="1394">
        <f>IFERROR(VLOOKUP(M2287,#REF!,5,0),0)</f>
        <v>0</v>
      </c>
      <c r="V2287" s="1394">
        <f t="shared" si="625"/>
        <v>0</v>
      </c>
      <c r="W2287" s="1394"/>
    </row>
    <row r="2288" spans="2:23" s="1506" customFormat="1" ht="30" customHeight="1">
      <c r="B2288" s="1507"/>
      <c r="C2288" s="1497" t="str">
        <f t="shared" ref="C2288:E2292" si="647">C2232</f>
        <v>Men Rest Room</v>
      </c>
      <c r="D2288" s="99">
        <f t="shared" si="647"/>
        <v>1</v>
      </c>
      <c r="E2288" s="99">
        <f t="shared" si="647"/>
        <v>1</v>
      </c>
      <c r="F2288" s="1495">
        <f>(F2232+G2232)*2</f>
        <v>18.2</v>
      </c>
      <c r="G2288" s="1495"/>
      <c r="H2288" s="69">
        <f t="shared" si="645"/>
        <v>0.1</v>
      </c>
      <c r="I2288" s="1508">
        <f t="shared" si="643"/>
        <v>1.82</v>
      </c>
      <c r="M2288" s="1509"/>
      <c r="Q2288" s="1394">
        <f>IFERROR(VLOOKUP(M2288,#REF!,3,0),0)</f>
        <v>0</v>
      </c>
      <c r="R2288" s="1394">
        <f t="shared" si="646"/>
        <v>0</v>
      </c>
      <c r="S2288" s="1394">
        <f>IFERROR(VLOOKUP(M2288,#REF!,6,0),0)</f>
        <v>0</v>
      </c>
      <c r="T2288" s="1394">
        <f t="shared" si="624"/>
        <v>0</v>
      </c>
      <c r="U2288" s="1394">
        <f>IFERROR(VLOOKUP(M2288,#REF!,5,0),0)</f>
        <v>0</v>
      </c>
      <c r="V2288" s="1394">
        <f t="shared" si="625"/>
        <v>0</v>
      </c>
      <c r="W2288" s="1394"/>
    </row>
    <row r="2289" spans="2:23" s="1506" customFormat="1" ht="30" customHeight="1">
      <c r="B2289" s="1507"/>
      <c r="C2289" s="1497" t="str">
        <f t="shared" si="647"/>
        <v>Men Rest Room Lobby</v>
      </c>
      <c r="D2289" s="99">
        <f t="shared" si="647"/>
        <v>1</v>
      </c>
      <c r="E2289" s="99">
        <f t="shared" si="647"/>
        <v>1</v>
      </c>
      <c r="F2289" s="1495">
        <f>(F2233+G2233)*2</f>
        <v>5.92</v>
      </c>
      <c r="G2289" s="1495"/>
      <c r="H2289" s="69">
        <f t="shared" si="645"/>
        <v>0.1</v>
      </c>
      <c r="I2289" s="1508">
        <f t="shared" si="643"/>
        <v>0.59</v>
      </c>
      <c r="M2289" s="1509"/>
      <c r="Q2289" s="1394">
        <f>IFERROR(VLOOKUP(M2289,#REF!,3,0),0)</f>
        <v>0</v>
      </c>
      <c r="R2289" s="1394">
        <f t="shared" si="646"/>
        <v>0</v>
      </c>
      <c r="S2289" s="1394">
        <f>IFERROR(VLOOKUP(M2289,#REF!,6,0),0)</f>
        <v>0</v>
      </c>
      <c r="T2289" s="1394">
        <f t="shared" si="624"/>
        <v>0</v>
      </c>
      <c r="U2289" s="1394">
        <f>IFERROR(VLOOKUP(M2289,#REF!,5,0),0)</f>
        <v>0</v>
      </c>
      <c r="V2289" s="1394">
        <f t="shared" si="625"/>
        <v>0</v>
      </c>
      <c r="W2289" s="1394"/>
    </row>
    <row r="2290" spans="2:23" s="1506" customFormat="1" ht="30" customHeight="1">
      <c r="B2290" s="1507"/>
      <c r="C2290" s="1497" t="str">
        <f t="shared" si="647"/>
        <v>Ins  Traffic  Room</v>
      </c>
      <c r="D2290" s="99">
        <f t="shared" si="647"/>
        <v>1</v>
      </c>
      <c r="E2290" s="99">
        <f t="shared" si="647"/>
        <v>1</v>
      </c>
      <c r="F2290" s="1495">
        <f>(F2234+G2234)*2</f>
        <v>18.2</v>
      </c>
      <c r="G2290" s="1495"/>
      <c r="H2290" s="69">
        <f t="shared" si="645"/>
        <v>0.1</v>
      </c>
      <c r="I2290" s="1508">
        <f t="shared" si="643"/>
        <v>1.82</v>
      </c>
      <c r="M2290" s="1509"/>
      <c r="Q2290" s="1394">
        <f>IFERROR(VLOOKUP(M2290,#REF!,3,0),0)</f>
        <v>0</v>
      </c>
      <c r="R2290" s="1394">
        <f t="shared" si="646"/>
        <v>0</v>
      </c>
      <c r="S2290" s="1394">
        <f>IFERROR(VLOOKUP(M2290,#REF!,6,0),0)</f>
        <v>0</v>
      </c>
      <c r="T2290" s="1394">
        <f t="shared" si="624"/>
        <v>0</v>
      </c>
      <c r="U2290" s="1394">
        <f>IFERROR(VLOOKUP(M2290,#REF!,5,0),0)</f>
        <v>0</v>
      </c>
      <c r="V2290" s="1394">
        <f t="shared" si="625"/>
        <v>0</v>
      </c>
      <c r="W2290" s="1394"/>
    </row>
    <row r="2291" spans="2:23" s="1506" customFormat="1" ht="30" customHeight="1">
      <c r="B2291" s="1507"/>
      <c r="C2291" s="1497" t="str">
        <f t="shared" si="647"/>
        <v>Ins TrafficRoom Lobby</v>
      </c>
      <c r="D2291" s="99">
        <f t="shared" si="647"/>
        <v>1</v>
      </c>
      <c r="E2291" s="99">
        <f t="shared" si="647"/>
        <v>1</v>
      </c>
      <c r="F2291" s="1495">
        <f>(F2235+G2235)*2</f>
        <v>5.92</v>
      </c>
      <c r="G2291" s="1495"/>
      <c r="H2291" s="69">
        <f t="shared" si="645"/>
        <v>0.1</v>
      </c>
      <c r="I2291" s="1508">
        <f t="shared" si="643"/>
        <v>0.59</v>
      </c>
      <c r="M2291" s="1509"/>
      <c r="Q2291" s="1394">
        <f>IFERROR(VLOOKUP(M2291,#REF!,3,0),0)</f>
        <v>0</v>
      </c>
      <c r="R2291" s="1394">
        <f t="shared" si="646"/>
        <v>0</v>
      </c>
      <c r="S2291" s="1394">
        <f>IFERROR(VLOOKUP(M2291,#REF!,6,0),0)</f>
        <v>0</v>
      </c>
      <c r="T2291" s="1394">
        <f t="shared" si="624"/>
        <v>0</v>
      </c>
      <c r="U2291" s="1394">
        <f>IFERROR(VLOOKUP(M2291,#REF!,5,0),0)</f>
        <v>0</v>
      </c>
      <c r="V2291" s="1394">
        <f t="shared" si="625"/>
        <v>0</v>
      </c>
      <c r="W2291" s="1394"/>
    </row>
    <row r="2292" spans="2:23" s="1506" customFormat="1" ht="30" customHeight="1">
      <c r="B2292" s="1507"/>
      <c r="C2292" s="1497" t="str">
        <f t="shared" si="647"/>
        <v>Writer Room</v>
      </c>
      <c r="D2292" s="99">
        <f t="shared" si="647"/>
        <v>1</v>
      </c>
      <c r="E2292" s="99">
        <f t="shared" si="647"/>
        <v>1</v>
      </c>
      <c r="F2292" s="1495">
        <f>(F2236+G2236)*2</f>
        <v>16.43</v>
      </c>
      <c r="G2292" s="1495"/>
      <c r="H2292" s="69">
        <f t="shared" si="645"/>
        <v>0.1</v>
      </c>
      <c r="I2292" s="1508">
        <f t="shared" si="643"/>
        <v>1.64</v>
      </c>
      <c r="M2292" s="1509"/>
      <c r="Q2292" s="1394">
        <f>IFERROR(VLOOKUP(M2292,#REF!,3,0),0)</f>
        <v>0</v>
      </c>
      <c r="R2292" s="1394">
        <f t="shared" si="646"/>
        <v>0</v>
      </c>
      <c r="S2292" s="1394">
        <f>IFERROR(VLOOKUP(M2292,#REF!,6,0),0)</f>
        <v>0</v>
      </c>
      <c r="T2292" s="1394">
        <f t="shared" si="624"/>
        <v>0</v>
      </c>
      <c r="U2292" s="1394">
        <f>IFERROR(VLOOKUP(M2292,#REF!,5,0),0)</f>
        <v>0</v>
      </c>
      <c r="V2292" s="1394">
        <f t="shared" si="625"/>
        <v>0</v>
      </c>
      <c r="W2292" s="1394"/>
    </row>
    <row r="2293" spans="2:23" s="1506" customFormat="1" ht="30" customHeight="1">
      <c r="B2293" s="1507"/>
      <c r="C2293" s="1497" t="str">
        <f>C2194</f>
        <v>Hall</v>
      </c>
      <c r="D2293" s="99">
        <f>D2194</f>
        <v>1</v>
      </c>
      <c r="E2293" s="99">
        <f>E2194</f>
        <v>1</v>
      </c>
      <c r="F2293" s="1495">
        <f>(F2194+G2194)*2</f>
        <v>31.29</v>
      </c>
      <c r="G2293" s="1495"/>
      <c r="H2293" s="69">
        <f t="shared" si="645"/>
        <v>0.1</v>
      </c>
      <c r="I2293" s="1508">
        <f t="shared" si="643"/>
        <v>3.13</v>
      </c>
      <c r="M2293" s="1509"/>
      <c r="Q2293" s="1394">
        <f>IFERROR(VLOOKUP(M2293,#REF!,3,0),0)</f>
        <v>0</v>
      </c>
      <c r="R2293" s="1394">
        <f t="shared" si="646"/>
        <v>0</v>
      </c>
      <c r="S2293" s="1394">
        <f>IFERROR(VLOOKUP(M2293,#REF!,6,0),0)</f>
        <v>0</v>
      </c>
      <c r="T2293" s="1394">
        <f t="shared" si="624"/>
        <v>0</v>
      </c>
      <c r="U2293" s="1394">
        <f>IFERROR(VLOOKUP(M2293,#REF!,5,0),0)</f>
        <v>0</v>
      </c>
      <c r="V2293" s="1394">
        <f t="shared" si="625"/>
        <v>0</v>
      </c>
      <c r="W2293" s="1394"/>
    </row>
    <row r="2294" spans="2:23" s="1506" customFormat="1" ht="30" customHeight="1">
      <c r="B2294" s="1507"/>
      <c r="C2294" s="1497" t="str">
        <f t="shared" ref="C2294:E2299" si="648">C2237</f>
        <v>Store</v>
      </c>
      <c r="D2294" s="99">
        <f t="shared" si="648"/>
        <v>1</v>
      </c>
      <c r="E2294" s="99">
        <f t="shared" si="648"/>
        <v>1</v>
      </c>
      <c r="F2294" s="1495">
        <f t="shared" ref="F2294:F2299" si="649">(F2237+G2237)*2</f>
        <v>13.23</v>
      </c>
      <c r="G2294" s="1495"/>
      <c r="H2294" s="69">
        <f t="shared" si="645"/>
        <v>0.1</v>
      </c>
      <c r="I2294" s="1508">
        <f t="shared" si="643"/>
        <v>1.32</v>
      </c>
      <c r="M2294" s="1509"/>
      <c r="Q2294" s="1394">
        <f>IFERROR(VLOOKUP(M2294,#REF!,3,0),0)</f>
        <v>0</v>
      </c>
      <c r="R2294" s="1394">
        <f t="shared" si="646"/>
        <v>0</v>
      </c>
      <c r="S2294" s="1394">
        <f>IFERROR(VLOOKUP(M2294,#REF!,6,0),0)</f>
        <v>0</v>
      </c>
      <c r="T2294" s="1394">
        <f t="shared" si="624"/>
        <v>0</v>
      </c>
      <c r="U2294" s="1394">
        <f>IFERROR(VLOOKUP(M2294,#REF!,5,0),0)</f>
        <v>0</v>
      </c>
      <c r="V2294" s="1394">
        <f t="shared" si="625"/>
        <v>0</v>
      </c>
      <c r="W2294" s="1394"/>
    </row>
    <row r="2295" spans="2:23" s="1506" customFormat="1" ht="30" customHeight="1">
      <c r="B2295" s="1507"/>
      <c r="C2295" s="1497" t="str">
        <f t="shared" si="648"/>
        <v>Meeting Hall</v>
      </c>
      <c r="D2295" s="99">
        <f t="shared" si="648"/>
        <v>1</v>
      </c>
      <c r="E2295" s="99">
        <f t="shared" si="648"/>
        <v>1</v>
      </c>
      <c r="F2295" s="1495">
        <f t="shared" si="649"/>
        <v>26.14</v>
      </c>
      <c r="G2295" s="1495"/>
      <c r="H2295" s="69">
        <f t="shared" si="645"/>
        <v>0.1</v>
      </c>
      <c r="I2295" s="1508">
        <f t="shared" si="643"/>
        <v>2.61</v>
      </c>
      <c r="M2295" s="1509"/>
      <c r="Q2295" s="1394">
        <f>IFERROR(VLOOKUP(M2295,#REF!,3,0),0)</f>
        <v>0</v>
      </c>
      <c r="R2295" s="1394">
        <f t="shared" si="646"/>
        <v>0</v>
      </c>
      <c r="S2295" s="1394">
        <f>IFERROR(VLOOKUP(M2295,#REF!,6,0),0)</f>
        <v>0</v>
      </c>
      <c r="T2295" s="1394">
        <f t="shared" si="624"/>
        <v>0</v>
      </c>
      <c r="U2295" s="1394">
        <f>IFERROR(VLOOKUP(M2295,#REF!,5,0),0)</f>
        <v>0</v>
      </c>
      <c r="V2295" s="1394">
        <f t="shared" si="625"/>
        <v>0</v>
      </c>
      <c r="W2295" s="1394"/>
    </row>
    <row r="2296" spans="2:23" s="1506" customFormat="1" ht="30" customHeight="1">
      <c r="B2296" s="1507"/>
      <c r="C2296" s="1497" t="str">
        <f t="shared" si="648"/>
        <v>C/B</v>
      </c>
      <c r="D2296" s="99">
        <f t="shared" si="648"/>
        <v>1</v>
      </c>
      <c r="E2296" s="99">
        <f t="shared" si="648"/>
        <v>1</v>
      </c>
      <c r="F2296" s="1495">
        <f t="shared" si="649"/>
        <v>9</v>
      </c>
      <c r="G2296" s="1495"/>
      <c r="H2296" s="69">
        <f t="shared" si="645"/>
        <v>0.1</v>
      </c>
      <c r="I2296" s="1508">
        <f t="shared" si="643"/>
        <v>0.9</v>
      </c>
      <c r="M2296" s="1509"/>
      <c r="Q2296" s="1394">
        <f>IFERROR(VLOOKUP(M2296,#REF!,3,0),0)</f>
        <v>0</v>
      </c>
      <c r="R2296" s="1394">
        <f t="shared" si="646"/>
        <v>0</v>
      </c>
      <c r="S2296" s="1394">
        <f>IFERROR(VLOOKUP(M2296,#REF!,6,0),0)</f>
        <v>0</v>
      </c>
      <c r="T2296" s="1394">
        <f t="shared" si="624"/>
        <v>0</v>
      </c>
      <c r="U2296" s="1394">
        <f>IFERROR(VLOOKUP(M2296,#REF!,5,0),0)</f>
        <v>0</v>
      </c>
      <c r="V2296" s="1394">
        <f t="shared" si="625"/>
        <v>0</v>
      </c>
      <c r="W2296" s="1394"/>
    </row>
    <row r="2297" spans="2:23" s="1506" customFormat="1" ht="30" customHeight="1">
      <c r="B2297" s="1507"/>
      <c r="C2297" s="1497" t="str">
        <f t="shared" si="648"/>
        <v>Men Rest Room</v>
      </c>
      <c r="D2297" s="99">
        <f t="shared" si="648"/>
        <v>1</v>
      </c>
      <c r="E2297" s="99">
        <f t="shared" si="648"/>
        <v>1</v>
      </c>
      <c r="F2297" s="1495">
        <f t="shared" si="649"/>
        <v>15.52</v>
      </c>
      <c r="G2297" s="1495"/>
      <c r="H2297" s="69">
        <f t="shared" si="645"/>
        <v>0.1</v>
      </c>
      <c r="I2297" s="1508">
        <f t="shared" si="643"/>
        <v>1.55</v>
      </c>
      <c r="M2297" s="1509"/>
      <c r="Q2297" s="1394">
        <f>IFERROR(VLOOKUP(M2297,#REF!,3,0),0)</f>
        <v>0</v>
      </c>
      <c r="R2297" s="1394">
        <f t="shared" si="646"/>
        <v>0</v>
      </c>
      <c r="S2297" s="1394">
        <f>IFERROR(VLOOKUP(M2297,#REF!,6,0),0)</f>
        <v>0</v>
      </c>
      <c r="T2297" s="1394">
        <f t="shared" si="624"/>
        <v>0</v>
      </c>
      <c r="U2297" s="1394">
        <f>IFERROR(VLOOKUP(M2297,#REF!,5,0),0)</f>
        <v>0</v>
      </c>
      <c r="V2297" s="1394">
        <f t="shared" si="625"/>
        <v>0</v>
      </c>
      <c r="W2297" s="1394"/>
    </row>
    <row r="2298" spans="2:23" s="1506" customFormat="1" ht="30" customHeight="1">
      <c r="B2298" s="1507"/>
      <c r="C2298" s="1497" t="str">
        <f t="shared" si="648"/>
        <v>C/B</v>
      </c>
      <c r="D2298" s="99">
        <f t="shared" si="648"/>
        <v>1</v>
      </c>
      <c r="E2298" s="99">
        <f t="shared" si="648"/>
        <v>1</v>
      </c>
      <c r="F2298" s="1495">
        <f t="shared" si="649"/>
        <v>9</v>
      </c>
      <c r="G2298" s="1495"/>
      <c r="H2298" s="69">
        <f t="shared" si="645"/>
        <v>0.1</v>
      </c>
      <c r="I2298" s="1508">
        <f t="shared" si="643"/>
        <v>0.9</v>
      </c>
      <c r="M2298" s="1509"/>
      <c r="Q2298" s="1394">
        <f>IFERROR(VLOOKUP(M2298,#REF!,3,0),0)</f>
        <v>0</v>
      </c>
      <c r="R2298" s="1394">
        <f t="shared" si="646"/>
        <v>0</v>
      </c>
      <c r="S2298" s="1394">
        <f>IFERROR(VLOOKUP(M2298,#REF!,6,0),0)</f>
        <v>0</v>
      </c>
      <c r="T2298" s="1394">
        <f t="shared" si="624"/>
        <v>0</v>
      </c>
      <c r="U2298" s="1394">
        <f>IFERROR(VLOOKUP(M2298,#REF!,5,0),0)</f>
        <v>0</v>
      </c>
      <c r="V2298" s="1394">
        <f t="shared" si="625"/>
        <v>0</v>
      </c>
      <c r="W2298" s="1394"/>
    </row>
    <row r="2299" spans="2:23" s="1506" customFormat="1" ht="30" customHeight="1">
      <c r="B2299" s="1507"/>
      <c r="C2299" s="1497" t="str">
        <f t="shared" si="648"/>
        <v>Balcony Entrance</v>
      </c>
      <c r="D2299" s="99">
        <f t="shared" si="648"/>
        <v>1</v>
      </c>
      <c r="E2299" s="99">
        <f t="shared" si="648"/>
        <v>1</v>
      </c>
      <c r="F2299" s="1495">
        <f t="shared" si="649"/>
        <v>7.7200000000000006</v>
      </c>
      <c r="G2299" s="1495"/>
      <c r="H2299" s="69">
        <f t="shared" si="645"/>
        <v>0.1</v>
      </c>
      <c r="I2299" s="1508">
        <f t="shared" si="643"/>
        <v>0.77</v>
      </c>
      <c r="M2299" s="1509"/>
      <c r="Q2299" s="1394">
        <f>IFERROR(VLOOKUP(M2299,#REF!,3,0),0)</f>
        <v>0</v>
      </c>
      <c r="R2299" s="1394">
        <f t="shared" si="646"/>
        <v>0</v>
      </c>
      <c r="S2299" s="1394">
        <f>IFERROR(VLOOKUP(M2299,#REF!,6,0),0)</f>
        <v>0</v>
      </c>
      <c r="T2299" s="1394">
        <f t="shared" si="624"/>
        <v>0</v>
      </c>
      <c r="U2299" s="1394">
        <f>IFERROR(VLOOKUP(M2299,#REF!,5,0),0)</f>
        <v>0</v>
      </c>
      <c r="V2299" s="1394">
        <f t="shared" si="625"/>
        <v>0</v>
      </c>
      <c r="W2299" s="1394"/>
    </row>
    <row r="2300" spans="2:23" s="1506" customFormat="1" ht="30" customHeight="1">
      <c r="B2300" s="1507"/>
      <c r="C2300" s="1494" t="s">
        <v>262</v>
      </c>
      <c r="D2300" s="99"/>
      <c r="E2300" s="99"/>
      <c r="F2300" s="1495"/>
      <c r="G2300" s="1495"/>
      <c r="H2300" s="69"/>
      <c r="I2300" s="1508"/>
      <c r="M2300" s="1509"/>
      <c r="Q2300" s="1394">
        <f>IFERROR(VLOOKUP(M2300,#REF!,3,0),0)</f>
        <v>0</v>
      </c>
      <c r="R2300" s="1394">
        <f t="shared" si="646"/>
        <v>0</v>
      </c>
      <c r="S2300" s="1394">
        <f>IFERROR(VLOOKUP(M2300,#REF!,6,0),0)</f>
        <v>0</v>
      </c>
      <c r="T2300" s="1394">
        <f t="shared" ref="T2300:T2380" si="650">R2300-S2300</f>
        <v>0</v>
      </c>
      <c r="U2300" s="1394">
        <f>IFERROR(VLOOKUP(M2300,#REF!,5,0),0)</f>
        <v>0</v>
      </c>
      <c r="V2300" s="1394">
        <f t="shared" ref="V2300:V2380" si="651">O2300-U2300</f>
        <v>0</v>
      </c>
      <c r="W2300" s="1394"/>
    </row>
    <row r="2301" spans="2:23" s="1506" customFormat="1" ht="30" customHeight="1">
      <c r="B2301" s="1507"/>
      <c r="C2301" s="1497" t="str">
        <f>C2244</f>
        <v>Lift MACHINE Room</v>
      </c>
      <c r="D2301" s="99">
        <f>D2244</f>
        <v>1</v>
      </c>
      <c r="E2301" s="99">
        <f>E2244</f>
        <v>1</v>
      </c>
      <c r="F2301" s="1495">
        <f>(F2244+G2244)*2</f>
        <v>17.71</v>
      </c>
      <c r="G2301" s="1495"/>
      <c r="H2301" s="69">
        <f t="shared" si="645"/>
        <v>0.1</v>
      </c>
      <c r="I2301" s="1508">
        <f t="shared" ref="I2301" si="652">ROUND((PRODUCT(D2301:H2301)),2)</f>
        <v>1.77</v>
      </c>
      <c r="M2301" s="1509"/>
      <c r="Q2301" s="1394">
        <f>IFERROR(VLOOKUP(M2301,#REF!,3,0),0)</f>
        <v>0</v>
      </c>
      <c r="R2301" s="1394">
        <f t="shared" si="646"/>
        <v>0</v>
      </c>
      <c r="S2301" s="1394">
        <f>IFERROR(VLOOKUP(M2301,#REF!,6,0),0)</f>
        <v>0</v>
      </c>
      <c r="T2301" s="1394">
        <f t="shared" si="650"/>
        <v>0</v>
      </c>
      <c r="U2301" s="1394">
        <f>IFERROR(VLOOKUP(M2301,#REF!,5,0),0)</f>
        <v>0</v>
      </c>
      <c r="V2301" s="1394">
        <f t="shared" si="651"/>
        <v>0</v>
      </c>
      <c r="W2301" s="1394"/>
    </row>
    <row r="2302" spans="2:23" s="1506" customFormat="1" ht="30" customHeight="1">
      <c r="B2302" s="1507"/>
      <c r="C2302" s="1497"/>
      <c r="D2302" s="99"/>
      <c r="E2302" s="99"/>
      <c r="F2302" s="1495"/>
      <c r="G2302" s="1495"/>
      <c r="H2302" s="69"/>
      <c r="I2302" s="1508"/>
      <c r="M2302" s="1509"/>
      <c r="Q2302" s="1394">
        <f>IFERROR(VLOOKUP(M2302,#REF!,3,0),0)</f>
        <v>0</v>
      </c>
      <c r="R2302" s="1394">
        <f t="shared" si="646"/>
        <v>0</v>
      </c>
      <c r="S2302" s="1394">
        <f>IFERROR(VLOOKUP(M2302,#REF!,6,0),0)</f>
        <v>0</v>
      </c>
      <c r="T2302" s="1394">
        <f t="shared" si="650"/>
        <v>0</v>
      </c>
      <c r="U2302" s="1394">
        <f>IFERROR(VLOOKUP(M2302,#REF!,5,0),0)</f>
        <v>0</v>
      </c>
      <c r="V2302" s="1394">
        <f t="shared" si="651"/>
        <v>0</v>
      </c>
      <c r="W2302" s="1394"/>
    </row>
    <row r="2303" spans="2:23" s="1506" customFormat="1" ht="30" customHeight="1">
      <c r="B2303" s="1507"/>
      <c r="C2303" s="1497"/>
      <c r="D2303" s="99"/>
      <c r="E2303" s="99"/>
      <c r="F2303" s="1495"/>
      <c r="G2303" s="1495"/>
      <c r="H2303" s="69"/>
      <c r="I2303" s="1508"/>
      <c r="M2303" s="1509"/>
      <c r="Q2303" s="1394">
        <f>IFERROR(VLOOKUP(M2303,#REF!,3,0),0)</f>
        <v>0</v>
      </c>
      <c r="R2303" s="1394">
        <f t="shared" si="646"/>
        <v>0</v>
      </c>
      <c r="S2303" s="1394">
        <f>IFERROR(VLOOKUP(M2303,#REF!,6,0),0)</f>
        <v>0</v>
      </c>
      <c r="T2303" s="1394">
        <f t="shared" si="650"/>
        <v>0</v>
      </c>
      <c r="U2303" s="1394">
        <f>IFERROR(VLOOKUP(M2303,#REF!,5,0),0)</f>
        <v>0</v>
      </c>
      <c r="V2303" s="1394">
        <f t="shared" si="651"/>
        <v>0</v>
      </c>
      <c r="W2303" s="1394"/>
    </row>
    <row r="2304" spans="2:23" s="1394" customFormat="1" ht="30" customHeight="1">
      <c r="B2304" s="1421"/>
      <c r="C2304" s="1422" t="s">
        <v>270</v>
      </c>
      <c r="D2304" s="1389"/>
      <c r="E2304" s="1389"/>
      <c r="F2304" s="1423"/>
      <c r="G2304" s="1423"/>
      <c r="H2304" s="1424"/>
      <c r="I2304" s="1425">
        <f>J2305-J2304</f>
        <v>0.18000000000034788</v>
      </c>
      <c r="J2304" s="1394">
        <f>SUM(I2201:I2303)</f>
        <v>478.81999999999965</v>
      </c>
      <c r="M2304" s="1426"/>
      <c r="Q2304" s="1394">
        <f>IFERROR(VLOOKUP(M2304,#REF!,3,0),0)</f>
        <v>0</v>
      </c>
      <c r="R2304" s="1394">
        <f t="shared" si="646"/>
        <v>0</v>
      </c>
      <c r="S2304" s="1394">
        <f>IFERROR(VLOOKUP(M2304,#REF!,6,0),0)</f>
        <v>0</v>
      </c>
      <c r="T2304" s="1394">
        <f t="shared" si="650"/>
        <v>0</v>
      </c>
      <c r="U2304" s="1394">
        <f>IFERROR(VLOOKUP(M2304,#REF!,5,0),0)</f>
        <v>0</v>
      </c>
      <c r="V2304" s="1394">
        <f t="shared" si="651"/>
        <v>0</v>
      </c>
    </row>
    <row r="2305" spans="1:24" s="1394" customFormat="1" ht="30" customHeight="1">
      <c r="B2305" s="1421"/>
      <c r="C2305" s="1422"/>
      <c r="D2305" s="1389"/>
      <c r="E2305" s="1389"/>
      <c r="F2305" s="1423"/>
      <c r="G2305" s="1423"/>
      <c r="H2305" s="1424"/>
      <c r="I2305" s="1427">
        <f>+J2305</f>
        <v>479</v>
      </c>
      <c r="J2305" s="1394">
        <f>ROUNDUP(J2304,0)</f>
        <v>479</v>
      </c>
      <c r="M2305" s="1426"/>
      <c r="Q2305" s="1394">
        <f>IFERROR(VLOOKUP(M2305,#REF!,3,0),0)</f>
        <v>0</v>
      </c>
      <c r="R2305" s="1394">
        <f t="shared" si="646"/>
        <v>0</v>
      </c>
      <c r="S2305" s="1394">
        <f>IFERROR(VLOOKUP(M2305,#REF!,6,0),0)</f>
        <v>0</v>
      </c>
      <c r="T2305" s="1394">
        <f t="shared" si="650"/>
        <v>0</v>
      </c>
      <c r="U2305" s="1394">
        <f>IFERROR(VLOOKUP(M2305,#REF!,5,0),0)</f>
        <v>0</v>
      </c>
      <c r="V2305" s="1394">
        <f t="shared" si="651"/>
        <v>0</v>
      </c>
    </row>
    <row r="2306" spans="1:24" s="1394" customFormat="1" ht="30" customHeight="1">
      <c r="B2306" s="1421"/>
      <c r="C2306" s="1422"/>
      <c r="D2306" s="1389"/>
      <c r="E2306" s="1389"/>
      <c r="F2306" s="1423"/>
      <c r="G2306" s="1428" t="s">
        <v>11</v>
      </c>
      <c r="H2306" s="1429">
        <f>I2305</f>
        <v>479</v>
      </c>
      <c r="I2306" s="1427" t="s">
        <v>26</v>
      </c>
      <c r="M2306" s="1394" t="str">
        <f>A2200</f>
        <v>Vitrified Tiles flooring ( colour)</v>
      </c>
      <c r="N2306" s="1394" t="str">
        <f>B2200</f>
        <v>29.1.2</v>
      </c>
      <c r="O2306" s="1394">
        <f>H2306</f>
        <v>479</v>
      </c>
      <c r="P2306" s="1394" t="str">
        <f>I2306</f>
        <v>Sqm</v>
      </c>
      <c r="Q2306" s="1394">
        <f>IFERROR(VLOOKUP(M2306,#REF!,3,0),0)</f>
        <v>0</v>
      </c>
      <c r="R2306" s="1394">
        <f t="shared" si="646"/>
        <v>0</v>
      </c>
      <c r="S2306" s="1394">
        <f>IFERROR(VLOOKUP(M2306,#REF!,6,0),0)</f>
        <v>0</v>
      </c>
      <c r="T2306" s="1394">
        <f t="shared" si="650"/>
        <v>0</v>
      </c>
      <c r="U2306" s="1394">
        <f>IFERROR(VLOOKUP(M2306,#REF!,5,0),0)</f>
        <v>0</v>
      </c>
      <c r="V2306" s="1394">
        <f t="shared" si="651"/>
        <v>479</v>
      </c>
    </row>
    <row r="2307" spans="1:24" ht="121.5" customHeight="1">
      <c r="A2307" s="110" t="s">
        <v>383</v>
      </c>
      <c r="B2307" s="1405">
        <v>29.8</v>
      </c>
      <c r="C2307" s="1678" t="e">
        <f>VLOOKUP(A2307,#REF!,2,0)</f>
        <v>#REF!</v>
      </c>
      <c r="D2307" s="1678"/>
      <c r="E2307" s="1678"/>
      <c r="F2307" s="1678"/>
      <c r="G2307" s="1678"/>
      <c r="H2307" s="1678"/>
      <c r="I2307" s="1406"/>
      <c r="Q2307" s="1394">
        <f>IFERROR(VLOOKUP(M2307,#REF!,3,0),0)</f>
        <v>0</v>
      </c>
      <c r="R2307" s="1394">
        <f t="shared" si="646"/>
        <v>0</v>
      </c>
      <c r="S2307" s="1394">
        <f>IFERROR(VLOOKUP(M2307,#REF!,6,0),0)</f>
        <v>0</v>
      </c>
      <c r="T2307" s="1394">
        <f t="shared" si="650"/>
        <v>0</v>
      </c>
      <c r="U2307" s="1394">
        <f>IFERROR(VLOOKUP(M2307,#REF!,5,0),0)</f>
        <v>0</v>
      </c>
      <c r="V2307" s="1394">
        <f t="shared" si="651"/>
        <v>0</v>
      </c>
      <c r="W2307" s="1394"/>
      <c r="X2307" s="1397"/>
    </row>
    <row r="2308" spans="1:24" ht="30" customHeight="1">
      <c r="B2308" s="1407"/>
      <c r="C2308" s="1494" t="str">
        <f>C2379</f>
        <v>Groun floor / Stilt Floor</v>
      </c>
      <c r="D2308" s="1510">
        <f t="shared" ref="D2308:G2308" si="653">D2379</f>
        <v>0</v>
      </c>
      <c r="E2308" s="1510">
        <f t="shared" si="653"/>
        <v>0</v>
      </c>
      <c r="F2308" s="1511">
        <f t="shared" si="653"/>
        <v>0</v>
      </c>
      <c r="G2308" s="1511">
        <f t="shared" si="653"/>
        <v>0</v>
      </c>
      <c r="H2308" s="97"/>
      <c r="I2308" s="1512"/>
      <c r="Q2308" s="1394">
        <f>IFERROR(VLOOKUP(M2308,#REF!,3,0),0)</f>
        <v>0</v>
      </c>
      <c r="R2308" s="1394">
        <f t="shared" si="646"/>
        <v>0</v>
      </c>
      <c r="S2308" s="1394">
        <f>IFERROR(VLOOKUP(M2308,#REF!,6,0),0)</f>
        <v>0</v>
      </c>
      <c r="T2308" s="1394">
        <f t="shared" si="650"/>
        <v>0</v>
      </c>
      <c r="U2308" s="1394">
        <f>IFERROR(VLOOKUP(M2308,#REF!,5,0),0)</f>
        <v>0</v>
      </c>
      <c r="V2308" s="1394">
        <f t="shared" si="651"/>
        <v>0</v>
      </c>
      <c r="W2308" s="1394"/>
    </row>
    <row r="2309" spans="1:24" s="1394" customFormat="1" ht="30" customHeight="1">
      <c r="B2309" s="1421"/>
      <c r="C2309" s="1497" t="str">
        <f>C2380</f>
        <v>Ph.Toilet</v>
      </c>
      <c r="D2309" s="99">
        <f>D2380</f>
        <v>1</v>
      </c>
      <c r="E2309" s="99">
        <f>E2380</f>
        <v>1</v>
      </c>
      <c r="F2309" s="1495">
        <f>(F2380+G2380)*2</f>
        <v>5.4</v>
      </c>
      <c r="G2309" s="1495"/>
      <c r="H2309" s="69">
        <v>1.5</v>
      </c>
      <c r="I2309" s="1508">
        <f t="shared" ref="I2309" si="654">ROUND((PRODUCT(D2309:H2309)),2)</f>
        <v>8.1</v>
      </c>
      <c r="L2309" s="1394">
        <f>9.56*6*10.76</f>
        <v>617.19359999999995</v>
      </c>
      <c r="M2309" s="1426"/>
      <c r="Q2309" s="1394">
        <f>IFERROR(VLOOKUP(M2309,#REF!,3,0),0)</f>
        <v>0</v>
      </c>
      <c r="R2309" s="1394">
        <f t="shared" si="646"/>
        <v>0</v>
      </c>
      <c r="S2309" s="1394">
        <f>IFERROR(VLOOKUP(M2309,#REF!,6,0),0)</f>
        <v>0</v>
      </c>
      <c r="T2309" s="1394">
        <f t="shared" si="650"/>
        <v>0</v>
      </c>
      <c r="U2309" s="1394">
        <f>IFERROR(VLOOKUP(M2309,#REF!,5,0),0)</f>
        <v>0</v>
      </c>
      <c r="V2309" s="1394">
        <f t="shared" si="651"/>
        <v>0</v>
      </c>
    </row>
    <row r="2310" spans="1:24" ht="30" customHeight="1">
      <c r="B2310" s="1407"/>
      <c r="C2310" s="1497" t="str">
        <f>C2381</f>
        <v>SLD</v>
      </c>
      <c r="D2310" s="99">
        <f>-D2381</f>
        <v>-1</v>
      </c>
      <c r="E2310" s="99">
        <f>E2381</f>
        <v>1</v>
      </c>
      <c r="F2310" s="1495">
        <f>VLOOKUP(C2310,Sheet1!$I$7:$R$39,2,0)</f>
        <v>1</v>
      </c>
      <c r="G2310" s="1495"/>
      <c r="H2310" s="69">
        <f>H2309</f>
        <v>1.5</v>
      </c>
      <c r="I2310" s="1508">
        <f t="shared" ref="I2310:I2349" si="655">ROUND((PRODUCT(D2310:H2310)),2)</f>
        <v>-1.5</v>
      </c>
      <c r="Q2310" s="1394">
        <f>IFERROR(VLOOKUP(M2310,#REF!,3,0),0)</f>
        <v>0</v>
      </c>
      <c r="R2310" s="1394">
        <f t="shared" si="646"/>
        <v>0</v>
      </c>
      <c r="S2310" s="1394">
        <f>IFERROR(VLOOKUP(M2310,#REF!,6,0),0)</f>
        <v>0</v>
      </c>
      <c r="T2310" s="1394">
        <f t="shared" si="650"/>
        <v>0</v>
      </c>
      <c r="U2310" s="1394">
        <f>IFERROR(VLOOKUP(M2310,#REF!,5,0),0)</f>
        <v>0</v>
      </c>
      <c r="V2310" s="1394">
        <f t="shared" si="651"/>
        <v>0</v>
      </c>
      <c r="W2310" s="1394"/>
    </row>
    <row r="2311" spans="1:24" ht="30" customHeight="1">
      <c r="B2311" s="1407"/>
      <c r="C2311" s="1497" t="str">
        <f t="shared" ref="C2311:E2311" si="656">C2382</f>
        <v>Toilet</v>
      </c>
      <c r="D2311" s="99">
        <f t="shared" si="656"/>
        <v>1</v>
      </c>
      <c r="E2311" s="99">
        <f t="shared" si="656"/>
        <v>1</v>
      </c>
      <c r="F2311" s="1495">
        <f>(F2382+G2382)*2</f>
        <v>5.7</v>
      </c>
      <c r="G2311" s="1495"/>
      <c r="H2311" s="69">
        <f t="shared" ref="H2311:H2372" si="657">H2310</f>
        <v>1.5</v>
      </c>
      <c r="I2311" s="1508">
        <f t="shared" si="655"/>
        <v>8.5500000000000007</v>
      </c>
      <c r="Q2311" s="1394">
        <f>IFERROR(VLOOKUP(M2311,#REF!,3,0),0)</f>
        <v>0</v>
      </c>
      <c r="R2311" s="1394">
        <f t="shared" si="646"/>
        <v>0</v>
      </c>
      <c r="S2311" s="1394">
        <f>IFERROR(VLOOKUP(M2311,#REF!,6,0),0)</f>
        <v>0</v>
      </c>
      <c r="T2311" s="1394">
        <f t="shared" si="650"/>
        <v>0</v>
      </c>
      <c r="U2311" s="1394">
        <f>IFERROR(VLOOKUP(M2311,#REF!,5,0),0)</f>
        <v>0</v>
      </c>
      <c r="V2311" s="1394">
        <f t="shared" si="651"/>
        <v>0</v>
      </c>
      <c r="W2311" s="1394"/>
    </row>
    <row r="2312" spans="1:24" s="1394" customFormat="1" ht="30" customHeight="1">
      <c r="B2312" s="1421"/>
      <c r="C2312" s="1497" t="str">
        <f>C2383</f>
        <v>TD</v>
      </c>
      <c r="D2312" s="99">
        <f>-D2383</f>
        <v>-1</v>
      </c>
      <c r="E2312" s="99">
        <f>E2383</f>
        <v>1</v>
      </c>
      <c r="F2312" s="1495">
        <f>VLOOKUP(C2312,Sheet1!$I$7:$R$39,2,0)</f>
        <v>0.75</v>
      </c>
      <c r="G2312" s="1495"/>
      <c r="H2312" s="69">
        <f t="shared" si="657"/>
        <v>1.5</v>
      </c>
      <c r="I2312" s="1508">
        <f t="shared" si="655"/>
        <v>-1.1299999999999999</v>
      </c>
      <c r="M2312" s="1426"/>
      <c r="Q2312" s="1394">
        <f>IFERROR(VLOOKUP(M2312,#REF!,3,0),0)</f>
        <v>0</v>
      </c>
      <c r="R2312" s="1394">
        <f t="shared" si="646"/>
        <v>0</v>
      </c>
      <c r="S2312" s="1394">
        <f>IFERROR(VLOOKUP(M2312,#REF!,6,0),0)</f>
        <v>0</v>
      </c>
      <c r="T2312" s="1394">
        <f t="shared" si="650"/>
        <v>0</v>
      </c>
      <c r="U2312" s="1394">
        <f>IFERROR(VLOOKUP(M2312,#REF!,5,0),0)</f>
        <v>0</v>
      </c>
      <c r="V2312" s="1394">
        <f t="shared" si="651"/>
        <v>0</v>
      </c>
    </row>
    <row r="2313" spans="1:24" ht="30" customHeight="1">
      <c r="B2313" s="1407"/>
      <c r="C2313" s="1497" t="str">
        <f t="shared" ref="C2313:E2313" si="658">C2384</f>
        <v>Toilet Passage</v>
      </c>
      <c r="D2313" s="99">
        <f t="shared" si="658"/>
        <v>1</v>
      </c>
      <c r="E2313" s="99">
        <f t="shared" si="658"/>
        <v>1</v>
      </c>
      <c r="F2313" s="1495">
        <f>(F2384+G2384)*2</f>
        <v>9.69</v>
      </c>
      <c r="G2313" s="1495"/>
      <c r="H2313" s="69">
        <f t="shared" si="657"/>
        <v>1.5</v>
      </c>
      <c r="I2313" s="1508">
        <f t="shared" si="655"/>
        <v>14.54</v>
      </c>
      <c r="Q2313" s="1394">
        <f>IFERROR(VLOOKUP(M2313,#REF!,3,0),0)</f>
        <v>0</v>
      </c>
      <c r="R2313" s="1394">
        <f t="shared" si="646"/>
        <v>0</v>
      </c>
      <c r="S2313" s="1394">
        <f>IFERROR(VLOOKUP(M2313,#REF!,6,0),0)</f>
        <v>0</v>
      </c>
      <c r="T2313" s="1394">
        <f t="shared" si="650"/>
        <v>0</v>
      </c>
      <c r="U2313" s="1394">
        <f>IFERROR(VLOOKUP(M2313,#REF!,5,0),0)</f>
        <v>0</v>
      </c>
      <c r="V2313" s="1394">
        <f t="shared" si="651"/>
        <v>0</v>
      </c>
      <c r="W2313" s="1394"/>
    </row>
    <row r="2314" spans="1:24" ht="30" customHeight="1">
      <c r="B2314" s="1407"/>
      <c r="C2314" s="1497" t="str">
        <f>C2385</f>
        <v>O</v>
      </c>
      <c r="D2314" s="99">
        <f>-D2385</f>
        <v>-1</v>
      </c>
      <c r="E2314" s="99">
        <f>E2385</f>
        <v>1</v>
      </c>
      <c r="F2314" s="1495">
        <v>1</v>
      </c>
      <c r="G2314" s="1495"/>
      <c r="H2314" s="69">
        <f t="shared" si="657"/>
        <v>1.5</v>
      </c>
      <c r="I2314" s="1508">
        <f t="shared" si="655"/>
        <v>-1.5</v>
      </c>
      <c r="Q2314" s="1394">
        <f>IFERROR(VLOOKUP(M2314,#REF!,3,0),0)</f>
        <v>0</v>
      </c>
      <c r="R2314" s="1394">
        <f t="shared" si="646"/>
        <v>0</v>
      </c>
      <c r="S2314" s="1394">
        <f>IFERROR(VLOOKUP(M2314,#REF!,6,0),0)</f>
        <v>0</v>
      </c>
      <c r="T2314" s="1394">
        <f t="shared" si="650"/>
        <v>0</v>
      </c>
      <c r="U2314" s="1394">
        <f>IFERROR(VLOOKUP(M2314,#REF!,5,0),0)</f>
        <v>0</v>
      </c>
      <c r="V2314" s="1394">
        <f t="shared" si="651"/>
        <v>0</v>
      </c>
      <c r="W2314" s="1394"/>
    </row>
    <row r="2315" spans="1:24" s="1394" customFormat="1" ht="30" customHeight="1">
      <c r="B2315" s="1421"/>
      <c r="C2315" s="1494" t="str">
        <f t="shared" ref="C2315:E2315" si="659">C2386</f>
        <v>First Floor</v>
      </c>
      <c r="D2315" s="99">
        <f t="shared" si="659"/>
        <v>0</v>
      </c>
      <c r="E2315" s="99">
        <f t="shared" si="659"/>
        <v>0</v>
      </c>
      <c r="F2315" s="1495">
        <f>(F2386+G2386)*2</f>
        <v>0</v>
      </c>
      <c r="G2315" s="1495"/>
      <c r="H2315" s="69"/>
      <c r="I2315" s="1508">
        <f t="shared" si="655"/>
        <v>0</v>
      </c>
      <c r="M2315" s="1426"/>
      <c r="Q2315" s="1394">
        <f>IFERROR(VLOOKUP(M2315,#REF!,3,0),0)</f>
        <v>0</v>
      </c>
      <c r="R2315" s="1394">
        <f t="shared" si="646"/>
        <v>0</v>
      </c>
      <c r="S2315" s="1394">
        <f>IFERROR(VLOOKUP(M2315,#REF!,6,0),0)</f>
        <v>0</v>
      </c>
      <c r="T2315" s="1394">
        <f t="shared" si="650"/>
        <v>0</v>
      </c>
      <c r="U2315" s="1394">
        <f>IFERROR(VLOOKUP(M2315,#REF!,5,0),0)</f>
        <v>0</v>
      </c>
      <c r="V2315" s="1394">
        <f t="shared" si="651"/>
        <v>0</v>
      </c>
    </row>
    <row r="2316" spans="1:24" ht="30" customHeight="1">
      <c r="B2316" s="1407"/>
      <c r="C2316" s="1497" t="str">
        <f t="shared" ref="C2316:E2316" si="660">C2387</f>
        <v>SI Room Toilet</v>
      </c>
      <c r="D2316" s="99">
        <f t="shared" si="660"/>
        <v>1</v>
      </c>
      <c r="E2316" s="99">
        <f t="shared" si="660"/>
        <v>1</v>
      </c>
      <c r="F2316" s="1495">
        <f>(F2387+G2387)*2</f>
        <v>6.3</v>
      </c>
      <c r="G2316" s="1495"/>
      <c r="H2316" s="69">
        <f>H2314</f>
        <v>1.5</v>
      </c>
      <c r="I2316" s="1508">
        <f t="shared" si="655"/>
        <v>9.4499999999999993</v>
      </c>
      <c r="Q2316" s="1394">
        <f>IFERROR(VLOOKUP(M2316,#REF!,3,0),0)</f>
        <v>0</v>
      </c>
      <c r="R2316" s="1394">
        <f t="shared" si="646"/>
        <v>0</v>
      </c>
      <c r="S2316" s="1394">
        <f>IFERROR(VLOOKUP(M2316,#REF!,6,0),0)</f>
        <v>0</v>
      </c>
      <c r="T2316" s="1394">
        <f t="shared" si="650"/>
        <v>0</v>
      </c>
      <c r="U2316" s="1394">
        <f>IFERROR(VLOOKUP(M2316,#REF!,5,0),0)</f>
        <v>0</v>
      </c>
      <c r="V2316" s="1394">
        <f t="shared" si="651"/>
        <v>0</v>
      </c>
      <c r="W2316" s="1394"/>
    </row>
    <row r="2317" spans="1:24" ht="30" customHeight="1">
      <c r="B2317" s="1407"/>
      <c r="C2317" s="1497" t="str">
        <f>C2388</f>
        <v>TD</v>
      </c>
      <c r="D2317" s="99">
        <f>-D2388</f>
        <v>-1</v>
      </c>
      <c r="E2317" s="99">
        <f>E2388</f>
        <v>1</v>
      </c>
      <c r="F2317" s="1495">
        <f>VLOOKUP(C2317,Sheet1!$I$7:$R$39,2,0)</f>
        <v>0.75</v>
      </c>
      <c r="G2317" s="1495"/>
      <c r="H2317" s="69">
        <f t="shared" si="657"/>
        <v>1.5</v>
      </c>
      <c r="I2317" s="1508">
        <f t="shared" si="655"/>
        <v>-1.1299999999999999</v>
      </c>
      <c r="Q2317" s="1394">
        <f>IFERROR(VLOOKUP(M2317,#REF!,3,0),0)</f>
        <v>0</v>
      </c>
      <c r="R2317" s="1394">
        <f t="shared" si="646"/>
        <v>0</v>
      </c>
      <c r="S2317" s="1394">
        <f>IFERROR(VLOOKUP(M2317,#REF!,6,0),0)</f>
        <v>0</v>
      </c>
      <c r="T2317" s="1394">
        <f t="shared" si="650"/>
        <v>0</v>
      </c>
      <c r="U2317" s="1394">
        <f>IFERROR(VLOOKUP(M2317,#REF!,5,0),0)</f>
        <v>0</v>
      </c>
      <c r="V2317" s="1394">
        <f t="shared" si="651"/>
        <v>0</v>
      </c>
      <c r="W2317" s="1394"/>
    </row>
    <row r="2318" spans="1:24" s="1394" customFormat="1" ht="30" customHeight="1">
      <c r="B2318" s="1421"/>
      <c r="C2318" s="1497" t="str">
        <f t="shared" ref="C2318:E2318" si="661">C2389</f>
        <v>SI Room Toilet Passage</v>
      </c>
      <c r="D2318" s="99">
        <f t="shared" si="661"/>
        <v>1</v>
      </c>
      <c r="E2318" s="99">
        <f t="shared" si="661"/>
        <v>1</v>
      </c>
      <c r="F2318" s="1495">
        <f>(F2389+G2389)*2</f>
        <v>5.24</v>
      </c>
      <c r="G2318" s="1495"/>
      <c r="H2318" s="69">
        <f t="shared" si="657"/>
        <v>1.5</v>
      </c>
      <c r="I2318" s="1508">
        <f t="shared" si="655"/>
        <v>7.86</v>
      </c>
      <c r="M2318" s="1426"/>
      <c r="Q2318" s="1394">
        <f>IFERROR(VLOOKUP(M2318,#REF!,3,0),0)</f>
        <v>0</v>
      </c>
      <c r="R2318" s="1394">
        <f t="shared" si="646"/>
        <v>0</v>
      </c>
      <c r="S2318" s="1394">
        <f>IFERROR(VLOOKUP(M2318,#REF!,6,0),0)</f>
        <v>0</v>
      </c>
      <c r="T2318" s="1394">
        <f t="shared" si="650"/>
        <v>0</v>
      </c>
      <c r="U2318" s="1394">
        <f>IFERROR(VLOOKUP(M2318,#REF!,5,0),0)</f>
        <v>0</v>
      </c>
      <c r="V2318" s="1394">
        <f t="shared" si="651"/>
        <v>0</v>
      </c>
    </row>
    <row r="2319" spans="1:24" ht="30" customHeight="1">
      <c r="B2319" s="1407"/>
      <c r="C2319" s="1497" t="str">
        <f>C2390</f>
        <v>O</v>
      </c>
      <c r="D2319" s="99">
        <f>-D2390</f>
        <v>-1</v>
      </c>
      <c r="E2319" s="99">
        <f>E2390</f>
        <v>1</v>
      </c>
      <c r="F2319" s="1495">
        <v>1</v>
      </c>
      <c r="G2319" s="1495"/>
      <c r="H2319" s="69">
        <f t="shared" si="657"/>
        <v>1.5</v>
      </c>
      <c r="I2319" s="1508">
        <f t="shared" si="655"/>
        <v>-1.5</v>
      </c>
      <c r="Q2319" s="1394">
        <f>IFERROR(VLOOKUP(M2319,#REF!,3,0),0)</f>
        <v>0</v>
      </c>
      <c r="R2319" s="1394">
        <f t="shared" si="646"/>
        <v>0</v>
      </c>
      <c r="S2319" s="1394">
        <f>IFERROR(VLOOKUP(M2319,#REF!,6,0),0)</f>
        <v>0</v>
      </c>
      <c r="T2319" s="1394">
        <f t="shared" si="650"/>
        <v>0</v>
      </c>
      <c r="U2319" s="1394">
        <f>IFERROR(VLOOKUP(M2319,#REF!,5,0),0)</f>
        <v>0</v>
      </c>
      <c r="V2319" s="1394">
        <f t="shared" si="651"/>
        <v>0</v>
      </c>
      <c r="W2319" s="1394"/>
    </row>
    <row r="2320" spans="1:24" ht="30" customHeight="1">
      <c r="B2320" s="1407"/>
      <c r="C2320" s="1497" t="str">
        <f t="shared" ref="C2320:E2320" si="662">C2391</f>
        <v>INS  Room Toilet</v>
      </c>
      <c r="D2320" s="99">
        <f t="shared" si="662"/>
        <v>1</v>
      </c>
      <c r="E2320" s="99">
        <f t="shared" si="662"/>
        <v>1</v>
      </c>
      <c r="F2320" s="1495">
        <f>(F2391+G2391)*2</f>
        <v>6.3</v>
      </c>
      <c r="G2320" s="1495"/>
      <c r="H2320" s="69">
        <f t="shared" si="657"/>
        <v>1.5</v>
      </c>
      <c r="I2320" s="1508">
        <f t="shared" si="655"/>
        <v>9.4499999999999993</v>
      </c>
      <c r="Q2320" s="1394">
        <f>IFERROR(VLOOKUP(M2320,#REF!,3,0),0)</f>
        <v>0</v>
      </c>
      <c r="R2320" s="1394">
        <f t="shared" si="646"/>
        <v>0</v>
      </c>
      <c r="S2320" s="1394">
        <f>IFERROR(VLOOKUP(M2320,#REF!,6,0),0)</f>
        <v>0</v>
      </c>
      <c r="T2320" s="1394">
        <f t="shared" si="650"/>
        <v>0</v>
      </c>
      <c r="U2320" s="1394">
        <f>IFERROR(VLOOKUP(M2320,#REF!,5,0),0)</f>
        <v>0</v>
      </c>
      <c r="V2320" s="1394">
        <f t="shared" si="651"/>
        <v>0</v>
      </c>
      <c r="W2320" s="1394"/>
    </row>
    <row r="2321" spans="2:23" s="1394" customFormat="1" ht="30" customHeight="1">
      <c r="B2321" s="1421"/>
      <c r="C2321" s="1497" t="str">
        <f>C2392</f>
        <v>TD</v>
      </c>
      <c r="D2321" s="99">
        <f>-D2392</f>
        <v>-1</v>
      </c>
      <c r="E2321" s="99">
        <f>E2392</f>
        <v>1</v>
      </c>
      <c r="F2321" s="1495">
        <f>VLOOKUP(C2321,Sheet1!$I$7:$R$39,2,0)</f>
        <v>0.75</v>
      </c>
      <c r="G2321" s="1495"/>
      <c r="H2321" s="69">
        <f t="shared" si="657"/>
        <v>1.5</v>
      </c>
      <c r="I2321" s="1508">
        <f t="shared" si="655"/>
        <v>-1.1299999999999999</v>
      </c>
      <c r="M2321" s="1426"/>
      <c r="Q2321" s="1394">
        <f>IFERROR(VLOOKUP(M2321,#REF!,3,0),0)</f>
        <v>0</v>
      </c>
      <c r="R2321" s="1394">
        <f t="shared" si="646"/>
        <v>0</v>
      </c>
      <c r="S2321" s="1394">
        <f>IFERROR(VLOOKUP(M2321,#REF!,6,0),0)</f>
        <v>0</v>
      </c>
      <c r="T2321" s="1394">
        <f t="shared" si="650"/>
        <v>0</v>
      </c>
      <c r="U2321" s="1394">
        <f>IFERROR(VLOOKUP(M2321,#REF!,5,0),0)</f>
        <v>0</v>
      </c>
      <c r="V2321" s="1394">
        <f t="shared" si="651"/>
        <v>0</v>
      </c>
    </row>
    <row r="2322" spans="2:23" s="1394" customFormat="1" ht="30" customHeight="1">
      <c r="B2322" s="1421"/>
      <c r="C2322" s="1497" t="str">
        <f t="shared" ref="C2322:E2322" si="663">C2393</f>
        <v>INS  Room Toilet Passage</v>
      </c>
      <c r="D2322" s="99">
        <f t="shared" si="663"/>
        <v>1</v>
      </c>
      <c r="E2322" s="99">
        <f t="shared" si="663"/>
        <v>1</v>
      </c>
      <c r="F2322" s="1495">
        <f>(F2393+G2393)*2</f>
        <v>5.24</v>
      </c>
      <c r="G2322" s="1495"/>
      <c r="H2322" s="69">
        <f t="shared" si="657"/>
        <v>1.5</v>
      </c>
      <c r="I2322" s="1508">
        <f t="shared" si="655"/>
        <v>7.86</v>
      </c>
      <c r="M2322" s="1426"/>
      <c r="Q2322" s="1394">
        <f>IFERROR(VLOOKUP(M2322,#REF!,3,0),0)</f>
        <v>0</v>
      </c>
      <c r="R2322" s="1394">
        <f t="shared" si="646"/>
        <v>0</v>
      </c>
      <c r="S2322" s="1394">
        <f>IFERROR(VLOOKUP(M2322,#REF!,6,0),0)</f>
        <v>0</v>
      </c>
      <c r="T2322" s="1394">
        <f t="shared" si="650"/>
        <v>0</v>
      </c>
      <c r="U2322" s="1394">
        <f>IFERROR(VLOOKUP(M2322,#REF!,5,0),0)</f>
        <v>0</v>
      </c>
      <c r="V2322" s="1394">
        <f t="shared" si="651"/>
        <v>0</v>
      </c>
    </row>
    <row r="2323" spans="2:23" ht="30" customHeight="1">
      <c r="B2323" s="1407"/>
      <c r="C2323" s="1497" t="str">
        <f>C2394</f>
        <v>O</v>
      </c>
      <c r="D2323" s="99">
        <f>-D2394</f>
        <v>-1</v>
      </c>
      <c r="E2323" s="99">
        <f>E2394</f>
        <v>1</v>
      </c>
      <c r="F2323" s="1495">
        <v>1</v>
      </c>
      <c r="G2323" s="1495"/>
      <c r="H2323" s="69">
        <f t="shared" si="657"/>
        <v>1.5</v>
      </c>
      <c r="I2323" s="1508">
        <f t="shared" si="655"/>
        <v>-1.5</v>
      </c>
      <c r="Q2323" s="1394">
        <f>IFERROR(VLOOKUP(M2323,#REF!,3,0),0)</f>
        <v>0</v>
      </c>
      <c r="R2323" s="1394">
        <f t="shared" si="646"/>
        <v>0</v>
      </c>
      <c r="S2323" s="1394">
        <f>IFERROR(VLOOKUP(M2323,#REF!,6,0),0)</f>
        <v>0</v>
      </c>
      <c r="T2323" s="1394">
        <f t="shared" si="650"/>
        <v>0</v>
      </c>
      <c r="U2323" s="1394">
        <f>IFERROR(VLOOKUP(M2323,#REF!,5,0),0)</f>
        <v>0</v>
      </c>
      <c r="V2323" s="1394">
        <f t="shared" si="651"/>
        <v>0</v>
      </c>
      <c r="W2323" s="1394"/>
    </row>
    <row r="2324" spans="2:23" ht="30" customHeight="1">
      <c r="B2324" s="1407"/>
      <c r="C2324" s="1497" t="str">
        <f t="shared" ref="C2324:E2324" si="664">C2397</f>
        <v>Common Toilet</v>
      </c>
      <c r="D2324" s="99">
        <f t="shared" si="664"/>
        <v>1</v>
      </c>
      <c r="E2324" s="99">
        <f t="shared" si="664"/>
        <v>1</v>
      </c>
      <c r="F2324" s="1495">
        <f>(F2397+G2397)*2</f>
        <v>5.4</v>
      </c>
      <c r="G2324" s="1495"/>
      <c r="H2324" s="69">
        <f>H2323</f>
        <v>1.5</v>
      </c>
      <c r="I2324" s="1508">
        <f t="shared" si="655"/>
        <v>8.1</v>
      </c>
      <c r="Q2324" s="1394">
        <f>IFERROR(VLOOKUP(M2324,#REF!,3,0),0)</f>
        <v>0</v>
      </c>
      <c r="R2324" s="1394">
        <f t="shared" si="646"/>
        <v>0</v>
      </c>
      <c r="S2324" s="1394">
        <f>IFERROR(VLOOKUP(M2324,#REF!,6,0),0)</f>
        <v>0</v>
      </c>
      <c r="T2324" s="1394">
        <f t="shared" si="650"/>
        <v>0</v>
      </c>
      <c r="U2324" s="1394">
        <f>IFERROR(VLOOKUP(M2324,#REF!,5,0),0)</f>
        <v>0</v>
      </c>
      <c r="V2324" s="1394">
        <f t="shared" si="651"/>
        <v>0</v>
      </c>
      <c r="W2324" s="1394"/>
    </row>
    <row r="2325" spans="2:23" s="1394" customFormat="1" ht="30" customHeight="1">
      <c r="B2325" s="1421"/>
      <c r="C2325" s="1497" t="str">
        <f>C2398</f>
        <v>TD</v>
      </c>
      <c r="D2325" s="99">
        <f>-D2398</f>
        <v>-1</v>
      </c>
      <c r="E2325" s="99">
        <f>E2398</f>
        <v>11</v>
      </c>
      <c r="F2325" s="1495">
        <f>VLOOKUP(C2325,Sheet1!$I$7:$R$39,2,0)</f>
        <v>0.75</v>
      </c>
      <c r="G2325" s="1495"/>
      <c r="H2325" s="69">
        <f t="shared" si="657"/>
        <v>1.5</v>
      </c>
      <c r="I2325" s="1508">
        <f t="shared" si="655"/>
        <v>-12.38</v>
      </c>
      <c r="M2325" s="1426"/>
      <c r="Q2325" s="1394">
        <f>IFERROR(VLOOKUP(M2325,#REF!,3,0),0)</f>
        <v>0</v>
      </c>
      <c r="R2325" s="1394">
        <f t="shared" si="646"/>
        <v>0</v>
      </c>
      <c r="S2325" s="1394">
        <f>IFERROR(VLOOKUP(M2325,#REF!,6,0),0)</f>
        <v>0</v>
      </c>
      <c r="T2325" s="1394">
        <f t="shared" si="650"/>
        <v>0</v>
      </c>
      <c r="U2325" s="1394">
        <f>IFERROR(VLOOKUP(M2325,#REF!,5,0),0)</f>
        <v>0</v>
      </c>
      <c r="V2325" s="1394">
        <f t="shared" si="651"/>
        <v>0</v>
      </c>
    </row>
    <row r="2326" spans="2:23" s="1394" customFormat="1" ht="30" customHeight="1">
      <c r="B2326" s="1421"/>
      <c r="C2326" s="1497" t="str">
        <f t="shared" ref="C2326:E2326" si="665">C2399</f>
        <v xml:space="preserve"> Passage</v>
      </c>
      <c r="D2326" s="99">
        <f t="shared" si="665"/>
        <v>1</v>
      </c>
      <c r="E2326" s="99">
        <f t="shared" si="665"/>
        <v>1</v>
      </c>
      <c r="F2326" s="1495">
        <f>(F2399+G2399)*2</f>
        <v>5.2</v>
      </c>
      <c r="G2326" s="1495"/>
      <c r="H2326" s="69">
        <f t="shared" si="657"/>
        <v>1.5</v>
      </c>
      <c r="I2326" s="1508">
        <f t="shared" si="655"/>
        <v>7.8</v>
      </c>
      <c r="M2326" s="1426"/>
      <c r="Q2326" s="1394">
        <f>IFERROR(VLOOKUP(M2326,#REF!,3,0),0)</f>
        <v>0</v>
      </c>
      <c r="R2326" s="1394">
        <f t="shared" si="646"/>
        <v>0</v>
      </c>
      <c r="S2326" s="1394">
        <f>IFERROR(VLOOKUP(M2326,#REF!,6,0),0)</f>
        <v>0</v>
      </c>
      <c r="T2326" s="1394">
        <f t="shared" si="650"/>
        <v>0</v>
      </c>
      <c r="U2326" s="1394">
        <f>IFERROR(VLOOKUP(M2326,#REF!,5,0),0)</f>
        <v>0</v>
      </c>
      <c r="V2326" s="1394">
        <f t="shared" si="651"/>
        <v>0</v>
      </c>
    </row>
    <row r="2327" spans="2:23" s="1394" customFormat="1" ht="30" customHeight="1">
      <c r="B2327" s="1421"/>
      <c r="C2327" s="1497" t="str">
        <f>C2400</f>
        <v>O</v>
      </c>
      <c r="D2327" s="99">
        <f>-D2400</f>
        <v>-1</v>
      </c>
      <c r="E2327" s="99">
        <f>E2400</f>
        <v>1</v>
      </c>
      <c r="F2327" s="1495">
        <v>1</v>
      </c>
      <c r="G2327" s="1495"/>
      <c r="H2327" s="69">
        <f t="shared" si="657"/>
        <v>1.5</v>
      </c>
      <c r="I2327" s="1508">
        <f t="shared" si="655"/>
        <v>-1.5</v>
      </c>
      <c r="M2327" s="1426"/>
      <c r="Q2327" s="1394">
        <f>IFERROR(VLOOKUP(M2327,#REF!,3,0),0)</f>
        <v>0</v>
      </c>
      <c r="R2327" s="1394">
        <f t="shared" si="646"/>
        <v>0</v>
      </c>
      <c r="S2327" s="1394">
        <f>IFERROR(VLOOKUP(M2327,#REF!,6,0),0)</f>
        <v>0</v>
      </c>
      <c r="T2327" s="1394">
        <f t="shared" si="650"/>
        <v>0</v>
      </c>
      <c r="U2327" s="1394">
        <f>IFERROR(VLOOKUP(M2327,#REF!,5,0),0)</f>
        <v>0</v>
      </c>
      <c r="V2327" s="1394">
        <f t="shared" si="651"/>
        <v>0</v>
      </c>
    </row>
    <row r="2328" spans="2:23" s="1394" customFormat="1" ht="30" customHeight="1">
      <c r="B2328" s="1421"/>
      <c r="C2328" s="1497" t="str">
        <f t="shared" ref="C2328:E2328" si="666">C2401</f>
        <v>Common Toilet-II</v>
      </c>
      <c r="D2328" s="99">
        <f t="shared" si="666"/>
        <v>1</v>
      </c>
      <c r="E2328" s="99">
        <f t="shared" si="666"/>
        <v>1</v>
      </c>
      <c r="F2328" s="1495">
        <f>(F2401+G2401)*2</f>
        <v>5.77</v>
      </c>
      <c r="G2328" s="1495"/>
      <c r="H2328" s="69">
        <f t="shared" si="657"/>
        <v>1.5</v>
      </c>
      <c r="I2328" s="1508">
        <f t="shared" si="655"/>
        <v>8.66</v>
      </c>
      <c r="M2328" s="1426"/>
      <c r="Q2328" s="1394">
        <f>IFERROR(VLOOKUP(M2328,#REF!,3,0),0)</f>
        <v>0</v>
      </c>
      <c r="R2328" s="1394">
        <f t="shared" si="646"/>
        <v>0</v>
      </c>
      <c r="S2328" s="1394">
        <f>IFERROR(VLOOKUP(M2328,#REF!,6,0),0)</f>
        <v>0</v>
      </c>
      <c r="T2328" s="1394">
        <f t="shared" si="650"/>
        <v>0</v>
      </c>
      <c r="U2328" s="1394">
        <f>IFERROR(VLOOKUP(M2328,#REF!,5,0),0)</f>
        <v>0</v>
      </c>
      <c r="V2328" s="1394">
        <f t="shared" si="651"/>
        <v>0</v>
      </c>
    </row>
    <row r="2329" spans="2:23" s="1394" customFormat="1" ht="30" customHeight="1">
      <c r="B2329" s="1421"/>
      <c r="C2329" s="1497" t="str">
        <f>C2402</f>
        <v>TD</v>
      </c>
      <c r="D2329" s="99">
        <f>-D2402</f>
        <v>-1</v>
      </c>
      <c r="E2329" s="99">
        <f>E2402</f>
        <v>11</v>
      </c>
      <c r="F2329" s="1495">
        <f>VLOOKUP(C2329,Sheet1!$I$7:$R$39,2,0)</f>
        <v>0.75</v>
      </c>
      <c r="G2329" s="1495"/>
      <c r="H2329" s="69">
        <f t="shared" si="657"/>
        <v>1.5</v>
      </c>
      <c r="I2329" s="1508">
        <f t="shared" si="655"/>
        <v>-12.38</v>
      </c>
      <c r="M2329" s="1426"/>
      <c r="Q2329" s="1394">
        <f>IFERROR(VLOOKUP(M2329,#REF!,3,0),0)</f>
        <v>0</v>
      </c>
      <c r="R2329" s="1394">
        <f t="shared" si="646"/>
        <v>0</v>
      </c>
      <c r="S2329" s="1394">
        <f>IFERROR(VLOOKUP(M2329,#REF!,6,0),0)</f>
        <v>0</v>
      </c>
      <c r="T2329" s="1394">
        <f t="shared" si="650"/>
        <v>0</v>
      </c>
      <c r="U2329" s="1394">
        <f>IFERROR(VLOOKUP(M2329,#REF!,5,0),0)</f>
        <v>0</v>
      </c>
      <c r="V2329" s="1394">
        <f t="shared" si="651"/>
        <v>0</v>
      </c>
    </row>
    <row r="2330" spans="2:23" s="1394" customFormat="1" ht="30" customHeight="1">
      <c r="B2330" s="1421"/>
      <c r="C2330" s="1497" t="str">
        <f t="shared" ref="C2330:E2330" si="667">C2403</f>
        <v xml:space="preserve"> Passage</v>
      </c>
      <c r="D2330" s="99">
        <f t="shared" si="667"/>
        <v>1</v>
      </c>
      <c r="E2330" s="99">
        <f t="shared" si="667"/>
        <v>1</v>
      </c>
      <c r="F2330" s="1495">
        <f>(F2403+G2403)*2</f>
        <v>5.5</v>
      </c>
      <c r="G2330" s="1495"/>
      <c r="H2330" s="69">
        <f t="shared" si="657"/>
        <v>1.5</v>
      </c>
      <c r="I2330" s="1508">
        <f t="shared" si="655"/>
        <v>8.25</v>
      </c>
      <c r="M2330" s="1426"/>
      <c r="Q2330" s="1394">
        <f>IFERROR(VLOOKUP(M2330,#REF!,3,0),0)</f>
        <v>0</v>
      </c>
      <c r="R2330" s="1394">
        <f t="shared" si="646"/>
        <v>0</v>
      </c>
      <c r="S2330" s="1394">
        <f>IFERROR(VLOOKUP(M2330,#REF!,6,0),0)</f>
        <v>0</v>
      </c>
      <c r="T2330" s="1394">
        <f t="shared" si="650"/>
        <v>0</v>
      </c>
      <c r="U2330" s="1394">
        <f>IFERROR(VLOOKUP(M2330,#REF!,5,0),0)</f>
        <v>0</v>
      </c>
      <c r="V2330" s="1394">
        <f t="shared" si="651"/>
        <v>0</v>
      </c>
    </row>
    <row r="2331" spans="2:23" ht="30" customHeight="1">
      <c r="B2331" s="1407"/>
      <c r="C2331" s="1497" t="str">
        <f>C2404</f>
        <v>O</v>
      </c>
      <c r="D2331" s="99">
        <f>-D2404</f>
        <v>-1</v>
      </c>
      <c r="E2331" s="99">
        <f>E2404</f>
        <v>1</v>
      </c>
      <c r="F2331" s="1495">
        <v>1</v>
      </c>
      <c r="G2331" s="1495"/>
      <c r="H2331" s="69">
        <f t="shared" si="657"/>
        <v>1.5</v>
      </c>
      <c r="I2331" s="1508">
        <f t="shared" si="655"/>
        <v>-1.5</v>
      </c>
      <c r="Q2331" s="1394">
        <f>IFERROR(VLOOKUP(M2331,#REF!,3,0),0)</f>
        <v>0</v>
      </c>
      <c r="R2331" s="1394">
        <f t="shared" si="646"/>
        <v>0</v>
      </c>
      <c r="S2331" s="1394">
        <f>IFERROR(VLOOKUP(M2331,#REF!,6,0),0)</f>
        <v>0</v>
      </c>
      <c r="T2331" s="1394">
        <f t="shared" si="650"/>
        <v>0</v>
      </c>
      <c r="U2331" s="1394">
        <f>IFERROR(VLOOKUP(M2331,#REF!,5,0),0)</f>
        <v>0</v>
      </c>
      <c r="V2331" s="1394">
        <f t="shared" si="651"/>
        <v>0</v>
      </c>
      <c r="W2331" s="1394"/>
    </row>
    <row r="2332" spans="2:23" s="1394" customFormat="1" ht="30" customHeight="1">
      <c r="B2332" s="1421"/>
      <c r="C2332" s="1497">
        <f t="shared" ref="C2332:E2332" si="668">C2405</f>
        <v>0</v>
      </c>
      <c r="D2332" s="99">
        <f t="shared" si="668"/>
        <v>0</v>
      </c>
      <c r="E2332" s="99">
        <f t="shared" si="668"/>
        <v>0</v>
      </c>
      <c r="F2332" s="1495">
        <f>(F2405+G2405)*2</f>
        <v>0</v>
      </c>
      <c r="G2332" s="1495"/>
      <c r="H2332" s="69"/>
      <c r="I2332" s="1508">
        <f t="shared" si="655"/>
        <v>0</v>
      </c>
      <c r="M2332" s="1426"/>
      <c r="Q2332" s="1394">
        <f>IFERROR(VLOOKUP(M2332,#REF!,3,0),0)</f>
        <v>0</v>
      </c>
      <c r="R2332" s="1394">
        <f t="shared" si="646"/>
        <v>0</v>
      </c>
      <c r="S2332" s="1394">
        <f>IFERROR(VLOOKUP(M2332,#REF!,6,0),0)</f>
        <v>0</v>
      </c>
      <c r="T2332" s="1394">
        <f t="shared" si="650"/>
        <v>0</v>
      </c>
      <c r="U2332" s="1394">
        <f>IFERROR(VLOOKUP(M2332,#REF!,5,0),0)</f>
        <v>0</v>
      </c>
      <c r="V2332" s="1394">
        <f t="shared" si="651"/>
        <v>0</v>
      </c>
    </row>
    <row r="2333" spans="2:23" ht="30" customHeight="1">
      <c r="B2333" s="1407"/>
      <c r="C2333" s="1494" t="str">
        <f t="shared" ref="C2333:E2333" si="669">C2406</f>
        <v>Second Floor</v>
      </c>
      <c r="D2333" s="99">
        <f t="shared" si="669"/>
        <v>0</v>
      </c>
      <c r="E2333" s="99">
        <f t="shared" si="669"/>
        <v>0</v>
      </c>
      <c r="F2333" s="1495">
        <f>(F2406+G2406)*2</f>
        <v>0</v>
      </c>
      <c r="G2333" s="1495"/>
      <c r="H2333" s="69"/>
      <c r="I2333" s="1508">
        <f t="shared" si="655"/>
        <v>0</v>
      </c>
      <c r="Q2333" s="1394">
        <f>IFERROR(VLOOKUP(M2333,#REF!,3,0),0)</f>
        <v>0</v>
      </c>
      <c r="R2333" s="1394">
        <f t="shared" si="646"/>
        <v>0</v>
      </c>
      <c r="S2333" s="1394">
        <f>IFERROR(VLOOKUP(M2333,#REF!,6,0),0)</f>
        <v>0</v>
      </c>
      <c r="T2333" s="1394">
        <f t="shared" si="650"/>
        <v>0</v>
      </c>
      <c r="U2333" s="1394">
        <f>IFERROR(VLOOKUP(M2333,#REF!,5,0),0)</f>
        <v>0</v>
      </c>
      <c r="V2333" s="1394">
        <f t="shared" si="651"/>
        <v>0</v>
      </c>
      <c r="W2333" s="1394"/>
    </row>
    <row r="2334" spans="2:23" ht="30" customHeight="1">
      <c r="B2334" s="1407"/>
      <c r="C2334" s="1497" t="str">
        <f t="shared" ref="C2334:E2334" si="670">C2407</f>
        <v>Women Rest Room Toilet</v>
      </c>
      <c r="D2334" s="99">
        <f t="shared" si="670"/>
        <v>1</v>
      </c>
      <c r="E2334" s="99">
        <f t="shared" si="670"/>
        <v>1</v>
      </c>
      <c r="F2334" s="1495">
        <f>(F2407+G2407)*2</f>
        <v>6.3</v>
      </c>
      <c r="G2334" s="1495"/>
      <c r="H2334" s="69">
        <f>H2331</f>
        <v>1.5</v>
      </c>
      <c r="I2334" s="1508">
        <f t="shared" si="655"/>
        <v>9.4499999999999993</v>
      </c>
      <c r="Q2334" s="1394">
        <f>IFERROR(VLOOKUP(M2334,#REF!,3,0),0)</f>
        <v>0</v>
      </c>
      <c r="R2334" s="1394">
        <f t="shared" si="646"/>
        <v>0</v>
      </c>
      <c r="S2334" s="1394">
        <f>IFERROR(VLOOKUP(M2334,#REF!,6,0),0)</f>
        <v>0</v>
      </c>
      <c r="T2334" s="1394">
        <f t="shared" si="650"/>
        <v>0</v>
      </c>
      <c r="U2334" s="1394">
        <f>IFERROR(VLOOKUP(M2334,#REF!,5,0),0)</f>
        <v>0</v>
      </c>
      <c r="V2334" s="1394">
        <f t="shared" si="651"/>
        <v>0</v>
      </c>
      <c r="W2334" s="1394"/>
    </row>
    <row r="2335" spans="2:23" s="1394" customFormat="1" ht="30" customHeight="1">
      <c r="B2335" s="1421"/>
      <c r="C2335" s="1497" t="str">
        <f>C2408</f>
        <v>TD</v>
      </c>
      <c r="D2335" s="99">
        <f>-D2408</f>
        <v>-1</v>
      </c>
      <c r="E2335" s="99">
        <f>E2408</f>
        <v>1</v>
      </c>
      <c r="F2335" s="1495">
        <f>VLOOKUP(C2335,Sheet1!$I$7:$R$39,2,0)</f>
        <v>0.75</v>
      </c>
      <c r="G2335" s="1495"/>
      <c r="H2335" s="69">
        <f t="shared" si="657"/>
        <v>1.5</v>
      </c>
      <c r="I2335" s="1508">
        <f t="shared" si="655"/>
        <v>-1.1299999999999999</v>
      </c>
      <c r="M2335" s="1426"/>
      <c r="Q2335" s="1394">
        <f>IFERROR(VLOOKUP(M2335,#REF!,3,0),0)</f>
        <v>0</v>
      </c>
      <c r="R2335" s="1394">
        <f t="shared" si="646"/>
        <v>0</v>
      </c>
      <c r="S2335" s="1394">
        <f>IFERROR(VLOOKUP(M2335,#REF!,6,0),0)</f>
        <v>0</v>
      </c>
      <c r="T2335" s="1394">
        <f t="shared" si="650"/>
        <v>0</v>
      </c>
      <c r="U2335" s="1394">
        <f>IFERROR(VLOOKUP(M2335,#REF!,5,0),0)</f>
        <v>0</v>
      </c>
      <c r="V2335" s="1394">
        <f t="shared" si="651"/>
        <v>0</v>
      </c>
    </row>
    <row r="2336" spans="2:23" ht="30" customHeight="1">
      <c r="B2336" s="1407"/>
      <c r="C2336" s="1497" t="str">
        <f t="shared" ref="C2336:E2336" si="671">C2409</f>
        <v>Women Rest Room  Toilet Passage</v>
      </c>
      <c r="D2336" s="99">
        <f t="shared" si="671"/>
        <v>1</v>
      </c>
      <c r="E2336" s="99">
        <f t="shared" si="671"/>
        <v>1</v>
      </c>
      <c r="F2336" s="1495">
        <f>(F2409+G2409)*2</f>
        <v>5.24</v>
      </c>
      <c r="G2336" s="1495"/>
      <c r="H2336" s="69">
        <f t="shared" si="657"/>
        <v>1.5</v>
      </c>
      <c r="I2336" s="1508">
        <f t="shared" si="655"/>
        <v>7.86</v>
      </c>
      <c r="Q2336" s="1394">
        <f>IFERROR(VLOOKUP(M2336,#REF!,3,0),0)</f>
        <v>0</v>
      </c>
      <c r="R2336" s="1394">
        <f t="shared" si="646"/>
        <v>0</v>
      </c>
      <c r="S2336" s="1394">
        <f>IFERROR(VLOOKUP(M2336,#REF!,6,0),0)</f>
        <v>0</v>
      </c>
      <c r="T2336" s="1394">
        <f t="shared" si="650"/>
        <v>0</v>
      </c>
      <c r="U2336" s="1394">
        <f>IFERROR(VLOOKUP(M2336,#REF!,5,0),0)</f>
        <v>0</v>
      </c>
      <c r="V2336" s="1394">
        <f t="shared" si="651"/>
        <v>0</v>
      </c>
      <c r="W2336" s="1394"/>
    </row>
    <row r="2337" spans="2:23" ht="30" customHeight="1">
      <c r="B2337" s="1407"/>
      <c r="C2337" s="1497" t="str">
        <f>C2410</f>
        <v>O</v>
      </c>
      <c r="D2337" s="99">
        <f>-D2410</f>
        <v>-1</v>
      </c>
      <c r="E2337" s="99">
        <f>E2410</f>
        <v>1</v>
      </c>
      <c r="F2337" s="1495">
        <v>1</v>
      </c>
      <c r="G2337" s="1495"/>
      <c r="H2337" s="69">
        <f t="shared" si="657"/>
        <v>1.5</v>
      </c>
      <c r="I2337" s="1508">
        <f t="shared" si="655"/>
        <v>-1.5</v>
      </c>
      <c r="Q2337" s="1394">
        <f>IFERROR(VLOOKUP(M2337,#REF!,3,0),0)</f>
        <v>0</v>
      </c>
      <c r="R2337" s="1394">
        <f t="shared" si="646"/>
        <v>0</v>
      </c>
      <c r="S2337" s="1394">
        <f>IFERROR(VLOOKUP(M2337,#REF!,6,0),0)</f>
        <v>0</v>
      </c>
      <c r="T2337" s="1394">
        <f t="shared" si="650"/>
        <v>0</v>
      </c>
      <c r="U2337" s="1394">
        <f>IFERROR(VLOOKUP(M2337,#REF!,5,0),0)</f>
        <v>0</v>
      </c>
      <c r="V2337" s="1394">
        <f t="shared" si="651"/>
        <v>0</v>
      </c>
      <c r="W2337" s="1394"/>
    </row>
    <row r="2338" spans="2:23" s="1394" customFormat="1" ht="30" customHeight="1">
      <c r="B2338" s="1421"/>
      <c r="C2338" s="1497" t="str">
        <f t="shared" ref="C2338:E2338" si="672">C2411</f>
        <v>INS  Room Toilet</v>
      </c>
      <c r="D2338" s="99">
        <f t="shared" si="672"/>
        <v>1</v>
      </c>
      <c r="E2338" s="99">
        <f t="shared" si="672"/>
        <v>1</v>
      </c>
      <c r="F2338" s="1495">
        <f>(F2411+G2411)*2</f>
        <v>6.3</v>
      </c>
      <c r="G2338" s="1495"/>
      <c r="H2338" s="69">
        <f t="shared" si="657"/>
        <v>1.5</v>
      </c>
      <c r="I2338" s="1508">
        <f t="shared" si="655"/>
        <v>9.4499999999999993</v>
      </c>
      <c r="M2338" s="1426"/>
      <c r="Q2338" s="1394">
        <f>IFERROR(VLOOKUP(M2338,#REF!,3,0),0)</f>
        <v>0</v>
      </c>
      <c r="R2338" s="1394">
        <f t="shared" si="646"/>
        <v>0</v>
      </c>
      <c r="S2338" s="1394">
        <f>IFERROR(VLOOKUP(M2338,#REF!,6,0),0)</f>
        <v>0</v>
      </c>
      <c r="T2338" s="1394">
        <f t="shared" si="650"/>
        <v>0</v>
      </c>
      <c r="U2338" s="1394">
        <f>IFERROR(VLOOKUP(M2338,#REF!,5,0),0)</f>
        <v>0</v>
      </c>
      <c r="V2338" s="1394">
        <f t="shared" si="651"/>
        <v>0</v>
      </c>
    </row>
    <row r="2339" spans="2:23" ht="30" customHeight="1">
      <c r="B2339" s="1407"/>
      <c r="C2339" s="1497" t="str">
        <f>C2412</f>
        <v>TD</v>
      </c>
      <c r="D2339" s="99">
        <f>-D2412</f>
        <v>-1</v>
      </c>
      <c r="E2339" s="99">
        <f>E2412</f>
        <v>1</v>
      </c>
      <c r="F2339" s="1495">
        <f>VLOOKUP(C2339,Sheet1!$I$7:$R$39,2,0)</f>
        <v>0.75</v>
      </c>
      <c r="G2339" s="1495"/>
      <c r="H2339" s="69">
        <f t="shared" si="657"/>
        <v>1.5</v>
      </c>
      <c r="I2339" s="1508">
        <f t="shared" si="655"/>
        <v>-1.1299999999999999</v>
      </c>
      <c r="Q2339" s="1394">
        <f>IFERROR(VLOOKUP(M2339,#REF!,3,0),0)</f>
        <v>0</v>
      </c>
      <c r="R2339" s="1394">
        <f t="shared" si="646"/>
        <v>0</v>
      </c>
      <c r="S2339" s="1394">
        <f>IFERROR(VLOOKUP(M2339,#REF!,6,0),0)</f>
        <v>0</v>
      </c>
      <c r="T2339" s="1394">
        <f t="shared" si="650"/>
        <v>0</v>
      </c>
      <c r="U2339" s="1394">
        <f>IFERROR(VLOOKUP(M2339,#REF!,5,0),0)</f>
        <v>0</v>
      </c>
      <c r="V2339" s="1394">
        <f t="shared" si="651"/>
        <v>0</v>
      </c>
      <c r="W2339" s="1394"/>
    </row>
    <row r="2340" spans="2:23" ht="30" customHeight="1">
      <c r="B2340" s="1407"/>
      <c r="C2340" s="1497" t="str">
        <f t="shared" ref="C2340:E2340" si="673">C2413</f>
        <v>INS  Room Toilet Passage</v>
      </c>
      <c r="D2340" s="99">
        <f t="shared" si="673"/>
        <v>1</v>
      </c>
      <c r="E2340" s="99">
        <f t="shared" si="673"/>
        <v>1</v>
      </c>
      <c r="F2340" s="1495">
        <f>(F2413+G2413)*2</f>
        <v>5.24</v>
      </c>
      <c r="G2340" s="1495"/>
      <c r="H2340" s="69">
        <f t="shared" si="657"/>
        <v>1.5</v>
      </c>
      <c r="I2340" s="1508">
        <f t="shared" si="655"/>
        <v>7.86</v>
      </c>
      <c r="Q2340" s="1394">
        <f>IFERROR(VLOOKUP(M2340,#REF!,3,0),0)</f>
        <v>0</v>
      </c>
      <c r="R2340" s="1394">
        <f t="shared" si="646"/>
        <v>0</v>
      </c>
      <c r="S2340" s="1394">
        <f>IFERROR(VLOOKUP(M2340,#REF!,6,0),0)</f>
        <v>0</v>
      </c>
      <c r="T2340" s="1394">
        <f t="shared" si="650"/>
        <v>0</v>
      </c>
      <c r="U2340" s="1394">
        <f>IFERROR(VLOOKUP(M2340,#REF!,5,0),0)</f>
        <v>0</v>
      </c>
      <c r="V2340" s="1394">
        <f t="shared" si="651"/>
        <v>0</v>
      </c>
      <c r="W2340" s="1394"/>
    </row>
    <row r="2341" spans="2:23" ht="30" customHeight="1">
      <c r="B2341" s="1407"/>
      <c r="C2341" s="1497" t="str">
        <f>C2414</f>
        <v>O</v>
      </c>
      <c r="D2341" s="99">
        <f>-D2414</f>
        <v>-1</v>
      </c>
      <c r="E2341" s="99">
        <f>E2414</f>
        <v>1</v>
      </c>
      <c r="F2341" s="1495">
        <v>1</v>
      </c>
      <c r="G2341" s="1495"/>
      <c r="H2341" s="69">
        <f t="shared" si="657"/>
        <v>1.5</v>
      </c>
      <c r="I2341" s="1508">
        <f t="shared" si="655"/>
        <v>-1.5</v>
      </c>
      <c r="Q2341" s="1394">
        <f>IFERROR(VLOOKUP(M2341,#REF!,3,0),0)</f>
        <v>0</v>
      </c>
      <c r="R2341" s="1394">
        <f t="shared" si="646"/>
        <v>0</v>
      </c>
      <c r="S2341" s="1394">
        <f>IFERROR(VLOOKUP(M2341,#REF!,6,0),0)</f>
        <v>0</v>
      </c>
      <c r="T2341" s="1394">
        <f t="shared" si="650"/>
        <v>0</v>
      </c>
      <c r="U2341" s="1394">
        <f>IFERROR(VLOOKUP(M2341,#REF!,5,0),0)</f>
        <v>0</v>
      </c>
      <c r="V2341" s="1394">
        <f t="shared" si="651"/>
        <v>0</v>
      </c>
      <c r="W2341" s="1394"/>
    </row>
    <row r="2342" spans="2:23" ht="30" customHeight="1">
      <c r="B2342" s="1407"/>
      <c r="C2342" s="1497" t="str">
        <f t="shared" ref="C2342:E2342" si="674">C2415</f>
        <v xml:space="preserve">Lock up Women &amp; Men </v>
      </c>
      <c r="D2342" s="99">
        <f t="shared" si="674"/>
        <v>1</v>
      </c>
      <c r="E2342" s="99">
        <f t="shared" si="674"/>
        <v>2</v>
      </c>
      <c r="F2342" s="1495">
        <f>(F2415+G2415)*2</f>
        <v>4.4000000000000004</v>
      </c>
      <c r="G2342" s="1495"/>
      <c r="H2342" s="69">
        <f t="shared" si="657"/>
        <v>1.5</v>
      </c>
      <c r="I2342" s="1508">
        <f t="shared" si="655"/>
        <v>13.2</v>
      </c>
      <c r="Q2342" s="1394">
        <f>IFERROR(VLOOKUP(M2342,#REF!,3,0),0)</f>
        <v>0</v>
      </c>
      <c r="R2342" s="1394">
        <f t="shared" si="646"/>
        <v>0</v>
      </c>
      <c r="S2342" s="1394">
        <f>IFERROR(VLOOKUP(M2342,#REF!,6,0),0)</f>
        <v>0</v>
      </c>
      <c r="T2342" s="1394">
        <f t="shared" si="650"/>
        <v>0</v>
      </c>
      <c r="U2342" s="1394">
        <f>IFERROR(VLOOKUP(M2342,#REF!,5,0),0)</f>
        <v>0</v>
      </c>
      <c r="V2342" s="1394">
        <f t="shared" si="651"/>
        <v>0</v>
      </c>
      <c r="W2342" s="1394"/>
    </row>
    <row r="2343" spans="2:23" s="1394" customFormat="1" ht="30" customHeight="1">
      <c r="B2343" s="1421"/>
      <c r="C2343" s="1497" t="str">
        <f>C2416</f>
        <v>TD</v>
      </c>
      <c r="D2343" s="99">
        <f>-D2416</f>
        <v>-1</v>
      </c>
      <c r="E2343" s="99">
        <f>E2416</f>
        <v>2</v>
      </c>
      <c r="F2343" s="1495">
        <f>VLOOKUP(C2343,Sheet1!$I$7:$R$39,2,0)</f>
        <v>0.75</v>
      </c>
      <c r="G2343" s="1495"/>
      <c r="H2343" s="69">
        <f t="shared" si="657"/>
        <v>1.5</v>
      </c>
      <c r="I2343" s="1508">
        <f t="shared" si="655"/>
        <v>-2.25</v>
      </c>
      <c r="M2343" s="1426"/>
      <c r="Q2343" s="1394">
        <f>IFERROR(VLOOKUP(M2343,#REF!,3,0),0)</f>
        <v>0</v>
      </c>
      <c r="R2343" s="1394">
        <f t="shared" si="646"/>
        <v>0</v>
      </c>
      <c r="S2343" s="1394">
        <f>IFERROR(VLOOKUP(M2343,#REF!,6,0),0)</f>
        <v>0</v>
      </c>
      <c r="T2343" s="1394">
        <f t="shared" si="650"/>
        <v>0</v>
      </c>
      <c r="U2343" s="1394">
        <f>IFERROR(VLOOKUP(M2343,#REF!,5,0),0)</f>
        <v>0</v>
      </c>
      <c r="V2343" s="1394">
        <f t="shared" si="651"/>
        <v>0</v>
      </c>
    </row>
    <row r="2344" spans="2:23" s="1394" customFormat="1" ht="30" customHeight="1">
      <c r="B2344" s="1421"/>
      <c r="C2344" s="1497" t="str">
        <f t="shared" ref="C2344:E2344" si="675">C2417</f>
        <v>Common Toilet</v>
      </c>
      <c r="D2344" s="99">
        <f t="shared" si="675"/>
        <v>1</v>
      </c>
      <c r="E2344" s="99">
        <f t="shared" si="675"/>
        <v>1</v>
      </c>
      <c r="F2344" s="1495">
        <f>(F2417+G2417)*2</f>
        <v>5.4</v>
      </c>
      <c r="G2344" s="1495"/>
      <c r="H2344" s="69">
        <f t="shared" si="657"/>
        <v>1.5</v>
      </c>
      <c r="I2344" s="1508">
        <f t="shared" si="655"/>
        <v>8.1</v>
      </c>
      <c r="M2344" s="1426"/>
      <c r="Q2344" s="1394">
        <f>IFERROR(VLOOKUP(M2344,#REF!,3,0),0)</f>
        <v>0</v>
      </c>
      <c r="R2344" s="1394">
        <f t="shared" si="646"/>
        <v>0</v>
      </c>
      <c r="S2344" s="1394">
        <f>IFERROR(VLOOKUP(M2344,#REF!,6,0),0)</f>
        <v>0</v>
      </c>
      <c r="T2344" s="1394">
        <f t="shared" si="650"/>
        <v>0</v>
      </c>
      <c r="U2344" s="1394">
        <f>IFERROR(VLOOKUP(M2344,#REF!,5,0),0)</f>
        <v>0</v>
      </c>
      <c r="V2344" s="1394">
        <f t="shared" si="651"/>
        <v>0</v>
      </c>
    </row>
    <row r="2345" spans="2:23" s="1394" customFormat="1" ht="30" customHeight="1">
      <c r="B2345" s="1421"/>
      <c r="C2345" s="1497" t="str">
        <f>C2418</f>
        <v>TD</v>
      </c>
      <c r="D2345" s="99">
        <f>-D2418</f>
        <v>-1</v>
      </c>
      <c r="E2345" s="99">
        <f>E2418</f>
        <v>11</v>
      </c>
      <c r="F2345" s="1495">
        <f>VLOOKUP(C2345,Sheet1!$I$7:$R$39,2,0)</f>
        <v>0.75</v>
      </c>
      <c r="G2345" s="1495"/>
      <c r="H2345" s="69">
        <f t="shared" si="657"/>
        <v>1.5</v>
      </c>
      <c r="I2345" s="1508">
        <f t="shared" si="655"/>
        <v>-12.38</v>
      </c>
      <c r="M2345" s="1426"/>
      <c r="Q2345" s="1394">
        <f>IFERROR(VLOOKUP(M2345,#REF!,3,0),0)</f>
        <v>0</v>
      </c>
      <c r="R2345" s="1394">
        <f t="shared" si="646"/>
        <v>0</v>
      </c>
      <c r="S2345" s="1394">
        <f>IFERROR(VLOOKUP(M2345,#REF!,6,0),0)</f>
        <v>0</v>
      </c>
      <c r="T2345" s="1394">
        <f t="shared" si="650"/>
        <v>0</v>
      </c>
      <c r="U2345" s="1394">
        <f>IFERROR(VLOOKUP(M2345,#REF!,5,0),0)</f>
        <v>0</v>
      </c>
      <c r="V2345" s="1394">
        <f t="shared" si="651"/>
        <v>0</v>
      </c>
    </row>
    <row r="2346" spans="2:23" s="1394" customFormat="1" ht="30" customHeight="1">
      <c r="B2346" s="1421"/>
      <c r="C2346" s="1497" t="str">
        <f t="shared" ref="C2346:E2346" si="676">C2419</f>
        <v xml:space="preserve"> Passage</v>
      </c>
      <c r="D2346" s="99">
        <f t="shared" si="676"/>
        <v>1</v>
      </c>
      <c r="E2346" s="99">
        <f t="shared" si="676"/>
        <v>1</v>
      </c>
      <c r="F2346" s="1495">
        <f>(F2419+G2419)*2</f>
        <v>5.2</v>
      </c>
      <c r="G2346" s="1495"/>
      <c r="H2346" s="69">
        <f t="shared" si="657"/>
        <v>1.5</v>
      </c>
      <c r="I2346" s="1508">
        <f t="shared" si="655"/>
        <v>7.8</v>
      </c>
      <c r="M2346" s="1426"/>
      <c r="Q2346" s="1394">
        <f>IFERROR(VLOOKUP(M2346,#REF!,3,0),0)</f>
        <v>0</v>
      </c>
      <c r="R2346" s="1394">
        <f t="shared" si="646"/>
        <v>0</v>
      </c>
      <c r="S2346" s="1394">
        <f>IFERROR(VLOOKUP(M2346,#REF!,6,0),0)</f>
        <v>0</v>
      </c>
      <c r="T2346" s="1394">
        <f t="shared" si="650"/>
        <v>0</v>
      </c>
      <c r="U2346" s="1394">
        <f>IFERROR(VLOOKUP(M2346,#REF!,5,0),0)</f>
        <v>0</v>
      </c>
      <c r="V2346" s="1394">
        <f t="shared" si="651"/>
        <v>0</v>
      </c>
    </row>
    <row r="2347" spans="2:23" s="1394" customFormat="1" ht="30" customHeight="1">
      <c r="B2347" s="1421"/>
      <c r="C2347" s="1497" t="str">
        <f>C2420</f>
        <v>O</v>
      </c>
      <c r="D2347" s="99">
        <f>-D2420</f>
        <v>-1</v>
      </c>
      <c r="E2347" s="99">
        <f>E2420</f>
        <v>1</v>
      </c>
      <c r="F2347" s="1495">
        <v>1</v>
      </c>
      <c r="G2347" s="1495"/>
      <c r="H2347" s="69">
        <f t="shared" si="657"/>
        <v>1.5</v>
      </c>
      <c r="I2347" s="1508">
        <f t="shared" si="655"/>
        <v>-1.5</v>
      </c>
      <c r="M2347" s="1426"/>
      <c r="Q2347" s="1394">
        <f>IFERROR(VLOOKUP(M2347,#REF!,3,0),0)</f>
        <v>0</v>
      </c>
      <c r="R2347" s="1394">
        <f t="shared" si="646"/>
        <v>0</v>
      </c>
      <c r="S2347" s="1394">
        <f>IFERROR(VLOOKUP(M2347,#REF!,6,0),0)</f>
        <v>0</v>
      </c>
      <c r="T2347" s="1394">
        <f t="shared" si="650"/>
        <v>0</v>
      </c>
      <c r="U2347" s="1394">
        <f>IFERROR(VLOOKUP(M2347,#REF!,5,0),0)</f>
        <v>0</v>
      </c>
      <c r="V2347" s="1394">
        <f t="shared" si="651"/>
        <v>0</v>
      </c>
    </row>
    <row r="2348" spans="2:23" s="1394" customFormat="1" ht="30" customHeight="1">
      <c r="B2348" s="1421"/>
      <c r="C2348" s="1497" t="str">
        <f t="shared" ref="C2348:E2348" si="677">C2421</f>
        <v>Common Toilet-II</v>
      </c>
      <c r="D2348" s="99">
        <f t="shared" si="677"/>
        <v>1</v>
      </c>
      <c r="E2348" s="99">
        <f t="shared" si="677"/>
        <v>1</v>
      </c>
      <c r="F2348" s="1495">
        <f>(F2421+G2421)*2</f>
        <v>5.77</v>
      </c>
      <c r="G2348" s="1495"/>
      <c r="H2348" s="69">
        <f t="shared" si="657"/>
        <v>1.5</v>
      </c>
      <c r="I2348" s="1508">
        <f t="shared" si="655"/>
        <v>8.66</v>
      </c>
      <c r="M2348" s="1426"/>
      <c r="Q2348" s="1394">
        <f>IFERROR(VLOOKUP(M2348,#REF!,3,0),0)</f>
        <v>0</v>
      </c>
      <c r="R2348" s="1394">
        <f t="shared" si="646"/>
        <v>0</v>
      </c>
      <c r="S2348" s="1394">
        <f>IFERROR(VLOOKUP(M2348,#REF!,6,0),0)</f>
        <v>0</v>
      </c>
      <c r="T2348" s="1394">
        <f t="shared" si="650"/>
        <v>0</v>
      </c>
      <c r="U2348" s="1394">
        <f>IFERROR(VLOOKUP(M2348,#REF!,5,0),0)</f>
        <v>0</v>
      </c>
      <c r="V2348" s="1394">
        <f t="shared" si="651"/>
        <v>0</v>
      </c>
    </row>
    <row r="2349" spans="2:23" s="1394" customFormat="1" ht="30" customHeight="1">
      <c r="B2349" s="1421"/>
      <c r="C2349" s="1497" t="str">
        <f>C2422</f>
        <v>TD</v>
      </c>
      <c r="D2349" s="99">
        <f>-D2422</f>
        <v>-1</v>
      </c>
      <c r="E2349" s="99">
        <f>E2422</f>
        <v>11</v>
      </c>
      <c r="F2349" s="1495">
        <f>VLOOKUP(C2349,Sheet1!$I$7:$R$39,2,0)</f>
        <v>0.75</v>
      </c>
      <c r="G2349" s="1495"/>
      <c r="H2349" s="69">
        <f t="shared" si="657"/>
        <v>1.5</v>
      </c>
      <c r="I2349" s="1508">
        <f t="shared" si="655"/>
        <v>-12.38</v>
      </c>
      <c r="M2349" s="1426"/>
      <c r="Q2349" s="1394">
        <f>IFERROR(VLOOKUP(M2349,#REF!,3,0),0)</f>
        <v>0</v>
      </c>
      <c r="R2349" s="1394">
        <f t="shared" si="646"/>
        <v>0</v>
      </c>
      <c r="S2349" s="1394">
        <f>IFERROR(VLOOKUP(M2349,#REF!,6,0),0)</f>
        <v>0</v>
      </c>
      <c r="T2349" s="1394">
        <f t="shared" si="650"/>
        <v>0</v>
      </c>
      <c r="U2349" s="1394">
        <f>IFERROR(VLOOKUP(M2349,#REF!,5,0),0)</f>
        <v>0</v>
      </c>
      <c r="V2349" s="1394">
        <f t="shared" si="651"/>
        <v>0</v>
      </c>
    </row>
    <row r="2350" spans="2:23" s="1394" customFormat="1" ht="30" customHeight="1">
      <c r="B2350" s="1421"/>
      <c r="C2350" s="1497" t="str">
        <f t="shared" ref="C2350:E2350" si="678">C2423</f>
        <v xml:space="preserve"> Passage</v>
      </c>
      <c r="D2350" s="99">
        <f t="shared" si="678"/>
        <v>1</v>
      </c>
      <c r="E2350" s="99">
        <f t="shared" si="678"/>
        <v>1</v>
      </c>
      <c r="F2350" s="1495">
        <f>(F2423+G2423)*2</f>
        <v>5.5</v>
      </c>
      <c r="G2350" s="1495"/>
      <c r="H2350" s="69">
        <f t="shared" si="657"/>
        <v>1.5</v>
      </c>
      <c r="I2350" s="1508">
        <f t="shared" ref="I2350:I2374" si="679">ROUND((PRODUCT(D2350:H2350)),2)</f>
        <v>8.25</v>
      </c>
      <c r="M2350" s="1426"/>
      <c r="Q2350" s="1394">
        <f>IFERROR(VLOOKUP(M2350,#REF!,3,0),0)</f>
        <v>0</v>
      </c>
      <c r="R2350" s="1394">
        <f t="shared" ref="R2350:R2413" si="680">ROUND(O2350,2)*ROUND(Q2350,2)</f>
        <v>0</v>
      </c>
      <c r="S2350" s="1394">
        <f>IFERROR(VLOOKUP(M2350,#REF!,6,0),0)</f>
        <v>0</v>
      </c>
    </row>
    <row r="2351" spans="2:23" s="1394" customFormat="1" ht="30" customHeight="1">
      <c r="B2351" s="1421"/>
      <c r="C2351" s="1497" t="str">
        <f>C2424</f>
        <v>O</v>
      </c>
      <c r="D2351" s="99">
        <f>-D2424</f>
        <v>-1</v>
      </c>
      <c r="E2351" s="99">
        <f>E2424</f>
        <v>1</v>
      </c>
      <c r="F2351" s="1495">
        <v>1</v>
      </c>
      <c r="G2351" s="1495"/>
      <c r="H2351" s="69">
        <f t="shared" si="657"/>
        <v>1.5</v>
      </c>
      <c r="I2351" s="1508">
        <f t="shared" si="679"/>
        <v>-1.5</v>
      </c>
      <c r="M2351" s="1426"/>
      <c r="Q2351" s="1394">
        <f>IFERROR(VLOOKUP(M2351,#REF!,3,0),0)</f>
        <v>0</v>
      </c>
      <c r="R2351" s="1394">
        <f t="shared" si="680"/>
        <v>0</v>
      </c>
      <c r="S2351" s="1394">
        <f>IFERROR(VLOOKUP(M2351,#REF!,6,0),0)</f>
        <v>0</v>
      </c>
    </row>
    <row r="2352" spans="2:23" s="1394" customFormat="1" ht="30" customHeight="1">
      <c r="B2352" s="1421"/>
      <c r="C2352" s="1497">
        <f t="shared" ref="C2352:E2352" si="681">C2425</f>
        <v>0</v>
      </c>
      <c r="D2352" s="99">
        <f t="shared" si="681"/>
        <v>0</v>
      </c>
      <c r="E2352" s="99">
        <f t="shared" si="681"/>
        <v>0</v>
      </c>
      <c r="F2352" s="1495">
        <f>(F2425+G2425)*2</f>
        <v>0</v>
      </c>
      <c r="G2352" s="1495"/>
      <c r="H2352" s="69"/>
      <c r="I2352" s="1508">
        <f t="shared" si="679"/>
        <v>0</v>
      </c>
      <c r="M2352" s="1426"/>
      <c r="Q2352" s="1394">
        <f>IFERROR(VLOOKUP(M2352,#REF!,3,0),0)</f>
        <v>0</v>
      </c>
      <c r="R2352" s="1394">
        <f t="shared" si="680"/>
        <v>0</v>
      </c>
      <c r="S2352" s="1394">
        <f>IFERROR(VLOOKUP(M2352,#REF!,6,0),0)</f>
        <v>0</v>
      </c>
    </row>
    <row r="2353" spans="2:19" s="1394" customFormat="1" ht="30" customHeight="1">
      <c r="B2353" s="1421"/>
      <c r="C2353" s="1494" t="str">
        <f t="shared" ref="C2353:E2353" si="682">C2426</f>
        <v>Third Floor</v>
      </c>
      <c r="D2353" s="99">
        <f t="shared" si="682"/>
        <v>0</v>
      </c>
      <c r="E2353" s="99">
        <f t="shared" si="682"/>
        <v>0</v>
      </c>
      <c r="F2353" s="1495">
        <f>(F2426+G2426)*2</f>
        <v>0</v>
      </c>
      <c r="G2353" s="1495"/>
      <c r="H2353" s="69"/>
      <c r="I2353" s="1508">
        <f t="shared" si="679"/>
        <v>0</v>
      </c>
      <c r="M2353" s="1426"/>
      <c r="Q2353" s="1394">
        <f>IFERROR(VLOOKUP(M2353,#REF!,3,0),0)</f>
        <v>0</v>
      </c>
      <c r="R2353" s="1394">
        <f t="shared" si="680"/>
        <v>0</v>
      </c>
      <c r="S2353" s="1394">
        <f>IFERROR(VLOOKUP(M2353,#REF!,6,0),0)</f>
        <v>0</v>
      </c>
    </row>
    <row r="2354" spans="2:19" s="1394" customFormat="1" ht="30" customHeight="1">
      <c r="B2354" s="1421"/>
      <c r="C2354" s="1497" t="str">
        <f t="shared" ref="C2354:E2354" si="683">C2427</f>
        <v>Mn Rest Room Toilet</v>
      </c>
      <c r="D2354" s="99">
        <f t="shared" si="683"/>
        <v>1</v>
      </c>
      <c r="E2354" s="99">
        <f t="shared" si="683"/>
        <v>1</v>
      </c>
      <c r="F2354" s="1495">
        <f>(F2427+G2427)*2</f>
        <v>6.3</v>
      </c>
      <c r="G2354" s="1495"/>
      <c r="H2354" s="69">
        <f>H2351</f>
        <v>1.5</v>
      </c>
      <c r="I2354" s="1508">
        <f t="shared" si="679"/>
        <v>9.4499999999999993</v>
      </c>
      <c r="M2354" s="1426"/>
      <c r="Q2354" s="1394">
        <f>IFERROR(VLOOKUP(M2354,#REF!,3,0),0)</f>
        <v>0</v>
      </c>
      <c r="R2354" s="1394">
        <f t="shared" si="680"/>
        <v>0</v>
      </c>
      <c r="S2354" s="1394">
        <f>IFERROR(VLOOKUP(M2354,#REF!,6,0),0)</f>
        <v>0</v>
      </c>
    </row>
    <row r="2355" spans="2:19" s="1394" customFormat="1" ht="30" customHeight="1">
      <c r="B2355" s="1421"/>
      <c r="C2355" s="1497" t="str">
        <f>C2428</f>
        <v>TD</v>
      </c>
      <c r="D2355" s="99">
        <f>-D2428</f>
        <v>-1</v>
      </c>
      <c r="E2355" s="99">
        <f>E2428</f>
        <v>1</v>
      </c>
      <c r="F2355" s="1495">
        <f>VLOOKUP(C2355,Sheet1!$I$7:$R$39,2,0)</f>
        <v>0.75</v>
      </c>
      <c r="G2355" s="1495"/>
      <c r="H2355" s="69">
        <f t="shared" si="657"/>
        <v>1.5</v>
      </c>
      <c r="I2355" s="1508">
        <f t="shared" si="679"/>
        <v>-1.1299999999999999</v>
      </c>
      <c r="M2355" s="1426"/>
      <c r="Q2355" s="1394">
        <f>IFERROR(VLOOKUP(M2355,#REF!,3,0),0)</f>
        <v>0</v>
      </c>
      <c r="R2355" s="1394">
        <f t="shared" si="680"/>
        <v>0</v>
      </c>
      <c r="S2355" s="1394">
        <f>IFERROR(VLOOKUP(M2355,#REF!,6,0),0)</f>
        <v>0</v>
      </c>
    </row>
    <row r="2356" spans="2:19" s="1394" customFormat="1" ht="30" customHeight="1">
      <c r="B2356" s="1421"/>
      <c r="C2356" s="1497" t="str">
        <f t="shared" ref="C2356:E2356" si="684">C2429</f>
        <v>Men Rest Room  Toilet Passage</v>
      </c>
      <c r="D2356" s="99">
        <f t="shared" si="684"/>
        <v>1</v>
      </c>
      <c r="E2356" s="99">
        <f t="shared" si="684"/>
        <v>1</v>
      </c>
      <c r="F2356" s="1495">
        <f>(F2429+G2429)*2</f>
        <v>5.24</v>
      </c>
      <c r="G2356" s="1495"/>
      <c r="H2356" s="69">
        <f t="shared" si="657"/>
        <v>1.5</v>
      </c>
      <c r="I2356" s="1508">
        <f t="shared" si="679"/>
        <v>7.86</v>
      </c>
      <c r="M2356" s="1426"/>
      <c r="Q2356" s="1394">
        <f>IFERROR(VLOOKUP(M2356,#REF!,3,0),0)</f>
        <v>0</v>
      </c>
      <c r="R2356" s="1394">
        <f t="shared" si="680"/>
        <v>0</v>
      </c>
      <c r="S2356" s="1394">
        <f>IFERROR(VLOOKUP(M2356,#REF!,6,0),0)</f>
        <v>0</v>
      </c>
    </row>
    <row r="2357" spans="2:19" s="1394" customFormat="1" ht="30" customHeight="1">
      <c r="B2357" s="1421"/>
      <c r="C2357" s="1497" t="str">
        <f>C2430</f>
        <v>O</v>
      </c>
      <c r="D2357" s="99">
        <f>-D2430</f>
        <v>-1</v>
      </c>
      <c r="E2357" s="99">
        <f>E2430</f>
        <v>1</v>
      </c>
      <c r="F2357" s="1495">
        <v>1</v>
      </c>
      <c r="G2357" s="1495"/>
      <c r="H2357" s="69">
        <f t="shared" si="657"/>
        <v>1.5</v>
      </c>
      <c r="I2357" s="1508">
        <f t="shared" si="679"/>
        <v>-1.5</v>
      </c>
      <c r="M2357" s="1426"/>
      <c r="Q2357" s="1394">
        <f>IFERROR(VLOOKUP(M2357,#REF!,3,0),0)</f>
        <v>0</v>
      </c>
      <c r="R2357" s="1394">
        <f t="shared" si="680"/>
        <v>0</v>
      </c>
      <c r="S2357" s="1394">
        <f>IFERROR(VLOOKUP(M2357,#REF!,6,0),0)</f>
        <v>0</v>
      </c>
    </row>
    <row r="2358" spans="2:19" s="1394" customFormat="1" ht="30" customHeight="1">
      <c r="B2358" s="1421"/>
      <c r="C2358" s="1497" t="str">
        <f t="shared" ref="C2358:E2358" si="685">C2431</f>
        <v>INS  Room Toilet</v>
      </c>
      <c r="D2358" s="99">
        <f t="shared" si="685"/>
        <v>1</v>
      </c>
      <c r="E2358" s="99">
        <f t="shared" si="685"/>
        <v>1</v>
      </c>
      <c r="F2358" s="1495">
        <f>(F2431+G2431)*2</f>
        <v>6.3</v>
      </c>
      <c r="G2358" s="1495"/>
      <c r="H2358" s="69">
        <f t="shared" si="657"/>
        <v>1.5</v>
      </c>
      <c r="I2358" s="1508">
        <f t="shared" si="679"/>
        <v>9.4499999999999993</v>
      </c>
      <c r="M2358" s="1426"/>
      <c r="Q2358" s="1394">
        <f>IFERROR(VLOOKUP(M2358,#REF!,3,0),0)</f>
        <v>0</v>
      </c>
      <c r="R2358" s="1394">
        <f t="shared" si="680"/>
        <v>0</v>
      </c>
      <c r="S2358" s="1394">
        <f>IFERROR(VLOOKUP(M2358,#REF!,6,0),0)</f>
        <v>0</v>
      </c>
    </row>
    <row r="2359" spans="2:19" s="1394" customFormat="1" ht="30" customHeight="1">
      <c r="B2359" s="1421"/>
      <c r="C2359" s="1497" t="str">
        <f>C2432</f>
        <v>TD</v>
      </c>
      <c r="D2359" s="99">
        <f>-D2432</f>
        <v>-1</v>
      </c>
      <c r="E2359" s="99">
        <f>E2432</f>
        <v>1</v>
      </c>
      <c r="F2359" s="1495">
        <f>VLOOKUP(C2359,Sheet1!$I$7:$R$39,2,0)</f>
        <v>0.75</v>
      </c>
      <c r="G2359" s="1495"/>
      <c r="H2359" s="69">
        <f t="shared" si="657"/>
        <v>1.5</v>
      </c>
      <c r="I2359" s="1508">
        <f t="shared" si="679"/>
        <v>-1.1299999999999999</v>
      </c>
      <c r="M2359" s="1426"/>
      <c r="Q2359" s="1394">
        <f>IFERROR(VLOOKUP(M2359,#REF!,3,0),0)</f>
        <v>0</v>
      </c>
      <c r="R2359" s="1394">
        <f t="shared" si="680"/>
        <v>0</v>
      </c>
      <c r="S2359" s="1394">
        <f>IFERROR(VLOOKUP(M2359,#REF!,6,0),0)</f>
        <v>0</v>
      </c>
    </row>
    <row r="2360" spans="2:19" s="1394" customFormat="1" ht="30" customHeight="1">
      <c r="B2360" s="1421"/>
      <c r="C2360" s="1497" t="str">
        <f t="shared" ref="C2360:E2360" si="686">C2433</f>
        <v>INS  Room Toilet Passage</v>
      </c>
      <c r="D2360" s="99">
        <f t="shared" si="686"/>
        <v>1</v>
      </c>
      <c r="E2360" s="99">
        <f t="shared" si="686"/>
        <v>1</v>
      </c>
      <c r="F2360" s="1495">
        <f>(F2433+G2433)*2</f>
        <v>5.24</v>
      </c>
      <c r="G2360" s="1495"/>
      <c r="H2360" s="69">
        <f t="shared" si="657"/>
        <v>1.5</v>
      </c>
      <c r="I2360" s="1508">
        <f t="shared" si="679"/>
        <v>7.86</v>
      </c>
      <c r="M2360" s="1426"/>
      <c r="Q2360" s="1394">
        <f>IFERROR(VLOOKUP(M2360,#REF!,3,0),0)</f>
        <v>0</v>
      </c>
      <c r="R2360" s="1394">
        <f t="shared" si="680"/>
        <v>0</v>
      </c>
      <c r="S2360" s="1394">
        <f>IFERROR(VLOOKUP(M2360,#REF!,6,0),0)</f>
        <v>0</v>
      </c>
    </row>
    <row r="2361" spans="2:19" s="1394" customFormat="1" ht="30" customHeight="1">
      <c r="B2361" s="1421"/>
      <c r="C2361" s="1497" t="str">
        <f>C2434</f>
        <v>O</v>
      </c>
      <c r="D2361" s="99">
        <f>-D2434</f>
        <v>-1</v>
      </c>
      <c r="E2361" s="99">
        <f>E2434</f>
        <v>1</v>
      </c>
      <c r="F2361" s="1495">
        <v>1</v>
      </c>
      <c r="G2361" s="1495"/>
      <c r="H2361" s="69">
        <f t="shared" si="657"/>
        <v>1.5</v>
      </c>
      <c r="I2361" s="1508">
        <f t="shared" si="679"/>
        <v>-1.5</v>
      </c>
      <c r="M2361" s="1426"/>
      <c r="Q2361" s="1394">
        <f>IFERROR(VLOOKUP(M2361,#REF!,3,0),0)</f>
        <v>0</v>
      </c>
      <c r="R2361" s="1394">
        <f t="shared" si="680"/>
        <v>0</v>
      </c>
      <c r="S2361" s="1394">
        <f>IFERROR(VLOOKUP(M2361,#REF!,6,0),0)</f>
        <v>0</v>
      </c>
    </row>
    <row r="2362" spans="2:19" s="1394" customFormat="1" ht="30" customHeight="1">
      <c r="B2362" s="1421"/>
      <c r="C2362" s="1497" t="str">
        <f t="shared" ref="C2362:E2362" si="687">C2435</f>
        <v>Mn Rest Room Toilet</v>
      </c>
      <c r="D2362" s="99">
        <f t="shared" si="687"/>
        <v>1</v>
      </c>
      <c r="E2362" s="99">
        <f t="shared" si="687"/>
        <v>1</v>
      </c>
      <c r="F2362" s="1495">
        <f>(F2435+G2435)*2</f>
        <v>5.4</v>
      </c>
      <c r="G2362" s="1495"/>
      <c r="H2362" s="69">
        <f t="shared" si="657"/>
        <v>1.5</v>
      </c>
      <c r="I2362" s="1508">
        <f t="shared" si="679"/>
        <v>8.1</v>
      </c>
      <c r="M2362" s="1426"/>
      <c r="Q2362" s="1394">
        <f>IFERROR(VLOOKUP(M2362,#REF!,3,0),0)</f>
        <v>0</v>
      </c>
      <c r="R2362" s="1394">
        <f t="shared" si="680"/>
        <v>0</v>
      </c>
      <c r="S2362" s="1394">
        <f>IFERROR(VLOOKUP(M2362,#REF!,6,0),0)</f>
        <v>0</v>
      </c>
    </row>
    <row r="2363" spans="2:19" s="1394" customFormat="1" ht="30" customHeight="1">
      <c r="B2363" s="1421"/>
      <c r="C2363" s="1497" t="str">
        <f>C2436</f>
        <v>TD</v>
      </c>
      <c r="D2363" s="99">
        <f>-D2436</f>
        <v>-1</v>
      </c>
      <c r="E2363" s="99">
        <f>E2436</f>
        <v>11</v>
      </c>
      <c r="F2363" s="1495">
        <f>VLOOKUP(C2363,Sheet1!$I$7:$R$39,2,0)</f>
        <v>0.75</v>
      </c>
      <c r="G2363" s="1495"/>
      <c r="H2363" s="69">
        <f t="shared" si="657"/>
        <v>1.5</v>
      </c>
      <c r="I2363" s="1508">
        <f t="shared" si="679"/>
        <v>-12.38</v>
      </c>
      <c r="M2363" s="1426"/>
      <c r="Q2363" s="1394">
        <f>IFERROR(VLOOKUP(M2363,#REF!,3,0),0)</f>
        <v>0</v>
      </c>
      <c r="R2363" s="1394">
        <f t="shared" si="680"/>
        <v>0</v>
      </c>
      <c r="S2363" s="1394">
        <f>IFERROR(VLOOKUP(M2363,#REF!,6,0),0)</f>
        <v>0</v>
      </c>
    </row>
    <row r="2364" spans="2:19" s="1394" customFormat="1" ht="30" customHeight="1">
      <c r="B2364" s="1421"/>
      <c r="C2364" s="1497" t="str">
        <f t="shared" ref="C2364:E2364" si="688">C2437</f>
        <v>Mn Rest Room bath</v>
      </c>
      <c r="D2364" s="99">
        <f t="shared" si="688"/>
        <v>1</v>
      </c>
      <c r="E2364" s="99">
        <f t="shared" si="688"/>
        <v>1</v>
      </c>
      <c r="F2364" s="1495">
        <f>(F2437+G2437)*2</f>
        <v>5.4700000000000006</v>
      </c>
      <c r="G2364" s="1495"/>
      <c r="H2364" s="69">
        <f t="shared" si="657"/>
        <v>1.5</v>
      </c>
      <c r="I2364" s="1508">
        <f t="shared" si="679"/>
        <v>8.2100000000000009</v>
      </c>
      <c r="M2364" s="1426"/>
      <c r="Q2364" s="1394">
        <f>IFERROR(VLOOKUP(M2364,#REF!,3,0),0)</f>
        <v>0</v>
      </c>
      <c r="R2364" s="1394">
        <f t="shared" si="680"/>
        <v>0</v>
      </c>
      <c r="S2364" s="1394">
        <f>IFERROR(VLOOKUP(M2364,#REF!,6,0),0)</f>
        <v>0</v>
      </c>
    </row>
    <row r="2365" spans="2:19" s="1394" customFormat="1" ht="30" customHeight="1">
      <c r="B2365" s="1421"/>
      <c r="C2365" s="1497" t="str">
        <f>C2438</f>
        <v>TD</v>
      </c>
      <c r="D2365" s="99">
        <f>-D2438</f>
        <v>-1</v>
      </c>
      <c r="E2365" s="99">
        <f>E2438</f>
        <v>11</v>
      </c>
      <c r="F2365" s="1495">
        <f>VLOOKUP(C2365,Sheet1!$I$7:$R$39,2,0)</f>
        <v>0.75</v>
      </c>
      <c r="G2365" s="1495"/>
      <c r="H2365" s="69">
        <f t="shared" si="657"/>
        <v>1.5</v>
      </c>
      <c r="I2365" s="1508">
        <f t="shared" si="679"/>
        <v>-12.38</v>
      </c>
      <c r="M2365" s="1426"/>
      <c r="Q2365" s="1394">
        <f>IFERROR(VLOOKUP(M2365,#REF!,3,0),0)</f>
        <v>0</v>
      </c>
      <c r="R2365" s="1394">
        <f t="shared" si="680"/>
        <v>0</v>
      </c>
      <c r="S2365" s="1394">
        <f>IFERROR(VLOOKUP(M2365,#REF!,6,0),0)</f>
        <v>0</v>
      </c>
    </row>
    <row r="2366" spans="2:19" s="1394" customFormat="1" ht="30" customHeight="1">
      <c r="B2366" s="1421"/>
      <c r="C2366" s="1497" t="str">
        <f t="shared" ref="C2366:E2366" si="689">C2439</f>
        <v xml:space="preserve"> Passage</v>
      </c>
      <c r="D2366" s="99">
        <f t="shared" si="689"/>
        <v>1</v>
      </c>
      <c r="E2366" s="99">
        <f t="shared" si="689"/>
        <v>1</v>
      </c>
      <c r="F2366" s="1495">
        <f>(F2439+G2439)*2</f>
        <v>9.11</v>
      </c>
      <c r="G2366" s="1495"/>
      <c r="H2366" s="69">
        <f t="shared" si="657"/>
        <v>1.5</v>
      </c>
      <c r="I2366" s="1508">
        <f t="shared" si="679"/>
        <v>13.67</v>
      </c>
      <c r="M2366" s="1426"/>
      <c r="Q2366" s="1394">
        <f>IFERROR(VLOOKUP(M2366,#REF!,3,0),0)</f>
        <v>0</v>
      </c>
      <c r="R2366" s="1394">
        <f t="shared" si="680"/>
        <v>0</v>
      </c>
      <c r="S2366" s="1394">
        <f>IFERROR(VLOOKUP(M2366,#REF!,6,0),0)</f>
        <v>0</v>
      </c>
    </row>
    <row r="2367" spans="2:19" s="1394" customFormat="1" ht="30" customHeight="1">
      <c r="B2367" s="1421"/>
      <c r="C2367" s="1497" t="str">
        <f t="shared" ref="C2367:E2367" si="690">C2440</f>
        <v xml:space="preserve"> Passage</v>
      </c>
      <c r="D2367" s="99">
        <f t="shared" si="690"/>
        <v>1</v>
      </c>
      <c r="E2367" s="99">
        <f t="shared" si="690"/>
        <v>1</v>
      </c>
      <c r="F2367" s="1495">
        <f>(F2440+G2440)*2</f>
        <v>3.4299999999999997</v>
      </c>
      <c r="G2367" s="1495"/>
      <c r="H2367" s="69">
        <f t="shared" si="657"/>
        <v>1.5</v>
      </c>
      <c r="I2367" s="1508">
        <f t="shared" si="679"/>
        <v>5.15</v>
      </c>
      <c r="M2367" s="1426"/>
      <c r="Q2367" s="1394">
        <f>IFERROR(VLOOKUP(M2367,#REF!,3,0),0)</f>
        <v>0</v>
      </c>
      <c r="R2367" s="1394">
        <f t="shared" si="680"/>
        <v>0</v>
      </c>
      <c r="S2367" s="1394">
        <f>IFERROR(VLOOKUP(M2367,#REF!,6,0),0)</f>
        <v>0</v>
      </c>
    </row>
    <row r="2368" spans="2:19" s="1394" customFormat="1" ht="30" customHeight="1">
      <c r="B2368" s="1421"/>
      <c r="C2368" s="1497" t="str">
        <f t="shared" ref="C2368:E2368" si="691">C2441</f>
        <v>Urinal</v>
      </c>
      <c r="D2368" s="99">
        <f t="shared" si="691"/>
        <v>1</v>
      </c>
      <c r="E2368" s="99">
        <f t="shared" si="691"/>
        <v>1</v>
      </c>
      <c r="F2368" s="1495">
        <f>(F2441+G2441)*2</f>
        <v>3.5999999999999996</v>
      </c>
      <c r="G2368" s="1495"/>
      <c r="H2368" s="69">
        <f t="shared" si="657"/>
        <v>1.5</v>
      </c>
      <c r="I2368" s="1508">
        <f t="shared" si="679"/>
        <v>5.4</v>
      </c>
      <c r="M2368" s="1426"/>
      <c r="Q2368" s="1394">
        <f>IFERROR(VLOOKUP(M2368,#REF!,3,0),0)</f>
        <v>0</v>
      </c>
      <c r="R2368" s="1394">
        <f t="shared" si="680"/>
        <v>0</v>
      </c>
      <c r="S2368" s="1394">
        <f>IFERROR(VLOOKUP(M2368,#REF!,6,0),0)</f>
        <v>0</v>
      </c>
    </row>
    <row r="2369" spans="1:24" s="1394" customFormat="1" ht="30" customHeight="1">
      <c r="B2369" s="1421"/>
      <c r="C2369" s="1497" t="str">
        <f>C2442</f>
        <v>TD-1</v>
      </c>
      <c r="D2369" s="99">
        <f>-D2442</f>
        <v>-1</v>
      </c>
      <c r="E2369" s="99">
        <f>E2442</f>
        <v>1</v>
      </c>
      <c r="F2369" s="1495">
        <f>VLOOKUP(C2369,Sheet1!$I$7:$R$39,2,0)</f>
        <v>0.9</v>
      </c>
      <c r="G2369" s="1495"/>
      <c r="H2369" s="69">
        <f t="shared" si="657"/>
        <v>1.5</v>
      </c>
      <c r="I2369" s="1508">
        <f t="shared" si="679"/>
        <v>-1.35</v>
      </c>
      <c r="M2369" s="1426"/>
      <c r="Q2369" s="1394">
        <f>IFERROR(VLOOKUP(M2369,#REF!,3,0),0)</f>
        <v>0</v>
      </c>
      <c r="R2369" s="1394">
        <f t="shared" si="680"/>
        <v>0</v>
      </c>
      <c r="S2369" s="1394">
        <f>IFERROR(VLOOKUP(M2369,#REF!,6,0),0)</f>
        <v>0</v>
      </c>
    </row>
    <row r="2370" spans="1:24" s="1394" customFormat="1" ht="30" customHeight="1">
      <c r="B2370" s="1421"/>
      <c r="C2370" s="1497" t="str">
        <f t="shared" ref="C2370:E2370" si="692">C2443</f>
        <v>Common Toilet-II</v>
      </c>
      <c r="D2370" s="99">
        <f t="shared" si="692"/>
        <v>1</v>
      </c>
      <c r="E2370" s="99">
        <f t="shared" si="692"/>
        <v>1</v>
      </c>
      <c r="F2370" s="1495">
        <f>(F2443+G2443)*2</f>
        <v>5.77</v>
      </c>
      <c r="G2370" s="1495"/>
      <c r="H2370" s="69">
        <f t="shared" si="657"/>
        <v>1.5</v>
      </c>
      <c r="I2370" s="1508">
        <f t="shared" si="679"/>
        <v>8.66</v>
      </c>
      <c r="M2370" s="1426"/>
      <c r="Q2370" s="1394">
        <f>IFERROR(VLOOKUP(M2370,#REF!,3,0),0)</f>
        <v>0</v>
      </c>
      <c r="R2370" s="1394">
        <f t="shared" si="680"/>
        <v>0</v>
      </c>
      <c r="S2370" s="1394">
        <f>IFERROR(VLOOKUP(M2370,#REF!,6,0),0)</f>
        <v>0</v>
      </c>
    </row>
    <row r="2371" spans="1:24" s="1394" customFormat="1" ht="30" customHeight="1">
      <c r="B2371" s="1421"/>
      <c r="C2371" s="1497" t="str">
        <f>C2444</f>
        <v>TD</v>
      </c>
      <c r="D2371" s="99">
        <f>-D2444</f>
        <v>-1</v>
      </c>
      <c r="E2371" s="99">
        <f>E2444</f>
        <v>11</v>
      </c>
      <c r="F2371" s="1495">
        <f>VLOOKUP(C2371,Sheet1!$I$7:$R$39,2,0)</f>
        <v>0.75</v>
      </c>
      <c r="G2371" s="1495"/>
      <c r="H2371" s="69">
        <f t="shared" si="657"/>
        <v>1.5</v>
      </c>
      <c r="I2371" s="1508">
        <f t="shared" si="679"/>
        <v>-12.38</v>
      </c>
      <c r="M2371" s="1426"/>
      <c r="Q2371" s="1394">
        <f>IFERROR(VLOOKUP(M2371,#REF!,3,0),0)</f>
        <v>0</v>
      </c>
      <c r="R2371" s="1394">
        <f t="shared" si="680"/>
        <v>0</v>
      </c>
      <c r="S2371" s="1394">
        <f>IFERROR(VLOOKUP(M2371,#REF!,6,0),0)</f>
        <v>0</v>
      </c>
    </row>
    <row r="2372" spans="1:24" s="1394" customFormat="1" ht="30" customHeight="1">
      <c r="B2372" s="1421"/>
      <c r="C2372" s="1497" t="str">
        <f t="shared" ref="C2372:E2372" si="693">C2445</f>
        <v>Passage</v>
      </c>
      <c r="D2372" s="99">
        <f t="shared" si="693"/>
        <v>1</v>
      </c>
      <c r="E2372" s="99">
        <f t="shared" si="693"/>
        <v>1</v>
      </c>
      <c r="F2372" s="1495">
        <f>(F2445+G2445)*2</f>
        <v>6.34</v>
      </c>
      <c r="G2372" s="1495"/>
      <c r="H2372" s="69">
        <f t="shared" si="657"/>
        <v>1.5</v>
      </c>
      <c r="I2372" s="1508">
        <f t="shared" si="679"/>
        <v>9.51</v>
      </c>
      <c r="M2372" s="1426"/>
      <c r="Q2372" s="1394">
        <f>IFERROR(VLOOKUP(M2372,#REF!,3,0),0)</f>
        <v>0</v>
      </c>
      <c r="R2372" s="1394">
        <f t="shared" si="680"/>
        <v>0</v>
      </c>
      <c r="S2372" s="1394">
        <f>IFERROR(VLOOKUP(M2372,#REF!,6,0),0)</f>
        <v>0</v>
      </c>
    </row>
    <row r="2373" spans="1:24" s="1394" customFormat="1" ht="30" customHeight="1">
      <c r="B2373" s="1421"/>
      <c r="C2373" s="1497" t="str">
        <f t="shared" ref="C2373:E2373" si="694">C2446</f>
        <v>w/b</v>
      </c>
      <c r="D2373" s="99">
        <f t="shared" si="694"/>
        <v>1</v>
      </c>
      <c r="E2373" s="99">
        <f t="shared" si="694"/>
        <v>1</v>
      </c>
      <c r="F2373" s="1495">
        <f>(F2446+G2446)*2</f>
        <v>3.11</v>
      </c>
      <c r="G2373" s="1495"/>
      <c r="H2373" s="69">
        <f t="shared" ref="H2373:H2374" si="695">H2372</f>
        <v>1.5</v>
      </c>
      <c r="I2373" s="1508">
        <f t="shared" si="679"/>
        <v>4.67</v>
      </c>
      <c r="M2373" s="1426"/>
      <c r="Q2373" s="1394">
        <f>IFERROR(VLOOKUP(M2373,#REF!,3,0),0)</f>
        <v>0</v>
      </c>
      <c r="R2373" s="1394">
        <f t="shared" si="680"/>
        <v>0</v>
      </c>
      <c r="S2373" s="1394">
        <f>IFERROR(VLOOKUP(M2373,#REF!,6,0),0)</f>
        <v>0</v>
      </c>
    </row>
    <row r="2374" spans="1:24" s="1394" customFormat="1" ht="30" customHeight="1">
      <c r="B2374" s="1421"/>
      <c r="C2374" s="1497" t="str">
        <f>C2447</f>
        <v>D</v>
      </c>
      <c r="D2374" s="99">
        <f>-D2447</f>
        <v>-1</v>
      </c>
      <c r="E2374" s="99">
        <f>E2447</f>
        <v>1</v>
      </c>
      <c r="F2374" s="1495">
        <f>VLOOKUP(C2374,Sheet1!$I$7:$R$39,2,0)</f>
        <v>1</v>
      </c>
      <c r="G2374" s="1495"/>
      <c r="H2374" s="69">
        <f t="shared" si="695"/>
        <v>1.5</v>
      </c>
      <c r="I2374" s="1508">
        <f t="shared" si="679"/>
        <v>-1.5</v>
      </c>
      <c r="M2374" s="1426"/>
      <c r="Q2374" s="1394">
        <f>IFERROR(VLOOKUP(M2374,#REF!,3,0),0)</f>
        <v>0</v>
      </c>
      <c r="R2374" s="1394">
        <f t="shared" si="680"/>
        <v>0</v>
      </c>
      <c r="S2374" s="1394">
        <f>IFERROR(VLOOKUP(M2374,#REF!,6,0),0)</f>
        <v>0</v>
      </c>
    </row>
    <row r="2375" spans="1:24" s="1394" customFormat="1" ht="30" customHeight="1">
      <c r="B2375" s="1421"/>
      <c r="C2375" s="1422" t="s">
        <v>270</v>
      </c>
      <c r="D2375" s="1389"/>
      <c r="E2375" s="1389"/>
      <c r="F2375" s="1423"/>
      <c r="G2375" s="1423"/>
      <c r="H2375" s="1424"/>
      <c r="I2375" s="1425">
        <f>J2376-J2375</f>
        <v>2.9999999999972715E-2</v>
      </c>
      <c r="J2375" s="1394">
        <f>SUM(I2308:I2374)</f>
        <v>159.57000000000002</v>
      </c>
      <c r="M2375" s="1426"/>
      <c r="Q2375" s="1394">
        <f>IFERROR(VLOOKUP(M2375,#REF!,3,0),0)</f>
        <v>0</v>
      </c>
      <c r="R2375" s="1394">
        <f t="shared" si="680"/>
        <v>0</v>
      </c>
      <c r="S2375" s="1394">
        <f>IFERROR(VLOOKUP(M2375,#REF!,6,0),0)</f>
        <v>0</v>
      </c>
      <c r="T2375" s="1394">
        <f t="shared" si="650"/>
        <v>0</v>
      </c>
      <c r="U2375" s="1394">
        <f>IFERROR(VLOOKUP(M2375,#REF!,5,0),0)</f>
        <v>0</v>
      </c>
      <c r="V2375" s="1394">
        <f t="shared" si="651"/>
        <v>0</v>
      </c>
    </row>
    <row r="2376" spans="1:24" s="1394" customFormat="1" ht="30" customHeight="1">
      <c r="B2376" s="1421"/>
      <c r="C2376" s="1422"/>
      <c r="D2376" s="1389"/>
      <c r="E2376" s="1389"/>
      <c r="F2376" s="1423"/>
      <c r="G2376" s="1423"/>
      <c r="H2376" s="1424"/>
      <c r="I2376" s="1427">
        <f>+J2376</f>
        <v>159.6</v>
      </c>
      <c r="J2376" s="1394">
        <f>ROUNDUP(J2375,1)</f>
        <v>159.6</v>
      </c>
      <c r="M2376" s="1426"/>
      <c r="Q2376" s="1394">
        <f>IFERROR(VLOOKUP(M2376,#REF!,3,0),0)</f>
        <v>0</v>
      </c>
      <c r="R2376" s="1394">
        <f t="shared" si="680"/>
        <v>0</v>
      </c>
      <c r="S2376" s="1394">
        <f>IFERROR(VLOOKUP(M2376,#REF!,6,0),0)</f>
        <v>0</v>
      </c>
      <c r="T2376" s="1394">
        <f t="shared" si="650"/>
        <v>0</v>
      </c>
      <c r="U2376" s="1394">
        <f>IFERROR(VLOOKUP(M2376,#REF!,5,0),0)</f>
        <v>0</v>
      </c>
      <c r="V2376" s="1394">
        <f t="shared" si="651"/>
        <v>0</v>
      </c>
    </row>
    <row r="2377" spans="1:24" s="1394" customFormat="1" ht="30" customHeight="1">
      <c r="B2377" s="1421"/>
      <c r="C2377" s="1422"/>
      <c r="D2377" s="1389"/>
      <c r="E2377" s="1389"/>
      <c r="F2377" s="1423"/>
      <c r="G2377" s="1428" t="s">
        <v>11</v>
      </c>
      <c r="H2377" s="1429">
        <f>I2376</f>
        <v>159.6</v>
      </c>
      <c r="I2377" s="1427" t="s">
        <v>26</v>
      </c>
      <c r="M2377" s="1394" t="str">
        <f>A2307</f>
        <v>Glazed tiles using Grout (Tile Joint Filler)</v>
      </c>
      <c r="N2377" s="1394">
        <f>B2307</f>
        <v>29.8</v>
      </c>
      <c r="O2377" s="1394">
        <f>H2377</f>
        <v>159.6</v>
      </c>
      <c r="P2377" s="1394" t="str">
        <f>I2377</f>
        <v>Sqm</v>
      </c>
      <c r="Q2377" s="1394">
        <f>IFERROR(VLOOKUP(M2377,#REF!,3,0),0)</f>
        <v>0</v>
      </c>
      <c r="R2377" s="1394">
        <f t="shared" si="680"/>
        <v>0</v>
      </c>
      <c r="S2377" s="1394">
        <f>IFERROR(VLOOKUP(M2377,#REF!,6,0),0)</f>
        <v>0</v>
      </c>
      <c r="T2377" s="1394">
        <f t="shared" si="650"/>
        <v>0</v>
      </c>
      <c r="U2377" s="1394">
        <f>IFERROR(VLOOKUP(M2377,#REF!,5,0),0)</f>
        <v>0</v>
      </c>
      <c r="V2377" s="1394">
        <f t="shared" si="651"/>
        <v>159.6</v>
      </c>
    </row>
    <row r="2378" spans="1:24" ht="116.25" customHeight="1">
      <c r="A2378" s="110" t="s">
        <v>384</v>
      </c>
      <c r="B2378" s="1405">
        <v>29.9</v>
      </c>
      <c r="C2378" s="1678" t="e">
        <f>VLOOKUP(A2378,#REF!,2,0)</f>
        <v>#REF!</v>
      </c>
      <c r="D2378" s="1678"/>
      <c r="E2378" s="1678"/>
      <c r="F2378" s="1678"/>
      <c r="G2378" s="1678"/>
      <c r="H2378" s="1678"/>
      <c r="I2378" s="1479"/>
      <c r="Q2378" s="1394">
        <f>IFERROR(VLOOKUP(M2378,#REF!,3,0),0)</f>
        <v>0</v>
      </c>
      <c r="R2378" s="1394">
        <f t="shared" si="680"/>
        <v>0</v>
      </c>
      <c r="S2378" s="1394">
        <f>IFERROR(VLOOKUP(M2378,#REF!,6,0),0)</f>
        <v>0</v>
      </c>
      <c r="T2378" s="1394">
        <f t="shared" si="650"/>
        <v>0</v>
      </c>
      <c r="U2378" s="1394">
        <f>IFERROR(VLOOKUP(M2378,#REF!,5,0),0)</f>
        <v>0</v>
      </c>
      <c r="V2378" s="1394">
        <f t="shared" si="651"/>
        <v>0</v>
      </c>
      <c r="W2378" s="1394"/>
      <c r="X2378" s="1397"/>
    </row>
    <row r="2379" spans="1:24" ht="30" customHeight="1">
      <c r="B2379" s="1405"/>
      <c r="C2379" s="1412" t="s">
        <v>5822</v>
      </c>
      <c r="D2379" s="103"/>
      <c r="E2379" s="103"/>
      <c r="F2379" s="1413"/>
      <c r="G2379" s="1413"/>
      <c r="H2379" s="1414"/>
      <c r="I2379" s="1406"/>
      <c r="Q2379" s="1394">
        <f>IFERROR(VLOOKUP(M2379,#REF!,3,0),0)</f>
        <v>0</v>
      </c>
      <c r="R2379" s="1394">
        <f t="shared" si="680"/>
        <v>0</v>
      </c>
      <c r="S2379" s="1394">
        <f>IFERROR(VLOOKUP(M2379,#REF!,6,0),0)</f>
        <v>0</v>
      </c>
      <c r="T2379" s="1394">
        <f t="shared" si="650"/>
        <v>0</v>
      </c>
      <c r="U2379" s="1394">
        <f>IFERROR(VLOOKUP(M2379,#REF!,5,0),0)</f>
        <v>0</v>
      </c>
      <c r="V2379" s="1394">
        <f t="shared" si="651"/>
        <v>0</v>
      </c>
      <c r="W2379" s="1394"/>
    </row>
    <row r="2380" spans="1:24" ht="30" customHeight="1">
      <c r="B2380" s="1405"/>
      <c r="C2380" s="1455" t="s">
        <v>5823</v>
      </c>
      <c r="D2380" s="103">
        <v>1</v>
      </c>
      <c r="E2380" s="103">
        <v>1</v>
      </c>
      <c r="F2380" s="1413">
        <v>1.5</v>
      </c>
      <c r="G2380" s="1413">
        <v>1.2</v>
      </c>
      <c r="H2380" s="1414"/>
      <c r="I2380" s="1508">
        <f t="shared" ref="I2380:I2443" si="696">ROUND((PRODUCT(D2380:H2380)),2)</f>
        <v>1.8</v>
      </c>
      <c r="Q2380" s="1394">
        <f>IFERROR(VLOOKUP(M2380,#REF!,3,0),0)</f>
        <v>0</v>
      </c>
      <c r="R2380" s="1394">
        <f t="shared" si="680"/>
        <v>0</v>
      </c>
      <c r="S2380" s="1394">
        <f>IFERROR(VLOOKUP(M2380,#REF!,6,0),0)</f>
        <v>0</v>
      </c>
      <c r="T2380" s="1394">
        <f t="shared" si="650"/>
        <v>0</v>
      </c>
      <c r="U2380" s="1394">
        <f>IFERROR(VLOOKUP(M2380,#REF!,5,0),0)</f>
        <v>0</v>
      </c>
      <c r="V2380" s="1394">
        <f t="shared" si="651"/>
        <v>0</v>
      </c>
      <c r="W2380" s="1394"/>
    </row>
    <row r="2381" spans="1:24" ht="30" customHeight="1">
      <c r="B2381" s="1405"/>
      <c r="C2381" s="1455" t="s">
        <v>5519</v>
      </c>
      <c r="D2381" s="103">
        <v>1</v>
      </c>
      <c r="E2381" s="103">
        <v>1</v>
      </c>
      <c r="F2381" s="1413">
        <v>0.115</v>
      </c>
      <c r="G2381" s="1413">
        <v>1</v>
      </c>
      <c r="H2381" s="1414"/>
      <c r="I2381" s="1508">
        <f t="shared" si="696"/>
        <v>0.12</v>
      </c>
      <c r="Q2381" s="1394">
        <f>IFERROR(VLOOKUP(M2381,#REF!,3,0),0)</f>
        <v>0</v>
      </c>
      <c r="R2381" s="1394">
        <f t="shared" si="680"/>
        <v>0</v>
      </c>
      <c r="S2381" s="1394">
        <f>IFERROR(VLOOKUP(M2381,#REF!,6,0),0)</f>
        <v>0</v>
      </c>
      <c r="T2381" s="1394">
        <f t="shared" ref="T2381:T2444" si="697">R2381-S2381</f>
        <v>0</v>
      </c>
      <c r="U2381" s="1394">
        <f>IFERROR(VLOOKUP(M2381,#REF!,5,0),0)</f>
        <v>0</v>
      </c>
      <c r="V2381" s="1394">
        <f t="shared" ref="V2381:V2444" si="698">O2381-U2381</f>
        <v>0</v>
      </c>
      <c r="W2381" s="1394"/>
    </row>
    <row r="2382" spans="1:24" ht="30" customHeight="1">
      <c r="B2382" s="1405"/>
      <c r="C2382" s="1455" t="s">
        <v>400</v>
      </c>
      <c r="D2382" s="103">
        <v>1</v>
      </c>
      <c r="E2382" s="103">
        <v>1</v>
      </c>
      <c r="F2382" s="1413">
        <v>1.5</v>
      </c>
      <c r="G2382" s="1413">
        <v>1.35</v>
      </c>
      <c r="H2382" s="1414"/>
      <c r="I2382" s="1508">
        <f t="shared" si="696"/>
        <v>2.0299999999999998</v>
      </c>
      <c r="Q2382" s="1394">
        <f>IFERROR(VLOOKUP(M2382,#REF!,3,0),0)</f>
        <v>0</v>
      </c>
      <c r="R2382" s="1394">
        <f t="shared" si="680"/>
        <v>0</v>
      </c>
      <c r="S2382" s="1394">
        <f>IFERROR(VLOOKUP(M2382,#REF!,6,0),0)</f>
        <v>0</v>
      </c>
      <c r="T2382" s="1394">
        <f t="shared" si="697"/>
        <v>0</v>
      </c>
      <c r="U2382" s="1394">
        <f>IFERROR(VLOOKUP(M2382,#REF!,5,0),0)</f>
        <v>0</v>
      </c>
      <c r="V2382" s="1394">
        <f t="shared" si="698"/>
        <v>0</v>
      </c>
      <c r="W2382" s="1394"/>
    </row>
    <row r="2383" spans="1:24" ht="30" customHeight="1">
      <c r="B2383" s="1407"/>
      <c r="C2383" s="1455" t="s">
        <v>188</v>
      </c>
      <c r="D2383" s="103">
        <v>1</v>
      </c>
      <c r="E2383" s="103">
        <v>1</v>
      </c>
      <c r="F2383" s="1413">
        <v>0.115</v>
      </c>
      <c r="G2383" s="1413">
        <v>0.75</v>
      </c>
      <c r="H2383" s="1414"/>
      <c r="I2383" s="1508">
        <f t="shared" si="696"/>
        <v>0.09</v>
      </c>
      <c r="Q2383" s="1394">
        <f>IFERROR(VLOOKUP(M2383,#REF!,3,0),0)</f>
        <v>0</v>
      </c>
      <c r="R2383" s="1394">
        <f t="shared" si="680"/>
        <v>0</v>
      </c>
      <c r="S2383" s="1394">
        <f>IFERROR(VLOOKUP(M2383,#REF!,6,0),0)</f>
        <v>0</v>
      </c>
      <c r="T2383" s="1394">
        <f t="shared" si="697"/>
        <v>0</v>
      </c>
      <c r="U2383" s="1394">
        <f>IFERROR(VLOOKUP(M2383,#REF!,5,0),0)</f>
        <v>0</v>
      </c>
      <c r="V2383" s="1394">
        <f t="shared" si="698"/>
        <v>0</v>
      </c>
      <c r="W2383" s="1394"/>
    </row>
    <row r="2384" spans="1:24" ht="30" customHeight="1">
      <c r="B2384" s="1407"/>
      <c r="C2384" s="1455" t="s">
        <v>5824</v>
      </c>
      <c r="D2384" s="103">
        <v>1</v>
      </c>
      <c r="E2384" s="103">
        <v>1</v>
      </c>
      <c r="F2384" s="1413">
        <v>1.28</v>
      </c>
      <c r="G2384" s="1413">
        <v>3.5649999999999999</v>
      </c>
      <c r="H2384" s="1414"/>
      <c r="I2384" s="1508">
        <f t="shared" si="696"/>
        <v>4.5599999999999996</v>
      </c>
      <c r="Q2384" s="1394">
        <f>IFERROR(VLOOKUP(M2384,#REF!,3,0),0)</f>
        <v>0</v>
      </c>
      <c r="R2384" s="1394">
        <f t="shared" si="680"/>
        <v>0</v>
      </c>
      <c r="S2384" s="1394">
        <f>IFERROR(VLOOKUP(M2384,#REF!,6,0),0)</f>
        <v>0</v>
      </c>
      <c r="T2384" s="1394">
        <f t="shared" si="697"/>
        <v>0</v>
      </c>
      <c r="U2384" s="1394">
        <f>IFERROR(VLOOKUP(M2384,#REF!,5,0),0)</f>
        <v>0</v>
      </c>
      <c r="V2384" s="1394">
        <f t="shared" si="698"/>
        <v>0</v>
      </c>
      <c r="W2384" s="1394"/>
    </row>
    <row r="2385" spans="2:23" ht="30" customHeight="1">
      <c r="B2385" s="1407"/>
      <c r="C2385" s="1455" t="s">
        <v>5825</v>
      </c>
      <c r="D2385" s="103">
        <v>1</v>
      </c>
      <c r="E2385" s="103">
        <v>1</v>
      </c>
      <c r="F2385" s="1413">
        <v>0.23</v>
      </c>
      <c r="G2385" s="1413">
        <v>1</v>
      </c>
      <c r="H2385" s="1414"/>
      <c r="I2385" s="1508">
        <f t="shared" si="696"/>
        <v>0.23</v>
      </c>
      <c r="Q2385" s="1394">
        <f>IFERROR(VLOOKUP(M2385,#REF!,3,0),0)</f>
        <v>0</v>
      </c>
      <c r="R2385" s="1394">
        <f t="shared" si="680"/>
        <v>0</v>
      </c>
      <c r="S2385" s="1394">
        <f>IFERROR(VLOOKUP(M2385,#REF!,6,0),0)</f>
        <v>0</v>
      </c>
      <c r="T2385" s="1394">
        <f t="shared" si="697"/>
        <v>0</v>
      </c>
      <c r="U2385" s="1394">
        <f>IFERROR(VLOOKUP(M2385,#REF!,5,0),0)</f>
        <v>0</v>
      </c>
      <c r="V2385" s="1394">
        <f t="shared" si="698"/>
        <v>0</v>
      </c>
      <c r="W2385" s="1394"/>
    </row>
    <row r="2386" spans="2:23" ht="30" customHeight="1">
      <c r="B2386" s="1407"/>
      <c r="C2386" s="1412" t="s">
        <v>259</v>
      </c>
      <c r="D2386" s="103"/>
      <c r="E2386" s="103"/>
      <c r="F2386" s="1413"/>
      <c r="G2386" s="1413"/>
      <c r="H2386" s="1414"/>
      <c r="I2386" s="1508">
        <f t="shared" si="696"/>
        <v>0</v>
      </c>
      <c r="M2386" s="110"/>
      <c r="Q2386" s="1394">
        <f>IFERROR(VLOOKUP(M2386,#REF!,3,0),0)</f>
        <v>0</v>
      </c>
      <c r="R2386" s="1394">
        <f t="shared" si="680"/>
        <v>0</v>
      </c>
      <c r="S2386" s="1394">
        <f>IFERROR(VLOOKUP(M2386,#REF!,6,0),0)</f>
        <v>0</v>
      </c>
      <c r="T2386" s="1394">
        <f t="shared" si="697"/>
        <v>0</v>
      </c>
      <c r="U2386" s="1394">
        <f>IFERROR(VLOOKUP(M2386,#REF!,5,0),0)</f>
        <v>0</v>
      </c>
      <c r="V2386" s="1394">
        <f t="shared" si="698"/>
        <v>0</v>
      </c>
      <c r="W2386" s="1394"/>
    </row>
    <row r="2387" spans="2:23" ht="30" customHeight="1">
      <c r="B2387" s="1407"/>
      <c r="C2387" s="1455" t="s">
        <v>5738</v>
      </c>
      <c r="D2387" s="103">
        <v>1</v>
      </c>
      <c r="E2387" s="103">
        <v>1</v>
      </c>
      <c r="F2387" s="1413">
        <v>1.65</v>
      </c>
      <c r="G2387" s="1413">
        <v>1.5</v>
      </c>
      <c r="H2387" s="1414"/>
      <c r="I2387" s="1508">
        <f t="shared" si="696"/>
        <v>2.48</v>
      </c>
      <c r="M2387" s="110"/>
      <c r="Q2387" s="1394">
        <f>IFERROR(VLOOKUP(M2387,#REF!,3,0),0)</f>
        <v>0</v>
      </c>
      <c r="R2387" s="1394">
        <f t="shared" si="680"/>
        <v>0</v>
      </c>
      <c r="S2387" s="1394">
        <f>IFERROR(VLOOKUP(M2387,#REF!,6,0),0)</f>
        <v>0</v>
      </c>
      <c r="T2387" s="1394">
        <f t="shared" si="697"/>
        <v>0</v>
      </c>
      <c r="U2387" s="1394">
        <f>IFERROR(VLOOKUP(M2387,#REF!,5,0),0)</f>
        <v>0</v>
      </c>
      <c r="V2387" s="1394">
        <f t="shared" si="698"/>
        <v>0</v>
      </c>
      <c r="W2387" s="1394"/>
    </row>
    <row r="2388" spans="2:23" ht="30" customHeight="1">
      <c r="B2388" s="1407"/>
      <c r="C2388" s="1455" t="s">
        <v>188</v>
      </c>
      <c r="D2388" s="103">
        <v>1</v>
      </c>
      <c r="E2388" s="103">
        <v>1</v>
      </c>
      <c r="F2388" s="1413">
        <v>0.115</v>
      </c>
      <c r="G2388" s="1413">
        <v>0.75</v>
      </c>
      <c r="H2388" s="1414"/>
      <c r="I2388" s="1508">
        <f t="shared" si="696"/>
        <v>0.09</v>
      </c>
      <c r="M2388" s="110"/>
      <c r="Q2388" s="1394">
        <f>IFERROR(VLOOKUP(M2388,#REF!,3,0),0)</f>
        <v>0</v>
      </c>
      <c r="R2388" s="1394">
        <f t="shared" si="680"/>
        <v>0</v>
      </c>
      <c r="S2388" s="1394">
        <f>IFERROR(VLOOKUP(M2388,#REF!,6,0),0)</f>
        <v>0</v>
      </c>
      <c r="T2388" s="1394">
        <f t="shared" si="697"/>
        <v>0</v>
      </c>
      <c r="U2388" s="1394">
        <f>IFERROR(VLOOKUP(M2388,#REF!,5,0),0)</f>
        <v>0</v>
      </c>
      <c r="V2388" s="1394">
        <f t="shared" si="698"/>
        <v>0</v>
      </c>
      <c r="W2388" s="1394"/>
    </row>
    <row r="2389" spans="2:23" ht="30" customHeight="1">
      <c r="B2389" s="1407"/>
      <c r="C2389" s="1455" t="s">
        <v>5826</v>
      </c>
      <c r="D2389" s="103">
        <v>1</v>
      </c>
      <c r="E2389" s="103">
        <v>1</v>
      </c>
      <c r="F2389" s="1413">
        <v>1.1200000000000001</v>
      </c>
      <c r="G2389" s="1413">
        <v>1.5</v>
      </c>
      <c r="H2389" s="1414"/>
      <c r="I2389" s="1508">
        <f t="shared" si="696"/>
        <v>1.68</v>
      </c>
      <c r="M2389" s="110"/>
      <c r="Q2389" s="1394">
        <f>IFERROR(VLOOKUP(M2389,#REF!,3,0),0)</f>
        <v>0</v>
      </c>
      <c r="R2389" s="1394">
        <f t="shared" si="680"/>
        <v>0</v>
      </c>
      <c r="S2389" s="1394">
        <f>IFERROR(VLOOKUP(M2389,#REF!,6,0),0)</f>
        <v>0</v>
      </c>
      <c r="T2389" s="1394">
        <f t="shared" si="697"/>
        <v>0</v>
      </c>
      <c r="U2389" s="1394">
        <f>IFERROR(VLOOKUP(M2389,#REF!,5,0),0)</f>
        <v>0</v>
      </c>
      <c r="V2389" s="1394">
        <f t="shared" si="698"/>
        <v>0</v>
      </c>
      <c r="W2389" s="1394"/>
    </row>
    <row r="2390" spans="2:23" ht="30" customHeight="1">
      <c r="B2390" s="1407"/>
      <c r="C2390" s="1455" t="s">
        <v>5825</v>
      </c>
      <c r="D2390" s="103">
        <v>1</v>
      </c>
      <c r="E2390" s="103">
        <v>1</v>
      </c>
      <c r="F2390" s="1413">
        <v>0.23</v>
      </c>
      <c r="G2390" s="1413">
        <v>1</v>
      </c>
      <c r="H2390" s="1414"/>
      <c r="I2390" s="1508">
        <f t="shared" si="696"/>
        <v>0.23</v>
      </c>
      <c r="M2390" s="110"/>
      <c r="Q2390" s="1394">
        <f>IFERROR(VLOOKUP(M2390,#REF!,3,0),0)</f>
        <v>0</v>
      </c>
      <c r="R2390" s="1394">
        <f t="shared" si="680"/>
        <v>0</v>
      </c>
      <c r="S2390" s="1394">
        <f>IFERROR(VLOOKUP(M2390,#REF!,6,0),0)</f>
        <v>0</v>
      </c>
      <c r="T2390" s="1394">
        <f t="shared" si="697"/>
        <v>0</v>
      </c>
      <c r="U2390" s="1394">
        <f>IFERROR(VLOOKUP(M2390,#REF!,5,0),0)</f>
        <v>0</v>
      </c>
      <c r="V2390" s="1394">
        <f t="shared" si="698"/>
        <v>0</v>
      </c>
      <c r="W2390" s="1394"/>
    </row>
    <row r="2391" spans="2:23" ht="30" customHeight="1">
      <c r="B2391" s="1407"/>
      <c r="C2391" s="1455" t="s">
        <v>5827</v>
      </c>
      <c r="D2391" s="103">
        <v>1</v>
      </c>
      <c r="E2391" s="103">
        <v>1</v>
      </c>
      <c r="F2391" s="1413">
        <v>1.65</v>
      </c>
      <c r="G2391" s="1413">
        <v>1.5</v>
      </c>
      <c r="H2391" s="1414"/>
      <c r="I2391" s="1508">
        <f t="shared" si="696"/>
        <v>2.48</v>
      </c>
      <c r="M2391" s="110"/>
      <c r="Q2391" s="1394">
        <f>IFERROR(VLOOKUP(M2391,#REF!,3,0),0)</f>
        <v>0</v>
      </c>
      <c r="R2391" s="1394">
        <f t="shared" si="680"/>
        <v>0</v>
      </c>
      <c r="S2391" s="1394">
        <f>IFERROR(VLOOKUP(M2391,#REF!,6,0),0)</f>
        <v>0</v>
      </c>
      <c r="T2391" s="1394">
        <f t="shared" si="697"/>
        <v>0</v>
      </c>
      <c r="U2391" s="1394">
        <f>IFERROR(VLOOKUP(M2391,#REF!,5,0),0)</f>
        <v>0</v>
      </c>
      <c r="V2391" s="1394">
        <f t="shared" si="698"/>
        <v>0</v>
      </c>
      <c r="W2391" s="1394"/>
    </row>
    <row r="2392" spans="2:23" ht="30" customHeight="1">
      <c r="B2392" s="1407"/>
      <c r="C2392" s="1455" t="s">
        <v>188</v>
      </c>
      <c r="D2392" s="103">
        <v>1</v>
      </c>
      <c r="E2392" s="103">
        <v>1</v>
      </c>
      <c r="F2392" s="1413">
        <v>0.115</v>
      </c>
      <c r="G2392" s="1413">
        <v>0.75</v>
      </c>
      <c r="H2392" s="1414"/>
      <c r="I2392" s="1508">
        <f t="shared" si="696"/>
        <v>0.09</v>
      </c>
      <c r="M2392" s="110"/>
      <c r="Q2392" s="1394">
        <f>IFERROR(VLOOKUP(M2392,#REF!,3,0),0)</f>
        <v>0</v>
      </c>
      <c r="R2392" s="1394">
        <f t="shared" si="680"/>
        <v>0</v>
      </c>
      <c r="S2392" s="1394">
        <f>IFERROR(VLOOKUP(M2392,#REF!,6,0),0)</f>
        <v>0</v>
      </c>
      <c r="T2392" s="1394">
        <f t="shared" si="697"/>
        <v>0</v>
      </c>
      <c r="U2392" s="1394">
        <f>IFERROR(VLOOKUP(M2392,#REF!,5,0),0)</f>
        <v>0</v>
      </c>
      <c r="V2392" s="1394">
        <f t="shared" si="698"/>
        <v>0</v>
      </c>
      <c r="W2392" s="1394"/>
    </row>
    <row r="2393" spans="2:23" ht="30" customHeight="1">
      <c r="B2393" s="1407"/>
      <c r="C2393" s="1455" t="s">
        <v>5828</v>
      </c>
      <c r="D2393" s="103">
        <v>1</v>
      </c>
      <c r="E2393" s="103">
        <v>1</v>
      </c>
      <c r="F2393" s="1413">
        <v>1.1200000000000001</v>
      </c>
      <c r="G2393" s="1413">
        <v>1.5</v>
      </c>
      <c r="H2393" s="1414"/>
      <c r="I2393" s="1508">
        <f t="shared" si="696"/>
        <v>1.68</v>
      </c>
      <c r="M2393" s="110"/>
      <c r="Q2393" s="1394">
        <f>IFERROR(VLOOKUP(M2393,#REF!,3,0),0)</f>
        <v>0</v>
      </c>
      <c r="R2393" s="1394">
        <f t="shared" si="680"/>
        <v>0</v>
      </c>
      <c r="S2393" s="1394">
        <f>IFERROR(VLOOKUP(M2393,#REF!,6,0),0)</f>
        <v>0</v>
      </c>
      <c r="T2393" s="1394">
        <f t="shared" si="697"/>
        <v>0</v>
      </c>
      <c r="U2393" s="1394">
        <f>IFERROR(VLOOKUP(M2393,#REF!,5,0),0)</f>
        <v>0</v>
      </c>
      <c r="V2393" s="1394">
        <f t="shared" si="698"/>
        <v>0</v>
      </c>
      <c r="W2393" s="1394"/>
    </row>
    <row r="2394" spans="2:23" ht="30" customHeight="1">
      <c r="B2394" s="1407"/>
      <c r="C2394" s="1455" t="s">
        <v>5825</v>
      </c>
      <c r="D2394" s="103">
        <v>1</v>
      </c>
      <c r="E2394" s="103">
        <v>1</v>
      </c>
      <c r="F2394" s="1413">
        <v>0.23</v>
      </c>
      <c r="G2394" s="1413">
        <v>1</v>
      </c>
      <c r="H2394" s="1414"/>
      <c r="I2394" s="1508">
        <f t="shared" si="696"/>
        <v>0.23</v>
      </c>
      <c r="M2394" s="110"/>
      <c r="Q2394" s="1394">
        <f>IFERROR(VLOOKUP(M2394,#REF!,3,0),0)</f>
        <v>0</v>
      </c>
      <c r="R2394" s="1394">
        <f t="shared" si="680"/>
        <v>0</v>
      </c>
      <c r="S2394" s="1394">
        <f>IFERROR(VLOOKUP(M2394,#REF!,6,0),0)</f>
        <v>0</v>
      </c>
      <c r="T2394" s="1394">
        <f t="shared" si="697"/>
        <v>0</v>
      </c>
      <c r="U2394" s="1394">
        <f>IFERROR(VLOOKUP(M2394,#REF!,5,0),0)</f>
        <v>0</v>
      </c>
      <c r="V2394" s="1394">
        <f t="shared" si="698"/>
        <v>0</v>
      </c>
      <c r="W2394" s="1394"/>
    </row>
    <row r="2395" spans="2:23" ht="30" customHeight="1">
      <c r="B2395" s="1407"/>
      <c r="C2395" s="1455" t="s">
        <v>5829</v>
      </c>
      <c r="D2395" s="103">
        <v>1</v>
      </c>
      <c r="E2395" s="103">
        <v>2</v>
      </c>
      <c r="F2395" s="1413">
        <v>1</v>
      </c>
      <c r="G2395" s="1413">
        <v>1.2</v>
      </c>
      <c r="H2395" s="1414"/>
      <c r="I2395" s="1508">
        <f t="shared" si="696"/>
        <v>2.4</v>
      </c>
      <c r="M2395" s="110"/>
      <c r="Q2395" s="1394">
        <f>IFERROR(VLOOKUP(M2395,#REF!,3,0),0)</f>
        <v>0</v>
      </c>
      <c r="R2395" s="1394">
        <f t="shared" si="680"/>
        <v>0</v>
      </c>
      <c r="S2395" s="1394">
        <f>IFERROR(VLOOKUP(M2395,#REF!,6,0),0)</f>
        <v>0</v>
      </c>
      <c r="T2395" s="1394">
        <f t="shared" si="697"/>
        <v>0</v>
      </c>
      <c r="U2395" s="1394">
        <f>IFERROR(VLOOKUP(M2395,#REF!,5,0),0)</f>
        <v>0</v>
      </c>
      <c r="V2395" s="1394">
        <f t="shared" si="698"/>
        <v>0</v>
      </c>
      <c r="W2395" s="1394"/>
    </row>
    <row r="2396" spans="2:23" ht="30" customHeight="1">
      <c r="B2396" s="1407"/>
      <c r="C2396" s="1455" t="s">
        <v>188</v>
      </c>
      <c r="D2396" s="103">
        <v>1</v>
      </c>
      <c r="E2396" s="103">
        <v>2</v>
      </c>
      <c r="F2396" s="1413">
        <v>0.115</v>
      </c>
      <c r="G2396" s="1413">
        <v>0.75</v>
      </c>
      <c r="H2396" s="1414"/>
      <c r="I2396" s="1508">
        <f t="shared" si="696"/>
        <v>0.17</v>
      </c>
      <c r="M2396" s="110"/>
      <c r="Q2396" s="1394">
        <f>IFERROR(VLOOKUP(M2396,#REF!,3,0),0)</f>
        <v>0</v>
      </c>
      <c r="R2396" s="1394">
        <f t="shared" si="680"/>
        <v>0</v>
      </c>
      <c r="S2396" s="1394">
        <f>IFERROR(VLOOKUP(M2396,#REF!,6,0),0)</f>
        <v>0</v>
      </c>
      <c r="T2396" s="1394">
        <f t="shared" si="697"/>
        <v>0</v>
      </c>
      <c r="U2396" s="1394">
        <f>IFERROR(VLOOKUP(M2396,#REF!,5,0),0)</f>
        <v>0</v>
      </c>
      <c r="V2396" s="1394">
        <f t="shared" si="698"/>
        <v>0</v>
      </c>
      <c r="W2396" s="1394"/>
    </row>
    <row r="2397" spans="2:23" ht="30" customHeight="1">
      <c r="B2397" s="1407"/>
      <c r="C2397" s="1455" t="s">
        <v>322</v>
      </c>
      <c r="D2397" s="103">
        <v>1</v>
      </c>
      <c r="E2397" s="103">
        <v>1</v>
      </c>
      <c r="F2397" s="1413">
        <v>1.5</v>
      </c>
      <c r="G2397" s="1413">
        <v>1.2</v>
      </c>
      <c r="H2397" s="1414"/>
      <c r="I2397" s="1508">
        <f t="shared" si="696"/>
        <v>1.8</v>
      </c>
      <c r="M2397" s="110"/>
      <c r="Q2397" s="1394">
        <f>IFERROR(VLOOKUP(M2397,#REF!,3,0),0)</f>
        <v>0</v>
      </c>
      <c r="R2397" s="1394">
        <f t="shared" si="680"/>
        <v>0</v>
      </c>
      <c r="S2397" s="1394">
        <f>IFERROR(VLOOKUP(M2397,#REF!,6,0),0)</f>
        <v>0</v>
      </c>
      <c r="T2397" s="1394">
        <f t="shared" si="697"/>
        <v>0</v>
      </c>
      <c r="U2397" s="1394">
        <f>IFERROR(VLOOKUP(M2397,#REF!,5,0),0)</f>
        <v>0</v>
      </c>
      <c r="V2397" s="1394">
        <f t="shared" si="698"/>
        <v>0</v>
      </c>
      <c r="W2397" s="1394"/>
    </row>
    <row r="2398" spans="2:23" ht="30" customHeight="1">
      <c r="B2398" s="1407"/>
      <c r="C2398" s="1455" t="s">
        <v>188</v>
      </c>
      <c r="D2398" s="103">
        <v>1</v>
      </c>
      <c r="E2398" s="103">
        <v>11</v>
      </c>
      <c r="F2398" s="1413">
        <v>0.115</v>
      </c>
      <c r="G2398" s="1413">
        <v>0.75</v>
      </c>
      <c r="H2398" s="1414"/>
      <c r="I2398" s="1508">
        <f t="shared" si="696"/>
        <v>0.95</v>
      </c>
      <c r="M2398" s="110"/>
      <c r="Q2398" s="1394">
        <f>IFERROR(VLOOKUP(M2398,#REF!,3,0),0)</f>
        <v>0</v>
      </c>
      <c r="R2398" s="1394">
        <f t="shared" si="680"/>
        <v>0</v>
      </c>
      <c r="S2398" s="1394">
        <f>IFERROR(VLOOKUP(M2398,#REF!,6,0),0)</f>
        <v>0</v>
      </c>
      <c r="T2398" s="1394">
        <f t="shared" si="697"/>
        <v>0</v>
      </c>
      <c r="U2398" s="1394">
        <f>IFERROR(VLOOKUP(M2398,#REF!,5,0),0)</f>
        <v>0</v>
      </c>
      <c r="V2398" s="1394">
        <f t="shared" si="698"/>
        <v>0</v>
      </c>
      <c r="W2398" s="1394"/>
    </row>
    <row r="2399" spans="2:23" ht="30" customHeight="1">
      <c r="B2399" s="1407"/>
      <c r="C2399" s="1455" t="s">
        <v>5830</v>
      </c>
      <c r="D2399" s="103">
        <v>1</v>
      </c>
      <c r="E2399" s="103">
        <v>1</v>
      </c>
      <c r="F2399" s="1413">
        <v>1.5</v>
      </c>
      <c r="G2399" s="1413">
        <v>1.1000000000000001</v>
      </c>
      <c r="H2399" s="1414"/>
      <c r="I2399" s="1508">
        <f t="shared" si="696"/>
        <v>1.65</v>
      </c>
      <c r="M2399" s="110"/>
      <c r="Q2399" s="1394">
        <f>IFERROR(VLOOKUP(M2399,#REF!,3,0),0)</f>
        <v>0</v>
      </c>
      <c r="R2399" s="1394">
        <f t="shared" si="680"/>
        <v>0</v>
      </c>
      <c r="S2399" s="1394">
        <f>IFERROR(VLOOKUP(M2399,#REF!,6,0),0)</f>
        <v>0</v>
      </c>
      <c r="T2399" s="1394">
        <f t="shared" si="697"/>
        <v>0</v>
      </c>
      <c r="U2399" s="1394">
        <f>IFERROR(VLOOKUP(M2399,#REF!,5,0),0)</f>
        <v>0</v>
      </c>
      <c r="V2399" s="1394">
        <f t="shared" si="698"/>
        <v>0</v>
      </c>
      <c r="W2399" s="1394"/>
    </row>
    <row r="2400" spans="2:23" ht="30" customHeight="1">
      <c r="B2400" s="1407"/>
      <c r="C2400" s="1455" t="s">
        <v>5825</v>
      </c>
      <c r="D2400" s="103">
        <v>1</v>
      </c>
      <c r="E2400" s="103">
        <v>1</v>
      </c>
      <c r="F2400" s="1413">
        <v>0.115</v>
      </c>
      <c r="G2400" s="1413">
        <v>0.9</v>
      </c>
      <c r="H2400" s="1414"/>
      <c r="I2400" s="1508">
        <f t="shared" si="696"/>
        <v>0.1</v>
      </c>
      <c r="M2400" s="110"/>
      <c r="Q2400" s="1394">
        <f>IFERROR(VLOOKUP(M2400,#REF!,3,0),0)</f>
        <v>0</v>
      </c>
      <c r="R2400" s="1394">
        <f t="shared" si="680"/>
        <v>0</v>
      </c>
      <c r="S2400" s="1394">
        <f>IFERROR(VLOOKUP(M2400,#REF!,6,0),0)</f>
        <v>0</v>
      </c>
      <c r="T2400" s="1394">
        <f t="shared" si="697"/>
        <v>0</v>
      </c>
      <c r="U2400" s="1394">
        <f>IFERROR(VLOOKUP(M2400,#REF!,5,0),0)</f>
        <v>0</v>
      </c>
      <c r="V2400" s="1394">
        <f t="shared" si="698"/>
        <v>0</v>
      </c>
      <c r="W2400" s="1394"/>
    </row>
    <row r="2401" spans="2:23" ht="30" customHeight="1">
      <c r="B2401" s="1407"/>
      <c r="C2401" s="1455" t="s">
        <v>5831</v>
      </c>
      <c r="D2401" s="103">
        <v>1</v>
      </c>
      <c r="E2401" s="103">
        <v>1</v>
      </c>
      <c r="F2401" s="1413">
        <v>1.65</v>
      </c>
      <c r="G2401" s="1413">
        <v>1.2350000000000001</v>
      </c>
      <c r="H2401" s="1414"/>
      <c r="I2401" s="1508">
        <f t="shared" si="696"/>
        <v>2.04</v>
      </c>
      <c r="M2401" s="110"/>
      <c r="Q2401" s="1394">
        <f>IFERROR(VLOOKUP(M2401,#REF!,3,0),0)</f>
        <v>0</v>
      </c>
      <c r="R2401" s="1394">
        <f t="shared" si="680"/>
        <v>0</v>
      </c>
      <c r="S2401" s="1394">
        <f>IFERROR(VLOOKUP(M2401,#REF!,6,0),0)</f>
        <v>0</v>
      </c>
      <c r="T2401" s="1394">
        <f t="shared" si="697"/>
        <v>0</v>
      </c>
      <c r="U2401" s="1394">
        <f>IFERROR(VLOOKUP(M2401,#REF!,5,0),0)</f>
        <v>0</v>
      </c>
      <c r="V2401" s="1394">
        <f t="shared" si="698"/>
        <v>0</v>
      </c>
      <c r="W2401" s="1394"/>
    </row>
    <row r="2402" spans="2:23" s="1506" customFormat="1" ht="30" customHeight="1">
      <c r="B2402" s="1507"/>
      <c r="C2402" s="1455" t="s">
        <v>188</v>
      </c>
      <c r="D2402" s="103">
        <v>1</v>
      </c>
      <c r="E2402" s="103">
        <v>11</v>
      </c>
      <c r="F2402" s="1413">
        <v>0.115</v>
      </c>
      <c r="G2402" s="1413">
        <v>0.75</v>
      </c>
      <c r="H2402" s="1414"/>
      <c r="I2402" s="1508">
        <f t="shared" si="696"/>
        <v>0.95</v>
      </c>
      <c r="M2402" s="1509"/>
      <c r="Q2402" s="1394">
        <f>IFERROR(VLOOKUP(M2402,#REF!,3,0),0)</f>
        <v>0</v>
      </c>
      <c r="R2402" s="1394">
        <f t="shared" si="680"/>
        <v>0</v>
      </c>
      <c r="S2402" s="1394">
        <f>IFERROR(VLOOKUP(M2402,#REF!,6,0),0)</f>
        <v>0</v>
      </c>
      <c r="T2402" s="1394">
        <f t="shared" si="697"/>
        <v>0</v>
      </c>
      <c r="U2402" s="1394">
        <f>IFERROR(VLOOKUP(M2402,#REF!,5,0),0)</f>
        <v>0</v>
      </c>
      <c r="V2402" s="1394">
        <f t="shared" si="698"/>
        <v>0</v>
      </c>
      <c r="W2402" s="1394"/>
    </row>
    <row r="2403" spans="2:23" s="1506" customFormat="1" ht="30" customHeight="1">
      <c r="B2403" s="1507"/>
      <c r="C2403" s="1455" t="s">
        <v>5830</v>
      </c>
      <c r="D2403" s="103">
        <v>1</v>
      </c>
      <c r="E2403" s="103">
        <v>1</v>
      </c>
      <c r="F2403" s="1413">
        <v>1.65</v>
      </c>
      <c r="G2403" s="1413">
        <v>1.1000000000000001</v>
      </c>
      <c r="H2403" s="1414"/>
      <c r="I2403" s="1508">
        <f t="shared" si="696"/>
        <v>1.82</v>
      </c>
      <c r="M2403" s="1509"/>
      <c r="Q2403" s="1394">
        <f>IFERROR(VLOOKUP(M2403,#REF!,3,0),0)</f>
        <v>0</v>
      </c>
      <c r="R2403" s="1394">
        <f t="shared" si="680"/>
        <v>0</v>
      </c>
      <c r="S2403" s="1394">
        <f>IFERROR(VLOOKUP(M2403,#REF!,6,0),0)</f>
        <v>0</v>
      </c>
      <c r="T2403" s="1394">
        <f t="shared" si="697"/>
        <v>0</v>
      </c>
      <c r="U2403" s="1394">
        <f>IFERROR(VLOOKUP(M2403,#REF!,5,0),0)</f>
        <v>0</v>
      </c>
      <c r="V2403" s="1394">
        <f t="shared" si="698"/>
        <v>0</v>
      </c>
      <c r="W2403" s="1394"/>
    </row>
    <row r="2404" spans="2:23" s="1506" customFormat="1" ht="30" customHeight="1">
      <c r="B2404" s="1507"/>
      <c r="C2404" s="1455" t="s">
        <v>5825</v>
      </c>
      <c r="D2404" s="103">
        <v>1</v>
      </c>
      <c r="E2404" s="103">
        <v>1</v>
      </c>
      <c r="F2404" s="1413">
        <v>0.115</v>
      </c>
      <c r="G2404" s="1413">
        <v>0.9</v>
      </c>
      <c r="H2404" s="69"/>
      <c r="I2404" s="1508">
        <f t="shared" si="696"/>
        <v>0.1</v>
      </c>
      <c r="M2404" s="1509"/>
      <c r="Q2404" s="1394">
        <f>IFERROR(VLOOKUP(M2404,#REF!,3,0),0)</f>
        <v>0</v>
      </c>
      <c r="R2404" s="1394">
        <f t="shared" si="680"/>
        <v>0</v>
      </c>
      <c r="S2404" s="1394">
        <f>IFERROR(VLOOKUP(M2404,#REF!,6,0),0)</f>
        <v>0</v>
      </c>
      <c r="T2404" s="1394">
        <f t="shared" si="697"/>
        <v>0</v>
      </c>
      <c r="U2404" s="1394">
        <f>IFERROR(VLOOKUP(M2404,#REF!,5,0),0)</f>
        <v>0</v>
      </c>
      <c r="V2404" s="1394">
        <f t="shared" si="698"/>
        <v>0</v>
      </c>
      <c r="W2404" s="1394"/>
    </row>
    <row r="2405" spans="2:23" s="1506" customFormat="1" ht="30" customHeight="1">
      <c r="B2405" s="1507"/>
      <c r="C2405" s="1455"/>
      <c r="D2405" s="103"/>
      <c r="E2405" s="103"/>
      <c r="F2405" s="1413"/>
      <c r="G2405" s="1413"/>
      <c r="H2405" s="69"/>
      <c r="I2405" s="1508">
        <f t="shared" si="696"/>
        <v>0</v>
      </c>
      <c r="M2405" s="1509"/>
      <c r="Q2405" s="1394">
        <f>IFERROR(VLOOKUP(M2405,#REF!,3,0),0)</f>
        <v>0</v>
      </c>
      <c r="R2405" s="1394">
        <f t="shared" si="680"/>
        <v>0</v>
      </c>
      <c r="S2405" s="1394">
        <f>IFERROR(VLOOKUP(M2405,#REF!,6,0),0)</f>
        <v>0</v>
      </c>
      <c r="T2405" s="1394">
        <f t="shared" si="697"/>
        <v>0</v>
      </c>
      <c r="U2405" s="1394">
        <f>IFERROR(VLOOKUP(M2405,#REF!,5,0),0)</f>
        <v>0</v>
      </c>
      <c r="V2405" s="1394">
        <f t="shared" si="698"/>
        <v>0</v>
      </c>
      <c r="W2405" s="1394"/>
    </row>
    <row r="2406" spans="2:23" ht="30" customHeight="1">
      <c r="B2406" s="1407"/>
      <c r="C2406" s="1412" t="s">
        <v>260</v>
      </c>
      <c r="D2406" s="103"/>
      <c r="E2406" s="103"/>
      <c r="F2406" s="1413"/>
      <c r="G2406" s="1413"/>
      <c r="H2406" s="1414"/>
      <c r="I2406" s="1508">
        <f t="shared" si="696"/>
        <v>0</v>
      </c>
      <c r="Q2406" s="1394">
        <f>IFERROR(VLOOKUP(M2406,#REF!,3,0),0)</f>
        <v>0</v>
      </c>
      <c r="R2406" s="1394">
        <f t="shared" si="680"/>
        <v>0</v>
      </c>
      <c r="S2406" s="1394">
        <f>IFERROR(VLOOKUP(M2406,#REF!,6,0),0)</f>
        <v>0</v>
      </c>
      <c r="T2406" s="1394">
        <f t="shared" si="697"/>
        <v>0</v>
      </c>
      <c r="U2406" s="1394">
        <f>IFERROR(VLOOKUP(M2406,#REF!,5,0),0)</f>
        <v>0</v>
      </c>
      <c r="V2406" s="1394">
        <f t="shared" si="698"/>
        <v>0</v>
      </c>
      <c r="W2406" s="1394"/>
    </row>
    <row r="2407" spans="2:23" ht="30" customHeight="1">
      <c r="B2407" s="1407"/>
      <c r="C2407" s="1455" t="s">
        <v>5749</v>
      </c>
      <c r="D2407" s="103">
        <v>1</v>
      </c>
      <c r="E2407" s="103">
        <v>1</v>
      </c>
      <c r="F2407" s="1413">
        <v>1.65</v>
      </c>
      <c r="G2407" s="1413">
        <v>1.5</v>
      </c>
      <c r="H2407" s="1414"/>
      <c r="I2407" s="1508">
        <f t="shared" si="696"/>
        <v>2.48</v>
      </c>
      <c r="Q2407" s="1394">
        <f>IFERROR(VLOOKUP(M2407,#REF!,3,0),0)</f>
        <v>0</v>
      </c>
      <c r="R2407" s="1394">
        <f t="shared" si="680"/>
        <v>0</v>
      </c>
      <c r="S2407" s="1394">
        <f>IFERROR(VLOOKUP(M2407,#REF!,6,0),0)</f>
        <v>0</v>
      </c>
      <c r="T2407" s="1394">
        <f t="shared" si="697"/>
        <v>0</v>
      </c>
      <c r="U2407" s="1394">
        <f>IFERROR(VLOOKUP(M2407,#REF!,5,0),0)</f>
        <v>0</v>
      </c>
      <c r="V2407" s="1394">
        <f t="shared" si="698"/>
        <v>0</v>
      </c>
      <c r="W2407" s="1394"/>
    </row>
    <row r="2408" spans="2:23" ht="30" customHeight="1">
      <c r="B2408" s="1407"/>
      <c r="C2408" s="1455" t="s">
        <v>188</v>
      </c>
      <c r="D2408" s="103">
        <v>1</v>
      </c>
      <c r="E2408" s="103">
        <v>1</v>
      </c>
      <c r="F2408" s="1413">
        <v>0.115</v>
      </c>
      <c r="G2408" s="1413">
        <v>0.75</v>
      </c>
      <c r="H2408" s="1414"/>
      <c r="I2408" s="1508">
        <f t="shared" si="696"/>
        <v>0.09</v>
      </c>
      <c r="Q2408" s="1394">
        <f>IFERROR(VLOOKUP(M2408,#REF!,3,0),0)</f>
        <v>0</v>
      </c>
      <c r="R2408" s="1394">
        <f t="shared" si="680"/>
        <v>0</v>
      </c>
      <c r="S2408" s="1394">
        <f>IFERROR(VLOOKUP(M2408,#REF!,6,0),0)</f>
        <v>0</v>
      </c>
      <c r="T2408" s="1394">
        <f t="shared" si="697"/>
        <v>0</v>
      </c>
      <c r="U2408" s="1394">
        <f>IFERROR(VLOOKUP(M2408,#REF!,5,0),0)</f>
        <v>0</v>
      </c>
      <c r="V2408" s="1394">
        <f t="shared" si="698"/>
        <v>0</v>
      </c>
      <c r="W2408" s="1394"/>
    </row>
    <row r="2409" spans="2:23" ht="30" customHeight="1">
      <c r="B2409" s="1407"/>
      <c r="C2409" s="1455" t="s">
        <v>5832</v>
      </c>
      <c r="D2409" s="103">
        <v>1</v>
      </c>
      <c r="E2409" s="103">
        <v>1</v>
      </c>
      <c r="F2409" s="1413">
        <v>1.1200000000000001</v>
      </c>
      <c r="G2409" s="1413">
        <v>1.5</v>
      </c>
      <c r="H2409" s="1414"/>
      <c r="I2409" s="1508">
        <f t="shared" si="696"/>
        <v>1.68</v>
      </c>
      <c r="Q2409" s="1394">
        <f>IFERROR(VLOOKUP(M2409,#REF!,3,0),0)</f>
        <v>0</v>
      </c>
      <c r="R2409" s="1394">
        <f t="shared" si="680"/>
        <v>0</v>
      </c>
      <c r="S2409" s="1394">
        <f>IFERROR(VLOOKUP(M2409,#REF!,6,0),0)</f>
        <v>0</v>
      </c>
      <c r="T2409" s="1394">
        <f t="shared" si="697"/>
        <v>0</v>
      </c>
      <c r="U2409" s="1394">
        <f>IFERROR(VLOOKUP(M2409,#REF!,5,0),0)</f>
        <v>0</v>
      </c>
      <c r="V2409" s="1394">
        <f t="shared" si="698"/>
        <v>0</v>
      </c>
      <c r="W2409" s="1394"/>
    </row>
    <row r="2410" spans="2:23" ht="30" customHeight="1">
      <c r="B2410" s="1407"/>
      <c r="C2410" s="1455" t="s">
        <v>5825</v>
      </c>
      <c r="D2410" s="103">
        <v>1</v>
      </c>
      <c r="E2410" s="103">
        <v>1</v>
      </c>
      <c r="F2410" s="1413">
        <v>0.23</v>
      </c>
      <c r="G2410" s="1413">
        <v>1</v>
      </c>
      <c r="H2410" s="1414"/>
      <c r="I2410" s="1508">
        <f t="shared" si="696"/>
        <v>0.23</v>
      </c>
      <c r="Q2410" s="1394">
        <f>IFERROR(VLOOKUP(M2410,#REF!,3,0),0)</f>
        <v>0</v>
      </c>
      <c r="R2410" s="1394">
        <f t="shared" si="680"/>
        <v>0</v>
      </c>
      <c r="S2410" s="1394">
        <f>IFERROR(VLOOKUP(M2410,#REF!,6,0),0)</f>
        <v>0</v>
      </c>
      <c r="T2410" s="1394">
        <f t="shared" si="697"/>
        <v>0</v>
      </c>
      <c r="U2410" s="1394">
        <f>IFERROR(VLOOKUP(M2410,#REF!,5,0),0)</f>
        <v>0</v>
      </c>
      <c r="V2410" s="1394">
        <f t="shared" si="698"/>
        <v>0</v>
      </c>
      <c r="W2410" s="1394"/>
    </row>
    <row r="2411" spans="2:23" ht="30" customHeight="1">
      <c r="B2411" s="1407"/>
      <c r="C2411" s="1455" t="s">
        <v>5827</v>
      </c>
      <c r="D2411" s="103">
        <v>1</v>
      </c>
      <c r="E2411" s="103">
        <v>1</v>
      </c>
      <c r="F2411" s="1413">
        <v>1.65</v>
      </c>
      <c r="G2411" s="1413">
        <v>1.5</v>
      </c>
      <c r="H2411" s="1414"/>
      <c r="I2411" s="1508">
        <f t="shared" si="696"/>
        <v>2.48</v>
      </c>
      <c r="Q2411" s="1394">
        <f>IFERROR(VLOOKUP(M2411,#REF!,3,0),0)</f>
        <v>0</v>
      </c>
      <c r="R2411" s="1394">
        <f t="shared" si="680"/>
        <v>0</v>
      </c>
      <c r="S2411" s="1394">
        <f>IFERROR(VLOOKUP(M2411,#REF!,6,0),0)</f>
        <v>0</v>
      </c>
      <c r="T2411" s="1394">
        <f t="shared" si="697"/>
        <v>0</v>
      </c>
      <c r="U2411" s="1394">
        <f>IFERROR(VLOOKUP(M2411,#REF!,5,0),0)</f>
        <v>0</v>
      </c>
      <c r="V2411" s="1394">
        <f t="shared" si="698"/>
        <v>0</v>
      </c>
      <c r="W2411" s="1394"/>
    </row>
    <row r="2412" spans="2:23" ht="30" customHeight="1">
      <c r="B2412" s="1407"/>
      <c r="C2412" s="1455" t="s">
        <v>188</v>
      </c>
      <c r="D2412" s="103">
        <v>1</v>
      </c>
      <c r="E2412" s="103">
        <v>1</v>
      </c>
      <c r="F2412" s="1413">
        <v>0.115</v>
      </c>
      <c r="G2412" s="1413">
        <v>0.75</v>
      </c>
      <c r="H2412" s="1414"/>
      <c r="I2412" s="1508">
        <f t="shared" si="696"/>
        <v>0.09</v>
      </c>
      <c r="Q2412" s="1394">
        <f>IFERROR(VLOOKUP(M2412,#REF!,3,0),0)</f>
        <v>0</v>
      </c>
      <c r="R2412" s="1394">
        <f t="shared" si="680"/>
        <v>0</v>
      </c>
      <c r="S2412" s="1394">
        <f>IFERROR(VLOOKUP(M2412,#REF!,6,0),0)</f>
        <v>0</v>
      </c>
      <c r="T2412" s="1394">
        <f t="shared" si="697"/>
        <v>0</v>
      </c>
      <c r="U2412" s="1394">
        <f>IFERROR(VLOOKUP(M2412,#REF!,5,0),0)</f>
        <v>0</v>
      </c>
      <c r="V2412" s="1394">
        <f t="shared" si="698"/>
        <v>0</v>
      </c>
      <c r="W2412" s="1394"/>
    </row>
    <row r="2413" spans="2:23" ht="30" customHeight="1">
      <c r="B2413" s="1407"/>
      <c r="C2413" s="1455" t="s">
        <v>5828</v>
      </c>
      <c r="D2413" s="103">
        <v>1</v>
      </c>
      <c r="E2413" s="103">
        <v>1</v>
      </c>
      <c r="F2413" s="1413">
        <v>1.1200000000000001</v>
      </c>
      <c r="G2413" s="1413">
        <v>1.5</v>
      </c>
      <c r="H2413" s="1414"/>
      <c r="I2413" s="1508">
        <f t="shared" si="696"/>
        <v>1.68</v>
      </c>
      <c r="Q2413" s="1394">
        <f>IFERROR(VLOOKUP(M2413,#REF!,3,0),0)</f>
        <v>0</v>
      </c>
      <c r="R2413" s="1394">
        <f t="shared" si="680"/>
        <v>0</v>
      </c>
      <c r="S2413" s="1394">
        <f>IFERROR(VLOOKUP(M2413,#REF!,6,0),0)</f>
        <v>0</v>
      </c>
      <c r="T2413" s="1394">
        <f t="shared" si="697"/>
        <v>0</v>
      </c>
      <c r="U2413" s="1394">
        <f>IFERROR(VLOOKUP(M2413,#REF!,5,0),0)</f>
        <v>0</v>
      </c>
      <c r="V2413" s="1394">
        <f t="shared" si="698"/>
        <v>0</v>
      </c>
      <c r="W2413" s="1394"/>
    </row>
    <row r="2414" spans="2:23" ht="30" customHeight="1">
      <c r="B2414" s="1407"/>
      <c r="C2414" s="1455" t="s">
        <v>5825</v>
      </c>
      <c r="D2414" s="103">
        <v>1</v>
      </c>
      <c r="E2414" s="103">
        <v>1</v>
      </c>
      <c r="F2414" s="1413">
        <v>0.23</v>
      </c>
      <c r="G2414" s="1413">
        <v>1</v>
      </c>
      <c r="H2414" s="1414"/>
      <c r="I2414" s="1508">
        <f t="shared" si="696"/>
        <v>0.23</v>
      </c>
      <c r="Q2414" s="1394">
        <f>IFERROR(VLOOKUP(M2414,#REF!,3,0),0)</f>
        <v>0</v>
      </c>
      <c r="R2414" s="1394">
        <f t="shared" ref="R2414:R2450" si="699">ROUND(O2414,2)*ROUND(Q2414,2)</f>
        <v>0</v>
      </c>
      <c r="S2414" s="1394">
        <f>IFERROR(VLOOKUP(M2414,#REF!,6,0),0)</f>
        <v>0</v>
      </c>
      <c r="T2414" s="1394">
        <f t="shared" si="697"/>
        <v>0</v>
      </c>
      <c r="U2414" s="1394">
        <f>IFERROR(VLOOKUP(M2414,#REF!,5,0),0)</f>
        <v>0</v>
      </c>
      <c r="V2414" s="1394">
        <f t="shared" si="698"/>
        <v>0</v>
      </c>
      <c r="W2414" s="1394"/>
    </row>
    <row r="2415" spans="2:23" ht="30" customHeight="1">
      <c r="B2415" s="1407"/>
      <c r="C2415" s="1455" t="s">
        <v>5829</v>
      </c>
      <c r="D2415" s="103">
        <v>1</v>
      </c>
      <c r="E2415" s="103">
        <v>2</v>
      </c>
      <c r="F2415" s="1413">
        <v>1</v>
      </c>
      <c r="G2415" s="1413">
        <v>1.2</v>
      </c>
      <c r="H2415" s="1414"/>
      <c r="I2415" s="1508">
        <f t="shared" si="696"/>
        <v>2.4</v>
      </c>
      <c r="Q2415" s="1394">
        <f>IFERROR(VLOOKUP(M2415,#REF!,3,0),0)</f>
        <v>0</v>
      </c>
      <c r="R2415" s="1394">
        <f t="shared" si="699"/>
        <v>0</v>
      </c>
      <c r="S2415" s="1394">
        <f>IFERROR(VLOOKUP(M2415,#REF!,6,0),0)</f>
        <v>0</v>
      </c>
      <c r="T2415" s="1394">
        <f t="shared" si="697"/>
        <v>0</v>
      </c>
      <c r="U2415" s="1394">
        <f>IFERROR(VLOOKUP(M2415,#REF!,5,0),0)</f>
        <v>0</v>
      </c>
      <c r="V2415" s="1394">
        <f t="shared" si="698"/>
        <v>0</v>
      </c>
      <c r="W2415" s="1394"/>
    </row>
    <row r="2416" spans="2:23" ht="30" customHeight="1">
      <c r="B2416" s="1407"/>
      <c r="C2416" s="1455" t="s">
        <v>188</v>
      </c>
      <c r="D2416" s="103">
        <v>1</v>
      </c>
      <c r="E2416" s="103">
        <v>2</v>
      </c>
      <c r="F2416" s="1413">
        <v>0.115</v>
      </c>
      <c r="G2416" s="1413">
        <v>0.75</v>
      </c>
      <c r="H2416" s="1414"/>
      <c r="I2416" s="1508">
        <f t="shared" si="696"/>
        <v>0.17</v>
      </c>
      <c r="Q2416" s="1394">
        <f>IFERROR(VLOOKUP(M2416,#REF!,3,0),0)</f>
        <v>0</v>
      </c>
      <c r="R2416" s="1394">
        <f t="shared" si="699"/>
        <v>0</v>
      </c>
      <c r="S2416" s="1394">
        <f>IFERROR(VLOOKUP(M2416,#REF!,6,0),0)</f>
        <v>0</v>
      </c>
      <c r="T2416" s="1394">
        <f t="shared" si="697"/>
        <v>0</v>
      </c>
      <c r="U2416" s="1394">
        <f>IFERROR(VLOOKUP(M2416,#REF!,5,0),0)</f>
        <v>0</v>
      </c>
      <c r="V2416" s="1394">
        <f t="shared" si="698"/>
        <v>0</v>
      </c>
      <c r="W2416" s="1394"/>
    </row>
    <row r="2417" spans="2:23" ht="30" customHeight="1">
      <c r="B2417" s="1407"/>
      <c r="C2417" s="1455" t="s">
        <v>322</v>
      </c>
      <c r="D2417" s="103">
        <v>1</v>
      </c>
      <c r="E2417" s="103">
        <v>1</v>
      </c>
      <c r="F2417" s="1413">
        <v>1.5</v>
      </c>
      <c r="G2417" s="1413">
        <v>1.2</v>
      </c>
      <c r="H2417" s="1414"/>
      <c r="I2417" s="1508">
        <f t="shared" si="696"/>
        <v>1.8</v>
      </c>
      <c r="Q2417" s="1394">
        <f>IFERROR(VLOOKUP(M2417,#REF!,3,0),0)</f>
        <v>0</v>
      </c>
      <c r="R2417" s="1394">
        <f t="shared" si="699"/>
        <v>0</v>
      </c>
      <c r="S2417" s="1394">
        <f>IFERROR(VLOOKUP(M2417,#REF!,6,0),0)</f>
        <v>0</v>
      </c>
      <c r="T2417" s="1394">
        <f t="shared" si="697"/>
        <v>0</v>
      </c>
      <c r="U2417" s="1394">
        <f>IFERROR(VLOOKUP(M2417,#REF!,5,0),0)</f>
        <v>0</v>
      </c>
      <c r="V2417" s="1394">
        <f t="shared" si="698"/>
        <v>0</v>
      </c>
      <c r="W2417" s="1394"/>
    </row>
    <row r="2418" spans="2:23" ht="30" customHeight="1">
      <c r="B2418" s="1407"/>
      <c r="C2418" s="1455" t="s">
        <v>188</v>
      </c>
      <c r="D2418" s="103">
        <v>1</v>
      </c>
      <c r="E2418" s="103">
        <v>11</v>
      </c>
      <c r="F2418" s="1413">
        <v>0.115</v>
      </c>
      <c r="G2418" s="1413">
        <v>0.75</v>
      </c>
      <c r="H2418" s="1414"/>
      <c r="I2418" s="1508">
        <f t="shared" si="696"/>
        <v>0.95</v>
      </c>
      <c r="Q2418" s="1394">
        <f>IFERROR(VLOOKUP(M2418,#REF!,3,0),0)</f>
        <v>0</v>
      </c>
      <c r="R2418" s="1394">
        <f t="shared" si="699"/>
        <v>0</v>
      </c>
      <c r="S2418" s="1394">
        <f>IFERROR(VLOOKUP(M2418,#REF!,6,0),0)</f>
        <v>0</v>
      </c>
      <c r="T2418" s="1394">
        <f t="shared" si="697"/>
        <v>0</v>
      </c>
      <c r="U2418" s="1394">
        <f>IFERROR(VLOOKUP(M2418,#REF!,5,0),0)</f>
        <v>0</v>
      </c>
      <c r="V2418" s="1394">
        <f t="shared" si="698"/>
        <v>0</v>
      </c>
      <c r="W2418" s="1394"/>
    </row>
    <row r="2419" spans="2:23" ht="30" customHeight="1">
      <c r="B2419" s="1407"/>
      <c r="C2419" s="1455" t="s">
        <v>5830</v>
      </c>
      <c r="D2419" s="103">
        <v>1</v>
      </c>
      <c r="E2419" s="103">
        <v>1</v>
      </c>
      <c r="F2419" s="1413">
        <v>1.5</v>
      </c>
      <c r="G2419" s="1413">
        <v>1.1000000000000001</v>
      </c>
      <c r="H2419" s="1414"/>
      <c r="I2419" s="1508">
        <f t="shared" si="696"/>
        <v>1.65</v>
      </c>
      <c r="Q2419" s="1394">
        <f>IFERROR(VLOOKUP(M2419,#REF!,3,0),0)</f>
        <v>0</v>
      </c>
      <c r="R2419" s="1394">
        <f t="shared" si="699"/>
        <v>0</v>
      </c>
      <c r="S2419" s="1394">
        <f>IFERROR(VLOOKUP(M2419,#REF!,6,0),0)</f>
        <v>0</v>
      </c>
      <c r="T2419" s="1394">
        <f t="shared" si="697"/>
        <v>0</v>
      </c>
      <c r="U2419" s="1394">
        <f>IFERROR(VLOOKUP(M2419,#REF!,5,0),0)</f>
        <v>0</v>
      </c>
      <c r="V2419" s="1394">
        <f t="shared" si="698"/>
        <v>0</v>
      </c>
      <c r="W2419" s="1394"/>
    </row>
    <row r="2420" spans="2:23" ht="30" customHeight="1">
      <c r="B2420" s="1407"/>
      <c r="C2420" s="1455" t="s">
        <v>5825</v>
      </c>
      <c r="D2420" s="103">
        <v>1</v>
      </c>
      <c r="E2420" s="103">
        <v>1</v>
      </c>
      <c r="F2420" s="1413">
        <v>0.115</v>
      </c>
      <c r="G2420" s="1413">
        <v>0.9</v>
      </c>
      <c r="H2420" s="1414"/>
      <c r="I2420" s="1508">
        <f t="shared" si="696"/>
        <v>0.1</v>
      </c>
      <c r="Q2420" s="1394">
        <f>IFERROR(VLOOKUP(M2420,#REF!,3,0),0)</f>
        <v>0</v>
      </c>
      <c r="R2420" s="1394">
        <f t="shared" si="699"/>
        <v>0</v>
      </c>
      <c r="S2420" s="1394">
        <f>IFERROR(VLOOKUP(M2420,#REF!,6,0),0)</f>
        <v>0</v>
      </c>
      <c r="T2420" s="1394">
        <f t="shared" si="697"/>
        <v>0</v>
      </c>
      <c r="U2420" s="1394">
        <f>IFERROR(VLOOKUP(M2420,#REF!,5,0),0)</f>
        <v>0</v>
      </c>
      <c r="V2420" s="1394">
        <f t="shared" si="698"/>
        <v>0</v>
      </c>
      <c r="W2420" s="1394"/>
    </row>
    <row r="2421" spans="2:23" ht="30" customHeight="1">
      <c r="B2421" s="1407"/>
      <c r="C2421" s="1455" t="s">
        <v>5831</v>
      </c>
      <c r="D2421" s="103">
        <v>1</v>
      </c>
      <c r="E2421" s="103">
        <v>1</v>
      </c>
      <c r="F2421" s="1413">
        <v>1.65</v>
      </c>
      <c r="G2421" s="1413">
        <v>1.2350000000000001</v>
      </c>
      <c r="H2421" s="1414"/>
      <c r="I2421" s="1508">
        <f t="shared" si="696"/>
        <v>2.04</v>
      </c>
      <c r="Q2421" s="1394">
        <f>IFERROR(VLOOKUP(M2421,#REF!,3,0),0)</f>
        <v>0</v>
      </c>
      <c r="R2421" s="1394">
        <f t="shared" si="699"/>
        <v>0</v>
      </c>
      <c r="S2421" s="1394">
        <f>IFERROR(VLOOKUP(M2421,#REF!,6,0),0)</f>
        <v>0</v>
      </c>
      <c r="T2421" s="1394">
        <f t="shared" si="697"/>
        <v>0</v>
      </c>
      <c r="U2421" s="1394">
        <f>IFERROR(VLOOKUP(M2421,#REF!,5,0),0)</f>
        <v>0</v>
      </c>
      <c r="V2421" s="1394">
        <f t="shared" si="698"/>
        <v>0</v>
      </c>
      <c r="W2421" s="1394"/>
    </row>
    <row r="2422" spans="2:23" s="1506" customFormat="1" ht="30" customHeight="1">
      <c r="B2422" s="1507"/>
      <c r="C2422" s="1455" t="s">
        <v>188</v>
      </c>
      <c r="D2422" s="103">
        <v>1</v>
      </c>
      <c r="E2422" s="103">
        <v>11</v>
      </c>
      <c r="F2422" s="1413">
        <v>0.115</v>
      </c>
      <c r="G2422" s="1413">
        <v>0.75</v>
      </c>
      <c r="H2422" s="1414"/>
      <c r="I2422" s="1508">
        <f t="shared" si="696"/>
        <v>0.95</v>
      </c>
      <c r="M2422" s="1509"/>
      <c r="Q2422" s="1394">
        <f>IFERROR(VLOOKUP(M2422,#REF!,3,0),0)</f>
        <v>0</v>
      </c>
      <c r="R2422" s="1394">
        <f t="shared" si="699"/>
        <v>0</v>
      </c>
      <c r="S2422" s="1394">
        <f>IFERROR(VLOOKUP(M2422,#REF!,6,0),0)</f>
        <v>0</v>
      </c>
      <c r="T2422" s="1394">
        <f t="shared" si="697"/>
        <v>0</v>
      </c>
      <c r="U2422" s="1394">
        <f>IFERROR(VLOOKUP(M2422,#REF!,5,0),0)</f>
        <v>0</v>
      </c>
      <c r="V2422" s="1394">
        <f t="shared" si="698"/>
        <v>0</v>
      </c>
      <c r="W2422" s="1394"/>
    </row>
    <row r="2423" spans="2:23" s="1506" customFormat="1" ht="30" customHeight="1">
      <c r="B2423" s="1507"/>
      <c r="C2423" s="1455" t="s">
        <v>5830</v>
      </c>
      <c r="D2423" s="103">
        <v>1</v>
      </c>
      <c r="E2423" s="103">
        <v>1</v>
      </c>
      <c r="F2423" s="1413">
        <v>1.65</v>
      </c>
      <c r="G2423" s="1413">
        <v>1.1000000000000001</v>
      </c>
      <c r="H2423" s="1414"/>
      <c r="I2423" s="1508">
        <f t="shared" si="696"/>
        <v>1.82</v>
      </c>
      <c r="M2423" s="1509"/>
      <c r="Q2423" s="1394">
        <f>IFERROR(VLOOKUP(M2423,#REF!,3,0),0)</f>
        <v>0</v>
      </c>
      <c r="R2423" s="1394">
        <f t="shared" si="699"/>
        <v>0</v>
      </c>
      <c r="S2423" s="1394">
        <f>IFERROR(VLOOKUP(M2423,#REF!,6,0),0)</f>
        <v>0</v>
      </c>
      <c r="T2423" s="1394">
        <f t="shared" si="697"/>
        <v>0</v>
      </c>
      <c r="U2423" s="1394">
        <f>IFERROR(VLOOKUP(M2423,#REF!,5,0),0)</f>
        <v>0</v>
      </c>
      <c r="V2423" s="1394">
        <f t="shared" si="698"/>
        <v>0</v>
      </c>
      <c r="W2423" s="1394"/>
    </row>
    <row r="2424" spans="2:23" s="1506" customFormat="1" ht="30" customHeight="1">
      <c r="B2424" s="1507"/>
      <c r="C2424" s="1455" t="s">
        <v>5825</v>
      </c>
      <c r="D2424" s="103">
        <v>1</v>
      </c>
      <c r="E2424" s="103">
        <v>1</v>
      </c>
      <c r="F2424" s="1413">
        <v>0.115</v>
      </c>
      <c r="G2424" s="1413">
        <v>0.9</v>
      </c>
      <c r="H2424" s="69"/>
      <c r="I2424" s="1508">
        <f t="shared" si="696"/>
        <v>0.1</v>
      </c>
      <c r="M2424" s="1509"/>
      <c r="Q2424" s="1394">
        <f>IFERROR(VLOOKUP(M2424,#REF!,3,0),0)</f>
        <v>0</v>
      </c>
      <c r="R2424" s="1394">
        <f t="shared" si="699"/>
        <v>0</v>
      </c>
      <c r="S2424" s="1394">
        <f>IFERROR(VLOOKUP(M2424,#REF!,6,0),0)</f>
        <v>0</v>
      </c>
      <c r="T2424" s="1394">
        <f t="shared" si="697"/>
        <v>0</v>
      </c>
      <c r="U2424" s="1394">
        <f>IFERROR(VLOOKUP(M2424,#REF!,5,0),0)</f>
        <v>0</v>
      </c>
      <c r="V2424" s="1394">
        <f t="shared" si="698"/>
        <v>0</v>
      </c>
      <c r="W2424" s="1394"/>
    </row>
    <row r="2425" spans="2:23" s="1506" customFormat="1" ht="30" customHeight="1">
      <c r="B2425" s="1507"/>
      <c r="C2425" s="1455"/>
      <c r="D2425" s="103"/>
      <c r="E2425" s="103"/>
      <c r="F2425" s="1413"/>
      <c r="G2425" s="1413"/>
      <c r="H2425" s="69"/>
      <c r="I2425" s="1508">
        <f t="shared" si="696"/>
        <v>0</v>
      </c>
      <c r="M2425" s="1509"/>
      <c r="Q2425" s="1394">
        <f>IFERROR(VLOOKUP(M2425,#REF!,3,0),0)</f>
        <v>0</v>
      </c>
      <c r="R2425" s="1394">
        <f t="shared" si="699"/>
        <v>0</v>
      </c>
      <c r="S2425" s="1394">
        <f>IFERROR(VLOOKUP(M2425,#REF!,6,0),0)</f>
        <v>0</v>
      </c>
      <c r="T2425" s="1394">
        <f t="shared" si="697"/>
        <v>0</v>
      </c>
      <c r="U2425" s="1394">
        <f>IFERROR(VLOOKUP(M2425,#REF!,5,0),0)</f>
        <v>0</v>
      </c>
      <c r="V2425" s="1394">
        <f t="shared" si="698"/>
        <v>0</v>
      </c>
      <c r="W2425" s="1394"/>
    </row>
    <row r="2426" spans="2:23" ht="30" customHeight="1">
      <c r="B2426" s="1407"/>
      <c r="C2426" s="1412" t="s">
        <v>261</v>
      </c>
      <c r="D2426" s="103"/>
      <c r="E2426" s="103"/>
      <c r="F2426" s="1413"/>
      <c r="G2426" s="1413"/>
      <c r="H2426" s="1414"/>
      <c r="I2426" s="1508">
        <f t="shared" si="696"/>
        <v>0</v>
      </c>
      <c r="Q2426" s="1394">
        <f>IFERROR(VLOOKUP(M2426,#REF!,3,0),0)</f>
        <v>0</v>
      </c>
      <c r="R2426" s="1394">
        <f t="shared" si="699"/>
        <v>0</v>
      </c>
      <c r="S2426" s="1394">
        <f>IFERROR(VLOOKUP(M2426,#REF!,6,0),0)</f>
        <v>0</v>
      </c>
      <c r="T2426" s="1394">
        <f t="shared" si="697"/>
        <v>0</v>
      </c>
      <c r="U2426" s="1394">
        <f>IFERROR(VLOOKUP(M2426,#REF!,5,0),0)</f>
        <v>0</v>
      </c>
      <c r="V2426" s="1394">
        <f t="shared" si="698"/>
        <v>0</v>
      </c>
      <c r="W2426" s="1394"/>
    </row>
    <row r="2427" spans="2:23" ht="30" customHeight="1">
      <c r="B2427" s="1407"/>
      <c r="C2427" s="1455" t="s">
        <v>5833</v>
      </c>
      <c r="D2427" s="103">
        <v>1</v>
      </c>
      <c r="E2427" s="103">
        <v>1</v>
      </c>
      <c r="F2427" s="1413">
        <v>1.65</v>
      </c>
      <c r="G2427" s="1413">
        <v>1.5</v>
      </c>
      <c r="H2427" s="1414"/>
      <c r="I2427" s="1508">
        <f t="shared" si="696"/>
        <v>2.48</v>
      </c>
      <c r="Q2427" s="1394">
        <f>IFERROR(VLOOKUP(M2427,#REF!,3,0),0)</f>
        <v>0</v>
      </c>
      <c r="R2427" s="1394">
        <f t="shared" si="699"/>
        <v>0</v>
      </c>
      <c r="S2427" s="1394">
        <f>IFERROR(VLOOKUP(M2427,#REF!,6,0),0)</f>
        <v>0</v>
      </c>
      <c r="T2427" s="1394">
        <f t="shared" si="697"/>
        <v>0</v>
      </c>
      <c r="U2427" s="1394">
        <f>IFERROR(VLOOKUP(M2427,#REF!,5,0),0)</f>
        <v>0</v>
      </c>
      <c r="V2427" s="1394">
        <f t="shared" si="698"/>
        <v>0</v>
      </c>
      <c r="W2427" s="1394"/>
    </row>
    <row r="2428" spans="2:23" ht="30" customHeight="1">
      <c r="B2428" s="1407"/>
      <c r="C2428" s="1455" t="s">
        <v>188</v>
      </c>
      <c r="D2428" s="103">
        <v>1</v>
      </c>
      <c r="E2428" s="103">
        <v>1</v>
      </c>
      <c r="F2428" s="1413">
        <v>0.115</v>
      </c>
      <c r="G2428" s="1413">
        <v>0.75</v>
      </c>
      <c r="H2428" s="1414"/>
      <c r="I2428" s="1508">
        <f t="shared" si="696"/>
        <v>0.09</v>
      </c>
      <c r="Q2428" s="1394">
        <f>IFERROR(VLOOKUP(M2428,#REF!,3,0),0)</f>
        <v>0</v>
      </c>
      <c r="R2428" s="1394">
        <f t="shared" si="699"/>
        <v>0</v>
      </c>
      <c r="S2428" s="1394">
        <f>IFERROR(VLOOKUP(M2428,#REF!,6,0),0)</f>
        <v>0</v>
      </c>
      <c r="T2428" s="1394">
        <f t="shared" si="697"/>
        <v>0</v>
      </c>
      <c r="U2428" s="1394">
        <f>IFERROR(VLOOKUP(M2428,#REF!,5,0),0)</f>
        <v>0</v>
      </c>
      <c r="V2428" s="1394">
        <f t="shared" si="698"/>
        <v>0</v>
      </c>
      <c r="W2428" s="1394"/>
    </row>
    <row r="2429" spans="2:23" ht="30" customHeight="1">
      <c r="B2429" s="1407"/>
      <c r="C2429" s="1455" t="s">
        <v>5834</v>
      </c>
      <c r="D2429" s="103">
        <v>1</v>
      </c>
      <c r="E2429" s="103">
        <v>1</v>
      </c>
      <c r="F2429" s="1413">
        <v>1.1200000000000001</v>
      </c>
      <c r="G2429" s="1413">
        <v>1.5</v>
      </c>
      <c r="H2429" s="1414"/>
      <c r="I2429" s="1508">
        <f t="shared" si="696"/>
        <v>1.68</v>
      </c>
      <c r="Q2429" s="1394">
        <f>IFERROR(VLOOKUP(M2429,#REF!,3,0),0)</f>
        <v>0</v>
      </c>
      <c r="R2429" s="1394">
        <f t="shared" si="699"/>
        <v>0</v>
      </c>
      <c r="S2429" s="1394">
        <f>IFERROR(VLOOKUP(M2429,#REF!,6,0),0)</f>
        <v>0</v>
      </c>
      <c r="T2429" s="1394">
        <f t="shared" si="697"/>
        <v>0</v>
      </c>
      <c r="U2429" s="1394">
        <f>IFERROR(VLOOKUP(M2429,#REF!,5,0),0)</f>
        <v>0</v>
      </c>
      <c r="V2429" s="1394">
        <f t="shared" si="698"/>
        <v>0</v>
      </c>
      <c r="W2429" s="1394"/>
    </row>
    <row r="2430" spans="2:23" ht="30" customHeight="1">
      <c r="B2430" s="1407"/>
      <c r="C2430" s="1455" t="s">
        <v>5825</v>
      </c>
      <c r="D2430" s="103">
        <v>1</v>
      </c>
      <c r="E2430" s="103">
        <v>1</v>
      </c>
      <c r="F2430" s="1413">
        <v>0.23</v>
      </c>
      <c r="G2430" s="1413">
        <v>1</v>
      </c>
      <c r="H2430" s="1414"/>
      <c r="I2430" s="1508">
        <f t="shared" si="696"/>
        <v>0.23</v>
      </c>
      <c r="Q2430" s="1394">
        <f>IFERROR(VLOOKUP(M2430,#REF!,3,0),0)</f>
        <v>0</v>
      </c>
      <c r="R2430" s="1394">
        <f t="shared" si="699"/>
        <v>0</v>
      </c>
      <c r="S2430" s="1394">
        <f>IFERROR(VLOOKUP(M2430,#REF!,6,0),0)</f>
        <v>0</v>
      </c>
      <c r="T2430" s="1394">
        <f t="shared" si="697"/>
        <v>0</v>
      </c>
      <c r="U2430" s="1394">
        <f>IFERROR(VLOOKUP(M2430,#REF!,5,0),0)</f>
        <v>0</v>
      </c>
      <c r="V2430" s="1394">
        <f t="shared" si="698"/>
        <v>0</v>
      </c>
      <c r="W2430" s="1394"/>
    </row>
    <row r="2431" spans="2:23" ht="30" customHeight="1">
      <c r="B2431" s="1407"/>
      <c r="C2431" s="1455" t="s">
        <v>5827</v>
      </c>
      <c r="D2431" s="103">
        <v>1</v>
      </c>
      <c r="E2431" s="103">
        <v>1</v>
      </c>
      <c r="F2431" s="1413">
        <v>1.65</v>
      </c>
      <c r="G2431" s="1413">
        <v>1.5</v>
      </c>
      <c r="H2431" s="1414"/>
      <c r="I2431" s="1508">
        <f t="shared" si="696"/>
        <v>2.48</v>
      </c>
      <c r="Q2431" s="1394">
        <f>IFERROR(VLOOKUP(M2431,#REF!,3,0),0)</f>
        <v>0</v>
      </c>
      <c r="R2431" s="1394">
        <f t="shared" si="699"/>
        <v>0</v>
      </c>
      <c r="S2431" s="1394">
        <f>IFERROR(VLOOKUP(M2431,#REF!,6,0),0)</f>
        <v>0</v>
      </c>
      <c r="T2431" s="1394">
        <f t="shared" si="697"/>
        <v>0</v>
      </c>
      <c r="U2431" s="1394">
        <f>IFERROR(VLOOKUP(M2431,#REF!,5,0),0)</f>
        <v>0</v>
      </c>
      <c r="V2431" s="1394">
        <f t="shared" si="698"/>
        <v>0</v>
      </c>
      <c r="W2431" s="1394"/>
    </row>
    <row r="2432" spans="2:23" ht="30" customHeight="1">
      <c r="B2432" s="1407"/>
      <c r="C2432" s="1455" t="s">
        <v>188</v>
      </c>
      <c r="D2432" s="103">
        <v>1</v>
      </c>
      <c r="E2432" s="103">
        <v>1</v>
      </c>
      <c r="F2432" s="1413">
        <v>0.115</v>
      </c>
      <c r="G2432" s="1413">
        <v>0.75</v>
      </c>
      <c r="H2432" s="1414"/>
      <c r="I2432" s="1508">
        <f t="shared" si="696"/>
        <v>0.09</v>
      </c>
      <c r="Q2432" s="1394">
        <f>IFERROR(VLOOKUP(M2432,#REF!,3,0),0)</f>
        <v>0</v>
      </c>
      <c r="R2432" s="1394">
        <f t="shared" si="699"/>
        <v>0</v>
      </c>
      <c r="S2432" s="1394">
        <f>IFERROR(VLOOKUP(M2432,#REF!,6,0),0)</f>
        <v>0</v>
      </c>
      <c r="T2432" s="1394">
        <f t="shared" si="697"/>
        <v>0</v>
      </c>
      <c r="U2432" s="1394">
        <f>IFERROR(VLOOKUP(M2432,#REF!,5,0),0)</f>
        <v>0</v>
      </c>
      <c r="V2432" s="1394">
        <f t="shared" si="698"/>
        <v>0</v>
      </c>
      <c r="W2432" s="1394"/>
    </row>
    <row r="2433" spans="2:23" ht="30" customHeight="1">
      <c r="B2433" s="1407"/>
      <c r="C2433" s="1455" t="s">
        <v>5828</v>
      </c>
      <c r="D2433" s="103">
        <v>1</v>
      </c>
      <c r="E2433" s="103">
        <v>1</v>
      </c>
      <c r="F2433" s="1413">
        <v>1.1200000000000001</v>
      </c>
      <c r="G2433" s="1413">
        <v>1.5</v>
      </c>
      <c r="H2433" s="1414"/>
      <c r="I2433" s="1508">
        <f t="shared" si="696"/>
        <v>1.68</v>
      </c>
      <c r="Q2433" s="1394">
        <f>IFERROR(VLOOKUP(M2433,#REF!,3,0),0)</f>
        <v>0</v>
      </c>
      <c r="R2433" s="1394">
        <f t="shared" si="699"/>
        <v>0</v>
      </c>
      <c r="S2433" s="1394">
        <f>IFERROR(VLOOKUP(M2433,#REF!,6,0),0)</f>
        <v>0</v>
      </c>
      <c r="T2433" s="1394">
        <f t="shared" si="697"/>
        <v>0</v>
      </c>
      <c r="U2433" s="1394">
        <f>IFERROR(VLOOKUP(M2433,#REF!,5,0),0)</f>
        <v>0</v>
      </c>
      <c r="V2433" s="1394">
        <f t="shared" si="698"/>
        <v>0</v>
      </c>
      <c r="W2433" s="1394"/>
    </row>
    <row r="2434" spans="2:23" ht="30" customHeight="1">
      <c r="B2434" s="1407"/>
      <c r="C2434" s="1455" t="s">
        <v>5825</v>
      </c>
      <c r="D2434" s="103">
        <v>1</v>
      </c>
      <c r="E2434" s="103">
        <v>1</v>
      </c>
      <c r="F2434" s="1413">
        <v>0.23</v>
      </c>
      <c r="G2434" s="1413">
        <v>1</v>
      </c>
      <c r="H2434" s="1414"/>
      <c r="I2434" s="1508">
        <f t="shared" si="696"/>
        <v>0.23</v>
      </c>
      <c r="Q2434" s="1394">
        <f>IFERROR(VLOOKUP(M2434,#REF!,3,0),0)</f>
        <v>0</v>
      </c>
      <c r="R2434" s="1394">
        <f t="shared" si="699"/>
        <v>0</v>
      </c>
      <c r="S2434" s="1394">
        <f>IFERROR(VLOOKUP(M2434,#REF!,6,0),0)</f>
        <v>0</v>
      </c>
      <c r="T2434" s="1394">
        <f t="shared" si="697"/>
        <v>0</v>
      </c>
      <c r="U2434" s="1394">
        <f>IFERROR(VLOOKUP(M2434,#REF!,5,0),0)</f>
        <v>0</v>
      </c>
      <c r="V2434" s="1394">
        <f t="shared" si="698"/>
        <v>0</v>
      </c>
      <c r="W2434" s="1394"/>
    </row>
    <row r="2435" spans="2:23" ht="30" customHeight="1">
      <c r="B2435" s="1407"/>
      <c r="C2435" s="1455" t="s">
        <v>5833</v>
      </c>
      <c r="D2435" s="103">
        <v>1</v>
      </c>
      <c r="E2435" s="103">
        <v>1</v>
      </c>
      <c r="F2435" s="1413">
        <v>1.5</v>
      </c>
      <c r="G2435" s="1413">
        <v>1.2</v>
      </c>
      <c r="H2435" s="1414"/>
      <c r="I2435" s="1508">
        <f t="shared" si="696"/>
        <v>1.8</v>
      </c>
      <c r="Q2435" s="1394">
        <f>IFERROR(VLOOKUP(M2435,#REF!,3,0),0)</f>
        <v>0</v>
      </c>
      <c r="R2435" s="1394">
        <f t="shared" si="699"/>
        <v>0</v>
      </c>
      <c r="S2435" s="1394">
        <f>IFERROR(VLOOKUP(M2435,#REF!,6,0),0)</f>
        <v>0</v>
      </c>
      <c r="T2435" s="1394">
        <f t="shared" si="697"/>
        <v>0</v>
      </c>
      <c r="U2435" s="1394">
        <f>IFERROR(VLOOKUP(M2435,#REF!,5,0),0)</f>
        <v>0</v>
      </c>
      <c r="V2435" s="1394">
        <f t="shared" si="698"/>
        <v>0</v>
      </c>
      <c r="W2435" s="1394"/>
    </row>
    <row r="2436" spans="2:23" ht="30" customHeight="1">
      <c r="B2436" s="1407"/>
      <c r="C2436" s="1455" t="s">
        <v>188</v>
      </c>
      <c r="D2436" s="103">
        <v>1</v>
      </c>
      <c r="E2436" s="103">
        <v>11</v>
      </c>
      <c r="F2436" s="1413">
        <v>0.115</v>
      </c>
      <c r="G2436" s="1413">
        <v>0.75</v>
      </c>
      <c r="H2436" s="1414"/>
      <c r="I2436" s="1508">
        <f t="shared" si="696"/>
        <v>0.95</v>
      </c>
      <c r="Q2436" s="1394">
        <f>IFERROR(VLOOKUP(M2436,#REF!,3,0),0)</f>
        <v>0</v>
      </c>
      <c r="R2436" s="1394">
        <f t="shared" si="699"/>
        <v>0</v>
      </c>
      <c r="S2436" s="1394">
        <f>IFERROR(VLOOKUP(M2436,#REF!,6,0),0)</f>
        <v>0</v>
      </c>
      <c r="T2436" s="1394">
        <f t="shared" si="697"/>
        <v>0</v>
      </c>
      <c r="U2436" s="1394">
        <f>IFERROR(VLOOKUP(M2436,#REF!,5,0),0)</f>
        <v>0</v>
      </c>
      <c r="V2436" s="1394">
        <f t="shared" si="698"/>
        <v>0</v>
      </c>
      <c r="W2436" s="1394"/>
    </row>
    <row r="2437" spans="2:23" ht="30" customHeight="1">
      <c r="B2437" s="1407"/>
      <c r="C2437" s="1455" t="s">
        <v>5835</v>
      </c>
      <c r="D2437" s="103">
        <v>1</v>
      </c>
      <c r="E2437" s="103">
        <v>1</v>
      </c>
      <c r="F2437" s="1413">
        <v>1.5</v>
      </c>
      <c r="G2437" s="1413">
        <v>1.2350000000000001</v>
      </c>
      <c r="H2437" s="1414"/>
      <c r="I2437" s="1508">
        <f t="shared" si="696"/>
        <v>1.85</v>
      </c>
      <c r="Q2437" s="1394">
        <f>IFERROR(VLOOKUP(M2437,#REF!,3,0),0)</f>
        <v>0</v>
      </c>
      <c r="R2437" s="1394">
        <f t="shared" si="699"/>
        <v>0</v>
      </c>
      <c r="S2437" s="1394">
        <f>IFERROR(VLOOKUP(M2437,#REF!,6,0),0)</f>
        <v>0</v>
      </c>
      <c r="T2437" s="1394">
        <f t="shared" si="697"/>
        <v>0</v>
      </c>
      <c r="U2437" s="1394">
        <f>IFERROR(VLOOKUP(M2437,#REF!,5,0),0)</f>
        <v>0</v>
      </c>
      <c r="V2437" s="1394">
        <f t="shared" si="698"/>
        <v>0</v>
      </c>
      <c r="W2437" s="1394"/>
    </row>
    <row r="2438" spans="2:23" ht="30" customHeight="1">
      <c r="B2438" s="1407"/>
      <c r="C2438" s="1455" t="s">
        <v>188</v>
      </c>
      <c r="D2438" s="103">
        <v>1</v>
      </c>
      <c r="E2438" s="103">
        <v>11</v>
      </c>
      <c r="F2438" s="1413">
        <v>0.115</v>
      </c>
      <c r="G2438" s="1413">
        <v>0.75</v>
      </c>
      <c r="H2438" s="1414"/>
      <c r="I2438" s="1508">
        <f t="shared" si="696"/>
        <v>0.95</v>
      </c>
      <c r="Q2438" s="1394">
        <f>IFERROR(VLOOKUP(M2438,#REF!,3,0),0)</f>
        <v>0</v>
      </c>
      <c r="R2438" s="1394">
        <f t="shared" si="699"/>
        <v>0</v>
      </c>
      <c r="S2438" s="1394">
        <f>IFERROR(VLOOKUP(M2438,#REF!,6,0),0)</f>
        <v>0</v>
      </c>
      <c r="T2438" s="1394">
        <f t="shared" si="697"/>
        <v>0</v>
      </c>
      <c r="U2438" s="1394">
        <f>IFERROR(VLOOKUP(M2438,#REF!,5,0),0)</f>
        <v>0</v>
      </c>
      <c r="V2438" s="1394">
        <f t="shared" si="698"/>
        <v>0</v>
      </c>
      <c r="W2438" s="1394"/>
    </row>
    <row r="2439" spans="2:23" ht="30" customHeight="1">
      <c r="B2439" s="1407"/>
      <c r="C2439" s="1455" t="s">
        <v>5830</v>
      </c>
      <c r="D2439" s="103">
        <v>1</v>
      </c>
      <c r="E2439" s="103">
        <v>1</v>
      </c>
      <c r="F2439" s="1413">
        <v>2.27</v>
      </c>
      <c r="G2439" s="1413">
        <v>2.2850000000000001</v>
      </c>
      <c r="H2439" s="1414"/>
      <c r="I2439" s="1508">
        <f t="shared" si="696"/>
        <v>5.19</v>
      </c>
      <c r="Q2439" s="1394">
        <f>IFERROR(VLOOKUP(M2439,#REF!,3,0),0)</f>
        <v>0</v>
      </c>
      <c r="R2439" s="1394">
        <f t="shared" si="699"/>
        <v>0</v>
      </c>
      <c r="S2439" s="1394">
        <f>IFERROR(VLOOKUP(M2439,#REF!,6,0),0)</f>
        <v>0</v>
      </c>
      <c r="T2439" s="1394">
        <f t="shared" si="697"/>
        <v>0</v>
      </c>
      <c r="U2439" s="1394">
        <f>IFERROR(VLOOKUP(M2439,#REF!,5,0),0)</f>
        <v>0</v>
      </c>
      <c r="V2439" s="1394">
        <f t="shared" si="698"/>
        <v>0</v>
      </c>
      <c r="W2439" s="1394"/>
    </row>
    <row r="2440" spans="2:23" ht="30" customHeight="1">
      <c r="B2440" s="1407"/>
      <c r="C2440" s="1455" t="s">
        <v>5830</v>
      </c>
      <c r="D2440" s="103">
        <v>1</v>
      </c>
      <c r="E2440" s="103">
        <v>1</v>
      </c>
      <c r="F2440" s="1413">
        <v>0.71499999999999997</v>
      </c>
      <c r="G2440" s="1413">
        <v>1</v>
      </c>
      <c r="H2440" s="1414"/>
      <c r="I2440" s="1508">
        <f t="shared" si="696"/>
        <v>0.72</v>
      </c>
      <c r="Q2440" s="1394">
        <f>IFERROR(VLOOKUP(M2440,#REF!,3,0),0)</f>
        <v>0</v>
      </c>
      <c r="R2440" s="1394">
        <f t="shared" si="699"/>
        <v>0</v>
      </c>
      <c r="S2440" s="1394">
        <f>IFERROR(VLOOKUP(M2440,#REF!,6,0),0)</f>
        <v>0</v>
      </c>
      <c r="T2440" s="1394">
        <f t="shared" si="697"/>
        <v>0</v>
      </c>
      <c r="U2440" s="1394">
        <f>IFERROR(VLOOKUP(M2440,#REF!,5,0),0)</f>
        <v>0</v>
      </c>
      <c r="V2440" s="1394">
        <f t="shared" si="698"/>
        <v>0</v>
      </c>
      <c r="W2440" s="1394"/>
    </row>
    <row r="2441" spans="2:23" ht="30" customHeight="1">
      <c r="B2441" s="1407"/>
      <c r="C2441" s="1455" t="s">
        <v>5836</v>
      </c>
      <c r="D2441" s="103">
        <v>1</v>
      </c>
      <c r="E2441" s="103">
        <v>1</v>
      </c>
      <c r="F2441" s="1413">
        <v>1.2</v>
      </c>
      <c r="G2441" s="1413">
        <v>0.6</v>
      </c>
      <c r="H2441" s="1414"/>
      <c r="I2441" s="1508">
        <f t="shared" si="696"/>
        <v>0.72</v>
      </c>
      <c r="Q2441" s="1394">
        <f>IFERROR(VLOOKUP(M2441,#REF!,3,0),0)</f>
        <v>0</v>
      </c>
      <c r="R2441" s="1394">
        <f t="shared" si="699"/>
        <v>0</v>
      </c>
      <c r="S2441" s="1394">
        <f>IFERROR(VLOOKUP(M2441,#REF!,6,0),0)</f>
        <v>0</v>
      </c>
      <c r="T2441" s="1394">
        <f t="shared" si="697"/>
        <v>0</v>
      </c>
      <c r="U2441" s="1394">
        <f>IFERROR(VLOOKUP(M2441,#REF!,5,0),0)</f>
        <v>0</v>
      </c>
      <c r="V2441" s="1394">
        <f t="shared" si="698"/>
        <v>0</v>
      </c>
      <c r="W2441" s="1394"/>
    </row>
    <row r="2442" spans="2:23" ht="30" customHeight="1">
      <c r="B2442" s="1407"/>
      <c r="C2442" s="1455" t="s">
        <v>5577</v>
      </c>
      <c r="D2442" s="103">
        <v>1</v>
      </c>
      <c r="E2442" s="103">
        <v>1</v>
      </c>
      <c r="F2442" s="1413">
        <v>0.115</v>
      </c>
      <c r="G2442" s="1413">
        <v>0.9</v>
      </c>
      <c r="H2442" s="1414"/>
      <c r="I2442" s="1508">
        <f t="shared" si="696"/>
        <v>0.1</v>
      </c>
      <c r="Q2442" s="1394">
        <f>IFERROR(VLOOKUP(M2442,#REF!,3,0),0)</f>
        <v>0</v>
      </c>
      <c r="R2442" s="1394">
        <f t="shared" si="699"/>
        <v>0</v>
      </c>
      <c r="S2442" s="1394">
        <f>IFERROR(VLOOKUP(M2442,#REF!,6,0),0)</f>
        <v>0</v>
      </c>
      <c r="T2442" s="1394">
        <f t="shared" si="697"/>
        <v>0</v>
      </c>
      <c r="U2442" s="1394">
        <f>IFERROR(VLOOKUP(M2442,#REF!,5,0),0)</f>
        <v>0</v>
      </c>
      <c r="V2442" s="1394">
        <f t="shared" si="698"/>
        <v>0</v>
      </c>
      <c r="W2442" s="1394"/>
    </row>
    <row r="2443" spans="2:23" ht="30" customHeight="1">
      <c r="B2443" s="1407"/>
      <c r="C2443" s="1455" t="s">
        <v>5831</v>
      </c>
      <c r="D2443" s="103">
        <v>1</v>
      </c>
      <c r="E2443" s="103">
        <v>1</v>
      </c>
      <c r="F2443" s="1413">
        <v>1.65</v>
      </c>
      <c r="G2443" s="1413">
        <v>1.2350000000000001</v>
      </c>
      <c r="H2443" s="1414"/>
      <c r="I2443" s="1508">
        <f t="shared" si="696"/>
        <v>2.04</v>
      </c>
      <c r="Q2443" s="1394">
        <f>IFERROR(VLOOKUP(M2443,#REF!,3,0),0)</f>
        <v>0</v>
      </c>
      <c r="R2443" s="1394">
        <f t="shared" si="699"/>
        <v>0</v>
      </c>
      <c r="S2443" s="1394">
        <f>IFERROR(VLOOKUP(M2443,#REF!,6,0),0)</f>
        <v>0</v>
      </c>
      <c r="T2443" s="1394">
        <f t="shared" si="697"/>
        <v>0</v>
      </c>
      <c r="U2443" s="1394">
        <f>IFERROR(VLOOKUP(M2443,#REF!,5,0),0)</f>
        <v>0</v>
      </c>
      <c r="V2443" s="1394">
        <f t="shared" si="698"/>
        <v>0</v>
      </c>
      <c r="W2443" s="1394"/>
    </row>
    <row r="2444" spans="2:23" s="1506" customFormat="1" ht="30" customHeight="1">
      <c r="B2444" s="1507"/>
      <c r="C2444" s="1455" t="s">
        <v>188</v>
      </c>
      <c r="D2444" s="103">
        <v>1</v>
      </c>
      <c r="E2444" s="103">
        <v>11</v>
      </c>
      <c r="F2444" s="1413">
        <v>0.115</v>
      </c>
      <c r="G2444" s="1413">
        <v>0.75</v>
      </c>
      <c r="H2444" s="1414"/>
      <c r="I2444" s="1508">
        <f t="shared" ref="I2444:I2447" si="700">ROUND((PRODUCT(D2444:H2444)),2)</f>
        <v>0.95</v>
      </c>
      <c r="M2444" s="1509"/>
      <c r="Q2444" s="1394">
        <f>IFERROR(VLOOKUP(M2444,#REF!,3,0),0)</f>
        <v>0</v>
      </c>
      <c r="R2444" s="1394">
        <f t="shared" si="699"/>
        <v>0</v>
      </c>
      <c r="S2444" s="1394">
        <f>IFERROR(VLOOKUP(M2444,#REF!,6,0),0)</f>
        <v>0</v>
      </c>
      <c r="T2444" s="1394">
        <f t="shared" si="697"/>
        <v>0</v>
      </c>
      <c r="U2444" s="1394">
        <f>IFERROR(VLOOKUP(M2444,#REF!,5,0),0)</f>
        <v>0</v>
      </c>
      <c r="V2444" s="1394">
        <f t="shared" si="698"/>
        <v>0</v>
      </c>
      <c r="W2444" s="1394"/>
    </row>
    <row r="2445" spans="2:23" s="1506" customFormat="1" ht="30" customHeight="1">
      <c r="B2445" s="1507"/>
      <c r="C2445" s="1455" t="s">
        <v>5838</v>
      </c>
      <c r="D2445" s="103">
        <v>1</v>
      </c>
      <c r="E2445" s="103">
        <v>1</v>
      </c>
      <c r="F2445" s="1413">
        <v>2.27</v>
      </c>
      <c r="G2445" s="1413">
        <v>0.9</v>
      </c>
      <c r="H2445" s="1414"/>
      <c r="I2445" s="1508">
        <f t="shared" si="700"/>
        <v>2.04</v>
      </c>
      <c r="M2445" s="1509"/>
      <c r="Q2445" s="1394">
        <f>IFERROR(VLOOKUP(M2445,#REF!,3,0),0)</f>
        <v>0</v>
      </c>
      <c r="R2445" s="1394">
        <f t="shared" si="699"/>
        <v>0</v>
      </c>
      <c r="S2445" s="1394">
        <f>IFERROR(VLOOKUP(M2445,#REF!,6,0),0)</f>
        <v>0</v>
      </c>
      <c r="T2445" s="1394">
        <f t="shared" ref="T2445:T2508" si="701">R2445-S2445</f>
        <v>0</v>
      </c>
      <c r="U2445" s="1394">
        <f>IFERROR(VLOOKUP(M2445,#REF!,5,0),0)</f>
        <v>0</v>
      </c>
      <c r="V2445" s="1394">
        <f t="shared" ref="V2445:V2508" si="702">O2445-U2445</f>
        <v>0</v>
      </c>
      <c r="W2445" s="1394"/>
    </row>
    <row r="2446" spans="2:23" s="1506" customFormat="1" ht="30" customHeight="1">
      <c r="B2446" s="1507"/>
      <c r="C2446" s="1455" t="s">
        <v>5837</v>
      </c>
      <c r="D2446" s="103">
        <v>1</v>
      </c>
      <c r="E2446" s="103">
        <v>1</v>
      </c>
      <c r="F2446" s="1413">
        <v>0.95499999999999996</v>
      </c>
      <c r="G2446" s="1413">
        <v>0.6</v>
      </c>
      <c r="H2446" s="1414"/>
      <c r="I2446" s="1508">
        <f t="shared" si="700"/>
        <v>0.56999999999999995</v>
      </c>
      <c r="M2446" s="1509"/>
      <c r="Q2446" s="1394">
        <f>IFERROR(VLOOKUP(M2446,#REF!,3,0),0)</f>
        <v>0</v>
      </c>
      <c r="R2446" s="1394">
        <f t="shared" si="699"/>
        <v>0</v>
      </c>
      <c r="S2446" s="1394">
        <f>IFERROR(VLOOKUP(M2446,#REF!,6,0),0)</f>
        <v>0</v>
      </c>
      <c r="T2446" s="1394">
        <f t="shared" si="701"/>
        <v>0</v>
      </c>
      <c r="U2446" s="1394">
        <f>IFERROR(VLOOKUP(M2446,#REF!,5,0),0)</f>
        <v>0</v>
      </c>
      <c r="V2446" s="1394">
        <f t="shared" si="702"/>
        <v>0</v>
      </c>
      <c r="W2446" s="1394"/>
    </row>
    <row r="2447" spans="2:23" s="1506" customFormat="1" ht="30" customHeight="1">
      <c r="B2447" s="1507"/>
      <c r="C2447" s="1455" t="s">
        <v>25</v>
      </c>
      <c r="D2447" s="103">
        <v>1</v>
      </c>
      <c r="E2447" s="103">
        <v>1</v>
      </c>
      <c r="F2447" s="1413">
        <v>0.23</v>
      </c>
      <c r="G2447" s="1413">
        <v>0.9</v>
      </c>
      <c r="H2447" s="69"/>
      <c r="I2447" s="1508">
        <f t="shared" si="700"/>
        <v>0.21</v>
      </c>
      <c r="M2447" s="1509"/>
      <c r="Q2447" s="1394">
        <f>IFERROR(VLOOKUP(M2447,#REF!,3,0),0)</f>
        <v>0</v>
      </c>
      <c r="R2447" s="1394">
        <f t="shared" si="699"/>
        <v>0</v>
      </c>
      <c r="S2447" s="1394">
        <f>IFERROR(VLOOKUP(M2447,#REF!,6,0),0)</f>
        <v>0</v>
      </c>
      <c r="T2447" s="1394">
        <f t="shared" si="701"/>
        <v>0</v>
      </c>
      <c r="U2447" s="1394">
        <f>IFERROR(VLOOKUP(M2447,#REF!,5,0),0)</f>
        <v>0</v>
      </c>
      <c r="V2447" s="1394">
        <f t="shared" si="702"/>
        <v>0</v>
      </c>
      <c r="W2447" s="1394"/>
    </row>
    <row r="2448" spans="2:23" s="1394" customFormat="1" ht="30" customHeight="1">
      <c r="B2448" s="1421"/>
      <c r="C2448" s="1422" t="s">
        <v>270</v>
      </c>
      <c r="D2448" s="1389"/>
      <c r="E2448" s="1389"/>
      <c r="F2448" s="1423"/>
      <c r="G2448" s="1423"/>
      <c r="H2448" s="1424"/>
      <c r="I2448" s="1425">
        <f>J2449-J2448</f>
        <v>4.0000000000006253E-2</v>
      </c>
      <c r="J2448" s="1394">
        <f>SUM(I2379:I2447)</f>
        <v>77.759999999999991</v>
      </c>
      <c r="M2448" s="1426"/>
      <c r="Q2448" s="1394">
        <f>IFERROR(VLOOKUP(M2448,#REF!,3,0),0)</f>
        <v>0</v>
      </c>
      <c r="R2448" s="1394">
        <f t="shared" si="699"/>
        <v>0</v>
      </c>
      <c r="S2448" s="1394">
        <f>IFERROR(VLOOKUP(M2448,#REF!,6,0),0)</f>
        <v>0</v>
      </c>
      <c r="T2448" s="1394">
        <f t="shared" si="701"/>
        <v>0</v>
      </c>
      <c r="U2448" s="1394">
        <f>IFERROR(VLOOKUP(M2448,#REF!,5,0),0)</f>
        <v>0</v>
      </c>
      <c r="V2448" s="1394">
        <f t="shared" si="702"/>
        <v>0</v>
      </c>
    </row>
    <row r="2449" spans="1:23" s="1394" customFormat="1" ht="30" customHeight="1">
      <c r="B2449" s="1421"/>
      <c r="C2449" s="1422"/>
      <c r="D2449" s="1389"/>
      <c r="E2449" s="1389"/>
      <c r="F2449" s="1423"/>
      <c r="G2449" s="1423"/>
      <c r="H2449" s="1424"/>
      <c r="I2449" s="1427">
        <f>+J2449</f>
        <v>77.8</v>
      </c>
      <c r="J2449" s="1394">
        <f>ROUNDUP(J2448,1)</f>
        <v>77.8</v>
      </c>
      <c r="M2449" s="1426"/>
      <c r="Q2449" s="1394">
        <f>IFERROR(VLOOKUP(M2449,#REF!,3,0),0)</f>
        <v>0</v>
      </c>
      <c r="R2449" s="1394">
        <f t="shared" si="699"/>
        <v>0</v>
      </c>
      <c r="S2449" s="1394">
        <f>IFERROR(VLOOKUP(M2449,#REF!,6,0),0)</f>
        <v>0</v>
      </c>
      <c r="T2449" s="1394">
        <f t="shared" si="701"/>
        <v>0</v>
      </c>
      <c r="U2449" s="1394">
        <f>IFERROR(VLOOKUP(M2449,#REF!,5,0),0)</f>
        <v>0</v>
      </c>
      <c r="V2449" s="1394">
        <f t="shared" si="702"/>
        <v>0</v>
      </c>
    </row>
    <row r="2450" spans="1:23" s="1394" customFormat="1" ht="30" customHeight="1">
      <c r="B2450" s="1421"/>
      <c r="C2450" s="1422"/>
      <c r="D2450" s="1389"/>
      <c r="E2450" s="1389"/>
      <c r="F2450" s="1423"/>
      <c r="G2450" s="1428" t="s">
        <v>11</v>
      </c>
      <c r="H2450" s="1429">
        <f>I2449</f>
        <v>77.8</v>
      </c>
      <c r="I2450" s="1427" t="s">
        <v>26</v>
      </c>
      <c r="M2450" s="1394" t="str">
        <f>A2378</f>
        <v>Floor ceramic tiles (Anti-skid) using Grout (Tile Joint Filler).</v>
      </c>
      <c r="N2450" s="1394">
        <f>B2378</f>
        <v>29.9</v>
      </c>
      <c r="O2450" s="1394">
        <f>H2450</f>
        <v>77.8</v>
      </c>
      <c r="P2450" s="1394" t="str">
        <f>I2450</f>
        <v>Sqm</v>
      </c>
      <c r="Q2450" s="1394">
        <f>IFERROR(VLOOKUP(M2450,#REF!,3,0),0)</f>
        <v>0</v>
      </c>
      <c r="R2450" s="1394">
        <f t="shared" si="699"/>
        <v>0</v>
      </c>
      <c r="S2450" s="1394">
        <f>IFERROR(VLOOKUP(M2450,#REF!,6,0),0)</f>
        <v>0</v>
      </c>
      <c r="T2450" s="1394">
        <f t="shared" si="701"/>
        <v>0</v>
      </c>
      <c r="U2450" s="1394">
        <f>IFERROR(VLOOKUP(M2450,#REF!,5,0),0)</f>
        <v>0</v>
      </c>
      <c r="V2450" s="1394">
        <f t="shared" si="702"/>
        <v>77.8</v>
      </c>
    </row>
    <row r="2451" spans="1:23" ht="138" hidden="1" customHeight="1">
      <c r="A2451" s="1397"/>
      <c r="B2451" s="1405"/>
      <c r="C2451" s="1678"/>
      <c r="D2451" s="1678"/>
      <c r="E2451" s="1678"/>
      <c r="F2451" s="1678"/>
      <c r="G2451" s="1678"/>
      <c r="H2451" s="1678"/>
      <c r="I2451" s="1406"/>
      <c r="Q2451" s="1394"/>
      <c r="R2451" s="1394"/>
      <c r="S2451" s="1394"/>
      <c r="T2451" s="1394"/>
      <c r="U2451" s="1394"/>
      <c r="V2451" s="1394"/>
      <c r="W2451" s="1394"/>
    </row>
    <row r="2452" spans="1:23" ht="30" hidden="1" customHeight="1">
      <c r="B2452" s="1407"/>
      <c r="C2452" s="1412"/>
      <c r="D2452" s="103"/>
      <c r="E2452" s="103"/>
      <c r="F2452" s="1413"/>
      <c r="G2452" s="1413"/>
      <c r="H2452" s="1414"/>
      <c r="I2452" s="1406"/>
      <c r="Q2452" s="1394"/>
      <c r="R2452" s="1394"/>
      <c r="S2452" s="1394"/>
      <c r="T2452" s="1394"/>
      <c r="U2452" s="1394"/>
      <c r="V2452" s="1394"/>
      <c r="W2452" s="1394"/>
    </row>
    <row r="2453" spans="1:23" s="1506" customFormat="1" ht="30" hidden="1" customHeight="1">
      <c r="B2453" s="1507"/>
      <c r="C2453" s="1497"/>
      <c r="D2453" s="99"/>
      <c r="E2453" s="99"/>
      <c r="F2453" s="1495"/>
      <c r="G2453" s="1495"/>
      <c r="H2453" s="69"/>
      <c r="I2453" s="1508"/>
      <c r="M2453" s="1509"/>
      <c r="Q2453" s="1394"/>
      <c r="R2453" s="1394"/>
      <c r="S2453" s="1394"/>
      <c r="T2453" s="1394"/>
      <c r="U2453" s="1394"/>
      <c r="V2453" s="1394"/>
      <c r="W2453" s="1394"/>
    </row>
    <row r="2454" spans="1:23" s="1506" customFormat="1" ht="30" hidden="1" customHeight="1">
      <c r="B2454" s="1507"/>
      <c r="C2454" s="1497"/>
      <c r="D2454" s="99"/>
      <c r="E2454" s="99"/>
      <c r="F2454" s="1495"/>
      <c r="G2454" s="1495"/>
      <c r="H2454" s="69"/>
      <c r="I2454" s="1508"/>
      <c r="M2454" s="1509"/>
      <c r="Q2454" s="1394"/>
      <c r="R2454" s="1394"/>
      <c r="S2454" s="1394"/>
      <c r="T2454" s="1394"/>
      <c r="U2454" s="1394"/>
      <c r="V2454" s="1394"/>
      <c r="W2454" s="1394"/>
    </row>
    <row r="2455" spans="1:23" s="1506" customFormat="1" ht="30" hidden="1" customHeight="1">
      <c r="B2455" s="1507"/>
      <c r="C2455" s="1497"/>
      <c r="D2455" s="99"/>
      <c r="E2455" s="99"/>
      <c r="F2455" s="1495"/>
      <c r="G2455" s="1495"/>
      <c r="H2455" s="69"/>
      <c r="I2455" s="1508"/>
      <c r="M2455" s="1509"/>
      <c r="Q2455" s="1394"/>
      <c r="R2455" s="1394"/>
      <c r="S2455" s="1394"/>
      <c r="T2455" s="1394"/>
      <c r="U2455" s="1394"/>
      <c r="V2455" s="1394"/>
      <c r="W2455" s="1394"/>
    </row>
    <row r="2456" spans="1:23" ht="30" hidden="1" customHeight="1">
      <c r="B2456" s="1407"/>
      <c r="C2456" s="1412"/>
      <c r="D2456" s="103"/>
      <c r="E2456" s="103"/>
      <c r="F2456" s="1413"/>
      <c r="G2456" s="1413"/>
      <c r="H2456" s="1414"/>
      <c r="I2456" s="1406"/>
      <c r="Q2456" s="1394"/>
      <c r="R2456" s="1394"/>
      <c r="S2456" s="1394"/>
      <c r="T2456" s="1394"/>
      <c r="U2456" s="1394"/>
      <c r="V2456" s="1394"/>
      <c r="W2456" s="1394"/>
    </row>
    <row r="2457" spans="1:23" s="1506" customFormat="1" ht="30" hidden="1" customHeight="1">
      <c r="B2457" s="1507"/>
      <c r="C2457" s="1497"/>
      <c r="D2457" s="99"/>
      <c r="E2457" s="99"/>
      <c r="F2457" s="1495"/>
      <c r="G2457" s="1495"/>
      <c r="H2457" s="69"/>
      <c r="I2457" s="1508"/>
      <c r="M2457" s="1509"/>
      <c r="Q2457" s="1394"/>
      <c r="R2457" s="1394"/>
      <c r="S2457" s="1394"/>
      <c r="T2457" s="1394"/>
      <c r="U2457" s="1394"/>
      <c r="V2457" s="1394"/>
      <c r="W2457" s="1394"/>
    </row>
    <row r="2458" spans="1:23" s="1506" customFormat="1" ht="30" hidden="1" customHeight="1">
      <c r="B2458" s="1507"/>
      <c r="C2458" s="1497"/>
      <c r="D2458" s="99"/>
      <c r="E2458" s="99"/>
      <c r="F2458" s="1495"/>
      <c r="G2458" s="1495"/>
      <c r="H2458" s="69"/>
      <c r="I2458" s="1508"/>
      <c r="M2458" s="1509"/>
      <c r="Q2458" s="1394"/>
      <c r="R2458" s="1394"/>
      <c r="S2458" s="1394"/>
      <c r="T2458" s="1394"/>
      <c r="U2458" s="1394"/>
      <c r="V2458" s="1394"/>
      <c r="W2458" s="1394"/>
    </row>
    <row r="2459" spans="1:23" s="1506" customFormat="1" ht="30" hidden="1" customHeight="1">
      <c r="B2459" s="1507"/>
      <c r="C2459" s="1497"/>
      <c r="D2459" s="99"/>
      <c r="E2459" s="99"/>
      <c r="F2459" s="1495"/>
      <c r="G2459" s="1495"/>
      <c r="H2459" s="69"/>
      <c r="I2459" s="1508"/>
      <c r="M2459" s="1509"/>
      <c r="Q2459" s="1394"/>
      <c r="R2459" s="1394"/>
      <c r="S2459" s="1394"/>
      <c r="T2459" s="1394"/>
      <c r="U2459" s="1394"/>
      <c r="V2459" s="1394"/>
      <c r="W2459" s="1394"/>
    </row>
    <row r="2460" spans="1:23" s="1506" customFormat="1" ht="30" hidden="1" customHeight="1">
      <c r="B2460" s="1507"/>
      <c r="C2460" s="1497"/>
      <c r="D2460" s="99"/>
      <c r="E2460" s="99"/>
      <c r="F2460" s="1495"/>
      <c r="G2460" s="1495"/>
      <c r="H2460" s="69"/>
      <c r="I2460" s="1508"/>
      <c r="M2460" s="1509"/>
      <c r="Q2460" s="1394"/>
      <c r="R2460" s="1394"/>
      <c r="S2460" s="1394"/>
      <c r="T2460" s="1394"/>
      <c r="U2460" s="1394"/>
      <c r="V2460" s="1394"/>
      <c r="W2460" s="1394"/>
    </row>
    <row r="2461" spans="1:23" s="1506" customFormat="1" ht="30" hidden="1" customHeight="1">
      <c r="B2461" s="1507"/>
      <c r="C2461" s="1494"/>
      <c r="D2461" s="99"/>
      <c r="E2461" s="99"/>
      <c r="F2461" s="1495"/>
      <c r="G2461" s="1495"/>
      <c r="H2461" s="69"/>
      <c r="I2461" s="1508"/>
      <c r="M2461" s="1509"/>
      <c r="Q2461" s="1394"/>
      <c r="R2461" s="1394"/>
      <c r="S2461" s="1394"/>
      <c r="T2461" s="1394"/>
      <c r="U2461" s="1394"/>
      <c r="V2461" s="1394"/>
      <c r="W2461" s="1394"/>
    </row>
    <row r="2462" spans="1:23" s="1506" customFormat="1" ht="30" hidden="1" customHeight="1">
      <c r="B2462" s="1507"/>
      <c r="C2462" s="1494"/>
      <c r="D2462" s="99"/>
      <c r="E2462" s="99"/>
      <c r="F2462" s="1495"/>
      <c r="G2462" s="1495"/>
      <c r="H2462" s="69"/>
      <c r="I2462" s="1508"/>
      <c r="M2462" s="1509"/>
      <c r="Q2462" s="1394"/>
      <c r="R2462" s="1394"/>
      <c r="S2462" s="1394"/>
      <c r="T2462" s="1394"/>
      <c r="U2462" s="1394"/>
      <c r="V2462" s="1394"/>
      <c r="W2462" s="1394"/>
    </row>
    <row r="2463" spans="1:23" s="1506" customFormat="1" ht="30" hidden="1" customHeight="1">
      <c r="B2463" s="1507"/>
      <c r="C2463" s="1497"/>
      <c r="D2463" s="99"/>
      <c r="E2463" s="99"/>
      <c r="F2463" s="1495"/>
      <c r="G2463" s="1495"/>
      <c r="H2463" s="69"/>
      <c r="I2463" s="1508"/>
      <c r="M2463" s="1509"/>
      <c r="Q2463" s="1394"/>
      <c r="R2463" s="1394"/>
      <c r="S2463" s="1394"/>
      <c r="T2463" s="1394"/>
      <c r="U2463" s="1394"/>
      <c r="V2463" s="1394"/>
      <c r="W2463" s="1394"/>
    </row>
    <row r="2464" spans="1:23" s="1506" customFormat="1" ht="30" hidden="1" customHeight="1">
      <c r="B2464" s="1507"/>
      <c r="C2464" s="1497"/>
      <c r="D2464" s="99"/>
      <c r="E2464" s="99"/>
      <c r="F2464" s="1495"/>
      <c r="G2464" s="1495"/>
      <c r="H2464" s="69"/>
      <c r="I2464" s="1508"/>
      <c r="M2464" s="1509"/>
      <c r="Q2464" s="1394"/>
      <c r="R2464" s="1394"/>
      <c r="S2464" s="1394"/>
      <c r="T2464" s="1394"/>
      <c r="U2464" s="1394"/>
      <c r="V2464" s="1394"/>
      <c r="W2464" s="1394"/>
    </row>
    <row r="2465" spans="2:23" s="1506" customFormat="1" ht="30" hidden="1" customHeight="1">
      <c r="B2465" s="1507"/>
      <c r="C2465" s="1494"/>
      <c r="D2465" s="99"/>
      <c r="E2465" s="99"/>
      <c r="F2465" s="1495"/>
      <c r="G2465" s="1495"/>
      <c r="H2465" s="69"/>
      <c r="I2465" s="1508"/>
      <c r="M2465" s="1509"/>
      <c r="Q2465" s="1394"/>
      <c r="R2465" s="1394"/>
      <c r="S2465" s="1394"/>
      <c r="T2465" s="1394"/>
      <c r="U2465" s="1394"/>
      <c r="V2465" s="1394"/>
      <c r="W2465" s="1394"/>
    </row>
    <row r="2466" spans="2:23" s="1506" customFormat="1" ht="30" hidden="1" customHeight="1">
      <c r="B2466" s="1507"/>
      <c r="C2466" s="1497"/>
      <c r="D2466" s="99"/>
      <c r="E2466" s="99"/>
      <c r="F2466" s="1495"/>
      <c r="G2466" s="1495"/>
      <c r="H2466" s="69"/>
      <c r="I2466" s="1508"/>
      <c r="M2466" s="1509"/>
      <c r="Q2466" s="1394"/>
      <c r="R2466" s="1394"/>
      <c r="S2466" s="1394"/>
      <c r="T2466" s="1394"/>
      <c r="U2466" s="1394"/>
      <c r="V2466" s="1394"/>
      <c r="W2466" s="1394"/>
    </row>
    <row r="2467" spans="2:23" s="1506" customFormat="1" ht="30" hidden="1" customHeight="1">
      <c r="B2467" s="1507"/>
      <c r="C2467" s="1497"/>
      <c r="D2467" s="99"/>
      <c r="E2467" s="99"/>
      <c r="F2467" s="1495"/>
      <c r="G2467" s="1495"/>
      <c r="H2467" s="69"/>
      <c r="I2467" s="1508"/>
      <c r="M2467" s="1509"/>
      <c r="Q2467" s="1394"/>
      <c r="R2467" s="1394"/>
      <c r="S2467" s="1394"/>
      <c r="T2467" s="1394"/>
      <c r="U2467" s="1394"/>
      <c r="V2467" s="1394"/>
      <c r="W2467" s="1394"/>
    </row>
    <row r="2468" spans="2:23" s="1506" customFormat="1" ht="30" hidden="1" customHeight="1">
      <c r="B2468" s="1507"/>
      <c r="C2468" s="1494"/>
      <c r="D2468" s="99"/>
      <c r="E2468" s="99"/>
      <c r="F2468" s="1495"/>
      <c r="G2468" s="1495"/>
      <c r="H2468" s="69"/>
      <c r="I2468" s="1508"/>
      <c r="M2468" s="1509"/>
      <c r="Q2468" s="1394"/>
      <c r="R2468" s="1394"/>
      <c r="S2468" s="1394"/>
      <c r="T2468" s="1394"/>
      <c r="U2468" s="1394"/>
      <c r="V2468" s="1394"/>
      <c r="W2468" s="1394"/>
    </row>
    <row r="2469" spans="2:23" s="1506" customFormat="1" ht="30" hidden="1" customHeight="1">
      <c r="B2469" s="1507"/>
      <c r="C2469" s="1497"/>
      <c r="D2469" s="99"/>
      <c r="E2469" s="99"/>
      <c r="F2469" s="1495"/>
      <c r="G2469" s="1495"/>
      <c r="H2469" s="69"/>
      <c r="I2469" s="1508"/>
      <c r="M2469" s="1509"/>
      <c r="Q2469" s="1394"/>
      <c r="R2469" s="1394"/>
      <c r="S2469" s="1394"/>
      <c r="T2469" s="1394"/>
      <c r="U2469" s="1394"/>
      <c r="V2469" s="1394"/>
      <c r="W2469" s="1394"/>
    </row>
    <row r="2470" spans="2:23" s="1506" customFormat="1" ht="30" hidden="1" customHeight="1">
      <c r="B2470" s="1507"/>
      <c r="C2470" s="1497"/>
      <c r="D2470" s="99"/>
      <c r="E2470" s="99"/>
      <c r="F2470" s="1495"/>
      <c r="G2470" s="1495"/>
      <c r="H2470" s="69"/>
      <c r="I2470" s="1508"/>
      <c r="M2470" s="1509"/>
      <c r="Q2470" s="1394"/>
      <c r="R2470" s="1394"/>
      <c r="S2470" s="1394"/>
      <c r="T2470" s="1394"/>
      <c r="U2470" s="1394"/>
      <c r="V2470" s="1394"/>
      <c r="W2470" s="1394"/>
    </row>
    <row r="2471" spans="2:23" s="1506" customFormat="1" ht="30" hidden="1" customHeight="1">
      <c r="B2471" s="1507"/>
      <c r="C2471" s="1497"/>
      <c r="D2471" s="99"/>
      <c r="E2471" s="99"/>
      <c r="F2471" s="1495"/>
      <c r="G2471" s="1495"/>
      <c r="H2471" s="69"/>
      <c r="I2471" s="1508"/>
      <c r="M2471" s="1509"/>
      <c r="Q2471" s="1394"/>
      <c r="R2471" s="1394"/>
      <c r="S2471" s="1394"/>
      <c r="T2471" s="1394"/>
      <c r="U2471" s="1394"/>
      <c r="V2471" s="1394"/>
      <c r="W2471" s="1394"/>
    </row>
    <row r="2472" spans="2:23" s="1506" customFormat="1" ht="30" hidden="1" customHeight="1">
      <c r="B2472" s="1507"/>
      <c r="C2472" s="1497"/>
      <c r="D2472" s="99"/>
      <c r="E2472" s="99"/>
      <c r="F2472" s="1495"/>
      <c r="G2472" s="1495"/>
      <c r="H2472" s="69"/>
      <c r="I2472" s="1508"/>
      <c r="M2472" s="1509"/>
      <c r="Q2472" s="1394"/>
      <c r="R2472" s="1394"/>
      <c r="S2472" s="1394"/>
      <c r="T2472" s="1394"/>
      <c r="U2472" s="1394"/>
      <c r="V2472" s="1394"/>
      <c r="W2472" s="1394"/>
    </row>
    <row r="2473" spans="2:23" s="1506" customFormat="1" ht="30" hidden="1" customHeight="1">
      <c r="B2473" s="1507"/>
      <c r="C2473" s="1497"/>
      <c r="D2473" s="99"/>
      <c r="E2473" s="99"/>
      <c r="F2473" s="1495"/>
      <c r="G2473" s="1495"/>
      <c r="H2473" s="69"/>
      <c r="I2473" s="1508"/>
      <c r="M2473" s="1509"/>
      <c r="Q2473" s="1394"/>
      <c r="R2473" s="1394"/>
      <c r="S2473" s="1394"/>
      <c r="T2473" s="1394"/>
      <c r="U2473" s="1394"/>
      <c r="V2473" s="1394"/>
      <c r="W2473" s="1394"/>
    </row>
    <row r="2474" spans="2:23" s="1506" customFormat="1" ht="30" hidden="1" customHeight="1">
      <c r="B2474" s="1507"/>
      <c r="C2474" s="1497"/>
      <c r="D2474" s="99"/>
      <c r="E2474" s="99"/>
      <c r="F2474" s="1495"/>
      <c r="G2474" s="1495"/>
      <c r="H2474" s="69"/>
      <c r="I2474" s="1508"/>
      <c r="M2474" s="1509"/>
      <c r="Q2474" s="1394"/>
      <c r="R2474" s="1394"/>
      <c r="S2474" s="1394"/>
      <c r="T2474" s="1394"/>
      <c r="U2474" s="1394"/>
      <c r="V2474" s="1394"/>
      <c r="W2474" s="1394"/>
    </row>
    <row r="2475" spans="2:23" s="1506" customFormat="1" ht="30" hidden="1" customHeight="1">
      <c r="B2475" s="1507"/>
      <c r="C2475" s="1494"/>
      <c r="D2475" s="99"/>
      <c r="E2475" s="99"/>
      <c r="F2475" s="1495"/>
      <c r="G2475" s="1495"/>
      <c r="H2475" s="69"/>
      <c r="I2475" s="1508"/>
      <c r="M2475" s="1509"/>
      <c r="Q2475" s="1394"/>
      <c r="R2475" s="1394"/>
      <c r="S2475" s="1394"/>
      <c r="T2475" s="1394"/>
      <c r="U2475" s="1394"/>
      <c r="V2475" s="1394"/>
      <c r="W2475" s="1394"/>
    </row>
    <row r="2476" spans="2:23" s="1506" customFormat="1" ht="30" hidden="1" customHeight="1">
      <c r="B2476" s="1507"/>
      <c r="C2476" s="1497"/>
      <c r="D2476" s="99"/>
      <c r="E2476" s="99"/>
      <c r="F2476" s="1495"/>
      <c r="G2476" s="1495"/>
      <c r="H2476" s="69"/>
      <c r="I2476" s="1508"/>
      <c r="M2476" s="1509"/>
      <c r="Q2476" s="1394"/>
      <c r="R2476" s="1394"/>
      <c r="S2476" s="1394"/>
      <c r="T2476" s="1394"/>
      <c r="U2476" s="1394"/>
      <c r="V2476" s="1394"/>
      <c r="W2476" s="1394"/>
    </row>
    <row r="2477" spans="2:23" s="1506" customFormat="1" ht="30" hidden="1" customHeight="1">
      <c r="B2477" s="1507"/>
      <c r="C2477" s="1497"/>
      <c r="D2477" s="99"/>
      <c r="E2477" s="99"/>
      <c r="F2477" s="1495"/>
      <c r="G2477" s="1495"/>
      <c r="H2477" s="69"/>
      <c r="I2477" s="1508"/>
      <c r="M2477" s="1509"/>
      <c r="Q2477" s="1394"/>
      <c r="R2477" s="1394"/>
      <c r="S2477" s="1394"/>
      <c r="T2477" s="1394"/>
      <c r="U2477" s="1394"/>
      <c r="V2477" s="1394"/>
      <c r="W2477" s="1394"/>
    </row>
    <row r="2478" spans="2:23" s="1506" customFormat="1" ht="30" hidden="1" customHeight="1">
      <c r="B2478" s="1507"/>
      <c r="C2478" s="1497"/>
      <c r="D2478" s="99"/>
      <c r="E2478" s="99"/>
      <c r="F2478" s="1495"/>
      <c r="G2478" s="1495"/>
      <c r="H2478" s="69"/>
      <c r="I2478" s="1508"/>
      <c r="M2478" s="1509"/>
      <c r="Q2478" s="1394"/>
      <c r="R2478" s="1394"/>
      <c r="S2478" s="1394"/>
      <c r="T2478" s="1394"/>
      <c r="U2478" s="1394"/>
      <c r="V2478" s="1394"/>
      <c r="W2478" s="1394"/>
    </row>
    <row r="2479" spans="2:23" s="1506" customFormat="1" ht="30" hidden="1" customHeight="1">
      <c r="B2479" s="1507"/>
      <c r="C2479" s="1497"/>
      <c r="D2479" s="99"/>
      <c r="E2479" s="99"/>
      <c r="F2479" s="1495"/>
      <c r="G2479" s="1495"/>
      <c r="H2479" s="69"/>
      <c r="I2479" s="1508"/>
      <c r="M2479" s="1509"/>
      <c r="Q2479" s="1394"/>
      <c r="R2479" s="1394"/>
      <c r="S2479" s="1394"/>
      <c r="T2479" s="1394"/>
      <c r="U2479" s="1394"/>
      <c r="V2479" s="1394"/>
      <c r="W2479" s="1394"/>
    </row>
    <row r="2480" spans="2:23" s="1506" customFormat="1" ht="30" hidden="1" customHeight="1">
      <c r="B2480" s="1507"/>
      <c r="C2480" s="1497"/>
      <c r="D2480" s="99"/>
      <c r="E2480" s="99"/>
      <c r="F2480" s="1495"/>
      <c r="G2480" s="1495"/>
      <c r="H2480" s="69"/>
      <c r="I2480" s="1508"/>
      <c r="M2480" s="1509"/>
      <c r="Q2480" s="1394"/>
      <c r="R2480" s="1394"/>
      <c r="S2480" s="1394"/>
      <c r="T2480" s="1394"/>
      <c r="U2480" s="1394"/>
      <c r="V2480" s="1394"/>
      <c r="W2480" s="1394"/>
    </row>
    <row r="2481" spans="2:23" s="1506" customFormat="1" ht="30" hidden="1" customHeight="1">
      <c r="B2481" s="1507"/>
      <c r="C2481" s="1497"/>
      <c r="D2481" s="99"/>
      <c r="E2481" s="99"/>
      <c r="F2481" s="1495"/>
      <c r="G2481" s="1495"/>
      <c r="H2481" s="69"/>
      <c r="I2481" s="1508"/>
      <c r="M2481" s="1509"/>
      <c r="Q2481" s="1394"/>
      <c r="R2481" s="1394"/>
      <c r="S2481" s="1394"/>
      <c r="T2481" s="1394"/>
      <c r="U2481" s="1394"/>
      <c r="V2481" s="1394"/>
      <c r="W2481" s="1394"/>
    </row>
    <row r="2482" spans="2:23" s="1506" customFormat="1" ht="30" hidden="1" customHeight="1">
      <c r="B2482" s="1507"/>
      <c r="C2482" s="1497"/>
      <c r="D2482" s="99"/>
      <c r="E2482" s="99"/>
      <c r="F2482" s="1495"/>
      <c r="G2482" s="1495"/>
      <c r="H2482" s="69"/>
      <c r="I2482" s="1508"/>
      <c r="M2482" s="1509"/>
      <c r="Q2482" s="1394"/>
      <c r="R2482" s="1394"/>
      <c r="S2482" s="1394"/>
      <c r="T2482" s="1394"/>
      <c r="U2482" s="1394"/>
      <c r="V2482" s="1394"/>
      <c r="W2482" s="1394"/>
    </row>
    <row r="2483" spans="2:23" s="1506" customFormat="1" ht="30" hidden="1" customHeight="1">
      <c r="B2483" s="1507"/>
      <c r="C2483" s="1497"/>
      <c r="D2483" s="99"/>
      <c r="E2483" s="99"/>
      <c r="F2483" s="1495"/>
      <c r="G2483" s="1495"/>
      <c r="H2483" s="69"/>
      <c r="I2483" s="1508"/>
      <c r="M2483" s="1509"/>
      <c r="Q2483" s="1394"/>
      <c r="R2483" s="1394"/>
      <c r="S2483" s="1394"/>
      <c r="T2483" s="1394"/>
      <c r="U2483" s="1394"/>
      <c r="V2483" s="1394"/>
      <c r="W2483" s="1394"/>
    </row>
    <row r="2484" spans="2:23" s="1506" customFormat="1" ht="30" hidden="1" customHeight="1">
      <c r="B2484" s="1507"/>
      <c r="C2484" s="1497"/>
      <c r="D2484" s="99"/>
      <c r="E2484" s="99"/>
      <c r="F2484" s="1495"/>
      <c r="G2484" s="1495"/>
      <c r="H2484" s="69"/>
      <c r="I2484" s="1508"/>
      <c r="M2484" s="1509"/>
      <c r="Q2484" s="1394"/>
      <c r="R2484" s="1394"/>
      <c r="S2484" s="1394"/>
      <c r="T2484" s="1394"/>
      <c r="U2484" s="1394"/>
      <c r="V2484" s="1394"/>
      <c r="W2484" s="1394"/>
    </row>
    <row r="2485" spans="2:23" s="1506" customFormat="1" ht="30" hidden="1" customHeight="1">
      <c r="B2485" s="1507"/>
      <c r="C2485" s="1497"/>
      <c r="D2485" s="99"/>
      <c r="E2485" s="99"/>
      <c r="F2485" s="1495"/>
      <c r="G2485" s="1495"/>
      <c r="H2485" s="69"/>
      <c r="I2485" s="1508"/>
      <c r="M2485" s="1509"/>
      <c r="Q2485" s="1394"/>
      <c r="R2485" s="1394"/>
      <c r="S2485" s="1394"/>
      <c r="T2485" s="1394"/>
      <c r="U2485" s="1394"/>
      <c r="V2485" s="1394"/>
      <c r="W2485" s="1394"/>
    </row>
    <row r="2486" spans="2:23" s="1506" customFormat="1" ht="30" hidden="1" customHeight="1">
      <c r="B2486" s="1507"/>
      <c r="C2486" s="1497"/>
      <c r="D2486" s="99"/>
      <c r="E2486" s="99"/>
      <c r="F2486" s="1495"/>
      <c r="G2486" s="1495"/>
      <c r="H2486" s="69"/>
      <c r="I2486" s="1508"/>
      <c r="M2486" s="1509"/>
      <c r="Q2486" s="1394"/>
      <c r="R2486" s="1394"/>
      <c r="S2486" s="1394"/>
      <c r="T2486" s="1394"/>
      <c r="U2486" s="1394"/>
      <c r="V2486" s="1394"/>
      <c r="W2486" s="1394"/>
    </row>
    <row r="2487" spans="2:23" s="1506" customFormat="1" ht="30" hidden="1" customHeight="1">
      <c r="B2487" s="1507"/>
      <c r="C2487" s="1497"/>
      <c r="D2487" s="99"/>
      <c r="E2487" s="99"/>
      <c r="F2487" s="1495"/>
      <c r="G2487" s="1495"/>
      <c r="H2487" s="69"/>
      <c r="I2487" s="1508"/>
      <c r="M2487" s="1509"/>
      <c r="Q2487" s="1394"/>
      <c r="R2487" s="1394"/>
      <c r="S2487" s="1394"/>
      <c r="T2487" s="1394"/>
      <c r="U2487" s="1394"/>
      <c r="V2487" s="1394"/>
      <c r="W2487" s="1394"/>
    </row>
    <row r="2488" spans="2:23" s="1506" customFormat="1" ht="30" hidden="1" customHeight="1">
      <c r="B2488" s="1507"/>
      <c r="C2488" s="1497"/>
      <c r="D2488" s="99"/>
      <c r="E2488" s="99"/>
      <c r="F2488" s="1495"/>
      <c r="G2488" s="1495"/>
      <c r="H2488" s="69"/>
      <c r="I2488" s="1508"/>
      <c r="M2488" s="1509"/>
      <c r="Q2488" s="1394"/>
      <c r="R2488" s="1394"/>
      <c r="S2488" s="1394"/>
      <c r="T2488" s="1394"/>
      <c r="U2488" s="1394"/>
      <c r="V2488" s="1394"/>
      <c r="W2488" s="1394"/>
    </row>
    <row r="2489" spans="2:23" s="1506" customFormat="1" ht="30" hidden="1" customHeight="1">
      <c r="B2489" s="1507"/>
      <c r="C2489" s="1497"/>
      <c r="D2489" s="99"/>
      <c r="E2489" s="99"/>
      <c r="F2489" s="1495"/>
      <c r="G2489" s="1495"/>
      <c r="H2489" s="69"/>
      <c r="I2489" s="1508"/>
      <c r="M2489" s="1509"/>
      <c r="Q2489" s="1394"/>
      <c r="R2489" s="1394"/>
      <c r="S2489" s="1394"/>
      <c r="T2489" s="1394"/>
      <c r="U2489" s="1394"/>
      <c r="V2489" s="1394"/>
      <c r="W2489" s="1394"/>
    </row>
    <row r="2490" spans="2:23" s="1506" customFormat="1" ht="30" hidden="1" customHeight="1">
      <c r="B2490" s="1507"/>
      <c r="C2490" s="1494"/>
      <c r="D2490" s="99"/>
      <c r="E2490" s="99"/>
      <c r="F2490" s="1495"/>
      <c r="G2490" s="1495"/>
      <c r="H2490" s="69"/>
      <c r="I2490" s="1508"/>
      <c r="M2490" s="1509"/>
      <c r="Q2490" s="1394"/>
      <c r="R2490" s="1394"/>
      <c r="S2490" s="1394"/>
      <c r="T2490" s="1394"/>
      <c r="U2490" s="1394"/>
      <c r="V2490" s="1394"/>
      <c r="W2490" s="1394"/>
    </row>
    <row r="2491" spans="2:23" s="1506" customFormat="1" ht="30" hidden="1" customHeight="1">
      <c r="B2491" s="1507"/>
      <c r="C2491" s="1497"/>
      <c r="D2491" s="99"/>
      <c r="E2491" s="99"/>
      <c r="F2491" s="1495"/>
      <c r="G2491" s="1495"/>
      <c r="H2491" s="69"/>
      <c r="I2491" s="1508"/>
      <c r="M2491" s="1509"/>
      <c r="Q2491" s="1394"/>
      <c r="R2491" s="1394"/>
      <c r="S2491" s="1394"/>
      <c r="T2491" s="1394"/>
      <c r="U2491" s="1394"/>
      <c r="V2491" s="1394"/>
      <c r="W2491" s="1394"/>
    </row>
    <row r="2492" spans="2:23" s="1506" customFormat="1" ht="30" hidden="1" customHeight="1">
      <c r="B2492" s="1507"/>
      <c r="C2492" s="1497"/>
      <c r="D2492" s="99"/>
      <c r="E2492" s="99"/>
      <c r="F2492" s="1495"/>
      <c r="G2492" s="1495"/>
      <c r="H2492" s="69"/>
      <c r="I2492" s="1508"/>
      <c r="M2492" s="1509"/>
      <c r="Q2492" s="1394"/>
      <c r="R2492" s="1394"/>
      <c r="S2492" s="1394"/>
      <c r="T2492" s="1394"/>
      <c r="U2492" s="1394"/>
      <c r="V2492" s="1394"/>
      <c r="W2492" s="1394"/>
    </row>
    <row r="2493" spans="2:23" s="1506" customFormat="1" ht="30" hidden="1" customHeight="1">
      <c r="B2493" s="1507"/>
      <c r="C2493" s="1497"/>
      <c r="D2493" s="99"/>
      <c r="E2493" s="99"/>
      <c r="F2493" s="1495"/>
      <c r="G2493" s="1495"/>
      <c r="H2493" s="69"/>
      <c r="I2493" s="1508"/>
      <c r="M2493" s="1509"/>
      <c r="Q2493" s="1394"/>
      <c r="R2493" s="1394"/>
      <c r="S2493" s="1394"/>
      <c r="T2493" s="1394"/>
      <c r="U2493" s="1394"/>
      <c r="V2493" s="1394"/>
      <c r="W2493" s="1394"/>
    </row>
    <row r="2494" spans="2:23" s="1506" customFormat="1" ht="30" hidden="1" customHeight="1">
      <c r="B2494" s="1507"/>
      <c r="C2494" s="1497"/>
      <c r="D2494" s="99"/>
      <c r="E2494" s="99"/>
      <c r="F2494" s="1495"/>
      <c r="G2494" s="1495"/>
      <c r="H2494" s="69"/>
      <c r="I2494" s="1508"/>
      <c r="M2494" s="1509"/>
      <c r="Q2494" s="1394"/>
      <c r="R2494" s="1394"/>
      <c r="S2494" s="1394"/>
      <c r="T2494" s="1394"/>
      <c r="U2494" s="1394"/>
      <c r="V2494" s="1394"/>
      <c r="W2494" s="1394"/>
    </row>
    <row r="2495" spans="2:23" s="1506" customFormat="1" ht="30" hidden="1" customHeight="1">
      <c r="B2495" s="1507"/>
      <c r="C2495" s="1497"/>
      <c r="D2495" s="99"/>
      <c r="E2495" s="99"/>
      <c r="F2495" s="1495"/>
      <c r="G2495" s="1495"/>
      <c r="H2495" s="69"/>
      <c r="I2495" s="1508"/>
      <c r="M2495" s="1509"/>
      <c r="Q2495" s="1394"/>
      <c r="R2495" s="1394"/>
      <c r="S2495" s="1394"/>
      <c r="T2495" s="1394"/>
      <c r="U2495" s="1394"/>
      <c r="V2495" s="1394"/>
      <c r="W2495" s="1394"/>
    </row>
    <row r="2496" spans="2:23" s="1506" customFormat="1" ht="30" hidden="1" customHeight="1">
      <c r="B2496" s="1507"/>
      <c r="C2496" s="1497"/>
      <c r="D2496" s="99"/>
      <c r="E2496" s="99"/>
      <c r="F2496" s="1495"/>
      <c r="G2496" s="1495"/>
      <c r="H2496" s="69"/>
      <c r="I2496" s="1508"/>
      <c r="M2496" s="1509"/>
      <c r="Q2496" s="1394"/>
      <c r="R2496" s="1394"/>
      <c r="S2496" s="1394"/>
      <c r="T2496" s="1394"/>
      <c r="U2496" s="1394"/>
      <c r="V2496" s="1394"/>
      <c r="W2496" s="1394"/>
    </row>
    <row r="2497" spans="1:24" s="1506" customFormat="1" ht="30" hidden="1" customHeight="1">
      <c r="B2497" s="1507"/>
      <c r="C2497" s="1497"/>
      <c r="D2497" s="99"/>
      <c r="E2497" s="99"/>
      <c r="F2497" s="1495"/>
      <c r="G2497" s="1495"/>
      <c r="H2497" s="69"/>
      <c r="I2497" s="1508"/>
      <c r="M2497" s="1509"/>
      <c r="Q2497" s="1394"/>
      <c r="R2497" s="1394"/>
      <c r="S2497" s="1394"/>
      <c r="T2497" s="1394"/>
      <c r="U2497" s="1394"/>
      <c r="V2497" s="1394"/>
      <c r="W2497" s="1394"/>
    </row>
    <row r="2498" spans="1:24" s="1506" customFormat="1" ht="30" hidden="1" customHeight="1">
      <c r="B2498" s="1507"/>
      <c r="C2498" s="1497"/>
      <c r="D2498" s="99"/>
      <c r="E2498" s="99"/>
      <c r="F2498" s="1495"/>
      <c r="G2498" s="1495"/>
      <c r="H2498" s="69"/>
      <c r="I2498" s="1508"/>
      <c r="M2498" s="1509"/>
      <c r="Q2498" s="1394"/>
      <c r="R2498" s="1394"/>
      <c r="S2498" s="1394"/>
      <c r="T2498" s="1394"/>
      <c r="U2498" s="1394"/>
      <c r="V2498" s="1394"/>
      <c r="W2498" s="1394"/>
    </row>
    <row r="2499" spans="1:24" s="1394" customFormat="1" ht="30" hidden="1" customHeight="1">
      <c r="B2499" s="1421"/>
      <c r="C2499" s="1422"/>
      <c r="D2499" s="1389"/>
      <c r="E2499" s="1389"/>
      <c r="F2499" s="1423"/>
      <c r="G2499" s="1423"/>
      <c r="H2499" s="1424"/>
      <c r="I2499" s="1425"/>
      <c r="M2499" s="1426"/>
    </row>
    <row r="2500" spans="1:24" s="1394" customFormat="1" ht="30" hidden="1" customHeight="1">
      <c r="B2500" s="1421"/>
      <c r="C2500" s="1422"/>
      <c r="D2500" s="1389"/>
      <c r="E2500" s="1389"/>
      <c r="F2500" s="1423"/>
      <c r="G2500" s="1423"/>
      <c r="H2500" s="1424"/>
      <c r="I2500" s="1427"/>
      <c r="M2500" s="1426"/>
    </row>
    <row r="2501" spans="1:24" s="1394" customFormat="1" ht="30" hidden="1" customHeight="1">
      <c r="B2501" s="1421"/>
      <c r="C2501" s="1422"/>
      <c r="D2501" s="1389"/>
      <c r="E2501" s="1389"/>
      <c r="F2501" s="1423"/>
      <c r="G2501" s="1428"/>
      <c r="H2501" s="1429"/>
      <c r="I2501" s="1427"/>
    </row>
    <row r="2502" spans="1:24" ht="110.25" customHeight="1">
      <c r="A2502" s="110" t="s">
        <v>386</v>
      </c>
      <c r="B2502" s="1513">
        <v>30</v>
      </c>
      <c r="C2502" s="1678" t="e">
        <f>VLOOKUP(A2502,#REF!,2,0)</f>
        <v>#REF!</v>
      </c>
      <c r="D2502" s="1678"/>
      <c r="E2502" s="1678"/>
      <c r="F2502" s="1678"/>
      <c r="G2502" s="1678"/>
      <c r="H2502" s="1678"/>
      <c r="I2502" s="1479"/>
      <c r="Q2502" s="1394">
        <f>IFERROR(VLOOKUP(M2502,#REF!,3,0),0)</f>
        <v>0</v>
      </c>
      <c r="R2502" s="1394">
        <f t="shared" ref="R2502:R2541" si="703">ROUND(O2502,2)*ROUND(Q2502,2)</f>
        <v>0</v>
      </c>
      <c r="S2502" s="1394">
        <f>IFERROR(VLOOKUP(M2502,#REF!,6,0),0)</f>
        <v>0</v>
      </c>
      <c r="T2502" s="1394">
        <f t="shared" si="701"/>
        <v>0</v>
      </c>
      <c r="U2502" s="1394">
        <f>IFERROR(VLOOKUP(M2502,#REF!,5,0),0)</f>
        <v>0</v>
      </c>
      <c r="V2502" s="1394">
        <f t="shared" si="702"/>
        <v>0</v>
      </c>
      <c r="W2502" s="1394"/>
      <c r="X2502" s="1397"/>
    </row>
    <row r="2503" spans="1:24" ht="30" customHeight="1">
      <c r="B2503" s="1407"/>
      <c r="C2503" s="1455" t="str">
        <f t="shared" ref="C2503:G2505" si="704">C306</f>
        <v>Parking Area  Stilt Portion</v>
      </c>
      <c r="D2503" s="103">
        <f t="shared" si="704"/>
        <v>1</v>
      </c>
      <c r="E2503" s="103">
        <f t="shared" si="704"/>
        <v>1</v>
      </c>
      <c r="F2503" s="1413">
        <f t="shared" si="704"/>
        <v>15.88</v>
      </c>
      <c r="G2503" s="1413">
        <f t="shared" si="704"/>
        <v>4.2300000000000004</v>
      </c>
      <c r="H2503" s="1414"/>
      <c r="I2503" s="1406">
        <f>PRODUCT(D2503:H2503)</f>
        <v>67.17240000000001</v>
      </c>
      <c r="Q2503" s="1394">
        <f>IFERROR(VLOOKUP(M2503,#REF!,3,0),0)</f>
        <v>0</v>
      </c>
      <c r="R2503" s="1394">
        <f t="shared" si="703"/>
        <v>0</v>
      </c>
      <c r="S2503" s="1394">
        <f>IFERROR(VLOOKUP(M2503,#REF!,6,0),0)</f>
        <v>0</v>
      </c>
      <c r="T2503" s="1394">
        <f t="shared" si="701"/>
        <v>0</v>
      </c>
      <c r="U2503" s="1394">
        <f>IFERROR(VLOOKUP(M2503,#REF!,5,0),0)</f>
        <v>0</v>
      </c>
      <c r="V2503" s="1394">
        <f t="shared" si="702"/>
        <v>0</v>
      </c>
      <c r="W2503" s="1394"/>
    </row>
    <row r="2504" spans="1:24" s="1506" customFormat="1" ht="30" customHeight="1">
      <c r="B2504" s="1507"/>
      <c r="C2504" s="1497" t="str">
        <f t="shared" si="704"/>
        <v>Rear Side Parking Area  Stilt Portion</v>
      </c>
      <c r="D2504" s="99">
        <f t="shared" si="704"/>
        <v>1</v>
      </c>
      <c r="E2504" s="99">
        <f t="shared" si="704"/>
        <v>1</v>
      </c>
      <c r="F2504" s="1495">
        <f t="shared" si="704"/>
        <v>14.574999999999999</v>
      </c>
      <c r="G2504" s="1495">
        <f t="shared" si="704"/>
        <v>6.3250000000000002</v>
      </c>
      <c r="H2504" s="69"/>
      <c r="I2504" s="1406">
        <f>PRODUCT(D2504:H2504)</f>
        <v>92.186875000000001</v>
      </c>
      <c r="M2504" s="1509"/>
      <c r="Q2504" s="1394">
        <f>IFERROR(VLOOKUP(M2504,#REF!,3,0),0)</f>
        <v>0</v>
      </c>
      <c r="R2504" s="1394">
        <f t="shared" si="703"/>
        <v>0</v>
      </c>
      <c r="S2504" s="1394">
        <f>IFERROR(VLOOKUP(M2504,#REF!,6,0),0)</f>
        <v>0</v>
      </c>
      <c r="T2504" s="1394">
        <f t="shared" si="701"/>
        <v>0</v>
      </c>
      <c r="U2504" s="1394">
        <f>IFERROR(VLOOKUP(M2504,#REF!,5,0),0)</f>
        <v>0</v>
      </c>
      <c r="V2504" s="1394">
        <f t="shared" si="702"/>
        <v>0</v>
      </c>
      <c r="W2504" s="1394"/>
    </row>
    <row r="2505" spans="1:24" s="1506" customFormat="1" ht="30" customHeight="1">
      <c r="B2505" s="1507"/>
      <c r="C2505" s="1497" t="str">
        <f t="shared" si="704"/>
        <v>Left Side Parking Area  Stilt Portion</v>
      </c>
      <c r="D2505" s="99">
        <f t="shared" si="704"/>
        <v>1</v>
      </c>
      <c r="E2505" s="99">
        <f t="shared" si="704"/>
        <v>1</v>
      </c>
      <c r="F2505" s="1495">
        <f t="shared" si="704"/>
        <v>4.2300000000000004</v>
      </c>
      <c r="G2505" s="1495">
        <f t="shared" si="704"/>
        <v>9.5549999999999997</v>
      </c>
      <c r="H2505" s="69"/>
      <c r="I2505" s="1406">
        <f t="shared" ref="I2505" si="705">PRODUCT(D2505:H2505)</f>
        <v>40.417650000000002</v>
      </c>
      <c r="M2505" s="1509"/>
      <c r="Q2505" s="1394">
        <f>IFERROR(VLOOKUP(M2505,#REF!,3,0),0)</f>
        <v>0</v>
      </c>
      <c r="R2505" s="1394">
        <f t="shared" si="703"/>
        <v>0</v>
      </c>
      <c r="S2505" s="1394">
        <f>IFERROR(VLOOKUP(M2505,#REF!,6,0),0)</f>
        <v>0</v>
      </c>
      <c r="T2505" s="1394">
        <f t="shared" si="701"/>
        <v>0</v>
      </c>
      <c r="U2505" s="1394">
        <f>IFERROR(VLOOKUP(M2505,#REF!,5,0),0)</f>
        <v>0</v>
      </c>
      <c r="V2505" s="1394">
        <f t="shared" si="702"/>
        <v>0</v>
      </c>
      <c r="W2505" s="1394"/>
    </row>
    <row r="2506" spans="1:24" s="1506" customFormat="1" ht="30" customHeight="1">
      <c r="B2506" s="1507"/>
      <c r="C2506" s="1497" t="s">
        <v>5851</v>
      </c>
      <c r="D2506" s="99">
        <v>2</v>
      </c>
      <c r="E2506" s="99">
        <v>2</v>
      </c>
      <c r="F2506" s="1495">
        <v>4.5</v>
      </c>
      <c r="G2506" s="1495">
        <v>2.5</v>
      </c>
      <c r="H2506" s="69"/>
      <c r="I2506" s="1508">
        <f t="shared" ref="I2506" si="706">ROUND((PRODUCT(D2506:H2506)),2)</f>
        <v>45</v>
      </c>
      <c r="M2506" s="1509"/>
      <c r="Q2506" s="1394">
        <f>IFERROR(VLOOKUP(M2506,#REF!,3,0),0)</f>
        <v>0</v>
      </c>
      <c r="R2506" s="1394">
        <f t="shared" si="703"/>
        <v>0</v>
      </c>
      <c r="S2506" s="1394">
        <f>IFERROR(VLOOKUP(M2506,#REF!,6,0),0)</f>
        <v>0</v>
      </c>
      <c r="T2506" s="1394">
        <f t="shared" si="701"/>
        <v>0</v>
      </c>
      <c r="U2506" s="1394">
        <f>IFERROR(VLOOKUP(M2506,#REF!,5,0),0)</f>
        <v>0</v>
      </c>
      <c r="V2506" s="1394">
        <f t="shared" si="702"/>
        <v>0</v>
      </c>
      <c r="W2506" s="1394"/>
    </row>
    <row r="2507" spans="1:24" s="1394" customFormat="1" ht="30" customHeight="1">
      <c r="B2507" s="1421"/>
      <c r="C2507" s="1422" t="s">
        <v>270</v>
      </c>
      <c r="D2507" s="1389"/>
      <c r="E2507" s="1389"/>
      <c r="F2507" s="1423"/>
      <c r="G2507" s="1423"/>
      <c r="H2507" s="1424"/>
      <c r="I2507" s="1425">
        <f>J2508-J2507</f>
        <v>0.22307499999996594</v>
      </c>
      <c r="J2507" s="1394">
        <f>SUM(I2503:I2506)</f>
        <v>244.77692500000003</v>
      </c>
      <c r="M2507" s="1426"/>
      <c r="Q2507" s="1394">
        <f>IFERROR(VLOOKUP(M2507,#REF!,3,0),0)</f>
        <v>0</v>
      </c>
      <c r="R2507" s="1394">
        <f t="shared" si="703"/>
        <v>0</v>
      </c>
      <c r="S2507" s="1394">
        <f>IFERROR(VLOOKUP(M2507,#REF!,6,0),0)</f>
        <v>0</v>
      </c>
      <c r="T2507" s="1394">
        <f t="shared" si="701"/>
        <v>0</v>
      </c>
      <c r="U2507" s="1394">
        <f>IFERROR(VLOOKUP(M2507,#REF!,5,0),0)</f>
        <v>0</v>
      </c>
      <c r="V2507" s="1394">
        <f t="shared" si="702"/>
        <v>0</v>
      </c>
    </row>
    <row r="2508" spans="1:24" s="1394" customFormat="1" ht="30" customHeight="1">
      <c r="B2508" s="1421"/>
      <c r="C2508" s="1422"/>
      <c r="D2508" s="1389"/>
      <c r="E2508" s="1389"/>
      <c r="F2508" s="1423"/>
      <c r="G2508" s="1423"/>
      <c r="H2508" s="1424"/>
      <c r="I2508" s="1427">
        <f>+J2508</f>
        <v>245</v>
      </c>
      <c r="J2508" s="1394">
        <f>ROUNDUP(J2507,0)</f>
        <v>245</v>
      </c>
      <c r="M2508" s="1426"/>
      <c r="Q2508" s="1394">
        <f>IFERROR(VLOOKUP(M2508,#REF!,3,0),0)</f>
        <v>0</v>
      </c>
      <c r="R2508" s="1394">
        <f t="shared" si="703"/>
        <v>0</v>
      </c>
      <c r="S2508" s="1394">
        <f>IFERROR(VLOOKUP(M2508,#REF!,6,0),0)</f>
        <v>0</v>
      </c>
      <c r="T2508" s="1394">
        <f t="shared" si="701"/>
        <v>0</v>
      </c>
      <c r="U2508" s="1394">
        <f>IFERROR(VLOOKUP(M2508,#REF!,5,0),0)</f>
        <v>0</v>
      </c>
      <c r="V2508" s="1394">
        <f t="shared" si="702"/>
        <v>0</v>
      </c>
    </row>
    <row r="2509" spans="1:24" s="1394" customFormat="1" ht="30" customHeight="1">
      <c r="B2509" s="1421"/>
      <c r="C2509" s="1422"/>
      <c r="D2509" s="1389"/>
      <c r="E2509" s="1389"/>
      <c r="F2509" s="1423"/>
      <c r="G2509" s="1428" t="s">
        <v>11</v>
      </c>
      <c r="H2509" s="1429">
        <f>I2508</f>
        <v>245</v>
      </c>
      <c r="I2509" s="1427" t="s">
        <v>26</v>
      </c>
      <c r="M2509" s="1394" t="str">
        <f>A2502</f>
        <v>Ellispattern</v>
      </c>
      <c r="N2509" s="1394">
        <f>B2502</f>
        <v>30</v>
      </c>
      <c r="O2509" s="1394">
        <f>H2509</f>
        <v>245</v>
      </c>
      <c r="P2509" s="1394" t="str">
        <f>I2509</f>
        <v>Sqm</v>
      </c>
      <c r="Q2509" s="1394">
        <f>IFERROR(VLOOKUP(M2509,#REF!,3,0),0)</f>
        <v>0</v>
      </c>
      <c r="R2509" s="1394">
        <f t="shared" si="703"/>
        <v>0</v>
      </c>
      <c r="S2509" s="1394">
        <f>IFERROR(VLOOKUP(M2509,#REF!,6,0),0)</f>
        <v>0</v>
      </c>
      <c r="T2509" s="1394">
        <f t="shared" ref="T2509:T2572" si="707">R2509-S2509</f>
        <v>0</v>
      </c>
      <c r="U2509" s="1394">
        <f>IFERROR(VLOOKUP(M2509,#REF!,5,0),0)</f>
        <v>0</v>
      </c>
      <c r="V2509" s="1394">
        <f t="shared" ref="V2509:V2572" si="708">O2509-U2509</f>
        <v>245</v>
      </c>
    </row>
    <row r="2510" spans="1:24" ht="108" customHeight="1">
      <c r="A2510" s="110" t="s">
        <v>387</v>
      </c>
      <c r="B2510" s="1405">
        <v>31</v>
      </c>
      <c r="C2510" s="1678" t="e">
        <f>VLOOKUP(A2510,#REF!,2,0)</f>
        <v>#REF!</v>
      </c>
      <c r="D2510" s="1678"/>
      <c r="E2510" s="1678"/>
      <c r="F2510" s="1678"/>
      <c r="G2510" s="1678"/>
      <c r="H2510" s="1678"/>
      <c r="I2510" s="1479"/>
      <c r="Q2510" s="1394">
        <f>IFERROR(VLOOKUP(M2510,#REF!,3,0),0)</f>
        <v>0</v>
      </c>
      <c r="R2510" s="1394">
        <f t="shared" si="703"/>
        <v>0</v>
      </c>
      <c r="S2510" s="1394">
        <f>IFERROR(VLOOKUP(M2510,#REF!,6,0),0)</f>
        <v>0</v>
      </c>
      <c r="T2510" s="1394">
        <f t="shared" si="707"/>
        <v>0</v>
      </c>
      <c r="U2510" s="1394">
        <f>IFERROR(VLOOKUP(M2510,#REF!,5,0),0)</f>
        <v>0</v>
      </c>
      <c r="V2510" s="1394">
        <f t="shared" si="708"/>
        <v>0</v>
      </c>
      <c r="W2510" s="1394"/>
      <c r="X2510" s="1397"/>
    </row>
    <row r="2511" spans="1:24" ht="30" customHeight="1">
      <c r="B2511" s="1407"/>
      <c r="C2511" s="1455" t="str">
        <f t="shared" ref="C2511:G2518" si="709">C2098</f>
        <v>First Floor Ins &amp; SI</v>
      </c>
      <c r="D2511" s="103">
        <f t="shared" si="709"/>
        <v>1</v>
      </c>
      <c r="E2511" s="103">
        <f t="shared" si="709"/>
        <v>2</v>
      </c>
      <c r="F2511" s="1413">
        <f t="shared" si="709"/>
        <v>1.65</v>
      </c>
      <c r="G2511" s="1413">
        <f t="shared" si="709"/>
        <v>1.5</v>
      </c>
      <c r="H2511" s="1414">
        <v>0.3</v>
      </c>
      <c r="I2511" s="1406">
        <f>PRODUCT(D2511:H2511)</f>
        <v>1.4849999999999997</v>
      </c>
      <c r="Q2511" s="1394">
        <f>IFERROR(VLOOKUP(M2511,#REF!,3,0),0)</f>
        <v>0</v>
      </c>
      <c r="R2511" s="1394">
        <f t="shared" si="703"/>
        <v>0</v>
      </c>
      <c r="S2511" s="1394">
        <f>IFERROR(VLOOKUP(M2511,#REF!,6,0),0)</f>
        <v>0</v>
      </c>
      <c r="T2511" s="1394">
        <f t="shared" si="707"/>
        <v>0</v>
      </c>
      <c r="U2511" s="1394">
        <f>IFERROR(VLOOKUP(M2511,#REF!,5,0),0)</f>
        <v>0</v>
      </c>
      <c r="V2511" s="1394">
        <f t="shared" si="708"/>
        <v>0</v>
      </c>
      <c r="W2511" s="1394"/>
    </row>
    <row r="2512" spans="1:24" ht="30" customHeight="1">
      <c r="B2512" s="1407"/>
      <c r="C2512" s="1455" t="str">
        <f t="shared" si="709"/>
        <v>First Floor Common Toilet</v>
      </c>
      <c r="D2512" s="103">
        <f t="shared" si="709"/>
        <v>1</v>
      </c>
      <c r="E2512" s="103">
        <f t="shared" si="709"/>
        <v>1</v>
      </c>
      <c r="F2512" s="1413">
        <f t="shared" si="709"/>
        <v>1.5</v>
      </c>
      <c r="G2512" s="1413">
        <f t="shared" si="709"/>
        <v>1.5</v>
      </c>
      <c r="H2512" s="1414">
        <f>H2511</f>
        <v>0.3</v>
      </c>
      <c r="I2512" s="1406">
        <f t="shared" ref="I2512:I2518" si="710">PRODUCT(D2512:H2512)</f>
        <v>0.67499999999999993</v>
      </c>
      <c r="Q2512" s="1394">
        <f>IFERROR(VLOOKUP(M2512,#REF!,3,0),0)</f>
        <v>0</v>
      </c>
      <c r="R2512" s="1394">
        <f t="shared" si="703"/>
        <v>0</v>
      </c>
      <c r="S2512" s="1394">
        <f>IFERROR(VLOOKUP(M2512,#REF!,6,0),0)</f>
        <v>0</v>
      </c>
      <c r="T2512" s="1394">
        <f t="shared" si="707"/>
        <v>0</v>
      </c>
      <c r="U2512" s="1394">
        <f>IFERROR(VLOOKUP(M2512,#REF!,5,0),0)</f>
        <v>0</v>
      </c>
      <c r="V2512" s="1394">
        <f t="shared" si="708"/>
        <v>0</v>
      </c>
      <c r="W2512" s="1394"/>
    </row>
    <row r="2513" spans="1:24" ht="30" customHeight="1">
      <c r="B2513" s="1407"/>
      <c r="C2513" s="1455" t="str">
        <f t="shared" si="709"/>
        <v>First Floor Common Toilet</v>
      </c>
      <c r="D2513" s="103">
        <f t="shared" si="709"/>
        <v>1</v>
      </c>
      <c r="E2513" s="103">
        <f t="shared" si="709"/>
        <v>1</v>
      </c>
      <c r="F2513" s="1413">
        <f t="shared" si="709"/>
        <v>1.65</v>
      </c>
      <c r="G2513" s="1413">
        <f t="shared" si="709"/>
        <v>1.2350000000000001</v>
      </c>
      <c r="H2513" s="1414">
        <f t="shared" ref="H2513:H2518" si="711">H2512</f>
        <v>0.3</v>
      </c>
      <c r="I2513" s="1406">
        <f t="shared" si="710"/>
        <v>0.61132500000000001</v>
      </c>
      <c r="Q2513" s="1394">
        <f>IFERROR(VLOOKUP(M2513,#REF!,3,0),0)</f>
        <v>0</v>
      </c>
      <c r="R2513" s="1394">
        <f t="shared" si="703"/>
        <v>0</v>
      </c>
      <c r="S2513" s="1394">
        <f>IFERROR(VLOOKUP(M2513,#REF!,6,0),0)</f>
        <v>0</v>
      </c>
      <c r="T2513" s="1394">
        <f t="shared" si="707"/>
        <v>0</v>
      </c>
      <c r="U2513" s="1394">
        <f>IFERROR(VLOOKUP(M2513,#REF!,5,0),0)</f>
        <v>0</v>
      </c>
      <c r="V2513" s="1394">
        <f t="shared" si="708"/>
        <v>0</v>
      </c>
      <c r="W2513" s="1394"/>
    </row>
    <row r="2514" spans="1:24" ht="30" customHeight="1">
      <c r="B2514" s="1407"/>
      <c r="C2514" s="1455" t="str">
        <f t="shared" si="709"/>
        <v>Second Floor  Ins &amp; Women Rest Room</v>
      </c>
      <c r="D2514" s="103">
        <f t="shared" si="709"/>
        <v>1</v>
      </c>
      <c r="E2514" s="103">
        <f t="shared" si="709"/>
        <v>2</v>
      </c>
      <c r="F2514" s="1413">
        <f t="shared" si="709"/>
        <v>1.65</v>
      </c>
      <c r="G2514" s="1413">
        <f t="shared" si="709"/>
        <v>1.5</v>
      </c>
      <c r="H2514" s="1414">
        <f t="shared" si="711"/>
        <v>0.3</v>
      </c>
      <c r="I2514" s="1406">
        <f t="shared" si="710"/>
        <v>1.4849999999999997</v>
      </c>
      <c r="Q2514" s="1394">
        <f>IFERROR(VLOOKUP(M2514,#REF!,3,0),0)</f>
        <v>0</v>
      </c>
      <c r="R2514" s="1394">
        <f t="shared" si="703"/>
        <v>0</v>
      </c>
      <c r="S2514" s="1394">
        <f>IFERROR(VLOOKUP(M2514,#REF!,6,0),0)</f>
        <v>0</v>
      </c>
      <c r="T2514" s="1394">
        <f t="shared" si="707"/>
        <v>0</v>
      </c>
      <c r="U2514" s="1394">
        <f>IFERROR(VLOOKUP(M2514,#REF!,5,0),0)</f>
        <v>0</v>
      </c>
      <c r="V2514" s="1394">
        <f t="shared" si="708"/>
        <v>0</v>
      </c>
      <c r="W2514" s="1394"/>
    </row>
    <row r="2515" spans="1:24" ht="30" customHeight="1">
      <c r="B2515" s="1407"/>
      <c r="C2515" s="1455" t="str">
        <f t="shared" si="709"/>
        <v>Second  Floor  Common Toilet</v>
      </c>
      <c r="D2515" s="103">
        <f t="shared" si="709"/>
        <v>1</v>
      </c>
      <c r="E2515" s="103">
        <f t="shared" si="709"/>
        <v>1</v>
      </c>
      <c r="F2515" s="1413">
        <f t="shared" si="709"/>
        <v>1.5</v>
      </c>
      <c r="G2515" s="1413">
        <f t="shared" si="709"/>
        <v>1.5</v>
      </c>
      <c r="H2515" s="1414">
        <f t="shared" si="711"/>
        <v>0.3</v>
      </c>
      <c r="I2515" s="1406">
        <f t="shared" si="710"/>
        <v>0.67499999999999993</v>
      </c>
      <c r="Q2515" s="1394">
        <f>IFERROR(VLOOKUP(M2515,#REF!,3,0),0)</f>
        <v>0</v>
      </c>
      <c r="R2515" s="1394">
        <f t="shared" si="703"/>
        <v>0</v>
      </c>
      <c r="S2515" s="1394">
        <f>IFERROR(VLOOKUP(M2515,#REF!,6,0),0)</f>
        <v>0</v>
      </c>
      <c r="T2515" s="1394">
        <f t="shared" si="707"/>
        <v>0</v>
      </c>
      <c r="U2515" s="1394">
        <f>IFERROR(VLOOKUP(M2515,#REF!,5,0),0)</f>
        <v>0</v>
      </c>
      <c r="V2515" s="1394">
        <f t="shared" si="708"/>
        <v>0</v>
      </c>
      <c r="W2515" s="1394"/>
    </row>
    <row r="2516" spans="1:24" ht="30" customHeight="1">
      <c r="B2516" s="1407"/>
      <c r="C2516" s="1455" t="str">
        <f t="shared" si="709"/>
        <v>Second  Floor  Common Toilet</v>
      </c>
      <c r="D2516" s="103">
        <f t="shared" si="709"/>
        <v>1</v>
      </c>
      <c r="E2516" s="103">
        <f t="shared" si="709"/>
        <v>1</v>
      </c>
      <c r="F2516" s="1413">
        <f t="shared" si="709"/>
        <v>1.65</v>
      </c>
      <c r="G2516" s="1413">
        <f t="shared" si="709"/>
        <v>1.2350000000000001</v>
      </c>
      <c r="H2516" s="1414">
        <f t="shared" si="711"/>
        <v>0.3</v>
      </c>
      <c r="I2516" s="1406">
        <f t="shared" si="710"/>
        <v>0.61132500000000001</v>
      </c>
      <c r="Q2516" s="1394">
        <f>IFERROR(VLOOKUP(M2516,#REF!,3,0),0)</f>
        <v>0</v>
      </c>
      <c r="R2516" s="1394">
        <f t="shared" si="703"/>
        <v>0</v>
      </c>
      <c r="S2516" s="1394">
        <f>IFERROR(VLOOKUP(M2516,#REF!,6,0),0)</f>
        <v>0</v>
      </c>
      <c r="T2516" s="1394">
        <f t="shared" si="707"/>
        <v>0</v>
      </c>
      <c r="U2516" s="1394">
        <f>IFERROR(VLOOKUP(M2516,#REF!,5,0),0)</f>
        <v>0</v>
      </c>
      <c r="V2516" s="1394">
        <f t="shared" si="708"/>
        <v>0</v>
      </c>
      <c r="W2516" s="1394"/>
    </row>
    <row r="2517" spans="1:24" ht="30" customHeight="1">
      <c r="B2517" s="1407"/>
      <c r="C2517" s="1455" t="str">
        <f t="shared" si="709"/>
        <v>Third Floor  Ins  &amp;  men Rest Room</v>
      </c>
      <c r="D2517" s="103">
        <f t="shared" si="709"/>
        <v>1</v>
      </c>
      <c r="E2517" s="103">
        <f t="shared" si="709"/>
        <v>2</v>
      </c>
      <c r="F2517" s="1413">
        <f t="shared" si="709"/>
        <v>1.65</v>
      </c>
      <c r="G2517" s="1413">
        <f t="shared" si="709"/>
        <v>1.5</v>
      </c>
      <c r="H2517" s="1414">
        <f t="shared" si="711"/>
        <v>0.3</v>
      </c>
      <c r="I2517" s="1406">
        <f t="shared" si="710"/>
        <v>1.4849999999999997</v>
      </c>
      <c r="Q2517" s="1394">
        <f>IFERROR(VLOOKUP(M2517,#REF!,3,0),0)</f>
        <v>0</v>
      </c>
      <c r="R2517" s="1394">
        <f t="shared" si="703"/>
        <v>0</v>
      </c>
      <c r="S2517" s="1394">
        <f>IFERROR(VLOOKUP(M2517,#REF!,6,0),0)</f>
        <v>0</v>
      </c>
      <c r="T2517" s="1394">
        <f t="shared" si="707"/>
        <v>0</v>
      </c>
      <c r="U2517" s="1394">
        <f>IFERROR(VLOOKUP(M2517,#REF!,5,0),0)</f>
        <v>0</v>
      </c>
      <c r="V2517" s="1394">
        <f t="shared" si="708"/>
        <v>0</v>
      </c>
      <c r="W2517" s="1394"/>
    </row>
    <row r="2518" spans="1:24" ht="30" customHeight="1">
      <c r="B2518" s="1407"/>
      <c r="C2518" s="1455" t="str">
        <f t="shared" si="709"/>
        <v>Third Floor Common Toilet</v>
      </c>
      <c r="D2518" s="103">
        <f t="shared" si="709"/>
        <v>1</v>
      </c>
      <c r="E2518" s="103">
        <f t="shared" si="709"/>
        <v>1</v>
      </c>
      <c r="F2518" s="1413">
        <f t="shared" si="709"/>
        <v>3.8849999999999998</v>
      </c>
      <c r="G2518" s="1413">
        <f t="shared" si="709"/>
        <v>3.9</v>
      </c>
      <c r="H2518" s="1414">
        <f t="shared" si="711"/>
        <v>0.3</v>
      </c>
      <c r="I2518" s="1406">
        <f t="shared" si="710"/>
        <v>4.5454499999999998</v>
      </c>
      <c r="Q2518" s="1394">
        <f>IFERROR(VLOOKUP(M2518,#REF!,3,0),0)</f>
        <v>0</v>
      </c>
      <c r="R2518" s="1394">
        <f t="shared" si="703"/>
        <v>0</v>
      </c>
      <c r="S2518" s="1394">
        <f>IFERROR(VLOOKUP(M2518,#REF!,6,0),0)</f>
        <v>0</v>
      </c>
      <c r="T2518" s="1394">
        <f t="shared" si="707"/>
        <v>0</v>
      </c>
      <c r="U2518" s="1394">
        <f>IFERROR(VLOOKUP(M2518,#REF!,5,0),0)</f>
        <v>0</v>
      </c>
      <c r="V2518" s="1394">
        <f t="shared" si="708"/>
        <v>0</v>
      </c>
      <c r="W2518" s="1394"/>
    </row>
    <row r="2519" spans="1:24" ht="30" customHeight="1">
      <c r="B2519" s="1407"/>
      <c r="C2519" s="1455"/>
      <c r="D2519" s="103"/>
      <c r="E2519" s="103"/>
      <c r="F2519" s="1413"/>
      <c r="G2519" s="1413"/>
      <c r="H2519" s="1414"/>
      <c r="I2519" s="1406">
        <f>PRODUCT(D2519:H2519)</f>
        <v>0</v>
      </c>
      <c r="Q2519" s="1394">
        <f>IFERROR(VLOOKUP(M2519,#REF!,3,0),0)</f>
        <v>0</v>
      </c>
      <c r="R2519" s="1394">
        <f t="shared" si="703"/>
        <v>0</v>
      </c>
      <c r="S2519" s="1394">
        <f>IFERROR(VLOOKUP(M2519,#REF!,6,0),0)</f>
        <v>0</v>
      </c>
      <c r="T2519" s="1394">
        <f t="shared" si="707"/>
        <v>0</v>
      </c>
      <c r="U2519" s="1394">
        <f>IFERROR(VLOOKUP(M2519,#REF!,5,0),0)</f>
        <v>0</v>
      </c>
      <c r="V2519" s="1394">
        <f t="shared" si="708"/>
        <v>0</v>
      </c>
      <c r="W2519" s="1394"/>
    </row>
    <row r="2520" spans="1:24" s="1394" customFormat="1" ht="30" customHeight="1">
      <c r="B2520" s="1421"/>
      <c r="C2520" s="1422" t="s">
        <v>270</v>
      </c>
      <c r="D2520" s="1389"/>
      <c r="E2520" s="1389"/>
      <c r="F2520" s="1423"/>
      <c r="G2520" s="1423"/>
      <c r="H2520" s="1424"/>
      <c r="I2520" s="1425">
        <f>J2521-J2520</f>
        <v>2.6900000000001256E-2</v>
      </c>
      <c r="J2520" s="1394">
        <f>SUM(I2511:I2519)</f>
        <v>11.573099999999998</v>
      </c>
      <c r="M2520" s="1426"/>
      <c r="Q2520" s="1394">
        <f>IFERROR(VLOOKUP(M2520,#REF!,3,0),0)</f>
        <v>0</v>
      </c>
      <c r="R2520" s="1394">
        <f t="shared" si="703"/>
        <v>0</v>
      </c>
      <c r="S2520" s="1394">
        <f>IFERROR(VLOOKUP(M2520,#REF!,6,0),0)</f>
        <v>0</v>
      </c>
      <c r="T2520" s="1394">
        <f t="shared" si="707"/>
        <v>0</v>
      </c>
      <c r="U2520" s="1394">
        <f>IFERROR(VLOOKUP(M2520,#REF!,5,0),0)</f>
        <v>0</v>
      </c>
      <c r="V2520" s="1394">
        <f t="shared" si="708"/>
        <v>0</v>
      </c>
    </row>
    <row r="2521" spans="1:24" s="1394" customFormat="1" ht="30" customHeight="1">
      <c r="B2521" s="1421"/>
      <c r="C2521" s="1422"/>
      <c r="D2521" s="1389"/>
      <c r="E2521" s="1389"/>
      <c r="F2521" s="1423"/>
      <c r="G2521" s="1423"/>
      <c r="H2521" s="1424"/>
      <c r="I2521" s="1427">
        <f>+J2521</f>
        <v>11.6</v>
      </c>
      <c r="J2521" s="1394">
        <f>ROUNDUP(J2520,1)</f>
        <v>11.6</v>
      </c>
      <c r="M2521" s="1426"/>
      <c r="Q2521" s="1394">
        <f>IFERROR(VLOOKUP(M2521,#REF!,3,0),0)</f>
        <v>0</v>
      </c>
      <c r="R2521" s="1394">
        <f t="shared" si="703"/>
        <v>0</v>
      </c>
      <c r="S2521" s="1394">
        <f>IFERROR(VLOOKUP(M2521,#REF!,6,0),0)</f>
        <v>0</v>
      </c>
      <c r="T2521" s="1394">
        <f t="shared" si="707"/>
        <v>0</v>
      </c>
      <c r="U2521" s="1394">
        <f>IFERROR(VLOOKUP(M2521,#REF!,5,0),0)</f>
        <v>0</v>
      </c>
      <c r="V2521" s="1394">
        <f t="shared" si="708"/>
        <v>0</v>
      </c>
    </row>
    <row r="2522" spans="1:24" s="1394" customFormat="1" ht="30" customHeight="1">
      <c r="B2522" s="1421"/>
      <c r="C2522" s="1422"/>
      <c r="D2522" s="1389"/>
      <c r="E2522" s="1389"/>
      <c r="F2522" s="1423"/>
      <c r="G2522" s="1428" t="s">
        <v>11</v>
      </c>
      <c r="H2522" s="1429">
        <f>I2521</f>
        <v>11.6</v>
      </c>
      <c r="I2522" s="1427" t="s">
        <v>19</v>
      </c>
      <c r="M2522" s="1394" t="str">
        <f>A2510</f>
        <v>Weathering course</v>
      </c>
      <c r="N2522" s="1394">
        <f>B2510</f>
        <v>31</v>
      </c>
      <c r="O2522" s="1394">
        <f>H2522</f>
        <v>11.6</v>
      </c>
      <c r="P2522" s="1394" t="str">
        <f>I2522</f>
        <v>Cum</v>
      </c>
      <c r="Q2522" s="1394">
        <f>IFERROR(VLOOKUP(M2522,#REF!,3,0),0)</f>
        <v>0</v>
      </c>
      <c r="R2522" s="1394">
        <f t="shared" si="703"/>
        <v>0</v>
      </c>
      <c r="S2522" s="1394">
        <f>IFERROR(VLOOKUP(M2522,#REF!,6,0),0)</f>
        <v>0</v>
      </c>
      <c r="T2522" s="1394">
        <f t="shared" si="707"/>
        <v>0</v>
      </c>
      <c r="U2522" s="1394">
        <f>IFERROR(VLOOKUP(M2522,#REF!,5,0),0)</f>
        <v>0</v>
      </c>
      <c r="V2522" s="1394">
        <f t="shared" si="708"/>
        <v>11.6</v>
      </c>
    </row>
    <row r="2523" spans="1:24" ht="185.25" customHeight="1">
      <c r="A2523" s="110" t="s">
        <v>389</v>
      </c>
      <c r="B2523" s="1405" t="s">
        <v>388</v>
      </c>
      <c r="C2523" s="1678" t="e">
        <f>VLOOKUP(A2523,#REF!,2,0)</f>
        <v>#REF!</v>
      </c>
      <c r="D2523" s="1678"/>
      <c r="E2523" s="1678"/>
      <c r="F2523" s="1678"/>
      <c r="G2523" s="1678"/>
      <c r="H2523" s="1678"/>
      <c r="I2523" s="1406"/>
      <c r="Q2523" s="1394">
        <f>IFERROR(VLOOKUP(M2523,#REF!,3,0),0)</f>
        <v>0</v>
      </c>
      <c r="R2523" s="1394">
        <f t="shared" si="703"/>
        <v>0</v>
      </c>
      <c r="S2523" s="1394">
        <f>IFERROR(VLOOKUP(M2523,#REF!,6,0),0)</f>
        <v>0</v>
      </c>
      <c r="T2523" s="1394">
        <f t="shared" si="707"/>
        <v>0</v>
      </c>
      <c r="U2523" s="1394">
        <f>IFERROR(VLOOKUP(M2523,#REF!,5,0),0)</f>
        <v>0</v>
      </c>
      <c r="V2523" s="1394">
        <f t="shared" si="708"/>
        <v>0</v>
      </c>
      <c r="W2523" s="1394"/>
      <c r="X2523" s="1397"/>
    </row>
    <row r="2524" spans="1:24" ht="30" customHeight="1">
      <c r="B2524" s="1407"/>
      <c r="C2524" s="1455" t="s">
        <v>390</v>
      </c>
      <c r="D2524" s="103">
        <v>1</v>
      </c>
      <c r="E2524" s="103">
        <v>1</v>
      </c>
      <c r="F2524" s="1413">
        <v>18.344999999999999</v>
      </c>
      <c r="G2524" s="1413">
        <v>6.63</v>
      </c>
      <c r="H2524" s="1414"/>
      <c r="I2524" s="1406">
        <f t="shared" ref="I2524:I2532" si="712">PRODUCT(D2524:H2524)</f>
        <v>121.62734999999999</v>
      </c>
      <c r="Q2524" s="1394">
        <f>IFERROR(VLOOKUP(M2524,#REF!,3,0),0)</f>
        <v>0</v>
      </c>
      <c r="R2524" s="1394">
        <f t="shared" si="703"/>
        <v>0</v>
      </c>
      <c r="S2524" s="1394">
        <f>IFERROR(VLOOKUP(M2524,#REF!,6,0),0)</f>
        <v>0</v>
      </c>
      <c r="T2524" s="1394">
        <f t="shared" si="707"/>
        <v>0</v>
      </c>
      <c r="U2524" s="1394">
        <f>IFERROR(VLOOKUP(M2524,#REF!,5,0),0)</f>
        <v>0</v>
      </c>
      <c r="V2524" s="1394">
        <f t="shared" si="708"/>
        <v>0</v>
      </c>
      <c r="W2524" s="1394"/>
    </row>
    <row r="2525" spans="1:24" ht="30" customHeight="1">
      <c r="B2525" s="1407"/>
      <c r="C2525" s="1455" t="s">
        <v>391</v>
      </c>
      <c r="D2525" s="103">
        <v>1</v>
      </c>
      <c r="E2525" s="103">
        <v>1</v>
      </c>
      <c r="F2525" s="1413">
        <v>9.8849999999999998</v>
      </c>
      <c r="G2525" s="1413">
        <v>1.9590000000000001</v>
      </c>
      <c r="H2525" s="1414"/>
      <c r="I2525" s="1406">
        <f t="shared" si="712"/>
        <v>19.364715</v>
      </c>
      <c r="Q2525" s="1394">
        <f>IFERROR(VLOOKUP(M2525,#REF!,3,0),0)</f>
        <v>0</v>
      </c>
      <c r="R2525" s="1394">
        <f t="shared" si="703"/>
        <v>0</v>
      </c>
      <c r="S2525" s="1394">
        <f>IFERROR(VLOOKUP(M2525,#REF!,6,0),0)</f>
        <v>0</v>
      </c>
      <c r="T2525" s="1394">
        <f t="shared" si="707"/>
        <v>0</v>
      </c>
      <c r="U2525" s="1394">
        <f>IFERROR(VLOOKUP(M2525,#REF!,5,0),0)</f>
        <v>0</v>
      </c>
      <c r="V2525" s="1394">
        <f t="shared" si="708"/>
        <v>0</v>
      </c>
      <c r="W2525" s="1394"/>
    </row>
    <row r="2526" spans="1:24" ht="30" customHeight="1">
      <c r="B2526" s="1407"/>
      <c r="C2526" s="1455" t="s">
        <v>392</v>
      </c>
      <c r="D2526" s="103">
        <v>1</v>
      </c>
      <c r="E2526" s="103">
        <v>1</v>
      </c>
      <c r="F2526" s="1413">
        <v>18.344999999999999</v>
      </c>
      <c r="G2526" s="1413">
        <v>1.3</v>
      </c>
      <c r="H2526" s="1414"/>
      <c r="I2526" s="1406">
        <f t="shared" si="712"/>
        <v>23.848499999999998</v>
      </c>
      <c r="Q2526" s="1394">
        <f>IFERROR(VLOOKUP(M2526,#REF!,3,0),0)</f>
        <v>0</v>
      </c>
      <c r="R2526" s="1394">
        <f t="shared" si="703"/>
        <v>0</v>
      </c>
      <c r="S2526" s="1394">
        <f>IFERROR(VLOOKUP(M2526,#REF!,6,0),0)</f>
        <v>0</v>
      </c>
      <c r="T2526" s="1394">
        <f t="shared" si="707"/>
        <v>0</v>
      </c>
      <c r="U2526" s="1394">
        <f>IFERROR(VLOOKUP(M2526,#REF!,5,0),0)</f>
        <v>0</v>
      </c>
      <c r="V2526" s="1394">
        <f t="shared" si="708"/>
        <v>0</v>
      </c>
      <c r="W2526" s="1394"/>
    </row>
    <row r="2527" spans="1:24" ht="30" customHeight="1">
      <c r="B2527" s="1407"/>
      <c r="C2527" s="1455" t="s">
        <v>5840</v>
      </c>
      <c r="D2527" s="103">
        <v>1</v>
      </c>
      <c r="E2527" s="103">
        <v>1</v>
      </c>
      <c r="F2527" s="1413">
        <v>4</v>
      </c>
      <c r="G2527" s="1413">
        <v>5.53</v>
      </c>
      <c r="H2527" s="1414"/>
      <c r="I2527" s="1406">
        <f t="shared" ref="I2527:I2528" si="713">PRODUCT(D2527:H2527)</f>
        <v>22.12</v>
      </c>
      <c r="Q2527" s="1394">
        <f>IFERROR(VLOOKUP(M2527,#REF!,3,0),0)</f>
        <v>0</v>
      </c>
      <c r="R2527" s="1394">
        <f t="shared" si="703"/>
        <v>0</v>
      </c>
      <c r="S2527" s="1394">
        <f>IFERROR(VLOOKUP(M2527,#REF!,6,0),0)</f>
        <v>0</v>
      </c>
      <c r="T2527" s="1394">
        <f t="shared" si="707"/>
        <v>0</v>
      </c>
      <c r="U2527" s="1394">
        <f>IFERROR(VLOOKUP(M2527,#REF!,5,0),0)</f>
        <v>0</v>
      </c>
      <c r="V2527" s="1394">
        <f t="shared" si="708"/>
        <v>0</v>
      </c>
      <c r="W2527" s="1394"/>
    </row>
    <row r="2528" spans="1:24" ht="30" customHeight="1">
      <c r="B2528" s="1407"/>
      <c r="C2528" s="1455" t="s">
        <v>5841</v>
      </c>
      <c r="D2528" s="103">
        <v>1</v>
      </c>
      <c r="E2528" s="103">
        <v>1</v>
      </c>
      <c r="F2528" s="1413">
        <v>7.23</v>
      </c>
      <c r="G2528" s="1413">
        <v>5.53</v>
      </c>
      <c r="H2528" s="1414"/>
      <c r="I2528" s="1406">
        <f t="shared" si="713"/>
        <v>39.981900000000003</v>
      </c>
      <c r="Q2528" s="1394">
        <f>IFERROR(VLOOKUP(M2528,#REF!,3,0),0)</f>
        <v>0</v>
      </c>
      <c r="R2528" s="1394">
        <f t="shared" si="703"/>
        <v>0</v>
      </c>
      <c r="S2528" s="1394">
        <f>IFERROR(VLOOKUP(M2528,#REF!,6,0),0)</f>
        <v>0</v>
      </c>
      <c r="T2528" s="1394">
        <f t="shared" si="707"/>
        <v>0</v>
      </c>
      <c r="U2528" s="1394">
        <f>IFERROR(VLOOKUP(M2528,#REF!,5,0),0)</f>
        <v>0</v>
      </c>
      <c r="V2528" s="1394">
        <f t="shared" si="708"/>
        <v>0</v>
      </c>
      <c r="W2528" s="1394"/>
    </row>
    <row r="2529" spans="1:24" ht="30" customHeight="1">
      <c r="B2529" s="1407"/>
      <c r="C2529" s="1455" t="s">
        <v>393</v>
      </c>
      <c r="D2529" s="103">
        <v>1</v>
      </c>
      <c r="E2529" s="103">
        <v>1</v>
      </c>
      <c r="F2529" s="1413">
        <v>6.6550000000000002</v>
      </c>
      <c r="G2529" s="1413">
        <v>2.77</v>
      </c>
      <c r="H2529" s="1414"/>
      <c r="I2529" s="1406">
        <f t="shared" si="712"/>
        <v>18.434350000000002</v>
      </c>
      <c r="Q2529" s="1394">
        <f>IFERROR(VLOOKUP(M2529,#REF!,3,0),0)</f>
        <v>0</v>
      </c>
      <c r="R2529" s="1394">
        <f t="shared" si="703"/>
        <v>0</v>
      </c>
      <c r="S2529" s="1394">
        <f>IFERROR(VLOOKUP(M2529,#REF!,6,0),0)</f>
        <v>0</v>
      </c>
      <c r="T2529" s="1394">
        <f t="shared" si="707"/>
        <v>0</v>
      </c>
      <c r="U2529" s="1394">
        <f>IFERROR(VLOOKUP(M2529,#REF!,5,0),0)</f>
        <v>0</v>
      </c>
      <c r="V2529" s="1394">
        <f t="shared" si="708"/>
        <v>0</v>
      </c>
      <c r="W2529" s="1394"/>
    </row>
    <row r="2530" spans="1:24" ht="30" customHeight="1">
      <c r="B2530" s="1407"/>
      <c r="C2530" s="1455" t="s">
        <v>394</v>
      </c>
      <c r="D2530" s="103">
        <v>1</v>
      </c>
      <c r="E2530" s="103">
        <v>1</v>
      </c>
      <c r="F2530" s="1413">
        <v>6.6550000000000002</v>
      </c>
      <c r="G2530" s="1413">
        <v>2.2999999999999998</v>
      </c>
      <c r="H2530" s="1414"/>
      <c r="I2530" s="1406">
        <f t="shared" si="712"/>
        <v>15.3065</v>
      </c>
      <c r="Q2530" s="1394">
        <f>IFERROR(VLOOKUP(M2530,#REF!,3,0),0)</f>
        <v>0</v>
      </c>
      <c r="R2530" s="1394">
        <f t="shared" si="703"/>
        <v>0</v>
      </c>
      <c r="S2530" s="1394">
        <f>IFERROR(VLOOKUP(M2530,#REF!,6,0),0)</f>
        <v>0</v>
      </c>
      <c r="T2530" s="1394">
        <f t="shared" si="707"/>
        <v>0</v>
      </c>
      <c r="U2530" s="1394">
        <f>IFERROR(VLOOKUP(M2530,#REF!,5,0),0)</f>
        <v>0</v>
      </c>
      <c r="V2530" s="1394">
        <f t="shared" si="708"/>
        <v>0</v>
      </c>
      <c r="W2530" s="1394"/>
    </row>
    <row r="2531" spans="1:24" ht="30" customHeight="1">
      <c r="B2531" s="1407"/>
      <c r="C2531" s="1412" t="s">
        <v>395</v>
      </c>
      <c r="D2531" s="103"/>
      <c r="E2531" s="103"/>
      <c r="F2531" s="1413"/>
      <c r="G2531" s="1413"/>
      <c r="H2531" s="1414"/>
      <c r="I2531" s="1406">
        <f t="shared" si="712"/>
        <v>0</v>
      </c>
      <c r="Q2531" s="1394">
        <f>IFERROR(VLOOKUP(M2531,#REF!,3,0),0)</f>
        <v>0</v>
      </c>
      <c r="R2531" s="1394">
        <f t="shared" si="703"/>
        <v>0</v>
      </c>
      <c r="S2531" s="1394">
        <f>IFERROR(VLOOKUP(M2531,#REF!,6,0),0)</f>
        <v>0</v>
      </c>
      <c r="T2531" s="1394">
        <f t="shared" si="707"/>
        <v>0</v>
      </c>
      <c r="U2531" s="1394">
        <f>IFERROR(VLOOKUP(M2531,#REF!,5,0),0)</f>
        <v>0</v>
      </c>
      <c r="V2531" s="1394">
        <f t="shared" si="708"/>
        <v>0</v>
      </c>
      <c r="W2531" s="1394"/>
    </row>
    <row r="2532" spans="1:24" ht="30" customHeight="1">
      <c r="B2532" s="1407"/>
      <c r="C2532" s="1455" t="s">
        <v>5947</v>
      </c>
      <c r="D2532" s="103">
        <f t="shared" ref="D2532:E2532" si="714">D2524</f>
        <v>1</v>
      </c>
      <c r="E2532" s="103">
        <f t="shared" si="714"/>
        <v>1</v>
      </c>
      <c r="F2532" s="1413">
        <v>95.51</v>
      </c>
      <c r="G2532" s="1413"/>
      <c r="H2532" s="1414">
        <v>0.1</v>
      </c>
      <c r="I2532" s="1406">
        <f t="shared" si="712"/>
        <v>9.5510000000000002</v>
      </c>
      <c r="Q2532" s="1394">
        <f>IFERROR(VLOOKUP(M2532,#REF!,3,0),0)</f>
        <v>0</v>
      </c>
      <c r="R2532" s="1394">
        <f t="shared" si="703"/>
        <v>0</v>
      </c>
      <c r="S2532" s="1394">
        <f>IFERROR(VLOOKUP(M2532,#REF!,6,0),0)</f>
        <v>0</v>
      </c>
      <c r="T2532" s="1394">
        <f t="shared" si="707"/>
        <v>0</v>
      </c>
      <c r="U2532" s="1394">
        <f>IFERROR(VLOOKUP(M2532,#REF!,5,0),0)</f>
        <v>0</v>
      </c>
      <c r="V2532" s="1394">
        <f t="shared" si="708"/>
        <v>0</v>
      </c>
      <c r="W2532" s="1394"/>
    </row>
    <row r="2533" spans="1:24" ht="30" customHeight="1">
      <c r="B2533" s="1407"/>
      <c r="C2533" s="1455"/>
      <c r="D2533" s="103"/>
      <c r="E2533" s="103"/>
      <c r="F2533" s="1413"/>
      <c r="G2533" s="1413"/>
      <c r="H2533" s="1414"/>
      <c r="I2533" s="1406"/>
      <c r="Q2533" s="1394">
        <f>IFERROR(VLOOKUP(M2533,#REF!,3,0),0)</f>
        <v>0</v>
      </c>
      <c r="R2533" s="1394">
        <f t="shared" si="703"/>
        <v>0</v>
      </c>
      <c r="S2533" s="1394">
        <f>IFERROR(VLOOKUP(M2533,#REF!,6,0),0)</f>
        <v>0</v>
      </c>
      <c r="T2533" s="1394">
        <f t="shared" si="707"/>
        <v>0</v>
      </c>
      <c r="U2533" s="1394">
        <f>IFERROR(VLOOKUP(M2533,#REF!,5,0),0)</f>
        <v>0</v>
      </c>
      <c r="V2533" s="1394">
        <f t="shared" si="708"/>
        <v>0</v>
      </c>
      <c r="W2533" s="1394"/>
    </row>
    <row r="2534" spans="1:24" s="1394" customFormat="1" ht="30" customHeight="1">
      <c r="B2534" s="1421"/>
      <c r="C2534" s="1422" t="s">
        <v>270</v>
      </c>
      <c r="D2534" s="1389"/>
      <c r="E2534" s="1389"/>
      <c r="F2534" s="1423"/>
      <c r="G2534" s="1423"/>
      <c r="H2534" s="1424"/>
      <c r="I2534" s="1425">
        <f>J2535-J2534</f>
        <v>6.5685000000030414E-2</v>
      </c>
      <c r="J2534" s="1394">
        <f>SUM(I2524:I2533)</f>
        <v>270.23431499999998</v>
      </c>
      <c r="M2534" s="1426"/>
      <c r="Q2534" s="1394">
        <f>IFERROR(VLOOKUP(M2534,#REF!,3,0),0)</f>
        <v>0</v>
      </c>
      <c r="R2534" s="1394">
        <f t="shared" si="703"/>
        <v>0</v>
      </c>
      <c r="S2534" s="1394">
        <f>IFERROR(VLOOKUP(M2534,#REF!,6,0),0)</f>
        <v>0</v>
      </c>
      <c r="T2534" s="1394">
        <f t="shared" si="707"/>
        <v>0</v>
      </c>
      <c r="U2534" s="1394">
        <f>IFERROR(VLOOKUP(M2534,#REF!,5,0),0)</f>
        <v>0</v>
      </c>
      <c r="V2534" s="1394">
        <f t="shared" si="708"/>
        <v>0</v>
      </c>
    </row>
    <row r="2535" spans="1:24" s="1394" customFormat="1" ht="30" customHeight="1">
      <c r="B2535" s="1421"/>
      <c r="C2535" s="1422"/>
      <c r="D2535" s="1389"/>
      <c r="E2535" s="1389"/>
      <c r="F2535" s="1423"/>
      <c r="G2535" s="1423"/>
      <c r="H2535" s="1424"/>
      <c r="I2535" s="1427">
        <f>+J2535</f>
        <v>270.3</v>
      </c>
      <c r="J2535" s="1394">
        <f>ROUNDUP(J2534,1)</f>
        <v>270.3</v>
      </c>
      <c r="M2535" s="1426"/>
      <c r="Q2535" s="1394">
        <f>IFERROR(VLOOKUP(M2535,#REF!,3,0),0)</f>
        <v>0</v>
      </c>
      <c r="R2535" s="1394">
        <f t="shared" si="703"/>
        <v>0</v>
      </c>
      <c r="S2535" s="1394">
        <f>IFERROR(VLOOKUP(M2535,#REF!,6,0),0)</f>
        <v>0</v>
      </c>
      <c r="T2535" s="1394">
        <f t="shared" si="707"/>
        <v>0</v>
      </c>
      <c r="U2535" s="1394">
        <f>IFERROR(VLOOKUP(M2535,#REF!,5,0),0)</f>
        <v>0</v>
      </c>
      <c r="V2535" s="1394">
        <f t="shared" si="708"/>
        <v>0</v>
      </c>
    </row>
    <row r="2536" spans="1:24" s="1394" customFormat="1" ht="30" customHeight="1">
      <c r="B2536" s="1421"/>
      <c r="C2536" s="1422"/>
      <c r="D2536" s="1389"/>
      <c r="E2536" s="1389"/>
      <c r="F2536" s="1423"/>
      <c r="G2536" s="1428" t="s">
        <v>11</v>
      </c>
      <c r="H2536" s="1429">
        <f>I2535</f>
        <v>270.3</v>
      </c>
      <c r="I2536" s="1427" t="s">
        <v>26</v>
      </c>
      <c r="M2536" s="1394" t="str">
        <f>A2523</f>
        <v>Finshing the top of Terrace floor with one course of solar reflective Ceramic tiles without base concrete</v>
      </c>
      <c r="N2536" s="1394" t="str">
        <f>B2523</f>
        <v>32.1.1</v>
      </c>
      <c r="O2536" s="1394">
        <f>H2536</f>
        <v>270.3</v>
      </c>
      <c r="P2536" s="1394" t="str">
        <f>I2536</f>
        <v>Sqm</v>
      </c>
      <c r="Q2536" s="1394">
        <f>IFERROR(VLOOKUP(M2536,#REF!,3,0),0)</f>
        <v>0</v>
      </c>
      <c r="R2536" s="1394">
        <f t="shared" si="703"/>
        <v>0</v>
      </c>
      <c r="S2536" s="1394">
        <f>IFERROR(VLOOKUP(M2536,#REF!,6,0),0)</f>
        <v>0</v>
      </c>
      <c r="T2536" s="1394">
        <f t="shared" si="707"/>
        <v>0</v>
      </c>
      <c r="U2536" s="1394">
        <f>IFERROR(VLOOKUP(M2536,#REF!,5,0),0)</f>
        <v>0</v>
      </c>
      <c r="V2536" s="1394">
        <f t="shared" si="708"/>
        <v>270.3</v>
      </c>
    </row>
    <row r="2537" spans="1:24" ht="65.25" customHeight="1">
      <c r="A2537" s="110" t="s">
        <v>396</v>
      </c>
      <c r="B2537" s="1513">
        <v>33</v>
      </c>
      <c r="C2537" s="1678" t="e">
        <f>VLOOKUP(A2537,#REF!,2,0)</f>
        <v>#REF!</v>
      </c>
      <c r="D2537" s="1678"/>
      <c r="E2537" s="1678"/>
      <c r="F2537" s="1678"/>
      <c r="G2537" s="1678"/>
      <c r="H2537" s="1678"/>
      <c r="I2537" s="1406"/>
      <c r="Q2537" s="1394">
        <f>IFERROR(VLOOKUP(M2537,#REF!,3,0),0)</f>
        <v>0</v>
      </c>
      <c r="R2537" s="1394">
        <f t="shared" si="703"/>
        <v>0</v>
      </c>
      <c r="S2537" s="1394">
        <f>IFERROR(VLOOKUP(M2537,#REF!,6,0),0)</f>
        <v>0</v>
      </c>
      <c r="T2537" s="1394">
        <f t="shared" si="707"/>
        <v>0</v>
      </c>
      <c r="U2537" s="1394">
        <f>IFERROR(VLOOKUP(M2537,#REF!,5,0),0)</f>
        <v>0</v>
      </c>
      <c r="V2537" s="1394">
        <f t="shared" si="708"/>
        <v>0</v>
      </c>
      <c r="W2537" s="1394"/>
      <c r="X2537" s="1397"/>
    </row>
    <row r="2538" spans="1:24" ht="30" customHeight="1">
      <c r="B2538" s="1513"/>
      <c r="C2538" s="1412" t="s">
        <v>397</v>
      </c>
      <c r="D2538" s="103"/>
      <c r="E2538" s="103"/>
      <c r="F2538" s="1413"/>
      <c r="G2538" s="1413"/>
      <c r="H2538" s="1414"/>
      <c r="I2538" s="1406"/>
      <c r="Q2538" s="1394">
        <f>IFERROR(VLOOKUP(M2538,#REF!,3,0),0)</f>
        <v>0</v>
      </c>
      <c r="R2538" s="1394">
        <f t="shared" si="703"/>
        <v>0</v>
      </c>
      <c r="S2538" s="1394">
        <f>IFERROR(VLOOKUP(M2538,#REF!,6,0),0)</f>
        <v>0</v>
      </c>
      <c r="T2538" s="1394">
        <f t="shared" si="707"/>
        <v>0</v>
      </c>
      <c r="U2538" s="1394">
        <f>IFERROR(VLOOKUP(M2538,#REF!,5,0),0)</f>
        <v>0</v>
      </c>
      <c r="V2538" s="1394">
        <f t="shared" si="708"/>
        <v>0</v>
      </c>
      <c r="W2538" s="1394"/>
    </row>
    <row r="2539" spans="1:24" ht="30" customHeight="1">
      <c r="B2539" s="1513"/>
      <c r="C2539" s="1412" t="s">
        <v>398</v>
      </c>
      <c r="D2539" s="103"/>
      <c r="E2539" s="103"/>
      <c r="F2539" s="1413"/>
      <c r="G2539" s="1413"/>
      <c r="H2539" s="1414"/>
      <c r="I2539" s="1406"/>
      <c r="Q2539" s="1394">
        <f>IFERROR(VLOOKUP(M2539,#REF!,3,0),0)</f>
        <v>0</v>
      </c>
      <c r="R2539" s="1394">
        <f t="shared" si="703"/>
        <v>0</v>
      </c>
      <c r="S2539" s="1394">
        <f>IFERROR(VLOOKUP(M2539,#REF!,6,0),0)</f>
        <v>0</v>
      </c>
      <c r="T2539" s="1394">
        <f t="shared" si="707"/>
        <v>0</v>
      </c>
      <c r="U2539" s="1394">
        <f>IFERROR(VLOOKUP(M2539,#REF!,5,0),0)</f>
        <v>0</v>
      </c>
      <c r="V2539" s="1394">
        <f t="shared" si="708"/>
        <v>0</v>
      </c>
      <c r="W2539" s="1394"/>
    </row>
    <row r="2540" spans="1:24" ht="30" customHeight="1">
      <c r="B2540" s="1513"/>
      <c r="C2540" s="1412" t="s">
        <v>399</v>
      </c>
      <c r="D2540" s="1478"/>
      <c r="E2540" s="1478"/>
      <c r="F2540" s="1483"/>
      <c r="G2540" s="1483"/>
      <c r="H2540" s="1478"/>
      <c r="I2540" s="1406"/>
      <c r="Q2540" s="1394">
        <f>IFERROR(VLOOKUP(M2540,#REF!,3,0),0)</f>
        <v>0</v>
      </c>
      <c r="R2540" s="1394">
        <f t="shared" si="703"/>
        <v>0</v>
      </c>
      <c r="S2540" s="1394">
        <f>IFERROR(VLOOKUP(M2540,#REF!,6,0),0)</f>
        <v>0</v>
      </c>
      <c r="T2540" s="1394">
        <f t="shared" si="707"/>
        <v>0</v>
      </c>
      <c r="U2540" s="1394">
        <f>IFERROR(VLOOKUP(M2540,#REF!,5,0),0)</f>
        <v>0</v>
      </c>
      <c r="V2540" s="1394">
        <f t="shared" si="708"/>
        <v>0</v>
      </c>
      <c r="W2540" s="1394"/>
    </row>
    <row r="2541" spans="1:24" ht="30" customHeight="1">
      <c r="B2541" s="1513"/>
      <c r="C2541" s="1412" t="s">
        <v>5506</v>
      </c>
      <c r="D2541" s="1478"/>
      <c r="E2541" s="1478"/>
      <c r="F2541" s="1483"/>
      <c r="G2541" s="1483"/>
      <c r="H2541" s="1478"/>
      <c r="I2541" s="1406"/>
      <c r="Q2541" s="1394">
        <f>IFERROR(VLOOKUP(M2541,#REF!,3,0),0)</f>
        <v>0</v>
      </c>
      <c r="R2541" s="1394">
        <f t="shared" si="703"/>
        <v>0</v>
      </c>
      <c r="S2541" s="1394">
        <f>IFERROR(VLOOKUP(M2541,#REF!,6,0),0)</f>
        <v>0</v>
      </c>
      <c r="T2541" s="1394">
        <f t="shared" si="707"/>
        <v>0</v>
      </c>
      <c r="U2541" s="1394">
        <f>IFERROR(VLOOKUP(M2541,#REF!,5,0),0)</f>
        <v>0</v>
      </c>
      <c r="V2541" s="1394">
        <f t="shared" si="708"/>
        <v>0</v>
      </c>
      <c r="W2541" s="1394"/>
    </row>
    <row r="2542" spans="1:24" ht="30" customHeight="1">
      <c r="A2542" s="1397"/>
      <c r="B2542" s="1513"/>
      <c r="C2542" s="1455" t="s">
        <v>5842</v>
      </c>
      <c r="D2542" s="103">
        <v>1</v>
      </c>
      <c r="E2542" s="103">
        <v>1</v>
      </c>
      <c r="F2542" s="1413">
        <f>(K2542+L2542)*2</f>
        <v>7.2</v>
      </c>
      <c r="G2542" s="1413"/>
      <c r="H2542" s="1414">
        <f>3.3-0.125</f>
        <v>3.1749999999999998</v>
      </c>
      <c r="I2542" s="1406">
        <f t="shared" ref="I2542:I2552" si="715">PRODUCT(D2542:H2542)</f>
        <v>22.86</v>
      </c>
      <c r="K2542" s="110">
        <v>1.5</v>
      </c>
      <c r="L2542" s="1397">
        <v>2.1</v>
      </c>
      <c r="Q2542" s="1394">
        <f>IFERROR(VLOOKUP(M2542,#REF!,3,0),0)</f>
        <v>0</v>
      </c>
      <c r="R2542" s="1394">
        <f t="shared" ref="R2542:R2605" si="716">ROUND(O2542,2)*ROUND(Q2542,2)</f>
        <v>0</v>
      </c>
      <c r="S2542" s="1394">
        <f>IFERROR(VLOOKUP(M2542,#REF!,6,0),0)</f>
        <v>0</v>
      </c>
      <c r="T2542" s="1394">
        <f t="shared" si="707"/>
        <v>0</v>
      </c>
      <c r="U2542" s="1394">
        <f>IFERROR(VLOOKUP(M2542,#REF!,5,0),0)</f>
        <v>0</v>
      </c>
      <c r="V2542" s="1394">
        <f t="shared" si="708"/>
        <v>0</v>
      </c>
      <c r="W2542" s="1394"/>
    </row>
    <row r="2543" spans="1:24" ht="30" customHeight="1">
      <c r="A2543" s="1397"/>
      <c r="B2543" s="1513"/>
      <c r="C2543" s="1455" t="s">
        <v>5843</v>
      </c>
      <c r="D2543" s="103">
        <v>-1</v>
      </c>
      <c r="E2543" s="103">
        <v>1</v>
      </c>
      <c r="F2543" s="1413">
        <v>1</v>
      </c>
      <c r="G2543" s="1413"/>
      <c r="H2543" s="1414">
        <v>2.1</v>
      </c>
      <c r="I2543" s="1406">
        <f t="shared" si="715"/>
        <v>-2.1</v>
      </c>
      <c r="L2543" s="1397"/>
      <c r="Q2543" s="1394">
        <f>IFERROR(VLOOKUP(M2543,#REF!,3,0),0)</f>
        <v>0</v>
      </c>
      <c r="R2543" s="1394">
        <f t="shared" si="716"/>
        <v>0</v>
      </c>
      <c r="S2543" s="1394">
        <f>IFERROR(VLOOKUP(M2543,#REF!,6,0),0)</f>
        <v>0</v>
      </c>
      <c r="T2543" s="1394">
        <f t="shared" si="707"/>
        <v>0</v>
      </c>
      <c r="U2543" s="1394">
        <f>IFERROR(VLOOKUP(M2543,#REF!,5,0),0)</f>
        <v>0</v>
      </c>
      <c r="V2543" s="1394">
        <f t="shared" si="708"/>
        <v>0</v>
      </c>
      <c r="W2543" s="1394"/>
    </row>
    <row r="2544" spans="1:24" ht="30" customHeight="1">
      <c r="A2544" s="1397"/>
      <c r="B2544" s="1513"/>
      <c r="C2544" s="1455" t="s">
        <v>400</v>
      </c>
      <c r="D2544" s="103">
        <v>1</v>
      </c>
      <c r="E2544" s="103">
        <v>1</v>
      </c>
      <c r="F2544" s="1413">
        <f>(K2544+L2544)*2</f>
        <v>5.7</v>
      </c>
      <c r="G2544" s="1413"/>
      <c r="H2544" s="1414">
        <f>3.3-0.125</f>
        <v>3.1749999999999998</v>
      </c>
      <c r="I2544" s="1406">
        <f t="shared" si="715"/>
        <v>18.0975</v>
      </c>
      <c r="K2544" s="110">
        <v>1.5</v>
      </c>
      <c r="L2544" s="1397">
        <v>1.35</v>
      </c>
      <c r="Q2544" s="1394">
        <f>IFERROR(VLOOKUP(M2544,#REF!,3,0),0)</f>
        <v>0</v>
      </c>
      <c r="R2544" s="1394">
        <f t="shared" si="716"/>
        <v>0</v>
      </c>
      <c r="S2544" s="1394">
        <f>IFERROR(VLOOKUP(M2544,#REF!,6,0),0)</f>
        <v>0</v>
      </c>
      <c r="T2544" s="1394">
        <f t="shared" si="707"/>
        <v>0</v>
      </c>
      <c r="U2544" s="1394">
        <f>IFERROR(VLOOKUP(M2544,#REF!,5,0),0)</f>
        <v>0</v>
      </c>
      <c r="V2544" s="1394">
        <f t="shared" si="708"/>
        <v>0</v>
      </c>
      <c r="W2544" s="1394"/>
    </row>
    <row r="2545" spans="1:23" ht="30" customHeight="1">
      <c r="A2545" s="1397"/>
      <c r="B2545" s="1513"/>
      <c r="C2545" s="1455" t="s">
        <v>5844</v>
      </c>
      <c r="D2545" s="103">
        <v>-1</v>
      </c>
      <c r="E2545" s="103">
        <v>1</v>
      </c>
      <c r="F2545" s="1413">
        <v>0.75</v>
      </c>
      <c r="G2545" s="1413"/>
      <c r="H2545" s="1414">
        <v>2.1</v>
      </c>
      <c r="I2545" s="1406">
        <f t="shared" si="715"/>
        <v>-1.5750000000000002</v>
      </c>
      <c r="L2545" s="1397"/>
      <c r="Q2545" s="1394">
        <f>IFERROR(VLOOKUP(M2545,#REF!,3,0),0)</f>
        <v>0</v>
      </c>
      <c r="R2545" s="1394">
        <f t="shared" si="716"/>
        <v>0</v>
      </c>
      <c r="S2545" s="1394">
        <f>IFERROR(VLOOKUP(M2545,#REF!,6,0),0)</f>
        <v>0</v>
      </c>
      <c r="T2545" s="1394">
        <f t="shared" si="707"/>
        <v>0</v>
      </c>
      <c r="U2545" s="1394">
        <f>IFERROR(VLOOKUP(M2545,#REF!,5,0),0)</f>
        <v>0</v>
      </c>
      <c r="V2545" s="1394">
        <f t="shared" si="708"/>
        <v>0</v>
      </c>
      <c r="W2545" s="1394"/>
    </row>
    <row r="2546" spans="1:23" ht="30" customHeight="1">
      <c r="A2546" s="1397"/>
      <c r="B2546" s="1513"/>
      <c r="C2546" s="1455" t="s">
        <v>5838</v>
      </c>
      <c r="D2546" s="103">
        <v>1</v>
      </c>
      <c r="E2546" s="103">
        <v>1</v>
      </c>
      <c r="F2546" s="1413">
        <f>(K2546+L2546)*2</f>
        <v>9.8719999999999999</v>
      </c>
      <c r="G2546" s="1413"/>
      <c r="H2546" s="1414">
        <f>3.3-0.125</f>
        <v>3.1749999999999998</v>
      </c>
      <c r="I2546" s="1406">
        <f t="shared" si="715"/>
        <v>31.343599999999999</v>
      </c>
      <c r="K2546" s="110">
        <v>1.28</v>
      </c>
      <c r="L2546" s="1397">
        <v>3.6560000000000001</v>
      </c>
      <c r="M2546" s="110"/>
      <c r="Q2546" s="1394">
        <f>IFERROR(VLOOKUP(M2546,#REF!,3,0),0)</f>
        <v>0</v>
      </c>
      <c r="R2546" s="1394">
        <f t="shared" si="716"/>
        <v>0</v>
      </c>
      <c r="S2546" s="1394">
        <f>IFERROR(VLOOKUP(M2546,#REF!,6,0),0)</f>
        <v>0</v>
      </c>
      <c r="T2546" s="1394">
        <f t="shared" si="707"/>
        <v>0</v>
      </c>
      <c r="U2546" s="1394">
        <f>IFERROR(VLOOKUP(M2546,#REF!,5,0),0)</f>
        <v>0</v>
      </c>
      <c r="V2546" s="1394">
        <f t="shared" si="708"/>
        <v>0</v>
      </c>
      <c r="W2546" s="1394"/>
    </row>
    <row r="2547" spans="1:23" ht="30" customHeight="1">
      <c r="A2547" s="1397"/>
      <c r="B2547" s="1513"/>
      <c r="C2547" s="1455" t="s">
        <v>5843</v>
      </c>
      <c r="D2547" s="103">
        <v>-1</v>
      </c>
      <c r="E2547" s="103">
        <v>1</v>
      </c>
      <c r="F2547" s="1413">
        <v>1</v>
      </c>
      <c r="G2547" s="1413"/>
      <c r="H2547" s="1414">
        <v>2.1</v>
      </c>
      <c r="I2547" s="1406">
        <f t="shared" si="715"/>
        <v>-2.1</v>
      </c>
      <c r="L2547" s="1397"/>
      <c r="M2547" s="110"/>
      <c r="Q2547" s="1394">
        <f>IFERROR(VLOOKUP(M2547,#REF!,3,0),0)</f>
        <v>0</v>
      </c>
      <c r="R2547" s="1394">
        <f t="shared" si="716"/>
        <v>0</v>
      </c>
      <c r="S2547" s="1394">
        <f>IFERROR(VLOOKUP(M2547,#REF!,6,0),0)</f>
        <v>0</v>
      </c>
      <c r="T2547" s="1394">
        <f t="shared" si="707"/>
        <v>0</v>
      </c>
      <c r="U2547" s="1394">
        <f>IFERROR(VLOOKUP(M2547,#REF!,5,0),0)</f>
        <v>0</v>
      </c>
      <c r="V2547" s="1394">
        <f t="shared" si="708"/>
        <v>0</v>
      </c>
      <c r="W2547" s="1394"/>
    </row>
    <row r="2548" spans="1:23" ht="30" customHeight="1">
      <c r="A2548" s="1397"/>
      <c r="B2548" s="1513"/>
      <c r="C2548" s="1455" t="s">
        <v>5844</v>
      </c>
      <c r="D2548" s="103">
        <v>-1</v>
      </c>
      <c r="E2548" s="103">
        <v>1</v>
      </c>
      <c r="F2548" s="1413">
        <v>0.75</v>
      </c>
      <c r="G2548" s="1413"/>
      <c r="H2548" s="1414">
        <v>2.1</v>
      </c>
      <c r="I2548" s="1406">
        <f t="shared" si="715"/>
        <v>-1.5750000000000002</v>
      </c>
      <c r="L2548" s="1397"/>
      <c r="M2548" s="110"/>
      <c r="Q2548" s="1394">
        <f>IFERROR(VLOOKUP(M2548,#REF!,3,0),0)</f>
        <v>0</v>
      </c>
      <c r="R2548" s="1394">
        <f t="shared" si="716"/>
        <v>0</v>
      </c>
      <c r="S2548" s="1394">
        <f>IFERROR(VLOOKUP(M2548,#REF!,6,0),0)</f>
        <v>0</v>
      </c>
      <c r="T2548" s="1394">
        <f t="shared" si="707"/>
        <v>0</v>
      </c>
      <c r="U2548" s="1394">
        <f>IFERROR(VLOOKUP(M2548,#REF!,5,0),0)</f>
        <v>0</v>
      </c>
      <c r="V2548" s="1394">
        <f t="shared" si="708"/>
        <v>0</v>
      </c>
      <c r="W2548" s="1394"/>
    </row>
    <row r="2549" spans="1:23" ht="30" customHeight="1">
      <c r="A2549" s="1397"/>
      <c r="B2549" s="1513"/>
      <c r="C2549" s="1455" t="s">
        <v>5845</v>
      </c>
      <c r="D2549" s="103">
        <v>-1</v>
      </c>
      <c r="E2549" s="103">
        <v>1</v>
      </c>
      <c r="F2549" s="1413">
        <v>1</v>
      </c>
      <c r="G2549" s="1413"/>
      <c r="H2549" s="1414">
        <v>2.1</v>
      </c>
      <c r="I2549" s="1406">
        <f t="shared" si="715"/>
        <v>-2.1</v>
      </c>
      <c r="L2549" s="1397"/>
      <c r="M2549" s="110"/>
      <c r="Q2549" s="1394">
        <f>IFERROR(VLOOKUP(M2549,#REF!,3,0),0)</f>
        <v>0</v>
      </c>
      <c r="R2549" s="1394">
        <f t="shared" si="716"/>
        <v>0</v>
      </c>
      <c r="S2549" s="1394">
        <f>IFERROR(VLOOKUP(M2549,#REF!,6,0),0)</f>
        <v>0</v>
      </c>
      <c r="T2549" s="1394">
        <f t="shared" si="707"/>
        <v>0</v>
      </c>
      <c r="U2549" s="1394">
        <f>IFERROR(VLOOKUP(M2549,#REF!,5,0),0)</f>
        <v>0</v>
      </c>
      <c r="V2549" s="1394">
        <f t="shared" si="708"/>
        <v>0</v>
      </c>
      <c r="W2549" s="1394"/>
    </row>
    <row r="2550" spans="1:23" ht="30" customHeight="1">
      <c r="A2550" s="1397"/>
      <c r="B2550" s="1513"/>
      <c r="C2550" s="1455" t="s">
        <v>5847</v>
      </c>
      <c r="D2550" s="103">
        <v>-1</v>
      </c>
      <c r="E2550" s="103">
        <v>1</v>
      </c>
      <c r="F2550" s="1413">
        <v>1.2</v>
      </c>
      <c r="G2550" s="1413"/>
      <c r="H2550" s="1414">
        <v>2.1</v>
      </c>
      <c r="I2550" s="1406">
        <f t="shared" si="715"/>
        <v>-2.52</v>
      </c>
      <c r="L2550" s="1397"/>
      <c r="M2550" s="110"/>
      <c r="Q2550" s="1394">
        <f>IFERROR(VLOOKUP(M2550,#REF!,3,0),0)</f>
        <v>0</v>
      </c>
      <c r="R2550" s="1394">
        <f t="shared" si="716"/>
        <v>0</v>
      </c>
      <c r="S2550" s="1394">
        <f>IFERROR(VLOOKUP(M2550,#REF!,6,0),0)</f>
        <v>0</v>
      </c>
      <c r="T2550" s="1394">
        <f t="shared" si="707"/>
        <v>0</v>
      </c>
      <c r="U2550" s="1394">
        <f>IFERROR(VLOOKUP(M2550,#REF!,5,0),0)</f>
        <v>0</v>
      </c>
      <c r="V2550" s="1394">
        <f t="shared" si="708"/>
        <v>0</v>
      </c>
      <c r="W2550" s="1394"/>
    </row>
    <row r="2551" spans="1:23" ht="30" customHeight="1">
      <c r="A2551" s="1397"/>
      <c r="B2551" s="1513"/>
      <c r="C2551" s="1455" t="s">
        <v>5846</v>
      </c>
      <c r="D2551" s="103">
        <v>1</v>
      </c>
      <c r="E2551" s="103">
        <v>1</v>
      </c>
      <c r="F2551" s="1413">
        <f>(K2551+L2551)*2</f>
        <v>9.6</v>
      </c>
      <c r="G2551" s="1413"/>
      <c r="H2551" s="1414">
        <f>13.65+1.2+1.8</f>
        <v>16.649999999999999</v>
      </c>
      <c r="I2551" s="1406">
        <f t="shared" si="715"/>
        <v>159.83999999999997</v>
      </c>
      <c r="K2551" s="110">
        <v>2.2999999999999998</v>
      </c>
      <c r="L2551" s="1397">
        <v>2.5</v>
      </c>
      <c r="M2551" s="110"/>
      <c r="Q2551" s="1394">
        <f>IFERROR(VLOOKUP(M2551,#REF!,3,0),0)</f>
        <v>0</v>
      </c>
      <c r="R2551" s="1394">
        <f t="shared" si="716"/>
        <v>0</v>
      </c>
      <c r="S2551" s="1394">
        <f>IFERROR(VLOOKUP(M2551,#REF!,6,0),0)</f>
        <v>0</v>
      </c>
      <c r="T2551" s="1394">
        <f t="shared" si="707"/>
        <v>0</v>
      </c>
      <c r="U2551" s="1394">
        <f>IFERROR(VLOOKUP(M2551,#REF!,5,0),0)</f>
        <v>0</v>
      </c>
      <c r="V2551" s="1394">
        <f t="shared" si="708"/>
        <v>0</v>
      </c>
      <c r="W2551" s="1394"/>
    </row>
    <row r="2552" spans="1:23" ht="30" customHeight="1">
      <c r="A2552" s="1397"/>
      <c r="B2552" s="1513"/>
      <c r="C2552" s="1455" t="s">
        <v>5797</v>
      </c>
      <c r="D2552" s="103">
        <v>1</v>
      </c>
      <c r="E2552" s="103">
        <v>1</v>
      </c>
      <c r="F2552" s="1413">
        <f>2.443+7.555+3.8+3.23+1.5+2.755</f>
        <v>21.282999999999998</v>
      </c>
      <c r="G2552" s="1413"/>
      <c r="H2552" s="1414">
        <v>3.18</v>
      </c>
      <c r="I2552" s="1406">
        <f t="shared" si="715"/>
        <v>67.679940000000002</v>
      </c>
      <c r="K2552" s="110">
        <v>2.2999999999999998</v>
      </c>
      <c r="L2552" s="1397">
        <v>2.5</v>
      </c>
      <c r="M2552" s="110"/>
      <c r="Q2552" s="1394">
        <f>IFERROR(VLOOKUP(M2552,#REF!,3,0),0)</f>
        <v>0</v>
      </c>
      <c r="R2552" s="1394">
        <f t="shared" si="716"/>
        <v>0</v>
      </c>
      <c r="S2552" s="1394">
        <f>IFERROR(VLOOKUP(M2552,#REF!,6,0),0)</f>
        <v>0</v>
      </c>
      <c r="T2552" s="1394">
        <f t="shared" si="707"/>
        <v>0</v>
      </c>
      <c r="U2552" s="1394">
        <f>IFERROR(VLOOKUP(M2552,#REF!,5,0),0)</f>
        <v>0</v>
      </c>
      <c r="V2552" s="1394">
        <f t="shared" si="708"/>
        <v>0</v>
      </c>
      <c r="W2552" s="1394"/>
    </row>
    <row r="2553" spans="1:23" ht="30" customHeight="1">
      <c r="A2553" s="1397"/>
      <c r="B2553" s="1513"/>
      <c r="C2553" s="1455" t="s">
        <v>5848</v>
      </c>
      <c r="D2553" s="103">
        <v>1</v>
      </c>
      <c r="E2553" s="103">
        <v>1</v>
      </c>
      <c r="F2553" s="1413">
        <f>3.895+2.77+4.287</f>
        <v>10.952</v>
      </c>
      <c r="G2553" s="1413"/>
      <c r="H2553" s="1414">
        <v>13.65</v>
      </c>
      <c r="I2553" s="1406">
        <f t="shared" ref="I2553:I2580" si="717">PRODUCT(D2553:H2553)</f>
        <v>149.4948</v>
      </c>
      <c r="L2553" s="1397"/>
      <c r="M2553" s="110"/>
      <c r="Q2553" s="1394">
        <f>IFERROR(VLOOKUP(M2553,#REF!,3,0),0)</f>
        <v>0</v>
      </c>
      <c r="R2553" s="1394">
        <f t="shared" si="716"/>
        <v>0</v>
      </c>
      <c r="S2553" s="1394">
        <f>IFERROR(VLOOKUP(M2553,#REF!,6,0),0)</f>
        <v>0</v>
      </c>
      <c r="T2553" s="1394">
        <f t="shared" si="707"/>
        <v>0</v>
      </c>
      <c r="U2553" s="1394">
        <f>IFERROR(VLOOKUP(M2553,#REF!,5,0),0)</f>
        <v>0</v>
      </c>
      <c r="V2553" s="1394">
        <f t="shared" si="708"/>
        <v>0</v>
      </c>
      <c r="W2553" s="1394"/>
    </row>
    <row r="2554" spans="1:23" ht="30" customHeight="1">
      <c r="A2554" s="1397"/>
      <c r="B2554" s="1513"/>
      <c r="C2554" s="1455" t="s">
        <v>5849</v>
      </c>
      <c r="D2554" s="103">
        <v>1</v>
      </c>
      <c r="E2554" s="103">
        <v>1</v>
      </c>
      <c r="F2554" s="1413">
        <f>42.799</f>
        <v>42.798999999999999</v>
      </c>
      <c r="G2554" s="1413"/>
      <c r="H2554" s="1414">
        <v>3.18</v>
      </c>
      <c r="I2554" s="1406">
        <f t="shared" si="717"/>
        <v>136.10082</v>
      </c>
      <c r="L2554" s="1397"/>
      <c r="M2554" s="110"/>
      <c r="Q2554" s="1394">
        <f>IFERROR(VLOOKUP(M2554,#REF!,3,0),0)</f>
        <v>0</v>
      </c>
      <c r="R2554" s="1394">
        <f t="shared" si="716"/>
        <v>0</v>
      </c>
      <c r="S2554" s="1394">
        <f>IFERROR(VLOOKUP(M2554,#REF!,6,0),0)</f>
        <v>0</v>
      </c>
      <c r="T2554" s="1394">
        <f t="shared" si="707"/>
        <v>0</v>
      </c>
      <c r="U2554" s="1394">
        <f>IFERROR(VLOOKUP(M2554,#REF!,5,0),0)</f>
        <v>0</v>
      </c>
      <c r="V2554" s="1394">
        <f t="shared" si="708"/>
        <v>0</v>
      </c>
      <c r="W2554" s="1394"/>
    </row>
    <row r="2555" spans="1:23" ht="30" customHeight="1">
      <c r="A2555" s="1397"/>
      <c r="B2555" s="1513"/>
      <c r="C2555" s="1412" t="s">
        <v>5853</v>
      </c>
      <c r="D2555" s="103"/>
      <c r="E2555" s="103"/>
      <c r="F2555" s="1413"/>
      <c r="G2555" s="1413"/>
      <c r="H2555" s="1414"/>
      <c r="I2555" s="1406">
        <f t="shared" si="717"/>
        <v>0</v>
      </c>
      <c r="L2555" s="1397"/>
      <c r="M2555" s="110"/>
      <c r="Q2555" s="1394">
        <f>IFERROR(VLOOKUP(M2555,#REF!,3,0),0)</f>
        <v>0</v>
      </c>
      <c r="R2555" s="1394">
        <f t="shared" si="716"/>
        <v>0</v>
      </c>
      <c r="S2555" s="1394">
        <f>IFERROR(VLOOKUP(M2555,#REF!,6,0),0)</f>
        <v>0</v>
      </c>
      <c r="T2555" s="1394">
        <f t="shared" si="707"/>
        <v>0</v>
      </c>
      <c r="U2555" s="1394">
        <f>IFERROR(VLOOKUP(M2555,#REF!,5,0),0)</f>
        <v>0</v>
      </c>
      <c r="V2555" s="1394">
        <f t="shared" si="708"/>
        <v>0</v>
      </c>
      <c r="W2555" s="1394"/>
    </row>
    <row r="2556" spans="1:23" ht="30" customHeight="1">
      <c r="A2556" s="1397"/>
      <c r="B2556" s="1513"/>
      <c r="C2556" s="1455" t="s">
        <v>189</v>
      </c>
      <c r="D2556" s="103">
        <v>-2</v>
      </c>
      <c r="E2556" s="103">
        <f>VLOOKUP(C2556,Sheet1!$I$7:$R$41,4,0)</f>
        <v>1</v>
      </c>
      <c r="F2556" s="1413">
        <f>VLOOKUP(C2556,Sheet1!$I$7:$R$41,2,0)</f>
        <v>1.8</v>
      </c>
      <c r="G2556" s="1413"/>
      <c r="H2556" s="1414">
        <f>VLOOKUP(C2556,Sheet1!$I$7:$R$41,3,0)</f>
        <v>2.4</v>
      </c>
      <c r="I2556" s="1406">
        <f>PRODUCT(D2556:H2556)</f>
        <v>-8.64</v>
      </c>
      <c r="L2556" s="1397"/>
      <c r="M2556" s="110"/>
      <c r="Q2556" s="1394">
        <f>IFERROR(VLOOKUP(M2556,#REF!,3,0),0)</f>
        <v>0</v>
      </c>
      <c r="R2556" s="1394">
        <f t="shared" si="716"/>
        <v>0</v>
      </c>
      <c r="S2556" s="1394">
        <f>IFERROR(VLOOKUP(M2556,#REF!,6,0),0)</f>
        <v>0</v>
      </c>
      <c r="T2556" s="1394">
        <f t="shared" si="707"/>
        <v>0</v>
      </c>
      <c r="U2556" s="1394">
        <f>IFERROR(VLOOKUP(M2556,#REF!,5,0),0)</f>
        <v>0</v>
      </c>
      <c r="V2556" s="1394">
        <f t="shared" si="708"/>
        <v>0</v>
      </c>
      <c r="W2556" s="1394"/>
    </row>
    <row r="2557" spans="1:23" ht="30" customHeight="1">
      <c r="A2557" s="1397"/>
      <c r="B2557" s="1513"/>
      <c r="C2557" s="1455" t="s">
        <v>5507</v>
      </c>
      <c r="D2557" s="103">
        <v>-2</v>
      </c>
      <c r="E2557" s="103">
        <f>VLOOKUP(C2557,Sheet1!$I$7:$R$41,4,0)</f>
        <v>1</v>
      </c>
      <c r="F2557" s="1413">
        <f>VLOOKUP(C2557,Sheet1!$I$7:$R$41,2,0)</f>
        <v>1.8</v>
      </c>
      <c r="G2557" s="1413"/>
      <c r="H2557" s="1414">
        <f>VLOOKUP(C2557,Sheet1!$I$7:$R$41,3,0)</f>
        <v>2.1</v>
      </c>
      <c r="I2557" s="1406">
        <f t="shared" ref="I2557:I2566" si="718">PRODUCT(D2557:H2557)</f>
        <v>-7.5600000000000005</v>
      </c>
      <c r="L2557" s="1397"/>
      <c r="M2557" s="110"/>
      <c r="Q2557" s="1394">
        <f>IFERROR(VLOOKUP(M2557,#REF!,3,0),0)</f>
        <v>0</v>
      </c>
      <c r="R2557" s="1394">
        <f t="shared" si="716"/>
        <v>0</v>
      </c>
      <c r="S2557" s="1394">
        <f>IFERROR(VLOOKUP(M2557,#REF!,6,0),0)</f>
        <v>0</v>
      </c>
      <c r="T2557" s="1394">
        <f t="shared" si="707"/>
        <v>0</v>
      </c>
      <c r="U2557" s="1394">
        <f>IFERROR(VLOOKUP(M2557,#REF!,5,0),0)</f>
        <v>0</v>
      </c>
      <c r="V2557" s="1394">
        <f t="shared" si="708"/>
        <v>0</v>
      </c>
      <c r="W2557" s="1394"/>
    </row>
    <row r="2558" spans="1:23" ht="30" customHeight="1">
      <c r="A2558" s="1397"/>
      <c r="B2558" s="1513"/>
      <c r="C2558" s="1455" t="s">
        <v>256</v>
      </c>
      <c r="D2558" s="103">
        <v>-2</v>
      </c>
      <c r="E2558" s="103">
        <f>VLOOKUP(C2558,Sheet1!$I$7:$R$41,4,0)</f>
        <v>1</v>
      </c>
      <c r="F2558" s="1413">
        <f>VLOOKUP(C2558,Sheet1!$I$7:$R$41,2,0)</f>
        <v>1.2</v>
      </c>
      <c r="G2558" s="1413"/>
      <c r="H2558" s="1414">
        <f>VLOOKUP(C2558,Sheet1!$I$7:$R$41,3,0)</f>
        <v>2.1</v>
      </c>
      <c r="I2558" s="1406">
        <f t="shared" si="718"/>
        <v>-5.04</v>
      </c>
      <c r="L2558" s="1397"/>
      <c r="M2558" s="110"/>
      <c r="Q2558" s="1394">
        <f>IFERROR(VLOOKUP(M2558,#REF!,3,0),0)</f>
        <v>0</v>
      </c>
      <c r="R2558" s="1394">
        <f t="shared" si="716"/>
        <v>0</v>
      </c>
      <c r="S2558" s="1394">
        <f>IFERROR(VLOOKUP(M2558,#REF!,6,0),0)</f>
        <v>0</v>
      </c>
      <c r="T2558" s="1394">
        <f t="shared" si="707"/>
        <v>0</v>
      </c>
      <c r="U2558" s="1394">
        <f>IFERROR(VLOOKUP(M2558,#REF!,5,0),0)</f>
        <v>0</v>
      </c>
      <c r="V2558" s="1394">
        <f t="shared" si="708"/>
        <v>0</v>
      </c>
      <c r="W2558" s="1394"/>
    </row>
    <row r="2559" spans="1:23" ht="30" customHeight="1">
      <c r="A2559" s="1397"/>
      <c r="B2559" s="1513"/>
      <c r="C2559" s="1455" t="s">
        <v>5519</v>
      </c>
      <c r="D2559" s="103">
        <v>-2</v>
      </c>
      <c r="E2559" s="103">
        <f>VLOOKUP(C2559,Sheet1!$I$7:$R$41,4,0)</f>
        <v>1</v>
      </c>
      <c r="F2559" s="1413">
        <f>VLOOKUP(C2559,Sheet1!$I$7:$R$41,2,0)</f>
        <v>1</v>
      </c>
      <c r="G2559" s="1413"/>
      <c r="H2559" s="1414">
        <f>VLOOKUP(C2559,Sheet1!$I$7:$R$41,3,0)</f>
        <v>2.1</v>
      </c>
      <c r="I2559" s="1406">
        <f t="shared" si="718"/>
        <v>-4.2</v>
      </c>
      <c r="L2559" s="1397"/>
      <c r="M2559" s="110"/>
      <c r="Q2559" s="1394">
        <f>IFERROR(VLOOKUP(M2559,#REF!,3,0),0)</f>
        <v>0</v>
      </c>
      <c r="R2559" s="1394">
        <f t="shared" si="716"/>
        <v>0</v>
      </c>
      <c r="S2559" s="1394">
        <f>IFERROR(VLOOKUP(M2559,#REF!,6,0),0)</f>
        <v>0</v>
      </c>
      <c r="T2559" s="1394">
        <f t="shared" si="707"/>
        <v>0</v>
      </c>
      <c r="U2559" s="1394">
        <f>IFERROR(VLOOKUP(M2559,#REF!,5,0),0)</f>
        <v>0</v>
      </c>
      <c r="V2559" s="1394">
        <f t="shared" si="708"/>
        <v>0</v>
      </c>
      <c r="W2559" s="1394"/>
    </row>
    <row r="2560" spans="1:23" ht="30" customHeight="1">
      <c r="A2560" s="1397"/>
      <c r="B2560" s="1513"/>
      <c r="C2560" s="1455" t="s">
        <v>188</v>
      </c>
      <c r="D2560" s="103">
        <v>-2</v>
      </c>
      <c r="E2560" s="103">
        <f>VLOOKUP(C2560,Sheet1!$I$7:$R$41,4,0)</f>
        <v>1</v>
      </c>
      <c r="F2560" s="1413">
        <f>VLOOKUP(C2560,Sheet1!$I$7:$R$41,2,0)</f>
        <v>0.75</v>
      </c>
      <c r="G2560" s="1413"/>
      <c r="H2560" s="1414">
        <f>VLOOKUP(C2560,Sheet1!$I$7:$R$41,3,0)</f>
        <v>2.1</v>
      </c>
      <c r="I2560" s="1406">
        <f t="shared" si="718"/>
        <v>-3.1500000000000004</v>
      </c>
      <c r="L2560" s="1397"/>
      <c r="M2560" s="110"/>
      <c r="Q2560" s="1394">
        <f>IFERROR(VLOOKUP(M2560,#REF!,3,0),0)</f>
        <v>0</v>
      </c>
      <c r="R2560" s="1394">
        <f t="shared" si="716"/>
        <v>0</v>
      </c>
      <c r="S2560" s="1394">
        <f>IFERROR(VLOOKUP(M2560,#REF!,6,0),0)</f>
        <v>0</v>
      </c>
      <c r="T2560" s="1394">
        <f t="shared" si="707"/>
        <v>0</v>
      </c>
      <c r="U2560" s="1394">
        <f>IFERROR(VLOOKUP(M2560,#REF!,5,0),0)</f>
        <v>0</v>
      </c>
      <c r="V2560" s="1394">
        <f t="shared" si="708"/>
        <v>0</v>
      </c>
      <c r="W2560" s="1394"/>
    </row>
    <row r="2561" spans="1:23" ht="30" customHeight="1">
      <c r="A2561" s="1397"/>
      <c r="B2561" s="1513"/>
      <c r="C2561" s="1455" t="s">
        <v>5516</v>
      </c>
      <c r="D2561" s="103">
        <v>-2</v>
      </c>
      <c r="E2561" s="103">
        <f>VLOOKUP(C2561,Sheet1!$I$7:$R$41,4,0)</f>
        <v>1</v>
      </c>
      <c r="F2561" s="1413">
        <f>VLOOKUP(C2561,Sheet1!$I$7:$R$41,2,0)</f>
        <v>1.8</v>
      </c>
      <c r="G2561" s="1413"/>
      <c r="H2561" s="1414">
        <f>VLOOKUP(C2561,Sheet1!$I$7:$R$41,3,0)</f>
        <v>1.8</v>
      </c>
      <c r="I2561" s="1406">
        <f t="shared" si="718"/>
        <v>-6.48</v>
      </c>
      <c r="L2561" s="1397"/>
      <c r="M2561" s="110"/>
      <c r="Q2561" s="1394">
        <f>IFERROR(VLOOKUP(M2561,#REF!,3,0),0)</f>
        <v>0</v>
      </c>
      <c r="R2561" s="1394">
        <f t="shared" si="716"/>
        <v>0</v>
      </c>
      <c r="S2561" s="1394">
        <f>IFERROR(VLOOKUP(M2561,#REF!,6,0),0)</f>
        <v>0</v>
      </c>
      <c r="T2561" s="1394">
        <f t="shared" si="707"/>
        <v>0</v>
      </c>
      <c r="U2561" s="1394">
        <f>IFERROR(VLOOKUP(M2561,#REF!,5,0),0)</f>
        <v>0</v>
      </c>
      <c r="V2561" s="1394">
        <f t="shared" si="708"/>
        <v>0</v>
      </c>
      <c r="W2561" s="1394"/>
    </row>
    <row r="2562" spans="1:23" ht="30" customHeight="1">
      <c r="A2562" s="1397"/>
      <c r="B2562" s="1513"/>
      <c r="C2562" s="1455" t="s">
        <v>5511</v>
      </c>
      <c r="D2562" s="103">
        <v>-2</v>
      </c>
      <c r="E2562" s="103">
        <f>VLOOKUP(C2562,Sheet1!$I$7:$R$41,4,0)</f>
        <v>2</v>
      </c>
      <c r="F2562" s="1413">
        <f>VLOOKUP(C2562,Sheet1!$I$7:$R$41,2,0)</f>
        <v>1.8</v>
      </c>
      <c r="G2562" s="1413"/>
      <c r="H2562" s="1414">
        <f>VLOOKUP(C2562,Sheet1!$I$7:$R$41,3,0)</f>
        <v>1.8</v>
      </c>
      <c r="I2562" s="1406">
        <f t="shared" si="718"/>
        <v>-12.96</v>
      </c>
      <c r="L2562" s="1397"/>
      <c r="M2562" s="110"/>
      <c r="Q2562" s="1394">
        <f>IFERROR(VLOOKUP(M2562,#REF!,3,0),0)</f>
        <v>0</v>
      </c>
      <c r="R2562" s="1394">
        <f t="shared" si="716"/>
        <v>0</v>
      </c>
      <c r="S2562" s="1394">
        <f>IFERROR(VLOOKUP(M2562,#REF!,6,0),0)</f>
        <v>0</v>
      </c>
      <c r="T2562" s="1394">
        <f t="shared" si="707"/>
        <v>0</v>
      </c>
      <c r="U2562" s="1394">
        <f>IFERROR(VLOOKUP(M2562,#REF!,5,0),0)</f>
        <v>0</v>
      </c>
      <c r="V2562" s="1394">
        <f t="shared" si="708"/>
        <v>0</v>
      </c>
      <c r="W2562" s="1394"/>
    </row>
    <row r="2563" spans="1:23" ht="30" customHeight="1">
      <c r="A2563" s="1397"/>
      <c r="B2563" s="1513"/>
      <c r="C2563" s="1455" t="s">
        <v>5512</v>
      </c>
      <c r="D2563" s="103">
        <v>-2</v>
      </c>
      <c r="E2563" s="103">
        <f>VLOOKUP(C2563,Sheet1!$I$7:$R$41,4,0)</f>
        <v>1</v>
      </c>
      <c r="F2563" s="1413">
        <f>VLOOKUP(C2563,Sheet1!$I$7:$R$41,2,0)</f>
        <v>1.5</v>
      </c>
      <c r="G2563" s="1413"/>
      <c r="H2563" s="1414">
        <f>VLOOKUP(C2563,Sheet1!$I$7:$R$41,3,0)</f>
        <v>1.8</v>
      </c>
      <c r="I2563" s="1406">
        <f t="shared" si="718"/>
        <v>-5.4</v>
      </c>
      <c r="L2563" s="1397"/>
      <c r="M2563" s="110"/>
      <c r="Q2563" s="1394">
        <f>IFERROR(VLOOKUP(M2563,#REF!,3,0),0)</f>
        <v>0</v>
      </c>
      <c r="R2563" s="1394">
        <f t="shared" si="716"/>
        <v>0</v>
      </c>
      <c r="S2563" s="1394">
        <f>IFERROR(VLOOKUP(M2563,#REF!,6,0),0)</f>
        <v>0</v>
      </c>
      <c r="T2563" s="1394">
        <f t="shared" si="707"/>
        <v>0</v>
      </c>
      <c r="U2563" s="1394">
        <f>IFERROR(VLOOKUP(M2563,#REF!,5,0),0)</f>
        <v>0</v>
      </c>
      <c r="V2563" s="1394">
        <f t="shared" si="708"/>
        <v>0</v>
      </c>
      <c r="W2563" s="1394"/>
    </row>
    <row r="2564" spans="1:23" ht="30" customHeight="1">
      <c r="A2564" s="1397"/>
      <c r="B2564" s="1513"/>
      <c r="C2564" s="1455" t="s">
        <v>5515</v>
      </c>
      <c r="D2564" s="103">
        <v>-2</v>
      </c>
      <c r="E2564" s="103">
        <f>VLOOKUP(C2564,Sheet1!$I$7:$R$41,4,0)</f>
        <v>1</v>
      </c>
      <c r="F2564" s="1413">
        <f>VLOOKUP(C2564,Sheet1!$I$7:$R$41,2,0)</f>
        <v>1.5</v>
      </c>
      <c r="G2564" s="1413"/>
      <c r="H2564" s="1414">
        <f>VLOOKUP(C2564,Sheet1!$I$7:$R$41,3,0)</f>
        <v>1.35</v>
      </c>
      <c r="I2564" s="1406">
        <f t="shared" si="718"/>
        <v>-4.0500000000000007</v>
      </c>
      <c r="L2564" s="1397"/>
      <c r="M2564" s="110"/>
      <c r="Q2564" s="1394">
        <f>IFERROR(VLOOKUP(M2564,#REF!,3,0),0)</f>
        <v>0</v>
      </c>
      <c r="R2564" s="1394">
        <f t="shared" si="716"/>
        <v>0</v>
      </c>
      <c r="S2564" s="1394">
        <f>IFERROR(VLOOKUP(M2564,#REF!,6,0),0)</f>
        <v>0</v>
      </c>
      <c r="T2564" s="1394">
        <f t="shared" si="707"/>
        <v>0</v>
      </c>
      <c r="U2564" s="1394">
        <f>IFERROR(VLOOKUP(M2564,#REF!,5,0),0)</f>
        <v>0</v>
      </c>
      <c r="V2564" s="1394">
        <f t="shared" si="708"/>
        <v>0</v>
      </c>
      <c r="W2564" s="1394"/>
    </row>
    <row r="2565" spans="1:23" ht="30" customHeight="1">
      <c r="A2565" s="1397"/>
      <c r="B2565" s="1513"/>
      <c r="C2565" s="1455" t="s">
        <v>251</v>
      </c>
      <c r="D2565" s="103">
        <v>-2</v>
      </c>
      <c r="E2565" s="103">
        <f>VLOOKUP(C2565,Sheet1!$I$7:$R$41,4,0)</f>
        <v>1</v>
      </c>
      <c r="F2565" s="1413">
        <f>VLOOKUP(C2565,Sheet1!$I$7:$R$41,2,0)</f>
        <v>1</v>
      </c>
      <c r="G2565" s="1413"/>
      <c r="H2565" s="1414">
        <f>VLOOKUP(C2565,Sheet1!$I$7:$R$41,3,0)</f>
        <v>1.35</v>
      </c>
      <c r="I2565" s="1406">
        <f t="shared" si="718"/>
        <v>-2.7</v>
      </c>
      <c r="L2565" s="1397"/>
      <c r="M2565" s="110"/>
      <c r="Q2565" s="1394">
        <f>IFERROR(VLOOKUP(M2565,#REF!,3,0),0)</f>
        <v>0</v>
      </c>
      <c r="R2565" s="1394">
        <f t="shared" si="716"/>
        <v>0</v>
      </c>
      <c r="S2565" s="1394">
        <f>IFERROR(VLOOKUP(M2565,#REF!,6,0),0)</f>
        <v>0</v>
      </c>
      <c r="T2565" s="1394">
        <f t="shared" si="707"/>
        <v>0</v>
      </c>
      <c r="U2565" s="1394">
        <f>IFERROR(VLOOKUP(M2565,#REF!,5,0),0)</f>
        <v>0</v>
      </c>
      <c r="V2565" s="1394">
        <f t="shared" si="708"/>
        <v>0</v>
      </c>
      <c r="W2565" s="1394"/>
    </row>
    <row r="2566" spans="1:23" ht="30" customHeight="1">
      <c r="A2566" s="1397"/>
      <c r="B2566" s="1513"/>
      <c r="C2566" s="1455" t="s">
        <v>257</v>
      </c>
      <c r="D2566" s="103">
        <v>-2</v>
      </c>
      <c r="E2566" s="103">
        <f>VLOOKUP(C2566,Sheet1!$I$7:$R$41,4,0)</f>
        <v>3</v>
      </c>
      <c r="F2566" s="1413">
        <f>VLOOKUP(C2566,Sheet1!$I$7:$R$41,2,0)</f>
        <v>0.9</v>
      </c>
      <c r="G2566" s="1413"/>
      <c r="H2566" s="1414">
        <f>VLOOKUP(C2566,Sheet1!$I$7:$R$41,3,0)</f>
        <v>0.75</v>
      </c>
      <c r="I2566" s="1406">
        <f t="shared" si="718"/>
        <v>-4.0500000000000007</v>
      </c>
      <c r="L2566" s="1397"/>
      <c r="M2566" s="110"/>
      <c r="Q2566" s="1394">
        <f>IFERROR(VLOOKUP(M2566,#REF!,3,0),0)</f>
        <v>0</v>
      </c>
      <c r="R2566" s="1394">
        <f t="shared" si="716"/>
        <v>0</v>
      </c>
      <c r="S2566" s="1394">
        <f>IFERROR(VLOOKUP(M2566,#REF!,6,0),0)</f>
        <v>0</v>
      </c>
      <c r="T2566" s="1394">
        <f t="shared" si="707"/>
        <v>0</v>
      </c>
      <c r="U2566" s="1394">
        <f>IFERROR(VLOOKUP(M2566,#REF!,5,0),0)</f>
        <v>0</v>
      </c>
      <c r="V2566" s="1394">
        <f t="shared" si="708"/>
        <v>0</v>
      </c>
      <c r="W2566" s="1394"/>
    </row>
    <row r="2567" spans="1:23" ht="30" customHeight="1">
      <c r="A2567" s="1397"/>
      <c r="B2567" s="1513"/>
      <c r="C2567" s="1412" t="s">
        <v>259</v>
      </c>
      <c r="D2567" s="103"/>
      <c r="E2567" s="103"/>
      <c r="F2567" s="1413"/>
      <c r="G2567" s="1413"/>
      <c r="H2567" s="1414"/>
      <c r="I2567" s="1406">
        <f t="shared" si="717"/>
        <v>0</v>
      </c>
      <c r="L2567" s="1397"/>
      <c r="M2567" s="110"/>
      <c r="Q2567" s="1394">
        <f>IFERROR(VLOOKUP(M2567,#REF!,3,0),0)</f>
        <v>0</v>
      </c>
      <c r="R2567" s="1394">
        <f t="shared" si="716"/>
        <v>0</v>
      </c>
      <c r="S2567" s="1394">
        <f>IFERROR(VLOOKUP(M2567,#REF!,6,0),0)</f>
        <v>0</v>
      </c>
      <c r="T2567" s="1394">
        <f t="shared" si="707"/>
        <v>0</v>
      </c>
      <c r="U2567" s="1394">
        <f>IFERROR(VLOOKUP(M2567,#REF!,5,0),0)</f>
        <v>0</v>
      </c>
      <c r="V2567" s="1394">
        <f t="shared" si="708"/>
        <v>0</v>
      </c>
      <c r="W2567" s="1394"/>
    </row>
    <row r="2568" spans="1:23" ht="30" customHeight="1">
      <c r="A2568" s="1397"/>
      <c r="B2568" s="1513"/>
      <c r="C2568" s="1514" t="str">
        <f t="shared" ref="C2568:E2569" si="719">C2184</f>
        <v>Staircase Lift / lobby</v>
      </c>
      <c r="D2568" s="103">
        <f t="shared" si="719"/>
        <v>1</v>
      </c>
      <c r="E2568" s="103">
        <f t="shared" si="719"/>
        <v>1</v>
      </c>
      <c r="F2568" s="1413">
        <f>(K2568+L2568)*2</f>
        <v>13.536000000000001</v>
      </c>
      <c r="G2568" s="1413"/>
      <c r="H2568" s="1414">
        <f>3.18</f>
        <v>3.18</v>
      </c>
      <c r="I2568" s="1406">
        <f t="shared" si="717"/>
        <v>43.044480000000007</v>
      </c>
      <c r="K2568" s="1413">
        <f>F2184</f>
        <v>4.3250000000000002</v>
      </c>
      <c r="L2568" s="1414">
        <f>G2184</f>
        <v>2.4430000000000001</v>
      </c>
      <c r="M2568" s="110"/>
      <c r="Q2568" s="1394">
        <f>IFERROR(VLOOKUP(M2568,#REF!,3,0),0)</f>
        <v>0</v>
      </c>
      <c r="R2568" s="1394">
        <f t="shared" si="716"/>
        <v>0</v>
      </c>
      <c r="S2568" s="1394">
        <f>IFERROR(VLOOKUP(M2568,#REF!,6,0),0)</f>
        <v>0</v>
      </c>
      <c r="T2568" s="1394">
        <f t="shared" si="707"/>
        <v>0</v>
      </c>
      <c r="U2568" s="1394">
        <f>IFERROR(VLOOKUP(M2568,#REF!,5,0),0)</f>
        <v>0</v>
      </c>
      <c r="V2568" s="1394">
        <f t="shared" si="708"/>
        <v>0</v>
      </c>
      <c r="W2568" s="1394"/>
    </row>
    <row r="2569" spans="1:23" ht="30" customHeight="1">
      <c r="A2569" s="1397"/>
      <c r="B2569" s="1513"/>
      <c r="C2569" s="1514" t="str">
        <f t="shared" si="719"/>
        <v>Staircase Lift / lobby</v>
      </c>
      <c r="D2569" s="103">
        <f t="shared" si="719"/>
        <v>1</v>
      </c>
      <c r="E2569" s="103">
        <f t="shared" si="719"/>
        <v>1</v>
      </c>
      <c r="F2569" s="1413">
        <f t="shared" ref="F2569:F2583" si="720">(K2569+L2569)*2</f>
        <v>10.624000000000001</v>
      </c>
      <c r="G2569" s="1413"/>
      <c r="H2569" s="1414">
        <f>H2568</f>
        <v>3.18</v>
      </c>
      <c r="I2569" s="1406">
        <f t="shared" si="717"/>
        <v>33.784320000000001</v>
      </c>
      <c r="K2569" s="1413">
        <f>F2185</f>
        <v>2.4550000000000001</v>
      </c>
      <c r="L2569" s="1414">
        <f>G2185</f>
        <v>2.8570000000000002</v>
      </c>
      <c r="M2569" s="110"/>
      <c r="Q2569" s="1394">
        <f>IFERROR(VLOOKUP(M2569,#REF!,3,0),0)</f>
        <v>0</v>
      </c>
      <c r="R2569" s="1394">
        <f t="shared" si="716"/>
        <v>0</v>
      </c>
      <c r="S2569" s="1394">
        <f>IFERROR(VLOOKUP(M2569,#REF!,6,0),0)</f>
        <v>0</v>
      </c>
      <c r="T2569" s="1394">
        <f t="shared" si="707"/>
        <v>0</v>
      </c>
      <c r="U2569" s="1394">
        <f>IFERROR(VLOOKUP(M2569,#REF!,5,0),0)</f>
        <v>0</v>
      </c>
      <c r="V2569" s="1394">
        <f t="shared" si="708"/>
        <v>0</v>
      </c>
      <c r="W2569" s="1394"/>
    </row>
    <row r="2570" spans="1:23" ht="30" customHeight="1">
      <c r="A2570" s="1397"/>
      <c r="B2570" s="1513"/>
      <c r="C2570" s="1514" t="str">
        <f t="shared" ref="C2570:E2574" si="721">C2204</f>
        <v>SI Room</v>
      </c>
      <c r="D2570" s="103">
        <f t="shared" si="721"/>
        <v>1</v>
      </c>
      <c r="E2570" s="103">
        <f t="shared" si="721"/>
        <v>1</v>
      </c>
      <c r="F2570" s="1413">
        <f t="shared" si="720"/>
        <v>18.2</v>
      </c>
      <c r="G2570" s="1413"/>
      <c r="H2570" s="1414">
        <f t="shared" ref="H2570:H2583" si="722">H2569</f>
        <v>3.18</v>
      </c>
      <c r="I2570" s="1406">
        <f t="shared" si="717"/>
        <v>57.875999999999998</v>
      </c>
      <c r="K2570" s="1413">
        <f t="shared" ref="K2570:L2574" si="723">F2204</f>
        <v>4</v>
      </c>
      <c r="L2570" s="1414">
        <f t="shared" si="723"/>
        <v>5.0999999999999996</v>
      </c>
      <c r="M2570" s="110"/>
      <c r="Q2570" s="1394">
        <f>IFERROR(VLOOKUP(M2570,#REF!,3,0),0)</f>
        <v>0</v>
      </c>
      <c r="R2570" s="1394">
        <f t="shared" si="716"/>
        <v>0</v>
      </c>
      <c r="S2570" s="1394">
        <f>IFERROR(VLOOKUP(M2570,#REF!,6,0),0)</f>
        <v>0</v>
      </c>
      <c r="T2570" s="1394">
        <f t="shared" si="707"/>
        <v>0</v>
      </c>
      <c r="U2570" s="1394">
        <f>IFERROR(VLOOKUP(M2570,#REF!,5,0),0)</f>
        <v>0</v>
      </c>
      <c r="V2570" s="1394">
        <f t="shared" si="708"/>
        <v>0</v>
      </c>
      <c r="W2570" s="1394"/>
    </row>
    <row r="2571" spans="1:23" ht="30" customHeight="1">
      <c r="A2571" s="1397"/>
      <c r="B2571" s="1513"/>
      <c r="C2571" s="1514" t="str">
        <f t="shared" si="721"/>
        <v>SI Room Lobby</v>
      </c>
      <c r="D2571" s="103">
        <f t="shared" si="721"/>
        <v>1</v>
      </c>
      <c r="E2571" s="103">
        <f t="shared" si="721"/>
        <v>1</v>
      </c>
      <c r="F2571" s="1413">
        <f t="shared" si="720"/>
        <v>5.92</v>
      </c>
      <c r="G2571" s="1413"/>
      <c r="H2571" s="1414">
        <f t="shared" si="722"/>
        <v>3.18</v>
      </c>
      <c r="I2571" s="1406">
        <f t="shared" si="717"/>
        <v>18.825600000000001</v>
      </c>
      <c r="K2571" s="1413">
        <f t="shared" si="723"/>
        <v>1.23</v>
      </c>
      <c r="L2571" s="1414">
        <f t="shared" si="723"/>
        <v>1.73</v>
      </c>
      <c r="M2571" s="110"/>
      <c r="Q2571" s="1394">
        <f>IFERROR(VLOOKUP(M2571,#REF!,3,0),0)</f>
        <v>0</v>
      </c>
      <c r="R2571" s="1394">
        <f t="shared" si="716"/>
        <v>0</v>
      </c>
      <c r="S2571" s="1394">
        <f>IFERROR(VLOOKUP(M2571,#REF!,6,0),0)</f>
        <v>0</v>
      </c>
      <c r="T2571" s="1394">
        <f t="shared" si="707"/>
        <v>0</v>
      </c>
      <c r="U2571" s="1394">
        <f>IFERROR(VLOOKUP(M2571,#REF!,5,0),0)</f>
        <v>0</v>
      </c>
      <c r="V2571" s="1394">
        <f t="shared" si="708"/>
        <v>0</v>
      </c>
      <c r="W2571" s="1394"/>
    </row>
    <row r="2572" spans="1:23" ht="30" customHeight="1">
      <c r="A2572" s="1397"/>
      <c r="B2572" s="1513"/>
      <c r="C2572" s="1514" t="str">
        <f t="shared" si="721"/>
        <v>Ins  L &amp; O Room</v>
      </c>
      <c r="D2572" s="103">
        <f t="shared" si="721"/>
        <v>1</v>
      </c>
      <c r="E2572" s="103">
        <f t="shared" si="721"/>
        <v>1</v>
      </c>
      <c r="F2572" s="1413">
        <f t="shared" si="720"/>
        <v>18.2</v>
      </c>
      <c r="G2572" s="1413"/>
      <c r="H2572" s="1414">
        <f t="shared" si="722"/>
        <v>3.18</v>
      </c>
      <c r="I2572" s="1406">
        <f t="shared" si="717"/>
        <v>57.875999999999998</v>
      </c>
      <c r="K2572" s="1413">
        <f t="shared" si="723"/>
        <v>4</v>
      </c>
      <c r="L2572" s="1414">
        <f t="shared" si="723"/>
        <v>5.0999999999999996</v>
      </c>
      <c r="M2572" s="110"/>
      <c r="Q2572" s="1394">
        <f>IFERROR(VLOOKUP(M2572,#REF!,3,0),0)</f>
        <v>0</v>
      </c>
      <c r="R2572" s="1394">
        <f t="shared" si="716"/>
        <v>0</v>
      </c>
      <c r="S2572" s="1394">
        <f>IFERROR(VLOOKUP(M2572,#REF!,6,0),0)</f>
        <v>0</v>
      </c>
      <c r="T2572" s="1394">
        <f t="shared" si="707"/>
        <v>0</v>
      </c>
      <c r="U2572" s="1394">
        <f>IFERROR(VLOOKUP(M2572,#REF!,5,0),0)</f>
        <v>0</v>
      </c>
      <c r="V2572" s="1394">
        <f t="shared" si="708"/>
        <v>0</v>
      </c>
      <c r="W2572" s="1394"/>
    </row>
    <row r="2573" spans="1:23" ht="30" customHeight="1">
      <c r="A2573" s="1397"/>
      <c r="B2573" s="1513"/>
      <c r="C2573" s="1514" t="str">
        <f t="shared" si="721"/>
        <v>Ins  L &amp; O Room Lobby</v>
      </c>
      <c r="D2573" s="103">
        <f t="shared" si="721"/>
        <v>1</v>
      </c>
      <c r="E2573" s="103">
        <f t="shared" si="721"/>
        <v>1</v>
      </c>
      <c r="F2573" s="1413">
        <f t="shared" si="720"/>
        <v>5.92</v>
      </c>
      <c r="G2573" s="1413"/>
      <c r="H2573" s="1414">
        <f t="shared" si="722"/>
        <v>3.18</v>
      </c>
      <c r="I2573" s="1406">
        <f t="shared" si="717"/>
        <v>18.825600000000001</v>
      </c>
      <c r="K2573" s="1413">
        <f t="shared" si="723"/>
        <v>1.23</v>
      </c>
      <c r="L2573" s="1414">
        <f t="shared" si="723"/>
        <v>1.73</v>
      </c>
      <c r="M2573" s="110"/>
      <c r="Q2573" s="1394">
        <f>IFERROR(VLOOKUP(M2573,#REF!,3,0),0)</f>
        <v>0</v>
      </c>
      <c r="R2573" s="1394">
        <f t="shared" si="716"/>
        <v>0</v>
      </c>
      <c r="S2573" s="1394">
        <f>IFERROR(VLOOKUP(M2573,#REF!,6,0),0)</f>
        <v>0</v>
      </c>
      <c r="T2573" s="1394">
        <f t="shared" ref="T2573:T2636" si="724">R2573-S2573</f>
        <v>0</v>
      </c>
      <c r="U2573" s="1394">
        <f>IFERROR(VLOOKUP(M2573,#REF!,5,0),0)</f>
        <v>0</v>
      </c>
      <c r="V2573" s="1394">
        <f t="shared" ref="V2573:V2636" si="725">O2573-U2573</f>
        <v>0</v>
      </c>
      <c r="W2573" s="1394"/>
    </row>
    <row r="2574" spans="1:23" ht="30" customHeight="1">
      <c r="A2574" s="1397"/>
      <c r="B2574" s="1513"/>
      <c r="C2574" s="1514" t="str">
        <f t="shared" si="721"/>
        <v>Writer Room</v>
      </c>
      <c r="D2574" s="103">
        <f t="shared" si="721"/>
        <v>1</v>
      </c>
      <c r="E2574" s="103">
        <f t="shared" si="721"/>
        <v>1</v>
      </c>
      <c r="F2574" s="1413">
        <f t="shared" si="720"/>
        <v>16.43</v>
      </c>
      <c r="G2574" s="1413"/>
      <c r="H2574" s="1414">
        <f t="shared" si="722"/>
        <v>3.18</v>
      </c>
      <c r="I2574" s="1406">
        <f t="shared" si="717"/>
        <v>52.247399999999999</v>
      </c>
      <c r="K2574" s="1413">
        <f t="shared" si="723"/>
        <v>3.1150000000000002</v>
      </c>
      <c r="L2574" s="1414">
        <f t="shared" si="723"/>
        <v>5.0999999999999996</v>
      </c>
      <c r="M2574" s="110"/>
      <c r="Q2574" s="1394">
        <f>IFERROR(VLOOKUP(M2574,#REF!,3,0),0)</f>
        <v>0</v>
      </c>
      <c r="R2574" s="1394">
        <f t="shared" si="716"/>
        <v>0</v>
      </c>
      <c r="S2574" s="1394">
        <f>IFERROR(VLOOKUP(M2574,#REF!,6,0),0)</f>
        <v>0</v>
      </c>
      <c r="T2574" s="1394">
        <f t="shared" si="724"/>
        <v>0</v>
      </c>
      <c r="U2574" s="1394">
        <f>IFERROR(VLOOKUP(M2574,#REF!,5,0),0)</f>
        <v>0</v>
      </c>
      <c r="V2574" s="1394">
        <f t="shared" si="725"/>
        <v>0</v>
      </c>
      <c r="W2574" s="1394"/>
    </row>
    <row r="2575" spans="1:23" ht="30" customHeight="1">
      <c r="A2575" s="1397"/>
      <c r="B2575" s="1513"/>
      <c r="C2575" s="1514" t="str">
        <f>C2186</f>
        <v>Hall</v>
      </c>
      <c r="D2575" s="103">
        <f>D2186</f>
        <v>1</v>
      </c>
      <c r="E2575" s="103">
        <f>E2186</f>
        <v>1</v>
      </c>
      <c r="F2575" s="1413">
        <f t="shared" si="720"/>
        <v>31.29</v>
      </c>
      <c r="G2575" s="1413"/>
      <c r="H2575" s="1414">
        <f t="shared" si="722"/>
        <v>3.18</v>
      </c>
      <c r="I2575" s="1406">
        <f t="shared" si="717"/>
        <v>99.502200000000002</v>
      </c>
      <c r="K2575" s="1413">
        <f>F2186</f>
        <v>9.8849999999999998</v>
      </c>
      <c r="L2575" s="1414">
        <f>G2186</f>
        <v>5.76</v>
      </c>
      <c r="M2575" s="110"/>
      <c r="Q2575" s="1394">
        <f>IFERROR(VLOOKUP(M2575,#REF!,3,0),0)</f>
        <v>0</v>
      </c>
      <c r="R2575" s="1394">
        <f t="shared" si="716"/>
        <v>0</v>
      </c>
      <c r="S2575" s="1394">
        <f>IFERROR(VLOOKUP(M2575,#REF!,6,0),0)</f>
        <v>0</v>
      </c>
      <c r="T2575" s="1394">
        <f t="shared" si="724"/>
        <v>0</v>
      </c>
      <c r="U2575" s="1394">
        <f>IFERROR(VLOOKUP(M2575,#REF!,5,0),0)</f>
        <v>0</v>
      </c>
      <c r="V2575" s="1394">
        <f t="shared" si="725"/>
        <v>0</v>
      </c>
      <c r="W2575" s="1394"/>
    </row>
    <row r="2576" spans="1:23" ht="30" customHeight="1">
      <c r="A2576" s="1397"/>
      <c r="B2576" s="1513"/>
      <c r="C2576" s="1514" t="str">
        <f t="shared" ref="C2576:E2583" si="726">C2209</f>
        <v>CD File</v>
      </c>
      <c r="D2576" s="103">
        <f t="shared" si="726"/>
        <v>1</v>
      </c>
      <c r="E2576" s="103">
        <f t="shared" si="726"/>
        <v>1</v>
      </c>
      <c r="F2576" s="1413">
        <f t="shared" si="720"/>
        <v>15.8</v>
      </c>
      <c r="G2576" s="1413"/>
      <c r="H2576" s="1414">
        <f t="shared" si="722"/>
        <v>3.18</v>
      </c>
      <c r="I2576" s="1406">
        <f t="shared" si="717"/>
        <v>50.244000000000007</v>
      </c>
      <c r="K2576" s="1413">
        <f t="shared" ref="K2576:L2583" si="727">F2209</f>
        <v>4</v>
      </c>
      <c r="L2576" s="1414">
        <f t="shared" si="727"/>
        <v>3.9</v>
      </c>
      <c r="M2576" s="110"/>
      <c r="Q2576" s="1394">
        <f>IFERROR(VLOOKUP(M2576,#REF!,3,0),0)</f>
        <v>0</v>
      </c>
      <c r="R2576" s="1394">
        <f t="shared" si="716"/>
        <v>0</v>
      </c>
      <c r="S2576" s="1394">
        <f>IFERROR(VLOOKUP(M2576,#REF!,6,0),0)</f>
        <v>0</v>
      </c>
      <c r="T2576" s="1394">
        <f t="shared" si="724"/>
        <v>0</v>
      </c>
      <c r="U2576" s="1394">
        <f>IFERROR(VLOOKUP(M2576,#REF!,5,0),0)</f>
        <v>0</v>
      </c>
      <c r="V2576" s="1394">
        <f t="shared" si="725"/>
        <v>0</v>
      </c>
      <c r="W2576" s="1394"/>
    </row>
    <row r="2577" spans="1:23" ht="30" customHeight="1">
      <c r="A2577" s="1397"/>
      <c r="B2577" s="1513"/>
      <c r="C2577" s="1514" t="str">
        <f t="shared" si="726"/>
        <v>CD File Verandah</v>
      </c>
      <c r="D2577" s="103">
        <f t="shared" si="726"/>
        <v>1</v>
      </c>
      <c r="E2577" s="103">
        <f t="shared" si="726"/>
        <v>1</v>
      </c>
      <c r="F2577" s="1413">
        <f t="shared" si="720"/>
        <v>5</v>
      </c>
      <c r="G2577" s="1413"/>
      <c r="H2577" s="1414">
        <f t="shared" si="722"/>
        <v>3.18</v>
      </c>
      <c r="I2577" s="1406">
        <f t="shared" si="717"/>
        <v>15.9</v>
      </c>
      <c r="K2577" s="1413">
        <f t="shared" si="727"/>
        <v>1.5</v>
      </c>
      <c r="L2577" s="1414">
        <f t="shared" si="727"/>
        <v>1</v>
      </c>
      <c r="M2577" s="110"/>
      <c r="Q2577" s="1394">
        <f>IFERROR(VLOOKUP(M2577,#REF!,3,0),0)</f>
        <v>0</v>
      </c>
      <c r="R2577" s="1394">
        <f t="shared" si="716"/>
        <v>0</v>
      </c>
      <c r="S2577" s="1394">
        <f>IFERROR(VLOOKUP(M2577,#REF!,6,0),0)</f>
        <v>0</v>
      </c>
      <c r="T2577" s="1394">
        <f t="shared" si="724"/>
        <v>0</v>
      </c>
      <c r="U2577" s="1394">
        <f>IFERROR(VLOOKUP(M2577,#REF!,5,0),0)</f>
        <v>0</v>
      </c>
      <c r="V2577" s="1394">
        <f t="shared" si="725"/>
        <v>0</v>
      </c>
      <c r="W2577" s="1394"/>
    </row>
    <row r="2578" spans="1:23" ht="30" customHeight="1">
      <c r="A2578" s="1397"/>
      <c r="B2578" s="1513"/>
      <c r="C2578" s="1514" t="str">
        <f t="shared" si="726"/>
        <v>CCTNS</v>
      </c>
      <c r="D2578" s="103">
        <f t="shared" si="726"/>
        <v>1</v>
      </c>
      <c r="E2578" s="103">
        <f t="shared" si="726"/>
        <v>1</v>
      </c>
      <c r="F2578" s="1413">
        <f t="shared" si="720"/>
        <v>14.48</v>
      </c>
      <c r="G2578" s="1413"/>
      <c r="H2578" s="1414">
        <f t="shared" si="722"/>
        <v>3.18</v>
      </c>
      <c r="I2578" s="1406">
        <f t="shared" si="717"/>
        <v>46.046400000000006</v>
      </c>
      <c r="K2578" s="1413">
        <f t="shared" si="727"/>
        <v>3.34</v>
      </c>
      <c r="L2578" s="1414">
        <f t="shared" si="727"/>
        <v>3.9</v>
      </c>
      <c r="M2578" s="110"/>
      <c r="Q2578" s="1394">
        <f>IFERROR(VLOOKUP(M2578,#REF!,3,0),0)</f>
        <v>0</v>
      </c>
      <c r="R2578" s="1394">
        <f t="shared" si="716"/>
        <v>0</v>
      </c>
      <c r="S2578" s="1394">
        <f>IFERROR(VLOOKUP(M2578,#REF!,6,0),0)</f>
        <v>0</v>
      </c>
      <c r="T2578" s="1394">
        <f t="shared" si="724"/>
        <v>0</v>
      </c>
      <c r="U2578" s="1394">
        <f>IFERROR(VLOOKUP(M2578,#REF!,5,0),0)</f>
        <v>0</v>
      </c>
      <c r="V2578" s="1394">
        <f t="shared" si="725"/>
        <v>0</v>
      </c>
      <c r="W2578" s="1394"/>
    </row>
    <row r="2579" spans="1:23" ht="30" customHeight="1">
      <c r="A2579" s="1397"/>
      <c r="B2579" s="1513"/>
      <c r="C2579" s="1514" t="str">
        <f t="shared" si="726"/>
        <v>C/B</v>
      </c>
      <c r="D2579" s="103">
        <f t="shared" si="726"/>
        <v>1</v>
      </c>
      <c r="E2579" s="103">
        <f t="shared" si="726"/>
        <v>1</v>
      </c>
      <c r="F2579" s="1413">
        <f t="shared" si="720"/>
        <v>9</v>
      </c>
      <c r="G2579" s="1413"/>
      <c r="H2579" s="1414">
        <f t="shared" si="722"/>
        <v>3.18</v>
      </c>
      <c r="I2579" s="1406">
        <f t="shared" si="717"/>
        <v>28.62</v>
      </c>
      <c r="K2579" s="1413">
        <f t="shared" si="727"/>
        <v>0.6</v>
      </c>
      <c r="L2579" s="1414">
        <f t="shared" si="727"/>
        <v>3.9</v>
      </c>
      <c r="M2579" s="110"/>
      <c r="Q2579" s="1394">
        <f>IFERROR(VLOOKUP(M2579,#REF!,3,0),0)</f>
        <v>0</v>
      </c>
      <c r="R2579" s="1394">
        <f t="shared" si="716"/>
        <v>0</v>
      </c>
      <c r="S2579" s="1394">
        <f>IFERROR(VLOOKUP(M2579,#REF!,6,0),0)</f>
        <v>0</v>
      </c>
      <c r="T2579" s="1394">
        <f t="shared" si="724"/>
        <v>0</v>
      </c>
      <c r="U2579" s="1394">
        <f>IFERROR(VLOOKUP(M2579,#REF!,5,0),0)</f>
        <v>0</v>
      </c>
      <c r="V2579" s="1394">
        <f t="shared" si="725"/>
        <v>0</v>
      </c>
      <c r="W2579" s="1394"/>
    </row>
    <row r="2580" spans="1:23" ht="30" customHeight="1">
      <c r="A2580" s="1397"/>
      <c r="B2580" s="1513"/>
      <c r="C2580" s="1514" t="str">
        <f t="shared" si="726"/>
        <v>Station Writer</v>
      </c>
      <c r="D2580" s="103">
        <f t="shared" si="726"/>
        <v>1</v>
      </c>
      <c r="E2580" s="103">
        <f t="shared" si="726"/>
        <v>1</v>
      </c>
      <c r="F2580" s="1413">
        <f t="shared" si="720"/>
        <v>13.03</v>
      </c>
      <c r="G2580" s="1413"/>
      <c r="H2580" s="1414">
        <f t="shared" si="722"/>
        <v>3.18</v>
      </c>
      <c r="I2580" s="1406">
        <f t="shared" si="717"/>
        <v>41.435400000000001</v>
      </c>
      <c r="K2580" s="1413">
        <f t="shared" si="727"/>
        <v>2.5</v>
      </c>
      <c r="L2580" s="1414">
        <f t="shared" si="727"/>
        <v>4.0149999999999997</v>
      </c>
      <c r="M2580" s="110"/>
      <c r="Q2580" s="1394">
        <f>IFERROR(VLOOKUP(M2580,#REF!,3,0),0)</f>
        <v>0</v>
      </c>
      <c r="R2580" s="1394">
        <f t="shared" si="716"/>
        <v>0</v>
      </c>
      <c r="S2580" s="1394">
        <f>IFERROR(VLOOKUP(M2580,#REF!,6,0),0)</f>
        <v>0</v>
      </c>
      <c r="T2580" s="1394">
        <f t="shared" si="724"/>
        <v>0</v>
      </c>
      <c r="U2580" s="1394">
        <f>IFERROR(VLOOKUP(M2580,#REF!,5,0),0)</f>
        <v>0</v>
      </c>
      <c r="V2580" s="1394">
        <f t="shared" si="725"/>
        <v>0</v>
      </c>
      <c r="W2580" s="1394"/>
    </row>
    <row r="2581" spans="1:23" ht="30" customHeight="1">
      <c r="A2581" s="1397"/>
      <c r="B2581" s="1513"/>
      <c r="C2581" s="1514" t="str">
        <f t="shared" si="726"/>
        <v>Arms Ammunication</v>
      </c>
      <c r="D2581" s="103">
        <f t="shared" si="726"/>
        <v>1</v>
      </c>
      <c r="E2581" s="103">
        <f t="shared" si="726"/>
        <v>1</v>
      </c>
      <c r="F2581" s="1413">
        <f t="shared" si="720"/>
        <v>8.11</v>
      </c>
      <c r="G2581" s="1413"/>
      <c r="H2581" s="1414">
        <f t="shared" si="722"/>
        <v>3.18</v>
      </c>
      <c r="I2581" s="1406"/>
      <c r="K2581" s="1413">
        <f t="shared" si="727"/>
        <v>1.7350000000000001</v>
      </c>
      <c r="L2581" s="1414">
        <f t="shared" si="727"/>
        <v>2.3199999999999998</v>
      </c>
      <c r="M2581" s="110"/>
      <c r="Q2581" s="1394">
        <f>IFERROR(VLOOKUP(M2581,#REF!,3,0),0)</f>
        <v>0</v>
      </c>
      <c r="R2581" s="1394">
        <f t="shared" si="716"/>
        <v>0</v>
      </c>
      <c r="S2581" s="1394">
        <f>IFERROR(VLOOKUP(M2581,#REF!,6,0),0)</f>
        <v>0</v>
      </c>
      <c r="T2581" s="1394">
        <f t="shared" si="724"/>
        <v>0</v>
      </c>
      <c r="U2581" s="1394">
        <f>IFERROR(VLOOKUP(M2581,#REF!,5,0),0)</f>
        <v>0</v>
      </c>
      <c r="V2581" s="1394">
        <f t="shared" si="725"/>
        <v>0</v>
      </c>
      <c r="W2581" s="1394"/>
    </row>
    <row r="2582" spans="1:23" ht="30" customHeight="1">
      <c r="A2582" s="1397"/>
      <c r="B2582" s="1513"/>
      <c r="C2582" s="1514" t="str">
        <f t="shared" si="726"/>
        <v>Property Record</v>
      </c>
      <c r="D2582" s="103">
        <f t="shared" si="726"/>
        <v>1</v>
      </c>
      <c r="E2582" s="103">
        <f t="shared" si="726"/>
        <v>1</v>
      </c>
      <c r="F2582" s="1413">
        <f t="shared" si="720"/>
        <v>12.4</v>
      </c>
      <c r="G2582" s="1413"/>
      <c r="H2582" s="1414">
        <f t="shared" si="722"/>
        <v>3.18</v>
      </c>
      <c r="I2582" s="1406">
        <f t="shared" ref="I2582:I2583" si="728">PRODUCT(D2582:H2582)</f>
        <v>39.432000000000002</v>
      </c>
      <c r="K2582" s="1413">
        <f t="shared" si="727"/>
        <v>3.7650000000000001</v>
      </c>
      <c r="L2582" s="1414">
        <f t="shared" si="727"/>
        <v>2.4350000000000001</v>
      </c>
      <c r="M2582" s="110"/>
      <c r="Q2582" s="1394">
        <f>IFERROR(VLOOKUP(M2582,#REF!,3,0),0)</f>
        <v>0</v>
      </c>
      <c r="R2582" s="1394">
        <f t="shared" si="716"/>
        <v>0</v>
      </c>
      <c r="S2582" s="1394">
        <f>IFERROR(VLOOKUP(M2582,#REF!,6,0),0)</f>
        <v>0</v>
      </c>
      <c r="T2582" s="1394">
        <f t="shared" si="724"/>
        <v>0</v>
      </c>
      <c r="U2582" s="1394">
        <f>IFERROR(VLOOKUP(M2582,#REF!,5,0),0)</f>
        <v>0</v>
      </c>
      <c r="V2582" s="1394">
        <f t="shared" si="725"/>
        <v>0</v>
      </c>
      <c r="W2582" s="1394"/>
    </row>
    <row r="2583" spans="1:23" ht="30" customHeight="1">
      <c r="A2583" s="1397"/>
      <c r="B2583" s="1513"/>
      <c r="C2583" s="1514" t="str">
        <f t="shared" si="726"/>
        <v>Property Record Lobby</v>
      </c>
      <c r="D2583" s="103">
        <f t="shared" si="726"/>
        <v>1</v>
      </c>
      <c r="E2583" s="103">
        <f t="shared" si="726"/>
        <v>1</v>
      </c>
      <c r="F2583" s="1413">
        <f t="shared" si="720"/>
        <v>11.09</v>
      </c>
      <c r="G2583" s="1413"/>
      <c r="H2583" s="1414">
        <f t="shared" si="722"/>
        <v>3.18</v>
      </c>
      <c r="I2583" s="1406">
        <f t="shared" si="728"/>
        <v>35.266199999999998</v>
      </c>
      <c r="K2583" s="1413">
        <f t="shared" si="727"/>
        <v>3.9649999999999999</v>
      </c>
      <c r="L2583" s="1414">
        <f t="shared" si="727"/>
        <v>1.58</v>
      </c>
      <c r="M2583" s="110"/>
      <c r="Q2583" s="1394">
        <f>IFERROR(VLOOKUP(M2583,#REF!,3,0),0)</f>
        <v>0</v>
      </c>
      <c r="R2583" s="1394">
        <f t="shared" si="716"/>
        <v>0</v>
      </c>
      <c r="S2583" s="1394">
        <f>IFERROR(VLOOKUP(M2583,#REF!,6,0),0)</f>
        <v>0</v>
      </c>
      <c r="T2583" s="1394">
        <f t="shared" si="724"/>
        <v>0</v>
      </c>
      <c r="U2583" s="1394">
        <f>IFERROR(VLOOKUP(M2583,#REF!,5,0),0)</f>
        <v>0</v>
      </c>
      <c r="V2583" s="1394">
        <f t="shared" si="725"/>
        <v>0</v>
      </c>
      <c r="W2583" s="1394"/>
    </row>
    <row r="2584" spans="1:23" ht="30" customHeight="1">
      <c r="A2584" s="1397"/>
      <c r="B2584" s="1513"/>
      <c r="C2584" s="1455" t="s">
        <v>5850</v>
      </c>
      <c r="D2584" s="103">
        <v>1</v>
      </c>
      <c r="E2584" s="103">
        <v>2</v>
      </c>
      <c r="F2584" s="1413">
        <f t="shared" ref="F2584" si="729">(K2584+L2584)*2</f>
        <v>13</v>
      </c>
      <c r="G2584" s="1413"/>
      <c r="H2584" s="1414">
        <f t="shared" ref="H2584" si="730">H2583</f>
        <v>3.18</v>
      </c>
      <c r="I2584" s="1406">
        <f t="shared" ref="I2584" si="731">PRODUCT(D2584:H2584)</f>
        <v>82.68</v>
      </c>
      <c r="K2584" s="1413">
        <v>4</v>
      </c>
      <c r="L2584" s="1414">
        <v>2.5</v>
      </c>
      <c r="M2584" s="110"/>
      <c r="Q2584" s="1394">
        <f>IFERROR(VLOOKUP(M2584,#REF!,3,0),0)</f>
        <v>0</v>
      </c>
      <c r="R2584" s="1394">
        <f t="shared" si="716"/>
        <v>0</v>
      </c>
      <c r="S2584" s="1394">
        <f>IFERROR(VLOOKUP(M2584,#REF!,6,0),0)</f>
        <v>0</v>
      </c>
      <c r="T2584" s="1394">
        <f t="shared" si="724"/>
        <v>0</v>
      </c>
      <c r="U2584" s="1394">
        <f>IFERROR(VLOOKUP(M2584,#REF!,5,0),0)</f>
        <v>0</v>
      </c>
      <c r="V2584" s="1394">
        <f t="shared" si="725"/>
        <v>0</v>
      </c>
      <c r="W2584" s="1394"/>
    </row>
    <row r="2585" spans="1:23" ht="30" customHeight="1">
      <c r="A2585" s="1397"/>
      <c r="B2585" s="1513"/>
      <c r="C2585" s="1412" t="s">
        <v>5852</v>
      </c>
      <c r="D2585" s="103"/>
      <c r="E2585" s="103"/>
      <c r="F2585" s="1413">
        <f t="shared" ref="F2585:F2586" si="732">(K2585+L2585)*2</f>
        <v>0</v>
      </c>
      <c r="G2585" s="1413"/>
      <c r="H2585" s="1414"/>
      <c r="I2585" s="1406">
        <f t="shared" ref="I2585:I2586" si="733">PRODUCT(D2585:H2585)</f>
        <v>0</v>
      </c>
      <c r="L2585" s="1397"/>
      <c r="M2585" s="110"/>
      <c r="Q2585" s="1394">
        <f>IFERROR(VLOOKUP(M2585,#REF!,3,0),0)</f>
        <v>0</v>
      </c>
      <c r="R2585" s="1394">
        <f t="shared" si="716"/>
        <v>0</v>
      </c>
      <c r="S2585" s="1394">
        <f>IFERROR(VLOOKUP(M2585,#REF!,6,0),0)</f>
        <v>0</v>
      </c>
      <c r="T2585" s="1394">
        <f t="shared" si="724"/>
        <v>0</v>
      </c>
      <c r="U2585" s="1394">
        <f>IFERROR(VLOOKUP(M2585,#REF!,5,0),0)</f>
        <v>0</v>
      </c>
      <c r="V2585" s="1394">
        <f t="shared" si="725"/>
        <v>0</v>
      </c>
      <c r="W2585" s="1394"/>
    </row>
    <row r="2586" spans="1:23" ht="30" customHeight="1">
      <c r="A2586" s="1397"/>
      <c r="B2586" s="1513"/>
      <c r="C2586" s="1455" t="str">
        <f>C2387</f>
        <v>SI Room Toilet</v>
      </c>
      <c r="D2586" s="103">
        <f>D2387</f>
        <v>1</v>
      </c>
      <c r="E2586" s="103">
        <f>E2387</f>
        <v>1</v>
      </c>
      <c r="F2586" s="1413">
        <f t="shared" si="732"/>
        <v>6.3</v>
      </c>
      <c r="G2586" s="1413"/>
      <c r="H2586" s="1414">
        <f>H2584</f>
        <v>3.18</v>
      </c>
      <c r="I2586" s="1406">
        <f t="shared" si="733"/>
        <v>20.033999999999999</v>
      </c>
      <c r="K2586" s="1455">
        <f>F2387</f>
        <v>1.65</v>
      </c>
      <c r="L2586" s="1455">
        <f>G2387</f>
        <v>1.5</v>
      </c>
      <c r="M2586" s="110"/>
      <c r="Q2586" s="1394">
        <f>IFERROR(VLOOKUP(M2586,#REF!,3,0),0)</f>
        <v>0</v>
      </c>
      <c r="R2586" s="1394">
        <f t="shared" si="716"/>
        <v>0</v>
      </c>
      <c r="S2586" s="1394">
        <f>IFERROR(VLOOKUP(M2586,#REF!,6,0),0)</f>
        <v>0</v>
      </c>
      <c r="T2586" s="1394">
        <f t="shared" si="724"/>
        <v>0</v>
      </c>
      <c r="U2586" s="1394">
        <f>IFERROR(VLOOKUP(M2586,#REF!,5,0),0)</f>
        <v>0</v>
      </c>
      <c r="V2586" s="1394">
        <f t="shared" si="725"/>
        <v>0</v>
      </c>
      <c r="W2586" s="1394"/>
    </row>
    <row r="2587" spans="1:23" ht="30" customHeight="1">
      <c r="A2587" s="1397"/>
      <c r="B2587" s="1513"/>
      <c r="C2587" s="1455" t="str">
        <f>C2389</f>
        <v>SI Room Toilet Passage</v>
      </c>
      <c r="D2587" s="103">
        <f>D2389</f>
        <v>1</v>
      </c>
      <c r="E2587" s="103">
        <f>E2389</f>
        <v>1</v>
      </c>
      <c r="F2587" s="1413">
        <f t="shared" ref="F2587:F2598" si="734">(K2587+L2587)*2</f>
        <v>5.24</v>
      </c>
      <c r="G2587" s="1413"/>
      <c r="H2587" s="1414">
        <f>H2586</f>
        <v>3.18</v>
      </c>
      <c r="I2587" s="1406">
        <f t="shared" ref="I2587:I2598" si="735">PRODUCT(D2587:H2587)</f>
        <v>16.6632</v>
      </c>
      <c r="K2587" s="1455">
        <f t="shared" ref="K2587:L2589" si="736">F2389</f>
        <v>1.1200000000000001</v>
      </c>
      <c r="L2587" s="1455">
        <f t="shared" si="736"/>
        <v>1.5</v>
      </c>
      <c r="M2587" s="110"/>
      <c r="Q2587" s="1394">
        <f>IFERROR(VLOOKUP(M2587,#REF!,3,0),0)</f>
        <v>0</v>
      </c>
      <c r="R2587" s="1394">
        <f t="shared" si="716"/>
        <v>0</v>
      </c>
      <c r="S2587" s="1394">
        <f>IFERROR(VLOOKUP(M2587,#REF!,6,0),0)</f>
        <v>0</v>
      </c>
      <c r="T2587" s="1394">
        <f t="shared" si="724"/>
        <v>0</v>
      </c>
      <c r="U2587" s="1394">
        <f>IFERROR(VLOOKUP(M2587,#REF!,5,0),0)</f>
        <v>0</v>
      </c>
      <c r="V2587" s="1394">
        <f t="shared" si="725"/>
        <v>0</v>
      </c>
      <c r="W2587" s="1394"/>
    </row>
    <row r="2588" spans="1:23" ht="30" customHeight="1">
      <c r="A2588" s="1397"/>
      <c r="B2588" s="1513"/>
      <c r="C2588" s="1455" t="str">
        <f>C2390</f>
        <v>O</v>
      </c>
      <c r="D2588" s="103">
        <v>-1</v>
      </c>
      <c r="E2588" s="103">
        <f>E2390</f>
        <v>1</v>
      </c>
      <c r="F2588" s="1413">
        <f t="shared" si="734"/>
        <v>2.46</v>
      </c>
      <c r="G2588" s="1413"/>
      <c r="H2588" s="1414">
        <f t="shared" ref="H2588:H2598" si="737">H2587</f>
        <v>3.18</v>
      </c>
      <c r="I2588" s="1406">
        <f t="shared" si="735"/>
        <v>-7.8228</v>
      </c>
      <c r="K2588" s="1455">
        <f t="shared" si="736"/>
        <v>0.23</v>
      </c>
      <c r="L2588" s="1455">
        <f t="shared" si="736"/>
        <v>1</v>
      </c>
      <c r="M2588" s="110"/>
      <c r="Q2588" s="1394">
        <f>IFERROR(VLOOKUP(M2588,#REF!,3,0),0)</f>
        <v>0</v>
      </c>
      <c r="R2588" s="1394">
        <f t="shared" si="716"/>
        <v>0</v>
      </c>
      <c r="S2588" s="1394">
        <f>IFERROR(VLOOKUP(M2588,#REF!,6,0),0)</f>
        <v>0</v>
      </c>
      <c r="T2588" s="1394">
        <f t="shared" si="724"/>
        <v>0</v>
      </c>
      <c r="U2588" s="1394">
        <f>IFERROR(VLOOKUP(M2588,#REF!,5,0),0)</f>
        <v>0</v>
      </c>
      <c r="V2588" s="1394">
        <f t="shared" si="725"/>
        <v>0</v>
      </c>
      <c r="W2588" s="1394"/>
    </row>
    <row r="2589" spans="1:23" ht="30" customHeight="1">
      <c r="A2589" s="1397"/>
      <c r="B2589" s="1513"/>
      <c r="C2589" s="1455" t="str">
        <f>C2391</f>
        <v>INS  Room Toilet</v>
      </c>
      <c r="D2589" s="103">
        <f>D2391</f>
        <v>1</v>
      </c>
      <c r="E2589" s="103">
        <f>E2391</f>
        <v>1</v>
      </c>
      <c r="F2589" s="1413">
        <f t="shared" si="734"/>
        <v>6.3</v>
      </c>
      <c r="G2589" s="1413"/>
      <c r="H2589" s="1414">
        <f t="shared" si="737"/>
        <v>3.18</v>
      </c>
      <c r="I2589" s="1406">
        <f t="shared" si="735"/>
        <v>20.033999999999999</v>
      </c>
      <c r="K2589" s="1455">
        <f t="shared" si="736"/>
        <v>1.65</v>
      </c>
      <c r="L2589" s="1455">
        <f t="shared" si="736"/>
        <v>1.5</v>
      </c>
      <c r="M2589" s="110"/>
      <c r="Q2589" s="1394">
        <f>IFERROR(VLOOKUP(M2589,#REF!,3,0),0)</f>
        <v>0</v>
      </c>
      <c r="R2589" s="1394">
        <f t="shared" si="716"/>
        <v>0</v>
      </c>
      <c r="S2589" s="1394">
        <f>IFERROR(VLOOKUP(M2589,#REF!,6,0),0)</f>
        <v>0</v>
      </c>
      <c r="T2589" s="1394">
        <f t="shared" si="724"/>
        <v>0</v>
      </c>
      <c r="U2589" s="1394">
        <f>IFERROR(VLOOKUP(M2589,#REF!,5,0),0)</f>
        <v>0</v>
      </c>
      <c r="V2589" s="1394">
        <f t="shared" si="725"/>
        <v>0</v>
      </c>
      <c r="W2589" s="1394"/>
    </row>
    <row r="2590" spans="1:23" ht="30" customHeight="1">
      <c r="A2590" s="1397"/>
      <c r="B2590" s="1513"/>
      <c r="C2590" s="1455" t="str">
        <f>C2393</f>
        <v>INS  Room Toilet Passage</v>
      </c>
      <c r="D2590" s="103">
        <f>D2393</f>
        <v>1</v>
      </c>
      <c r="E2590" s="103">
        <f>E2393</f>
        <v>1</v>
      </c>
      <c r="F2590" s="1413">
        <f t="shared" si="734"/>
        <v>5.24</v>
      </c>
      <c r="G2590" s="1413"/>
      <c r="H2590" s="1414">
        <f t="shared" si="737"/>
        <v>3.18</v>
      </c>
      <c r="I2590" s="1406">
        <f t="shared" si="735"/>
        <v>16.6632</v>
      </c>
      <c r="K2590" s="1455">
        <f t="shared" ref="K2590:L2592" si="738">F2393</f>
        <v>1.1200000000000001</v>
      </c>
      <c r="L2590" s="1455">
        <f t="shared" si="738"/>
        <v>1.5</v>
      </c>
      <c r="M2590" s="110"/>
      <c r="Q2590" s="1394">
        <f>IFERROR(VLOOKUP(M2590,#REF!,3,0),0)</f>
        <v>0</v>
      </c>
      <c r="R2590" s="1394">
        <f t="shared" si="716"/>
        <v>0</v>
      </c>
      <c r="S2590" s="1394">
        <f>IFERROR(VLOOKUP(M2590,#REF!,6,0),0)</f>
        <v>0</v>
      </c>
      <c r="T2590" s="1394">
        <f t="shared" si="724"/>
        <v>0</v>
      </c>
      <c r="U2590" s="1394">
        <f>IFERROR(VLOOKUP(M2590,#REF!,5,0),0)</f>
        <v>0</v>
      </c>
      <c r="V2590" s="1394">
        <f t="shared" si="725"/>
        <v>0</v>
      </c>
      <c r="W2590" s="1394"/>
    </row>
    <row r="2591" spans="1:23" ht="30" customHeight="1">
      <c r="A2591" s="1397"/>
      <c r="B2591" s="1513"/>
      <c r="C2591" s="1455" t="str">
        <f>C2394</f>
        <v>O</v>
      </c>
      <c r="D2591" s="103">
        <v>-1</v>
      </c>
      <c r="E2591" s="103">
        <f>E2394</f>
        <v>1</v>
      </c>
      <c r="F2591" s="1413">
        <f t="shared" si="734"/>
        <v>2.46</v>
      </c>
      <c r="G2591" s="1413"/>
      <c r="H2591" s="1414">
        <f t="shared" si="737"/>
        <v>3.18</v>
      </c>
      <c r="I2591" s="1406">
        <f t="shared" si="735"/>
        <v>-7.8228</v>
      </c>
      <c r="K2591" s="1455">
        <f t="shared" si="738"/>
        <v>0.23</v>
      </c>
      <c r="L2591" s="1455">
        <f t="shared" si="738"/>
        <v>1</v>
      </c>
      <c r="M2591" s="110"/>
      <c r="Q2591" s="1394">
        <f>IFERROR(VLOOKUP(M2591,#REF!,3,0),0)</f>
        <v>0</v>
      </c>
      <c r="R2591" s="1394">
        <f t="shared" si="716"/>
        <v>0</v>
      </c>
      <c r="S2591" s="1394">
        <f>IFERROR(VLOOKUP(M2591,#REF!,6,0),0)</f>
        <v>0</v>
      </c>
      <c r="T2591" s="1394">
        <f t="shared" si="724"/>
        <v>0</v>
      </c>
      <c r="U2591" s="1394">
        <f>IFERROR(VLOOKUP(M2591,#REF!,5,0),0)</f>
        <v>0</v>
      </c>
      <c r="V2591" s="1394">
        <f t="shared" si="725"/>
        <v>0</v>
      </c>
      <c r="W2591" s="1394"/>
    </row>
    <row r="2592" spans="1:23" ht="30" customHeight="1">
      <c r="A2592" s="1397"/>
      <c r="B2592" s="1513"/>
      <c r="C2592" s="1455" t="str">
        <f>C2395</f>
        <v xml:space="preserve">Lock up Women &amp; Men </v>
      </c>
      <c r="D2592" s="103">
        <f>D2395</f>
        <v>1</v>
      </c>
      <c r="E2592" s="103">
        <f>E2395</f>
        <v>2</v>
      </c>
      <c r="F2592" s="1413">
        <f t="shared" si="734"/>
        <v>4.4000000000000004</v>
      </c>
      <c r="G2592" s="1413"/>
      <c r="H2592" s="1414">
        <f t="shared" si="737"/>
        <v>3.18</v>
      </c>
      <c r="I2592" s="1406">
        <f t="shared" si="735"/>
        <v>27.984000000000005</v>
      </c>
      <c r="K2592" s="1455">
        <f t="shared" si="738"/>
        <v>1</v>
      </c>
      <c r="L2592" s="1455">
        <f t="shared" si="738"/>
        <v>1.2</v>
      </c>
      <c r="M2592" s="110"/>
      <c r="Q2592" s="1394">
        <f>IFERROR(VLOOKUP(M2592,#REF!,3,0),0)</f>
        <v>0</v>
      </c>
      <c r="R2592" s="1394">
        <f t="shared" si="716"/>
        <v>0</v>
      </c>
      <c r="S2592" s="1394">
        <f>IFERROR(VLOOKUP(M2592,#REF!,6,0),0)</f>
        <v>0</v>
      </c>
      <c r="T2592" s="1394">
        <f t="shared" si="724"/>
        <v>0</v>
      </c>
      <c r="U2592" s="1394">
        <f>IFERROR(VLOOKUP(M2592,#REF!,5,0),0)</f>
        <v>0</v>
      </c>
      <c r="V2592" s="1394">
        <f t="shared" si="725"/>
        <v>0</v>
      </c>
      <c r="W2592" s="1394"/>
    </row>
    <row r="2593" spans="1:23" ht="30" customHeight="1">
      <c r="A2593" s="1397"/>
      <c r="B2593" s="1513"/>
      <c r="C2593" s="1455" t="str">
        <f>C2397</f>
        <v>Common Toilet</v>
      </c>
      <c r="D2593" s="103">
        <f>D2397</f>
        <v>1</v>
      </c>
      <c r="E2593" s="103">
        <f>E2397</f>
        <v>1</v>
      </c>
      <c r="F2593" s="1413">
        <f t="shared" si="734"/>
        <v>5.4</v>
      </c>
      <c r="G2593" s="1413"/>
      <c r="H2593" s="1414">
        <f t="shared" si="737"/>
        <v>3.18</v>
      </c>
      <c r="I2593" s="1406">
        <f t="shared" si="735"/>
        <v>17.172000000000001</v>
      </c>
      <c r="K2593" s="1455">
        <f>F2397</f>
        <v>1.5</v>
      </c>
      <c r="L2593" s="1455">
        <f>G2397</f>
        <v>1.2</v>
      </c>
      <c r="M2593" s="110"/>
      <c r="Q2593" s="1394">
        <f>IFERROR(VLOOKUP(M2593,#REF!,3,0),0)</f>
        <v>0</v>
      </c>
      <c r="R2593" s="1394">
        <f t="shared" si="716"/>
        <v>0</v>
      </c>
      <c r="S2593" s="1394">
        <f>IFERROR(VLOOKUP(M2593,#REF!,6,0),0)</f>
        <v>0</v>
      </c>
      <c r="T2593" s="1394">
        <f t="shared" si="724"/>
        <v>0</v>
      </c>
      <c r="U2593" s="1394">
        <f>IFERROR(VLOOKUP(M2593,#REF!,5,0),0)</f>
        <v>0</v>
      </c>
      <c r="V2593" s="1394">
        <f t="shared" si="725"/>
        <v>0</v>
      </c>
      <c r="W2593" s="1394"/>
    </row>
    <row r="2594" spans="1:23" ht="30" customHeight="1">
      <c r="A2594" s="1397"/>
      <c r="B2594" s="1513"/>
      <c r="C2594" s="1455" t="str">
        <f>C2399</f>
        <v xml:space="preserve"> Passage</v>
      </c>
      <c r="D2594" s="103">
        <f>D2399</f>
        <v>1</v>
      </c>
      <c r="E2594" s="103">
        <f>E2399</f>
        <v>1</v>
      </c>
      <c r="F2594" s="1413">
        <f t="shared" si="734"/>
        <v>5.2</v>
      </c>
      <c r="G2594" s="1413"/>
      <c r="H2594" s="1414">
        <f t="shared" si="737"/>
        <v>3.18</v>
      </c>
      <c r="I2594" s="1406">
        <f t="shared" si="735"/>
        <v>16.536000000000001</v>
      </c>
      <c r="K2594" s="1455">
        <f t="shared" ref="K2594:L2596" si="739">F2399</f>
        <v>1.5</v>
      </c>
      <c r="L2594" s="1455">
        <f t="shared" si="739"/>
        <v>1.1000000000000001</v>
      </c>
      <c r="M2594" s="110"/>
      <c r="Q2594" s="1394">
        <f>IFERROR(VLOOKUP(M2594,#REF!,3,0),0)</f>
        <v>0</v>
      </c>
      <c r="R2594" s="1394">
        <f t="shared" si="716"/>
        <v>0</v>
      </c>
      <c r="S2594" s="1394">
        <f>IFERROR(VLOOKUP(M2594,#REF!,6,0),0)</f>
        <v>0</v>
      </c>
      <c r="T2594" s="1394">
        <f t="shared" si="724"/>
        <v>0</v>
      </c>
      <c r="U2594" s="1394">
        <f>IFERROR(VLOOKUP(M2594,#REF!,5,0),0)</f>
        <v>0</v>
      </c>
      <c r="V2594" s="1394">
        <f t="shared" si="725"/>
        <v>0</v>
      </c>
      <c r="W2594" s="1394"/>
    </row>
    <row r="2595" spans="1:23" ht="30" customHeight="1">
      <c r="A2595" s="1397"/>
      <c r="B2595" s="1513"/>
      <c r="C2595" s="1455" t="str">
        <f>C2400</f>
        <v>O</v>
      </c>
      <c r="D2595" s="103">
        <v>-1</v>
      </c>
      <c r="E2595" s="103">
        <f>E2400</f>
        <v>1</v>
      </c>
      <c r="F2595" s="1413">
        <f t="shared" si="734"/>
        <v>2.0300000000000002</v>
      </c>
      <c r="G2595" s="1413"/>
      <c r="H2595" s="1414">
        <f t="shared" si="737"/>
        <v>3.18</v>
      </c>
      <c r="I2595" s="1406">
        <f t="shared" si="735"/>
        <v>-6.4554000000000009</v>
      </c>
      <c r="K2595" s="1455">
        <f t="shared" si="739"/>
        <v>0.115</v>
      </c>
      <c r="L2595" s="1455">
        <f t="shared" si="739"/>
        <v>0.9</v>
      </c>
      <c r="M2595" s="110"/>
      <c r="Q2595" s="1394">
        <f>IFERROR(VLOOKUP(M2595,#REF!,3,0),0)</f>
        <v>0</v>
      </c>
      <c r="R2595" s="1394">
        <f t="shared" si="716"/>
        <v>0</v>
      </c>
      <c r="S2595" s="1394">
        <f>IFERROR(VLOOKUP(M2595,#REF!,6,0),0)</f>
        <v>0</v>
      </c>
      <c r="T2595" s="1394">
        <f t="shared" si="724"/>
        <v>0</v>
      </c>
      <c r="U2595" s="1394">
        <f>IFERROR(VLOOKUP(M2595,#REF!,5,0),0)</f>
        <v>0</v>
      </c>
      <c r="V2595" s="1394">
        <f t="shared" si="725"/>
        <v>0</v>
      </c>
      <c r="W2595" s="1394"/>
    </row>
    <row r="2596" spans="1:23" ht="30" customHeight="1">
      <c r="A2596" s="1397"/>
      <c r="B2596" s="1513"/>
      <c r="C2596" s="1455" t="str">
        <f>C2401</f>
        <v>Common Toilet-II</v>
      </c>
      <c r="D2596" s="103">
        <f>D2401</f>
        <v>1</v>
      </c>
      <c r="E2596" s="103">
        <f>E2401</f>
        <v>1</v>
      </c>
      <c r="F2596" s="1413">
        <f t="shared" si="734"/>
        <v>5.77</v>
      </c>
      <c r="G2596" s="1413"/>
      <c r="H2596" s="1414">
        <f t="shared" si="737"/>
        <v>3.18</v>
      </c>
      <c r="I2596" s="1406">
        <f t="shared" si="735"/>
        <v>18.348600000000001</v>
      </c>
      <c r="K2596" s="1455">
        <f t="shared" si="739"/>
        <v>1.65</v>
      </c>
      <c r="L2596" s="1455">
        <f t="shared" si="739"/>
        <v>1.2350000000000001</v>
      </c>
      <c r="M2596" s="110"/>
      <c r="Q2596" s="1394">
        <f>IFERROR(VLOOKUP(M2596,#REF!,3,0),0)</f>
        <v>0</v>
      </c>
      <c r="R2596" s="1394">
        <f t="shared" si="716"/>
        <v>0</v>
      </c>
      <c r="S2596" s="1394">
        <f>IFERROR(VLOOKUP(M2596,#REF!,6,0),0)</f>
        <v>0</v>
      </c>
      <c r="T2596" s="1394">
        <f t="shared" si="724"/>
        <v>0</v>
      </c>
      <c r="U2596" s="1394">
        <f>IFERROR(VLOOKUP(M2596,#REF!,5,0),0)</f>
        <v>0</v>
      </c>
      <c r="V2596" s="1394">
        <f t="shared" si="725"/>
        <v>0</v>
      </c>
      <c r="W2596" s="1394"/>
    </row>
    <row r="2597" spans="1:23" ht="30" customHeight="1">
      <c r="A2597" s="1397"/>
      <c r="B2597" s="1513"/>
      <c r="C2597" s="1455" t="str">
        <f>C2403</f>
        <v xml:space="preserve"> Passage</v>
      </c>
      <c r="D2597" s="103">
        <f>D2403</f>
        <v>1</v>
      </c>
      <c r="E2597" s="103">
        <f>E2403</f>
        <v>1</v>
      </c>
      <c r="F2597" s="1413">
        <f t="shared" si="734"/>
        <v>5.5</v>
      </c>
      <c r="G2597" s="1413"/>
      <c r="H2597" s="1414">
        <f t="shared" si="737"/>
        <v>3.18</v>
      </c>
      <c r="I2597" s="1406">
        <f t="shared" si="735"/>
        <v>17.490000000000002</v>
      </c>
      <c r="K2597" s="1455">
        <f>F2403</f>
        <v>1.65</v>
      </c>
      <c r="L2597" s="1455">
        <f>G2403</f>
        <v>1.1000000000000001</v>
      </c>
      <c r="M2597" s="110"/>
      <c r="Q2597" s="1394">
        <f>IFERROR(VLOOKUP(M2597,#REF!,3,0),0)</f>
        <v>0</v>
      </c>
      <c r="R2597" s="1394">
        <f t="shared" si="716"/>
        <v>0</v>
      </c>
      <c r="S2597" s="1394">
        <f>IFERROR(VLOOKUP(M2597,#REF!,6,0),0)</f>
        <v>0</v>
      </c>
      <c r="T2597" s="1394">
        <f t="shared" si="724"/>
        <v>0</v>
      </c>
      <c r="U2597" s="1394">
        <f>IFERROR(VLOOKUP(M2597,#REF!,5,0),0)</f>
        <v>0</v>
      </c>
      <c r="V2597" s="1394">
        <f t="shared" si="725"/>
        <v>0</v>
      </c>
      <c r="W2597" s="1394"/>
    </row>
    <row r="2598" spans="1:23" ht="30" customHeight="1">
      <c r="A2598" s="1397"/>
      <c r="B2598" s="1513"/>
      <c r="C2598" s="1455" t="str">
        <f>C2404</f>
        <v>O</v>
      </c>
      <c r="D2598" s="103">
        <v>-1</v>
      </c>
      <c r="E2598" s="103">
        <f>E2404</f>
        <v>1</v>
      </c>
      <c r="F2598" s="1413">
        <f t="shared" si="734"/>
        <v>2.0300000000000002</v>
      </c>
      <c r="G2598" s="1413"/>
      <c r="H2598" s="1414">
        <f t="shared" si="737"/>
        <v>3.18</v>
      </c>
      <c r="I2598" s="1406">
        <f t="shared" si="735"/>
        <v>-6.4554000000000009</v>
      </c>
      <c r="K2598" s="1455">
        <f>F2404</f>
        <v>0.115</v>
      </c>
      <c r="L2598" s="1455">
        <f>G2404</f>
        <v>0.9</v>
      </c>
      <c r="M2598" s="110"/>
      <c r="Q2598" s="1394">
        <f>IFERROR(VLOOKUP(M2598,#REF!,3,0),0)</f>
        <v>0</v>
      </c>
      <c r="R2598" s="1394">
        <f t="shared" si="716"/>
        <v>0</v>
      </c>
      <c r="S2598" s="1394">
        <f>IFERROR(VLOOKUP(M2598,#REF!,6,0),0)</f>
        <v>0</v>
      </c>
      <c r="T2598" s="1394">
        <f t="shared" si="724"/>
        <v>0</v>
      </c>
      <c r="U2598" s="1394">
        <f>IFERROR(VLOOKUP(M2598,#REF!,5,0),0)</f>
        <v>0</v>
      </c>
      <c r="V2598" s="1394">
        <f t="shared" si="725"/>
        <v>0</v>
      </c>
      <c r="W2598" s="1394"/>
    </row>
    <row r="2599" spans="1:23" ht="30" customHeight="1">
      <c r="A2599" s="1397"/>
      <c r="B2599" s="1513"/>
      <c r="C2599" s="1412" t="s">
        <v>5853</v>
      </c>
      <c r="D2599" s="103"/>
      <c r="E2599" s="103"/>
      <c r="F2599" s="1413"/>
      <c r="G2599" s="1413"/>
      <c r="H2599" s="1414"/>
      <c r="I2599" s="1406"/>
      <c r="K2599" s="1455"/>
      <c r="L2599" s="1455"/>
      <c r="M2599" s="110"/>
      <c r="Q2599" s="1394">
        <f>IFERROR(VLOOKUP(M2599,#REF!,3,0),0)</f>
        <v>0</v>
      </c>
      <c r="R2599" s="1394">
        <f t="shared" si="716"/>
        <v>0</v>
      </c>
      <c r="S2599" s="1394">
        <f>IFERROR(VLOOKUP(M2599,#REF!,6,0),0)</f>
        <v>0</v>
      </c>
      <c r="T2599" s="1394">
        <f t="shared" si="724"/>
        <v>0</v>
      </c>
      <c r="U2599" s="1394">
        <f>IFERROR(VLOOKUP(M2599,#REF!,5,0),0)</f>
        <v>0</v>
      </c>
      <c r="V2599" s="1394">
        <f t="shared" si="725"/>
        <v>0</v>
      </c>
      <c r="W2599" s="1394"/>
    </row>
    <row r="2600" spans="1:23" ht="30" customHeight="1">
      <c r="A2600" s="1397"/>
      <c r="B2600" s="1513"/>
      <c r="C2600" s="1455" t="s">
        <v>5507</v>
      </c>
      <c r="D2600" s="103">
        <v>-2</v>
      </c>
      <c r="E2600" s="103">
        <f>VLOOKUP(C2600,Sheet1!$I$7:$R$41,5,0)</f>
        <v>1</v>
      </c>
      <c r="F2600" s="1413">
        <f>VLOOKUP(C2600,Sheet1!$I$7:$R$41,2,0)</f>
        <v>1.8</v>
      </c>
      <c r="G2600" s="1413"/>
      <c r="H2600" s="1414">
        <f>VLOOKUP(C2600,Sheet1!$I$7:$R$41,3,0)</f>
        <v>2.1</v>
      </c>
      <c r="I2600" s="1406">
        <f t="shared" ref="I2600:I2608" si="740">PRODUCT(D2600:H2600)</f>
        <v>-7.5600000000000005</v>
      </c>
      <c r="L2600" s="1397"/>
      <c r="M2600" s="110"/>
      <c r="Q2600" s="1394">
        <f>IFERROR(VLOOKUP(M2600,#REF!,3,0),0)</f>
        <v>0</v>
      </c>
      <c r="R2600" s="1394">
        <f t="shared" si="716"/>
        <v>0</v>
      </c>
      <c r="S2600" s="1394">
        <f>IFERROR(VLOOKUP(M2600,#REF!,6,0),0)</f>
        <v>0</v>
      </c>
      <c r="T2600" s="1394">
        <f t="shared" si="724"/>
        <v>0</v>
      </c>
      <c r="U2600" s="1394">
        <f>IFERROR(VLOOKUP(M2600,#REF!,5,0),0)</f>
        <v>0</v>
      </c>
      <c r="V2600" s="1394">
        <f t="shared" si="725"/>
        <v>0</v>
      </c>
      <c r="W2600" s="1394"/>
    </row>
    <row r="2601" spans="1:23" ht="30" customHeight="1">
      <c r="A2601" s="1397"/>
      <c r="B2601" s="1513"/>
      <c r="C2601" s="1455" t="s">
        <v>5508</v>
      </c>
      <c r="D2601" s="103">
        <v>-2</v>
      </c>
      <c r="E2601" s="103">
        <f>VLOOKUP(C2601,Sheet1!$I$7:$R$41,5,0)</f>
        <v>1</v>
      </c>
      <c r="F2601" s="1413">
        <f>VLOOKUP(C2601,Sheet1!$I$7:$R$41,2,0)</f>
        <v>1</v>
      </c>
      <c r="G2601" s="1413"/>
      <c r="H2601" s="1414">
        <f>VLOOKUP(C2601,Sheet1!$I$7:$R$41,3,0)</f>
        <v>2.1</v>
      </c>
      <c r="I2601" s="1406">
        <f t="shared" si="740"/>
        <v>-4.2</v>
      </c>
      <c r="L2601" s="1397"/>
      <c r="M2601" s="110"/>
      <c r="Q2601" s="1394">
        <f>IFERROR(VLOOKUP(M2601,#REF!,3,0),0)</f>
        <v>0</v>
      </c>
      <c r="R2601" s="1394">
        <f t="shared" si="716"/>
        <v>0</v>
      </c>
      <c r="S2601" s="1394">
        <f>IFERROR(VLOOKUP(M2601,#REF!,6,0),0)</f>
        <v>0</v>
      </c>
      <c r="T2601" s="1394">
        <f t="shared" si="724"/>
        <v>0</v>
      </c>
      <c r="U2601" s="1394">
        <f>IFERROR(VLOOKUP(M2601,#REF!,5,0),0)</f>
        <v>0</v>
      </c>
      <c r="V2601" s="1394">
        <f t="shared" si="725"/>
        <v>0</v>
      </c>
      <c r="W2601" s="1394"/>
    </row>
    <row r="2602" spans="1:23" ht="30" customHeight="1">
      <c r="A2602" s="1397"/>
      <c r="B2602" s="1513"/>
      <c r="C2602" s="1455" t="s">
        <v>5509</v>
      </c>
      <c r="D2602" s="103">
        <v>-2</v>
      </c>
      <c r="E2602" s="103">
        <f>VLOOKUP(C2602,Sheet1!$I$7:$R$41,5,0)</f>
        <v>2</v>
      </c>
      <c r="F2602" s="1413">
        <f>VLOOKUP(C2602,Sheet1!$I$7:$R$41,2,0)</f>
        <v>0.75</v>
      </c>
      <c r="G2602" s="1413"/>
      <c r="H2602" s="1414">
        <f>VLOOKUP(C2602,Sheet1!$I$7:$R$41,3,0)</f>
        <v>2.1</v>
      </c>
      <c r="I2602" s="1406">
        <f t="shared" si="740"/>
        <v>-6.3000000000000007</v>
      </c>
      <c r="L2602" s="1397"/>
      <c r="M2602" s="110"/>
      <c r="Q2602" s="1394">
        <f>IFERROR(VLOOKUP(M2602,#REF!,3,0),0)</f>
        <v>0</v>
      </c>
      <c r="R2602" s="1394">
        <f t="shared" si="716"/>
        <v>0</v>
      </c>
      <c r="S2602" s="1394">
        <f>IFERROR(VLOOKUP(M2602,#REF!,6,0),0)</f>
        <v>0</v>
      </c>
      <c r="T2602" s="1394">
        <f t="shared" si="724"/>
        <v>0</v>
      </c>
      <c r="U2602" s="1394">
        <f>IFERROR(VLOOKUP(M2602,#REF!,5,0),0)</f>
        <v>0</v>
      </c>
      <c r="V2602" s="1394">
        <f t="shared" si="725"/>
        <v>0</v>
      </c>
      <c r="W2602" s="1394"/>
    </row>
    <row r="2603" spans="1:23" ht="30" customHeight="1">
      <c r="A2603" s="1397"/>
      <c r="B2603" s="1513"/>
      <c r="C2603" s="1455" t="s">
        <v>25</v>
      </c>
      <c r="D2603" s="103">
        <v>-2</v>
      </c>
      <c r="E2603" s="103">
        <f>VLOOKUP(C2603,Sheet1!$I$7:$R$41,5,0)</f>
        <v>5</v>
      </c>
      <c r="F2603" s="1413">
        <f>VLOOKUP(C2603,Sheet1!$I$7:$R$41,2,0)</f>
        <v>1</v>
      </c>
      <c r="G2603" s="1413"/>
      <c r="H2603" s="1414">
        <f>VLOOKUP(C2603,Sheet1!$I$7:$R$41,3,0)</f>
        <v>2.1</v>
      </c>
      <c r="I2603" s="1406">
        <f t="shared" si="740"/>
        <v>-21</v>
      </c>
      <c r="L2603" s="1397"/>
      <c r="M2603" s="110"/>
      <c r="Q2603" s="1394">
        <f>IFERROR(VLOOKUP(M2603,#REF!,3,0),0)</f>
        <v>0</v>
      </c>
      <c r="R2603" s="1394">
        <f t="shared" si="716"/>
        <v>0</v>
      </c>
      <c r="S2603" s="1394">
        <f>IFERROR(VLOOKUP(M2603,#REF!,6,0),0)</f>
        <v>0</v>
      </c>
      <c r="T2603" s="1394">
        <f t="shared" si="724"/>
        <v>0</v>
      </c>
      <c r="U2603" s="1394">
        <f>IFERROR(VLOOKUP(M2603,#REF!,5,0),0)</f>
        <v>0</v>
      </c>
      <c r="V2603" s="1394">
        <f t="shared" si="725"/>
        <v>0</v>
      </c>
      <c r="W2603" s="1394"/>
    </row>
    <row r="2604" spans="1:23" ht="30" customHeight="1">
      <c r="A2604" s="1397"/>
      <c r="B2604" s="1513"/>
      <c r="C2604" s="1455" t="s">
        <v>193</v>
      </c>
      <c r="D2604" s="103">
        <v>-2</v>
      </c>
      <c r="E2604" s="103">
        <f>VLOOKUP(C2604,Sheet1!$I$7:$R$41,5,0)</f>
        <v>2</v>
      </c>
      <c r="F2604" s="1413">
        <f>VLOOKUP(C2604,Sheet1!$I$7:$R$41,2,0)</f>
        <v>0.9</v>
      </c>
      <c r="G2604" s="1413"/>
      <c r="H2604" s="1414">
        <f>VLOOKUP(C2604,Sheet1!$I$7:$R$41,3,0)</f>
        <v>2.1</v>
      </c>
      <c r="I2604" s="1406">
        <f t="shared" si="740"/>
        <v>-7.5600000000000005</v>
      </c>
      <c r="L2604" s="1397"/>
      <c r="M2604" s="110"/>
      <c r="Q2604" s="1394">
        <f>IFERROR(VLOOKUP(M2604,#REF!,3,0),0)</f>
        <v>0</v>
      </c>
      <c r="R2604" s="1394">
        <f t="shared" si="716"/>
        <v>0</v>
      </c>
      <c r="S2604" s="1394">
        <f>IFERROR(VLOOKUP(M2604,#REF!,6,0),0)</f>
        <v>0</v>
      </c>
      <c r="T2604" s="1394">
        <f t="shared" si="724"/>
        <v>0</v>
      </c>
      <c r="U2604" s="1394">
        <f>IFERROR(VLOOKUP(M2604,#REF!,5,0),0)</f>
        <v>0</v>
      </c>
      <c r="V2604" s="1394">
        <f t="shared" si="725"/>
        <v>0</v>
      </c>
      <c r="W2604" s="1394"/>
    </row>
    <row r="2605" spans="1:23" ht="30" customHeight="1">
      <c r="A2605" s="1397"/>
      <c r="B2605" s="1513"/>
      <c r="C2605" s="1412" t="s">
        <v>195</v>
      </c>
      <c r="D2605" s="103">
        <v>-2</v>
      </c>
      <c r="E2605" s="103">
        <f>VLOOKUP(C2605,Sheet1!$I$7:$R$41,5,0)</f>
        <v>2</v>
      </c>
      <c r="F2605" s="1413">
        <f>VLOOKUP(C2605,Sheet1!$I$7:$R$41,2,0)</f>
        <v>0.75</v>
      </c>
      <c r="G2605" s="1413"/>
      <c r="H2605" s="1414">
        <f>VLOOKUP(C2605,Sheet1!$I$7:$R$41,3,0)</f>
        <v>1.35</v>
      </c>
      <c r="I2605" s="1406">
        <f t="shared" si="740"/>
        <v>-4.0500000000000007</v>
      </c>
      <c r="L2605" s="1397"/>
      <c r="M2605" s="110"/>
      <c r="Q2605" s="1394">
        <f>IFERROR(VLOOKUP(M2605,#REF!,3,0),0)</f>
        <v>0</v>
      </c>
      <c r="R2605" s="1394">
        <f t="shared" si="716"/>
        <v>0</v>
      </c>
      <c r="S2605" s="1394">
        <f>IFERROR(VLOOKUP(M2605,#REF!,6,0),0)</f>
        <v>0</v>
      </c>
      <c r="T2605" s="1394">
        <f t="shared" si="724"/>
        <v>0</v>
      </c>
      <c r="U2605" s="1394">
        <f>IFERROR(VLOOKUP(M2605,#REF!,5,0),0)</f>
        <v>0</v>
      </c>
      <c r="V2605" s="1394">
        <f t="shared" si="725"/>
        <v>0</v>
      </c>
      <c r="W2605" s="1394"/>
    </row>
    <row r="2606" spans="1:23" ht="30" customHeight="1">
      <c r="A2606" s="1397"/>
      <c r="B2606" s="1513"/>
      <c r="C2606" s="1455" t="s">
        <v>256</v>
      </c>
      <c r="D2606" s="103">
        <v>-2</v>
      </c>
      <c r="E2606" s="103">
        <f>VLOOKUP(C2606,Sheet1!$I$7:$R$41,5,0)</f>
        <v>1</v>
      </c>
      <c r="F2606" s="1413">
        <f>VLOOKUP(C2606,Sheet1!$I$7:$R$41,2,0)</f>
        <v>1.2</v>
      </c>
      <c r="G2606" s="1413"/>
      <c r="H2606" s="1414">
        <f>VLOOKUP(C2606,Sheet1!$I$7:$R$41,3,0)</f>
        <v>2.1</v>
      </c>
      <c r="I2606" s="1406">
        <f t="shared" si="740"/>
        <v>-5.04</v>
      </c>
      <c r="L2606" s="1397"/>
      <c r="M2606" s="110"/>
      <c r="Q2606" s="1394">
        <f>IFERROR(VLOOKUP(M2606,#REF!,3,0),0)</f>
        <v>0</v>
      </c>
      <c r="R2606" s="1394">
        <f t="shared" ref="R2606:R2669" si="741">ROUND(O2606,2)*ROUND(Q2606,2)</f>
        <v>0</v>
      </c>
      <c r="S2606" s="1394">
        <f>IFERROR(VLOOKUP(M2606,#REF!,6,0),0)</f>
        <v>0</v>
      </c>
      <c r="T2606" s="1394">
        <f t="shared" si="724"/>
        <v>0</v>
      </c>
      <c r="U2606" s="1394">
        <f>IFERROR(VLOOKUP(M2606,#REF!,5,0),0)</f>
        <v>0</v>
      </c>
      <c r="V2606" s="1394">
        <f t="shared" si="725"/>
        <v>0</v>
      </c>
      <c r="W2606" s="1394"/>
    </row>
    <row r="2607" spans="1:23" ht="30" customHeight="1">
      <c r="A2607" s="1397"/>
      <c r="B2607" s="1513"/>
      <c r="C2607" s="1455" t="s">
        <v>5510</v>
      </c>
      <c r="D2607" s="103">
        <v>-2</v>
      </c>
      <c r="E2607" s="103">
        <f>VLOOKUP(C2607,Sheet1!$I$7:$R$41,5,0)</f>
        <v>2</v>
      </c>
      <c r="F2607" s="1413">
        <f>VLOOKUP(C2607,Sheet1!$I$7:$R$41,2,0)</f>
        <v>1</v>
      </c>
      <c r="G2607" s="1413"/>
      <c r="H2607" s="1414">
        <f>VLOOKUP(C2607,Sheet1!$I$7:$R$41,3,0)</f>
        <v>2.1</v>
      </c>
      <c r="I2607" s="1406">
        <f t="shared" si="740"/>
        <v>-8.4</v>
      </c>
      <c r="L2607" s="1397"/>
      <c r="M2607" s="110"/>
      <c r="Q2607" s="1394">
        <f>IFERROR(VLOOKUP(M2607,#REF!,3,0),0)</f>
        <v>0</v>
      </c>
      <c r="R2607" s="1394">
        <f t="shared" si="741"/>
        <v>0</v>
      </c>
      <c r="S2607" s="1394">
        <f>IFERROR(VLOOKUP(M2607,#REF!,6,0),0)</f>
        <v>0</v>
      </c>
      <c r="T2607" s="1394">
        <f t="shared" si="724"/>
        <v>0</v>
      </c>
      <c r="U2607" s="1394">
        <f>IFERROR(VLOOKUP(M2607,#REF!,5,0),0)</f>
        <v>0</v>
      </c>
      <c r="V2607" s="1394">
        <f t="shared" si="725"/>
        <v>0</v>
      </c>
      <c r="W2607" s="1394"/>
    </row>
    <row r="2608" spans="1:23" ht="30" customHeight="1">
      <c r="A2608" s="1397"/>
      <c r="B2608" s="1513"/>
      <c r="C2608" s="1455" t="s">
        <v>188</v>
      </c>
      <c r="D2608" s="103">
        <v>-2</v>
      </c>
      <c r="E2608" s="103">
        <f>VLOOKUP(C2608,Sheet1!$I$7:$R$41,5,0)</f>
        <v>4</v>
      </c>
      <c r="F2608" s="1413">
        <f>VLOOKUP(C2608,Sheet1!$I$7:$R$41,2,0)</f>
        <v>0.75</v>
      </c>
      <c r="G2608" s="1413"/>
      <c r="H2608" s="1414">
        <f>VLOOKUP(C2608,Sheet1!$I$7:$R$41,3,0)</f>
        <v>2.1</v>
      </c>
      <c r="I2608" s="1406">
        <f t="shared" si="740"/>
        <v>-12.600000000000001</v>
      </c>
      <c r="L2608" s="1397"/>
      <c r="M2608" s="110"/>
      <c r="Q2608" s="1394">
        <f>IFERROR(VLOOKUP(M2608,#REF!,3,0),0)</f>
        <v>0</v>
      </c>
      <c r="R2608" s="1394">
        <f t="shared" si="741"/>
        <v>0</v>
      </c>
      <c r="S2608" s="1394">
        <f>IFERROR(VLOOKUP(M2608,#REF!,6,0),0)</f>
        <v>0</v>
      </c>
      <c r="T2608" s="1394">
        <f t="shared" si="724"/>
        <v>0</v>
      </c>
      <c r="U2608" s="1394">
        <f>IFERROR(VLOOKUP(M2608,#REF!,5,0),0)</f>
        <v>0</v>
      </c>
      <c r="V2608" s="1394">
        <f t="shared" si="725"/>
        <v>0</v>
      </c>
      <c r="W2608" s="1394"/>
    </row>
    <row r="2609" spans="1:23" ht="30" customHeight="1">
      <c r="A2609" s="1397"/>
      <c r="B2609" s="1513"/>
      <c r="C2609" s="1455" t="s">
        <v>190</v>
      </c>
      <c r="D2609" s="103">
        <v>-1</v>
      </c>
      <c r="E2609" s="103">
        <f>VLOOKUP(C2609,Sheet1!$I$7:$R$41,5,0)</f>
        <v>2</v>
      </c>
      <c r="F2609" s="1413">
        <f>VLOOKUP(C2609,Sheet1!$I$7:$R$41,2,0)</f>
        <v>0.81299999999999994</v>
      </c>
      <c r="G2609" s="1413"/>
      <c r="H2609" s="1414">
        <f>VLOOKUP(C2609,Sheet1!$I$7:$R$41,3,0)</f>
        <v>1.8</v>
      </c>
      <c r="I2609" s="1406">
        <f t="shared" ref="I2609:I2619" si="742">PRODUCT(D2609:H2609)</f>
        <v>-2.9268000000000001</v>
      </c>
      <c r="L2609" s="1397"/>
      <c r="M2609" s="110"/>
      <c r="Q2609" s="1394">
        <f>IFERROR(VLOOKUP(M2609,#REF!,3,0),0)</f>
        <v>0</v>
      </c>
      <c r="R2609" s="1394">
        <f t="shared" si="741"/>
        <v>0</v>
      </c>
      <c r="S2609" s="1394">
        <f>IFERROR(VLOOKUP(M2609,#REF!,6,0),0)</f>
        <v>0</v>
      </c>
      <c r="T2609" s="1394">
        <f t="shared" si="724"/>
        <v>0</v>
      </c>
      <c r="U2609" s="1394">
        <f>IFERROR(VLOOKUP(M2609,#REF!,5,0),0)</f>
        <v>0</v>
      </c>
      <c r="V2609" s="1394">
        <f t="shared" si="725"/>
        <v>0</v>
      </c>
      <c r="W2609" s="1394"/>
    </row>
    <row r="2610" spans="1:23" ht="30" customHeight="1">
      <c r="A2610" s="1397"/>
      <c r="B2610" s="1513"/>
      <c r="C2610" s="1455" t="s">
        <v>5513</v>
      </c>
      <c r="D2610" s="103">
        <v>-1</v>
      </c>
      <c r="E2610" s="103">
        <f>VLOOKUP(C2610,Sheet1!$I$7:$R$41,5,0)</f>
        <v>1</v>
      </c>
      <c r="F2610" s="1413">
        <f>VLOOKUP(C2610,Sheet1!$I$7:$R$41,2,0)</f>
        <v>2</v>
      </c>
      <c r="G2610" s="1413"/>
      <c r="H2610" s="1414">
        <f>VLOOKUP(C2610,Sheet1!$I$7:$R$41,3,0)</f>
        <v>1.8</v>
      </c>
      <c r="I2610" s="1406">
        <f t="shared" si="742"/>
        <v>-3.6</v>
      </c>
      <c r="L2610" s="1397"/>
      <c r="Q2610" s="1394">
        <f>IFERROR(VLOOKUP(M2610,#REF!,3,0),0)</f>
        <v>0</v>
      </c>
      <c r="R2610" s="1394">
        <f t="shared" si="741"/>
        <v>0</v>
      </c>
      <c r="S2610" s="1394">
        <f>IFERROR(VLOOKUP(M2610,#REF!,6,0),0)</f>
        <v>0</v>
      </c>
      <c r="T2610" s="1394">
        <f t="shared" si="724"/>
        <v>0</v>
      </c>
      <c r="U2610" s="1394">
        <f>IFERROR(VLOOKUP(M2610,#REF!,5,0),0)</f>
        <v>0</v>
      </c>
      <c r="V2610" s="1394">
        <f t="shared" si="725"/>
        <v>0</v>
      </c>
      <c r="W2610" s="1394"/>
    </row>
    <row r="2611" spans="1:23" ht="30" customHeight="1">
      <c r="A2611" s="1397"/>
      <c r="B2611" s="1513"/>
      <c r="C2611" s="1455" t="s">
        <v>5514</v>
      </c>
      <c r="D2611" s="103">
        <v>-1</v>
      </c>
      <c r="E2611" s="103">
        <f>VLOOKUP(C2611,Sheet1!$I$7:$R$41,5,0)</f>
        <v>2</v>
      </c>
      <c r="F2611" s="1413">
        <f>VLOOKUP(C2611,Sheet1!$I$7:$R$41,2,0)</f>
        <v>1.2</v>
      </c>
      <c r="G2611" s="1413"/>
      <c r="H2611" s="1414">
        <f>VLOOKUP(C2611,Sheet1!$I$7:$R$41,3,0)</f>
        <v>1.8</v>
      </c>
      <c r="I2611" s="1406">
        <f t="shared" si="742"/>
        <v>-4.32</v>
      </c>
      <c r="L2611" s="1397"/>
      <c r="M2611" s="110"/>
      <c r="Q2611" s="1394">
        <f>IFERROR(VLOOKUP(M2611,#REF!,3,0),0)</f>
        <v>0</v>
      </c>
      <c r="R2611" s="1394">
        <f t="shared" si="741"/>
        <v>0</v>
      </c>
      <c r="S2611" s="1394">
        <f>IFERROR(VLOOKUP(M2611,#REF!,6,0),0)</f>
        <v>0</v>
      </c>
      <c r="T2611" s="1394">
        <f t="shared" si="724"/>
        <v>0</v>
      </c>
      <c r="U2611" s="1394">
        <f>IFERROR(VLOOKUP(M2611,#REF!,5,0),0)</f>
        <v>0</v>
      </c>
      <c r="V2611" s="1394">
        <f t="shared" si="725"/>
        <v>0</v>
      </c>
      <c r="W2611" s="1394"/>
    </row>
    <row r="2612" spans="1:23" ht="30" customHeight="1">
      <c r="A2612" s="1397"/>
      <c r="B2612" s="1513"/>
      <c r="C2612" s="1455" t="s">
        <v>252</v>
      </c>
      <c r="D2612" s="103">
        <v>-1</v>
      </c>
      <c r="E2612" s="103">
        <f>VLOOKUP(C2612,Sheet1!$I$7:$R$41,5,0)</f>
        <v>1</v>
      </c>
      <c r="F2612" s="1413">
        <f>VLOOKUP(C2612,Sheet1!$I$7:$R$41,2,0)</f>
        <v>1.8</v>
      </c>
      <c r="G2612" s="1413"/>
      <c r="H2612" s="1414">
        <f>VLOOKUP(C2612,Sheet1!$I$7:$R$41,3,0)</f>
        <v>1.35</v>
      </c>
      <c r="I2612" s="1406">
        <f t="shared" si="742"/>
        <v>-2.4300000000000002</v>
      </c>
      <c r="L2612" s="1397"/>
      <c r="M2612" s="110"/>
      <c r="Q2612" s="1394">
        <f>IFERROR(VLOOKUP(M2612,#REF!,3,0),0)</f>
        <v>0</v>
      </c>
      <c r="R2612" s="1394">
        <f t="shared" si="741"/>
        <v>0</v>
      </c>
      <c r="S2612" s="1394">
        <f>IFERROR(VLOOKUP(M2612,#REF!,6,0),0)</f>
        <v>0</v>
      </c>
      <c r="T2612" s="1394">
        <f t="shared" si="724"/>
        <v>0</v>
      </c>
      <c r="U2612" s="1394">
        <f>IFERROR(VLOOKUP(M2612,#REF!,5,0),0)</f>
        <v>0</v>
      </c>
      <c r="V2612" s="1394">
        <f t="shared" si="725"/>
        <v>0</v>
      </c>
      <c r="W2612" s="1394"/>
    </row>
    <row r="2613" spans="1:23" ht="30" customHeight="1">
      <c r="A2613" s="1397"/>
      <c r="B2613" s="1513"/>
      <c r="C2613" s="1455" t="s">
        <v>248</v>
      </c>
      <c r="D2613" s="103">
        <v>-1</v>
      </c>
      <c r="E2613" s="103">
        <f>VLOOKUP(C2613,Sheet1!$I$7:$R$41,5,0)</f>
        <v>1</v>
      </c>
      <c r="F2613" s="1413">
        <f>VLOOKUP(C2613,Sheet1!$I$7:$R$41,2,0)</f>
        <v>1.8</v>
      </c>
      <c r="G2613" s="1413"/>
      <c r="H2613" s="1414">
        <f>VLOOKUP(C2613,Sheet1!$I$7:$R$41,3,0)</f>
        <v>1.35</v>
      </c>
      <c r="I2613" s="1406">
        <f t="shared" si="742"/>
        <v>-2.4300000000000002</v>
      </c>
      <c r="L2613" s="1397"/>
      <c r="M2613" s="110"/>
      <c r="Q2613" s="1394">
        <f>IFERROR(VLOOKUP(M2613,#REF!,3,0),0)</f>
        <v>0</v>
      </c>
      <c r="R2613" s="1394">
        <f t="shared" si="741"/>
        <v>0</v>
      </c>
      <c r="S2613" s="1394">
        <f>IFERROR(VLOOKUP(M2613,#REF!,6,0),0)</f>
        <v>0</v>
      </c>
      <c r="T2613" s="1394">
        <f t="shared" si="724"/>
        <v>0</v>
      </c>
      <c r="U2613" s="1394">
        <f>IFERROR(VLOOKUP(M2613,#REF!,5,0),0)</f>
        <v>0</v>
      </c>
      <c r="V2613" s="1394">
        <f t="shared" si="725"/>
        <v>0</v>
      </c>
      <c r="W2613" s="1394"/>
    </row>
    <row r="2614" spans="1:23" ht="30" customHeight="1">
      <c r="A2614" s="1397"/>
      <c r="B2614" s="1513"/>
      <c r="C2614" s="1455" t="s">
        <v>249</v>
      </c>
      <c r="D2614" s="103">
        <v>-1</v>
      </c>
      <c r="E2614" s="103">
        <f>VLOOKUP(C2614,Sheet1!$I$7:$R$41,5,0)</f>
        <v>1</v>
      </c>
      <c r="F2614" s="1413">
        <f>VLOOKUP(C2614,Sheet1!$I$7:$R$41,2,0)</f>
        <v>1.5</v>
      </c>
      <c r="G2614" s="1413"/>
      <c r="H2614" s="1414">
        <f>VLOOKUP(C2614,Sheet1!$I$7:$R$41,3,0)</f>
        <v>1.35</v>
      </c>
      <c r="I2614" s="1406">
        <f t="shared" si="742"/>
        <v>-2.0250000000000004</v>
      </c>
      <c r="L2614" s="1397"/>
      <c r="M2614" s="110"/>
      <c r="Q2614" s="1394">
        <f>IFERROR(VLOOKUP(M2614,#REF!,3,0),0)</f>
        <v>0</v>
      </c>
      <c r="R2614" s="1394">
        <f t="shared" si="741"/>
        <v>0</v>
      </c>
      <c r="S2614" s="1394">
        <f>IFERROR(VLOOKUP(M2614,#REF!,6,0),0)</f>
        <v>0</v>
      </c>
      <c r="T2614" s="1394">
        <f t="shared" si="724"/>
        <v>0</v>
      </c>
      <c r="U2614" s="1394">
        <f>IFERROR(VLOOKUP(M2614,#REF!,5,0),0)</f>
        <v>0</v>
      </c>
      <c r="V2614" s="1394">
        <f t="shared" si="725"/>
        <v>0</v>
      </c>
      <c r="W2614" s="1394"/>
    </row>
    <row r="2615" spans="1:23" ht="30" customHeight="1">
      <c r="A2615" s="1397"/>
      <c r="B2615" s="1513"/>
      <c r="C2615" s="1455" t="s">
        <v>250</v>
      </c>
      <c r="D2615" s="103">
        <v>-1</v>
      </c>
      <c r="E2615" s="103">
        <f>VLOOKUP(C2615,Sheet1!$I$7:$R$41,5,0)</f>
        <v>10</v>
      </c>
      <c r="F2615" s="1413">
        <f>VLOOKUP(C2615,Sheet1!$I$7:$R$41,2,0)</f>
        <v>1.2</v>
      </c>
      <c r="G2615" s="1413"/>
      <c r="H2615" s="1414">
        <f>VLOOKUP(C2615,Sheet1!$I$7:$R$41,3,0)</f>
        <v>1.35</v>
      </c>
      <c r="I2615" s="1406">
        <f t="shared" si="742"/>
        <v>-16.200000000000003</v>
      </c>
      <c r="L2615" s="1397"/>
      <c r="M2615" s="110"/>
      <c r="Q2615" s="1394">
        <f>IFERROR(VLOOKUP(M2615,#REF!,3,0),0)</f>
        <v>0</v>
      </c>
      <c r="R2615" s="1394">
        <f t="shared" si="741"/>
        <v>0</v>
      </c>
      <c r="S2615" s="1394">
        <f>IFERROR(VLOOKUP(M2615,#REF!,6,0),0)</f>
        <v>0</v>
      </c>
      <c r="T2615" s="1394">
        <f t="shared" si="724"/>
        <v>0</v>
      </c>
      <c r="U2615" s="1394">
        <f>IFERROR(VLOOKUP(M2615,#REF!,5,0),0)</f>
        <v>0</v>
      </c>
      <c r="V2615" s="1394">
        <f t="shared" si="725"/>
        <v>0</v>
      </c>
      <c r="W2615" s="1394"/>
    </row>
    <row r="2616" spans="1:23" ht="30" customHeight="1">
      <c r="A2616" s="1397"/>
      <c r="B2616" s="1513"/>
      <c r="C2616" s="1455" t="s">
        <v>251</v>
      </c>
      <c r="D2616" s="103">
        <v>-1</v>
      </c>
      <c r="E2616" s="103">
        <f>VLOOKUP(C2616,Sheet1!$I$7:$R$41,5,0)</f>
        <v>4</v>
      </c>
      <c r="F2616" s="1413">
        <f>VLOOKUP(C2616,Sheet1!$I$7:$R$41,2,0)</f>
        <v>1</v>
      </c>
      <c r="G2616" s="1413"/>
      <c r="H2616" s="1414">
        <f>VLOOKUP(C2616,Sheet1!$I$7:$R$41,3,0)</f>
        <v>1.35</v>
      </c>
      <c r="I2616" s="1406">
        <f t="shared" si="742"/>
        <v>-5.4</v>
      </c>
      <c r="L2616" s="1397"/>
      <c r="Q2616" s="1394">
        <f>IFERROR(VLOOKUP(M2616,#REF!,3,0),0)</f>
        <v>0</v>
      </c>
      <c r="R2616" s="1394">
        <f t="shared" si="741"/>
        <v>0</v>
      </c>
      <c r="S2616" s="1394">
        <f>IFERROR(VLOOKUP(M2616,#REF!,6,0),0)</f>
        <v>0</v>
      </c>
      <c r="T2616" s="1394">
        <f t="shared" si="724"/>
        <v>0</v>
      </c>
      <c r="U2616" s="1394">
        <f>IFERROR(VLOOKUP(M2616,#REF!,5,0),0)</f>
        <v>0</v>
      </c>
      <c r="V2616" s="1394">
        <f t="shared" si="725"/>
        <v>0</v>
      </c>
      <c r="W2616" s="1394"/>
    </row>
    <row r="2617" spans="1:23" ht="30" customHeight="1">
      <c r="A2617" s="1397"/>
      <c r="B2617" s="1513"/>
      <c r="C2617" s="1455" t="s">
        <v>253</v>
      </c>
      <c r="D2617" s="103">
        <v>-1</v>
      </c>
      <c r="E2617" s="103">
        <f>VLOOKUP(C2617,Sheet1!$I$7:$R$41,5,0)</f>
        <v>2</v>
      </c>
      <c r="F2617" s="1413">
        <f>VLOOKUP(C2617,Sheet1!$I$7:$R$41,2,0)</f>
        <v>1</v>
      </c>
      <c r="G2617" s="1413"/>
      <c r="H2617" s="1414">
        <f>VLOOKUP(C2617,Sheet1!$I$7:$R$41,3,0)</f>
        <v>0.6</v>
      </c>
      <c r="I2617" s="1406">
        <f t="shared" si="742"/>
        <v>-1.2</v>
      </c>
      <c r="L2617" s="1397"/>
      <c r="Q2617" s="1394">
        <f>IFERROR(VLOOKUP(M2617,#REF!,3,0),0)</f>
        <v>0</v>
      </c>
      <c r="R2617" s="1394">
        <f t="shared" si="741"/>
        <v>0</v>
      </c>
      <c r="S2617" s="1394">
        <f>IFERROR(VLOOKUP(M2617,#REF!,6,0),0)</f>
        <v>0</v>
      </c>
      <c r="T2617" s="1394">
        <f t="shared" si="724"/>
        <v>0</v>
      </c>
      <c r="U2617" s="1394">
        <f>IFERROR(VLOOKUP(M2617,#REF!,5,0),0)</f>
        <v>0</v>
      </c>
      <c r="V2617" s="1394">
        <f t="shared" si="725"/>
        <v>0</v>
      </c>
      <c r="W2617" s="1394"/>
    </row>
    <row r="2618" spans="1:23" ht="30" customHeight="1">
      <c r="A2618" s="1397"/>
      <c r="B2618" s="1513"/>
      <c r="C2618" s="1455" t="s">
        <v>372</v>
      </c>
      <c r="D2618" s="103">
        <v>-1</v>
      </c>
      <c r="E2618" s="103">
        <f>VLOOKUP(C2618,Sheet1!$I$7:$R$41,5,0)</f>
        <v>2</v>
      </c>
      <c r="F2618" s="1413">
        <f>VLOOKUP(C2618,Sheet1!$I$7:$R$41,2,0)</f>
        <v>0.6</v>
      </c>
      <c r="G2618" s="1413"/>
      <c r="H2618" s="1414">
        <f>VLOOKUP(C2618,Sheet1!$I$7:$R$41,3,0)</f>
        <v>0.6</v>
      </c>
      <c r="I2618" s="1406">
        <f t="shared" si="742"/>
        <v>-0.72</v>
      </c>
      <c r="L2618" s="1397"/>
      <c r="Q2618" s="1394">
        <f>IFERROR(VLOOKUP(M2618,#REF!,3,0),0)</f>
        <v>0</v>
      </c>
      <c r="R2618" s="1394">
        <f t="shared" si="741"/>
        <v>0</v>
      </c>
      <c r="S2618" s="1394">
        <f>IFERROR(VLOOKUP(M2618,#REF!,6,0),0)</f>
        <v>0</v>
      </c>
      <c r="T2618" s="1394">
        <f t="shared" si="724"/>
        <v>0</v>
      </c>
      <c r="U2618" s="1394">
        <f>IFERROR(VLOOKUP(M2618,#REF!,5,0),0)</f>
        <v>0</v>
      </c>
      <c r="V2618" s="1394">
        <f t="shared" si="725"/>
        <v>0</v>
      </c>
      <c r="W2618" s="1394"/>
    </row>
    <row r="2619" spans="1:23" ht="30" customHeight="1">
      <c r="A2619" s="1397"/>
      <c r="B2619" s="1513"/>
      <c r="C2619" s="1455" t="s">
        <v>257</v>
      </c>
      <c r="D2619" s="103">
        <v>-1</v>
      </c>
      <c r="E2619" s="103">
        <f>VLOOKUP(C2619,Sheet1!$I$7:$R$41,5,0)</f>
        <v>4</v>
      </c>
      <c r="F2619" s="1413">
        <f>VLOOKUP(C2619,Sheet1!$I$7:$R$41,2,0)</f>
        <v>0.9</v>
      </c>
      <c r="G2619" s="1413"/>
      <c r="H2619" s="1414">
        <f>VLOOKUP(C2619,Sheet1!$I$7:$R$41,3,0)</f>
        <v>0.75</v>
      </c>
      <c r="I2619" s="1406">
        <f t="shared" si="742"/>
        <v>-2.7</v>
      </c>
      <c r="L2619" s="1397"/>
      <c r="Q2619" s="1394">
        <f>IFERROR(VLOOKUP(M2619,#REF!,3,0),0)</f>
        <v>0</v>
      </c>
      <c r="R2619" s="1394">
        <f t="shared" si="741"/>
        <v>0</v>
      </c>
      <c r="S2619" s="1394">
        <f>IFERROR(VLOOKUP(M2619,#REF!,6,0),0)</f>
        <v>0</v>
      </c>
      <c r="T2619" s="1394">
        <f t="shared" si="724"/>
        <v>0</v>
      </c>
      <c r="U2619" s="1394">
        <f>IFERROR(VLOOKUP(M2619,#REF!,5,0),0)</f>
        <v>0</v>
      </c>
      <c r="V2619" s="1394">
        <f t="shared" si="725"/>
        <v>0</v>
      </c>
      <c r="W2619" s="1394"/>
    </row>
    <row r="2620" spans="1:23" ht="30" customHeight="1">
      <c r="A2620" s="1397"/>
      <c r="B2620" s="1513"/>
      <c r="C2620" s="1412" t="s">
        <v>260</v>
      </c>
      <c r="D2620" s="103"/>
      <c r="E2620" s="103"/>
      <c r="F2620" s="1413"/>
      <c r="G2620" s="1413"/>
      <c r="H2620" s="1414"/>
      <c r="I2620" s="1406">
        <f t="shared" ref="I2620:I2651" si="743">PRODUCT(D2620:H2620)</f>
        <v>0</v>
      </c>
      <c r="L2620" s="1397"/>
      <c r="Q2620" s="1394">
        <f>IFERROR(VLOOKUP(M2620,#REF!,3,0),0)</f>
        <v>0</v>
      </c>
      <c r="R2620" s="1394">
        <f t="shared" si="741"/>
        <v>0</v>
      </c>
      <c r="S2620" s="1394">
        <f>IFERROR(VLOOKUP(M2620,#REF!,6,0),0)</f>
        <v>0</v>
      </c>
      <c r="T2620" s="1394">
        <f t="shared" si="724"/>
        <v>0</v>
      </c>
      <c r="U2620" s="1394">
        <f>IFERROR(VLOOKUP(M2620,#REF!,5,0),0)</f>
        <v>0</v>
      </c>
      <c r="V2620" s="1394">
        <f t="shared" si="725"/>
        <v>0</v>
      </c>
      <c r="W2620" s="1394"/>
    </row>
    <row r="2621" spans="1:23" ht="30" customHeight="1">
      <c r="A2621" s="1397"/>
      <c r="B2621" s="1513"/>
      <c r="C2621" s="1514" t="str">
        <f t="shared" ref="C2621:E2627" si="744">C2218</f>
        <v>Staircase Lift / lobby</v>
      </c>
      <c r="D2621" s="103">
        <f t="shared" si="744"/>
        <v>1</v>
      </c>
      <c r="E2621" s="103">
        <f t="shared" si="744"/>
        <v>1</v>
      </c>
      <c r="F2621" s="1413">
        <f>(K2621+L2621)*2</f>
        <v>13.536000000000001</v>
      </c>
      <c r="G2621" s="1413"/>
      <c r="H2621" s="1414">
        <v>3.18</v>
      </c>
      <c r="I2621" s="1406">
        <f t="shared" si="743"/>
        <v>43.044480000000007</v>
      </c>
      <c r="K2621" s="1413">
        <f t="shared" ref="K2621:L2627" si="745">F2218</f>
        <v>4.3250000000000002</v>
      </c>
      <c r="L2621" s="1414">
        <f t="shared" si="745"/>
        <v>2.4430000000000001</v>
      </c>
      <c r="Q2621" s="1394">
        <f>IFERROR(VLOOKUP(M2621,#REF!,3,0),0)</f>
        <v>0</v>
      </c>
      <c r="R2621" s="1394">
        <f t="shared" si="741"/>
        <v>0</v>
      </c>
      <c r="S2621" s="1394">
        <f>IFERROR(VLOOKUP(M2621,#REF!,6,0),0)</f>
        <v>0</v>
      </c>
      <c r="T2621" s="1394">
        <f t="shared" si="724"/>
        <v>0</v>
      </c>
      <c r="U2621" s="1394">
        <f>IFERROR(VLOOKUP(M2621,#REF!,5,0),0)</f>
        <v>0</v>
      </c>
      <c r="V2621" s="1394">
        <f t="shared" si="725"/>
        <v>0</v>
      </c>
      <c r="W2621" s="1394"/>
    </row>
    <row r="2622" spans="1:23" ht="30" customHeight="1">
      <c r="A2622" s="1397"/>
      <c r="B2622" s="1513"/>
      <c r="C2622" s="1514" t="str">
        <f t="shared" si="744"/>
        <v>Staircase Lift / lobby</v>
      </c>
      <c r="D2622" s="103">
        <f t="shared" si="744"/>
        <v>1</v>
      </c>
      <c r="E2622" s="103">
        <f t="shared" si="744"/>
        <v>1</v>
      </c>
      <c r="F2622" s="1413">
        <f t="shared" ref="F2622:F2634" si="746">(K2622+L2622)*2</f>
        <v>10.624000000000001</v>
      </c>
      <c r="G2622" s="1413"/>
      <c r="H2622" s="1414">
        <f t="shared" ref="H2622:H2634" si="747">H2621</f>
        <v>3.18</v>
      </c>
      <c r="I2622" s="1406">
        <f t="shared" ref="I2622:I2634" si="748">PRODUCT(D2622:H2622)</f>
        <v>33.784320000000001</v>
      </c>
      <c r="K2622" s="1413">
        <f t="shared" si="745"/>
        <v>2.4550000000000001</v>
      </c>
      <c r="L2622" s="1414">
        <f t="shared" si="745"/>
        <v>2.8570000000000002</v>
      </c>
      <c r="Q2622" s="1394">
        <f>IFERROR(VLOOKUP(M2622,#REF!,3,0),0)</f>
        <v>0</v>
      </c>
      <c r="R2622" s="1394">
        <f t="shared" si="741"/>
        <v>0</v>
      </c>
      <c r="S2622" s="1394">
        <f>IFERROR(VLOOKUP(M2622,#REF!,6,0),0)</f>
        <v>0</v>
      </c>
      <c r="T2622" s="1394">
        <f t="shared" si="724"/>
        <v>0</v>
      </c>
      <c r="U2622" s="1394">
        <f>IFERROR(VLOOKUP(M2622,#REF!,5,0),0)</f>
        <v>0</v>
      </c>
      <c r="V2622" s="1394">
        <f t="shared" si="725"/>
        <v>0</v>
      </c>
      <c r="W2622" s="1394"/>
    </row>
    <row r="2623" spans="1:23" ht="30" customHeight="1">
      <c r="A2623" s="1397"/>
      <c r="B2623" s="1513"/>
      <c r="C2623" s="1514" t="str">
        <f t="shared" si="744"/>
        <v>Women Rest Room</v>
      </c>
      <c r="D2623" s="103">
        <f t="shared" si="744"/>
        <v>1</v>
      </c>
      <c r="E2623" s="103">
        <f t="shared" si="744"/>
        <v>1</v>
      </c>
      <c r="F2623" s="1413">
        <f t="shared" si="746"/>
        <v>18.2</v>
      </c>
      <c r="G2623" s="1413"/>
      <c r="H2623" s="1414">
        <f t="shared" si="747"/>
        <v>3.18</v>
      </c>
      <c r="I2623" s="1406">
        <f t="shared" si="748"/>
        <v>57.875999999999998</v>
      </c>
      <c r="K2623" s="1413">
        <f t="shared" si="745"/>
        <v>4</v>
      </c>
      <c r="L2623" s="1414">
        <f t="shared" si="745"/>
        <v>5.0999999999999996</v>
      </c>
      <c r="Q2623" s="1394">
        <f>IFERROR(VLOOKUP(M2623,#REF!,3,0),0)</f>
        <v>0</v>
      </c>
      <c r="R2623" s="1394">
        <f t="shared" si="741"/>
        <v>0</v>
      </c>
      <c r="S2623" s="1394">
        <f>IFERROR(VLOOKUP(M2623,#REF!,6,0),0)</f>
        <v>0</v>
      </c>
      <c r="T2623" s="1394">
        <f t="shared" si="724"/>
        <v>0</v>
      </c>
      <c r="U2623" s="1394">
        <f>IFERROR(VLOOKUP(M2623,#REF!,5,0),0)</f>
        <v>0</v>
      </c>
      <c r="V2623" s="1394">
        <f t="shared" si="725"/>
        <v>0</v>
      </c>
      <c r="W2623" s="1394"/>
    </row>
    <row r="2624" spans="1:23" ht="30" customHeight="1">
      <c r="A2624" s="1397"/>
      <c r="B2624" s="1513"/>
      <c r="C2624" s="1514" t="str">
        <f t="shared" si="744"/>
        <v>Women Rest Room Lobby</v>
      </c>
      <c r="D2624" s="103">
        <f t="shared" si="744"/>
        <v>1</v>
      </c>
      <c r="E2624" s="103">
        <f t="shared" si="744"/>
        <v>1</v>
      </c>
      <c r="F2624" s="1413">
        <f t="shared" si="746"/>
        <v>5.92</v>
      </c>
      <c r="G2624" s="1413"/>
      <c r="H2624" s="1414">
        <f t="shared" si="747"/>
        <v>3.18</v>
      </c>
      <c r="I2624" s="1406">
        <f t="shared" si="748"/>
        <v>18.825600000000001</v>
      </c>
      <c r="K2624" s="1413">
        <f t="shared" si="745"/>
        <v>1.23</v>
      </c>
      <c r="L2624" s="1414">
        <f t="shared" si="745"/>
        <v>1.73</v>
      </c>
      <c r="Q2624" s="1394">
        <f>IFERROR(VLOOKUP(M2624,#REF!,3,0),0)</f>
        <v>0</v>
      </c>
      <c r="R2624" s="1394">
        <f t="shared" si="741"/>
        <v>0</v>
      </c>
      <c r="S2624" s="1394">
        <f>IFERROR(VLOOKUP(M2624,#REF!,6,0),0)</f>
        <v>0</v>
      </c>
      <c r="T2624" s="1394">
        <f t="shared" si="724"/>
        <v>0</v>
      </c>
      <c r="U2624" s="1394">
        <f>IFERROR(VLOOKUP(M2624,#REF!,5,0),0)</f>
        <v>0</v>
      </c>
      <c r="V2624" s="1394">
        <f t="shared" si="725"/>
        <v>0</v>
      </c>
      <c r="W2624" s="1394"/>
    </row>
    <row r="2625" spans="1:23" ht="30" customHeight="1">
      <c r="A2625" s="1397"/>
      <c r="B2625" s="1513"/>
      <c r="C2625" s="1514" t="str">
        <f t="shared" si="744"/>
        <v>Ins  Crime  Room</v>
      </c>
      <c r="D2625" s="103">
        <f t="shared" si="744"/>
        <v>1</v>
      </c>
      <c r="E2625" s="103">
        <f t="shared" si="744"/>
        <v>1</v>
      </c>
      <c r="F2625" s="1413">
        <f t="shared" si="746"/>
        <v>18.2</v>
      </c>
      <c r="G2625" s="1413"/>
      <c r="H2625" s="1414">
        <f t="shared" si="747"/>
        <v>3.18</v>
      </c>
      <c r="I2625" s="1406">
        <f t="shared" si="748"/>
        <v>57.875999999999998</v>
      </c>
      <c r="K2625" s="1413">
        <f t="shared" si="745"/>
        <v>4</v>
      </c>
      <c r="L2625" s="1414">
        <f t="shared" si="745"/>
        <v>5.0999999999999996</v>
      </c>
      <c r="Q2625" s="1394">
        <f>IFERROR(VLOOKUP(M2625,#REF!,3,0),0)</f>
        <v>0</v>
      </c>
      <c r="R2625" s="1394">
        <f t="shared" si="741"/>
        <v>0</v>
      </c>
      <c r="S2625" s="1394">
        <f>IFERROR(VLOOKUP(M2625,#REF!,6,0),0)</f>
        <v>0</v>
      </c>
      <c r="T2625" s="1394">
        <f t="shared" si="724"/>
        <v>0</v>
      </c>
      <c r="U2625" s="1394">
        <f>IFERROR(VLOOKUP(M2625,#REF!,5,0),0)</f>
        <v>0</v>
      </c>
      <c r="V2625" s="1394">
        <f t="shared" si="725"/>
        <v>0</v>
      </c>
      <c r="W2625" s="1394"/>
    </row>
    <row r="2626" spans="1:23" ht="30" customHeight="1">
      <c r="A2626" s="1397"/>
      <c r="B2626" s="1513"/>
      <c r="C2626" s="1514" t="str">
        <f t="shared" si="744"/>
        <v xml:space="preserve"> Ins Crime Room Lobby</v>
      </c>
      <c r="D2626" s="103">
        <f t="shared" si="744"/>
        <v>1</v>
      </c>
      <c r="E2626" s="103">
        <f t="shared" si="744"/>
        <v>1</v>
      </c>
      <c r="F2626" s="1413">
        <f t="shared" si="746"/>
        <v>5.92</v>
      </c>
      <c r="G2626" s="1413"/>
      <c r="H2626" s="1414">
        <f t="shared" si="747"/>
        <v>3.18</v>
      </c>
      <c r="I2626" s="1406">
        <f t="shared" si="748"/>
        <v>18.825600000000001</v>
      </c>
      <c r="K2626" s="1413">
        <f t="shared" si="745"/>
        <v>1.23</v>
      </c>
      <c r="L2626" s="1414">
        <f t="shared" si="745"/>
        <v>1.73</v>
      </c>
      <c r="M2626" s="110"/>
      <c r="Q2626" s="1394">
        <f>IFERROR(VLOOKUP(M2626,#REF!,3,0),0)</f>
        <v>0</v>
      </c>
      <c r="R2626" s="1394">
        <f t="shared" si="741"/>
        <v>0</v>
      </c>
      <c r="S2626" s="1394">
        <f>IFERROR(VLOOKUP(M2626,#REF!,6,0),0)</f>
        <v>0</v>
      </c>
      <c r="T2626" s="1394">
        <f t="shared" si="724"/>
        <v>0</v>
      </c>
      <c r="U2626" s="1394">
        <f>IFERROR(VLOOKUP(M2626,#REF!,5,0),0)</f>
        <v>0</v>
      </c>
      <c r="V2626" s="1394">
        <f t="shared" si="725"/>
        <v>0</v>
      </c>
      <c r="W2626" s="1394"/>
    </row>
    <row r="2627" spans="1:23" ht="30" customHeight="1">
      <c r="A2627" s="1397"/>
      <c r="B2627" s="1513"/>
      <c r="C2627" s="1514" t="str">
        <f t="shared" si="744"/>
        <v>Writer Room</v>
      </c>
      <c r="D2627" s="103">
        <f t="shared" si="744"/>
        <v>1</v>
      </c>
      <c r="E2627" s="103">
        <f t="shared" si="744"/>
        <v>1</v>
      </c>
      <c r="F2627" s="1413">
        <f t="shared" si="746"/>
        <v>16.43</v>
      </c>
      <c r="G2627" s="1413"/>
      <c r="H2627" s="1414">
        <f t="shared" si="747"/>
        <v>3.18</v>
      </c>
      <c r="I2627" s="1406">
        <f t="shared" si="748"/>
        <v>52.247399999999999</v>
      </c>
      <c r="K2627" s="1413">
        <f t="shared" si="745"/>
        <v>3.1150000000000002</v>
      </c>
      <c r="L2627" s="1414">
        <f t="shared" si="745"/>
        <v>5.0999999999999996</v>
      </c>
      <c r="M2627" s="110"/>
      <c r="Q2627" s="1394">
        <f>IFERROR(VLOOKUP(M2627,#REF!,3,0),0)</f>
        <v>0</v>
      </c>
      <c r="R2627" s="1394">
        <f t="shared" si="741"/>
        <v>0</v>
      </c>
      <c r="S2627" s="1394">
        <f>IFERROR(VLOOKUP(M2627,#REF!,6,0),0)</f>
        <v>0</v>
      </c>
      <c r="T2627" s="1394">
        <f t="shared" si="724"/>
        <v>0</v>
      </c>
      <c r="U2627" s="1394">
        <f>IFERROR(VLOOKUP(M2627,#REF!,5,0),0)</f>
        <v>0</v>
      </c>
      <c r="V2627" s="1394">
        <f t="shared" si="725"/>
        <v>0</v>
      </c>
      <c r="W2627" s="1394"/>
    </row>
    <row r="2628" spans="1:23" ht="30" customHeight="1">
      <c r="A2628" s="1397"/>
      <c r="B2628" s="1513"/>
      <c r="C2628" s="1514" t="str">
        <f>C2190</f>
        <v>Hall</v>
      </c>
      <c r="D2628" s="103">
        <f>D2190</f>
        <v>1</v>
      </c>
      <c r="E2628" s="103">
        <f>E2190</f>
        <v>1</v>
      </c>
      <c r="F2628" s="1413">
        <f t="shared" si="746"/>
        <v>31.29</v>
      </c>
      <c r="G2628" s="1413"/>
      <c r="H2628" s="1414">
        <f t="shared" si="747"/>
        <v>3.18</v>
      </c>
      <c r="I2628" s="1406">
        <f t="shared" si="748"/>
        <v>99.502200000000002</v>
      </c>
      <c r="K2628" s="1413">
        <f>F2190</f>
        <v>9.8849999999999998</v>
      </c>
      <c r="L2628" s="1414">
        <f>G2190</f>
        <v>5.76</v>
      </c>
      <c r="M2628" s="110"/>
      <c r="Q2628" s="1394">
        <f>IFERROR(VLOOKUP(M2628,#REF!,3,0),0)</f>
        <v>0</v>
      </c>
      <c r="R2628" s="1394">
        <f t="shared" si="741"/>
        <v>0</v>
      </c>
      <c r="S2628" s="1394">
        <f>IFERROR(VLOOKUP(M2628,#REF!,6,0),0)</f>
        <v>0</v>
      </c>
      <c r="T2628" s="1394">
        <f t="shared" si="724"/>
        <v>0</v>
      </c>
      <c r="U2628" s="1394">
        <f>IFERROR(VLOOKUP(M2628,#REF!,5,0),0)</f>
        <v>0</v>
      </c>
      <c r="V2628" s="1394">
        <f t="shared" si="725"/>
        <v>0</v>
      </c>
      <c r="W2628" s="1394"/>
    </row>
    <row r="2629" spans="1:23" ht="30" customHeight="1">
      <c r="A2629" s="1397"/>
      <c r="B2629" s="1513"/>
      <c r="C2629" s="1514" t="str">
        <f t="shared" ref="C2629:E2634" si="749">C2225</f>
        <v>Computer Room</v>
      </c>
      <c r="D2629" s="103">
        <f t="shared" si="749"/>
        <v>1</v>
      </c>
      <c r="E2629" s="103">
        <f t="shared" si="749"/>
        <v>1</v>
      </c>
      <c r="F2629" s="1413">
        <f t="shared" si="746"/>
        <v>16.03</v>
      </c>
      <c r="G2629" s="1413"/>
      <c r="H2629" s="1414">
        <f t="shared" si="747"/>
        <v>3.18</v>
      </c>
      <c r="I2629" s="1406">
        <f t="shared" si="748"/>
        <v>50.975400000000008</v>
      </c>
      <c r="K2629" s="1413">
        <f t="shared" ref="K2629:L2634" si="750">F2225</f>
        <v>4.1150000000000002</v>
      </c>
      <c r="L2629" s="1414">
        <f t="shared" si="750"/>
        <v>3.9</v>
      </c>
      <c r="M2629" s="110"/>
      <c r="Q2629" s="1394">
        <f>IFERROR(VLOOKUP(M2629,#REF!,3,0),0)</f>
        <v>0</v>
      </c>
      <c r="R2629" s="1394">
        <f t="shared" si="741"/>
        <v>0</v>
      </c>
      <c r="S2629" s="1394">
        <f>IFERROR(VLOOKUP(M2629,#REF!,6,0),0)</f>
        <v>0</v>
      </c>
      <c r="T2629" s="1394">
        <f t="shared" si="724"/>
        <v>0</v>
      </c>
      <c r="U2629" s="1394">
        <f>IFERROR(VLOOKUP(M2629,#REF!,5,0),0)</f>
        <v>0</v>
      </c>
      <c r="V2629" s="1394">
        <f t="shared" si="725"/>
        <v>0</v>
      </c>
      <c r="W2629" s="1394"/>
    </row>
    <row r="2630" spans="1:23" ht="30" customHeight="1">
      <c r="A2630" s="1397"/>
      <c r="B2630" s="1513"/>
      <c r="C2630" s="1514" t="str">
        <f t="shared" si="749"/>
        <v>Computer Room Verandah</v>
      </c>
      <c r="D2630" s="103">
        <f t="shared" si="749"/>
        <v>1</v>
      </c>
      <c r="E2630" s="103">
        <f t="shared" si="749"/>
        <v>1</v>
      </c>
      <c r="F2630" s="1413">
        <f t="shared" si="746"/>
        <v>5</v>
      </c>
      <c r="G2630" s="1413"/>
      <c r="H2630" s="1414">
        <f t="shared" si="747"/>
        <v>3.18</v>
      </c>
      <c r="I2630" s="1406">
        <f t="shared" si="748"/>
        <v>15.9</v>
      </c>
      <c r="K2630" s="1413">
        <f t="shared" si="750"/>
        <v>1.5</v>
      </c>
      <c r="L2630" s="1414">
        <f t="shared" si="750"/>
        <v>1</v>
      </c>
      <c r="M2630" s="110"/>
      <c r="Q2630" s="1394">
        <f>IFERROR(VLOOKUP(M2630,#REF!,3,0),0)</f>
        <v>0</v>
      </c>
      <c r="R2630" s="1394">
        <f t="shared" si="741"/>
        <v>0</v>
      </c>
      <c r="S2630" s="1394">
        <f>IFERROR(VLOOKUP(M2630,#REF!,6,0),0)</f>
        <v>0</v>
      </c>
      <c r="T2630" s="1394">
        <f t="shared" si="724"/>
        <v>0</v>
      </c>
      <c r="U2630" s="1394">
        <f>IFERROR(VLOOKUP(M2630,#REF!,5,0),0)</f>
        <v>0</v>
      </c>
      <c r="V2630" s="1394">
        <f t="shared" si="725"/>
        <v>0</v>
      </c>
      <c r="W2630" s="1394"/>
    </row>
    <row r="2631" spans="1:23" ht="30" customHeight="1">
      <c r="A2631" s="1397"/>
      <c r="B2631" s="1513"/>
      <c r="C2631" s="1514" t="str">
        <f t="shared" si="749"/>
        <v>SI room</v>
      </c>
      <c r="D2631" s="103">
        <f t="shared" si="749"/>
        <v>1</v>
      </c>
      <c r="E2631" s="103">
        <f t="shared" si="749"/>
        <v>1</v>
      </c>
      <c r="F2631" s="1413">
        <f t="shared" si="746"/>
        <v>20.88</v>
      </c>
      <c r="G2631" s="1413"/>
      <c r="H2631" s="1414">
        <f t="shared" si="747"/>
        <v>3.18</v>
      </c>
      <c r="I2631" s="1406">
        <f t="shared" si="748"/>
        <v>66.398399999999995</v>
      </c>
      <c r="K2631" s="1413">
        <f t="shared" si="750"/>
        <v>6.54</v>
      </c>
      <c r="L2631" s="1414">
        <f t="shared" si="750"/>
        <v>3.9</v>
      </c>
      <c r="M2631" s="110"/>
      <c r="Q2631" s="1394">
        <f>IFERROR(VLOOKUP(M2631,#REF!,3,0),0)</f>
        <v>0</v>
      </c>
      <c r="R2631" s="1394">
        <f t="shared" si="741"/>
        <v>0</v>
      </c>
      <c r="S2631" s="1394">
        <f>IFERROR(VLOOKUP(M2631,#REF!,6,0),0)</f>
        <v>0</v>
      </c>
      <c r="T2631" s="1394">
        <f t="shared" si="724"/>
        <v>0</v>
      </c>
      <c r="U2631" s="1394">
        <f>IFERROR(VLOOKUP(M2631,#REF!,5,0),0)</f>
        <v>0</v>
      </c>
      <c r="V2631" s="1394">
        <f t="shared" si="725"/>
        <v>0</v>
      </c>
      <c r="W2631" s="1394"/>
    </row>
    <row r="2632" spans="1:23" ht="30" customHeight="1">
      <c r="A2632" s="1397"/>
      <c r="B2632" s="1513"/>
      <c r="C2632" s="1514" t="str">
        <f t="shared" si="749"/>
        <v>Record Room</v>
      </c>
      <c r="D2632" s="103">
        <f t="shared" si="749"/>
        <v>1</v>
      </c>
      <c r="E2632" s="103">
        <f t="shared" si="749"/>
        <v>1</v>
      </c>
      <c r="F2632" s="1413">
        <f t="shared" si="746"/>
        <v>8.57</v>
      </c>
      <c r="G2632" s="1413"/>
      <c r="H2632" s="1414">
        <f t="shared" si="747"/>
        <v>3.18</v>
      </c>
      <c r="I2632" s="1406">
        <f t="shared" si="748"/>
        <v>27.252600000000001</v>
      </c>
      <c r="K2632" s="1413">
        <f t="shared" si="750"/>
        <v>1.9650000000000001</v>
      </c>
      <c r="L2632" s="1414">
        <f t="shared" si="750"/>
        <v>2.3199999999999998</v>
      </c>
      <c r="M2632" s="110"/>
      <c r="Q2632" s="1394">
        <f>IFERROR(VLOOKUP(M2632,#REF!,3,0),0)</f>
        <v>0</v>
      </c>
      <c r="R2632" s="1394">
        <f t="shared" si="741"/>
        <v>0</v>
      </c>
      <c r="S2632" s="1394">
        <f>IFERROR(VLOOKUP(M2632,#REF!,6,0),0)</f>
        <v>0</v>
      </c>
      <c r="T2632" s="1394">
        <f t="shared" si="724"/>
        <v>0</v>
      </c>
      <c r="U2632" s="1394">
        <f>IFERROR(VLOOKUP(M2632,#REF!,5,0),0)</f>
        <v>0</v>
      </c>
      <c r="V2632" s="1394">
        <f t="shared" si="725"/>
        <v>0</v>
      </c>
      <c r="W2632" s="1394"/>
    </row>
    <row r="2633" spans="1:23" ht="30" customHeight="1">
      <c r="A2633" s="1397"/>
      <c r="B2633" s="1513"/>
      <c r="C2633" s="1514" t="str">
        <f t="shared" si="749"/>
        <v>Interogation</v>
      </c>
      <c r="D2633" s="103">
        <f t="shared" si="749"/>
        <v>1</v>
      </c>
      <c r="E2633" s="103">
        <f t="shared" si="749"/>
        <v>1</v>
      </c>
      <c r="F2633" s="1413">
        <f t="shared" si="746"/>
        <v>12.4</v>
      </c>
      <c r="G2633" s="1413"/>
      <c r="H2633" s="1414">
        <f t="shared" si="747"/>
        <v>3.18</v>
      </c>
      <c r="I2633" s="1406">
        <f t="shared" si="748"/>
        <v>39.432000000000002</v>
      </c>
      <c r="K2633" s="1413">
        <f t="shared" si="750"/>
        <v>3.7650000000000001</v>
      </c>
      <c r="L2633" s="1414">
        <f t="shared" si="750"/>
        <v>2.4350000000000001</v>
      </c>
      <c r="M2633" s="110"/>
      <c r="Q2633" s="1394">
        <f>IFERROR(VLOOKUP(M2633,#REF!,3,0),0)</f>
        <v>0</v>
      </c>
      <c r="R2633" s="1394">
        <f t="shared" si="741"/>
        <v>0</v>
      </c>
      <c r="S2633" s="1394">
        <f>IFERROR(VLOOKUP(M2633,#REF!,6,0),0)</f>
        <v>0</v>
      </c>
      <c r="T2633" s="1394">
        <f t="shared" si="724"/>
        <v>0</v>
      </c>
      <c r="U2633" s="1394">
        <f>IFERROR(VLOOKUP(M2633,#REF!,5,0),0)</f>
        <v>0</v>
      </c>
      <c r="V2633" s="1394">
        <f t="shared" si="725"/>
        <v>0</v>
      </c>
      <c r="W2633" s="1394"/>
    </row>
    <row r="2634" spans="1:23" ht="30" customHeight="1">
      <c r="A2634" s="1397"/>
      <c r="B2634" s="1513"/>
      <c r="C2634" s="1514" t="str">
        <f t="shared" si="749"/>
        <v>Interogation Lobby</v>
      </c>
      <c r="D2634" s="103">
        <f t="shared" si="749"/>
        <v>1</v>
      </c>
      <c r="E2634" s="103">
        <f t="shared" si="749"/>
        <v>1</v>
      </c>
      <c r="F2634" s="1413">
        <f t="shared" si="746"/>
        <v>11.09</v>
      </c>
      <c r="G2634" s="1413"/>
      <c r="H2634" s="1414">
        <f t="shared" si="747"/>
        <v>3.18</v>
      </c>
      <c r="I2634" s="1406">
        <f t="shared" si="748"/>
        <v>35.266199999999998</v>
      </c>
      <c r="K2634" s="1413">
        <f t="shared" si="750"/>
        <v>3.9649999999999999</v>
      </c>
      <c r="L2634" s="1414">
        <f t="shared" si="750"/>
        <v>1.58</v>
      </c>
      <c r="M2634" s="110"/>
      <c r="Q2634" s="1394">
        <f>IFERROR(VLOOKUP(M2634,#REF!,3,0),0)</f>
        <v>0</v>
      </c>
      <c r="R2634" s="1394">
        <f t="shared" si="741"/>
        <v>0</v>
      </c>
      <c r="S2634" s="1394">
        <f>IFERROR(VLOOKUP(M2634,#REF!,6,0),0)</f>
        <v>0</v>
      </c>
      <c r="T2634" s="1394">
        <f t="shared" si="724"/>
        <v>0</v>
      </c>
      <c r="U2634" s="1394">
        <f>IFERROR(VLOOKUP(M2634,#REF!,5,0),0)</f>
        <v>0</v>
      </c>
      <c r="V2634" s="1394">
        <f t="shared" si="725"/>
        <v>0</v>
      </c>
      <c r="W2634" s="1394"/>
    </row>
    <row r="2635" spans="1:23" ht="30" customHeight="1">
      <c r="A2635" s="1397"/>
      <c r="B2635" s="1513"/>
      <c r="C2635" s="1412" t="s">
        <v>5852</v>
      </c>
      <c r="D2635" s="103"/>
      <c r="E2635" s="103"/>
      <c r="F2635" s="1413">
        <f t="shared" ref="F2635:F2648" si="751">(K2635+L2635)*2</f>
        <v>0</v>
      </c>
      <c r="G2635" s="1413"/>
      <c r="H2635" s="1414"/>
      <c r="I2635" s="1406">
        <f t="shared" si="743"/>
        <v>0</v>
      </c>
      <c r="L2635" s="1397"/>
      <c r="M2635" s="110"/>
      <c r="Q2635" s="1394">
        <f>IFERROR(VLOOKUP(M2635,#REF!,3,0),0)</f>
        <v>0</v>
      </c>
      <c r="R2635" s="1394">
        <f t="shared" si="741"/>
        <v>0</v>
      </c>
      <c r="S2635" s="1394">
        <f>IFERROR(VLOOKUP(M2635,#REF!,6,0),0)</f>
        <v>0</v>
      </c>
      <c r="T2635" s="1394">
        <f t="shared" si="724"/>
        <v>0</v>
      </c>
      <c r="U2635" s="1394">
        <f>IFERROR(VLOOKUP(M2635,#REF!,5,0),0)</f>
        <v>0</v>
      </c>
      <c r="V2635" s="1394">
        <f t="shared" si="725"/>
        <v>0</v>
      </c>
      <c r="W2635" s="1394"/>
    </row>
    <row r="2636" spans="1:23" ht="30" customHeight="1">
      <c r="A2636" s="1397"/>
      <c r="B2636" s="1513"/>
      <c r="C2636" s="1455" t="str">
        <f>C2407</f>
        <v>Women Rest Room Toilet</v>
      </c>
      <c r="D2636" s="103">
        <f>D2407</f>
        <v>1</v>
      </c>
      <c r="E2636" s="103">
        <f>E2407</f>
        <v>1</v>
      </c>
      <c r="F2636" s="1413">
        <f t="shared" si="751"/>
        <v>6.3</v>
      </c>
      <c r="G2636" s="1413"/>
      <c r="H2636" s="1414">
        <f>H2634</f>
        <v>3.18</v>
      </c>
      <c r="I2636" s="1406">
        <f t="shared" si="743"/>
        <v>20.033999999999999</v>
      </c>
      <c r="K2636" s="1413">
        <f>F2407</f>
        <v>1.65</v>
      </c>
      <c r="L2636" s="1414">
        <f>G2407</f>
        <v>1.5</v>
      </c>
      <c r="M2636" s="110"/>
      <c r="Q2636" s="1394">
        <f>IFERROR(VLOOKUP(M2636,#REF!,3,0),0)</f>
        <v>0</v>
      </c>
      <c r="R2636" s="1394">
        <f t="shared" si="741"/>
        <v>0</v>
      </c>
      <c r="S2636" s="1394">
        <f>IFERROR(VLOOKUP(M2636,#REF!,6,0),0)</f>
        <v>0</v>
      </c>
      <c r="T2636" s="1394">
        <f t="shared" si="724"/>
        <v>0</v>
      </c>
      <c r="U2636" s="1394">
        <f>IFERROR(VLOOKUP(M2636,#REF!,5,0),0)</f>
        <v>0</v>
      </c>
      <c r="V2636" s="1394">
        <f t="shared" si="725"/>
        <v>0</v>
      </c>
      <c r="W2636" s="1394"/>
    </row>
    <row r="2637" spans="1:23" ht="30" customHeight="1">
      <c r="A2637" s="1397"/>
      <c r="B2637" s="1513"/>
      <c r="C2637" s="1455" t="str">
        <f>C2409</f>
        <v>Women Rest Room  Toilet Passage</v>
      </c>
      <c r="D2637" s="103">
        <f>D2409</f>
        <v>1</v>
      </c>
      <c r="E2637" s="103">
        <f>E2409</f>
        <v>1</v>
      </c>
      <c r="F2637" s="1413">
        <f t="shared" si="751"/>
        <v>5.24</v>
      </c>
      <c r="G2637" s="1413"/>
      <c r="H2637" s="1414">
        <f t="shared" ref="H2637:H2648" si="752">H2636</f>
        <v>3.18</v>
      </c>
      <c r="I2637" s="1406">
        <f t="shared" si="743"/>
        <v>16.6632</v>
      </c>
      <c r="K2637" s="1413">
        <f t="shared" ref="K2637:L2639" si="753">F2409</f>
        <v>1.1200000000000001</v>
      </c>
      <c r="L2637" s="1414">
        <f t="shared" si="753"/>
        <v>1.5</v>
      </c>
      <c r="M2637" s="110"/>
      <c r="Q2637" s="1394">
        <f>IFERROR(VLOOKUP(M2637,#REF!,3,0),0)</f>
        <v>0</v>
      </c>
      <c r="R2637" s="1394">
        <f t="shared" si="741"/>
        <v>0</v>
      </c>
      <c r="S2637" s="1394">
        <f>IFERROR(VLOOKUP(M2637,#REF!,6,0),0)</f>
        <v>0</v>
      </c>
      <c r="T2637" s="1394">
        <f t="shared" ref="T2637:T2700" si="754">R2637-S2637</f>
        <v>0</v>
      </c>
      <c r="U2637" s="1394">
        <f>IFERROR(VLOOKUP(M2637,#REF!,5,0),0)</f>
        <v>0</v>
      </c>
      <c r="V2637" s="1394">
        <f t="shared" ref="V2637:V2700" si="755">O2637-U2637</f>
        <v>0</v>
      </c>
      <c r="W2637" s="1394"/>
    </row>
    <row r="2638" spans="1:23" ht="30" customHeight="1">
      <c r="A2638" s="1397"/>
      <c r="B2638" s="1513"/>
      <c r="C2638" s="1455" t="str">
        <f>C2410</f>
        <v>O</v>
      </c>
      <c r="D2638" s="103">
        <v>-1</v>
      </c>
      <c r="E2638" s="103">
        <f>E2410</f>
        <v>1</v>
      </c>
      <c r="F2638" s="1413">
        <f t="shared" si="751"/>
        <v>2.46</v>
      </c>
      <c r="G2638" s="1413"/>
      <c r="H2638" s="1414">
        <f t="shared" si="752"/>
        <v>3.18</v>
      </c>
      <c r="I2638" s="1406">
        <f t="shared" si="743"/>
        <v>-7.8228</v>
      </c>
      <c r="K2638" s="1413">
        <f t="shared" si="753"/>
        <v>0.23</v>
      </c>
      <c r="L2638" s="1414">
        <f t="shared" si="753"/>
        <v>1</v>
      </c>
      <c r="M2638" s="110"/>
      <c r="Q2638" s="1394">
        <f>IFERROR(VLOOKUP(M2638,#REF!,3,0),0)</f>
        <v>0</v>
      </c>
      <c r="R2638" s="1394">
        <f t="shared" si="741"/>
        <v>0</v>
      </c>
      <c r="S2638" s="1394">
        <f>IFERROR(VLOOKUP(M2638,#REF!,6,0),0)</f>
        <v>0</v>
      </c>
      <c r="T2638" s="1394">
        <f t="shared" si="754"/>
        <v>0</v>
      </c>
      <c r="U2638" s="1394">
        <f>IFERROR(VLOOKUP(M2638,#REF!,5,0),0)</f>
        <v>0</v>
      </c>
      <c r="V2638" s="1394">
        <f t="shared" si="755"/>
        <v>0</v>
      </c>
      <c r="W2638" s="1394"/>
    </row>
    <row r="2639" spans="1:23" ht="30" customHeight="1">
      <c r="A2639" s="1397"/>
      <c r="B2639" s="1513"/>
      <c r="C2639" s="1455" t="str">
        <f>C2411</f>
        <v>INS  Room Toilet</v>
      </c>
      <c r="D2639" s="103">
        <f>D2411</f>
        <v>1</v>
      </c>
      <c r="E2639" s="103">
        <f>E2411</f>
        <v>1</v>
      </c>
      <c r="F2639" s="1413">
        <f t="shared" si="751"/>
        <v>6.3</v>
      </c>
      <c r="G2639" s="1413"/>
      <c r="H2639" s="1414">
        <f t="shared" si="752"/>
        <v>3.18</v>
      </c>
      <c r="I2639" s="1406">
        <f t="shared" si="743"/>
        <v>20.033999999999999</v>
      </c>
      <c r="K2639" s="1413">
        <f t="shared" si="753"/>
        <v>1.65</v>
      </c>
      <c r="L2639" s="1414">
        <f t="shared" si="753"/>
        <v>1.5</v>
      </c>
      <c r="M2639" s="110"/>
      <c r="Q2639" s="1394">
        <f>IFERROR(VLOOKUP(M2639,#REF!,3,0),0)</f>
        <v>0</v>
      </c>
      <c r="R2639" s="1394">
        <f t="shared" si="741"/>
        <v>0</v>
      </c>
      <c r="S2639" s="1394">
        <f>IFERROR(VLOOKUP(M2639,#REF!,6,0),0)</f>
        <v>0</v>
      </c>
      <c r="T2639" s="1394">
        <f t="shared" si="754"/>
        <v>0</v>
      </c>
      <c r="U2639" s="1394">
        <f>IFERROR(VLOOKUP(M2639,#REF!,5,0),0)</f>
        <v>0</v>
      </c>
      <c r="V2639" s="1394">
        <f t="shared" si="755"/>
        <v>0</v>
      </c>
      <c r="W2639" s="1394"/>
    </row>
    <row r="2640" spans="1:23" ht="30" customHeight="1">
      <c r="A2640" s="1397"/>
      <c r="B2640" s="1513"/>
      <c r="C2640" s="1455" t="str">
        <f>C2413</f>
        <v>INS  Room Toilet Passage</v>
      </c>
      <c r="D2640" s="103">
        <f>D2413</f>
        <v>1</v>
      </c>
      <c r="E2640" s="103">
        <f>E2413</f>
        <v>1</v>
      </c>
      <c r="F2640" s="1413">
        <f t="shared" si="751"/>
        <v>5.24</v>
      </c>
      <c r="G2640" s="1413"/>
      <c r="H2640" s="1414">
        <f t="shared" si="752"/>
        <v>3.18</v>
      </c>
      <c r="I2640" s="1406">
        <f t="shared" si="743"/>
        <v>16.6632</v>
      </c>
      <c r="K2640" s="1413">
        <f t="shared" ref="K2640:L2642" si="756">F2413</f>
        <v>1.1200000000000001</v>
      </c>
      <c r="L2640" s="1414">
        <f t="shared" si="756"/>
        <v>1.5</v>
      </c>
      <c r="M2640" s="110"/>
      <c r="Q2640" s="1394">
        <f>IFERROR(VLOOKUP(M2640,#REF!,3,0),0)</f>
        <v>0</v>
      </c>
      <c r="R2640" s="1394">
        <f t="shared" si="741"/>
        <v>0</v>
      </c>
      <c r="S2640" s="1394">
        <f>IFERROR(VLOOKUP(M2640,#REF!,6,0),0)</f>
        <v>0</v>
      </c>
      <c r="T2640" s="1394">
        <f t="shared" si="754"/>
        <v>0</v>
      </c>
      <c r="U2640" s="1394">
        <f>IFERROR(VLOOKUP(M2640,#REF!,5,0),0)</f>
        <v>0</v>
      </c>
      <c r="V2640" s="1394">
        <f t="shared" si="755"/>
        <v>0</v>
      </c>
      <c r="W2640" s="1394"/>
    </row>
    <row r="2641" spans="1:23" ht="30" customHeight="1">
      <c r="A2641" s="1397"/>
      <c r="B2641" s="1513"/>
      <c r="C2641" s="1455" t="str">
        <f>C2414</f>
        <v>O</v>
      </c>
      <c r="D2641" s="103">
        <v>-1</v>
      </c>
      <c r="E2641" s="103">
        <f>E2414</f>
        <v>1</v>
      </c>
      <c r="F2641" s="1413">
        <f t="shared" si="751"/>
        <v>2.46</v>
      </c>
      <c r="G2641" s="1413"/>
      <c r="H2641" s="1414">
        <f t="shared" si="752"/>
        <v>3.18</v>
      </c>
      <c r="I2641" s="1406">
        <f t="shared" si="743"/>
        <v>-7.8228</v>
      </c>
      <c r="K2641" s="1413">
        <f t="shared" si="756"/>
        <v>0.23</v>
      </c>
      <c r="L2641" s="1414">
        <f t="shared" si="756"/>
        <v>1</v>
      </c>
      <c r="M2641" s="110"/>
      <c r="Q2641" s="1394">
        <f>IFERROR(VLOOKUP(M2641,#REF!,3,0),0)</f>
        <v>0</v>
      </c>
      <c r="R2641" s="1394">
        <f t="shared" si="741"/>
        <v>0</v>
      </c>
      <c r="S2641" s="1394">
        <f>IFERROR(VLOOKUP(M2641,#REF!,6,0),0)</f>
        <v>0</v>
      </c>
      <c r="T2641" s="1394">
        <f t="shared" si="754"/>
        <v>0</v>
      </c>
      <c r="U2641" s="1394">
        <f>IFERROR(VLOOKUP(M2641,#REF!,5,0),0)</f>
        <v>0</v>
      </c>
      <c r="V2641" s="1394">
        <f t="shared" si="755"/>
        <v>0</v>
      </c>
      <c r="W2641" s="1394"/>
    </row>
    <row r="2642" spans="1:23" ht="30" customHeight="1">
      <c r="A2642" s="1397"/>
      <c r="B2642" s="1513"/>
      <c r="C2642" s="1455" t="str">
        <f>C2415</f>
        <v xml:space="preserve">Lock up Women &amp; Men </v>
      </c>
      <c r="D2642" s="103">
        <f>D2415</f>
        <v>1</v>
      </c>
      <c r="E2642" s="103">
        <f>E2415</f>
        <v>2</v>
      </c>
      <c r="F2642" s="1413">
        <f t="shared" si="751"/>
        <v>4.4000000000000004</v>
      </c>
      <c r="G2642" s="1413"/>
      <c r="H2642" s="1414">
        <f t="shared" si="752"/>
        <v>3.18</v>
      </c>
      <c r="I2642" s="1406">
        <f t="shared" si="743"/>
        <v>27.984000000000005</v>
      </c>
      <c r="K2642" s="1413">
        <f t="shared" si="756"/>
        <v>1</v>
      </c>
      <c r="L2642" s="1414">
        <f t="shared" si="756"/>
        <v>1.2</v>
      </c>
      <c r="M2642" s="110"/>
      <c r="Q2642" s="1394">
        <f>IFERROR(VLOOKUP(M2642,#REF!,3,0),0)</f>
        <v>0</v>
      </c>
      <c r="R2642" s="1394">
        <f t="shared" si="741"/>
        <v>0</v>
      </c>
      <c r="S2642" s="1394">
        <f>IFERROR(VLOOKUP(M2642,#REF!,6,0),0)</f>
        <v>0</v>
      </c>
      <c r="T2642" s="1394">
        <f t="shared" si="754"/>
        <v>0</v>
      </c>
      <c r="U2642" s="1394">
        <f>IFERROR(VLOOKUP(M2642,#REF!,5,0),0)</f>
        <v>0</v>
      </c>
      <c r="V2642" s="1394">
        <f t="shared" si="755"/>
        <v>0</v>
      </c>
      <c r="W2642" s="1394"/>
    </row>
    <row r="2643" spans="1:23" ht="30" customHeight="1">
      <c r="A2643" s="1397"/>
      <c r="B2643" s="1513"/>
      <c r="C2643" s="1455" t="str">
        <f>C2417</f>
        <v>Common Toilet</v>
      </c>
      <c r="D2643" s="103">
        <f>D2417</f>
        <v>1</v>
      </c>
      <c r="E2643" s="103">
        <f>E2417</f>
        <v>1</v>
      </c>
      <c r="F2643" s="1413">
        <f t="shared" si="751"/>
        <v>5.4</v>
      </c>
      <c r="G2643" s="1413"/>
      <c r="H2643" s="1414">
        <f t="shared" si="752"/>
        <v>3.18</v>
      </c>
      <c r="I2643" s="1406">
        <f t="shared" si="743"/>
        <v>17.172000000000001</v>
      </c>
      <c r="K2643" s="1413">
        <f>F2417</f>
        <v>1.5</v>
      </c>
      <c r="L2643" s="1414">
        <f>G2417</f>
        <v>1.2</v>
      </c>
      <c r="M2643" s="110"/>
      <c r="Q2643" s="1394">
        <f>IFERROR(VLOOKUP(M2643,#REF!,3,0),0)</f>
        <v>0</v>
      </c>
      <c r="R2643" s="1394">
        <f t="shared" si="741"/>
        <v>0</v>
      </c>
      <c r="S2643" s="1394">
        <f>IFERROR(VLOOKUP(M2643,#REF!,6,0),0)</f>
        <v>0</v>
      </c>
      <c r="T2643" s="1394">
        <f t="shared" si="754"/>
        <v>0</v>
      </c>
      <c r="U2643" s="1394">
        <f>IFERROR(VLOOKUP(M2643,#REF!,5,0),0)</f>
        <v>0</v>
      </c>
      <c r="V2643" s="1394">
        <f t="shared" si="755"/>
        <v>0</v>
      </c>
      <c r="W2643" s="1394"/>
    </row>
    <row r="2644" spans="1:23" ht="30" customHeight="1">
      <c r="A2644" s="1397"/>
      <c r="B2644" s="1513"/>
      <c r="C2644" s="1455" t="str">
        <f>C2419</f>
        <v xml:space="preserve"> Passage</v>
      </c>
      <c r="D2644" s="103">
        <f>D2419</f>
        <v>1</v>
      </c>
      <c r="E2644" s="103">
        <f>E2419</f>
        <v>1</v>
      </c>
      <c r="F2644" s="1413">
        <f t="shared" si="751"/>
        <v>5.2</v>
      </c>
      <c r="G2644" s="1413"/>
      <c r="H2644" s="1414">
        <f t="shared" si="752"/>
        <v>3.18</v>
      </c>
      <c r="I2644" s="1406">
        <f t="shared" si="743"/>
        <v>16.536000000000001</v>
      </c>
      <c r="K2644" s="1413">
        <f t="shared" ref="K2644:L2646" si="757">F2419</f>
        <v>1.5</v>
      </c>
      <c r="L2644" s="1414">
        <f t="shared" si="757"/>
        <v>1.1000000000000001</v>
      </c>
      <c r="M2644" s="110"/>
      <c r="Q2644" s="1394">
        <f>IFERROR(VLOOKUP(M2644,#REF!,3,0),0)</f>
        <v>0</v>
      </c>
      <c r="R2644" s="1394">
        <f t="shared" si="741"/>
        <v>0</v>
      </c>
      <c r="S2644" s="1394">
        <f>IFERROR(VLOOKUP(M2644,#REF!,6,0),0)</f>
        <v>0</v>
      </c>
      <c r="T2644" s="1394">
        <f t="shared" si="754"/>
        <v>0</v>
      </c>
      <c r="U2644" s="1394">
        <f>IFERROR(VLOOKUP(M2644,#REF!,5,0),0)</f>
        <v>0</v>
      </c>
      <c r="V2644" s="1394">
        <f t="shared" si="755"/>
        <v>0</v>
      </c>
      <c r="W2644" s="1394"/>
    </row>
    <row r="2645" spans="1:23" ht="30" customHeight="1">
      <c r="A2645" s="1397"/>
      <c r="B2645" s="1513"/>
      <c r="C2645" s="1455" t="str">
        <f>C2420</f>
        <v>O</v>
      </c>
      <c r="D2645" s="103">
        <v>-1</v>
      </c>
      <c r="E2645" s="103">
        <f>E2420</f>
        <v>1</v>
      </c>
      <c r="F2645" s="1413">
        <f t="shared" si="751"/>
        <v>2.0300000000000002</v>
      </c>
      <c r="G2645" s="1413"/>
      <c r="H2645" s="1414">
        <f t="shared" si="752"/>
        <v>3.18</v>
      </c>
      <c r="I2645" s="1406">
        <f t="shared" si="743"/>
        <v>-6.4554000000000009</v>
      </c>
      <c r="K2645" s="1413">
        <f t="shared" si="757"/>
        <v>0.115</v>
      </c>
      <c r="L2645" s="1414">
        <f t="shared" si="757"/>
        <v>0.9</v>
      </c>
      <c r="M2645" s="110"/>
      <c r="Q2645" s="1394">
        <f>IFERROR(VLOOKUP(M2645,#REF!,3,0),0)</f>
        <v>0</v>
      </c>
      <c r="R2645" s="1394">
        <f t="shared" si="741"/>
        <v>0</v>
      </c>
      <c r="S2645" s="1394">
        <f>IFERROR(VLOOKUP(M2645,#REF!,6,0),0)</f>
        <v>0</v>
      </c>
      <c r="T2645" s="1394">
        <f t="shared" si="754"/>
        <v>0</v>
      </c>
      <c r="U2645" s="1394">
        <f>IFERROR(VLOOKUP(M2645,#REF!,5,0),0)</f>
        <v>0</v>
      </c>
      <c r="V2645" s="1394">
        <f t="shared" si="755"/>
        <v>0</v>
      </c>
      <c r="W2645" s="1394"/>
    </row>
    <row r="2646" spans="1:23" ht="30" customHeight="1">
      <c r="A2646" s="1397"/>
      <c r="B2646" s="1513"/>
      <c r="C2646" s="1455" t="str">
        <f>C2421</f>
        <v>Common Toilet-II</v>
      </c>
      <c r="D2646" s="103">
        <f>D2421</f>
        <v>1</v>
      </c>
      <c r="E2646" s="103">
        <f>E2421</f>
        <v>1</v>
      </c>
      <c r="F2646" s="1413">
        <f t="shared" si="751"/>
        <v>5.77</v>
      </c>
      <c r="G2646" s="1413"/>
      <c r="H2646" s="1414">
        <f t="shared" si="752"/>
        <v>3.18</v>
      </c>
      <c r="I2646" s="1406">
        <f t="shared" si="743"/>
        <v>18.348600000000001</v>
      </c>
      <c r="K2646" s="1413">
        <f t="shared" si="757"/>
        <v>1.65</v>
      </c>
      <c r="L2646" s="1414">
        <f t="shared" si="757"/>
        <v>1.2350000000000001</v>
      </c>
      <c r="M2646" s="110"/>
      <c r="Q2646" s="1394">
        <f>IFERROR(VLOOKUP(M2646,#REF!,3,0),0)</f>
        <v>0</v>
      </c>
      <c r="R2646" s="1394">
        <f t="shared" si="741"/>
        <v>0</v>
      </c>
      <c r="S2646" s="1394">
        <f>IFERROR(VLOOKUP(M2646,#REF!,6,0),0)</f>
        <v>0</v>
      </c>
      <c r="T2646" s="1394">
        <f t="shared" si="754"/>
        <v>0</v>
      </c>
      <c r="U2646" s="1394">
        <f>IFERROR(VLOOKUP(M2646,#REF!,5,0),0)</f>
        <v>0</v>
      </c>
      <c r="V2646" s="1394">
        <f t="shared" si="755"/>
        <v>0</v>
      </c>
      <c r="W2646" s="1394"/>
    </row>
    <row r="2647" spans="1:23" ht="30" customHeight="1">
      <c r="A2647" s="1397"/>
      <c r="B2647" s="1513"/>
      <c r="C2647" s="1455" t="str">
        <f>C2423</f>
        <v xml:space="preserve"> Passage</v>
      </c>
      <c r="D2647" s="103">
        <f>D2423</f>
        <v>1</v>
      </c>
      <c r="E2647" s="103">
        <f>E2423</f>
        <v>1</v>
      </c>
      <c r="F2647" s="1413">
        <f t="shared" si="751"/>
        <v>5.5</v>
      </c>
      <c r="G2647" s="1413"/>
      <c r="H2647" s="1414">
        <f t="shared" si="752"/>
        <v>3.18</v>
      </c>
      <c r="I2647" s="1406">
        <f t="shared" si="743"/>
        <v>17.490000000000002</v>
      </c>
      <c r="K2647" s="1413">
        <f>F2423</f>
        <v>1.65</v>
      </c>
      <c r="L2647" s="1414">
        <f>G2423</f>
        <v>1.1000000000000001</v>
      </c>
      <c r="M2647" s="110"/>
      <c r="Q2647" s="1394">
        <f>IFERROR(VLOOKUP(M2647,#REF!,3,0),0)</f>
        <v>0</v>
      </c>
      <c r="R2647" s="1394">
        <f t="shared" si="741"/>
        <v>0</v>
      </c>
      <c r="S2647" s="1394">
        <f>IFERROR(VLOOKUP(M2647,#REF!,6,0),0)</f>
        <v>0</v>
      </c>
      <c r="T2647" s="1394">
        <f t="shared" si="754"/>
        <v>0</v>
      </c>
      <c r="U2647" s="1394">
        <f>IFERROR(VLOOKUP(M2647,#REF!,5,0),0)</f>
        <v>0</v>
      </c>
      <c r="V2647" s="1394">
        <f t="shared" si="755"/>
        <v>0</v>
      </c>
      <c r="W2647" s="1394"/>
    </row>
    <row r="2648" spans="1:23" ht="30" customHeight="1">
      <c r="A2648" s="1397"/>
      <c r="B2648" s="1513"/>
      <c r="C2648" s="1455" t="str">
        <f>C2424</f>
        <v>O</v>
      </c>
      <c r="D2648" s="103">
        <v>-1</v>
      </c>
      <c r="E2648" s="103">
        <f>E2424</f>
        <v>1</v>
      </c>
      <c r="F2648" s="1413">
        <f t="shared" si="751"/>
        <v>2.0300000000000002</v>
      </c>
      <c r="G2648" s="1413"/>
      <c r="H2648" s="1414">
        <f t="shared" si="752"/>
        <v>3.18</v>
      </c>
      <c r="I2648" s="1406">
        <f t="shared" si="743"/>
        <v>-6.4554000000000009</v>
      </c>
      <c r="K2648" s="1413">
        <f>F2424</f>
        <v>0.115</v>
      </c>
      <c r="L2648" s="1414">
        <f>G2424</f>
        <v>0.9</v>
      </c>
      <c r="M2648" s="110"/>
      <c r="Q2648" s="1394">
        <f>IFERROR(VLOOKUP(M2648,#REF!,3,0),0)</f>
        <v>0</v>
      </c>
      <c r="R2648" s="1394">
        <f t="shared" si="741"/>
        <v>0</v>
      </c>
      <c r="S2648" s="1394">
        <f>IFERROR(VLOOKUP(M2648,#REF!,6,0),0)</f>
        <v>0</v>
      </c>
      <c r="T2648" s="1394">
        <f t="shared" si="754"/>
        <v>0</v>
      </c>
      <c r="U2648" s="1394">
        <f>IFERROR(VLOOKUP(M2648,#REF!,5,0),0)</f>
        <v>0</v>
      </c>
      <c r="V2648" s="1394">
        <f t="shared" si="755"/>
        <v>0</v>
      </c>
      <c r="W2648" s="1394"/>
    </row>
    <row r="2649" spans="1:23" ht="30" customHeight="1">
      <c r="A2649" s="1397"/>
      <c r="B2649" s="1513"/>
      <c r="C2649" s="1412" t="s">
        <v>5853</v>
      </c>
      <c r="D2649" s="103"/>
      <c r="E2649" s="103"/>
      <c r="F2649" s="1413"/>
      <c r="G2649" s="1413"/>
      <c r="H2649" s="1414"/>
      <c r="I2649" s="1406">
        <f t="shared" si="743"/>
        <v>0</v>
      </c>
      <c r="L2649" s="1397"/>
      <c r="M2649" s="110"/>
      <c r="Q2649" s="1394">
        <f>IFERROR(VLOOKUP(M2649,#REF!,3,0),0)</f>
        <v>0</v>
      </c>
      <c r="R2649" s="1394">
        <f t="shared" si="741"/>
        <v>0</v>
      </c>
      <c r="S2649" s="1394">
        <f>IFERROR(VLOOKUP(M2649,#REF!,6,0),0)</f>
        <v>0</v>
      </c>
      <c r="T2649" s="1394">
        <f t="shared" si="754"/>
        <v>0</v>
      </c>
      <c r="U2649" s="1394">
        <f>IFERROR(VLOOKUP(M2649,#REF!,5,0),0)</f>
        <v>0</v>
      </c>
      <c r="V2649" s="1394">
        <f t="shared" si="755"/>
        <v>0</v>
      </c>
      <c r="W2649" s="1394"/>
    </row>
    <row r="2650" spans="1:23" ht="30" customHeight="1">
      <c r="A2650" s="1397"/>
      <c r="B2650" s="1513"/>
      <c r="C2650" s="1455" t="s">
        <v>5507</v>
      </c>
      <c r="D2650" s="103"/>
      <c r="E2650" s="103"/>
      <c r="F2650" s="1413"/>
      <c r="G2650" s="1413"/>
      <c r="H2650" s="1414"/>
      <c r="I2650" s="1406">
        <f t="shared" si="743"/>
        <v>0</v>
      </c>
      <c r="L2650" s="1397"/>
      <c r="M2650" s="110"/>
      <c r="Q2650" s="1394">
        <f>IFERROR(VLOOKUP(M2650,#REF!,3,0),0)</f>
        <v>0</v>
      </c>
      <c r="R2650" s="1394">
        <f t="shared" si="741"/>
        <v>0</v>
      </c>
      <c r="S2650" s="1394">
        <f>IFERROR(VLOOKUP(M2650,#REF!,6,0),0)</f>
        <v>0</v>
      </c>
      <c r="T2650" s="1394">
        <f t="shared" si="754"/>
        <v>0</v>
      </c>
      <c r="U2650" s="1394">
        <f>IFERROR(VLOOKUP(M2650,#REF!,5,0),0)</f>
        <v>0</v>
      </c>
      <c r="V2650" s="1394">
        <f t="shared" si="755"/>
        <v>0</v>
      </c>
      <c r="W2650" s="1394"/>
    </row>
    <row r="2651" spans="1:23" ht="30" customHeight="1">
      <c r="A2651" s="1397"/>
      <c r="B2651" s="1513"/>
      <c r="C2651" s="1455" t="s">
        <v>25</v>
      </c>
      <c r="D2651" s="103">
        <v>-2</v>
      </c>
      <c r="E2651" s="103">
        <f>VLOOKUP(C2651,Sheet1!$I$7:$R$41,6,0)</f>
        <v>6</v>
      </c>
      <c r="F2651" s="1413">
        <f>VLOOKUP(C2651,Sheet1!$I$7:$R$41,2,0)</f>
        <v>1</v>
      </c>
      <c r="G2651" s="1413"/>
      <c r="H2651" s="1414">
        <f>VLOOKUP(C2651,Sheet1!$I$7:$R$41,3,0)</f>
        <v>2.1</v>
      </c>
      <c r="I2651" s="1406">
        <f t="shared" si="743"/>
        <v>-25.200000000000003</v>
      </c>
      <c r="L2651" s="1397"/>
      <c r="M2651" s="110"/>
      <c r="Q2651" s="1394">
        <f>IFERROR(VLOOKUP(M2651,#REF!,3,0),0)</f>
        <v>0</v>
      </c>
      <c r="R2651" s="1394">
        <f t="shared" si="741"/>
        <v>0</v>
      </c>
      <c r="S2651" s="1394">
        <f>IFERROR(VLOOKUP(M2651,#REF!,6,0),0)</f>
        <v>0</v>
      </c>
      <c r="T2651" s="1394">
        <f t="shared" si="754"/>
        <v>0</v>
      </c>
      <c r="U2651" s="1394">
        <f>IFERROR(VLOOKUP(M2651,#REF!,5,0),0)</f>
        <v>0</v>
      </c>
      <c r="V2651" s="1394">
        <f t="shared" si="755"/>
        <v>0</v>
      </c>
      <c r="W2651" s="1394"/>
    </row>
    <row r="2652" spans="1:23" ht="30" customHeight="1">
      <c r="A2652" s="1397"/>
      <c r="B2652" s="1513"/>
      <c r="C2652" s="1455" t="s">
        <v>193</v>
      </c>
      <c r="D2652" s="103">
        <v>-2</v>
      </c>
      <c r="E2652" s="103">
        <f>VLOOKUP(C2652,Sheet1!$I$7:$R$41,6,0)</f>
        <v>2</v>
      </c>
      <c r="F2652" s="1413">
        <f>VLOOKUP(C2652,Sheet1!$I$7:$R$41,2,0)</f>
        <v>0.9</v>
      </c>
      <c r="G2652" s="1413"/>
      <c r="H2652" s="1414">
        <f>VLOOKUP(C2652,Sheet1!$I$7:$R$41,3,0)</f>
        <v>2.1</v>
      </c>
      <c r="I2652" s="1406">
        <f t="shared" ref="I2652:I2669" si="758">PRODUCT(D2652:H2652)</f>
        <v>-7.5600000000000005</v>
      </c>
      <c r="L2652" s="1397"/>
      <c r="M2652" s="110"/>
      <c r="Q2652" s="1394">
        <f>IFERROR(VLOOKUP(M2652,#REF!,3,0),0)</f>
        <v>0</v>
      </c>
      <c r="R2652" s="1394">
        <f t="shared" si="741"/>
        <v>0</v>
      </c>
      <c r="S2652" s="1394">
        <f>IFERROR(VLOOKUP(M2652,#REF!,6,0),0)</f>
        <v>0</v>
      </c>
      <c r="T2652" s="1394">
        <f t="shared" si="754"/>
        <v>0</v>
      </c>
      <c r="U2652" s="1394">
        <f>IFERROR(VLOOKUP(M2652,#REF!,5,0),0)</f>
        <v>0</v>
      </c>
      <c r="V2652" s="1394">
        <f t="shared" si="755"/>
        <v>0</v>
      </c>
      <c r="W2652" s="1394"/>
    </row>
    <row r="2653" spans="1:23" ht="30" customHeight="1">
      <c r="A2653" s="1397"/>
      <c r="B2653" s="1513"/>
      <c r="C2653" s="1455" t="s">
        <v>195</v>
      </c>
      <c r="D2653" s="103">
        <v>-2</v>
      </c>
      <c r="E2653" s="103">
        <f>VLOOKUP(C2653,Sheet1!$I$7:$R$41,6,0)</f>
        <v>2</v>
      </c>
      <c r="F2653" s="1413">
        <f>VLOOKUP(C2653,Sheet1!$I$7:$R$41,2,0)</f>
        <v>0.75</v>
      </c>
      <c r="G2653" s="1413"/>
      <c r="H2653" s="1414">
        <f>VLOOKUP(C2653,Sheet1!$I$7:$R$41,3,0)</f>
        <v>1.35</v>
      </c>
      <c r="I2653" s="1406">
        <f t="shared" si="758"/>
        <v>-4.0500000000000007</v>
      </c>
      <c r="L2653" s="1397"/>
      <c r="M2653" s="110"/>
      <c r="Q2653" s="1394">
        <f>IFERROR(VLOOKUP(M2653,#REF!,3,0),0)</f>
        <v>0</v>
      </c>
      <c r="R2653" s="1394">
        <f t="shared" si="741"/>
        <v>0</v>
      </c>
      <c r="S2653" s="1394">
        <f>IFERROR(VLOOKUP(M2653,#REF!,6,0),0)</f>
        <v>0</v>
      </c>
      <c r="T2653" s="1394">
        <f t="shared" si="754"/>
        <v>0</v>
      </c>
      <c r="U2653" s="1394">
        <f>IFERROR(VLOOKUP(M2653,#REF!,5,0),0)</f>
        <v>0</v>
      </c>
      <c r="V2653" s="1394">
        <f t="shared" si="755"/>
        <v>0</v>
      </c>
      <c r="W2653" s="1394"/>
    </row>
    <row r="2654" spans="1:23" ht="30" customHeight="1">
      <c r="A2654" s="1397"/>
      <c r="B2654" s="1513"/>
      <c r="C2654" s="1455" t="s">
        <v>256</v>
      </c>
      <c r="D2654" s="103">
        <v>-2</v>
      </c>
      <c r="E2654" s="103">
        <f>VLOOKUP(C2654,Sheet1!$I$7:$R$41,6,0)</f>
        <v>1</v>
      </c>
      <c r="F2654" s="1413">
        <f>VLOOKUP(C2654,Sheet1!$I$7:$R$41,2,0)</f>
        <v>1.2</v>
      </c>
      <c r="G2654" s="1413"/>
      <c r="H2654" s="1414">
        <f>VLOOKUP(C2654,Sheet1!$I$7:$R$41,3,0)</f>
        <v>2.1</v>
      </c>
      <c r="I2654" s="1406">
        <f t="shared" si="758"/>
        <v>-5.04</v>
      </c>
      <c r="L2654" s="1397"/>
      <c r="M2654" s="110"/>
      <c r="Q2654" s="1394">
        <f>IFERROR(VLOOKUP(M2654,#REF!,3,0),0)</f>
        <v>0</v>
      </c>
      <c r="R2654" s="1394">
        <f t="shared" si="741"/>
        <v>0</v>
      </c>
      <c r="S2654" s="1394">
        <f>IFERROR(VLOOKUP(M2654,#REF!,6,0),0)</f>
        <v>0</v>
      </c>
      <c r="T2654" s="1394">
        <f t="shared" si="754"/>
        <v>0</v>
      </c>
      <c r="U2654" s="1394">
        <f>IFERROR(VLOOKUP(M2654,#REF!,5,0),0)</f>
        <v>0</v>
      </c>
      <c r="V2654" s="1394">
        <f t="shared" si="755"/>
        <v>0</v>
      </c>
      <c r="W2654" s="1394"/>
    </row>
    <row r="2655" spans="1:23" ht="30" customHeight="1">
      <c r="A2655" s="1397"/>
      <c r="B2655" s="1513"/>
      <c r="C2655" s="1455" t="s">
        <v>5510</v>
      </c>
      <c r="D2655" s="103">
        <v>-2</v>
      </c>
      <c r="E2655" s="103">
        <f>VLOOKUP(C2655,Sheet1!$I$7:$R$41,6,0)</f>
        <v>1</v>
      </c>
      <c r="F2655" s="1413">
        <f>VLOOKUP(C2655,Sheet1!$I$7:$R$41,2,0)</f>
        <v>1</v>
      </c>
      <c r="G2655" s="1413"/>
      <c r="H2655" s="1414">
        <f>VLOOKUP(C2655,Sheet1!$I$7:$R$41,3,0)</f>
        <v>2.1</v>
      </c>
      <c r="I2655" s="1406">
        <f t="shared" si="758"/>
        <v>-4.2</v>
      </c>
      <c r="L2655" s="1397"/>
      <c r="M2655" s="110"/>
      <c r="Q2655" s="1394">
        <f>IFERROR(VLOOKUP(M2655,#REF!,3,0),0)</f>
        <v>0</v>
      </c>
      <c r="R2655" s="1394">
        <f t="shared" si="741"/>
        <v>0</v>
      </c>
      <c r="S2655" s="1394">
        <f>IFERROR(VLOOKUP(M2655,#REF!,6,0),0)</f>
        <v>0</v>
      </c>
      <c r="T2655" s="1394">
        <f t="shared" si="754"/>
        <v>0</v>
      </c>
      <c r="U2655" s="1394">
        <f>IFERROR(VLOOKUP(M2655,#REF!,5,0),0)</f>
        <v>0</v>
      </c>
      <c r="V2655" s="1394">
        <f t="shared" si="755"/>
        <v>0</v>
      </c>
      <c r="W2655" s="1394"/>
    </row>
    <row r="2656" spans="1:23" ht="30" customHeight="1">
      <c r="A2656" s="1397"/>
      <c r="B2656" s="1513"/>
      <c r="C2656" s="1455" t="s">
        <v>188</v>
      </c>
      <c r="D2656" s="103">
        <v>-2</v>
      </c>
      <c r="E2656" s="103">
        <f>VLOOKUP(C2656,Sheet1!$I$7:$R$41,6,0)</f>
        <v>4</v>
      </c>
      <c r="F2656" s="1413">
        <f>VLOOKUP(C2656,Sheet1!$I$7:$R$41,2,0)</f>
        <v>0.75</v>
      </c>
      <c r="G2656" s="1413"/>
      <c r="H2656" s="1414">
        <f>VLOOKUP(C2656,Sheet1!$I$7:$R$41,3,0)</f>
        <v>2.1</v>
      </c>
      <c r="I2656" s="1406">
        <f t="shared" si="758"/>
        <v>-12.600000000000001</v>
      </c>
      <c r="L2656" s="1397"/>
      <c r="M2656" s="110"/>
      <c r="Q2656" s="1394">
        <f>IFERROR(VLOOKUP(M2656,#REF!,3,0),0)</f>
        <v>0</v>
      </c>
      <c r="R2656" s="1394">
        <f t="shared" si="741"/>
        <v>0</v>
      </c>
      <c r="S2656" s="1394">
        <f>IFERROR(VLOOKUP(M2656,#REF!,6,0),0)</f>
        <v>0</v>
      </c>
      <c r="T2656" s="1394">
        <f t="shared" si="754"/>
        <v>0</v>
      </c>
      <c r="U2656" s="1394">
        <f>IFERROR(VLOOKUP(M2656,#REF!,5,0),0)</f>
        <v>0</v>
      </c>
      <c r="V2656" s="1394">
        <f t="shared" si="755"/>
        <v>0</v>
      </c>
      <c r="W2656" s="1394"/>
    </row>
    <row r="2657" spans="1:23" ht="30" customHeight="1">
      <c r="A2657" s="1397"/>
      <c r="B2657" s="1513"/>
      <c r="C2657" s="1455" t="s">
        <v>190</v>
      </c>
      <c r="D2657" s="103">
        <v>-1</v>
      </c>
      <c r="E2657" s="103">
        <f>VLOOKUP(C2657,Sheet1!$I$7:$R$41,6,0)</f>
        <v>2</v>
      </c>
      <c r="F2657" s="1413">
        <f>VLOOKUP(C2657,Sheet1!$I$7:$R$41,2,0)</f>
        <v>0.81299999999999994</v>
      </c>
      <c r="G2657" s="1413"/>
      <c r="H2657" s="1414">
        <f>VLOOKUP(C2657,Sheet1!$I$7:$R$41,3,0)</f>
        <v>1.8</v>
      </c>
      <c r="I2657" s="1406">
        <f t="shared" si="758"/>
        <v>-2.9268000000000001</v>
      </c>
      <c r="L2657" s="1397"/>
      <c r="M2657" s="110"/>
      <c r="Q2657" s="1394">
        <f>IFERROR(VLOOKUP(M2657,#REF!,3,0),0)</f>
        <v>0</v>
      </c>
      <c r="R2657" s="1394">
        <f t="shared" si="741"/>
        <v>0</v>
      </c>
      <c r="S2657" s="1394">
        <f>IFERROR(VLOOKUP(M2657,#REF!,6,0),0)</f>
        <v>0</v>
      </c>
      <c r="T2657" s="1394">
        <f t="shared" si="754"/>
        <v>0</v>
      </c>
      <c r="U2657" s="1394">
        <f>IFERROR(VLOOKUP(M2657,#REF!,5,0),0)</f>
        <v>0</v>
      </c>
      <c r="V2657" s="1394">
        <f t="shared" si="755"/>
        <v>0</v>
      </c>
      <c r="W2657" s="1394"/>
    </row>
    <row r="2658" spans="1:23" ht="30" customHeight="1">
      <c r="A2658" s="1397"/>
      <c r="B2658" s="1513"/>
      <c r="C2658" s="1455" t="s">
        <v>5513</v>
      </c>
      <c r="D2658" s="103">
        <v>-1</v>
      </c>
      <c r="E2658" s="103">
        <f>VLOOKUP(C2658,Sheet1!$I$7:$R$41,6,0)</f>
        <v>1</v>
      </c>
      <c r="F2658" s="1413">
        <f>VLOOKUP(C2658,Sheet1!$I$7:$R$41,2,0)</f>
        <v>2</v>
      </c>
      <c r="G2658" s="1413"/>
      <c r="H2658" s="1414">
        <f>VLOOKUP(C2658,Sheet1!$I$7:$R$41,3,0)</f>
        <v>1.8</v>
      </c>
      <c r="I2658" s="1406">
        <f t="shared" si="758"/>
        <v>-3.6</v>
      </c>
      <c r="L2658" s="1397"/>
      <c r="M2658" s="110"/>
      <c r="Q2658" s="1394">
        <f>IFERROR(VLOOKUP(M2658,#REF!,3,0),0)</f>
        <v>0</v>
      </c>
      <c r="R2658" s="1394">
        <f t="shared" si="741"/>
        <v>0</v>
      </c>
      <c r="S2658" s="1394">
        <f>IFERROR(VLOOKUP(M2658,#REF!,6,0),0)</f>
        <v>0</v>
      </c>
      <c r="T2658" s="1394">
        <f t="shared" si="754"/>
        <v>0</v>
      </c>
      <c r="U2658" s="1394">
        <f>IFERROR(VLOOKUP(M2658,#REF!,5,0),0)</f>
        <v>0</v>
      </c>
      <c r="V2658" s="1394">
        <f t="shared" si="755"/>
        <v>0</v>
      </c>
      <c r="W2658" s="1394"/>
    </row>
    <row r="2659" spans="1:23" ht="30" customHeight="1">
      <c r="A2659" s="1397"/>
      <c r="B2659" s="1513"/>
      <c r="C2659" s="1455" t="s">
        <v>5514</v>
      </c>
      <c r="D2659" s="103">
        <v>-1</v>
      </c>
      <c r="E2659" s="103">
        <f>VLOOKUP(C2659,Sheet1!$I$7:$R$41,6,0)</f>
        <v>2</v>
      </c>
      <c r="F2659" s="1413">
        <f>VLOOKUP(C2659,Sheet1!$I$7:$R$41,2,0)</f>
        <v>1.2</v>
      </c>
      <c r="G2659" s="1413"/>
      <c r="H2659" s="1414">
        <f>VLOOKUP(C2659,Sheet1!$I$7:$R$41,3,0)</f>
        <v>1.8</v>
      </c>
      <c r="I2659" s="1406">
        <f t="shared" si="758"/>
        <v>-4.32</v>
      </c>
      <c r="L2659" s="1397"/>
      <c r="M2659" s="110"/>
      <c r="Q2659" s="1394">
        <f>IFERROR(VLOOKUP(M2659,#REF!,3,0),0)</f>
        <v>0</v>
      </c>
      <c r="R2659" s="1394">
        <f t="shared" si="741"/>
        <v>0</v>
      </c>
      <c r="S2659" s="1394">
        <f>IFERROR(VLOOKUP(M2659,#REF!,6,0),0)</f>
        <v>0</v>
      </c>
      <c r="T2659" s="1394">
        <f t="shared" si="754"/>
        <v>0</v>
      </c>
      <c r="U2659" s="1394">
        <f>IFERROR(VLOOKUP(M2659,#REF!,5,0),0)</f>
        <v>0</v>
      </c>
      <c r="V2659" s="1394">
        <f t="shared" si="755"/>
        <v>0</v>
      </c>
      <c r="W2659" s="1394"/>
    </row>
    <row r="2660" spans="1:23" ht="30" customHeight="1">
      <c r="A2660" s="1397"/>
      <c r="B2660" s="1513"/>
      <c r="C2660" s="1455" t="s">
        <v>252</v>
      </c>
      <c r="D2660" s="103">
        <v>-1</v>
      </c>
      <c r="E2660" s="103">
        <f>VLOOKUP(C2660,Sheet1!$I$7:$R$41,6,0)</f>
        <v>1</v>
      </c>
      <c r="F2660" s="1413">
        <f>VLOOKUP(C2660,Sheet1!$I$7:$R$41,2,0)</f>
        <v>1.8</v>
      </c>
      <c r="G2660" s="1413"/>
      <c r="H2660" s="1414">
        <f>VLOOKUP(C2660,Sheet1!$I$7:$R$41,3,0)</f>
        <v>1.35</v>
      </c>
      <c r="I2660" s="1406">
        <f t="shared" si="758"/>
        <v>-2.4300000000000002</v>
      </c>
      <c r="L2660" s="1397"/>
      <c r="M2660" s="110"/>
      <c r="Q2660" s="1394">
        <f>IFERROR(VLOOKUP(M2660,#REF!,3,0),0)</f>
        <v>0</v>
      </c>
      <c r="R2660" s="1394">
        <f t="shared" si="741"/>
        <v>0</v>
      </c>
      <c r="S2660" s="1394">
        <f>IFERROR(VLOOKUP(M2660,#REF!,6,0),0)</f>
        <v>0</v>
      </c>
      <c r="T2660" s="1394">
        <f t="shared" si="754"/>
        <v>0</v>
      </c>
      <c r="U2660" s="1394">
        <f>IFERROR(VLOOKUP(M2660,#REF!,5,0),0)</f>
        <v>0</v>
      </c>
      <c r="V2660" s="1394">
        <f t="shared" si="755"/>
        <v>0</v>
      </c>
      <c r="W2660" s="1394"/>
    </row>
    <row r="2661" spans="1:23" ht="30" customHeight="1">
      <c r="A2661" s="1397"/>
      <c r="B2661" s="1513"/>
      <c r="C2661" s="1455" t="s">
        <v>248</v>
      </c>
      <c r="D2661" s="103">
        <v>-1</v>
      </c>
      <c r="E2661" s="103">
        <f>VLOOKUP(C2661,Sheet1!$I$7:$R$41,6,0)</f>
        <v>1</v>
      </c>
      <c r="F2661" s="1413">
        <f>VLOOKUP(C2661,Sheet1!$I$7:$R$41,2,0)</f>
        <v>1.8</v>
      </c>
      <c r="G2661" s="1413"/>
      <c r="H2661" s="1414">
        <f>VLOOKUP(C2661,Sheet1!$I$7:$R$41,3,0)</f>
        <v>1.35</v>
      </c>
      <c r="I2661" s="1406">
        <f t="shared" si="758"/>
        <v>-2.4300000000000002</v>
      </c>
      <c r="L2661" s="1397"/>
      <c r="M2661" s="110"/>
      <c r="Q2661" s="1394">
        <f>IFERROR(VLOOKUP(M2661,#REF!,3,0),0)</f>
        <v>0</v>
      </c>
      <c r="R2661" s="1394">
        <f t="shared" si="741"/>
        <v>0</v>
      </c>
      <c r="S2661" s="1394">
        <f>IFERROR(VLOOKUP(M2661,#REF!,6,0),0)</f>
        <v>0</v>
      </c>
      <c r="T2661" s="1394">
        <f t="shared" si="754"/>
        <v>0</v>
      </c>
      <c r="U2661" s="1394">
        <f>IFERROR(VLOOKUP(M2661,#REF!,5,0),0)</f>
        <v>0</v>
      </c>
      <c r="V2661" s="1394">
        <f t="shared" si="755"/>
        <v>0</v>
      </c>
      <c r="W2661" s="1394"/>
    </row>
    <row r="2662" spans="1:23" ht="30" customHeight="1">
      <c r="A2662" s="1397"/>
      <c r="B2662" s="1513"/>
      <c r="C2662" s="1455" t="s">
        <v>250</v>
      </c>
      <c r="D2662" s="103">
        <v>-1</v>
      </c>
      <c r="E2662" s="103">
        <f>VLOOKUP(C2662,Sheet1!$I$7:$R$41,6,0)</f>
        <v>13</v>
      </c>
      <c r="F2662" s="1413">
        <f>VLOOKUP(C2662,Sheet1!$I$7:$R$41,2,0)</f>
        <v>1.2</v>
      </c>
      <c r="G2662" s="1413"/>
      <c r="H2662" s="1414">
        <f>VLOOKUP(C2662,Sheet1!$I$7:$R$41,3,0)</f>
        <v>1.35</v>
      </c>
      <c r="I2662" s="1406">
        <f t="shared" si="758"/>
        <v>-21.060000000000002</v>
      </c>
      <c r="L2662" s="1397"/>
      <c r="M2662" s="110"/>
      <c r="Q2662" s="1394">
        <f>IFERROR(VLOOKUP(M2662,#REF!,3,0),0)</f>
        <v>0</v>
      </c>
      <c r="R2662" s="1394">
        <f t="shared" si="741"/>
        <v>0</v>
      </c>
      <c r="S2662" s="1394">
        <f>IFERROR(VLOOKUP(M2662,#REF!,6,0),0)</f>
        <v>0</v>
      </c>
      <c r="T2662" s="1394">
        <f t="shared" si="754"/>
        <v>0</v>
      </c>
      <c r="U2662" s="1394">
        <f>IFERROR(VLOOKUP(M2662,#REF!,5,0),0)</f>
        <v>0</v>
      </c>
      <c r="V2662" s="1394">
        <f t="shared" si="755"/>
        <v>0</v>
      </c>
      <c r="W2662" s="1394"/>
    </row>
    <row r="2663" spans="1:23" ht="30" customHeight="1">
      <c r="A2663" s="1397"/>
      <c r="B2663" s="1513"/>
      <c r="C2663" s="1455" t="s">
        <v>251</v>
      </c>
      <c r="D2663" s="103">
        <v>-1</v>
      </c>
      <c r="E2663" s="103">
        <f>VLOOKUP(C2663,Sheet1!$I$7:$R$41,6,0)</f>
        <v>4</v>
      </c>
      <c r="F2663" s="1413">
        <f>VLOOKUP(C2663,Sheet1!$I$7:$R$41,2,0)</f>
        <v>1</v>
      </c>
      <c r="G2663" s="1413"/>
      <c r="H2663" s="1414">
        <f>VLOOKUP(C2663,Sheet1!$I$7:$R$41,3,0)</f>
        <v>1.35</v>
      </c>
      <c r="I2663" s="1406">
        <f t="shared" si="758"/>
        <v>-5.4</v>
      </c>
      <c r="L2663" s="1397"/>
      <c r="M2663" s="110"/>
      <c r="Q2663" s="1394">
        <f>IFERROR(VLOOKUP(M2663,#REF!,3,0),0)</f>
        <v>0</v>
      </c>
      <c r="R2663" s="1394">
        <f t="shared" si="741"/>
        <v>0</v>
      </c>
      <c r="S2663" s="1394">
        <f>IFERROR(VLOOKUP(M2663,#REF!,6,0),0)</f>
        <v>0</v>
      </c>
      <c r="T2663" s="1394">
        <f t="shared" si="754"/>
        <v>0</v>
      </c>
      <c r="U2663" s="1394">
        <f>IFERROR(VLOOKUP(M2663,#REF!,5,0),0)</f>
        <v>0</v>
      </c>
      <c r="V2663" s="1394">
        <f t="shared" si="755"/>
        <v>0</v>
      </c>
      <c r="W2663" s="1394"/>
    </row>
    <row r="2664" spans="1:23" ht="30" customHeight="1">
      <c r="A2664" s="1397"/>
      <c r="B2664" s="1513"/>
      <c r="C2664" s="1455" t="s">
        <v>5518</v>
      </c>
      <c r="D2664" s="103">
        <v>-1</v>
      </c>
      <c r="E2664" s="103">
        <f>VLOOKUP(C2664,Sheet1!$I$7:$R$41,6,0)</f>
        <v>2</v>
      </c>
      <c r="F2664" s="1413">
        <f>VLOOKUP(C2664,Sheet1!$I$7:$R$41,2,0)</f>
        <v>2.1</v>
      </c>
      <c r="G2664" s="1413"/>
      <c r="H2664" s="1414">
        <f>VLOOKUP(C2664,Sheet1!$I$7:$R$41,3,0)</f>
        <v>1.35</v>
      </c>
      <c r="I2664" s="1406">
        <f t="shared" si="758"/>
        <v>-5.6700000000000008</v>
      </c>
      <c r="L2664" s="1397"/>
      <c r="M2664" s="110"/>
      <c r="Q2664" s="1394">
        <f>IFERROR(VLOOKUP(M2664,#REF!,3,0),0)</f>
        <v>0</v>
      </c>
      <c r="R2664" s="1394">
        <f t="shared" si="741"/>
        <v>0</v>
      </c>
      <c r="S2664" s="1394">
        <f>IFERROR(VLOOKUP(M2664,#REF!,6,0),0)</f>
        <v>0</v>
      </c>
      <c r="T2664" s="1394">
        <f t="shared" si="754"/>
        <v>0</v>
      </c>
      <c r="U2664" s="1394">
        <f>IFERROR(VLOOKUP(M2664,#REF!,5,0),0)</f>
        <v>0</v>
      </c>
      <c r="V2664" s="1394">
        <f t="shared" si="755"/>
        <v>0</v>
      </c>
      <c r="W2664" s="1394"/>
    </row>
    <row r="2665" spans="1:23" ht="30" customHeight="1">
      <c r="A2665" s="1397"/>
      <c r="B2665" s="1513"/>
      <c r="C2665" s="1455" t="s">
        <v>255</v>
      </c>
      <c r="D2665" s="103">
        <v>-1</v>
      </c>
      <c r="E2665" s="103">
        <f>VLOOKUP(C2665,Sheet1!$I$7:$R$41,6,0)</f>
        <v>2</v>
      </c>
      <c r="F2665" s="1413">
        <f>VLOOKUP(C2665,Sheet1!$I$7:$R$41,2,0)</f>
        <v>1.35</v>
      </c>
      <c r="G2665" s="1413"/>
      <c r="H2665" s="1414">
        <f>VLOOKUP(C2665,Sheet1!$I$7:$R$41,3,0)</f>
        <v>0.6</v>
      </c>
      <c r="I2665" s="1406">
        <f t="shared" si="758"/>
        <v>-1.62</v>
      </c>
      <c r="L2665" s="1397"/>
      <c r="M2665" s="110"/>
      <c r="Q2665" s="1394">
        <f>IFERROR(VLOOKUP(M2665,#REF!,3,0),0)</f>
        <v>0</v>
      </c>
      <c r="R2665" s="1394">
        <f t="shared" si="741"/>
        <v>0</v>
      </c>
      <c r="S2665" s="1394">
        <f>IFERROR(VLOOKUP(M2665,#REF!,6,0),0)</f>
        <v>0</v>
      </c>
      <c r="T2665" s="1394">
        <f t="shared" si="754"/>
        <v>0</v>
      </c>
      <c r="U2665" s="1394">
        <f>IFERROR(VLOOKUP(M2665,#REF!,5,0),0)</f>
        <v>0</v>
      </c>
      <c r="V2665" s="1394">
        <f t="shared" si="755"/>
        <v>0</v>
      </c>
      <c r="W2665" s="1394"/>
    </row>
    <row r="2666" spans="1:23" ht="30" customHeight="1">
      <c r="A2666" s="1397"/>
      <c r="B2666" s="1513"/>
      <c r="C2666" s="1455" t="s">
        <v>254</v>
      </c>
      <c r="D2666" s="103">
        <v>-1</v>
      </c>
      <c r="E2666" s="103">
        <f>VLOOKUP(C2666,Sheet1!$I$7:$R$41,6,0)</f>
        <v>1</v>
      </c>
      <c r="F2666" s="1413">
        <f>VLOOKUP(C2666,Sheet1!$I$7:$R$41,2,0)</f>
        <v>0.9</v>
      </c>
      <c r="G2666" s="1413"/>
      <c r="H2666" s="1414">
        <f>VLOOKUP(C2666,Sheet1!$I$7:$R$41,3,0)</f>
        <v>0.6</v>
      </c>
      <c r="I2666" s="1406">
        <f t="shared" si="758"/>
        <v>-0.54</v>
      </c>
      <c r="L2666" s="1397"/>
      <c r="M2666" s="110"/>
      <c r="Q2666" s="1394">
        <f>IFERROR(VLOOKUP(M2666,#REF!,3,0),0)</f>
        <v>0</v>
      </c>
      <c r="R2666" s="1394">
        <f t="shared" si="741"/>
        <v>0</v>
      </c>
      <c r="S2666" s="1394">
        <f>IFERROR(VLOOKUP(M2666,#REF!,6,0),0)</f>
        <v>0</v>
      </c>
      <c r="T2666" s="1394">
        <f t="shared" si="754"/>
        <v>0</v>
      </c>
      <c r="U2666" s="1394">
        <f>IFERROR(VLOOKUP(M2666,#REF!,5,0),0)</f>
        <v>0</v>
      </c>
      <c r="V2666" s="1394">
        <f t="shared" si="755"/>
        <v>0</v>
      </c>
      <c r="W2666" s="1394"/>
    </row>
    <row r="2667" spans="1:23" ht="30" customHeight="1">
      <c r="A2667" s="1397"/>
      <c r="B2667" s="1513"/>
      <c r="C2667" s="1455" t="s">
        <v>253</v>
      </c>
      <c r="D2667" s="103">
        <v>-1</v>
      </c>
      <c r="E2667" s="103">
        <f>VLOOKUP(C2667,Sheet1!$I$7:$R$41,6,0)</f>
        <v>2</v>
      </c>
      <c r="F2667" s="1413">
        <f>VLOOKUP(C2667,Sheet1!$I$7:$R$41,2,0)</f>
        <v>1</v>
      </c>
      <c r="G2667" s="1413"/>
      <c r="H2667" s="1414">
        <f>VLOOKUP(C2667,Sheet1!$I$7:$R$41,3,0)</f>
        <v>0.6</v>
      </c>
      <c r="I2667" s="1406">
        <f t="shared" si="758"/>
        <v>-1.2</v>
      </c>
      <c r="L2667" s="1397"/>
      <c r="M2667" s="110"/>
      <c r="Q2667" s="1394">
        <f>IFERROR(VLOOKUP(M2667,#REF!,3,0),0)</f>
        <v>0</v>
      </c>
      <c r="R2667" s="1394">
        <f t="shared" si="741"/>
        <v>0</v>
      </c>
      <c r="S2667" s="1394">
        <f>IFERROR(VLOOKUP(M2667,#REF!,6,0),0)</f>
        <v>0</v>
      </c>
      <c r="T2667" s="1394">
        <f t="shared" si="754"/>
        <v>0</v>
      </c>
      <c r="U2667" s="1394">
        <f>IFERROR(VLOOKUP(M2667,#REF!,5,0),0)</f>
        <v>0</v>
      </c>
      <c r="V2667" s="1394">
        <f t="shared" si="755"/>
        <v>0</v>
      </c>
      <c r="W2667" s="1394"/>
    </row>
    <row r="2668" spans="1:23" ht="30" customHeight="1">
      <c r="A2668" s="1397"/>
      <c r="B2668" s="1513"/>
      <c r="C2668" s="1455" t="s">
        <v>372</v>
      </c>
      <c r="D2668" s="103">
        <v>-1</v>
      </c>
      <c r="E2668" s="103">
        <f>VLOOKUP(C2668,Sheet1!$I$7:$R$41,6,0)</f>
        <v>2</v>
      </c>
      <c r="F2668" s="1413">
        <f>VLOOKUP(C2668,Sheet1!$I$7:$R$41,2,0)</f>
        <v>0.6</v>
      </c>
      <c r="G2668" s="1413"/>
      <c r="H2668" s="1414">
        <f>VLOOKUP(C2668,Sheet1!$I$7:$R$41,3,0)</f>
        <v>0.6</v>
      </c>
      <c r="I2668" s="1406">
        <f t="shared" si="758"/>
        <v>-0.72</v>
      </c>
      <c r="L2668" s="1397"/>
      <c r="M2668" s="110"/>
      <c r="Q2668" s="1394">
        <f>IFERROR(VLOOKUP(M2668,#REF!,3,0),0)</f>
        <v>0</v>
      </c>
      <c r="R2668" s="1394">
        <f t="shared" si="741"/>
        <v>0</v>
      </c>
      <c r="S2668" s="1394">
        <f>IFERROR(VLOOKUP(M2668,#REF!,6,0),0)</f>
        <v>0</v>
      </c>
      <c r="T2668" s="1394">
        <f t="shared" si="754"/>
        <v>0</v>
      </c>
      <c r="U2668" s="1394">
        <f>IFERROR(VLOOKUP(M2668,#REF!,5,0),0)</f>
        <v>0</v>
      </c>
      <c r="V2668" s="1394">
        <f t="shared" si="755"/>
        <v>0</v>
      </c>
      <c r="W2668" s="1394"/>
    </row>
    <row r="2669" spans="1:23" ht="30" customHeight="1">
      <c r="A2669" s="1397"/>
      <c r="B2669" s="1513"/>
      <c r="C2669" s="1455" t="s">
        <v>257</v>
      </c>
      <c r="D2669" s="103">
        <v>-1</v>
      </c>
      <c r="E2669" s="103">
        <f>VLOOKUP(C2669,Sheet1!$I$7:$R$41,6,0)</f>
        <v>4</v>
      </c>
      <c r="F2669" s="1413">
        <f>VLOOKUP(C2669,Sheet1!$I$7:$R$41,2,0)</f>
        <v>0.9</v>
      </c>
      <c r="G2669" s="1413"/>
      <c r="H2669" s="1414">
        <f>VLOOKUP(C2669,Sheet1!$I$7:$R$41,3,0)</f>
        <v>0.75</v>
      </c>
      <c r="I2669" s="1406">
        <f t="shared" si="758"/>
        <v>-2.7</v>
      </c>
      <c r="L2669" s="1397"/>
      <c r="M2669" s="110"/>
      <c r="Q2669" s="1394">
        <f>IFERROR(VLOOKUP(M2669,#REF!,3,0),0)</f>
        <v>0</v>
      </c>
      <c r="R2669" s="1394">
        <f t="shared" si="741"/>
        <v>0</v>
      </c>
      <c r="S2669" s="1394">
        <f>IFERROR(VLOOKUP(M2669,#REF!,6,0),0)</f>
        <v>0</v>
      </c>
      <c r="T2669" s="1394">
        <f t="shared" si="754"/>
        <v>0</v>
      </c>
      <c r="U2669" s="1394">
        <f>IFERROR(VLOOKUP(M2669,#REF!,5,0),0)</f>
        <v>0</v>
      </c>
      <c r="V2669" s="1394">
        <f t="shared" si="755"/>
        <v>0</v>
      </c>
      <c r="W2669" s="1394"/>
    </row>
    <row r="2670" spans="1:23" ht="30" customHeight="1">
      <c r="A2670" s="1397"/>
      <c r="B2670" s="1513"/>
      <c r="C2670" s="1515" t="str">
        <f>C2231</f>
        <v>Thiord Floor</v>
      </c>
      <c r="D2670" s="92">
        <f>D2231</f>
        <v>0</v>
      </c>
      <c r="E2670" s="92">
        <f>E2231</f>
        <v>0</v>
      </c>
      <c r="F2670" s="1413">
        <f>F2231</f>
        <v>0</v>
      </c>
      <c r="G2670" s="1413">
        <f>G2231</f>
        <v>0</v>
      </c>
      <c r="H2670" s="1414"/>
      <c r="I2670" s="1406">
        <f t="shared" ref="I2670:I2702" si="759">PRODUCT(D2670:H2670)</f>
        <v>0</v>
      </c>
      <c r="L2670" s="1397"/>
      <c r="M2670" s="110"/>
      <c r="Q2670" s="1394">
        <f>IFERROR(VLOOKUP(M2670,#REF!,3,0),0)</f>
        <v>0</v>
      </c>
      <c r="R2670" s="1394">
        <f t="shared" ref="R2670:R2733" si="760">ROUND(O2670,2)*ROUND(Q2670,2)</f>
        <v>0</v>
      </c>
      <c r="S2670" s="1394">
        <f>IFERROR(VLOOKUP(M2670,#REF!,6,0),0)</f>
        <v>0</v>
      </c>
      <c r="T2670" s="1394">
        <f t="shared" si="754"/>
        <v>0</v>
      </c>
      <c r="U2670" s="1394">
        <f>IFERROR(VLOOKUP(M2670,#REF!,5,0),0)</f>
        <v>0</v>
      </c>
      <c r="V2670" s="1394">
        <f t="shared" si="755"/>
        <v>0</v>
      </c>
      <c r="W2670" s="1394"/>
    </row>
    <row r="2671" spans="1:23" ht="30" customHeight="1">
      <c r="A2671" s="1397"/>
      <c r="B2671" s="1513"/>
      <c r="C2671" s="1514" t="str">
        <f t="shared" ref="C2671:E2672" si="761">C2192</f>
        <v>Staircase Lift / lobby</v>
      </c>
      <c r="D2671" s="103">
        <f t="shared" si="761"/>
        <v>1</v>
      </c>
      <c r="E2671" s="103">
        <f t="shared" si="761"/>
        <v>1</v>
      </c>
      <c r="F2671" s="1413">
        <f>(K2671+L2671)*2</f>
        <v>13.536000000000001</v>
      </c>
      <c r="G2671" s="1413"/>
      <c r="H2671" s="1414">
        <v>3.18</v>
      </c>
      <c r="I2671" s="1406">
        <f t="shared" si="759"/>
        <v>43.044480000000007</v>
      </c>
      <c r="K2671" s="1413">
        <f>F2192</f>
        <v>4.3250000000000002</v>
      </c>
      <c r="L2671" s="1414">
        <f>G2192</f>
        <v>2.4430000000000001</v>
      </c>
      <c r="M2671" s="110"/>
      <c r="Q2671" s="1394">
        <f>IFERROR(VLOOKUP(M2671,#REF!,3,0),0)</f>
        <v>0</v>
      </c>
      <c r="R2671" s="1394">
        <f t="shared" si="760"/>
        <v>0</v>
      </c>
      <c r="S2671" s="1394">
        <f>IFERROR(VLOOKUP(M2671,#REF!,6,0),0)</f>
        <v>0</v>
      </c>
      <c r="T2671" s="1394">
        <f t="shared" si="754"/>
        <v>0</v>
      </c>
      <c r="U2671" s="1394">
        <f>IFERROR(VLOOKUP(M2671,#REF!,5,0),0)</f>
        <v>0</v>
      </c>
      <c r="V2671" s="1394">
        <f t="shared" si="755"/>
        <v>0</v>
      </c>
      <c r="W2671" s="1394"/>
    </row>
    <row r="2672" spans="1:23" ht="30" customHeight="1">
      <c r="A2672" s="1397"/>
      <c r="B2672" s="1513"/>
      <c r="C2672" s="1514" t="str">
        <f t="shared" si="761"/>
        <v>Staircase Lift / lobby</v>
      </c>
      <c r="D2672" s="103">
        <f t="shared" si="761"/>
        <v>1</v>
      </c>
      <c r="E2672" s="103">
        <f t="shared" si="761"/>
        <v>1</v>
      </c>
      <c r="F2672" s="1413">
        <f t="shared" ref="F2672:F2685" si="762">(K2672+L2672)*2</f>
        <v>10.624000000000001</v>
      </c>
      <c r="G2672" s="1413"/>
      <c r="H2672" s="1414">
        <f>H2671</f>
        <v>3.18</v>
      </c>
      <c r="I2672" s="1406">
        <f t="shared" si="759"/>
        <v>33.784320000000001</v>
      </c>
      <c r="K2672" s="1413">
        <f>F2193</f>
        <v>2.4550000000000001</v>
      </c>
      <c r="L2672" s="1414">
        <f>G2193</f>
        <v>2.8570000000000002</v>
      </c>
      <c r="M2672" s="110"/>
      <c r="Q2672" s="1394">
        <f>IFERROR(VLOOKUP(M2672,#REF!,3,0),0)</f>
        <v>0</v>
      </c>
      <c r="R2672" s="1394">
        <f t="shared" si="760"/>
        <v>0</v>
      </c>
      <c r="S2672" s="1394">
        <f>IFERROR(VLOOKUP(M2672,#REF!,6,0),0)</f>
        <v>0</v>
      </c>
      <c r="T2672" s="1394">
        <f t="shared" si="754"/>
        <v>0</v>
      </c>
      <c r="U2672" s="1394">
        <f>IFERROR(VLOOKUP(M2672,#REF!,5,0),0)</f>
        <v>0</v>
      </c>
      <c r="V2672" s="1394">
        <f t="shared" si="755"/>
        <v>0</v>
      </c>
      <c r="W2672" s="1394"/>
    </row>
    <row r="2673" spans="1:23" ht="30" customHeight="1">
      <c r="A2673" s="1397"/>
      <c r="B2673" s="1513"/>
      <c r="C2673" s="1514" t="str">
        <f t="shared" ref="C2673:E2677" si="763">C2232</f>
        <v>Men Rest Room</v>
      </c>
      <c r="D2673" s="103">
        <f t="shared" si="763"/>
        <v>1</v>
      </c>
      <c r="E2673" s="103">
        <f t="shared" si="763"/>
        <v>1</v>
      </c>
      <c r="F2673" s="1413">
        <f t="shared" si="762"/>
        <v>18.2</v>
      </c>
      <c r="G2673" s="1413"/>
      <c r="H2673" s="1414">
        <f t="shared" ref="H2673:H2685" si="764">H2672</f>
        <v>3.18</v>
      </c>
      <c r="I2673" s="1406">
        <f t="shared" si="759"/>
        <v>57.875999999999998</v>
      </c>
      <c r="K2673" s="1413">
        <f t="shared" ref="K2673:L2677" si="765">F2232</f>
        <v>4</v>
      </c>
      <c r="L2673" s="1414">
        <f t="shared" si="765"/>
        <v>5.0999999999999996</v>
      </c>
      <c r="M2673" s="110"/>
      <c r="Q2673" s="1394">
        <f>IFERROR(VLOOKUP(M2673,#REF!,3,0),0)</f>
        <v>0</v>
      </c>
      <c r="R2673" s="1394">
        <f t="shared" si="760"/>
        <v>0</v>
      </c>
      <c r="S2673" s="1394">
        <f>IFERROR(VLOOKUP(M2673,#REF!,6,0),0)</f>
        <v>0</v>
      </c>
      <c r="T2673" s="1394">
        <f t="shared" si="754"/>
        <v>0</v>
      </c>
      <c r="U2673" s="1394">
        <f>IFERROR(VLOOKUP(M2673,#REF!,5,0),0)</f>
        <v>0</v>
      </c>
      <c r="V2673" s="1394">
        <f t="shared" si="755"/>
        <v>0</v>
      </c>
      <c r="W2673" s="1394"/>
    </row>
    <row r="2674" spans="1:23" ht="30" customHeight="1">
      <c r="A2674" s="1397"/>
      <c r="B2674" s="1513"/>
      <c r="C2674" s="1514" t="str">
        <f t="shared" si="763"/>
        <v>Men Rest Room Lobby</v>
      </c>
      <c r="D2674" s="103">
        <f t="shared" si="763"/>
        <v>1</v>
      </c>
      <c r="E2674" s="103">
        <f t="shared" si="763"/>
        <v>1</v>
      </c>
      <c r="F2674" s="1413">
        <f t="shared" si="762"/>
        <v>5.92</v>
      </c>
      <c r="G2674" s="1413"/>
      <c r="H2674" s="1414">
        <f t="shared" si="764"/>
        <v>3.18</v>
      </c>
      <c r="I2674" s="1406">
        <f t="shared" si="759"/>
        <v>18.825600000000001</v>
      </c>
      <c r="K2674" s="1413">
        <f t="shared" si="765"/>
        <v>1.23</v>
      </c>
      <c r="L2674" s="1414">
        <f t="shared" si="765"/>
        <v>1.73</v>
      </c>
      <c r="M2674" s="110"/>
      <c r="Q2674" s="1394">
        <f>IFERROR(VLOOKUP(M2674,#REF!,3,0),0)</f>
        <v>0</v>
      </c>
      <c r="R2674" s="1394">
        <f t="shared" si="760"/>
        <v>0</v>
      </c>
      <c r="S2674" s="1394">
        <f>IFERROR(VLOOKUP(M2674,#REF!,6,0),0)</f>
        <v>0</v>
      </c>
      <c r="T2674" s="1394">
        <f t="shared" si="754"/>
        <v>0</v>
      </c>
      <c r="U2674" s="1394">
        <f>IFERROR(VLOOKUP(M2674,#REF!,5,0),0)</f>
        <v>0</v>
      </c>
      <c r="V2674" s="1394">
        <f t="shared" si="755"/>
        <v>0</v>
      </c>
      <c r="W2674" s="1394"/>
    </row>
    <row r="2675" spans="1:23" ht="30" customHeight="1">
      <c r="A2675" s="1397"/>
      <c r="B2675" s="1513"/>
      <c r="C2675" s="1514" t="str">
        <f t="shared" si="763"/>
        <v>Ins  Traffic  Room</v>
      </c>
      <c r="D2675" s="103">
        <f t="shared" si="763"/>
        <v>1</v>
      </c>
      <c r="E2675" s="103">
        <f t="shared" si="763"/>
        <v>1</v>
      </c>
      <c r="F2675" s="1413">
        <f t="shared" si="762"/>
        <v>18.2</v>
      </c>
      <c r="G2675" s="1413"/>
      <c r="H2675" s="1414">
        <f t="shared" si="764"/>
        <v>3.18</v>
      </c>
      <c r="I2675" s="1406">
        <f t="shared" si="759"/>
        <v>57.875999999999998</v>
      </c>
      <c r="K2675" s="1413">
        <f t="shared" si="765"/>
        <v>4</v>
      </c>
      <c r="L2675" s="1414">
        <f t="shared" si="765"/>
        <v>5.0999999999999996</v>
      </c>
      <c r="M2675" s="110"/>
      <c r="Q2675" s="1394">
        <f>IFERROR(VLOOKUP(M2675,#REF!,3,0),0)</f>
        <v>0</v>
      </c>
      <c r="R2675" s="1394">
        <f t="shared" si="760"/>
        <v>0</v>
      </c>
      <c r="S2675" s="1394">
        <f>IFERROR(VLOOKUP(M2675,#REF!,6,0),0)</f>
        <v>0</v>
      </c>
      <c r="T2675" s="1394">
        <f t="shared" si="754"/>
        <v>0</v>
      </c>
      <c r="U2675" s="1394">
        <f>IFERROR(VLOOKUP(M2675,#REF!,5,0),0)</f>
        <v>0</v>
      </c>
      <c r="V2675" s="1394">
        <f t="shared" si="755"/>
        <v>0</v>
      </c>
      <c r="W2675" s="1394"/>
    </row>
    <row r="2676" spans="1:23" ht="30" customHeight="1">
      <c r="A2676" s="1397"/>
      <c r="B2676" s="1513"/>
      <c r="C2676" s="1514" t="str">
        <f t="shared" si="763"/>
        <v>Ins TrafficRoom Lobby</v>
      </c>
      <c r="D2676" s="103">
        <f t="shared" si="763"/>
        <v>1</v>
      </c>
      <c r="E2676" s="103">
        <f t="shared" si="763"/>
        <v>1</v>
      </c>
      <c r="F2676" s="1413">
        <f t="shared" si="762"/>
        <v>5.92</v>
      </c>
      <c r="G2676" s="1413"/>
      <c r="H2676" s="1414">
        <f t="shared" si="764"/>
        <v>3.18</v>
      </c>
      <c r="I2676" s="1406">
        <f t="shared" si="759"/>
        <v>18.825600000000001</v>
      </c>
      <c r="K2676" s="1413">
        <f t="shared" si="765"/>
        <v>1.23</v>
      </c>
      <c r="L2676" s="1414">
        <f t="shared" si="765"/>
        <v>1.73</v>
      </c>
      <c r="M2676" s="110"/>
      <c r="Q2676" s="1394">
        <f>IFERROR(VLOOKUP(M2676,#REF!,3,0),0)</f>
        <v>0</v>
      </c>
      <c r="R2676" s="1394">
        <f t="shared" si="760"/>
        <v>0</v>
      </c>
      <c r="S2676" s="1394">
        <f>IFERROR(VLOOKUP(M2676,#REF!,6,0),0)</f>
        <v>0</v>
      </c>
      <c r="T2676" s="1394">
        <f t="shared" si="754"/>
        <v>0</v>
      </c>
      <c r="U2676" s="1394">
        <f>IFERROR(VLOOKUP(M2676,#REF!,5,0),0)</f>
        <v>0</v>
      </c>
      <c r="V2676" s="1394">
        <f t="shared" si="755"/>
        <v>0</v>
      </c>
      <c r="W2676" s="1394"/>
    </row>
    <row r="2677" spans="1:23" ht="30" customHeight="1">
      <c r="A2677" s="1397"/>
      <c r="B2677" s="1513"/>
      <c r="C2677" s="1514" t="str">
        <f t="shared" si="763"/>
        <v>Writer Room</v>
      </c>
      <c r="D2677" s="103">
        <f t="shared" si="763"/>
        <v>1</v>
      </c>
      <c r="E2677" s="103">
        <f t="shared" si="763"/>
        <v>1</v>
      </c>
      <c r="F2677" s="1413">
        <f t="shared" si="762"/>
        <v>16.43</v>
      </c>
      <c r="G2677" s="1413"/>
      <c r="H2677" s="1414">
        <f t="shared" si="764"/>
        <v>3.18</v>
      </c>
      <c r="I2677" s="1406">
        <f t="shared" si="759"/>
        <v>52.247399999999999</v>
      </c>
      <c r="K2677" s="1413">
        <f t="shared" si="765"/>
        <v>3.1150000000000002</v>
      </c>
      <c r="L2677" s="1414">
        <f t="shared" si="765"/>
        <v>5.0999999999999996</v>
      </c>
      <c r="M2677" s="110"/>
      <c r="Q2677" s="1394">
        <f>IFERROR(VLOOKUP(M2677,#REF!,3,0),0)</f>
        <v>0</v>
      </c>
      <c r="R2677" s="1394">
        <f t="shared" si="760"/>
        <v>0</v>
      </c>
      <c r="S2677" s="1394">
        <f>IFERROR(VLOOKUP(M2677,#REF!,6,0),0)</f>
        <v>0</v>
      </c>
      <c r="T2677" s="1394">
        <f t="shared" si="754"/>
        <v>0</v>
      </c>
      <c r="U2677" s="1394">
        <f>IFERROR(VLOOKUP(M2677,#REF!,5,0),0)</f>
        <v>0</v>
      </c>
      <c r="V2677" s="1394">
        <f t="shared" si="755"/>
        <v>0</v>
      </c>
      <c r="W2677" s="1394"/>
    </row>
    <row r="2678" spans="1:23" ht="30" customHeight="1">
      <c r="A2678" s="1397"/>
      <c r="B2678" s="1513"/>
      <c r="C2678" s="1514" t="str">
        <f>C2194</f>
        <v>Hall</v>
      </c>
      <c r="D2678" s="103">
        <f>D2194</f>
        <v>1</v>
      </c>
      <c r="E2678" s="103">
        <f>E2194</f>
        <v>1</v>
      </c>
      <c r="F2678" s="1413">
        <f t="shared" si="762"/>
        <v>31.29</v>
      </c>
      <c r="G2678" s="1413"/>
      <c r="H2678" s="1414">
        <f t="shared" si="764"/>
        <v>3.18</v>
      </c>
      <c r="I2678" s="1406">
        <f t="shared" si="759"/>
        <v>99.502200000000002</v>
      </c>
      <c r="K2678" s="1413">
        <f>F2194</f>
        <v>9.8849999999999998</v>
      </c>
      <c r="L2678" s="1414">
        <f>G2194</f>
        <v>5.76</v>
      </c>
      <c r="M2678" s="110"/>
      <c r="Q2678" s="1394">
        <f>IFERROR(VLOOKUP(M2678,#REF!,3,0),0)</f>
        <v>0</v>
      </c>
      <c r="R2678" s="1394">
        <f t="shared" si="760"/>
        <v>0</v>
      </c>
      <c r="S2678" s="1394">
        <f>IFERROR(VLOOKUP(M2678,#REF!,6,0),0)</f>
        <v>0</v>
      </c>
      <c r="T2678" s="1394">
        <f t="shared" si="754"/>
        <v>0</v>
      </c>
      <c r="U2678" s="1394">
        <f>IFERROR(VLOOKUP(M2678,#REF!,5,0),0)</f>
        <v>0</v>
      </c>
      <c r="V2678" s="1394">
        <f t="shared" si="755"/>
        <v>0</v>
      </c>
      <c r="W2678" s="1394"/>
    </row>
    <row r="2679" spans="1:23" ht="30" customHeight="1">
      <c r="A2679" s="1397"/>
      <c r="B2679" s="1513"/>
      <c r="C2679" s="1514" t="str">
        <f t="shared" ref="C2679:E2684" si="766">C2237</f>
        <v>Store</v>
      </c>
      <c r="D2679" s="103">
        <f t="shared" si="766"/>
        <v>1</v>
      </c>
      <c r="E2679" s="103">
        <f t="shared" si="766"/>
        <v>1</v>
      </c>
      <c r="F2679" s="1413">
        <f t="shared" si="762"/>
        <v>13.23</v>
      </c>
      <c r="G2679" s="1413"/>
      <c r="H2679" s="1414">
        <f t="shared" si="764"/>
        <v>3.18</v>
      </c>
      <c r="I2679" s="1406">
        <f t="shared" si="759"/>
        <v>42.071400000000004</v>
      </c>
      <c r="K2679" s="1413">
        <f t="shared" ref="K2679:L2684" si="767">F2237</f>
        <v>4.1150000000000002</v>
      </c>
      <c r="L2679" s="1414">
        <f t="shared" si="767"/>
        <v>2.5</v>
      </c>
      <c r="M2679" s="110"/>
      <c r="Q2679" s="1394">
        <f>IFERROR(VLOOKUP(M2679,#REF!,3,0),0)</f>
        <v>0</v>
      </c>
      <c r="R2679" s="1394">
        <f t="shared" si="760"/>
        <v>0</v>
      </c>
      <c r="S2679" s="1394">
        <f>IFERROR(VLOOKUP(M2679,#REF!,6,0),0)</f>
        <v>0</v>
      </c>
      <c r="T2679" s="1394">
        <f t="shared" si="754"/>
        <v>0</v>
      </c>
      <c r="U2679" s="1394">
        <f>IFERROR(VLOOKUP(M2679,#REF!,5,0),0)</f>
        <v>0</v>
      </c>
      <c r="V2679" s="1394">
        <f t="shared" si="755"/>
        <v>0</v>
      </c>
      <c r="W2679" s="1394"/>
    </row>
    <row r="2680" spans="1:23" ht="30" customHeight="1">
      <c r="A2680" s="1397"/>
      <c r="B2680" s="1513"/>
      <c r="C2680" s="1514" t="str">
        <f t="shared" si="766"/>
        <v>Meeting Hall</v>
      </c>
      <c r="D2680" s="103">
        <f t="shared" si="766"/>
        <v>1</v>
      </c>
      <c r="E2680" s="103">
        <f t="shared" si="766"/>
        <v>1</v>
      </c>
      <c r="F2680" s="1413">
        <f t="shared" si="762"/>
        <v>26.14</v>
      </c>
      <c r="G2680" s="1413"/>
      <c r="H2680" s="1414">
        <f t="shared" si="764"/>
        <v>3.18</v>
      </c>
      <c r="I2680" s="1406">
        <f t="shared" si="759"/>
        <v>83.125200000000007</v>
      </c>
      <c r="K2680" s="1413">
        <f t="shared" si="767"/>
        <v>9.17</v>
      </c>
      <c r="L2680" s="1414">
        <f t="shared" si="767"/>
        <v>3.9</v>
      </c>
      <c r="M2680" s="110"/>
      <c r="Q2680" s="1394">
        <f>IFERROR(VLOOKUP(M2680,#REF!,3,0),0)</f>
        <v>0</v>
      </c>
      <c r="R2680" s="1394">
        <f t="shared" si="760"/>
        <v>0</v>
      </c>
      <c r="S2680" s="1394">
        <f>IFERROR(VLOOKUP(M2680,#REF!,6,0),0)</f>
        <v>0</v>
      </c>
      <c r="T2680" s="1394">
        <f t="shared" si="754"/>
        <v>0</v>
      </c>
      <c r="U2680" s="1394">
        <f>IFERROR(VLOOKUP(M2680,#REF!,5,0),0)</f>
        <v>0</v>
      </c>
      <c r="V2680" s="1394">
        <f t="shared" si="755"/>
        <v>0</v>
      </c>
      <c r="W2680" s="1394"/>
    </row>
    <row r="2681" spans="1:23" ht="30" customHeight="1">
      <c r="A2681" s="1397"/>
      <c r="B2681" s="1513"/>
      <c r="C2681" s="1514" t="str">
        <f t="shared" si="766"/>
        <v>C/B</v>
      </c>
      <c r="D2681" s="103">
        <f t="shared" si="766"/>
        <v>1</v>
      </c>
      <c r="E2681" s="103">
        <f t="shared" si="766"/>
        <v>1</v>
      </c>
      <c r="F2681" s="1413">
        <f t="shared" si="762"/>
        <v>9</v>
      </c>
      <c r="G2681" s="1413"/>
      <c r="H2681" s="1414">
        <f t="shared" si="764"/>
        <v>3.18</v>
      </c>
      <c r="I2681" s="1406">
        <f t="shared" si="759"/>
        <v>28.62</v>
      </c>
      <c r="K2681" s="1413">
        <f t="shared" si="767"/>
        <v>0.6</v>
      </c>
      <c r="L2681" s="1414">
        <f t="shared" si="767"/>
        <v>3.9</v>
      </c>
      <c r="M2681" s="110"/>
      <c r="Q2681" s="1394">
        <f>IFERROR(VLOOKUP(M2681,#REF!,3,0),0)</f>
        <v>0</v>
      </c>
      <c r="R2681" s="1394">
        <f t="shared" si="760"/>
        <v>0</v>
      </c>
      <c r="S2681" s="1394">
        <f>IFERROR(VLOOKUP(M2681,#REF!,6,0),0)</f>
        <v>0</v>
      </c>
      <c r="T2681" s="1394">
        <f t="shared" si="754"/>
        <v>0</v>
      </c>
      <c r="U2681" s="1394">
        <f>IFERROR(VLOOKUP(M2681,#REF!,5,0),0)</f>
        <v>0</v>
      </c>
      <c r="V2681" s="1394">
        <f t="shared" si="755"/>
        <v>0</v>
      </c>
      <c r="W2681" s="1394"/>
    </row>
    <row r="2682" spans="1:23" ht="30" customHeight="1">
      <c r="A2682" s="1397"/>
      <c r="B2682" s="1513"/>
      <c r="C2682" s="1514" t="str">
        <f t="shared" si="766"/>
        <v>Men Rest Room</v>
      </c>
      <c r="D2682" s="103">
        <f t="shared" si="766"/>
        <v>1</v>
      </c>
      <c r="E2682" s="103">
        <f t="shared" si="766"/>
        <v>1</v>
      </c>
      <c r="F2682" s="1413">
        <f t="shared" si="762"/>
        <v>15.52</v>
      </c>
      <c r="G2682" s="1413"/>
      <c r="H2682" s="1414">
        <f t="shared" si="764"/>
        <v>3.18</v>
      </c>
      <c r="I2682" s="1406">
        <f t="shared" si="759"/>
        <v>49.3536</v>
      </c>
      <c r="K2682" s="1413">
        <f t="shared" si="767"/>
        <v>3.86</v>
      </c>
      <c r="L2682" s="1414">
        <f t="shared" si="767"/>
        <v>3.9</v>
      </c>
      <c r="M2682" s="110"/>
      <c r="Q2682" s="1394">
        <f>IFERROR(VLOOKUP(M2682,#REF!,3,0),0)</f>
        <v>0</v>
      </c>
      <c r="R2682" s="1394">
        <f t="shared" si="760"/>
        <v>0</v>
      </c>
      <c r="S2682" s="1394">
        <f>IFERROR(VLOOKUP(M2682,#REF!,6,0),0)</f>
        <v>0</v>
      </c>
      <c r="T2682" s="1394">
        <f t="shared" si="754"/>
        <v>0</v>
      </c>
      <c r="U2682" s="1394">
        <f>IFERROR(VLOOKUP(M2682,#REF!,5,0),0)</f>
        <v>0</v>
      </c>
      <c r="V2682" s="1394">
        <f t="shared" si="755"/>
        <v>0</v>
      </c>
      <c r="W2682" s="1394"/>
    </row>
    <row r="2683" spans="1:23" ht="30" customHeight="1">
      <c r="A2683" s="1397"/>
      <c r="B2683" s="1513"/>
      <c r="C2683" s="1514" t="str">
        <f t="shared" si="766"/>
        <v>C/B</v>
      </c>
      <c r="D2683" s="103">
        <f t="shared" si="766"/>
        <v>1</v>
      </c>
      <c r="E2683" s="103">
        <f t="shared" si="766"/>
        <v>1</v>
      </c>
      <c r="F2683" s="1413">
        <f t="shared" si="762"/>
        <v>9</v>
      </c>
      <c r="G2683" s="1413"/>
      <c r="H2683" s="1414">
        <f t="shared" si="764"/>
        <v>3.18</v>
      </c>
      <c r="I2683" s="1406">
        <f t="shared" si="759"/>
        <v>28.62</v>
      </c>
      <c r="K2683" s="1413">
        <f t="shared" si="767"/>
        <v>0.6</v>
      </c>
      <c r="L2683" s="1414">
        <f t="shared" si="767"/>
        <v>3.9</v>
      </c>
      <c r="M2683" s="110"/>
      <c r="Q2683" s="1394">
        <f>IFERROR(VLOOKUP(M2683,#REF!,3,0),0)</f>
        <v>0</v>
      </c>
      <c r="R2683" s="1394">
        <f t="shared" si="760"/>
        <v>0</v>
      </c>
      <c r="S2683" s="1394">
        <f>IFERROR(VLOOKUP(M2683,#REF!,6,0),0)</f>
        <v>0</v>
      </c>
      <c r="T2683" s="1394">
        <f t="shared" si="754"/>
        <v>0</v>
      </c>
      <c r="U2683" s="1394">
        <f>IFERROR(VLOOKUP(M2683,#REF!,5,0),0)</f>
        <v>0</v>
      </c>
      <c r="V2683" s="1394">
        <f t="shared" si="755"/>
        <v>0</v>
      </c>
      <c r="W2683" s="1394"/>
    </row>
    <row r="2684" spans="1:23" ht="30" customHeight="1">
      <c r="A2684" s="1397"/>
      <c r="B2684" s="1513"/>
      <c r="C2684" s="1514" t="str">
        <f t="shared" si="766"/>
        <v>Balcony Entrance</v>
      </c>
      <c r="D2684" s="103">
        <f t="shared" si="766"/>
        <v>1</v>
      </c>
      <c r="E2684" s="103">
        <f t="shared" si="766"/>
        <v>1</v>
      </c>
      <c r="F2684" s="1413">
        <f t="shared" si="762"/>
        <v>7.7200000000000006</v>
      </c>
      <c r="G2684" s="1413"/>
      <c r="H2684" s="1414">
        <f t="shared" si="764"/>
        <v>3.18</v>
      </c>
      <c r="I2684" s="1406">
        <f t="shared" si="759"/>
        <v>24.549600000000002</v>
      </c>
      <c r="K2684" s="1413">
        <f t="shared" si="767"/>
        <v>1.36</v>
      </c>
      <c r="L2684" s="1414">
        <f t="shared" si="767"/>
        <v>2.5</v>
      </c>
      <c r="M2684" s="110"/>
      <c r="Q2684" s="1394">
        <f>IFERROR(VLOOKUP(M2684,#REF!,3,0),0)</f>
        <v>0</v>
      </c>
      <c r="R2684" s="1394">
        <f t="shared" si="760"/>
        <v>0</v>
      </c>
      <c r="S2684" s="1394">
        <f>IFERROR(VLOOKUP(M2684,#REF!,6,0),0)</f>
        <v>0</v>
      </c>
      <c r="T2684" s="1394">
        <f t="shared" si="754"/>
        <v>0</v>
      </c>
      <c r="U2684" s="1394">
        <f>IFERROR(VLOOKUP(M2684,#REF!,5,0),0)</f>
        <v>0</v>
      </c>
      <c r="V2684" s="1394">
        <f t="shared" si="755"/>
        <v>0</v>
      </c>
      <c r="W2684" s="1394"/>
    </row>
    <row r="2685" spans="1:23" ht="30" customHeight="1">
      <c r="A2685" s="1397"/>
      <c r="B2685" s="1513"/>
      <c r="C2685" s="1514" t="str">
        <f>C2244</f>
        <v>Lift MACHINE Room</v>
      </c>
      <c r="D2685" s="103">
        <f>D2244</f>
        <v>1</v>
      </c>
      <c r="E2685" s="103">
        <f>E2244</f>
        <v>1</v>
      </c>
      <c r="F2685" s="1413">
        <f t="shared" si="762"/>
        <v>17.71</v>
      </c>
      <c r="G2685" s="1413"/>
      <c r="H2685" s="1414">
        <f t="shared" si="764"/>
        <v>3.18</v>
      </c>
      <c r="I2685" s="1406">
        <f t="shared" si="759"/>
        <v>56.317800000000005</v>
      </c>
      <c r="K2685" s="1413">
        <f>F2244</f>
        <v>6.5549999999999997</v>
      </c>
      <c r="L2685" s="1414">
        <f>G2244</f>
        <v>2.2999999999999998</v>
      </c>
      <c r="M2685" s="110"/>
      <c r="Q2685" s="1394">
        <f>IFERROR(VLOOKUP(M2685,#REF!,3,0),0)</f>
        <v>0</v>
      </c>
      <c r="R2685" s="1394">
        <f t="shared" si="760"/>
        <v>0</v>
      </c>
      <c r="S2685" s="1394">
        <f>IFERROR(VLOOKUP(M2685,#REF!,6,0),0)</f>
        <v>0</v>
      </c>
      <c r="T2685" s="1394">
        <f t="shared" si="754"/>
        <v>0</v>
      </c>
      <c r="U2685" s="1394">
        <f>IFERROR(VLOOKUP(M2685,#REF!,5,0),0)</f>
        <v>0</v>
      </c>
      <c r="V2685" s="1394">
        <f t="shared" si="755"/>
        <v>0</v>
      </c>
      <c r="W2685" s="1394"/>
    </row>
    <row r="2686" spans="1:23" ht="30" customHeight="1">
      <c r="A2686" s="1397"/>
      <c r="B2686" s="1513"/>
      <c r="C2686" s="1412" t="s">
        <v>5852</v>
      </c>
      <c r="D2686" s="103"/>
      <c r="E2686" s="103"/>
      <c r="F2686" s="1413">
        <f t="shared" ref="F2686:F2687" si="768">(K2686+L2686)*2</f>
        <v>0</v>
      </c>
      <c r="G2686" s="1413"/>
      <c r="H2686" s="1414"/>
      <c r="I2686" s="1406">
        <f t="shared" si="759"/>
        <v>0</v>
      </c>
      <c r="L2686" s="1397"/>
      <c r="M2686" s="110"/>
      <c r="Q2686" s="1394">
        <f>IFERROR(VLOOKUP(M2686,#REF!,3,0),0)</f>
        <v>0</v>
      </c>
      <c r="R2686" s="1394">
        <f t="shared" si="760"/>
        <v>0</v>
      </c>
      <c r="S2686" s="1394">
        <f>IFERROR(VLOOKUP(M2686,#REF!,6,0),0)</f>
        <v>0</v>
      </c>
      <c r="T2686" s="1394">
        <f t="shared" si="754"/>
        <v>0</v>
      </c>
      <c r="U2686" s="1394">
        <f>IFERROR(VLOOKUP(M2686,#REF!,5,0),0)</f>
        <v>0</v>
      </c>
      <c r="V2686" s="1394">
        <f t="shared" si="755"/>
        <v>0</v>
      </c>
      <c r="W2686" s="1394"/>
    </row>
    <row r="2687" spans="1:23" ht="30" customHeight="1">
      <c r="A2687" s="1397"/>
      <c r="B2687" s="1513"/>
      <c r="C2687" s="1455" t="str">
        <f>C2427</f>
        <v>Mn Rest Room Toilet</v>
      </c>
      <c r="D2687" s="103">
        <f>D2427</f>
        <v>1</v>
      </c>
      <c r="E2687" s="103">
        <f>E2427</f>
        <v>1</v>
      </c>
      <c r="F2687" s="1413">
        <f t="shared" si="768"/>
        <v>6.3</v>
      </c>
      <c r="G2687" s="1413"/>
      <c r="H2687" s="1414">
        <f>H2685</f>
        <v>3.18</v>
      </c>
      <c r="I2687" s="1406">
        <f t="shared" si="759"/>
        <v>20.033999999999999</v>
      </c>
      <c r="K2687" s="1413">
        <f>F2427</f>
        <v>1.65</v>
      </c>
      <c r="L2687" s="1414">
        <f>G2427</f>
        <v>1.5</v>
      </c>
      <c r="M2687" s="110"/>
      <c r="Q2687" s="1394">
        <f>IFERROR(VLOOKUP(M2687,#REF!,3,0),0)</f>
        <v>0</v>
      </c>
      <c r="R2687" s="1394">
        <f t="shared" si="760"/>
        <v>0</v>
      </c>
      <c r="S2687" s="1394">
        <f>IFERROR(VLOOKUP(M2687,#REF!,6,0),0)</f>
        <v>0</v>
      </c>
      <c r="T2687" s="1394">
        <f t="shared" si="754"/>
        <v>0</v>
      </c>
      <c r="U2687" s="1394">
        <f>IFERROR(VLOOKUP(M2687,#REF!,5,0),0)</f>
        <v>0</v>
      </c>
      <c r="V2687" s="1394">
        <f t="shared" si="755"/>
        <v>0</v>
      </c>
      <c r="W2687" s="1394"/>
    </row>
    <row r="2688" spans="1:23" ht="30" customHeight="1">
      <c r="A2688" s="1397"/>
      <c r="B2688" s="1513"/>
      <c r="C2688" s="1455" t="str">
        <f t="shared" ref="C2688:E2690" si="769">C2429</f>
        <v>Men Rest Room  Toilet Passage</v>
      </c>
      <c r="D2688" s="103">
        <f t="shared" si="769"/>
        <v>1</v>
      </c>
      <c r="E2688" s="103">
        <f t="shared" si="769"/>
        <v>1</v>
      </c>
      <c r="F2688" s="1413">
        <f t="shared" ref="F2688:F2700" si="770">(K2688+L2688)*2</f>
        <v>5.24</v>
      </c>
      <c r="G2688" s="1413"/>
      <c r="H2688" s="1414">
        <f>H2687</f>
        <v>3.18</v>
      </c>
      <c r="I2688" s="1406">
        <f t="shared" ref="I2688:I2700" si="771">PRODUCT(D2688:H2688)</f>
        <v>16.6632</v>
      </c>
      <c r="K2688" s="1413">
        <f t="shared" ref="K2688:L2690" si="772">F2429</f>
        <v>1.1200000000000001</v>
      </c>
      <c r="L2688" s="1414">
        <f t="shared" si="772"/>
        <v>1.5</v>
      </c>
      <c r="M2688" s="110"/>
      <c r="Q2688" s="1394">
        <f>IFERROR(VLOOKUP(M2688,#REF!,3,0),0)</f>
        <v>0</v>
      </c>
      <c r="R2688" s="1394">
        <f t="shared" si="760"/>
        <v>0</v>
      </c>
      <c r="S2688" s="1394">
        <f>IFERROR(VLOOKUP(M2688,#REF!,6,0),0)</f>
        <v>0</v>
      </c>
      <c r="T2688" s="1394">
        <f t="shared" si="754"/>
        <v>0</v>
      </c>
      <c r="U2688" s="1394">
        <f>IFERROR(VLOOKUP(M2688,#REF!,5,0),0)</f>
        <v>0</v>
      </c>
      <c r="V2688" s="1394">
        <f t="shared" si="755"/>
        <v>0</v>
      </c>
      <c r="W2688" s="1394"/>
    </row>
    <row r="2689" spans="1:23" ht="30" customHeight="1">
      <c r="A2689" s="1397"/>
      <c r="B2689" s="1513"/>
      <c r="C2689" s="1455" t="str">
        <f t="shared" si="769"/>
        <v>O</v>
      </c>
      <c r="D2689" s="103">
        <f t="shared" si="769"/>
        <v>1</v>
      </c>
      <c r="E2689" s="103">
        <f t="shared" si="769"/>
        <v>1</v>
      </c>
      <c r="F2689" s="1413">
        <f t="shared" si="770"/>
        <v>2.46</v>
      </c>
      <c r="G2689" s="1413"/>
      <c r="H2689" s="1414">
        <f t="shared" ref="H2689:H2700" si="773">H2688</f>
        <v>3.18</v>
      </c>
      <c r="I2689" s="1406">
        <f t="shared" si="771"/>
        <v>7.8228</v>
      </c>
      <c r="K2689" s="1413">
        <f t="shared" si="772"/>
        <v>0.23</v>
      </c>
      <c r="L2689" s="1414">
        <f t="shared" si="772"/>
        <v>1</v>
      </c>
      <c r="M2689" s="110"/>
      <c r="Q2689" s="1394">
        <f>IFERROR(VLOOKUP(M2689,#REF!,3,0),0)</f>
        <v>0</v>
      </c>
      <c r="R2689" s="1394">
        <f t="shared" si="760"/>
        <v>0</v>
      </c>
      <c r="S2689" s="1394">
        <f>IFERROR(VLOOKUP(M2689,#REF!,6,0),0)</f>
        <v>0</v>
      </c>
      <c r="T2689" s="1394">
        <f t="shared" si="754"/>
        <v>0</v>
      </c>
      <c r="U2689" s="1394">
        <f>IFERROR(VLOOKUP(M2689,#REF!,5,0),0)</f>
        <v>0</v>
      </c>
      <c r="V2689" s="1394">
        <f t="shared" si="755"/>
        <v>0</v>
      </c>
      <c r="W2689" s="1394"/>
    </row>
    <row r="2690" spans="1:23" ht="30" customHeight="1">
      <c r="A2690" s="1397"/>
      <c r="B2690" s="1513"/>
      <c r="C2690" s="1455" t="str">
        <f t="shared" si="769"/>
        <v>INS  Room Toilet</v>
      </c>
      <c r="D2690" s="103">
        <f t="shared" si="769"/>
        <v>1</v>
      </c>
      <c r="E2690" s="103">
        <f t="shared" si="769"/>
        <v>1</v>
      </c>
      <c r="F2690" s="1413">
        <f t="shared" si="770"/>
        <v>6.3</v>
      </c>
      <c r="G2690" s="1413"/>
      <c r="H2690" s="1414">
        <f t="shared" si="773"/>
        <v>3.18</v>
      </c>
      <c r="I2690" s="1406">
        <f t="shared" si="771"/>
        <v>20.033999999999999</v>
      </c>
      <c r="K2690" s="1413">
        <f t="shared" si="772"/>
        <v>1.65</v>
      </c>
      <c r="L2690" s="1414">
        <f t="shared" si="772"/>
        <v>1.5</v>
      </c>
      <c r="M2690" s="110"/>
      <c r="Q2690" s="1394">
        <f>IFERROR(VLOOKUP(M2690,#REF!,3,0),0)</f>
        <v>0</v>
      </c>
      <c r="R2690" s="1394">
        <f t="shared" si="760"/>
        <v>0</v>
      </c>
      <c r="S2690" s="1394">
        <f>IFERROR(VLOOKUP(M2690,#REF!,6,0),0)</f>
        <v>0</v>
      </c>
      <c r="T2690" s="1394">
        <f t="shared" si="754"/>
        <v>0</v>
      </c>
      <c r="U2690" s="1394">
        <f>IFERROR(VLOOKUP(M2690,#REF!,5,0),0)</f>
        <v>0</v>
      </c>
      <c r="V2690" s="1394">
        <f t="shared" si="755"/>
        <v>0</v>
      </c>
      <c r="W2690" s="1394"/>
    </row>
    <row r="2691" spans="1:23" ht="30" customHeight="1">
      <c r="A2691" s="1397"/>
      <c r="B2691" s="1513"/>
      <c r="C2691" s="1455" t="str">
        <f t="shared" ref="C2691:E2693" si="774">C2433</f>
        <v>INS  Room Toilet Passage</v>
      </c>
      <c r="D2691" s="103">
        <f t="shared" si="774"/>
        <v>1</v>
      </c>
      <c r="E2691" s="103">
        <f t="shared" si="774"/>
        <v>1</v>
      </c>
      <c r="F2691" s="1413">
        <f t="shared" si="770"/>
        <v>5.24</v>
      </c>
      <c r="G2691" s="1413"/>
      <c r="H2691" s="1414">
        <f t="shared" si="773"/>
        <v>3.18</v>
      </c>
      <c r="I2691" s="1406">
        <f t="shared" si="771"/>
        <v>16.6632</v>
      </c>
      <c r="K2691" s="1413">
        <f t="shared" ref="K2691:L2693" si="775">F2433</f>
        <v>1.1200000000000001</v>
      </c>
      <c r="L2691" s="1414">
        <f t="shared" si="775"/>
        <v>1.5</v>
      </c>
      <c r="M2691" s="110"/>
      <c r="Q2691" s="1394">
        <f>IFERROR(VLOOKUP(M2691,#REF!,3,0),0)</f>
        <v>0</v>
      </c>
      <c r="R2691" s="1394">
        <f t="shared" si="760"/>
        <v>0</v>
      </c>
      <c r="S2691" s="1394">
        <f>IFERROR(VLOOKUP(M2691,#REF!,6,0),0)</f>
        <v>0</v>
      </c>
      <c r="T2691" s="1394">
        <f t="shared" si="754"/>
        <v>0</v>
      </c>
      <c r="U2691" s="1394">
        <f>IFERROR(VLOOKUP(M2691,#REF!,5,0),0)</f>
        <v>0</v>
      </c>
      <c r="V2691" s="1394">
        <f t="shared" si="755"/>
        <v>0</v>
      </c>
      <c r="W2691" s="1394"/>
    </row>
    <row r="2692" spans="1:23" ht="30" customHeight="1">
      <c r="A2692" s="1397"/>
      <c r="B2692" s="1513"/>
      <c r="C2692" s="1455" t="str">
        <f t="shared" si="774"/>
        <v>O</v>
      </c>
      <c r="D2692" s="103">
        <f t="shared" si="774"/>
        <v>1</v>
      </c>
      <c r="E2692" s="103">
        <f t="shared" si="774"/>
        <v>1</v>
      </c>
      <c r="F2692" s="1413">
        <f t="shared" si="770"/>
        <v>2.46</v>
      </c>
      <c r="G2692" s="1413"/>
      <c r="H2692" s="1414">
        <f t="shared" si="773"/>
        <v>3.18</v>
      </c>
      <c r="I2692" s="1406">
        <f t="shared" si="771"/>
        <v>7.8228</v>
      </c>
      <c r="K2692" s="1413">
        <f t="shared" si="775"/>
        <v>0.23</v>
      </c>
      <c r="L2692" s="1414">
        <f t="shared" si="775"/>
        <v>1</v>
      </c>
      <c r="M2692" s="110"/>
      <c r="Q2692" s="1394">
        <f>IFERROR(VLOOKUP(M2692,#REF!,3,0),0)</f>
        <v>0</v>
      </c>
      <c r="R2692" s="1394">
        <f t="shared" si="760"/>
        <v>0</v>
      </c>
      <c r="S2692" s="1394">
        <f>IFERROR(VLOOKUP(M2692,#REF!,6,0),0)</f>
        <v>0</v>
      </c>
      <c r="T2692" s="1394">
        <f t="shared" si="754"/>
        <v>0</v>
      </c>
      <c r="U2692" s="1394">
        <f>IFERROR(VLOOKUP(M2692,#REF!,5,0),0)</f>
        <v>0</v>
      </c>
      <c r="V2692" s="1394">
        <f t="shared" si="755"/>
        <v>0</v>
      </c>
      <c r="W2692" s="1394"/>
    </row>
    <row r="2693" spans="1:23" ht="30" customHeight="1">
      <c r="A2693" s="1397"/>
      <c r="B2693" s="1513"/>
      <c r="C2693" s="1455" t="str">
        <f t="shared" si="774"/>
        <v>Mn Rest Room Toilet</v>
      </c>
      <c r="D2693" s="103">
        <f t="shared" si="774"/>
        <v>1</v>
      </c>
      <c r="E2693" s="103">
        <f t="shared" si="774"/>
        <v>1</v>
      </c>
      <c r="F2693" s="1413">
        <f t="shared" si="770"/>
        <v>5.4</v>
      </c>
      <c r="G2693" s="1413"/>
      <c r="H2693" s="1414">
        <f t="shared" si="773"/>
        <v>3.18</v>
      </c>
      <c r="I2693" s="1406">
        <f t="shared" si="771"/>
        <v>17.172000000000001</v>
      </c>
      <c r="K2693" s="1413">
        <f t="shared" si="775"/>
        <v>1.5</v>
      </c>
      <c r="L2693" s="1414">
        <f t="shared" si="775"/>
        <v>1.2</v>
      </c>
      <c r="M2693" s="110"/>
      <c r="Q2693" s="1394">
        <f>IFERROR(VLOOKUP(M2693,#REF!,3,0),0)</f>
        <v>0</v>
      </c>
      <c r="R2693" s="1394">
        <f t="shared" si="760"/>
        <v>0</v>
      </c>
      <c r="S2693" s="1394">
        <f>IFERROR(VLOOKUP(M2693,#REF!,6,0),0)</f>
        <v>0</v>
      </c>
      <c r="T2693" s="1394">
        <f t="shared" si="754"/>
        <v>0</v>
      </c>
      <c r="U2693" s="1394">
        <f>IFERROR(VLOOKUP(M2693,#REF!,5,0),0)</f>
        <v>0</v>
      </c>
      <c r="V2693" s="1394">
        <f t="shared" si="755"/>
        <v>0</v>
      </c>
      <c r="W2693" s="1394"/>
    </row>
    <row r="2694" spans="1:23" ht="30" customHeight="1">
      <c r="A2694" s="1397"/>
      <c r="B2694" s="1513"/>
      <c r="C2694" s="1455" t="str">
        <f>C2437</f>
        <v>Mn Rest Room bath</v>
      </c>
      <c r="D2694" s="103">
        <f>D2437</f>
        <v>1</v>
      </c>
      <c r="E2694" s="103">
        <f>E2437</f>
        <v>1</v>
      </c>
      <c r="F2694" s="1413">
        <f t="shared" si="770"/>
        <v>5.4700000000000006</v>
      </c>
      <c r="G2694" s="1413"/>
      <c r="H2694" s="1414">
        <f t="shared" si="773"/>
        <v>3.18</v>
      </c>
      <c r="I2694" s="1406">
        <f t="shared" si="771"/>
        <v>17.394600000000004</v>
      </c>
      <c r="K2694" s="1413">
        <f>F2437</f>
        <v>1.5</v>
      </c>
      <c r="L2694" s="1414">
        <f>G2437</f>
        <v>1.2350000000000001</v>
      </c>
      <c r="M2694" s="110"/>
      <c r="Q2694" s="1394">
        <f>IFERROR(VLOOKUP(M2694,#REF!,3,0),0)</f>
        <v>0</v>
      </c>
      <c r="R2694" s="1394">
        <f t="shared" si="760"/>
        <v>0</v>
      </c>
      <c r="S2694" s="1394">
        <f>IFERROR(VLOOKUP(M2694,#REF!,6,0),0)</f>
        <v>0</v>
      </c>
      <c r="T2694" s="1394">
        <f t="shared" si="754"/>
        <v>0</v>
      </c>
      <c r="U2694" s="1394">
        <f>IFERROR(VLOOKUP(M2694,#REF!,5,0),0)</f>
        <v>0</v>
      </c>
      <c r="V2694" s="1394">
        <f t="shared" si="755"/>
        <v>0</v>
      </c>
      <c r="W2694" s="1394"/>
    </row>
    <row r="2695" spans="1:23" ht="30" customHeight="1">
      <c r="A2695" s="1397"/>
      <c r="B2695" s="1513"/>
      <c r="C2695" s="1455" t="str">
        <f t="shared" ref="C2695:E2697" si="776">C2439</f>
        <v xml:space="preserve"> Passage</v>
      </c>
      <c r="D2695" s="103">
        <f t="shared" si="776"/>
        <v>1</v>
      </c>
      <c r="E2695" s="103">
        <f t="shared" si="776"/>
        <v>1</v>
      </c>
      <c r="F2695" s="1413">
        <f t="shared" si="770"/>
        <v>9.11</v>
      </c>
      <c r="G2695" s="1413"/>
      <c r="H2695" s="1414">
        <f t="shared" si="773"/>
        <v>3.18</v>
      </c>
      <c r="I2695" s="1406">
        <f t="shared" si="771"/>
        <v>28.969799999999999</v>
      </c>
      <c r="K2695" s="1413">
        <f t="shared" ref="K2695:L2697" si="777">F2439</f>
        <v>2.27</v>
      </c>
      <c r="L2695" s="1414">
        <f t="shared" si="777"/>
        <v>2.2850000000000001</v>
      </c>
      <c r="M2695" s="110"/>
      <c r="Q2695" s="1394">
        <f>IFERROR(VLOOKUP(M2695,#REF!,3,0),0)</f>
        <v>0</v>
      </c>
      <c r="R2695" s="1394">
        <f t="shared" si="760"/>
        <v>0</v>
      </c>
      <c r="S2695" s="1394">
        <f>IFERROR(VLOOKUP(M2695,#REF!,6,0),0)</f>
        <v>0</v>
      </c>
      <c r="T2695" s="1394">
        <f t="shared" si="754"/>
        <v>0</v>
      </c>
      <c r="U2695" s="1394">
        <f>IFERROR(VLOOKUP(M2695,#REF!,5,0),0)</f>
        <v>0</v>
      </c>
      <c r="V2695" s="1394">
        <f t="shared" si="755"/>
        <v>0</v>
      </c>
      <c r="W2695" s="1394"/>
    </row>
    <row r="2696" spans="1:23" ht="30" customHeight="1">
      <c r="A2696" s="1397"/>
      <c r="B2696" s="1513"/>
      <c r="C2696" s="1455" t="str">
        <f t="shared" si="776"/>
        <v xml:space="preserve"> Passage</v>
      </c>
      <c r="D2696" s="103">
        <f t="shared" si="776"/>
        <v>1</v>
      </c>
      <c r="E2696" s="103">
        <f t="shared" si="776"/>
        <v>1</v>
      </c>
      <c r="F2696" s="1413">
        <f t="shared" si="770"/>
        <v>3.4299999999999997</v>
      </c>
      <c r="G2696" s="1413"/>
      <c r="H2696" s="1414">
        <f t="shared" si="773"/>
        <v>3.18</v>
      </c>
      <c r="I2696" s="1406">
        <f t="shared" si="771"/>
        <v>10.907399999999999</v>
      </c>
      <c r="K2696" s="1413">
        <f t="shared" si="777"/>
        <v>0.71499999999999997</v>
      </c>
      <c r="L2696" s="1414">
        <f t="shared" si="777"/>
        <v>1</v>
      </c>
      <c r="M2696" s="110"/>
      <c r="Q2696" s="1394">
        <f>IFERROR(VLOOKUP(M2696,#REF!,3,0),0)</f>
        <v>0</v>
      </c>
      <c r="R2696" s="1394">
        <f t="shared" si="760"/>
        <v>0</v>
      </c>
      <c r="S2696" s="1394">
        <f>IFERROR(VLOOKUP(M2696,#REF!,6,0),0)</f>
        <v>0</v>
      </c>
      <c r="T2696" s="1394">
        <f t="shared" si="754"/>
        <v>0</v>
      </c>
      <c r="U2696" s="1394">
        <f>IFERROR(VLOOKUP(M2696,#REF!,5,0),0)</f>
        <v>0</v>
      </c>
      <c r="V2696" s="1394">
        <f t="shared" si="755"/>
        <v>0</v>
      </c>
      <c r="W2696" s="1394"/>
    </row>
    <row r="2697" spans="1:23" ht="30" customHeight="1">
      <c r="A2697" s="1397"/>
      <c r="B2697" s="1513"/>
      <c r="C2697" s="1455" t="str">
        <f t="shared" si="776"/>
        <v>Urinal</v>
      </c>
      <c r="D2697" s="103">
        <f t="shared" si="776"/>
        <v>1</v>
      </c>
      <c r="E2697" s="103">
        <f t="shared" si="776"/>
        <v>1</v>
      </c>
      <c r="F2697" s="1413">
        <f t="shared" si="770"/>
        <v>3.5999999999999996</v>
      </c>
      <c r="G2697" s="1413"/>
      <c r="H2697" s="1414">
        <f t="shared" si="773"/>
        <v>3.18</v>
      </c>
      <c r="I2697" s="1406">
        <f t="shared" si="771"/>
        <v>11.447999999999999</v>
      </c>
      <c r="K2697" s="1413">
        <f t="shared" si="777"/>
        <v>1.2</v>
      </c>
      <c r="L2697" s="1414">
        <f t="shared" si="777"/>
        <v>0.6</v>
      </c>
      <c r="M2697" s="110"/>
      <c r="Q2697" s="1394">
        <f>IFERROR(VLOOKUP(M2697,#REF!,3,0),0)</f>
        <v>0</v>
      </c>
      <c r="R2697" s="1394">
        <f t="shared" si="760"/>
        <v>0</v>
      </c>
      <c r="S2697" s="1394">
        <f>IFERROR(VLOOKUP(M2697,#REF!,6,0),0)</f>
        <v>0</v>
      </c>
      <c r="T2697" s="1394">
        <f t="shared" si="754"/>
        <v>0</v>
      </c>
      <c r="U2697" s="1394">
        <f>IFERROR(VLOOKUP(M2697,#REF!,5,0),0)</f>
        <v>0</v>
      </c>
      <c r="V2697" s="1394">
        <f t="shared" si="755"/>
        <v>0</v>
      </c>
      <c r="W2697" s="1394"/>
    </row>
    <row r="2698" spans="1:23" ht="30" customHeight="1">
      <c r="A2698" s="1397"/>
      <c r="B2698" s="1513"/>
      <c r="C2698" s="1455" t="str">
        <f>C2443</f>
        <v>Common Toilet-II</v>
      </c>
      <c r="D2698" s="103">
        <f>D2443</f>
        <v>1</v>
      </c>
      <c r="E2698" s="103">
        <f>E2443</f>
        <v>1</v>
      </c>
      <c r="F2698" s="1413">
        <f t="shared" si="770"/>
        <v>5.77</v>
      </c>
      <c r="G2698" s="1413"/>
      <c r="H2698" s="1414">
        <f t="shared" si="773"/>
        <v>3.18</v>
      </c>
      <c r="I2698" s="1406">
        <f t="shared" si="771"/>
        <v>18.348600000000001</v>
      </c>
      <c r="K2698" s="1413">
        <f>F2443</f>
        <v>1.65</v>
      </c>
      <c r="L2698" s="1414">
        <f>G2443</f>
        <v>1.2350000000000001</v>
      </c>
      <c r="M2698" s="110"/>
      <c r="Q2698" s="1394">
        <f>IFERROR(VLOOKUP(M2698,#REF!,3,0),0)</f>
        <v>0</v>
      </c>
      <c r="R2698" s="1394">
        <f t="shared" si="760"/>
        <v>0</v>
      </c>
      <c r="S2698" s="1394">
        <f>IFERROR(VLOOKUP(M2698,#REF!,6,0),0)</f>
        <v>0</v>
      </c>
      <c r="T2698" s="1394">
        <f t="shared" si="754"/>
        <v>0</v>
      </c>
      <c r="U2698" s="1394">
        <f>IFERROR(VLOOKUP(M2698,#REF!,5,0),0)</f>
        <v>0</v>
      </c>
      <c r="V2698" s="1394">
        <f t="shared" si="755"/>
        <v>0</v>
      </c>
      <c r="W2698" s="1394"/>
    </row>
    <row r="2699" spans="1:23" ht="30" customHeight="1">
      <c r="A2699" s="1397"/>
      <c r="B2699" s="1513"/>
      <c r="C2699" s="1455" t="str">
        <f t="shared" ref="C2699:E2700" si="778">C2445</f>
        <v>Passage</v>
      </c>
      <c r="D2699" s="103">
        <f t="shared" si="778"/>
        <v>1</v>
      </c>
      <c r="E2699" s="103">
        <f t="shared" si="778"/>
        <v>1</v>
      </c>
      <c r="F2699" s="1413">
        <f t="shared" si="770"/>
        <v>6.34</v>
      </c>
      <c r="G2699" s="1413"/>
      <c r="H2699" s="1414">
        <f t="shared" si="773"/>
        <v>3.18</v>
      </c>
      <c r="I2699" s="1406">
        <f t="shared" si="771"/>
        <v>20.161200000000001</v>
      </c>
      <c r="K2699" s="1413">
        <f>F2445</f>
        <v>2.27</v>
      </c>
      <c r="L2699" s="1414">
        <f>G2445</f>
        <v>0.9</v>
      </c>
      <c r="M2699" s="110"/>
      <c r="Q2699" s="1394">
        <f>IFERROR(VLOOKUP(M2699,#REF!,3,0),0)</f>
        <v>0</v>
      </c>
      <c r="R2699" s="1394">
        <f t="shared" si="760"/>
        <v>0</v>
      </c>
      <c r="S2699" s="1394">
        <f>IFERROR(VLOOKUP(M2699,#REF!,6,0),0)</f>
        <v>0</v>
      </c>
      <c r="T2699" s="1394">
        <f t="shared" si="754"/>
        <v>0</v>
      </c>
      <c r="U2699" s="1394">
        <f>IFERROR(VLOOKUP(M2699,#REF!,5,0),0)</f>
        <v>0</v>
      </c>
      <c r="V2699" s="1394">
        <f t="shared" si="755"/>
        <v>0</v>
      </c>
      <c r="W2699" s="1394"/>
    </row>
    <row r="2700" spans="1:23" ht="30" customHeight="1">
      <c r="A2700" s="1397"/>
      <c r="B2700" s="1513"/>
      <c r="C2700" s="1455" t="str">
        <f t="shared" si="778"/>
        <v>w/b</v>
      </c>
      <c r="D2700" s="103">
        <f t="shared" si="778"/>
        <v>1</v>
      </c>
      <c r="E2700" s="103">
        <f t="shared" si="778"/>
        <v>1</v>
      </c>
      <c r="F2700" s="1413">
        <f t="shared" si="770"/>
        <v>3.11</v>
      </c>
      <c r="G2700" s="1413"/>
      <c r="H2700" s="1414">
        <f t="shared" si="773"/>
        <v>3.18</v>
      </c>
      <c r="I2700" s="1406">
        <f t="shared" si="771"/>
        <v>9.8897999999999993</v>
      </c>
      <c r="K2700" s="1413">
        <f>F2446</f>
        <v>0.95499999999999996</v>
      </c>
      <c r="L2700" s="1414">
        <f>G2446</f>
        <v>0.6</v>
      </c>
      <c r="M2700" s="110"/>
      <c r="Q2700" s="1394">
        <f>IFERROR(VLOOKUP(M2700,#REF!,3,0),0)</f>
        <v>0</v>
      </c>
      <c r="R2700" s="1394">
        <f t="shared" si="760"/>
        <v>0</v>
      </c>
      <c r="S2700" s="1394">
        <f>IFERROR(VLOOKUP(M2700,#REF!,6,0),0)</f>
        <v>0</v>
      </c>
      <c r="T2700" s="1394">
        <f t="shared" si="754"/>
        <v>0</v>
      </c>
      <c r="U2700" s="1394">
        <f>IFERROR(VLOOKUP(M2700,#REF!,5,0),0)</f>
        <v>0</v>
      </c>
      <c r="V2700" s="1394">
        <f t="shared" si="755"/>
        <v>0</v>
      </c>
      <c r="W2700" s="1394"/>
    </row>
    <row r="2701" spans="1:23" ht="30" customHeight="1">
      <c r="A2701" s="1397"/>
      <c r="B2701" s="1513"/>
      <c r="C2701" s="1412" t="s">
        <v>5853</v>
      </c>
      <c r="D2701" s="103"/>
      <c r="E2701" s="103"/>
      <c r="F2701" s="1413"/>
      <c r="G2701" s="1413"/>
      <c r="H2701" s="1414"/>
      <c r="I2701" s="1406">
        <f t="shared" si="759"/>
        <v>0</v>
      </c>
      <c r="L2701" s="1397"/>
      <c r="M2701" s="110"/>
      <c r="Q2701" s="1394">
        <f>IFERROR(VLOOKUP(M2701,#REF!,3,0),0)</f>
        <v>0</v>
      </c>
      <c r="R2701" s="1394">
        <f t="shared" si="760"/>
        <v>0</v>
      </c>
      <c r="S2701" s="1394">
        <f>IFERROR(VLOOKUP(M2701,#REF!,6,0),0)</f>
        <v>0</v>
      </c>
      <c r="T2701" s="1394">
        <f t="shared" ref="T2701:T2764" si="779">R2701-S2701</f>
        <v>0</v>
      </c>
      <c r="U2701" s="1394">
        <f>IFERROR(VLOOKUP(M2701,#REF!,5,0),0)</f>
        <v>0</v>
      </c>
      <c r="V2701" s="1394">
        <f t="shared" ref="V2701:V2764" si="780">O2701-U2701</f>
        <v>0</v>
      </c>
      <c r="W2701" s="1394"/>
    </row>
    <row r="2702" spans="1:23" ht="30" customHeight="1">
      <c r="A2702" s="1397"/>
      <c r="B2702" s="1513"/>
      <c r="C2702" s="1455" t="str">
        <f>Sheet1!$I$8</f>
        <v>MD-1</v>
      </c>
      <c r="D2702" s="103">
        <v>-2</v>
      </c>
      <c r="E2702" s="103">
        <f>VLOOKUP(C2702,Sheet1!$I$7:$R$41,7,0)</f>
        <v>1</v>
      </c>
      <c r="F2702" s="1413">
        <f>VLOOKUP(C2702,Sheet1!$I$7:$R$41,2,0)</f>
        <v>1.8</v>
      </c>
      <c r="G2702" s="1413"/>
      <c r="H2702" s="1414">
        <f>VLOOKUP(C2702,Sheet1!$I$7:$R$41,3,0)</f>
        <v>2.1</v>
      </c>
      <c r="I2702" s="1406">
        <f t="shared" si="759"/>
        <v>-7.5600000000000005</v>
      </c>
      <c r="L2702" s="1397"/>
      <c r="M2702" s="110"/>
      <c r="Q2702" s="1394">
        <f>IFERROR(VLOOKUP(M2702,#REF!,3,0),0)</f>
        <v>0</v>
      </c>
      <c r="R2702" s="1394">
        <f t="shared" si="760"/>
        <v>0</v>
      </c>
      <c r="S2702" s="1394">
        <f>IFERROR(VLOOKUP(M2702,#REF!,6,0),0)</f>
        <v>0</v>
      </c>
      <c r="T2702" s="1394">
        <f t="shared" si="779"/>
        <v>0</v>
      </c>
      <c r="U2702" s="1394">
        <f>IFERROR(VLOOKUP(M2702,#REF!,5,0),0)</f>
        <v>0</v>
      </c>
      <c r="V2702" s="1394">
        <f t="shared" si="780"/>
        <v>0</v>
      </c>
      <c r="W2702" s="1394"/>
    </row>
    <row r="2703" spans="1:23" ht="30" customHeight="1">
      <c r="A2703" s="1397"/>
      <c r="B2703" s="1513"/>
      <c r="C2703" s="1455" t="str">
        <f>Sheet1!I10</f>
        <v>OD-1</v>
      </c>
      <c r="D2703" s="103">
        <v>-2</v>
      </c>
      <c r="E2703" s="103">
        <f>VLOOKUP(C2703,Sheet1!$I$7:$R$41,7,0)</f>
        <v>1</v>
      </c>
      <c r="F2703" s="1413">
        <f>VLOOKUP(C2703,Sheet1!$I$7:$R$41,2,0)</f>
        <v>0.75</v>
      </c>
      <c r="G2703" s="1413"/>
      <c r="H2703" s="1414">
        <f>VLOOKUP(C2703,Sheet1!$I$7:$R$41,3,0)</f>
        <v>2.1</v>
      </c>
      <c r="I2703" s="1406">
        <f t="shared" ref="I2703:I2720" si="781">PRODUCT(D2703:H2703)</f>
        <v>-3.1500000000000004</v>
      </c>
      <c r="L2703" s="1397"/>
      <c r="M2703" s="110"/>
      <c r="Q2703" s="1394">
        <f>IFERROR(VLOOKUP(M2703,#REF!,3,0),0)</f>
        <v>0</v>
      </c>
      <c r="R2703" s="1394">
        <f t="shared" si="760"/>
        <v>0</v>
      </c>
      <c r="S2703" s="1394">
        <f>IFERROR(VLOOKUP(M2703,#REF!,6,0),0)</f>
        <v>0</v>
      </c>
      <c r="T2703" s="1394">
        <f t="shared" si="779"/>
        <v>0</v>
      </c>
      <c r="U2703" s="1394">
        <f>IFERROR(VLOOKUP(M2703,#REF!,5,0),0)</f>
        <v>0</v>
      </c>
      <c r="V2703" s="1394">
        <f t="shared" si="780"/>
        <v>0</v>
      </c>
      <c r="W2703" s="1394"/>
    </row>
    <row r="2704" spans="1:23" ht="30" customHeight="1">
      <c r="A2704" s="1397"/>
      <c r="B2704" s="1513"/>
      <c r="C2704" s="1455" t="str">
        <f>Sheet1!I11</f>
        <v>D</v>
      </c>
      <c r="D2704" s="103">
        <v>-2</v>
      </c>
      <c r="E2704" s="103">
        <f>VLOOKUP(C2704,Sheet1!$I$7:$R$41,7,0)</f>
        <v>5</v>
      </c>
      <c r="F2704" s="1413">
        <f>VLOOKUP(C2704,Sheet1!$I$7:$R$41,2,0)</f>
        <v>1</v>
      </c>
      <c r="G2704" s="1413"/>
      <c r="H2704" s="1414">
        <f>VLOOKUP(C2704,Sheet1!$I$7:$R$41,3,0)</f>
        <v>2.1</v>
      </c>
      <c r="I2704" s="1406">
        <f t="shared" si="781"/>
        <v>-21</v>
      </c>
      <c r="L2704" s="1397"/>
      <c r="M2704" s="110"/>
      <c r="Q2704" s="1394">
        <f>IFERROR(VLOOKUP(M2704,#REF!,3,0),0)</f>
        <v>0</v>
      </c>
      <c r="R2704" s="1394">
        <f t="shared" si="760"/>
        <v>0</v>
      </c>
      <c r="S2704" s="1394">
        <f>IFERROR(VLOOKUP(M2704,#REF!,6,0),0)</f>
        <v>0</v>
      </c>
      <c r="T2704" s="1394">
        <f t="shared" si="779"/>
        <v>0</v>
      </c>
      <c r="U2704" s="1394">
        <f>IFERROR(VLOOKUP(M2704,#REF!,5,0),0)</f>
        <v>0</v>
      </c>
      <c r="V2704" s="1394">
        <f t="shared" si="780"/>
        <v>0</v>
      </c>
      <c r="W2704" s="1394"/>
    </row>
    <row r="2705" spans="1:23" ht="30" customHeight="1">
      <c r="A2705" s="1397"/>
      <c r="B2705" s="1513"/>
      <c r="C2705" s="1455" t="str">
        <f>Sheet1!I12</f>
        <v>D0</v>
      </c>
      <c r="D2705" s="103">
        <v>-2</v>
      </c>
      <c r="E2705" s="103">
        <f>VLOOKUP(C2705,Sheet1!$I$7:$R$41,7,0)</f>
        <v>1</v>
      </c>
      <c r="F2705" s="1413">
        <f>VLOOKUP(C2705,Sheet1!$I$7:$R$41,2,0)</f>
        <v>1</v>
      </c>
      <c r="G2705" s="1413"/>
      <c r="H2705" s="1414">
        <f>VLOOKUP(C2705,Sheet1!$I$7:$R$41,3,0)</f>
        <v>2.1</v>
      </c>
      <c r="I2705" s="1406">
        <f t="shared" si="781"/>
        <v>-4.2</v>
      </c>
      <c r="L2705" s="1397"/>
      <c r="M2705" s="110"/>
      <c r="Q2705" s="1394">
        <f>IFERROR(VLOOKUP(M2705,#REF!,3,0),0)</f>
        <v>0</v>
      </c>
      <c r="R2705" s="1394">
        <f t="shared" si="760"/>
        <v>0</v>
      </c>
      <c r="S2705" s="1394">
        <f>IFERROR(VLOOKUP(M2705,#REF!,6,0),0)</f>
        <v>0</v>
      </c>
      <c r="T2705" s="1394">
        <f t="shared" si="779"/>
        <v>0</v>
      </c>
      <c r="U2705" s="1394">
        <f>IFERROR(VLOOKUP(M2705,#REF!,5,0),0)</f>
        <v>0</v>
      </c>
      <c r="V2705" s="1394">
        <f t="shared" si="780"/>
        <v>0</v>
      </c>
      <c r="W2705" s="1394"/>
    </row>
    <row r="2706" spans="1:23" ht="30" customHeight="1">
      <c r="A2706" s="1397"/>
      <c r="B2706" s="1513"/>
      <c r="C2706" s="1455" t="str">
        <f>Sheet1!I15</f>
        <v>LD</v>
      </c>
      <c r="D2706" s="103">
        <v>-2</v>
      </c>
      <c r="E2706" s="103">
        <f>VLOOKUP(C2706,Sheet1!$I$7:$R$41,7,0)</f>
        <v>1</v>
      </c>
      <c r="F2706" s="1413">
        <f>VLOOKUP(C2706,Sheet1!$I$7:$R$41,2,0)</f>
        <v>1.2</v>
      </c>
      <c r="G2706" s="1413"/>
      <c r="H2706" s="1414">
        <f>VLOOKUP(C2706,Sheet1!$I$7:$R$41,3,0)</f>
        <v>2.1</v>
      </c>
      <c r="I2706" s="1406">
        <f t="shared" si="781"/>
        <v>-5.04</v>
      </c>
      <c r="L2706" s="1397"/>
      <c r="M2706" s="110"/>
      <c r="Q2706" s="1394">
        <f>IFERROR(VLOOKUP(M2706,#REF!,3,0),0)</f>
        <v>0</v>
      </c>
      <c r="R2706" s="1394">
        <f t="shared" si="760"/>
        <v>0</v>
      </c>
      <c r="S2706" s="1394">
        <f>IFERROR(VLOOKUP(M2706,#REF!,6,0),0)</f>
        <v>0</v>
      </c>
      <c r="T2706" s="1394">
        <f t="shared" si="779"/>
        <v>0</v>
      </c>
      <c r="U2706" s="1394">
        <f>IFERROR(VLOOKUP(M2706,#REF!,5,0),0)</f>
        <v>0</v>
      </c>
      <c r="V2706" s="1394">
        <f t="shared" si="780"/>
        <v>0</v>
      </c>
      <c r="W2706" s="1394"/>
    </row>
    <row r="2707" spans="1:23" ht="30" customHeight="1">
      <c r="A2707" s="1397"/>
      <c r="B2707" s="1513"/>
      <c r="C2707" s="1455" t="str">
        <f>Sheet1!I16</f>
        <v>GD</v>
      </c>
      <c r="D2707" s="103">
        <v>-2</v>
      </c>
      <c r="E2707" s="103">
        <f>VLOOKUP(C2707,Sheet1!$I$7:$R$41,7,0)</f>
        <v>1</v>
      </c>
      <c r="F2707" s="1413">
        <f>VLOOKUP(C2707,Sheet1!$I$7:$R$41,2,0)</f>
        <v>1</v>
      </c>
      <c r="G2707" s="1413"/>
      <c r="H2707" s="1414">
        <f>VLOOKUP(C2707,Sheet1!$I$7:$R$41,3,0)</f>
        <v>2.1</v>
      </c>
      <c r="I2707" s="1406">
        <f t="shared" si="781"/>
        <v>-4.2</v>
      </c>
      <c r="L2707" s="1397"/>
      <c r="M2707" s="110"/>
      <c r="Q2707" s="1394">
        <f>IFERROR(VLOOKUP(M2707,#REF!,3,0),0)</f>
        <v>0</v>
      </c>
      <c r="R2707" s="1394">
        <f t="shared" si="760"/>
        <v>0</v>
      </c>
      <c r="S2707" s="1394">
        <f>IFERROR(VLOOKUP(M2707,#REF!,6,0),0)</f>
        <v>0</v>
      </c>
      <c r="T2707" s="1394">
        <f t="shared" si="779"/>
        <v>0</v>
      </c>
      <c r="U2707" s="1394">
        <f>IFERROR(VLOOKUP(M2707,#REF!,5,0),0)</f>
        <v>0</v>
      </c>
      <c r="V2707" s="1394">
        <f t="shared" si="780"/>
        <v>0</v>
      </c>
      <c r="W2707" s="1394"/>
    </row>
    <row r="2708" spans="1:23" ht="30" customHeight="1">
      <c r="A2708" s="1397"/>
      <c r="B2708" s="1513"/>
      <c r="C2708" s="1455" t="str">
        <f>Sheet1!I19</f>
        <v>TD</v>
      </c>
      <c r="D2708" s="103">
        <v>-2</v>
      </c>
      <c r="E2708" s="103">
        <f>VLOOKUP(C2708,Sheet1!$I$7:$R$41,7,0)</f>
        <v>5</v>
      </c>
      <c r="F2708" s="1413">
        <f>VLOOKUP(C2708,Sheet1!$I$7:$R$41,2,0)</f>
        <v>0.75</v>
      </c>
      <c r="G2708" s="1413"/>
      <c r="H2708" s="1414">
        <f>VLOOKUP(C2708,Sheet1!$I$7:$R$41,3,0)</f>
        <v>2.1</v>
      </c>
      <c r="I2708" s="1406">
        <f t="shared" si="781"/>
        <v>-15.75</v>
      </c>
      <c r="L2708" s="1397"/>
      <c r="M2708" s="110"/>
      <c r="Q2708" s="1394">
        <f>IFERROR(VLOOKUP(M2708,#REF!,3,0),0)</f>
        <v>0</v>
      </c>
      <c r="R2708" s="1394">
        <f t="shared" si="760"/>
        <v>0</v>
      </c>
      <c r="S2708" s="1394">
        <f>IFERROR(VLOOKUP(M2708,#REF!,6,0),0)</f>
        <v>0</v>
      </c>
      <c r="T2708" s="1394">
        <f t="shared" si="779"/>
        <v>0</v>
      </c>
      <c r="U2708" s="1394">
        <f>IFERROR(VLOOKUP(M2708,#REF!,5,0),0)</f>
        <v>0</v>
      </c>
      <c r="V2708" s="1394">
        <f t="shared" si="780"/>
        <v>0</v>
      </c>
      <c r="W2708" s="1394"/>
    </row>
    <row r="2709" spans="1:23" ht="30" customHeight="1">
      <c r="A2709" s="1397"/>
      <c r="B2709" s="1513"/>
      <c r="C2709" s="1455" t="str">
        <f>Sheet1!I20</f>
        <v>TD-1</v>
      </c>
      <c r="D2709" s="103">
        <v>-2</v>
      </c>
      <c r="E2709" s="103">
        <f>VLOOKUP(C2709,Sheet1!$I$7:$R$41,7,0)</f>
        <v>1</v>
      </c>
      <c r="F2709" s="1413">
        <f>VLOOKUP(C2709,Sheet1!$I$7:$R$41,2,0)</f>
        <v>0.9</v>
      </c>
      <c r="G2709" s="1413"/>
      <c r="H2709" s="1414">
        <f>VLOOKUP(C2709,Sheet1!$I$7:$R$41,3,0)</f>
        <v>2.1</v>
      </c>
      <c r="I2709" s="1406">
        <f t="shared" si="781"/>
        <v>-3.7800000000000002</v>
      </c>
      <c r="L2709" s="1397"/>
      <c r="M2709" s="110"/>
      <c r="Q2709" s="1394">
        <f>IFERROR(VLOOKUP(M2709,#REF!,3,0),0)</f>
        <v>0</v>
      </c>
      <c r="R2709" s="1394">
        <f t="shared" si="760"/>
        <v>0</v>
      </c>
      <c r="S2709" s="1394">
        <f>IFERROR(VLOOKUP(M2709,#REF!,6,0),0)</f>
        <v>0</v>
      </c>
      <c r="T2709" s="1394">
        <f t="shared" si="779"/>
        <v>0</v>
      </c>
      <c r="U2709" s="1394">
        <f>IFERROR(VLOOKUP(M2709,#REF!,5,0),0)</f>
        <v>0</v>
      </c>
      <c r="V2709" s="1394">
        <f t="shared" si="780"/>
        <v>0</v>
      </c>
      <c r="W2709" s="1394"/>
    </row>
    <row r="2710" spans="1:23" ht="30" customHeight="1">
      <c r="A2710" s="1397"/>
      <c r="B2710" s="1513"/>
      <c r="C2710" s="1455" t="str">
        <f>Sheet1!$I$22</f>
        <v>FW</v>
      </c>
      <c r="D2710" s="103">
        <v>-1</v>
      </c>
      <c r="E2710" s="103">
        <f>VLOOKUP(C2710,Sheet1!$I$7:$R$41,7,0)</f>
        <v>2</v>
      </c>
      <c r="F2710" s="1413">
        <f>VLOOKUP(C2710,Sheet1!$I$7:$R$41,2,0)</f>
        <v>0.81299999999999994</v>
      </c>
      <c r="G2710" s="1413"/>
      <c r="H2710" s="1414">
        <f>VLOOKUP(C2710,Sheet1!$I$7:$R$41,3,0)</f>
        <v>1.8</v>
      </c>
      <c r="I2710" s="1406">
        <f t="shared" si="781"/>
        <v>-2.9268000000000001</v>
      </c>
      <c r="L2710" s="1397"/>
      <c r="M2710" s="110"/>
      <c r="Q2710" s="1394">
        <f>IFERROR(VLOOKUP(M2710,#REF!,3,0),0)</f>
        <v>0</v>
      </c>
      <c r="R2710" s="1394">
        <f t="shared" si="760"/>
        <v>0</v>
      </c>
      <c r="S2710" s="1394">
        <f>IFERROR(VLOOKUP(M2710,#REF!,6,0),0)</f>
        <v>0</v>
      </c>
      <c r="T2710" s="1394">
        <f t="shared" si="779"/>
        <v>0</v>
      </c>
      <c r="U2710" s="1394">
        <f>IFERROR(VLOOKUP(M2710,#REF!,5,0),0)</f>
        <v>0</v>
      </c>
      <c r="V2710" s="1394">
        <f t="shared" si="780"/>
        <v>0</v>
      </c>
      <c r="W2710" s="1394"/>
    </row>
    <row r="2711" spans="1:23" ht="30" customHeight="1">
      <c r="A2711" s="1397"/>
      <c r="B2711" s="1513"/>
      <c r="C2711" s="1455" t="str">
        <f>Sheet1!I25</f>
        <v>FW-3</v>
      </c>
      <c r="D2711" s="103">
        <v>-1</v>
      </c>
      <c r="E2711" s="103">
        <f>VLOOKUP(C2711,Sheet1!$I$7:$R$41,7,0)</f>
        <v>1</v>
      </c>
      <c r="F2711" s="1413">
        <f>VLOOKUP(C2711,Sheet1!$I$7:$R$41,2,0)</f>
        <v>2</v>
      </c>
      <c r="G2711" s="1413"/>
      <c r="H2711" s="1414">
        <f>VLOOKUP(C2711,Sheet1!$I$7:$R$41,3,0)</f>
        <v>1.8</v>
      </c>
      <c r="I2711" s="1406">
        <f t="shared" si="781"/>
        <v>-3.6</v>
      </c>
      <c r="L2711" s="1397"/>
      <c r="M2711" s="110"/>
      <c r="Q2711" s="1394">
        <f>IFERROR(VLOOKUP(M2711,#REF!,3,0),0)</f>
        <v>0</v>
      </c>
      <c r="R2711" s="1394">
        <f t="shared" si="760"/>
        <v>0</v>
      </c>
      <c r="S2711" s="1394">
        <f>IFERROR(VLOOKUP(M2711,#REF!,6,0),0)</f>
        <v>0</v>
      </c>
      <c r="T2711" s="1394">
        <f t="shared" si="779"/>
        <v>0</v>
      </c>
      <c r="U2711" s="1394">
        <f>IFERROR(VLOOKUP(M2711,#REF!,5,0),0)</f>
        <v>0</v>
      </c>
      <c r="V2711" s="1394">
        <f t="shared" si="780"/>
        <v>0</v>
      </c>
      <c r="W2711" s="1394"/>
    </row>
    <row r="2712" spans="1:23" ht="30" customHeight="1">
      <c r="A2712" s="1397"/>
      <c r="B2712" s="1513"/>
      <c r="C2712" s="1455" t="str">
        <f>Sheet1!I26</f>
        <v>FW-4</v>
      </c>
      <c r="D2712" s="103">
        <v>-1</v>
      </c>
      <c r="E2712" s="103">
        <f>VLOOKUP(C2712,Sheet1!$I$7:$R$41,7,0)</f>
        <v>2</v>
      </c>
      <c r="F2712" s="1413">
        <f>VLOOKUP(C2712,Sheet1!$I$7:$R$41,2,0)</f>
        <v>1.2</v>
      </c>
      <c r="G2712" s="1413"/>
      <c r="H2712" s="1414">
        <f>VLOOKUP(C2712,Sheet1!$I$7:$R$41,3,0)</f>
        <v>1.8</v>
      </c>
      <c r="I2712" s="1406">
        <f t="shared" si="781"/>
        <v>-4.32</v>
      </c>
      <c r="L2712" s="1397"/>
      <c r="M2712" s="110"/>
      <c r="Q2712" s="1394">
        <f>IFERROR(VLOOKUP(M2712,#REF!,3,0),0)</f>
        <v>0</v>
      </c>
      <c r="R2712" s="1394">
        <f t="shared" si="760"/>
        <v>0</v>
      </c>
      <c r="S2712" s="1394">
        <f>IFERROR(VLOOKUP(M2712,#REF!,6,0),0)</f>
        <v>0</v>
      </c>
      <c r="T2712" s="1394">
        <f t="shared" si="779"/>
        <v>0</v>
      </c>
      <c r="U2712" s="1394">
        <f>IFERROR(VLOOKUP(M2712,#REF!,5,0),0)</f>
        <v>0</v>
      </c>
      <c r="V2712" s="1394">
        <f t="shared" si="780"/>
        <v>0</v>
      </c>
      <c r="W2712" s="1394"/>
    </row>
    <row r="2713" spans="1:23" ht="30" customHeight="1">
      <c r="A2713" s="1397"/>
      <c r="B2713" s="1513"/>
      <c r="C2713" s="1455" t="str">
        <f>Sheet1!I28</f>
        <v>SW</v>
      </c>
      <c r="D2713" s="103">
        <v>-1</v>
      </c>
      <c r="E2713" s="103">
        <f>VLOOKUP(C2713,Sheet1!$I$7:$R$41,7,0)</f>
        <v>1</v>
      </c>
      <c r="F2713" s="1413">
        <f>VLOOKUP(C2713,Sheet1!$I$7:$R$41,2,0)</f>
        <v>1.8</v>
      </c>
      <c r="G2713" s="1413"/>
      <c r="H2713" s="1414">
        <f>VLOOKUP(C2713,Sheet1!$I$7:$R$41,3,0)</f>
        <v>1.35</v>
      </c>
      <c r="I2713" s="1406">
        <f t="shared" si="781"/>
        <v>-2.4300000000000002</v>
      </c>
      <c r="L2713" s="1397"/>
      <c r="M2713" s="110"/>
      <c r="Q2713" s="1394">
        <f>IFERROR(VLOOKUP(M2713,#REF!,3,0),0)</f>
        <v>0</v>
      </c>
      <c r="R2713" s="1394">
        <f t="shared" si="760"/>
        <v>0</v>
      </c>
      <c r="S2713" s="1394">
        <f>IFERROR(VLOOKUP(M2713,#REF!,6,0),0)</f>
        <v>0</v>
      </c>
      <c r="T2713" s="1394">
        <f t="shared" si="779"/>
        <v>0</v>
      </c>
      <c r="U2713" s="1394">
        <f>IFERROR(VLOOKUP(M2713,#REF!,5,0),0)</f>
        <v>0</v>
      </c>
      <c r="V2713" s="1394">
        <f t="shared" si="780"/>
        <v>0</v>
      </c>
      <c r="W2713" s="1394"/>
    </row>
    <row r="2714" spans="1:23" ht="30" customHeight="1">
      <c r="A2714" s="1397"/>
      <c r="B2714" s="1513"/>
      <c r="C2714" s="1455" t="str">
        <f>Sheet1!I29</f>
        <v>W</v>
      </c>
      <c r="D2714" s="103">
        <v>-1</v>
      </c>
      <c r="E2714" s="103">
        <f>VLOOKUP(C2714,Sheet1!$I$7:$R$41,7,0)</f>
        <v>1</v>
      </c>
      <c r="F2714" s="1413">
        <f>VLOOKUP(C2714,Sheet1!$I$7:$R$41,2,0)</f>
        <v>1.8</v>
      </c>
      <c r="G2714" s="1413"/>
      <c r="H2714" s="1414">
        <f>VLOOKUP(C2714,Sheet1!$I$7:$R$41,3,0)</f>
        <v>1.35</v>
      </c>
      <c r="I2714" s="1406">
        <f t="shared" si="781"/>
        <v>-2.4300000000000002</v>
      </c>
      <c r="L2714" s="1397"/>
      <c r="M2714" s="110"/>
      <c r="Q2714" s="1394">
        <f>IFERROR(VLOOKUP(M2714,#REF!,3,0),0)</f>
        <v>0</v>
      </c>
      <c r="R2714" s="1394">
        <f t="shared" si="760"/>
        <v>0</v>
      </c>
      <c r="S2714" s="1394">
        <f>IFERROR(VLOOKUP(M2714,#REF!,6,0),0)</f>
        <v>0</v>
      </c>
      <c r="T2714" s="1394">
        <f t="shared" si="779"/>
        <v>0</v>
      </c>
      <c r="U2714" s="1394">
        <f>IFERROR(VLOOKUP(M2714,#REF!,5,0),0)</f>
        <v>0</v>
      </c>
      <c r="V2714" s="1394">
        <f t="shared" si="780"/>
        <v>0</v>
      </c>
      <c r="W2714" s="1394"/>
    </row>
    <row r="2715" spans="1:23" ht="30" customHeight="1">
      <c r="A2715" s="1397"/>
      <c r="B2715" s="1513"/>
      <c r="C2715" s="1455" t="str">
        <f>Sheet1!I31</f>
        <v>W2</v>
      </c>
      <c r="D2715" s="103">
        <v>-1</v>
      </c>
      <c r="E2715" s="103">
        <f>VLOOKUP(C2715,Sheet1!$I$7:$R$41,7,0)</f>
        <v>13</v>
      </c>
      <c r="F2715" s="1413">
        <f>VLOOKUP(C2715,Sheet1!$I$7:$R$41,2,0)</f>
        <v>1.2</v>
      </c>
      <c r="G2715" s="1413"/>
      <c r="H2715" s="1414">
        <f>VLOOKUP(C2715,Sheet1!$I$7:$R$41,3,0)</f>
        <v>1.35</v>
      </c>
      <c r="I2715" s="1406">
        <f t="shared" si="781"/>
        <v>-21.060000000000002</v>
      </c>
      <c r="L2715" s="1397"/>
      <c r="M2715" s="110"/>
      <c r="Q2715" s="1394">
        <f>IFERROR(VLOOKUP(M2715,#REF!,3,0),0)</f>
        <v>0</v>
      </c>
      <c r="R2715" s="1394">
        <f t="shared" si="760"/>
        <v>0</v>
      </c>
      <c r="S2715" s="1394">
        <f>IFERROR(VLOOKUP(M2715,#REF!,6,0),0)</f>
        <v>0</v>
      </c>
      <c r="T2715" s="1394">
        <f t="shared" si="779"/>
        <v>0</v>
      </c>
      <c r="U2715" s="1394">
        <f>IFERROR(VLOOKUP(M2715,#REF!,5,0),0)</f>
        <v>0</v>
      </c>
      <c r="V2715" s="1394">
        <f t="shared" si="780"/>
        <v>0</v>
      </c>
      <c r="W2715" s="1394"/>
    </row>
    <row r="2716" spans="1:23" ht="30" customHeight="1">
      <c r="A2716" s="1397"/>
      <c r="B2716" s="1513"/>
      <c r="C2716" s="1455" t="str">
        <f>Sheet1!I32</f>
        <v>W3</v>
      </c>
      <c r="D2716" s="103">
        <v>-1</v>
      </c>
      <c r="E2716" s="103">
        <f>VLOOKUP(C2716,Sheet1!$I$7:$R$41,7,0)</f>
        <v>5</v>
      </c>
      <c r="F2716" s="1413">
        <f>VLOOKUP(C2716,Sheet1!$I$7:$R$41,2,0)</f>
        <v>1</v>
      </c>
      <c r="G2716" s="1413"/>
      <c r="H2716" s="1414">
        <f>VLOOKUP(C2716,Sheet1!$I$7:$R$41,3,0)</f>
        <v>1.35</v>
      </c>
      <c r="I2716" s="1406">
        <f t="shared" si="781"/>
        <v>-6.75</v>
      </c>
      <c r="L2716" s="1397"/>
      <c r="M2716" s="110"/>
      <c r="Q2716" s="1394">
        <f>IFERROR(VLOOKUP(M2716,#REF!,3,0),0)</f>
        <v>0</v>
      </c>
      <c r="R2716" s="1394">
        <f t="shared" si="760"/>
        <v>0</v>
      </c>
      <c r="S2716" s="1394">
        <f>IFERROR(VLOOKUP(M2716,#REF!,6,0),0)</f>
        <v>0</v>
      </c>
      <c r="T2716" s="1394">
        <f t="shared" si="779"/>
        <v>0</v>
      </c>
      <c r="U2716" s="1394">
        <f>IFERROR(VLOOKUP(M2716,#REF!,5,0),0)</f>
        <v>0</v>
      </c>
      <c r="V2716" s="1394">
        <f t="shared" si="780"/>
        <v>0</v>
      </c>
      <c r="W2716" s="1394"/>
    </row>
    <row r="2717" spans="1:23" ht="30" customHeight="1">
      <c r="A2717" s="1397"/>
      <c r="B2717" s="1513"/>
      <c r="C2717" s="1455" t="str">
        <f>Sheet1!I33</f>
        <v>SLW</v>
      </c>
      <c r="D2717" s="103">
        <v>-1</v>
      </c>
      <c r="E2717" s="103">
        <f>VLOOKUP(C2717,Sheet1!$I$7:$R$41,7,0)</f>
        <v>2</v>
      </c>
      <c r="F2717" s="1413">
        <f>VLOOKUP(C2717,Sheet1!$I$7:$R$41,2,0)</f>
        <v>2.1</v>
      </c>
      <c r="G2717" s="1413"/>
      <c r="H2717" s="1414">
        <f>VLOOKUP(C2717,Sheet1!$I$7:$R$41,3,0)</f>
        <v>1.35</v>
      </c>
      <c r="I2717" s="1406">
        <f t="shared" si="781"/>
        <v>-5.6700000000000008</v>
      </c>
      <c r="L2717" s="1397"/>
      <c r="M2717" s="110"/>
      <c r="Q2717" s="1394">
        <f>IFERROR(VLOOKUP(M2717,#REF!,3,0),0)</f>
        <v>0</v>
      </c>
      <c r="R2717" s="1394">
        <f t="shared" si="760"/>
        <v>0</v>
      </c>
      <c r="S2717" s="1394">
        <f>IFERROR(VLOOKUP(M2717,#REF!,6,0),0)</f>
        <v>0</v>
      </c>
      <c r="T2717" s="1394">
        <f t="shared" si="779"/>
        <v>0</v>
      </c>
      <c r="U2717" s="1394">
        <f>IFERROR(VLOOKUP(M2717,#REF!,5,0),0)</f>
        <v>0</v>
      </c>
      <c r="V2717" s="1394">
        <f t="shared" si="780"/>
        <v>0</v>
      </c>
      <c r="W2717" s="1394"/>
    </row>
    <row r="2718" spans="1:23" ht="30" customHeight="1">
      <c r="A2718" s="1397"/>
      <c r="B2718" s="1513"/>
      <c r="C2718" s="1455" t="str">
        <f>Sheet1!I34</f>
        <v>RV</v>
      </c>
      <c r="D2718" s="103">
        <v>-1</v>
      </c>
      <c r="E2718" s="103">
        <f>VLOOKUP(C2718,Sheet1!$I$7:$R$41,7,0)</f>
        <v>3</v>
      </c>
      <c r="F2718" s="1413">
        <f>VLOOKUP(C2718,Sheet1!$I$7:$R$41,2,0)</f>
        <v>1.35</v>
      </c>
      <c r="G2718" s="1413"/>
      <c r="H2718" s="1414">
        <f>VLOOKUP(C2718,Sheet1!$I$7:$R$41,3,0)</f>
        <v>0.6</v>
      </c>
      <c r="I2718" s="1406">
        <f t="shared" si="781"/>
        <v>-2.4300000000000002</v>
      </c>
      <c r="L2718" s="1397"/>
      <c r="M2718" s="110"/>
      <c r="Q2718" s="1394">
        <f>IFERROR(VLOOKUP(M2718,#REF!,3,0),0)</f>
        <v>0</v>
      </c>
      <c r="R2718" s="1394">
        <f t="shared" si="760"/>
        <v>0</v>
      </c>
      <c r="S2718" s="1394">
        <f>IFERROR(VLOOKUP(M2718,#REF!,6,0),0)</f>
        <v>0</v>
      </c>
      <c r="T2718" s="1394">
        <f t="shared" si="779"/>
        <v>0</v>
      </c>
      <c r="U2718" s="1394">
        <f>IFERROR(VLOOKUP(M2718,#REF!,5,0),0)</f>
        <v>0</v>
      </c>
      <c r="V2718" s="1394">
        <f t="shared" si="780"/>
        <v>0</v>
      </c>
      <c r="W2718" s="1394"/>
    </row>
    <row r="2719" spans="1:23" ht="30" customHeight="1">
      <c r="A2719" s="1397"/>
      <c r="B2719" s="1513"/>
      <c r="C2719" s="1455" t="str">
        <f>Sheet1!I38</f>
        <v>V3</v>
      </c>
      <c r="D2719" s="103">
        <v>-1</v>
      </c>
      <c r="E2719" s="103">
        <f>VLOOKUP(C2719,Sheet1!$I$7:$R$41,7,0)</f>
        <v>5</v>
      </c>
      <c r="F2719" s="1413">
        <f>VLOOKUP(C2719,Sheet1!$I$7:$R$41,2,0)</f>
        <v>0.9</v>
      </c>
      <c r="G2719" s="1413"/>
      <c r="H2719" s="1414">
        <f>VLOOKUP(C2719,Sheet1!$I$7:$R$41,3,0)</f>
        <v>0.75</v>
      </c>
      <c r="I2719" s="1406">
        <f t="shared" si="781"/>
        <v>-3.375</v>
      </c>
      <c r="L2719" s="1397"/>
      <c r="M2719" s="110"/>
      <c r="Q2719" s="1394">
        <f>IFERROR(VLOOKUP(M2719,#REF!,3,0),0)</f>
        <v>0</v>
      </c>
      <c r="R2719" s="1394">
        <f t="shared" si="760"/>
        <v>0</v>
      </c>
      <c r="S2719" s="1394">
        <f>IFERROR(VLOOKUP(M2719,#REF!,6,0),0)</f>
        <v>0</v>
      </c>
      <c r="T2719" s="1394">
        <f t="shared" si="779"/>
        <v>0</v>
      </c>
      <c r="U2719" s="1394">
        <f>IFERROR(VLOOKUP(M2719,#REF!,5,0),0)</f>
        <v>0</v>
      </c>
      <c r="V2719" s="1394">
        <f t="shared" si="780"/>
        <v>0</v>
      </c>
      <c r="W2719" s="1394"/>
    </row>
    <row r="2720" spans="1:23" ht="30" customHeight="1">
      <c r="A2720" s="1397"/>
      <c r="B2720" s="1513"/>
      <c r="C2720" s="1455" t="str">
        <f>Sheet1!I39</f>
        <v>RVT</v>
      </c>
      <c r="D2720" s="103">
        <v>-1</v>
      </c>
      <c r="E2720" s="103">
        <f>VLOOKUP(C2720,Sheet1!$I$7:$R$41,7,0)</f>
        <v>2</v>
      </c>
      <c r="F2720" s="1413">
        <f>VLOOKUP(C2720,Sheet1!$I$7:$R$41,2,0)</f>
        <v>0.9</v>
      </c>
      <c r="G2720" s="1413"/>
      <c r="H2720" s="1414">
        <f>VLOOKUP(C2720,Sheet1!$I$7:$R$41,3,0)</f>
        <v>0.75</v>
      </c>
      <c r="I2720" s="1406">
        <f t="shared" si="781"/>
        <v>-1.35</v>
      </c>
      <c r="L2720" s="1397"/>
      <c r="M2720" s="110"/>
      <c r="Q2720" s="1394">
        <f>IFERROR(VLOOKUP(M2720,#REF!,3,0),0)</f>
        <v>0</v>
      </c>
      <c r="R2720" s="1394">
        <f t="shared" si="760"/>
        <v>0</v>
      </c>
      <c r="S2720" s="1394">
        <f>IFERROR(VLOOKUP(M2720,#REF!,6,0),0)</f>
        <v>0</v>
      </c>
      <c r="T2720" s="1394">
        <f t="shared" si="779"/>
        <v>0</v>
      </c>
      <c r="U2720" s="1394">
        <f>IFERROR(VLOOKUP(M2720,#REF!,5,0),0)</f>
        <v>0</v>
      </c>
      <c r="V2720" s="1394">
        <f t="shared" si="780"/>
        <v>0</v>
      </c>
      <c r="W2720" s="1394"/>
    </row>
    <row r="2721" spans="1:23" ht="30" customHeight="1">
      <c r="A2721" s="1397"/>
      <c r="B2721" s="1513"/>
      <c r="C2721" s="1455"/>
      <c r="D2721" s="103"/>
      <c r="E2721" s="103"/>
      <c r="F2721" s="1413"/>
      <c r="G2721" s="1413"/>
      <c r="H2721" s="1414"/>
      <c r="I2721" s="1406">
        <f t="shared" ref="I2721:I2733" si="782">PRODUCT(D2721:H2721)</f>
        <v>0</v>
      </c>
      <c r="L2721" s="1397"/>
      <c r="M2721" s="110"/>
      <c r="Q2721" s="1394">
        <f>IFERROR(VLOOKUP(M2721,#REF!,3,0),0)</f>
        <v>0</v>
      </c>
      <c r="R2721" s="1394">
        <f t="shared" si="760"/>
        <v>0</v>
      </c>
      <c r="S2721" s="1394">
        <f>IFERROR(VLOOKUP(M2721,#REF!,6,0),0)</f>
        <v>0</v>
      </c>
      <c r="T2721" s="1394">
        <f t="shared" si="779"/>
        <v>0</v>
      </c>
      <c r="U2721" s="1394">
        <f>IFERROR(VLOOKUP(M2721,#REF!,5,0),0)</f>
        <v>0</v>
      </c>
      <c r="V2721" s="1394">
        <f t="shared" si="780"/>
        <v>0</v>
      </c>
      <c r="W2721" s="1394"/>
    </row>
    <row r="2722" spans="1:23" ht="30" customHeight="1">
      <c r="A2722" s="1397"/>
      <c r="B2722" s="1513"/>
      <c r="C2722" s="1412" t="s">
        <v>262</v>
      </c>
      <c r="D2722" s="103"/>
      <c r="E2722" s="103"/>
      <c r="F2722" s="1413"/>
      <c r="G2722" s="1413"/>
      <c r="H2722" s="1414"/>
      <c r="I2722" s="1406">
        <f t="shared" si="782"/>
        <v>0</v>
      </c>
      <c r="L2722" s="1397"/>
      <c r="Q2722" s="1394">
        <f>IFERROR(VLOOKUP(M2722,#REF!,3,0),0)</f>
        <v>0</v>
      </c>
      <c r="R2722" s="1394">
        <f t="shared" si="760"/>
        <v>0</v>
      </c>
      <c r="S2722" s="1394">
        <f>IFERROR(VLOOKUP(M2722,#REF!,6,0),0)</f>
        <v>0</v>
      </c>
      <c r="T2722" s="1394">
        <f t="shared" si="779"/>
        <v>0</v>
      </c>
      <c r="U2722" s="1394">
        <f>IFERROR(VLOOKUP(M2722,#REF!,5,0),0)</f>
        <v>0</v>
      </c>
      <c r="V2722" s="1394">
        <f t="shared" si="780"/>
        <v>0</v>
      </c>
      <c r="W2722" s="1394"/>
    </row>
    <row r="2723" spans="1:23" ht="30" customHeight="1">
      <c r="A2723" s="1397"/>
      <c r="B2723" s="1513"/>
      <c r="C2723" s="1455" t="s">
        <v>328</v>
      </c>
      <c r="D2723" s="103">
        <v>1</v>
      </c>
      <c r="E2723" s="103">
        <v>1</v>
      </c>
      <c r="F2723" s="1413">
        <f t="shared" ref="F2723" si="783">(K2723+L2723)*2</f>
        <v>18.850000000000001</v>
      </c>
      <c r="G2723" s="1413"/>
      <c r="H2723" s="1414">
        <v>2.75</v>
      </c>
      <c r="I2723" s="1406">
        <f t="shared" si="782"/>
        <v>51.837500000000006</v>
      </c>
      <c r="K2723" s="1413">
        <v>6.6550000000000002</v>
      </c>
      <c r="L2723" s="1414">
        <v>2.77</v>
      </c>
      <c r="Q2723" s="1394">
        <f>IFERROR(VLOOKUP(M2723,#REF!,3,0),0)</f>
        <v>0</v>
      </c>
      <c r="R2723" s="1394">
        <f t="shared" si="760"/>
        <v>0</v>
      </c>
      <c r="S2723" s="1394">
        <f>IFERROR(VLOOKUP(M2723,#REF!,6,0),0)</f>
        <v>0</v>
      </c>
      <c r="T2723" s="1394">
        <f t="shared" si="779"/>
        <v>0</v>
      </c>
      <c r="U2723" s="1394">
        <f>IFERROR(VLOOKUP(M2723,#REF!,5,0),0)</f>
        <v>0</v>
      </c>
      <c r="V2723" s="1394">
        <f t="shared" si="780"/>
        <v>0</v>
      </c>
      <c r="W2723" s="1394"/>
    </row>
    <row r="2724" spans="1:23" ht="30" customHeight="1">
      <c r="A2724" s="1397"/>
      <c r="B2724" s="1513"/>
      <c r="C2724" s="1455" t="s">
        <v>347</v>
      </c>
      <c r="D2724" s="103">
        <v>1</v>
      </c>
      <c r="E2724" s="103">
        <v>1</v>
      </c>
      <c r="F2724" s="1413">
        <f t="shared" ref="F2724" si="784">(K2724+L2724)*2</f>
        <v>17.91</v>
      </c>
      <c r="G2724" s="1413"/>
      <c r="H2724" s="1414">
        <v>2.75</v>
      </c>
      <c r="I2724" s="1406">
        <f t="shared" si="782"/>
        <v>49.252499999999998</v>
      </c>
      <c r="K2724" s="1413">
        <v>6.6550000000000002</v>
      </c>
      <c r="L2724" s="1414">
        <v>2.2999999999999998</v>
      </c>
      <c r="Q2724" s="1394">
        <f>IFERROR(VLOOKUP(M2724,#REF!,3,0),0)</f>
        <v>0</v>
      </c>
      <c r="R2724" s="1394">
        <f t="shared" si="760"/>
        <v>0</v>
      </c>
      <c r="S2724" s="1394">
        <f>IFERROR(VLOOKUP(M2724,#REF!,6,0),0)</f>
        <v>0</v>
      </c>
      <c r="T2724" s="1394">
        <f t="shared" si="779"/>
        <v>0</v>
      </c>
      <c r="U2724" s="1394">
        <f>IFERROR(VLOOKUP(M2724,#REF!,5,0),0)</f>
        <v>0</v>
      </c>
      <c r="V2724" s="1394">
        <f t="shared" si="780"/>
        <v>0</v>
      </c>
      <c r="W2724" s="1394"/>
    </row>
    <row r="2725" spans="1:23" ht="30" customHeight="1">
      <c r="A2725" s="1397"/>
      <c r="B2725" s="1513"/>
      <c r="C2725" s="1412" t="s">
        <v>5853</v>
      </c>
      <c r="D2725" s="103"/>
      <c r="E2725" s="103"/>
      <c r="F2725" s="1413"/>
      <c r="G2725" s="1413"/>
      <c r="H2725" s="1414"/>
      <c r="I2725" s="1406">
        <f t="shared" si="782"/>
        <v>0</v>
      </c>
      <c r="L2725" s="1397"/>
      <c r="Q2725" s="1394">
        <f>IFERROR(VLOOKUP(M2725,#REF!,3,0),0)</f>
        <v>0</v>
      </c>
      <c r="R2725" s="1394">
        <f t="shared" si="760"/>
        <v>0</v>
      </c>
      <c r="S2725" s="1394">
        <f>IFERROR(VLOOKUP(M2725,#REF!,6,0),0)</f>
        <v>0</v>
      </c>
      <c r="T2725" s="1394">
        <f t="shared" si="779"/>
        <v>0</v>
      </c>
      <c r="U2725" s="1394">
        <f>IFERROR(VLOOKUP(M2725,#REF!,5,0),0)</f>
        <v>0</v>
      </c>
      <c r="V2725" s="1394">
        <f t="shared" si="780"/>
        <v>0</v>
      </c>
      <c r="W2725" s="1394"/>
    </row>
    <row r="2726" spans="1:23" ht="30" customHeight="1">
      <c r="A2726" s="1397"/>
      <c r="B2726" s="1513"/>
      <c r="C2726" s="1455" t="s">
        <v>5509</v>
      </c>
      <c r="D2726" s="103">
        <v>-2</v>
      </c>
      <c r="E2726" s="103">
        <f>VLOOKUP(C2726,Sheet1!$I$7:$R$41,8,0)</f>
        <v>1</v>
      </c>
      <c r="F2726" s="1413">
        <f>VLOOKUP(C2726,Sheet1!$I$7:$R$41,2,0)</f>
        <v>0.75</v>
      </c>
      <c r="G2726" s="1413"/>
      <c r="H2726" s="1414">
        <f>VLOOKUP(C2726,Sheet1!$I$7:$R$41,3,0)</f>
        <v>2.1</v>
      </c>
      <c r="I2726" s="1406">
        <f t="shared" si="782"/>
        <v>-3.1500000000000004</v>
      </c>
      <c r="L2726" s="1397"/>
      <c r="Q2726" s="1394">
        <f>IFERROR(VLOOKUP(M2726,#REF!,3,0),0)</f>
        <v>0</v>
      </c>
      <c r="R2726" s="1394">
        <f t="shared" si="760"/>
        <v>0</v>
      </c>
      <c r="S2726" s="1394">
        <f>IFERROR(VLOOKUP(M2726,#REF!,6,0),0)</f>
        <v>0</v>
      </c>
      <c r="T2726" s="1394">
        <f t="shared" si="779"/>
        <v>0</v>
      </c>
      <c r="U2726" s="1394">
        <f>IFERROR(VLOOKUP(M2726,#REF!,5,0),0)</f>
        <v>0</v>
      </c>
      <c r="V2726" s="1394">
        <f t="shared" si="780"/>
        <v>0</v>
      </c>
      <c r="W2726" s="1394"/>
    </row>
    <row r="2727" spans="1:23" ht="30" customHeight="1">
      <c r="A2727" s="1397"/>
      <c r="B2727" s="1513"/>
      <c r="C2727" s="1455" t="s">
        <v>5517</v>
      </c>
      <c r="D2727" s="103">
        <v>-2</v>
      </c>
      <c r="E2727" s="103">
        <f>VLOOKUP(C2727,Sheet1!$I$7:$R$41,8,0)</f>
        <v>1</v>
      </c>
      <c r="F2727" s="1413">
        <f>VLOOKUP(C2727,Sheet1!$I$7:$R$41,2,0)</f>
        <v>1</v>
      </c>
      <c r="G2727" s="1413"/>
      <c r="H2727" s="1414">
        <f>VLOOKUP(C2727,Sheet1!$I$7:$R$41,3,0)</f>
        <v>2.1</v>
      </c>
      <c r="I2727" s="1406">
        <f t="shared" ref="I2727:I2732" si="785">PRODUCT(D2727:H2727)</f>
        <v>-4.2</v>
      </c>
      <c r="L2727" s="1397"/>
      <c r="Q2727" s="1394">
        <f>IFERROR(VLOOKUP(M2727,#REF!,3,0),0)</f>
        <v>0</v>
      </c>
      <c r="R2727" s="1394">
        <f t="shared" si="760"/>
        <v>0</v>
      </c>
      <c r="S2727" s="1394">
        <f>IFERROR(VLOOKUP(M2727,#REF!,6,0),0)</f>
        <v>0</v>
      </c>
      <c r="T2727" s="1394">
        <f t="shared" si="779"/>
        <v>0</v>
      </c>
      <c r="U2727" s="1394">
        <f>IFERROR(VLOOKUP(M2727,#REF!,5,0),0)</f>
        <v>0</v>
      </c>
      <c r="V2727" s="1394">
        <f t="shared" si="780"/>
        <v>0</v>
      </c>
      <c r="W2727" s="1394"/>
    </row>
    <row r="2728" spans="1:23" ht="30" customHeight="1">
      <c r="A2728" s="1397"/>
      <c r="B2728" s="1513"/>
      <c r="C2728" s="1455" t="s">
        <v>252</v>
      </c>
      <c r="D2728" s="103">
        <v>-1</v>
      </c>
      <c r="E2728" s="103">
        <f>VLOOKUP(C2728,Sheet1!$I$7:$R$41,8,0)</f>
        <v>1</v>
      </c>
      <c r="F2728" s="1413">
        <f>VLOOKUP(C2728,Sheet1!$I$7:$R$41,2,0)</f>
        <v>1.8</v>
      </c>
      <c r="G2728" s="1413"/>
      <c r="H2728" s="1414">
        <f>VLOOKUP(C2728,Sheet1!$I$7:$R$41,3,0)</f>
        <v>1.35</v>
      </c>
      <c r="I2728" s="1406">
        <f t="shared" si="785"/>
        <v>-2.4300000000000002</v>
      </c>
      <c r="L2728" s="1397"/>
      <c r="Q2728" s="1394">
        <f>IFERROR(VLOOKUP(M2728,#REF!,3,0),0)</f>
        <v>0</v>
      </c>
      <c r="R2728" s="1394">
        <f t="shared" si="760"/>
        <v>0</v>
      </c>
      <c r="S2728" s="1394">
        <f>IFERROR(VLOOKUP(M2728,#REF!,6,0),0)</f>
        <v>0</v>
      </c>
      <c r="T2728" s="1394">
        <f t="shared" si="779"/>
        <v>0</v>
      </c>
      <c r="U2728" s="1394">
        <f>IFERROR(VLOOKUP(M2728,#REF!,5,0),0)</f>
        <v>0</v>
      </c>
      <c r="V2728" s="1394">
        <f t="shared" si="780"/>
        <v>0</v>
      </c>
      <c r="W2728" s="1394"/>
    </row>
    <row r="2729" spans="1:23" ht="30" customHeight="1">
      <c r="A2729" s="1397"/>
      <c r="B2729" s="1513"/>
      <c r="C2729" s="1455" t="s">
        <v>249</v>
      </c>
      <c r="D2729" s="103">
        <v>-1</v>
      </c>
      <c r="E2729" s="103">
        <f>VLOOKUP(C2729,Sheet1!$I$7:$R$41,8,0)</f>
        <v>1</v>
      </c>
      <c r="F2729" s="1413">
        <f>VLOOKUP(C2729,Sheet1!$I$7:$R$41,2,0)</f>
        <v>1.5</v>
      </c>
      <c r="G2729" s="1413"/>
      <c r="H2729" s="1414">
        <f>VLOOKUP(C2729,Sheet1!$I$7:$R$41,3,0)</f>
        <v>1.35</v>
      </c>
      <c r="I2729" s="1406">
        <f t="shared" si="785"/>
        <v>-2.0250000000000004</v>
      </c>
      <c r="L2729" s="1397"/>
      <c r="Q2729" s="1394">
        <f>IFERROR(VLOOKUP(M2729,#REF!,3,0),0)</f>
        <v>0</v>
      </c>
      <c r="R2729" s="1394">
        <f t="shared" si="760"/>
        <v>0</v>
      </c>
      <c r="S2729" s="1394">
        <f>IFERROR(VLOOKUP(M2729,#REF!,6,0),0)</f>
        <v>0</v>
      </c>
      <c r="T2729" s="1394">
        <f t="shared" si="779"/>
        <v>0</v>
      </c>
      <c r="U2729" s="1394">
        <f>IFERROR(VLOOKUP(M2729,#REF!,5,0),0)</f>
        <v>0</v>
      </c>
      <c r="V2729" s="1394">
        <f t="shared" si="780"/>
        <v>0</v>
      </c>
      <c r="W2729" s="1394"/>
    </row>
    <row r="2730" spans="1:23" ht="30" customHeight="1">
      <c r="A2730" s="1397"/>
      <c r="B2730" s="1513"/>
      <c r="C2730" s="1455" t="s">
        <v>250</v>
      </c>
      <c r="D2730" s="103">
        <v>-1</v>
      </c>
      <c r="E2730" s="103">
        <f>VLOOKUP(C2730,Sheet1!$I$7:$R$41,8,0)</f>
        <v>1</v>
      </c>
      <c r="F2730" s="1413">
        <f>VLOOKUP(C2730,Sheet1!$I$7:$R$41,2,0)</f>
        <v>1.2</v>
      </c>
      <c r="G2730" s="1413"/>
      <c r="H2730" s="1414">
        <f>VLOOKUP(C2730,Sheet1!$I$7:$R$41,3,0)</f>
        <v>1.35</v>
      </c>
      <c r="I2730" s="1406">
        <f t="shared" si="785"/>
        <v>-1.62</v>
      </c>
      <c r="L2730" s="1397"/>
      <c r="Q2730" s="1394">
        <f>IFERROR(VLOOKUP(M2730,#REF!,3,0),0)</f>
        <v>0</v>
      </c>
      <c r="R2730" s="1394">
        <f t="shared" si="760"/>
        <v>0</v>
      </c>
      <c r="S2730" s="1394">
        <f>IFERROR(VLOOKUP(M2730,#REF!,6,0),0)</f>
        <v>0</v>
      </c>
      <c r="T2730" s="1394">
        <f t="shared" si="779"/>
        <v>0</v>
      </c>
      <c r="U2730" s="1394">
        <f>IFERROR(VLOOKUP(M2730,#REF!,5,0),0)</f>
        <v>0</v>
      </c>
      <c r="V2730" s="1394">
        <f t="shared" si="780"/>
        <v>0</v>
      </c>
      <c r="W2730" s="1394"/>
    </row>
    <row r="2731" spans="1:23" ht="30" customHeight="1">
      <c r="A2731" s="1397"/>
      <c r="B2731" s="1513"/>
      <c r="C2731" s="1455" t="s">
        <v>251</v>
      </c>
      <c r="D2731" s="103">
        <v>-1</v>
      </c>
      <c r="E2731" s="103">
        <f>VLOOKUP(C2731,Sheet1!$I$7:$R$41,8,0)</f>
        <v>1</v>
      </c>
      <c r="F2731" s="1413">
        <f>VLOOKUP(C2731,Sheet1!$I$7:$R$41,2,0)</f>
        <v>1</v>
      </c>
      <c r="G2731" s="1413"/>
      <c r="H2731" s="1414">
        <f>VLOOKUP(C2731,Sheet1!$I$7:$R$41,3,0)</f>
        <v>1.35</v>
      </c>
      <c r="I2731" s="1406">
        <f t="shared" si="785"/>
        <v>-1.35</v>
      </c>
      <c r="L2731" s="1397"/>
      <c r="Q2731" s="1394">
        <f>IFERROR(VLOOKUP(M2731,#REF!,3,0),0)</f>
        <v>0</v>
      </c>
      <c r="R2731" s="1394">
        <f t="shared" si="760"/>
        <v>0</v>
      </c>
      <c r="S2731" s="1394">
        <f>IFERROR(VLOOKUP(M2731,#REF!,6,0),0)</f>
        <v>0</v>
      </c>
      <c r="T2731" s="1394">
        <f t="shared" si="779"/>
        <v>0</v>
      </c>
      <c r="U2731" s="1394">
        <f>IFERROR(VLOOKUP(M2731,#REF!,5,0),0)</f>
        <v>0</v>
      </c>
      <c r="V2731" s="1394">
        <f t="shared" si="780"/>
        <v>0</v>
      </c>
      <c r="W2731" s="1394"/>
    </row>
    <row r="2732" spans="1:23" ht="30" customHeight="1">
      <c r="A2732" s="1397"/>
      <c r="B2732" s="1513"/>
      <c r="C2732" s="1455" t="s">
        <v>5518</v>
      </c>
      <c r="D2732" s="103">
        <v>-1</v>
      </c>
      <c r="E2732" s="103">
        <f>VLOOKUP(C2732,Sheet1!$I$7:$R$41,8,0)</f>
        <v>0</v>
      </c>
      <c r="F2732" s="1413">
        <f>VLOOKUP(C2732,Sheet1!$I$7:$R$41,2,0)</f>
        <v>2.1</v>
      </c>
      <c r="G2732" s="1413"/>
      <c r="H2732" s="1414">
        <f>VLOOKUP(C2732,Sheet1!$I$7:$R$41,3,0)</f>
        <v>1.35</v>
      </c>
      <c r="I2732" s="1406">
        <f t="shared" si="785"/>
        <v>0</v>
      </c>
      <c r="L2732" s="1397"/>
      <c r="Q2732" s="1394">
        <f>IFERROR(VLOOKUP(M2732,#REF!,3,0),0)</f>
        <v>0</v>
      </c>
      <c r="R2732" s="1394">
        <f t="shared" si="760"/>
        <v>0</v>
      </c>
      <c r="S2732" s="1394">
        <f>IFERROR(VLOOKUP(M2732,#REF!,6,0),0)</f>
        <v>0</v>
      </c>
      <c r="T2732" s="1394">
        <f t="shared" si="779"/>
        <v>0</v>
      </c>
      <c r="U2732" s="1394">
        <f>IFERROR(VLOOKUP(M2732,#REF!,5,0),0)</f>
        <v>0</v>
      </c>
      <c r="V2732" s="1394">
        <f t="shared" si="780"/>
        <v>0</v>
      </c>
      <c r="W2732" s="1394"/>
    </row>
    <row r="2733" spans="1:23" ht="30" customHeight="1">
      <c r="A2733" s="1397"/>
      <c r="B2733" s="1513"/>
      <c r="C2733" s="1455" t="s">
        <v>5854</v>
      </c>
      <c r="D2733" s="103">
        <v>1</v>
      </c>
      <c r="E2733" s="103">
        <v>1</v>
      </c>
      <c r="F2733" s="1413">
        <v>84.45</v>
      </c>
      <c r="G2733" s="1413"/>
      <c r="H2733" s="1414">
        <v>1.2</v>
      </c>
      <c r="I2733" s="1406">
        <f t="shared" si="782"/>
        <v>101.34</v>
      </c>
      <c r="L2733" s="1397"/>
      <c r="Q2733" s="1394">
        <f>IFERROR(VLOOKUP(M2733,#REF!,3,0),0)</f>
        <v>0</v>
      </c>
      <c r="R2733" s="1394">
        <f t="shared" si="760"/>
        <v>0</v>
      </c>
      <c r="S2733" s="1394">
        <f>IFERROR(VLOOKUP(M2733,#REF!,6,0),0)</f>
        <v>0</v>
      </c>
      <c r="T2733" s="1394">
        <f t="shared" si="779"/>
        <v>0</v>
      </c>
      <c r="U2733" s="1394">
        <f>IFERROR(VLOOKUP(M2733,#REF!,5,0),0)</f>
        <v>0</v>
      </c>
      <c r="V2733" s="1394">
        <f t="shared" si="780"/>
        <v>0</v>
      </c>
      <c r="W2733" s="1394"/>
    </row>
    <row r="2734" spans="1:23" ht="30" customHeight="1">
      <c r="A2734" s="1397"/>
      <c r="B2734" s="1513"/>
      <c r="C2734" s="1455"/>
      <c r="D2734" s="103"/>
      <c r="E2734" s="103"/>
      <c r="F2734" s="1413"/>
      <c r="G2734" s="1413"/>
      <c r="H2734" s="1414"/>
      <c r="I2734" s="1406"/>
      <c r="L2734" s="1397"/>
      <c r="Q2734" s="1394">
        <f>IFERROR(VLOOKUP(M2734,#REF!,3,0),0)</f>
        <v>0</v>
      </c>
      <c r="R2734" s="1394">
        <f t="shared" ref="R2734:R2797" si="786">ROUND(O2734,2)*ROUND(Q2734,2)</f>
        <v>0</v>
      </c>
      <c r="S2734" s="1394">
        <f>IFERROR(VLOOKUP(M2734,#REF!,6,0),0)</f>
        <v>0</v>
      </c>
      <c r="T2734" s="1394">
        <f t="shared" si="779"/>
        <v>0</v>
      </c>
      <c r="U2734" s="1394">
        <f>IFERROR(VLOOKUP(M2734,#REF!,5,0),0)</f>
        <v>0</v>
      </c>
      <c r="V2734" s="1394">
        <f t="shared" si="780"/>
        <v>0</v>
      </c>
      <c r="W2734" s="1394"/>
    </row>
    <row r="2735" spans="1:23" s="1394" customFormat="1" ht="30" customHeight="1">
      <c r="B2735" s="1421"/>
      <c r="C2735" s="1422" t="s">
        <v>270</v>
      </c>
      <c r="D2735" s="1389"/>
      <c r="E2735" s="1389"/>
      <c r="F2735" s="1423"/>
      <c r="G2735" s="1423"/>
      <c r="H2735" s="1424"/>
      <c r="I2735" s="1425">
        <f>J2736-J2735</f>
        <v>0.55913999999938824</v>
      </c>
      <c r="J2735" s="1394">
        <f>SUM(I2542:I2734)</f>
        <v>2883.4408600000006</v>
      </c>
      <c r="M2735" s="1426"/>
      <c r="Q2735" s="1394">
        <f>IFERROR(VLOOKUP(M2735,#REF!,3,0),0)</f>
        <v>0</v>
      </c>
      <c r="R2735" s="1394">
        <f t="shared" si="786"/>
        <v>0</v>
      </c>
      <c r="S2735" s="1394">
        <f>IFERROR(VLOOKUP(M2735,#REF!,6,0),0)</f>
        <v>0</v>
      </c>
      <c r="T2735" s="1394">
        <f t="shared" si="779"/>
        <v>0</v>
      </c>
      <c r="U2735" s="1394">
        <f>IFERROR(VLOOKUP(M2735,#REF!,5,0),0)</f>
        <v>0</v>
      </c>
      <c r="V2735" s="1394">
        <f t="shared" si="780"/>
        <v>0</v>
      </c>
    </row>
    <row r="2736" spans="1:23" s="1394" customFormat="1" ht="30" customHeight="1">
      <c r="B2736" s="1421"/>
      <c r="C2736" s="1422"/>
      <c r="D2736" s="1389"/>
      <c r="E2736" s="1389"/>
      <c r="F2736" s="1423"/>
      <c r="G2736" s="1423"/>
      <c r="H2736" s="1424"/>
      <c r="I2736" s="1427">
        <f>+J2736</f>
        <v>2884</v>
      </c>
      <c r="J2736" s="1394">
        <f>ROUNDUP(J2735,0)</f>
        <v>2884</v>
      </c>
      <c r="M2736" s="1426"/>
      <c r="Q2736" s="1394">
        <f>IFERROR(VLOOKUP(M2736,#REF!,3,0),0)</f>
        <v>0</v>
      </c>
      <c r="R2736" s="1394">
        <f t="shared" si="786"/>
        <v>0</v>
      </c>
      <c r="S2736" s="1394">
        <f>IFERROR(VLOOKUP(M2736,#REF!,6,0),0)</f>
        <v>0</v>
      </c>
      <c r="T2736" s="1394">
        <f t="shared" si="779"/>
        <v>0</v>
      </c>
      <c r="U2736" s="1394">
        <f>IFERROR(VLOOKUP(M2736,#REF!,5,0),0)</f>
        <v>0</v>
      </c>
      <c r="V2736" s="1394">
        <f t="shared" si="780"/>
        <v>0</v>
      </c>
    </row>
    <row r="2737" spans="2:23" s="1394" customFormat="1" ht="30" customHeight="1">
      <c r="B2737" s="1421"/>
      <c r="C2737" s="1457" t="s">
        <v>402</v>
      </c>
      <c r="D2737" s="1389"/>
      <c r="E2737" s="1389"/>
      <c r="F2737" s="1423"/>
      <c r="G2737" s="1428" t="s">
        <v>11</v>
      </c>
      <c r="H2737" s="1429">
        <f>I2736</f>
        <v>2884</v>
      </c>
      <c r="I2737" s="1427" t="s">
        <v>26</v>
      </c>
      <c r="Q2737" s="1394">
        <f>IFERROR(VLOOKUP(M2737,#REF!,3,0),0)</f>
        <v>0</v>
      </c>
      <c r="R2737" s="1394">
        <f t="shared" si="786"/>
        <v>0</v>
      </c>
      <c r="S2737" s="1394">
        <f>IFERROR(VLOOKUP(M2737,#REF!,6,0),0)</f>
        <v>0</v>
      </c>
      <c r="T2737" s="1394">
        <f t="shared" si="779"/>
        <v>0</v>
      </c>
      <c r="U2737" s="1394">
        <f>IFERROR(VLOOKUP(M2737,#REF!,5,0),0)</f>
        <v>0</v>
      </c>
      <c r="V2737" s="1394">
        <f t="shared" si="780"/>
        <v>0</v>
      </c>
    </row>
    <row r="2738" spans="2:23" ht="30" customHeight="1">
      <c r="B2738" s="1407"/>
      <c r="C2738" s="1412" t="s">
        <v>403</v>
      </c>
      <c r="D2738" s="103"/>
      <c r="E2738" s="103"/>
      <c r="F2738" s="1413"/>
      <c r="G2738" s="1413"/>
      <c r="H2738" s="1414"/>
      <c r="I2738" s="1406"/>
      <c r="Q2738" s="1394">
        <f>IFERROR(VLOOKUP(M2738,#REF!,3,0),0)</f>
        <v>0</v>
      </c>
      <c r="R2738" s="1394">
        <f t="shared" si="786"/>
        <v>0</v>
      </c>
      <c r="S2738" s="1394">
        <f>IFERROR(VLOOKUP(M2738,#REF!,6,0),0)</f>
        <v>0</v>
      </c>
      <c r="T2738" s="1394">
        <f t="shared" si="779"/>
        <v>0</v>
      </c>
      <c r="U2738" s="1394">
        <f>IFERROR(VLOOKUP(M2738,#REF!,5,0),0)</f>
        <v>0</v>
      </c>
      <c r="V2738" s="1394">
        <f t="shared" si="780"/>
        <v>0</v>
      </c>
      <c r="W2738" s="1394"/>
    </row>
    <row r="2739" spans="2:23" ht="30" customHeight="1">
      <c r="B2739" s="1407"/>
      <c r="C2739" s="1455" t="s">
        <v>5855</v>
      </c>
      <c r="D2739" s="103">
        <v>1</v>
      </c>
      <c r="E2739" s="103">
        <v>1</v>
      </c>
      <c r="F2739" s="1413">
        <v>86.29</v>
      </c>
      <c r="G2739" s="1413"/>
      <c r="H2739" s="1414">
        <v>11.85</v>
      </c>
      <c r="I2739" s="1406">
        <f t="shared" ref="I2739:I2746" si="787">PRODUCT(D2739:H2739)</f>
        <v>1022.5365</v>
      </c>
      <c r="J2739" s="110">
        <f>0.9+(2.85*4)+1.2</f>
        <v>13.5</v>
      </c>
      <c r="Q2739" s="1394">
        <f>IFERROR(VLOOKUP(M2739,#REF!,3,0),0)</f>
        <v>0</v>
      </c>
      <c r="R2739" s="1394">
        <f t="shared" si="786"/>
        <v>0</v>
      </c>
      <c r="S2739" s="1394">
        <f>IFERROR(VLOOKUP(M2739,#REF!,6,0),0)</f>
        <v>0</v>
      </c>
      <c r="T2739" s="1394">
        <f t="shared" si="779"/>
        <v>0</v>
      </c>
      <c r="U2739" s="1394">
        <f>IFERROR(VLOOKUP(M2739,#REF!,5,0),0)</f>
        <v>0</v>
      </c>
      <c r="V2739" s="1394">
        <f t="shared" si="780"/>
        <v>0</v>
      </c>
      <c r="W2739" s="1394"/>
    </row>
    <row r="2740" spans="2:23" ht="30" customHeight="1">
      <c r="B2740" s="1407"/>
      <c r="C2740" s="1455" t="s">
        <v>5857</v>
      </c>
      <c r="D2740" s="103">
        <v>1</v>
      </c>
      <c r="E2740" s="103">
        <v>1</v>
      </c>
      <c r="F2740" s="1413">
        <v>86.29</v>
      </c>
      <c r="G2740" s="1413"/>
      <c r="H2740" s="1414">
        <f>'det -detail'!E15</f>
        <v>0.56999999999999995</v>
      </c>
      <c r="I2740" s="1406">
        <f t="shared" si="787"/>
        <v>49.185299999999998</v>
      </c>
      <c r="Q2740" s="1394">
        <f>IFERROR(VLOOKUP(M2740,#REF!,3,0),0)</f>
        <v>0</v>
      </c>
      <c r="R2740" s="1394">
        <f t="shared" si="786"/>
        <v>0</v>
      </c>
      <c r="S2740" s="1394">
        <f>IFERROR(VLOOKUP(M2740,#REF!,6,0),0)</f>
        <v>0</v>
      </c>
      <c r="T2740" s="1394">
        <f t="shared" si="779"/>
        <v>0</v>
      </c>
      <c r="U2740" s="1394">
        <f>IFERROR(VLOOKUP(M2740,#REF!,5,0),0)</f>
        <v>0</v>
      </c>
      <c r="V2740" s="1394">
        <f t="shared" si="780"/>
        <v>0</v>
      </c>
      <c r="W2740" s="1394"/>
    </row>
    <row r="2741" spans="2:23" ht="30" customHeight="1">
      <c r="B2741" s="1407"/>
      <c r="C2741" s="1455" t="s">
        <v>5856</v>
      </c>
      <c r="D2741" s="103">
        <v>1</v>
      </c>
      <c r="E2741" s="103">
        <v>2</v>
      </c>
      <c r="F2741" s="1413">
        <f>1+13.48+1</f>
        <v>15.48</v>
      </c>
      <c r="G2741" s="1413"/>
      <c r="H2741" s="1414">
        <v>0.9</v>
      </c>
      <c r="I2741" s="1406">
        <f t="shared" si="787"/>
        <v>27.864000000000001</v>
      </c>
      <c r="M2741" s="110"/>
      <c r="Q2741" s="1394">
        <f>IFERROR(VLOOKUP(M2741,#REF!,3,0),0)</f>
        <v>0</v>
      </c>
      <c r="R2741" s="1394">
        <f t="shared" si="786"/>
        <v>0</v>
      </c>
      <c r="S2741" s="1394">
        <f>IFERROR(VLOOKUP(M2741,#REF!,6,0),0)</f>
        <v>0</v>
      </c>
      <c r="T2741" s="1394">
        <f t="shared" si="779"/>
        <v>0</v>
      </c>
      <c r="U2741" s="1394">
        <f>IFERROR(VLOOKUP(M2741,#REF!,5,0),0)</f>
        <v>0</v>
      </c>
      <c r="V2741" s="1394">
        <f t="shared" si="780"/>
        <v>0</v>
      </c>
      <c r="W2741" s="1394"/>
    </row>
    <row r="2742" spans="2:23" ht="30" customHeight="1">
      <c r="B2742" s="1407"/>
      <c r="C2742" s="1455" t="str">
        <f>'det -detail'!B99</f>
        <v xml:space="preserve">For C1 Round Column Dia 0.3 Radius = 0.15 </v>
      </c>
      <c r="D2742" s="95">
        <f>'det -detail'!E99</f>
        <v>4</v>
      </c>
      <c r="E2742" s="1414">
        <f>'det -detail'!F99</f>
        <v>3.14</v>
      </c>
      <c r="F2742" s="1413">
        <v>0.3</v>
      </c>
      <c r="G2742" s="1413"/>
      <c r="H2742" s="1414">
        <v>3</v>
      </c>
      <c r="I2742" s="1406">
        <f t="shared" si="787"/>
        <v>11.303999999999998</v>
      </c>
      <c r="M2742" s="110"/>
      <c r="Q2742" s="1394">
        <f>IFERROR(VLOOKUP(M2742,#REF!,3,0),0)</f>
        <v>0</v>
      </c>
      <c r="R2742" s="1394">
        <f t="shared" si="786"/>
        <v>0</v>
      </c>
      <c r="S2742" s="1394">
        <f>IFERROR(VLOOKUP(M2742,#REF!,6,0),0)</f>
        <v>0</v>
      </c>
      <c r="T2742" s="1394">
        <f t="shared" si="779"/>
        <v>0</v>
      </c>
      <c r="U2742" s="1394">
        <f>IFERROR(VLOOKUP(M2742,#REF!,5,0),0)</f>
        <v>0</v>
      </c>
      <c r="V2742" s="1394">
        <f t="shared" si="780"/>
        <v>0</v>
      </c>
      <c r="W2742" s="1394"/>
    </row>
    <row r="2743" spans="2:23" ht="30" customHeight="1">
      <c r="B2743" s="1407"/>
      <c r="C2743" s="1455" t="str">
        <f>'det -detail'!B100</f>
        <v>For C2</v>
      </c>
      <c r="D2743" s="95">
        <f>'det -detail'!E100</f>
        <v>11</v>
      </c>
      <c r="E2743" s="95">
        <f>'det -detail'!F100</f>
        <v>1</v>
      </c>
      <c r="F2743" s="1413">
        <f>2*('det -detail'!G100+'det -detail'!H100)</f>
        <v>1.22</v>
      </c>
      <c r="G2743" s="1413"/>
      <c r="H2743" s="1414">
        <f>H2742</f>
        <v>3</v>
      </c>
      <c r="I2743" s="1406">
        <f t="shared" si="787"/>
        <v>40.26</v>
      </c>
      <c r="M2743" s="110"/>
      <c r="Q2743" s="1394">
        <f>IFERROR(VLOOKUP(M2743,#REF!,3,0),0)</f>
        <v>0</v>
      </c>
      <c r="R2743" s="1394">
        <f t="shared" si="786"/>
        <v>0</v>
      </c>
      <c r="S2743" s="1394">
        <f>IFERROR(VLOOKUP(M2743,#REF!,6,0),0)</f>
        <v>0</v>
      </c>
      <c r="T2743" s="1394">
        <f t="shared" si="779"/>
        <v>0</v>
      </c>
      <c r="U2743" s="1394">
        <f>IFERROR(VLOOKUP(M2743,#REF!,5,0),0)</f>
        <v>0</v>
      </c>
      <c r="V2743" s="1394">
        <f t="shared" si="780"/>
        <v>0</v>
      </c>
      <c r="W2743" s="1394"/>
    </row>
    <row r="2744" spans="2:23" ht="30" customHeight="1">
      <c r="B2744" s="1407"/>
      <c r="C2744" s="1455" t="str">
        <f>'det -detail'!B101</f>
        <v>For C3</v>
      </c>
      <c r="D2744" s="95">
        <f>'det -detail'!E101</f>
        <v>10</v>
      </c>
      <c r="E2744" s="95">
        <f>'det -detail'!F101</f>
        <v>1</v>
      </c>
      <c r="F2744" s="1413">
        <f>2*('det -detail'!G101+'det -detail'!H101)</f>
        <v>1.36</v>
      </c>
      <c r="G2744" s="1413"/>
      <c r="H2744" s="1414">
        <f t="shared" ref="H2744:H2745" si="788">H2743</f>
        <v>3</v>
      </c>
      <c r="I2744" s="1406">
        <f t="shared" si="787"/>
        <v>40.800000000000004</v>
      </c>
      <c r="M2744" s="110"/>
      <c r="Q2744" s="1394">
        <f>IFERROR(VLOOKUP(M2744,#REF!,3,0),0)</f>
        <v>0</v>
      </c>
      <c r="R2744" s="1394">
        <f t="shared" si="786"/>
        <v>0</v>
      </c>
      <c r="S2744" s="1394">
        <f>IFERROR(VLOOKUP(M2744,#REF!,6,0),0)</f>
        <v>0</v>
      </c>
      <c r="T2744" s="1394">
        <f t="shared" si="779"/>
        <v>0</v>
      </c>
      <c r="U2744" s="1394">
        <f>IFERROR(VLOOKUP(M2744,#REF!,5,0),0)</f>
        <v>0</v>
      </c>
      <c r="V2744" s="1394">
        <f t="shared" si="780"/>
        <v>0</v>
      </c>
      <c r="W2744" s="1394"/>
    </row>
    <row r="2745" spans="2:23" ht="30" customHeight="1">
      <c r="B2745" s="1407"/>
      <c r="C2745" s="1455" t="str">
        <f>'det -detail'!B102</f>
        <v>For C4</v>
      </c>
      <c r="D2745" s="95">
        <f>'det -detail'!E102</f>
        <v>7</v>
      </c>
      <c r="E2745" s="95">
        <f>'det -detail'!F102</f>
        <v>1</v>
      </c>
      <c r="F2745" s="1413">
        <f>2*('det -detail'!G102+'det -detail'!H102)</f>
        <v>1.5</v>
      </c>
      <c r="G2745" s="1413"/>
      <c r="H2745" s="1414">
        <f t="shared" si="788"/>
        <v>3</v>
      </c>
      <c r="I2745" s="1406">
        <f t="shared" si="787"/>
        <v>31.5</v>
      </c>
      <c r="M2745" s="110"/>
      <c r="Q2745" s="1394">
        <f>IFERROR(VLOOKUP(M2745,#REF!,3,0),0)</f>
        <v>0</v>
      </c>
      <c r="R2745" s="1394">
        <f t="shared" si="786"/>
        <v>0</v>
      </c>
      <c r="S2745" s="1394">
        <f>IFERROR(VLOOKUP(M2745,#REF!,6,0),0)</f>
        <v>0</v>
      </c>
      <c r="T2745" s="1394">
        <f t="shared" si="779"/>
        <v>0</v>
      </c>
      <c r="U2745" s="1394">
        <f>IFERROR(VLOOKUP(M2745,#REF!,5,0),0)</f>
        <v>0</v>
      </c>
      <c r="V2745" s="1394">
        <f t="shared" si="780"/>
        <v>0</v>
      </c>
      <c r="W2745" s="1394"/>
    </row>
    <row r="2746" spans="2:23" ht="30" customHeight="1">
      <c r="B2746" s="1407"/>
      <c r="C2746" s="1412" t="s">
        <v>5496</v>
      </c>
      <c r="D2746" s="103"/>
      <c r="E2746" s="103"/>
      <c r="F2746" s="1413"/>
      <c r="G2746" s="1413"/>
      <c r="H2746" s="1414"/>
      <c r="I2746" s="1406">
        <f t="shared" si="787"/>
        <v>0</v>
      </c>
      <c r="M2746" s="110"/>
      <c r="Q2746" s="1394">
        <f>IFERROR(VLOOKUP(M2746,#REF!,3,0),0)</f>
        <v>0</v>
      </c>
      <c r="R2746" s="1394">
        <f t="shared" si="786"/>
        <v>0</v>
      </c>
      <c r="S2746" s="1394">
        <f>IFERROR(VLOOKUP(M2746,#REF!,6,0),0)</f>
        <v>0</v>
      </c>
      <c r="T2746" s="1394">
        <f t="shared" si="779"/>
        <v>0</v>
      </c>
      <c r="U2746" s="1394">
        <f>IFERROR(VLOOKUP(M2746,#REF!,5,0),0)</f>
        <v>0</v>
      </c>
      <c r="V2746" s="1394">
        <f t="shared" si="780"/>
        <v>0</v>
      </c>
      <c r="W2746" s="1394"/>
    </row>
    <row r="2747" spans="2:23" ht="30" customHeight="1">
      <c r="B2747" s="1407"/>
      <c r="C2747" s="1455" t="s">
        <v>5516</v>
      </c>
      <c r="D2747" s="103">
        <v>-1</v>
      </c>
      <c r="E2747" s="103">
        <f>VLOOKUP(C2747,Sheet1!$I$7:$R$41,10,0)</f>
        <v>1</v>
      </c>
      <c r="F2747" s="1413">
        <f>VLOOKUP(C2747,Sheet1!$I$7:$R$41,2,0)</f>
        <v>1.8</v>
      </c>
      <c r="G2747" s="1413"/>
      <c r="H2747" s="1414">
        <f>VLOOKUP(C2747,Sheet1!$I$7:$R$41,3,0)</f>
        <v>1.8</v>
      </c>
      <c r="I2747" s="1406">
        <f>PRODUCT(D2747:H2747)</f>
        <v>-3.24</v>
      </c>
      <c r="Q2747" s="1394">
        <f>IFERROR(VLOOKUP(M2747,#REF!,3,0),0)</f>
        <v>0</v>
      </c>
      <c r="R2747" s="1394">
        <f t="shared" si="786"/>
        <v>0</v>
      </c>
      <c r="S2747" s="1394">
        <f>IFERROR(VLOOKUP(M2747,#REF!,6,0),0)</f>
        <v>0</v>
      </c>
      <c r="T2747" s="1394">
        <f t="shared" si="779"/>
        <v>0</v>
      </c>
      <c r="U2747" s="1394">
        <f>IFERROR(VLOOKUP(M2747,#REF!,5,0),0)</f>
        <v>0</v>
      </c>
      <c r="V2747" s="1394">
        <f t="shared" si="780"/>
        <v>0</v>
      </c>
      <c r="W2747" s="1394"/>
    </row>
    <row r="2748" spans="2:23" ht="30" customHeight="1">
      <c r="B2748" s="1407"/>
      <c r="C2748" s="1455" t="s">
        <v>190</v>
      </c>
      <c r="D2748" s="103">
        <v>-1</v>
      </c>
      <c r="E2748" s="103">
        <f>VLOOKUP(C2748,Sheet1!$I$7:$R$41,10,0)</f>
        <v>6</v>
      </c>
      <c r="F2748" s="1413">
        <f>VLOOKUP(C2748,Sheet1!$I$7:$R$41,2,0)</f>
        <v>0.81299999999999994</v>
      </c>
      <c r="G2748" s="1413"/>
      <c r="H2748" s="1414">
        <f>VLOOKUP(C2748,Sheet1!$I$7:$R$41,3,0)</f>
        <v>1.8</v>
      </c>
      <c r="I2748" s="1406">
        <f t="shared" ref="I2748:I2765" si="789">PRODUCT(D2748:H2748)</f>
        <v>-8.7804000000000002</v>
      </c>
      <c r="Q2748" s="1394">
        <f>IFERROR(VLOOKUP(M2748,#REF!,3,0),0)</f>
        <v>0</v>
      </c>
      <c r="R2748" s="1394">
        <f t="shared" si="786"/>
        <v>0</v>
      </c>
      <c r="S2748" s="1394">
        <f>IFERROR(VLOOKUP(M2748,#REF!,6,0),0)</f>
        <v>0</v>
      </c>
      <c r="T2748" s="1394">
        <f t="shared" si="779"/>
        <v>0</v>
      </c>
      <c r="U2748" s="1394">
        <f>IFERROR(VLOOKUP(M2748,#REF!,5,0),0)</f>
        <v>0</v>
      </c>
      <c r="V2748" s="1394">
        <f t="shared" si="780"/>
        <v>0</v>
      </c>
      <c r="W2748" s="1394"/>
    </row>
    <row r="2749" spans="2:23" ht="30" customHeight="1">
      <c r="B2749" s="1407"/>
      <c r="C2749" s="1455" t="s">
        <v>5511</v>
      </c>
      <c r="D2749" s="103">
        <v>-1</v>
      </c>
      <c r="E2749" s="103">
        <f>VLOOKUP(C2749,Sheet1!$I$7:$R$41,10,0)</f>
        <v>2</v>
      </c>
      <c r="F2749" s="1413">
        <f>VLOOKUP(C2749,Sheet1!$I$7:$R$41,2,0)</f>
        <v>1.8</v>
      </c>
      <c r="G2749" s="1413"/>
      <c r="H2749" s="1414">
        <f>VLOOKUP(C2749,Sheet1!$I$7:$R$41,3,0)</f>
        <v>1.8</v>
      </c>
      <c r="I2749" s="1406">
        <f t="shared" si="789"/>
        <v>-6.48</v>
      </c>
      <c r="Q2749" s="1394">
        <f>IFERROR(VLOOKUP(M2749,#REF!,3,0),0)</f>
        <v>0</v>
      </c>
      <c r="R2749" s="1394">
        <f t="shared" si="786"/>
        <v>0</v>
      </c>
      <c r="S2749" s="1394">
        <f>IFERROR(VLOOKUP(M2749,#REF!,6,0),0)</f>
        <v>0</v>
      </c>
      <c r="T2749" s="1394">
        <f t="shared" si="779"/>
        <v>0</v>
      </c>
      <c r="U2749" s="1394">
        <f>IFERROR(VLOOKUP(M2749,#REF!,5,0),0)</f>
        <v>0</v>
      </c>
      <c r="V2749" s="1394">
        <f t="shared" si="780"/>
        <v>0</v>
      </c>
      <c r="W2749" s="1394"/>
    </row>
    <row r="2750" spans="2:23" ht="30" customHeight="1">
      <c r="B2750" s="1407"/>
      <c r="C2750" s="1455" t="s">
        <v>5512</v>
      </c>
      <c r="D2750" s="103">
        <v>-1</v>
      </c>
      <c r="E2750" s="103">
        <f>VLOOKUP(C2750,Sheet1!$I$7:$R$41,10,0)</f>
        <v>1</v>
      </c>
      <c r="F2750" s="1413">
        <f>VLOOKUP(C2750,Sheet1!$I$7:$R$41,2,0)</f>
        <v>1.5</v>
      </c>
      <c r="G2750" s="1413"/>
      <c r="H2750" s="1414">
        <f>VLOOKUP(C2750,Sheet1!$I$7:$R$41,3,0)</f>
        <v>1.8</v>
      </c>
      <c r="I2750" s="1406">
        <f t="shared" si="789"/>
        <v>-2.7</v>
      </c>
      <c r="Q2750" s="1394">
        <f>IFERROR(VLOOKUP(M2750,#REF!,3,0),0)</f>
        <v>0</v>
      </c>
      <c r="R2750" s="1394">
        <f t="shared" si="786"/>
        <v>0</v>
      </c>
      <c r="S2750" s="1394">
        <f>IFERROR(VLOOKUP(M2750,#REF!,6,0),0)</f>
        <v>0</v>
      </c>
      <c r="T2750" s="1394">
        <f t="shared" si="779"/>
        <v>0</v>
      </c>
      <c r="U2750" s="1394">
        <f>IFERROR(VLOOKUP(M2750,#REF!,5,0),0)</f>
        <v>0</v>
      </c>
      <c r="V2750" s="1394">
        <f t="shared" si="780"/>
        <v>0</v>
      </c>
      <c r="W2750" s="1394"/>
    </row>
    <row r="2751" spans="2:23" ht="30" customHeight="1">
      <c r="B2751" s="1407"/>
      <c r="C2751" s="1455" t="s">
        <v>5513</v>
      </c>
      <c r="D2751" s="103">
        <v>-1</v>
      </c>
      <c r="E2751" s="103">
        <f>VLOOKUP(C2751,Sheet1!$I$7:$R$41,10,0)</f>
        <v>3</v>
      </c>
      <c r="F2751" s="1413">
        <f>VLOOKUP(C2751,Sheet1!$I$7:$R$41,2,0)</f>
        <v>2</v>
      </c>
      <c r="G2751" s="1413"/>
      <c r="H2751" s="1414">
        <f>VLOOKUP(C2751,Sheet1!$I$7:$R$41,3,0)</f>
        <v>1.8</v>
      </c>
      <c r="I2751" s="1406">
        <f t="shared" si="789"/>
        <v>-10.8</v>
      </c>
      <c r="Q2751" s="1394">
        <f>IFERROR(VLOOKUP(M2751,#REF!,3,0),0)</f>
        <v>0</v>
      </c>
      <c r="R2751" s="1394">
        <f t="shared" si="786"/>
        <v>0</v>
      </c>
      <c r="S2751" s="1394">
        <f>IFERROR(VLOOKUP(M2751,#REF!,6,0),0)</f>
        <v>0</v>
      </c>
      <c r="T2751" s="1394">
        <f t="shared" si="779"/>
        <v>0</v>
      </c>
      <c r="U2751" s="1394">
        <f>IFERROR(VLOOKUP(M2751,#REF!,5,0),0)</f>
        <v>0</v>
      </c>
      <c r="V2751" s="1394">
        <f t="shared" si="780"/>
        <v>0</v>
      </c>
      <c r="W2751" s="1394"/>
    </row>
    <row r="2752" spans="2:23" ht="30" customHeight="1">
      <c r="B2752" s="1407"/>
      <c r="C2752" s="1455" t="s">
        <v>5514</v>
      </c>
      <c r="D2752" s="103">
        <v>-1</v>
      </c>
      <c r="E2752" s="103">
        <f>VLOOKUP(C2752,Sheet1!$I$7:$R$41,10,0)</f>
        <v>6</v>
      </c>
      <c r="F2752" s="1413">
        <f>VLOOKUP(C2752,Sheet1!$I$7:$R$41,2,0)</f>
        <v>1.2</v>
      </c>
      <c r="G2752" s="1413"/>
      <c r="H2752" s="1414">
        <f>VLOOKUP(C2752,Sheet1!$I$7:$R$41,3,0)</f>
        <v>1.8</v>
      </c>
      <c r="I2752" s="1406">
        <f t="shared" si="789"/>
        <v>-12.959999999999999</v>
      </c>
      <c r="Q2752" s="1394">
        <f>IFERROR(VLOOKUP(M2752,#REF!,3,0),0)</f>
        <v>0</v>
      </c>
      <c r="R2752" s="1394">
        <f t="shared" si="786"/>
        <v>0</v>
      </c>
      <c r="S2752" s="1394">
        <f>IFERROR(VLOOKUP(M2752,#REF!,6,0),0)</f>
        <v>0</v>
      </c>
      <c r="T2752" s="1394">
        <f t="shared" si="779"/>
        <v>0</v>
      </c>
      <c r="U2752" s="1394">
        <f>IFERROR(VLOOKUP(M2752,#REF!,5,0),0)</f>
        <v>0</v>
      </c>
      <c r="V2752" s="1394">
        <f t="shared" si="780"/>
        <v>0</v>
      </c>
      <c r="W2752" s="1394"/>
    </row>
    <row r="2753" spans="2:23" ht="30" customHeight="1">
      <c r="B2753" s="1407"/>
      <c r="C2753" s="1455" t="s">
        <v>5515</v>
      </c>
      <c r="D2753" s="103">
        <v>-1</v>
      </c>
      <c r="E2753" s="103">
        <f>VLOOKUP(C2753,Sheet1!$I$7:$R$41,10,0)</f>
        <v>1</v>
      </c>
      <c r="F2753" s="1413">
        <f>VLOOKUP(C2753,Sheet1!$I$7:$R$41,2,0)</f>
        <v>1.5</v>
      </c>
      <c r="G2753" s="1413"/>
      <c r="H2753" s="1414">
        <f>VLOOKUP(C2753,Sheet1!$I$7:$R$41,3,0)</f>
        <v>1.35</v>
      </c>
      <c r="I2753" s="1406">
        <f t="shared" si="789"/>
        <v>-2.0250000000000004</v>
      </c>
      <c r="Q2753" s="1394">
        <f>IFERROR(VLOOKUP(M2753,#REF!,3,0),0)</f>
        <v>0</v>
      </c>
      <c r="R2753" s="1394">
        <f t="shared" si="786"/>
        <v>0</v>
      </c>
      <c r="S2753" s="1394">
        <f>IFERROR(VLOOKUP(M2753,#REF!,6,0),0)</f>
        <v>0</v>
      </c>
      <c r="T2753" s="1394">
        <f t="shared" si="779"/>
        <v>0</v>
      </c>
      <c r="U2753" s="1394">
        <f>IFERROR(VLOOKUP(M2753,#REF!,5,0),0)</f>
        <v>0</v>
      </c>
      <c r="V2753" s="1394">
        <f t="shared" si="780"/>
        <v>0</v>
      </c>
      <c r="W2753" s="1394"/>
    </row>
    <row r="2754" spans="2:23" ht="30" customHeight="1">
      <c r="B2754" s="1407"/>
      <c r="C2754" s="1455" t="s">
        <v>252</v>
      </c>
      <c r="D2754" s="103">
        <v>-1</v>
      </c>
      <c r="E2754" s="103">
        <f>VLOOKUP(C2754,Sheet1!$I$7:$R$41,10,0)</f>
        <v>4</v>
      </c>
      <c r="F2754" s="1413">
        <f>VLOOKUP(C2754,Sheet1!$I$7:$R$41,2,0)</f>
        <v>1.8</v>
      </c>
      <c r="G2754" s="1413"/>
      <c r="H2754" s="1414">
        <f>VLOOKUP(C2754,Sheet1!$I$7:$R$41,3,0)</f>
        <v>1.35</v>
      </c>
      <c r="I2754" s="1406">
        <f t="shared" si="789"/>
        <v>-9.7200000000000006</v>
      </c>
      <c r="Q2754" s="1394">
        <f>IFERROR(VLOOKUP(M2754,#REF!,3,0),0)</f>
        <v>0</v>
      </c>
      <c r="R2754" s="1394">
        <f t="shared" si="786"/>
        <v>0</v>
      </c>
      <c r="S2754" s="1394">
        <f>IFERROR(VLOOKUP(M2754,#REF!,6,0),0)</f>
        <v>0</v>
      </c>
      <c r="T2754" s="1394">
        <f t="shared" si="779"/>
        <v>0</v>
      </c>
      <c r="U2754" s="1394">
        <f>IFERROR(VLOOKUP(M2754,#REF!,5,0),0)</f>
        <v>0</v>
      </c>
      <c r="V2754" s="1394">
        <f t="shared" si="780"/>
        <v>0</v>
      </c>
      <c r="W2754" s="1394"/>
    </row>
    <row r="2755" spans="2:23" ht="30" customHeight="1">
      <c r="B2755" s="1407"/>
      <c r="C2755" s="1455" t="s">
        <v>248</v>
      </c>
      <c r="D2755" s="103">
        <v>-1</v>
      </c>
      <c r="E2755" s="103">
        <f>VLOOKUP(C2755,Sheet1!$I$7:$R$41,10,0)</f>
        <v>3</v>
      </c>
      <c r="F2755" s="1413">
        <f>VLOOKUP(C2755,Sheet1!$I$7:$R$41,2,0)</f>
        <v>1.8</v>
      </c>
      <c r="G2755" s="1413"/>
      <c r="H2755" s="1414">
        <f>VLOOKUP(C2755,Sheet1!$I$7:$R$41,3,0)</f>
        <v>1.35</v>
      </c>
      <c r="I2755" s="1406">
        <f t="shared" si="789"/>
        <v>-7.2900000000000009</v>
      </c>
      <c r="Q2755" s="1394">
        <f>IFERROR(VLOOKUP(M2755,#REF!,3,0),0)</f>
        <v>0</v>
      </c>
      <c r="R2755" s="1394">
        <f t="shared" si="786"/>
        <v>0</v>
      </c>
      <c r="S2755" s="1394">
        <f>IFERROR(VLOOKUP(M2755,#REF!,6,0),0)</f>
        <v>0</v>
      </c>
      <c r="T2755" s="1394">
        <f t="shared" si="779"/>
        <v>0</v>
      </c>
      <c r="U2755" s="1394">
        <f>IFERROR(VLOOKUP(M2755,#REF!,5,0),0)</f>
        <v>0</v>
      </c>
      <c r="V2755" s="1394">
        <f t="shared" si="780"/>
        <v>0</v>
      </c>
      <c r="W2755" s="1394"/>
    </row>
    <row r="2756" spans="2:23" ht="30" customHeight="1">
      <c r="B2756" s="1407"/>
      <c r="C2756" s="1455" t="s">
        <v>249</v>
      </c>
      <c r="D2756" s="103">
        <v>-1</v>
      </c>
      <c r="E2756" s="103">
        <f>VLOOKUP(C2756,Sheet1!$I$7:$R$41,10,0)</f>
        <v>2</v>
      </c>
      <c r="F2756" s="1413">
        <f>VLOOKUP(C2756,Sheet1!$I$7:$R$41,2,0)</f>
        <v>1.5</v>
      </c>
      <c r="G2756" s="1413"/>
      <c r="H2756" s="1414">
        <f>VLOOKUP(C2756,Sheet1!$I$7:$R$41,3,0)</f>
        <v>1.35</v>
      </c>
      <c r="I2756" s="1406">
        <f t="shared" si="789"/>
        <v>-4.0500000000000007</v>
      </c>
      <c r="Q2756" s="1394">
        <f>IFERROR(VLOOKUP(M2756,#REF!,3,0),0)</f>
        <v>0</v>
      </c>
      <c r="R2756" s="1394">
        <f t="shared" si="786"/>
        <v>0</v>
      </c>
      <c r="S2756" s="1394">
        <f>IFERROR(VLOOKUP(M2756,#REF!,6,0),0)</f>
        <v>0</v>
      </c>
      <c r="T2756" s="1394">
        <f t="shared" si="779"/>
        <v>0</v>
      </c>
      <c r="U2756" s="1394">
        <f>IFERROR(VLOOKUP(M2756,#REF!,5,0),0)</f>
        <v>0</v>
      </c>
      <c r="V2756" s="1394">
        <f t="shared" si="780"/>
        <v>0</v>
      </c>
      <c r="W2756" s="1394"/>
    </row>
    <row r="2757" spans="2:23" ht="30" customHeight="1">
      <c r="B2757" s="1407"/>
      <c r="C2757" s="1455" t="s">
        <v>250</v>
      </c>
      <c r="D2757" s="103">
        <v>-1</v>
      </c>
      <c r="E2757" s="103">
        <f>VLOOKUP(C2757,Sheet1!$I$7:$R$41,10,0)</f>
        <v>37</v>
      </c>
      <c r="F2757" s="1413">
        <f>VLOOKUP(C2757,Sheet1!$I$7:$R$41,2,0)</f>
        <v>1.2</v>
      </c>
      <c r="G2757" s="1413"/>
      <c r="H2757" s="1414">
        <f>VLOOKUP(C2757,Sheet1!$I$7:$R$41,3,0)</f>
        <v>1.35</v>
      </c>
      <c r="I2757" s="1406">
        <f t="shared" si="789"/>
        <v>-59.940000000000005</v>
      </c>
      <c r="Q2757" s="1394">
        <f>IFERROR(VLOOKUP(M2757,#REF!,3,0),0)</f>
        <v>0</v>
      </c>
      <c r="R2757" s="1394">
        <f t="shared" si="786"/>
        <v>0</v>
      </c>
      <c r="S2757" s="1394">
        <f>IFERROR(VLOOKUP(M2757,#REF!,6,0),0)</f>
        <v>0</v>
      </c>
      <c r="T2757" s="1394">
        <f t="shared" si="779"/>
        <v>0</v>
      </c>
      <c r="U2757" s="1394">
        <f>IFERROR(VLOOKUP(M2757,#REF!,5,0),0)</f>
        <v>0</v>
      </c>
      <c r="V2757" s="1394">
        <f t="shared" si="780"/>
        <v>0</v>
      </c>
      <c r="W2757" s="1394"/>
    </row>
    <row r="2758" spans="2:23" ht="30" customHeight="1">
      <c r="B2758" s="1407"/>
      <c r="C2758" s="1455" t="s">
        <v>251</v>
      </c>
      <c r="D2758" s="103">
        <v>-1</v>
      </c>
      <c r="E2758" s="103">
        <f>VLOOKUP(C2758,Sheet1!$I$7:$R$41,10,0)</f>
        <v>15</v>
      </c>
      <c r="F2758" s="1413">
        <f>VLOOKUP(C2758,Sheet1!$I$7:$R$41,2,0)</f>
        <v>1</v>
      </c>
      <c r="G2758" s="1413"/>
      <c r="H2758" s="1414">
        <f>VLOOKUP(C2758,Sheet1!$I$7:$R$41,3,0)</f>
        <v>1.35</v>
      </c>
      <c r="I2758" s="1406">
        <f t="shared" si="789"/>
        <v>-20.25</v>
      </c>
      <c r="Q2758" s="1394">
        <f>IFERROR(VLOOKUP(M2758,#REF!,3,0),0)</f>
        <v>0</v>
      </c>
      <c r="R2758" s="1394">
        <f t="shared" si="786"/>
        <v>0</v>
      </c>
      <c r="S2758" s="1394">
        <f>IFERROR(VLOOKUP(M2758,#REF!,6,0),0)</f>
        <v>0</v>
      </c>
      <c r="T2758" s="1394">
        <f t="shared" si="779"/>
        <v>0</v>
      </c>
      <c r="U2758" s="1394">
        <f>IFERROR(VLOOKUP(M2758,#REF!,5,0),0)</f>
        <v>0</v>
      </c>
      <c r="V2758" s="1394">
        <f t="shared" si="780"/>
        <v>0</v>
      </c>
      <c r="W2758" s="1394"/>
    </row>
    <row r="2759" spans="2:23" ht="30" customHeight="1">
      <c r="B2759" s="1407"/>
      <c r="C2759" s="1455" t="s">
        <v>5518</v>
      </c>
      <c r="D2759" s="103">
        <v>-1</v>
      </c>
      <c r="E2759" s="103">
        <f>VLOOKUP(C2759,Sheet1!$I$7:$R$41,10,0)</f>
        <v>4</v>
      </c>
      <c r="F2759" s="1413">
        <f>VLOOKUP(C2759,Sheet1!$I$7:$R$41,2,0)</f>
        <v>2.1</v>
      </c>
      <c r="G2759" s="1413"/>
      <c r="H2759" s="1414">
        <f>VLOOKUP(C2759,Sheet1!$I$7:$R$41,3,0)</f>
        <v>1.35</v>
      </c>
      <c r="I2759" s="1406">
        <f t="shared" si="789"/>
        <v>-11.340000000000002</v>
      </c>
      <c r="Q2759" s="1394">
        <f>IFERROR(VLOOKUP(M2759,#REF!,3,0),0)</f>
        <v>0</v>
      </c>
      <c r="R2759" s="1394">
        <f t="shared" si="786"/>
        <v>0</v>
      </c>
      <c r="S2759" s="1394">
        <f>IFERROR(VLOOKUP(M2759,#REF!,6,0),0)</f>
        <v>0</v>
      </c>
      <c r="T2759" s="1394">
        <f t="shared" si="779"/>
        <v>0</v>
      </c>
      <c r="U2759" s="1394">
        <f>IFERROR(VLOOKUP(M2759,#REF!,5,0),0)</f>
        <v>0</v>
      </c>
      <c r="V2759" s="1394">
        <f t="shared" si="780"/>
        <v>0</v>
      </c>
      <c r="W2759" s="1394"/>
    </row>
    <row r="2760" spans="2:23" ht="30" customHeight="1">
      <c r="B2760" s="1407"/>
      <c r="C2760" s="1455" t="s">
        <v>255</v>
      </c>
      <c r="D2760" s="103">
        <v>-1</v>
      </c>
      <c r="E2760" s="103">
        <f>VLOOKUP(C2760,Sheet1!$I$7:$R$41,10,0)</f>
        <v>5</v>
      </c>
      <c r="F2760" s="1413">
        <f>VLOOKUP(C2760,Sheet1!$I$7:$R$41,2,0)</f>
        <v>1.35</v>
      </c>
      <c r="G2760" s="1413"/>
      <c r="H2760" s="1414">
        <f>VLOOKUP(C2760,Sheet1!$I$7:$R$41,3,0)</f>
        <v>0.6</v>
      </c>
      <c r="I2760" s="1406">
        <f t="shared" si="789"/>
        <v>-4.05</v>
      </c>
      <c r="Q2760" s="1394">
        <f>IFERROR(VLOOKUP(M2760,#REF!,3,0),0)</f>
        <v>0</v>
      </c>
      <c r="R2760" s="1394">
        <f t="shared" si="786"/>
        <v>0</v>
      </c>
      <c r="S2760" s="1394">
        <f>IFERROR(VLOOKUP(M2760,#REF!,6,0),0)</f>
        <v>0</v>
      </c>
      <c r="T2760" s="1394">
        <f t="shared" si="779"/>
        <v>0</v>
      </c>
      <c r="U2760" s="1394">
        <f>IFERROR(VLOOKUP(M2760,#REF!,5,0),0)</f>
        <v>0</v>
      </c>
      <c r="V2760" s="1394">
        <f t="shared" si="780"/>
        <v>0</v>
      </c>
      <c r="W2760" s="1394"/>
    </row>
    <row r="2761" spans="2:23" ht="30" customHeight="1">
      <c r="B2761" s="1407"/>
      <c r="C2761" s="1455" t="s">
        <v>254</v>
      </c>
      <c r="D2761" s="103">
        <v>-1</v>
      </c>
      <c r="E2761" s="103">
        <f>VLOOKUP(C2761,Sheet1!$I$7:$R$41,10,0)</f>
        <v>1</v>
      </c>
      <c r="F2761" s="1413">
        <f>VLOOKUP(C2761,Sheet1!$I$7:$R$41,2,0)</f>
        <v>0.9</v>
      </c>
      <c r="G2761" s="1413"/>
      <c r="H2761" s="1414">
        <f>VLOOKUP(C2761,Sheet1!$I$7:$R$41,3,0)</f>
        <v>0.6</v>
      </c>
      <c r="I2761" s="1406">
        <f t="shared" si="789"/>
        <v>-0.54</v>
      </c>
      <c r="Q2761" s="1394">
        <f>IFERROR(VLOOKUP(M2761,#REF!,3,0),0)</f>
        <v>0</v>
      </c>
      <c r="R2761" s="1394">
        <f t="shared" si="786"/>
        <v>0</v>
      </c>
      <c r="S2761" s="1394">
        <f>IFERROR(VLOOKUP(M2761,#REF!,6,0),0)</f>
        <v>0</v>
      </c>
      <c r="T2761" s="1394">
        <f t="shared" si="779"/>
        <v>0</v>
      </c>
      <c r="U2761" s="1394">
        <f>IFERROR(VLOOKUP(M2761,#REF!,5,0),0)</f>
        <v>0</v>
      </c>
      <c r="V2761" s="1394">
        <f t="shared" si="780"/>
        <v>0</v>
      </c>
      <c r="W2761" s="1394"/>
    </row>
    <row r="2762" spans="2:23" ht="30" customHeight="1">
      <c r="B2762" s="1407"/>
      <c r="C2762" s="1455" t="s">
        <v>253</v>
      </c>
      <c r="D2762" s="103">
        <v>-1</v>
      </c>
      <c r="E2762" s="103">
        <f>VLOOKUP(C2762,Sheet1!$I$7:$R$41,10,0)</f>
        <v>4</v>
      </c>
      <c r="F2762" s="1413">
        <f>VLOOKUP(C2762,Sheet1!$I$7:$R$41,2,0)</f>
        <v>1</v>
      </c>
      <c r="G2762" s="1413"/>
      <c r="H2762" s="1414">
        <f>VLOOKUP(C2762,Sheet1!$I$7:$R$41,3,0)</f>
        <v>0.6</v>
      </c>
      <c r="I2762" s="1406">
        <f t="shared" si="789"/>
        <v>-2.4</v>
      </c>
      <c r="Q2762" s="1394">
        <f>IFERROR(VLOOKUP(M2762,#REF!,3,0),0)</f>
        <v>0</v>
      </c>
      <c r="R2762" s="1394">
        <f t="shared" si="786"/>
        <v>0</v>
      </c>
      <c r="S2762" s="1394">
        <f>IFERROR(VLOOKUP(M2762,#REF!,6,0),0)</f>
        <v>0</v>
      </c>
      <c r="T2762" s="1394">
        <f t="shared" si="779"/>
        <v>0</v>
      </c>
      <c r="U2762" s="1394">
        <f>IFERROR(VLOOKUP(M2762,#REF!,5,0),0)</f>
        <v>0</v>
      </c>
      <c r="V2762" s="1394">
        <f t="shared" si="780"/>
        <v>0</v>
      </c>
      <c r="W2762" s="1394"/>
    </row>
    <row r="2763" spans="2:23" ht="30" customHeight="1">
      <c r="B2763" s="1407"/>
      <c r="C2763" s="1455" t="s">
        <v>372</v>
      </c>
      <c r="D2763" s="103">
        <v>-1</v>
      </c>
      <c r="E2763" s="103">
        <f>VLOOKUP(C2763,Sheet1!$I$7:$R$41,10,0)</f>
        <v>4</v>
      </c>
      <c r="F2763" s="1413">
        <f>VLOOKUP(C2763,Sheet1!$I$7:$R$41,2,0)</f>
        <v>0.6</v>
      </c>
      <c r="G2763" s="1413"/>
      <c r="H2763" s="1414">
        <f>VLOOKUP(C2763,Sheet1!$I$7:$R$41,3,0)</f>
        <v>0.6</v>
      </c>
      <c r="I2763" s="1406">
        <f t="shared" si="789"/>
        <v>-1.44</v>
      </c>
      <c r="Q2763" s="1394">
        <f>IFERROR(VLOOKUP(M2763,#REF!,3,0),0)</f>
        <v>0</v>
      </c>
      <c r="R2763" s="1394">
        <f t="shared" si="786"/>
        <v>0</v>
      </c>
      <c r="S2763" s="1394">
        <f>IFERROR(VLOOKUP(M2763,#REF!,6,0),0)</f>
        <v>0</v>
      </c>
      <c r="T2763" s="1394">
        <f t="shared" si="779"/>
        <v>0</v>
      </c>
      <c r="U2763" s="1394">
        <f>IFERROR(VLOOKUP(M2763,#REF!,5,0),0)</f>
        <v>0</v>
      </c>
      <c r="V2763" s="1394">
        <f t="shared" si="780"/>
        <v>0</v>
      </c>
      <c r="W2763" s="1394"/>
    </row>
    <row r="2764" spans="2:23" ht="30" customHeight="1">
      <c r="B2764" s="1407"/>
      <c r="C2764" s="1455" t="s">
        <v>257</v>
      </c>
      <c r="D2764" s="103">
        <v>-1</v>
      </c>
      <c r="E2764" s="103">
        <f>VLOOKUP(C2764,Sheet1!$I$7:$R$41,10,0)</f>
        <v>16</v>
      </c>
      <c r="F2764" s="1413">
        <f>VLOOKUP(C2764,Sheet1!$I$7:$R$41,2,0)</f>
        <v>0.9</v>
      </c>
      <c r="G2764" s="1413"/>
      <c r="H2764" s="1414">
        <f>VLOOKUP(C2764,Sheet1!$I$7:$R$41,3,0)</f>
        <v>0.75</v>
      </c>
      <c r="I2764" s="1406">
        <f t="shared" si="789"/>
        <v>-10.8</v>
      </c>
      <c r="Q2764" s="1394">
        <f>IFERROR(VLOOKUP(M2764,#REF!,3,0),0)</f>
        <v>0</v>
      </c>
      <c r="R2764" s="1394">
        <f t="shared" si="786"/>
        <v>0</v>
      </c>
      <c r="S2764" s="1394">
        <f>IFERROR(VLOOKUP(M2764,#REF!,6,0),0)</f>
        <v>0</v>
      </c>
      <c r="T2764" s="1394">
        <f t="shared" si="779"/>
        <v>0</v>
      </c>
      <c r="U2764" s="1394">
        <f>IFERROR(VLOOKUP(M2764,#REF!,5,0),0)</f>
        <v>0</v>
      </c>
      <c r="V2764" s="1394">
        <f t="shared" si="780"/>
        <v>0</v>
      </c>
      <c r="W2764" s="1394"/>
    </row>
    <row r="2765" spans="2:23" ht="30" customHeight="1">
      <c r="B2765" s="1407"/>
      <c r="C2765" s="1455" t="s">
        <v>5520</v>
      </c>
      <c r="D2765" s="103">
        <v>-1</v>
      </c>
      <c r="E2765" s="103">
        <f>VLOOKUP(C2765,Sheet1!$I$7:$R$41,10,0)</f>
        <v>2</v>
      </c>
      <c r="F2765" s="1413">
        <f>VLOOKUP(C2765,Sheet1!$I$7:$R$41,2,0)</f>
        <v>0.9</v>
      </c>
      <c r="G2765" s="1413"/>
      <c r="H2765" s="1414">
        <f>VLOOKUP(C2765,Sheet1!$I$7:$R$41,3,0)</f>
        <v>0.75</v>
      </c>
      <c r="I2765" s="1406">
        <f t="shared" si="789"/>
        <v>-1.35</v>
      </c>
      <c r="Q2765" s="1394">
        <f>IFERROR(VLOOKUP(M2765,#REF!,3,0),0)</f>
        <v>0</v>
      </c>
      <c r="R2765" s="1394">
        <f t="shared" si="786"/>
        <v>0</v>
      </c>
      <c r="S2765" s="1394">
        <f>IFERROR(VLOOKUP(M2765,#REF!,6,0),0)</f>
        <v>0</v>
      </c>
      <c r="T2765" s="1394">
        <f t="shared" ref="T2765:T2828" si="790">R2765-S2765</f>
        <v>0</v>
      </c>
      <c r="U2765" s="1394">
        <f>IFERROR(VLOOKUP(M2765,#REF!,5,0),0)</f>
        <v>0</v>
      </c>
      <c r="V2765" s="1394">
        <f t="shared" ref="V2765:V2828" si="791">O2765-U2765</f>
        <v>0</v>
      </c>
      <c r="W2765" s="1394"/>
    </row>
    <row r="2766" spans="2:23" ht="30" customHeight="1">
      <c r="B2766" s="1407"/>
      <c r="C2766" s="1455"/>
      <c r="D2766" s="103"/>
      <c r="E2766" s="103"/>
      <c r="F2766" s="1413"/>
      <c r="G2766" s="1413"/>
      <c r="H2766" s="1414"/>
      <c r="I2766" s="1406">
        <f t="shared" ref="I2766" si="792">PRODUCT(D2766:H2766)</f>
        <v>0</v>
      </c>
      <c r="Q2766" s="1394">
        <f>IFERROR(VLOOKUP(M2766,#REF!,3,0),0)</f>
        <v>0</v>
      </c>
      <c r="R2766" s="1394">
        <f t="shared" si="786"/>
        <v>0</v>
      </c>
      <c r="S2766" s="1394">
        <f>IFERROR(VLOOKUP(M2766,#REF!,6,0),0)</f>
        <v>0</v>
      </c>
      <c r="T2766" s="1394">
        <f t="shared" si="790"/>
        <v>0</v>
      </c>
      <c r="U2766" s="1394">
        <f>IFERROR(VLOOKUP(M2766,#REF!,5,0),0)</f>
        <v>0</v>
      </c>
      <c r="V2766" s="1394">
        <f t="shared" si="791"/>
        <v>0</v>
      </c>
      <c r="W2766" s="1394"/>
    </row>
    <row r="2767" spans="2:23" s="1394" customFormat="1" ht="30" customHeight="1">
      <c r="B2767" s="1421"/>
      <c r="C2767" s="1422" t="s">
        <v>270</v>
      </c>
      <c r="D2767" s="1389"/>
      <c r="E2767" s="1389"/>
      <c r="F2767" s="1423"/>
      <c r="G2767" s="1423"/>
      <c r="H2767" s="1424"/>
      <c r="I2767" s="1425">
        <f>J2768-J2767</f>
        <v>0.705600000000004</v>
      </c>
      <c r="J2767" s="1394">
        <f>SUM(I2739:I2766)</f>
        <v>1043.2944</v>
      </c>
      <c r="M2767" s="1426"/>
      <c r="Q2767" s="1394">
        <f>IFERROR(VLOOKUP(M2767,#REF!,3,0),0)</f>
        <v>0</v>
      </c>
      <c r="R2767" s="1394">
        <f t="shared" si="786"/>
        <v>0</v>
      </c>
      <c r="S2767" s="1394">
        <f>IFERROR(VLOOKUP(M2767,#REF!,6,0),0)</f>
        <v>0</v>
      </c>
      <c r="T2767" s="1394">
        <f t="shared" si="790"/>
        <v>0</v>
      </c>
      <c r="U2767" s="1394">
        <f>IFERROR(VLOOKUP(M2767,#REF!,5,0),0)</f>
        <v>0</v>
      </c>
      <c r="V2767" s="1394">
        <f t="shared" si="791"/>
        <v>0</v>
      </c>
    </row>
    <row r="2768" spans="2:23" s="1394" customFormat="1" ht="30" customHeight="1">
      <c r="B2768" s="1421"/>
      <c r="C2768" s="1457" t="s">
        <v>404</v>
      </c>
      <c r="D2768" s="1389"/>
      <c r="E2768" s="1389"/>
      <c r="F2768" s="1423"/>
      <c r="G2768" s="1423"/>
      <c r="H2768" s="1424"/>
      <c r="I2768" s="1427">
        <f>+J2768</f>
        <v>1044</v>
      </c>
      <c r="J2768" s="1394">
        <f>ROUNDUP(J2767,0)</f>
        <v>1044</v>
      </c>
      <c r="M2768" s="1426"/>
      <c r="Q2768" s="1394">
        <f>IFERROR(VLOOKUP(M2768,#REF!,3,0),0)</f>
        <v>0</v>
      </c>
      <c r="R2768" s="1394">
        <f t="shared" si="786"/>
        <v>0</v>
      </c>
      <c r="S2768" s="1394">
        <f>IFERROR(VLOOKUP(M2768,#REF!,6,0),0)</f>
        <v>0</v>
      </c>
      <c r="T2768" s="1394">
        <f t="shared" si="790"/>
        <v>0</v>
      </c>
      <c r="U2768" s="1394">
        <f>IFERROR(VLOOKUP(M2768,#REF!,5,0),0)</f>
        <v>0</v>
      </c>
      <c r="V2768" s="1394">
        <f t="shared" si="791"/>
        <v>0</v>
      </c>
    </row>
    <row r="2769" spans="1:26" s="1394" customFormat="1" ht="30" customHeight="1">
      <c r="B2769" s="1421"/>
      <c r="C2769" s="1422"/>
      <c r="D2769" s="1389"/>
      <c r="E2769" s="1389"/>
      <c r="F2769" s="1423"/>
      <c r="G2769" s="1428" t="s">
        <v>11</v>
      </c>
      <c r="H2769" s="1429">
        <f>I2768</f>
        <v>1044</v>
      </c>
      <c r="I2769" s="1427" t="s">
        <v>26</v>
      </c>
      <c r="M2769" s="1426"/>
      <c r="Q2769" s="1394">
        <f>IFERROR(VLOOKUP(M2769,#REF!,3,0),0)</f>
        <v>0</v>
      </c>
      <c r="R2769" s="1394">
        <f t="shared" si="786"/>
        <v>0</v>
      </c>
      <c r="S2769" s="1394">
        <f>IFERROR(VLOOKUP(M2769,#REF!,6,0),0)</f>
        <v>0</v>
      </c>
      <c r="T2769" s="1394">
        <f t="shared" si="790"/>
        <v>0</v>
      </c>
      <c r="U2769" s="1394">
        <f>IFERROR(VLOOKUP(M2769,#REF!,5,0),0)</f>
        <v>0</v>
      </c>
      <c r="V2769" s="1394">
        <f t="shared" si="791"/>
        <v>0</v>
      </c>
    </row>
    <row r="2770" spans="1:26" ht="30" customHeight="1">
      <c r="A2770" s="1397"/>
      <c r="B2770" s="1407"/>
      <c r="C2770" s="1412" t="s">
        <v>405</v>
      </c>
      <c r="D2770" s="103"/>
      <c r="E2770" s="1414">
        <f>H2737</f>
        <v>2884</v>
      </c>
      <c r="F2770" s="1413"/>
      <c r="G2770" s="1483" t="s">
        <v>11</v>
      </c>
      <c r="H2770" s="1478">
        <f>+H2769+H2737</f>
        <v>3928</v>
      </c>
      <c r="I2770" s="1479" t="s">
        <v>26</v>
      </c>
      <c r="K2770" s="1397">
        <f>E2770+H2769</f>
        <v>3928</v>
      </c>
      <c r="L2770" s="1397"/>
      <c r="M2770" s="1394" t="str">
        <f>A2537</f>
        <v>Plastering in C.M. 1:5, 12 mm tk.</v>
      </c>
      <c r="N2770" s="1394">
        <f>B2537</f>
        <v>33</v>
      </c>
      <c r="O2770" s="1394">
        <f>H2770</f>
        <v>3928</v>
      </c>
      <c r="P2770" s="1394" t="str">
        <f>I2770</f>
        <v>Sqm</v>
      </c>
      <c r="Q2770" s="1394">
        <f>IFERROR(VLOOKUP(M2770,#REF!,3,0),0)</f>
        <v>0</v>
      </c>
      <c r="R2770" s="1394">
        <f t="shared" si="786"/>
        <v>0</v>
      </c>
      <c r="S2770" s="1394">
        <f>IFERROR(VLOOKUP(M2770,#REF!,6,0),0)</f>
        <v>0</v>
      </c>
      <c r="T2770" s="1394">
        <f t="shared" si="790"/>
        <v>0</v>
      </c>
      <c r="U2770" s="1394">
        <f>IFERROR(VLOOKUP(M2770,#REF!,5,0),0)</f>
        <v>0</v>
      </c>
      <c r="V2770" s="1394">
        <f t="shared" si="791"/>
        <v>3928</v>
      </c>
      <c r="W2770" s="1394"/>
      <c r="Z2770" s="1394"/>
    </row>
    <row r="2771" spans="1:26" ht="64.5" customHeight="1">
      <c r="A2771" s="110" t="s">
        <v>406</v>
      </c>
      <c r="B2771" s="1513">
        <v>34</v>
      </c>
      <c r="C2771" s="1678" t="e">
        <f>VLOOKUP(A2771,#REF!,2,0)</f>
        <v>#REF!</v>
      </c>
      <c r="D2771" s="1678"/>
      <c r="E2771" s="1678"/>
      <c r="F2771" s="1678"/>
      <c r="G2771" s="1678"/>
      <c r="H2771" s="1678"/>
      <c r="I2771" s="1406"/>
      <c r="Q2771" s="1394">
        <f>IFERROR(VLOOKUP(M2771,#REF!,3,0),0)</f>
        <v>0</v>
      </c>
      <c r="R2771" s="1394">
        <f t="shared" si="786"/>
        <v>0</v>
      </c>
      <c r="S2771" s="1394">
        <f>IFERROR(VLOOKUP(M2771,#REF!,6,0),0)</f>
        <v>0</v>
      </c>
      <c r="T2771" s="1394">
        <f t="shared" si="790"/>
        <v>0</v>
      </c>
      <c r="U2771" s="1394">
        <f>IFERROR(VLOOKUP(M2771,#REF!,5,0),0)</f>
        <v>0</v>
      </c>
      <c r="V2771" s="1394">
        <f t="shared" si="791"/>
        <v>0</v>
      </c>
      <c r="W2771" s="1394"/>
      <c r="X2771" s="1397"/>
    </row>
    <row r="2772" spans="1:26" ht="30" customHeight="1">
      <c r="B2772" s="1405"/>
      <c r="C2772" s="1455" t="s">
        <v>50</v>
      </c>
      <c r="D2772" s="103">
        <v>1</v>
      </c>
      <c r="E2772" s="103">
        <f>E2092</f>
        <v>6</v>
      </c>
      <c r="F2772" s="1413">
        <v>2.4</v>
      </c>
      <c r="G2772" s="1413"/>
      <c r="H2772" s="1414">
        <v>0.75</v>
      </c>
      <c r="I2772" s="1406">
        <f>PRODUCT(D2772:H2772)</f>
        <v>10.799999999999999</v>
      </c>
      <c r="Q2772" s="1394">
        <f>IFERROR(VLOOKUP(M2772,#REF!,3,0),0)</f>
        <v>0</v>
      </c>
      <c r="R2772" s="1394">
        <f t="shared" si="786"/>
        <v>0</v>
      </c>
      <c r="S2772" s="1394">
        <f>IFERROR(VLOOKUP(M2772,#REF!,6,0),0)</f>
        <v>0</v>
      </c>
      <c r="T2772" s="1394">
        <f t="shared" si="790"/>
        <v>0</v>
      </c>
      <c r="U2772" s="1394">
        <f>IFERROR(VLOOKUP(M2772,#REF!,5,0),0)</f>
        <v>0</v>
      </c>
      <c r="V2772" s="1394">
        <f t="shared" si="791"/>
        <v>0</v>
      </c>
      <c r="W2772" s="1394"/>
    </row>
    <row r="2773" spans="1:26" s="1394" customFormat="1" ht="30" customHeight="1">
      <c r="B2773" s="1421"/>
      <c r="C2773" s="1422" t="s">
        <v>270</v>
      </c>
      <c r="D2773" s="1389"/>
      <c r="E2773" s="1389"/>
      <c r="F2773" s="1423"/>
      <c r="G2773" s="1423"/>
      <c r="H2773" s="1424"/>
      <c r="I2773" s="1425">
        <f>J2774-J2773</f>
        <v>0.20000000000000107</v>
      </c>
      <c r="J2773" s="1394">
        <f>SUM(I2772:I2772)</f>
        <v>10.799999999999999</v>
      </c>
      <c r="M2773" s="1426"/>
      <c r="Q2773" s="1394">
        <f>IFERROR(VLOOKUP(M2773,#REF!,3,0),0)</f>
        <v>0</v>
      </c>
      <c r="R2773" s="1394">
        <f t="shared" si="786"/>
        <v>0</v>
      </c>
      <c r="S2773" s="1394">
        <f>IFERROR(VLOOKUP(M2773,#REF!,6,0),0)</f>
        <v>0</v>
      </c>
      <c r="T2773" s="1394">
        <f t="shared" si="790"/>
        <v>0</v>
      </c>
      <c r="U2773" s="1394">
        <f>IFERROR(VLOOKUP(M2773,#REF!,5,0),0)</f>
        <v>0</v>
      </c>
      <c r="V2773" s="1394">
        <f t="shared" si="791"/>
        <v>0</v>
      </c>
    </row>
    <row r="2774" spans="1:26" s="1394" customFormat="1" ht="30" customHeight="1">
      <c r="B2774" s="1421"/>
      <c r="C2774" s="1457"/>
      <c r="D2774" s="1389"/>
      <c r="E2774" s="1389"/>
      <c r="F2774" s="1423"/>
      <c r="G2774" s="1423"/>
      <c r="H2774" s="1424"/>
      <c r="I2774" s="1427">
        <f>+J2774</f>
        <v>11</v>
      </c>
      <c r="J2774" s="1394">
        <f>ROUNDUP(J2773,0)</f>
        <v>11</v>
      </c>
      <c r="M2774" s="1426"/>
      <c r="Q2774" s="1394">
        <f>IFERROR(VLOOKUP(M2774,#REF!,3,0),0)</f>
        <v>0</v>
      </c>
      <c r="R2774" s="1394">
        <f t="shared" si="786"/>
        <v>0</v>
      </c>
      <c r="S2774" s="1394">
        <f>IFERROR(VLOOKUP(M2774,#REF!,6,0),0)</f>
        <v>0</v>
      </c>
      <c r="T2774" s="1394">
        <f t="shared" si="790"/>
        <v>0</v>
      </c>
      <c r="U2774" s="1394">
        <f>IFERROR(VLOOKUP(M2774,#REF!,5,0),0)</f>
        <v>0</v>
      </c>
      <c r="V2774" s="1394">
        <f t="shared" si="791"/>
        <v>0</v>
      </c>
    </row>
    <row r="2775" spans="1:26" s="1394" customFormat="1" ht="30" customHeight="1">
      <c r="B2775" s="1421"/>
      <c r="C2775" s="1422"/>
      <c r="D2775" s="1389"/>
      <c r="E2775" s="1389"/>
      <c r="F2775" s="1423"/>
      <c r="G2775" s="1428" t="s">
        <v>11</v>
      </c>
      <c r="H2775" s="1429">
        <f>I2774</f>
        <v>11</v>
      </c>
      <c r="I2775" s="1427" t="s">
        <v>26</v>
      </c>
      <c r="M2775" s="1426"/>
      <c r="Q2775" s="1394">
        <f>IFERROR(VLOOKUP(M2775,#REF!,3,0),0)</f>
        <v>0</v>
      </c>
      <c r="R2775" s="1394">
        <f t="shared" si="786"/>
        <v>0</v>
      </c>
      <c r="S2775" s="1394">
        <f>IFERROR(VLOOKUP(M2775,#REF!,6,0),0)</f>
        <v>0</v>
      </c>
      <c r="T2775" s="1394">
        <f t="shared" si="790"/>
        <v>0</v>
      </c>
      <c r="U2775" s="1394">
        <f>IFERROR(VLOOKUP(M2775,#REF!,5,0),0)</f>
        <v>0</v>
      </c>
      <c r="V2775" s="1394">
        <f t="shared" si="791"/>
        <v>0</v>
      </c>
    </row>
    <row r="2776" spans="1:26" ht="30" customHeight="1">
      <c r="B2776" s="1407"/>
      <c r="C2776" s="1455"/>
      <c r="D2776" s="103"/>
      <c r="E2776" s="103"/>
      <c r="F2776" s="1413"/>
      <c r="G2776" s="1413"/>
      <c r="H2776" s="1414"/>
      <c r="I2776" s="1406"/>
      <c r="Q2776" s="1394">
        <f>IFERROR(VLOOKUP(M2776,#REF!,3,0),0)</f>
        <v>0</v>
      </c>
      <c r="R2776" s="1394">
        <f t="shared" si="786"/>
        <v>0</v>
      </c>
      <c r="S2776" s="1394">
        <f>IFERROR(VLOOKUP(M2776,#REF!,6,0),0)</f>
        <v>0</v>
      </c>
      <c r="T2776" s="1394">
        <f t="shared" si="790"/>
        <v>0</v>
      </c>
      <c r="U2776" s="1394">
        <f>IFERROR(VLOOKUP(M2776,#REF!,5,0),0)</f>
        <v>0</v>
      </c>
      <c r="V2776" s="1394">
        <f t="shared" si="791"/>
        <v>0</v>
      </c>
      <c r="W2776" s="1394"/>
    </row>
    <row r="2777" spans="1:26" ht="69.75" customHeight="1">
      <c r="A2777" s="110" t="s">
        <v>407</v>
      </c>
      <c r="B2777" s="1513">
        <v>35</v>
      </c>
      <c r="C2777" s="1678" t="e">
        <f>VLOOKUP(A2777,#REF!,2,0)</f>
        <v>#REF!</v>
      </c>
      <c r="D2777" s="1678"/>
      <c r="E2777" s="1678"/>
      <c r="F2777" s="1678"/>
      <c r="G2777" s="1678"/>
      <c r="H2777" s="1678"/>
      <c r="I2777" s="1406"/>
      <c r="Q2777" s="1394">
        <f>IFERROR(VLOOKUP(M2777,#REF!,3,0),0)</f>
        <v>0</v>
      </c>
      <c r="R2777" s="1394">
        <f t="shared" si="786"/>
        <v>0</v>
      </c>
      <c r="S2777" s="1394">
        <f>IFERROR(VLOOKUP(M2777,#REF!,6,0),0)</f>
        <v>0</v>
      </c>
      <c r="T2777" s="1394">
        <f t="shared" si="790"/>
        <v>0</v>
      </c>
      <c r="U2777" s="1394">
        <f>IFERROR(VLOOKUP(M2777,#REF!,5,0),0)</f>
        <v>0</v>
      </c>
      <c r="V2777" s="1394">
        <f t="shared" si="791"/>
        <v>0</v>
      </c>
      <c r="W2777" s="1394"/>
      <c r="X2777" s="1397"/>
    </row>
    <row r="2778" spans="1:26" ht="30" customHeight="1">
      <c r="B2778" s="1407">
        <f>B611</f>
        <v>0</v>
      </c>
      <c r="C2778" s="1678" t="e">
        <f>C611</f>
        <v>#REF!</v>
      </c>
      <c r="D2778" s="1678"/>
      <c r="E2778" s="1678"/>
      <c r="F2778" s="1678"/>
      <c r="G2778" s="1678"/>
      <c r="H2778" s="1678"/>
      <c r="I2778" s="1406"/>
      <c r="O2778" s="1395"/>
      <c r="Q2778" s="1394">
        <f>IFERROR(VLOOKUP(M2778,#REF!,3,0),0)</f>
        <v>0</v>
      </c>
      <c r="R2778" s="1394">
        <f t="shared" si="786"/>
        <v>0</v>
      </c>
      <c r="S2778" s="1394">
        <f>IFERROR(VLOOKUP(M2778,#REF!,6,0),0)</f>
        <v>0</v>
      </c>
      <c r="T2778" s="1394">
        <f t="shared" si="790"/>
        <v>0</v>
      </c>
      <c r="U2778" s="1394">
        <f>IFERROR(VLOOKUP(M2778,#REF!,5,0),0)</f>
        <v>0</v>
      </c>
      <c r="V2778" s="1394">
        <f t="shared" si="791"/>
        <v>0</v>
      </c>
      <c r="W2778" s="1394"/>
      <c r="X2778" s="1397"/>
    </row>
    <row r="2779" spans="1:26" ht="30" customHeight="1">
      <c r="B2779" s="1407"/>
      <c r="C2779" s="1412" t="s">
        <v>408</v>
      </c>
      <c r="D2779" s="1516"/>
      <c r="E2779" s="1516"/>
      <c r="F2779" s="1516"/>
      <c r="G2779" s="1517"/>
      <c r="H2779" s="1516"/>
      <c r="I2779" s="1406"/>
      <c r="O2779" s="1395"/>
      <c r="Q2779" s="1394">
        <f>IFERROR(VLOOKUP(M2779,#REF!,3,0),0)</f>
        <v>0</v>
      </c>
      <c r="R2779" s="1394">
        <f t="shared" si="786"/>
        <v>0</v>
      </c>
      <c r="S2779" s="1394">
        <f>IFERROR(VLOOKUP(M2779,#REF!,6,0),0)</f>
        <v>0</v>
      </c>
      <c r="T2779" s="1394">
        <f t="shared" si="790"/>
        <v>0</v>
      </c>
      <c r="U2779" s="1394">
        <f>IFERROR(VLOOKUP(M2779,#REF!,5,0),0)</f>
        <v>0</v>
      </c>
      <c r="V2779" s="1394">
        <f t="shared" si="791"/>
        <v>0</v>
      </c>
      <c r="W2779" s="1394"/>
      <c r="X2779" s="1397"/>
    </row>
    <row r="2780" spans="1:26" ht="30" customHeight="1">
      <c r="B2780" s="1405">
        <f t="shared" ref="B2780:H2781" si="793">B664</f>
        <v>0</v>
      </c>
      <c r="C2780" s="1415" t="str">
        <f t="shared" si="793"/>
        <v>Roof beam</v>
      </c>
      <c r="D2780" s="1409">
        <f t="shared" si="793"/>
        <v>0</v>
      </c>
      <c r="E2780" s="1409">
        <f t="shared" si="793"/>
        <v>0</v>
      </c>
      <c r="F2780" s="1410">
        <f t="shared" si="793"/>
        <v>0</v>
      </c>
      <c r="G2780" s="1410">
        <f t="shared" si="793"/>
        <v>0</v>
      </c>
      <c r="H2780" s="1411">
        <f t="shared" si="793"/>
        <v>0</v>
      </c>
      <c r="I2780" s="1471">
        <f t="shared" ref="I2780:I2862" si="794">PRODUCT(D2780:H2780)</f>
        <v>0</v>
      </c>
      <c r="Q2780" s="1394">
        <f>IFERROR(VLOOKUP(M2780,#REF!,3,0),0)</f>
        <v>0</v>
      </c>
      <c r="R2780" s="1394">
        <f t="shared" si="786"/>
        <v>0</v>
      </c>
      <c r="S2780" s="1394">
        <f>IFERROR(VLOOKUP(M2780,#REF!,6,0),0)</f>
        <v>0</v>
      </c>
      <c r="T2780" s="1394">
        <f t="shared" si="790"/>
        <v>0</v>
      </c>
      <c r="U2780" s="1394">
        <f>IFERROR(VLOOKUP(M2780,#REF!,5,0),0)</f>
        <v>0</v>
      </c>
      <c r="V2780" s="1394">
        <f t="shared" si="791"/>
        <v>0</v>
      </c>
      <c r="W2780" s="1394"/>
    </row>
    <row r="2781" spans="1:26" ht="30" customHeight="1">
      <c r="B2781" s="1405">
        <f t="shared" si="793"/>
        <v>0</v>
      </c>
      <c r="C2781" s="1415" t="str">
        <f t="shared" si="793"/>
        <v>Horizontal beam</v>
      </c>
      <c r="D2781" s="1409">
        <f t="shared" si="793"/>
        <v>0</v>
      </c>
      <c r="E2781" s="1409">
        <f t="shared" si="793"/>
        <v>0</v>
      </c>
      <c r="F2781" s="1410">
        <f t="shared" si="793"/>
        <v>0</v>
      </c>
      <c r="G2781" s="1410">
        <f t="shared" si="793"/>
        <v>0</v>
      </c>
      <c r="H2781" s="1411">
        <f t="shared" si="793"/>
        <v>0</v>
      </c>
      <c r="I2781" s="1471">
        <f t="shared" si="794"/>
        <v>0</v>
      </c>
      <c r="Q2781" s="1394">
        <f>IFERROR(VLOOKUP(M2781,#REF!,3,0),0)</f>
        <v>0</v>
      </c>
      <c r="R2781" s="1394">
        <f t="shared" si="786"/>
        <v>0</v>
      </c>
      <c r="S2781" s="1394">
        <f>IFERROR(VLOOKUP(M2781,#REF!,6,0),0)</f>
        <v>0</v>
      </c>
      <c r="T2781" s="1394">
        <f t="shared" si="790"/>
        <v>0</v>
      </c>
      <c r="U2781" s="1394">
        <f>IFERROR(VLOOKUP(M2781,#REF!,5,0),0)</f>
        <v>0</v>
      </c>
      <c r="V2781" s="1394">
        <f t="shared" si="791"/>
        <v>0</v>
      </c>
      <c r="W2781" s="1394"/>
    </row>
    <row r="2782" spans="1:26" ht="30" customHeight="1">
      <c r="B2782" s="1405">
        <f t="shared" ref="B2782:C2809" si="795">B666</f>
        <v>0</v>
      </c>
      <c r="C2782" s="1408" t="str">
        <f t="shared" si="795"/>
        <v>D1 to F1 &amp; D2 to F2</v>
      </c>
      <c r="D2782" s="1409">
        <f t="shared" ref="D2782:D2808" si="796">D666*2</f>
        <v>2</v>
      </c>
      <c r="E2782" s="1409">
        <f t="shared" ref="E2782:F2809" si="797">E666</f>
        <v>2</v>
      </c>
      <c r="F2782" s="1410">
        <f t="shared" si="797"/>
        <v>3.6549999999999998</v>
      </c>
      <c r="G2782" s="1410"/>
      <c r="H2782" s="1411">
        <f t="shared" ref="H2782:H2808" si="798">H666-0.125</f>
        <v>0.255</v>
      </c>
      <c r="I2782" s="1471">
        <f>PRODUCT(D2782:H2782)</f>
        <v>3.7281</v>
      </c>
      <c r="L2782" s="1413"/>
      <c r="M2782" s="1474"/>
      <c r="Q2782" s="1394">
        <f>IFERROR(VLOOKUP(M2782,#REF!,3,0),0)</f>
        <v>0</v>
      </c>
      <c r="R2782" s="1394">
        <f t="shared" si="786"/>
        <v>0</v>
      </c>
      <c r="S2782" s="1394">
        <f>IFERROR(VLOOKUP(M2782,#REF!,6,0),0)</f>
        <v>0</v>
      </c>
      <c r="T2782" s="1394">
        <f t="shared" si="790"/>
        <v>0</v>
      </c>
      <c r="U2782" s="1394">
        <f>IFERROR(VLOOKUP(M2782,#REF!,5,0),0)</f>
        <v>0</v>
      </c>
      <c r="V2782" s="1394">
        <f t="shared" si="791"/>
        <v>0</v>
      </c>
      <c r="W2782" s="1394"/>
    </row>
    <row r="2783" spans="1:26" ht="30" customHeight="1">
      <c r="B2783" s="1405">
        <f t="shared" si="795"/>
        <v>0</v>
      </c>
      <c r="C2783" s="1408" t="str">
        <f t="shared" si="795"/>
        <v>A1 to B1 , A5 to B5 , A6 to B6 &amp; A7 to B7</v>
      </c>
      <c r="D2783" s="1409">
        <f t="shared" si="796"/>
        <v>2</v>
      </c>
      <c r="E2783" s="1409">
        <f t="shared" si="797"/>
        <v>4</v>
      </c>
      <c r="F2783" s="1410">
        <f t="shared" si="797"/>
        <v>4.2300000000000004</v>
      </c>
      <c r="G2783" s="1410"/>
      <c r="H2783" s="1411">
        <f t="shared" si="798"/>
        <v>0.255</v>
      </c>
      <c r="I2783" s="1471">
        <f t="shared" si="794"/>
        <v>8.6292000000000009</v>
      </c>
      <c r="L2783" s="1413"/>
      <c r="M2783" s="1474"/>
      <c r="Q2783" s="1394">
        <f>IFERROR(VLOOKUP(M2783,#REF!,3,0),0)</f>
        <v>0</v>
      </c>
      <c r="R2783" s="1394">
        <f t="shared" si="786"/>
        <v>0</v>
      </c>
      <c r="S2783" s="1394">
        <f>IFERROR(VLOOKUP(M2783,#REF!,6,0),0)</f>
        <v>0</v>
      </c>
      <c r="T2783" s="1394">
        <f t="shared" si="790"/>
        <v>0</v>
      </c>
      <c r="U2783" s="1394">
        <f>IFERROR(VLOOKUP(M2783,#REF!,5,0),0)</f>
        <v>0</v>
      </c>
      <c r="V2783" s="1394">
        <f t="shared" si="791"/>
        <v>0</v>
      </c>
      <c r="W2783" s="1394"/>
    </row>
    <row r="2784" spans="1:26" ht="30" customHeight="1">
      <c r="B2784" s="1405">
        <f t="shared" si="795"/>
        <v>0</v>
      </c>
      <c r="C2784" s="1408" t="str">
        <f t="shared" si="795"/>
        <v>A8 to H8</v>
      </c>
      <c r="D2784" s="1409">
        <f t="shared" si="796"/>
        <v>2</v>
      </c>
      <c r="E2784" s="1409">
        <f t="shared" si="797"/>
        <v>1</v>
      </c>
      <c r="F2784" s="1410">
        <f t="shared" si="797"/>
        <v>18.575000000000003</v>
      </c>
      <c r="G2784" s="1410"/>
      <c r="H2784" s="1411">
        <f t="shared" si="798"/>
        <v>0.255</v>
      </c>
      <c r="I2784" s="1471">
        <f t="shared" si="794"/>
        <v>9.4732500000000019</v>
      </c>
      <c r="L2784" s="1413"/>
      <c r="M2784" s="1474"/>
      <c r="Q2784" s="1394">
        <f>IFERROR(VLOOKUP(M2784,#REF!,3,0),0)</f>
        <v>0</v>
      </c>
      <c r="R2784" s="1394">
        <f t="shared" si="786"/>
        <v>0</v>
      </c>
      <c r="S2784" s="1394">
        <f>IFERROR(VLOOKUP(M2784,#REF!,6,0),0)</f>
        <v>0</v>
      </c>
      <c r="T2784" s="1394">
        <f t="shared" si="790"/>
        <v>0</v>
      </c>
      <c r="U2784" s="1394">
        <f>IFERROR(VLOOKUP(M2784,#REF!,5,0),0)</f>
        <v>0</v>
      </c>
      <c r="V2784" s="1394">
        <f t="shared" si="791"/>
        <v>0</v>
      </c>
      <c r="W2784" s="1394"/>
    </row>
    <row r="2785" spans="2:23" ht="30" customHeight="1">
      <c r="B2785" s="1405">
        <f t="shared" si="795"/>
        <v>0</v>
      </c>
      <c r="C2785" s="1408" t="str">
        <f t="shared" si="795"/>
        <v>B5 to G5</v>
      </c>
      <c r="D2785" s="1409">
        <f t="shared" si="796"/>
        <v>2</v>
      </c>
      <c r="E2785" s="1409">
        <f t="shared" si="797"/>
        <v>1</v>
      </c>
      <c r="F2785" s="1410">
        <f t="shared" si="797"/>
        <v>10.35</v>
      </c>
      <c r="G2785" s="1410"/>
      <c r="H2785" s="1411">
        <f t="shared" si="798"/>
        <v>0.255</v>
      </c>
      <c r="I2785" s="1471">
        <f t="shared" si="794"/>
        <v>5.2785000000000002</v>
      </c>
      <c r="L2785" s="1413"/>
      <c r="M2785" s="1474"/>
      <c r="Q2785" s="1394">
        <f>IFERROR(VLOOKUP(M2785,#REF!,3,0),0)</f>
        <v>0</v>
      </c>
      <c r="R2785" s="1394">
        <f t="shared" si="786"/>
        <v>0</v>
      </c>
      <c r="S2785" s="1394">
        <f>IFERROR(VLOOKUP(M2785,#REF!,6,0),0)</f>
        <v>0</v>
      </c>
      <c r="T2785" s="1394">
        <f t="shared" si="790"/>
        <v>0</v>
      </c>
      <c r="U2785" s="1394">
        <f>IFERROR(VLOOKUP(M2785,#REF!,5,0),0)</f>
        <v>0</v>
      </c>
      <c r="V2785" s="1394">
        <f t="shared" si="791"/>
        <v>0</v>
      </c>
      <c r="W2785" s="1394"/>
    </row>
    <row r="2786" spans="2:23" ht="30" customHeight="1">
      <c r="B2786" s="1405">
        <f t="shared" si="795"/>
        <v>0</v>
      </c>
      <c r="C2786" s="1408" t="str">
        <f t="shared" si="795"/>
        <v>B3 to G3</v>
      </c>
      <c r="D2786" s="1409">
        <f t="shared" si="796"/>
        <v>2</v>
      </c>
      <c r="E2786" s="1409">
        <f t="shared" si="797"/>
        <v>1</v>
      </c>
      <c r="F2786" s="1410">
        <f t="shared" si="797"/>
        <v>10.35</v>
      </c>
      <c r="G2786" s="1410"/>
      <c r="H2786" s="1411">
        <f t="shared" si="798"/>
        <v>0.32500000000000001</v>
      </c>
      <c r="I2786" s="1471">
        <f t="shared" si="794"/>
        <v>6.7275</v>
      </c>
      <c r="L2786" s="1413"/>
      <c r="M2786" s="1474"/>
      <c r="Q2786" s="1394">
        <f>IFERROR(VLOOKUP(M2786,#REF!,3,0),0)</f>
        <v>0</v>
      </c>
      <c r="R2786" s="1394">
        <f t="shared" si="786"/>
        <v>0</v>
      </c>
      <c r="S2786" s="1394">
        <f>IFERROR(VLOOKUP(M2786,#REF!,6,0),0)</f>
        <v>0</v>
      </c>
      <c r="T2786" s="1394">
        <f t="shared" si="790"/>
        <v>0</v>
      </c>
      <c r="U2786" s="1394">
        <f>IFERROR(VLOOKUP(M2786,#REF!,5,0),0)</f>
        <v>0</v>
      </c>
      <c r="V2786" s="1394">
        <f t="shared" si="791"/>
        <v>0</v>
      </c>
      <c r="W2786" s="1394"/>
    </row>
    <row r="2787" spans="2:23" ht="30" customHeight="1">
      <c r="B2787" s="1405">
        <f t="shared" si="795"/>
        <v>0</v>
      </c>
      <c r="C2787" s="1408" t="str">
        <f t="shared" si="795"/>
        <v>B7 to G7</v>
      </c>
      <c r="D2787" s="1409">
        <f t="shared" si="796"/>
        <v>2</v>
      </c>
      <c r="E2787" s="1409">
        <f t="shared" si="797"/>
        <v>1</v>
      </c>
      <c r="F2787" s="1410">
        <f t="shared" si="797"/>
        <v>10.35</v>
      </c>
      <c r="G2787" s="1410"/>
      <c r="H2787" s="1411">
        <f t="shared" si="798"/>
        <v>0.47499999999999998</v>
      </c>
      <c r="I2787" s="1471">
        <f t="shared" si="794"/>
        <v>9.8324999999999996</v>
      </c>
      <c r="L2787" s="1413"/>
      <c r="M2787" s="1474"/>
      <c r="Q2787" s="1394">
        <f>IFERROR(VLOOKUP(M2787,#REF!,3,0),0)</f>
        <v>0</v>
      </c>
      <c r="R2787" s="1394">
        <f t="shared" si="786"/>
        <v>0</v>
      </c>
      <c r="S2787" s="1394">
        <f>IFERROR(VLOOKUP(M2787,#REF!,6,0),0)</f>
        <v>0</v>
      </c>
      <c r="T2787" s="1394">
        <f t="shared" si="790"/>
        <v>0</v>
      </c>
      <c r="U2787" s="1394">
        <f>IFERROR(VLOOKUP(M2787,#REF!,5,0),0)</f>
        <v>0</v>
      </c>
      <c r="V2787" s="1394">
        <f t="shared" si="791"/>
        <v>0</v>
      </c>
      <c r="W2787" s="1394"/>
    </row>
    <row r="2788" spans="2:23" ht="30" customHeight="1">
      <c r="B2788" s="1405">
        <f t="shared" si="795"/>
        <v>0</v>
      </c>
      <c r="C2788" s="1408" t="str">
        <f t="shared" si="795"/>
        <v>B4 to F4</v>
      </c>
      <c r="D2788" s="1409">
        <f t="shared" si="796"/>
        <v>2</v>
      </c>
      <c r="E2788" s="1409">
        <f t="shared" si="797"/>
        <v>1</v>
      </c>
      <c r="F2788" s="1410">
        <f t="shared" si="797"/>
        <v>6.8849999999999998</v>
      </c>
      <c r="G2788" s="1410"/>
      <c r="H2788" s="1411">
        <f t="shared" si="798"/>
        <v>0.255</v>
      </c>
      <c r="I2788" s="1471">
        <f t="shared" si="794"/>
        <v>3.5113499999999997</v>
      </c>
      <c r="L2788" s="1413"/>
      <c r="M2788" s="1474"/>
      <c r="Q2788" s="1394">
        <f>IFERROR(VLOOKUP(M2788,#REF!,3,0),0)</f>
        <v>0</v>
      </c>
      <c r="R2788" s="1394">
        <f t="shared" si="786"/>
        <v>0</v>
      </c>
      <c r="S2788" s="1394">
        <f>IFERROR(VLOOKUP(M2788,#REF!,6,0),0)</f>
        <v>0</v>
      </c>
      <c r="T2788" s="1394">
        <f t="shared" si="790"/>
        <v>0</v>
      </c>
      <c r="U2788" s="1394">
        <f>IFERROR(VLOOKUP(M2788,#REF!,5,0),0)</f>
        <v>0</v>
      </c>
      <c r="V2788" s="1394">
        <f t="shared" si="791"/>
        <v>0</v>
      </c>
      <c r="W2788" s="1394"/>
    </row>
    <row r="2789" spans="2:23" ht="30" customHeight="1">
      <c r="B2789" s="1405">
        <f t="shared" si="795"/>
        <v>0</v>
      </c>
      <c r="C2789" s="1408" t="str">
        <f t="shared" si="795"/>
        <v>OTS Cross Beam</v>
      </c>
      <c r="D2789" s="1409">
        <f t="shared" si="796"/>
        <v>2</v>
      </c>
      <c r="E2789" s="1409">
        <f t="shared" si="797"/>
        <v>1</v>
      </c>
      <c r="F2789" s="1410">
        <f t="shared" si="797"/>
        <v>4.2300000000000004</v>
      </c>
      <c r="G2789" s="1410"/>
      <c r="H2789" s="1411">
        <f t="shared" si="798"/>
        <v>0.255</v>
      </c>
      <c r="I2789" s="1471">
        <f t="shared" si="794"/>
        <v>2.1573000000000002</v>
      </c>
      <c r="L2789" s="1413"/>
      <c r="M2789" s="1474"/>
      <c r="Q2789" s="1394">
        <f>IFERROR(VLOOKUP(M2789,#REF!,3,0),0)</f>
        <v>0</v>
      </c>
      <c r="R2789" s="1394">
        <f t="shared" si="786"/>
        <v>0</v>
      </c>
      <c r="S2789" s="1394">
        <f>IFERROR(VLOOKUP(M2789,#REF!,6,0),0)</f>
        <v>0</v>
      </c>
      <c r="T2789" s="1394">
        <f t="shared" si="790"/>
        <v>0</v>
      </c>
      <c r="U2789" s="1394">
        <f>IFERROR(VLOOKUP(M2789,#REF!,5,0),0)</f>
        <v>0</v>
      </c>
      <c r="V2789" s="1394">
        <f t="shared" si="791"/>
        <v>0</v>
      </c>
      <c r="W2789" s="1394"/>
    </row>
    <row r="2790" spans="2:23" ht="30" customHeight="1">
      <c r="B2790" s="1405">
        <f t="shared" si="795"/>
        <v>0</v>
      </c>
      <c r="C2790" s="1408" t="str">
        <f t="shared" si="795"/>
        <v>OTS Cross Beam</v>
      </c>
      <c r="D2790" s="1409">
        <f t="shared" si="796"/>
        <v>2</v>
      </c>
      <c r="E2790" s="1409">
        <f t="shared" si="797"/>
        <v>1</v>
      </c>
      <c r="F2790" s="1410">
        <f t="shared" si="797"/>
        <v>3.9950000000000001</v>
      </c>
      <c r="G2790" s="1410"/>
      <c r="H2790" s="1411">
        <f t="shared" si="798"/>
        <v>0.255</v>
      </c>
      <c r="I2790" s="1471">
        <f t="shared" si="794"/>
        <v>2.0374500000000002</v>
      </c>
      <c r="L2790" s="1413"/>
      <c r="M2790" s="1474"/>
      <c r="Q2790" s="1394">
        <f>IFERROR(VLOOKUP(M2790,#REF!,3,0),0)</f>
        <v>0</v>
      </c>
      <c r="R2790" s="1394">
        <f t="shared" si="786"/>
        <v>0</v>
      </c>
      <c r="S2790" s="1394">
        <f>IFERROR(VLOOKUP(M2790,#REF!,6,0),0)</f>
        <v>0</v>
      </c>
      <c r="T2790" s="1394">
        <f t="shared" si="790"/>
        <v>0</v>
      </c>
      <c r="U2790" s="1394">
        <f>IFERROR(VLOOKUP(M2790,#REF!,5,0),0)</f>
        <v>0</v>
      </c>
      <c r="V2790" s="1394">
        <f t="shared" si="791"/>
        <v>0</v>
      </c>
      <c r="W2790" s="1394"/>
    </row>
    <row r="2791" spans="2:23" ht="30" customHeight="1">
      <c r="B2791" s="1405">
        <f t="shared" si="795"/>
        <v>0</v>
      </c>
      <c r="C2791" s="1408" t="str">
        <f t="shared" si="795"/>
        <v>G3 to H3 , G5 to H5 , G6 to H6 &amp; G7 to H7</v>
      </c>
      <c r="D2791" s="1409">
        <f t="shared" si="796"/>
        <v>2</v>
      </c>
      <c r="E2791" s="1409">
        <f t="shared" si="797"/>
        <v>4</v>
      </c>
      <c r="F2791" s="1410">
        <f t="shared" si="797"/>
        <v>3.9950000000000001</v>
      </c>
      <c r="G2791" s="1410"/>
      <c r="H2791" s="1411">
        <f t="shared" si="798"/>
        <v>0.255</v>
      </c>
      <c r="I2791" s="1471">
        <f t="shared" si="794"/>
        <v>8.1498000000000008</v>
      </c>
      <c r="L2791" s="1413"/>
      <c r="M2791" s="1474"/>
      <c r="Q2791" s="1394">
        <f>IFERROR(VLOOKUP(M2791,#REF!,3,0),0)</f>
        <v>0</v>
      </c>
      <c r="R2791" s="1394">
        <f t="shared" si="786"/>
        <v>0</v>
      </c>
      <c r="S2791" s="1394">
        <f>IFERROR(VLOOKUP(M2791,#REF!,6,0),0)</f>
        <v>0</v>
      </c>
      <c r="T2791" s="1394">
        <f t="shared" si="790"/>
        <v>0</v>
      </c>
      <c r="U2791" s="1394">
        <f>IFERROR(VLOOKUP(M2791,#REF!,5,0),0)</f>
        <v>0</v>
      </c>
      <c r="V2791" s="1394">
        <f t="shared" si="791"/>
        <v>0</v>
      </c>
      <c r="W2791" s="1394"/>
    </row>
    <row r="2792" spans="2:23" ht="30" customHeight="1">
      <c r="B2792" s="1405">
        <f t="shared" si="795"/>
        <v>0</v>
      </c>
      <c r="C2792" s="1408" t="str">
        <f t="shared" si="795"/>
        <v>Cross beams</v>
      </c>
      <c r="D2792" s="1409">
        <f t="shared" si="796"/>
        <v>2</v>
      </c>
      <c r="E2792" s="1409">
        <f t="shared" si="797"/>
        <v>1</v>
      </c>
      <c r="F2792" s="1410">
        <f t="shared" si="797"/>
        <v>1.7350000000000001</v>
      </c>
      <c r="G2792" s="1410"/>
      <c r="H2792" s="1411">
        <f t="shared" si="798"/>
        <v>0.255</v>
      </c>
      <c r="I2792" s="1471">
        <f t="shared" si="794"/>
        <v>0.88485000000000003</v>
      </c>
      <c r="L2792" s="1413"/>
      <c r="M2792" s="1474"/>
      <c r="Q2792" s="1394">
        <f>IFERROR(VLOOKUP(M2792,#REF!,3,0),0)</f>
        <v>0</v>
      </c>
      <c r="R2792" s="1394">
        <f t="shared" si="786"/>
        <v>0</v>
      </c>
      <c r="S2792" s="1394">
        <f>IFERROR(VLOOKUP(M2792,#REF!,6,0),0)</f>
        <v>0</v>
      </c>
      <c r="T2792" s="1394">
        <f t="shared" si="790"/>
        <v>0</v>
      </c>
      <c r="U2792" s="1394">
        <f>IFERROR(VLOOKUP(M2792,#REF!,5,0),0)</f>
        <v>0</v>
      </c>
      <c r="V2792" s="1394">
        <f t="shared" si="791"/>
        <v>0</v>
      </c>
      <c r="W2792" s="1394"/>
    </row>
    <row r="2793" spans="2:23" ht="30" customHeight="1">
      <c r="B2793" s="1405">
        <f t="shared" si="795"/>
        <v>0</v>
      </c>
      <c r="C2793" s="1408" t="str">
        <f t="shared" si="795"/>
        <v>Cross beams</v>
      </c>
      <c r="D2793" s="1409">
        <f t="shared" si="796"/>
        <v>2</v>
      </c>
      <c r="E2793" s="1409">
        <f t="shared" si="797"/>
        <v>1</v>
      </c>
      <c r="F2793" s="1410">
        <f t="shared" si="797"/>
        <v>3.7650000000000001</v>
      </c>
      <c r="G2793" s="1410"/>
      <c r="H2793" s="1411">
        <f t="shared" si="798"/>
        <v>0.255</v>
      </c>
      <c r="I2793" s="1471">
        <f t="shared" si="794"/>
        <v>1.92015</v>
      </c>
      <c r="L2793" s="1413"/>
      <c r="M2793" s="1474"/>
      <c r="Q2793" s="1394">
        <f>IFERROR(VLOOKUP(M2793,#REF!,3,0),0)</f>
        <v>0</v>
      </c>
      <c r="R2793" s="1394">
        <f t="shared" si="786"/>
        <v>0</v>
      </c>
      <c r="S2793" s="1394">
        <f>IFERROR(VLOOKUP(M2793,#REF!,6,0),0)</f>
        <v>0</v>
      </c>
      <c r="T2793" s="1394">
        <f t="shared" si="790"/>
        <v>0</v>
      </c>
      <c r="U2793" s="1394">
        <f>IFERROR(VLOOKUP(M2793,#REF!,5,0),0)</f>
        <v>0</v>
      </c>
      <c r="V2793" s="1394">
        <f t="shared" si="791"/>
        <v>0</v>
      </c>
      <c r="W2793" s="1394"/>
    </row>
    <row r="2794" spans="2:23" ht="30" customHeight="1">
      <c r="B2794" s="1405">
        <f t="shared" si="795"/>
        <v>0</v>
      </c>
      <c r="C2794" s="1415" t="str">
        <f t="shared" si="795"/>
        <v>Vertical beam</v>
      </c>
      <c r="D2794" s="1409">
        <f t="shared" si="796"/>
        <v>0</v>
      </c>
      <c r="E2794" s="1409">
        <f t="shared" si="797"/>
        <v>0</v>
      </c>
      <c r="F2794" s="1410">
        <f t="shared" si="797"/>
        <v>0</v>
      </c>
      <c r="G2794" s="1410"/>
      <c r="H2794" s="1411">
        <f t="shared" si="798"/>
        <v>-0.125</v>
      </c>
      <c r="I2794" s="1471">
        <f t="shared" si="794"/>
        <v>0</v>
      </c>
      <c r="L2794" s="1413"/>
      <c r="M2794" s="1474"/>
      <c r="Q2794" s="1394">
        <f>IFERROR(VLOOKUP(M2794,#REF!,3,0),0)</f>
        <v>0</v>
      </c>
      <c r="R2794" s="1394">
        <f t="shared" si="786"/>
        <v>0</v>
      </c>
      <c r="S2794" s="1394">
        <f>IFERROR(VLOOKUP(M2794,#REF!,6,0),0)</f>
        <v>0</v>
      </c>
      <c r="T2794" s="1394">
        <f t="shared" si="790"/>
        <v>0</v>
      </c>
      <c r="U2794" s="1394">
        <f>IFERROR(VLOOKUP(M2794,#REF!,5,0),0)</f>
        <v>0</v>
      </c>
      <c r="V2794" s="1394">
        <f t="shared" si="791"/>
        <v>0</v>
      </c>
      <c r="W2794" s="1394"/>
    </row>
    <row r="2795" spans="2:23" ht="30" customHeight="1">
      <c r="B2795" s="1405">
        <f t="shared" si="795"/>
        <v>0</v>
      </c>
      <c r="C2795" s="1408" t="str">
        <f t="shared" si="795"/>
        <v>A3 To A5</v>
      </c>
      <c r="D2795" s="1409">
        <f t="shared" si="796"/>
        <v>2</v>
      </c>
      <c r="E2795" s="1409">
        <f t="shared" si="797"/>
        <v>1</v>
      </c>
      <c r="F2795" s="1410">
        <f t="shared" si="797"/>
        <v>5.5299999999999994</v>
      </c>
      <c r="G2795" s="1410"/>
      <c r="H2795" s="1411">
        <f t="shared" si="798"/>
        <v>0.32500000000000001</v>
      </c>
      <c r="I2795" s="1471">
        <f t="shared" si="794"/>
        <v>3.5944999999999996</v>
      </c>
      <c r="L2795" s="1413"/>
      <c r="M2795" s="1474"/>
      <c r="Q2795" s="1394">
        <f>IFERROR(VLOOKUP(M2795,#REF!,3,0),0)</f>
        <v>0</v>
      </c>
      <c r="R2795" s="1394">
        <f t="shared" si="786"/>
        <v>0</v>
      </c>
      <c r="S2795" s="1394">
        <f>IFERROR(VLOOKUP(M2795,#REF!,6,0),0)</f>
        <v>0</v>
      </c>
      <c r="T2795" s="1394">
        <f t="shared" si="790"/>
        <v>0</v>
      </c>
      <c r="U2795" s="1394">
        <f>IFERROR(VLOOKUP(M2795,#REF!,5,0),0)</f>
        <v>0</v>
      </c>
      <c r="V2795" s="1394">
        <f t="shared" si="791"/>
        <v>0</v>
      </c>
      <c r="W2795" s="1394"/>
    </row>
    <row r="2796" spans="2:23" ht="30" customHeight="1">
      <c r="B2796" s="1405">
        <f t="shared" si="795"/>
        <v>0</v>
      </c>
      <c r="C2796" s="1408" t="str">
        <f t="shared" si="795"/>
        <v>A5 To A8</v>
      </c>
      <c r="D2796" s="1409">
        <f t="shared" si="796"/>
        <v>2</v>
      </c>
      <c r="E2796" s="1409">
        <f t="shared" si="797"/>
        <v>1</v>
      </c>
      <c r="F2796" s="1410">
        <f t="shared" si="797"/>
        <v>10.120000000000001</v>
      </c>
      <c r="G2796" s="1410"/>
      <c r="H2796" s="1411">
        <f t="shared" si="798"/>
        <v>0.255</v>
      </c>
      <c r="I2796" s="1471">
        <f t="shared" si="794"/>
        <v>5.1612000000000009</v>
      </c>
      <c r="L2796" s="1413"/>
      <c r="M2796" s="1474"/>
      <c r="Q2796" s="1394">
        <f>IFERROR(VLOOKUP(M2796,#REF!,3,0),0)</f>
        <v>0</v>
      </c>
      <c r="R2796" s="1394">
        <f t="shared" si="786"/>
        <v>0</v>
      </c>
      <c r="S2796" s="1394">
        <f>IFERROR(VLOOKUP(M2796,#REF!,6,0),0)</f>
        <v>0</v>
      </c>
      <c r="T2796" s="1394">
        <f t="shared" si="790"/>
        <v>0</v>
      </c>
      <c r="U2796" s="1394">
        <f>IFERROR(VLOOKUP(M2796,#REF!,5,0),0)</f>
        <v>0</v>
      </c>
      <c r="V2796" s="1394">
        <f t="shared" si="791"/>
        <v>0</v>
      </c>
      <c r="W2796" s="1394"/>
    </row>
    <row r="2797" spans="2:23" ht="30" customHeight="1">
      <c r="B2797" s="1405">
        <f t="shared" si="795"/>
        <v>0</v>
      </c>
      <c r="C2797" s="1408" t="str">
        <f t="shared" si="795"/>
        <v>B3 To B8</v>
      </c>
      <c r="D2797" s="1409">
        <f t="shared" si="796"/>
        <v>2</v>
      </c>
      <c r="E2797" s="1409">
        <f t="shared" si="797"/>
        <v>1</v>
      </c>
      <c r="F2797" s="1410">
        <f t="shared" si="797"/>
        <v>15.649999999999999</v>
      </c>
      <c r="G2797" s="1410"/>
      <c r="H2797" s="1411">
        <f t="shared" si="798"/>
        <v>0.255</v>
      </c>
      <c r="I2797" s="1471">
        <f t="shared" si="794"/>
        <v>7.9814999999999996</v>
      </c>
      <c r="L2797" s="1413"/>
      <c r="M2797" s="1474"/>
      <c r="Q2797" s="1394">
        <f>IFERROR(VLOOKUP(M2797,#REF!,3,0),0)</f>
        <v>0</v>
      </c>
      <c r="R2797" s="1394">
        <f t="shared" si="786"/>
        <v>0</v>
      </c>
      <c r="S2797" s="1394">
        <f>IFERROR(VLOOKUP(M2797,#REF!,6,0),0)</f>
        <v>0</v>
      </c>
      <c r="T2797" s="1394">
        <f t="shared" si="790"/>
        <v>0</v>
      </c>
      <c r="U2797" s="1394">
        <f>IFERROR(VLOOKUP(M2797,#REF!,5,0),0)</f>
        <v>0</v>
      </c>
      <c r="V2797" s="1394">
        <f t="shared" si="791"/>
        <v>0</v>
      </c>
      <c r="W2797" s="1394"/>
    </row>
    <row r="2798" spans="2:23" ht="30" customHeight="1">
      <c r="B2798" s="1405">
        <f t="shared" si="795"/>
        <v>0</v>
      </c>
      <c r="C2798" s="1408" t="str">
        <f t="shared" si="795"/>
        <v>Cross beams</v>
      </c>
      <c r="D2798" s="1409">
        <f t="shared" si="796"/>
        <v>2</v>
      </c>
      <c r="E2798" s="1409">
        <f t="shared" si="797"/>
        <v>1</v>
      </c>
      <c r="F2798" s="1410">
        <f t="shared" si="797"/>
        <v>4.13</v>
      </c>
      <c r="G2798" s="1410"/>
      <c r="H2798" s="1411">
        <f t="shared" si="798"/>
        <v>0.255</v>
      </c>
      <c r="I2798" s="1471">
        <f t="shared" si="794"/>
        <v>2.1063000000000001</v>
      </c>
      <c r="L2798" s="1413"/>
      <c r="M2798" s="1474"/>
      <c r="Q2798" s="1394">
        <f>IFERROR(VLOOKUP(M2798,#REF!,3,0),0)</f>
        <v>0</v>
      </c>
      <c r="R2798" s="1394">
        <f t="shared" ref="R2798:R2861" si="799">ROUND(O2798,2)*ROUND(Q2798,2)</f>
        <v>0</v>
      </c>
      <c r="S2798" s="1394">
        <f>IFERROR(VLOOKUP(M2798,#REF!,6,0),0)</f>
        <v>0</v>
      </c>
      <c r="T2798" s="1394">
        <f t="shared" si="790"/>
        <v>0</v>
      </c>
      <c r="U2798" s="1394">
        <f>IFERROR(VLOOKUP(M2798,#REF!,5,0),0)</f>
        <v>0</v>
      </c>
      <c r="V2798" s="1394">
        <f t="shared" si="791"/>
        <v>0</v>
      </c>
      <c r="W2798" s="1394"/>
    </row>
    <row r="2799" spans="2:23" ht="30" customHeight="1">
      <c r="B2799" s="1405">
        <f t="shared" si="795"/>
        <v>0</v>
      </c>
      <c r="C2799" s="1408" t="str">
        <f t="shared" si="795"/>
        <v>Cross beams</v>
      </c>
      <c r="D2799" s="1409">
        <f t="shared" si="796"/>
        <v>2</v>
      </c>
      <c r="E2799" s="1409">
        <f t="shared" si="797"/>
        <v>1</v>
      </c>
      <c r="F2799" s="1410">
        <f t="shared" si="797"/>
        <v>4.13</v>
      </c>
      <c r="G2799" s="1410"/>
      <c r="H2799" s="1411">
        <f t="shared" si="798"/>
        <v>0.32500000000000001</v>
      </c>
      <c r="I2799" s="1471">
        <f t="shared" si="794"/>
        <v>2.6844999999999999</v>
      </c>
      <c r="L2799" s="1413"/>
      <c r="M2799" s="1474"/>
      <c r="Q2799" s="1394">
        <f>IFERROR(VLOOKUP(M2799,#REF!,3,0),0)</f>
        <v>0</v>
      </c>
      <c r="R2799" s="1394">
        <f t="shared" si="799"/>
        <v>0</v>
      </c>
      <c r="S2799" s="1394">
        <f>IFERROR(VLOOKUP(M2799,#REF!,6,0),0)</f>
        <v>0</v>
      </c>
      <c r="T2799" s="1394">
        <f t="shared" si="790"/>
        <v>0</v>
      </c>
      <c r="U2799" s="1394">
        <f>IFERROR(VLOOKUP(M2799,#REF!,5,0),0)</f>
        <v>0</v>
      </c>
      <c r="V2799" s="1394">
        <f t="shared" si="791"/>
        <v>0</v>
      </c>
      <c r="W2799" s="1394"/>
    </row>
    <row r="2800" spans="2:23" ht="30" customHeight="1">
      <c r="B2800" s="1405">
        <f t="shared" si="795"/>
        <v>0</v>
      </c>
      <c r="C2800" s="1408" t="str">
        <f t="shared" si="795"/>
        <v>C4 to C5</v>
      </c>
      <c r="D2800" s="1409">
        <f t="shared" si="796"/>
        <v>2</v>
      </c>
      <c r="E2800" s="1409">
        <f t="shared" si="797"/>
        <v>1</v>
      </c>
      <c r="F2800" s="1410">
        <f t="shared" si="797"/>
        <v>2.5299999999999998</v>
      </c>
      <c r="G2800" s="1410"/>
      <c r="H2800" s="1411">
        <f t="shared" si="798"/>
        <v>0.32500000000000001</v>
      </c>
      <c r="I2800" s="1471">
        <f t="shared" si="794"/>
        <v>1.6444999999999999</v>
      </c>
      <c r="L2800" s="1413"/>
      <c r="M2800" s="1474"/>
      <c r="Q2800" s="1394">
        <f>IFERROR(VLOOKUP(M2800,#REF!,3,0),0)</f>
        <v>0</v>
      </c>
      <c r="R2800" s="1394">
        <f t="shared" si="799"/>
        <v>0</v>
      </c>
      <c r="S2800" s="1394">
        <f>IFERROR(VLOOKUP(M2800,#REF!,6,0),0)</f>
        <v>0</v>
      </c>
      <c r="T2800" s="1394">
        <f t="shared" si="790"/>
        <v>0</v>
      </c>
      <c r="U2800" s="1394">
        <f>IFERROR(VLOOKUP(M2800,#REF!,5,0),0)</f>
        <v>0</v>
      </c>
      <c r="V2800" s="1394">
        <f t="shared" si="791"/>
        <v>0</v>
      </c>
      <c r="W2800" s="1394"/>
    </row>
    <row r="2801" spans="2:24" ht="30" customHeight="1">
      <c r="B2801" s="1405">
        <f t="shared" si="795"/>
        <v>0</v>
      </c>
      <c r="C2801" s="1408" t="str">
        <f t="shared" si="795"/>
        <v xml:space="preserve">C5 to C7 &amp; F5 to F7 </v>
      </c>
      <c r="D2801" s="1409">
        <f t="shared" si="796"/>
        <v>2</v>
      </c>
      <c r="E2801" s="1409">
        <f t="shared" si="797"/>
        <v>2</v>
      </c>
      <c r="F2801" s="1410">
        <f t="shared" si="797"/>
        <v>5.99</v>
      </c>
      <c r="G2801" s="1410"/>
      <c r="H2801" s="1411">
        <f t="shared" si="798"/>
        <v>0.47499999999999998</v>
      </c>
      <c r="I2801" s="1471">
        <f t="shared" si="794"/>
        <v>11.381</v>
      </c>
      <c r="L2801" s="1413"/>
      <c r="M2801" s="1474"/>
      <c r="Q2801" s="1394">
        <f>IFERROR(VLOOKUP(M2801,#REF!,3,0),0)</f>
        <v>0</v>
      </c>
      <c r="R2801" s="1394">
        <f t="shared" si="799"/>
        <v>0</v>
      </c>
      <c r="S2801" s="1394">
        <f>IFERROR(VLOOKUP(M2801,#REF!,6,0),0)</f>
        <v>0</v>
      </c>
      <c r="T2801" s="1394">
        <f t="shared" si="790"/>
        <v>0</v>
      </c>
      <c r="U2801" s="1394">
        <f>IFERROR(VLOOKUP(M2801,#REF!,5,0),0)</f>
        <v>0</v>
      </c>
      <c r="V2801" s="1394">
        <f t="shared" si="791"/>
        <v>0</v>
      </c>
      <c r="W2801" s="1394"/>
    </row>
    <row r="2802" spans="2:24" ht="30" customHeight="1">
      <c r="B2802" s="1405">
        <f t="shared" si="795"/>
        <v>0</v>
      </c>
      <c r="C2802" s="1408" t="str">
        <f t="shared" si="795"/>
        <v>F3 to F5</v>
      </c>
      <c r="D2802" s="1409">
        <f t="shared" si="796"/>
        <v>2</v>
      </c>
      <c r="E2802" s="1409">
        <f t="shared" si="797"/>
        <v>1</v>
      </c>
      <c r="F2802" s="1410">
        <f t="shared" si="797"/>
        <v>5.5299999999999994</v>
      </c>
      <c r="G2802" s="1410"/>
      <c r="H2802" s="1411">
        <f t="shared" si="798"/>
        <v>0.32500000000000001</v>
      </c>
      <c r="I2802" s="1471">
        <f t="shared" si="794"/>
        <v>3.5944999999999996</v>
      </c>
      <c r="L2802" s="1413"/>
      <c r="M2802" s="1474"/>
      <c r="Q2802" s="1394">
        <f>IFERROR(VLOOKUP(M2802,#REF!,3,0),0)</f>
        <v>0</v>
      </c>
      <c r="R2802" s="1394">
        <f t="shared" si="799"/>
        <v>0</v>
      </c>
      <c r="S2802" s="1394">
        <f>IFERROR(VLOOKUP(M2802,#REF!,6,0),0)</f>
        <v>0</v>
      </c>
      <c r="T2802" s="1394">
        <f t="shared" si="790"/>
        <v>0</v>
      </c>
      <c r="U2802" s="1394">
        <f>IFERROR(VLOOKUP(M2802,#REF!,5,0),0)</f>
        <v>0</v>
      </c>
      <c r="V2802" s="1394">
        <f t="shared" si="791"/>
        <v>0</v>
      </c>
      <c r="W2802" s="1394"/>
    </row>
    <row r="2803" spans="2:24" ht="30" customHeight="1">
      <c r="B2803" s="1405">
        <f t="shared" si="795"/>
        <v>0</v>
      </c>
      <c r="C2803" s="1408" t="str">
        <f t="shared" si="795"/>
        <v>E7 to E8</v>
      </c>
      <c r="D2803" s="1409">
        <f t="shared" si="796"/>
        <v>2</v>
      </c>
      <c r="E2803" s="1409">
        <f t="shared" si="797"/>
        <v>1</v>
      </c>
      <c r="F2803" s="1410">
        <f t="shared" si="797"/>
        <v>4.13</v>
      </c>
      <c r="G2803" s="1410"/>
      <c r="H2803" s="1411">
        <f t="shared" si="798"/>
        <v>0.255</v>
      </c>
      <c r="I2803" s="1471">
        <f t="shared" si="794"/>
        <v>2.1063000000000001</v>
      </c>
      <c r="L2803" s="1413"/>
      <c r="M2803" s="1474"/>
      <c r="Q2803" s="1394">
        <f>IFERROR(VLOOKUP(M2803,#REF!,3,0),0)</f>
        <v>0</v>
      </c>
      <c r="R2803" s="1394">
        <f t="shared" si="799"/>
        <v>0</v>
      </c>
      <c r="S2803" s="1394">
        <f>IFERROR(VLOOKUP(M2803,#REF!,6,0),0)</f>
        <v>0</v>
      </c>
      <c r="T2803" s="1394">
        <f t="shared" si="790"/>
        <v>0</v>
      </c>
      <c r="U2803" s="1394">
        <f>IFERROR(VLOOKUP(M2803,#REF!,5,0),0)</f>
        <v>0</v>
      </c>
      <c r="V2803" s="1394">
        <f t="shared" si="791"/>
        <v>0</v>
      </c>
      <c r="W2803" s="1394"/>
    </row>
    <row r="2804" spans="2:24" ht="30" customHeight="1">
      <c r="B2804" s="1405">
        <f t="shared" si="795"/>
        <v>0</v>
      </c>
      <c r="C2804" s="1408" t="str">
        <f t="shared" si="795"/>
        <v>G3 to G7</v>
      </c>
      <c r="D2804" s="1409">
        <f t="shared" si="796"/>
        <v>2</v>
      </c>
      <c r="E2804" s="1409">
        <f t="shared" si="797"/>
        <v>1</v>
      </c>
      <c r="F2804" s="1410">
        <f t="shared" si="797"/>
        <v>11.52</v>
      </c>
      <c r="G2804" s="1410"/>
      <c r="H2804" s="1411">
        <f t="shared" si="798"/>
        <v>0.32500000000000001</v>
      </c>
      <c r="I2804" s="1471">
        <f t="shared" si="794"/>
        <v>7.4879999999999995</v>
      </c>
      <c r="L2804" s="1413"/>
      <c r="M2804" s="1474"/>
      <c r="Q2804" s="1394">
        <f>IFERROR(VLOOKUP(M2804,#REF!,3,0),0)</f>
        <v>0</v>
      </c>
      <c r="R2804" s="1394">
        <f t="shared" si="799"/>
        <v>0</v>
      </c>
      <c r="S2804" s="1394">
        <f>IFERROR(VLOOKUP(M2804,#REF!,6,0),0)</f>
        <v>0</v>
      </c>
      <c r="T2804" s="1394">
        <f t="shared" si="790"/>
        <v>0</v>
      </c>
      <c r="U2804" s="1394">
        <f>IFERROR(VLOOKUP(M2804,#REF!,5,0),0)</f>
        <v>0</v>
      </c>
      <c r="V2804" s="1394">
        <f t="shared" si="791"/>
        <v>0</v>
      </c>
      <c r="W2804" s="1394"/>
    </row>
    <row r="2805" spans="2:24" ht="30" customHeight="1">
      <c r="B2805" s="1405">
        <f t="shared" si="795"/>
        <v>0</v>
      </c>
      <c r="C2805" s="1408" t="str">
        <f t="shared" si="795"/>
        <v>G7 to G8</v>
      </c>
      <c r="D2805" s="1409">
        <f t="shared" si="796"/>
        <v>2</v>
      </c>
      <c r="E2805" s="1409">
        <f t="shared" si="797"/>
        <v>1</v>
      </c>
      <c r="F2805" s="1410">
        <f t="shared" si="797"/>
        <v>4.13</v>
      </c>
      <c r="G2805" s="1410"/>
      <c r="H2805" s="1411">
        <f t="shared" si="798"/>
        <v>0.32500000000000001</v>
      </c>
      <c r="I2805" s="1471">
        <f t="shared" si="794"/>
        <v>2.6844999999999999</v>
      </c>
      <c r="L2805" s="1413"/>
      <c r="M2805" s="1474"/>
      <c r="Q2805" s="1394">
        <f>IFERROR(VLOOKUP(M2805,#REF!,3,0),0)</f>
        <v>0</v>
      </c>
      <c r="R2805" s="1394">
        <f t="shared" si="799"/>
        <v>0</v>
      </c>
      <c r="S2805" s="1394">
        <f>IFERROR(VLOOKUP(M2805,#REF!,6,0),0)</f>
        <v>0</v>
      </c>
      <c r="T2805" s="1394">
        <f t="shared" si="790"/>
        <v>0</v>
      </c>
      <c r="U2805" s="1394">
        <f>IFERROR(VLOOKUP(M2805,#REF!,5,0),0)</f>
        <v>0</v>
      </c>
      <c r="V2805" s="1394">
        <f t="shared" si="791"/>
        <v>0</v>
      </c>
      <c r="W2805" s="1394"/>
    </row>
    <row r="2806" spans="2:24" ht="30" customHeight="1">
      <c r="B2806" s="1405">
        <f t="shared" si="795"/>
        <v>0</v>
      </c>
      <c r="C2806" s="1408" t="str">
        <f t="shared" si="795"/>
        <v>H3 To H8</v>
      </c>
      <c r="D2806" s="1409">
        <f t="shared" si="796"/>
        <v>2</v>
      </c>
      <c r="E2806" s="1409">
        <f t="shared" si="797"/>
        <v>1</v>
      </c>
      <c r="F2806" s="1410">
        <f t="shared" si="797"/>
        <v>15.649999999999999</v>
      </c>
      <c r="G2806" s="1410"/>
      <c r="H2806" s="1411">
        <f t="shared" si="798"/>
        <v>0.32500000000000001</v>
      </c>
      <c r="I2806" s="1471">
        <f t="shared" si="794"/>
        <v>10.172499999999999</v>
      </c>
      <c r="L2806" s="1413"/>
      <c r="M2806" s="1474"/>
      <c r="Q2806" s="1394">
        <f>IFERROR(VLOOKUP(M2806,#REF!,3,0),0)</f>
        <v>0</v>
      </c>
      <c r="R2806" s="1394">
        <f t="shared" si="799"/>
        <v>0</v>
      </c>
      <c r="S2806" s="1394">
        <f>IFERROR(VLOOKUP(M2806,#REF!,6,0),0)</f>
        <v>0</v>
      </c>
      <c r="T2806" s="1394">
        <f t="shared" si="790"/>
        <v>0</v>
      </c>
      <c r="U2806" s="1394">
        <f>IFERROR(VLOOKUP(M2806,#REF!,5,0),0)</f>
        <v>0</v>
      </c>
      <c r="V2806" s="1394">
        <f t="shared" si="791"/>
        <v>0</v>
      </c>
      <c r="W2806" s="1394"/>
    </row>
    <row r="2807" spans="2:24" ht="30" customHeight="1">
      <c r="B2807" s="1405">
        <f t="shared" si="795"/>
        <v>0</v>
      </c>
      <c r="C2807" s="1408" t="str">
        <f t="shared" si="795"/>
        <v>D1 to D3 , F1 to F3</v>
      </c>
      <c r="D2807" s="1409">
        <f t="shared" si="796"/>
        <v>2</v>
      </c>
      <c r="E2807" s="1409">
        <f t="shared" si="797"/>
        <v>2</v>
      </c>
      <c r="F2807" s="1410">
        <f t="shared" si="797"/>
        <v>4.6899999999999995</v>
      </c>
      <c r="G2807" s="1410"/>
      <c r="H2807" s="1411">
        <f t="shared" si="798"/>
        <v>0.255</v>
      </c>
      <c r="I2807" s="1471">
        <f t="shared" si="794"/>
        <v>4.7837999999999994</v>
      </c>
      <c r="L2807" s="1413"/>
      <c r="M2807" s="1474"/>
      <c r="Q2807" s="1394">
        <f>IFERROR(VLOOKUP(M2807,#REF!,3,0),0)</f>
        <v>0</v>
      </c>
      <c r="R2807" s="1394">
        <f t="shared" si="799"/>
        <v>0</v>
      </c>
      <c r="S2807" s="1394">
        <f>IFERROR(VLOOKUP(M2807,#REF!,6,0),0)</f>
        <v>0</v>
      </c>
      <c r="T2807" s="1394">
        <f t="shared" si="790"/>
        <v>0</v>
      </c>
      <c r="U2807" s="1394">
        <f>IFERROR(VLOOKUP(M2807,#REF!,5,0),0)</f>
        <v>0</v>
      </c>
      <c r="V2807" s="1394">
        <f t="shared" si="791"/>
        <v>0</v>
      </c>
      <c r="W2807" s="1394"/>
    </row>
    <row r="2808" spans="2:24" ht="30" customHeight="1">
      <c r="B2808" s="1405">
        <f t="shared" si="795"/>
        <v>0</v>
      </c>
      <c r="C2808" s="1408" t="str">
        <f t="shared" si="795"/>
        <v>Cross beams</v>
      </c>
      <c r="D2808" s="1409">
        <f t="shared" si="796"/>
        <v>2</v>
      </c>
      <c r="E2808" s="1409">
        <f t="shared" si="797"/>
        <v>1</v>
      </c>
      <c r="F2808" s="1410">
        <f t="shared" si="797"/>
        <v>2.77</v>
      </c>
      <c r="G2808" s="1410"/>
      <c r="H2808" s="1411">
        <f t="shared" si="798"/>
        <v>0.255</v>
      </c>
      <c r="I2808" s="1471">
        <f t="shared" si="794"/>
        <v>1.4127000000000001</v>
      </c>
      <c r="L2808" s="1413"/>
      <c r="M2808" s="1474"/>
      <c r="Q2808" s="1394">
        <f>IFERROR(VLOOKUP(M2808,#REF!,3,0),0)</f>
        <v>0</v>
      </c>
      <c r="R2808" s="1394">
        <f t="shared" si="799"/>
        <v>0</v>
      </c>
      <c r="S2808" s="1394">
        <f>IFERROR(VLOOKUP(M2808,#REF!,6,0),0)</f>
        <v>0</v>
      </c>
      <c r="T2808" s="1394">
        <f t="shared" si="790"/>
        <v>0</v>
      </c>
      <c r="U2808" s="1394">
        <f>IFERROR(VLOOKUP(M2808,#REF!,5,0),0)</f>
        <v>0</v>
      </c>
      <c r="V2808" s="1394">
        <f t="shared" si="791"/>
        <v>0</v>
      </c>
      <c r="W2808" s="1394"/>
    </row>
    <row r="2809" spans="2:24" ht="30" customHeight="1">
      <c r="B2809" s="1405">
        <f t="shared" si="795"/>
        <v>0</v>
      </c>
      <c r="C2809" s="1408">
        <f t="shared" si="795"/>
        <v>0</v>
      </c>
      <c r="D2809" s="1409">
        <f>D693</f>
        <v>0</v>
      </c>
      <c r="E2809" s="1409">
        <f t="shared" si="797"/>
        <v>0</v>
      </c>
      <c r="F2809" s="1410">
        <f t="shared" si="797"/>
        <v>0</v>
      </c>
      <c r="G2809" s="1410">
        <f>G693</f>
        <v>0</v>
      </c>
      <c r="H2809" s="1411">
        <f>H693</f>
        <v>0</v>
      </c>
      <c r="I2809" s="1471">
        <f t="shared" si="794"/>
        <v>0</v>
      </c>
      <c r="L2809" s="1413"/>
      <c r="M2809" s="1474"/>
      <c r="Q2809" s="1394">
        <f>IFERROR(VLOOKUP(M2809,#REF!,3,0),0)</f>
        <v>0</v>
      </c>
      <c r="R2809" s="1394">
        <f t="shared" si="799"/>
        <v>0</v>
      </c>
      <c r="S2809" s="1394">
        <f>IFERROR(VLOOKUP(M2809,#REF!,6,0),0)</f>
        <v>0</v>
      </c>
      <c r="T2809" s="1394">
        <f t="shared" si="790"/>
        <v>0</v>
      </c>
      <c r="U2809" s="1394">
        <f>IFERROR(VLOOKUP(M2809,#REF!,5,0),0)</f>
        <v>0</v>
      </c>
      <c r="V2809" s="1394">
        <f t="shared" si="791"/>
        <v>0</v>
      </c>
      <c r="W2809" s="1394"/>
    </row>
    <row r="2810" spans="2:24" ht="30" customHeight="1">
      <c r="B2810" s="1407"/>
      <c r="C2810" s="1457" t="s">
        <v>409</v>
      </c>
      <c r="D2810" s="1516"/>
      <c r="E2810" s="1516"/>
      <c r="F2810" s="1516"/>
      <c r="G2810" s="1517"/>
      <c r="H2810" s="1516"/>
      <c r="I2810" s="1406"/>
      <c r="O2810" s="1395"/>
      <c r="Q2810" s="1394">
        <f>IFERROR(VLOOKUP(M2810,#REF!,3,0),0)</f>
        <v>0</v>
      </c>
      <c r="R2810" s="1394">
        <f t="shared" si="799"/>
        <v>0</v>
      </c>
      <c r="S2810" s="1394">
        <f>IFERROR(VLOOKUP(M2810,#REF!,6,0),0)</f>
        <v>0</v>
      </c>
      <c r="T2810" s="1394">
        <f t="shared" si="790"/>
        <v>0</v>
      </c>
      <c r="U2810" s="1394">
        <f>IFERROR(VLOOKUP(M2810,#REF!,5,0),0)</f>
        <v>0</v>
      </c>
      <c r="V2810" s="1394">
        <f t="shared" si="791"/>
        <v>0</v>
      </c>
      <c r="W2810" s="1394"/>
      <c r="X2810" s="1397"/>
    </row>
    <row r="2811" spans="2:24" ht="30" customHeight="1">
      <c r="B2811" s="1405">
        <f t="shared" ref="B2811:B2832" si="800">B695</f>
        <v>0</v>
      </c>
      <c r="C2811" s="1415" t="str">
        <f t="shared" ref="C2811:H2812" si="801">C664</f>
        <v>Roof beam</v>
      </c>
      <c r="D2811" s="1409">
        <f t="shared" si="801"/>
        <v>0</v>
      </c>
      <c r="E2811" s="1409">
        <f t="shared" si="801"/>
        <v>0</v>
      </c>
      <c r="F2811" s="1410">
        <f t="shared" si="801"/>
        <v>0</v>
      </c>
      <c r="G2811" s="1410">
        <f t="shared" si="801"/>
        <v>0</v>
      </c>
      <c r="H2811" s="1411">
        <f t="shared" si="801"/>
        <v>0</v>
      </c>
      <c r="I2811" s="1471">
        <f t="shared" ref="I2811:I2838" si="802">PRODUCT(D2811:H2811)</f>
        <v>0</v>
      </c>
      <c r="Q2811" s="1394">
        <f>IFERROR(VLOOKUP(M2811,#REF!,3,0),0)</f>
        <v>0</v>
      </c>
      <c r="R2811" s="1394">
        <f t="shared" si="799"/>
        <v>0</v>
      </c>
      <c r="S2811" s="1394">
        <f>IFERROR(VLOOKUP(M2811,#REF!,6,0),0)</f>
        <v>0</v>
      </c>
      <c r="T2811" s="1394">
        <f t="shared" si="790"/>
        <v>0</v>
      </c>
      <c r="U2811" s="1394">
        <f>IFERROR(VLOOKUP(M2811,#REF!,5,0),0)</f>
        <v>0</v>
      </c>
      <c r="V2811" s="1394">
        <f t="shared" si="791"/>
        <v>0</v>
      </c>
      <c r="W2811" s="1394"/>
    </row>
    <row r="2812" spans="2:24" ht="30" customHeight="1">
      <c r="B2812" s="1405">
        <f t="shared" si="800"/>
        <v>0</v>
      </c>
      <c r="C2812" s="1408" t="str">
        <f t="shared" si="801"/>
        <v>Horizontal beam</v>
      </c>
      <c r="D2812" s="1409">
        <f t="shared" si="801"/>
        <v>0</v>
      </c>
      <c r="E2812" s="1409">
        <f t="shared" si="801"/>
        <v>0</v>
      </c>
      <c r="F2812" s="1410">
        <f t="shared" si="801"/>
        <v>0</v>
      </c>
      <c r="G2812" s="1410">
        <f t="shared" si="801"/>
        <v>0</v>
      </c>
      <c r="H2812" s="1411">
        <f t="shared" si="801"/>
        <v>0</v>
      </c>
      <c r="I2812" s="1471">
        <f t="shared" si="802"/>
        <v>0</v>
      </c>
      <c r="Q2812" s="1394">
        <f>IFERROR(VLOOKUP(M2812,#REF!,3,0),0)</f>
        <v>0</v>
      </c>
      <c r="R2812" s="1394">
        <f t="shared" si="799"/>
        <v>0</v>
      </c>
      <c r="S2812" s="1394">
        <f>IFERROR(VLOOKUP(M2812,#REF!,6,0),0)</f>
        <v>0</v>
      </c>
      <c r="T2812" s="1394">
        <f t="shared" si="790"/>
        <v>0</v>
      </c>
      <c r="U2812" s="1394">
        <f>IFERROR(VLOOKUP(M2812,#REF!,5,0),0)</f>
        <v>0</v>
      </c>
      <c r="V2812" s="1394">
        <f t="shared" si="791"/>
        <v>0</v>
      </c>
      <c r="W2812" s="1394"/>
    </row>
    <row r="2813" spans="2:24" ht="30" customHeight="1">
      <c r="B2813" s="1405">
        <f t="shared" si="800"/>
        <v>0</v>
      </c>
      <c r="C2813" s="1408" t="str">
        <f t="shared" ref="C2813:G2822" si="803">C666</f>
        <v>D1 to F1 &amp; D2 to F2</v>
      </c>
      <c r="D2813" s="1409">
        <f t="shared" si="803"/>
        <v>1</v>
      </c>
      <c r="E2813" s="1409">
        <f t="shared" si="803"/>
        <v>2</v>
      </c>
      <c r="F2813" s="1410">
        <f t="shared" si="803"/>
        <v>3.6549999999999998</v>
      </c>
      <c r="G2813" s="1410">
        <f t="shared" si="803"/>
        <v>0.23</v>
      </c>
      <c r="H2813" s="1411"/>
      <c r="I2813" s="1471">
        <f t="shared" si="802"/>
        <v>1.6813</v>
      </c>
      <c r="L2813" s="1413"/>
      <c r="M2813" s="1474"/>
      <c r="Q2813" s="1394">
        <f>IFERROR(VLOOKUP(M2813,#REF!,3,0),0)</f>
        <v>0</v>
      </c>
      <c r="R2813" s="1394">
        <f t="shared" si="799"/>
        <v>0</v>
      </c>
      <c r="S2813" s="1394">
        <f>IFERROR(VLOOKUP(M2813,#REF!,6,0),0)</f>
        <v>0</v>
      </c>
      <c r="T2813" s="1394">
        <f t="shared" si="790"/>
        <v>0</v>
      </c>
      <c r="U2813" s="1394">
        <f>IFERROR(VLOOKUP(M2813,#REF!,5,0),0)</f>
        <v>0</v>
      </c>
      <c r="V2813" s="1394">
        <f t="shared" si="791"/>
        <v>0</v>
      </c>
      <c r="W2813" s="1394"/>
    </row>
    <row r="2814" spans="2:24" ht="30" customHeight="1">
      <c r="B2814" s="1405">
        <f t="shared" si="800"/>
        <v>0</v>
      </c>
      <c r="C2814" s="1408" t="str">
        <f t="shared" si="803"/>
        <v>A1 to B1 , A5 to B5 , A6 to B6 &amp; A7 to B7</v>
      </c>
      <c r="D2814" s="1409">
        <f t="shared" si="803"/>
        <v>1</v>
      </c>
      <c r="E2814" s="1409">
        <f t="shared" si="803"/>
        <v>4</v>
      </c>
      <c r="F2814" s="1410">
        <f t="shared" si="803"/>
        <v>4.2300000000000004</v>
      </c>
      <c r="G2814" s="1410">
        <f t="shared" si="803"/>
        <v>0.23</v>
      </c>
      <c r="H2814" s="1411"/>
      <c r="I2814" s="1471">
        <f t="shared" si="802"/>
        <v>3.8916000000000004</v>
      </c>
      <c r="L2814" s="1413"/>
      <c r="M2814" s="1474"/>
      <c r="Q2814" s="1394">
        <f>IFERROR(VLOOKUP(M2814,#REF!,3,0),0)</f>
        <v>0</v>
      </c>
      <c r="R2814" s="1394">
        <f t="shared" si="799"/>
        <v>0</v>
      </c>
      <c r="S2814" s="1394">
        <f>IFERROR(VLOOKUP(M2814,#REF!,6,0),0)</f>
        <v>0</v>
      </c>
      <c r="T2814" s="1394">
        <f t="shared" si="790"/>
        <v>0</v>
      </c>
      <c r="U2814" s="1394">
        <f>IFERROR(VLOOKUP(M2814,#REF!,5,0),0)</f>
        <v>0</v>
      </c>
      <c r="V2814" s="1394">
        <f t="shared" si="791"/>
        <v>0</v>
      </c>
      <c r="W2814" s="1394"/>
    </row>
    <row r="2815" spans="2:24" ht="30" customHeight="1">
      <c r="B2815" s="1405">
        <f t="shared" si="800"/>
        <v>0</v>
      </c>
      <c r="C2815" s="1408" t="str">
        <f t="shared" si="803"/>
        <v>A8 to H8</v>
      </c>
      <c r="D2815" s="1409">
        <f t="shared" si="803"/>
        <v>1</v>
      </c>
      <c r="E2815" s="1409">
        <f t="shared" si="803"/>
        <v>1</v>
      </c>
      <c r="F2815" s="1410">
        <f t="shared" si="803"/>
        <v>18.575000000000003</v>
      </c>
      <c r="G2815" s="1410">
        <f t="shared" si="803"/>
        <v>0.23</v>
      </c>
      <c r="H2815" s="1411"/>
      <c r="I2815" s="1471">
        <f t="shared" si="802"/>
        <v>4.2722500000000005</v>
      </c>
      <c r="L2815" s="1413"/>
      <c r="M2815" s="1474"/>
      <c r="Q2815" s="1394">
        <f>IFERROR(VLOOKUP(M2815,#REF!,3,0),0)</f>
        <v>0</v>
      </c>
      <c r="R2815" s="1394">
        <f t="shared" si="799"/>
        <v>0</v>
      </c>
      <c r="S2815" s="1394">
        <f>IFERROR(VLOOKUP(M2815,#REF!,6,0),0)</f>
        <v>0</v>
      </c>
      <c r="T2815" s="1394">
        <f t="shared" si="790"/>
        <v>0</v>
      </c>
      <c r="U2815" s="1394">
        <f>IFERROR(VLOOKUP(M2815,#REF!,5,0),0)</f>
        <v>0</v>
      </c>
      <c r="V2815" s="1394">
        <f t="shared" si="791"/>
        <v>0</v>
      </c>
      <c r="W2815" s="1394"/>
    </row>
    <row r="2816" spans="2:24" ht="30" customHeight="1">
      <c r="B2816" s="1405">
        <f t="shared" si="800"/>
        <v>0</v>
      </c>
      <c r="C2816" s="1408" t="str">
        <f t="shared" si="803"/>
        <v>B5 to G5</v>
      </c>
      <c r="D2816" s="1409">
        <f t="shared" si="803"/>
        <v>1</v>
      </c>
      <c r="E2816" s="1409">
        <f t="shared" si="803"/>
        <v>1</v>
      </c>
      <c r="F2816" s="1410">
        <f t="shared" si="803"/>
        <v>10.35</v>
      </c>
      <c r="G2816" s="1410">
        <f t="shared" si="803"/>
        <v>0.23</v>
      </c>
      <c r="H2816" s="1411"/>
      <c r="I2816" s="1471">
        <f t="shared" si="802"/>
        <v>2.3805000000000001</v>
      </c>
      <c r="L2816" s="1413"/>
      <c r="M2816" s="1474"/>
      <c r="Q2816" s="1394">
        <f>IFERROR(VLOOKUP(M2816,#REF!,3,0),0)</f>
        <v>0</v>
      </c>
      <c r="R2816" s="1394">
        <f t="shared" si="799"/>
        <v>0</v>
      </c>
      <c r="S2816" s="1394">
        <f>IFERROR(VLOOKUP(M2816,#REF!,6,0),0)</f>
        <v>0</v>
      </c>
      <c r="T2816" s="1394">
        <f t="shared" si="790"/>
        <v>0</v>
      </c>
      <c r="U2816" s="1394">
        <f>IFERROR(VLOOKUP(M2816,#REF!,5,0),0)</f>
        <v>0</v>
      </c>
      <c r="V2816" s="1394">
        <f t="shared" si="791"/>
        <v>0</v>
      </c>
      <c r="W2816" s="1394"/>
    </row>
    <row r="2817" spans="2:23" ht="30" customHeight="1">
      <c r="B2817" s="1405">
        <f t="shared" si="800"/>
        <v>0</v>
      </c>
      <c r="C2817" s="1408" t="str">
        <f t="shared" si="803"/>
        <v>B3 to G3</v>
      </c>
      <c r="D2817" s="1409">
        <f t="shared" si="803"/>
        <v>1</v>
      </c>
      <c r="E2817" s="1409">
        <f t="shared" si="803"/>
        <v>1</v>
      </c>
      <c r="F2817" s="1410">
        <f t="shared" si="803"/>
        <v>10.35</v>
      </c>
      <c r="G2817" s="1410">
        <f t="shared" si="803"/>
        <v>0.23</v>
      </c>
      <c r="H2817" s="1411"/>
      <c r="I2817" s="1471">
        <f t="shared" si="802"/>
        <v>2.3805000000000001</v>
      </c>
      <c r="L2817" s="1413"/>
      <c r="M2817" s="1474"/>
      <c r="Q2817" s="1394">
        <f>IFERROR(VLOOKUP(M2817,#REF!,3,0),0)</f>
        <v>0</v>
      </c>
      <c r="R2817" s="1394">
        <f t="shared" si="799"/>
        <v>0</v>
      </c>
      <c r="S2817" s="1394">
        <f>IFERROR(VLOOKUP(M2817,#REF!,6,0),0)</f>
        <v>0</v>
      </c>
      <c r="T2817" s="1394">
        <f t="shared" si="790"/>
        <v>0</v>
      </c>
      <c r="U2817" s="1394">
        <f>IFERROR(VLOOKUP(M2817,#REF!,5,0),0)</f>
        <v>0</v>
      </c>
      <c r="V2817" s="1394">
        <f t="shared" si="791"/>
        <v>0</v>
      </c>
      <c r="W2817" s="1394"/>
    </row>
    <row r="2818" spans="2:23" ht="30" customHeight="1">
      <c r="B2818" s="1405">
        <f t="shared" si="800"/>
        <v>0</v>
      </c>
      <c r="C2818" s="1408" t="str">
        <f t="shared" si="803"/>
        <v>B7 to G7</v>
      </c>
      <c r="D2818" s="1409">
        <f t="shared" si="803"/>
        <v>1</v>
      </c>
      <c r="E2818" s="1409">
        <f t="shared" si="803"/>
        <v>1</v>
      </c>
      <c r="F2818" s="1410">
        <f t="shared" si="803"/>
        <v>10.35</v>
      </c>
      <c r="G2818" s="1410">
        <f t="shared" si="803"/>
        <v>0.23</v>
      </c>
      <c r="H2818" s="1411"/>
      <c r="I2818" s="1471">
        <f t="shared" si="802"/>
        <v>2.3805000000000001</v>
      </c>
      <c r="L2818" s="1413"/>
      <c r="M2818" s="1474"/>
      <c r="Q2818" s="1394">
        <f>IFERROR(VLOOKUP(M2818,#REF!,3,0),0)</f>
        <v>0</v>
      </c>
      <c r="R2818" s="1394">
        <f t="shared" si="799"/>
        <v>0</v>
      </c>
      <c r="S2818" s="1394">
        <f>IFERROR(VLOOKUP(M2818,#REF!,6,0),0)</f>
        <v>0</v>
      </c>
      <c r="T2818" s="1394">
        <f t="shared" si="790"/>
        <v>0</v>
      </c>
      <c r="U2818" s="1394">
        <f>IFERROR(VLOOKUP(M2818,#REF!,5,0),0)</f>
        <v>0</v>
      </c>
      <c r="V2818" s="1394">
        <f t="shared" si="791"/>
        <v>0</v>
      </c>
      <c r="W2818" s="1394"/>
    </row>
    <row r="2819" spans="2:23" ht="30" customHeight="1">
      <c r="B2819" s="1405">
        <f t="shared" si="800"/>
        <v>0</v>
      </c>
      <c r="C2819" s="1408" t="str">
        <f t="shared" si="803"/>
        <v>B4 to F4</v>
      </c>
      <c r="D2819" s="1409">
        <f t="shared" si="803"/>
        <v>1</v>
      </c>
      <c r="E2819" s="1409">
        <f t="shared" si="803"/>
        <v>1</v>
      </c>
      <c r="F2819" s="1410">
        <f t="shared" si="803"/>
        <v>6.8849999999999998</v>
      </c>
      <c r="G2819" s="1410">
        <f t="shared" si="803"/>
        <v>0.23</v>
      </c>
      <c r="H2819" s="1411"/>
      <c r="I2819" s="1471">
        <f t="shared" si="802"/>
        <v>1.58355</v>
      </c>
      <c r="L2819" s="1413"/>
      <c r="M2819" s="1474"/>
      <c r="Q2819" s="1394">
        <f>IFERROR(VLOOKUP(M2819,#REF!,3,0),0)</f>
        <v>0</v>
      </c>
      <c r="R2819" s="1394">
        <f t="shared" si="799"/>
        <v>0</v>
      </c>
      <c r="S2819" s="1394">
        <f>IFERROR(VLOOKUP(M2819,#REF!,6,0),0)</f>
        <v>0</v>
      </c>
      <c r="T2819" s="1394">
        <f t="shared" si="790"/>
        <v>0</v>
      </c>
      <c r="U2819" s="1394">
        <f>IFERROR(VLOOKUP(M2819,#REF!,5,0),0)</f>
        <v>0</v>
      </c>
      <c r="V2819" s="1394">
        <f t="shared" si="791"/>
        <v>0</v>
      </c>
      <c r="W2819" s="1394"/>
    </row>
    <row r="2820" spans="2:23" ht="30" customHeight="1">
      <c r="B2820" s="1405">
        <f t="shared" si="800"/>
        <v>0</v>
      </c>
      <c r="C2820" s="1408" t="str">
        <f t="shared" si="803"/>
        <v>OTS Cross Beam</v>
      </c>
      <c r="D2820" s="1409">
        <f t="shared" si="803"/>
        <v>1</v>
      </c>
      <c r="E2820" s="1409">
        <f t="shared" si="803"/>
        <v>1</v>
      </c>
      <c r="F2820" s="1410">
        <f t="shared" si="803"/>
        <v>4.2300000000000004</v>
      </c>
      <c r="G2820" s="1410">
        <f t="shared" si="803"/>
        <v>0.23</v>
      </c>
      <c r="H2820" s="1411"/>
      <c r="I2820" s="1471">
        <f t="shared" si="802"/>
        <v>0.9729000000000001</v>
      </c>
      <c r="L2820" s="1413"/>
      <c r="M2820" s="1474"/>
      <c r="Q2820" s="1394">
        <f>IFERROR(VLOOKUP(M2820,#REF!,3,0),0)</f>
        <v>0</v>
      </c>
      <c r="R2820" s="1394">
        <f t="shared" si="799"/>
        <v>0</v>
      </c>
      <c r="S2820" s="1394">
        <f>IFERROR(VLOOKUP(M2820,#REF!,6,0),0)</f>
        <v>0</v>
      </c>
      <c r="T2820" s="1394">
        <f t="shared" si="790"/>
        <v>0</v>
      </c>
      <c r="U2820" s="1394">
        <f>IFERROR(VLOOKUP(M2820,#REF!,5,0),0)</f>
        <v>0</v>
      </c>
      <c r="V2820" s="1394">
        <f t="shared" si="791"/>
        <v>0</v>
      </c>
      <c r="W2820" s="1394"/>
    </row>
    <row r="2821" spans="2:23" ht="30" customHeight="1">
      <c r="B2821" s="1405">
        <f t="shared" si="800"/>
        <v>0</v>
      </c>
      <c r="C2821" s="1408" t="str">
        <f t="shared" si="803"/>
        <v>OTS Cross Beam</v>
      </c>
      <c r="D2821" s="1409">
        <f t="shared" si="803"/>
        <v>1</v>
      </c>
      <c r="E2821" s="1409">
        <f t="shared" si="803"/>
        <v>1</v>
      </c>
      <c r="F2821" s="1410">
        <f t="shared" si="803"/>
        <v>3.9950000000000001</v>
      </c>
      <c r="G2821" s="1410">
        <f t="shared" si="803"/>
        <v>0.23</v>
      </c>
      <c r="H2821" s="1411"/>
      <c r="I2821" s="1471">
        <f t="shared" si="802"/>
        <v>0.91885000000000006</v>
      </c>
      <c r="L2821" s="1413"/>
      <c r="M2821" s="1474"/>
      <c r="Q2821" s="1394">
        <f>IFERROR(VLOOKUP(M2821,#REF!,3,0),0)</f>
        <v>0</v>
      </c>
      <c r="R2821" s="1394">
        <f t="shared" si="799"/>
        <v>0</v>
      </c>
      <c r="S2821" s="1394">
        <f>IFERROR(VLOOKUP(M2821,#REF!,6,0),0)</f>
        <v>0</v>
      </c>
      <c r="T2821" s="1394">
        <f t="shared" si="790"/>
        <v>0</v>
      </c>
      <c r="U2821" s="1394">
        <f>IFERROR(VLOOKUP(M2821,#REF!,5,0),0)</f>
        <v>0</v>
      </c>
      <c r="V2821" s="1394">
        <f t="shared" si="791"/>
        <v>0</v>
      </c>
      <c r="W2821" s="1394"/>
    </row>
    <row r="2822" spans="2:23" ht="30" customHeight="1">
      <c r="B2822" s="1405">
        <f t="shared" si="800"/>
        <v>0</v>
      </c>
      <c r="C2822" s="1408" t="str">
        <f t="shared" si="803"/>
        <v>G3 to H3 , G5 to H5 , G6 to H6 &amp; G7 to H7</v>
      </c>
      <c r="D2822" s="1409">
        <f t="shared" si="803"/>
        <v>1</v>
      </c>
      <c r="E2822" s="1409">
        <f t="shared" si="803"/>
        <v>4</v>
      </c>
      <c r="F2822" s="1410">
        <f t="shared" si="803"/>
        <v>3.9950000000000001</v>
      </c>
      <c r="G2822" s="1410">
        <f t="shared" si="803"/>
        <v>0.23</v>
      </c>
      <c r="H2822" s="1411"/>
      <c r="I2822" s="1471">
        <f t="shared" si="802"/>
        <v>3.6754000000000002</v>
      </c>
      <c r="L2822" s="1413"/>
      <c r="M2822" s="1474"/>
      <c r="Q2822" s="1394">
        <f>IFERROR(VLOOKUP(M2822,#REF!,3,0),0)</f>
        <v>0</v>
      </c>
      <c r="R2822" s="1394">
        <f t="shared" si="799"/>
        <v>0</v>
      </c>
      <c r="S2822" s="1394">
        <f>IFERROR(VLOOKUP(M2822,#REF!,6,0),0)</f>
        <v>0</v>
      </c>
      <c r="T2822" s="1394">
        <f t="shared" si="790"/>
        <v>0</v>
      </c>
      <c r="U2822" s="1394">
        <f>IFERROR(VLOOKUP(M2822,#REF!,5,0),0)</f>
        <v>0</v>
      </c>
      <c r="V2822" s="1394">
        <f t="shared" si="791"/>
        <v>0</v>
      </c>
      <c r="W2822" s="1394"/>
    </row>
    <row r="2823" spans="2:23" ht="30" customHeight="1">
      <c r="B2823" s="1405">
        <f t="shared" si="800"/>
        <v>0</v>
      </c>
      <c r="C2823" s="1408" t="str">
        <f t="shared" ref="C2823:G2832" si="804">C676</f>
        <v>Cross beams</v>
      </c>
      <c r="D2823" s="1409">
        <f t="shared" si="804"/>
        <v>1</v>
      </c>
      <c r="E2823" s="1409">
        <f t="shared" si="804"/>
        <v>1</v>
      </c>
      <c r="F2823" s="1410">
        <f t="shared" si="804"/>
        <v>1.7350000000000001</v>
      </c>
      <c r="G2823" s="1410">
        <f t="shared" si="804"/>
        <v>0.23</v>
      </c>
      <c r="H2823" s="1411"/>
      <c r="I2823" s="1471">
        <f t="shared" si="802"/>
        <v>0.39905000000000002</v>
      </c>
      <c r="L2823" s="1413"/>
      <c r="M2823" s="1474"/>
      <c r="Q2823" s="1394">
        <f>IFERROR(VLOOKUP(M2823,#REF!,3,0),0)</f>
        <v>0</v>
      </c>
      <c r="R2823" s="1394">
        <f t="shared" si="799"/>
        <v>0</v>
      </c>
      <c r="S2823" s="1394">
        <f>IFERROR(VLOOKUP(M2823,#REF!,6,0),0)</f>
        <v>0</v>
      </c>
      <c r="T2823" s="1394">
        <f t="shared" si="790"/>
        <v>0</v>
      </c>
      <c r="U2823" s="1394">
        <f>IFERROR(VLOOKUP(M2823,#REF!,5,0),0)</f>
        <v>0</v>
      </c>
      <c r="V2823" s="1394">
        <f t="shared" si="791"/>
        <v>0</v>
      </c>
      <c r="W2823" s="1394"/>
    </row>
    <row r="2824" spans="2:23" ht="30" customHeight="1">
      <c r="B2824" s="1405">
        <f t="shared" si="800"/>
        <v>0</v>
      </c>
      <c r="C2824" s="1408" t="str">
        <f t="shared" si="804"/>
        <v>Cross beams</v>
      </c>
      <c r="D2824" s="1409">
        <f t="shared" si="804"/>
        <v>1</v>
      </c>
      <c r="E2824" s="1409">
        <f t="shared" si="804"/>
        <v>1</v>
      </c>
      <c r="F2824" s="1410">
        <f t="shared" si="804"/>
        <v>3.7650000000000001</v>
      </c>
      <c r="G2824" s="1410">
        <f t="shared" si="804"/>
        <v>0.23</v>
      </c>
      <c r="H2824" s="1411"/>
      <c r="I2824" s="1471">
        <f t="shared" si="802"/>
        <v>0.86595000000000011</v>
      </c>
      <c r="L2824" s="1413"/>
      <c r="M2824" s="1474"/>
      <c r="Q2824" s="1394">
        <f>IFERROR(VLOOKUP(M2824,#REF!,3,0),0)</f>
        <v>0</v>
      </c>
      <c r="R2824" s="1394">
        <f t="shared" si="799"/>
        <v>0</v>
      </c>
      <c r="S2824" s="1394">
        <f>IFERROR(VLOOKUP(M2824,#REF!,6,0),0)</f>
        <v>0</v>
      </c>
      <c r="T2824" s="1394">
        <f t="shared" si="790"/>
        <v>0</v>
      </c>
      <c r="U2824" s="1394">
        <f>IFERROR(VLOOKUP(M2824,#REF!,5,0),0)</f>
        <v>0</v>
      </c>
      <c r="V2824" s="1394">
        <f t="shared" si="791"/>
        <v>0</v>
      </c>
      <c r="W2824" s="1394"/>
    </row>
    <row r="2825" spans="2:23" ht="30" customHeight="1">
      <c r="B2825" s="1405">
        <f t="shared" si="800"/>
        <v>0</v>
      </c>
      <c r="C2825" s="1408" t="str">
        <f t="shared" si="804"/>
        <v>Vertical beam</v>
      </c>
      <c r="D2825" s="1409">
        <f t="shared" si="804"/>
        <v>0</v>
      </c>
      <c r="E2825" s="1409">
        <f t="shared" si="804"/>
        <v>0</v>
      </c>
      <c r="F2825" s="1410">
        <f t="shared" si="804"/>
        <v>0</v>
      </c>
      <c r="G2825" s="1410">
        <f t="shared" si="804"/>
        <v>0</v>
      </c>
      <c r="H2825" s="1411"/>
      <c r="I2825" s="1471">
        <f t="shared" si="802"/>
        <v>0</v>
      </c>
      <c r="L2825" s="1413"/>
      <c r="M2825" s="1474"/>
      <c r="Q2825" s="1394">
        <f>IFERROR(VLOOKUP(M2825,#REF!,3,0),0)</f>
        <v>0</v>
      </c>
      <c r="R2825" s="1394">
        <f t="shared" si="799"/>
        <v>0</v>
      </c>
      <c r="S2825" s="1394">
        <f>IFERROR(VLOOKUP(M2825,#REF!,6,0),0)</f>
        <v>0</v>
      </c>
      <c r="T2825" s="1394">
        <f t="shared" si="790"/>
        <v>0</v>
      </c>
      <c r="U2825" s="1394">
        <f>IFERROR(VLOOKUP(M2825,#REF!,5,0),0)</f>
        <v>0</v>
      </c>
      <c r="V2825" s="1394">
        <f t="shared" si="791"/>
        <v>0</v>
      </c>
      <c r="W2825" s="1394"/>
    </row>
    <row r="2826" spans="2:23" ht="30" customHeight="1">
      <c r="B2826" s="1405">
        <f t="shared" si="800"/>
        <v>0</v>
      </c>
      <c r="C2826" s="1408" t="str">
        <f t="shared" si="804"/>
        <v>A3 To A5</v>
      </c>
      <c r="D2826" s="1409">
        <f t="shared" si="804"/>
        <v>1</v>
      </c>
      <c r="E2826" s="1409">
        <f t="shared" si="804"/>
        <v>1</v>
      </c>
      <c r="F2826" s="1410">
        <f t="shared" si="804"/>
        <v>5.5299999999999994</v>
      </c>
      <c r="G2826" s="1410">
        <f t="shared" si="804"/>
        <v>0.23</v>
      </c>
      <c r="H2826" s="1411"/>
      <c r="I2826" s="1471">
        <f t="shared" si="802"/>
        <v>1.2718999999999998</v>
      </c>
      <c r="L2826" s="1413"/>
      <c r="M2826" s="1474"/>
      <c r="Q2826" s="1394">
        <f>IFERROR(VLOOKUP(M2826,#REF!,3,0),0)</f>
        <v>0</v>
      </c>
      <c r="R2826" s="1394">
        <f t="shared" si="799"/>
        <v>0</v>
      </c>
      <c r="S2826" s="1394">
        <f>IFERROR(VLOOKUP(M2826,#REF!,6,0),0)</f>
        <v>0</v>
      </c>
      <c r="T2826" s="1394">
        <f t="shared" si="790"/>
        <v>0</v>
      </c>
      <c r="U2826" s="1394">
        <f>IFERROR(VLOOKUP(M2826,#REF!,5,0),0)</f>
        <v>0</v>
      </c>
      <c r="V2826" s="1394">
        <f t="shared" si="791"/>
        <v>0</v>
      </c>
      <c r="W2826" s="1394"/>
    </row>
    <row r="2827" spans="2:23" ht="30" customHeight="1">
      <c r="B2827" s="1405">
        <f t="shared" si="800"/>
        <v>0</v>
      </c>
      <c r="C2827" s="1408" t="str">
        <f t="shared" si="804"/>
        <v>A5 To A8</v>
      </c>
      <c r="D2827" s="1409">
        <f t="shared" si="804"/>
        <v>1</v>
      </c>
      <c r="E2827" s="1409">
        <f t="shared" si="804"/>
        <v>1</v>
      </c>
      <c r="F2827" s="1410">
        <f t="shared" si="804"/>
        <v>10.120000000000001</v>
      </c>
      <c r="G2827" s="1410">
        <f t="shared" si="804"/>
        <v>0.23</v>
      </c>
      <c r="H2827" s="1411"/>
      <c r="I2827" s="1471">
        <f t="shared" si="802"/>
        <v>2.3276000000000003</v>
      </c>
      <c r="L2827" s="1413"/>
      <c r="M2827" s="1474"/>
      <c r="Q2827" s="1394">
        <f>IFERROR(VLOOKUP(M2827,#REF!,3,0),0)</f>
        <v>0</v>
      </c>
      <c r="R2827" s="1394">
        <f t="shared" si="799"/>
        <v>0</v>
      </c>
      <c r="S2827" s="1394">
        <f>IFERROR(VLOOKUP(M2827,#REF!,6,0),0)</f>
        <v>0</v>
      </c>
      <c r="T2827" s="1394">
        <f t="shared" si="790"/>
        <v>0</v>
      </c>
      <c r="U2827" s="1394">
        <f>IFERROR(VLOOKUP(M2827,#REF!,5,0),0)</f>
        <v>0</v>
      </c>
      <c r="V2827" s="1394">
        <f t="shared" si="791"/>
        <v>0</v>
      </c>
      <c r="W2827" s="1394"/>
    </row>
    <row r="2828" spans="2:23" ht="30" customHeight="1">
      <c r="B2828" s="1405">
        <f t="shared" si="800"/>
        <v>0</v>
      </c>
      <c r="C2828" s="1408" t="str">
        <f t="shared" si="804"/>
        <v>B3 To B8</v>
      </c>
      <c r="D2828" s="1409">
        <f t="shared" si="804"/>
        <v>1</v>
      </c>
      <c r="E2828" s="1409">
        <f t="shared" si="804"/>
        <v>1</v>
      </c>
      <c r="F2828" s="1410">
        <f t="shared" si="804"/>
        <v>15.649999999999999</v>
      </c>
      <c r="G2828" s="1410">
        <f t="shared" si="804"/>
        <v>0.23</v>
      </c>
      <c r="H2828" s="1411"/>
      <c r="I2828" s="1471">
        <f t="shared" si="802"/>
        <v>3.5994999999999999</v>
      </c>
      <c r="L2828" s="1413"/>
      <c r="M2828" s="1474"/>
      <c r="Q2828" s="1394">
        <f>IFERROR(VLOOKUP(M2828,#REF!,3,0),0)</f>
        <v>0</v>
      </c>
      <c r="R2828" s="1394">
        <f t="shared" si="799"/>
        <v>0</v>
      </c>
      <c r="S2828" s="1394">
        <f>IFERROR(VLOOKUP(M2828,#REF!,6,0),0)</f>
        <v>0</v>
      </c>
      <c r="T2828" s="1394">
        <f t="shared" si="790"/>
        <v>0</v>
      </c>
      <c r="U2828" s="1394">
        <f>IFERROR(VLOOKUP(M2828,#REF!,5,0),0)</f>
        <v>0</v>
      </c>
      <c r="V2828" s="1394">
        <f t="shared" si="791"/>
        <v>0</v>
      </c>
      <c r="W2828" s="1394"/>
    </row>
    <row r="2829" spans="2:23" ht="30" customHeight="1">
      <c r="B2829" s="1405">
        <f t="shared" si="800"/>
        <v>0</v>
      </c>
      <c r="C2829" s="1408" t="str">
        <f t="shared" si="804"/>
        <v>Cross beams</v>
      </c>
      <c r="D2829" s="1409">
        <f t="shared" si="804"/>
        <v>1</v>
      </c>
      <c r="E2829" s="1409">
        <f t="shared" si="804"/>
        <v>1</v>
      </c>
      <c r="F2829" s="1410">
        <f t="shared" si="804"/>
        <v>4.13</v>
      </c>
      <c r="G2829" s="1410">
        <f t="shared" si="804"/>
        <v>0.23</v>
      </c>
      <c r="H2829" s="1411"/>
      <c r="I2829" s="1471">
        <f t="shared" si="802"/>
        <v>0.94989999999999997</v>
      </c>
      <c r="L2829" s="1413"/>
      <c r="M2829" s="1474"/>
      <c r="Q2829" s="1394">
        <f>IFERROR(VLOOKUP(M2829,#REF!,3,0),0)</f>
        <v>0</v>
      </c>
      <c r="R2829" s="1394">
        <f t="shared" si="799"/>
        <v>0</v>
      </c>
      <c r="S2829" s="1394">
        <f>IFERROR(VLOOKUP(M2829,#REF!,6,0),0)</f>
        <v>0</v>
      </c>
      <c r="T2829" s="1394">
        <f t="shared" ref="T2829:T2892" si="805">R2829-S2829</f>
        <v>0</v>
      </c>
      <c r="U2829" s="1394">
        <f>IFERROR(VLOOKUP(M2829,#REF!,5,0),0)</f>
        <v>0</v>
      </c>
      <c r="V2829" s="1394">
        <f t="shared" ref="V2829:V2892" si="806">O2829-U2829</f>
        <v>0</v>
      </c>
      <c r="W2829" s="1394"/>
    </row>
    <row r="2830" spans="2:23" ht="30" customHeight="1">
      <c r="B2830" s="1405">
        <f t="shared" si="800"/>
        <v>0</v>
      </c>
      <c r="C2830" s="1408" t="str">
        <f t="shared" si="804"/>
        <v>Cross beams</v>
      </c>
      <c r="D2830" s="1409">
        <f t="shared" si="804"/>
        <v>1</v>
      </c>
      <c r="E2830" s="1409">
        <f t="shared" si="804"/>
        <v>1</v>
      </c>
      <c r="F2830" s="1410">
        <f t="shared" si="804"/>
        <v>4.13</v>
      </c>
      <c r="G2830" s="1410">
        <f t="shared" si="804"/>
        <v>0.23</v>
      </c>
      <c r="H2830" s="1411"/>
      <c r="I2830" s="1471">
        <f t="shared" si="802"/>
        <v>0.94989999999999997</v>
      </c>
      <c r="L2830" s="1413"/>
      <c r="M2830" s="1474"/>
      <c r="Q2830" s="1394">
        <f>IFERROR(VLOOKUP(M2830,#REF!,3,0),0)</f>
        <v>0</v>
      </c>
      <c r="R2830" s="1394">
        <f t="shared" si="799"/>
        <v>0</v>
      </c>
      <c r="S2830" s="1394">
        <f>IFERROR(VLOOKUP(M2830,#REF!,6,0),0)</f>
        <v>0</v>
      </c>
      <c r="T2830" s="1394">
        <f t="shared" si="805"/>
        <v>0</v>
      </c>
      <c r="U2830" s="1394">
        <f>IFERROR(VLOOKUP(M2830,#REF!,5,0),0)</f>
        <v>0</v>
      </c>
      <c r="V2830" s="1394">
        <f t="shared" si="806"/>
        <v>0</v>
      </c>
      <c r="W2830" s="1394"/>
    </row>
    <row r="2831" spans="2:23" ht="30" customHeight="1">
      <c r="B2831" s="1405">
        <f t="shared" si="800"/>
        <v>0</v>
      </c>
      <c r="C2831" s="1408" t="str">
        <f t="shared" si="804"/>
        <v>C4 to C5</v>
      </c>
      <c r="D2831" s="1409">
        <f t="shared" si="804"/>
        <v>1</v>
      </c>
      <c r="E2831" s="1409">
        <f t="shared" si="804"/>
        <v>1</v>
      </c>
      <c r="F2831" s="1410">
        <f t="shared" si="804"/>
        <v>2.5299999999999998</v>
      </c>
      <c r="G2831" s="1410">
        <f t="shared" si="804"/>
        <v>0.23</v>
      </c>
      <c r="H2831" s="1411"/>
      <c r="I2831" s="1471">
        <f t="shared" si="802"/>
        <v>0.58189999999999997</v>
      </c>
      <c r="L2831" s="1413"/>
      <c r="M2831" s="1474"/>
      <c r="Q2831" s="1394">
        <f>IFERROR(VLOOKUP(M2831,#REF!,3,0),0)</f>
        <v>0</v>
      </c>
      <c r="R2831" s="1394">
        <f t="shared" si="799"/>
        <v>0</v>
      </c>
      <c r="S2831" s="1394">
        <f>IFERROR(VLOOKUP(M2831,#REF!,6,0),0)</f>
        <v>0</v>
      </c>
      <c r="T2831" s="1394">
        <f t="shared" si="805"/>
        <v>0</v>
      </c>
      <c r="U2831" s="1394">
        <f>IFERROR(VLOOKUP(M2831,#REF!,5,0),0)</f>
        <v>0</v>
      </c>
      <c r="V2831" s="1394">
        <f t="shared" si="806"/>
        <v>0</v>
      </c>
      <c r="W2831" s="1394"/>
    </row>
    <row r="2832" spans="2:23" ht="30" customHeight="1">
      <c r="B2832" s="1405">
        <f t="shared" si="800"/>
        <v>0</v>
      </c>
      <c r="C2832" s="1408" t="str">
        <f t="shared" si="804"/>
        <v xml:space="preserve">C5 to C7 &amp; F5 to F7 </v>
      </c>
      <c r="D2832" s="1409">
        <f t="shared" si="804"/>
        <v>1</v>
      </c>
      <c r="E2832" s="1409">
        <f t="shared" si="804"/>
        <v>2</v>
      </c>
      <c r="F2832" s="1410">
        <f t="shared" si="804"/>
        <v>5.99</v>
      </c>
      <c r="G2832" s="1410">
        <f t="shared" si="804"/>
        <v>0.23</v>
      </c>
      <c r="H2832" s="1411"/>
      <c r="I2832" s="1471">
        <f t="shared" si="802"/>
        <v>2.7554000000000003</v>
      </c>
      <c r="L2832" s="1413"/>
      <c r="M2832" s="1474"/>
      <c r="Q2832" s="1394">
        <f>IFERROR(VLOOKUP(M2832,#REF!,3,0),0)</f>
        <v>0</v>
      </c>
      <c r="R2832" s="1394">
        <f t="shared" si="799"/>
        <v>0</v>
      </c>
      <c r="S2832" s="1394">
        <f>IFERROR(VLOOKUP(M2832,#REF!,6,0),0)</f>
        <v>0</v>
      </c>
      <c r="T2832" s="1394">
        <f t="shared" si="805"/>
        <v>0</v>
      </c>
      <c r="U2832" s="1394">
        <f>IFERROR(VLOOKUP(M2832,#REF!,5,0),0)</f>
        <v>0</v>
      </c>
      <c r="V2832" s="1394">
        <f t="shared" si="806"/>
        <v>0</v>
      </c>
      <c r="W2832" s="1394"/>
    </row>
    <row r="2833" spans="2:23" ht="30" customHeight="1">
      <c r="B2833" s="1405">
        <f t="shared" ref="B2833:B2839" si="807">B719</f>
        <v>0</v>
      </c>
      <c r="C2833" s="1408" t="str">
        <f t="shared" ref="C2833:G2839" si="808">C686</f>
        <v>F3 to F5</v>
      </c>
      <c r="D2833" s="1409">
        <f t="shared" si="808"/>
        <v>1</v>
      </c>
      <c r="E2833" s="1409">
        <f t="shared" si="808"/>
        <v>1</v>
      </c>
      <c r="F2833" s="1410">
        <f t="shared" si="808"/>
        <v>5.5299999999999994</v>
      </c>
      <c r="G2833" s="1410">
        <f t="shared" si="808"/>
        <v>0.23</v>
      </c>
      <c r="H2833" s="1411"/>
      <c r="I2833" s="1471">
        <f t="shared" si="802"/>
        <v>1.2718999999999998</v>
      </c>
      <c r="L2833" s="1413"/>
      <c r="M2833" s="1474"/>
      <c r="Q2833" s="1394">
        <f>IFERROR(VLOOKUP(M2833,#REF!,3,0),0)</f>
        <v>0</v>
      </c>
      <c r="R2833" s="1394">
        <f t="shared" si="799"/>
        <v>0</v>
      </c>
      <c r="S2833" s="1394">
        <f>IFERROR(VLOOKUP(M2833,#REF!,6,0),0)</f>
        <v>0</v>
      </c>
      <c r="T2833" s="1394">
        <f t="shared" si="805"/>
        <v>0</v>
      </c>
      <c r="U2833" s="1394">
        <f>IFERROR(VLOOKUP(M2833,#REF!,5,0),0)</f>
        <v>0</v>
      </c>
      <c r="V2833" s="1394">
        <f t="shared" si="806"/>
        <v>0</v>
      </c>
      <c r="W2833" s="1394"/>
    </row>
    <row r="2834" spans="2:23" ht="30" customHeight="1">
      <c r="B2834" s="1405">
        <f t="shared" si="807"/>
        <v>0</v>
      </c>
      <c r="C2834" s="1408" t="str">
        <f t="shared" si="808"/>
        <v>E7 to E8</v>
      </c>
      <c r="D2834" s="1409">
        <f t="shared" si="808"/>
        <v>1</v>
      </c>
      <c r="E2834" s="1409">
        <f t="shared" si="808"/>
        <v>1</v>
      </c>
      <c r="F2834" s="1410">
        <f t="shared" si="808"/>
        <v>4.13</v>
      </c>
      <c r="G2834" s="1410">
        <f t="shared" si="808"/>
        <v>0.23</v>
      </c>
      <c r="H2834" s="1411"/>
      <c r="I2834" s="1471">
        <f t="shared" si="802"/>
        <v>0.94989999999999997</v>
      </c>
      <c r="L2834" s="1413"/>
      <c r="M2834" s="1474"/>
      <c r="Q2834" s="1394">
        <f>IFERROR(VLOOKUP(M2834,#REF!,3,0),0)</f>
        <v>0</v>
      </c>
      <c r="R2834" s="1394">
        <f t="shared" si="799"/>
        <v>0</v>
      </c>
      <c r="S2834" s="1394">
        <f>IFERROR(VLOOKUP(M2834,#REF!,6,0),0)</f>
        <v>0</v>
      </c>
      <c r="T2834" s="1394">
        <f t="shared" si="805"/>
        <v>0</v>
      </c>
      <c r="U2834" s="1394">
        <f>IFERROR(VLOOKUP(M2834,#REF!,5,0),0)</f>
        <v>0</v>
      </c>
      <c r="V2834" s="1394">
        <f t="shared" si="806"/>
        <v>0</v>
      </c>
      <c r="W2834" s="1394"/>
    </row>
    <row r="2835" spans="2:23" ht="30" customHeight="1">
      <c r="B2835" s="1405">
        <f t="shared" si="807"/>
        <v>0</v>
      </c>
      <c r="C2835" s="1408" t="str">
        <f t="shared" si="808"/>
        <v>G3 to G7</v>
      </c>
      <c r="D2835" s="1409">
        <f t="shared" si="808"/>
        <v>1</v>
      </c>
      <c r="E2835" s="1409">
        <f t="shared" si="808"/>
        <v>1</v>
      </c>
      <c r="F2835" s="1410">
        <f t="shared" si="808"/>
        <v>11.52</v>
      </c>
      <c r="G2835" s="1410">
        <f t="shared" si="808"/>
        <v>0.23</v>
      </c>
      <c r="H2835" s="1411"/>
      <c r="I2835" s="1471">
        <f t="shared" si="802"/>
        <v>2.6496</v>
      </c>
      <c r="L2835" s="1413"/>
      <c r="M2835" s="1474"/>
      <c r="Q2835" s="1394">
        <f>IFERROR(VLOOKUP(M2835,#REF!,3,0),0)</f>
        <v>0</v>
      </c>
      <c r="R2835" s="1394">
        <f t="shared" si="799"/>
        <v>0</v>
      </c>
      <c r="S2835" s="1394">
        <f>IFERROR(VLOOKUP(M2835,#REF!,6,0),0)</f>
        <v>0</v>
      </c>
      <c r="T2835" s="1394">
        <f t="shared" si="805"/>
        <v>0</v>
      </c>
      <c r="U2835" s="1394">
        <f>IFERROR(VLOOKUP(M2835,#REF!,5,0),0)</f>
        <v>0</v>
      </c>
      <c r="V2835" s="1394">
        <f t="shared" si="806"/>
        <v>0</v>
      </c>
      <c r="W2835" s="1394"/>
    </row>
    <row r="2836" spans="2:23" ht="30" customHeight="1">
      <c r="B2836" s="1405">
        <f t="shared" si="807"/>
        <v>0</v>
      </c>
      <c r="C2836" s="1408" t="str">
        <f t="shared" si="808"/>
        <v>G7 to G8</v>
      </c>
      <c r="D2836" s="1409">
        <f t="shared" si="808"/>
        <v>1</v>
      </c>
      <c r="E2836" s="1409">
        <f t="shared" si="808"/>
        <v>1</v>
      </c>
      <c r="F2836" s="1410">
        <f t="shared" si="808"/>
        <v>4.13</v>
      </c>
      <c r="G2836" s="1410">
        <f t="shared" si="808"/>
        <v>0.23</v>
      </c>
      <c r="H2836" s="1411"/>
      <c r="I2836" s="1471">
        <f t="shared" si="802"/>
        <v>0.94989999999999997</v>
      </c>
      <c r="L2836" s="1413"/>
      <c r="M2836" s="1474"/>
      <c r="Q2836" s="1394">
        <f>IFERROR(VLOOKUP(M2836,#REF!,3,0),0)</f>
        <v>0</v>
      </c>
      <c r="R2836" s="1394">
        <f t="shared" si="799"/>
        <v>0</v>
      </c>
      <c r="S2836" s="1394">
        <f>IFERROR(VLOOKUP(M2836,#REF!,6,0),0)</f>
        <v>0</v>
      </c>
      <c r="T2836" s="1394">
        <f t="shared" si="805"/>
        <v>0</v>
      </c>
      <c r="U2836" s="1394">
        <f>IFERROR(VLOOKUP(M2836,#REF!,5,0),0)</f>
        <v>0</v>
      </c>
      <c r="V2836" s="1394">
        <f t="shared" si="806"/>
        <v>0</v>
      </c>
      <c r="W2836" s="1394"/>
    </row>
    <row r="2837" spans="2:23" ht="30" customHeight="1">
      <c r="B2837" s="1405">
        <f t="shared" si="807"/>
        <v>0</v>
      </c>
      <c r="C2837" s="1408" t="str">
        <f t="shared" si="808"/>
        <v>H3 To H8</v>
      </c>
      <c r="D2837" s="1409">
        <f t="shared" si="808"/>
        <v>1</v>
      </c>
      <c r="E2837" s="1409">
        <f t="shared" si="808"/>
        <v>1</v>
      </c>
      <c r="F2837" s="1410">
        <f t="shared" si="808"/>
        <v>15.649999999999999</v>
      </c>
      <c r="G2837" s="1410">
        <f t="shared" si="808"/>
        <v>0.23</v>
      </c>
      <c r="H2837" s="1411"/>
      <c r="I2837" s="1471">
        <f t="shared" si="802"/>
        <v>3.5994999999999999</v>
      </c>
      <c r="L2837" s="1413"/>
      <c r="M2837" s="1474"/>
      <c r="Q2837" s="1394">
        <f>IFERROR(VLOOKUP(M2837,#REF!,3,0),0)</f>
        <v>0</v>
      </c>
      <c r="R2837" s="1394">
        <f t="shared" si="799"/>
        <v>0</v>
      </c>
      <c r="S2837" s="1394">
        <f>IFERROR(VLOOKUP(M2837,#REF!,6,0),0)</f>
        <v>0</v>
      </c>
      <c r="T2837" s="1394">
        <f t="shared" si="805"/>
        <v>0</v>
      </c>
      <c r="U2837" s="1394">
        <f>IFERROR(VLOOKUP(M2837,#REF!,5,0),0)</f>
        <v>0</v>
      </c>
      <c r="V2837" s="1394">
        <f t="shared" si="806"/>
        <v>0</v>
      </c>
      <c r="W2837" s="1394"/>
    </row>
    <row r="2838" spans="2:23" ht="30" customHeight="1">
      <c r="B2838" s="1405">
        <f t="shared" si="807"/>
        <v>0</v>
      </c>
      <c r="C2838" s="1408" t="str">
        <f t="shared" si="808"/>
        <v>D1 to D3 , F1 to F3</v>
      </c>
      <c r="D2838" s="1409">
        <f t="shared" si="808"/>
        <v>1</v>
      </c>
      <c r="E2838" s="1409">
        <f t="shared" si="808"/>
        <v>2</v>
      </c>
      <c r="F2838" s="1410">
        <f t="shared" si="808"/>
        <v>4.6899999999999995</v>
      </c>
      <c r="G2838" s="1410">
        <f t="shared" si="808"/>
        <v>0.23</v>
      </c>
      <c r="H2838" s="1411"/>
      <c r="I2838" s="1471">
        <f t="shared" si="802"/>
        <v>2.1574</v>
      </c>
      <c r="L2838" s="1413"/>
      <c r="M2838" s="1474"/>
      <c r="Q2838" s="1394">
        <f>IFERROR(VLOOKUP(M2838,#REF!,3,0),0)</f>
        <v>0</v>
      </c>
      <c r="R2838" s="1394">
        <f t="shared" si="799"/>
        <v>0</v>
      </c>
      <c r="S2838" s="1394">
        <f>IFERROR(VLOOKUP(M2838,#REF!,6,0),0)</f>
        <v>0</v>
      </c>
      <c r="T2838" s="1394">
        <f t="shared" si="805"/>
        <v>0</v>
      </c>
      <c r="U2838" s="1394">
        <f>IFERROR(VLOOKUP(M2838,#REF!,5,0),0)</f>
        <v>0</v>
      </c>
      <c r="V2838" s="1394">
        <f t="shared" si="806"/>
        <v>0</v>
      </c>
      <c r="W2838" s="1394"/>
    </row>
    <row r="2839" spans="2:23" ht="30" customHeight="1">
      <c r="B2839" s="1405">
        <f t="shared" si="807"/>
        <v>0</v>
      </c>
      <c r="C2839" s="1408" t="str">
        <f t="shared" si="808"/>
        <v>Cross beams</v>
      </c>
      <c r="D2839" s="1409">
        <f t="shared" si="808"/>
        <v>1</v>
      </c>
      <c r="E2839" s="1409">
        <f t="shared" si="808"/>
        <v>1</v>
      </c>
      <c r="F2839" s="1410">
        <f t="shared" si="808"/>
        <v>2.77</v>
      </c>
      <c r="G2839" s="1410">
        <f t="shared" si="808"/>
        <v>0.23</v>
      </c>
      <c r="H2839" s="1411"/>
      <c r="I2839" s="1471">
        <f t="shared" ref="I2839" si="809">PRODUCT(D2839:H2839)</f>
        <v>0.6371</v>
      </c>
      <c r="L2839" s="1413"/>
      <c r="M2839" s="1474"/>
      <c r="Q2839" s="1394">
        <f>IFERROR(VLOOKUP(M2839,#REF!,3,0),0)</f>
        <v>0</v>
      </c>
      <c r="R2839" s="1394">
        <f t="shared" si="799"/>
        <v>0</v>
      </c>
      <c r="S2839" s="1394">
        <f>IFERROR(VLOOKUP(M2839,#REF!,6,0),0)</f>
        <v>0</v>
      </c>
      <c r="T2839" s="1394">
        <f t="shared" si="805"/>
        <v>0</v>
      </c>
      <c r="U2839" s="1394">
        <f>IFERROR(VLOOKUP(M2839,#REF!,5,0),0)</f>
        <v>0</v>
      </c>
      <c r="V2839" s="1394">
        <f t="shared" si="806"/>
        <v>0</v>
      </c>
      <c r="W2839" s="1394"/>
    </row>
    <row r="2840" spans="2:23" ht="30" customHeight="1">
      <c r="B2840" s="1405">
        <f t="shared" ref="B2840:H2842" si="810">B694</f>
        <v>0</v>
      </c>
      <c r="C2840" s="1408">
        <f t="shared" si="810"/>
        <v>0</v>
      </c>
      <c r="D2840" s="1409">
        <f t="shared" si="810"/>
        <v>0</v>
      </c>
      <c r="E2840" s="1409">
        <f t="shared" si="810"/>
        <v>0</v>
      </c>
      <c r="F2840" s="1410">
        <f t="shared" si="810"/>
        <v>0</v>
      </c>
      <c r="G2840" s="1410">
        <f t="shared" si="810"/>
        <v>0</v>
      </c>
      <c r="H2840" s="1411">
        <f t="shared" si="810"/>
        <v>0</v>
      </c>
      <c r="I2840" s="1471">
        <f t="shared" si="794"/>
        <v>0</v>
      </c>
      <c r="J2840" s="1397"/>
      <c r="K2840" s="1397"/>
      <c r="L2840" s="1413"/>
      <c r="M2840" s="1474"/>
      <c r="Q2840" s="1394">
        <f>IFERROR(VLOOKUP(M2840,#REF!,3,0),0)</f>
        <v>0</v>
      </c>
      <c r="R2840" s="1394">
        <f t="shared" si="799"/>
        <v>0</v>
      </c>
      <c r="S2840" s="1394">
        <f>IFERROR(VLOOKUP(M2840,#REF!,6,0),0)</f>
        <v>0</v>
      </c>
      <c r="T2840" s="1394">
        <f t="shared" si="805"/>
        <v>0</v>
      </c>
      <c r="U2840" s="1394">
        <f>IFERROR(VLOOKUP(M2840,#REF!,5,0),0)</f>
        <v>0</v>
      </c>
      <c r="V2840" s="1394">
        <f t="shared" si="806"/>
        <v>0</v>
      </c>
      <c r="W2840" s="1394"/>
    </row>
    <row r="2841" spans="2:23" ht="30" customHeight="1">
      <c r="B2841" s="1405">
        <f t="shared" si="810"/>
        <v>0</v>
      </c>
      <c r="C2841" s="1408">
        <f t="shared" si="810"/>
        <v>0</v>
      </c>
      <c r="D2841" s="1409">
        <f t="shared" si="810"/>
        <v>0</v>
      </c>
      <c r="E2841" s="1409">
        <f t="shared" si="810"/>
        <v>0</v>
      </c>
      <c r="F2841" s="1410">
        <f t="shared" si="810"/>
        <v>0</v>
      </c>
      <c r="G2841" s="1410">
        <f t="shared" si="810"/>
        <v>0</v>
      </c>
      <c r="H2841" s="1411">
        <f t="shared" si="810"/>
        <v>0</v>
      </c>
      <c r="I2841" s="1471">
        <f t="shared" si="794"/>
        <v>0</v>
      </c>
      <c r="J2841" s="1397"/>
      <c r="K2841" s="1397"/>
      <c r="L2841" s="1413"/>
      <c r="M2841" s="1474"/>
      <c r="Q2841" s="1394">
        <f>IFERROR(VLOOKUP(M2841,#REF!,3,0),0)</f>
        <v>0</v>
      </c>
      <c r="R2841" s="1394">
        <f t="shared" si="799"/>
        <v>0</v>
      </c>
      <c r="S2841" s="1394">
        <f>IFERROR(VLOOKUP(M2841,#REF!,6,0),0)</f>
        <v>0</v>
      </c>
      <c r="T2841" s="1394">
        <f t="shared" si="805"/>
        <v>0</v>
      </c>
      <c r="U2841" s="1394">
        <f>IFERROR(VLOOKUP(M2841,#REF!,5,0),0)</f>
        <v>0</v>
      </c>
      <c r="V2841" s="1394">
        <f t="shared" si="806"/>
        <v>0</v>
      </c>
      <c r="W2841" s="1394"/>
    </row>
    <row r="2842" spans="2:23" ht="30" customHeight="1">
      <c r="B2842" s="1405">
        <f t="shared" si="810"/>
        <v>0</v>
      </c>
      <c r="C2842" s="1415" t="str">
        <f t="shared" si="810"/>
        <v>Roof Slab</v>
      </c>
      <c r="D2842" s="1409">
        <f t="shared" si="810"/>
        <v>0</v>
      </c>
      <c r="E2842" s="1409">
        <f t="shared" si="810"/>
        <v>0</v>
      </c>
      <c r="F2842" s="1410">
        <f t="shared" si="810"/>
        <v>0</v>
      </c>
      <c r="G2842" s="1410">
        <f t="shared" si="810"/>
        <v>0</v>
      </c>
      <c r="H2842" s="1411">
        <f t="shared" si="810"/>
        <v>0</v>
      </c>
      <c r="I2842" s="1471">
        <f t="shared" si="794"/>
        <v>0</v>
      </c>
      <c r="Q2842" s="1394">
        <f>IFERROR(VLOOKUP(M2842,#REF!,3,0),0)</f>
        <v>0</v>
      </c>
      <c r="R2842" s="1394">
        <f t="shared" si="799"/>
        <v>0</v>
      </c>
      <c r="S2842" s="1394">
        <f>IFERROR(VLOOKUP(M2842,#REF!,6,0),0)</f>
        <v>0</v>
      </c>
      <c r="T2842" s="1394">
        <f t="shared" si="805"/>
        <v>0</v>
      </c>
      <c r="U2842" s="1394">
        <f>IFERROR(VLOOKUP(M2842,#REF!,5,0),0)</f>
        <v>0</v>
      </c>
      <c r="V2842" s="1394">
        <f t="shared" si="806"/>
        <v>0</v>
      </c>
      <c r="W2842" s="1394"/>
    </row>
    <row r="2843" spans="2:23" ht="30" customHeight="1">
      <c r="B2843" s="1405">
        <f t="shared" ref="B2843:G2852" si="811">B697</f>
        <v>0</v>
      </c>
      <c r="C2843" s="1408" t="str">
        <f t="shared" si="811"/>
        <v>SI Room Below Roof</v>
      </c>
      <c r="D2843" s="1409">
        <f t="shared" si="811"/>
        <v>1</v>
      </c>
      <c r="E2843" s="1409">
        <f t="shared" si="811"/>
        <v>1</v>
      </c>
      <c r="F2843" s="1410">
        <f t="shared" si="811"/>
        <v>4</v>
      </c>
      <c r="G2843" s="1410">
        <f t="shared" si="811"/>
        <v>5.0999999999999996</v>
      </c>
      <c r="H2843" s="1410"/>
      <c r="I2843" s="1471">
        <f t="shared" si="794"/>
        <v>20.399999999999999</v>
      </c>
      <c r="Q2843" s="1394">
        <f>IFERROR(VLOOKUP(M2843,#REF!,3,0),0)</f>
        <v>0</v>
      </c>
      <c r="R2843" s="1394">
        <f t="shared" si="799"/>
        <v>0</v>
      </c>
      <c r="S2843" s="1394">
        <f>IFERROR(VLOOKUP(M2843,#REF!,6,0),0)</f>
        <v>0</v>
      </c>
      <c r="T2843" s="1394">
        <f t="shared" si="805"/>
        <v>0</v>
      </c>
      <c r="U2843" s="1394">
        <f>IFERROR(VLOOKUP(M2843,#REF!,5,0),0)</f>
        <v>0</v>
      </c>
      <c r="V2843" s="1394">
        <f t="shared" si="806"/>
        <v>0</v>
      </c>
      <c r="W2843" s="1394"/>
    </row>
    <row r="2844" spans="2:23" ht="30" customHeight="1">
      <c r="B2844" s="1405">
        <f t="shared" si="811"/>
        <v>0</v>
      </c>
      <c r="C2844" s="1408" t="str">
        <f t="shared" si="811"/>
        <v>SI Room Toilet Below Roof</v>
      </c>
      <c r="D2844" s="1409">
        <f t="shared" si="811"/>
        <v>1</v>
      </c>
      <c r="E2844" s="1409">
        <f t="shared" si="811"/>
        <v>1</v>
      </c>
      <c r="F2844" s="1410">
        <f t="shared" si="811"/>
        <v>4</v>
      </c>
      <c r="G2844" s="1410">
        <f t="shared" si="811"/>
        <v>1.5</v>
      </c>
      <c r="H2844" s="1410"/>
      <c r="I2844" s="1471">
        <f t="shared" si="794"/>
        <v>6</v>
      </c>
      <c r="Q2844" s="1394">
        <f>IFERROR(VLOOKUP(M2844,#REF!,3,0),0)</f>
        <v>0</v>
      </c>
      <c r="R2844" s="1394">
        <f t="shared" si="799"/>
        <v>0</v>
      </c>
      <c r="S2844" s="1394">
        <f>IFERROR(VLOOKUP(M2844,#REF!,6,0),0)</f>
        <v>0</v>
      </c>
      <c r="T2844" s="1394">
        <f t="shared" si="805"/>
        <v>0</v>
      </c>
      <c r="U2844" s="1394">
        <f>IFERROR(VLOOKUP(M2844,#REF!,5,0),0)</f>
        <v>0</v>
      </c>
      <c r="V2844" s="1394">
        <f t="shared" si="806"/>
        <v>0</v>
      </c>
      <c r="W2844" s="1394"/>
    </row>
    <row r="2845" spans="2:23" ht="30" customHeight="1">
      <c r="B2845" s="1405">
        <f t="shared" si="811"/>
        <v>0</v>
      </c>
      <c r="C2845" s="1408" t="str">
        <f t="shared" si="811"/>
        <v>Lock up Women Below Roof</v>
      </c>
      <c r="D2845" s="1409">
        <f t="shared" si="811"/>
        <v>1</v>
      </c>
      <c r="E2845" s="1409">
        <f t="shared" si="811"/>
        <v>1</v>
      </c>
      <c r="F2845" s="1410">
        <f t="shared" si="811"/>
        <v>4</v>
      </c>
      <c r="G2845" s="1410">
        <f t="shared" si="811"/>
        <v>2.5</v>
      </c>
      <c r="H2845" s="1410"/>
      <c r="I2845" s="1471">
        <f t="shared" si="794"/>
        <v>10</v>
      </c>
      <c r="Q2845" s="1394">
        <f>IFERROR(VLOOKUP(M2845,#REF!,3,0),0)</f>
        <v>0</v>
      </c>
      <c r="R2845" s="1394">
        <f t="shared" si="799"/>
        <v>0</v>
      </c>
      <c r="S2845" s="1394">
        <f>IFERROR(VLOOKUP(M2845,#REF!,6,0),0)</f>
        <v>0</v>
      </c>
      <c r="T2845" s="1394">
        <f t="shared" si="805"/>
        <v>0</v>
      </c>
      <c r="U2845" s="1394">
        <f>IFERROR(VLOOKUP(M2845,#REF!,5,0),0)</f>
        <v>0</v>
      </c>
      <c r="V2845" s="1394">
        <f t="shared" si="806"/>
        <v>0</v>
      </c>
      <c r="W2845" s="1394"/>
    </row>
    <row r="2846" spans="2:23" ht="30" customHeight="1">
      <c r="B2846" s="1405">
        <f t="shared" si="811"/>
        <v>0</v>
      </c>
      <c r="C2846" s="1408" t="str">
        <f t="shared" si="811"/>
        <v>CD Files/Store Below Roof</v>
      </c>
      <c r="D2846" s="1409">
        <f t="shared" si="811"/>
        <v>1</v>
      </c>
      <c r="E2846" s="1409">
        <f t="shared" si="811"/>
        <v>1</v>
      </c>
      <c r="F2846" s="1410">
        <f t="shared" si="811"/>
        <v>4</v>
      </c>
      <c r="G2846" s="1410">
        <f t="shared" si="811"/>
        <v>3.9</v>
      </c>
      <c r="H2846" s="1410"/>
      <c r="I2846" s="1471">
        <f t="shared" si="794"/>
        <v>15.6</v>
      </c>
      <c r="Q2846" s="1394">
        <f>IFERROR(VLOOKUP(M2846,#REF!,3,0),0)</f>
        <v>0</v>
      </c>
      <c r="R2846" s="1394">
        <f t="shared" si="799"/>
        <v>0</v>
      </c>
      <c r="S2846" s="1394">
        <f>IFERROR(VLOOKUP(M2846,#REF!,6,0),0)</f>
        <v>0</v>
      </c>
      <c r="T2846" s="1394">
        <f t="shared" si="805"/>
        <v>0</v>
      </c>
      <c r="U2846" s="1394">
        <f>IFERROR(VLOOKUP(M2846,#REF!,5,0),0)</f>
        <v>0</v>
      </c>
      <c r="V2846" s="1394">
        <f t="shared" si="806"/>
        <v>0</v>
      </c>
      <c r="W2846" s="1394"/>
    </row>
    <row r="2847" spans="2:23" ht="30" customHeight="1">
      <c r="B2847" s="1405">
        <f t="shared" si="811"/>
        <v>0</v>
      </c>
      <c r="C2847" s="1408" t="str">
        <f t="shared" si="811"/>
        <v>Toilet Below Roof</v>
      </c>
      <c r="D2847" s="1409">
        <f t="shared" si="811"/>
        <v>1</v>
      </c>
      <c r="E2847" s="1409">
        <f t="shared" si="811"/>
        <v>1</v>
      </c>
      <c r="F2847" s="1410">
        <f t="shared" si="811"/>
        <v>1.5</v>
      </c>
      <c r="G2847" s="1410">
        <f t="shared" si="811"/>
        <v>3.9</v>
      </c>
      <c r="H2847" s="1410"/>
      <c r="I2847" s="1471">
        <f t="shared" si="794"/>
        <v>5.85</v>
      </c>
      <c r="Q2847" s="1394">
        <f>IFERROR(VLOOKUP(M2847,#REF!,3,0),0)</f>
        <v>0</v>
      </c>
      <c r="R2847" s="1394">
        <f t="shared" si="799"/>
        <v>0</v>
      </c>
      <c r="S2847" s="1394">
        <f>IFERROR(VLOOKUP(M2847,#REF!,6,0),0)</f>
        <v>0</v>
      </c>
      <c r="T2847" s="1394">
        <f t="shared" si="805"/>
        <v>0</v>
      </c>
      <c r="U2847" s="1394">
        <f>IFERROR(VLOOKUP(M2847,#REF!,5,0),0)</f>
        <v>0</v>
      </c>
      <c r="V2847" s="1394">
        <f t="shared" si="806"/>
        <v>0</v>
      </c>
      <c r="W2847" s="1394"/>
    </row>
    <row r="2848" spans="2:23" ht="30" customHeight="1">
      <c r="B2848" s="1405">
        <f t="shared" si="811"/>
        <v>0</v>
      </c>
      <c r="C2848" s="1408" t="str">
        <f t="shared" si="811"/>
        <v>Computer / CCTNS Below Roof</v>
      </c>
      <c r="D2848" s="1409">
        <f t="shared" si="811"/>
        <v>1</v>
      </c>
      <c r="E2848" s="1409">
        <f t="shared" si="811"/>
        <v>1</v>
      </c>
      <c r="F2848" s="1410">
        <f t="shared" si="811"/>
        <v>3.6949999999999998</v>
      </c>
      <c r="G2848" s="1410">
        <f t="shared" si="811"/>
        <v>3.9</v>
      </c>
      <c r="H2848" s="1410"/>
      <c r="I2848" s="1471">
        <f t="shared" si="794"/>
        <v>14.410499999999999</v>
      </c>
      <c r="M2848" s="110"/>
      <c r="Q2848" s="1394">
        <f>IFERROR(VLOOKUP(M2848,#REF!,3,0),0)</f>
        <v>0</v>
      </c>
      <c r="R2848" s="1394">
        <f t="shared" si="799"/>
        <v>0</v>
      </c>
      <c r="S2848" s="1394">
        <f>IFERROR(VLOOKUP(M2848,#REF!,6,0),0)</f>
        <v>0</v>
      </c>
      <c r="T2848" s="1394">
        <f t="shared" si="805"/>
        <v>0</v>
      </c>
      <c r="U2848" s="1394">
        <f>IFERROR(VLOOKUP(M2848,#REF!,5,0),0)</f>
        <v>0</v>
      </c>
      <c r="V2848" s="1394">
        <f t="shared" si="806"/>
        <v>0</v>
      </c>
      <c r="W2848" s="1394"/>
    </row>
    <row r="2849" spans="2:23" ht="30" customHeight="1">
      <c r="B2849" s="1405">
        <f t="shared" si="811"/>
        <v>0</v>
      </c>
      <c r="C2849" s="1408" t="str">
        <f t="shared" si="811"/>
        <v>Station Writer Below Roof</v>
      </c>
      <c r="D2849" s="1409">
        <f t="shared" si="811"/>
        <v>1</v>
      </c>
      <c r="E2849" s="1409">
        <f t="shared" si="811"/>
        <v>1</v>
      </c>
      <c r="F2849" s="1410">
        <f t="shared" si="811"/>
        <v>2.5</v>
      </c>
      <c r="G2849" s="1410">
        <f t="shared" si="811"/>
        <v>3.9</v>
      </c>
      <c r="H2849" s="1410"/>
      <c r="I2849" s="1471">
        <f t="shared" si="794"/>
        <v>9.75</v>
      </c>
      <c r="M2849" s="110"/>
      <c r="Q2849" s="1394">
        <f>IFERROR(VLOOKUP(M2849,#REF!,3,0),0)</f>
        <v>0</v>
      </c>
      <c r="R2849" s="1394">
        <f t="shared" si="799"/>
        <v>0</v>
      </c>
      <c r="S2849" s="1394">
        <f>IFERROR(VLOOKUP(M2849,#REF!,6,0),0)</f>
        <v>0</v>
      </c>
      <c r="T2849" s="1394">
        <f t="shared" si="805"/>
        <v>0</v>
      </c>
      <c r="U2849" s="1394">
        <f>IFERROR(VLOOKUP(M2849,#REF!,5,0),0)</f>
        <v>0</v>
      </c>
      <c r="V2849" s="1394">
        <f t="shared" si="806"/>
        <v>0</v>
      </c>
      <c r="W2849" s="1394"/>
    </row>
    <row r="2850" spans="2:23" ht="30" customHeight="1">
      <c r="B2850" s="1405">
        <f t="shared" si="811"/>
        <v>0</v>
      </c>
      <c r="C2850" s="1408" t="str">
        <f t="shared" si="811"/>
        <v>Arms Ammunication Below Roof</v>
      </c>
      <c r="D2850" s="1409">
        <f t="shared" si="811"/>
        <v>1</v>
      </c>
      <c r="E2850" s="1409">
        <f t="shared" si="811"/>
        <v>1</v>
      </c>
      <c r="F2850" s="1410">
        <f t="shared" si="811"/>
        <v>1.7350000000000001</v>
      </c>
      <c r="G2850" s="1410">
        <f t="shared" si="811"/>
        <v>2.3199999999999998</v>
      </c>
      <c r="H2850" s="1410"/>
      <c r="I2850" s="1471">
        <f t="shared" si="794"/>
        <v>4.0251999999999999</v>
      </c>
      <c r="M2850" s="110"/>
      <c r="Q2850" s="1394">
        <f>IFERROR(VLOOKUP(M2850,#REF!,3,0),0)</f>
        <v>0</v>
      </c>
      <c r="R2850" s="1394">
        <f t="shared" si="799"/>
        <v>0</v>
      </c>
      <c r="S2850" s="1394">
        <f>IFERROR(VLOOKUP(M2850,#REF!,6,0),0)</f>
        <v>0</v>
      </c>
      <c r="T2850" s="1394">
        <f t="shared" si="805"/>
        <v>0</v>
      </c>
      <c r="U2850" s="1394">
        <f>IFERROR(VLOOKUP(M2850,#REF!,5,0),0)</f>
        <v>0</v>
      </c>
      <c r="V2850" s="1394">
        <f t="shared" si="806"/>
        <v>0</v>
      </c>
      <c r="W2850" s="1394"/>
    </row>
    <row r="2851" spans="2:23" ht="30" customHeight="1">
      <c r="B2851" s="1405">
        <f t="shared" si="811"/>
        <v>0</v>
      </c>
      <c r="C2851" s="1408" t="str">
        <f t="shared" si="811"/>
        <v>Arms Ammunication Below Roof</v>
      </c>
      <c r="D2851" s="1409">
        <f t="shared" si="811"/>
        <v>1</v>
      </c>
      <c r="E2851" s="1409">
        <f t="shared" si="811"/>
        <v>1</v>
      </c>
      <c r="F2851" s="1410">
        <f t="shared" si="811"/>
        <v>1.7350000000000001</v>
      </c>
      <c r="G2851" s="1410">
        <f t="shared" si="811"/>
        <v>1.35</v>
      </c>
      <c r="H2851" s="1410"/>
      <c r="I2851" s="1471">
        <f t="shared" si="794"/>
        <v>2.3422500000000004</v>
      </c>
      <c r="M2851" s="110"/>
      <c r="Q2851" s="1394">
        <f>IFERROR(VLOOKUP(M2851,#REF!,3,0),0)</f>
        <v>0</v>
      </c>
      <c r="R2851" s="1394">
        <f t="shared" si="799"/>
        <v>0</v>
      </c>
      <c r="S2851" s="1394">
        <f>IFERROR(VLOOKUP(M2851,#REF!,6,0),0)</f>
        <v>0</v>
      </c>
      <c r="T2851" s="1394">
        <f t="shared" si="805"/>
        <v>0</v>
      </c>
      <c r="U2851" s="1394">
        <f>IFERROR(VLOOKUP(M2851,#REF!,5,0),0)</f>
        <v>0</v>
      </c>
      <c r="V2851" s="1394">
        <f t="shared" si="806"/>
        <v>0</v>
      </c>
      <c r="W2851" s="1394"/>
    </row>
    <row r="2852" spans="2:23" ht="30" customHeight="1">
      <c r="B2852" s="1405">
        <f t="shared" si="811"/>
        <v>0</v>
      </c>
      <c r="C2852" s="1408" t="str">
        <f t="shared" si="811"/>
        <v>Property Record Below Roof</v>
      </c>
      <c r="D2852" s="1409">
        <f t="shared" si="811"/>
        <v>1</v>
      </c>
      <c r="E2852" s="1409">
        <f t="shared" si="811"/>
        <v>1</v>
      </c>
      <c r="F2852" s="1410">
        <f t="shared" si="811"/>
        <v>3.7650000000000001</v>
      </c>
      <c r="G2852" s="1410">
        <f t="shared" si="811"/>
        <v>2.4350000000000001</v>
      </c>
      <c r="H2852" s="1410"/>
      <c r="I2852" s="1471">
        <f t="shared" si="794"/>
        <v>9.1677750000000007</v>
      </c>
      <c r="M2852" s="110"/>
      <c r="Q2852" s="1394">
        <f>IFERROR(VLOOKUP(M2852,#REF!,3,0),0)</f>
        <v>0</v>
      </c>
      <c r="R2852" s="1394">
        <f t="shared" si="799"/>
        <v>0</v>
      </c>
      <c r="S2852" s="1394">
        <f>IFERROR(VLOOKUP(M2852,#REF!,6,0),0)</f>
        <v>0</v>
      </c>
      <c r="T2852" s="1394">
        <f t="shared" si="805"/>
        <v>0</v>
      </c>
      <c r="U2852" s="1394">
        <f>IFERROR(VLOOKUP(M2852,#REF!,5,0),0)</f>
        <v>0</v>
      </c>
      <c r="V2852" s="1394">
        <f t="shared" si="806"/>
        <v>0</v>
      </c>
      <c r="W2852" s="1394"/>
    </row>
    <row r="2853" spans="2:23" ht="30" customHeight="1">
      <c r="B2853" s="1405">
        <f t="shared" ref="B2853:G2862" si="812">B707</f>
        <v>0</v>
      </c>
      <c r="C2853" s="1408" t="str">
        <f t="shared" si="812"/>
        <v>Toilet Below Roof</v>
      </c>
      <c r="D2853" s="1409">
        <f t="shared" si="812"/>
        <v>1</v>
      </c>
      <c r="E2853" s="1409">
        <f t="shared" si="812"/>
        <v>1</v>
      </c>
      <c r="F2853" s="1410">
        <f t="shared" si="812"/>
        <v>3.7650000000000001</v>
      </c>
      <c r="G2853" s="1410">
        <f t="shared" si="812"/>
        <v>1.2350000000000001</v>
      </c>
      <c r="H2853" s="1410"/>
      <c r="I2853" s="1471">
        <f t="shared" si="794"/>
        <v>4.6497750000000009</v>
      </c>
      <c r="M2853" s="110"/>
      <c r="Q2853" s="1394">
        <f>IFERROR(VLOOKUP(M2853,#REF!,3,0),0)</f>
        <v>0</v>
      </c>
      <c r="R2853" s="1394">
        <f t="shared" si="799"/>
        <v>0</v>
      </c>
      <c r="S2853" s="1394">
        <f>IFERROR(VLOOKUP(M2853,#REF!,6,0),0)</f>
        <v>0</v>
      </c>
      <c r="T2853" s="1394">
        <f t="shared" si="805"/>
        <v>0</v>
      </c>
      <c r="U2853" s="1394">
        <f>IFERROR(VLOOKUP(M2853,#REF!,5,0),0)</f>
        <v>0</v>
      </c>
      <c r="V2853" s="1394">
        <f t="shared" si="806"/>
        <v>0</v>
      </c>
      <c r="W2853" s="1394"/>
    </row>
    <row r="2854" spans="2:23" ht="30" customHeight="1">
      <c r="B2854" s="1405">
        <f t="shared" si="812"/>
        <v>0</v>
      </c>
      <c r="C2854" s="1408" t="str">
        <f t="shared" si="812"/>
        <v>Lock up Men Below Roof</v>
      </c>
      <c r="D2854" s="1409">
        <f t="shared" si="812"/>
        <v>1</v>
      </c>
      <c r="E2854" s="1409">
        <f t="shared" si="812"/>
        <v>1</v>
      </c>
      <c r="F2854" s="1410">
        <f t="shared" si="812"/>
        <v>4</v>
      </c>
      <c r="G2854" s="1410">
        <f t="shared" si="812"/>
        <v>2.5499999999999998</v>
      </c>
      <c r="H2854" s="1410"/>
      <c r="I2854" s="1471">
        <f t="shared" si="794"/>
        <v>10.199999999999999</v>
      </c>
      <c r="M2854" s="110"/>
      <c r="Q2854" s="1394">
        <f>IFERROR(VLOOKUP(M2854,#REF!,3,0),0)</f>
        <v>0</v>
      </c>
      <c r="R2854" s="1394">
        <f t="shared" si="799"/>
        <v>0</v>
      </c>
      <c r="S2854" s="1394">
        <f>IFERROR(VLOOKUP(M2854,#REF!,6,0),0)</f>
        <v>0</v>
      </c>
      <c r="T2854" s="1394">
        <f t="shared" si="805"/>
        <v>0</v>
      </c>
      <c r="U2854" s="1394">
        <f>IFERROR(VLOOKUP(M2854,#REF!,5,0),0)</f>
        <v>0</v>
      </c>
      <c r="V2854" s="1394">
        <f t="shared" si="806"/>
        <v>0</v>
      </c>
      <c r="W2854" s="1394"/>
    </row>
    <row r="2855" spans="2:23" ht="30" customHeight="1">
      <c r="B2855" s="1405">
        <f t="shared" si="812"/>
        <v>0</v>
      </c>
      <c r="C2855" s="1408" t="str">
        <f t="shared" si="812"/>
        <v>INS Room Below Roof</v>
      </c>
      <c r="D2855" s="1409">
        <f t="shared" si="812"/>
        <v>1</v>
      </c>
      <c r="E2855" s="1409">
        <f t="shared" si="812"/>
        <v>1</v>
      </c>
      <c r="F2855" s="1410">
        <f t="shared" si="812"/>
        <v>4</v>
      </c>
      <c r="G2855" s="1410">
        <f t="shared" si="812"/>
        <v>5.0999999999999996</v>
      </c>
      <c r="H2855" s="1410"/>
      <c r="I2855" s="1471">
        <f t="shared" si="794"/>
        <v>20.399999999999999</v>
      </c>
      <c r="M2855" s="110"/>
      <c r="Q2855" s="1394">
        <f>IFERROR(VLOOKUP(M2855,#REF!,3,0),0)</f>
        <v>0</v>
      </c>
      <c r="R2855" s="1394">
        <f t="shared" si="799"/>
        <v>0</v>
      </c>
      <c r="S2855" s="1394">
        <f>IFERROR(VLOOKUP(M2855,#REF!,6,0),0)</f>
        <v>0</v>
      </c>
      <c r="T2855" s="1394">
        <f t="shared" si="805"/>
        <v>0</v>
      </c>
      <c r="U2855" s="1394">
        <f>IFERROR(VLOOKUP(M2855,#REF!,5,0),0)</f>
        <v>0</v>
      </c>
      <c r="V2855" s="1394">
        <f t="shared" si="806"/>
        <v>0</v>
      </c>
      <c r="W2855" s="1394"/>
    </row>
    <row r="2856" spans="2:23" ht="30" customHeight="1">
      <c r="B2856" s="1405">
        <f t="shared" si="812"/>
        <v>0</v>
      </c>
      <c r="C2856" s="1408" t="str">
        <f t="shared" si="812"/>
        <v>INS Room Toilet Below Roof</v>
      </c>
      <c r="D2856" s="1409">
        <f t="shared" si="812"/>
        <v>1</v>
      </c>
      <c r="E2856" s="1409">
        <f t="shared" si="812"/>
        <v>1</v>
      </c>
      <c r="F2856" s="1410">
        <f t="shared" si="812"/>
        <v>4</v>
      </c>
      <c r="G2856" s="1410">
        <f t="shared" si="812"/>
        <v>1.5</v>
      </c>
      <c r="H2856" s="1410"/>
      <c r="I2856" s="1471">
        <f t="shared" si="794"/>
        <v>6</v>
      </c>
      <c r="M2856" s="110"/>
      <c r="Q2856" s="1394">
        <f>IFERROR(VLOOKUP(M2856,#REF!,3,0),0)</f>
        <v>0</v>
      </c>
      <c r="R2856" s="1394">
        <f t="shared" si="799"/>
        <v>0</v>
      </c>
      <c r="S2856" s="1394">
        <f>IFERROR(VLOOKUP(M2856,#REF!,6,0),0)</f>
        <v>0</v>
      </c>
      <c r="T2856" s="1394">
        <f t="shared" si="805"/>
        <v>0</v>
      </c>
      <c r="U2856" s="1394">
        <f>IFERROR(VLOOKUP(M2856,#REF!,5,0),0)</f>
        <v>0</v>
      </c>
      <c r="V2856" s="1394">
        <f t="shared" si="806"/>
        <v>0</v>
      </c>
      <c r="W2856" s="1394"/>
    </row>
    <row r="2857" spans="2:23" ht="30" customHeight="1">
      <c r="B2857" s="1405">
        <f t="shared" si="812"/>
        <v>0</v>
      </c>
      <c r="C2857" s="1408" t="str">
        <f t="shared" si="812"/>
        <v>Writer Below Roof</v>
      </c>
      <c r="D2857" s="1409">
        <f t="shared" si="812"/>
        <v>1</v>
      </c>
      <c r="E2857" s="1409">
        <f t="shared" si="812"/>
        <v>1</v>
      </c>
      <c r="F2857" s="1410">
        <f t="shared" si="812"/>
        <v>3</v>
      </c>
      <c r="G2857" s="1410">
        <f t="shared" si="812"/>
        <v>5.3</v>
      </c>
      <c r="H2857" s="1410"/>
      <c r="I2857" s="1471">
        <f t="shared" si="794"/>
        <v>15.899999999999999</v>
      </c>
      <c r="M2857" s="110"/>
      <c r="Q2857" s="1394">
        <f>IFERROR(VLOOKUP(M2857,#REF!,3,0),0)</f>
        <v>0</v>
      </c>
      <c r="R2857" s="1394">
        <f t="shared" si="799"/>
        <v>0</v>
      </c>
      <c r="S2857" s="1394">
        <f>IFERROR(VLOOKUP(M2857,#REF!,6,0),0)</f>
        <v>0</v>
      </c>
      <c r="T2857" s="1394">
        <f t="shared" si="805"/>
        <v>0</v>
      </c>
      <c r="U2857" s="1394">
        <f>IFERROR(VLOOKUP(M2857,#REF!,5,0),0)</f>
        <v>0</v>
      </c>
      <c r="V2857" s="1394">
        <f t="shared" si="806"/>
        <v>0</v>
      </c>
      <c r="W2857" s="1394"/>
    </row>
    <row r="2858" spans="2:23" ht="30" customHeight="1">
      <c r="B2858" s="1405">
        <f t="shared" si="812"/>
        <v>0</v>
      </c>
      <c r="C2858" s="1408" t="str">
        <f t="shared" si="812"/>
        <v>Stair Case Lobby-1 Below Roof</v>
      </c>
      <c r="D2858" s="1409">
        <f t="shared" si="812"/>
        <v>1</v>
      </c>
      <c r="E2858" s="1409">
        <f t="shared" si="812"/>
        <v>1</v>
      </c>
      <c r="F2858" s="1410">
        <f t="shared" si="812"/>
        <v>2.5249999999999999</v>
      </c>
      <c r="G2858" s="1410">
        <f t="shared" si="812"/>
        <v>2.77</v>
      </c>
      <c r="H2858" s="1410"/>
      <c r="I2858" s="1471">
        <f t="shared" si="794"/>
        <v>6.9942500000000001</v>
      </c>
      <c r="M2858" s="110"/>
      <c r="Q2858" s="1394">
        <f>IFERROR(VLOOKUP(M2858,#REF!,3,0),0)</f>
        <v>0</v>
      </c>
      <c r="R2858" s="1394">
        <f t="shared" si="799"/>
        <v>0</v>
      </c>
      <c r="S2858" s="1394">
        <f>IFERROR(VLOOKUP(M2858,#REF!,6,0),0)</f>
        <v>0</v>
      </c>
      <c r="T2858" s="1394">
        <f t="shared" si="805"/>
        <v>0</v>
      </c>
      <c r="U2858" s="1394">
        <f>IFERROR(VLOOKUP(M2858,#REF!,5,0),0)</f>
        <v>0</v>
      </c>
      <c r="V2858" s="1394">
        <f t="shared" si="806"/>
        <v>0</v>
      </c>
      <c r="W2858" s="1394"/>
    </row>
    <row r="2859" spans="2:23" ht="30" customHeight="1">
      <c r="B2859" s="1405">
        <f t="shared" si="812"/>
        <v>0</v>
      </c>
      <c r="C2859" s="1408" t="str">
        <f t="shared" si="812"/>
        <v>Stair Case Lobby-1 Below Roof</v>
      </c>
      <c r="D2859" s="1409">
        <f t="shared" si="812"/>
        <v>1</v>
      </c>
      <c r="E2859" s="1409">
        <f t="shared" si="812"/>
        <v>1</v>
      </c>
      <c r="F2859" s="1410">
        <f t="shared" si="812"/>
        <v>4.3250000000000002</v>
      </c>
      <c r="G2859" s="1410">
        <f t="shared" si="812"/>
        <v>2.2999999999999998</v>
      </c>
      <c r="H2859" s="1410"/>
      <c r="I2859" s="1471">
        <f t="shared" si="794"/>
        <v>9.9474999999999998</v>
      </c>
      <c r="M2859" s="110"/>
      <c r="Q2859" s="1394">
        <f>IFERROR(VLOOKUP(M2859,#REF!,3,0),0)</f>
        <v>0</v>
      </c>
      <c r="R2859" s="1394">
        <f t="shared" si="799"/>
        <v>0</v>
      </c>
      <c r="S2859" s="1394">
        <f>IFERROR(VLOOKUP(M2859,#REF!,6,0),0)</f>
        <v>0</v>
      </c>
      <c r="T2859" s="1394">
        <f t="shared" si="805"/>
        <v>0</v>
      </c>
      <c r="U2859" s="1394">
        <f>IFERROR(VLOOKUP(M2859,#REF!,5,0),0)</f>
        <v>0</v>
      </c>
      <c r="V2859" s="1394">
        <f t="shared" si="806"/>
        <v>0</v>
      </c>
      <c r="W2859" s="1394"/>
    </row>
    <row r="2860" spans="2:23" ht="30" customHeight="1">
      <c r="B2860" s="1405">
        <f t="shared" si="812"/>
        <v>0</v>
      </c>
      <c r="C2860" s="1408" t="str">
        <f t="shared" si="812"/>
        <v>Hall Below Roof</v>
      </c>
      <c r="D2860" s="1409">
        <f t="shared" si="812"/>
        <v>1</v>
      </c>
      <c r="E2860" s="1409">
        <f t="shared" si="812"/>
        <v>1</v>
      </c>
      <c r="F2860" s="1410">
        <f t="shared" si="812"/>
        <v>2.1</v>
      </c>
      <c r="G2860" s="1410">
        <f t="shared" si="812"/>
        <v>5.76</v>
      </c>
      <c r="H2860" s="1410"/>
      <c r="I2860" s="1471">
        <f t="shared" si="794"/>
        <v>12.096</v>
      </c>
      <c r="K2860" s="1408"/>
      <c r="M2860" s="110"/>
      <c r="Q2860" s="1394">
        <f>IFERROR(VLOOKUP(M2860,#REF!,3,0),0)</f>
        <v>0</v>
      </c>
      <c r="R2860" s="1394">
        <f t="shared" si="799"/>
        <v>0</v>
      </c>
      <c r="S2860" s="1394">
        <f>IFERROR(VLOOKUP(M2860,#REF!,6,0),0)</f>
        <v>0</v>
      </c>
      <c r="T2860" s="1394">
        <f t="shared" si="805"/>
        <v>0</v>
      </c>
      <c r="U2860" s="1394">
        <f>IFERROR(VLOOKUP(M2860,#REF!,5,0),0)</f>
        <v>0</v>
      </c>
      <c r="V2860" s="1394">
        <f t="shared" si="806"/>
        <v>0</v>
      </c>
      <c r="W2860" s="1394"/>
    </row>
    <row r="2861" spans="2:23" ht="30" customHeight="1">
      <c r="B2861" s="1405">
        <f t="shared" si="812"/>
        <v>0</v>
      </c>
      <c r="C2861" s="1408" t="str">
        <f t="shared" si="812"/>
        <v>Hall Below Roof</v>
      </c>
      <c r="D2861" s="1409">
        <f t="shared" si="812"/>
        <v>1</v>
      </c>
      <c r="E2861" s="1409">
        <f t="shared" si="812"/>
        <v>1</v>
      </c>
      <c r="F2861" s="1410">
        <f t="shared" si="812"/>
        <v>4.3250000000000002</v>
      </c>
      <c r="G2861" s="1410">
        <f t="shared" si="812"/>
        <v>5.76</v>
      </c>
      <c r="H2861" s="1410"/>
      <c r="I2861" s="1471">
        <f t="shared" si="794"/>
        <v>24.911999999999999</v>
      </c>
      <c r="K2861" s="1408"/>
      <c r="M2861" s="110"/>
      <c r="Q2861" s="1394">
        <f>IFERROR(VLOOKUP(M2861,#REF!,3,0),0)</f>
        <v>0</v>
      </c>
      <c r="R2861" s="1394">
        <f t="shared" si="799"/>
        <v>0</v>
      </c>
      <c r="S2861" s="1394">
        <f>IFERROR(VLOOKUP(M2861,#REF!,6,0),0)</f>
        <v>0</v>
      </c>
      <c r="T2861" s="1394">
        <f t="shared" si="805"/>
        <v>0</v>
      </c>
      <c r="U2861" s="1394">
        <f>IFERROR(VLOOKUP(M2861,#REF!,5,0),0)</f>
        <v>0</v>
      </c>
      <c r="V2861" s="1394">
        <f t="shared" si="806"/>
        <v>0</v>
      </c>
      <c r="W2861" s="1394"/>
    </row>
    <row r="2862" spans="2:23" ht="30" customHeight="1">
      <c r="B2862" s="1405">
        <f t="shared" si="812"/>
        <v>0</v>
      </c>
      <c r="C2862" s="1408" t="str">
        <f t="shared" si="812"/>
        <v>Hall Below Roof</v>
      </c>
      <c r="D2862" s="1409">
        <f t="shared" si="812"/>
        <v>1</v>
      </c>
      <c r="E2862" s="1409">
        <f t="shared" si="812"/>
        <v>1</v>
      </c>
      <c r="F2862" s="1410">
        <f t="shared" si="812"/>
        <v>3</v>
      </c>
      <c r="G2862" s="1410">
        <f t="shared" si="812"/>
        <v>5.76</v>
      </c>
      <c r="H2862" s="1410"/>
      <c r="I2862" s="1471">
        <f t="shared" si="794"/>
        <v>17.28</v>
      </c>
      <c r="K2862" s="1408"/>
      <c r="M2862" s="110"/>
      <c r="Q2862" s="1394">
        <f>IFERROR(VLOOKUP(M2862,#REF!,3,0),0)</f>
        <v>0</v>
      </c>
      <c r="R2862" s="1394">
        <f t="shared" ref="R2862:R2925" si="813">ROUND(O2862,2)*ROUND(Q2862,2)</f>
        <v>0</v>
      </c>
      <c r="S2862" s="1394">
        <f>IFERROR(VLOOKUP(M2862,#REF!,6,0),0)</f>
        <v>0</v>
      </c>
      <c r="T2862" s="1394">
        <f t="shared" si="805"/>
        <v>0</v>
      </c>
      <c r="U2862" s="1394">
        <f>IFERROR(VLOOKUP(M2862,#REF!,5,0),0)</f>
        <v>0</v>
      </c>
      <c r="V2862" s="1394">
        <f t="shared" si="806"/>
        <v>0</v>
      </c>
      <c r="W2862" s="1394"/>
    </row>
    <row r="2863" spans="2:23" ht="30" customHeight="1">
      <c r="B2863" s="1405"/>
      <c r="C2863" s="1408" t="str">
        <f t="shared" ref="C2863:G2864" si="814">C717</f>
        <v>Portico</v>
      </c>
      <c r="D2863" s="1409">
        <f t="shared" si="814"/>
        <v>1</v>
      </c>
      <c r="E2863" s="1409">
        <f t="shared" si="814"/>
        <v>1</v>
      </c>
      <c r="F2863" s="1410">
        <f t="shared" si="814"/>
        <v>3.4249999999999998</v>
      </c>
      <c r="G2863" s="1410">
        <f t="shared" si="814"/>
        <v>3.6349999999999998</v>
      </c>
      <c r="H2863" s="1410"/>
      <c r="I2863" s="1471">
        <f t="shared" ref="I2863:I2864" si="815">PRODUCT(D2863:H2863)</f>
        <v>12.449874999999999</v>
      </c>
      <c r="K2863" s="1476"/>
      <c r="M2863" s="110"/>
      <c r="Q2863" s="1394">
        <f>IFERROR(VLOOKUP(M2863,#REF!,3,0),0)</f>
        <v>0</v>
      </c>
      <c r="R2863" s="1394">
        <f t="shared" si="813"/>
        <v>0</v>
      </c>
      <c r="S2863" s="1394">
        <f>IFERROR(VLOOKUP(M2863,#REF!,6,0),0)</f>
        <v>0</v>
      </c>
      <c r="T2863" s="1394">
        <f t="shared" si="805"/>
        <v>0</v>
      </c>
      <c r="U2863" s="1394">
        <f>IFERROR(VLOOKUP(M2863,#REF!,5,0),0)</f>
        <v>0</v>
      </c>
      <c r="V2863" s="1394">
        <f t="shared" si="806"/>
        <v>0</v>
      </c>
      <c r="W2863" s="1394"/>
    </row>
    <row r="2864" spans="2:23" ht="30" customHeight="1">
      <c r="B2864" s="1405"/>
      <c r="C2864" s="1408" t="str">
        <f t="shared" si="814"/>
        <v>Portico</v>
      </c>
      <c r="D2864" s="1409">
        <f t="shared" si="814"/>
        <v>1</v>
      </c>
      <c r="E2864" s="1409">
        <f t="shared" si="814"/>
        <v>1</v>
      </c>
      <c r="F2864" s="1410">
        <f t="shared" si="814"/>
        <v>3.4249999999999998</v>
      </c>
      <c r="G2864" s="1410">
        <f t="shared" si="814"/>
        <v>0.71</v>
      </c>
      <c r="H2864" s="1410"/>
      <c r="I2864" s="1471">
        <f t="shared" si="815"/>
        <v>2.4317499999999996</v>
      </c>
      <c r="K2864" s="1476"/>
      <c r="Q2864" s="1394">
        <f>IFERROR(VLOOKUP(M2864,#REF!,3,0),0)</f>
        <v>0</v>
      </c>
      <c r="R2864" s="1394">
        <f t="shared" si="813"/>
        <v>0</v>
      </c>
      <c r="S2864" s="1394">
        <f>IFERROR(VLOOKUP(M2864,#REF!,6,0),0)</f>
        <v>0</v>
      </c>
      <c r="T2864" s="1394">
        <f t="shared" si="805"/>
        <v>0</v>
      </c>
      <c r="U2864" s="1394">
        <f>IFERROR(VLOOKUP(M2864,#REF!,5,0),0)</f>
        <v>0</v>
      </c>
      <c r="V2864" s="1394">
        <f t="shared" si="806"/>
        <v>0</v>
      </c>
      <c r="W2864" s="1394"/>
    </row>
    <row r="2865" spans="2:24" ht="30" customHeight="1">
      <c r="B2865" s="1405"/>
      <c r="C2865" s="1408"/>
      <c r="D2865" s="1409"/>
      <c r="E2865" s="1409"/>
      <c r="F2865" s="1410"/>
      <c r="G2865" s="1410"/>
      <c r="H2865" s="1410"/>
      <c r="I2865" s="1471"/>
      <c r="K2865" s="1476"/>
      <c r="Q2865" s="1394">
        <f>IFERROR(VLOOKUP(M2865,#REF!,3,0),0)</f>
        <v>0</v>
      </c>
      <c r="R2865" s="1394">
        <f t="shared" si="813"/>
        <v>0</v>
      </c>
      <c r="S2865" s="1394">
        <f>IFERROR(VLOOKUP(M2865,#REF!,6,0),0)</f>
        <v>0</v>
      </c>
      <c r="T2865" s="1394">
        <f t="shared" si="805"/>
        <v>0</v>
      </c>
      <c r="U2865" s="1394">
        <f>IFERROR(VLOOKUP(M2865,#REF!,5,0),0)</f>
        <v>0</v>
      </c>
      <c r="V2865" s="1394">
        <f t="shared" si="806"/>
        <v>0</v>
      </c>
      <c r="W2865" s="1394"/>
    </row>
    <row r="2866" spans="2:24" ht="30" customHeight="1">
      <c r="B2866" s="1405">
        <f t="shared" ref="B2866:H2866" si="816">B719</f>
        <v>0</v>
      </c>
      <c r="C2866" s="1415" t="str">
        <f t="shared" si="816"/>
        <v>Staircase</v>
      </c>
      <c r="D2866" s="1409">
        <f t="shared" si="816"/>
        <v>0</v>
      </c>
      <c r="E2866" s="1409">
        <f t="shared" si="816"/>
        <v>0</v>
      </c>
      <c r="F2866" s="1410">
        <f t="shared" si="816"/>
        <v>0</v>
      </c>
      <c r="G2866" s="1410">
        <f t="shared" si="816"/>
        <v>0</v>
      </c>
      <c r="H2866" s="1410">
        <f t="shared" si="816"/>
        <v>0</v>
      </c>
      <c r="I2866" s="1471"/>
      <c r="Q2866" s="1394">
        <f>IFERROR(VLOOKUP(M2866,#REF!,3,0),0)</f>
        <v>0</v>
      </c>
      <c r="R2866" s="1394">
        <f t="shared" si="813"/>
        <v>0</v>
      </c>
      <c r="S2866" s="1394">
        <f>IFERROR(VLOOKUP(M2866,#REF!,6,0),0)</f>
        <v>0</v>
      </c>
      <c r="T2866" s="1394">
        <f t="shared" si="805"/>
        <v>0</v>
      </c>
      <c r="U2866" s="1394">
        <f>IFERROR(VLOOKUP(M2866,#REF!,5,0),0)</f>
        <v>0</v>
      </c>
      <c r="V2866" s="1394">
        <f t="shared" si="806"/>
        <v>0</v>
      </c>
      <c r="W2866" s="1394"/>
    </row>
    <row r="2867" spans="2:24" ht="30" customHeight="1">
      <c r="B2867" s="1405">
        <f t="shared" ref="B2867:G2869" si="817">B720</f>
        <v>0</v>
      </c>
      <c r="C2867" s="1408" t="str">
        <f t="shared" si="817"/>
        <v>Waist slab-1</v>
      </c>
      <c r="D2867" s="1409">
        <f t="shared" si="817"/>
        <v>1</v>
      </c>
      <c r="E2867" s="1409">
        <f t="shared" si="817"/>
        <v>1</v>
      </c>
      <c r="F2867" s="1410">
        <f t="shared" si="817"/>
        <v>3.6</v>
      </c>
      <c r="G2867" s="1410">
        <f t="shared" si="817"/>
        <v>1.2</v>
      </c>
      <c r="H2867" s="1410"/>
      <c r="I2867" s="1471">
        <f t="shared" ref="I2867:I2869" si="818">PRODUCT(D2867:H2867)</f>
        <v>4.32</v>
      </c>
      <c r="Q2867" s="1394">
        <f>IFERROR(VLOOKUP(M2867,#REF!,3,0),0)</f>
        <v>0</v>
      </c>
      <c r="R2867" s="1394">
        <f t="shared" si="813"/>
        <v>0</v>
      </c>
      <c r="S2867" s="1394">
        <f>IFERROR(VLOOKUP(M2867,#REF!,6,0),0)</f>
        <v>0</v>
      </c>
      <c r="T2867" s="1394">
        <f t="shared" si="805"/>
        <v>0</v>
      </c>
      <c r="U2867" s="1394">
        <f>IFERROR(VLOOKUP(M2867,#REF!,5,0),0)</f>
        <v>0</v>
      </c>
      <c r="V2867" s="1394">
        <f t="shared" si="806"/>
        <v>0</v>
      </c>
      <c r="W2867" s="1394"/>
    </row>
    <row r="2868" spans="2:24" ht="30" customHeight="1">
      <c r="B2868" s="1405">
        <f t="shared" si="817"/>
        <v>0</v>
      </c>
      <c r="C2868" s="1408" t="str">
        <f t="shared" si="817"/>
        <v>Landing slab</v>
      </c>
      <c r="D2868" s="1409">
        <f t="shared" si="817"/>
        <v>1</v>
      </c>
      <c r="E2868" s="1409">
        <f t="shared" si="817"/>
        <v>1</v>
      </c>
      <c r="F2868" s="1410">
        <f t="shared" si="817"/>
        <v>3.23</v>
      </c>
      <c r="G2868" s="1410">
        <f t="shared" si="817"/>
        <v>1.2</v>
      </c>
      <c r="H2868" s="1410"/>
      <c r="I2868" s="1471">
        <f t="shared" si="818"/>
        <v>3.8759999999999999</v>
      </c>
      <c r="Q2868" s="1394">
        <f>IFERROR(VLOOKUP(M2868,#REF!,3,0),0)</f>
        <v>0</v>
      </c>
      <c r="R2868" s="1394">
        <f t="shared" si="813"/>
        <v>0</v>
      </c>
      <c r="S2868" s="1394">
        <f>IFERROR(VLOOKUP(M2868,#REF!,6,0),0)</f>
        <v>0</v>
      </c>
      <c r="T2868" s="1394">
        <f t="shared" si="805"/>
        <v>0</v>
      </c>
      <c r="U2868" s="1394">
        <f>IFERROR(VLOOKUP(M2868,#REF!,5,0),0)</f>
        <v>0</v>
      </c>
      <c r="V2868" s="1394">
        <f t="shared" si="806"/>
        <v>0</v>
      </c>
      <c r="W2868" s="1394"/>
    </row>
    <row r="2869" spans="2:24" ht="30" customHeight="1">
      <c r="B2869" s="1405">
        <f t="shared" si="817"/>
        <v>0</v>
      </c>
      <c r="C2869" s="1408" t="str">
        <f t="shared" si="817"/>
        <v>Waist slab-2</v>
      </c>
      <c r="D2869" s="1409">
        <f t="shared" si="817"/>
        <v>1</v>
      </c>
      <c r="E2869" s="1409">
        <f t="shared" si="817"/>
        <v>1</v>
      </c>
      <c r="F2869" s="1410">
        <f t="shared" si="817"/>
        <v>3.4</v>
      </c>
      <c r="G2869" s="1410">
        <f t="shared" si="817"/>
        <v>1.2</v>
      </c>
      <c r="H2869" s="1410"/>
      <c r="I2869" s="1471">
        <f t="shared" si="818"/>
        <v>4.08</v>
      </c>
      <c r="Q2869" s="1394">
        <f>IFERROR(VLOOKUP(M2869,#REF!,3,0),0)</f>
        <v>0</v>
      </c>
      <c r="R2869" s="1394">
        <f t="shared" si="813"/>
        <v>0</v>
      </c>
      <c r="S2869" s="1394">
        <f>IFERROR(VLOOKUP(M2869,#REF!,6,0),0)</f>
        <v>0</v>
      </c>
      <c r="T2869" s="1394">
        <f t="shared" si="805"/>
        <v>0</v>
      </c>
      <c r="U2869" s="1394">
        <f>IFERROR(VLOOKUP(M2869,#REF!,5,0),0)</f>
        <v>0</v>
      </c>
      <c r="V2869" s="1394">
        <f t="shared" si="806"/>
        <v>0</v>
      </c>
      <c r="W2869" s="1394"/>
    </row>
    <row r="2870" spans="2:24" ht="30" customHeight="1">
      <c r="B2870" s="1405"/>
      <c r="C2870" s="1408"/>
      <c r="D2870" s="1409"/>
      <c r="E2870" s="1409"/>
      <c r="F2870" s="1410"/>
      <c r="G2870" s="1410"/>
      <c r="H2870" s="1410"/>
      <c r="I2870" s="1471"/>
      <c r="Q2870" s="1394">
        <f>IFERROR(VLOOKUP(M2870,#REF!,3,0),0)</f>
        <v>0</v>
      </c>
      <c r="R2870" s="1394">
        <f t="shared" si="813"/>
        <v>0</v>
      </c>
      <c r="S2870" s="1394">
        <f>IFERROR(VLOOKUP(M2870,#REF!,6,0),0)</f>
        <v>0</v>
      </c>
      <c r="T2870" s="1394">
        <f t="shared" si="805"/>
        <v>0</v>
      </c>
      <c r="U2870" s="1394">
        <f>IFERROR(VLOOKUP(M2870,#REF!,5,0),0)</f>
        <v>0</v>
      </c>
      <c r="V2870" s="1394">
        <f t="shared" si="806"/>
        <v>0</v>
      </c>
      <c r="W2870" s="1394"/>
    </row>
    <row r="2871" spans="2:24" ht="30" customHeight="1">
      <c r="B2871" s="1407">
        <f>B727</f>
        <v>0</v>
      </c>
      <c r="C2871" s="1678" t="e">
        <f>C727</f>
        <v>#REF!</v>
      </c>
      <c r="D2871" s="1678"/>
      <c r="E2871" s="1678"/>
      <c r="F2871" s="1678"/>
      <c r="G2871" s="1678"/>
      <c r="H2871" s="1678"/>
      <c r="I2871" s="1406"/>
      <c r="Q2871" s="1394">
        <f>IFERROR(VLOOKUP(M2871,#REF!,3,0),0)</f>
        <v>0</v>
      </c>
      <c r="R2871" s="1394">
        <f t="shared" si="813"/>
        <v>0</v>
      </c>
      <c r="S2871" s="1394">
        <f>IFERROR(VLOOKUP(M2871,#REF!,6,0),0)</f>
        <v>0</v>
      </c>
      <c r="T2871" s="1394">
        <f t="shared" si="805"/>
        <v>0</v>
      </c>
      <c r="U2871" s="1394">
        <f>IFERROR(VLOOKUP(M2871,#REF!,5,0),0)</f>
        <v>0</v>
      </c>
      <c r="V2871" s="1394">
        <f t="shared" si="806"/>
        <v>0</v>
      </c>
      <c r="W2871" s="1394"/>
      <c r="X2871" s="1397"/>
    </row>
    <row r="2872" spans="2:24" ht="30" customHeight="1">
      <c r="B2872" s="1407">
        <f>B728</f>
        <v>0</v>
      </c>
      <c r="C2872" s="1455">
        <f>C728</f>
        <v>0</v>
      </c>
      <c r="D2872" s="103">
        <f>D728</f>
        <v>0</v>
      </c>
      <c r="E2872" s="103">
        <f>E728</f>
        <v>0</v>
      </c>
      <c r="F2872" s="1413">
        <f>F728</f>
        <v>0</v>
      </c>
      <c r="G2872" s="1413">
        <f>G728</f>
        <v>0</v>
      </c>
      <c r="H2872" s="1478">
        <f>H728</f>
        <v>0</v>
      </c>
      <c r="I2872" s="1479"/>
      <c r="Q2872" s="1394">
        <f>IFERROR(VLOOKUP(M2872,#REF!,3,0),0)</f>
        <v>0</v>
      </c>
      <c r="R2872" s="1394">
        <f t="shared" si="813"/>
        <v>0</v>
      </c>
      <c r="S2872" s="1394">
        <f>IFERROR(VLOOKUP(M2872,#REF!,6,0),0)</f>
        <v>0</v>
      </c>
      <c r="T2872" s="1394">
        <f t="shared" si="805"/>
        <v>0</v>
      </c>
      <c r="U2872" s="1394">
        <f>IFERROR(VLOOKUP(M2872,#REF!,5,0),0)</f>
        <v>0</v>
      </c>
      <c r="V2872" s="1394">
        <f t="shared" si="806"/>
        <v>0</v>
      </c>
      <c r="W2872" s="1394"/>
    </row>
    <row r="2873" spans="2:24" ht="30" customHeight="1">
      <c r="B2873" s="1405">
        <f t="shared" ref="B2873:H2873" si="819">B832</f>
        <v>0</v>
      </c>
      <c r="C2873" s="1415" t="str">
        <f t="shared" si="819"/>
        <v>Staircase</v>
      </c>
      <c r="D2873" s="1409">
        <f t="shared" si="819"/>
        <v>0</v>
      </c>
      <c r="E2873" s="1409">
        <f t="shared" si="819"/>
        <v>0</v>
      </c>
      <c r="F2873" s="1410">
        <f t="shared" si="819"/>
        <v>0</v>
      </c>
      <c r="G2873" s="1410">
        <f t="shared" si="819"/>
        <v>0</v>
      </c>
      <c r="H2873" s="1410">
        <f t="shared" si="819"/>
        <v>0</v>
      </c>
      <c r="I2873" s="1471">
        <f t="shared" ref="I2873:I2904" si="820">PRODUCT(D2873:H2873)</f>
        <v>0</v>
      </c>
      <c r="O2873" s="1469"/>
      <c r="Q2873" s="1394">
        <f>IFERROR(VLOOKUP(M2873,#REF!,3,0),0)</f>
        <v>0</v>
      </c>
      <c r="R2873" s="1394">
        <f t="shared" si="813"/>
        <v>0</v>
      </c>
      <c r="S2873" s="1394">
        <f>IFERROR(VLOOKUP(M2873,#REF!,6,0),0)</f>
        <v>0</v>
      </c>
      <c r="T2873" s="1394">
        <f t="shared" si="805"/>
        <v>0</v>
      </c>
      <c r="U2873" s="1394">
        <f>IFERROR(VLOOKUP(M2873,#REF!,5,0),0)</f>
        <v>0</v>
      </c>
      <c r="V2873" s="1394">
        <f t="shared" si="806"/>
        <v>0</v>
      </c>
      <c r="W2873" s="1394"/>
    </row>
    <row r="2874" spans="2:24" ht="30" customHeight="1">
      <c r="B2874" s="1405">
        <f t="shared" ref="B2874:G2876" si="821">B833</f>
        <v>0</v>
      </c>
      <c r="C2874" s="1408" t="str">
        <f t="shared" si="821"/>
        <v>Waist slab-3</v>
      </c>
      <c r="D2874" s="1409">
        <f t="shared" si="821"/>
        <v>1</v>
      </c>
      <c r="E2874" s="1409">
        <f t="shared" si="821"/>
        <v>1</v>
      </c>
      <c r="F2874" s="1410">
        <f t="shared" si="821"/>
        <v>3.75</v>
      </c>
      <c r="G2874" s="1410">
        <f t="shared" si="821"/>
        <v>1.2</v>
      </c>
      <c r="H2874" s="1410"/>
      <c r="I2874" s="1471">
        <f t="shared" si="820"/>
        <v>4.5</v>
      </c>
      <c r="O2874" s="1395"/>
      <c r="Q2874" s="1394">
        <f>IFERROR(VLOOKUP(M2874,#REF!,3,0),0)</f>
        <v>0</v>
      </c>
      <c r="R2874" s="1394">
        <f t="shared" si="813"/>
        <v>0</v>
      </c>
      <c r="S2874" s="1394">
        <f>IFERROR(VLOOKUP(M2874,#REF!,6,0),0)</f>
        <v>0</v>
      </c>
      <c r="T2874" s="1394">
        <f t="shared" si="805"/>
        <v>0</v>
      </c>
      <c r="U2874" s="1394">
        <f>IFERROR(VLOOKUP(M2874,#REF!,5,0),0)</f>
        <v>0</v>
      </c>
      <c r="V2874" s="1394">
        <f t="shared" si="806"/>
        <v>0</v>
      </c>
      <c r="W2874" s="1394"/>
    </row>
    <row r="2875" spans="2:24" ht="30" customHeight="1">
      <c r="B2875" s="1405">
        <f t="shared" si="821"/>
        <v>0</v>
      </c>
      <c r="C2875" s="1408" t="str">
        <f t="shared" si="821"/>
        <v>Landing slab</v>
      </c>
      <c r="D2875" s="1409">
        <f t="shared" si="821"/>
        <v>1</v>
      </c>
      <c r="E2875" s="1409">
        <f t="shared" si="821"/>
        <v>1</v>
      </c>
      <c r="F2875" s="1410">
        <f t="shared" si="821"/>
        <v>3.23</v>
      </c>
      <c r="G2875" s="1410">
        <f t="shared" si="821"/>
        <v>1.2</v>
      </c>
      <c r="H2875" s="1410"/>
      <c r="I2875" s="1471">
        <f t="shared" si="820"/>
        <v>3.8759999999999999</v>
      </c>
      <c r="O2875" s="1395"/>
      <c r="Q2875" s="1394">
        <f>IFERROR(VLOOKUP(M2875,#REF!,3,0),0)</f>
        <v>0</v>
      </c>
      <c r="R2875" s="1394">
        <f t="shared" si="813"/>
        <v>0</v>
      </c>
      <c r="S2875" s="1394">
        <f>IFERROR(VLOOKUP(M2875,#REF!,6,0),0)</f>
        <v>0</v>
      </c>
      <c r="T2875" s="1394">
        <f t="shared" si="805"/>
        <v>0</v>
      </c>
      <c r="U2875" s="1394">
        <f>IFERROR(VLOOKUP(M2875,#REF!,5,0),0)</f>
        <v>0</v>
      </c>
      <c r="V2875" s="1394">
        <f t="shared" si="806"/>
        <v>0</v>
      </c>
      <c r="W2875" s="1394"/>
    </row>
    <row r="2876" spans="2:24" ht="30" customHeight="1">
      <c r="B2876" s="1405">
        <f t="shared" si="821"/>
        <v>0</v>
      </c>
      <c r="C2876" s="1408" t="str">
        <f t="shared" si="821"/>
        <v>Waist slab-4</v>
      </c>
      <c r="D2876" s="1409">
        <f t="shared" si="821"/>
        <v>1</v>
      </c>
      <c r="E2876" s="1409">
        <f t="shared" si="821"/>
        <v>1</v>
      </c>
      <c r="F2876" s="1410">
        <f t="shared" si="821"/>
        <v>3.4</v>
      </c>
      <c r="G2876" s="1410">
        <f t="shared" si="821"/>
        <v>1.2</v>
      </c>
      <c r="H2876" s="1410"/>
      <c r="I2876" s="1471">
        <f t="shared" si="820"/>
        <v>4.08</v>
      </c>
      <c r="O2876" s="1395"/>
      <c r="Q2876" s="1394">
        <f>IFERROR(VLOOKUP(M2876,#REF!,3,0),0)</f>
        <v>0</v>
      </c>
      <c r="R2876" s="1394">
        <f t="shared" si="813"/>
        <v>0</v>
      </c>
      <c r="S2876" s="1394">
        <f>IFERROR(VLOOKUP(M2876,#REF!,6,0),0)</f>
        <v>0</v>
      </c>
      <c r="T2876" s="1394">
        <f t="shared" si="805"/>
        <v>0</v>
      </c>
      <c r="U2876" s="1394">
        <f>IFERROR(VLOOKUP(M2876,#REF!,5,0),0)</f>
        <v>0</v>
      </c>
      <c r="V2876" s="1394">
        <f t="shared" si="806"/>
        <v>0</v>
      </c>
      <c r="W2876" s="1394"/>
    </row>
    <row r="2877" spans="2:24" ht="30" customHeight="1">
      <c r="B2877" s="1405">
        <f t="shared" ref="B2877:H2877" si="822">B837</f>
        <v>0</v>
      </c>
      <c r="C2877" s="1480">
        <f t="shared" si="822"/>
        <v>0</v>
      </c>
      <c r="D2877" s="1409">
        <f t="shared" si="822"/>
        <v>0</v>
      </c>
      <c r="E2877" s="1409">
        <f t="shared" si="822"/>
        <v>0</v>
      </c>
      <c r="F2877" s="1410">
        <f t="shared" si="822"/>
        <v>0</v>
      </c>
      <c r="G2877" s="1410">
        <f t="shared" si="822"/>
        <v>0</v>
      </c>
      <c r="H2877" s="1411">
        <f t="shared" si="822"/>
        <v>0</v>
      </c>
      <c r="I2877" s="1471">
        <f t="shared" si="820"/>
        <v>0</v>
      </c>
      <c r="O2877" s="1395"/>
      <c r="Q2877" s="1394">
        <f>IFERROR(VLOOKUP(M2877,#REF!,3,0),0)</f>
        <v>0</v>
      </c>
      <c r="R2877" s="1394">
        <f t="shared" si="813"/>
        <v>0</v>
      </c>
      <c r="S2877" s="1394">
        <f>IFERROR(VLOOKUP(M2877,#REF!,6,0),0)</f>
        <v>0</v>
      </c>
      <c r="T2877" s="1394">
        <f t="shared" si="805"/>
        <v>0</v>
      </c>
      <c r="U2877" s="1394">
        <f>IFERROR(VLOOKUP(M2877,#REF!,5,0),0)</f>
        <v>0</v>
      </c>
      <c r="V2877" s="1394">
        <f t="shared" si="806"/>
        <v>0</v>
      </c>
      <c r="W2877" s="1394"/>
    </row>
    <row r="2878" spans="2:24" ht="30" customHeight="1">
      <c r="B2878" s="1405">
        <f t="shared" ref="B2878:B2905" si="823">B838</f>
        <v>0</v>
      </c>
      <c r="C2878" s="1412" t="s">
        <v>408</v>
      </c>
      <c r="D2878" s="1409">
        <f t="shared" ref="D2878:H2879" si="824">D838</f>
        <v>0</v>
      </c>
      <c r="E2878" s="1409">
        <f t="shared" si="824"/>
        <v>0</v>
      </c>
      <c r="F2878" s="1410">
        <f t="shared" si="824"/>
        <v>0</v>
      </c>
      <c r="G2878" s="1410">
        <f t="shared" si="824"/>
        <v>0</v>
      </c>
      <c r="H2878" s="1411">
        <f t="shared" si="824"/>
        <v>0</v>
      </c>
      <c r="I2878" s="1471">
        <f t="shared" si="820"/>
        <v>0</v>
      </c>
      <c r="O2878" s="1395"/>
      <c r="Q2878" s="1394">
        <f>IFERROR(VLOOKUP(M2878,#REF!,3,0),0)</f>
        <v>0</v>
      </c>
      <c r="R2878" s="1394">
        <f t="shared" si="813"/>
        <v>0</v>
      </c>
      <c r="S2878" s="1394">
        <f>IFERROR(VLOOKUP(M2878,#REF!,6,0),0)</f>
        <v>0</v>
      </c>
      <c r="T2878" s="1394">
        <f t="shared" si="805"/>
        <v>0</v>
      </c>
      <c r="U2878" s="1394">
        <f>IFERROR(VLOOKUP(M2878,#REF!,5,0),0)</f>
        <v>0</v>
      </c>
      <c r="V2878" s="1394">
        <f t="shared" si="806"/>
        <v>0</v>
      </c>
      <c r="W2878" s="1394"/>
    </row>
    <row r="2879" spans="2:24" ht="30" customHeight="1">
      <c r="B2879" s="1405">
        <f t="shared" si="823"/>
        <v>0</v>
      </c>
      <c r="C2879" s="1415" t="str">
        <f t="shared" ref="C2879:C2905" si="825">C839</f>
        <v>Horizontal beam</v>
      </c>
      <c r="D2879" s="1409">
        <f t="shared" si="824"/>
        <v>0</v>
      </c>
      <c r="E2879" s="1409">
        <f t="shared" si="824"/>
        <v>0</v>
      </c>
      <c r="F2879" s="1410">
        <f t="shared" si="824"/>
        <v>0</v>
      </c>
      <c r="G2879" s="1410">
        <f t="shared" si="824"/>
        <v>0</v>
      </c>
      <c r="H2879" s="1411">
        <f t="shared" si="824"/>
        <v>0</v>
      </c>
      <c r="I2879" s="1471">
        <f t="shared" si="820"/>
        <v>0</v>
      </c>
      <c r="O2879" s="1395"/>
      <c r="Q2879" s="1394">
        <f>IFERROR(VLOOKUP(M2879,#REF!,3,0),0)</f>
        <v>0</v>
      </c>
      <c r="R2879" s="1394">
        <f t="shared" si="813"/>
        <v>0</v>
      </c>
      <c r="S2879" s="1394">
        <f>IFERROR(VLOOKUP(M2879,#REF!,6,0),0)</f>
        <v>0</v>
      </c>
      <c r="T2879" s="1394">
        <f t="shared" si="805"/>
        <v>0</v>
      </c>
      <c r="U2879" s="1394">
        <f>IFERROR(VLOOKUP(M2879,#REF!,5,0),0)</f>
        <v>0</v>
      </c>
      <c r="V2879" s="1394">
        <f t="shared" si="806"/>
        <v>0</v>
      </c>
      <c r="W2879" s="1394"/>
    </row>
    <row r="2880" spans="2:24" ht="30" customHeight="1">
      <c r="B2880" s="1405">
        <f t="shared" si="823"/>
        <v>0</v>
      </c>
      <c r="C2880" s="1408" t="str">
        <f t="shared" si="825"/>
        <v>A1 to B1 , A5 to B5 , A6 to B6 &amp; A7 to B7</v>
      </c>
      <c r="D2880" s="1409">
        <f t="shared" ref="D2880:D2904" si="826">D840*2</f>
        <v>2</v>
      </c>
      <c r="E2880" s="1409">
        <f t="shared" ref="E2880:F2905" si="827">E840</f>
        <v>4</v>
      </c>
      <c r="F2880" s="1410">
        <f t="shared" si="827"/>
        <v>4.2300000000000004</v>
      </c>
      <c r="G2880" s="1410"/>
      <c r="H2880" s="1411">
        <f t="shared" ref="H2880:H2904" si="828">H840-0.125</f>
        <v>0.255</v>
      </c>
      <c r="I2880" s="1471">
        <f t="shared" si="820"/>
        <v>8.6292000000000009</v>
      </c>
      <c r="L2880" s="1413"/>
      <c r="O2880" s="1395"/>
      <c r="Q2880" s="1394">
        <f>IFERROR(VLOOKUP(M2880,#REF!,3,0),0)</f>
        <v>0</v>
      </c>
      <c r="R2880" s="1394">
        <f t="shared" si="813"/>
        <v>0</v>
      </c>
      <c r="S2880" s="1394">
        <f>IFERROR(VLOOKUP(M2880,#REF!,6,0),0)</f>
        <v>0</v>
      </c>
      <c r="T2880" s="1394">
        <f t="shared" si="805"/>
        <v>0</v>
      </c>
      <c r="U2880" s="1394">
        <f>IFERROR(VLOOKUP(M2880,#REF!,5,0),0)</f>
        <v>0</v>
      </c>
      <c r="V2880" s="1394">
        <f t="shared" si="806"/>
        <v>0</v>
      </c>
      <c r="W2880" s="1394"/>
    </row>
    <row r="2881" spans="2:23" ht="30" customHeight="1">
      <c r="B2881" s="1405">
        <f t="shared" si="823"/>
        <v>0</v>
      </c>
      <c r="C2881" s="1408" t="str">
        <f t="shared" si="825"/>
        <v>A8 to H8</v>
      </c>
      <c r="D2881" s="1409">
        <f t="shared" si="826"/>
        <v>2</v>
      </c>
      <c r="E2881" s="1409">
        <f t="shared" si="827"/>
        <v>1</v>
      </c>
      <c r="F2881" s="1410">
        <f t="shared" si="827"/>
        <v>18.575000000000003</v>
      </c>
      <c r="G2881" s="1410"/>
      <c r="H2881" s="1411">
        <f t="shared" si="828"/>
        <v>0.255</v>
      </c>
      <c r="I2881" s="1471">
        <f t="shared" si="820"/>
        <v>9.4732500000000019</v>
      </c>
      <c r="L2881" s="1413"/>
      <c r="O2881" s="1395"/>
      <c r="Q2881" s="1394">
        <f>IFERROR(VLOOKUP(M2881,#REF!,3,0),0)</f>
        <v>0</v>
      </c>
      <c r="R2881" s="1394">
        <f t="shared" si="813"/>
        <v>0</v>
      </c>
      <c r="S2881" s="1394">
        <f>IFERROR(VLOOKUP(M2881,#REF!,6,0),0)</f>
        <v>0</v>
      </c>
      <c r="T2881" s="1394">
        <f t="shared" si="805"/>
        <v>0</v>
      </c>
      <c r="U2881" s="1394">
        <f>IFERROR(VLOOKUP(M2881,#REF!,5,0),0)</f>
        <v>0</v>
      </c>
      <c r="V2881" s="1394">
        <f t="shared" si="806"/>
        <v>0</v>
      </c>
      <c r="W2881" s="1394"/>
    </row>
    <row r="2882" spans="2:23" ht="30" customHeight="1">
      <c r="B2882" s="1405">
        <f t="shared" si="823"/>
        <v>0</v>
      </c>
      <c r="C2882" s="1408" t="str">
        <f t="shared" si="825"/>
        <v>B5 to G5</v>
      </c>
      <c r="D2882" s="1409">
        <f t="shared" si="826"/>
        <v>2</v>
      </c>
      <c r="E2882" s="1409">
        <f t="shared" si="827"/>
        <v>1</v>
      </c>
      <c r="F2882" s="1410">
        <f t="shared" si="827"/>
        <v>10.35</v>
      </c>
      <c r="G2882" s="1410"/>
      <c r="H2882" s="1411">
        <f t="shared" si="828"/>
        <v>0.255</v>
      </c>
      <c r="I2882" s="1471">
        <f t="shared" si="820"/>
        <v>5.2785000000000002</v>
      </c>
      <c r="L2882" s="1413"/>
      <c r="O2882" s="1395"/>
      <c r="Q2882" s="1394">
        <f>IFERROR(VLOOKUP(M2882,#REF!,3,0),0)</f>
        <v>0</v>
      </c>
      <c r="R2882" s="1394">
        <f t="shared" si="813"/>
        <v>0</v>
      </c>
      <c r="S2882" s="1394">
        <f>IFERROR(VLOOKUP(M2882,#REF!,6,0),0)</f>
        <v>0</v>
      </c>
      <c r="T2882" s="1394">
        <f t="shared" si="805"/>
        <v>0</v>
      </c>
      <c r="U2882" s="1394">
        <f>IFERROR(VLOOKUP(M2882,#REF!,5,0),0)</f>
        <v>0</v>
      </c>
      <c r="V2882" s="1394">
        <f t="shared" si="806"/>
        <v>0</v>
      </c>
      <c r="W2882" s="1394"/>
    </row>
    <row r="2883" spans="2:23" ht="30" customHeight="1">
      <c r="B2883" s="1405">
        <f t="shared" si="823"/>
        <v>0</v>
      </c>
      <c r="C2883" s="1408" t="str">
        <f t="shared" si="825"/>
        <v>B3 to G3</v>
      </c>
      <c r="D2883" s="1409">
        <f t="shared" si="826"/>
        <v>2</v>
      </c>
      <c r="E2883" s="1409">
        <f t="shared" si="827"/>
        <v>1</v>
      </c>
      <c r="F2883" s="1410">
        <f t="shared" si="827"/>
        <v>10.35</v>
      </c>
      <c r="G2883" s="1410"/>
      <c r="H2883" s="1411">
        <f t="shared" si="828"/>
        <v>0.32500000000000001</v>
      </c>
      <c r="I2883" s="1471">
        <f t="shared" si="820"/>
        <v>6.7275</v>
      </c>
      <c r="L2883" s="1413"/>
      <c r="O2883" s="1395"/>
      <c r="Q2883" s="1394">
        <f>IFERROR(VLOOKUP(M2883,#REF!,3,0),0)</f>
        <v>0</v>
      </c>
      <c r="R2883" s="1394">
        <f t="shared" si="813"/>
        <v>0</v>
      </c>
      <c r="S2883" s="1394">
        <f>IFERROR(VLOOKUP(M2883,#REF!,6,0),0)</f>
        <v>0</v>
      </c>
      <c r="T2883" s="1394">
        <f t="shared" si="805"/>
        <v>0</v>
      </c>
      <c r="U2883" s="1394">
        <f>IFERROR(VLOOKUP(M2883,#REF!,5,0),0)</f>
        <v>0</v>
      </c>
      <c r="V2883" s="1394">
        <f t="shared" si="806"/>
        <v>0</v>
      </c>
      <c r="W2883" s="1394"/>
    </row>
    <row r="2884" spans="2:23" ht="30" customHeight="1">
      <c r="B2884" s="1405">
        <f t="shared" si="823"/>
        <v>0</v>
      </c>
      <c r="C2884" s="1408" t="str">
        <f t="shared" si="825"/>
        <v>B7 to G7</v>
      </c>
      <c r="D2884" s="1409">
        <f t="shared" si="826"/>
        <v>2</v>
      </c>
      <c r="E2884" s="1409">
        <f t="shared" si="827"/>
        <v>1</v>
      </c>
      <c r="F2884" s="1410">
        <f t="shared" si="827"/>
        <v>10.35</v>
      </c>
      <c r="G2884" s="1410"/>
      <c r="H2884" s="1411">
        <f t="shared" si="828"/>
        <v>0.47499999999999998</v>
      </c>
      <c r="I2884" s="1471">
        <f t="shared" si="820"/>
        <v>9.8324999999999996</v>
      </c>
      <c r="L2884" s="1413"/>
      <c r="O2884" s="1395"/>
      <c r="Q2884" s="1394">
        <f>IFERROR(VLOOKUP(M2884,#REF!,3,0),0)</f>
        <v>0</v>
      </c>
      <c r="R2884" s="1394">
        <f t="shared" si="813"/>
        <v>0</v>
      </c>
      <c r="S2884" s="1394">
        <f>IFERROR(VLOOKUP(M2884,#REF!,6,0),0)</f>
        <v>0</v>
      </c>
      <c r="T2884" s="1394">
        <f t="shared" si="805"/>
        <v>0</v>
      </c>
      <c r="U2884" s="1394">
        <f>IFERROR(VLOOKUP(M2884,#REF!,5,0),0)</f>
        <v>0</v>
      </c>
      <c r="V2884" s="1394">
        <f t="shared" si="806"/>
        <v>0</v>
      </c>
      <c r="W2884" s="1394"/>
    </row>
    <row r="2885" spans="2:23" ht="30" customHeight="1">
      <c r="B2885" s="1405">
        <f t="shared" si="823"/>
        <v>0</v>
      </c>
      <c r="C2885" s="1408" t="str">
        <f t="shared" si="825"/>
        <v>B4 to F4</v>
      </c>
      <c r="D2885" s="1409">
        <f t="shared" si="826"/>
        <v>2</v>
      </c>
      <c r="E2885" s="1409">
        <f t="shared" si="827"/>
        <v>1</v>
      </c>
      <c r="F2885" s="1410">
        <f t="shared" si="827"/>
        <v>6.8849999999999998</v>
      </c>
      <c r="G2885" s="1410"/>
      <c r="H2885" s="1411">
        <f t="shared" si="828"/>
        <v>0.255</v>
      </c>
      <c r="I2885" s="1471">
        <f t="shared" si="820"/>
        <v>3.5113499999999997</v>
      </c>
      <c r="L2885" s="1413"/>
      <c r="O2885" s="1395"/>
      <c r="Q2885" s="1394">
        <f>IFERROR(VLOOKUP(M2885,#REF!,3,0),0)</f>
        <v>0</v>
      </c>
      <c r="R2885" s="1394">
        <f t="shared" si="813"/>
        <v>0</v>
      </c>
      <c r="S2885" s="1394">
        <f>IFERROR(VLOOKUP(M2885,#REF!,6,0),0)</f>
        <v>0</v>
      </c>
      <c r="T2885" s="1394">
        <f t="shared" si="805"/>
        <v>0</v>
      </c>
      <c r="U2885" s="1394">
        <f>IFERROR(VLOOKUP(M2885,#REF!,5,0),0)</f>
        <v>0</v>
      </c>
      <c r="V2885" s="1394">
        <f t="shared" si="806"/>
        <v>0</v>
      </c>
      <c r="W2885" s="1394"/>
    </row>
    <row r="2886" spans="2:23" ht="30" customHeight="1">
      <c r="B2886" s="1405">
        <f t="shared" si="823"/>
        <v>0</v>
      </c>
      <c r="C2886" s="1408" t="str">
        <f t="shared" si="825"/>
        <v>OTS Cross Beam</v>
      </c>
      <c r="D2886" s="1409">
        <f t="shared" si="826"/>
        <v>2</v>
      </c>
      <c r="E2886" s="1409">
        <f t="shared" si="827"/>
        <v>1</v>
      </c>
      <c r="F2886" s="1410">
        <f t="shared" si="827"/>
        <v>4.2300000000000004</v>
      </c>
      <c r="G2886" s="1410"/>
      <c r="H2886" s="1411">
        <f t="shared" si="828"/>
        <v>0.255</v>
      </c>
      <c r="I2886" s="1471">
        <f t="shared" si="820"/>
        <v>2.1573000000000002</v>
      </c>
      <c r="L2886" s="1413"/>
      <c r="O2886" s="1395"/>
      <c r="Q2886" s="1394">
        <f>IFERROR(VLOOKUP(M2886,#REF!,3,0),0)</f>
        <v>0</v>
      </c>
      <c r="R2886" s="1394">
        <f t="shared" si="813"/>
        <v>0</v>
      </c>
      <c r="S2886" s="1394">
        <f>IFERROR(VLOOKUP(M2886,#REF!,6,0),0)</f>
        <v>0</v>
      </c>
      <c r="T2886" s="1394">
        <f t="shared" si="805"/>
        <v>0</v>
      </c>
      <c r="U2886" s="1394">
        <f>IFERROR(VLOOKUP(M2886,#REF!,5,0),0)</f>
        <v>0</v>
      </c>
      <c r="V2886" s="1394">
        <f t="shared" si="806"/>
        <v>0</v>
      </c>
      <c r="W2886" s="1394"/>
    </row>
    <row r="2887" spans="2:23" ht="30" customHeight="1">
      <c r="B2887" s="1405">
        <f t="shared" si="823"/>
        <v>0</v>
      </c>
      <c r="C2887" s="1408" t="str">
        <f t="shared" si="825"/>
        <v>OTS Cross Beam</v>
      </c>
      <c r="D2887" s="1409">
        <f t="shared" si="826"/>
        <v>2</v>
      </c>
      <c r="E2887" s="1409">
        <f t="shared" si="827"/>
        <v>1</v>
      </c>
      <c r="F2887" s="1410">
        <f t="shared" si="827"/>
        <v>3.9950000000000001</v>
      </c>
      <c r="G2887" s="1410"/>
      <c r="H2887" s="1411">
        <f t="shared" si="828"/>
        <v>0.255</v>
      </c>
      <c r="I2887" s="1471">
        <f t="shared" si="820"/>
        <v>2.0374500000000002</v>
      </c>
      <c r="L2887" s="1413"/>
      <c r="O2887" s="1395"/>
      <c r="Q2887" s="1394">
        <f>IFERROR(VLOOKUP(M2887,#REF!,3,0),0)</f>
        <v>0</v>
      </c>
      <c r="R2887" s="1394">
        <f t="shared" si="813"/>
        <v>0</v>
      </c>
      <c r="S2887" s="1394">
        <f>IFERROR(VLOOKUP(M2887,#REF!,6,0),0)</f>
        <v>0</v>
      </c>
      <c r="T2887" s="1394">
        <f t="shared" si="805"/>
        <v>0</v>
      </c>
      <c r="U2887" s="1394">
        <f>IFERROR(VLOOKUP(M2887,#REF!,5,0),0)</f>
        <v>0</v>
      </c>
      <c r="V2887" s="1394">
        <f t="shared" si="806"/>
        <v>0</v>
      </c>
      <c r="W2887" s="1394"/>
    </row>
    <row r="2888" spans="2:23" ht="30" customHeight="1">
      <c r="B2888" s="1405">
        <f t="shared" si="823"/>
        <v>0</v>
      </c>
      <c r="C2888" s="1408" t="str">
        <f t="shared" si="825"/>
        <v>G3 to H3 , G5 to H5 , G6 to H6 &amp; G7 to H7</v>
      </c>
      <c r="D2888" s="1409">
        <f t="shared" si="826"/>
        <v>2</v>
      </c>
      <c r="E2888" s="1409">
        <f t="shared" si="827"/>
        <v>4</v>
      </c>
      <c r="F2888" s="1410">
        <f t="shared" si="827"/>
        <v>3.9950000000000001</v>
      </c>
      <c r="G2888" s="1410"/>
      <c r="H2888" s="1411">
        <f t="shared" si="828"/>
        <v>0.255</v>
      </c>
      <c r="I2888" s="1471">
        <f t="shared" si="820"/>
        <v>8.1498000000000008</v>
      </c>
      <c r="L2888" s="1413"/>
      <c r="O2888" s="1395"/>
      <c r="Q2888" s="1394">
        <f>IFERROR(VLOOKUP(M2888,#REF!,3,0),0)</f>
        <v>0</v>
      </c>
      <c r="R2888" s="1394">
        <f t="shared" si="813"/>
        <v>0</v>
      </c>
      <c r="S2888" s="1394">
        <f>IFERROR(VLOOKUP(M2888,#REF!,6,0),0)</f>
        <v>0</v>
      </c>
      <c r="T2888" s="1394">
        <f t="shared" si="805"/>
        <v>0</v>
      </c>
      <c r="U2888" s="1394">
        <f>IFERROR(VLOOKUP(M2888,#REF!,5,0),0)</f>
        <v>0</v>
      </c>
      <c r="V2888" s="1394">
        <f t="shared" si="806"/>
        <v>0</v>
      </c>
      <c r="W2888" s="1394"/>
    </row>
    <row r="2889" spans="2:23" ht="30" customHeight="1">
      <c r="B2889" s="1405">
        <f t="shared" si="823"/>
        <v>0</v>
      </c>
      <c r="C2889" s="1408" t="str">
        <f t="shared" si="825"/>
        <v>Cross beams</v>
      </c>
      <c r="D2889" s="1409">
        <f t="shared" si="826"/>
        <v>2</v>
      </c>
      <c r="E2889" s="1409">
        <f t="shared" si="827"/>
        <v>1</v>
      </c>
      <c r="F2889" s="1410">
        <f t="shared" si="827"/>
        <v>1.7350000000000001</v>
      </c>
      <c r="G2889" s="1410"/>
      <c r="H2889" s="1411">
        <f t="shared" si="828"/>
        <v>0.255</v>
      </c>
      <c r="I2889" s="1471">
        <f t="shared" si="820"/>
        <v>0.88485000000000003</v>
      </c>
      <c r="L2889" s="1413"/>
      <c r="O2889" s="1395"/>
      <c r="Q2889" s="1394">
        <f>IFERROR(VLOOKUP(M2889,#REF!,3,0),0)</f>
        <v>0</v>
      </c>
      <c r="R2889" s="1394">
        <f t="shared" si="813"/>
        <v>0</v>
      </c>
      <c r="S2889" s="1394">
        <f>IFERROR(VLOOKUP(M2889,#REF!,6,0),0)</f>
        <v>0</v>
      </c>
      <c r="T2889" s="1394">
        <f t="shared" si="805"/>
        <v>0</v>
      </c>
      <c r="U2889" s="1394">
        <f>IFERROR(VLOOKUP(M2889,#REF!,5,0),0)</f>
        <v>0</v>
      </c>
      <c r="V2889" s="1394">
        <f t="shared" si="806"/>
        <v>0</v>
      </c>
      <c r="W2889" s="1394"/>
    </row>
    <row r="2890" spans="2:23" ht="30" customHeight="1">
      <c r="B2890" s="1405">
        <f t="shared" si="823"/>
        <v>0</v>
      </c>
      <c r="C2890" s="1408" t="str">
        <f t="shared" si="825"/>
        <v>Cross beams</v>
      </c>
      <c r="D2890" s="1409">
        <f t="shared" si="826"/>
        <v>2</v>
      </c>
      <c r="E2890" s="1409">
        <f t="shared" si="827"/>
        <v>1</v>
      </c>
      <c r="F2890" s="1410">
        <f t="shared" si="827"/>
        <v>3.7650000000000001</v>
      </c>
      <c r="G2890" s="1410"/>
      <c r="H2890" s="1411">
        <f t="shared" si="828"/>
        <v>0.255</v>
      </c>
      <c r="I2890" s="1471">
        <f t="shared" si="820"/>
        <v>1.92015</v>
      </c>
      <c r="L2890" s="1413"/>
      <c r="O2890" s="1395"/>
      <c r="Q2890" s="1394">
        <f>IFERROR(VLOOKUP(M2890,#REF!,3,0),0)</f>
        <v>0</v>
      </c>
      <c r="R2890" s="1394">
        <f t="shared" si="813"/>
        <v>0</v>
      </c>
      <c r="S2890" s="1394">
        <f>IFERROR(VLOOKUP(M2890,#REF!,6,0),0)</f>
        <v>0</v>
      </c>
      <c r="T2890" s="1394">
        <f t="shared" si="805"/>
        <v>0</v>
      </c>
      <c r="U2890" s="1394">
        <f>IFERROR(VLOOKUP(M2890,#REF!,5,0),0)</f>
        <v>0</v>
      </c>
      <c r="V2890" s="1394">
        <f t="shared" si="806"/>
        <v>0</v>
      </c>
      <c r="W2890" s="1394"/>
    </row>
    <row r="2891" spans="2:23" ht="30" customHeight="1">
      <c r="B2891" s="1405">
        <f t="shared" si="823"/>
        <v>0</v>
      </c>
      <c r="C2891" s="1415" t="str">
        <f t="shared" si="825"/>
        <v>Vertical beam</v>
      </c>
      <c r="D2891" s="1409">
        <f t="shared" si="826"/>
        <v>0</v>
      </c>
      <c r="E2891" s="1409">
        <f t="shared" si="827"/>
        <v>0</v>
      </c>
      <c r="F2891" s="1410">
        <f t="shared" si="827"/>
        <v>0</v>
      </c>
      <c r="G2891" s="1410"/>
      <c r="H2891" s="1411">
        <f t="shared" si="828"/>
        <v>-0.125</v>
      </c>
      <c r="I2891" s="1471">
        <f t="shared" si="820"/>
        <v>0</v>
      </c>
      <c r="L2891" s="1413"/>
      <c r="O2891" s="1395"/>
      <c r="Q2891" s="1394">
        <f>IFERROR(VLOOKUP(M2891,#REF!,3,0),0)</f>
        <v>0</v>
      </c>
      <c r="R2891" s="1394">
        <f t="shared" si="813"/>
        <v>0</v>
      </c>
      <c r="S2891" s="1394">
        <f>IFERROR(VLOOKUP(M2891,#REF!,6,0),0)</f>
        <v>0</v>
      </c>
      <c r="T2891" s="1394">
        <f t="shared" si="805"/>
        <v>0</v>
      </c>
      <c r="U2891" s="1394">
        <f>IFERROR(VLOOKUP(M2891,#REF!,5,0),0)</f>
        <v>0</v>
      </c>
      <c r="V2891" s="1394">
        <f t="shared" si="806"/>
        <v>0</v>
      </c>
      <c r="W2891" s="1394"/>
    </row>
    <row r="2892" spans="2:23" ht="30" customHeight="1">
      <c r="B2892" s="1405">
        <f t="shared" si="823"/>
        <v>0</v>
      </c>
      <c r="C2892" s="1408" t="str">
        <f t="shared" si="825"/>
        <v>A3 To A5</v>
      </c>
      <c r="D2892" s="1409">
        <f t="shared" si="826"/>
        <v>2</v>
      </c>
      <c r="E2892" s="1409">
        <f t="shared" si="827"/>
        <v>1</v>
      </c>
      <c r="F2892" s="1410">
        <f t="shared" si="827"/>
        <v>5.5299999999999994</v>
      </c>
      <c r="G2892" s="1410"/>
      <c r="H2892" s="1411">
        <f t="shared" si="828"/>
        <v>0.32500000000000001</v>
      </c>
      <c r="I2892" s="1471">
        <f t="shared" si="820"/>
        <v>3.5944999999999996</v>
      </c>
      <c r="L2892" s="1413"/>
      <c r="O2892" s="1395"/>
      <c r="Q2892" s="1394">
        <f>IFERROR(VLOOKUP(M2892,#REF!,3,0),0)</f>
        <v>0</v>
      </c>
      <c r="R2892" s="1394">
        <f t="shared" si="813"/>
        <v>0</v>
      </c>
      <c r="S2892" s="1394">
        <f>IFERROR(VLOOKUP(M2892,#REF!,6,0),0)</f>
        <v>0</v>
      </c>
      <c r="T2892" s="1394">
        <f t="shared" si="805"/>
        <v>0</v>
      </c>
      <c r="U2892" s="1394">
        <f>IFERROR(VLOOKUP(M2892,#REF!,5,0),0)</f>
        <v>0</v>
      </c>
      <c r="V2892" s="1394">
        <f t="shared" si="806"/>
        <v>0</v>
      </c>
      <c r="W2892" s="1394"/>
    </row>
    <row r="2893" spans="2:23" ht="30" customHeight="1">
      <c r="B2893" s="1405">
        <f t="shared" si="823"/>
        <v>0</v>
      </c>
      <c r="C2893" s="1408" t="str">
        <f t="shared" si="825"/>
        <v>A5 To A8</v>
      </c>
      <c r="D2893" s="1409">
        <f t="shared" si="826"/>
        <v>2</v>
      </c>
      <c r="E2893" s="1409">
        <f t="shared" si="827"/>
        <v>1</v>
      </c>
      <c r="F2893" s="1410">
        <f t="shared" si="827"/>
        <v>10.120000000000001</v>
      </c>
      <c r="G2893" s="1410"/>
      <c r="H2893" s="1411">
        <f t="shared" si="828"/>
        <v>0.255</v>
      </c>
      <c r="I2893" s="1471">
        <f t="shared" si="820"/>
        <v>5.1612000000000009</v>
      </c>
      <c r="L2893" s="1413"/>
      <c r="O2893" s="1395"/>
      <c r="Q2893" s="1394">
        <f>IFERROR(VLOOKUP(M2893,#REF!,3,0),0)</f>
        <v>0</v>
      </c>
      <c r="R2893" s="1394">
        <f t="shared" si="813"/>
        <v>0</v>
      </c>
      <c r="S2893" s="1394">
        <f>IFERROR(VLOOKUP(M2893,#REF!,6,0),0)</f>
        <v>0</v>
      </c>
      <c r="T2893" s="1394">
        <f t="shared" ref="T2893:T2956" si="829">R2893-S2893</f>
        <v>0</v>
      </c>
      <c r="U2893" s="1394">
        <f>IFERROR(VLOOKUP(M2893,#REF!,5,0),0)</f>
        <v>0</v>
      </c>
      <c r="V2893" s="1394">
        <f t="shared" ref="V2893:V2956" si="830">O2893-U2893</f>
        <v>0</v>
      </c>
      <c r="W2893" s="1394"/>
    </row>
    <row r="2894" spans="2:23" ht="30" customHeight="1">
      <c r="B2894" s="1405">
        <f t="shared" si="823"/>
        <v>0</v>
      </c>
      <c r="C2894" s="1408" t="str">
        <f t="shared" si="825"/>
        <v>B3 To B8</v>
      </c>
      <c r="D2894" s="1409">
        <f t="shared" si="826"/>
        <v>2</v>
      </c>
      <c r="E2894" s="1409">
        <f t="shared" si="827"/>
        <v>1</v>
      </c>
      <c r="F2894" s="1410">
        <f t="shared" si="827"/>
        <v>15.649999999999999</v>
      </c>
      <c r="G2894" s="1410"/>
      <c r="H2894" s="1411">
        <f t="shared" si="828"/>
        <v>0.255</v>
      </c>
      <c r="I2894" s="1471">
        <f t="shared" si="820"/>
        <v>7.9814999999999996</v>
      </c>
      <c r="L2894" s="1413"/>
      <c r="O2894" s="1395"/>
      <c r="Q2894" s="1394">
        <f>IFERROR(VLOOKUP(M2894,#REF!,3,0),0)</f>
        <v>0</v>
      </c>
      <c r="R2894" s="1394">
        <f t="shared" si="813"/>
        <v>0</v>
      </c>
      <c r="S2894" s="1394">
        <f>IFERROR(VLOOKUP(M2894,#REF!,6,0),0)</f>
        <v>0</v>
      </c>
      <c r="T2894" s="1394">
        <f t="shared" si="829"/>
        <v>0</v>
      </c>
      <c r="U2894" s="1394">
        <f>IFERROR(VLOOKUP(M2894,#REF!,5,0),0)</f>
        <v>0</v>
      </c>
      <c r="V2894" s="1394">
        <f t="shared" si="830"/>
        <v>0</v>
      </c>
      <c r="W2894" s="1394"/>
    </row>
    <row r="2895" spans="2:23" ht="30" customHeight="1">
      <c r="B2895" s="1405">
        <f t="shared" si="823"/>
        <v>0</v>
      </c>
      <c r="C2895" s="1408" t="str">
        <f t="shared" si="825"/>
        <v>Cross beams</v>
      </c>
      <c r="D2895" s="1409">
        <f t="shared" si="826"/>
        <v>2</v>
      </c>
      <c r="E2895" s="1409">
        <f t="shared" si="827"/>
        <v>1</v>
      </c>
      <c r="F2895" s="1410">
        <f t="shared" si="827"/>
        <v>4.13</v>
      </c>
      <c r="G2895" s="1410"/>
      <c r="H2895" s="1411">
        <f t="shared" si="828"/>
        <v>0.255</v>
      </c>
      <c r="I2895" s="1471">
        <f t="shared" si="820"/>
        <v>2.1063000000000001</v>
      </c>
      <c r="L2895" s="1413"/>
      <c r="O2895" s="1395"/>
      <c r="Q2895" s="1394">
        <f>IFERROR(VLOOKUP(M2895,#REF!,3,0),0)</f>
        <v>0</v>
      </c>
      <c r="R2895" s="1394">
        <f t="shared" si="813"/>
        <v>0</v>
      </c>
      <c r="S2895" s="1394">
        <f>IFERROR(VLOOKUP(M2895,#REF!,6,0),0)</f>
        <v>0</v>
      </c>
      <c r="T2895" s="1394">
        <f t="shared" si="829"/>
        <v>0</v>
      </c>
      <c r="U2895" s="1394">
        <f>IFERROR(VLOOKUP(M2895,#REF!,5,0),0)</f>
        <v>0</v>
      </c>
      <c r="V2895" s="1394">
        <f t="shared" si="830"/>
        <v>0</v>
      </c>
      <c r="W2895" s="1394"/>
    </row>
    <row r="2896" spans="2:23" ht="30" customHeight="1">
      <c r="B2896" s="1405">
        <f t="shared" si="823"/>
        <v>0</v>
      </c>
      <c r="C2896" s="1408" t="str">
        <f t="shared" si="825"/>
        <v>Cross beams</v>
      </c>
      <c r="D2896" s="1409">
        <f t="shared" si="826"/>
        <v>2</v>
      </c>
      <c r="E2896" s="1409">
        <f t="shared" si="827"/>
        <v>1</v>
      </c>
      <c r="F2896" s="1410">
        <f t="shared" si="827"/>
        <v>4.13</v>
      </c>
      <c r="G2896" s="1410"/>
      <c r="H2896" s="1411">
        <f t="shared" si="828"/>
        <v>0.32500000000000001</v>
      </c>
      <c r="I2896" s="1471">
        <f t="shared" si="820"/>
        <v>2.6844999999999999</v>
      </c>
      <c r="L2896" s="1413"/>
      <c r="O2896" s="1395"/>
      <c r="Q2896" s="1394">
        <f>IFERROR(VLOOKUP(M2896,#REF!,3,0),0)</f>
        <v>0</v>
      </c>
      <c r="R2896" s="1394">
        <f t="shared" si="813"/>
        <v>0</v>
      </c>
      <c r="S2896" s="1394">
        <f>IFERROR(VLOOKUP(M2896,#REF!,6,0),0)</f>
        <v>0</v>
      </c>
      <c r="T2896" s="1394">
        <f t="shared" si="829"/>
        <v>0</v>
      </c>
      <c r="U2896" s="1394">
        <f>IFERROR(VLOOKUP(M2896,#REF!,5,0),0)</f>
        <v>0</v>
      </c>
      <c r="V2896" s="1394">
        <f t="shared" si="830"/>
        <v>0</v>
      </c>
      <c r="W2896" s="1394"/>
    </row>
    <row r="2897" spans="2:23" ht="30" customHeight="1">
      <c r="B2897" s="1405">
        <f t="shared" si="823"/>
        <v>0</v>
      </c>
      <c r="C2897" s="1408" t="str">
        <f t="shared" si="825"/>
        <v>C4 to C5</v>
      </c>
      <c r="D2897" s="1409">
        <f t="shared" si="826"/>
        <v>2</v>
      </c>
      <c r="E2897" s="1409">
        <f t="shared" si="827"/>
        <v>1</v>
      </c>
      <c r="F2897" s="1410">
        <f t="shared" si="827"/>
        <v>2.5299999999999998</v>
      </c>
      <c r="G2897" s="1410"/>
      <c r="H2897" s="1411">
        <f t="shared" si="828"/>
        <v>0.32500000000000001</v>
      </c>
      <c r="I2897" s="1471">
        <f t="shared" si="820"/>
        <v>1.6444999999999999</v>
      </c>
      <c r="L2897" s="1413"/>
      <c r="O2897" s="1395"/>
      <c r="Q2897" s="1394">
        <f>IFERROR(VLOOKUP(M2897,#REF!,3,0),0)</f>
        <v>0</v>
      </c>
      <c r="R2897" s="1394">
        <f t="shared" si="813"/>
        <v>0</v>
      </c>
      <c r="S2897" s="1394">
        <f>IFERROR(VLOOKUP(M2897,#REF!,6,0),0)</f>
        <v>0</v>
      </c>
      <c r="T2897" s="1394">
        <f t="shared" si="829"/>
        <v>0</v>
      </c>
      <c r="U2897" s="1394">
        <f>IFERROR(VLOOKUP(M2897,#REF!,5,0),0)</f>
        <v>0</v>
      </c>
      <c r="V2897" s="1394">
        <f t="shared" si="830"/>
        <v>0</v>
      </c>
      <c r="W2897" s="1394"/>
    </row>
    <row r="2898" spans="2:23" ht="30" customHeight="1">
      <c r="B2898" s="1405">
        <f t="shared" si="823"/>
        <v>0</v>
      </c>
      <c r="C2898" s="1408" t="str">
        <f t="shared" si="825"/>
        <v xml:space="preserve">C5 to C7 &amp; F5 to F7 </v>
      </c>
      <c r="D2898" s="1409">
        <f t="shared" si="826"/>
        <v>2</v>
      </c>
      <c r="E2898" s="1409">
        <f t="shared" si="827"/>
        <v>2</v>
      </c>
      <c r="F2898" s="1410">
        <f t="shared" si="827"/>
        <v>5.99</v>
      </c>
      <c r="G2898" s="1410"/>
      <c r="H2898" s="1411">
        <f t="shared" si="828"/>
        <v>0.47499999999999998</v>
      </c>
      <c r="I2898" s="1471">
        <f t="shared" si="820"/>
        <v>11.381</v>
      </c>
      <c r="L2898" s="1413"/>
      <c r="O2898" s="1395"/>
      <c r="Q2898" s="1394">
        <f>IFERROR(VLOOKUP(M2898,#REF!,3,0),0)</f>
        <v>0</v>
      </c>
      <c r="R2898" s="1394">
        <f t="shared" si="813"/>
        <v>0</v>
      </c>
      <c r="S2898" s="1394">
        <f>IFERROR(VLOOKUP(M2898,#REF!,6,0),0)</f>
        <v>0</v>
      </c>
      <c r="T2898" s="1394">
        <f t="shared" si="829"/>
        <v>0</v>
      </c>
      <c r="U2898" s="1394">
        <f>IFERROR(VLOOKUP(M2898,#REF!,5,0),0)</f>
        <v>0</v>
      </c>
      <c r="V2898" s="1394">
        <f t="shared" si="830"/>
        <v>0</v>
      </c>
      <c r="W2898" s="1394"/>
    </row>
    <row r="2899" spans="2:23" ht="30" customHeight="1">
      <c r="B2899" s="1405">
        <f t="shared" si="823"/>
        <v>0</v>
      </c>
      <c r="C2899" s="1408" t="str">
        <f t="shared" si="825"/>
        <v>F3 to F5</v>
      </c>
      <c r="D2899" s="1409">
        <f t="shared" si="826"/>
        <v>2</v>
      </c>
      <c r="E2899" s="1409">
        <f t="shared" si="827"/>
        <v>1</v>
      </c>
      <c r="F2899" s="1410">
        <f t="shared" si="827"/>
        <v>5.5299999999999994</v>
      </c>
      <c r="G2899" s="1410"/>
      <c r="H2899" s="1411">
        <f t="shared" si="828"/>
        <v>0.32500000000000001</v>
      </c>
      <c r="I2899" s="1471">
        <f t="shared" si="820"/>
        <v>3.5944999999999996</v>
      </c>
      <c r="L2899" s="1413"/>
      <c r="O2899" s="1395"/>
      <c r="Q2899" s="1394">
        <f>IFERROR(VLOOKUP(M2899,#REF!,3,0),0)</f>
        <v>0</v>
      </c>
      <c r="R2899" s="1394">
        <f t="shared" si="813"/>
        <v>0</v>
      </c>
      <c r="S2899" s="1394">
        <f>IFERROR(VLOOKUP(M2899,#REF!,6,0),0)</f>
        <v>0</v>
      </c>
      <c r="T2899" s="1394">
        <f t="shared" si="829"/>
        <v>0</v>
      </c>
      <c r="U2899" s="1394">
        <f>IFERROR(VLOOKUP(M2899,#REF!,5,0),0)</f>
        <v>0</v>
      </c>
      <c r="V2899" s="1394">
        <f t="shared" si="830"/>
        <v>0</v>
      </c>
      <c r="W2899" s="1394"/>
    </row>
    <row r="2900" spans="2:23" ht="30" customHeight="1">
      <c r="B2900" s="1405">
        <f t="shared" si="823"/>
        <v>0</v>
      </c>
      <c r="C2900" s="1408" t="str">
        <f t="shared" si="825"/>
        <v>E7 to E8</v>
      </c>
      <c r="D2900" s="1409">
        <f t="shared" si="826"/>
        <v>2</v>
      </c>
      <c r="E2900" s="1409">
        <f t="shared" si="827"/>
        <v>1</v>
      </c>
      <c r="F2900" s="1410">
        <f t="shared" si="827"/>
        <v>4.13</v>
      </c>
      <c r="G2900" s="1410"/>
      <c r="H2900" s="1411">
        <f t="shared" si="828"/>
        <v>0.255</v>
      </c>
      <c r="I2900" s="1471">
        <f t="shared" si="820"/>
        <v>2.1063000000000001</v>
      </c>
      <c r="L2900" s="1413"/>
      <c r="O2900" s="1395"/>
      <c r="Q2900" s="1394">
        <f>IFERROR(VLOOKUP(M2900,#REF!,3,0),0)</f>
        <v>0</v>
      </c>
      <c r="R2900" s="1394">
        <f t="shared" si="813"/>
        <v>0</v>
      </c>
      <c r="S2900" s="1394">
        <f>IFERROR(VLOOKUP(M2900,#REF!,6,0),0)</f>
        <v>0</v>
      </c>
      <c r="T2900" s="1394">
        <f t="shared" si="829"/>
        <v>0</v>
      </c>
      <c r="U2900" s="1394">
        <f>IFERROR(VLOOKUP(M2900,#REF!,5,0),0)</f>
        <v>0</v>
      </c>
      <c r="V2900" s="1394">
        <f t="shared" si="830"/>
        <v>0</v>
      </c>
      <c r="W2900" s="1394"/>
    </row>
    <row r="2901" spans="2:23" ht="30" customHeight="1">
      <c r="B2901" s="1405">
        <f t="shared" si="823"/>
        <v>0</v>
      </c>
      <c r="C2901" s="1408" t="str">
        <f t="shared" si="825"/>
        <v>G3 to G7</v>
      </c>
      <c r="D2901" s="1409">
        <f t="shared" si="826"/>
        <v>2</v>
      </c>
      <c r="E2901" s="1409">
        <f t="shared" si="827"/>
        <v>1</v>
      </c>
      <c r="F2901" s="1410">
        <f t="shared" si="827"/>
        <v>11.52</v>
      </c>
      <c r="G2901" s="1410"/>
      <c r="H2901" s="1411">
        <f t="shared" si="828"/>
        <v>0.32500000000000001</v>
      </c>
      <c r="I2901" s="1471">
        <f t="shared" si="820"/>
        <v>7.4879999999999995</v>
      </c>
      <c r="L2901" s="1413"/>
      <c r="O2901" s="1395"/>
      <c r="Q2901" s="1394">
        <f>IFERROR(VLOOKUP(M2901,#REF!,3,0),0)</f>
        <v>0</v>
      </c>
      <c r="R2901" s="1394">
        <f t="shared" si="813"/>
        <v>0</v>
      </c>
      <c r="S2901" s="1394">
        <f>IFERROR(VLOOKUP(M2901,#REF!,6,0),0)</f>
        <v>0</v>
      </c>
      <c r="T2901" s="1394">
        <f t="shared" si="829"/>
        <v>0</v>
      </c>
      <c r="U2901" s="1394">
        <f>IFERROR(VLOOKUP(M2901,#REF!,5,0),0)</f>
        <v>0</v>
      </c>
      <c r="V2901" s="1394">
        <f t="shared" si="830"/>
        <v>0</v>
      </c>
      <c r="W2901" s="1394"/>
    </row>
    <row r="2902" spans="2:23" ht="30" customHeight="1">
      <c r="B2902" s="1405">
        <f t="shared" si="823"/>
        <v>0</v>
      </c>
      <c r="C2902" s="1408" t="str">
        <f t="shared" si="825"/>
        <v>G7 to G8</v>
      </c>
      <c r="D2902" s="1409">
        <f t="shared" si="826"/>
        <v>2</v>
      </c>
      <c r="E2902" s="1409">
        <f t="shared" si="827"/>
        <v>1</v>
      </c>
      <c r="F2902" s="1410">
        <f t="shared" si="827"/>
        <v>4.13</v>
      </c>
      <c r="G2902" s="1410"/>
      <c r="H2902" s="1411">
        <f t="shared" si="828"/>
        <v>0.32500000000000001</v>
      </c>
      <c r="I2902" s="1471">
        <f t="shared" si="820"/>
        <v>2.6844999999999999</v>
      </c>
      <c r="L2902" s="1413"/>
      <c r="O2902" s="1395"/>
      <c r="Q2902" s="1394">
        <f>IFERROR(VLOOKUP(M2902,#REF!,3,0),0)</f>
        <v>0</v>
      </c>
      <c r="R2902" s="1394">
        <f t="shared" si="813"/>
        <v>0</v>
      </c>
      <c r="S2902" s="1394">
        <f>IFERROR(VLOOKUP(M2902,#REF!,6,0),0)</f>
        <v>0</v>
      </c>
      <c r="T2902" s="1394">
        <f t="shared" si="829"/>
        <v>0</v>
      </c>
      <c r="U2902" s="1394">
        <f>IFERROR(VLOOKUP(M2902,#REF!,5,0),0)</f>
        <v>0</v>
      </c>
      <c r="V2902" s="1394">
        <f t="shared" si="830"/>
        <v>0</v>
      </c>
      <c r="W2902" s="1394"/>
    </row>
    <row r="2903" spans="2:23" ht="30" customHeight="1">
      <c r="B2903" s="1405">
        <f t="shared" si="823"/>
        <v>0</v>
      </c>
      <c r="C2903" s="1408" t="str">
        <f t="shared" si="825"/>
        <v>H3 To H8</v>
      </c>
      <c r="D2903" s="1409">
        <f t="shared" si="826"/>
        <v>2</v>
      </c>
      <c r="E2903" s="1409">
        <f t="shared" si="827"/>
        <v>1</v>
      </c>
      <c r="F2903" s="1410">
        <f t="shared" si="827"/>
        <v>15.649999999999999</v>
      </c>
      <c r="G2903" s="1410"/>
      <c r="H2903" s="1411">
        <f t="shared" si="828"/>
        <v>0.32500000000000001</v>
      </c>
      <c r="I2903" s="1471">
        <f t="shared" si="820"/>
        <v>10.172499999999999</v>
      </c>
      <c r="L2903" s="1413"/>
      <c r="O2903" s="1395"/>
      <c r="Q2903" s="1394">
        <f>IFERROR(VLOOKUP(M2903,#REF!,3,0),0)</f>
        <v>0</v>
      </c>
      <c r="R2903" s="1394">
        <f t="shared" si="813"/>
        <v>0</v>
      </c>
      <c r="S2903" s="1394">
        <f>IFERROR(VLOOKUP(M2903,#REF!,6,0),0)</f>
        <v>0</v>
      </c>
      <c r="T2903" s="1394">
        <f t="shared" si="829"/>
        <v>0</v>
      </c>
      <c r="U2903" s="1394">
        <f>IFERROR(VLOOKUP(M2903,#REF!,5,0),0)</f>
        <v>0</v>
      </c>
      <c r="V2903" s="1394">
        <f t="shared" si="830"/>
        <v>0</v>
      </c>
      <c r="W2903" s="1394"/>
    </row>
    <row r="2904" spans="2:23" ht="30" customHeight="1">
      <c r="B2904" s="1405">
        <f t="shared" si="823"/>
        <v>0</v>
      </c>
      <c r="C2904" s="1408" t="str">
        <f t="shared" si="825"/>
        <v>Cross beams</v>
      </c>
      <c r="D2904" s="1409">
        <f t="shared" si="826"/>
        <v>2</v>
      </c>
      <c r="E2904" s="1409">
        <f t="shared" si="827"/>
        <v>1</v>
      </c>
      <c r="F2904" s="1410">
        <f t="shared" si="827"/>
        <v>2.77</v>
      </c>
      <c r="G2904" s="1410"/>
      <c r="H2904" s="1411">
        <f t="shared" si="828"/>
        <v>0.255</v>
      </c>
      <c r="I2904" s="1471">
        <f t="shared" si="820"/>
        <v>1.4127000000000001</v>
      </c>
      <c r="L2904" s="1413"/>
      <c r="O2904" s="1395"/>
      <c r="Q2904" s="1394">
        <f>IFERROR(VLOOKUP(M2904,#REF!,3,0),0)</f>
        <v>0</v>
      </c>
      <c r="R2904" s="1394">
        <f t="shared" si="813"/>
        <v>0</v>
      </c>
      <c r="S2904" s="1394">
        <f>IFERROR(VLOOKUP(M2904,#REF!,6,0),0)</f>
        <v>0</v>
      </c>
      <c r="T2904" s="1394">
        <f t="shared" si="829"/>
        <v>0</v>
      </c>
      <c r="U2904" s="1394">
        <f>IFERROR(VLOOKUP(M2904,#REF!,5,0),0)</f>
        <v>0</v>
      </c>
      <c r="V2904" s="1394">
        <f t="shared" si="830"/>
        <v>0</v>
      </c>
      <c r="W2904" s="1394"/>
    </row>
    <row r="2905" spans="2:23" ht="30" customHeight="1">
      <c r="B2905" s="1405">
        <f t="shared" si="823"/>
        <v>0</v>
      </c>
      <c r="C2905" s="1408">
        <f t="shared" si="825"/>
        <v>0</v>
      </c>
      <c r="D2905" s="1409">
        <f>D865</f>
        <v>0</v>
      </c>
      <c r="E2905" s="1409">
        <f t="shared" si="827"/>
        <v>0</v>
      </c>
      <c r="F2905" s="1410">
        <f t="shared" si="827"/>
        <v>0</v>
      </c>
      <c r="G2905" s="1410">
        <f>G865</f>
        <v>0</v>
      </c>
      <c r="H2905" s="1411">
        <f>H865</f>
        <v>0</v>
      </c>
      <c r="I2905" s="1471"/>
      <c r="L2905" s="1413"/>
      <c r="O2905" s="1395"/>
      <c r="Q2905" s="1394">
        <f>IFERROR(VLOOKUP(M2905,#REF!,3,0),0)</f>
        <v>0</v>
      </c>
      <c r="R2905" s="1394">
        <f t="shared" si="813"/>
        <v>0</v>
      </c>
      <c r="S2905" s="1394">
        <f>IFERROR(VLOOKUP(M2905,#REF!,6,0),0)</f>
        <v>0</v>
      </c>
      <c r="T2905" s="1394">
        <f t="shared" si="829"/>
        <v>0</v>
      </c>
      <c r="U2905" s="1394">
        <f>IFERROR(VLOOKUP(M2905,#REF!,5,0),0)</f>
        <v>0</v>
      </c>
      <c r="V2905" s="1394">
        <f t="shared" si="830"/>
        <v>0</v>
      </c>
      <c r="W2905" s="1394"/>
    </row>
    <row r="2906" spans="2:23" ht="30" customHeight="1">
      <c r="B2906" s="1405"/>
      <c r="C2906" s="1457" t="s">
        <v>409</v>
      </c>
      <c r="D2906" s="1409">
        <f t="shared" ref="D2906:H2907" si="831">D838</f>
        <v>0</v>
      </c>
      <c r="E2906" s="1409">
        <f t="shared" si="831"/>
        <v>0</v>
      </c>
      <c r="F2906" s="1410">
        <f t="shared" si="831"/>
        <v>0</v>
      </c>
      <c r="G2906" s="1410">
        <f t="shared" si="831"/>
        <v>0</v>
      </c>
      <c r="H2906" s="1411">
        <f t="shared" si="831"/>
        <v>0</v>
      </c>
      <c r="I2906" s="1471">
        <f t="shared" ref="I2906" si="832">PRODUCT(D2906:H2906)</f>
        <v>0</v>
      </c>
      <c r="O2906" s="1395"/>
      <c r="Q2906" s="1394">
        <f>IFERROR(VLOOKUP(M2906,#REF!,3,0),0)</f>
        <v>0</v>
      </c>
      <c r="R2906" s="1394">
        <f t="shared" si="813"/>
        <v>0</v>
      </c>
      <c r="S2906" s="1394">
        <f>IFERROR(VLOOKUP(M2906,#REF!,6,0),0)</f>
        <v>0</v>
      </c>
      <c r="T2906" s="1394">
        <f t="shared" si="829"/>
        <v>0</v>
      </c>
      <c r="U2906" s="1394">
        <f>IFERROR(VLOOKUP(M2906,#REF!,5,0),0)</f>
        <v>0</v>
      </c>
      <c r="V2906" s="1394">
        <f t="shared" si="830"/>
        <v>0</v>
      </c>
      <c r="W2906" s="1394"/>
    </row>
    <row r="2907" spans="2:23" ht="30" customHeight="1">
      <c r="B2907" s="1405"/>
      <c r="C2907" s="1408" t="str">
        <f t="shared" ref="C2907:C2932" si="833">C839</f>
        <v>Horizontal beam</v>
      </c>
      <c r="D2907" s="1409">
        <f t="shared" si="831"/>
        <v>0</v>
      </c>
      <c r="E2907" s="1409">
        <f t="shared" si="831"/>
        <v>0</v>
      </c>
      <c r="F2907" s="1410">
        <f t="shared" si="831"/>
        <v>0</v>
      </c>
      <c r="G2907" s="1410">
        <f t="shared" si="831"/>
        <v>0</v>
      </c>
      <c r="H2907" s="1411">
        <f t="shared" si="831"/>
        <v>0</v>
      </c>
      <c r="I2907" s="1471">
        <f t="shared" ref="I2907:I2932" si="834">PRODUCT(D2907:H2907)</f>
        <v>0</v>
      </c>
      <c r="O2907" s="1395"/>
      <c r="Q2907" s="1394">
        <f>IFERROR(VLOOKUP(M2907,#REF!,3,0),0)</f>
        <v>0</v>
      </c>
      <c r="R2907" s="1394">
        <f t="shared" si="813"/>
        <v>0</v>
      </c>
      <c r="S2907" s="1394">
        <f>IFERROR(VLOOKUP(M2907,#REF!,6,0),0)</f>
        <v>0</v>
      </c>
      <c r="T2907" s="1394">
        <f t="shared" si="829"/>
        <v>0</v>
      </c>
      <c r="U2907" s="1394">
        <f>IFERROR(VLOOKUP(M2907,#REF!,5,0),0)</f>
        <v>0</v>
      </c>
      <c r="V2907" s="1394">
        <f t="shared" si="830"/>
        <v>0</v>
      </c>
      <c r="W2907" s="1394"/>
    </row>
    <row r="2908" spans="2:23" ht="30" customHeight="1">
      <c r="B2908" s="1405"/>
      <c r="C2908" s="1408" t="str">
        <f t="shared" si="833"/>
        <v>A1 to B1 , A5 to B5 , A6 to B6 &amp; A7 to B7</v>
      </c>
      <c r="D2908" s="1409">
        <f t="shared" ref="D2908:G2932" si="835">D840</f>
        <v>1</v>
      </c>
      <c r="E2908" s="1409">
        <f t="shared" si="835"/>
        <v>4</v>
      </c>
      <c r="F2908" s="1410">
        <f t="shared" si="835"/>
        <v>4.2300000000000004</v>
      </c>
      <c r="G2908" s="1410">
        <f t="shared" si="835"/>
        <v>0.23</v>
      </c>
      <c r="H2908" s="1411"/>
      <c r="I2908" s="1471">
        <f t="shared" si="834"/>
        <v>3.8916000000000004</v>
      </c>
      <c r="L2908" s="1413"/>
      <c r="O2908" s="1395"/>
      <c r="Q2908" s="1394">
        <f>IFERROR(VLOOKUP(M2908,#REF!,3,0),0)</f>
        <v>0</v>
      </c>
      <c r="R2908" s="1394">
        <f t="shared" si="813"/>
        <v>0</v>
      </c>
      <c r="S2908" s="1394">
        <f>IFERROR(VLOOKUP(M2908,#REF!,6,0),0)</f>
        <v>0</v>
      </c>
      <c r="T2908" s="1394">
        <f t="shared" si="829"/>
        <v>0</v>
      </c>
      <c r="U2908" s="1394">
        <f>IFERROR(VLOOKUP(M2908,#REF!,5,0),0)</f>
        <v>0</v>
      </c>
      <c r="V2908" s="1394">
        <f t="shared" si="830"/>
        <v>0</v>
      </c>
      <c r="W2908" s="1394"/>
    </row>
    <row r="2909" spans="2:23" ht="30" customHeight="1">
      <c r="B2909" s="1405">
        <f t="shared" ref="B2909:B2931" si="836">B866</f>
        <v>0</v>
      </c>
      <c r="C2909" s="1408" t="str">
        <f t="shared" si="833"/>
        <v>A8 to H8</v>
      </c>
      <c r="D2909" s="1409">
        <f t="shared" si="835"/>
        <v>1</v>
      </c>
      <c r="E2909" s="1409">
        <f t="shared" si="835"/>
        <v>1</v>
      </c>
      <c r="F2909" s="1410">
        <f t="shared" si="835"/>
        <v>18.575000000000003</v>
      </c>
      <c r="G2909" s="1410">
        <f t="shared" si="835"/>
        <v>0.23</v>
      </c>
      <c r="H2909" s="1411"/>
      <c r="I2909" s="1471">
        <f t="shared" si="834"/>
        <v>4.2722500000000005</v>
      </c>
      <c r="L2909" s="1413"/>
      <c r="O2909" s="1395"/>
      <c r="Q2909" s="1394">
        <f>IFERROR(VLOOKUP(M2909,#REF!,3,0),0)</f>
        <v>0</v>
      </c>
      <c r="R2909" s="1394">
        <f t="shared" si="813"/>
        <v>0</v>
      </c>
      <c r="S2909" s="1394">
        <f>IFERROR(VLOOKUP(M2909,#REF!,6,0),0)</f>
        <v>0</v>
      </c>
      <c r="T2909" s="1394">
        <f t="shared" si="829"/>
        <v>0</v>
      </c>
      <c r="U2909" s="1394">
        <f>IFERROR(VLOOKUP(M2909,#REF!,5,0),0)</f>
        <v>0</v>
      </c>
      <c r="V2909" s="1394">
        <f t="shared" si="830"/>
        <v>0</v>
      </c>
      <c r="W2909" s="1394"/>
    </row>
    <row r="2910" spans="2:23" ht="30" customHeight="1">
      <c r="B2910" s="1405">
        <f t="shared" si="836"/>
        <v>0</v>
      </c>
      <c r="C2910" s="1408" t="str">
        <f t="shared" si="833"/>
        <v>B5 to G5</v>
      </c>
      <c r="D2910" s="1409">
        <f t="shared" si="835"/>
        <v>1</v>
      </c>
      <c r="E2910" s="1409">
        <f t="shared" si="835"/>
        <v>1</v>
      </c>
      <c r="F2910" s="1410">
        <f t="shared" si="835"/>
        <v>10.35</v>
      </c>
      <c r="G2910" s="1410">
        <f t="shared" si="835"/>
        <v>0.23</v>
      </c>
      <c r="H2910" s="1411"/>
      <c r="I2910" s="1471">
        <f t="shared" si="834"/>
        <v>2.3805000000000001</v>
      </c>
      <c r="L2910" s="1413"/>
      <c r="O2910" s="1395"/>
      <c r="Q2910" s="1394">
        <f>IFERROR(VLOOKUP(M2910,#REF!,3,0),0)</f>
        <v>0</v>
      </c>
      <c r="R2910" s="1394">
        <f t="shared" si="813"/>
        <v>0</v>
      </c>
      <c r="S2910" s="1394">
        <f>IFERROR(VLOOKUP(M2910,#REF!,6,0),0)</f>
        <v>0</v>
      </c>
      <c r="T2910" s="1394">
        <f t="shared" si="829"/>
        <v>0</v>
      </c>
      <c r="U2910" s="1394">
        <f>IFERROR(VLOOKUP(M2910,#REF!,5,0),0)</f>
        <v>0</v>
      </c>
      <c r="V2910" s="1394">
        <f t="shared" si="830"/>
        <v>0</v>
      </c>
      <c r="W2910" s="1394"/>
    </row>
    <row r="2911" spans="2:23" ht="30" customHeight="1">
      <c r="B2911" s="1405">
        <f t="shared" si="836"/>
        <v>0</v>
      </c>
      <c r="C2911" s="1408" t="str">
        <f t="shared" si="833"/>
        <v>B3 to G3</v>
      </c>
      <c r="D2911" s="1409">
        <f t="shared" si="835"/>
        <v>1</v>
      </c>
      <c r="E2911" s="1409">
        <f t="shared" si="835"/>
        <v>1</v>
      </c>
      <c r="F2911" s="1410">
        <f t="shared" si="835"/>
        <v>10.35</v>
      </c>
      <c r="G2911" s="1410">
        <f t="shared" si="835"/>
        <v>0.23</v>
      </c>
      <c r="H2911" s="1411"/>
      <c r="I2911" s="1471">
        <f t="shared" si="834"/>
        <v>2.3805000000000001</v>
      </c>
      <c r="L2911" s="1413"/>
      <c r="O2911" s="1395"/>
      <c r="Q2911" s="1394">
        <f>IFERROR(VLOOKUP(M2911,#REF!,3,0),0)</f>
        <v>0</v>
      </c>
      <c r="R2911" s="1394">
        <f t="shared" si="813"/>
        <v>0</v>
      </c>
      <c r="S2911" s="1394">
        <f>IFERROR(VLOOKUP(M2911,#REF!,6,0),0)</f>
        <v>0</v>
      </c>
      <c r="T2911" s="1394">
        <f t="shared" si="829"/>
        <v>0</v>
      </c>
      <c r="U2911" s="1394">
        <f>IFERROR(VLOOKUP(M2911,#REF!,5,0),0)</f>
        <v>0</v>
      </c>
      <c r="V2911" s="1394">
        <f t="shared" si="830"/>
        <v>0</v>
      </c>
      <c r="W2911" s="1394"/>
    </row>
    <row r="2912" spans="2:23" ht="30" customHeight="1">
      <c r="B2912" s="1405">
        <f t="shared" si="836"/>
        <v>0</v>
      </c>
      <c r="C2912" s="1408" t="str">
        <f t="shared" si="833"/>
        <v>B7 to G7</v>
      </c>
      <c r="D2912" s="1409">
        <f t="shared" si="835"/>
        <v>1</v>
      </c>
      <c r="E2912" s="1409">
        <f t="shared" si="835"/>
        <v>1</v>
      </c>
      <c r="F2912" s="1410">
        <f t="shared" si="835"/>
        <v>10.35</v>
      </c>
      <c r="G2912" s="1410">
        <f t="shared" si="835"/>
        <v>0.23</v>
      </c>
      <c r="H2912" s="1411"/>
      <c r="I2912" s="1471">
        <f t="shared" si="834"/>
        <v>2.3805000000000001</v>
      </c>
      <c r="L2912" s="1413"/>
      <c r="O2912" s="1395"/>
      <c r="Q2912" s="1394">
        <f>IFERROR(VLOOKUP(M2912,#REF!,3,0),0)</f>
        <v>0</v>
      </c>
      <c r="R2912" s="1394">
        <f t="shared" si="813"/>
        <v>0</v>
      </c>
      <c r="S2912" s="1394">
        <f>IFERROR(VLOOKUP(M2912,#REF!,6,0),0)</f>
        <v>0</v>
      </c>
      <c r="T2912" s="1394">
        <f t="shared" si="829"/>
        <v>0</v>
      </c>
      <c r="U2912" s="1394">
        <f>IFERROR(VLOOKUP(M2912,#REF!,5,0),0)</f>
        <v>0</v>
      </c>
      <c r="V2912" s="1394">
        <f t="shared" si="830"/>
        <v>0</v>
      </c>
      <c r="W2912" s="1394"/>
    </row>
    <row r="2913" spans="2:23" ht="30" customHeight="1">
      <c r="B2913" s="1405">
        <f t="shared" si="836"/>
        <v>0</v>
      </c>
      <c r="C2913" s="1408" t="str">
        <f t="shared" si="833"/>
        <v>B4 to F4</v>
      </c>
      <c r="D2913" s="1409">
        <f t="shared" si="835"/>
        <v>1</v>
      </c>
      <c r="E2913" s="1409">
        <f t="shared" si="835"/>
        <v>1</v>
      </c>
      <c r="F2913" s="1410">
        <f t="shared" si="835"/>
        <v>6.8849999999999998</v>
      </c>
      <c r="G2913" s="1410">
        <f t="shared" si="835"/>
        <v>0.23</v>
      </c>
      <c r="H2913" s="1411"/>
      <c r="I2913" s="1471">
        <f t="shared" si="834"/>
        <v>1.58355</v>
      </c>
      <c r="L2913" s="1413"/>
      <c r="O2913" s="1395"/>
      <c r="Q2913" s="1394">
        <f>IFERROR(VLOOKUP(M2913,#REF!,3,0),0)</f>
        <v>0</v>
      </c>
      <c r="R2913" s="1394">
        <f t="shared" si="813"/>
        <v>0</v>
      </c>
      <c r="S2913" s="1394">
        <f>IFERROR(VLOOKUP(M2913,#REF!,6,0),0)</f>
        <v>0</v>
      </c>
      <c r="T2913" s="1394">
        <f t="shared" si="829"/>
        <v>0</v>
      </c>
      <c r="U2913" s="1394">
        <f>IFERROR(VLOOKUP(M2913,#REF!,5,0),0)</f>
        <v>0</v>
      </c>
      <c r="V2913" s="1394">
        <f t="shared" si="830"/>
        <v>0</v>
      </c>
      <c r="W2913" s="1394"/>
    </row>
    <row r="2914" spans="2:23" ht="30" customHeight="1">
      <c r="B2914" s="1405">
        <f t="shared" si="836"/>
        <v>0</v>
      </c>
      <c r="C2914" s="1408" t="str">
        <f t="shared" si="833"/>
        <v>OTS Cross Beam</v>
      </c>
      <c r="D2914" s="1409">
        <f t="shared" si="835"/>
        <v>1</v>
      </c>
      <c r="E2914" s="1409">
        <f t="shared" si="835"/>
        <v>1</v>
      </c>
      <c r="F2914" s="1410">
        <f t="shared" si="835"/>
        <v>4.2300000000000004</v>
      </c>
      <c r="G2914" s="1410">
        <f t="shared" si="835"/>
        <v>0.23</v>
      </c>
      <c r="H2914" s="1411"/>
      <c r="I2914" s="1471">
        <f t="shared" si="834"/>
        <v>0.9729000000000001</v>
      </c>
      <c r="L2914" s="1413"/>
      <c r="O2914" s="1395"/>
      <c r="Q2914" s="1394">
        <f>IFERROR(VLOOKUP(M2914,#REF!,3,0),0)</f>
        <v>0</v>
      </c>
      <c r="R2914" s="1394">
        <f t="shared" si="813"/>
        <v>0</v>
      </c>
      <c r="S2914" s="1394">
        <f>IFERROR(VLOOKUP(M2914,#REF!,6,0),0)</f>
        <v>0</v>
      </c>
      <c r="T2914" s="1394">
        <f t="shared" si="829"/>
        <v>0</v>
      </c>
      <c r="U2914" s="1394">
        <f>IFERROR(VLOOKUP(M2914,#REF!,5,0),0)</f>
        <v>0</v>
      </c>
      <c r="V2914" s="1394">
        <f t="shared" si="830"/>
        <v>0</v>
      </c>
      <c r="W2914" s="1394"/>
    </row>
    <row r="2915" spans="2:23" ht="30" customHeight="1">
      <c r="B2915" s="1405">
        <f t="shared" si="836"/>
        <v>0</v>
      </c>
      <c r="C2915" s="1408" t="str">
        <f t="shared" si="833"/>
        <v>OTS Cross Beam</v>
      </c>
      <c r="D2915" s="1409">
        <f t="shared" si="835"/>
        <v>1</v>
      </c>
      <c r="E2915" s="1409">
        <f t="shared" si="835"/>
        <v>1</v>
      </c>
      <c r="F2915" s="1410">
        <f t="shared" si="835"/>
        <v>3.9950000000000001</v>
      </c>
      <c r="G2915" s="1410">
        <f t="shared" si="835"/>
        <v>0.23</v>
      </c>
      <c r="H2915" s="1411"/>
      <c r="I2915" s="1471">
        <f t="shared" si="834"/>
        <v>0.91885000000000006</v>
      </c>
      <c r="L2915" s="1413"/>
      <c r="O2915" s="1395"/>
      <c r="Q2915" s="1394">
        <f>IFERROR(VLOOKUP(M2915,#REF!,3,0),0)</f>
        <v>0</v>
      </c>
      <c r="R2915" s="1394">
        <f t="shared" si="813"/>
        <v>0</v>
      </c>
      <c r="S2915" s="1394">
        <f>IFERROR(VLOOKUP(M2915,#REF!,6,0),0)</f>
        <v>0</v>
      </c>
      <c r="T2915" s="1394">
        <f t="shared" si="829"/>
        <v>0</v>
      </c>
      <c r="U2915" s="1394">
        <f>IFERROR(VLOOKUP(M2915,#REF!,5,0),0)</f>
        <v>0</v>
      </c>
      <c r="V2915" s="1394">
        <f t="shared" si="830"/>
        <v>0</v>
      </c>
      <c r="W2915" s="1394"/>
    </row>
    <row r="2916" spans="2:23" ht="30" customHeight="1">
      <c r="B2916" s="1405">
        <f t="shared" si="836"/>
        <v>0</v>
      </c>
      <c r="C2916" s="1408" t="str">
        <f t="shared" si="833"/>
        <v>G3 to H3 , G5 to H5 , G6 to H6 &amp; G7 to H7</v>
      </c>
      <c r="D2916" s="1409">
        <f t="shared" si="835"/>
        <v>1</v>
      </c>
      <c r="E2916" s="1409">
        <f t="shared" si="835"/>
        <v>4</v>
      </c>
      <c r="F2916" s="1410">
        <f t="shared" si="835"/>
        <v>3.9950000000000001</v>
      </c>
      <c r="G2916" s="1410">
        <f t="shared" si="835"/>
        <v>0.23</v>
      </c>
      <c r="H2916" s="1411"/>
      <c r="I2916" s="1471">
        <f t="shared" si="834"/>
        <v>3.6754000000000002</v>
      </c>
      <c r="L2916" s="1413"/>
      <c r="O2916" s="1395"/>
      <c r="Q2916" s="1394">
        <f>IFERROR(VLOOKUP(M2916,#REF!,3,0),0)</f>
        <v>0</v>
      </c>
      <c r="R2916" s="1394">
        <f t="shared" si="813"/>
        <v>0</v>
      </c>
      <c r="S2916" s="1394">
        <f>IFERROR(VLOOKUP(M2916,#REF!,6,0),0)</f>
        <v>0</v>
      </c>
      <c r="T2916" s="1394">
        <f t="shared" si="829"/>
        <v>0</v>
      </c>
      <c r="U2916" s="1394">
        <f>IFERROR(VLOOKUP(M2916,#REF!,5,0),0)</f>
        <v>0</v>
      </c>
      <c r="V2916" s="1394">
        <f t="shared" si="830"/>
        <v>0</v>
      </c>
      <c r="W2916" s="1394"/>
    </row>
    <row r="2917" spans="2:23" ht="30" customHeight="1">
      <c r="B2917" s="1405">
        <f t="shared" si="836"/>
        <v>0</v>
      </c>
      <c r="C2917" s="1408" t="str">
        <f t="shared" si="833"/>
        <v>Cross beams</v>
      </c>
      <c r="D2917" s="1409">
        <f t="shared" si="835"/>
        <v>1</v>
      </c>
      <c r="E2917" s="1409">
        <f t="shared" si="835"/>
        <v>1</v>
      </c>
      <c r="F2917" s="1410">
        <f t="shared" si="835"/>
        <v>1.7350000000000001</v>
      </c>
      <c r="G2917" s="1410">
        <f t="shared" si="835"/>
        <v>0.23</v>
      </c>
      <c r="H2917" s="1411"/>
      <c r="I2917" s="1471">
        <f t="shared" si="834"/>
        <v>0.39905000000000002</v>
      </c>
      <c r="L2917" s="1413"/>
      <c r="O2917" s="1395"/>
      <c r="Q2917" s="1394">
        <f>IFERROR(VLOOKUP(M2917,#REF!,3,0),0)</f>
        <v>0</v>
      </c>
      <c r="R2917" s="1394">
        <f t="shared" si="813"/>
        <v>0</v>
      </c>
      <c r="S2917" s="1394">
        <f>IFERROR(VLOOKUP(M2917,#REF!,6,0),0)</f>
        <v>0</v>
      </c>
      <c r="T2917" s="1394">
        <f t="shared" si="829"/>
        <v>0</v>
      </c>
      <c r="U2917" s="1394">
        <f>IFERROR(VLOOKUP(M2917,#REF!,5,0),0)</f>
        <v>0</v>
      </c>
      <c r="V2917" s="1394">
        <f t="shared" si="830"/>
        <v>0</v>
      </c>
      <c r="W2917" s="1394"/>
    </row>
    <row r="2918" spans="2:23" ht="30" customHeight="1">
      <c r="B2918" s="1405">
        <f t="shared" si="836"/>
        <v>0</v>
      </c>
      <c r="C2918" s="1408" t="str">
        <f t="shared" si="833"/>
        <v>Cross beams</v>
      </c>
      <c r="D2918" s="1409">
        <f t="shared" si="835"/>
        <v>1</v>
      </c>
      <c r="E2918" s="1409">
        <f t="shared" si="835"/>
        <v>1</v>
      </c>
      <c r="F2918" s="1410">
        <f t="shared" si="835"/>
        <v>3.7650000000000001</v>
      </c>
      <c r="G2918" s="1410">
        <f t="shared" si="835"/>
        <v>0.23</v>
      </c>
      <c r="H2918" s="1411"/>
      <c r="I2918" s="1471">
        <f t="shared" si="834"/>
        <v>0.86595000000000011</v>
      </c>
      <c r="L2918" s="1413"/>
      <c r="O2918" s="1395"/>
      <c r="Q2918" s="1394">
        <f>IFERROR(VLOOKUP(M2918,#REF!,3,0),0)</f>
        <v>0</v>
      </c>
      <c r="R2918" s="1394">
        <f t="shared" si="813"/>
        <v>0</v>
      </c>
      <c r="S2918" s="1394">
        <f>IFERROR(VLOOKUP(M2918,#REF!,6,0),0)</f>
        <v>0</v>
      </c>
      <c r="T2918" s="1394">
        <f t="shared" si="829"/>
        <v>0</v>
      </c>
      <c r="U2918" s="1394">
        <f>IFERROR(VLOOKUP(M2918,#REF!,5,0),0)</f>
        <v>0</v>
      </c>
      <c r="V2918" s="1394">
        <f t="shared" si="830"/>
        <v>0</v>
      </c>
      <c r="W2918" s="1394"/>
    </row>
    <row r="2919" spans="2:23" ht="30" customHeight="1">
      <c r="B2919" s="1405">
        <f t="shared" si="836"/>
        <v>0</v>
      </c>
      <c r="C2919" s="1408" t="str">
        <f t="shared" si="833"/>
        <v>Vertical beam</v>
      </c>
      <c r="D2919" s="1409">
        <f t="shared" si="835"/>
        <v>0</v>
      </c>
      <c r="E2919" s="1409">
        <f t="shared" si="835"/>
        <v>0</v>
      </c>
      <c r="F2919" s="1410">
        <f t="shared" si="835"/>
        <v>0</v>
      </c>
      <c r="G2919" s="1410">
        <f t="shared" si="835"/>
        <v>0</v>
      </c>
      <c r="H2919" s="1411"/>
      <c r="I2919" s="1471">
        <f t="shared" si="834"/>
        <v>0</v>
      </c>
      <c r="L2919" s="1413"/>
      <c r="O2919" s="1395"/>
      <c r="Q2919" s="1394">
        <f>IFERROR(VLOOKUP(M2919,#REF!,3,0),0)</f>
        <v>0</v>
      </c>
      <c r="R2919" s="1394">
        <f t="shared" si="813"/>
        <v>0</v>
      </c>
      <c r="S2919" s="1394">
        <f>IFERROR(VLOOKUP(M2919,#REF!,6,0),0)</f>
        <v>0</v>
      </c>
      <c r="T2919" s="1394">
        <f t="shared" si="829"/>
        <v>0</v>
      </c>
      <c r="U2919" s="1394">
        <f>IFERROR(VLOOKUP(M2919,#REF!,5,0),0)</f>
        <v>0</v>
      </c>
      <c r="V2919" s="1394">
        <f t="shared" si="830"/>
        <v>0</v>
      </c>
      <c r="W2919" s="1394"/>
    </row>
    <row r="2920" spans="2:23" ht="30" customHeight="1">
      <c r="B2920" s="1405">
        <f t="shared" si="836"/>
        <v>0</v>
      </c>
      <c r="C2920" s="1408" t="str">
        <f t="shared" si="833"/>
        <v>A3 To A5</v>
      </c>
      <c r="D2920" s="1409">
        <f t="shared" si="835"/>
        <v>1</v>
      </c>
      <c r="E2920" s="1409">
        <f t="shared" si="835"/>
        <v>1</v>
      </c>
      <c r="F2920" s="1410">
        <f t="shared" si="835"/>
        <v>5.5299999999999994</v>
      </c>
      <c r="G2920" s="1410">
        <f t="shared" si="835"/>
        <v>0.23</v>
      </c>
      <c r="H2920" s="1411"/>
      <c r="I2920" s="1471">
        <f t="shared" si="834"/>
        <v>1.2718999999999998</v>
      </c>
      <c r="L2920" s="1413"/>
      <c r="O2920" s="1395"/>
      <c r="Q2920" s="1394">
        <f>IFERROR(VLOOKUP(M2920,#REF!,3,0),0)</f>
        <v>0</v>
      </c>
      <c r="R2920" s="1394">
        <f t="shared" si="813"/>
        <v>0</v>
      </c>
      <c r="S2920" s="1394">
        <f>IFERROR(VLOOKUP(M2920,#REF!,6,0),0)</f>
        <v>0</v>
      </c>
      <c r="T2920" s="1394">
        <f t="shared" si="829"/>
        <v>0</v>
      </c>
      <c r="U2920" s="1394">
        <f>IFERROR(VLOOKUP(M2920,#REF!,5,0),0)</f>
        <v>0</v>
      </c>
      <c r="V2920" s="1394">
        <f t="shared" si="830"/>
        <v>0</v>
      </c>
      <c r="W2920" s="1394"/>
    </row>
    <row r="2921" spans="2:23" ht="30" customHeight="1">
      <c r="B2921" s="1405">
        <f t="shared" si="836"/>
        <v>0</v>
      </c>
      <c r="C2921" s="1408" t="str">
        <f t="shared" si="833"/>
        <v>A5 To A8</v>
      </c>
      <c r="D2921" s="1409">
        <f t="shared" si="835"/>
        <v>1</v>
      </c>
      <c r="E2921" s="1409">
        <f t="shared" si="835"/>
        <v>1</v>
      </c>
      <c r="F2921" s="1410">
        <f t="shared" si="835"/>
        <v>10.120000000000001</v>
      </c>
      <c r="G2921" s="1410">
        <f t="shared" si="835"/>
        <v>0.23</v>
      </c>
      <c r="H2921" s="1411"/>
      <c r="I2921" s="1471">
        <f t="shared" si="834"/>
        <v>2.3276000000000003</v>
      </c>
      <c r="L2921" s="1413"/>
      <c r="O2921" s="1395"/>
      <c r="Q2921" s="1394">
        <f>IFERROR(VLOOKUP(M2921,#REF!,3,0),0)</f>
        <v>0</v>
      </c>
      <c r="R2921" s="1394">
        <f t="shared" si="813"/>
        <v>0</v>
      </c>
      <c r="S2921" s="1394">
        <f>IFERROR(VLOOKUP(M2921,#REF!,6,0),0)</f>
        <v>0</v>
      </c>
      <c r="T2921" s="1394">
        <f t="shared" si="829"/>
        <v>0</v>
      </c>
      <c r="U2921" s="1394">
        <f>IFERROR(VLOOKUP(M2921,#REF!,5,0),0)</f>
        <v>0</v>
      </c>
      <c r="V2921" s="1394">
        <f t="shared" si="830"/>
        <v>0</v>
      </c>
      <c r="W2921" s="1394"/>
    </row>
    <row r="2922" spans="2:23" ht="30" customHeight="1">
      <c r="B2922" s="1405">
        <f t="shared" si="836"/>
        <v>0</v>
      </c>
      <c r="C2922" s="1408" t="str">
        <f t="shared" si="833"/>
        <v>B3 To B8</v>
      </c>
      <c r="D2922" s="1409">
        <f t="shared" si="835"/>
        <v>1</v>
      </c>
      <c r="E2922" s="1409">
        <f t="shared" si="835"/>
        <v>1</v>
      </c>
      <c r="F2922" s="1410">
        <f t="shared" si="835"/>
        <v>15.649999999999999</v>
      </c>
      <c r="G2922" s="1410">
        <f t="shared" si="835"/>
        <v>0.23</v>
      </c>
      <c r="H2922" s="1411"/>
      <c r="I2922" s="1471">
        <f t="shared" si="834"/>
        <v>3.5994999999999999</v>
      </c>
      <c r="L2922" s="1413"/>
      <c r="O2922" s="1395"/>
      <c r="Q2922" s="1394">
        <f>IFERROR(VLOOKUP(M2922,#REF!,3,0),0)</f>
        <v>0</v>
      </c>
      <c r="R2922" s="1394">
        <f t="shared" si="813"/>
        <v>0</v>
      </c>
      <c r="S2922" s="1394">
        <f>IFERROR(VLOOKUP(M2922,#REF!,6,0),0)</f>
        <v>0</v>
      </c>
      <c r="T2922" s="1394">
        <f t="shared" si="829"/>
        <v>0</v>
      </c>
      <c r="U2922" s="1394">
        <f>IFERROR(VLOOKUP(M2922,#REF!,5,0),0)</f>
        <v>0</v>
      </c>
      <c r="V2922" s="1394">
        <f t="shared" si="830"/>
        <v>0</v>
      </c>
      <c r="W2922" s="1394"/>
    </row>
    <row r="2923" spans="2:23" ht="30" customHeight="1">
      <c r="B2923" s="1405">
        <f t="shared" si="836"/>
        <v>0</v>
      </c>
      <c r="C2923" s="1408" t="str">
        <f t="shared" si="833"/>
        <v>Cross beams</v>
      </c>
      <c r="D2923" s="1409">
        <f t="shared" si="835"/>
        <v>1</v>
      </c>
      <c r="E2923" s="1409">
        <f t="shared" si="835"/>
        <v>1</v>
      </c>
      <c r="F2923" s="1410">
        <f t="shared" si="835"/>
        <v>4.13</v>
      </c>
      <c r="G2923" s="1410">
        <f t="shared" si="835"/>
        <v>0.23</v>
      </c>
      <c r="H2923" s="1411"/>
      <c r="I2923" s="1471">
        <f t="shared" si="834"/>
        <v>0.94989999999999997</v>
      </c>
      <c r="L2923" s="1413"/>
      <c r="O2923" s="1395"/>
      <c r="Q2923" s="1394">
        <f>IFERROR(VLOOKUP(M2923,#REF!,3,0),0)</f>
        <v>0</v>
      </c>
      <c r="R2923" s="1394">
        <f t="shared" si="813"/>
        <v>0</v>
      </c>
      <c r="S2923" s="1394">
        <f>IFERROR(VLOOKUP(M2923,#REF!,6,0),0)</f>
        <v>0</v>
      </c>
      <c r="T2923" s="1394">
        <f t="shared" si="829"/>
        <v>0</v>
      </c>
      <c r="U2923" s="1394">
        <f>IFERROR(VLOOKUP(M2923,#REF!,5,0),0)</f>
        <v>0</v>
      </c>
      <c r="V2923" s="1394">
        <f t="shared" si="830"/>
        <v>0</v>
      </c>
      <c r="W2923" s="1394"/>
    </row>
    <row r="2924" spans="2:23" ht="30" customHeight="1">
      <c r="B2924" s="1405">
        <f t="shared" si="836"/>
        <v>0</v>
      </c>
      <c r="C2924" s="1408" t="str">
        <f t="shared" si="833"/>
        <v>Cross beams</v>
      </c>
      <c r="D2924" s="1409">
        <f t="shared" si="835"/>
        <v>1</v>
      </c>
      <c r="E2924" s="1409">
        <f t="shared" si="835"/>
        <v>1</v>
      </c>
      <c r="F2924" s="1410">
        <f t="shared" si="835"/>
        <v>4.13</v>
      </c>
      <c r="G2924" s="1410">
        <f t="shared" si="835"/>
        <v>0.23</v>
      </c>
      <c r="H2924" s="1411"/>
      <c r="I2924" s="1471">
        <f t="shared" si="834"/>
        <v>0.94989999999999997</v>
      </c>
      <c r="L2924" s="1413"/>
      <c r="O2924" s="1395"/>
      <c r="Q2924" s="1394">
        <f>IFERROR(VLOOKUP(M2924,#REF!,3,0),0)</f>
        <v>0</v>
      </c>
      <c r="R2924" s="1394">
        <f t="shared" si="813"/>
        <v>0</v>
      </c>
      <c r="S2924" s="1394">
        <f>IFERROR(VLOOKUP(M2924,#REF!,6,0),0)</f>
        <v>0</v>
      </c>
      <c r="T2924" s="1394">
        <f t="shared" si="829"/>
        <v>0</v>
      </c>
      <c r="U2924" s="1394">
        <f>IFERROR(VLOOKUP(M2924,#REF!,5,0),0)</f>
        <v>0</v>
      </c>
      <c r="V2924" s="1394">
        <f t="shared" si="830"/>
        <v>0</v>
      </c>
      <c r="W2924" s="1394"/>
    </row>
    <row r="2925" spans="2:23" ht="30" customHeight="1">
      <c r="B2925" s="1405">
        <f t="shared" si="836"/>
        <v>0</v>
      </c>
      <c r="C2925" s="1408" t="str">
        <f t="shared" si="833"/>
        <v>C4 to C5</v>
      </c>
      <c r="D2925" s="1409">
        <f t="shared" si="835"/>
        <v>1</v>
      </c>
      <c r="E2925" s="1409">
        <f t="shared" si="835"/>
        <v>1</v>
      </c>
      <c r="F2925" s="1410">
        <f t="shared" si="835"/>
        <v>2.5299999999999998</v>
      </c>
      <c r="G2925" s="1410">
        <f t="shared" si="835"/>
        <v>0.23</v>
      </c>
      <c r="H2925" s="1411"/>
      <c r="I2925" s="1471">
        <f t="shared" si="834"/>
        <v>0.58189999999999997</v>
      </c>
      <c r="L2925" s="1413"/>
      <c r="O2925" s="1395"/>
      <c r="Q2925" s="1394">
        <f>IFERROR(VLOOKUP(M2925,#REF!,3,0),0)</f>
        <v>0</v>
      </c>
      <c r="R2925" s="1394">
        <f t="shared" si="813"/>
        <v>0</v>
      </c>
      <c r="S2925" s="1394">
        <f>IFERROR(VLOOKUP(M2925,#REF!,6,0),0)</f>
        <v>0</v>
      </c>
      <c r="T2925" s="1394">
        <f t="shared" si="829"/>
        <v>0</v>
      </c>
      <c r="U2925" s="1394">
        <f>IFERROR(VLOOKUP(M2925,#REF!,5,0),0)</f>
        <v>0</v>
      </c>
      <c r="V2925" s="1394">
        <f t="shared" si="830"/>
        <v>0</v>
      </c>
      <c r="W2925" s="1394"/>
    </row>
    <row r="2926" spans="2:23" ht="30" customHeight="1">
      <c r="B2926" s="1405">
        <f t="shared" si="836"/>
        <v>0</v>
      </c>
      <c r="C2926" s="1408" t="str">
        <f t="shared" si="833"/>
        <v xml:space="preserve">C5 to C7 &amp; F5 to F7 </v>
      </c>
      <c r="D2926" s="1409">
        <f t="shared" si="835"/>
        <v>1</v>
      </c>
      <c r="E2926" s="1409">
        <f t="shared" si="835"/>
        <v>2</v>
      </c>
      <c r="F2926" s="1410">
        <f t="shared" si="835"/>
        <v>5.99</v>
      </c>
      <c r="G2926" s="1410">
        <f t="shared" si="835"/>
        <v>0.23</v>
      </c>
      <c r="H2926" s="1411"/>
      <c r="I2926" s="1471">
        <f t="shared" si="834"/>
        <v>2.7554000000000003</v>
      </c>
      <c r="L2926" s="1413"/>
      <c r="O2926" s="1395"/>
      <c r="Q2926" s="1394">
        <f>IFERROR(VLOOKUP(M2926,#REF!,3,0),0)</f>
        <v>0</v>
      </c>
      <c r="R2926" s="1394">
        <f t="shared" ref="R2926:R2989" si="837">ROUND(O2926,2)*ROUND(Q2926,2)</f>
        <v>0</v>
      </c>
      <c r="S2926" s="1394">
        <f>IFERROR(VLOOKUP(M2926,#REF!,6,0),0)</f>
        <v>0</v>
      </c>
      <c r="T2926" s="1394">
        <f t="shared" si="829"/>
        <v>0</v>
      </c>
      <c r="U2926" s="1394">
        <f>IFERROR(VLOOKUP(M2926,#REF!,5,0),0)</f>
        <v>0</v>
      </c>
      <c r="V2926" s="1394">
        <f t="shared" si="830"/>
        <v>0</v>
      </c>
      <c r="W2926" s="1394"/>
    </row>
    <row r="2927" spans="2:23" ht="30" customHeight="1">
      <c r="B2927" s="1405">
        <f t="shared" si="836"/>
        <v>0</v>
      </c>
      <c r="C2927" s="1408" t="str">
        <f t="shared" si="833"/>
        <v>F3 to F5</v>
      </c>
      <c r="D2927" s="1409">
        <f t="shared" si="835"/>
        <v>1</v>
      </c>
      <c r="E2927" s="1409">
        <f t="shared" si="835"/>
        <v>1</v>
      </c>
      <c r="F2927" s="1410">
        <f t="shared" si="835"/>
        <v>5.5299999999999994</v>
      </c>
      <c r="G2927" s="1410">
        <f t="shared" si="835"/>
        <v>0.23</v>
      </c>
      <c r="H2927" s="1411"/>
      <c r="I2927" s="1471">
        <f t="shared" si="834"/>
        <v>1.2718999999999998</v>
      </c>
      <c r="L2927" s="1413"/>
      <c r="O2927" s="1395"/>
      <c r="Q2927" s="1394">
        <f>IFERROR(VLOOKUP(M2927,#REF!,3,0),0)</f>
        <v>0</v>
      </c>
      <c r="R2927" s="1394">
        <f t="shared" si="837"/>
        <v>0</v>
      </c>
      <c r="S2927" s="1394">
        <f>IFERROR(VLOOKUP(M2927,#REF!,6,0),0)</f>
        <v>0</v>
      </c>
      <c r="T2927" s="1394">
        <f t="shared" si="829"/>
        <v>0</v>
      </c>
      <c r="U2927" s="1394">
        <f>IFERROR(VLOOKUP(M2927,#REF!,5,0),0)</f>
        <v>0</v>
      </c>
      <c r="V2927" s="1394">
        <f t="shared" si="830"/>
        <v>0</v>
      </c>
      <c r="W2927" s="1394"/>
    </row>
    <row r="2928" spans="2:23" ht="30" customHeight="1">
      <c r="B2928" s="1405">
        <f t="shared" si="836"/>
        <v>0</v>
      </c>
      <c r="C2928" s="1408" t="str">
        <f t="shared" si="833"/>
        <v>E7 to E8</v>
      </c>
      <c r="D2928" s="1409">
        <f t="shared" si="835"/>
        <v>1</v>
      </c>
      <c r="E2928" s="1409">
        <f t="shared" si="835"/>
        <v>1</v>
      </c>
      <c r="F2928" s="1410">
        <f t="shared" si="835"/>
        <v>4.13</v>
      </c>
      <c r="G2928" s="1410">
        <f t="shared" si="835"/>
        <v>0.23</v>
      </c>
      <c r="H2928" s="1411"/>
      <c r="I2928" s="1471">
        <f t="shared" si="834"/>
        <v>0.94989999999999997</v>
      </c>
      <c r="L2928" s="1413"/>
      <c r="O2928" s="1395"/>
      <c r="Q2928" s="1394">
        <f>IFERROR(VLOOKUP(M2928,#REF!,3,0),0)</f>
        <v>0</v>
      </c>
      <c r="R2928" s="1394">
        <f t="shared" si="837"/>
        <v>0</v>
      </c>
      <c r="S2928" s="1394">
        <f>IFERROR(VLOOKUP(M2928,#REF!,6,0),0)</f>
        <v>0</v>
      </c>
      <c r="T2928" s="1394">
        <f t="shared" si="829"/>
        <v>0</v>
      </c>
      <c r="U2928" s="1394">
        <f>IFERROR(VLOOKUP(M2928,#REF!,5,0),0)</f>
        <v>0</v>
      </c>
      <c r="V2928" s="1394">
        <f t="shared" si="830"/>
        <v>0</v>
      </c>
      <c r="W2928" s="1394"/>
    </row>
    <row r="2929" spans="2:23" ht="30" customHeight="1">
      <c r="B2929" s="1405">
        <f t="shared" si="836"/>
        <v>0</v>
      </c>
      <c r="C2929" s="1408" t="str">
        <f t="shared" si="833"/>
        <v>G3 to G7</v>
      </c>
      <c r="D2929" s="1409">
        <f t="shared" si="835"/>
        <v>1</v>
      </c>
      <c r="E2929" s="1409">
        <f t="shared" si="835"/>
        <v>1</v>
      </c>
      <c r="F2929" s="1410">
        <f t="shared" si="835"/>
        <v>11.52</v>
      </c>
      <c r="G2929" s="1410">
        <f t="shared" si="835"/>
        <v>0.23</v>
      </c>
      <c r="H2929" s="1411"/>
      <c r="I2929" s="1471">
        <f t="shared" si="834"/>
        <v>2.6496</v>
      </c>
      <c r="L2929" s="1413"/>
      <c r="O2929" s="1395"/>
      <c r="Q2929" s="1394">
        <f>IFERROR(VLOOKUP(M2929,#REF!,3,0),0)</f>
        <v>0</v>
      </c>
      <c r="R2929" s="1394">
        <f t="shared" si="837"/>
        <v>0</v>
      </c>
      <c r="S2929" s="1394">
        <f>IFERROR(VLOOKUP(M2929,#REF!,6,0),0)</f>
        <v>0</v>
      </c>
      <c r="T2929" s="1394">
        <f t="shared" si="829"/>
        <v>0</v>
      </c>
      <c r="U2929" s="1394">
        <f>IFERROR(VLOOKUP(M2929,#REF!,5,0),0)</f>
        <v>0</v>
      </c>
      <c r="V2929" s="1394">
        <f t="shared" si="830"/>
        <v>0</v>
      </c>
      <c r="W2929" s="1394"/>
    </row>
    <row r="2930" spans="2:23" ht="30" customHeight="1">
      <c r="B2930" s="1405">
        <f t="shared" si="836"/>
        <v>0</v>
      </c>
      <c r="C2930" s="1408" t="str">
        <f t="shared" si="833"/>
        <v>G7 to G8</v>
      </c>
      <c r="D2930" s="1409">
        <f t="shared" si="835"/>
        <v>1</v>
      </c>
      <c r="E2930" s="1409">
        <f t="shared" si="835"/>
        <v>1</v>
      </c>
      <c r="F2930" s="1410">
        <f t="shared" si="835"/>
        <v>4.13</v>
      </c>
      <c r="G2930" s="1410">
        <f t="shared" si="835"/>
        <v>0.23</v>
      </c>
      <c r="H2930" s="1411"/>
      <c r="I2930" s="1471">
        <f t="shared" si="834"/>
        <v>0.94989999999999997</v>
      </c>
      <c r="L2930" s="1413"/>
      <c r="O2930" s="1395"/>
      <c r="Q2930" s="1394">
        <f>IFERROR(VLOOKUP(M2930,#REF!,3,0),0)</f>
        <v>0</v>
      </c>
      <c r="R2930" s="1394">
        <f t="shared" si="837"/>
        <v>0</v>
      </c>
      <c r="S2930" s="1394">
        <f>IFERROR(VLOOKUP(M2930,#REF!,6,0),0)</f>
        <v>0</v>
      </c>
      <c r="T2930" s="1394">
        <f t="shared" si="829"/>
        <v>0</v>
      </c>
      <c r="U2930" s="1394">
        <f>IFERROR(VLOOKUP(M2930,#REF!,5,0),0)</f>
        <v>0</v>
      </c>
      <c r="V2930" s="1394">
        <f t="shared" si="830"/>
        <v>0</v>
      </c>
      <c r="W2930" s="1394"/>
    </row>
    <row r="2931" spans="2:23" ht="30" customHeight="1">
      <c r="B2931" s="1405">
        <f t="shared" si="836"/>
        <v>0</v>
      </c>
      <c r="C2931" s="1408" t="str">
        <f t="shared" si="833"/>
        <v>H3 To H8</v>
      </c>
      <c r="D2931" s="1409">
        <f t="shared" si="835"/>
        <v>1</v>
      </c>
      <c r="E2931" s="1409">
        <f t="shared" si="835"/>
        <v>1</v>
      </c>
      <c r="F2931" s="1410">
        <f t="shared" si="835"/>
        <v>15.649999999999999</v>
      </c>
      <c r="G2931" s="1410">
        <f t="shared" si="835"/>
        <v>0.23</v>
      </c>
      <c r="H2931" s="1411"/>
      <c r="I2931" s="1471">
        <f t="shared" si="834"/>
        <v>3.5994999999999999</v>
      </c>
      <c r="L2931" s="1413"/>
      <c r="O2931" s="1395"/>
      <c r="Q2931" s="1394">
        <f>IFERROR(VLOOKUP(M2931,#REF!,3,0),0)</f>
        <v>0</v>
      </c>
      <c r="R2931" s="1394">
        <f t="shared" si="837"/>
        <v>0</v>
      </c>
      <c r="S2931" s="1394">
        <f>IFERROR(VLOOKUP(M2931,#REF!,6,0),0)</f>
        <v>0</v>
      </c>
      <c r="T2931" s="1394">
        <f t="shared" si="829"/>
        <v>0</v>
      </c>
      <c r="U2931" s="1394">
        <f>IFERROR(VLOOKUP(M2931,#REF!,5,0),0)</f>
        <v>0</v>
      </c>
      <c r="V2931" s="1394">
        <f t="shared" si="830"/>
        <v>0</v>
      </c>
      <c r="W2931" s="1394"/>
    </row>
    <row r="2932" spans="2:23" ht="30" customHeight="1">
      <c r="B2932" s="1405">
        <f>B890</f>
        <v>0</v>
      </c>
      <c r="C2932" s="1408" t="str">
        <f t="shared" si="833"/>
        <v>Cross beams</v>
      </c>
      <c r="D2932" s="1409">
        <f t="shared" si="835"/>
        <v>1</v>
      </c>
      <c r="E2932" s="1409">
        <f t="shared" si="835"/>
        <v>1</v>
      </c>
      <c r="F2932" s="1410">
        <f t="shared" si="835"/>
        <v>2.77</v>
      </c>
      <c r="G2932" s="1410">
        <f t="shared" si="835"/>
        <v>0.23</v>
      </c>
      <c r="H2932" s="1411"/>
      <c r="I2932" s="1471">
        <f t="shared" si="834"/>
        <v>0.6371</v>
      </c>
      <c r="L2932" s="1413"/>
      <c r="O2932" s="1395"/>
      <c r="Q2932" s="1394">
        <f>IFERROR(VLOOKUP(M2932,#REF!,3,0),0)</f>
        <v>0</v>
      </c>
      <c r="R2932" s="1394">
        <f t="shared" si="837"/>
        <v>0</v>
      </c>
      <c r="S2932" s="1394">
        <f>IFERROR(VLOOKUP(M2932,#REF!,6,0),0)</f>
        <v>0</v>
      </c>
      <c r="T2932" s="1394">
        <f t="shared" si="829"/>
        <v>0</v>
      </c>
      <c r="U2932" s="1394">
        <f>IFERROR(VLOOKUP(M2932,#REF!,5,0),0)</f>
        <v>0</v>
      </c>
      <c r="V2932" s="1394">
        <f t="shared" si="830"/>
        <v>0</v>
      </c>
      <c r="W2932" s="1394"/>
    </row>
    <row r="2933" spans="2:23" ht="30" customHeight="1">
      <c r="B2933" s="1405">
        <f t="shared" ref="B2933:H2934" si="838">B866</f>
        <v>0</v>
      </c>
      <c r="C2933" s="1408">
        <f t="shared" si="838"/>
        <v>0</v>
      </c>
      <c r="D2933" s="1409">
        <f t="shared" si="838"/>
        <v>0</v>
      </c>
      <c r="E2933" s="1409">
        <f t="shared" si="838"/>
        <v>0</v>
      </c>
      <c r="F2933" s="1410">
        <f t="shared" si="838"/>
        <v>0</v>
      </c>
      <c r="G2933" s="1410">
        <f t="shared" si="838"/>
        <v>0</v>
      </c>
      <c r="H2933" s="1411">
        <f t="shared" si="838"/>
        <v>0</v>
      </c>
      <c r="I2933" s="1471">
        <f t="shared" ref="I2933:I2954" si="839">PRODUCT(D2933:H2933)</f>
        <v>0</v>
      </c>
      <c r="J2933" s="1397"/>
      <c r="K2933" s="1397"/>
      <c r="L2933" s="1413"/>
      <c r="O2933" s="1395"/>
      <c r="Q2933" s="1394">
        <f>IFERROR(VLOOKUP(M2933,#REF!,3,0),0)</f>
        <v>0</v>
      </c>
      <c r="R2933" s="1394">
        <f t="shared" si="837"/>
        <v>0</v>
      </c>
      <c r="S2933" s="1394">
        <f>IFERROR(VLOOKUP(M2933,#REF!,6,0),0)</f>
        <v>0</v>
      </c>
      <c r="T2933" s="1394">
        <f t="shared" si="829"/>
        <v>0</v>
      </c>
      <c r="U2933" s="1394">
        <f>IFERROR(VLOOKUP(M2933,#REF!,5,0),0)</f>
        <v>0</v>
      </c>
      <c r="V2933" s="1394">
        <f t="shared" si="830"/>
        <v>0</v>
      </c>
      <c r="W2933" s="1394"/>
    </row>
    <row r="2934" spans="2:23" ht="30" customHeight="1">
      <c r="B2934" s="1405">
        <f t="shared" si="838"/>
        <v>0</v>
      </c>
      <c r="C2934" s="1415" t="str">
        <f t="shared" si="838"/>
        <v>Roof Slab</v>
      </c>
      <c r="D2934" s="1409">
        <f t="shared" si="838"/>
        <v>0</v>
      </c>
      <c r="E2934" s="1409">
        <f t="shared" si="838"/>
        <v>0</v>
      </c>
      <c r="F2934" s="1410">
        <f t="shared" si="838"/>
        <v>0</v>
      </c>
      <c r="G2934" s="1410">
        <f t="shared" si="838"/>
        <v>0</v>
      </c>
      <c r="H2934" s="1411">
        <f t="shared" si="838"/>
        <v>0</v>
      </c>
      <c r="I2934" s="1471">
        <f t="shared" si="839"/>
        <v>0</v>
      </c>
      <c r="O2934" s="1395"/>
      <c r="Q2934" s="1394">
        <f>IFERROR(VLOOKUP(M2934,#REF!,3,0),0)</f>
        <v>0</v>
      </c>
      <c r="R2934" s="1394">
        <f t="shared" si="837"/>
        <v>0</v>
      </c>
      <c r="S2934" s="1394">
        <f>IFERROR(VLOOKUP(M2934,#REF!,6,0),0)</f>
        <v>0</v>
      </c>
      <c r="T2934" s="1394">
        <f t="shared" si="829"/>
        <v>0</v>
      </c>
      <c r="U2934" s="1394">
        <f>IFERROR(VLOOKUP(M2934,#REF!,5,0),0)</f>
        <v>0</v>
      </c>
      <c r="V2934" s="1394">
        <f t="shared" si="830"/>
        <v>0</v>
      </c>
      <c r="W2934" s="1394"/>
    </row>
    <row r="2935" spans="2:23" ht="30" customHeight="1">
      <c r="B2935" s="1405">
        <f t="shared" ref="B2935:G2944" si="840">B868</f>
        <v>0</v>
      </c>
      <c r="C2935" s="1408" t="str">
        <f t="shared" si="840"/>
        <v>SI Room Below Roof</v>
      </c>
      <c r="D2935" s="1409">
        <f t="shared" si="840"/>
        <v>1</v>
      </c>
      <c r="E2935" s="1409">
        <f t="shared" si="840"/>
        <v>1</v>
      </c>
      <c r="F2935" s="1410">
        <f t="shared" si="840"/>
        <v>4</v>
      </c>
      <c r="G2935" s="1410">
        <f t="shared" si="840"/>
        <v>5.0999999999999996</v>
      </c>
      <c r="H2935" s="1410"/>
      <c r="I2935" s="1471">
        <f t="shared" si="839"/>
        <v>20.399999999999999</v>
      </c>
      <c r="O2935" s="1395"/>
      <c r="Q2935" s="1394">
        <f>IFERROR(VLOOKUP(M2935,#REF!,3,0),0)</f>
        <v>0</v>
      </c>
      <c r="R2935" s="1394">
        <f t="shared" si="837"/>
        <v>0</v>
      </c>
      <c r="S2935" s="1394">
        <f>IFERROR(VLOOKUP(M2935,#REF!,6,0),0)</f>
        <v>0</v>
      </c>
      <c r="T2935" s="1394">
        <f t="shared" si="829"/>
        <v>0</v>
      </c>
      <c r="U2935" s="1394">
        <f>IFERROR(VLOOKUP(M2935,#REF!,5,0),0)</f>
        <v>0</v>
      </c>
      <c r="V2935" s="1394">
        <f t="shared" si="830"/>
        <v>0</v>
      </c>
      <c r="W2935" s="1394"/>
    </row>
    <row r="2936" spans="2:23" ht="30" customHeight="1">
      <c r="B2936" s="1405">
        <f t="shared" si="840"/>
        <v>0</v>
      </c>
      <c r="C2936" s="1408" t="str">
        <f t="shared" si="840"/>
        <v>SI Room Toilet Below Roof</v>
      </c>
      <c r="D2936" s="1409">
        <f t="shared" si="840"/>
        <v>1</v>
      </c>
      <c r="E2936" s="1409">
        <f t="shared" si="840"/>
        <v>1</v>
      </c>
      <c r="F2936" s="1410">
        <f t="shared" si="840"/>
        <v>4</v>
      </c>
      <c r="G2936" s="1410">
        <f t="shared" si="840"/>
        <v>1.5</v>
      </c>
      <c r="H2936" s="1410"/>
      <c r="I2936" s="1471">
        <f t="shared" si="839"/>
        <v>6</v>
      </c>
      <c r="O2936" s="1395"/>
      <c r="Q2936" s="1394">
        <f>IFERROR(VLOOKUP(M2936,#REF!,3,0),0)</f>
        <v>0</v>
      </c>
      <c r="R2936" s="1394">
        <f t="shared" si="837"/>
        <v>0</v>
      </c>
      <c r="S2936" s="1394">
        <f>IFERROR(VLOOKUP(M2936,#REF!,6,0),0)</f>
        <v>0</v>
      </c>
      <c r="T2936" s="1394">
        <f t="shared" si="829"/>
        <v>0</v>
      </c>
      <c r="U2936" s="1394">
        <f>IFERROR(VLOOKUP(M2936,#REF!,5,0),0)</f>
        <v>0</v>
      </c>
      <c r="V2936" s="1394">
        <f t="shared" si="830"/>
        <v>0</v>
      </c>
      <c r="W2936" s="1394"/>
    </row>
    <row r="2937" spans="2:23" ht="30" customHeight="1">
      <c r="B2937" s="1405">
        <f t="shared" si="840"/>
        <v>0</v>
      </c>
      <c r="C2937" s="1408" t="str">
        <f t="shared" si="840"/>
        <v>Lock up Women Below Roof</v>
      </c>
      <c r="D2937" s="1409">
        <f t="shared" si="840"/>
        <v>1</v>
      </c>
      <c r="E2937" s="1409">
        <f t="shared" si="840"/>
        <v>1</v>
      </c>
      <c r="F2937" s="1410">
        <f t="shared" si="840"/>
        <v>4</v>
      </c>
      <c r="G2937" s="1410">
        <f t="shared" si="840"/>
        <v>2.5</v>
      </c>
      <c r="H2937" s="1410"/>
      <c r="I2937" s="1471">
        <f t="shared" si="839"/>
        <v>10</v>
      </c>
      <c r="O2937" s="1395"/>
      <c r="Q2937" s="1394">
        <f>IFERROR(VLOOKUP(M2937,#REF!,3,0),0)</f>
        <v>0</v>
      </c>
      <c r="R2937" s="1394">
        <f t="shared" si="837"/>
        <v>0</v>
      </c>
      <c r="S2937" s="1394">
        <f>IFERROR(VLOOKUP(M2937,#REF!,6,0),0)</f>
        <v>0</v>
      </c>
      <c r="T2937" s="1394">
        <f t="shared" si="829"/>
        <v>0</v>
      </c>
      <c r="U2937" s="1394">
        <f>IFERROR(VLOOKUP(M2937,#REF!,5,0),0)</f>
        <v>0</v>
      </c>
      <c r="V2937" s="1394">
        <f t="shared" si="830"/>
        <v>0</v>
      </c>
      <c r="W2937" s="1394"/>
    </row>
    <row r="2938" spans="2:23" ht="30" customHeight="1">
      <c r="B2938" s="1405">
        <f t="shared" si="840"/>
        <v>0</v>
      </c>
      <c r="C2938" s="1408" t="str">
        <f t="shared" si="840"/>
        <v>CD Files/Store Below Roof</v>
      </c>
      <c r="D2938" s="1409">
        <f t="shared" si="840"/>
        <v>1</v>
      </c>
      <c r="E2938" s="1409">
        <f t="shared" si="840"/>
        <v>1</v>
      </c>
      <c r="F2938" s="1410">
        <f t="shared" si="840"/>
        <v>4</v>
      </c>
      <c r="G2938" s="1410">
        <f t="shared" si="840"/>
        <v>3.9</v>
      </c>
      <c r="H2938" s="1410"/>
      <c r="I2938" s="1471">
        <f t="shared" si="839"/>
        <v>15.6</v>
      </c>
      <c r="O2938" s="1395"/>
      <c r="Q2938" s="1394">
        <f>IFERROR(VLOOKUP(M2938,#REF!,3,0),0)</f>
        <v>0</v>
      </c>
      <c r="R2938" s="1394">
        <f t="shared" si="837"/>
        <v>0</v>
      </c>
      <c r="S2938" s="1394">
        <f>IFERROR(VLOOKUP(M2938,#REF!,6,0),0)</f>
        <v>0</v>
      </c>
      <c r="T2938" s="1394">
        <f t="shared" si="829"/>
        <v>0</v>
      </c>
      <c r="U2938" s="1394">
        <f>IFERROR(VLOOKUP(M2938,#REF!,5,0),0)</f>
        <v>0</v>
      </c>
      <c r="V2938" s="1394">
        <f t="shared" si="830"/>
        <v>0</v>
      </c>
      <c r="W2938" s="1394"/>
    </row>
    <row r="2939" spans="2:23" ht="30" customHeight="1">
      <c r="B2939" s="1405">
        <f t="shared" si="840"/>
        <v>0</v>
      </c>
      <c r="C2939" s="1408" t="str">
        <f t="shared" si="840"/>
        <v>Toilet Below Roof</v>
      </c>
      <c r="D2939" s="1409">
        <f t="shared" si="840"/>
        <v>1</v>
      </c>
      <c r="E2939" s="1409">
        <f t="shared" si="840"/>
        <v>1</v>
      </c>
      <c r="F2939" s="1410">
        <f t="shared" si="840"/>
        <v>1.5</v>
      </c>
      <c r="G2939" s="1410">
        <f t="shared" si="840"/>
        <v>3.9</v>
      </c>
      <c r="H2939" s="1410"/>
      <c r="I2939" s="1471">
        <f t="shared" si="839"/>
        <v>5.85</v>
      </c>
      <c r="O2939" s="1395"/>
      <c r="Q2939" s="1394">
        <f>IFERROR(VLOOKUP(M2939,#REF!,3,0),0)</f>
        <v>0</v>
      </c>
      <c r="R2939" s="1394">
        <f t="shared" si="837"/>
        <v>0</v>
      </c>
      <c r="S2939" s="1394">
        <f>IFERROR(VLOOKUP(M2939,#REF!,6,0),0)</f>
        <v>0</v>
      </c>
      <c r="T2939" s="1394">
        <f t="shared" si="829"/>
        <v>0</v>
      </c>
      <c r="U2939" s="1394">
        <f>IFERROR(VLOOKUP(M2939,#REF!,5,0),0)</f>
        <v>0</v>
      </c>
      <c r="V2939" s="1394">
        <f t="shared" si="830"/>
        <v>0</v>
      </c>
      <c r="W2939" s="1394"/>
    </row>
    <row r="2940" spans="2:23" ht="30" customHeight="1">
      <c r="B2940" s="1405">
        <f t="shared" si="840"/>
        <v>0</v>
      </c>
      <c r="C2940" s="1408" t="str">
        <f t="shared" si="840"/>
        <v>Computer / CCTNS Below Roof</v>
      </c>
      <c r="D2940" s="1409">
        <f t="shared" si="840"/>
        <v>1</v>
      </c>
      <c r="E2940" s="1409">
        <f t="shared" si="840"/>
        <v>1</v>
      </c>
      <c r="F2940" s="1410">
        <f t="shared" si="840"/>
        <v>3.6949999999999998</v>
      </c>
      <c r="G2940" s="1410">
        <f t="shared" si="840"/>
        <v>3.9</v>
      </c>
      <c r="H2940" s="1410"/>
      <c r="I2940" s="1471">
        <f t="shared" si="839"/>
        <v>14.410499999999999</v>
      </c>
      <c r="O2940" s="1395"/>
      <c r="Q2940" s="1394">
        <f>IFERROR(VLOOKUP(M2940,#REF!,3,0),0)</f>
        <v>0</v>
      </c>
      <c r="R2940" s="1394">
        <f t="shared" si="837"/>
        <v>0</v>
      </c>
      <c r="S2940" s="1394">
        <f>IFERROR(VLOOKUP(M2940,#REF!,6,0),0)</f>
        <v>0</v>
      </c>
      <c r="T2940" s="1394">
        <f t="shared" si="829"/>
        <v>0</v>
      </c>
      <c r="U2940" s="1394">
        <f>IFERROR(VLOOKUP(M2940,#REF!,5,0),0)</f>
        <v>0</v>
      </c>
      <c r="V2940" s="1394">
        <f t="shared" si="830"/>
        <v>0</v>
      </c>
      <c r="W2940" s="1394"/>
    </row>
    <row r="2941" spans="2:23" ht="30" customHeight="1">
      <c r="B2941" s="1405">
        <f t="shared" si="840"/>
        <v>0</v>
      </c>
      <c r="C2941" s="1408" t="str">
        <f t="shared" si="840"/>
        <v>Station Writer Below Roof</v>
      </c>
      <c r="D2941" s="1409">
        <f t="shared" si="840"/>
        <v>1</v>
      </c>
      <c r="E2941" s="1409">
        <f t="shared" si="840"/>
        <v>1</v>
      </c>
      <c r="F2941" s="1410">
        <f t="shared" si="840"/>
        <v>2.5</v>
      </c>
      <c r="G2941" s="1410">
        <f t="shared" si="840"/>
        <v>3.9</v>
      </c>
      <c r="H2941" s="1410"/>
      <c r="I2941" s="1471">
        <f t="shared" si="839"/>
        <v>9.75</v>
      </c>
      <c r="O2941" s="1395"/>
      <c r="Q2941" s="1394">
        <f>IFERROR(VLOOKUP(M2941,#REF!,3,0),0)</f>
        <v>0</v>
      </c>
      <c r="R2941" s="1394">
        <f t="shared" si="837"/>
        <v>0</v>
      </c>
      <c r="S2941" s="1394">
        <f>IFERROR(VLOOKUP(M2941,#REF!,6,0),0)</f>
        <v>0</v>
      </c>
      <c r="T2941" s="1394">
        <f t="shared" si="829"/>
        <v>0</v>
      </c>
      <c r="U2941" s="1394">
        <f>IFERROR(VLOOKUP(M2941,#REF!,5,0),0)</f>
        <v>0</v>
      </c>
      <c r="V2941" s="1394">
        <f t="shared" si="830"/>
        <v>0</v>
      </c>
      <c r="W2941" s="1394"/>
    </row>
    <row r="2942" spans="2:23" ht="30" customHeight="1">
      <c r="B2942" s="1405">
        <f t="shared" si="840"/>
        <v>0</v>
      </c>
      <c r="C2942" s="1408" t="str">
        <f t="shared" si="840"/>
        <v>Arms Ammunication Below Roof</v>
      </c>
      <c r="D2942" s="1409">
        <f t="shared" si="840"/>
        <v>1</v>
      </c>
      <c r="E2942" s="1409">
        <f t="shared" si="840"/>
        <v>1</v>
      </c>
      <c r="F2942" s="1410">
        <f t="shared" si="840"/>
        <v>1.7350000000000001</v>
      </c>
      <c r="G2942" s="1410">
        <f t="shared" si="840"/>
        <v>2.3199999999999998</v>
      </c>
      <c r="H2942" s="1410"/>
      <c r="I2942" s="1471">
        <f t="shared" si="839"/>
        <v>4.0251999999999999</v>
      </c>
      <c r="O2942" s="1395"/>
      <c r="Q2942" s="1394">
        <f>IFERROR(VLOOKUP(M2942,#REF!,3,0),0)</f>
        <v>0</v>
      </c>
      <c r="R2942" s="1394">
        <f t="shared" si="837"/>
        <v>0</v>
      </c>
      <c r="S2942" s="1394">
        <f>IFERROR(VLOOKUP(M2942,#REF!,6,0),0)</f>
        <v>0</v>
      </c>
      <c r="T2942" s="1394">
        <f t="shared" si="829"/>
        <v>0</v>
      </c>
      <c r="U2942" s="1394">
        <f>IFERROR(VLOOKUP(M2942,#REF!,5,0),0)</f>
        <v>0</v>
      </c>
      <c r="V2942" s="1394">
        <f t="shared" si="830"/>
        <v>0</v>
      </c>
      <c r="W2942" s="1394"/>
    </row>
    <row r="2943" spans="2:23" ht="30" customHeight="1">
      <c r="B2943" s="1405">
        <f t="shared" si="840"/>
        <v>0</v>
      </c>
      <c r="C2943" s="1408" t="str">
        <f t="shared" si="840"/>
        <v>Arms Ammunication Below Roof</v>
      </c>
      <c r="D2943" s="1409">
        <f t="shared" si="840"/>
        <v>1</v>
      </c>
      <c r="E2943" s="1409">
        <f t="shared" si="840"/>
        <v>1</v>
      </c>
      <c r="F2943" s="1410">
        <f t="shared" si="840"/>
        <v>1.7350000000000001</v>
      </c>
      <c r="G2943" s="1410">
        <f t="shared" si="840"/>
        <v>1.35</v>
      </c>
      <c r="H2943" s="1410"/>
      <c r="I2943" s="1471">
        <f t="shared" si="839"/>
        <v>2.3422500000000004</v>
      </c>
      <c r="O2943" s="1395"/>
      <c r="Q2943" s="1394">
        <f>IFERROR(VLOOKUP(M2943,#REF!,3,0),0)</f>
        <v>0</v>
      </c>
      <c r="R2943" s="1394">
        <f t="shared" si="837"/>
        <v>0</v>
      </c>
      <c r="S2943" s="1394">
        <f>IFERROR(VLOOKUP(M2943,#REF!,6,0),0)</f>
        <v>0</v>
      </c>
      <c r="T2943" s="1394">
        <f t="shared" si="829"/>
        <v>0</v>
      </c>
      <c r="U2943" s="1394">
        <f>IFERROR(VLOOKUP(M2943,#REF!,5,0),0)</f>
        <v>0</v>
      </c>
      <c r="V2943" s="1394">
        <f t="shared" si="830"/>
        <v>0</v>
      </c>
      <c r="W2943" s="1394"/>
    </row>
    <row r="2944" spans="2:23" ht="30" customHeight="1">
      <c r="B2944" s="1405">
        <f t="shared" si="840"/>
        <v>0</v>
      </c>
      <c r="C2944" s="1408" t="str">
        <f t="shared" si="840"/>
        <v>Property Record Below Roof</v>
      </c>
      <c r="D2944" s="1409">
        <f t="shared" si="840"/>
        <v>1</v>
      </c>
      <c r="E2944" s="1409">
        <f t="shared" si="840"/>
        <v>1</v>
      </c>
      <c r="F2944" s="1410">
        <f t="shared" si="840"/>
        <v>3.7650000000000001</v>
      </c>
      <c r="G2944" s="1410">
        <f t="shared" si="840"/>
        <v>2.4350000000000001</v>
      </c>
      <c r="H2944" s="1410"/>
      <c r="I2944" s="1471">
        <f t="shared" si="839"/>
        <v>9.1677750000000007</v>
      </c>
      <c r="O2944" s="1395"/>
      <c r="Q2944" s="1394">
        <f>IFERROR(VLOOKUP(M2944,#REF!,3,0),0)</f>
        <v>0</v>
      </c>
      <c r="R2944" s="1394">
        <f t="shared" si="837"/>
        <v>0</v>
      </c>
      <c r="S2944" s="1394">
        <f>IFERROR(VLOOKUP(M2944,#REF!,6,0),0)</f>
        <v>0</v>
      </c>
      <c r="T2944" s="1394">
        <f t="shared" si="829"/>
        <v>0</v>
      </c>
      <c r="U2944" s="1394">
        <f>IFERROR(VLOOKUP(M2944,#REF!,5,0),0)</f>
        <v>0</v>
      </c>
      <c r="V2944" s="1394">
        <f t="shared" si="830"/>
        <v>0</v>
      </c>
      <c r="W2944" s="1394"/>
    </row>
    <row r="2945" spans="2:24" ht="30" customHeight="1">
      <c r="B2945" s="1405">
        <f t="shared" ref="B2945:G2954" si="841">B878</f>
        <v>0</v>
      </c>
      <c r="C2945" s="1408" t="str">
        <f t="shared" si="841"/>
        <v>Toilet Below Roof</v>
      </c>
      <c r="D2945" s="1409">
        <f t="shared" si="841"/>
        <v>1</v>
      </c>
      <c r="E2945" s="1409">
        <f t="shared" si="841"/>
        <v>1</v>
      </c>
      <c r="F2945" s="1410">
        <f t="shared" si="841"/>
        <v>3.7650000000000001</v>
      </c>
      <c r="G2945" s="1410">
        <f t="shared" si="841"/>
        <v>1.2350000000000001</v>
      </c>
      <c r="H2945" s="1410"/>
      <c r="I2945" s="1471">
        <f t="shared" si="839"/>
        <v>4.6497750000000009</v>
      </c>
      <c r="O2945" s="1395"/>
      <c r="Q2945" s="1394">
        <f>IFERROR(VLOOKUP(M2945,#REF!,3,0),0)</f>
        <v>0</v>
      </c>
      <c r="R2945" s="1394">
        <f t="shared" si="837"/>
        <v>0</v>
      </c>
      <c r="S2945" s="1394">
        <f>IFERROR(VLOOKUP(M2945,#REF!,6,0),0)</f>
        <v>0</v>
      </c>
      <c r="T2945" s="1394">
        <f t="shared" si="829"/>
        <v>0</v>
      </c>
      <c r="U2945" s="1394">
        <f>IFERROR(VLOOKUP(M2945,#REF!,5,0),0)</f>
        <v>0</v>
      </c>
      <c r="V2945" s="1394">
        <f t="shared" si="830"/>
        <v>0</v>
      </c>
      <c r="W2945" s="1394"/>
    </row>
    <row r="2946" spans="2:24" ht="30" customHeight="1">
      <c r="B2946" s="1405">
        <f t="shared" si="841"/>
        <v>0</v>
      </c>
      <c r="C2946" s="1408" t="str">
        <f t="shared" si="841"/>
        <v>Lock up Men Below Roof</v>
      </c>
      <c r="D2946" s="1409">
        <f t="shared" si="841"/>
        <v>1</v>
      </c>
      <c r="E2946" s="1409">
        <f t="shared" si="841"/>
        <v>1</v>
      </c>
      <c r="F2946" s="1410">
        <f t="shared" si="841"/>
        <v>4</v>
      </c>
      <c r="G2946" s="1410">
        <f t="shared" si="841"/>
        <v>2.5499999999999998</v>
      </c>
      <c r="H2946" s="1410"/>
      <c r="I2946" s="1471">
        <f t="shared" si="839"/>
        <v>10.199999999999999</v>
      </c>
      <c r="O2946" s="1395"/>
      <c r="Q2946" s="1394">
        <f>IFERROR(VLOOKUP(M2946,#REF!,3,0),0)</f>
        <v>0</v>
      </c>
      <c r="R2946" s="1394">
        <f t="shared" si="837"/>
        <v>0</v>
      </c>
      <c r="S2946" s="1394">
        <f>IFERROR(VLOOKUP(M2946,#REF!,6,0),0)</f>
        <v>0</v>
      </c>
      <c r="T2946" s="1394">
        <f t="shared" si="829"/>
        <v>0</v>
      </c>
      <c r="U2946" s="1394">
        <f>IFERROR(VLOOKUP(M2946,#REF!,5,0),0)</f>
        <v>0</v>
      </c>
      <c r="V2946" s="1394">
        <f t="shared" si="830"/>
        <v>0</v>
      </c>
      <c r="W2946" s="1394"/>
    </row>
    <row r="2947" spans="2:24" ht="30" customHeight="1">
      <c r="B2947" s="1405">
        <f t="shared" si="841"/>
        <v>0</v>
      </c>
      <c r="C2947" s="1408" t="str">
        <f t="shared" si="841"/>
        <v>INS Room Below Roof</v>
      </c>
      <c r="D2947" s="1409">
        <f t="shared" si="841"/>
        <v>1</v>
      </c>
      <c r="E2947" s="1409">
        <f t="shared" si="841"/>
        <v>1</v>
      </c>
      <c r="F2947" s="1410">
        <f t="shared" si="841"/>
        <v>4</v>
      </c>
      <c r="G2947" s="1410">
        <f t="shared" si="841"/>
        <v>5.0999999999999996</v>
      </c>
      <c r="H2947" s="1410"/>
      <c r="I2947" s="1471">
        <f t="shared" si="839"/>
        <v>20.399999999999999</v>
      </c>
      <c r="O2947" s="1395"/>
      <c r="Q2947" s="1394">
        <f>IFERROR(VLOOKUP(M2947,#REF!,3,0),0)</f>
        <v>0</v>
      </c>
      <c r="R2947" s="1394">
        <f t="shared" si="837"/>
        <v>0</v>
      </c>
      <c r="S2947" s="1394">
        <f>IFERROR(VLOOKUP(M2947,#REF!,6,0),0)</f>
        <v>0</v>
      </c>
      <c r="T2947" s="1394">
        <f t="shared" si="829"/>
        <v>0</v>
      </c>
      <c r="U2947" s="1394">
        <f>IFERROR(VLOOKUP(M2947,#REF!,5,0),0)</f>
        <v>0</v>
      </c>
      <c r="V2947" s="1394">
        <f t="shared" si="830"/>
        <v>0</v>
      </c>
      <c r="W2947" s="1394"/>
    </row>
    <row r="2948" spans="2:24" ht="30" customHeight="1">
      <c r="B2948" s="1405">
        <f t="shared" si="841"/>
        <v>0</v>
      </c>
      <c r="C2948" s="1408" t="str">
        <f t="shared" si="841"/>
        <v>INS Room Toilet Below Roof</v>
      </c>
      <c r="D2948" s="1409">
        <f t="shared" si="841"/>
        <v>1</v>
      </c>
      <c r="E2948" s="1409">
        <f t="shared" si="841"/>
        <v>1</v>
      </c>
      <c r="F2948" s="1410">
        <f t="shared" si="841"/>
        <v>4</v>
      </c>
      <c r="G2948" s="1410">
        <f t="shared" si="841"/>
        <v>1.5</v>
      </c>
      <c r="H2948" s="1410"/>
      <c r="I2948" s="1471">
        <f t="shared" si="839"/>
        <v>6</v>
      </c>
      <c r="O2948" s="1395"/>
      <c r="Q2948" s="1394">
        <f>IFERROR(VLOOKUP(M2948,#REF!,3,0),0)</f>
        <v>0</v>
      </c>
      <c r="R2948" s="1394">
        <f t="shared" si="837"/>
        <v>0</v>
      </c>
      <c r="S2948" s="1394">
        <f>IFERROR(VLOOKUP(M2948,#REF!,6,0),0)</f>
        <v>0</v>
      </c>
      <c r="T2948" s="1394">
        <f t="shared" si="829"/>
        <v>0</v>
      </c>
      <c r="U2948" s="1394">
        <f>IFERROR(VLOOKUP(M2948,#REF!,5,0),0)</f>
        <v>0</v>
      </c>
      <c r="V2948" s="1394">
        <f t="shared" si="830"/>
        <v>0</v>
      </c>
      <c r="W2948" s="1394"/>
    </row>
    <row r="2949" spans="2:24" ht="30" customHeight="1">
      <c r="B2949" s="1405">
        <f t="shared" si="841"/>
        <v>0</v>
      </c>
      <c r="C2949" s="1408" t="str">
        <f t="shared" si="841"/>
        <v>Writer Below Roof</v>
      </c>
      <c r="D2949" s="1409">
        <f t="shared" si="841"/>
        <v>1</v>
      </c>
      <c r="E2949" s="1409">
        <f t="shared" si="841"/>
        <v>1</v>
      </c>
      <c r="F2949" s="1410">
        <f t="shared" si="841"/>
        <v>3</v>
      </c>
      <c r="G2949" s="1410">
        <f t="shared" si="841"/>
        <v>5.3</v>
      </c>
      <c r="H2949" s="1410"/>
      <c r="I2949" s="1471">
        <f t="shared" si="839"/>
        <v>15.899999999999999</v>
      </c>
      <c r="O2949" s="1395"/>
      <c r="Q2949" s="1394">
        <f>IFERROR(VLOOKUP(M2949,#REF!,3,0),0)</f>
        <v>0</v>
      </c>
      <c r="R2949" s="1394">
        <f t="shared" si="837"/>
        <v>0</v>
      </c>
      <c r="S2949" s="1394">
        <f>IFERROR(VLOOKUP(M2949,#REF!,6,0),0)</f>
        <v>0</v>
      </c>
      <c r="T2949" s="1394">
        <f t="shared" si="829"/>
        <v>0</v>
      </c>
      <c r="U2949" s="1394">
        <f>IFERROR(VLOOKUP(M2949,#REF!,5,0),0)</f>
        <v>0</v>
      </c>
      <c r="V2949" s="1394">
        <f t="shared" si="830"/>
        <v>0</v>
      </c>
      <c r="W2949" s="1394"/>
    </row>
    <row r="2950" spans="2:24" ht="30" customHeight="1">
      <c r="B2950" s="1405">
        <f t="shared" si="841"/>
        <v>0</v>
      </c>
      <c r="C2950" s="1408" t="str">
        <f t="shared" si="841"/>
        <v>Stair Case Lobby-1 Below Roof</v>
      </c>
      <c r="D2950" s="1409">
        <f t="shared" si="841"/>
        <v>1</v>
      </c>
      <c r="E2950" s="1409">
        <f t="shared" si="841"/>
        <v>1</v>
      </c>
      <c r="F2950" s="1410">
        <f t="shared" si="841"/>
        <v>2.5249999999999999</v>
      </c>
      <c r="G2950" s="1410">
        <f t="shared" si="841"/>
        <v>2.77</v>
      </c>
      <c r="H2950" s="1410"/>
      <c r="I2950" s="1471">
        <f t="shared" si="839"/>
        <v>6.9942500000000001</v>
      </c>
      <c r="O2950" s="1395"/>
      <c r="Q2950" s="1394">
        <f>IFERROR(VLOOKUP(M2950,#REF!,3,0),0)</f>
        <v>0</v>
      </c>
      <c r="R2950" s="1394">
        <f t="shared" si="837"/>
        <v>0</v>
      </c>
      <c r="S2950" s="1394">
        <f>IFERROR(VLOOKUP(M2950,#REF!,6,0),0)</f>
        <v>0</v>
      </c>
      <c r="T2950" s="1394">
        <f t="shared" si="829"/>
        <v>0</v>
      </c>
      <c r="U2950" s="1394">
        <f>IFERROR(VLOOKUP(M2950,#REF!,5,0),0)</f>
        <v>0</v>
      </c>
      <c r="V2950" s="1394">
        <f t="shared" si="830"/>
        <v>0</v>
      </c>
      <c r="W2950" s="1394"/>
    </row>
    <row r="2951" spans="2:24" ht="30" customHeight="1">
      <c r="B2951" s="1405">
        <f t="shared" si="841"/>
        <v>0</v>
      </c>
      <c r="C2951" s="1408" t="str">
        <f t="shared" si="841"/>
        <v>Stair Case Lobby-1 Below Roof</v>
      </c>
      <c r="D2951" s="1409">
        <f t="shared" si="841"/>
        <v>1</v>
      </c>
      <c r="E2951" s="1409">
        <f t="shared" si="841"/>
        <v>1</v>
      </c>
      <c r="F2951" s="1410">
        <f t="shared" si="841"/>
        <v>4.3250000000000002</v>
      </c>
      <c r="G2951" s="1410">
        <f t="shared" si="841"/>
        <v>2.2999999999999998</v>
      </c>
      <c r="H2951" s="1410"/>
      <c r="I2951" s="1471">
        <f t="shared" si="839"/>
        <v>9.9474999999999998</v>
      </c>
      <c r="O2951" s="1395"/>
      <c r="Q2951" s="1394">
        <f>IFERROR(VLOOKUP(M2951,#REF!,3,0),0)</f>
        <v>0</v>
      </c>
      <c r="R2951" s="1394">
        <f t="shared" si="837"/>
        <v>0</v>
      </c>
      <c r="S2951" s="1394">
        <f>IFERROR(VLOOKUP(M2951,#REF!,6,0),0)</f>
        <v>0</v>
      </c>
      <c r="T2951" s="1394">
        <f t="shared" si="829"/>
        <v>0</v>
      </c>
      <c r="U2951" s="1394">
        <f>IFERROR(VLOOKUP(M2951,#REF!,5,0),0)</f>
        <v>0</v>
      </c>
      <c r="V2951" s="1394">
        <f t="shared" si="830"/>
        <v>0</v>
      </c>
      <c r="W2951" s="1394"/>
    </row>
    <row r="2952" spans="2:24" ht="30" customHeight="1">
      <c r="B2952" s="1405">
        <f t="shared" si="841"/>
        <v>0</v>
      </c>
      <c r="C2952" s="1408" t="str">
        <f t="shared" si="841"/>
        <v>Hall</v>
      </c>
      <c r="D2952" s="1409">
        <f t="shared" si="841"/>
        <v>1</v>
      </c>
      <c r="E2952" s="1409">
        <f t="shared" si="841"/>
        <v>1</v>
      </c>
      <c r="F2952" s="1410">
        <f t="shared" si="841"/>
        <v>2.1</v>
      </c>
      <c r="G2952" s="1410">
        <f t="shared" si="841"/>
        <v>5.76</v>
      </c>
      <c r="H2952" s="1410"/>
      <c r="I2952" s="1471">
        <f t="shared" si="839"/>
        <v>12.096</v>
      </c>
      <c r="O2952" s="1395"/>
      <c r="Q2952" s="1394">
        <f>IFERROR(VLOOKUP(M2952,#REF!,3,0),0)</f>
        <v>0</v>
      </c>
      <c r="R2952" s="1394">
        <f t="shared" si="837"/>
        <v>0</v>
      </c>
      <c r="S2952" s="1394">
        <f>IFERROR(VLOOKUP(M2952,#REF!,6,0),0)</f>
        <v>0</v>
      </c>
      <c r="T2952" s="1394">
        <f t="shared" si="829"/>
        <v>0</v>
      </c>
      <c r="U2952" s="1394">
        <f>IFERROR(VLOOKUP(M2952,#REF!,5,0),0)</f>
        <v>0</v>
      </c>
      <c r="V2952" s="1394">
        <f t="shared" si="830"/>
        <v>0</v>
      </c>
      <c r="W2952" s="1394"/>
    </row>
    <row r="2953" spans="2:24" ht="30" customHeight="1">
      <c r="B2953" s="1405">
        <f t="shared" si="841"/>
        <v>0</v>
      </c>
      <c r="C2953" s="1408" t="str">
        <f t="shared" si="841"/>
        <v>Hall</v>
      </c>
      <c r="D2953" s="1409">
        <f t="shared" si="841"/>
        <v>1</v>
      </c>
      <c r="E2953" s="1409">
        <f t="shared" si="841"/>
        <v>1</v>
      </c>
      <c r="F2953" s="1410">
        <f t="shared" si="841"/>
        <v>4.3250000000000002</v>
      </c>
      <c r="G2953" s="1410">
        <f t="shared" si="841"/>
        <v>5.76</v>
      </c>
      <c r="H2953" s="1410"/>
      <c r="I2953" s="1471">
        <f t="shared" si="839"/>
        <v>24.911999999999999</v>
      </c>
      <c r="O2953" s="1395"/>
      <c r="Q2953" s="1394">
        <f>IFERROR(VLOOKUP(M2953,#REF!,3,0),0)</f>
        <v>0</v>
      </c>
      <c r="R2953" s="1394">
        <f t="shared" si="837"/>
        <v>0</v>
      </c>
      <c r="S2953" s="1394">
        <f>IFERROR(VLOOKUP(M2953,#REF!,6,0),0)</f>
        <v>0</v>
      </c>
      <c r="T2953" s="1394">
        <f t="shared" si="829"/>
        <v>0</v>
      </c>
      <c r="U2953" s="1394">
        <f>IFERROR(VLOOKUP(M2953,#REF!,5,0),0)</f>
        <v>0</v>
      </c>
      <c r="V2953" s="1394">
        <f t="shared" si="830"/>
        <v>0</v>
      </c>
      <c r="W2953" s="1394"/>
    </row>
    <row r="2954" spans="2:24" ht="30" customHeight="1">
      <c r="B2954" s="1405">
        <f t="shared" si="841"/>
        <v>0</v>
      </c>
      <c r="C2954" s="1408" t="str">
        <f t="shared" si="841"/>
        <v>Hall</v>
      </c>
      <c r="D2954" s="1409">
        <f t="shared" si="841"/>
        <v>1</v>
      </c>
      <c r="E2954" s="1409">
        <f t="shared" si="841"/>
        <v>1</v>
      </c>
      <c r="F2954" s="1410">
        <f t="shared" si="841"/>
        <v>3</v>
      </c>
      <c r="G2954" s="1410">
        <f t="shared" si="841"/>
        <v>5.76</v>
      </c>
      <c r="H2954" s="1410"/>
      <c r="I2954" s="1471">
        <f t="shared" si="839"/>
        <v>17.28</v>
      </c>
      <c r="O2954" s="1395"/>
      <c r="Q2954" s="1394">
        <f>IFERROR(VLOOKUP(M2954,#REF!,3,0),0)</f>
        <v>0</v>
      </c>
      <c r="R2954" s="1394">
        <f t="shared" si="837"/>
        <v>0</v>
      </c>
      <c r="S2954" s="1394">
        <f>IFERROR(VLOOKUP(M2954,#REF!,6,0),0)</f>
        <v>0</v>
      </c>
      <c r="T2954" s="1394">
        <f t="shared" si="829"/>
        <v>0</v>
      </c>
      <c r="U2954" s="1394">
        <f>IFERROR(VLOOKUP(M2954,#REF!,5,0),0)</f>
        <v>0</v>
      </c>
      <c r="V2954" s="1394">
        <f t="shared" si="830"/>
        <v>0</v>
      </c>
      <c r="W2954" s="1394"/>
    </row>
    <row r="2955" spans="2:24" ht="30" customHeight="1">
      <c r="B2955" s="1407">
        <f>B892</f>
        <v>0</v>
      </c>
      <c r="C2955" s="1678" t="e">
        <f>C892</f>
        <v>#REF!</v>
      </c>
      <c r="D2955" s="1678"/>
      <c r="E2955" s="1678"/>
      <c r="F2955" s="1678"/>
      <c r="G2955" s="1678"/>
      <c r="H2955" s="1678"/>
      <c r="I2955" s="1406"/>
      <c r="Q2955" s="1394">
        <f>IFERROR(VLOOKUP(M2955,#REF!,3,0),0)</f>
        <v>0</v>
      </c>
      <c r="R2955" s="1394">
        <f t="shared" si="837"/>
        <v>0</v>
      </c>
      <c r="S2955" s="1394">
        <f>IFERROR(VLOOKUP(M2955,#REF!,6,0),0)</f>
        <v>0</v>
      </c>
      <c r="T2955" s="1394">
        <f t="shared" si="829"/>
        <v>0</v>
      </c>
      <c r="U2955" s="1394">
        <f>IFERROR(VLOOKUP(M2955,#REF!,5,0),0)</f>
        <v>0</v>
      </c>
      <c r="V2955" s="1394">
        <f t="shared" si="830"/>
        <v>0</v>
      </c>
      <c r="W2955" s="1394"/>
      <c r="X2955" s="1397"/>
    </row>
    <row r="2956" spans="2:24" ht="30" customHeight="1">
      <c r="B2956" s="1405">
        <f t="shared" ref="B2956:G2958" si="842">B993</f>
        <v>0</v>
      </c>
      <c r="C2956" s="1408" t="str">
        <f t="shared" si="842"/>
        <v>Waist slab-5</v>
      </c>
      <c r="D2956" s="1409">
        <f t="shared" si="842"/>
        <v>1</v>
      </c>
      <c r="E2956" s="1409">
        <f t="shared" si="842"/>
        <v>1</v>
      </c>
      <c r="F2956" s="1410">
        <f t="shared" si="842"/>
        <v>3.75</v>
      </c>
      <c r="G2956" s="1410">
        <f t="shared" si="842"/>
        <v>1.2</v>
      </c>
      <c r="H2956" s="1410"/>
      <c r="I2956" s="1471">
        <f t="shared" ref="I2956:I2958" si="843">PRODUCT(D2956:H2956)</f>
        <v>4.5</v>
      </c>
      <c r="O2956" s="1395"/>
      <c r="Q2956" s="1394">
        <f>IFERROR(VLOOKUP(M2956,#REF!,3,0),0)</f>
        <v>0</v>
      </c>
      <c r="R2956" s="1394">
        <f t="shared" si="837"/>
        <v>0</v>
      </c>
      <c r="S2956" s="1394">
        <f>IFERROR(VLOOKUP(M2956,#REF!,6,0),0)</f>
        <v>0</v>
      </c>
      <c r="T2956" s="1394">
        <f t="shared" si="829"/>
        <v>0</v>
      </c>
      <c r="U2956" s="1394">
        <f>IFERROR(VLOOKUP(M2956,#REF!,5,0),0)</f>
        <v>0</v>
      </c>
      <c r="V2956" s="1394">
        <f t="shared" si="830"/>
        <v>0</v>
      </c>
      <c r="W2956" s="1394"/>
    </row>
    <row r="2957" spans="2:24" ht="30" customHeight="1">
      <c r="B2957" s="1405">
        <f t="shared" si="842"/>
        <v>0</v>
      </c>
      <c r="C2957" s="1408" t="str">
        <f t="shared" si="842"/>
        <v>Landing slab</v>
      </c>
      <c r="D2957" s="1409">
        <f t="shared" si="842"/>
        <v>1</v>
      </c>
      <c r="E2957" s="1409">
        <f t="shared" si="842"/>
        <v>1</v>
      </c>
      <c r="F2957" s="1410">
        <f t="shared" si="842"/>
        <v>3.16</v>
      </c>
      <c r="G2957" s="1410">
        <f t="shared" si="842"/>
        <v>1.2</v>
      </c>
      <c r="H2957" s="1410"/>
      <c r="I2957" s="1471">
        <f t="shared" si="843"/>
        <v>3.7919999999999998</v>
      </c>
      <c r="O2957" s="1395"/>
      <c r="Q2957" s="1394">
        <f>IFERROR(VLOOKUP(M2957,#REF!,3,0),0)</f>
        <v>0</v>
      </c>
      <c r="R2957" s="1394">
        <f t="shared" si="837"/>
        <v>0</v>
      </c>
      <c r="S2957" s="1394">
        <f>IFERROR(VLOOKUP(M2957,#REF!,6,0),0)</f>
        <v>0</v>
      </c>
      <c r="T2957" s="1394">
        <f t="shared" ref="T2957:T3020" si="844">R2957-S2957</f>
        <v>0</v>
      </c>
      <c r="U2957" s="1394">
        <f>IFERROR(VLOOKUP(M2957,#REF!,5,0),0)</f>
        <v>0</v>
      </c>
      <c r="V2957" s="1394">
        <f t="shared" ref="V2957:V3020" si="845">O2957-U2957</f>
        <v>0</v>
      </c>
      <c r="W2957" s="1394"/>
    </row>
    <row r="2958" spans="2:24" ht="30" customHeight="1">
      <c r="B2958" s="1407">
        <f t="shared" si="842"/>
        <v>0</v>
      </c>
      <c r="C2958" s="1480" t="str">
        <f t="shared" si="842"/>
        <v>Waist slab-6</v>
      </c>
      <c r="D2958" s="1409">
        <f t="shared" si="842"/>
        <v>1</v>
      </c>
      <c r="E2958" s="1409">
        <f t="shared" si="842"/>
        <v>1</v>
      </c>
      <c r="F2958" s="1410">
        <f t="shared" si="842"/>
        <v>3.4</v>
      </c>
      <c r="G2958" s="1410">
        <f t="shared" si="842"/>
        <v>1.2</v>
      </c>
      <c r="H2958" s="1410"/>
      <c r="I2958" s="1471">
        <f t="shared" si="843"/>
        <v>4.08</v>
      </c>
      <c r="Q2958" s="1394">
        <f>IFERROR(VLOOKUP(M2958,#REF!,3,0),0)</f>
        <v>0</v>
      </c>
      <c r="R2958" s="1394">
        <f t="shared" si="837"/>
        <v>0</v>
      </c>
      <c r="S2958" s="1394">
        <f>IFERROR(VLOOKUP(M2958,#REF!,6,0),0)</f>
        <v>0</v>
      </c>
      <c r="T2958" s="1394">
        <f t="shared" si="844"/>
        <v>0</v>
      </c>
      <c r="U2958" s="1394">
        <f>IFERROR(VLOOKUP(M2958,#REF!,5,0),0)</f>
        <v>0</v>
      </c>
      <c r="V2958" s="1394">
        <f t="shared" si="845"/>
        <v>0</v>
      </c>
      <c r="W2958" s="1394"/>
    </row>
    <row r="2959" spans="2:24" ht="30" customHeight="1">
      <c r="B2959" s="1405">
        <f t="shared" ref="B2959:H2959" si="846">B997</f>
        <v>0</v>
      </c>
      <c r="C2959" s="1408">
        <f t="shared" si="846"/>
        <v>0</v>
      </c>
      <c r="D2959" s="1409">
        <f t="shared" si="846"/>
        <v>0</v>
      </c>
      <c r="E2959" s="1409">
        <f t="shared" si="846"/>
        <v>0</v>
      </c>
      <c r="F2959" s="1410">
        <f t="shared" si="846"/>
        <v>0</v>
      </c>
      <c r="G2959" s="1410">
        <f t="shared" si="846"/>
        <v>0</v>
      </c>
      <c r="H2959" s="1411">
        <f t="shared" si="846"/>
        <v>0</v>
      </c>
      <c r="I2959" s="1471"/>
      <c r="O2959" s="1395"/>
      <c r="Q2959" s="1394">
        <f>IFERROR(VLOOKUP(M2959,#REF!,3,0),0)</f>
        <v>0</v>
      </c>
      <c r="R2959" s="1394">
        <f t="shared" si="837"/>
        <v>0</v>
      </c>
      <c r="S2959" s="1394">
        <f>IFERROR(VLOOKUP(M2959,#REF!,6,0),0)</f>
        <v>0</v>
      </c>
      <c r="T2959" s="1394">
        <f t="shared" si="844"/>
        <v>0</v>
      </c>
      <c r="U2959" s="1394">
        <f>IFERROR(VLOOKUP(M2959,#REF!,5,0),0)</f>
        <v>0</v>
      </c>
      <c r="V2959" s="1394">
        <f t="shared" si="845"/>
        <v>0</v>
      </c>
      <c r="W2959" s="1394"/>
    </row>
    <row r="2960" spans="2:24" ht="30" customHeight="1">
      <c r="B2960" s="1405">
        <f t="shared" ref="B2960:B2989" si="847">B998</f>
        <v>0</v>
      </c>
      <c r="C2960" s="1412" t="s">
        <v>408</v>
      </c>
      <c r="D2960" s="1409">
        <f t="shared" ref="D2960:H2961" si="848">D998</f>
        <v>0</v>
      </c>
      <c r="E2960" s="1409">
        <f t="shared" si="848"/>
        <v>0</v>
      </c>
      <c r="F2960" s="1410">
        <f t="shared" si="848"/>
        <v>0</v>
      </c>
      <c r="G2960" s="1410">
        <f t="shared" si="848"/>
        <v>0</v>
      </c>
      <c r="H2960" s="1411">
        <f t="shared" si="848"/>
        <v>0</v>
      </c>
      <c r="I2960" s="1471">
        <f t="shared" ref="I2960:I3037" si="849">PRODUCT(D2960:H2960)</f>
        <v>0</v>
      </c>
      <c r="O2960" s="1395"/>
      <c r="Q2960" s="1394">
        <f>IFERROR(VLOOKUP(M2960,#REF!,3,0),0)</f>
        <v>0</v>
      </c>
      <c r="R2960" s="1394">
        <f t="shared" si="837"/>
        <v>0</v>
      </c>
      <c r="S2960" s="1394">
        <f>IFERROR(VLOOKUP(M2960,#REF!,6,0),0)</f>
        <v>0</v>
      </c>
      <c r="T2960" s="1394">
        <f t="shared" si="844"/>
        <v>0</v>
      </c>
      <c r="U2960" s="1394">
        <f>IFERROR(VLOOKUP(M2960,#REF!,5,0),0)</f>
        <v>0</v>
      </c>
      <c r="V2960" s="1394">
        <f t="shared" si="845"/>
        <v>0</v>
      </c>
      <c r="W2960" s="1394"/>
    </row>
    <row r="2961" spans="2:23" ht="30" customHeight="1">
      <c r="B2961" s="1405">
        <f t="shared" si="847"/>
        <v>0</v>
      </c>
      <c r="C2961" s="1415" t="str">
        <f t="shared" ref="C2961:C2987" si="850">C999</f>
        <v>Horizontal beam</v>
      </c>
      <c r="D2961" s="1409">
        <f t="shared" si="848"/>
        <v>0</v>
      </c>
      <c r="E2961" s="1409">
        <f t="shared" si="848"/>
        <v>0</v>
      </c>
      <c r="F2961" s="1410">
        <f t="shared" si="848"/>
        <v>0</v>
      </c>
      <c r="G2961" s="1410">
        <f t="shared" si="848"/>
        <v>0</v>
      </c>
      <c r="H2961" s="1411">
        <f t="shared" si="848"/>
        <v>0</v>
      </c>
      <c r="I2961" s="1471">
        <f t="shared" si="849"/>
        <v>0</v>
      </c>
      <c r="O2961" s="1395"/>
      <c r="Q2961" s="1394">
        <f>IFERROR(VLOOKUP(M2961,#REF!,3,0),0)</f>
        <v>0</v>
      </c>
      <c r="R2961" s="1394">
        <f t="shared" si="837"/>
        <v>0</v>
      </c>
      <c r="S2961" s="1394">
        <f>IFERROR(VLOOKUP(M2961,#REF!,6,0),0)</f>
        <v>0</v>
      </c>
      <c r="T2961" s="1394">
        <f t="shared" si="844"/>
        <v>0</v>
      </c>
      <c r="U2961" s="1394">
        <f>IFERROR(VLOOKUP(M2961,#REF!,5,0),0)</f>
        <v>0</v>
      </c>
      <c r="V2961" s="1394">
        <f t="shared" si="845"/>
        <v>0</v>
      </c>
      <c r="W2961" s="1394"/>
    </row>
    <row r="2962" spans="2:23" ht="30" customHeight="1">
      <c r="B2962" s="1405">
        <f t="shared" si="847"/>
        <v>0</v>
      </c>
      <c r="C2962" s="1408" t="str">
        <f t="shared" si="850"/>
        <v>A1 to B1 , A5 to B5 , A6 to B6 &amp; A7 to B7</v>
      </c>
      <c r="D2962" s="1409">
        <f t="shared" ref="D2962:D2986" si="851">D1000*2</f>
        <v>2</v>
      </c>
      <c r="E2962" s="1409">
        <f t="shared" ref="E2962:F2987" si="852">E1000</f>
        <v>4</v>
      </c>
      <c r="F2962" s="1410">
        <f t="shared" si="852"/>
        <v>4.2300000000000004</v>
      </c>
      <c r="G2962" s="1410"/>
      <c r="H2962" s="1411">
        <f t="shared" ref="H2962:H2986" si="853">H1000-0.125</f>
        <v>0.255</v>
      </c>
      <c r="I2962" s="1471">
        <f t="shared" si="849"/>
        <v>8.6292000000000009</v>
      </c>
      <c r="Q2962" s="1394">
        <f>IFERROR(VLOOKUP(M2962,#REF!,3,0),0)</f>
        <v>0</v>
      </c>
      <c r="R2962" s="1394">
        <f t="shared" si="837"/>
        <v>0</v>
      </c>
      <c r="S2962" s="1394">
        <f>IFERROR(VLOOKUP(M2962,#REF!,6,0),0)</f>
        <v>0</v>
      </c>
      <c r="T2962" s="1394">
        <f t="shared" si="844"/>
        <v>0</v>
      </c>
      <c r="U2962" s="1394">
        <f>IFERROR(VLOOKUP(M2962,#REF!,5,0),0)</f>
        <v>0</v>
      </c>
      <c r="V2962" s="1394">
        <f t="shared" si="845"/>
        <v>0</v>
      </c>
      <c r="W2962" s="1394"/>
    </row>
    <row r="2963" spans="2:23" ht="30" customHeight="1">
      <c r="B2963" s="1405">
        <f t="shared" si="847"/>
        <v>0</v>
      </c>
      <c r="C2963" s="1408" t="str">
        <f t="shared" si="850"/>
        <v>A8 to H8</v>
      </c>
      <c r="D2963" s="1409">
        <f t="shared" si="851"/>
        <v>2</v>
      </c>
      <c r="E2963" s="1409">
        <f t="shared" si="852"/>
        <v>1</v>
      </c>
      <c r="F2963" s="1410">
        <f t="shared" si="852"/>
        <v>18.575000000000003</v>
      </c>
      <c r="G2963" s="1410"/>
      <c r="H2963" s="1411">
        <f t="shared" si="853"/>
        <v>0.255</v>
      </c>
      <c r="I2963" s="1471">
        <f t="shared" si="849"/>
        <v>9.4732500000000019</v>
      </c>
      <c r="J2963" s="1397"/>
      <c r="K2963" s="1397"/>
      <c r="Q2963" s="1394">
        <f>IFERROR(VLOOKUP(M2963,#REF!,3,0),0)</f>
        <v>0</v>
      </c>
      <c r="R2963" s="1394">
        <f t="shared" si="837"/>
        <v>0</v>
      </c>
      <c r="S2963" s="1394">
        <f>IFERROR(VLOOKUP(M2963,#REF!,6,0),0)</f>
        <v>0</v>
      </c>
      <c r="T2963" s="1394">
        <f t="shared" si="844"/>
        <v>0</v>
      </c>
      <c r="U2963" s="1394">
        <f>IFERROR(VLOOKUP(M2963,#REF!,5,0),0)</f>
        <v>0</v>
      </c>
      <c r="V2963" s="1394">
        <f t="shared" si="845"/>
        <v>0</v>
      </c>
      <c r="W2963" s="1394"/>
    </row>
    <row r="2964" spans="2:23" ht="30" customHeight="1">
      <c r="B2964" s="1405">
        <f t="shared" si="847"/>
        <v>0</v>
      </c>
      <c r="C2964" s="1408" t="str">
        <f t="shared" si="850"/>
        <v>B5 to G5</v>
      </c>
      <c r="D2964" s="1409">
        <f t="shared" si="851"/>
        <v>2</v>
      </c>
      <c r="E2964" s="1409">
        <f t="shared" si="852"/>
        <v>1</v>
      </c>
      <c r="F2964" s="1410">
        <f t="shared" si="852"/>
        <v>10.35</v>
      </c>
      <c r="G2964" s="1410"/>
      <c r="H2964" s="1411">
        <f t="shared" si="853"/>
        <v>0.255</v>
      </c>
      <c r="I2964" s="1471">
        <f t="shared" si="849"/>
        <v>5.2785000000000002</v>
      </c>
      <c r="J2964" s="1397"/>
      <c r="K2964" s="1397"/>
      <c r="Q2964" s="1394">
        <f>IFERROR(VLOOKUP(M2964,#REF!,3,0),0)</f>
        <v>0</v>
      </c>
      <c r="R2964" s="1394">
        <f t="shared" si="837"/>
        <v>0</v>
      </c>
      <c r="S2964" s="1394">
        <f>IFERROR(VLOOKUP(M2964,#REF!,6,0),0)</f>
        <v>0</v>
      </c>
      <c r="T2964" s="1394">
        <f t="shared" si="844"/>
        <v>0</v>
      </c>
      <c r="U2964" s="1394">
        <f>IFERROR(VLOOKUP(M2964,#REF!,5,0),0)</f>
        <v>0</v>
      </c>
      <c r="V2964" s="1394">
        <f t="shared" si="845"/>
        <v>0</v>
      </c>
      <c r="W2964" s="1394"/>
    </row>
    <row r="2965" spans="2:23" ht="30" customHeight="1">
      <c r="B2965" s="1405">
        <f t="shared" si="847"/>
        <v>0</v>
      </c>
      <c r="C2965" s="1408" t="str">
        <f t="shared" si="850"/>
        <v>B3 to G3</v>
      </c>
      <c r="D2965" s="1409">
        <f t="shared" si="851"/>
        <v>2</v>
      </c>
      <c r="E2965" s="1409">
        <f t="shared" si="852"/>
        <v>1</v>
      </c>
      <c r="F2965" s="1410">
        <f t="shared" si="852"/>
        <v>10.35</v>
      </c>
      <c r="G2965" s="1410"/>
      <c r="H2965" s="1411">
        <f t="shared" si="853"/>
        <v>0.32500000000000001</v>
      </c>
      <c r="I2965" s="1471">
        <f t="shared" si="849"/>
        <v>6.7275</v>
      </c>
      <c r="Q2965" s="1394">
        <f>IFERROR(VLOOKUP(M2965,#REF!,3,0),0)</f>
        <v>0</v>
      </c>
      <c r="R2965" s="1394">
        <f t="shared" si="837"/>
        <v>0</v>
      </c>
      <c r="S2965" s="1394">
        <f>IFERROR(VLOOKUP(M2965,#REF!,6,0),0)</f>
        <v>0</v>
      </c>
      <c r="T2965" s="1394">
        <f t="shared" si="844"/>
        <v>0</v>
      </c>
      <c r="U2965" s="1394">
        <f>IFERROR(VLOOKUP(M2965,#REF!,5,0),0)</f>
        <v>0</v>
      </c>
      <c r="V2965" s="1394">
        <f t="shared" si="845"/>
        <v>0</v>
      </c>
      <c r="W2965" s="1394"/>
    </row>
    <row r="2966" spans="2:23" ht="30" customHeight="1">
      <c r="B2966" s="1405">
        <f t="shared" si="847"/>
        <v>0</v>
      </c>
      <c r="C2966" s="1408" t="str">
        <f t="shared" si="850"/>
        <v>B7 to G7</v>
      </c>
      <c r="D2966" s="1409">
        <f t="shared" si="851"/>
        <v>2</v>
      </c>
      <c r="E2966" s="1409">
        <f t="shared" si="852"/>
        <v>1</v>
      </c>
      <c r="F2966" s="1410">
        <f t="shared" si="852"/>
        <v>10.35</v>
      </c>
      <c r="G2966" s="1410"/>
      <c r="H2966" s="1411">
        <f t="shared" si="853"/>
        <v>0.47499999999999998</v>
      </c>
      <c r="I2966" s="1471">
        <f t="shared" si="849"/>
        <v>9.8324999999999996</v>
      </c>
      <c r="Q2966" s="1394">
        <f>IFERROR(VLOOKUP(M2966,#REF!,3,0),0)</f>
        <v>0</v>
      </c>
      <c r="R2966" s="1394">
        <f t="shared" si="837"/>
        <v>0</v>
      </c>
      <c r="S2966" s="1394">
        <f>IFERROR(VLOOKUP(M2966,#REF!,6,0),0)</f>
        <v>0</v>
      </c>
      <c r="T2966" s="1394">
        <f t="shared" si="844"/>
        <v>0</v>
      </c>
      <c r="U2966" s="1394">
        <f>IFERROR(VLOOKUP(M2966,#REF!,5,0),0)</f>
        <v>0</v>
      </c>
      <c r="V2966" s="1394">
        <f t="shared" si="845"/>
        <v>0</v>
      </c>
      <c r="W2966" s="1394"/>
    </row>
    <row r="2967" spans="2:23" ht="30" customHeight="1">
      <c r="B2967" s="1405">
        <f t="shared" si="847"/>
        <v>0</v>
      </c>
      <c r="C2967" s="1408" t="str">
        <f t="shared" si="850"/>
        <v>B4 to F4</v>
      </c>
      <c r="D2967" s="1409">
        <f t="shared" si="851"/>
        <v>2</v>
      </c>
      <c r="E2967" s="1409">
        <f t="shared" si="852"/>
        <v>1</v>
      </c>
      <c r="F2967" s="1410">
        <f t="shared" si="852"/>
        <v>6.8849999999999998</v>
      </c>
      <c r="G2967" s="1410"/>
      <c r="H2967" s="1411">
        <f t="shared" si="853"/>
        <v>0.255</v>
      </c>
      <c r="I2967" s="1471">
        <f t="shared" si="849"/>
        <v>3.5113499999999997</v>
      </c>
      <c r="Q2967" s="1394">
        <f>IFERROR(VLOOKUP(M2967,#REF!,3,0),0)</f>
        <v>0</v>
      </c>
      <c r="R2967" s="1394">
        <f t="shared" si="837"/>
        <v>0</v>
      </c>
      <c r="S2967" s="1394">
        <f>IFERROR(VLOOKUP(M2967,#REF!,6,0),0)</f>
        <v>0</v>
      </c>
      <c r="T2967" s="1394">
        <f t="shared" si="844"/>
        <v>0</v>
      </c>
      <c r="U2967" s="1394">
        <f>IFERROR(VLOOKUP(M2967,#REF!,5,0),0)</f>
        <v>0</v>
      </c>
      <c r="V2967" s="1394">
        <f t="shared" si="845"/>
        <v>0</v>
      </c>
      <c r="W2967" s="1394"/>
    </row>
    <row r="2968" spans="2:23" ht="30" customHeight="1">
      <c r="B2968" s="1405">
        <f t="shared" si="847"/>
        <v>0</v>
      </c>
      <c r="C2968" s="1408" t="str">
        <f t="shared" si="850"/>
        <v>OTS Cross Beam</v>
      </c>
      <c r="D2968" s="1409">
        <f t="shared" si="851"/>
        <v>2</v>
      </c>
      <c r="E2968" s="1409">
        <f t="shared" si="852"/>
        <v>1</v>
      </c>
      <c r="F2968" s="1410">
        <f t="shared" si="852"/>
        <v>4.2300000000000004</v>
      </c>
      <c r="G2968" s="1410"/>
      <c r="H2968" s="1411">
        <f t="shared" si="853"/>
        <v>0.255</v>
      </c>
      <c r="I2968" s="1471">
        <f t="shared" si="849"/>
        <v>2.1573000000000002</v>
      </c>
      <c r="J2968" s="1396"/>
      <c r="K2968" s="1396"/>
      <c r="Q2968" s="1394">
        <f>IFERROR(VLOOKUP(M2968,#REF!,3,0),0)</f>
        <v>0</v>
      </c>
      <c r="R2968" s="1394">
        <f t="shared" si="837"/>
        <v>0</v>
      </c>
      <c r="S2968" s="1394">
        <f>IFERROR(VLOOKUP(M2968,#REF!,6,0),0)</f>
        <v>0</v>
      </c>
      <c r="T2968" s="1394">
        <f t="shared" si="844"/>
        <v>0</v>
      </c>
      <c r="U2968" s="1394">
        <f>IFERROR(VLOOKUP(M2968,#REF!,5,0),0)</f>
        <v>0</v>
      </c>
      <c r="V2968" s="1394">
        <f t="shared" si="845"/>
        <v>0</v>
      </c>
      <c r="W2968" s="1394"/>
    </row>
    <row r="2969" spans="2:23" ht="30" customHeight="1">
      <c r="B2969" s="1405">
        <f t="shared" si="847"/>
        <v>0</v>
      </c>
      <c r="C2969" s="1408" t="str">
        <f t="shared" si="850"/>
        <v>OTS Cross Beam</v>
      </c>
      <c r="D2969" s="1409">
        <f t="shared" si="851"/>
        <v>2</v>
      </c>
      <c r="E2969" s="1409">
        <f t="shared" si="852"/>
        <v>1</v>
      </c>
      <c r="F2969" s="1410">
        <f t="shared" si="852"/>
        <v>3.9950000000000001</v>
      </c>
      <c r="G2969" s="1410"/>
      <c r="H2969" s="1411">
        <f t="shared" si="853"/>
        <v>0.255</v>
      </c>
      <c r="I2969" s="1471">
        <f t="shared" si="849"/>
        <v>2.0374500000000002</v>
      </c>
      <c r="Q2969" s="1394">
        <f>IFERROR(VLOOKUP(M2969,#REF!,3,0),0)</f>
        <v>0</v>
      </c>
      <c r="R2969" s="1394">
        <f t="shared" si="837"/>
        <v>0</v>
      </c>
      <c r="S2969" s="1394">
        <f>IFERROR(VLOOKUP(M2969,#REF!,6,0),0)</f>
        <v>0</v>
      </c>
      <c r="T2969" s="1394">
        <f t="shared" si="844"/>
        <v>0</v>
      </c>
      <c r="U2969" s="1394">
        <f>IFERROR(VLOOKUP(M2969,#REF!,5,0),0)</f>
        <v>0</v>
      </c>
      <c r="V2969" s="1394">
        <f t="shared" si="845"/>
        <v>0</v>
      </c>
      <c r="W2969" s="1394"/>
    </row>
    <row r="2970" spans="2:23" ht="30" customHeight="1">
      <c r="B2970" s="1405">
        <f t="shared" si="847"/>
        <v>0</v>
      </c>
      <c r="C2970" s="1408" t="str">
        <f t="shared" si="850"/>
        <v>G3 to H3 , G5 to H5 , G6 to H6 &amp; G7 to H7</v>
      </c>
      <c r="D2970" s="1409">
        <f t="shared" si="851"/>
        <v>2</v>
      </c>
      <c r="E2970" s="1409">
        <f t="shared" si="852"/>
        <v>4</v>
      </c>
      <c r="F2970" s="1410">
        <f t="shared" si="852"/>
        <v>3.9950000000000001</v>
      </c>
      <c r="G2970" s="1410"/>
      <c r="H2970" s="1411">
        <f t="shared" si="853"/>
        <v>0.255</v>
      </c>
      <c r="I2970" s="1471">
        <f t="shared" si="849"/>
        <v>8.1498000000000008</v>
      </c>
      <c r="Q2970" s="1394">
        <f>IFERROR(VLOOKUP(M2970,#REF!,3,0),0)</f>
        <v>0</v>
      </c>
      <c r="R2970" s="1394">
        <f t="shared" si="837"/>
        <v>0</v>
      </c>
      <c r="S2970" s="1394">
        <f>IFERROR(VLOOKUP(M2970,#REF!,6,0),0)</f>
        <v>0</v>
      </c>
      <c r="T2970" s="1394">
        <f t="shared" si="844"/>
        <v>0</v>
      </c>
      <c r="U2970" s="1394">
        <f>IFERROR(VLOOKUP(M2970,#REF!,5,0),0)</f>
        <v>0</v>
      </c>
      <c r="V2970" s="1394">
        <f t="shared" si="845"/>
        <v>0</v>
      </c>
      <c r="W2970" s="1394"/>
    </row>
    <row r="2971" spans="2:23" ht="30" customHeight="1">
      <c r="B2971" s="1405">
        <f t="shared" si="847"/>
        <v>0</v>
      </c>
      <c r="C2971" s="1408" t="str">
        <f t="shared" si="850"/>
        <v>Cross beams</v>
      </c>
      <c r="D2971" s="1409">
        <f t="shared" si="851"/>
        <v>2</v>
      </c>
      <c r="E2971" s="1409">
        <f t="shared" si="852"/>
        <v>1</v>
      </c>
      <c r="F2971" s="1410">
        <f t="shared" si="852"/>
        <v>1.7350000000000001</v>
      </c>
      <c r="G2971" s="1410"/>
      <c r="H2971" s="1411">
        <f t="shared" si="853"/>
        <v>0.255</v>
      </c>
      <c r="I2971" s="1471">
        <f t="shared" si="849"/>
        <v>0.88485000000000003</v>
      </c>
      <c r="Q2971" s="1394">
        <f>IFERROR(VLOOKUP(M2971,#REF!,3,0),0)</f>
        <v>0</v>
      </c>
      <c r="R2971" s="1394">
        <f t="shared" si="837"/>
        <v>0</v>
      </c>
      <c r="S2971" s="1394">
        <f>IFERROR(VLOOKUP(M2971,#REF!,6,0),0)</f>
        <v>0</v>
      </c>
      <c r="T2971" s="1394">
        <f t="shared" si="844"/>
        <v>0</v>
      </c>
      <c r="U2971" s="1394">
        <f>IFERROR(VLOOKUP(M2971,#REF!,5,0),0)</f>
        <v>0</v>
      </c>
      <c r="V2971" s="1394">
        <f t="shared" si="845"/>
        <v>0</v>
      </c>
      <c r="W2971" s="1394"/>
    </row>
    <row r="2972" spans="2:23" ht="30" customHeight="1">
      <c r="B2972" s="1405">
        <f t="shared" si="847"/>
        <v>0</v>
      </c>
      <c r="C2972" s="1408" t="str">
        <f t="shared" si="850"/>
        <v>Cross beams</v>
      </c>
      <c r="D2972" s="1409">
        <f t="shared" si="851"/>
        <v>2</v>
      </c>
      <c r="E2972" s="1409">
        <f t="shared" si="852"/>
        <v>1</v>
      </c>
      <c r="F2972" s="1410">
        <f t="shared" si="852"/>
        <v>3.7650000000000001</v>
      </c>
      <c r="G2972" s="1410"/>
      <c r="H2972" s="1411">
        <f t="shared" si="853"/>
        <v>0.255</v>
      </c>
      <c r="I2972" s="1471">
        <f t="shared" si="849"/>
        <v>1.92015</v>
      </c>
      <c r="Q2972" s="1394">
        <f>IFERROR(VLOOKUP(M2972,#REF!,3,0),0)</f>
        <v>0</v>
      </c>
      <c r="R2972" s="1394">
        <f t="shared" si="837"/>
        <v>0</v>
      </c>
      <c r="S2972" s="1394">
        <f>IFERROR(VLOOKUP(M2972,#REF!,6,0),0)</f>
        <v>0</v>
      </c>
      <c r="T2972" s="1394">
        <f t="shared" si="844"/>
        <v>0</v>
      </c>
      <c r="U2972" s="1394">
        <f>IFERROR(VLOOKUP(M2972,#REF!,5,0),0)</f>
        <v>0</v>
      </c>
      <c r="V2972" s="1394">
        <f t="shared" si="845"/>
        <v>0</v>
      </c>
      <c r="W2972" s="1394"/>
    </row>
    <row r="2973" spans="2:23" ht="30" customHeight="1">
      <c r="B2973" s="1405">
        <f t="shared" si="847"/>
        <v>0</v>
      </c>
      <c r="C2973" s="1415" t="str">
        <f t="shared" si="850"/>
        <v>Vertical beam</v>
      </c>
      <c r="D2973" s="1409">
        <f t="shared" si="851"/>
        <v>0</v>
      </c>
      <c r="E2973" s="1409">
        <f t="shared" si="852"/>
        <v>0</v>
      </c>
      <c r="F2973" s="1410">
        <f t="shared" si="852"/>
        <v>0</v>
      </c>
      <c r="G2973" s="1410"/>
      <c r="H2973" s="1411">
        <f t="shared" si="853"/>
        <v>-0.125</v>
      </c>
      <c r="I2973" s="1471">
        <f t="shared" si="849"/>
        <v>0</v>
      </c>
      <c r="Q2973" s="1394">
        <f>IFERROR(VLOOKUP(M2973,#REF!,3,0),0)</f>
        <v>0</v>
      </c>
      <c r="R2973" s="1394">
        <f t="shared" si="837"/>
        <v>0</v>
      </c>
      <c r="S2973" s="1394">
        <f>IFERROR(VLOOKUP(M2973,#REF!,6,0),0)</f>
        <v>0</v>
      </c>
      <c r="T2973" s="1394">
        <f t="shared" si="844"/>
        <v>0</v>
      </c>
      <c r="U2973" s="1394">
        <f>IFERROR(VLOOKUP(M2973,#REF!,5,0),0)</f>
        <v>0</v>
      </c>
      <c r="V2973" s="1394">
        <f t="shared" si="845"/>
        <v>0</v>
      </c>
      <c r="W2973" s="1394"/>
    </row>
    <row r="2974" spans="2:23" ht="30" customHeight="1">
      <c r="B2974" s="1405">
        <f t="shared" si="847"/>
        <v>0</v>
      </c>
      <c r="C2974" s="1408" t="str">
        <f t="shared" si="850"/>
        <v>A3 To A5</v>
      </c>
      <c r="D2974" s="1409">
        <f t="shared" si="851"/>
        <v>2</v>
      </c>
      <c r="E2974" s="1409">
        <f t="shared" si="852"/>
        <v>1</v>
      </c>
      <c r="F2974" s="1410">
        <f t="shared" si="852"/>
        <v>5.5299999999999994</v>
      </c>
      <c r="G2974" s="1410"/>
      <c r="H2974" s="1411">
        <f t="shared" si="853"/>
        <v>0.32500000000000001</v>
      </c>
      <c r="I2974" s="1471">
        <f t="shared" si="849"/>
        <v>3.5944999999999996</v>
      </c>
      <c r="Q2974" s="1394">
        <f>IFERROR(VLOOKUP(M2974,#REF!,3,0),0)</f>
        <v>0</v>
      </c>
      <c r="R2974" s="1394">
        <f t="shared" si="837"/>
        <v>0</v>
      </c>
      <c r="S2974" s="1394">
        <f>IFERROR(VLOOKUP(M2974,#REF!,6,0),0)</f>
        <v>0</v>
      </c>
      <c r="T2974" s="1394">
        <f t="shared" si="844"/>
        <v>0</v>
      </c>
      <c r="U2974" s="1394">
        <f>IFERROR(VLOOKUP(M2974,#REF!,5,0),0)</f>
        <v>0</v>
      </c>
      <c r="V2974" s="1394">
        <f t="shared" si="845"/>
        <v>0</v>
      </c>
      <c r="W2974" s="1394"/>
    </row>
    <row r="2975" spans="2:23" ht="30" customHeight="1">
      <c r="B2975" s="1405">
        <f t="shared" si="847"/>
        <v>0</v>
      </c>
      <c r="C2975" s="1408" t="str">
        <f t="shared" si="850"/>
        <v>A5 To A8</v>
      </c>
      <c r="D2975" s="1409">
        <f t="shared" si="851"/>
        <v>2</v>
      </c>
      <c r="E2975" s="1409">
        <f t="shared" si="852"/>
        <v>1</v>
      </c>
      <c r="F2975" s="1410">
        <f t="shared" si="852"/>
        <v>10.120000000000001</v>
      </c>
      <c r="G2975" s="1410"/>
      <c r="H2975" s="1411">
        <f t="shared" si="853"/>
        <v>0.255</v>
      </c>
      <c r="I2975" s="1471">
        <f t="shared" si="849"/>
        <v>5.1612000000000009</v>
      </c>
      <c r="Q2975" s="1394">
        <f>IFERROR(VLOOKUP(M2975,#REF!,3,0),0)</f>
        <v>0</v>
      </c>
      <c r="R2975" s="1394">
        <f t="shared" si="837"/>
        <v>0</v>
      </c>
      <c r="S2975" s="1394">
        <f>IFERROR(VLOOKUP(M2975,#REF!,6,0),0)</f>
        <v>0</v>
      </c>
      <c r="T2975" s="1394">
        <f t="shared" si="844"/>
        <v>0</v>
      </c>
      <c r="U2975" s="1394">
        <f>IFERROR(VLOOKUP(M2975,#REF!,5,0),0)</f>
        <v>0</v>
      </c>
      <c r="V2975" s="1394">
        <f t="shared" si="845"/>
        <v>0</v>
      </c>
      <c r="W2975" s="1394"/>
    </row>
    <row r="2976" spans="2:23" ht="30" customHeight="1">
      <c r="B2976" s="1405">
        <f t="shared" si="847"/>
        <v>0</v>
      </c>
      <c r="C2976" s="1408" t="str">
        <f t="shared" si="850"/>
        <v>B3 To B8</v>
      </c>
      <c r="D2976" s="1409">
        <f t="shared" si="851"/>
        <v>2</v>
      </c>
      <c r="E2976" s="1409">
        <f t="shared" si="852"/>
        <v>1</v>
      </c>
      <c r="F2976" s="1410">
        <f t="shared" si="852"/>
        <v>15.649999999999999</v>
      </c>
      <c r="G2976" s="1410"/>
      <c r="H2976" s="1411">
        <f t="shared" si="853"/>
        <v>0.255</v>
      </c>
      <c r="I2976" s="1471">
        <f t="shared" si="849"/>
        <v>7.9814999999999996</v>
      </c>
      <c r="Q2976" s="1394">
        <f>IFERROR(VLOOKUP(M2976,#REF!,3,0),0)</f>
        <v>0</v>
      </c>
      <c r="R2976" s="1394">
        <f t="shared" si="837"/>
        <v>0</v>
      </c>
      <c r="S2976" s="1394">
        <f>IFERROR(VLOOKUP(M2976,#REF!,6,0),0)</f>
        <v>0</v>
      </c>
      <c r="T2976" s="1394">
        <f t="shared" si="844"/>
        <v>0</v>
      </c>
      <c r="U2976" s="1394">
        <f>IFERROR(VLOOKUP(M2976,#REF!,5,0),0)</f>
        <v>0</v>
      </c>
      <c r="V2976" s="1394">
        <f t="shared" si="845"/>
        <v>0</v>
      </c>
      <c r="W2976" s="1394"/>
    </row>
    <row r="2977" spans="2:23" ht="30" customHeight="1">
      <c r="B2977" s="1405">
        <f t="shared" si="847"/>
        <v>0</v>
      </c>
      <c r="C2977" s="1408" t="str">
        <f t="shared" si="850"/>
        <v>Cross beams</v>
      </c>
      <c r="D2977" s="1409">
        <f t="shared" si="851"/>
        <v>2</v>
      </c>
      <c r="E2977" s="1409">
        <f t="shared" si="852"/>
        <v>1</v>
      </c>
      <c r="F2977" s="1410">
        <f t="shared" si="852"/>
        <v>4.13</v>
      </c>
      <c r="G2977" s="1410"/>
      <c r="H2977" s="1411">
        <f t="shared" si="853"/>
        <v>0.255</v>
      </c>
      <c r="I2977" s="1471">
        <f t="shared" si="849"/>
        <v>2.1063000000000001</v>
      </c>
      <c r="Q2977" s="1394">
        <f>IFERROR(VLOOKUP(M2977,#REF!,3,0),0)</f>
        <v>0</v>
      </c>
      <c r="R2977" s="1394">
        <f t="shared" si="837"/>
        <v>0</v>
      </c>
      <c r="S2977" s="1394">
        <f>IFERROR(VLOOKUP(M2977,#REF!,6,0),0)</f>
        <v>0</v>
      </c>
      <c r="T2977" s="1394">
        <f t="shared" si="844"/>
        <v>0</v>
      </c>
      <c r="U2977" s="1394">
        <f>IFERROR(VLOOKUP(M2977,#REF!,5,0),0)</f>
        <v>0</v>
      </c>
      <c r="V2977" s="1394">
        <f t="shared" si="845"/>
        <v>0</v>
      </c>
      <c r="W2977" s="1394"/>
    </row>
    <row r="2978" spans="2:23" ht="30" customHeight="1">
      <c r="B2978" s="1405">
        <f t="shared" si="847"/>
        <v>0</v>
      </c>
      <c r="C2978" s="1408" t="str">
        <f t="shared" si="850"/>
        <v>Cross beams</v>
      </c>
      <c r="D2978" s="1409">
        <f t="shared" si="851"/>
        <v>2</v>
      </c>
      <c r="E2978" s="1409">
        <f t="shared" si="852"/>
        <v>1</v>
      </c>
      <c r="F2978" s="1410">
        <f t="shared" si="852"/>
        <v>4.13</v>
      </c>
      <c r="G2978" s="1410"/>
      <c r="H2978" s="1411">
        <f t="shared" si="853"/>
        <v>0.32500000000000001</v>
      </c>
      <c r="I2978" s="1471">
        <f t="shared" si="849"/>
        <v>2.6844999999999999</v>
      </c>
      <c r="Q2978" s="1394">
        <f>IFERROR(VLOOKUP(M2978,#REF!,3,0),0)</f>
        <v>0</v>
      </c>
      <c r="R2978" s="1394">
        <f t="shared" si="837"/>
        <v>0</v>
      </c>
      <c r="S2978" s="1394">
        <f>IFERROR(VLOOKUP(M2978,#REF!,6,0),0)</f>
        <v>0</v>
      </c>
      <c r="T2978" s="1394">
        <f t="shared" si="844"/>
        <v>0</v>
      </c>
      <c r="U2978" s="1394">
        <f>IFERROR(VLOOKUP(M2978,#REF!,5,0),0)</f>
        <v>0</v>
      </c>
      <c r="V2978" s="1394">
        <f t="shared" si="845"/>
        <v>0</v>
      </c>
      <c r="W2978" s="1394"/>
    </row>
    <row r="2979" spans="2:23" ht="30" customHeight="1">
      <c r="B2979" s="1405">
        <f t="shared" si="847"/>
        <v>0</v>
      </c>
      <c r="C2979" s="1408" t="str">
        <f t="shared" si="850"/>
        <v>C4 to C5</v>
      </c>
      <c r="D2979" s="1409">
        <f t="shared" si="851"/>
        <v>2</v>
      </c>
      <c r="E2979" s="1409">
        <f t="shared" si="852"/>
        <v>1</v>
      </c>
      <c r="F2979" s="1410">
        <f t="shared" si="852"/>
        <v>2.5299999999999998</v>
      </c>
      <c r="G2979" s="1410"/>
      <c r="H2979" s="1411">
        <f t="shared" si="853"/>
        <v>0.32500000000000001</v>
      </c>
      <c r="I2979" s="1471">
        <f t="shared" si="849"/>
        <v>1.6444999999999999</v>
      </c>
      <c r="Q2979" s="1394">
        <f>IFERROR(VLOOKUP(M2979,#REF!,3,0),0)</f>
        <v>0</v>
      </c>
      <c r="R2979" s="1394">
        <f t="shared" si="837"/>
        <v>0</v>
      </c>
      <c r="S2979" s="1394">
        <f>IFERROR(VLOOKUP(M2979,#REF!,6,0),0)</f>
        <v>0</v>
      </c>
      <c r="T2979" s="1394">
        <f t="shared" si="844"/>
        <v>0</v>
      </c>
      <c r="U2979" s="1394">
        <f>IFERROR(VLOOKUP(M2979,#REF!,5,0),0)</f>
        <v>0</v>
      </c>
      <c r="V2979" s="1394">
        <f t="shared" si="845"/>
        <v>0</v>
      </c>
      <c r="W2979" s="1394"/>
    </row>
    <row r="2980" spans="2:23" ht="30" customHeight="1">
      <c r="B2980" s="1405">
        <f t="shared" si="847"/>
        <v>0</v>
      </c>
      <c r="C2980" s="1408" t="str">
        <f t="shared" si="850"/>
        <v xml:space="preserve">C5 to C7 &amp; F5 to F7 </v>
      </c>
      <c r="D2980" s="1409">
        <f t="shared" si="851"/>
        <v>2</v>
      </c>
      <c r="E2980" s="1409">
        <f t="shared" si="852"/>
        <v>2</v>
      </c>
      <c r="F2980" s="1410">
        <f t="shared" si="852"/>
        <v>5.99</v>
      </c>
      <c r="G2980" s="1410"/>
      <c r="H2980" s="1411">
        <f t="shared" si="853"/>
        <v>0.47499999999999998</v>
      </c>
      <c r="I2980" s="1471">
        <f t="shared" si="849"/>
        <v>11.381</v>
      </c>
      <c r="Q2980" s="1394">
        <f>IFERROR(VLOOKUP(M2980,#REF!,3,0),0)</f>
        <v>0</v>
      </c>
      <c r="R2980" s="1394">
        <f t="shared" si="837"/>
        <v>0</v>
      </c>
      <c r="S2980" s="1394">
        <f>IFERROR(VLOOKUP(M2980,#REF!,6,0),0)</f>
        <v>0</v>
      </c>
      <c r="T2980" s="1394">
        <f t="shared" si="844"/>
        <v>0</v>
      </c>
      <c r="U2980" s="1394">
        <f>IFERROR(VLOOKUP(M2980,#REF!,5,0),0)</f>
        <v>0</v>
      </c>
      <c r="V2980" s="1394">
        <f t="shared" si="845"/>
        <v>0</v>
      </c>
      <c r="W2980" s="1394"/>
    </row>
    <row r="2981" spans="2:23" ht="30" customHeight="1">
      <c r="B2981" s="1405">
        <f t="shared" si="847"/>
        <v>0</v>
      </c>
      <c r="C2981" s="1408" t="str">
        <f t="shared" si="850"/>
        <v>F3 to F5</v>
      </c>
      <c r="D2981" s="1409">
        <f t="shared" si="851"/>
        <v>2</v>
      </c>
      <c r="E2981" s="1409">
        <f t="shared" si="852"/>
        <v>1</v>
      </c>
      <c r="F2981" s="1410">
        <f t="shared" si="852"/>
        <v>5.5299999999999994</v>
      </c>
      <c r="G2981" s="1410"/>
      <c r="H2981" s="1411">
        <f t="shared" si="853"/>
        <v>0.32500000000000001</v>
      </c>
      <c r="I2981" s="1471">
        <f t="shared" si="849"/>
        <v>3.5944999999999996</v>
      </c>
      <c r="Q2981" s="1394">
        <f>IFERROR(VLOOKUP(M2981,#REF!,3,0),0)</f>
        <v>0</v>
      </c>
      <c r="R2981" s="1394">
        <f t="shared" si="837"/>
        <v>0</v>
      </c>
      <c r="S2981" s="1394">
        <f>IFERROR(VLOOKUP(M2981,#REF!,6,0),0)</f>
        <v>0</v>
      </c>
      <c r="T2981" s="1394">
        <f t="shared" si="844"/>
        <v>0</v>
      </c>
      <c r="U2981" s="1394">
        <f>IFERROR(VLOOKUP(M2981,#REF!,5,0),0)</f>
        <v>0</v>
      </c>
      <c r="V2981" s="1394">
        <f t="shared" si="845"/>
        <v>0</v>
      </c>
      <c r="W2981" s="1394"/>
    </row>
    <row r="2982" spans="2:23" ht="30" customHeight="1">
      <c r="B2982" s="1405">
        <f t="shared" si="847"/>
        <v>0</v>
      </c>
      <c r="C2982" s="1408" t="str">
        <f t="shared" si="850"/>
        <v>E7 to E8</v>
      </c>
      <c r="D2982" s="1409">
        <f t="shared" si="851"/>
        <v>2</v>
      </c>
      <c r="E2982" s="1409">
        <f t="shared" si="852"/>
        <v>1</v>
      </c>
      <c r="F2982" s="1410">
        <f t="shared" si="852"/>
        <v>4.13</v>
      </c>
      <c r="G2982" s="1410"/>
      <c r="H2982" s="1411">
        <f t="shared" si="853"/>
        <v>0.255</v>
      </c>
      <c r="I2982" s="1471">
        <f t="shared" si="849"/>
        <v>2.1063000000000001</v>
      </c>
      <c r="Q2982" s="1394">
        <f>IFERROR(VLOOKUP(M2982,#REF!,3,0),0)</f>
        <v>0</v>
      </c>
      <c r="R2982" s="1394">
        <f t="shared" si="837"/>
        <v>0</v>
      </c>
      <c r="S2982" s="1394">
        <f>IFERROR(VLOOKUP(M2982,#REF!,6,0),0)</f>
        <v>0</v>
      </c>
      <c r="T2982" s="1394">
        <f t="shared" si="844"/>
        <v>0</v>
      </c>
      <c r="U2982" s="1394">
        <f>IFERROR(VLOOKUP(M2982,#REF!,5,0),0)</f>
        <v>0</v>
      </c>
      <c r="V2982" s="1394">
        <f t="shared" si="845"/>
        <v>0</v>
      </c>
      <c r="W2982" s="1394"/>
    </row>
    <row r="2983" spans="2:23" ht="30" customHeight="1">
      <c r="B2983" s="1405">
        <f t="shared" si="847"/>
        <v>0</v>
      </c>
      <c r="C2983" s="1408" t="str">
        <f t="shared" si="850"/>
        <v>G3 to G7</v>
      </c>
      <c r="D2983" s="1409">
        <f t="shared" si="851"/>
        <v>2</v>
      </c>
      <c r="E2983" s="1409">
        <f t="shared" si="852"/>
        <v>1</v>
      </c>
      <c r="F2983" s="1410">
        <f t="shared" si="852"/>
        <v>11.52</v>
      </c>
      <c r="G2983" s="1410"/>
      <c r="H2983" s="1411">
        <f t="shared" si="853"/>
        <v>0.32500000000000001</v>
      </c>
      <c r="I2983" s="1471">
        <f t="shared" si="849"/>
        <v>7.4879999999999995</v>
      </c>
      <c r="L2983" s="1413"/>
      <c r="O2983" s="1395"/>
      <c r="Q2983" s="1394">
        <f>IFERROR(VLOOKUP(M2983,#REF!,3,0),0)</f>
        <v>0</v>
      </c>
      <c r="R2983" s="1394">
        <f t="shared" si="837"/>
        <v>0</v>
      </c>
      <c r="S2983" s="1394">
        <f>IFERROR(VLOOKUP(M2983,#REF!,6,0),0)</f>
        <v>0</v>
      </c>
      <c r="T2983" s="1394">
        <f t="shared" si="844"/>
        <v>0</v>
      </c>
      <c r="U2983" s="1394">
        <f>IFERROR(VLOOKUP(M2983,#REF!,5,0),0)</f>
        <v>0</v>
      </c>
      <c r="V2983" s="1394">
        <f t="shared" si="845"/>
        <v>0</v>
      </c>
      <c r="W2983" s="1394"/>
    </row>
    <row r="2984" spans="2:23" ht="30" customHeight="1">
      <c r="B2984" s="1405">
        <f t="shared" si="847"/>
        <v>0</v>
      </c>
      <c r="C2984" s="1408" t="str">
        <f t="shared" si="850"/>
        <v>G7 to G8</v>
      </c>
      <c r="D2984" s="1409">
        <f t="shared" si="851"/>
        <v>2</v>
      </c>
      <c r="E2984" s="1409">
        <f t="shared" si="852"/>
        <v>1</v>
      </c>
      <c r="F2984" s="1410">
        <f t="shared" si="852"/>
        <v>4.13</v>
      </c>
      <c r="G2984" s="1410"/>
      <c r="H2984" s="1411">
        <f t="shared" si="853"/>
        <v>0.32500000000000001</v>
      </c>
      <c r="I2984" s="1471">
        <f t="shared" si="849"/>
        <v>2.6844999999999999</v>
      </c>
      <c r="L2984" s="1413"/>
      <c r="O2984" s="1395"/>
      <c r="Q2984" s="1394">
        <f>IFERROR(VLOOKUP(M2984,#REF!,3,0),0)</f>
        <v>0</v>
      </c>
      <c r="R2984" s="1394">
        <f t="shared" si="837"/>
        <v>0</v>
      </c>
      <c r="S2984" s="1394">
        <f>IFERROR(VLOOKUP(M2984,#REF!,6,0),0)</f>
        <v>0</v>
      </c>
      <c r="T2984" s="1394">
        <f t="shared" si="844"/>
        <v>0</v>
      </c>
      <c r="U2984" s="1394">
        <f>IFERROR(VLOOKUP(M2984,#REF!,5,0),0)</f>
        <v>0</v>
      </c>
      <c r="V2984" s="1394">
        <f t="shared" si="845"/>
        <v>0</v>
      </c>
      <c r="W2984" s="1394"/>
    </row>
    <row r="2985" spans="2:23" ht="30" customHeight="1">
      <c r="B2985" s="1405">
        <f t="shared" si="847"/>
        <v>0</v>
      </c>
      <c r="C2985" s="1408" t="str">
        <f t="shared" si="850"/>
        <v>H3 To H8</v>
      </c>
      <c r="D2985" s="1409">
        <f t="shared" si="851"/>
        <v>2</v>
      </c>
      <c r="E2985" s="1409">
        <f t="shared" si="852"/>
        <v>1</v>
      </c>
      <c r="F2985" s="1410">
        <f t="shared" si="852"/>
        <v>15.649999999999999</v>
      </c>
      <c r="G2985" s="1410"/>
      <c r="H2985" s="1411">
        <f t="shared" si="853"/>
        <v>0.32500000000000001</v>
      </c>
      <c r="I2985" s="1471">
        <f t="shared" si="849"/>
        <v>10.172499999999999</v>
      </c>
      <c r="L2985" s="1413"/>
      <c r="O2985" s="1395"/>
      <c r="Q2985" s="1394">
        <f>IFERROR(VLOOKUP(M2985,#REF!,3,0),0)</f>
        <v>0</v>
      </c>
      <c r="R2985" s="1394">
        <f t="shared" si="837"/>
        <v>0</v>
      </c>
      <c r="S2985" s="1394">
        <f>IFERROR(VLOOKUP(M2985,#REF!,6,0),0)</f>
        <v>0</v>
      </c>
      <c r="T2985" s="1394">
        <f t="shared" si="844"/>
        <v>0</v>
      </c>
      <c r="U2985" s="1394">
        <f>IFERROR(VLOOKUP(M2985,#REF!,5,0),0)</f>
        <v>0</v>
      </c>
      <c r="V2985" s="1394">
        <f t="shared" si="845"/>
        <v>0</v>
      </c>
      <c r="W2985" s="1394"/>
    </row>
    <row r="2986" spans="2:23" ht="30" customHeight="1">
      <c r="B2986" s="1405">
        <f t="shared" si="847"/>
        <v>0</v>
      </c>
      <c r="C2986" s="1408" t="str">
        <f t="shared" si="850"/>
        <v>Cross beams</v>
      </c>
      <c r="D2986" s="1409">
        <f t="shared" si="851"/>
        <v>2</v>
      </c>
      <c r="E2986" s="1409">
        <f t="shared" si="852"/>
        <v>1</v>
      </c>
      <c r="F2986" s="1410">
        <f t="shared" si="852"/>
        <v>2.77</v>
      </c>
      <c r="G2986" s="1410"/>
      <c r="H2986" s="1411">
        <f t="shared" si="853"/>
        <v>0.255</v>
      </c>
      <c r="I2986" s="1471">
        <f t="shared" si="849"/>
        <v>1.4127000000000001</v>
      </c>
      <c r="L2986" s="1413"/>
      <c r="O2986" s="1395"/>
      <c r="Q2986" s="1394">
        <f>IFERROR(VLOOKUP(M2986,#REF!,3,0),0)</f>
        <v>0</v>
      </c>
      <c r="R2986" s="1394">
        <f t="shared" si="837"/>
        <v>0</v>
      </c>
      <c r="S2986" s="1394">
        <f>IFERROR(VLOOKUP(M2986,#REF!,6,0),0)</f>
        <v>0</v>
      </c>
      <c r="T2986" s="1394">
        <f t="shared" si="844"/>
        <v>0</v>
      </c>
      <c r="U2986" s="1394">
        <f>IFERROR(VLOOKUP(M2986,#REF!,5,0),0)</f>
        <v>0</v>
      </c>
      <c r="V2986" s="1394">
        <f t="shared" si="845"/>
        <v>0</v>
      </c>
      <c r="W2986" s="1394"/>
    </row>
    <row r="2987" spans="2:23" ht="30" customHeight="1">
      <c r="B2987" s="1405">
        <f t="shared" si="847"/>
        <v>0</v>
      </c>
      <c r="C2987" s="1408">
        <f t="shared" si="850"/>
        <v>0</v>
      </c>
      <c r="D2987" s="1409">
        <f>D1025</f>
        <v>0</v>
      </c>
      <c r="E2987" s="1409">
        <f t="shared" si="852"/>
        <v>0</v>
      </c>
      <c r="F2987" s="1410">
        <f t="shared" si="852"/>
        <v>0</v>
      </c>
      <c r="G2987" s="1410">
        <f>G1025</f>
        <v>0</v>
      </c>
      <c r="H2987" s="1411">
        <f>H1025</f>
        <v>0</v>
      </c>
      <c r="I2987" s="1471">
        <f t="shared" si="849"/>
        <v>0</v>
      </c>
      <c r="Q2987" s="1394">
        <f>IFERROR(VLOOKUP(M2987,#REF!,3,0),0)</f>
        <v>0</v>
      </c>
      <c r="R2987" s="1394">
        <f t="shared" si="837"/>
        <v>0</v>
      </c>
      <c r="S2987" s="1394">
        <f>IFERROR(VLOOKUP(M2987,#REF!,6,0),0)</f>
        <v>0</v>
      </c>
      <c r="T2987" s="1394">
        <f t="shared" si="844"/>
        <v>0</v>
      </c>
      <c r="U2987" s="1394">
        <f>IFERROR(VLOOKUP(M2987,#REF!,5,0),0)</f>
        <v>0</v>
      </c>
      <c r="V2987" s="1394">
        <f t="shared" si="845"/>
        <v>0</v>
      </c>
      <c r="W2987" s="1394"/>
    </row>
    <row r="2988" spans="2:23" ht="30" customHeight="1">
      <c r="B2988" s="1405">
        <f t="shared" si="847"/>
        <v>0</v>
      </c>
      <c r="C2988" s="1457" t="s">
        <v>409</v>
      </c>
      <c r="D2988" s="1415">
        <f t="shared" ref="D2988:H2989" si="854">D998</f>
        <v>0</v>
      </c>
      <c r="E2988" s="1415">
        <f t="shared" si="854"/>
        <v>0</v>
      </c>
      <c r="F2988" s="1415">
        <f t="shared" si="854"/>
        <v>0</v>
      </c>
      <c r="G2988" s="1518">
        <f t="shared" si="854"/>
        <v>0</v>
      </c>
      <c r="H2988" s="1415">
        <f t="shared" si="854"/>
        <v>0</v>
      </c>
      <c r="I2988" s="1471">
        <f t="shared" ref="I2988:I3014" si="855">PRODUCT(D2988:H2988)</f>
        <v>0</v>
      </c>
      <c r="O2988" s="1395"/>
      <c r="Q2988" s="1394">
        <f>IFERROR(VLOOKUP(M2988,#REF!,3,0),0)</f>
        <v>0</v>
      </c>
      <c r="R2988" s="1394">
        <f t="shared" si="837"/>
        <v>0</v>
      </c>
      <c r="S2988" s="1394">
        <f>IFERROR(VLOOKUP(M2988,#REF!,6,0),0)</f>
        <v>0</v>
      </c>
      <c r="T2988" s="1394">
        <f t="shared" si="844"/>
        <v>0</v>
      </c>
      <c r="U2988" s="1394">
        <f>IFERROR(VLOOKUP(M2988,#REF!,5,0),0)</f>
        <v>0</v>
      </c>
      <c r="V2988" s="1394">
        <f t="shared" si="845"/>
        <v>0</v>
      </c>
      <c r="W2988" s="1394"/>
    </row>
    <row r="2989" spans="2:23" ht="30" customHeight="1">
      <c r="B2989" s="1405">
        <f t="shared" si="847"/>
        <v>0</v>
      </c>
      <c r="C2989" s="1408" t="str">
        <f t="shared" ref="C2989:C3014" si="856">C999</f>
        <v>Horizontal beam</v>
      </c>
      <c r="D2989" s="1409">
        <f t="shared" si="854"/>
        <v>0</v>
      </c>
      <c r="E2989" s="1409">
        <f t="shared" si="854"/>
        <v>0</v>
      </c>
      <c r="F2989" s="1410">
        <f t="shared" si="854"/>
        <v>0</v>
      </c>
      <c r="G2989" s="1410">
        <f t="shared" si="854"/>
        <v>0</v>
      </c>
      <c r="H2989" s="1411">
        <f t="shared" si="854"/>
        <v>0</v>
      </c>
      <c r="I2989" s="1471">
        <f t="shared" si="855"/>
        <v>0</v>
      </c>
      <c r="O2989" s="1395"/>
      <c r="Q2989" s="1394">
        <f>IFERROR(VLOOKUP(M2989,#REF!,3,0),0)</f>
        <v>0</v>
      </c>
      <c r="R2989" s="1394">
        <f t="shared" si="837"/>
        <v>0</v>
      </c>
      <c r="S2989" s="1394">
        <f>IFERROR(VLOOKUP(M2989,#REF!,6,0),0)</f>
        <v>0</v>
      </c>
      <c r="T2989" s="1394">
        <f t="shared" si="844"/>
        <v>0</v>
      </c>
      <c r="U2989" s="1394">
        <f>IFERROR(VLOOKUP(M2989,#REF!,5,0),0)</f>
        <v>0</v>
      </c>
      <c r="V2989" s="1394">
        <f t="shared" si="845"/>
        <v>0</v>
      </c>
      <c r="W2989" s="1394"/>
    </row>
    <row r="2990" spans="2:23" ht="30" customHeight="1">
      <c r="B2990" s="1405">
        <f t="shared" ref="B2990:B3013" si="857">B1029</f>
        <v>0</v>
      </c>
      <c r="C2990" s="1408" t="str">
        <f t="shared" si="856"/>
        <v>A1 to B1 , A5 to B5 , A6 to B6 &amp; A7 to B7</v>
      </c>
      <c r="D2990" s="1409">
        <f t="shared" ref="D2990:G3014" si="858">D1000</f>
        <v>1</v>
      </c>
      <c r="E2990" s="1409">
        <f t="shared" si="858"/>
        <v>4</v>
      </c>
      <c r="F2990" s="1410">
        <f t="shared" si="858"/>
        <v>4.2300000000000004</v>
      </c>
      <c r="G2990" s="1410">
        <f t="shared" si="858"/>
        <v>0.23</v>
      </c>
      <c r="H2990" s="1411"/>
      <c r="I2990" s="1471">
        <f t="shared" si="855"/>
        <v>3.8916000000000004</v>
      </c>
      <c r="Q2990" s="1394">
        <f>IFERROR(VLOOKUP(M2990,#REF!,3,0),0)</f>
        <v>0</v>
      </c>
      <c r="R2990" s="1394">
        <f t="shared" ref="R2990:R3053" si="859">ROUND(O2990,2)*ROUND(Q2990,2)</f>
        <v>0</v>
      </c>
      <c r="S2990" s="1394">
        <f>IFERROR(VLOOKUP(M2990,#REF!,6,0),0)</f>
        <v>0</v>
      </c>
      <c r="T2990" s="1394">
        <f t="shared" si="844"/>
        <v>0</v>
      </c>
      <c r="U2990" s="1394">
        <f>IFERROR(VLOOKUP(M2990,#REF!,5,0),0)</f>
        <v>0</v>
      </c>
      <c r="V2990" s="1394">
        <f t="shared" si="845"/>
        <v>0</v>
      </c>
      <c r="W2990" s="1394"/>
    </row>
    <row r="2991" spans="2:23" ht="30" customHeight="1">
      <c r="B2991" s="1405">
        <f t="shared" si="857"/>
        <v>0</v>
      </c>
      <c r="C2991" s="1408" t="str">
        <f t="shared" si="856"/>
        <v>A8 to H8</v>
      </c>
      <c r="D2991" s="1409">
        <f t="shared" si="858"/>
        <v>1</v>
      </c>
      <c r="E2991" s="1409">
        <f t="shared" si="858"/>
        <v>1</v>
      </c>
      <c r="F2991" s="1410">
        <f t="shared" si="858"/>
        <v>18.575000000000003</v>
      </c>
      <c r="G2991" s="1410">
        <f t="shared" si="858"/>
        <v>0.23</v>
      </c>
      <c r="H2991" s="1411"/>
      <c r="I2991" s="1471">
        <f t="shared" si="855"/>
        <v>4.2722500000000005</v>
      </c>
      <c r="J2991" s="1397"/>
      <c r="K2991" s="1397"/>
      <c r="Q2991" s="1394">
        <f>IFERROR(VLOOKUP(M2991,#REF!,3,0),0)</f>
        <v>0</v>
      </c>
      <c r="R2991" s="1394">
        <f t="shared" si="859"/>
        <v>0</v>
      </c>
      <c r="S2991" s="1394">
        <f>IFERROR(VLOOKUP(M2991,#REF!,6,0),0)</f>
        <v>0</v>
      </c>
      <c r="T2991" s="1394">
        <f t="shared" si="844"/>
        <v>0</v>
      </c>
      <c r="U2991" s="1394">
        <f>IFERROR(VLOOKUP(M2991,#REF!,5,0),0)</f>
        <v>0</v>
      </c>
      <c r="V2991" s="1394">
        <f t="shared" si="845"/>
        <v>0</v>
      </c>
      <c r="W2991" s="1394"/>
    </row>
    <row r="2992" spans="2:23" ht="30" customHeight="1">
      <c r="B2992" s="1405">
        <f t="shared" si="857"/>
        <v>0</v>
      </c>
      <c r="C2992" s="1408" t="str">
        <f t="shared" si="856"/>
        <v>B5 to G5</v>
      </c>
      <c r="D2992" s="1409">
        <f t="shared" si="858"/>
        <v>1</v>
      </c>
      <c r="E2992" s="1409">
        <f t="shared" si="858"/>
        <v>1</v>
      </c>
      <c r="F2992" s="1410">
        <f t="shared" si="858"/>
        <v>10.35</v>
      </c>
      <c r="G2992" s="1410">
        <f t="shared" si="858"/>
        <v>0.23</v>
      </c>
      <c r="H2992" s="1411"/>
      <c r="I2992" s="1471">
        <f t="shared" si="855"/>
        <v>2.3805000000000001</v>
      </c>
      <c r="J2992" s="1397"/>
      <c r="K2992" s="1397"/>
      <c r="M2992" s="110"/>
      <c r="Q2992" s="1394">
        <f>IFERROR(VLOOKUP(M2992,#REF!,3,0),0)</f>
        <v>0</v>
      </c>
      <c r="R2992" s="1394">
        <f t="shared" si="859"/>
        <v>0</v>
      </c>
      <c r="S2992" s="1394">
        <f>IFERROR(VLOOKUP(M2992,#REF!,6,0),0)</f>
        <v>0</v>
      </c>
      <c r="T2992" s="1394">
        <f t="shared" si="844"/>
        <v>0</v>
      </c>
      <c r="U2992" s="1394">
        <f>IFERROR(VLOOKUP(M2992,#REF!,5,0),0)</f>
        <v>0</v>
      </c>
      <c r="V2992" s="1394">
        <f t="shared" si="845"/>
        <v>0</v>
      </c>
      <c r="W2992" s="1394"/>
    </row>
    <row r="2993" spans="2:23" ht="30" customHeight="1">
      <c r="B2993" s="1405">
        <f t="shared" si="857"/>
        <v>0</v>
      </c>
      <c r="C2993" s="1408" t="str">
        <f t="shared" si="856"/>
        <v>B3 to G3</v>
      </c>
      <c r="D2993" s="1409">
        <f t="shared" si="858"/>
        <v>1</v>
      </c>
      <c r="E2993" s="1409">
        <f t="shared" si="858"/>
        <v>1</v>
      </c>
      <c r="F2993" s="1410">
        <f t="shared" si="858"/>
        <v>10.35</v>
      </c>
      <c r="G2993" s="1410">
        <f t="shared" si="858"/>
        <v>0.23</v>
      </c>
      <c r="H2993" s="1411"/>
      <c r="I2993" s="1471">
        <f t="shared" si="855"/>
        <v>2.3805000000000001</v>
      </c>
      <c r="M2993" s="110"/>
      <c r="Q2993" s="1394">
        <f>IFERROR(VLOOKUP(M2993,#REF!,3,0),0)</f>
        <v>0</v>
      </c>
      <c r="R2993" s="1394">
        <f t="shared" si="859"/>
        <v>0</v>
      </c>
      <c r="S2993" s="1394">
        <f>IFERROR(VLOOKUP(M2993,#REF!,6,0),0)</f>
        <v>0</v>
      </c>
      <c r="T2993" s="1394">
        <f t="shared" si="844"/>
        <v>0</v>
      </c>
      <c r="U2993" s="1394">
        <f>IFERROR(VLOOKUP(M2993,#REF!,5,0),0)</f>
        <v>0</v>
      </c>
      <c r="V2993" s="1394">
        <f t="shared" si="845"/>
        <v>0</v>
      </c>
      <c r="W2993" s="1394"/>
    </row>
    <row r="2994" spans="2:23" ht="30" customHeight="1">
      <c r="B2994" s="1405">
        <f t="shared" si="857"/>
        <v>0</v>
      </c>
      <c r="C2994" s="1408" t="str">
        <f t="shared" si="856"/>
        <v>B7 to G7</v>
      </c>
      <c r="D2994" s="1409">
        <f t="shared" si="858"/>
        <v>1</v>
      </c>
      <c r="E2994" s="1409">
        <f t="shared" si="858"/>
        <v>1</v>
      </c>
      <c r="F2994" s="1410">
        <f t="shared" si="858"/>
        <v>10.35</v>
      </c>
      <c r="G2994" s="1410">
        <f t="shared" si="858"/>
        <v>0.23</v>
      </c>
      <c r="H2994" s="1411"/>
      <c r="I2994" s="1471">
        <f t="shared" si="855"/>
        <v>2.3805000000000001</v>
      </c>
      <c r="M2994" s="110"/>
      <c r="Q2994" s="1394">
        <f>IFERROR(VLOOKUP(M2994,#REF!,3,0),0)</f>
        <v>0</v>
      </c>
      <c r="R2994" s="1394">
        <f t="shared" si="859"/>
        <v>0</v>
      </c>
      <c r="S2994" s="1394">
        <f>IFERROR(VLOOKUP(M2994,#REF!,6,0),0)</f>
        <v>0</v>
      </c>
      <c r="T2994" s="1394">
        <f t="shared" si="844"/>
        <v>0</v>
      </c>
      <c r="U2994" s="1394">
        <f>IFERROR(VLOOKUP(M2994,#REF!,5,0),0)</f>
        <v>0</v>
      </c>
      <c r="V2994" s="1394">
        <f t="shared" si="845"/>
        <v>0</v>
      </c>
      <c r="W2994" s="1394"/>
    </row>
    <row r="2995" spans="2:23" ht="30" customHeight="1">
      <c r="B2995" s="1405">
        <f t="shared" si="857"/>
        <v>0</v>
      </c>
      <c r="C2995" s="1408" t="str">
        <f t="shared" si="856"/>
        <v>B4 to F4</v>
      </c>
      <c r="D2995" s="1409">
        <f t="shared" si="858"/>
        <v>1</v>
      </c>
      <c r="E2995" s="1409">
        <f t="shared" si="858"/>
        <v>1</v>
      </c>
      <c r="F2995" s="1410">
        <f t="shared" si="858"/>
        <v>6.8849999999999998</v>
      </c>
      <c r="G2995" s="1410">
        <f t="shared" si="858"/>
        <v>0.23</v>
      </c>
      <c r="H2995" s="1411"/>
      <c r="I2995" s="1471">
        <f t="shared" si="855"/>
        <v>1.58355</v>
      </c>
      <c r="M2995" s="110"/>
      <c r="Q2995" s="1394">
        <f>IFERROR(VLOOKUP(M2995,#REF!,3,0),0)</f>
        <v>0</v>
      </c>
      <c r="R2995" s="1394">
        <f t="shared" si="859"/>
        <v>0</v>
      </c>
      <c r="S2995" s="1394">
        <f>IFERROR(VLOOKUP(M2995,#REF!,6,0),0)</f>
        <v>0</v>
      </c>
      <c r="T2995" s="1394">
        <f t="shared" si="844"/>
        <v>0</v>
      </c>
      <c r="U2995" s="1394">
        <f>IFERROR(VLOOKUP(M2995,#REF!,5,0),0)</f>
        <v>0</v>
      </c>
      <c r="V2995" s="1394">
        <f t="shared" si="845"/>
        <v>0</v>
      </c>
      <c r="W2995" s="1394"/>
    </row>
    <row r="2996" spans="2:23" ht="30" customHeight="1">
      <c r="B2996" s="1405">
        <f t="shared" si="857"/>
        <v>0</v>
      </c>
      <c r="C2996" s="1408" t="str">
        <f t="shared" si="856"/>
        <v>OTS Cross Beam</v>
      </c>
      <c r="D2996" s="1409">
        <f t="shared" si="858"/>
        <v>1</v>
      </c>
      <c r="E2996" s="1409">
        <f t="shared" si="858"/>
        <v>1</v>
      </c>
      <c r="F2996" s="1410">
        <f t="shared" si="858"/>
        <v>4.2300000000000004</v>
      </c>
      <c r="G2996" s="1410">
        <f t="shared" si="858"/>
        <v>0.23</v>
      </c>
      <c r="H2996" s="1411"/>
      <c r="I2996" s="1471">
        <f t="shared" si="855"/>
        <v>0.9729000000000001</v>
      </c>
      <c r="J2996" s="1396"/>
      <c r="K2996" s="1396"/>
      <c r="M2996" s="110"/>
      <c r="Q2996" s="1394">
        <f>IFERROR(VLOOKUP(M2996,#REF!,3,0),0)</f>
        <v>0</v>
      </c>
      <c r="R2996" s="1394">
        <f t="shared" si="859"/>
        <v>0</v>
      </c>
      <c r="S2996" s="1394">
        <f>IFERROR(VLOOKUP(M2996,#REF!,6,0),0)</f>
        <v>0</v>
      </c>
      <c r="T2996" s="1394">
        <f t="shared" si="844"/>
        <v>0</v>
      </c>
      <c r="U2996" s="1394">
        <f>IFERROR(VLOOKUP(M2996,#REF!,5,0),0)</f>
        <v>0</v>
      </c>
      <c r="V2996" s="1394">
        <f t="shared" si="845"/>
        <v>0</v>
      </c>
      <c r="W2996" s="1394"/>
    </row>
    <row r="2997" spans="2:23" ht="30" customHeight="1">
      <c r="B2997" s="1405">
        <f t="shared" si="857"/>
        <v>0</v>
      </c>
      <c r="C2997" s="1408" t="str">
        <f t="shared" si="856"/>
        <v>OTS Cross Beam</v>
      </c>
      <c r="D2997" s="1409">
        <f t="shared" si="858"/>
        <v>1</v>
      </c>
      <c r="E2997" s="1409">
        <f t="shared" si="858"/>
        <v>1</v>
      </c>
      <c r="F2997" s="1410">
        <f t="shared" si="858"/>
        <v>3.9950000000000001</v>
      </c>
      <c r="G2997" s="1410">
        <f t="shared" si="858"/>
        <v>0.23</v>
      </c>
      <c r="H2997" s="1411"/>
      <c r="I2997" s="1471">
        <f t="shared" si="855"/>
        <v>0.91885000000000006</v>
      </c>
      <c r="M2997" s="110"/>
      <c r="Q2997" s="1394">
        <f>IFERROR(VLOOKUP(M2997,#REF!,3,0),0)</f>
        <v>0</v>
      </c>
      <c r="R2997" s="1394">
        <f t="shared" si="859"/>
        <v>0</v>
      </c>
      <c r="S2997" s="1394">
        <f>IFERROR(VLOOKUP(M2997,#REF!,6,0),0)</f>
        <v>0</v>
      </c>
      <c r="T2997" s="1394">
        <f t="shared" si="844"/>
        <v>0</v>
      </c>
      <c r="U2997" s="1394">
        <f>IFERROR(VLOOKUP(M2997,#REF!,5,0),0)</f>
        <v>0</v>
      </c>
      <c r="V2997" s="1394">
        <f t="shared" si="845"/>
        <v>0</v>
      </c>
      <c r="W2997" s="1394"/>
    </row>
    <row r="2998" spans="2:23" ht="30" customHeight="1">
      <c r="B2998" s="1405">
        <f t="shared" si="857"/>
        <v>0</v>
      </c>
      <c r="C2998" s="1408" t="str">
        <f t="shared" si="856"/>
        <v>G3 to H3 , G5 to H5 , G6 to H6 &amp; G7 to H7</v>
      </c>
      <c r="D2998" s="1409">
        <f t="shared" si="858"/>
        <v>1</v>
      </c>
      <c r="E2998" s="1409">
        <f t="shared" si="858"/>
        <v>4</v>
      </c>
      <c r="F2998" s="1410">
        <f t="shared" si="858"/>
        <v>3.9950000000000001</v>
      </c>
      <c r="G2998" s="1410">
        <f t="shared" si="858"/>
        <v>0.23</v>
      </c>
      <c r="H2998" s="1411"/>
      <c r="I2998" s="1471">
        <f t="shared" si="855"/>
        <v>3.6754000000000002</v>
      </c>
      <c r="M2998" s="110"/>
      <c r="Q2998" s="1394">
        <f>IFERROR(VLOOKUP(M2998,#REF!,3,0),0)</f>
        <v>0</v>
      </c>
      <c r="R2998" s="1394">
        <f t="shared" si="859"/>
        <v>0</v>
      </c>
      <c r="S2998" s="1394">
        <f>IFERROR(VLOOKUP(M2998,#REF!,6,0),0)</f>
        <v>0</v>
      </c>
      <c r="T2998" s="1394">
        <f t="shared" si="844"/>
        <v>0</v>
      </c>
      <c r="U2998" s="1394">
        <f>IFERROR(VLOOKUP(M2998,#REF!,5,0),0)</f>
        <v>0</v>
      </c>
      <c r="V2998" s="1394">
        <f t="shared" si="845"/>
        <v>0</v>
      </c>
      <c r="W2998" s="1394"/>
    </row>
    <row r="2999" spans="2:23" ht="30" customHeight="1">
      <c r="B2999" s="1405">
        <f t="shared" si="857"/>
        <v>0</v>
      </c>
      <c r="C2999" s="1408" t="str">
        <f t="shared" si="856"/>
        <v>Cross beams</v>
      </c>
      <c r="D2999" s="1409">
        <f t="shared" si="858"/>
        <v>1</v>
      </c>
      <c r="E2999" s="1409">
        <f t="shared" si="858"/>
        <v>1</v>
      </c>
      <c r="F2999" s="1410">
        <f t="shared" si="858"/>
        <v>1.7350000000000001</v>
      </c>
      <c r="G2999" s="1410">
        <f t="shared" si="858"/>
        <v>0.23</v>
      </c>
      <c r="H2999" s="1411"/>
      <c r="I2999" s="1471">
        <f t="shared" si="855"/>
        <v>0.39905000000000002</v>
      </c>
      <c r="M2999" s="110"/>
      <c r="Q2999" s="1394">
        <f>IFERROR(VLOOKUP(M2999,#REF!,3,0),0)</f>
        <v>0</v>
      </c>
      <c r="R2999" s="1394">
        <f t="shared" si="859"/>
        <v>0</v>
      </c>
      <c r="S2999" s="1394">
        <f>IFERROR(VLOOKUP(M2999,#REF!,6,0),0)</f>
        <v>0</v>
      </c>
      <c r="T2999" s="1394">
        <f t="shared" si="844"/>
        <v>0</v>
      </c>
      <c r="U2999" s="1394">
        <f>IFERROR(VLOOKUP(M2999,#REF!,5,0),0)</f>
        <v>0</v>
      </c>
      <c r="V2999" s="1394">
        <f t="shared" si="845"/>
        <v>0</v>
      </c>
      <c r="W2999" s="1394"/>
    </row>
    <row r="3000" spans="2:23" ht="30" customHeight="1">
      <c r="B3000" s="1405">
        <f t="shared" si="857"/>
        <v>0</v>
      </c>
      <c r="C3000" s="1408" t="str">
        <f t="shared" si="856"/>
        <v>Cross beams</v>
      </c>
      <c r="D3000" s="1409">
        <f t="shared" si="858"/>
        <v>1</v>
      </c>
      <c r="E3000" s="1409">
        <f t="shared" si="858"/>
        <v>1</v>
      </c>
      <c r="F3000" s="1410">
        <f t="shared" si="858"/>
        <v>3.7650000000000001</v>
      </c>
      <c r="G3000" s="1410">
        <f t="shared" si="858"/>
        <v>0.23</v>
      </c>
      <c r="H3000" s="1411"/>
      <c r="I3000" s="1471">
        <f t="shared" si="855"/>
        <v>0.86595000000000011</v>
      </c>
      <c r="M3000" s="110"/>
      <c r="Q3000" s="1394">
        <f>IFERROR(VLOOKUP(M3000,#REF!,3,0),0)</f>
        <v>0</v>
      </c>
      <c r="R3000" s="1394">
        <f t="shared" si="859"/>
        <v>0</v>
      </c>
      <c r="S3000" s="1394">
        <f>IFERROR(VLOOKUP(M3000,#REF!,6,0),0)</f>
        <v>0</v>
      </c>
      <c r="T3000" s="1394">
        <f t="shared" si="844"/>
        <v>0</v>
      </c>
      <c r="U3000" s="1394">
        <f>IFERROR(VLOOKUP(M3000,#REF!,5,0),0)</f>
        <v>0</v>
      </c>
      <c r="V3000" s="1394">
        <f t="shared" si="845"/>
        <v>0</v>
      </c>
      <c r="W3000" s="1394"/>
    </row>
    <row r="3001" spans="2:23" ht="30" customHeight="1">
      <c r="B3001" s="1405">
        <f t="shared" si="857"/>
        <v>0</v>
      </c>
      <c r="C3001" s="1408" t="str">
        <f t="shared" si="856"/>
        <v>Vertical beam</v>
      </c>
      <c r="D3001" s="1409">
        <f t="shared" si="858"/>
        <v>0</v>
      </c>
      <c r="E3001" s="1409">
        <f t="shared" si="858"/>
        <v>0</v>
      </c>
      <c r="F3001" s="1410">
        <f t="shared" si="858"/>
        <v>0</v>
      </c>
      <c r="G3001" s="1410">
        <f t="shared" si="858"/>
        <v>0</v>
      </c>
      <c r="H3001" s="1411"/>
      <c r="I3001" s="1471">
        <f t="shared" si="855"/>
        <v>0</v>
      </c>
      <c r="M3001" s="110"/>
      <c r="Q3001" s="1394">
        <f>IFERROR(VLOOKUP(M3001,#REF!,3,0),0)</f>
        <v>0</v>
      </c>
      <c r="R3001" s="1394">
        <f t="shared" si="859"/>
        <v>0</v>
      </c>
      <c r="S3001" s="1394">
        <f>IFERROR(VLOOKUP(M3001,#REF!,6,0),0)</f>
        <v>0</v>
      </c>
      <c r="T3001" s="1394">
        <f t="shared" si="844"/>
        <v>0</v>
      </c>
      <c r="U3001" s="1394">
        <f>IFERROR(VLOOKUP(M3001,#REF!,5,0),0)</f>
        <v>0</v>
      </c>
      <c r="V3001" s="1394">
        <f t="shared" si="845"/>
        <v>0</v>
      </c>
      <c r="W3001" s="1394"/>
    </row>
    <row r="3002" spans="2:23" ht="30" customHeight="1">
      <c r="B3002" s="1405">
        <f t="shared" si="857"/>
        <v>0</v>
      </c>
      <c r="C3002" s="1408" t="str">
        <f t="shared" si="856"/>
        <v>A3 To A5</v>
      </c>
      <c r="D3002" s="1409">
        <f t="shared" si="858"/>
        <v>1</v>
      </c>
      <c r="E3002" s="1409">
        <f t="shared" si="858"/>
        <v>1</v>
      </c>
      <c r="F3002" s="1410">
        <f t="shared" si="858"/>
        <v>5.5299999999999994</v>
      </c>
      <c r="G3002" s="1410">
        <f t="shared" si="858"/>
        <v>0.23</v>
      </c>
      <c r="H3002" s="1411"/>
      <c r="I3002" s="1471">
        <f t="shared" si="855"/>
        <v>1.2718999999999998</v>
      </c>
      <c r="M3002" s="110"/>
      <c r="Q3002" s="1394">
        <f>IFERROR(VLOOKUP(M3002,#REF!,3,0),0)</f>
        <v>0</v>
      </c>
      <c r="R3002" s="1394">
        <f t="shared" si="859"/>
        <v>0</v>
      </c>
      <c r="S3002" s="1394">
        <f>IFERROR(VLOOKUP(M3002,#REF!,6,0),0)</f>
        <v>0</v>
      </c>
      <c r="T3002" s="1394">
        <f t="shared" si="844"/>
        <v>0</v>
      </c>
      <c r="U3002" s="1394">
        <f>IFERROR(VLOOKUP(M3002,#REF!,5,0),0)</f>
        <v>0</v>
      </c>
      <c r="V3002" s="1394">
        <f t="shared" si="845"/>
        <v>0</v>
      </c>
      <c r="W3002" s="1394"/>
    </row>
    <row r="3003" spans="2:23" ht="30" customHeight="1">
      <c r="B3003" s="1405">
        <f t="shared" si="857"/>
        <v>0</v>
      </c>
      <c r="C3003" s="1408" t="str">
        <f t="shared" si="856"/>
        <v>A5 To A8</v>
      </c>
      <c r="D3003" s="1409">
        <f t="shared" si="858"/>
        <v>1</v>
      </c>
      <c r="E3003" s="1409">
        <f t="shared" si="858"/>
        <v>1</v>
      </c>
      <c r="F3003" s="1410">
        <f t="shared" si="858"/>
        <v>10.120000000000001</v>
      </c>
      <c r="G3003" s="1410">
        <f t="shared" si="858"/>
        <v>0.23</v>
      </c>
      <c r="H3003" s="1411"/>
      <c r="I3003" s="1471">
        <f t="shared" si="855"/>
        <v>2.3276000000000003</v>
      </c>
      <c r="M3003" s="110"/>
      <c r="Q3003" s="1394">
        <f>IFERROR(VLOOKUP(M3003,#REF!,3,0),0)</f>
        <v>0</v>
      </c>
      <c r="R3003" s="1394">
        <f t="shared" si="859"/>
        <v>0</v>
      </c>
      <c r="S3003" s="1394">
        <f>IFERROR(VLOOKUP(M3003,#REF!,6,0),0)</f>
        <v>0</v>
      </c>
      <c r="T3003" s="1394">
        <f t="shared" si="844"/>
        <v>0</v>
      </c>
      <c r="U3003" s="1394">
        <f>IFERROR(VLOOKUP(M3003,#REF!,5,0),0)</f>
        <v>0</v>
      </c>
      <c r="V3003" s="1394">
        <f t="shared" si="845"/>
        <v>0</v>
      </c>
      <c r="W3003" s="1394"/>
    </row>
    <row r="3004" spans="2:23" ht="30" customHeight="1">
      <c r="B3004" s="1405">
        <f t="shared" si="857"/>
        <v>0</v>
      </c>
      <c r="C3004" s="1408" t="str">
        <f t="shared" si="856"/>
        <v>B3 To B8</v>
      </c>
      <c r="D3004" s="1409">
        <f t="shared" si="858"/>
        <v>1</v>
      </c>
      <c r="E3004" s="1409">
        <f t="shared" si="858"/>
        <v>1</v>
      </c>
      <c r="F3004" s="1410">
        <f t="shared" si="858"/>
        <v>15.649999999999999</v>
      </c>
      <c r="G3004" s="1410">
        <f t="shared" si="858"/>
        <v>0.23</v>
      </c>
      <c r="H3004" s="1411"/>
      <c r="I3004" s="1471">
        <f t="shared" si="855"/>
        <v>3.5994999999999999</v>
      </c>
      <c r="M3004" s="110"/>
      <c r="Q3004" s="1394">
        <f>IFERROR(VLOOKUP(M3004,#REF!,3,0),0)</f>
        <v>0</v>
      </c>
      <c r="R3004" s="1394">
        <f t="shared" si="859"/>
        <v>0</v>
      </c>
      <c r="S3004" s="1394">
        <f>IFERROR(VLOOKUP(M3004,#REF!,6,0),0)</f>
        <v>0</v>
      </c>
      <c r="T3004" s="1394">
        <f t="shared" si="844"/>
        <v>0</v>
      </c>
      <c r="U3004" s="1394">
        <f>IFERROR(VLOOKUP(M3004,#REF!,5,0),0)</f>
        <v>0</v>
      </c>
      <c r="V3004" s="1394">
        <f t="shared" si="845"/>
        <v>0</v>
      </c>
      <c r="W3004" s="1394"/>
    </row>
    <row r="3005" spans="2:23" ht="30" customHeight="1">
      <c r="B3005" s="1405">
        <f t="shared" si="857"/>
        <v>0</v>
      </c>
      <c r="C3005" s="1408" t="str">
        <f t="shared" si="856"/>
        <v>Cross beams</v>
      </c>
      <c r="D3005" s="1409">
        <f t="shared" si="858"/>
        <v>1</v>
      </c>
      <c r="E3005" s="1409">
        <f t="shared" si="858"/>
        <v>1</v>
      </c>
      <c r="F3005" s="1410">
        <f t="shared" si="858"/>
        <v>4.13</v>
      </c>
      <c r="G3005" s="1410">
        <f t="shared" si="858"/>
        <v>0.23</v>
      </c>
      <c r="H3005" s="1411"/>
      <c r="I3005" s="1471">
        <f t="shared" si="855"/>
        <v>0.94989999999999997</v>
      </c>
      <c r="M3005" s="110"/>
      <c r="Q3005" s="1394">
        <f>IFERROR(VLOOKUP(M3005,#REF!,3,0),0)</f>
        <v>0</v>
      </c>
      <c r="R3005" s="1394">
        <f t="shared" si="859"/>
        <v>0</v>
      </c>
      <c r="S3005" s="1394">
        <f>IFERROR(VLOOKUP(M3005,#REF!,6,0),0)</f>
        <v>0</v>
      </c>
      <c r="T3005" s="1394">
        <f t="shared" si="844"/>
        <v>0</v>
      </c>
      <c r="U3005" s="1394">
        <f>IFERROR(VLOOKUP(M3005,#REF!,5,0),0)</f>
        <v>0</v>
      </c>
      <c r="V3005" s="1394">
        <f t="shared" si="845"/>
        <v>0</v>
      </c>
      <c r="W3005" s="1394"/>
    </row>
    <row r="3006" spans="2:23" ht="30" customHeight="1">
      <c r="B3006" s="1405">
        <f t="shared" si="857"/>
        <v>0</v>
      </c>
      <c r="C3006" s="1408" t="str">
        <f t="shared" si="856"/>
        <v>Cross beams</v>
      </c>
      <c r="D3006" s="1409">
        <f t="shared" si="858"/>
        <v>1</v>
      </c>
      <c r="E3006" s="1409">
        <f t="shared" si="858"/>
        <v>1</v>
      </c>
      <c r="F3006" s="1410">
        <f t="shared" si="858"/>
        <v>4.13</v>
      </c>
      <c r="G3006" s="1410">
        <f t="shared" si="858"/>
        <v>0.23</v>
      </c>
      <c r="H3006" s="1411"/>
      <c r="I3006" s="1471">
        <f t="shared" si="855"/>
        <v>0.94989999999999997</v>
      </c>
      <c r="M3006" s="110"/>
      <c r="Q3006" s="1394">
        <f>IFERROR(VLOOKUP(M3006,#REF!,3,0),0)</f>
        <v>0</v>
      </c>
      <c r="R3006" s="1394">
        <f t="shared" si="859"/>
        <v>0</v>
      </c>
      <c r="S3006" s="1394">
        <f>IFERROR(VLOOKUP(M3006,#REF!,6,0),0)</f>
        <v>0</v>
      </c>
      <c r="T3006" s="1394">
        <f t="shared" si="844"/>
        <v>0</v>
      </c>
      <c r="U3006" s="1394">
        <f>IFERROR(VLOOKUP(M3006,#REF!,5,0),0)</f>
        <v>0</v>
      </c>
      <c r="V3006" s="1394">
        <f t="shared" si="845"/>
        <v>0</v>
      </c>
      <c r="W3006" s="1394"/>
    </row>
    <row r="3007" spans="2:23" ht="30" customHeight="1">
      <c r="B3007" s="1405">
        <f t="shared" si="857"/>
        <v>0</v>
      </c>
      <c r="C3007" s="1408" t="str">
        <f t="shared" si="856"/>
        <v>C4 to C5</v>
      </c>
      <c r="D3007" s="1409">
        <f t="shared" si="858"/>
        <v>1</v>
      </c>
      <c r="E3007" s="1409">
        <f t="shared" si="858"/>
        <v>1</v>
      </c>
      <c r="F3007" s="1410">
        <f t="shared" si="858"/>
        <v>2.5299999999999998</v>
      </c>
      <c r="G3007" s="1410">
        <f t="shared" si="858"/>
        <v>0.23</v>
      </c>
      <c r="H3007" s="1411"/>
      <c r="I3007" s="1471">
        <f t="shared" si="855"/>
        <v>0.58189999999999997</v>
      </c>
      <c r="M3007" s="110"/>
      <c r="Q3007" s="1394">
        <f>IFERROR(VLOOKUP(M3007,#REF!,3,0),0)</f>
        <v>0</v>
      </c>
      <c r="R3007" s="1394">
        <f t="shared" si="859"/>
        <v>0</v>
      </c>
      <c r="S3007" s="1394">
        <f>IFERROR(VLOOKUP(M3007,#REF!,6,0),0)</f>
        <v>0</v>
      </c>
      <c r="T3007" s="1394">
        <f t="shared" si="844"/>
        <v>0</v>
      </c>
      <c r="U3007" s="1394">
        <f>IFERROR(VLOOKUP(M3007,#REF!,5,0),0)</f>
        <v>0</v>
      </c>
      <c r="V3007" s="1394">
        <f t="shared" si="845"/>
        <v>0</v>
      </c>
      <c r="W3007" s="1394"/>
    </row>
    <row r="3008" spans="2:23" ht="30" customHeight="1">
      <c r="B3008" s="1405">
        <f t="shared" si="857"/>
        <v>0</v>
      </c>
      <c r="C3008" s="1408" t="str">
        <f t="shared" si="856"/>
        <v xml:space="preserve">C5 to C7 &amp; F5 to F7 </v>
      </c>
      <c r="D3008" s="1409">
        <f t="shared" si="858"/>
        <v>1</v>
      </c>
      <c r="E3008" s="1409">
        <f t="shared" si="858"/>
        <v>2</v>
      </c>
      <c r="F3008" s="1410">
        <f t="shared" si="858"/>
        <v>5.99</v>
      </c>
      <c r="G3008" s="1410">
        <f t="shared" si="858"/>
        <v>0.23</v>
      </c>
      <c r="H3008" s="1411"/>
      <c r="I3008" s="1471">
        <f t="shared" si="855"/>
        <v>2.7554000000000003</v>
      </c>
      <c r="Q3008" s="1394">
        <f>IFERROR(VLOOKUP(M3008,#REF!,3,0),0)</f>
        <v>0</v>
      </c>
      <c r="R3008" s="1394">
        <f t="shared" si="859"/>
        <v>0</v>
      </c>
      <c r="S3008" s="1394">
        <f>IFERROR(VLOOKUP(M3008,#REF!,6,0),0)</f>
        <v>0</v>
      </c>
      <c r="T3008" s="1394">
        <f t="shared" si="844"/>
        <v>0</v>
      </c>
      <c r="U3008" s="1394">
        <f>IFERROR(VLOOKUP(M3008,#REF!,5,0),0)</f>
        <v>0</v>
      </c>
      <c r="V3008" s="1394">
        <f t="shared" si="845"/>
        <v>0</v>
      </c>
      <c r="W3008" s="1394"/>
    </row>
    <row r="3009" spans="2:23" ht="30" customHeight="1">
      <c r="B3009" s="1405">
        <f t="shared" si="857"/>
        <v>0</v>
      </c>
      <c r="C3009" s="1408" t="str">
        <f t="shared" si="856"/>
        <v>F3 to F5</v>
      </c>
      <c r="D3009" s="1409">
        <f t="shared" si="858"/>
        <v>1</v>
      </c>
      <c r="E3009" s="1409">
        <f t="shared" si="858"/>
        <v>1</v>
      </c>
      <c r="F3009" s="1410">
        <f t="shared" si="858"/>
        <v>5.5299999999999994</v>
      </c>
      <c r="G3009" s="1410">
        <f t="shared" si="858"/>
        <v>0.23</v>
      </c>
      <c r="H3009" s="1411"/>
      <c r="I3009" s="1471">
        <f t="shared" si="855"/>
        <v>1.2718999999999998</v>
      </c>
      <c r="Q3009" s="1394">
        <f>IFERROR(VLOOKUP(M3009,#REF!,3,0),0)</f>
        <v>0</v>
      </c>
      <c r="R3009" s="1394">
        <f t="shared" si="859"/>
        <v>0</v>
      </c>
      <c r="S3009" s="1394">
        <f>IFERROR(VLOOKUP(M3009,#REF!,6,0),0)</f>
        <v>0</v>
      </c>
      <c r="T3009" s="1394">
        <f t="shared" si="844"/>
        <v>0</v>
      </c>
      <c r="U3009" s="1394">
        <f>IFERROR(VLOOKUP(M3009,#REF!,5,0),0)</f>
        <v>0</v>
      </c>
      <c r="V3009" s="1394">
        <f t="shared" si="845"/>
        <v>0</v>
      </c>
      <c r="W3009" s="1394"/>
    </row>
    <row r="3010" spans="2:23" ht="30" customHeight="1">
      <c r="B3010" s="1405">
        <f t="shared" si="857"/>
        <v>0</v>
      </c>
      <c r="C3010" s="1408" t="str">
        <f t="shared" si="856"/>
        <v>E7 to E8</v>
      </c>
      <c r="D3010" s="1409">
        <f t="shared" si="858"/>
        <v>1</v>
      </c>
      <c r="E3010" s="1409">
        <f t="shared" si="858"/>
        <v>1</v>
      </c>
      <c r="F3010" s="1410">
        <f t="shared" si="858"/>
        <v>4.13</v>
      </c>
      <c r="G3010" s="1410">
        <f t="shared" si="858"/>
        <v>0.23</v>
      </c>
      <c r="H3010" s="1411"/>
      <c r="I3010" s="1471">
        <f t="shared" si="855"/>
        <v>0.94989999999999997</v>
      </c>
      <c r="Q3010" s="1394">
        <f>IFERROR(VLOOKUP(M3010,#REF!,3,0),0)</f>
        <v>0</v>
      </c>
      <c r="R3010" s="1394">
        <f t="shared" si="859"/>
        <v>0</v>
      </c>
      <c r="S3010" s="1394">
        <f>IFERROR(VLOOKUP(M3010,#REF!,6,0),0)</f>
        <v>0</v>
      </c>
      <c r="T3010" s="1394">
        <f t="shared" si="844"/>
        <v>0</v>
      </c>
      <c r="U3010" s="1394">
        <f>IFERROR(VLOOKUP(M3010,#REF!,5,0),0)</f>
        <v>0</v>
      </c>
      <c r="V3010" s="1394">
        <f t="shared" si="845"/>
        <v>0</v>
      </c>
      <c r="W3010" s="1394"/>
    </row>
    <row r="3011" spans="2:23" ht="30" customHeight="1">
      <c r="B3011" s="1405">
        <f t="shared" si="857"/>
        <v>0</v>
      </c>
      <c r="C3011" s="1408" t="str">
        <f t="shared" si="856"/>
        <v>G3 to G7</v>
      </c>
      <c r="D3011" s="1409">
        <f t="shared" si="858"/>
        <v>1</v>
      </c>
      <c r="E3011" s="1409">
        <f t="shared" si="858"/>
        <v>1</v>
      </c>
      <c r="F3011" s="1410">
        <f t="shared" si="858"/>
        <v>11.52</v>
      </c>
      <c r="G3011" s="1410">
        <f t="shared" si="858"/>
        <v>0.23</v>
      </c>
      <c r="H3011" s="1411"/>
      <c r="I3011" s="1471">
        <f t="shared" si="855"/>
        <v>2.6496</v>
      </c>
      <c r="L3011" s="1413"/>
      <c r="O3011" s="1395"/>
      <c r="Q3011" s="1394">
        <f>IFERROR(VLOOKUP(M3011,#REF!,3,0),0)</f>
        <v>0</v>
      </c>
      <c r="R3011" s="1394">
        <f t="shared" si="859"/>
        <v>0</v>
      </c>
      <c r="S3011" s="1394">
        <f>IFERROR(VLOOKUP(M3011,#REF!,6,0),0)</f>
        <v>0</v>
      </c>
      <c r="T3011" s="1394">
        <f t="shared" si="844"/>
        <v>0</v>
      </c>
      <c r="U3011" s="1394">
        <f>IFERROR(VLOOKUP(M3011,#REF!,5,0),0)</f>
        <v>0</v>
      </c>
      <c r="V3011" s="1394">
        <f t="shared" si="845"/>
        <v>0</v>
      </c>
      <c r="W3011" s="1394"/>
    </row>
    <row r="3012" spans="2:23" ht="30" customHeight="1">
      <c r="B3012" s="1405">
        <f t="shared" si="857"/>
        <v>0</v>
      </c>
      <c r="C3012" s="1408" t="str">
        <f t="shared" si="856"/>
        <v>G7 to G8</v>
      </c>
      <c r="D3012" s="1409">
        <f t="shared" si="858"/>
        <v>1</v>
      </c>
      <c r="E3012" s="1409">
        <f t="shared" si="858"/>
        <v>1</v>
      </c>
      <c r="F3012" s="1410">
        <f t="shared" si="858"/>
        <v>4.13</v>
      </c>
      <c r="G3012" s="1410">
        <f t="shared" si="858"/>
        <v>0.23</v>
      </c>
      <c r="H3012" s="1411"/>
      <c r="I3012" s="1471">
        <f t="shared" si="855"/>
        <v>0.94989999999999997</v>
      </c>
      <c r="L3012" s="1413"/>
      <c r="O3012" s="1395"/>
      <c r="Q3012" s="1394">
        <f>IFERROR(VLOOKUP(M3012,#REF!,3,0),0)</f>
        <v>0</v>
      </c>
      <c r="R3012" s="1394">
        <f t="shared" si="859"/>
        <v>0</v>
      </c>
      <c r="S3012" s="1394">
        <f>IFERROR(VLOOKUP(M3012,#REF!,6,0),0)</f>
        <v>0</v>
      </c>
      <c r="T3012" s="1394">
        <f t="shared" si="844"/>
        <v>0</v>
      </c>
      <c r="U3012" s="1394">
        <f>IFERROR(VLOOKUP(M3012,#REF!,5,0),0)</f>
        <v>0</v>
      </c>
      <c r="V3012" s="1394">
        <f t="shared" si="845"/>
        <v>0</v>
      </c>
      <c r="W3012" s="1394"/>
    </row>
    <row r="3013" spans="2:23" ht="30" customHeight="1">
      <c r="B3013" s="1405">
        <f t="shared" si="857"/>
        <v>0</v>
      </c>
      <c r="C3013" s="1408" t="str">
        <f t="shared" si="856"/>
        <v>H3 To H8</v>
      </c>
      <c r="D3013" s="1409">
        <f t="shared" si="858"/>
        <v>1</v>
      </c>
      <c r="E3013" s="1409">
        <f t="shared" si="858"/>
        <v>1</v>
      </c>
      <c r="F3013" s="1410">
        <f t="shared" si="858"/>
        <v>15.649999999999999</v>
      </c>
      <c r="G3013" s="1410">
        <f t="shared" si="858"/>
        <v>0.23</v>
      </c>
      <c r="H3013" s="1411"/>
      <c r="I3013" s="1471">
        <f t="shared" si="855"/>
        <v>3.5994999999999999</v>
      </c>
      <c r="L3013" s="1413"/>
      <c r="O3013" s="1395"/>
      <c r="Q3013" s="1394">
        <f>IFERROR(VLOOKUP(M3013,#REF!,3,0),0)</f>
        <v>0</v>
      </c>
      <c r="R3013" s="1394">
        <f t="shared" si="859"/>
        <v>0</v>
      </c>
      <c r="S3013" s="1394">
        <f>IFERROR(VLOOKUP(M3013,#REF!,6,0),0)</f>
        <v>0</v>
      </c>
      <c r="T3013" s="1394">
        <f t="shared" si="844"/>
        <v>0</v>
      </c>
      <c r="U3013" s="1394">
        <f>IFERROR(VLOOKUP(M3013,#REF!,5,0),0)</f>
        <v>0</v>
      </c>
      <c r="V3013" s="1394">
        <f t="shared" si="845"/>
        <v>0</v>
      </c>
      <c r="W3013" s="1394"/>
    </row>
    <row r="3014" spans="2:23" ht="30" customHeight="1">
      <c r="B3014" s="1405">
        <f>B1054</f>
        <v>0</v>
      </c>
      <c r="C3014" s="1408" t="str">
        <f t="shared" si="856"/>
        <v>Cross beams</v>
      </c>
      <c r="D3014" s="1409">
        <f t="shared" si="858"/>
        <v>1</v>
      </c>
      <c r="E3014" s="1409">
        <f t="shared" si="858"/>
        <v>1</v>
      </c>
      <c r="F3014" s="1410">
        <f t="shared" si="858"/>
        <v>2.77</v>
      </c>
      <c r="G3014" s="1410">
        <f t="shared" si="858"/>
        <v>0.23</v>
      </c>
      <c r="H3014" s="1411"/>
      <c r="I3014" s="1471">
        <f t="shared" si="855"/>
        <v>0.6371</v>
      </c>
      <c r="L3014" s="1413"/>
      <c r="O3014" s="1395"/>
      <c r="Q3014" s="1394">
        <f>IFERROR(VLOOKUP(M3014,#REF!,3,0),0)</f>
        <v>0</v>
      </c>
      <c r="R3014" s="1394">
        <f t="shared" si="859"/>
        <v>0</v>
      </c>
      <c r="S3014" s="1394">
        <f>IFERROR(VLOOKUP(M3014,#REF!,6,0),0)</f>
        <v>0</v>
      </c>
      <c r="T3014" s="1394">
        <f t="shared" si="844"/>
        <v>0</v>
      </c>
      <c r="U3014" s="1394">
        <f>IFERROR(VLOOKUP(M3014,#REF!,5,0),0)</f>
        <v>0</v>
      </c>
      <c r="V3014" s="1394">
        <f t="shared" si="845"/>
        <v>0</v>
      </c>
      <c r="W3014" s="1394"/>
    </row>
    <row r="3015" spans="2:23" ht="30" customHeight="1">
      <c r="B3015" s="1405">
        <f t="shared" ref="B3015:H3017" si="860">B1026</f>
        <v>0</v>
      </c>
      <c r="C3015" s="1408">
        <f t="shared" si="860"/>
        <v>0</v>
      </c>
      <c r="D3015" s="1409">
        <f t="shared" si="860"/>
        <v>0</v>
      </c>
      <c r="E3015" s="1409">
        <f t="shared" si="860"/>
        <v>0</v>
      </c>
      <c r="F3015" s="1410">
        <f t="shared" si="860"/>
        <v>0</v>
      </c>
      <c r="G3015" s="1410">
        <f t="shared" si="860"/>
        <v>0</v>
      </c>
      <c r="H3015" s="1411">
        <f t="shared" si="860"/>
        <v>0</v>
      </c>
      <c r="I3015" s="1471">
        <f t="shared" si="849"/>
        <v>0</v>
      </c>
      <c r="Q3015" s="1394">
        <f>IFERROR(VLOOKUP(M3015,#REF!,3,0),0)</f>
        <v>0</v>
      </c>
      <c r="R3015" s="1394">
        <f t="shared" si="859"/>
        <v>0</v>
      </c>
      <c r="S3015" s="1394">
        <f>IFERROR(VLOOKUP(M3015,#REF!,6,0),0)</f>
        <v>0</v>
      </c>
      <c r="T3015" s="1394">
        <f t="shared" si="844"/>
        <v>0</v>
      </c>
      <c r="U3015" s="1394">
        <f>IFERROR(VLOOKUP(M3015,#REF!,5,0),0)</f>
        <v>0</v>
      </c>
      <c r="V3015" s="1394">
        <f t="shared" si="845"/>
        <v>0</v>
      </c>
      <c r="W3015" s="1394"/>
    </row>
    <row r="3016" spans="2:23" ht="30" customHeight="1">
      <c r="B3016" s="1405">
        <f t="shared" si="860"/>
        <v>0</v>
      </c>
      <c r="C3016" s="1408">
        <f t="shared" si="860"/>
        <v>0</v>
      </c>
      <c r="D3016" s="1409">
        <f t="shared" si="860"/>
        <v>0</v>
      </c>
      <c r="E3016" s="1409">
        <f t="shared" si="860"/>
        <v>0</v>
      </c>
      <c r="F3016" s="1410">
        <f t="shared" si="860"/>
        <v>0</v>
      </c>
      <c r="G3016" s="1410">
        <f t="shared" si="860"/>
        <v>0</v>
      </c>
      <c r="H3016" s="1411">
        <f t="shared" si="860"/>
        <v>0</v>
      </c>
      <c r="I3016" s="1471">
        <f t="shared" si="849"/>
        <v>0</v>
      </c>
      <c r="Q3016" s="1394">
        <f>IFERROR(VLOOKUP(M3016,#REF!,3,0),0)</f>
        <v>0</v>
      </c>
      <c r="R3016" s="1394">
        <f t="shared" si="859"/>
        <v>0</v>
      </c>
      <c r="S3016" s="1394">
        <f>IFERROR(VLOOKUP(M3016,#REF!,6,0),0)</f>
        <v>0</v>
      </c>
      <c r="T3016" s="1394">
        <f t="shared" si="844"/>
        <v>0</v>
      </c>
      <c r="U3016" s="1394">
        <f>IFERROR(VLOOKUP(M3016,#REF!,5,0),0)</f>
        <v>0</v>
      </c>
      <c r="V3016" s="1394">
        <f t="shared" si="845"/>
        <v>0</v>
      </c>
      <c r="W3016" s="1394"/>
    </row>
    <row r="3017" spans="2:23" ht="30" customHeight="1">
      <c r="B3017" s="1405">
        <f t="shared" si="860"/>
        <v>0</v>
      </c>
      <c r="C3017" s="1415" t="str">
        <f t="shared" si="860"/>
        <v>Roof Slab</v>
      </c>
      <c r="D3017" s="1409">
        <f t="shared" si="860"/>
        <v>0</v>
      </c>
      <c r="E3017" s="1409">
        <f t="shared" si="860"/>
        <v>0</v>
      </c>
      <c r="F3017" s="1410">
        <f t="shared" si="860"/>
        <v>0</v>
      </c>
      <c r="G3017" s="1410">
        <f t="shared" si="860"/>
        <v>0</v>
      </c>
      <c r="H3017" s="1411">
        <f t="shared" si="860"/>
        <v>0</v>
      </c>
      <c r="I3017" s="1471">
        <f t="shared" si="849"/>
        <v>0</v>
      </c>
      <c r="Q3017" s="1394">
        <f>IFERROR(VLOOKUP(M3017,#REF!,3,0),0)</f>
        <v>0</v>
      </c>
      <c r="R3017" s="1394">
        <f t="shared" si="859"/>
        <v>0</v>
      </c>
      <c r="S3017" s="1394">
        <f>IFERROR(VLOOKUP(M3017,#REF!,6,0),0)</f>
        <v>0</v>
      </c>
      <c r="T3017" s="1394">
        <f t="shared" si="844"/>
        <v>0</v>
      </c>
      <c r="U3017" s="1394">
        <f>IFERROR(VLOOKUP(M3017,#REF!,5,0),0)</f>
        <v>0</v>
      </c>
      <c r="V3017" s="1394">
        <f t="shared" si="845"/>
        <v>0</v>
      </c>
      <c r="W3017" s="1394"/>
    </row>
    <row r="3018" spans="2:23" ht="30" customHeight="1">
      <c r="B3018" s="1405">
        <f t="shared" ref="B3018:G3027" si="861">B1029</f>
        <v>0</v>
      </c>
      <c r="C3018" s="1482" t="str">
        <f t="shared" si="861"/>
        <v>Women Rest Room</v>
      </c>
      <c r="D3018" s="1409">
        <f t="shared" si="861"/>
        <v>1</v>
      </c>
      <c r="E3018" s="1409">
        <f t="shared" si="861"/>
        <v>1</v>
      </c>
      <c r="F3018" s="1410">
        <f t="shared" si="861"/>
        <v>4</v>
      </c>
      <c r="G3018" s="1410">
        <f t="shared" si="861"/>
        <v>5.0999999999999996</v>
      </c>
      <c r="H3018" s="1410"/>
      <c r="I3018" s="1471">
        <f t="shared" si="849"/>
        <v>20.399999999999999</v>
      </c>
      <c r="Q3018" s="1394">
        <f>IFERROR(VLOOKUP(M3018,#REF!,3,0),0)</f>
        <v>0</v>
      </c>
      <c r="R3018" s="1394">
        <f t="shared" si="859"/>
        <v>0</v>
      </c>
      <c r="S3018" s="1394">
        <f>IFERROR(VLOOKUP(M3018,#REF!,6,0),0)</f>
        <v>0</v>
      </c>
      <c r="T3018" s="1394">
        <f t="shared" si="844"/>
        <v>0</v>
      </c>
      <c r="U3018" s="1394">
        <f>IFERROR(VLOOKUP(M3018,#REF!,5,0),0)</f>
        <v>0</v>
      </c>
      <c r="V3018" s="1394">
        <f t="shared" si="845"/>
        <v>0</v>
      </c>
      <c r="W3018" s="1394"/>
    </row>
    <row r="3019" spans="2:23" ht="30" customHeight="1">
      <c r="B3019" s="1405">
        <f t="shared" si="861"/>
        <v>0</v>
      </c>
      <c r="C3019" s="1482" t="str">
        <f t="shared" si="861"/>
        <v>Women Rest Room Toilet</v>
      </c>
      <c r="D3019" s="1409">
        <f t="shared" si="861"/>
        <v>1</v>
      </c>
      <c r="E3019" s="1409">
        <f t="shared" si="861"/>
        <v>1</v>
      </c>
      <c r="F3019" s="1410">
        <f t="shared" si="861"/>
        <v>4</v>
      </c>
      <c r="G3019" s="1410">
        <f t="shared" si="861"/>
        <v>1.5</v>
      </c>
      <c r="H3019" s="1410"/>
      <c r="I3019" s="1471">
        <f t="shared" si="849"/>
        <v>6</v>
      </c>
      <c r="Q3019" s="1394">
        <f>IFERROR(VLOOKUP(M3019,#REF!,3,0),0)</f>
        <v>0</v>
      </c>
      <c r="R3019" s="1394">
        <f t="shared" si="859"/>
        <v>0</v>
      </c>
      <c r="S3019" s="1394">
        <f>IFERROR(VLOOKUP(M3019,#REF!,6,0),0)</f>
        <v>0</v>
      </c>
      <c r="T3019" s="1394">
        <f t="shared" si="844"/>
        <v>0</v>
      </c>
      <c r="U3019" s="1394">
        <f>IFERROR(VLOOKUP(M3019,#REF!,5,0),0)</f>
        <v>0</v>
      </c>
      <c r="V3019" s="1394">
        <f t="shared" si="845"/>
        <v>0</v>
      </c>
      <c r="W3019" s="1394"/>
    </row>
    <row r="3020" spans="2:23" ht="30" customHeight="1">
      <c r="B3020" s="1405">
        <f t="shared" si="861"/>
        <v>0</v>
      </c>
      <c r="C3020" s="1482" t="str">
        <f t="shared" si="861"/>
        <v>Lock up Women</v>
      </c>
      <c r="D3020" s="1409">
        <f t="shared" si="861"/>
        <v>1</v>
      </c>
      <c r="E3020" s="1409">
        <f t="shared" si="861"/>
        <v>1</v>
      </c>
      <c r="F3020" s="1410">
        <f t="shared" si="861"/>
        <v>4</v>
      </c>
      <c r="G3020" s="1410">
        <f t="shared" si="861"/>
        <v>2.5</v>
      </c>
      <c r="H3020" s="1410"/>
      <c r="I3020" s="1471">
        <f t="shared" si="849"/>
        <v>10</v>
      </c>
      <c r="Q3020" s="1394">
        <f>IFERROR(VLOOKUP(M3020,#REF!,3,0),0)</f>
        <v>0</v>
      </c>
      <c r="R3020" s="1394">
        <f t="shared" si="859"/>
        <v>0</v>
      </c>
      <c r="S3020" s="1394">
        <f>IFERROR(VLOOKUP(M3020,#REF!,6,0),0)</f>
        <v>0</v>
      </c>
      <c r="T3020" s="1394">
        <f t="shared" si="844"/>
        <v>0</v>
      </c>
      <c r="U3020" s="1394">
        <f>IFERROR(VLOOKUP(M3020,#REF!,5,0),0)</f>
        <v>0</v>
      </c>
      <c r="V3020" s="1394">
        <f t="shared" si="845"/>
        <v>0</v>
      </c>
      <c r="W3020" s="1394"/>
    </row>
    <row r="3021" spans="2:23" ht="30" customHeight="1">
      <c r="B3021" s="1405">
        <f t="shared" si="861"/>
        <v>0</v>
      </c>
      <c r="C3021" s="1482" t="str">
        <f t="shared" si="861"/>
        <v>Computer Room</v>
      </c>
      <c r="D3021" s="1409">
        <f t="shared" si="861"/>
        <v>1</v>
      </c>
      <c r="E3021" s="1409">
        <f t="shared" si="861"/>
        <v>1</v>
      </c>
      <c r="F3021" s="1410">
        <f t="shared" si="861"/>
        <v>4</v>
      </c>
      <c r="G3021" s="1410">
        <f t="shared" si="861"/>
        <v>3.9</v>
      </c>
      <c r="H3021" s="1410"/>
      <c r="I3021" s="1471">
        <f t="shared" si="849"/>
        <v>15.6</v>
      </c>
      <c r="Q3021" s="1394">
        <f>IFERROR(VLOOKUP(M3021,#REF!,3,0),0)</f>
        <v>0</v>
      </c>
      <c r="R3021" s="1394">
        <f t="shared" si="859"/>
        <v>0</v>
      </c>
      <c r="S3021" s="1394">
        <f>IFERROR(VLOOKUP(M3021,#REF!,6,0),0)</f>
        <v>0</v>
      </c>
      <c r="T3021" s="1394">
        <f t="shared" ref="T3021:T3084" si="862">R3021-S3021</f>
        <v>0</v>
      </c>
      <c r="U3021" s="1394">
        <f>IFERROR(VLOOKUP(M3021,#REF!,5,0),0)</f>
        <v>0</v>
      </c>
      <c r="V3021" s="1394">
        <f t="shared" ref="V3021:V3084" si="863">O3021-U3021</f>
        <v>0</v>
      </c>
      <c r="W3021" s="1394"/>
    </row>
    <row r="3022" spans="2:23" ht="30" customHeight="1">
      <c r="B3022" s="1405">
        <f t="shared" si="861"/>
        <v>0</v>
      </c>
      <c r="C3022" s="1482" t="str">
        <f t="shared" si="861"/>
        <v>Toilet</v>
      </c>
      <c r="D3022" s="1409">
        <f t="shared" si="861"/>
        <v>1</v>
      </c>
      <c r="E3022" s="1409">
        <f t="shared" si="861"/>
        <v>1</v>
      </c>
      <c r="F3022" s="1410">
        <f t="shared" si="861"/>
        <v>1.5</v>
      </c>
      <c r="G3022" s="1410">
        <f t="shared" si="861"/>
        <v>3.9</v>
      </c>
      <c r="H3022" s="1410"/>
      <c r="I3022" s="1471">
        <f t="shared" si="849"/>
        <v>5.85</v>
      </c>
      <c r="Q3022" s="1394">
        <f>IFERROR(VLOOKUP(M3022,#REF!,3,0),0)</f>
        <v>0</v>
      </c>
      <c r="R3022" s="1394">
        <f t="shared" si="859"/>
        <v>0</v>
      </c>
      <c r="S3022" s="1394">
        <f>IFERROR(VLOOKUP(M3022,#REF!,6,0),0)</f>
        <v>0</v>
      </c>
      <c r="T3022" s="1394">
        <f t="shared" si="862"/>
        <v>0</v>
      </c>
      <c r="U3022" s="1394">
        <f>IFERROR(VLOOKUP(M3022,#REF!,5,0),0)</f>
        <v>0</v>
      </c>
      <c r="V3022" s="1394">
        <f t="shared" si="863"/>
        <v>0</v>
      </c>
      <c r="W3022" s="1394"/>
    </row>
    <row r="3023" spans="2:23" ht="30" customHeight="1">
      <c r="B3023" s="1405">
        <f t="shared" si="861"/>
        <v>0</v>
      </c>
      <c r="C3023" s="1482" t="str">
        <f t="shared" si="861"/>
        <v>SI Room</v>
      </c>
      <c r="D3023" s="1409">
        <f t="shared" si="861"/>
        <v>1</v>
      </c>
      <c r="E3023" s="1409">
        <f t="shared" si="861"/>
        <v>1</v>
      </c>
      <c r="F3023" s="1410">
        <f t="shared" si="861"/>
        <v>3.6949999999999998</v>
      </c>
      <c r="G3023" s="1410">
        <f t="shared" si="861"/>
        <v>3.9</v>
      </c>
      <c r="H3023" s="1410"/>
      <c r="I3023" s="1471">
        <f t="shared" si="849"/>
        <v>14.410499999999999</v>
      </c>
      <c r="Q3023" s="1394">
        <f>IFERROR(VLOOKUP(M3023,#REF!,3,0),0)</f>
        <v>0</v>
      </c>
      <c r="R3023" s="1394">
        <f t="shared" si="859"/>
        <v>0</v>
      </c>
      <c r="S3023" s="1394">
        <f>IFERROR(VLOOKUP(M3023,#REF!,6,0),0)</f>
        <v>0</v>
      </c>
      <c r="T3023" s="1394">
        <f t="shared" si="862"/>
        <v>0</v>
      </c>
      <c r="U3023" s="1394">
        <f>IFERROR(VLOOKUP(M3023,#REF!,5,0),0)</f>
        <v>0</v>
      </c>
      <c r="V3023" s="1394">
        <f t="shared" si="863"/>
        <v>0</v>
      </c>
      <c r="W3023" s="1394"/>
    </row>
    <row r="3024" spans="2:23" ht="30" customHeight="1">
      <c r="B3024" s="1405">
        <f t="shared" si="861"/>
        <v>0</v>
      </c>
      <c r="C3024" s="1482" t="str">
        <f t="shared" si="861"/>
        <v>SI Room</v>
      </c>
      <c r="D3024" s="1409">
        <f t="shared" si="861"/>
        <v>1</v>
      </c>
      <c r="E3024" s="1409">
        <f t="shared" si="861"/>
        <v>1</v>
      </c>
      <c r="F3024" s="1410">
        <f t="shared" si="861"/>
        <v>2.5</v>
      </c>
      <c r="G3024" s="1410">
        <f t="shared" si="861"/>
        <v>3.9</v>
      </c>
      <c r="H3024" s="1410"/>
      <c r="I3024" s="1471">
        <f t="shared" si="849"/>
        <v>9.75</v>
      </c>
      <c r="Q3024" s="1394">
        <f>IFERROR(VLOOKUP(M3024,#REF!,3,0),0)</f>
        <v>0</v>
      </c>
      <c r="R3024" s="1394">
        <f t="shared" si="859"/>
        <v>0</v>
      </c>
      <c r="S3024" s="1394">
        <f>IFERROR(VLOOKUP(M3024,#REF!,6,0),0)</f>
        <v>0</v>
      </c>
      <c r="T3024" s="1394">
        <f t="shared" si="862"/>
        <v>0</v>
      </c>
      <c r="U3024" s="1394">
        <f>IFERROR(VLOOKUP(M3024,#REF!,5,0),0)</f>
        <v>0</v>
      </c>
      <c r="V3024" s="1394">
        <f t="shared" si="863"/>
        <v>0</v>
      </c>
      <c r="W3024" s="1394"/>
    </row>
    <row r="3025" spans="1:24" ht="30" customHeight="1">
      <c r="B3025" s="1405">
        <f t="shared" si="861"/>
        <v>0</v>
      </c>
      <c r="C3025" s="1482" t="str">
        <f t="shared" si="861"/>
        <v>Record Room</v>
      </c>
      <c r="D3025" s="1409">
        <f t="shared" si="861"/>
        <v>1</v>
      </c>
      <c r="E3025" s="1409">
        <f t="shared" si="861"/>
        <v>1</v>
      </c>
      <c r="F3025" s="1410">
        <f t="shared" si="861"/>
        <v>1.7350000000000001</v>
      </c>
      <c r="G3025" s="1410">
        <f t="shared" si="861"/>
        <v>2.3199999999999998</v>
      </c>
      <c r="H3025" s="1410"/>
      <c r="I3025" s="1471">
        <f t="shared" si="849"/>
        <v>4.0251999999999999</v>
      </c>
      <c r="Q3025" s="1394">
        <f>IFERROR(VLOOKUP(M3025,#REF!,3,0),0)</f>
        <v>0</v>
      </c>
      <c r="R3025" s="1394">
        <f t="shared" si="859"/>
        <v>0</v>
      </c>
      <c r="S3025" s="1394">
        <f>IFERROR(VLOOKUP(M3025,#REF!,6,0),0)</f>
        <v>0</v>
      </c>
      <c r="T3025" s="1394">
        <f t="shared" si="862"/>
        <v>0</v>
      </c>
      <c r="U3025" s="1394">
        <f>IFERROR(VLOOKUP(M3025,#REF!,5,0),0)</f>
        <v>0</v>
      </c>
      <c r="V3025" s="1394">
        <f t="shared" si="863"/>
        <v>0</v>
      </c>
      <c r="W3025" s="1394"/>
    </row>
    <row r="3026" spans="1:24" ht="30" customHeight="1">
      <c r="B3026" s="1405">
        <f t="shared" si="861"/>
        <v>0</v>
      </c>
      <c r="C3026" s="1482" t="str">
        <f t="shared" si="861"/>
        <v>Record Room</v>
      </c>
      <c r="D3026" s="1409">
        <f t="shared" si="861"/>
        <v>1</v>
      </c>
      <c r="E3026" s="1409">
        <f t="shared" si="861"/>
        <v>1</v>
      </c>
      <c r="F3026" s="1410">
        <f t="shared" si="861"/>
        <v>1.7350000000000001</v>
      </c>
      <c r="G3026" s="1410">
        <f t="shared" si="861"/>
        <v>1.35</v>
      </c>
      <c r="H3026" s="1410"/>
      <c r="I3026" s="1471">
        <f t="shared" si="849"/>
        <v>2.3422500000000004</v>
      </c>
      <c r="Q3026" s="1394">
        <f>IFERROR(VLOOKUP(M3026,#REF!,3,0),0)</f>
        <v>0</v>
      </c>
      <c r="R3026" s="1394">
        <f t="shared" si="859"/>
        <v>0</v>
      </c>
      <c r="S3026" s="1394">
        <f>IFERROR(VLOOKUP(M3026,#REF!,6,0),0)</f>
        <v>0</v>
      </c>
      <c r="T3026" s="1394">
        <f t="shared" si="862"/>
        <v>0</v>
      </c>
      <c r="U3026" s="1394">
        <f>IFERROR(VLOOKUP(M3026,#REF!,5,0),0)</f>
        <v>0</v>
      </c>
      <c r="V3026" s="1394">
        <f t="shared" si="863"/>
        <v>0</v>
      </c>
      <c r="W3026" s="1394"/>
    </row>
    <row r="3027" spans="1:24" ht="30" customHeight="1">
      <c r="B3027" s="1405">
        <f t="shared" si="861"/>
        <v>0</v>
      </c>
      <c r="C3027" s="1482" t="str">
        <f t="shared" si="861"/>
        <v>Introgation</v>
      </c>
      <c r="D3027" s="1409">
        <f t="shared" si="861"/>
        <v>1</v>
      </c>
      <c r="E3027" s="1409">
        <f t="shared" si="861"/>
        <v>1</v>
      </c>
      <c r="F3027" s="1410">
        <f t="shared" si="861"/>
        <v>3.7650000000000001</v>
      </c>
      <c r="G3027" s="1410">
        <f t="shared" si="861"/>
        <v>2.4350000000000001</v>
      </c>
      <c r="H3027" s="1410"/>
      <c r="I3027" s="1471">
        <f t="shared" si="849"/>
        <v>9.1677750000000007</v>
      </c>
      <c r="Q3027" s="1394">
        <f>IFERROR(VLOOKUP(M3027,#REF!,3,0),0)</f>
        <v>0</v>
      </c>
      <c r="R3027" s="1394">
        <f t="shared" si="859"/>
        <v>0</v>
      </c>
      <c r="S3027" s="1394">
        <f>IFERROR(VLOOKUP(M3027,#REF!,6,0),0)</f>
        <v>0</v>
      </c>
      <c r="T3027" s="1394">
        <f t="shared" si="862"/>
        <v>0</v>
      </c>
      <c r="U3027" s="1394">
        <f>IFERROR(VLOOKUP(M3027,#REF!,5,0),0)</f>
        <v>0</v>
      </c>
      <c r="V3027" s="1394">
        <f t="shared" si="863"/>
        <v>0</v>
      </c>
      <c r="W3027" s="1394"/>
    </row>
    <row r="3028" spans="1:24" ht="30" customHeight="1">
      <c r="B3028" s="1405">
        <f t="shared" ref="B3028:G3037" si="864">B1039</f>
        <v>0</v>
      </c>
      <c r="C3028" s="1482" t="str">
        <f t="shared" si="864"/>
        <v>Toilet</v>
      </c>
      <c r="D3028" s="1409">
        <f t="shared" si="864"/>
        <v>1</v>
      </c>
      <c r="E3028" s="1409">
        <f t="shared" si="864"/>
        <v>1</v>
      </c>
      <c r="F3028" s="1410">
        <f t="shared" si="864"/>
        <v>3.7650000000000001</v>
      </c>
      <c r="G3028" s="1410">
        <f t="shared" si="864"/>
        <v>1.2350000000000001</v>
      </c>
      <c r="H3028" s="1410"/>
      <c r="I3028" s="1471">
        <f t="shared" si="849"/>
        <v>4.6497750000000009</v>
      </c>
      <c r="Q3028" s="1394">
        <f>IFERROR(VLOOKUP(M3028,#REF!,3,0),0)</f>
        <v>0</v>
      </c>
      <c r="R3028" s="1394">
        <f t="shared" si="859"/>
        <v>0</v>
      </c>
      <c r="S3028" s="1394">
        <f>IFERROR(VLOOKUP(M3028,#REF!,6,0),0)</f>
        <v>0</v>
      </c>
      <c r="T3028" s="1394">
        <f t="shared" si="862"/>
        <v>0</v>
      </c>
      <c r="U3028" s="1394">
        <f>IFERROR(VLOOKUP(M3028,#REF!,5,0),0)</f>
        <v>0</v>
      </c>
      <c r="V3028" s="1394">
        <f t="shared" si="863"/>
        <v>0</v>
      </c>
      <c r="W3028" s="1394"/>
    </row>
    <row r="3029" spans="1:24" ht="30" customHeight="1">
      <c r="B3029" s="1405">
        <f t="shared" si="864"/>
        <v>0</v>
      </c>
      <c r="C3029" s="1482" t="str">
        <f t="shared" si="864"/>
        <v>Lock up Men</v>
      </c>
      <c r="D3029" s="1409">
        <f t="shared" si="864"/>
        <v>1</v>
      </c>
      <c r="E3029" s="1409">
        <f t="shared" si="864"/>
        <v>1</v>
      </c>
      <c r="F3029" s="1410">
        <f t="shared" si="864"/>
        <v>4</v>
      </c>
      <c r="G3029" s="1410">
        <f t="shared" si="864"/>
        <v>2.5499999999999998</v>
      </c>
      <c r="H3029" s="1410"/>
      <c r="I3029" s="1471">
        <f t="shared" si="849"/>
        <v>10.199999999999999</v>
      </c>
      <c r="Q3029" s="1394">
        <f>IFERROR(VLOOKUP(M3029,#REF!,3,0),0)</f>
        <v>0</v>
      </c>
      <c r="R3029" s="1394">
        <f t="shared" si="859"/>
        <v>0</v>
      </c>
      <c r="S3029" s="1394">
        <f>IFERROR(VLOOKUP(M3029,#REF!,6,0),0)</f>
        <v>0</v>
      </c>
      <c r="T3029" s="1394">
        <f t="shared" si="862"/>
        <v>0</v>
      </c>
      <c r="U3029" s="1394">
        <f>IFERROR(VLOOKUP(M3029,#REF!,5,0),0)</f>
        <v>0</v>
      </c>
      <c r="V3029" s="1394">
        <f t="shared" si="863"/>
        <v>0</v>
      </c>
      <c r="W3029" s="1394"/>
    </row>
    <row r="3030" spans="1:24" ht="30" customHeight="1">
      <c r="B3030" s="1405">
        <f t="shared" si="864"/>
        <v>0</v>
      </c>
      <c r="C3030" s="1482" t="str">
        <f t="shared" si="864"/>
        <v>INS Room</v>
      </c>
      <c r="D3030" s="1409">
        <f t="shared" si="864"/>
        <v>1</v>
      </c>
      <c r="E3030" s="1409">
        <f t="shared" si="864"/>
        <v>1</v>
      </c>
      <c r="F3030" s="1410">
        <f t="shared" si="864"/>
        <v>4</v>
      </c>
      <c r="G3030" s="1410">
        <f t="shared" si="864"/>
        <v>5.0999999999999996</v>
      </c>
      <c r="H3030" s="1410"/>
      <c r="I3030" s="1471">
        <f t="shared" si="849"/>
        <v>20.399999999999999</v>
      </c>
      <c r="Q3030" s="1394">
        <f>IFERROR(VLOOKUP(M3030,#REF!,3,0),0)</f>
        <v>0</v>
      </c>
      <c r="R3030" s="1394">
        <f t="shared" si="859"/>
        <v>0</v>
      </c>
      <c r="S3030" s="1394">
        <f>IFERROR(VLOOKUP(M3030,#REF!,6,0),0)</f>
        <v>0</v>
      </c>
      <c r="T3030" s="1394">
        <f t="shared" si="862"/>
        <v>0</v>
      </c>
      <c r="U3030" s="1394">
        <f>IFERROR(VLOOKUP(M3030,#REF!,5,0),0)</f>
        <v>0</v>
      </c>
      <c r="V3030" s="1394">
        <f t="shared" si="863"/>
        <v>0</v>
      </c>
      <c r="W3030" s="1394"/>
    </row>
    <row r="3031" spans="1:24" ht="30" customHeight="1">
      <c r="B3031" s="1405">
        <f t="shared" si="864"/>
        <v>0</v>
      </c>
      <c r="C3031" s="1482" t="str">
        <f t="shared" si="864"/>
        <v>INS Room Toilet</v>
      </c>
      <c r="D3031" s="1409">
        <f t="shared" si="864"/>
        <v>1</v>
      </c>
      <c r="E3031" s="1409">
        <f t="shared" si="864"/>
        <v>1</v>
      </c>
      <c r="F3031" s="1410">
        <f t="shared" si="864"/>
        <v>4</v>
      </c>
      <c r="G3031" s="1410">
        <f t="shared" si="864"/>
        <v>1.5</v>
      </c>
      <c r="H3031" s="1410"/>
      <c r="I3031" s="1471">
        <f t="shared" si="849"/>
        <v>6</v>
      </c>
      <c r="Q3031" s="1394">
        <f>IFERROR(VLOOKUP(M3031,#REF!,3,0),0)</f>
        <v>0</v>
      </c>
      <c r="R3031" s="1394">
        <f t="shared" si="859"/>
        <v>0</v>
      </c>
      <c r="S3031" s="1394">
        <f>IFERROR(VLOOKUP(M3031,#REF!,6,0),0)</f>
        <v>0</v>
      </c>
      <c r="T3031" s="1394">
        <f t="shared" si="862"/>
        <v>0</v>
      </c>
      <c r="U3031" s="1394">
        <f>IFERROR(VLOOKUP(M3031,#REF!,5,0),0)</f>
        <v>0</v>
      </c>
      <c r="V3031" s="1394">
        <f t="shared" si="863"/>
        <v>0</v>
      </c>
      <c r="W3031" s="1394"/>
    </row>
    <row r="3032" spans="1:24" ht="30" customHeight="1">
      <c r="B3032" s="1405">
        <f t="shared" si="864"/>
        <v>0</v>
      </c>
      <c r="C3032" s="1482" t="str">
        <f t="shared" si="864"/>
        <v>Writer</v>
      </c>
      <c r="D3032" s="1409">
        <f t="shared" si="864"/>
        <v>1</v>
      </c>
      <c r="E3032" s="1409">
        <f t="shared" si="864"/>
        <v>1</v>
      </c>
      <c r="F3032" s="1410">
        <f t="shared" si="864"/>
        <v>3</v>
      </c>
      <c r="G3032" s="1410">
        <f t="shared" si="864"/>
        <v>5.3</v>
      </c>
      <c r="H3032" s="1410"/>
      <c r="I3032" s="1471">
        <f t="shared" si="849"/>
        <v>15.899999999999999</v>
      </c>
      <c r="Q3032" s="1394">
        <f>IFERROR(VLOOKUP(M3032,#REF!,3,0),0)</f>
        <v>0</v>
      </c>
      <c r="R3032" s="1394">
        <f t="shared" si="859"/>
        <v>0</v>
      </c>
      <c r="S3032" s="1394">
        <f>IFERROR(VLOOKUP(M3032,#REF!,6,0),0)</f>
        <v>0</v>
      </c>
      <c r="T3032" s="1394">
        <f t="shared" si="862"/>
        <v>0</v>
      </c>
      <c r="U3032" s="1394">
        <f>IFERROR(VLOOKUP(M3032,#REF!,5,0),0)</f>
        <v>0</v>
      </c>
      <c r="V3032" s="1394">
        <f t="shared" si="863"/>
        <v>0</v>
      </c>
      <c r="W3032" s="1394"/>
    </row>
    <row r="3033" spans="1:24" ht="30" customHeight="1">
      <c r="B3033" s="1405">
        <f t="shared" si="864"/>
        <v>0</v>
      </c>
      <c r="C3033" s="1482" t="str">
        <f t="shared" si="864"/>
        <v>Stair Case Lobby-1</v>
      </c>
      <c r="D3033" s="1409">
        <f t="shared" si="864"/>
        <v>1</v>
      </c>
      <c r="E3033" s="1409">
        <f t="shared" si="864"/>
        <v>1</v>
      </c>
      <c r="F3033" s="1410">
        <f t="shared" si="864"/>
        <v>2.5249999999999999</v>
      </c>
      <c r="G3033" s="1410">
        <f t="shared" si="864"/>
        <v>2.77</v>
      </c>
      <c r="H3033" s="1410"/>
      <c r="I3033" s="1471">
        <f t="shared" si="849"/>
        <v>6.9942500000000001</v>
      </c>
      <c r="Q3033" s="1394">
        <f>IFERROR(VLOOKUP(M3033,#REF!,3,0),0)</f>
        <v>0</v>
      </c>
      <c r="R3033" s="1394">
        <f t="shared" si="859"/>
        <v>0</v>
      </c>
      <c r="S3033" s="1394">
        <f>IFERROR(VLOOKUP(M3033,#REF!,6,0),0)</f>
        <v>0</v>
      </c>
      <c r="T3033" s="1394">
        <f t="shared" si="862"/>
        <v>0</v>
      </c>
      <c r="U3033" s="1394">
        <f>IFERROR(VLOOKUP(M3033,#REF!,5,0),0)</f>
        <v>0</v>
      </c>
      <c r="V3033" s="1394">
        <f t="shared" si="863"/>
        <v>0</v>
      </c>
      <c r="W3033" s="1394"/>
    </row>
    <row r="3034" spans="1:24" ht="30" customHeight="1">
      <c r="B3034" s="1405">
        <f t="shared" si="864"/>
        <v>0</v>
      </c>
      <c r="C3034" s="1482" t="str">
        <f t="shared" si="864"/>
        <v>Stair Case Lobby-1</v>
      </c>
      <c r="D3034" s="1409">
        <f t="shared" si="864"/>
        <v>1</v>
      </c>
      <c r="E3034" s="1409">
        <f t="shared" si="864"/>
        <v>1</v>
      </c>
      <c r="F3034" s="1410">
        <f t="shared" si="864"/>
        <v>4.3250000000000002</v>
      </c>
      <c r="G3034" s="1410">
        <f t="shared" si="864"/>
        <v>2.2999999999999998</v>
      </c>
      <c r="H3034" s="1410"/>
      <c r="I3034" s="1471">
        <f t="shared" si="849"/>
        <v>9.9474999999999998</v>
      </c>
      <c r="Q3034" s="1394">
        <f>IFERROR(VLOOKUP(M3034,#REF!,3,0),0)</f>
        <v>0</v>
      </c>
      <c r="R3034" s="1394">
        <f t="shared" si="859"/>
        <v>0</v>
      </c>
      <c r="S3034" s="1394">
        <f>IFERROR(VLOOKUP(M3034,#REF!,6,0),0)</f>
        <v>0</v>
      </c>
      <c r="T3034" s="1394">
        <f t="shared" si="862"/>
        <v>0</v>
      </c>
      <c r="U3034" s="1394">
        <f>IFERROR(VLOOKUP(M3034,#REF!,5,0),0)</f>
        <v>0</v>
      </c>
      <c r="V3034" s="1394">
        <f t="shared" si="863"/>
        <v>0</v>
      </c>
      <c r="W3034" s="1394"/>
    </row>
    <row r="3035" spans="1:24" ht="30" customHeight="1">
      <c r="B3035" s="1405">
        <f t="shared" si="864"/>
        <v>0</v>
      </c>
      <c r="C3035" s="1408" t="str">
        <f t="shared" si="864"/>
        <v>Hall</v>
      </c>
      <c r="D3035" s="1409">
        <f t="shared" si="864"/>
        <v>1</v>
      </c>
      <c r="E3035" s="1409">
        <f t="shared" si="864"/>
        <v>1</v>
      </c>
      <c r="F3035" s="1410">
        <f t="shared" si="864"/>
        <v>2.1</v>
      </c>
      <c r="G3035" s="1410">
        <f t="shared" si="864"/>
        <v>5.76</v>
      </c>
      <c r="H3035" s="1410"/>
      <c r="I3035" s="1471">
        <f t="shared" si="849"/>
        <v>12.096</v>
      </c>
      <c r="O3035" s="1395"/>
      <c r="Q3035" s="1394">
        <f>IFERROR(VLOOKUP(M3035,#REF!,3,0),0)</f>
        <v>0</v>
      </c>
      <c r="R3035" s="1394">
        <f t="shared" si="859"/>
        <v>0</v>
      </c>
      <c r="S3035" s="1394">
        <f>IFERROR(VLOOKUP(M3035,#REF!,6,0),0)</f>
        <v>0</v>
      </c>
      <c r="T3035" s="1394">
        <f t="shared" si="862"/>
        <v>0</v>
      </c>
      <c r="U3035" s="1394">
        <f>IFERROR(VLOOKUP(M3035,#REF!,5,0),0)</f>
        <v>0</v>
      </c>
      <c r="V3035" s="1394">
        <f t="shared" si="863"/>
        <v>0</v>
      </c>
      <c r="W3035" s="1394"/>
    </row>
    <row r="3036" spans="1:24" ht="30" customHeight="1">
      <c r="B3036" s="1405">
        <f t="shared" si="864"/>
        <v>0</v>
      </c>
      <c r="C3036" s="1408" t="str">
        <f t="shared" si="864"/>
        <v>Hall</v>
      </c>
      <c r="D3036" s="1409">
        <f t="shared" si="864"/>
        <v>1</v>
      </c>
      <c r="E3036" s="1409">
        <f t="shared" si="864"/>
        <v>1</v>
      </c>
      <c r="F3036" s="1410">
        <f t="shared" si="864"/>
        <v>4.3250000000000002</v>
      </c>
      <c r="G3036" s="1410">
        <f t="shared" si="864"/>
        <v>5.76</v>
      </c>
      <c r="H3036" s="1410"/>
      <c r="I3036" s="1471">
        <f t="shared" si="849"/>
        <v>24.911999999999999</v>
      </c>
      <c r="O3036" s="1395"/>
      <c r="Q3036" s="1394">
        <f>IFERROR(VLOOKUP(M3036,#REF!,3,0),0)</f>
        <v>0</v>
      </c>
      <c r="R3036" s="1394">
        <f t="shared" si="859"/>
        <v>0</v>
      </c>
      <c r="S3036" s="1394">
        <f>IFERROR(VLOOKUP(M3036,#REF!,6,0),0)</f>
        <v>0</v>
      </c>
      <c r="T3036" s="1394">
        <f t="shared" si="862"/>
        <v>0</v>
      </c>
      <c r="U3036" s="1394">
        <f>IFERROR(VLOOKUP(M3036,#REF!,5,0),0)</f>
        <v>0</v>
      </c>
      <c r="V3036" s="1394">
        <f t="shared" si="863"/>
        <v>0</v>
      </c>
      <c r="W3036" s="1394"/>
    </row>
    <row r="3037" spans="1:24" ht="30" customHeight="1">
      <c r="B3037" s="1405">
        <f t="shared" si="864"/>
        <v>0</v>
      </c>
      <c r="C3037" s="1408" t="str">
        <f t="shared" si="864"/>
        <v>Hall</v>
      </c>
      <c r="D3037" s="1409">
        <f t="shared" si="864"/>
        <v>1</v>
      </c>
      <c r="E3037" s="1409">
        <f t="shared" si="864"/>
        <v>1</v>
      </c>
      <c r="F3037" s="1410">
        <f t="shared" si="864"/>
        <v>3</v>
      </c>
      <c r="G3037" s="1410">
        <f t="shared" si="864"/>
        <v>5.76</v>
      </c>
      <c r="H3037" s="1410"/>
      <c r="I3037" s="1471">
        <f t="shared" si="849"/>
        <v>17.28</v>
      </c>
      <c r="O3037" s="1395"/>
      <c r="Q3037" s="1394">
        <f>IFERROR(VLOOKUP(M3037,#REF!,3,0),0)</f>
        <v>0</v>
      </c>
      <c r="R3037" s="1394">
        <f t="shared" si="859"/>
        <v>0</v>
      </c>
      <c r="S3037" s="1394">
        <f>IFERROR(VLOOKUP(M3037,#REF!,6,0),0)</f>
        <v>0</v>
      </c>
      <c r="T3037" s="1394">
        <f t="shared" si="862"/>
        <v>0</v>
      </c>
      <c r="U3037" s="1394">
        <f>IFERROR(VLOOKUP(M3037,#REF!,5,0),0)</f>
        <v>0</v>
      </c>
      <c r="V3037" s="1394">
        <f t="shared" si="863"/>
        <v>0</v>
      </c>
      <c r="W3037" s="1394"/>
    </row>
    <row r="3038" spans="1:24" s="1394" customFormat="1" ht="30" customHeight="1">
      <c r="A3038" s="110"/>
      <c r="B3038" s="1421">
        <f t="shared" ref="B3038:H3038" si="865">B1053</f>
        <v>0</v>
      </c>
      <c r="C3038" s="1422">
        <f t="shared" si="865"/>
        <v>0</v>
      </c>
      <c r="D3038" s="1389">
        <f t="shared" si="865"/>
        <v>0</v>
      </c>
      <c r="E3038" s="1389">
        <f t="shared" si="865"/>
        <v>0</v>
      </c>
      <c r="F3038" s="1423">
        <f t="shared" si="865"/>
        <v>0</v>
      </c>
      <c r="G3038" s="1428">
        <f t="shared" si="865"/>
        <v>0</v>
      </c>
      <c r="H3038" s="1429">
        <f t="shared" si="865"/>
        <v>0</v>
      </c>
      <c r="I3038" s="1427"/>
      <c r="M3038" s="1426"/>
      <c r="Q3038" s="1394">
        <f>IFERROR(VLOOKUP(M3038,#REF!,3,0),0)</f>
        <v>0</v>
      </c>
      <c r="R3038" s="1394">
        <f t="shared" si="859"/>
        <v>0</v>
      </c>
      <c r="S3038" s="1394">
        <f>IFERROR(VLOOKUP(M3038,#REF!,6,0),0)</f>
        <v>0</v>
      </c>
      <c r="T3038" s="1394">
        <f t="shared" si="862"/>
        <v>0</v>
      </c>
      <c r="U3038" s="1394">
        <f>IFERROR(VLOOKUP(M3038,#REF!,5,0),0)</f>
        <v>0</v>
      </c>
      <c r="V3038" s="1394">
        <f t="shared" si="863"/>
        <v>0</v>
      </c>
    </row>
    <row r="3039" spans="1:24" ht="30" customHeight="1">
      <c r="B3039" s="1407">
        <f>B1054</f>
        <v>0</v>
      </c>
      <c r="C3039" s="1678" t="e">
        <f>C1054</f>
        <v>#REF!</v>
      </c>
      <c r="D3039" s="1678"/>
      <c r="E3039" s="1678"/>
      <c r="F3039" s="1678"/>
      <c r="G3039" s="1678"/>
      <c r="H3039" s="1678"/>
      <c r="I3039" s="1406"/>
      <c r="Q3039" s="1394">
        <f>IFERROR(VLOOKUP(M3039,#REF!,3,0),0)</f>
        <v>0</v>
      </c>
      <c r="R3039" s="1394">
        <f t="shared" si="859"/>
        <v>0</v>
      </c>
      <c r="S3039" s="1394">
        <f>IFERROR(VLOOKUP(M3039,#REF!,6,0),0)</f>
        <v>0</v>
      </c>
      <c r="T3039" s="1394">
        <f t="shared" si="862"/>
        <v>0</v>
      </c>
      <c r="U3039" s="1394">
        <f>IFERROR(VLOOKUP(M3039,#REF!,5,0),0)</f>
        <v>0</v>
      </c>
      <c r="V3039" s="1394">
        <f t="shared" si="863"/>
        <v>0</v>
      </c>
      <c r="W3039" s="1394"/>
      <c r="X3039" s="1397"/>
    </row>
    <row r="3040" spans="1:24" ht="30" customHeight="1">
      <c r="B3040" s="1407">
        <f t="shared" ref="B3040:H3045" si="866">B1141</f>
        <v>0</v>
      </c>
      <c r="C3040" s="1408">
        <f t="shared" si="866"/>
        <v>0</v>
      </c>
      <c r="D3040" s="1409">
        <f t="shared" si="866"/>
        <v>0</v>
      </c>
      <c r="E3040" s="1409">
        <f t="shared" si="866"/>
        <v>0</v>
      </c>
      <c r="F3040" s="1410">
        <f t="shared" si="866"/>
        <v>0</v>
      </c>
      <c r="G3040" s="1410">
        <f t="shared" si="866"/>
        <v>0</v>
      </c>
      <c r="H3040" s="1473">
        <f t="shared" si="866"/>
        <v>0</v>
      </c>
      <c r="I3040" s="1425"/>
      <c r="Q3040" s="1394">
        <f>IFERROR(VLOOKUP(M3040,#REF!,3,0),0)</f>
        <v>0</v>
      </c>
      <c r="R3040" s="1394">
        <f t="shared" si="859"/>
        <v>0</v>
      </c>
      <c r="S3040" s="1394">
        <f>IFERROR(VLOOKUP(M3040,#REF!,6,0),0)</f>
        <v>0</v>
      </c>
      <c r="T3040" s="1394">
        <f t="shared" si="862"/>
        <v>0</v>
      </c>
      <c r="U3040" s="1394">
        <f>IFERROR(VLOOKUP(M3040,#REF!,5,0),0)</f>
        <v>0</v>
      </c>
      <c r="V3040" s="1394">
        <f t="shared" si="863"/>
        <v>0</v>
      </c>
      <c r="W3040" s="1394"/>
    </row>
    <row r="3041" spans="2:23" ht="30" customHeight="1">
      <c r="B3041" s="1405">
        <f t="shared" si="866"/>
        <v>0</v>
      </c>
      <c r="C3041" s="1408" t="str">
        <f t="shared" si="866"/>
        <v>Waist slab-7</v>
      </c>
      <c r="D3041" s="1409">
        <f t="shared" si="866"/>
        <v>1</v>
      </c>
      <c r="E3041" s="1409">
        <f t="shared" si="866"/>
        <v>1</v>
      </c>
      <c r="F3041" s="1410">
        <f t="shared" si="866"/>
        <v>3.75</v>
      </c>
      <c r="G3041" s="1410">
        <f t="shared" si="866"/>
        <v>1.2</v>
      </c>
      <c r="H3041" s="1410">
        <f t="shared" si="866"/>
        <v>0.15</v>
      </c>
      <c r="I3041" s="1471">
        <f t="shared" ref="I3041:I3044" si="867">PRODUCT(D3041:H3041)</f>
        <v>0.67499999999999993</v>
      </c>
      <c r="O3041" s="1469"/>
      <c r="Q3041" s="1394">
        <f>IFERROR(VLOOKUP(M3041,#REF!,3,0),0)</f>
        <v>0</v>
      </c>
      <c r="R3041" s="1394">
        <f t="shared" si="859"/>
        <v>0</v>
      </c>
      <c r="S3041" s="1394">
        <f>IFERROR(VLOOKUP(M3041,#REF!,6,0),0)</f>
        <v>0</v>
      </c>
      <c r="T3041" s="1394">
        <f t="shared" si="862"/>
        <v>0</v>
      </c>
      <c r="U3041" s="1394">
        <f>IFERROR(VLOOKUP(M3041,#REF!,5,0),0)</f>
        <v>0</v>
      </c>
      <c r="V3041" s="1394">
        <f t="shared" si="863"/>
        <v>0</v>
      </c>
      <c r="W3041" s="1394"/>
    </row>
    <row r="3042" spans="2:23" ht="30" customHeight="1">
      <c r="B3042" s="1405">
        <f t="shared" si="866"/>
        <v>0</v>
      </c>
      <c r="C3042" s="1408" t="str">
        <f t="shared" si="866"/>
        <v>Landing slab</v>
      </c>
      <c r="D3042" s="1409">
        <f t="shared" si="866"/>
        <v>1</v>
      </c>
      <c r="E3042" s="1409">
        <f t="shared" si="866"/>
        <v>1</v>
      </c>
      <c r="F3042" s="1410">
        <f t="shared" si="866"/>
        <v>3.23</v>
      </c>
      <c r="G3042" s="1410">
        <f t="shared" si="866"/>
        <v>1.2</v>
      </c>
      <c r="H3042" s="1410">
        <f t="shared" si="866"/>
        <v>0.15</v>
      </c>
      <c r="I3042" s="1471">
        <f t="shared" si="867"/>
        <v>0.58139999999999992</v>
      </c>
      <c r="O3042" s="1395"/>
      <c r="Q3042" s="1394">
        <f>IFERROR(VLOOKUP(M3042,#REF!,3,0),0)</f>
        <v>0</v>
      </c>
      <c r="R3042" s="1394">
        <f t="shared" si="859"/>
        <v>0</v>
      </c>
      <c r="S3042" s="1394">
        <f>IFERROR(VLOOKUP(M3042,#REF!,6,0),0)</f>
        <v>0</v>
      </c>
      <c r="T3042" s="1394">
        <f t="shared" si="862"/>
        <v>0</v>
      </c>
      <c r="U3042" s="1394">
        <f>IFERROR(VLOOKUP(M3042,#REF!,5,0),0)</f>
        <v>0</v>
      </c>
      <c r="V3042" s="1394">
        <f t="shared" si="863"/>
        <v>0</v>
      </c>
      <c r="W3042" s="1394"/>
    </row>
    <row r="3043" spans="2:23" ht="30" customHeight="1">
      <c r="B3043" s="1405">
        <f t="shared" si="866"/>
        <v>0</v>
      </c>
      <c r="C3043" s="1408" t="str">
        <f t="shared" si="866"/>
        <v>Waist slab-8</v>
      </c>
      <c r="D3043" s="1409">
        <f t="shared" si="866"/>
        <v>1</v>
      </c>
      <c r="E3043" s="1409">
        <f t="shared" si="866"/>
        <v>1</v>
      </c>
      <c r="F3043" s="1410">
        <f t="shared" si="866"/>
        <v>3.7</v>
      </c>
      <c r="G3043" s="1410">
        <f t="shared" si="866"/>
        <v>1.2</v>
      </c>
      <c r="H3043" s="1410">
        <f t="shared" si="866"/>
        <v>0.15</v>
      </c>
      <c r="I3043" s="1471">
        <f t="shared" si="867"/>
        <v>0.66600000000000004</v>
      </c>
      <c r="O3043" s="1395"/>
      <c r="Q3043" s="1394">
        <f>IFERROR(VLOOKUP(M3043,#REF!,3,0),0)</f>
        <v>0</v>
      </c>
      <c r="R3043" s="1394">
        <f t="shared" si="859"/>
        <v>0</v>
      </c>
      <c r="S3043" s="1394">
        <f>IFERROR(VLOOKUP(M3043,#REF!,6,0),0)</f>
        <v>0</v>
      </c>
      <c r="T3043" s="1394">
        <f t="shared" si="862"/>
        <v>0</v>
      </c>
      <c r="U3043" s="1394">
        <f>IFERROR(VLOOKUP(M3043,#REF!,5,0),0)</f>
        <v>0</v>
      </c>
      <c r="V3043" s="1394">
        <f t="shared" si="863"/>
        <v>0</v>
      </c>
      <c r="W3043" s="1394"/>
    </row>
    <row r="3044" spans="2:23" ht="30" customHeight="1">
      <c r="B3044" s="1405">
        <f t="shared" si="866"/>
        <v>0</v>
      </c>
      <c r="C3044" s="1408" t="str">
        <f t="shared" si="866"/>
        <v>Staircase steps</v>
      </c>
      <c r="D3044" s="1409">
        <f t="shared" si="866"/>
        <v>0.5</v>
      </c>
      <c r="E3044" s="1409">
        <f t="shared" si="866"/>
        <v>19</v>
      </c>
      <c r="F3044" s="1410">
        <f t="shared" si="866"/>
        <v>1.2</v>
      </c>
      <c r="G3044" s="1410">
        <f t="shared" si="866"/>
        <v>0.3</v>
      </c>
      <c r="H3044" s="1410">
        <f t="shared" si="866"/>
        <v>0.157</v>
      </c>
      <c r="I3044" s="1471">
        <f t="shared" si="867"/>
        <v>0.53693999999999997</v>
      </c>
      <c r="O3044" s="1395"/>
      <c r="Q3044" s="1394">
        <f>IFERROR(VLOOKUP(M3044,#REF!,3,0),0)</f>
        <v>0</v>
      </c>
      <c r="R3044" s="1394">
        <f t="shared" si="859"/>
        <v>0</v>
      </c>
      <c r="S3044" s="1394">
        <f>IFERROR(VLOOKUP(M3044,#REF!,6,0),0)</f>
        <v>0</v>
      </c>
      <c r="T3044" s="1394">
        <f t="shared" si="862"/>
        <v>0</v>
      </c>
      <c r="U3044" s="1394">
        <f>IFERROR(VLOOKUP(M3044,#REF!,5,0),0)</f>
        <v>0</v>
      </c>
      <c r="V3044" s="1394">
        <f t="shared" si="863"/>
        <v>0</v>
      </c>
      <c r="W3044" s="1394"/>
    </row>
    <row r="3045" spans="2:23" ht="30" customHeight="1">
      <c r="B3045" s="1407">
        <f t="shared" si="866"/>
        <v>0</v>
      </c>
      <c r="C3045" s="1408">
        <f t="shared" si="866"/>
        <v>0</v>
      </c>
      <c r="D3045" s="1409">
        <f t="shared" si="866"/>
        <v>0</v>
      </c>
      <c r="E3045" s="1409">
        <f t="shared" si="866"/>
        <v>0</v>
      </c>
      <c r="F3045" s="1410">
        <f t="shared" si="866"/>
        <v>0</v>
      </c>
      <c r="G3045" s="1410">
        <f t="shared" si="866"/>
        <v>0</v>
      </c>
      <c r="H3045" s="1473">
        <f t="shared" si="866"/>
        <v>0</v>
      </c>
      <c r="I3045" s="1425"/>
      <c r="Q3045" s="1394">
        <f>IFERROR(VLOOKUP(M3045,#REF!,3,0),0)</f>
        <v>0</v>
      </c>
      <c r="R3045" s="1394">
        <f t="shared" si="859"/>
        <v>0</v>
      </c>
      <c r="S3045" s="1394">
        <f>IFERROR(VLOOKUP(M3045,#REF!,6,0),0)</f>
        <v>0</v>
      </c>
      <c r="T3045" s="1394">
        <f t="shared" si="862"/>
        <v>0</v>
      </c>
      <c r="U3045" s="1394">
        <f>IFERROR(VLOOKUP(M3045,#REF!,5,0),0)</f>
        <v>0</v>
      </c>
      <c r="V3045" s="1394">
        <f t="shared" si="863"/>
        <v>0</v>
      </c>
      <c r="W3045" s="1394"/>
    </row>
    <row r="3046" spans="2:23" ht="30" customHeight="1">
      <c r="B3046" s="1405">
        <f t="shared" ref="B3046:B3072" si="868">B1147</f>
        <v>0</v>
      </c>
      <c r="C3046" s="1412" t="s">
        <v>408</v>
      </c>
      <c r="D3046" s="1409">
        <f t="shared" ref="D3046:H3047" si="869">D1147</f>
        <v>0</v>
      </c>
      <c r="E3046" s="1409">
        <f t="shared" si="869"/>
        <v>0</v>
      </c>
      <c r="F3046" s="1410">
        <f t="shared" si="869"/>
        <v>0</v>
      </c>
      <c r="G3046" s="1410">
        <f t="shared" si="869"/>
        <v>0</v>
      </c>
      <c r="H3046" s="1411">
        <f t="shared" si="869"/>
        <v>0</v>
      </c>
      <c r="I3046" s="1471">
        <f t="shared" ref="I3046:I3121" si="870">PRODUCT(D3046:H3046)</f>
        <v>0</v>
      </c>
      <c r="O3046" s="1395"/>
      <c r="Q3046" s="1394">
        <f>IFERROR(VLOOKUP(M3046,#REF!,3,0),0)</f>
        <v>0</v>
      </c>
      <c r="R3046" s="1394">
        <f t="shared" si="859"/>
        <v>0</v>
      </c>
      <c r="S3046" s="1394">
        <f>IFERROR(VLOOKUP(M3046,#REF!,6,0),0)</f>
        <v>0</v>
      </c>
      <c r="T3046" s="1394">
        <f t="shared" si="862"/>
        <v>0</v>
      </c>
      <c r="U3046" s="1394">
        <f>IFERROR(VLOOKUP(M3046,#REF!,5,0),0)</f>
        <v>0</v>
      </c>
      <c r="V3046" s="1394">
        <f t="shared" si="863"/>
        <v>0</v>
      </c>
      <c r="W3046" s="1394"/>
    </row>
    <row r="3047" spans="2:23" ht="30" customHeight="1">
      <c r="B3047" s="1405">
        <f t="shared" si="868"/>
        <v>0</v>
      </c>
      <c r="C3047" s="1415" t="str">
        <f t="shared" ref="C3047:C3072" si="871">C1148</f>
        <v>Horizontal beam</v>
      </c>
      <c r="D3047" s="1409">
        <f t="shared" si="869"/>
        <v>0</v>
      </c>
      <c r="E3047" s="1409">
        <f t="shared" si="869"/>
        <v>0</v>
      </c>
      <c r="F3047" s="1410">
        <f t="shared" si="869"/>
        <v>0</v>
      </c>
      <c r="G3047" s="1410">
        <f t="shared" si="869"/>
        <v>0</v>
      </c>
      <c r="H3047" s="1411">
        <f t="shared" si="869"/>
        <v>0</v>
      </c>
      <c r="I3047" s="1471">
        <f t="shared" si="870"/>
        <v>0</v>
      </c>
      <c r="O3047" s="1395"/>
      <c r="Q3047" s="1394">
        <f>IFERROR(VLOOKUP(M3047,#REF!,3,0),0)</f>
        <v>0</v>
      </c>
      <c r="R3047" s="1394">
        <f t="shared" si="859"/>
        <v>0</v>
      </c>
      <c r="S3047" s="1394">
        <f>IFERROR(VLOOKUP(M3047,#REF!,6,0),0)</f>
        <v>0</v>
      </c>
      <c r="T3047" s="1394">
        <f t="shared" si="862"/>
        <v>0</v>
      </c>
      <c r="U3047" s="1394">
        <f>IFERROR(VLOOKUP(M3047,#REF!,5,0),0)</f>
        <v>0</v>
      </c>
      <c r="V3047" s="1394">
        <f t="shared" si="863"/>
        <v>0</v>
      </c>
      <c r="W3047" s="1394"/>
    </row>
    <row r="3048" spans="2:23" ht="30" customHeight="1">
      <c r="B3048" s="1405">
        <f t="shared" si="868"/>
        <v>0</v>
      </c>
      <c r="C3048" s="1408" t="str">
        <f t="shared" si="871"/>
        <v>A1 to B1 , A5 to B5 , A6 to B6 &amp; A7 to B7</v>
      </c>
      <c r="D3048" s="1409">
        <f t="shared" ref="D3048:D3072" si="872">D1149*2</f>
        <v>2</v>
      </c>
      <c r="E3048" s="1409">
        <f t="shared" ref="E3048:F3072" si="873">E1149</f>
        <v>4</v>
      </c>
      <c r="F3048" s="1410">
        <f t="shared" si="873"/>
        <v>4.2300000000000004</v>
      </c>
      <c r="G3048" s="1410"/>
      <c r="H3048" s="1411">
        <f t="shared" ref="H3048:H3072" si="874">H1149-0.125</f>
        <v>0.255</v>
      </c>
      <c r="I3048" s="1471">
        <f t="shared" si="870"/>
        <v>8.6292000000000009</v>
      </c>
      <c r="O3048" s="1395"/>
      <c r="Q3048" s="1394">
        <f>IFERROR(VLOOKUP(M3048,#REF!,3,0),0)</f>
        <v>0</v>
      </c>
      <c r="R3048" s="1394">
        <f t="shared" si="859"/>
        <v>0</v>
      </c>
      <c r="S3048" s="1394">
        <f>IFERROR(VLOOKUP(M3048,#REF!,6,0),0)</f>
        <v>0</v>
      </c>
      <c r="T3048" s="1394">
        <f t="shared" si="862"/>
        <v>0</v>
      </c>
      <c r="U3048" s="1394">
        <f>IFERROR(VLOOKUP(M3048,#REF!,5,0),0)</f>
        <v>0</v>
      </c>
      <c r="V3048" s="1394">
        <f t="shared" si="863"/>
        <v>0</v>
      </c>
      <c r="W3048" s="1394"/>
    </row>
    <row r="3049" spans="2:23" ht="30" customHeight="1">
      <c r="B3049" s="1405">
        <f t="shared" si="868"/>
        <v>0</v>
      </c>
      <c r="C3049" s="1408" t="str">
        <f t="shared" si="871"/>
        <v>A8 to H8</v>
      </c>
      <c r="D3049" s="1409">
        <f t="shared" si="872"/>
        <v>2</v>
      </c>
      <c r="E3049" s="1409">
        <f t="shared" si="873"/>
        <v>1</v>
      </c>
      <c r="F3049" s="1410">
        <f t="shared" si="873"/>
        <v>18.575000000000003</v>
      </c>
      <c r="G3049" s="1410"/>
      <c r="H3049" s="1411">
        <f t="shared" si="874"/>
        <v>0.255</v>
      </c>
      <c r="I3049" s="1471">
        <f t="shared" si="870"/>
        <v>9.4732500000000019</v>
      </c>
      <c r="Q3049" s="1394">
        <f>IFERROR(VLOOKUP(M3049,#REF!,3,0),0)</f>
        <v>0</v>
      </c>
      <c r="R3049" s="1394">
        <f t="shared" si="859"/>
        <v>0</v>
      </c>
      <c r="S3049" s="1394">
        <f>IFERROR(VLOOKUP(M3049,#REF!,6,0),0)</f>
        <v>0</v>
      </c>
      <c r="T3049" s="1394">
        <f t="shared" si="862"/>
        <v>0</v>
      </c>
      <c r="U3049" s="1394">
        <f>IFERROR(VLOOKUP(M3049,#REF!,5,0),0)</f>
        <v>0</v>
      </c>
      <c r="V3049" s="1394">
        <f t="shared" si="863"/>
        <v>0</v>
      </c>
      <c r="W3049" s="1394"/>
    </row>
    <row r="3050" spans="2:23" ht="30" customHeight="1">
      <c r="B3050" s="1405">
        <f t="shared" si="868"/>
        <v>0</v>
      </c>
      <c r="C3050" s="1408" t="str">
        <f t="shared" si="871"/>
        <v>B5 to G5</v>
      </c>
      <c r="D3050" s="1409">
        <f t="shared" si="872"/>
        <v>2</v>
      </c>
      <c r="E3050" s="1409">
        <f t="shared" si="873"/>
        <v>1</v>
      </c>
      <c r="F3050" s="1410">
        <f t="shared" si="873"/>
        <v>10.35</v>
      </c>
      <c r="G3050" s="1410"/>
      <c r="H3050" s="1411">
        <f t="shared" si="874"/>
        <v>0.255</v>
      </c>
      <c r="I3050" s="1471">
        <f t="shared" si="870"/>
        <v>5.2785000000000002</v>
      </c>
      <c r="Q3050" s="1394">
        <f>IFERROR(VLOOKUP(M3050,#REF!,3,0),0)</f>
        <v>0</v>
      </c>
      <c r="R3050" s="1394">
        <f t="shared" si="859"/>
        <v>0</v>
      </c>
      <c r="S3050" s="1394">
        <f>IFERROR(VLOOKUP(M3050,#REF!,6,0),0)</f>
        <v>0</v>
      </c>
      <c r="T3050" s="1394">
        <f t="shared" si="862"/>
        <v>0</v>
      </c>
      <c r="U3050" s="1394">
        <f>IFERROR(VLOOKUP(M3050,#REF!,5,0),0)</f>
        <v>0</v>
      </c>
      <c r="V3050" s="1394">
        <f t="shared" si="863"/>
        <v>0</v>
      </c>
      <c r="W3050" s="1394"/>
    </row>
    <row r="3051" spans="2:23" ht="30" customHeight="1">
      <c r="B3051" s="1405">
        <f t="shared" si="868"/>
        <v>0</v>
      </c>
      <c r="C3051" s="1408" t="str">
        <f t="shared" si="871"/>
        <v>B3 to G3</v>
      </c>
      <c r="D3051" s="1409">
        <f t="shared" si="872"/>
        <v>2</v>
      </c>
      <c r="E3051" s="1409">
        <f t="shared" si="873"/>
        <v>1</v>
      </c>
      <c r="F3051" s="1410">
        <f t="shared" si="873"/>
        <v>10.35</v>
      </c>
      <c r="G3051" s="1410"/>
      <c r="H3051" s="1411">
        <f t="shared" si="874"/>
        <v>0.32500000000000001</v>
      </c>
      <c r="I3051" s="1471">
        <f t="shared" si="870"/>
        <v>6.7275</v>
      </c>
      <c r="J3051" s="1397"/>
      <c r="K3051" s="1397"/>
      <c r="Q3051" s="1394">
        <f>IFERROR(VLOOKUP(M3051,#REF!,3,0),0)</f>
        <v>0</v>
      </c>
      <c r="R3051" s="1394">
        <f t="shared" si="859"/>
        <v>0</v>
      </c>
      <c r="S3051" s="1394">
        <f>IFERROR(VLOOKUP(M3051,#REF!,6,0),0)</f>
        <v>0</v>
      </c>
      <c r="T3051" s="1394">
        <f t="shared" si="862"/>
        <v>0</v>
      </c>
      <c r="U3051" s="1394">
        <f>IFERROR(VLOOKUP(M3051,#REF!,5,0),0)</f>
        <v>0</v>
      </c>
      <c r="V3051" s="1394">
        <f t="shared" si="863"/>
        <v>0</v>
      </c>
      <c r="W3051" s="1394"/>
    </row>
    <row r="3052" spans="2:23" ht="30" customHeight="1">
      <c r="B3052" s="1405">
        <f t="shared" si="868"/>
        <v>0</v>
      </c>
      <c r="C3052" s="1408" t="str">
        <f t="shared" si="871"/>
        <v>B7 to G7</v>
      </c>
      <c r="D3052" s="1409">
        <f t="shared" si="872"/>
        <v>2</v>
      </c>
      <c r="E3052" s="1409">
        <f t="shared" si="873"/>
        <v>1</v>
      </c>
      <c r="F3052" s="1410">
        <f t="shared" si="873"/>
        <v>10.35</v>
      </c>
      <c r="G3052" s="1410"/>
      <c r="H3052" s="1411">
        <f t="shared" si="874"/>
        <v>0.47499999999999998</v>
      </c>
      <c r="I3052" s="1471">
        <f t="shared" si="870"/>
        <v>9.8324999999999996</v>
      </c>
      <c r="J3052" s="1397"/>
      <c r="K3052" s="1397"/>
      <c r="Q3052" s="1394">
        <f>IFERROR(VLOOKUP(M3052,#REF!,3,0),0)</f>
        <v>0</v>
      </c>
      <c r="R3052" s="1394">
        <f t="shared" si="859"/>
        <v>0</v>
      </c>
      <c r="S3052" s="1394">
        <f>IFERROR(VLOOKUP(M3052,#REF!,6,0),0)</f>
        <v>0</v>
      </c>
      <c r="T3052" s="1394">
        <f t="shared" si="862"/>
        <v>0</v>
      </c>
      <c r="U3052" s="1394">
        <f>IFERROR(VLOOKUP(M3052,#REF!,5,0),0)</f>
        <v>0</v>
      </c>
      <c r="V3052" s="1394">
        <f t="shared" si="863"/>
        <v>0</v>
      </c>
      <c r="W3052" s="1394"/>
    </row>
    <row r="3053" spans="2:23" ht="30" customHeight="1">
      <c r="B3053" s="1405">
        <f t="shared" si="868"/>
        <v>0</v>
      </c>
      <c r="C3053" s="1408" t="str">
        <f t="shared" si="871"/>
        <v>B4 to F4</v>
      </c>
      <c r="D3053" s="1409">
        <f t="shared" si="872"/>
        <v>2</v>
      </c>
      <c r="E3053" s="1409">
        <f t="shared" si="873"/>
        <v>1</v>
      </c>
      <c r="F3053" s="1410">
        <f t="shared" si="873"/>
        <v>6.8849999999999998</v>
      </c>
      <c r="G3053" s="1410"/>
      <c r="H3053" s="1411">
        <f t="shared" si="874"/>
        <v>0.255</v>
      </c>
      <c r="I3053" s="1471">
        <f t="shared" si="870"/>
        <v>3.5113499999999997</v>
      </c>
      <c r="Q3053" s="1394">
        <f>IFERROR(VLOOKUP(M3053,#REF!,3,0),0)</f>
        <v>0</v>
      </c>
      <c r="R3053" s="1394">
        <f t="shared" si="859"/>
        <v>0</v>
      </c>
      <c r="S3053" s="1394">
        <f>IFERROR(VLOOKUP(M3053,#REF!,6,0),0)</f>
        <v>0</v>
      </c>
      <c r="T3053" s="1394">
        <f t="shared" si="862"/>
        <v>0</v>
      </c>
      <c r="U3053" s="1394">
        <f>IFERROR(VLOOKUP(M3053,#REF!,5,0),0)</f>
        <v>0</v>
      </c>
      <c r="V3053" s="1394">
        <f t="shared" si="863"/>
        <v>0</v>
      </c>
      <c r="W3053" s="1394"/>
    </row>
    <row r="3054" spans="2:23" ht="30" customHeight="1">
      <c r="B3054" s="1405">
        <f t="shared" si="868"/>
        <v>0</v>
      </c>
      <c r="C3054" s="1408" t="str">
        <f t="shared" si="871"/>
        <v>OTS Cross Beam</v>
      </c>
      <c r="D3054" s="1409">
        <f t="shared" si="872"/>
        <v>2</v>
      </c>
      <c r="E3054" s="1409">
        <f t="shared" si="873"/>
        <v>1</v>
      </c>
      <c r="F3054" s="1410">
        <f t="shared" si="873"/>
        <v>4.2300000000000004</v>
      </c>
      <c r="G3054" s="1410"/>
      <c r="H3054" s="1411">
        <f t="shared" si="874"/>
        <v>0.255</v>
      </c>
      <c r="I3054" s="1471">
        <f t="shared" si="870"/>
        <v>2.1573000000000002</v>
      </c>
      <c r="Q3054" s="1394">
        <f>IFERROR(VLOOKUP(M3054,#REF!,3,0),0)</f>
        <v>0</v>
      </c>
      <c r="R3054" s="1394">
        <f t="shared" ref="R3054:R3117" si="875">ROUND(O3054,2)*ROUND(Q3054,2)</f>
        <v>0</v>
      </c>
      <c r="S3054" s="1394">
        <f>IFERROR(VLOOKUP(M3054,#REF!,6,0),0)</f>
        <v>0</v>
      </c>
      <c r="T3054" s="1394">
        <f t="shared" si="862"/>
        <v>0</v>
      </c>
      <c r="U3054" s="1394">
        <f>IFERROR(VLOOKUP(M3054,#REF!,5,0),0)</f>
        <v>0</v>
      </c>
      <c r="V3054" s="1394">
        <f t="shared" si="863"/>
        <v>0</v>
      </c>
      <c r="W3054" s="1394"/>
    </row>
    <row r="3055" spans="2:23" ht="30" customHeight="1">
      <c r="B3055" s="1405">
        <f t="shared" si="868"/>
        <v>0</v>
      </c>
      <c r="C3055" s="1408" t="str">
        <f t="shared" si="871"/>
        <v>OTS Cross Beam</v>
      </c>
      <c r="D3055" s="1409">
        <f t="shared" si="872"/>
        <v>2</v>
      </c>
      <c r="E3055" s="1409">
        <f t="shared" si="873"/>
        <v>1</v>
      </c>
      <c r="F3055" s="1410">
        <f t="shared" si="873"/>
        <v>3.9950000000000001</v>
      </c>
      <c r="G3055" s="1410"/>
      <c r="H3055" s="1411">
        <f t="shared" si="874"/>
        <v>0.255</v>
      </c>
      <c r="I3055" s="1471">
        <f t="shared" si="870"/>
        <v>2.0374500000000002</v>
      </c>
      <c r="Q3055" s="1394">
        <f>IFERROR(VLOOKUP(M3055,#REF!,3,0),0)</f>
        <v>0</v>
      </c>
      <c r="R3055" s="1394">
        <f t="shared" si="875"/>
        <v>0</v>
      </c>
      <c r="S3055" s="1394">
        <f>IFERROR(VLOOKUP(M3055,#REF!,6,0),0)</f>
        <v>0</v>
      </c>
      <c r="T3055" s="1394">
        <f t="shared" si="862"/>
        <v>0</v>
      </c>
      <c r="U3055" s="1394">
        <f>IFERROR(VLOOKUP(M3055,#REF!,5,0),0)</f>
        <v>0</v>
      </c>
      <c r="V3055" s="1394">
        <f t="shared" si="863"/>
        <v>0</v>
      </c>
      <c r="W3055" s="1394"/>
    </row>
    <row r="3056" spans="2:23" ht="30" customHeight="1">
      <c r="B3056" s="1405">
        <f t="shared" si="868"/>
        <v>0</v>
      </c>
      <c r="C3056" s="1408" t="str">
        <f t="shared" si="871"/>
        <v>G3 to H3 , G5 to H5 , G6 to H6 &amp; G7 to H7</v>
      </c>
      <c r="D3056" s="1409">
        <f t="shared" si="872"/>
        <v>2</v>
      </c>
      <c r="E3056" s="1409">
        <f t="shared" si="873"/>
        <v>4</v>
      </c>
      <c r="F3056" s="1410">
        <f t="shared" si="873"/>
        <v>3.9950000000000001</v>
      </c>
      <c r="G3056" s="1410"/>
      <c r="H3056" s="1411">
        <f t="shared" si="874"/>
        <v>0.255</v>
      </c>
      <c r="I3056" s="1471">
        <f t="shared" si="870"/>
        <v>8.1498000000000008</v>
      </c>
      <c r="Q3056" s="1394">
        <f>IFERROR(VLOOKUP(M3056,#REF!,3,0),0)</f>
        <v>0</v>
      </c>
      <c r="R3056" s="1394">
        <f t="shared" si="875"/>
        <v>0</v>
      </c>
      <c r="S3056" s="1394">
        <f>IFERROR(VLOOKUP(M3056,#REF!,6,0),0)</f>
        <v>0</v>
      </c>
      <c r="T3056" s="1394">
        <f t="shared" si="862"/>
        <v>0</v>
      </c>
      <c r="U3056" s="1394">
        <f>IFERROR(VLOOKUP(M3056,#REF!,5,0),0)</f>
        <v>0</v>
      </c>
      <c r="V3056" s="1394">
        <f t="shared" si="863"/>
        <v>0</v>
      </c>
      <c r="W3056" s="1394"/>
    </row>
    <row r="3057" spans="2:23" ht="30" customHeight="1">
      <c r="B3057" s="1405">
        <f t="shared" si="868"/>
        <v>0</v>
      </c>
      <c r="C3057" s="1408" t="str">
        <f t="shared" si="871"/>
        <v>Cross beams</v>
      </c>
      <c r="D3057" s="1409">
        <f t="shared" si="872"/>
        <v>2</v>
      </c>
      <c r="E3057" s="1409">
        <f t="shared" si="873"/>
        <v>1</v>
      </c>
      <c r="F3057" s="1410">
        <f t="shared" si="873"/>
        <v>1.7350000000000001</v>
      </c>
      <c r="G3057" s="1410"/>
      <c r="H3057" s="1411">
        <f t="shared" si="874"/>
        <v>0.255</v>
      </c>
      <c r="I3057" s="1471">
        <f t="shared" si="870"/>
        <v>0.88485000000000003</v>
      </c>
      <c r="Q3057" s="1394">
        <f>IFERROR(VLOOKUP(M3057,#REF!,3,0),0)</f>
        <v>0</v>
      </c>
      <c r="R3057" s="1394">
        <f t="shared" si="875"/>
        <v>0</v>
      </c>
      <c r="S3057" s="1394">
        <f>IFERROR(VLOOKUP(M3057,#REF!,6,0),0)</f>
        <v>0</v>
      </c>
      <c r="T3057" s="1394">
        <f t="shared" si="862"/>
        <v>0</v>
      </c>
      <c r="U3057" s="1394">
        <f>IFERROR(VLOOKUP(M3057,#REF!,5,0),0)</f>
        <v>0</v>
      </c>
      <c r="V3057" s="1394">
        <f t="shared" si="863"/>
        <v>0</v>
      </c>
      <c r="W3057" s="1394"/>
    </row>
    <row r="3058" spans="2:23" ht="30" customHeight="1">
      <c r="B3058" s="1405">
        <f t="shared" si="868"/>
        <v>0</v>
      </c>
      <c r="C3058" s="1408" t="str">
        <f t="shared" si="871"/>
        <v>Cross beams</v>
      </c>
      <c r="D3058" s="1409">
        <f t="shared" si="872"/>
        <v>2</v>
      </c>
      <c r="E3058" s="1409">
        <f t="shared" si="873"/>
        <v>1</v>
      </c>
      <c r="F3058" s="1410">
        <f t="shared" si="873"/>
        <v>3.7650000000000001</v>
      </c>
      <c r="G3058" s="1410"/>
      <c r="H3058" s="1411">
        <f t="shared" si="874"/>
        <v>0.255</v>
      </c>
      <c r="I3058" s="1471">
        <f t="shared" si="870"/>
        <v>1.92015</v>
      </c>
      <c r="J3058" s="1396"/>
      <c r="K3058" s="1396"/>
      <c r="Q3058" s="1394">
        <f>IFERROR(VLOOKUP(M3058,#REF!,3,0),0)</f>
        <v>0</v>
      </c>
      <c r="R3058" s="1394">
        <f t="shared" si="875"/>
        <v>0</v>
      </c>
      <c r="S3058" s="1394">
        <f>IFERROR(VLOOKUP(M3058,#REF!,6,0),0)</f>
        <v>0</v>
      </c>
      <c r="T3058" s="1394">
        <f t="shared" si="862"/>
        <v>0</v>
      </c>
      <c r="U3058" s="1394">
        <f>IFERROR(VLOOKUP(M3058,#REF!,5,0),0)</f>
        <v>0</v>
      </c>
      <c r="V3058" s="1394">
        <f t="shared" si="863"/>
        <v>0</v>
      </c>
      <c r="W3058" s="1394"/>
    </row>
    <row r="3059" spans="2:23" ht="30" customHeight="1">
      <c r="B3059" s="1405">
        <f t="shared" si="868"/>
        <v>0</v>
      </c>
      <c r="C3059" s="1415" t="str">
        <f t="shared" si="871"/>
        <v>Vertical beam</v>
      </c>
      <c r="D3059" s="1409">
        <f t="shared" si="872"/>
        <v>0</v>
      </c>
      <c r="E3059" s="1409">
        <f t="shared" si="873"/>
        <v>0</v>
      </c>
      <c r="F3059" s="1410">
        <f t="shared" si="873"/>
        <v>0</v>
      </c>
      <c r="G3059" s="1410"/>
      <c r="H3059" s="1411">
        <f t="shared" si="874"/>
        <v>-0.125</v>
      </c>
      <c r="I3059" s="1471">
        <f t="shared" si="870"/>
        <v>0</v>
      </c>
      <c r="Q3059" s="1394">
        <f>IFERROR(VLOOKUP(M3059,#REF!,3,0),0)</f>
        <v>0</v>
      </c>
      <c r="R3059" s="1394">
        <f t="shared" si="875"/>
        <v>0</v>
      </c>
      <c r="S3059" s="1394">
        <f>IFERROR(VLOOKUP(M3059,#REF!,6,0),0)</f>
        <v>0</v>
      </c>
      <c r="T3059" s="1394">
        <f t="shared" si="862"/>
        <v>0</v>
      </c>
      <c r="U3059" s="1394">
        <f>IFERROR(VLOOKUP(M3059,#REF!,5,0),0)</f>
        <v>0</v>
      </c>
      <c r="V3059" s="1394">
        <f t="shared" si="863"/>
        <v>0</v>
      </c>
      <c r="W3059" s="1394"/>
    </row>
    <row r="3060" spans="2:23" ht="30" customHeight="1">
      <c r="B3060" s="1405">
        <f t="shared" si="868"/>
        <v>0</v>
      </c>
      <c r="C3060" s="1408" t="str">
        <f t="shared" si="871"/>
        <v>A3 To A5</v>
      </c>
      <c r="D3060" s="1409">
        <f t="shared" si="872"/>
        <v>2</v>
      </c>
      <c r="E3060" s="1409">
        <f t="shared" si="873"/>
        <v>1</v>
      </c>
      <c r="F3060" s="1410">
        <f t="shared" si="873"/>
        <v>5.5299999999999994</v>
      </c>
      <c r="G3060" s="1410"/>
      <c r="H3060" s="1411">
        <f t="shared" si="874"/>
        <v>0.32500000000000001</v>
      </c>
      <c r="I3060" s="1471">
        <f t="shared" si="870"/>
        <v>3.5944999999999996</v>
      </c>
      <c r="Q3060" s="1394">
        <f>IFERROR(VLOOKUP(M3060,#REF!,3,0),0)</f>
        <v>0</v>
      </c>
      <c r="R3060" s="1394">
        <f t="shared" si="875"/>
        <v>0</v>
      </c>
      <c r="S3060" s="1394">
        <f>IFERROR(VLOOKUP(M3060,#REF!,6,0),0)</f>
        <v>0</v>
      </c>
      <c r="T3060" s="1394">
        <f t="shared" si="862"/>
        <v>0</v>
      </c>
      <c r="U3060" s="1394">
        <f>IFERROR(VLOOKUP(M3060,#REF!,5,0),0)</f>
        <v>0</v>
      </c>
      <c r="V3060" s="1394">
        <f t="shared" si="863"/>
        <v>0</v>
      </c>
      <c r="W3060" s="1394"/>
    </row>
    <row r="3061" spans="2:23" ht="30" customHeight="1">
      <c r="B3061" s="1405">
        <f t="shared" si="868"/>
        <v>0</v>
      </c>
      <c r="C3061" s="1408" t="str">
        <f t="shared" si="871"/>
        <v>A5 To A8</v>
      </c>
      <c r="D3061" s="1409">
        <f t="shared" si="872"/>
        <v>2</v>
      </c>
      <c r="E3061" s="1409">
        <f t="shared" si="873"/>
        <v>1</v>
      </c>
      <c r="F3061" s="1410">
        <f t="shared" si="873"/>
        <v>10.120000000000001</v>
      </c>
      <c r="G3061" s="1410"/>
      <c r="H3061" s="1411">
        <f t="shared" si="874"/>
        <v>0.255</v>
      </c>
      <c r="I3061" s="1471">
        <f t="shared" si="870"/>
        <v>5.1612000000000009</v>
      </c>
      <c r="Q3061" s="1394">
        <f>IFERROR(VLOOKUP(M3061,#REF!,3,0),0)</f>
        <v>0</v>
      </c>
      <c r="R3061" s="1394">
        <f t="shared" si="875"/>
        <v>0</v>
      </c>
      <c r="S3061" s="1394">
        <f>IFERROR(VLOOKUP(M3061,#REF!,6,0),0)</f>
        <v>0</v>
      </c>
      <c r="T3061" s="1394">
        <f t="shared" si="862"/>
        <v>0</v>
      </c>
      <c r="U3061" s="1394">
        <f>IFERROR(VLOOKUP(M3061,#REF!,5,0),0)</f>
        <v>0</v>
      </c>
      <c r="V3061" s="1394">
        <f t="shared" si="863"/>
        <v>0</v>
      </c>
      <c r="W3061" s="1394"/>
    </row>
    <row r="3062" spans="2:23" ht="30" customHeight="1">
      <c r="B3062" s="1405">
        <f t="shared" si="868"/>
        <v>0</v>
      </c>
      <c r="C3062" s="1408" t="str">
        <f t="shared" si="871"/>
        <v>B3 To B8</v>
      </c>
      <c r="D3062" s="1409">
        <f t="shared" si="872"/>
        <v>2</v>
      </c>
      <c r="E3062" s="1409">
        <f t="shared" si="873"/>
        <v>1</v>
      </c>
      <c r="F3062" s="1410">
        <f t="shared" si="873"/>
        <v>15.649999999999999</v>
      </c>
      <c r="G3062" s="1410"/>
      <c r="H3062" s="1411">
        <f t="shared" si="874"/>
        <v>0.255</v>
      </c>
      <c r="I3062" s="1471">
        <f t="shared" si="870"/>
        <v>7.9814999999999996</v>
      </c>
      <c r="Q3062" s="1394">
        <f>IFERROR(VLOOKUP(M3062,#REF!,3,0),0)</f>
        <v>0</v>
      </c>
      <c r="R3062" s="1394">
        <f t="shared" si="875"/>
        <v>0</v>
      </c>
      <c r="S3062" s="1394">
        <f>IFERROR(VLOOKUP(M3062,#REF!,6,0),0)</f>
        <v>0</v>
      </c>
      <c r="T3062" s="1394">
        <f t="shared" si="862"/>
        <v>0</v>
      </c>
      <c r="U3062" s="1394">
        <f>IFERROR(VLOOKUP(M3062,#REF!,5,0),0)</f>
        <v>0</v>
      </c>
      <c r="V3062" s="1394">
        <f t="shared" si="863"/>
        <v>0</v>
      </c>
      <c r="W3062" s="1394"/>
    </row>
    <row r="3063" spans="2:23" ht="30" customHeight="1">
      <c r="B3063" s="1405">
        <f t="shared" si="868"/>
        <v>0</v>
      </c>
      <c r="C3063" s="1408" t="str">
        <f t="shared" si="871"/>
        <v>Cross beams</v>
      </c>
      <c r="D3063" s="1409">
        <f t="shared" si="872"/>
        <v>2</v>
      </c>
      <c r="E3063" s="1409">
        <f t="shared" si="873"/>
        <v>1</v>
      </c>
      <c r="F3063" s="1410">
        <f t="shared" si="873"/>
        <v>4.13</v>
      </c>
      <c r="G3063" s="1410"/>
      <c r="H3063" s="1411">
        <f t="shared" si="874"/>
        <v>0.255</v>
      </c>
      <c r="I3063" s="1471">
        <f t="shared" si="870"/>
        <v>2.1063000000000001</v>
      </c>
      <c r="Q3063" s="1394">
        <f>IFERROR(VLOOKUP(M3063,#REF!,3,0),0)</f>
        <v>0</v>
      </c>
      <c r="R3063" s="1394">
        <f t="shared" si="875"/>
        <v>0</v>
      </c>
      <c r="S3063" s="1394">
        <f>IFERROR(VLOOKUP(M3063,#REF!,6,0),0)</f>
        <v>0</v>
      </c>
      <c r="T3063" s="1394">
        <f t="shared" si="862"/>
        <v>0</v>
      </c>
      <c r="U3063" s="1394">
        <f>IFERROR(VLOOKUP(M3063,#REF!,5,0),0)</f>
        <v>0</v>
      </c>
      <c r="V3063" s="1394">
        <f t="shared" si="863"/>
        <v>0</v>
      </c>
      <c r="W3063" s="1394"/>
    </row>
    <row r="3064" spans="2:23" ht="30" customHeight="1">
      <c r="B3064" s="1405">
        <f t="shared" si="868"/>
        <v>0</v>
      </c>
      <c r="C3064" s="1408" t="str">
        <f t="shared" si="871"/>
        <v>Cross beams</v>
      </c>
      <c r="D3064" s="1409">
        <f t="shared" si="872"/>
        <v>2</v>
      </c>
      <c r="E3064" s="1409">
        <f t="shared" si="873"/>
        <v>1</v>
      </c>
      <c r="F3064" s="1410">
        <f t="shared" si="873"/>
        <v>4.13</v>
      </c>
      <c r="G3064" s="1410"/>
      <c r="H3064" s="1411">
        <f t="shared" si="874"/>
        <v>0.32500000000000001</v>
      </c>
      <c r="I3064" s="1471">
        <f t="shared" si="870"/>
        <v>2.6844999999999999</v>
      </c>
      <c r="Q3064" s="1394">
        <f>IFERROR(VLOOKUP(M3064,#REF!,3,0),0)</f>
        <v>0</v>
      </c>
      <c r="R3064" s="1394">
        <f t="shared" si="875"/>
        <v>0</v>
      </c>
      <c r="S3064" s="1394">
        <f>IFERROR(VLOOKUP(M3064,#REF!,6,0),0)</f>
        <v>0</v>
      </c>
      <c r="T3064" s="1394">
        <f t="shared" si="862"/>
        <v>0</v>
      </c>
      <c r="U3064" s="1394">
        <f>IFERROR(VLOOKUP(M3064,#REF!,5,0),0)</f>
        <v>0</v>
      </c>
      <c r="V3064" s="1394">
        <f t="shared" si="863"/>
        <v>0</v>
      </c>
      <c r="W3064" s="1394"/>
    </row>
    <row r="3065" spans="2:23" ht="30" customHeight="1">
      <c r="B3065" s="1405">
        <f t="shared" si="868"/>
        <v>0</v>
      </c>
      <c r="C3065" s="1408" t="str">
        <f t="shared" si="871"/>
        <v>C4 to C5</v>
      </c>
      <c r="D3065" s="1409">
        <f t="shared" si="872"/>
        <v>2</v>
      </c>
      <c r="E3065" s="1409">
        <f t="shared" si="873"/>
        <v>1</v>
      </c>
      <c r="F3065" s="1410">
        <f t="shared" si="873"/>
        <v>2.5299999999999998</v>
      </c>
      <c r="G3065" s="1410"/>
      <c r="H3065" s="1411">
        <f t="shared" si="874"/>
        <v>0.32500000000000001</v>
      </c>
      <c r="I3065" s="1471">
        <f t="shared" si="870"/>
        <v>1.6444999999999999</v>
      </c>
      <c r="Q3065" s="1394">
        <f>IFERROR(VLOOKUP(M3065,#REF!,3,0),0)</f>
        <v>0</v>
      </c>
      <c r="R3065" s="1394">
        <f t="shared" si="875"/>
        <v>0</v>
      </c>
      <c r="S3065" s="1394">
        <f>IFERROR(VLOOKUP(M3065,#REF!,6,0),0)</f>
        <v>0</v>
      </c>
      <c r="T3065" s="1394">
        <f t="shared" si="862"/>
        <v>0</v>
      </c>
      <c r="U3065" s="1394">
        <f>IFERROR(VLOOKUP(M3065,#REF!,5,0),0)</f>
        <v>0</v>
      </c>
      <c r="V3065" s="1394">
        <f t="shared" si="863"/>
        <v>0</v>
      </c>
      <c r="W3065" s="1394"/>
    </row>
    <row r="3066" spans="2:23" ht="30" customHeight="1">
      <c r="B3066" s="1405">
        <f t="shared" si="868"/>
        <v>0</v>
      </c>
      <c r="C3066" s="1408" t="str">
        <f t="shared" si="871"/>
        <v xml:space="preserve">C5 to C7 &amp; F5 to F7 </v>
      </c>
      <c r="D3066" s="1409">
        <f t="shared" si="872"/>
        <v>2</v>
      </c>
      <c r="E3066" s="1409">
        <f t="shared" si="873"/>
        <v>2</v>
      </c>
      <c r="F3066" s="1410">
        <f t="shared" si="873"/>
        <v>5.99</v>
      </c>
      <c r="G3066" s="1410"/>
      <c r="H3066" s="1411">
        <f t="shared" si="874"/>
        <v>0.47499999999999998</v>
      </c>
      <c r="I3066" s="1471">
        <f t="shared" si="870"/>
        <v>11.381</v>
      </c>
      <c r="Q3066" s="1394">
        <f>IFERROR(VLOOKUP(M3066,#REF!,3,0),0)</f>
        <v>0</v>
      </c>
      <c r="R3066" s="1394">
        <f t="shared" si="875"/>
        <v>0</v>
      </c>
      <c r="S3066" s="1394">
        <f>IFERROR(VLOOKUP(M3066,#REF!,6,0),0)</f>
        <v>0</v>
      </c>
      <c r="T3066" s="1394">
        <f t="shared" si="862"/>
        <v>0</v>
      </c>
      <c r="U3066" s="1394">
        <f>IFERROR(VLOOKUP(M3066,#REF!,5,0),0)</f>
        <v>0</v>
      </c>
      <c r="V3066" s="1394">
        <f t="shared" si="863"/>
        <v>0</v>
      </c>
      <c r="W3066" s="1394"/>
    </row>
    <row r="3067" spans="2:23" ht="30" customHeight="1">
      <c r="B3067" s="1405">
        <f t="shared" si="868"/>
        <v>0</v>
      </c>
      <c r="C3067" s="1408" t="str">
        <f t="shared" si="871"/>
        <v>F3 to F5</v>
      </c>
      <c r="D3067" s="1409">
        <f t="shared" si="872"/>
        <v>2</v>
      </c>
      <c r="E3067" s="1409">
        <f t="shared" si="873"/>
        <v>1</v>
      </c>
      <c r="F3067" s="1410">
        <f t="shared" si="873"/>
        <v>5.5299999999999994</v>
      </c>
      <c r="G3067" s="1410"/>
      <c r="H3067" s="1411">
        <f t="shared" si="874"/>
        <v>0.32500000000000001</v>
      </c>
      <c r="I3067" s="1471">
        <f t="shared" si="870"/>
        <v>3.5944999999999996</v>
      </c>
      <c r="Q3067" s="1394">
        <f>IFERROR(VLOOKUP(M3067,#REF!,3,0),0)</f>
        <v>0</v>
      </c>
      <c r="R3067" s="1394">
        <f t="shared" si="875"/>
        <v>0</v>
      </c>
      <c r="S3067" s="1394">
        <f>IFERROR(VLOOKUP(M3067,#REF!,6,0),0)</f>
        <v>0</v>
      </c>
      <c r="T3067" s="1394">
        <f t="shared" si="862"/>
        <v>0</v>
      </c>
      <c r="U3067" s="1394">
        <f>IFERROR(VLOOKUP(M3067,#REF!,5,0),0)</f>
        <v>0</v>
      </c>
      <c r="V3067" s="1394">
        <f t="shared" si="863"/>
        <v>0</v>
      </c>
      <c r="W3067" s="1394"/>
    </row>
    <row r="3068" spans="2:23" ht="30" customHeight="1">
      <c r="B3068" s="1405">
        <f t="shared" si="868"/>
        <v>0</v>
      </c>
      <c r="C3068" s="1408" t="str">
        <f t="shared" si="871"/>
        <v>E7 to E8</v>
      </c>
      <c r="D3068" s="1409">
        <f t="shared" si="872"/>
        <v>2</v>
      </c>
      <c r="E3068" s="1409">
        <f t="shared" si="873"/>
        <v>1</v>
      </c>
      <c r="F3068" s="1410">
        <f t="shared" si="873"/>
        <v>4.13</v>
      </c>
      <c r="G3068" s="1410"/>
      <c r="H3068" s="1411">
        <f t="shared" si="874"/>
        <v>0.255</v>
      </c>
      <c r="I3068" s="1471">
        <f t="shared" si="870"/>
        <v>2.1063000000000001</v>
      </c>
      <c r="Q3068" s="1394">
        <f>IFERROR(VLOOKUP(M3068,#REF!,3,0),0)</f>
        <v>0</v>
      </c>
      <c r="R3068" s="1394">
        <f t="shared" si="875"/>
        <v>0</v>
      </c>
      <c r="S3068" s="1394">
        <f>IFERROR(VLOOKUP(M3068,#REF!,6,0),0)</f>
        <v>0</v>
      </c>
      <c r="T3068" s="1394">
        <f t="shared" si="862"/>
        <v>0</v>
      </c>
      <c r="U3068" s="1394">
        <f>IFERROR(VLOOKUP(M3068,#REF!,5,0),0)</f>
        <v>0</v>
      </c>
      <c r="V3068" s="1394">
        <f t="shared" si="863"/>
        <v>0</v>
      </c>
      <c r="W3068" s="1394"/>
    </row>
    <row r="3069" spans="2:23" ht="30" customHeight="1">
      <c r="B3069" s="1405">
        <f t="shared" si="868"/>
        <v>0</v>
      </c>
      <c r="C3069" s="1408" t="str">
        <f t="shared" si="871"/>
        <v>G3 to G7</v>
      </c>
      <c r="D3069" s="1409">
        <f t="shared" si="872"/>
        <v>2</v>
      </c>
      <c r="E3069" s="1409">
        <f t="shared" si="873"/>
        <v>1</v>
      </c>
      <c r="F3069" s="1410">
        <f t="shared" si="873"/>
        <v>11.52</v>
      </c>
      <c r="G3069" s="1410"/>
      <c r="H3069" s="1411">
        <f t="shared" si="874"/>
        <v>0.32500000000000001</v>
      </c>
      <c r="I3069" s="1471">
        <f t="shared" si="870"/>
        <v>7.4879999999999995</v>
      </c>
      <c r="L3069" s="1413"/>
      <c r="O3069" s="1395"/>
      <c r="Q3069" s="1394">
        <f>IFERROR(VLOOKUP(M3069,#REF!,3,0),0)</f>
        <v>0</v>
      </c>
      <c r="R3069" s="1394">
        <f t="shared" si="875"/>
        <v>0</v>
      </c>
      <c r="S3069" s="1394">
        <f>IFERROR(VLOOKUP(M3069,#REF!,6,0),0)</f>
        <v>0</v>
      </c>
      <c r="T3069" s="1394">
        <f t="shared" si="862"/>
        <v>0</v>
      </c>
      <c r="U3069" s="1394">
        <f>IFERROR(VLOOKUP(M3069,#REF!,5,0),0)</f>
        <v>0</v>
      </c>
      <c r="V3069" s="1394">
        <f t="shared" si="863"/>
        <v>0</v>
      </c>
      <c r="W3069" s="1394"/>
    </row>
    <row r="3070" spans="2:23" ht="30" customHeight="1">
      <c r="B3070" s="1405">
        <f t="shared" si="868"/>
        <v>0</v>
      </c>
      <c r="C3070" s="1408" t="str">
        <f t="shared" si="871"/>
        <v>G7 to G8</v>
      </c>
      <c r="D3070" s="1409">
        <f t="shared" si="872"/>
        <v>2</v>
      </c>
      <c r="E3070" s="1409">
        <f t="shared" si="873"/>
        <v>1</v>
      </c>
      <c r="F3070" s="1410">
        <f t="shared" si="873"/>
        <v>4.13</v>
      </c>
      <c r="G3070" s="1410"/>
      <c r="H3070" s="1411">
        <f t="shared" si="874"/>
        <v>0.32500000000000001</v>
      </c>
      <c r="I3070" s="1471">
        <f t="shared" si="870"/>
        <v>2.6844999999999999</v>
      </c>
      <c r="L3070" s="1413"/>
      <c r="O3070" s="1395"/>
      <c r="Q3070" s="1394">
        <f>IFERROR(VLOOKUP(M3070,#REF!,3,0),0)</f>
        <v>0</v>
      </c>
      <c r="R3070" s="1394">
        <f t="shared" si="875"/>
        <v>0</v>
      </c>
      <c r="S3070" s="1394">
        <f>IFERROR(VLOOKUP(M3070,#REF!,6,0),0)</f>
        <v>0</v>
      </c>
      <c r="T3070" s="1394">
        <f t="shared" si="862"/>
        <v>0</v>
      </c>
      <c r="U3070" s="1394">
        <f>IFERROR(VLOOKUP(M3070,#REF!,5,0),0)</f>
        <v>0</v>
      </c>
      <c r="V3070" s="1394">
        <f t="shared" si="863"/>
        <v>0</v>
      </c>
      <c r="W3070" s="1394"/>
    </row>
    <row r="3071" spans="2:23" ht="30" customHeight="1">
      <c r="B3071" s="1405">
        <f t="shared" si="868"/>
        <v>0</v>
      </c>
      <c r="C3071" s="1408" t="str">
        <f t="shared" si="871"/>
        <v>H3 To H8</v>
      </c>
      <c r="D3071" s="1409">
        <f t="shared" si="872"/>
        <v>2</v>
      </c>
      <c r="E3071" s="1409">
        <f t="shared" si="873"/>
        <v>1</v>
      </c>
      <c r="F3071" s="1410">
        <f t="shared" si="873"/>
        <v>15.649999999999999</v>
      </c>
      <c r="G3071" s="1410"/>
      <c r="H3071" s="1411">
        <f t="shared" si="874"/>
        <v>0.32500000000000001</v>
      </c>
      <c r="I3071" s="1471">
        <f t="shared" si="870"/>
        <v>10.172499999999999</v>
      </c>
      <c r="L3071" s="1413"/>
      <c r="O3071" s="1395"/>
      <c r="Q3071" s="1394">
        <f>IFERROR(VLOOKUP(M3071,#REF!,3,0),0)</f>
        <v>0</v>
      </c>
      <c r="R3071" s="1394">
        <f t="shared" si="875"/>
        <v>0</v>
      </c>
      <c r="S3071" s="1394">
        <f>IFERROR(VLOOKUP(M3071,#REF!,6,0),0)</f>
        <v>0</v>
      </c>
      <c r="T3071" s="1394">
        <f t="shared" si="862"/>
        <v>0</v>
      </c>
      <c r="U3071" s="1394">
        <f>IFERROR(VLOOKUP(M3071,#REF!,5,0),0)</f>
        <v>0</v>
      </c>
      <c r="V3071" s="1394">
        <f t="shared" si="863"/>
        <v>0</v>
      </c>
      <c r="W3071" s="1394"/>
    </row>
    <row r="3072" spans="2:23" ht="30" customHeight="1">
      <c r="B3072" s="1405">
        <f t="shared" si="868"/>
        <v>0</v>
      </c>
      <c r="C3072" s="1408" t="str">
        <f t="shared" si="871"/>
        <v>Cross beams</v>
      </c>
      <c r="D3072" s="1409">
        <f t="shared" si="872"/>
        <v>2</v>
      </c>
      <c r="E3072" s="1409">
        <f t="shared" si="873"/>
        <v>1</v>
      </c>
      <c r="F3072" s="1410">
        <f t="shared" si="873"/>
        <v>2.77</v>
      </c>
      <c r="G3072" s="1410"/>
      <c r="H3072" s="1411">
        <f t="shared" si="874"/>
        <v>0.255</v>
      </c>
      <c r="I3072" s="1471">
        <f t="shared" si="870"/>
        <v>1.4127000000000001</v>
      </c>
      <c r="L3072" s="1413"/>
      <c r="O3072" s="1395"/>
      <c r="Q3072" s="1394">
        <f>IFERROR(VLOOKUP(M3072,#REF!,3,0),0)</f>
        <v>0</v>
      </c>
      <c r="R3072" s="1394">
        <f t="shared" si="875"/>
        <v>0</v>
      </c>
      <c r="S3072" s="1394">
        <f>IFERROR(VLOOKUP(M3072,#REF!,6,0),0)</f>
        <v>0</v>
      </c>
      <c r="T3072" s="1394">
        <f t="shared" si="862"/>
        <v>0</v>
      </c>
      <c r="U3072" s="1394">
        <f>IFERROR(VLOOKUP(M3072,#REF!,5,0),0)</f>
        <v>0</v>
      </c>
      <c r="V3072" s="1394">
        <f t="shared" si="863"/>
        <v>0</v>
      </c>
      <c r="W3072" s="1394"/>
    </row>
    <row r="3073" spans="2:23" ht="30" customHeight="1">
      <c r="B3073" s="1405">
        <f t="shared" ref="B3073:H3073" si="876">B1176</f>
        <v>0</v>
      </c>
      <c r="C3073" s="1415">
        <f t="shared" si="876"/>
        <v>0</v>
      </c>
      <c r="D3073" s="1409">
        <f t="shared" si="876"/>
        <v>0</v>
      </c>
      <c r="E3073" s="1409">
        <f t="shared" si="876"/>
        <v>0</v>
      </c>
      <c r="F3073" s="1410">
        <f t="shared" si="876"/>
        <v>0</v>
      </c>
      <c r="G3073" s="1410">
        <f t="shared" si="876"/>
        <v>0</v>
      </c>
      <c r="H3073" s="1411">
        <f t="shared" si="876"/>
        <v>0</v>
      </c>
      <c r="I3073" s="1471">
        <f t="shared" ref="I3073:I3099" si="877">PRODUCT(D3073:H3073)</f>
        <v>0</v>
      </c>
      <c r="O3073" s="1395"/>
      <c r="Q3073" s="1394">
        <f>IFERROR(VLOOKUP(M3073,#REF!,3,0),0)</f>
        <v>0</v>
      </c>
      <c r="R3073" s="1394">
        <f t="shared" si="875"/>
        <v>0</v>
      </c>
      <c r="S3073" s="1394">
        <f>IFERROR(VLOOKUP(M3073,#REF!,6,0),0)</f>
        <v>0</v>
      </c>
      <c r="T3073" s="1394">
        <f t="shared" si="862"/>
        <v>0</v>
      </c>
      <c r="U3073" s="1394">
        <f>IFERROR(VLOOKUP(M3073,#REF!,5,0),0)</f>
        <v>0</v>
      </c>
      <c r="V3073" s="1394">
        <f t="shared" si="863"/>
        <v>0</v>
      </c>
      <c r="W3073" s="1394"/>
    </row>
    <row r="3074" spans="2:23" ht="30" customHeight="1">
      <c r="B3074" s="1405">
        <f>B1177</f>
        <v>0</v>
      </c>
      <c r="C3074" s="1457" t="s">
        <v>409</v>
      </c>
      <c r="D3074" s="1409">
        <f t="shared" ref="D3074:H3075" si="878">D1147</f>
        <v>0</v>
      </c>
      <c r="E3074" s="1409">
        <f t="shared" si="878"/>
        <v>0</v>
      </c>
      <c r="F3074" s="1410">
        <f t="shared" si="878"/>
        <v>0</v>
      </c>
      <c r="G3074" s="1410">
        <f t="shared" si="878"/>
        <v>0</v>
      </c>
      <c r="H3074" s="1411">
        <f t="shared" si="878"/>
        <v>0</v>
      </c>
      <c r="I3074" s="1471">
        <f t="shared" si="877"/>
        <v>0</v>
      </c>
      <c r="O3074" s="1395"/>
      <c r="Q3074" s="1394">
        <f>IFERROR(VLOOKUP(M3074,#REF!,3,0),0)</f>
        <v>0</v>
      </c>
      <c r="R3074" s="1394">
        <f t="shared" si="875"/>
        <v>0</v>
      </c>
      <c r="S3074" s="1394">
        <f>IFERROR(VLOOKUP(M3074,#REF!,6,0),0)</f>
        <v>0</v>
      </c>
      <c r="T3074" s="1394">
        <f t="shared" si="862"/>
        <v>0</v>
      </c>
      <c r="U3074" s="1394">
        <f>IFERROR(VLOOKUP(M3074,#REF!,5,0),0)</f>
        <v>0</v>
      </c>
      <c r="V3074" s="1394">
        <f t="shared" si="863"/>
        <v>0</v>
      </c>
      <c r="W3074" s="1394"/>
    </row>
    <row r="3075" spans="2:23" ht="30" customHeight="1">
      <c r="B3075" s="1405">
        <f>B1178</f>
        <v>0</v>
      </c>
      <c r="C3075" s="1408" t="str">
        <f t="shared" ref="C3075:C3100" si="879">C1148</f>
        <v>Horizontal beam</v>
      </c>
      <c r="D3075" s="1409">
        <f t="shared" si="878"/>
        <v>0</v>
      </c>
      <c r="E3075" s="1409">
        <f t="shared" si="878"/>
        <v>0</v>
      </c>
      <c r="F3075" s="1410">
        <f t="shared" si="878"/>
        <v>0</v>
      </c>
      <c r="G3075" s="1410">
        <f t="shared" si="878"/>
        <v>0</v>
      </c>
      <c r="H3075" s="1411">
        <f t="shared" si="878"/>
        <v>0</v>
      </c>
      <c r="I3075" s="1471">
        <f t="shared" si="877"/>
        <v>0</v>
      </c>
      <c r="O3075" s="1395"/>
      <c r="Q3075" s="1394">
        <f>IFERROR(VLOOKUP(M3075,#REF!,3,0),0)</f>
        <v>0</v>
      </c>
      <c r="R3075" s="1394">
        <f t="shared" si="875"/>
        <v>0</v>
      </c>
      <c r="S3075" s="1394">
        <f>IFERROR(VLOOKUP(M3075,#REF!,6,0),0)</f>
        <v>0</v>
      </c>
      <c r="T3075" s="1394">
        <f t="shared" si="862"/>
        <v>0</v>
      </c>
      <c r="U3075" s="1394">
        <f>IFERROR(VLOOKUP(M3075,#REF!,5,0),0)</f>
        <v>0</v>
      </c>
      <c r="V3075" s="1394">
        <f t="shared" si="863"/>
        <v>0</v>
      </c>
      <c r="W3075" s="1394"/>
    </row>
    <row r="3076" spans="2:23" ht="30" customHeight="1">
      <c r="B3076" s="1405">
        <f t="shared" ref="B3076:B3099" si="880">B1180</f>
        <v>0</v>
      </c>
      <c r="C3076" s="1408" t="str">
        <f t="shared" si="879"/>
        <v>A1 to B1 , A5 to B5 , A6 to B6 &amp; A7 to B7</v>
      </c>
      <c r="D3076" s="1409">
        <f t="shared" ref="D3076:G3100" si="881">D1149</f>
        <v>1</v>
      </c>
      <c r="E3076" s="1409">
        <f t="shared" si="881"/>
        <v>4</v>
      </c>
      <c r="F3076" s="1410">
        <f t="shared" si="881"/>
        <v>4.2300000000000004</v>
      </c>
      <c r="G3076" s="1410">
        <f t="shared" si="881"/>
        <v>0.23</v>
      </c>
      <c r="H3076" s="1411"/>
      <c r="I3076" s="1471">
        <f t="shared" si="877"/>
        <v>3.8916000000000004</v>
      </c>
      <c r="Q3076" s="1394">
        <f>IFERROR(VLOOKUP(M3076,#REF!,3,0),0)</f>
        <v>0</v>
      </c>
      <c r="R3076" s="1394">
        <f t="shared" si="875"/>
        <v>0</v>
      </c>
      <c r="S3076" s="1394">
        <f>IFERROR(VLOOKUP(M3076,#REF!,6,0),0)</f>
        <v>0</v>
      </c>
      <c r="T3076" s="1394">
        <f t="shared" si="862"/>
        <v>0</v>
      </c>
      <c r="U3076" s="1394">
        <f>IFERROR(VLOOKUP(M3076,#REF!,5,0),0)</f>
        <v>0</v>
      </c>
      <c r="V3076" s="1394">
        <f t="shared" si="863"/>
        <v>0</v>
      </c>
      <c r="W3076" s="1394"/>
    </row>
    <row r="3077" spans="2:23" ht="30" customHeight="1">
      <c r="B3077" s="1405">
        <f t="shared" si="880"/>
        <v>0</v>
      </c>
      <c r="C3077" s="1408" t="str">
        <f t="shared" si="879"/>
        <v>A8 to H8</v>
      </c>
      <c r="D3077" s="1409">
        <f t="shared" si="881"/>
        <v>1</v>
      </c>
      <c r="E3077" s="1409">
        <f t="shared" si="881"/>
        <v>1</v>
      </c>
      <c r="F3077" s="1410">
        <f t="shared" si="881"/>
        <v>18.575000000000003</v>
      </c>
      <c r="G3077" s="1410">
        <f t="shared" si="881"/>
        <v>0.23</v>
      </c>
      <c r="H3077" s="1411"/>
      <c r="I3077" s="1471">
        <f t="shared" si="877"/>
        <v>4.2722500000000005</v>
      </c>
      <c r="J3077" s="1397"/>
      <c r="K3077" s="1397"/>
      <c r="Q3077" s="1394">
        <f>IFERROR(VLOOKUP(M3077,#REF!,3,0),0)</f>
        <v>0</v>
      </c>
      <c r="R3077" s="1394">
        <f t="shared" si="875"/>
        <v>0</v>
      </c>
      <c r="S3077" s="1394">
        <f>IFERROR(VLOOKUP(M3077,#REF!,6,0),0)</f>
        <v>0</v>
      </c>
      <c r="T3077" s="1394">
        <f t="shared" si="862"/>
        <v>0</v>
      </c>
      <c r="U3077" s="1394">
        <f>IFERROR(VLOOKUP(M3077,#REF!,5,0),0)</f>
        <v>0</v>
      </c>
      <c r="V3077" s="1394">
        <f t="shared" si="863"/>
        <v>0</v>
      </c>
      <c r="W3077" s="1394"/>
    </row>
    <row r="3078" spans="2:23" ht="30" customHeight="1">
      <c r="B3078" s="1405">
        <f t="shared" si="880"/>
        <v>0</v>
      </c>
      <c r="C3078" s="1408" t="str">
        <f t="shared" si="879"/>
        <v>B5 to G5</v>
      </c>
      <c r="D3078" s="1409">
        <f t="shared" si="881"/>
        <v>1</v>
      </c>
      <c r="E3078" s="1409">
        <f t="shared" si="881"/>
        <v>1</v>
      </c>
      <c r="F3078" s="1410">
        <f t="shared" si="881"/>
        <v>10.35</v>
      </c>
      <c r="G3078" s="1410">
        <f t="shared" si="881"/>
        <v>0.23</v>
      </c>
      <c r="H3078" s="1411"/>
      <c r="I3078" s="1471">
        <f t="shared" si="877"/>
        <v>2.3805000000000001</v>
      </c>
      <c r="J3078" s="1397"/>
      <c r="K3078" s="1397"/>
      <c r="Q3078" s="1394">
        <f>IFERROR(VLOOKUP(M3078,#REF!,3,0),0)</f>
        <v>0</v>
      </c>
      <c r="R3078" s="1394">
        <f t="shared" si="875"/>
        <v>0</v>
      </c>
      <c r="S3078" s="1394">
        <f>IFERROR(VLOOKUP(M3078,#REF!,6,0),0)</f>
        <v>0</v>
      </c>
      <c r="T3078" s="1394">
        <f t="shared" si="862"/>
        <v>0</v>
      </c>
      <c r="U3078" s="1394">
        <f>IFERROR(VLOOKUP(M3078,#REF!,5,0),0)</f>
        <v>0</v>
      </c>
      <c r="V3078" s="1394">
        <f t="shared" si="863"/>
        <v>0</v>
      </c>
      <c r="W3078" s="1394"/>
    </row>
    <row r="3079" spans="2:23" ht="30" customHeight="1">
      <c r="B3079" s="1405">
        <f t="shared" si="880"/>
        <v>0</v>
      </c>
      <c r="C3079" s="1408" t="str">
        <f t="shared" si="879"/>
        <v>B3 to G3</v>
      </c>
      <c r="D3079" s="1409">
        <f t="shared" si="881"/>
        <v>1</v>
      </c>
      <c r="E3079" s="1409">
        <f t="shared" si="881"/>
        <v>1</v>
      </c>
      <c r="F3079" s="1410">
        <f t="shared" si="881"/>
        <v>10.35</v>
      </c>
      <c r="G3079" s="1410">
        <f t="shared" si="881"/>
        <v>0.23</v>
      </c>
      <c r="H3079" s="1411"/>
      <c r="I3079" s="1471">
        <f t="shared" si="877"/>
        <v>2.3805000000000001</v>
      </c>
      <c r="Q3079" s="1394">
        <f>IFERROR(VLOOKUP(M3079,#REF!,3,0),0)</f>
        <v>0</v>
      </c>
      <c r="R3079" s="1394">
        <f t="shared" si="875"/>
        <v>0</v>
      </c>
      <c r="S3079" s="1394">
        <f>IFERROR(VLOOKUP(M3079,#REF!,6,0),0)</f>
        <v>0</v>
      </c>
      <c r="T3079" s="1394">
        <f t="shared" si="862"/>
        <v>0</v>
      </c>
      <c r="U3079" s="1394">
        <f>IFERROR(VLOOKUP(M3079,#REF!,5,0),0)</f>
        <v>0</v>
      </c>
      <c r="V3079" s="1394">
        <f t="shared" si="863"/>
        <v>0</v>
      </c>
      <c r="W3079" s="1394"/>
    </row>
    <row r="3080" spans="2:23" ht="30" customHeight="1">
      <c r="B3080" s="1405">
        <f t="shared" si="880"/>
        <v>0</v>
      </c>
      <c r="C3080" s="1408" t="str">
        <f t="shared" si="879"/>
        <v>B7 to G7</v>
      </c>
      <c r="D3080" s="1409">
        <f t="shared" si="881"/>
        <v>1</v>
      </c>
      <c r="E3080" s="1409">
        <f t="shared" si="881"/>
        <v>1</v>
      </c>
      <c r="F3080" s="1410">
        <f t="shared" si="881"/>
        <v>10.35</v>
      </c>
      <c r="G3080" s="1410">
        <f t="shared" si="881"/>
        <v>0.23</v>
      </c>
      <c r="H3080" s="1411"/>
      <c r="I3080" s="1471">
        <f t="shared" si="877"/>
        <v>2.3805000000000001</v>
      </c>
      <c r="Q3080" s="1394">
        <f>IFERROR(VLOOKUP(M3080,#REF!,3,0),0)</f>
        <v>0</v>
      </c>
      <c r="R3080" s="1394">
        <f t="shared" si="875"/>
        <v>0</v>
      </c>
      <c r="S3080" s="1394">
        <f>IFERROR(VLOOKUP(M3080,#REF!,6,0),0)</f>
        <v>0</v>
      </c>
      <c r="T3080" s="1394">
        <f t="shared" si="862"/>
        <v>0</v>
      </c>
      <c r="U3080" s="1394">
        <f>IFERROR(VLOOKUP(M3080,#REF!,5,0),0)</f>
        <v>0</v>
      </c>
      <c r="V3080" s="1394">
        <f t="shared" si="863"/>
        <v>0</v>
      </c>
      <c r="W3080" s="1394"/>
    </row>
    <row r="3081" spans="2:23" ht="30" customHeight="1">
      <c r="B3081" s="1405">
        <f t="shared" si="880"/>
        <v>0</v>
      </c>
      <c r="C3081" s="1408" t="str">
        <f t="shared" si="879"/>
        <v>B4 to F4</v>
      </c>
      <c r="D3081" s="1409">
        <f t="shared" si="881"/>
        <v>1</v>
      </c>
      <c r="E3081" s="1409">
        <f t="shared" si="881"/>
        <v>1</v>
      </c>
      <c r="F3081" s="1410">
        <f t="shared" si="881"/>
        <v>6.8849999999999998</v>
      </c>
      <c r="G3081" s="1410">
        <f t="shared" si="881"/>
        <v>0.23</v>
      </c>
      <c r="H3081" s="1411"/>
      <c r="I3081" s="1471">
        <f t="shared" si="877"/>
        <v>1.58355</v>
      </c>
      <c r="Q3081" s="1394">
        <f>IFERROR(VLOOKUP(M3081,#REF!,3,0),0)</f>
        <v>0</v>
      </c>
      <c r="R3081" s="1394">
        <f t="shared" si="875"/>
        <v>0</v>
      </c>
      <c r="S3081" s="1394">
        <f>IFERROR(VLOOKUP(M3081,#REF!,6,0),0)</f>
        <v>0</v>
      </c>
      <c r="T3081" s="1394">
        <f t="shared" si="862"/>
        <v>0</v>
      </c>
      <c r="U3081" s="1394">
        <f>IFERROR(VLOOKUP(M3081,#REF!,5,0),0)</f>
        <v>0</v>
      </c>
      <c r="V3081" s="1394">
        <f t="shared" si="863"/>
        <v>0</v>
      </c>
      <c r="W3081" s="1394"/>
    </row>
    <row r="3082" spans="2:23" ht="30" customHeight="1">
      <c r="B3082" s="1405">
        <f t="shared" si="880"/>
        <v>0</v>
      </c>
      <c r="C3082" s="1408" t="str">
        <f t="shared" si="879"/>
        <v>OTS Cross Beam</v>
      </c>
      <c r="D3082" s="1409">
        <f t="shared" si="881"/>
        <v>1</v>
      </c>
      <c r="E3082" s="1409">
        <f t="shared" si="881"/>
        <v>1</v>
      </c>
      <c r="F3082" s="1410">
        <f t="shared" si="881"/>
        <v>4.2300000000000004</v>
      </c>
      <c r="G3082" s="1410">
        <f t="shared" si="881"/>
        <v>0.23</v>
      </c>
      <c r="H3082" s="1411"/>
      <c r="I3082" s="1471">
        <f t="shared" si="877"/>
        <v>0.9729000000000001</v>
      </c>
      <c r="Q3082" s="1394">
        <f>IFERROR(VLOOKUP(M3082,#REF!,3,0),0)</f>
        <v>0</v>
      </c>
      <c r="R3082" s="1394">
        <f t="shared" si="875"/>
        <v>0</v>
      </c>
      <c r="S3082" s="1394">
        <f>IFERROR(VLOOKUP(M3082,#REF!,6,0),0)</f>
        <v>0</v>
      </c>
      <c r="T3082" s="1394">
        <f t="shared" si="862"/>
        <v>0</v>
      </c>
      <c r="U3082" s="1394">
        <f>IFERROR(VLOOKUP(M3082,#REF!,5,0),0)</f>
        <v>0</v>
      </c>
      <c r="V3082" s="1394">
        <f t="shared" si="863"/>
        <v>0</v>
      </c>
      <c r="W3082" s="1394"/>
    </row>
    <row r="3083" spans="2:23" ht="30" customHeight="1">
      <c r="B3083" s="1405">
        <f t="shared" si="880"/>
        <v>0</v>
      </c>
      <c r="C3083" s="1408" t="str">
        <f t="shared" si="879"/>
        <v>OTS Cross Beam</v>
      </c>
      <c r="D3083" s="1409">
        <f t="shared" si="881"/>
        <v>1</v>
      </c>
      <c r="E3083" s="1409">
        <f t="shared" si="881"/>
        <v>1</v>
      </c>
      <c r="F3083" s="1410">
        <f t="shared" si="881"/>
        <v>3.9950000000000001</v>
      </c>
      <c r="G3083" s="1410">
        <f t="shared" si="881"/>
        <v>0.23</v>
      </c>
      <c r="H3083" s="1411"/>
      <c r="I3083" s="1471">
        <f t="shared" si="877"/>
        <v>0.91885000000000006</v>
      </c>
      <c r="Q3083" s="1394">
        <f>IFERROR(VLOOKUP(M3083,#REF!,3,0),0)</f>
        <v>0</v>
      </c>
      <c r="R3083" s="1394">
        <f t="shared" si="875"/>
        <v>0</v>
      </c>
      <c r="S3083" s="1394">
        <f>IFERROR(VLOOKUP(M3083,#REF!,6,0),0)</f>
        <v>0</v>
      </c>
      <c r="T3083" s="1394">
        <f t="shared" si="862"/>
        <v>0</v>
      </c>
      <c r="U3083" s="1394">
        <f>IFERROR(VLOOKUP(M3083,#REF!,5,0),0)</f>
        <v>0</v>
      </c>
      <c r="V3083" s="1394">
        <f t="shared" si="863"/>
        <v>0</v>
      </c>
      <c r="W3083" s="1394"/>
    </row>
    <row r="3084" spans="2:23" ht="30" customHeight="1">
      <c r="B3084" s="1405">
        <f t="shared" si="880"/>
        <v>0</v>
      </c>
      <c r="C3084" s="1408" t="str">
        <f t="shared" si="879"/>
        <v>G3 to H3 , G5 to H5 , G6 to H6 &amp; G7 to H7</v>
      </c>
      <c r="D3084" s="1409">
        <f t="shared" si="881"/>
        <v>1</v>
      </c>
      <c r="E3084" s="1409">
        <f t="shared" si="881"/>
        <v>4</v>
      </c>
      <c r="F3084" s="1410">
        <f t="shared" si="881"/>
        <v>3.9950000000000001</v>
      </c>
      <c r="G3084" s="1410">
        <f t="shared" si="881"/>
        <v>0.23</v>
      </c>
      <c r="H3084" s="1411"/>
      <c r="I3084" s="1471">
        <f t="shared" si="877"/>
        <v>3.6754000000000002</v>
      </c>
      <c r="J3084" s="1396"/>
      <c r="K3084" s="1396"/>
      <c r="Q3084" s="1394">
        <f>IFERROR(VLOOKUP(M3084,#REF!,3,0),0)</f>
        <v>0</v>
      </c>
      <c r="R3084" s="1394">
        <f t="shared" si="875"/>
        <v>0</v>
      </c>
      <c r="S3084" s="1394">
        <f>IFERROR(VLOOKUP(M3084,#REF!,6,0),0)</f>
        <v>0</v>
      </c>
      <c r="T3084" s="1394">
        <f t="shared" si="862"/>
        <v>0</v>
      </c>
      <c r="U3084" s="1394">
        <f>IFERROR(VLOOKUP(M3084,#REF!,5,0),0)</f>
        <v>0</v>
      </c>
      <c r="V3084" s="1394">
        <f t="shared" si="863"/>
        <v>0</v>
      </c>
      <c r="W3084" s="1394"/>
    </row>
    <row r="3085" spans="2:23" ht="30" customHeight="1">
      <c r="B3085" s="1405">
        <f t="shared" si="880"/>
        <v>0</v>
      </c>
      <c r="C3085" s="1408" t="str">
        <f t="shared" si="879"/>
        <v>Cross beams</v>
      </c>
      <c r="D3085" s="1409">
        <f t="shared" si="881"/>
        <v>1</v>
      </c>
      <c r="E3085" s="1409">
        <f t="shared" si="881"/>
        <v>1</v>
      </c>
      <c r="F3085" s="1410">
        <f t="shared" si="881"/>
        <v>1.7350000000000001</v>
      </c>
      <c r="G3085" s="1410">
        <f t="shared" si="881"/>
        <v>0.23</v>
      </c>
      <c r="H3085" s="1411"/>
      <c r="I3085" s="1471">
        <f t="shared" si="877"/>
        <v>0.39905000000000002</v>
      </c>
      <c r="Q3085" s="1394">
        <f>IFERROR(VLOOKUP(M3085,#REF!,3,0),0)</f>
        <v>0</v>
      </c>
      <c r="R3085" s="1394">
        <f t="shared" si="875"/>
        <v>0</v>
      </c>
      <c r="S3085" s="1394">
        <f>IFERROR(VLOOKUP(M3085,#REF!,6,0),0)</f>
        <v>0</v>
      </c>
      <c r="T3085" s="1394">
        <f t="shared" ref="T3085:T3148" si="882">R3085-S3085</f>
        <v>0</v>
      </c>
      <c r="U3085" s="1394">
        <f>IFERROR(VLOOKUP(M3085,#REF!,5,0),0)</f>
        <v>0</v>
      </c>
      <c r="V3085" s="1394">
        <f t="shared" ref="V3085:V3148" si="883">O3085-U3085</f>
        <v>0</v>
      </c>
      <c r="W3085" s="1394"/>
    </row>
    <row r="3086" spans="2:23" ht="30" customHeight="1">
      <c r="B3086" s="1405">
        <f t="shared" si="880"/>
        <v>0</v>
      </c>
      <c r="C3086" s="1408" t="str">
        <f t="shared" si="879"/>
        <v>Cross beams</v>
      </c>
      <c r="D3086" s="1409">
        <f t="shared" si="881"/>
        <v>1</v>
      </c>
      <c r="E3086" s="1409">
        <f t="shared" si="881"/>
        <v>1</v>
      </c>
      <c r="F3086" s="1410">
        <f t="shared" si="881"/>
        <v>3.7650000000000001</v>
      </c>
      <c r="G3086" s="1410">
        <f t="shared" si="881"/>
        <v>0.23</v>
      </c>
      <c r="H3086" s="1411"/>
      <c r="I3086" s="1471">
        <f t="shared" si="877"/>
        <v>0.86595000000000011</v>
      </c>
      <c r="Q3086" s="1394">
        <f>IFERROR(VLOOKUP(M3086,#REF!,3,0),0)</f>
        <v>0</v>
      </c>
      <c r="R3086" s="1394">
        <f t="shared" si="875"/>
        <v>0</v>
      </c>
      <c r="S3086" s="1394">
        <f>IFERROR(VLOOKUP(M3086,#REF!,6,0),0)</f>
        <v>0</v>
      </c>
      <c r="T3086" s="1394">
        <f t="shared" si="882"/>
        <v>0</v>
      </c>
      <c r="U3086" s="1394">
        <f>IFERROR(VLOOKUP(M3086,#REF!,5,0),0)</f>
        <v>0</v>
      </c>
      <c r="V3086" s="1394">
        <f t="shared" si="883"/>
        <v>0</v>
      </c>
      <c r="W3086" s="1394"/>
    </row>
    <row r="3087" spans="2:23" ht="30" customHeight="1">
      <c r="B3087" s="1405">
        <f t="shared" si="880"/>
        <v>0</v>
      </c>
      <c r="C3087" s="1408" t="str">
        <f t="shared" si="879"/>
        <v>Vertical beam</v>
      </c>
      <c r="D3087" s="1409">
        <f t="shared" si="881"/>
        <v>0</v>
      </c>
      <c r="E3087" s="1409">
        <f t="shared" si="881"/>
        <v>0</v>
      </c>
      <c r="F3087" s="1410">
        <f t="shared" si="881"/>
        <v>0</v>
      </c>
      <c r="G3087" s="1410">
        <f t="shared" si="881"/>
        <v>0</v>
      </c>
      <c r="H3087" s="1411"/>
      <c r="I3087" s="1471">
        <f t="shared" si="877"/>
        <v>0</v>
      </c>
      <c r="Q3087" s="1394">
        <f>IFERROR(VLOOKUP(M3087,#REF!,3,0),0)</f>
        <v>0</v>
      </c>
      <c r="R3087" s="1394">
        <f t="shared" si="875"/>
        <v>0</v>
      </c>
      <c r="S3087" s="1394">
        <f>IFERROR(VLOOKUP(M3087,#REF!,6,0),0)</f>
        <v>0</v>
      </c>
      <c r="T3087" s="1394">
        <f t="shared" si="882"/>
        <v>0</v>
      </c>
      <c r="U3087" s="1394">
        <f>IFERROR(VLOOKUP(M3087,#REF!,5,0),0)</f>
        <v>0</v>
      </c>
      <c r="V3087" s="1394">
        <f t="shared" si="883"/>
        <v>0</v>
      </c>
      <c r="W3087" s="1394"/>
    </row>
    <row r="3088" spans="2:23" ht="30" customHeight="1">
      <c r="B3088" s="1405">
        <f t="shared" si="880"/>
        <v>0</v>
      </c>
      <c r="C3088" s="1408" t="str">
        <f t="shared" si="879"/>
        <v>A3 To A5</v>
      </c>
      <c r="D3088" s="1409">
        <f t="shared" si="881"/>
        <v>1</v>
      </c>
      <c r="E3088" s="1409">
        <f t="shared" si="881"/>
        <v>1</v>
      </c>
      <c r="F3088" s="1410">
        <f t="shared" si="881"/>
        <v>5.5299999999999994</v>
      </c>
      <c r="G3088" s="1410">
        <f t="shared" si="881"/>
        <v>0.23</v>
      </c>
      <c r="H3088" s="1411"/>
      <c r="I3088" s="1471">
        <f t="shared" si="877"/>
        <v>1.2718999999999998</v>
      </c>
      <c r="Q3088" s="1394">
        <f>IFERROR(VLOOKUP(M3088,#REF!,3,0),0)</f>
        <v>0</v>
      </c>
      <c r="R3088" s="1394">
        <f t="shared" si="875"/>
        <v>0</v>
      </c>
      <c r="S3088" s="1394">
        <f>IFERROR(VLOOKUP(M3088,#REF!,6,0),0)</f>
        <v>0</v>
      </c>
      <c r="T3088" s="1394">
        <f t="shared" si="882"/>
        <v>0</v>
      </c>
      <c r="U3088" s="1394">
        <f>IFERROR(VLOOKUP(M3088,#REF!,5,0),0)</f>
        <v>0</v>
      </c>
      <c r="V3088" s="1394">
        <f t="shared" si="883"/>
        <v>0</v>
      </c>
      <c r="W3088" s="1394"/>
    </row>
    <row r="3089" spans="2:23" ht="30" customHeight="1">
      <c r="B3089" s="1405">
        <f t="shared" si="880"/>
        <v>0</v>
      </c>
      <c r="C3089" s="1408" t="str">
        <f t="shared" si="879"/>
        <v>A5 To A8</v>
      </c>
      <c r="D3089" s="1409">
        <f t="shared" si="881"/>
        <v>1</v>
      </c>
      <c r="E3089" s="1409">
        <f t="shared" si="881"/>
        <v>1</v>
      </c>
      <c r="F3089" s="1410">
        <f t="shared" si="881"/>
        <v>10.120000000000001</v>
      </c>
      <c r="G3089" s="1410">
        <f t="shared" si="881"/>
        <v>0.23</v>
      </c>
      <c r="H3089" s="1411"/>
      <c r="I3089" s="1471">
        <f t="shared" si="877"/>
        <v>2.3276000000000003</v>
      </c>
      <c r="Q3089" s="1394">
        <f>IFERROR(VLOOKUP(M3089,#REF!,3,0),0)</f>
        <v>0</v>
      </c>
      <c r="R3089" s="1394">
        <f t="shared" si="875"/>
        <v>0</v>
      </c>
      <c r="S3089" s="1394">
        <f>IFERROR(VLOOKUP(M3089,#REF!,6,0),0)</f>
        <v>0</v>
      </c>
      <c r="T3089" s="1394">
        <f t="shared" si="882"/>
        <v>0</v>
      </c>
      <c r="U3089" s="1394">
        <f>IFERROR(VLOOKUP(M3089,#REF!,5,0),0)</f>
        <v>0</v>
      </c>
      <c r="V3089" s="1394">
        <f t="shared" si="883"/>
        <v>0</v>
      </c>
      <c r="W3089" s="1394"/>
    </row>
    <row r="3090" spans="2:23" ht="30" customHeight="1">
      <c r="B3090" s="1405">
        <f t="shared" si="880"/>
        <v>0</v>
      </c>
      <c r="C3090" s="1408" t="str">
        <f t="shared" si="879"/>
        <v>B3 To B8</v>
      </c>
      <c r="D3090" s="1409">
        <f t="shared" si="881"/>
        <v>1</v>
      </c>
      <c r="E3090" s="1409">
        <f t="shared" si="881"/>
        <v>1</v>
      </c>
      <c r="F3090" s="1410">
        <f t="shared" si="881"/>
        <v>15.649999999999999</v>
      </c>
      <c r="G3090" s="1410">
        <f t="shared" si="881"/>
        <v>0.23</v>
      </c>
      <c r="H3090" s="1411"/>
      <c r="I3090" s="1471">
        <f t="shared" si="877"/>
        <v>3.5994999999999999</v>
      </c>
      <c r="Q3090" s="1394">
        <f>IFERROR(VLOOKUP(M3090,#REF!,3,0),0)</f>
        <v>0</v>
      </c>
      <c r="R3090" s="1394">
        <f t="shared" si="875"/>
        <v>0</v>
      </c>
      <c r="S3090" s="1394">
        <f>IFERROR(VLOOKUP(M3090,#REF!,6,0),0)</f>
        <v>0</v>
      </c>
      <c r="T3090" s="1394">
        <f t="shared" si="882"/>
        <v>0</v>
      </c>
      <c r="U3090" s="1394">
        <f>IFERROR(VLOOKUP(M3090,#REF!,5,0),0)</f>
        <v>0</v>
      </c>
      <c r="V3090" s="1394">
        <f t="shared" si="883"/>
        <v>0</v>
      </c>
      <c r="W3090" s="1394"/>
    </row>
    <row r="3091" spans="2:23" ht="30" customHeight="1">
      <c r="B3091" s="1405">
        <f t="shared" si="880"/>
        <v>0</v>
      </c>
      <c r="C3091" s="1408" t="str">
        <f t="shared" si="879"/>
        <v>Cross beams</v>
      </c>
      <c r="D3091" s="1409">
        <f t="shared" si="881"/>
        <v>1</v>
      </c>
      <c r="E3091" s="1409">
        <f t="shared" si="881"/>
        <v>1</v>
      </c>
      <c r="F3091" s="1410">
        <f t="shared" si="881"/>
        <v>4.13</v>
      </c>
      <c r="G3091" s="1410">
        <f t="shared" si="881"/>
        <v>0.23</v>
      </c>
      <c r="H3091" s="1411"/>
      <c r="I3091" s="1471">
        <f t="shared" si="877"/>
        <v>0.94989999999999997</v>
      </c>
      <c r="Q3091" s="1394">
        <f>IFERROR(VLOOKUP(M3091,#REF!,3,0),0)</f>
        <v>0</v>
      </c>
      <c r="R3091" s="1394">
        <f t="shared" si="875"/>
        <v>0</v>
      </c>
      <c r="S3091" s="1394">
        <f>IFERROR(VLOOKUP(M3091,#REF!,6,0),0)</f>
        <v>0</v>
      </c>
      <c r="T3091" s="1394">
        <f t="shared" si="882"/>
        <v>0</v>
      </c>
      <c r="U3091" s="1394">
        <f>IFERROR(VLOOKUP(M3091,#REF!,5,0),0)</f>
        <v>0</v>
      </c>
      <c r="V3091" s="1394">
        <f t="shared" si="883"/>
        <v>0</v>
      </c>
      <c r="W3091" s="1394"/>
    </row>
    <row r="3092" spans="2:23" ht="30" customHeight="1">
      <c r="B3092" s="1405">
        <f t="shared" si="880"/>
        <v>0</v>
      </c>
      <c r="C3092" s="1408" t="str">
        <f t="shared" si="879"/>
        <v>Cross beams</v>
      </c>
      <c r="D3092" s="1409">
        <f t="shared" si="881"/>
        <v>1</v>
      </c>
      <c r="E3092" s="1409">
        <f t="shared" si="881"/>
        <v>1</v>
      </c>
      <c r="F3092" s="1410">
        <f t="shared" si="881"/>
        <v>4.13</v>
      </c>
      <c r="G3092" s="1410">
        <f t="shared" si="881"/>
        <v>0.23</v>
      </c>
      <c r="H3092" s="1411"/>
      <c r="I3092" s="1471">
        <f t="shared" si="877"/>
        <v>0.94989999999999997</v>
      </c>
      <c r="Q3092" s="1394">
        <f>IFERROR(VLOOKUP(M3092,#REF!,3,0),0)</f>
        <v>0</v>
      </c>
      <c r="R3092" s="1394">
        <f t="shared" si="875"/>
        <v>0</v>
      </c>
      <c r="S3092" s="1394">
        <f>IFERROR(VLOOKUP(M3092,#REF!,6,0),0)</f>
        <v>0</v>
      </c>
      <c r="T3092" s="1394">
        <f t="shared" si="882"/>
        <v>0</v>
      </c>
      <c r="U3092" s="1394">
        <f>IFERROR(VLOOKUP(M3092,#REF!,5,0),0)</f>
        <v>0</v>
      </c>
      <c r="V3092" s="1394">
        <f t="shared" si="883"/>
        <v>0</v>
      </c>
      <c r="W3092" s="1394"/>
    </row>
    <row r="3093" spans="2:23" ht="30" customHeight="1">
      <c r="B3093" s="1405">
        <f t="shared" si="880"/>
        <v>0</v>
      </c>
      <c r="C3093" s="1408" t="str">
        <f t="shared" si="879"/>
        <v>C4 to C5</v>
      </c>
      <c r="D3093" s="1409">
        <f t="shared" si="881"/>
        <v>1</v>
      </c>
      <c r="E3093" s="1409">
        <f t="shared" si="881"/>
        <v>1</v>
      </c>
      <c r="F3093" s="1410">
        <f t="shared" si="881"/>
        <v>2.5299999999999998</v>
      </c>
      <c r="G3093" s="1410">
        <f t="shared" si="881"/>
        <v>0.23</v>
      </c>
      <c r="H3093" s="1411"/>
      <c r="I3093" s="1471">
        <f t="shared" si="877"/>
        <v>0.58189999999999997</v>
      </c>
      <c r="Q3093" s="1394">
        <f>IFERROR(VLOOKUP(M3093,#REF!,3,0),0)</f>
        <v>0</v>
      </c>
      <c r="R3093" s="1394">
        <f t="shared" si="875"/>
        <v>0</v>
      </c>
      <c r="S3093" s="1394">
        <f>IFERROR(VLOOKUP(M3093,#REF!,6,0),0)</f>
        <v>0</v>
      </c>
      <c r="T3093" s="1394">
        <f t="shared" si="882"/>
        <v>0</v>
      </c>
      <c r="U3093" s="1394">
        <f>IFERROR(VLOOKUP(M3093,#REF!,5,0),0)</f>
        <v>0</v>
      </c>
      <c r="V3093" s="1394">
        <f t="shared" si="883"/>
        <v>0</v>
      </c>
      <c r="W3093" s="1394"/>
    </row>
    <row r="3094" spans="2:23" ht="30" customHeight="1">
      <c r="B3094" s="1405">
        <f t="shared" si="880"/>
        <v>0</v>
      </c>
      <c r="C3094" s="1408" t="str">
        <f t="shared" si="879"/>
        <v xml:space="preserve">C5 to C7 &amp; F5 to F7 </v>
      </c>
      <c r="D3094" s="1409">
        <f t="shared" si="881"/>
        <v>1</v>
      </c>
      <c r="E3094" s="1409">
        <f t="shared" si="881"/>
        <v>2</v>
      </c>
      <c r="F3094" s="1410">
        <f t="shared" si="881"/>
        <v>5.99</v>
      </c>
      <c r="G3094" s="1410">
        <f t="shared" si="881"/>
        <v>0.23</v>
      </c>
      <c r="H3094" s="1411"/>
      <c r="I3094" s="1471">
        <f t="shared" si="877"/>
        <v>2.7554000000000003</v>
      </c>
      <c r="Q3094" s="1394">
        <f>IFERROR(VLOOKUP(M3094,#REF!,3,0),0)</f>
        <v>0</v>
      </c>
      <c r="R3094" s="1394">
        <f t="shared" si="875"/>
        <v>0</v>
      </c>
      <c r="S3094" s="1394">
        <f>IFERROR(VLOOKUP(M3094,#REF!,6,0),0)</f>
        <v>0</v>
      </c>
      <c r="T3094" s="1394">
        <f t="shared" si="882"/>
        <v>0</v>
      </c>
      <c r="U3094" s="1394">
        <f>IFERROR(VLOOKUP(M3094,#REF!,5,0),0)</f>
        <v>0</v>
      </c>
      <c r="V3094" s="1394">
        <f t="shared" si="883"/>
        <v>0</v>
      </c>
      <c r="W3094" s="1394"/>
    </row>
    <row r="3095" spans="2:23" ht="30" customHeight="1">
      <c r="B3095" s="1405">
        <f t="shared" si="880"/>
        <v>0</v>
      </c>
      <c r="C3095" s="1408" t="str">
        <f t="shared" si="879"/>
        <v>F3 to F5</v>
      </c>
      <c r="D3095" s="1409">
        <f t="shared" si="881"/>
        <v>1</v>
      </c>
      <c r="E3095" s="1409">
        <f t="shared" si="881"/>
        <v>1</v>
      </c>
      <c r="F3095" s="1410">
        <f t="shared" si="881"/>
        <v>5.5299999999999994</v>
      </c>
      <c r="G3095" s="1410">
        <f t="shared" si="881"/>
        <v>0.23</v>
      </c>
      <c r="H3095" s="1411"/>
      <c r="I3095" s="1471">
        <f t="shared" si="877"/>
        <v>1.2718999999999998</v>
      </c>
      <c r="L3095" s="1413"/>
      <c r="O3095" s="1395"/>
      <c r="Q3095" s="1394">
        <f>IFERROR(VLOOKUP(M3095,#REF!,3,0),0)</f>
        <v>0</v>
      </c>
      <c r="R3095" s="1394">
        <f t="shared" si="875"/>
        <v>0</v>
      </c>
      <c r="S3095" s="1394">
        <f>IFERROR(VLOOKUP(M3095,#REF!,6,0),0)</f>
        <v>0</v>
      </c>
      <c r="T3095" s="1394">
        <f t="shared" si="882"/>
        <v>0</v>
      </c>
      <c r="U3095" s="1394">
        <f>IFERROR(VLOOKUP(M3095,#REF!,5,0),0)</f>
        <v>0</v>
      </c>
      <c r="V3095" s="1394">
        <f t="shared" si="883"/>
        <v>0</v>
      </c>
      <c r="W3095" s="1394"/>
    </row>
    <row r="3096" spans="2:23" ht="30" customHeight="1">
      <c r="B3096" s="1405">
        <f t="shared" si="880"/>
        <v>0</v>
      </c>
      <c r="C3096" s="1408" t="str">
        <f t="shared" si="879"/>
        <v>E7 to E8</v>
      </c>
      <c r="D3096" s="1409">
        <f t="shared" si="881"/>
        <v>1</v>
      </c>
      <c r="E3096" s="1409">
        <f t="shared" si="881"/>
        <v>1</v>
      </c>
      <c r="F3096" s="1410">
        <f t="shared" si="881"/>
        <v>4.13</v>
      </c>
      <c r="G3096" s="1410">
        <f t="shared" si="881"/>
        <v>0.23</v>
      </c>
      <c r="H3096" s="1411"/>
      <c r="I3096" s="1471">
        <f t="shared" si="877"/>
        <v>0.94989999999999997</v>
      </c>
      <c r="L3096" s="1413"/>
      <c r="O3096" s="1395"/>
      <c r="Q3096" s="1394">
        <f>IFERROR(VLOOKUP(M3096,#REF!,3,0),0)</f>
        <v>0</v>
      </c>
      <c r="R3096" s="1394">
        <f t="shared" si="875"/>
        <v>0</v>
      </c>
      <c r="S3096" s="1394">
        <f>IFERROR(VLOOKUP(M3096,#REF!,6,0),0)</f>
        <v>0</v>
      </c>
      <c r="T3096" s="1394">
        <f t="shared" si="882"/>
        <v>0</v>
      </c>
      <c r="U3096" s="1394">
        <f>IFERROR(VLOOKUP(M3096,#REF!,5,0),0)</f>
        <v>0</v>
      </c>
      <c r="V3096" s="1394">
        <f t="shared" si="883"/>
        <v>0</v>
      </c>
      <c r="W3096" s="1394"/>
    </row>
    <row r="3097" spans="2:23" ht="30" customHeight="1">
      <c r="B3097" s="1405">
        <f t="shared" si="880"/>
        <v>0</v>
      </c>
      <c r="C3097" s="1408" t="str">
        <f t="shared" si="879"/>
        <v>G3 to G7</v>
      </c>
      <c r="D3097" s="1409">
        <f t="shared" si="881"/>
        <v>1</v>
      </c>
      <c r="E3097" s="1409">
        <f t="shared" si="881"/>
        <v>1</v>
      </c>
      <c r="F3097" s="1410">
        <f t="shared" si="881"/>
        <v>11.52</v>
      </c>
      <c r="G3097" s="1410">
        <f t="shared" si="881"/>
        <v>0.23</v>
      </c>
      <c r="H3097" s="1411"/>
      <c r="I3097" s="1471">
        <f t="shared" si="877"/>
        <v>2.6496</v>
      </c>
      <c r="L3097" s="1413"/>
      <c r="O3097" s="1395"/>
      <c r="Q3097" s="1394">
        <f>IFERROR(VLOOKUP(M3097,#REF!,3,0),0)</f>
        <v>0</v>
      </c>
      <c r="R3097" s="1394">
        <f t="shared" si="875"/>
        <v>0</v>
      </c>
      <c r="S3097" s="1394">
        <f>IFERROR(VLOOKUP(M3097,#REF!,6,0),0)</f>
        <v>0</v>
      </c>
      <c r="T3097" s="1394">
        <f t="shared" si="882"/>
        <v>0</v>
      </c>
      <c r="U3097" s="1394">
        <f>IFERROR(VLOOKUP(M3097,#REF!,5,0),0)</f>
        <v>0</v>
      </c>
      <c r="V3097" s="1394">
        <f t="shared" si="883"/>
        <v>0</v>
      </c>
      <c r="W3097" s="1394"/>
    </row>
    <row r="3098" spans="2:23" ht="30" customHeight="1">
      <c r="B3098" s="1405">
        <f t="shared" si="880"/>
        <v>0</v>
      </c>
      <c r="C3098" s="1408" t="str">
        <f t="shared" si="879"/>
        <v>G7 to G8</v>
      </c>
      <c r="D3098" s="1409">
        <f t="shared" si="881"/>
        <v>1</v>
      </c>
      <c r="E3098" s="1409">
        <f t="shared" si="881"/>
        <v>1</v>
      </c>
      <c r="F3098" s="1410">
        <f t="shared" si="881"/>
        <v>4.13</v>
      </c>
      <c r="G3098" s="1410">
        <f t="shared" si="881"/>
        <v>0.23</v>
      </c>
      <c r="H3098" s="1411"/>
      <c r="I3098" s="1471">
        <f t="shared" si="877"/>
        <v>0.94989999999999997</v>
      </c>
      <c r="L3098" s="1413"/>
      <c r="O3098" s="1395"/>
      <c r="Q3098" s="1394">
        <f>IFERROR(VLOOKUP(M3098,#REF!,3,0),0)</f>
        <v>0</v>
      </c>
      <c r="R3098" s="1394">
        <f t="shared" si="875"/>
        <v>0</v>
      </c>
      <c r="S3098" s="1394">
        <f>IFERROR(VLOOKUP(M3098,#REF!,6,0),0)</f>
        <v>0</v>
      </c>
      <c r="T3098" s="1394">
        <f t="shared" si="882"/>
        <v>0</v>
      </c>
      <c r="U3098" s="1394">
        <f>IFERROR(VLOOKUP(M3098,#REF!,5,0),0)</f>
        <v>0</v>
      </c>
      <c r="V3098" s="1394">
        <f t="shared" si="883"/>
        <v>0</v>
      </c>
      <c r="W3098" s="1394"/>
    </row>
    <row r="3099" spans="2:23" ht="30" customHeight="1">
      <c r="B3099" s="1405">
        <f t="shared" si="880"/>
        <v>0</v>
      </c>
      <c r="C3099" s="1408" t="str">
        <f t="shared" si="879"/>
        <v>H3 To H8</v>
      </c>
      <c r="D3099" s="1409">
        <f t="shared" si="881"/>
        <v>1</v>
      </c>
      <c r="E3099" s="1409">
        <f t="shared" si="881"/>
        <v>1</v>
      </c>
      <c r="F3099" s="1410">
        <f t="shared" si="881"/>
        <v>15.649999999999999</v>
      </c>
      <c r="G3099" s="1410">
        <f t="shared" si="881"/>
        <v>0.23</v>
      </c>
      <c r="H3099" s="1411"/>
      <c r="I3099" s="1471">
        <f t="shared" si="877"/>
        <v>3.5994999999999999</v>
      </c>
      <c r="L3099" s="1413"/>
      <c r="O3099" s="1395"/>
      <c r="Q3099" s="1394">
        <f>IFERROR(VLOOKUP(M3099,#REF!,3,0),0)</f>
        <v>0</v>
      </c>
      <c r="R3099" s="1394">
        <f t="shared" si="875"/>
        <v>0</v>
      </c>
      <c r="S3099" s="1394">
        <f>IFERROR(VLOOKUP(M3099,#REF!,6,0),0)</f>
        <v>0</v>
      </c>
      <c r="T3099" s="1394">
        <f t="shared" si="882"/>
        <v>0</v>
      </c>
      <c r="U3099" s="1394">
        <f>IFERROR(VLOOKUP(M3099,#REF!,5,0),0)</f>
        <v>0</v>
      </c>
      <c r="V3099" s="1394">
        <f t="shared" si="883"/>
        <v>0</v>
      </c>
      <c r="W3099" s="1394"/>
    </row>
    <row r="3100" spans="2:23" ht="30" customHeight="1">
      <c r="B3100" s="1405">
        <f>B1176</f>
        <v>0</v>
      </c>
      <c r="C3100" s="1408" t="str">
        <f t="shared" si="879"/>
        <v>Cross beams</v>
      </c>
      <c r="D3100" s="1409">
        <f t="shared" si="881"/>
        <v>1</v>
      </c>
      <c r="E3100" s="1409">
        <f t="shared" si="881"/>
        <v>1</v>
      </c>
      <c r="F3100" s="1410">
        <f t="shared" si="881"/>
        <v>2.77</v>
      </c>
      <c r="G3100" s="1410">
        <f t="shared" si="881"/>
        <v>0.23</v>
      </c>
      <c r="H3100" s="1411"/>
      <c r="I3100" s="1471">
        <f t="shared" si="870"/>
        <v>0.6371</v>
      </c>
      <c r="Q3100" s="1394">
        <f>IFERROR(VLOOKUP(M3100,#REF!,3,0),0)</f>
        <v>0</v>
      </c>
      <c r="R3100" s="1394">
        <f t="shared" si="875"/>
        <v>0</v>
      </c>
      <c r="S3100" s="1394">
        <f>IFERROR(VLOOKUP(M3100,#REF!,6,0),0)</f>
        <v>0</v>
      </c>
      <c r="T3100" s="1394">
        <f t="shared" si="882"/>
        <v>0</v>
      </c>
      <c r="U3100" s="1394">
        <f>IFERROR(VLOOKUP(M3100,#REF!,5,0),0)</f>
        <v>0</v>
      </c>
      <c r="V3100" s="1394">
        <f t="shared" si="883"/>
        <v>0</v>
      </c>
      <c r="W3100" s="1394"/>
    </row>
    <row r="3101" spans="2:23" ht="30" customHeight="1">
      <c r="B3101" s="1405"/>
      <c r="C3101" s="1408"/>
      <c r="D3101" s="1409"/>
      <c r="E3101" s="1409"/>
      <c r="F3101" s="1410"/>
      <c r="G3101" s="1410"/>
      <c r="H3101" s="1411"/>
      <c r="I3101" s="1471"/>
      <c r="Q3101" s="1394">
        <f>IFERROR(VLOOKUP(M3101,#REF!,3,0),0)</f>
        <v>0</v>
      </c>
      <c r="R3101" s="1394">
        <f t="shared" si="875"/>
        <v>0</v>
      </c>
      <c r="S3101" s="1394">
        <f>IFERROR(VLOOKUP(M3101,#REF!,6,0),0)</f>
        <v>0</v>
      </c>
      <c r="T3101" s="1394">
        <f t="shared" si="882"/>
        <v>0</v>
      </c>
      <c r="U3101" s="1394">
        <f>IFERROR(VLOOKUP(M3101,#REF!,5,0),0)</f>
        <v>0</v>
      </c>
      <c r="V3101" s="1394">
        <f t="shared" si="883"/>
        <v>0</v>
      </c>
      <c r="W3101" s="1394"/>
    </row>
    <row r="3102" spans="2:23" ht="30" customHeight="1">
      <c r="B3102" s="1405">
        <f t="shared" ref="B3102:H3102" si="884">B1177</f>
        <v>0</v>
      </c>
      <c r="C3102" s="1415" t="str">
        <f t="shared" si="884"/>
        <v>Roof Slab</v>
      </c>
      <c r="D3102" s="1409">
        <f t="shared" si="884"/>
        <v>0</v>
      </c>
      <c r="E3102" s="1409">
        <f t="shared" si="884"/>
        <v>0</v>
      </c>
      <c r="F3102" s="1410">
        <f t="shared" si="884"/>
        <v>0</v>
      </c>
      <c r="G3102" s="1410">
        <f t="shared" si="884"/>
        <v>0</v>
      </c>
      <c r="H3102" s="1411">
        <f t="shared" si="884"/>
        <v>0</v>
      </c>
      <c r="I3102" s="1471">
        <f t="shared" si="870"/>
        <v>0</v>
      </c>
      <c r="Q3102" s="1394">
        <f>IFERROR(VLOOKUP(M3102,#REF!,3,0),0)</f>
        <v>0</v>
      </c>
      <c r="R3102" s="1394">
        <f t="shared" si="875"/>
        <v>0</v>
      </c>
      <c r="S3102" s="1394">
        <f>IFERROR(VLOOKUP(M3102,#REF!,6,0),0)</f>
        <v>0</v>
      </c>
      <c r="T3102" s="1394">
        <f t="shared" si="882"/>
        <v>0</v>
      </c>
      <c r="U3102" s="1394">
        <f>IFERROR(VLOOKUP(M3102,#REF!,5,0),0)</f>
        <v>0</v>
      </c>
      <c r="V3102" s="1394">
        <f t="shared" si="883"/>
        <v>0</v>
      </c>
      <c r="W3102" s="1394"/>
    </row>
    <row r="3103" spans="2:23" ht="30" customHeight="1">
      <c r="B3103" s="1405">
        <f t="shared" ref="B3103:G3112" si="885">B1178</f>
        <v>0</v>
      </c>
      <c r="C3103" s="1482" t="str">
        <f t="shared" si="885"/>
        <v>Men Rest Room</v>
      </c>
      <c r="D3103" s="1409">
        <f t="shared" si="885"/>
        <v>1</v>
      </c>
      <c r="E3103" s="1409">
        <f t="shared" si="885"/>
        <v>1</v>
      </c>
      <c r="F3103" s="1410">
        <f t="shared" si="885"/>
        <v>4</v>
      </c>
      <c r="G3103" s="1410">
        <f t="shared" si="885"/>
        <v>5.0999999999999996</v>
      </c>
      <c r="H3103" s="1410"/>
      <c r="I3103" s="1471">
        <f t="shared" si="870"/>
        <v>20.399999999999999</v>
      </c>
      <c r="Q3103" s="1394">
        <f>IFERROR(VLOOKUP(M3103,#REF!,3,0),0)</f>
        <v>0</v>
      </c>
      <c r="R3103" s="1394">
        <f t="shared" si="875"/>
        <v>0</v>
      </c>
      <c r="S3103" s="1394">
        <f>IFERROR(VLOOKUP(M3103,#REF!,6,0),0)</f>
        <v>0</v>
      </c>
      <c r="T3103" s="1394">
        <f t="shared" si="882"/>
        <v>0</v>
      </c>
      <c r="U3103" s="1394">
        <f>IFERROR(VLOOKUP(M3103,#REF!,5,0),0)</f>
        <v>0</v>
      </c>
      <c r="V3103" s="1394">
        <f t="shared" si="883"/>
        <v>0</v>
      </c>
      <c r="W3103" s="1394"/>
    </row>
    <row r="3104" spans="2:23" ht="30" customHeight="1">
      <c r="B3104" s="1405">
        <f t="shared" si="885"/>
        <v>0</v>
      </c>
      <c r="C3104" s="1482" t="str">
        <f t="shared" si="885"/>
        <v>Men Rest Room Toilet</v>
      </c>
      <c r="D3104" s="1409">
        <f t="shared" si="885"/>
        <v>1</v>
      </c>
      <c r="E3104" s="1409">
        <f t="shared" si="885"/>
        <v>1</v>
      </c>
      <c r="F3104" s="1410">
        <f t="shared" si="885"/>
        <v>4</v>
      </c>
      <c r="G3104" s="1410">
        <f t="shared" si="885"/>
        <v>1.5</v>
      </c>
      <c r="H3104" s="1410"/>
      <c r="I3104" s="1471">
        <f t="shared" si="870"/>
        <v>6</v>
      </c>
      <c r="Q3104" s="1394">
        <f>IFERROR(VLOOKUP(M3104,#REF!,3,0),0)</f>
        <v>0</v>
      </c>
      <c r="R3104" s="1394">
        <f t="shared" si="875"/>
        <v>0</v>
      </c>
      <c r="S3104" s="1394">
        <f>IFERROR(VLOOKUP(M3104,#REF!,6,0),0)</f>
        <v>0</v>
      </c>
      <c r="T3104" s="1394">
        <f t="shared" si="882"/>
        <v>0</v>
      </c>
      <c r="U3104" s="1394">
        <f>IFERROR(VLOOKUP(M3104,#REF!,5,0),0)</f>
        <v>0</v>
      </c>
      <c r="V3104" s="1394">
        <f t="shared" si="883"/>
        <v>0</v>
      </c>
      <c r="W3104" s="1394"/>
    </row>
    <row r="3105" spans="2:23" ht="30" customHeight="1">
      <c r="B3105" s="1405">
        <f t="shared" si="885"/>
        <v>0</v>
      </c>
      <c r="C3105" s="1482" t="str">
        <f t="shared" si="885"/>
        <v>Store</v>
      </c>
      <c r="D3105" s="1409">
        <f t="shared" si="885"/>
        <v>1</v>
      </c>
      <c r="E3105" s="1409">
        <f t="shared" si="885"/>
        <v>1</v>
      </c>
      <c r="F3105" s="1410">
        <f t="shared" si="885"/>
        <v>4</v>
      </c>
      <c r="G3105" s="1410">
        <f t="shared" si="885"/>
        <v>2.5</v>
      </c>
      <c r="H3105" s="1410"/>
      <c r="I3105" s="1471">
        <f t="shared" si="870"/>
        <v>10</v>
      </c>
      <c r="Q3105" s="1394">
        <f>IFERROR(VLOOKUP(M3105,#REF!,3,0),0)</f>
        <v>0</v>
      </c>
      <c r="R3105" s="1394">
        <f t="shared" si="875"/>
        <v>0</v>
      </c>
      <c r="S3105" s="1394">
        <f>IFERROR(VLOOKUP(M3105,#REF!,6,0),0)</f>
        <v>0</v>
      </c>
      <c r="T3105" s="1394">
        <f t="shared" si="882"/>
        <v>0</v>
      </c>
      <c r="U3105" s="1394">
        <f>IFERROR(VLOOKUP(M3105,#REF!,5,0),0)</f>
        <v>0</v>
      </c>
      <c r="V3105" s="1394">
        <f t="shared" si="883"/>
        <v>0</v>
      </c>
      <c r="W3105" s="1394"/>
    </row>
    <row r="3106" spans="2:23" ht="30" customHeight="1">
      <c r="B3106" s="1405">
        <f t="shared" si="885"/>
        <v>0</v>
      </c>
      <c r="C3106" s="1482" t="str">
        <f t="shared" si="885"/>
        <v>Meeting Hall</v>
      </c>
      <c r="D3106" s="1409">
        <f t="shared" si="885"/>
        <v>1</v>
      </c>
      <c r="E3106" s="1409">
        <f t="shared" si="885"/>
        <v>1</v>
      </c>
      <c r="F3106" s="1410">
        <f t="shared" si="885"/>
        <v>4</v>
      </c>
      <c r="G3106" s="1410">
        <f t="shared" si="885"/>
        <v>3.9</v>
      </c>
      <c r="H3106" s="1410"/>
      <c r="I3106" s="1471">
        <f t="shared" si="870"/>
        <v>15.6</v>
      </c>
      <c r="Q3106" s="1394">
        <f>IFERROR(VLOOKUP(M3106,#REF!,3,0),0)</f>
        <v>0</v>
      </c>
      <c r="R3106" s="1394">
        <f t="shared" si="875"/>
        <v>0</v>
      </c>
      <c r="S3106" s="1394">
        <f>IFERROR(VLOOKUP(M3106,#REF!,6,0),0)</f>
        <v>0</v>
      </c>
      <c r="T3106" s="1394">
        <f t="shared" si="882"/>
        <v>0</v>
      </c>
      <c r="U3106" s="1394">
        <f>IFERROR(VLOOKUP(M3106,#REF!,5,0),0)</f>
        <v>0</v>
      </c>
      <c r="V3106" s="1394">
        <f t="shared" si="883"/>
        <v>0</v>
      </c>
      <c r="W3106" s="1394"/>
    </row>
    <row r="3107" spans="2:23" ht="30" customHeight="1">
      <c r="B3107" s="1405">
        <f t="shared" si="885"/>
        <v>0</v>
      </c>
      <c r="C3107" s="1482" t="str">
        <f t="shared" si="885"/>
        <v>Meeting Hall</v>
      </c>
      <c r="D3107" s="1409">
        <f t="shared" si="885"/>
        <v>1</v>
      </c>
      <c r="E3107" s="1409">
        <f t="shared" si="885"/>
        <v>1</v>
      </c>
      <c r="F3107" s="1410">
        <f t="shared" si="885"/>
        <v>1.5</v>
      </c>
      <c r="G3107" s="1410">
        <f t="shared" si="885"/>
        <v>3.9</v>
      </c>
      <c r="H3107" s="1410"/>
      <c r="I3107" s="1471">
        <f t="shared" si="870"/>
        <v>5.85</v>
      </c>
      <c r="Q3107" s="1394">
        <f>IFERROR(VLOOKUP(M3107,#REF!,3,0),0)</f>
        <v>0</v>
      </c>
      <c r="R3107" s="1394">
        <f t="shared" si="875"/>
        <v>0</v>
      </c>
      <c r="S3107" s="1394">
        <f>IFERROR(VLOOKUP(M3107,#REF!,6,0),0)</f>
        <v>0</v>
      </c>
      <c r="T3107" s="1394">
        <f t="shared" si="882"/>
        <v>0</v>
      </c>
      <c r="U3107" s="1394">
        <f>IFERROR(VLOOKUP(M3107,#REF!,5,0),0)</f>
        <v>0</v>
      </c>
      <c r="V3107" s="1394">
        <f t="shared" si="883"/>
        <v>0</v>
      </c>
      <c r="W3107" s="1394"/>
    </row>
    <row r="3108" spans="2:23" ht="30" customHeight="1">
      <c r="B3108" s="1405">
        <f t="shared" si="885"/>
        <v>0</v>
      </c>
      <c r="C3108" s="1482" t="str">
        <f t="shared" si="885"/>
        <v>Meeting Hall</v>
      </c>
      <c r="D3108" s="1409">
        <f t="shared" si="885"/>
        <v>1</v>
      </c>
      <c r="E3108" s="1409">
        <f t="shared" si="885"/>
        <v>1</v>
      </c>
      <c r="F3108" s="1410">
        <f t="shared" si="885"/>
        <v>3.6949999999999998</v>
      </c>
      <c r="G3108" s="1410">
        <f t="shared" si="885"/>
        <v>3.9</v>
      </c>
      <c r="H3108" s="1410"/>
      <c r="I3108" s="1471">
        <f t="shared" si="870"/>
        <v>14.410499999999999</v>
      </c>
      <c r="Q3108" s="1394">
        <f>IFERROR(VLOOKUP(M3108,#REF!,3,0),0)</f>
        <v>0</v>
      </c>
      <c r="R3108" s="1394">
        <f t="shared" si="875"/>
        <v>0</v>
      </c>
      <c r="S3108" s="1394">
        <f>IFERROR(VLOOKUP(M3108,#REF!,6,0),0)</f>
        <v>0</v>
      </c>
      <c r="T3108" s="1394">
        <f t="shared" si="882"/>
        <v>0</v>
      </c>
      <c r="U3108" s="1394">
        <f>IFERROR(VLOOKUP(M3108,#REF!,5,0),0)</f>
        <v>0</v>
      </c>
      <c r="V3108" s="1394">
        <f t="shared" si="883"/>
        <v>0</v>
      </c>
      <c r="W3108" s="1394"/>
    </row>
    <row r="3109" spans="2:23" ht="30" customHeight="1">
      <c r="B3109" s="1405">
        <f t="shared" si="885"/>
        <v>0</v>
      </c>
      <c r="C3109" s="1482" t="str">
        <f t="shared" si="885"/>
        <v>Men Rest Room</v>
      </c>
      <c r="D3109" s="1409">
        <f t="shared" si="885"/>
        <v>1</v>
      </c>
      <c r="E3109" s="1409">
        <f t="shared" si="885"/>
        <v>1</v>
      </c>
      <c r="F3109" s="1410">
        <f t="shared" si="885"/>
        <v>2.5</v>
      </c>
      <c r="G3109" s="1410">
        <f t="shared" si="885"/>
        <v>3.9</v>
      </c>
      <c r="H3109" s="1410"/>
      <c r="I3109" s="1471">
        <f t="shared" si="870"/>
        <v>9.75</v>
      </c>
      <c r="Q3109" s="1394">
        <f>IFERROR(VLOOKUP(M3109,#REF!,3,0),0)</f>
        <v>0</v>
      </c>
      <c r="R3109" s="1394">
        <f t="shared" si="875"/>
        <v>0</v>
      </c>
      <c r="S3109" s="1394">
        <f>IFERROR(VLOOKUP(M3109,#REF!,6,0),0)</f>
        <v>0</v>
      </c>
      <c r="T3109" s="1394">
        <f t="shared" si="882"/>
        <v>0</v>
      </c>
      <c r="U3109" s="1394">
        <f>IFERROR(VLOOKUP(M3109,#REF!,5,0),0)</f>
        <v>0</v>
      </c>
      <c r="V3109" s="1394">
        <f t="shared" si="883"/>
        <v>0</v>
      </c>
      <c r="W3109" s="1394"/>
    </row>
    <row r="3110" spans="2:23" ht="30" customHeight="1">
      <c r="B3110" s="1405">
        <f t="shared" si="885"/>
        <v>0</v>
      </c>
      <c r="C3110" s="1482" t="str">
        <f t="shared" si="885"/>
        <v>Men Rest Room</v>
      </c>
      <c r="D3110" s="1409">
        <f t="shared" si="885"/>
        <v>1</v>
      </c>
      <c r="E3110" s="1409">
        <f t="shared" si="885"/>
        <v>1</v>
      </c>
      <c r="F3110" s="1410">
        <f t="shared" si="885"/>
        <v>1.7350000000000001</v>
      </c>
      <c r="G3110" s="1410">
        <f t="shared" si="885"/>
        <v>2.3199999999999998</v>
      </c>
      <c r="H3110" s="1410"/>
      <c r="I3110" s="1471">
        <f t="shared" si="870"/>
        <v>4.0251999999999999</v>
      </c>
      <c r="Q3110" s="1394">
        <f>IFERROR(VLOOKUP(M3110,#REF!,3,0),0)</f>
        <v>0</v>
      </c>
      <c r="R3110" s="1394">
        <f t="shared" si="875"/>
        <v>0</v>
      </c>
      <c r="S3110" s="1394">
        <f>IFERROR(VLOOKUP(M3110,#REF!,6,0),0)</f>
        <v>0</v>
      </c>
      <c r="T3110" s="1394">
        <f t="shared" si="882"/>
        <v>0</v>
      </c>
      <c r="U3110" s="1394">
        <f>IFERROR(VLOOKUP(M3110,#REF!,5,0),0)</f>
        <v>0</v>
      </c>
      <c r="V3110" s="1394">
        <f t="shared" si="883"/>
        <v>0</v>
      </c>
      <c r="W3110" s="1394"/>
    </row>
    <row r="3111" spans="2:23" ht="30" customHeight="1">
      <c r="B3111" s="1405">
        <f t="shared" si="885"/>
        <v>0</v>
      </c>
      <c r="C3111" s="1482" t="str">
        <f t="shared" si="885"/>
        <v>Men Rest Room Toilet</v>
      </c>
      <c r="D3111" s="1409">
        <f t="shared" si="885"/>
        <v>1</v>
      </c>
      <c r="E3111" s="1409">
        <f t="shared" si="885"/>
        <v>1</v>
      </c>
      <c r="F3111" s="1410">
        <f t="shared" si="885"/>
        <v>1.7350000000000001</v>
      </c>
      <c r="G3111" s="1410">
        <f t="shared" si="885"/>
        <v>1.35</v>
      </c>
      <c r="H3111" s="1410"/>
      <c r="I3111" s="1471">
        <f t="shared" si="870"/>
        <v>2.3422500000000004</v>
      </c>
      <c r="Q3111" s="1394">
        <f>IFERROR(VLOOKUP(M3111,#REF!,3,0),0)</f>
        <v>0</v>
      </c>
      <c r="R3111" s="1394">
        <f t="shared" si="875"/>
        <v>0</v>
      </c>
      <c r="S3111" s="1394">
        <f>IFERROR(VLOOKUP(M3111,#REF!,6,0),0)</f>
        <v>0</v>
      </c>
      <c r="T3111" s="1394">
        <f t="shared" si="882"/>
        <v>0</v>
      </c>
      <c r="U3111" s="1394">
        <f>IFERROR(VLOOKUP(M3111,#REF!,5,0),0)</f>
        <v>0</v>
      </c>
      <c r="V3111" s="1394">
        <f t="shared" si="883"/>
        <v>0</v>
      </c>
      <c r="W3111" s="1394"/>
    </row>
    <row r="3112" spans="2:23" ht="30" customHeight="1">
      <c r="B3112" s="1405">
        <f t="shared" si="885"/>
        <v>0</v>
      </c>
      <c r="C3112" s="1482" t="str">
        <f t="shared" si="885"/>
        <v>Men Rest Room Toilet</v>
      </c>
      <c r="D3112" s="1409">
        <f t="shared" si="885"/>
        <v>1</v>
      </c>
      <c r="E3112" s="1409">
        <f t="shared" si="885"/>
        <v>1</v>
      </c>
      <c r="F3112" s="1410">
        <f t="shared" si="885"/>
        <v>3.7650000000000001</v>
      </c>
      <c r="G3112" s="1410">
        <f t="shared" si="885"/>
        <v>2.4350000000000001</v>
      </c>
      <c r="H3112" s="1410"/>
      <c r="I3112" s="1471">
        <f t="shared" si="870"/>
        <v>9.1677750000000007</v>
      </c>
      <c r="Q3112" s="1394">
        <f>IFERROR(VLOOKUP(M3112,#REF!,3,0),0)</f>
        <v>0</v>
      </c>
      <c r="R3112" s="1394">
        <f t="shared" si="875"/>
        <v>0</v>
      </c>
      <c r="S3112" s="1394">
        <f>IFERROR(VLOOKUP(M3112,#REF!,6,0),0)</f>
        <v>0</v>
      </c>
      <c r="T3112" s="1394">
        <f t="shared" si="882"/>
        <v>0</v>
      </c>
      <c r="U3112" s="1394">
        <f>IFERROR(VLOOKUP(M3112,#REF!,5,0),0)</f>
        <v>0</v>
      </c>
      <c r="V3112" s="1394">
        <f t="shared" si="883"/>
        <v>0</v>
      </c>
      <c r="W3112" s="1394"/>
    </row>
    <row r="3113" spans="2:23" ht="30" customHeight="1">
      <c r="B3113" s="1405">
        <f t="shared" ref="B3113:G3121" si="886">B1188</f>
        <v>0</v>
      </c>
      <c r="C3113" s="1482" t="str">
        <f t="shared" si="886"/>
        <v>Hall</v>
      </c>
      <c r="D3113" s="1409">
        <f t="shared" si="886"/>
        <v>1</v>
      </c>
      <c r="E3113" s="1409">
        <f t="shared" si="886"/>
        <v>1</v>
      </c>
      <c r="F3113" s="1410">
        <f t="shared" si="886"/>
        <v>1.1299999999999999</v>
      </c>
      <c r="G3113" s="1410">
        <f t="shared" si="886"/>
        <v>2.5</v>
      </c>
      <c r="H3113" s="1410"/>
      <c r="I3113" s="1471">
        <f t="shared" si="870"/>
        <v>2.8249999999999997</v>
      </c>
      <c r="Q3113" s="1394">
        <f>IFERROR(VLOOKUP(M3113,#REF!,3,0),0)</f>
        <v>0</v>
      </c>
      <c r="R3113" s="1394">
        <f t="shared" si="875"/>
        <v>0</v>
      </c>
      <c r="S3113" s="1394">
        <f>IFERROR(VLOOKUP(M3113,#REF!,6,0),0)</f>
        <v>0</v>
      </c>
      <c r="T3113" s="1394">
        <f t="shared" si="882"/>
        <v>0</v>
      </c>
      <c r="U3113" s="1394">
        <f>IFERROR(VLOOKUP(M3113,#REF!,5,0),0)</f>
        <v>0</v>
      </c>
      <c r="V3113" s="1394">
        <f t="shared" si="883"/>
        <v>0</v>
      </c>
      <c r="W3113" s="1394"/>
    </row>
    <row r="3114" spans="2:23" ht="30" customHeight="1">
      <c r="B3114" s="1405">
        <f t="shared" si="886"/>
        <v>0</v>
      </c>
      <c r="C3114" s="1482" t="str">
        <f t="shared" si="886"/>
        <v>INS Room</v>
      </c>
      <c r="D3114" s="1409">
        <f t="shared" si="886"/>
        <v>1</v>
      </c>
      <c r="E3114" s="1409">
        <f t="shared" si="886"/>
        <v>1</v>
      </c>
      <c r="F3114" s="1410">
        <f t="shared" si="886"/>
        <v>4</v>
      </c>
      <c r="G3114" s="1410">
        <f t="shared" si="886"/>
        <v>5.0999999999999996</v>
      </c>
      <c r="H3114" s="1410"/>
      <c r="I3114" s="1471">
        <f t="shared" si="870"/>
        <v>20.399999999999999</v>
      </c>
      <c r="Q3114" s="1394">
        <f>IFERROR(VLOOKUP(M3114,#REF!,3,0),0)</f>
        <v>0</v>
      </c>
      <c r="R3114" s="1394">
        <f t="shared" si="875"/>
        <v>0</v>
      </c>
      <c r="S3114" s="1394">
        <f>IFERROR(VLOOKUP(M3114,#REF!,6,0),0)</f>
        <v>0</v>
      </c>
      <c r="T3114" s="1394">
        <f t="shared" si="882"/>
        <v>0</v>
      </c>
      <c r="U3114" s="1394">
        <f>IFERROR(VLOOKUP(M3114,#REF!,5,0),0)</f>
        <v>0</v>
      </c>
      <c r="V3114" s="1394">
        <f t="shared" si="883"/>
        <v>0</v>
      </c>
      <c r="W3114" s="1394"/>
    </row>
    <row r="3115" spans="2:23" ht="30" customHeight="1">
      <c r="B3115" s="1405">
        <f t="shared" si="886"/>
        <v>0</v>
      </c>
      <c r="C3115" s="1482" t="str">
        <f t="shared" si="886"/>
        <v>INS Room Toilet</v>
      </c>
      <c r="D3115" s="1409">
        <f t="shared" si="886"/>
        <v>1</v>
      </c>
      <c r="E3115" s="1409">
        <f t="shared" si="886"/>
        <v>1</v>
      </c>
      <c r="F3115" s="1410">
        <f t="shared" si="886"/>
        <v>4</v>
      </c>
      <c r="G3115" s="1410">
        <f t="shared" si="886"/>
        <v>1.5</v>
      </c>
      <c r="H3115" s="1410"/>
      <c r="I3115" s="1471">
        <f t="shared" si="870"/>
        <v>6</v>
      </c>
      <c r="Q3115" s="1394">
        <f>IFERROR(VLOOKUP(M3115,#REF!,3,0),0)</f>
        <v>0</v>
      </c>
      <c r="R3115" s="1394">
        <f t="shared" si="875"/>
        <v>0</v>
      </c>
      <c r="S3115" s="1394">
        <f>IFERROR(VLOOKUP(M3115,#REF!,6,0),0)</f>
        <v>0</v>
      </c>
      <c r="T3115" s="1394">
        <f t="shared" si="882"/>
        <v>0</v>
      </c>
      <c r="U3115" s="1394">
        <f>IFERROR(VLOOKUP(M3115,#REF!,5,0),0)</f>
        <v>0</v>
      </c>
      <c r="V3115" s="1394">
        <f t="shared" si="883"/>
        <v>0</v>
      </c>
      <c r="W3115" s="1394"/>
    </row>
    <row r="3116" spans="2:23" ht="30" customHeight="1">
      <c r="B3116" s="1405">
        <f t="shared" si="886"/>
        <v>0</v>
      </c>
      <c r="C3116" s="1482" t="str">
        <f t="shared" si="886"/>
        <v>Writer</v>
      </c>
      <c r="D3116" s="1409">
        <f t="shared" si="886"/>
        <v>1</v>
      </c>
      <c r="E3116" s="1409">
        <f t="shared" si="886"/>
        <v>1</v>
      </c>
      <c r="F3116" s="1410">
        <f t="shared" si="886"/>
        <v>3</v>
      </c>
      <c r="G3116" s="1410">
        <f t="shared" si="886"/>
        <v>5.3</v>
      </c>
      <c r="H3116" s="1410"/>
      <c r="I3116" s="1471">
        <f t="shared" si="870"/>
        <v>15.899999999999999</v>
      </c>
      <c r="Q3116" s="1394">
        <f>IFERROR(VLOOKUP(M3116,#REF!,3,0),0)</f>
        <v>0</v>
      </c>
      <c r="R3116" s="1394">
        <f t="shared" si="875"/>
        <v>0</v>
      </c>
      <c r="S3116" s="1394">
        <f>IFERROR(VLOOKUP(M3116,#REF!,6,0),0)</f>
        <v>0</v>
      </c>
      <c r="T3116" s="1394">
        <f t="shared" si="882"/>
        <v>0</v>
      </c>
      <c r="U3116" s="1394">
        <f>IFERROR(VLOOKUP(M3116,#REF!,5,0),0)</f>
        <v>0</v>
      </c>
      <c r="V3116" s="1394">
        <f t="shared" si="883"/>
        <v>0</v>
      </c>
      <c r="W3116" s="1394"/>
    </row>
    <row r="3117" spans="2:23" ht="30" customHeight="1">
      <c r="B3117" s="1405">
        <f t="shared" si="886"/>
        <v>0</v>
      </c>
      <c r="C3117" s="1482" t="str">
        <f t="shared" si="886"/>
        <v>Stair Case Lobby-1</v>
      </c>
      <c r="D3117" s="1409">
        <f t="shared" si="886"/>
        <v>1</v>
      </c>
      <c r="E3117" s="1409">
        <f t="shared" si="886"/>
        <v>1</v>
      </c>
      <c r="F3117" s="1410">
        <f t="shared" si="886"/>
        <v>2.5249999999999999</v>
      </c>
      <c r="G3117" s="1410">
        <f t="shared" si="886"/>
        <v>2.77</v>
      </c>
      <c r="H3117" s="1410"/>
      <c r="I3117" s="1471">
        <f t="shared" si="870"/>
        <v>6.9942500000000001</v>
      </c>
      <c r="Q3117" s="1394">
        <f>IFERROR(VLOOKUP(M3117,#REF!,3,0),0)</f>
        <v>0</v>
      </c>
      <c r="R3117" s="1394">
        <f t="shared" si="875"/>
        <v>0</v>
      </c>
      <c r="S3117" s="1394">
        <f>IFERROR(VLOOKUP(M3117,#REF!,6,0),0)</f>
        <v>0</v>
      </c>
      <c r="T3117" s="1394">
        <f t="shared" si="882"/>
        <v>0</v>
      </c>
      <c r="U3117" s="1394">
        <f>IFERROR(VLOOKUP(M3117,#REF!,5,0),0)</f>
        <v>0</v>
      </c>
      <c r="V3117" s="1394">
        <f t="shared" si="883"/>
        <v>0</v>
      </c>
      <c r="W3117" s="1394"/>
    </row>
    <row r="3118" spans="2:23" ht="30" customHeight="1">
      <c r="B3118" s="1405">
        <f t="shared" si="886"/>
        <v>0</v>
      </c>
      <c r="C3118" s="1482" t="str">
        <f t="shared" si="886"/>
        <v>Stair Case Lobby-1</v>
      </c>
      <c r="D3118" s="1409">
        <f t="shared" si="886"/>
        <v>1</v>
      </c>
      <c r="E3118" s="1409">
        <f t="shared" si="886"/>
        <v>1</v>
      </c>
      <c r="F3118" s="1410">
        <f t="shared" si="886"/>
        <v>4.3250000000000002</v>
      </c>
      <c r="G3118" s="1410">
        <f t="shared" si="886"/>
        <v>2.2999999999999998</v>
      </c>
      <c r="H3118" s="1410"/>
      <c r="I3118" s="1471">
        <f t="shared" si="870"/>
        <v>9.9474999999999998</v>
      </c>
      <c r="Q3118" s="1394">
        <f>IFERROR(VLOOKUP(M3118,#REF!,3,0),0)</f>
        <v>0</v>
      </c>
      <c r="R3118" s="1394">
        <f t="shared" ref="R3118:R3181" si="887">ROUND(O3118,2)*ROUND(Q3118,2)</f>
        <v>0</v>
      </c>
      <c r="S3118" s="1394">
        <f>IFERROR(VLOOKUP(M3118,#REF!,6,0),0)</f>
        <v>0</v>
      </c>
      <c r="T3118" s="1394">
        <f t="shared" si="882"/>
        <v>0</v>
      </c>
      <c r="U3118" s="1394">
        <f>IFERROR(VLOOKUP(M3118,#REF!,5,0),0)</f>
        <v>0</v>
      </c>
      <c r="V3118" s="1394">
        <f t="shared" si="883"/>
        <v>0</v>
      </c>
      <c r="W3118" s="1394"/>
    </row>
    <row r="3119" spans="2:23" ht="30" customHeight="1">
      <c r="B3119" s="1405">
        <f t="shared" si="886"/>
        <v>0</v>
      </c>
      <c r="C3119" s="1408" t="str">
        <f t="shared" si="886"/>
        <v>Hall</v>
      </c>
      <c r="D3119" s="1409">
        <f t="shared" si="886"/>
        <v>1</v>
      </c>
      <c r="E3119" s="1409">
        <f t="shared" si="886"/>
        <v>1</v>
      </c>
      <c r="F3119" s="1410">
        <f t="shared" si="886"/>
        <v>2.1</v>
      </c>
      <c r="G3119" s="1410">
        <f t="shared" si="886"/>
        <v>5.76</v>
      </c>
      <c r="H3119" s="1410"/>
      <c r="I3119" s="1471">
        <f t="shared" si="870"/>
        <v>12.096</v>
      </c>
      <c r="O3119" s="1395"/>
      <c r="Q3119" s="1394">
        <f>IFERROR(VLOOKUP(M3119,#REF!,3,0),0)</f>
        <v>0</v>
      </c>
      <c r="R3119" s="1394">
        <f t="shared" si="887"/>
        <v>0</v>
      </c>
      <c r="S3119" s="1394">
        <f>IFERROR(VLOOKUP(M3119,#REF!,6,0),0)</f>
        <v>0</v>
      </c>
      <c r="T3119" s="1394">
        <f t="shared" si="882"/>
        <v>0</v>
      </c>
      <c r="U3119" s="1394">
        <f>IFERROR(VLOOKUP(M3119,#REF!,5,0),0)</f>
        <v>0</v>
      </c>
      <c r="V3119" s="1394">
        <f t="shared" si="883"/>
        <v>0</v>
      </c>
      <c r="W3119" s="1394"/>
    </row>
    <row r="3120" spans="2:23" ht="30" customHeight="1">
      <c r="B3120" s="1405">
        <f t="shared" si="886"/>
        <v>0</v>
      </c>
      <c r="C3120" s="1408" t="str">
        <f t="shared" si="886"/>
        <v>Hall</v>
      </c>
      <c r="D3120" s="1409">
        <f t="shared" si="886"/>
        <v>1</v>
      </c>
      <c r="E3120" s="1409">
        <f t="shared" si="886"/>
        <v>1</v>
      </c>
      <c r="F3120" s="1410">
        <f t="shared" si="886"/>
        <v>4.3250000000000002</v>
      </c>
      <c r="G3120" s="1410">
        <f t="shared" si="886"/>
        <v>5.76</v>
      </c>
      <c r="H3120" s="1410"/>
      <c r="I3120" s="1471">
        <f t="shared" si="870"/>
        <v>24.911999999999999</v>
      </c>
      <c r="O3120" s="1395"/>
      <c r="Q3120" s="1394">
        <f>IFERROR(VLOOKUP(M3120,#REF!,3,0),0)</f>
        <v>0</v>
      </c>
      <c r="R3120" s="1394">
        <f t="shared" si="887"/>
        <v>0</v>
      </c>
      <c r="S3120" s="1394">
        <f>IFERROR(VLOOKUP(M3120,#REF!,6,0),0)</f>
        <v>0</v>
      </c>
      <c r="T3120" s="1394">
        <f t="shared" si="882"/>
        <v>0</v>
      </c>
      <c r="U3120" s="1394">
        <f>IFERROR(VLOOKUP(M3120,#REF!,5,0),0)</f>
        <v>0</v>
      </c>
      <c r="V3120" s="1394">
        <f t="shared" si="883"/>
        <v>0</v>
      </c>
      <c r="W3120" s="1394"/>
    </row>
    <row r="3121" spans="2:24" ht="30" customHeight="1">
      <c r="B3121" s="1405">
        <f t="shared" si="886"/>
        <v>0</v>
      </c>
      <c r="C3121" s="1408" t="str">
        <f t="shared" si="886"/>
        <v>Hall</v>
      </c>
      <c r="D3121" s="1409">
        <f t="shared" si="886"/>
        <v>1</v>
      </c>
      <c r="E3121" s="1409">
        <f t="shared" si="886"/>
        <v>1</v>
      </c>
      <c r="F3121" s="1410">
        <f t="shared" si="886"/>
        <v>3</v>
      </c>
      <c r="G3121" s="1410">
        <f t="shared" si="886"/>
        <v>5.76</v>
      </c>
      <c r="H3121" s="1410"/>
      <c r="I3121" s="1471">
        <f t="shared" si="870"/>
        <v>17.28</v>
      </c>
      <c r="O3121" s="1395"/>
      <c r="Q3121" s="1394">
        <f>IFERROR(VLOOKUP(M3121,#REF!,3,0),0)</f>
        <v>0</v>
      </c>
      <c r="R3121" s="1394">
        <f t="shared" si="887"/>
        <v>0</v>
      </c>
      <c r="S3121" s="1394">
        <f>IFERROR(VLOOKUP(M3121,#REF!,6,0),0)</f>
        <v>0</v>
      </c>
      <c r="T3121" s="1394">
        <f t="shared" si="882"/>
        <v>0</v>
      </c>
      <c r="U3121" s="1394">
        <f>IFERROR(VLOOKUP(M3121,#REF!,5,0),0)</f>
        <v>0</v>
      </c>
      <c r="V3121" s="1394">
        <f t="shared" si="883"/>
        <v>0</v>
      </c>
      <c r="W3121" s="1394"/>
    </row>
    <row r="3122" spans="2:24" ht="30" customHeight="1">
      <c r="B3122" s="1407">
        <f>B1200</f>
        <v>0</v>
      </c>
      <c r="C3122" s="1678" t="e">
        <f>C1200</f>
        <v>#REF!</v>
      </c>
      <c r="D3122" s="1678"/>
      <c r="E3122" s="1678"/>
      <c r="F3122" s="1678"/>
      <c r="G3122" s="1678"/>
      <c r="H3122" s="1678"/>
      <c r="I3122" s="1406"/>
      <c r="Q3122" s="1394">
        <f>IFERROR(VLOOKUP(M3122,#REF!,3,0),0)</f>
        <v>0</v>
      </c>
      <c r="R3122" s="1394">
        <f t="shared" si="887"/>
        <v>0</v>
      </c>
      <c r="S3122" s="1394">
        <f>IFERROR(VLOOKUP(M3122,#REF!,6,0),0)</f>
        <v>0</v>
      </c>
      <c r="T3122" s="1394">
        <f t="shared" si="882"/>
        <v>0</v>
      </c>
      <c r="U3122" s="1394">
        <f>IFERROR(VLOOKUP(M3122,#REF!,5,0),0)</f>
        <v>0</v>
      </c>
      <c r="V3122" s="1394">
        <f t="shared" si="883"/>
        <v>0</v>
      </c>
      <c r="W3122" s="1394"/>
      <c r="X3122" s="1397"/>
    </row>
    <row r="3123" spans="2:24" ht="30" customHeight="1">
      <c r="B3123" s="1405">
        <f t="shared" ref="B3123:B3145" si="888">B1231</f>
        <v>0</v>
      </c>
      <c r="C3123" s="1412" t="s">
        <v>408</v>
      </c>
      <c r="D3123" s="1409">
        <f t="shared" ref="D3123:H3124" si="889">D1231</f>
        <v>0</v>
      </c>
      <c r="E3123" s="1409">
        <f t="shared" si="889"/>
        <v>0</v>
      </c>
      <c r="F3123" s="1410">
        <f t="shared" si="889"/>
        <v>0</v>
      </c>
      <c r="G3123" s="1410">
        <f t="shared" si="889"/>
        <v>0</v>
      </c>
      <c r="H3123" s="1411">
        <f t="shared" si="889"/>
        <v>0</v>
      </c>
      <c r="I3123" s="1471">
        <f t="shared" ref="I3123:I3127" si="890">PRODUCT(D3123:H3123)</f>
        <v>0</v>
      </c>
      <c r="O3123" s="1395"/>
      <c r="Q3123" s="1394">
        <f>IFERROR(VLOOKUP(M3123,#REF!,3,0),0)</f>
        <v>0</v>
      </c>
      <c r="R3123" s="1394">
        <f t="shared" si="887"/>
        <v>0</v>
      </c>
      <c r="S3123" s="1394">
        <f>IFERROR(VLOOKUP(M3123,#REF!,6,0),0)</f>
        <v>0</v>
      </c>
      <c r="T3123" s="1394">
        <f t="shared" si="882"/>
        <v>0</v>
      </c>
      <c r="U3123" s="1394">
        <f>IFERROR(VLOOKUP(M3123,#REF!,5,0),0)</f>
        <v>0</v>
      </c>
      <c r="V3123" s="1394">
        <f t="shared" si="883"/>
        <v>0</v>
      </c>
      <c r="W3123" s="1394"/>
    </row>
    <row r="3124" spans="2:24" ht="30" customHeight="1">
      <c r="B3124" s="1405">
        <f t="shared" si="888"/>
        <v>0</v>
      </c>
      <c r="C3124" s="1415" t="str">
        <f t="shared" ref="C3124:C3134" si="891">C1232</f>
        <v>Horizontal beam</v>
      </c>
      <c r="D3124" s="1409">
        <f t="shared" si="889"/>
        <v>0</v>
      </c>
      <c r="E3124" s="1409">
        <f t="shared" si="889"/>
        <v>0</v>
      </c>
      <c r="F3124" s="1410">
        <f t="shared" si="889"/>
        <v>0</v>
      </c>
      <c r="G3124" s="1410">
        <f t="shared" si="889"/>
        <v>0</v>
      </c>
      <c r="H3124" s="1411">
        <f t="shared" si="889"/>
        <v>0</v>
      </c>
      <c r="I3124" s="1471">
        <f t="shared" si="890"/>
        <v>0</v>
      </c>
      <c r="O3124" s="1395"/>
      <c r="Q3124" s="1394">
        <f>IFERROR(VLOOKUP(M3124,#REF!,3,0),0)</f>
        <v>0</v>
      </c>
      <c r="R3124" s="1394">
        <f t="shared" si="887"/>
        <v>0</v>
      </c>
      <c r="S3124" s="1394">
        <f>IFERROR(VLOOKUP(M3124,#REF!,6,0),0)</f>
        <v>0</v>
      </c>
      <c r="T3124" s="1394">
        <f t="shared" si="882"/>
        <v>0</v>
      </c>
      <c r="U3124" s="1394">
        <f>IFERROR(VLOOKUP(M3124,#REF!,5,0),0)</f>
        <v>0</v>
      </c>
      <c r="V3124" s="1394">
        <f t="shared" si="883"/>
        <v>0</v>
      </c>
      <c r="W3124" s="1394"/>
    </row>
    <row r="3125" spans="2:24" ht="30" customHeight="1">
      <c r="B3125" s="1405">
        <f t="shared" si="888"/>
        <v>0</v>
      </c>
      <c r="C3125" s="1408" t="str">
        <f t="shared" si="891"/>
        <v>B3 to F3</v>
      </c>
      <c r="D3125" s="1409">
        <f t="shared" ref="D3125:D3133" si="892">D1233*2</f>
        <v>2</v>
      </c>
      <c r="E3125" s="1409">
        <f t="shared" ref="E3125:F3134" si="893">E1233</f>
        <v>1</v>
      </c>
      <c r="F3125" s="1410">
        <f t="shared" si="893"/>
        <v>6.8849999999999998</v>
      </c>
      <c r="G3125" s="1410"/>
      <c r="H3125" s="1410">
        <f>H1233-0.125</f>
        <v>0.32500000000000001</v>
      </c>
      <c r="I3125" s="1471">
        <f t="shared" si="890"/>
        <v>4.47525</v>
      </c>
      <c r="O3125" s="1395"/>
      <c r="Q3125" s="1394">
        <f>IFERROR(VLOOKUP(M3125,#REF!,3,0),0)</f>
        <v>0</v>
      </c>
      <c r="R3125" s="1394">
        <f t="shared" si="887"/>
        <v>0</v>
      </c>
      <c r="S3125" s="1394">
        <f>IFERROR(VLOOKUP(M3125,#REF!,6,0),0)</f>
        <v>0</v>
      </c>
      <c r="T3125" s="1394">
        <f t="shared" si="882"/>
        <v>0</v>
      </c>
      <c r="U3125" s="1394">
        <f>IFERROR(VLOOKUP(M3125,#REF!,5,0),0)</f>
        <v>0</v>
      </c>
      <c r="V3125" s="1394">
        <f t="shared" si="883"/>
        <v>0</v>
      </c>
      <c r="W3125" s="1394"/>
    </row>
    <row r="3126" spans="2:24" ht="30" customHeight="1">
      <c r="B3126" s="1405">
        <f t="shared" si="888"/>
        <v>0</v>
      </c>
      <c r="C3126" s="1408" t="str">
        <f t="shared" si="891"/>
        <v>B4 to F4</v>
      </c>
      <c r="D3126" s="1409">
        <f t="shared" si="892"/>
        <v>2</v>
      </c>
      <c r="E3126" s="1409">
        <f t="shared" si="893"/>
        <v>1</v>
      </c>
      <c r="F3126" s="1410">
        <f t="shared" si="893"/>
        <v>6.8849999999999998</v>
      </c>
      <c r="G3126" s="1410"/>
      <c r="H3126" s="1410">
        <f>H1234-0.125</f>
        <v>0.255</v>
      </c>
      <c r="I3126" s="1471">
        <f t="shared" si="890"/>
        <v>3.5113499999999997</v>
      </c>
      <c r="O3126" s="1395"/>
      <c r="Q3126" s="1394">
        <f>IFERROR(VLOOKUP(M3126,#REF!,3,0),0)</f>
        <v>0</v>
      </c>
      <c r="R3126" s="1394">
        <f t="shared" si="887"/>
        <v>0</v>
      </c>
      <c r="S3126" s="1394">
        <f>IFERROR(VLOOKUP(M3126,#REF!,6,0),0)</f>
        <v>0</v>
      </c>
      <c r="T3126" s="1394">
        <f t="shared" si="882"/>
        <v>0</v>
      </c>
      <c r="U3126" s="1394">
        <f>IFERROR(VLOOKUP(M3126,#REF!,5,0),0)</f>
        <v>0</v>
      </c>
      <c r="V3126" s="1394">
        <f t="shared" si="883"/>
        <v>0</v>
      </c>
      <c r="W3126" s="1394"/>
    </row>
    <row r="3127" spans="2:24" ht="30" customHeight="1">
      <c r="B3127" s="1405">
        <f t="shared" si="888"/>
        <v>0</v>
      </c>
      <c r="C3127" s="1408" t="str">
        <f t="shared" si="891"/>
        <v>B5 to F5</v>
      </c>
      <c r="D3127" s="1409">
        <f t="shared" si="892"/>
        <v>2</v>
      </c>
      <c r="E3127" s="1409">
        <f t="shared" si="893"/>
        <v>1</v>
      </c>
      <c r="F3127" s="1410">
        <f t="shared" si="893"/>
        <v>6.8849999999999998</v>
      </c>
      <c r="G3127" s="1410"/>
      <c r="H3127" s="1410">
        <f>H1235-0.125</f>
        <v>0.255</v>
      </c>
      <c r="I3127" s="1471">
        <f t="shared" si="890"/>
        <v>3.5113499999999997</v>
      </c>
      <c r="O3127" s="1395"/>
      <c r="Q3127" s="1394">
        <f>IFERROR(VLOOKUP(M3127,#REF!,3,0),0)</f>
        <v>0</v>
      </c>
      <c r="R3127" s="1394">
        <f t="shared" si="887"/>
        <v>0</v>
      </c>
      <c r="S3127" s="1394">
        <f>IFERROR(VLOOKUP(M3127,#REF!,6,0),0)</f>
        <v>0</v>
      </c>
      <c r="T3127" s="1394">
        <f t="shared" si="882"/>
        <v>0</v>
      </c>
      <c r="U3127" s="1394">
        <f>IFERROR(VLOOKUP(M3127,#REF!,5,0),0)</f>
        <v>0</v>
      </c>
      <c r="V3127" s="1394">
        <f t="shared" si="883"/>
        <v>0</v>
      </c>
      <c r="W3127" s="1394"/>
    </row>
    <row r="3128" spans="2:24" ht="30" customHeight="1">
      <c r="B3128" s="1405">
        <f t="shared" si="888"/>
        <v>0</v>
      </c>
      <c r="C3128" s="1408">
        <f t="shared" si="891"/>
        <v>0</v>
      </c>
      <c r="D3128" s="1409">
        <f t="shared" si="892"/>
        <v>0</v>
      </c>
      <c r="E3128" s="1409">
        <f t="shared" si="893"/>
        <v>0</v>
      </c>
      <c r="F3128" s="1410">
        <f t="shared" si="893"/>
        <v>0</v>
      </c>
      <c r="G3128" s="1410"/>
      <c r="H3128" s="1410"/>
      <c r="I3128" s="1471"/>
      <c r="O3128" s="1395"/>
      <c r="Q3128" s="1394">
        <f>IFERROR(VLOOKUP(M3128,#REF!,3,0),0)</f>
        <v>0</v>
      </c>
      <c r="R3128" s="1394">
        <f t="shared" si="887"/>
        <v>0</v>
      </c>
      <c r="S3128" s="1394">
        <f>IFERROR(VLOOKUP(M3128,#REF!,6,0),0)</f>
        <v>0</v>
      </c>
      <c r="T3128" s="1394">
        <f t="shared" si="882"/>
        <v>0</v>
      </c>
      <c r="U3128" s="1394">
        <f>IFERROR(VLOOKUP(M3128,#REF!,5,0),0)</f>
        <v>0</v>
      </c>
      <c r="V3128" s="1394">
        <f t="shared" si="883"/>
        <v>0</v>
      </c>
      <c r="W3128" s="1394"/>
    </row>
    <row r="3129" spans="2:24" ht="30" customHeight="1">
      <c r="B3129" s="1405">
        <f t="shared" si="888"/>
        <v>0</v>
      </c>
      <c r="C3129" s="1415" t="str">
        <f t="shared" si="891"/>
        <v>Vertical beam</v>
      </c>
      <c r="D3129" s="1409">
        <f t="shared" si="892"/>
        <v>0</v>
      </c>
      <c r="E3129" s="1409">
        <f t="shared" si="893"/>
        <v>0</v>
      </c>
      <c r="F3129" s="1410">
        <f t="shared" si="893"/>
        <v>0</v>
      </c>
      <c r="G3129" s="1410"/>
      <c r="H3129" s="1410"/>
      <c r="I3129" s="1471">
        <f t="shared" ref="I3129" si="894">PRODUCT(D3129:H3129)</f>
        <v>0</v>
      </c>
      <c r="J3129" s="1396"/>
      <c r="K3129" s="1396"/>
      <c r="O3129" s="1395"/>
      <c r="Q3129" s="1394">
        <f>IFERROR(VLOOKUP(M3129,#REF!,3,0),0)</f>
        <v>0</v>
      </c>
      <c r="R3129" s="1394">
        <f t="shared" si="887"/>
        <v>0</v>
      </c>
      <c r="S3129" s="1394">
        <f>IFERROR(VLOOKUP(M3129,#REF!,6,0),0)</f>
        <v>0</v>
      </c>
      <c r="T3129" s="1394">
        <f t="shared" si="882"/>
        <v>0</v>
      </c>
      <c r="U3129" s="1394">
        <f>IFERROR(VLOOKUP(M3129,#REF!,5,0),0)</f>
        <v>0</v>
      </c>
      <c r="V3129" s="1394">
        <f t="shared" si="883"/>
        <v>0</v>
      </c>
      <c r="W3129" s="1394"/>
    </row>
    <row r="3130" spans="2:24" ht="30" customHeight="1">
      <c r="B3130" s="1405">
        <f t="shared" si="888"/>
        <v>0</v>
      </c>
      <c r="C3130" s="1408" t="str">
        <f t="shared" si="891"/>
        <v>B3 to B5</v>
      </c>
      <c r="D3130" s="1409">
        <f t="shared" si="892"/>
        <v>2</v>
      </c>
      <c r="E3130" s="1409">
        <f t="shared" si="893"/>
        <v>1</v>
      </c>
      <c r="F3130" s="1409">
        <f t="shared" si="893"/>
        <v>5.5299999999999994</v>
      </c>
      <c r="G3130" s="1410"/>
      <c r="H3130" s="1410">
        <f>H1238-0.125</f>
        <v>0.255</v>
      </c>
      <c r="I3130" s="1471">
        <f>PRODUCT(D3130:H3130)</f>
        <v>2.8202999999999996</v>
      </c>
      <c r="O3130" s="1395"/>
      <c r="Q3130" s="1394">
        <f>IFERROR(VLOOKUP(M3130,#REF!,3,0),0)</f>
        <v>0</v>
      </c>
      <c r="R3130" s="1394">
        <f t="shared" si="887"/>
        <v>0</v>
      </c>
      <c r="S3130" s="1394">
        <f>IFERROR(VLOOKUP(M3130,#REF!,6,0),0)</f>
        <v>0</v>
      </c>
      <c r="T3130" s="1394">
        <f t="shared" si="882"/>
        <v>0</v>
      </c>
      <c r="U3130" s="1394">
        <f>IFERROR(VLOOKUP(M3130,#REF!,5,0),0)</f>
        <v>0</v>
      </c>
      <c r="V3130" s="1394">
        <f t="shared" si="883"/>
        <v>0</v>
      </c>
      <c r="W3130" s="1394"/>
    </row>
    <row r="3131" spans="2:24" ht="30" customHeight="1">
      <c r="B3131" s="1405">
        <f t="shared" si="888"/>
        <v>0</v>
      </c>
      <c r="C3131" s="1408" t="str">
        <f t="shared" si="891"/>
        <v>C4 to C5</v>
      </c>
      <c r="D3131" s="1409">
        <f t="shared" si="892"/>
        <v>2</v>
      </c>
      <c r="E3131" s="1409">
        <f t="shared" si="893"/>
        <v>1</v>
      </c>
      <c r="F3131" s="1410">
        <f t="shared" si="893"/>
        <v>2.5299999999999998</v>
      </c>
      <c r="G3131" s="1410"/>
      <c r="H3131" s="1410">
        <f>H1239-0.125</f>
        <v>0.32500000000000001</v>
      </c>
      <c r="I3131" s="1471">
        <f t="shared" ref="I3131:I3132" si="895">PRODUCT(D3131:H3131)</f>
        <v>1.6444999999999999</v>
      </c>
      <c r="O3131" s="1395"/>
      <c r="Q3131" s="1394">
        <f>IFERROR(VLOOKUP(M3131,#REF!,3,0),0)</f>
        <v>0</v>
      </c>
      <c r="R3131" s="1394">
        <f t="shared" si="887"/>
        <v>0</v>
      </c>
      <c r="S3131" s="1394">
        <f>IFERROR(VLOOKUP(M3131,#REF!,6,0),0)</f>
        <v>0</v>
      </c>
      <c r="T3131" s="1394">
        <f t="shared" si="882"/>
        <v>0</v>
      </c>
      <c r="U3131" s="1394">
        <f>IFERROR(VLOOKUP(M3131,#REF!,5,0),0)</f>
        <v>0</v>
      </c>
      <c r="V3131" s="1394">
        <f t="shared" si="883"/>
        <v>0</v>
      </c>
      <c r="W3131" s="1394"/>
    </row>
    <row r="3132" spans="2:24" ht="30" customHeight="1">
      <c r="B3132" s="1405">
        <f t="shared" si="888"/>
        <v>0</v>
      </c>
      <c r="C3132" s="1408" t="str">
        <f t="shared" si="891"/>
        <v>Cross Beam</v>
      </c>
      <c r="D3132" s="1409">
        <f t="shared" si="892"/>
        <v>2</v>
      </c>
      <c r="E3132" s="1409">
        <f t="shared" si="893"/>
        <v>1</v>
      </c>
      <c r="F3132" s="1410">
        <f t="shared" si="893"/>
        <v>3</v>
      </c>
      <c r="G3132" s="1410"/>
      <c r="H3132" s="1410">
        <f>H1240-0.125</f>
        <v>0.255</v>
      </c>
      <c r="I3132" s="1471">
        <f t="shared" si="895"/>
        <v>1.53</v>
      </c>
      <c r="Q3132" s="1394">
        <f>IFERROR(VLOOKUP(M3132,#REF!,3,0),0)</f>
        <v>0</v>
      </c>
      <c r="R3132" s="1394">
        <f t="shared" si="887"/>
        <v>0</v>
      </c>
      <c r="S3132" s="1394">
        <f>IFERROR(VLOOKUP(M3132,#REF!,6,0),0)</f>
        <v>0</v>
      </c>
      <c r="T3132" s="1394">
        <f t="shared" si="882"/>
        <v>0</v>
      </c>
      <c r="U3132" s="1394">
        <f>IFERROR(VLOOKUP(M3132,#REF!,5,0),0)</f>
        <v>0</v>
      </c>
      <c r="V3132" s="1394">
        <f t="shared" si="883"/>
        <v>0</v>
      </c>
      <c r="W3132" s="1394"/>
    </row>
    <row r="3133" spans="2:24" ht="30" customHeight="1">
      <c r="B3133" s="1405">
        <f t="shared" si="888"/>
        <v>0</v>
      </c>
      <c r="C3133" s="1408" t="str">
        <f t="shared" si="891"/>
        <v>F3 to F5</v>
      </c>
      <c r="D3133" s="1409">
        <f t="shared" si="892"/>
        <v>2</v>
      </c>
      <c r="E3133" s="1409">
        <f t="shared" si="893"/>
        <v>1</v>
      </c>
      <c r="F3133" s="1409">
        <f t="shared" si="893"/>
        <v>5.5299999999999994</v>
      </c>
      <c r="G3133" s="1410"/>
      <c r="H3133" s="1410">
        <f>H1241-0.125</f>
        <v>0.32500000000000001</v>
      </c>
      <c r="I3133" s="1471">
        <f>PRODUCT(D3133:H3133)</f>
        <v>3.5944999999999996</v>
      </c>
      <c r="Q3133" s="1394">
        <f>IFERROR(VLOOKUP(M3133,#REF!,3,0),0)</f>
        <v>0</v>
      </c>
      <c r="R3133" s="1394">
        <f t="shared" si="887"/>
        <v>0</v>
      </c>
      <c r="S3133" s="1394">
        <f>IFERROR(VLOOKUP(M3133,#REF!,6,0),0)</f>
        <v>0</v>
      </c>
      <c r="T3133" s="1394">
        <f t="shared" si="882"/>
        <v>0</v>
      </c>
      <c r="U3133" s="1394">
        <f>IFERROR(VLOOKUP(M3133,#REF!,5,0),0)</f>
        <v>0</v>
      </c>
      <c r="V3133" s="1394">
        <f t="shared" si="883"/>
        <v>0</v>
      </c>
      <c r="W3133" s="1394"/>
    </row>
    <row r="3134" spans="2:24" ht="30" customHeight="1">
      <c r="B3134" s="1405">
        <f t="shared" si="888"/>
        <v>0</v>
      </c>
      <c r="C3134" s="1408">
        <f t="shared" si="891"/>
        <v>0</v>
      </c>
      <c r="D3134" s="1409">
        <f>D1242</f>
        <v>0</v>
      </c>
      <c r="E3134" s="1409">
        <f t="shared" si="893"/>
        <v>0</v>
      </c>
      <c r="F3134" s="1410">
        <f t="shared" si="893"/>
        <v>0</v>
      </c>
      <c r="G3134" s="1410">
        <f>G1242</f>
        <v>0</v>
      </c>
      <c r="H3134" s="1410">
        <f>H1242</f>
        <v>0</v>
      </c>
      <c r="I3134" s="1471"/>
      <c r="Q3134" s="1394">
        <f>IFERROR(VLOOKUP(M3134,#REF!,3,0),0)</f>
        <v>0</v>
      </c>
      <c r="R3134" s="1394">
        <f t="shared" si="887"/>
        <v>0</v>
      </c>
      <c r="S3134" s="1394">
        <f>IFERROR(VLOOKUP(M3134,#REF!,6,0),0)</f>
        <v>0</v>
      </c>
      <c r="T3134" s="1394">
        <f t="shared" si="882"/>
        <v>0</v>
      </c>
      <c r="U3134" s="1394">
        <f>IFERROR(VLOOKUP(M3134,#REF!,5,0),0)</f>
        <v>0</v>
      </c>
      <c r="V3134" s="1394">
        <f t="shared" si="883"/>
        <v>0</v>
      </c>
      <c r="W3134" s="1394"/>
    </row>
    <row r="3135" spans="2:24" ht="30" customHeight="1">
      <c r="B3135" s="1405">
        <f t="shared" si="888"/>
        <v>0</v>
      </c>
      <c r="C3135" s="1457" t="s">
        <v>409</v>
      </c>
      <c r="D3135" s="1409">
        <f t="shared" ref="D3135:H3135" si="896">D3123</f>
        <v>0</v>
      </c>
      <c r="E3135" s="1409">
        <f t="shared" si="896"/>
        <v>0</v>
      </c>
      <c r="F3135" s="1410">
        <f t="shared" si="896"/>
        <v>0</v>
      </c>
      <c r="G3135" s="1410">
        <f t="shared" si="896"/>
        <v>0</v>
      </c>
      <c r="H3135" s="1411">
        <f t="shared" si="896"/>
        <v>0</v>
      </c>
      <c r="I3135" s="1471">
        <f t="shared" ref="I3135:I3139" si="897">PRODUCT(D3135:H3135)</f>
        <v>0</v>
      </c>
      <c r="O3135" s="1395"/>
      <c r="Q3135" s="1394">
        <f>IFERROR(VLOOKUP(M3135,#REF!,3,0),0)</f>
        <v>0</v>
      </c>
      <c r="R3135" s="1394">
        <f t="shared" si="887"/>
        <v>0</v>
      </c>
      <c r="S3135" s="1394">
        <f>IFERROR(VLOOKUP(M3135,#REF!,6,0),0)</f>
        <v>0</v>
      </c>
      <c r="T3135" s="1394">
        <f t="shared" si="882"/>
        <v>0</v>
      </c>
      <c r="U3135" s="1394">
        <f>IFERROR(VLOOKUP(M3135,#REF!,5,0),0)</f>
        <v>0</v>
      </c>
      <c r="V3135" s="1394">
        <f t="shared" si="883"/>
        <v>0</v>
      </c>
      <c r="W3135" s="1394"/>
    </row>
    <row r="3136" spans="2:24" ht="30" customHeight="1">
      <c r="B3136" s="1405">
        <f t="shared" si="888"/>
        <v>0</v>
      </c>
      <c r="C3136" s="1415" t="str">
        <f t="shared" ref="C3136:H3136" si="898">C1232</f>
        <v>Horizontal beam</v>
      </c>
      <c r="D3136" s="1409">
        <f t="shared" si="898"/>
        <v>0</v>
      </c>
      <c r="E3136" s="1409">
        <f t="shared" si="898"/>
        <v>0</v>
      </c>
      <c r="F3136" s="1410">
        <f t="shared" si="898"/>
        <v>0</v>
      </c>
      <c r="G3136" s="1410">
        <f t="shared" si="898"/>
        <v>0</v>
      </c>
      <c r="H3136" s="1410">
        <f t="shared" si="898"/>
        <v>0</v>
      </c>
      <c r="I3136" s="1471">
        <f t="shared" si="897"/>
        <v>0</v>
      </c>
      <c r="O3136" s="1395"/>
      <c r="Q3136" s="1394">
        <f>IFERROR(VLOOKUP(M3136,#REF!,3,0),0)</f>
        <v>0</v>
      </c>
      <c r="R3136" s="1394">
        <f t="shared" si="887"/>
        <v>0</v>
      </c>
      <c r="S3136" s="1394">
        <f>IFERROR(VLOOKUP(M3136,#REF!,6,0),0)</f>
        <v>0</v>
      </c>
      <c r="T3136" s="1394">
        <f t="shared" si="882"/>
        <v>0</v>
      </c>
      <c r="U3136" s="1394">
        <f>IFERROR(VLOOKUP(M3136,#REF!,5,0),0)</f>
        <v>0</v>
      </c>
      <c r="V3136" s="1394">
        <f t="shared" si="883"/>
        <v>0</v>
      </c>
      <c r="W3136" s="1394"/>
    </row>
    <row r="3137" spans="2:23" ht="30" customHeight="1">
      <c r="B3137" s="1405">
        <f t="shared" si="888"/>
        <v>0</v>
      </c>
      <c r="C3137" s="1408" t="str">
        <f t="shared" ref="C3137:G3146" si="899">C1233</f>
        <v>B3 to F3</v>
      </c>
      <c r="D3137" s="1409">
        <f t="shared" si="899"/>
        <v>1</v>
      </c>
      <c r="E3137" s="1409">
        <f t="shared" si="899"/>
        <v>1</v>
      </c>
      <c r="F3137" s="1410">
        <f t="shared" si="899"/>
        <v>6.8849999999999998</v>
      </c>
      <c r="G3137" s="1410">
        <f t="shared" si="899"/>
        <v>0.23</v>
      </c>
      <c r="H3137" s="1410"/>
      <c r="I3137" s="1471">
        <f t="shared" si="897"/>
        <v>1.58355</v>
      </c>
      <c r="O3137" s="1395"/>
      <c r="Q3137" s="1394">
        <f>IFERROR(VLOOKUP(M3137,#REF!,3,0),0)</f>
        <v>0</v>
      </c>
      <c r="R3137" s="1394">
        <f t="shared" si="887"/>
        <v>0</v>
      </c>
      <c r="S3137" s="1394">
        <f>IFERROR(VLOOKUP(M3137,#REF!,6,0),0)</f>
        <v>0</v>
      </c>
      <c r="T3137" s="1394">
        <f t="shared" si="882"/>
        <v>0</v>
      </c>
      <c r="U3137" s="1394">
        <f>IFERROR(VLOOKUP(M3137,#REF!,5,0),0)</f>
        <v>0</v>
      </c>
      <c r="V3137" s="1394">
        <f t="shared" si="883"/>
        <v>0</v>
      </c>
      <c r="W3137" s="1394"/>
    </row>
    <row r="3138" spans="2:23" ht="30" customHeight="1">
      <c r="B3138" s="1405">
        <f t="shared" si="888"/>
        <v>0</v>
      </c>
      <c r="C3138" s="1408" t="str">
        <f t="shared" si="899"/>
        <v>B4 to F4</v>
      </c>
      <c r="D3138" s="1409">
        <f t="shared" si="899"/>
        <v>1</v>
      </c>
      <c r="E3138" s="1409">
        <f t="shared" si="899"/>
        <v>1</v>
      </c>
      <c r="F3138" s="1410">
        <f t="shared" si="899"/>
        <v>6.8849999999999998</v>
      </c>
      <c r="G3138" s="1410">
        <f t="shared" si="899"/>
        <v>0.23</v>
      </c>
      <c r="H3138" s="1410"/>
      <c r="I3138" s="1471">
        <f t="shared" si="897"/>
        <v>1.58355</v>
      </c>
      <c r="O3138" s="1395"/>
      <c r="Q3138" s="1394">
        <f>IFERROR(VLOOKUP(M3138,#REF!,3,0),0)</f>
        <v>0</v>
      </c>
      <c r="R3138" s="1394">
        <f t="shared" si="887"/>
        <v>0</v>
      </c>
      <c r="S3138" s="1394">
        <f>IFERROR(VLOOKUP(M3138,#REF!,6,0),0)</f>
        <v>0</v>
      </c>
      <c r="T3138" s="1394">
        <f t="shared" si="882"/>
        <v>0</v>
      </c>
      <c r="U3138" s="1394">
        <f>IFERROR(VLOOKUP(M3138,#REF!,5,0),0)</f>
        <v>0</v>
      </c>
      <c r="V3138" s="1394">
        <f t="shared" si="883"/>
        <v>0</v>
      </c>
      <c r="W3138" s="1394"/>
    </row>
    <row r="3139" spans="2:23" ht="30" customHeight="1">
      <c r="B3139" s="1405">
        <f t="shared" si="888"/>
        <v>0</v>
      </c>
      <c r="C3139" s="1408" t="str">
        <f t="shared" si="899"/>
        <v>B5 to F5</v>
      </c>
      <c r="D3139" s="1409">
        <f t="shared" si="899"/>
        <v>1</v>
      </c>
      <c r="E3139" s="1409">
        <f t="shared" si="899"/>
        <v>1</v>
      </c>
      <c r="F3139" s="1410">
        <f t="shared" si="899"/>
        <v>6.8849999999999998</v>
      </c>
      <c r="G3139" s="1410">
        <f t="shared" si="899"/>
        <v>0.23</v>
      </c>
      <c r="H3139" s="1410"/>
      <c r="I3139" s="1471">
        <f t="shared" si="897"/>
        <v>1.58355</v>
      </c>
      <c r="O3139" s="1395"/>
      <c r="Q3139" s="1394">
        <f>IFERROR(VLOOKUP(M3139,#REF!,3,0),0)</f>
        <v>0</v>
      </c>
      <c r="R3139" s="1394">
        <f t="shared" si="887"/>
        <v>0</v>
      </c>
      <c r="S3139" s="1394">
        <f>IFERROR(VLOOKUP(M3139,#REF!,6,0),0)</f>
        <v>0</v>
      </c>
      <c r="T3139" s="1394">
        <f t="shared" si="882"/>
        <v>0</v>
      </c>
      <c r="U3139" s="1394">
        <f>IFERROR(VLOOKUP(M3139,#REF!,5,0),0)</f>
        <v>0</v>
      </c>
      <c r="V3139" s="1394">
        <f t="shared" si="883"/>
        <v>0</v>
      </c>
      <c r="W3139" s="1394"/>
    </row>
    <row r="3140" spans="2:23" ht="30" customHeight="1">
      <c r="B3140" s="1405">
        <f t="shared" si="888"/>
        <v>0</v>
      </c>
      <c r="C3140" s="1408">
        <f t="shared" si="899"/>
        <v>0</v>
      </c>
      <c r="D3140" s="1409">
        <f t="shared" si="899"/>
        <v>0</v>
      </c>
      <c r="E3140" s="1409">
        <f t="shared" si="899"/>
        <v>0</v>
      </c>
      <c r="F3140" s="1410">
        <f t="shared" si="899"/>
        <v>0</v>
      </c>
      <c r="G3140" s="1410">
        <f t="shared" si="899"/>
        <v>0</v>
      </c>
      <c r="H3140" s="1410">
        <f>H1236</f>
        <v>0</v>
      </c>
      <c r="I3140" s="1471"/>
      <c r="O3140" s="1395"/>
      <c r="Q3140" s="1394">
        <f>IFERROR(VLOOKUP(M3140,#REF!,3,0),0)</f>
        <v>0</v>
      </c>
      <c r="R3140" s="1394">
        <f t="shared" si="887"/>
        <v>0</v>
      </c>
      <c r="S3140" s="1394">
        <f>IFERROR(VLOOKUP(M3140,#REF!,6,0),0)</f>
        <v>0</v>
      </c>
      <c r="T3140" s="1394">
        <f t="shared" si="882"/>
        <v>0</v>
      </c>
      <c r="U3140" s="1394">
        <f>IFERROR(VLOOKUP(M3140,#REF!,5,0),0)</f>
        <v>0</v>
      </c>
      <c r="V3140" s="1394">
        <f t="shared" si="883"/>
        <v>0</v>
      </c>
      <c r="W3140" s="1394"/>
    </row>
    <row r="3141" spans="2:23" ht="30" customHeight="1">
      <c r="B3141" s="1405">
        <f t="shared" si="888"/>
        <v>0</v>
      </c>
      <c r="C3141" s="1415" t="str">
        <f t="shared" si="899"/>
        <v>Vertical beam</v>
      </c>
      <c r="D3141" s="1409">
        <f t="shared" si="899"/>
        <v>0</v>
      </c>
      <c r="E3141" s="1409">
        <f t="shared" si="899"/>
        <v>0</v>
      </c>
      <c r="F3141" s="1410">
        <f t="shared" si="899"/>
        <v>0</v>
      </c>
      <c r="G3141" s="1410">
        <f t="shared" si="899"/>
        <v>0</v>
      </c>
      <c r="H3141" s="1410">
        <f>H1237</f>
        <v>0</v>
      </c>
      <c r="I3141" s="1471">
        <f t="shared" ref="I3141" si="900">PRODUCT(D3141:H3141)</f>
        <v>0</v>
      </c>
      <c r="J3141" s="1396"/>
      <c r="K3141" s="1396"/>
      <c r="O3141" s="1395"/>
      <c r="Q3141" s="1394">
        <f>IFERROR(VLOOKUP(M3141,#REF!,3,0),0)</f>
        <v>0</v>
      </c>
      <c r="R3141" s="1394">
        <f t="shared" si="887"/>
        <v>0</v>
      </c>
      <c r="S3141" s="1394">
        <f>IFERROR(VLOOKUP(M3141,#REF!,6,0),0)</f>
        <v>0</v>
      </c>
      <c r="T3141" s="1394">
        <f t="shared" si="882"/>
        <v>0</v>
      </c>
      <c r="U3141" s="1394">
        <f>IFERROR(VLOOKUP(M3141,#REF!,5,0),0)</f>
        <v>0</v>
      </c>
      <c r="V3141" s="1394">
        <f t="shared" si="883"/>
        <v>0</v>
      </c>
      <c r="W3141" s="1394"/>
    </row>
    <row r="3142" spans="2:23" ht="30" customHeight="1">
      <c r="B3142" s="1405">
        <f t="shared" si="888"/>
        <v>0</v>
      </c>
      <c r="C3142" s="1408" t="str">
        <f t="shared" si="899"/>
        <v>B3 to B5</v>
      </c>
      <c r="D3142" s="1409">
        <f t="shared" si="899"/>
        <v>1</v>
      </c>
      <c r="E3142" s="1409">
        <f t="shared" si="899"/>
        <v>1</v>
      </c>
      <c r="F3142" s="1410">
        <f t="shared" si="899"/>
        <v>5.5299999999999994</v>
      </c>
      <c r="G3142" s="1410">
        <f t="shared" si="899"/>
        <v>0.23</v>
      </c>
      <c r="H3142" s="1410"/>
      <c r="I3142" s="1471">
        <f>PRODUCT(D3142:H3142)</f>
        <v>1.2718999999999998</v>
      </c>
      <c r="O3142" s="1395"/>
      <c r="Q3142" s="1394">
        <f>IFERROR(VLOOKUP(M3142,#REF!,3,0),0)</f>
        <v>0</v>
      </c>
      <c r="R3142" s="1394">
        <f t="shared" si="887"/>
        <v>0</v>
      </c>
      <c r="S3142" s="1394">
        <f>IFERROR(VLOOKUP(M3142,#REF!,6,0),0)</f>
        <v>0</v>
      </c>
      <c r="T3142" s="1394">
        <f t="shared" si="882"/>
        <v>0</v>
      </c>
      <c r="U3142" s="1394">
        <f>IFERROR(VLOOKUP(M3142,#REF!,5,0),0)</f>
        <v>0</v>
      </c>
      <c r="V3142" s="1394">
        <f t="shared" si="883"/>
        <v>0</v>
      </c>
      <c r="W3142" s="1394"/>
    </row>
    <row r="3143" spans="2:23" ht="30" customHeight="1">
      <c r="B3143" s="1405">
        <f t="shared" si="888"/>
        <v>0</v>
      </c>
      <c r="C3143" s="1408" t="str">
        <f t="shared" si="899"/>
        <v>C4 to C5</v>
      </c>
      <c r="D3143" s="1409">
        <f t="shared" si="899"/>
        <v>1</v>
      </c>
      <c r="E3143" s="1409">
        <f t="shared" si="899"/>
        <v>1</v>
      </c>
      <c r="F3143" s="1410">
        <f t="shared" si="899"/>
        <v>2.5299999999999998</v>
      </c>
      <c r="G3143" s="1410">
        <f t="shared" si="899"/>
        <v>0.23</v>
      </c>
      <c r="H3143" s="1410"/>
      <c r="I3143" s="1471">
        <f t="shared" ref="I3143:I3144" si="901">PRODUCT(D3143:H3143)</f>
        <v>0.58189999999999997</v>
      </c>
      <c r="O3143" s="1395"/>
      <c r="Q3143" s="1394">
        <f>IFERROR(VLOOKUP(M3143,#REF!,3,0),0)</f>
        <v>0</v>
      </c>
      <c r="R3143" s="1394">
        <f t="shared" si="887"/>
        <v>0</v>
      </c>
      <c r="S3143" s="1394">
        <f>IFERROR(VLOOKUP(M3143,#REF!,6,0),0)</f>
        <v>0</v>
      </c>
      <c r="T3143" s="1394">
        <f t="shared" si="882"/>
        <v>0</v>
      </c>
      <c r="U3143" s="1394">
        <f>IFERROR(VLOOKUP(M3143,#REF!,5,0),0)</f>
        <v>0</v>
      </c>
      <c r="V3143" s="1394">
        <f t="shared" si="883"/>
        <v>0</v>
      </c>
      <c r="W3143" s="1394"/>
    </row>
    <row r="3144" spans="2:23" ht="30" customHeight="1">
      <c r="B3144" s="1405">
        <f t="shared" si="888"/>
        <v>0</v>
      </c>
      <c r="C3144" s="1408" t="str">
        <f t="shared" si="899"/>
        <v>Cross Beam</v>
      </c>
      <c r="D3144" s="1409">
        <f t="shared" si="899"/>
        <v>1</v>
      </c>
      <c r="E3144" s="1409">
        <f t="shared" si="899"/>
        <v>1</v>
      </c>
      <c r="F3144" s="1410">
        <f t="shared" si="899"/>
        <v>3</v>
      </c>
      <c r="G3144" s="1410">
        <f t="shared" si="899"/>
        <v>0.23</v>
      </c>
      <c r="H3144" s="1410"/>
      <c r="I3144" s="1471">
        <f t="shared" si="901"/>
        <v>0.69000000000000006</v>
      </c>
      <c r="Q3144" s="1394">
        <f>IFERROR(VLOOKUP(M3144,#REF!,3,0),0)</f>
        <v>0</v>
      </c>
      <c r="R3144" s="1394">
        <f t="shared" si="887"/>
        <v>0</v>
      </c>
      <c r="S3144" s="1394">
        <f>IFERROR(VLOOKUP(M3144,#REF!,6,0),0)</f>
        <v>0</v>
      </c>
      <c r="T3144" s="1394">
        <f t="shared" si="882"/>
        <v>0</v>
      </c>
      <c r="U3144" s="1394">
        <f>IFERROR(VLOOKUP(M3144,#REF!,5,0),0)</f>
        <v>0</v>
      </c>
      <c r="V3144" s="1394">
        <f t="shared" si="883"/>
        <v>0</v>
      </c>
      <c r="W3144" s="1394"/>
    </row>
    <row r="3145" spans="2:23" ht="30" customHeight="1">
      <c r="B3145" s="1405">
        <f t="shared" si="888"/>
        <v>0</v>
      </c>
      <c r="C3145" s="1408" t="str">
        <f t="shared" si="899"/>
        <v>F3 to F5</v>
      </c>
      <c r="D3145" s="1409">
        <f t="shared" si="899"/>
        <v>1</v>
      </c>
      <c r="E3145" s="1409">
        <f t="shared" si="899"/>
        <v>1</v>
      </c>
      <c r="F3145" s="1410">
        <f t="shared" si="899"/>
        <v>5.5299999999999994</v>
      </c>
      <c r="G3145" s="1410">
        <f t="shared" si="899"/>
        <v>0.23</v>
      </c>
      <c r="H3145" s="1410"/>
      <c r="I3145" s="1471">
        <f>PRODUCT(D3145:H3145)</f>
        <v>1.2718999999999998</v>
      </c>
      <c r="Q3145" s="1394">
        <f>IFERROR(VLOOKUP(M3145,#REF!,3,0),0)</f>
        <v>0</v>
      </c>
      <c r="R3145" s="1394">
        <f t="shared" si="887"/>
        <v>0</v>
      </c>
      <c r="S3145" s="1394">
        <f>IFERROR(VLOOKUP(M3145,#REF!,6,0),0)</f>
        <v>0</v>
      </c>
      <c r="T3145" s="1394">
        <f t="shared" si="882"/>
        <v>0</v>
      </c>
      <c r="U3145" s="1394">
        <f>IFERROR(VLOOKUP(M3145,#REF!,5,0),0)</f>
        <v>0</v>
      </c>
      <c r="V3145" s="1394">
        <f t="shared" si="883"/>
        <v>0</v>
      </c>
      <c r="W3145" s="1394"/>
    </row>
    <row r="3146" spans="2:23" ht="30" customHeight="1">
      <c r="B3146" s="1405"/>
      <c r="C3146" s="1408">
        <f t="shared" si="899"/>
        <v>0</v>
      </c>
      <c r="D3146" s="1409">
        <f t="shared" si="899"/>
        <v>0</v>
      </c>
      <c r="E3146" s="1409">
        <f t="shared" si="899"/>
        <v>0</v>
      </c>
      <c r="F3146" s="1410">
        <f t="shared" si="899"/>
        <v>0</v>
      </c>
      <c r="G3146" s="1410">
        <f t="shared" si="899"/>
        <v>0</v>
      </c>
      <c r="H3146" s="1410">
        <f>H1242</f>
        <v>0</v>
      </c>
      <c r="I3146" s="1471"/>
      <c r="Q3146" s="1394">
        <f>IFERROR(VLOOKUP(M3146,#REF!,3,0),0)</f>
        <v>0</v>
      </c>
      <c r="R3146" s="1394">
        <f t="shared" si="887"/>
        <v>0</v>
      </c>
      <c r="S3146" s="1394">
        <f>IFERROR(VLOOKUP(M3146,#REF!,6,0),0)</f>
        <v>0</v>
      </c>
      <c r="T3146" s="1394">
        <f t="shared" si="882"/>
        <v>0</v>
      </c>
      <c r="U3146" s="1394">
        <f>IFERROR(VLOOKUP(M3146,#REF!,5,0),0)</f>
        <v>0</v>
      </c>
      <c r="V3146" s="1394">
        <f t="shared" si="883"/>
        <v>0</v>
      </c>
      <c r="W3146" s="1394"/>
    </row>
    <row r="3147" spans="2:23" ht="30" customHeight="1">
      <c r="B3147" s="1405"/>
      <c r="C3147" s="1408"/>
      <c r="D3147" s="1409"/>
      <c r="E3147" s="1409"/>
      <c r="F3147" s="1409"/>
      <c r="G3147" s="1410"/>
      <c r="H3147" s="1411"/>
      <c r="I3147" s="1471"/>
      <c r="Q3147" s="1394">
        <f>IFERROR(VLOOKUP(M3147,#REF!,3,0),0)</f>
        <v>0</v>
      </c>
      <c r="R3147" s="1394">
        <f t="shared" si="887"/>
        <v>0</v>
      </c>
      <c r="S3147" s="1394">
        <f>IFERROR(VLOOKUP(M3147,#REF!,6,0),0)</f>
        <v>0</v>
      </c>
      <c r="T3147" s="1394">
        <f t="shared" si="882"/>
        <v>0</v>
      </c>
      <c r="U3147" s="1394">
        <f>IFERROR(VLOOKUP(M3147,#REF!,5,0),0)</f>
        <v>0</v>
      </c>
      <c r="V3147" s="1394">
        <f t="shared" si="883"/>
        <v>0</v>
      </c>
      <c r="W3147" s="1394"/>
    </row>
    <row r="3148" spans="2:23" ht="30" customHeight="1">
      <c r="B3148" s="1405">
        <f t="shared" ref="B3148:H3148" si="902">B1243</f>
        <v>0</v>
      </c>
      <c r="C3148" s="1415" t="str">
        <f t="shared" si="902"/>
        <v>Roof slab</v>
      </c>
      <c r="D3148" s="1409">
        <f t="shared" si="902"/>
        <v>0</v>
      </c>
      <c r="E3148" s="1409">
        <f t="shared" si="902"/>
        <v>0</v>
      </c>
      <c r="F3148" s="1410">
        <f t="shared" si="902"/>
        <v>0</v>
      </c>
      <c r="G3148" s="1410">
        <f t="shared" si="902"/>
        <v>0</v>
      </c>
      <c r="H3148" s="1411">
        <f t="shared" si="902"/>
        <v>0</v>
      </c>
      <c r="I3148" s="1471">
        <f t="shared" ref="I3148:I3152" si="903">PRODUCT(D3148:H3148)</f>
        <v>0</v>
      </c>
      <c r="Q3148" s="1394">
        <f>IFERROR(VLOOKUP(M3148,#REF!,3,0),0)</f>
        <v>0</v>
      </c>
      <c r="R3148" s="1394">
        <f t="shared" si="887"/>
        <v>0</v>
      </c>
      <c r="S3148" s="1394">
        <f>IFERROR(VLOOKUP(M3148,#REF!,6,0),0)</f>
        <v>0</v>
      </c>
      <c r="T3148" s="1394">
        <f t="shared" si="882"/>
        <v>0</v>
      </c>
      <c r="U3148" s="1394">
        <f>IFERROR(VLOOKUP(M3148,#REF!,5,0),0)</f>
        <v>0</v>
      </c>
      <c r="V3148" s="1394">
        <f t="shared" si="883"/>
        <v>0</v>
      </c>
      <c r="W3148" s="1394"/>
    </row>
    <row r="3149" spans="2:23" ht="30" customHeight="1">
      <c r="B3149" s="1405">
        <f t="shared" ref="B3149:G3154" si="904">B1244</f>
        <v>0</v>
      </c>
      <c r="C3149" s="1408" t="str">
        <f t="shared" si="904"/>
        <v xml:space="preserve">Head Room </v>
      </c>
      <c r="D3149" s="1409">
        <f t="shared" si="904"/>
        <v>1</v>
      </c>
      <c r="E3149" s="1409">
        <f t="shared" si="904"/>
        <v>1</v>
      </c>
      <c r="F3149" s="1410">
        <f t="shared" si="904"/>
        <v>3.9</v>
      </c>
      <c r="G3149" s="1410">
        <f t="shared" si="904"/>
        <v>2.77</v>
      </c>
      <c r="H3149" s="1410"/>
      <c r="I3149" s="1471">
        <f t="shared" si="903"/>
        <v>10.802999999999999</v>
      </c>
      <c r="Q3149" s="1394">
        <f>IFERROR(VLOOKUP(M3149,#REF!,3,0),0)</f>
        <v>0</v>
      </c>
      <c r="R3149" s="1394">
        <f t="shared" si="887"/>
        <v>0</v>
      </c>
      <c r="S3149" s="1394">
        <f>IFERROR(VLOOKUP(M3149,#REF!,6,0),0)</f>
        <v>0</v>
      </c>
      <c r="T3149" s="1394">
        <f t="shared" ref="T3149:T3201" si="905">R3149-S3149</f>
        <v>0</v>
      </c>
      <c r="U3149" s="1394">
        <f>IFERROR(VLOOKUP(M3149,#REF!,5,0),0)</f>
        <v>0</v>
      </c>
      <c r="V3149" s="1394">
        <f t="shared" ref="V3149:V3201" si="906">O3149-U3149</f>
        <v>0</v>
      </c>
      <c r="W3149" s="1394"/>
    </row>
    <row r="3150" spans="2:23" ht="30" customHeight="1">
      <c r="B3150" s="1405">
        <f t="shared" si="904"/>
        <v>0</v>
      </c>
      <c r="C3150" s="1408" t="str">
        <f t="shared" si="904"/>
        <v>Lobby</v>
      </c>
      <c r="D3150" s="1409">
        <f t="shared" si="904"/>
        <v>1</v>
      </c>
      <c r="E3150" s="1409">
        <f t="shared" si="904"/>
        <v>1</v>
      </c>
      <c r="F3150" s="1410">
        <f t="shared" si="904"/>
        <v>2.5249999999999999</v>
      </c>
      <c r="G3150" s="1410">
        <f t="shared" si="904"/>
        <v>2.77</v>
      </c>
      <c r="H3150" s="1410"/>
      <c r="I3150" s="1471">
        <f t="shared" si="903"/>
        <v>6.9942500000000001</v>
      </c>
      <c r="Q3150" s="1394">
        <f>IFERROR(VLOOKUP(M3150,#REF!,3,0),0)</f>
        <v>0</v>
      </c>
      <c r="R3150" s="1394">
        <f t="shared" si="887"/>
        <v>0</v>
      </c>
      <c r="S3150" s="1394">
        <f>IFERROR(VLOOKUP(M3150,#REF!,6,0),0)</f>
        <v>0</v>
      </c>
      <c r="T3150" s="1394">
        <f t="shared" si="905"/>
        <v>0</v>
      </c>
      <c r="U3150" s="1394">
        <f>IFERROR(VLOOKUP(M3150,#REF!,5,0),0)</f>
        <v>0</v>
      </c>
      <c r="V3150" s="1394">
        <f t="shared" si="906"/>
        <v>0</v>
      </c>
      <c r="W3150" s="1394"/>
    </row>
    <row r="3151" spans="2:23" ht="30" customHeight="1">
      <c r="B3151" s="1405">
        <f t="shared" si="904"/>
        <v>0</v>
      </c>
      <c r="C3151" s="1408" t="str">
        <f t="shared" si="904"/>
        <v>Lift Room</v>
      </c>
      <c r="D3151" s="1409">
        <f t="shared" si="904"/>
        <v>1</v>
      </c>
      <c r="E3151" s="1409">
        <f t="shared" si="904"/>
        <v>1</v>
      </c>
      <c r="F3151" s="1410">
        <f t="shared" si="904"/>
        <v>2.1</v>
      </c>
      <c r="G3151" s="1410">
        <f t="shared" si="904"/>
        <v>2.2999999999999998</v>
      </c>
      <c r="H3151" s="1410"/>
      <c r="I3151" s="1471">
        <f t="shared" si="903"/>
        <v>4.83</v>
      </c>
      <c r="Q3151" s="1394">
        <f>IFERROR(VLOOKUP(M3151,#REF!,3,0),0)</f>
        <v>0</v>
      </c>
      <c r="R3151" s="1394">
        <f t="shared" si="887"/>
        <v>0</v>
      </c>
      <c r="S3151" s="1394">
        <f>IFERROR(VLOOKUP(M3151,#REF!,6,0),0)</f>
        <v>0</v>
      </c>
      <c r="T3151" s="1394">
        <f t="shared" si="905"/>
        <v>0</v>
      </c>
      <c r="U3151" s="1394">
        <f>IFERROR(VLOOKUP(M3151,#REF!,5,0),0)</f>
        <v>0</v>
      </c>
      <c r="V3151" s="1394">
        <f t="shared" si="906"/>
        <v>0</v>
      </c>
      <c r="W3151" s="1394"/>
    </row>
    <row r="3152" spans="2:23" ht="30" customHeight="1">
      <c r="B3152" s="1405">
        <f t="shared" si="904"/>
        <v>0</v>
      </c>
      <c r="C3152" s="1408" t="str">
        <f t="shared" si="904"/>
        <v>Lift Machine Room</v>
      </c>
      <c r="D3152" s="1409">
        <f t="shared" si="904"/>
        <v>1</v>
      </c>
      <c r="E3152" s="1409">
        <f t="shared" si="904"/>
        <v>1</v>
      </c>
      <c r="F3152" s="1410">
        <f t="shared" si="904"/>
        <v>4.3250000000000002</v>
      </c>
      <c r="G3152" s="1410">
        <f t="shared" si="904"/>
        <v>2.2999999999999998</v>
      </c>
      <c r="H3152" s="1410"/>
      <c r="I3152" s="1471">
        <f t="shared" si="903"/>
        <v>9.9474999999999998</v>
      </c>
      <c r="Q3152" s="1394">
        <f>IFERROR(VLOOKUP(M3152,#REF!,3,0),0)</f>
        <v>0</v>
      </c>
      <c r="R3152" s="1394">
        <f t="shared" si="887"/>
        <v>0</v>
      </c>
      <c r="S3152" s="1394">
        <f>IFERROR(VLOOKUP(M3152,#REF!,6,0),0)</f>
        <v>0</v>
      </c>
      <c r="T3152" s="1394">
        <f t="shared" si="905"/>
        <v>0</v>
      </c>
      <c r="U3152" s="1394">
        <f>IFERROR(VLOOKUP(M3152,#REF!,5,0),0)</f>
        <v>0</v>
      </c>
      <c r="V3152" s="1394">
        <f t="shared" si="906"/>
        <v>0</v>
      </c>
      <c r="W3152" s="1394"/>
    </row>
    <row r="3153" spans="1:23" ht="30" customHeight="1">
      <c r="B3153" s="1405">
        <f t="shared" si="904"/>
        <v>0</v>
      </c>
      <c r="C3153" s="1408">
        <f t="shared" si="904"/>
        <v>0</v>
      </c>
      <c r="D3153" s="1409">
        <f t="shared" si="904"/>
        <v>0</v>
      </c>
      <c r="E3153" s="1409">
        <f t="shared" si="904"/>
        <v>0</v>
      </c>
      <c r="F3153" s="1410">
        <f t="shared" si="904"/>
        <v>0</v>
      </c>
      <c r="G3153" s="1410">
        <f t="shared" si="904"/>
        <v>0</v>
      </c>
      <c r="H3153" s="1410">
        <f>H1248</f>
        <v>0</v>
      </c>
      <c r="I3153" s="1471"/>
      <c r="Q3153" s="1394">
        <f>IFERROR(VLOOKUP(M3153,#REF!,3,0),0)</f>
        <v>0</v>
      </c>
      <c r="R3153" s="1394">
        <f t="shared" si="887"/>
        <v>0</v>
      </c>
      <c r="S3153" s="1394">
        <f>IFERROR(VLOOKUP(M3153,#REF!,6,0),0)</f>
        <v>0</v>
      </c>
      <c r="T3153" s="1394">
        <f t="shared" si="905"/>
        <v>0</v>
      </c>
      <c r="U3153" s="1394">
        <f>IFERROR(VLOOKUP(M3153,#REF!,5,0),0)</f>
        <v>0</v>
      </c>
      <c r="V3153" s="1394">
        <f t="shared" si="906"/>
        <v>0</v>
      </c>
      <c r="W3153" s="1394"/>
    </row>
    <row r="3154" spans="1:23" ht="30" customHeight="1">
      <c r="B3154" s="1405">
        <f t="shared" si="904"/>
        <v>0</v>
      </c>
      <c r="C3154" s="1415" t="str">
        <f t="shared" si="904"/>
        <v>Water Tank</v>
      </c>
      <c r="D3154" s="1409">
        <f t="shared" si="904"/>
        <v>0</v>
      </c>
      <c r="E3154" s="1409">
        <f t="shared" si="904"/>
        <v>0</v>
      </c>
      <c r="F3154" s="1410">
        <f t="shared" si="904"/>
        <v>0</v>
      </c>
      <c r="G3154" s="1410">
        <f t="shared" si="904"/>
        <v>0</v>
      </c>
      <c r="H3154" s="1411">
        <f>H1249</f>
        <v>0</v>
      </c>
      <c r="I3154" s="1471"/>
      <c r="Q3154" s="1394">
        <f>IFERROR(VLOOKUP(M3154,#REF!,3,0),0)</f>
        <v>0</v>
      </c>
      <c r="R3154" s="1394">
        <f t="shared" si="887"/>
        <v>0</v>
      </c>
      <c r="S3154" s="1394">
        <f>IFERROR(VLOOKUP(M3154,#REF!,6,0),0)</f>
        <v>0</v>
      </c>
      <c r="T3154" s="1394">
        <f t="shared" si="905"/>
        <v>0</v>
      </c>
      <c r="U3154" s="1394">
        <f>IFERROR(VLOOKUP(M3154,#REF!,5,0),0)</f>
        <v>0</v>
      </c>
      <c r="V3154" s="1394">
        <f t="shared" si="906"/>
        <v>0</v>
      </c>
      <c r="W3154" s="1394"/>
    </row>
    <row r="3155" spans="1:23" ht="30" customHeight="1">
      <c r="B3155" s="1405">
        <f>B1250</f>
        <v>0</v>
      </c>
      <c r="C3155" s="1408" t="s">
        <v>5858</v>
      </c>
      <c r="D3155" s="1409">
        <f>D1250</f>
        <v>1</v>
      </c>
      <c r="E3155" s="1409">
        <v>1</v>
      </c>
      <c r="F3155" s="1410">
        <f>4.46+3.46+4.46+3.46</f>
        <v>15.84</v>
      </c>
      <c r="G3155" s="1410"/>
      <c r="H3155" s="1411">
        <v>1</v>
      </c>
      <c r="I3155" s="1471">
        <f t="shared" ref="I3155:I3157" si="907">PRODUCT(D3155:H3155)</f>
        <v>15.84</v>
      </c>
      <c r="Q3155" s="1394">
        <f>IFERROR(VLOOKUP(M3155,#REF!,3,0),0)</f>
        <v>0</v>
      </c>
      <c r="R3155" s="1394">
        <f t="shared" si="887"/>
        <v>0</v>
      </c>
      <c r="S3155" s="1394">
        <f>IFERROR(VLOOKUP(M3155,#REF!,6,0),0)</f>
        <v>0</v>
      </c>
      <c r="T3155" s="1394">
        <f t="shared" si="905"/>
        <v>0</v>
      </c>
      <c r="U3155" s="1394">
        <f>IFERROR(VLOOKUP(M3155,#REF!,5,0),0)</f>
        <v>0</v>
      </c>
      <c r="V3155" s="1394">
        <f t="shared" si="906"/>
        <v>0</v>
      </c>
      <c r="W3155" s="1394"/>
    </row>
    <row r="3156" spans="1:23" ht="30" customHeight="1">
      <c r="B3156" s="1405">
        <f>B1251</f>
        <v>0</v>
      </c>
      <c r="C3156" s="1408" t="s">
        <v>5859</v>
      </c>
      <c r="D3156" s="1409">
        <f>D1251</f>
        <v>1</v>
      </c>
      <c r="E3156" s="1409">
        <v>1</v>
      </c>
      <c r="F3156" s="1410">
        <v>4.46</v>
      </c>
      <c r="G3156" s="1410">
        <v>3.45</v>
      </c>
      <c r="H3156" s="1411"/>
      <c r="I3156" s="1471">
        <f t="shared" si="907"/>
        <v>15.387</v>
      </c>
      <c r="Q3156" s="1394">
        <f>IFERROR(VLOOKUP(M3156,#REF!,3,0),0)</f>
        <v>0</v>
      </c>
      <c r="R3156" s="1394">
        <f t="shared" si="887"/>
        <v>0</v>
      </c>
      <c r="S3156" s="1394">
        <f>IFERROR(VLOOKUP(M3156,#REF!,6,0),0)</f>
        <v>0</v>
      </c>
      <c r="T3156" s="1394">
        <f t="shared" si="905"/>
        <v>0</v>
      </c>
      <c r="U3156" s="1394">
        <f>IFERROR(VLOOKUP(M3156,#REF!,5,0),0)</f>
        <v>0</v>
      </c>
      <c r="V3156" s="1394">
        <f t="shared" si="906"/>
        <v>0</v>
      </c>
      <c r="W3156" s="1394"/>
    </row>
    <row r="3157" spans="1:23" ht="30" customHeight="1">
      <c r="B3157" s="1405">
        <f>B1252</f>
        <v>0</v>
      </c>
      <c r="C3157" s="1408" t="s">
        <v>5860</v>
      </c>
      <c r="D3157" s="1409">
        <f>D1252</f>
        <v>1</v>
      </c>
      <c r="E3157" s="1409">
        <f>E1252</f>
        <v>1</v>
      </c>
      <c r="F3157" s="1410">
        <v>4.46</v>
      </c>
      <c r="G3157" s="1410">
        <v>3.45</v>
      </c>
      <c r="H3157" s="1411"/>
      <c r="I3157" s="1471">
        <f t="shared" si="907"/>
        <v>15.387</v>
      </c>
      <c r="Q3157" s="1394">
        <f>IFERROR(VLOOKUP(M3157,#REF!,3,0),0)</f>
        <v>0</v>
      </c>
      <c r="R3157" s="1394">
        <f t="shared" si="887"/>
        <v>0</v>
      </c>
      <c r="S3157" s="1394">
        <f>IFERROR(VLOOKUP(M3157,#REF!,6,0),0)</f>
        <v>0</v>
      </c>
      <c r="T3157" s="1394">
        <f t="shared" si="905"/>
        <v>0</v>
      </c>
      <c r="U3157" s="1394">
        <f>IFERROR(VLOOKUP(M3157,#REF!,5,0),0)</f>
        <v>0</v>
      </c>
      <c r="V3157" s="1394">
        <f t="shared" si="906"/>
        <v>0</v>
      </c>
      <c r="W3157" s="1394"/>
    </row>
    <row r="3158" spans="1:23" s="1394" customFormat="1" ht="30" customHeight="1">
      <c r="A3158" s="110"/>
      <c r="B3158" s="1421"/>
      <c r="C3158" s="1422"/>
      <c r="D3158" s="1389"/>
      <c r="E3158" s="1389"/>
      <c r="F3158" s="1423"/>
      <c r="G3158" s="1423"/>
      <c r="H3158" s="1423"/>
      <c r="I3158" s="1425"/>
      <c r="M3158" s="1426"/>
      <c r="Q3158" s="1394">
        <f>IFERROR(VLOOKUP(M3158,#REF!,3,0),0)</f>
        <v>0</v>
      </c>
      <c r="R3158" s="1394">
        <f t="shared" si="887"/>
        <v>0</v>
      </c>
      <c r="S3158" s="1394">
        <f>IFERROR(VLOOKUP(M3158,#REF!,6,0),0)</f>
        <v>0</v>
      </c>
      <c r="T3158" s="1394">
        <f t="shared" si="905"/>
        <v>0</v>
      </c>
      <c r="U3158" s="1394">
        <f>IFERROR(VLOOKUP(M3158,#REF!,5,0),0)</f>
        <v>0</v>
      </c>
      <c r="V3158" s="1394">
        <f t="shared" si="906"/>
        <v>0</v>
      </c>
    </row>
    <row r="3159" spans="1:23" s="1394" customFormat="1" ht="30" customHeight="1">
      <c r="A3159" s="110"/>
      <c r="B3159" s="1421"/>
      <c r="C3159" s="1422"/>
      <c r="D3159" s="1389"/>
      <c r="E3159" s="1389"/>
      <c r="F3159" s="1423"/>
      <c r="G3159" s="1423"/>
      <c r="H3159" s="1423"/>
      <c r="I3159" s="1425"/>
      <c r="M3159" s="1426"/>
      <c r="Q3159" s="1394">
        <f>IFERROR(VLOOKUP(M3159,#REF!,3,0),0)</f>
        <v>0</v>
      </c>
      <c r="R3159" s="1394">
        <f t="shared" si="887"/>
        <v>0</v>
      </c>
      <c r="S3159" s="1394">
        <f>IFERROR(VLOOKUP(M3159,#REF!,6,0),0)</f>
        <v>0</v>
      </c>
      <c r="T3159" s="1394">
        <f t="shared" si="905"/>
        <v>0</v>
      </c>
      <c r="U3159" s="1394">
        <f>IFERROR(VLOOKUP(M3159,#REF!,5,0),0)</f>
        <v>0</v>
      </c>
      <c r="V3159" s="1394">
        <f t="shared" si="906"/>
        <v>0</v>
      </c>
    </row>
    <row r="3160" spans="1:23" s="1394" customFormat="1" ht="30" customHeight="1">
      <c r="A3160" s="110"/>
      <c r="B3160" s="1421"/>
      <c r="C3160" s="1457" t="s">
        <v>410</v>
      </c>
      <c r="D3160" s="1389"/>
      <c r="E3160" s="1389"/>
      <c r="F3160" s="1423"/>
      <c r="G3160" s="1423"/>
      <c r="H3160" s="1423"/>
      <c r="I3160" s="1425"/>
      <c r="M3160" s="1426"/>
      <c r="Q3160" s="1394">
        <f>IFERROR(VLOOKUP(M3160,#REF!,3,0),0)</f>
        <v>0</v>
      </c>
      <c r="R3160" s="1394">
        <f t="shared" si="887"/>
        <v>0</v>
      </c>
      <c r="S3160" s="1394">
        <f>IFERROR(VLOOKUP(M3160,#REF!,6,0),0)</f>
        <v>0</v>
      </c>
      <c r="T3160" s="1394">
        <f t="shared" si="905"/>
        <v>0</v>
      </c>
      <c r="U3160" s="1394">
        <f>IFERROR(VLOOKUP(M3160,#REF!,5,0),0)</f>
        <v>0</v>
      </c>
      <c r="V3160" s="1394">
        <f t="shared" si="906"/>
        <v>0</v>
      </c>
    </row>
    <row r="3161" spans="1:23" s="1394" customFormat="1" ht="30" customHeight="1">
      <c r="A3161" s="110"/>
      <c r="B3161" s="1421"/>
      <c r="C3161" s="1422"/>
      <c r="D3161" s="1389"/>
      <c r="E3161" s="1389"/>
      <c r="F3161" s="1423"/>
      <c r="G3161" s="1423"/>
      <c r="H3161" s="1423"/>
      <c r="I3161" s="1425"/>
      <c r="M3161" s="1426"/>
      <c r="Q3161" s="1394">
        <f>IFERROR(VLOOKUP(M3161,#REF!,3,0),0)</f>
        <v>0</v>
      </c>
      <c r="R3161" s="1394">
        <f t="shared" si="887"/>
        <v>0</v>
      </c>
      <c r="S3161" s="1394">
        <f>IFERROR(VLOOKUP(M3161,#REF!,6,0),0)</f>
        <v>0</v>
      </c>
      <c r="T3161" s="1394">
        <f t="shared" si="905"/>
        <v>0</v>
      </c>
      <c r="U3161" s="1394">
        <f>IFERROR(VLOOKUP(M3161,#REF!,5,0),0)</f>
        <v>0</v>
      </c>
      <c r="V3161" s="1394">
        <f t="shared" si="906"/>
        <v>0</v>
      </c>
    </row>
    <row r="3162" spans="1:23" s="1394" customFormat="1" ht="30" customHeight="1">
      <c r="A3162" s="110"/>
      <c r="B3162" s="1421"/>
      <c r="C3162" s="1422" t="s">
        <v>5516</v>
      </c>
      <c r="D3162" s="103">
        <v>-1</v>
      </c>
      <c r="E3162" s="103">
        <f>VLOOKUP(C3162,Sheet1!$I$7:$R$41,10,0)</f>
        <v>1</v>
      </c>
      <c r="F3162" s="1413">
        <f>VLOOKUP(C3162,Sheet1!$I$7:$R$41,2,0)+0.46</f>
        <v>2.2600000000000002</v>
      </c>
      <c r="G3162" s="1413">
        <v>0.6</v>
      </c>
      <c r="H3162" s="1414"/>
      <c r="I3162" s="1406">
        <f>PRODUCT(D3162:H3162)</f>
        <v>-1.3560000000000001</v>
      </c>
      <c r="M3162" s="1426"/>
      <c r="Q3162" s="1394">
        <f>IFERROR(VLOOKUP(M3162,#REF!,3,0),0)</f>
        <v>0</v>
      </c>
      <c r="R3162" s="1394">
        <f t="shared" si="887"/>
        <v>0</v>
      </c>
      <c r="S3162" s="1394">
        <f>IFERROR(VLOOKUP(M3162,#REF!,6,0),0)</f>
        <v>0</v>
      </c>
      <c r="T3162" s="1394">
        <f t="shared" si="905"/>
        <v>0</v>
      </c>
      <c r="U3162" s="1394">
        <f>IFERROR(VLOOKUP(M3162,#REF!,5,0),0)</f>
        <v>0</v>
      </c>
      <c r="V3162" s="1394">
        <f t="shared" si="906"/>
        <v>0</v>
      </c>
    </row>
    <row r="3163" spans="1:23" s="1394" customFormat="1" ht="30" customHeight="1">
      <c r="A3163" s="110"/>
      <c r="B3163" s="1421"/>
      <c r="C3163" s="1422" t="s">
        <v>190</v>
      </c>
      <c r="D3163" s="103">
        <v>-1</v>
      </c>
      <c r="E3163" s="103">
        <f>VLOOKUP(C3163,Sheet1!$I$7:$R$41,10,0)</f>
        <v>6</v>
      </c>
      <c r="F3163" s="1413">
        <f>VLOOKUP(C3163,Sheet1!$I$7:$R$41,2,0)+0.46</f>
        <v>1.2729999999999999</v>
      </c>
      <c r="G3163" s="1413">
        <f t="shared" ref="G3163:G3180" si="908">$G$3162</f>
        <v>0.6</v>
      </c>
      <c r="H3163" s="1414"/>
      <c r="I3163" s="1406">
        <f t="shared" ref="I3163:I3180" si="909">PRODUCT(D3163:H3163)</f>
        <v>-4.5827999999999998</v>
      </c>
      <c r="M3163" s="1426"/>
      <c r="Q3163" s="1394">
        <f>IFERROR(VLOOKUP(M3163,#REF!,3,0),0)</f>
        <v>0</v>
      </c>
      <c r="R3163" s="1394">
        <f t="shared" si="887"/>
        <v>0</v>
      </c>
      <c r="S3163" s="1394">
        <f>IFERROR(VLOOKUP(M3163,#REF!,6,0),0)</f>
        <v>0</v>
      </c>
      <c r="T3163" s="1394">
        <f t="shared" si="905"/>
        <v>0</v>
      </c>
      <c r="U3163" s="1394">
        <f>IFERROR(VLOOKUP(M3163,#REF!,5,0),0)</f>
        <v>0</v>
      </c>
      <c r="V3163" s="1394">
        <f t="shared" si="906"/>
        <v>0</v>
      </c>
    </row>
    <row r="3164" spans="1:23" s="1394" customFormat="1" ht="30" customHeight="1">
      <c r="A3164" s="110"/>
      <c r="B3164" s="1421"/>
      <c r="C3164" s="1422" t="s">
        <v>5511</v>
      </c>
      <c r="D3164" s="103">
        <v>-1</v>
      </c>
      <c r="E3164" s="103">
        <f>VLOOKUP(C3164,Sheet1!$I$7:$R$41,10,0)</f>
        <v>2</v>
      </c>
      <c r="F3164" s="1413">
        <f>VLOOKUP(C3164,Sheet1!$I$7:$R$41,2,0)+0.46</f>
        <v>2.2600000000000002</v>
      </c>
      <c r="G3164" s="1413">
        <f t="shared" si="908"/>
        <v>0.6</v>
      </c>
      <c r="H3164" s="1414"/>
      <c r="I3164" s="1406">
        <f t="shared" si="909"/>
        <v>-2.7120000000000002</v>
      </c>
      <c r="M3164" s="1426"/>
      <c r="Q3164" s="1394">
        <f>IFERROR(VLOOKUP(M3164,#REF!,3,0),0)</f>
        <v>0</v>
      </c>
      <c r="R3164" s="1394">
        <f t="shared" si="887"/>
        <v>0</v>
      </c>
      <c r="S3164" s="1394">
        <f>IFERROR(VLOOKUP(M3164,#REF!,6,0),0)</f>
        <v>0</v>
      </c>
      <c r="T3164" s="1394">
        <f t="shared" si="905"/>
        <v>0</v>
      </c>
      <c r="U3164" s="1394">
        <f>IFERROR(VLOOKUP(M3164,#REF!,5,0),0)</f>
        <v>0</v>
      </c>
      <c r="V3164" s="1394">
        <f t="shared" si="906"/>
        <v>0</v>
      </c>
    </row>
    <row r="3165" spans="1:23" s="1394" customFormat="1" ht="30" customHeight="1">
      <c r="A3165" s="110"/>
      <c r="B3165" s="1421"/>
      <c r="C3165" s="1422" t="s">
        <v>5512</v>
      </c>
      <c r="D3165" s="103">
        <v>-1</v>
      </c>
      <c r="E3165" s="103">
        <f>VLOOKUP(C3165,Sheet1!$I$7:$R$41,10,0)</f>
        <v>1</v>
      </c>
      <c r="F3165" s="1413">
        <f>VLOOKUP(C3165,Sheet1!$I$7:$R$41,2,0)+0.46</f>
        <v>1.96</v>
      </c>
      <c r="G3165" s="1413">
        <f t="shared" si="908"/>
        <v>0.6</v>
      </c>
      <c r="H3165" s="1414"/>
      <c r="I3165" s="1406">
        <f t="shared" si="909"/>
        <v>-1.1759999999999999</v>
      </c>
      <c r="M3165" s="1426"/>
      <c r="Q3165" s="1394">
        <f>IFERROR(VLOOKUP(M3165,#REF!,3,0),0)</f>
        <v>0</v>
      </c>
      <c r="R3165" s="1394">
        <f t="shared" si="887"/>
        <v>0</v>
      </c>
      <c r="S3165" s="1394">
        <f>IFERROR(VLOOKUP(M3165,#REF!,6,0),0)</f>
        <v>0</v>
      </c>
      <c r="T3165" s="1394">
        <f t="shared" si="905"/>
        <v>0</v>
      </c>
      <c r="U3165" s="1394">
        <f>IFERROR(VLOOKUP(M3165,#REF!,5,0),0)</f>
        <v>0</v>
      </c>
      <c r="V3165" s="1394">
        <f t="shared" si="906"/>
        <v>0</v>
      </c>
    </row>
    <row r="3166" spans="1:23" s="1394" customFormat="1" ht="30" customHeight="1">
      <c r="A3166" s="110"/>
      <c r="B3166" s="1421"/>
      <c r="C3166" s="1422" t="s">
        <v>5513</v>
      </c>
      <c r="D3166" s="103">
        <v>-1</v>
      </c>
      <c r="E3166" s="103">
        <f>VLOOKUP(C3166,Sheet1!$I$7:$R$41,10,0)</f>
        <v>3</v>
      </c>
      <c r="F3166" s="1413">
        <f>VLOOKUP(C3166,Sheet1!$I$7:$R$41,2,0)+0.46</f>
        <v>2.46</v>
      </c>
      <c r="G3166" s="1413">
        <f t="shared" si="908"/>
        <v>0.6</v>
      </c>
      <c r="H3166" s="1414"/>
      <c r="I3166" s="1406">
        <f t="shared" si="909"/>
        <v>-4.4279999999999999</v>
      </c>
      <c r="M3166" s="1426"/>
      <c r="Q3166" s="1394">
        <f>IFERROR(VLOOKUP(M3166,#REF!,3,0),0)</f>
        <v>0</v>
      </c>
      <c r="R3166" s="1394">
        <f t="shared" si="887"/>
        <v>0</v>
      </c>
      <c r="S3166" s="1394">
        <f>IFERROR(VLOOKUP(M3166,#REF!,6,0),0)</f>
        <v>0</v>
      </c>
      <c r="T3166" s="1394">
        <f t="shared" si="905"/>
        <v>0</v>
      </c>
      <c r="U3166" s="1394">
        <f>IFERROR(VLOOKUP(M3166,#REF!,5,0),0)</f>
        <v>0</v>
      </c>
      <c r="V3166" s="1394">
        <f t="shared" si="906"/>
        <v>0</v>
      </c>
    </row>
    <row r="3167" spans="1:23" s="1394" customFormat="1" ht="30" customHeight="1">
      <c r="A3167" s="110"/>
      <c r="B3167" s="1421"/>
      <c r="C3167" s="1422" t="s">
        <v>5514</v>
      </c>
      <c r="D3167" s="103">
        <v>-1</v>
      </c>
      <c r="E3167" s="103">
        <f>VLOOKUP(C3167,Sheet1!$I$7:$R$41,10,0)</f>
        <v>6</v>
      </c>
      <c r="F3167" s="1413">
        <f>VLOOKUP(C3167,Sheet1!$I$7:$R$41,2,0)+0.46</f>
        <v>1.66</v>
      </c>
      <c r="G3167" s="1413">
        <f t="shared" si="908"/>
        <v>0.6</v>
      </c>
      <c r="H3167" s="1414"/>
      <c r="I3167" s="1406">
        <f t="shared" si="909"/>
        <v>-5.9759999999999991</v>
      </c>
      <c r="M3167" s="1426"/>
      <c r="Q3167" s="1394">
        <f>IFERROR(VLOOKUP(M3167,#REF!,3,0),0)</f>
        <v>0</v>
      </c>
      <c r="R3167" s="1394">
        <f t="shared" si="887"/>
        <v>0</v>
      </c>
      <c r="S3167" s="1394">
        <f>IFERROR(VLOOKUP(M3167,#REF!,6,0),0)</f>
        <v>0</v>
      </c>
      <c r="T3167" s="1394">
        <f t="shared" si="905"/>
        <v>0</v>
      </c>
      <c r="U3167" s="1394">
        <f>IFERROR(VLOOKUP(M3167,#REF!,5,0),0)</f>
        <v>0</v>
      </c>
      <c r="V3167" s="1394">
        <f t="shared" si="906"/>
        <v>0</v>
      </c>
    </row>
    <row r="3168" spans="1:23" s="1394" customFormat="1" ht="30" customHeight="1">
      <c r="A3168" s="110"/>
      <c r="B3168" s="1421"/>
      <c r="C3168" s="1422" t="s">
        <v>5515</v>
      </c>
      <c r="D3168" s="103">
        <v>-1</v>
      </c>
      <c r="E3168" s="103">
        <f>VLOOKUP(C3168,Sheet1!$I$7:$R$41,10,0)</f>
        <v>1</v>
      </c>
      <c r="F3168" s="1413">
        <f>VLOOKUP(C3168,Sheet1!$I$7:$R$41,2,0)+0.46</f>
        <v>1.96</v>
      </c>
      <c r="G3168" s="1413">
        <f t="shared" si="908"/>
        <v>0.6</v>
      </c>
      <c r="H3168" s="1414"/>
      <c r="I3168" s="1406">
        <f t="shared" si="909"/>
        <v>-1.1759999999999999</v>
      </c>
      <c r="M3168" s="1426"/>
      <c r="Q3168" s="1394">
        <f>IFERROR(VLOOKUP(M3168,#REF!,3,0),0)</f>
        <v>0</v>
      </c>
      <c r="R3168" s="1394">
        <f t="shared" si="887"/>
        <v>0</v>
      </c>
      <c r="S3168" s="1394">
        <f>IFERROR(VLOOKUP(M3168,#REF!,6,0),0)</f>
        <v>0</v>
      </c>
      <c r="T3168" s="1394">
        <f t="shared" si="905"/>
        <v>0</v>
      </c>
      <c r="U3168" s="1394">
        <f>IFERROR(VLOOKUP(M3168,#REF!,5,0),0)</f>
        <v>0</v>
      </c>
      <c r="V3168" s="1394">
        <f t="shared" si="906"/>
        <v>0</v>
      </c>
    </row>
    <row r="3169" spans="1:23" s="1394" customFormat="1" ht="30" customHeight="1">
      <c r="A3169" s="110"/>
      <c r="B3169" s="1421"/>
      <c r="C3169" s="1422" t="s">
        <v>252</v>
      </c>
      <c r="D3169" s="103">
        <v>-1</v>
      </c>
      <c r="E3169" s="103">
        <f>VLOOKUP(C3169,Sheet1!$I$7:$R$41,10,0)</f>
        <v>4</v>
      </c>
      <c r="F3169" s="1413">
        <f>VLOOKUP(C3169,Sheet1!$I$7:$R$41,2,0)+0.46</f>
        <v>2.2600000000000002</v>
      </c>
      <c r="G3169" s="1413">
        <f t="shared" si="908"/>
        <v>0.6</v>
      </c>
      <c r="H3169" s="1414"/>
      <c r="I3169" s="1406">
        <f t="shared" si="909"/>
        <v>-5.4240000000000004</v>
      </c>
      <c r="M3169" s="1426"/>
      <c r="Q3169" s="1394">
        <f>IFERROR(VLOOKUP(M3169,#REF!,3,0),0)</f>
        <v>0</v>
      </c>
      <c r="R3169" s="1394">
        <f t="shared" si="887"/>
        <v>0</v>
      </c>
      <c r="S3169" s="1394">
        <f>IFERROR(VLOOKUP(M3169,#REF!,6,0),0)</f>
        <v>0</v>
      </c>
      <c r="T3169" s="1394">
        <f t="shared" si="905"/>
        <v>0</v>
      </c>
      <c r="U3169" s="1394">
        <f>IFERROR(VLOOKUP(M3169,#REF!,5,0),0)</f>
        <v>0</v>
      </c>
      <c r="V3169" s="1394">
        <f t="shared" si="906"/>
        <v>0</v>
      </c>
    </row>
    <row r="3170" spans="1:23" s="1394" customFormat="1" ht="30" customHeight="1">
      <c r="A3170" s="110"/>
      <c r="B3170" s="1421"/>
      <c r="C3170" s="1422" t="s">
        <v>248</v>
      </c>
      <c r="D3170" s="103">
        <v>-1</v>
      </c>
      <c r="E3170" s="103">
        <f>VLOOKUP(C3170,Sheet1!$I$7:$R$41,10,0)</f>
        <v>3</v>
      </c>
      <c r="F3170" s="1413">
        <f>VLOOKUP(C3170,Sheet1!$I$7:$R$41,2,0)+0.46</f>
        <v>2.2600000000000002</v>
      </c>
      <c r="G3170" s="1413">
        <f t="shared" si="908"/>
        <v>0.6</v>
      </c>
      <c r="H3170" s="1414"/>
      <c r="I3170" s="1406">
        <f t="shared" si="909"/>
        <v>-4.0680000000000005</v>
      </c>
      <c r="M3170" s="1426"/>
      <c r="Q3170" s="1394">
        <f>IFERROR(VLOOKUP(M3170,#REF!,3,0),0)</f>
        <v>0</v>
      </c>
      <c r="R3170" s="1394">
        <f t="shared" si="887"/>
        <v>0</v>
      </c>
      <c r="S3170" s="1394">
        <f>IFERROR(VLOOKUP(M3170,#REF!,6,0),0)</f>
        <v>0</v>
      </c>
      <c r="T3170" s="1394">
        <f t="shared" si="905"/>
        <v>0</v>
      </c>
      <c r="U3170" s="1394">
        <f>IFERROR(VLOOKUP(M3170,#REF!,5,0),0)</f>
        <v>0</v>
      </c>
      <c r="V3170" s="1394">
        <f t="shared" si="906"/>
        <v>0</v>
      </c>
    </row>
    <row r="3171" spans="1:23" s="1394" customFormat="1" ht="30" customHeight="1">
      <c r="A3171" s="110"/>
      <c r="B3171" s="1421"/>
      <c r="C3171" s="1422" t="s">
        <v>249</v>
      </c>
      <c r="D3171" s="103">
        <v>-1</v>
      </c>
      <c r="E3171" s="103">
        <f>VLOOKUP(C3171,Sheet1!$I$7:$R$41,10,0)</f>
        <v>2</v>
      </c>
      <c r="F3171" s="1413">
        <f>VLOOKUP(C3171,Sheet1!$I$7:$R$41,2,0)+0.46</f>
        <v>1.96</v>
      </c>
      <c r="G3171" s="1413">
        <f t="shared" si="908"/>
        <v>0.6</v>
      </c>
      <c r="H3171" s="1414"/>
      <c r="I3171" s="1406">
        <f t="shared" si="909"/>
        <v>-2.3519999999999999</v>
      </c>
      <c r="M3171" s="1426"/>
      <c r="Q3171" s="1394">
        <f>IFERROR(VLOOKUP(M3171,#REF!,3,0),0)</f>
        <v>0</v>
      </c>
      <c r="R3171" s="1394">
        <f t="shared" si="887"/>
        <v>0</v>
      </c>
      <c r="S3171" s="1394">
        <f>IFERROR(VLOOKUP(M3171,#REF!,6,0),0)</f>
        <v>0</v>
      </c>
      <c r="T3171" s="1394">
        <f t="shared" si="905"/>
        <v>0</v>
      </c>
      <c r="U3171" s="1394">
        <f>IFERROR(VLOOKUP(M3171,#REF!,5,0),0)</f>
        <v>0</v>
      </c>
      <c r="V3171" s="1394">
        <f t="shared" si="906"/>
        <v>0</v>
      </c>
    </row>
    <row r="3172" spans="1:23" s="1394" customFormat="1" ht="30" customHeight="1">
      <c r="A3172" s="110"/>
      <c r="B3172" s="1421"/>
      <c r="C3172" s="1422" t="s">
        <v>250</v>
      </c>
      <c r="D3172" s="103">
        <v>-1</v>
      </c>
      <c r="E3172" s="103">
        <f>VLOOKUP(C3172,Sheet1!$I$7:$R$41,10,0)</f>
        <v>37</v>
      </c>
      <c r="F3172" s="1413">
        <f>VLOOKUP(C3172,Sheet1!$I$7:$R$41,2,0)+0.46</f>
        <v>1.66</v>
      </c>
      <c r="G3172" s="1413">
        <f t="shared" si="908"/>
        <v>0.6</v>
      </c>
      <c r="H3172" s="1414"/>
      <c r="I3172" s="1406">
        <f t="shared" si="909"/>
        <v>-36.851999999999997</v>
      </c>
      <c r="M3172" s="1426"/>
      <c r="Q3172" s="1394">
        <f>IFERROR(VLOOKUP(M3172,#REF!,3,0),0)</f>
        <v>0</v>
      </c>
      <c r="R3172" s="1394">
        <f t="shared" si="887"/>
        <v>0</v>
      </c>
      <c r="S3172" s="1394">
        <f>IFERROR(VLOOKUP(M3172,#REF!,6,0),0)</f>
        <v>0</v>
      </c>
      <c r="T3172" s="1394">
        <f t="shared" si="905"/>
        <v>0</v>
      </c>
      <c r="U3172" s="1394">
        <f>IFERROR(VLOOKUP(M3172,#REF!,5,0),0)</f>
        <v>0</v>
      </c>
      <c r="V3172" s="1394">
        <f t="shared" si="906"/>
        <v>0</v>
      </c>
    </row>
    <row r="3173" spans="1:23" s="1394" customFormat="1" ht="30" customHeight="1">
      <c r="A3173" s="110"/>
      <c r="B3173" s="1421"/>
      <c r="C3173" s="1422" t="s">
        <v>251</v>
      </c>
      <c r="D3173" s="103">
        <v>-1</v>
      </c>
      <c r="E3173" s="103">
        <f>VLOOKUP(C3173,Sheet1!$I$7:$R$41,10,0)</f>
        <v>15</v>
      </c>
      <c r="F3173" s="1413">
        <f>VLOOKUP(C3173,Sheet1!$I$7:$R$41,2,0)+0.46</f>
        <v>1.46</v>
      </c>
      <c r="G3173" s="1413">
        <f t="shared" si="908"/>
        <v>0.6</v>
      </c>
      <c r="H3173" s="1414"/>
      <c r="I3173" s="1406">
        <f t="shared" si="909"/>
        <v>-13.139999999999999</v>
      </c>
      <c r="M3173" s="1426"/>
      <c r="Q3173" s="1394">
        <f>IFERROR(VLOOKUP(M3173,#REF!,3,0),0)</f>
        <v>0</v>
      </c>
      <c r="R3173" s="1394">
        <f t="shared" si="887"/>
        <v>0</v>
      </c>
      <c r="S3173" s="1394">
        <f>IFERROR(VLOOKUP(M3173,#REF!,6,0),0)</f>
        <v>0</v>
      </c>
      <c r="T3173" s="1394">
        <f t="shared" si="905"/>
        <v>0</v>
      </c>
      <c r="U3173" s="1394">
        <f>IFERROR(VLOOKUP(M3173,#REF!,5,0),0)</f>
        <v>0</v>
      </c>
      <c r="V3173" s="1394">
        <f t="shared" si="906"/>
        <v>0</v>
      </c>
    </row>
    <row r="3174" spans="1:23" s="1394" customFormat="1" ht="30" customHeight="1">
      <c r="A3174" s="110"/>
      <c r="B3174" s="1421"/>
      <c r="C3174" s="1422" t="s">
        <v>5518</v>
      </c>
      <c r="D3174" s="103">
        <v>-1</v>
      </c>
      <c r="E3174" s="103">
        <f>VLOOKUP(C3174,Sheet1!$I$7:$R$41,10,0)</f>
        <v>4</v>
      </c>
      <c r="F3174" s="1413">
        <f>VLOOKUP(C3174,Sheet1!$I$7:$R$41,2,0)+0.46</f>
        <v>2.56</v>
      </c>
      <c r="G3174" s="1413">
        <f t="shared" si="908"/>
        <v>0.6</v>
      </c>
      <c r="H3174" s="1414"/>
      <c r="I3174" s="1406">
        <f t="shared" si="909"/>
        <v>-6.1440000000000001</v>
      </c>
      <c r="M3174" s="1426"/>
      <c r="Q3174" s="1394">
        <f>IFERROR(VLOOKUP(M3174,#REF!,3,0),0)</f>
        <v>0</v>
      </c>
      <c r="R3174" s="1394">
        <f t="shared" si="887"/>
        <v>0</v>
      </c>
      <c r="S3174" s="1394">
        <f>IFERROR(VLOOKUP(M3174,#REF!,6,0),0)</f>
        <v>0</v>
      </c>
      <c r="T3174" s="1394">
        <f t="shared" si="905"/>
        <v>0</v>
      </c>
      <c r="U3174" s="1394">
        <f>IFERROR(VLOOKUP(M3174,#REF!,5,0),0)</f>
        <v>0</v>
      </c>
      <c r="V3174" s="1394">
        <f t="shared" si="906"/>
        <v>0</v>
      </c>
    </row>
    <row r="3175" spans="1:23" s="1394" customFormat="1" ht="30" customHeight="1">
      <c r="A3175" s="110"/>
      <c r="B3175" s="1421"/>
      <c r="C3175" s="1422" t="s">
        <v>255</v>
      </c>
      <c r="D3175" s="103">
        <v>-1</v>
      </c>
      <c r="E3175" s="103">
        <f>VLOOKUP(C3175,Sheet1!$I$7:$R$41,10,0)</f>
        <v>5</v>
      </c>
      <c r="F3175" s="1413">
        <f>VLOOKUP(C3175,Sheet1!$I$7:$R$41,2,0)+0.46</f>
        <v>1.81</v>
      </c>
      <c r="G3175" s="1413">
        <f t="shared" si="908"/>
        <v>0.6</v>
      </c>
      <c r="H3175" s="1414"/>
      <c r="I3175" s="1406">
        <f t="shared" si="909"/>
        <v>-5.4300000000000006</v>
      </c>
      <c r="M3175" s="1426"/>
      <c r="Q3175" s="1394">
        <f>IFERROR(VLOOKUP(M3175,#REF!,3,0),0)</f>
        <v>0</v>
      </c>
      <c r="R3175" s="1394">
        <f t="shared" si="887"/>
        <v>0</v>
      </c>
      <c r="S3175" s="1394">
        <f>IFERROR(VLOOKUP(M3175,#REF!,6,0),0)</f>
        <v>0</v>
      </c>
      <c r="T3175" s="1394">
        <f t="shared" si="905"/>
        <v>0</v>
      </c>
      <c r="U3175" s="1394">
        <f>IFERROR(VLOOKUP(M3175,#REF!,5,0),0)</f>
        <v>0</v>
      </c>
      <c r="V3175" s="1394">
        <f t="shared" si="906"/>
        <v>0</v>
      </c>
    </row>
    <row r="3176" spans="1:23" s="1394" customFormat="1" ht="30" customHeight="1">
      <c r="A3176" s="110"/>
      <c r="B3176" s="1421"/>
      <c r="C3176" s="1422" t="s">
        <v>254</v>
      </c>
      <c r="D3176" s="103">
        <v>-1</v>
      </c>
      <c r="E3176" s="103">
        <f>VLOOKUP(C3176,Sheet1!$I$7:$R$41,10,0)</f>
        <v>1</v>
      </c>
      <c r="F3176" s="1413">
        <f>VLOOKUP(C3176,Sheet1!$I$7:$R$41,2,0)+0.46</f>
        <v>1.36</v>
      </c>
      <c r="G3176" s="1413">
        <f t="shared" si="908"/>
        <v>0.6</v>
      </c>
      <c r="H3176" s="1414"/>
      <c r="I3176" s="1406">
        <f t="shared" si="909"/>
        <v>-0.81600000000000006</v>
      </c>
      <c r="M3176" s="1426"/>
      <c r="Q3176" s="1394">
        <f>IFERROR(VLOOKUP(M3176,#REF!,3,0),0)</f>
        <v>0</v>
      </c>
      <c r="R3176" s="1394">
        <f t="shared" si="887"/>
        <v>0</v>
      </c>
      <c r="S3176" s="1394">
        <f>IFERROR(VLOOKUP(M3176,#REF!,6,0),0)</f>
        <v>0</v>
      </c>
      <c r="T3176" s="1394">
        <f t="shared" si="905"/>
        <v>0</v>
      </c>
      <c r="U3176" s="1394">
        <f>IFERROR(VLOOKUP(M3176,#REF!,5,0),0)</f>
        <v>0</v>
      </c>
      <c r="V3176" s="1394">
        <f t="shared" si="906"/>
        <v>0</v>
      </c>
    </row>
    <row r="3177" spans="1:23" s="1394" customFormat="1" ht="30" customHeight="1">
      <c r="A3177" s="110"/>
      <c r="B3177" s="1421"/>
      <c r="C3177" s="1422" t="s">
        <v>253</v>
      </c>
      <c r="D3177" s="103">
        <v>-1</v>
      </c>
      <c r="E3177" s="103">
        <f>VLOOKUP(C3177,Sheet1!$I$7:$R$41,10,0)</f>
        <v>4</v>
      </c>
      <c r="F3177" s="1413">
        <f>VLOOKUP(C3177,Sheet1!$I$7:$R$41,2,0)+0.46</f>
        <v>1.46</v>
      </c>
      <c r="G3177" s="1413">
        <f t="shared" si="908"/>
        <v>0.6</v>
      </c>
      <c r="H3177" s="1414"/>
      <c r="I3177" s="1406">
        <f t="shared" si="909"/>
        <v>-3.504</v>
      </c>
      <c r="M3177" s="1426"/>
      <c r="Q3177" s="1394">
        <f>IFERROR(VLOOKUP(M3177,#REF!,3,0),0)</f>
        <v>0</v>
      </c>
      <c r="R3177" s="1394">
        <f t="shared" si="887"/>
        <v>0</v>
      </c>
      <c r="S3177" s="1394">
        <f>IFERROR(VLOOKUP(M3177,#REF!,6,0),0)</f>
        <v>0</v>
      </c>
      <c r="T3177" s="1394">
        <f t="shared" si="905"/>
        <v>0</v>
      </c>
      <c r="U3177" s="1394">
        <f>IFERROR(VLOOKUP(M3177,#REF!,5,0),0)</f>
        <v>0</v>
      </c>
      <c r="V3177" s="1394">
        <f t="shared" si="906"/>
        <v>0</v>
      </c>
    </row>
    <row r="3178" spans="1:23" s="1394" customFormat="1" ht="30" customHeight="1">
      <c r="A3178" s="110"/>
      <c r="B3178" s="1421"/>
      <c r="C3178" s="1422" t="s">
        <v>372</v>
      </c>
      <c r="D3178" s="103">
        <v>-1</v>
      </c>
      <c r="E3178" s="103">
        <f>VLOOKUP(C3178,Sheet1!$I$7:$R$41,10,0)</f>
        <v>4</v>
      </c>
      <c r="F3178" s="1413">
        <f>VLOOKUP(C3178,Sheet1!$I$7:$R$41,2,0)+0.46</f>
        <v>1.06</v>
      </c>
      <c r="G3178" s="1413">
        <f t="shared" si="908"/>
        <v>0.6</v>
      </c>
      <c r="H3178" s="1414"/>
      <c r="I3178" s="1406">
        <f t="shared" si="909"/>
        <v>-2.544</v>
      </c>
      <c r="M3178" s="1426"/>
      <c r="Q3178" s="1394">
        <f>IFERROR(VLOOKUP(M3178,#REF!,3,0),0)</f>
        <v>0</v>
      </c>
      <c r="R3178" s="1394">
        <f t="shared" si="887"/>
        <v>0</v>
      </c>
      <c r="S3178" s="1394">
        <f>IFERROR(VLOOKUP(M3178,#REF!,6,0),0)</f>
        <v>0</v>
      </c>
      <c r="T3178" s="1394">
        <f t="shared" si="905"/>
        <v>0</v>
      </c>
      <c r="U3178" s="1394">
        <f>IFERROR(VLOOKUP(M3178,#REF!,5,0),0)</f>
        <v>0</v>
      </c>
      <c r="V3178" s="1394">
        <f t="shared" si="906"/>
        <v>0</v>
      </c>
    </row>
    <row r="3179" spans="1:23" s="1394" customFormat="1" ht="30" customHeight="1">
      <c r="A3179" s="110"/>
      <c r="B3179" s="1421"/>
      <c r="C3179" s="1422" t="s">
        <v>257</v>
      </c>
      <c r="D3179" s="103">
        <v>-1</v>
      </c>
      <c r="E3179" s="103">
        <f>VLOOKUP(C3179,Sheet1!$I$7:$R$41,10,0)</f>
        <v>16</v>
      </c>
      <c r="F3179" s="1413">
        <f>VLOOKUP(C3179,Sheet1!$I$7:$R$41,2,0)+0.46</f>
        <v>1.36</v>
      </c>
      <c r="G3179" s="1413">
        <f t="shared" si="908"/>
        <v>0.6</v>
      </c>
      <c r="H3179" s="1414"/>
      <c r="I3179" s="1406">
        <f t="shared" si="909"/>
        <v>-13.056000000000001</v>
      </c>
      <c r="M3179" s="1426"/>
      <c r="Q3179" s="1394">
        <f>IFERROR(VLOOKUP(M3179,#REF!,3,0),0)</f>
        <v>0</v>
      </c>
      <c r="R3179" s="1394">
        <f t="shared" si="887"/>
        <v>0</v>
      </c>
      <c r="S3179" s="1394">
        <f>IFERROR(VLOOKUP(M3179,#REF!,6,0),0)</f>
        <v>0</v>
      </c>
      <c r="T3179" s="1394">
        <f t="shared" si="905"/>
        <v>0</v>
      </c>
      <c r="U3179" s="1394">
        <f>IFERROR(VLOOKUP(M3179,#REF!,5,0),0)</f>
        <v>0</v>
      </c>
      <c r="V3179" s="1394">
        <f t="shared" si="906"/>
        <v>0</v>
      </c>
    </row>
    <row r="3180" spans="1:23" s="1394" customFormat="1" ht="30" customHeight="1">
      <c r="A3180" s="110"/>
      <c r="B3180" s="1421"/>
      <c r="C3180" s="1422" t="s">
        <v>5520</v>
      </c>
      <c r="D3180" s="103">
        <v>-1</v>
      </c>
      <c r="E3180" s="103">
        <f>VLOOKUP(C3180,Sheet1!$I$7:$R$41,10,0)</f>
        <v>2</v>
      </c>
      <c r="F3180" s="1413">
        <f>VLOOKUP(C3180,Sheet1!$I$7:$R$41,2,0)+0.46</f>
        <v>1.36</v>
      </c>
      <c r="G3180" s="1413">
        <f t="shared" si="908"/>
        <v>0.6</v>
      </c>
      <c r="H3180" s="1414"/>
      <c r="I3180" s="1406">
        <f t="shared" si="909"/>
        <v>-1.6320000000000001</v>
      </c>
      <c r="M3180" s="1426"/>
      <c r="Q3180" s="1394">
        <f>IFERROR(VLOOKUP(M3180,#REF!,3,0),0)</f>
        <v>0</v>
      </c>
      <c r="R3180" s="1394">
        <f t="shared" si="887"/>
        <v>0</v>
      </c>
      <c r="S3180" s="1394">
        <f>IFERROR(VLOOKUP(M3180,#REF!,6,0),0)</f>
        <v>0</v>
      </c>
      <c r="T3180" s="1394">
        <f t="shared" si="905"/>
        <v>0</v>
      </c>
      <c r="U3180" s="1394">
        <f>IFERROR(VLOOKUP(M3180,#REF!,5,0),0)</f>
        <v>0</v>
      </c>
      <c r="V3180" s="1394">
        <f t="shared" si="906"/>
        <v>0</v>
      </c>
    </row>
    <row r="3181" spans="1:23" s="1394" customFormat="1" ht="30" customHeight="1">
      <c r="A3181" s="110"/>
      <c r="B3181" s="1421"/>
      <c r="C3181" s="1457"/>
      <c r="D3181" s="1389"/>
      <c r="E3181" s="1389"/>
      <c r="F3181" s="1423"/>
      <c r="G3181" s="1423"/>
      <c r="H3181" s="1424"/>
      <c r="I3181" s="1425"/>
      <c r="M3181" s="1426"/>
      <c r="Q3181" s="1394">
        <f>IFERROR(VLOOKUP(M3181,#REF!,3,0),0)</f>
        <v>0</v>
      </c>
      <c r="R3181" s="1394">
        <f t="shared" si="887"/>
        <v>0</v>
      </c>
      <c r="S3181" s="1394">
        <f>IFERROR(VLOOKUP(M3181,#REF!,6,0),0)</f>
        <v>0</v>
      </c>
      <c r="T3181" s="1394">
        <f t="shared" si="905"/>
        <v>0</v>
      </c>
      <c r="U3181" s="1394">
        <f>IFERROR(VLOOKUP(M3181,#REF!,5,0),0)</f>
        <v>0</v>
      </c>
      <c r="V3181" s="1394">
        <f t="shared" si="906"/>
        <v>0</v>
      </c>
    </row>
    <row r="3182" spans="1:23" ht="30" customHeight="1">
      <c r="B3182" s="1407"/>
      <c r="C3182" s="1422"/>
      <c r="D3182" s="1389"/>
      <c r="E3182" s="1389"/>
      <c r="F3182" s="1423"/>
      <c r="G3182" s="1423"/>
      <c r="H3182" s="1424"/>
      <c r="I3182" s="1425"/>
      <c r="J3182" s="1394"/>
      <c r="K3182" s="1394"/>
      <c r="Q3182" s="1394">
        <f>IFERROR(VLOOKUP(M3182,#REF!,3,0),0)</f>
        <v>0</v>
      </c>
      <c r="R3182" s="1394">
        <f t="shared" ref="R3182:R3245" si="910">ROUND(O3182,2)*ROUND(Q3182,2)</f>
        <v>0</v>
      </c>
      <c r="S3182" s="1394">
        <f>IFERROR(VLOOKUP(M3182,#REF!,6,0),0)</f>
        <v>0</v>
      </c>
      <c r="T3182" s="1394">
        <f t="shared" si="905"/>
        <v>0</v>
      </c>
      <c r="U3182" s="1394">
        <f>IFERROR(VLOOKUP(M3182,#REF!,5,0),0)</f>
        <v>0</v>
      </c>
      <c r="V3182" s="1394">
        <f t="shared" si="906"/>
        <v>0</v>
      </c>
      <c r="W3182" s="1394"/>
    </row>
    <row r="3183" spans="1:23" s="1394" customFormat="1" ht="30" customHeight="1">
      <c r="A3183" s="110"/>
      <c r="B3183" s="1421"/>
      <c r="C3183" s="1422" t="s">
        <v>270</v>
      </c>
      <c r="D3183" s="1389"/>
      <c r="E3183" s="1389"/>
      <c r="F3183" s="1423"/>
      <c r="G3183" s="1423"/>
      <c r="H3183" s="1424"/>
      <c r="I3183" s="1425">
        <f>J3184-J3183</f>
        <v>0.7390600000012455</v>
      </c>
      <c r="J3183" s="1394">
        <f>SUM(I2778:I3182)</f>
        <v>1618.2609399999988</v>
      </c>
      <c r="M3183" s="1426"/>
      <c r="Q3183" s="1394">
        <f>IFERROR(VLOOKUP(M3183,#REF!,3,0),0)</f>
        <v>0</v>
      </c>
      <c r="R3183" s="1394">
        <f t="shared" si="910"/>
        <v>0</v>
      </c>
      <c r="S3183" s="1394">
        <f>IFERROR(VLOOKUP(M3183,#REF!,6,0),0)</f>
        <v>0</v>
      </c>
      <c r="T3183" s="1394">
        <f t="shared" si="905"/>
        <v>0</v>
      </c>
      <c r="U3183" s="1394">
        <f>IFERROR(VLOOKUP(M3183,#REF!,5,0),0)</f>
        <v>0</v>
      </c>
      <c r="V3183" s="1394">
        <f t="shared" si="906"/>
        <v>0</v>
      </c>
    </row>
    <row r="3184" spans="1:23" s="1394" customFormat="1" ht="30" customHeight="1">
      <c r="A3184" s="110"/>
      <c r="B3184" s="1421"/>
      <c r="C3184" s="1457"/>
      <c r="D3184" s="1389"/>
      <c r="E3184" s="1389"/>
      <c r="F3184" s="1423"/>
      <c r="G3184" s="1423"/>
      <c r="H3184" s="1424"/>
      <c r="I3184" s="1427">
        <f>+J3184</f>
        <v>1619</v>
      </c>
      <c r="J3184" s="1394">
        <f>ROUNDUP(J3183,0)</f>
        <v>1619</v>
      </c>
      <c r="M3184" s="1426"/>
      <c r="Q3184" s="1394">
        <f>IFERROR(VLOOKUP(M3184,#REF!,3,0),0)</f>
        <v>0</v>
      </c>
      <c r="R3184" s="1394">
        <f t="shared" si="910"/>
        <v>0</v>
      </c>
      <c r="S3184" s="1394">
        <f>IFERROR(VLOOKUP(M3184,#REF!,6,0),0)</f>
        <v>0</v>
      </c>
      <c r="T3184" s="1394">
        <f t="shared" si="905"/>
        <v>0</v>
      </c>
      <c r="U3184" s="1394">
        <f>IFERROR(VLOOKUP(M3184,#REF!,5,0),0)</f>
        <v>0</v>
      </c>
      <c r="V3184" s="1394">
        <f t="shared" si="906"/>
        <v>0</v>
      </c>
    </row>
    <row r="3185" spans="1:24" s="1394" customFormat="1" ht="30" customHeight="1">
      <c r="A3185" s="110"/>
      <c r="B3185" s="1421"/>
      <c r="C3185" s="1422"/>
      <c r="D3185" s="1389"/>
      <c r="E3185" s="1389"/>
      <c r="F3185" s="1423"/>
      <c r="G3185" s="1428" t="s">
        <v>11</v>
      </c>
      <c r="H3185" s="1429">
        <f>I3184</f>
        <v>1619</v>
      </c>
      <c r="I3185" s="1427" t="s">
        <v>26</v>
      </c>
      <c r="M3185" s="1394" t="str">
        <f>A2777</f>
        <v>Spl. Ceiling plastering in C.M. 1:3, 10 mm tk.</v>
      </c>
      <c r="N3185" s="1394">
        <f>B2777</f>
        <v>35</v>
      </c>
      <c r="O3185" s="1394">
        <f>H3185</f>
        <v>1619</v>
      </c>
      <c r="P3185" s="1394" t="str">
        <f>I3185</f>
        <v>Sqm</v>
      </c>
      <c r="Q3185" s="1394">
        <f>IFERROR(VLOOKUP(M3185,#REF!,3,0),0)</f>
        <v>0</v>
      </c>
      <c r="R3185" s="1394">
        <f t="shared" si="910"/>
        <v>0</v>
      </c>
      <c r="S3185" s="1394">
        <f>IFERROR(VLOOKUP(M3185,#REF!,6,0),0)</f>
        <v>0</v>
      </c>
      <c r="T3185" s="1394">
        <f t="shared" si="905"/>
        <v>0</v>
      </c>
      <c r="U3185" s="1394">
        <f>IFERROR(VLOOKUP(M3185,#REF!,5,0),0)</f>
        <v>0</v>
      </c>
      <c r="V3185" s="1394">
        <f t="shared" si="906"/>
        <v>1619</v>
      </c>
    </row>
    <row r="3186" spans="1:24" ht="30" customHeight="1">
      <c r="B3186" s="1407"/>
      <c r="C3186" s="1455"/>
      <c r="D3186" s="103"/>
      <c r="E3186" s="103"/>
      <c r="F3186" s="1413"/>
      <c r="G3186" s="1413"/>
      <c r="H3186" s="1414"/>
      <c r="I3186" s="1406"/>
      <c r="Q3186" s="1394">
        <f>IFERROR(VLOOKUP(M3186,#REF!,3,0),0)</f>
        <v>0</v>
      </c>
      <c r="R3186" s="1394">
        <f t="shared" si="910"/>
        <v>0</v>
      </c>
      <c r="S3186" s="1394">
        <f>IFERROR(VLOOKUP(M3186,#REF!,6,0),0)</f>
        <v>0</v>
      </c>
      <c r="T3186" s="1394">
        <f t="shared" si="905"/>
        <v>0</v>
      </c>
      <c r="U3186" s="1394">
        <f>IFERROR(VLOOKUP(M3186,#REF!,5,0),0)</f>
        <v>0</v>
      </c>
      <c r="V3186" s="1394">
        <f t="shared" si="906"/>
        <v>0</v>
      </c>
      <c r="W3186" s="1394"/>
    </row>
    <row r="3187" spans="1:24" ht="66.75" customHeight="1">
      <c r="A3187" s="110" t="s">
        <v>414</v>
      </c>
      <c r="B3187" s="1513">
        <v>36</v>
      </c>
      <c r="C3187" s="1678" t="e">
        <f>VLOOKUP(A3187,#REF!,2,0)</f>
        <v>#REF!</v>
      </c>
      <c r="D3187" s="1678"/>
      <c r="E3187" s="1678"/>
      <c r="F3187" s="1678"/>
      <c r="G3187" s="1678"/>
      <c r="H3187" s="1678"/>
      <c r="I3187" s="1406"/>
      <c r="Q3187" s="1394">
        <f>IFERROR(VLOOKUP(M3187,#REF!,3,0),0)</f>
        <v>0</v>
      </c>
      <c r="R3187" s="1394">
        <f t="shared" si="910"/>
        <v>0</v>
      </c>
      <c r="S3187" s="1394">
        <f>IFERROR(VLOOKUP(M3187,#REF!,6,0),0)</f>
        <v>0</v>
      </c>
      <c r="T3187" s="1394">
        <f t="shared" si="905"/>
        <v>0</v>
      </c>
      <c r="U3187" s="1394">
        <f>IFERROR(VLOOKUP(M3187,#REF!,5,0),0)</f>
        <v>0</v>
      </c>
      <c r="V3187" s="1394">
        <f t="shared" si="906"/>
        <v>0</v>
      </c>
      <c r="W3187" s="1394"/>
      <c r="X3187" s="1397"/>
    </row>
    <row r="3188" spans="1:24" ht="30" customHeight="1">
      <c r="A3188" s="110" t="s">
        <v>415</v>
      </c>
      <c r="B3188" s="1407"/>
      <c r="C3188" s="1678" t="e">
        <f>VLOOKUP(A3188,#REF!,2,0)</f>
        <v>#REF!</v>
      </c>
      <c r="D3188" s="1678"/>
      <c r="E3188" s="1678"/>
      <c r="F3188" s="1678"/>
      <c r="G3188" s="1678"/>
      <c r="H3188" s="1678"/>
      <c r="I3188" s="1406"/>
      <c r="Q3188" s="1394">
        <f>IFERROR(VLOOKUP(M3188,#REF!,3,0),0)</f>
        <v>0</v>
      </c>
      <c r="R3188" s="1394">
        <f t="shared" si="910"/>
        <v>0</v>
      </c>
      <c r="S3188" s="1394">
        <f>IFERROR(VLOOKUP(M3188,#REF!,6,0),0)</f>
        <v>0</v>
      </c>
      <c r="T3188" s="1394">
        <f t="shared" si="905"/>
        <v>0</v>
      </c>
      <c r="U3188" s="1394">
        <f>IFERROR(VLOOKUP(M3188,#REF!,5,0),0)</f>
        <v>0</v>
      </c>
      <c r="V3188" s="1394">
        <f t="shared" si="906"/>
        <v>0</v>
      </c>
      <c r="W3188" s="1394"/>
      <c r="X3188" s="1397"/>
    </row>
    <row r="3189" spans="1:24" ht="30" customHeight="1">
      <c r="B3189" s="1407"/>
      <c r="C3189" s="1455" t="s">
        <v>416</v>
      </c>
      <c r="D3189" s="103">
        <v>1</v>
      </c>
      <c r="E3189" s="103">
        <v>4</v>
      </c>
      <c r="F3189" s="1413">
        <f>86.29</f>
        <v>86.29</v>
      </c>
      <c r="G3189" s="1413"/>
      <c r="H3189" s="1414"/>
      <c r="I3189" s="1406">
        <f>PRODUCT(D3189:H3189)</f>
        <v>345.16</v>
      </c>
      <c r="Q3189" s="1394">
        <f>IFERROR(VLOOKUP(M3189,#REF!,3,0),0)</f>
        <v>0</v>
      </c>
      <c r="R3189" s="1394">
        <f t="shared" si="910"/>
        <v>0</v>
      </c>
      <c r="S3189" s="1394">
        <f>IFERROR(VLOOKUP(M3189,#REF!,6,0),0)</f>
        <v>0</v>
      </c>
      <c r="T3189" s="1394">
        <f t="shared" si="905"/>
        <v>0</v>
      </c>
      <c r="U3189" s="1394">
        <f>IFERROR(VLOOKUP(M3189,#REF!,5,0),0)</f>
        <v>0</v>
      </c>
      <c r="V3189" s="1394">
        <f t="shared" si="906"/>
        <v>0</v>
      </c>
      <c r="W3189" s="1394"/>
    </row>
    <row r="3190" spans="1:24" s="1394" customFormat="1" ht="30" customHeight="1">
      <c r="B3190" s="1421"/>
      <c r="C3190" s="1422" t="s">
        <v>270</v>
      </c>
      <c r="D3190" s="1389"/>
      <c r="E3190" s="1389"/>
      <c r="F3190" s="1423"/>
      <c r="G3190" s="1423"/>
      <c r="H3190" s="1424"/>
      <c r="I3190" s="1425">
        <f>J3191-J3190</f>
        <v>4.0000000000020464E-2</v>
      </c>
      <c r="J3190" s="1394">
        <f>SUM(I3189:I3189)</f>
        <v>345.16</v>
      </c>
      <c r="M3190" s="1426"/>
      <c r="Q3190" s="1394">
        <f>IFERROR(VLOOKUP(M3190,#REF!,3,0),0)</f>
        <v>0</v>
      </c>
      <c r="R3190" s="1394">
        <f t="shared" si="910"/>
        <v>0</v>
      </c>
      <c r="S3190" s="1394">
        <f>IFERROR(VLOOKUP(M3190,#REF!,6,0),0)</f>
        <v>0</v>
      </c>
      <c r="T3190" s="1394">
        <f t="shared" si="905"/>
        <v>0</v>
      </c>
      <c r="U3190" s="1394">
        <f>IFERROR(VLOOKUP(M3190,#REF!,5,0),0)</f>
        <v>0</v>
      </c>
      <c r="V3190" s="1394">
        <f t="shared" si="906"/>
        <v>0</v>
      </c>
    </row>
    <row r="3191" spans="1:24" s="1394" customFormat="1" ht="30" customHeight="1">
      <c r="B3191" s="1421"/>
      <c r="C3191" s="1457"/>
      <c r="D3191" s="1389"/>
      <c r="E3191" s="1389"/>
      <c r="F3191" s="1423"/>
      <c r="G3191" s="1423"/>
      <c r="H3191" s="1424"/>
      <c r="I3191" s="1427">
        <f>+J3191</f>
        <v>345.20000000000005</v>
      </c>
      <c r="J3191" s="1394">
        <f>ROUNDUP(J3190,1)</f>
        <v>345.20000000000005</v>
      </c>
      <c r="M3191" s="1426"/>
      <c r="Q3191" s="1394">
        <f>IFERROR(VLOOKUP(M3191,#REF!,3,0),0)</f>
        <v>0</v>
      </c>
      <c r="R3191" s="1394">
        <f t="shared" si="910"/>
        <v>0</v>
      </c>
      <c r="S3191" s="1394">
        <f>IFERROR(VLOOKUP(M3191,#REF!,6,0),0)</f>
        <v>0</v>
      </c>
      <c r="T3191" s="1394">
        <f t="shared" si="905"/>
        <v>0</v>
      </c>
      <c r="U3191" s="1394">
        <f>IFERROR(VLOOKUP(M3191,#REF!,5,0),0)</f>
        <v>0</v>
      </c>
      <c r="V3191" s="1394">
        <f t="shared" si="906"/>
        <v>0</v>
      </c>
    </row>
    <row r="3192" spans="1:24" s="1394" customFormat="1" ht="30" customHeight="1">
      <c r="B3192" s="1421"/>
      <c r="C3192" s="1422"/>
      <c r="D3192" s="1389"/>
      <c r="E3192" s="1389"/>
      <c r="F3192" s="1423"/>
      <c r="G3192" s="1428" t="s">
        <v>11</v>
      </c>
      <c r="H3192" s="1429">
        <f>I3191</f>
        <v>345.20000000000005</v>
      </c>
      <c r="I3192" s="1427" t="s">
        <v>12</v>
      </c>
      <c r="M3192" s="1394" t="str">
        <f>A3188</f>
        <v>a. 150 mm wide</v>
      </c>
      <c r="N3192" s="1394">
        <f>B3188</f>
        <v>0</v>
      </c>
      <c r="O3192" s="1394">
        <f>H3192</f>
        <v>345.20000000000005</v>
      </c>
      <c r="P3192" s="1394" t="str">
        <f>I3192</f>
        <v>Rmt</v>
      </c>
      <c r="Q3192" s="1394">
        <f>IFERROR(VLOOKUP(M3192,#REF!,3,0),0)</f>
        <v>0</v>
      </c>
      <c r="R3192" s="1394">
        <f t="shared" si="910"/>
        <v>0</v>
      </c>
      <c r="S3192" s="1394">
        <f>IFERROR(VLOOKUP(M3192,#REF!,6,0),0)</f>
        <v>0</v>
      </c>
      <c r="T3192" s="1394">
        <f t="shared" si="905"/>
        <v>0</v>
      </c>
      <c r="U3192" s="1394">
        <f>IFERROR(VLOOKUP(M3192,#REF!,5,0),0)</f>
        <v>0</v>
      </c>
      <c r="V3192" s="1394">
        <f t="shared" si="906"/>
        <v>345.20000000000005</v>
      </c>
    </row>
    <row r="3193" spans="1:24" ht="30" customHeight="1">
      <c r="A3193" s="110" t="s">
        <v>417</v>
      </c>
      <c r="B3193" s="1407"/>
      <c r="C3193" s="1678" t="e">
        <f>VLOOKUP(A3193,#REF!,2,0)</f>
        <v>#REF!</v>
      </c>
      <c r="D3193" s="1678"/>
      <c r="E3193" s="1678"/>
      <c r="F3193" s="1678"/>
      <c r="G3193" s="1678"/>
      <c r="H3193" s="1678"/>
      <c r="I3193" s="1406"/>
      <c r="Q3193" s="1394">
        <f>IFERROR(VLOOKUP(M3193,#REF!,3,0),0)</f>
        <v>0</v>
      </c>
      <c r="R3193" s="1394">
        <f t="shared" si="910"/>
        <v>0</v>
      </c>
      <c r="S3193" s="1394">
        <f>IFERROR(VLOOKUP(M3193,#REF!,6,0),0)</f>
        <v>0</v>
      </c>
      <c r="T3193" s="1394">
        <f t="shared" si="905"/>
        <v>0</v>
      </c>
      <c r="U3193" s="1394">
        <f>IFERROR(VLOOKUP(M3193,#REF!,5,0),0)</f>
        <v>0</v>
      </c>
      <c r="V3193" s="1394">
        <f t="shared" si="906"/>
        <v>0</v>
      </c>
      <c r="W3193" s="1394"/>
      <c r="X3193" s="1397"/>
    </row>
    <row r="3194" spans="1:24" ht="30" customHeight="1">
      <c r="B3194" s="1407"/>
      <c r="C3194" s="1455" t="s">
        <v>416</v>
      </c>
      <c r="D3194" s="103">
        <v>1</v>
      </c>
      <c r="E3194" s="103">
        <v>4</v>
      </c>
      <c r="F3194" s="1413">
        <f>F3189</f>
        <v>86.29</v>
      </c>
      <c r="G3194" s="1413"/>
      <c r="H3194" s="1414"/>
      <c r="I3194" s="1406">
        <f>PRODUCT(D3194:H3194)</f>
        <v>345.16</v>
      </c>
      <c r="Q3194" s="1394">
        <f>IFERROR(VLOOKUP(M3194,#REF!,3,0),0)</f>
        <v>0</v>
      </c>
      <c r="R3194" s="1394">
        <f t="shared" si="910"/>
        <v>0</v>
      </c>
      <c r="S3194" s="1394">
        <f>IFERROR(VLOOKUP(M3194,#REF!,6,0),0)</f>
        <v>0</v>
      </c>
      <c r="T3194" s="1394">
        <f t="shared" si="905"/>
        <v>0</v>
      </c>
      <c r="U3194" s="1394">
        <f>IFERROR(VLOOKUP(M3194,#REF!,5,0),0)</f>
        <v>0</v>
      </c>
      <c r="V3194" s="1394">
        <f t="shared" si="906"/>
        <v>0</v>
      </c>
      <c r="W3194" s="1394"/>
    </row>
    <row r="3195" spans="1:24" s="1394" customFormat="1" ht="30" customHeight="1">
      <c r="B3195" s="1421"/>
      <c r="C3195" s="1422" t="s">
        <v>270</v>
      </c>
      <c r="D3195" s="1389"/>
      <c r="E3195" s="1389"/>
      <c r="F3195" s="1423"/>
      <c r="G3195" s="1423"/>
      <c r="H3195" s="1424"/>
      <c r="I3195" s="1425">
        <f>J3196-J3195</f>
        <v>4.0000000000020464E-2</v>
      </c>
      <c r="J3195" s="1394">
        <f>SUM(I3194:I3194)</f>
        <v>345.16</v>
      </c>
      <c r="M3195" s="1426"/>
      <c r="Q3195" s="1394">
        <f>IFERROR(VLOOKUP(M3195,#REF!,3,0),0)</f>
        <v>0</v>
      </c>
      <c r="R3195" s="1394">
        <f t="shared" si="910"/>
        <v>0</v>
      </c>
      <c r="S3195" s="1394">
        <f>IFERROR(VLOOKUP(M3195,#REF!,6,0),0)</f>
        <v>0</v>
      </c>
      <c r="T3195" s="1394">
        <f t="shared" si="905"/>
        <v>0</v>
      </c>
      <c r="U3195" s="1394">
        <f>IFERROR(VLOOKUP(M3195,#REF!,5,0),0)</f>
        <v>0</v>
      </c>
      <c r="V3195" s="1394">
        <f t="shared" si="906"/>
        <v>0</v>
      </c>
    </row>
    <row r="3196" spans="1:24" s="1394" customFormat="1" ht="30" customHeight="1">
      <c r="B3196" s="1421"/>
      <c r="C3196" s="1457"/>
      <c r="D3196" s="1389"/>
      <c r="E3196" s="1389"/>
      <c r="F3196" s="1423"/>
      <c r="G3196" s="1423"/>
      <c r="H3196" s="1424"/>
      <c r="I3196" s="1427">
        <f>+J3196</f>
        <v>345.20000000000005</v>
      </c>
      <c r="J3196" s="1394">
        <f>ROUNDUP(J3195,1)</f>
        <v>345.20000000000005</v>
      </c>
      <c r="M3196" s="1426"/>
      <c r="Q3196" s="1394">
        <f>IFERROR(VLOOKUP(M3196,#REF!,3,0),0)</f>
        <v>0</v>
      </c>
      <c r="R3196" s="1394">
        <f t="shared" si="910"/>
        <v>0</v>
      </c>
      <c r="S3196" s="1394">
        <f>IFERROR(VLOOKUP(M3196,#REF!,6,0),0)</f>
        <v>0</v>
      </c>
      <c r="T3196" s="1394">
        <f t="shared" si="905"/>
        <v>0</v>
      </c>
      <c r="U3196" s="1394">
        <f>IFERROR(VLOOKUP(M3196,#REF!,5,0),0)</f>
        <v>0</v>
      </c>
      <c r="V3196" s="1394">
        <f t="shared" si="906"/>
        <v>0</v>
      </c>
    </row>
    <row r="3197" spans="1:24" s="1394" customFormat="1" ht="30" customHeight="1">
      <c r="B3197" s="1421"/>
      <c r="C3197" s="1422"/>
      <c r="D3197" s="1389"/>
      <c r="E3197" s="1389"/>
      <c r="F3197" s="1423"/>
      <c r="G3197" s="1428" t="s">
        <v>11</v>
      </c>
      <c r="H3197" s="1429">
        <f>I3196</f>
        <v>345.20000000000005</v>
      </c>
      <c r="I3197" s="1427" t="s">
        <v>12</v>
      </c>
      <c r="M3197" s="1394" t="str">
        <f>A3193</f>
        <v>b. 75 mm wide</v>
      </c>
      <c r="N3197" s="1394">
        <f>B3193</f>
        <v>0</v>
      </c>
      <c r="O3197" s="1394">
        <f>H3197</f>
        <v>345.20000000000005</v>
      </c>
      <c r="P3197" s="1394" t="str">
        <f>I3197</f>
        <v>Rmt</v>
      </c>
      <c r="Q3197" s="1394">
        <f>IFERROR(VLOOKUP(M3197,#REF!,3,0),0)</f>
        <v>0</v>
      </c>
      <c r="R3197" s="1394">
        <f t="shared" si="910"/>
        <v>0</v>
      </c>
      <c r="S3197" s="1394">
        <f>IFERROR(VLOOKUP(M3197,#REF!,6,0),0)</f>
        <v>0</v>
      </c>
      <c r="T3197" s="1394">
        <f t="shared" si="905"/>
        <v>0</v>
      </c>
      <c r="U3197" s="1394">
        <f>IFERROR(VLOOKUP(M3197,#REF!,5,0),0)</f>
        <v>0</v>
      </c>
      <c r="V3197" s="1394">
        <f t="shared" si="906"/>
        <v>345.20000000000005</v>
      </c>
    </row>
    <row r="3198" spans="1:24" ht="30" customHeight="1">
      <c r="A3198" s="110" t="s">
        <v>418</v>
      </c>
      <c r="B3198" s="1407"/>
      <c r="C3198" s="1678" t="e">
        <f>VLOOKUP(A3198,#REF!,2,0)</f>
        <v>#REF!</v>
      </c>
      <c r="D3198" s="1678"/>
      <c r="E3198" s="1678"/>
      <c r="F3198" s="1678"/>
      <c r="G3198" s="1678"/>
      <c r="H3198" s="1678"/>
      <c r="I3198" s="1479"/>
      <c r="Q3198" s="1394">
        <f>IFERROR(VLOOKUP(M3198,#REF!,3,0),0)</f>
        <v>0</v>
      </c>
      <c r="R3198" s="1394">
        <f t="shared" si="910"/>
        <v>0</v>
      </c>
      <c r="S3198" s="1394">
        <f>IFERROR(VLOOKUP(M3198,#REF!,6,0),0)</f>
        <v>0</v>
      </c>
      <c r="T3198" s="1394">
        <f t="shared" si="905"/>
        <v>0</v>
      </c>
      <c r="U3198" s="1394">
        <f>IFERROR(VLOOKUP(M3198,#REF!,5,0),0)</f>
        <v>0</v>
      </c>
      <c r="V3198" s="1394">
        <f t="shared" si="906"/>
        <v>0</v>
      </c>
      <c r="W3198" s="1394"/>
      <c r="X3198" s="1397"/>
    </row>
    <row r="3199" spans="1:24" ht="30" customHeight="1">
      <c r="B3199" s="1407"/>
      <c r="C3199" s="1455" t="s">
        <v>416</v>
      </c>
      <c r="D3199" s="103">
        <v>1</v>
      </c>
      <c r="E3199" s="103">
        <v>4</v>
      </c>
      <c r="F3199" s="1413">
        <f>F3194</f>
        <v>86.29</v>
      </c>
      <c r="G3199" s="1413"/>
      <c r="H3199" s="1414"/>
      <c r="I3199" s="1406">
        <f>PRODUCT(D3199:H3199)</f>
        <v>345.16</v>
      </c>
      <c r="Q3199" s="1394">
        <f>IFERROR(VLOOKUP(M3199,#REF!,3,0),0)</f>
        <v>0</v>
      </c>
      <c r="R3199" s="1394">
        <f t="shared" si="910"/>
        <v>0</v>
      </c>
      <c r="S3199" s="1394">
        <f>IFERROR(VLOOKUP(M3199,#REF!,6,0),0)</f>
        <v>0</v>
      </c>
      <c r="T3199" s="1394">
        <f t="shared" si="905"/>
        <v>0</v>
      </c>
      <c r="U3199" s="1394">
        <f>IFERROR(VLOOKUP(M3199,#REF!,5,0),0)</f>
        <v>0</v>
      </c>
      <c r="V3199" s="1394">
        <f t="shared" si="906"/>
        <v>0</v>
      </c>
      <c r="W3199" s="1394"/>
    </row>
    <row r="3200" spans="1:24" s="1394" customFormat="1" ht="30" customHeight="1">
      <c r="B3200" s="1421"/>
      <c r="C3200" s="1422" t="s">
        <v>270</v>
      </c>
      <c r="D3200" s="1389"/>
      <c r="E3200" s="1389"/>
      <c r="F3200" s="1423"/>
      <c r="G3200" s="1423"/>
      <c r="H3200" s="1424"/>
      <c r="I3200" s="1425">
        <f>J3201-J3200</f>
        <v>4.0000000000020464E-2</v>
      </c>
      <c r="J3200" s="1394">
        <f>SUM(I3199:I3199)</f>
        <v>345.16</v>
      </c>
      <c r="M3200" s="1426"/>
      <c r="Q3200" s="1394">
        <f>IFERROR(VLOOKUP(M3200,#REF!,3,0),0)</f>
        <v>0</v>
      </c>
      <c r="R3200" s="1394">
        <f t="shared" si="910"/>
        <v>0</v>
      </c>
      <c r="S3200" s="1394">
        <f>IFERROR(VLOOKUP(M3200,#REF!,6,0),0)</f>
        <v>0</v>
      </c>
      <c r="T3200" s="1394">
        <f t="shared" si="905"/>
        <v>0</v>
      </c>
      <c r="U3200" s="1394">
        <f>IFERROR(VLOOKUP(M3200,#REF!,5,0),0)</f>
        <v>0</v>
      </c>
      <c r="V3200" s="1394">
        <f t="shared" si="906"/>
        <v>0</v>
      </c>
    </row>
    <row r="3201" spans="1:26" s="1394" customFormat="1" ht="30" customHeight="1">
      <c r="B3201" s="1421"/>
      <c r="C3201" s="1457"/>
      <c r="D3201" s="1389"/>
      <c r="E3201" s="1389"/>
      <c r="F3201" s="1423"/>
      <c r="G3201" s="1423"/>
      <c r="H3201" s="1424"/>
      <c r="I3201" s="1427">
        <f>+J3201</f>
        <v>345.20000000000005</v>
      </c>
      <c r="J3201" s="1394">
        <f>ROUNDUP(J3200,1)</f>
        <v>345.20000000000005</v>
      </c>
      <c r="M3201" s="1426"/>
      <c r="Q3201" s="1394">
        <f>IFERROR(VLOOKUP(M3201,#REF!,3,0),0)</f>
        <v>0</v>
      </c>
      <c r="R3201" s="1394">
        <f t="shared" si="910"/>
        <v>0</v>
      </c>
      <c r="S3201" s="1394">
        <f>IFERROR(VLOOKUP(M3201,#REF!,6,0),0)</f>
        <v>0</v>
      </c>
      <c r="T3201" s="1394">
        <f t="shared" si="905"/>
        <v>0</v>
      </c>
      <c r="U3201" s="1394">
        <f>IFERROR(VLOOKUP(M3201,#REF!,5,0),0)</f>
        <v>0</v>
      </c>
      <c r="V3201" s="1394">
        <f t="shared" si="906"/>
        <v>0</v>
      </c>
    </row>
    <row r="3202" spans="1:26" s="1394" customFormat="1" ht="30" customHeight="1">
      <c r="B3202" s="1421"/>
      <c r="C3202" s="1422"/>
      <c r="D3202" s="1389"/>
      <c r="E3202" s="1389"/>
      <c r="F3202" s="1423"/>
      <c r="G3202" s="1428" t="s">
        <v>11</v>
      </c>
      <c r="H3202" s="1429">
        <f>I3201</f>
        <v>345.20000000000005</v>
      </c>
      <c r="I3202" s="1427" t="s">
        <v>12</v>
      </c>
      <c r="M3202" s="1394" t="str">
        <f>A3198</f>
        <v>c. 50 mm wide</v>
      </c>
      <c r="N3202" s="1394">
        <f>B3198</f>
        <v>0</v>
      </c>
      <c r="O3202" s="1394">
        <f>H3202</f>
        <v>345.20000000000005</v>
      </c>
      <c r="P3202" s="1394" t="str">
        <f>I3202</f>
        <v>Rmt</v>
      </c>
      <c r="Q3202" s="1394">
        <f>IFERROR(VLOOKUP(M3202,#REF!,3,0),0)</f>
        <v>0</v>
      </c>
      <c r="R3202" s="1394">
        <f t="shared" si="910"/>
        <v>0</v>
      </c>
      <c r="S3202" s="1394">
        <f>IFERROR(VLOOKUP(M3202,#REF!,6,0),0)</f>
        <v>0</v>
      </c>
      <c r="T3202" s="1394">
        <f t="shared" ref="T3202:T3265" si="911">R3202-S3202</f>
        <v>0</v>
      </c>
      <c r="U3202" s="1394">
        <f>IFERROR(VLOOKUP(M3202,#REF!,5,0),0)</f>
        <v>0</v>
      </c>
      <c r="V3202" s="1394">
        <f t="shared" ref="V3202:V3265" si="912">O3202-U3202</f>
        <v>345.20000000000005</v>
      </c>
    </row>
    <row r="3203" spans="1:26" ht="94.5" customHeight="1">
      <c r="A3203" s="110" t="s">
        <v>419</v>
      </c>
      <c r="B3203" s="1405"/>
      <c r="C3203" s="1678" t="e">
        <f>VLOOKUP(A3203,#REF!,2,0)</f>
        <v>#REF!</v>
      </c>
      <c r="D3203" s="1678"/>
      <c r="E3203" s="1678"/>
      <c r="F3203" s="1678"/>
      <c r="G3203" s="1678"/>
      <c r="H3203" s="1678"/>
      <c r="I3203" s="1406"/>
      <c r="Q3203" s="1394">
        <f>IFERROR(VLOOKUP(M3203,#REF!,3,0),0)</f>
        <v>0</v>
      </c>
      <c r="R3203" s="1394">
        <f t="shared" si="910"/>
        <v>0</v>
      </c>
      <c r="S3203" s="1394">
        <f>IFERROR(VLOOKUP(M3203,#REF!,6,0),0)</f>
        <v>0</v>
      </c>
      <c r="T3203" s="1394">
        <f t="shared" si="911"/>
        <v>0</v>
      </c>
      <c r="U3203" s="1394">
        <f>IFERROR(VLOOKUP(M3203,#REF!,5,0),0)</f>
        <v>0</v>
      </c>
      <c r="V3203" s="1394">
        <f t="shared" si="912"/>
        <v>0</v>
      </c>
      <c r="W3203" s="1394"/>
      <c r="X3203" s="1397"/>
    </row>
    <row r="3204" spans="1:26" ht="30" customHeight="1">
      <c r="B3204" s="1407"/>
      <c r="C3204" s="1455"/>
      <c r="D3204" s="103"/>
      <c r="E3204" s="103"/>
      <c r="F3204" s="1413"/>
      <c r="G3204" s="1413"/>
      <c r="H3204" s="1414"/>
      <c r="I3204" s="1406"/>
      <c r="Q3204" s="1394">
        <f>IFERROR(VLOOKUP(M3204,#REF!,3,0),0)</f>
        <v>0</v>
      </c>
      <c r="R3204" s="1394">
        <f t="shared" si="910"/>
        <v>0</v>
      </c>
      <c r="S3204" s="1394">
        <f>IFERROR(VLOOKUP(M3204,#REF!,6,0),0)</f>
        <v>0</v>
      </c>
      <c r="T3204" s="1394">
        <f t="shared" si="911"/>
        <v>0</v>
      </c>
      <c r="U3204" s="1394">
        <f>IFERROR(VLOOKUP(M3204,#REF!,5,0),0)</f>
        <v>0</v>
      </c>
      <c r="V3204" s="1394">
        <f t="shared" si="912"/>
        <v>0</v>
      </c>
      <c r="W3204" s="1394"/>
    </row>
    <row r="3205" spans="1:26" ht="30" customHeight="1">
      <c r="B3205" s="1407"/>
      <c r="C3205" s="1455"/>
      <c r="D3205" s="103"/>
      <c r="E3205" s="103"/>
      <c r="F3205" s="1413"/>
      <c r="G3205" s="1413"/>
      <c r="H3205" s="1414"/>
      <c r="I3205" s="1406"/>
      <c r="Q3205" s="1394">
        <f>IFERROR(VLOOKUP(M3205,#REF!,3,0),0)</f>
        <v>0</v>
      </c>
      <c r="R3205" s="1394">
        <f t="shared" si="910"/>
        <v>0</v>
      </c>
      <c r="S3205" s="1394">
        <f>IFERROR(VLOOKUP(M3205,#REF!,6,0),0)</f>
        <v>0</v>
      </c>
      <c r="T3205" s="1394">
        <f t="shared" si="911"/>
        <v>0</v>
      </c>
      <c r="U3205" s="1394">
        <f>IFERROR(VLOOKUP(M3205,#REF!,5,0),0)</f>
        <v>0</v>
      </c>
      <c r="V3205" s="1394">
        <f t="shared" si="912"/>
        <v>0</v>
      </c>
      <c r="W3205" s="1394"/>
    </row>
    <row r="3206" spans="1:26" s="1394" customFormat="1" ht="30" customHeight="1">
      <c r="B3206" s="1421"/>
      <c r="C3206" s="1422" t="s">
        <v>270</v>
      </c>
      <c r="D3206" s="1389"/>
      <c r="E3206" s="1389"/>
      <c r="F3206" s="1423"/>
      <c r="G3206" s="1423"/>
      <c r="H3206" s="1424"/>
      <c r="I3206" s="1425">
        <f>J3207-J3206</f>
        <v>0</v>
      </c>
      <c r="J3206" s="1394">
        <f>SUM(I3204:I3205)</f>
        <v>0</v>
      </c>
      <c r="M3206" s="1426"/>
      <c r="Q3206" s="1394">
        <f>IFERROR(VLOOKUP(M3206,#REF!,3,0),0)</f>
        <v>0</v>
      </c>
      <c r="R3206" s="1394">
        <f t="shared" si="910"/>
        <v>0</v>
      </c>
      <c r="S3206" s="1394">
        <f>IFERROR(VLOOKUP(M3206,#REF!,6,0),0)</f>
        <v>0</v>
      </c>
      <c r="T3206" s="1394">
        <f t="shared" si="911"/>
        <v>0</v>
      </c>
      <c r="U3206" s="1394">
        <f>IFERROR(VLOOKUP(M3206,#REF!,5,0),0)</f>
        <v>0</v>
      </c>
      <c r="V3206" s="1394">
        <f t="shared" si="912"/>
        <v>0</v>
      </c>
    </row>
    <row r="3207" spans="1:26" s="1394" customFormat="1" ht="30" customHeight="1">
      <c r="B3207" s="1421"/>
      <c r="C3207" s="1457"/>
      <c r="D3207" s="1389"/>
      <c r="E3207" s="1389"/>
      <c r="F3207" s="1423"/>
      <c r="G3207" s="1423"/>
      <c r="H3207" s="1424"/>
      <c r="I3207" s="1427">
        <f>+J3207</f>
        <v>0</v>
      </c>
      <c r="J3207" s="1394">
        <f>ROUNDUP(J3206,0)</f>
        <v>0</v>
      </c>
      <c r="M3207" s="1426"/>
      <c r="Q3207" s="1394">
        <f>IFERROR(VLOOKUP(M3207,#REF!,3,0),0)</f>
        <v>0</v>
      </c>
      <c r="R3207" s="1394">
        <f t="shared" si="910"/>
        <v>0</v>
      </c>
      <c r="S3207" s="1394">
        <f>IFERROR(VLOOKUP(M3207,#REF!,6,0),0)</f>
        <v>0</v>
      </c>
      <c r="T3207" s="1394">
        <f t="shared" si="911"/>
        <v>0</v>
      </c>
      <c r="U3207" s="1394">
        <f>IFERROR(VLOOKUP(M3207,#REF!,5,0),0)</f>
        <v>0</v>
      </c>
      <c r="V3207" s="1394">
        <f t="shared" si="912"/>
        <v>0</v>
      </c>
    </row>
    <row r="3208" spans="1:26" s="1394" customFormat="1" ht="25.5" customHeight="1">
      <c r="B3208" s="1421"/>
      <c r="C3208" s="1422"/>
      <c r="D3208" s="1389"/>
      <c r="E3208" s="1389"/>
      <c r="F3208" s="1423"/>
      <c r="G3208" s="1428" t="s">
        <v>11</v>
      </c>
      <c r="H3208" s="1429">
        <f>I3207</f>
        <v>0</v>
      </c>
      <c r="I3208" s="1427" t="s">
        <v>26</v>
      </c>
      <c r="M3208" s="1394" t="str">
        <f>A3203</f>
        <v>Wallputty ( one coat)</v>
      </c>
      <c r="N3208" s="1394">
        <f>B3203</f>
        <v>0</v>
      </c>
      <c r="O3208" s="1394">
        <f>H3208</f>
        <v>0</v>
      </c>
      <c r="P3208" s="1394" t="str">
        <f>I3208</f>
        <v>Sqm</v>
      </c>
      <c r="Q3208" s="1394">
        <f>IFERROR(VLOOKUP(M3208,#REF!,3,0),0)</f>
        <v>0</v>
      </c>
      <c r="R3208" s="1394">
        <f t="shared" si="910"/>
        <v>0</v>
      </c>
      <c r="S3208" s="1394">
        <f>IFERROR(VLOOKUP(M3208,#REF!,6,0),0)</f>
        <v>0</v>
      </c>
      <c r="T3208" s="1394">
        <f t="shared" si="911"/>
        <v>0</v>
      </c>
      <c r="U3208" s="1394">
        <f>IFERROR(VLOOKUP(M3208,#REF!,5,0),0)</f>
        <v>0</v>
      </c>
      <c r="V3208" s="1394">
        <f t="shared" si="912"/>
        <v>0</v>
      </c>
    </row>
    <row r="3209" spans="1:26" ht="75" customHeight="1">
      <c r="A3209" s="110" t="s">
        <v>166</v>
      </c>
      <c r="B3209" s="1405">
        <v>38.6</v>
      </c>
      <c r="C3209" s="1678" t="e">
        <f>VLOOKUP(A3209,#REF!,2,0)</f>
        <v>#REF!</v>
      </c>
      <c r="D3209" s="1678"/>
      <c r="E3209" s="1678"/>
      <c r="F3209" s="1678"/>
      <c r="G3209" s="1678"/>
      <c r="H3209" s="1678"/>
      <c r="I3209" s="1406"/>
      <c r="Q3209" s="1394">
        <f>IFERROR(VLOOKUP(M3209,#REF!,3,0),0)</f>
        <v>0</v>
      </c>
      <c r="R3209" s="1394">
        <f t="shared" si="910"/>
        <v>0</v>
      </c>
      <c r="S3209" s="1394">
        <f>IFERROR(VLOOKUP(M3209,#REF!,6,0),0)</f>
        <v>0</v>
      </c>
      <c r="T3209" s="1394">
        <f t="shared" si="911"/>
        <v>0</v>
      </c>
      <c r="U3209" s="1394">
        <f>IFERROR(VLOOKUP(M3209,#REF!,5,0),0)</f>
        <v>0</v>
      </c>
      <c r="V3209" s="1394">
        <f t="shared" si="912"/>
        <v>0</v>
      </c>
      <c r="W3209" s="1394"/>
      <c r="X3209" s="1397"/>
    </row>
    <row r="3210" spans="1:26" ht="30" customHeight="1">
      <c r="B3210" s="1407"/>
      <c r="C3210" s="1455" t="s">
        <v>420</v>
      </c>
      <c r="D3210" s="103"/>
      <c r="E3210" s="103"/>
      <c r="F3210" s="1413"/>
      <c r="G3210" s="1413"/>
      <c r="H3210" s="1414"/>
      <c r="I3210" s="1406">
        <f>I2774</f>
        <v>11</v>
      </c>
      <c r="Q3210" s="1394">
        <f>IFERROR(VLOOKUP(M3210,#REF!,3,0),0)</f>
        <v>0</v>
      </c>
      <c r="R3210" s="1394">
        <f t="shared" si="910"/>
        <v>0</v>
      </c>
      <c r="S3210" s="1394">
        <f>IFERROR(VLOOKUP(M3210,#REF!,6,0),0)</f>
        <v>0</v>
      </c>
      <c r="T3210" s="1394">
        <f t="shared" si="911"/>
        <v>0</v>
      </c>
      <c r="U3210" s="1394">
        <f>IFERROR(VLOOKUP(M3210,#REF!,5,0),0)</f>
        <v>0</v>
      </c>
      <c r="V3210" s="1394">
        <f t="shared" si="912"/>
        <v>0</v>
      </c>
      <c r="W3210" s="1394"/>
    </row>
    <row r="3211" spans="1:26" ht="30" customHeight="1">
      <c r="B3211" s="1407"/>
      <c r="C3211" s="1455" t="s">
        <v>5948</v>
      </c>
      <c r="D3211" s="103"/>
      <c r="E3211" s="103"/>
      <c r="F3211" s="1413"/>
      <c r="G3211" s="1413"/>
      <c r="H3211" s="1414"/>
      <c r="I3211" s="1406">
        <f>H2737</f>
        <v>2884</v>
      </c>
      <c r="Q3211" s="1394">
        <f>IFERROR(VLOOKUP(M3211,#REF!,3,0),0)</f>
        <v>0</v>
      </c>
      <c r="R3211" s="1394">
        <f t="shared" si="910"/>
        <v>0</v>
      </c>
      <c r="S3211" s="1394">
        <f>IFERROR(VLOOKUP(M3211,#REF!,6,0),0)</f>
        <v>0</v>
      </c>
      <c r="T3211" s="1394">
        <f t="shared" si="911"/>
        <v>0</v>
      </c>
      <c r="U3211" s="1394">
        <f>IFERROR(VLOOKUP(M3211,#REF!,5,0),0)</f>
        <v>0</v>
      </c>
      <c r="V3211" s="1394">
        <f t="shared" si="912"/>
        <v>0</v>
      </c>
      <c r="W3211" s="1394"/>
    </row>
    <row r="3212" spans="1:26" ht="30" customHeight="1">
      <c r="B3212" s="1407"/>
      <c r="C3212" s="1455"/>
      <c r="D3212" s="103"/>
      <c r="E3212" s="103"/>
      <c r="F3212" s="1413"/>
      <c r="G3212" s="1413"/>
      <c r="H3212" s="1478"/>
      <c r="I3212" s="1479">
        <f>SUM(I3210:I3211)</f>
        <v>2895</v>
      </c>
      <c r="Q3212" s="1394">
        <f>IFERROR(VLOOKUP(M3212,#REF!,3,0),0)</f>
        <v>0</v>
      </c>
      <c r="R3212" s="1394">
        <f t="shared" si="910"/>
        <v>0</v>
      </c>
      <c r="S3212" s="1394">
        <f>IFERROR(VLOOKUP(M3212,#REF!,6,0),0)</f>
        <v>0</v>
      </c>
      <c r="T3212" s="1394">
        <f t="shared" si="911"/>
        <v>0</v>
      </c>
      <c r="U3212" s="1394">
        <f>IFERROR(VLOOKUP(M3212,#REF!,5,0),0)</f>
        <v>0</v>
      </c>
      <c r="V3212" s="1394">
        <f t="shared" si="912"/>
        <v>0</v>
      </c>
      <c r="W3212" s="1394"/>
    </row>
    <row r="3213" spans="1:26" ht="30" customHeight="1">
      <c r="B3213" s="1407"/>
      <c r="C3213" s="1455"/>
      <c r="D3213" s="103"/>
      <c r="E3213" s="103"/>
      <c r="F3213" s="1413"/>
      <c r="G3213" s="1483" t="s">
        <v>11</v>
      </c>
      <c r="H3213" s="1478">
        <f>ROUNDUP(I3212,1)</f>
        <v>2895</v>
      </c>
      <c r="I3213" s="1479" t="s">
        <v>26</v>
      </c>
      <c r="M3213" s="1394" t="str">
        <f>A3209</f>
        <v>One coat white cement for new walls and other similar works.</v>
      </c>
      <c r="N3213" s="1394">
        <f>B3209</f>
        <v>38.6</v>
      </c>
      <c r="O3213" s="1394">
        <f>H3213</f>
        <v>2895</v>
      </c>
      <c r="P3213" s="1394" t="str">
        <f>I3213</f>
        <v>Sqm</v>
      </c>
      <c r="Q3213" s="1394">
        <f>IFERROR(VLOOKUP(M3213,#REF!,3,0),0)</f>
        <v>0</v>
      </c>
      <c r="R3213" s="1394">
        <f t="shared" si="910"/>
        <v>0</v>
      </c>
      <c r="S3213" s="1394">
        <f>IFERROR(VLOOKUP(M3213,#REF!,6,0),0)</f>
        <v>0</v>
      </c>
      <c r="T3213" s="1394">
        <f t="shared" si="911"/>
        <v>0</v>
      </c>
      <c r="U3213" s="1394">
        <f>IFERROR(VLOOKUP(M3213,#REF!,5,0),0)</f>
        <v>0</v>
      </c>
      <c r="V3213" s="1394">
        <f t="shared" si="912"/>
        <v>2895</v>
      </c>
      <c r="W3213" s="1394"/>
      <c r="Z3213" s="1394"/>
    </row>
    <row r="3214" spans="1:26" ht="75" customHeight="1">
      <c r="A3214" s="1397" t="s">
        <v>1178</v>
      </c>
      <c r="B3214" s="1405" t="s">
        <v>2180</v>
      </c>
      <c r="C3214" s="1678" t="e">
        <f>VLOOKUP(A3214,#REF!,2,0)</f>
        <v>#REF!</v>
      </c>
      <c r="D3214" s="1678"/>
      <c r="E3214" s="1678"/>
      <c r="F3214" s="1678"/>
      <c r="G3214" s="1678"/>
      <c r="H3214" s="1678"/>
      <c r="I3214" s="1406"/>
      <c r="Q3214" s="1394">
        <f>IFERROR(VLOOKUP(M3214,#REF!,3,0),0)</f>
        <v>0</v>
      </c>
      <c r="R3214" s="1394">
        <f t="shared" si="910"/>
        <v>0</v>
      </c>
      <c r="S3214" s="1394">
        <f>IFERROR(VLOOKUP(M3214,#REF!,6,0),0)</f>
        <v>0</v>
      </c>
      <c r="T3214" s="1394">
        <f t="shared" si="911"/>
        <v>0</v>
      </c>
      <c r="U3214" s="1394">
        <f>IFERROR(VLOOKUP(M3214,#REF!,5,0),0)</f>
        <v>0</v>
      </c>
      <c r="V3214" s="1394">
        <f t="shared" si="912"/>
        <v>0</v>
      </c>
      <c r="W3214" s="1394"/>
      <c r="X3214" s="1397"/>
    </row>
    <row r="3215" spans="1:26" ht="30" customHeight="1">
      <c r="B3215" s="1407"/>
      <c r="C3215" s="1455" t="s">
        <v>5949</v>
      </c>
      <c r="D3215" s="103"/>
      <c r="E3215" s="103"/>
      <c r="F3215" s="1413"/>
      <c r="G3215" s="1413"/>
      <c r="H3215" s="1414"/>
      <c r="I3215" s="1406">
        <f>H3213</f>
        <v>2895</v>
      </c>
      <c r="Q3215" s="1394">
        <f>IFERROR(VLOOKUP(M3215,#REF!,3,0),0)</f>
        <v>0</v>
      </c>
      <c r="R3215" s="1394">
        <f t="shared" si="910"/>
        <v>0</v>
      </c>
      <c r="S3215" s="1394">
        <f>IFERROR(VLOOKUP(M3215,#REF!,6,0),0)</f>
        <v>0</v>
      </c>
      <c r="T3215" s="1394">
        <f t="shared" si="911"/>
        <v>0</v>
      </c>
      <c r="U3215" s="1394">
        <f>IFERROR(VLOOKUP(M3215,#REF!,5,0),0)</f>
        <v>0</v>
      </c>
      <c r="V3215" s="1394">
        <f t="shared" si="912"/>
        <v>0</v>
      </c>
      <c r="W3215" s="1394"/>
    </row>
    <row r="3216" spans="1:26" ht="30" customHeight="1">
      <c r="B3216" s="1407"/>
      <c r="C3216" s="1455"/>
      <c r="D3216" s="103"/>
      <c r="E3216" s="103"/>
      <c r="F3216" s="1413"/>
      <c r="G3216" s="1413"/>
      <c r="H3216" s="1414"/>
      <c r="I3216" s="1406"/>
      <c r="Q3216" s="1394">
        <f>IFERROR(VLOOKUP(M3216,#REF!,3,0),0)</f>
        <v>0</v>
      </c>
      <c r="R3216" s="1394">
        <f t="shared" si="910"/>
        <v>0</v>
      </c>
      <c r="S3216" s="1394">
        <f>IFERROR(VLOOKUP(M3216,#REF!,6,0),0)</f>
        <v>0</v>
      </c>
      <c r="T3216" s="1394">
        <f t="shared" si="911"/>
        <v>0</v>
      </c>
      <c r="U3216" s="1394">
        <f>IFERROR(VLOOKUP(M3216,#REF!,5,0),0)</f>
        <v>0</v>
      </c>
      <c r="V3216" s="1394">
        <f t="shared" si="912"/>
        <v>0</v>
      </c>
      <c r="W3216" s="1394"/>
    </row>
    <row r="3217" spans="1:26" ht="30" customHeight="1">
      <c r="B3217" s="1407"/>
      <c r="C3217" s="1455"/>
      <c r="D3217" s="103"/>
      <c r="E3217" s="103"/>
      <c r="F3217" s="1413"/>
      <c r="G3217" s="1413"/>
      <c r="H3217" s="1478"/>
      <c r="I3217" s="1479">
        <f>SUM(I3215:I3216)</f>
        <v>2895</v>
      </c>
      <c r="Q3217" s="1394">
        <f>IFERROR(VLOOKUP(M3217,#REF!,3,0),0)</f>
        <v>0</v>
      </c>
      <c r="R3217" s="1394">
        <f t="shared" si="910"/>
        <v>0</v>
      </c>
      <c r="S3217" s="1394">
        <f>IFERROR(VLOOKUP(M3217,#REF!,6,0),0)</f>
        <v>0</v>
      </c>
      <c r="T3217" s="1394">
        <f t="shared" si="911"/>
        <v>0</v>
      </c>
      <c r="U3217" s="1394">
        <f>IFERROR(VLOOKUP(M3217,#REF!,5,0),0)</f>
        <v>0</v>
      </c>
      <c r="V3217" s="1394">
        <f t="shared" si="912"/>
        <v>0</v>
      </c>
      <c r="W3217" s="1394"/>
    </row>
    <row r="3218" spans="1:26" ht="30" customHeight="1">
      <c r="B3218" s="1407"/>
      <c r="C3218" s="1455"/>
      <c r="D3218" s="103"/>
      <c r="E3218" s="103"/>
      <c r="F3218" s="1413"/>
      <c r="G3218" s="1483" t="s">
        <v>11</v>
      </c>
      <c r="H3218" s="1478">
        <f>ROUNDUP(I3217,1)</f>
        <v>2895</v>
      </c>
      <c r="I3218" s="1479" t="s">
        <v>26</v>
      </c>
      <c r="M3218" s="1394" t="str">
        <f>A3214</f>
        <v xml:space="preserve">Two coat of OBD over Two coat white cement for inner walls </v>
      </c>
      <c r="N3218" s="1394" t="str">
        <f>B3214</f>
        <v>38.4.1</v>
      </c>
      <c r="O3218" s="1394">
        <f>H3218</f>
        <v>2895</v>
      </c>
      <c r="P3218" s="1394" t="str">
        <f>I3218</f>
        <v>Sqm</v>
      </c>
      <c r="Q3218" s="1394">
        <f>IFERROR(VLOOKUP(M3218,#REF!,3,0),0)</f>
        <v>0</v>
      </c>
      <c r="R3218" s="1394">
        <f t="shared" si="910"/>
        <v>0</v>
      </c>
      <c r="S3218" s="1394">
        <f>IFERROR(VLOOKUP(M3218,#REF!,6,0),0)</f>
        <v>0</v>
      </c>
      <c r="T3218" s="1394">
        <f t="shared" si="911"/>
        <v>0</v>
      </c>
      <c r="U3218" s="1394">
        <f>IFERROR(VLOOKUP(M3218,#REF!,5,0),0)</f>
        <v>0</v>
      </c>
      <c r="V3218" s="1394">
        <f t="shared" si="912"/>
        <v>2895</v>
      </c>
      <c r="W3218" s="1394"/>
      <c r="Z3218" s="1394"/>
    </row>
    <row r="3219" spans="1:26" ht="121.5" customHeight="1">
      <c r="A3219" s="1397" t="s">
        <v>5500</v>
      </c>
      <c r="B3219" s="1405">
        <v>38.200000000000003</v>
      </c>
      <c r="C3219" s="1678" t="e">
        <f>VLOOKUP(A3219,#REF!,2,0)</f>
        <v>#REF!</v>
      </c>
      <c r="D3219" s="1678"/>
      <c r="E3219" s="1678"/>
      <c r="F3219" s="1678"/>
      <c r="G3219" s="1678"/>
      <c r="H3219" s="1678"/>
      <c r="I3219" s="1406"/>
      <c r="Q3219" s="1394">
        <f>IFERROR(VLOOKUP(M3219,#REF!,3,0),0)</f>
        <v>0</v>
      </c>
      <c r="R3219" s="1394">
        <f t="shared" si="910"/>
        <v>0</v>
      </c>
      <c r="S3219" s="1394">
        <f>IFERROR(VLOOKUP(M3219,#REF!,6,0),0)</f>
        <v>0</v>
      </c>
      <c r="T3219" s="1394">
        <f t="shared" si="911"/>
        <v>0</v>
      </c>
      <c r="U3219" s="1394">
        <f>IFERROR(VLOOKUP(M3219,#REF!,5,0),0)</f>
        <v>0</v>
      </c>
      <c r="V3219" s="1394">
        <f t="shared" si="912"/>
        <v>0</v>
      </c>
      <c r="W3219" s="1394"/>
      <c r="X3219" s="1397"/>
    </row>
    <row r="3220" spans="1:26" ht="30" customHeight="1">
      <c r="B3220" s="1405"/>
      <c r="C3220" s="1412" t="s">
        <v>5951</v>
      </c>
      <c r="D3220" s="103"/>
      <c r="E3220" s="103"/>
      <c r="F3220" s="1413"/>
      <c r="G3220" s="1413"/>
      <c r="H3220" s="1414"/>
      <c r="I3220" s="1406">
        <f>H2769</f>
        <v>1044</v>
      </c>
      <c r="Q3220" s="1394">
        <f>IFERROR(VLOOKUP(M3220,#REF!,3,0),0)</f>
        <v>0</v>
      </c>
      <c r="R3220" s="1394">
        <f t="shared" si="910"/>
        <v>0</v>
      </c>
      <c r="S3220" s="1394">
        <f>IFERROR(VLOOKUP(M3220,#REF!,6,0),0)</f>
        <v>0</v>
      </c>
      <c r="T3220" s="1394">
        <f t="shared" si="911"/>
        <v>0</v>
      </c>
      <c r="U3220" s="1394">
        <f>IFERROR(VLOOKUP(M3220,#REF!,5,0),0)</f>
        <v>0</v>
      </c>
      <c r="V3220" s="1394">
        <f t="shared" si="912"/>
        <v>0</v>
      </c>
      <c r="W3220" s="1394"/>
    </row>
    <row r="3221" spans="1:26" ht="30" customHeight="1">
      <c r="B3221" s="1405"/>
      <c r="C3221" s="1412"/>
      <c r="D3221" s="103"/>
      <c r="E3221" s="103"/>
      <c r="F3221" s="1413"/>
      <c r="G3221" s="1413"/>
      <c r="H3221" s="1414"/>
      <c r="I3221" s="1479">
        <f>SUM(I3220:I3220)</f>
        <v>1044</v>
      </c>
      <c r="Q3221" s="1394">
        <f>IFERROR(VLOOKUP(M3221,#REF!,3,0),0)</f>
        <v>0</v>
      </c>
      <c r="R3221" s="1394">
        <f t="shared" si="910"/>
        <v>0</v>
      </c>
      <c r="S3221" s="1394">
        <f>IFERROR(VLOOKUP(M3221,#REF!,6,0),0)</f>
        <v>0</v>
      </c>
      <c r="T3221" s="1394">
        <f t="shared" si="911"/>
        <v>0</v>
      </c>
      <c r="U3221" s="1394">
        <f>IFERROR(VLOOKUP(M3221,#REF!,5,0),0)</f>
        <v>0</v>
      </c>
      <c r="V3221" s="1394">
        <f t="shared" si="912"/>
        <v>0</v>
      </c>
      <c r="W3221" s="1394"/>
    </row>
    <row r="3222" spans="1:26" ht="30" customHeight="1">
      <c r="B3222" s="1405"/>
      <c r="C3222" s="1412"/>
      <c r="D3222" s="103"/>
      <c r="E3222" s="103"/>
      <c r="F3222" s="1413"/>
      <c r="G3222" s="1483" t="s">
        <v>11</v>
      </c>
      <c r="H3222" s="1478">
        <f>I3221</f>
        <v>1044</v>
      </c>
      <c r="I3222" s="1479" t="s">
        <v>26</v>
      </c>
      <c r="M3222" s="1394" t="str">
        <f>A3219</f>
        <v xml:space="preserve">Painting the new walls with two coats of approved best ready mixed plastic emulsion paint </v>
      </c>
      <c r="N3222" s="1394">
        <f>B3219</f>
        <v>38.200000000000003</v>
      </c>
      <c r="O3222" s="1394">
        <f>H3222</f>
        <v>1044</v>
      </c>
      <c r="P3222" s="1394" t="str">
        <f>I3222</f>
        <v>Sqm</v>
      </c>
      <c r="Q3222" s="1394">
        <f>IFERROR(VLOOKUP(M3222,#REF!,3,0),0)</f>
        <v>0</v>
      </c>
      <c r="R3222" s="1394">
        <f t="shared" si="910"/>
        <v>0</v>
      </c>
      <c r="S3222" s="1394">
        <f>IFERROR(VLOOKUP(M3222,#REF!,6,0),0)</f>
        <v>0</v>
      </c>
      <c r="T3222" s="1394">
        <f t="shared" si="911"/>
        <v>0</v>
      </c>
      <c r="U3222" s="1394">
        <f>IFERROR(VLOOKUP(M3222,#REF!,5,0),0)</f>
        <v>0</v>
      </c>
      <c r="V3222" s="1394">
        <f t="shared" si="912"/>
        <v>1044</v>
      </c>
      <c r="W3222" s="1394"/>
      <c r="Z3222" s="1394"/>
    </row>
    <row r="3223" spans="1:26" ht="90.75" customHeight="1">
      <c r="A3223" s="1397" t="s">
        <v>5954</v>
      </c>
      <c r="B3223" s="1405">
        <v>38.200000000000003</v>
      </c>
      <c r="C3223" s="1678" t="e">
        <f>VLOOKUP(A3223,#REF!,2,0)</f>
        <v>#REF!</v>
      </c>
      <c r="D3223" s="1678"/>
      <c r="E3223" s="1678"/>
      <c r="F3223" s="1678"/>
      <c r="G3223" s="1678"/>
      <c r="H3223" s="1678"/>
      <c r="I3223" s="1406"/>
      <c r="Q3223" s="1394">
        <f>IFERROR(VLOOKUP(M3223,#REF!,3,0),0)</f>
        <v>0</v>
      </c>
      <c r="R3223" s="1394">
        <f t="shared" si="910"/>
        <v>0</v>
      </c>
      <c r="S3223" s="1394">
        <f>IFERROR(VLOOKUP(M3223,#REF!,6,0),0)</f>
        <v>0</v>
      </c>
      <c r="T3223" s="1394">
        <f t="shared" si="911"/>
        <v>0</v>
      </c>
      <c r="U3223" s="1394">
        <f>IFERROR(VLOOKUP(M3223,#REF!,5,0),0)</f>
        <v>0</v>
      </c>
      <c r="V3223" s="1394">
        <f t="shared" si="912"/>
        <v>0</v>
      </c>
      <c r="W3223" s="1394"/>
      <c r="X3223" s="1397"/>
    </row>
    <row r="3224" spans="1:26" ht="30" customHeight="1">
      <c r="B3224" s="1405"/>
      <c r="C3224" s="1412" t="s">
        <v>5501</v>
      </c>
      <c r="D3224" s="103"/>
      <c r="E3224" s="103"/>
      <c r="F3224" s="1413"/>
      <c r="G3224" s="1413"/>
      <c r="H3224" s="1414"/>
      <c r="I3224" s="1406">
        <f>H3185</f>
        <v>1619</v>
      </c>
      <c r="Q3224" s="1394">
        <f>IFERROR(VLOOKUP(M3224,#REF!,3,0),0)</f>
        <v>0</v>
      </c>
      <c r="R3224" s="1394">
        <f t="shared" si="910"/>
        <v>0</v>
      </c>
      <c r="S3224" s="1394">
        <f>IFERROR(VLOOKUP(M3224,#REF!,6,0),0)</f>
        <v>0</v>
      </c>
      <c r="T3224" s="1394">
        <f t="shared" si="911"/>
        <v>0</v>
      </c>
      <c r="U3224" s="1394">
        <f>IFERROR(VLOOKUP(M3224,#REF!,5,0),0)</f>
        <v>0</v>
      </c>
      <c r="V3224" s="1394">
        <f t="shared" si="912"/>
        <v>0</v>
      </c>
      <c r="W3224" s="1394"/>
    </row>
    <row r="3225" spans="1:26" ht="30" customHeight="1">
      <c r="B3225" s="1405"/>
      <c r="C3225" s="1412"/>
      <c r="D3225" s="103"/>
      <c r="E3225" s="103"/>
      <c r="F3225" s="1413"/>
      <c r="G3225" s="1413"/>
      <c r="H3225" s="1414"/>
      <c r="I3225" s="1406"/>
      <c r="Q3225" s="1394">
        <f>IFERROR(VLOOKUP(M3225,#REF!,3,0),0)</f>
        <v>0</v>
      </c>
      <c r="R3225" s="1394">
        <f t="shared" si="910"/>
        <v>0</v>
      </c>
      <c r="S3225" s="1394">
        <f>IFERROR(VLOOKUP(M3225,#REF!,6,0),0)</f>
        <v>0</v>
      </c>
      <c r="T3225" s="1394">
        <f t="shared" si="911"/>
        <v>0</v>
      </c>
      <c r="U3225" s="1394">
        <f>IFERROR(VLOOKUP(M3225,#REF!,5,0),0)</f>
        <v>0</v>
      </c>
      <c r="V3225" s="1394">
        <f t="shared" si="912"/>
        <v>0</v>
      </c>
      <c r="W3225" s="1394"/>
    </row>
    <row r="3226" spans="1:26" ht="30" customHeight="1">
      <c r="B3226" s="1405"/>
      <c r="C3226" s="1412"/>
      <c r="D3226" s="103"/>
      <c r="E3226" s="103"/>
      <c r="F3226" s="1413"/>
      <c r="G3226" s="1413"/>
      <c r="H3226" s="1414"/>
      <c r="I3226" s="1479">
        <f>SUM(I3224:I3225)</f>
        <v>1619</v>
      </c>
      <c r="Q3226" s="1394">
        <f>IFERROR(VLOOKUP(M3226,#REF!,3,0),0)</f>
        <v>0</v>
      </c>
      <c r="R3226" s="1394">
        <f t="shared" si="910"/>
        <v>0</v>
      </c>
      <c r="S3226" s="1394">
        <f>IFERROR(VLOOKUP(M3226,#REF!,6,0),0)</f>
        <v>0</v>
      </c>
      <c r="T3226" s="1394">
        <f t="shared" si="911"/>
        <v>0</v>
      </c>
      <c r="U3226" s="1394">
        <f>IFERROR(VLOOKUP(M3226,#REF!,5,0),0)</f>
        <v>0</v>
      </c>
      <c r="V3226" s="1394">
        <f t="shared" si="912"/>
        <v>0</v>
      </c>
      <c r="W3226" s="1394"/>
    </row>
    <row r="3227" spans="1:26" ht="30" customHeight="1">
      <c r="B3227" s="1405"/>
      <c r="C3227" s="1412"/>
      <c r="D3227" s="103"/>
      <c r="E3227" s="103"/>
      <c r="F3227" s="1413"/>
      <c r="G3227" s="1483" t="s">
        <v>11</v>
      </c>
      <c r="H3227" s="1478">
        <f>I3226</f>
        <v>1619</v>
      </c>
      <c r="I3227" s="1479" t="s">
        <v>26</v>
      </c>
      <c r="M3227" s="1394" t="str">
        <f>A3223</f>
        <v>White washing 3 coats  (slaked)</v>
      </c>
      <c r="N3227" s="1394">
        <f>B3223</f>
        <v>38.200000000000003</v>
      </c>
      <c r="O3227" s="1394">
        <f>H3227</f>
        <v>1619</v>
      </c>
      <c r="P3227" s="1394" t="str">
        <f>I3227</f>
        <v>Sqm</v>
      </c>
      <c r="Q3227" s="1394">
        <f>IFERROR(VLOOKUP(M3227,#REF!,3,0),0)</f>
        <v>0</v>
      </c>
      <c r="R3227" s="1394">
        <f t="shared" si="910"/>
        <v>0</v>
      </c>
      <c r="S3227" s="1394">
        <f>IFERROR(VLOOKUP(M3227,#REF!,6,0),0)</f>
        <v>0</v>
      </c>
      <c r="T3227" s="1394">
        <f t="shared" si="911"/>
        <v>0</v>
      </c>
      <c r="U3227" s="1394">
        <f>IFERROR(VLOOKUP(M3227,#REF!,5,0),0)</f>
        <v>0</v>
      </c>
      <c r="V3227" s="1394">
        <f t="shared" si="912"/>
        <v>1619</v>
      </c>
      <c r="W3227" s="1394"/>
      <c r="Z3227" s="1394"/>
    </row>
    <row r="3228" spans="1:26" ht="171" customHeight="1">
      <c r="A3228" s="110" t="s">
        <v>422</v>
      </c>
      <c r="B3228" s="1405">
        <v>100.1</v>
      </c>
      <c r="C3228" s="1678" t="e">
        <f>VLOOKUP(A3228,#REF!,2,0)</f>
        <v>#REF!</v>
      </c>
      <c r="D3228" s="1678"/>
      <c r="E3228" s="1678"/>
      <c r="F3228" s="1678"/>
      <c r="G3228" s="1678"/>
      <c r="H3228" s="1678"/>
      <c r="I3228" s="1479"/>
      <c r="L3228" s="1394">
        <f t="shared" ref="L3228:L3229" si="913">ROUND(I3228,2)*ROUND(K3228,2)</f>
        <v>0</v>
      </c>
      <c r="M3228" s="1394">
        <f t="shared" ref="M3228:M3229" si="914">ROUND(J3228,2)*ROUND(L3228,2)</f>
        <v>0</v>
      </c>
      <c r="N3228" s="1394">
        <f t="shared" ref="N3228:N3229" si="915">ROUND(K3228,2)*ROUND(M3228,2)</f>
        <v>0</v>
      </c>
      <c r="O3228" s="1394">
        <f t="shared" ref="O3228:O3229" si="916">ROUND(L3228,2)*ROUND(N3228,2)</f>
        <v>0</v>
      </c>
      <c r="P3228" s="1394">
        <f t="shared" ref="P3228:P3229" si="917">ROUND(M3228,2)*ROUND(O3228,2)</f>
        <v>0</v>
      </c>
      <c r="Q3228" s="1394">
        <f t="shared" ref="Q3228:Q3229" si="918">ROUND(N3228,2)*ROUND(P3228,2)</f>
        <v>0</v>
      </c>
      <c r="R3228" s="1394">
        <f t="shared" si="910"/>
        <v>0</v>
      </c>
      <c r="S3228" s="1394">
        <f>IFERROR(VLOOKUP(M3228,#REF!,6,0),0)</f>
        <v>0</v>
      </c>
      <c r="T3228" s="1394">
        <f t="shared" si="911"/>
        <v>0</v>
      </c>
      <c r="U3228" s="1394">
        <f>IFERROR(VLOOKUP(M3228,#REF!,5,0),0)</f>
        <v>0</v>
      </c>
      <c r="V3228" s="1394">
        <f t="shared" si="912"/>
        <v>0</v>
      </c>
      <c r="W3228" s="1394"/>
      <c r="X3228" s="1397"/>
    </row>
    <row r="3229" spans="1:26" ht="30" customHeight="1">
      <c r="B3229" s="1407"/>
      <c r="C3229" s="1455" t="s">
        <v>189</v>
      </c>
      <c r="D3229" s="103">
        <v>1</v>
      </c>
      <c r="E3229" s="103">
        <f>VLOOKUP(C3229,Sheet1!$I$7:$R$41,10,0)</f>
        <v>1</v>
      </c>
      <c r="F3229" s="1413">
        <f>VLOOKUP(C3229,Sheet1!$I$7:$R$41,2,0)</f>
        <v>1.8</v>
      </c>
      <c r="G3229" s="1413">
        <v>2.25</v>
      </c>
      <c r="H3229" s="1414">
        <f>VLOOKUP(C3229,Sheet1!$I$7:$R$41,3,0)</f>
        <v>2.4</v>
      </c>
      <c r="I3229" s="1406">
        <f t="shared" ref="I3229" si="919">PRODUCT(D3229:H3229)</f>
        <v>9.7199999999999989</v>
      </c>
      <c r="L3229" s="1394">
        <f t="shared" si="913"/>
        <v>0</v>
      </c>
      <c r="M3229" s="1394">
        <f t="shared" si="914"/>
        <v>0</v>
      </c>
      <c r="N3229" s="1394">
        <f t="shared" si="915"/>
        <v>0</v>
      </c>
      <c r="O3229" s="1394">
        <f t="shared" si="916"/>
        <v>0</v>
      </c>
      <c r="P3229" s="1394">
        <f t="shared" si="917"/>
        <v>0</v>
      </c>
      <c r="Q3229" s="1394">
        <f t="shared" si="918"/>
        <v>0</v>
      </c>
      <c r="R3229" s="1394">
        <f t="shared" si="910"/>
        <v>0</v>
      </c>
      <c r="S3229" s="1394">
        <f>IFERROR(VLOOKUP(M3229,#REF!,6,0),0)</f>
        <v>0</v>
      </c>
      <c r="T3229" s="1394">
        <f t="shared" si="911"/>
        <v>0</v>
      </c>
      <c r="U3229" s="1394">
        <f>IFERROR(VLOOKUP(M3229,#REF!,5,0),0)</f>
        <v>0</v>
      </c>
      <c r="V3229" s="1394">
        <f t="shared" si="912"/>
        <v>0</v>
      </c>
      <c r="W3229" s="1394"/>
    </row>
    <row r="3230" spans="1:26" ht="30" customHeight="1">
      <c r="B3230" s="1519"/>
      <c r="C3230" s="1502" t="s">
        <v>5507</v>
      </c>
      <c r="D3230" s="103">
        <v>1</v>
      </c>
      <c r="E3230" s="103">
        <f>VLOOKUP(C3230,Sheet1!$I$7:$R$41,10,0)</f>
        <v>4</v>
      </c>
      <c r="F3230" s="1413">
        <f>VLOOKUP(C3230,Sheet1!$I$7:$R$41,2,0)</f>
        <v>1.8</v>
      </c>
      <c r="G3230" s="1413">
        <v>2.25</v>
      </c>
      <c r="H3230" s="1414">
        <f>VLOOKUP(C3230,Sheet1!$I$7:$R$41,3,0)</f>
        <v>2.1</v>
      </c>
      <c r="I3230" s="1406">
        <f t="shared" ref="I3230" si="920">PRODUCT(D3230:H3230)</f>
        <v>34.020000000000003</v>
      </c>
      <c r="Q3230" s="1394">
        <f>IFERROR(VLOOKUP(M3230,#REF!,3,0),0)</f>
        <v>0</v>
      </c>
      <c r="R3230" s="1394">
        <f t="shared" si="910"/>
        <v>0</v>
      </c>
      <c r="S3230" s="1394">
        <f>IFERROR(VLOOKUP(M3230,#REF!,6,0),0)</f>
        <v>0</v>
      </c>
      <c r="T3230" s="1394">
        <f t="shared" si="911"/>
        <v>0</v>
      </c>
      <c r="U3230" s="1394">
        <f>IFERROR(VLOOKUP(M3230,#REF!,5,0),0)</f>
        <v>0</v>
      </c>
      <c r="V3230" s="1394">
        <f t="shared" si="912"/>
        <v>0</v>
      </c>
      <c r="W3230" s="1394"/>
    </row>
    <row r="3231" spans="1:26" ht="30" customHeight="1">
      <c r="B3231" s="1407"/>
      <c r="C3231" s="1455"/>
      <c r="D3231" s="103"/>
      <c r="E3231" s="103"/>
      <c r="F3231" s="1413"/>
      <c r="G3231" s="1413"/>
      <c r="H3231" s="1414"/>
      <c r="I3231" s="1406">
        <v>0.08</v>
      </c>
      <c r="Q3231" s="1394">
        <f>IFERROR(VLOOKUP(M3231,#REF!,3,0),0)</f>
        <v>0</v>
      </c>
      <c r="R3231" s="1394">
        <f t="shared" si="910"/>
        <v>0</v>
      </c>
      <c r="S3231" s="1394">
        <f>IFERROR(VLOOKUP(M3231,#REF!,6,0),0)</f>
        <v>0</v>
      </c>
      <c r="T3231" s="1394">
        <f t="shared" si="911"/>
        <v>0</v>
      </c>
      <c r="U3231" s="1394">
        <f>IFERROR(VLOOKUP(M3231,#REF!,5,0),0)</f>
        <v>0</v>
      </c>
      <c r="V3231" s="1394">
        <f t="shared" si="912"/>
        <v>0</v>
      </c>
      <c r="W3231" s="1394"/>
    </row>
    <row r="3232" spans="1:26" ht="30" customHeight="1">
      <c r="B3232" s="1407"/>
      <c r="C3232" s="1455"/>
      <c r="D3232" s="103"/>
      <c r="E3232" s="103"/>
      <c r="F3232" s="1413"/>
      <c r="G3232" s="1413"/>
      <c r="H3232" s="1414"/>
      <c r="I3232" s="1406">
        <f>SUM(I3229:I3231)</f>
        <v>43.82</v>
      </c>
      <c r="Q3232" s="1394">
        <f>IFERROR(VLOOKUP(M3232,#REF!,3,0),0)</f>
        <v>0</v>
      </c>
      <c r="R3232" s="1394">
        <f t="shared" si="910"/>
        <v>0</v>
      </c>
      <c r="S3232" s="1394">
        <f>IFERROR(VLOOKUP(M3232,#REF!,6,0),0)</f>
        <v>0</v>
      </c>
      <c r="T3232" s="1394">
        <f t="shared" si="911"/>
        <v>0</v>
      </c>
      <c r="U3232" s="1394">
        <f>IFERROR(VLOOKUP(M3232,#REF!,5,0),0)</f>
        <v>0</v>
      </c>
      <c r="V3232" s="1394">
        <f t="shared" si="912"/>
        <v>0</v>
      </c>
      <c r="W3232" s="1394"/>
    </row>
    <row r="3233" spans="1:26" ht="30" customHeight="1">
      <c r="B3233" s="1407"/>
      <c r="C3233" s="1455"/>
      <c r="D3233" s="103"/>
      <c r="E3233" s="103"/>
      <c r="F3233" s="1413"/>
      <c r="G3233" s="1483" t="s">
        <v>11</v>
      </c>
      <c r="H3233" s="1478">
        <f>I3232</f>
        <v>43.82</v>
      </c>
      <c r="I3233" s="1479" t="s">
        <v>26</v>
      </c>
      <c r="M3233" s="1394" t="str">
        <f>A3228</f>
        <v>Providing wooden Melamine polish for new wood work</v>
      </c>
      <c r="N3233" s="1394">
        <f>B3228</f>
        <v>100.1</v>
      </c>
      <c r="O3233" s="1394">
        <f>H3233</f>
        <v>43.82</v>
      </c>
      <c r="P3233" s="1394" t="str">
        <f>I3233</f>
        <v>Sqm</v>
      </c>
      <c r="Q3233" s="1394">
        <f>IFERROR(VLOOKUP(M3233,#REF!,3,0),0)</f>
        <v>0</v>
      </c>
      <c r="R3233" s="1394">
        <f t="shared" si="910"/>
        <v>0</v>
      </c>
      <c r="S3233" s="1394">
        <f>IFERROR(VLOOKUP(M3233,#REF!,6,0),0)</f>
        <v>0</v>
      </c>
      <c r="T3233" s="1394">
        <f t="shared" si="911"/>
        <v>0</v>
      </c>
      <c r="U3233" s="1394">
        <f>IFERROR(VLOOKUP(M3233,#REF!,5,0),0)</f>
        <v>0</v>
      </c>
      <c r="V3233" s="1394">
        <f t="shared" si="912"/>
        <v>43.82</v>
      </c>
      <c r="W3233" s="1394"/>
      <c r="Z3233" s="1394"/>
    </row>
    <row r="3234" spans="1:26" ht="81" customHeight="1">
      <c r="A3234" s="110" t="s">
        <v>423</v>
      </c>
      <c r="B3234" s="1405">
        <v>40</v>
      </c>
      <c r="C3234" s="1678" t="e">
        <f>VLOOKUP(A3234,#REF!,2,0)</f>
        <v>#REF!</v>
      </c>
      <c r="D3234" s="1678"/>
      <c r="E3234" s="1678"/>
      <c r="F3234" s="1678"/>
      <c r="G3234" s="1678"/>
      <c r="H3234" s="1678"/>
      <c r="I3234" s="1406"/>
      <c r="Q3234" s="1394">
        <f>IFERROR(VLOOKUP(M3234,#REF!,3,0),0)</f>
        <v>0</v>
      </c>
      <c r="R3234" s="1394">
        <f t="shared" si="910"/>
        <v>0</v>
      </c>
      <c r="S3234" s="1394">
        <f>IFERROR(VLOOKUP(M3234,#REF!,6,0),0)</f>
        <v>0</v>
      </c>
      <c r="T3234" s="1394">
        <f t="shared" si="911"/>
        <v>0</v>
      </c>
      <c r="U3234" s="1394">
        <f>IFERROR(VLOOKUP(M3234,#REF!,5,0),0)</f>
        <v>0</v>
      </c>
      <c r="V3234" s="1394">
        <f t="shared" si="912"/>
        <v>0</v>
      </c>
      <c r="W3234" s="1394"/>
      <c r="X3234" s="1397"/>
    </row>
    <row r="3235" spans="1:26" ht="30" customHeight="1">
      <c r="B3235" s="1407"/>
      <c r="C3235" s="1520" t="s">
        <v>5508</v>
      </c>
      <c r="D3235" s="103">
        <v>1</v>
      </c>
      <c r="E3235" s="103">
        <f>VLOOKUP(C3235,Sheet1!$I$7:$R$41,10,0)</f>
        <v>1</v>
      </c>
      <c r="F3235" s="1413">
        <f>VLOOKUP(C3235,Sheet1!$I$7:$R$41,2,0)</f>
        <v>1</v>
      </c>
      <c r="G3235" s="1413">
        <v>2.2000000000000002</v>
      </c>
      <c r="H3235" s="1414">
        <f>VLOOKUP(C3235,Sheet1!$I$7:$R$41,3,0)</f>
        <v>2.1</v>
      </c>
      <c r="I3235" s="1406">
        <f t="shared" ref="I3235" si="921">PRODUCT(D3235:H3235)</f>
        <v>4.620000000000001</v>
      </c>
      <c r="M3235" s="110"/>
      <c r="Q3235" s="1394">
        <f>IFERROR(VLOOKUP(M3235,#REF!,3,0),0)</f>
        <v>0</v>
      </c>
      <c r="R3235" s="1394">
        <f t="shared" si="910"/>
        <v>0</v>
      </c>
      <c r="S3235" s="1394">
        <f>IFERROR(VLOOKUP(M3235,#REF!,6,0),0)</f>
        <v>0</v>
      </c>
      <c r="T3235" s="1394">
        <f t="shared" si="911"/>
        <v>0</v>
      </c>
      <c r="U3235" s="1394">
        <f>IFERROR(VLOOKUP(M3235,#REF!,5,0),0)</f>
        <v>0</v>
      </c>
      <c r="V3235" s="1394">
        <f t="shared" si="912"/>
        <v>0</v>
      </c>
      <c r="W3235" s="1394"/>
    </row>
    <row r="3236" spans="1:26" ht="30" customHeight="1">
      <c r="B3236" s="1407"/>
      <c r="C3236" s="1502" t="s">
        <v>5509</v>
      </c>
      <c r="D3236" s="103">
        <v>1</v>
      </c>
      <c r="E3236" s="103">
        <f>VLOOKUP(C3236,Sheet1!$I$7:$R$41,10,0)</f>
        <v>4</v>
      </c>
      <c r="F3236" s="1413">
        <f>VLOOKUP(C3236,Sheet1!$I$7:$R$41,2,0)</f>
        <v>0.75</v>
      </c>
      <c r="G3236" s="1413">
        <v>2.2000000000000002</v>
      </c>
      <c r="H3236" s="1414">
        <f>VLOOKUP(C3236,Sheet1!$I$7:$R$41,3,0)</f>
        <v>2.1</v>
      </c>
      <c r="I3236" s="1406">
        <f t="shared" ref="I3236:I3240" si="922">PRODUCT(D3236:H3236)</f>
        <v>13.860000000000001</v>
      </c>
      <c r="M3236" s="110"/>
      <c r="Q3236" s="1394">
        <f>IFERROR(VLOOKUP(M3236,#REF!,3,0),0)</f>
        <v>0</v>
      </c>
      <c r="R3236" s="1394">
        <f t="shared" si="910"/>
        <v>0</v>
      </c>
      <c r="S3236" s="1394">
        <f>IFERROR(VLOOKUP(M3236,#REF!,6,0),0)</f>
        <v>0</v>
      </c>
      <c r="T3236" s="1394">
        <f t="shared" si="911"/>
        <v>0</v>
      </c>
      <c r="U3236" s="1394">
        <f>IFERROR(VLOOKUP(M3236,#REF!,5,0),0)</f>
        <v>0</v>
      </c>
      <c r="V3236" s="1394">
        <f t="shared" si="912"/>
        <v>0</v>
      </c>
      <c r="W3236" s="1394"/>
    </row>
    <row r="3237" spans="1:26" ht="30" customHeight="1">
      <c r="B3237" s="1407"/>
      <c r="C3237" s="1502" t="s">
        <v>25</v>
      </c>
      <c r="D3237" s="103">
        <v>1</v>
      </c>
      <c r="E3237" s="103">
        <f>VLOOKUP(C3237,Sheet1!$I$7:$R$41,10,0)</f>
        <v>16</v>
      </c>
      <c r="F3237" s="1413">
        <f>VLOOKUP(C3237,Sheet1!$I$7:$R$41,2,0)</f>
        <v>1</v>
      </c>
      <c r="G3237" s="1413">
        <v>2.2000000000000002</v>
      </c>
      <c r="H3237" s="1414">
        <f>VLOOKUP(C3237,Sheet1!$I$7:$R$41,3,0)</f>
        <v>2.1</v>
      </c>
      <c r="I3237" s="1406">
        <f t="shared" si="922"/>
        <v>73.920000000000016</v>
      </c>
      <c r="M3237" s="110"/>
      <c r="Q3237" s="1394">
        <f>IFERROR(VLOOKUP(M3237,#REF!,3,0),0)</f>
        <v>0</v>
      </c>
      <c r="R3237" s="1394">
        <f t="shared" si="910"/>
        <v>0</v>
      </c>
      <c r="S3237" s="1394">
        <f>IFERROR(VLOOKUP(M3237,#REF!,6,0),0)</f>
        <v>0</v>
      </c>
      <c r="T3237" s="1394">
        <f t="shared" si="911"/>
        <v>0</v>
      </c>
      <c r="U3237" s="1394">
        <f>IFERROR(VLOOKUP(M3237,#REF!,5,0),0)</f>
        <v>0</v>
      </c>
      <c r="V3237" s="1394">
        <f t="shared" si="912"/>
        <v>0</v>
      </c>
      <c r="W3237" s="1394"/>
    </row>
    <row r="3238" spans="1:26" ht="30" customHeight="1">
      <c r="B3238" s="1407"/>
      <c r="C3238" s="1502" t="s">
        <v>342</v>
      </c>
      <c r="D3238" s="103">
        <v>1</v>
      </c>
      <c r="E3238" s="103">
        <f>VLOOKUP(C3238,Sheet1!$I$7:$R$41,10,0)</f>
        <v>1</v>
      </c>
      <c r="F3238" s="1413">
        <f>VLOOKUP(C3238,Sheet1!$I$7:$R$41,2,0)</f>
        <v>1</v>
      </c>
      <c r="G3238" s="1413">
        <v>2.2000000000000002</v>
      </c>
      <c r="H3238" s="1414">
        <f>VLOOKUP(C3238,Sheet1!$I$7:$R$41,3,0)</f>
        <v>2.1</v>
      </c>
      <c r="I3238" s="1406">
        <f t="shared" si="922"/>
        <v>4.620000000000001</v>
      </c>
      <c r="M3238" s="110"/>
      <c r="Q3238" s="1394">
        <f>IFERROR(VLOOKUP(M3238,#REF!,3,0),0)</f>
        <v>0</v>
      </c>
      <c r="R3238" s="1394">
        <f t="shared" si="910"/>
        <v>0</v>
      </c>
      <c r="S3238" s="1394">
        <f>IFERROR(VLOOKUP(M3238,#REF!,6,0),0)</f>
        <v>0</v>
      </c>
      <c r="T3238" s="1394">
        <f t="shared" si="911"/>
        <v>0</v>
      </c>
      <c r="U3238" s="1394">
        <f>IFERROR(VLOOKUP(M3238,#REF!,5,0),0)</f>
        <v>0</v>
      </c>
      <c r="V3238" s="1394">
        <f t="shared" si="912"/>
        <v>0</v>
      </c>
      <c r="W3238" s="1394"/>
    </row>
    <row r="3239" spans="1:26" ht="30" customHeight="1">
      <c r="B3239" s="1407"/>
      <c r="C3239" s="1502" t="s">
        <v>195</v>
      </c>
      <c r="D3239" s="103">
        <v>1</v>
      </c>
      <c r="E3239" s="103">
        <f>VLOOKUP(C3239,Sheet1!$I$7:$R$41,10,0)</f>
        <v>4</v>
      </c>
      <c r="F3239" s="1413">
        <f>VLOOKUP(C3239,Sheet1!$I$7:$R$41,2,0)</f>
        <v>0.75</v>
      </c>
      <c r="G3239" s="1413">
        <v>2.2000000000000002</v>
      </c>
      <c r="H3239" s="1414">
        <f>VLOOKUP(C3239,Sheet1!$I$7:$R$41,3,0)</f>
        <v>1.35</v>
      </c>
      <c r="I3239" s="1406">
        <f t="shared" si="922"/>
        <v>8.9100000000000019</v>
      </c>
      <c r="Q3239" s="1394">
        <f>IFERROR(VLOOKUP(M3239,#REF!,3,0),0)</f>
        <v>0</v>
      </c>
      <c r="R3239" s="1394">
        <f t="shared" si="910"/>
        <v>0</v>
      </c>
      <c r="S3239" s="1394">
        <f>IFERROR(VLOOKUP(M3239,#REF!,6,0),0)</f>
        <v>0</v>
      </c>
      <c r="T3239" s="1394">
        <f t="shared" si="911"/>
        <v>0</v>
      </c>
      <c r="U3239" s="1394">
        <f>IFERROR(VLOOKUP(M3239,#REF!,5,0),0)</f>
        <v>0</v>
      </c>
      <c r="V3239" s="1394">
        <f t="shared" si="912"/>
        <v>0</v>
      </c>
      <c r="W3239" s="1394"/>
    </row>
    <row r="3240" spans="1:26" ht="30" customHeight="1">
      <c r="B3240" s="1407"/>
      <c r="C3240" s="1502" t="s">
        <v>5517</v>
      </c>
      <c r="D3240" s="103">
        <v>1</v>
      </c>
      <c r="E3240" s="103">
        <f>VLOOKUP(C3240,Sheet1!$I$7:$R$41,10,0)</f>
        <v>1</v>
      </c>
      <c r="F3240" s="1413">
        <f>VLOOKUP(C3240,Sheet1!$I$7:$R$41,2,0)</f>
        <v>1</v>
      </c>
      <c r="G3240" s="1413">
        <v>2.2000000000000002</v>
      </c>
      <c r="H3240" s="1414">
        <f>VLOOKUP(C3240,Sheet1!$I$7:$R$41,3,0)</f>
        <v>2.1</v>
      </c>
      <c r="I3240" s="1406">
        <f t="shared" si="922"/>
        <v>4.620000000000001</v>
      </c>
      <c r="Q3240" s="1394">
        <f>IFERROR(VLOOKUP(M3240,#REF!,3,0),0)</f>
        <v>0</v>
      </c>
      <c r="R3240" s="1394">
        <f t="shared" si="910"/>
        <v>0</v>
      </c>
      <c r="S3240" s="1394">
        <f>IFERROR(VLOOKUP(M3240,#REF!,6,0),0)</f>
        <v>0</v>
      </c>
      <c r="T3240" s="1394">
        <f t="shared" si="911"/>
        <v>0</v>
      </c>
      <c r="U3240" s="1394">
        <f>IFERROR(VLOOKUP(M3240,#REF!,5,0),0)</f>
        <v>0</v>
      </c>
      <c r="V3240" s="1394">
        <f t="shared" si="912"/>
        <v>0</v>
      </c>
      <c r="W3240" s="1394"/>
    </row>
    <row r="3241" spans="1:26" ht="30" customHeight="1">
      <c r="B3241" s="1407"/>
      <c r="C3241" s="1502"/>
      <c r="D3241" s="1503"/>
      <c r="E3241" s="1503"/>
      <c r="F3241" s="1504"/>
      <c r="G3241" s="1504"/>
      <c r="H3241" s="1504"/>
      <c r="I3241" s="1406">
        <f t="shared" ref="I3241" si="923">PRODUCT(D3241:H3241)</f>
        <v>0</v>
      </c>
      <c r="Q3241" s="1394">
        <f>IFERROR(VLOOKUP(M3241,#REF!,3,0),0)</f>
        <v>0</v>
      </c>
      <c r="R3241" s="1394">
        <f t="shared" si="910"/>
        <v>0</v>
      </c>
      <c r="S3241" s="1394">
        <f>IFERROR(VLOOKUP(M3241,#REF!,6,0),0)</f>
        <v>0</v>
      </c>
      <c r="T3241" s="1394">
        <f t="shared" si="911"/>
        <v>0</v>
      </c>
      <c r="U3241" s="1394">
        <f>IFERROR(VLOOKUP(M3241,#REF!,5,0),0)</f>
        <v>0</v>
      </c>
      <c r="V3241" s="1394">
        <f t="shared" si="912"/>
        <v>0</v>
      </c>
      <c r="W3241" s="1394"/>
    </row>
    <row r="3242" spans="1:26" s="1394" customFormat="1" ht="30" customHeight="1">
      <c r="B3242" s="1421"/>
      <c r="C3242" s="1422" t="s">
        <v>270</v>
      </c>
      <c r="D3242" s="1389"/>
      <c r="E3242" s="1389"/>
      <c r="F3242" s="1423"/>
      <c r="G3242" s="1423"/>
      <c r="H3242" s="1424"/>
      <c r="I3242" s="1425">
        <f>J3243-J3242</f>
        <v>0.44999999999997442</v>
      </c>
      <c r="J3242" s="1394">
        <f>SUM(I3235:I3241)</f>
        <v>110.55000000000003</v>
      </c>
      <c r="M3242" s="1426"/>
      <c r="Q3242" s="1394">
        <f>IFERROR(VLOOKUP(M3242,#REF!,3,0),0)</f>
        <v>0</v>
      </c>
      <c r="R3242" s="1394">
        <f t="shared" si="910"/>
        <v>0</v>
      </c>
      <c r="S3242" s="1394">
        <f>IFERROR(VLOOKUP(M3242,#REF!,6,0),0)</f>
        <v>0</v>
      </c>
      <c r="T3242" s="1394">
        <f t="shared" si="911"/>
        <v>0</v>
      </c>
      <c r="U3242" s="1394">
        <f>IFERROR(VLOOKUP(M3242,#REF!,5,0),0)</f>
        <v>0</v>
      </c>
      <c r="V3242" s="1394">
        <f t="shared" si="912"/>
        <v>0</v>
      </c>
    </row>
    <row r="3243" spans="1:26" s="1394" customFormat="1" ht="30" customHeight="1">
      <c r="B3243" s="1421"/>
      <c r="C3243" s="1457"/>
      <c r="D3243" s="1389"/>
      <c r="E3243" s="1389"/>
      <c r="F3243" s="1423"/>
      <c r="G3243" s="1423"/>
      <c r="H3243" s="1424"/>
      <c r="I3243" s="1427">
        <f>+J3243</f>
        <v>111</v>
      </c>
      <c r="J3243" s="1394">
        <f>ROUNDUP(J3242,0)</f>
        <v>111</v>
      </c>
      <c r="M3243" s="1426"/>
      <c r="Q3243" s="1394">
        <f>IFERROR(VLOOKUP(M3243,#REF!,3,0),0)</f>
        <v>0</v>
      </c>
      <c r="R3243" s="1394">
        <f t="shared" si="910"/>
        <v>0</v>
      </c>
      <c r="S3243" s="1394">
        <f>IFERROR(VLOOKUP(M3243,#REF!,6,0),0)</f>
        <v>0</v>
      </c>
      <c r="T3243" s="1394">
        <f t="shared" si="911"/>
        <v>0</v>
      </c>
      <c r="U3243" s="1394">
        <f>IFERROR(VLOOKUP(M3243,#REF!,5,0),0)</f>
        <v>0</v>
      </c>
      <c r="V3243" s="1394">
        <f t="shared" si="912"/>
        <v>0</v>
      </c>
    </row>
    <row r="3244" spans="1:26" s="1394" customFormat="1" ht="30" customHeight="1">
      <c r="B3244" s="1421"/>
      <c r="C3244" s="1422"/>
      <c r="D3244" s="1389"/>
      <c r="E3244" s="1389"/>
      <c r="F3244" s="1423"/>
      <c r="G3244" s="1428" t="s">
        <v>11</v>
      </c>
      <c r="H3244" s="1429">
        <f>I3243</f>
        <v>111</v>
      </c>
      <c r="I3244" s="1427" t="s">
        <v>26</v>
      </c>
      <c r="M3244" s="1394" t="str">
        <f>A3234</f>
        <v>Painting - New "wood work"</v>
      </c>
      <c r="N3244" s="1394">
        <f>B3234</f>
        <v>40</v>
      </c>
      <c r="O3244" s="1394">
        <f>H3244</f>
        <v>111</v>
      </c>
      <c r="P3244" s="1394" t="str">
        <f>I3244</f>
        <v>Sqm</v>
      </c>
      <c r="Q3244" s="1394">
        <f>IFERROR(VLOOKUP(M3244,#REF!,3,0),0)</f>
        <v>0</v>
      </c>
      <c r="R3244" s="1394">
        <f t="shared" si="910"/>
        <v>0</v>
      </c>
      <c r="S3244" s="1394">
        <f>IFERROR(VLOOKUP(M3244,#REF!,6,0),0)</f>
        <v>0</v>
      </c>
      <c r="T3244" s="1394">
        <f t="shared" si="911"/>
        <v>0</v>
      </c>
      <c r="U3244" s="1394">
        <f>IFERROR(VLOOKUP(M3244,#REF!,5,0),0)</f>
        <v>0</v>
      </c>
      <c r="V3244" s="1394">
        <f t="shared" si="912"/>
        <v>111</v>
      </c>
    </row>
    <row r="3245" spans="1:26" ht="96.75" customHeight="1">
      <c r="A3245" s="110" t="s">
        <v>424</v>
      </c>
      <c r="B3245" s="1405">
        <v>41</v>
      </c>
      <c r="C3245" s="1678" t="e">
        <f>VLOOKUP(A3245,#REF!,2,0)</f>
        <v>#REF!</v>
      </c>
      <c r="D3245" s="1678"/>
      <c r="E3245" s="1678"/>
      <c r="F3245" s="1678"/>
      <c r="G3245" s="1678"/>
      <c r="H3245" s="1678"/>
      <c r="I3245" s="1479"/>
      <c r="Q3245" s="1394">
        <f>IFERROR(VLOOKUP(M3245,#REF!,3,0),0)</f>
        <v>0</v>
      </c>
      <c r="R3245" s="1394">
        <f t="shared" si="910"/>
        <v>0</v>
      </c>
      <c r="S3245" s="1394">
        <f>IFERROR(VLOOKUP(M3245,#REF!,6,0),0)</f>
        <v>0</v>
      </c>
      <c r="T3245" s="1394">
        <f t="shared" si="911"/>
        <v>0</v>
      </c>
      <c r="U3245" s="1394">
        <f>IFERROR(VLOOKUP(M3245,#REF!,5,0),0)</f>
        <v>0</v>
      </c>
      <c r="V3245" s="1394">
        <f t="shared" si="912"/>
        <v>0</v>
      </c>
      <c r="W3245" s="1394"/>
      <c r="X3245" s="1397"/>
    </row>
    <row r="3246" spans="1:26" ht="30" customHeight="1">
      <c r="B3246" s="1521"/>
      <c r="C3246" s="1455" t="s">
        <v>5516</v>
      </c>
      <c r="D3246" s="103">
        <v>1</v>
      </c>
      <c r="E3246" s="103">
        <f>VLOOKUP(C3246,Sheet1!$I$7:$R$41,10,0)</f>
        <v>1</v>
      </c>
      <c r="F3246" s="1413">
        <f>VLOOKUP(C3246,Sheet1!$I$7:$R$41,2,0)</f>
        <v>1.8</v>
      </c>
      <c r="G3246" s="1413">
        <v>1</v>
      </c>
      <c r="H3246" s="1414">
        <f>VLOOKUP(C3246,Sheet1!$I$7:$R$41,3,0)</f>
        <v>1.8</v>
      </c>
      <c r="I3246" s="1406">
        <f t="shared" ref="I3246" si="924">PRODUCT(D3246:H3246)</f>
        <v>3.24</v>
      </c>
      <c r="Q3246" s="1394">
        <f>IFERROR(VLOOKUP(M3246,#REF!,3,0),0)</f>
        <v>0</v>
      </c>
      <c r="R3246" s="1394">
        <f t="shared" ref="R3246:R3309" si="925">ROUND(O3246,2)*ROUND(Q3246,2)</f>
        <v>0</v>
      </c>
      <c r="S3246" s="1394">
        <f>IFERROR(VLOOKUP(M3246,#REF!,6,0),0)</f>
        <v>0</v>
      </c>
      <c r="T3246" s="1394">
        <f t="shared" si="911"/>
        <v>0</v>
      </c>
      <c r="U3246" s="1394">
        <f>IFERROR(VLOOKUP(M3246,#REF!,5,0),0)</f>
        <v>0</v>
      </c>
      <c r="V3246" s="1394">
        <f t="shared" si="912"/>
        <v>0</v>
      </c>
      <c r="W3246" s="1394"/>
    </row>
    <row r="3247" spans="1:26" ht="30" customHeight="1">
      <c r="B3247" s="1521"/>
      <c r="C3247" s="1455" t="s">
        <v>190</v>
      </c>
      <c r="D3247" s="103">
        <v>1</v>
      </c>
      <c r="E3247" s="103">
        <f>VLOOKUP(C3247,Sheet1!$I$7:$R$41,10,0)</f>
        <v>6</v>
      </c>
      <c r="F3247" s="1413">
        <f>VLOOKUP(C3247,Sheet1!$I$7:$R$41,2,0)</f>
        <v>0.81299999999999994</v>
      </c>
      <c r="G3247" s="1413">
        <v>1</v>
      </c>
      <c r="H3247" s="1414">
        <f>VLOOKUP(C3247,Sheet1!$I$7:$R$41,3,0)</f>
        <v>1.8</v>
      </c>
      <c r="I3247" s="1406">
        <f t="shared" ref="I3247:I3264" si="926">PRODUCT(D3247:H3247)</f>
        <v>8.7804000000000002</v>
      </c>
      <c r="L3247" s="110">
        <f t="shared" ref="L3247:L3264" si="927">D3247*E3247</f>
        <v>6</v>
      </c>
      <c r="Q3247" s="1394">
        <f>IFERROR(VLOOKUP(M3247,#REF!,3,0),0)</f>
        <v>0</v>
      </c>
      <c r="R3247" s="1394">
        <f t="shared" si="925"/>
        <v>0</v>
      </c>
      <c r="S3247" s="1394">
        <f>IFERROR(VLOOKUP(M3247,#REF!,6,0),0)</f>
        <v>0</v>
      </c>
      <c r="T3247" s="1394">
        <f t="shared" si="911"/>
        <v>0</v>
      </c>
      <c r="U3247" s="1394">
        <f>IFERROR(VLOOKUP(M3247,#REF!,5,0),0)</f>
        <v>0</v>
      </c>
      <c r="V3247" s="1394">
        <f t="shared" si="912"/>
        <v>0</v>
      </c>
      <c r="W3247" s="1394"/>
    </row>
    <row r="3248" spans="1:26" ht="30" customHeight="1">
      <c r="B3248" s="1407"/>
      <c r="C3248" s="1502" t="s">
        <v>5511</v>
      </c>
      <c r="D3248" s="103">
        <v>1</v>
      </c>
      <c r="E3248" s="103">
        <f>VLOOKUP(C3248,Sheet1!$I$7:$R$41,10,0)</f>
        <v>2</v>
      </c>
      <c r="F3248" s="1413">
        <f>VLOOKUP(C3248,Sheet1!$I$7:$R$41,2,0)</f>
        <v>1.8</v>
      </c>
      <c r="G3248" s="1413">
        <v>1</v>
      </c>
      <c r="H3248" s="1414">
        <f>VLOOKUP(C3248,Sheet1!$I$7:$R$41,3,0)</f>
        <v>1.8</v>
      </c>
      <c r="I3248" s="1406">
        <f t="shared" si="926"/>
        <v>6.48</v>
      </c>
      <c r="Q3248" s="1394">
        <f>IFERROR(VLOOKUP(M3248,#REF!,3,0),0)</f>
        <v>0</v>
      </c>
      <c r="R3248" s="1394">
        <f t="shared" si="925"/>
        <v>0</v>
      </c>
      <c r="S3248" s="1394">
        <f>IFERROR(VLOOKUP(M3248,#REF!,6,0),0)</f>
        <v>0</v>
      </c>
      <c r="T3248" s="1394">
        <f t="shared" si="911"/>
        <v>0</v>
      </c>
      <c r="U3248" s="1394">
        <f>IFERROR(VLOOKUP(M3248,#REF!,5,0),0)</f>
        <v>0</v>
      </c>
      <c r="V3248" s="1394">
        <f t="shared" si="912"/>
        <v>0</v>
      </c>
      <c r="W3248" s="1394"/>
    </row>
    <row r="3249" spans="2:23" ht="30" customHeight="1">
      <c r="B3249" s="1521"/>
      <c r="C3249" s="1455" t="s">
        <v>5512</v>
      </c>
      <c r="D3249" s="103">
        <v>1</v>
      </c>
      <c r="E3249" s="103">
        <f>VLOOKUP(C3249,Sheet1!$I$7:$R$41,10,0)</f>
        <v>1</v>
      </c>
      <c r="F3249" s="1413">
        <f>VLOOKUP(C3249,Sheet1!$I$7:$R$41,2,0)</f>
        <v>1.5</v>
      </c>
      <c r="G3249" s="1413">
        <v>1</v>
      </c>
      <c r="H3249" s="1414">
        <f>VLOOKUP(C3249,Sheet1!$I$7:$R$41,3,0)</f>
        <v>1.8</v>
      </c>
      <c r="I3249" s="1406">
        <f t="shared" si="926"/>
        <v>2.7</v>
      </c>
      <c r="L3249" s="110">
        <f t="shared" si="927"/>
        <v>1</v>
      </c>
      <c r="Q3249" s="1394">
        <f>IFERROR(VLOOKUP(M3249,#REF!,3,0),0)</f>
        <v>0</v>
      </c>
      <c r="R3249" s="1394">
        <f t="shared" si="925"/>
        <v>0</v>
      </c>
      <c r="S3249" s="1394">
        <f>IFERROR(VLOOKUP(M3249,#REF!,6,0),0)</f>
        <v>0</v>
      </c>
      <c r="T3249" s="1394">
        <f t="shared" si="911"/>
        <v>0</v>
      </c>
      <c r="U3249" s="1394">
        <f>IFERROR(VLOOKUP(M3249,#REF!,5,0),0)</f>
        <v>0</v>
      </c>
      <c r="V3249" s="1394">
        <f t="shared" si="912"/>
        <v>0</v>
      </c>
      <c r="W3249" s="1394"/>
    </row>
    <row r="3250" spans="2:23" ht="30" customHeight="1">
      <c r="B3250" s="1521"/>
      <c r="C3250" s="1455" t="s">
        <v>5513</v>
      </c>
      <c r="D3250" s="103">
        <v>1</v>
      </c>
      <c r="E3250" s="103">
        <f>VLOOKUP(C3250,Sheet1!$I$7:$R$41,10,0)</f>
        <v>3</v>
      </c>
      <c r="F3250" s="1413">
        <f>VLOOKUP(C3250,Sheet1!$I$7:$R$41,2,0)</f>
        <v>2</v>
      </c>
      <c r="G3250" s="1413">
        <v>1</v>
      </c>
      <c r="H3250" s="1414">
        <f>VLOOKUP(C3250,Sheet1!$I$7:$R$41,3,0)</f>
        <v>1.8</v>
      </c>
      <c r="I3250" s="1406">
        <f t="shared" si="926"/>
        <v>10.8</v>
      </c>
      <c r="L3250" s="110">
        <f t="shared" si="927"/>
        <v>3</v>
      </c>
      <c r="Q3250" s="1394">
        <f>IFERROR(VLOOKUP(M3250,#REF!,3,0),0)</f>
        <v>0</v>
      </c>
      <c r="R3250" s="1394">
        <f t="shared" si="925"/>
        <v>0</v>
      </c>
      <c r="S3250" s="1394">
        <f>IFERROR(VLOOKUP(M3250,#REF!,6,0),0)</f>
        <v>0</v>
      </c>
      <c r="T3250" s="1394">
        <f t="shared" si="911"/>
        <v>0</v>
      </c>
      <c r="U3250" s="1394">
        <f>IFERROR(VLOOKUP(M3250,#REF!,5,0),0)</f>
        <v>0</v>
      </c>
      <c r="V3250" s="1394">
        <f t="shared" si="912"/>
        <v>0</v>
      </c>
      <c r="W3250" s="1394"/>
    </row>
    <row r="3251" spans="2:23" ht="30" customHeight="1">
      <c r="B3251" s="1521"/>
      <c r="C3251" s="1455" t="s">
        <v>5514</v>
      </c>
      <c r="D3251" s="103">
        <v>1</v>
      </c>
      <c r="E3251" s="103">
        <f>VLOOKUP(C3251,Sheet1!$I$7:$R$41,10,0)</f>
        <v>6</v>
      </c>
      <c r="F3251" s="1413">
        <f>VLOOKUP(C3251,Sheet1!$I$7:$R$41,2,0)</f>
        <v>1.2</v>
      </c>
      <c r="G3251" s="1413">
        <v>1</v>
      </c>
      <c r="H3251" s="1414">
        <f>VLOOKUP(C3251,Sheet1!$I$7:$R$41,3,0)</f>
        <v>1.8</v>
      </c>
      <c r="I3251" s="1406">
        <f t="shared" si="926"/>
        <v>12.959999999999999</v>
      </c>
      <c r="L3251" s="110">
        <f t="shared" si="927"/>
        <v>6</v>
      </c>
      <c r="Q3251" s="1394">
        <f>IFERROR(VLOOKUP(M3251,#REF!,3,0),0)</f>
        <v>0</v>
      </c>
      <c r="R3251" s="1394">
        <f t="shared" si="925"/>
        <v>0</v>
      </c>
      <c r="S3251" s="1394">
        <f>IFERROR(VLOOKUP(M3251,#REF!,6,0),0)</f>
        <v>0</v>
      </c>
      <c r="T3251" s="1394">
        <f t="shared" si="911"/>
        <v>0</v>
      </c>
      <c r="U3251" s="1394">
        <f>IFERROR(VLOOKUP(M3251,#REF!,5,0),0)</f>
        <v>0</v>
      </c>
      <c r="V3251" s="1394">
        <f t="shared" si="912"/>
        <v>0</v>
      </c>
      <c r="W3251" s="1394"/>
    </row>
    <row r="3252" spans="2:23" ht="30" customHeight="1">
      <c r="B3252" s="1521"/>
      <c r="C3252" s="1455" t="s">
        <v>5515</v>
      </c>
      <c r="D3252" s="103">
        <v>1</v>
      </c>
      <c r="E3252" s="103">
        <f>VLOOKUP(C3252,Sheet1!$I$7:$R$41,10,0)</f>
        <v>1</v>
      </c>
      <c r="F3252" s="1413">
        <f>VLOOKUP(C3252,Sheet1!$I$7:$R$41,2,0)</f>
        <v>1.5</v>
      </c>
      <c r="G3252" s="1413">
        <v>1</v>
      </c>
      <c r="H3252" s="1414">
        <f>VLOOKUP(C3252,Sheet1!$I$7:$R$41,3,0)</f>
        <v>1.35</v>
      </c>
      <c r="I3252" s="1406">
        <f t="shared" si="926"/>
        <v>2.0250000000000004</v>
      </c>
      <c r="L3252" s="110">
        <f t="shared" si="927"/>
        <v>1</v>
      </c>
      <c r="Q3252" s="1394">
        <f>IFERROR(VLOOKUP(M3252,#REF!,3,0),0)</f>
        <v>0</v>
      </c>
      <c r="R3252" s="1394">
        <f t="shared" si="925"/>
        <v>0</v>
      </c>
      <c r="S3252" s="1394">
        <f>IFERROR(VLOOKUP(M3252,#REF!,6,0),0)</f>
        <v>0</v>
      </c>
      <c r="T3252" s="1394">
        <f t="shared" si="911"/>
        <v>0</v>
      </c>
      <c r="U3252" s="1394">
        <f>IFERROR(VLOOKUP(M3252,#REF!,5,0),0)</f>
        <v>0</v>
      </c>
      <c r="V3252" s="1394">
        <f t="shared" si="912"/>
        <v>0</v>
      </c>
      <c r="W3252" s="1394"/>
    </row>
    <row r="3253" spans="2:23" ht="30" customHeight="1">
      <c r="B3253" s="1521"/>
      <c r="C3253" s="1455" t="s">
        <v>252</v>
      </c>
      <c r="D3253" s="103">
        <v>1</v>
      </c>
      <c r="E3253" s="103">
        <f>VLOOKUP(C3253,Sheet1!$I$7:$R$41,10,0)</f>
        <v>4</v>
      </c>
      <c r="F3253" s="1413">
        <f>VLOOKUP(C3253,Sheet1!$I$7:$R$41,2,0)</f>
        <v>1.8</v>
      </c>
      <c r="G3253" s="1413">
        <v>1</v>
      </c>
      <c r="H3253" s="1414">
        <f>VLOOKUP(C3253,Sheet1!$I$7:$R$41,3,0)</f>
        <v>1.35</v>
      </c>
      <c r="I3253" s="1406">
        <f t="shared" si="926"/>
        <v>9.7200000000000006</v>
      </c>
      <c r="L3253" s="110">
        <f t="shared" si="927"/>
        <v>4</v>
      </c>
      <c r="Q3253" s="1394">
        <f>IFERROR(VLOOKUP(M3253,#REF!,3,0),0)</f>
        <v>0</v>
      </c>
      <c r="R3253" s="1394">
        <f t="shared" si="925"/>
        <v>0</v>
      </c>
      <c r="S3253" s="1394">
        <f>IFERROR(VLOOKUP(M3253,#REF!,6,0),0)</f>
        <v>0</v>
      </c>
      <c r="T3253" s="1394">
        <f t="shared" si="911"/>
        <v>0</v>
      </c>
      <c r="U3253" s="1394">
        <f>IFERROR(VLOOKUP(M3253,#REF!,5,0),0)</f>
        <v>0</v>
      </c>
      <c r="V3253" s="1394">
        <f t="shared" si="912"/>
        <v>0</v>
      </c>
      <c r="W3253" s="1394"/>
    </row>
    <row r="3254" spans="2:23" ht="30" customHeight="1">
      <c r="B3254" s="1521"/>
      <c r="C3254" s="1455" t="s">
        <v>248</v>
      </c>
      <c r="D3254" s="103">
        <v>1</v>
      </c>
      <c r="E3254" s="103">
        <f>VLOOKUP(C3254,Sheet1!$I$7:$R$41,10,0)</f>
        <v>3</v>
      </c>
      <c r="F3254" s="1413">
        <f>VLOOKUP(C3254,Sheet1!$I$7:$R$41,2,0)</f>
        <v>1.8</v>
      </c>
      <c r="G3254" s="1413">
        <v>1</v>
      </c>
      <c r="H3254" s="1414">
        <f>VLOOKUP(C3254,Sheet1!$I$7:$R$41,3,0)</f>
        <v>1.35</v>
      </c>
      <c r="I3254" s="1406">
        <f t="shared" si="926"/>
        <v>7.2900000000000009</v>
      </c>
      <c r="L3254" s="110">
        <f t="shared" si="927"/>
        <v>3</v>
      </c>
      <c r="Q3254" s="1394">
        <f>IFERROR(VLOOKUP(M3254,#REF!,3,0),0)</f>
        <v>0</v>
      </c>
      <c r="R3254" s="1394">
        <f t="shared" si="925"/>
        <v>0</v>
      </c>
      <c r="S3254" s="1394">
        <f>IFERROR(VLOOKUP(M3254,#REF!,6,0),0)</f>
        <v>0</v>
      </c>
      <c r="T3254" s="1394">
        <f t="shared" si="911"/>
        <v>0</v>
      </c>
      <c r="U3254" s="1394">
        <f>IFERROR(VLOOKUP(M3254,#REF!,5,0),0)</f>
        <v>0</v>
      </c>
      <c r="V3254" s="1394">
        <f t="shared" si="912"/>
        <v>0</v>
      </c>
      <c r="W3254" s="1394"/>
    </row>
    <row r="3255" spans="2:23" ht="30" customHeight="1">
      <c r="B3255" s="1521"/>
      <c r="C3255" s="1455" t="s">
        <v>249</v>
      </c>
      <c r="D3255" s="103">
        <v>1</v>
      </c>
      <c r="E3255" s="103">
        <f>VLOOKUP(C3255,Sheet1!$I$7:$R$41,10,0)</f>
        <v>2</v>
      </c>
      <c r="F3255" s="1413">
        <f>VLOOKUP(C3255,Sheet1!$I$7:$R$41,2,0)</f>
        <v>1.5</v>
      </c>
      <c r="G3255" s="1413">
        <v>1</v>
      </c>
      <c r="H3255" s="1414">
        <f>VLOOKUP(C3255,Sheet1!$I$7:$R$41,3,0)</f>
        <v>1.35</v>
      </c>
      <c r="I3255" s="1406">
        <f t="shared" si="926"/>
        <v>4.0500000000000007</v>
      </c>
      <c r="L3255" s="110">
        <f t="shared" si="927"/>
        <v>2</v>
      </c>
      <c r="Q3255" s="1394">
        <f>IFERROR(VLOOKUP(M3255,#REF!,3,0),0)</f>
        <v>0</v>
      </c>
      <c r="R3255" s="1394">
        <f t="shared" si="925"/>
        <v>0</v>
      </c>
      <c r="S3255" s="1394">
        <f>IFERROR(VLOOKUP(M3255,#REF!,6,0),0)</f>
        <v>0</v>
      </c>
      <c r="T3255" s="1394">
        <f t="shared" si="911"/>
        <v>0</v>
      </c>
      <c r="U3255" s="1394">
        <f>IFERROR(VLOOKUP(M3255,#REF!,5,0),0)</f>
        <v>0</v>
      </c>
      <c r="V3255" s="1394">
        <f t="shared" si="912"/>
        <v>0</v>
      </c>
      <c r="W3255" s="1394"/>
    </row>
    <row r="3256" spans="2:23" ht="30" customHeight="1">
      <c r="B3256" s="1521"/>
      <c r="C3256" s="1455" t="s">
        <v>250</v>
      </c>
      <c r="D3256" s="103">
        <v>1</v>
      </c>
      <c r="E3256" s="103">
        <f>VLOOKUP(C3256,Sheet1!$I$7:$R$41,10,0)</f>
        <v>37</v>
      </c>
      <c r="F3256" s="1413">
        <f>VLOOKUP(C3256,Sheet1!$I$7:$R$41,2,0)</f>
        <v>1.2</v>
      </c>
      <c r="G3256" s="1413">
        <v>1</v>
      </c>
      <c r="H3256" s="1414">
        <f>VLOOKUP(C3256,Sheet1!$I$7:$R$41,3,0)</f>
        <v>1.35</v>
      </c>
      <c r="I3256" s="1406">
        <f t="shared" si="926"/>
        <v>59.940000000000005</v>
      </c>
      <c r="L3256" s="110">
        <f t="shared" si="927"/>
        <v>37</v>
      </c>
      <c r="Q3256" s="1394">
        <f>IFERROR(VLOOKUP(M3256,#REF!,3,0),0)</f>
        <v>0</v>
      </c>
      <c r="R3256" s="1394">
        <f t="shared" si="925"/>
        <v>0</v>
      </c>
      <c r="S3256" s="1394">
        <f>IFERROR(VLOOKUP(M3256,#REF!,6,0),0)</f>
        <v>0</v>
      </c>
      <c r="T3256" s="1394">
        <f t="shared" si="911"/>
        <v>0</v>
      </c>
      <c r="U3256" s="1394">
        <f>IFERROR(VLOOKUP(M3256,#REF!,5,0),0)</f>
        <v>0</v>
      </c>
      <c r="V3256" s="1394">
        <f t="shared" si="912"/>
        <v>0</v>
      </c>
      <c r="W3256" s="1394"/>
    </row>
    <row r="3257" spans="2:23" ht="30" customHeight="1">
      <c r="B3257" s="1521"/>
      <c r="C3257" s="1455" t="s">
        <v>251</v>
      </c>
      <c r="D3257" s="103">
        <v>1</v>
      </c>
      <c r="E3257" s="103">
        <f>VLOOKUP(C3257,Sheet1!$I$7:$R$41,10,0)</f>
        <v>15</v>
      </c>
      <c r="F3257" s="1413">
        <f>VLOOKUP(C3257,Sheet1!$I$7:$R$41,2,0)</f>
        <v>1</v>
      </c>
      <c r="G3257" s="1413">
        <v>1</v>
      </c>
      <c r="H3257" s="1414">
        <f>VLOOKUP(C3257,Sheet1!$I$7:$R$41,3,0)</f>
        <v>1.35</v>
      </c>
      <c r="I3257" s="1406">
        <f t="shared" si="926"/>
        <v>20.25</v>
      </c>
      <c r="L3257" s="110">
        <f t="shared" si="927"/>
        <v>15</v>
      </c>
      <c r="Q3257" s="1394">
        <f>IFERROR(VLOOKUP(M3257,#REF!,3,0),0)</f>
        <v>0</v>
      </c>
      <c r="R3257" s="1394">
        <f t="shared" si="925"/>
        <v>0</v>
      </c>
      <c r="S3257" s="1394">
        <f>IFERROR(VLOOKUP(M3257,#REF!,6,0),0)</f>
        <v>0</v>
      </c>
      <c r="T3257" s="1394">
        <f t="shared" si="911"/>
        <v>0</v>
      </c>
      <c r="U3257" s="1394">
        <f>IFERROR(VLOOKUP(M3257,#REF!,5,0),0)</f>
        <v>0</v>
      </c>
      <c r="V3257" s="1394">
        <f t="shared" si="912"/>
        <v>0</v>
      </c>
      <c r="W3257" s="1394"/>
    </row>
    <row r="3258" spans="2:23" ht="30" customHeight="1">
      <c r="B3258" s="1521"/>
      <c r="C3258" s="1455" t="s">
        <v>5518</v>
      </c>
      <c r="D3258" s="103">
        <v>1</v>
      </c>
      <c r="E3258" s="103">
        <f>VLOOKUP(C3258,Sheet1!$I$7:$R$41,10,0)</f>
        <v>4</v>
      </c>
      <c r="F3258" s="1413">
        <f>VLOOKUP(C3258,Sheet1!$I$7:$R$41,2,0)</f>
        <v>2.1</v>
      </c>
      <c r="G3258" s="1413">
        <v>1</v>
      </c>
      <c r="H3258" s="1414">
        <f>VLOOKUP(C3258,Sheet1!$I$7:$R$41,3,0)</f>
        <v>1.35</v>
      </c>
      <c r="I3258" s="1406">
        <f t="shared" si="926"/>
        <v>11.340000000000002</v>
      </c>
      <c r="L3258" s="110">
        <f t="shared" si="927"/>
        <v>4</v>
      </c>
      <c r="Q3258" s="1394">
        <f>IFERROR(VLOOKUP(M3258,#REF!,3,0),0)</f>
        <v>0</v>
      </c>
      <c r="R3258" s="1394">
        <f t="shared" si="925"/>
        <v>0</v>
      </c>
      <c r="S3258" s="1394">
        <f>IFERROR(VLOOKUP(M3258,#REF!,6,0),0)</f>
        <v>0</v>
      </c>
      <c r="T3258" s="1394">
        <f t="shared" si="911"/>
        <v>0</v>
      </c>
      <c r="U3258" s="1394">
        <f>IFERROR(VLOOKUP(M3258,#REF!,5,0),0)</f>
        <v>0</v>
      </c>
      <c r="V3258" s="1394">
        <f t="shared" si="912"/>
        <v>0</v>
      </c>
      <c r="W3258" s="1394"/>
    </row>
    <row r="3259" spans="2:23" ht="30" customHeight="1">
      <c r="B3259" s="1521"/>
      <c r="C3259" s="1455" t="s">
        <v>255</v>
      </c>
      <c r="D3259" s="103">
        <v>1</v>
      </c>
      <c r="E3259" s="103">
        <f>VLOOKUP(C3259,Sheet1!$I$7:$R$41,10,0)</f>
        <v>5</v>
      </c>
      <c r="F3259" s="1413">
        <f>VLOOKUP(C3259,Sheet1!$I$7:$R$41,2,0)</f>
        <v>1.35</v>
      </c>
      <c r="G3259" s="1413">
        <v>1</v>
      </c>
      <c r="H3259" s="1414">
        <f>VLOOKUP(C3259,Sheet1!$I$7:$R$41,3,0)</f>
        <v>0.6</v>
      </c>
      <c r="I3259" s="1406">
        <f t="shared" si="926"/>
        <v>4.05</v>
      </c>
      <c r="L3259" s="110">
        <f t="shared" si="927"/>
        <v>5</v>
      </c>
      <c r="Q3259" s="1394">
        <f>IFERROR(VLOOKUP(M3259,#REF!,3,0),0)</f>
        <v>0</v>
      </c>
      <c r="R3259" s="1394">
        <f t="shared" si="925"/>
        <v>0</v>
      </c>
      <c r="S3259" s="1394">
        <f>IFERROR(VLOOKUP(M3259,#REF!,6,0),0)</f>
        <v>0</v>
      </c>
      <c r="T3259" s="1394">
        <f t="shared" si="911"/>
        <v>0</v>
      </c>
      <c r="U3259" s="1394">
        <f>IFERROR(VLOOKUP(M3259,#REF!,5,0),0)</f>
        <v>0</v>
      </c>
      <c r="V3259" s="1394">
        <f t="shared" si="912"/>
        <v>0</v>
      </c>
      <c r="W3259" s="1394"/>
    </row>
    <row r="3260" spans="2:23" ht="30" customHeight="1">
      <c r="B3260" s="1521"/>
      <c r="C3260" s="1455" t="s">
        <v>254</v>
      </c>
      <c r="D3260" s="103">
        <v>1</v>
      </c>
      <c r="E3260" s="103">
        <f>VLOOKUP(C3260,Sheet1!$I$7:$R$41,10,0)</f>
        <v>1</v>
      </c>
      <c r="F3260" s="1413">
        <f>VLOOKUP(C3260,Sheet1!$I$7:$R$41,2,0)</f>
        <v>0.9</v>
      </c>
      <c r="G3260" s="1413">
        <v>1</v>
      </c>
      <c r="H3260" s="1414">
        <f>VLOOKUP(C3260,Sheet1!$I$7:$R$41,3,0)</f>
        <v>0.6</v>
      </c>
      <c r="I3260" s="1406">
        <f t="shared" si="926"/>
        <v>0.54</v>
      </c>
      <c r="L3260" s="110">
        <f t="shared" si="927"/>
        <v>1</v>
      </c>
      <c r="Q3260" s="1394">
        <f>IFERROR(VLOOKUP(M3260,#REF!,3,0),0)</f>
        <v>0</v>
      </c>
      <c r="R3260" s="1394">
        <f t="shared" si="925"/>
        <v>0</v>
      </c>
      <c r="S3260" s="1394">
        <f>IFERROR(VLOOKUP(M3260,#REF!,6,0),0)</f>
        <v>0</v>
      </c>
      <c r="T3260" s="1394">
        <f t="shared" si="911"/>
        <v>0</v>
      </c>
      <c r="U3260" s="1394">
        <f>IFERROR(VLOOKUP(M3260,#REF!,5,0),0)</f>
        <v>0</v>
      </c>
      <c r="V3260" s="1394">
        <f t="shared" si="912"/>
        <v>0</v>
      </c>
      <c r="W3260" s="1394"/>
    </row>
    <row r="3261" spans="2:23" ht="30" customHeight="1">
      <c r="B3261" s="1521"/>
      <c r="C3261" s="1455" t="s">
        <v>253</v>
      </c>
      <c r="D3261" s="103">
        <v>1</v>
      </c>
      <c r="E3261" s="103">
        <f>VLOOKUP(C3261,Sheet1!$I$7:$R$41,10,0)</f>
        <v>4</v>
      </c>
      <c r="F3261" s="1413">
        <f>VLOOKUP(C3261,Sheet1!$I$7:$R$41,2,0)</f>
        <v>1</v>
      </c>
      <c r="G3261" s="1413">
        <v>1</v>
      </c>
      <c r="H3261" s="1414">
        <f>VLOOKUP(C3261,Sheet1!$I$7:$R$41,3,0)</f>
        <v>0.6</v>
      </c>
      <c r="I3261" s="1406">
        <f t="shared" si="926"/>
        <v>2.4</v>
      </c>
      <c r="L3261" s="110">
        <f t="shared" si="927"/>
        <v>4</v>
      </c>
      <c r="Q3261" s="1394">
        <f>IFERROR(VLOOKUP(M3261,#REF!,3,0),0)</f>
        <v>0</v>
      </c>
      <c r="R3261" s="1394">
        <f t="shared" si="925"/>
        <v>0</v>
      </c>
      <c r="S3261" s="1394">
        <f>IFERROR(VLOOKUP(M3261,#REF!,6,0),0)</f>
        <v>0</v>
      </c>
      <c r="T3261" s="1394">
        <f t="shared" si="911"/>
        <v>0</v>
      </c>
      <c r="U3261" s="1394">
        <f>IFERROR(VLOOKUP(M3261,#REF!,5,0),0)</f>
        <v>0</v>
      </c>
      <c r="V3261" s="1394">
        <f t="shared" si="912"/>
        <v>0</v>
      </c>
      <c r="W3261" s="1394"/>
    </row>
    <row r="3262" spans="2:23" ht="30" customHeight="1">
      <c r="B3262" s="1521"/>
      <c r="C3262" s="1455" t="s">
        <v>372</v>
      </c>
      <c r="D3262" s="103">
        <v>1</v>
      </c>
      <c r="E3262" s="103">
        <f>VLOOKUP(C3262,Sheet1!$I$7:$R$41,10,0)</f>
        <v>4</v>
      </c>
      <c r="F3262" s="1413">
        <f>VLOOKUP(C3262,Sheet1!$I$7:$R$41,2,0)</f>
        <v>0.6</v>
      </c>
      <c r="G3262" s="1413">
        <v>1</v>
      </c>
      <c r="H3262" s="1414">
        <f>VLOOKUP(C3262,Sheet1!$I$7:$R$41,3,0)</f>
        <v>0.6</v>
      </c>
      <c r="I3262" s="1406">
        <f t="shared" si="926"/>
        <v>1.44</v>
      </c>
      <c r="L3262" s="110">
        <f t="shared" si="927"/>
        <v>4</v>
      </c>
      <c r="Q3262" s="1394">
        <f>IFERROR(VLOOKUP(M3262,#REF!,3,0),0)</f>
        <v>0</v>
      </c>
      <c r="R3262" s="1394">
        <f t="shared" si="925"/>
        <v>0</v>
      </c>
      <c r="S3262" s="1394">
        <f>IFERROR(VLOOKUP(M3262,#REF!,6,0),0)</f>
        <v>0</v>
      </c>
      <c r="T3262" s="1394">
        <f t="shared" si="911"/>
        <v>0</v>
      </c>
      <c r="U3262" s="1394">
        <f>IFERROR(VLOOKUP(M3262,#REF!,5,0),0)</f>
        <v>0</v>
      </c>
      <c r="V3262" s="1394">
        <f t="shared" si="912"/>
        <v>0</v>
      </c>
      <c r="W3262" s="1394"/>
    </row>
    <row r="3263" spans="2:23" ht="30" customHeight="1">
      <c r="B3263" s="1521"/>
      <c r="C3263" s="1455" t="s">
        <v>257</v>
      </c>
      <c r="D3263" s="103">
        <v>1</v>
      </c>
      <c r="E3263" s="103">
        <f>VLOOKUP(C3263,Sheet1!$I$7:$R$41,10,0)</f>
        <v>16</v>
      </c>
      <c r="F3263" s="1413">
        <f>VLOOKUP(C3263,Sheet1!$I$7:$R$41,2,0)</f>
        <v>0.9</v>
      </c>
      <c r="G3263" s="1413">
        <v>1</v>
      </c>
      <c r="H3263" s="1414">
        <f>VLOOKUP(C3263,Sheet1!$I$7:$R$41,3,0)</f>
        <v>0.75</v>
      </c>
      <c r="I3263" s="1406">
        <f t="shared" si="926"/>
        <v>10.8</v>
      </c>
      <c r="L3263" s="110">
        <f t="shared" si="927"/>
        <v>16</v>
      </c>
      <c r="Q3263" s="1394">
        <f>IFERROR(VLOOKUP(M3263,#REF!,3,0),0)</f>
        <v>0</v>
      </c>
      <c r="R3263" s="1394">
        <f t="shared" si="925"/>
        <v>0</v>
      </c>
      <c r="S3263" s="1394">
        <f>IFERROR(VLOOKUP(M3263,#REF!,6,0),0)</f>
        <v>0</v>
      </c>
      <c r="T3263" s="1394">
        <f t="shared" si="911"/>
        <v>0</v>
      </c>
      <c r="U3263" s="1394">
        <f>IFERROR(VLOOKUP(M3263,#REF!,5,0),0)</f>
        <v>0</v>
      </c>
      <c r="V3263" s="1394">
        <f t="shared" si="912"/>
        <v>0</v>
      </c>
      <c r="W3263" s="1394"/>
    </row>
    <row r="3264" spans="2:23" ht="30" customHeight="1">
      <c r="B3264" s="1521"/>
      <c r="C3264" s="1455" t="s">
        <v>5520</v>
      </c>
      <c r="D3264" s="103">
        <v>1</v>
      </c>
      <c r="E3264" s="103">
        <f>VLOOKUP(C3264,Sheet1!$I$7:$R$41,10,0)</f>
        <v>2</v>
      </c>
      <c r="F3264" s="1413">
        <f>VLOOKUP(C3264,Sheet1!$I$7:$R$41,2,0)</f>
        <v>0.9</v>
      </c>
      <c r="G3264" s="1413">
        <v>1</v>
      </c>
      <c r="H3264" s="1414">
        <f>VLOOKUP(C3264,Sheet1!$I$7:$R$41,3,0)</f>
        <v>0.75</v>
      </c>
      <c r="I3264" s="1406">
        <f t="shared" si="926"/>
        <v>1.35</v>
      </c>
      <c r="L3264" s="110">
        <f t="shared" si="927"/>
        <v>2</v>
      </c>
      <c r="Q3264" s="1394">
        <f>IFERROR(VLOOKUP(M3264,#REF!,3,0),0)</f>
        <v>0</v>
      </c>
      <c r="R3264" s="1394">
        <f t="shared" si="925"/>
        <v>0</v>
      </c>
      <c r="S3264" s="1394">
        <f>IFERROR(VLOOKUP(M3264,#REF!,6,0),0)</f>
        <v>0</v>
      </c>
      <c r="T3264" s="1394">
        <f t="shared" si="911"/>
        <v>0</v>
      </c>
      <c r="U3264" s="1394">
        <f>IFERROR(VLOOKUP(M3264,#REF!,5,0),0)</f>
        <v>0</v>
      </c>
      <c r="V3264" s="1394">
        <f t="shared" si="912"/>
        <v>0</v>
      </c>
      <c r="W3264" s="1394"/>
    </row>
    <row r="3265" spans="1:24" ht="30" customHeight="1">
      <c r="B3265" s="1407"/>
      <c r="C3265" s="1502" t="s">
        <v>193</v>
      </c>
      <c r="D3265" s="103">
        <v>1</v>
      </c>
      <c r="E3265" s="103">
        <f>VLOOKUP(C3265,Sheet1!$I$7:$R$41,10,0)</f>
        <v>4</v>
      </c>
      <c r="F3265" s="1413">
        <f>VLOOKUP(C3265,Sheet1!$I$7:$R$41,2,0)</f>
        <v>0.9</v>
      </c>
      <c r="G3265" s="1413">
        <v>1</v>
      </c>
      <c r="H3265" s="1414">
        <f>VLOOKUP(C3265,Sheet1!$I$7:$R$41,3,0)</f>
        <v>2.1</v>
      </c>
      <c r="I3265" s="1406">
        <f>PRODUCT(D3265:H3265)</f>
        <v>7.5600000000000005</v>
      </c>
      <c r="Q3265" s="1394">
        <f>IFERROR(VLOOKUP(M3265,#REF!,3,0),0)</f>
        <v>0</v>
      </c>
      <c r="R3265" s="1394">
        <f t="shared" si="925"/>
        <v>0</v>
      </c>
      <c r="S3265" s="1394">
        <f>IFERROR(VLOOKUP(M3265,#REF!,6,0),0)</f>
        <v>0</v>
      </c>
      <c r="T3265" s="1394">
        <f t="shared" si="911"/>
        <v>0</v>
      </c>
      <c r="U3265" s="1394">
        <f>IFERROR(VLOOKUP(M3265,#REF!,5,0),0)</f>
        <v>0</v>
      </c>
      <c r="V3265" s="1394">
        <f t="shared" si="912"/>
        <v>0</v>
      </c>
      <c r="W3265" s="1394"/>
    </row>
    <row r="3266" spans="1:24" ht="30" customHeight="1">
      <c r="B3266" s="1521"/>
      <c r="C3266" s="1502" t="s">
        <v>5510</v>
      </c>
      <c r="D3266" s="103">
        <v>1</v>
      </c>
      <c r="E3266" s="103">
        <f>VLOOKUP(C3266,Sheet1!$I$7:$R$41,10,0)</f>
        <v>4</v>
      </c>
      <c r="F3266" s="1413">
        <f>VLOOKUP(C3266,Sheet1!$I$7:$R$41,2,0)</f>
        <v>1</v>
      </c>
      <c r="G3266" s="1413">
        <v>1</v>
      </c>
      <c r="H3266" s="1414">
        <f>VLOOKUP(C3266,Sheet1!$I$7:$R$41,3,0)</f>
        <v>2.1</v>
      </c>
      <c r="I3266" s="1406">
        <f>PRODUCT(D3266:H3266)</f>
        <v>8.4</v>
      </c>
      <c r="Q3266" s="1394">
        <f>IFERROR(VLOOKUP(M3266,#REF!,3,0),0)</f>
        <v>0</v>
      </c>
      <c r="R3266" s="1394">
        <f t="shared" si="925"/>
        <v>0</v>
      </c>
      <c r="S3266" s="1394">
        <f>IFERROR(VLOOKUP(M3266,#REF!,6,0),0)</f>
        <v>0</v>
      </c>
      <c r="T3266" s="1394">
        <f t="shared" ref="T3266:T3330" si="928">R3266-S3266</f>
        <v>0</v>
      </c>
      <c r="U3266" s="1394">
        <f>IFERROR(VLOOKUP(M3266,#REF!,5,0),0)</f>
        <v>0</v>
      </c>
      <c r="V3266" s="1394">
        <f t="shared" ref="V3266:V3330" si="929">O3266-U3266</f>
        <v>0</v>
      </c>
      <c r="W3266" s="1394"/>
    </row>
    <row r="3267" spans="1:24" ht="30" customHeight="1">
      <c r="B3267" s="1521"/>
      <c r="C3267" s="1455"/>
      <c r="D3267" s="103"/>
      <c r="E3267" s="103"/>
      <c r="F3267" s="1413"/>
      <c r="G3267" s="1413"/>
      <c r="H3267" s="1414"/>
      <c r="I3267" s="1406">
        <f t="shared" ref="I3267" si="930">PRODUCT(D3267:H3267)</f>
        <v>0</v>
      </c>
      <c r="L3267" s="110">
        <f t="shared" ref="L3267" si="931">D3267*E3267</f>
        <v>0</v>
      </c>
      <c r="Q3267" s="1394">
        <f>IFERROR(VLOOKUP(M3267,#REF!,3,0),0)</f>
        <v>0</v>
      </c>
      <c r="R3267" s="1394">
        <f t="shared" si="925"/>
        <v>0</v>
      </c>
      <c r="S3267" s="1394">
        <f>IFERROR(VLOOKUP(M3267,#REF!,6,0),0)</f>
        <v>0</v>
      </c>
      <c r="T3267" s="1394">
        <f t="shared" si="928"/>
        <v>0</v>
      </c>
      <c r="U3267" s="1394">
        <f>IFERROR(VLOOKUP(M3267,#REF!,5,0),0)</f>
        <v>0</v>
      </c>
      <c r="V3267" s="1394">
        <f t="shared" si="929"/>
        <v>0</v>
      </c>
      <c r="W3267" s="1394"/>
    </row>
    <row r="3268" spans="1:24" ht="30" customHeight="1">
      <c r="B3268" s="1407"/>
      <c r="C3268" s="1455" t="s">
        <v>425</v>
      </c>
      <c r="D3268" s="103">
        <v>1</v>
      </c>
      <c r="E3268" s="1414">
        <v>3.14</v>
      </c>
      <c r="F3268" s="1413">
        <f>+H3407</f>
        <v>231</v>
      </c>
      <c r="G3268" s="1413">
        <v>1</v>
      </c>
      <c r="H3268" s="1414">
        <v>3.2000000000000001E-2</v>
      </c>
      <c r="I3268" s="1406">
        <f>PRODUCT(D3268:H3268)</f>
        <v>23.210880000000003</v>
      </c>
      <c r="L3268" s="110">
        <f>SUM(L3246:L3267)</f>
        <v>114</v>
      </c>
      <c r="Q3268" s="1394">
        <f>IFERROR(VLOOKUP(M3268,#REF!,3,0),0)</f>
        <v>0</v>
      </c>
      <c r="R3268" s="1394">
        <f t="shared" si="925"/>
        <v>0</v>
      </c>
      <c r="S3268" s="1394">
        <f>IFERROR(VLOOKUP(M3268,#REF!,6,0),0)</f>
        <v>0</v>
      </c>
      <c r="T3268" s="1394">
        <f t="shared" si="928"/>
        <v>0</v>
      </c>
      <c r="U3268" s="1394">
        <f>IFERROR(VLOOKUP(M3268,#REF!,5,0),0)</f>
        <v>0</v>
      </c>
      <c r="V3268" s="1394">
        <f t="shared" si="929"/>
        <v>0</v>
      </c>
      <c r="W3268" s="1394"/>
    </row>
    <row r="3269" spans="1:24" ht="30" customHeight="1">
      <c r="B3269" s="1407"/>
      <c r="C3269" s="1455" t="s">
        <v>426</v>
      </c>
      <c r="D3269" s="103">
        <v>1</v>
      </c>
      <c r="E3269" s="1414">
        <v>3.14</v>
      </c>
      <c r="F3269" s="1413">
        <f>+H3415</f>
        <v>84</v>
      </c>
      <c r="G3269" s="1413">
        <v>1</v>
      </c>
      <c r="H3269" s="1414">
        <v>2.5000000000000001E-2</v>
      </c>
      <c r="I3269" s="1406">
        <f>PRODUCT(D3269:H3269)</f>
        <v>6.5940000000000003</v>
      </c>
      <c r="Q3269" s="1394">
        <f>IFERROR(VLOOKUP(M3269,#REF!,3,0),0)</f>
        <v>0</v>
      </c>
      <c r="R3269" s="1394">
        <f t="shared" si="925"/>
        <v>0</v>
      </c>
      <c r="S3269" s="1394">
        <f>IFERROR(VLOOKUP(M3269,#REF!,6,0),0)</f>
        <v>0</v>
      </c>
      <c r="T3269" s="1394">
        <f t="shared" si="928"/>
        <v>0</v>
      </c>
      <c r="U3269" s="1394">
        <f>IFERROR(VLOOKUP(M3269,#REF!,5,0),0)</f>
        <v>0</v>
      </c>
      <c r="V3269" s="1394">
        <f t="shared" si="929"/>
        <v>0</v>
      </c>
      <c r="W3269" s="1394"/>
    </row>
    <row r="3270" spans="1:24" ht="30" customHeight="1">
      <c r="B3270" s="1407"/>
      <c r="C3270" s="1455" t="s">
        <v>427</v>
      </c>
      <c r="D3270" s="103">
        <v>1</v>
      </c>
      <c r="E3270" s="1414">
        <v>3.14</v>
      </c>
      <c r="F3270" s="1413">
        <f>+H3518</f>
        <v>130</v>
      </c>
      <c r="G3270" s="1413">
        <v>1</v>
      </c>
      <c r="H3270" s="1414">
        <v>7.4999999999999997E-2</v>
      </c>
      <c r="I3270" s="1406">
        <f>PRODUCT(D3270:H3270)</f>
        <v>30.614999999999998</v>
      </c>
      <c r="Q3270" s="1394">
        <f>IFERROR(VLOOKUP(M3270,#REF!,3,0),0)</f>
        <v>0</v>
      </c>
      <c r="R3270" s="1394">
        <f t="shared" si="925"/>
        <v>0</v>
      </c>
      <c r="S3270" s="1394">
        <f>IFERROR(VLOOKUP(M3270,#REF!,6,0),0)</f>
        <v>0</v>
      </c>
      <c r="T3270" s="1394">
        <f t="shared" si="928"/>
        <v>0</v>
      </c>
      <c r="U3270" s="1394">
        <f>IFERROR(VLOOKUP(M3270,#REF!,5,0),0)</f>
        <v>0</v>
      </c>
      <c r="V3270" s="1394">
        <f t="shared" si="929"/>
        <v>0</v>
      </c>
      <c r="W3270" s="1394"/>
    </row>
    <row r="3271" spans="1:24" ht="30" customHeight="1">
      <c r="B3271" s="1407"/>
      <c r="C3271" s="1455" t="s">
        <v>428</v>
      </c>
      <c r="D3271" s="103">
        <v>1</v>
      </c>
      <c r="E3271" s="1414">
        <v>3.14</v>
      </c>
      <c r="F3271" s="1413">
        <f>+H3507</f>
        <v>130</v>
      </c>
      <c r="G3271" s="1413">
        <v>1</v>
      </c>
      <c r="H3271" s="1414">
        <v>0.11</v>
      </c>
      <c r="I3271" s="1406">
        <f t="shared" ref="I3271" si="932">PRODUCT(D3271:H3271)</f>
        <v>44.902000000000001</v>
      </c>
      <c r="Q3271" s="1394">
        <f>IFERROR(VLOOKUP(M3271,#REF!,3,0),0)</f>
        <v>0</v>
      </c>
      <c r="R3271" s="1394">
        <f t="shared" si="925"/>
        <v>0</v>
      </c>
      <c r="S3271" s="1394">
        <f>IFERROR(VLOOKUP(M3271,#REF!,6,0),0)</f>
        <v>0</v>
      </c>
      <c r="T3271" s="1394">
        <f t="shared" si="928"/>
        <v>0</v>
      </c>
      <c r="U3271" s="1394">
        <f>IFERROR(VLOOKUP(M3271,#REF!,5,0),0)</f>
        <v>0</v>
      </c>
      <c r="V3271" s="1394">
        <f t="shared" si="929"/>
        <v>0</v>
      </c>
      <c r="W3271" s="1394"/>
    </row>
    <row r="3272" spans="1:24" s="1394" customFormat="1" ht="30" customHeight="1">
      <c r="B3272" s="1421"/>
      <c r="C3272" s="1422" t="s">
        <v>270</v>
      </c>
      <c r="D3272" s="1389"/>
      <c r="E3272" s="1389"/>
      <c r="F3272" s="1423"/>
      <c r="G3272" s="1423"/>
      <c r="H3272" s="1424"/>
      <c r="I3272" s="1425">
        <f>J3273-J3272</f>
        <v>6.2720000000012988E-2</v>
      </c>
      <c r="J3272" s="1394">
        <f>SUM(I3246:I3271)</f>
        <v>301.43727999999999</v>
      </c>
      <c r="M3272" s="1426"/>
      <c r="Q3272" s="1394">
        <f>IFERROR(VLOOKUP(M3272,#REF!,3,0),0)</f>
        <v>0</v>
      </c>
      <c r="R3272" s="1394">
        <f t="shared" si="925"/>
        <v>0</v>
      </c>
      <c r="S3272" s="1394">
        <f>IFERROR(VLOOKUP(M3272,#REF!,6,0),0)</f>
        <v>0</v>
      </c>
      <c r="T3272" s="1394">
        <f t="shared" si="928"/>
        <v>0</v>
      </c>
      <c r="U3272" s="1394">
        <f>IFERROR(VLOOKUP(M3272,#REF!,5,0),0)</f>
        <v>0</v>
      </c>
      <c r="V3272" s="1394">
        <f t="shared" si="929"/>
        <v>0</v>
      </c>
    </row>
    <row r="3273" spans="1:24" s="1394" customFormat="1" ht="30" customHeight="1">
      <c r="B3273" s="1421"/>
      <c r="C3273" s="1457"/>
      <c r="D3273" s="1389"/>
      <c r="E3273" s="1389"/>
      <c r="F3273" s="1423"/>
      <c r="G3273" s="1423"/>
      <c r="H3273" s="1424"/>
      <c r="I3273" s="1427">
        <f>+J3273</f>
        <v>301.5</v>
      </c>
      <c r="J3273" s="1394">
        <f>ROUNDUP(J3272,1)</f>
        <v>301.5</v>
      </c>
      <c r="M3273" s="1426"/>
      <c r="Q3273" s="1394">
        <f>IFERROR(VLOOKUP(M3273,#REF!,3,0),0)</f>
        <v>0</v>
      </c>
      <c r="R3273" s="1394">
        <f t="shared" si="925"/>
        <v>0</v>
      </c>
      <c r="S3273" s="1394">
        <f>IFERROR(VLOOKUP(M3273,#REF!,6,0),0)</f>
        <v>0</v>
      </c>
      <c r="T3273" s="1394">
        <f t="shared" si="928"/>
        <v>0</v>
      </c>
      <c r="U3273" s="1394">
        <f>IFERROR(VLOOKUP(M3273,#REF!,5,0),0)</f>
        <v>0</v>
      </c>
      <c r="V3273" s="1394">
        <f t="shared" si="929"/>
        <v>0</v>
      </c>
    </row>
    <row r="3274" spans="1:24" s="1394" customFormat="1" ht="30" customHeight="1">
      <c r="B3274" s="1421"/>
      <c r="C3274" s="1422"/>
      <c r="D3274" s="1389"/>
      <c r="E3274" s="1389"/>
      <c r="F3274" s="1423"/>
      <c r="G3274" s="1428" t="s">
        <v>11</v>
      </c>
      <c r="H3274" s="1429">
        <f>I3273</f>
        <v>301.5</v>
      </c>
      <c r="I3274" s="1427" t="s">
        <v>26</v>
      </c>
      <c r="M3274" s="1394" t="str">
        <f>A3245</f>
        <v>Painting - New "iron work"</v>
      </c>
      <c r="N3274" s="1394">
        <f>B3245</f>
        <v>41</v>
      </c>
      <c r="O3274" s="1394">
        <f>H3274</f>
        <v>301.5</v>
      </c>
      <c r="P3274" s="1394" t="str">
        <f>I3274</f>
        <v>Sqm</v>
      </c>
      <c r="Q3274" s="1394">
        <f>IFERROR(VLOOKUP(M3274,#REF!,3,0),0)</f>
        <v>0</v>
      </c>
      <c r="R3274" s="1394">
        <f t="shared" si="925"/>
        <v>0</v>
      </c>
      <c r="S3274" s="1394">
        <f>IFERROR(VLOOKUP(M3274,#REF!,6,0),0)</f>
        <v>0</v>
      </c>
      <c r="T3274" s="1394">
        <f t="shared" si="928"/>
        <v>0</v>
      </c>
      <c r="U3274" s="1394">
        <f>IFERROR(VLOOKUP(M3274,#REF!,5,0),0)</f>
        <v>0</v>
      </c>
      <c r="V3274" s="1394">
        <f t="shared" si="929"/>
        <v>301.5</v>
      </c>
    </row>
    <row r="3275" spans="1:24" ht="52.5" customHeight="1">
      <c r="A3275" s="110" t="s">
        <v>108</v>
      </c>
      <c r="B3275" s="1405">
        <v>43</v>
      </c>
      <c r="C3275" s="1678" t="e">
        <f>VLOOKUP(A3275,#REF!,2,0)</f>
        <v>#REF!</v>
      </c>
      <c r="D3275" s="1678"/>
      <c r="E3275" s="1678"/>
      <c r="F3275" s="1678"/>
      <c r="G3275" s="1678"/>
      <c r="H3275" s="1678"/>
      <c r="I3275" s="1479"/>
      <c r="Q3275" s="1394">
        <f>IFERROR(VLOOKUP(M3275,#REF!,3,0),0)</f>
        <v>0</v>
      </c>
      <c r="R3275" s="1394">
        <f t="shared" si="925"/>
        <v>0</v>
      </c>
      <c r="S3275" s="1394">
        <f>IFERROR(VLOOKUP(M3275,#REF!,6,0),0)</f>
        <v>0</v>
      </c>
      <c r="T3275" s="1394">
        <f t="shared" si="928"/>
        <v>0</v>
      </c>
      <c r="U3275" s="1394">
        <f>IFERROR(VLOOKUP(M3275,#REF!,5,0),0)</f>
        <v>0</v>
      </c>
      <c r="V3275" s="1394">
        <f t="shared" si="929"/>
        <v>0</v>
      </c>
      <c r="W3275" s="1394"/>
      <c r="X3275" s="1397"/>
    </row>
    <row r="3276" spans="1:24" ht="30" customHeight="1">
      <c r="B3276" s="1407"/>
      <c r="C3276" s="1412" t="s">
        <v>429</v>
      </c>
      <c r="D3276" s="103"/>
      <c r="E3276" s="103"/>
      <c r="F3276" s="1413">
        <f>H451</f>
        <v>28.700000000000003</v>
      </c>
      <c r="G3276" s="1483"/>
      <c r="H3276" s="1414"/>
      <c r="I3276" s="1479"/>
      <c r="Q3276" s="1394">
        <f>IFERROR(VLOOKUP(M3276,#REF!,3,0),0)</f>
        <v>0</v>
      </c>
      <c r="R3276" s="1394">
        <f t="shared" si="925"/>
        <v>0</v>
      </c>
      <c r="S3276" s="1394">
        <f>IFERROR(VLOOKUP(M3276,#REF!,6,0),0)</f>
        <v>0</v>
      </c>
      <c r="T3276" s="1394">
        <f t="shared" si="928"/>
        <v>0</v>
      </c>
      <c r="U3276" s="1394">
        <f>IFERROR(VLOOKUP(M3276,#REF!,5,0),0)</f>
        <v>0</v>
      </c>
      <c r="V3276" s="1394">
        <f t="shared" si="929"/>
        <v>0</v>
      </c>
      <c r="W3276" s="1394"/>
    </row>
    <row r="3277" spans="1:24" ht="30" customHeight="1">
      <c r="B3277" s="1407"/>
      <c r="C3277" s="1412" t="s">
        <v>429</v>
      </c>
      <c r="D3277" s="103"/>
      <c r="E3277" s="103"/>
      <c r="F3277" s="1413">
        <f>H365</f>
        <v>65.899999999999991</v>
      </c>
      <c r="G3277" s="1483"/>
      <c r="H3277" s="1414"/>
      <c r="I3277" s="1479"/>
      <c r="Q3277" s="1394">
        <f>IFERROR(VLOOKUP(M3277,#REF!,3,0),0)</f>
        <v>0</v>
      </c>
      <c r="R3277" s="1394">
        <f t="shared" si="925"/>
        <v>0</v>
      </c>
      <c r="S3277" s="1394">
        <f>IFERROR(VLOOKUP(M3277,#REF!,6,0),0)</f>
        <v>0</v>
      </c>
      <c r="T3277" s="1394"/>
      <c r="U3277" s="1394"/>
      <c r="V3277" s="1394"/>
      <c r="W3277" s="1394"/>
    </row>
    <row r="3278" spans="1:24" ht="30" customHeight="1">
      <c r="B3278" s="1407"/>
      <c r="C3278" s="1412" t="s">
        <v>430</v>
      </c>
      <c r="D3278" s="103"/>
      <c r="E3278" s="103"/>
      <c r="F3278" s="1413">
        <f>H726</f>
        <v>65.3</v>
      </c>
      <c r="G3278" s="1483"/>
      <c r="H3278" s="1414"/>
      <c r="I3278" s="1479"/>
      <c r="Q3278" s="1394">
        <f>IFERROR(VLOOKUP(M3278,#REF!,3,0),0)</f>
        <v>0</v>
      </c>
      <c r="R3278" s="1394">
        <f t="shared" si="925"/>
        <v>0</v>
      </c>
      <c r="S3278" s="1394">
        <f>IFERROR(VLOOKUP(M3278,#REF!,6,0),0)</f>
        <v>0</v>
      </c>
      <c r="T3278" s="1394">
        <f t="shared" si="928"/>
        <v>0</v>
      </c>
      <c r="U3278" s="1394">
        <f>IFERROR(VLOOKUP(M3278,#REF!,5,0),0)</f>
        <v>0</v>
      </c>
      <c r="V3278" s="1394">
        <f t="shared" si="929"/>
        <v>0</v>
      </c>
      <c r="W3278" s="1394"/>
    </row>
    <row r="3279" spans="1:24" ht="30" customHeight="1">
      <c r="B3279" s="1407"/>
      <c r="C3279" s="1412" t="s">
        <v>431</v>
      </c>
      <c r="D3279" s="103"/>
      <c r="E3279" s="103"/>
      <c r="F3279" s="1413">
        <f>H891</f>
        <v>65.899999999999991</v>
      </c>
      <c r="G3279" s="1483"/>
      <c r="H3279" s="1414"/>
      <c r="I3279" s="1479"/>
      <c r="K3279" s="1396">
        <f>SUM(F3276:F3282)</f>
        <v>384.19999999999993</v>
      </c>
      <c r="Q3279" s="1394">
        <f>IFERROR(VLOOKUP(M3279,#REF!,3,0),0)</f>
        <v>0</v>
      </c>
      <c r="R3279" s="1394">
        <f t="shared" si="925"/>
        <v>0</v>
      </c>
      <c r="S3279" s="1394">
        <f>IFERROR(VLOOKUP(M3279,#REF!,6,0),0)</f>
        <v>0</v>
      </c>
      <c r="T3279" s="1394">
        <f t="shared" si="928"/>
        <v>0</v>
      </c>
      <c r="U3279" s="1394">
        <f>IFERROR(VLOOKUP(M3279,#REF!,5,0),0)</f>
        <v>0</v>
      </c>
      <c r="V3279" s="1394">
        <f t="shared" si="929"/>
        <v>0</v>
      </c>
      <c r="W3279" s="1394"/>
    </row>
    <row r="3280" spans="1:24" ht="30" customHeight="1">
      <c r="A3280" s="1397"/>
      <c r="B3280" s="1407"/>
      <c r="C3280" s="1412" t="s">
        <v>432</v>
      </c>
      <c r="D3280" s="103"/>
      <c r="E3280" s="103"/>
      <c r="F3280" s="1413">
        <f>H1052</f>
        <v>67.8</v>
      </c>
      <c r="G3280" s="1483"/>
      <c r="H3280" s="1414"/>
      <c r="I3280" s="1479"/>
      <c r="K3280" s="1396"/>
      <c r="L3280" s="1397" t="e">
        <f>SUM(F3276:F3282)+#REF!+#REF!</f>
        <v>#REF!</v>
      </c>
      <c r="Q3280" s="1394">
        <f>IFERROR(VLOOKUP(M3280,#REF!,3,0),0)</f>
        <v>0</v>
      </c>
      <c r="R3280" s="1394">
        <f t="shared" si="925"/>
        <v>0</v>
      </c>
      <c r="S3280" s="1394">
        <f>IFERROR(VLOOKUP(M3280,#REF!,6,0),0)</f>
        <v>0</v>
      </c>
      <c r="T3280" s="1394">
        <f t="shared" si="928"/>
        <v>0</v>
      </c>
      <c r="U3280" s="1394">
        <f>IFERROR(VLOOKUP(M3280,#REF!,5,0),0)</f>
        <v>0</v>
      </c>
      <c r="V3280" s="1394">
        <f t="shared" si="929"/>
        <v>0</v>
      </c>
      <c r="W3280" s="1394"/>
    </row>
    <row r="3281" spans="1:26" ht="30" customHeight="1">
      <c r="B3281" s="1407"/>
      <c r="C3281" s="1412" t="s">
        <v>433</v>
      </c>
      <c r="D3281" s="103"/>
      <c r="E3281" s="103"/>
      <c r="F3281" s="1413">
        <f>H1199</f>
        <v>64.099999999999994</v>
      </c>
      <c r="G3281" s="1483"/>
      <c r="H3281" s="1414"/>
      <c r="I3281" s="1479"/>
      <c r="K3281" s="1397" t="e">
        <f>L3280+K3280</f>
        <v>#REF!</v>
      </c>
      <c r="L3281" s="110" t="e">
        <f>L3280*K3282</f>
        <v>#REF!</v>
      </c>
      <c r="Q3281" s="1394">
        <f>IFERROR(VLOOKUP(M3281,#REF!,3,0),0)</f>
        <v>0</v>
      </c>
      <c r="R3281" s="1394">
        <f t="shared" si="925"/>
        <v>0</v>
      </c>
      <c r="S3281" s="1394">
        <f>IFERROR(VLOOKUP(M3281,#REF!,6,0),0)</f>
        <v>0</v>
      </c>
      <c r="T3281" s="1394">
        <f t="shared" si="928"/>
        <v>0</v>
      </c>
      <c r="U3281" s="1394">
        <f>IFERROR(VLOOKUP(M3281,#REF!,5,0),0)</f>
        <v>0</v>
      </c>
      <c r="V3281" s="1394">
        <f t="shared" si="929"/>
        <v>0</v>
      </c>
      <c r="W3281" s="1394"/>
    </row>
    <row r="3282" spans="1:26" ht="30" customHeight="1">
      <c r="B3282" s="1407"/>
      <c r="C3282" s="1412" t="s">
        <v>434</v>
      </c>
      <c r="D3282" s="103"/>
      <c r="E3282" s="103"/>
      <c r="F3282" s="1413">
        <f>H1264</f>
        <v>26.5</v>
      </c>
      <c r="G3282" s="1483"/>
      <c r="H3282" s="1414"/>
      <c r="I3282" s="1479"/>
      <c r="K3282" s="110">
        <v>110</v>
      </c>
      <c r="L3282" s="110" t="e">
        <f>L3281/1000</f>
        <v>#REF!</v>
      </c>
      <c r="Q3282" s="1394">
        <f>IFERROR(VLOOKUP(M3282,#REF!,3,0),0)</f>
        <v>0</v>
      </c>
      <c r="R3282" s="1394">
        <f t="shared" si="925"/>
        <v>0</v>
      </c>
      <c r="S3282" s="1394">
        <f>IFERROR(VLOOKUP(M3282,#REF!,6,0),0)</f>
        <v>0</v>
      </c>
      <c r="T3282" s="1394">
        <f t="shared" si="928"/>
        <v>0</v>
      </c>
      <c r="U3282" s="1394">
        <f>IFERROR(VLOOKUP(M3282,#REF!,5,0),0)</f>
        <v>0</v>
      </c>
      <c r="V3282" s="1394">
        <f t="shared" si="929"/>
        <v>0</v>
      </c>
      <c r="W3282" s="1394"/>
    </row>
    <row r="3283" spans="1:26" ht="30" customHeight="1">
      <c r="B3283" s="1407"/>
      <c r="C3283" s="1412"/>
      <c r="D3283" s="103"/>
      <c r="E3283" s="103"/>
      <c r="F3283" s="1413"/>
      <c r="G3283" s="1483"/>
      <c r="H3283" s="1414"/>
      <c r="I3283" s="1479"/>
      <c r="Q3283" s="1394">
        <f>IFERROR(VLOOKUP(M3283,#REF!,3,0),0)</f>
        <v>0</v>
      </c>
      <c r="R3283" s="1394">
        <f t="shared" si="925"/>
        <v>0</v>
      </c>
      <c r="S3283" s="1394">
        <f>IFERROR(VLOOKUP(M3283,#REF!,6,0),0)</f>
        <v>0</v>
      </c>
      <c r="T3283" s="1394">
        <f t="shared" si="928"/>
        <v>0</v>
      </c>
      <c r="U3283" s="1394">
        <f>IFERROR(VLOOKUP(M3283,#REF!,5,0),0)</f>
        <v>0</v>
      </c>
      <c r="V3283" s="1394">
        <f t="shared" si="929"/>
        <v>0</v>
      </c>
      <c r="W3283" s="1394"/>
    </row>
    <row r="3284" spans="1:26" ht="30" customHeight="1">
      <c r="B3284" s="1407"/>
      <c r="C3284" s="1412" t="s">
        <v>435</v>
      </c>
      <c r="D3284" s="103"/>
      <c r="E3284" s="103"/>
      <c r="F3284" s="1413"/>
      <c r="G3284" s="1483" t="s">
        <v>11</v>
      </c>
      <c r="H3284" s="1483" t="e">
        <f>L3282</f>
        <v>#REF!</v>
      </c>
      <c r="I3284" s="1479" t="s">
        <v>22</v>
      </c>
      <c r="K3284" s="110">
        <f>K3279*L3284</f>
        <v>44182.999999999993</v>
      </c>
      <c r="L3284" s="110">
        <v>115</v>
      </c>
      <c r="M3284" s="1394" t="str">
        <f>A3275</f>
        <v>Fabrication of Mild steel / RTS grills (without cement slurry) for all sizes of rods.</v>
      </c>
      <c r="N3284" s="1394">
        <f>B3275</f>
        <v>43</v>
      </c>
      <c r="O3284" s="1394" t="e">
        <f>H3284</f>
        <v>#REF!</v>
      </c>
      <c r="P3284" s="1394" t="str">
        <f>I3284</f>
        <v>MT</v>
      </c>
      <c r="Q3284" s="1394">
        <f>IFERROR(VLOOKUP(M3284,#REF!,3,0),0)</f>
        <v>0</v>
      </c>
      <c r="R3284" s="1394" t="e">
        <f t="shared" si="925"/>
        <v>#REF!</v>
      </c>
      <c r="S3284" s="1394">
        <f>IFERROR(VLOOKUP(M3284,#REF!,6,0),0)</f>
        <v>0</v>
      </c>
      <c r="T3284" s="1394" t="e">
        <f t="shared" si="928"/>
        <v>#REF!</v>
      </c>
      <c r="U3284" s="1394">
        <f>IFERROR(VLOOKUP(M3284,#REF!,5,0),0)</f>
        <v>0</v>
      </c>
      <c r="V3284" s="1394" t="e">
        <f t="shared" si="929"/>
        <v>#REF!</v>
      </c>
      <c r="W3284" s="1394"/>
      <c r="Z3284" s="1394"/>
    </row>
    <row r="3285" spans="1:26" ht="30" customHeight="1">
      <c r="B3285" s="1407"/>
      <c r="C3285" s="1412"/>
      <c r="D3285" s="103"/>
      <c r="E3285" s="103"/>
      <c r="F3285" s="1413"/>
      <c r="G3285" s="1483"/>
      <c r="H3285" s="1414"/>
      <c r="I3285" s="1479"/>
      <c r="K3285" s="110">
        <f>K3284/100</f>
        <v>441.82999999999993</v>
      </c>
      <c r="Q3285" s="1394">
        <f>IFERROR(VLOOKUP(M3285,#REF!,3,0),0)</f>
        <v>0</v>
      </c>
      <c r="R3285" s="1394">
        <f t="shared" si="925"/>
        <v>0</v>
      </c>
      <c r="S3285" s="1394">
        <f>IFERROR(VLOOKUP(M3285,#REF!,6,0),0)</f>
        <v>0</v>
      </c>
      <c r="T3285" s="1394">
        <f t="shared" si="928"/>
        <v>0</v>
      </c>
      <c r="U3285" s="1394">
        <f>IFERROR(VLOOKUP(M3285,#REF!,5,0),0)</f>
        <v>0</v>
      </c>
      <c r="V3285" s="1394">
        <f t="shared" si="929"/>
        <v>0</v>
      </c>
      <c r="W3285" s="1394"/>
    </row>
    <row r="3286" spans="1:26" ht="20.25" customHeight="1">
      <c r="B3286" s="1407"/>
      <c r="C3286" s="1412"/>
      <c r="D3286" s="103"/>
      <c r="E3286" s="103"/>
      <c r="F3286" s="1413"/>
      <c r="G3286" s="1483"/>
      <c r="H3286" s="1414"/>
      <c r="I3286" s="1479"/>
      <c r="Q3286" s="1394">
        <f>IFERROR(VLOOKUP(M3286,#REF!,3,0),0)</f>
        <v>0</v>
      </c>
      <c r="R3286" s="1394">
        <f t="shared" si="925"/>
        <v>0</v>
      </c>
      <c r="S3286" s="1394">
        <f>IFERROR(VLOOKUP(M3286,#REF!,6,0),0)</f>
        <v>0</v>
      </c>
      <c r="T3286" s="1394">
        <f t="shared" si="928"/>
        <v>0</v>
      </c>
      <c r="U3286" s="1394">
        <f>IFERROR(VLOOKUP(M3286,#REF!,5,0),0)</f>
        <v>0</v>
      </c>
      <c r="V3286" s="1394">
        <f t="shared" si="929"/>
        <v>0</v>
      </c>
      <c r="W3286" s="1394"/>
    </row>
    <row r="3287" spans="1:26" ht="126.75" customHeight="1">
      <c r="A3287" s="110" t="s">
        <v>436</v>
      </c>
      <c r="B3287" s="1405">
        <v>44.6</v>
      </c>
      <c r="C3287" s="1678" t="e">
        <f>VLOOKUP(A3287,#REF!,2,0)</f>
        <v>#REF!</v>
      </c>
      <c r="D3287" s="1678"/>
      <c r="E3287" s="1678"/>
      <c r="F3287" s="1678"/>
      <c r="G3287" s="1678"/>
      <c r="H3287" s="1678"/>
      <c r="I3287" s="1406"/>
      <c r="Q3287" s="1394">
        <f>IFERROR(VLOOKUP(M3287,#REF!,3,0),0)</f>
        <v>0</v>
      </c>
      <c r="R3287" s="1394">
        <f t="shared" si="925"/>
        <v>0</v>
      </c>
      <c r="S3287" s="1394">
        <f>IFERROR(VLOOKUP(M3287,#REF!,6,0),0)</f>
        <v>0</v>
      </c>
      <c r="T3287" s="1394">
        <f t="shared" si="928"/>
        <v>0</v>
      </c>
      <c r="U3287" s="1394">
        <f>IFERROR(VLOOKUP(M3287,#REF!,5,0),0)</f>
        <v>0</v>
      </c>
      <c r="V3287" s="1394">
        <f t="shared" si="929"/>
        <v>0</v>
      </c>
      <c r="W3287" s="1394"/>
      <c r="X3287" s="1397"/>
    </row>
    <row r="3288" spans="1:26" ht="30" customHeight="1">
      <c r="B3288" s="1407"/>
      <c r="C3288" s="1522" t="s">
        <v>437</v>
      </c>
      <c r="D3288" s="1523">
        <v>1</v>
      </c>
      <c r="E3288" s="1523">
        <v>4</v>
      </c>
      <c r="F3288" s="1524">
        <v>13.65</v>
      </c>
      <c r="G3288" s="1413"/>
      <c r="H3288" s="1414"/>
      <c r="I3288" s="1406">
        <f>PRODUCT(D3288:H3288)</f>
        <v>54.6</v>
      </c>
      <c r="Q3288" s="1394">
        <f>IFERROR(VLOOKUP(M3288,#REF!,3,0),0)</f>
        <v>0</v>
      </c>
      <c r="R3288" s="1394">
        <f t="shared" si="925"/>
        <v>0</v>
      </c>
      <c r="S3288" s="1394">
        <f>IFERROR(VLOOKUP(M3288,#REF!,6,0),0)</f>
        <v>0</v>
      </c>
      <c r="T3288" s="1394">
        <f t="shared" si="928"/>
        <v>0</v>
      </c>
      <c r="U3288" s="1394">
        <f>IFERROR(VLOOKUP(M3288,#REF!,5,0),0)</f>
        <v>0</v>
      </c>
      <c r="V3288" s="1394">
        <f t="shared" si="929"/>
        <v>0</v>
      </c>
      <c r="W3288" s="1394"/>
    </row>
    <row r="3289" spans="1:26" ht="30" customHeight="1">
      <c r="B3289" s="1407"/>
      <c r="C3289" s="1522" t="s">
        <v>438</v>
      </c>
      <c r="D3289" s="1523">
        <v>1</v>
      </c>
      <c r="E3289" s="1523">
        <v>1</v>
      </c>
      <c r="F3289" s="1524">
        <v>3.1</v>
      </c>
      <c r="G3289" s="1413"/>
      <c r="H3289" s="1414"/>
      <c r="I3289" s="1406">
        <f>PRODUCT(D3289:H3289)</f>
        <v>3.1</v>
      </c>
      <c r="Q3289" s="1394">
        <f>IFERROR(VLOOKUP(M3289,#REF!,3,0),0)</f>
        <v>0</v>
      </c>
      <c r="R3289" s="1394">
        <f t="shared" si="925"/>
        <v>0</v>
      </c>
      <c r="S3289" s="1394">
        <f>IFERROR(VLOOKUP(M3289,#REF!,6,0),0)</f>
        <v>0</v>
      </c>
      <c r="T3289" s="1394">
        <f t="shared" si="928"/>
        <v>0</v>
      </c>
      <c r="U3289" s="1394">
        <f>IFERROR(VLOOKUP(M3289,#REF!,5,0),0)</f>
        <v>0</v>
      </c>
      <c r="V3289" s="1394">
        <f t="shared" si="929"/>
        <v>0</v>
      </c>
      <c r="W3289" s="1394"/>
    </row>
    <row r="3290" spans="1:26" ht="30" customHeight="1">
      <c r="B3290" s="1407"/>
      <c r="C3290" s="1522" t="s">
        <v>439</v>
      </c>
      <c r="D3290" s="1523">
        <v>1</v>
      </c>
      <c r="E3290" s="1523">
        <v>1</v>
      </c>
      <c r="F3290" s="1524">
        <v>4.0999999999999996</v>
      </c>
      <c r="G3290" s="1413"/>
      <c r="H3290" s="1414"/>
      <c r="I3290" s="1406">
        <f>PRODUCT(D3290:H3290)</f>
        <v>4.0999999999999996</v>
      </c>
      <c r="Q3290" s="1394">
        <f>IFERROR(VLOOKUP(M3290,#REF!,3,0),0)</f>
        <v>0</v>
      </c>
      <c r="R3290" s="1394">
        <f t="shared" si="925"/>
        <v>0</v>
      </c>
      <c r="S3290" s="1394">
        <f>IFERROR(VLOOKUP(M3290,#REF!,6,0),0)</f>
        <v>0</v>
      </c>
      <c r="T3290" s="1394">
        <f t="shared" si="928"/>
        <v>0</v>
      </c>
      <c r="U3290" s="1394">
        <f>IFERROR(VLOOKUP(M3290,#REF!,5,0),0)</f>
        <v>0</v>
      </c>
      <c r="V3290" s="1394">
        <f t="shared" si="929"/>
        <v>0</v>
      </c>
      <c r="W3290" s="1394"/>
    </row>
    <row r="3291" spans="1:26" ht="30" customHeight="1">
      <c r="B3291" s="1407"/>
      <c r="C3291" s="1522" t="s">
        <v>440</v>
      </c>
      <c r="D3291" s="1523">
        <v>1</v>
      </c>
      <c r="E3291" s="1523">
        <v>4</v>
      </c>
      <c r="F3291" s="1524">
        <v>3</v>
      </c>
      <c r="G3291" s="1413"/>
      <c r="H3291" s="1414"/>
      <c r="I3291" s="1406">
        <f>PRODUCT(D3291:H3291)</f>
        <v>12</v>
      </c>
      <c r="Q3291" s="1394">
        <f>IFERROR(VLOOKUP(M3291,#REF!,3,0),0)</f>
        <v>0</v>
      </c>
      <c r="R3291" s="1394">
        <f t="shared" si="925"/>
        <v>0</v>
      </c>
      <c r="S3291" s="1394">
        <f>IFERROR(VLOOKUP(M3291,#REF!,6,0),0)</f>
        <v>0</v>
      </c>
      <c r="T3291" s="1394">
        <f t="shared" si="928"/>
        <v>0</v>
      </c>
      <c r="U3291" s="1394">
        <f>IFERROR(VLOOKUP(M3291,#REF!,5,0),0)</f>
        <v>0</v>
      </c>
      <c r="V3291" s="1394">
        <f t="shared" si="929"/>
        <v>0</v>
      </c>
      <c r="W3291" s="1394"/>
    </row>
    <row r="3292" spans="1:26" s="1394" customFormat="1" ht="30" customHeight="1">
      <c r="B3292" s="1421"/>
      <c r="C3292" s="1422" t="s">
        <v>270</v>
      </c>
      <c r="D3292" s="1389"/>
      <c r="E3292" s="1389"/>
      <c r="F3292" s="1423"/>
      <c r="G3292" s="1423"/>
      <c r="H3292" s="1424"/>
      <c r="I3292" s="1425">
        <f>J3293-J3292</f>
        <v>0.19999999999998863</v>
      </c>
      <c r="J3292" s="1394">
        <f>SUM(I3288:I3291)</f>
        <v>73.800000000000011</v>
      </c>
      <c r="M3292" s="1426"/>
      <c r="Q3292" s="1394">
        <f>IFERROR(VLOOKUP(M3292,#REF!,3,0),0)</f>
        <v>0</v>
      </c>
      <c r="R3292" s="1394">
        <f t="shared" si="925"/>
        <v>0</v>
      </c>
      <c r="S3292" s="1394">
        <f>IFERROR(VLOOKUP(M3292,#REF!,6,0),0)</f>
        <v>0</v>
      </c>
      <c r="T3292" s="1394">
        <f t="shared" si="928"/>
        <v>0</v>
      </c>
      <c r="U3292" s="1394">
        <f>IFERROR(VLOOKUP(M3292,#REF!,5,0),0)</f>
        <v>0</v>
      </c>
      <c r="V3292" s="1394">
        <f t="shared" si="929"/>
        <v>0</v>
      </c>
    </row>
    <row r="3293" spans="1:26" s="1394" customFormat="1" ht="30" customHeight="1">
      <c r="B3293" s="1421"/>
      <c r="C3293" s="1457"/>
      <c r="D3293" s="1389"/>
      <c r="E3293" s="1389"/>
      <c r="F3293" s="1423"/>
      <c r="G3293" s="1423"/>
      <c r="H3293" s="1424"/>
      <c r="I3293" s="1427">
        <f>+J3293</f>
        <v>74</v>
      </c>
      <c r="J3293" s="1394">
        <f>ROUNDUP(J3292,0)</f>
        <v>74</v>
      </c>
      <c r="M3293" s="1426"/>
      <c r="Q3293" s="1394">
        <f>IFERROR(VLOOKUP(M3293,#REF!,3,0),0)</f>
        <v>0</v>
      </c>
      <c r="R3293" s="1394">
        <f t="shared" si="925"/>
        <v>0</v>
      </c>
      <c r="S3293" s="1394">
        <f>IFERROR(VLOOKUP(M3293,#REF!,6,0),0)</f>
        <v>0</v>
      </c>
      <c r="T3293" s="1394">
        <f t="shared" si="928"/>
        <v>0</v>
      </c>
      <c r="U3293" s="1394">
        <f>IFERROR(VLOOKUP(M3293,#REF!,5,0),0)</f>
        <v>0</v>
      </c>
      <c r="V3293" s="1394">
        <f t="shared" si="929"/>
        <v>0</v>
      </c>
    </row>
    <row r="3294" spans="1:26" s="1394" customFormat="1" ht="30" customHeight="1">
      <c r="B3294" s="1421"/>
      <c r="C3294" s="1422"/>
      <c r="D3294" s="1389"/>
      <c r="E3294" s="1389"/>
      <c r="F3294" s="1423"/>
      <c r="G3294" s="1428" t="s">
        <v>11</v>
      </c>
      <c r="H3294" s="1429">
        <f>I3293</f>
        <v>74</v>
      </c>
      <c r="I3294" s="1427" t="s">
        <v>12</v>
      </c>
      <c r="M3294" s="1394" t="str">
        <f>A3287</f>
        <v>PVC SWR 110 mm dia with ISI mark type- A for Rain water down fall pipe</v>
      </c>
      <c r="N3294" s="1394">
        <f>B3287</f>
        <v>44.6</v>
      </c>
      <c r="O3294" s="1394">
        <f>H3294</f>
        <v>74</v>
      </c>
      <c r="P3294" s="1394" t="str">
        <f>I3294</f>
        <v>Rmt</v>
      </c>
      <c r="Q3294" s="1394">
        <f>IFERROR(VLOOKUP(M3294,#REF!,3,0),0)</f>
        <v>0</v>
      </c>
      <c r="R3294" s="1394">
        <f t="shared" si="925"/>
        <v>0</v>
      </c>
      <c r="S3294" s="1394">
        <f>IFERROR(VLOOKUP(M3294,#REF!,6,0),0)</f>
        <v>0</v>
      </c>
      <c r="T3294" s="1394">
        <f t="shared" si="928"/>
        <v>0</v>
      </c>
      <c r="U3294" s="1394">
        <f>IFERROR(VLOOKUP(M3294,#REF!,5,0),0)</f>
        <v>0</v>
      </c>
      <c r="V3294" s="1394">
        <f t="shared" si="929"/>
        <v>74</v>
      </c>
    </row>
    <row r="3295" spans="1:26" s="1394" customFormat="1" ht="30" customHeight="1">
      <c r="B3295" s="1421"/>
      <c r="C3295" s="1422"/>
      <c r="D3295" s="1389"/>
      <c r="E3295" s="1389"/>
      <c r="F3295" s="1423"/>
      <c r="G3295" s="1428"/>
      <c r="H3295" s="1429"/>
      <c r="I3295" s="1427"/>
      <c r="M3295" s="1426"/>
      <c r="Q3295" s="1394">
        <f>IFERROR(VLOOKUP(M3295,#REF!,3,0),0)</f>
        <v>0</v>
      </c>
      <c r="R3295" s="1394">
        <f t="shared" si="925"/>
        <v>0</v>
      </c>
      <c r="S3295" s="1394">
        <f>IFERROR(VLOOKUP(M3295,#REF!,6,0),0)</f>
        <v>0</v>
      </c>
      <c r="T3295" s="1394">
        <f t="shared" si="928"/>
        <v>0</v>
      </c>
      <c r="U3295" s="1394">
        <f>IFERROR(VLOOKUP(M3295,#REF!,5,0),0)</f>
        <v>0</v>
      </c>
      <c r="V3295" s="1394">
        <f t="shared" si="929"/>
        <v>0</v>
      </c>
    </row>
    <row r="3296" spans="1:26" s="1394" customFormat="1" ht="30" customHeight="1">
      <c r="B3296" s="1421"/>
      <c r="C3296" s="1422"/>
      <c r="D3296" s="1389"/>
      <c r="E3296" s="1389"/>
      <c r="F3296" s="1423"/>
      <c r="G3296" s="1428"/>
      <c r="H3296" s="1429"/>
      <c r="I3296" s="1427"/>
      <c r="M3296" s="1426"/>
      <c r="Q3296" s="1394">
        <f>IFERROR(VLOOKUP(M3296,#REF!,3,0),0)</f>
        <v>0</v>
      </c>
      <c r="R3296" s="1394">
        <f t="shared" si="925"/>
        <v>0</v>
      </c>
      <c r="S3296" s="1394">
        <f>IFERROR(VLOOKUP(M3296,#REF!,6,0),0)</f>
        <v>0</v>
      </c>
      <c r="T3296" s="1394">
        <f t="shared" si="928"/>
        <v>0</v>
      </c>
      <c r="U3296" s="1394">
        <f>IFERROR(VLOOKUP(M3296,#REF!,5,0),0)</f>
        <v>0</v>
      </c>
      <c r="V3296" s="1394">
        <f t="shared" si="929"/>
        <v>0</v>
      </c>
    </row>
    <row r="3297" spans="1:22" s="1394" customFormat="1" ht="108.75" customHeight="1">
      <c r="A3297" s="1394" t="s">
        <v>441</v>
      </c>
      <c r="B3297" s="1421">
        <v>46</v>
      </c>
      <c r="C3297" s="1678" t="e">
        <f>VLOOKUP(A3297,#REF!,2,0)</f>
        <v>#REF!</v>
      </c>
      <c r="D3297" s="1678"/>
      <c r="E3297" s="1678"/>
      <c r="F3297" s="1678"/>
      <c r="G3297" s="1678"/>
      <c r="H3297" s="1678"/>
      <c r="I3297" s="1427"/>
      <c r="M3297" s="1426"/>
      <c r="Q3297" s="1394">
        <f>IFERROR(VLOOKUP(M3297,#REF!,3,0),0)</f>
        <v>0</v>
      </c>
      <c r="R3297" s="1394">
        <f t="shared" si="925"/>
        <v>0</v>
      </c>
      <c r="S3297" s="1394">
        <f>IFERROR(VLOOKUP(M3297,#REF!,6,0),0)</f>
        <v>0</v>
      </c>
      <c r="T3297" s="1394">
        <f t="shared" si="928"/>
        <v>0</v>
      </c>
      <c r="U3297" s="1394">
        <f>IFERROR(VLOOKUP(M3297,#REF!,5,0),0)</f>
        <v>0</v>
      </c>
      <c r="V3297" s="1394">
        <f t="shared" si="929"/>
        <v>0</v>
      </c>
    </row>
    <row r="3298" spans="1:22" s="1394" customFormat="1" ht="30" customHeight="1">
      <c r="B3298" s="1421"/>
      <c r="C3298" s="1457" t="s">
        <v>5503</v>
      </c>
      <c r="D3298" s="1389"/>
      <c r="E3298" s="1389"/>
      <c r="F3298" s="1423"/>
      <c r="G3298" s="1423"/>
      <c r="H3298" s="1424"/>
      <c r="I3298" s="1425">
        <f t="shared" ref="I3298:I3318" si="933">PRODUCT(D3298:H3298)</f>
        <v>0</v>
      </c>
      <c r="M3298" s="1426"/>
      <c r="Q3298" s="1394">
        <f>IFERROR(VLOOKUP(M3298,#REF!,3,0),0)</f>
        <v>0</v>
      </c>
      <c r="R3298" s="1394">
        <f t="shared" si="925"/>
        <v>0</v>
      </c>
      <c r="S3298" s="1394">
        <f>IFERROR(VLOOKUP(M3298,#REF!,6,0),0)</f>
        <v>0</v>
      </c>
      <c r="T3298" s="1394">
        <f t="shared" si="928"/>
        <v>0</v>
      </c>
      <c r="U3298" s="1394">
        <f>IFERROR(VLOOKUP(M3298,#REF!,5,0),0)</f>
        <v>0</v>
      </c>
      <c r="V3298" s="1394">
        <f t="shared" si="929"/>
        <v>0</v>
      </c>
    </row>
    <row r="3299" spans="1:22" s="1394" customFormat="1" ht="30" customHeight="1">
      <c r="B3299" s="1421"/>
      <c r="C3299" s="1422" t="s">
        <v>5550</v>
      </c>
      <c r="D3299" s="1389">
        <v>1</v>
      </c>
      <c r="E3299" s="1389">
        <v>1</v>
      </c>
      <c r="F3299" s="1423"/>
      <c r="G3299" s="1423" t="s">
        <v>442</v>
      </c>
      <c r="H3299" s="1424" t="s">
        <v>442</v>
      </c>
      <c r="I3299" s="1425">
        <f t="shared" si="933"/>
        <v>1</v>
      </c>
      <c r="M3299" s="1426"/>
      <c r="Q3299" s="1394">
        <f>IFERROR(VLOOKUP(M3299,#REF!,3,0),0)</f>
        <v>0</v>
      </c>
      <c r="R3299" s="1394">
        <f t="shared" si="925"/>
        <v>0</v>
      </c>
      <c r="S3299" s="1394">
        <f>IFERROR(VLOOKUP(M3299,#REF!,6,0),0)</f>
        <v>0</v>
      </c>
      <c r="T3299" s="1394">
        <f t="shared" si="928"/>
        <v>0</v>
      </c>
      <c r="U3299" s="1394">
        <f>IFERROR(VLOOKUP(M3299,#REF!,5,0),0)</f>
        <v>0</v>
      </c>
      <c r="V3299" s="1394">
        <f t="shared" si="929"/>
        <v>0</v>
      </c>
    </row>
    <row r="3300" spans="1:22" s="1394" customFormat="1" ht="30" customHeight="1">
      <c r="B3300" s="1421"/>
      <c r="C3300" s="1422" t="s">
        <v>5551</v>
      </c>
      <c r="D3300" s="1389">
        <v>1</v>
      </c>
      <c r="E3300" s="1389">
        <v>1</v>
      </c>
      <c r="F3300" s="1423"/>
      <c r="G3300" s="1423" t="s">
        <v>442</v>
      </c>
      <c r="H3300" s="1424" t="s">
        <v>442</v>
      </c>
      <c r="I3300" s="1425">
        <f t="shared" si="933"/>
        <v>1</v>
      </c>
      <c r="M3300" s="1426"/>
      <c r="Q3300" s="1394">
        <f>IFERROR(VLOOKUP(M3300,#REF!,3,0),0)</f>
        <v>0</v>
      </c>
      <c r="R3300" s="1394">
        <f t="shared" si="925"/>
        <v>0</v>
      </c>
      <c r="S3300" s="1394">
        <f>IFERROR(VLOOKUP(M3300,#REF!,6,0),0)</f>
        <v>0</v>
      </c>
      <c r="T3300" s="1394">
        <f t="shared" si="928"/>
        <v>0</v>
      </c>
      <c r="U3300" s="1394">
        <f>IFERROR(VLOOKUP(M3300,#REF!,5,0),0)</f>
        <v>0</v>
      </c>
      <c r="V3300" s="1394">
        <f t="shared" si="929"/>
        <v>0</v>
      </c>
    </row>
    <row r="3301" spans="1:22" s="1394" customFormat="1" ht="30" customHeight="1">
      <c r="B3301" s="1421"/>
      <c r="C3301" s="1422" t="s">
        <v>5552</v>
      </c>
      <c r="D3301" s="1389">
        <v>1</v>
      </c>
      <c r="E3301" s="1389">
        <v>1</v>
      </c>
      <c r="F3301" s="1423"/>
      <c r="G3301" s="1423" t="s">
        <v>442</v>
      </c>
      <c r="H3301" s="1424" t="s">
        <v>442</v>
      </c>
      <c r="I3301" s="1425">
        <f t="shared" si="933"/>
        <v>1</v>
      </c>
      <c r="M3301" s="1426"/>
      <c r="Q3301" s="1394">
        <f>IFERROR(VLOOKUP(M3301,#REF!,3,0),0)</f>
        <v>0</v>
      </c>
      <c r="R3301" s="1394">
        <f t="shared" si="925"/>
        <v>0</v>
      </c>
      <c r="S3301" s="1394">
        <f>IFERROR(VLOOKUP(M3301,#REF!,6,0),0)</f>
        <v>0</v>
      </c>
      <c r="T3301" s="1394">
        <f t="shared" si="928"/>
        <v>0</v>
      </c>
      <c r="U3301" s="1394">
        <f>IFERROR(VLOOKUP(M3301,#REF!,5,0),0)</f>
        <v>0</v>
      </c>
      <c r="V3301" s="1394">
        <f t="shared" si="929"/>
        <v>0</v>
      </c>
    </row>
    <row r="3302" spans="1:22" s="1394" customFormat="1" ht="30" customHeight="1">
      <c r="B3302" s="1421"/>
      <c r="C3302" s="1422" t="s">
        <v>5553</v>
      </c>
      <c r="D3302" s="1389">
        <v>1</v>
      </c>
      <c r="E3302" s="1389">
        <v>1</v>
      </c>
      <c r="F3302" s="1423"/>
      <c r="G3302" s="1423" t="s">
        <v>442</v>
      </c>
      <c r="H3302" s="1424" t="s">
        <v>442</v>
      </c>
      <c r="I3302" s="1425">
        <f t="shared" si="933"/>
        <v>1</v>
      </c>
      <c r="M3302" s="1426"/>
      <c r="Q3302" s="1394">
        <f>IFERROR(VLOOKUP(M3302,#REF!,3,0),0)</f>
        <v>0</v>
      </c>
      <c r="R3302" s="1394">
        <f t="shared" si="925"/>
        <v>0</v>
      </c>
      <c r="S3302" s="1394">
        <f>IFERROR(VLOOKUP(M3302,#REF!,6,0),0)</f>
        <v>0</v>
      </c>
      <c r="T3302" s="1394">
        <f t="shared" si="928"/>
        <v>0</v>
      </c>
      <c r="U3302" s="1394">
        <f>IFERROR(VLOOKUP(M3302,#REF!,5,0),0)</f>
        <v>0</v>
      </c>
      <c r="V3302" s="1394">
        <f t="shared" si="929"/>
        <v>0</v>
      </c>
    </row>
    <row r="3303" spans="1:22" s="1394" customFormat="1" ht="30" customHeight="1">
      <c r="B3303" s="1421"/>
      <c r="C3303" s="1422" t="s">
        <v>5898</v>
      </c>
      <c r="D3303" s="1389">
        <v>1</v>
      </c>
      <c r="E3303" s="1389">
        <v>1</v>
      </c>
      <c r="F3303" s="1423"/>
      <c r="G3303" s="1423" t="s">
        <v>442</v>
      </c>
      <c r="H3303" s="1424" t="s">
        <v>442</v>
      </c>
      <c r="I3303" s="1425">
        <f t="shared" si="933"/>
        <v>1</v>
      </c>
      <c r="M3303" s="1426"/>
      <c r="Q3303" s="1394">
        <f>IFERROR(VLOOKUP(M3303,#REF!,3,0),0)</f>
        <v>0</v>
      </c>
      <c r="R3303" s="1394">
        <f t="shared" si="925"/>
        <v>0</v>
      </c>
      <c r="S3303" s="1394">
        <f>IFERROR(VLOOKUP(M3303,#REF!,6,0),0)</f>
        <v>0</v>
      </c>
      <c r="T3303" s="1394">
        <f t="shared" si="928"/>
        <v>0</v>
      </c>
      <c r="U3303" s="1394">
        <f>IFERROR(VLOOKUP(M3303,#REF!,5,0),0)</f>
        <v>0</v>
      </c>
      <c r="V3303" s="1394">
        <f t="shared" si="929"/>
        <v>0</v>
      </c>
    </row>
    <row r="3304" spans="1:22" s="1394" customFormat="1" ht="30" customHeight="1">
      <c r="B3304" s="1421"/>
      <c r="C3304" s="1422" t="s">
        <v>5898</v>
      </c>
      <c r="D3304" s="1389">
        <v>1</v>
      </c>
      <c r="E3304" s="1389">
        <v>1</v>
      </c>
      <c r="F3304" s="1423"/>
      <c r="G3304" s="1423" t="s">
        <v>442</v>
      </c>
      <c r="H3304" s="1424" t="s">
        <v>442</v>
      </c>
      <c r="I3304" s="1425">
        <f t="shared" si="933"/>
        <v>1</v>
      </c>
      <c r="M3304" s="1426"/>
      <c r="Q3304" s="1394">
        <f>IFERROR(VLOOKUP(M3304,#REF!,3,0),0)</f>
        <v>0</v>
      </c>
      <c r="R3304" s="1394">
        <f t="shared" si="925"/>
        <v>0</v>
      </c>
      <c r="S3304" s="1394">
        <f>IFERROR(VLOOKUP(M3304,#REF!,6,0),0)</f>
        <v>0</v>
      </c>
      <c r="T3304" s="1394">
        <f t="shared" si="928"/>
        <v>0</v>
      </c>
      <c r="U3304" s="1394">
        <f>IFERROR(VLOOKUP(M3304,#REF!,5,0),0)</f>
        <v>0</v>
      </c>
      <c r="V3304" s="1394">
        <f t="shared" si="929"/>
        <v>0</v>
      </c>
    </row>
    <row r="3305" spans="1:22" s="1394" customFormat="1" ht="30" customHeight="1">
      <c r="B3305" s="1421"/>
      <c r="C3305" s="1457" t="s">
        <v>5504</v>
      </c>
      <c r="D3305" s="1389"/>
      <c r="E3305" s="1389"/>
      <c r="F3305" s="1423"/>
      <c r="G3305" s="1423"/>
      <c r="H3305" s="1424"/>
      <c r="I3305" s="1425">
        <f t="shared" si="933"/>
        <v>0</v>
      </c>
      <c r="M3305" s="1426"/>
      <c r="Q3305" s="1394">
        <f>IFERROR(VLOOKUP(M3305,#REF!,3,0),0)</f>
        <v>0</v>
      </c>
      <c r="R3305" s="1394">
        <f t="shared" si="925"/>
        <v>0</v>
      </c>
      <c r="S3305" s="1394">
        <f>IFERROR(VLOOKUP(M3305,#REF!,6,0),0)</f>
        <v>0</v>
      </c>
      <c r="T3305" s="1394">
        <f t="shared" si="928"/>
        <v>0</v>
      </c>
      <c r="U3305" s="1394">
        <f>IFERROR(VLOOKUP(M3305,#REF!,5,0),0)</f>
        <v>0</v>
      </c>
      <c r="V3305" s="1394">
        <f t="shared" si="929"/>
        <v>0</v>
      </c>
    </row>
    <row r="3306" spans="1:22" s="1394" customFormat="1" ht="30" customHeight="1">
      <c r="B3306" s="1421"/>
      <c r="C3306" s="1422" t="s">
        <v>5562</v>
      </c>
      <c r="D3306" s="1389">
        <v>1</v>
      </c>
      <c r="E3306" s="1389">
        <v>1</v>
      </c>
      <c r="F3306" s="1423"/>
      <c r="G3306" s="1423" t="s">
        <v>442</v>
      </c>
      <c r="H3306" s="1424" t="s">
        <v>442</v>
      </c>
      <c r="I3306" s="1425">
        <f t="shared" si="933"/>
        <v>1</v>
      </c>
      <c r="M3306" s="1426"/>
      <c r="Q3306" s="1394">
        <f>IFERROR(VLOOKUP(M3306,#REF!,3,0),0)</f>
        <v>0</v>
      </c>
      <c r="R3306" s="1394">
        <f t="shared" si="925"/>
        <v>0</v>
      </c>
      <c r="S3306" s="1394">
        <f>IFERROR(VLOOKUP(M3306,#REF!,6,0),0)</f>
        <v>0</v>
      </c>
      <c r="T3306" s="1394">
        <f t="shared" si="928"/>
        <v>0</v>
      </c>
      <c r="U3306" s="1394">
        <f>IFERROR(VLOOKUP(M3306,#REF!,5,0),0)</f>
        <v>0</v>
      </c>
      <c r="V3306" s="1394">
        <f t="shared" si="929"/>
        <v>0</v>
      </c>
    </row>
    <row r="3307" spans="1:22" s="1394" customFormat="1" ht="30" customHeight="1">
      <c r="B3307" s="1421"/>
      <c r="C3307" s="1422" t="s">
        <v>5563</v>
      </c>
      <c r="D3307" s="1389">
        <v>1</v>
      </c>
      <c r="E3307" s="1389">
        <v>1</v>
      </c>
      <c r="F3307" s="1423"/>
      <c r="G3307" s="1423" t="s">
        <v>442</v>
      </c>
      <c r="H3307" s="1424" t="s">
        <v>442</v>
      </c>
      <c r="I3307" s="1425">
        <f t="shared" si="933"/>
        <v>1</v>
      </c>
      <c r="M3307" s="1426"/>
      <c r="Q3307" s="1394">
        <f>IFERROR(VLOOKUP(M3307,#REF!,3,0),0)</f>
        <v>0</v>
      </c>
      <c r="R3307" s="1394">
        <f t="shared" si="925"/>
        <v>0</v>
      </c>
      <c r="S3307" s="1394">
        <f>IFERROR(VLOOKUP(M3307,#REF!,6,0),0)</f>
        <v>0</v>
      </c>
      <c r="T3307" s="1394">
        <f t="shared" si="928"/>
        <v>0</v>
      </c>
      <c r="U3307" s="1394">
        <f>IFERROR(VLOOKUP(M3307,#REF!,5,0),0)</f>
        <v>0</v>
      </c>
      <c r="V3307" s="1394">
        <f t="shared" si="929"/>
        <v>0</v>
      </c>
    </row>
    <row r="3308" spans="1:22" s="1394" customFormat="1" ht="30" customHeight="1">
      <c r="B3308" s="1421"/>
      <c r="C3308" s="1422" t="s">
        <v>5564</v>
      </c>
      <c r="D3308" s="1389">
        <v>1</v>
      </c>
      <c r="E3308" s="1389">
        <v>1</v>
      </c>
      <c r="F3308" s="1423"/>
      <c r="G3308" s="1423" t="s">
        <v>442</v>
      </c>
      <c r="H3308" s="1424" t="s">
        <v>442</v>
      </c>
      <c r="I3308" s="1425">
        <f t="shared" si="933"/>
        <v>1</v>
      </c>
      <c r="M3308" s="1426"/>
      <c r="Q3308" s="1394">
        <f>IFERROR(VLOOKUP(M3308,#REF!,3,0),0)</f>
        <v>0</v>
      </c>
      <c r="R3308" s="1394">
        <f t="shared" si="925"/>
        <v>0</v>
      </c>
      <c r="S3308" s="1394">
        <f>IFERROR(VLOOKUP(M3308,#REF!,6,0),0)</f>
        <v>0</v>
      </c>
      <c r="T3308" s="1394">
        <f t="shared" si="928"/>
        <v>0</v>
      </c>
      <c r="U3308" s="1394">
        <f>IFERROR(VLOOKUP(M3308,#REF!,5,0),0)</f>
        <v>0</v>
      </c>
      <c r="V3308" s="1394">
        <f t="shared" si="929"/>
        <v>0</v>
      </c>
    </row>
    <row r="3309" spans="1:22" s="1394" customFormat="1" ht="30" customHeight="1">
      <c r="B3309" s="1421"/>
      <c r="C3309" s="1422" t="s">
        <v>5565</v>
      </c>
      <c r="D3309" s="1389">
        <v>1</v>
      </c>
      <c r="E3309" s="1389">
        <v>1</v>
      </c>
      <c r="F3309" s="1423"/>
      <c r="G3309" s="1423" t="s">
        <v>442</v>
      </c>
      <c r="H3309" s="1424" t="s">
        <v>442</v>
      </c>
      <c r="I3309" s="1425">
        <f t="shared" si="933"/>
        <v>1</v>
      </c>
      <c r="M3309" s="1426"/>
      <c r="Q3309" s="1394">
        <f>IFERROR(VLOOKUP(M3309,#REF!,3,0),0)</f>
        <v>0</v>
      </c>
      <c r="R3309" s="1394">
        <f t="shared" si="925"/>
        <v>0</v>
      </c>
      <c r="S3309" s="1394">
        <f>IFERROR(VLOOKUP(M3309,#REF!,6,0),0)</f>
        <v>0</v>
      </c>
      <c r="T3309" s="1394">
        <f t="shared" si="928"/>
        <v>0</v>
      </c>
      <c r="U3309" s="1394">
        <f>IFERROR(VLOOKUP(M3309,#REF!,5,0),0)</f>
        <v>0</v>
      </c>
      <c r="V3309" s="1394">
        <f t="shared" si="929"/>
        <v>0</v>
      </c>
    </row>
    <row r="3310" spans="1:22" s="1394" customFormat="1" ht="30" customHeight="1">
      <c r="B3310" s="1421"/>
      <c r="C3310" s="1422" t="s">
        <v>5550</v>
      </c>
      <c r="D3310" s="1389">
        <v>1</v>
      </c>
      <c r="E3310" s="1389">
        <v>1</v>
      </c>
      <c r="F3310" s="1423"/>
      <c r="G3310" s="1423" t="s">
        <v>442</v>
      </c>
      <c r="H3310" s="1424" t="s">
        <v>442</v>
      </c>
      <c r="I3310" s="1425">
        <f t="shared" si="933"/>
        <v>1</v>
      </c>
      <c r="M3310" s="1426"/>
      <c r="Q3310" s="1394">
        <f>IFERROR(VLOOKUP(M3310,#REF!,3,0),0)</f>
        <v>0</v>
      </c>
      <c r="R3310" s="1394">
        <f t="shared" ref="R3310:R3373" si="934">ROUND(O3310,2)*ROUND(Q3310,2)</f>
        <v>0</v>
      </c>
      <c r="S3310" s="1394">
        <f>IFERROR(VLOOKUP(M3310,#REF!,6,0),0)</f>
        <v>0</v>
      </c>
      <c r="T3310" s="1394">
        <f t="shared" si="928"/>
        <v>0</v>
      </c>
      <c r="U3310" s="1394">
        <f>IFERROR(VLOOKUP(M3310,#REF!,5,0),0)</f>
        <v>0</v>
      </c>
      <c r="V3310" s="1394">
        <f t="shared" si="929"/>
        <v>0</v>
      </c>
    </row>
    <row r="3311" spans="1:22" s="1394" customFormat="1" ht="30" customHeight="1">
      <c r="B3311" s="1421"/>
      <c r="C3311" s="1422" t="s">
        <v>5898</v>
      </c>
      <c r="D3311" s="1389">
        <v>1</v>
      </c>
      <c r="E3311" s="1389">
        <v>1</v>
      </c>
      <c r="F3311" s="1423"/>
      <c r="G3311" s="1423" t="s">
        <v>442</v>
      </c>
      <c r="H3311" s="1424" t="s">
        <v>442</v>
      </c>
      <c r="I3311" s="1425">
        <f t="shared" si="933"/>
        <v>1</v>
      </c>
      <c r="M3311" s="1426"/>
      <c r="Q3311" s="1394">
        <f>IFERROR(VLOOKUP(M3311,#REF!,3,0),0)</f>
        <v>0</v>
      </c>
      <c r="R3311" s="1394">
        <f t="shared" si="934"/>
        <v>0</v>
      </c>
      <c r="S3311" s="1394">
        <f>IFERROR(VLOOKUP(M3311,#REF!,6,0),0)</f>
        <v>0</v>
      </c>
      <c r="T3311" s="1394">
        <f t="shared" si="928"/>
        <v>0</v>
      </c>
      <c r="U3311" s="1394">
        <f>IFERROR(VLOOKUP(M3311,#REF!,5,0),0)</f>
        <v>0</v>
      </c>
      <c r="V3311" s="1394">
        <f t="shared" si="929"/>
        <v>0</v>
      </c>
    </row>
    <row r="3312" spans="1:22" s="1394" customFormat="1" ht="30" customHeight="1">
      <c r="B3312" s="1421"/>
      <c r="C3312" s="1422" t="s">
        <v>5898</v>
      </c>
      <c r="D3312" s="1389">
        <v>1</v>
      </c>
      <c r="E3312" s="1389">
        <v>1</v>
      </c>
      <c r="F3312" s="1423"/>
      <c r="G3312" s="1423" t="s">
        <v>442</v>
      </c>
      <c r="H3312" s="1424" t="s">
        <v>442</v>
      </c>
      <c r="I3312" s="1425">
        <f t="shared" si="933"/>
        <v>1</v>
      </c>
      <c r="M3312" s="1426"/>
      <c r="Q3312" s="1394">
        <f>IFERROR(VLOOKUP(M3312,#REF!,3,0),0)</f>
        <v>0</v>
      </c>
      <c r="R3312" s="1394">
        <f t="shared" si="934"/>
        <v>0</v>
      </c>
      <c r="S3312" s="1394">
        <f>IFERROR(VLOOKUP(M3312,#REF!,6,0),0)</f>
        <v>0</v>
      </c>
      <c r="T3312" s="1394">
        <f t="shared" si="928"/>
        <v>0</v>
      </c>
      <c r="U3312" s="1394">
        <f>IFERROR(VLOOKUP(M3312,#REF!,5,0),0)</f>
        <v>0</v>
      </c>
      <c r="V3312" s="1394">
        <f t="shared" si="929"/>
        <v>0</v>
      </c>
    </row>
    <row r="3313" spans="1:24" s="1394" customFormat="1" ht="30" customHeight="1">
      <c r="B3313" s="1421"/>
      <c r="C3313" s="1457" t="s">
        <v>5505</v>
      </c>
      <c r="D3313" s="1389"/>
      <c r="E3313" s="1389"/>
      <c r="F3313" s="1423"/>
      <c r="G3313" s="1423"/>
      <c r="H3313" s="1424"/>
      <c r="I3313" s="1425">
        <f t="shared" si="933"/>
        <v>0</v>
      </c>
      <c r="M3313" s="1426"/>
      <c r="Q3313" s="1394">
        <f>IFERROR(VLOOKUP(M3313,#REF!,3,0),0)</f>
        <v>0</v>
      </c>
      <c r="R3313" s="1394">
        <f t="shared" si="934"/>
        <v>0</v>
      </c>
      <c r="S3313" s="1394">
        <f>IFERROR(VLOOKUP(M3313,#REF!,6,0),0)</f>
        <v>0</v>
      </c>
      <c r="T3313" s="1394">
        <f t="shared" si="928"/>
        <v>0</v>
      </c>
      <c r="U3313" s="1394">
        <f>IFERROR(VLOOKUP(M3313,#REF!,5,0),0)</f>
        <v>0</v>
      </c>
      <c r="V3313" s="1394">
        <f t="shared" si="929"/>
        <v>0</v>
      </c>
    </row>
    <row r="3314" spans="1:24" s="1394" customFormat="1" ht="30" customHeight="1">
      <c r="B3314" s="1421"/>
      <c r="C3314" s="1422" t="s">
        <v>5570</v>
      </c>
      <c r="D3314" s="1389">
        <v>1</v>
      </c>
      <c r="E3314" s="1389">
        <v>1</v>
      </c>
      <c r="F3314" s="1423"/>
      <c r="G3314" s="1423" t="s">
        <v>442</v>
      </c>
      <c r="H3314" s="1424" t="s">
        <v>442</v>
      </c>
      <c r="I3314" s="1425">
        <f t="shared" si="933"/>
        <v>1</v>
      </c>
      <c r="M3314" s="1426"/>
      <c r="Q3314" s="1394">
        <f>IFERROR(VLOOKUP(M3314,#REF!,3,0),0)</f>
        <v>0</v>
      </c>
      <c r="R3314" s="1394">
        <f t="shared" si="934"/>
        <v>0</v>
      </c>
      <c r="S3314" s="1394">
        <f>IFERROR(VLOOKUP(M3314,#REF!,6,0),0)</f>
        <v>0</v>
      </c>
      <c r="T3314" s="1394">
        <f t="shared" si="928"/>
        <v>0</v>
      </c>
      <c r="U3314" s="1394">
        <f>IFERROR(VLOOKUP(M3314,#REF!,5,0),0)</f>
        <v>0</v>
      </c>
      <c r="V3314" s="1394">
        <f t="shared" si="929"/>
        <v>0</v>
      </c>
    </row>
    <row r="3315" spans="1:24" s="1394" customFormat="1" ht="30" customHeight="1">
      <c r="B3315" s="1421"/>
      <c r="C3315" s="1422" t="s">
        <v>5571</v>
      </c>
      <c r="D3315" s="1389">
        <v>1</v>
      </c>
      <c r="E3315" s="1389">
        <v>1</v>
      </c>
      <c r="F3315" s="1423"/>
      <c r="G3315" s="1423" t="s">
        <v>442</v>
      </c>
      <c r="H3315" s="1424" t="s">
        <v>442</v>
      </c>
      <c r="I3315" s="1425">
        <f t="shared" si="933"/>
        <v>1</v>
      </c>
      <c r="M3315" s="1426"/>
      <c r="Q3315" s="1394">
        <f>IFERROR(VLOOKUP(M3315,#REF!,3,0),0)</f>
        <v>0</v>
      </c>
      <c r="R3315" s="1394">
        <f t="shared" si="934"/>
        <v>0</v>
      </c>
      <c r="S3315" s="1394">
        <f>IFERROR(VLOOKUP(M3315,#REF!,6,0),0)</f>
        <v>0</v>
      </c>
      <c r="T3315" s="1394">
        <f t="shared" si="928"/>
        <v>0</v>
      </c>
      <c r="U3315" s="1394">
        <f>IFERROR(VLOOKUP(M3315,#REF!,5,0),0)</f>
        <v>0</v>
      </c>
      <c r="V3315" s="1394">
        <f t="shared" si="929"/>
        <v>0</v>
      </c>
    </row>
    <row r="3316" spans="1:24" s="1394" customFormat="1" ht="30" customHeight="1">
      <c r="B3316" s="1421"/>
      <c r="C3316" s="1422" t="s">
        <v>5570</v>
      </c>
      <c r="D3316" s="1389">
        <v>1</v>
      </c>
      <c r="E3316" s="1389">
        <v>1</v>
      </c>
      <c r="F3316" s="1423"/>
      <c r="G3316" s="1423" t="s">
        <v>442</v>
      </c>
      <c r="H3316" s="1424" t="s">
        <v>442</v>
      </c>
      <c r="I3316" s="1425">
        <f t="shared" si="933"/>
        <v>1</v>
      </c>
      <c r="M3316" s="1426"/>
      <c r="Q3316" s="1394">
        <f>IFERROR(VLOOKUP(M3316,#REF!,3,0),0)</f>
        <v>0</v>
      </c>
      <c r="R3316" s="1394">
        <f t="shared" si="934"/>
        <v>0</v>
      </c>
      <c r="S3316" s="1394">
        <f>IFERROR(VLOOKUP(M3316,#REF!,6,0),0)</f>
        <v>0</v>
      </c>
      <c r="T3316" s="1394">
        <f t="shared" si="928"/>
        <v>0</v>
      </c>
      <c r="U3316" s="1394">
        <f>IFERROR(VLOOKUP(M3316,#REF!,5,0),0)</f>
        <v>0</v>
      </c>
      <c r="V3316" s="1394">
        <f t="shared" si="929"/>
        <v>0</v>
      </c>
    </row>
    <row r="3317" spans="1:24" s="1394" customFormat="1" ht="30" customHeight="1">
      <c r="B3317" s="1421"/>
      <c r="C3317" s="1422" t="s">
        <v>5571</v>
      </c>
      <c r="D3317" s="1389">
        <v>1</v>
      </c>
      <c r="E3317" s="1389">
        <v>1</v>
      </c>
      <c r="F3317" s="1423"/>
      <c r="G3317" s="1423" t="s">
        <v>442</v>
      </c>
      <c r="H3317" s="1424" t="s">
        <v>442</v>
      </c>
      <c r="I3317" s="1425">
        <f t="shared" si="933"/>
        <v>1</v>
      </c>
      <c r="M3317" s="1426"/>
      <c r="Q3317" s="1394">
        <f>IFERROR(VLOOKUP(M3317,#REF!,3,0),0)</f>
        <v>0</v>
      </c>
      <c r="R3317" s="1394">
        <f t="shared" si="934"/>
        <v>0</v>
      </c>
      <c r="S3317" s="1394">
        <f>IFERROR(VLOOKUP(M3317,#REF!,6,0),0)</f>
        <v>0</v>
      </c>
      <c r="T3317" s="1394">
        <f t="shared" si="928"/>
        <v>0</v>
      </c>
      <c r="U3317" s="1394">
        <f>IFERROR(VLOOKUP(M3317,#REF!,5,0),0)</f>
        <v>0</v>
      </c>
      <c r="V3317" s="1394">
        <f t="shared" si="929"/>
        <v>0</v>
      </c>
    </row>
    <row r="3318" spans="1:24" s="1394" customFormat="1" ht="30" customHeight="1">
      <c r="B3318" s="1421"/>
      <c r="C3318" s="1422" t="s">
        <v>5572</v>
      </c>
      <c r="D3318" s="1389">
        <v>1</v>
      </c>
      <c r="E3318" s="1389">
        <v>1</v>
      </c>
      <c r="F3318" s="1423"/>
      <c r="G3318" s="1423" t="s">
        <v>442</v>
      </c>
      <c r="H3318" s="1424" t="s">
        <v>442</v>
      </c>
      <c r="I3318" s="1425">
        <f t="shared" si="933"/>
        <v>1</v>
      </c>
      <c r="M3318" s="1426"/>
      <c r="Q3318" s="1394">
        <f>IFERROR(VLOOKUP(M3318,#REF!,3,0),0)</f>
        <v>0</v>
      </c>
      <c r="R3318" s="1394">
        <f t="shared" si="934"/>
        <v>0</v>
      </c>
      <c r="S3318" s="1394">
        <f>IFERROR(VLOOKUP(M3318,#REF!,6,0),0)</f>
        <v>0</v>
      </c>
      <c r="T3318" s="1394">
        <f t="shared" si="928"/>
        <v>0</v>
      </c>
      <c r="U3318" s="1394">
        <f>IFERROR(VLOOKUP(M3318,#REF!,5,0),0)</f>
        <v>0</v>
      </c>
      <c r="V3318" s="1394">
        <f t="shared" si="929"/>
        <v>0</v>
      </c>
    </row>
    <row r="3319" spans="1:24" s="1394" customFormat="1" ht="30" customHeight="1">
      <c r="B3319" s="1421"/>
      <c r="C3319" s="1422" t="s">
        <v>5573</v>
      </c>
      <c r="D3319" s="1389">
        <v>1</v>
      </c>
      <c r="E3319" s="1389">
        <v>1</v>
      </c>
      <c r="F3319" s="1423"/>
      <c r="G3319" s="1423" t="s">
        <v>442</v>
      </c>
      <c r="H3319" s="1424" t="s">
        <v>442</v>
      </c>
      <c r="I3319" s="1425">
        <f t="shared" ref="I3319" si="935">PRODUCT(D3319:H3319)</f>
        <v>1</v>
      </c>
      <c r="M3319" s="1426"/>
      <c r="Q3319" s="1394">
        <f>IFERROR(VLOOKUP(M3319,#REF!,3,0),0)</f>
        <v>0</v>
      </c>
      <c r="R3319" s="1394">
        <f t="shared" si="934"/>
        <v>0</v>
      </c>
      <c r="S3319" s="1394">
        <f>IFERROR(VLOOKUP(M3319,#REF!,6,0),0)</f>
        <v>0</v>
      </c>
      <c r="T3319" s="1394">
        <f t="shared" si="928"/>
        <v>0</v>
      </c>
      <c r="U3319" s="1394">
        <f>IFERROR(VLOOKUP(M3319,#REF!,5,0),0)</f>
        <v>0</v>
      </c>
      <c r="V3319" s="1394">
        <f t="shared" si="929"/>
        <v>0</v>
      </c>
    </row>
    <row r="3320" spans="1:24" s="1394" customFormat="1" ht="30" customHeight="1">
      <c r="B3320" s="1421"/>
      <c r="C3320" s="1455"/>
      <c r="D3320" s="103"/>
      <c r="E3320" s="103"/>
      <c r="F3320" s="1413"/>
      <c r="G3320" s="1423"/>
      <c r="H3320" s="1424"/>
      <c r="I3320" s="1427">
        <f>SUM(I3298:I3319)</f>
        <v>19</v>
      </c>
      <c r="M3320" s="1426"/>
      <c r="Q3320" s="1394">
        <f>IFERROR(VLOOKUP(M3320,#REF!,3,0),0)</f>
        <v>0</v>
      </c>
      <c r="R3320" s="1394">
        <f t="shared" si="934"/>
        <v>0</v>
      </c>
      <c r="S3320" s="1394">
        <f>IFERROR(VLOOKUP(M3320,#REF!,6,0),0)</f>
        <v>0</v>
      </c>
      <c r="T3320" s="1394">
        <f t="shared" si="928"/>
        <v>0</v>
      </c>
      <c r="U3320" s="1394">
        <f>IFERROR(VLOOKUP(M3320,#REF!,5,0),0)</f>
        <v>0</v>
      </c>
      <c r="V3320" s="1394">
        <f t="shared" si="929"/>
        <v>0</v>
      </c>
    </row>
    <row r="3321" spans="1:24" s="1394" customFormat="1" ht="30" customHeight="1">
      <c r="B3321" s="1421"/>
      <c r="C3321" s="1422"/>
      <c r="D3321" s="1389"/>
      <c r="E3321" s="1389"/>
      <c r="F3321" s="1423"/>
      <c r="G3321" s="1428" t="s">
        <v>11</v>
      </c>
      <c r="H3321" s="1429">
        <f>I3320</f>
        <v>19</v>
      </c>
      <c r="I3321" s="1427" t="s">
        <v>13</v>
      </c>
      <c r="M3321" s="1394" t="str">
        <f>A3297</f>
        <v>S &amp; F 20 mm dia Alu. Hanger Rod</v>
      </c>
      <c r="N3321" s="1394">
        <f>B3297</f>
        <v>46</v>
      </c>
      <c r="O3321" s="1394">
        <f>H3321</f>
        <v>19</v>
      </c>
      <c r="P3321" s="1394" t="str">
        <f>I3321</f>
        <v>Nos</v>
      </c>
      <c r="Q3321" s="1394">
        <f>IFERROR(VLOOKUP(M3321,#REF!,3,0),0)</f>
        <v>0</v>
      </c>
      <c r="R3321" s="1394">
        <f t="shared" si="934"/>
        <v>0</v>
      </c>
      <c r="S3321" s="1394">
        <f>IFERROR(VLOOKUP(M3321,#REF!,6,0),0)</f>
        <v>0</v>
      </c>
      <c r="T3321" s="1394">
        <f t="shared" si="928"/>
        <v>0</v>
      </c>
      <c r="U3321" s="1394">
        <f>IFERROR(VLOOKUP(M3321,#REF!,5,0),0)</f>
        <v>0</v>
      </c>
      <c r="V3321" s="1394">
        <f t="shared" si="929"/>
        <v>19</v>
      </c>
    </row>
    <row r="3322" spans="1:24" ht="52.5" customHeight="1">
      <c r="A3322" s="110" t="s">
        <v>443</v>
      </c>
      <c r="B3322" s="1513">
        <v>47</v>
      </c>
      <c r="C3322" s="1678" t="e">
        <f>VLOOKUP(A3322,#REF!,2,0)</f>
        <v>#REF!</v>
      </c>
      <c r="D3322" s="1678"/>
      <c r="E3322" s="1678"/>
      <c r="F3322" s="1678"/>
      <c r="G3322" s="1678"/>
      <c r="H3322" s="1678"/>
      <c r="I3322" s="1406"/>
      <c r="Q3322" s="1394">
        <f>IFERROR(VLOOKUP(M3322,#REF!,3,0),0)</f>
        <v>0</v>
      </c>
      <c r="R3322" s="1394">
        <f t="shared" si="934"/>
        <v>0</v>
      </c>
      <c r="S3322" s="1394">
        <f>IFERROR(VLOOKUP(M3322,#REF!,6,0),0)</f>
        <v>0</v>
      </c>
      <c r="T3322" s="1394">
        <f t="shared" si="928"/>
        <v>0</v>
      </c>
      <c r="U3322" s="1394">
        <f>IFERROR(VLOOKUP(M3322,#REF!,5,0),0)</f>
        <v>0</v>
      </c>
      <c r="V3322" s="1394">
        <f t="shared" si="929"/>
        <v>0</v>
      </c>
      <c r="W3322" s="1394"/>
      <c r="X3322" s="1397"/>
    </row>
    <row r="3323" spans="1:24" ht="30" customHeight="1">
      <c r="B3323" s="1407"/>
      <c r="C3323" s="1457" t="str">
        <f t="shared" ref="C3323:I3332" si="936">C3298</f>
        <v>FIRST FLOOR</v>
      </c>
      <c r="D3323" s="1389">
        <f t="shared" si="936"/>
        <v>0</v>
      </c>
      <c r="E3323" s="1389">
        <f t="shared" si="936"/>
        <v>0</v>
      </c>
      <c r="F3323" s="1423">
        <f t="shared" si="936"/>
        <v>0</v>
      </c>
      <c r="G3323" s="1423">
        <f t="shared" si="936"/>
        <v>0</v>
      </c>
      <c r="H3323" s="1424">
        <f t="shared" si="936"/>
        <v>0</v>
      </c>
      <c r="I3323" s="1425">
        <f t="shared" si="936"/>
        <v>0</v>
      </c>
      <c r="M3323" s="110"/>
      <c r="Q3323" s="1394">
        <f>IFERROR(VLOOKUP(M3323,#REF!,3,0),0)</f>
        <v>0</v>
      </c>
      <c r="R3323" s="1394">
        <f t="shared" si="934"/>
        <v>0</v>
      </c>
      <c r="S3323" s="1394">
        <f>IFERROR(VLOOKUP(M3323,#REF!,6,0),0)</f>
        <v>0</v>
      </c>
      <c r="T3323" s="1394">
        <f t="shared" si="928"/>
        <v>0</v>
      </c>
      <c r="U3323" s="1394">
        <f>IFERROR(VLOOKUP(M3323,#REF!,5,0),0)</f>
        <v>0</v>
      </c>
      <c r="V3323" s="1394">
        <f t="shared" si="929"/>
        <v>0</v>
      </c>
      <c r="W3323" s="1394"/>
    </row>
    <row r="3324" spans="1:24" ht="30" customHeight="1">
      <c r="B3324" s="1407"/>
      <c r="C3324" s="1422" t="str">
        <f t="shared" si="936"/>
        <v>SI ROOM</v>
      </c>
      <c r="D3324" s="1389">
        <f t="shared" si="936"/>
        <v>1</v>
      </c>
      <c r="E3324" s="1389">
        <f t="shared" si="936"/>
        <v>1</v>
      </c>
      <c r="F3324" s="1423">
        <f t="shared" si="936"/>
        <v>0</v>
      </c>
      <c r="G3324" s="1423" t="str">
        <f t="shared" si="936"/>
        <v>-</v>
      </c>
      <c r="H3324" s="1424" t="str">
        <f t="shared" si="936"/>
        <v>-</v>
      </c>
      <c r="I3324" s="1425">
        <f t="shared" si="936"/>
        <v>1</v>
      </c>
      <c r="M3324" s="110"/>
      <c r="Q3324" s="1394">
        <f>IFERROR(VLOOKUP(M3324,#REF!,3,0),0)</f>
        <v>0</v>
      </c>
      <c r="R3324" s="1394">
        <f t="shared" si="934"/>
        <v>0</v>
      </c>
      <c r="S3324" s="1394">
        <f>IFERROR(VLOOKUP(M3324,#REF!,6,0),0)</f>
        <v>0</v>
      </c>
      <c r="T3324" s="1394">
        <f t="shared" si="928"/>
        <v>0</v>
      </c>
      <c r="U3324" s="1394">
        <f>IFERROR(VLOOKUP(M3324,#REF!,5,0),0)</f>
        <v>0</v>
      </c>
      <c r="V3324" s="1394">
        <f t="shared" si="929"/>
        <v>0</v>
      </c>
      <c r="W3324" s="1394"/>
    </row>
    <row r="3325" spans="1:24" ht="30" customHeight="1">
      <c r="B3325" s="1407"/>
      <c r="C3325" s="1422" t="str">
        <f t="shared" si="936"/>
        <v>SI TOILET</v>
      </c>
      <c r="D3325" s="1389">
        <f t="shared" si="936"/>
        <v>1</v>
      </c>
      <c r="E3325" s="1389">
        <f t="shared" si="936"/>
        <v>1</v>
      </c>
      <c r="F3325" s="1423">
        <f t="shared" si="936"/>
        <v>0</v>
      </c>
      <c r="G3325" s="1423" t="str">
        <f t="shared" si="936"/>
        <v>-</v>
      </c>
      <c r="H3325" s="1424" t="str">
        <f t="shared" si="936"/>
        <v>-</v>
      </c>
      <c r="I3325" s="1425">
        <f t="shared" si="936"/>
        <v>1</v>
      </c>
      <c r="M3325" s="110"/>
      <c r="Q3325" s="1394">
        <f>IFERROR(VLOOKUP(M3325,#REF!,3,0),0)</f>
        <v>0</v>
      </c>
      <c r="R3325" s="1394">
        <f t="shared" si="934"/>
        <v>0</v>
      </c>
      <c r="S3325" s="1394">
        <f>IFERROR(VLOOKUP(M3325,#REF!,6,0),0)</f>
        <v>0</v>
      </c>
      <c r="T3325" s="1394">
        <f t="shared" si="928"/>
        <v>0</v>
      </c>
      <c r="U3325" s="1394">
        <f>IFERROR(VLOOKUP(M3325,#REF!,5,0),0)</f>
        <v>0</v>
      </c>
      <c r="V3325" s="1394">
        <f t="shared" si="929"/>
        <v>0</v>
      </c>
      <c r="W3325" s="1394"/>
    </row>
    <row r="3326" spans="1:24" ht="30" customHeight="1">
      <c r="B3326" s="1407"/>
      <c r="C3326" s="1422" t="str">
        <f t="shared" si="936"/>
        <v>INS ROOM</v>
      </c>
      <c r="D3326" s="1389">
        <f t="shared" si="936"/>
        <v>1</v>
      </c>
      <c r="E3326" s="1389">
        <f t="shared" si="936"/>
        <v>1</v>
      </c>
      <c r="F3326" s="1423">
        <f t="shared" si="936"/>
        <v>0</v>
      </c>
      <c r="G3326" s="1423" t="str">
        <f t="shared" si="936"/>
        <v>-</v>
      </c>
      <c r="H3326" s="1424" t="str">
        <f t="shared" si="936"/>
        <v>-</v>
      </c>
      <c r="I3326" s="1425">
        <f t="shared" si="936"/>
        <v>1</v>
      </c>
      <c r="M3326" s="110"/>
      <c r="Q3326" s="1394">
        <f>IFERROR(VLOOKUP(M3326,#REF!,3,0),0)</f>
        <v>0</v>
      </c>
      <c r="R3326" s="1394">
        <f t="shared" si="934"/>
        <v>0</v>
      </c>
      <c r="S3326" s="1394">
        <f>IFERROR(VLOOKUP(M3326,#REF!,6,0),0)</f>
        <v>0</v>
      </c>
      <c r="T3326" s="1394">
        <f t="shared" si="928"/>
        <v>0</v>
      </c>
      <c r="U3326" s="1394">
        <f>IFERROR(VLOOKUP(M3326,#REF!,5,0),0)</f>
        <v>0</v>
      </c>
      <c r="V3326" s="1394">
        <f t="shared" si="929"/>
        <v>0</v>
      </c>
      <c r="W3326" s="1394"/>
    </row>
    <row r="3327" spans="1:24" ht="30" customHeight="1">
      <c r="B3327" s="1407"/>
      <c r="C3327" s="1422" t="str">
        <f t="shared" si="936"/>
        <v>INS TOILET</v>
      </c>
      <c r="D3327" s="1389">
        <f t="shared" si="936"/>
        <v>1</v>
      </c>
      <c r="E3327" s="1389">
        <f t="shared" si="936"/>
        <v>1</v>
      </c>
      <c r="F3327" s="1423">
        <f t="shared" si="936"/>
        <v>0</v>
      </c>
      <c r="G3327" s="1423" t="str">
        <f t="shared" si="936"/>
        <v>-</v>
      </c>
      <c r="H3327" s="1424" t="str">
        <f t="shared" si="936"/>
        <v>-</v>
      </c>
      <c r="I3327" s="1425">
        <f t="shared" si="936"/>
        <v>1</v>
      </c>
      <c r="M3327" s="110"/>
      <c r="Q3327" s="1394">
        <f>IFERROR(VLOOKUP(M3327,#REF!,3,0),0)</f>
        <v>0</v>
      </c>
      <c r="R3327" s="1394">
        <f t="shared" si="934"/>
        <v>0</v>
      </c>
      <c r="S3327" s="1394">
        <f>IFERROR(VLOOKUP(M3327,#REF!,6,0),0)</f>
        <v>0</v>
      </c>
      <c r="T3327" s="1394">
        <f t="shared" si="928"/>
        <v>0</v>
      </c>
      <c r="U3327" s="1394">
        <f>IFERROR(VLOOKUP(M3327,#REF!,5,0),0)</f>
        <v>0</v>
      </c>
      <c r="V3327" s="1394">
        <f t="shared" si="929"/>
        <v>0</v>
      </c>
      <c r="W3327" s="1394"/>
    </row>
    <row r="3328" spans="1:24" ht="30" customHeight="1">
      <c r="B3328" s="1407"/>
      <c r="C3328" s="1422" t="str">
        <f t="shared" si="936"/>
        <v>COMMON TOILET PASSAGE</v>
      </c>
      <c r="D3328" s="1389">
        <f t="shared" si="936"/>
        <v>1</v>
      </c>
      <c r="E3328" s="1389">
        <f t="shared" si="936"/>
        <v>1</v>
      </c>
      <c r="F3328" s="1423">
        <f t="shared" si="936"/>
        <v>0</v>
      </c>
      <c r="G3328" s="1423" t="str">
        <f t="shared" si="936"/>
        <v>-</v>
      </c>
      <c r="H3328" s="1424" t="str">
        <f t="shared" si="936"/>
        <v>-</v>
      </c>
      <c r="I3328" s="1425">
        <f t="shared" si="936"/>
        <v>1</v>
      </c>
      <c r="M3328" s="110"/>
      <c r="Q3328" s="1394">
        <f>IFERROR(VLOOKUP(M3328,#REF!,3,0),0)</f>
        <v>0</v>
      </c>
      <c r="R3328" s="1394">
        <f t="shared" si="934"/>
        <v>0</v>
      </c>
      <c r="S3328" s="1394">
        <f>IFERROR(VLOOKUP(M3328,#REF!,6,0),0)</f>
        <v>0</v>
      </c>
      <c r="T3328" s="1394">
        <f t="shared" si="928"/>
        <v>0</v>
      </c>
      <c r="U3328" s="1394">
        <f>IFERROR(VLOOKUP(M3328,#REF!,5,0),0)</f>
        <v>0</v>
      </c>
      <c r="V3328" s="1394">
        <f t="shared" si="929"/>
        <v>0</v>
      </c>
      <c r="W3328" s="1394"/>
    </row>
    <row r="3329" spans="2:23" ht="30" customHeight="1">
      <c r="B3329" s="1407"/>
      <c r="C3329" s="1422" t="str">
        <f t="shared" si="936"/>
        <v>COMMON TOILET PASSAGE</v>
      </c>
      <c r="D3329" s="1389">
        <f t="shared" si="936"/>
        <v>1</v>
      </c>
      <c r="E3329" s="1389">
        <f t="shared" si="936"/>
        <v>1</v>
      </c>
      <c r="F3329" s="1423">
        <f t="shared" si="936"/>
        <v>0</v>
      </c>
      <c r="G3329" s="1423" t="str">
        <f t="shared" si="936"/>
        <v>-</v>
      </c>
      <c r="H3329" s="1424" t="str">
        <f t="shared" si="936"/>
        <v>-</v>
      </c>
      <c r="I3329" s="1425">
        <f t="shared" si="936"/>
        <v>1</v>
      </c>
      <c r="M3329" s="110"/>
      <c r="Q3329" s="1394">
        <f>IFERROR(VLOOKUP(M3329,#REF!,3,0),0)</f>
        <v>0</v>
      </c>
      <c r="R3329" s="1394">
        <f t="shared" si="934"/>
        <v>0</v>
      </c>
      <c r="S3329" s="1394">
        <f>IFERROR(VLOOKUP(M3329,#REF!,6,0),0)</f>
        <v>0</v>
      </c>
      <c r="T3329" s="1394">
        <f t="shared" si="928"/>
        <v>0</v>
      </c>
      <c r="U3329" s="1394">
        <f>IFERROR(VLOOKUP(M3329,#REF!,5,0),0)</f>
        <v>0</v>
      </c>
      <c r="V3329" s="1394">
        <f t="shared" si="929"/>
        <v>0</v>
      </c>
      <c r="W3329" s="1394"/>
    </row>
    <row r="3330" spans="2:23" ht="30" customHeight="1">
      <c r="B3330" s="1407"/>
      <c r="C3330" s="1457" t="str">
        <f t="shared" si="936"/>
        <v>SECOND FLOOR</v>
      </c>
      <c r="D3330" s="1389">
        <f t="shared" si="936"/>
        <v>0</v>
      </c>
      <c r="E3330" s="1389">
        <f t="shared" si="936"/>
        <v>0</v>
      </c>
      <c r="F3330" s="1423">
        <f t="shared" si="936"/>
        <v>0</v>
      </c>
      <c r="G3330" s="1423">
        <f t="shared" si="936"/>
        <v>0</v>
      </c>
      <c r="H3330" s="1424">
        <f t="shared" si="936"/>
        <v>0</v>
      </c>
      <c r="I3330" s="1425">
        <f t="shared" si="936"/>
        <v>0</v>
      </c>
      <c r="M3330" s="110"/>
      <c r="Q3330" s="1394">
        <f>IFERROR(VLOOKUP(M3330,#REF!,3,0),0)</f>
        <v>0</v>
      </c>
      <c r="R3330" s="1394">
        <f t="shared" si="934"/>
        <v>0</v>
      </c>
      <c r="S3330" s="1394">
        <f>IFERROR(VLOOKUP(M3330,#REF!,6,0),0)</f>
        <v>0</v>
      </c>
      <c r="T3330" s="1394">
        <f t="shared" si="928"/>
        <v>0</v>
      </c>
      <c r="U3330" s="1394">
        <f>IFERROR(VLOOKUP(M3330,#REF!,5,0),0)</f>
        <v>0</v>
      </c>
      <c r="V3330" s="1394">
        <f t="shared" si="929"/>
        <v>0</v>
      </c>
      <c r="W3330" s="1394"/>
    </row>
    <row r="3331" spans="2:23" ht="30" customHeight="1">
      <c r="B3331" s="1407"/>
      <c r="C3331" s="1422" t="str">
        <f t="shared" si="936"/>
        <v>WOMEN  REST ROOM</v>
      </c>
      <c r="D3331" s="1389">
        <f t="shared" si="936"/>
        <v>1</v>
      </c>
      <c r="E3331" s="1389">
        <f t="shared" si="936"/>
        <v>1</v>
      </c>
      <c r="F3331" s="1423">
        <f t="shared" si="936"/>
        <v>0</v>
      </c>
      <c r="G3331" s="1423" t="str">
        <f t="shared" si="936"/>
        <v>-</v>
      </c>
      <c r="H3331" s="1424" t="str">
        <f t="shared" si="936"/>
        <v>-</v>
      </c>
      <c r="I3331" s="1425">
        <f t="shared" si="936"/>
        <v>1</v>
      </c>
      <c r="M3331" s="110"/>
      <c r="Q3331" s="1394">
        <f>IFERROR(VLOOKUP(M3331,#REF!,3,0),0)</f>
        <v>0</v>
      </c>
      <c r="R3331" s="1394">
        <f t="shared" si="934"/>
        <v>0</v>
      </c>
      <c r="S3331" s="1394">
        <f>IFERROR(VLOOKUP(M3331,#REF!,6,0),0)</f>
        <v>0</v>
      </c>
      <c r="T3331" s="1394">
        <f t="shared" ref="T3331:T3394" si="937">R3331-S3331</f>
        <v>0</v>
      </c>
      <c r="U3331" s="1394">
        <f>IFERROR(VLOOKUP(M3331,#REF!,5,0),0)</f>
        <v>0</v>
      </c>
      <c r="V3331" s="1394">
        <f t="shared" ref="V3331:V3394" si="938">O3331-U3331</f>
        <v>0</v>
      </c>
      <c r="W3331" s="1394"/>
    </row>
    <row r="3332" spans="2:23" ht="30" customHeight="1">
      <c r="B3332" s="1407"/>
      <c r="C3332" s="1422" t="str">
        <f t="shared" si="936"/>
        <v>WOMEN  REST ROOM TOILET</v>
      </c>
      <c r="D3332" s="1389">
        <f t="shared" si="936"/>
        <v>1</v>
      </c>
      <c r="E3332" s="1389">
        <f t="shared" si="936"/>
        <v>1</v>
      </c>
      <c r="F3332" s="1423">
        <f t="shared" si="936"/>
        <v>0</v>
      </c>
      <c r="G3332" s="1423" t="str">
        <f t="shared" si="936"/>
        <v>-</v>
      </c>
      <c r="H3332" s="1424" t="str">
        <f t="shared" si="936"/>
        <v>-</v>
      </c>
      <c r="I3332" s="1425">
        <f t="shared" si="936"/>
        <v>1</v>
      </c>
      <c r="M3332" s="110"/>
      <c r="Q3332" s="1394">
        <f>IFERROR(VLOOKUP(M3332,#REF!,3,0),0)</f>
        <v>0</v>
      </c>
      <c r="R3332" s="1394">
        <f t="shared" si="934"/>
        <v>0</v>
      </c>
      <c r="S3332" s="1394">
        <f>IFERROR(VLOOKUP(M3332,#REF!,6,0),0)</f>
        <v>0</v>
      </c>
      <c r="T3332" s="1394">
        <f t="shared" si="937"/>
        <v>0</v>
      </c>
      <c r="U3332" s="1394">
        <f>IFERROR(VLOOKUP(M3332,#REF!,5,0),0)</f>
        <v>0</v>
      </c>
      <c r="V3332" s="1394">
        <f t="shared" si="938"/>
        <v>0</v>
      </c>
      <c r="W3332" s="1394"/>
    </row>
    <row r="3333" spans="2:23" ht="30" customHeight="1">
      <c r="B3333" s="1407"/>
      <c r="C3333" s="1422" t="str">
        <f t="shared" ref="C3333:I3342" si="939">C3308</f>
        <v>INS CRIME</v>
      </c>
      <c r="D3333" s="1389">
        <f t="shared" si="939"/>
        <v>1</v>
      </c>
      <c r="E3333" s="1389">
        <f t="shared" si="939"/>
        <v>1</v>
      </c>
      <c r="F3333" s="1423">
        <f t="shared" si="939"/>
        <v>0</v>
      </c>
      <c r="G3333" s="1423" t="str">
        <f t="shared" si="939"/>
        <v>-</v>
      </c>
      <c r="H3333" s="1424" t="str">
        <f t="shared" si="939"/>
        <v>-</v>
      </c>
      <c r="I3333" s="1425">
        <f t="shared" si="939"/>
        <v>1</v>
      </c>
      <c r="M3333" s="110"/>
      <c r="Q3333" s="1394">
        <f>IFERROR(VLOOKUP(M3333,#REF!,3,0),0)</f>
        <v>0</v>
      </c>
      <c r="R3333" s="1394">
        <f t="shared" si="934"/>
        <v>0</v>
      </c>
      <c r="S3333" s="1394">
        <f>IFERROR(VLOOKUP(M3333,#REF!,6,0),0)</f>
        <v>0</v>
      </c>
      <c r="T3333" s="1394">
        <f t="shared" si="937"/>
        <v>0</v>
      </c>
      <c r="U3333" s="1394">
        <f>IFERROR(VLOOKUP(M3333,#REF!,5,0),0)</f>
        <v>0</v>
      </c>
      <c r="V3333" s="1394">
        <f t="shared" si="938"/>
        <v>0</v>
      </c>
      <c r="W3333" s="1394"/>
    </row>
    <row r="3334" spans="2:23" ht="30" customHeight="1">
      <c r="B3334" s="1407"/>
      <c r="C3334" s="1422" t="str">
        <f t="shared" si="939"/>
        <v>INS CRIME TOILET</v>
      </c>
      <c r="D3334" s="1389">
        <f t="shared" si="939"/>
        <v>1</v>
      </c>
      <c r="E3334" s="1389">
        <f t="shared" si="939"/>
        <v>1</v>
      </c>
      <c r="F3334" s="1423">
        <f t="shared" si="939"/>
        <v>0</v>
      </c>
      <c r="G3334" s="1423" t="str">
        <f t="shared" si="939"/>
        <v>-</v>
      </c>
      <c r="H3334" s="1424" t="str">
        <f t="shared" si="939"/>
        <v>-</v>
      </c>
      <c r="I3334" s="1425">
        <f t="shared" si="939"/>
        <v>1</v>
      </c>
      <c r="M3334" s="110"/>
      <c r="Q3334" s="1394">
        <f>IFERROR(VLOOKUP(M3334,#REF!,3,0),0)</f>
        <v>0</v>
      </c>
      <c r="R3334" s="1394">
        <f t="shared" si="934"/>
        <v>0</v>
      </c>
      <c r="S3334" s="1394">
        <f>IFERROR(VLOOKUP(M3334,#REF!,6,0),0)</f>
        <v>0</v>
      </c>
      <c r="T3334" s="1394">
        <f t="shared" si="937"/>
        <v>0</v>
      </c>
      <c r="U3334" s="1394">
        <f>IFERROR(VLOOKUP(M3334,#REF!,5,0),0)</f>
        <v>0</v>
      </c>
      <c r="V3334" s="1394">
        <f t="shared" si="938"/>
        <v>0</v>
      </c>
      <c r="W3334" s="1394"/>
    </row>
    <row r="3335" spans="2:23" ht="30" customHeight="1">
      <c r="B3335" s="1407"/>
      <c r="C3335" s="1422" t="str">
        <f t="shared" si="939"/>
        <v>SI ROOM</v>
      </c>
      <c r="D3335" s="1389">
        <f t="shared" si="939"/>
        <v>1</v>
      </c>
      <c r="E3335" s="1389">
        <f t="shared" si="939"/>
        <v>1</v>
      </c>
      <c r="F3335" s="1423">
        <f t="shared" si="939"/>
        <v>0</v>
      </c>
      <c r="G3335" s="1423" t="str">
        <f t="shared" si="939"/>
        <v>-</v>
      </c>
      <c r="H3335" s="1424" t="str">
        <f t="shared" si="939"/>
        <v>-</v>
      </c>
      <c r="I3335" s="1425">
        <f t="shared" si="939"/>
        <v>1</v>
      </c>
      <c r="M3335" s="110"/>
      <c r="Q3335" s="1394">
        <f>IFERROR(VLOOKUP(M3335,#REF!,3,0),0)</f>
        <v>0</v>
      </c>
      <c r="R3335" s="1394">
        <f t="shared" si="934"/>
        <v>0</v>
      </c>
      <c r="S3335" s="1394">
        <f>IFERROR(VLOOKUP(M3335,#REF!,6,0),0)</f>
        <v>0</v>
      </c>
      <c r="T3335" s="1394">
        <f t="shared" si="937"/>
        <v>0</v>
      </c>
      <c r="U3335" s="1394">
        <f>IFERROR(VLOOKUP(M3335,#REF!,5,0),0)</f>
        <v>0</v>
      </c>
      <c r="V3335" s="1394">
        <f t="shared" si="938"/>
        <v>0</v>
      </c>
      <c r="W3335" s="1394"/>
    </row>
    <row r="3336" spans="2:23" ht="30" customHeight="1">
      <c r="B3336" s="1407"/>
      <c r="C3336" s="1422" t="str">
        <f t="shared" si="939"/>
        <v>COMMON TOILET PASSAGE</v>
      </c>
      <c r="D3336" s="1389">
        <f t="shared" si="939"/>
        <v>1</v>
      </c>
      <c r="E3336" s="1389">
        <f t="shared" si="939"/>
        <v>1</v>
      </c>
      <c r="F3336" s="1423">
        <f t="shared" si="939"/>
        <v>0</v>
      </c>
      <c r="G3336" s="1423" t="str">
        <f t="shared" si="939"/>
        <v>-</v>
      </c>
      <c r="H3336" s="1424" t="str">
        <f t="shared" si="939"/>
        <v>-</v>
      </c>
      <c r="I3336" s="1425">
        <f t="shared" si="939"/>
        <v>1</v>
      </c>
      <c r="M3336" s="110"/>
      <c r="Q3336" s="1394">
        <f>IFERROR(VLOOKUP(M3336,#REF!,3,0),0)</f>
        <v>0</v>
      </c>
      <c r="R3336" s="1394">
        <f t="shared" si="934"/>
        <v>0</v>
      </c>
      <c r="S3336" s="1394">
        <f>IFERROR(VLOOKUP(M3336,#REF!,6,0),0)</f>
        <v>0</v>
      </c>
      <c r="T3336" s="1394">
        <f t="shared" si="937"/>
        <v>0</v>
      </c>
      <c r="U3336" s="1394">
        <f>IFERROR(VLOOKUP(M3336,#REF!,5,0),0)</f>
        <v>0</v>
      </c>
      <c r="V3336" s="1394">
        <f t="shared" si="938"/>
        <v>0</v>
      </c>
      <c r="W3336" s="1394"/>
    </row>
    <row r="3337" spans="2:23" ht="30" customHeight="1">
      <c r="B3337" s="1407"/>
      <c r="C3337" s="1422" t="str">
        <f t="shared" si="939"/>
        <v>COMMON TOILET PASSAGE</v>
      </c>
      <c r="D3337" s="1389">
        <f t="shared" si="939"/>
        <v>1</v>
      </c>
      <c r="E3337" s="1389">
        <f t="shared" si="939"/>
        <v>1</v>
      </c>
      <c r="F3337" s="1423">
        <f t="shared" si="939"/>
        <v>0</v>
      </c>
      <c r="G3337" s="1423" t="str">
        <f t="shared" si="939"/>
        <v>-</v>
      </c>
      <c r="H3337" s="1424" t="str">
        <f t="shared" si="939"/>
        <v>-</v>
      </c>
      <c r="I3337" s="1425">
        <f t="shared" si="939"/>
        <v>1</v>
      </c>
      <c r="M3337" s="110"/>
      <c r="Q3337" s="1394">
        <f>IFERROR(VLOOKUP(M3337,#REF!,3,0),0)</f>
        <v>0</v>
      </c>
      <c r="R3337" s="1394">
        <f t="shared" si="934"/>
        <v>0</v>
      </c>
      <c r="S3337" s="1394">
        <f>IFERROR(VLOOKUP(M3337,#REF!,6,0),0)</f>
        <v>0</v>
      </c>
      <c r="T3337" s="1394">
        <f t="shared" si="937"/>
        <v>0</v>
      </c>
      <c r="U3337" s="1394">
        <f>IFERROR(VLOOKUP(M3337,#REF!,5,0),0)</f>
        <v>0</v>
      </c>
      <c r="V3337" s="1394">
        <f t="shared" si="938"/>
        <v>0</v>
      </c>
      <c r="W3337" s="1394"/>
    </row>
    <row r="3338" spans="2:23" ht="30" customHeight="1">
      <c r="B3338" s="1407"/>
      <c r="C3338" s="1457" t="str">
        <f t="shared" si="939"/>
        <v>THIRD FLOOR</v>
      </c>
      <c r="D3338" s="1389">
        <f t="shared" si="939"/>
        <v>0</v>
      </c>
      <c r="E3338" s="1389">
        <f t="shared" si="939"/>
        <v>0</v>
      </c>
      <c r="F3338" s="1423">
        <f t="shared" si="939"/>
        <v>0</v>
      </c>
      <c r="G3338" s="1423">
        <f t="shared" si="939"/>
        <v>0</v>
      </c>
      <c r="H3338" s="1424">
        <f t="shared" si="939"/>
        <v>0</v>
      </c>
      <c r="I3338" s="1425">
        <f t="shared" si="939"/>
        <v>0</v>
      </c>
      <c r="M3338" s="110"/>
      <c r="Q3338" s="1394">
        <f>IFERROR(VLOOKUP(M3338,#REF!,3,0),0)</f>
        <v>0</v>
      </c>
      <c r="R3338" s="1394">
        <f t="shared" si="934"/>
        <v>0</v>
      </c>
      <c r="S3338" s="1394">
        <f>IFERROR(VLOOKUP(M3338,#REF!,6,0),0)</f>
        <v>0</v>
      </c>
      <c r="T3338" s="1394">
        <f t="shared" si="937"/>
        <v>0</v>
      </c>
      <c r="U3338" s="1394">
        <f>IFERROR(VLOOKUP(M3338,#REF!,5,0),0)</f>
        <v>0</v>
      </c>
      <c r="V3338" s="1394">
        <f t="shared" si="938"/>
        <v>0</v>
      </c>
      <c r="W3338" s="1394"/>
    </row>
    <row r="3339" spans="2:23" ht="30" customHeight="1">
      <c r="B3339" s="1407"/>
      <c r="C3339" s="1422" t="str">
        <f t="shared" si="939"/>
        <v>MEN REST ROOM</v>
      </c>
      <c r="D3339" s="1389">
        <f t="shared" si="939"/>
        <v>1</v>
      </c>
      <c r="E3339" s="1389">
        <f t="shared" si="939"/>
        <v>1</v>
      </c>
      <c r="F3339" s="1423">
        <f t="shared" si="939"/>
        <v>0</v>
      </c>
      <c r="G3339" s="1423" t="str">
        <f t="shared" si="939"/>
        <v>-</v>
      </c>
      <c r="H3339" s="1424" t="str">
        <f t="shared" si="939"/>
        <v>-</v>
      </c>
      <c r="I3339" s="1425">
        <f t="shared" si="939"/>
        <v>1</v>
      </c>
      <c r="Q3339" s="1394">
        <f>IFERROR(VLOOKUP(M3339,#REF!,3,0),0)</f>
        <v>0</v>
      </c>
      <c r="R3339" s="1394">
        <f t="shared" si="934"/>
        <v>0</v>
      </c>
      <c r="S3339" s="1394">
        <f>IFERROR(VLOOKUP(M3339,#REF!,6,0),0)</f>
        <v>0</v>
      </c>
      <c r="T3339" s="1394">
        <f t="shared" si="937"/>
        <v>0</v>
      </c>
      <c r="U3339" s="1394">
        <f>IFERROR(VLOOKUP(M3339,#REF!,5,0),0)</f>
        <v>0</v>
      </c>
      <c r="V3339" s="1394">
        <f t="shared" si="938"/>
        <v>0</v>
      </c>
      <c r="W3339" s="1394"/>
    </row>
    <row r="3340" spans="2:23" ht="30" customHeight="1">
      <c r="B3340" s="1407"/>
      <c r="C3340" s="1422" t="str">
        <f t="shared" si="939"/>
        <v>MEN REST ROOM TOILET</v>
      </c>
      <c r="D3340" s="1389">
        <f t="shared" si="939"/>
        <v>1</v>
      </c>
      <c r="E3340" s="1389">
        <f t="shared" si="939"/>
        <v>1</v>
      </c>
      <c r="F3340" s="1423">
        <f t="shared" si="939"/>
        <v>0</v>
      </c>
      <c r="G3340" s="1423" t="str">
        <f t="shared" si="939"/>
        <v>-</v>
      </c>
      <c r="H3340" s="1424" t="str">
        <f t="shared" si="939"/>
        <v>-</v>
      </c>
      <c r="I3340" s="1425">
        <f t="shared" si="939"/>
        <v>1</v>
      </c>
      <c r="Q3340" s="1394">
        <f>IFERROR(VLOOKUP(M3340,#REF!,3,0),0)</f>
        <v>0</v>
      </c>
      <c r="R3340" s="1394">
        <f t="shared" si="934"/>
        <v>0</v>
      </c>
      <c r="S3340" s="1394">
        <f>IFERROR(VLOOKUP(M3340,#REF!,6,0),0)</f>
        <v>0</v>
      </c>
      <c r="T3340" s="1394">
        <f t="shared" si="937"/>
        <v>0</v>
      </c>
      <c r="U3340" s="1394">
        <f>IFERROR(VLOOKUP(M3340,#REF!,5,0),0)</f>
        <v>0</v>
      </c>
      <c r="V3340" s="1394">
        <f t="shared" si="938"/>
        <v>0</v>
      </c>
      <c r="W3340" s="1394"/>
    </row>
    <row r="3341" spans="2:23" ht="30" customHeight="1">
      <c r="B3341" s="1407"/>
      <c r="C3341" s="1422" t="str">
        <f t="shared" si="939"/>
        <v>MEN REST ROOM</v>
      </c>
      <c r="D3341" s="1389">
        <f t="shared" si="939"/>
        <v>1</v>
      </c>
      <c r="E3341" s="1389">
        <f t="shared" si="939"/>
        <v>1</v>
      </c>
      <c r="F3341" s="1423">
        <f t="shared" si="939"/>
        <v>0</v>
      </c>
      <c r="G3341" s="1423" t="str">
        <f t="shared" si="939"/>
        <v>-</v>
      </c>
      <c r="H3341" s="1424" t="str">
        <f t="shared" si="939"/>
        <v>-</v>
      </c>
      <c r="I3341" s="1425">
        <f t="shared" si="939"/>
        <v>1</v>
      </c>
      <c r="Q3341" s="1394">
        <f>IFERROR(VLOOKUP(M3341,#REF!,3,0),0)</f>
        <v>0</v>
      </c>
      <c r="R3341" s="1394">
        <f t="shared" si="934"/>
        <v>0</v>
      </c>
      <c r="S3341" s="1394">
        <f>IFERROR(VLOOKUP(M3341,#REF!,6,0),0)</f>
        <v>0</v>
      </c>
      <c r="T3341" s="1394">
        <f t="shared" si="937"/>
        <v>0</v>
      </c>
      <c r="U3341" s="1394">
        <f>IFERROR(VLOOKUP(M3341,#REF!,5,0),0)</f>
        <v>0</v>
      </c>
      <c r="V3341" s="1394">
        <f t="shared" si="938"/>
        <v>0</v>
      </c>
      <c r="W3341" s="1394"/>
    </row>
    <row r="3342" spans="2:23" ht="30" customHeight="1">
      <c r="B3342" s="1407"/>
      <c r="C3342" s="1422" t="str">
        <f t="shared" si="939"/>
        <v>MEN REST ROOM TOILET</v>
      </c>
      <c r="D3342" s="1389">
        <f t="shared" si="939"/>
        <v>1</v>
      </c>
      <c r="E3342" s="1389">
        <f t="shared" si="939"/>
        <v>1</v>
      </c>
      <c r="F3342" s="1423">
        <f t="shared" si="939"/>
        <v>0</v>
      </c>
      <c r="G3342" s="1423" t="str">
        <f t="shared" si="939"/>
        <v>-</v>
      </c>
      <c r="H3342" s="1424" t="str">
        <f t="shared" si="939"/>
        <v>-</v>
      </c>
      <c r="I3342" s="1425">
        <f t="shared" si="939"/>
        <v>1</v>
      </c>
      <c r="Q3342" s="1394">
        <f>IFERROR(VLOOKUP(M3342,#REF!,3,0),0)</f>
        <v>0</v>
      </c>
      <c r="R3342" s="1394">
        <f t="shared" si="934"/>
        <v>0</v>
      </c>
      <c r="S3342" s="1394">
        <f>IFERROR(VLOOKUP(M3342,#REF!,6,0),0)</f>
        <v>0</v>
      </c>
      <c r="T3342" s="1394">
        <f t="shared" si="937"/>
        <v>0</v>
      </c>
      <c r="U3342" s="1394">
        <f>IFERROR(VLOOKUP(M3342,#REF!,5,0),0)</f>
        <v>0</v>
      </c>
      <c r="V3342" s="1394">
        <f t="shared" si="938"/>
        <v>0</v>
      </c>
      <c r="W3342" s="1394"/>
    </row>
    <row r="3343" spans="2:23" ht="30" customHeight="1">
      <c r="B3343" s="1407"/>
      <c r="C3343" s="1422" t="str">
        <f t="shared" ref="C3343:I3344" si="940">C3318</f>
        <v>INS TRAFIC</v>
      </c>
      <c r="D3343" s="1389">
        <f t="shared" si="940"/>
        <v>1</v>
      </c>
      <c r="E3343" s="1389">
        <f t="shared" si="940"/>
        <v>1</v>
      </c>
      <c r="F3343" s="1423">
        <f t="shared" si="940"/>
        <v>0</v>
      </c>
      <c r="G3343" s="1423" t="str">
        <f t="shared" si="940"/>
        <v>-</v>
      </c>
      <c r="H3343" s="1424" t="str">
        <f t="shared" si="940"/>
        <v>-</v>
      </c>
      <c r="I3343" s="1425">
        <f t="shared" si="940"/>
        <v>1</v>
      </c>
      <c r="Q3343" s="1394">
        <f>IFERROR(VLOOKUP(M3343,#REF!,3,0),0)</f>
        <v>0</v>
      </c>
      <c r="R3343" s="1394">
        <f t="shared" si="934"/>
        <v>0</v>
      </c>
      <c r="S3343" s="1394">
        <f>IFERROR(VLOOKUP(M3343,#REF!,6,0),0)</f>
        <v>0</v>
      </c>
      <c r="T3343" s="1394">
        <f t="shared" si="937"/>
        <v>0</v>
      </c>
      <c r="U3343" s="1394">
        <f>IFERROR(VLOOKUP(M3343,#REF!,5,0),0)</f>
        <v>0</v>
      </c>
      <c r="V3343" s="1394">
        <f t="shared" si="938"/>
        <v>0</v>
      </c>
      <c r="W3343" s="1394"/>
    </row>
    <row r="3344" spans="2:23" ht="30" customHeight="1">
      <c r="B3344" s="1407"/>
      <c r="C3344" s="1422" t="str">
        <f t="shared" si="940"/>
        <v>INS TRAFIC TOILET</v>
      </c>
      <c r="D3344" s="1389">
        <f t="shared" si="940"/>
        <v>1</v>
      </c>
      <c r="E3344" s="1389">
        <f t="shared" si="940"/>
        <v>1</v>
      </c>
      <c r="F3344" s="1423">
        <f t="shared" si="940"/>
        <v>0</v>
      </c>
      <c r="G3344" s="1423" t="str">
        <f t="shared" si="940"/>
        <v>-</v>
      </c>
      <c r="H3344" s="1424" t="str">
        <f t="shared" si="940"/>
        <v>-</v>
      </c>
      <c r="I3344" s="1425">
        <f t="shared" si="940"/>
        <v>1</v>
      </c>
      <c r="Q3344" s="1394">
        <f>IFERROR(VLOOKUP(M3344,#REF!,3,0),0)</f>
        <v>0</v>
      </c>
      <c r="R3344" s="1394">
        <f t="shared" si="934"/>
        <v>0</v>
      </c>
      <c r="S3344" s="1394">
        <f>IFERROR(VLOOKUP(M3344,#REF!,6,0),0)</f>
        <v>0</v>
      </c>
      <c r="T3344" s="1394">
        <f t="shared" si="937"/>
        <v>0</v>
      </c>
      <c r="U3344" s="1394">
        <f>IFERROR(VLOOKUP(M3344,#REF!,5,0),0)</f>
        <v>0</v>
      </c>
      <c r="V3344" s="1394">
        <f t="shared" si="938"/>
        <v>0</v>
      </c>
      <c r="W3344" s="1394"/>
    </row>
    <row r="3345" spans="1:26" ht="30" customHeight="1">
      <c r="B3345" s="1407"/>
      <c r="C3345" s="1455"/>
      <c r="D3345" s="103"/>
      <c r="E3345" s="103"/>
      <c r="F3345" s="1413"/>
      <c r="G3345" s="1413"/>
      <c r="H3345" s="1414"/>
      <c r="I3345" s="1406"/>
      <c r="Q3345" s="1394">
        <f>IFERROR(VLOOKUP(M3345,#REF!,3,0),0)</f>
        <v>0</v>
      </c>
      <c r="R3345" s="1394">
        <f t="shared" si="934"/>
        <v>0</v>
      </c>
      <c r="S3345" s="1394">
        <f>IFERROR(VLOOKUP(M3345,#REF!,6,0),0)</f>
        <v>0</v>
      </c>
      <c r="T3345" s="1394">
        <f t="shared" si="937"/>
        <v>0</v>
      </c>
      <c r="U3345" s="1394">
        <f>IFERROR(VLOOKUP(M3345,#REF!,5,0),0)</f>
        <v>0</v>
      </c>
      <c r="V3345" s="1394">
        <f t="shared" si="938"/>
        <v>0</v>
      </c>
      <c r="W3345" s="1394"/>
    </row>
    <row r="3346" spans="1:26" ht="30" customHeight="1">
      <c r="B3346" s="1407"/>
      <c r="C3346" s="1455"/>
      <c r="D3346" s="103"/>
      <c r="E3346" s="103"/>
      <c r="F3346" s="1413"/>
      <c r="G3346" s="1413"/>
      <c r="H3346" s="1414"/>
      <c r="I3346" s="1406">
        <f>SUM(I3323:I3345)</f>
        <v>19</v>
      </c>
      <c r="Q3346" s="1394">
        <f>IFERROR(VLOOKUP(M3346,#REF!,3,0),0)</f>
        <v>0</v>
      </c>
      <c r="R3346" s="1394">
        <f t="shared" si="934"/>
        <v>0</v>
      </c>
      <c r="S3346" s="1394">
        <f>IFERROR(VLOOKUP(M3346,#REF!,6,0),0)</f>
        <v>0</v>
      </c>
      <c r="T3346" s="1394">
        <f t="shared" si="937"/>
        <v>0</v>
      </c>
      <c r="U3346" s="1394">
        <f>IFERROR(VLOOKUP(M3346,#REF!,5,0),0)</f>
        <v>0</v>
      </c>
      <c r="V3346" s="1394">
        <f t="shared" si="938"/>
        <v>0</v>
      </c>
      <c r="W3346" s="1394"/>
    </row>
    <row r="3347" spans="1:26" ht="30" customHeight="1">
      <c r="B3347" s="1407"/>
      <c r="C3347" s="1455"/>
      <c r="D3347" s="103"/>
      <c r="E3347" s="103"/>
      <c r="F3347" s="1413"/>
      <c r="G3347" s="1483" t="s">
        <v>11</v>
      </c>
      <c r="H3347" s="1478">
        <f>I3346</f>
        <v>19</v>
      </c>
      <c r="I3347" s="1479" t="s">
        <v>13</v>
      </c>
      <c r="M3347" s="1394" t="str">
        <f>A3322</f>
        <v>S &amp; F Alu  Towel rail 75 cm long</v>
      </c>
      <c r="N3347" s="1394">
        <f>B3322</f>
        <v>47</v>
      </c>
      <c r="O3347" s="1394">
        <f>H3347</f>
        <v>19</v>
      </c>
      <c r="P3347" s="1394" t="str">
        <f>I3347</f>
        <v>Nos</v>
      </c>
      <c r="Q3347" s="1394">
        <f>IFERROR(VLOOKUP(M3347,#REF!,3,0),0)</f>
        <v>0</v>
      </c>
      <c r="R3347" s="1394">
        <f t="shared" si="934"/>
        <v>0</v>
      </c>
      <c r="S3347" s="1394">
        <f>IFERROR(VLOOKUP(M3347,#REF!,6,0),0)</f>
        <v>0</v>
      </c>
      <c r="T3347" s="1394">
        <f t="shared" si="937"/>
        <v>0</v>
      </c>
      <c r="U3347" s="1394">
        <f>IFERROR(VLOOKUP(M3347,#REF!,5,0),0)</f>
        <v>0</v>
      </c>
      <c r="V3347" s="1394">
        <f t="shared" si="938"/>
        <v>19</v>
      </c>
      <c r="W3347" s="1394"/>
      <c r="Z3347" s="1394"/>
    </row>
    <row r="3348" spans="1:26" ht="52.5" customHeight="1">
      <c r="A3348" s="110" t="s">
        <v>445</v>
      </c>
      <c r="B3348" s="1513">
        <v>48</v>
      </c>
      <c r="C3348" s="1678" t="e">
        <f>VLOOKUP(A3348,#REF!,2,0)</f>
        <v>#REF!</v>
      </c>
      <c r="D3348" s="1678"/>
      <c r="E3348" s="1678"/>
      <c r="F3348" s="1678"/>
      <c r="G3348" s="1678"/>
      <c r="H3348" s="1678"/>
      <c r="I3348" s="1406"/>
      <c r="Q3348" s="1394">
        <f>IFERROR(VLOOKUP(M3348,#REF!,3,0),0)</f>
        <v>0</v>
      </c>
      <c r="R3348" s="1394">
        <f t="shared" si="934"/>
        <v>0</v>
      </c>
      <c r="S3348" s="1394">
        <f>IFERROR(VLOOKUP(M3348,#REF!,6,0),0)</f>
        <v>0</v>
      </c>
      <c r="T3348" s="1394">
        <f t="shared" si="937"/>
        <v>0</v>
      </c>
      <c r="U3348" s="1394">
        <f>IFERROR(VLOOKUP(M3348,#REF!,5,0),0)</f>
        <v>0</v>
      </c>
      <c r="V3348" s="1394">
        <f t="shared" si="938"/>
        <v>0</v>
      </c>
      <c r="W3348" s="1394"/>
      <c r="X3348" s="1397"/>
    </row>
    <row r="3349" spans="1:26" ht="30" customHeight="1">
      <c r="B3349" s="1407"/>
      <c r="C3349" s="1457" t="str">
        <f t="shared" ref="C3349:I3358" si="941">C3323</f>
        <v>FIRST FLOOR</v>
      </c>
      <c r="D3349" s="1389">
        <f t="shared" si="941"/>
        <v>0</v>
      </c>
      <c r="E3349" s="1389">
        <f t="shared" si="941"/>
        <v>0</v>
      </c>
      <c r="F3349" s="1423">
        <f t="shared" si="941"/>
        <v>0</v>
      </c>
      <c r="G3349" s="1423">
        <f t="shared" si="941"/>
        <v>0</v>
      </c>
      <c r="H3349" s="1424">
        <f t="shared" si="941"/>
        <v>0</v>
      </c>
      <c r="I3349" s="1425">
        <f t="shared" si="941"/>
        <v>0</v>
      </c>
      <c r="Q3349" s="1394">
        <f>IFERROR(VLOOKUP(M3349,#REF!,3,0),0)</f>
        <v>0</v>
      </c>
      <c r="R3349" s="1394">
        <f t="shared" si="934"/>
        <v>0</v>
      </c>
      <c r="S3349" s="1394">
        <f>IFERROR(VLOOKUP(M3349,#REF!,6,0),0)</f>
        <v>0</v>
      </c>
      <c r="T3349" s="1394">
        <f t="shared" si="937"/>
        <v>0</v>
      </c>
      <c r="U3349" s="1394">
        <f>IFERROR(VLOOKUP(M3349,#REF!,5,0),0)</f>
        <v>0</v>
      </c>
      <c r="V3349" s="1394">
        <f t="shared" si="938"/>
        <v>0</v>
      </c>
      <c r="W3349" s="1394"/>
    </row>
    <row r="3350" spans="1:26" ht="30" customHeight="1">
      <c r="B3350" s="1407"/>
      <c r="C3350" s="1422" t="str">
        <f t="shared" si="941"/>
        <v>SI ROOM</v>
      </c>
      <c r="D3350" s="1389">
        <f t="shared" si="941"/>
        <v>1</v>
      </c>
      <c r="E3350" s="1389">
        <f t="shared" si="941"/>
        <v>1</v>
      </c>
      <c r="F3350" s="1423">
        <f t="shared" si="941"/>
        <v>0</v>
      </c>
      <c r="G3350" s="1423" t="str">
        <f t="shared" si="941"/>
        <v>-</v>
      </c>
      <c r="H3350" s="1424" t="str">
        <f t="shared" si="941"/>
        <v>-</v>
      </c>
      <c r="I3350" s="1425">
        <f t="shared" si="941"/>
        <v>1</v>
      </c>
      <c r="Q3350" s="1394">
        <f>IFERROR(VLOOKUP(M3350,#REF!,3,0),0)</f>
        <v>0</v>
      </c>
      <c r="R3350" s="1394">
        <f t="shared" si="934"/>
        <v>0</v>
      </c>
      <c r="S3350" s="1394">
        <f>IFERROR(VLOOKUP(M3350,#REF!,6,0),0)</f>
        <v>0</v>
      </c>
      <c r="T3350" s="1394">
        <f t="shared" si="937"/>
        <v>0</v>
      </c>
      <c r="U3350" s="1394">
        <f>IFERROR(VLOOKUP(M3350,#REF!,5,0),0)</f>
        <v>0</v>
      </c>
      <c r="V3350" s="1394">
        <f t="shared" si="938"/>
        <v>0</v>
      </c>
      <c r="W3350" s="1394"/>
    </row>
    <row r="3351" spans="1:26" ht="30" customHeight="1">
      <c r="B3351" s="1407"/>
      <c r="C3351" s="1422" t="str">
        <f t="shared" si="941"/>
        <v>SI TOILET</v>
      </c>
      <c r="D3351" s="1389">
        <f t="shared" si="941"/>
        <v>1</v>
      </c>
      <c r="E3351" s="1389">
        <f t="shared" si="941"/>
        <v>1</v>
      </c>
      <c r="F3351" s="1423">
        <f t="shared" si="941"/>
        <v>0</v>
      </c>
      <c r="G3351" s="1423" t="str">
        <f t="shared" si="941"/>
        <v>-</v>
      </c>
      <c r="H3351" s="1424" t="str">
        <f t="shared" si="941"/>
        <v>-</v>
      </c>
      <c r="I3351" s="1425">
        <f t="shared" si="941"/>
        <v>1</v>
      </c>
      <c r="Q3351" s="1394">
        <f>IFERROR(VLOOKUP(M3351,#REF!,3,0),0)</f>
        <v>0</v>
      </c>
      <c r="R3351" s="1394">
        <f t="shared" si="934"/>
        <v>0</v>
      </c>
      <c r="S3351" s="1394">
        <f>IFERROR(VLOOKUP(M3351,#REF!,6,0),0)</f>
        <v>0</v>
      </c>
      <c r="T3351" s="1394">
        <f t="shared" si="937"/>
        <v>0</v>
      </c>
      <c r="U3351" s="1394">
        <f>IFERROR(VLOOKUP(M3351,#REF!,5,0),0)</f>
        <v>0</v>
      </c>
      <c r="V3351" s="1394">
        <f t="shared" si="938"/>
        <v>0</v>
      </c>
      <c r="W3351" s="1394"/>
    </row>
    <row r="3352" spans="1:26" ht="30" customHeight="1">
      <c r="B3352" s="1407"/>
      <c r="C3352" s="1422" t="str">
        <f t="shared" si="941"/>
        <v>INS ROOM</v>
      </c>
      <c r="D3352" s="1389">
        <f t="shared" si="941"/>
        <v>1</v>
      </c>
      <c r="E3352" s="1389">
        <f t="shared" si="941"/>
        <v>1</v>
      </c>
      <c r="F3352" s="1423">
        <f t="shared" si="941"/>
        <v>0</v>
      </c>
      <c r="G3352" s="1423" t="str">
        <f t="shared" si="941"/>
        <v>-</v>
      </c>
      <c r="H3352" s="1424" t="str">
        <f t="shared" si="941"/>
        <v>-</v>
      </c>
      <c r="I3352" s="1425">
        <f t="shared" si="941"/>
        <v>1</v>
      </c>
      <c r="Q3352" s="1394">
        <f>IFERROR(VLOOKUP(M3352,#REF!,3,0),0)</f>
        <v>0</v>
      </c>
      <c r="R3352" s="1394">
        <f t="shared" si="934"/>
        <v>0</v>
      </c>
      <c r="S3352" s="1394">
        <f>IFERROR(VLOOKUP(M3352,#REF!,6,0),0)</f>
        <v>0</v>
      </c>
      <c r="T3352" s="1394">
        <f t="shared" si="937"/>
        <v>0</v>
      </c>
      <c r="U3352" s="1394">
        <f>IFERROR(VLOOKUP(M3352,#REF!,5,0),0)</f>
        <v>0</v>
      </c>
      <c r="V3352" s="1394">
        <f t="shared" si="938"/>
        <v>0</v>
      </c>
      <c r="W3352" s="1394"/>
    </row>
    <row r="3353" spans="1:26" ht="30" customHeight="1">
      <c r="B3353" s="1407"/>
      <c r="C3353" s="1422" t="str">
        <f t="shared" si="941"/>
        <v>INS TOILET</v>
      </c>
      <c r="D3353" s="1389">
        <f t="shared" si="941"/>
        <v>1</v>
      </c>
      <c r="E3353" s="1389">
        <f t="shared" si="941"/>
        <v>1</v>
      </c>
      <c r="F3353" s="1423">
        <f t="shared" si="941"/>
        <v>0</v>
      </c>
      <c r="G3353" s="1423" t="str">
        <f t="shared" si="941"/>
        <v>-</v>
      </c>
      <c r="H3353" s="1424" t="str">
        <f t="shared" si="941"/>
        <v>-</v>
      </c>
      <c r="I3353" s="1425">
        <f t="shared" si="941"/>
        <v>1</v>
      </c>
      <c r="Q3353" s="1394">
        <f>IFERROR(VLOOKUP(M3353,#REF!,3,0),0)</f>
        <v>0</v>
      </c>
      <c r="R3353" s="1394">
        <f t="shared" si="934"/>
        <v>0</v>
      </c>
      <c r="S3353" s="1394">
        <f>IFERROR(VLOOKUP(M3353,#REF!,6,0),0)</f>
        <v>0</v>
      </c>
      <c r="T3353" s="1394">
        <f t="shared" si="937"/>
        <v>0</v>
      </c>
      <c r="U3353" s="1394">
        <f>IFERROR(VLOOKUP(M3353,#REF!,5,0),0)</f>
        <v>0</v>
      </c>
      <c r="V3353" s="1394">
        <f t="shared" si="938"/>
        <v>0</v>
      </c>
      <c r="W3353" s="1394"/>
    </row>
    <row r="3354" spans="1:26" ht="30" customHeight="1">
      <c r="B3354" s="1407"/>
      <c r="C3354" s="1422" t="str">
        <f t="shared" si="941"/>
        <v>COMMON TOILET PASSAGE</v>
      </c>
      <c r="D3354" s="1389">
        <f t="shared" si="941"/>
        <v>1</v>
      </c>
      <c r="E3354" s="1389">
        <f t="shared" si="941"/>
        <v>1</v>
      </c>
      <c r="F3354" s="1423">
        <f t="shared" si="941"/>
        <v>0</v>
      </c>
      <c r="G3354" s="1423" t="str">
        <f t="shared" si="941"/>
        <v>-</v>
      </c>
      <c r="H3354" s="1424" t="str">
        <f t="shared" si="941"/>
        <v>-</v>
      </c>
      <c r="I3354" s="1425">
        <f t="shared" si="941"/>
        <v>1</v>
      </c>
      <c r="Q3354" s="1394">
        <f>IFERROR(VLOOKUP(M3354,#REF!,3,0),0)</f>
        <v>0</v>
      </c>
      <c r="R3354" s="1394">
        <f t="shared" si="934"/>
        <v>0</v>
      </c>
      <c r="S3354" s="1394">
        <f>IFERROR(VLOOKUP(M3354,#REF!,6,0),0)</f>
        <v>0</v>
      </c>
      <c r="T3354" s="1394">
        <f t="shared" si="937"/>
        <v>0</v>
      </c>
      <c r="U3354" s="1394">
        <f>IFERROR(VLOOKUP(M3354,#REF!,5,0),0)</f>
        <v>0</v>
      </c>
      <c r="V3354" s="1394">
        <f t="shared" si="938"/>
        <v>0</v>
      </c>
      <c r="W3354" s="1394"/>
    </row>
    <row r="3355" spans="1:26" ht="30" customHeight="1">
      <c r="B3355" s="1407"/>
      <c r="C3355" s="1422" t="str">
        <f t="shared" si="941"/>
        <v>COMMON TOILET PASSAGE</v>
      </c>
      <c r="D3355" s="1389">
        <f t="shared" si="941"/>
        <v>1</v>
      </c>
      <c r="E3355" s="1389">
        <f t="shared" si="941"/>
        <v>1</v>
      </c>
      <c r="F3355" s="1423">
        <f t="shared" si="941"/>
        <v>0</v>
      </c>
      <c r="G3355" s="1423" t="str">
        <f t="shared" si="941"/>
        <v>-</v>
      </c>
      <c r="H3355" s="1424" t="str">
        <f t="shared" si="941"/>
        <v>-</v>
      </c>
      <c r="I3355" s="1425">
        <f t="shared" si="941"/>
        <v>1</v>
      </c>
      <c r="M3355" s="110"/>
      <c r="Q3355" s="1394">
        <f>IFERROR(VLOOKUP(M3355,#REF!,3,0),0)</f>
        <v>0</v>
      </c>
      <c r="R3355" s="1394">
        <f t="shared" si="934"/>
        <v>0</v>
      </c>
      <c r="S3355" s="1394">
        <f>IFERROR(VLOOKUP(M3355,#REF!,6,0),0)</f>
        <v>0</v>
      </c>
      <c r="T3355" s="1394">
        <f t="shared" si="937"/>
        <v>0</v>
      </c>
      <c r="U3355" s="1394">
        <f>IFERROR(VLOOKUP(M3355,#REF!,5,0),0)</f>
        <v>0</v>
      </c>
      <c r="V3355" s="1394">
        <f t="shared" si="938"/>
        <v>0</v>
      </c>
      <c r="W3355" s="1394"/>
    </row>
    <row r="3356" spans="1:26" ht="30" customHeight="1">
      <c r="B3356" s="1407"/>
      <c r="C3356" s="1457" t="str">
        <f t="shared" si="941"/>
        <v>SECOND FLOOR</v>
      </c>
      <c r="D3356" s="1389">
        <f t="shared" si="941"/>
        <v>0</v>
      </c>
      <c r="E3356" s="1389">
        <f t="shared" si="941"/>
        <v>0</v>
      </c>
      <c r="F3356" s="1423">
        <f t="shared" si="941"/>
        <v>0</v>
      </c>
      <c r="G3356" s="1423">
        <f t="shared" si="941"/>
        <v>0</v>
      </c>
      <c r="H3356" s="1424">
        <f t="shared" si="941"/>
        <v>0</v>
      </c>
      <c r="I3356" s="1425">
        <f t="shared" si="941"/>
        <v>0</v>
      </c>
      <c r="M3356" s="110"/>
      <c r="Q3356" s="1394">
        <f>IFERROR(VLOOKUP(M3356,#REF!,3,0),0)</f>
        <v>0</v>
      </c>
      <c r="R3356" s="1394">
        <f t="shared" si="934"/>
        <v>0</v>
      </c>
      <c r="S3356" s="1394">
        <f>IFERROR(VLOOKUP(M3356,#REF!,6,0),0)</f>
        <v>0</v>
      </c>
      <c r="T3356" s="1394">
        <f t="shared" si="937"/>
        <v>0</v>
      </c>
      <c r="U3356" s="1394">
        <f>IFERROR(VLOOKUP(M3356,#REF!,5,0),0)</f>
        <v>0</v>
      </c>
      <c r="V3356" s="1394">
        <f t="shared" si="938"/>
        <v>0</v>
      </c>
      <c r="W3356" s="1394"/>
    </row>
    <row r="3357" spans="1:26" ht="30" customHeight="1">
      <c r="B3357" s="1407"/>
      <c r="C3357" s="1422" t="str">
        <f t="shared" si="941"/>
        <v>WOMEN  REST ROOM</v>
      </c>
      <c r="D3357" s="1389">
        <f t="shared" si="941"/>
        <v>1</v>
      </c>
      <c r="E3357" s="1389">
        <f t="shared" si="941"/>
        <v>1</v>
      </c>
      <c r="F3357" s="1423">
        <f t="shared" si="941"/>
        <v>0</v>
      </c>
      <c r="G3357" s="1423" t="str">
        <f t="shared" si="941"/>
        <v>-</v>
      </c>
      <c r="H3357" s="1424" t="str">
        <f t="shared" si="941"/>
        <v>-</v>
      </c>
      <c r="I3357" s="1425">
        <f t="shared" si="941"/>
        <v>1</v>
      </c>
      <c r="M3357" s="110"/>
      <c r="Q3357" s="1394">
        <f>IFERROR(VLOOKUP(M3357,#REF!,3,0),0)</f>
        <v>0</v>
      </c>
      <c r="R3357" s="1394">
        <f t="shared" si="934"/>
        <v>0</v>
      </c>
      <c r="S3357" s="1394">
        <f>IFERROR(VLOOKUP(M3357,#REF!,6,0),0)</f>
        <v>0</v>
      </c>
      <c r="T3357" s="1394">
        <f t="shared" si="937"/>
        <v>0</v>
      </c>
      <c r="U3357" s="1394">
        <f>IFERROR(VLOOKUP(M3357,#REF!,5,0),0)</f>
        <v>0</v>
      </c>
      <c r="V3357" s="1394">
        <f t="shared" si="938"/>
        <v>0</v>
      </c>
      <c r="W3357" s="1394"/>
    </row>
    <row r="3358" spans="1:26" ht="30" customHeight="1">
      <c r="B3358" s="1407"/>
      <c r="C3358" s="1422" t="str">
        <f t="shared" si="941"/>
        <v>WOMEN  REST ROOM TOILET</v>
      </c>
      <c r="D3358" s="1389">
        <f t="shared" si="941"/>
        <v>1</v>
      </c>
      <c r="E3358" s="1389">
        <f t="shared" si="941"/>
        <v>1</v>
      </c>
      <c r="F3358" s="1423">
        <f t="shared" si="941"/>
        <v>0</v>
      </c>
      <c r="G3358" s="1423" t="str">
        <f t="shared" si="941"/>
        <v>-</v>
      </c>
      <c r="H3358" s="1424" t="str">
        <f t="shared" si="941"/>
        <v>-</v>
      </c>
      <c r="I3358" s="1425">
        <f t="shared" si="941"/>
        <v>1</v>
      </c>
      <c r="M3358" s="110"/>
      <c r="Q3358" s="1394">
        <f>IFERROR(VLOOKUP(M3358,#REF!,3,0),0)</f>
        <v>0</v>
      </c>
      <c r="R3358" s="1394">
        <f t="shared" si="934"/>
        <v>0</v>
      </c>
      <c r="S3358" s="1394">
        <f>IFERROR(VLOOKUP(M3358,#REF!,6,0),0)</f>
        <v>0</v>
      </c>
      <c r="T3358" s="1394">
        <f t="shared" si="937"/>
        <v>0</v>
      </c>
      <c r="U3358" s="1394">
        <f>IFERROR(VLOOKUP(M3358,#REF!,5,0),0)</f>
        <v>0</v>
      </c>
      <c r="V3358" s="1394">
        <f t="shared" si="938"/>
        <v>0</v>
      </c>
      <c r="W3358" s="1394"/>
    </row>
    <row r="3359" spans="1:26" ht="30" customHeight="1">
      <c r="B3359" s="1407"/>
      <c r="C3359" s="1422" t="str">
        <f t="shared" ref="C3359:I3368" si="942">C3333</f>
        <v>INS CRIME</v>
      </c>
      <c r="D3359" s="1389">
        <f t="shared" si="942"/>
        <v>1</v>
      </c>
      <c r="E3359" s="1389">
        <f t="shared" si="942"/>
        <v>1</v>
      </c>
      <c r="F3359" s="1423">
        <f t="shared" si="942"/>
        <v>0</v>
      </c>
      <c r="G3359" s="1423" t="str">
        <f t="shared" si="942"/>
        <v>-</v>
      </c>
      <c r="H3359" s="1424" t="str">
        <f t="shared" si="942"/>
        <v>-</v>
      </c>
      <c r="I3359" s="1425">
        <f t="shared" si="942"/>
        <v>1</v>
      </c>
      <c r="M3359" s="110"/>
      <c r="Q3359" s="1394">
        <f>IFERROR(VLOOKUP(M3359,#REF!,3,0),0)</f>
        <v>0</v>
      </c>
      <c r="R3359" s="1394">
        <f t="shared" si="934"/>
        <v>0</v>
      </c>
      <c r="S3359" s="1394">
        <f>IFERROR(VLOOKUP(M3359,#REF!,6,0),0)</f>
        <v>0</v>
      </c>
      <c r="T3359" s="1394">
        <f t="shared" si="937"/>
        <v>0</v>
      </c>
      <c r="U3359" s="1394">
        <f>IFERROR(VLOOKUP(M3359,#REF!,5,0),0)</f>
        <v>0</v>
      </c>
      <c r="V3359" s="1394">
        <f t="shared" si="938"/>
        <v>0</v>
      </c>
      <c r="W3359" s="1394"/>
    </row>
    <row r="3360" spans="1:26" ht="30" customHeight="1">
      <c r="B3360" s="1407"/>
      <c r="C3360" s="1422" t="str">
        <f t="shared" si="942"/>
        <v>INS CRIME TOILET</v>
      </c>
      <c r="D3360" s="1389">
        <f t="shared" si="942"/>
        <v>1</v>
      </c>
      <c r="E3360" s="1389">
        <f t="shared" si="942"/>
        <v>1</v>
      </c>
      <c r="F3360" s="1423">
        <f t="shared" si="942"/>
        <v>0</v>
      </c>
      <c r="G3360" s="1423" t="str">
        <f t="shared" si="942"/>
        <v>-</v>
      </c>
      <c r="H3360" s="1424" t="str">
        <f t="shared" si="942"/>
        <v>-</v>
      </c>
      <c r="I3360" s="1425">
        <f t="shared" si="942"/>
        <v>1</v>
      </c>
      <c r="M3360" s="110"/>
      <c r="Q3360" s="1394">
        <f>IFERROR(VLOOKUP(M3360,#REF!,3,0),0)</f>
        <v>0</v>
      </c>
      <c r="R3360" s="1394">
        <f t="shared" si="934"/>
        <v>0</v>
      </c>
      <c r="S3360" s="1394">
        <f>IFERROR(VLOOKUP(M3360,#REF!,6,0),0)</f>
        <v>0</v>
      </c>
      <c r="T3360" s="1394">
        <f t="shared" si="937"/>
        <v>0</v>
      </c>
      <c r="U3360" s="1394">
        <f>IFERROR(VLOOKUP(M3360,#REF!,5,0),0)</f>
        <v>0</v>
      </c>
      <c r="V3360" s="1394">
        <f t="shared" si="938"/>
        <v>0</v>
      </c>
      <c r="W3360" s="1394"/>
    </row>
    <row r="3361" spans="1:26" ht="30" customHeight="1">
      <c r="B3361" s="1407"/>
      <c r="C3361" s="1422" t="str">
        <f t="shared" si="942"/>
        <v>SI ROOM</v>
      </c>
      <c r="D3361" s="1389">
        <f t="shared" si="942"/>
        <v>1</v>
      </c>
      <c r="E3361" s="1389">
        <f t="shared" si="942"/>
        <v>1</v>
      </c>
      <c r="F3361" s="1423">
        <f t="shared" si="942"/>
        <v>0</v>
      </c>
      <c r="G3361" s="1423" t="str">
        <f t="shared" si="942"/>
        <v>-</v>
      </c>
      <c r="H3361" s="1424" t="str">
        <f t="shared" si="942"/>
        <v>-</v>
      </c>
      <c r="I3361" s="1425">
        <f t="shared" si="942"/>
        <v>1</v>
      </c>
      <c r="M3361" s="110"/>
      <c r="Q3361" s="1394">
        <f>IFERROR(VLOOKUP(M3361,#REF!,3,0),0)</f>
        <v>0</v>
      </c>
      <c r="R3361" s="1394">
        <f t="shared" si="934"/>
        <v>0</v>
      </c>
      <c r="S3361" s="1394">
        <f>IFERROR(VLOOKUP(M3361,#REF!,6,0),0)</f>
        <v>0</v>
      </c>
      <c r="T3361" s="1394">
        <f t="shared" si="937"/>
        <v>0</v>
      </c>
      <c r="U3361" s="1394">
        <f>IFERROR(VLOOKUP(M3361,#REF!,5,0),0)</f>
        <v>0</v>
      </c>
      <c r="V3361" s="1394">
        <f t="shared" si="938"/>
        <v>0</v>
      </c>
      <c r="W3361" s="1394"/>
    </row>
    <row r="3362" spans="1:26" ht="30" customHeight="1">
      <c r="B3362" s="1407"/>
      <c r="C3362" s="1422" t="str">
        <f t="shared" si="942"/>
        <v>COMMON TOILET PASSAGE</v>
      </c>
      <c r="D3362" s="1389">
        <f t="shared" si="942"/>
        <v>1</v>
      </c>
      <c r="E3362" s="1389">
        <f t="shared" si="942"/>
        <v>1</v>
      </c>
      <c r="F3362" s="1423">
        <f t="shared" si="942"/>
        <v>0</v>
      </c>
      <c r="G3362" s="1423" t="str">
        <f t="shared" si="942"/>
        <v>-</v>
      </c>
      <c r="H3362" s="1424" t="str">
        <f t="shared" si="942"/>
        <v>-</v>
      </c>
      <c r="I3362" s="1425">
        <f t="shared" si="942"/>
        <v>1</v>
      </c>
      <c r="M3362" s="110"/>
      <c r="Q3362" s="1394">
        <f>IFERROR(VLOOKUP(M3362,#REF!,3,0),0)</f>
        <v>0</v>
      </c>
      <c r="R3362" s="1394">
        <f t="shared" si="934"/>
        <v>0</v>
      </c>
      <c r="S3362" s="1394">
        <f>IFERROR(VLOOKUP(M3362,#REF!,6,0),0)</f>
        <v>0</v>
      </c>
      <c r="T3362" s="1394">
        <f t="shared" si="937"/>
        <v>0</v>
      </c>
      <c r="U3362" s="1394">
        <f>IFERROR(VLOOKUP(M3362,#REF!,5,0),0)</f>
        <v>0</v>
      </c>
      <c r="V3362" s="1394">
        <f t="shared" si="938"/>
        <v>0</v>
      </c>
      <c r="W3362" s="1394"/>
    </row>
    <row r="3363" spans="1:26" ht="30" customHeight="1">
      <c r="B3363" s="1407"/>
      <c r="C3363" s="1422" t="str">
        <f t="shared" si="942"/>
        <v>COMMON TOILET PASSAGE</v>
      </c>
      <c r="D3363" s="1389">
        <f t="shared" si="942"/>
        <v>1</v>
      </c>
      <c r="E3363" s="1389">
        <f t="shared" si="942"/>
        <v>1</v>
      </c>
      <c r="F3363" s="1423">
        <f t="shared" si="942"/>
        <v>0</v>
      </c>
      <c r="G3363" s="1423" t="str">
        <f t="shared" si="942"/>
        <v>-</v>
      </c>
      <c r="H3363" s="1424" t="str">
        <f t="shared" si="942"/>
        <v>-</v>
      </c>
      <c r="I3363" s="1425">
        <f t="shared" si="942"/>
        <v>1</v>
      </c>
      <c r="M3363" s="110"/>
      <c r="Q3363" s="1394">
        <f>IFERROR(VLOOKUP(M3363,#REF!,3,0),0)</f>
        <v>0</v>
      </c>
      <c r="R3363" s="1394">
        <f t="shared" si="934"/>
        <v>0</v>
      </c>
      <c r="S3363" s="1394">
        <f>IFERROR(VLOOKUP(M3363,#REF!,6,0),0)</f>
        <v>0</v>
      </c>
      <c r="T3363" s="1394">
        <f t="shared" si="937"/>
        <v>0</v>
      </c>
      <c r="U3363" s="1394">
        <f>IFERROR(VLOOKUP(M3363,#REF!,5,0),0)</f>
        <v>0</v>
      </c>
      <c r="V3363" s="1394">
        <f t="shared" si="938"/>
        <v>0</v>
      </c>
      <c r="W3363" s="1394"/>
    </row>
    <row r="3364" spans="1:26" ht="30" customHeight="1">
      <c r="B3364" s="1407"/>
      <c r="C3364" s="1457" t="str">
        <f t="shared" si="942"/>
        <v>THIRD FLOOR</v>
      </c>
      <c r="D3364" s="1389">
        <f t="shared" si="942"/>
        <v>0</v>
      </c>
      <c r="E3364" s="1389">
        <f t="shared" si="942"/>
        <v>0</v>
      </c>
      <c r="F3364" s="1423">
        <f t="shared" si="942"/>
        <v>0</v>
      </c>
      <c r="G3364" s="1423">
        <f t="shared" si="942"/>
        <v>0</v>
      </c>
      <c r="H3364" s="1424">
        <f t="shared" si="942"/>
        <v>0</v>
      </c>
      <c r="I3364" s="1425">
        <f t="shared" si="942"/>
        <v>0</v>
      </c>
      <c r="M3364" s="110"/>
      <c r="Q3364" s="1394">
        <f>IFERROR(VLOOKUP(M3364,#REF!,3,0),0)</f>
        <v>0</v>
      </c>
      <c r="R3364" s="1394">
        <f t="shared" si="934"/>
        <v>0</v>
      </c>
      <c r="S3364" s="1394">
        <f>IFERROR(VLOOKUP(M3364,#REF!,6,0),0)</f>
        <v>0</v>
      </c>
      <c r="T3364" s="1394">
        <f t="shared" si="937"/>
        <v>0</v>
      </c>
      <c r="U3364" s="1394">
        <f>IFERROR(VLOOKUP(M3364,#REF!,5,0),0)</f>
        <v>0</v>
      </c>
      <c r="V3364" s="1394">
        <f t="shared" si="938"/>
        <v>0</v>
      </c>
      <c r="W3364" s="1394"/>
    </row>
    <row r="3365" spans="1:26" ht="30" customHeight="1">
      <c r="B3365" s="1407"/>
      <c r="C3365" s="1422" t="str">
        <f t="shared" si="942"/>
        <v>MEN REST ROOM</v>
      </c>
      <c r="D3365" s="1389">
        <f t="shared" si="942"/>
        <v>1</v>
      </c>
      <c r="E3365" s="1389">
        <f t="shared" si="942"/>
        <v>1</v>
      </c>
      <c r="F3365" s="1423">
        <f t="shared" si="942"/>
        <v>0</v>
      </c>
      <c r="G3365" s="1423" t="str">
        <f t="shared" si="942"/>
        <v>-</v>
      </c>
      <c r="H3365" s="1424" t="str">
        <f t="shared" si="942"/>
        <v>-</v>
      </c>
      <c r="I3365" s="1425">
        <f t="shared" si="942"/>
        <v>1</v>
      </c>
      <c r="M3365" s="110"/>
      <c r="Q3365" s="1394">
        <f>IFERROR(VLOOKUP(M3365,#REF!,3,0),0)</f>
        <v>0</v>
      </c>
      <c r="R3365" s="1394">
        <f t="shared" si="934"/>
        <v>0</v>
      </c>
      <c r="S3365" s="1394">
        <f>IFERROR(VLOOKUP(M3365,#REF!,6,0),0)</f>
        <v>0</v>
      </c>
      <c r="T3365" s="1394">
        <f t="shared" si="937"/>
        <v>0</v>
      </c>
      <c r="U3365" s="1394">
        <f>IFERROR(VLOOKUP(M3365,#REF!,5,0),0)</f>
        <v>0</v>
      </c>
      <c r="V3365" s="1394">
        <f t="shared" si="938"/>
        <v>0</v>
      </c>
      <c r="W3365" s="1394"/>
    </row>
    <row r="3366" spans="1:26" ht="30" customHeight="1">
      <c r="B3366" s="1407"/>
      <c r="C3366" s="1422" t="str">
        <f t="shared" si="942"/>
        <v>MEN REST ROOM TOILET</v>
      </c>
      <c r="D3366" s="1389">
        <f t="shared" si="942"/>
        <v>1</v>
      </c>
      <c r="E3366" s="1389">
        <f t="shared" si="942"/>
        <v>1</v>
      </c>
      <c r="F3366" s="1423">
        <f t="shared" si="942"/>
        <v>0</v>
      </c>
      <c r="G3366" s="1423" t="str">
        <f t="shared" si="942"/>
        <v>-</v>
      </c>
      <c r="H3366" s="1424" t="str">
        <f t="shared" si="942"/>
        <v>-</v>
      </c>
      <c r="I3366" s="1425">
        <f t="shared" si="942"/>
        <v>1</v>
      </c>
      <c r="M3366" s="110"/>
      <c r="Q3366" s="1394">
        <f>IFERROR(VLOOKUP(M3366,#REF!,3,0),0)</f>
        <v>0</v>
      </c>
      <c r="R3366" s="1394">
        <f t="shared" si="934"/>
        <v>0</v>
      </c>
      <c r="S3366" s="1394">
        <f>IFERROR(VLOOKUP(M3366,#REF!,6,0),0)</f>
        <v>0</v>
      </c>
      <c r="T3366" s="1394">
        <f t="shared" si="937"/>
        <v>0</v>
      </c>
      <c r="U3366" s="1394">
        <f>IFERROR(VLOOKUP(M3366,#REF!,5,0),0)</f>
        <v>0</v>
      </c>
      <c r="V3366" s="1394">
        <f t="shared" si="938"/>
        <v>0</v>
      </c>
      <c r="W3366" s="1394"/>
    </row>
    <row r="3367" spans="1:26" ht="30" customHeight="1">
      <c r="B3367" s="1407"/>
      <c r="C3367" s="1422" t="str">
        <f t="shared" si="942"/>
        <v>MEN REST ROOM</v>
      </c>
      <c r="D3367" s="1389">
        <f t="shared" si="942"/>
        <v>1</v>
      </c>
      <c r="E3367" s="1389">
        <f t="shared" si="942"/>
        <v>1</v>
      </c>
      <c r="F3367" s="1423">
        <f t="shared" si="942"/>
        <v>0</v>
      </c>
      <c r="G3367" s="1423" t="str">
        <f t="shared" si="942"/>
        <v>-</v>
      </c>
      <c r="H3367" s="1424" t="str">
        <f t="shared" si="942"/>
        <v>-</v>
      </c>
      <c r="I3367" s="1425">
        <f t="shared" si="942"/>
        <v>1</v>
      </c>
      <c r="M3367" s="110"/>
      <c r="Q3367" s="1394">
        <f>IFERROR(VLOOKUP(M3367,#REF!,3,0),0)</f>
        <v>0</v>
      </c>
      <c r="R3367" s="1394">
        <f t="shared" si="934"/>
        <v>0</v>
      </c>
      <c r="S3367" s="1394">
        <f>IFERROR(VLOOKUP(M3367,#REF!,6,0),0)</f>
        <v>0</v>
      </c>
      <c r="T3367" s="1394">
        <f t="shared" si="937"/>
        <v>0</v>
      </c>
      <c r="U3367" s="1394">
        <f>IFERROR(VLOOKUP(M3367,#REF!,5,0),0)</f>
        <v>0</v>
      </c>
      <c r="V3367" s="1394">
        <f t="shared" si="938"/>
        <v>0</v>
      </c>
      <c r="W3367" s="1394"/>
    </row>
    <row r="3368" spans="1:26" ht="30" customHeight="1">
      <c r="B3368" s="1407"/>
      <c r="C3368" s="1422" t="str">
        <f t="shared" si="942"/>
        <v>MEN REST ROOM TOILET</v>
      </c>
      <c r="D3368" s="1389">
        <f t="shared" si="942"/>
        <v>1</v>
      </c>
      <c r="E3368" s="1389">
        <f t="shared" si="942"/>
        <v>1</v>
      </c>
      <c r="F3368" s="1423">
        <f t="shared" si="942"/>
        <v>0</v>
      </c>
      <c r="G3368" s="1423" t="str">
        <f t="shared" si="942"/>
        <v>-</v>
      </c>
      <c r="H3368" s="1424" t="str">
        <f t="shared" si="942"/>
        <v>-</v>
      </c>
      <c r="I3368" s="1425">
        <f t="shared" si="942"/>
        <v>1</v>
      </c>
      <c r="M3368" s="110"/>
      <c r="Q3368" s="1394">
        <f>IFERROR(VLOOKUP(M3368,#REF!,3,0),0)</f>
        <v>0</v>
      </c>
      <c r="R3368" s="1394">
        <f t="shared" si="934"/>
        <v>0</v>
      </c>
      <c r="S3368" s="1394">
        <f>IFERROR(VLOOKUP(M3368,#REF!,6,0),0)</f>
        <v>0</v>
      </c>
      <c r="T3368" s="1394">
        <f t="shared" si="937"/>
        <v>0</v>
      </c>
      <c r="U3368" s="1394">
        <f>IFERROR(VLOOKUP(M3368,#REF!,5,0),0)</f>
        <v>0</v>
      </c>
      <c r="V3368" s="1394">
        <f t="shared" si="938"/>
        <v>0</v>
      </c>
      <c r="W3368" s="1394"/>
    </row>
    <row r="3369" spans="1:26" ht="30" customHeight="1">
      <c r="B3369" s="1407"/>
      <c r="C3369" s="1422" t="str">
        <f t="shared" ref="C3369:I3370" si="943">C3343</f>
        <v>INS TRAFIC</v>
      </c>
      <c r="D3369" s="1389">
        <f t="shared" si="943"/>
        <v>1</v>
      </c>
      <c r="E3369" s="1389">
        <f t="shared" si="943"/>
        <v>1</v>
      </c>
      <c r="F3369" s="1423">
        <f t="shared" si="943"/>
        <v>0</v>
      </c>
      <c r="G3369" s="1423" t="str">
        <f t="shared" si="943"/>
        <v>-</v>
      </c>
      <c r="H3369" s="1424" t="str">
        <f t="shared" si="943"/>
        <v>-</v>
      </c>
      <c r="I3369" s="1425">
        <f t="shared" si="943"/>
        <v>1</v>
      </c>
      <c r="M3369" s="110"/>
      <c r="Q3369" s="1394">
        <f>IFERROR(VLOOKUP(M3369,#REF!,3,0),0)</f>
        <v>0</v>
      </c>
      <c r="R3369" s="1394">
        <f t="shared" si="934"/>
        <v>0</v>
      </c>
      <c r="S3369" s="1394">
        <f>IFERROR(VLOOKUP(M3369,#REF!,6,0),0)</f>
        <v>0</v>
      </c>
      <c r="T3369" s="1394">
        <f t="shared" si="937"/>
        <v>0</v>
      </c>
      <c r="U3369" s="1394">
        <f>IFERROR(VLOOKUP(M3369,#REF!,5,0),0)</f>
        <v>0</v>
      </c>
      <c r="V3369" s="1394">
        <f t="shared" si="938"/>
        <v>0</v>
      </c>
      <c r="W3369" s="1394"/>
    </row>
    <row r="3370" spans="1:26" ht="30" customHeight="1">
      <c r="B3370" s="1407"/>
      <c r="C3370" s="1422" t="str">
        <f t="shared" si="943"/>
        <v>INS TRAFIC TOILET</v>
      </c>
      <c r="D3370" s="1389">
        <f t="shared" si="943"/>
        <v>1</v>
      </c>
      <c r="E3370" s="1389">
        <f t="shared" si="943"/>
        <v>1</v>
      </c>
      <c r="F3370" s="1423">
        <f t="shared" si="943"/>
        <v>0</v>
      </c>
      <c r="G3370" s="1423" t="str">
        <f t="shared" si="943"/>
        <v>-</v>
      </c>
      <c r="H3370" s="1424" t="str">
        <f t="shared" si="943"/>
        <v>-</v>
      </c>
      <c r="I3370" s="1425">
        <f t="shared" si="943"/>
        <v>1</v>
      </c>
      <c r="M3370" s="110"/>
      <c r="Q3370" s="1394">
        <f>IFERROR(VLOOKUP(M3370,#REF!,3,0),0)</f>
        <v>0</v>
      </c>
      <c r="R3370" s="1394">
        <f t="shared" si="934"/>
        <v>0</v>
      </c>
      <c r="S3370" s="1394">
        <f>IFERROR(VLOOKUP(M3370,#REF!,6,0),0)</f>
        <v>0</v>
      </c>
      <c r="T3370" s="1394">
        <f t="shared" si="937"/>
        <v>0</v>
      </c>
      <c r="U3370" s="1394">
        <f>IFERROR(VLOOKUP(M3370,#REF!,5,0),0)</f>
        <v>0</v>
      </c>
      <c r="V3370" s="1394">
        <f t="shared" si="938"/>
        <v>0</v>
      </c>
      <c r="W3370" s="1394"/>
    </row>
    <row r="3371" spans="1:26" ht="30" customHeight="1">
      <c r="B3371" s="1407"/>
      <c r="C3371" s="1455"/>
      <c r="D3371" s="103"/>
      <c r="E3371" s="103"/>
      <c r="F3371" s="1413"/>
      <c r="G3371" s="1413"/>
      <c r="H3371" s="1414"/>
      <c r="I3371" s="1406"/>
      <c r="Q3371" s="1394">
        <f>IFERROR(VLOOKUP(M3371,#REF!,3,0),0)</f>
        <v>0</v>
      </c>
      <c r="R3371" s="1394">
        <f t="shared" si="934"/>
        <v>0</v>
      </c>
      <c r="S3371" s="1394">
        <f>IFERROR(VLOOKUP(M3371,#REF!,6,0),0)</f>
        <v>0</v>
      </c>
      <c r="T3371" s="1394">
        <f t="shared" si="937"/>
        <v>0</v>
      </c>
      <c r="U3371" s="1394">
        <f>IFERROR(VLOOKUP(M3371,#REF!,5,0),0)</f>
        <v>0</v>
      </c>
      <c r="V3371" s="1394">
        <f t="shared" si="938"/>
        <v>0</v>
      </c>
      <c r="W3371" s="1394"/>
    </row>
    <row r="3372" spans="1:26" ht="30" customHeight="1">
      <c r="B3372" s="1407"/>
      <c r="C3372" s="1455"/>
      <c r="D3372" s="103"/>
      <c r="E3372" s="103"/>
      <c r="F3372" s="1413"/>
      <c r="G3372" s="1413"/>
      <c r="H3372" s="1414"/>
      <c r="I3372" s="1479">
        <f>SUM(I3349:I3371)</f>
        <v>19</v>
      </c>
      <c r="Q3372" s="1394">
        <f>IFERROR(VLOOKUP(M3372,#REF!,3,0),0)</f>
        <v>0</v>
      </c>
      <c r="R3372" s="1394">
        <f t="shared" si="934"/>
        <v>0</v>
      </c>
      <c r="S3372" s="1394">
        <f>IFERROR(VLOOKUP(M3372,#REF!,6,0),0)</f>
        <v>0</v>
      </c>
      <c r="T3372" s="1394">
        <f t="shared" si="937"/>
        <v>0</v>
      </c>
      <c r="U3372" s="1394">
        <f>IFERROR(VLOOKUP(M3372,#REF!,5,0),0)</f>
        <v>0</v>
      </c>
      <c r="V3372" s="1394">
        <f t="shared" si="938"/>
        <v>0</v>
      </c>
      <c r="W3372" s="1394"/>
    </row>
    <row r="3373" spans="1:26" ht="30" customHeight="1">
      <c r="B3373" s="1407"/>
      <c r="C3373" s="1455"/>
      <c r="D3373" s="103"/>
      <c r="E3373" s="103"/>
      <c r="F3373" s="1413"/>
      <c r="G3373" s="1483" t="s">
        <v>11</v>
      </c>
      <c r="H3373" s="1478">
        <f>I3372</f>
        <v>19</v>
      </c>
      <c r="I3373" s="1479" t="s">
        <v>13</v>
      </c>
      <c r="M3373" s="1394" t="str">
        <f>A3348</f>
        <v>S &amp; F 5 pin Coat stand</v>
      </c>
      <c r="N3373" s="1394">
        <f>B3348</f>
        <v>48</v>
      </c>
      <c r="O3373" s="1394">
        <f>H3373</f>
        <v>19</v>
      </c>
      <c r="P3373" s="1394" t="str">
        <f>I3373</f>
        <v>Nos</v>
      </c>
      <c r="Q3373" s="1394">
        <f>IFERROR(VLOOKUP(M3373,#REF!,3,0),0)</f>
        <v>0</v>
      </c>
      <c r="R3373" s="1394">
        <f t="shared" si="934"/>
        <v>0</v>
      </c>
      <c r="S3373" s="1394">
        <f>IFERROR(VLOOKUP(M3373,#REF!,6,0),0)</f>
        <v>0</v>
      </c>
      <c r="T3373" s="1394">
        <f t="shared" si="937"/>
        <v>0</v>
      </c>
      <c r="U3373" s="1394">
        <f>IFERROR(VLOOKUP(M3373,#REF!,5,0),0)</f>
        <v>0</v>
      </c>
      <c r="V3373" s="1394">
        <f t="shared" si="938"/>
        <v>19</v>
      </c>
      <c r="W3373" s="1394"/>
      <c r="Z3373" s="1394"/>
    </row>
    <row r="3374" spans="1:26" ht="52.5" customHeight="1">
      <c r="A3374" s="110" t="s">
        <v>446</v>
      </c>
      <c r="B3374" s="1513">
        <v>49</v>
      </c>
      <c r="C3374" s="1678" t="e">
        <f>VLOOKUP(A3374,#REF!,2,0)</f>
        <v>#REF!</v>
      </c>
      <c r="D3374" s="1678"/>
      <c r="E3374" s="1678"/>
      <c r="F3374" s="1678"/>
      <c r="G3374" s="1678"/>
      <c r="H3374" s="1678"/>
      <c r="I3374" s="1406"/>
      <c r="Q3374" s="1394">
        <f>IFERROR(VLOOKUP(M3374,#REF!,3,0),0)</f>
        <v>0</v>
      </c>
      <c r="R3374" s="1394">
        <f t="shared" ref="R3374:R3437" si="944">ROUND(O3374,2)*ROUND(Q3374,2)</f>
        <v>0</v>
      </c>
      <c r="S3374" s="1394">
        <f>IFERROR(VLOOKUP(M3374,#REF!,6,0),0)</f>
        <v>0</v>
      </c>
      <c r="T3374" s="1394">
        <f t="shared" si="937"/>
        <v>0</v>
      </c>
      <c r="U3374" s="1394">
        <f>IFERROR(VLOOKUP(M3374,#REF!,5,0),0)</f>
        <v>0</v>
      </c>
      <c r="V3374" s="1394">
        <f t="shared" si="938"/>
        <v>0</v>
      </c>
      <c r="W3374" s="1394"/>
      <c r="X3374" s="1397"/>
    </row>
    <row r="3375" spans="1:26" ht="30" customHeight="1">
      <c r="B3375" s="1513"/>
      <c r="C3375" s="1494" t="s">
        <v>365</v>
      </c>
      <c r="D3375" s="68"/>
      <c r="E3375" s="68"/>
      <c r="F3375" s="1499"/>
      <c r="G3375" s="1499"/>
      <c r="H3375" s="1500"/>
      <c r="I3375" s="1406"/>
      <c r="Q3375" s="1394">
        <f>IFERROR(VLOOKUP(M3375,#REF!,3,0),0)</f>
        <v>0</v>
      </c>
      <c r="R3375" s="1394">
        <f t="shared" si="944"/>
        <v>0</v>
      </c>
      <c r="S3375" s="1394">
        <f>IFERROR(VLOOKUP(M3375,#REF!,6,0),0)</f>
        <v>0</v>
      </c>
      <c r="T3375" s="1394">
        <f t="shared" si="937"/>
        <v>0</v>
      </c>
      <c r="U3375" s="1394">
        <f>IFERROR(VLOOKUP(M3375,#REF!,5,0),0)</f>
        <v>0</v>
      </c>
      <c r="V3375" s="1394">
        <f t="shared" si="938"/>
        <v>0</v>
      </c>
      <c r="W3375" s="1394"/>
      <c r="X3375" s="1397"/>
    </row>
    <row r="3376" spans="1:26" ht="30" customHeight="1">
      <c r="B3376" s="1513"/>
      <c r="C3376" s="1497" t="s">
        <v>190</v>
      </c>
      <c r="D3376" s="68">
        <f>VLOOKUP(C3376,Sheet1!$I$7:$R$39,10,0)</f>
        <v>6</v>
      </c>
      <c r="E3376" s="68">
        <v>2</v>
      </c>
      <c r="F3376" s="1499"/>
      <c r="G3376" s="1499"/>
      <c r="H3376" s="1525"/>
      <c r="I3376" s="1406">
        <f t="shared" ref="I3376:I3387" si="945">PRODUCT(D3376:H3376)</f>
        <v>12</v>
      </c>
      <c r="Q3376" s="1394">
        <f>IFERROR(VLOOKUP(M3376,#REF!,3,0),0)</f>
        <v>0</v>
      </c>
      <c r="R3376" s="1394">
        <f t="shared" si="944"/>
        <v>0</v>
      </c>
      <c r="S3376" s="1394">
        <f>IFERROR(VLOOKUP(M3376,#REF!,6,0),0)</f>
        <v>0</v>
      </c>
      <c r="T3376" s="1394">
        <f t="shared" si="937"/>
        <v>0</v>
      </c>
      <c r="U3376" s="1394">
        <f>IFERROR(VLOOKUP(M3376,#REF!,5,0),0)</f>
        <v>0</v>
      </c>
      <c r="V3376" s="1394">
        <f t="shared" si="938"/>
        <v>0</v>
      </c>
      <c r="W3376" s="1394"/>
      <c r="X3376" s="1397"/>
    </row>
    <row r="3377" spans="1:26" ht="30" customHeight="1">
      <c r="B3377" s="1513"/>
      <c r="C3377" s="1497" t="s">
        <v>5511</v>
      </c>
      <c r="D3377" s="68">
        <f>VLOOKUP(C3377,Sheet1!$I$7:$R$39,10,0)</f>
        <v>2</v>
      </c>
      <c r="E3377" s="68">
        <v>2</v>
      </c>
      <c r="F3377" s="1499"/>
      <c r="G3377" s="1499"/>
      <c r="H3377" s="1525"/>
      <c r="I3377" s="1406">
        <f t="shared" si="945"/>
        <v>4</v>
      </c>
      <c r="Q3377" s="1394">
        <f>IFERROR(VLOOKUP(M3377,#REF!,3,0),0)</f>
        <v>0</v>
      </c>
      <c r="R3377" s="1394">
        <f t="shared" si="944"/>
        <v>0</v>
      </c>
      <c r="S3377" s="1394">
        <f>IFERROR(VLOOKUP(M3377,#REF!,6,0),0)</f>
        <v>0</v>
      </c>
      <c r="T3377" s="1394">
        <f t="shared" si="937"/>
        <v>0</v>
      </c>
      <c r="U3377" s="1394">
        <f>IFERROR(VLOOKUP(M3377,#REF!,5,0),0)</f>
        <v>0</v>
      </c>
      <c r="V3377" s="1394">
        <f t="shared" si="938"/>
        <v>0</v>
      </c>
      <c r="W3377" s="1394"/>
      <c r="X3377" s="1397"/>
    </row>
    <row r="3378" spans="1:26" ht="30" customHeight="1">
      <c r="B3378" s="1513"/>
      <c r="C3378" s="1497" t="s">
        <v>5512</v>
      </c>
      <c r="D3378" s="68">
        <f>VLOOKUP(C3378,Sheet1!$I$7:$R$39,10,0)</f>
        <v>1</v>
      </c>
      <c r="E3378" s="68">
        <v>2</v>
      </c>
      <c r="F3378" s="1499"/>
      <c r="G3378" s="1499"/>
      <c r="H3378" s="1525"/>
      <c r="I3378" s="1406">
        <f t="shared" si="945"/>
        <v>2</v>
      </c>
      <c r="Q3378" s="1394">
        <f>IFERROR(VLOOKUP(M3378,#REF!,3,0),0)</f>
        <v>0</v>
      </c>
      <c r="R3378" s="1394">
        <f t="shared" si="944"/>
        <v>0</v>
      </c>
      <c r="S3378" s="1394">
        <f>IFERROR(VLOOKUP(M3378,#REF!,6,0),0)</f>
        <v>0</v>
      </c>
      <c r="T3378" s="1394">
        <f t="shared" si="937"/>
        <v>0</v>
      </c>
      <c r="U3378" s="1394">
        <f>IFERROR(VLOOKUP(M3378,#REF!,5,0),0)</f>
        <v>0</v>
      </c>
      <c r="V3378" s="1394">
        <f t="shared" si="938"/>
        <v>0</v>
      </c>
      <c r="W3378" s="1394"/>
      <c r="X3378" s="1397"/>
    </row>
    <row r="3379" spans="1:26" ht="30" customHeight="1">
      <c r="B3379" s="1513"/>
      <c r="C3379" s="1494" t="s">
        <v>5513</v>
      </c>
      <c r="D3379" s="68">
        <f>VLOOKUP(C3379,Sheet1!$I$7:$R$39,10,0)</f>
        <v>3</v>
      </c>
      <c r="E3379" s="68">
        <v>2</v>
      </c>
      <c r="F3379" s="1499"/>
      <c r="G3379" s="1499"/>
      <c r="H3379" s="1525"/>
      <c r="I3379" s="1406">
        <f t="shared" si="945"/>
        <v>6</v>
      </c>
      <c r="Q3379" s="1394">
        <f>IFERROR(VLOOKUP(M3379,#REF!,3,0),0)</f>
        <v>0</v>
      </c>
      <c r="R3379" s="1394">
        <f t="shared" si="944"/>
        <v>0</v>
      </c>
      <c r="S3379" s="1394">
        <f>IFERROR(VLOOKUP(M3379,#REF!,6,0),0)</f>
        <v>0</v>
      </c>
      <c r="T3379" s="1394">
        <f t="shared" si="937"/>
        <v>0</v>
      </c>
      <c r="U3379" s="1394">
        <f>IFERROR(VLOOKUP(M3379,#REF!,5,0),0)</f>
        <v>0</v>
      </c>
      <c r="V3379" s="1394">
        <f t="shared" si="938"/>
        <v>0</v>
      </c>
      <c r="W3379" s="1394"/>
      <c r="X3379" s="1397"/>
    </row>
    <row r="3380" spans="1:26" ht="30" customHeight="1">
      <c r="B3380" s="1513"/>
      <c r="C3380" s="1497" t="s">
        <v>5514</v>
      </c>
      <c r="D3380" s="68">
        <f>VLOOKUP(C3380,Sheet1!$I$7:$R$39,10,0)</f>
        <v>6</v>
      </c>
      <c r="E3380" s="68">
        <v>2</v>
      </c>
      <c r="F3380" s="1499"/>
      <c r="G3380" s="1499"/>
      <c r="H3380" s="1525"/>
      <c r="I3380" s="1406">
        <f t="shared" si="945"/>
        <v>12</v>
      </c>
      <c r="Q3380" s="1394">
        <f>IFERROR(VLOOKUP(M3380,#REF!,3,0),0)</f>
        <v>0</v>
      </c>
      <c r="R3380" s="1394">
        <f t="shared" si="944"/>
        <v>0</v>
      </c>
      <c r="S3380" s="1394">
        <f>IFERROR(VLOOKUP(M3380,#REF!,6,0),0)</f>
        <v>0</v>
      </c>
      <c r="T3380" s="1394">
        <f t="shared" si="937"/>
        <v>0</v>
      </c>
      <c r="U3380" s="1394">
        <f>IFERROR(VLOOKUP(M3380,#REF!,5,0),0)</f>
        <v>0</v>
      </c>
      <c r="V3380" s="1394">
        <f t="shared" si="938"/>
        <v>0</v>
      </c>
      <c r="W3380" s="1394"/>
      <c r="X3380" s="1397"/>
    </row>
    <row r="3381" spans="1:26" ht="30" customHeight="1">
      <c r="B3381" s="1513"/>
      <c r="C3381" s="1497" t="s">
        <v>5515</v>
      </c>
      <c r="D3381" s="68">
        <f>VLOOKUP(C3381,Sheet1!$I$7:$R$39,10,0)</f>
        <v>1</v>
      </c>
      <c r="E3381" s="68">
        <v>2</v>
      </c>
      <c r="F3381" s="1499"/>
      <c r="G3381" s="1499"/>
      <c r="H3381" s="1525"/>
      <c r="I3381" s="1406">
        <f t="shared" si="945"/>
        <v>2</v>
      </c>
      <c r="Q3381" s="1394">
        <f>IFERROR(VLOOKUP(M3381,#REF!,3,0),0)</f>
        <v>0</v>
      </c>
      <c r="R3381" s="1394">
        <f t="shared" si="944"/>
        <v>0</v>
      </c>
      <c r="S3381" s="1394">
        <f>IFERROR(VLOOKUP(M3381,#REF!,6,0),0)</f>
        <v>0</v>
      </c>
      <c r="T3381" s="1394">
        <f t="shared" si="937"/>
        <v>0</v>
      </c>
      <c r="U3381" s="1394">
        <f>IFERROR(VLOOKUP(M3381,#REF!,5,0),0)</f>
        <v>0</v>
      </c>
      <c r="V3381" s="1394">
        <f t="shared" si="938"/>
        <v>0</v>
      </c>
      <c r="W3381" s="1394"/>
      <c r="X3381" s="1397"/>
    </row>
    <row r="3382" spans="1:26" ht="30" customHeight="1">
      <c r="B3382" s="1513"/>
      <c r="C3382" s="1497" t="s">
        <v>252</v>
      </c>
      <c r="D3382" s="68">
        <f>VLOOKUP(C3382,Sheet1!$I$7:$R$39,10,0)</f>
        <v>4</v>
      </c>
      <c r="E3382" s="68">
        <v>2</v>
      </c>
      <c r="F3382" s="1499"/>
      <c r="G3382" s="1499"/>
      <c r="H3382" s="1525"/>
      <c r="I3382" s="1406">
        <f t="shared" si="945"/>
        <v>8</v>
      </c>
      <c r="Q3382" s="1394">
        <f>IFERROR(VLOOKUP(M3382,#REF!,3,0),0)</f>
        <v>0</v>
      </c>
      <c r="R3382" s="1394">
        <f t="shared" si="944"/>
        <v>0</v>
      </c>
      <c r="S3382" s="1394">
        <f>IFERROR(VLOOKUP(M3382,#REF!,6,0),0)</f>
        <v>0</v>
      </c>
      <c r="T3382" s="1394">
        <f t="shared" si="937"/>
        <v>0</v>
      </c>
      <c r="U3382" s="1394">
        <f>IFERROR(VLOOKUP(M3382,#REF!,5,0),0)</f>
        <v>0</v>
      </c>
      <c r="V3382" s="1394">
        <f t="shared" si="938"/>
        <v>0</v>
      </c>
      <c r="W3382" s="1394"/>
      <c r="X3382" s="1397"/>
    </row>
    <row r="3383" spans="1:26" ht="30" customHeight="1">
      <c r="B3383" s="1513"/>
      <c r="C3383" s="1497" t="s">
        <v>248</v>
      </c>
      <c r="D3383" s="68">
        <f>VLOOKUP(C3383,Sheet1!$I$7:$R$39,10,0)</f>
        <v>3</v>
      </c>
      <c r="E3383" s="68">
        <v>2</v>
      </c>
      <c r="F3383" s="1499"/>
      <c r="G3383" s="1499"/>
      <c r="H3383" s="1525"/>
      <c r="I3383" s="1406">
        <f t="shared" si="945"/>
        <v>6</v>
      </c>
      <c r="Q3383" s="1394">
        <f>IFERROR(VLOOKUP(M3383,#REF!,3,0),0)</f>
        <v>0</v>
      </c>
      <c r="R3383" s="1394">
        <f t="shared" si="944"/>
        <v>0</v>
      </c>
      <c r="S3383" s="1394">
        <f>IFERROR(VLOOKUP(M3383,#REF!,6,0),0)</f>
        <v>0</v>
      </c>
      <c r="T3383" s="1394">
        <f t="shared" si="937"/>
        <v>0</v>
      </c>
      <c r="U3383" s="1394">
        <f>IFERROR(VLOOKUP(M3383,#REF!,5,0),0)</f>
        <v>0</v>
      </c>
      <c r="V3383" s="1394">
        <f t="shared" si="938"/>
        <v>0</v>
      </c>
      <c r="W3383" s="1394"/>
      <c r="X3383" s="1397"/>
    </row>
    <row r="3384" spans="1:26" ht="30" customHeight="1">
      <c r="B3384" s="1513"/>
      <c r="C3384" s="1497" t="s">
        <v>249</v>
      </c>
      <c r="D3384" s="68">
        <f>VLOOKUP(C3384,Sheet1!$I$7:$R$39,10,0)</f>
        <v>2</v>
      </c>
      <c r="E3384" s="68">
        <v>2</v>
      </c>
      <c r="F3384" s="1499"/>
      <c r="G3384" s="1499"/>
      <c r="H3384" s="1525"/>
      <c r="I3384" s="1406">
        <f t="shared" si="945"/>
        <v>4</v>
      </c>
      <c r="Q3384" s="1394">
        <f>IFERROR(VLOOKUP(M3384,#REF!,3,0),0)</f>
        <v>0</v>
      </c>
      <c r="R3384" s="1394">
        <f t="shared" si="944"/>
        <v>0</v>
      </c>
      <c r="S3384" s="1394">
        <f>IFERROR(VLOOKUP(M3384,#REF!,6,0),0)</f>
        <v>0</v>
      </c>
      <c r="T3384" s="1394">
        <f t="shared" si="937"/>
        <v>0</v>
      </c>
      <c r="U3384" s="1394">
        <f>IFERROR(VLOOKUP(M3384,#REF!,5,0),0)</f>
        <v>0</v>
      </c>
      <c r="V3384" s="1394">
        <f t="shared" si="938"/>
        <v>0</v>
      </c>
      <c r="W3384" s="1394"/>
      <c r="X3384" s="1397"/>
    </row>
    <row r="3385" spans="1:26" ht="30" customHeight="1">
      <c r="B3385" s="1513"/>
      <c r="C3385" s="1497" t="s">
        <v>250</v>
      </c>
      <c r="D3385" s="68">
        <f>VLOOKUP(C3385,Sheet1!$I$7:$R$39,10,0)</f>
        <v>37</v>
      </c>
      <c r="E3385" s="68">
        <v>2</v>
      </c>
      <c r="F3385" s="1499"/>
      <c r="G3385" s="1499"/>
      <c r="H3385" s="1525"/>
      <c r="I3385" s="1406">
        <f t="shared" si="945"/>
        <v>74</v>
      </c>
      <c r="Q3385" s="1394">
        <f>IFERROR(VLOOKUP(M3385,#REF!,3,0),0)</f>
        <v>0</v>
      </c>
      <c r="R3385" s="1394">
        <f t="shared" si="944"/>
        <v>0</v>
      </c>
      <c r="S3385" s="1394">
        <f>IFERROR(VLOOKUP(M3385,#REF!,6,0),0)</f>
        <v>0</v>
      </c>
      <c r="T3385" s="1394">
        <f t="shared" si="937"/>
        <v>0</v>
      </c>
      <c r="U3385" s="1394">
        <f>IFERROR(VLOOKUP(M3385,#REF!,5,0),0)</f>
        <v>0</v>
      </c>
      <c r="V3385" s="1394">
        <f t="shared" si="938"/>
        <v>0</v>
      </c>
      <c r="W3385" s="1394"/>
      <c r="X3385" s="1397"/>
    </row>
    <row r="3386" spans="1:26" ht="30" customHeight="1">
      <c r="B3386" s="1513"/>
      <c r="C3386" s="1497" t="s">
        <v>251</v>
      </c>
      <c r="D3386" s="68">
        <f>VLOOKUP(C3386,Sheet1!$I$7:$R$39,10,0)</f>
        <v>15</v>
      </c>
      <c r="E3386" s="68">
        <v>2</v>
      </c>
      <c r="F3386" s="1499"/>
      <c r="G3386" s="1499"/>
      <c r="H3386" s="1525"/>
      <c r="I3386" s="1406">
        <f t="shared" si="945"/>
        <v>30</v>
      </c>
      <c r="Q3386" s="1394">
        <f>IFERROR(VLOOKUP(M3386,#REF!,3,0),0)</f>
        <v>0</v>
      </c>
      <c r="R3386" s="1394">
        <f t="shared" si="944"/>
        <v>0</v>
      </c>
      <c r="S3386" s="1394">
        <f>IFERROR(VLOOKUP(M3386,#REF!,6,0),0)</f>
        <v>0</v>
      </c>
      <c r="T3386" s="1394">
        <f t="shared" si="937"/>
        <v>0</v>
      </c>
      <c r="U3386" s="1394">
        <f>IFERROR(VLOOKUP(M3386,#REF!,5,0),0)</f>
        <v>0</v>
      </c>
      <c r="V3386" s="1394">
        <f t="shared" si="938"/>
        <v>0</v>
      </c>
      <c r="W3386" s="1394"/>
      <c r="X3386" s="1397"/>
    </row>
    <row r="3387" spans="1:26" ht="30" customHeight="1">
      <c r="B3387" s="1513"/>
      <c r="C3387" s="1497" t="s">
        <v>5518</v>
      </c>
      <c r="D3387" s="68">
        <f>VLOOKUP(C3387,Sheet1!$I$7:$R$39,10,0)</f>
        <v>4</v>
      </c>
      <c r="E3387" s="68">
        <v>2</v>
      </c>
      <c r="F3387" s="1499"/>
      <c r="G3387" s="1499"/>
      <c r="H3387" s="1525"/>
      <c r="I3387" s="1406">
        <f t="shared" si="945"/>
        <v>8</v>
      </c>
      <c r="Q3387" s="1394">
        <f>IFERROR(VLOOKUP(M3387,#REF!,3,0),0)</f>
        <v>0</v>
      </c>
      <c r="R3387" s="1394">
        <f t="shared" si="944"/>
        <v>0</v>
      </c>
      <c r="S3387" s="1394">
        <f>IFERROR(VLOOKUP(M3387,#REF!,6,0),0)</f>
        <v>0</v>
      </c>
      <c r="T3387" s="1394">
        <f t="shared" si="937"/>
        <v>0</v>
      </c>
      <c r="U3387" s="1394">
        <f>IFERROR(VLOOKUP(M3387,#REF!,5,0),0)</f>
        <v>0</v>
      </c>
      <c r="V3387" s="1394">
        <f t="shared" si="938"/>
        <v>0</v>
      </c>
      <c r="W3387" s="1394"/>
      <c r="X3387" s="1397"/>
    </row>
    <row r="3388" spans="1:26" ht="30" customHeight="1">
      <c r="B3388" s="1407"/>
      <c r="C3388" s="1455"/>
      <c r="D3388" s="103"/>
      <c r="E3388" s="103"/>
      <c r="F3388" s="1413"/>
      <c r="G3388" s="1413"/>
      <c r="H3388" s="1414"/>
      <c r="I3388" s="1479">
        <f>SUM(I3376:I3387)</f>
        <v>168</v>
      </c>
      <c r="Q3388" s="1394">
        <f>IFERROR(VLOOKUP(M3388,#REF!,3,0),0)</f>
        <v>0</v>
      </c>
      <c r="R3388" s="1394">
        <f t="shared" si="944"/>
        <v>0</v>
      </c>
      <c r="S3388" s="1394">
        <f>IFERROR(VLOOKUP(M3388,#REF!,6,0),0)</f>
        <v>0</v>
      </c>
      <c r="T3388" s="1394">
        <f t="shared" si="937"/>
        <v>0</v>
      </c>
      <c r="U3388" s="1394">
        <f>IFERROR(VLOOKUP(M3388,#REF!,5,0),0)</f>
        <v>0</v>
      </c>
      <c r="V3388" s="1394">
        <f t="shared" si="938"/>
        <v>0</v>
      </c>
      <c r="W3388" s="1394"/>
    </row>
    <row r="3389" spans="1:26" ht="30" customHeight="1">
      <c r="B3389" s="1407"/>
      <c r="C3389" s="1455"/>
      <c r="D3389" s="103"/>
      <c r="E3389" s="103"/>
      <c r="F3389" s="1413"/>
      <c r="G3389" s="1483" t="s">
        <v>11</v>
      </c>
      <c r="H3389" s="1478">
        <f>I3388</f>
        <v>168</v>
      </c>
      <c r="I3389" s="1479" t="s">
        <v>13</v>
      </c>
      <c r="M3389" s="1394" t="str">
        <f>A3374</f>
        <v>S &amp; F chromium plated 8 guage Picture Hook</v>
      </c>
      <c r="N3389" s="1394">
        <f>B3374</f>
        <v>49</v>
      </c>
      <c r="O3389" s="1394">
        <f>H3389</f>
        <v>168</v>
      </c>
      <c r="P3389" s="1394" t="str">
        <f>I3389</f>
        <v>Nos</v>
      </c>
      <c r="Q3389" s="1394">
        <f>IFERROR(VLOOKUP(M3389,#REF!,3,0),0)</f>
        <v>0</v>
      </c>
      <c r="R3389" s="1394">
        <f t="shared" si="944"/>
        <v>0</v>
      </c>
      <c r="S3389" s="1394">
        <f>IFERROR(VLOOKUP(M3389,#REF!,6,0),0)</f>
        <v>0</v>
      </c>
      <c r="T3389" s="1394">
        <f t="shared" si="937"/>
        <v>0</v>
      </c>
      <c r="U3389" s="1394">
        <f>IFERROR(VLOOKUP(M3389,#REF!,5,0),0)</f>
        <v>0</v>
      </c>
      <c r="V3389" s="1394">
        <f t="shared" si="938"/>
        <v>168</v>
      </c>
      <c r="W3389" s="1394"/>
      <c r="Z3389" s="1394"/>
    </row>
    <row r="3390" spans="1:26" ht="138" customHeight="1">
      <c r="A3390" s="110" t="s">
        <v>447</v>
      </c>
      <c r="B3390" s="1405">
        <v>50.3</v>
      </c>
      <c r="C3390" s="1678" t="e">
        <f>VLOOKUP(A3390,#REF!,2,0)</f>
        <v>#REF!</v>
      </c>
      <c r="D3390" s="1678"/>
      <c r="E3390" s="1678"/>
      <c r="F3390" s="1678"/>
      <c r="G3390" s="1678"/>
      <c r="H3390" s="1678"/>
      <c r="I3390" s="1406"/>
      <c r="Q3390" s="1394">
        <f>IFERROR(VLOOKUP(M3390,#REF!,3,0),0)</f>
        <v>0</v>
      </c>
      <c r="R3390" s="1394">
        <f t="shared" si="944"/>
        <v>0</v>
      </c>
      <c r="S3390" s="1394">
        <f>IFERROR(VLOOKUP(M3390,#REF!,6,0),0)</f>
        <v>0</v>
      </c>
      <c r="T3390" s="1394">
        <f t="shared" si="937"/>
        <v>0</v>
      </c>
      <c r="U3390" s="1394">
        <f>IFERROR(VLOOKUP(M3390,#REF!,5,0),0)</f>
        <v>0</v>
      </c>
      <c r="V3390" s="1394">
        <f t="shared" si="938"/>
        <v>0</v>
      </c>
      <c r="W3390" s="1394"/>
      <c r="X3390" s="1397"/>
    </row>
    <row r="3391" spans="1:26" ht="54.75" customHeight="1">
      <c r="B3391" s="1407"/>
      <c r="C3391" s="1455" t="s">
        <v>448</v>
      </c>
      <c r="D3391" s="103">
        <v>1</v>
      </c>
      <c r="E3391" s="103">
        <v>5</v>
      </c>
      <c r="F3391" s="1413"/>
      <c r="G3391" s="1413"/>
      <c r="H3391" s="1414"/>
      <c r="I3391" s="1479">
        <f>PRODUCT(D3391:H3391)</f>
        <v>5</v>
      </c>
      <c r="Q3391" s="1394">
        <f>IFERROR(VLOOKUP(M3391,#REF!,3,0),0)</f>
        <v>0</v>
      </c>
      <c r="R3391" s="1394">
        <f t="shared" si="944"/>
        <v>0</v>
      </c>
      <c r="S3391" s="1394">
        <f>IFERROR(VLOOKUP(M3391,#REF!,6,0),0)</f>
        <v>0</v>
      </c>
      <c r="T3391" s="1394">
        <f t="shared" si="937"/>
        <v>0</v>
      </c>
      <c r="U3391" s="1394">
        <f>IFERROR(VLOOKUP(M3391,#REF!,5,0),0)</f>
        <v>0</v>
      </c>
      <c r="V3391" s="1394">
        <f t="shared" si="938"/>
        <v>0</v>
      </c>
      <c r="W3391" s="1394"/>
    </row>
    <row r="3392" spans="1:26" ht="27" customHeight="1">
      <c r="B3392" s="1407"/>
      <c r="C3392" s="1455"/>
      <c r="D3392" s="103"/>
      <c r="E3392" s="103"/>
      <c r="F3392" s="1413"/>
      <c r="G3392" s="1483" t="s">
        <v>11</v>
      </c>
      <c r="H3392" s="1478">
        <f>ROUNDUP(I3391,1)</f>
        <v>5</v>
      </c>
      <c r="I3392" s="1479" t="s">
        <v>13</v>
      </c>
      <c r="M3392" s="1394" t="str">
        <f>A3390</f>
        <v>Supply and planting avenue trees</v>
      </c>
      <c r="N3392" s="1394">
        <f>B3390</f>
        <v>50.3</v>
      </c>
      <c r="O3392" s="1394">
        <f>H3392</f>
        <v>5</v>
      </c>
      <c r="P3392" s="1394" t="str">
        <f>I3392</f>
        <v>Nos</v>
      </c>
      <c r="Q3392" s="1394">
        <f>IFERROR(VLOOKUP(M3392,#REF!,3,0),0)</f>
        <v>0</v>
      </c>
      <c r="R3392" s="1394">
        <f t="shared" si="944"/>
        <v>0</v>
      </c>
      <c r="S3392" s="1394">
        <f>IFERROR(VLOOKUP(M3392,#REF!,6,0),0)</f>
        <v>0</v>
      </c>
      <c r="T3392" s="1394">
        <f t="shared" si="937"/>
        <v>0</v>
      </c>
      <c r="U3392" s="1394">
        <f>IFERROR(VLOOKUP(M3392,#REF!,5,0),0)</f>
        <v>0</v>
      </c>
      <c r="V3392" s="1394">
        <f t="shared" si="938"/>
        <v>5</v>
      </c>
      <c r="W3392" s="1394"/>
      <c r="Z3392" s="1394"/>
    </row>
    <row r="3393" spans="1:26" ht="67.5" customHeight="1">
      <c r="A3393" s="110" t="s">
        <v>449</v>
      </c>
      <c r="B3393" s="1405">
        <v>50.4</v>
      </c>
      <c r="C3393" s="1678" t="e">
        <f>VLOOKUP(A3393,#REF!,2,0)</f>
        <v>#REF!</v>
      </c>
      <c r="D3393" s="1678"/>
      <c r="E3393" s="1678"/>
      <c r="F3393" s="1678"/>
      <c r="G3393" s="1678"/>
      <c r="H3393" s="1678"/>
      <c r="I3393" s="1406"/>
      <c r="Q3393" s="1394">
        <f>IFERROR(VLOOKUP(M3393,#REF!,3,0),0)</f>
        <v>0</v>
      </c>
      <c r="R3393" s="1394">
        <f t="shared" si="944"/>
        <v>0</v>
      </c>
      <c r="S3393" s="1394">
        <f>IFERROR(VLOOKUP(M3393,#REF!,6,0),0)</f>
        <v>0</v>
      </c>
      <c r="T3393" s="1394">
        <f t="shared" si="937"/>
        <v>0</v>
      </c>
      <c r="U3393" s="1394">
        <f>IFERROR(VLOOKUP(M3393,#REF!,5,0),0)</f>
        <v>0</v>
      </c>
      <c r="V3393" s="1394">
        <f t="shared" si="938"/>
        <v>0</v>
      </c>
      <c r="W3393" s="1394"/>
      <c r="X3393" s="1397"/>
    </row>
    <row r="3394" spans="1:26" ht="30" customHeight="1">
      <c r="B3394" s="1405"/>
      <c r="C3394" s="1455" t="s">
        <v>448</v>
      </c>
      <c r="D3394" s="103">
        <v>1</v>
      </c>
      <c r="E3394" s="103">
        <v>5</v>
      </c>
      <c r="F3394" s="1413"/>
      <c r="G3394" s="1413"/>
      <c r="H3394" s="1414"/>
      <c r="I3394" s="1479">
        <f>PRODUCT(D3394:H3394)</f>
        <v>5</v>
      </c>
      <c r="Q3394" s="1394">
        <f>IFERROR(VLOOKUP(M3394,#REF!,3,0),0)</f>
        <v>0</v>
      </c>
      <c r="R3394" s="1394">
        <f t="shared" si="944"/>
        <v>0</v>
      </c>
      <c r="S3394" s="1394">
        <f>IFERROR(VLOOKUP(M3394,#REF!,6,0),0)</f>
        <v>0</v>
      </c>
      <c r="T3394" s="1394">
        <f t="shared" si="937"/>
        <v>0</v>
      </c>
      <c r="U3394" s="1394">
        <f>IFERROR(VLOOKUP(M3394,#REF!,5,0),0)</f>
        <v>0</v>
      </c>
      <c r="V3394" s="1394">
        <f t="shared" si="938"/>
        <v>0</v>
      </c>
      <c r="W3394" s="1394"/>
      <c r="X3394" s="1397"/>
    </row>
    <row r="3395" spans="1:26" ht="30" customHeight="1">
      <c r="B3395" s="1405"/>
      <c r="C3395" s="1412"/>
      <c r="D3395" s="103"/>
      <c r="E3395" s="103"/>
      <c r="F3395" s="1413"/>
      <c r="G3395" s="1483" t="s">
        <v>11</v>
      </c>
      <c r="H3395" s="1478">
        <f>ROUNDUP(I3394,1)</f>
        <v>5</v>
      </c>
      <c r="I3395" s="1479" t="s">
        <v>13</v>
      </c>
      <c r="M3395" s="1394" t="str">
        <f>A3393</f>
        <v>Providing Tree guard</v>
      </c>
      <c r="N3395" s="1394">
        <f>B3393</f>
        <v>50.4</v>
      </c>
      <c r="O3395" s="1394">
        <f>H3395</f>
        <v>5</v>
      </c>
      <c r="P3395" s="1394" t="str">
        <f>I3395</f>
        <v>Nos</v>
      </c>
      <c r="Q3395" s="1394">
        <f>IFERROR(VLOOKUP(M3395,#REF!,3,0),0)</f>
        <v>0</v>
      </c>
      <c r="R3395" s="1394">
        <f t="shared" si="944"/>
        <v>0</v>
      </c>
      <c r="S3395" s="1394">
        <f>IFERROR(VLOOKUP(M3395,#REF!,6,0),0)</f>
        <v>0</v>
      </c>
      <c r="T3395" s="1394">
        <f t="shared" ref="T3395:T3458" si="946">R3395-S3395</f>
        <v>0</v>
      </c>
      <c r="U3395" s="1394">
        <f>IFERROR(VLOOKUP(M3395,#REF!,5,0),0)</f>
        <v>0</v>
      </c>
      <c r="V3395" s="1394">
        <f t="shared" ref="V3395:V3458" si="947">O3395-U3395</f>
        <v>5</v>
      </c>
      <c r="W3395" s="1394"/>
      <c r="Z3395" s="1394"/>
    </row>
    <row r="3396" spans="1:26" ht="146.25" customHeight="1">
      <c r="A3396" s="110" t="s">
        <v>450</v>
      </c>
      <c r="B3396" s="1513">
        <v>52</v>
      </c>
      <c r="C3396" s="1678" t="e">
        <f>VLOOKUP(A3396,#REF!,2,0)</f>
        <v>#REF!</v>
      </c>
      <c r="D3396" s="1678"/>
      <c r="E3396" s="1678"/>
      <c r="F3396" s="1678"/>
      <c r="G3396" s="1678"/>
      <c r="H3396" s="1678"/>
      <c r="I3396" s="1406"/>
      <c r="Q3396" s="1394">
        <f>IFERROR(VLOOKUP(M3396,#REF!,3,0),0)</f>
        <v>0</v>
      </c>
      <c r="R3396" s="1394">
        <f t="shared" si="944"/>
        <v>0</v>
      </c>
      <c r="S3396" s="1394">
        <f>IFERROR(VLOOKUP(M3396,#REF!,6,0),0)</f>
        <v>0</v>
      </c>
      <c r="T3396" s="1394">
        <f t="shared" si="946"/>
        <v>0</v>
      </c>
      <c r="U3396" s="1394">
        <f>IFERROR(VLOOKUP(M3396,#REF!,5,0),0)</f>
        <v>0</v>
      </c>
      <c r="V3396" s="1394">
        <f t="shared" si="947"/>
        <v>0</v>
      </c>
      <c r="W3396" s="1394"/>
      <c r="X3396" s="1397"/>
    </row>
    <row r="3397" spans="1:26" ht="35.25" customHeight="1">
      <c r="A3397" s="110" t="s">
        <v>451</v>
      </c>
      <c r="B3397" s="1407"/>
      <c r="C3397" s="1678" t="e">
        <f>VLOOKUP(A3397,#REF!,2,0)</f>
        <v>#REF!</v>
      </c>
      <c r="D3397" s="1678"/>
      <c r="E3397" s="1678"/>
      <c r="F3397" s="1678"/>
      <c r="G3397" s="1678"/>
      <c r="H3397" s="1678"/>
      <c r="I3397" s="1406"/>
      <c r="Q3397" s="1394">
        <f>IFERROR(VLOOKUP(M3397,#REF!,3,0),0)</f>
        <v>0</v>
      </c>
      <c r="R3397" s="1394">
        <f t="shared" si="944"/>
        <v>0</v>
      </c>
      <c r="S3397" s="1394">
        <f>IFERROR(VLOOKUP(M3397,#REF!,6,0),0)</f>
        <v>0</v>
      </c>
      <c r="T3397" s="1394">
        <f t="shared" si="946"/>
        <v>0</v>
      </c>
      <c r="U3397" s="1394">
        <f>IFERROR(VLOOKUP(M3397,#REF!,5,0),0)</f>
        <v>0</v>
      </c>
      <c r="V3397" s="1394">
        <f t="shared" si="947"/>
        <v>0</v>
      </c>
      <c r="W3397" s="1394"/>
      <c r="X3397" s="1397"/>
    </row>
    <row r="3398" spans="1:26" ht="30" customHeight="1">
      <c r="B3398" s="1407"/>
      <c r="C3398" s="73" t="s">
        <v>452</v>
      </c>
      <c r="D3398" s="1526">
        <v>1</v>
      </c>
      <c r="E3398" s="1526">
        <v>2</v>
      </c>
      <c r="F3398" s="1527">
        <v>1.2</v>
      </c>
      <c r="G3398" s="1413"/>
      <c r="H3398" s="1478"/>
      <c r="I3398" s="1406">
        <f t="shared" ref="I3398:I3404" si="948">PRODUCT(D3398:H3398)</f>
        <v>2.4</v>
      </c>
      <c r="Q3398" s="1394">
        <f>IFERROR(VLOOKUP(M3398,#REF!,3,0),0)</f>
        <v>0</v>
      </c>
      <c r="R3398" s="1394">
        <f t="shared" si="944"/>
        <v>0</v>
      </c>
      <c r="S3398" s="1394">
        <f>IFERROR(VLOOKUP(M3398,#REF!,6,0),0)</f>
        <v>0</v>
      </c>
      <c r="T3398" s="1394">
        <f t="shared" si="946"/>
        <v>0</v>
      </c>
      <c r="U3398" s="1394">
        <f>IFERROR(VLOOKUP(M3398,#REF!,5,0),0)</f>
        <v>0</v>
      </c>
      <c r="V3398" s="1394">
        <f t="shared" si="947"/>
        <v>0</v>
      </c>
      <c r="W3398" s="1394"/>
    </row>
    <row r="3399" spans="1:26" ht="30" customHeight="1">
      <c r="B3399" s="1407"/>
      <c r="C3399" s="73" t="s">
        <v>453</v>
      </c>
      <c r="D3399" s="1526">
        <v>1</v>
      </c>
      <c r="E3399" s="1526">
        <v>2</v>
      </c>
      <c r="F3399" s="1527">
        <v>1.2</v>
      </c>
      <c r="G3399" s="1413"/>
      <c r="H3399" s="1478"/>
      <c r="I3399" s="1406">
        <f t="shared" si="948"/>
        <v>2.4</v>
      </c>
      <c r="Q3399" s="1394">
        <f>IFERROR(VLOOKUP(M3399,#REF!,3,0),0)</f>
        <v>0</v>
      </c>
      <c r="R3399" s="1394">
        <f t="shared" si="944"/>
        <v>0</v>
      </c>
      <c r="S3399" s="1394">
        <f>IFERROR(VLOOKUP(M3399,#REF!,6,0),0)</f>
        <v>0</v>
      </c>
      <c r="T3399" s="1394">
        <f t="shared" si="946"/>
        <v>0</v>
      </c>
      <c r="U3399" s="1394">
        <f>IFERROR(VLOOKUP(M3399,#REF!,5,0),0)</f>
        <v>0</v>
      </c>
      <c r="V3399" s="1394">
        <f t="shared" si="947"/>
        <v>0</v>
      </c>
      <c r="W3399" s="1394"/>
    </row>
    <row r="3400" spans="1:26" ht="30" customHeight="1">
      <c r="B3400" s="1407"/>
      <c r="C3400" s="73" t="s">
        <v>454</v>
      </c>
      <c r="D3400" s="1526">
        <v>1</v>
      </c>
      <c r="E3400" s="1526">
        <v>1</v>
      </c>
      <c r="F3400" s="1527">
        <v>86.26</v>
      </c>
      <c r="G3400" s="1413"/>
      <c r="H3400" s="1478"/>
      <c r="I3400" s="1406">
        <f t="shared" si="948"/>
        <v>86.26</v>
      </c>
      <c r="Q3400" s="1394">
        <f>IFERROR(VLOOKUP(M3400,#REF!,3,0),0)</f>
        <v>0</v>
      </c>
      <c r="R3400" s="1394">
        <f t="shared" si="944"/>
        <v>0</v>
      </c>
      <c r="S3400" s="1394">
        <f>IFERROR(VLOOKUP(M3400,#REF!,6,0),0)</f>
        <v>0</v>
      </c>
      <c r="T3400" s="1394">
        <f t="shared" si="946"/>
        <v>0</v>
      </c>
      <c r="U3400" s="1394">
        <f>IFERROR(VLOOKUP(M3400,#REF!,5,0),0)</f>
        <v>0</v>
      </c>
      <c r="V3400" s="1394">
        <f t="shared" si="947"/>
        <v>0</v>
      </c>
      <c r="W3400" s="1394"/>
    </row>
    <row r="3401" spans="1:26" ht="30" customHeight="1">
      <c r="B3401" s="1407"/>
      <c r="C3401" s="73" t="s">
        <v>5929</v>
      </c>
      <c r="D3401" s="1526">
        <v>1</v>
      </c>
      <c r="E3401" s="1526">
        <v>4</v>
      </c>
      <c r="F3401" s="1527">
        <f>13.65</f>
        <v>13.65</v>
      </c>
      <c r="G3401" s="1413"/>
      <c r="H3401" s="1478"/>
      <c r="I3401" s="1406">
        <f t="shared" si="948"/>
        <v>54.6</v>
      </c>
      <c r="Q3401" s="1394">
        <f>IFERROR(VLOOKUP(M3401,#REF!,3,0),0)</f>
        <v>0</v>
      </c>
      <c r="R3401" s="1394">
        <f t="shared" si="944"/>
        <v>0</v>
      </c>
      <c r="S3401" s="1394">
        <f>IFERROR(VLOOKUP(M3401,#REF!,6,0),0)</f>
        <v>0</v>
      </c>
      <c r="T3401" s="1394">
        <f t="shared" si="946"/>
        <v>0</v>
      </c>
      <c r="U3401" s="1394">
        <f>IFERROR(VLOOKUP(M3401,#REF!,5,0),0)</f>
        <v>0</v>
      </c>
      <c r="V3401" s="1394">
        <f t="shared" si="947"/>
        <v>0</v>
      </c>
      <c r="W3401" s="1394"/>
    </row>
    <row r="3402" spans="1:26" ht="30" customHeight="1">
      <c r="B3402" s="1407"/>
      <c r="C3402" s="73" t="s">
        <v>5930</v>
      </c>
      <c r="D3402" s="1526">
        <v>1</v>
      </c>
      <c r="E3402" s="1526">
        <v>4</v>
      </c>
      <c r="F3402" s="1527">
        <f>F3401-3.3</f>
        <v>10.350000000000001</v>
      </c>
      <c r="G3402" s="1413"/>
      <c r="H3402" s="1478"/>
      <c r="I3402" s="1406">
        <f t="shared" si="948"/>
        <v>41.400000000000006</v>
      </c>
      <c r="Q3402" s="1394">
        <f>IFERROR(VLOOKUP(M3402,#REF!,3,0),0)</f>
        <v>0</v>
      </c>
      <c r="R3402" s="1394">
        <f t="shared" si="944"/>
        <v>0</v>
      </c>
      <c r="S3402" s="1394">
        <f>IFERROR(VLOOKUP(M3402,#REF!,6,0),0)</f>
        <v>0</v>
      </c>
      <c r="T3402" s="1394">
        <f t="shared" si="946"/>
        <v>0</v>
      </c>
      <c r="U3402" s="1394">
        <f>IFERROR(VLOOKUP(M3402,#REF!,5,0),0)</f>
        <v>0</v>
      </c>
      <c r="V3402" s="1394">
        <f t="shared" si="947"/>
        <v>0</v>
      </c>
      <c r="W3402" s="1394"/>
    </row>
    <row r="3403" spans="1:26" ht="30" customHeight="1">
      <c r="B3403" s="1407"/>
      <c r="C3403" s="73" t="s">
        <v>5931</v>
      </c>
      <c r="D3403" s="1526">
        <v>1</v>
      </c>
      <c r="E3403" s="1526">
        <v>4</v>
      </c>
      <c r="F3403" s="1527">
        <f>F3402-3.3</f>
        <v>7.0500000000000016</v>
      </c>
      <c r="G3403" s="1413"/>
      <c r="H3403" s="1478"/>
      <c r="I3403" s="1406">
        <f t="shared" si="948"/>
        <v>28.200000000000006</v>
      </c>
      <c r="Q3403" s="1394">
        <f>IFERROR(VLOOKUP(M3403,#REF!,3,0),0)</f>
        <v>0</v>
      </c>
      <c r="R3403" s="1394">
        <f t="shared" si="944"/>
        <v>0</v>
      </c>
      <c r="S3403" s="1394">
        <f>IFERROR(VLOOKUP(M3403,#REF!,6,0),0)</f>
        <v>0</v>
      </c>
      <c r="T3403" s="1394">
        <f t="shared" si="946"/>
        <v>0</v>
      </c>
      <c r="U3403" s="1394">
        <f>IFERROR(VLOOKUP(M3403,#REF!,5,0),0)</f>
        <v>0</v>
      </c>
      <c r="V3403" s="1394">
        <f t="shared" si="947"/>
        <v>0</v>
      </c>
      <c r="W3403" s="1394"/>
    </row>
    <row r="3404" spans="1:26" ht="30" customHeight="1">
      <c r="B3404" s="1407"/>
      <c r="C3404" s="73" t="s">
        <v>5932</v>
      </c>
      <c r="D3404" s="1526">
        <v>1</v>
      </c>
      <c r="E3404" s="1526">
        <v>4</v>
      </c>
      <c r="F3404" s="1527">
        <f>F3403-3.3</f>
        <v>3.7500000000000018</v>
      </c>
      <c r="G3404" s="1413"/>
      <c r="H3404" s="1478"/>
      <c r="I3404" s="1406">
        <f t="shared" si="948"/>
        <v>15.000000000000007</v>
      </c>
      <c r="Q3404" s="1394">
        <f>IFERROR(VLOOKUP(M3404,#REF!,3,0),0)</f>
        <v>0</v>
      </c>
      <c r="R3404" s="1394">
        <f t="shared" si="944"/>
        <v>0</v>
      </c>
      <c r="S3404" s="1394">
        <f>IFERROR(VLOOKUP(M3404,#REF!,6,0),0)</f>
        <v>0</v>
      </c>
      <c r="T3404" s="1394">
        <f t="shared" si="946"/>
        <v>0</v>
      </c>
      <c r="U3404" s="1394">
        <f>IFERROR(VLOOKUP(M3404,#REF!,5,0),0)</f>
        <v>0</v>
      </c>
      <c r="V3404" s="1394">
        <f t="shared" si="947"/>
        <v>0</v>
      </c>
      <c r="W3404" s="1394"/>
    </row>
    <row r="3405" spans="1:26" ht="30" customHeight="1">
      <c r="B3405" s="1407"/>
      <c r="C3405" s="1528"/>
      <c r="D3405" s="95"/>
      <c r="E3405" s="96"/>
      <c r="F3405" s="1413"/>
      <c r="G3405" s="1413"/>
      <c r="H3405" s="1414"/>
      <c r="I3405" s="1406">
        <f>J3406-J3405</f>
        <v>0.73999999999998067</v>
      </c>
      <c r="J3405" s="1394">
        <f>SUM(I3398:I3404)</f>
        <v>230.26000000000002</v>
      </c>
      <c r="K3405" s="1394"/>
      <c r="Q3405" s="1394">
        <f>IFERROR(VLOOKUP(M3405,#REF!,3,0),0)</f>
        <v>0</v>
      </c>
      <c r="R3405" s="1394">
        <f t="shared" si="944"/>
        <v>0</v>
      </c>
      <c r="S3405" s="1394">
        <f>IFERROR(VLOOKUP(M3405,#REF!,6,0),0)</f>
        <v>0</v>
      </c>
      <c r="T3405" s="1394">
        <f t="shared" si="946"/>
        <v>0</v>
      </c>
      <c r="U3405" s="1394">
        <f>IFERROR(VLOOKUP(M3405,#REF!,5,0),0)</f>
        <v>0</v>
      </c>
      <c r="V3405" s="1394">
        <f t="shared" si="947"/>
        <v>0</v>
      </c>
      <c r="W3405" s="1394"/>
    </row>
    <row r="3406" spans="1:26" ht="30" customHeight="1">
      <c r="B3406" s="1407"/>
      <c r="C3406" s="1528"/>
      <c r="D3406" s="95"/>
      <c r="E3406" s="96"/>
      <c r="F3406" s="1413"/>
      <c r="G3406" s="1413"/>
      <c r="H3406" s="1414"/>
      <c r="I3406" s="1406">
        <f>SUM(I3398:I3405)</f>
        <v>231</v>
      </c>
      <c r="J3406" s="1394">
        <f>ROUNDUP(J3405,0)</f>
        <v>231</v>
      </c>
      <c r="K3406" s="1394"/>
      <c r="Q3406" s="1394">
        <f>IFERROR(VLOOKUP(M3406,#REF!,3,0),0)</f>
        <v>0</v>
      </c>
      <c r="R3406" s="1394">
        <f t="shared" si="944"/>
        <v>0</v>
      </c>
      <c r="S3406" s="1394">
        <f>IFERROR(VLOOKUP(M3406,#REF!,6,0),0)</f>
        <v>0</v>
      </c>
      <c r="T3406" s="1394">
        <f t="shared" si="946"/>
        <v>0</v>
      </c>
      <c r="U3406" s="1394">
        <f>IFERROR(VLOOKUP(M3406,#REF!,5,0),0)</f>
        <v>0</v>
      </c>
      <c r="V3406" s="1394">
        <f t="shared" si="947"/>
        <v>0</v>
      </c>
      <c r="W3406" s="1394"/>
    </row>
    <row r="3407" spans="1:26" ht="30" customHeight="1">
      <c r="B3407" s="1407"/>
      <c r="C3407" s="1455"/>
      <c r="D3407" s="103"/>
      <c r="E3407" s="103"/>
      <c r="F3407" s="1413"/>
      <c r="G3407" s="1483" t="s">
        <v>11</v>
      </c>
      <c r="H3407" s="1478">
        <f>I3406</f>
        <v>231</v>
      </c>
      <c r="I3407" s="1479" t="s">
        <v>12</v>
      </c>
      <c r="M3407" s="1394" t="str">
        <f>A3397</f>
        <v>a. 32 mm dia  PVC Water supply (ASTM)</v>
      </c>
      <c r="N3407" s="1394">
        <f>B3397</f>
        <v>0</v>
      </c>
      <c r="O3407" s="1394">
        <f>H3407</f>
        <v>231</v>
      </c>
      <c r="P3407" s="1394" t="str">
        <f>I3407</f>
        <v>Rmt</v>
      </c>
      <c r="Q3407" s="1394">
        <f>IFERROR(VLOOKUP(M3407,#REF!,3,0),0)</f>
        <v>0</v>
      </c>
      <c r="R3407" s="1394">
        <f t="shared" si="944"/>
        <v>0</v>
      </c>
      <c r="S3407" s="1394">
        <f>IFERROR(VLOOKUP(M3407,#REF!,6,0),0)</f>
        <v>0</v>
      </c>
      <c r="T3407" s="1394">
        <f t="shared" si="946"/>
        <v>0</v>
      </c>
      <c r="U3407" s="1394">
        <f>IFERROR(VLOOKUP(M3407,#REF!,5,0),0)</f>
        <v>0</v>
      </c>
      <c r="V3407" s="1394">
        <f t="shared" si="947"/>
        <v>231</v>
      </c>
      <c r="W3407" s="1394"/>
      <c r="Z3407" s="1394"/>
    </row>
    <row r="3408" spans="1:26" ht="30" customHeight="1">
      <c r="A3408" s="110" t="s">
        <v>455</v>
      </c>
      <c r="B3408" s="1407"/>
      <c r="C3408" s="1678" t="e">
        <f>VLOOKUP(A3408,#REF!,2,0)</f>
        <v>#REF!</v>
      </c>
      <c r="D3408" s="1678"/>
      <c r="E3408" s="1678"/>
      <c r="F3408" s="1678"/>
      <c r="G3408" s="1678"/>
      <c r="H3408" s="1678"/>
      <c r="I3408" s="1406"/>
      <c r="N3408" s="1399"/>
      <c r="Q3408" s="1394">
        <f>IFERROR(VLOOKUP(M3408,#REF!,3,0),0)</f>
        <v>0</v>
      </c>
      <c r="R3408" s="1394">
        <f t="shared" si="944"/>
        <v>0</v>
      </c>
      <c r="S3408" s="1394">
        <f>IFERROR(VLOOKUP(M3408,#REF!,6,0),0)</f>
        <v>0</v>
      </c>
      <c r="T3408" s="1394">
        <f t="shared" si="946"/>
        <v>0</v>
      </c>
      <c r="U3408" s="1394">
        <f>IFERROR(VLOOKUP(M3408,#REF!,5,0),0)</f>
        <v>0</v>
      </c>
      <c r="V3408" s="1394">
        <f t="shared" si="947"/>
        <v>0</v>
      </c>
      <c r="W3408" s="1394"/>
      <c r="X3408" s="1397"/>
    </row>
    <row r="3409" spans="1:26" s="1398" customFormat="1" ht="30" customHeight="1">
      <c r="B3409" s="1392"/>
      <c r="C3409" s="1528"/>
      <c r="D3409" s="95"/>
      <c r="E3409" s="96"/>
      <c r="F3409" s="1413"/>
      <c r="G3409" s="1413"/>
      <c r="H3409" s="1478"/>
      <c r="I3409" s="1406"/>
      <c r="J3409" s="1529"/>
      <c r="K3409" s="1529"/>
      <c r="M3409" s="1530"/>
      <c r="N3409" s="1530"/>
      <c r="Q3409" s="1394">
        <f>IFERROR(VLOOKUP(M3409,#REF!,3,0),0)</f>
        <v>0</v>
      </c>
      <c r="R3409" s="1394">
        <f t="shared" si="944"/>
        <v>0</v>
      </c>
      <c r="S3409" s="1394">
        <f>IFERROR(VLOOKUP(M3409,#REF!,6,0),0)</f>
        <v>0</v>
      </c>
      <c r="T3409" s="1394">
        <f t="shared" si="946"/>
        <v>0</v>
      </c>
      <c r="U3409" s="1394">
        <f>IFERROR(VLOOKUP(M3409,#REF!,5,0),0)</f>
        <v>0</v>
      </c>
      <c r="V3409" s="1394">
        <f t="shared" si="947"/>
        <v>0</v>
      </c>
      <c r="W3409" s="1394"/>
    </row>
    <row r="3410" spans="1:26" s="1398" customFormat="1" ht="30" customHeight="1">
      <c r="B3410" s="1392"/>
      <c r="C3410" s="73" t="s">
        <v>5929</v>
      </c>
      <c r="D3410" s="1526">
        <v>1</v>
      </c>
      <c r="E3410" s="1526">
        <v>4</v>
      </c>
      <c r="F3410" s="1527">
        <v>3</v>
      </c>
      <c r="G3410" s="1413"/>
      <c r="H3410" s="1478"/>
      <c r="I3410" s="1406">
        <f>PRODUCT(D3410:H3410)</f>
        <v>12</v>
      </c>
      <c r="J3410" s="1529"/>
      <c r="K3410" s="1529"/>
      <c r="M3410" s="1530"/>
      <c r="N3410" s="1530"/>
      <c r="Q3410" s="1394">
        <f>IFERROR(VLOOKUP(M3410,#REF!,3,0),0)</f>
        <v>0</v>
      </c>
      <c r="R3410" s="1394">
        <f t="shared" si="944"/>
        <v>0</v>
      </c>
      <c r="S3410" s="1394">
        <f>IFERROR(VLOOKUP(M3410,#REF!,6,0),0)</f>
        <v>0</v>
      </c>
      <c r="T3410" s="1394">
        <f t="shared" si="946"/>
        <v>0</v>
      </c>
      <c r="U3410" s="1394">
        <f>IFERROR(VLOOKUP(M3410,#REF!,5,0),0)</f>
        <v>0</v>
      </c>
      <c r="V3410" s="1394">
        <f t="shared" si="947"/>
        <v>0</v>
      </c>
      <c r="W3410" s="1394"/>
    </row>
    <row r="3411" spans="1:26" s="1398" customFormat="1" ht="30" customHeight="1">
      <c r="B3411" s="1392"/>
      <c r="C3411" s="73" t="s">
        <v>5930</v>
      </c>
      <c r="D3411" s="1526">
        <v>1</v>
      </c>
      <c r="E3411" s="1526">
        <v>4</v>
      </c>
      <c r="F3411" s="1527">
        <v>5</v>
      </c>
      <c r="G3411" s="1413"/>
      <c r="H3411" s="1478"/>
      <c r="I3411" s="1406">
        <f t="shared" ref="I3411:I3413" si="949">PRODUCT(D3411:H3411)</f>
        <v>20</v>
      </c>
      <c r="J3411" s="1529"/>
      <c r="K3411" s="1529"/>
      <c r="M3411" s="1530"/>
      <c r="N3411" s="1530"/>
      <c r="Q3411" s="1394">
        <f>IFERROR(VLOOKUP(M3411,#REF!,3,0),0)</f>
        <v>0</v>
      </c>
      <c r="R3411" s="1394">
        <f t="shared" si="944"/>
        <v>0</v>
      </c>
      <c r="S3411" s="1394">
        <f>IFERROR(VLOOKUP(M3411,#REF!,6,0),0)</f>
        <v>0</v>
      </c>
      <c r="T3411" s="1394">
        <f t="shared" si="946"/>
        <v>0</v>
      </c>
      <c r="U3411" s="1394">
        <f>IFERROR(VLOOKUP(M3411,#REF!,5,0),0)</f>
        <v>0</v>
      </c>
      <c r="V3411" s="1394">
        <f t="shared" si="947"/>
        <v>0</v>
      </c>
      <c r="W3411" s="1394"/>
    </row>
    <row r="3412" spans="1:26" s="1398" customFormat="1" ht="30" customHeight="1">
      <c r="B3412" s="1392"/>
      <c r="C3412" s="73" t="s">
        <v>5931</v>
      </c>
      <c r="D3412" s="1526">
        <v>1</v>
      </c>
      <c r="E3412" s="1526">
        <v>4</v>
      </c>
      <c r="F3412" s="1527">
        <v>6</v>
      </c>
      <c r="G3412" s="1413"/>
      <c r="H3412" s="1478"/>
      <c r="I3412" s="1406">
        <f t="shared" si="949"/>
        <v>24</v>
      </c>
      <c r="J3412" s="1529"/>
      <c r="K3412" s="1529"/>
      <c r="M3412" s="1530"/>
      <c r="N3412" s="1530"/>
      <c r="Q3412" s="1394">
        <f>IFERROR(VLOOKUP(M3412,#REF!,3,0),0)</f>
        <v>0</v>
      </c>
      <c r="R3412" s="1394">
        <f t="shared" si="944"/>
        <v>0</v>
      </c>
      <c r="S3412" s="1394">
        <f>IFERROR(VLOOKUP(M3412,#REF!,6,0),0)</f>
        <v>0</v>
      </c>
      <c r="T3412" s="1394">
        <f t="shared" si="946"/>
        <v>0</v>
      </c>
      <c r="U3412" s="1394">
        <f>IFERROR(VLOOKUP(M3412,#REF!,5,0),0)</f>
        <v>0</v>
      </c>
      <c r="V3412" s="1394">
        <f t="shared" si="947"/>
        <v>0</v>
      </c>
      <c r="W3412" s="1394"/>
    </row>
    <row r="3413" spans="1:26" s="1398" customFormat="1" ht="30" customHeight="1">
      <c r="B3413" s="1392"/>
      <c r="C3413" s="73" t="s">
        <v>5932</v>
      </c>
      <c r="D3413" s="1526">
        <v>1</v>
      </c>
      <c r="E3413" s="1526">
        <v>4</v>
      </c>
      <c r="F3413" s="1527">
        <v>7</v>
      </c>
      <c r="G3413" s="1413"/>
      <c r="H3413" s="1478"/>
      <c r="I3413" s="1406">
        <f t="shared" si="949"/>
        <v>28</v>
      </c>
      <c r="J3413" s="1529"/>
      <c r="K3413" s="1529"/>
      <c r="M3413" s="1530"/>
      <c r="N3413" s="1530"/>
      <c r="Q3413" s="1394">
        <f>IFERROR(VLOOKUP(M3413,#REF!,3,0),0)</f>
        <v>0</v>
      </c>
      <c r="R3413" s="1394">
        <f t="shared" si="944"/>
        <v>0</v>
      </c>
      <c r="S3413" s="1394">
        <f>IFERROR(VLOOKUP(M3413,#REF!,6,0),0)</f>
        <v>0</v>
      </c>
      <c r="T3413" s="1394">
        <f t="shared" si="946"/>
        <v>0</v>
      </c>
      <c r="U3413" s="1394">
        <f>IFERROR(VLOOKUP(M3413,#REF!,5,0),0)</f>
        <v>0</v>
      </c>
      <c r="V3413" s="1394">
        <f t="shared" si="947"/>
        <v>0</v>
      </c>
      <c r="W3413" s="1394"/>
    </row>
    <row r="3414" spans="1:26" ht="30" customHeight="1">
      <c r="B3414" s="1407"/>
      <c r="C3414" s="1455"/>
      <c r="D3414" s="103"/>
      <c r="E3414" s="103"/>
      <c r="F3414" s="1413"/>
      <c r="G3414" s="1413"/>
      <c r="H3414" s="1414"/>
      <c r="I3414" s="1479">
        <f>SUM(I3409:I3413)</f>
        <v>84</v>
      </c>
      <c r="N3414" s="1399"/>
      <c r="Q3414" s="1394">
        <f>IFERROR(VLOOKUP(M3414,#REF!,3,0),0)</f>
        <v>0</v>
      </c>
      <c r="R3414" s="1394">
        <f t="shared" si="944"/>
        <v>0</v>
      </c>
      <c r="S3414" s="1394">
        <f>IFERROR(VLOOKUP(M3414,#REF!,6,0),0)</f>
        <v>0</v>
      </c>
      <c r="T3414" s="1394">
        <f t="shared" si="946"/>
        <v>0</v>
      </c>
      <c r="U3414" s="1394">
        <f>IFERROR(VLOOKUP(M3414,#REF!,5,0),0)</f>
        <v>0</v>
      </c>
      <c r="V3414" s="1394">
        <f t="shared" si="947"/>
        <v>0</v>
      </c>
      <c r="W3414" s="1394"/>
    </row>
    <row r="3415" spans="1:26" ht="30" customHeight="1">
      <c r="B3415" s="1407"/>
      <c r="C3415" s="1455"/>
      <c r="D3415" s="103"/>
      <c r="E3415" s="103"/>
      <c r="F3415" s="1413"/>
      <c r="G3415" s="1483" t="s">
        <v>11</v>
      </c>
      <c r="H3415" s="1478">
        <f>ROUNDUP(I3414,1)</f>
        <v>84</v>
      </c>
      <c r="I3415" s="1479" t="s">
        <v>12</v>
      </c>
      <c r="M3415" s="1394" t="str">
        <f>A3408</f>
        <v>b. 25 mm dia PVC Water supply (ASTM)</v>
      </c>
      <c r="N3415" s="1394">
        <f>B3408</f>
        <v>0</v>
      </c>
      <c r="O3415" s="1394">
        <f>H3415</f>
        <v>84</v>
      </c>
      <c r="P3415" s="1394" t="str">
        <f>I3415</f>
        <v>Rmt</v>
      </c>
      <c r="Q3415" s="1394">
        <f>IFERROR(VLOOKUP(M3415,#REF!,3,0),0)</f>
        <v>0</v>
      </c>
      <c r="R3415" s="1394">
        <f t="shared" si="944"/>
        <v>0</v>
      </c>
      <c r="S3415" s="1394">
        <f>IFERROR(VLOOKUP(M3415,#REF!,6,0),0)</f>
        <v>0</v>
      </c>
      <c r="T3415" s="1394">
        <f t="shared" si="946"/>
        <v>0</v>
      </c>
      <c r="U3415" s="1394">
        <f>IFERROR(VLOOKUP(M3415,#REF!,5,0),0)</f>
        <v>0</v>
      </c>
      <c r="V3415" s="1394">
        <f t="shared" si="947"/>
        <v>84</v>
      </c>
      <c r="W3415" s="1394"/>
      <c r="Z3415" s="1394"/>
    </row>
    <row r="3416" spans="1:26" ht="30" customHeight="1">
      <c r="A3416" s="110" t="s">
        <v>456</v>
      </c>
      <c r="B3416" s="1405">
        <v>52.4</v>
      </c>
      <c r="C3416" s="1678" t="e">
        <f>VLOOKUP(A3416,#REF!,2,0)</f>
        <v>#REF!</v>
      </c>
      <c r="D3416" s="1678"/>
      <c r="E3416" s="1678"/>
      <c r="F3416" s="1678"/>
      <c r="G3416" s="1678"/>
      <c r="H3416" s="1678"/>
      <c r="I3416" s="1479"/>
      <c r="N3416" s="1399"/>
      <c r="Q3416" s="1394">
        <f>IFERROR(VLOOKUP(M3416,#REF!,3,0),0)</f>
        <v>0</v>
      </c>
      <c r="R3416" s="1394">
        <f t="shared" si="944"/>
        <v>0</v>
      </c>
      <c r="S3416" s="1394">
        <f>IFERROR(VLOOKUP(M3416,#REF!,6,0),0)</f>
        <v>0</v>
      </c>
      <c r="T3416" s="1394">
        <f t="shared" si="946"/>
        <v>0</v>
      </c>
      <c r="U3416" s="1394">
        <f>IFERROR(VLOOKUP(M3416,#REF!,5,0),0)</f>
        <v>0</v>
      </c>
      <c r="V3416" s="1394">
        <f t="shared" si="947"/>
        <v>0</v>
      </c>
      <c r="W3416" s="1394"/>
      <c r="X3416" s="1397"/>
    </row>
    <row r="3417" spans="1:26" ht="30" customHeight="1">
      <c r="B3417" s="1407"/>
      <c r="C3417" s="1531" t="s">
        <v>5933</v>
      </c>
      <c r="D3417" s="1526">
        <v>1</v>
      </c>
      <c r="E3417" s="1526">
        <v>4</v>
      </c>
      <c r="F3417" s="1527">
        <f>1.5+1</f>
        <v>2.5</v>
      </c>
      <c r="G3417" s="1413"/>
      <c r="H3417" s="1414"/>
      <c r="I3417" s="1406">
        <f>PRODUCT(D3417:H3417)</f>
        <v>10</v>
      </c>
      <c r="N3417" s="1399"/>
      <c r="Q3417" s="1394">
        <f>IFERROR(VLOOKUP(M3417,#REF!,3,0),0)</f>
        <v>0</v>
      </c>
      <c r="R3417" s="1394">
        <f t="shared" si="944"/>
        <v>0</v>
      </c>
      <c r="S3417" s="1394">
        <f>IFERROR(VLOOKUP(M3417,#REF!,6,0),0)</f>
        <v>0</v>
      </c>
      <c r="T3417" s="1394">
        <f t="shared" si="946"/>
        <v>0</v>
      </c>
      <c r="U3417" s="1394">
        <f>IFERROR(VLOOKUP(M3417,#REF!,5,0),0)</f>
        <v>0</v>
      </c>
      <c r="V3417" s="1394">
        <f t="shared" si="947"/>
        <v>0</v>
      </c>
      <c r="W3417" s="1394"/>
    </row>
    <row r="3418" spans="1:26" ht="30" customHeight="1">
      <c r="B3418" s="1407"/>
      <c r="C3418" s="1531" t="s">
        <v>5934</v>
      </c>
      <c r="D3418" s="1526">
        <v>1</v>
      </c>
      <c r="E3418" s="1526">
        <v>4</v>
      </c>
      <c r="F3418" s="1527">
        <f t="shared" ref="F3418:F3420" si="950">1.5+1</f>
        <v>2.5</v>
      </c>
      <c r="G3418" s="1413"/>
      <c r="H3418" s="1414"/>
      <c r="I3418" s="1406">
        <f>PRODUCT(D3418:H3418)</f>
        <v>10</v>
      </c>
      <c r="N3418" s="1399"/>
      <c r="Q3418" s="1394">
        <f>IFERROR(VLOOKUP(M3418,#REF!,3,0),0)</f>
        <v>0</v>
      </c>
      <c r="R3418" s="1394">
        <f t="shared" si="944"/>
        <v>0</v>
      </c>
      <c r="S3418" s="1394">
        <f>IFERROR(VLOOKUP(M3418,#REF!,6,0),0)</f>
        <v>0</v>
      </c>
      <c r="T3418" s="1394">
        <f t="shared" si="946"/>
        <v>0</v>
      </c>
      <c r="U3418" s="1394">
        <f>IFERROR(VLOOKUP(M3418,#REF!,5,0),0)</f>
        <v>0</v>
      </c>
      <c r="V3418" s="1394">
        <f t="shared" si="947"/>
        <v>0</v>
      </c>
      <c r="W3418" s="1394"/>
    </row>
    <row r="3419" spans="1:26" ht="30" customHeight="1">
      <c r="B3419" s="1407"/>
      <c r="C3419" s="1531" t="s">
        <v>5935</v>
      </c>
      <c r="D3419" s="1526">
        <v>1</v>
      </c>
      <c r="E3419" s="1526">
        <v>4</v>
      </c>
      <c r="F3419" s="1527">
        <f t="shared" si="950"/>
        <v>2.5</v>
      </c>
      <c r="G3419" s="1413"/>
      <c r="H3419" s="1414"/>
      <c r="I3419" s="1406">
        <f>PRODUCT(D3419:H3419)</f>
        <v>10</v>
      </c>
      <c r="N3419" s="1399"/>
      <c r="Q3419" s="1394">
        <f>IFERROR(VLOOKUP(M3419,#REF!,3,0),0)</f>
        <v>0</v>
      </c>
      <c r="R3419" s="1394">
        <f t="shared" si="944"/>
        <v>0</v>
      </c>
      <c r="S3419" s="1394">
        <f>IFERROR(VLOOKUP(M3419,#REF!,6,0),0)</f>
        <v>0</v>
      </c>
      <c r="T3419" s="1394">
        <f t="shared" si="946"/>
        <v>0</v>
      </c>
      <c r="U3419" s="1394">
        <f>IFERROR(VLOOKUP(M3419,#REF!,5,0),0)</f>
        <v>0</v>
      </c>
      <c r="V3419" s="1394">
        <f t="shared" si="947"/>
        <v>0</v>
      </c>
      <c r="W3419" s="1394"/>
    </row>
    <row r="3420" spans="1:26" ht="30" customHeight="1">
      <c r="B3420" s="1407"/>
      <c r="C3420" s="1531" t="s">
        <v>5936</v>
      </c>
      <c r="D3420" s="1526">
        <v>1</v>
      </c>
      <c r="E3420" s="1526">
        <v>4</v>
      </c>
      <c r="F3420" s="1527">
        <f t="shared" si="950"/>
        <v>2.5</v>
      </c>
      <c r="G3420" s="1413"/>
      <c r="H3420" s="1414"/>
      <c r="I3420" s="1406">
        <f>PRODUCT(D3420:H3420)</f>
        <v>10</v>
      </c>
      <c r="N3420" s="1399"/>
      <c r="Q3420" s="1394">
        <f>IFERROR(VLOOKUP(M3420,#REF!,3,0),0)</f>
        <v>0</v>
      </c>
      <c r="R3420" s="1394">
        <f t="shared" si="944"/>
        <v>0</v>
      </c>
      <c r="S3420" s="1394">
        <f>IFERROR(VLOOKUP(M3420,#REF!,6,0),0)</f>
        <v>0</v>
      </c>
      <c r="T3420" s="1394">
        <f t="shared" si="946"/>
        <v>0</v>
      </c>
      <c r="U3420" s="1394">
        <f>IFERROR(VLOOKUP(M3420,#REF!,5,0),0)</f>
        <v>0</v>
      </c>
      <c r="V3420" s="1394">
        <f t="shared" si="947"/>
        <v>0</v>
      </c>
      <c r="W3420" s="1394"/>
    </row>
    <row r="3421" spans="1:26" s="1394" customFormat="1" ht="30" customHeight="1">
      <c r="B3421" s="1421"/>
      <c r="C3421" s="1422" t="s">
        <v>270</v>
      </c>
      <c r="D3421" s="1389"/>
      <c r="E3421" s="1389"/>
      <c r="F3421" s="1423"/>
      <c r="G3421" s="1423"/>
      <c r="H3421" s="1424"/>
      <c r="I3421" s="1425">
        <f>J3422-J3421</f>
        <v>0</v>
      </c>
      <c r="J3421" s="1394">
        <f>SUM(I3417:I3420)</f>
        <v>40</v>
      </c>
      <c r="M3421" s="1426"/>
      <c r="N3421" s="1426"/>
      <c r="Q3421" s="1394">
        <f>IFERROR(VLOOKUP(M3421,#REF!,3,0),0)</f>
        <v>0</v>
      </c>
      <c r="R3421" s="1394">
        <f t="shared" si="944"/>
        <v>0</v>
      </c>
      <c r="S3421" s="1394">
        <f>IFERROR(VLOOKUP(M3421,#REF!,6,0),0)</f>
        <v>0</v>
      </c>
      <c r="T3421" s="1394">
        <f t="shared" si="946"/>
        <v>0</v>
      </c>
      <c r="U3421" s="1394">
        <f>IFERROR(VLOOKUP(M3421,#REF!,5,0),0)</f>
        <v>0</v>
      </c>
      <c r="V3421" s="1394">
        <f t="shared" si="947"/>
        <v>0</v>
      </c>
    </row>
    <row r="3422" spans="1:26" s="1394" customFormat="1" ht="30" customHeight="1">
      <c r="B3422" s="1421"/>
      <c r="C3422" s="1457"/>
      <c r="D3422" s="1389"/>
      <c r="E3422" s="1389"/>
      <c r="F3422" s="1423"/>
      <c r="G3422" s="1423"/>
      <c r="H3422" s="1424"/>
      <c r="I3422" s="1427">
        <f>+J3422</f>
        <v>40</v>
      </c>
      <c r="J3422" s="1394">
        <f>ROUNDUP(J3421,1)</f>
        <v>40</v>
      </c>
      <c r="M3422" s="1426"/>
      <c r="N3422" s="1426"/>
      <c r="Q3422" s="1394">
        <f>IFERROR(VLOOKUP(M3422,#REF!,3,0),0)</f>
        <v>0</v>
      </c>
      <c r="R3422" s="1394">
        <f t="shared" si="944"/>
        <v>0</v>
      </c>
      <c r="S3422" s="1394">
        <f>IFERROR(VLOOKUP(M3422,#REF!,6,0),0)</f>
        <v>0</v>
      </c>
      <c r="T3422" s="1394">
        <f t="shared" si="946"/>
        <v>0</v>
      </c>
      <c r="U3422" s="1394">
        <f>IFERROR(VLOOKUP(M3422,#REF!,5,0),0)</f>
        <v>0</v>
      </c>
      <c r="V3422" s="1394">
        <f t="shared" si="947"/>
        <v>0</v>
      </c>
    </row>
    <row r="3423" spans="1:26" s="1394" customFormat="1" ht="30" customHeight="1">
      <c r="B3423" s="1421"/>
      <c r="C3423" s="1422"/>
      <c r="D3423" s="1389"/>
      <c r="E3423" s="1389"/>
      <c r="F3423" s="1423"/>
      <c r="G3423" s="1428" t="s">
        <v>11</v>
      </c>
      <c r="H3423" s="1429">
        <f>I3422</f>
        <v>40</v>
      </c>
      <c r="I3423" s="1427" t="s">
        <v>12</v>
      </c>
      <c r="M3423" s="1394" t="str">
        <f>A3416</f>
        <v>c. 20 mm dia PVC Water supply (ASTM)</v>
      </c>
      <c r="N3423" s="1394">
        <f>B3416</f>
        <v>52.4</v>
      </c>
      <c r="O3423" s="1394">
        <f>H3423</f>
        <v>40</v>
      </c>
      <c r="P3423" s="1394" t="str">
        <f>I3423</f>
        <v>Rmt</v>
      </c>
      <c r="Q3423" s="1394">
        <f>IFERROR(VLOOKUP(M3423,#REF!,3,0),0)</f>
        <v>0</v>
      </c>
      <c r="R3423" s="1394">
        <f t="shared" si="944"/>
        <v>0</v>
      </c>
      <c r="S3423" s="1394">
        <f>IFERROR(VLOOKUP(M3423,#REF!,6,0),0)</f>
        <v>0</v>
      </c>
      <c r="T3423" s="1394">
        <f t="shared" si="946"/>
        <v>0</v>
      </c>
      <c r="U3423" s="1394">
        <f>IFERROR(VLOOKUP(M3423,#REF!,5,0),0)</f>
        <v>0</v>
      </c>
      <c r="V3423" s="1394">
        <f t="shared" si="947"/>
        <v>40</v>
      </c>
    </row>
    <row r="3424" spans="1:26" ht="81.75" customHeight="1">
      <c r="A3424" s="110" t="s">
        <v>852</v>
      </c>
      <c r="B3424" s="1405">
        <v>52.1</v>
      </c>
      <c r="C3424" s="1678" t="e">
        <f>VLOOKUP(A3424,#REF!,2,0)</f>
        <v>#REF!</v>
      </c>
      <c r="D3424" s="1678"/>
      <c r="E3424" s="1678"/>
      <c r="F3424" s="1678"/>
      <c r="G3424" s="1678"/>
      <c r="H3424" s="1678"/>
      <c r="I3424" s="1479"/>
      <c r="N3424" s="1399"/>
      <c r="Q3424" s="1394">
        <f>IFERROR(VLOOKUP(M3424,#REF!,3,0),0)</f>
        <v>0</v>
      </c>
      <c r="R3424" s="1394">
        <f t="shared" si="944"/>
        <v>0</v>
      </c>
      <c r="S3424" s="1394">
        <f>IFERROR(VLOOKUP(M3424,#REF!,6,0),0)</f>
        <v>0</v>
      </c>
      <c r="T3424" s="1394">
        <f t="shared" si="946"/>
        <v>0</v>
      </c>
      <c r="U3424" s="1394">
        <f>IFERROR(VLOOKUP(M3424,#REF!,5,0),0)</f>
        <v>0</v>
      </c>
      <c r="V3424" s="1394">
        <f t="shared" si="947"/>
        <v>0</v>
      </c>
      <c r="W3424" s="1394"/>
      <c r="X3424" s="1397"/>
    </row>
    <row r="3425" spans="1:24" ht="30" customHeight="1">
      <c r="B3425" s="1407"/>
      <c r="C3425" s="1531" t="s">
        <v>5933</v>
      </c>
      <c r="D3425" s="1526">
        <v>1</v>
      </c>
      <c r="E3425" s="1526">
        <v>4</v>
      </c>
      <c r="F3425" s="1527">
        <v>2</v>
      </c>
      <c r="G3425" s="1413"/>
      <c r="H3425" s="1414"/>
      <c r="I3425" s="1406">
        <f>PRODUCT(D3425:H3425)</f>
        <v>8</v>
      </c>
      <c r="N3425" s="1399"/>
      <c r="Q3425" s="1394">
        <f>IFERROR(VLOOKUP(M3425,#REF!,3,0),0)</f>
        <v>0</v>
      </c>
      <c r="R3425" s="1394">
        <f t="shared" si="944"/>
        <v>0</v>
      </c>
      <c r="S3425" s="1394">
        <f>IFERROR(VLOOKUP(M3425,#REF!,6,0),0)</f>
        <v>0</v>
      </c>
      <c r="T3425" s="1394">
        <f t="shared" si="946"/>
        <v>0</v>
      </c>
      <c r="U3425" s="1394">
        <f>IFERROR(VLOOKUP(M3425,#REF!,5,0),0)</f>
        <v>0</v>
      </c>
      <c r="V3425" s="1394">
        <f t="shared" si="947"/>
        <v>0</v>
      </c>
      <c r="W3425" s="1394"/>
    </row>
    <row r="3426" spans="1:24" ht="30" customHeight="1">
      <c r="B3426" s="1407"/>
      <c r="C3426" s="1531" t="s">
        <v>5934</v>
      </c>
      <c r="D3426" s="1526">
        <v>1</v>
      </c>
      <c r="E3426" s="1526">
        <v>4</v>
      </c>
      <c r="F3426" s="1527">
        <v>2</v>
      </c>
      <c r="G3426" s="1413"/>
      <c r="H3426" s="1414"/>
      <c r="I3426" s="1406">
        <f t="shared" ref="I3426:I3428" si="951">PRODUCT(D3426:H3426)</f>
        <v>8</v>
      </c>
      <c r="N3426" s="1399"/>
      <c r="Q3426" s="1394">
        <f>IFERROR(VLOOKUP(M3426,#REF!,3,0),0)</f>
        <v>0</v>
      </c>
      <c r="R3426" s="1394">
        <f t="shared" si="944"/>
        <v>0</v>
      </c>
      <c r="S3426" s="1394">
        <f>IFERROR(VLOOKUP(M3426,#REF!,6,0),0)</f>
        <v>0</v>
      </c>
      <c r="T3426" s="1394">
        <f t="shared" si="946"/>
        <v>0</v>
      </c>
      <c r="U3426" s="1394">
        <f>IFERROR(VLOOKUP(M3426,#REF!,5,0),0)</f>
        <v>0</v>
      </c>
      <c r="V3426" s="1394">
        <f t="shared" si="947"/>
        <v>0</v>
      </c>
      <c r="W3426" s="1394"/>
    </row>
    <row r="3427" spans="1:24" ht="30" customHeight="1">
      <c r="B3427" s="1407"/>
      <c r="C3427" s="1531" t="s">
        <v>5935</v>
      </c>
      <c r="D3427" s="1526">
        <v>1</v>
      </c>
      <c r="E3427" s="1526">
        <v>4</v>
      </c>
      <c r="F3427" s="1527">
        <v>2</v>
      </c>
      <c r="G3427" s="1413"/>
      <c r="H3427" s="1414"/>
      <c r="I3427" s="1406">
        <f t="shared" si="951"/>
        <v>8</v>
      </c>
      <c r="N3427" s="1399"/>
      <c r="Q3427" s="1394">
        <f>IFERROR(VLOOKUP(M3427,#REF!,3,0),0)</f>
        <v>0</v>
      </c>
      <c r="R3427" s="1394">
        <f t="shared" si="944"/>
        <v>0</v>
      </c>
      <c r="S3427" s="1394">
        <f>IFERROR(VLOOKUP(M3427,#REF!,6,0),0)</f>
        <v>0</v>
      </c>
      <c r="T3427" s="1394">
        <f t="shared" si="946"/>
        <v>0</v>
      </c>
      <c r="U3427" s="1394">
        <f>IFERROR(VLOOKUP(M3427,#REF!,5,0),0)</f>
        <v>0</v>
      </c>
      <c r="V3427" s="1394">
        <f t="shared" si="947"/>
        <v>0</v>
      </c>
      <c r="W3427" s="1394"/>
    </row>
    <row r="3428" spans="1:24" ht="30" customHeight="1">
      <c r="B3428" s="1407"/>
      <c r="C3428" s="1531" t="s">
        <v>5936</v>
      </c>
      <c r="D3428" s="1526">
        <v>1</v>
      </c>
      <c r="E3428" s="1526">
        <v>4</v>
      </c>
      <c r="F3428" s="1527">
        <v>2</v>
      </c>
      <c r="G3428" s="1413"/>
      <c r="H3428" s="1414"/>
      <c r="I3428" s="1406">
        <f t="shared" si="951"/>
        <v>8</v>
      </c>
      <c r="N3428" s="1399"/>
      <c r="Q3428" s="1394">
        <f>IFERROR(VLOOKUP(M3428,#REF!,3,0),0)</f>
        <v>0</v>
      </c>
      <c r="R3428" s="1394">
        <f t="shared" si="944"/>
        <v>0</v>
      </c>
      <c r="S3428" s="1394">
        <f>IFERROR(VLOOKUP(M3428,#REF!,6,0),0)</f>
        <v>0</v>
      </c>
      <c r="T3428" s="1394">
        <f t="shared" si="946"/>
        <v>0</v>
      </c>
      <c r="U3428" s="1394">
        <f>IFERROR(VLOOKUP(M3428,#REF!,5,0),0)</f>
        <v>0</v>
      </c>
      <c r="V3428" s="1394">
        <f t="shared" si="947"/>
        <v>0</v>
      </c>
      <c r="W3428" s="1394"/>
    </row>
    <row r="3429" spans="1:24" s="1394" customFormat="1" ht="30" customHeight="1">
      <c r="B3429" s="1421"/>
      <c r="C3429" s="1422" t="s">
        <v>270</v>
      </c>
      <c r="D3429" s="1389"/>
      <c r="E3429" s="1389"/>
      <c r="F3429" s="1423"/>
      <c r="G3429" s="1423"/>
      <c r="H3429" s="1424"/>
      <c r="I3429" s="1425">
        <f>J3430-J3429</f>
        <v>0</v>
      </c>
      <c r="J3429" s="1394">
        <f>SUM(I3425:I3428)</f>
        <v>32</v>
      </c>
      <c r="M3429" s="1426"/>
      <c r="N3429" s="1426"/>
      <c r="Q3429" s="1394">
        <f>IFERROR(VLOOKUP(M3429,#REF!,3,0),0)</f>
        <v>0</v>
      </c>
      <c r="R3429" s="1394">
        <f t="shared" si="944"/>
        <v>0</v>
      </c>
      <c r="S3429" s="1394">
        <f>IFERROR(VLOOKUP(M3429,#REF!,6,0),0)</f>
        <v>0</v>
      </c>
      <c r="T3429" s="1394">
        <f t="shared" si="946"/>
        <v>0</v>
      </c>
      <c r="U3429" s="1394">
        <f>IFERROR(VLOOKUP(M3429,#REF!,5,0),0)</f>
        <v>0</v>
      </c>
      <c r="V3429" s="1394">
        <f t="shared" si="947"/>
        <v>0</v>
      </c>
    </row>
    <row r="3430" spans="1:24" s="1394" customFormat="1" ht="30" customHeight="1">
      <c r="B3430" s="1421"/>
      <c r="C3430" s="1457"/>
      <c r="D3430" s="1389"/>
      <c r="E3430" s="1389"/>
      <c r="F3430" s="1423"/>
      <c r="G3430" s="1423"/>
      <c r="H3430" s="1424"/>
      <c r="I3430" s="1427">
        <f>+J3430</f>
        <v>32</v>
      </c>
      <c r="J3430" s="1394">
        <f>ROUNDUP(J3429,1)</f>
        <v>32</v>
      </c>
      <c r="M3430" s="1426"/>
      <c r="N3430" s="1426"/>
      <c r="Q3430" s="1394">
        <f>IFERROR(VLOOKUP(M3430,#REF!,3,0),0)</f>
        <v>0</v>
      </c>
      <c r="R3430" s="1394">
        <f t="shared" si="944"/>
        <v>0</v>
      </c>
      <c r="S3430" s="1394">
        <f>IFERROR(VLOOKUP(M3430,#REF!,6,0),0)</f>
        <v>0</v>
      </c>
      <c r="T3430" s="1394">
        <f t="shared" si="946"/>
        <v>0</v>
      </c>
      <c r="U3430" s="1394">
        <f>IFERROR(VLOOKUP(M3430,#REF!,5,0),0)</f>
        <v>0</v>
      </c>
      <c r="V3430" s="1394">
        <f t="shared" si="947"/>
        <v>0</v>
      </c>
    </row>
    <row r="3431" spans="1:24" s="1394" customFormat="1" ht="30" customHeight="1">
      <c r="B3431" s="1421"/>
      <c r="C3431" s="1422"/>
      <c r="D3431" s="1389"/>
      <c r="E3431" s="1389"/>
      <c r="F3431" s="1423"/>
      <c r="G3431" s="1428" t="s">
        <v>11</v>
      </c>
      <c r="H3431" s="1429">
        <f>I3430</f>
        <v>32</v>
      </c>
      <c r="I3431" s="1427" t="s">
        <v>12</v>
      </c>
      <c r="M3431" s="1394" t="str">
        <f>A3424</f>
        <v>G.I Pipe 20mm dia for Hot water line (Fully Concealed in walls)</v>
      </c>
      <c r="N3431" s="1394">
        <f>B3424</f>
        <v>52.1</v>
      </c>
      <c r="O3431" s="1394">
        <f>H3431</f>
        <v>32</v>
      </c>
      <c r="P3431" s="1394" t="str">
        <f>I3431</f>
        <v>Rmt</v>
      </c>
      <c r="Q3431" s="1394">
        <f>IFERROR(VLOOKUP(M3431,#REF!,3,0),0)</f>
        <v>0</v>
      </c>
      <c r="R3431" s="1394">
        <f t="shared" si="944"/>
        <v>0</v>
      </c>
      <c r="S3431" s="1394">
        <f>IFERROR(VLOOKUP(M3431,#REF!,6,0),0)</f>
        <v>0</v>
      </c>
      <c r="T3431" s="1394">
        <f t="shared" si="946"/>
        <v>0</v>
      </c>
      <c r="U3431" s="1394">
        <f>IFERROR(VLOOKUP(M3431,#REF!,5,0),0)</f>
        <v>0</v>
      </c>
      <c r="V3431" s="1394">
        <f t="shared" si="947"/>
        <v>32</v>
      </c>
    </row>
    <row r="3432" spans="1:24" ht="101.25" customHeight="1">
      <c r="A3432" s="110" t="s">
        <v>457</v>
      </c>
      <c r="B3432" s="1405">
        <v>53.1</v>
      </c>
      <c r="C3432" s="1678" t="e">
        <f>VLOOKUP(A3432,#REF!,2,0)</f>
        <v>#REF!</v>
      </c>
      <c r="D3432" s="1678"/>
      <c r="E3432" s="1678"/>
      <c r="F3432" s="1678"/>
      <c r="G3432" s="1678"/>
      <c r="H3432" s="1678"/>
      <c r="I3432" s="1479"/>
      <c r="Q3432" s="1394">
        <f>IFERROR(VLOOKUP(M3432,#REF!,3,0),0)</f>
        <v>0</v>
      </c>
      <c r="R3432" s="1394">
        <f t="shared" si="944"/>
        <v>0</v>
      </c>
      <c r="S3432" s="1394">
        <f>IFERROR(VLOOKUP(M3432,#REF!,6,0),0)</f>
        <v>0</v>
      </c>
      <c r="T3432" s="1394">
        <f t="shared" si="946"/>
        <v>0</v>
      </c>
      <c r="U3432" s="1394">
        <f>IFERROR(VLOOKUP(M3432,#REF!,5,0),0)</f>
        <v>0</v>
      </c>
      <c r="V3432" s="1394">
        <f t="shared" si="947"/>
        <v>0</v>
      </c>
      <c r="W3432" s="1394"/>
      <c r="X3432" s="1397"/>
    </row>
    <row r="3433" spans="1:24" ht="30" customHeight="1">
      <c r="B3433" s="1407"/>
      <c r="C3433" s="1532" t="s">
        <v>458</v>
      </c>
      <c r="D3433" s="1523"/>
      <c r="E3433" s="1523"/>
      <c r="F3433" s="1524"/>
      <c r="G3433" s="1524"/>
      <c r="H3433" s="1533"/>
      <c r="I3433" s="1406">
        <f t="shared" ref="I3433:I3440" si="952">PRODUCT(D3433:H3433)</f>
        <v>0</v>
      </c>
      <c r="Q3433" s="1394">
        <f>IFERROR(VLOOKUP(M3433,#REF!,3,0),0)</f>
        <v>0</v>
      </c>
      <c r="R3433" s="1394">
        <f t="shared" si="944"/>
        <v>0</v>
      </c>
      <c r="S3433" s="1394">
        <f>IFERROR(VLOOKUP(M3433,#REF!,6,0),0)</f>
        <v>0</v>
      </c>
      <c r="T3433" s="1394">
        <f t="shared" si="946"/>
        <v>0</v>
      </c>
      <c r="U3433" s="1394">
        <f>IFERROR(VLOOKUP(M3433,#REF!,5,0),0)</f>
        <v>0</v>
      </c>
      <c r="V3433" s="1394">
        <f t="shared" si="947"/>
        <v>0</v>
      </c>
      <c r="W3433" s="1394"/>
    </row>
    <row r="3434" spans="1:24" ht="30" customHeight="1">
      <c r="B3434" s="1407"/>
      <c r="C3434" s="1522" t="s">
        <v>400</v>
      </c>
      <c r="D3434" s="1523">
        <v>1</v>
      </c>
      <c r="E3434" s="1523">
        <v>1</v>
      </c>
      <c r="F3434" s="1524" t="s">
        <v>442</v>
      </c>
      <c r="G3434" s="1524" t="s">
        <v>442</v>
      </c>
      <c r="H3434" s="1533" t="s">
        <v>442</v>
      </c>
      <c r="I3434" s="1406">
        <f t="shared" si="952"/>
        <v>1</v>
      </c>
      <c r="Q3434" s="1394">
        <f>IFERROR(VLOOKUP(M3434,#REF!,3,0),0)</f>
        <v>0</v>
      </c>
      <c r="R3434" s="1394">
        <f t="shared" si="944"/>
        <v>0</v>
      </c>
      <c r="S3434" s="1394">
        <f>IFERROR(VLOOKUP(M3434,#REF!,6,0),0)</f>
        <v>0</v>
      </c>
      <c r="T3434" s="1394">
        <f t="shared" si="946"/>
        <v>0</v>
      </c>
      <c r="U3434" s="1394">
        <f>IFERROR(VLOOKUP(M3434,#REF!,5,0),0)</f>
        <v>0</v>
      </c>
      <c r="V3434" s="1394">
        <f t="shared" si="947"/>
        <v>0</v>
      </c>
      <c r="W3434" s="1394"/>
    </row>
    <row r="3435" spans="1:24" ht="30" customHeight="1">
      <c r="B3435" s="1407"/>
      <c r="C3435" s="1532" t="s">
        <v>259</v>
      </c>
      <c r="D3435" s="1523"/>
      <c r="E3435" s="1523"/>
      <c r="F3435" s="1524"/>
      <c r="G3435" s="1524"/>
      <c r="H3435" s="1533"/>
      <c r="I3435" s="1406">
        <f t="shared" si="952"/>
        <v>0</v>
      </c>
      <c r="Q3435" s="1394">
        <f>IFERROR(VLOOKUP(M3435,#REF!,3,0),0)</f>
        <v>0</v>
      </c>
      <c r="R3435" s="1394">
        <f t="shared" si="944"/>
        <v>0</v>
      </c>
      <c r="S3435" s="1394">
        <f>IFERROR(VLOOKUP(M3435,#REF!,6,0),0)</f>
        <v>0</v>
      </c>
      <c r="T3435" s="1394">
        <f t="shared" si="946"/>
        <v>0</v>
      </c>
      <c r="U3435" s="1394">
        <f>IFERROR(VLOOKUP(M3435,#REF!,5,0),0)</f>
        <v>0</v>
      </c>
      <c r="V3435" s="1394">
        <f t="shared" si="947"/>
        <v>0</v>
      </c>
      <c r="W3435" s="1394"/>
    </row>
    <row r="3436" spans="1:24" ht="30" customHeight="1">
      <c r="B3436" s="1407"/>
      <c r="C3436" s="1522" t="s">
        <v>400</v>
      </c>
      <c r="D3436" s="1523">
        <v>1</v>
      </c>
      <c r="E3436" s="1523">
        <v>4</v>
      </c>
      <c r="F3436" s="1524" t="s">
        <v>442</v>
      </c>
      <c r="G3436" s="1524" t="s">
        <v>442</v>
      </c>
      <c r="H3436" s="1533" t="s">
        <v>442</v>
      </c>
      <c r="I3436" s="1406">
        <f t="shared" si="952"/>
        <v>4</v>
      </c>
      <c r="Q3436" s="1394">
        <f>IFERROR(VLOOKUP(M3436,#REF!,3,0),0)</f>
        <v>0</v>
      </c>
      <c r="R3436" s="1394">
        <f t="shared" si="944"/>
        <v>0</v>
      </c>
      <c r="S3436" s="1394">
        <f>IFERROR(VLOOKUP(M3436,#REF!,6,0),0)</f>
        <v>0</v>
      </c>
      <c r="T3436" s="1394">
        <f t="shared" si="946"/>
        <v>0</v>
      </c>
      <c r="U3436" s="1394">
        <f>IFERROR(VLOOKUP(M3436,#REF!,5,0),0)</f>
        <v>0</v>
      </c>
      <c r="V3436" s="1394">
        <f t="shared" si="947"/>
        <v>0</v>
      </c>
      <c r="W3436" s="1394"/>
    </row>
    <row r="3437" spans="1:24" ht="30" customHeight="1">
      <c r="B3437" s="1407"/>
      <c r="C3437" s="1532" t="s">
        <v>260</v>
      </c>
      <c r="D3437" s="1523"/>
      <c r="E3437" s="1523"/>
      <c r="F3437" s="1524"/>
      <c r="G3437" s="1524"/>
      <c r="H3437" s="1533"/>
      <c r="I3437" s="1406">
        <f t="shared" si="952"/>
        <v>0</v>
      </c>
      <c r="Q3437" s="1394">
        <f>IFERROR(VLOOKUP(M3437,#REF!,3,0),0)</f>
        <v>0</v>
      </c>
      <c r="R3437" s="1394">
        <f t="shared" si="944"/>
        <v>0</v>
      </c>
      <c r="S3437" s="1394">
        <f>IFERROR(VLOOKUP(M3437,#REF!,6,0),0)</f>
        <v>0</v>
      </c>
      <c r="T3437" s="1394">
        <f t="shared" si="946"/>
        <v>0</v>
      </c>
      <c r="U3437" s="1394">
        <f>IFERROR(VLOOKUP(M3437,#REF!,5,0),0)</f>
        <v>0</v>
      </c>
      <c r="V3437" s="1394">
        <f t="shared" si="947"/>
        <v>0</v>
      </c>
      <c r="W3437" s="1394"/>
    </row>
    <row r="3438" spans="1:24" ht="30" customHeight="1">
      <c r="B3438" s="1407"/>
      <c r="C3438" s="1522" t="s">
        <v>400</v>
      </c>
      <c r="D3438" s="1523">
        <v>1</v>
      </c>
      <c r="E3438" s="1523">
        <v>4</v>
      </c>
      <c r="F3438" s="1524"/>
      <c r="G3438" s="1524"/>
      <c r="H3438" s="1533"/>
      <c r="I3438" s="1406">
        <f t="shared" si="952"/>
        <v>4</v>
      </c>
      <c r="Q3438" s="1394">
        <f>IFERROR(VLOOKUP(M3438,#REF!,3,0),0)</f>
        <v>0</v>
      </c>
      <c r="R3438" s="1394">
        <f t="shared" ref="R3438:R3501" si="953">ROUND(O3438,2)*ROUND(Q3438,2)</f>
        <v>0</v>
      </c>
      <c r="S3438" s="1394">
        <f>IFERROR(VLOOKUP(M3438,#REF!,6,0),0)</f>
        <v>0</v>
      </c>
      <c r="T3438" s="1394">
        <f t="shared" si="946"/>
        <v>0</v>
      </c>
      <c r="U3438" s="1394">
        <f>IFERROR(VLOOKUP(M3438,#REF!,5,0),0)</f>
        <v>0</v>
      </c>
      <c r="V3438" s="1394">
        <f t="shared" si="947"/>
        <v>0</v>
      </c>
      <c r="W3438" s="1394"/>
    </row>
    <row r="3439" spans="1:24" ht="30" customHeight="1">
      <c r="B3439" s="1407"/>
      <c r="C3439" s="1532" t="s">
        <v>261</v>
      </c>
      <c r="D3439" s="1523"/>
      <c r="E3439" s="1523"/>
      <c r="F3439" s="1524"/>
      <c r="G3439" s="1524"/>
      <c r="H3439" s="1533"/>
      <c r="I3439" s="1406">
        <f t="shared" si="952"/>
        <v>0</v>
      </c>
      <c r="Q3439" s="1394">
        <f>IFERROR(VLOOKUP(M3439,#REF!,3,0),0)</f>
        <v>0</v>
      </c>
      <c r="R3439" s="1394">
        <f t="shared" si="953"/>
        <v>0</v>
      </c>
      <c r="S3439" s="1394">
        <f>IFERROR(VLOOKUP(M3439,#REF!,6,0),0)</f>
        <v>0</v>
      </c>
      <c r="T3439" s="1394">
        <f t="shared" si="946"/>
        <v>0</v>
      </c>
      <c r="U3439" s="1394">
        <f>IFERROR(VLOOKUP(M3439,#REF!,5,0),0)</f>
        <v>0</v>
      </c>
      <c r="V3439" s="1394">
        <f t="shared" si="947"/>
        <v>0</v>
      </c>
      <c r="W3439" s="1394"/>
    </row>
    <row r="3440" spans="1:24" ht="30" customHeight="1">
      <c r="B3440" s="1407"/>
      <c r="C3440" s="1522" t="s">
        <v>400</v>
      </c>
      <c r="D3440" s="1523">
        <v>1</v>
      </c>
      <c r="E3440" s="1523">
        <v>4</v>
      </c>
      <c r="F3440" s="1524" t="s">
        <v>442</v>
      </c>
      <c r="G3440" s="1524" t="s">
        <v>442</v>
      </c>
      <c r="H3440" s="1533" t="s">
        <v>442</v>
      </c>
      <c r="I3440" s="1406">
        <f t="shared" si="952"/>
        <v>4</v>
      </c>
      <c r="Q3440" s="1394">
        <f>IFERROR(VLOOKUP(M3440,#REF!,3,0),0)</f>
        <v>0</v>
      </c>
      <c r="R3440" s="1394">
        <f t="shared" si="953"/>
        <v>0</v>
      </c>
      <c r="S3440" s="1394">
        <f>IFERROR(VLOOKUP(M3440,#REF!,6,0),0)</f>
        <v>0</v>
      </c>
      <c r="T3440" s="1394">
        <f t="shared" si="946"/>
        <v>0</v>
      </c>
      <c r="U3440" s="1394">
        <f>IFERROR(VLOOKUP(M3440,#REF!,5,0),0)</f>
        <v>0</v>
      </c>
      <c r="V3440" s="1394">
        <f t="shared" si="947"/>
        <v>0</v>
      </c>
      <c r="W3440" s="1394"/>
    </row>
    <row r="3441" spans="1:26" ht="30" customHeight="1">
      <c r="B3441" s="1407"/>
      <c r="C3441" s="1455"/>
      <c r="D3441" s="103"/>
      <c r="E3441" s="103"/>
      <c r="F3441" s="1413"/>
      <c r="G3441" s="1413"/>
      <c r="H3441" s="1414"/>
      <c r="I3441" s="1479">
        <f>SUM(I3433:I3440)</f>
        <v>13</v>
      </c>
      <c r="Q3441" s="1394">
        <f>IFERROR(VLOOKUP(M3441,#REF!,3,0),0)</f>
        <v>0</v>
      </c>
      <c r="R3441" s="1394">
        <f t="shared" si="953"/>
        <v>0</v>
      </c>
      <c r="S3441" s="1394">
        <f>IFERROR(VLOOKUP(M3441,#REF!,6,0),0)</f>
        <v>0</v>
      </c>
      <c r="T3441" s="1394">
        <f t="shared" si="946"/>
        <v>0</v>
      </c>
      <c r="U3441" s="1394">
        <f>IFERROR(VLOOKUP(M3441,#REF!,5,0),0)</f>
        <v>0</v>
      </c>
      <c r="V3441" s="1394">
        <f t="shared" si="947"/>
        <v>0</v>
      </c>
      <c r="W3441" s="1394"/>
    </row>
    <row r="3442" spans="1:26" ht="30" customHeight="1">
      <c r="B3442" s="1405"/>
      <c r="C3442" s="1412"/>
      <c r="D3442" s="103"/>
      <c r="E3442" s="103"/>
      <c r="F3442" s="1413"/>
      <c r="G3442" s="1483" t="s">
        <v>11</v>
      </c>
      <c r="H3442" s="1478">
        <f>I3441</f>
        <v>13</v>
      </c>
      <c r="I3442" s="1479" t="s">
        <v>13</v>
      </c>
      <c r="M3442" s="1394" t="str">
        <f>A3432</f>
        <v>Wash Hand  Basin of size 550 x 400 mm</v>
      </c>
      <c r="N3442" s="1394">
        <f>B3432</f>
        <v>53.1</v>
      </c>
      <c r="O3442" s="1394">
        <f>H3442</f>
        <v>13</v>
      </c>
      <c r="P3442" s="1394" t="str">
        <f>I3442</f>
        <v>Nos</v>
      </c>
      <c r="Q3442" s="1394">
        <f>IFERROR(VLOOKUP(M3442,#REF!,3,0),0)</f>
        <v>0</v>
      </c>
      <c r="R3442" s="1394">
        <f t="shared" si="953"/>
        <v>0</v>
      </c>
      <c r="S3442" s="1394">
        <f>IFERROR(VLOOKUP(M3442,#REF!,6,0),0)</f>
        <v>0</v>
      </c>
      <c r="T3442" s="1394">
        <f t="shared" si="946"/>
        <v>0</v>
      </c>
      <c r="U3442" s="1394">
        <f>IFERROR(VLOOKUP(M3442,#REF!,5,0),0)</f>
        <v>0</v>
      </c>
      <c r="V3442" s="1394">
        <f t="shared" si="947"/>
        <v>13</v>
      </c>
      <c r="W3442" s="1394"/>
      <c r="Z3442" s="1394"/>
    </row>
    <row r="3443" spans="1:26" ht="70.5" customHeight="1">
      <c r="A3443" s="110" t="s">
        <v>460</v>
      </c>
      <c r="B3443" s="1405">
        <v>54.1</v>
      </c>
      <c r="C3443" s="1678" t="e">
        <f>VLOOKUP(A3443,#REF!,2,0)</f>
        <v>#REF!</v>
      </c>
      <c r="D3443" s="1678"/>
      <c r="E3443" s="1678"/>
      <c r="F3443" s="1678"/>
      <c r="G3443" s="1678"/>
      <c r="H3443" s="1678"/>
      <c r="I3443" s="1479"/>
      <c r="Q3443" s="1394">
        <f>IFERROR(VLOOKUP(M3443,#REF!,3,0),0)</f>
        <v>0</v>
      </c>
      <c r="R3443" s="1394">
        <f t="shared" si="953"/>
        <v>0</v>
      </c>
      <c r="S3443" s="1394">
        <f>IFERROR(VLOOKUP(M3443,#REF!,6,0),0)</f>
        <v>0</v>
      </c>
      <c r="T3443" s="1394">
        <f t="shared" si="946"/>
        <v>0</v>
      </c>
      <c r="U3443" s="1394">
        <f>IFERROR(VLOOKUP(M3443,#REF!,5,0),0)</f>
        <v>0</v>
      </c>
      <c r="V3443" s="1394">
        <f t="shared" si="947"/>
        <v>0</v>
      </c>
      <c r="W3443" s="1394"/>
      <c r="X3443" s="1397"/>
    </row>
    <row r="3444" spans="1:26" ht="30" customHeight="1">
      <c r="B3444" s="1405"/>
      <c r="C3444" s="1455"/>
      <c r="D3444" s="103"/>
      <c r="E3444" s="103"/>
      <c r="F3444" s="1413"/>
      <c r="G3444" s="1413"/>
      <c r="H3444" s="1414"/>
      <c r="I3444" s="1406">
        <f t="shared" ref="I3444:I3453" si="954">PRODUCT(D3444:H3444)</f>
        <v>0</v>
      </c>
      <c r="Q3444" s="1394">
        <f>IFERROR(VLOOKUP(M3444,#REF!,3,0),0)</f>
        <v>0</v>
      </c>
      <c r="R3444" s="1394">
        <f t="shared" si="953"/>
        <v>0</v>
      </c>
      <c r="S3444" s="1394">
        <f>IFERROR(VLOOKUP(M3444,#REF!,6,0),0)</f>
        <v>0</v>
      </c>
      <c r="T3444" s="1394">
        <f t="shared" si="946"/>
        <v>0</v>
      </c>
      <c r="U3444" s="1394">
        <f>IFERROR(VLOOKUP(M3444,#REF!,5,0),0)</f>
        <v>0</v>
      </c>
      <c r="V3444" s="1394">
        <f t="shared" si="947"/>
        <v>0</v>
      </c>
      <c r="W3444" s="1394"/>
    </row>
    <row r="3445" spans="1:26" ht="30" customHeight="1">
      <c r="B3445" s="1405"/>
      <c r="C3445" s="1532" t="s">
        <v>458</v>
      </c>
      <c r="D3445" s="1523"/>
      <c r="E3445" s="1523"/>
      <c r="F3445" s="1524"/>
      <c r="G3445" s="1524"/>
      <c r="H3445" s="1533"/>
      <c r="I3445" s="1406">
        <f t="shared" si="954"/>
        <v>0</v>
      </c>
      <c r="Q3445" s="1394">
        <f>IFERROR(VLOOKUP(M3445,#REF!,3,0),0)</f>
        <v>0</v>
      </c>
      <c r="R3445" s="1394">
        <f t="shared" si="953"/>
        <v>0</v>
      </c>
      <c r="S3445" s="1394">
        <f>IFERROR(VLOOKUP(M3445,#REF!,6,0),0)</f>
        <v>0</v>
      </c>
      <c r="T3445" s="1394">
        <f t="shared" si="946"/>
        <v>0</v>
      </c>
      <c r="U3445" s="1394">
        <f>IFERROR(VLOOKUP(M3445,#REF!,5,0),0)</f>
        <v>0</v>
      </c>
      <c r="V3445" s="1394">
        <f t="shared" si="947"/>
        <v>0</v>
      </c>
      <c r="W3445" s="1394"/>
    </row>
    <row r="3446" spans="1:26" ht="30" customHeight="1">
      <c r="B3446" s="1405"/>
      <c r="C3446" s="1522" t="s">
        <v>400</v>
      </c>
      <c r="D3446" s="1523">
        <v>1</v>
      </c>
      <c r="E3446" s="1523">
        <v>2</v>
      </c>
      <c r="F3446" s="1524" t="s">
        <v>442</v>
      </c>
      <c r="G3446" s="1524" t="s">
        <v>442</v>
      </c>
      <c r="H3446" s="1533" t="s">
        <v>442</v>
      </c>
      <c r="I3446" s="1406">
        <f t="shared" si="954"/>
        <v>2</v>
      </c>
      <c r="Q3446" s="1394">
        <f>IFERROR(VLOOKUP(M3446,#REF!,3,0),0)</f>
        <v>0</v>
      </c>
      <c r="R3446" s="1394">
        <f t="shared" si="953"/>
        <v>0</v>
      </c>
      <c r="S3446" s="1394">
        <f>IFERROR(VLOOKUP(M3446,#REF!,6,0),0)</f>
        <v>0</v>
      </c>
      <c r="T3446" s="1394">
        <f t="shared" si="946"/>
        <v>0</v>
      </c>
      <c r="U3446" s="1394">
        <f>IFERROR(VLOOKUP(M3446,#REF!,5,0),0)</f>
        <v>0</v>
      </c>
      <c r="V3446" s="1394">
        <f t="shared" si="947"/>
        <v>0</v>
      </c>
      <c r="W3446" s="1394"/>
    </row>
    <row r="3447" spans="1:26" ht="30" customHeight="1">
      <c r="B3447" s="1405"/>
      <c r="C3447" s="1532" t="s">
        <v>259</v>
      </c>
      <c r="D3447" s="1523"/>
      <c r="E3447" s="1523"/>
      <c r="F3447" s="1524"/>
      <c r="G3447" s="1524"/>
      <c r="H3447" s="1533"/>
      <c r="I3447" s="1406">
        <f t="shared" si="954"/>
        <v>0</v>
      </c>
      <c r="Q3447" s="1394">
        <f>IFERROR(VLOOKUP(M3447,#REF!,3,0),0)</f>
        <v>0</v>
      </c>
      <c r="R3447" s="1394">
        <f t="shared" si="953"/>
        <v>0</v>
      </c>
      <c r="S3447" s="1394">
        <f>IFERROR(VLOOKUP(M3447,#REF!,6,0),0)</f>
        <v>0</v>
      </c>
      <c r="T3447" s="1394">
        <f t="shared" si="946"/>
        <v>0</v>
      </c>
      <c r="U3447" s="1394">
        <f>IFERROR(VLOOKUP(M3447,#REF!,5,0),0)</f>
        <v>0</v>
      </c>
      <c r="V3447" s="1394">
        <f t="shared" si="947"/>
        <v>0</v>
      </c>
      <c r="W3447" s="1394"/>
    </row>
    <row r="3448" spans="1:26" ht="30" customHeight="1">
      <c r="B3448" s="1405"/>
      <c r="C3448" s="1522" t="s">
        <v>400</v>
      </c>
      <c r="D3448" s="1523">
        <v>1</v>
      </c>
      <c r="E3448" s="1523">
        <v>6</v>
      </c>
      <c r="F3448" s="1524" t="s">
        <v>442</v>
      </c>
      <c r="G3448" s="1524" t="s">
        <v>442</v>
      </c>
      <c r="H3448" s="1533" t="s">
        <v>442</v>
      </c>
      <c r="I3448" s="1406">
        <f t="shared" si="954"/>
        <v>6</v>
      </c>
      <c r="Q3448" s="1394">
        <f>IFERROR(VLOOKUP(M3448,#REF!,3,0),0)</f>
        <v>0</v>
      </c>
      <c r="R3448" s="1394">
        <f t="shared" si="953"/>
        <v>0</v>
      </c>
      <c r="S3448" s="1394">
        <f>IFERROR(VLOOKUP(M3448,#REF!,6,0),0)</f>
        <v>0</v>
      </c>
      <c r="T3448" s="1394">
        <f t="shared" si="946"/>
        <v>0</v>
      </c>
      <c r="U3448" s="1394">
        <f>IFERROR(VLOOKUP(M3448,#REF!,5,0),0)</f>
        <v>0</v>
      </c>
      <c r="V3448" s="1394">
        <f t="shared" si="947"/>
        <v>0</v>
      </c>
      <c r="W3448" s="1394"/>
    </row>
    <row r="3449" spans="1:26" ht="30" customHeight="1">
      <c r="B3449" s="1405"/>
      <c r="C3449" s="1532" t="s">
        <v>260</v>
      </c>
      <c r="D3449" s="1523"/>
      <c r="E3449" s="1523"/>
      <c r="F3449" s="1524"/>
      <c r="G3449" s="1524"/>
      <c r="H3449" s="1533"/>
      <c r="I3449" s="1406">
        <f t="shared" si="954"/>
        <v>0</v>
      </c>
      <c r="Q3449" s="1394">
        <f>IFERROR(VLOOKUP(M3449,#REF!,3,0),0)</f>
        <v>0</v>
      </c>
      <c r="R3449" s="1394">
        <f t="shared" si="953"/>
        <v>0</v>
      </c>
      <c r="S3449" s="1394">
        <f>IFERROR(VLOOKUP(M3449,#REF!,6,0),0)</f>
        <v>0</v>
      </c>
      <c r="T3449" s="1394">
        <f t="shared" si="946"/>
        <v>0</v>
      </c>
      <c r="U3449" s="1394">
        <f>IFERROR(VLOOKUP(M3449,#REF!,5,0),0)</f>
        <v>0</v>
      </c>
      <c r="V3449" s="1394">
        <f t="shared" si="947"/>
        <v>0</v>
      </c>
      <c r="W3449" s="1394"/>
    </row>
    <row r="3450" spans="1:26" ht="30" customHeight="1">
      <c r="B3450" s="1405"/>
      <c r="C3450" s="1522" t="s">
        <v>400</v>
      </c>
      <c r="D3450" s="1523">
        <v>1</v>
      </c>
      <c r="E3450" s="1523">
        <v>6</v>
      </c>
      <c r="F3450" s="1524"/>
      <c r="G3450" s="1524"/>
      <c r="H3450" s="1533"/>
      <c r="I3450" s="1406">
        <f t="shared" si="954"/>
        <v>6</v>
      </c>
      <c r="Q3450" s="1394">
        <f>IFERROR(VLOOKUP(M3450,#REF!,3,0),0)</f>
        <v>0</v>
      </c>
      <c r="R3450" s="1394">
        <f t="shared" si="953"/>
        <v>0</v>
      </c>
      <c r="S3450" s="1394">
        <f>IFERROR(VLOOKUP(M3450,#REF!,6,0),0)</f>
        <v>0</v>
      </c>
      <c r="T3450" s="1394">
        <f t="shared" si="946"/>
        <v>0</v>
      </c>
      <c r="U3450" s="1394">
        <f>IFERROR(VLOOKUP(M3450,#REF!,5,0),0)</f>
        <v>0</v>
      </c>
      <c r="V3450" s="1394">
        <f t="shared" si="947"/>
        <v>0</v>
      </c>
      <c r="W3450" s="1394"/>
    </row>
    <row r="3451" spans="1:26" ht="30" customHeight="1">
      <c r="B3451" s="1405"/>
      <c r="C3451" s="1532" t="s">
        <v>261</v>
      </c>
      <c r="D3451" s="1523"/>
      <c r="E3451" s="1523"/>
      <c r="F3451" s="1524"/>
      <c r="G3451" s="1524"/>
      <c r="H3451" s="1533"/>
      <c r="I3451" s="1406">
        <f t="shared" si="954"/>
        <v>0</v>
      </c>
      <c r="Q3451" s="1394">
        <f>IFERROR(VLOOKUP(M3451,#REF!,3,0),0)</f>
        <v>0</v>
      </c>
      <c r="R3451" s="1394">
        <f t="shared" si="953"/>
        <v>0</v>
      </c>
      <c r="S3451" s="1394">
        <f>IFERROR(VLOOKUP(M3451,#REF!,6,0),0)</f>
        <v>0</v>
      </c>
      <c r="T3451" s="1394">
        <f t="shared" si="946"/>
        <v>0</v>
      </c>
      <c r="U3451" s="1394">
        <f>IFERROR(VLOOKUP(M3451,#REF!,5,0),0)</f>
        <v>0</v>
      </c>
      <c r="V3451" s="1394">
        <f t="shared" si="947"/>
        <v>0</v>
      </c>
      <c r="W3451" s="1394"/>
    </row>
    <row r="3452" spans="1:26" ht="30" customHeight="1">
      <c r="B3452" s="1405"/>
      <c r="C3452" s="1522" t="s">
        <v>400</v>
      </c>
      <c r="D3452" s="1523">
        <v>1</v>
      </c>
      <c r="E3452" s="1523">
        <v>5</v>
      </c>
      <c r="F3452" s="1524" t="s">
        <v>442</v>
      </c>
      <c r="G3452" s="1524" t="s">
        <v>442</v>
      </c>
      <c r="H3452" s="1533" t="s">
        <v>442</v>
      </c>
      <c r="I3452" s="1406">
        <f t="shared" si="954"/>
        <v>5</v>
      </c>
      <c r="Q3452" s="1394">
        <f>IFERROR(VLOOKUP(M3452,#REF!,3,0),0)</f>
        <v>0</v>
      </c>
      <c r="R3452" s="1394">
        <f t="shared" si="953"/>
        <v>0</v>
      </c>
      <c r="S3452" s="1394">
        <f>IFERROR(VLOOKUP(M3452,#REF!,6,0),0)</f>
        <v>0</v>
      </c>
      <c r="T3452" s="1394">
        <f t="shared" si="946"/>
        <v>0</v>
      </c>
      <c r="U3452" s="1394">
        <f>IFERROR(VLOOKUP(M3452,#REF!,5,0),0)</f>
        <v>0</v>
      </c>
      <c r="V3452" s="1394">
        <f t="shared" si="947"/>
        <v>0</v>
      </c>
      <c r="W3452" s="1394"/>
    </row>
    <row r="3453" spans="1:26" ht="30" customHeight="1">
      <c r="B3453" s="1405"/>
      <c r="C3453" s="1455"/>
      <c r="D3453" s="103"/>
      <c r="E3453" s="103"/>
      <c r="F3453" s="1413"/>
      <c r="G3453" s="1413"/>
      <c r="H3453" s="1414"/>
      <c r="I3453" s="1406">
        <f t="shared" si="954"/>
        <v>0</v>
      </c>
      <c r="Q3453" s="1394">
        <f>IFERROR(VLOOKUP(M3453,#REF!,3,0),0)</f>
        <v>0</v>
      </c>
      <c r="R3453" s="1394">
        <f t="shared" si="953"/>
        <v>0</v>
      </c>
      <c r="S3453" s="1394">
        <f>IFERROR(VLOOKUP(M3453,#REF!,6,0),0)</f>
        <v>0</v>
      </c>
      <c r="T3453" s="1394">
        <f t="shared" si="946"/>
        <v>0</v>
      </c>
      <c r="U3453" s="1394">
        <f>IFERROR(VLOOKUP(M3453,#REF!,5,0),0)</f>
        <v>0</v>
      </c>
      <c r="V3453" s="1394">
        <f t="shared" si="947"/>
        <v>0</v>
      </c>
      <c r="W3453" s="1394"/>
    </row>
    <row r="3454" spans="1:26" ht="30" customHeight="1">
      <c r="B3454" s="1405"/>
      <c r="C3454" s="1455"/>
      <c r="D3454" s="103"/>
      <c r="E3454" s="103"/>
      <c r="F3454" s="1413"/>
      <c r="G3454" s="1413"/>
      <c r="H3454" s="1414"/>
      <c r="I3454" s="1479">
        <f>SUM(I3444:I3453)</f>
        <v>19</v>
      </c>
      <c r="Q3454" s="1394">
        <f>IFERROR(VLOOKUP(M3454,#REF!,3,0),0)</f>
        <v>0</v>
      </c>
      <c r="R3454" s="1394">
        <f t="shared" si="953"/>
        <v>0</v>
      </c>
      <c r="S3454" s="1394">
        <f>IFERROR(VLOOKUP(M3454,#REF!,6,0),0)</f>
        <v>0</v>
      </c>
      <c r="T3454" s="1394">
        <f t="shared" si="946"/>
        <v>0</v>
      </c>
      <c r="U3454" s="1394">
        <f>IFERROR(VLOOKUP(M3454,#REF!,5,0),0)</f>
        <v>0</v>
      </c>
      <c r="V3454" s="1394">
        <f t="shared" si="947"/>
        <v>0</v>
      </c>
      <c r="W3454" s="1394"/>
    </row>
    <row r="3455" spans="1:26" ht="30" customHeight="1">
      <c r="B3455" s="1405"/>
      <c r="C3455" s="1412"/>
      <c r="D3455" s="103"/>
      <c r="E3455" s="103"/>
      <c r="F3455" s="1413"/>
      <c r="G3455" s="1483" t="s">
        <v>11</v>
      </c>
      <c r="H3455" s="1478">
        <f>I3454</f>
        <v>19</v>
      </c>
      <c r="I3455" s="1479" t="s">
        <v>13</v>
      </c>
      <c r="M3455" s="1394" t="str">
        <f>A3443</f>
        <v>S &amp; F of 15mm dia half turn CP long body tap</v>
      </c>
      <c r="N3455" s="1394">
        <f>B3443</f>
        <v>54.1</v>
      </c>
      <c r="O3455" s="1394">
        <f>H3455</f>
        <v>19</v>
      </c>
      <c r="P3455" s="1394" t="str">
        <f>I3455</f>
        <v>Nos</v>
      </c>
      <c r="Q3455" s="1394">
        <f>IFERROR(VLOOKUP(M3455,#REF!,3,0),0)</f>
        <v>0</v>
      </c>
      <c r="R3455" s="1394">
        <f t="shared" si="953"/>
        <v>0</v>
      </c>
      <c r="S3455" s="1394">
        <f>IFERROR(VLOOKUP(M3455,#REF!,6,0),0)</f>
        <v>0</v>
      </c>
      <c r="T3455" s="1394">
        <f t="shared" si="946"/>
        <v>0</v>
      </c>
      <c r="U3455" s="1394">
        <f>IFERROR(VLOOKUP(M3455,#REF!,5,0),0)</f>
        <v>0</v>
      </c>
      <c r="V3455" s="1394">
        <f t="shared" si="947"/>
        <v>19</v>
      </c>
      <c r="W3455" s="1394"/>
      <c r="Z3455" s="1394"/>
    </row>
    <row r="3456" spans="1:26" ht="92.25" customHeight="1">
      <c r="A3456" s="110" t="s">
        <v>461</v>
      </c>
      <c r="B3456" s="1405">
        <v>54.2</v>
      </c>
      <c r="C3456" s="1678" t="e">
        <f>VLOOKUP(A3456,#REF!,2,0)</f>
        <v>#REF!</v>
      </c>
      <c r="D3456" s="1678"/>
      <c r="E3456" s="1678"/>
      <c r="F3456" s="1678"/>
      <c r="G3456" s="1678"/>
      <c r="H3456" s="1678"/>
      <c r="I3456" s="1479"/>
      <c r="Q3456" s="1394">
        <f>IFERROR(VLOOKUP(M3456,#REF!,3,0),0)</f>
        <v>0</v>
      </c>
      <c r="R3456" s="1394">
        <f t="shared" si="953"/>
        <v>0</v>
      </c>
      <c r="S3456" s="1394">
        <f>IFERROR(VLOOKUP(M3456,#REF!,6,0),0)</f>
        <v>0</v>
      </c>
      <c r="T3456" s="1394">
        <f t="shared" si="946"/>
        <v>0</v>
      </c>
      <c r="U3456" s="1394">
        <f>IFERROR(VLOOKUP(M3456,#REF!,5,0),0)</f>
        <v>0</v>
      </c>
      <c r="V3456" s="1394">
        <f t="shared" si="947"/>
        <v>0</v>
      </c>
      <c r="W3456" s="1394"/>
      <c r="X3456" s="1397"/>
    </row>
    <row r="3457" spans="1:26" ht="30" customHeight="1">
      <c r="B3457" s="1405"/>
      <c r="C3457" s="1532" t="s">
        <v>458</v>
      </c>
      <c r="D3457" s="1523"/>
      <c r="E3457" s="1523"/>
      <c r="F3457" s="1413"/>
      <c r="G3457" s="1413"/>
      <c r="H3457" s="1414"/>
      <c r="I3457" s="1406">
        <f t="shared" ref="I3457:I3464" si="955">PRODUCT(D3457:H3457)</f>
        <v>0</v>
      </c>
      <c r="Q3457" s="1394">
        <f>IFERROR(VLOOKUP(M3457,#REF!,3,0),0)</f>
        <v>0</v>
      </c>
      <c r="R3457" s="1394">
        <f t="shared" si="953"/>
        <v>0</v>
      </c>
      <c r="S3457" s="1394">
        <f>IFERROR(VLOOKUP(M3457,#REF!,6,0),0)</f>
        <v>0</v>
      </c>
      <c r="T3457" s="1394">
        <f t="shared" si="946"/>
        <v>0</v>
      </c>
      <c r="U3457" s="1394">
        <f>IFERROR(VLOOKUP(M3457,#REF!,5,0),0)</f>
        <v>0</v>
      </c>
      <c r="V3457" s="1394">
        <f t="shared" si="947"/>
        <v>0</v>
      </c>
      <c r="W3457" s="1394"/>
    </row>
    <row r="3458" spans="1:26" ht="30" customHeight="1">
      <c r="B3458" s="1405"/>
      <c r="C3458" s="1522" t="s">
        <v>400</v>
      </c>
      <c r="D3458" s="1523">
        <v>1</v>
      </c>
      <c r="E3458" s="1523">
        <v>2</v>
      </c>
      <c r="F3458" s="1524" t="s">
        <v>442</v>
      </c>
      <c r="G3458" s="1524" t="s">
        <v>442</v>
      </c>
      <c r="H3458" s="1533" t="s">
        <v>442</v>
      </c>
      <c r="I3458" s="1406">
        <f t="shared" si="955"/>
        <v>2</v>
      </c>
      <c r="Q3458" s="1394">
        <f>IFERROR(VLOOKUP(M3458,#REF!,3,0),0)</f>
        <v>0</v>
      </c>
      <c r="R3458" s="1394">
        <f t="shared" si="953"/>
        <v>0</v>
      </c>
      <c r="S3458" s="1394">
        <f>IFERROR(VLOOKUP(M3458,#REF!,6,0),0)</f>
        <v>0</v>
      </c>
      <c r="T3458" s="1394">
        <f t="shared" si="946"/>
        <v>0</v>
      </c>
      <c r="U3458" s="1394">
        <f>IFERROR(VLOOKUP(M3458,#REF!,5,0),0)</f>
        <v>0</v>
      </c>
      <c r="V3458" s="1394">
        <f t="shared" si="947"/>
        <v>0</v>
      </c>
      <c r="W3458" s="1394"/>
    </row>
    <row r="3459" spans="1:26" ht="30" customHeight="1">
      <c r="B3459" s="1405"/>
      <c r="C3459" s="1532" t="s">
        <v>259</v>
      </c>
      <c r="D3459" s="1523"/>
      <c r="E3459" s="1523"/>
      <c r="F3459" s="1524"/>
      <c r="G3459" s="1524"/>
      <c r="H3459" s="1533"/>
      <c r="I3459" s="1406">
        <f t="shared" si="955"/>
        <v>0</v>
      </c>
      <c r="Q3459" s="1394">
        <f>IFERROR(VLOOKUP(M3459,#REF!,3,0),0)</f>
        <v>0</v>
      </c>
      <c r="R3459" s="1394">
        <f t="shared" si="953"/>
        <v>0</v>
      </c>
      <c r="S3459" s="1394">
        <f>IFERROR(VLOOKUP(M3459,#REF!,6,0),0)</f>
        <v>0</v>
      </c>
      <c r="T3459" s="1394">
        <f t="shared" ref="T3459:T3522" si="956">R3459-S3459</f>
        <v>0</v>
      </c>
      <c r="U3459" s="1394">
        <f>IFERROR(VLOOKUP(M3459,#REF!,5,0),0)</f>
        <v>0</v>
      </c>
      <c r="V3459" s="1394">
        <f t="shared" ref="V3459:V3522" si="957">O3459-U3459</f>
        <v>0</v>
      </c>
      <c r="W3459" s="1394"/>
    </row>
    <row r="3460" spans="1:26" ht="30" customHeight="1">
      <c r="B3460" s="1405"/>
      <c r="C3460" s="1522" t="s">
        <v>400</v>
      </c>
      <c r="D3460" s="1523">
        <v>1</v>
      </c>
      <c r="E3460" s="1523">
        <v>6</v>
      </c>
      <c r="F3460" s="1524" t="s">
        <v>442</v>
      </c>
      <c r="G3460" s="1524" t="s">
        <v>442</v>
      </c>
      <c r="H3460" s="1533" t="s">
        <v>442</v>
      </c>
      <c r="I3460" s="1406">
        <f t="shared" si="955"/>
        <v>6</v>
      </c>
      <c r="Q3460" s="1394">
        <f>IFERROR(VLOOKUP(M3460,#REF!,3,0),0)</f>
        <v>0</v>
      </c>
      <c r="R3460" s="1394">
        <f t="shared" si="953"/>
        <v>0</v>
      </c>
      <c r="S3460" s="1394">
        <f>IFERROR(VLOOKUP(M3460,#REF!,6,0),0)</f>
        <v>0</v>
      </c>
      <c r="T3460" s="1394">
        <f t="shared" si="956"/>
        <v>0</v>
      </c>
      <c r="U3460" s="1394">
        <f>IFERROR(VLOOKUP(M3460,#REF!,5,0),0)</f>
        <v>0</v>
      </c>
      <c r="V3460" s="1394">
        <f t="shared" si="957"/>
        <v>0</v>
      </c>
      <c r="W3460" s="1394"/>
    </row>
    <row r="3461" spans="1:26" ht="30" customHeight="1">
      <c r="B3461" s="1405"/>
      <c r="C3461" s="1532" t="s">
        <v>260</v>
      </c>
      <c r="D3461" s="1523"/>
      <c r="E3461" s="1523"/>
      <c r="F3461" s="1524"/>
      <c r="G3461" s="1524"/>
      <c r="H3461" s="1533"/>
      <c r="I3461" s="1406">
        <f t="shared" si="955"/>
        <v>0</v>
      </c>
      <c r="Q3461" s="1394">
        <f>IFERROR(VLOOKUP(M3461,#REF!,3,0),0)</f>
        <v>0</v>
      </c>
      <c r="R3461" s="1394">
        <f t="shared" si="953"/>
        <v>0</v>
      </c>
      <c r="S3461" s="1394">
        <f>IFERROR(VLOOKUP(M3461,#REF!,6,0),0)</f>
        <v>0</v>
      </c>
      <c r="T3461" s="1394">
        <f t="shared" si="956"/>
        <v>0</v>
      </c>
      <c r="U3461" s="1394">
        <f>IFERROR(VLOOKUP(M3461,#REF!,5,0),0)</f>
        <v>0</v>
      </c>
      <c r="V3461" s="1394">
        <f t="shared" si="957"/>
        <v>0</v>
      </c>
      <c r="W3461" s="1394"/>
    </row>
    <row r="3462" spans="1:26" ht="30" customHeight="1">
      <c r="B3462" s="1405"/>
      <c r="C3462" s="1522" t="s">
        <v>400</v>
      </c>
      <c r="D3462" s="1523">
        <v>1</v>
      </c>
      <c r="E3462" s="1523">
        <v>6</v>
      </c>
      <c r="F3462" s="1524"/>
      <c r="G3462" s="1524"/>
      <c r="H3462" s="1533"/>
      <c r="I3462" s="1406">
        <f t="shared" si="955"/>
        <v>6</v>
      </c>
      <c r="Q3462" s="1394">
        <f>IFERROR(VLOOKUP(M3462,#REF!,3,0),0)</f>
        <v>0</v>
      </c>
      <c r="R3462" s="1394">
        <f t="shared" si="953"/>
        <v>0</v>
      </c>
      <c r="S3462" s="1394">
        <f>IFERROR(VLOOKUP(M3462,#REF!,6,0),0)</f>
        <v>0</v>
      </c>
      <c r="T3462" s="1394">
        <f t="shared" si="956"/>
        <v>0</v>
      </c>
      <c r="U3462" s="1394">
        <f>IFERROR(VLOOKUP(M3462,#REF!,5,0),0)</f>
        <v>0</v>
      </c>
      <c r="V3462" s="1394">
        <f t="shared" si="957"/>
        <v>0</v>
      </c>
      <c r="W3462" s="1394"/>
    </row>
    <row r="3463" spans="1:26" ht="30" customHeight="1">
      <c r="B3463" s="1405"/>
      <c r="C3463" s="1532" t="s">
        <v>261</v>
      </c>
      <c r="D3463" s="1523"/>
      <c r="E3463" s="1523"/>
      <c r="F3463" s="1524"/>
      <c r="G3463" s="1524"/>
      <c r="H3463" s="1533"/>
      <c r="I3463" s="1406">
        <f t="shared" si="955"/>
        <v>0</v>
      </c>
      <c r="Q3463" s="1394">
        <f>IFERROR(VLOOKUP(M3463,#REF!,3,0),0)</f>
        <v>0</v>
      </c>
      <c r="R3463" s="1394">
        <f t="shared" si="953"/>
        <v>0</v>
      </c>
      <c r="S3463" s="1394">
        <f>IFERROR(VLOOKUP(M3463,#REF!,6,0),0)</f>
        <v>0</v>
      </c>
      <c r="T3463" s="1394">
        <f t="shared" si="956"/>
        <v>0</v>
      </c>
      <c r="U3463" s="1394">
        <f>IFERROR(VLOOKUP(M3463,#REF!,5,0),0)</f>
        <v>0</v>
      </c>
      <c r="V3463" s="1394">
        <f t="shared" si="957"/>
        <v>0</v>
      </c>
      <c r="W3463" s="1394"/>
    </row>
    <row r="3464" spans="1:26" ht="30" customHeight="1">
      <c r="B3464" s="1405"/>
      <c r="C3464" s="1522" t="s">
        <v>400</v>
      </c>
      <c r="D3464" s="1523">
        <v>1</v>
      </c>
      <c r="E3464" s="1523">
        <v>5</v>
      </c>
      <c r="F3464" s="1524" t="s">
        <v>442</v>
      </c>
      <c r="G3464" s="1524" t="s">
        <v>442</v>
      </c>
      <c r="H3464" s="1533" t="s">
        <v>442</v>
      </c>
      <c r="I3464" s="1406">
        <f t="shared" si="955"/>
        <v>5</v>
      </c>
      <c r="Q3464" s="1394">
        <f>IFERROR(VLOOKUP(M3464,#REF!,3,0),0)</f>
        <v>0</v>
      </c>
      <c r="R3464" s="1394">
        <f t="shared" si="953"/>
        <v>0</v>
      </c>
      <c r="S3464" s="1394">
        <f>IFERROR(VLOOKUP(M3464,#REF!,6,0),0)</f>
        <v>0</v>
      </c>
      <c r="T3464" s="1394">
        <f t="shared" si="956"/>
        <v>0</v>
      </c>
      <c r="U3464" s="1394">
        <f>IFERROR(VLOOKUP(M3464,#REF!,5,0),0)</f>
        <v>0</v>
      </c>
      <c r="V3464" s="1394">
        <f t="shared" si="957"/>
        <v>0</v>
      </c>
      <c r="W3464" s="1394"/>
    </row>
    <row r="3465" spans="1:26" ht="30" customHeight="1">
      <c r="B3465" s="1405"/>
      <c r="C3465" s="1455"/>
      <c r="D3465" s="103"/>
      <c r="E3465" s="103"/>
      <c r="F3465" s="1413"/>
      <c r="G3465" s="1413"/>
      <c r="H3465" s="1414"/>
      <c r="I3465" s="1479">
        <f>SUM(I3457:I3464)</f>
        <v>19</v>
      </c>
      <c r="Q3465" s="1394">
        <f>IFERROR(VLOOKUP(M3465,#REF!,3,0),0)</f>
        <v>0</v>
      </c>
      <c r="R3465" s="1394">
        <f t="shared" si="953"/>
        <v>0</v>
      </c>
      <c r="S3465" s="1394">
        <f>IFERROR(VLOOKUP(M3465,#REF!,6,0),0)</f>
        <v>0</v>
      </c>
      <c r="T3465" s="1394">
        <f t="shared" si="956"/>
        <v>0</v>
      </c>
      <c r="U3465" s="1394">
        <f>IFERROR(VLOOKUP(M3465,#REF!,5,0),0)</f>
        <v>0</v>
      </c>
      <c r="V3465" s="1394">
        <f t="shared" si="957"/>
        <v>0</v>
      </c>
      <c r="W3465" s="1394"/>
    </row>
    <row r="3466" spans="1:26" ht="30" customHeight="1">
      <c r="B3466" s="1405"/>
      <c r="C3466" s="1412"/>
      <c r="D3466" s="103"/>
      <c r="E3466" s="103"/>
      <c r="F3466" s="1413"/>
      <c r="G3466" s="1483" t="s">
        <v>11</v>
      </c>
      <c r="H3466" s="1478">
        <f>I3465</f>
        <v>19</v>
      </c>
      <c r="I3466" s="1479" t="s">
        <v>13</v>
      </c>
      <c r="M3466" s="1394" t="str">
        <f>A3456</f>
        <v>S &amp; F of 15mm dia half turn CP short body tap</v>
      </c>
      <c r="N3466" s="1394">
        <f>B3456</f>
        <v>54.2</v>
      </c>
      <c r="O3466" s="1394">
        <f>H3466</f>
        <v>19</v>
      </c>
      <c r="P3466" s="1394" t="str">
        <f>I3466</f>
        <v>Nos</v>
      </c>
      <c r="Q3466" s="1394">
        <f>IFERROR(VLOOKUP(M3466,#REF!,3,0),0)</f>
        <v>0</v>
      </c>
      <c r="R3466" s="1394">
        <f t="shared" si="953"/>
        <v>0</v>
      </c>
      <c r="S3466" s="1394">
        <f>IFERROR(VLOOKUP(M3466,#REF!,6,0),0)</f>
        <v>0</v>
      </c>
      <c r="T3466" s="1394">
        <f t="shared" si="956"/>
        <v>0</v>
      </c>
      <c r="U3466" s="1394">
        <f>IFERROR(VLOOKUP(M3466,#REF!,5,0),0)</f>
        <v>0</v>
      </c>
      <c r="V3466" s="1394">
        <f t="shared" si="957"/>
        <v>19</v>
      </c>
      <c r="W3466" s="1394"/>
      <c r="Z3466" s="1394"/>
    </row>
    <row r="3467" spans="1:26" ht="30" customHeight="1">
      <c r="B3467" s="1405"/>
      <c r="C3467" s="1412"/>
      <c r="D3467" s="103"/>
      <c r="E3467" s="103"/>
      <c r="F3467" s="1413"/>
      <c r="G3467" s="1413"/>
      <c r="H3467" s="1414"/>
      <c r="I3467" s="1479"/>
      <c r="Q3467" s="1394">
        <f>IFERROR(VLOOKUP(M3467,#REF!,3,0),0)</f>
        <v>0</v>
      </c>
      <c r="R3467" s="1394">
        <f t="shared" si="953"/>
        <v>0</v>
      </c>
      <c r="S3467" s="1394">
        <f>IFERROR(VLOOKUP(M3467,#REF!,6,0),0)</f>
        <v>0</v>
      </c>
      <c r="T3467" s="1394">
        <f t="shared" si="956"/>
        <v>0</v>
      </c>
      <c r="U3467" s="1394">
        <f>IFERROR(VLOOKUP(M3467,#REF!,5,0),0)</f>
        <v>0</v>
      </c>
      <c r="V3467" s="1394">
        <f t="shared" si="957"/>
        <v>0</v>
      </c>
      <c r="W3467" s="1394"/>
    </row>
    <row r="3468" spans="1:26" ht="15.75" customHeight="1">
      <c r="B3468" s="1405"/>
      <c r="C3468" s="1412"/>
      <c r="D3468" s="103"/>
      <c r="E3468" s="103"/>
      <c r="F3468" s="1413"/>
      <c r="G3468" s="1483"/>
      <c r="H3468" s="1478"/>
      <c r="I3468" s="1479"/>
      <c r="Q3468" s="1394">
        <f>IFERROR(VLOOKUP(M3468,#REF!,3,0),0)</f>
        <v>0</v>
      </c>
      <c r="R3468" s="1394">
        <f t="shared" si="953"/>
        <v>0</v>
      </c>
      <c r="S3468" s="1394">
        <f>IFERROR(VLOOKUP(M3468,#REF!,6,0),0)</f>
        <v>0</v>
      </c>
      <c r="T3468" s="1394">
        <f t="shared" si="956"/>
        <v>0</v>
      </c>
      <c r="U3468" s="1394">
        <f>IFERROR(VLOOKUP(M3468,#REF!,5,0),0)</f>
        <v>0</v>
      </c>
      <c r="V3468" s="1394">
        <f t="shared" si="957"/>
        <v>0</v>
      </c>
      <c r="W3468" s="1394"/>
    </row>
    <row r="3469" spans="1:26" ht="105" customHeight="1">
      <c r="A3469" s="110" t="s">
        <v>462</v>
      </c>
      <c r="B3469" s="1513">
        <v>57</v>
      </c>
      <c r="C3469" s="1678" t="e">
        <f>VLOOKUP(A3469,#REF!,2,0)</f>
        <v>#REF!</v>
      </c>
      <c r="D3469" s="1678"/>
      <c r="E3469" s="1678"/>
      <c r="F3469" s="1678"/>
      <c r="G3469" s="1678"/>
      <c r="H3469" s="1678"/>
      <c r="I3469" s="1479"/>
      <c r="Q3469" s="1394">
        <f>IFERROR(VLOOKUP(M3469,#REF!,3,0),0)</f>
        <v>0</v>
      </c>
      <c r="R3469" s="1394">
        <f t="shared" si="953"/>
        <v>0</v>
      </c>
      <c r="S3469" s="1394">
        <f>IFERROR(VLOOKUP(M3469,#REF!,6,0),0)</f>
        <v>0</v>
      </c>
      <c r="T3469" s="1394">
        <f t="shared" si="956"/>
        <v>0</v>
      </c>
      <c r="U3469" s="1394">
        <f>IFERROR(VLOOKUP(M3469,#REF!,5,0),0)</f>
        <v>0</v>
      </c>
      <c r="V3469" s="1394">
        <f t="shared" si="957"/>
        <v>0</v>
      </c>
      <c r="W3469" s="1394"/>
      <c r="X3469" s="1397"/>
    </row>
    <row r="3470" spans="1:26" ht="30" customHeight="1">
      <c r="B3470" s="1405"/>
      <c r="C3470" s="1532" t="s">
        <v>458</v>
      </c>
      <c r="D3470" s="1523"/>
      <c r="E3470" s="1523"/>
      <c r="F3470" s="1413"/>
      <c r="G3470" s="1413"/>
      <c r="H3470" s="1414"/>
      <c r="I3470" s="1406">
        <f t="shared" ref="I3470:I3477" si="958">PRODUCT(D3470:H3470)</f>
        <v>0</v>
      </c>
      <c r="Q3470" s="1394">
        <f>IFERROR(VLOOKUP(M3470,#REF!,3,0),0)</f>
        <v>0</v>
      </c>
      <c r="R3470" s="1394">
        <f t="shared" si="953"/>
        <v>0</v>
      </c>
      <c r="S3470" s="1394">
        <f>IFERROR(VLOOKUP(M3470,#REF!,6,0),0)</f>
        <v>0</v>
      </c>
      <c r="T3470" s="1394">
        <f t="shared" si="956"/>
        <v>0</v>
      </c>
      <c r="U3470" s="1394">
        <f>IFERROR(VLOOKUP(M3470,#REF!,5,0),0)</f>
        <v>0</v>
      </c>
      <c r="V3470" s="1394">
        <f t="shared" si="957"/>
        <v>0</v>
      </c>
      <c r="W3470" s="1394"/>
    </row>
    <row r="3471" spans="1:26" ht="30" customHeight="1">
      <c r="B3471" s="1405"/>
      <c r="C3471" s="1522" t="s">
        <v>400</v>
      </c>
      <c r="D3471" s="1523">
        <v>1</v>
      </c>
      <c r="E3471" s="1523">
        <v>1</v>
      </c>
      <c r="F3471" s="1524" t="s">
        <v>442</v>
      </c>
      <c r="G3471" s="1524" t="s">
        <v>442</v>
      </c>
      <c r="H3471" s="1533" t="s">
        <v>442</v>
      </c>
      <c r="I3471" s="1406">
        <f t="shared" si="958"/>
        <v>1</v>
      </c>
      <c r="Q3471" s="1394">
        <f>IFERROR(VLOOKUP(M3471,#REF!,3,0),0)</f>
        <v>0</v>
      </c>
      <c r="R3471" s="1394">
        <f t="shared" si="953"/>
        <v>0</v>
      </c>
      <c r="S3471" s="1394">
        <f>IFERROR(VLOOKUP(M3471,#REF!,6,0),0)</f>
        <v>0</v>
      </c>
      <c r="T3471" s="1394">
        <f t="shared" si="956"/>
        <v>0</v>
      </c>
      <c r="U3471" s="1394">
        <f>IFERROR(VLOOKUP(M3471,#REF!,5,0),0)</f>
        <v>0</v>
      </c>
      <c r="V3471" s="1394">
        <f t="shared" si="957"/>
        <v>0</v>
      </c>
      <c r="W3471" s="1394"/>
    </row>
    <row r="3472" spans="1:26" ht="30" customHeight="1">
      <c r="B3472" s="1405"/>
      <c r="C3472" s="1532" t="s">
        <v>259</v>
      </c>
      <c r="D3472" s="1523"/>
      <c r="E3472" s="1523"/>
      <c r="F3472" s="1524"/>
      <c r="G3472" s="1524"/>
      <c r="H3472" s="1533"/>
      <c r="I3472" s="1406">
        <f t="shared" si="958"/>
        <v>0</v>
      </c>
      <c r="Q3472" s="1394">
        <f>IFERROR(VLOOKUP(M3472,#REF!,3,0),0)</f>
        <v>0</v>
      </c>
      <c r="R3472" s="1394">
        <f t="shared" si="953"/>
        <v>0</v>
      </c>
      <c r="S3472" s="1394">
        <f>IFERROR(VLOOKUP(M3472,#REF!,6,0),0)</f>
        <v>0</v>
      </c>
      <c r="T3472" s="1394">
        <f t="shared" si="956"/>
        <v>0</v>
      </c>
      <c r="U3472" s="1394">
        <f>IFERROR(VLOOKUP(M3472,#REF!,5,0),0)</f>
        <v>0</v>
      </c>
      <c r="V3472" s="1394">
        <f t="shared" si="957"/>
        <v>0</v>
      </c>
      <c r="W3472" s="1394"/>
    </row>
    <row r="3473" spans="1:26" ht="30" customHeight="1">
      <c r="B3473" s="1405"/>
      <c r="C3473" s="1522" t="s">
        <v>400</v>
      </c>
      <c r="D3473" s="1523">
        <v>1</v>
      </c>
      <c r="E3473" s="1523">
        <v>3</v>
      </c>
      <c r="F3473" s="1524" t="s">
        <v>442</v>
      </c>
      <c r="G3473" s="1524" t="s">
        <v>442</v>
      </c>
      <c r="H3473" s="1533" t="s">
        <v>442</v>
      </c>
      <c r="I3473" s="1406">
        <f t="shared" si="958"/>
        <v>3</v>
      </c>
      <c r="Q3473" s="1394">
        <f>IFERROR(VLOOKUP(M3473,#REF!,3,0),0)</f>
        <v>0</v>
      </c>
      <c r="R3473" s="1394">
        <f t="shared" si="953"/>
        <v>0</v>
      </c>
      <c r="S3473" s="1394">
        <f>IFERROR(VLOOKUP(M3473,#REF!,6,0),0)</f>
        <v>0</v>
      </c>
      <c r="T3473" s="1394">
        <f t="shared" si="956"/>
        <v>0</v>
      </c>
      <c r="U3473" s="1394">
        <f>IFERROR(VLOOKUP(M3473,#REF!,5,0),0)</f>
        <v>0</v>
      </c>
      <c r="V3473" s="1394">
        <f t="shared" si="957"/>
        <v>0</v>
      </c>
      <c r="W3473" s="1394"/>
    </row>
    <row r="3474" spans="1:26" ht="30" customHeight="1">
      <c r="B3474" s="1405"/>
      <c r="C3474" s="1532" t="s">
        <v>260</v>
      </c>
      <c r="D3474" s="1523"/>
      <c r="E3474" s="1523"/>
      <c r="F3474" s="1524"/>
      <c r="G3474" s="1524"/>
      <c r="H3474" s="1533"/>
      <c r="I3474" s="1406">
        <f t="shared" si="958"/>
        <v>0</v>
      </c>
      <c r="Q3474" s="1394">
        <f>IFERROR(VLOOKUP(M3474,#REF!,3,0),0)</f>
        <v>0</v>
      </c>
      <c r="R3474" s="1394">
        <f t="shared" si="953"/>
        <v>0</v>
      </c>
      <c r="S3474" s="1394">
        <f>IFERROR(VLOOKUP(M3474,#REF!,6,0),0)</f>
        <v>0</v>
      </c>
      <c r="T3474" s="1394">
        <f t="shared" si="956"/>
        <v>0</v>
      </c>
      <c r="U3474" s="1394">
        <f>IFERROR(VLOOKUP(M3474,#REF!,5,0),0)</f>
        <v>0</v>
      </c>
      <c r="V3474" s="1394">
        <f t="shared" si="957"/>
        <v>0</v>
      </c>
      <c r="W3474" s="1394"/>
    </row>
    <row r="3475" spans="1:26" ht="30" customHeight="1">
      <c r="B3475" s="1405"/>
      <c r="C3475" s="1522" t="s">
        <v>400</v>
      </c>
      <c r="D3475" s="1523">
        <v>1</v>
      </c>
      <c r="E3475" s="1523">
        <v>3</v>
      </c>
      <c r="F3475" s="1524"/>
      <c r="G3475" s="1524"/>
      <c r="H3475" s="1533"/>
      <c r="I3475" s="1406">
        <f t="shared" si="958"/>
        <v>3</v>
      </c>
      <c r="Q3475" s="1394">
        <f>IFERROR(VLOOKUP(M3475,#REF!,3,0),0)</f>
        <v>0</v>
      </c>
      <c r="R3475" s="1394">
        <f t="shared" si="953"/>
        <v>0</v>
      </c>
      <c r="S3475" s="1394">
        <f>IFERROR(VLOOKUP(M3475,#REF!,6,0),0)</f>
        <v>0</v>
      </c>
      <c r="T3475" s="1394">
        <f t="shared" si="956"/>
        <v>0</v>
      </c>
      <c r="U3475" s="1394">
        <f>IFERROR(VLOOKUP(M3475,#REF!,5,0),0)</f>
        <v>0</v>
      </c>
      <c r="V3475" s="1394">
        <f t="shared" si="957"/>
        <v>0</v>
      </c>
      <c r="W3475" s="1394"/>
    </row>
    <row r="3476" spans="1:26" ht="30" customHeight="1">
      <c r="B3476" s="1405"/>
      <c r="C3476" s="1532" t="s">
        <v>261</v>
      </c>
      <c r="D3476" s="1523"/>
      <c r="E3476" s="1523"/>
      <c r="F3476" s="1524"/>
      <c r="G3476" s="1524"/>
      <c r="H3476" s="1533"/>
      <c r="I3476" s="1406">
        <f t="shared" si="958"/>
        <v>0</v>
      </c>
      <c r="Q3476" s="1394">
        <f>IFERROR(VLOOKUP(M3476,#REF!,3,0),0)</f>
        <v>0</v>
      </c>
      <c r="R3476" s="1394">
        <f t="shared" si="953"/>
        <v>0</v>
      </c>
      <c r="S3476" s="1394">
        <f>IFERROR(VLOOKUP(M3476,#REF!,6,0),0)</f>
        <v>0</v>
      </c>
      <c r="T3476" s="1394">
        <f t="shared" si="956"/>
        <v>0</v>
      </c>
      <c r="U3476" s="1394">
        <f>IFERROR(VLOOKUP(M3476,#REF!,5,0),0)</f>
        <v>0</v>
      </c>
      <c r="V3476" s="1394">
        <f t="shared" si="957"/>
        <v>0</v>
      </c>
      <c r="W3476" s="1394"/>
    </row>
    <row r="3477" spans="1:26" ht="30" customHeight="1">
      <c r="B3477" s="1405"/>
      <c r="C3477" s="1522" t="s">
        <v>400</v>
      </c>
      <c r="D3477" s="1523">
        <v>1</v>
      </c>
      <c r="E3477" s="1523">
        <v>3</v>
      </c>
      <c r="F3477" s="1524" t="s">
        <v>442</v>
      </c>
      <c r="G3477" s="1524" t="s">
        <v>442</v>
      </c>
      <c r="H3477" s="1533" t="s">
        <v>442</v>
      </c>
      <c r="I3477" s="1406">
        <f t="shared" si="958"/>
        <v>3</v>
      </c>
      <c r="Q3477" s="1394">
        <f>IFERROR(VLOOKUP(M3477,#REF!,3,0),0)</f>
        <v>0</v>
      </c>
      <c r="R3477" s="1394">
        <f t="shared" si="953"/>
        <v>0</v>
      </c>
      <c r="S3477" s="1394">
        <f>IFERROR(VLOOKUP(M3477,#REF!,6,0),0)</f>
        <v>0</v>
      </c>
      <c r="T3477" s="1394">
        <f t="shared" si="956"/>
        <v>0</v>
      </c>
      <c r="U3477" s="1394">
        <f>IFERROR(VLOOKUP(M3477,#REF!,5,0),0)</f>
        <v>0</v>
      </c>
      <c r="V3477" s="1394">
        <f t="shared" si="957"/>
        <v>0</v>
      </c>
      <c r="W3477" s="1394"/>
    </row>
    <row r="3478" spans="1:26" ht="30" customHeight="1">
      <c r="B3478" s="1405"/>
      <c r="C3478" s="1455"/>
      <c r="D3478" s="103"/>
      <c r="E3478" s="103"/>
      <c r="F3478" s="1413"/>
      <c r="G3478" s="1413"/>
      <c r="H3478" s="1414"/>
      <c r="I3478" s="1479">
        <f>SUM(I3470:I3477)</f>
        <v>10</v>
      </c>
      <c r="Q3478" s="1394">
        <f>IFERROR(VLOOKUP(M3478,#REF!,3,0),0)</f>
        <v>0</v>
      </c>
      <c r="R3478" s="1394">
        <f t="shared" si="953"/>
        <v>0</v>
      </c>
      <c r="S3478" s="1394">
        <f>IFERROR(VLOOKUP(M3478,#REF!,6,0),0)</f>
        <v>0</v>
      </c>
      <c r="T3478" s="1394">
        <f t="shared" si="956"/>
        <v>0</v>
      </c>
      <c r="U3478" s="1394">
        <f>IFERROR(VLOOKUP(M3478,#REF!,5,0),0)</f>
        <v>0</v>
      </c>
      <c r="V3478" s="1394">
        <f t="shared" si="957"/>
        <v>0</v>
      </c>
      <c r="W3478" s="1394"/>
    </row>
    <row r="3479" spans="1:26" ht="30" customHeight="1">
      <c r="B3479" s="1513"/>
      <c r="C3479" s="1412"/>
      <c r="D3479" s="103"/>
      <c r="E3479" s="103"/>
      <c r="F3479" s="1413"/>
      <c r="G3479" s="1483" t="s">
        <v>11</v>
      </c>
      <c r="H3479" s="1478">
        <f>I3478</f>
        <v>10</v>
      </c>
      <c r="I3479" s="1479" t="s">
        <v>13</v>
      </c>
      <c r="M3479" s="1394" t="str">
        <f>A3469</f>
        <v>S &amp; F of E.W.C.(white)</v>
      </c>
      <c r="N3479" s="1394">
        <f>B3469</f>
        <v>57</v>
      </c>
      <c r="O3479" s="1394">
        <f>H3479</f>
        <v>10</v>
      </c>
      <c r="P3479" s="1394" t="str">
        <f>I3479</f>
        <v>Nos</v>
      </c>
      <c r="Q3479" s="1394">
        <f>IFERROR(VLOOKUP(M3479,#REF!,3,0),0)</f>
        <v>0</v>
      </c>
      <c r="R3479" s="1394">
        <f t="shared" si="953"/>
        <v>0</v>
      </c>
      <c r="S3479" s="1394">
        <f>IFERROR(VLOOKUP(M3479,#REF!,6,0),0)</f>
        <v>0</v>
      </c>
      <c r="T3479" s="1394">
        <f t="shared" si="956"/>
        <v>0</v>
      </c>
      <c r="U3479" s="1394">
        <f>IFERROR(VLOOKUP(M3479,#REF!,5,0),0)</f>
        <v>0</v>
      </c>
      <c r="V3479" s="1394">
        <f t="shared" si="957"/>
        <v>10</v>
      </c>
      <c r="W3479" s="1394"/>
      <c r="Z3479" s="1394"/>
    </row>
    <row r="3480" spans="1:26" ht="132" customHeight="1">
      <c r="A3480" s="110" t="s">
        <v>463</v>
      </c>
      <c r="B3480" s="1513">
        <v>56.3</v>
      </c>
      <c r="C3480" s="1678" t="e">
        <f>VLOOKUP(A3480,#REF!,2,0)</f>
        <v>#REF!</v>
      </c>
      <c r="D3480" s="1678"/>
      <c r="E3480" s="1678"/>
      <c r="F3480" s="1678"/>
      <c r="G3480" s="1678"/>
      <c r="H3480" s="1678"/>
      <c r="I3480" s="1479"/>
      <c r="Q3480" s="1394">
        <f>IFERROR(VLOOKUP(M3480,#REF!,3,0),0)</f>
        <v>0</v>
      </c>
      <c r="R3480" s="1394">
        <f t="shared" si="953"/>
        <v>0</v>
      </c>
      <c r="S3480" s="1394">
        <f>IFERROR(VLOOKUP(M3480,#REF!,6,0),0)</f>
        <v>0</v>
      </c>
      <c r="T3480" s="1394">
        <f t="shared" si="956"/>
        <v>0</v>
      </c>
      <c r="U3480" s="1394">
        <f>IFERROR(VLOOKUP(M3480,#REF!,5,0),0)</f>
        <v>0</v>
      </c>
      <c r="V3480" s="1394">
        <f t="shared" si="957"/>
        <v>0</v>
      </c>
      <c r="W3480" s="1394"/>
      <c r="X3480" s="1397"/>
    </row>
    <row r="3481" spans="1:26" ht="30" customHeight="1">
      <c r="B3481" s="1513"/>
      <c r="C3481" s="1532" t="s">
        <v>458</v>
      </c>
      <c r="D3481" s="1523"/>
      <c r="E3481" s="1523"/>
      <c r="F3481" s="1413"/>
      <c r="G3481" s="1413"/>
      <c r="H3481" s="1414"/>
      <c r="I3481" s="1479"/>
      <c r="Q3481" s="1394">
        <f>IFERROR(VLOOKUP(M3481,#REF!,3,0),0)</f>
        <v>0</v>
      </c>
      <c r="R3481" s="1394">
        <f t="shared" si="953"/>
        <v>0</v>
      </c>
      <c r="S3481" s="1394">
        <f>IFERROR(VLOOKUP(M3481,#REF!,6,0),0)</f>
        <v>0</v>
      </c>
      <c r="T3481" s="1394">
        <f t="shared" si="956"/>
        <v>0</v>
      </c>
      <c r="U3481" s="1394">
        <f>IFERROR(VLOOKUP(M3481,#REF!,5,0),0)</f>
        <v>0</v>
      </c>
      <c r="V3481" s="1394">
        <f t="shared" si="957"/>
        <v>0</v>
      </c>
      <c r="W3481" s="1394"/>
    </row>
    <row r="3482" spans="1:26" ht="30" customHeight="1">
      <c r="B3482" s="1405"/>
      <c r="C3482" s="1522" t="s">
        <v>400</v>
      </c>
      <c r="D3482" s="1523">
        <v>1</v>
      </c>
      <c r="E3482" s="1523">
        <v>1</v>
      </c>
      <c r="F3482" s="1524" t="s">
        <v>442</v>
      </c>
      <c r="G3482" s="1524" t="s">
        <v>442</v>
      </c>
      <c r="H3482" s="1533" t="s">
        <v>442</v>
      </c>
      <c r="I3482" s="1406">
        <f>PRODUCT(D3482:H3482)</f>
        <v>1</v>
      </c>
      <c r="Q3482" s="1394">
        <f>IFERROR(VLOOKUP(M3482,#REF!,3,0),0)</f>
        <v>0</v>
      </c>
      <c r="R3482" s="1394">
        <f t="shared" si="953"/>
        <v>0</v>
      </c>
      <c r="S3482" s="1394">
        <f>IFERROR(VLOOKUP(M3482,#REF!,6,0),0)</f>
        <v>0</v>
      </c>
      <c r="T3482" s="1394">
        <f t="shared" si="956"/>
        <v>0</v>
      </c>
      <c r="U3482" s="1394">
        <f>IFERROR(VLOOKUP(M3482,#REF!,5,0),0)</f>
        <v>0</v>
      </c>
      <c r="V3482" s="1394">
        <f t="shared" si="957"/>
        <v>0</v>
      </c>
      <c r="W3482" s="1394"/>
    </row>
    <row r="3483" spans="1:26" ht="30" customHeight="1">
      <c r="B3483" s="1405"/>
      <c r="C3483" s="1455"/>
      <c r="D3483" s="103"/>
      <c r="E3483" s="103"/>
      <c r="F3483" s="1413"/>
      <c r="G3483" s="1413"/>
      <c r="H3483" s="1414"/>
      <c r="I3483" s="1479">
        <f>SUM(I3482:I3482)</f>
        <v>1</v>
      </c>
      <c r="Q3483" s="1394">
        <f>IFERROR(VLOOKUP(M3483,#REF!,3,0),0)</f>
        <v>0</v>
      </c>
      <c r="R3483" s="1394">
        <f t="shared" si="953"/>
        <v>0</v>
      </c>
      <c r="S3483" s="1394">
        <f>IFERROR(VLOOKUP(M3483,#REF!,6,0),0)</f>
        <v>0</v>
      </c>
      <c r="T3483" s="1394">
        <f t="shared" si="956"/>
        <v>0</v>
      </c>
      <c r="U3483" s="1394">
        <f>IFERROR(VLOOKUP(M3483,#REF!,5,0),0)</f>
        <v>0</v>
      </c>
      <c r="V3483" s="1394">
        <f t="shared" si="957"/>
        <v>0</v>
      </c>
      <c r="W3483" s="1394"/>
    </row>
    <row r="3484" spans="1:26" ht="30" customHeight="1">
      <c r="B3484" s="1513"/>
      <c r="C3484" s="1412"/>
      <c r="D3484" s="103"/>
      <c r="E3484" s="103"/>
      <c r="F3484" s="1413"/>
      <c r="G3484" s="1483" t="s">
        <v>11</v>
      </c>
      <c r="H3484" s="1478">
        <f>I3483</f>
        <v>1</v>
      </c>
      <c r="I3484" s="1479" t="s">
        <v>13</v>
      </c>
      <c r="M3484" s="1394" t="str">
        <f>A3480</f>
        <v xml:space="preserve">S &amp; F of Indian Water closet white glazed (Oriya type) of size 580 x 440mm with PVC SWR grade ' P' or "S' trap   - in G.F.  </v>
      </c>
      <c r="N3484" s="1394">
        <f>B3480</f>
        <v>56.3</v>
      </c>
      <c r="O3484" s="1394">
        <f>H3484</f>
        <v>1</v>
      </c>
      <c r="P3484" s="1394" t="str">
        <f>I3484</f>
        <v>Nos</v>
      </c>
      <c r="Q3484" s="1394">
        <f>IFERROR(VLOOKUP(M3484,#REF!,3,0),0)</f>
        <v>0</v>
      </c>
      <c r="R3484" s="1394">
        <f t="shared" si="953"/>
        <v>0</v>
      </c>
      <c r="S3484" s="1394">
        <f>IFERROR(VLOOKUP(M3484,#REF!,6,0),0)</f>
        <v>0</v>
      </c>
      <c r="T3484" s="1394">
        <f t="shared" si="956"/>
        <v>0</v>
      </c>
      <c r="U3484" s="1394">
        <f>IFERROR(VLOOKUP(M3484,#REF!,5,0),0)</f>
        <v>0</v>
      </c>
      <c r="V3484" s="1394">
        <f t="shared" si="957"/>
        <v>1</v>
      </c>
      <c r="W3484" s="1394"/>
      <c r="Z3484" s="1394"/>
    </row>
    <row r="3485" spans="1:26" ht="165" customHeight="1">
      <c r="A3485" s="110" t="s">
        <v>464</v>
      </c>
      <c r="B3485" s="1513">
        <v>56.3</v>
      </c>
      <c r="C3485" s="1678" t="e">
        <f>VLOOKUP(A3485,#REF!,2,0)</f>
        <v>#REF!</v>
      </c>
      <c r="D3485" s="1678"/>
      <c r="E3485" s="1678"/>
      <c r="F3485" s="1678"/>
      <c r="G3485" s="1678"/>
      <c r="H3485" s="1678"/>
      <c r="I3485" s="1479"/>
      <c r="Q3485" s="1394">
        <f>IFERROR(VLOOKUP(M3485,#REF!,3,0),0)</f>
        <v>0</v>
      </c>
      <c r="R3485" s="1394">
        <f t="shared" si="953"/>
        <v>0</v>
      </c>
      <c r="S3485" s="1394">
        <f>IFERROR(VLOOKUP(M3485,#REF!,6,0),0)</f>
        <v>0</v>
      </c>
      <c r="T3485" s="1394">
        <f t="shared" si="956"/>
        <v>0</v>
      </c>
      <c r="U3485" s="1394">
        <f>IFERROR(VLOOKUP(M3485,#REF!,5,0),0)</f>
        <v>0</v>
      </c>
      <c r="V3485" s="1394">
        <f t="shared" si="957"/>
        <v>0</v>
      </c>
      <c r="W3485" s="1394"/>
      <c r="X3485" s="1397"/>
    </row>
    <row r="3486" spans="1:26" ht="30" customHeight="1">
      <c r="B3486" s="1513"/>
      <c r="C3486" s="1532" t="s">
        <v>259</v>
      </c>
      <c r="D3486" s="1523"/>
      <c r="E3486" s="1523"/>
      <c r="F3486" s="1524"/>
      <c r="G3486" s="1524"/>
      <c r="H3486" s="1533"/>
      <c r="I3486" s="1406">
        <f t="shared" ref="I3486:I3491" si="959">PRODUCT(D3486:H3486)</f>
        <v>0</v>
      </c>
      <c r="Q3486" s="1394">
        <f>IFERROR(VLOOKUP(M3486,#REF!,3,0),0)</f>
        <v>0</v>
      </c>
      <c r="R3486" s="1394">
        <f t="shared" si="953"/>
        <v>0</v>
      </c>
      <c r="S3486" s="1394">
        <f>IFERROR(VLOOKUP(M3486,#REF!,6,0),0)</f>
        <v>0</v>
      </c>
      <c r="T3486" s="1394">
        <f t="shared" si="956"/>
        <v>0</v>
      </c>
      <c r="U3486" s="1394">
        <f>IFERROR(VLOOKUP(M3486,#REF!,5,0),0)</f>
        <v>0</v>
      </c>
      <c r="V3486" s="1394">
        <f t="shared" si="957"/>
        <v>0</v>
      </c>
      <c r="W3486" s="1394"/>
    </row>
    <row r="3487" spans="1:26" ht="30" customHeight="1">
      <c r="B3487" s="1405"/>
      <c r="C3487" s="1522" t="s">
        <v>322</v>
      </c>
      <c r="D3487" s="1523">
        <v>1</v>
      </c>
      <c r="E3487" s="1523">
        <v>3</v>
      </c>
      <c r="F3487" s="1524" t="s">
        <v>442</v>
      </c>
      <c r="G3487" s="1524" t="s">
        <v>442</v>
      </c>
      <c r="H3487" s="1533" t="s">
        <v>442</v>
      </c>
      <c r="I3487" s="1406">
        <f t="shared" si="959"/>
        <v>3</v>
      </c>
      <c r="Q3487" s="1394">
        <f>IFERROR(VLOOKUP(M3487,#REF!,3,0),0)</f>
        <v>0</v>
      </c>
      <c r="R3487" s="1394">
        <f t="shared" si="953"/>
        <v>0</v>
      </c>
      <c r="S3487" s="1394">
        <f>IFERROR(VLOOKUP(M3487,#REF!,6,0),0)</f>
        <v>0</v>
      </c>
      <c r="T3487" s="1394">
        <f t="shared" si="956"/>
        <v>0</v>
      </c>
      <c r="U3487" s="1394">
        <f>IFERROR(VLOOKUP(M3487,#REF!,5,0),0)</f>
        <v>0</v>
      </c>
      <c r="V3487" s="1394">
        <f t="shared" si="957"/>
        <v>0</v>
      </c>
      <c r="W3487" s="1394"/>
    </row>
    <row r="3488" spans="1:26" ht="30" customHeight="1">
      <c r="B3488" s="1405"/>
      <c r="C3488" s="1532" t="s">
        <v>260</v>
      </c>
      <c r="D3488" s="1523"/>
      <c r="E3488" s="1523"/>
      <c r="F3488" s="1524"/>
      <c r="G3488" s="1524"/>
      <c r="H3488" s="1533"/>
      <c r="I3488" s="1406">
        <f t="shared" si="959"/>
        <v>0</v>
      </c>
      <c r="Q3488" s="1394">
        <f>IFERROR(VLOOKUP(M3488,#REF!,3,0),0)</f>
        <v>0</v>
      </c>
      <c r="R3488" s="1394">
        <f t="shared" si="953"/>
        <v>0</v>
      </c>
      <c r="S3488" s="1394">
        <f>IFERROR(VLOOKUP(M3488,#REF!,6,0),0)</f>
        <v>0</v>
      </c>
      <c r="T3488" s="1394">
        <f t="shared" si="956"/>
        <v>0</v>
      </c>
      <c r="U3488" s="1394">
        <f>IFERROR(VLOOKUP(M3488,#REF!,5,0),0)</f>
        <v>0</v>
      </c>
      <c r="V3488" s="1394">
        <f t="shared" si="957"/>
        <v>0</v>
      </c>
      <c r="W3488" s="1394"/>
    </row>
    <row r="3489" spans="1:26" ht="30" customHeight="1">
      <c r="B3489" s="1405"/>
      <c r="C3489" s="1522" t="s">
        <v>322</v>
      </c>
      <c r="D3489" s="1523">
        <v>1</v>
      </c>
      <c r="E3489" s="1523">
        <v>3</v>
      </c>
      <c r="F3489" s="1524"/>
      <c r="G3489" s="1524"/>
      <c r="H3489" s="1533"/>
      <c r="I3489" s="1406">
        <f t="shared" si="959"/>
        <v>3</v>
      </c>
      <c r="Q3489" s="1394">
        <f>IFERROR(VLOOKUP(M3489,#REF!,3,0),0)</f>
        <v>0</v>
      </c>
      <c r="R3489" s="1394">
        <f t="shared" si="953"/>
        <v>0</v>
      </c>
      <c r="S3489" s="1394">
        <f>IFERROR(VLOOKUP(M3489,#REF!,6,0),0)</f>
        <v>0</v>
      </c>
      <c r="T3489" s="1394">
        <f t="shared" si="956"/>
        <v>0</v>
      </c>
      <c r="U3489" s="1394">
        <f>IFERROR(VLOOKUP(M3489,#REF!,5,0),0)</f>
        <v>0</v>
      </c>
      <c r="V3489" s="1394">
        <f t="shared" si="957"/>
        <v>0</v>
      </c>
      <c r="W3489" s="1394"/>
    </row>
    <row r="3490" spans="1:26" ht="30" customHeight="1">
      <c r="B3490" s="1405"/>
      <c r="C3490" s="1532" t="s">
        <v>261</v>
      </c>
      <c r="D3490" s="1523"/>
      <c r="E3490" s="1523"/>
      <c r="F3490" s="1524"/>
      <c r="G3490" s="1524"/>
      <c r="H3490" s="1533"/>
      <c r="I3490" s="1406">
        <f t="shared" si="959"/>
        <v>0</v>
      </c>
      <c r="Q3490" s="1394">
        <f>IFERROR(VLOOKUP(M3490,#REF!,3,0),0)</f>
        <v>0</v>
      </c>
      <c r="R3490" s="1394">
        <f t="shared" si="953"/>
        <v>0</v>
      </c>
      <c r="S3490" s="1394">
        <f>IFERROR(VLOOKUP(M3490,#REF!,6,0),0)</f>
        <v>0</v>
      </c>
      <c r="T3490" s="1394">
        <f t="shared" si="956"/>
        <v>0</v>
      </c>
      <c r="U3490" s="1394">
        <f>IFERROR(VLOOKUP(M3490,#REF!,5,0),0)</f>
        <v>0</v>
      </c>
      <c r="V3490" s="1394">
        <f t="shared" si="957"/>
        <v>0</v>
      </c>
      <c r="W3490" s="1394"/>
    </row>
    <row r="3491" spans="1:26" ht="30" customHeight="1">
      <c r="B3491" s="1405"/>
      <c r="C3491" s="1522" t="s">
        <v>322</v>
      </c>
      <c r="D3491" s="1523">
        <v>1</v>
      </c>
      <c r="E3491" s="1523">
        <v>1</v>
      </c>
      <c r="F3491" s="1524" t="s">
        <v>442</v>
      </c>
      <c r="G3491" s="1524" t="s">
        <v>442</v>
      </c>
      <c r="H3491" s="1533" t="s">
        <v>442</v>
      </c>
      <c r="I3491" s="1406">
        <f t="shared" si="959"/>
        <v>1</v>
      </c>
      <c r="Q3491" s="1394">
        <f>IFERROR(VLOOKUP(M3491,#REF!,3,0),0)</f>
        <v>0</v>
      </c>
      <c r="R3491" s="1394">
        <f t="shared" si="953"/>
        <v>0</v>
      </c>
      <c r="S3491" s="1394">
        <f>IFERROR(VLOOKUP(M3491,#REF!,6,0),0)</f>
        <v>0</v>
      </c>
      <c r="T3491" s="1394">
        <f t="shared" si="956"/>
        <v>0</v>
      </c>
      <c r="U3491" s="1394">
        <f>IFERROR(VLOOKUP(M3491,#REF!,5,0),0)</f>
        <v>0</v>
      </c>
      <c r="V3491" s="1394">
        <f t="shared" si="957"/>
        <v>0</v>
      </c>
      <c r="W3491" s="1394"/>
    </row>
    <row r="3492" spans="1:26" ht="30" customHeight="1">
      <c r="B3492" s="1405"/>
      <c r="C3492" s="1455"/>
      <c r="D3492" s="103"/>
      <c r="E3492" s="103"/>
      <c r="F3492" s="1413"/>
      <c r="G3492" s="1413"/>
      <c r="H3492" s="1414"/>
      <c r="I3492" s="1406"/>
      <c r="Q3492" s="1394">
        <f>IFERROR(VLOOKUP(M3492,#REF!,3,0),0)</f>
        <v>0</v>
      </c>
      <c r="R3492" s="1394">
        <f t="shared" si="953"/>
        <v>0</v>
      </c>
      <c r="S3492" s="1394">
        <f>IFERROR(VLOOKUP(M3492,#REF!,6,0),0)</f>
        <v>0</v>
      </c>
      <c r="T3492" s="1394">
        <f t="shared" si="956"/>
        <v>0</v>
      </c>
      <c r="U3492" s="1394">
        <f>IFERROR(VLOOKUP(M3492,#REF!,5,0),0)</f>
        <v>0</v>
      </c>
      <c r="V3492" s="1394">
        <f t="shared" si="957"/>
        <v>0</v>
      </c>
      <c r="W3492" s="1394"/>
    </row>
    <row r="3493" spans="1:26" ht="30" customHeight="1">
      <c r="B3493" s="1405"/>
      <c r="C3493" s="1455"/>
      <c r="D3493" s="103"/>
      <c r="E3493" s="103"/>
      <c r="F3493" s="1413"/>
      <c r="G3493" s="1413"/>
      <c r="H3493" s="1414"/>
      <c r="I3493" s="1479">
        <f>SUM(I3486:I3492)</f>
        <v>7</v>
      </c>
      <c r="Q3493" s="1394">
        <f>IFERROR(VLOOKUP(M3493,#REF!,3,0),0)</f>
        <v>0</v>
      </c>
      <c r="R3493" s="1394">
        <f t="shared" si="953"/>
        <v>0</v>
      </c>
      <c r="S3493" s="1394">
        <f>IFERROR(VLOOKUP(M3493,#REF!,6,0),0)</f>
        <v>0</v>
      </c>
      <c r="T3493" s="1394">
        <f t="shared" si="956"/>
        <v>0</v>
      </c>
      <c r="U3493" s="1394">
        <f>IFERROR(VLOOKUP(M3493,#REF!,5,0),0)</f>
        <v>0</v>
      </c>
      <c r="V3493" s="1394">
        <f t="shared" si="957"/>
        <v>0</v>
      </c>
      <c r="W3493" s="1394"/>
    </row>
    <row r="3494" spans="1:26" ht="18" customHeight="1">
      <c r="B3494" s="1513"/>
      <c r="C3494" s="1412"/>
      <c r="D3494" s="103"/>
      <c r="E3494" s="103"/>
      <c r="F3494" s="1413"/>
      <c r="G3494" s="1483" t="s">
        <v>11</v>
      </c>
      <c r="H3494" s="1478">
        <f>I3493</f>
        <v>7</v>
      </c>
      <c r="I3494" s="1479" t="s">
        <v>13</v>
      </c>
      <c r="M3494" s="1394" t="str">
        <f>A3485</f>
        <v xml:space="preserve">S &amp; F of Indian Water closet white glazed (Oriya type) of size 580 x 440mm  with PVC SWR grade ' P' or "S' trap- Other than  G.F.  </v>
      </c>
      <c r="N3494" s="1394">
        <f>B3485</f>
        <v>56.3</v>
      </c>
      <c r="O3494" s="1394">
        <f>H3494</f>
        <v>7</v>
      </c>
      <c r="P3494" s="1394" t="str">
        <f>I3494</f>
        <v>Nos</v>
      </c>
      <c r="Q3494" s="1394">
        <f>IFERROR(VLOOKUP(M3494,#REF!,3,0),0)</f>
        <v>0</v>
      </c>
      <c r="R3494" s="1394">
        <f t="shared" si="953"/>
        <v>0</v>
      </c>
      <c r="S3494" s="1394">
        <f>IFERROR(VLOOKUP(M3494,#REF!,6,0),0)</f>
        <v>0</v>
      </c>
      <c r="T3494" s="1394">
        <f t="shared" si="956"/>
        <v>0</v>
      </c>
      <c r="U3494" s="1394">
        <f>IFERROR(VLOOKUP(M3494,#REF!,5,0),0)</f>
        <v>0</v>
      </c>
      <c r="V3494" s="1394">
        <f t="shared" si="957"/>
        <v>7</v>
      </c>
      <c r="W3494" s="1394"/>
      <c r="Z3494" s="1394"/>
    </row>
    <row r="3495" spans="1:26" ht="105" customHeight="1">
      <c r="A3495" s="110" t="s">
        <v>465</v>
      </c>
      <c r="B3495" s="1405">
        <v>58.3</v>
      </c>
      <c r="C3495" s="1678" t="e">
        <f>VLOOKUP(A3495,#REF!,2,0)</f>
        <v>#REF!</v>
      </c>
      <c r="D3495" s="1678"/>
      <c r="E3495" s="1678"/>
      <c r="F3495" s="1678"/>
      <c r="G3495" s="1678"/>
      <c r="H3495" s="1678"/>
      <c r="I3495" s="1406"/>
      <c r="Q3495" s="1394">
        <f>IFERROR(VLOOKUP(M3495,#REF!,3,0),0)</f>
        <v>0</v>
      </c>
      <c r="R3495" s="1394">
        <f t="shared" si="953"/>
        <v>0</v>
      </c>
      <c r="S3495" s="1394">
        <f>IFERROR(VLOOKUP(M3495,#REF!,6,0),0)</f>
        <v>0</v>
      </c>
      <c r="T3495" s="1394">
        <f t="shared" si="956"/>
        <v>0</v>
      </c>
      <c r="U3495" s="1394">
        <f>IFERROR(VLOOKUP(M3495,#REF!,5,0),0)</f>
        <v>0</v>
      </c>
      <c r="V3495" s="1394">
        <f t="shared" si="957"/>
        <v>0</v>
      </c>
      <c r="W3495" s="1394"/>
      <c r="X3495" s="1397"/>
    </row>
    <row r="3496" spans="1:26" ht="30" customHeight="1">
      <c r="A3496" s="110" t="s">
        <v>466</v>
      </c>
      <c r="B3496" s="1407"/>
      <c r="C3496" s="1678" t="e">
        <f>VLOOKUP(A3496,#REF!,2,0)</f>
        <v>#REF!</v>
      </c>
      <c r="D3496" s="1678"/>
      <c r="E3496" s="1678"/>
      <c r="F3496" s="1678"/>
      <c r="G3496" s="1678"/>
      <c r="H3496" s="1678"/>
      <c r="I3496" s="1406"/>
      <c r="Q3496" s="1394">
        <f>IFERROR(VLOOKUP(M3496,#REF!,3,0),0)</f>
        <v>0</v>
      </c>
      <c r="R3496" s="1394">
        <f t="shared" si="953"/>
        <v>0</v>
      </c>
      <c r="S3496" s="1394">
        <f>IFERROR(VLOOKUP(M3496,#REF!,6,0),0)</f>
        <v>0</v>
      </c>
      <c r="T3496" s="1394">
        <f t="shared" si="956"/>
        <v>0</v>
      </c>
      <c r="U3496" s="1394">
        <f>IFERROR(VLOOKUP(M3496,#REF!,5,0),0)</f>
        <v>0</v>
      </c>
      <c r="V3496" s="1394">
        <f t="shared" si="957"/>
        <v>0</v>
      </c>
      <c r="W3496" s="1394"/>
      <c r="X3496" s="1397"/>
    </row>
    <row r="3497" spans="1:26" ht="30" customHeight="1">
      <c r="B3497" s="1407"/>
      <c r="C3497" s="1532" t="s">
        <v>258</v>
      </c>
      <c r="D3497" s="1523"/>
      <c r="E3497" s="1523"/>
      <c r="F3497" s="1524"/>
      <c r="G3497" s="1524"/>
      <c r="H3497" s="1533"/>
      <c r="I3497" s="1406"/>
      <c r="Q3497" s="1394">
        <f>IFERROR(VLOOKUP(M3497,#REF!,3,0),0)</f>
        <v>0</v>
      </c>
      <c r="R3497" s="1394">
        <f t="shared" si="953"/>
        <v>0</v>
      </c>
      <c r="S3497" s="1394">
        <f>IFERROR(VLOOKUP(M3497,#REF!,6,0),0)</f>
        <v>0</v>
      </c>
      <c r="T3497" s="1394">
        <f t="shared" si="956"/>
        <v>0</v>
      </c>
      <c r="U3497" s="1394">
        <f>IFERROR(VLOOKUP(M3497,#REF!,5,0),0)</f>
        <v>0</v>
      </c>
      <c r="V3497" s="1394">
        <f t="shared" si="957"/>
        <v>0</v>
      </c>
      <c r="W3497" s="1394"/>
    </row>
    <row r="3498" spans="1:26" ht="30" customHeight="1">
      <c r="B3498" s="1407"/>
      <c r="C3498" s="1522" t="s">
        <v>400</v>
      </c>
      <c r="D3498" s="1523">
        <v>1</v>
      </c>
      <c r="E3498" s="1523">
        <v>4</v>
      </c>
      <c r="F3498" s="1524">
        <v>3</v>
      </c>
      <c r="G3498" s="1499" t="s">
        <v>442</v>
      </c>
      <c r="H3498" s="1500" t="s">
        <v>442</v>
      </c>
      <c r="I3498" s="1406">
        <f t="shared" ref="I3498:I3504" si="960">PRODUCT(D3498:H3498)</f>
        <v>12</v>
      </c>
      <c r="Q3498" s="1394">
        <f>IFERROR(VLOOKUP(M3498,#REF!,3,0),0)</f>
        <v>0</v>
      </c>
      <c r="R3498" s="1394">
        <f t="shared" si="953"/>
        <v>0</v>
      </c>
      <c r="S3498" s="1394">
        <f>IFERROR(VLOOKUP(M3498,#REF!,6,0),0)</f>
        <v>0</v>
      </c>
      <c r="T3498" s="1394">
        <f t="shared" si="956"/>
        <v>0</v>
      </c>
      <c r="U3498" s="1394">
        <f>IFERROR(VLOOKUP(M3498,#REF!,5,0),0)</f>
        <v>0</v>
      </c>
      <c r="V3498" s="1394">
        <f t="shared" si="957"/>
        <v>0</v>
      </c>
      <c r="W3498" s="1394"/>
    </row>
    <row r="3499" spans="1:26" ht="30" customHeight="1">
      <c r="B3499" s="1407"/>
      <c r="C3499" s="1532" t="s">
        <v>5788</v>
      </c>
      <c r="D3499" s="1523"/>
      <c r="E3499" s="1523"/>
      <c r="F3499" s="1534"/>
      <c r="G3499" s="1499"/>
      <c r="H3499" s="1533"/>
      <c r="I3499" s="1406"/>
      <c r="Q3499" s="1394">
        <f>IFERROR(VLOOKUP(M3499,#REF!,3,0),0)</f>
        <v>0</v>
      </c>
      <c r="R3499" s="1394">
        <f t="shared" si="953"/>
        <v>0</v>
      </c>
      <c r="S3499" s="1394">
        <f>IFERROR(VLOOKUP(M3499,#REF!,6,0),0)</f>
        <v>0</v>
      </c>
      <c r="T3499" s="1394">
        <f t="shared" si="956"/>
        <v>0</v>
      </c>
      <c r="U3499" s="1394">
        <f>IFERROR(VLOOKUP(M3499,#REF!,5,0),0)</f>
        <v>0</v>
      </c>
      <c r="V3499" s="1394">
        <f t="shared" si="957"/>
        <v>0</v>
      </c>
      <c r="W3499" s="1394"/>
    </row>
    <row r="3500" spans="1:26" ht="30" customHeight="1">
      <c r="B3500" s="1407"/>
      <c r="C3500" s="1522" t="s">
        <v>5937</v>
      </c>
      <c r="D3500" s="1523">
        <v>1</v>
      </c>
      <c r="E3500" s="1523">
        <v>6</v>
      </c>
      <c r="F3500" s="1524">
        <v>13.65</v>
      </c>
      <c r="G3500" s="1499" t="s">
        <v>442</v>
      </c>
      <c r="H3500" s="1500" t="s">
        <v>442</v>
      </c>
      <c r="I3500" s="1406">
        <f t="shared" ref="I3500" si="961">PRODUCT(D3500:H3500)</f>
        <v>81.900000000000006</v>
      </c>
      <c r="Q3500" s="1394">
        <f>IFERROR(VLOOKUP(M3500,#REF!,3,0),0)</f>
        <v>0</v>
      </c>
      <c r="R3500" s="1394">
        <f t="shared" si="953"/>
        <v>0</v>
      </c>
      <c r="S3500" s="1394">
        <f>IFERROR(VLOOKUP(M3500,#REF!,6,0),0)</f>
        <v>0</v>
      </c>
      <c r="T3500" s="1394">
        <f t="shared" si="956"/>
        <v>0</v>
      </c>
      <c r="U3500" s="1394">
        <f>IFERROR(VLOOKUP(M3500,#REF!,5,0),0)</f>
        <v>0</v>
      </c>
      <c r="V3500" s="1394">
        <f t="shared" si="957"/>
        <v>0</v>
      </c>
      <c r="W3500" s="1394"/>
    </row>
    <row r="3501" spans="1:26" ht="30" customHeight="1">
      <c r="B3501" s="1407"/>
      <c r="C3501" s="1522"/>
      <c r="D3501" s="1523"/>
      <c r="E3501" s="1523"/>
      <c r="F3501" s="1534"/>
      <c r="G3501" s="1499"/>
      <c r="H3501" s="1533"/>
      <c r="I3501" s="1406"/>
      <c r="Q3501" s="1394">
        <f>IFERROR(VLOOKUP(M3501,#REF!,3,0),0)</f>
        <v>0</v>
      </c>
      <c r="R3501" s="1394">
        <f t="shared" si="953"/>
        <v>0</v>
      </c>
      <c r="S3501" s="1394">
        <f>IFERROR(VLOOKUP(M3501,#REF!,6,0),0)</f>
        <v>0</v>
      </c>
      <c r="T3501" s="1394">
        <f t="shared" si="956"/>
        <v>0</v>
      </c>
      <c r="U3501" s="1394">
        <f>IFERROR(VLOOKUP(M3501,#REF!,5,0),0)</f>
        <v>0</v>
      </c>
      <c r="V3501" s="1394">
        <f t="shared" si="957"/>
        <v>0</v>
      </c>
      <c r="W3501" s="1394"/>
    </row>
    <row r="3502" spans="1:26" ht="30" customHeight="1">
      <c r="B3502" s="1407"/>
      <c r="C3502" s="1532" t="s">
        <v>5940</v>
      </c>
      <c r="D3502" s="1523"/>
      <c r="E3502" s="1523"/>
      <c r="F3502" s="1524"/>
      <c r="G3502" s="1499" t="s">
        <v>442</v>
      </c>
      <c r="H3502" s="1500" t="s">
        <v>442</v>
      </c>
      <c r="I3502" s="1406">
        <f t="shared" si="960"/>
        <v>0</v>
      </c>
      <c r="Q3502" s="1394">
        <f>IFERROR(VLOOKUP(M3502,#REF!,3,0),0)</f>
        <v>0</v>
      </c>
      <c r="R3502" s="1394">
        <f t="shared" ref="R3502:R3565" si="962">ROUND(O3502,2)*ROUND(Q3502,2)</f>
        <v>0</v>
      </c>
      <c r="S3502" s="1394">
        <f>IFERROR(VLOOKUP(M3502,#REF!,6,0),0)</f>
        <v>0</v>
      </c>
      <c r="T3502" s="1394">
        <f t="shared" si="956"/>
        <v>0</v>
      </c>
      <c r="U3502" s="1394">
        <f>IFERROR(VLOOKUP(M3502,#REF!,5,0),0)</f>
        <v>0</v>
      </c>
      <c r="V3502" s="1394">
        <f t="shared" si="957"/>
        <v>0</v>
      </c>
      <c r="W3502" s="1394"/>
    </row>
    <row r="3503" spans="1:26" ht="30" customHeight="1">
      <c r="B3503" s="1407"/>
      <c r="C3503" s="1522" t="str">
        <f>C3497</f>
        <v>Ground Floor</v>
      </c>
      <c r="D3503" s="1523">
        <v>4</v>
      </c>
      <c r="E3503" s="1523">
        <v>6</v>
      </c>
      <c r="F3503" s="1524">
        <v>1.5</v>
      </c>
      <c r="G3503" s="1499" t="s">
        <v>442</v>
      </c>
      <c r="H3503" s="1500" t="s">
        <v>442</v>
      </c>
      <c r="I3503" s="1406">
        <f t="shared" si="960"/>
        <v>36</v>
      </c>
      <c r="Q3503" s="1394">
        <f>IFERROR(VLOOKUP(M3503,#REF!,3,0),0)</f>
        <v>0</v>
      </c>
      <c r="R3503" s="1394">
        <f t="shared" si="962"/>
        <v>0</v>
      </c>
      <c r="S3503" s="1394">
        <f>IFERROR(VLOOKUP(M3503,#REF!,6,0),0)</f>
        <v>0</v>
      </c>
      <c r="T3503" s="1394">
        <f t="shared" si="956"/>
        <v>0</v>
      </c>
      <c r="U3503" s="1394">
        <f>IFERROR(VLOOKUP(M3503,#REF!,5,0),0)</f>
        <v>0</v>
      </c>
      <c r="V3503" s="1394">
        <f t="shared" si="957"/>
        <v>0</v>
      </c>
      <c r="W3503" s="1394"/>
    </row>
    <row r="3504" spans="1:26" ht="30" customHeight="1">
      <c r="B3504" s="1407"/>
      <c r="C3504" s="1455"/>
      <c r="D3504" s="103"/>
      <c r="E3504" s="103"/>
      <c r="F3504" s="1413"/>
      <c r="G3504" s="1413"/>
      <c r="H3504" s="1414"/>
      <c r="I3504" s="1406">
        <f t="shared" si="960"/>
        <v>0</v>
      </c>
      <c r="Q3504" s="1394">
        <f>IFERROR(VLOOKUP(M3504,#REF!,3,0),0)</f>
        <v>0</v>
      </c>
      <c r="R3504" s="1394">
        <f t="shared" si="962"/>
        <v>0</v>
      </c>
      <c r="S3504" s="1394">
        <f>IFERROR(VLOOKUP(M3504,#REF!,6,0),0)</f>
        <v>0</v>
      </c>
      <c r="T3504" s="1394">
        <f t="shared" si="956"/>
        <v>0</v>
      </c>
      <c r="U3504" s="1394">
        <f>IFERROR(VLOOKUP(M3504,#REF!,5,0),0)</f>
        <v>0</v>
      </c>
      <c r="V3504" s="1394">
        <f t="shared" si="957"/>
        <v>0</v>
      </c>
      <c r="W3504" s="1394"/>
    </row>
    <row r="3505" spans="1:24" s="1394" customFormat="1" ht="30" customHeight="1">
      <c r="B3505" s="1421"/>
      <c r="C3505" s="1422" t="s">
        <v>270</v>
      </c>
      <c r="D3505" s="1389"/>
      <c r="E3505" s="1389"/>
      <c r="F3505" s="1423"/>
      <c r="G3505" s="1423"/>
      <c r="H3505" s="1424"/>
      <c r="I3505" s="1406">
        <f>J3506-J3505</f>
        <v>9.9999999999994316E-2</v>
      </c>
      <c r="J3505" s="1394">
        <f>SUM(I3497:I3504)</f>
        <v>129.9</v>
      </c>
      <c r="M3505" s="1426"/>
      <c r="Q3505" s="1394">
        <f>IFERROR(VLOOKUP(M3505,#REF!,3,0),0)</f>
        <v>0</v>
      </c>
      <c r="R3505" s="1394">
        <f t="shared" si="962"/>
        <v>0</v>
      </c>
      <c r="S3505" s="1394">
        <f>IFERROR(VLOOKUP(M3505,#REF!,6,0),0)</f>
        <v>0</v>
      </c>
      <c r="T3505" s="1394">
        <f t="shared" si="956"/>
        <v>0</v>
      </c>
      <c r="U3505" s="1394">
        <f>IFERROR(VLOOKUP(M3505,#REF!,5,0),0)</f>
        <v>0</v>
      </c>
      <c r="V3505" s="1394">
        <f t="shared" si="957"/>
        <v>0</v>
      </c>
    </row>
    <row r="3506" spans="1:24" s="1394" customFormat="1" ht="30" customHeight="1">
      <c r="B3506" s="1421"/>
      <c r="C3506" s="1457"/>
      <c r="D3506" s="1389"/>
      <c r="E3506" s="1389"/>
      <c r="F3506" s="1423"/>
      <c r="G3506" s="1423"/>
      <c r="H3506" s="1424"/>
      <c r="I3506" s="1427">
        <f>+J3506</f>
        <v>130</v>
      </c>
      <c r="J3506" s="1394">
        <f>ROUNDUP(J3505,0)</f>
        <v>130</v>
      </c>
      <c r="M3506" s="1426"/>
      <c r="Q3506" s="1394">
        <f>IFERROR(VLOOKUP(M3506,#REF!,3,0),0)</f>
        <v>0</v>
      </c>
      <c r="R3506" s="1394">
        <f t="shared" si="962"/>
        <v>0</v>
      </c>
      <c r="S3506" s="1394">
        <f>IFERROR(VLOOKUP(M3506,#REF!,6,0),0)</f>
        <v>0</v>
      </c>
      <c r="T3506" s="1394">
        <f t="shared" si="956"/>
        <v>0</v>
      </c>
      <c r="U3506" s="1394">
        <f>IFERROR(VLOOKUP(M3506,#REF!,5,0),0)</f>
        <v>0</v>
      </c>
      <c r="V3506" s="1394">
        <f t="shared" si="957"/>
        <v>0</v>
      </c>
    </row>
    <row r="3507" spans="1:24" s="1394" customFormat="1" ht="30" customHeight="1">
      <c r="B3507" s="1421"/>
      <c r="C3507" s="1422"/>
      <c r="D3507" s="1389"/>
      <c r="E3507" s="1389"/>
      <c r="F3507" s="1423"/>
      <c r="G3507" s="1428" t="s">
        <v>11</v>
      </c>
      <c r="H3507" s="1429">
        <f>I3506</f>
        <v>130</v>
      </c>
      <c r="I3507" s="1427" t="s">
        <v>12</v>
      </c>
      <c r="M3507" s="1394" t="str">
        <f>A3496</f>
        <v>a. 110 mm dia. PVC SWR pipe (Soil line) with ISI mark - type 'B'.</v>
      </c>
      <c r="N3507" s="1394">
        <f>B3496</f>
        <v>0</v>
      </c>
      <c r="O3507" s="1394">
        <f>H3507</f>
        <v>130</v>
      </c>
      <c r="P3507" s="1394" t="str">
        <f>I3507</f>
        <v>Rmt</v>
      </c>
      <c r="Q3507" s="1394">
        <f>IFERROR(VLOOKUP(M3507,#REF!,3,0),0)</f>
        <v>0</v>
      </c>
      <c r="R3507" s="1394">
        <f t="shared" si="962"/>
        <v>0</v>
      </c>
      <c r="S3507" s="1394">
        <f>IFERROR(VLOOKUP(M3507,#REF!,6,0),0)</f>
        <v>0</v>
      </c>
      <c r="T3507" s="1394">
        <f t="shared" si="956"/>
        <v>0</v>
      </c>
      <c r="U3507" s="1394">
        <f>IFERROR(VLOOKUP(M3507,#REF!,5,0),0)</f>
        <v>0</v>
      </c>
      <c r="V3507" s="1394">
        <f t="shared" si="957"/>
        <v>130</v>
      </c>
    </row>
    <row r="3508" spans="1:24" ht="30" customHeight="1">
      <c r="A3508" s="110" t="s">
        <v>467</v>
      </c>
      <c r="B3508" s="1407"/>
      <c r="C3508" s="1678" t="e">
        <f>VLOOKUP(A3508,#REF!,2,0)</f>
        <v>#REF!</v>
      </c>
      <c r="D3508" s="1678"/>
      <c r="E3508" s="1678"/>
      <c r="F3508" s="1678"/>
      <c r="G3508" s="1678"/>
      <c r="H3508" s="1678"/>
      <c r="I3508" s="1406"/>
      <c r="Q3508" s="1394">
        <f>IFERROR(VLOOKUP(M3508,#REF!,3,0),0)</f>
        <v>0</v>
      </c>
      <c r="R3508" s="1394">
        <f t="shared" si="962"/>
        <v>0</v>
      </c>
      <c r="S3508" s="1394">
        <f>IFERROR(VLOOKUP(M3508,#REF!,6,0),0)</f>
        <v>0</v>
      </c>
      <c r="T3508" s="1394">
        <f t="shared" si="956"/>
        <v>0</v>
      </c>
      <c r="U3508" s="1394">
        <f>IFERROR(VLOOKUP(M3508,#REF!,5,0),0)</f>
        <v>0</v>
      </c>
      <c r="V3508" s="1394">
        <f t="shared" si="957"/>
        <v>0</v>
      </c>
      <c r="W3508" s="1394"/>
      <c r="X3508" s="1397"/>
    </row>
    <row r="3509" spans="1:24" ht="30" customHeight="1">
      <c r="B3509" s="1407"/>
      <c r="C3509" s="1532" t="s">
        <v>258</v>
      </c>
      <c r="D3509" s="1523"/>
      <c r="E3509" s="1523"/>
      <c r="F3509" s="1524"/>
      <c r="G3509" s="1524"/>
      <c r="H3509" s="1533"/>
      <c r="I3509" s="1406"/>
      <c r="Q3509" s="1394">
        <f>IFERROR(VLOOKUP(M3509,#REF!,3,0),0)</f>
        <v>0</v>
      </c>
      <c r="R3509" s="1394">
        <f t="shared" si="962"/>
        <v>0</v>
      </c>
      <c r="S3509" s="1394">
        <f>IFERROR(VLOOKUP(M3509,#REF!,6,0),0)</f>
        <v>0</v>
      </c>
      <c r="T3509" s="1394">
        <f t="shared" si="956"/>
        <v>0</v>
      </c>
      <c r="U3509" s="1394">
        <f>IFERROR(VLOOKUP(M3509,#REF!,5,0),0)</f>
        <v>0</v>
      </c>
      <c r="V3509" s="1394">
        <f t="shared" si="957"/>
        <v>0</v>
      </c>
      <c r="W3509" s="1394"/>
    </row>
    <row r="3510" spans="1:24" ht="30" customHeight="1">
      <c r="B3510" s="1407"/>
      <c r="C3510" s="1522" t="s">
        <v>400</v>
      </c>
      <c r="D3510" s="1523">
        <v>1</v>
      </c>
      <c r="E3510" s="1523">
        <v>4</v>
      </c>
      <c r="F3510" s="1524">
        <v>3</v>
      </c>
      <c r="G3510" s="1499" t="s">
        <v>442</v>
      </c>
      <c r="H3510" s="1500" t="s">
        <v>442</v>
      </c>
      <c r="I3510" s="1406">
        <f t="shared" ref="I3510" si="963">PRODUCT(D3510:H3510)</f>
        <v>12</v>
      </c>
      <c r="Q3510" s="1394">
        <f>IFERROR(VLOOKUP(M3510,#REF!,3,0),0)</f>
        <v>0</v>
      </c>
      <c r="R3510" s="1394">
        <f t="shared" si="962"/>
        <v>0</v>
      </c>
      <c r="S3510" s="1394">
        <f>IFERROR(VLOOKUP(M3510,#REF!,6,0),0)</f>
        <v>0</v>
      </c>
      <c r="T3510" s="1394">
        <f t="shared" si="956"/>
        <v>0</v>
      </c>
      <c r="U3510" s="1394">
        <f>IFERROR(VLOOKUP(M3510,#REF!,5,0),0)</f>
        <v>0</v>
      </c>
      <c r="V3510" s="1394">
        <f t="shared" si="957"/>
        <v>0</v>
      </c>
      <c r="W3510" s="1394"/>
    </row>
    <row r="3511" spans="1:24" ht="30" customHeight="1">
      <c r="B3511" s="1407"/>
      <c r="C3511" s="1532" t="s">
        <v>5788</v>
      </c>
      <c r="D3511" s="1523"/>
      <c r="E3511" s="1523"/>
      <c r="F3511" s="1534"/>
      <c r="G3511" s="1499"/>
      <c r="H3511" s="1533"/>
      <c r="I3511" s="1406"/>
      <c r="Q3511" s="1394">
        <f>IFERROR(VLOOKUP(M3511,#REF!,3,0),0)</f>
        <v>0</v>
      </c>
      <c r="R3511" s="1394">
        <f t="shared" si="962"/>
        <v>0</v>
      </c>
      <c r="S3511" s="1394">
        <f>IFERROR(VLOOKUP(M3511,#REF!,6,0),0)</f>
        <v>0</v>
      </c>
      <c r="T3511" s="1394">
        <f t="shared" si="956"/>
        <v>0</v>
      </c>
      <c r="U3511" s="1394">
        <f>IFERROR(VLOOKUP(M3511,#REF!,5,0),0)</f>
        <v>0</v>
      </c>
      <c r="V3511" s="1394">
        <f t="shared" si="957"/>
        <v>0</v>
      </c>
      <c r="W3511" s="1394"/>
    </row>
    <row r="3512" spans="1:24" ht="30" customHeight="1">
      <c r="B3512" s="1407"/>
      <c r="C3512" s="1522" t="s">
        <v>5937</v>
      </c>
      <c r="D3512" s="1523">
        <v>1</v>
      </c>
      <c r="E3512" s="1523">
        <v>6</v>
      </c>
      <c r="F3512" s="1524">
        <v>13.65</v>
      </c>
      <c r="G3512" s="1499" t="s">
        <v>442</v>
      </c>
      <c r="H3512" s="1500" t="s">
        <v>442</v>
      </c>
      <c r="I3512" s="1406">
        <f t="shared" ref="I3512" si="964">PRODUCT(D3512:H3512)</f>
        <v>81.900000000000006</v>
      </c>
      <c r="Q3512" s="1394">
        <f>IFERROR(VLOOKUP(M3512,#REF!,3,0),0)</f>
        <v>0</v>
      </c>
      <c r="R3512" s="1394">
        <f t="shared" si="962"/>
        <v>0</v>
      </c>
      <c r="S3512" s="1394">
        <f>IFERROR(VLOOKUP(M3512,#REF!,6,0),0)</f>
        <v>0</v>
      </c>
      <c r="T3512" s="1394">
        <f t="shared" si="956"/>
        <v>0</v>
      </c>
      <c r="U3512" s="1394">
        <f>IFERROR(VLOOKUP(M3512,#REF!,5,0),0)</f>
        <v>0</v>
      </c>
      <c r="V3512" s="1394">
        <f t="shared" si="957"/>
        <v>0</v>
      </c>
      <c r="W3512" s="1394"/>
    </row>
    <row r="3513" spans="1:24" ht="30" customHeight="1">
      <c r="B3513" s="1407"/>
      <c r="C3513" s="1522"/>
      <c r="D3513" s="1523"/>
      <c r="E3513" s="1523"/>
      <c r="F3513" s="1534"/>
      <c r="G3513" s="1499"/>
      <c r="H3513" s="1533"/>
      <c r="I3513" s="1406"/>
      <c r="Q3513" s="1394">
        <f>IFERROR(VLOOKUP(M3513,#REF!,3,0),0)</f>
        <v>0</v>
      </c>
      <c r="R3513" s="1394">
        <f t="shared" si="962"/>
        <v>0</v>
      </c>
      <c r="S3513" s="1394">
        <f>IFERROR(VLOOKUP(M3513,#REF!,6,0),0)</f>
        <v>0</v>
      </c>
      <c r="T3513" s="1394">
        <f t="shared" si="956"/>
        <v>0</v>
      </c>
      <c r="U3513" s="1394">
        <f>IFERROR(VLOOKUP(M3513,#REF!,5,0),0)</f>
        <v>0</v>
      </c>
      <c r="V3513" s="1394">
        <f t="shared" si="957"/>
        <v>0</v>
      </c>
      <c r="W3513" s="1394"/>
    </row>
    <row r="3514" spans="1:24" ht="30" customHeight="1">
      <c r="B3514" s="1407"/>
      <c r="C3514" s="1532" t="s">
        <v>5940</v>
      </c>
      <c r="D3514" s="1523"/>
      <c r="E3514" s="1523"/>
      <c r="F3514" s="1524"/>
      <c r="G3514" s="1499" t="s">
        <v>442</v>
      </c>
      <c r="H3514" s="1500" t="s">
        <v>442</v>
      </c>
      <c r="I3514" s="1406">
        <f t="shared" ref="I3514:I3515" si="965">PRODUCT(D3514:H3514)</f>
        <v>0</v>
      </c>
      <c r="Q3514" s="1394">
        <f>IFERROR(VLOOKUP(M3514,#REF!,3,0),0)</f>
        <v>0</v>
      </c>
      <c r="R3514" s="1394">
        <f t="shared" si="962"/>
        <v>0</v>
      </c>
      <c r="S3514" s="1394">
        <f>IFERROR(VLOOKUP(M3514,#REF!,6,0),0)</f>
        <v>0</v>
      </c>
      <c r="T3514" s="1394">
        <f t="shared" si="956"/>
        <v>0</v>
      </c>
      <c r="U3514" s="1394">
        <f>IFERROR(VLOOKUP(M3514,#REF!,5,0),0)</f>
        <v>0</v>
      </c>
      <c r="V3514" s="1394">
        <f t="shared" si="957"/>
        <v>0</v>
      </c>
      <c r="W3514" s="1394"/>
    </row>
    <row r="3515" spans="1:24" ht="30" customHeight="1">
      <c r="B3515" s="1407"/>
      <c r="C3515" s="1522" t="str">
        <f>C3509</f>
        <v>Ground Floor</v>
      </c>
      <c r="D3515" s="1523">
        <v>4</v>
      </c>
      <c r="E3515" s="1523">
        <v>6</v>
      </c>
      <c r="F3515" s="1524">
        <v>1.5</v>
      </c>
      <c r="G3515" s="1499" t="s">
        <v>442</v>
      </c>
      <c r="H3515" s="1500" t="s">
        <v>442</v>
      </c>
      <c r="I3515" s="1406">
        <f t="shared" si="965"/>
        <v>36</v>
      </c>
      <c r="Q3515" s="1394">
        <f>IFERROR(VLOOKUP(M3515,#REF!,3,0),0)</f>
        <v>0</v>
      </c>
      <c r="R3515" s="1394">
        <f t="shared" si="962"/>
        <v>0</v>
      </c>
      <c r="S3515" s="1394">
        <f>IFERROR(VLOOKUP(M3515,#REF!,6,0),0)</f>
        <v>0</v>
      </c>
      <c r="T3515" s="1394">
        <f t="shared" si="956"/>
        <v>0</v>
      </c>
      <c r="U3515" s="1394">
        <f>IFERROR(VLOOKUP(M3515,#REF!,5,0),0)</f>
        <v>0</v>
      </c>
      <c r="V3515" s="1394">
        <f t="shared" si="957"/>
        <v>0</v>
      </c>
      <c r="W3515" s="1394"/>
    </row>
    <row r="3516" spans="1:24" s="1394" customFormat="1" ht="30" customHeight="1">
      <c r="B3516" s="1421"/>
      <c r="C3516" s="1422" t="s">
        <v>270</v>
      </c>
      <c r="D3516" s="1389"/>
      <c r="E3516" s="1389"/>
      <c r="F3516" s="1423"/>
      <c r="G3516" s="1423"/>
      <c r="H3516" s="1424"/>
      <c r="I3516" s="1425">
        <f>J3517-J3516</f>
        <v>9.9999999999994316E-2</v>
      </c>
      <c r="J3516" s="1394">
        <f>SUM(I3509:I3515)</f>
        <v>129.9</v>
      </c>
      <c r="M3516" s="1426"/>
      <c r="Q3516" s="1394">
        <f>IFERROR(VLOOKUP(M3516,#REF!,3,0),0)</f>
        <v>0</v>
      </c>
      <c r="R3516" s="1394">
        <f t="shared" si="962"/>
        <v>0</v>
      </c>
      <c r="S3516" s="1394">
        <f>IFERROR(VLOOKUP(M3516,#REF!,6,0),0)</f>
        <v>0</v>
      </c>
      <c r="T3516" s="1394">
        <f t="shared" si="956"/>
        <v>0</v>
      </c>
      <c r="U3516" s="1394">
        <f>IFERROR(VLOOKUP(M3516,#REF!,5,0),0)</f>
        <v>0</v>
      </c>
      <c r="V3516" s="1394">
        <f t="shared" si="957"/>
        <v>0</v>
      </c>
    </row>
    <row r="3517" spans="1:24" s="1394" customFormat="1" ht="30" customHeight="1">
      <c r="B3517" s="1421"/>
      <c r="C3517" s="1457"/>
      <c r="D3517" s="1389"/>
      <c r="E3517" s="1389"/>
      <c r="F3517" s="1423"/>
      <c r="G3517" s="1423"/>
      <c r="H3517" s="1424"/>
      <c r="I3517" s="1427">
        <f>+J3517</f>
        <v>130</v>
      </c>
      <c r="J3517" s="1394">
        <f>ROUNDUP(J3516,0)</f>
        <v>130</v>
      </c>
      <c r="M3517" s="1426"/>
      <c r="Q3517" s="1394">
        <f>IFERROR(VLOOKUP(M3517,#REF!,3,0),0)</f>
        <v>0</v>
      </c>
      <c r="R3517" s="1394">
        <f t="shared" si="962"/>
        <v>0</v>
      </c>
      <c r="S3517" s="1394">
        <f>IFERROR(VLOOKUP(M3517,#REF!,6,0),0)</f>
        <v>0</v>
      </c>
      <c r="T3517" s="1394">
        <f t="shared" si="956"/>
        <v>0</v>
      </c>
      <c r="U3517" s="1394">
        <f>IFERROR(VLOOKUP(M3517,#REF!,5,0),0)</f>
        <v>0</v>
      </c>
      <c r="V3517" s="1394">
        <f t="shared" si="957"/>
        <v>0</v>
      </c>
    </row>
    <row r="3518" spans="1:24" s="1394" customFormat="1" ht="30" customHeight="1">
      <c r="B3518" s="1421"/>
      <c r="C3518" s="1422"/>
      <c r="D3518" s="1389"/>
      <c r="E3518" s="1389"/>
      <c r="F3518" s="1423"/>
      <c r="G3518" s="1428" t="s">
        <v>11</v>
      </c>
      <c r="H3518" s="1429">
        <f>I3517</f>
        <v>130</v>
      </c>
      <c r="I3518" s="1427" t="s">
        <v>12</v>
      </c>
      <c r="M3518" s="1394" t="str">
        <f>A3508</f>
        <v>b. 75 mm dia. PVC SWR pipe (Soil line) with ISI mark - type 'B'.</v>
      </c>
      <c r="N3518" s="1394">
        <f>B3508</f>
        <v>0</v>
      </c>
      <c r="O3518" s="1394">
        <f>H3518</f>
        <v>130</v>
      </c>
      <c r="P3518" s="1394" t="str">
        <f>I3518</f>
        <v>Rmt</v>
      </c>
      <c r="Q3518" s="1394">
        <f>IFERROR(VLOOKUP(M3518,#REF!,3,0),0)</f>
        <v>0</v>
      </c>
      <c r="R3518" s="1394">
        <f t="shared" si="962"/>
        <v>0</v>
      </c>
      <c r="S3518" s="1394">
        <f>IFERROR(VLOOKUP(M3518,#REF!,6,0),0)</f>
        <v>0</v>
      </c>
      <c r="T3518" s="1394">
        <f t="shared" si="956"/>
        <v>0</v>
      </c>
      <c r="U3518" s="1394">
        <f>IFERROR(VLOOKUP(M3518,#REF!,5,0),0)</f>
        <v>0</v>
      </c>
      <c r="V3518" s="1394">
        <f t="shared" si="957"/>
        <v>130</v>
      </c>
    </row>
    <row r="3519" spans="1:24" ht="51.75" customHeight="1">
      <c r="A3519" s="110" t="s">
        <v>1127</v>
      </c>
      <c r="B3519" s="1407"/>
      <c r="C3519" s="1678" t="e">
        <f>VLOOKUP(A3519,#REF!,2,0)</f>
        <v>#REF!</v>
      </c>
      <c r="D3519" s="1678"/>
      <c r="E3519" s="1678"/>
      <c r="F3519" s="1678"/>
      <c r="G3519" s="1678"/>
      <c r="H3519" s="1678"/>
      <c r="I3519" s="1406"/>
      <c r="Q3519" s="1394">
        <f>IFERROR(VLOOKUP(M3519,#REF!,3,0),0)</f>
        <v>0</v>
      </c>
      <c r="R3519" s="1394">
        <f t="shared" si="962"/>
        <v>0</v>
      </c>
      <c r="S3519" s="1394">
        <f>IFERROR(VLOOKUP(M3519,#REF!,6,0),0)</f>
        <v>0</v>
      </c>
      <c r="T3519" s="1394">
        <f t="shared" si="956"/>
        <v>0</v>
      </c>
      <c r="U3519" s="1394">
        <f>IFERROR(VLOOKUP(M3519,#REF!,5,0),0)</f>
        <v>0</v>
      </c>
      <c r="V3519" s="1394">
        <f t="shared" si="957"/>
        <v>0</v>
      </c>
      <c r="W3519" s="1394"/>
      <c r="X3519" s="1397"/>
    </row>
    <row r="3520" spans="1:24" ht="30" customHeight="1">
      <c r="B3520" s="1407"/>
      <c r="C3520" s="1532" t="s">
        <v>458</v>
      </c>
      <c r="D3520" s="1523"/>
      <c r="E3520" s="1523"/>
      <c r="F3520" s="1524"/>
      <c r="G3520" s="1524"/>
      <c r="H3520" s="1533"/>
      <c r="I3520" s="1406">
        <f t="shared" ref="I3520:I3527" si="966">PRODUCT(D3520:H3520)</f>
        <v>0</v>
      </c>
      <c r="Q3520" s="1394">
        <f>IFERROR(VLOOKUP(M3520,#REF!,3,0),0)</f>
        <v>0</v>
      </c>
      <c r="R3520" s="1394">
        <f t="shared" si="962"/>
        <v>0</v>
      </c>
      <c r="S3520" s="1394">
        <f>IFERROR(VLOOKUP(M3520,#REF!,6,0),0)</f>
        <v>0</v>
      </c>
      <c r="T3520" s="1394">
        <f t="shared" si="956"/>
        <v>0</v>
      </c>
      <c r="U3520" s="1394">
        <f>IFERROR(VLOOKUP(M3520,#REF!,5,0),0)</f>
        <v>0</v>
      </c>
      <c r="V3520" s="1394">
        <f t="shared" si="957"/>
        <v>0</v>
      </c>
      <c r="W3520" s="1394"/>
    </row>
    <row r="3521" spans="1:26" ht="30" customHeight="1">
      <c r="B3521" s="1407"/>
      <c r="C3521" s="1522" t="s">
        <v>400</v>
      </c>
      <c r="D3521" s="1523">
        <v>1</v>
      </c>
      <c r="E3521" s="1523">
        <v>2</v>
      </c>
      <c r="F3521" s="1524">
        <v>1.2</v>
      </c>
      <c r="G3521" s="1524" t="s">
        <v>442</v>
      </c>
      <c r="H3521" s="1533" t="s">
        <v>442</v>
      </c>
      <c r="I3521" s="1406">
        <f t="shared" si="966"/>
        <v>2.4</v>
      </c>
      <c r="Q3521" s="1394">
        <f>IFERROR(VLOOKUP(M3521,#REF!,3,0),0)</f>
        <v>0</v>
      </c>
      <c r="R3521" s="1394">
        <f t="shared" si="962"/>
        <v>0</v>
      </c>
      <c r="S3521" s="1394">
        <f>IFERROR(VLOOKUP(M3521,#REF!,6,0),0)</f>
        <v>0</v>
      </c>
      <c r="T3521" s="1394">
        <f t="shared" si="956"/>
        <v>0</v>
      </c>
      <c r="U3521" s="1394">
        <f>IFERROR(VLOOKUP(M3521,#REF!,5,0),0)</f>
        <v>0</v>
      </c>
      <c r="V3521" s="1394">
        <f t="shared" si="957"/>
        <v>0</v>
      </c>
      <c r="W3521" s="1394"/>
    </row>
    <row r="3522" spans="1:26" ht="30" customHeight="1">
      <c r="B3522" s="1407"/>
      <c r="C3522" s="1532" t="s">
        <v>259</v>
      </c>
      <c r="D3522" s="1523"/>
      <c r="E3522" s="1523"/>
      <c r="F3522" s="1524"/>
      <c r="G3522" s="1524"/>
      <c r="H3522" s="1533"/>
      <c r="I3522" s="1406">
        <f t="shared" si="966"/>
        <v>0</v>
      </c>
      <c r="Q3522" s="1394">
        <f>IFERROR(VLOOKUP(M3522,#REF!,3,0),0)</f>
        <v>0</v>
      </c>
      <c r="R3522" s="1394">
        <f t="shared" si="962"/>
        <v>0</v>
      </c>
      <c r="S3522" s="1394">
        <f>IFERROR(VLOOKUP(M3522,#REF!,6,0),0)</f>
        <v>0</v>
      </c>
      <c r="T3522" s="1394">
        <f t="shared" si="956"/>
        <v>0</v>
      </c>
      <c r="U3522" s="1394">
        <f>IFERROR(VLOOKUP(M3522,#REF!,5,0),0)</f>
        <v>0</v>
      </c>
      <c r="V3522" s="1394">
        <f t="shared" si="957"/>
        <v>0</v>
      </c>
      <c r="W3522" s="1394"/>
    </row>
    <row r="3523" spans="1:26" ht="30" customHeight="1">
      <c r="B3523" s="1407"/>
      <c r="C3523" s="1522" t="s">
        <v>400</v>
      </c>
      <c r="D3523" s="1523">
        <v>1</v>
      </c>
      <c r="E3523" s="1523">
        <v>4</v>
      </c>
      <c r="F3523" s="1524">
        <v>1.2</v>
      </c>
      <c r="G3523" s="1524" t="s">
        <v>442</v>
      </c>
      <c r="H3523" s="1533" t="s">
        <v>442</v>
      </c>
      <c r="I3523" s="1406">
        <f t="shared" si="966"/>
        <v>4.8</v>
      </c>
      <c r="Q3523" s="1394">
        <f>IFERROR(VLOOKUP(M3523,#REF!,3,0),0)</f>
        <v>0</v>
      </c>
      <c r="R3523" s="1394">
        <f t="shared" si="962"/>
        <v>0</v>
      </c>
      <c r="S3523" s="1394">
        <f>IFERROR(VLOOKUP(M3523,#REF!,6,0),0)</f>
        <v>0</v>
      </c>
      <c r="T3523" s="1394">
        <f t="shared" ref="T3523:T3586" si="967">R3523-S3523</f>
        <v>0</v>
      </c>
      <c r="U3523" s="1394">
        <f>IFERROR(VLOOKUP(M3523,#REF!,5,0),0)</f>
        <v>0</v>
      </c>
      <c r="V3523" s="1394">
        <f t="shared" ref="V3523:V3586" si="968">O3523-U3523</f>
        <v>0</v>
      </c>
      <c r="W3523" s="1394"/>
    </row>
    <row r="3524" spans="1:26" ht="30" customHeight="1">
      <c r="B3524" s="1407"/>
      <c r="C3524" s="1532" t="s">
        <v>260</v>
      </c>
      <c r="D3524" s="1523"/>
      <c r="E3524" s="1523"/>
      <c r="F3524" s="1524"/>
      <c r="G3524" s="1524"/>
      <c r="H3524" s="1533"/>
      <c r="I3524" s="1406">
        <f t="shared" si="966"/>
        <v>0</v>
      </c>
      <c r="Q3524" s="1394">
        <f>IFERROR(VLOOKUP(M3524,#REF!,3,0),0)</f>
        <v>0</v>
      </c>
      <c r="R3524" s="1394">
        <f t="shared" si="962"/>
        <v>0</v>
      </c>
      <c r="S3524" s="1394">
        <f>IFERROR(VLOOKUP(M3524,#REF!,6,0),0)</f>
        <v>0</v>
      </c>
      <c r="T3524" s="1394">
        <f t="shared" si="967"/>
        <v>0</v>
      </c>
      <c r="U3524" s="1394">
        <f>IFERROR(VLOOKUP(M3524,#REF!,5,0),0)</f>
        <v>0</v>
      </c>
      <c r="V3524" s="1394">
        <f t="shared" si="968"/>
        <v>0</v>
      </c>
      <c r="W3524" s="1394"/>
    </row>
    <row r="3525" spans="1:26" ht="30" customHeight="1">
      <c r="B3525" s="1407"/>
      <c r="C3525" s="1522" t="s">
        <v>400</v>
      </c>
      <c r="D3525" s="1523">
        <v>1</v>
      </c>
      <c r="E3525" s="1523">
        <v>4</v>
      </c>
      <c r="F3525" s="1524">
        <v>1.2</v>
      </c>
      <c r="G3525" s="1524"/>
      <c r="H3525" s="1533"/>
      <c r="I3525" s="1406">
        <f t="shared" si="966"/>
        <v>4.8</v>
      </c>
      <c r="Q3525" s="1394">
        <f>IFERROR(VLOOKUP(M3525,#REF!,3,0),0)</f>
        <v>0</v>
      </c>
      <c r="R3525" s="1394">
        <f t="shared" si="962"/>
        <v>0</v>
      </c>
      <c r="S3525" s="1394">
        <f>IFERROR(VLOOKUP(M3525,#REF!,6,0),0)</f>
        <v>0</v>
      </c>
      <c r="T3525" s="1394">
        <f t="shared" si="967"/>
        <v>0</v>
      </c>
      <c r="U3525" s="1394">
        <f>IFERROR(VLOOKUP(M3525,#REF!,5,0),0)</f>
        <v>0</v>
      </c>
      <c r="V3525" s="1394">
        <f t="shared" si="968"/>
        <v>0</v>
      </c>
      <c r="W3525" s="1394"/>
    </row>
    <row r="3526" spans="1:26" ht="30" customHeight="1">
      <c r="B3526" s="1407"/>
      <c r="C3526" s="1532" t="s">
        <v>261</v>
      </c>
      <c r="D3526" s="1523"/>
      <c r="E3526" s="1523"/>
      <c r="F3526" s="1524"/>
      <c r="G3526" s="1524"/>
      <c r="H3526" s="1533"/>
      <c r="I3526" s="1406">
        <f t="shared" si="966"/>
        <v>0</v>
      </c>
      <c r="Q3526" s="1394">
        <f>IFERROR(VLOOKUP(M3526,#REF!,3,0),0)</f>
        <v>0</v>
      </c>
      <c r="R3526" s="1394">
        <f t="shared" si="962"/>
        <v>0</v>
      </c>
      <c r="S3526" s="1394">
        <f>IFERROR(VLOOKUP(M3526,#REF!,6,0),0)</f>
        <v>0</v>
      </c>
      <c r="T3526" s="1394">
        <f t="shared" si="967"/>
        <v>0</v>
      </c>
      <c r="U3526" s="1394">
        <f>IFERROR(VLOOKUP(M3526,#REF!,5,0),0)</f>
        <v>0</v>
      </c>
      <c r="V3526" s="1394">
        <f t="shared" si="968"/>
        <v>0</v>
      </c>
      <c r="W3526" s="1394"/>
    </row>
    <row r="3527" spans="1:26" ht="30" customHeight="1">
      <c r="B3527" s="1407"/>
      <c r="C3527" s="1522" t="s">
        <v>400</v>
      </c>
      <c r="D3527" s="1523">
        <v>1</v>
      </c>
      <c r="E3527" s="1523">
        <v>4</v>
      </c>
      <c r="F3527" s="1524">
        <v>1.2</v>
      </c>
      <c r="G3527" s="1524" t="s">
        <v>442</v>
      </c>
      <c r="H3527" s="1533" t="s">
        <v>442</v>
      </c>
      <c r="I3527" s="1406">
        <f t="shared" si="966"/>
        <v>4.8</v>
      </c>
      <c r="Q3527" s="1394">
        <f>IFERROR(VLOOKUP(M3527,#REF!,3,0),0)</f>
        <v>0</v>
      </c>
      <c r="R3527" s="1394">
        <f t="shared" si="962"/>
        <v>0</v>
      </c>
      <c r="S3527" s="1394">
        <f>IFERROR(VLOOKUP(M3527,#REF!,6,0),0)</f>
        <v>0</v>
      </c>
      <c r="T3527" s="1394">
        <f t="shared" si="967"/>
        <v>0</v>
      </c>
      <c r="U3527" s="1394">
        <f>IFERROR(VLOOKUP(M3527,#REF!,5,0),0)</f>
        <v>0</v>
      </c>
      <c r="V3527" s="1394">
        <f t="shared" si="968"/>
        <v>0</v>
      </c>
      <c r="W3527" s="1394"/>
    </row>
    <row r="3528" spans="1:26" s="1394" customFormat="1" ht="30" customHeight="1">
      <c r="B3528" s="1421"/>
      <c r="C3528" s="1422" t="s">
        <v>270</v>
      </c>
      <c r="D3528" s="1389"/>
      <c r="E3528" s="1389"/>
      <c r="F3528" s="1423"/>
      <c r="G3528" s="1423"/>
      <c r="H3528" s="1424"/>
      <c r="I3528" s="1425">
        <f>J3529-J3528</f>
        <v>0.19999999999999929</v>
      </c>
      <c r="J3528" s="1394">
        <f>SUM(I3520:I3527)</f>
        <v>16.8</v>
      </c>
      <c r="M3528" s="1426"/>
      <c r="Q3528" s="1394">
        <f>IFERROR(VLOOKUP(M3528,#REF!,3,0),0)</f>
        <v>0</v>
      </c>
      <c r="R3528" s="1394">
        <f t="shared" si="962"/>
        <v>0</v>
      </c>
      <c r="S3528" s="1394">
        <f>IFERROR(VLOOKUP(M3528,#REF!,6,0),0)</f>
        <v>0</v>
      </c>
      <c r="T3528" s="1394">
        <f t="shared" si="967"/>
        <v>0</v>
      </c>
      <c r="U3528" s="1394">
        <f>IFERROR(VLOOKUP(M3528,#REF!,5,0),0)</f>
        <v>0</v>
      </c>
      <c r="V3528" s="1394">
        <f t="shared" si="968"/>
        <v>0</v>
      </c>
    </row>
    <row r="3529" spans="1:26" s="1394" customFormat="1" ht="30" customHeight="1">
      <c r="B3529" s="1421"/>
      <c r="C3529" s="1457"/>
      <c r="D3529" s="1389"/>
      <c r="E3529" s="1389"/>
      <c r="F3529" s="1423"/>
      <c r="G3529" s="1423"/>
      <c r="H3529" s="1424"/>
      <c r="I3529" s="1427">
        <f>+J3529</f>
        <v>17</v>
      </c>
      <c r="J3529" s="1394">
        <f>ROUNDUP(J3528,0)</f>
        <v>17</v>
      </c>
      <c r="M3529" s="1426"/>
      <c r="Q3529" s="1394">
        <f>IFERROR(VLOOKUP(M3529,#REF!,3,0),0)</f>
        <v>0</v>
      </c>
      <c r="R3529" s="1394">
        <f t="shared" si="962"/>
        <v>0</v>
      </c>
      <c r="S3529" s="1394">
        <f>IFERROR(VLOOKUP(M3529,#REF!,6,0),0)</f>
        <v>0</v>
      </c>
      <c r="T3529" s="1394">
        <f t="shared" si="967"/>
        <v>0</v>
      </c>
      <c r="U3529" s="1394">
        <f>IFERROR(VLOOKUP(M3529,#REF!,5,0),0)</f>
        <v>0</v>
      </c>
      <c r="V3529" s="1394">
        <f t="shared" si="968"/>
        <v>0</v>
      </c>
    </row>
    <row r="3530" spans="1:26" s="1394" customFormat="1" ht="30" customHeight="1">
      <c r="B3530" s="1421"/>
      <c r="C3530" s="1422"/>
      <c r="D3530" s="1389"/>
      <c r="E3530" s="1389"/>
      <c r="F3530" s="1423"/>
      <c r="G3530" s="1428" t="s">
        <v>11</v>
      </c>
      <c r="H3530" s="1429">
        <f>I3529</f>
        <v>17</v>
      </c>
      <c r="I3530" s="1427" t="s">
        <v>12</v>
      </c>
      <c r="M3530" s="1394" t="str">
        <f>A3519</f>
        <v>Supplying, Laying &amp; Concealing the 50mm dia PVC ( SWR) pipe with ISI mark type - 'B' with relevant specials.</v>
      </c>
      <c r="N3530" s="1394">
        <f>B3519</f>
        <v>0</v>
      </c>
      <c r="O3530" s="1394">
        <f>H3530</f>
        <v>17</v>
      </c>
      <c r="P3530" s="1394" t="str">
        <f>I3530</f>
        <v>Rmt</v>
      </c>
      <c r="Q3530" s="1394">
        <f>IFERROR(VLOOKUP(M3530,#REF!,3,0),0)</f>
        <v>0</v>
      </c>
      <c r="R3530" s="1394">
        <f t="shared" si="962"/>
        <v>0</v>
      </c>
      <c r="S3530" s="1394">
        <f>IFERROR(VLOOKUP(M3530,#REF!,6,0),0)</f>
        <v>0</v>
      </c>
      <c r="T3530" s="1394">
        <f t="shared" si="967"/>
        <v>0</v>
      </c>
      <c r="U3530" s="1394">
        <f>IFERROR(VLOOKUP(M3530,#REF!,5,0),0)</f>
        <v>0</v>
      </c>
      <c r="V3530" s="1394">
        <f t="shared" si="968"/>
        <v>17</v>
      </c>
    </row>
    <row r="3531" spans="1:26" ht="120" customHeight="1">
      <c r="A3531" s="110" t="s">
        <v>881</v>
      </c>
      <c r="B3531" s="1405">
        <v>59.5</v>
      </c>
      <c r="C3531" s="1678" t="e">
        <f>VLOOKUP(A3531,#REF!,2,0)</f>
        <v>#REF!</v>
      </c>
      <c r="D3531" s="1678"/>
      <c r="E3531" s="1678"/>
      <c r="F3531" s="1678"/>
      <c r="G3531" s="1678"/>
      <c r="H3531" s="1678"/>
      <c r="I3531" s="1406"/>
      <c r="Q3531" s="1394">
        <f>IFERROR(VLOOKUP(M3531,#REF!,3,0),0)</f>
        <v>0</v>
      </c>
      <c r="R3531" s="1394">
        <f t="shared" si="962"/>
        <v>0</v>
      </c>
      <c r="S3531" s="1394">
        <f>IFERROR(VLOOKUP(M3531,#REF!,6,0),0)</f>
        <v>0</v>
      </c>
      <c r="T3531" s="1394">
        <f t="shared" si="967"/>
        <v>0</v>
      </c>
      <c r="U3531" s="1394">
        <f>IFERROR(VLOOKUP(M3531,#REF!,5,0),0)</f>
        <v>0</v>
      </c>
      <c r="V3531" s="1394">
        <f t="shared" si="968"/>
        <v>0</v>
      </c>
      <c r="W3531" s="1394"/>
      <c r="X3531" s="1397"/>
    </row>
    <row r="3532" spans="1:26" ht="30" customHeight="1">
      <c r="B3532" s="1407"/>
      <c r="C3532" s="1531" t="s">
        <v>469</v>
      </c>
      <c r="D3532" s="1526">
        <v>1</v>
      </c>
      <c r="E3532" s="1526">
        <v>8</v>
      </c>
      <c r="F3532" s="1527" t="s">
        <v>442</v>
      </c>
      <c r="G3532" s="1527" t="s">
        <v>442</v>
      </c>
      <c r="H3532" s="1414"/>
      <c r="I3532" s="1406">
        <f>PRODUCT(D3532:H3532)</f>
        <v>8</v>
      </c>
      <c r="Q3532" s="1394">
        <f>IFERROR(VLOOKUP(M3532,#REF!,3,0),0)</f>
        <v>0</v>
      </c>
      <c r="R3532" s="1394">
        <f t="shared" si="962"/>
        <v>0</v>
      </c>
      <c r="S3532" s="1394">
        <f>IFERROR(VLOOKUP(M3532,#REF!,6,0),0)</f>
        <v>0</v>
      </c>
      <c r="T3532" s="1394">
        <f t="shared" si="967"/>
        <v>0</v>
      </c>
      <c r="U3532" s="1394">
        <f>IFERROR(VLOOKUP(M3532,#REF!,5,0),0)</f>
        <v>0</v>
      </c>
      <c r="V3532" s="1394">
        <f t="shared" si="968"/>
        <v>0</v>
      </c>
      <c r="W3532" s="1394"/>
    </row>
    <row r="3533" spans="1:26" ht="30" customHeight="1">
      <c r="B3533" s="1407"/>
      <c r="C3533" s="1455"/>
      <c r="D3533" s="103"/>
      <c r="E3533" s="103"/>
      <c r="F3533" s="1413"/>
      <c r="G3533" s="1413"/>
      <c r="H3533" s="1414"/>
      <c r="I3533" s="1479">
        <f>SUM(I3532:I3532)</f>
        <v>8</v>
      </c>
      <c r="Q3533" s="1394">
        <f>IFERROR(VLOOKUP(M3533,#REF!,3,0),0)</f>
        <v>0</v>
      </c>
      <c r="R3533" s="1394">
        <f t="shared" si="962"/>
        <v>0</v>
      </c>
      <c r="S3533" s="1394">
        <f>IFERROR(VLOOKUP(M3533,#REF!,6,0),0)</f>
        <v>0</v>
      </c>
      <c r="T3533" s="1394">
        <f t="shared" si="967"/>
        <v>0</v>
      </c>
      <c r="U3533" s="1394">
        <f>IFERROR(VLOOKUP(M3533,#REF!,5,0),0)</f>
        <v>0</v>
      </c>
      <c r="V3533" s="1394">
        <f t="shared" si="968"/>
        <v>0</v>
      </c>
      <c r="W3533" s="1394"/>
    </row>
    <row r="3534" spans="1:26" ht="30" customHeight="1">
      <c r="B3534" s="1407"/>
      <c r="C3534" s="1455"/>
      <c r="D3534" s="103"/>
      <c r="E3534" s="103"/>
      <c r="F3534" s="1413"/>
      <c r="G3534" s="1483" t="s">
        <v>11</v>
      </c>
      <c r="H3534" s="1478">
        <f>ROUNDUP(I3533,1)</f>
        <v>8</v>
      </c>
      <c r="I3534" s="1479" t="s">
        <v>13</v>
      </c>
      <c r="M3534" s="1394" t="str">
        <f>A3531</f>
        <v>Gully Trap using Kiln burnt country bricks 22 x 11 x 7 cm.</v>
      </c>
      <c r="N3534" s="1394">
        <f>B3531</f>
        <v>59.5</v>
      </c>
      <c r="O3534" s="1394">
        <f>H3534</f>
        <v>8</v>
      </c>
      <c r="P3534" s="1394" t="str">
        <f>I3534</f>
        <v>Nos</v>
      </c>
      <c r="Q3534" s="1394">
        <f>IFERROR(VLOOKUP(M3534,#REF!,3,0),0)</f>
        <v>0</v>
      </c>
      <c r="R3534" s="1394">
        <f t="shared" si="962"/>
        <v>0</v>
      </c>
      <c r="S3534" s="1394">
        <f>IFERROR(VLOOKUP(M3534,#REF!,6,0),0)</f>
        <v>0</v>
      </c>
      <c r="T3534" s="1394">
        <f t="shared" si="967"/>
        <v>0</v>
      </c>
      <c r="U3534" s="1394">
        <f>IFERROR(VLOOKUP(M3534,#REF!,5,0),0)</f>
        <v>0</v>
      </c>
      <c r="V3534" s="1394">
        <f t="shared" si="968"/>
        <v>8</v>
      </c>
      <c r="W3534" s="1394"/>
      <c r="Z3534" s="1394"/>
    </row>
    <row r="3535" spans="1:26" ht="159.75" customHeight="1">
      <c r="A3535" s="110" t="s">
        <v>844</v>
      </c>
      <c r="B3535" s="1405"/>
      <c r="C3535" s="1678" t="e">
        <f>VLOOKUP(A3535,#REF!,2,0)</f>
        <v>#REF!</v>
      </c>
      <c r="D3535" s="1678"/>
      <c r="E3535" s="1678"/>
      <c r="F3535" s="1678"/>
      <c r="G3535" s="1678"/>
      <c r="H3535" s="1678"/>
      <c r="I3535" s="1406"/>
      <c r="M3535" s="1394"/>
      <c r="N3535" s="1394"/>
      <c r="O3535" s="1394"/>
      <c r="P3535" s="1394"/>
      <c r="Q3535" s="1394">
        <f>IFERROR(VLOOKUP(M3535,#REF!,3,0),0)</f>
        <v>0</v>
      </c>
      <c r="R3535" s="1394">
        <f t="shared" si="962"/>
        <v>0</v>
      </c>
      <c r="S3535" s="1394">
        <f>IFERROR(VLOOKUP(M3535,#REF!,6,0),0)</f>
        <v>0</v>
      </c>
      <c r="T3535" s="1394">
        <f t="shared" si="967"/>
        <v>0</v>
      </c>
      <c r="U3535" s="1394">
        <f>IFERROR(VLOOKUP(M3535,#REF!,5,0),0)</f>
        <v>0</v>
      </c>
      <c r="V3535" s="1394">
        <f t="shared" si="968"/>
        <v>0</v>
      </c>
      <c r="W3535" s="1394"/>
      <c r="X3535" s="1397"/>
    </row>
    <row r="3536" spans="1:26" ht="30" customHeight="1">
      <c r="B3536" s="1407"/>
      <c r="C3536" s="1531" t="s">
        <v>5499</v>
      </c>
      <c r="D3536" s="1526">
        <v>1</v>
      </c>
      <c r="E3536" s="1526">
        <v>1</v>
      </c>
      <c r="F3536" s="1527" t="s">
        <v>442</v>
      </c>
      <c r="G3536" s="1527" t="s">
        <v>442</v>
      </c>
      <c r="H3536" s="1414"/>
      <c r="I3536" s="1406">
        <f>PRODUCT(D3536:H3536)</f>
        <v>1</v>
      </c>
      <c r="M3536" s="1394"/>
      <c r="N3536" s="1394"/>
      <c r="O3536" s="1394"/>
      <c r="P3536" s="1394"/>
      <c r="Q3536" s="1394">
        <f>IFERROR(VLOOKUP(M3536,#REF!,3,0),0)</f>
        <v>0</v>
      </c>
      <c r="R3536" s="1394">
        <f t="shared" si="962"/>
        <v>0</v>
      </c>
      <c r="S3536" s="1394">
        <f>IFERROR(VLOOKUP(M3536,#REF!,6,0),0)</f>
        <v>0</v>
      </c>
      <c r="T3536" s="1394">
        <f t="shared" si="967"/>
        <v>0</v>
      </c>
      <c r="U3536" s="1394">
        <f>IFERROR(VLOOKUP(M3536,#REF!,5,0),0)</f>
        <v>0</v>
      </c>
      <c r="V3536" s="1394">
        <f t="shared" si="968"/>
        <v>0</v>
      </c>
      <c r="W3536" s="1394"/>
    </row>
    <row r="3537" spans="1:26" ht="30" customHeight="1">
      <c r="B3537" s="1407"/>
      <c r="C3537" s="1455"/>
      <c r="D3537" s="103"/>
      <c r="E3537" s="103"/>
      <c r="F3537" s="1413"/>
      <c r="G3537" s="1413"/>
      <c r="H3537" s="1414"/>
      <c r="I3537" s="1479">
        <f>SUM(I3536:I3536)</f>
        <v>1</v>
      </c>
      <c r="M3537" s="1394"/>
      <c r="N3537" s="1394"/>
      <c r="O3537" s="1394"/>
      <c r="P3537" s="1394"/>
      <c r="Q3537" s="1394">
        <f>IFERROR(VLOOKUP(M3537,#REF!,3,0),0)</f>
        <v>0</v>
      </c>
      <c r="R3537" s="1394">
        <f t="shared" si="962"/>
        <v>0</v>
      </c>
      <c r="S3537" s="1394">
        <f>IFERROR(VLOOKUP(M3537,#REF!,6,0),0)</f>
        <v>0</v>
      </c>
      <c r="T3537" s="1394">
        <f t="shared" si="967"/>
        <v>0</v>
      </c>
      <c r="U3537" s="1394">
        <f>IFERROR(VLOOKUP(M3537,#REF!,5,0),0)</f>
        <v>0</v>
      </c>
      <c r="V3537" s="1394">
        <f t="shared" si="968"/>
        <v>0</v>
      </c>
      <c r="W3537" s="1394"/>
    </row>
    <row r="3538" spans="1:26" ht="33" customHeight="1">
      <c r="B3538" s="1407"/>
      <c r="C3538" s="1455"/>
      <c r="D3538" s="103"/>
      <c r="E3538" s="103"/>
      <c r="F3538" s="1413"/>
      <c r="G3538" s="1483" t="s">
        <v>11</v>
      </c>
      <c r="H3538" s="1478">
        <f>ROUNDUP(I3537,1)</f>
        <v>1</v>
      </c>
      <c r="I3538" s="1479" t="s">
        <v>13</v>
      </c>
      <c r="M3538" s="1394" t="str">
        <f>A3535</f>
        <v>Supplying. Fabricating and erection of M.S Scheme Name board</v>
      </c>
      <c r="N3538" s="1394">
        <f>B3535</f>
        <v>0</v>
      </c>
      <c r="O3538" s="1394">
        <f>H3538</f>
        <v>1</v>
      </c>
      <c r="P3538" s="1394" t="str">
        <f>I3538</f>
        <v>Nos</v>
      </c>
      <c r="Q3538" s="1394">
        <f>IFERROR(VLOOKUP(M3538,#REF!,3,0),0)</f>
        <v>0</v>
      </c>
      <c r="R3538" s="1394">
        <f t="shared" si="962"/>
        <v>0</v>
      </c>
      <c r="S3538" s="1394">
        <f>IFERROR(VLOOKUP(M3538,#REF!,6,0),0)</f>
        <v>0</v>
      </c>
      <c r="T3538" s="1394">
        <f t="shared" si="967"/>
        <v>0</v>
      </c>
      <c r="U3538" s="1394">
        <f>IFERROR(VLOOKUP(M3538,#REF!,5,0),0)</f>
        <v>0</v>
      </c>
      <c r="V3538" s="1394">
        <f t="shared" si="968"/>
        <v>1</v>
      </c>
      <c r="W3538" s="1394"/>
      <c r="Z3538" s="1394"/>
    </row>
    <row r="3539" spans="1:26" ht="114" customHeight="1">
      <c r="A3539" s="110" t="s">
        <v>470</v>
      </c>
      <c r="B3539" s="1513">
        <v>60</v>
      </c>
      <c r="C3539" s="1678" t="e">
        <f>VLOOKUP(A3539,#REF!,2,0)</f>
        <v>#REF!</v>
      </c>
      <c r="D3539" s="1678"/>
      <c r="E3539" s="1678"/>
      <c r="F3539" s="1678"/>
      <c r="G3539" s="1678"/>
      <c r="H3539" s="1678"/>
      <c r="I3539" s="1406"/>
      <c r="Q3539" s="1394">
        <f>IFERROR(VLOOKUP(M3539,#REF!,3,0),0)</f>
        <v>0</v>
      </c>
      <c r="R3539" s="1394">
        <f t="shared" si="962"/>
        <v>0</v>
      </c>
      <c r="S3539" s="1394">
        <f>IFERROR(VLOOKUP(M3539,#REF!,6,0),0)</f>
        <v>0</v>
      </c>
      <c r="T3539" s="1394">
        <f t="shared" si="967"/>
        <v>0</v>
      </c>
      <c r="U3539" s="1394">
        <f>IFERROR(VLOOKUP(M3539,#REF!,5,0),0)</f>
        <v>0</v>
      </c>
      <c r="V3539" s="1394">
        <f t="shared" si="968"/>
        <v>0</v>
      </c>
      <c r="W3539" s="1394"/>
      <c r="X3539" s="1397"/>
    </row>
    <row r="3540" spans="1:26" ht="30" customHeight="1">
      <c r="B3540" s="1407"/>
      <c r="C3540" s="1532" t="s">
        <v>458</v>
      </c>
      <c r="D3540" s="1523"/>
      <c r="E3540" s="1523"/>
      <c r="F3540" s="1413"/>
      <c r="G3540" s="1413"/>
      <c r="H3540" s="1414"/>
      <c r="I3540" s="1406">
        <f t="shared" ref="I3540:I3547" si="969">PRODUCT(D3540:H3540)</f>
        <v>0</v>
      </c>
      <c r="Q3540" s="1394">
        <f>IFERROR(VLOOKUP(M3540,#REF!,3,0),0)</f>
        <v>0</v>
      </c>
      <c r="R3540" s="1394">
        <f t="shared" si="962"/>
        <v>0</v>
      </c>
      <c r="S3540" s="1394">
        <f>IFERROR(VLOOKUP(M3540,#REF!,6,0),0)</f>
        <v>0</v>
      </c>
      <c r="T3540" s="1394">
        <f t="shared" si="967"/>
        <v>0</v>
      </c>
      <c r="U3540" s="1394">
        <f>IFERROR(VLOOKUP(M3540,#REF!,5,0),0)</f>
        <v>0</v>
      </c>
      <c r="V3540" s="1394">
        <f t="shared" si="968"/>
        <v>0</v>
      </c>
      <c r="W3540" s="1394"/>
    </row>
    <row r="3541" spans="1:26" ht="30" customHeight="1">
      <c r="B3541" s="1407"/>
      <c r="C3541" s="1522" t="s">
        <v>400</v>
      </c>
      <c r="D3541" s="1523">
        <v>2</v>
      </c>
      <c r="E3541" s="1523">
        <v>2</v>
      </c>
      <c r="F3541" s="1524" t="s">
        <v>442</v>
      </c>
      <c r="G3541" s="1524" t="s">
        <v>442</v>
      </c>
      <c r="H3541" s="1533" t="s">
        <v>442</v>
      </c>
      <c r="I3541" s="1406">
        <f t="shared" si="969"/>
        <v>4</v>
      </c>
      <c r="Q3541" s="1394">
        <f>IFERROR(VLOOKUP(M3541,#REF!,3,0),0)</f>
        <v>0</v>
      </c>
      <c r="R3541" s="1394">
        <f t="shared" si="962"/>
        <v>0</v>
      </c>
      <c r="S3541" s="1394">
        <f>IFERROR(VLOOKUP(M3541,#REF!,6,0),0)</f>
        <v>0</v>
      </c>
      <c r="T3541" s="1394">
        <f t="shared" si="967"/>
        <v>0</v>
      </c>
      <c r="U3541" s="1394">
        <f>IFERROR(VLOOKUP(M3541,#REF!,5,0),0)</f>
        <v>0</v>
      </c>
      <c r="V3541" s="1394">
        <f t="shared" si="968"/>
        <v>0</v>
      </c>
      <c r="W3541" s="1394"/>
    </row>
    <row r="3542" spans="1:26" ht="30" customHeight="1">
      <c r="B3542" s="1407"/>
      <c r="C3542" s="1532" t="s">
        <v>259</v>
      </c>
      <c r="D3542" s="1523"/>
      <c r="E3542" s="1523"/>
      <c r="F3542" s="1524"/>
      <c r="G3542" s="1524"/>
      <c r="H3542" s="1533"/>
      <c r="I3542" s="1406">
        <f t="shared" si="969"/>
        <v>0</v>
      </c>
      <c r="Q3542" s="1394">
        <f>IFERROR(VLOOKUP(M3542,#REF!,3,0),0)</f>
        <v>0</v>
      </c>
      <c r="R3542" s="1394">
        <f t="shared" si="962"/>
        <v>0</v>
      </c>
      <c r="S3542" s="1394">
        <f>IFERROR(VLOOKUP(M3542,#REF!,6,0),0)</f>
        <v>0</v>
      </c>
      <c r="T3542" s="1394">
        <f t="shared" si="967"/>
        <v>0</v>
      </c>
      <c r="U3542" s="1394">
        <f>IFERROR(VLOOKUP(M3542,#REF!,5,0),0)</f>
        <v>0</v>
      </c>
      <c r="V3542" s="1394">
        <f t="shared" si="968"/>
        <v>0</v>
      </c>
      <c r="W3542" s="1394"/>
    </row>
    <row r="3543" spans="1:26" ht="30" customHeight="1">
      <c r="B3543" s="1407"/>
      <c r="C3543" s="1522" t="s">
        <v>400</v>
      </c>
      <c r="D3543" s="1523">
        <v>2</v>
      </c>
      <c r="E3543" s="1523">
        <v>4</v>
      </c>
      <c r="F3543" s="1524" t="s">
        <v>442</v>
      </c>
      <c r="G3543" s="1524" t="s">
        <v>442</v>
      </c>
      <c r="H3543" s="1533" t="s">
        <v>442</v>
      </c>
      <c r="I3543" s="1406">
        <f t="shared" si="969"/>
        <v>8</v>
      </c>
      <c r="Q3543" s="1394">
        <f>IFERROR(VLOOKUP(M3543,#REF!,3,0),0)</f>
        <v>0</v>
      </c>
      <c r="R3543" s="1394">
        <f t="shared" si="962"/>
        <v>0</v>
      </c>
      <c r="S3543" s="1394">
        <f>IFERROR(VLOOKUP(M3543,#REF!,6,0),0)</f>
        <v>0</v>
      </c>
      <c r="T3543" s="1394">
        <f t="shared" si="967"/>
        <v>0</v>
      </c>
      <c r="U3543" s="1394">
        <f>IFERROR(VLOOKUP(M3543,#REF!,5,0),0)</f>
        <v>0</v>
      </c>
      <c r="V3543" s="1394">
        <f t="shared" si="968"/>
        <v>0</v>
      </c>
      <c r="W3543" s="1394"/>
    </row>
    <row r="3544" spans="1:26" ht="30" customHeight="1">
      <c r="B3544" s="1407"/>
      <c r="C3544" s="1532" t="s">
        <v>260</v>
      </c>
      <c r="D3544" s="1523"/>
      <c r="E3544" s="1523"/>
      <c r="F3544" s="1524"/>
      <c r="G3544" s="1524"/>
      <c r="H3544" s="1533"/>
      <c r="I3544" s="1406">
        <f t="shared" si="969"/>
        <v>0</v>
      </c>
      <c r="Q3544" s="1394">
        <f>IFERROR(VLOOKUP(M3544,#REF!,3,0),0)</f>
        <v>0</v>
      </c>
      <c r="R3544" s="1394">
        <f t="shared" si="962"/>
        <v>0</v>
      </c>
      <c r="S3544" s="1394">
        <f>IFERROR(VLOOKUP(M3544,#REF!,6,0),0)</f>
        <v>0</v>
      </c>
      <c r="T3544" s="1394">
        <f t="shared" si="967"/>
        <v>0</v>
      </c>
      <c r="U3544" s="1394">
        <f>IFERROR(VLOOKUP(M3544,#REF!,5,0),0)</f>
        <v>0</v>
      </c>
      <c r="V3544" s="1394">
        <f t="shared" si="968"/>
        <v>0</v>
      </c>
      <c r="W3544" s="1394"/>
    </row>
    <row r="3545" spans="1:26" ht="30" customHeight="1">
      <c r="B3545" s="1407"/>
      <c r="C3545" s="1522" t="s">
        <v>400</v>
      </c>
      <c r="D3545" s="1523">
        <v>2</v>
      </c>
      <c r="E3545" s="1523">
        <v>4</v>
      </c>
      <c r="F3545" s="1524"/>
      <c r="G3545" s="1524"/>
      <c r="H3545" s="1533"/>
      <c r="I3545" s="1406">
        <f t="shared" si="969"/>
        <v>8</v>
      </c>
      <c r="Q3545" s="1394">
        <f>IFERROR(VLOOKUP(M3545,#REF!,3,0),0)</f>
        <v>0</v>
      </c>
      <c r="R3545" s="1394">
        <f t="shared" si="962"/>
        <v>0</v>
      </c>
      <c r="S3545" s="1394">
        <f>IFERROR(VLOOKUP(M3545,#REF!,6,0),0)</f>
        <v>0</v>
      </c>
      <c r="T3545" s="1394">
        <f t="shared" si="967"/>
        <v>0</v>
      </c>
      <c r="U3545" s="1394">
        <f>IFERROR(VLOOKUP(M3545,#REF!,5,0),0)</f>
        <v>0</v>
      </c>
      <c r="V3545" s="1394">
        <f t="shared" si="968"/>
        <v>0</v>
      </c>
      <c r="W3545" s="1394"/>
    </row>
    <row r="3546" spans="1:26" ht="30" customHeight="1">
      <c r="B3546" s="1407"/>
      <c r="C3546" s="1532" t="s">
        <v>261</v>
      </c>
      <c r="D3546" s="1523"/>
      <c r="E3546" s="1523"/>
      <c r="F3546" s="1524"/>
      <c r="G3546" s="1524"/>
      <c r="H3546" s="1533"/>
      <c r="I3546" s="1406">
        <f t="shared" si="969"/>
        <v>0</v>
      </c>
      <c r="Q3546" s="1394">
        <f>IFERROR(VLOOKUP(M3546,#REF!,3,0),0)</f>
        <v>0</v>
      </c>
      <c r="R3546" s="1394">
        <f t="shared" si="962"/>
        <v>0</v>
      </c>
      <c r="S3546" s="1394">
        <f>IFERROR(VLOOKUP(M3546,#REF!,6,0),0)</f>
        <v>0</v>
      </c>
      <c r="T3546" s="1394">
        <f t="shared" si="967"/>
        <v>0</v>
      </c>
      <c r="U3546" s="1394">
        <f>IFERROR(VLOOKUP(M3546,#REF!,5,0),0)</f>
        <v>0</v>
      </c>
      <c r="V3546" s="1394">
        <f t="shared" si="968"/>
        <v>0</v>
      </c>
      <c r="W3546" s="1394"/>
    </row>
    <row r="3547" spans="1:26" ht="30" customHeight="1">
      <c r="B3547" s="1407"/>
      <c r="C3547" s="1522" t="s">
        <v>400</v>
      </c>
      <c r="D3547" s="1523">
        <v>2</v>
      </c>
      <c r="E3547" s="1523">
        <v>4</v>
      </c>
      <c r="F3547" s="1524" t="s">
        <v>442</v>
      </c>
      <c r="G3547" s="1524" t="s">
        <v>442</v>
      </c>
      <c r="H3547" s="1533" t="s">
        <v>442</v>
      </c>
      <c r="I3547" s="1406">
        <f t="shared" si="969"/>
        <v>8</v>
      </c>
      <c r="Q3547" s="1394">
        <f>IFERROR(VLOOKUP(M3547,#REF!,3,0),0)</f>
        <v>0</v>
      </c>
      <c r="R3547" s="1394">
        <f t="shared" si="962"/>
        <v>0</v>
      </c>
      <c r="S3547" s="1394">
        <f>IFERROR(VLOOKUP(M3547,#REF!,6,0),0)</f>
        <v>0</v>
      </c>
      <c r="T3547" s="1394">
        <f t="shared" si="967"/>
        <v>0</v>
      </c>
      <c r="U3547" s="1394">
        <f>IFERROR(VLOOKUP(M3547,#REF!,5,0),0)</f>
        <v>0</v>
      </c>
      <c r="V3547" s="1394">
        <f t="shared" si="968"/>
        <v>0</v>
      </c>
      <c r="W3547" s="1394"/>
    </row>
    <row r="3548" spans="1:26" ht="30" customHeight="1">
      <c r="B3548" s="1407"/>
      <c r="C3548" s="1455"/>
      <c r="D3548" s="103"/>
      <c r="E3548" s="103"/>
      <c r="F3548" s="1413"/>
      <c r="G3548" s="1413"/>
      <c r="H3548" s="1414"/>
      <c r="I3548" s="1479">
        <f>SUM(I3540:I3547)</f>
        <v>28</v>
      </c>
      <c r="Q3548" s="1394">
        <f>IFERROR(VLOOKUP(M3548,#REF!,3,0),0)</f>
        <v>0</v>
      </c>
      <c r="R3548" s="1394">
        <f t="shared" si="962"/>
        <v>0</v>
      </c>
      <c r="S3548" s="1394">
        <f>IFERROR(VLOOKUP(M3548,#REF!,6,0),0)</f>
        <v>0</v>
      </c>
      <c r="T3548" s="1394">
        <f t="shared" si="967"/>
        <v>0</v>
      </c>
      <c r="U3548" s="1394">
        <f>IFERROR(VLOOKUP(M3548,#REF!,5,0),0)</f>
        <v>0</v>
      </c>
      <c r="V3548" s="1394">
        <f t="shared" si="968"/>
        <v>0</v>
      </c>
      <c r="W3548" s="1394"/>
    </row>
    <row r="3549" spans="1:26" ht="30" customHeight="1">
      <c r="B3549" s="1407"/>
      <c r="C3549" s="1455"/>
      <c r="D3549" s="103"/>
      <c r="E3549" s="103"/>
      <c r="F3549" s="1413"/>
      <c r="G3549" s="1483" t="s">
        <v>11</v>
      </c>
      <c r="H3549" s="1478">
        <f>I3548</f>
        <v>28</v>
      </c>
      <c r="I3549" s="1479" t="s">
        <v>13</v>
      </c>
      <c r="M3549" s="1394" t="str">
        <f>A3539</f>
        <v>PVC Nahani trap (4way/2way)</v>
      </c>
      <c r="N3549" s="1394">
        <f>B3539</f>
        <v>60</v>
      </c>
      <c r="O3549" s="1394">
        <f>H3549</f>
        <v>28</v>
      </c>
      <c r="P3549" s="1394" t="str">
        <f>I3549</f>
        <v>Nos</v>
      </c>
      <c r="Q3549" s="1394">
        <f>IFERROR(VLOOKUP(M3549,#REF!,3,0),0)</f>
        <v>0</v>
      </c>
      <c r="R3549" s="1394">
        <f t="shared" si="962"/>
        <v>0</v>
      </c>
      <c r="S3549" s="1394">
        <f>IFERROR(VLOOKUP(M3549,#REF!,6,0),0)</f>
        <v>0</v>
      </c>
      <c r="T3549" s="1394">
        <f t="shared" si="967"/>
        <v>0</v>
      </c>
      <c r="U3549" s="1394">
        <f>IFERROR(VLOOKUP(M3549,#REF!,5,0),0)</f>
        <v>0</v>
      </c>
      <c r="V3549" s="1394">
        <f t="shared" si="968"/>
        <v>28</v>
      </c>
      <c r="W3549" s="1394"/>
      <c r="Z3549" s="1394"/>
    </row>
    <row r="3550" spans="1:26" ht="99" customHeight="1">
      <c r="A3550" s="110" t="s">
        <v>471</v>
      </c>
      <c r="B3550" s="1535"/>
      <c r="C3550" s="1678" t="e">
        <f>VLOOKUP(A3550,#REF!,2,0)</f>
        <v>#REF!</v>
      </c>
      <c r="D3550" s="1678"/>
      <c r="E3550" s="1678"/>
      <c r="F3550" s="1678"/>
      <c r="G3550" s="1678"/>
      <c r="H3550" s="1678"/>
      <c r="I3550" s="1406"/>
      <c r="Q3550" s="1394">
        <f>IFERROR(VLOOKUP(M3550,#REF!,3,0),0)</f>
        <v>0</v>
      </c>
      <c r="R3550" s="1394">
        <f t="shared" si="962"/>
        <v>0</v>
      </c>
      <c r="S3550" s="1394">
        <f>IFERROR(VLOOKUP(M3550,#REF!,6,0),0)</f>
        <v>0</v>
      </c>
      <c r="T3550" s="1394">
        <f t="shared" si="967"/>
        <v>0</v>
      </c>
      <c r="U3550" s="1394">
        <f>IFERROR(VLOOKUP(M3550,#REF!,5,0),0)</f>
        <v>0</v>
      </c>
      <c r="V3550" s="1394">
        <f t="shared" si="968"/>
        <v>0</v>
      </c>
      <c r="W3550" s="1394"/>
      <c r="X3550" s="1397"/>
    </row>
    <row r="3551" spans="1:26" ht="30" customHeight="1">
      <c r="A3551" s="110" t="s">
        <v>472</v>
      </c>
      <c r="B3551" s="1407"/>
      <c r="C3551" s="1678" t="e">
        <f>VLOOKUP(A3551,#REF!,2,0)</f>
        <v>#REF!</v>
      </c>
      <c r="D3551" s="1678"/>
      <c r="E3551" s="1678"/>
      <c r="F3551" s="1678"/>
      <c r="G3551" s="1678"/>
      <c r="H3551" s="1678"/>
      <c r="I3551" s="1406"/>
      <c r="Q3551" s="1394">
        <f>IFERROR(VLOOKUP(M3551,#REF!,3,0),0)</f>
        <v>0</v>
      </c>
      <c r="R3551" s="1394">
        <f t="shared" si="962"/>
        <v>0</v>
      </c>
      <c r="S3551" s="1394">
        <f>IFERROR(VLOOKUP(M3551,#REF!,6,0),0)</f>
        <v>0</v>
      </c>
      <c r="T3551" s="1394">
        <f t="shared" si="967"/>
        <v>0</v>
      </c>
      <c r="U3551" s="1394">
        <f>IFERROR(VLOOKUP(M3551,#REF!,5,0),0)</f>
        <v>0</v>
      </c>
      <c r="V3551" s="1394">
        <f t="shared" si="968"/>
        <v>0</v>
      </c>
      <c r="W3551" s="1394"/>
      <c r="X3551" s="1397"/>
    </row>
    <row r="3552" spans="1:26" ht="30" customHeight="1">
      <c r="B3552" s="1407"/>
      <c r="C3552" s="1531" t="s">
        <v>473</v>
      </c>
      <c r="D3552" s="1526">
        <v>1</v>
      </c>
      <c r="E3552" s="1526">
        <v>1</v>
      </c>
      <c r="F3552" s="1527">
        <v>40</v>
      </c>
      <c r="G3552" s="1413"/>
      <c r="H3552" s="1414"/>
      <c r="I3552" s="1406">
        <f>PRODUCT(D3552:H3552)</f>
        <v>40</v>
      </c>
      <c r="J3552" s="110">
        <f>19.27+7</f>
        <v>26.27</v>
      </c>
      <c r="Q3552" s="1394">
        <f>IFERROR(VLOOKUP(M3552,#REF!,3,0),0)</f>
        <v>0</v>
      </c>
      <c r="R3552" s="1394">
        <f t="shared" si="962"/>
        <v>0</v>
      </c>
      <c r="S3552" s="1394">
        <f>IFERROR(VLOOKUP(M3552,#REF!,6,0),0)</f>
        <v>0</v>
      </c>
      <c r="T3552" s="1394">
        <f t="shared" si="967"/>
        <v>0</v>
      </c>
      <c r="U3552" s="1394">
        <f>IFERROR(VLOOKUP(M3552,#REF!,5,0),0)</f>
        <v>0</v>
      </c>
      <c r="V3552" s="1394">
        <f t="shared" si="968"/>
        <v>0</v>
      </c>
      <c r="W3552" s="1394"/>
    </row>
    <row r="3553" spans="1:26" ht="30" customHeight="1">
      <c r="B3553" s="1407"/>
      <c r="C3553" s="1455"/>
      <c r="D3553" s="103"/>
      <c r="E3553" s="103"/>
      <c r="F3553" s="1413"/>
      <c r="G3553" s="1413"/>
      <c r="H3553" s="1414"/>
      <c r="I3553" s="1479">
        <f>SUM(I3552:I3552)</f>
        <v>40</v>
      </c>
      <c r="Q3553" s="1394">
        <f>IFERROR(VLOOKUP(M3553,#REF!,3,0),0)</f>
        <v>0</v>
      </c>
      <c r="R3553" s="1394">
        <f t="shared" si="962"/>
        <v>0</v>
      </c>
      <c r="S3553" s="1394">
        <f>IFERROR(VLOOKUP(M3553,#REF!,6,0),0)</f>
        <v>0</v>
      </c>
      <c r="T3553" s="1394">
        <f t="shared" si="967"/>
        <v>0</v>
      </c>
      <c r="U3553" s="1394">
        <f>IFERROR(VLOOKUP(M3553,#REF!,5,0),0)</f>
        <v>0</v>
      </c>
      <c r="V3553" s="1394">
        <f t="shared" si="968"/>
        <v>0</v>
      </c>
      <c r="W3553" s="1394"/>
    </row>
    <row r="3554" spans="1:26" ht="30" customHeight="1">
      <c r="B3554" s="1407"/>
      <c r="C3554" s="1455"/>
      <c r="D3554" s="103"/>
      <c r="E3554" s="103"/>
      <c r="F3554" s="1413"/>
      <c r="G3554" s="1483" t="s">
        <v>11</v>
      </c>
      <c r="H3554" s="1478">
        <f>I3553</f>
        <v>40</v>
      </c>
      <c r="I3554" s="1479" t="s">
        <v>12</v>
      </c>
      <c r="M3554" s="1394" t="str">
        <f>A3551</f>
        <v>a. 110 mm UPVC Non Pressure  pipe</v>
      </c>
      <c r="N3554" s="1394">
        <f>B3550</f>
        <v>0</v>
      </c>
      <c r="O3554" s="1394">
        <f>H3554</f>
        <v>40</v>
      </c>
      <c r="P3554" s="1394" t="str">
        <f>I3554</f>
        <v>Rmt</v>
      </c>
      <c r="Q3554" s="1394">
        <f>IFERROR(VLOOKUP(M3554,#REF!,3,0),0)</f>
        <v>0</v>
      </c>
      <c r="R3554" s="1394">
        <f t="shared" si="962"/>
        <v>0</v>
      </c>
      <c r="S3554" s="1394">
        <f>IFERROR(VLOOKUP(M3554,#REF!,6,0),0)</f>
        <v>0</v>
      </c>
      <c r="T3554" s="1394">
        <f t="shared" si="967"/>
        <v>0</v>
      </c>
      <c r="U3554" s="1394">
        <f>IFERROR(VLOOKUP(M3554,#REF!,5,0),0)</f>
        <v>0</v>
      </c>
      <c r="V3554" s="1394">
        <f t="shared" si="968"/>
        <v>40</v>
      </c>
      <c r="W3554" s="1394"/>
      <c r="Z3554" s="1394"/>
    </row>
    <row r="3555" spans="1:26" ht="30" customHeight="1">
      <c r="A3555" s="110" t="s">
        <v>474</v>
      </c>
      <c r="B3555" s="1407"/>
      <c r="C3555" s="1678" t="e">
        <f>VLOOKUP(A3555,#REF!,2,0)</f>
        <v>#REF!</v>
      </c>
      <c r="D3555" s="1678"/>
      <c r="E3555" s="1678"/>
      <c r="F3555" s="1678"/>
      <c r="G3555" s="1678"/>
      <c r="H3555" s="1678"/>
      <c r="I3555" s="1479"/>
      <c r="N3555" s="1399"/>
      <c r="Q3555" s="1394">
        <f>IFERROR(VLOOKUP(M3555,#REF!,3,0),0)</f>
        <v>0</v>
      </c>
      <c r="R3555" s="1394">
        <f t="shared" si="962"/>
        <v>0</v>
      </c>
      <c r="S3555" s="1394">
        <f>IFERROR(VLOOKUP(M3555,#REF!,6,0),0)</f>
        <v>0</v>
      </c>
      <c r="T3555" s="1394">
        <f t="shared" si="967"/>
        <v>0</v>
      </c>
      <c r="U3555" s="1394">
        <f>IFERROR(VLOOKUP(M3555,#REF!,5,0),0)</f>
        <v>0</v>
      </c>
      <c r="V3555" s="1394">
        <f t="shared" si="968"/>
        <v>0</v>
      </c>
      <c r="W3555" s="1394"/>
      <c r="X3555" s="1397"/>
    </row>
    <row r="3556" spans="1:26" ht="30" customHeight="1">
      <c r="B3556" s="1407"/>
      <c r="C3556" s="1531" t="s">
        <v>473</v>
      </c>
      <c r="D3556" s="1526">
        <v>1</v>
      </c>
      <c r="E3556" s="1526">
        <v>1</v>
      </c>
      <c r="F3556" s="1527">
        <v>20</v>
      </c>
      <c r="G3556" s="1413"/>
      <c r="H3556" s="1414"/>
      <c r="I3556" s="1406">
        <f>PRODUCT(D3556:H3556)</f>
        <v>20</v>
      </c>
      <c r="N3556" s="1399"/>
      <c r="Q3556" s="1394">
        <f>IFERROR(VLOOKUP(M3556,#REF!,3,0),0)</f>
        <v>0</v>
      </c>
      <c r="R3556" s="1394">
        <f t="shared" si="962"/>
        <v>0</v>
      </c>
      <c r="S3556" s="1394">
        <f>IFERROR(VLOOKUP(M3556,#REF!,6,0),0)</f>
        <v>0</v>
      </c>
      <c r="T3556" s="1394">
        <f t="shared" si="967"/>
        <v>0</v>
      </c>
      <c r="U3556" s="1394">
        <f>IFERROR(VLOOKUP(M3556,#REF!,5,0),0)</f>
        <v>0</v>
      </c>
      <c r="V3556" s="1394">
        <f t="shared" si="968"/>
        <v>0</v>
      </c>
      <c r="W3556" s="1394"/>
    </row>
    <row r="3557" spans="1:26" ht="30" customHeight="1">
      <c r="B3557" s="1407"/>
      <c r="C3557" s="1412"/>
      <c r="D3557" s="103"/>
      <c r="E3557" s="103"/>
      <c r="F3557" s="1413"/>
      <c r="G3557" s="1483" t="s">
        <v>11</v>
      </c>
      <c r="H3557" s="1478">
        <f>+I3556</f>
        <v>20</v>
      </c>
      <c r="I3557" s="1479" t="s">
        <v>12</v>
      </c>
      <c r="M3557" s="1394" t="str">
        <f>A3555</f>
        <v>b. 160 mm UPVC Non Pressure  pipe</v>
      </c>
      <c r="N3557" s="1394">
        <f>B3555</f>
        <v>0</v>
      </c>
      <c r="O3557" s="1394">
        <f>H3557</f>
        <v>20</v>
      </c>
      <c r="P3557" s="1394" t="str">
        <f>I3557</f>
        <v>Rmt</v>
      </c>
      <c r="Q3557" s="1394">
        <f>IFERROR(VLOOKUP(M3557,#REF!,3,0),0)</f>
        <v>0</v>
      </c>
      <c r="R3557" s="1394">
        <f t="shared" si="962"/>
        <v>0</v>
      </c>
      <c r="S3557" s="1394">
        <f>IFERROR(VLOOKUP(M3557,#REF!,6,0),0)</f>
        <v>0</v>
      </c>
      <c r="T3557" s="1394">
        <f t="shared" si="967"/>
        <v>0</v>
      </c>
      <c r="U3557" s="1394">
        <f>IFERROR(VLOOKUP(M3557,#REF!,5,0),0)</f>
        <v>0</v>
      </c>
      <c r="V3557" s="1394">
        <f t="shared" si="968"/>
        <v>20</v>
      </c>
      <c r="W3557" s="1394"/>
      <c r="Z3557" s="1394"/>
    </row>
    <row r="3558" spans="1:26" ht="63" customHeight="1">
      <c r="A3558" s="110" t="s">
        <v>1312</v>
      </c>
      <c r="B3558" s="1535"/>
      <c r="C3558" s="1678" t="e">
        <f>VLOOKUP(A3558,#REF!,2,0)</f>
        <v>#REF!</v>
      </c>
      <c r="D3558" s="1678"/>
      <c r="E3558" s="1678"/>
      <c r="F3558" s="1678"/>
      <c r="G3558" s="1678"/>
      <c r="H3558" s="1678"/>
      <c r="I3558" s="1406"/>
      <c r="Q3558" s="1394">
        <f>IFERROR(VLOOKUP(M3558,#REF!,3,0),0)</f>
        <v>0</v>
      </c>
      <c r="R3558" s="1394">
        <f t="shared" si="962"/>
        <v>0</v>
      </c>
      <c r="S3558" s="1394">
        <f>IFERROR(VLOOKUP(M3558,#REF!,6,0),0)</f>
        <v>0</v>
      </c>
      <c r="T3558" s="1394">
        <f t="shared" si="967"/>
        <v>0</v>
      </c>
      <c r="U3558" s="1394">
        <f>IFERROR(VLOOKUP(M3558,#REF!,5,0),0)</f>
        <v>0</v>
      </c>
      <c r="V3558" s="1394">
        <f t="shared" si="968"/>
        <v>0</v>
      </c>
      <c r="W3558" s="1394"/>
      <c r="X3558" s="1397"/>
    </row>
    <row r="3559" spans="1:26" ht="30" customHeight="1">
      <c r="A3559" s="110" t="s">
        <v>1314</v>
      </c>
      <c r="B3559" s="1407"/>
      <c r="C3559" s="1678" t="e">
        <f>VLOOKUP(A3559,#REF!,2,0)</f>
        <v>#REF!</v>
      </c>
      <c r="D3559" s="1678"/>
      <c r="E3559" s="1678"/>
      <c r="F3559" s="1678"/>
      <c r="G3559" s="1678"/>
      <c r="H3559" s="1678"/>
      <c r="I3559" s="1406"/>
      <c r="Q3559" s="1394">
        <f>IFERROR(VLOOKUP(M3559,#REF!,3,0),0)</f>
        <v>0</v>
      </c>
      <c r="R3559" s="1394">
        <f t="shared" si="962"/>
        <v>0</v>
      </c>
      <c r="S3559" s="1394">
        <f>IFERROR(VLOOKUP(M3559,#REF!,6,0),0)</f>
        <v>0</v>
      </c>
      <c r="T3559" s="1394">
        <f t="shared" si="967"/>
        <v>0</v>
      </c>
      <c r="U3559" s="1394">
        <f>IFERROR(VLOOKUP(M3559,#REF!,5,0),0)</f>
        <v>0</v>
      </c>
      <c r="V3559" s="1394">
        <f t="shared" si="968"/>
        <v>0</v>
      </c>
      <c r="W3559" s="1394"/>
      <c r="X3559" s="1397"/>
    </row>
    <row r="3560" spans="1:26" ht="30" customHeight="1">
      <c r="B3560" s="1407"/>
      <c r="C3560" s="1531" t="s">
        <v>473</v>
      </c>
      <c r="D3560" s="1526">
        <v>1</v>
      </c>
      <c r="E3560" s="1526">
        <v>2</v>
      </c>
      <c r="F3560" s="1527"/>
      <c r="G3560" s="1413"/>
      <c r="H3560" s="1414"/>
      <c r="I3560" s="1406">
        <f>PRODUCT(D3560:H3560)</f>
        <v>2</v>
      </c>
      <c r="J3560" s="110">
        <f>19.27+7</f>
        <v>26.27</v>
      </c>
      <c r="Q3560" s="1394">
        <f>IFERROR(VLOOKUP(M3560,#REF!,3,0),0)</f>
        <v>0</v>
      </c>
      <c r="R3560" s="1394">
        <f t="shared" si="962"/>
        <v>0</v>
      </c>
      <c r="S3560" s="1394">
        <f>IFERROR(VLOOKUP(M3560,#REF!,6,0),0)</f>
        <v>0</v>
      </c>
      <c r="T3560" s="1394">
        <f t="shared" si="967"/>
        <v>0</v>
      </c>
      <c r="U3560" s="1394">
        <f>IFERROR(VLOOKUP(M3560,#REF!,5,0),0)</f>
        <v>0</v>
      </c>
      <c r="V3560" s="1394">
        <f t="shared" si="968"/>
        <v>0</v>
      </c>
      <c r="W3560" s="1394"/>
    </row>
    <row r="3561" spans="1:26" ht="30" customHeight="1">
      <c r="B3561" s="1407"/>
      <c r="C3561" s="1455"/>
      <c r="D3561" s="103"/>
      <c r="E3561" s="103"/>
      <c r="F3561" s="1413"/>
      <c r="G3561" s="1413"/>
      <c r="H3561" s="1414"/>
      <c r="I3561" s="1479">
        <f>SUM(I3560:I3560)</f>
        <v>2</v>
      </c>
      <c r="Q3561" s="1394">
        <f>IFERROR(VLOOKUP(M3561,#REF!,3,0),0)</f>
        <v>0</v>
      </c>
      <c r="R3561" s="1394">
        <f t="shared" si="962"/>
        <v>0</v>
      </c>
      <c r="S3561" s="1394">
        <f>IFERROR(VLOOKUP(M3561,#REF!,6,0),0)</f>
        <v>0</v>
      </c>
      <c r="T3561" s="1394">
        <f t="shared" si="967"/>
        <v>0</v>
      </c>
      <c r="U3561" s="1394">
        <f>IFERROR(VLOOKUP(M3561,#REF!,5,0),0)</f>
        <v>0</v>
      </c>
      <c r="V3561" s="1394">
        <f t="shared" si="968"/>
        <v>0</v>
      </c>
      <c r="W3561" s="1394"/>
    </row>
    <row r="3562" spans="1:26" ht="30" customHeight="1">
      <c r="B3562" s="1407"/>
      <c r="C3562" s="1455"/>
      <c r="D3562" s="103"/>
      <c r="E3562" s="103"/>
      <c r="F3562" s="1413"/>
      <c r="G3562" s="1483" t="s">
        <v>11</v>
      </c>
      <c r="H3562" s="1478">
        <f>I3561</f>
        <v>2</v>
      </c>
      <c r="I3562" s="1479" t="s">
        <v>13</v>
      </c>
      <c r="M3562" s="1394" t="str">
        <f>A3559</f>
        <v>a. 110 mm dia PVC bend (TWAD SR 20-21  P-22 S.No-4 )</v>
      </c>
      <c r="N3562" s="1394">
        <f>B3558</f>
        <v>0</v>
      </c>
      <c r="O3562" s="1394">
        <f>H3562</f>
        <v>2</v>
      </c>
      <c r="P3562" s="1394" t="str">
        <f>I3562</f>
        <v>Nos</v>
      </c>
      <c r="Q3562" s="1394">
        <f>IFERROR(VLOOKUP(M3562,#REF!,3,0),0)</f>
        <v>0</v>
      </c>
      <c r="R3562" s="1394">
        <f t="shared" si="962"/>
        <v>0</v>
      </c>
      <c r="S3562" s="1394">
        <f>IFERROR(VLOOKUP(M3562,#REF!,6,0),0)</f>
        <v>0</v>
      </c>
      <c r="T3562" s="1394">
        <f t="shared" si="967"/>
        <v>0</v>
      </c>
      <c r="U3562" s="1394">
        <f>IFERROR(VLOOKUP(M3562,#REF!,5,0),0)</f>
        <v>0</v>
      </c>
      <c r="V3562" s="1394">
        <f t="shared" si="968"/>
        <v>2</v>
      </c>
      <c r="W3562" s="1394"/>
      <c r="Z3562" s="1394"/>
    </row>
    <row r="3563" spans="1:26" ht="30" customHeight="1">
      <c r="A3563" s="110" t="s">
        <v>1316</v>
      </c>
      <c r="B3563" s="1407"/>
      <c r="C3563" s="1678" t="e">
        <f>VLOOKUP(A3563,#REF!,2,0)</f>
        <v>#REF!</v>
      </c>
      <c r="D3563" s="1678"/>
      <c r="E3563" s="1678"/>
      <c r="F3563" s="1678"/>
      <c r="G3563" s="1678"/>
      <c r="H3563" s="1678"/>
      <c r="I3563" s="1479"/>
      <c r="N3563" s="1399"/>
      <c r="Q3563" s="1394">
        <f>IFERROR(VLOOKUP(M3563,#REF!,3,0),0)</f>
        <v>0</v>
      </c>
      <c r="R3563" s="1394">
        <f t="shared" si="962"/>
        <v>0</v>
      </c>
      <c r="S3563" s="1394">
        <f>IFERROR(VLOOKUP(M3563,#REF!,6,0),0)</f>
        <v>0</v>
      </c>
      <c r="T3563" s="1394">
        <f t="shared" si="967"/>
        <v>0</v>
      </c>
      <c r="U3563" s="1394">
        <f>IFERROR(VLOOKUP(M3563,#REF!,5,0),0)</f>
        <v>0</v>
      </c>
      <c r="V3563" s="1394">
        <f t="shared" si="968"/>
        <v>0</v>
      </c>
      <c r="W3563" s="1394"/>
      <c r="X3563" s="1397"/>
    </row>
    <row r="3564" spans="1:26" ht="30" customHeight="1">
      <c r="B3564" s="1407"/>
      <c r="C3564" s="1531" t="s">
        <v>473</v>
      </c>
      <c r="D3564" s="1526">
        <v>1</v>
      </c>
      <c r="E3564" s="1526">
        <v>2</v>
      </c>
      <c r="F3564" s="1527"/>
      <c r="G3564" s="1413"/>
      <c r="H3564" s="1414"/>
      <c r="I3564" s="1406">
        <f>PRODUCT(D3564:H3564)</f>
        <v>2</v>
      </c>
      <c r="N3564" s="1399"/>
      <c r="Q3564" s="1394">
        <f>IFERROR(VLOOKUP(M3564,#REF!,3,0),0)</f>
        <v>0</v>
      </c>
      <c r="R3564" s="1394">
        <f t="shared" si="962"/>
        <v>0</v>
      </c>
      <c r="S3564" s="1394">
        <f>IFERROR(VLOOKUP(M3564,#REF!,6,0),0)</f>
        <v>0</v>
      </c>
      <c r="T3564" s="1394">
        <f t="shared" si="967"/>
        <v>0</v>
      </c>
      <c r="U3564" s="1394">
        <f>IFERROR(VLOOKUP(M3564,#REF!,5,0),0)</f>
        <v>0</v>
      </c>
      <c r="V3564" s="1394">
        <f t="shared" si="968"/>
        <v>0</v>
      </c>
      <c r="W3564" s="1394"/>
    </row>
    <row r="3565" spans="1:26" ht="30" customHeight="1">
      <c r="B3565" s="1407"/>
      <c r="C3565" s="1412"/>
      <c r="D3565" s="103"/>
      <c r="E3565" s="103"/>
      <c r="F3565" s="1413"/>
      <c r="G3565" s="1483" t="s">
        <v>11</v>
      </c>
      <c r="H3565" s="1478">
        <f>+I3564</f>
        <v>2</v>
      </c>
      <c r="I3565" s="1479" t="s">
        <v>13</v>
      </c>
      <c r="M3565" s="1394" t="str">
        <f>A3563</f>
        <v>b. 160 mm dia PVC bend (TWAD SR 20-21  P-22 S.No-4 )</v>
      </c>
      <c r="N3565" s="1394">
        <f>B3563</f>
        <v>0</v>
      </c>
      <c r="O3565" s="1394">
        <f>H3565</f>
        <v>2</v>
      </c>
      <c r="P3565" s="1394" t="str">
        <f>I3565</f>
        <v>Nos</v>
      </c>
      <c r="Q3565" s="1394">
        <f>IFERROR(VLOOKUP(M3565,#REF!,3,0),0)</f>
        <v>0</v>
      </c>
      <c r="R3565" s="1394">
        <f t="shared" si="962"/>
        <v>0</v>
      </c>
      <c r="S3565" s="1394">
        <f>IFERROR(VLOOKUP(M3565,#REF!,6,0),0)</f>
        <v>0</v>
      </c>
      <c r="T3565" s="1394">
        <f t="shared" si="967"/>
        <v>0</v>
      </c>
      <c r="U3565" s="1394">
        <f>IFERROR(VLOOKUP(M3565,#REF!,5,0),0)</f>
        <v>0</v>
      </c>
      <c r="V3565" s="1394">
        <f t="shared" si="968"/>
        <v>2</v>
      </c>
      <c r="W3565" s="1394"/>
      <c r="Z3565" s="1394"/>
    </row>
    <row r="3566" spans="1:26" ht="30" customHeight="1">
      <c r="A3566" s="110" t="s">
        <v>1318</v>
      </c>
      <c r="B3566" s="1535"/>
      <c r="C3566" s="1678" t="e">
        <f>VLOOKUP(A3566,#REF!,2,0)</f>
        <v>#REF!</v>
      </c>
      <c r="D3566" s="1678"/>
      <c r="E3566" s="1678"/>
      <c r="F3566" s="1678"/>
      <c r="G3566" s="1678"/>
      <c r="H3566" s="1678"/>
      <c r="I3566" s="1406"/>
      <c r="Q3566" s="1394">
        <f>IFERROR(VLOOKUP(M3566,#REF!,3,0),0)</f>
        <v>0</v>
      </c>
      <c r="R3566" s="1394">
        <f t="shared" ref="R3566:R3629" si="970">ROUND(O3566,2)*ROUND(Q3566,2)</f>
        <v>0</v>
      </c>
      <c r="S3566" s="1394">
        <f>IFERROR(VLOOKUP(M3566,#REF!,6,0),0)</f>
        <v>0</v>
      </c>
      <c r="T3566" s="1394">
        <f t="shared" si="967"/>
        <v>0</v>
      </c>
      <c r="U3566" s="1394">
        <f>IFERROR(VLOOKUP(M3566,#REF!,5,0),0)</f>
        <v>0</v>
      </c>
      <c r="V3566" s="1394">
        <f t="shared" si="968"/>
        <v>0</v>
      </c>
      <c r="W3566" s="1394"/>
      <c r="X3566" s="1397"/>
    </row>
    <row r="3567" spans="1:26" ht="30" customHeight="1">
      <c r="A3567" s="110" t="s">
        <v>1320</v>
      </c>
      <c r="B3567" s="1407"/>
      <c r="C3567" s="1678" t="e">
        <f>VLOOKUP(A3567,#REF!,2,0)</f>
        <v>#REF!</v>
      </c>
      <c r="D3567" s="1678"/>
      <c r="E3567" s="1678"/>
      <c r="F3567" s="1678"/>
      <c r="G3567" s="1678"/>
      <c r="H3567" s="1678"/>
      <c r="I3567" s="1406"/>
      <c r="Q3567" s="1394">
        <f>IFERROR(VLOOKUP(M3567,#REF!,3,0),0)</f>
        <v>0</v>
      </c>
      <c r="R3567" s="1394">
        <f t="shared" si="970"/>
        <v>0</v>
      </c>
      <c r="S3567" s="1394">
        <f>IFERROR(VLOOKUP(M3567,#REF!,6,0),0)</f>
        <v>0</v>
      </c>
      <c r="T3567" s="1394">
        <f t="shared" si="967"/>
        <v>0</v>
      </c>
      <c r="U3567" s="1394">
        <f>IFERROR(VLOOKUP(M3567,#REF!,5,0),0)</f>
        <v>0</v>
      </c>
      <c r="V3567" s="1394">
        <f t="shared" si="968"/>
        <v>0</v>
      </c>
      <c r="W3567" s="1394"/>
      <c r="X3567" s="1397"/>
    </row>
    <row r="3568" spans="1:26" ht="30" customHeight="1">
      <c r="B3568" s="1407"/>
      <c r="C3568" s="1531" t="s">
        <v>473</v>
      </c>
      <c r="D3568" s="1526">
        <v>1</v>
      </c>
      <c r="E3568" s="1526">
        <v>2</v>
      </c>
      <c r="F3568" s="1527"/>
      <c r="G3568" s="1413"/>
      <c r="H3568" s="1414"/>
      <c r="I3568" s="1406">
        <f>PRODUCT(D3568:H3568)</f>
        <v>2</v>
      </c>
      <c r="J3568" s="110">
        <f>19.27+7</f>
        <v>26.27</v>
      </c>
      <c r="Q3568" s="1394">
        <f>IFERROR(VLOOKUP(M3568,#REF!,3,0),0)</f>
        <v>0</v>
      </c>
      <c r="R3568" s="1394">
        <f t="shared" si="970"/>
        <v>0</v>
      </c>
      <c r="S3568" s="1394">
        <f>IFERROR(VLOOKUP(M3568,#REF!,6,0),0)</f>
        <v>0</v>
      </c>
      <c r="T3568" s="1394">
        <f t="shared" si="967"/>
        <v>0</v>
      </c>
      <c r="U3568" s="1394">
        <f>IFERROR(VLOOKUP(M3568,#REF!,5,0),0)</f>
        <v>0</v>
      </c>
      <c r="V3568" s="1394">
        <f t="shared" si="968"/>
        <v>0</v>
      </c>
      <c r="W3568" s="1394"/>
    </row>
    <row r="3569" spans="1:26" ht="30" customHeight="1">
      <c r="B3569" s="1407"/>
      <c r="C3569" s="1455"/>
      <c r="D3569" s="103"/>
      <c r="E3569" s="103"/>
      <c r="F3569" s="1413"/>
      <c r="G3569" s="1413"/>
      <c r="H3569" s="1414"/>
      <c r="I3569" s="1479">
        <f>SUM(I3568:I3568)</f>
        <v>2</v>
      </c>
      <c r="Q3569" s="1394">
        <f>IFERROR(VLOOKUP(M3569,#REF!,3,0),0)</f>
        <v>0</v>
      </c>
      <c r="R3569" s="1394">
        <f t="shared" si="970"/>
        <v>0</v>
      </c>
      <c r="S3569" s="1394">
        <f>IFERROR(VLOOKUP(M3569,#REF!,6,0),0)</f>
        <v>0</v>
      </c>
      <c r="T3569" s="1394">
        <f t="shared" si="967"/>
        <v>0</v>
      </c>
      <c r="U3569" s="1394">
        <f>IFERROR(VLOOKUP(M3569,#REF!,5,0),0)</f>
        <v>0</v>
      </c>
      <c r="V3569" s="1394">
        <f t="shared" si="968"/>
        <v>0</v>
      </c>
      <c r="W3569" s="1394"/>
    </row>
    <row r="3570" spans="1:26" ht="30" customHeight="1">
      <c r="B3570" s="1407"/>
      <c r="C3570" s="1455"/>
      <c r="D3570" s="103"/>
      <c r="E3570" s="103"/>
      <c r="F3570" s="1413"/>
      <c r="G3570" s="1483" t="s">
        <v>11</v>
      </c>
      <c r="H3570" s="1478">
        <f>I3569</f>
        <v>2</v>
      </c>
      <c r="I3570" s="1479" t="s">
        <v>13</v>
      </c>
      <c r="M3570" s="1394" t="str">
        <f>A3567</f>
        <v>a. 110 mm dia PVC Equal tee(TWAD SR 20-21  P-22 S.No-4 )</v>
      </c>
      <c r="N3570" s="1394">
        <f>B3566</f>
        <v>0</v>
      </c>
      <c r="O3570" s="1394">
        <f>H3570</f>
        <v>2</v>
      </c>
      <c r="P3570" s="1394" t="str">
        <f>I3570</f>
        <v>Nos</v>
      </c>
      <c r="Q3570" s="1394">
        <f>IFERROR(VLOOKUP(M3570,#REF!,3,0),0)</f>
        <v>0</v>
      </c>
      <c r="R3570" s="1394">
        <f t="shared" si="970"/>
        <v>0</v>
      </c>
      <c r="S3570" s="1394">
        <f>IFERROR(VLOOKUP(M3570,#REF!,6,0),0)</f>
        <v>0</v>
      </c>
      <c r="T3570" s="1394">
        <f t="shared" si="967"/>
        <v>0</v>
      </c>
      <c r="U3570" s="1394">
        <f>IFERROR(VLOOKUP(M3570,#REF!,5,0),0)</f>
        <v>0</v>
      </c>
      <c r="V3570" s="1394">
        <f t="shared" si="968"/>
        <v>2</v>
      </c>
      <c r="W3570" s="1394"/>
      <c r="Z3570" s="1394"/>
    </row>
    <row r="3571" spans="1:26" ht="30" customHeight="1">
      <c r="A3571" s="110" t="s">
        <v>1322</v>
      </c>
      <c r="B3571" s="1407"/>
      <c r="C3571" s="1678" t="e">
        <f>VLOOKUP(A3571,#REF!,2,0)</f>
        <v>#REF!</v>
      </c>
      <c r="D3571" s="1678"/>
      <c r="E3571" s="1678"/>
      <c r="F3571" s="1678"/>
      <c r="G3571" s="1678"/>
      <c r="H3571" s="1678"/>
      <c r="I3571" s="1479"/>
      <c r="N3571" s="1399"/>
      <c r="Q3571" s="1394">
        <f>IFERROR(VLOOKUP(M3571,#REF!,3,0),0)</f>
        <v>0</v>
      </c>
      <c r="R3571" s="1394">
        <f t="shared" si="970"/>
        <v>0</v>
      </c>
      <c r="S3571" s="1394">
        <f>IFERROR(VLOOKUP(M3571,#REF!,6,0),0)</f>
        <v>0</v>
      </c>
      <c r="T3571" s="1394">
        <f t="shared" si="967"/>
        <v>0</v>
      </c>
      <c r="U3571" s="1394">
        <f>IFERROR(VLOOKUP(M3571,#REF!,5,0),0)</f>
        <v>0</v>
      </c>
      <c r="V3571" s="1394">
        <f t="shared" si="968"/>
        <v>0</v>
      </c>
      <c r="W3571" s="1394"/>
      <c r="X3571" s="1397"/>
    </row>
    <row r="3572" spans="1:26" ht="30" customHeight="1">
      <c r="B3572" s="1407"/>
      <c r="C3572" s="1531" t="s">
        <v>473</v>
      </c>
      <c r="D3572" s="1526">
        <v>1</v>
      </c>
      <c r="E3572" s="1526">
        <v>2</v>
      </c>
      <c r="F3572" s="1527"/>
      <c r="G3572" s="1413"/>
      <c r="H3572" s="1414"/>
      <c r="I3572" s="1406">
        <f>PRODUCT(D3572:H3572)</f>
        <v>2</v>
      </c>
      <c r="N3572" s="1399"/>
      <c r="Q3572" s="1394">
        <f>IFERROR(VLOOKUP(M3572,#REF!,3,0),0)</f>
        <v>0</v>
      </c>
      <c r="R3572" s="1394">
        <f t="shared" si="970"/>
        <v>0</v>
      </c>
      <c r="S3572" s="1394">
        <f>IFERROR(VLOOKUP(M3572,#REF!,6,0),0)</f>
        <v>0</v>
      </c>
      <c r="T3572" s="1394">
        <f t="shared" si="967"/>
        <v>0</v>
      </c>
      <c r="U3572" s="1394">
        <f>IFERROR(VLOOKUP(M3572,#REF!,5,0),0)</f>
        <v>0</v>
      </c>
      <c r="V3572" s="1394">
        <f t="shared" si="968"/>
        <v>0</v>
      </c>
      <c r="W3572" s="1394"/>
    </row>
    <row r="3573" spans="1:26" ht="30" customHeight="1">
      <c r="B3573" s="1407"/>
      <c r="C3573" s="1412"/>
      <c r="D3573" s="103"/>
      <c r="E3573" s="103"/>
      <c r="F3573" s="1413"/>
      <c r="G3573" s="1483" t="s">
        <v>11</v>
      </c>
      <c r="H3573" s="1478">
        <f>+I3572</f>
        <v>2</v>
      </c>
      <c r="I3573" s="1479" t="s">
        <v>13</v>
      </c>
      <c r="M3573" s="1394" t="str">
        <f>A3571</f>
        <v>b. 160 mm dia PVC Equal tee(TWAD SR 20-21  P-22 S.No-4 )</v>
      </c>
      <c r="N3573" s="1394">
        <f>B3571</f>
        <v>0</v>
      </c>
      <c r="O3573" s="1394">
        <f>H3573</f>
        <v>2</v>
      </c>
      <c r="P3573" s="1394" t="str">
        <f>I3573</f>
        <v>Nos</v>
      </c>
      <c r="Q3573" s="1394">
        <f>IFERROR(VLOOKUP(M3573,#REF!,3,0),0)</f>
        <v>0</v>
      </c>
      <c r="R3573" s="1394">
        <f t="shared" si="970"/>
        <v>0</v>
      </c>
      <c r="S3573" s="1394">
        <f>IFERROR(VLOOKUP(M3573,#REF!,6,0),0)</f>
        <v>0</v>
      </c>
      <c r="T3573" s="1394">
        <f t="shared" si="967"/>
        <v>0</v>
      </c>
      <c r="U3573" s="1394">
        <f>IFERROR(VLOOKUP(M3573,#REF!,5,0),0)</f>
        <v>0</v>
      </c>
      <c r="V3573" s="1394">
        <f t="shared" si="968"/>
        <v>2</v>
      </c>
      <c r="W3573" s="1394"/>
      <c r="Z3573" s="1394"/>
    </row>
    <row r="3574" spans="1:26" ht="30" customHeight="1">
      <c r="B3574" s="1407"/>
      <c r="C3574" s="1536" t="s">
        <v>160</v>
      </c>
      <c r="D3574" s="103"/>
      <c r="E3574" s="103"/>
      <c r="F3574" s="1413"/>
      <c r="G3574" s="1413"/>
      <c r="H3574" s="1414"/>
      <c r="I3574" s="1406"/>
      <c r="Q3574" s="1394">
        <f>IFERROR(VLOOKUP(M3574,#REF!,3,0),0)</f>
        <v>0</v>
      </c>
      <c r="R3574" s="1394">
        <f t="shared" si="970"/>
        <v>0</v>
      </c>
      <c r="S3574" s="1394">
        <f>IFERROR(VLOOKUP(M3574,#REF!,6,0),0)</f>
        <v>0</v>
      </c>
      <c r="T3574" s="1394">
        <f t="shared" si="967"/>
        <v>0</v>
      </c>
      <c r="U3574" s="1394">
        <f>IFERROR(VLOOKUP(M3574,#REF!,5,0),0)</f>
        <v>0</v>
      </c>
      <c r="V3574" s="1394">
        <f t="shared" si="968"/>
        <v>0</v>
      </c>
      <c r="W3574" s="1394"/>
    </row>
    <row r="3575" spans="1:26" ht="117.75" customHeight="1">
      <c r="A3575" s="110" t="s">
        <v>475</v>
      </c>
      <c r="B3575" s="1535">
        <v>64.099999999999994</v>
      </c>
      <c r="C3575" s="1678" t="e">
        <f>VLOOKUP(A3575,#REF!,2,0)</f>
        <v>#REF!</v>
      </c>
      <c r="D3575" s="1678"/>
      <c r="E3575" s="1678"/>
      <c r="F3575" s="1678"/>
      <c r="G3575" s="1678"/>
      <c r="H3575" s="1678"/>
      <c r="I3575" s="1406"/>
      <c r="Q3575" s="1394">
        <f>IFERROR(VLOOKUP(M3575,#REF!,3,0),0)</f>
        <v>0</v>
      </c>
      <c r="R3575" s="1394">
        <f t="shared" si="970"/>
        <v>0</v>
      </c>
      <c r="S3575" s="1394">
        <f>IFERROR(VLOOKUP(M3575,#REF!,6,0),0)</f>
        <v>0</v>
      </c>
      <c r="T3575" s="1394">
        <f t="shared" si="967"/>
        <v>0</v>
      </c>
      <c r="U3575" s="1394">
        <f>IFERROR(VLOOKUP(M3575,#REF!,5,0),0)</f>
        <v>0</v>
      </c>
      <c r="V3575" s="1394">
        <f t="shared" si="968"/>
        <v>0</v>
      </c>
      <c r="W3575" s="1394"/>
      <c r="X3575" s="1397"/>
    </row>
    <row r="3576" spans="1:26" ht="30" customHeight="1">
      <c r="A3576" s="110" t="s">
        <v>476</v>
      </c>
      <c r="B3576" s="1535"/>
      <c r="C3576" s="1678" t="e">
        <f>VLOOKUP(A3576,#REF!,2,0)</f>
        <v>#REF!</v>
      </c>
      <c r="D3576" s="1678"/>
      <c r="E3576" s="1678"/>
      <c r="F3576" s="1678"/>
      <c r="G3576" s="1678"/>
      <c r="H3576" s="1678"/>
      <c r="I3576" s="1406"/>
      <c r="Q3576" s="1394">
        <f>IFERROR(VLOOKUP(M3576,#REF!,3,0),0)</f>
        <v>0</v>
      </c>
      <c r="R3576" s="1394">
        <f t="shared" si="970"/>
        <v>0</v>
      </c>
      <c r="S3576" s="1394">
        <f>IFERROR(VLOOKUP(M3576,#REF!,6,0),0)</f>
        <v>0</v>
      </c>
      <c r="T3576" s="1394">
        <f t="shared" si="967"/>
        <v>0</v>
      </c>
      <c r="U3576" s="1394">
        <f>IFERROR(VLOOKUP(M3576,#REF!,5,0),0)</f>
        <v>0</v>
      </c>
      <c r="V3576" s="1394">
        <f t="shared" si="968"/>
        <v>0</v>
      </c>
      <c r="W3576" s="1394"/>
      <c r="X3576" s="1397"/>
    </row>
    <row r="3577" spans="1:26" ht="30" customHeight="1">
      <c r="B3577" s="1407"/>
      <c r="C3577" s="1455" t="s">
        <v>477</v>
      </c>
      <c r="D3577" s="103"/>
      <c r="E3577" s="103"/>
      <c r="F3577" s="1413"/>
      <c r="G3577" s="1413"/>
      <c r="H3577" s="1414"/>
      <c r="I3577" s="1406">
        <f>PRODUCT(D3577:H3577)</f>
        <v>0</v>
      </c>
      <c r="Q3577" s="1394">
        <f>IFERROR(VLOOKUP(M3577,#REF!,3,0),0)</f>
        <v>0</v>
      </c>
      <c r="R3577" s="1394">
        <f t="shared" si="970"/>
        <v>0</v>
      </c>
      <c r="S3577" s="1394">
        <f>IFERROR(VLOOKUP(M3577,#REF!,6,0),0)</f>
        <v>0</v>
      </c>
      <c r="T3577" s="1394">
        <f t="shared" si="967"/>
        <v>0</v>
      </c>
      <c r="U3577" s="1394">
        <f>IFERROR(VLOOKUP(M3577,#REF!,5,0),0)</f>
        <v>0</v>
      </c>
      <c r="V3577" s="1394">
        <f t="shared" si="968"/>
        <v>0</v>
      </c>
      <c r="W3577" s="1394"/>
    </row>
    <row r="3578" spans="1:26" ht="30" customHeight="1">
      <c r="B3578" s="1407"/>
      <c r="C3578" s="1412" t="s">
        <v>478</v>
      </c>
      <c r="D3578" s="103"/>
      <c r="E3578" s="103"/>
      <c r="F3578" s="1413"/>
      <c r="G3578" s="1413"/>
      <c r="H3578" s="1414"/>
      <c r="I3578" s="1406">
        <f>H3867</f>
        <v>90</v>
      </c>
      <c r="Q3578" s="1394">
        <f>IFERROR(VLOOKUP(M3578,#REF!,3,0),0)</f>
        <v>0</v>
      </c>
      <c r="R3578" s="1394">
        <f t="shared" si="970"/>
        <v>0</v>
      </c>
      <c r="S3578" s="1394">
        <f>IFERROR(VLOOKUP(M3578,#REF!,6,0),0)</f>
        <v>0</v>
      </c>
      <c r="T3578" s="1394">
        <f t="shared" si="967"/>
        <v>0</v>
      </c>
      <c r="U3578" s="1394">
        <f>IFERROR(VLOOKUP(M3578,#REF!,5,0),0)</f>
        <v>0</v>
      </c>
      <c r="V3578" s="1394">
        <f t="shared" si="968"/>
        <v>0</v>
      </c>
      <c r="W3578" s="1394"/>
    </row>
    <row r="3579" spans="1:26" ht="30" customHeight="1">
      <c r="B3579" s="1407"/>
      <c r="C3579" s="1412" t="s">
        <v>479</v>
      </c>
      <c r="D3579" s="103"/>
      <c r="E3579" s="103"/>
      <c r="F3579" s="1413"/>
      <c r="G3579" s="1413"/>
      <c r="H3579" s="1414"/>
      <c r="I3579" s="1406">
        <f>H3756</f>
        <v>11</v>
      </c>
      <c r="Q3579" s="1394">
        <f>IFERROR(VLOOKUP(M3579,#REF!,3,0),0)</f>
        <v>0</v>
      </c>
      <c r="R3579" s="1394">
        <f t="shared" si="970"/>
        <v>0</v>
      </c>
      <c r="S3579" s="1394">
        <f>IFERROR(VLOOKUP(M3579,#REF!,6,0),0)</f>
        <v>0</v>
      </c>
      <c r="T3579" s="1394">
        <f t="shared" si="967"/>
        <v>0</v>
      </c>
      <c r="U3579" s="1394">
        <f>IFERROR(VLOOKUP(M3579,#REF!,5,0),0)</f>
        <v>0</v>
      </c>
      <c r="V3579" s="1394">
        <f t="shared" si="968"/>
        <v>0</v>
      </c>
      <c r="W3579" s="1394"/>
    </row>
    <row r="3580" spans="1:26" ht="30" customHeight="1">
      <c r="B3580" s="1407"/>
      <c r="C3580" s="1412" t="s">
        <v>480</v>
      </c>
      <c r="D3580" s="103"/>
      <c r="E3580" s="103"/>
      <c r="F3580" s="1413"/>
      <c r="G3580" s="1413"/>
      <c r="H3580" s="1414"/>
      <c r="I3580" s="1406">
        <f>H3718</f>
        <v>9</v>
      </c>
      <c r="Q3580" s="1394">
        <f>IFERROR(VLOOKUP(M3580,#REF!,3,0),0)</f>
        <v>0</v>
      </c>
      <c r="R3580" s="1394">
        <f t="shared" si="970"/>
        <v>0</v>
      </c>
      <c r="S3580" s="1394">
        <f>IFERROR(VLOOKUP(M3580,#REF!,6,0),0)</f>
        <v>0</v>
      </c>
      <c r="T3580" s="1394">
        <f t="shared" si="967"/>
        <v>0</v>
      </c>
      <c r="U3580" s="1394">
        <f>IFERROR(VLOOKUP(M3580,#REF!,5,0),0)</f>
        <v>0</v>
      </c>
      <c r="V3580" s="1394">
        <f t="shared" si="968"/>
        <v>0</v>
      </c>
      <c r="W3580" s="1394"/>
    </row>
    <row r="3581" spans="1:26" ht="30" customHeight="1">
      <c r="B3581" s="1407"/>
      <c r="C3581" s="1412" t="s">
        <v>481</v>
      </c>
      <c r="D3581" s="103"/>
      <c r="E3581" s="103"/>
      <c r="F3581" s="1413"/>
      <c r="G3581" s="1413"/>
      <c r="H3581" s="1414"/>
      <c r="I3581" s="1406">
        <f>H4874</f>
        <v>18</v>
      </c>
      <c r="Q3581" s="1394">
        <f>IFERROR(VLOOKUP(M3581,#REF!,3,0),0)</f>
        <v>0</v>
      </c>
      <c r="R3581" s="1394">
        <f t="shared" si="970"/>
        <v>0</v>
      </c>
      <c r="S3581" s="1394">
        <f>IFERROR(VLOOKUP(M3581,#REF!,6,0),0)</f>
        <v>0</v>
      </c>
      <c r="T3581" s="1394">
        <f t="shared" si="967"/>
        <v>0</v>
      </c>
      <c r="U3581" s="1394">
        <f>IFERROR(VLOOKUP(M3581,#REF!,5,0),0)</f>
        <v>0</v>
      </c>
      <c r="V3581" s="1394">
        <f t="shared" si="968"/>
        <v>0</v>
      </c>
      <c r="W3581" s="1394"/>
    </row>
    <row r="3582" spans="1:26" ht="30" customHeight="1">
      <c r="B3582" s="1407"/>
      <c r="C3582" s="1455"/>
      <c r="D3582" s="103"/>
      <c r="E3582" s="103"/>
      <c r="F3582" s="1413"/>
      <c r="G3582" s="1413"/>
      <c r="H3582" s="1414"/>
      <c r="I3582" s="1406"/>
      <c r="Q3582" s="1394">
        <f>IFERROR(VLOOKUP(M3582,#REF!,3,0),0)</f>
        <v>0</v>
      </c>
      <c r="R3582" s="1394">
        <f t="shared" si="970"/>
        <v>0</v>
      </c>
      <c r="S3582" s="1394">
        <f>IFERROR(VLOOKUP(M3582,#REF!,6,0),0)</f>
        <v>0</v>
      </c>
      <c r="T3582" s="1394">
        <f t="shared" si="967"/>
        <v>0</v>
      </c>
      <c r="U3582" s="1394">
        <f>IFERROR(VLOOKUP(M3582,#REF!,5,0),0)</f>
        <v>0</v>
      </c>
      <c r="V3582" s="1394">
        <f t="shared" si="968"/>
        <v>0</v>
      </c>
      <c r="W3582" s="1394"/>
    </row>
    <row r="3583" spans="1:26" ht="30" customHeight="1">
      <c r="B3583" s="1407"/>
      <c r="C3583" s="1455"/>
      <c r="D3583" s="103"/>
      <c r="E3583" s="103"/>
      <c r="F3583" s="1413"/>
      <c r="G3583" s="1413"/>
      <c r="H3583" s="1414"/>
      <c r="I3583" s="1479">
        <f>SUM(I3577:I3582)</f>
        <v>128</v>
      </c>
      <c r="Q3583" s="1394">
        <f>IFERROR(VLOOKUP(M3583,#REF!,3,0),0)</f>
        <v>0</v>
      </c>
      <c r="R3583" s="1394">
        <f t="shared" si="970"/>
        <v>0</v>
      </c>
      <c r="S3583" s="1394">
        <f>IFERROR(VLOOKUP(M3583,#REF!,6,0),0)</f>
        <v>0</v>
      </c>
      <c r="T3583" s="1394">
        <f t="shared" si="967"/>
        <v>0</v>
      </c>
      <c r="U3583" s="1394">
        <f>IFERROR(VLOOKUP(M3583,#REF!,5,0),0)</f>
        <v>0</v>
      </c>
      <c r="V3583" s="1394">
        <f t="shared" si="968"/>
        <v>0</v>
      </c>
      <c r="W3583" s="1394"/>
    </row>
    <row r="3584" spans="1:26" ht="30" customHeight="1">
      <c r="B3584" s="1407"/>
      <c r="C3584" s="1455"/>
      <c r="D3584" s="103"/>
      <c r="E3584" s="103"/>
      <c r="F3584" s="1413"/>
      <c r="G3584" s="1483" t="s">
        <v>11</v>
      </c>
      <c r="H3584" s="1478">
        <f>ROUNDUP(I3583,1)</f>
        <v>128</v>
      </c>
      <c r="I3584" s="1479" t="s">
        <v>13</v>
      </c>
      <c r="M3584" s="1394" t="str">
        <f>A3576</f>
        <v>a. Light point with ceiling rose Wiring with 1.5 Sqm.m PVC insulated single core multi strand fire retardant flexible copper cable with ISI mark confirming IS: 694:1990.( Ordinary)</v>
      </c>
      <c r="N3584" s="1394">
        <f>B3576</f>
        <v>0</v>
      </c>
      <c r="O3584" s="1394">
        <f>H3584</f>
        <v>128</v>
      </c>
      <c r="P3584" s="1394" t="str">
        <f>I3584</f>
        <v>Nos</v>
      </c>
      <c r="Q3584" s="1394">
        <f>IFERROR(VLOOKUP(M3584,#REF!,3,0),0)</f>
        <v>0</v>
      </c>
      <c r="R3584" s="1394">
        <f t="shared" si="970"/>
        <v>0</v>
      </c>
      <c r="S3584" s="1394">
        <f>IFERROR(VLOOKUP(M3584,#REF!,6,0),0)</f>
        <v>0</v>
      </c>
      <c r="T3584" s="1394">
        <f t="shared" si="967"/>
        <v>0</v>
      </c>
      <c r="U3584" s="1394">
        <f>IFERROR(VLOOKUP(M3584,#REF!,5,0),0)</f>
        <v>0</v>
      </c>
      <c r="V3584" s="1394">
        <f t="shared" si="968"/>
        <v>128</v>
      </c>
      <c r="W3584" s="1394"/>
      <c r="Z3584" s="1394"/>
    </row>
    <row r="3585" spans="1:26" ht="30" customHeight="1">
      <c r="A3585" s="110" t="s">
        <v>482</v>
      </c>
      <c r="B3585" s="1407"/>
      <c r="C3585" s="1678" t="e">
        <f>VLOOKUP(A3585,#REF!,2,0)</f>
        <v>#REF!</v>
      </c>
      <c r="D3585" s="1678"/>
      <c r="E3585" s="1678"/>
      <c r="F3585" s="1678"/>
      <c r="G3585" s="1678"/>
      <c r="H3585" s="1678"/>
      <c r="I3585" s="1406"/>
      <c r="Q3585" s="1394">
        <f>IFERROR(VLOOKUP(M3585,#REF!,3,0),0)</f>
        <v>0</v>
      </c>
      <c r="R3585" s="1394">
        <f t="shared" si="970"/>
        <v>0</v>
      </c>
      <c r="S3585" s="1394">
        <f>IFERROR(VLOOKUP(M3585,#REF!,6,0),0)</f>
        <v>0</v>
      </c>
      <c r="T3585" s="1394">
        <f t="shared" si="967"/>
        <v>0</v>
      </c>
      <c r="U3585" s="1394">
        <f>IFERROR(VLOOKUP(M3585,#REF!,5,0),0)</f>
        <v>0</v>
      </c>
      <c r="V3585" s="1394">
        <f t="shared" si="968"/>
        <v>0</v>
      </c>
      <c r="W3585" s="1394"/>
      <c r="X3585" s="1397"/>
    </row>
    <row r="3586" spans="1:26" ht="30" customHeight="1">
      <c r="B3586" s="1407"/>
      <c r="C3586" s="1412" t="s">
        <v>483</v>
      </c>
      <c r="D3586" s="103"/>
      <c r="E3586" s="103"/>
      <c r="F3586" s="1413"/>
      <c r="G3586" s="1413"/>
      <c r="H3586" s="1414"/>
      <c r="I3586" s="1406">
        <f>H3810</f>
        <v>41</v>
      </c>
      <c r="Q3586" s="1394">
        <f>IFERROR(VLOOKUP(M3586,#REF!,3,0),0)</f>
        <v>0</v>
      </c>
      <c r="R3586" s="1394">
        <f t="shared" si="970"/>
        <v>0</v>
      </c>
      <c r="S3586" s="1394">
        <f>IFERROR(VLOOKUP(M3586,#REF!,6,0),0)</f>
        <v>0</v>
      </c>
      <c r="T3586" s="1394">
        <f t="shared" si="967"/>
        <v>0</v>
      </c>
      <c r="U3586" s="1394">
        <f>IFERROR(VLOOKUP(M3586,#REF!,5,0),0)</f>
        <v>0</v>
      </c>
      <c r="V3586" s="1394">
        <f t="shared" si="968"/>
        <v>0</v>
      </c>
      <c r="W3586" s="1394"/>
    </row>
    <row r="3587" spans="1:26" ht="30" customHeight="1">
      <c r="B3587" s="1407"/>
      <c r="C3587" s="1455"/>
      <c r="D3587" s="103"/>
      <c r="E3587" s="103"/>
      <c r="F3587" s="1413"/>
      <c r="G3587" s="1413"/>
      <c r="H3587" s="1414"/>
      <c r="I3587" s="1479">
        <f>SUM(I3586:I3586)</f>
        <v>41</v>
      </c>
      <c r="J3587" s="1397">
        <f>H3588+H3640</f>
        <v>45</v>
      </c>
      <c r="K3587" s="1397"/>
      <c r="Q3587" s="1394">
        <f>IFERROR(VLOOKUP(M3587,#REF!,3,0),0)</f>
        <v>0</v>
      </c>
      <c r="R3587" s="1394">
        <f t="shared" si="970"/>
        <v>0</v>
      </c>
      <c r="S3587" s="1394">
        <f>IFERROR(VLOOKUP(M3587,#REF!,6,0),0)</f>
        <v>0</v>
      </c>
      <c r="T3587" s="1394">
        <f t="shared" ref="T3587:T3650" si="971">R3587-S3587</f>
        <v>0</v>
      </c>
      <c r="U3587" s="1394">
        <f>IFERROR(VLOOKUP(M3587,#REF!,5,0),0)</f>
        <v>0</v>
      </c>
      <c r="V3587" s="1394">
        <f t="shared" ref="V3587:V3650" si="972">O3587-U3587</f>
        <v>0</v>
      </c>
      <c r="W3587" s="1394"/>
    </row>
    <row r="3588" spans="1:26" ht="30" customHeight="1">
      <c r="B3588" s="1407"/>
      <c r="C3588" s="1455"/>
      <c r="D3588" s="103"/>
      <c r="E3588" s="103"/>
      <c r="F3588" s="1413"/>
      <c r="G3588" s="1483" t="s">
        <v>11</v>
      </c>
      <c r="H3588" s="1478">
        <f>ROUNDUP(I3587,1)</f>
        <v>41</v>
      </c>
      <c r="I3588" s="1479" t="s">
        <v>13</v>
      </c>
      <c r="M3588" s="1394" t="str">
        <f>A3585</f>
        <v>b. Light point without ceiling rose Wiring with 1.5 Sqm.m PVC insulated single core multi strand fire retardant flexible copper cable with ISI mark confirming IS: 694:1990.( Ordinary)</v>
      </c>
      <c r="N3588" s="1394">
        <f>B3585</f>
        <v>0</v>
      </c>
      <c r="O3588" s="1394">
        <f>H3588</f>
        <v>41</v>
      </c>
      <c r="P3588" s="1394" t="str">
        <f>I3588</f>
        <v>Nos</v>
      </c>
      <c r="Q3588" s="1394">
        <f>IFERROR(VLOOKUP(M3588,#REF!,3,0),0)</f>
        <v>0</v>
      </c>
      <c r="R3588" s="1394">
        <f t="shared" si="970"/>
        <v>0</v>
      </c>
      <c r="S3588" s="1394">
        <f>IFERROR(VLOOKUP(M3588,#REF!,6,0),0)</f>
        <v>0</v>
      </c>
      <c r="T3588" s="1394">
        <f t="shared" si="971"/>
        <v>0</v>
      </c>
      <c r="U3588" s="1394">
        <f>IFERROR(VLOOKUP(M3588,#REF!,5,0),0)</f>
        <v>0</v>
      </c>
      <c r="V3588" s="1394">
        <f t="shared" si="972"/>
        <v>41</v>
      </c>
      <c r="W3588" s="1394"/>
      <c r="Z3588" s="1394"/>
    </row>
    <row r="3589" spans="1:26" ht="30" customHeight="1">
      <c r="A3589" s="110" t="s">
        <v>484</v>
      </c>
      <c r="B3589" s="1407"/>
      <c r="C3589" s="1678" t="e">
        <f>VLOOKUP(A3589,#REF!,2,0)</f>
        <v>#REF!</v>
      </c>
      <c r="D3589" s="1678"/>
      <c r="E3589" s="1678"/>
      <c r="F3589" s="1678"/>
      <c r="G3589" s="1678"/>
      <c r="H3589" s="1678"/>
      <c r="I3589" s="1406"/>
      <c r="Q3589" s="1394">
        <f>IFERROR(VLOOKUP(M3589,#REF!,3,0),0)</f>
        <v>0</v>
      </c>
      <c r="R3589" s="1394">
        <f t="shared" si="970"/>
        <v>0</v>
      </c>
      <c r="S3589" s="1394">
        <f>IFERROR(VLOOKUP(M3589,#REF!,6,0),0)</f>
        <v>0</v>
      </c>
      <c r="T3589" s="1394">
        <f t="shared" si="971"/>
        <v>0</v>
      </c>
      <c r="U3589" s="1394">
        <f>IFERROR(VLOOKUP(M3589,#REF!,5,0),0)</f>
        <v>0</v>
      </c>
      <c r="V3589" s="1394">
        <f t="shared" si="972"/>
        <v>0</v>
      </c>
      <c r="W3589" s="1394"/>
      <c r="X3589" s="1397"/>
    </row>
    <row r="3590" spans="1:26" ht="30" customHeight="1">
      <c r="B3590" s="1407"/>
      <c r="C3590" s="1537" t="s">
        <v>366</v>
      </c>
      <c r="D3590" s="103"/>
      <c r="E3590" s="103"/>
      <c r="F3590" s="1413"/>
      <c r="G3590" s="1413"/>
      <c r="H3590" s="1414"/>
      <c r="I3590" s="1406">
        <f t="shared" ref="I3590:I3595" si="973">PRODUCT(D3590:H3590)</f>
        <v>0</v>
      </c>
      <c r="Q3590" s="1394">
        <f>IFERROR(VLOOKUP(M3590,#REF!,3,0),0)</f>
        <v>0</v>
      </c>
      <c r="R3590" s="1394">
        <f t="shared" si="970"/>
        <v>0</v>
      </c>
      <c r="S3590" s="1394">
        <f>IFERROR(VLOOKUP(M3590,#REF!,6,0),0)</f>
        <v>0</v>
      </c>
      <c r="T3590" s="1394">
        <f t="shared" si="971"/>
        <v>0</v>
      </c>
      <c r="U3590" s="1394">
        <f>IFERROR(VLOOKUP(M3590,#REF!,5,0),0)</f>
        <v>0</v>
      </c>
      <c r="V3590" s="1394">
        <f t="shared" si="972"/>
        <v>0</v>
      </c>
      <c r="W3590" s="1394"/>
    </row>
    <row r="3591" spans="1:26" ht="30" customHeight="1">
      <c r="B3591" s="1407"/>
      <c r="C3591" s="94" t="s">
        <v>5597</v>
      </c>
      <c r="D3591" s="103">
        <v>1</v>
      </c>
      <c r="E3591" s="96">
        <v>1</v>
      </c>
      <c r="F3591" s="1413"/>
      <c r="G3591" s="1413"/>
      <c r="H3591" s="1414"/>
      <c r="I3591" s="1406">
        <f t="shared" si="973"/>
        <v>1</v>
      </c>
      <c r="Q3591" s="1394">
        <f>IFERROR(VLOOKUP(M3591,#REF!,3,0),0)</f>
        <v>0</v>
      </c>
      <c r="R3591" s="1394">
        <f t="shared" si="970"/>
        <v>0</v>
      </c>
      <c r="S3591" s="1394">
        <f>IFERROR(VLOOKUP(M3591,#REF!,6,0),0)</f>
        <v>0</v>
      </c>
      <c r="T3591" s="1394">
        <f t="shared" si="971"/>
        <v>0</v>
      </c>
      <c r="U3591" s="1394">
        <f>IFERROR(VLOOKUP(M3591,#REF!,5,0),0)</f>
        <v>0</v>
      </c>
      <c r="V3591" s="1394">
        <f t="shared" si="972"/>
        <v>0</v>
      </c>
      <c r="W3591" s="1394"/>
    </row>
    <row r="3592" spans="1:26" ht="30" customHeight="1">
      <c r="B3592" s="1407"/>
      <c r="C3592" s="1537" t="s">
        <v>485</v>
      </c>
      <c r="D3592" s="103"/>
      <c r="E3592" s="96"/>
      <c r="F3592" s="1413"/>
      <c r="G3592" s="1413"/>
      <c r="H3592" s="1414"/>
      <c r="I3592" s="1406">
        <f t="shared" si="973"/>
        <v>0</v>
      </c>
      <c r="Q3592" s="1394">
        <f>IFERROR(VLOOKUP(M3592,#REF!,3,0),0)</f>
        <v>0</v>
      </c>
      <c r="R3592" s="1394">
        <f t="shared" si="970"/>
        <v>0</v>
      </c>
      <c r="S3592" s="1394">
        <f>IFERROR(VLOOKUP(M3592,#REF!,6,0),0)</f>
        <v>0</v>
      </c>
      <c r="T3592" s="1394">
        <f t="shared" si="971"/>
        <v>0</v>
      </c>
      <c r="U3592" s="1394">
        <f>IFERROR(VLOOKUP(M3592,#REF!,5,0),0)</f>
        <v>0</v>
      </c>
      <c r="V3592" s="1394">
        <f t="shared" si="972"/>
        <v>0</v>
      </c>
      <c r="W3592" s="1394"/>
    </row>
    <row r="3593" spans="1:26" ht="30" customHeight="1">
      <c r="B3593" s="1407"/>
      <c r="C3593" s="94" t="s">
        <v>5673</v>
      </c>
      <c r="D3593" s="103">
        <v>1</v>
      </c>
      <c r="E3593" s="96">
        <v>1</v>
      </c>
      <c r="F3593" s="1413"/>
      <c r="G3593" s="1413"/>
      <c r="H3593" s="1414"/>
      <c r="I3593" s="1406">
        <f t="shared" si="973"/>
        <v>1</v>
      </c>
      <c r="Q3593" s="1394">
        <f>IFERROR(VLOOKUP(M3593,#REF!,3,0),0)</f>
        <v>0</v>
      </c>
      <c r="R3593" s="1394">
        <f t="shared" si="970"/>
        <v>0</v>
      </c>
      <c r="S3593" s="1394">
        <f>IFERROR(VLOOKUP(M3593,#REF!,6,0),0)</f>
        <v>0</v>
      </c>
      <c r="T3593" s="1394">
        <f t="shared" si="971"/>
        <v>0</v>
      </c>
      <c r="U3593" s="1394">
        <f>IFERROR(VLOOKUP(M3593,#REF!,5,0),0)</f>
        <v>0</v>
      </c>
      <c r="V3593" s="1394">
        <f t="shared" si="972"/>
        <v>0</v>
      </c>
      <c r="W3593" s="1394"/>
    </row>
    <row r="3594" spans="1:26" ht="30" customHeight="1">
      <c r="B3594" s="1407"/>
      <c r="C3594" s="1537" t="s">
        <v>486</v>
      </c>
      <c r="D3594" s="103"/>
      <c r="E3594" s="96"/>
      <c r="F3594" s="1413"/>
      <c r="G3594" s="1413"/>
      <c r="H3594" s="1414"/>
      <c r="I3594" s="1406">
        <f t="shared" si="973"/>
        <v>0</v>
      </c>
      <c r="Q3594" s="1394">
        <f>IFERROR(VLOOKUP(M3594,#REF!,3,0),0)</f>
        <v>0</v>
      </c>
      <c r="R3594" s="1394">
        <f t="shared" si="970"/>
        <v>0</v>
      </c>
      <c r="S3594" s="1394">
        <f>IFERROR(VLOOKUP(M3594,#REF!,6,0),0)</f>
        <v>0</v>
      </c>
      <c r="T3594" s="1394">
        <f t="shared" si="971"/>
        <v>0</v>
      </c>
      <c r="U3594" s="1394">
        <f>IFERROR(VLOOKUP(M3594,#REF!,5,0),0)</f>
        <v>0</v>
      </c>
      <c r="V3594" s="1394">
        <f t="shared" si="972"/>
        <v>0</v>
      </c>
      <c r="W3594" s="1394"/>
    </row>
    <row r="3595" spans="1:26" ht="30" customHeight="1">
      <c r="B3595" s="1407"/>
      <c r="C3595" s="94" t="s">
        <v>5905</v>
      </c>
      <c r="D3595" s="103">
        <v>1</v>
      </c>
      <c r="E3595" s="96">
        <v>1</v>
      </c>
      <c r="F3595" s="1413"/>
      <c r="G3595" s="1413"/>
      <c r="H3595" s="1414"/>
      <c r="I3595" s="1406">
        <f t="shared" si="973"/>
        <v>1</v>
      </c>
      <c r="Q3595" s="1394">
        <f>IFERROR(VLOOKUP(M3595,#REF!,3,0),0)</f>
        <v>0</v>
      </c>
      <c r="R3595" s="1394">
        <f t="shared" si="970"/>
        <v>0</v>
      </c>
      <c r="S3595" s="1394">
        <f>IFERROR(VLOOKUP(M3595,#REF!,6,0),0)</f>
        <v>0</v>
      </c>
      <c r="T3595" s="1394">
        <f t="shared" si="971"/>
        <v>0</v>
      </c>
      <c r="U3595" s="1394">
        <f>IFERROR(VLOOKUP(M3595,#REF!,5,0),0)</f>
        <v>0</v>
      </c>
      <c r="V3595" s="1394">
        <f t="shared" si="972"/>
        <v>0</v>
      </c>
      <c r="W3595" s="1394"/>
    </row>
    <row r="3596" spans="1:26" ht="30" customHeight="1">
      <c r="B3596" s="1407"/>
      <c r="C3596" s="1455"/>
      <c r="D3596" s="103"/>
      <c r="E3596" s="103"/>
      <c r="F3596" s="1413"/>
      <c r="G3596" s="1413"/>
      <c r="H3596" s="1414"/>
      <c r="I3596" s="1479">
        <f>SUM(I3590:I3595)</f>
        <v>3</v>
      </c>
      <c r="Q3596" s="1394">
        <f>IFERROR(VLOOKUP(M3596,#REF!,3,0),0)</f>
        <v>0</v>
      </c>
      <c r="R3596" s="1394">
        <f t="shared" si="970"/>
        <v>0</v>
      </c>
      <c r="S3596" s="1394">
        <f>IFERROR(VLOOKUP(M3596,#REF!,6,0),0)</f>
        <v>0</v>
      </c>
      <c r="T3596" s="1394">
        <f t="shared" si="971"/>
        <v>0</v>
      </c>
      <c r="U3596" s="1394">
        <f>IFERROR(VLOOKUP(M3596,#REF!,5,0),0)</f>
        <v>0</v>
      </c>
      <c r="V3596" s="1394">
        <f t="shared" si="972"/>
        <v>0</v>
      </c>
      <c r="W3596" s="1394"/>
    </row>
    <row r="3597" spans="1:26" ht="30" customHeight="1">
      <c r="B3597" s="1407"/>
      <c r="C3597" s="1455"/>
      <c r="D3597" s="103"/>
      <c r="E3597" s="103"/>
      <c r="F3597" s="1413"/>
      <c r="G3597" s="1483" t="s">
        <v>11</v>
      </c>
      <c r="H3597" s="1478">
        <f>I3596</f>
        <v>3</v>
      </c>
      <c r="I3597" s="1479" t="s">
        <v>13</v>
      </c>
      <c r="M3597" s="1394" t="str">
        <f>A3589</f>
        <v>c. Calling bell point with Buzzer/Calling bell Wiring with 1.5 Sqm.m PVC insulated single core multi strand fire retardant flexible copper cable with ISI mark confirming IS: 694:1990.( Ordinary)</v>
      </c>
      <c r="N3597" s="1394">
        <f>B3589</f>
        <v>0</v>
      </c>
      <c r="O3597" s="1394">
        <f>H3597</f>
        <v>3</v>
      </c>
      <c r="P3597" s="1394" t="str">
        <f>I3597</f>
        <v>Nos</v>
      </c>
      <c r="Q3597" s="1394">
        <f>IFERROR(VLOOKUP(M3597,#REF!,3,0),0)</f>
        <v>0</v>
      </c>
      <c r="R3597" s="1394">
        <f t="shared" si="970"/>
        <v>0</v>
      </c>
      <c r="S3597" s="1394">
        <f>IFERROR(VLOOKUP(M3597,#REF!,6,0),0)</f>
        <v>0</v>
      </c>
      <c r="T3597" s="1394">
        <f t="shared" si="971"/>
        <v>0</v>
      </c>
      <c r="U3597" s="1394">
        <f>IFERROR(VLOOKUP(M3597,#REF!,5,0),0)</f>
        <v>0</v>
      </c>
      <c r="V3597" s="1394">
        <f t="shared" si="972"/>
        <v>3</v>
      </c>
      <c r="W3597" s="1394"/>
      <c r="Z3597" s="1394"/>
    </row>
    <row r="3598" spans="1:26" ht="129.75" customHeight="1">
      <c r="A3598" s="110" t="s">
        <v>487</v>
      </c>
      <c r="B3598" s="1405">
        <v>65.099999999999994</v>
      </c>
      <c r="C3598" s="1678" t="e">
        <f>VLOOKUP(A3598,#REF!,2,0)</f>
        <v>#REF!</v>
      </c>
      <c r="D3598" s="1678"/>
      <c r="E3598" s="1678"/>
      <c r="F3598" s="1678"/>
      <c r="G3598" s="1678"/>
      <c r="H3598" s="1678"/>
      <c r="I3598" s="1479"/>
      <c r="Q3598" s="1394">
        <f>IFERROR(VLOOKUP(M3598,#REF!,3,0),0)</f>
        <v>0</v>
      </c>
      <c r="R3598" s="1394">
        <f t="shared" si="970"/>
        <v>0</v>
      </c>
      <c r="S3598" s="1394">
        <f>IFERROR(VLOOKUP(M3598,#REF!,6,0),0)</f>
        <v>0</v>
      </c>
      <c r="T3598" s="1394">
        <f t="shared" si="971"/>
        <v>0</v>
      </c>
      <c r="U3598" s="1394">
        <f>IFERROR(VLOOKUP(M3598,#REF!,5,0),0)</f>
        <v>0</v>
      </c>
      <c r="V3598" s="1394">
        <f t="shared" si="972"/>
        <v>0</v>
      </c>
      <c r="W3598" s="1394"/>
      <c r="X3598" s="1397"/>
    </row>
    <row r="3599" spans="1:26" ht="30" customHeight="1">
      <c r="B3599" s="1405"/>
      <c r="C3599" s="1538" t="s">
        <v>5874</v>
      </c>
      <c r="D3599" s="103"/>
      <c r="E3599" s="1539" t="s">
        <v>575</v>
      </c>
      <c r="F3599" s="1413"/>
      <c r="G3599" s="1413"/>
      <c r="H3599" s="1414"/>
      <c r="I3599" s="1406"/>
      <c r="Q3599" s="1394">
        <f>IFERROR(VLOOKUP(M3599,#REF!,3,0),0)</f>
        <v>0</v>
      </c>
      <c r="R3599" s="1394">
        <f t="shared" si="970"/>
        <v>0</v>
      </c>
      <c r="S3599" s="1394">
        <f>IFERROR(VLOOKUP(M3599,#REF!,6,0),0)</f>
        <v>0</v>
      </c>
      <c r="T3599" s="1394">
        <f t="shared" si="971"/>
        <v>0</v>
      </c>
      <c r="U3599" s="1394">
        <f>IFERROR(VLOOKUP(M3599,#REF!,5,0),0)</f>
        <v>0</v>
      </c>
      <c r="V3599" s="1394">
        <f t="shared" si="972"/>
        <v>0</v>
      </c>
      <c r="W3599" s="1394"/>
    </row>
    <row r="3600" spans="1:26" ht="30" customHeight="1">
      <c r="B3600" s="1407"/>
      <c r="C3600" s="1540" t="s">
        <v>5521</v>
      </c>
      <c r="D3600" s="103">
        <v>1</v>
      </c>
      <c r="E3600" s="1541">
        <v>2</v>
      </c>
      <c r="F3600" s="1413"/>
      <c r="G3600" s="1413"/>
      <c r="H3600" s="1414"/>
      <c r="I3600" s="1406">
        <f t="shared" ref="I3600:I3635" si="974">PRODUCT(D3600:H3600)</f>
        <v>2</v>
      </c>
      <c r="L3600" s="110">
        <f>4.355*6</f>
        <v>26.130000000000003</v>
      </c>
      <c r="Q3600" s="1394">
        <f>IFERROR(VLOOKUP(M3600,#REF!,3,0),0)</f>
        <v>0</v>
      </c>
      <c r="R3600" s="1394">
        <f t="shared" si="970"/>
        <v>0</v>
      </c>
      <c r="S3600" s="1394">
        <f>IFERROR(VLOOKUP(M3600,#REF!,6,0),0)</f>
        <v>0</v>
      </c>
      <c r="T3600" s="1394">
        <f t="shared" si="971"/>
        <v>0</v>
      </c>
      <c r="U3600" s="1394">
        <f>IFERROR(VLOOKUP(M3600,#REF!,5,0),0)</f>
        <v>0</v>
      </c>
      <c r="V3600" s="1394">
        <f t="shared" si="972"/>
        <v>0</v>
      </c>
      <c r="W3600" s="1394"/>
    </row>
    <row r="3601" spans="2:23" ht="30" customHeight="1">
      <c r="B3601" s="1407"/>
      <c r="C3601" s="1540" t="s">
        <v>5521</v>
      </c>
      <c r="D3601" s="103">
        <v>1</v>
      </c>
      <c r="E3601" s="1541">
        <v>1</v>
      </c>
      <c r="F3601" s="1413"/>
      <c r="G3601" s="1413"/>
      <c r="H3601" s="1414"/>
      <c r="I3601" s="1406">
        <f t="shared" si="974"/>
        <v>1</v>
      </c>
      <c r="Q3601" s="1394">
        <f>IFERROR(VLOOKUP(M3601,#REF!,3,0),0)</f>
        <v>0</v>
      </c>
      <c r="R3601" s="1394">
        <f t="shared" si="970"/>
        <v>0</v>
      </c>
      <c r="S3601" s="1394">
        <f>IFERROR(VLOOKUP(M3601,#REF!,6,0),0)</f>
        <v>0</v>
      </c>
      <c r="T3601" s="1394">
        <f t="shared" si="971"/>
        <v>0</v>
      </c>
      <c r="U3601" s="1394">
        <f>IFERROR(VLOOKUP(M3601,#REF!,5,0),0)</f>
        <v>0</v>
      </c>
      <c r="V3601" s="1394">
        <f t="shared" si="972"/>
        <v>0</v>
      </c>
      <c r="W3601" s="1394"/>
    </row>
    <row r="3602" spans="2:23" ht="30" customHeight="1">
      <c r="B3602" s="1407"/>
      <c r="C3602" s="1538" t="s">
        <v>5503</v>
      </c>
      <c r="D3602" s="1542"/>
      <c r="E3602" s="1539" t="s">
        <v>575</v>
      </c>
      <c r="F3602" s="1413"/>
      <c r="G3602" s="1413"/>
      <c r="H3602" s="1414"/>
      <c r="I3602" s="1406">
        <f t="shared" si="974"/>
        <v>0</v>
      </c>
      <c r="M3602" s="110"/>
      <c r="Q3602" s="1394">
        <f>IFERROR(VLOOKUP(M3602,#REF!,3,0),0)</f>
        <v>0</v>
      </c>
      <c r="R3602" s="1394">
        <f t="shared" si="970"/>
        <v>0</v>
      </c>
      <c r="S3602" s="1394">
        <f>IFERROR(VLOOKUP(M3602,#REF!,6,0),0)</f>
        <v>0</v>
      </c>
      <c r="T3602" s="1394">
        <f t="shared" si="971"/>
        <v>0</v>
      </c>
      <c r="U3602" s="1394">
        <f>IFERROR(VLOOKUP(M3602,#REF!,5,0),0)</f>
        <v>0</v>
      </c>
      <c r="V3602" s="1394">
        <f t="shared" si="972"/>
        <v>0</v>
      </c>
      <c r="W3602" s="1394"/>
    </row>
    <row r="3603" spans="2:23" ht="30" customHeight="1">
      <c r="B3603" s="1407"/>
      <c r="C3603" s="1540" t="s">
        <v>5547</v>
      </c>
      <c r="D3603" s="103">
        <v>1</v>
      </c>
      <c r="E3603" s="1541">
        <v>4</v>
      </c>
      <c r="F3603" s="1413"/>
      <c r="G3603" s="1413"/>
      <c r="H3603" s="1414"/>
      <c r="I3603" s="1406">
        <f t="shared" si="974"/>
        <v>4</v>
      </c>
      <c r="M3603" s="110"/>
      <c r="Q3603" s="1394">
        <f>IFERROR(VLOOKUP(M3603,#REF!,3,0),0)</f>
        <v>0</v>
      </c>
      <c r="R3603" s="1394">
        <f t="shared" si="970"/>
        <v>0</v>
      </c>
      <c r="S3603" s="1394">
        <f>IFERROR(VLOOKUP(M3603,#REF!,6,0),0)</f>
        <v>0</v>
      </c>
      <c r="T3603" s="1394">
        <f t="shared" si="971"/>
        <v>0</v>
      </c>
      <c r="U3603" s="1394">
        <f>IFERROR(VLOOKUP(M3603,#REF!,5,0),0)</f>
        <v>0</v>
      </c>
      <c r="V3603" s="1394">
        <f t="shared" si="972"/>
        <v>0</v>
      </c>
      <c r="W3603" s="1394"/>
    </row>
    <row r="3604" spans="2:23" ht="30" customHeight="1">
      <c r="B3604" s="1407"/>
      <c r="C3604" s="1540" t="s">
        <v>5521</v>
      </c>
      <c r="D3604" s="103">
        <v>1</v>
      </c>
      <c r="E3604" s="1541">
        <v>1</v>
      </c>
      <c r="F3604" s="1413"/>
      <c r="G3604" s="1413"/>
      <c r="H3604" s="1414"/>
      <c r="I3604" s="1406">
        <f t="shared" si="974"/>
        <v>1</v>
      </c>
      <c r="M3604" s="110"/>
      <c r="Q3604" s="1394">
        <f>IFERROR(VLOOKUP(M3604,#REF!,3,0),0)</f>
        <v>0</v>
      </c>
      <c r="R3604" s="1394">
        <f t="shared" si="970"/>
        <v>0</v>
      </c>
      <c r="S3604" s="1394">
        <f>IFERROR(VLOOKUP(M3604,#REF!,6,0),0)</f>
        <v>0</v>
      </c>
      <c r="T3604" s="1394">
        <f t="shared" si="971"/>
        <v>0</v>
      </c>
      <c r="U3604" s="1394">
        <f>IFERROR(VLOOKUP(M3604,#REF!,5,0),0)</f>
        <v>0</v>
      </c>
      <c r="V3604" s="1394">
        <f t="shared" si="972"/>
        <v>0</v>
      </c>
      <c r="W3604" s="1394"/>
    </row>
    <row r="3605" spans="2:23" ht="30" customHeight="1">
      <c r="B3605" s="1407"/>
      <c r="C3605" s="1540" t="s">
        <v>5521</v>
      </c>
      <c r="D3605" s="103">
        <v>1</v>
      </c>
      <c r="E3605" s="1541">
        <v>1</v>
      </c>
      <c r="F3605" s="1413"/>
      <c r="G3605" s="1413"/>
      <c r="H3605" s="1414"/>
      <c r="I3605" s="1406">
        <f t="shared" si="974"/>
        <v>1</v>
      </c>
      <c r="M3605" s="110"/>
      <c r="Q3605" s="1394">
        <f>IFERROR(VLOOKUP(M3605,#REF!,3,0),0)</f>
        <v>0</v>
      </c>
      <c r="R3605" s="1394">
        <f t="shared" si="970"/>
        <v>0</v>
      </c>
      <c r="S3605" s="1394">
        <f>IFERROR(VLOOKUP(M3605,#REF!,6,0),0)</f>
        <v>0</v>
      </c>
      <c r="T3605" s="1394">
        <f t="shared" si="971"/>
        <v>0</v>
      </c>
      <c r="U3605" s="1394">
        <f>IFERROR(VLOOKUP(M3605,#REF!,5,0),0)</f>
        <v>0</v>
      </c>
      <c r="V3605" s="1394">
        <f t="shared" si="972"/>
        <v>0</v>
      </c>
      <c r="W3605" s="1394"/>
    </row>
    <row r="3606" spans="2:23" ht="30" customHeight="1">
      <c r="B3606" s="1407"/>
      <c r="C3606" s="1540" t="s">
        <v>5549</v>
      </c>
      <c r="D3606" s="103">
        <v>1</v>
      </c>
      <c r="E3606" s="1541">
        <v>1</v>
      </c>
      <c r="F3606" s="1413"/>
      <c r="G3606" s="1413"/>
      <c r="H3606" s="1414"/>
      <c r="I3606" s="1406">
        <f t="shared" si="974"/>
        <v>1</v>
      </c>
      <c r="M3606" s="110"/>
      <c r="Q3606" s="1394">
        <f>IFERROR(VLOOKUP(M3606,#REF!,3,0),0)</f>
        <v>0</v>
      </c>
      <c r="R3606" s="1394">
        <f t="shared" si="970"/>
        <v>0</v>
      </c>
      <c r="S3606" s="1394">
        <f>IFERROR(VLOOKUP(M3606,#REF!,6,0),0)</f>
        <v>0</v>
      </c>
      <c r="T3606" s="1394">
        <f t="shared" si="971"/>
        <v>0</v>
      </c>
      <c r="U3606" s="1394">
        <f>IFERROR(VLOOKUP(M3606,#REF!,5,0),0)</f>
        <v>0</v>
      </c>
      <c r="V3606" s="1394">
        <f t="shared" si="972"/>
        <v>0</v>
      </c>
      <c r="W3606" s="1394"/>
    </row>
    <row r="3607" spans="2:23" ht="30" customHeight="1">
      <c r="B3607" s="1407"/>
      <c r="C3607" s="1540" t="s">
        <v>5550</v>
      </c>
      <c r="D3607" s="103">
        <v>1</v>
      </c>
      <c r="E3607" s="1541">
        <v>2</v>
      </c>
      <c r="F3607" s="1413"/>
      <c r="G3607" s="1413"/>
      <c r="H3607" s="1414"/>
      <c r="I3607" s="1406">
        <f t="shared" si="974"/>
        <v>2</v>
      </c>
      <c r="M3607" s="110"/>
      <c r="Q3607" s="1394">
        <f>IFERROR(VLOOKUP(M3607,#REF!,3,0),0)</f>
        <v>0</v>
      </c>
      <c r="R3607" s="1394">
        <f t="shared" si="970"/>
        <v>0</v>
      </c>
      <c r="S3607" s="1394">
        <f>IFERROR(VLOOKUP(M3607,#REF!,6,0),0)</f>
        <v>0</v>
      </c>
      <c r="T3607" s="1394">
        <f t="shared" si="971"/>
        <v>0</v>
      </c>
      <c r="U3607" s="1394">
        <f>IFERROR(VLOOKUP(M3607,#REF!,5,0),0)</f>
        <v>0</v>
      </c>
      <c r="V3607" s="1394">
        <f t="shared" si="972"/>
        <v>0</v>
      </c>
      <c r="W3607" s="1394"/>
    </row>
    <row r="3608" spans="2:23" ht="30" customHeight="1">
      <c r="B3608" s="1407"/>
      <c r="C3608" s="1540" t="s">
        <v>5552</v>
      </c>
      <c r="D3608" s="103">
        <v>1</v>
      </c>
      <c r="E3608" s="1541">
        <v>2</v>
      </c>
      <c r="F3608" s="1413"/>
      <c r="G3608" s="1413"/>
      <c r="H3608" s="1414"/>
      <c r="I3608" s="1406">
        <f t="shared" si="974"/>
        <v>2</v>
      </c>
      <c r="M3608" s="110"/>
      <c r="Q3608" s="1394">
        <f>IFERROR(VLOOKUP(M3608,#REF!,3,0),0)</f>
        <v>0</v>
      </c>
      <c r="R3608" s="1394">
        <f t="shared" si="970"/>
        <v>0</v>
      </c>
      <c r="S3608" s="1394">
        <f>IFERROR(VLOOKUP(M3608,#REF!,6,0),0)</f>
        <v>0</v>
      </c>
      <c r="T3608" s="1394">
        <f t="shared" si="971"/>
        <v>0</v>
      </c>
      <c r="U3608" s="1394">
        <f>IFERROR(VLOOKUP(M3608,#REF!,5,0),0)</f>
        <v>0</v>
      </c>
      <c r="V3608" s="1394">
        <f t="shared" si="972"/>
        <v>0</v>
      </c>
      <c r="W3608" s="1394"/>
    </row>
    <row r="3609" spans="2:23" ht="30" customHeight="1">
      <c r="B3609" s="1407"/>
      <c r="C3609" s="1540" t="s">
        <v>5557</v>
      </c>
      <c r="D3609" s="103">
        <v>1</v>
      </c>
      <c r="E3609" s="1541">
        <v>1</v>
      </c>
      <c r="F3609" s="1413"/>
      <c r="G3609" s="1413"/>
      <c r="H3609" s="1414"/>
      <c r="I3609" s="1406">
        <f t="shared" si="974"/>
        <v>1</v>
      </c>
      <c r="M3609" s="110"/>
      <c r="Q3609" s="1394">
        <f>IFERROR(VLOOKUP(M3609,#REF!,3,0),0)</f>
        <v>0</v>
      </c>
      <c r="R3609" s="1394">
        <f t="shared" si="970"/>
        <v>0</v>
      </c>
      <c r="S3609" s="1394">
        <f>IFERROR(VLOOKUP(M3609,#REF!,6,0),0)</f>
        <v>0</v>
      </c>
      <c r="T3609" s="1394">
        <f t="shared" si="971"/>
        <v>0</v>
      </c>
      <c r="U3609" s="1394">
        <f>IFERROR(VLOOKUP(M3609,#REF!,5,0),0)</f>
        <v>0</v>
      </c>
      <c r="V3609" s="1394">
        <f t="shared" si="972"/>
        <v>0</v>
      </c>
      <c r="W3609" s="1394"/>
    </row>
    <row r="3610" spans="2:23" ht="30" customHeight="1">
      <c r="B3610" s="1407"/>
      <c r="C3610" s="1540" t="s">
        <v>5558</v>
      </c>
      <c r="D3610" s="103">
        <v>1</v>
      </c>
      <c r="E3610" s="1541">
        <v>1</v>
      </c>
      <c r="F3610" s="1413"/>
      <c r="G3610" s="1413"/>
      <c r="H3610" s="1414"/>
      <c r="I3610" s="1406">
        <f t="shared" si="974"/>
        <v>1</v>
      </c>
      <c r="M3610" s="110"/>
      <c r="Q3610" s="1394">
        <f>IFERROR(VLOOKUP(M3610,#REF!,3,0),0)</f>
        <v>0</v>
      </c>
      <c r="R3610" s="1394">
        <f t="shared" si="970"/>
        <v>0</v>
      </c>
      <c r="S3610" s="1394">
        <f>IFERROR(VLOOKUP(M3610,#REF!,6,0),0)</f>
        <v>0</v>
      </c>
      <c r="T3610" s="1394">
        <f t="shared" si="971"/>
        <v>0</v>
      </c>
      <c r="U3610" s="1394">
        <f>IFERROR(VLOOKUP(M3610,#REF!,5,0),0)</f>
        <v>0</v>
      </c>
      <c r="V3610" s="1394">
        <f t="shared" si="972"/>
        <v>0</v>
      </c>
      <c r="W3610" s="1394"/>
    </row>
    <row r="3611" spans="2:23" ht="30" customHeight="1">
      <c r="B3611" s="1407"/>
      <c r="C3611" s="1540" t="s">
        <v>5559</v>
      </c>
      <c r="D3611" s="103">
        <v>1</v>
      </c>
      <c r="E3611" s="1541">
        <v>1</v>
      </c>
      <c r="F3611" s="1413"/>
      <c r="G3611" s="1413"/>
      <c r="H3611" s="1414"/>
      <c r="I3611" s="1406">
        <f t="shared" si="974"/>
        <v>1</v>
      </c>
      <c r="M3611" s="110"/>
      <c r="Q3611" s="1394">
        <f>IFERROR(VLOOKUP(M3611,#REF!,3,0),0)</f>
        <v>0</v>
      </c>
      <c r="R3611" s="1394">
        <f t="shared" si="970"/>
        <v>0</v>
      </c>
      <c r="S3611" s="1394">
        <f>IFERROR(VLOOKUP(M3611,#REF!,6,0),0)</f>
        <v>0</v>
      </c>
      <c r="T3611" s="1394">
        <f t="shared" si="971"/>
        <v>0</v>
      </c>
      <c r="U3611" s="1394">
        <f>IFERROR(VLOOKUP(M3611,#REF!,5,0),0)</f>
        <v>0</v>
      </c>
      <c r="V3611" s="1394">
        <f t="shared" si="972"/>
        <v>0</v>
      </c>
      <c r="W3611" s="1394"/>
    </row>
    <row r="3612" spans="2:23" ht="30" customHeight="1">
      <c r="B3612" s="1407"/>
      <c r="C3612" s="1540" t="s">
        <v>5560</v>
      </c>
      <c r="D3612" s="103">
        <v>1</v>
      </c>
      <c r="E3612" s="1541">
        <v>1</v>
      </c>
      <c r="F3612" s="1413"/>
      <c r="G3612" s="1413"/>
      <c r="H3612" s="1414"/>
      <c r="I3612" s="1406">
        <f t="shared" si="974"/>
        <v>1</v>
      </c>
      <c r="M3612" s="110"/>
      <c r="Q3612" s="1394">
        <f>IFERROR(VLOOKUP(M3612,#REF!,3,0),0)</f>
        <v>0</v>
      </c>
      <c r="R3612" s="1394">
        <f t="shared" si="970"/>
        <v>0</v>
      </c>
      <c r="S3612" s="1394">
        <f>IFERROR(VLOOKUP(M3612,#REF!,6,0),0)</f>
        <v>0</v>
      </c>
      <c r="T3612" s="1394">
        <f t="shared" si="971"/>
        <v>0</v>
      </c>
      <c r="U3612" s="1394">
        <f>IFERROR(VLOOKUP(M3612,#REF!,5,0),0)</f>
        <v>0</v>
      </c>
      <c r="V3612" s="1394">
        <f t="shared" si="972"/>
        <v>0</v>
      </c>
      <c r="W3612" s="1394"/>
    </row>
    <row r="3613" spans="2:23" ht="30" customHeight="1">
      <c r="B3613" s="1407"/>
      <c r="C3613" s="1540" t="s">
        <v>5561</v>
      </c>
      <c r="D3613" s="103">
        <v>1</v>
      </c>
      <c r="E3613" s="1541">
        <v>1</v>
      </c>
      <c r="F3613" s="1413"/>
      <c r="G3613" s="1413"/>
      <c r="H3613" s="1414"/>
      <c r="I3613" s="1406">
        <f t="shared" si="974"/>
        <v>1</v>
      </c>
      <c r="M3613" s="110"/>
      <c r="Q3613" s="1394">
        <f>IFERROR(VLOOKUP(M3613,#REF!,3,0),0)</f>
        <v>0</v>
      </c>
      <c r="R3613" s="1394">
        <f t="shared" si="970"/>
        <v>0</v>
      </c>
      <c r="S3613" s="1394">
        <f>IFERROR(VLOOKUP(M3613,#REF!,6,0),0)</f>
        <v>0</v>
      </c>
      <c r="T3613" s="1394">
        <f t="shared" si="971"/>
        <v>0</v>
      </c>
      <c r="U3613" s="1394">
        <f>IFERROR(VLOOKUP(M3613,#REF!,5,0),0)</f>
        <v>0</v>
      </c>
      <c r="V3613" s="1394">
        <f t="shared" si="972"/>
        <v>0</v>
      </c>
      <c r="W3613" s="1394"/>
    </row>
    <row r="3614" spans="2:23" ht="30" customHeight="1">
      <c r="B3614" s="1407"/>
      <c r="C3614" s="1538" t="s">
        <v>5504</v>
      </c>
      <c r="D3614" s="1542"/>
      <c r="E3614" s="1539" t="s">
        <v>575</v>
      </c>
      <c r="F3614" s="1413"/>
      <c r="G3614" s="1413"/>
      <c r="H3614" s="1414"/>
      <c r="I3614" s="1406">
        <f t="shared" si="974"/>
        <v>0</v>
      </c>
      <c r="M3614" s="110"/>
      <c r="Q3614" s="1394">
        <f>IFERROR(VLOOKUP(M3614,#REF!,3,0),0)</f>
        <v>0</v>
      </c>
      <c r="R3614" s="1394">
        <f t="shared" si="970"/>
        <v>0</v>
      </c>
      <c r="S3614" s="1394">
        <f>IFERROR(VLOOKUP(M3614,#REF!,6,0),0)</f>
        <v>0</v>
      </c>
      <c r="T3614" s="1394">
        <f t="shared" si="971"/>
        <v>0</v>
      </c>
      <c r="U3614" s="1394">
        <f>IFERROR(VLOOKUP(M3614,#REF!,5,0),0)</f>
        <v>0</v>
      </c>
      <c r="V3614" s="1394">
        <f t="shared" si="972"/>
        <v>0</v>
      </c>
      <c r="W3614" s="1394"/>
    </row>
    <row r="3615" spans="2:23" ht="30" customHeight="1">
      <c r="B3615" s="1407"/>
      <c r="C3615" s="1540" t="s">
        <v>5547</v>
      </c>
      <c r="D3615" s="103">
        <v>1</v>
      </c>
      <c r="E3615" s="1541">
        <v>4</v>
      </c>
      <c r="F3615" s="1413"/>
      <c r="G3615" s="1413"/>
      <c r="H3615" s="1414"/>
      <c r="I3615" s="1406">
        <f t="shared" si="974"/>
        <v>4</v>
      </c>
      <c r="M3615" s="110"/>
      <c r="Q3615" s="1394">
        <f>IFERROR(VLOOKUP(M3615,#REF!,3,0),0)</f>
        <v>0</v>
      </c>
      <c r="R3615" s="1394">
        <f t="shared" si="970"/>
        <v>0</v>
      </c>
      <c r="S3615" s="1394">
        <f>IFERROR(VLOOKUP(M3615,#REF!,6,0),0)</f>
        <v>0</v>
      </c>
      <c r="T3615" s="1394">
        <f t="shared" si="971"/>
        <v>0</v>
      </c>
      <c r="U3615" s="1394">
        <f>IFERROR(VLOOKUP(M3615,#REF!,5,0),0)</f>
        <v>0</v>
      </c>
      <c r="V3615" s="1394">
        <f t="shared" si="972"/>
        <v>0</v>
      </c>
      <c r="W3615" s="1394"/>
    </row>
    <row r="3616" spans="2:23" ht="30" customHeight="1">
      <c r="B3616" s="1407"/>
      <c r="C3616" s="1540" t="s">
        <v>5521</v>
      </c>
      <c r="D3616" s="103">
        <v>1</v>
      </c>
      <c r="E3616" s="1541">
        <v>1</v>
      </c>
      <c r="F3616" s="1413"/>
      <c r="G3616" s="1413"/>
      <c r="H3616" s="1414"/>
      <c r="I3616" s="1406">
        <f t="shared" si="974"/>
        <v>1</v>
      </c>
      <c r="M3616" s="110"/>
      <c r="Q3616" s="1394">
        <f>IFERROR(VLOOKUP(M3616,#REF!,3,0),0)</f>
        <v>0</v>
      </c>
      <c r="R3616" s="1394">
        <f t="shared" si="970"/>
        <v>0</v>
      </c>
      <c r="S3616" s="1394">
        <f>IFERROR(VLOOKUP(M3616,#REF!,6,0),0)</f>
        <v>0</v>
      </c>
      <c r="T3616" s="1394">
        <f t="shared" si="971"/>
        <v>0</v>
      </c>
      <c r="U3616" s="1394">
        <f>IFERROR(VLOOKUP(M3616,#REF!,5,0),0)</f>
        <v>0</v>
      </c>
      <c r="V3616" s="1394">
        <f t="shared" si="972"/>
        <v>0</v>
      </c>
      <c r="W3616" s="1394"/>
    </row>
    <row r="3617" spans="2:23" ht="30" customHeight="1">
      <c r="B3617" s="1407"/>
      <c r="C3617" s="1540" t="s">
        <v>5521</v>
      </c>
      <c r="D3617" s="103">
        <v>1</v>
      </c>
      <c r="E3617" s="1541">
        <v>1</v>
      </c>
      <c r="F3617" s="1413"/>
      <c r="G3617" s="1413"/>
      <c r="H3617" s="1414"/>
      <c r="I3617" s="1406">
        <f t="shared" si="974"/>
        <v>1</v>
      </c>
      <c r="M3617" s="110"/>
      <c r="Q3617" s="1394">
        <f>IFERROR(VLOOKUP(M3617,#REF!,3,0),0)</f>
        <v>0</v>
      </c>
      <c r="R3617" s="1394">
        <f t="shared" si="970"/>
        <v>0</v>
      </c>
      <c r="S3617" s="1394">
        <f>IFERROR(VLOOKUP(M3617,#REF!,6,0),0)</f>
        <v>0</v>
      </c>
      <c r="T3617" s="1394">
        <f t="shared" si="971"/>
        <v>0</v>
      </c>
      <c r="U3617" s="1394">
        <f>IFERROR(VLOOKUP(M3617,#REF!,5,0),0)</f>
        <v>0</v>
      </c>
      <c r="V3617" s="1394">
        <f t="shared" si="972"/>
        <v>0</v>
      </c>
      <c r="W3617" s="1394"/>
    </row>
    <row r="3618" spans="2:23" ht="30" customHeight="1">
      <c r="B3618" s="1407"/>
      <c r="C3618" s="1540" t="s">
        <v>5549</v>
      </c>
      <c r="D3618" s="103">
        <v>1</v>
      </c>
      <c r="E3618" s="1541">
        <v>1</v>
      </c>
      <c r="F3618" s="1413"/>
      <c r="G3618" s="1413"/>
      <c r="H3618" s="1414"/>
      <c r="I3618" s="1406">
        <f t="shared" si="974"/>
        <v>1</v>
      </c>
      <c r="M3618" s="110"/>
      <c r="Q3618" s="1394">
        <f>IFERROR(VLOOKUP(M3618,#REF!,3,0),0)</f>
        <v>0</v>
      </c>
      <c r="R3618" s="1394">
        <f t="shared" si="970"/>
        <v>0</v>
      </c>
      <c r="S3618" s="1394">
        <f>IFERROR(VLOOKUP(M3618,#REF!,6,0),0)</f>
        <v>0</v>
      </c>
      <c r="T3618" s="1394">
        <f t="shared" si="971"/>
        <v>0</v>
      </c>
      <c r="U3618" s="1394">
        <f>IFERROR(VLOOKUP(M3618,#REF!,5,0),0)</f>
        <v>0</v>
      </c>
      <c r="V3618" s="1394">
        <f t="shared" si="972"/>
        <v>0</v>
      </c>
      <c r="W3618" s="1394"/>
    </row>
    <row r="3619" spans="2:23" ht="30" customHeight="1">
      <c r="B3619" s="1407"/>
      <c r="C3619" s="1540" t="s">
        <v>5562</v>
      </c>
      <c r="D3619" s="103">
        <v>1</v>
      </c>
      <c r="E3619" s="1541">
        <v>2</v>
      </c>
      <c r="F3619" s="1413"/>
      <c r="G3619" s="1413"/>
      <c r="H3619" s="1414"/>
      <c r="I3619" s="1406">
        <f t="shared" si="974"/>
        <v>2</v>
      </c>
      <c r="M3619" s="110"/>
      <c r="Q3619" s="1394">
        <f>IFERROR(VLOOKUP(M3619,#REF!,3,0),0)</f>
        <v>0</v>
      </c>
      <c r="R3619" s="1394">
        <f t="shared" si="970"/>
        <v>0</v>
      </c>
      <c r="S3619" s="1394">
        <f>IFERROR(VLOOKUP(M3619,#REF!,6,0),0)</f>
        <v>0</v>
      </c>
      <c r="T3619" s="1394">
        <f t="shared" si="971"/>
        <v>0</v>
      </c>
      <c r="U3619" s="1394">
        <f>IFERROR(VLOOKUP(M3619,#REF!,5,0),0)</f>
        <v>0</v>
      </c>
      <c r="V3619" s="1394">
        <f t="shared" si="972"/>
        <v>0</v>
      </c>
      <c r="W3619" s="1394"/>
    </row>
    <row r="3620" spans="2:23" ht="30" customHeight="1">
      <c r="B3620" s="1407"/>
      <c r="C3620" s="1540" t="s">
        <v>5564</v>
      </c>
      <c r="D3620" s="103">
        <v>1</v>
      </c>
      <c r="E3620" s="1541">
        <v>2</v>
      </c>
      <c r="F3620" s="1413"/>
      <c r="G3620" s="1413"/>
      <c r="H3620" s="1414"/>
      <c r="I3620" s="1406">
        <f t="shared" si="974"/>
        <v>2</v>
      </c>
      <c r="M3620" s="110"/>
      <c r="Q3620" s="1394">
        <f>IFERROR(VLOOKUP(M3620,#REF!,3,0),0)</f>
        <v>0</v>
      </c>
      <c r="R3620" s="1394">
        <f t="shared" si="970"/>
        <v>0</v>
      </c>
      <c r="S3620" s="1394">
        <f>IFERROR(VLOOKUP(M3620,#REF!,6,0),0)</f>
        <v>0</v>
      </c>
      <c r="T3620" s="1394">
        <f t="shared" si="971"/>
        <v>0</v>
      </c>
      <c r="U3620" s="1394">
        <f>IFERROR(VLOOKUP(M3620,#REF!,5,0),0)</f>
        <v>0</v>
      </c>
      <c r="V3620" s="1394">
        <f t="shared" si="972"/>
        <v>0</v>
      </c>
      <c r="W3620" s="1394"/>
    </row>
    <row r="3621" spans="2:23" ht="30" customHeight="1">
      <c r="B3621" s="1407"/>
      <c r="C3621" s="1540" t="s">
        <v>5566</v>
      </c>
      <c r="D3621" s="103">
        <v>1</v>
      </c>
      <c r="E3621" s="1541">
        <v>1</v>
      </c>
      <c r="F3621" s="1413"/>
      <c r="G3621" s="1413"/>
      <c r="H3621" s="1414"/>
      <c r="I3621" s="1406">
        <f t="shared" si="974"/>
        <v>1</v>
      </c>
      <c r="M3621" s="110"/>
      <c r="Q3621" s="1394">
        <f>IFERROR(VLOOKUP(M3621,#REF!,3,0),0)</f>
        <v>0</v>
      </c>
      <c r="R3621" s="1394">
        <f t="shared" si="970"/>
        <v>0</v>
      </c>
      <c r="S3621" s="1394">
        <f>IFERROR(VLOOKUP(M3621,#REF!,6,0),0)</f>
        <v>0</v>
      </c>
      <c r="T3621" s="1394">
        <f t="shared" si="971"/>
        <v>0</v>
      </c>
      <c r="U3621" s="1394">
        <f>IFERROR(VLOOKUP(M3621,#REF!,5,0),0)</f>
        <v>0</v>
      </c>
      <c r="V3621" s="1394">
        <f t="shared" si="972"/>
        <v>0</v>
      </c>
      <c r="W3621" s="1394"/>
    </row>
    <row r="3622" spans="2:23" ht="30" customHeight="1">
      <c r="B3622" s="1407"/>
      <c r="C3622" s="1540" t="s">
        <v>5550</v>
      </c>
      <c r="D3622" s="103">
        <v>1</v>
      </c>
      <c r="E3622" s="1541">
        <v>2</v>
      </c>
      <c r="F3622" s="1413"/>
      <c r="G3622" s="1413"/>
      <c r="H3622" s="1414"/>
      <c r="I3622" s="1406">
        <f t="shared" si="974"/>
        <v>2</v>
      </c>
      <c r="M3622" s="110"/>
      <c r="Q3622" s="1394">
        <f>IFERROR(VLOOKUP(M3622,#REF!,3,0),0)</f>
        <v>0</v>
      </c>
      <c r="R3622" s="1394">
        <f t="shared" si="970"/>
        <v>0</v>
      </c>
      <c r="S3622" s="1394">
        <f>IFERROR(VLOOKUP(M3622,#REF!,6,0),0)</f>
        <v>0</v>
      </c>
      <c r="T3622" s="1394">
        <f t="shared" si="971"/>
        <v>0</v>
      </c>
      <c r="U3622" s="1394">
        <f>IFERROR(VLOOKUP(M3622,#REF!,5,0),0)</f>
        <v>0</v>
      </c>
      <c r="V3622" s="1394">
        <f t="shared" si="972"/>
        <v>0</v>
      </c>
      <c r="W3622" s="1394"/>
    </row>
    <row r="3623" spans="2:23" ht="30" customHeight="1">
      <c r="B3623" s="1407"/>
      <c r="C3623" s="1540" t="s">
        <v>5567</v>
      </c>
      <c r="D3623" s="103">
        <v>1</v>
      </c>
      <c r="E3623" s="1541">
        <v>1</v>
      </c>
      <c r="F3623" s="1413"/>
      <c r="G3623" s="1413"/>
      <c r="H3623" s="1414"/>
      <c r="I3623" s="1406">
        <f t="shared" si="974"/>
        <v>1</v>
      </c>
      <c r="M3623" s="110"/>
      <c r="Q3623" s="1394">
        <f>IFERROR(VLOOKUP(M3623,#REF!,3,0),0)</f>
        <v>0</v>
      </c>
      <c r="R3623" s="1394">
        <f t="shared" si="970"/>
        <v>0</v>
      </c>
      <c r="S3623" s="1394">
        <f>IFERROR(VLOOKUP(M3623,#REF!,6,0),0)</f>
        <v>0</v>
      </c>
      <c r="T3623" s="1394">
        <f t="shared" si="971"/>
        <v>0</v>
      </c>
      <c r="U3623" s="1394">
        <f>IFERROR(VLOOKUP(M3623,#REF!,5,0),0)</f>
        <v>0</v>
      </c>
      <c r="V3623" s="1394">
        <f t="shared" si="972"/>
        <v>0</v>
      </c>
      <c r="W3623" s="1394"/>
    </row>
    <row r="3624" spans="2:23" ht="30" customHeight="1">
      <c r="B3624" s="1407"/>
      <c r="C3624" s="1540" t="s">
        <v>5568</v>
      </c>
      <c r="D3624" s="103">
        <v>1</v>
      </c>
      <c r="E3624" s="1541">
        <v>1</v>
      </c>
      <c r="F3624" s="1413"/>
      <c r="G3624" s="1413"/>
      <c r="H3624" s="1414"/>
      <c r="I3624" s="1406">
        <f t="shared" si="974"/>
        <v>1</v>
      </c>
      <c r="M3624" s="110"/>
      <c r="Q3624" s="1394">
        <f>IFERROR(VLOOKUP(M3624,#REF!,3,0),0)</f>
        <v>0</v>
      </c>
      <c r="R3624" s="1394">
        <f t="shared" si="970"/>
        <v>0</v>
      </c>
      <c r="S3624" s="1394">
        <f>IFERROR(VLOOKUP(M3624,#REF!,6,0),0)</f>
        <v>0</v>
      </c>
      <c r="T3624" s="1394">
        <f t="shared" si="971"/>
        <v>0</v>
      </c>
      <c r="U3624" s="1394">
        <f>IFERROR(VLOOKUP(M3624,#REF!,5,0),0)</f>
        <v>0</v>
      </c>
      <c r="V3624" s="1394">
        <f t="shared" si="972"/>
        <v>0</v>
      </c>
      <c r="W3624" s="1394"/>
    </row>
    <row r="3625" spans="2:23" ht="30" customHeight="1">
      <c r="B3625" s="1407"/>
      <c r="C3625" s="1538" t="s">
        <v>5505</v>
      </c>
      <c r="D3625" s="1542"/>
      <c r="E3625" s="1539" t="s">
        <v>575</v>
      </c>
      <c r="F3625" s="1413"/>
      <c r="G3625" s="1413"/>
      <c r="H3625" s="1414"/>
      <c r="I3625" s="1406">
        <f t="shared" si="974"/>
        <v>0</v>
      </c>
      <c r="M3625" s="110"/>
      <c r="Q3625" s="1394">
        <f>IFERROR(VLOOKUP(M3625,#REF!,3,0),0)</f>
        <v>0</v>
      </c>
      <c r="R3625" s="1394">
        <f t="shared" si="970"/>
        <v>0</v>
      </c>
      <c r="S3625" s="1394">
        <f>IFERROR(VLOOKUP(M3625,#REF!,6,0),0)</f>
        <v>0</v>
      </c>
      <c r="T3625" s="1394">
        <f t="shared" si="971"/>
        <v>0</v>
      </c>
      <c r="U3625" s="1394">
        <f>IFERROR(VLOOKUP(M3625,#REF!,5,0),0)</f>
        <v>0</v>
      </c>
      <c r="V3625" s="1394">
        <f t="shared" si="972"/>
        <v>0</v>
      </c>
      <c r="W3625" s="1394"/>
    </row>
    <row r="3626" spans="2:23" ht="30" customHeight="1">
      <c r="B3626" s="1407"/>
      <c r="C3626" s="1540" t="s">
        <v>5547</v>
      </c>
      <c r="D3626" s="103">
        <v>1</v>
      </c>
      <c r="E3626" s="1541">
        <v>4</v>
      </c>
      <c r="F3626" s="1413"/>
      <c r="G3626" s="1413"/>
      <c r="H3626" s="1414"/>
      <c r="I3626" s="1406">
        <f t="shared" si="974"/>
        <v>4</v>
      </c>
      <c r="M3626" s="110"/>
      <c r="Q3626" s="1394">
        <f>IFERROR(VLOOKUP(M3626,#REF!,3,0),0)</f>
        <v>0</v>
      </c>
      <c r="R3626" s="1394">
        <f t="shared" si="970"/>
        <v>0</v>
      </c>
      <c r="S3626" s="1394">
        <f>IFERROR(VLOOKUP(M3626,#REF!,6,0),0)</f>
        <v>0</v>
      </c>
      <c r="T3626" s="1394">
        <f t="shared" si="971"/>
        <v>0</v>
      </c>
      <c r="U3626" s="1394">
        <f>IFERROR(VLOOKUP(M3626,#REF!,5,0),0)</f>
        <v>0</v>
      </c>
      <c r="V3626" s="1394">
        <f t="shared" si="972"/>
        <v>0</v>
      </c>
      <c r="W3626" s="1394"/>
    </row>
    <row r="3627" spans="2:23" ht="30" customHeight="1">
      <c r="B3627" s="1407"/>
      <c r="C3627" s="1540" t="s">
        <v>5521</v>
      </c>
      <c r="D3627" s="103">
        <v>1</v>
      </c>
      <c r="E3627" s="1541">
        <v>1</v>
      </c>
      <c r="F3627" s="1413"/>
      <c r="G3627" s="1413"/>
      <c r="H3627" s="1414"/>
      <c r="I3627" s="1406">
        <f t="shared" si="974"/>
        <v>1</v>
      </c>
      <c r="M3627" s="110"/>
      <c r="Q3627" s="1394">
        <f>IFERROR(VLOOKUP(M3627,#REF!,3,0),0)</f>
        <v>0</v>
      </c>
      <c r="R3627" s="1394">
        <f t="shared" si="970"/>
        <v>0</v>
      </c>
      <c r="S3627" s="1394">
        <f>IFERROR(VLOOKUP(M3627,#REF!,6,0),0)</f>
        <v>0</v>
      </c>
      <c r="T3627" s="1394">
        <f t="shared" si="971"/>
        <v>0</v>
      </c>
      <c r="U3627" s="1394">
        <f>IFERROR(VLOOKUP(M3627,#REF!,5,0),0)</f>
        <v>0</v>
      </c>
      <c r="V3627" s="1394">
        <f t="shared" si="972"/>
        <v>0</v>
      </c>
      <c r="W3627" s="1394"/>
    </row>
    <row r="3628" spans="2:23" ht="30" customHeight="1">
      <c r="B3628" s="1407"/>
      <c r="C3628" s="1540" t="s">
        <v>5521</v>
      </c>
      <c r="D3628" s="103">
        <v>1</v>
      </c>
      <c r="E3628" s="1541">
        <v>1</v>
      </c>
      <c r="F3628" s="1413"/>
      <c r="G3628" s="1413"/>
      <c r="H3628" s="1414"/>
      <c r="I3628" s="1406">
        <f t="shared" si="974"/>
        <v>1</v>
      </c>
      <c r="M3628" s="110"/>
      <c r="Q3628" s="1394">
        <f>IFERROR(VLOOKUP(M3628,#REF!,3,0),0)</f>
        <v>0</v>
      </c>
      <c r="R3628" s="1394">
        <f t="shared" si="970"/>
        <v>0</v>
      </c>
      <c r="S3628" s="1394">
        <f>IFERROR(VLOOKUP(M3628,#REF!,6,0),0)</f>
        <v>0</v>
      </c>
      <c r="T3628" s="1394">
        <f t="shared" si="971"/>
        <v>0</v>
      </c>
      <c r="U3628" s="1394">
        <f>IFERROR(VLOOKUP(M3628,#REF!,5,0),0)</f>
        <v>0</v>
      </c>
      <c r="V3628" s="1394">
        <f t="shared" si="972"/>
        <v>0</v>
      </c>
      <c r="W3628" s="1394"/>
    </row>
    <row r="3629" spans="2:23" ht="30" customHeight="1">
      <c r="B3629" s="1407"/>
      <c r="C3629" s="1540" t="s">
        <v>5570</v>
      </c>
      <c r="D3629" s="103">
        <v>1</v>
      </c>
      <c r="E3629" s="1541">
        <v>2</v>
      </c>
      <c r="F3629" s="1413"/>
      <c r="G3629" s="1413"/>
      <c r="H3629" s="1414"/>
      <c r="I3629" s="1406">
        <f t="shared" si="974"/>
        <v>2</v>
      </c>
      <c r="M3629" s="110"/>
      <c r="Q3629" s="1394">
        <f>IFERROR(VLOOKUP(M3629,#REF!,3,0),0)</f>
        <v>0</v>
      </c>
      <c r="R3629" s="1394">
        <f t="shared" si="970"/>
        <v>0</v>
      </c>
      <c r="S3629" s="1394">
        <f>IFERROR(VLOOKUP(M3629,#REF!,6,0),0)</f>
        <v>0</v>
      </c>
      <c r="T3629" s="1394">
        <f t="shared" si="971"/>
        <v>0</v>
      </c>
      <c r="U3629" s="1394">
        <f>IFERROR(VLOOKUP(M3629,#REF!,5,0),0)</f>
        <v>0</v>
      </c>
      <c r="V3629" s="1394">
        <f t="shared" si="972"/>
        <v>0</v>
      </c>
      <c r="W3629" s="1394"/>
    </row>
    <row r="3630" spans="2:23" ht="30" customHeight="1">
      <c r="B3630" s="1407"/>
      <c r="C3630" s="1540" t="s">
        <v>5572</v>
      </c>
      <c r="D3630" s="103">
        <v>1</v>
      </c>
      <c r="E3630" s="1541">
        <v>2</v>
      </c>
      <c r="F3630" s="1413"/>
      <c r="G3630" s="1413"/>
      <c r="H3630" s="1414"/>
      <c r="I3630" s="1406">
        <f t="shared" si="974"/>
        <v>2</v>
      </c>
      <c r="M3630" s="110"/>
      <c r="Q3630" s="1394">
        <f>IFERROR(VLOOKUP(M3630,#REF!,3,0),0)</f>
        <v>0</v>
      </c>
      <c r="R3630" s="1394">
        <f t="shared" ref="R3630:R3693" si="975">ROUND(O3630,2)*ROUND(Q3630,2)</f>
        <v>0</v>
      </c>
      <c r="S3630" s="1394">
        <f>IFERROR(VLOOKUP(M3630,#REF!,6,0),0)</f>
        <v>0</v>
      </c>
      <c r="T3630" s="1394">
        <f t="shared" si="971"/>
        <v>0</v>
      </c>
      <c r="U3630" s="1394">
        <f>IFERROR(VLOOKUP(M3630,#REF!,5,0),0)</f>
        <v>0</v>
      </c>
      <c r="V3630" s="1394">
        <f t="shared" si="972"/>
        <v>0</v>
      </c>
      <c r="W3630" s="1394"/>
    </row>
    <row r="3631" spans="2:23" ht="30" customHeight="1">
      <c r="B3631" s="1407"/>
      <c r="C3631" s="1540" t="s">
        <v>5549</v>
      </c>
      <c r="D3631" s="103">
        <v>1</v>
      </c>
      <c r="E3631" s="1541">
        <v>1</v>
      </c>
      <c r="F3631" s="1413"/>
      <c r="G3631" s="1413"/>
      <c r="H3631" s="1414"/>
      <c r="I3631" s="1406">
        <f t="shared" si="974"/>
        <v>1</v>
      </c>
      <c r="M3631" s="110"/>
      <c r="Q3631" s="1394">
        <f>IFERROR(VLOOKUP(M3631,#REF!,3,0),0)</f>
        <v>0</v>
      </c>
      <c r="R3631" s="1394">
        <f t="shared" si="975"/>
        <v>0</v>
      </c>
      <c r="S3631" s="1394">
        <f>IFERROR(VLOOKUP(M3631,#REF!,6,0),0)</f>
        <v>0</v>
      </c>
      <c r="T3631" s="1394">
        <f t="shared" si="971"/>
        <v>0</v>
      </c>
      <c r="U3631" s="1394">
        <f>IFERROR(VLOOKUP(M3631,#REF!,5,0),0)</f>
        <v>0</v>
      </c>
      <c r="V3631" s="1394">
        <f t="shared" si="972"/>
        <v>0</v>
      </c>
      <c r="W3631" s="1394"/>
    </row>
    <row r="3632" spans="2:23" ht="30" customHeight="1">
      <c r="B3632" s="1407"/>
      <c r="C3632" s="1540" t="s">
        <v>5574</v>
      </c>
      <c r="D3632" s="103">
        <v>1</v>
      </c>
      <c r="E3632" s="1541">
        <v>1</v>
      </c>
      <c r="F3632" s="1413"/>
      <c r="G3632" s="1413"/>
      <c r="H3632" s="1414"/>
      <c r="I3632" s="1406">
        <f t="shared" si="974"/>
        <v>1</v>
      </c>
      <c r="M3632" s="110"/>
      <c r="Q3632" s="1394">
        <f>IFERROR(VLOOKUP(M3632,#REF!,3,0),0)</f>
        <v>0</v>
      </c>
      <c r="R3632" s="1394">
        <f t="shared" si="975"/>
        <v>0</v>
      </c>
      <c r="S3632" s="1394">
        <f>IFERROR(VLOOKUP(M3632,#REF!,6,0),0)</f>
        <v>0</v>
      </c>
      <c r="T3632" s="1394">
        <f t="shared" si="971"/>
        <v>0</v>
      </c>
      <c r="U3632" s="1394">
        <f>IFERROR(VLOOKUP(M3632,#REF!,5,0),0)</f>
        <v>0</v>
      </c>
      <c r="V3632" s="1394">
        <f t="shared" si="972"/>
        <v>0</v>
      </c>
      <c r="W3632" s="1394"/>
    </row>
    <row r="3633" spans="1:26" ht="30" customHeight="1">
      <c r="B3633" s="1407"/>
      <c r="C3633" s="1540" t="s">
        <v>5576</v>
      </c>
      <c r="D3633" s="103">
        <v>1</v>
      </c>
      <c r="E3633" s="1541">
        <v>3</v>
      </c>
      <c r="F3633" s="1413"/>
      <c r="G3633" s="1413"/>
      <c r="H3633" s="1414"/>
      <c r="I3633" s="1406">
        <f t="shared" si="974"/>
        <v>3</v>
      </c>
      <c r="M3633" s="110"/>
      <c r="Q3633" s="1394">
        <f>IFERROR(VLOOKUP(M3633,#REF!,3,0),0)</f>
        <v>0</v>
      </c>
      <c r="R3633" s="1394">
        <f t="shared" si="975"/>
        <v>0</v>
      </c>
      <c r="S3633" s="1394">
        <f>IFERROR(VLOOKUP(M3633,#REF!,6,0),0)</f>
        <v>0</v>
      </c>
      <c r="T3633" s="1394">
        <f t="shared" si="971"/>
        <v>0</v>
      </c>
      <c r="U3633" s="1394">
        <f>IFERROR(VLOOKUP(M3633,#REF!,5,0),0)</f>
        <v>0</v>
      </c>
      <c r="V3633" s="1394">
        <f t="shared" si="972"/>
        <v>0</v>
      </c>
      <c r="W3633" s="1394"/>
    </row>
    <row r="3634" spans="1:26" ht="30" customHeight="1">
      <c r="B3634" s="1407"/>
      <c r="C3634" s="1540" t="s">
        <v>5570</v>
      </c>
      <c r="D3634" s="103">
        <v>1</v>
      </c>
      <c r="E3634" s="1541">
        <v>1</v>
      </c>
      <c r="F3634" s="1413"/>
      <c r="G3634" s="1413"/>
      <c r="H3634" s="1414"/>
      <c r="I3634" s="1406">
        <f t="shared" si="974"/>
        <v>1</v>
      </c>
      <c r="Q3634" s="1394">
        <f>IFERROR(VLOOKUP(M3634,#REF!,3,0),0)</f>
        <v>0</v>
      </c>
      <c r="R3634" s="1394">
        <f t="shared" si="975"/>
        <v>0</v>
      </c>
      <c r="S3634" s="1394">
        <f>IFERROR(VLOOKUP(M3634,#REF!,6,0),0)</f>
        <v>0</v>
      </c>
      <c r="T3634" s="1394">
        <f t="shared" si="971"/>
        <v>0</v>
      </c>
      <c r="U3634" s="1394">
        <f>IFERROR(VLOOKUP(M3634,#REF!,5,0),0)</f>
        <v>0</v>
      </c>
      <c r="V3634" s="1394">
        <f t="shared" si="972"/>
        <v>0</v>
      </c>
      <c r="W3634" s="1394"/>
    </row>
    <row r="3635" spans="1:26" ht="30" customHeight="1">
      <c r="B3635" s="1407"/>
      <c r="C3635" s="1540"/>
      <c r="D3635" s="1543"/>
      <c r="E3635" s="1543" t="s">
        <v>575</v>
      </c>
      <c r="F3635" s="1413"/>
      <c r="G3635" s="1413"/>
      <c r="H3635" s="1414"/>
      <c r="I3635" s="1406">
        <f t="shared" si="974"/>
        <v>0</v>
      </c>
      <c r="M3635" s="110"/>
      <c r="Q3635" s="1394">
        <f>IFERROR(VLOOKUP(M3635,#REF!,3,0),0)</f>
        <v>0</v>
      </c>
      <c r="R3635" s="1394">
        <f t="shared" si="975"/>
        <v>0</v>
      </c>
      <c r="S3635" s="1394">
        <f>IFERROR(VLOOKUP(M3635,#REF!,6,0),0)</f>
        <v>0</v>
      </c>
      <c r="T3635" s="1394">
        <f t="shared" si="971"/>
        <v>0</v>
      </c>
      <c r="U3635" s="1394">
        <f>IFERROR(VLOOKUP(M3635,#REF!,5,0),0)</f>
        <v>0</v>
      </c>
      <c r="V3635" s="1394">
        <f t="shared" si="972"/>
        <v>0</v>
      </c>
      <c r="W3635" s="1394"/>
    </row>
    <row r="3636" spans="1:26" ht="30" customHeight="1">
      <c r="B3636" s="1407"/>
      <c r="C3636" s="1455"/>
      <c r="D3636" s="103"/>
      <c r="E3636" s="103"/>
      <c r="F3636" s="1413"/>
      <c r="G3636" s="1413"/>
      <c r="H3636" s="1414"/>
      <c r="I3636" s="1479">
        <f>SUM(I3599:I3635)</f>
        <v>51</v>
      </c>
      <c r="Q3636" s="1394">
        <f>IFERROR(VLOOKUP(M3636,#REF!,3,0),0)</f>
        <v>0</v>
      </c>
      <c r="R3636" s="1394">
        <f t="shared" si="975"/>
        <v>0</v>
      </c>
      <c r="S3636" s="1394">
        <f>IFERROR(VLOOKUP(M3636,#REF!,6,0),0)</f>
        <v>0</v>
      </c>
      <c r="T3636" s="1394">
        <f t="shared" si="971"/>
        <v>0</v>
      </c>
      <c r="U3636" s="1394">
        <f>IFERROR(VLOOKUP(M3636,#REF!,5,0),0)</f>
        <v>0</v>
      </c>
      <c r="V3636" s="1394">
        <f t="shared" si="972"/>
        <v>0</v>
      </c>
      <c r="W3636" s="1394"/>
    </row>
    <row r="3637" spans="1:26" ht="21.75" customHeight="1">
      <c r="B3637" s="1407"/>
      <c r="C3637" s="1455"/>
      <c r="D3637" s="103"/>
      <c r="E3637" s="103"/>
      <c r="F3637" s="1413"/>
      <c r="G3637" s="1483" t="s">
        <v>11</v>
      </c>
      <c r="H3637" s="1478">
        <f>I3636</f>
        <v>51</v>
      </c>
      <c r="I3637" s="1479" t="s">
        <v>13</v>
      </c>
      <c r="M3637" s="1394" t="str">
        <f>A3598</f>
        <v>Wiring with 1.5 Sqm.m PVC insulated single core multi strand fire retardant flexible copper cable with ISI mark confirming IS: 694:1990 for Fan point.</v>
      </c>
      <c r="N3637" s="1394">
        <f>B3598</f>
        <v>65.099999999999994</v>
      </c>
      <c r="O3637" s="1394">
        <f>H3637</f>
        <v>51</v>
      </c>
      <c r="P3637" s="1394" t="str">
        <f>I3637</f>
        <v>Nos</v>
      </c>
      <c r="Q3637" s="1394">
        <f>IFERROR(VLOOKUP(M3637,#REF!,3,0),0)</f>
        <v>0</v>
      </c>
      <c r="R3637" s="1394">
        <f t="shared" si="975"/>
        <v>0</v>
      </c>
      <c r="S3637" s="1394">
        <f>IFERROR(VLOOKUP(M3637,#REF!,6,0),0)</f>
        <v>0</v>
      </c>
      <c r="T3637" s="1394">
        <f t="shared" si="971"/>
        <v>0</v>
      </c>
      <c r="U3637" s="1394">
        <f>IFERROR(VLOOKUP(M3637,#REF!,5,0),0)</f>
        <v>0</v>
      </c>
      <c r="V3637" s="1394">
        <f t="shared" si="972"/>
        <v>51</v>
      </c>
      <c r="W3637" s="1394"/>
      <c r="Z3637" s="1394"/>
    </row>
    <row r="3638" spans="1:26" ht="125.25" customHeight="1">
      <c r="A3638" s="110" t="s">
        <v>490</v>
      </c>
      <c r="B3638" s="1513">
        <v>66</v>
      </c>
      <c r="C3638" s="1678" t="e">
        <f>VLOOKUP(A3638,#REF!,2,0)</f>
        <v>#REF!</v>
      </c>
      <c r="D3638" s="1678"/>
      <c r="E3638" s="1678"/>
      <c r="F3638" s="1678"/>
      <c r="G3638" s="1678"/>
      <c r="H3638" s="1678"/>
      <c r="I3638" s="1406"/>
      <c r="Q3638" s="1394">
        <f>IFERROR(VLOOKUP(M3638,#REF!,3,0),0)</f>
        <v>0</v>
      </c>
      <c r="R3638" s="1394">
        <f t="shared" si="975"/>
        <v>0</v>
      </c>
      <c r="S3638" s="1394">
        <f>IFERROR(VLOOKUP(M3638,#REF!,6,0),0)</f>
        <v>0</v>
      </c>
      <c r="T3638" s="1394">
        <f t="shared" si="971"/>
        <v>0</v>
      </c>
      <c r="U3638" s="1394">
        <f>IFERROR(VLOOKUP(M3638,#REF!,5,0),0)</f>
        <v>0</v>
      </c>
      <c r="V3638" s="1394">
        <f t="shared" si="972"/>
        <v>0</v>
      </c>
      <c r="W3638" s="1394"/>
      <c r="X3638" s="1397"/>
    </row>
    <row r="3639" spans="1:26" ht="30" customHeight="1">
      <c r="B3639" s="1407"/>
      <c r="C3639" s="1455" t="s">
        <v>5906</v>
      </c>
      <c r="D3639" s="103">
        <v>1</v>
      </c>
      <c r="E3639" s="103">
        <v>4</v>
      </c>
      <c r="F3639" s="1413"/>
      <c r="G3639" s="1413"/>
      <c r="H3639" s="1414"/>
      <c r="I3639" s="1479">
        <f>PRODUCT(D3639:H3639)</f>
        <v>4</v>
      </c>
      <c r="Q3639" s="1394">
        <f>IFERROR(VLOOKUP(M3639,#REF!,3,0),0)</f>
        <v>0</v>
      </c>
      <c r="R3639" s="1394">
        <f t="shared" si="975"/>
        <v>0</v>
      </c>
      <c r="S3639" s="1394">
        <f>IFERROR(VLOOKUP(M3639,#REF!,6,0),0)</f>
        <v>0</v>
      </c>
      <c r="T3639" s="1394">
        <f t="shared" si="971"/>
        <v>0</v>
      </c>
      <c r="U3639" s="1394">
        <f>IFERROR(VLOOKUP(M3639,#REF!,5,0),0)</f>
        <v>0</v>
      </c>
      <c r="V3639" s="1394">
        <f t="shared" si="972"/>
        <v>0</v>
      </c>
      <c r="W3639" s="1394"/>
    </row>
    <row r="3640" spans="1:26" ht="18" customHeight="1">
      <c r="B3640" s="1407"/>
      <c r="C3640" s="1455"/>
      <c r="D3640" s="103"/>
      <c r="E3640" s="103"/>
      <c r="F3640" s="1413"/>
      <c r="G3640" s="1483" t="s">
        <v>11</v>
      </c>
      <c r="H3640" s="1478">
        <f>ROUNDUP(I3639,1)</f>
        <v>4</v>
      </c>
      <c r="I3640" s="1479" t="s">
        <v>13</v>
      </c>
      <c r="M3640" s="1394" t="str">
        <f>A3638</f>
        <v>Wiring with 1.5 Sqm.m PVC insulated single core multi strand fire retardant flexible copper cable with ISI mark confirming IS: 694:1990 for Staircase Light Point.</v>
      </c>
      <c r="N3640" s="1394">
        <f>B3638</f>
        <v>66</v>
      </c>
      <c r="O3640" s="1394">
        <f>H3640</f>
        <v>4</v>
      </c>
      <c r="P3640" s="1394" t="str">
        <f>I3640</f>
        <v>Nos</v>
      </c>
      <c r="Q3640" s="1394">
        <f>IFERROR(VLOOKUP(M3640,#REF!,3,0),0)</f>
        <v>0</v>
      </c>
      <c r="R3640" s="1394">
        <f t="shared" si="975"/>
        <v>0</v>
      </c>
      <c r="S3640" s="1394">
        <f>IFERROR(VLOOKUP(M3640,#REF!,6,0),0)</f>
        <v>0</v>
      </c>
      <c r="T3640" s="1394">
        <f t="shared" si="971"/>
        <v>0</v>
      </c>
      <c r="U3640" s="1394">
        <f>IFERROR(VLOOKUP(M3640,#REF!,5,0),0)</f>
        <v>0</v>
      </c>
      <c r="V3640" s="1394">
        <f t="shared" si="972"/>
        <v>4</v>
      </c>
      <c r="W3640" s="1394"/>
      <c r="Z3640" s="1394"/>
    </row>
    <row r="3641" spans="1:26" ht="141" customHeight="1">
      <c r="A3641" s="110" t="s">
        <v>491</v>
      </c>
      <c r="B3641" s="1513">
        <v>67</v>
      </c>
      <c r="C3641" s="1678" t="e">
        <f>VLOOKUP(A3641,#REF!,2,0)</f>
        <v>#REF!</v>
      </c>
      <c r="D3641" s="1678"/>
      <c r="E3641" s="1678"/>
      <c r="F3641" s="1678"/>
      <c r="G3641" s="1678"/>
      <c r="H3641" s="1678"/>
      <c r="I3641" s="1406"/>
      <c r="Q3641" s="1394">
        <f>IFERROR(VLOOKUP(M3641,#REF!,3,0),0)</f>
        <v>0</v>
      </c>
      <c r="R3641" s="1394">
        <f t="shared" si="975"/>
        <v>0</v>
      </c>
      <c r="S3641" s="1394">
        <f>IFERROR(VLOOKUP(M3641,#REF!,6,0),0)</f>
        <v>0</v>
      </c>
      <c r="T3641" s="1394">
        <f t="shared" si="971"/>
        <v>0</v>
      </c>
      <c r="U3641" s="1394">
        <f>IFERROR(VLOOKUP(M3641,#REF!,5,0),0)</f>
        <v>0</v>
      </c>
      <c r="V3641" s="1394">
        <f t="shared" si="972"/>
        <v>0</v>
      </c>
      <c r="W3641" s="1394"/>
      <c r="X3641" s="1397"/>
    </row>
    <row r="3642" spans="1:26" ht="30" customHeight="1">
      <c r="B3642" s="1405"/>
      <c r="C3642" s="1538" t="s">
        <v>5874</v>
      </c>
      <c r="D3642" s="103"/>
      <c r="E3642" s="1539" t="s">
        <v>575</v>
      </c>
      <c r="F3642" s="1413"/>
      <c r="G3642" s="1413"/>
      <c r="H3642" s="1414"/>
      <c r="I3642" s="1406"/>
      <c r="Q3642" s="1394">
        <f>IFERROR(VLOOKUP(M3642,#REF!,3,0),0)</f>
        <v>0</v>
      </c>
      <c r="R3642" s="1394">
        <f t="shared" si="975"/>
        <v>0</v>
      </c>
      <c r="S3642" s="1394">
        <f>IFERROR(VLOOKUP(M3642,#REF!,6,0),0)</f>
        <v>0</v>
      </c>
      <c r="T3642" s="1394">
        <f t="shared" si="971"/>
        <v>0</v>
      </c>
      <c r="U3642" s="1394">
        <f>IFERROR(VLOOKUP(M3642,#REF!,5,0),0)</f>
        <v>0</v>
      </c>
      <c r="V3642" s="1394">
        <f t="shared" si="972"/>
        <v>0</v>
      </c>
      <c r="W3642" s="1394"/>
    </row>
    <row r="3643" spans="1:26" ht="30" customHeight="1">
      <c r="B3643" s="1407"/>
      <c r="C3643" s="1540" t="s">
        <v>5521</v>
      </c>
      <c r="D3643" s="103">
        <v>1</v>
      </c>
      <c r="E3643" s="1541">
        <v>1</v>
      </c>
      <c r="F3643" s="1413"/>
      <c r="G3643" s="1413"/>
      <c r="H3643" s="1414"/>
      <c r="I3643" s="1406">
        <f t="shared" ref="I3643:I3674" si="976">PRODUCT(D3643:H3643)</f>
        <v>1</v>
      </c>
      <c r="L3643" s="110">
        <f>4.355*6</f>
        <v>26.130000000000003</v>
      </c>
      <c r="M3643" s="110"/>
      <c r="Q3643" s="1394">
        <f>IFERROR(VLOOKUP(M3643,#REF!,3,0),0)</f>
        <v>0</v>
      </c>
      <c r="R3643" s="1394">
        <f t="shared" si="975"/>
        <v>0</v>
      </c>
      <c r="S3643" s="1394">
        <f>IFERROR(VLOOKUP(M3643,#REF!,6,0),0)</f>
        <v>0</v>
      </c>
      <c r="T3643" s="1394">
        <f t="shared" si="971"/>
        <v>0</v>
      </c>
      <c r="U3643" s="1394">
        <f>IFERROR(VLOOKUP(M3643,#REF!,5,0),0)</f>
        <v>0</v>
      </c>
      <c r="V3643" s="1394">
        <f t="shared" si="972"/>
        <v>0</v>
      </c>
      <c r="W3643" s="1394"/>
    </row>
    <row r="3644" spans="1:26" ht="30" customHeight="1">
      <c r="B3644" s="1407"/>
      <c r="C3644" s="1540" t="s">
        <v>5521</v>
      </c>
      <c r="D3644" s="103">
        <v>1</v>
      </c>
      <c r="E3644" s="1541">
        <v>1</v>
      </c>
      <c r="F3644" s="1413"/>
      <c r="G3644" s="1413"/>
      <c r="H3644" s="1414"/>
      <c r="I3644" s="1406">
        <f t="shared" si="976"/>
        <v>1</v>
      </c>
      <c r="M3644" s="110"/>
      <c r="Q3644" s="1394">
        <f>IFERROR(VLOOKUP(M3644,#REF!,3,0),0)</f>
        <v>0</v>
      </c>
      <c r="R3644" s="1394">
        <f t="shared" si="975"/>
        <v>0</v>
      </c>
      <c r="S3644" s="1394">
        <f>IFERROR(VLOOKUP(M3644,#REF!,6,0),0)</f>
        <v>0</v>
      </c>
      <c r="T3644" s="1394">
        <f t="shared" si="971"/>
        <v>0</v>
      </c>
      <c r="U3644" s="1394">
        <f>IFERROR(VLOOKUP(M3644,#REF!,5,0),0)</f>
        <v>0</v>
      </c>
      <c r="V3644" s="1394">
        <f t="shared" si="972"/>
        <v>0</v>
      </c>
      <c r="W3644" s="1394"/>
    </row>
    <row r="3645" spans="1:26" ht="30" customHeight="1">
      <c r="B3645" s="1407"/>
      <c r="C3645" s="1540" t="s">
        <v>5878</v>
      </c>
      <c r="D3645" s="103">
        <v>1</v>
      </c>
      <c r="E3645" s="1541">
        <v>1</v>
      </c>
      <c r="F3645" s="1413"/>
      <c r="G3645" s="1413"/>
      <c r="H3645" s="1414"/>
      <c r="I3645" s="1406">
        <f t="shared" si="976"/>
        <v>1</v>
      </c>
      <c r="M3645" s="110"/>
      <c r="Q3645" s="1394">
        <f>IFERROR(VLOOKUP(M3645,#REF!,3,0),0)</f>
        <v>0</v>
      </c>
      <c r="R3645" s="1394">
        <f t="shared" si="975"/>
        <v>0</v>
      </c>
      <c r="S3645" s="1394">
        <f>IFERROR(VLOOKUP(M3645,#REF!,6,0),0)</f>
        <v>0</v>
      </c>
      <c r="T3645" s="1394">
        <f t="shared" si="971"/>
        <v>0</v>
      </c>
      <c r="U3645" s="1394">
        <f>IFERROR(VLOOKUP(M3645,#REF!,5,0),0)</f>
        <v>0</v>
      </c>
      <c r="V3645" s="1394">
        <f t="shared" si="972"/>
        <v>0</v>
      </c>
      <c r="W3645" s="1394"/>
    </row>
    <row r="3646" spans="1:26" ht="30" customHeight="1">
      <c r="B3646" s="1407"/>
      <c r="C3646" s="1540" t="s">
        <v>5880</v>
      </c>
      <c r="D3646" s="103">
        <v>1</v>
      </c>
      <c r="E3646" s="1541">
        <v>1</v>
      </c>
      <c r="F3646" s="1413"/>
      <c r="G3646" s="1413"/>
      <c r="H3646" s="1414"/>
      <c r="I3646" s="1406">
        <f t="shared" si="976"/>
        <v>1</v>
      </c>
      <c r="M3646" s="110"/>
      <c r="Q3646" s="1394">
        <f>IFERROR(VLOOKUP(M3646,#REF!,3,0),0)</f>
        <v>0</v>
      </c>
      <c r="R3646" s="1394">
        <f t="shared" si="975"/>
        <v>0</v>
      </c>
      <c r="S3646" s="1394">
        <f>IFERROR(VLOOKUP(M3646,#REF!,6,0),0)</f>
        <v>0</v>
      </c>
      <c r="T3646" s="1394">
        <f t="shared" si="971"/>
        <v>0</v>
      </c>
      <c r="U3646" s="1394">
        <f>IFERROR(VLOOKUP(M3646,#REF!,5,0),0)</f>
        <v>0</v>
      </c>
      <c r="V3646" s="1394">
        <f t="shared" si="972"/>
        <v>0</v>
      </c>
      <c r="W3646" s="1394"/>
    </row>
    <row r="3647" spans="1:26" ht="30" customHeight="1">
      <c r="B3647" s="1407"/>
      <c r="C3647" s="1540" t="s">
        <v>5881</v>
      </c>
      <c r="D3647" s="103">
        <v>1</v>
      </c>
      <c r="E3647" s="1541">
        <v>1</v>
      </c>
      <c r="F3647" s="1413"/>
      <c r="G3647" s="1413"/>
      <c r="H3647" s="1414"/>
      <c r="I3647" s="1406">
        <f t="shared" si="976"/>
        <v>1</v>
      </c>
      <c r="M3647" s="110"/>
      <c r="Q3647" s="1394">
        <f>IFERROR(VLOOKUP(M3647,#REF!,3,0),0)</f>
        <v>0</v>
      </c>
      <c r="R3647" s="1394">
        <f t="shared" si="975"/>
        <v>0</v>
      </c>
      <c r="S3647" s="1394">
        <f>IFERROR(VLOOKUP(M3647,#REF!,6,0),0)</f>
        <v>0</v>
      </c>
      <c r="T3647" s="1394">
        <f t="shared" si="971"/>
        <v>0</v>
      </c>
      <c r="U3647" s="1394">
        <f>IFERROR(VLOOKUP(M3647,#REF!,5,0),0)</f>
        <v>0</v>
      </c>
      <c r="V3647" s="1394">
        <f t="shared" si="972"/>
        <v>0</v>
      </c>
      <c r="W3647" s="1394"/>
    </row>
    <row r="3648" spans="1:26" ht="30" customHeight="1">
      <c r="B3648" s="1407"/>
      <c r="C3648" s="1540" t="s">
        <v>5882</v>
      </c>
      <c r="D3648" s="103">
        <v>1</v>
      </c>
      <c r="E3648" s="1541">
        <v>1</v>
      </c>
      <c r="F3648" s="1413"/>
      <c r="G3648" s="1413"/>
      <c r="H3648" s="1414"/>
      <c r="I3648" s="1406">
        <f t="shared" si="976"/>
        <v>1</v>
      </c>
      <c r="M3648" s="110"/>
      <c r="Q3648" s="1394">
        <f>IFERROR(VLOOKUP(M3648,#REF!,3,0),0)</f>
        <v>0</v>
      </c>
      <c r="R3648" s="1394">
        <f t="shared" si="975"/>
        <v>0</v>
      </c>
      <c r="S3648" s="1394">
        <f>IFERROR(VLOOKUP(M3648,#REF!,6,0),0)</f>
        <v>0</v>
      </c>
      <c r="T3648" s="1394">
        <f t="shared" si="971"/>
        <v>0</v>
      </c>
      <c r="U3648" s="1394">
        <f>IFERROR(VLOOKUP(M3648,#REF!,5,0),0)</f>
        <v>0</v>
      </c>
      <c r="V3648" s="1394">
        <f t="shared" si="972"/>
        <v>0</v>
      </c>
      <c r="W3648" s="1394"/>
    </row>
    <row r="3649" spans="2:23" ht="30" customHeight="1">
      <c r="B3649" s="1407"/>
      <c r="C3649" s="1538" t="s">
        <v>5503</v>
      </c>
      <c r="D3649" s="103"/>
      <c r="E3649" s="1539" t="s">
        <v>575</v>
      </c>
      <c r="F3649" s="1413"/>
      <c r="G3649" s="1413"/>
      <c r="H3649" s="1414"/>
      <c r="I3649" s="1406">
        <f t="shared" si="976"/>
        <v>0</v>
      </c>
      <c r="M3649" s="110"/>
      <c r="Q3649" s="1394">
        <f>IFERROR(VLOOKUP(M3649,#REF!,3,0),0)</f>
        <v>0</v>
      </c>
      <c r="R3649" s="1394">
        <f t="shared" si="975"/>
        <v>0</v>
      </c>
      <c r="S3649" s="1394">
        <f>IFERROR(VLOOKUP(M3649,#REF!,6,0),0)</f>
        <v>0</v>
      </c>
      <c r="T3649" s="1394">
        <f t="shared" si="971"/>
        <v>0</v>
      </c>
      <c r="U3649" s="1394">
        <f>IFERROR(VLOOKUP(M3649,#REF!,5,0),0)</f>
        <v>0</v>
      </c>
      <c r="V3649" s="1394">
        <f t="shared" si="972"/>
        <v>0</v>
      </c>
      <c r="W3649" s="1394"/>
    </row>
    <row r="3650" spans="2:23" ht="30" customHeight="1">
      <c r="B3650" s="1407"/>
      <c r="C3650" s="1540" t="s">
        <v>5547</v>
      </c>
      <c r="D3650" s="103">
        <v>1</v>
      </c>
      <c r="E3650" s="1541">
        <v>4</v>
      </c>
      <c r="F3650" s="1413"/>
      <c r="G3650" s="1413"/>
      <c r="H3650" s="1414"/>
      <c r="I3650" s="1406">
        <f t="shared" si="976"/>
        <v>4</v>
      </c>
      <c r="M3650" s="110"/>
      <c r="Q3650" s="1394">
        <f>IFERROR(VLOOKUP(M3650,#REF!,3,0),0)</f>
        <v>0</v>
      </c>
      <c r="R3650" s="1394">
        <f t="shared" si="975"/>
        <v>0</v>
      </c>
      <c r="S3650" s="1394">
        <f>IFERROR(VLOOKUP(M3650,#REF!,6,0),0)</f>
        <v>0</v>
      </c>
      <c r="T3650" s="1394">
        <f t="shared" si="971"/>
        <v>0</v>
      </c>
      <c r="U3650" s="1394">
        <f>IFERROR(VLOOKUP(M3650,#REF!,5,0),0)</f>
        <v>0</v>
      </c>
      <c r="V3650" s="1394">
        <f t="shared" si="972"/>
        <v>0</v>
      </c>
      <c r="W3650" s="1394"/>
    </row>
    <row r="3651" spans="2:23" ht="30" customHeight="1">
      <c r="B3651" s="1407"/>
      <c r="C3651" s="1540" t="s">
        <v>5521</v>
      </c>
      <c r="D3651" s="103">
        <v>1</v>
      </c>
      <c r="E3651" s="1541">
        <v>1</v>
      </c>
      <c r="F3651" s="1413"/>
      <c r="G3651" s="1413"/>
      <c r="H3651" s="1414"/>
      <c r="I3651" s="1406">
        <f t="shared" si="976"/>
        <v>1</v>
      </c>
      <c r="M3651" s="110"/>
      <c r="Q3651" s="1394">
        <f>IFERROR(VLOOKUP(M3651,#REF!,3,0),0)</f>
        <v>0</v>
      </c>
      <c r="R3651" s="1394">
        <f t="shared" si="975"/>
        <v>0</v>
      </c>
      <c r="S3651" s="1394">
        <f>IFERROR(VLOOKUP(M3651,#REF!,6,0),0)</f>
        <v>0</v>
      </c>
      <c r="T3651" s="1394">
        <f t="shared" ref="T3651:T3714" si="977">R3651-S3651</f>
        <v>0</v>
      </c>
      <c r="U3651" s="1394">
        <f>IFERROR(VLOOKUP(M3651,#REF!,5,0),0)</f>
        <v>0</v>
      </c>
      <c r="V3651" s="1394">
        <f t="shared" ref="V3651:V3714" si="978">O3651-U3651</f>
        <v>0</v>
      </c>
      <c r="W3651" s="1394"/>
    </row>
    <row r="3652" spans="2:23" ht="30" customHeight="1">
      <c r="B3652" s="1407"/>
      <c r="C3652" s="1540" t="s">
        <v>5549</v>
      </c>
      <c r="D3652" s="103">
        <v>1</v>
      </c>
      <c r="E3652" s="1541">
        <v>2</v>
      </c>
      <c r="F3652" s="1413"/>
      <c r="G3652" s="1413"/>
      <c r="H3652" s="1414"/>
      <c r="I3652" s="1406">
        <f t="shared" si="976"/>
        <v>2</v>
      </c>
      <c r="M3652" s="110"/>
      <c r="Q3652" s="1394">
        <f>IFERROR(VLOOKUP(M3652,#REF!,3,0),0)</f>
        <v>0</v>
      </c>
      <c r="R3652" s="1394">
        <f t="shared" si="975"/>
        <v>0</v>
      </c>
      <c r="S3652" s="1394">
        <f>IFERROR(VLOOKUP(M3652,#REF!,6,0),0)</f>
        <v>0</v>
      </c>
      <c r="T3652" s="1394">
        <f t="shared" si="977"/>
        <v>0</v>
      </c>
      <c r="U3652" s="1394">
        <f>IFERROR(VLOOKUP(M3652,#REF!,5,0),0)</f>
        <v>0</v>
      </c>
      <c r="V3652" s="1394">
        <f t="shared" si="978"/>
        <v>0</v>
      </c>
      <c r="W3652" s="1394"/>
    </row>
    <row r="3653" spans="2:23" ht="30" customHeight="1">
      <c r="B3653" s="1407"/>
      <c r="C3653" s="1540" t="s">
        <v>5550</v>
      </c>
      <c r="D3653" s="103">
        <v>1</v>
      </c>
      <c r="E3653" s="1541">
        <v>2</v>
      </c>
      <c r="F3653" s="1413"/>
      <c r="G3653" s="1413"/>
      <c r="H3653" s="1414"/>
      <c r="I3653" s="1406">
        <f t="shared" si="976"/>
        <v>2</v>
      </c>
      <c r="M3653" s="110"/>
      <c r="Q3653" s="1394">
        <f>IFERROR(VLOOKUP(M3653,#REF!,3,0),0)</f>
        <v>0</v>
      </c>
      <c r="R3653" s="1394">
        <f t="shared" si="975"/>
        <v>0</v>
      </c>
      <c r="S3653" s="1394">
        <f>IFERROR(VLOOKUP(M3653,#REF!,6,0),0)</f>
        <v>0</v>
      </c>
      <c r="T3653" s="1394">
        <f t="shared" si="977"/>
        <v>0</v>
      </c>
      <c r="U3653" s="1394">
        <f>IFERROR(VLOOKUP(M3653,#REF!,5,0),0)</f>
        <v>0</v>
      </c>
      <c r="V3653" s="1394">
        <f t="shared" si="978"/>
        <v>0</v>
      </c>
      <c r="W3653" s="1394"/>
    </row>
    <row r="3654" spans="2:23" ht="30" customHeight="1">
      <c r="B3654" s="1407"/>
      <c r="C3654" s="1540" t="s">
        <v>5552</v>
      </c>
      <c r="D3654" s="103">
        <v>1</v>
      </c>
      <c r="E3654" s="1541">
        <v>2</v>
      </c>
      <c r="F3654" s="1413"/>
      <c r="G3654" s="1413"/>
      <c r="H3654" s="1414"/>
      <c r="I3654" s="1406">
        <f t="shared" si="976"/>
        <v>2</v>
      </c>
      <c r="Q3654" s="1394">
        <f>IFERROR(VLOOKUP(M3654,#REF!,3,0),0)</f>
        <v>0</v>
      </c>
      <c r="R3654" s="1394">
        <f t="shared" si="975"/>
        <v>0</v>
      </c>
      <c r="S3654" s="1394">
        <f>IFERROR(VLOOKUP(M3654,#REF!,6,0),0)</f>
        <v>0</v>
      </c>
      <c r="T3654" s="1394">
        <f t="shared" si="977"/>
        <v>0</v>
      </c>
      <c r="U3654" s="1394">
        <f>IFERROR(VLOOKUP(M3654,#REF!,5,0),0)</f>
        <v>0</v>
      </c>
      <c r="V3654" s="1394">
        <f t="shared" si="978"/>
        <v>0</v>
      </c>
      <c r="W3654" s="1394"/>
    </row>
    <row r="3655" spans="2:23" ht="30" customHeight="1">
      <c r="B3655" s="1407"/>
      <c r="C3655" s="1540" t="s">
        <v>5557</v>
      </c>
      <c r="D3655" s="103">
        <v>1</v>
      </c>
      <c r="E3655" s="1541">
        <v>2</v>
      </c>
      <c r="F3655" s="1413"/>
      <c r="G3655" s="1413"/>
      <c r="H3655" s="1414"/>
      <c r="I3655" s="1406">
        <f t="shared" si="976"/>
        <v>2</v>
      </c>
      <c r="Q3655" s="1394">
        <f>IFERROR(VLOOKUP(M3655,#REF!,3,0),0)</f>
        <v>0</v>
      </c>
      <c r="R3655" s="1394">
        <f t="shared" si="975"/>
        <v>0</v>
      </c>
      <c r="S3655" s="1394">
        <f>IFERROR(VLOOKUP(M3655,#REF!,6,0),0)</f>
        <v>0</v>
      </c>
      <c r="T3655" s="1394">
        <f t="shared" si="977"/>
        <v>0</v>
      </c>
      <c r="U3655" s="1394">
        <f>IFERROR(VLOOKUP(M3655,#REF!,5,0),0)</f>
        <v>0</v>
      </c>
      <c r="V3655" s="1394">
        <f t="shared" si="978"/>
        <v>0</v>
      </c>
      <c r="W3655" s="1394"/>
    </row>
    <row r="3656" spans="2:23" ht="30" customHeight="1">
      <c r="B3656" s="1407"/>
      <c r="C3656" s="1540" t="s">
        <v>5558</v>
      </c>
      <c r="D3656" s="103">
        <v>1</v>
      </c>
      <c r="E3656" s="1541">
        <v>2</v>
      </c>
      <c r="F3656" s="1413"/>
      <c r="G3656" s="1413"/>
      <c r="H3656" s="1414"/>
      <c r="I3656" s="1406">
        <f t="shared" si="976"/>
        <v>2</v>
      </c>
      <c r="Q3656" s="1394">
        <f>IFERROR(VLOOKUP(M3656,#REF!,3,0),0)</f>
        <v>0</v>
      </c>
      <c r="R3656" s="1394">
        <f t="shared" si="975"/>
        <v>0</v>
      </c>
      <c r="S3656" s="1394">
        <f>IFERROR(VLOOKUP(M3656,#REF!,6,0),0)</f>
        <v>0</v>
      </c>
      <c r="T3656" s="1394">
        <f t="shared" si="977"/>
        <v>0</v>
      </c>
      <c r="U3656" s="1394">
        <f>IFERROR(VLOOKUP(M3656,#REF!,5,0),0)</f>
        <v>0</v>
      </c>
      <c r="V3656" s="1394">
        <f t="shared" si="978"/>
        <v>0</v>
      </c>
      <c r="W3656" s="1394"/>
    </row>
    <row r="3657" spans="2:23" ht="30" customHeight="1">
      <c r="B3657" s="1407"/>
      <c r="C3657" s="1540" t="s">
        <v>5559</v>
      </c>
      <c r="D3657" s="103">
        <v>1</v>
      </c>
      <c r="E3657" s="1541">
        <v>1</v>
      </c>
      <c r="F3657" s="1413"/>
      <c r="G3657" s="1413"/>
      <c r="H3657" s="1414"/>
      <c r="I3657" s="1406">
        <f t="shared" si="976"/>
        <v>1</v>
      </c>
      <c r="Q3657" s="1394">
        <f>IFERROR(VLOOKUP(M3657,#REF!,3,0),0)</f>
        <v>0</v>
      </c>
      <c r="R3657" s="1394">
        <f t="shared" si="975"/>
        <v>0</v>
      </c>
      <c r="S3657" s="1394">
        <f>IFERROR(VLOOKUP(M3657,#REF!,6,0),0)</f>
        <v>0</v>
      </c>
      <c r="T3657" s="1394">
        <f t="shared" si="977"/>
        <v>0</v>
      </c>
      <c r="U3657" s="1394">
        <f>IFERROR(VLOOKUP(M3657,#REF!,5,0),0)</f>
        <v>0</v>
      </c>
      <c r="V3657" s="1394">
        <f t="shared" si="978"/>
        <v>0</v>
      </c>
      <c r="W3657" s="1394"/>
    </row>
    <row r="3658" spans="2:23" ht="30" customHeight="1">
      <c r="B3658" s="1407"/>
      <c r="C3658" s="1540" t="s">
        <v>5561</v>
      </c>
      <c r="D3658" s="103">
        <v>1</v>
      </c>
      <c r="E3658" s="1541">
        <v>1</v>
      </c>
      <c r="F3658" s="1413"/>
      <c r="G3658" s="1413"/>
      <c r="H3658" s="1414"/>
      <c r="I3658" s="1406">
        <f t="shared" si="976"/>
        <v>1</v>
      </c>
      <c r="Q3658" s="1394">
        <f>IFERROR(VLOOKUP(M3658,#REF!,3,0),0)</f>
        <v>0</v>
      </c>
      <c r="R3658" s="1394">
        <f t="shared" si="975"/>
        <v>0</v>
      </c>
      <c r="S3658" s="1394">
        <f>IFERROR(VLOOKUP(M3658,#REF!,6,0),0)</f>
        <v>0</v>
      </c>
      <c r="T3658" s="1394">
        <f t="shared" si="977"/>
        <v>0</v>
      </c>
      <c r="U3658" s="1394">
        <f>IFERROR(VLOOKUP(M3658,#REF!,5,0),0)</f>
        <v>0</v>
      </c>
      <c r="V3658" s="1394">
        <f t="shared" si="978"/>
        <v>0</v>
      </c>
      <c r="W3658" s="1394"/>
    </row>
    <row r="3659" spans="2:23" ht="30" customHeight="1">
      <c r="B3659" s="1407"/>
      <c r="C3659" s="1538" t="s">
        <v>5504</v>
      </c>
      <c r="D3659" s="103"/>
      <c r="E3659" s="1539" t="s">
        <v>575</v>
      </c>
      <c r="F3659" s="1413"/>
      <c r="G3659" s="1413"/>
      <c r="H3659" s="1414"/>
      <c r="I3659" s="1406">
        <f t="shared" si="976"/>
        <v>0</v>
      </c>
      <c r="Q3659" s="1394">
        <f>IFERROR(VLOOKUP(M3659,#REF!,3,0),0)</f>
        <v>0</v>
      </c>
      <c r="R3659" s="1394">
        <f t="shared" si="975"/>
        <v>0</v>
      </c>
      <c r="S3659" s="1394">
        <f>IFERROR(VLOOKUP(M3659,#REF!,6,0),0)</f>
        <v>0</v>
      </c>
      <c r="T3659" s="1394">
        <f t="shared" si="977"/>
        <v>0</v>
      </c>
      <c r="U3659" s="1394">
        <f>IFERROR(VLOOKUP(M3659,#REF!,5,0),0)</f>
        <v>0</v>
      </c>
      <c r="V3659" s="1394">
        <f t="shared" si="978"/>
        <v>0</v>
      </c>
      <c r="W3659" s="1394"/>
    </row>
    <row r="3660" spans="2:23" ht="30" customHeight="1">
      <c r="B3660" s="1407"/>
      <c r="C3660" s="1540" t="s">
        <v>5547</v>
      </c>
      <c r="D3660" s="103">
        <v>1</v>
      </c>
      <c r="E3660" s="1541">
        <v>4</v>
      </c>
      <c r="F3660" s="1413"/>
      <c r="G3660" s="1413"/>
      <c r="H3660" s="1414"/>
      <c r="I3660" s="1406">
        <f t="shared" si="976"/>
        <v>4</v>
      </c>
      <c r="Q3660" s="1394">
        <f>IFERROR(VLOOKUP(M3660,#REF!,3,0),0)</f>
        <v>0</v>
      </c>
      <c r="R3660" s="1394">
        <f t="shared" si="975"/>
        <v>0</v>
      </c>
      <c r="S3660" s="1394">
        <f>IFERROR(VLOOKUP(M3660,#REF!,6,0),0)</f>
        <v>0</v>
      </c>
      <c r="T3660" s="1394">
        <f t="shared" si="977"/>
        <v>0</v>
      </c>
      <c r="U3660" s="1394">
        <f>IFERROR(VLOOKUP(M3660,#REF!,5,0),0)</f>
        <v>0</v>
      </c>
      <c r="V3660" s="1394">
        <f t="shared" si="978"/>
        <v>0</v>
      </c>
      <c r="W3660" s="1394"/>
    </row>
    <row r="3661" spans="2:23" ht="30" customHeight="1">
      <c r="B3661" s="1407"/>
      <c r="C3661" s="1540" t="s">
        <v>5521</v>
      </c>
      <c r="D3661" s="103">
        <v>1</v>
      </c>
      <c r="E3661" s="1541">
        <v>1</v>
      </c>
      <c r="F3661" s="1413"/>
      <c r="G3661" s="1413"/>
      <c r="H3661" s="1414"/>
      <c r="I3661" s="1406">
        <f t="shared" si="976"/>
        <v>1</v>
      </c>
      <c r="Q3661" s="1394">
        <f>IFERROR(VLOOKUP(M3661,#REF!,3,0),0)</f>
        <v>0</v>
      </c>
      <c r="R3661" s="1394">
        <f t="shared" si="975"/>
        <v>0</v>
      </c>
      <c r="S3661" s="1394">
        <f>IFERROR(VLOOKUP(M3661,#REF!,6,0),0)</f>
        <v>0</v>
      </c>
      <c r="T3661" s="1394">
        <f t="shared" si="977"/>
        <v>0</v>
      </c>
      <c r="U3661" s="1394">
        <f>IFERROR(VLOOKUP(M3661,#REF!,5,0),0)</f>
        <v>0</v>
      </c>
      <c r="V3661" s="1394">
        <f t="shared" si="978"/>
        <v>0</v>
      </c>
      <c r="W3661" s="1394"/>
    </row>
    <row r="3662" spans="2:23" ht="30" customHeight="1">
      <c r="B3662" s="1407"/>
      <c r="C3662" s="1540" t="s">
        <v>5549</v>
      </c>
      <c r="D3662" s="103">
        <v>1</v>
      </c>
      <c r="E3662" s="1541">
        <v>2</v>
      </c>
      <c r="F3662" s="1413"/>
      <c r="G3662" s="1413"/>
      <c r="H3662" s="1414"/>
      <c r="I3662" s="1406">
        <f t="shared" si="976"/>
        <v>2</v>
      </c>
      <c r="Q3662" s="1394">
        <f>IFERROR(VLOOKUP(M3662,#REF!,3,0),0)</f>
        <v>0</v>
      </c>
      <c r="R3662" s="1394">
        <f t="shared" si="975"/>
        <v>0</v>
      </c>
      <c r="S3662" s="1394">
        <f>IFERROR(VLOOKUP(M3662,#REF!,6,0),0)</f>
        <v>0</v>
      </c>
      <c r="T3662" s="1394">
        <f t="shared" si="977"/>
        <v>0</v>
      </c>
      <c r="U3662" s="1394">
        <f>IFERROR(VLOOKUP(M3662,#REF!,5,0),0)</f>
        <v>0</v>
      </c>
      <c r="V3662" s="1394">
        <f t="shared" si="978"/>
        <v>0</v>
      </c>
      <c r="W3662" s="1394"/>
    </row>
    <row r="3663" spans="2:23" ht="30" customHeight="1">
      <c r="B3663" s="1407"/>
      <c r="C3663" s="1540" t="s">
        <v>5562</v>
      </c>
      <c r="D3663" s="103">
        <v>1</v>
      </c>
      <c r="E3663" s="1541">
        <v>2</v>
      </c>
      <c r="F3663" s="1413"/>
      <c r="G3663" s="1413"/>
      <c r="H3663" s="1414"/>
      <c r="I3663" s="1406">
        <f t="shared" si="976"/>
        <v>2</v>
      </c>
      <c r="Q3663" s="1394">
        <f>IFERROR(VLOOKUP(M3663,#REF!,3,0),0)</f>
        <v>0</v>
      </c>
      <c r="R3663" s="1394">
        <f t="shared" si="975"/>
        <v>0</v>
      </c>
      <c r="S3663" s="1394">
        <f>IFERROR(VLOOKUP(M3663,#REF!,6,0),0)</f>
        <v>0</v>
      </c>
      <c r="T3663" s="1394">
        <f t="shared" si="977"/>
        <v>0</v>
      </c>
      <c r="U3663" s="1394">
        <f>IFERROR(VLOOKUP(M3663,#REF!,5,0),0)</f>
        <v>0</v>
      </c>
      <c r="V3663" s="1394">
        <f t="shared" si="978"/>
        <v>0</v>
      </c>
      <c r="W3663" s="1394"/>
    </row>
    <row r="3664" spans="2:23" ht="30" customHeight="1">
      <c r="B3664" s="1407"/>
      <c r="C3664" s="1540" t="s">
        <v>5564</v>
      </c>
      <c r="D3664" s="103">
        <v>1</v>
      </c>
      <c r="E3664" s="1541">
        <v>2</v>
      </c>
      <c r="F3664" s="1413"/>
      <c r="G3664" s="1413"/>
      <c r="H3664" s="1414"/>
      <c r="I3664" s="1406">
        <f t="shared" si="976"/>
        <v>2</v>
      </c>
      <c r="Q3664" s="1394">
        <f>IFERROR(VLOOKUP(M3664,#REF!,3,0),0)</f>
        <v>0</v>
      </c>
      <c r="R3664" s="1394">
        <f t="shared" si="975"/>
        <v>0</v>
      </c>
      <c r="S3664" s="1394">
        <f>IFERROR(VLOOKUP(M3664,#REF!,6,0),0)</f>
        <v>0</v>
      </c>
      <c r="T3664" s="1394">
        <f t="shared" si="977"/>
        <v>0</v>
      </c>
      <c r="U3664" s="1394">
        <f>IFERROR(VLOOKUP(M3664,#REF!,5,0),0)</f>
        <v>0</v>
      </c>
      <c r="V3664" s="1394">
        <f t="shared" si="978"/>
        <v>0</v>
      </c>
      <c r="W3664" s="1394"/>
    </row>
    <row r="3665" spans="2:23" ht="30" customHeight="1">
      <c r="B3665" s="1407"/>
      <c r="C3665" s="1540" t="s">
        <v>5566</v>
      </c>
      <c r="D3665" s="103">
        <v>1</v>
      </c>
      <c r="E3665" s="1541">
        <v>2</v>
      </c>
      <c r="F3665" s="1413"/>
      <c r="G3665" s="1413"/>
      <c r="H3665" s="1414"/>
      <c r="I3665" s="1406">
        <f t="shared" si="976"/>
        <v>2</v>
      </c>
      <c r="Q3665" s="1394">
        <f>IFERROR(VLOOKUP(M3665,#REF!,3,0),0)</f>
        <v>0</v>
      </c>
      <c r="R3665" s="1394">
        <f t="shared" si="975"/>
        <v>0</v>
      </c>
      <c r="S3665" s="1394">
        <f>IFERROR(VLOOKUP(M3665,#REF!,6,0),0)</f>
        <v>0</v>
      </c>
      <c r="T3665" s="1394">
        <f t="shared" si="977"/>
        <v>0</v>
      </c>
      <c r="U3665" s="1394">
        <f>IFERROR(VLOOKUP(M3665,#REF!,5,0),0)</f>
        <v>0</v>
      </c>
      <c r="V3665" s="1394">
        <f t="shared" si="978"/>
        <v>0</v>
      </c>
      <c r="W3665" s="1394"/>
    </row>
    <row r="3666" spans="2:23" ht="30" customHeight="1">
      <c r="B3666" s="1407"/>
      <c r="C3666" s="1540" t="s">
        <v>5550</v>
      </c>
      <c r="D3666" s="103">
        <v>1</v>
      </c>
      <c r="E3666" s="1541">
        <v>3</v>
      </c>
      <c r="F3666" s="1413"/>
      <c r="G3666" s="1413"/>
      <c r="H3666" s="1414"/>
      <c r="I3666" s="1406">
        <f t="shared" si="976"/>
        <v>3</v>
      </c>
      <c r="M3666" s="110"/>
      <c r="Q3666" s="1394">
        <f>IFERROR(VLOOKUP(M3666,#REF!,3,0),0)</f>
        <v>0</v>
      </c>
      <c r="R3666" s="1394">
        <f t="shared" si="975"/>
        <v>0</v>
      </c>
      <c r="S3666" s="1394">
        <f>IFERROR(VLOOKUP(M3666,#REF!,6,0),0)</f>
        <v>0</v>
      </c>
      <c r="T3666" s="1394">
        <f t="shared" si="977"/>
        <v>0</v>
      </c>
      <c r="U3666" s="1394">
        <f>IFERROR(VLOOKUP(M3666,#REF!,5,0),0)</f>
        <v>0</v>
      </c>
      <c r="V3666" s="1394">
        <f t="shared" si="978"/>
        <v>0</v>
      </c>
      <c r="W3666" s="1394"/>
    </row>
    <row r="3667" spans="2:23" ht="30" customHeight="1">
      <c r="B3667" s="1407"/>
      <c r="C3667" s="1540" t="s">
        <v>5567</v>
      </c>
      <c r="D3667" s="103">
        <v>1</v>
      </c>
      <c r="E3667" s="1541">
        <v>1</v>
      </c>
      <c r="F3667" s="1413"/>
      <c r="G3667" s="1413"/>
      <c r="H3667" s="1414"/>
      <c r="I3667" s="1406">
        <f t="shared" si="976"/>
        <v>1</v>
      </c>
      <c r="M3667" s="110"/>
      <c r="Q3667" s="1394">
        <f>IFERROR(VLOOKUP(M3667,#REF!,3,0),0)</f>
        <v>0</v>
      </c>
      <c r="R3667" s="1394">
        <f t="shared" si="975"/>
        <v>0</v>
      </c>
      <c r="S3667" s="1394">
        <f>IFERROR(VLOOKUP(M3667,#REF!,6,0),0)</f>
        <v>0</v>
      </c>
      <c r="T3667" s="1394">
        <f t="shared" si="977"/>
        <v>0</v>
      </c>
      <c r="U3667" s="1394">
        <f>IFERROR(VLOOKUP(M3667,#REF!,5,0),0)</f>
        <v>0</v>
      </c>
      <c r="V3667" s="1394">
        <f t="shared" si="978"/>
        <v>0</v>
      </c>
      <c r="W3667" s="1394"/>
    </row>
    <row r="3668" spans="2:23" ht="30" customHeight="1">
      <c r="B3668" s="1407"/>
      <c r="C3668" s="1540" t="s">
        <v>5568</v>
      </c>
      <c r="D3668" s="103">
        <v>1</v>
      </c>
      <c r="E3668" s="1541">
        <v>1</v>
      </c>
      <c r="F3668" s="1413"/>
      <c r="G3668" s="1413"/>
      <c r="H3668" s="1414"/>
      <c r="I3668" s="1406">
        <f t="shared" si="976"/>
        <v>1</v>
      </c>
      <c r="M3668" s="110"/>
      <c r="Q3668" s="1394">
        <f>IFERROR(VLOOKUP(M3668,#REF!,3,0),0)</f>
        <v>0</v>
      </c>
      <c r="R3668" s="1394">
        <f t="shared" si="975"/>
        <v>0</v>
      </c>
      <c r="S3668" s="1394">
        <f>IFERROR(VLOOKUP(M3668,#REF!,6,0),0)</f>
        <v>0</v>
      </c>
      <c r="T3668" s="1394">
        <f t="shared" si="977"/>
        <v>0</v>
      </c>
      <c r="U3668" s="1394">
        <f>IFERROR(VLOOKUP(M3668,#REF!,5,0),0)</f>
        <v>0</v>
      </c>
      <c r="V3668" s="1394">
        <f t="shared" si="978"/>
        <v>0</v>
      </c>
      <c r="W3668" s="1394"/>
    </row>
    <row r="3669" spans="2:23" ht="30" customHeight="1">
      <c r="B3669" s="1407"/>
      <c r="C3669" s="1538" t="s">
        <v>5505</v>
      </c>
      <c r="D3669" s="103"/>
      <c r="E3669" s="1539" t="s">
        <v>575</v>
      </c>
      <c r="F3669" s="1413"/>
      <c r="G3669" s="1413"/>
      <c r="H3669" s="1414"/>
      <c r="I3669" s="1406">
        <f t="shared" si="976"/>
        <v>0</v>
      </c>
      <c r="M3669" s="110"/>
      <c r="Q3669" s="1394">
        <f>IFERROR(VLOOKUP(M3669,#REF!,3,0),0)</f>
        <v>0</v>
      </c>
      <c r="R3669" s="1394">
        <f t="shared" si="975"/>
        <v>0</v>
      </c>
      <c r="S3669" s="1394">
        <f>IFERROR(VLOOKUP(M3669,#REF!,6,0),0)</f>
        <v>0</v>
      </c>
      <c r="T3669" s="1394">
        <f t="shared" si="977"/>
        <v>0</v>
      </c>
      <c r="U3669" s="1394">
        <f>IFERROR(VLOOKUP(M3669,#REF!,5,0),0)</f>
        <v>0</v>
      </c>
      <c r="V3669" s="1394">
        <f t="shared" si="978"/>
        <v>0</v>
      </c>
      <c r="W3669" s="1394"/>
    </row>
    <row r="3670" spans="2:23" ht="30" customHeight="1">
      <c r="B3670" s="1407"/>
      <c r="C3670" s="1540" t="s">
        <v>5547</v>
      </c>
      <c r="D3670" s="103">
        <v>1</v>
      </c>
      <c r="E3670" s="1541">
        <v>4</v>
      </c>
      <c r="F3670" s="1413"/>
      <c r="G3670" s="1413"/>
      <c r="H3670" s="1414"/>
      <c r="I3670" s="1406">
        <f t="shared" si="976"/>
        <v>4</v>
      </c>
      <c r="M3670" s="110"/>
      <c r="Q3670" s="1394">
        <f>IFERROR(VLOOKUP(M3670,#REF!,3,0),0)</f>
        <v>0</v>
      </c>
      <c r="R3670" s="1394">
        <f t="shared" si="975"/>
        <v>0</v>
      </c>
      <c r="S3670" s="1394">
        <f>IFERROR(VLOOKUP(M3670,#REF!,6,0),0)</f>
        <v>0</v>
      </c>
      <c r="T3670" s="1394">
        <f t="shared" si="977"/>
        <v>0</v>
      </c>
      <c r="U3670" s="1394">
        <f>IFERROR(VLOOKUP(M3670,#REF!,5,0),0)</f>
        <v>0</v>
      </c>
      <c r="V3670" s="1394">
        <f t="shared" si="978"/>
        <v>0</v>
      </c>
      <c r="W3670" s="1394"/>
    </row>
    <row r="3671" spans="2:23" ht="30" customHeight="1">
      <c r="B3671" s="1407"/>
      <c r="C3671" s="1540" t="s">
        <v>5521</v>
      </c>
      <c r="D3671" s="103">
        <v>1</v>
      </c>
      <c r="E3671" s="1541">
        <v>1</v>
      </c>
      <c r="F3671" s="1413"/>
      <c r="G3671" s="1413"/>
      <c r="H3671" s="1414"/>
      <c r="I3671" s="1406">
        <f t="shared" si="976"/>
        <v>1</v>
      </c>
      <c r="M3671" s="110"/>
      <c r="Q3671" s="1394">
        <f>IFERROR(VLOOKUP(M3671,#REF!,3,0),0)</f>
        <v>0</v>
      </c>
      <c r="R3671" s="1394">
        <f t="shared" si="975"/>
        <v>0</v>
      </c>
      <c r="S3671" s="1394">
        <f>IFERROR(VLOOKUP(M3671,#REF!,6,0),0)</f>
        <v>0</v>
      </c>
      <c r="T3671" s="1394">
        <f t="shared" si="977"/>
        <v>0</v>
      </c>
      <c r="U3671" s="1394">
        <f>IFERROR(VLOOKUP(M3671,#REF!,5,0),0)</f>
        <v>0</v>
      </c>
      <c r="V3671" s="1394">
        <f t="shared" si="978"/>
        <v>0</v>
      </c>
      <c r="W3671" s="1394"/>
    </row>
    <row r="3672" spans="2:23" ht="30" customHeight="1">
      <c r="B3672" s="1407"/>
      <c r="C3672" s="1540" t="s">
        <v>5570</v>
      </c>
      <c r="D3672" s="103">
        <v>1</v>
      </c>
      <c r="E3672" s="1541">
        <v>2</v>
      </c>
      <c r="F3672" s="1413"/>
      <c r="G3672" s="1413"/>
      <c r="H3672" s="1414"/>
      <c r="I3672" s="1406">
        <f t="shared" si="976"/>
        <v>2</v>
      </c>
      <c r="M3672" s="110"/>
      <c r="Q3672" s="1394">
        <f>IFERROR(VLOOKUP(M3672,#REF!,3,0),0)</f>
        <v>0</v>
      </c>
      <c r="R3672" s="1394">
        <f t="shared" si="975"/>
        <v>0</v>
      </c>
      <c r="S3672" s="1394">
        <f>IFERROR(VLOOKUP(M3672,#REF!,6,0),0)</f>
        <v>0</v>
      </c>
      <c r="T3672" s="1394">
        <f t="shared" si="977"/>
        <v>0</v>
      </c>
      <c r="U3672" s="1394">
        <f>IFERROR(VLOOKUP(M3672,#REF!,5,0),0)</f>
        <v>0</v>
      </c>
      <c r="V3672" s="1394">
        <f t="shared" si="978"/>
        <v>0</v>
      </c>
      <c r="W3672" s="1394"/>
    </row>
    <row r="3673" spans="2:23" ht="30" customHeight="1">
      <c r="B3673" s="1407"/>
      <c r="C3673" s="1540" t="s">
        <v>5572</v>
      </c>
      <c r="D3673" s="103">
        <v>1</v>
      </c>
      <c r="E3673" s="1541">
        <v>2</v>
      </c>
      <c r="F3673" s="1413"/>
      <c r="G3673" s="1413"/>
      <c r="H3673" s="1414"/>
      <c r="I3673" s="1406">
        <f t="shared" si="976"/>
        <v>2</v>
      </c>
      <c r="M3673" s="110"/>
      <c r="Q3673" s="1394">
        <f>IFERROR(VLOOKUP(M3673,#REF!,3,0),0)</f>
        <v>0</v>
      </c>
      <c r="R3673" s="1394">
        <f t="shared" si="975"/>
        <v>0</v>
      </c>
      <c r="S3673" s="1394">
        <f>IFERROR(VLOOKUP(M3673,#REF!,6,0),0)</f>
        <v>0</v>
      </c>
      <c r="T3673" s="1394">
        <f t="shared" si="977"/>
        <v>0</v>
      </c>
      <c r="U3673" s="1394">
        <f>IFERROR(VLOOKUP(M3673,#REF!,5,0),0)</f>
        <v>0</v>
      </c>
      <c r="V3673" s="1394">
        <f t="shared" si="978"/>
        <v>0</v>
      </c>
      <c r="W3673" s="1394"/>
    </row>
    <row r="3674" spans="2:23" ht="30" customHeight="1">
      <c r="B3674" s="1407"/>
      <c r="C3674" s="1540" t="s">
        <v>5549</v>
      </c>
      <c r="D3674" s="103">
        <v>1</v>
      </c>
      <c r="E3674" s="1541">
        <v>2</v>
      </c>
      <c r="F3674" s="1413"/>
      <c r="G3674" s="1413"/>
      <c r="H3674" s="1414"/>
      <c r="I3674" s="1406">
        <f t="shared" si="976"/>
        <v>2</v>
      </c>
      <c r="M3674" s="110"/>
      <c r="Q3674" s="1394">
        <f>IFERROR(VLOOKUP(M3674,#REF!,3,0),0)</f>
        <v>0</v>
      </c>
      <c r="R3674" s="1394">
        <f t="shared" si="975"/>
        <v>0</v>
      </c>
      <c r="S3674" s="1394">
        <f>IFERROR(VLOOKUP(M3674,#REF!,6,0),0)</f>
        <v>0</v>
      </c>
      <c r="T3674" s="1394">
        <f t="shared" si="977"/>
        <v>0</v>
      </c>
      <c r="U3674" s="1394">
        <f>IFERROR(VLOOKUP(M3674,#REF!,5,0),0)</f>
        <v>0</v>
      </c>
      <c r="V3674" s="1394">
        <f t="shared" si="978"/>
        <v>0</v>
      </c>
      <c r="W3674" s="1394"/>
    </row>
    <row r="3675" spans="2:23" ht="30" customHeight="1">
      <c r="B3675" s="1407"/>
      <c r="C3675" s="1540" t="s">
        <v>5574</v>
      </c>
      <c r="D3675" s="103">
        <v>1</v>
      </c>
      <c r="E3675" s="1541">
        <v>1</v>
      </c>
      <c r="F3675" s="1413"/>
      <c r="G3675" s="1413"/>
      <c r="H3675" s="1414"/>
      <c r="I3675" s="1406">
        <f t="shared" ref="I3675:I3680" si="979">PRODUCT(D3675:H3675)</f>
        <v>1</v>
      </c>
      <c r="M3675" s="110"/>
      <c r="Q3675" s="1394">
        <f>IFERROR(VLOOKUP(M3675,#REF!,3,0),0)</f>
        <v>0</v>
      </c>
      <c r="R3675" s="1394">
        <f t="shared" si="975"/>
        <v>0</v>
      </c>
      <c r="S3675" s="1394">
        <f>IFERROR(VLOOKUP(M3675,#REF!,6,0),0)</f>
        <v>0</v>
      </c>
      <c r="T3675" s="1394">
        <f t="shared" si="977"/>
        <v>0</v>
      </c>
      <c r="U3675" s="1394">
        <f>IFERROR(VLOOKUP(M3675,#REF!,5,0),0)</f>
        <v>0</v>
      </c>
      <c r="V3675" s="1394">
        <f t="shared" si="978"/>
        <v>0</v>
      </c>
      <c r="W3675" s="1394"/>
    </row>
    <row r="3676" spans="2:23" ht="30" customHeight="1">
      <c r="B3676" s="1407"/>
      <c r="C3676" s="1540" t="s">
        <v>5576</v>
      </c>
      <c r="D3676" s="103">
        <v>1</v>
      </c>
      <c r="E3676" s="1541">
        <v>4</v>
      </c>
      <c r="F3676" s="1413"/>
      <c r="G3676" s="1413"/>
      <c r="H3676" s="1414"/>
      <c r="I3676" s="1406">
        <f t="shared" si="979"/>
        <v>4</v>
      </c>
      <c r="M3676" s="110"/>
      <c r="Q3676" s="1394">
        <f>IFERROR(VLOOKUP(M3676,#REF!,3,0),0)</f>
        <v>0</v>
      </c>
      <c r="R3676" s="1394">
        <f t="shared" si="975"/>
        <v>0</v>
      </c>
      <c r="S3676" s="1394">
        <f>IFERROR(VLOOKUP(M3676,#REF!,6,0),0)</f>
        <v>0</v>
      </c>
      <c r="T3676" s="1394">
        <f t="shared" si="977"/>
        <v>0</v>
      </c>
      <c r="U3676" s="1394">
        <f>IFERROR(VLOOKUP(M3676,#REF!,5,0),0)</f>
        <v>0</v>
      </c>
      <c r="V3676" s="1394">
        <f t="shared" si="978"/>
        <v>0</v>
      </c>
      <c r="W3676" s="1394"/>
    </row>
    <row r="3677" spans="2:23" ht="30" customHeight="1">
      <c r="B3677" s="1407"/>
      <c r="C3677" s="1540" t="s">
        <v>5570</v>
      </c>
      <c r="D3677" s="103">
        <v>1</v>
      </c>
      <c r="E3677" s="1541">
        <v>2</v>
      </c>
      <c r="F3677" s="1413"/>
      <c r="G3677" s="1413"/>
      <c r="H3677" s="1414"/>
      <c r="I3677" s="1406">
        <f t="shared" si="979"/>
        <v>2</v>
      </c>
      <c r="M3677" s="110"/>
      <c r="Q3677" s="1394">
        <f>IFERROR(VLOOKUP(M3677,#REF!,3,0),0)</f>
        <v>0</v>
      </c>
      <c r="R3677" s="1394">
        <f t="shared" si="975"/>
        <v>0</v>
      </c>
      <c r="S3677" s="1394">
        <f>IFERROR(VLOOKUP(M3677,#REF!,6,0),0)</f>
        <v>0</v>
      </c>
      <c r="T3677" s="1394">
        <f t="shared" si="977"/>
        <v>0</v>
      </c>
      <c r="U3677" s="1394">
        <f>IFERROR(VLOOKUP(M3677,#REF!,5,0),0)</f>
        <v>0</v>
      </c>
      <c r="V3677" s="1394">
        <f t="shared" si="978"/>
        <v>0</v>
      </c>
      <c r="W3677" s="1394"/>
    </row>
    <row r="3678" spans="2:23" ht="30" customHeight="1">
      <c r="B3678" s="1407"/>
      <c r="C3678" s="1538" t="s">
        <v>3097</v>
      </c>
      <c r="D3678" s="103"/>
      <c r="E3678" s="1539" t="s">
        <v>575</v>
      </c>
      <c r="F3678" s="1413"/>
      <c r="G3678" s="1413"/>
      <c r="H3678" s="1414"/>
      <c r="I3678" s="1406">
        <f t="shared" si="979"/>
        <v>0</v>
      </c>
      <c r="M3678" s="110"/>
      <c r="Q3678" s="1394">
        <f>IFERROR(VLOOKUP(M3678,#REF!,3,0),0)</f>
        <v>0</v>
      </c>
      <c r="R3678" s="1394">
        <f t="shared" si="975"/>
        <v>0</v>
      </c>
      <c r="S3678" s="1394">
        <f>IFERROR(VLOOKUP(M3678,#REF!,6,0),0)</f>
        <v>0</v>
      </c>
      <c r="T3678" s="1394">
        <f t="shared" si="977"/>
        <v>0</v>
      </c>
      <c r="U3678" s="1394">
        <f>IFERROR(VLOOKUP(M3678,#REF!,5,0),0)</f>
        <v>0</v>
      </c>
      <c r="V3678" s="1394">
        <f t="shared" si="978"/>
        <v>0</v>
      </c>
      <c r="W3678" s="1394"/>
    </row>
    <row r="3679" spans="2:23" ht="30" customHeight="1">
      <c r="B3679" s="1407"/>
      <c r="C3679" s="1540" t="s">
        <v>5578</v>
      </c>
      <c r="D3679" s="103">
        <v>1</v>
      </c>
      <c r="E3679" s="1541">
        <v>2</v>
      </c>
      <c r="F3679" s="1413"/>
      <c r="G3679" s="1413"/>
      <c r="H3679" s="1414"/>
      <c r="I3679" s="1406">
        <f t="shared" si="979"/>
        <v>2</v>
      </c>
      <c r="M3679" s="110"/>
      <c r="Q3679" s="1394">
        <f>IFERROR(VLOOKUP(M3679,#REF!,3,0),0)</f>
        <v>0</v>
      </c>
      <c r="R3679" s="1394">
        <f t="shared" si="975"/>
        <v>0</v>
      </c>
      <c r="S3679" s="1394">
        <f>IFERROR(VLOOKUP(M3679,#REF!,6,0),0)</f>
        <v>0</v>
      </c>
      <c r="T3679" s="1394">
        <f t="shared" si="977"/>
        <v>0</v>
      </c>
      <c r="U3679" s="1394">
        <f>IFERROR(VLOOKUP(M3679,#REF!,5,0),0)</f>
        <v>0</v>
      </c>
      <c r="V3679" s="1394">
        <f t="shared" si="978"/>
        <v>0</v>
      </c>
      <c r="W3679" s="1394"/>
    </row>
    <row r="3680" spans="2:23" ht="30" customHeight="1">
      <c r="B3680" s="1407"/>
      <c r="C3680" s="1412"/>
      <c r="D3680" s="103"/>
      <c r="E3680" s="103"/>
      <c r="F3680" s="1413"/>
      <c r="G3680" s="1413"/>
      <c r="H3680" s="1414"/>
      <c r="I3680" s="1406">
        <f t="shared" si="979"/>
        <v>0</v>
      </c>
      <c r="M3680" s="110"/>
      <c r="Q3680" s="1394">
        <f>IFERROR(VLOOKUP(M3680,#REF!,3,0),0)</f>
        <v>0</v>
      </c>
      <c r="R3680" s="1394">
        <f t="shared" si="975"/>
        <v>0</v>
      </c>
      <c r="S3680" s="1394">
        <f>IFERROR(VLOOKUP(M3680,#REF!,6,0),0)</f>
        <v>0</v>
      </c>
      <c r="T3680" s="1394">
        <f t="shared" si="977"/>
        <v>0</v>
      </c>
      <c r="U3680" s="1394">
        <f>IFERROR(VLOOKUP(M3680,#REF!,5,0),0)</f>
        <v>0</v>
      </c>
      <c r="V3680" s="1394">
        <f t="shared" si="978"/>
        <v>0</v>
      </c>
      <c r="W3680" s="1394"/>
    </row>
    <row r="3681" spans="1:26" ht="30" customHeight="1">
      <c r="B3681" s="1407"/>
      <c r="C3681" s="1455"/>
      <c r="D3681" s="103"/>
      <c r="E3681" s="103"/>
      <c r="F3681" s="1413"/>
      <c r="G3681" s="1413"/>
      <c r="H3681" s="1414"/>
      <c r="I3681" s="1479">
        <f>SUM(I3642:I3680)</f>
        <v>61</v>
      </c>
      <c r="M3681" s="110"/>
      <c r="Q3681" s="1394">
        <f>IFERROR(VLOOKUP(M3681,#REF!,3,0),0)</f>
        <v>0</v>
      </c>
      <c r="R3681" s="1394">
        <f t="shared" si="975"/>
        <v>0</v>
      </c>
      <c r="S3681" s="1394">
        <f>IFERROR(VLOOKUP(M3681,#REF!,6,0),0)</f>
        <v>0</v>
      </c>
      <c r="T3681" s="1394">
        <f t="shared" si="977"/>
        <v>0</v>
      </c>
      <c r="U3681" s="1394">
        <f>IFERROR(VLOOKUP(M3681,#REF!,5,0),0)</f>
        <v>0</v>
      </c>
      <c r="V3681" s="1394">
        <f t="shared" si="978"/>
        <v>0</v>
      </c>
      <c r="W3681" s="1394"/>
    </row>
    <row r="3682" spans="1:26" ht="30" customHeight="1">
      <c r="B3682" s="1407"/>
      <c r="C3682" s="1455"/>
      <c r="D3682" s="103"/>
      <c r="E3682" s="103"/>
      <c r="F3682" s="1413"/>
      <c r="G3682" s="1483" t="s">
        <v>11</v>
      </c>
      <c r="H3682" s="1478">
        <f>I3681</f>
        <v>61</v>
      </c>
      <c r="I3682" s="1479" t="s">
        <v>13</v>
      </c>
      <c r="M3682" s="1394" t="str">
        <f>A3641</f>
        <v>Wiring with 1.5 Sqm.m PVC insulated single core multi strand fire retardant flexible copper cable with ISI mark confirming IS: 694:1990 for 5 amps 5 pin plug socket point @ Switch Board Itself.</v>
      </c>
      <c r="N3682" s="1394">
        <f>B3641</f>
        <v>67</v>
      </c>
      <c r="O3682" s="1394">
        <f>H3682</f>
        <v>61</v>
      </c>
      <c r="P3682" s="1394" t="str">
        <f>I3682</f>
        <v>Nos</v>
      </c>
      <c r="Q3682" s="1394">
        <f>IFERROR(VLOOKUP(M3682,#REF!,3,0),0)</f>
        <v>0</v>
      </c>
      <c r="R3682" s="1394">
        <f t="shared" si="975"/>
        <v>0</v>
      </c>
      <c r="S3682" s="1394">
        <f>IFERROR(VLOOKUP(M3682,#REF!,6,0),0)</f>
        <v>0</v>
      </c>
      <c r="T3682" s="1394">
        <f t="shared" si="977"/>
        <v>0</v>
      </c>
      <c r="U3682" s="1394">
        <f>IFERROR(VLOOKUP(M3682,#REF!,5,0),0)</f>
        <v>0</v>
      </c>
      <c r="V3682" s="1394">
        <f t="shared" si="978"/>
        <v>61</v>
      </c>
      <c r="W3682" s="1394"/>
      <c r="Z3682" s="1394"/>
    </row>
    <row r="3683" spans="1:26" ht="153" customHeight="1">
      <c r="A3683" s="110" t="s">
        <v>492</v>
      </c>
      <c r="B3683" s="1513">
        <v>68</v>
      </c>
      <c r="C3683" s="1678" t="e">
        <f>VLOOKUP(A3683,#REF!,2,0)</f>
        <v>#REF!</v>
      </c>
      <c r="D3683" s="1678"/>
      <c r="E3683" s="1678"/>
      <c r="F3683" s="1678"/>
      <c r="G3683" s="1678"/>
      <c r="H3683" s="1678"/>
      <c r="I3683" s="1406"/>
      <c r="Q3683" s="1394">
        <f>IFERROR(VLOOKUP(M3683,#REF!,3,0),0)</f>
        <v>0</v>
      </c>
      <c r="R3683" s="1394">
        <f t="shared" si="975"/>
        <v>0</v>
      </c>
      <c r="S3683" s="1394">
        <f>IFERROR(VLOOKUP(M3683,#REF!,6,0),0)</f>
        <v>0</v>
      </c>
      <c r="T3683" s="1394">
        <f t="shared" si="977"/>
        <v>0</v>
      </c>
      <c r="U3683" s="1394">
        <f>IFERROR(VLOOKUP(M3683,#REF!,5,0),0)</f>
        <v>0</v>
      </c>
      <c r="V3683" s="1394">
        <f t="shared" si="978"/>
        <v>0</v>
      </c>
      <c r="W3683" s="1394"/>
      <c r="X3683" s="1397"/>
    </row>
    <row r="3684" spans="1:26" ht="30" customHeight="1">
      <c r="B3684" s="1405"/>
      <c r="C3684" s="1538" t="s">
        <v>5503</v>
      </c>
      <c r="D3684" s="103"/>
      <c r="E3684" s="1539" t="s">
        <v>575</v>
      </c>
      <c r="F3684" s="1413"/>
      <c r="G3684" s="1413"/>
      <c r="H3684" s="1414"/>
      <c r="I3684" s="1406"/>
      <c r="Q3684" s="1394">
        <f>IFERROR(VLOOKUP(M3684,#REF!,3,0),0)</f>
        <v>0</v>
      </c>
      <c r="R3684" s="1394">
        <f t="shared" si="975"/>
        <v>0</v>
      </c>
      <c r="S3684" s="1394">
        <f>IFERROR(VLOOKUP(M3684,#REF!,6,0),0)</f>
        <v>0</v>
      </c>
      <c r="T3684" s="1394">
        <f t="shared" si="977"/>
        <v>0</v>
      </c>
      <c r="U3684" s="1394">
        <f>IFERROR(VLOOKUP(M3684,#REF!,5,0),0)</f>
        <v>0</v>
      </c>
      <c r="V3684" s="1394">
        <f t="shared" si="978"/>
        <v>0</v>
      </c>
      <c r="W3684" s="1394"/>
    </row>
    <row r="3685" spans="1:26" ht="30" customHeight="1">
      <c r="B3685" s="1407"/>
      <c r="C3685" s="1540" t="s">
        <v>5547</v>
      </c>
      <c r="D3685" s="103">
        <v>1</v>
      </c>
      <c r="E3685" s="1541">
        <v>2</v>
      </c>
      <c r="F3685" s="1413"/>
      <c r="G3685" s="1413"/>
      <c r="H3685" s="1414"/>
      <c r="I3685" s="1406">
        <f t="shared" ref="I3685:I3709" si="980">PRODUCT(D3685:H3685)</f>
        <v>2</v>
      </c>
      <c r="L3685" s="110">
        <f>4.355*6</f>
        <v>26.130000000000003</v>
      </c>
      <c r="Q3685" s="1394">
        <f>IFERROR(VLOOKUP(M3685,#REF!,3,0),0)</f>
        <v>0</v>
      </c>
      <c r="R3685" s="1394">
        <f t="shared" si="975"/>
        <v>0</v>
      </c>
      <c r="S3685" s="1394">
        <f>IFERROR(VLOOKUP(M3685,#REF!,6,0),0)</f>
        <v>0</v>
      </c>
      <c r="T3685" s="1394">
        <f t="shared" si="977"/>
        <v>0</v>
      </c>
      <c r="U3685" s="1394">
        <f>IFERROR(VLOOKUP(M3685,#REF!,5,0),0)</f>
        <v>0</v>
      </c>
      <c r="V3685" s="1394">
        <f t="shared" si="978"/>
        <v>0</v>
      </c>
      <c r="W3685" s="1394"/>
    </row>
    <row r="3686" spans="1:26" ht="30" customHeight="1">
      <c r="B3686" s="1407"/>
      <c r="C3686" s="1540" t="s">
        <v>5549</v>
      </c>
      <c r="D3686" s="103">
        <v>1</v>
      </c>
      <c r="E3686" s="1541">
        <v>1</v>
      </c>
      <c r="F3686" s="1413"/>
      <c r="G3686" s="1413"/>
      <c r="H3686" s="1414"/>
      <c r="I3686" s="1406">
        <f t="shared" si="980"/>
        <v>1</v>
      </c>
      <c r="Q3686" s="1394">
        <f>IFERROR(VLOOKUP(M3686,#REF!,3,0),0)</f>
        <v>0</v>
      </c>
      <c r="R3686" s="1394">
        <f t="shared" si="975"/>
        <v>0</v>
      </c>
      <c r="S3686" s="1394">
        <f>IFERROR(VLOOKUP(M3686,#REF!,6,0),0)</f>
        <v>0</v>
      </c>
      <c r="T3686" s="1394">
        <f t="shared" si="977"/>
        <v>0</v>
      </c>
      <c r="U3686" s="1394">
        <f>IFERROR(VLOOKUP(M3686,#REF!,5,0),0)</f>
        <v>0</v>
      </c>
      <c r="V3686" s="1394">
        <f t="shared" si="978"/>
        <v>0</v>
      </c>
      <c r="W3686" s="1394"/>
    </row>
    <row r="3687" spans="1:26" ht="30" customHeight="1">
      <c r="B3687" s="1407"/>
      <c r="C3687" s="1540" t="s">
        <v>5550</v>
      </c>
      <c r="D3687" s="103">
        <v>1</v>
      </c>
      <c r="E3687" s="1541">
        <v>2</v>
      </c>
      <c r="F3687" s="1413"/>
      <c r="G3687" s="1413"/>
      <c r="H3687" s="1414"/>
      <c r="I3687" s="1406">
        <f t="shared" si="980"/>
        <v>2</v>
      </c>
      <c r="Q3687" s="1394">
        <f>IFERROR(VLOOKUP(M3687,#REF!,3,0),0)</f>
        <v>0</v>
      </c>
      <c r="R3687" s="1394">
        <f t="shared" si="975"/>
        <v>0</v>
      </c>
      <c r="S3687" s="1394">
        <f>IFERROR(VLOOKUP(M3687,#REF!,6,0),0)</f>
        <v>0</v>
      </c>
      <c r="T3687" s="1394">
        <f t="shared" si="977"/>
        <v>0</v>
      </c>
      <c r="U3687" s="1394">
        <f>IFERROR(VLOOKUP(M3687,#REF!,5,0),0)</f>
        <v>0</v>
      </c>
      <c r="V3687" s="1394">
        <f t="shared" si="978"/>
        <v>0</v>
      </c>
      <c r="W3687" s="1394"/>
    </row>
    <row r="3688" spans="1:26" ht="30" customHeight="1">
      <c r="B3688" s="1407"/>
      <c r="C3688" s="1540" t="s">
        <v>5552</v>
      </c>
      <c r="D3688" s="103">
        <v>1</v>
      </c>
      <c r="E3688" s="1541">
        <v>2</v>
      </c>
      <c r="F3688" s="1413"/>
      <c r="G3688" s="1413"/>
      <c r="H3688" s="1414"/>
      <c r="I3688" s="1406">
        <f t="shared" si="980"/>
        <v>2</v>
      </c>
      <c r="Q3688" s="1394">
        <f>IFERROR(VLOOKUP(M3688,#REF!,3,0),0)</f>
        <v>0</v>
      </c>
      <c r="R3688" s="1394">
        <f t="shared" si="975"/>
        <v>0</v>
      </c>
      <c r="S3688" s="1394">
        <f>IFERROR(VLOOKUP(M3688,#REF!,6,0),0)</f>
        <v>0</v>
      </c>
      <c r="T3688" s="1394">
        <f t="shared" si="977"/>
        <v>0</v>
      </c>
      <c r="U3688" s="1394">
        <f>IFERROR(VLOOKUP(M3688,#REF!,5,0),0)</f>
        <v>0</v>
      </c>
      <c r="V3688" s="1394">
        <f t="shared" si="978"/>
        <v>0</v>
      </c>
      <c r="W3688" s="1394"/>
    </row>
    <row r="3689" spans="1:26" ht="30" customHeight="1">
      <c r="B3689" s="1407"/>
      <c r="C3689" s="1540" t="s">
        <v>5557</v>
      </c>
      <c r="D3689" s="103">
        <v>1</v>
      </c>
      <c r="E3689" s="1541">
        <v>2</v>
      </c>
      <c r="F3689" s="1413"/>
      <c r="G3689" s="1413"/>
      <c r="H3689" s="1414"/>
      <c r="I3689" s="1406">
        <f t="shared" si="980"/>
        <v>2</v>
      </c>
      <c r="Q3689" s="1394">
        <f>IFERROR(VLOOKUP(M3689,#REF!,3,0),0)</f>
        <v>0</v>
      </c>
      <c r="R3689" s="1394">
        <f t="shared" si="975"/>
        <v>0</v>
      </c>
      <c r="S3689" s="1394">
        <f>IFERROR(VLOOKUP(M3689,#REF!,6,0),0)</f>
        <v>0</v>
      </c>
      <c r="T3689" s="1394">
        <f t="shared" si="977"/>
        <v>0</v>
      </c>
      <c r="U3689" s="1394">
        <f>IFERROR(VLOOKUP(M3689,#REF!,5,0),0)</f>
        <v>0</v>
      </c>
      <c r="V3689" s="1394">
        <f t="shared" si="978"/>
        <v>0</v>
      </c>
      <c r="W3689" s="1394"/>
    </row>
    <row r="3690" spans="1:26" ht="30" customHeight="1">
      <c r="B3690" s="1407"/>
      <c r="C3690" s="1540" t="s">
        <v>5558</v>
      </c>
      <c r="D3690" s="103">
        <v>1</v>
      </c>
      <c r="E3690" s="1541">
        <v>2</v>
      </c>
      <c r="F3690" s="1413"/>
      <c r="G3690" s="1413"/>
      <c r="H3690" s="1414"/>
      <c r="I3690" s="1406">
        <f t="shared" si="980"/>
        <v>2</v>
      </c>
      <c r="Q3690" s="1394">
        <f>IFERROR(VLOOKUP(M3690,#REF!,3,0),0)</f>
        <v>0</v>
      </c>
      <c r="R3690" s="1394">
        <f t="shared" si="975"/>
        <v>0</v>
      </c>
      <c r="S3690" s="1394">
        <f>IFERROR(VLOOKUP(M3690,#REF!,6,0),0)</f>
        <v>0</v>
      </c>
      <c r="T3690" s="1394">
        <f t="shared" si="977"/>
        <v>0</v>
      </c>
      <c r="U3690" s="1394">
        <f>IFERROR(VLOOKUP(M3690,#REF!,5,0),0)</f>
        <v>0</v>
      </c>
      <c r="V3690" s="1394">
        <f t="shared" si="978"/>
        <v>0</v>
      </c>
      <c r="W3690" s="1394"/>
    </row>
    <row r="3691" spans="1:26" ht="30" customHeight="1">
      <c r="B3691" s="1407"/>
      <c r="C3691" s="1540" t="s">
        <v>5559</v>
      </c>
      <c r="D3691" s="103">
        <v>1</v>
      </c>
      <c r="E3691" s="1541">
        <v>1</v>
      </c>
      <c r="F3691" s="1413"/>
      <c r="G3691" s="1413"/>
      <c r="H3691" s="1414"/>
      <c r="I3691" s="1406">
        <f t="shared" si="980"/>
        <v>1</v>
      </c>
      <c r="Q3691" s="1394">
        <f>IFERROR(VLOOKUP(M3691,#REF!,3,0),0)</f>
        <v>0</v>
      </c>
      <c r="R3691" s="1394">
        <f t="shared" si="975"/>
        <v>0</v>
      </c>
      <c r="S3691" s="1394">
        <f>IFERROR(VLOOKUP(M3691,#REF!,6,0),0)</f>
        <v>0</v>
      </c>
      <c r="T3691" s="1394">
        <f t="shared" si="977"/>
        <v>0</v>
      </c>
      <c r="U3691" s="1394">
        <f>IFERROR(VLOOKUP(M3691,#REF!,5,0),0)</f>
        <v>0</v>
      </c>
      <c r="V3691" s="1394">
        <f t="shared" si="978"/>
        <v>0</v>
      </c>
      <c r="W3691" s="1394"/>
    </row>
    <row r="3692" spans="1:26" ht="30" customHeight="1">
      <c r="B3692" s="1407"/>
      <c r="C3692" s="1540" t="s">
        <v>5561</v>
      </c>
      <c r="D3692" s="103">
        <v>1</v>
      </c>
      <c r="E3692" s="1541">
        <v>1</v>
      </c>
      <c r="F3692" s="1413"/>
      <c r="G3692" s="1413"/>
      <c r="H3692" s="1414"/>
      <c r="I3692" s="1406">
        <f t="shared" si="980"/>
        <v>1</v>
      </c>
      <c r="Q3692" s="1394">
        <f>IFERROR(VLOOKUP(M3692,#REF!,3,0),0)</f>
        <v>0</v>
      </c>
      <c r="R3692" s="1394">
        <f t="shared" si="975"/>
        <v>0</v>
      </c>
      <c r="S3692" s="1394">
        <f>IFERROR(VLOOKUP(M3692,#REF!,6,0),0)</f>
        <v>0</v>
      </c>
      <c r="T3692" s="1394">
        <f t="shared" si="977"/>
        <v>0</v>
      </c>
      <c r="U3692" s="1394">
        <f>IFERROR(VLOOKUP(M3692,#REF!,5,0),0)</f>
        <v>0</v>
      </c>
      <c r="V3692" s="1394">
        <f t="shared" si="978"/>
        <v>0</v>
      </c>
      <c r="W3692" s="1394"/>
    </row>
    <row r="3693" spans="1:26" ht="30" customHeight="1">
      <c r="B3693" s="1407"/>
      <c r="C3693" s="1538" t="s">
        <v>5504</v>
      </c>
      <c r="D3693" s="103"/>
      <c r="E3693" s="1539" t="s">
        <v>575</v>
      </c>
      <c r="F3693" s="1413"/>
      <c r="G3693" s="1413"/>
      <c r="H3693" s="1414"/>
      <c r="I3693" s="1406">
        <f t="shared" si="980"/>
        <v>0</v>
      </c>
      <c r="Q3693" s="1394">
        <f>IFERROR(VLOOKUP(M3693,#REF!,3,0),0)</f>
        <v>0</v>
      </c>
      <c r="R3693" s="1394">
        <f t="shared" si="975"/>
        <v>0</v>
      </c>
      <c r="S3693" s="1394">
        <f>IFERROR(VLOOKUP(M3693,#REF!,6,0),0)</f>
        <v>0</v>
      </c>
      <c r="T3693" s="1394">
        <f t="shared" si="977"/>
        <v>0</v>
      </c>
      <c r="U3693" s="1394">
        <f>IFERROR(VLOOKUP(M3693,#REF!,5,0),0)</f>
        <v>0</v>
      </c>
      <c r="V3693" s="1394">
        <f t="shared" si="978"/>
        <v>0</v>
      </c>
      <c r="W3693" s="1394"/>
    </row>
    <row r="3694" spans="1:26" ht="30" customHeight="1">
      <c r="B3694" s="1407"/>
      <c r="C3694" s="1540" t="s">
        <v>5547</v>
      </c>
      <c r="D3694" s="103">
        <v>1</v>
      </c>
      <c r="E3694" s="1541">
        <v>2</v>
      </c>
      <c r="F3694" s="1413"/>
      <c r="G3694" s="1413"/>
      <c r="H3694" s="1414"/>
      <c r="I3694" s="1406">
        <f t="shared" si="980"/>
        <v>2</v>
      </c>
      <c r="Q3694" s="1394">
        <f>IFERROR(VLOOKUP(M3694,#REF!,3,0),0)</f>
        <v>0</v>
      </c>
      <c r="R3694" s="1394">
        <f t="shared" ref="R3694:R3757" si="981">ROUND(O3694,2)*ROUND(Q3694,2)</f>
        <v>0</v>
      </c>
      <c r="S3694" s="1394">
        <f>IFERROR(VLOOKUP(M3694,#REF!,6,0),0)</f>
        <v>0</v>
      </c>
      <c r="T3694" s="1394">
        <f t="shared" si="977"/>
        <v>0</v>
      </c>
      <c r="U3694" s="1394">
        <f>IFERROR(VLOOKUP(M3694,#REF!,5,0),0)</f>
        <v>0</v>
      </c>
      <c r="V3694" s="1394">
        <f t="shared" si="978"/>
        <v>0</v>
      </c>
      <c r="W3694" s="1394"/>
    </row>
    <row r="3695" spans="1:26" ht="30" customHeight="1">
      <c r="B3695" s="1407"/>
      <c r="C3695" s="1540" t="s">
        <v>5549</v>
      </c>
      <c r="D3695" s="103">
        <v>1</v>
      </c>
      <c r="E3695" s="1541">
        <v>1</v>
      </c>
      <c r="F3695" s="1413"/>
      <c r="G3695" s="1413"/>
      <c r="H3695" s="1414"/>
      <c r="I3695" s="1406">
        <f t="shared" si="980"/>
        <v>1</v>
      </c>
      <c r="Q3695" s="1394">
        <f>IFERROR(VLOOKUP(M3695,#REF!,3,0),0)</f>
        <v>0</v>
      </c>
      <c r="R3695" s="1394">
        <f t="shared" si="981"/>
        <v>0</v>
      </c>
      <c r="S3695" s="1394">
        <f>IFERROR(VLOOKUP(M3695,#REF!,6,0),0)</f>
        <v>0</v>
      </c>
      <c r="T3695" s="1394">
        <f t="shared" si="977"/>
        <v>0</v>
      </c>
      <c r="U3695" s="1394">
        <f>IFERROR(VLOOKUP(M3695,#REF!,5,0),0)</f>
        <v>0</v>
      </c>
      <c r="V3695" s="1394">
        <f t="shared" si="978"/>
        <v>0</v>
      </c>
      <c r="W3695" s="1394"/>
    </row>
    <row r="3696" spans="1:26" ht="30" customHeight="1">
      <c r="B3696" s="1407"/>
      <c r="C3696" s="1540" t="s">
        <v>5562</v>
      </c>
      <c r="D3696" s="103">
        <v>1</v>
      </c>
      <c r="E3696" s="1541">
        <v>2</v>
      </c>
      <c r="F3696" s="1413"/>
      <c r="G3696" s="1413"/>
      <c r="H3696" s="1414"/>
      <c r="I3696" s="1406">
        <f t="shared" si="980"/>
        <v>2</v>
      </c>
      <c r="Q3696" s="1394">
        <f>IFERROR(VLOOKUP(M3696,#REF!,3,0),0)</f>
        <v>0</v>
      </c>
      <c r="R3696" s="1394">
        <f t="shared" si="981"/>
        <v>0</v>
      </c>
      <c r="S3696" s="1394">
        <f>IFERROR(VLOOKUP(M3696,#REF!,6,0),0)</f>
        <v>0</v>
      </c>
      <c r="T3696" s="1394">
        <f t="shared" si="977"/>
        <v>0</v>
      </c>
      <c r="U3696" s="1394">
        <f>IFERROR(VLOOKUP(M3696,#REF!,5,0),0)</f>
        <v>0</v>
      </c>
      <c r="V3696" s="1394">
        <f t="shared" si="978"/>
        <v>0</v>
      </c>
      <c r="W3696" s="1394"/>
    </row>
    <row r="3697" spans="2:26" ht="30" customHeight="1">
      <c r="B3697" s="1407"/>
      <c r="C3697" s="1540" t="s">
        <v>5564</v>
      </c>
      <c r="D3697" s="103">
        <v>1</v>
      </c>
      <c r="E3697" s="1541">
        <v>2</v>
      </c>
      <c r="F3697" s="1413"/>
      <c r="G3697" s="1413"/>
      <c r="H3697" s="1414"/>
      <c r="I3697" s="1406">
        <f t="shared" si="980"/>
        <v>2</v>
      </c>
      <c r="Q3697" s="1394">
        <f>IFERROR(VLOOKUP(M3697,#REF!,3,0),0)</f>
        <v>0</v>
      </c>
      <c r="R3697" s="1394">
        <f t="shared" si="981"/>
        <v>0</v>
      </c>
      <c r="S3697" s="1394">
        <f>IFERROR(VLOOKUP(M3697,#REF!,6,0),0)</f>
        <v>0</v>
      </c>
      <c r="T3697" s="1394">
        <f t="shared" si="977"/>
        <v>0</v>
      </c>
      <c r="U3697" s="1394">
        <f>IFERROR(VLOOKUP(M3697,#REF!,5,0),0)</f>
        <v>0</v>
      </c>
      <c r="V3697" s="1394">
        <f t="shared" si="978"/>
        <v>0</v>
      </c>
      <c r="W3697" s="1394"/>
    </row>
    <row r="3698" spans="2:26" ht="30" customHeight="1">
      <c r="B3698" s="1407"/>
      <c r="C3698" s="1540" t="s">
        <v>5566</v>
      </c>
      <c r="D3698" s="103">
        <v>1</v>
      </c>
      <c r="E3698" s="1541">
        <v>2</v>
      </c>
      <c r="F3698" s="1413"/>
      <c r="G3698" s="1413"/>
      <c r="H3698" s="1414"/>
      <c r="I3698" s="1406">
        <f t="shared" si="980"/>
        <v>2</v>
      </c>
      <c r="Q3698" s="1394">
        <f>IFERROR(VLOOKUP(M3698,#REF!,3,0),0)</f>
        <v>0</v>
      </c>
      <c r="R3698" s="1394">
        <f t="shared" si="981"/>
        <v>0</v>
      </c>
      <c r="S3698" s="1394">
        <f>IFERROR(VLOOKUP(M3698,#REF!,6,0),0)</f>
        <v>0</v>
      </c>
      <c r="T3698" s="1394">
        <f t="shared" si="977"/>
        <v>0</v>
      </c>
      <c r="U3698" s="1394">
        <f>IFERROR(VLOOKUP(M3698,#REF!,5,0),0)</f>
        <v>0</v>
      </c>
      <c r="V3698" s="1394">
        <f t="shared" si="978"/>
        <v>0</v>
      </c>
      <c r="W3698" s="1394"/>
    </row>
    <row r="3699" spans="2:26" ht="30" customHeight="1">
      <c r="B3699" s="1407"/>
      <c r="C3699" s="1540" t="s">
        <v>5550</v>
      </c>
      <c r="D3699" s="103">
        <v>1</v>
      </c>
      <c r="E3699" s="1541">
        <v>3</v>
      </c>
      <c r="F3699" s="1413"/>
      <c r="G3699" s="1413"/>
      <c r="H3699" s="1414"/>
      <c r="I3699" s="1406">
        <f t="shared" si="980"/>
        <v>3</v>
      </c>
      <c r="Q3699" s="1394">
        <f>IFERROR(VLOOKUP(M3699,#REF!,3,0),0)</f>
        <v>0</v>
      </c>
      <c r="R3699" s="1394">
        <f t="shared" si="981"/>
        <v>0</v>
      </c>
      <c r="S3699" s="1394">
        <f>IFERROR(VLOOKUP(M3699,#REF!,6,0),0)</f>
        <v>0</v>
      </c>
      <c r="T3699" s="1394">
        <f t="shared" si="977"/>
        <v>0</v>
      </c>
      <c r="U3699" s="1394">
        <f>IFERROR(VLOOKUP(M3699,#REF!,5,0),0)</f>
        <v>0</v>
      </c>
      <c r="V3699" s="1394">
        <f t="shared" si="978"/>
        <v>0</v>
      </c>
      <c r="W3699" s="1394"/>
    </row>
    <row r="3700" spans="2:26" ht="30" customHeight="1">
      <c r="B3700" s="1407"/>
      <c r="C3700" s="1540" t="s">
        <v>5567</v>
      </c>
      <c r="D3700" s="103">
        <v>1</v>
      </c>
      <c r="E3700" s="1541">
        <v>1</v>
      </c>
      <c r="F3700" s="1413"/>
      <c r="G3700" s="1413"/>
      <c r="H3700" s="1414"/>
      <c r="I3700" s="1406">
        <f t="shared" si="980"/>
        <v>1</v>
      </c>
      <c r="Q3700" s="1394">
        <f>IFERROR(VLOOKUP(M3700,#REF!,3,0),0)</f>
        <v>0</v>
      </c>
      <c r="R3700" s="1394">
        <f t="shared" si="981"/>
        <v>0</v>
      </c>
      <c r="S3700" s="1394">
        <f>IFERROR(VLOOKUP(M3700,#REF!,6,0),0)</f>
        <v>0</v>
      </c>
      <c r="T3700" s="1394">
        <f t="shared" si="977"/>
        <v>0</v>
      </c>
      <c r="U3700" s="1394">
        <f>IFERROR(VLOOKUP(M3700,#REF!,5,0),0)</f>
        <v>0</v>
      </c>
      <c r="V3700" s="1394">
        <f t="shared" si="978"/>
        <v>0</v>
      </c>
      <c r="W3700" s="1394"/>
    </row>
    <row r="3701" spans="2:26" ht="30" customHeight="1">
      <c r="B3701" s="1407"/>
      <c r="C3701" s="1540" t="s">
        <v>5568</v>
      </c>
      <c r="D3701" s="103">
        <v>1</v>
      </c>
      <c r="E3701" s="1541">
        <v>1</v>
      </c>
      <c r="F3701" s="1413"/>
      <c r="G3701" s="1413"/>
      <c r="H3701" s="1414"/>
      <c r="I3701" s="1406">
        <f t="shared" si="980"/>
        <v>1</v>
      </c>
      <c r="Q3701" s="1394">
        <f>IFERROR(VLOOKUP(M3701,#REF!,3,0),0)</f>
        <v>0</v>
      </c>
      <c r="R3701" s="1394">
        <f t="shared" si="981"/>
        <v>0</v>
      </c>
      <c r="S3701" s="1394">
        <f>IFERROR(VLOOKUP(M3701,#REF!,6,0),0)</f>
        <v>0</v>
      </c>
      <c r="T3701" s="1394">
        <f t="shared" si="977"/>
        <v>0</v>
      </c>
      <c r="U3701" s="1394">
        <f>IFERROR(VLOOKUP(M3701,#REF!,5,0),0)</f>
        <v>0</v>
      </c>
      <c r="V3701" s="1394">
        <f t="shared" si="978"/>
        <v>0</v>
      </c>
      <c r="W3701" s="1394"/>
    </row>
    <row r="3702" spans="2:26" ht="30" customHeight="1">
      <c r="B3702" s="1407"/>
      <c r="C3702" s="1538" t="s">
        <v>5505</v>
      </c>
      <c r="D3702" s="103"/>
      <c r="E3702" s="1539" t="s">
        <v>575</v>
      </c>
      <c r="F3702" s="1413"/>
      <c r="G3702" s="1413"/>
      <c r="H3702" s="1414"/>
      <c r="I3702" s="1406">
        <f t="shared" si="980"/>
        <v>0</v>
      </c>
      <c r="Q3702" s="1394">
        <f>IFERROR(VLOOKUP(M3702,#REF!,3,0),0)</f>
        <v>0</v>
      </c>
      <c r="R3702" s="1394">
        <f t="shared" si="981"/>
        <v>0</v>
      </c>
      <c r="S3702" s="1394">
        <f>IFERROR(VLOOKUP(M3702,#REF!,6,0),0)</f>
        <v>0</v>
      </c>
      <c r="T3702" s="1394">
        <f t="shared" si="977"/>
        <v>0</v>
      </c>
      <c r="U3702" s="1394">
        <f>IFERROR(VLOOKUP(M3702,#REF!,5,0),0)</f>
        <v>0</v>
      </c>
      <c r="V3702" s="1394">
        <f t="shared" si="978"/>
        <v>0</v>
      </c>
      <c r="W3702" s="1394"/>
    </row>
    <row r="3703" spans="2:26" ht="30" customHeight="1">
      <c r="B3703" s="1407"/>
      <c r="C3703" s="1540" t="s">
        <v>5547</v>
      </c>
      <c r="D3703" s="103">
        <v>1</v>
      </c>
      <c r="E3703" s="1541">
        <v>2</v>
      </c>
      <c r="F3703" s="1413"/>
      <c r="G3703" s="1413"/>
      <c r="H3703" s="1414"/>
      <c r="I3703" s="1406">
        <f t="shared" si="980"/>
        <v>2</v>
      </c>
      <c r="Q3703" s="1394">
        <f>IFERROR(VLOOKUP(M3703,#REF!,3,0),0)</f>
        <v>0</v>
      </c>
      <c r="R3703" s="1394">
        <f t="shared" si="981"/>
        <v>0</v>
      </c>
      <c r="S3703" s="1394">
        <f>IFERROR(VLOOKUP(M3703,#REF!,6,0),0)</f>
        <v>0</v>
      </c>
      <c r="T3703" s="1394">
        <f t="shared" si="977"/>
        <v>0</v>
      </c>
      <c r="U3703" s="1394">
        <f>IFERROR(VLOOKUP(M3703,#REF!,5,0),0)</f>
        <v>0</v>
      </c>
      <c r="V3703" s="1394">
        <f t="shared" si="978"/>
        <v>0</v>
      </c>
      <c r="W3703" s="1394"/>
    </row>
    <row r="3704" spans="2:26" ht="30" customHeight="1">
      <c r="B3704" s="1407"/>
      <c r="C3704" s="1540" t="s">
        <v>5570</v>
      </c>
      <c r="D3704" s="103">
        <v>1</v>
      </c>
      <c r="E3704" s="1541">
        <v>2</v>
      </c>
      <c r="F3704" s="1413"/>
      <c r="G3704" s="1413"/>
      <c r="H3704" s="1414"/>
      <c r="I3704" s="1406">
        <f t="shared" si="980"/>
        <v>2</v>
      </c>
      <c r="Q3704" s="1394">
        <f>IFERROR(VLOOKUP(M3704,#REF!,3,0),0)</f>
        <v>0</v>
      </c>
      <c r="R3704" s="1394">
        <f t="shared" si="981"/>
        <v>0</v>
      </c>
      <c r="S3704" s="1394">
        <f>IFERROR(VLOOKUP(M3704,#REF!,6,0),0)</f>
        <v>0</v>
      </c>
      <c r="T3704" s="1394">
        <f t="shared" si="977"/>
        <v>0</v>
      </c>
      <c r="U3704" s="1394">
        <f>IFERROR(VLOOKUP(M3704,#REF!,5,0),0)</f>
        <v>0</v>
      </c>
      <c r="V3704" s="1394">
        <f t="shared" si="978"/>
        <v>0</v>
      </c>
      <c r="W3704" s="1394"/>
    </row>
    <row r="3705" spans="2:26" ht="30" customHeight="1">
      <c r="B3705" s="1407"/>
      <c r="C3705" s="1540" t="s">
        <v>5572</v>
      </c>
      <c r="D3705" s="103">
        <v>1</v>
      </c>
      <c r="E3705" s="1541">
        <v>2</v>
      </c>
      <c r="F3705" s="1413"/>
      <c r="G3705" s="1413"/>
      <c r="H3705" s="1414"/>
      <c r="I3705" s="1406">
        <f t="shared" si="980"/>
        <v>2</v>
      </c>
      <c r="Q3705" s="1394">
        <f>IFERROR(VLOOKUP(M3705,#REF!,3,0),0)</f>
        <v>0</v>
      </c>
      <c r="R3705" s="1394">
        <f t="shared" si="981"/>
        <v>0</v>
      </c>
      <c r="S3705" s="1394">
        <f>IFERROR(VLOOKUP(M3705,#REF!,6,0),0)</f>
        <v>0</v>
      </c>
      <c r="T3705" s="1394">
        <f t="shared" si="977"/>
        <v>0</v>
      </c>
      <c r="U3705" s="1394">
        <f>IFERROR(VLOOKUP(M3705,#REF!,5,0),0)</f>
        <v>0</v>
      </c>
      <c r="V3705" s="1394">
        <f t="shared" si="978"/>
        <v>0</v>
      </c>
      <c r="W3705" s="1394"/>
    </row>
    <row r="3706" spans="2:26" ht="30" customHeight="1">
      <c r="B3706" s="1407"/>
      <c r="C3706" s="1540" t="s">
        <v>5549</v>
      </c>
      <c r="D3706" s="103">
        <v>1</v>
      </c>
      <c r="E3706" s="1541">
        <v>2</v>
      </c>
      <c r="F3706" s="1413"/>
      <c r="G3706" s="1413"/>
      <c r="H3706" s="1414"/>
      <c r="I3706" s="1406">
        <f t="shared" si="980"/>
        <v>2</v>
      </c>
      <c r="Q3706" s="1394">
        <f>IFERROR(VLOOKUP(M3706,#REF!,3,0),0)</f>
        <v>0</v>
      </c>
      <c r="R3706" s="1394">
        <f t="shared" si="981"/>
        <v>0</v>
      </c>
      <c r="S3706" s="1394">
        <f>IFERROR(VLOOKUP(M3706,#REF!,6,0),0)</f>
        <v>0</v>
      </c>
      <c r="T3706" s="1394">
        <f t="shared" si="977"/>
        <v>0</v>
      </c>
      <c r="U3706" s="1394">
        <f>IFERROR(VLOOKUP(M3706,#REF!,5,0),0)</f>
        <v>0</v>
      </c>
      <c r="V3706" s="1394">
        <f t="shared" si="978"/>
        <v>0</v>
      </c>
      <c r="W3706" s="1394"/>
    </row>
    <row r="3707" spans="2:26" ht="30" customHeight="1">
      <c r="B3707" s="1407"/>
      <c r="C3707" s="1540" t="s">
        <v>5574</v>
      </c>
      <c r="D3707" s="103">
        <v>1</v>
      </c>
      <c r="E3707" s="1541">
        <v>1</v>
      </c>
      <c r="F3707" s="1413"/>
      <c r="G3707" s="1413"/>
      <c r="H3707" s="1414"/>
      <c r="I3707" s="1406">
        <f t="shared" si="980"/>
        <v>1</v>
      </c>
      <c r="Q3707" s="1394">
        <f>IFERROR(VLOOKUP(M3707,#REF!,3,0),0)</f>
        <v>0</v>
      </c>
      <c r="R3707" s="1394">
        <f t="shared" si="981"/>
        <v>0</v>
      </c>
      <c r="S3707" s="1394">
        <f>IFERROR(VLOOKUP(M3707,#REF!,6,0),0)</f>
        <v>0</v>
      </c>
      <c r="T3707" s="1394">
        <f t="shared" si="977"/>
        <v>0</v>
      </c>
      <c r="U3707" s="1394">
        <f>IFERROR(VLOOKUP(M3707,#REF!,5,0),0)</f>
        <v>0</v>
      </c>
      <c r="V3707" s="1394">
        <f t="shared" si="978"/>
        <v>0</v>
      </c>
      <c r="W3707" s="1394"/>
    </row>
    <row r="3708" spans="2:26" ht="30" customHeight="1">
      <c r="B3708" s="1407"/>
      <c r="C3708" s="1540" t="s">
        <v>5576</v>
      </c>
      <c r="D3708" s="103">
        <v>1</v>
      </c>
      <c r="E3708" s="1541">
        <v>4</v>
      </c>
      <c r="F3708" s="1413"/>
      <c r="G3708" s="1413"/>
      <c r="H3708" s="1414"/>
      <c r="I3708" s="1406">
        <f t="shared" si="980"/>
        <v>4</v>
      </c>
      <c r="Q3708" s="1394">
        <f>IFERROR(VLOOKUP(M3708,#REF!,3,0),0)</f>
        <v>0</v>
      </c>
      <c r="R3708" s="1394">
        <f t="shared" si="981"/>
        <v>0</v>
      </c>
      <c r="S3708" s="1394">
        <f>IFERROR(VLOOKUP(M3708,#REF!,6,0),0)</f>
        <v>0</v>
      </c>
      <c r="T3708" s="1394">
        <f t="shared" si="977"/>
        <v>0</v>
      </c>
      <c r="U3708" s="1394">
        <f>IFERROR(VLOOKUP(M3708,#REF!,5,0),0)</f>
        <v>0</v>
      </c>
      <c r="V3708" s="1394">
        <f t="shared" si="978"/>
        <v>0</v>
      </c>
      <c r="W3708" s="1394"/>
    </row>
    <row r="3709" spans="2:26" ht="30" customHeight="1">
      <c r="B3709" s="1407"/>
      <c r="C3709" s="1540" t="s">
        <v>5570</v>
      </c>
      <c r="D3709" s="103">
        <v>1</v>
      </c>
      <c r="E3709" s="1541">
        <v>2</v>
      </c>
      <c r="F3709" s="1413"/>
      <c r="G3709" s="1413"/>
      <c r="H3709" s="1414"/>
      <c r="I3709" s="1406">
        <f t="shared" si="980"/>
        <v>2</v>
      </c>
      <c r="Q3709" s="1394">
        <f>IFERROR(VLOOKUP(M3709,#REF!,3,0),0)</f>
        <v>0</v>
      </c>
      <c r="R3709" s="1394">
        <f t="shared" si="981"/>
        <v>0</v>
      </c>
      <c r="S3709" s="1394">
        <f>IFERROR(VLOOKUP(M3709,#REF!,6,0),0)</f>
        <v>0</v>
      </c>
      <c r="T3709" s="1394">
        <f t="shared" si="977"/>
        <v>0</v>
      </c>
      <c r="U3709" s="1394">
        <f>IFERROR(VLOOKUP(M3709,#REF!,5,0),0)</f>
        <v>0</v>
      </c>
      <c r="V3709" s="1394">
        <f t="shared" si="978"/>
        <v>0</v>
      </c>
      <c r="W3709" s="1394"/>
    </row>
    <row r="3710" spans="2:26" ht="30" customHeight="1">
      <c r="B3710" s="1407"/>
      <c r="C3710" s="1540"/>
      <c r="D3710" s="103"/>
      <c r="E3710" s="1543"/>
      <c r="F3710" s="1413"/>
      <c r="G3710" s="1413"/>
      <c r="H3710" s="1414"/>
      <c r="I3710" s="1406">
        <f t="shared" ref="I3710" si="982">PRODUCT(D3710:H3710)</f>
        <v>0</v>
      </c>
      <c r="Q3710" s="1394">
        <f>IFERROR(VLOOKUP(M3710,#REF!,3,0),0)</f>
        <v>0</v>
      </c>
      <c r="R3710" s="1394">
        <f t="shared" si="981"/>
        <v>0</v>
      </c>
      <c r="S3710" s="1394">
        <f>IFERROR(VLOOKUP(M3710,#REF!,6,0),0)</f>
        <v>0</v>
      </c>
      <c r="T3710" s="1394">
        <f t="shared" si="977"/>
        <v>0</v>
      </c>
      <c r="U3710" s="1394">
        <f>IFERROR(VLOOKUP(M3710,#REF!,5,0),0)</f>
        <v>0</v>
      </c>
      <c r="V3710" s="1394">
        <f t="shared" si="978"/>
        <v>0</v>
      </c>
      <c r="W3710" s="1394"/>
    </row>
    <row r="3711" spans="2:26" ht="30" customHeight="1">
      <c r="B3711" s="1407"/>
      <c r="C3711" s="1455"/>
      <c r="D3711" s="103"/>
      <c r="E3711" s="103"/>
      <c r="F3711" s="1413"/>
      <c r="G3711" s="1413"/>
      <c r="H3711" s="1414"/>
      <c r="I3711" s="1479">
        <f>SUM(I3684:I3710)</f>
        <v>42</v>
      </c>
      <c r="Q3711" s="1394">
        <f>IFERROR(VLOOKUP(M3711,#REF!,3,0),0)</f>
        <v>0</v>
      </c>
      <c r="R3711" s="1394">
        <f t="shared" si="981"/>
        <v>0</v>
      </c>
      <c r="S3711" s="1394">
        <f>IFERROR(VLOOKUP(M3711,#REF!,6,0),0)</f>
        <v>0</v>
      </c>
      <c r="T3711" s="1394">
        <f t="shared" si="977"/>
        <v>0</v>
      </c>
      <c r="U3711" s="1394">
        <f>IFERROR(VLOOKUP(M3711,#REF!,5,0),0)</f>
        <v>0</v>
      </c>
      <c r="V3711" s="1394">
        <f t="shared" si="978"/>
        <v>0</v>
      </c>
      <c r="W3711" s="1394"/>
    </row>
    <row r="3712" spans="2:26" ht="30" customHeight="1">
      <c r="B3712" s="1407"/>
      <c r="C3712" s="1455"/>
      <c r="D3712" s="103"/>
      <c r="E3712" s="103"/>
      <c r="F3712" s="1413"/>
      <c r="G3712" s="1483" t="s">
        <v>11</v>
      </c>
      <c r="H3712" s="1478">
        <f>ROUNDUP(I3711,1)</f>
        <v>42</v>
      </c>
      <c r="I3712" s="1479" t="s">
        <v>13</v>
      </c>
      <c r="M3712" s="1394" t="str">
        <f>A3683</f>
        <v>Wiring with 1.5 Sqm.m PVC insulated single core multi strand fire retardant flexible copper cable with ISI mark confirming IS: 694:1990 for 5 amps 5 pin plug socket point @ Convenient Places.</v>
      </c>
      <c r="N3712" s="1394">
        <f>B3683</f>
        <v>68</v>
      </c>
      <c r="O3712" s="1394">
        <f>H3712</f>
        <v>42</v>
      </c>
      <c r="P3712" s="1394" t="str">
        <f>I3712</f>
        <v>Nos</v>
      </c>
      <c r="Q3712" s="1394">
        <f>IFERROR(VLOOKUP(M3712,#REF!,3,0),0)</f>
        <v>0</v>
      </c>
      <c r="R3712" s="1394">
        <f t="shared" si="981"/>
        <v>0</v>
      </c>
      <c r="S3712" s="1394">
        <f>IFERROR(VLOOKUP(M3712,#REF!,6,0),0)</f>
        <v>0</v>
      </c>
      <c r="T3712" s="1394">
        <f t="shared" si="977"/>
        <v>0</v>
      </c>
      <c r="U3712" s="1394">
        <f>IFERROR(VLOOKUP(M3712,#REF!,5,0),0)</f>
        <v>0</v>
      </c>
      <c r="V3712" s="1394">
        <f t="shared" si="978"/>
        <v>42</v>
      </c>
      <c r="W3712" s="1394"/>
      <c r="Z3712" s="1394"/>
    </row>
    <row r="3713" spans="1:26" ht="93.75" customHeight="1">
      <c r="A3713" s="110" t="s">
        <v>493</v>
      </c>
      <c r="B3713" s="1405">
        <v>82.1</v>
      </c>
      <c r="C3713" s="1678" t="e">
        <f>VLOOKUP(A3713,#REF!,2,0)</f>
        <v>#REF!</v>
      </c>
      <c r="D3713" s="1678"/>
      <c r="E3713" s="1678"/>
      <c r="F3713" s="1678"/>
      <c r="G3713" s="1678"/>
      <c r="H3713" s="1678"/>
      <c r="I3713" s="1479"/>
      <c r="Q3713" s="1394">
        <f>IFERROR(VLOOKUP(M3713,#REF!,3,0),0)</f>
        <v>0</v>
      </c>
      <c r="R3713" s="1394">
        <f t="shared" si="981"/>
        <v>0</v>
      </c>
      <c r="S3713" s="1394">
        <f>IFERROR(VLOOKUP(M3713,#REF!,6,0),0)</f>
        <v>0</v>
      </c>
      <c r="T3713" s="1394">
        <f t="shared" si="977"/>
        <v>0</v>
      </c>
      <c r="U3713" s="1394">
        <f>IFERROR(VLOOKUP(M3713,#REF!,5,0),0)</f>
        <v>0</v>
      </c>
      <c r="V3713" s="1394">
        <f t="shared" si="978"/>
        <v>0</v>
      </c>
      <c r="W3713" s="1394"/>
      <c r="X3713" s="1397"/>
    </row>
    <row r="3714" spans="1:26" ht="30" customHeight="1">
      <c r="B3714" s="1407"/>
      <c r="C3714" s="1455" t="s">
        <v>494</v>
      </c>
      <c r="D3714" s="103">
        <v>1</v>
      </c>
      <c r="E3714" s="103">
        <v>3</v>
      </c>
      <c r="F3714" s="1413"/>
      <c r="G3714" s="1413"/>
      <c r="H3714" s="1414"/>
      <c r="I3714" s="1406">
        <f>PRODUCT(D3714:H3714)</f>
        <v>3</v>
      </c>
      <c r="Q3714" s="1394">
        <f>IFERROR(VLOOKUP(M3714,#REF!,3,0),0)</f>
        <v>0</v>
      </c>
      <c r="R3714" s="1394">
        <f t="shared" si="981"/>
        <v>0</v>
      </c>
      <c r="S3714" s="1394">
        <f>IFERROR(VLOOKUP(M3714,#REF!,6,0),0)</f>
        <v>0</v>
      </c>
      <c r="T3714" s="1394">
        <f t="shared" si="977"/>
        <v>0</v>
      </c>
      <c r="U3714" s="1394">
        <f>IFERROR(VLOOKUP(M3714,#REF!,5,0),0)</f>
        <v>0</v>
      </c>
      <c r="V3714" s="1394">
        <f t="shared" si="978"/>
        <v>0</v>
      </c>
      <c r="W3714" s="1394"/>
    </row>
    <row r="3715" spans="1:26" ht="30" customHeight="1">
      <c r="B3715" s="1407"/>
      <c r="C3715" s="1455" t="s">
        <v>5904</v>
      </c>
      <c r="D3715" s="103">
        <v>1</v>
      </c>
      <c r="E3715" s="103">
        <v>3</v>
      </c>
      <c r="F3715" s="1413"/>
      <c r="G3715" s="1413"/>
      <c r="H3715" s="1414"/>
      <c r="I3715" s="1406">
        <f>PRODUCT(D3715:H3715)</f>
        <v>3</v>
      </c>
      <c r="Q3715" s="1394">
        <f>IFERROR(VLOOKUP(M3715,#REF!,3,0),0)</f>
        <v>0</v>
      </c>
      <c r="R3715" s="1394">
        <f t="shared" si="981"/>
        <v>0</v>
      </c>
      <c r="S3715" s="1394">
        <f>IFERROR(VLOOKUP(M3715,#REF!,6,0),0)</f>
        <v>0</v>
      </c>
      <c r="T3715" s="1394">
        <f t="shared" ref="T3715:T3778" si="983">R3715-S3715</f>
        <v>0</v>
      </c>
      <c r="U3715" s="1394">
        <f>IFERROR(VLOOKUP(M3715,#REF!,5,0),0)</f>
        <v>0</v>
      </c>
      <c r="V3715" s="1394">
        <f t="shared" ref="V3715:V3778" si="984">O3715-U3715</f>
        <v>0</v>
      </c>
      <c r="W3715" s="1394"/>
    </row>
    <row r="3716" spans="1:26" ht="30" customHeight="1">
      <c r="B3716" s="1407"/>
      <c r="C3716" s="1455" t="s">
        <v>495</v>
      </c>
      <c r="D3716" s="103">
        <v>1</v>
      </c>
      <c r="E3716" s="103">
        <v>3</v>
      </c>
      <c r="F3716" s="1413"/>
      <c r="G3716" s="1413"/>
      <c r="H3716" s="1414"/>
      <c r="I3716" s="1406">
        <f>PRODUCT(D3716:H3716)</f>
        <v>3</v>
      </c>
      <c r="Q3716" s="1394">
        <f>IFERROR(VLOOKUP(M3716,#REF!,3,0),0)</f>
        <v>0</v>
      </c>
      <c r="R3716" s="1394">
        <f t="shared" si="981"/>
        <v>0</v>
      </c>
      <c r="S3716" s="1394">
        <f>IFERROR(VLOOKUP(M3716,#REF!,6,0),0)</f>
        <v>0</v>
      </c>
      <c r="T3716" s="1394">
        <f t="shared" si="983"/>
        <v>0</v>
      </c>
      <c r="U3716" s="1394">
        <f>IFERROR(VLOOKUP(M3716,#REF!,5,0),0)</f>
        <v>0</v>
      </c>
      <c r="V3716" s="1394">
        <f t="shared" si="984"/>
        <v>0</v>
      </c>
      <c r="W3716" s="1394"/>
    </row>
    <row r="3717" spans="1:26" ht="30" customHeight="1">
      <c r="B3717" s="1407"/>
      <c r="C3717" s="1455"/>
      <c r="D3717" s="103"/>
      <c r="E3717" s="103"/>
      <c r="F3717" s="1413"/>
      <c r="G3717" s="1483"/>
      <c r="H3717" s="1478"/>
      <c r="I3717" s="1479">
        <f>SUM(I3714:I3716)</f>
        <v>9</v>
      </c>
      <c r="Q3717" s="1394">
        <f>IFERROR(VLOOKUP(M3717,#REF!,3,0),0)</f>
        <v>0</v>
      </c>
      <c r="R3717" s="1394">
        <f t="shared" si="981"/>
        <v>0</v>
      </c>
      <c r="S3717" s="1394">
        <f>IFERROR(VLOOKUP(M3717,#REF!,6,0),0)</f>
        <v>0</v>
      </c>
      <c r="T3717" s="1394">
        <f t="shared" si="983"/>
        <v>0</v>
      </c>
      <c r="U3717" s="1394">
        <f>IFERROR(VLOOKUP(M3717,#REF!,5,0),0)</f>
        <v>0</v>
      </c>
      <c r="V3717" s="1394">
        <f t="shared" si="984"/>
        <v>0</v>
      </c>
      <c r="W3717" s="1394"/>
    </row>
    <row r="3718" spans="1:26" ht="30" customHeight="1">
      <c r="B3718" s="1407"/>
      <c r="C3718" s="1455"/>
      <c r="D3718" s="103"/>
      <c r="E3718" s="103"/>
      <c r="F3718" s="1413"/>
      <c r="G3718" s="1483" t="s">
        <v>11</v>
      </c>
      <c r="H3718" s="1478">
        <f>I3717</f>
        <v>9</v>
      </c>
      <c r="I3718" s="1479" t="s">
        <v>13</v>
      </c>
      <c r="M3718" s="1394" t="str">
        <f>A3713</f>
        <v xml:space="preserve">Supply and fixing of 25w LED street light </v>
      </c>
      <c r="N3718" s="1394">
        <f>B3713</f>
        <v>82.1</v>
      </c>
      <c r="O3718" s="1394">
        <f>H3718</f>
        <v>9</v>
      </c>
      <c r="P3718" s="1394" t="str">
        <f>I3718</f>
        <v>Nos</v>
      </c>
      <c r="Q3718" s="1394">
        <f>IFERROR(VLOOKUP(M3718,#REF!,3,0),0)</f>
        <v>0</v>
      </c>
      <c r="R3718" s="1394">
        <f t="shared" si="981"/>
        <v>0</v>
      </c>
      <c r="S3718" s="1394">
        <f>IFERROR(VLOOKUP(M3718,#REF!,6,0),0)</f>
        <v>0</v>
      </c>
      <c r="T3718" s="1394">
        <f t="shared" si="983"/>
        <v>0</v>
      </c>
      <c r="U3718" s="1394">
        <f>IFERROR(VLOOKUP(M3718,#REF!,5,0),0)</f>
        <v>0</v>
      </c>
      <c r="V3718" s="1394">
        <f t="shared" si="984"/>
        <v>9</v>
      </c>
      <c r="W3718" s="1394"/>
      <c r="Z3718" s="1394"/>
    </row>
    <row r="3719" spans="1:26" ht="66.75" customHeight="1">
      <c r="A3719" s="110" t="s">
        <v>496</v>
      </c>
      <c r="B3719" s="1513">
        <v>69</v>
      </c>
      <c r="C3719" s="1678" t="e">
        <f>VLOOKUP(A3719,#REF!,2,0)</f>
        <v>#REF!</v>
      </c>
      <c r="D3719" s="1678"/>
      <c r="E3719" s="1678"/>
      <c r="F3719" s="1678"/>
      <c r="G3719" s="1678"/>
      <c r="H3719" s="1678"/>
      <c r="I3719" s="1406"/>
      <c r="Q3719" s="1394">
        <f>IFERROR(VLOOKUP(M3719,#REF!,3,0),0)</f>
        <v>0</v>
      </c>
      <c r="R3719" s="1394">
        <f t="shared" si="981"/>
        <v>0</v>
      </c>
      <c r="S3719" s="1394">
        <f>IFERROR(VLOOKUP(M3719,#REF!,6,0),0)</f>
        <v>0</v>
      </c>
      <c r="T3719" s="1394">
        <f t="shared" si="983"/>
        <v>0</v>
      </c>
      <c r="U3719" s="1394">
        <f>IFERROR(VLOOKUP(M3719,#REF!,5,0),0)</f>
        <v>0</v>
      </c>
      <c r="V3719" s="1394">
        <f t="shared" si="984"/>
        <v>0</v>
      </c>
      <c r="W3719" s="1394"/>
      <c r="X3719" s="1397"/>
    </row>
    <row r="3720" spans="1:26" ht="30" customHeight="1">
      <c r="B3720" s="1513"/>
      <c r="C3720" s="1538" t="s">
        <v>5503</v>
      </c>
      <c r="D3720" s="103"/>
      <c r="E3720" s="1539" t="s">
        <v>575</v>
      </c>
      <c r="F3720" s="1413"/>
      <c r="G3720" s="1413"/>
      <c r="H3720" s="1414"/>
      <c r="I3720" s="1406"/>
      <c r="Q3720" s="1394">
        <f>IFERROR(VLOOKUP(M3720,#REF!,3,0),0)</f>
        <v>0</v>
      </c>
      <c r="R3720" s="1394">
        <f t="shared" si="981"/>
        <v>0</v>
      </c>
      <c r="S3720" s="1394">
        <f>IFERROR(VLOOKUP(M3720,#REF!,6,0),0)</f>
        <v>0</v>
      </c>
      <c r="T3720" s="1394">
        <f t="shared" si="983"/>
        <v>0</v>
      </c>
      <c r="U3720" s="1394">
        <f>IFERROR(VLOOKUP(M3720,#REF!,5,0),0)</f>
        <v>0</v>
      </c>
      <c r="V3720" s="1394">
        <f t="shared" si="984"/>
        <v>0</v>
      </c>
      <c r="W3720" s="1394"/>
    </row>
    <row r="3721" spans="1:26" ht="30" customHeight="1">
      <c r="B3721" s="1513"/>
      <c r="C3721" s="1540" t="s">
        <v>5547</v>
      </c>
      <c r="D3721" s="103">
        <v>1</v>
      </c>
      <c r="E3721" s="1541">
        <v>3</v>
      </c>
      <c r="F3721" s="1413"/>
      <c r="G3721" s="1413"/>
      <c r="H3721" s="1414"/>
      <c r="I3721" s="1406">
        <f t="shared" ref="I3721:I3747" si="985">PRODUCT(D3721:H3721)</f>
        <v>3</v>
      </c>
      <c r="Q3721" s="1394">
        <f>IFERROR(VLOOKUP(M3721,#REF!,3,0),0)</f>
        <v>0</v>
      </c>
      <c r="R3721" s="1394">
        <f t="shared" si="981"/>
        <v>0</v>
      </c>
      <c r="S3721" s="1394">
        <f>IFERROR(VLOOKUP(M3721,#REF!,6,0),0)</f>
        <v>0</v>
      </c>
      <c r="T3721" s="1394">
        <f t="shared" si="983"/>
        <v>0</v>
      </c>
      <c r="U3721" s="1394">
        <f>IFERROR(VLOOKUP(M3721,#REF!,5,0),0)</f>
        <v>0</v>
      </c>
      <c r="V3721" s="1394">
        <f t="shared" si="984"/>
        <v>0</v>
      </c>
      <c r="W3721" s="1394"/>
    </row>
    <row r="3722" spans="1:26" ht="30" customHeight="1">
      <c r="B3722" s="1513"/>
      <c r="C3722" s="1540" t="s">
        <v>5549</v>
      </c>
      <c r="D3722" s="103">
        <v>1</v>
      </c>
      <c r="E3722" s="1541">
        <v>1</v>
      </c>
      <c r="F3722" s="1413"/>
      <c r="G3722" s="1413"/>
      <c r="H3722" s="1414"/>
      <c r="I3722" s="1406">
        <f t="shared" si="985"/>
        <v>1</v>
      </c>
      <c r="Q3722" s="1394">
        <f>IFERROR(VLOOKUP(M3722,#REF!,3,0),0)</f>
        <v>0</v>
      </c>
      <c r="R3722" s="1394">
        <f t="shared" si="981"/>
        <v>0</v>
      </c>
      <c r="S3722" s="1394">
        <f>IFERROR(VLOOKUP(M3722,#REF!,6,0),0)</f>
        <v>0</v>
      </c>
      <c r="T3722" s="1394">
        <f t="shared" si="983"/>
        <v>0</v>
      </c>
      <c r="U3722" s="1394">
        <f>IFERROR(VLOOKUP(M3722,#REF!,5,0),0)</f>
        <v>0</v>
      </c>
      <c r="V3722" s="1394">
        <f t="shared" si="984"/>
        <v>0</v>
      </c>
      <c r="W3722" s="1394"/>
    </row>
    <row r="3723" spans="1:26" ht="30" customHeight="1">
      <c r="B3723" s="1513"/>
      <c r="C3723" s="1540" t="s">
        <v>5550</v>
      </c>
      <c r="D3723" s="103">
        <v>1</v>
      </c>
      <c r="E3723" s="1541">
        <v>1</v>
      </c>
      <c r="F3723" s="1413"/>
      <c r="G3723" s="1413"/>
      <c r="H3723" s="1414"/>
      <c r="I3723" s="1406">
        <f t="shared" si="985"/>
        <v>1</v>
      </c>
      <c r="Q3723" s="1394">
        <f>IFERROR(VLOOKUP(M3723,#REF!,3,0),0)</f>
        <v>0</v>
      </c>
      <c r="R3723" s="1394">
        <f t="shared" si="981"/>
        <v>0</v>
      </c>
      <c r="S3723" s="1394">
        <f>IFERROR(VLOOKUP(M3723,#REF!,6,0),0)</f>
        <v>0</v>
      </c>
      <c r="T3723" s="1394">
        <f t="shared" si="983"/>
        <v>0</v>
      </c>
      <c r="U3723" s="1394">
        <f>IFERROR(VLOOKUP(M3723,#REF!,5,0),0)</f>
        <v>0</v>
      </c>
      <c r="V3723" s="1394">
        <f t="shared" si="984"/>
        <v>0</v>
      </c>
      <c r="W3723" s="1394"/>
    </row>
    <row r="3724" spans="1:26" ht="30" customHeight="1">
      <c r="B3724" s="1513"/>
      <c r="C3724" s="1540" t="s">
        <v>5552</v>
      </c>
      <c r="D3724" s="103">
        <v>1</v>
      </c>
      <c r="E3724" s="1541">
        <v>1</v>
      </c>
      <c r="F3724" s="1413"/>
      <c r="G3724" s="1413"/>
      <c r="H3724" s="1414"/>
      <c r="I3724" s="1406">
        <f t="shared" si="985"/>
        <v>1</v>
      </c>
      <c r="Q3724" s="1394">
        <f>IFERROR(VLOOKUP(M3724,#REF!,3,0),0)</f>
        <v>0</v>
      </c>
      <c r="R3724" s="1394">
        <f t="shared" si="981"/>
        <v>0</v>
      </c>
      <c r="S3724" s="1394">
        <f>IFERROR(VLOOKUP(M3724,#REF!,6,0),0)</f>
        <v>0</v>
      </c>
      <c r="T3724" s="1394">
        <f t="shared" si="983"/>
        <v>0</v>
      </c>
      <c r="U3724" s="1394">
        <f>IFERROR(VLOOKUP(M3724,#REF!,5,0),0)</f>
        <v>0</v>
      </c>
      <c r="V3724" s="1394">
        <f t="shared" si="984"/>
        <v>0</v>
      </c>
      <c r="W3724" s="1394"/>
    </row>
    <row r="3725" spans="1:26" ht="30" customHeight="1">
      <c r="B3725" s="1513"/>
      <c r="C3725" s="1540" t="s">
        <v>5557</v>
      </c>
      <c r="D3725" s="103">
        <v>1</v>
      </c>
      <c r="E3725" s="1541">
        <v>1</v>
      </c>
      <c r="F3725" s="1413"/>
      <c r="G3725" s="1413"/>
      <c r="H3725" s="1414"/>
      <c r="I3725" s="1406">
        <f t="shared" si="985"/>
        <v>1</v>
      </c>
      <c r="Q3725" s="1394">
        <f>IFERROR(VLOOKUP(M3725,#REF!,3,0),0)</f>
        <v>0</v>
      </c>
      <c r="R3725" s="1394">
        <f t="shared" si="981"/>
        <v>0</v>
      </c>
      <c r="S3725" s="1394">
        <f>IFERROR(VLOOKUP(M3725,#REF!,6,0),0)</f>
        <v>0</v>
      </c>
      <c r="T3725" s="1394">
        <f t="shared" si="983"/>
        <v>0</v>
      </c>
      <c r="U3725" s="1394">
        <f>IFERROR(VLOOKUP(M3725,#REF!,5,0),0)</f>
        <v>0</v>
      </c>
      <c r="V3725" s="1394">
        <f t="shared" si="984"/>
        <v>0</v>
      </c>
      <c r="W3725" s="1394"/>
    </row>
    <row r="3726" spans="1:26" ht="30" customHeight="1">
      <c r="B3726" s="1513"/>
      <c r="C3726" s="1540" t="s">
        <v>5558</v>
      </c>
      <c r="D3726" s="103">
        <v>1</v>
      </c>
      <c r="E3726" s="1541">
        <v>1</v>
      </c>
      <c r="F3726" s="1413"/>
      <c r="G3726" s="1413"/>
      <c r="H3726" s="1414"/>
      <c r="I3726" s="1406">
        <f t="shared" si="985"/>
        <v>1</v>
      </c>
      <c r="Q3726" s="1394">
        <f>IFERROR(VLOOKUP(M3726,#REF!,3,0),0)</f>
        <v>0</v>
      </c>
      <c r="R3726" s="1394">
        <f t="shared" si="981"/>
        <v>0</v>
      </c>
      <c r="S3726" s="1394">
        <f>IFERROR(VLOOKUP(M3726,#REF!,6,0),0)</f>
        <v>0</v>
      </c>
      <c r="T3726" s="1394">
        <f t="shared" si="983"/>
        <v>0</v>
      </c>
      <c r="U3726" s="1394">
        <f>IFERROR(VLOOKUP(M3726,#REF!,5,0),0)</f>
        <v>0</v>
      </c>
      <c r="V3726" s="1394">
        <f t="shared" si="984"/>
        <v>0</v>
      </c>
      <c r="W3726" s="1394"/>
    </row>
    <row r="3727" spans="1:26" ht="30" customHeight="1">
      <c r="B3727" s="1513"/>
      <c r="C3727" s="1540" t="s">
        <v>5559</v>
      </c>
      <c r="D3727" s="103">
        <v>1</v>
      </c>
      <c r="E3727" s="1541">
        <v>1</v>
      </c>
      <c r="F3727" s="1413"/>
      <c r="G3727" s="1413"/>
      <c r="H3727" s="1414"/>
      <c r="I3727" s="1406">
        <f t="shared" si="985"/>
        <v>1</v>
      </c>
      <c r="Q3727" s="1394">
        <f>IFERROR(VLOOKUP(M3727,#REF!,3,0),0)</f>
        <v>0</v>
      </c>
      <c r="R3727" s="1394">
        <f t="shared" si="981"/>
        <v>0</v>
      </c>
      <c r="S3727" s="1394">
        <f>IFERROR(VLOOKUP(M3727,#REF!,6,0),0)</f>
        <v>0</v>
      </c>
      <c r="T3727" s="1394">
        <f t="shared" si="983"/>
        <v>0</v>
      </c>
      <c r="U3727" s="1394">
        <f>IFERROR(VLOOKUP(M3727,#REF!,5,0),0)</f>
        <v>0</v>
      </c>
      <c r="V3727" s="1394">
        <f t="shared" si="984"/>
        <v>0</v>
      </c>
      <c r="W3727" s="1394"/>
    </row>
    <row r="3728" spans="1:26" ht="30" customHeight="1">
      <c r="B3728" s="1513"/>
      <c r="C3728" s="1540" t="s">
        <v>5561</v>
      </c>
      <c r="D3728" s="103">
        <v>1</v>
      </c>
      <c r="E3728" s="1541">
        <v>1</v>
      </c>
      <c r="F3728" s="1413"/>
      <c r="G3728" s="1413"/>
      <c r="H3728" s="1414"/>
      <c r="I3728" s="1406">
        <f t="shared" si="985"/>
        <v>1</v>
      </c>
      <c r="Q3728" s="1394">
        <f>IFERROR(VLOOKUP(M3728,#REF!,3,0),0)</f>
        <v>0</v>
      </c>
      <c r="R3728" s="1394">
        <f t="shared" si="981"/>
        <v>0</v>
      </c>
      <c r="S3728" s="1394">
        <f>IFERROR(VLOOKUP(M3728,#REF!,6,0),0)</f>
        <v>0</v>
      </c>
      <c r="T3728" s="1394">
        <f t="shared" si="983"/>
        <v>0</v>
      </c>
      <c r="U3728" s="1394">
        <f>IFERROR(VLOOKUP(M3728,#REF!,5,0),0)</f>
        <v>0</v>
      </c>
      <c r="V3728" s="1394">
        <f t="shared" si="984"/>
        <v>0</v>
      </c>
      <c r="W3728" s="1394"/>
    </row>
    <row r="3729" spans="2:23" ht="30" customHeight="1">
      <c r="B3729" s="1513"/>
      <c r="C3729" s="1538" t="s">
        <v>5504</v>
      </c>
      <c r="D3729" s="103"/>
      <c r="E3729" s="1539" t="s">
        <v>575</v>
      </c>
      <c r="F3729" s="1413"/>
      <c r="G3729" s="1413"/>
      <c r="H3729" s="1414"/>
      <c r="I3729" s="1406">
        <f t="shared" si="985"/>
        <v>0</v>
      </c>
      <c r="Q3729" s="1394">
        <f>IFERROR(VLOOKUP(M3729,#REF!,3,0),0)</f>
        <v>0</v>
      </c>
      <c r="R3729" s="1394">
        <f t="shared" si="981"/>
        <v>0</v>
      </c>
      <c r="S3729" s="1394">
        <f>IFERROR(VLOOKUP(M3729,#REF!,6,0),0)</f>
        <v>0</v>
      </c>
      <c r="T3729" s="1394">
        <f t="shared" si="983"/>
        <v>0</v>
      </c>
      <c r="U3729" s="1394">
        <f>IFERROR(VLOOKUP(M3729,#REF!,5,0),0)</f>
        <v>0</v>
      </c>
      <c r="V3729" s="1394">
        <f t="shared" si="984"/>
        <v>0</v>
      </c>
      <c r="W3729" s="1394"/>
    </row>
    <row r="3730" spans="2:23" ht="30" customHeight="1">
      <c r="B3730" s="1513"/>
      <c r="C3730" s="1540" t="s">
        <v>5547</v>
      </c>
      <c r="D3730" s="103">
        <v>1</v>
      </c>
      <c r="E3730" s="1541">
        <v>3</v>
      </c>
      <c r="F3730" s="1413"/>
      <c r="G3730" s="1413"/>
      <c r="H3730" s="1414"/>
      <c r="I3730" s="1406">
        <f t="shared" si="985"/>
        <v>3</v>
      </c>
      <c r="M3730" s="110"/>
      <c r="Q3730" s="1394">
        <f>IFERROR(VLOOKUP(M3730,#REF!,3,0),0)</f>
        <v>0</v>
      </c>
      <c r="R3730" s="1394">
        <f t="shared" si="981"/>
        <v>0</v>
      </c>
      <c r="S3730" s="1394">
        <f>IFERROR(VLOOKUP(M3730,#REF!,6,0),0)</f>
        <v>0</v>
      </c>
      <c r="T3730" s="1394">
        <f t="shared" si="983"/>
        <v>0</v>
      </c>
      <c r="U3730" s="1394">
        <f>IFERROR(VLOOKUP(M3730,#REF!,5,0),0)</f>
        <v>0</v>
      </c>
      <c r="V3730" s="1394">
        <f t="shared" si="984"/>
        <v>0</v>
      </c>
      <c r="W3730" s="1394"/>
    </row>
    <row r="3731" spans="2:23" ht="30" customHeight="1">
      <c r="B3731" s="1513"/>
      <c r="C3731" s="1540" t="s">
        <v>5549</v>
      </c>
      <c r="D3731" s="103">
        <v>1</v>
      </c>
      <c r="E3731" s="1541">
        <v>1</v>
      </c>
      <c r="F3731" s="1413"/>
      <c r="G3731" s="1413"/>
      <c r="H3731" s="1414"/>
      <c r="I3731" s="1406">
        <f t="shared" si="985"/>
        <v>1</v>
      </c>
      <c r="M3731" s="110"/>
      <c r="Q3731" s="1394">
        <f>IFERROR(VLOOKUP(M3731,#REF!,3,0),0)</f>
        <v>0</v>
      </c>
      <c r="R3731" s="1394">
        <f t="shared" si="981"/>
        <v>0</v>
      </c>
      <c r="S3731" s="1394">
        <f>IFERROR(VLOOKUP(M3731,#REF!,6,0),0)</f>
        <v>0</v>
      </c>
      <c r="T3731" s="1394">
        <f t="shared" si="983"/>
        <v>0</v>
      </c>
      <c r="U3731" s="1394">
        <f>IFERROR(VLOOKUP(M3731,#REF!,5,0),0)</f>
        <v>0</v>
      </c>
      <c r="V3731" s="1394">
        <f t="shared" si="984"/>
        <v>0</v>
      </c>
      <c r="W3731" s="1394"/>
    </row>
    <row r="3732" spans="2:23" ht="30" customHeight="1">
      <c r="B3732" s="1513"/>
      <c r="C3732" s="1540" t="s">
        <v>5562</v>
      </c>
      <c r="D3732" s="103">
        <v>1</v>
      </c>
      <c r="E3732" s="1541">
        <v>1</v>
      </c>
      <c r="F3732" s="1413"/>
      <c r="G3732" s="1413"/>
      <c r="H3732" s="1414"/>
      <c r="I3732" s="1406">
        <f t="shared" si="985"/>
        <v>1</v>
      </c>
      <c r="M3732" s="110"/>
      <c r="Q3732" s="1394">
        <f>IFERROR(VLOOKUP(M3732,#REF!,3,0),0)</f>
        <v>0</v>
      </c>
      <c r="R3732" s="1394">
        <f t="shared" si="981"/>
        <v>0</v>
      </c>
      <c r="S3732" s="1394">
        <f>IFERROR(VLOOKUP(M3732,#REF!,6,0),0)</f>
        <v>0</v>
      </c>
      <c r="T3732" s="1394">
        <f t="shared" si="983"/>
        <v>0</v>
      </c>
      <c r="U3732" s="1394">
        <f>IFERROR(VLOOKUP(M3732,#REF!,5,0),0)</f>
        <v>0</v>
      </c>
      <c r="V3732" s="1394">
        <f t="shared" si="984"/>
        <v>0</v>
      </c>
      <c r="W3732" s="1394"/>
    </row>
    <row r="3733" spans="2:23" ht="30" customHeight="1">
      <c r="B3733" s="1513"/>
      <c r="C3733" s="1540" t="s">
        <v>5564</v>
      </c>
      <c r="D3733" s="103">
        <v>1</v>
      </c>
      <c r="E3733" s="1541">
        <v>1</v>
      </c>
      <c r="F3733" s="1413"/>
      <c r="G3733" s="1413"/>
      <c r="H3733" s="1414"/>
      <c r="I3733" s="1406">
        <f t="shared" si="985"/>
        <v>1</v>
      </c>
      <c r="M3733" s="110"/>
      <c r="Q3733" s="1394">
        <f>IFERROR(VLOOKUP(M3733,#REF!,3,0),0)</f>
        <v>0</v>
      </c>
      <c r="R3733" s="1394">
        <f t="shared" si="981"/>
        <v>0</v>
      </c>
      <c r="S3733" s="1394">
        <f>IFERROR(VLOOKUP(M3733,#REF!,6,0),0)</f>
        <v>0</v>
      </c>
      <c r="T3733" s="1394">
        <f t="shared" si="983"/>
        <v>0</v>
      </c>
      <c r="U3733" s="1394">
        <f>IFERROR(VLOOKUP(M3733,#REF!,5,0),0)</f>
        <v>0</v>
      </c>
      <c r="V3733" s="1394">
        <f t="shared" si="984"/>
        <v>0</v>
      </c>
      <c r="W3733" s="1394"/>
    </row>
    <row r="3734" spans="2:23" ht="30" customHeight="1">
      <c r="B3734" s="1513"/>
      <c r="C3734" s="1540" t="s">
        <v>5566</v>
      </c>
      <c r="D3734" s="103">
        <v>1</v>
      </c>
      <c r="E3734" s="1541">
        <v>1</v>
      </c>
      <c r="F3734" s="1413"/>
      <c r="G3734" s="1413"/>
      <c r="H3734" s="1414"/>
      <c r="I3734" s="1406">
        <f t="shared" si="985"/>
        <v>1</v>
      </c>
      <c r="M3734" s="110"/>
      <c r="Q3734" s="1394">
        <f>IFERROR(VLOOKUP(M3734,#REF!,3,0),0)</f>
        <v>0</v>
      </c>
      <c r="R3734" s="1394">
        <f t="shared" si="981"/>
        <v>0</v>
      </c>
      <c r="S3734" s="1394">
        <f>IFERROR(VLOOKUP(M3734,#REF!,6,0),0)</f>
        <v>0</v>
      </c>
      <c r="T3734" s="1394">
        <f t="shared" si="983"/>
        <v>0</v>
      </c>
      <c r="U3734" s="1394">
        <f>IFERROR(VLOOKUP(M3734,#REF!,5,0),0)</f>
        <v>0</v>
      </c>
      <c r="V3734" s="1394">
        <f t="shared" si="984"/>
        <v>0</v>
      </c>
      <c r="W3734" s="1394"/>
    </row>
    <row r="3735" spans="2:23" ht="30" customHeight="1">
      <c r="B3735" s="1513"/>
      <c r="C3735" s="1540" t="s">
        <v>5550</v>
      </c>
      <c r="D3735" s="103">
        <v>1</v>
      </c>
      <c r="E3735" s="1541">
        <v>2</v>
      </c>
      <c r="F3735" s="1413"/>
      <c r="G3735" s="1413"/>
      <c r="H3735" s="1414"/>
      <c r="I3735" s="1406">
        <f t="shared" si="985"/>
        <v>2</v>
      </c>
      <c r="M3735" s="110"/>
      <c r="Q3735" s="1394">
        <f>IFERROR(VLOOKUP(M3735,#REF!,3,0),0)</f>
        <v>0</v>
      </c>
      <c r="R3735" s="1394">
        <f t="shared" si="981"/>
        <v>0</v>
      </c>
      <c r="S3735" s="1394">
        <f>IFERROR(VLOOKUP(M3735,#REF!,6,0),0)</f>
        <v>0</v>
      </c>
      <c r="T3735" s="1394">
        <f t="shared" si="983"/>
        <v>0</v>
      </c>
      <c r="U3735" s="1394">
        <f>IFERROR(VLOOKUP(M3735,#REF!,5,0),0)</f>
        <v>0</v>
      </c>
      <c r="V3735" s="1394">
        <f t="shared" si="984"/>
        <v>0</v>
      </c>
      <c r="W3735" s="1394"/>
    </row>
    <row r="3736" spans="2:23" ht="30" customHeight="1">
      <c r="B3736" s="1513"/>
      <c r="C3736" s="1540" t="s">
        <v>5567</v>
      </c>
      <c r="D3736" s="103">
        <v>1</v>
      </c>
      <c r="E3736" s="1541">
        <v>1</v>
      </c>
      <c r="F3736" s="1413"/>
      <c r="G3736" s="1413"/>
      <c r="H3736" s="1414"/>
      <c r="I3736" s="1406">
        <f t="shared" si="985"/>
        <v>1</v>
      </c>
      <c r="M3736" s="110"/>
      <c r="Q3736" s="1394">
        <f>IFERROR(VLOOKUP(M3736,#REF!,3,0),0)</f>
        <v>0</v>
      </c>
      <c r="R3736" s="1394">
        <f t="shared" si="981"/>
        <v>0</v>
      </c>
      <c r="S3736" s="1394">
        <f>IFERROR(VLOOKUP(M3736,#REF!,6,0),0)</f>
        <v>0</v>
      </c>
      <c r="T3736" s="1394">
        <f t="shared" si="983"/>
        <v>0</v>
      </c>
      <c r="U3736" s="1394">
        <f>IFERROR(VLOOKUP(M3736,#REF!,5,0),0)</f>
        <v>0</v>
      </c>
      <c r="V3736" s="1394">
        <f t="shared" si="984"/>
        <v>0</v>
      </c>
      <c r="W3736" s="1394"/>
    </row>
    <row r="3737" spans="2:23" ht="30" customHeight="1">
      <c r="B3737" s="1513"/>
      <c r="C3737" s="1540" t="s">
        <v>5568</v>
      </c>
      <c r="D3737" s="103">
        <v>1</v>
      </c>
      <c r="E3737" s="1541">
        <v>1</v>
      </c>
      <c r="F3737" s="1413"/>
      <c r="G3737" s="1413"/>
      <c r="H3737" s="1414"/>
      <c r="I3737" s="1406">
        <f t="shared" si="985"/>
        <v>1</v>
      </c>
      <c r="M3737" s="110"/>
      <c r="Q3737" s="1394">
        <f>IFERROR(VLOOKUP(M3737,#REF!,3,0),0)</f>
        <v>0</v>
      </c>
      <c r="R3737" s="1394">
        <f t="shared" si="981"/>
        <v>0</v>
      </c>
      <c r="S3737" s="1394">
        <f>IFERROR(VLOOKUP(M3737,#REF!,6,0),0)</f>
        <v>0</v>
      </c>
      <c r="T3737" s="1394">
        <f t="shared" si="983"/>
        <v>0</v>
      </c>
      <c r="U3737" s="1394">
        <f>IFERROR(VLOOKUP(M3737,#REF!,5,0),0)</f>
        <v>0</v>
      </c>
      <c r="V3737" s="1394">
        <f t="shared" si="984"/>
        <v>0</v>
      </c>
      <c r="W3737" s="1394"/>
    </row>
    <row r="3738" spans="2:23" ht="30" customHeight="1">
      <c r="B3738" s="1513"/>
      <c r="C3738" s="1538" t="s">
        <v>5505</v>
      </c>
      <c r="D3738" s="103"/>
      <c r="E3738" s="1539" t="s">
        <v>575</v>
      </c>
      <c r="F3738" s="1413"/>
      <c r="G3738" s="1413"/>
      <c r="H3738" s="1414"/>
      <c r="I3738" s="1406">
        <f t="shared" si="985"/>
        <v>0</v>
      </c>
      <c r="M3738" s="110"/>
      <c r="Q3738" s="1394">
        <f>IFERROR(VLOOKUP(M3738,#REF!,3,0),0)</f>
        <v>0</v>
      </c>
      <c r="R3738" s="1394">
        <f t="shared" si="981"/>
        <v>0</v>
      </c>
      <c r="S3738" s="1394">
        <f>IFERROR(VLOOKUP(M3738,#REF!,6,0),0)</f>
        <v>0</v>
      </c>
      <c r="T3738" s="1394">
        <f t="shared" si="983"/>
        <v>0</v>
      </c>
      <c r="U3738" s="1394">
        <f>IFERROR(VLOOKUP(M3738,#REF!,5,0),0)</f>
        <v>0</v>
      </c>
      <c r="V3738" s="1394">
        <f t="shared" si="984"/>
        <v>0</v>
      </c>
      <c r="W3738" s="1394"/>
    </row>
    <row r="3739" spans="2:23" ht="30" customHeight="1">
      <c r="B3739" s="1513"/>
      <c r="C3739" s="1540" t="s">
        <v>5547</v>
      </c>
      <c r="D3739" s="103">
        <v>1</v>
      </c>
      <c r="E3739" s="1541">
        <v>3</v>
      </c>
      <c r="F3739" s="1413"/>
      <c r="G3739" s="1413"/>
      <c r="H3739" s="1414"/>
      <c r="I3739" s="1406">
        <f t="shared" si="985"/>
        <v>3</v>
      </c>
      <c r="M3739" s="110"/>
      <c r="Q3739" s="1394">
        <f>IFERROR(VLOOKUP(M3739,#REF!,3,0),0)</f>
        <v>0</v>
      </c>
      <c r="R3739" s="1394">
        <f t="shared" si="981"/>
        <v>0</v>
      </c>
      <c r="S3739" s="1394">
        <f>IFERROR(VLOOKUP(M3739,#REF!,6,0),0)</f>
        <v>0</v>
      </c>
      <c r="T3739" s="1394">
        <f t="shared" si="983"/>
        <v>0</v>
      </c>
      <c r="U3739" s="1394">
        <f>IFERROR(VLOOKUP(M3739,#REF!,5,0),0)</f>
        <v>0</v>
      </c>
      <c r="V3739" s="1394">
        <f t="shared" si="984"/>
        <v>0</v>
      </c>
      <c r="W3739" s="1394"/>
    </row>
    <row r="3740" spans="2:23" ht="30" customHeight="1">
      <c r="B3740" s="1513"/>
      <c r="C3740" s="1540" t="s">
        <v>5570</v>
      </c>
      <c r="D3740" s="103">
        <v>1</v>
      </c>
      <c r="E3740" s="1541">
        <v>1</v>
      </c>
      <c r="F3740" s="1413"/>
      <c r="G3740" s="1413"/>
      <c r="H3740" s="1414"/>
      <c r="I3740" s="1406">
        <f t="shared" si="985"/>
        <v>1</v>
      </c>
      <c r="M3740" s="110"/>
      <c r="Q3740" s="1394">
        <f>IFERROR(VLOOKUP(M3740,#REF!,3,0),0)</f>
        <v>0</v>
      </c>
      <c r="R3740" s="1394">
        <f t="shared" si="981"/>
        <v>0</v>
      </c>
      <c r="S3740" s="1394">
        <f>IFERROR(VLOOKUP(M3740,#REF!,6,0),0)</f>
        <v>0</v>
      </c>
      <c r="T3740" s="1394">
        <f t="shared" si="983"/>
        <v>0</v>
      </c>
      <c r="U3740" s="1394">
        <f>IFERROR(VLOOKUP(M3740,#REF!,5,0),0)</f>
        <v>0</v>
      </c>
      <c r="V3740" s="1394">
        <f t="shared" si="984"/>
        <v>0</v>
      </c>
      <c r="W3740" s="1394"/>
    </row>
    <row r="3741" spans="2:23" ht="30" customHeight="1">
      <c r="B3741" s="1513"/>
      <c r="C3741" s="1540" t="s">
        <v>5572</v>
      </c>
      <c r="D3741" s="103">
        <v>1</v>
      </c>
      <c r="E3741" s="1541">
        <v>1</v>
      </c>
      <c r="F3741" s="1413"/>
      <c r="G3741" s="1413"/>
      <c r="H3741" s="1414"/>
      <c r="I3741" s="1406">
        <f t="shared" si="985"/>
        <v>1</v>
      </c>
      <c r="M3741" s="110"/>
      <c r="Q3741" s="1394">
        <f>IFERROR(VLOOKUP(M3741,#REF!,3,0),0)</f>
        <v>0</v>
      </c>
      <c r="R3741" s="1394">
        <f t="shared" si="981"/>
        <v>0</v>
      </c>
      <c r="S3741" s="1394">
        <f>IFERROR(VLOOKUP(M3741,#REF!,6,0),0)</f>
        <v>0</v>
      </c>
      <c r="T3741" s="1394">
        <f t="shared" si="983"/>
        <v>0</v>
      </c>
      <c r="U3741" s="1394">
        <f>IFERROR(VLOOKUP(M3741,#REF!,5,0),0)</f>
        <v>0</v>
      </c>
      <c r="V3741" s="1394">
        <f t="shared" si="984"/>
        <v>0</v>
      </c>
      <c r="W3741" s="1394"/>
    </row>
    <row r="3742" spans="2:23" ht="30" customHeight="1">
      <c r="B3742" s="1513"/>
      <c r="C3742" s="1540" t="s">
        <v>5549</v>
      </c>
      <c r="D3742" s="103">
        <v>1</v>
      </c>
      <c r="E3742" s="1541">
        <v>1</v>
      </c>
      <c r="F3742" s="1413"/>
      <c r="G3742" s="1413"/>
      <c r="H3742" s="1414"/>
      <c r="I3742" s="1406">
        <f t="shared" si="985"/>
        <v>1</v>
      </c>
      <c r="M3742" s="110"/>
      <c r="Q3742" s="1394">
        <f>IFERROR(VLOOKUP(M3742,#REF!,3,0),0)</f>
        <v>0</v>
      </c>
      <c r="R3742" s="1394">
        <f t="shared" si="981"/>
        <v>0</v>
      </c>
      <c r="S3742" s="1394">
        <f>IFERROR(VLOOKUP(M3742,#REF!,6,0),0)</f>
        <v>0</v>
      </c>
      <c r="T3742" s="1394">
        <f t="shared" si="983"/>
        <v>0</v>
      </c>
      <c r="U3742" s="1394">
        <f>IFERROR(VLOOKUP(M3742,#REF!,5,0),0)</f>
        <v>0</v>
      </c>
      <c r="V3742" s="1394">
        <f t="shared" si="984"/>
        <v>0</v>
      </c>
      <c r="W3742" s="1394"/>
    </row>
    <row r="3743" spans="2:23" ht="30" customHeight="1">
      <c r="B3743" s="1513"/>
      <c r="C3743" s="1540" t="s">
        <v>5574</v>
      </c>
      <c r="D3743" s="103">
        <v>1</v>
      </c>
      <c r="E3743" s="1541">
        <v>1</v>
      </c>
      <c r="F3743" s="1413"/>
      <c r="G3743" s="1413"/>
      <c r="H3743" s="1414"/>
      <c r="I3743" s="1406">
        <f t="shared" si="985"/>
        <v>1</v>
      </c>
      <c r="M3743" s="110"/>
      <c r="Q3743" s="1394">
        <f>IFERROR(VLOOKUP(M3743,#REF!,3,0),0)</f>
        <v>0</v>
      </c>
      <c r="R3743" s="1394">
        <f t="shared" si="981"/>
        <v>0</v>
      </c>
      <c r="S3743" s="1394">
        <f>IFERROR(VLOOKUP(M3743,#REF!,6,0),0)</f>
        <v>0</v>
      </c>
      <c r="T3743" s="1394">
        <f t="shared" si="983"/>
        <v>0</v>
      </c>
      <c r="U3743" s="1394">
        <f>IFERROR(VLOOKUP(M3743,#REF!,5,0),0)</f>
        <v>0</v>
      </c>
      <c r="V3743" s="1394">
        <f t="shared" si="984"/>
        <v>0</v>
      </c>
      <c r="W3743" s="1394"/>
    </row>
    <row r="3744" spans="2:23" ht="30" customHeight="1">
      <c r="B3744" s="1513"/>
      <c r="C3744" s="1540" t="s">
        <v>5576</v>
      </c>
      <c r="D3744" s="103">
        <v>1</v>
      </c>
      <c r="E3744" s="1541">
        <v>2</v>
      </c>
      <c r="F3744" s="1413"/>
      <c r="G3744" s="1413"/>
      <c r="H3744" s="1414"/>
      <c r="I3744" s="1406">
        <f t="shared" si="985"/>
        <v>2</v>
      </c>
      <c r="M3744" s="110"/>
      <c r="Q3744" s="1394">
        <f>IFERROR(VLOOKUP(M3744,#REF!,3,0),0)</f>
        <v>0</v>
      </c>
      <c r="R3744" s="1394">
        <f t="shared" si="981"/>
        <v>0</v>
      </c>
      <c r="S3744" s="1394">
        <f>IFERROR(VLOOKUP(M3744,#REF!,6,0),0)</f>
        <v>0</v>
      </c>
      <c r="T3744" s="1394">
        <f t="shared" si="983"/>
        <v>0</v>
      </c>
      <c r="U3744" s="1394">
        <f>IFERROR(VLOOKUP(M3744,#REF!,5,0),0)</f>
        <v>0</v>
      </c>
      <c r="V3744" s="1394">
        <f t="shared" si="984"/>
        <v>0</v>
      </c>
      <c r="W3744" s="1394"/>
    </row>
    <row r="3745" spans="1:26" ht="30" customHeight="1">
      <c r="B3745" s="1513"/>
      <c r="C3745" s="1540" t="s">
        <v>5570</v>
      </c>
      <c r="D3745" s="103">
        <v>1</v>
      </c>
      <c r="E3745" s="1541">
        <v>1</v>
      </c>
      <c r="F3745" s="1413"/>
      <c r="G3745" s="1413"/>
      <c r="H3745" s="1414"/>
      <c r="I3745" s="1406">
        <f t="shared" si="985"/>
        <v>1</v>
      </c>
      <c r="M3745" s="110"/>
      <c r="Q3745" s="1394">
        <f>IFERROR(VLOOKUP(M3745,#REF!,3,0),0)</f>
        <v>0</v>
      </c>
      <c r="R3745" s="1394">
        <f t="shared" si="981"/>
        <v>0</v>
      </c>
      <c r="S3745" s="1394">
        <f>IFERROR(VLOOKUP(M3745,#REF!,6,0),0)</f>
        <v>0</v>
      </c>
      <c r="T3745" s="1394">
        <f t="shared" si="983"/>
        <v>0</v>
      </c>
      <c r="U3745" s="1394">
        <f>IFERROR(VLOOKUP(M3745,#REF!,5,0),0)</f>
        <v>0</v>
      </c>
      <c r="V3745" s="1394">
        <f t="shared" si="984"/>
        <v>0</v>
      </c>
      <c r="W3745" s="1394"/>
    </row>
    <row r="3746" spans="1:26" ht="30" customHeight="1">
      <c r="B3746" s="1513"/>
      <c r="C3746" s="94"/>
      <c r="D3746" s="103"/>
      <c r="E3746" s="103"/>
      <c r="F3746" s="1413"/>
      <c r="G3746" s="1413"/>
      <c r="H3746" s="1414"/>
      <c r="I3746" s="1406">
        <f t="shared" si="985"/>
        <v>0</v>
      </c>
      <c r="Q3746" s="1394">
        <f>IFERROR(VLOOKUP(M3746,#REF!,3,0),0)</f>
        <v>0</v>
      </c>
      <c r="R3746" s="1394">
        <f t="shared" si="981"/>
        <v>0</v>
      </c>
      <c r="S3746" s="1394">
        <f>IFERROR(VLOOKUP(M3746,#REF!,6,0),0)</f>
        <v>0</v>
      </c>
      <c r="T3746" s="1394">
        <f t="shared" si="983"/>
        <v>0</v>
      </c>
      <c r="U3746" s="1394">
        <f>IFERROR(VLOOKUP(M3746,#REF!,5,0),0)</f>
        <v>0</v>
      </c>
      <c r="V3746" s="1394">
        <f t="shared" si="984"/>
        <v>0</v>
      </c>
      <c r="W3746" s="1394"/>
    </row>
    <row r="3747" spans="1:26" ht="30" customHeight="1">
      <c r="B3747" s="1513"/>
      <c r="C3747" s="94"/>
      <c r="D3747" s="103"/>
      <c r="E3747" s="103"/>
      <c r="F3747" s="1413"/>
      <c r="G3747" s="1413"/>
      <c r="H3747" s="1414"/>
      <c r="I3747" s="1406">
        <f t="shared" si="985"/>
        <v>0</v>
      </c>
      <c r="Q3747" s="1394">
        <f>IFERROR(VLOOKUP(M3747,#REF!,3,0),0)</f>
        <v>0</v>
      </c>
      <c r="R3747" s="1394">
        <f t="shared" si="981"/>
        <v>0</v>
      </c>
      <c r="S3747" s="1394">
        <f>IFERROR(VLOOKUP(M3747,#REF!,6,0),0)</f>
        <v>0</v>
      </c>
      <c r="T3747" s="1394">
        <f t="shared" si="983"/>
        <v>0</v>
      </c>
      <c r="U3747" s="1394">
        <f>IFERROR(VLOOKUP(M3747,#REF!,5,0),0)</f>
        <v>0</v>
      </c>
      <c r="V3747" s="1394">
        <f t="shared" si="984"/>
        <v>0</v>
      </c>
      <c r="W3747" s="1394"/>
    </row>
    <row r="3748" spans="1:26" ht="30" customHeight="1">
      <c r="B3748" s="1407"/>
      <c r="C3748" s="1455"/>
      <c r="D3748" s="103"/>
      <c r="E3748" s="103"/>
      <c r="F3748" s="1413"/>
      <c r="G3748" s="1413"/>
      <c r="H3748" s="1414"/>
      <c r="I3748" s="1479">
        <f>SUM(I3721:I3747)</f>
        <v>31</v>
      </c>
      <c r="Q3748" s="1394">
        <f>IFERROR(VLOOKUP(M3748,#REF!,3,0),0)</f>
        <v>0</v>
      </c>
      <c r="R3748" s="1394">
        <f t="shared" si="981"/>
        <v>0</v>
      </c>
      <c r="S3748" s="1394">
        <f>IFERROR(VLOOKUP(M3748,#REF!,6,0),0)</f>
        <v>0</v>
      </c>
      <c r="T3748" s="1394">
        <f t="shared" si="983"/>
        <v>0</v>
      </c>
      <c r="U3748" s="1394">
        <f>IFERROR(VLOOKUP(M3748,#REF!,5,0),0)</f>
        <v>0</v>
      </c>
      <c r="V3748" s="1394">
        <f t="shared" si="984"/>
        <v>0</v>
      </c>
      <c r="W3748" s="1394"/>
    </row>
    <row r="3749" spans="1:26" ht="30" customHeight="1">
      <c r="B3749" s="1407"/>
      <c r="C3749" s="1455"/>
      <c r="D3749" s="103"/>
      <c r="E3749" s="103"/>
      <c r="F3749" s="1413"/>
      <c r="G3749" s="1483" t="s">
        <v>11</v>
      </c>
      <c r="H3749" s="1478">
        <f>ROUNDUP(I3748,1)</f>
        <v>31</v>
      </c>
      <c r="I3749" s="1479" t="s">
        <v>13</v>
      </c>
      <c r="M3749" s="1394" t="str">
        <f>A3719</f>
        <v>15 Amp. Power plug</v>
      </c>
      <c r="N3749" s="1394">
        <f>B3719</f>
        <v>69</v>
      </c>
      <c r="O3749" s="1394">
        <f>H3749</f>
        <v>31</v>
      </c>
      <c r="P3749" s="1394" t="str">
        <f>I3749</f>
        <v>Nos</v>
      </c>
      <c r="Q3749" s="1394">
        <f>IFERROR(VLOOKUP(M3749,#REF!,3,0),0)</f>
        <v>0</v>
      </c>
      <c r="R3749" s="1394">
        <f t="shared" si="981"/>
        <v>0</v>
      </c>
      <c r="S3749" s="1394">
        <f>IFERROR(VLOOKUP(M3749,#REF!,6,0),0)</f>
        <v>0</v>
      </c>
      <c r="T3749" s="1394">
        <f t="shared" si="983"/>
        <v>0</v>
      </c>
      <c r="U3749" s="1394">
        <f>IFERROR(VLOOKUP(M3749,#REF!,5,0),0)</f>
        <v>0</v>
      </c>
      <c r="V3749" s="1394">
        <f t="shared" si="984"/>
        <v>31</v>
      </c>
      <c r="W3749" s="1394"/>
      <c r="Z3749" s="1394"/>
    </row>
    <row r="3750" spans="1:26" ht="48.75" customHeight="1">
      <c r="A3750" s="110" t="s">
        <v>1389</v>
      </c>
      <c r="B3750" s="1405">
        <v>70.099999999999994</v>
      </c>
      <c r="C3750" s="1678" t="e">
        <f>VLOOKUP(A3750,#REF!,2,0)</f>
        <v>#REF!</v>
      </c>
      <c r="D3750" s="1678"/>
      <c r="E3750" s="1678"/>
      <c r="F3750" s="1678"/>
      <c r="G3750" s="1678"/>
      <c r="H3750" s="1678"/>
      <c r="I3750" s="1406"/>
      <c r="Q3750" s="1394">
        <f>IFERROR(VLOOKUP(M3750,#REF!,3,0),0)</f>
        <v>0</v>
      </c>
      <c r="R3750" s="1394">
        <f t="shared" si="981"/>
        <v>0</v>
      </c>
      <c r="S3750" s="1394">
        <f>IFERROR(VLOOKUP(M3750,#REF!,6,0),0)</f>
        <v>0</v>
      </c>
      <c r="T3750" s="1394">
        <f t="shared" si="983"/>
        <v>0</v>
      </c>
      <c r="U3750" s="1394">
        <f>IFERROR(VLOOKUP(M3750,#REF!,5,0),0)</f>
        <v>0</v>
      </c>
      <c r="V3750" s="1394">
        <f t="shared" si="984"/>
        <v>0</v>
      </c>
      <c r="W3750" s="1394"/>
      <c r="X3750" s="1397"/>
    </row>
    <row r="3751" spans="1:26" ht="30" customHeight="1">
      <c r="B3751" s="1407"/>
      <c r="C3751" s="1491" t="s">
        <v>5873</v>
      </c>
      <c r="D3751" s="103">
        <v>1</v>
      </c>
      <c r="E3751" s="103">
        <v>2</v>
      </c>
      <c r="F3751" s="1413"/>
      <c r="G3751" s="1413"/>
      <c r="H3751" s="1414"/>
      <c r="I3751" s="1406">
        <f>PRODUCT(D3751:H3751)</f>
        <v>2</v>
      </c>
      <c r="Q3751" s="1394">
        <f>IFERROR(VLOOKUP(M3751,#REF!,3,0),0)</f>
        <v>0</v>
      </c>
      <c r="R3751" s="1394">
        <f t="shared" si="981"/>
        <v>0</v>
      </c>
      <c r="S3751" s="1394">
        <f>IFERROR(VLOOKUP(M3751,#REF!,6,0),0)</f>
        <v>0</v>
      </c>
      <c r="T3751" s="1394">
        <f t="shared" si="983"/>
        <v>0</v>
      </c>
      <c r="U3751" s="1394">
        <f>IFERROR(VLOOKUP(M3751,#REF!,5,0),0)</f>
        <v>0</v>
      </c>
      <c r="V3751" s="1394">
        <f t="shared" si="984"/>
        <v>0</v>
      </c>
      <c r="W3751" s="1394"/>
    </row>
    <row r="3752" spans="1:26" ht="30" customHeight="1">
      <c r="B3752" s="1407"/>
      <c r="C3752" s="1491" t="s">
        <v>5902</v>
      </c>
      <c r="D3752" s="103">
        <v>1</v>
      </c>
      <c r="E3752" s="103">
        <v>1</v>
      </c>
      <c r="F3752" s="1413"/>
      <c r="G3752" s="1413"/>
      <c r="H3752" s="1414"/>
      <c r="I3752" s="1406">
        <f>PRODUCT(D3752:H3752)</f>
        <v>1</v>
      </c>
      <c r="Q3752" s="1394">
        <f>IFERROR(VLOOKUP(M3752,#REF!,3,0),0)</f>
        <v>0</v>
      </c>
      <c r="R3752" s="1394">
        <f t="shared" si="981"/>
        <v>0</v>
      </c>
      <c r="S3752" s="1394">
        <f>IFERROR(VLOOKUP(M3752,#REF!,6,0),0)</f>
        <v>0</v>
      </c>
      <c r="T3752" s="1394">
        <f t="shared" si="983"/>
        <v>0</v>
      </c>
      <c r="U3752" s="1394">
        <f>IFERROR(VLOOKUP(M3752,#REF!,5,0),0)</f>
        <v>0</v>
      </c>
      <c r="V3752" s="1394">
        <f t="shared" si="984"/>
        <v>0</v>
      </c>
      <c r="W3752" s="1394"/>
    </row>
    <row r="3753" spans="1:26" ht="30" customHeight="1">
      <c r="B3753" s="1407"/>
      <c r="C3753" s="1491" t="s">
        <v>337</v>
      </c>
      <c r="D3753" s="103">
        <v>1</v>
      </c>
      <c r="E3753" s="103">
        <v>5</v>
      </c>
      <c r="F3753" s="1413"/>
      <c r="G3753" s="1413"/>
      <c r="H3753" s="1414"/>
      <c r="I3753" s="1406">
        <f>PRODUCT(D3753:H3753)</f>
        <v>5</v>
      </c>
      <c r="Q3753" s="1394">
        <f>IFERROR(VLOOKUP(M3753,#REF!,3,0),0)</f>
        <v>0</v>
      </c>
      <c r="R3753" s="1394">
        <f t="shared" si="981"/>
        <v>0</v>
      </c>
      <c r="S3753" s="1394">
        <f>IFERROR(VLOOKUP(M3753,#REF!,6,0),0)</f>
        <v>0</v>
      </c>
      <c r="T3753" s="1394">
        <f t="shared" si="983"/>
        <v>0</v>
      </c>
      <c r="U3753" s="1394">
        <f>IFERROR(VLOOKUP(M3753,#REF!,5,0),0)</f>
        <v>0</v>
      </c>
      <c r="V3753" s="1394">
        <f t="shared" si="984"/>
        <v>0</v>
      </c>
      <c r="W3753" s="1394"/>
    </row>
    <row r="3754" spans="1:26" ht="30" customHeight="1">
      <c r="B3754" s="1407"/>
      <c r="C3754" s="1491" t="s">
        <v>5903</v>
      </c>
      <c r="D3754" s="103">
        <v>1</v>
      </c>
      <c r="E3754" s="103">
        <v>3</v>
      </c>
      <c r="F3754" s="1413"/>
      <c r="G3754" s="1413"/>
      <c r="H3754" s="1414"/>
      <c r="I3754" s="1406">
        <f>PRODUCT(D3754:H3754)</f>
        <v>3</v>
      </c>
      <c r="Q3754" s="1394">
        <f>IFERROR(VLOOKUP(M3754,#REF!,3,0),0)</f>
        <v>0</v>
      </c>
      <c r="R3754" s="1394">
        <f t="shared" si="981"/>
        <v>0</v>
      </c>
      <c r="S3754" s="1394">
        <f>IFERROR(VLOOKUP(M3754,#REF!,6,0),0)</f>
        <v>0</v>
      </c>
      <c r="T3754" s="1394">
        <f t="shared" si="983"/>
        <v>0</v>
      </c>
      <c r="U3754" s="1394">
        <f>IFERROR(VLOOKUP(M3754,#REF!,5,0),0)</f>
        <v>0</v>
      </c>
      <c r="V3754" s="1394">
        <f t="shared" si="984"/>
        <v>0</v>
      </c>
      <c r="W3754" s="1394"/>
    </row>
    <row r="3755" spans="1:26" ht="30" customHeight="1">
      <c r="B3755" s="1407"/>
      <c r="C3755" s="1455"/>
      <c r="D3755" s="103"/>
      <c r="E3755" s="103"/>
      <c r="F3755" s="1413"/>
      <c r="G3755" s="1413"/>
      <c r="H3755" s="1414"/>
      <c r="I3755" s="1479">
        <f>SUM(I3751:I3754)</f>
        <v>11</v>
      </c>
      <c r="Q3755" s="1394">
        <f>IFERROR(VLOOKUP(M3755,#REF!,3,0),0)</f>
        <v>0</v>
      </c>
      <c r="R3755" s="1394">
        <f t="shared" si="981"/>
        <v>0</v>
      </c>
      <c r="S3755" s="1394">
        <f>IFERROR(VLOOKUP(M3755,#REF!,6,0),0)</f>
        <v>0</v>
      </c>
      <c r="T3755" s="1394">
        <f t="shared" si="983"/>
        <v>0</v>
      </c>
      <c r="U3755" s="1394">
        <f>IFERROR(VLOOKUP(M3755,#REF!,5,0),0)</f>
        <v>0</v>
      </c>
      <c r="V3755" s="1394">
        <f t="shared" si="984"/>
        <v>0</v>
      </c>
      <c r="W3755" s="1394"/>
    </row>
    <row r="3756" spans="1:26" ht="30" customHeight="1">
      <c r="B3756" s="1407"/>
      <c r="C3756" s="1455"/>
      <c r="D3756" s="103"/>
      <c r="E3756" s="103"/>
      <c r="F3756" s="1413"/>
      <c r="G3756" s="1483" t="s">
        <v>11</v>
      </c>
      <c r="H3756" s="1478">
        <f>I3755</f>
        <v>11</v>
      </c>
      <c r="I3756" s="1479" t="s">
        <v>13</v>
      </c>
      <c r="M3756" s="1394" t="str">
        <f>A3750</f>
        <v xml:space="preserve"> Bulk Head fitting for  LED Bulb</v>
      </c>
      <c r="N3756" s="1394">
        <f>B3750</f>
        <v>70.099999999999994</v>
      </c>
      <c r="O3756" s="1394">
        <f>H3756</f>
        <v>11</v>
      </c>
      <c r="P3756" s="1394" t="str">
        <f>I3756</f>
        <v>Nos</v>
      </c>
      <c r="Q3756" s="1394">
        <f>IFERROR(VLOOKUP(M3756,#REF!,3,0),0)</f>
        <v>0</v>
      </c>
      <c r="R3756" s="1394">
        <f t="shared" si="981"/>
        <v>0</v>
      </c>
      <c r="S3756" s="1394">
        <f>IFERROR(VLOOKUP(M3756,#REF!,6,0),0)</f>
        <v>0</v>
      </c>
      <c r="T3756" s="1394">
        <f t="shared" si="983"/>
        <v>0</v>
      </c>
      <c r="U3756" s="1394">
        <f>IFERROR(VLOOKUP(M3756,#REF!,5,0),0)</f>
        <v>0</v>
      </c>
      <c r="V3756" s="1394">
        <f t="shared" si="984"/>
        <v>11</v>
      </c>
      <c r="W3756" s="1394"/>
      <c r="Z3756" s="1394"/>
    </row>
    <row r="3757" spans="1:26" ht="81.75" customHeight="1">
      <c r="A3757" s="110" t="s">
        <v>499</v>
      </c>
      <c r="B3757" s="1405">
        <v>70.099999999999994</v>
      </c>
      <c r="C3757" s="1678" t="e">
        <f>VLOOKUP(A3757,#REF!,2,0)</f>
        <v>#REF!</v>
      </c>
      <c r="D3757" s="1678"/>
      <c r="E3757" s="1678"/>
      <c r="F3757" s="1678"/>
      <c r="G3757" s="1678"/>
      <c r="H3757" s="1678"/>
      <c r="I3757" s="1406"/>
      <c r="Q3757" s="1394">
        <f>IFERROR(VLOOKUP(M3757,#REF!,3,0),0)</f>
        <v>0</v>
      </c>
      <c r="R3757" s="1394">
        <f t="shared" si="981"/>
        <v>0</v>
      </c>
      <c r="S3757" s="1394">
        <f>IFERROR(VLOOKUP(M3757,#REF!,6,0),0)</f>
        <v>0</v>
      </c>
      <c r="T3757" s="1394">
        <f t="shared" si="983"/>
        <v>0</v>
      </c>
      <c r="U3757" s="1394">
        <f>IFERROR(VLOOKUP(M3757,#REF!,5,0),0)</f>
        <v>0</v>
      </c>
      <c r="V3757" s="1394">
        <f t="shared" si="984"/>
        <v>0</v>
      </c>
      <c r="W3757" s="1394"/>
      <c r="X3757" s="1397"/>
    </row>
    <row r="3758" spans="1:26" ht="30" customHeight="1">
      <c r="B3758" s="1407"/>
      <c r="C3758" s="1491" t="s">
        <v>5873</v>
      </c>
      <c r="D3758" s="103">
        <v>1</v>
      </c>
      <c r="E3758" s="103">
        <v>2</v>
      </c>
      <c r="F3758" s="1413"/>
      <c r="G3758" s="1413"/>
      <c r="H3758" s="1414"/>
      <c r="I3758" s="1406">
        <f>PRODUCT(D3758:H3758)</f>
        <v>2</v>
      </c>
      <c r="Q3758" s="1394">
        <f>IFERROR(VLOOKUP(M3758,#REF!,3,0),0)</f>
        <v>0</v>
      </c>
      <c r="R3758" s="1394">
        <f t="shared" ref="R3758:R3821" si="986">ROUND(O3758,2)*ROUND(Q3758,2)</f>
        <v>0</v>
      </c>
      <c r="S3758" s="1394">
        <f>IFERROR(VLOOKUP(M3758,#REF!,6,0),0)</f>
        <v>0</v>
      </c>
      <c r="T3758" s="1394">
        <f t="shared" si="983"/>
        <v>0</v>
      </c>
      <c r="U3758" s="1394">
        <f>IFERROR(VLOOKUP(M3758,#REF!,5,0),0)</f>
        <v>0</v>
      </c>
      <c r="V3758" s="1394">
        <f t="shared" si="984"/>
        <v>0</v>
      </c>
      <c r="W3758" s="1394"/>
    </row>
    <row r="3759" spans="1:26" ht="30" customHeight="1">
      <c r="B3759" s="1407"/>
      <c r="C3759" s="1491" t="s">
        <v>5902</v>
      </c>
      <c r="D3759" s="103">
        <v>1</v>
      </c>
      <c r="E3759" s="103">
        <v>1</v>
      </c>
      <c r="F3759" s="1413"/>
      <c r="G3759" s="1413"/>
      <c r="H3759" s="1414"/>
      <c r="I3759" s="1406">
        <f>PRODUCT(D3759:H3759)</f>
        <v>1</v>
      </c>
      <c r="Q3759" s="1394">
        <f>IFERROR(VLOOKUP(M3759,#REF!,3,0),0)</f>
        <v>0</v>
      </c>
      <c r="R3759" s="1394">
        <f t="shared" si="986"/>
        <v>0</v>
      </c>
      <c r="S3759" s="1394">
        <f>IFERROR(VLOOKUP(M3759,#REF!,6,0),0)</f>
        <v>0</v>
      </c>
      <c r="T3759" s="1394">
        <f t="shared" si="983"/>
        <v>0</v>
      </c>
      <c r="U3759" s="1394">
        <f>IFERROR(VLOOKUP(M3759,#REF!,5,0),0)</f>
        <v>0</v>
      </c>
      <c r="V3759" s="1394">
        <f t="shared" si="984"/>
        <v>0</v>
      </c>
      <c r="W3759" s="1394"/>
    </row>
    <row r="3760" spans="1:26" ht="30" customHeight="1">
      <c r="B3760" s="1407"/>
      <c r="C3760" s="1491" t="s">
        <v>337</v>
      </c>
      <c r="D3760" s="103">
        <v>1</v>
      </c>
      <c r="E3760" s="103">
        <v>5</v>
      </c>
      <c r="F3760" s="1413"/>
      <c r="G3760" s="1413"/>
      <c r="H3760" s="1414"/>
      <c r="I3760" s="1406">
        <f>PRODUCT(D3760:H3760)</f>
        <v>5</v>
      </c>
      <c r="Q3760" s="1394">
        <f>IFERROR(VLOOKUP(M3760,#REF!,3,0),0)</f>
        <v>0</v>
      </c>
      <c r="R3760" s="1394">
        <f t="shared" si="986"/>
        <v>0</v>
      </c>
      <c r="S3760" s="1394">
        <f>IFERROR(VLOOKUP(M3760,#REF!,6,0),0)</f>
        <v>0</v>
      </c>
      <c r="T3760" s="1394">
        <f t="shared" si="983"/>
        <v>0</v>
      </c>
      <c r="U3760" s="1394">
        <f>IFERROR(VLOOKUP(M3760,#REF!,5,0),0)</f>
        <v>0</v>
      </c>
      <c r="V3760" s="1394">
        <f t="shared" si="984"/>
        <v>0</v>
      </c>
      <c r="W3760" s="1394"/>
    </row>
    <row r="3761" spans="1:26" ht="30" customHeight="1">
      <c r="B3761" s="1407"/>
      <c r="C3761" s="1491" t="s">
        <v>5903</v>
      </c>
      <c r="D3761" s="103">
        <v>1</v>
      </c>
      <c r="E3761" s="103">
        <v>3</v>
      </c>
      <c r="F3761" s="1413"/>
      <c r="G3761" s="1413"/>
      <c r="H3761" s="1414"/>
      <c r="I3761" s="1406">
        <f>PRODUCT(D3761:H3761)</f>
        <v>3</v>
      </c>
      <c r="Q3761" s="1394">
        <f>IFERROR(VLOOKUP(M3761,#REF!,3,0),0)</f>
        <v>0</v>
      </c>
      <c r="R3761" s="1394">
        <f t="shared" si="986"/>
        <v>0</v>
      </c>
      <c r="S3761" s="1394">
        <f>IFERROR(VLOOKUP(M3761,#REF!,6,0),0)</f>
        <v>0</v>
      </c>
      <c r="T3761" s="1394">
        <f t="shared" si="983"/>
        <v>0</v>
      </c>
      <c r="U3761" s="1394">
        <f>IFERROR(VLOOKUP(M3761,#REF!,5,0),0)</f>
        <v>0</v>
      </c>
      <c r="V3761" s="1394">
        <f t="shared" si="984"/>
        <v>0</v>
      </c>
      <c r="W3761" s="1394"/>
    </row>
    <row r="3762" spans="1:26" ht="30" customHeight="1">
      <c r="B3762" s="1407"/>
      <c r="C3762" s="1455"/>
      <c r="D3762" s="103"/>
      <c r="E3762" s="103"/>
      <c r="F3762" s="1413"/>
      <c r="G3762" s="1413"/>
      <c r="H3762" s="1414"/>
      <c r="I3762" s="1479">
        <f>SUM(I3758:I3761)</f>
        <v>11</v>
      </c>
      <c r="Q3762" s="1394">
        <f>IFERROR(VLOOKUP(M3762,#REF!,3,0),0)</f>
        <v>0</v>
      </c>
      <c r="R3762" s="1394">
        <f t="shared" si="986"/>
        <v>0</v>
      </c>
      <c r="S3762" s="1394">
        <f>IFERROR(VLOOKUP(M3762,#REF!,6,0),0)</f>
        <v>0</v>
      </c>
      <c r="T3762" s="1394">
        <f t="shared" si="983"/>
        <v>0</v>
      </c>
      <c r="U3762" s="1394">
        <f>IFERROR(VLOOKUP(M3762,#REF!,5,0),0)</f>
        <v>0</v>
      </c>
      <c r="V3762" s="1394">
        <f t="shared" si="984"/>
        <v>0</v>
      </c>
      <c r="W3762" s="1394"/>
    </row>
    <row r="3763" spans="1:26" ht="30" customHeight="1">
      <c r="B3763" s="1407"/>
      <c r="C3763" s="1455"/>
      <c r="D3763" s="103"/>
      <c r="E3763" s="103"/>
      <c r="F3763" s="1413"/>
      <c r="G3763" s="1483" t="s">
        <v>11</v>
      </c>
      <c r="H3763" s="1478">
        <f>I3762</f>
        <v>11</v>
      </c>
      <c r="I3763" s="1479" t="s">
        <v>13</v>
      </c>
      <c r="M3763" s="1394" t="str">
        <f>A3757</f>
        <v xml:space="preserve">S &amp; F 12 watts LED bulb for bulk head </v>
      </c>
      <c r="N3763" s="1394">
        <f>B3757</f>
        <v>70.099999999999994</v>
      </c>
      <c r="O3763" s="1394">
        <f>H3763</f>
        <v>11</v>
      </c>
      <c r="P3763" s="1394" t="str">
        <f>I3763</f>
        <v>Nos</v>
      </c>
      <c r="Q3763" s="1394">
        <f>IFERROR(VLOOKUP(M3763,#REF!,3,0),0)</f>
        <v>0</v>
      </c>
      <c r="R3763" s="1394">
        <f t="shared" si="986"/>
        <v>0</v>
      </c>
      <c r="S3763" s="1394">
        <f>IFERROR(VLOOKUP(M3763,#REF!,6,0),0)</f>
        <v>0</v>
      </c>
      <c r="T3763" s="1394">
        <f t="shared" si="983"/>
        <v>0</v>
      </c>
      <c r="U3763" s="1394">
        <f>IFERROR(VLOOKUP(M3763,#REF!,5,0),0)</f>
        <v>0</v>
      </c>
      <c r="V3763" s="1394">
        <f t="shared" si="984"/>
        <v>11</v>
      </c>
      <c r="W3763" s="1394"/>
      <c r="Z3763" s="1394"/>
    </row>
    <row r="3764" spans="1:26" ht="75" customHeight="1">
      <c r="A3764" s="110" t="s">
        <v>500</v>
      </c>
      <c r="B3764" s="1405">
        <v>70.099999999999994</v>
      </c>
      <c r="C3764" s="1678" t="e">
        <f>VLOOKUP(A3764,#REF!,2,0)</f>
        <v>#REF!</v>
      </c>
      <c r="D3764" s="1678"/>
      <c r="E3764" s="1678"/>
      <c r="F3764" s="1678"/>
      <c r="G3764" s="1678"/>
      <c r="H3764" s="1678"/>
      <c r="I3764" s="1406"/>
      <c r="Q3764" s="1394">
        <f>IFERROR(VLOOKUP(M3764,#REF!,3,0),0)</f>
        <v>0</v>
      </c>
      <c r="R3764" s="1394">
        <f t="shared" si="986"/>
        <v>0</v>
      </c>
      <c r="S3764" s="1394">
        <f>IFERROR(VLOOKUP(M3764,#REF!,6,0),0)</f>
        <v>0</v>
      </c>
      <c r="T3764" s="1394">
        <f t="shared" si="983"/>
        <v>0</v>
      </c>
      <c r="U3764" s="1394">
        <f>IFERROR(VLOOKUP(M3764,#REF!,5,0),0)</f>
        <v>0</v>
      </c>
      <c r="V3764" s="1394">
        <f t="shared" si="984"/>
        <v>0</v>
      </c>
      <c r="W3764" s="1394"/>
      <c r="X3764" s="1397"/>
    </row>
    <row r="3765" spans="1:26" ht="30" customHeight="1">
      <c r="B3765" s="1405"/>
      <c r="C3765" s="1538" t="s">
        <v>5874</v>
      </c>
      <c r="D3765" s="103"/>
      <c r="E3765" s="1542" t="s">
        <v>575</v>
      </c>
      <c r="F3765" s="1413"/>
      <c r="G3765" s="1413"/>
      <c r="H3765" s="1414"/>
      <c r="I3765" s="1406"/>
      <c r="Q3765" s="1394">
        <f>IFERROR(VLOOKUP(M3765,#REF!,3,0),0)</f>
        <v>0</v>
      </c>
      <c r="R3765" s="1394">
        <f t="shared" si="986"/>
        <v>0</v>
      </c>
      <c r="S3765" s="1394">
        <f>IFERROR(VLOOKUP(M3765,#REF!,6,0),0)</f>
        <v>0</v>
      </c>
      <c r="T3765" s="1394">
        <f t="shared" si="983"/>
        <v>0</v>
      </c>
      <c r="U3765" s="1394">
        <f>IFERROR(VLOOKUP(M3765,#REF!,5,0),0)</f>
        <v>0</v>
      </c>
      <c r="V3765" s="1394">
        <f t="shared" si="984"/>
        <v>0</v>
      </c>
      <c r="W3765" s="1394"/>
    </row>
    <row r="3766" spans="1:26" ht="30" customHeight="1">
      <c r="B3766" s="1405"/>
      <c r="C3766" s="1540" t="s">
        <v>5521</v>
      </c>
      <c r="D3766" s="103">
        <v>1</v>
      </c>
      <c r="E3766" s="1542">
        <v>2</v>
      </c>
      <c r="F3766" s="1413"/>
      <c r="G3766" s="1413"/>
      <c r="H3766" s="1414"/>
      <c r="I3766" s="1406">
        <f t="shared" ref="I3766:I3808" si="987">PRODUCT(D3766:H3766)</f>
        <v>2</v>
      </c>
      <c r="Q3766" s="1394">
        <f>IFERROR(VLOOKUP(M3766,#REF!,3,0),0)</f>
        <v>0</v>
      </c>
      <c r="R3766" s="1394">
        <f t="shared" si="986"/>
        <v>0</v>
      </c>
      <c r="S3766" s="1394">
        <f>IFERROR(VLOOKUP(M3766,#REF!,6,0),0)</f>
        <v>0</v>
      </c>
      <c r="T3766" s="1394">
        <f t="shared" si="983"/>
        <v>0</v>
      </c>
      <c r="U3766" s="1394">
        <f>IFERROR(VLOOKUP(M3766,#REF!,5,0),0)</f>
        <v>0</v>
      </c>
      <c r="V3766" s="1394">
        <f t="shared" si="984"/>
        <v>0</v>
      </c>
      <c r="W3766" s="1394"/>
    </row>
    <row r="3767" spans="1:26" ht="30" customHeight="1">
      <c r="B3767" s="1405"/>
      <c r="C3767" s="1540" t="s">
        <v>5876</v>
      </c>
      <c r="D3767" s="103">
        <v>1</v>
      </c>
      <c r="E3767" s="1542">
        <v>1</v>
      </c>
      <c r="F3767" s="1413"/>
      <c r="G3767" s="1413"/>
      <c r="H3767" s="1414"/>
      <c r="I3767" s="1406">
        <f t="shared" si="987"/>
        <v>1</v>
      </c>
      <c r="Q3767" s="1394">
        <f>IFERROR(VLOOKUP(M3767,#REF!,3,0),0)</f>
        <v>0</v>
      </c>
      <c r="R3767" s="1394">
        <f t="shared" si="986"/>
        <v>0</v>
      </c>
      <c r="S3767" s="1394">
        <f>IFERROR(VLOOKUP(M3767,#REF!,6,0),0)</f>
        <v>0</v>
      </c>
      <c r="T3767" s="1394">
        <f t="shared" si="983"/>
        <v>0</v>
      </c>
      <c r="U3767" s="1394">
        <f>IFERROR(VLOOKUP(M3767,#REF!,5,0),0)</f>
        <v>0</v>
      </c>
      <c r="V3767" s="1394">
        <f t="shared" si="984"/>
        <v>0</v>
      </c>
      <c r="W3767" s="1394"/>
    </row>
    <row r="3768" spans="1:26" ht="30" customHeight="1">
      <c r="B3768" s="1405"/>
      <c r="C3768" s="1544" t="s">
        <v>5545</v>
      </c>
      <c r="D3768" s="103">
        <v>1</v>
      </c>
      <c r="E3768" s="1542">
        <v>1</v>
      </c>
      <c r="F3768" s="1413"/>
      <c r="G3768" s="1413"/>
      <c r="H3768" s="1414"/>
      <c r="I3768" s="1406">
        <f t="shared" si="987"/>
        <v>1</v>
      </c>
      <c r="Q3768" s="1394">
        <f>IFERROR(VLOOKUP(M3768,#REF!,3,0),0)</f>
        <v>0</v>
      </c>
      <c r="R3768" s="1394">
        <f t="shared" si="986"/>
        <v>0</v>
      </c>
      <c r="S3768" s="1394">
        <f>IFERROR(VLOOKUP(M3768,#REF!,6,0),0)</f>
        <v>0</v>
      </c>
      <c r="T3768" s="1394">
        <f t="shared" si="983"/>
        <v>0</v>
      </c>
      <c r="U3768" s="1394">
        <f>IFERROR(VLOOKUP(M3768,#REF!,5,0),0)</f>
        <v>0</v>
      </c>
      <c r="V3768" s="1394">
        <f t="shared" si="984"/>
        <v>0</v>
      </c>
      <c r="W3768" s="1394"/>
    </row>
    <row r="3769" spans="1:26" ht="30" customHeight="1">
      <c r="B3769" s="1405"/>
      <c r="C3769" s="1538" t="s">
        <v>5503</v>
      </c>
      <c r="D3769" s="103">
        <v>1</v>
      </c>
      <c r="E3769" s="1542" t="s">
        <v>575</v>
      </c>
      <c r="F3769" s="1413"/>
      <c r="G3769" s="1413"/>
      <c r="H3769" s="1414"/>
      <c r="I3769" s="1406">
        <f t="shared" si="987"/>
        <v>1</v>
      </c>
      <c r="Q3769" s="1394">
        <f>IFERROR(VLOOKUP(M3769,#REF!,3,0),0)</f>
        <v>0</v>
      </c>
      <c r="R3769" s="1394">
        <f t="shared" si="986"/>
        <v>0</v>
      </c>
      <c r="S3769" s="1394">
        <f>IFERROR(VLOOKUP(M3769,#REF!,6,0),0)</f>
        <v>0</v>
      </c>
      <c r="T3769" s="1394">
        <f t="shared" si="983"/>
        <v>0</v>
      </c>
      <c r="U3769" s="1394">
        <f>IFERROR(VLOOKUP(M3769,#REF!,5,0),0)</f>
        <v>0</v>
      </c>
      <c r="V3769" s="1394">
        <f t="shared" si="984"/>
        <v>0</v>
      </c>
      <c r="W3769" s="1394"/>
    </row>
    <row r="3770" spans="1:26" ht="30" customHeight="1">
      <c r="B3770" s="1405"/>
      <c r="C3770" s="1540" t="s">
        <v>5551</v>
      </c>
      <c r="D3770" s="103">
        <v>1</v>
      </c>
      <c r="E3770" s="1542">
        <v>1</v>
      </c>
      <c r="F3770" s="1413"/>
      <c r="G3770" s="1413"/>
      <c r="H3770" s="1414"/>
      <c r="I3770" s="1406">
        <f t="shared" si="987"/>
        <v>1</v>
      </c>
      <c r="Q3770" s="1394">
        <f>IFERROR(VLOOKUP(M3770,#REF!,3,0),0)</f>
        <v>0</v>
      </c>
      <c r="R3770" s="1394">
        <f t="shared" si="986"/>
        <v>0</v>
      </c>
      <c r="S3770" s="1394">
        <f>IFERROR(VLOOKUP(M3770,#REF!,6,0),0)</f>
        <v>0</v>
      </c>
      <c r="T3770" s="1394">
        <f t="shared" si="983"/>
        <v>0</v>
      </c>
      <c r="U3770" s="1394">
        <f>IFERROR(VLOOKUP(M3770,#REF!,5,0),0)</f>
        <v>0</v>
      </c>
      <c r="V3770" s="1394">
        <f t="shared" si="984"/>
        <v>0</v>
      </c>
      <c r="W3770" s="1394"/>
    </row>
    <row r="3771" spans="1:26" ht="30" customHeight="1">
      <c r="B3771" s="1405"/>
      <c r="C3771" s="1540" t="s">
        <v>5883</v>
      </c>
      <c r="D3771" s="103">
        <v>1</v>
      </c>
      <c r="E3771" s="1542">
        <v>1</v>
      </c>
      <c r="F3771" s="1413"/>
      <c r="G3771" s="1413"/>
      <c r="H3771" s="1414"/>
      <c r="I3771" s="1406">
        <f t="shared" si="987"/>
        <v>1</v>
      </c>
      <c r="Q3771" s="1394">
        <f>IFERROR(VLOOKUP(M3771,#REF!,3,0),0)</f>
        <v>0</v>
      </c>
      <c r="R3771" s="1394">
        <f t="shared" si="986"/>
        <v>0</v>
      </c>
      <c r="S3771" s="1394">
        <f>IFERROR(VLOOKUP(M3771,#REF!,6,0),0)</f>
        <v>0</v>
      </c>
      <c r="T3771" s="1394">
        <f t="shared" si="983"/>
        <v>0</v>
      </c>
      <c r="U3771" s="1394">
        <f>IFERROR(VLOOKUP(M3771,#REF!,5,0),0)</f>
        <v>0</v>
      </c>
      <c r="V3771" s="1394">
        <f t="shared" si="984"/>
        <v>0</v>
      </c>
      <c r="W3771" s="1394"/>
    </row>
    <row r="3772" spans="1:26" ht="30" customHeight="1">
      <c r="B3772" s="1407"/>
      <c r="C3772" s="1540" t="s">
        <v>5553</v>
      </c>
      <c r="D3772" s="103">
        <v>1</v>
      </c>
      <c r="E3772" s="1542">
        <v>1</v>
      </c>
      <c r="F3772" s="1413"/>
      <c r="G3772" s="1413"/>
      <c r="H3772" s="1414"/>
      <c r="I3772" s="1406">
        <f t="shared" si="987"/>
        <v>1</v>
      </c>
      <c r="Q3772" s="1394">
        <f>IFERROR(VLOOKUP(M3772,#REF!,3,0),0)</f>
        <v>0</v>
      </c>
      <c r="R3772" s="1394">
        <f t="shared" si="986"/>
        <v>0</v>
      </c>
      <c r="S3772" s="1394">
        <f>IFERROR(VLOOKUP(M3772,#REF!,6,0),0)</f>
        <v>0</v>
      </c>
      <c r="T3772" s="1394">
        <f t="shared" si="983"/>
        <v>0</v>
      </c>
      <c r="U3772" s="1394">
        <f>IFERROR(VLOOKUP(M3772,#REF!,5,0),0)</f>
        <v>0</v>
      </c>
      <c r="V3772" s="1394">
        <f t="shared" si="984"/>
        <v>0</v>
      </c>
      <c r="W3772" s="1394"/>
    </row>
    <row r="3773" spans="1:26" ht="30" customHeight="1">
      <c r="B3773" s="1407"/>
      <c r="C3773" s="1540" t="s">
        <v>5883</v>
      </c>
      <c r="D3773" s="103">
        <v>1</v>
      </c>
      <c r="E3773" s="1542">
        <v>1</v>
      </c>
      <c r="F3773" s="1413"/>
      <c r="G3773" s="1413"/>
      <c r="H3773" s="1414"/>
      <c r="I3773" s="1406">
        <f t="shared" si="987"/>
        <v>1</v>
      </c>
      <c r="Q3773" s="1394">
        <f>IFERROR(VLOOKUP(M3773,#REF!,3,0),0)</f>
        <v>0</v>
      </c>
      <c r="R3773" s="1394">
        <f t="shared" si="986"/>
        <v>0</v>
      </c>
      <c r="S3773" s="1394">
        <f>IFERROR(VLOOKUP(M3773,#REF!,6,0),0)</f>
        <v>0</v>
      </c>
      <c r="T3773" s="1394">
        <f t="shared" si="983"/>
        <v>0</v>
      </c>
      <c r="U3773" s="1394">
        <f>IFERROR(VLOOKUP(M3773,#REF!,5,0),0)</f>
        <v>0</v>
      </c>
      <c r="V3773" s="1394">
        <f t="shared" si="984"/>
        <v>0</v>
      </c>
      <c r="W3773" s="1394"/>
    </row>
    <row r="3774" spans="1:26" ht="30" customHeight="1">
      <c r="B3774" s="1407"/>
      <c r="C3774" s="1544" t="s">
        <v>560</v>
      </c>
      <c r="D3774" s="103">
        <v>1</v>
      </c>
      <c r="E3774" s="1542">
        <v>1</v>
      </c>
      <c r="F3774" s="1413"/>
      <c r="G3774" s="1413"/>
      <c r="H3774" s="1414"/>
      <c r="I3774" s="1406">
        <f t="shared" si="987"/>
        <v>1</v>
      </c>
      <c r="M3774" s="110"/>
      <c r="Q3774" s="1394">
        <f>IFERROR(VLOOKUP(M3774,#REF!,3,0),0)</f>
        <v>0</v>
      </c>
      <c r="R3774" s="1394">
        <f t="shared" si="986"/>
        <v>0</v>
      </c>
      <c r="S3774" s="1394">
        <f>IFERROR(VLOOKUP(M3774,#REF!,6,0),0)</f>
        <v>0</v>
      </c>
      <c r="T3774" s="1394">
        <f t="shared" si="983"/>
        <v>0</v>
      </c>
      <c r="U3774" s="1394">
        <f>IFERROR(VLOOKUP(M3774,#REF!,5,0),0)</f>
        <v>0</v>
      </c>
      <c r="V3774" s="1394">
        <f t="shared" si="984"/>
        <v>0</v>
      </c>
      <c r="W3774" s="1394"/>
    </row>
    <row r="3775" spans="1:26" ht="30" customHeight="1">
      <c r="B3775" s="1407"/>
      <c r="C3775" s="1540" t="s">
        <v>5883</v>
      </c>
      <c r="D3775" s="103">
        <v>1</v>
      </c>
      <c r="E3775" s="1542">
        <v>1</v>
      </c>
      <c r="F3775" s="1413"/>
      <c r="G3775" s="1413"/>
      <c r="H3775" s="1414"/>
      <c r="I3775" s="1406">
        <f t="shared" si="987"/>
        <v>1</v>
      </c>
      <c r="M3775" s="110"/>
      <c r="Q3775" s="1394">
        <f>IFERROR(VLOOKUP(M3775,#REF!,3,0),0)</f>
        <v>0</v>
      </c>
      <c r="R3775" s="1394">
        <f t="shared" si="986"/>
        <v>0</v>
      </c>
      <c r="S3775" s="1394">
        <f>IFERROR(VLOOKUP(M3775,#REF!,6,0),0)</f>
        <v>0</v>
      </c>
      <c r="T3775" s="1394">
        <f t="shared" si="983"/>
        <v>0</v>
      </c>
      <c r="U3775" s="1394">
        <f>IFERROR(VLOOKUP(M3775,#REF!,5,0),0)</f>
        <v>0</v>
      </c>
      <c r="V3775" s="1394">
        <f t="shared" si="984"/>
        <v>0</v>
      </c>
      <c r="W3775" s="1394"/>
    </row>
    <row r="3776" spans="1:26" ht="30" customHeight="1">
      <c r="B3776" s="1407"/>
      <c r="C3776" s="1540" t="s">
        <v>5886</v>
      </c>
      <c r="D3776" s="103">
        <v>1</v>
      </c>
      <c r="E3776" s="1542">
        <v>1</v>
      </c>
      <c r="F3776" s="1413"/>
      <c r="G3776" s="1413"/>
      <c r="H3776" s="1414"/>
      <c r="I3776" s="1406">
        <f t="shared" si="987"/>
        <v>1</v>
      </c>
      <c r="Q3776" s="1394">
        <f>IFERROR(VLOOKUP(M3776,#REF!,3,0),0)</f>
        <v>0</v>
      </c>
      <c r="R3776" s="1394">
        <f t="shared" si="986"/>
        <v>0</v>
      </c>
      <c r="S3776" s="1394">
        <f>IFERROR(VLOOKUP(M3776,#REF!,6,0),0)</f>
        <v>0</v>
      </c>
      <c r="T3776" s="1394">
        <f t="shared" si="983"/>
        <v>0</v>
      </c>
      <c r="U3776" s="1394">
        <f>IFERROR(VLOOKUP(M3776,#REF!,5,0),0)</f>
        <v>0</v>
      </c>
      <c r="V3776" s="1394">
        <f t="shared" si="984"/>
        <v>0</v>
      </c>
      <c r="W3776" s="1394"/>
    </row>
    <row r="3777" spans="2:23" ht="30" customHeight="1">
      <c r="B3777" s="1407"/>
      <c r="C3777" s="1540" t="s">
        <v>560</v>
      </c>
      <c r="D3777" s="103">
        <v>1</v>
      </c>
      <c r="E3777" s="1542">
        <v>1</v>
      </c>
      <c r="F3777" s="1413"/>
      <c r="G3777" s="1413"/>
      <c r="H3777" s="1414"/>
      <c r="I3777" s="1406">
        <f t="shared" si="987"/>
        <v>1</v>
      </c>
      <c r="Q3777" s="1394">
        <f>IFERROR(VLOOKUP(M3777,#REF!,3,0),0)</f>
        <v>0</v>
      </c>
      <c r="R3777" s="1394">
        <f t="shared" si="986"/>
        <v>0</v>
      </c>
      <c r="S3777" s="1394">
        <f>IFERROR(VLOOKUP(M3777,#REF!,6,0),0)</f>
        <v>0</v>
      </c>
      <c r="T3777" s="1394">
        <f t="shared" si="983"/>
        <v>0</v>
      </c>
      <c r="U3777" s="1394">
        <f>IFERROR(VLOOKUP(M3777,#REF!,5,0),0)</f>
        <v>0</v>
      </c>
      <c r="V3777" s="1394">
        <f t="shared" si="984"/>
        <v>0</v>
      </c>
      <c r="W3777" s="1394"/>
    </row>
    <row r="3778" spans="2:23" ht="30" customHeight="1">
      <c r="B3778" s="1407"/>
      <c r="C3778" s="1540" t="s">
        <v>5883</v>
      </c>
      <c r="D3778" s="103">
        <v>1</v>
      </c>
      <c r="E3778" s="1542">
        <v>1</v>
      </c>
      <c r="F3778" s="1413"/>
      <c r="G3778" s="1413"/>
      <c r="H3778" s="1414"/>
      <c r="I3778" s="1406">
        <f t="shared" si="987"/>
        <v>1</v>
      </c>
      <c r="Q3778" s="1394">
        <f>IFERROR(VLOOKUP(M3778,#REF!,3,0),0)</f>
        <v>0</v>
      </c>
      <c r="R3778" s="1394">
        <f t="shared" si="986"/>
        <v>0</v>
      </c>
      <c r="S3778" s="1394">
        <f>IFERROR(VLOOKUP(M3778,#REF!,6,0),0)</f>
        <v>0</v>
      </c>
      <c r="T3778" s="1394">
        <f t="shared" si="983"/>
        <v>0</v>
      </c>
      <c r="U3778" s="1394">
        <f>IFERROR(VLOOKUP(M3778,#REF!,5,0),0)</f>
        <v>0</v>
      </c>
      <c r="V3778" s="1394">
        <f t="shared" si="984"/>
        <v>0</v>
      </c>
      <c r="W3778" s="1394"/>
    </row>
    <row r="3779" spans="2:23" ht="30" customHeight="1">
      <c r="B3779" s="1407"/>
      <c r="C3779" s="1540" t="s">
        <v>5886</v>
      </c>
      <c r="D3779" s="103">
        <v>1</v>
      </c>
      <c r="E3779" s="1542">
        <v>1</v>
      </c>
      <c r="F3779" s="1413"/>
      <c r="G3779" s="1413"/>
      <c r="H3779" s="1414"/>
      <c r="I3779" s="1406">
        <f t="shared" si="987"/>
        <v>1</v>
      </c>
      <c r="Q3779" s="1394">
        <f>IFERROR(VLOOKUP(M3779,#REF!,3,0),0)</f>
        <v>0</v>
      </c>
      <c r="R3779" s="1394">
        <f t="shared" si="986"/>
        <v>0</v>
      </c>
      <c r="S3779" s="1394">
        <f>IFERROR(VLOOKUP(M3779,#REF!,6,0),0)</f>
        <v>0</v>
      </c>
      <c r="T3779" s="1394">
        <f t="shared" ref="T3779:T3842" si="988">R3779-S3779</f>
        <v>0</v>
      </c>
      <c r="U3779" s="1394">
        <f>IFERROR(VLOOKUP(M3779,#REF!,5,0),0)</f>
        <v>0</v>
      </c>
      <c r="V3779" s="1394">
        <f t="shared" ref="V3779:V3842" si="989">O3779-U3779</f>
        <v>0</v>
      </c>
      <c r="W3779" s="1394"/>
    </row>
    <row r="3780" spans="2:23" ht="30" customHeight="1">
      <c r="B3780" s="1407"/>
      <c r="C3780" s="1538" t="s">
        <v>5504</v>
      </c>
      <c r="D3780" s="103"/>
      <c r="E3780" s="1542" t="s">
        <v>575</v>
      </c>
      <c r="F3780" s="1413"/>
      <c r="G3780" s="1413"/>
      <c r="H3780" s="1414"/>
      <c r="I3780" s="1406">
        <f t="shared" si="987"/>
        <v>0</v>
      </c>
      <c r="M3780" s="110"/>
      <c r="Q3780" s="1394">
        <f>IFERROR(VLOOKUP(M3780,#REF!,3,0),0)</f>
        <v>0</v>
      </c>
      <c r="R3780" s="1394">
        <f t="shared" si="986"/>
        <v>0</v>
      </c>
      <c r="S3780" s="1394">
        <f>IFERROR(VLOOKUP(M3780,#REF!,6,0),0)</f>
        <v>0</v>
      </c>
      <c r="T3780" s="1394">
        <f t="shared" si="988"/>
        <v>0</v>
      </c>
      <c r="U3780" s="1394">
        <f>IFERROR(VLOOKUP(M3780,#REF!,5,0),0)</f>
        <v>0</v>
      </c>
      <c r="V3780" s="1394">
        <f t="shared" si="989"/>
        <v>0</v>
      </c>
      <c r="W3780" s="1394"/>
    </row>
    <row r="3781" spans="2:23" ht="30" customHeight="1">
      <c r="B3781" s="1407"/>
      <c r="C3781" s="1540" t="s">
        <v>5563</v>
      </c>
      <c r="D3781" s="103">
        <v>1</v>
      </c>
      <c r="E3781" s="1542">
        <v>1</v>
      </c>
      <c r="F3781" s="1413"/>
      <c r="G3781" s="1413"/>
      <c r="H3781" s="1414"/>
      <c r="I3781" s="1406">
        <f t="shared" si="987"/>
        <v>1</v>
      </c>
      <c r="M3781" s="110"/>
      <c r="Q3781" s="1394">
        <f>IFERROR(VLOOKUP(M3781,#REF!,3,0),0)</f>
        <v>0</v>
      </c>
      <c r="R3781" s="1394">
        <f t="shared" si="986"/>
        <v>0</v>
      </c>
      <c r="S3781" s="1394">
        <f>IFERROR(VLOOKUP(M3781,#REF!,6,0),0)</f>
        <v>0</v>
      </c>
      <c r="T3781" s="1394">
        <f t="shared" si="988"/>
        <v>0</v>
      </c>
      <c r="U3781" s="1394">
        <f>IFERROR(VLOOKUP(M3781,#REF!,5,0),0)</f>
        <v>0</v>
      </c>
      <c r="V3781" s="1394">
        <f t="shared" si="989"/>
        <v>0</v>
      </c>
      <c r="W3781" s="1394"/>
    </row>
    <row r="3782" spans="2:23" ht="30" customHeight="1">
      <c r="B3782" s="1407"/>
      <c r="C3782" s="1540" t="s">
        <v>5883</v>
      </c>
      <c r="D3782" s="103">
        <v>1</v>
      </c>
      <c r="E3782" s="1542">
        <v>1</v>
      </c>
      <c r="F3782" s="1413"/>
      <c r="G3782" s="1413"/>
      <c r="H3782" s="1414"/>
      <c r="I3782" s="1406">
        <f t="shared" si="987"/>
        <v>1</v>
      </c>
      <c r="M3782" s="110"/>
      <c r="Q3782" s="1394">
        <f>IFERROR(VLOOKUP(M3782,#REF!,3,0),0)</f>
        <v>0</v>
      </c>
      <c r="R3782" s="1394">
        <f t="shared" si="986"/>
        <v>0</v>
      </c>
      <c r="S3782" s="1394">
        <f>IFERROR(VLOOKUP(M3782,#REF!,6,0),0)</f>
        <v>0</v>
      </c>
      <c r="T3782" s="1394">
        <f t="shared" si="988"/>
        <v>0</v>
      </c>
      <c r="U3782" s="1394">
        <f>IFERROR(VLOOKUP(M3782,#REF!,5,0),0)</f>
        <v>0</v>
      </c>
      <c r="V3782" s="1394">
        <f t="shared" si="989"/>
        <v>0</v>
      </c>
      <c r="W3782" s="1394"/>
    </row>
    <row r="3783" spans="2:23" ht="30" customHeight="1">
      <c r="B3783" s="1407"/>
      <c r="C3783" s="1540" t="s">
        <v>5565</v>
      </c>
      <c r="D3783" s="103">
        <v>1</v>
      </c>
      <c r="E3783" s="1542">
        <v>1</v>
      </c>
      <c r="F3783" s="1413"/>
      <c r="G3783" s="1413"/>
      <c r="H3783" s="1414"/>
      <c r="I3783" s="1406">
        <f t="shared" si="987"/>
        <v>1</v>
      </c>
      <c r="M3783" s="110"/>
      <c r="Q3783" s="1394">
        <f>IFERROR(VLOOKUP(M3783,#REF!,3,0),0)</f>
        <v>0</v>
      </c>
      <c r="R3783" s="1394">
        <f t="shared" si="986"/>
        <v>0</v>
      </c>
      <c r="S3783" s="1394">
        <f>IFERROR(VLOOKUP(M3783,#REF!,6,0),0)</f>
        <v>0</v>
      </c>
      <c r="T3783" s="1394">
        <f t="shared" si="988"/>
        <v>0</v>
      </c>
      <c r="U3783" s="1394">
        <f>IFERROR(VLOOKUP(M3783,#REF!,5,0),0)</f>
        <v>0</v>
      </c>
      <c r="V3783" s="1394">
        <f t="shared" si="989"/>
        <v>0</v>
      </c>
      <c r="W3783" s="1394"/>
    </row>
    <row r="3784" spans="2:23" ht="30" customHeight="1">
      <c r="B3784" s="1407"/>
      <c r="C3784" s="1544" t="s">
        <v>5883</v>
      </c>
      <c r="D3784" s="103">
        <v>1</v>
      </c>
      <c r="E3784" s="1542">
        <v>1</v>
      </c>
      <c r="F3784" s="1413"/>
      <c r="G3784" s="1413"/>
      <c r="H3784" s="1414"/>
      <c r="I3784" s="1406">
        <f t="shared" si="987"/>
        <v>1</v>
      </c>
      <c r="M3784" s="110"/>
      <c r="Q3784" s="1394">
        <f>IFERROR(VLOOKUP(M3784,#REF!,3,0),0)</f>
        <v>0</v>
      </c>
      <c r="R3784" s="1394">
        <f t="shared" si="986"/>
        <v>0</v>
      </c>
      <c r="S3784" s="1394">
        <f>IFERROR(VLOOKUP(M3784,#REF!,6,0),0)</f>
        <v>0</v>
      </c>
      <c r="T3784" s="1394">
        <f t="shared" si="988"/>
        <v>0</v>
      </c>
      <c r="U3784" s="1394">
        <f>IFERROR(VLOOKUP(M3784,#REF!,5,0),0)</f>
        <v>0</v>
      </c>
      <c r="V3784" s="1394">
        <f t="shared" si="989"/>
        <v>0</v>
      </c>
      <c r="W3784" s="1394"/>
    </row>
    <row r="3785" spans="2:23" ht="30" customHeight="1">
      <c r="B3785" s="1407"/>
      <c r="C3785" s="1540" t="s">
        <v>5886</v>
      </c>
      <c r="D3785" s="103">
        <v>1</v>
      </c>
      <c r="E3785" s="1542">
        <v>1</v>
      </c>
      <c r="F3785" s="1413"/>
      <c r="G3785" s="1413"/>
      <c r="H3785" s="1414"/>
      <c r="I3785" s="1406">
        <f t="shared" si="987"/>
        <v>1</v>
      </c>
      <c r="M3785" s="110"/>
      <c r="Q3785" s="1394">
        <f>IFERROR(VLOOKUP(M3785,#REF!,3,0),0)</f>
        <v>0</v>
      </c>
      <c r="R3785" s="1394">
        <f t="shared" si="986"/>
        <v>0</v>
      </c>
      <c r="S3785" s="1394">
        <f>IFERROR(VLOOKUP(M3785,#REF!,6,0),0)</f>
        <v>0</v>
      </c>
      <c r="T3785" s="1394">
        <f t="shared" si="988"/>
        <v>0</v>
      </c>
      <c r="U3785" s="1394">
        <f>IFERROR(VLOOKUP(M3785,#REF!,5,0),0)</f>
        <v>0</v>
      </c>
      <c r="V3785" s="1394">
        <f t="shared" si="989"/>
        <v>0</v>
      </c>
      <c r="W3785" s="1394"/>
    </row>
    <row r="3786" spans="2:23" ht="30" customHeight="1">
      <c r="B3786" s="1407"/>
      <c r="C3786" s="1540" t="s">
        <v>560</v>
      </c>
      <c r="D3786" s="103">
        <v>1</v>
      </c>
      <c r="E3786" s="1542">
        <v>1</v>
      </c>
      <c r="F3786" s="1413"/>
      <c r="G3786" s="1413"/>
      <c r="H3786" s="1414"/>
      <c r="I3786" s="1406">
        <f t="shared" si="987"/>
        <v>1</v>
      </c>
      <c r="M3786" s="110"/>
      <c r="Q3786" s="1394">
        <f>IFERROR(VLOOKUP(M3786,#REF!,3,0),0)</f>
        <v>0</v>
      </c>
      <c r="R3786" s="1394">
        <f t="shared" si="986"/>
        <v>0</v>
      </c>
      <c r="S3786" s="1394">
        <f>IFERROR(VLOOKUP(M3786,#REF!,6,0),0)</f>
        <v>0</v>
      </c>
      <c r="T3786" s="1394">
        <f t="shared" si="988"/>
        <v>0</v>
      </c>
      <c r="U3786" s="1394">
        <f>IFERROR(VLOOKUP(M3786,#REF!,5,0),0)</f>
        <v>0</v>
      </c>
      <c r="V3786" s="1394">
        <f t="shared" si="989"/>
        <v>0</v>
      </c>
      <c r="W3786" s="1394"/>
    </row>
    <row r="3787" spans="2:23" ht="30" customHeight="1">
      <c r="B3787" s="1407"/>
      <c r="C3787" s="1540" t="s">
        <v>5883</v>
      </c>
      <c r="D3787" s="103">
        <v>1</v>
      </c>
      <c r="E3787" s="1542">
        <v>1</v>
      </c>
      <c r="F3787" s="1413"/>
      <c r="G3787" s="1413"/>
      <c r="H3787" s="1414"/>
      <c r="I3787" s="1406">
        <f t="shared" si="987"/>
        <v>1</v>
      </c>
      <c r="M3787" s="110"/>
      <c r="Q3787" s="1394">
        <f>IFERROR(VLOOKUP(M3787,#REF!,3,0),0)</f>
        <v>0</v>
      </c>
      <c r="R3787" s="1394">
        <f t="shared" si="986"/>
        <v>0</v>
      </c>
      <c r="S3787" s="1394">
        <f>IFERROR(VLOOKUP(M3787,#REF!,6,0),0)</f>
        <v>0</v>
      </c>
      <c r="T3787" s="1394">
        <f t="shared" si="988"/>
        <v>0</v>
      </c>
      <c r="U3787" s="1394">
        <f>IFERROR(VLOOKUP(M3787,#REF!,5,0),0)</f>
        <v>0</v>
      </c>
      <c r="V3787" s="1394">
        <f t="shared" si="989"/>
        <v>0</v>
      </c>
      <c r="W3787" s="1394"/>
    </row>
    <row r="3788" spans="2:23" ht="30" customHeight="1">
      <c r="B3788" s="1407"/>
      <c r="C3788" s="1540" t="s">
        <v>5886</v>
      </c>
      <c r="D3788" s="103">
        <v>1</v>
      </c>
      <c r="E3788" s="1542">
        <v>1</v>
      </c>
      <c r="F3788" s="1413"/>
      <c r="G3788" s="1413"/>
      <c r="H3788" s="1414"/>
      <c r="I3788" s="1406">
        <f t="shared" si="987"/>
        <v>1</v>
      </c>
      <c r="M3788" s="110"/>
      <c r="Q3788" s="1394">
        <f>IFERROR(VLOOKUP(M3788,#REF!,3,0),0)</f>
        <v>0</v>
      </c>
      <c r="R3788" s="1394">
        <f t="shared" si="986"/>
        <v>0</v>
      </c>
      <c r="S3788" s="1394">
        <f>IFERROR(VLOOKUP(M3788,#REF!,6,0),0)</f>
        <v>0</v>
      </c>
      <c r="T3788" s="1394">
        <f t="shared" si="988"/>
        <v>0</v>
      </c>
      <c r="U3788" s="1394">
        <f>IFERROR(VLOOKUP(M3788,#REF!,5,0),0)</f>
        <v>0</v>
      </c>
      <c r="V3788" s="1394">
        <f t="shared" si="989"/>
        <v>0</v>
      </c>
      <c r="W3788" s="1394"/>
    </row>
    <row r="3789" spans="2:23" ht="30" customHeight="1">
      <c r="B3789" s="1407"/>
      <c r="C3789" s="1540" t="s">
        <v>560</v>
      </c>
      <c r="D3789" s="103">
        <v>1</v>
      </c>
      <c r="E3789" s="1542">
        <v>1</v>
      </c>
      <c r="F3789" s="1413"/>
      <c r="G3789" s="1413"/>
      <c r="H3789" s="1414"/>
      <c r="I3789" s="1406">
        <f t="shared" si="987"/>
        <v>1</v>
      </c>
      <c r="M3789" s="110"/>
      <c r="Q3789" s="1394">
        <f>IFERROR(VLOOKUP(M3789,#REF!,3,0),0)</f>
        <v>0</v>
      </c>
      <c r="R3789" s="1394">
        <f t="shared" si="986"/>
        <v>0</v>
      </c>
      <c r="S3789" s="1394">
        <f>IFERROR(VLOOKUP(M3789,#REF!,6,0),0)</f>
        <v>0</v>
      </c>
      <c r="T3789" s="1394">
        <f t="shared" si="988"/>
        <v>0</v>
      </c>
      <c r="U3789" s="1394">
        <f>IFERROR(VLOOKUP(M3789,#REF!,5,0),0)</f>
        <v>0</v>
      </c>
      <c r="V3789" s="1394">
        <f t="shared" si="989"/>
        <v>0</v>
      </c>
      <c r="W3789" s="1394"/>
    </row>
    <row r="3790" spans="2:23" ht="30" customHeight="1">
      <c r="B3790" s="1407"/>
      <c r="C3790" s="1540" t="s">
        <v>5883</v>
      </c>
      <c r="D3790" s="103">
        <v>1</v>
      </c>
      <c r="E3790" s="1542">
        <v>1</v>
      </c>
      <c r="F3790" s="1413"/>
      <c r="G3790" s="1413"/>
      <c r="H3790" s="1414"/>
      <c r="I3790" s="1406">
        <f t="shared" si="987"/>
        <v>1</v>
      </c>
      <c r="M3790" s="110"/>
      <c r="Q3790" s="1394">
        <f>IFERROR(VLOOKUP(M3790,#REF!,3,0),0)</f>
        <v>0</v>
      </c>
      <c r="R3790" s="1394">
        <f t="shared" si="986"/>
        <v>0</v>
      </c>
      <c r="S3790" s="1394">
        <f>IFERROR(VLOOKUP(M3790,#REF!,6,0),0)</f>
        <v>0</v>
      </c>
      <c r="T3790" s="1394">
        <f t="shared" si="988"/>
        <v>0</v>
      </c>
      <c r="U3790" s="1394">
        <f>IFERROR(VLOOKUP(M3790,#REF!,5,0),0)</f>
        <v>0</v>
      </c>
      <c r="V3790" s="1394">
        <f t="shared" si="989"/>
        <v>0</v>
      </c>
      <c r="W3790" s="1394"/>
    </row>
    <row r="3791" spans="2:23" ht="30" customHeight="1">
      <c r="B3791" s="1407"/>
      <c r="C3791" s="1540" t="s">
        <v>5886</v>
      </c>
      <c r="D3791" s="103">
        <v>1</v>
      </c>
      <c r="E3791" s="1542">
        <v>1</v>
      </c>
      <c r="F3791" s="1413"/>
      <c r="G3791" s="1413"/>
      <c r="H3791" s="1414"/>
      <c r="I3791" s="1406">
        <f t="shared" si="987"/>
        <v>1</v>
      </c>
      <c r="M3791" s="110"/>
      <c r="Q3791" s="1394">
        <f>IFERROR(VLOOKUP(M3791,#REF!,3,0),0)</f>
        <v>0</v>
      </c>
      <c r="R3791" s="1394">
        <f t="shared" si="986"/>
        <v>0</v>
      </c>
      <c r="S3791" s="1394">
        <f>IFERROR(VLOOKUP(M3791,#REF!,6,0),0)</f>
        <v>0</v>
      </c>
      <c r="T3791" s="1394">
        <f t="shared" si="988"/>
        <v>0</v>
      </c>
      <c r="U3791" s="1394">
        <f>IFERROR(VLOOKUP(M3791,#REF!,5,0),0)</f>
        <v>0</v>
      </c>
      <c r="V3791" s="1394">
        <f t="shared" si="989"/>
        <v>0</v>
      </c>
      <c r="W3791" s="1394"/>
    </row>
    <row r="3792" spans="2:23" ht="30" customHeight="1">
      <c r="B3792" s="1407"/>
      <c r="C3792" s="1538" t="s">
        <v>5505</v>
      </c>
      <c r="D3792" s="103"/>
      <c r="E3792" s="1542" t="s">
        <v>575</v>
      </c>
      <c r="F3792" s="1413"/>
      <c r="G3792" s="1413"/>
      <c r="H3792" s="1414"/>
      <c r="I3792" s="1406">
        <f t="shared" si="987"/>
        <v>0</v>
      </c>
      <c r="M3792" s="110"/>
      <c r="Q3792" s="1394">
        <f>IFERROR(VLOOKUP(M3792,#REF!,3,0),0)</f>
        <v>0</v>
      </c>
      <c r="R3792" s="1394">
        <f t="shared" si="986"/>
        <v>0</v>
      </c>
      <c r="S3792" s="1394">
        <f>IFERROR(VLOOKUP(M3792,#REF!,6,0),0)</f>
        <v>0</v>
      </c>
      <c r="T3792" s="1394">
        <f t="shared" si="988"/>
        <v>0</v>
      </c>
      <c r="U3792" s="1394">
        <f>IFERROR(VLOOKUP(M3792,#REF!,5,0),0)</f>
        <v>0</v>
      </c>
      <c r="V3792" s="1394">
        <f t="shared" si="989"/>
        <v>0</v>
      </c>
      <c r="W3792" s="1394"/>
    </row>
    <row r="3793" spans="2:23" ht="30" customHeight="1">
      <c r="B3793" s="1407"/>
      <c r="C3793" s="1540" t="s">
        <v>5571</v>
      </c>
      <c r="D3793" s="103">
        <v>1</v>
      </c>
      <c r="E3793" s="1542">
        <v>1</v>
      </c>
      <c r="F3793" s="1413"/>
      <c r="G3793" s="1413"/>
      <c r="H3793" s="1414"/>
      <c r="I3793" s="1406">
        <f t="shared" si="987"/>
        <v>1</v>
      </c>
      <c r="M3793" s="110"/>
      <c r="Q3793" s="1394">
        <f>IFERROR(VLOOKUP(M3793,#REF!,3,0),0)</f>
        <v>0</v>
      </c>
      <c r="R3793" s="1394">
        <f t="shared" si="986"/>
        <v>0</v>
      </c>
      <c r="S3793" s="1394">
        <f>IFERROR(VLOOKUP(M3793,#REF!,6,0),0)</f>
        <v>0</v>
      </c>
      <c r="T3793" s="1394">
        <f t="shared" si="988"/>
        <v>0</v>
      </c>
      <c r="U3793" s="1394">
        <f>IFERROR(VLOOKUP(M3793,#REF!,5,0),0)</f>
        <v>0</v>
      </c>
      <c r="V3793" s="1394">
        <f t="shared" si="989"/>
        <v>0</v>
      </c>
      <c r="W3793" s="1394"/>
    </row>
    <row r="3794" spans="2:23" ht="30" customHeight="1">
      <c r="B3794" s="1407"/>
      <c r="C3794" s="1544" t="s">
        <v>5883</v>
      </c>
      <c r="D3794" s="103">
        <v>1</v>
      </c>
      <c r="E3794" s="1542">
        <v>1</v>
      </c>
      <c r="F3794" s="1413"/>
      <c r="G3794" s="1413"/>
      <c r="H3794" s="1414"/>
      <c r="I3794" s="1406">
        <f t="shared" si="987"/>
        <v>1</v>
      </c>
      <c r="M3794" s="110"/>
      <c r="Q3794" s="1394">
        <f>IFERROR(VLOOKUP(M3794,#REF!,3,0),0)</f>
        <v>0</v>
      </c>
      <c r="R3794" s="1394">
        <f t="shared" si="986"/>
        <v>0</v>
      </c>
      <c r="S3794" s="1394">
        <f>IFERROR(VLOOKUP(M3794,#REF!,6,0),0)</f>
        <v>0</v>
      </c>
      <c r="T3794" s="1394">
        <f t="shared" si="988"/>
        <v>0</v>
      </c>
      <c r="U3794" s="1394">
        <f>IFERROR(VLOOKUP(M3794,#REF!,5,0),0)</f>
        <v>0</v>
      </c>
      <c r="V3794" s="1394">
        <f t="shared" si="989"/>
        <v>0</v>
      </c>
      <c r="W3794" s="1394"/>
    </row>
    <row r="3795" spans="2:23" ht="30" customHeight="1">
      <c r="B3795" s="1407"/>
      <c r="C3795" s="1540" t="s">
        <v>5886</v>
      </c>
      <c r="D3795" s="103">
        <v>1</v>
      </c>
      <c r="E3795" s="1542">
        <v>1</v>
      </c>
      <c r="F3795" s="1413"/>
      <c r="G3795" s="1413"/>
      <c r="H3795" s="1414"/>
      <c r="I3795" s="1406">
        <f t="shared" si="987"/>
        <v>1</v>
      </c>
      <c r="M3795" s="110"/>
      <c r="Q3795" s="1394">
        <f>IFERROR(VLOOKUP(M3795,#REF!,3,0),0)</f>
        <v>0</v>
      </c>
      <c r="R3795" s="1394">
        <f t="shared" si="986"/>
        <v>0</v>
      </c>
      <c r="S3795" s="1394">
        <f>IFERROR(VLOOKUP(M3795,#REF!,6,0),0)</f>
        <v>0</v>
      </c>
      <c r="T3795" s="1394">
        <f t="shared" si="988"/>
        <v>0</v>
      </c>
      <c r="U3795" s="1394">
        <f>IFERROR(VLOOKUP(M3795,#REF!,5,0),0)</f>
        <v>0</v>
      </c>
      <c r="V3795" s="1394">
        <f t="shared" si="989"/>
        <v>0</v>
      </c>
      <c r="W3795" s="1394"/>
    </row>
    <row r="3796" spans="2:23" ht="30" customHeight="1">
      <c r="B3796" s="1407"/>
      <c r="C3796" s="1540" t="s">
        <v>5573</v>
      </c>
      <c r="D3796" s="103">
        <v>1</v>
      </c>
      <c r="E3796" s="1542">
        <v>1</v>
      </c>
      <c r="F3796" s="1413"/>
      <c r="G3796" s="1413"/>
      <c r="H3796" s="1414"/>
      <c r="I3796" s="1406">
        <f t="shared" si="987"/>
        <v>1</v>
      </c>
      <c r="Q3796" s="1394">
        <f>IFERROR(VLOOKUP(M3796,#REF!,3,0),0)</f>
        <v>0</v>
      </c>
      <c r="R3796" s="1394">
        <f t="shared" si="986"/>
        <v>0</v>
      </c>
      <c r="S3796" s="1394">
        <f>IFERROR(VLOOKUP(M3796,#REF!,6,0),0)</f>
        <v>0</v>
      </c>
      <c r="T3796" s="1394">
        <f t="shared" si="988"/>
        <v>0</v>
      </c>
      <c r="U3796" s="1394">
        <f>IFERROR(VLOOKUP(M3796,#REF!,5,0),0)</f>
        <v>0</v>
      </c>
      <c r="V3796" s="1394">
        <f t="shared" si="989"/>
        <v>0</v>
      </c>
      <c r="W3796" s="1394"/>
    </row>
    <row r="3797" spans="2:23" ht="30" customHeight="1">
      <c r="B3797" s="1407"/>
      <c r="C3797" s="1540" t="s">
        <v>5883</v>
      </c>
      <c r="D3797" s="103">
        <v>1</v>
      </c>
      <c r="E3797" s="1542">
        <v>1</v>
      </c>
      <c r="F3797" s="1413"/>
      <c r="G3797" s="1413"/>
      <c r="H3797" s="1414"/>
      <c r="I3797" s="1406">
        <f t="shared" si="987"/>
        <v>1</v>
      </c>
      <c r="Q3797" s="1394">
        <f>IFERROR(VLOOKUP(M3797,#REF!,3,0),0)</f>
        <v>0</v>
      </c>
      <c r="R3797" s="1394">
        <f t="shared" si="986"/>
        <v>0</v>
      </c>
      <c r="S3797" s="1394">
        <f>IFERROR(VLOOKUP(M3797,#REF!,6,0),0)</f>
        <v>0</v>
      </c>
      <c r="T3797" s="1394">
        <f t="shared" si="988"/>
        <v>0</v>
      </c>
      <c r="U3797" s="1394">
        <f>IFERROR(VLOOKUP(M3797,#REF!,5,0),0)</f>
        <v>0</v>
      </c>
      <c r="V3797" s="1394">
        <f t="shared" si="989"/>
        <v>0</v>
      </c>
      <c r="W3797" s="1394"/>
    </row>
    <row r="3798" spans="2:23" ht="30" customHeight="1">
      <c r="B3798" s="1407"/>
      <c r="C3798" s="1540" t="s">
        <v>5886</v>
      </c>
      <c r="D3798" s="103">
        <v>1</v>
      </c>
      <c r="E3798" s="1542">
        <v>1</v>
      </c>
      <c r="F3798" s="1413"/>
      <c r="G3798" s="1413"/>
      <c r="H3798" s="1414"/>
      <c r="I3798" s="1406">
        <f t="shared" si="987"/>
        <v>1</v>
      </c>
      <c r="Q3798" s="1394">
        <f>IFERROR(VLOOKUP(M3798,#REF!,3,0),0)</f>
        <v>0</v>
      </c>
      <c r="R3798" s="1394">
        <f t="shared" si="986"/>
        <v>0</v>
      </c>
      <c r="S3798" s="1394">
        <f>IFERROR(VLOOKUP(M3798,#REF!,6,0),0)</f>
        <v>0</v>
      </c>
      <c r="T3798" s="1394">
        <f t="shared" si="988"/>
        <v>0</v>
      </c>
      <c r="U3798" s="1394">
        <f>IFERROR(VLOOKUP(M3798,#REF!,5,0),0)</f>
        <v>0</v>
      </c>
      <c r="V3798" s="1394">
        <f t="shared" si="989"/>
        <v>0</v>
      </c>
      <c r="W3798" s="1394"/>
    </row>
    <row r="3799" spans="2:23" ht="30" customHeight="1">
      <c r="B3799" s="1407"/>
      <c r="C3799" s="1540" t="s">
        <v>5571</v>
      </c>
      <c r="D3799" s="103">
        <v>1</v>
      </c>
      <c r="E3799" s="1542">
        <v>1</v>
      </c>
      <c r="F3799" s="1413"/>
      <c r="G3799" s="1413"/>
      <c r="H3799" s="1414"/>
      <c r="I3799" s="1406">
        <f t="shared" si="987"/>
        <v>1</v>
      </c>
      <c r="Q3799" s="1394">
        <f>IFERROR(VLOOKUP(M3799,#REF!,3,0),0)</f>
        <v>0</v>
      </c>
      <c r="R3799" s="1394">
        <f t="shared" si="986"/>
        <v>0</v>
      </c>
      <c r="S3799" s="1394">
        <f>IFERROR(VLOOKUP(M3799,#REF!,6,0),0)</f>
        <v>0</v>
      </c>
      <c r="T3799" s="1394">
        <f t="shared" si="988"/>
        <v>0</v>
      </c>
      <c r="U3799" s="1394">
        <f>IFERROR(VLOOKUP(M3799,#REF!,5,0),0)</f>
        <v>0</v>
      </c>
      <c r="V3799" s="1394">
        <f t="shared" si="989"/>
        <v>0</v>
      </c>
      <c r="W3799" s="1394"/>
    </row>
    <row r="3800" spans="2:23" ht="30" customHeight="1">
      <c r="B3800" s="1407"/>
      <c r="C3800" s="1540" t="s">
        <v>5887</v>
      </c>
      <c r="D3800" s="103">
        <v>1</v>
      </c>
      <c r="E3800" s="1542">
        <v>1</v>
      </c>
      <c r="F3800" s="1413"/>
      <c r="G3800" s="1413"/>
      <c r="H3800" s="1414"/>
      <c r="I3800" s="1406">
        <f t="shared" si="987"/>
        <v>1</v>
      </c>
      <c r="Q3800" s="1394">
        <f>IFERROR(VLOOKUP(M3800,#REF!,3,0),0)</f>
        <v>0</v>
      </c>
      <c r="R3800" s="1394">
        <f t="shared" si="986"/>
        <v>0</v>
      </c>
      <c r="S3800" s="1394">
        <f>IFERROR(VLOOKUP(M3800,#REF!,6,0),0)</f>
        <v>0</v>
      </c>
      <c r="T3800" s="1394">
        <f t="shared" si="988"/>
        <v>0</v>
      </c>
      <c r="U3800" s="1394">
        <f>IFERROR(VLOOKUP(M3800,#REF!,5,0),0)</f>
        <v>0</v>
      </c>
      <c r="V3800" s="1394">
        <f t="shared" si="989"/>
        <v>0</v>
      </c>
      <c r="W3800" s="1394"/>
    </row>
    <row r="3801" spans="2:23" ht="30" customHeight="1">
      <c r="B3801" s="1407"/>
      <c r="C3801" s="1540" t="s">
        <v>5888</v>
      </c>
      <c r="D3801" s="103">
        <v>1</v>
      </c>
      <c r="E3801" s="1542">
        <v>1</v>
      </c>
      <c r="F3801" s="1413"/>
      <c r="G3801" s="1413"/>
      <c r="H3801" s="1414"/>
      <c r="I3801" s="1406">
        <f t="shared" si="987"/>
        <v>1</v>
      </c>
      <c r="Q3801" s="1394">
        <f>IFERROR(VLOOKUP(M3801,#REF!,3,0),0)</f>
        <v>0</v>
      </c>
      <c r="R3801" s="1394">
        <f t="shared" si="986"/>
        <v>0</v>
      </c>
      <c r="S3801" s="1394">
        <f>IFERROR(VLOOKUP(M3801,#REF!,6,0),0)</f>
        <v>0</v>
      </c>
      <c r="T3801" s="1394">
        <f t="shared" si="988"/>
        <v>0</v>
      </c>
      <c r="U3801" s="1394">
        <f>IFERROR(VLOOKUP(M3801,#REF!,5,0),0)</f>
        <v>0</v>
      </c>
      <c r="V3801" s="1394">
        <f t="shared" si="989"/>
        <v>0</v>
      </c>
      <c r="W3801" s="1394"/>
    </row>
    <row r="3802" spans="2:23" ht="30" customHeight="1">
      <c r="B3802" s="1407"/>
      <c r="C3802" s="1540" t="s">
        <v>5889</v>
      </c>
      <c r="D3802" s="103">
        <v>1</v>
      </c>
      <c r="E3802" s="1542">
        <v>1</v>
      </c>
      <c r="F3802" s="1413"/>
      <c r="G3802" s="1413"/>
      <c r="H3802" s="1414"/>
      <c r="I3802" s="1406">
        <f t="shared" si="987"/>
        <v>1</v>
      </c>
      <c r="Q3802" s="1394">
        <f>IFERROR(VLOOKUP(M3802,#REF!,3,0),0)</f>
        <v>0</v>
      </c>
      <c r="R3802" s="1394">
        <f t="shared" si="986"/>
        <v>0</v>
      </c>
      <c r="S3802" s="1394">
        <f>IFERROR(VLOOKUP(M3802,#REF!,6,0),0)</f>
        <v>0</v>
      </c>
      <c r="T3802" s="1394">
        <f t="shared" si="988"/>
        <v>0</v>
      </c>
      <c r="U3802" s="1394">
        <f>IFERROR(VLOOKUP(M3802,#REF!,5,0),0)</f>
        <v>0</v>
      </c>
      <c r="V3802" s="1394">
        <f t="shared" si="989"/>
        <v>0</v>
      </c>
      <c r="W3802" s="1394"/>
    </row>
    <row r="3803" spans="2:23" ht="30" customHeight="1">
      <c r="B3803" s="1407"/>
      <c r="C3803" s="1540" t="s">
        <v>560</v>
      </c>
      <c r="D3803" s="103">
        <v>1</v>
      </c>
      <c r="E3803" s="1542">
        <v>1</v>
      </c>
      <c r="F3803" s="1413"/>
      <c r="G3803" s="1413"/>
      <c r="H3803" s="1414"/>
      <c r="I3803" s="1406">
        <f t="shared" si="987"/>
        <v>1</v>
      </c>
      <c r="Q3803" s="1394">
        <f>IFERROR(VLOOKUP(M3803,#REF!,3,0),0)</f>
        <v>0</v>
      </c>
      <c r="R3803" s="1394">
        <f t="shared" si="986"/>
        <v>0</v>
      </c>
      <c r="S3803" s="1394">
        <f>IFERROR(VLOOKUP(M3803,#REF!,6,0),0)</f>
        <v>0</v>
      </c>
      <c r="T3803" s="1394">
        <f t="shared" si="988"/>
        <v>0</v>
      </c>
      <c r="U3803" s="1394">
        <f>IFERROR(VLOOKUP(M3803,#REF!,5,0),0)</f>
        <v>0</v>
      </c>
      <c r="V3803" s="1394">
        <f t="shared" si="989"/>
        <v>0</v>
      </c>
      <c r="W3803" s="1394"/>
    </row>
    <row r="3804" spans="2:23" ht="30" customHeight="1">
      <c r="B3804" s="1407"/>
      <c r="C3804" s="1540" t="s">
        <v>5883</v>
      </c>
      <c r="D3804" s="103">
        <v>1</v>
      </c>
      <c r="E3804" s="1542">
        <v>1</v>
      </c>
      <c r="F3804" s="1413"/>
      <c r="G3804" s="1413"/>
      <c r="H3804" s="1414"/>
      <c r="I3804" s="1406">
        <f t="shared" si="987"/>
        <v>1</v>
      </c>
      <c r="Q3804" s="1394">
        <f>IFERROR(VLOOKUP(M3804,#REF!,3,0),0)</f>
        <v>0</v>
      </c>
      <c r="R3804" s="1394">
        <f t="shared" si="986"/>
        <v>0</v>
      </c>
      <c r="S3804" s="1394">
        <f>IFERROR(VLOOKUP(M3804,#REF!,6,0),0)</f>
        <v>0</v>
      </c>
      <c r="T3804" s="1394">
        <f t="shared" si="988"/>
        <v>0</v>
      </c>
      <c r="U3804" s="1394">
        <f>IFERROR(VLOOKUP(M3804,#REF!,5,0),0)</f>
        <v>0</v>
      </c>
      <c r="V3804" s="1394">
        <f t="shared" si="989"/>
        <v>0</v>
      </c>
      <c r="W3804" s="1394"/>
    </row>
    <row r="3805" spans="2:23" ht="30" customHeight="1">
      <c r="B3805" s="1407"/>
      <c r="C3805" s="1540" t="s">
        <v>5890</v>
      </c>
      <c r="D3805" s="103">
        <v>1</v>
      </c>
      <c r="E3805" s="1542">
        <v>1</v>
      </c>
      <c r="F3805" s="1413"/>
      <c r="G3805" s="1413"/>
      <c r="H3805" s="1414"/>
      <c r="I3805" s="1406">
        <f t="shared" si="987"/>
        <v>1</v>
      </c>
      <c r="Q3805" s="1394">
        <f>IFERROR(VLOOKUP(M3805,#REF!,3,0),0)</f>
        <v>0</v>
      </c>
      <c r="R3805" s="1394">
        <f t="shared" si="986"/>
        <v>0</v>
      </c>
      <c r="S3805" s="1394">
        <f>IFERROR(VLOOKUP(M3805,#REF!,6,0),0)</f>
        <v>0</v>
      </c>
      <c r="T3805" s="1394">
        <f t="shared" si="988"/>
        <v>0</v>
      </c>
      <c r="U3805" s="1394">
        <f>IFERROR(VLOOKUP(M3805,#REF!,5,0),0)</f>
        <v>0</v>
      </c>
      <c r="V3805" s="1394">
        <f t="shared" si="989"/>
        <v>0</v>
      </c>
      <c r="W3805" s="1394"/>
    </row>
    <row r="3806" spans="2:23" ht="30" customHeight="1">
      <c r="B3806" s="1407"/>
      <c r="C3806" s="1455" t="s">
        <v>3097</v>
      </c>
      <c r="D3806" s="103"/>
      <c r="E3806" s="1542" t="s">
        <v>575</v>
      </c>
      <c r="F3806" s="1413"/>
      <c r="G3806" s="1413"/>
      <c r="H3806" s="1414"/>
      <c r="I3806" s="1406">
        <f t="shared" si="987"/>
        <v>0</v>
      </c>
      <c r="Q3806" s="1394">
        <f>IFERROR(VLOOKUP(M3806,#REF!,3,0),0)</f>
        <v>0</v>
      </c>
      <c r="R3806" s="1394">
        <f t="shared" si="986"/>
        <v>0</v>
      </c>
      <c r="S3806" s="1394">
        <f>IFERROR(VLOOKUP(M3806,#REF!,6,0),0)</f>
        <v>0</v>
      </c>
      <c r="T3806" s="1394">
        <f t="shared" si="988"/>
        <v>0</v>
      </c>
      <c r="U3806" s="1394">
        <f>IFERROR(VLOOKUP(M3806,#REF!,5,0),0)</f>
        <v>0</v>
      </c>
      <c r="V3806" s="1394">
        <f t="shared" si="989"/>
        <v>0</v>
      </c>
      <c r="W3806" s="1394"/>
    </row>
    <row r="3807" spans="2:23" ht="30" customHeight="1">
      <c r="B3807" s="1407"/>
      <c r="C3807" s="1455" t="s">
        <v>5578</v>
      </c>
      <c r="D3807" s="103">
        <v>1</v>
      </c>
      <c r="E3807" s="1542">
        <v>2</v>
      </c>
      <c r="F3807" s="1413"/>
      <c r="G3807" s="1413"/>
      <c r="H3807" s="1414"/>
      <c r="I3807" s="1406">
        <f t="shared" si="987"/>
        <v>2</v>
      </c>
      <c r="Q3807" s="1394">
        <f>IFERROR(VLOOKUP(M3807,#REF!,3,0),0)</f>
        <v>0</v>
      </c>
      <c r="R3807" s="1394">
        <f t="shared" si="986"/>
        <v>0</v>
      </c>
      <c r="S3807" s="1394">
        <f>IFERROR(VLOOKUP(M3807,#REF!,6,0),0)</f>
        <v>0</v>
      </c>
      <c r="T3807" s="1394">
        <f t="shared" si="988"/>
        <v>0</v>
      </c>
      <c r="U3807" s="1394">
        <f>IFERROR(VLOOKUP(M3807,#REF!,5,0),0)</f>
        <v>0</v>
      </c>
      <c r="V3807" s="1394">
        <f t="shared" si="989"/>
        <v>0</v>
      </c>
      <c r="W3807" s="1394"/>
    </row>
    <row r="3808" spans="2:23" ht="30" customHeight="1">
      <c r="B3808" s="1407"/>
      <c r="C3808" s="1455"/>
      <c r="D3808" s="103"/>
      <c r="E3808" s="1542"/>
      <c r="F3808" s="1413"/>
      <c r="G3808" s="1413"/>
      <c r="H3808" s="1414"/>
      <c r="I3808" s="1406">
        <f t="shared" si="987"/>
        <v>0</v>
      </c>
      <c r="Q3808" s="1394">
        <f>IFERROR(VLOOKUP(M3808,#REF!,3,0),0)</f>
        <v>0</v>
      </c>
      <c r="R3808" s="1394">
        <f t="shared" si="986"/>
        <v>0</v>
      </c>
      <c r="S3808" s="1394">
        <f>IFERROR(VLOOKUP(M3808,#REF!,6,0),0)</f>
        <v>0</v>
      </c>
      <c r="T3808" s="1394">
        <f t="shared" si="988"/>
        <v>0</v>
      </c>
      <c r="U3808" s="1394">
        <f>IFERROR(VLOOKUP(M3808,#REF!,5,0),0)</f>
        <v>0</v>
      </c>
      <c r="V3808" s="1394">
        <f t="shared" si="989"/>
        <v>0</v>
      </c>
      <c r="W3808" s="1394"/>
    </row>
    <row r="3809" spans="1:26" ht="30" customHeight="1">
      <c r="B3809" s="1407"/>
      <c r="C3809" s="1455"/>
      <c r="D3809" s="103"/>
      <c r="E3809" s="103"/>
      <c r="F3809" s="1413"/>
      <c r="G3809" s="1413"/>
      <c r="H3809" s="1414"/>
      <c r="I3809" s="1479">
        <f>SUM(I3766:I3808)</f>
        <v>41</v>
      </c>
      <c r="Q3809" s="1394">
        <f>IFERROR(VLOOKUP(M3809,#REF!,3,0),0)</f>
        <v>0</v>
      </c>
      <c r="R3809" s="1394">
        <f t="shared" si="986"/>
        <v>0</v>
      </c>
      <c r="S3809" s="1394">
        <f>IFERROR(VLOOKUP(M3809,#REF!,6,0),0)</f>
        <v>0</v>
      </c>
      <c r="T3809" s="1394">
        <f t="shared" si="988"/>
        <v>0</v>
      </c>
      <c r="U3809" s="1394">
        <f>IFERROR(VLOOKUP(M3809,#REF!,5,0),0)</f>
        <v>0</v>
      </c>
      <c r="V3809" s="1394">
        <f t="shared" si="989"/>
        <v>0</v>
      </c>
      <c r="W3809" s="1394"/>
    </row>
    <row r="3810" spans="1:26" ht="30" customHeight="1">
      <c r="B3810" s="1407"/>
      <c r="C3810" s="1455"/>
      <c r="D3810" s="103"/>
      <c r="E3810" s="103"/>
      <c r="F3810" s="1413"/>
      <c r="G3810" s="1483" t="s">
        <v>11</v>
      </c>
      <c r="H3810" s="1478">
        <f>I3809</f>
        <v>41</v>
      </c>
      <c r="I3810" s="1479" t="s">
        <v>13</v>
      </c>
      <c r="M3810" s="1394" t="str">
        <f>A3764</f>
        <v>9 watts  LED bulb  qtn</v>
      </c>
      <c r="N3810" s="1394">
        <f>B3764</f>
        <v>70.099999999999994</v>
      </c>
      <c r="O3810" s="1394">
        <f>H3810</f>
        <v>41</v>
      </c>
      <c r="P3810" s="1394" t="str">
        <f>I3810</f>
        <v>Nos</v>
      </c>
      <c r="Q3810" s="1394">
        <f>IFERROR(VLOOKUP(M3810,#REF!,3,0),0)</f>
        <v>0</v>
      </c>
      <c r="R3810" s="1394">
        <f t="shared" si="986"/>
        <v>0</v>
      </c>
      <c r="S3810" s="1394">
        <f>IFERROR(VLOOKUP(M3810,#REF!,6,0),0)</f>
        <v>0</v>
      </c>
      <c r="T3810" s="1394">
        <f t="shared" si="988"/>
        <v>0</v>
      </c>
      <c r="U3810" s="1394">
        <f>IFERROR(VLOOKUP(M3810,#REF!,5,0),0)</f>
        <v>0</v>
      </c>
      <c r="V3810" s="1394">
        <f t="shared" si="989"/>
        <v>41</v>
      </c>
      <c r="W3810" s="1394"/>
      <c r="Z3810" s="1394"/>
    </row>
    <row r="3811" spans="1:26" ht="85.5" customHeight="1">
      <c r="A3811" s="110" t="s">
        <v>501</v>
      </c>
      <c r="B3811" s="1405">
        <v>70.5</v>
      </c>
      <c r="C3811" s="1678" t="e">
        <f>VLOOKUP(A3811,#REF!,2,0)</f>
        <v>#REF!</v>
      </c>
      <c r="D3811" s="1678"/>
      <c r="E3811" s="1678"/>
      <c r="F3811" s="1678"/>
      <c r="G3811" s="1678"/>
      <c r="H3811" s="1678"/>
      <c r="I3811" s="1406"/>
      <c r="Q3811" s="1394">
        <f>IFERROR(VLOOKUP(M3811,#REF!,3,0),0)</f>
        <v>0</v>
      </c>
      <c r="R3811" s="1394">
        <f t="shared" si="986"/>
        <v>0</v>
      </c>
      <c r="S3811" s="1394">
        <f>IFERROR(VLOOKUP(M3811,#REF!,6,0),0)</f>
        <v>0</v>
      </c>
      <c r="T3811" s="1394">
        <f t="shared" si="988"/>
        <v>0</v>
      </c>
      <c r="U3811" s="1394">
        <f>IFERROR(VLOOKUP(M3811,#REF!,5,0),0)</f>
        <v>0</v>
      </c>
      <c r="V3811" s="1394">
        <f t="shared" si="989"/>
        <v>0</v>
      </c>
      <c r="W3811" s="1394"/>
      <c r="X3811" s="1397"/>
    </row>
    <row r="3812" spans="1:26" ht="30" customHeight="1">
      <c r="B3812" s="1407"/>
      <c r="C3812" s="1538" t="s">
        <v>5874</v>
      </c>
      <c r="D3812" s="103"/>
      <c r="E3812" s="1545" t="s">
        <v>575</v>
      </c>
      <c r="F3812" s="1413"/>
      <c r="G3812" s="1413"/>
      <c r="H3812" s="1414"/>
      <c r="I3812" s="1406">
        <f t="shared" ref="I3812:I3864" si="990">PRODUCT(D3812:H3812)</f>
        <v>0</v>
      </c>
      <c r="M3812" s="110"/>
      <c r="Q3812" s="1394">
        <f>IFERROR(VLOOKUP(M3812,#REF!,3,0),0)</f>
        <v>0</v>
      </c>
      <c r="R3812" s="1394">
        <f t="shared" si="986"/>
        <v>0</v>
      </c>
      <c r="S3812" s="1394">
        <f>IFERROR(VLOOKUP(M3812,#REF!,6,0),0)</f>
        <v>0</v>
      </c>
      <c r="T3812" s="1394">
        <f t="shared" si="988"/>
        <v>0</v>
      </c>
      <c r="U3812" s="1394">
        <f>IFERROR(VLOOKUP(M3812,#REF!,5,0),0)</f>
        <v>0</v>
      </c>
      <c r="V3812" s="1394">
        <f t="shared" si="989"/>
        <v>0</v>
      </c>
      <c r="W3812" s="1394"/>
    </row>
    <row r="3813" spans="1:26" ht="30" customHeight="1">
      <c r="B3813" s="1407"/>
      <c r="C3813" s="1540" t="s">
        <v>5521</v>
      </c>
      <c r="D3813" s="103">
        <v>1</v>
      </c>
      <c r="E3813" s="103">
        <v>2</v>
      </c>
      <c r="F3813" s="1413"/>
      <c r="G3813" s="1413"/>
      <c r="H3813" s="1414"/>
      <c r="I3813" s="1406">
        <f t="shared" si="990"/>
        <v>2</v>
      </c>
      <c r="M3813" s="110"/>
      <c r="Q3813" s="1394">
        <f>IFERROR(VLOOKUP(M3813,#REF!,3,0),0)</f>
        <v>0</v>
      </c>
      <c r="R3813" s="1394">
        <f t="shared" si="986"/>
        <v>0</v>
      </c>
      <c r="S3813" s="1394">
        <f>IFERROR(VLOOKUP(M3813,#REF!,6,0),0)</f>
        <v>0</v>
      </c>
      <c r="T3813" s="1394">
        <f t="shared" si="988"/>
        <v>0</v>
      </c>
      <c r="U3813" s="1394">
        <f>IFERROR(VLOOKUP(M3813,#REF!,5,0),0)</f>
        <v>0</v>
      </c>
      <c r="V3813" s="1394">
        <f t="shared" si="989"/>
        <v>0</v>
      </c>
      <c r="W3813" s="1394"/>
    </row>
    <row r="3814" spans="1:26" ht="30" customHeight="1">
      <c r="B3814" s="1407"/>
      <c r="C3814" s="1540" t="s">
        <v>5521</v>
      </c>
      <c r="D3814" s="103">
        <v>1</v>
      </c>
      <c r="E3814" s="103">
        <v>2</v>
      </c>
      <c r="F3814" s="1413"/>
      <c r="G3814" s="1413"/>
      <c r="H3814" s="1414"/>
      <c r="I3814" s="1406">
        <f t="shared" si="990"/>
        <v>2</v>
      </c>
      <c r="M3814" s="110"/>
      <c r="Q3814" s="1394">
        <f>IFERROR(VLOOKUP(M3814,#REF!,3,0),0)</f>
        <v>0</v>
      </c>
      <c r="R3814" s="1394">
        <f t="shared" si="986"/>
        <v>0</v>
      </c>
      <c r="S3814" s="1394">
        <f>IFERROR(VLOOKUP(M3814,#REF!,6,0),0)</f>
        <v>0</v>
      </c>
      <c r="T3814" s="1394">
        <f t="shared" si="988"/>
        <v>0</v>
      </c>
      <c r="U3814" s="1394">
        <f>IFERROR(VLOOKUP(M3814,#REF!,5,0),0)</f>
        <v>0</v>
      </c>
      <c r="V3814" s="1394">
        <f t="shared" si="989"/>
        <v>0</v>
      </c>
      <c r="W3814" s="1394"/>
    </row>
    <row r="3815" spans="1:26" ht="30" customHeight="1">
      <c r="B3815" s="1407"/>
      <c r="C3815" s="1540" t="s">
        <v>5877</v>
      </c>
      <c r="D3815" s="103">
        <v>1</v>
      </c>
      <c r="E3815" s="103">
        <v>1</v>
      </c>
      <c r="F3815" s="1413"/>
      <c r="G3815" s="1413"/>
      <c r="H3815" s="1414"/>
      <c r="I3815" s="1406">
        <f t="shared" si="990"/>
        <v>1</v>
      </c>
      <c r="M3815" s="110"/>
      <c r="Q3815" s="1394">
        <f>IFERROR(VLOOKUP(M3815,#REF!,3,0),0)</f>
        <v>0</v>
      </c>
      <c r="R3815" s="1394">
        <f t="shared" si="986"/>
        <v>0</v>
      </c>
      <c r="S3815" s="1394">
        <f>IFERROR(VLOOKUP(M3815,#REF!,6,0),0)</f>
        <v>0</v>
      </c>
      <c r="T3815" s="1394">
        <f t="shared" si="988"/>
        <v>0</v>
      </c>
      <c r="U3815" s="1394">
        <f>IFERROR(VLOOKUP(M3815,#REF!,5,0),0)</f>
        <v>0</v>
      </c>
      <c r="V3815" s="1394">
        <f t="shared" si="989"/>
        <v>0</v>
      </c>
      <c r="W3815" s="1394"/>
    </row>
    <row r="3816" spans="1:26" ht="30" customHeight="1">
      <c r="B3816" s="1407"/>
      <c r="C3816" s="1540" t="s">
        <v>5879</v>
      </c>
      <c r="D3816" s="103">
        <v>1</v>
      </c>
      <c r="E3816" s="103">
        <v>1</v>
      </c>
      <c r="F3816" s="1413"/>
      <c r="G3816" s="1413"/>
      <c r="H3816" s="1414"/>
      <c r="I3816" s="1406">
        <f t="shared" si="990"/>
        <v>1</v>
      </c>
      <c r="M3816" s="110"/>
      <c r="Q3816" s="1394">
        <f>IFERROR(VLOOKUP(M3816,#REF!,3,0),0)</f>
        <v>0</v>
      </c>
      <c r="R3816" s="1394">
        <f t="shared" si="986"/>
        <v>0</v>
      </c>
      <c r="S3816" s="1394">
        <f>IFERROR(VLOOKUP(M3816,#REF!,6,0),0)</f>
        <v>0</v>
      </c>
      <c r="T3816" s="1394">
        <f t="shared" si="988"/>
        <v>0</v>
      </c>
      <c r="U3816" s="1394">
        <f>IFERROR(VLOOKUP(M3816,#REF!,5,0),0)</f>
        <v>0</v>
      </c>
      <c r="V3816" s="1394">
        <f t="shared" si="989"/>
        <v>0</v>
      </c>
      <c r="W3816" s="1394"/>
    </row>
    <row r="3817" spans="1:26" ht="30" customHeight="1">
      <c r="B3817" s="1407"/>
      <c r="C3817" s="1540" t="s">
        <v>5878</v>
      </c>
      <c r="D3817" s="103">
        <v>1</v>
      </c>
      <c r="E3817" s="103">
        <v>1</v>
      </c>
      <c r="F3817" s="1413"/>
      <c r="G3817" s="1413"/>
      <c r="H3817" s="1414"/>
      <c r="I3817" s="1406">
        <f t="shared" si="990"/>
        <v>1</v>
      </c>
      <c r="M3817" s="110"/>
      <c r="Q3817" s="1394">
        <f>IFERROR(VLOOKUP(M3817,#REF!,3,0),0)</f>
        <v>0</v>
      </c>
      <c r="R3817" s="1394">
        <f t="shared" si="986"/>
        <v>0</v>
      </c>
      <c r="S3817" s="1394">
        <f>IFERROR(VLOOKUP(M3817,#REF!,6,0),0)</f>
        <v>0</v>
      </c>
      <c r="T3817" s="1394">
        <f t="shared" si="988"/>
        <v>0</v>
      </c>
      <c r="U3817" s="1394">
        <f>IFERROR(VLOOKUP(M3817,#REF!,5,0),0)</f>
        <v>0</v>
      </c>
      <c r="V3817" s="1394">
        <f t="shared" si="989"/>
        <v>0</v>
      </c>
      <c r="W3817" s="1394"/>
    </row>
    <row r="3818" spans="1:26" ht="30" customHeight="1">
      <c r="B3818" s="1407"/>
      <c r="C3818" s="1540" t="s">
        <v>5880</v>
      </c>
      <c r="D3818" s="103">
        <v>1</v>
      </c>
      <c r="E3818" s="103">
        <v>5</v>
      </c>
      <c r="F3818" s="1413"/>
      <c r="G3818" s="1413"/>
      <c r="H3818" s="1414"/>
      <c r="I3818" s="1406">
        <f t="shared" si="990"/>
        <v>5</v>
      </c>
      <c r="M3818" s="110"/>
      <c r="Q3818" s="1394">
        <f>IFERROR(VLOOKUP(M3818,#REF!,3,0),0)</f>
        <v>0</v>
      </c>
      <c r="R3818" s="1394">
        <f t="shared" si="986"/>
        <v>0</v>
      </c>
      <c r="S3818" s="1394">
        <f>IFERROR(VLOOKUP(M3818,#REF!,6,0),0)</f>
        <v>0</v>
      </c>
      <c r="T3818" s="1394">
        <f t="shared" si="988"/>
        <v>0</v>
      </c>
      <c r="U3818" s="1394">
        <f>IFERROR(VLOOKUP(M3818,#REF!,5,0),0)</f>
        <v>0</v>
      </c>
      <c r="V3818" s="1394">
        <f t="shared" si="989"/>
        <v>0</v>
      </c>
      <c r="W3818" s="1394"/>
    </row>
    <row r="3819" spans="1:26" ht="30" customHeight="1">
      <c r="B3819" s="1407"/>
      <c r="C3819" s="1540" t="s">
        <v>5881</v>
      </c>
      <c r="D3819" s="103">
        <v>1</v>
      </c>
      <c r="E3819" s="103">
        <v>7</v>
      </c>
      <c r="F3819" s="1413"/>
      <c r="G3819" s="1413"/>
      <c r="H3819" s="1414"/>
      <c r="I3819" s="1406">
        <f t="shared" si="990"/>
        <v>7</v>
      </c>
      <c r="M3819" s="110"/>
      <c r="Q3819" s="1394">
        <f>IFERROR(VLOOKUP(M3819,#REF!,3,0),0)</f>
        <v>0</v>
      </c>
      <c r="R3819" s="1394">
        <f t="shared" si="986"/>
        <v>0</v>
      </c>
      <c r="S3819" s="1394">
        <f>IFERROR(VLOOKUP(M3819,#REF!,6,0),0)</f>
        <v>0</v>
      </c>
      <c r="T3819" s="1394">
        <f t="shared" si="988"/>
        <v>0</v>
      </c>
      <c r="U3819" s="1394">
        <f>IFERROR(VLOOKUP(M3819,#REF!,5,0),0)</f>
        <v>0</v>
      </c>
      <c r="V3819" s="1394">
        <f t="shared" si="989"/>
        <v>0</v>
      </c>
      <c r="W3819" s="1394"/>
    </row>
    <row r="3820" spans="1:26" ht="30" customHeight="1">
      <c r="B3820" s="1407"/>
      <c r="C3820" s="1540" t="s">
        <v>5882</v>
      </c>
      <c r="D3820" s="103">
        <v>1</v>
      </c>
      <c r="E3820" s="103">
        <v>3</v>
      </c>
      <c r="F3820" s="1413"/>
      <c r="G3820" s="1413"/>
      <c r="H3820" s="1414"/>
      <c r="I3820" s="1406">
        <f t="shared" si="990"/>
        <v>3</v>
      </c>
      <c r="M3820" s="110"/>
      <c r="Q3820" s="1394">
        <f>IFERROR(VLOOKUP(M3820,#REF!,3,0),0)</f>
        <v>0</v>
      </c>
      <c r="R3820" s="1394">
        <f t="shared" si="986"/>
        <v>0</v>
      </c>
      <c r="S3820" s="1394">
        <f>IFERROR(VLOOKUP(M3820,#REF!,6,0),0)</f>
        <v>0</v>
      </c>
      <c r="T3820" s="1394">
        <f t="shared" si="988"/>
        <v>0</v>
      </c>
      <c r="U3820" s="1394">
        <f>IFERROR(VLOOKUP(M3820,#REF!,5,0),0)</f>
        <v>0</v>
      </c>
      <c r="V3820" s="1394">
        <f t="shared" si="989"/>
        <v>0</v>
      </c>
      <c r="W3820" s="1394"/>
    </row>
    <row r="3821" spans="1:26" ht="30" customHeight="1">
      <c r="B3821" s="1407"/>
      <c r="C3821" s="1540" t="s">
        <v>5546</v>
      </c>
      <c r="D3821" s="103">
        <v>1</v>
      </c>
      <c r="E3821" s="103">
        <v>1</v>
      </c>
      <c r="F3821" s="1413"/>
      <c r="G3821" s="1413"/>
      <c r="H3821" s="1414"/>
      <c r="I3821" s="1406">
        <f t="shared" si="990"/>
        <v>1</v>
      </c>
      <c r="M3821" s="110"/>
      <c r="Q3821" s="1394">
        <f>IFERROR(VLOOKUP(M3821,#REF!,3,0),0)</f>
        <v>0</v>
      </c>
      <c r="R3821" s="1394">
        <f t="shared" si="986"/>
        <v>0</v>
      </c>
      <c r="S3821" s="1394">
        <f>IFERROR(VLOOKUP(M3821,#REF!,6,0),0)</f>
        <v>0</v>
      </c>
      <c r="T3821" s="1394">
        <f t="shared" si="988"/>
        <v>0</v>
      </c>
      <c r="U3821" s="1394">
        <f>IFERROR(VLOOKUP(M3821,#REF!,5,0),0)</f>
        <v>0</v>
      </c>
      <c r="V3821" s="1394">
        <f t="shared" si="989"/>
        <v>0</v>
      </c>
      <c r="W3821" s="1394"/>
    </row>
    <row r="3822" spans="1:26" ht="30" customHeight="1">
      <c r="B3822" s="1407"/>
      <c r="C3822" s="1538" t="s">
        <v>5503</v>
      </c>
      <c r="D3822" s="103"/>
      <c r="E3822" s="103" t="s">
        <v>575</v>
      </c>
      <c r="F3822" s="1413"/>
      <c r="G3822" s="1413"/>
      <c r="H3822" s="1414"/>
      <c r="I3822" s="1406">
        <f t="shared" si="990"/>
        <v>0</v>
      </c>
      <c r="M3822" s="110"/>
      <c r="Q3822" s="1394">
        <f>IFERROR(VLOOKUP(M3822,#REF!,3,0),0)</f>
        <v>0</v>
      </c>
      <c r="R3822" s="1394">
        <f t="shared" ref="R3822:R3885" si="991">ROUND(O3822,2)*ROUND(Q3822,2)</f>
        <v>0</v>
      </c>
      <c r="S3822" s="1394">
        <f>IFERROR(VLOOKUP(M3822,#REF!,6,0),0)</f>
        <v>0</v>
      </c>
      <c r="T3822" s="1394">
        <f t="shared" si="988"/>
        <v>0</v>
      </c>
      <c r="U3822" s="1394">
        <f>IFERROR(VLOOKUP(M3822,#REF!,5,0),0)</f>
        <v>0</v>
      </c>
      <c r="V3822" s="1394">
        <f t="shared" si="989"/>
        <v>0</v>
      </c>
      <c r="W3822" s="1394"/>
    </row>
    <row r="3823" spans="1:26" ht="30" customHeight="1">
      <c r="B3823" s="1407"/>
      <c r="C3823" s="1540" t="s">
        <v>5547</v>
      </c>
      <c r="D3823" s="103">
        <v>1</v>
      </c>
      <c r="E3823" s="103">
        <v>5</v>
      </c>
      <c r="F3823" s="1413"/>
      <c r="G3823" s="1413"/>
      <c r="H3823" s="1414"/>
      <c r="I3823" s="1406">
        <f t="shared" si="990"/>
        <v>5</v>
      </c>
      <c r="M3823" s="110"/>
      <c r="Q3823" s="1394">
        <f>IFERROR(VLOOKUP(M3823,#REF!,3,0),0)</f>
        <v>0</v>
      </c>
      <c r="R3823" s="1394">
        <f t="shared" si="991"/>
        <v>0</v>
      </c>
      <c r="S3823" s="1394">
        <f>IFERROR(VLOOKUP(M3823,#REF!,6,0),0)</f>
        <v>0</v>
      </c>
      <c r="T3823" s="1394">
        <f t="shared" si="988"/>
        <v>0</v>
      </c>
      <c r="U3823" s="1394">
        <f>IFERROR(VLOOKUP(M3823,#REF!,5,0),0)</f>
        <v>0</v>
      </c>
      <c r="V3823" s="1394">
        <f t="shared" si="989"/>
        <v>0</v>
      </c>
      <c r="W3823" s="1394"/>
    </row>
    <row r="3824" spans="1:26" ht="30" customHeight="1">
      <c r="B3824" s="1407"/>
      <c r="C3824" s="1540" t="s">
        <v>5521</v>
      </c>
      <c r="D3824" s="103">
        <v>1</v>
      </c>
      <c r="E3824" s="103">
        <v>1</v>
      </c>
      <c r="F3824" s="1413"/>
      <c r="G3824" s="1413"/>
      <c r="H3824" s="1414"/>
      <c r="I3824" s="1406">
        <f t="shared" si="990"/>
        <v>1</v>
      </c>
      <c r="M3824" s="110"/>
      <c r="Q3824" s="1394">
        <f>IFERROR(VLOOKUP(M3824,#REF!,3,0),0)</f>
        <v>0</v>
      </c>
      <c r="R3824" s="1394">
        <f t="shared" si="991"/>
        <v>0</v>
      </c>
      <c r="S3824" s="1394">
        <f>IFERROR(VLOOKUP(M3824,#REF!,6,0),0)</f>
        <v>0</v>
      </c>
      <c r="T3824" s="1394">
        <f t="shared" si="988"/>
        <v>0</v>
      </c>
      <c r="U3824" s="1394">
        <f>IFERROR(VLOOKUP(M3824,#REF!,5,0),0)</f>
        <v>0</v>
      </c>
      <c r="V3824" s="1394">
        <f t="shared" si="989"/>
        <v>0</v>
      </c>
      <c r="W3824" s="1394"/>
    </row>
    <row r="3825" spans="2:23" ht="30" customHeight="1">
      <c r="B3825" s="1407"/>
      <c r="C3825" s="1540" t="s">
        <v>5521</v>
      </c>
      <c r="D3825" s="103">
        <v>1</v>
      </c>
      <c r="E3825" s="103">
        <v>1</v>
      </c>
      <c r="F3825" s="1413"/>
      <c r="G3825" s="1413"/>
      <c r="H3825" s="1414"/>
      <c r="I3825" s="1406">
        <f t="shared" si="990"/>
        <v>1</v>
      </c>
      <c r="M3825" s="110"/>
      <c r="Q3825" s="1394">
        <f>IFERROR(VLOOKUP(M3825,#REF!,3,0),0)</f>
        <v>0</v>
      </c>
      <c r="R3825" s="1394">
        <f t="shared" si="991"/>
        <v>0</v>
      </c>
      <c r="S3825" s="1394">
        <f>IFERROR(VLOOKUP(M3825,#REF!,6,0),0)</f>
        <v>0</v>
      </c>
      <c r="T3825" s="1394">
        <f t="shared" si="988"/>
        <v>0</v>
      </c>
      <c r="U3825" s="1394">
        <f>IFERROR(VLOOKUP(M3825,#REF!,5,0),0)</f>
        <v>0</v>
      </c>
      <c r="V3825" s="1394">
        <f t="shared" si="989"/>
        <v>0</v>
      </c>
      <c r="W3825" s="1394"/>
    </row>
    <row r="3826" spans="2:23" ht="30" customHeight="1">
      <c r="B3826" s="1407"/>
      <c r="C3826" s="1540" t="s">
        <v>5546</v>
      </c>
      <c r="D3826" s="103">
        <v>1</v>
      </c>
      <c r="E3826" s="103">
        <v>1</v>
      </c>
      <c r="F3826" s="1413"/>
      <c r="G3826" s="1413"/>
      <c r="H3826" s="1414"/>
      <c r="I3826" s="1406">
        <f t="shared" si="990"/>
        <v>1</v>
      </c>
      <c r="M3826" s="110"/>
      <c r="Q3826" s="1394">
        <f>IFERROR(VLOOKUP(M3826,#REF!,3,0),0)</f>
        <v>0</v>
      </c>
      <c r="R3826" s="1394">
        <f t="shared" si="991"/>
        <v>0</v>
      </c>
      <c r="S3826" s="1394">
        <f>IFERROR(VLOOKUP(M3826,#REF!,6,0),0)</f>
        <v>0</v>
      </c>
      <c r="T3826" s="1394">
        <f t="shared" si="988"/>
        <v>0</v>
      </c>
      <c r="U3826" s="1394">
        <f>IFERROR(VLOOKUP(M3826,#REF!,5,0),0)</f>
        <v>0</v>
      </c>
      <c r="V3826" s="1394">
        <f t="shared" si="989"/>
        <v>0</v>
      </c>
      <c r="W3826" s="1394"/>
    </row>
    <row r="3827" spans="2:23" ht="30" customHeight="1">
      <c r="B3827" s="1407"/>
      <c r="C3827" s="1540" t="s">
        <v>5549</v>
      </c>
      <c r="D3827" s="103">
        <v>1</v>
      </c>
      <c r="E3827" s="103">
        <v>2</v>
      </c>
      <c r="F3827" s="1413"/>
      <c r="G3827" s="1413"/>
      <c r="H3827" s="1414"/>
      <c r="I3827" s="1406">
        <f t="shared" si="990"/>
        <v>2</v>
      </c>
      <c r="M3827" s="110"/>
      <c r="Q3827" s="1394">
        <f>IFERROR(VLOOKUP(M3827,#REF!,3,0),0)</f>
        <v>0</v>
      </c>
      <c r="R3827" s="1394">
        <f t="shared" si="991"/>
        <v>0</v>
      </c>
      <c r="S3827" s="1394">
        <f>IFERROR(VLOOKUP(M3827,#REF!,6,0),0)</f>
        <v>0</v>
      </c>
      <c r="T3827" s="1394">
        <f t="shared" si="988"/>
        <v>0</v>
      </c>
      <c r="U3827" s="1394">
        <f>IFERROR(VLOOKUP(M3827,#REF!,5,0),0)</f>
        <v>0</v>
      </c>
      <c r="V3827" s="1394">
        <f t="shared" si="989"/>
        <v>0</v>
      </c>
      <c r="W3827" s="1394"/>
    </row>
    <row r="3828" spans="2:23" ht="30" customHeight="1">
      <c r="B3828" s="1407"/>
      <c r="C3828" s="1540" t="s">
        <v>5550</v>
      </c>
      <c r="D3828" s="103">
        <v>1</v>
      </c>
      <c r="E3828" s="103">
        <v>2</v>
      </c>
      <c r="F3828" s="1413"/>
      <c r="G3828" s="1413"/>
      <c r="H3828" s="1414"/>
      <c r="I3828" s="1406">
        <f t="shared" si="990"/>
        <v>2</v>
      </c>
      <c r="M3828" s="110"/>
      <c r="Q3828" s="1394">
        <f>IFERROR(VLOOKUP(M3828,#REF!,3,0),0)</f>
        <v>0</v>
      </c>
      <c r="R3828" s="1394">
        <f t="shared" si="991"/>
        <v>0</v>
      </c>
      <c r="S3828" s="1394">
        <f>IFERROR(VLOOKUP(M3828,#REF!,6,0),0)</f>
        <v>0</v>
      </c>
      <c r="T3828" s="1394">
        <f t="shared" si="988"/>
        <v>0</v>
      </c>
      <c r="U3828" s="1394">
        <f>IFERROR(VLOOKUP(M3828,#REF!,5,0),0)</f>
        <v>0</v>
      </c>
      <c r="V3828" s="1394">
        <f t="shared" si="989"/>
        <v>0</v>
      </c>
      <c r="W3828" s="1394"/>
    </row>
    <row r="3829" spans="2:23" ht="30" customHeight="1">
      <c r="B3829" s="1407"/>
      <c r="C3829" s="1540" t="s">
        <v>5552</v>
      </c>
      <c r="D3829" s="103">
        <v>1</v>
      </c>
      <c r="E3829" s="103">
        <v>2</v>
      </c>
      <c r="F3829" s="1413"/>
      <c r="G3829" s="1413"/>
      <c r="H3829" s="1414"/>
      <c r="I3829" s="1406">
        <f t="shared" si="990"/>
        <v>2</v>
      </c>
      <c r="M3829" s="110"/>
      <c r="Q3829" s="1394">
        <f>IFERROR(VLOOKUP(M3829,#REF!,3,0),0)</f>
        <v>0</v>
      </c>
      <c r="R3829" s="1394">
        <f t="shared" si="991"/>
        <v>0</v>
      </c>
      <c r="S3829" s="1394">
        <f>IFERROR(VLOOKUP(M3829,#REF!,6,0),0)</f>
        <v>0</v>
      </c>
      <c r="T3829" s="1394">
        <f t="shared" si="988"/>
        <v>0</v>
      </c>
      <c r="U3829" s="1394">
        <f>IFERROR(VLOOKUP(M3829,#REF!,5,0),0)</f>
        <v>0</v>
      </c>
      <c r="V3829" s="1394">
        <f t="shared" si="989"/>
        <v>0</v>
      </c>
      <c r="W3829" s="1394"/>
    </row>
    <row r="3830" spans="2:23" ht="30" customHeight="1">
      <c r="B3830" s="1407"/>
      <c r="C3830" s="1540" t="s">
        <v>5885</v>
      </c>
      <c r="D3830" s="103">
        <v>1</v>
      </c>
      <c r="E3830" s="103">
        <v>1</v>
      </c>
      <c r="F3830" s="1413"/>
      <c r="G3830" s="1413"/>
      <c r="H3830" s="1414"/>
      <c r="I3830" s="1406">
        <f t="shared" si="990"/>
        <v>1</v>
      </c>
      <c r="M3830" s="110"/>
      <c r="Q3830" s="1394">
        <f>IFERROR(VLOOKUP(M3830,#REF!,3,0),0)</f>
        <v>0</v>
      </c>
      <c r="R3830" s="1394">
        <f t="shared" si="991"/>
        <v>0</v>
      </c>
      <c r="S3830" s="1394">
        <f>IFERROR(VLOOKUP(M3830,#REF!,6,0),0)</f>
        <v>0</v>
      </c>
      <c r="T3830" s="1394">
        <f t="shared" si="988"/>
        <v>0</v>
      </c>
      <c r="U3830" s="1394">
        <f>IFERROR(VLOOKUP(M3830,#REF!,5,0),0)</f>
        <v>0</v>
      </c>
      <c r="V3830" s="1394">
        <f t="shared" si="989"/>
        <v>0</v>
      </c>
      <c r="W3830" s="1394"/>
    </row>
    <row r="3831" spans="2:23" ht="30" customHeight="1">
      <c r="B3831" s="1407"/>
      <c r="C3831" s="1540" t="s">
        <v>5884</v>
      </c>
      <c r="D3831" s="103">
        <v>1</v>
      </c>
      <c r="E3831" s="103">
        <v>1</v>
      </c>
      <c r="F3831" s="1413"/>
      <c r="G3831" s="1413"/>
      <c r="H3831" s="1414"/>
      <c r="I3831" s="1406">
        <f t="shared" si="990"/>
        <v>1</v>
      </c>
      <c r="M3831" s="110"/>
      <c r="Q3831" s="1394">
        <f>IFERROR(VLOOKUP(M3831,#REF!,3,0),0)</f>
        <v>0</v>
      </c>
      <c r="R3831" s="1394">
        <f t="shared" si="991"/>
        <v>0</v>
      </c>
      <c r="S3831" s="1394">
        <f>IFERROR(VLOOKUP(M3831,#REF!,6,0),0)</f>
        <v>0</v>
      </c>
      <c r="T3831" s="1394">
        <f t="shared" si="988"/>
        <v>0</v>
      </c>
      <c r="U3831" s="1394">
        <f>IFERROR(VLOOKUP(M3831,#REF!,5,0),0)</f>
        <v>0</v>
      </c>
      <c r="V3831" s="1394">
        <f t="shared" si="989"/>
        <v>0</v>
      </c>
      <c r="W3831" s="1394"/>
    </row>
    <row r="3832" spans="2:23" ht="30" customHeight="1">
      <c r="B3832" s="1407"/>
      <c r="C3832" s="1540" t="s">
        <v>5557</v>
      </c>
      <c r="D3832" s="103">
        <v>1</v>
      </c>
      <c r="E3832" s="103">
        <v>2</v>
      </c>
      <c r="F3832" s="1413"/>
      <c r="G3832" s="1413"/>
      <c r="H3832" s="1414"/>
      <c r="I3832" s="1406">
        <f t="shared" si="990"/>
        <v>2</v>
      </c>
      <c r="M3832" s="110"/>
      <c r="Q3832" s="1394">
        <f>IFERROR(VLOOKUP(M3832,#REF!,3,0),0)</f>
        <v>0</v>
      </c>
      <c r="R3832" s="1394">
        <f t="shared" si="991"/>
        <v>0</v>
      </c>
      <c r="S3832" s="1394">
        <f>IFERROR(VLOOKUP(M3832,#REF!,6,0),0)</f>
        <v>0</v>
      </c>
      <c r="T3832" s="1394">
        <f t="shared" si="988"/>
        <v>0</v>
      </c>
      <c r="U3832" s="1394">
        <f>IFERROR(VLOOKUP(M3832,#REF!,5,0),0)</f>
        <v>0</v>
      </c>
      <c r="V3832" s="1394">
        <f t="shared" si="989"/>
        <v>0</v>
      </c>
      <c r="W3832" s="1394"/>
    </row>
    <row r="3833" spans="2:23" ht="30" customHeight="1">
      <c r="B3833" s="1407"/>
      <c r="C3833" s="1540" t="s">
        <v>5558</v>
      </c>
      <c r="D3833" s="103">
        <v>1</v>
      </c>
      <c r="E3833" s="103">
        <v>1</v>
      </c>
      <c r="F3833" s="1413"/>
      <c r="G3833" s="1413"/>
      <c r="H3833" s="1414"/>
      <c r="I3833" s="1406">
        <f t="shared" si="990"/>
        <v>1</v>
      </c>
      <c r="M3833" s="110"/>
      <c r="Q3833" s="1394">
        <f>IFERROR(VLOOKUP(M3833,#REF!,3,0),0)</f>
        <v>0</v>
      </c>
      <c r="R3833" s="1394">
        <f t="shared" si="991"/>
        <v>0</v>
      </c>
      <c r="S3833" s="1394">
        <f>IFERROR(VLOOKUP(M3833,#REF!,6,0),0)</f>
        <v>0</v>
      </c>
      <c r="T3833" s="1394">
        <f t="shared" si="988"/>
        <v>0</v>
      </c>
      <c r="U3833" s="1394">
        <f>IFERROR(VLOOKUP(M3833,#REF!,5,0),0)</f>
        <v>0</v>
      </c>
      <c r="V3833" s="1394">
        <f t="shared" si="989"/>
        <v>0</v>
      </c>
      <c r="W3833" s="1394"/>
    </row>
    <row r="3834" spans="2:23" ht="30" customHeight="1">
      <c r="B3834" s="1407"/>
      <c r="C3834" s="1540" t="s">
        <v>5559</v>
      </c>
      <c r="D3834" s="103">
        <v>1</v>
      </c>
      <c r="E3834" s="103">
        <v>1</v>
      </c>
      <c r="F3834" s="1413"/>
      <c r="G3834" s="1413"/>
      <c r="H3834" s="1414"/>
      <c r="I3834" s="1406">
        <f t="shared" si="990"/>
        <v>1</v>
      </c>
      <c r="M3834" s="110"/>
      <c r="Q3834" s="1394">
        <f>IFERROR(VLOOKUP(M3834,#REF!,3,0),0)</f>
        <v>0</v>
      </c>
      <c r="R3834" s="1394">
        <f t="shared" si="991"/>
        <v>0</v>
      </c>
      <c r="S3834" s="1394">
        <f>IFERROR(VLOOKUP(M3834,#REF!,6,0),0)</f>
        <v>0</v>
      </c>
      <c r="T3834" s="1394">
        <f t="shared" si="988"/>
        <v>0</v>
      </c>
      <c r="U3834" s="1394">
        <f>IFERROR(VLOOKUP(M3834,#REF!,5,0),0)</f>
        <v>0</v>
      </c>
      <c r="V3834" s="1394">
        <f t="shared" si="989"/>
        <v>0</v>
      </c>
      <c r="W3834" s="1394"/>
    </row>
    <row r="3835" spans="2:23" ht="30" customHeight="1">
      <c r="B3835" s="1407"/>
      <c r="C3835" s="1540" t="s">
        <v>5560</v>
      </c>
      <c r="D3835" s="103">
        <v>1</v>
      </c>
      <c r="E3835" s="103">
        <v>1</v>
      </c>
      <c r="F3835" s="1413"/>
      <c r="G3835" s="1413"/>
      <c r="H3835" s="1414"/>
      <c r="I3835" s="1406">
        <f t="shared" si="990"/>
        <v>1</v>
      </c>
      <c r="M3835" s="110"/>
      <c r="Q3835" s="1394">
        <f>IFERROR(VLOOKUP(M3835,#REF!,3,0),0)</f>
        <v>0</v>
      </c>
      <c r="R3835" s="1394">
        <f t="shared" si="991"/>
        <v>0</v>
      </c>
      <c r="S3835" s="1394">
        <f>IFERROR(VLOOKUP(M3835,#REF!,6,0),0)</f>
        <v>0</v>
      </c>
      <c r="T3835" s="1394">
        <f t="shared" si="988"/>
        <v>0</v>
      </c>
      <c r="U3835" s="1394">
        <f>IFERROR(VLOOKUP(M3835,#REF!,5,0),0)</f>
        <v>0</v>
      </c>
      <c r="V3835" s="1394">
        <f t="shared" si="989"/>
        <v>0</v>
      </c>
      <c r="W3835" s="1394"/>
    </row>
    <row r="3836" spans="2:23" ht="30" customHeight="1">
      <c r="B3836" s="1407"/>
      <c r="C3836" s="1540" t="s">
        <v>5561</v>
      </c>
      <c r="D3836" s="103">
        <v>1</v>
      </c>
      <c r="E3836" s="103">
        <v>1</v>
      </c>
      <c r="F3836" s="1413"/>
      <c r="G3836" s="1413"/>
      <c r="H3836" s="1414"/>
      <c r="I3836" s="1406">
        <f t="shared" si="990"/>
        <v>1</v>
      </c>
      <c r="M3836" s="110"/>
      <c r="Q3836" s="1394">
        <f>IFERROR(VLOOKUP(M3836,#REF!,3,0),0)</f>
        <v>0</v>
      </c>
      <c r="R3836" s="1394">
        <f t="shared" si="991"/>
        <v>0</v>
      </c>
      <c r="S3836" s="1394">
        <f>IFERROR(VLOOKUP(M3836,#REF!,6,0),0)</f>
        <v>0</v>
      </c>
      <c r="T3836" s="1394">
        <f t="shared" si="988"/>
        <v>0</v>
      </c>
      <c r="U3836" s="1394">
        <f>IFERROR(VLOOKUP(M3836,#REF!,5,0),0)</f>
        <v>0</v>
      </c>
      <c r="V3836" s="1394">
        <f t="shared" si="989"/>
        <v>0</v>
      </c>
      <c r="W3836" s="1394"/>
    </row>
    <row r="3837" spans="2:23" ht="30" customHeight="1">
      <c r="B3837" s="1407"/>
      <c r="C3837" s="1540" t="s">
        <v>560</v>
      </c>
      <c r="D3837" s="103">
        <v>1</v>
      </c>
      <c r="E3837" s="103">
        <v>1</v>
      </c>
      <c r="F3837" s="1413"/>
      <c r="G3837" s="1413"/>
      <c r="H3837" s="1414"/>
      <c r="I3837" s="1406">
        <f t="shared" si="990"/>
        <v>1</v>
      </c>
      <c r="M3837" s="110"/>
      <c r="Q3837" s="1394">
        <f>IFERROR(VLOOKUP(M3837,#REF!,3,0),0)</f>
        <v>0</v>
      </c>
      <c r="R3837" s="1394">
        <f t="shared" si="991"/>
        <v>0</v>
      </c>
      <c r="S3837" s="1394">
        <f>IFERROR(VLOOKUP(M3837,#REF!,6,0),0)</f>
        <v>0</v>
      </c>
      <c r="T3837" s="1394">
        <f t="shared" si="988"/>
        <v>0</v>
      </c>
      <c r="U3837" s="1394">
        <f>IFERROR(VLOOKUP(M3837,#REF!,5,0),0)</f>
        <v>0</v>
      </c>
      <c r="V3837" s="1394">
        <f t="shared" si="989"/>
        <v>0</v>
      </c>
      <c r="W3837" s="1394"/>
    </row>
    <row r="3838" spans="2:23" ht="30" customHeight="1">
      <c r="B3838" s="1407"/>
      <c r="C3838" s="1538" t="s">
        <v>5504</v>
      </c>
      <c r="D3838" s="103"/>
      <c r="E3838" s="103" t="s">
        <v>575</v>
      </c>
      <c r="F3838" s="1413"/>
      <c r="G3838" s="1413"/>
      <c r="H3838" s="1414"/>
      <c r="I3838" s="1406">
        <f t="shared" si="990"/>
        <v>0</v>
      </c>
      <c r="M3838" s="110"/>
      <c r="Q3838" s="1394">
        <f>IFERROR(VLOOKUP(M3838,#REF!,3,0),0)</f>
        <v>0</v>
      </c>
      <c r="R3838" s="1394">
        <f t="shared" si="991"/>
        <v>0</v>
      </c>
      <c r="S3838" s="1394">
        <f>IFERROR(VLOOKUP(M3838,#REF!,6,0),0)</f>
        <v>0</v>
      </c>
      <c r="T3838" s="1394">
        <f t="shared" si="988"/>
        <v>0</v>
      </c>
      <c r="U3838" s="1394">
        <f>IFERROR(VLOOKUP(M3838,#REF!,5,0),0)</f>
        <v>0</v>
      </c>
      <c r="V3838" s="1394">
        <f t="shared" si="989"/>
        <v>0</v>
      </c>
      <c r="W3838" s="1394"/>
    </row>
    <row r="3839" spans="2:23" ht="30" customHeight="1">
      <c r="B3839" s="1407"/>
      <c r="C3839" s="1540" t="s">
        <v>5547</v>
      </c>
      <c r="D3839" s="103">
        <v>1</v>
      </c>
      <c r="E3839" s="103">
        <v>5</v>
      </c>
      <c r="F3839" s="1413"/>
      <c r="G3839" s="1413"/>
      <c r="H3839" s="1414"/>
      <c r="I3839" s="1406">
        <f t="shared" si="990"/>
        <v>5</v>
      </c>
      <c r="M3839" s="110"/>
      <c r="Q3839" s="1394">
        <f>IFERROR(VLOOKUP(M3839,#REF!,3,0),0)</f>
        <v>0</v>
      </c>
      <c r="R3839" s="1394">
        <f t="shared" si="991"/>
        <v>0</v>
      </c>
      <c r="S3839" s="1394">
        <f>IFERROR(VLOOKUP(M3839,#REF!,6,0),0)</f>
        <v>0</v>
      </c>
      <c r="T3839" s="1394">
        <f t="shared" si="988"/>
        <v>0</v>
      </c>
      <c r="U3839" s="1394">
        <f>IFERROR(VLOOKUP(M3839,#REF!,5,0),0)</f>
        <v>0</v>
      </c>
      <c r="V3839" s="1394">
        <f t="shared" si="989"/>
        <v>0</v>
      </c>
      <c r="W3839" s="1394"/>
    </row>
    <row r="3840" spans="2:23" ht="30" customHeight="1">
      <c r="B3840" s="1407"/>
      <c r="C3840" s="1540" t="s">
        <v>5521</v>
      </c>
      <c r="D3840" s="103">
        <v>1</v>
      </c>
      <c r="E3840" s="103">
        <v>1</v>
      </c>
      <c r="F3840" s="1413"/>
      <c r="G3840" s="1413"/>
      <c r="H3840" s="1414"/>
      <c r="I3840" s="1406">
        <f t="shared" si="990"/>
        <v>1</v>
      </c>
      <c r="M3840" s="110"/>
      <c r="Q3840" s="1394">
        <f>IFERROR(VLOOKUP(M3840,#REF!,3,0),0)</f>
        <v>0</v>
      </c>
      <c r="R3840" s="1394">
        <f t="shared" si="991"/>
        <v>0</v>
      </c>
      <c r="S3840" s="1394">
        <f>IFERROR(VLOOKUP(M3840,#REF!,6,0),0)</f>
        <v>0</v>
      </c>
      <c r="T3840" s="1394">
        <f t="shared" si="988"/>
        <v>0</v>
      </c>
      <c r="U3840" s="1394">
        <f>IFERROR(VLOOKUP(M3840,#REF!,5,0),0)</f>
        <v>0</v>
      </c>
      <c r="V3840" s="1394">
        <f t="shared" si="989"/>
        <v>0</v>
      </c>
      <c r="W3840" s="1394"/>
    </row>
    <row r="3841" spans="2:23" ht="30" customHeight="1">
      <c r="B3841" s="1407"/>
      <c r="C3841" s="1540" t="s">
        <v>5521</v>
      </c>
      <c r="D3841" s="103">
        <v>1</v>
      </c>
      <c r="E3841" s="103">
        <v>1</v>
      </c>
      <c r="F3841" s="1413"/>
      <c r="G3841" s="1413"/>
      <c r="H3841" s="1414"/>
      <c r="I3841" s="1406">
        <f t="shared" si="990"/>
        <v>1</v>
      </c>
      <c r="M3841" s="110"/>
      <c r="Q3841" s="1394">
        <f>IFERROR(VLOOKUP(M3841,#REF!,3,0),0)</f>
        <v>0</v>
      </c>
      <c r="R3841" s="1394">
        <f t="shared" si="991"/>
        <v>0</v>
      </c>
      <c r="S3841" s="1394">
        <f>IFERROR(VLOOKUP(M3841,#REF!,6,0),0)</f>
        <v>0</v>
      </c>
      <c r="T3841" s="1394">
        <f t="shared" si="988"/>
        <v>0</v>
      </c>
      <c r="U3841" s="1394">
        <f>IFERROR(VLOOKUP(M3841,#REF!,5,0),0)</f>
        <v>0</v>
      </c>
      <c r="V3841" s="1394">
        <f t="shared" si="989"/>
        <v>0</v>
      </c>
      <c r="W3841" s="1394"/>
    </row>
    <row r="3842" spans="2:23" ht="30" customHeight="1">
      <c r="B3842" s="1407"/>
      <c r="C3842" s="1540" t="s">
        <v>5546</v>
      </c>
      <c r="D3842" s="103">
        <v>1</v>
      </c>
      <c r="E3842" s="103">
        <v>1</v>
      </c>
      <c r="F3842" s="1413"/>
      <c r="G3842" s="1413"/>
      <c r="H3842" s="1414"/>
      <c r="I3842" s="1406">
        <f t="shared" si="990"/>
        <v>1</v>
      </c>
      <c r="M3842" s="110"/>
      <c r="Q3842" s="1394">
        <f>IFERROR(VLOOKUP(M3842,#REF!,3,0),0)</f>
        <v>0</v>
      </c>
      <c r="R3842" s="1394">
        <f t="shared" si="991"/>
        <v>0</v>
      </c>
      <c r="S3842" s="1394">
        <f>IFERROR(VLOOKUP(M3842,#REF!,6,0),0)</f>
        <v>0</v>
      </c>
      <c r="T3842" s="1394">
        <f t="shared" si="988"/>
        <v>0</v>
      </c>
      <c r="U3842" s="1394">
        <f>IFERROR(VLOOKUP(M3842,#REF!,5,0),0)</f>
        <v>0</v>
      </c>
      <c r="V3842" s="1394">
        <f t="shared" si="989"/>
        <v>0</v>
      </c>
      <c r="W3842" s="1394"/>
    </row>
    <row r="3843" spans="2:23" ht="30" customHeight="1">
      <c r="B3843" s="1407"/>
      <c r="C3843" s="1540" t="s">
        <v>5549</v>
      </c>
      <c r="D3843" s="103">
        <v>1</v>
      </c>
      <c r="E3843" s="103">
        <v>2</v>
      </c>
      <c r="F3843" s="1413"/>
      <c r="G3843" s="1413"/>
      <c r="H3843" s="1414"/>
      <c r="I3843" s="1406">
        <f t="shared" si="990"/>
        <v>2</v>
      </c>
      <c r="M3843" s="110"/>
      <c r="Q3843" s="1394">
        <f>IFERROR(VLOOKUP(M3843,#REF!,3,0),0)</f>
        <v>0</v>
      </c>
      <c r="R3843" s="1394">
        <f t="shared" si="991"/>
        <v>0</v>
      </c>
      <c r="S3843" s="1394">
        <f>IFERROR(VLOOKUP(M3843,#REF!,6,0),0)</f>
        <v>0</v>
      </c>
      <c r="T3843" s="1394">
        <f t="shared" ref="T3843:T3906" si="992">R3843-S3843</f>
        <v>0</v>
      </c>
      <c r="U3843" s="1394">
        <f>IFERROR(VLOOKUP(M3843,#REF!,5,0),0)</f>
        <v>0</v>
      </c>
      <c r="V3843" s="1394">
        <f t="shared" ref="V3843:V3906" si="993">O3843-U3843</f>
        <v>0</v>
      </c>
      <c r="W3843" s="1394"/>
    </row>
    <row r="3844" spans="2:23" ht="30" customHeight="1">
      <c r="B3844" s="1407"/>
      <c r="C3844" s="1540" t="s">
        <v>5562</v>
      </c>
      <c r="D3844" s="103">
        <v>1</v>
      </c>
      <c r="E3844" s="103">
        <v>2</v>
      </c>
      <c r="F3844" s="1413"/>
      <c r="G3844" s="1413"/>
      <c r="H3844" s="1414"/>
      <c r="I3844" s="1406">
        <f t="shared" si="990"/>
        <v>2</v>
      </c>
      <c r="M3844" s="110"/>
      <c r="Q3844" s="1394">
        <f>IFERROR(VLOOKUP(M3844,#REF!,3,0),0)</f>
        <v>0</v>
      </c>
      <c r="R3844" s="1394">
        <f t="shared" si="991"/>
        <v>0</v>
      </c>
      <c r="S3844" s="1394">
        <f>IFERROR(VLOOKUP(M3844,#REF!,6,0),0)</f>
        <v>0</v>
      </c>
      <c r="T3844" s="1394">
        <f t="shared" si="992"/>
        <v>0</v>
      </c>
      <c r="U3844" s="1394">
        <f>IFERROR(VLOOKUP(M3844,#REF!,5,0),0)</f>
        <v>0</v>
      </c>
      <c r="V3844" s="1394">
        <f t="shared" si="993"/>
        <v>0</v>
      </c>
      <c r="W3844" s="1394"/>
    </row>
    <row r="3845" spans="2:23" ht="30" customHeight="1">
      <c r="B3845" s="1407"/>
      <c r="C3845" s="1540" t="s">
        <v>5564</v>
      </c>
      <c r="D3845" s="103">
        <v>1</v>
      </c>
      <c r="E3845" s="103">
        <v>2</v>
      </c>
      <c r="F3845" s="1413"/>
      <c r="G3845" s="1413"/>
      <c r="H3845" s="1414"/>
      <c r="I3845" s="1406">
        <f t="shared" si="990"/>
        <v>2</v>
      </c>
      <c r="M3845" s="110"/>
      <c r="Q3845" s="1394">
        <f>IFERROR(VLOOKUP(M3845,#REF!,3,0),0)</f>
        <v>0</v>
      </c>
      <c r="R3845" s="1394">
        <f t="shared" si="991"/>
        <v>0</v>
      </c>
      <c r="S3845" s="1394">
        <f>IFERROR(VLOOKUP(M3845,#REF!,6,0),0)</f>
        <v>0</v>
      </c>
      <c r="T3845" s="1394">
        <f t="shared" si="992"/>
        <v>0</v>
      </c>
      <c r="U3845" s="1394">
        <f>IFERROR(VLOOKUP(M3845,#REF!,5,0),0)</f>
        <v>0</v>
      </c>
      <c r="V3845" s="1394">
        <f t="shared" si="993"/>
        <v>0</v>
      </c>
      <c r="W3845" s="1394"/>
    </row>
    <row r="3846" spans="2:23" ht="30" customHeight="1">
      <c r="B3846" s="1407"/>
      <c r="C3846" s="1540" t="s">
        <v>5885</v>
      </c>
      <c r="D3846" s="103">
        <v>1</v>
      </c>
      <c r="E3846" s="103">
        <v>1</v>
      </c>
      <c r="F3846" s="1413"/>
      <c r="G3846" s="1413"/>
      <c r="H3846" s="1414"/>
      <c r="I3846" s="1406">
        <f t="shared" si="990"/>
        <v>1</v>
      </c>
      <c r="M3846" s="110"/>
      <c r="Q3846" s="1394">
        <f>IFERROR(VLOOKUP(M3846,#REF!,3,0),0)</f>
        <v>0</v>
      </c>
      <c r="R3846" s="1394">
        <f t="shared" si="991"/>
        <v>0</v>
      </c>
      <c r="S3846" s="1394">
        <f>IFERROR(VLOOKUP(M3846,#REF!,6,0),0)</f>
        <v>0</v>
      </c>
      <c r="T3846" s="1394">
        <f t="shared" si="992"/>
        <v>0</v>
      </c>
      <c r="U3846" s="1394">
        <f>IFERROR(VLOOKUP(M3846,#REF!,5,0),0)</f>
        <v>0</v>
      </c>
      <c r="V3846" s="1394">
        <f t="shared" si="993"/>
        <v>0</v>
      </c>
      <c r="W3846" s="1394"/>
    </row>
    <row r="3847" spans="2:23" ht="30" customHeight="1">
      <c r="B3847" s="1407"/>
      <c r="C3847" s="1540" t="s">
        <v>5884</v>
      </c>
      <c r="D3847" s="103">
        <v>1</v>
      </c>
      <c r="E3847" s="103">
        <v>1</v>
      </c>
      <c r="F3847" s="1413"/>
      <c r="G3847" s="1413"/>
      <c r="H3847" s="1414"/>
      <c r="I3847" s="1406">
        <f t="shared" si="990"/>
        <v>1</v>
      </c>
      <c r="M3847" s="110"/>
      <c r="Q3847" s="1394">
        <f>IFERROR(VLOOKUP(M3847,#REF!,3,0),0)</f>
        <v>0</v>
      </c>
      <c r="R3847" s="1394">
        <f t="shared" si="991"/>
        <v>0</v>
      </c>
      <c r="S3847" s="1394">
        <f>IFERROR(VLOOKUP(M3847,#REF!,6,0),0)</f>
        <v>0</v>
      </c>
      <c r="T3847" s="1394">
        <f t="shared" si="992"/>
        <v>0</v>
      </c>
      <c r="U3847" s="1394">
        <f>IFERROR(VLOOKUP(M3847,#REF!,5,0),0)</f>
        <v>0</v>
      </c>
      <c r="V3847" s="1394">
        <f t="shared" si="993"/>
        <v>0</v>
      </c>
      <c r="W3847" s="1394"/>
    </row>
    <row r="3848" spans="2:23" ht="30" customHeight="1">
      <c r="B3848" s="1407"/>
      <c r="C3848" s="1540" t="s">
        <v>5566</v>
      </c>
      <c r="D3848" s="103">
        <v>1</v>
      </c>
      <c r="E3848" s="103">
        <v>2</v>
      </c>
      <c r="F3848" s="1413"/>
      <c r="G3848" s="1413"/>
      <c r="H3848" s="1414"/>
      <c r="I3848" s="1406">
        <f t="shared" si="990"/>
        <v>2</v>
      </c>
      <c r="M3848" s="110"/>
      <c r="Q3848" s="1394">
        <f>IFERROR(VLOOKUP(M3848,#REF!,3,0),0)</f>
        <v>0</v>
      </c>
      <c r="R3848" s="1394">
        <f t="shared" si="991"/>
        <v>0</v>
      </c>
      <c r="S3848" s="1394">
        <f>IFERROR(VLOOKUP(M3848,#REF!,6,0),0)</f>
        <v>0</v>
      </c>
      <c r="T3848" s="1394">
        <f t="shared" si="992"/>
        <v>0</v>
      </c>
      <c r="U3848" s="1394">
        <f>IFERROR(VLOOKUP(M3848,#REF!,5,0),0)</f>
        <v>0</v>
      </c>
      <c r="V3848" s="1394">
        <f t="shared" si="993"/>
        <v>0</v>
      </c>
      <c r="W3848" s="1394"/>
    </row>
    <row r="3849" spans="2:23" ht="30" customHeight="1">
      <c r="B3849" s="1407"/>
      <c r="C3849" s="1540" t="s">
        <v>5550</v>
      </c>
      <c r="D3849" s="103">
        <v>1</v>
      </c>
      <c r="E3849" s="103">
        <v>2</v>
      </c>
      <c r="F3849" s="1413"/>
      <c r="G3849" s="1413"/>
      <c r="H3849" s="1414"/>
      <c r="I3849" s="1406">
        <f t="shared" si="990"/>
        <v>2</v>
      </c>
      <c r="M3849" s="110"/>
      <c r="Q3849" s="1394">
        <f>IFERROR(VLOOKUP(M3849,#REF!,3,0),0)</f>
        <v>0</v>
      </c>
      <c r="R3849" s="1394">
        <f t="shared" si="991"/>
        <v>0</v>
      </c>
      <c r="S3849" s="1394">
        <f>IFERROR(VLOOKUP(M3849,#REF!,6,0),0)</f>
        <v>0</v>
      </c>
      <c r="T3849" s="1394">
        <f t="shared" si="992"/>
        <v>0</v>
      </c>
      <c r="U3849" s="1394">
        <f>IFERROR(VLOOKUP(M3849,#REF!,5,0),0)</f>
        <v>0</v>
      </c>
      <c r="V3849" s="1394">
        <f t="shared" si="993"/>
        <v>0</v>
      </c>
      <c r="W3849" s="1394"/>
    </row>
    <row r="3850" spans="2:23" ht="30" customHeight="1">
      <c r="B3850" s="1407"/>
      <c r="C3850" s="1540" t="s">
        <v>5567</v>
      </c>
      <c r="D3850" s="103">
        <v>1</v>
      </c>
      <c r="E3850" s="103">
        <v>1</v>
      </c>
      <c r="F3850" s="1413"/>
      <c r="G3850" s="1413"/>
      <c r="H3850" s="1414"/>
      <c r="I3850" s="1406">
        <f t="shared" si="990"/>
        <v>1</v>
      </c>
      <c r="M3850" s="110"/>
      <c r="Q3850" s="1394">
        <f>IFERROR(VLOOKUP(M3850,#REF!,3,0),0)</f>
        <v>0</v>
      </c>
      <c r="R3850" s="1394">
        <f t="shared" si="991"/>
        <v>0</v>
      </c>
      <c r="S3850" s="1394">
        <f>IFERROR(VLOOKUP(M3850,#REF!,6,0),0)</f>
        <v>0</v>
      </c>
      <c r="T3850" s="1394">
        <f t="shared" si="992"/>
        <v>0</v>
      </c>
      <c r="U3850" s="1394">
        <f>IFERROR(VLOOKUP(M3850,#REF!,5,0),0)</f>
        <v>0</v>
      </c>
      <c r="V3850" s="1394">
        <f t="shared" si="993"/>
        <v>0</v>
      </c>
      <c r="W3850" s="1394"/>
    </row>
    <row r="3851" spans="2:23" ht="30" customHeight="1">
      <c r="B3851" s="1407"/>
      <c r="C3851" s="1540" t="s">
        <v>5568</v>
      </c>
      <c r="D3851" s="103">
        <v>1</v>
      </c>
      <c r="E3851" s="103">
        <v>1</v>
      </c>
      <c r="F3851" s="1413"/>
      <c r="G3851" s="1413"/>
      <c r="H3851" s="1414"/>
      <c r="I3851" s="1406">
        <f t="shared" si="990"/>
        <v>1</v>
      </c>
      <c r="M3851" s="110"/>
      <c r="Q3851" s="1394">
        <f>IFERROR(VLOOKUP(M3851,#REF!,3,0),0)</f>
        <v>0</v>
      </c>
      <c r="R3851" s="1394">
        <f t="shared" si="991"/>
        <v>0</v>
      </c>
      <c r="S3851" s="1394">
        <f>IFERROR(VLOOKUP(M3851,#REF!,6,0),0)</f>
        <v>0</v>
      </c>
      <c r="T3851" s="1394">
        <f t="shared" si="992"/>
        <v>0</v>
      </c>
      <c r="U3851" s="1394">
        <f>IFERROR(VLOOKUP(M3851,#REF!,5,0),0)</f>
        <v>0</v>
      </c>
      <c r="V3851" s="1394">
        <f t="shared" si="993"/>
        <v>0</v>
      </c>
      <c r="W3851" s="1394"/>
    </row>
    <row r="3852" spans="2:23" ht="30" customHeight="1">
      <c r="B3852" s="1407"/>
      <c r="C3852" s="1538" t="s">
        <v>5505</v>
      </c>
      <c r="D3852" s="103"/>
      <c r="E3852" s="103" t="s">
        <v>575</v>
      </c>
      <c r="F3852" s="1413"/>
      <c r="G3852" s="1413"/>
      <c r="H3852" s="1414"/>
      <c r="I3852" s="1406">
        <f t="shared" si="990"/>
        <v>0</v>
      </c>
      <c r="M3852" s="110"/>
      <c r="Q3852" s="1394">
        <f>IFERROR(VLOOKUP(M3852,#REF!,3,0),0)</f>
        <v>0</v>
      </c>
      <c r="R3852" s="1394">
        <f t="shared" si="991"/>
        <v>0</v>
      </c>
      <c r="S3852" s="1394">
        <f>IFERROR(VLOOKUP(M3852,#REF!,6,0),0)</f>
        <v>0</v>
      </c>
      <c r="T3852" s="1394">
        <f t="shared" si="992"/>
        <v>0</v>
      </c>
      <c r="U3852" s="1394">
        <f>IFERROR(VLOOKUP(M3852,#REF!,5,0),0)</f>
        <v>0</v>
      </c>
      <c r="V3852" s="1394">
        <f t="shared" si="993"/>
        <v>0</v>
      </c>
      <c r="W3852" s="1394"/>
    </row>
    <row r="3853" spans="2:23" ht="30" customHeight="1">
      <c r="B3853" s="1407"/>
      <c r="C3853" s="1540" t="s">
        <v>5547</v>
      </c>
      <c r="D3853" s="103">
        <v>1</v>
      </c>
      <c r="E3853" s="103">
        <v>5</v>
      </c>
      <c r="F3853" s="1413"/>
      <c r="G3853" s="1413"/>
      <c r="H3853" s="1414"/>
      <c r="I3853" s="1406">
        <f t="shared" si="990"/>
        <v>5</v>
      </c>
      <c r="M3853" s="110"/>
      <c r="Q3853" s="1394">
        <f>IFERROR(VLOOKUP(M3853,#REF!,3,0),0)</f>
        <v>0</v>
      </c>
      <c r="R3853" s="1394">
        <f t="shared" si="991"/>
        <v>0</v>
      </c>
      <c r="S3853" s="1394">
        <f>IFERROR(VLOOKUP(M3853,#REF!,6,0),0)</f>
        <v>0</v>
      </c>
      <c r="T3853" s="1394">
        <f t="shared" si="992"/>
        <v>0</v>
      </c>
      <c r="U3853" s="1394">
        <f>IFERROR(VLOOKUP(M3853,#REF!,5,0),0)</f>
        <v>0</v>
      </c>
      <c r="V3853" s="1394">
        <f t="shared" si="993"/>
        <v>0</v>
      </c>
      <c r="W3853" s="1394"/>
    </row>
    <row r="3854" spans="2:23" ht="30" customHeight="1">
      <c r="B3854" s="1407"/>
      <c r="C3854" s="1540" t="s">
        <v>5521</v>
      </c>
      <c r="D3854" s="103">
        <v>1</v>
      </c>
      <c r="E3854" s="103">
        <v>1</v>
      </c>
      <c r="F3854" s="1413"/>
      <c r="G3854" s="1413"/>
      <c r="H3854" s="1414"/>
      <c r="I3854" s="1406">
        <f t="shared" si="990"/>
        <v>1</v>
      </c>
      <c r="M3854" s="110"/>
      <c r="Q3854" s="1394">
        <f>IFERROR(VLOOKUP(M3854,#REF!,3,0),0)</f>
        <v>0</v>
      </c>
      <c r="R3854" s="1394">
        <f t="shared" si="991"/>
        <v>0</v>
      </c>
      <c r="S3854" s="1394">
        <f>IFERROR(VLOOKUP(M3854,#REF!,6,0),0)</f>
        <v>0</v>
      </c>
      <c r="T3854" s="1394">
        <f t="shared" si="992"/>
        <v>0</v>
      </c>
      <c r="U3854" s="1394">
        <f>IFERROR(VLOOKUP(M3854,#REF!,5,0),0)</f>
        <v>0</v>
      </c>
      <c r="V3854" s="1394">
        <f t="shared" si="993"/>
        <v>0</v>
      </c>
      <c r="W3854" s="1394"/>
    </row>
    <row r="3855" spans="2:23" ht="30" customHeight="1">
      <c r="B3855" s="1407"/>
      <c r="C3855" s="1540" t="s">
        <v>5521</v>
      </c>
      <c r="D3855" s="103">
        <v>1</v>
      </c>
      <c r="E3855" s="103">
        <v>1</v>
      </c>
      <c r="F3855" s="1413"/>
      <c r="G3855" s="1413"/>
      <c r="H3855" s="1414"/>
      <c r="I3855" s="1406">
        <f t="shared" si="990"/>
        <v>1</v>
      </c>
      <c r="M3855" s="110"/>
      <c r="Q3855" s="1394">
        <f>IFERROR(VLOOKUP(M3855,#REF!,3,0),0)</f>
        <v>0</v>
      </c>
      <c r="R3855" s="1394">
        <f t="shared" si="991"/>
        <v>0</v>
      </c>
      <c r="S3855" s="1394">
        <f>IFERROR(VLOOKUP(M3855,#REF!,6,0),0)</f>
        <v>0</v>
      </c>
      <c r="T3855" s="1394">
        <f t="shared" si="992"/>
        <v>0</v>
      </c>
      <c r="U3855" s="1394">
        <f>IFERROR(VLOOKUP(M3855,#REF!,5,0),0)</f>
        <v>0</v>
      </c>
      <c r="V3855" s="1394">
        <f t="shared" si="993"/>
        <v>0</v>
      </c>
      <c r="W3855" s="1394"/>
    </row>
    <row r="3856" spans="2:23" ht="30" customHeight="1">
      <c r="B3856" s="1407"/>
      <c r="C3856" s="1540" t="s">
        <v>5546</v>
      </c>
      <c r="D3856" s="103">
        <v>1</v>
      </c>
      <c r="E3856" s="103">
        <v>1</v>
      </c>
      <c r="F3856" s="1413"/>
      <c r="G3856" s="1413"/>
      <c r="H3856" s="1414"/>
      <c r="I3856" s="1406">
        <f t="shared" si="990"/>
        <v>1</v>
      </c>
      <c r="M3856" s="110"/>
      <c r="Q3856" s="1394">
        <f>IFERROR(VLOOKUP(M3856,#REF!,3,0),0)</f>
        <v>0</v>
      </c>
      <c r="R3856" s="1394">
        <f t="shared" si="991"/>
        <v>0</v>
      </c>
      <c r="S3856" s="1394">
        <f>IFERROR(VLOOKUP(M3856,#REF!,6,0),0)</f>
        <v>0</v>
      </c>
      <c r="T3856" s="1394">
        <f t="shared" si="992"/>
        <v>0</v>
      </c>
      <c r="U3856" s="1394">
        <f>IFERROR(VLOOKUP(M3856,#REF!,5,0),0)</f>
        <v>0</v>
      </c>
      <c r="V3856" s="1394">
        <f t="shared" si="993"/>
        <v>0</v>
      </c>
      <c r="W3856" s="1394"/>
    </row>
    <row r="3857" spans="1:26" ht="30" customHeight="1">
      <c r="B3857" s="1407"/>
      <c r="C3857" s="1540" t="s">
        <v>5570</v>
      </c>
      <c r="D3857" s="103">
        <v>1</v>
      </c>
      <c r="E3857" s="103">
        <v>2</v>
      </c>
      <c r="F3857" s="1413"/>
      <c r="G3857" s="1413"/>
      <c r="H3857" s="1414"/>
      <c r="I3857" s="1406">
        <f t="shared" si="990"/>
        <v>2</v>
      </c>
      <c r="M3857" s="110"/>
      <c r="Q3857" s="1394">
        <f>IFERROR(VLOOKUP(M3857,#REF!,3,0),0)</f>
        <v>0</v>
      </c>
      <c r="R3857" s="1394">
        <f t="shared" si="991"/>
        <v>0</v>
      </c>
      <c r="S3857" s="1394">
        <f>IFERROR(VLOOKUP(M3857,#REF!,6,0),0)</f>
        <v>0</v>
      </c>
      <c r="T3857" s="1394">
        <f t="shared" si="992"/>
        <v>0</v>
      </c>
      <c r="U3857" s="1394">
        <f>IFERROR(VLOOKUP(M3857,#REF!,5,0),0)</f>
        <v>0</v>
      </c>
      <c r="V3857" s="1394">
        <f t="shared" si="993"/>
        <v>0</v>
      </c>
      <c r="W3857" s="1394"/>
    </row>
    <row r="3858" spans="1:26" ht="30" customHeight="1">
      <c r="B3858" s="1407"/>
      <c r="C3858" s="1540" t="s">
        <v>5572</v>
      </c>
      <c r="D3858" s="103">
        <v>1</v>
      </c>
      <c r="E3858" s="103">
        <v>2</v>
      </c>
      <c r="F3858" s="1413"/>
      <c r="G3858" s="1413"/>
      <c r="H3858" s="1414"/>
      <c r="I3858" s="1406">
        <f t="shared" si="990"/>
        <v>2</v>
      </c>
      <c r="M3858" s="110"/>
      <c r="Q3858" s="1394">
        <f>IFERROR(VLOOKUP(M3858,#REF!,3,0),0)</f>
        <v>0</v>
      </c>
      <c r="R3858" s="1394">
        <f t="shared" si="991"/>
        <v>0</v>
      </c>
      <c r="S3858" s="1394">
        <f>IFERROR(VLOOKUP(M3858,#REF!,6,0),0)</f>
        <v>0</v>
      </c>
      <c r="T3858" s="1394">
        <f t="shared" si="992"/>
        <v>0</v>
      </c>
      <c r="U3858" s="1394">
        <f>IFERROR(VLOOKUP(M3858,#REF!,5,0),0)</f>
        <v>0</v>
      </c>
      <c r="V3858" s="1394">
        <f t="shared" si="993"/>
        <v>0</v>
      </c>
      <c r="W3858" s="1394"/>
    </row>
    <row r="3859" spans="1:26" ht="30" customHeight="1">
      <c r="B3859" s="1407"/>
      <c r="C3859" s="1540" t="s">
        <v>5549</v>
      </c>
      <c r="D3859" s="103">
        <v>1</v>
      </c>
      <c r="E3859" s="103">
        <v>2</v>
      </c>
      <c r="F3859" s="1413"/>
      <c r="G3859" s="1413"/>
      <c r="H3859" s="1414"/>
      <c r="I3859" s="1406">
        <f t="shared" si="990"/>
        <v>2</v>
      </c>
      <c r="M3859" s="110"/>
      <c r="Q3859" s="1394">
        <f>IFERROR(VLOOKUP(M3859,#REF!,3,0),0)</f>
        <v>0</v>
      </c>
      <c r="R3859" s="1394">
        <f t="shared" si="991"/>
        <v>0</v>
      </c>
      <c r="S3859" s="1394">
        <f>IFERROR(VLOOKUP(M3859,#REF!,6,0),0)</f>
        <v>0</v>
      </c>
      <c r="T3859" s="1394">
        <f t="shared" si="992"/>
        <v>0</v>
      </c>
      <c r="U3859" s="1394">
        <f>IFERROR(VLOOKUP(M3859,#REF!,5,0),0)</f>
        <v>0</v>
      </c>
      <c r="V3859" s="1394">
        <f t="shared" si="993"/>
        <v>0</v>
      </c>
      <c r="W3859" s="1394"/>
    </row>
    <row r="3860" spans="1:26" ht="30" customHeight="1">
      <c r="B3860" s="1407"/>
      <c r="C3860" s="1540" t="s">
        <v>5574</v>
      </c>
      <c r="D3860" s="103">
        <v>1</v>
      </c>
      <c r="E3860" s="103">
        <v>1</v>
      </c>
      <c r="F3860" s="1413"/>
      <c r="G3860" s="1413"/>
      <c r="H3860" s="1414"/>
      <c r="I3860" s="1406">
        <f t="shared" si="990"/>
        <v>1</v>
      </c>
      <c r="Q3860" s="1394">
        <f>IFERROR(VLOOKUP(M3860,#REF!,3,0),0)</f>
        <v>0</v>
      </c>
      <c r="R3860" s="1394">
        <f t="shared" si="991"/>
        <v>0</v>
      </c>
      <c r="S3860" s="1394">
        <f>IFERROR(VLOOKUP(M3860,#REF!,6,0),0)</f>
        <v>0</v>
      </c>
      <c r="T3860" s="1394">
        <f t="shared" si="992"/>
        <v>0</v>
      </c>
      <c r="U3860" s="1394">
        <f>IFERROR(VLOOKUP(M3860,#REF!,5,0),0)</f>
        <v>0</v>
      </c>
      <c r="V3860" s="1394">
        <f t="shared" si="993"/>
        <v>0</v>
      </c>
      <c r="W3860" s="1394"/>
    </row>
    <row r="3861" spans="1:26" ht="30" customHeight="1">
      <c r="B3861" s="1407"/>
      <c r="C3861" s="1540" t="s">
        <v>5576</v>
      </c>
      <c r="D3861" s="103">
        <v>1</v>
      </c>
      <c r="E3861" s="103">
        <v>3</v>
      </c>
      <c r="F3861" s="1413"/>
      <c r="G3861" s="1413"/>
      <c r="H3861" s="1414"/>
      <c r="I3861" s="1406">
        <f t="shared" si="990"/>
        <v>3</v>
      </c>
      <c r="Q3861" s="1394">
        <f>IFERROR(VLOOKUP(M3861,#REF!,3,0),0)</f>
        <v>0</v>
      </c>
      <c r="R3861" s="1394">
        <f t="shared" si="991"/>
        <v>0</v>
      </c>
      <c r="S3861" s="1394">
        <f>IFERROR(VLOOKUP(M3861,#REF!,6,0),0)</f>
        <v>0</v>
      </c>
      <c r="T3861" s="1394">
        <f t="shared" si="992"/>
        <v>0</v>
      </c>
      <c r="U3861" s="1394">
        <f>IFERROR(VLOOKUP(M3861,#REF!,5,0),0)</f>
        <v>0</v>
      </c>
      <c r="V3861" s="1394">
        <f t="shared" si="993"/>
        <v>0</v>
      </c>
      <c r="W3861" s="1394"/>
    </row>
    <row r="3862" spans="1:26" ht="30" customHeight="1">
      <c r="B3862" s="1407"/>
      <c r="C3862" s="1540" t="s">
        <v>5570</v>
      </c>
      <c r="D3862" s="103">
        <v>1</v>
      </c>
      <c r="E3862" s="103">
        <v>2</v>
      </c>
      <c r="F3862" s="1413"/>
      <c r="G3862" s="1413"/>
      <c r="H3862" s="1414"/>
      <c r="I3862" s="1406">
        <f t="shared" si="990"/>
        <v>2</v>
      </c>
      <c r="Q3862" s="1394">
        <f>IFERROR(VLOOKUP(M3862,#REF!,3,0),0)</f>
        <v>0</v>
      </c>
      <c r="R3862" s="1394">
        <f t="shared" si="991"/>
        <v>0</v>
      </c>
      <c r="S3862" s="1394">
        <f>IFERROR(VLOOKUP(M3862,#REF!,6,0),0)</f>
        <v>0</v>
      </c>
      <c r="T3862" s="1394">
        <f t="shared" si="992"/>
        <v>0</v>
      </c>
      <c r="U3862" s="1394">
        <f>IFERROR(VLOOKUP(M3862,#REF!,5,0),0)</f>
        <v>0</v>
      </c>
      <c r="V3862" s="1394">
        <f t="shared" si="993"/>
        <v>0</v>
      </c>
      <c r="W3862" s="1394"/>
    </row>
    <row r="3863" spans="1:26" ht="30" customHeight="1">
      <c r="B3863" s="1407"/>
      <c r="C3863" s="1538" t="s">
        <v>3097</v>
      </c>
      <c r="D3863" s="103"/>
      <c r="E3863" s="103" t="s">
        <v>575</v>
      </c>
      <c r="F3863" s="1413"/>
      <c r="G3863" s="1413"/>
      <c r="H3863" s="1414"/>
      <c r="I3863" s="1406">
        <f t="shared" si="990"/>
        <v>0</v>
      </c>
      <c r="Q3863" s="1394">
        <f>IFERROR(VLOOKUP(M3863,#REF!,3,0),0)</f>
        <v>0</v>
      </c>
      <c r="R3863" s="1394">
        <f t="shared" si="991"/>
        <v>0</v>
      </c>
      <c r="S3863" s="1394">
        <f>IFERROR(VLOOKUP(M3863,#REF!,6,0),0)</f>
        <v>0</v>
      </c>
      <c r="T3863" s="1394">
        <f t="shared" si="992"/>
        <v>0</v>
      </c>
      <c r="U3863" s="1394">
        <f>IFERROR(VLOOKUP(M3863,#REF!,5,0),0)</f>
        <v>0</v>
      </c>
      <c r="V3863" s="1394">
        <f t="shared" si="993"/>
        <v>0</v>
      </c>
      <c r="W3863" s="1394"/>
    </row>
    <row r="3864" spans="1:26" ht="30" customHeight="1">
      <c r="B3864" s="1407"/>
      <c r="C3864" s="1540" t="s">
        <v>5578</v>
      </c>
      <c r="D3864" s="103">
        <v>1</v>
      </c>
      <c r="E3864" s="103">
        <v>2</v>
      </c>
      <c r="F3864" s="1413"/>
      <c r="G3864" s="1413"/>
      <c r="H3864" s="1414"/>
      <c r="I3864" s="1406">
        <f t="shared" si="990"/>
        <v>2</v>
      </c>
      <c r="Q3864" s="1394">
        <f>IFERROR(VLOOKUP(M3864,#REF!,3,0),0)</f>
        <v>0</v>
      </c>
      <c r="R3864" s="1394">
        <f t="shared" si="991"/>
        <v>0</v>
      </c>
      <c r="S3864" s="1394">
        <f>IFERROR(VLOOKUP(M3864,#REF!,6,0),0)</f>
        <v>0</v>
      </c>
      <c r="T3864" s="1394">
        <f t="shared" si="992"/>
        <v>0</v>
      </c>
      <c r="U3864" s="1394">
        <f>IFERROR(VLOOKUP(M3864,#REF!,5,0),0)</f>
        <v>0</v>
      </c>
      <c r="V3864" s="1394">
        <f t="shared" si="993"/>
        <v>0</v>
      </c>
      <c r="W3864" s="1394"/>
    </row>
    <row r="3865" spans="1:26" ht="30" customHeight="1">
      <c r="B3865" s="1407"/>
      <c r="C3865" s="1455"/>
      <c r="D3865" s="103"/>
      <c r="E3865" s="103"/>
      <c r="F3865" s="1413"/>
      <c r="G3865" s="1413"/>
      <c r="H3865" s="1414"/>
      <c r="I3865" s="1406">
        <f t="shared" ref="I3865" si="994">PRODUCT(D3865:H3865)</f>
        <v>0</v>
      </c>
      <c r="Q3865" s="1394">
        <f>IFERROR(VLOOKUP(M3865,#REF!,3,0),0)</f>
        <v>0</v>
      </c>
      <c r="R3865" s="1394">
        <f t="shared" si="991"/>
        <v>0</v>
      </c>
      <c r="S3865" s="1394">
        <f>IFERROR(VLOOKUP(M3865,#REF!,6,0),0)</f>
        <v>0</v>
      </c>
      <c r="T3865" s="1394">
        <f t="shared" si="992"/>
        <v>0</v>
      </c>
      <c r="U3865" s="1394">
        <f>IFERROR(VLOOKUP(M3865,#REF!,5,0),0)</f>
        <v>0</v>
      </c>
      <c r="V3865" s="1394">
        <f t="shared" si="993"/>
        <v>0</v>
      </c>
      <c r="W3865" s="1394"/>
    </row>
    <row r="3866" spans="1:26" ht="30" customHeight="1">
      <c r="B3866" s="1407"/>
      <c r="C3866" s="1455"/>
      <c r="D3866" s="103"/>
      <c r="E3866" s="103"/>
      <c r="F3866" s="1413"/>
      <c r="G3866" s="1413"/>
      <c r="H3866" s="1414"/>
      <c r="I3866" s="1479">
        <f>SUM(I3812:I3865)</f>
        <v>90</v>
      </c>
      <c r="L3866" s="110">
        <f>2.33*3.28</f>
        <v>7.6423999999999994</v>
      </c>
      <c r="Q3866" s="1394">
        <f>IFERROR(VLOOKUP(M3866,#REF!,3,0),0)</f>
        <v>0</v>
      </c>
      <c r="R3866" s="1394">
        <f t="shared" si="991"/>
        <v>0</v>
      </c>
      <c r="S3866" s="1394">
        <f>IFERROR(VLOOKUP(M3866,#REF!,6,0),0)</f>
        <v>0</v>
      </c>
      <c r="T3866" s="1394">
        <f t="shared" si="992"/>
        <v>0</v>
      </c>
      <c r="U3866" s="1394">
        <f>IFERROR(VLOOKUP(M3866,#REF!,5,0),0)</f>
        <v>0</v>
      </c>
      <c r="V3866" s="1394">
        <f t="shared" si="993"/>
        <v>0</v>
      </c>
      <c r="W3866" s="1394"/>
    </row>
    <row r="3867" spans="1:26" ht="30" customHeight="1">
      <c r="B3867" s="1407"/>
      <c r="C3867" s="1455"/>
      <c r="D3867" s="103"/>
      <c r="E3867" s="103"/>
      <c r="F3867" s="1413"/>
      <c r="G3867" s="1483" t="s">
        <v>11</v>
      </c>
      <c r="H3867" s="1478">
        <f>I3866</f>
        <v>90</v>
      </c>
      <c r="I3867" s="1479" t="s">
        <v>13</v>
      </c>
      <c r="M3867" s="1394" t="str">
        <f>A3811</f>
        <v>18 watts  LED  Tube Light</v>
      </c>
      <c r="N3867" s="1394">
        <f>B3811</f>
        <v>70.5</v>
      </c>
      <c r="O3867" s="1394">
        <f>H3867</f>
        <v>90</v>
      </c>
      <c r="P3867" s="1394" t="str">
        <f>I3867</f>
        <v>Nos</v>
      </c>
      <c r="Q3867" s="1394">
        <f>IFERROR(VLOOKUP(M3867,#REF!,3,0),0)</f>
        <v>0</v>
      </c>
      <c r="R3867" s="1394">
        <f t="shared" si="991"/>
        <v>0</v>
      </c>
      <c r="S3867" s="1394">
        <f>IFERROR(VLOOKUP(M3867,#REF!,6,0),0)</f>
        <v>0</v>
      </c>
      <c r="T3867" s="1394">
        <f t="shared" si="992"/>
        <v>0</v>
      </c>
      <c r="U3867" s="1394">
        <f>IFERROR(VLOOKUP(M3867,#REF!,5,0),0)</f>
        <v>0</v>
      </c>
      <c r="V3867" s="1394">
        <f t="shared" si="993"/>
        <v>90</v>
      </c>
      <c r="W3867" s="1394"/>
      <c r="Z3867" s="1394"/>
    </row>
    <row r="3868" spans="1:26" ht="109.5" customHeight="1">
      <c r="A3868" s="110" t="s">
        <v>504</v>
      </c>
      <c r="B3868" s="1405" t="s">
        <v>503</v>
      </c>
      <c r="C3868" s="1678" t="e">
        <f>VLOOKUP(A3868,#REF!,2,0)</f>
        <v>#REF!</v>
      </c>
      <c r="D3868" s="1678"/>
      <c r="E3868" s="1678"/>
      <c r="F3868" s="1678"/>
      <c r="G3868" s="1678"/>
      <c r="H3868" s="1678"/>
      <c r="I3868" s="1479"/>
      <c r="Q3868" s="1394">
        <f>IFERROR(VLOOKUP(M3868,#REF!,3,0),0)</f>
        <v>0</v>
      </c>
      <c r="R3868" s="1394">
        <f t="shared" si="991"/>
        <v>0</v>
      </c>
      <c r="S3868" s="1394">
        <f>IFERROR(VLOOKUP(M3868,#REF!,6,0),0)</f>
        <v>0</v>
      </c>
      <c r="T3868" s="1394">
        <f t="shared" si="992"/>
        <v>0</v>
      </c>
      <c r="U3868" s="1394">
        <f>IFERROR(VLOOKUP(M3868,#REF!,5,0),0)</f>
        <v>0</v>
      </c>
      <c r="V3868" s="1394">
        <f t="shared" si="993"/>
        <v>0</v>
      </c>
      <c r="W3868" s="1394"/>
      <c r="X3868" s="1397"/>
    </row>
    <row r="3869" spans="1:26" ht="30" customHeight="1">
      <c r="B3869" s="1407"/>
      <c r="C3869" s="1492" t="s">
        <v>505</v>
      </c>
      <c r="D3869" s="103"/>
      <c r="E3869" s="103"/>
      <c r="F3869" s="1413"/>
      <c r="G3869" s="1413"/>
      <c r="H3869" s="1414"/>
      <c r="I3869" s="1406">
        <f>H3637</f>
        <v>51</v>
      </c>
      <c r="Q3869" s="1394">
        <f>IFERROR(VLOOKUP(M3869,#REF!,3,0),0)</f>
        <v>0</v>
      </c>
      <c r="R3869" s="1394">
        <f t="shared" si="991"/>
        <v>0</v>
      </c>
      <c r="S3869" s="1394">
        <f>IFERROR(VLOOKUP(M3869,#REF!,6,0),0)</f>
        <v>0</v>
      </c>
      <c r="T3869" s="1394">
        <f t="shared" si="992"/>
        <v>0</v>
      </c>
      <c r="U3869" s="1394">
        <f>IFERROR(VLOOKUP(M3869,#REF!,5,0),0)</f>
        <v>0</v>
      </c>
      <c r="V3869" s="1394">
        <f t="shared" si="993"/>
        <v>0</v>
      </c>
      <c r="W3869" s="1394"/>
    </row>
    <row r="3870" spans="1:26" ht="30" customHeight="1">
      <c r="B3870" s="1407"/>
      <c r="C3870" s="1455"/>
      <c r="D3870" s="103"/>
      <c r="E3870" s="103"/>
      <c r="F3870" s="1413"/>
      <c r="G3870" s="1413"/>
      <c r="H3870" s="1414"/>
      <c r="I3870" s="1406">
        <f>SUM(I3869:I3869)</f>
        <v>51</v>
      </c>
      <c r="Q3870" s="1394">
        <f>IFERROR(VLOOKUP(M3870,#REF!,3,0),0)</f>
        <v>0</v>
      </c>
      <c r="R3870" s="1394">
        <f t="shared" si="991"/>
        <v>0</v>
      </c>
      <c r="S3870" s="1394">
        <f>IFERROR(VLOOKUP(M3870,#REF!,6,0),0)</f>
        <v>0</v>
      </c>
      <c r="T3870" s="1394">
        <f t="shared" si="992"/>
        <v>0</v>
      </c>
      <c r="U3870" s="1394">
        <f>IFERROR(VLOOKUP(M3870,#REF!,5,0),0)</f>
        <v>0</v>
      </c>
      <c r="V3870" s="1394">
        <f t="shared" si="993"/>
        <v>0</v>
      </c>
      <c r="W3870" s="1394"/>
    </row>
    <row r="3871" spans="1:26" ht="30" customHeight="1">
      <c r="B3871" s="1407"/>
      <c r="C3871" s="1455"/>
      <c r="D3871" s="103"/>
      <c r="E3871" s="103"/>
      <c r="F3871" s="1413"/>
      <c r="G3871" s="1483" t="s">
        <v>11</v>
      </c>
      <c r="H3871" s="1478">
        <f>I3870</f>
        <v>51</v>
      </c>
      <c r="I3871" s="1479" t="s">
        <v>13</v>
      </c>
      <c r="M3871" s="1394" t="str">
        <f>A3868</f>
        <v>Supply and delivery of  48" (1200 mm) Fan with ISI mark with Eletronic Dimmer</v>
      </c>
      <c r="N3871" s="1394" t="str">
        <f>B3868</f>
        <v>75.1.2</v>
      </c>
      <c r="O3871" s="1394">
        <f>H3871</f>
        <v>51</v>
      </c>
      <c r="P3871" s="1394" t="str">
        <f>I3871</f>
        <v>Nos</v>
      </c>
      <c r="Q3871" s="1394">
        <f>IFERROR(VLOOKUP(M3871,#REF!,3,0),0)</f>
        <v>0</v>
      </c>
      <c r="R3871" s="1394">
        <f t="shared" si="991"/>
        <v>0</v>
      </c>
      <c r="S3871" s="1394">
        <f>IFERROR(VLOOKUP(M3871,#REF!,6,0),0)</f>
        <v>0</v>
      </c>
      <c r="T3871" s="1394">
        <f t="shared" si="992"/>
        <v>0</v>
      </c>
      <c r="U3871" s="1394">
        <f>IFERROR(VLOOKUP(M3871,#REF!,5,0),0)</f>
        <v>0</v>
      </c>
      <c r="V3871" s="1394">
        <f t="shared" si="993"/>
        <v>51</v>
      </c>
      <c r="W3871" s="1394"/>
      <c r="Z3871" s="1394"/>
    </row>
    <row r="3872" spans="1:26" ht="75" customHeight="1">
      <c r="A3872" s="110" t="s">
        <v>506</v>
      </c>
      <c r="B3872" s="1513">
        <v>71</v>
      </c>
      <c r="C3872" s="1678" t="e">
        <f>VLOOKUP(A3872,#REF!,2,0)</f>
        <v>#REF!</v>
      </c>
      <c r="D3872" s="1678"/>
      <c r="E3872" s="1678"/>
      <c r="F3872" s="1678"/>
      <c r="G3872" s="1678"/>
      <c r="H3872" s="1678"/>
      <c r="I3872" s="1406"/>
      <c r="Q3872" s="1394">
        <f>IFERROR(VLOOKUP(M3872,#REF!,3,0),0)</f>
        <v>0</v>
      </c>
      <c r="R3872" s="1394">
        <f t="shared" si="991"/>
        <v>0</v>
      </c>
      <c r="S3872" s="1394">
        <f>IFERROR(VLOOKUP(M3872,#REF!,6,0),0)</f>
        <v>0</v>
      </c>
      <c r="T3872" s="1394">
        <f t="shared" si="992"/>
        <v>0</v>
      </c>
      <c r="U3872" s="1394">
        <f>IFERROR(VLOOKUP(M3872,#REF!,5,0),0)</f>
        <v>0</v>
      </c>
      <c r="V3872" s="1394">
        <f t="shared" si="993"/>
        <v>0</v>
      </c>
      <c r="W3872" s="1394"/>
      <c r="X3872" s="1397"/>
    </row>
    <row r="3873" spans="1:26" ht="30" customHeight="1">
      <c r="B3873" s="1407"/>
      <c r="C3873" s="1455" t="s">
        <v>5797</v>
      </c>
      <c r="D3873" s="103">
        <v>1</v>
      </c>
      <c r="E3873" s="103">
        <v>4</v>
      </c>
      <c r="F3873" s="1413"/>
      <c r="G3873" s="1413"/>
      <c r="H3873" s="1414"/>
      <c r="I3873" s="1479">
        <f>PRODUCT(D3873:H3873)</f>
        <v>4</v>
      </c>
      <c r="Q3873" s="1394">
        <f>IFERROR(VLOOKUP(M3873,#REF!,3,0),0)</f>
        <v>0</v>
      </c>
      <c r="R3873" s="1394">
        <f t="shared" si="991"/>
        <v>0</v>
      </c>
      <c r="S3873" s="1394">
        <f>IFERROR(VLOOKUP(M3873,#REF!,6,0),0)</f>
        <v>0</v>
      </c>
      <c r="T3873" s="1394">
        <f t="shared" si="992"/>
        <v>0</v>
      </c>
      <c r="U3873" s="1394">
        <f>IFERROR(VLOOKUP(M3873,#REF!,5,0),0)</f>
        <v>0</v>
      </c>
      <c r="V3873" s="1394">
        <f t="shared" si="993"/>
        <v>0</v>
      </c>
      <c r="W3873" s="1394"/>
    </row>
    <row r="3874" spans="1:26" ht="30" customHeight="1">
      <c r="B3874" s="1407"/>
      <c r="C3874" s="1455"/>
      <c r="D3874" s="103"/>
      <c r="E3874" s="103"/>
      <c r="F3874" s="1413"/>
      <c r="G3874" s="1483" t="s">
        <v>11</v>
      </c>
      <c r="H3874" s="1478">
        <f>ROUNDUP(I3873,1)</f>
        <v>4</v>
      </c>
      <c r="I3874" s="1479" t="s">
        <v>13</v>
      </c>
      <c r="M3874" s="1394" t="str">
        <f>A3872</f>
        <v>Supplying and fixing of 32 AMPS Triple pole main switch</v>
      </c>
      <c r="N3874" s="1394">
        <f>B3872</f>
        <v>71</v>
      </c>
      <c r="O3874" s="1394">
        <f>H3874</f>
        <v>4</v>
      </c>
      <c r="P3874" s="1394" t="str">
        <f>I3874</f>
        <v>Nos</v>
      </c>
      <c r="Q3874" s="1394">
        <f>IFERROR(VLOOKUP(M3874,#REF!,3,0),0)</f>
        <v>0</v>
      </c>
      <c r="R3874" s="1394">
        <f t="shared" si="991"/>
        <v>0</v>
      </c>
      <c r="S3874" s="1394">
        <f>IFERROR(VLOOKUP(M3874,#REF!,6,0),0)</f>
        <v>0</v>
      </c>
      <c r="T3874" s="1394">
        <f t="shared" si="992"/>
        <v>0</v>
      </c>
      <c r="U3874" s="1394">
        <f>IFERROR(VLOOKUP(M3874,#REF!,5,0),0)</f>
        <v>0</v>
      </c>
      <c r="V3874" s="1394">
        <f t="shared" si="993"/>
        <v>4</v>
      </c>
      <c r="W3874" s="1394"/>
      <c r="Z3874" s="1394"/>
    </row>
    <row r="3875" spans="1:26" ht="75" customHeight="1">
      <c r="A3875" s="110" t="s">
        <v>507</v>
      </c>
      <c r="B3875" s="1513">
        <v>72</v>
      </c>
      <c r="C3875" s="1678" t="e">
        <f>VLOOKUP(A3875,#REF!,2,0)</f>
        <v>#REF!</v>
      </c>
      <c r="D3875" s="1678"/>
      <c r="E3875" s="1678"/>
      <c r="F3875" s="1678"/>
      <c r="G3875" s="1678"/>
      <c r="H3875" s="1678"/>
      <c r="I3875" s="1406"/>
      <c r="Q3875" s="1394">
        <f>IFERROR(VLOOKUP(M3875,#REF!,3,0),0)</f>
        <v>0</v>
      </c>
      <c r="R3875" s="1394">
        <f t="shared" si="991"/>
        <v>0</v>
      </c>
      <c r="S3875" s="1394">
        <f>IFERROR(VLOOKUP(M3875,#REF!,6,0),0)</f>
        <v>0</v>
      </c>
      <c r="T3875" s="1394">
        <f t="shared" si="992"/>
        <v>0</v>
      </c>
      <c r="U3875" s="1394">
        <f>IFERROR(VLOOKUP(M3875,#REF!,5,0),0)</f>
        <v>0</v>
      </c>
      <c r="V3875" s="1394">
        <f t="shared" si="993"/>
        <v>0</v>
      </c>
      <c r="W3875" s="1394"/>
      <c r="X3875" s="1397"/>
    </row>
    <row r="3876" spans="1:26" ht="30" customHeight="1">
      <c r="B3876" s="1407"/>
      <c r="C3876" s="1491" t="str">
        <f>C3869</f>
        <v>As per Fan Point Qty</v>
      </c>
      <c r="D3876" s="103">
        <f>D3869</f>
        <v>0</v>
      </c>
      <c r="E3876" s="103">
        <f>E3869</f>
        <v>0</v>
      </c>
      <c r="F3876" s="1413"/>
      <c r="G3876" s="1413"/>
      <c r="H3876" s="1414"/>
      <c r="I3876" s="1406">
        <f>H3871</f>
        <v>51</v>
      </c>
      <c r="Q3876" s="1394">
        <f>IFERROR(VLOOKUP(M3876,#REF!,3,0),0)</f>
        <v>0</v>
      </c>
      <c r="R3876" s="1394">
        <f t="shared" si="991"/>
        <v>0</v>
      </c>
      <c r="S3876" s="1394">
        <f>IFERROR(VLOOKUP(M3876,#REF!,6,0),0)</f>
        <v>0</v>
      </c>
      <c r="T3876" s="1394">
        <f t="shared" si="992"/>
        <v>0</v>
      </c>
      <c r="U3876" s="1394">
        <f>IFERROR(VLOOKUP(M3876,#REF!,5,0),0)</f>
        <v>0</v>
      </c>
      <c r="V3876" s="1394">
        <f t="shared" si="993"/>
        <v>0</v>
      </c>
      <c r="W3876" s="1394"/>
    </row>
    <row r="3877" spans="1:26" ht="30" customHeight="1">
      <c r="B3877" s="1407"/>
      <c r="C3877" s="1455"/>
      <c r="D3877" s="103"/>
      <c r="E3877" s="103"/>
      <c r="F3877" s="1413"/>
      <c r="G3877" s="1413"/>
      <c r="H3877" s="1414"/>
      <c r="I3877" s="1406"/>
      <c r="Q3877" s="1394">
        <f>IFERROR(VLOOKUP(M3877,#REF!,3,0),0)</f>
        <v>0</v>
      </c>
      <c r="R3877" s="1394">
        <f t="shared" si="991"/>
        <v>0</v>
      </c>
      <c r="S3877" s="1394">
        <f>IFERROR(VLOOKUP(M3877,#REF!,6,0),0)</f>
        <v>0</v>
      </c>
      <c r="T3877" s="1394">
        <f t="shared" si="992"/>
        <v>0</v>
      </c>
      <c r="U3877" s="1394">
        <f>IFERROR(VLOOKUP(M3877,#REF!,5,0),0)</f>
        <v>0</v>
      </c>
      <c r="V3877" s="1394">
        <f t="shared" si="993"/>
        <v>0</v>
      </c>
      <c r="W3877" s="1394"/>
    </row>
    <row r="3878" spans="1:26" ht="30" customHeight="1">
      <c r="B3878" s="1407"/>
      <c r="C3878" s="1455"/>
      <c r="D3878" s="103"/>
      <c r="E3878" s="103"/>
      <c r="F3878" s="1413"/>
      <c r="G3878" s="1413"/>
      <c r="H3878" s="1414"/>
      <c r="I3878" s="1479">
        <f>SUM(I3876:I3877)</f>
        <v>51</v>
      </c>
      <c r="Q3878" s="1394">
        <f>IFERROR(VLOOKUP(M3878,#REF!,3,0),0)</f>
        <v>0</v>
      </c>
      <c r="R3878" s="1394">
        <f t="shared" si="991"/>
        <v>0</v>
      </c>
      <c r="S3878" s="1394">
        <f>IFERROR(VLOOKUP(M3878,#REF!,6,0),0)</f>
        <v>0</v>
      </c>
      <c r="T3878" s="1394">
        <f t="shared" si="992"/>
        <v>0</v>
      </c>
      <c r="U3878" s="1394">
        <f>IFERROR(VLOOKUP(M3878,#REF!,5,0),0)</f>
        <v>0</v>
      </c>
      <c r="V3878" s="1394">
        <f t="shared" si="993"/>
        <v>0</v>
      </c>
      <c r="W3878" s="1394"/>
    </row>
    <row r="3879" spans="1:26" ht="30" customHeight="1">
      <c r="B3879" s="1407"/>
      <c r="C3879" s="1455"/>
      <c r="D3879" s="103"/>
      <c r="E3879" s="103"/>
      <c r="F3879" s="1413"/>
      <c r="G3879" s="1483" t="s">
        <v>11</v>
      </c>
      <c r="H3879" s="1478">
        <f>ROUNDUP(I3878,1)</f>
        <v>51</v>
      </c>
      <c r="I3879" s="1479" t="s">
        <v>13</v>
      </c>
      <c r="M3879" s="1394" t="str">
        <f>A3875</f>
        <v>Box type Fibre Fan hook</v>
      </c>
      <c r="N3879" s="1394">
        <f>B3875</f>
        <v>72</v>
      </c>
      <c r="O3879" s="1394">
        <f>H3879</f>
        <v>51</v>
      </c>
      <c r="P3879" s="1394" t="str">
        <f>I3879</f>
        <v>Nos</v>
      </c>
      <c r="Q3879" s="1394">
        <f>IFERROR(VLOOKUP(M3879,#REF!,3,0),0)</f>
        <v>0</v>
      </c>
      <c r="R3879" s="1394">
        <f t="shared" si="991"/>
        <v>0</v>
      </c>
      <c r="S3879" s="1394">
        <f>IFERROR(VLOOKUP(M3879,#REF!,6,0),0)</f>
        <v>0</v>
      </c>
      <c r="T3879" s="1394">
        <f t="shared" si="992"/>
        <v>0</v>
      </c>
      <c r="U3879" s="1394">
        <f>IFERROR(VLOOKUP(M3879,#REF!,5,0),0)</f>
        <v>0</v>
      </c>
      <c r="V3879" s="1394">
        <f t="shared" si="993"/>
        <v>51</v>
      </c>
      <c r="W3879" s="1394"/>
      <c r="Z3879" s="1394"/>
    </row>
    <row r="3880" spans="1:26" ht="75" customHeight="1">
      <c r="A3880" s="110" t="s">
        <v>508</v>
      </c>
      <c r="B3880" s="1513">
        <v>74</v>
      </c>
      <c r="C3880" s="1678" t="e">
        <f>VLOOKUP(A3880,#REF!,2,0)</f>
        <v>#REF!</v>
      </c>
      <c r="D3880" s="1678"/>
      <c r="E3880" s="1678"/>
      <c r="F3880" s="1678"/>
      <c r="G3880" s="1678"/>
      <c r="H3880" s="1678"/>
      <c r="I3880" s="1479">
        <f>PRODUCT(D3880:H3880)</f>
        <v>0</v>
      </c>
      <c r="Q3880" s="1394">
        <f>IFERROR(VLOOKUP(M3880,#REF!,3,0),0)</f>
        <v>0</v>
      </c>
      <c r="R3880" s="1394">
        <f t="shared" si="991"/>
        <v>0</v>
      </c>
      <c r="S3880" s="1394">
        <f>IFERROR(VLOOKUP(M3880,#REF!,6,0),0)</f>
        <v>0</v>
      </c>
      <c r="T3880" s="1394">
        <f t="shared" si="992"/>
        <v>0</v>
      </c>
      <c r="U3880" s="1394">
        <f>IFERROR(VLOOKUP(M3880,#REF!,5,0),0)</f>
        <v>0</v>
      </c>
      <c r="V3880" s="1394">
        <f t="shared" si="993"/>
        <v>0</v>
      </c>
      <c r="W3880" s="1394"/>
      <c r="X3880" s="1397"/>
    </row>
    <row r="3881" spans="1:26" ht="30" customHeight="1">
      <c r="B3881" s="1513"/>
      <c r="C3881" s="1491" t="str">
        <f>C3876</f>
        <v>As per Fan Point Qty</v>
      </c>
      <c r="D3881" s="103">
        <f>D3876</f>
        <v>0</v>
      </c>
      <c r="E3881" s="103">
        <f>E3876</f>
        <v>0</v>
      </c>
      <c r="F3881" s="1413"/>
      <c r="G3881" s="1413"/>
      <c r="H3881" s="1414"/>
      <c r="I3881" s="1479">
        <f>H3879</f>
        <v>51</v>
      </c>
      <c r="Q3881" s="1394">
        <f>IFERROR(VLOOKUP(M3881,#REF!,3,0),0)</f>
        <v>0</v>
      </c>
      <c r="R3881" s="1394">
        <f t="shared" si="991"/>
        <v>0</v>
      </c>
      <c r="S3881" s="1394">
        <f>IFERROR(VLOOKUP(M3881,#REF!,6,0),0)</f>
        <v>0</v>
      </c>
      <c r="T3881" s="1394">
        <f t="shared" si="992"/>
        <v>0</v>
      </c>
      <c r="U3881" s="1394">
        <f>IFERROR(VLOOKUP(M3881,#REF!,5,0),0)</f>
        <v>0</v>
      </c>
      <c r="V3881" s="1394">
        <f t="shared" si="993"/>
        <v>0</v>
      </c>
      <c r="W3881" s="1394"/>
    </row>
    <row r="3882" spans="1:26" ht="30" customHeight="1">
      <c r="B3882" s="1513"/>
      <c r="C3882" s="1455"/>
      <c r="D3882" s="103"/>
      <c r="E3882" s="103"/>
      <c r="F3882" s="1413"/>
      <c r="G3882" s="1413"/>
      <c r="H3882" s="1414"/>
      <c r="I3882" s="1479">
        <f>SUM(I3880:I3881)</f>
        <v>51</v>
      </c>
      <c r="Q3882" s="1394">
        <f>IFERROR(VLOOKUP(M3882,#REF!,3,0),0)</f>
        <v>0</v>
      </c>
      <c r="R3882" s="1394">
        <f t="shared" si="991"/>
        <v>0</v>
      </c>
      <c r="S3882" s="1394">
        <f>IFERROR(VLOOKUP(M3882,#REF!,6,0),0)</f>
        <v>0</v>
      </c>
      <c r="T3882" s="1394">
        <f t="shared" si="992"/>
        <v>0</v>
      </c>
      <c r="U3882" s="1394">
        <f>IFERROR(VLOOKUP(M3882,#REF!,5,0),0)</f>
        <v>0</v>
      </c>
      <c r="V3882" s="1394">
        <f t="shared" si="993"/>
        <v>0</v>
      </c>
      <c r="W3882" s="1394"/>
    </row>
    <row r="3883" spans="1:26" ht="30" customHeight="1">
      <c r="B3883" s="1513"/>
      <c r="C3883" s="1455"/>
      <c r="D3883" s="103"/>
      <c r="E3883" s="103"/>
      <c r="F3883" s="1413"/>
      <c r="G3883" s="1483" t="s">
        <v>11</v>
      </c>
      <c r="H3883" s="1478">
        <f>I3882</f>
        <v>51</v>
      </c>
      <c r="I3883" s="1479" t="s">
        <v>13</v>
      </c>
      <c r="M3883" s="1394" t="str">
        <f>A3880</f>
        <v>Charges for fixing of "Fan"</v>
      </c>
      <c r="N3883" s="1394">
        <f>B3880</f>
        <v>74</v>
      </c>
      <c r="O3883" s="1394">
        <f>H3883</f>
        <v>51</v>
      </c>
      <c r="P3883" s="1394" t="str">
        <f>I3883</f>
        <v>Nos</v>
      </c>
      <c r="Q3883" s="1394">
        <f>IFERROR(VLOOKUP(M3883,#REF!,3,0),0)</f>
        <v>0</v>
      </c>
      <c r="R3883" s="1394">
        <f t="shared" si="991"/>
        <v>0</v>
      </c>
      <c r="S3883" s="1394">
        <f>IFERROR(VLOOKUP(M3883,#REF!,6,0),0)</f>
        <v>0</v>
      </c>
      <c r="T3883" s="1394">
        <f t="shared" si="992"/>
        <v>0</v>
      </c>
      <c r="U3883" s="1394">
        <f>IFERROR(VLOOKUP(M3883,#REF!,5,0),0)</f>
        <v>0</v>
      </c>
      <c r="V3883" s="1394">
        <f t="shared" si="993"/>
        <v>51</v>
      </c>
      <c r="W3883" s="1394"/>
      <c r="Z3883" s="1394"/>
    </row>
    <row r="3884" spans="1:26" ht="51.75" customHeight="1">
      <c r="A3884" s="110" t="s">
        <v>509</v>
      </c>
      <c r="B3884" s="1513">
        <v>76</v>
      </c>
      <c r="C3884" s="1678" t="e">
        <f>VLOOKUP(A3884,#REF!,2,0)</f>
        <v>#REF!</v>
      </c>
      <c r="D3884" s="1678"/>
      <c r="E3884" s="1678"/>
      <c r="F3884" s="1678"/>
      <c r="G3884" s="1678"/>
      <c r="H3884" s="1678"/>
      <c r="I3884" s="1406"/>
      <c r="Q3884" s="1394">
        <f>IFERROR(VLOOKUP(M3884,#REF!,3,0),0)</f>
        <v>0</v>
      </c>
      <c r="R3884" s="1394">
        <f t="shared" si="991"/>
        <v>0</v>
      </c>
      <c r="S3884" s="1394">
        <f>IFERROR(VLOOKUP(M3884,#REF!,6,0),0)</f>
        <v>0</v>
      </c>
      <c r="T3884" s="1394">
        <f t="shared" si="992"/>
        <v>0</v>
      </c>
      <c r="U3884" s="1394">
        <f>IFERROR(VLOOKUP(M3884,#REF!,5,0),0)</f>
        <v>0</v>
      </c>
      <c r="V3884" s="1394">
        <f t="shared" si="993"/>
        <v>0</v>
      </c>
      <c r="W3884" s="1394"/>
      <c r="X3884" s="1397"/>
    </row>
    <row r="3885" spans="1:26" ht="30" customHeight="1">
      <c r="B3885" s="1513"/>
      <c r="C3885" s="1455" t="s">
        <v>510</v>
      </c>
      <c r="D3885" s="103">
        <v>1</v>
      </c>
      <c r="E3885" s="103">
        <v>25</v>
      </c>
      <c r="F3885" s="1413"/>
      <c r="G3885" s="1413"/>
      <c r="H3885" s="1414"/>
      <c r="I3885" s="1479">
        <f>PRODUCT(D3885:H3885)</f>
        <v>25</v>
      </c>
      <c r="Q3885" s="1394">
        <f>IFERROR(VLOOKUP(M3885,#REF!,3,0),0)</f>
        <v>0</v>
      </c>
      <c r="R3885" s="1394">
        <f t="shared" si="991"/>
        <v>0</v>
      </c>
      <c r="S3885" s="1394">
        <f>IFERROR(VLOOKUP(M3885,#REF!,6,0),0)</f>
        <v>0</v>
      </c>
      <c r="T3885" s="1394">
        <f t="shared" si="992"/>
        <v>0</v>
      </c>
      <c r="U3885" s="1394">
        <f>IFERROR(VLOOKUP(M3885,#REF!,5,0),0)</f>
        <v>0</v>
      </c>
      <c r="V3885" s="1394">
        <f t="shared" si="993"/>
        <v>0</v>
      </c>
      <c r="W3885" s="1394"/>
      <c r="X3885" s="1397"/>
    </row>
    <row r="3886" spans="1:26" ht="30" customHeight="1">
      <c r="B3886" s="1513"/>
      <c r="C3886" s="1455" t="s">
        <v>511</v>
      </c>
      <c r="D3886" s="103">
        <v>1</v>
      </c>
      <c r="E3886" s="103">
        <v>22</v>
      </c>
      <c r="F3886" s="1413"/>
      <c r="G3886" s="1413"/>
      <c r="H3886" s="1414"/>
      <c r="I3886" s="1479">
        <f>PRODUCT(D3886:H3886)</f>
        <v>22</v>
      </c>
      <c r="Q3886" s="1394">
        <f>IFERROR(VLOOKUP(M3886,#REF!,3,0),0)</f>
        <v>0</v>
      </c>
      <c r="R3886" s="1394">
        <f t="shared" ref="R3886:R3949" si="995">ROUND(O3886,2)*ROUND(Q3886,2)</f>
        <v>0</v>
      </c>
      <c r="S3886" s="1394">
        <f>IFERROR(VLOOKUP(M3886,#REF!,6,0),0)</f>
        <v>0</v>
      </c>
      <c r="T3886" s="1394">
        <f t="shared" si="992"/>
        <v>0</v>
      </c>
      <c r="U3886" s="1394">
        <f>IFERROR(VLOOKUP(M3886,#REF!,5,0),0)</f>
        <v>0</v>
      </c>
      <c r="V3886" s="1394">
        <f t="shared" si="993"/>
        <v>0</v>
      </c>
      <c r="W3886" s="1394"/>
      <c r="X3886" s="1397"/>
    </row>
    <row r="3887" spans="1:26" ht="30" customHeight="1">
      <c r="B3887" s="1513"/>
      <c r="C3887" s="1455" t="s">
        <v>512</v>
      </c>
      <c r="D3887" s="103">
        <v>1</v>
      </c>
      <c r="E3887" s="103">
        <v>30</v>
      </c>
      <c r="F3887" s="1413"/>
      <c r="G3887" s="1413"/>
      <c r="H3887" s="1414"/>
      <c r="I3887" s="1479">
        <f>PRODUCT(D3887:H3887)</f>
        <v>30</v>
      </c>
      <c r="Q3887" s="1394">
        <f>IFERROR(VLOOKUP(M3887,#REF!,3,0),0)</f>
        <v>0</v>
      </c>
      <c r="R3887" s="1394">
        <f t="shared" si="995"/>
        <v>0</v>
      </c>
      <c r="S3887" s="1394">
        <f>IFERROR(VLOOKUP(M3887,#REF!,6,0),0)</f>
        <v>0</v>
      </c>
      <c r="T3887" s="1394">
        <f t="shared" si="992"/>
        <v>0</v>
      </c>
      <c r="U3887" s="1394">
        <f>IFERROR(VLOOKUP(M3887,#REF!,5,0),0)</f>
        <v>0</v>
      </c>
      <c r="V3887" s="1394">
        <f t="shared" si="993"/>
        <v>0</v>
      </c>
      <c r="W3887" s="1394"/>
      <c r="X3887" s="1397"/>
    </row>
    <row r="3888" spans="1:26" ht="30" customHeight="1">
      <c r="B3888" s="1513"/>
      <c r="C3888" s="1455" t="s">
        <v>513</v>
      </c>
      <c r="D3888" s="103">
        <v>1</v>
      </c>
      <c r="E3888" s="103">
        <v>33</v>
      </c>
      <c r="F3888" s="1413"/>
      <c r="G3888" s="1413"/>
      <c r="H3888" s="1414"/>
      <c r="I3888" s="1479">
        <f>PRODUCT(D3888:H3888)</f>
        <v>33</v>
      </c>
      <c r="Q3888" s="1394">
        <f>IFERROR(VLOOKUP(M3888,#REF!,3,0),0)</f>
        <v>0</v>
      </c>
      <c r="R3888" s="1394">
        <f t="shared" si="995"/>
        <v>0</v>
      </c>
      <c r="S3888" s="1394">
        <f>IFERROR(VLOOKUP(M3888,#REF!,6,0),0)</f>
        <v>0</v>
      </c>
      <c r="T3888" s="1394">
        <f t="shared" si="992"/>
        <v>0</v>
      </c>
      <c r="U3888" s="1394">
        <f>IFERROR(VLOOKUP(M3888,#REF!,5,0),0)</f>
        <v>0</v>
      </c>
      <c r="V3888" s="1394">
        <f t="shared" si="993"/>
        <v>0</v>
      </c>
      <c r="W3888" s="1394"/>
      <c r="X3888" s="1397"/>
    </row>
    <row r="3889" spans="1:26" ht="30" customHeight="1">
      <c r="B3889" s="1513"/>
      <c r="C3889" s="1455"/>
      <c r="D3889" s="103"/>
      <c r="E3889" s="103"/>
      <c r="F3889" s="1413"/>
      <c r="G3889" s="1413"/>
      <c r="H3889" s="1414"/>
      <c r="I3889" s="1479">
        <f>SUM(I3885:I3888)</f>
        <v>110</v>
      </c>
      <c r="Q3889" s="1394">
        <f>IFERROR(VLOOKUP(M3889,#REF!,3,0),0)</f>
        <v>0</v>
      </c>
      <c r="R3889" s="1394">
        <f t="shared" si="995"/>
        <v>0</v>
      </c>
      <c r="S3889" s="1394">
        <f>IFERROR(VLOOKUP(M3889,#REF!,6,0),0)</f>
        <v>0</v>
      </c>
      <c r="T3889" s="1394">
        <f t="shared" si="992"/>
        <v>0</v>
      </c>
      <c r="U3889" s="1394">
        <f>IFERROR(VLOOKUP(M3889,#REF!,5,0),0)</f>
        <v>0</v>
      </c>
      <c r="V3889" s="1394">
        <f t="shared" si="993"/>
        <v>0</v>
      </c>
      <c r="W3889" s="1394"/>
      <c r="X3889" s="1397"/>
    </row>
    <row r="3890" spans="1:26" ht="30" customHeight="1">
      <c r="B3890" s="1513"/>
      <c r="C3890" s="1455"/>
      <c r="D3890" s="103"/>
      <c r="E3890" s="103"/>
      <c r="F3890" s="1413"/>
      <c r="G3890" s="1483" t="s">
        <v>11</v>
      </c>
      <c r="H3890" s="1478">
        <f>I3889</f>
        <v>110</v>
      </c>
      <c r="I3890" s="1479" t="s">
        <v>12</v>
      </c>
      <c r="M3890" s="1394" t="str">
        <f>A3884</f>
        <v>8 SWG wire</v>
      </c>
      <c r="N3890" s="1394">
        <f>B3884</f>
        <v>76</v>
      </c>
      <c r="O3890" s="1394">
        <f>H3890</f>
        <v>110</v>
      </c>
      <c r="P3890" s="1394" t="str">
        <f>I3890</f>
        <v>Rmt</v>
      </c>
      <c r="Q3890" s="1394">
        <f>IFERROR(VLOOKUP(M3890,#REF!,3,0),0)</f>
        <v>0</v>
      </c>
      <c r="R3890" s="1394">
        <f t="shared" si="995"/>
        <v>0</v>
      </c>
      <c r="S3890" s="1394">
        <f>IFERROR(VLOOKUP(M3890,#REF!,6,0),0)</f>
        <v>0</v>
      </c>
      <c r="T3890" s="1394">
        <f t="shared" si="992"/>
        <v>0</v>
      </c>
      <c r="U3890" s="1394">
        <f>IFERROR(VLOOKUP(M3890,#REF!,5,0),0)</f>
        <v>0</v>
      </c>
      <c r="V3890" s="1394">
        <f t="shared" si="993"/>
        <v>110</v>
      </c>
      <c r="W3890" s="1394"/>
      <c r="Z3890" s="1394"/>
    </row>
    <row r="3891" spans="1:26" s="1398" customFormat="1" ht="155.25" customHeight="1">
      <c r="A3891" s="1398" t="s">
        <v>1140</v>
      </c>
      <c r="B3891" s="1392">
        <v>77</v>
      </c>
      <c r="C3891" s="1678" t="e">
        <f>VLOOKUP(A3891,#REF!,2,0)</f>
        <v>#REF!</v>
      </c>
      <c r="D3891" s="1678"/>
      <c r="E3891" s="1678"/>
      <c r="F3891" s="1678"/>
      <c r="G3891" s="1678"/>
      <c r="H3891" s="1678"/>
      <c r="I3891" s="1406"/>
      <c r="M3891" s="1530"/>
      <c r="Q3891" s="1394">
        <f>IFERROR(VLOOKUP(M3891,#REF!,3,0),0)</f>
        <v>0</v>
      </c>
      <c r="R3891" s="1394">
        <f t="shared" si="995"/>
        <v>0</v>
      </c>
      <c r="S3891" s="1394">
        <f>IFERROR(VLOOKUP(M3891,#REF!,6,0),0)</f>
        <v>0</v>
      </c>
      <c r="T3891" s="1394">
        <f t="shared" si="992"/>
        <v>0</v>
      </c>
      <c r="U3891" s="1394">
        <f>IFERROR(VLOOKUP(M3891,#REF!,5,0),0)</f>
        <v>0</v>
      </c>
      <c r="V3891" s="1394">
        <f t="shared" si="993"/>
        <v>0</v>
      </c>
      <c r="W3891" s="1394"/>
    </row>
    <row r="3892" spans="1:26" s="1398" customFormat="1" ht="30" customHeight="1">
      <c r="B3892" s="1392"/>
      <c r="C3892" s="1546" t="s">
        <v>515</v>
      </c>
      <c r="D3892" s="95"/>
      <c r="E3892" s="96"/>
      <c r="F3892" s="1413"/>
      <c r="G3892" s="1413"/>
      <c r="H3892" s="1414"/>
      <c r="I3892" s="1406"/>
      <c r="M3892" s="1530"/>
      <c r="Q3892" s="1394">
        <f>IFERROR(VLOOKUP(M3892,#REF!,3,0),0)</f>
        <v>0</v>
      </c>
      <c r="R3892" s="1394">
        <f t="shared" si="995"/>
        <v>0</v>
      </c>
      <c r="S3892" s="1394">
        <f>IFERROR(VLOOKUP(M3892,#REF!,6,0),0)</f>
        <v>0</v>
      </c>
      <c r="T3892" s="1394">
        <f t="shared" si="992"/>
        <v>0</v>
      </c>
      <c r="U3892" s="1394">
        <f>IFERROR(VLOOKUP(M3892,#REF!,5,0),0)</f>
        <v>0</v>
      </c>
      <c r="V3892" s="1394">
        <f t="shared" si="993"/>
        <v>0</v>
      </c>
      <c r="W3892" s="1394"/>
    </row>
    <row r="3893" spans="1:26" s="1398" customFormat="1" ht="30" customHeight="1">
      <c r="B3893" s="1392"/>
      <c r="C3893" s="1528" t="s">
        <v>516</v>
      </c>
      <c r="D3893" s="95">
        <v>1</v>
      </c>
      <c r="E3893" s="96">
        <v>1</v>
      </c>
      <c r="F3893" s="1413">
        <v>10</v>
      </c>
      <c r="G3893" s="1413"/>
      <c r="H3893" s="1414"/>
      <c r="I3893" s="1406">
        <f t="shared" ref="I3893:I3902" si="996">PRODUCT(D3893:H3893)</f>
        <v>10</v>
      </c>
      <c r="M3893" s="1530"/>
      <c r="Q3893" s="1394">
        <f>IFERROR(VLOOKUP(M3893,#REF!,3,0),0)</f>
        <v>0</v>
      </c>
      <c r="R3893" s="1394">
        <f t="shared" si="995"/>
        <v>0</v>
      </c>
      <c r="S3893" s="1394">
        <f>IFERROR(VLOOKUP(M3893,#REF!,6,0),0)</f>
        <v>0</v>
      </c>
      <c r="T3893" s="1394">
        <f t="shared" si="992"/>
        <v>0</v>
      </c>
      <c r="U3893" s="1394">
        <f>IFERROR(VLOOKUP(M3893,#REF!,5,0),0)</f>
        <v>0</v>
      </c>
      <c r="V3893" s="1394">
        <f t="shared" si="993"/>
        <v>0</v>
      </c>
      <c r="W3893" s="1394"/>
    </row>
    <row r="3894" spans="1:26" s="1398" customFormat="1" ht="30" customHeight="1">
      <c r="B3894" s="1392"/>
      <c r="C3894" s="1528" t="s">
        <v>517</v>
      </c>
      <c r="D3894" s="95">
        <v>1</v>
      </c>
      <c r="E3894" s="96">
        <v>1</v>
      </c>
      <c r="F3894" s="1413">
        <v>10</v>
      </c>
      <c r="G3894" s="1413"/>
      <c r="H3894" s="1414"/>
      <c r="I3894" s="1406">
        <f t="shared" si="996"/>
        <v>10</v>
      </c>
      <c r="M3894" s="1530"/>
      <c r="Q3894" s="1394">
        <f>IFERROR(VLOOKUP(M3894,#REF!,3,0),0)</f>
        <v>0</v>
      </c>
      <c r="R3894" s="1394">
        <f t="shared" si="995"/>
        <v>0</v>
      </c>
      <c r="S3894" s="1394">
        <f>IFERROR(VLOOKUP(M3894,#REF!,6,0),0)</f>
        <v>0</v>
      </c>
      <c r="T3894" s="1394">
        <f t="shared" si="992"/>
        <v>0</v>
      </c>
      <c r="U3894" s="1394">
        <f>IFERROR(VLOOKUP(M3894,#REF!,5,0),0)</f>
        <v>0</v>
      </c>
      <c r="V3894" s="1394">
        <f t="shared" si="993"/>
        <v>0</v>
      </c>
      <c r="W3894" s="1394"/>
    </row>
    <row r="3895" spans="1:26" s="1398" customFormat="1" ht="30" customHeight="1">
      <c r="B3895" s="1392"/>
      <c r="C3895" s="1528" t="s">
        <v>518</v>
      </c>
      <c r="D3895" s="95">
        <v>1</v>
      </c>
      <c r="E3895" s="96">
        <v>1</v>
      </c>
      <c r="F3895" s="1413">
        <v>15</v>
      </c>
      <c r="G3895" s="1413"/>
      <c r="H3895" s="1414"/>
      <c r="I3895" s="1406">
        <f t="shared" si="996"/>
        <v>15</v>
      </c>
      <c r="M3895" s="1530"/>
      <c r="Q3895" s="1394">
        <f>IFERROR(VLOOKUP(M3895,#REF!,3,0),0)</f>
        <v>0</v>
      </c>
      <c r="R3895" s="1394">
        <f t="shared" si="995"/>
        <v>0</v>
      </c>
      <c r="S3895" s="1394">
        <f>IFERROR(VLOOKUP(M3895,#REF!,6,0),0)</f>
        <v>0</v>
      </c>
      <c r="T3895" s="1394">
        <f t="shared" si="992"/>
        <v>0</v>
      </c>
      <c r="U3895" s="1394">
        <f>IFERROR(VLOOKUP(M3895,#REF!,5,0),0)</f>
        <v>0</v>
      </c>
      <c r="V3895" s="1394">
        <f t="shared" si="993"/>
        <v>0</v>
      </c>
      <c r="W3895" s="1394"/>
    </row>
    <row r="3896" spans="1:26" s="1398" customFormat="1" ht="30" customHeight="1">
      <c r="B3896" s="1392"/>
      <c r="C3896" s="1528" t="s">
        <v>519</v>
      </c>
      <c r="D3896" s="95">
        <v>1</v>
      </c>
      <c r="E3896" s="96">
        <v>1</v>
      </c>
      <c r="F3896" s="1413">
        <v>15</v>
      </c>
      <c r="G3896" s="1413"/>
      <c r="H3896" s="1414"/>
      <c r="I3896" s="1406">
        <f t="shared" si="996"/>
        <v>15</v>
      </c>
      <c r="M3896" s="1530"/>
      <c r="Q3896" s="1394">
        <f>IFERROR(VLOOKUP(M3896,#REF!,3,0),0)</f>
        <v>0</v>
      </c>
      <c r="R3896" s="1394">
        <f t="shared" si="995"/>
        <v>0</v>
      </c>
      <c r="S3896" s="1394">
        <f>IFERROR(VLOOKUP(M3896,#REF!,6,0),0)</f>
        <v>0</v>
      </c>
      <c r="T3896" s="1394">
        <f t="shared" si="992"/>
        <v>0</v>
      </c>
      <c r="U3896" s="1394">
        <f>IFERROR(VLOOKUP(M3896,#REF!,5,0),0)</f>
        <v>0</v>
      </c>
      <c r="V3896" s="1394">
        <f t="shared" si="993"/>
        <v>0</v>
      </c>
      <c r="W3896" s="1394"/>
    </row>
    <row r="3897" spans="1:26" s="1398" customFormat="1" ht="30" customHeight="1">
      <c r="B3897" s="1392"/>
      <c r="C3897" s="1528" t="s">
        <v>520</v>
      </c>
      <c r="D3897" s="95">
        <v>1</v>
      </c>
      <c r="E3897" s="96">
        <v>1</v>
      </c>
      <c r="F3897" s="1413">
        <v>20</v>
      </c>
      <c r="G3897" s="1413"/>
      <c r="H3897" s="1414"/>
      <c r="I3897" s="1406">
        <f t="shared" si="996"/>
        <v>20</v>
      </c>
      <c r="M3897" s="1530"/>
      <c r="Q3897" s="1394">
        <f>IFERROR(VLOOKUP(M3897,#REF!,3,0),0)</f>
        <v>0</v>
      </c>
      <c r="R3897" s="1394">
        <f t="shared" si="995"/>
        <v>0</v>
      </c>
      <c r="S3897" s="1394">
        <f>IFERROR(VLOOKUP(M3897,#REF!,6,0),0)</f>
        <v>0</v>
      </c>
      <c r="T3897" s="1394">
        <f t="shared" si="992"/>
        <v>0</v>
      </c>
      <c r="U3897" s="1394">
        <f>IFERROR(VLOOKUP(M3897,#REF!,5,0),0)</f>
        <v>0</v>
      </c>
      <c r="V3897" s="1394">
        <f t="shared" si="993"/>
        <v>0</v>
      </c>
      <c r="W3897" s="1394"/>
    </row>
    <row r="3898" spans="1:26" s="1398" customFormat="1" ht="30" customHeight="1">
      <c r="B3898" s="1392"/>
      <c r="C3898" s="1528" t="s">
        <v>521</v>
      </c>
      <c r="D3898" s="95">
        <v>1</v>
      </c>
      <c r="E3898" s="96">
        <v>1</v>
      </c>
      <c r="F3898" s="1413">
        <v>20</v>
      </c>
      <c r="G3898" s="1413"/>
      <c r="H3898" s="1414"/>
      <c r="I3898" s="1406">
        <f t="shared" si="996"/>
        <v>20</v>
      </c>
      <c r="M3898" s="1530"/>
      <c r="Q3898" s="1394">
        <f>IFERROR(VLOOKUP(M3898,#REF!,3,0),0)</f>
        <v>0</v>
      </c>
      <c r="R3898" s="1394">
        <f t="shared" si="995"/>
        <v>0</v>
      </c>
      <c r="S3898" s="1394">
        <f>IFERROR(VLOOKUP(M3898,#REF!,6,0),0)</f>
        <v>0</v>
      </c>
      <c r="T3898" s="1394">
        <f t="shared" si="992"/>
        <v>0</v>
      </c>
      <c r="U3898" s="1394">
        <f>IFERROR(VLOOKUP(M3898,#REF!,5,0),0)</f>
        <v>0</v>
      </c>
      <c r="V3898" s="1394">
        <f t="shared" si="993"/>
        <v>0</v>
      </c>
      <c r="W3898" s="1394"/>
    </row>
    <row r="3899" spans="1:26" s="1398" customFormat="1" ht="30" customHeight="1">
      <c r="B3899" s="1392"/>
      <c r="C3899" s="1528" t="s">
        <v>522</v>
      </c>
      <c r="D3899" s="95">
        <v>1</v>
      </c>
      <c r="E3899" s="96">
        <v>1</v>
      </c>
      <c r="F3899" s="1413">
        <v>25</v>
      </c>
      <c r="G3899" s="1413"/>
      <c r="H3899" s="1414"/>
      <c r="I3899" s="1406">
        <f t="shared" si="996"/>
        <v>25</v>
      </c>
      <c r="M3899" s="1530"/>
      <c r="Q3899" s="1394">
        <f>IFERROR(VLOOKUP(M3899,#REF!,3,0),0)</f>
        <v>0</v>
      </c>
      <c r="R3899" s="1394">
        <f t="shared" si="995"/>
        <v>0</v>
      </c>
      <c r="S3899" s="1394">
        <f>IFERROR(VLOOKUP(M3899,#REF!,6,0),0)</f>
        <v>0</v>
      </c>
      <c r="T3899" s="1394">
        <f t="shared" si="992"/>
        <v>0</v>
      </c>
      <c r="U3899" s="1394">
        <f>IFERROR(VLOOKUP(M3899,#REF!,5,0),0)</f>
        <v>0</v>
      </c>
      <c r="V3899" s="1394">
        <f t="shared" si="993"/>
        <v>0</v>
      </c>
      <c r="W3899" s="1394"/>
    </row>
    <row r="3900" spans="1:26" s="1398" customFormat="1" ht="30" customHeight="1">
      <c r="B3900" s="1392"/>
      <c r="C3900" s="1528" t="s">
        <v>523</v>
      </c>
      <c r="D3900" s="95">
        <v>1</v>
      </c>
      <c r="E3900" s="96">
        <v>1</v>
      </c>
      <c r="F3900" s="1413">
        <v>25</v>
      </c>
      <c r="G3900" s="1413"/>
      <c r="H3900" s="1414"/>
      <c r="I3900" s="1406">
        <f t="shared" si="996"/>
        <v>25</v>
      </c>
      <c r="M3900" s="1530"/>
      <c r="Q3900" s="1394">
        <f>IFERROR(VLOOKUP(M3900,#REF!,3,0),0)</f>
        <v>0</v>
      </c>
      <c r="R3900" s="1394">
        <f t="shared" si="995"/>
        <v>0</v>
      </c>
      <c r="S3900" s="1394">
        <f>IFERROR(VLOOKUP(M3900,#REF!,6,0),0)</f>
        <v>0</v>
      </c>
      <c r="T3900" s="1394">
        <f t="shared" si="992"/>
        <v>0</v>
      </c>
      <c r="U3900" s="1394">
        <f>IFERROR(VLOOKUP(M3900,#REF!,5,0),0)</f>
        <v>0</v>
      </c>
      <c r="V3900" s="1394">
        <f t="shared" si="993"/>
        <v>0</v>
      </c>
      <c r="W3900" s="1394"/>
    </row>
    <row r="3901" spans="1:26" s="1398" customFormat="1" ht="30" customHeight="1">
      <c r="B3901" s="1392"/>
      <c r="C3901" s="1528" t="s">
        <v>5907</v>
      </c>
      <c r="D3901" s="95">
        <v>1</v>
      </c>
      <c r="E3901" s="96">
        <v>1</v>
      </c>
      <c r="F3901" s="1413">
        <v>30</v>
      </c>
      <c r="G3901" s="1413"/>
      <c r="H3901" s="1414"/>
      <c r="I3901" s="1406">
        <f t="shared" si="996"/>
        <v>30</v>
      </c>
      <c r="M3901" s="1530"/>
      <c r="Q3901" s="1394">
        <f>IFERROR(VLOOKUP(M3901,#REF!,3,0),0)</f>
        <v>0</v>
      </c>
      <c r="R3901" s="1394">
        <f t="shared" si="995"/>
        <v>0</v>
      </c>
      <c r="S3901" s="1394">
        <f>IFERROR(VLOOKUP(M3901,#REF!,6,0),0)</f>
        <v>0</v>
      </c>
      <c r="T3901" s="1394">
        <f t="shared" si="992"/>
        <v>0</v>
      </c>
      <c r="U3901" s="1394">
        <f>IFERROR(VLOOKUP(M3901,#REF!,5,0),0)</f>
        <v>0</v>
      </c>
      <c r="V3901" s="1394">
        <f t="shared" si="993"/>
        <v>0</v>
      </c>
      <c r="W3901" s="1394"/>
    </row>
    <row r="3902" spans="1:26" s="1398" customFormat="1" ht="30" customHeight="1">
      <c r="B3902" s="1392"/>
      <c r="C3902" s="1528" t="s">
        <v>5908</v>
      </c>
      <c r="D3902" s="95">
        <v>1</v>
      </c>
      <c r="E3902" s="96">
        <v>1</v>
      </c>
      <c r="F3902" s="1413">
        <v>30</v>
      </c>
      <c r="G3902" s="1413"/>
      <c r="H3902" s="1414"/>
      <c r="I3902" s="1406">
        <f t="shared" si="996"/>
        <v>30</v>
      </c>
      <c r="M3902" s="1530"/>
      <c r="Q3902" s="1394">
        <f>IFERROR(VLOOKUP(M3902,#REF!,3,0),0)</f>
        <v>0</v>
      </c>
      <c r="R3902" s="1394">
        <f t="shared" si="995"/>
        <v>0</v>
      </c>
      <c r="S3902" s="1394">
        <f>IFERROR(VLOOKUP(M3902,#REF!,6,0),0)</f>
        <v>0</v>
      </c>
      <c r="T3902" s="1394">
        <f t="shared" si="992"/>
        <v>0</v>
      </c>
      <c r="U3902" s="1394">
        <f>IFERROR(VLOOKUP(M3902,#REF!,5,0),0)</f>
        <v>0</v>
      </c>
      <c r="V3902" s="1394">
        <f t="shared" si="993"/>
        <v>0</v>
      </c>
      <c r="W3902" s="1394"/>
    </row>
    <row r="3903" spans="1:26" s="1398" customFormat="1" ht="30" customHeight="1">
      <c r="B3903" s="1392"/>
      <c r="C3903" s="1528"/>
      <c r="D3903" s="95"/>
      <c r="E3903" s="96"/>
      <c r="F3903" s="1413"/>
      <c r="G3903" s="1413"/>
      <c r="H3903" s="1414"/>
      <c r="I3903" s="1406"/>
      <c r="M3903" s="1530"/>
      <c r="Q3903" s="1394">
        <f>IFERROR(VLOOKUP(M3903,#REF!,3,0),0)</f>
        <v>0</v>
      </c>
      <c r="R3903" s="1394">
        <f t="shared" si="995"/>
        <v>0</v>
      </c>
      <c r="S3903" s="1394">
        <f>IFERROR(VLOOKUP(M3903,#REF!,6,0),0)</f>
        <v>0</v>
      </c>
      <c r="T3903" s="1394">
        <f t="shared" si="992"/>
        <v>0</v>
      </c>
      <c r="U3903" s="1394">
        <f>IFERROR(VLOOKUP(M3903,#REF!,5,0),0)</f>
        <v>0</v>
      </c>
      <c r="V3903" s="1394">
        <f t="shared" si="993"/>
        <v>0</v>
      </c>
      <c r="W3903" s="1394"/>
    </row>
    <row r="3904" spans="1:26" s="1394" customFormat="1" ht="30" customHeight="1">
      <c r="B3904" s="1421"/>
      <c r="C3904" s="1422" t="s">
        <v>270</v>
      </c>
      <c r="D3904" s="1389"/>
      <c r="E3904" s="1389"/>
      <c r="F3904" s="1423"/>
      <c r="G3904" s="1423"/>
      <c r="H3904" s="1424"/>
      <c r="I3904" s="1425">
        <f>J3905-J3904</f>
        <v>0</v>
      </c>
      <c r="J3904" s="1394">
        <f>SUM(I3893:I3903)</f>
        <v>200</v>
      </c>
      <c r="M3904" s="1426"/>
      <c r="Q3904" s="1394">
        <f>IFERROR(VLOOKUP(M3904,#REF!,3,0),0)</f>
        <v>0</v>
      </c>
      <c r="R3904" s="1394">
        <f t="shared" si="995"/>
        <v>0</v>
      </c>
      <c r="S3904" s="1394">
        <f>IFERROR(VLOOKUP(M3904,#REF!,6,0),0)</f>
        <v>0</v>
      </c>
      <c r="T3904" s="1394">
        <f t="shared" si="992"/>
        <v>0</v>
      </c>
      <c r="U3904" s="1394">
        <f>IFERROR(VLOOKUP(M3904,#REF!,5,0),0)</f>
        <v>0</v>
      </c>
      <c r="V3904" s="1394">
        <f t="shared" si="993"/>
        <v>0</v>
      </c>
    </row>
    <row r="3905" spans="1:26" s="1394" customFormat="1" ht="30" customHeight="1">
      <c r="B3905" s="1421"/>
      <c r="C3905" s="1457"/>
      <c r="D3905" s="1389"/>
      <c r="E3905" s="1389"/>
      <c r="F3905" s="1423"/>
      <c r="G3905" s="1423"/>
      <c r="H3905" s="1424"/>
      <c r="I3905" s="1427">
        <f>+J3905</f>
        <v>200</v>
      </c>
      <c r="J3905" s="1394">
        <f>ROUNDUP(J3904,1)</f>
        <v>200</v>
      </c>
      <c r="M3905" s="1426"/>
      <c r="Q3905" s="1394">
        <f>IFERROR(VLOOKUP(M3905,#REF!,3,0),0)</f>
        <v>0</v>
      </c>
      <c r="R3905" s="1394">
        <f t="shared" si="995"/>
        <v>0</v>
      </c>
      <c r="S3905" s="1394">
        <f>IFERROR(VLOOKUP(M3905,#REF!,6,0),0)</f>
        <v>0</v>
      </c>
      <c r="T3905" s="1394">
        <f t="shared" si="992"/>
        <v>0</v>
      </c>
      <c r="U3905" s="1394">
        <f>IFERROR(VLOOKUP(M3905,#REF!,5,0),0)</f>
        <v>0</v>
      </c>
      <c r="V3905" s="1394">
        <f t="shared" si="993"/>
        <v>0</v>
      </c>
    </row>
    <row r="3906" spans="1:26" s="1394" customFormat="1" ht="30" customHeight="1">
      <c r="B3906" s="1421"/>
      <c r="C3906" s="1422"/>
      <c r="D3906" s="1389"/>
      <c r="E3906" s="1389"/>
      <c r="F3906" s="1423"/>
      <c r="G3906" s="1428" t="s">
        <v>11</v>
      </c>
      <c r="H3906" s="1429">
        <f>I3905</f>
        <v>200</v>
      </c>
      <c r="I3906" s="1427" t="s">
        <v>12</v>
      </c>
      <c r="M3906" s="1394" t="str">
        <f>A3891</f>
        <v>Run of 2 Wires of 4 Sqm.m PVC insulated single core multi strand fire retardant flexible copper cable with ISI mark confirming IS: 694:1990.</v>
      </c>
      <c r="N3906" s="1394">
        <f>B3891</f>
        <v>77</v>
      </c>
      <c r="O3906" s="1394">
        <f>H3906</f>
        <v>200</v>
      </c>
      <c r="P3906" s="1394" t="str">
        <f>I3906</f>
        <v>Rmt</v>
      </c>
      <c r="Q3906" s="1394">
        <f>IFERROR(VLOOKUP(M3906,#REF!,3,0),0)</f>
        <v>0</v>
      </c>
      <c r="R3906" s="1394">
        <f t="shared" si="995"/>
        <v>0</v>
      </c>
      <c r="S3906" s="1394">
        <f>IFERROR(VLOOKUP(M3906,#REF!,6,0),0)</f>
        <v>0</v>
      </c>
      <c r="T3906" s="1394">
        <f t="shared" si="992"/>
        <v>0</v>
      </c>
      <c r="U3906" s="1394">
        <f>IFERROR(VLOOKUP(M3906,#REF!,5,0),0)</f>
        <v>0</v>
      </c>
      <c r="V3906" s="1394">
        <f t="shared" si="993"/>
        <v>200</v>
      </c>
    </row>
    <row r="3907" spans="1:26" s="1398" customFormat="1" ht="51.75" customHeight="1">
      <c r="A3907" s="1398" t="s">
        <v>1145</v>
      </c>
      <c r="B3907" s="1392">
        <v>77</v>
      </c>
      <c r="C3907" s="1678" t="e">
        <f>VLOOKUP(A3907,#REF!,2,0)</f>
        <v>#REF!</v>
      </c>
      <c r="D3907" s="1678"/>
      <c r="E3907" s="1678"/>
      <c r="F3907" s="1678"/>
      <c r="G3907" s="1678"/>
      <c r="H3907" s="1678"/>
      <c r="I3907" s="1406"/>
      <c r="M3907" s="1530"/>
      <c r="Q3907" s="1394">
        <f>IFERROR(VLOOKUP(M3907,#REF!,3,0),0)</f>
        <v>0</v>
      </c>
      <c r="R3907" s="1394">
        <f t="shared" si="995"/>
        <v>0</v>
      </c>
      <c r="S3907" s="1394">
        <f>IFERROR(VLOOKUP(M3907,#REF!,6,0),0)</f>
        <v>0</v>
      </c>
      <c r="T3907" s="1394">
        <f t="shared" ref="T3907:T3970" si="997">R3907-S3907</f>
        <v>0</v>
      </c>
      <c r="U3907" s="1394">
        <f>IFERROR(VLOOKUP(M3907,#REF!,5,0),0)</f>
        <v>0</v>
      </c>
      <c r="V3907" s="1394">
        <f t="shared" ref="V3907:V3970" si="998">O3907-U3907</f>
        <v>0</v>
      </c>
      <c r="W3907" s="1394"/>
    </row>
    <row r="3908" spans="1:26" s="1398" customFormat="1" ht="30" customHeight="1">
      <c r="B3908" s="1392"/>
      <c r="C3908" s="1528" t="s">
        <v>525</v>
      </c>
      <c r="D3908" s="95">
        <v>1</v>
      </c>
      <c r="E3908" s="95">
        <v>1</v>
      </c>
      <c r="F3908" s="1413">
        <v>20</v>
      </c>
      <c r="G3908" s="1413"/>
      <c r="H3908" s="1414"/>
      <c r="I3908" s="1406">
        <f>PRODUCT(D3908:H3908)</f>
        <v>20</v>
      </c>
      <c r="M3908" s="1530"/>
      <c r="Q3908" s="1394">
        <f>IFERROR(VLOOKUP(M3908,#REF!,3,0),0)</f>
        <v>0</v>
      </c>
      <c r="R3908" s="1394">
        <f t="shared" si="995"/>
        <v>0</v>
      </c>
      <c r="S3908" s="1394">
        <f>IFERROR(VLOOKUP(M3908,#REF!,6,0),0)</f>
        <v>0</v>
      </c>
      <c r="T3908" s="1394">
        <f t="shared" si="997"/>
        <v>0</v>
      </c>
      <c r="U3908" s="1394">
        <f>IFERROR(VLOOKUP(M3908,#REF!,5,0),0)</f>
        <v>0</v>
      </c>
      <c r="V3908" s="1394">
        <f t="shared" si="998"/>
        <v>0</v>
      </c>
      <c r="W3908" s="1394"/>
    </row>
    <row r="3909" spans="1:26" s="1398" customFormat="1" ht="30" customHeight="1">
      <c r="B3909" s="1392"/>
      <c r="C3909" s="1528" t="s">
        <v>337</v>
      </c>
      <c r="D3909" s="95">
        <v>1</v>
      </c>
      <c r="E3909" s="95">
        <v>1</v>
      </c>
      <c r="F3909" s="1413">
        <v>25</v>
      </c>
      <c r="G3909" s="1413"/>
      <c r="H3909" s="1414"/>
      <c r="I3909" s="1406">
        <f>PRODUCT(D3909:H3909)</f>
        <v>25</v>
      </c>
      <c r="M3909" s="1530"/>
      <c r="Q3909" s="1394">
        <f>IFERROR(VLOOKUP(M3909,#REF!,3,0),0)</f>
        <v>0</v>
      </c>
      <c r="R3909" s="1394">
        <f t="shared" si="995"/>
        <v>0</v>
      </c>
      <c r="S3909" s="1394">
        <f>IFERROR(VLOOKUP(M3909,#REF!,6,0),0)</f>
        <v>0</v>
      </c>
      <c r="T3909" s="1394">
        <f t="shared" si="997"/>
        <v>0</v>
      </c>
      <c r="U3909" s="1394">
        <f>IFERROR(VLOOKUP(M3909,#REF!,5,0),0)</f>
        <v>0</v>
      </c>
      <c r="V3909" s="1394">
        <f t="shared" si="998"/>
        <v>0</v>
      </c>
      <c r="W3909" s="1394"/>
    </row>
    <row r="3910" spans="1:26" s="1398" customFormat="1" ht="30" customHeight="1">
      <c r="B3910" s="1392"/>
      <c r="C3910" s="1528" t="s">
        <v>5909</v>
      </c>
      <c r="D3910" s="95">
        <v>1</v>
      </c>
      <c r="E3910" s="95">
        <v>1</v>
      </c>
      <c r="F3910" s="1413">
        <v>25</v>
      </c>
      <c r="G3910" s="1413"/>
      <c r="H3910" s="1414"/>
      <c r="I3910" s="1406">
        <f>PRODUCT(D3910:H3910)</f>
        <v>25</v>
      </c>
      <c r="M3910" s="1530"/>
      <c r="Q3910" s="1394">
        <f>IFERROR(VLOOKUP(M3910,#REF!,3,0),0)</f>
        <v>0</v>
      </c>
      <c r="R3910" s="1394">
        <f t="shared" si="995"/>
        <v>0</v>
      </c>
      <c r="S3910" s="1394">
        <f>IFERROR(VLOOKUP(M3910,#REF!,6,0),0)</f>
        <v>0</v>
      </c>
      <c r="T3910" s="1394">
        <f t="shared" si="997"/>
        <v>0</v>
      </c>
      <c r="U3910" s="1394">
        <f>IFERROR(VLOOKUP(M3910,#REF!,5,0),0)</f>
        <v>0</v>
      </c>
      <c r="V3910" s="1394">
        <f t="shared" si="998"/>
        <v>0</v>
      </c>
      <c r="W3910" s="1394"/>
    </row>
    <row r="3911" spans="1:26" s="1398" customFormat="1" ht="30" customHeight="1">
      <c r="B3911" s="1392"/>
      <c r="C3911" s="1528"/>
      <c r="D3911" s="95"/>
      <c r="E3911" s="96"/>
      <c r="F3911" s="1413"/>
      <c r="G3911" s="1413"/>
      <c r="H3911" s="1478"/>
      <c r="I3911" s="1479">
        <f>SUM(I3908:I3910)</f>
        <v>70</v>
      </c>
      <c r="M3911" s="1530"/>
      <c r="Q3911" s="1394">
        <f>IFERROR(VLOOKUP(M3911,#REF!,3,0),0)</f>
        <v>0</v>
      </c>
      <c r="R3911" s="1394">
        <f t="shared" si="995"/>
        <v>0</v>
      </c>
      <c r="S3911" s="1394">
        <f>IFERROR(VLOOKUP(M3911,#REF!,6,0),0)</f>
        <v>0</v>
      </c>
      <c r="T3911" s="1394">
        <f t="shared" si="997"/>
        <v>0</v>
      </c>
      <c r="U3911" s="1394">
        <f>IFERROR(VLOOKUP(M3911,#REF!,5,0),0)</f>
        <v>0</v>
      </c>
      <c r="V3911" s="1394">
        <f t="shared" si="998"/>
        <v>0</v>
      </c>
      <c r="W3911" s="1394"/>
    </row>
    <row r="3912" spans="1:26" s="1398" customFormat="1" ht="30" customHeight="1">
      <c r="B3912" s="1392"/>
      <c r="C3912" s="1528"/>
      <c r="D3912" s="95"/>
      <c r="E3912" s="96"/>
      <c r="F3912" s="1413"/>
      <c r="G3912" s="1483" t="s">
        <v>11</v>
      </c>
      <c r="H3912" s="1478">
        <f>ROUNDUP(I3911,1)</f>
        <v>70</v>
      </c>
      <c r="I3912" s="1479" t="s">
        <v>12</v>
      </c>
      <c r="J3912" s="110"/>
      <c r="K3912" s="110"/>
      <c r="M3912" s="1394" t="str">
        <f>A3907</f>
        <v xml:space="preserve">Run of 4 Wires of 10 Sqm.m PVC insulated single core multi strand </v>
      </c>
      <c r="N3912" s="1394">
        <f>B3907</f>
        <v>77</v>
      </c>
      <c r="O3912" s="1394">
        <f>H3912</f>
        <v>70</v>
      </c>
      <c r="P3912" s="1394" t="str">
        <f>I3912</f>
        <v>Rmt</v>
      </c>
      <c r="Q3912" s="1394">
        <f>IFERROR(VLOOKUP(M3912,#REF!,3,0),0)</f>
        <v>0</v>
      </c>
      <c r="R3912" s="1394">
        <f t="shared" si="995"/>
        <v>0</v>
      </c>
      <c r="S3912" s="1394">
        <f>IFERROR(VLOOKUP(M3912,#REF!,6,0),0)</f>
        <v>0</v>
      </c>
      <c r="T3912" s="1394">
        <f t="shared" si="997"/>
        <v>0</v>
      </c>
      <c r="U3912" s="1394">
        <f>IFERROR(VLOOKUP(M3912,#REF!,5,0),0)</f>
        <v>0</v>
      </c>
      <c r="V3912" s="1394">
        <f t="shared" si="998"/>
        <v>70</v>
      </c>
      <c r="W3912" s="1394"/>
      <c r="Z3912" s="1394"/>
    </row>
    <row r="3913" spans="1:26" s="1398" customFormat="1" ht="30" customHeight="1">
      <c r="A3913" s="1398" t="s">
        <v>1144</v>
      </c>
      <c r="B3913" s="1392">
        <v>77.099999999999994</v>
      </c>
      <c r="C3913" s="1678" t="e">
        <f>VLOOKUP(A3913,#REF!,2,0)</f>
        <v>#REF!</v>
      </c>
      <c r="D3913" s="1678"/>
      <c r="E3913" s="1678"/>
      <c r="F3913" s="1678"/>
      <c r="G3913" s="1678"/>
      <c r="H3913" s="1678"/>
      <c r="I3913" s="1406"/>
      <c r="M3913" s="1530"/>
      <c r="Q3913" s="1394">
        <f>IFERROR(VLOOKUP(M3913,#REF!,3,0),0)</f>
        <v>0</v>
      </c>
      <c r="R3913" s="1394">
        <f t="shared" si="995"/>
        <v>0</v>
      </c>
      <c r="S3913" s="1394">
        <f>IFERROR(VLOOKUP(M3913,#REF!,6,0),0)</f>
        <v>0</v>
      </c>
      <c r="T3913" s="1394">
        <f t="shared" si="997"/>
        <v>0</v>
      </c>
      <c r="U3913" s="1394">
        <f>IFERROR(VLOOKUP(M3913,#REF!,5,0),0)</f>
        <v>0</v>
      </c>
      <c r="V3913" s="1394">
        <f t="shared" si="998"/>
        <v>0</v>
      </c>
      <c r="W3913" s="1394"/>
    </row>
    <row r="3914" spans="1:26" s="1398" customFormat="1" ht="30" customHeight="1">
      <c r="B3914" s="1392"/>
      <c r="C3914" s="1528" t="s">
        <v>527</v>
      </c>
      <c r="D3914" s="95">
        <v>1</v>
      </c>
      <c r="E3914" s="95">
        <v>1</v>
      </c>
      <c r="F3914" s="1413">
        <v>20</v>
      </c>
      <c r="G3914" s="1413"/>
      <c r="H3914" s="1414"/>
      <c r="I3914" s="1406">
        <f>PRODUCT(D3914:H3914)</f>
        <v>20</v>
      </c>
      <c r="M3914" s="1530"/>
      <c r="Q3914" s="1394">
        <f>IFERROR(VLOOKUP(M3914,#REF!,3,0),0)</f>
        <v>0</v>
      </c>
      <c r="R3914" s="1394">
        <f t="shared" si="995"/>
        <v>0</v>
      </c>
      <c r="S3914" s="1394">
        <f>IFERROR(VLOOKUP(M3914,#REF!,6,0),0)</f>
        <v>0</v>
      </c>
      <c r="T3914" s="1394">
        <f t="shared" si="997"/>
        <v>0</v>
      </c>
      <c r="U3914" s="1394">
        <f>IFERROR(VLOOKUP(M3914,#REF!,5,0),0)</f>
        <v>0</v>
      </c>
      <c r="V3914" s="1394">
        <f t="shared" si="998"/>
        <v>0</v>
      </c>
      <c r="W3914" s="1394"/>
    </row>
    <row r="3915" spans="1:26" s="1398" customFormat="1" ht="30" customHeight="1">
      <c r="B3915" s="1392"/>
      <c r="C3915" s="1528" t="s">
        <v>528</v>
      </c>
      <c r="D3915" s="95">
        <v>1</v>
      </c>
      <c r="E3915" s="95">
        <v>1</v>
      </c>
      <c r="F3915" s="1413">
        <v>25</v>
      </c>
      <c r="G3915" s="1413"/>
      <c r="H3915" s="1414"/>
      <c r="I3915" s="1406">
        <f>PRODUCT(D3915:H3915)</f>
        <v>25</v>
      </c>
      <c r="M3915" s="1530"/>
      <c r="Q3915" s="1394">
        <f>IFERROR(VLOOKUP(M3915,#REF!,3,0),0)</f>
        <v>0</v>
      </c>
      <c r="R3915" s="1394">
        <f t="shared" si="995"/>
        <v>0</v>
      </c>
      <c r="S3915" s="1394">
        <f>IFERROR(VLOOKUP(M3915,#REF!,6,0),0)</f>
        <v>0</v>
      </c>
      <c r="T3915" s="1394">
        <f t="shared" si="997"/>
        <v>0</v>
      </c>
      <c r="U3915" s="1394">
        <f>IFERROR(VLOOKUP(M3915,#REF!,5,0),0)</f>
        <v>0</v>
      </c>
      <c r="V3915" s="1394">
        <f t="shared" si="998"/>
        <v>0</v>
      </c>
      <c r="W3915" s="1394"/>
    </row>
    <row r="3916" spans="1:26" s="1398" customFormat="1" ht="30" customHeight="1">
      <c r="B3916" s="1392"/>
      <c r="C3916" s="1528" t="s">
        <v>529</v>
      </c>
      <c r="D3916" s="95">
        <v>1</v>
      </c>
      <c r="E3916" s="95">
        <v>1</v>
      </c>
      <c r="F3916" s="1413">
        <v>25</v>
      </c>
      <c r="G3916" s="1413"/>
      <c r="H3916" s="1414"/>
      <c r="I3916" s="1406">
        <f>PRODUCT(D3916:H3916)</f>
        <v>25</v>
      </c>
      <c r="M3916" s="1530"/>
      <c r="Q3916" s="1394">
        <f>IFERROR(VLOOKUP(M3916,#REF!,3,0),0)</f>
        <v>0</v>
      </c>
      <c r="R3916" s="1394">
        <f t="shared" si="995"/>
        <v>0</v>
      </c>
      <c r="S3916" s="1394">
        <f>IFERROR(VLOOKUP(M3916,#REF!,6,0),0)</f>
        <v>0</v>
      </c>
      <c r="T3916" s="1394">
        <f t="shared" si="997"/>
        <v>0</v>
      </c>
      <c r="U3916" s="1394">
        <f>IFERROR(VLOOKUP(M3916,#REF!,5,0),0)</f>
        <v>0</v>
      </c>
      <c r="V3916" s="1394">
        <f t="shared" si="998"/>
        <v>0</v>
      </c>
      <c r="W3916" s="1394"/>
    </row>
    <row r="3917" spans="1:26" s="1398" customFormat="1" ht="30" customHeight="1">
      <c r="B3917" s="1392"/>
      <c r="C3917" s="1528"/>
      <c r="D3917" s="95"/>
      <c r="E3917" s="95"/>
      <c r="F3917" s="1413"/>
      <c r="G3917" s="1413"/>
      <c r="H3917" s="1414"/>
      <c r="I3917" s="1406"/>
      <c r="M3917" s="1530"/>
      <c r="Q3917" s="1394">
        <f>IFERROR(VLOOKUP(M3917,#REF!,3,0),0)</f>
        <v>0</v>
      </c>
      <c r="R3917" s="1394">
        <f t="shared" si="995"/>
        <v>0</v>
      </c>
      <c r="S3917" s="1394">
        <f>IFERROR(VLOOKUP(M3917,#REF!,6,0),0)</f>
        <v>0</v>
      </c>
      <c r="T3917" s="1394">
        <f t="shared" si="997"/>
        <v>0</v>
      </c>
      <c r="U3917" s="1394">
        <f>IFERROR(VLOOKUP(M3917,#REF!,5,0),0)</f>
        <v>0</v>
      </c>
      <c r="V3917" s="1394">
        <f t="shared" si="998"/>
        <v>0</v>
      </c>
      <c r="W3917" s="1394"/>
    </row>
    <row r="3918" spans="1:26" s="1398" customFormat="1" ht="30" customHeight="1">
      <c r="B3918" s="1392"/>
      <c r="C3918" s="1528"/>
      <c r="D3918" s="95"/>
      <c r="E3918" s="96"/>
      <c r="F3918" s="1413"/>
      <c r="G3918" s="1413"/>
      <c r="H3918" s="1478"/>
      <c r="I3918" s="1479">
        <f>SUM(I3914:I3917)</f>
        <v>70</v>
      </c>
      <c r="M3918" s="1530"/>
      <c r="Q3918" s="1394">
        <f>IFERROR(VLOOKUP(M3918,#REF!,3,0),0)</f>
        <v>0</v>
      </c>
      <c r="R3918" s="1394">
        <f t="shared" si="995"/>
        <v>0</v>
      </c>
      <c r="S3918" s="1394">
        <f>IFERROR(VLOOKUP(M3918,#REF!,6,0),0)</f>
        <v>0</v>
      </c>
      <c r="T3918" s="1394">
        <f t="shared" si="997"/>
        <v>0</v>
      </c>
      <c r="U3918" s="1394">
        <f>IFERROR(VLOOKUP(M3918,#REF!,5,0),0)</f>
        <v>0</v>
      </c>
      <c r="V3918" s="1394">
        <f t="shared" si="998"/>
        <v>0</v>
      </c>
      <c r="W3918" s="1394"/>
    </row>
    <row r="3919" spans="1:26" s="1398" customFormat="1" ht="30" customHeight="1">
      <c r="B3919" s="1392"/>
      <c r="C3919" s="1528"/>
      <c r="D3919" s="95"/>
      <c r="E3919" s="96"/>
      <c r="F3919" s="1413"/>
      <c r="G3919" s="1483" t="s">
        <v>11</v>
      </c>
      <c r="H3919" s="1478">
        <f>ROUNDUP(I3918,1)</f>
        <v>70</v>
      </c>
      <c r="I3919" s="1479" t="s">
        <v>12</v>
      </c>
      <c r="J3919" s="110"/>
      <c r="K3919" s="110"/>
      <c r="M3919" s="1394" t="str">
        <f>A3913</f>
        <v xml:space="preserve">Run of 4 Wires of 6 Sqm.m PVC insulated single core multi strand </v>
      </c>
      <c r="N3919" s="1394">
        <f>B3913</f>
        <v>77.099999999999994</v>
      </c>
      <c r="O3919" s="1394">
        <f>H3919</f>
        <v>70</v>
      </c>
      <c r="P3919" s="1394" t="str">
        <f>I3919</f>
        <v>Rmt</v>
      </c>
      <c r="Q3919" s="1394">
        <f>IFERROR(VLOOKUP(M3919,#REF!,3,0),0)</f>
        <v>0</v>
      </c>
      <c r="R3919" s="1394">
        <f t="shared" si="995"/>
        <v>0</v>
      </c>
      <c r="S3919" s="1394">
        <f>IFERROR(VLOOKUP(M3919,#REF!,6,0),0)</f>
        <v>0</v>
      </c>
      <c r="T3919" s="1394">
        <f t="shared" si="997"/>
        <v>0</v>
      </c>
      <c r="U3919" s="1394">
        <f>IFERROR(VLOOKUP(M3919,#REF!,5,0),0)</f>
        <v>0</v>
      </c>
      <c r="V3919" s="1394">
        <f t="shared" si="998"/>
        <v>70</v>
      </c>
      <c r="W3919" s="1394"/>
      <c r="Z3919" s="1394"/>
    </row>
    <row r="3920" spans="1:26" ht="73.5" customHeight="1">
      <c r="A3920" s="110" t="s">
        <v>530</v>
      </c>
      <c r="B3920" s="1405">
        <v>77.3</v>
      </c>
      <c r="C3920" s="1678" t="e">
        <f>VLOOKUP(A3920,#REF!,2,0)</f>
        <v>#REF!</v>
      </c>
      <c r="D3920" s="1678"/>
      <c r="E3920" s="1678"/>
      <c r="F3920" s="1678"/>
      <c r="G3920" s="1678"/>
      <c r="H3920" s="1678"/>
      <c r="I3920" s="1406"/>
      <c r="Q3920" s="1394">
        <f>IFERROR(VLOOKUP(M3920,#REF!,3,0),0)</f>
        <v>0</v>
      </c>
      <c r="R3920" s="1394">
        <f t="shared" si="995"/>
        <v>0</v>
      </c>
      <c r="S3920" s="1394">
        <f>IFERROR(VLOOKUP(M3920,#REF!,6,0),0)</f>
        <v>0</v>
      </c>
      <c r="T3920" s="1394">
        <f t="shared" si="997"/>
        <v>0</v>
      </c>
      <c r="U3920" s="1394">
        <f>IFERROR(VLOOKUP(M3920,#REF!,5,0),0)</f>
        <v>0</v>
      </c>
      <c r="V3920" s="1394">
        <f t="shared" si="998"/>
        <v>0</v>
      </c>
      <c r="W3920" s="1394"/>
      <c r="X3920" s="1397"/>
    </row>
    <row r="3921" spans="1:26" ht="30" customHeight="1">
      <c r="B3921" s="1407"/>
      <c r="C3921" s="1455"/>
      <c r="D3921" s="103"/>
      <c r="E3921" s="103"/>
      <c r="F3921" s="1413"/>
      <c r="G3921" s="1413"/>
      <c r="H3921" s="1414"/>
      <c r="I3921" s="1406">
        <f t="shared" ref="I3921:I3930" si="999">PRODUCT(D3921:H3921)</f>
        <v>0</v>
      </c>
      <c r="Q3921" s="1394">
        <f>IFERROR(VLOOKUP(M3921,#REF!,3,0),0)</f>
        <v>0</v>
      </c>
      <c r="R3921" s="1394">
        <f t="shared" si="995"/>
        <v>0</v>
      </c>
      <c r="S3921" s="1394">
        <f>IFERROR(VLOOKUP(M3921,#REF!,6,0),0)</f>
        <v>0</v>
      </c>
      <c r="T3921" s="1394">
        <f t="shared" si="997"/>
        <v>0</v>
      </c>
      <c r="U3921" s="1394">
        <f>IFERROR(VLOOKUP(M3921,#REF!,5,0),0)</f>
        <v>0</v>
      </c>
      <c r="V3921" s="1394">
        <f t="shared" si="998"/>
        <v>0</v>
      </c>
      <c r="W3921" s="1394"/>
    </row>
    <row r="3922" spans="1:26" ht="30" customHeight="1">
      <c r="B3922" s="1407"/>
      <c r="C3922" s="1412" t="s">
        <v>488</v>
      </c>
      <c r="D3922" s="103"/>
      <c r="E3922" s="103"/>
      <c r="F3922" s="1413"/>
      <c r="G3922" s="1413"/>
      <c r="H3922" s="1414"/>
      <c r="I3922" s="1406">
        <f t="shared" si="999"/>
        <v>0</v>
      </c>
      <c r="Q3922" s="1394">
        <f>IFERROR(VLOOKUP(M3922,#REF!,3,0),0)</f>
        <v>0</v>
      </c>
      <c r="R3922" s="1394">
        <f t="shared" si="995"/>
        <v>0</v>
      </c>
      <c r="S3922" s="1394">
        <f>IFERROR(VLOOKUP(M3922,#REF!,6,0),0)</f>
        <v>0</v>
      </c>
      <c r="T3922" s="1394">
        <f t="shared" si="997"/>
        <v>0</v>
      </c>
      <c r="U3922" s="1394">
        <f>IFERROR(VLOOKUP(M3922,#REF!,5,0),0)</f>
        <v>0</v>
      </c>
      <c r="V3922" s="1394">
        <f t="shared" si="998"/>
        <v>0</v>
      </c>
      <c r="W3922" s="1394"/>
    </row>
    <row r="3923" spans="1:26" ht="30" customHeight="1">
      <c r="B3923" s="1407"/>
      <c r="C3923" s="1455" t="s">
        <v>5910</v>
      </c>
      <c r="D3923" s="103">
        <v>1</v>
      </c>
      <c r="E3923" s="103">
        <v>2</v>
      </c>
      <c r="F3923" s="1413"/>
      <c r="G3923" s="1413"/>
      <c r="H3923" s="1414"/>
      <c r="I3923" s="1406">
        <f t="shared" si="999"/>
        <v>2</v>
      </c>
      <c r="Q3923" s="1394">
        <f>IFERROR(VLOOKUP(M3923,#REF!,3,0),0)</f>
        <v>0</v>
      </c>
      <c r="R3923" s="1394">
        <f t="shared" si="995"/>
        <v>0</v>
      </c>
      <c r="S3923" s="1394">
        <f>IFERROR(VLOOKUP(M3923,#REF!,6,0),0)</f>
        <v>0</v>
      </c>
      <c r="T3923" s="1394">
        <f t="shared" si="997"/>
        <v>0</v>
      </c>
      <c r="U3923" s="1394">
        <f>IFERROR(VLOOKUP(M3923,#REF!,5,0),0)</f>
        <v>0</v>
      </c>
      <c r="V3923" s="1394">
        <f t="shared" si="998"/>
        <v>0</v>
      </c>
      <c r="W3923" s="1394"/>
    </row>
    <row r="3924" spans="1:26" ht="30" customHeight="1">
      <c r="B3924" s="1407"/>
      <c r="C3924" s="1455" t="s">
        <v>5785</v>
      </c>
      <c r="D3924" s="103">
        <v>1</v>
      </c>
      <c r="E3924" s="103">
        <v>1</v>
      </c>
      <c r="F3924" s="1413"/>
      <c r="G3924" s="1413"/>
      <c r="H3924" s="1414"/>
      <c r="I3924" s="1406">
        <f t="shared" si="999"/>
        <v>1</v>
      </c>
      <c r="Q3924" s="1394">
        <f>IFERROR(VLOOKUP(M3924,#REF!,3,0),0)</f>
        <v>0</v>
      </c>
      <c r="R3924" s="1394">
        <f t="shared" si="995"/>
        <v>0</v>
      </c>
      <c r="S3924" s="1394">
        <f>IFERROR(VLOOKUP(M3924,#REF!,6,0),0)</f>
        <v>0</v>
      </c>
      <c r="T3924" s="1394">
        <f t="shared" si="997"/>
        <v>0</v>
      </c>
      <c r="U3924" s="1394">
        <f>IFERROR(VLOOKUP(M3924,#REF!,5,0),0)</f>
        <v>0</v>
      </c>
      <c r="V3924" s="1394">
        <f t="shared" si="998"/>
        <v>0</v>
      </c>
      <c r="W3924" s="1394"/>
    </row>
    <row r="3925" spans="1:26" ht="30" customHeight="1">
      <c r="B3925" s="1407"/>
      <c r="C3925" s="1455" t="s">
        <v>5911</v>
      </c>
      <c r="D3925" s="103">
        <v>1</v>
      </c>
      <c r="E3925" s="103">
        <v>1</v>
      </c>
      <c r="F3925" s="1413"/>
      <c r="G3925" s="1413"/>
      <c r="H3925" s="1414"/>
      <c r="I3925" s="1406">
        <f t="shared" si="999"/>
        <v>1</v>
      </c>
      <c r="Q3925" s="1394">
        <f>IFERROR(VLOOKUP(M3925,#REF!,3,0),0)</f>
        <v>0</v>
      </c>
      <c r="R3925" s="1394">
        <f t="shared" si="995"/>
        <v>0</v>
      </c>
      <c r="S3925" s="1394">
        <f>IFERROR(VLOOKUP(M3925,#REF!,6,0),0)</f>
        <v>0</v>
      </c>
      <c r="T3925" s="1394">
        <f t="shared" si="997"/>
        <v>0</v>
      </c>
      <c r="U3925" s="1394">
        <f>IFERROR(VLOOKUP(M3925,#REF!,5,0),0)</f>
        <v>0</v>
      </c>
      <c r="V3925" s="1394">
        <f t="shared" si="998"/>
        <v>0</v>
      </c>
      <c r="W3925" s="1394"/>
    </row>
    <row r="3926" spans="1:26" ht="30" customHeight="1">
      <c r="B3926" s="1407"/>
      <c r="C3926" s="1412" t="s">
        <v>485</v>
      </c>
      <c r="D3926" s="103"/>
      <c r="E3926" s="103"/>
      <c r="F3926" s="1413"/>
      <c r="G3926" s="1413"/>
      <c r="H3926" s="1414"/>
      <c r="I3926" s="1406">
        <f t="shared" si="999"/>
        <v>0</v>
      </c>
      <c r="Q3926" s="1394">
        <f>IFERROR(VLOOKUP(M3926,#REF!,3,0),0)</f>
        <v>0</v>
      </c>
      <c r="R3926" s="1394">
        <f t="shared" si="995"/>
        <v>0</v>
      </c>
      <c r="S3926" s="1394">
        <f>IFERROR(VLOOKUP(M3926,#REF!,6,0),0)</f>
        <v>0</v>
      </c>
      <c r="T3926" s="1394">
        <f t="shared" si="997"/>
        <v>0</v>
      </c>
      <c r="U3926" s="1394">
        <f>IFERROR(VLOOKUP(M3926,#REF!,5,0),0)</f>
        <v>0</v>
      </c>
      <c r="V3926" s="1394">
        <f t="shared" si="998"/>
        <v>0</v>
      </c>
      <c r="W3926" s="1394"/>
    </row>
    <row r="3927" spans="1:26" ht="30" customHeight="1">
      <c r="B3927" s="1407"/>
      <c r="C3927" s="1455" t="s">
        <v>5910</v>
      </c>
      <c r="D3927" s="103">
        <v>1</v>
      </c>
      <c r="E3927" s="103">
        <v>2</v>
      </c>
      <c r="F3927" s="1413"/>
      <c r="G3927" s="1413"/>
      <c r="H3927" s="1414"/>
      <c r="I3927" s="1406">
        <f t="shared" si="999"/>
        <v>2</v>
      </c>
      <c r="Q3927" s="1394">
        <f>IFERROR(VLOOKUP(M3927,#REF!,3,0),0)</f>
        <v>0</v>
      </c>
      <c r="R3927" s="1394">
        <f t="shared" si="995"/>
        <v>0</v>
      </c>
      <c r="S3927" s="1394">
        <f>IFERROR(VLOOKUP(M3927,#REF!,6,0),0)</f>
        <v>0</v>
      </c>
      <c r="T3927" s="1394">
        <f t="shared" si="997"/>
        <v>0</v>
      </c>
      <c r="U3927" s="1394">
        <f>IFERROR(VLOOKUP(M3927,#REF!,5,0),0)</f>
        <v>0</v>
      </c>
      <c r="V3927" s="1394">
        <f t="shared" si="998"/>
        <v>0</v>
      </c>
      <c r="W3927" s="1394"/>
    </row>
    <row r="3928" spans="1:26" ht="30" customHeight="1">
      <c r="B3928" s="1407"/>
      <c r="C3928" s="1455" t="s">
        <v>5674</v>
      </c>
      <c r="D3928" s="103">
        <v>1</v>
      </c>
      <c r="E3928" s="103">
        <v>1</v>
      </c>
      <c r="F3928" s="1413"/>
      <c r="G3928" s="1413"/>
      <c r="H3928" s="1414"/>
      <c r="I3928" s="1406">
        <f t="shared" si="999"/>
        <v>1</v>
      </c>
      <c r="Q3928" s="1394">
        <f>IFERROR(VLOOKUP(M3928,#REF!,3,0),0)</f>
        <v>0</v>
      </c>
      <c r="R3928" s="1394">
        <f t="shared" si="995"/>
        <v>0</v>
      </c>
      <c r="S3928" s="1394">
        <f>IFERROR(VLOOKUP(M3928,#REF!,6,0),0)</f>
        <v>0</v>
      </c>
      <c r="T3928" s="1394">
        <f t="shared" si="997"/>
        <v>0</v>
      </c>
      <c r="U3928" s="1394">
        <f>IFERROR(VLOOKUP(M3928,#REF!,5,0),0)</f>
        <v>0</v>
      </c>
      <c r="V3928" s="1394">
        <f t="shared" si="998"/>
        <v>0</v>
      </c>
      <c r="W3928" s="1394"/>
    </row>
    <row r="3929" spans="1:26" ht="30" customHeight="1">
      <c r="B3929" s="1407"/>
      <c r="C3929" s="1455" t="s">
        <v>5628</v>
      </c>
      <c r="D3929" s="103">
        <v>1</v>
      </c>
      <c r="E3929" s="103">
        <v>1</v>
      </c>
      <c r="F3929" s="1413"/>
      <c r="G3929" s="1413"/>
      <c r="H3929" s="1414"/>
      <c r="I3929" s="1406">
        <f t="shared" ref="I3929" si="1000">PRODUCT(D3929:H3929)</f>
        <v>1</v>
      </c>
      <c r="Q3929" s="1394">
        <f>IFERROR(VLOOKUP(M3929,#REF!,3,0),0)</f>
        <v>0</v>
      </c>
      <c r="R3929" s="1394">
        <f t="shared" si="995"/>
        <v>0</v>
      </c>
      <c r="S3929" s="1394">
        <f>IFERROR(VLOOKUP(M3929,#REF!,6,0),0)</f>
        <v>0</v>
      </c>
      <c r="T3929" s="1394">
        <f t="shared" si="997"/>
        <v>0</v>
      </c>
      <c r="U3929" s="1394">
        <f>IFERROR(VLOOKUP(M3929,#REF!,5,0),0)</f>
        <v>0</v>
      </c>
      <c r="V3929" s="1394">
        <f t="shared" si="998"/>
        <v>0</v>
      </c>
      <c r="W3929" s="1394"/>
    </row>
    <row r="3930" spans="1:26" ht="30" customHeight="1">
      <c r="B3930" s="1407"/>
      <c r="C3930" s="1412" t="s">
        <v>489</v>
      </c>
      <c r="D3930" s="103"/>
      <c r="E3930" s="103"/>
      <c r="F3930" s="1413"/>
      <c r="G3930" s="1413"/>
      <c r="H3930" s="1414"/>
      <c r="I3930" s="1406">
        <f t="shared" si="999"/>
        <v>0</v>
      </c>
      <c r="Q3930" s="1394">
        <f>IFERROR(VLOOKUP(M3930,#REF!,3,0),0)</f>
        <v>0</v>
      </c>
      <c r="R3930" s="1394">
        <f t="shared" si="995"/>
        <v>0</v>
      </c>
      <c r="S3930" s="1394">
        <f>IFERROR(VLOOKUP(M3930,#REF!,6,0),0)</f>
        <v>0</v>
      </c>
      <c r="T3930" s="1394">
        <f t="shared" si="997"/>
        <v>0</v>
      </c>
      <c r="U3930" s="1394">
        <f>IFERROR(VLOOKUP(M3930,#REF!,5,0),0)</f>
        <v>0</v>
      </c>
      <c r="V3930" s="1394">
        <f t="shared" si="998"/>
        <v>0</v>
      </c>
      <c r="W3930" s="1394"/>
    </row>
    <row r="3931" spans="1:26" ht="30" customHeight="1">
      <c r="B3931" s="1407"/>
      <c r="C3931" s="1455" t="s">
        <v>5912</v>
      </c>
      <c r="D3931" s="103">
        <v>1</v>
      </c>
      <c r="E3931" s="103">
        <v>1</v>
      </c>
      <c r="F3931" s="1413"/>
      <c r="G3931" s="1413"/>
      <c r="H3931" s="1414"/>
      <c r="I3931" s="1406">
        <f t="shared" ref="I3931:I3933" si="1001">PRODUCT(D3931:H3931)</f>
        <v>1</v>
      </c>
      <c r="Q3931" s="1394">
        <f>IFERROR(VLOOKUP(M3931,#REF!,3,0),0)</f>
        <v>0</v>
      </c>
      <c r="R3931" s="1394">
        <f t="shared" si="995"/>
        <v>0</v>
      </c>
      <c r="S3931" s="1394">
        <f>IFERROR(VLOOKUP(M3931,#REF!,6,0),0)</f>
        <v>0</v>
      </c>
      <c r="T3931" s="1394">
        <f t="shared" si="997"/>
        <v>0</v>
      </c>
      <c r="U3931" s="1394">
        <f>IFERROR(VLOOKUP(M3931,#REF!,5,0),0)</f>
        <v>0</v>
      </c>
      <c r="V3931" s="1394">
        <f t="shared" si="998"/>
        <v>0</v>
      </c>
      <c r="W3931" s="1394"/>
    </row>
    <row r="3932" spans="1:26" ht="30" customHeight="1">
      <c r="B3932" s="1407"/>
      <c r="C3932" s="1455" t="s">
        <v>5752</v>
      </c>
      <c r="D3932" s="103">
        <v>1</v>
      </c>
      <c r="E3932" s="103">
        <v>1</v>
      </c>
      <c r="F3932" s="1413"/>
      <c r="G3932" s="1413"/>
      <c r="H3932" s="1414"/>
      <c r="I3932" s="1406">
        <f t="shared" si="1001"/>
        <v>1</v>
      </c>
      <c r="Q3932" s="1394">
        <f>IFERROR(VLOOKUP(M3932,#REF!,3,0),0)</f>
        <v>0</v>
      </c>
      <c r="R3932" s="1394">
        <f t="shared" si="995"/>
        <v>0</v>
      </c>
      <c r="S3932" s="1394">
        <f>IFERROR(VLOOKUP(M3932,#REF!,6,0),0)</f>
        <v>0</v>
      </c>
      <c r="T3932" s="1394">
        <f t="shared" si="997"/>
        <v>0</v>
      </c>
      <c r="U3932" s="1394">
        <f>IFERROR(VLOOKUP(M3932,#REF!,5,0),0)</f>
        <v>0</v>
      </c>
      <c r="V3932" s="1394">
        <f t="shared" si="998"/>
        <v>0</v>
      </c>
      <c r="W3932" s="1394"/>
    </row>
    <row r="3933" spans="1:26" ht="30" customHeight="1">
      <c r="B3933" s="1407"/>
      <c r="C3933" s="1455" t="s">
        <v>5643</v>
      </c>
      <c r="D3933" s="103">
        <v>1</v>
      </c>
      <c r="E3933" s="103">
        <v>1</v>
      </c>
      <c r="F3933" s="1413"/>
      <c r="G3933" s="1413"/>
      <c r="H3933" s="1414"/>
      <c r="I3933" s="1406">
        <f t="shared" si="1001"/>
        <v>1</v>
      </c>
      <c r="Q3933" s="1394">
        <f>IFERROR(VLOOKUP(M3933,#REF!,3,0),0)</f>
        <v>0</v>
      </c>
      <c r="R3933" s="1394">
        <f t="shared" si="995"/>
        <v>0</v>
      </c>
      <c r="S3933" s="1394">
        <f>IFERROR(VLOOKUP(M3933,#REF!,6,0),0)</f>
        <v>0</v>
      </c>
      <c r="T3933" s="1394">
        <f t="shared" si="997"/>
        <v>0</v>
      </c>
      <c r="U3933" s="1394">
        <f>IFERROR(VLOOKUP(M3933,#REF!,5,0),0)</f>
        <v>0</v>
      </c>
      <c r="V3933" s="1394">
        <f t="shared" si="998"/>
        <v>0</v>
      </c>
      <c r="W3933" s="1394"/>
    </row>
    <row r="3934" spans="1:26" ht="30" customHeight="1">
      <c r="B3934" s="1407"/>
      <c r="C3934" s="1455"/>
      <c r="D3934" s="103"/>
      <c r="E3934" s="103"/>
      <c r="F3934" s="1413"/>
      <c r="G3934" s="1413"/>
      <c r="H3934" s="1478"/>
      <c r="I3934" s="1479">
        <f>SUM(I3921:I3933)</f>
        <v>11</v>
      </c>
      <c r="Q3934" s="1394">
        <f>IFERROR(VLOOKUP(M3934,#REF!,3,0),0)</f>
        <v>0</v>
      </c>
      <c r="R3934" s="1394">
        <f t="shared" si="995"/>
        <v>0</v>
      </c>
      <c r="S3934" s="1394">
        <f>IFERROR(VLOOKUP(M3934,#REF!,6,0),0)</f>
        <v>0</v>
      </c>
      <c r="T3934" s="1394">
        <f t="shared" si="997"/>
        <v>0</v>
      </c>
      <c r="U3934" s="1394">
        <f>IFERROR(VLOOKUP(M3934,#REF!,5,0),0)</f>
        <v>0</v>
      </c>
      <c r="V3934" s="1394">
        <f t="shared" si="998"/>
        <v>0</v>
      </c>
      <c r="W3934" s="1394"/>
    </row>
    <row r="3935" spans="1:26" ht="30" customHeight="1">
      <c r="B3935" s="1407"/>
      <c r="C3935" s="1455"/>
      <c r="D3935" s="103"/>
      <c r="E3935" s="103"/>
      <c r="F3935" s="1413"/>
      <c r="G3935" s="1483" t="s">
        <v>11</v>
      </c>
      <c r="H3935" s="1478">
        <f>ROUNDUP(I3934,1)</f>
        <v>11</v>
      </c>
      <c r="I3935" s="1479" t="s">
        <v>12</v>
      </c>
      <c r="M3935" s="1394" t="str">
        <f>A3920</f>
        <v>S&amp;F of TV/Telephone line Socket</v>
      </c>
      <c r="N3935" s="1394">
        <f>B3920</f>
        <v>77.3</v>
      </c>
      <c r="O3935" s="1394">
        <f>H3935</f>
        <v>11</v>
      </c>
      <c r="P3935" s="1394" t="str">
        <f>I3935</f>
        <v>Rmt</v>
      </c>
      <c r="Q3935" s="1394">
        <f>IFERROR(VLOOKUP(M3935,#REF!,3,0),0)</f>
        <v>0</v>
      </c>
      <c r="R3935" s="1394">
        <f t="shared" si="995"/>
        <v>0</v>
      </c>
      <c r="S3935" s="1394">
        <f>IFERROR(VLOOKUP(M3935,#REF!,6,0),0)</f>
        <v>0</v>
      </c>
      <c r="T3935" s="1394">
        <f t="shared" si="997"/>
        <v>0</v>
      </c>
      <c r="U3935" s="1394">
        <f>IFERROR(VLOOKUP(M3935,#REF!,5,0),0)</f>
        <v>0</v>
      </c>
      <c r="V3935" s="1394">
        <f t="shared" si="998"/>
        <v>11</v>
      </c>
      <c r="W3935" s="1394"/>
      <c r="Z3935" s="1394"/>
    </row>
    <row r="3936" spans="1:26" ht="58.5" customHeight="1">
      <c r="A3936" s="110" t="s">
        <v>531</v>
      </c>
      <c r="B3936" s="1405">
        <v>77.400000000000006</v>
      </c>
      <c r="C3936" s="1678" t="e">
        <f>VLOOKUP(A3936,#REF!,2,0)</f>
        <v>#REF!</v>
      </c>
      <c r="D3936" s="1678"/>
      <c r="E3936" s="1678"/>
      <c r="F3936" s="1678"/>
      <c r="G3936" s="1678"/>
      <c r="H3936" s="1678"/>
      <c r="I3936" s="1406"/>
      <c r="Q3936" s="1394">
        <f>IFERROR(VLOOKUP(M3936,#REF!,3,0),0)</f>
        <v>0</v>
      </c>
      <c r="R3936" s="1394">
        <f t="shared" si="995"/>
        <v>0</v>
      </c>
      <c r="S3936" s="1394">
        <f>IFERROR(VLOOKUP(M3936,#REF!,6,0),0)</f>
        <v>0</v>
      </c>
      <c r="T3936" s="1394">
        <f t="shared" si="997"/>
        <v>0</v>
      </c>
      <c r="U3936" s="1394">
        <f>IFERROR(VLOOKUP(M3936,#REF!,5,0),0)</f>
        <v>0</v>
      </c>
      <c r="V3936" s="1394">
        <f t="shared" si="998"/>
        <v>0</v>
      </c>
      <c r="W3936" s="1394"/>
      <c r="X3936" s="1397"/>
    </row>
    <row r="3937" spans="1:26" ht="30" customHeight="1">
      <c r="B3937" s="1407"/>
      <c r="C3937" s="1412" t="s">
        <v>488</v>
      </c>
      <c r="D3937" s="103"/>
      <c r="E3937" s="103"/>
      <c r="F3937" s="1413"/>
      <c r="G3937" s="1413"/>
      <c r="H3937" s="1414"/>
      <c r="I3937" s="1406">
        <f t="shared" ref="I3937:I3948" si="1002">PRODUCT(D3937:H3937)</f>
        <v>0</v>
      </c>
      <c r="Q3937" s="1394">
        <f>IFERROR(VLOOKUP(M3937,#REF!,3,0),0)</f>
        <v>0</v>
      </c>
      <c r="R3937" s="1394">
        <f t="shared" si="995"/>
        <v>0</v>
      </c>
      <c r="S3937" s="1394">
        <f>IFERROR(VLOOKUP(M3937,#REF!,6,0),0)</f>
        <v>0</v>
      </c>
      <c r="T3937" s="1394">
        <f t="shared" si="997"/>
        <v>0</v>
      </c>
      <c r="U3937" s="1394">
        <f>IFERROR(VLOOKUP(M3937,#REF!,5,0),0)</f>
        <v>0</v>
      </c>
      <c r="V3937" s="1394">
        <f t="shared" si="998"/>
        <v>0</v>
      </c>
      <c r="W3937" s="1394"/>
    </row>
    <row r="3938" spans="1:26" ht="30" customHeight="1">
      <c r="B3938" s="1407"/>
      <c r="C3938" s="1455" t="s">
        <v>5910</v>
      </c>
      <c r="D3938" s="103">
        <v>1</v>
      </c>
      <c r="E3938" s="103">
        <v>2</v>
      </c>
      <c r="F3938" s="1413">
        <v>20</v>
      </c>
      <c r="G3938" s="1413"/>
      <c r="H3938" s="1414"/>
      <c r="I3938" s="1406">
        <f t="shared" si="1002"/>
        <v>40</v>
      </c>
      <c r="Q3938" s="1394">
        <f>IFERROR(VLOOKUP(M3938,#REF!,3,0),0)</f>
        <v>0</v>
      </c>
      <c r="R3938" s="1394">
        <f t="shared" si="995"/>
        <v>0</v>
      </c>
      <c r="S3938" s="1394">
        <f>IFERROR(VLOOKUP(M3938,#REF!,6,0),0)</f>
        <v>0</v>
      </c>
      <c r="T3938" s="1394">
        <f t="shared" si="997"/>
        <v>0</v>
      </c>
      <c r="U3938" s="1394">
        <f>IFERROR(VLOOKUP(M3938,#REF!,5,0),0)</f>
        <v>0</v>
      </c>
      <c r="V3938" s="1394">
        <f t="shared" si="998"/>
        <v>0</v>
      </c>
      <c r="W3938" s="1394"/>
    </row>
    <row r="3939" spans="1:26" ht="30" customHeight="1">
      <c r="B3939" s="1407"/>
      <c r="C3939" s="1455" t="s">
        <v>5785</v>
      </c>
      <c r="D3939" s="103">
        <v>1</v>
      </c>
      <c r="E3939" s="103">
        <v>1</v>
      </c>
      <c r="F3939" s="1413">
        <v>10</v>
      </c>
      <c r="G3939" s="1413"/>
      <c r="H3939" s="1414"/>
      <c r="I3939" s="1406">
        <f t="shared" si="1002"/>
        <v>10</v>
      </c>
      <c r="M3939" s="110"/>
      <c r="Q3939" s="1394">
        <f>IFERROR(VLOOKUP(M3939,#REF!,3,0),0)</f>
        <v>0</v>
      </c>
      <c r="R3939" s="1394">
        <f t="shared" si="995"/>
        <v>0</v>
      </c>
      <c r="S3939" s="1394">
        <f>IFERROR(VLOOKUP(M3939,#REF!,6,0),0)</f>
        <v>0</v>
      </c>
      <c r="T3939" s="1394">
        <f t="shared" si="997"/>
        <v>0</v>
      </c>
      <c r="U3939" s="1394">
        <f>IFERROR(VLOOKUP(M3939,#REF!,5,0),0)</f>
        <v>0</v>
      </c>
      <c r="V3939" s="1394">
        <f t="shared" si="998"/>
        <v>0</v>
      </c>
      <c r="W3939" s="1394"/>
    </row>
    <row r="3940" spans="1:26" ht="30" customHeight="1">
      <c r="B3940" s="1407"/>
      <c r="C3940" s="1455" t="s">
        <v>5911</v>
      </c>
      <c r="D3940" s="103">
        <v>1</v>
      </c>
      <c r="E3940" s="103">
        <v>1</v>
      </c>
      <c r="F3940" s="1413">
        <v>10</v>
      </c>
      <c r="G3940" s="1413"/>
      <c r="H3940" s="1414"/>
      <c r="I3940" s="1406">
        <f t="shared" si="1002"/>
        <v>10</v>
      </c>
      <c r="M3940" s="110"/>
      <c r="Q3940" s="1394">
        <f>IFERROR(VLOOKUP(M3940,#REF!,3,0),0)</f>
        <v>0</v>
      </c>
      <c r="R3940" s="1394">
        <f t="shared" si="995"/>
        <v>0</v>
      </c>
      <c r="S3940" s="1394">
        <f>IFERROR(VLOOKUP(M3940,#REF!,6,0),0)</f>
        <v>0</v>
      </c>
      <c r="T3940" s="1394">
        <f t="shared" si="997"/>
        <v>0</v>
      </c>
      <c r="U3940" s="1394">
        <f>IFERROR(VLOOKUP(M3940,#REF!,5,0),0)</f>
        <v>0</v>
      </c>
      <c r="V3940" s="1394">
        <f t="shared" si="998"/>
        <v>0</v>
      </c>
      <c r="W3940" s="1394"/>
    </row>
    <row r="3941" spans="1:26" ht="30" customHeight="1">
      <c r="B3941" s="1407"/>
      <c r="C3941" s="1412" t="s">
        <v>485</v>
      </c>
      <c r="D3941" s="103"/>
      <c r="E3941" s="103"/>
      <c r="F3941" s="1413"/>
      <c r="G3941" s="1413"/>
      <c r="H3941" s="1414"/>
      <c r="I3941" s="1406">
        <f t="shared" si="1002"/>
        <v>0</v>
      </c>
      <c r="M3941" s="110"/>
      <c r="Q3941" s="1394">
        <f>IFERROR(VLOOKUP(M3941,#REF!,3,0),0)</f>
        <v>0</v>
      </c>
      <c r="R3941" s="1394">
        <f t="shared" si="995"/>
        <v>0</v>
      </c>
      <c r="S3941" s="1394">
        <f>IFERROR(VLOOKUP(M3941,#REF!,6,0),0)</f>
        <v>0</v>
      </c>
      <c r="T3941" s="1394">
        <f t="shared" si="997"/>
        <v>0</v>
      </c>
      <c r="U3941" s="1394">
        <f>IFERROR(VLOOKUP(M3941,#REF!,5,0),0)</f>
        <v>0</v>
      </c>
      <c r="V3941" s="1394">
        <f t="shared" si="998"/>
        <v>0</v>
      </c>
      <c r="W3941" s="1394"/>
    </row>
    <row r="3942" spans="1:26" ht="30" customHeight="1">
      <c r="B3942" s="1407"/>
      <c r="C3942" s="1455" t="s">
        <v>5910</v>
      </c>
      <c r="D3942" s="103">
        <v>1</v>
      </c>
      <c r="E3942" s="103">
        <v>2</v>
      </c>
      <c r="F3942" s="1413">
        <v>10</v>
      </c>
      <c r="G3942" s="1413"/>
      <c r="H3942" s="1414"/>
      <c r="I3942" s="1406">
        <f t="shared" si="1002"/>
        <v>20</v>
      </c>
      <c r="M3942" s="110"/>
      <c r="Q3942" s="1394">
        <f>IFERROR(VLOOKUP(M3942,#REF!,3,0),0)</f>
        <v>0</v>
      </c>
      <c r="R3942" s="1394">
        <f t="shared" si="995"/>
        <v>0</v>
      </c>
      <c r="S3942" s="1394">
        <f>IFERROR(VLOOKUP(M3942,#REF!,6,0),0)</f>
        <v>0</v>
      </c>
      <c r="T3942" s="1394">
        <f t="shared" si="997"/>
        <v>0</v>
      </c>
      <c r="U3942" s="1394">
        <f>IFERROR(VLOOKUP(M3942,#REF!,5,0),0)</f>
        <v>0</v>
      </c>
      <c r="V3942" s="1394">
        <f t="shared" si="998"/>
        <v>0</v>
      </c>
      <c r="W3942" s="1394"/>
    </row>
    <row r="3943" spans="1:26" ht="30" customHeight="1">
      <c r="B3943" s="1407"/>
      <c r="C3943" s="1455" t="s">
        <v>5674</v>
      </c>
      <c r="D3943" s="103">
        <v>1</v>
      </c>
      <c r="E3943" s="103">
        <v>1</v>
      </c>
      <c r="F3943" s="1413">
        <v>10</v>
      </c>
      <c r="G3943" s="1413"/>
      <c r="H3943" s="1414"/>
      <c r="I3943" s="1406">
        <f t="shared" si="1002"/>
        <v>10</v>
      </c>
      <c r="M3943" s="110"/>
      <c r="Q3943" s="1394">
        <f>IFERROR(VLOOKUP(M3943,#REF!,3,0),0)</f>
        <v>0</v>
      </c>
      <c r="R3943" s="1394">
        <f t="shared" si="995"/>
        <v>0</v>
      </c>
      <c r="S3943" s="1394">
        <f>IFERROR(VLOOKUP(M3943,#REF!,6,0),0)</f>
        <v>0</v>
      </c>
      <c r="T3943" s="1394">
        <f t="shared" si="997"/>
        <v>0</v>
      </c>
      <c r="U3943" s="1394">
        <f>IFERROR(VLOOKUP(M3943,#REF!,5,0),0)</f>
        <v>0</v>
      </c>
      <c r="V3943" s="1394">
        <f t="shared" si="998"/>
        <v>0</v>
      </c>
      <c r="W3943" s="1394"/>
    </row>
    <row r="3944" spans="1:26" ht="30" customHeight="1">
      <c r="B3944" s="1407"/>
      <c r="C3944" s="1455" t="s">
        <v>5628</v>
      </c>
      <c r="D3944" s="103">
        <v>1</v>
      </c>
      <c r="E3944" s="103">
        <v>1</v>
      </c>
      <c r="F3944" s="1413">
        <v>10</v>
      </c>
      <c r="G3944" s="1413"/>
      <c r="H3944" s="1414"/>
      <c r="I3944" s="1406">
        <f t="shared" si="1002"/>
        <v>10</v>
      </c>
      <c r="M3944" s="110"/>
      <c r="Q3944" s="1394">
        <f>IFERROR(VLOOKUP(M3944,#REF!,3,0),0)</f>
        <v>0</v>
      </c>
      <c r="R3944" s="1394">
        <f t="shared" si="995"/>
        <v>0</v>
      </c>
      <c r="S3944" s="1394">
        <f>IFERROR(VLOOKUP(M3944,#REF!,6,0),0)</f>
        <v>0</v>
      </c>
      <c r="T3944" s="1394">
        <f t="shared" si="997"/>
        <v>0</v>
      </c>
      <c r="U3944" s="1394">
        <f>IFERROR(VLOOKUP(M3944,#REF!,5,0),0)</f>
        <v>0</v>
      </c>
      <c r="V3944" s="1394">
        <f t="shared" si="998"/>
        <v>0</v>
      </c>
      <c r="W3944" s="1394"/>
    </row>
    <row r="3945" spans="1:26" ht="30" customHeight="1">
      <c r="B3945" s="1407"/>
      <c r="C3945" s="1412" t="s">
        <v>489</v>
      </c>
      <c r="D3945" s="103"/>
      <c r="E3945" s="103"/>
      <c r="F3945" s="1413"/>
      <c r="G3945" s="1413"/>
      <c r="H3945" s="1414"/>
      <c r="I3945" s="1406">
        <f t="shared" si="1002"/>
        <v>0</v>
      </c>
      <c r="M3945" s="110"/>
      <c r="Q3945" s="1394">
        <f>IFERROR(VLOOKUP(M3945,#REF!,3,0),0)</f>
        <v>0</v>
      </c>
      <c r="R3945" s="1394">
        <f t="shared" si="995"/>
        <v>0</v>
      </c>
      <c r="S3945" s="1394">
        <f>IFERROR(VLOOKUP(M3945,#REF!,6,0),0)</f>
        <v>0</v>
      </c>
      <c r="T3945" s="1394">
        <f t="shared" si="997"/>
        <v>0</v>
      </c>
      <c r="U3945" s="1394">
        <f>IFERROR(VLOOKUP(M3945,#REF!,5,0),0)</f>
        <v>0</v>
      </c>
      <c r="V3945" s="1394">
        <f t="shared" si="998"/>
        <v>0</v>
      </c>
      <c r="W3945" s="1394"/>
    </row>
    <row r="3946" spans="1:26" ht="30" customHeight="1">
      <c r="B3946" s="1407"/>
      <c r="C3946" s="1455" t="s">
        <v>5912</v>
      </c>
      <c r="D3946" s="103">
        <v>1</v>
      </c>
      <c r="E3946" s="103">
        <v>1</v>
      </c>
      <c r="F3946" s="1413">
        <v>10</v>
      </c>
      <c r="G3946" s="1413"/>
      <c r="H3946" s="1414"/>
      <c r="I3946" s="1406">
        <f t="shared" si="1002"/>
        <v>10</v>
      </c>
      <c r="M3946" s="110"/>
      <c r="Q3946" s="1394">
        <f>IFERROR(VLOOKUP(M3946,#REF!,3,0),0)</f>
        <v>0</v>
      </c>
      <c r="R3946" s="1394">
        <f t="shared" si="995"/>
        <v>0</v>
      </c>
      <c r="S3946" s="1394">
        <f>IFERROR(VLOOKUP(M3946,#REF!,6,0),0)</f>
        <v>0</v>
      </c>
      <c r="T3946" s="1394">
        <f t="shared" si="997"/>
        <v>0</v>
      </c>
      <c r="U3946" s="1394">
        <f>IFERROR(VLOOKUP(M3946,#REF!,5,0),0)</f>
        <v>0</v>
      </c>
      <c r="V3946" s="1394">
        <f t="shared" si="998"/>
        <v>0</v>
      </c>
      <c r="W3946" s="1394"/>
    </row>
    <row r="3947" spans="1:26" ht="30" customHeight="1">
      <c r="B3947" s="1407"/>
      <c r="C3947" s="1455" t="s">
        <v>5752</v>
      </c>
      <c r="D3947" s="103">
        <v>1</v>
      </c>
      <c r="E3947" s="103">
        <v>1</v>
      </c>
      <c r="F3947" s="1413">
        <v>10</v>
      </c>
      <c r="G3947" s="1413"/>
      <c r="H3947" s="1414"/>
      <c r="I3947" s="1406">
        <f t="shared" si="1002"/>
        <v>10</v>
      </c>
      <c r="M3947" s="110"/>
      <c r="Q3947" s="1394">
        <f>IFERROR(VLOOKUP(M3947,#REF!,3,0),0)</f>
        <v>0</v>
      </c>
      <c r="R3947" s="1394">
        <f t="shared" si="995"/>
        <v>0</v>
      </c>
      <c r="S3947" s="1394">
        <f>IFERROR(VLOOKUP(M3947,#REF!,6,0),0)</f>
        <v>0</v>
      </c>
      <c r="T3947" s="1394">
        <f t="shared" si="997"/>
        <v>0</v>
      </c>
      <c r="U3947" s="1394">
        <f>IFERROR(VLOOKUP(M3947,#REF!,5,0),0)</f>
        <v>0</v>
      </c>
      <c r="V3947" s="1394">
        <f t="shared" si="998"/>
        <v>0</v>
      </c>
      <c r="W3947" s="1394"/>
    </row>
    <row r="3948" spans="1:26" ht="30" customHeight="1">
      <c r="B3948" s="1407"/>
      <c r="C3948" s="1455" t="s">
        <v>5643</v>
      </c>
      <c r="D3948" s="103">
        <v>1</v>
      </c>
      <c r="E3948" s="103">
        <v>1</v>
      </c>
      <c r="F3948" s="1413">
        <v>15</v>
      </c>
      <c r="G3948" s="1413"/>
      <c r="H3948" s="1414"/>
      <c r="I3948" s="1406">
        <f t="shared" si="1002"/>
        <v>15</v>
      </c>
      <c r="M3948" s="110"/>
      <c r="Q3948" s="1394">
        <f>IFERROR(VLOOKUP(M3948,#REF!,3,0),0)</f>
        <v>0</v>
      </c>
      <c r="R3948" s="1394">
        <f t="shared" si="995"/>
        <v>0</v>
      </c>
      <c r="S3948" s="1394">
        <f>IFERROR(VLOOKUP(M3948,#REF!,6,0),0)</f>
        <v>0</v>
      </c>
      <c r="T3948" s="1394">
        <f t="shared" si="997"/>
        <v>0</v>
      </c>
      <c r="U3948" s="1394">
        <f>IFERROR(VLOOKUP(M3948,#REF!,5,0),0)</f>
        <v>0</v>
      </c>
      <c r="V3948" s="1394">
        <f t="shared" si="998"/>
        <v>0</v>
      </c>
      <c r="W3948" s="1394"/>
    </row>
    <row r="3949" spans="1:26" ht="30" customHeight="1">
      <c r="B3949" s="1407"/>
      <c r="C3949" s="1455"/>
      <c r="D3949" s="103"/>
      <c r="E3949" s="103"/>
      <c r="F3949" s="1413"/>
      <c r="G3949" s="1413"/>
      <c r="H3949" s="1478"/>
      <c r="I3949" s="1479">
        <f>SUM(I3936:I3948)</f>
        <v>135</v>
      </c>
      <c r="Q3949" s="1394">
        <f>IFERROR(VLOOKUP(M3949,#REF!,3,0),0)</f>
        <v>0</v>
      </c>
      <c r="R3949" s="1394">
        <f t="shared" si="995"/>
        <v>0</v>
      </c>
      <c r="S3949" s="1394">
        <f>IFERROR(VLOOKUP(M3949,#REF!,6,0),0)</f>
        <v>0</v>
      </c>
      <c r="T3949" s="1394">
        <f t="shared" si="997"/>
        <v>0</v>
      </c>
      <c r="U3949" s="1394">
        <f>IFERROR(VLOOKUP(M3949,#REF!,5,0),0)</f>
        <v>0</v>
      </c>
      <c r="V3949" s="1394">
        <f t="shared" si="998"/>
        <v>0</v>
      </c>
      <c r="W3949" s="1394"/>
    </row>
    <row r="3950" spans="1:26" ht="30" customHeight="1">
      <c r="B3950" s="1407"/>
      <c r="C3950" s="1455"/>
      <c r="D3950" s="103"/>
      <c r="E3950" s="103"/>
      <c r="F3950" s="1413"/>
      <c r="G3950" s="1483" t="s">
        <v>11</v>
      </c>
      <c r="H3950" s="1478">
        <f>ROUNDUP(I3949,1)</f>
        <v>135</v>
      </c>
      <c r="I3950" s="1479" t="s">
        <v>12</v>
      </c>
      <c r="M3950" s="1394" t="str">
        <f>A3936</f>
        <v>S&amp;F of 20mm dia PVC pipe for TV/Telephone line</v>
      </c>
      <c r="N3950" s="1394">
        <f>B3936</f>
        <v>77.400000000000006</v>
      </c>
      <c r="O3950" s="1394">
        <f>H3950</f>
        <v>135</v>
      </c>
      <c r="P3950" s="1394" t="str">
        <f>I3950</f>
        <v>Rmt</v>
      </c>
      <c r="Q3950" s="1394">
        <f>IFERROR(VLOOKUP(M3950,#REF!,3,0),0)</f>
        <v>0</v>
      </c>
      <c r="R3950" s="1394">
        <f t="shared" ref="R3950:R4013" si="1003">ROUND(O3950,2)*ROUND(Q3950,2)</f>
        <v>0</v>
      </c>
      <c r="S3950" s="1394">
        <f>IFERROR(VLOOKUP(M3950,#REF!,6,0),0)</f>
        <v>0</v>
      </c>
      <c r="T3950" s="1394">
        <f t="shared" si="997"/>
        <v>0</v>
      </c>
      <c r="U3950" s="1394">
        <f>IFERROR(VLOOKUP(M3950,#REF!,5,0),0)</f>
        <v>0</v>
      </c>
      <c r="V3950" s="1394">
        <f t="shared" si="998"/>
        <v>135</v>
      </c>
      <c r="W3950" s="1394"/>
      <c r="Z3950" s="1394"/>
    </row>
    <row r="3951" spans="1:26" ht="96" customHeight="1">
      <c r="A3951" s="110" t="s">
        <v>532</v>
      </c>
      <c r="B3951" s="1513">
        <v>78</v>
      </c>
      <c r="C3951" s="1678" t="e">
        <f>VLOOKUP(A3951,#REF!,2,0)</f>
        <v>#REF!</v>
      </c>
      <c r="D3951" s="1678"/>
      <c r="E3951" s="1678"/>
      <c r="F3951" s="1678"/>
      <c r="G3951" s="1678"/>
      <c r="H3951" s="1678"/>
      <c r="I3951" s="1406"/>
      <c r="Q3951" s="1394">
        <f>IFERROR(VLOOKUP(M3951,#REF!,3,0),0)</f>
        <v>0</v>
      </c>
      <c r="R3951" s="1394">
        <f t="shared" si="1003"/>
        <v>0</v>
      </c>
      <c r="S3951" s="1394">
        <f>IFERROR(VLOOKUP(M3951,#REF!,6,0),0)</f>
        <v>0</v>
      </c>
      <c r="T3951" s="1394">
        <f t="shared" si="997"/>
        <v>0</v>
      </c>
      <c r="U3951" s="1394">
        <f>IFERROR(VLOOKUP(M3951,#REF!,5,0),0)</f>
        <v>0</v>
      </c>
      <c r="V3951" s="1394">
        <f t="shared" si="998"/>
        <v>0</v>
      </c>
      <c r="W3951" s="1394"/>
      <c r="X3951" s="1397"/>
    </row>
    <row r="3952" spans="1:26" ht="30" customHeight="1">
      <c r="B3952" s="1513"/>
      <c r="C3952" s="1455" t="s">
        <v>533</v>
      </c>
      <c r="D3952" s="103">
        <v>1</v>
      </c>
      <c r="E3952" s="103">
        <v>1</v>
      </c>
      <c r="F3952" s="1413"/>
      <c r="G3952" s="1413"/>
      <c r="H3952" s="1414"/>
      <c r="I3952" s="1406">
        <f>PRODUCT(D3952:H3952)</f>
        <v>1</v>
      </c>
      <c r="Q3952" s="1394">
        <f>IFERROR(VLOOKUP(M3952,#REF!,3,0),0)</f>
        <v>0</v>
      </c>
      <c r="R3952" s="1394">
        <f t="shared" si="1003"/>
        <v>0</v>
      </c>
      <c r="S3952" s="1394">
        <f>IFERROR(VLOOKUP(M3952,#REF!,6,0),0)</f>
        <v>0</v>
      </c>
      <c r="T3952" s="1394">
        <f t="shared" si="997"/>
        <v>0</v>
      </c>
      <c r="U3952" s="1394">
        <f>IFERROR(VLOOKUP(M3952,#REF!,5,0),0)</f>
        <v>0</v>
      </c>
      <c r="V3952" s="1394">
        <f t="shared" si="998"/>
        <v>0</v>
      </c>
      <c r="W3952" s="1394"/>
      <c r="X3952" s="1397"/>
    </row>
    <row r="3953" spans="1:26" ht="30" customHeight="1">
      <c r="B3953" s="1513"/>
      <c r="C3953" s="1455" t="s">
        <v>534</v>
      </c>
      <c r="D3953" s="103">
        <v>1</v>
      </c>
      <c r="E3953" s="103">
        <v>2</v>
      </c>
      <c r="F3953" s="1413"/>
      <c r="G3953" s="1413"/>
      <c r="H3953" s="1414"/>
      <c r="I3953" s="1406">
        <f>PRODUCT(D3953:H3953)</f>
        <v>2</v>
      </c>
      <c r="Q3953" s="1394">
        <f>IFERROR(VLOOKUP(M3953,#REF!,3,0),0)</f>
        <v>0</v>
      </c>
      <c r="R3953" s="1394">
        <f t="shared" si="1003"/>
        <v>0</v>
      </c>
      <c r="S3953" s="1394">
        <f>IFERROR(VLOOKUP(M3953,#REF!,6,0),0)</f>
        <v>0</v>
      </c>
      <c r="T3953" s="1394">
        <f t="shared" si="997"/>
        <v>0</v>
      </c>
      <c r="U3953" s="1394">
        <f>IFERROR(VLOOKUP(M3953,#REF!,5,0),0)</f>
        <v>0</v>
      </c>
      <c r="V3953" s="1394">
        <f t="shared" si="998"/>
        <v>0</v>
      </c>
      <c r="W3953" s="1394"/>
      <c r="X3953" s="1397"/>
    </row>
    <row r="3954" spans="1:26" ht="30" customHeight="1">
      <c r="B3954" s="1513"/>
      <c r="C3954" s="1412"/>
      <c r="D3954" s="103"/>
      <c r="E3954" s="103"/>
      <c r="F3954" s="1413"/>
      <c r="G3954" s="1413"/>
      <c r="H3954" s="1414"/>
      <c r="I3954" s="1479">
        <f>SUM(I3952:I3953)</f>
        <v>3</v>
      </c>
      <c r="Q3954" s="1394">
        <f>IFERROR(VLOOKUP(M3954,#REF!,3,0),0)</f>
        <v>0</v>
      </c>
      <c r="R3954" s="1394">
        <f t="shared" si="1003"/>
        <v>0</v>
      </c>
      <c r="S3954" s="1394">
        <f>IFERROR(VLOOKUP(M3954,#REF!,6,0),0)</f>
        <v>0</v>
      </c>
      <c r="T3954" s="1394">
        <f t="shared" si="997"/>
        <v>0</v>
      </c>
      <c r="U3954" s="1394">
        <f>IFERROR(VLOOKUP(M3954,#REF!,5,0),0)</f>
        <v>0</v>
      </c>
      <c r="V3954" s="1394">
        <f t="shared" si="998"/>
        <v>0</v>
      </c>
      <c r="W3954" s="1394"/>
      <c r="X3954" s="1397"/>
    </row>
    <row r="3955" spans="1:26" ht="30" customHeight="1">
      <c r="B3955" s="1513"/>
      <c r="C3955" s="1412"/>
      <c r="D3955" s="103"/>
      <c r="E3955" s="103"/>
      <c r="F3955" s="1413"/>
      <c r="G3955" s="1483" t="s">
        <v>11</v>
      </c>
      <c r="H3955" s="1478">
        <f>ROUNDUP(I3954,1)</f>
        <v>3</v>
      </c>
      <c r="I3955" s="1479" t="s">
        <v>13</v>
      </c>
      <c r="M3955" s="1394" t="str">
        <f>A3951</f>
        <v>Earthing Station IS3043 (Type I)</v>
      </c>
      <c r="N3955" s="1394">
        <f>B3951</f>
        <v>78</v>
      </c>
      <c r="O3955" s="1394">
        <f>H3955</f>
        <v>3</v>
      </c>
      <c r="P3955" s="1394" t="str">
        <f>I3955</f>
        <v>Nos</v>
      </c>
      <c r="Q3955" s="1394">
        <f>IFERROR(VLOOKUP(M3955,#REF!,3,0),0)</f>
        <v>0</v>
      </c>
      <c r="R3955" s="1394">
        <f t="shared" si="1003"/>
        <v>0</v>
      </c>
      <c r="S3955" s="1394">
        <f>IFERROR(VLOOKUP(M3955,#REF!,6,0),0)</f>
        <v>0</v>
      </c>
      <c r="T3955" s="1394">
        <f t="shared" si="997"/>
        <v>0</v>
      </c>
      <c r="U3955" s="1394">
        <f>IFERROR(VLOOKUP(M3955,#REF!,5,0),0)</f>
        <v>0</v>
      </c>
      <c r="V3955" s="1394">
        <f t="shared" si="998"/>
        <v>3</v>
      </c>
      <c r="W3955" s="1394"/>
      <c r="Z3955" s="1394"/>
    </row>
    <row r="3956" spans="1:26" ht="96" customHeight="1">
      <c r="A3956" s="110" t="s">
        <v>935</v>
      </c>
      <c r="B3956" s="1513">
        <v>78</v>
      </c>
      <c r="C3956" s="1678" t="e">
        <f>VLOOKUP(A3956,#REF!,2,0)</f>
        <v>#REF!</v>
      </c>
      <c r="D3956" s="1678"/>
      <c r="E3956" s="1678"/>
      <c r="F3956" s="1678"/>
      <c r="G3956" s="1678"/>
      <c r="H3956" s="1678"/>
      <c r="I3956" s="1406"/>
      <c r="Q3956" s="1394">
        <f>IFERROR(VLOOKUP(M3956,#REF!,3,0),0)</f>
        <v>0</v>
      </c>
      <c r="R3956" s="1394">
        <f t="shared" si="1003"/>
        <v>0</v>
      </c>
      <c r="S3956" s="1394">
        <f>IFERROR(VLOOKUP(M3956,#REF!,6,0),0)</f>
        <v>0</v>
      </c>
      <c r="T3956" s="1394">
        <f t="shared" si="997"/>
        <v>0</v>
      </c>
      <c r="U3956" s="1394">
        <f>IFERROR(VLOOKUP(M3956,#REF!,5,0),0)</f>
        <v>0</v>
      </c>
      <c r="V3956" s="1394">
        <f t="shared" si="998"/>
        <v>0</v>
      </c>
      <c r="W3956" s="1394"/>
      <c r="X3956" s="1397"/>
    </row>
    <row r="3957" spans="1:26" ht="30" customHeight="1">
      <c r="B3957" s="1513"/>
      <c r="C3957" s="1455" t="s">
        <v>5945</v>
      </c>
      <c r="D3957" s="103">
        <v>1</v>
      </c>
      <c r="E3957" s="103">
        <v>2</v>
      </c>
      <c r="F3957" s="1413"/>
      <c r="G3957" s="1413"/>
      <c r="H3957" s="1414"/>
      <c r="I3957" s="1406">
        <f>PRODUCT(D3957:H3957)</f>
        <v>2</v>
      </c>
      <c r="Q3957" s="1394">
        <f>IFERROR(VLOOKUP(M3957,#REF!,3,0),0)</f>
        <v>0</v>
      </c>
      <c r="R3957" s="1394">
        <f t="shared" si="1003"/>
        <v>0</v>
      </c>
      <c r="S3957" s="1394">
        <f>IFERROR(VLOOKUP(M3957,#REF!,6,0),0)</f>
        <v>0</v>
      </c>
      <c r="T3957" s="1394">
        <f t="shared" si="997"/>
        <v>0</v>
      </c>
      <c r="U3957" s="1394">
        <f>IFERROR(VLOOKUP(M3957,#REF!,5,0),0)</f>
        <v>0</v>
      </c>
      <c r="V3957" s="1394">
        <f t="shared" si="998"/>
        <v>0</v>
      </c>
      <c r="W3957" s="1394"/>
      <c r="X3957" s="1397"/>
    </row>
    <row r="3958" spans="1:26" ht="30" customHeight="1">
      <c r="B3958" s="1513"/>
      <c r="C3958" s="1412"/>
      <c r="D3958" s="103"/>
      <c r="E3958" s="103"/>
      <c r="F3958" s="1413"/>
      <c r="G3958" s="1413"/>
      <c r="H3958" s="1414"/>
      <c r="I3958" s="1479">
        <f>SUM(I3957:I3957)</f>
        <v>2</v>
      </c>
      <c r="Q3958" s="1394">
        <f>IFERROR(VLOOKUP(M3958,#REF!,3,0),0)</f>
        <v>0</v>
      </c>
      <c r="R3958" s="1394">
        <f t="shared" si="1003"/>
        <v>0</v>
      </c>
      <c r="S3958" s="1394">
        <f>IFERROR(VLOOKUP(M3958,#REF!,6,0),0)</f>
        <v>0</v>
      </c>
      <c r="T3958" s="1394">
        <f t="shared" si="997"/>
        <v>0</v>
      </c>
      <c r="U3958" s="1394">
        <f>IFERROR(VLOOKUP(M3958,#REF!,5,0),0)</f>
        <v>0</v>
      </c>
      <c r="V3958" s="1394">
        <f t="shared" si="998"/>
        <v>0</v>
      </c>
      <c r="W3958" s="1394"/>
      <c r="X3958" s="1397"/>
    </row>
    <row r="3959" spans="1:26" ht="30" customHeight="1">
      <c r="B3959" s="1513"/>
      <c r="C3959" s="1412"/>
      <c r="D3959" s="103"/>
      <c r="E3959" s="103"/>
      <c r="F3959" s="1413"/>
      <c r="G3959" s="1483" t="s">
        <v>11</v>
      </c>
      <c r="H3959" s="1478">
        <f>ROUNDUP(I3958,1)</f>
        <v>2</v>
      </c>
      <c r="I3959" s="1479" t="s">
        <v>13</v>
      </c>
      <c r="M3959" s="1394" t="str">
        <f>A3956</f>
        <v xml:space="preserve">Plate earthing with copper plate of size 600 x 600 x 3 mm </v>
      </c>
      <c r="N3959" s="1394">
        <f>B3956</f>
        <v>78</v>
      </c>
      <c r="O3959" s="1394">
        <f>H3959</f>
        <v>2</v>
      </c>
      <c r="P3959" s="1394" t="str">
        <f>I3959</f>
        <v>Nos</v>
      </c>
      <c r="Q3959" s="1394">
        <f>IFERROR(VLOOKUP(M3959,#REF!,3,0),0)</f>
        <v>0</v>
      </c>
      <c r="R3959" s="1394">
        <f t="shared" si="1003"/>
        <v>0</v>
      </c>
      <c r="S3959" s="1394">
        <f>IFERROR(VLOOKUP(M3959,#REF!,6,0),0)</f>
        <v>0</v>
      </c>
      <c r="T3959" s="1394">
        <f t="shared" si="997"/>
        <v>0</v>
      </c>
      <c r="U3959" s="1394">
        <f>IFERROR(VLOOKUP(M3959,#REF!,5,0),0)</f>
        <v>0</v>
      </c>
      <c r="V3959" s="1394">
        <f t="shared" si="998"/>
        <v>2</v>
      </c>
      <c r="W3959" s="1394"/>
      <c r="Z3959" s="1394"/>
    </row>
    <row r="3960" spans="1:26" ht="108" customHeight="1">
      <c r="A3960" s="110" t="s">
        <v>535</v>
      </c>
      <c r="B3960" s="1547">
        <v>77.2</v>
      </c>
      <c r="C3960" s="1678" t="e">
        <f>VLOOKUP(A3960,#REF!,2,0)</f>
        <v>#REF!</v>
      </c>
      <c r="D3960" s="1678"/>
      <c r="E3960" s="1678"/>
      <c r="F3960" s="1678"/>
      <c r="G3960" s="1678"/>
      <c r="H3960" s="1678"/>
      <c r="I3960" s="1479"/>
      <c r="Q3960" s="1394">
        <f>IFERROR(VLOOKUP(M3960,#REF!,3,0),0)</f>
        <v>0</v>
      </c>
      <c r="R3960" s="1394">
        <f t="shared" si="1003"/>
        <v>0</v>
      </c>
      <c r="S3960" s="1394">
        <f>IFERROR(VLOOKUP(M3960,#REF!,6,0),0)</f>
        <v>0</v>
      </c>
      <c r="T3960" s="1394">
        <f t="shared" si="997"/>
        <v>0</v>
      </c>
      <c r="U3960" s="1394">
        <f>IFERROR(VLOOKUP(M3960,#REF!,5,0),0)</f>
        <v>0</v>
      </c>
      <c r="V3960" s="1394">
        <f t="shared" si="998"/>
        <v>0</v>
      </c>
      <c r="W3960" s="1394"/>
      <c r="X3960" s="1397"/>
    </row>
    <row r="3961" spans="1:26" ht="30" customHeight="1">
      <c r="B3961" s="1405"/>
      <c r="C3961" s="1455" t="s">
        <v>5913</v>
      </c>
      <c r="D3961" s="103">
        <v>1</v>
      </c>
      <c r="E3961" s="103">
        <v>1</v>
      </c>
      <c r="F3961" s="1413"/>
      <c r="G3961" s="1413"/>
      <c r="H3961" s="1414"/>
      <c r="I3961" s="1406">
        <f t="shared" ref="I3961:I3962" si="1004">PRODUCT(D3961:H3961)</f>
        <v>1</v>
      </c>
      <c r="Q3961" s="1394">
        <f>IFERROR(VLOOKUP(M3961,#REF!,3,0),0)</f>
        <v>0</v>
      </c>
      <c r="R3961" s="1394">
        <f t="shared" si="1003"/>
        <v>0</v>
      </c>
      <c r="S3961" s="1394">
        <f>IFERROR(VLOOKUP(M3961,#REF!,6,0),0)</f>
        <v>0</v>
      </c>
      <c r="T3961" s="1394">
        <f t="shared" si="997"/>
        <v>0</v>
      </c>
      <c r="U3961" s="1394">
        <f>IFERROR(VLOOKUP(M3961,#REF!,5,0),0)</f>
        <v>0</v>
      </c>
      <c r="V3961" s="1394">
        <f t="shared" si="998"/>
        <v>0</v>
      </c>
      <c r="W3961" s="1394"/>
    </row>
    <row r="3962" spans="1:26" ht="30" customHeight="1">
      <c r="B3962" s="1405"/>
      <c r="C3962" s="1455" t="s">
        <v>5564</v>
      </c>
      <c r="D3962" s="103">
        <v>1</v>
      </c>
      <c r="E3962" s="103">
        <v>1</v>
      </c>
      <c r="F3962" s="1413"/>
      <c r="G3962" s="1413"/>
      <c r="H3962" s="1414"/>
      <c r="I3962" s="1406">
        <f t="shared" si="1004"/>
        <v>1</v>
      </c>
      <c r="Q3962" s="1394">
        <f>IFERROR(VLOOKUP(M3962,#REF!,3,0),0)</f>
        <v>0</v>
      </c>
      <c r="R3962" s="1394">
        <f t="shared" si="1003"/>
        <v>0</v>
      </c>
      <c r="S3962" s="1394">
        <f>IFERROR(VLOOKUP(M3962,#REF!,6,0),0)</f>
        <v>0</v>
      </c>
      <c r="T3962" s="1394">
        <f t="shared" si="997"/>
        <v>0</v>
      </c>
      <c r="U3962" s="1394">
        <f>IFERROR(VLOOKUP(M3962,#REF!,5,0),0)</f>
        <v>0</v>
      </c>
      <c r="V3962" s="1394">
        <f t="shared" si="998"/>
        <v>0</v>
      </c>
      <c r="W3962" s="1394"/>
    </row>
    <row r="3963" spans="1:26" ht="30" customHeight="1">
      <c r="B3963" s="1405"/>
      <c r="C3963" s="1455" t="s">
        <v>5914</v>
      </c>
      <c r="D3963" s="103">
        <v>1</v>
      </c>
      <c r="E3963" s="103">
        <v>1</v>
      </c>
      <c r="F3963" s="1413"/>
      <c r="G3963" s="1413"/>
      <c r="H3963" s="1414"/>
      <c r="I3963" s="1406">
        <f t="shared" ref="I3963" si="1005">PRODUCT(D3963:H3963)</f>
        <v>1</v>
      </c>
      <c r="Q3963" s="1394">
        <f>IFERROR(VLOOKUP(M3963,#REF!,3,0),0)</f>
        <v>0</v>
      </c>
      <c r="R3963" s="1394">
        <f t="shared" si="1003"/>
        <v>0</v>
      </c>
      <c r="S3963" s="1394">
        <f>IFERROR(VLOOKUP(M3963,#REF!,6,0),0)</f>
        <v>0</v>
      </c>
      <c r="T3963" s="1394">
        <f t="shared" si="997"/>
        <v>0</v>
      </c>
      <c r="U3963" s="1394">
        <f>IFERROR(VLOOKUP(M3963,#REF!,5,0),0)</f>
        <v>0</v>
      </c>
      <c r="V3963" s="1394">
        <f t="shared" si="998"/>
        <v>0</v>
      </c>
      <c r="W3963" s="1394"/>
    </row>
    <row r="3964" spans="1:26" ht="30" customHeight="1">
      <c r="B3964" s="1405"/>
      <c r="C3964" s="1455"/>
      <c r="D3964" s="103"/>
      <c r="E3964" s="103"/>
      <c r="F3964" s="1413"/>
      <c r="G3964" s="1413"/>
      <c r="H3964" s="1414"/>
      <c r="I3964" s="1479"/>
      <c r="Q3964" s="1394">
        <f>IFERROR(VLOOKUP(M3964,#REF!,3,0),0)</f>
        <v>0</v>
      </c>
      <c r="R3964" s="1394">
        <f t="shared" si="1003"/>
        <v>0</v>
      </c>
      <c r="S3964" s="1394">
        <f>IFERROR(VLOOKUP(M3964,#REF!,6,0),0)</f>
        <v>0</v>
      </c>
      <c r="T3964" s="1394">
        <f t="shared" si="997"/>
        <v>0</v>
      </c>
      <c r="U3964" s="1394">
        <f>IFERROR(VLOOKUP(M3964,#REF!,5,0),0)</f>
        <v>0</v>
      </c>
      <c r="V3964" s="1394">
        <f t="shared" si="998"/>
        <v>0</v>
      </c>
      <c r="W3964" s="1394"/>
    </row>
    <row r="3965" spans="1:26" ht="30" customHeight="1">
      <c r="B3965" s="1405"/>
      <c r="C3965" s="1455"/>
      <c r="D3965" s="103"/>
      <c r="E3965" s="103"/>
      <c r="F3965" s="1413"/>
      <c r="G3965" s="1413"/>
      <c r="H3965" s="1414"/>
      <c r="I3965" s="1479">
        <f>SUM(I3961:I3964)</f>
        <v>3</v>
      </c>
      <c r="Q3965" s="1394">
        <f>IFERROR(VLOOKUP(M3965,#REF!,3,0),0)</f>
        <v>0</v>
      </c>
      <c r="R3965" s="1394">
        <f t="shared" si="1003"/>
        <v>0</v>
      </c>
      <c r="S3965" s="1394">
        <f>IFERROR(VLOOKUP(M3965,#REF!,6,0),0)</f>
        <v>0</v>
      </c>
      <c r="T3965" s="1394">
        <f t="shared" si="997"/>
        <v>0</v>
      </c>
      <c r="U3965" s="1394">
        <f>IFERROR(VLOOKUP(M3965,#REF!,5,0),0)</f>
        <v>0</v>
      </c>
      <c r="V3965" s="1394">
        <f t="shared" si="998"/>
        <v>0</v>
      </c>
      <c r="W3965" s="1394"/>
    </row>
    <row r="3966" spans="1:26" ht="30" customHeight="1">
      <c r="B3966" s="1513"/>
      <c r="C3966" s="1412"/>
      <c r="D3966" s="103"/>
      <c r="E3966" s="103"/>
      <c r="F3966" s="1413"/>
      <c r="G3966" s="1483" t="s">
        <v>11</v>
      </c>
      <c r="H3966" s="1478">
        <f>I3965</f>
        <v>3</v>
      </c>
      <c r="I3966" s="1479" t="s">
        <v>13</v>
      </c>
      <c r="M3966" s="1394" t="str">
        <f>A3960</f>
        <v>S &amp; F of A/C metal clad switch</v>
      </c>
      <c r="N3966" s="1394">
        <f>B3960</f>
        <v>77.2</v>
      </c>
      <c r="O3966" s="1394">
        <f>H3966</f>
        <v>3</v>
      </c>
      <c r="P3966" s="1394" t="str">
        <f>I3966</f>
        <v>Nos</v>
      </c>
      <c r="Q3966" s="1394">
        <f>IFERROR(VLOOKUP(M3966,#REF!,3,0),0)</f>
        <v>0</v>
      </c>
      <c r="R3966" s="1394">
        <f t="shared" si="1003"/>
        <v>0</v>
      </c>
      <c r="S3966" s="1394">
        <f>IFERROR(VLOOKUP(M3966,#REF!,6,0),0)</f>
        <v>0</v>
      </c>
      <c r="T3966" s="1394">
        <f t="shared" si="997"/>
        <v>0</v>
      </c>
      <c r="U3966" s="1394">
        <f>IFERROR(VLOOKUP(M3966,#REF!,5,0),0)</f>
        <v>0</v>
      </c>
      <c r="V3966" s="1394">
        <f t="shared" si="998"/>
        <v>3</v>
      </c>
      <c r="W3966" s="1394"/>
      <c r="Z3966" s="1394"/>
    </row>
    <row r="3967" spans="1:26" ht="30" customHeight="1">
      <c r="B3967" s="1513"/>
      <c r="C3967" s="1412"/>
      <c r="D3967" s="103"/>
      <c r="E3967" s="103"/>
      <c r="F3967" s="1413"/>
      <c r="G3967" s="1483"/>
      <c r="H3967" s="1478"/>
      <c r="I3967" s="1479"/>
      <c r="M3967" s="1394"/>
      <c r="N3967" s="1394"/>
      <c r="O3967" s="1394"/>
      <c r="P3967" s="1394"/>
      <c r="Q3967" s="1394">
        <f>IFERROR(VLOOKUP(M3967,#REF!,3,0),0)</f>
        <v>0</v>
      </c>
      <c r="R3967" s="1394">
        <f t="shared" si="1003"/>
        <v>0</v>
      </c>
      <c r="S3967" s="1394">
        <f>IFERROR(VLOOKUP(M3967,#REF!,6,0),0)</f>
        <v>0</v>
      </c>
      <c r="T3967" s="1394">
        <f t="shared" si="997"/>
        <v>0</v>
      </c>
      <c r="U3967" s="1394">
        <f>IFERROR(VLOOKUP(M3967,#REF!,5,0),0)</f>
        <v>0</v>
      </c>
      <c r="V3967" s="1394">
        <f t="shared" si="998"/>
        <v>0</v>
      </c>
      <c r="W3967" s="1394"/>
    </row>
    <row r="3968" spans="1:26" ht="151.5" customHeight="1">
      <c r="A3968" s="110" t="s">
        <v>953</v>
      </c>
      <c r="B3968" s="1405">
        <v>86</v>
      </c>
      <c r="C3968" s="1678" t="e">
        <f>VLOOKUP(A3968,#REF!,2,0)</f>
        <v>#REF!</v>
      </c>
      <c r="D3968" s="1678"/>
      <c r="E3968" s="1678"/>
      <c r="F3968" s="1678"/>
      <c r="G3968" s="1678"/>
      <c r="H3968" s="1678"/>
      <c r="I3968" s="1406"/>
      <c r="Q3968" s="1394">
        <f>IFERROR(VLOOKUP(M3968,#REF!,3,0),0)</f>
        <v>0</v>
      </c>
      <c r="R3968" s="1394">
        <f t="shared" si="1003"/>
        <v>0</v>
      </c>
      <c r="S3968" s="1394">
        <f>IFERROR(VLOOKUP(M3968,#REF!,6,0),0)</f>
        <v>0</v>
      </c>
      <c r="T3968" s="1394">
        <f t="shared" si="997"/>
        <v>0</v>
      </c>
      <c r="U3968" s="1394">
        <f>IFERROR(VLOOKUP(M3968,#REF!,5,0),0)</f>
        <v>0</v>
      </c>
      <c r="V3968" s="1394">
        <f t="shared" si="998"/>
        <v>0</v>
      </c>
      <c r="W3968" s="1394"/>
      <c r="X3968" s="1397"/>
    </row>
    <row r="3969" spans="1:26" ht="30" customHeight="1">
      <c r="A3969" s="1548"/>
      <c r="B3969" s="1407"/>
      <c r="C3969" s="1455" t="s">
        <v>536</v>
      </c>
      <c r="D3969" s="103">
        <v>1</v>
      </c>
      <c r="E3969" s="103">
        <v>1</v>
      </c>
      <c r="F3969" s="1413">
        <v>18.805</v>
      </c>
      <c r="G3969" s="1413">
        <v>15.88</v>
      </c>
      <c r="H3969" s="1414"/>
      <c r="I3969" s="1406">
        <f>PRODUCT(D3969:H3969)</f>
        <v>298.6234</v>
      </c>
      <c r="J3969" s="1548"/>
      <c r="K3969" s="1548"/>
      <c r="L3969" s="1548"/>
      <c r="M3969" s="1549"/>
      <c r="N3969" s="1548"/>
      <c r="O3969" s="1548"/>
      <c r="P3969" s="1548"/>
      <c r="Q3969" s="1394">
        <f>IFERROR(VLOOKUP(M3969,#REF!,3,0),0)</f>
        <v>0</v>
      </c>
      <c r="R3969" s="1394">
        <f t="shared" si="1003"/>
        <v>0</v>
      </c>
      <c r="S3969" s="1394">
        <f>IFERROR(VLOOKUP(M3969,#REF!,6,0),0)</f>
        <v>0</v>
      </c>
      <c r="T3969" s="1394">
        <f t="shared" si="997"/>
        <v>0</v>
      </c>
      <c r="U3969" s="1394">
        <f>IFERROR(VLOOKUP(M3969,#REF!,5,0),0)</f>
        <v>0</v>
      </c>
      <c r="V3969" s="1394">
        <f t="shared" si="998"/>
        <v>0</v>
      </c>
      <c r="W3969" s="1394"/>
    </row>
    <row r="3970" spans="1:26" ht="30" customHeight="1">
      <c r="A3970" s="1548"/>
      <c r="B3970" s="1407"/>
      <c r="C3970" s="1455" t="s">
        <v>5950</v>
      </c>
      <c r="D3970" s="103">
        <v>1</v>
      </c>
      <c r="E3970" s="103">
        <v>1</v>
      </c>
      <c r="F3970" s="1413">
        <v>5.085</v>
      </c>
      <c r="G3970" s="1413">
        <v>5.4050000000000002</v>
      </c>
      <c r="H3970" s="1414"/>
      <c r="I3970" s="1406">
        <f>PRODUCT(D3970:H3970)</f>
        <v>27.484425000000002</v>
      </c>
      <c r="J3970" s="1548"/>
      <c r="K3970" s="1548"/>
      <c r="L3970" s="1548"/>
      <c r="M3970" s="1549"/>
      <c r="N3970" s="1548"/>
      <c r="O3970" s="1548"/>
      <c r="P3970" s="1548"/>
      <c r="Q3970" s="1394">
        <f>IFERROR(VLOOKUP(M3970,#REF!,3,0),0)</f>
        <v>0</v>
      </c>
      <c r="R3970" s="1394">
        <f t="shared" si="1003"/>
        <v>0</v>
      </c>
      <c r="S3970" s="1394">
        <f>IFERROR(VLOOKUP(M3970,#REF!,6,0),0)</f>
        <v>0</v>
      </c>
      <c r="T3970" s="1394">
        <f t="shared" si="997"/>
        <v>0</v>
      </c>
      <c r="U3970" s="1394">
        <f>IFERROR(VLOOKUP(M3970,#REF!,5,0),0)</f>
        <v>0</v>
      </c>
      <c r="V3970" s="1394">
        <f t="shared" si="998"/>
        <v>0</v>
      </c>
      <c r="W3970" s="1394"/>
    </row>
    <row r="3971" spans="1:26" ht="30" customHeight="1">
      <c r="A3971" s="1548"/>
      <c r="B3971" s="1407"/>
      <c r="C3971" s="1455"/>
      <c r="D3971" s="103"/>
      <c r="E3971" s="103"/>
      <c r="F3971" s="1413"/>
      <c r="G3971" s="1413"/>
      <c r="H3971" s="1414"/>
      <c r="I3971" s="1406"/>
      <c r="J3971" s="1548"/>
      <c r="K3971" s="1548"/>
      <c r="L3971" s="1548"/>
      <c r="M3971" s="1549"/>
      <c r="N3971" s="1548"/>
      <c r="O3971" s="1548"/>
      <c r="P3971" s="1548"/>
      <c r="Q3971" s="1394">
        <f>IFERROR(VLOOKUP(M3971,#REF!,3,0),0)</f>
        <v>0</v>
      </c>
      <c r="R3971" s="1394">
        <f t="shared" si="1003"/>
        <v>0</v>
      </c>
      <c r="S3971" s="1394">
        <f>IFERROR(VLOOKUP(M3971,#REF!,6,0),0)</f>
        <v>0</v>
      </c>
      <c r="T3971" s="1394">
        <f t="shared" ref="T3971:T4034" si="1006">R3971-S3971</f>
        <v>0</v>
      </c>
      <c r="U3971" s="1394">
        <f>IFERROR(VLOOKUP(M3971,#REF!,5,0),0)</f>
        <v>0</v>
      </c>
      <c r="V3971" s="1394">
        <f t="shared" ref="V3971:V4034" si="1007">O3971-U3971</f>
        <v>0</v>
      </c>
      <c r="W3971" s="1394"/>
    </row>
    <row r="3972" spans="1:26" ht="30" customHeight="1">
      <c r="A3972" s="1550"/>
      <c r="B3972" s="1421"/>
      <c r="C3972" s="1422" t="s">
        <v>270</v>
      </c>
      <c r="D3972" s="1389"/>
      <c r="E3972" s="1389"/>
      <c r="F3972" s="1423"/>
      <c r="G3972" s="1423"/>
      <c r="H3972" s="1424"/>
      <c r="I3972" s="1425">
        <f>J3973-J3972</f>
        <v>0.89217500000000882</v>
      </c>
      <c r="J3972" s="1550">
        <f>SUM(I3969:I3970)</f>
        <v>326.10782499999999</v>
      </c>
      <c r="K3972" s="1550"/>
      <c r="L3972" s="1550"/>
      <c r="M3972" s="1551"/>
      <c r="N3972" s="1550"/>
      <c r="O3972" s="1550"/>
      <c r="P3972" s="1550"/>
      <c r="Q3972" s="1394">
        <f>IFERROR(VLOOKUP(M3972,#REF!,3,0),0)</f>
        <v>0</v>
      </c>
      <c r="R3972" s="1394">
        <f t="shared" si="1003"/>
        <v>0</v>
      </c>
      <c r="S3972" s="1394">
        <f>IFERROR(VLOOKUP(M3972,#REF!,6,0),0)</f>
        <v>0</v>
      </c>
      <c r="T3972" s="1394">
        <f t="shared" si="1006"/>
        <v>0</v>
      </c>
      <c r="U3972" s="1394">
        <f>IFERROR(VLOOKUP(M3972,#REF!,5,0),0)</f>
        <v>0</v>
      </c>
      <c r="V3972" s="1394">
        <f t="shared" si="1007"/>
        <v>0</v>
      </c>
      <c r="W3972" s="1394"/>
    </row>
    <row r="3973" spans="1:26" ht="30" customHeight="1">
      <c r="A3973" s="1550"/>
      <c r="B3973" s="1421"/>
      <c r="C3973" s="1457"/>
      <c r="D3973" s="1389"/>
      <c r="E3973" s="1389"/>
      <c r="F3973" s="1423"/>
      <c r="G3973" s="1423"/>
      <c r="H3973" s="1424"/>
      <c r="I3973" s="1427">
        <f>+J3973</f>
        <v>327</v>
      </c>
      <c r="J3973" s="1550">
        <f>ROUNDUP(J3972,0)</f>
        <v>327</v>
      </c>
      <c r="K3973" s="1550"/>
      <c r="L3973" s="1550"/>
      <c r="M3973" s="1551"/>
      <c r="N3973" s="1550"/>
      <c r="O3973" s="1550"/>
      <c r="P3973" s="1550"/>
      <c r="Q3973" s="1394">
        <f>IFERROR(VLOOKUP(M3973,#REF!,3,0),0)</f>
        <v>0</v>
      </c>
      <c r="R3973" s="1394">
        <f t="shared" si="1003"/>
        <v>0</v>
      </c>
      <c r="S3973" s="1394">
        <f>IFERROR(VLOOKUP(M3973,#REF!,6,0),0)</f>
        <v>0</v>
      </c>
      <c r="T3973" s="1394">
        <f t="shared" si="1006"/>
        <v>0</v>
      </c>
      <c r="U3973" s="1394">
        <f>IFERROR(VLOOKUP(M3973,#REF!,5,0),0)</f>
        <v>0</v>
      </c>
      <c r="V3973" s="1394">
        <f t="shared" si="1007"/>
        <v>0</v>
      </c>
      <c r="W3973" s="1394"/>
    </row>
    <row r="3974" spans="1:26" s="1394" customFormat="1" ht="30" customHeight="1">
      <c r="A3974" s="1550"/>
      <c r="B3974" s="1421"/>
      <c r="C3974" s="1422"/>
      <c r="D3974" s="1389"/>
      <c r="E3974" s="1389"/>
      <c r="F3974" s="1423"/>
      <c r="G3974" s="1428" t="s">
        <v>11</v>
      </c>
      <c r="H3974" s="1429">
        <f>I3973</f>
        <v>327</v>
      </c>
      <c r="I3974" s="1427" t="s">
        <v>12</v>
      </c>
      <c r="J3974" s="1550"/>
      <c r="K3974" s="1550"/>
      <c r="L3974" s="1550"/>
      <c r="M3974" s="1552" t="str">
        <f>A3968</f>
        <v>Anti termite treatment</v>
      </c>
      <c r="N3974" s="1550">
        <f>B3968</f>
        <v>86</v>
      </c>
      <c r="O3974" s="1394">
        <f>H3974</f>
        <v>327</v>
      </c>
      <c r="P3974" s="1550" t="str">
        <f>I3974</f>
        <v>Rmt</v>
      </c>
      <c r="Q3974" s="1394">
        <f>IFERROR(VLOOKUP(M3974,#REF!,3,0),0)</f>
        <v>0</v>
      </c>
      <c r="R3974" s="1394">
        <f t="shared" si="1003"/>
        <v>0</v>
      </c>
      <c r="S3974" s="1394">
        <f>IFERROR(VLOOKUP(M3974,#REF!,6,0),0)</f>
        <v>0</v>
      </c>
      <c r="T3974" s="1394">
        <f t="shared" si="1006"/>
        <v>0</v>
      </c>
      <c r="U3974" s="1394">
        <f>IFERROR(VLOOKUP(M3974,#REF!,5,0),0)</f>
        <v>0</v>
      </c>
      <c r="V3974" s="1394">
        <f t="shared" si="1007"/>
        <v>327</v>
      </c>
    </row>
    <row r="3975" spans="1:26" s="1394" customFormat="1" ht="30" customHeight="1">
      <c r="A3975" s="1548"/>
      <c r="B3975" s="1407"/>
      <c r="C3975" s="1455"/>
      <c r="D3975" s="103"/>
      <c r="E3975" s="103"/>
      <c r="F3975" s="1413"/>
      <c r="G3975" s="1413"/>
      <c r="H3975" s="1414"/>
      <c r="I3975" s="1479"/>
      <c r="J3975" s="1548"/>
      <c r="K3975" s="1548"/>
      <c r="L3975" s="1548"/>
      <c r="M3975" s="1549"/>
      <c r="N3975" s="1548"/>
      <c r="O3975" s="1548"/>
      <c r="P3975" s="1548"/>
      <c r="Q3975" s="1394">
        <f>IFERROR(VLOOKUP(M3975,#REF!,3,0),0)</f>
        <v>0</v>
      </c>
      <c r="R3975" s="1394">
        <f t="shared" si="1003"/>
        <v>0</v>
      </c>
      <c r="S3975" s="1394">
        <f>IFERROR(VLOOKUP(M3975,#REF!,6,0),0)</f>
        <v>0</v>
      </c>
      <c r="T3975" s="1394">
        <f t="shared" si="1006"/>
        <v>0</v>
      </c>
      <c r="U3975" s="1394">
        <f>IFERROR(VLOOKUP(M3975,#REF!,5,0),0)</f>
        <v>0</v>
      </c>
      <c r="V3975" s="1394">
        <f t="shared" si="1007"/>
        <v>0</v>
      </c>
    </row>
    <row r="3976" spans="1:26" s="1394" customFormat="1" ht="30" customHeight="1">
      <c r="A3976" s="1548"/>
      <c r="B3976" s="1407"/>
      <c r="C3976" s="1455"/>
      <c r="D3976" s="103"/>
      <c r="E3976" s="103"/>
      <c r="F3976" s="1413"/>
      <c r="G3976" s="1413"/>
      <c r="H3976" s="1414"/>
      <c r="I3976" s="1406"/>
      <c r="J3976" s="1548"/>
      <c r="K3976" s="1548"/>
      <c r="L3976" s="1548"/>
      <c r="M3976" s="1549"/>
      <c r="N3976" s="1548"/>
      <c r="O3976" s="1548"/>
      <c r="P3976" s="1548"/>
      <c r="Q3976" s="1394">
        <f>IFERROR(VLOOKUP(M3976,#REF!,3,0),0)</f>
        <v>0</v>
      </c>
      <c r="R3976" s="1394">
        <f t="shared" si="1003"/>
        <v>0</v>
      </c>
      <c r="S3976" s="1394">
        <f>IFERROR(VLOOKUP(M3976,#REF!,6,0),0)</f>
        <v>0</v>
      </c>
      <c r="T3976" s="1394">
        <f t="shared" si="1006"/>
        <v>0</v>
      </c>
      <c r="U3976" s="1394">
        <f>IFERROR(VLOOKUP(M3976,#REF!,5,0),0)</f>
        <v>0</v>
      </c>
      <c r="V3976" s="1394">
        <f t="shared" si="1007"/>
        <v>0</v>
      </c>
    </row>
    <row r="3977" spans="1:26" ht="137.25" customHeight="1">
      <c r="A3977" s="110" t="s">
        <v>537</v>
      </c>
      <c r="B3977" s="1405">
        <v>18.100000000000001</v>
      </c>
      <c r="C3977" s="1678" t="e">
        <f>VLOOKUP(A3977,#REF!,2,0)</f>
        <v>#REF!</v>
      </c>
      <c r="D3977" s="1678"/>
      <c r="E3977" s="1678"/>
      <c r="F3977" s="1678"/>
      <c r="G3977" s="1678"/>
      <c r="H3977" s="1678"/>
      <c r="I3977" s="1406"/>
      <c r="Q3977" s="1394">
        <f>IFERROR(VLOOKUP(M3977,#REF!,3,0),0)</f>
        <v>0</v>
      </c>
      <c r="R3977" s="1394">
        <f t="shared" si="1003"/>
        <v>0</v>
      </c>
      <c r="S3977" s="1394">
        <f>IFERROR(VLOOKUP(M3977,#REF!,6,0),0)</f>
        <v>0</v>
      </c>
      <c r="T3977" s="1394">
        <f t="shared" si="1006"/>
        <v>0</v>
      </c>
      <c r="U3977" s="1394">
        <f>IFERROR(VLOOKUP(M3977,#REF!,5,0),0)</f>
        <v>0</v>
      </c>
      <c r="V3977" s="1394">
        <f t="shared" si="1007"/>
        <v>0</v>
      </c>
      <c r="W3977" s="1394"/>
      <c r="X3977" s="1397"/>
    </row>
    <row r="3978" spans="1:26" ht="30" customHeight="1">
      <c r="A3978" s="110" t="s">
        <v>158</v>
      </c>
      <c r="B3978" s="1407"/>
      <c r="C3978" s="1678" t="e">
        <f>VLOOKUP(A3978,#REF!,2,0)</f>
        <v>#REF!</v>
      </c>
      <c r="D3978" s="1678"/>
      <c r="E3978" s="1678"/>
      <c r="F3978" s="1678"/>
      <c r="G3978" s="1678"/>
      <c r="H3978" s="1678"/>
      <c r="I3978" s="1406"/>
      <c r="Q3978" s="1394">
        <f>IFERROR(VLOOKUP(M3978,#REF!,3,0),0)</f>
        <v>0</v>
      </c>
      <c r="R3978" s="1394">
        <f t="shared" si="1003"/>
        <v>0</v>
      </c>
      <c r="S3978" s="1394">
        <f>IFERROR(VLOOKUP(M3978,#REF!,6,0),0)</f>
        <v>0</v>
      </c>
      <c r="T3978" s="1394">
        <f t="shared" si="1006"/>
        <v>0</v>
      </c>
      <c r="U3978" s="1394">
        <f>IFERROR(VLOOKUP(M3978,#REF!,5,0),0)</f>
        <v>0</v>
      </c>
      <c r="V3978" s="1394">
        <f t="shared" si="1007"/>
        <v>0</v>
      </c>
      <c r="W3978" s="1394"/>
      <c r="X3978" s="1397"/>
    </row>
    <row r="3979" spans="1:26" ht="30" customHeight="1">
      <c r="B3979" s="1407"/>
      <c r="C3979" s="1492" t="s">
        <v>538</v>
      </c>
      <c r="D3979" s="103"/>
      <c r="E3979" s="103"/>
      <c r="F3979" s="1413"/>
      <c r="G3979" s="1413"/>
      <c r="H3979" s="103"/>
      <c r="I3979" s="1406">
        <f>H576</f>
        <v>370.90000000000003</v>
      </c>
      <c r="Q3979" s="1394">
        <f>IFERROR(VLOOKUP(M3979,#REF!,3,0),0)</f>
        <v>0</v>
      </c>
      <c r="R3979" s="1394">
        <f t="shared" si="1003"/>
        <v>0</v>
      </c>
      <c r="S3979" s="1394">
        <f>IFERROR(VLOOKUP(M3979,#REF!,6,0),0)</f>
        <v>0</v>
      </c>
      <c r="T3979" s="1394">
        <f t="shared" si="1006"/>
        <v>0</v>
      </c>
      <c r="U3979" s="1394">
        <f>IFERROR(VLOOKUP(M3979,#REF!,5,0),0)</f>
        <v>0</v>
      </c>
      <c r="V3979" s="1394">
        <f t="shared" si="1007"/>
        <v>0</v>
      </c>
      <c r="W3979" s="1394"/>
    </row>
    <row r="3980" spans="1:26" ht="30" customHeight="1">
      <c r="A3980" s="1397"/>
      <c r="B3980" s="1407"/>
      <c r="C3980" s="1491"/>
      <c r="D3980" s="103"/>
      <c r="E3980" s="103"/>
      <c r="F3980" s="1413"/>
      <c r="G3980" s="1413"/>
      <c r="H3980" s="103"/>
      <c r="I3980" s="1406">
        <f>L3980-J3980</f>
        <v>9.9999999999965894E-2</v>
      </c>
      <c r="J3980" s="1397">
        <f>SUM(I3979)</f>
        <v>370.90000000000003</v>
      </c>
      <c r="K3980" s="1397"/>
      <c r="L3980" s="1397">
        <f>ROUNDUP(J3980,0)</f>
        <v>371</v>
      </c>
      <c r="Q3980" s="1394">
        <f>IFERROR(VLOOKUP(M3980,#REF!,3,0),0)</f>
        <v>0</v>
      </c>
      <c r="R3980" s="1394">
        <f t="shared" si="1003"/>
        <v>0</v>
      </c>
      <c r="S3980" s="1394">
        <f>IFERROR(VLOOKUP(M3980,#REF!,6,0),0)</f>
        <v>0</v>
      </c>
      <c r="T3980" s="1394">
        <f t="shared" si="1006"/>
        <v>0</v>
      </c>
      <c r="U3980" s="1394">
        <f>IFERROR(VLOOKUP(M3980,#REF!,5,0),0)</f>
        <v>0</v>
      </c>
      <c r="V3980" s="1394">
        <f t="shared" si="1007"/>
        <v>0</v>
      </c>
      <c r="W3980" s="1394"/>
    </row>
    <row r="3981" spans="1:26" ht="30" customHeight="1">
      <c r="B3981" s="1407"/>
      <c r="C3981" s="1491"/>
      <c r="D3981" s="103"/>
      <c r="E3981" s="103"/>
      <c r="F3981" s="1413"/>
      <c r="G3981" s="1423"/>
      <c r="H3981" s="1424"/>
      <c r="I3981" s="1427">
        <f>SUM(I3979:I3980)</f>
        <v>371</v>
      </c>
      <c r="J3981" s="1397"/>
      <c r="K3981" s="1397"/>
      <c r="Q3981" s="1394">
        <f>IFERROR(VLOOKUP(M3981,#REF!,3,0),0)</f>
        <v>0</v>
      </c>
      <c r="R3981" s="1394">
        <f t="shared" si="1003"/>
        <v>0</v>
      </c>
      <c r="S3981" s="1394">
        <f>IFERROR(VLOOKUP(M3981,#REF!,6,0),0)</f>
        <v>0</v>
      </c>
      <c r="T3981" s="1394">
        <f t="shared" si="1006"/>
        <v>0</v>
      </c>
      <c r="U3981" s="1394">
        <f>IFERROR(VLOOKUP(M3981,#REF!,5,0),0)</f>
        <v>0</v>
      </c>
      <c r="V3981" s="1394">
        <f t="shared" si="1007"/>
        <v>0</v>
      </c>
      <c r="W3981" s="1394"/>
    </row>
    <row r="3982" spans="1:26" ht="30" customHeight="1">
      <c r="B3982" s="1407"/>
      <c r="C3982" s="1491"/>
      <c r="D3982" s="103"/>
      <c r="E3982" s="103"/>
      <c r="F3982" s="1413"/>
      <c r="G3982" s="1428" t="s">
        <v>11</v>
      </c>
      <c r="H3982" s="1429">
        <f>I3981</f>
        <v>371</v>
      </c>
      <c r="I3982" s="1427" t="s">
        <v>26</v>
      </c>
      <c r="M3982" s="1394" t="str">
        <f>A3978</f>
        <v>a.For Column footings,plinth beam,Grade beam,Raftbeam,Raft slab etc.,</v>
      </c>
      <c r="N3982" s="1394">
        <f>B3978</f>
        <v>0</v>
      </c>
      <c r="O3982" s="1394">
        <f>H3982</f>
        <v>371</v>
      </c>
      <c r="P3982" s="1394" t="str">
        <f>I3982</f>
        <v>Sqm</v>
      </c>
      <c r="Q3982" s="1394">
        <f>IFERROR(VLOOKUP(M3982,#REF!,3,0),0)</f>
        <v>0</v>
      </c>
      <c r="R3982" s="1394">
        <f t="shared" si="1003"/>
        <v>0</v>
      </c>
      <c r="S3982" s="1394">
        <f>IFERROR(VLOOKUP(M3982,#REF!,6,0),0)</f>
        <v>0</v>
      </c>
      <c r="T3982" s="1394">
        <f t="shared" si="1006"/>
        <v>0</v>
      </c>
      <c r="U3982" s="1394">
        <f>IFERROR(VLOOKUP(M3982,#REF!,5,0),0)</f>
        <v>0</v>
      </c>
      <c r="V3982" s="1394">
        <f t="shared" si="1007"/>
        <v>371</v>
      </c>
      <c r="W3982" s="1394"/>
      <c r="Z3982" s="1394"/>
    </row>
    <row r="3983" spans="1:26" ht="30" customHeight="1">
      <c r="A3983" s="110" t="s">
        <v>539</v>
      </c>
      <c r="B3983" s="1407"/>
      <c r="C3983" s="1678" t="e">
        <f>VLOOKUP(A3983,#REF!,2,0)</f>
        <v>#REF!</v>
      </c>
      <c r="D3983" s="1678"/>
      <c r="E3983" s="1678"/>
      <c r="F3983" s="1678"/>
      <c r="G3983" s="1678"/>
      <c r="H3983" s="1678"/>
      <c r="I3983" s="1406"/>
      <c r="Q3983" s="1394">
        <f>IFERROR(VLOOKUP(M3983,#REF!,3,0),0)</f>
        <v>0</v>
      </c>
      <c r="R3983" s="1394">
        <f t="shared" si="1003"/>
        <v>0</v>
      </c>
      <c r="S3983" s="1394">
        <f>IFERROR(VLOOKUP(M3983,#REF!,6,0),0)</f>
        <v>0</v>
      </c>
      <c r="T3983" s="1394">
        <f t="shared" si="1006"/>
        <v>0</v>
      </c>
      <c r="U3983" s="1394">
        <f>IFERROR(VLOOKUP(M3983,#REF!,5,0),0)</f>
        <v>0</v>
      </c>
      <c r="V3983" s="1394">
        <f t="shared" si="1007"/>
        <v>0</v>
      </c>
      <c r="W3983" s="1394"/>
      <c r="X3983" s="1397"/>
    </row>
    <row r="3984" spans="1:26" ht="30" customHeight="1">
      <c r="B3984" s="1407"/>
      <c r="C3984" s="1553"/>
      <c r="D3984" s="1409"/>
      <c r="E3984" s="1409"/>
      <c r="F3984" s="1410"/>
      <c r="G3984" s="1410"/>
      <c r="H3984" s="1409"/>
      <c r="I3984" s="1471"/>
      <c r="Q3984" s="1394">
        <f>IFERROR(VLOOKUP(M3984,#REF!,3,0),0)</f>
        <v>0</v>
      </c>
      <c r="R3984" s="1394">
        <f t="shared" si="1003"/>
        <v>0</v>
      </c>
      <c r="S3984" s="1394">
        <f>IFERROR(VLOOKUP(M3984,#REF!,6,0),0)</f>
        <v>0</v>
      </c>
      <c r="T3984" s="1394">
        <f t="shared" si="1006"/>
        <v>0</v>
      </c>
      <c r="U3984" s="1394">
        <f>IFERROR(VLOOKUP(M3984,#REF!,5,0),0)</f>
        <v>0</v>
      </c>
      <c r="V3984" s="1394">
        <f t="shared" si="1007"/>
        <v>0</v>
      </c>
      <c r="W3984" s="1394"/>
    </row>
    <row r="3985" spans="2:23" ht="30" customHeight="1">
      <c r="B3985" s="1407"/>
      <c r="C3985" s="1415" t="e">
        <f t="shared" ref="C3985:H3985" si="1008">C611</f>
        <v>#REF!</v>
      </c>
      <c r="D3985" s="1409">
        <f t="shared" si="1008"/>
        <v>0</v>
      </c>
      <c r="E3985" s="1409">
        <f t="shared" si="1008"/>
        <v>0</v>
      </c>
      <c r="F3985" s="1410">
        <f t="shared" si="1008"/>
        <v>0</v>
      </c>
      <c r="G3985" s="1410">
        <f t="shared" si="1008"/>
        <v>0</v>
      </c>
      <c r="H3985" s="1411">
        <f t="shared" si="1008"/>
        <v>0</v>
      </c>
      <c r="I3985" s="1471"/>
      <c r="Q3985" s="1394">
        <f>IFERROR(VLOOKUP(M3985,#REF!,3,0),0)</f>
        <v>0</v>
      </c>
      <c r="R3985" s="1394">
        <f t="shared" si="1003"/>
        <v>0</v>
      </c>
      <c r="S3985" s="1394">
        <f>IFERROR(VLOOKUP(M3985,#REF!,6,0),0)</f>
        <v>0</v>
      </c>
      <c r="T3985" s="1394">
        <f t="shared" si="1006"/>
        <v>0</v>
      </c>
      <c r="U3985" s="1394">
        <f>IFERROR(VLOOKUP(M3985,#REF!,5,0),0)</f>
        <v>0</v>
      </c>
      <c r="V3985" s="1394">
        <f t="shared" si="1007"/>
        <v>0</v>
      </c>
      <c r="W3985" s="1394"/>
    </row>
    <row r="3986" spans="2:23" ht="30" hidden="1" customHeight="1">
      <c r="B3986" s="1472"/>
      <c r="C3986" s="1408">
        <f t="shared" ref="C3986:H3991" si="1009">C617</f>
        <v>0</v>
      </c>
      <c r="D3986" s="1409">
        <f t="shared" si="1009"/>
        <v>0</v>
      </c>
      <c r="E3986" s="1409">
        <f t="shared" si="1009"/>
        <v>0</v>
      </c>
      <c r="F3986" s="1410">
        <f t="shared" si="1009"/>
        <v>0</v>
      </c>
      <c r="G3986" s="1410">
        <f t="shared" si="1009"/>
        <v>0</v>
      </c>
      <c r="H3986" s="1411">
        <f t="shared" si="1009"/>
        <v>0</v>
      </c>
      <c r="I3986" s="1471"/>
      <c r="O3986" s="1395"/>
      <c r="Q3986" s="1394">
        <f>IFERROR(VLOOKUP(M3986,#REF!,3,0),0)</f>
        <v>0</v>
      </c>
      <c r="R3986" s="1394">
        <f t="shared" si="1003"/>
        <v>0</v>
      </c>
      <c r="S3986" s="1394">
        <f>IFERROR(VLOOKUP(M3986,#REF!,6,0),0)</f>
        <v>0</v>
      </c>
      <c r="T3986" s="1394">
        <f t="shared" si="1006"/>
        <v>0</v>
      </c>
      <c r="U3986" s="1394">
        <f>IFERROR(VLOOKUP(M3986,#REF!,5,0),0)</f>
        <v>0</v>
      </c>
      <c r="V3986" s="1394">
        <f t="shared" si="1007"/>
        <v>0</v>
      </c>
      <c r="W3986" s="1394"/>
    </row>
    <row r="3987" spans="2:23" ht="30" hidden="1" customHeight="1">
      <c r="B3987" s="1472"/>
      <c r="C3987" s="1408">
        <f t="shared" si="1009"/>
        <v>0</v>
      </c>
      <c r="D3987" s="1409">
        <f t="shared" si="1009"/>
        <v>0</v>
      </c>
      <c r="E3987" s="1409">
        <f t="shared" si="1009"/>
        <v>0</v>
      </c>
      <c r="F3987" s="1410">
        <f t="shared" si="1009"/>
        <v>0</v>
      </c>
      <c r="G3987" s="1410">
        <f t="shared" si="1009"/>
        <v>0</v>
      </c>
      <c r="H3987" s="1411">
        <f t="shared" si="1009"/>
        <v>0</v>
      </c>
      <c r="I3987" s="1471"/>
      <c r="O3987" s="1395"/>
      <c r="Q3987" s="1394">
        <f>IFERROR(VLOOKUP(M3987,#REF!,3,0),0)</f>
        <v>0</v>
      </c>
      <c r="R3987" s="1394">
        <f t="shared" si="1003"/>
        <v>0</v>
      </c>
      <c r="S3987" s="1394">
        <f>IFERROR(VLOOKUP(M3987,#REF!,6,0),0)</f>
        <v>0</v>
      </c>
      <c r="T3987" s="1394">
        <f t="shared" si="1006"/>
        <v>0</v>
      </c>
      <c r="U3987" s="1394">
        <f>IFERROR(VLOOKUP(M3987,#REF!,5,0),0)</f>
        <v>0</v>
      </c>
      <c r="V3987" s="1394">
        <f t="shared" si="1007"/>
        <v>0</v>
      </c>
      <c r="W3987" s="1394"/>
    </row>
    <row r="3988" spans="2:23" ht="30" hidden="1" customHeight="1">
      <c r="B3988" s="1472"/>
      <c r="C3988" s="1408">
        <f t="shared" si="1009"/>
        <v>0</v>
      </c>
      <c r="D3988" s="1409">
        <f t="shared" si="1009"/>
        <v>0</v>
      </c>
      <c r="E3988" s="1409">
        <f t="shared" si="1009"/>
        <v>0</v>
      </c>
      <c r="F3988" s="1410">
        <f t="shared" si="1009"/>
        <v>0</v>
      </c>
      <c r="G3988" s="1410">
        <f t="shared" si="1009"/>
        <v>0</v>
      </c>
      <c r="H3988" s="1411">
        <f t="shared" si="1009"/>
        <v>0</v>
      </c>
      <c r="I3988" s="1471"/>
      <c r="O3988" s="1395"/>
      <c r="Q3988" s="1394">
        <f>IFERROR(VLOOKUP(M3988,#REF!,3,0),0)</f>
        <v>0</v>
      </c>
      <c r="R3988" s="1394">
        <f t="shared" si="1003"/>
        <v>0</v>
      </c>
      <c r="S3988" s="1394">
        <f>IFERROR(VLOOKUP(M3988,#REF!,6,0),0)</f>
        <v>0</v>
      </c>
      <c r="T3988" s="1394">
        <f t="shared" si="1006"/>
        <v>0</v>
      </c>
      <c r="U3988" s="1394">
        <f>IFERROR(VLOOKUP(M3988,#REF!,5,0),0)</f>
        <v>0</v>
      </c>
      <c r="V3988" s="1394">
        <f t="shared" si="1007"/>
        <v>0</v>
      </c>
      <c r="W3988" s="1394"/>
    </row>
    <row r="3989" spans="2:23" ht="30" customHeight="1">
      <c r="B3989" s="1472"/>
      <c r="C3989" s="1408" t="str">
        <f t="shared" si="1009"/>
        <v>Sill slab for Windows</v>
      </c>
      <c r="D3989" s="1409">
        <f t="shared" si="1009"/>
        <v>0</v>
      </c>
      <c r="E3989" s="1409">
        <f t="shared" si="1009"/>
        <v>0</v>
      </c>
      <c r="F3989" s="1410">
        <f t="shared" si="1009"/>
        <v>0</v>
      </c>
      <c r="G3989" s="1410">
        <f t="shared" si="1009"/>
        <v>0</v>
      </c>
      <c r="H3989" s="1411">
        <f t="shared" si="1009"/>
        <v>0</v>
      </c>
      <c r="I3989" s="1471"/>
      <c r="O3989" s="1395"/>
      <c r="Q3989" s="1394">
        <f>IFERROR(VLOOKUP(M3989,#REF!,3,0),0)</f>
        <v>0</v>
      </c>
      <c r="R3989" s="1394">
        <f t="shared" si="1003"/>
        <v>0</v>
      </c>
      <c r="S3989" s="1394">
        <f>IFERROR(VLOOKUP(M3989,#REF!,6,0),0)</f>
        <v>0</v>
      </c>
      <c r="T3989" s="1394">
        <f t="shared" si="1006"/>
        <v>0</v>
      </c>
      <c r="U3989" s="1394">
        <f>IFERROR(VLOOKUP(M3989,#REF!,5,0),0)</f>
        <v>0</v>
      </c>
      <c r="V3989" s="1394">
        <f t="shared" si="1007"/>
        <v>0</v>
      </c>
      <c r="W3989" s="1394"/>
    </row>
    <row r="3990" spans="2:23" ht="30" customHeight="1">
      <c r="B3990" s="1472"/>
      <c r="C3990" s="1408" t="str">
        <f t="shared" si="1009"/>
        <v>Ground Floor</v>
      </c>
      <c r="D3990" s="1409">
        <f t="shared" si="1009"/>
        <v>0</v>
      </c>
      <c r="E3990" s="1409">
        <f t="shared" si="1009"/>
        <v>0</v>
      </c>
      <c r="F3990" s="1410">
        <f t="shared" si="1009"/>
        <v>0</v>
      </c>
      <c r="G3990" s="1410">
        <f t="shared" si="1009"/>
        <v>0</v>
      </c>
      <c r="H3990" s="1411">
        <f t="shared" si="1009"/>
        <v>0</v>
      </c>
      <c r="I3990" s="1471"/>
      <c r="O3990" s="1395"/>
      <c r="Q3990" s="1394">
        <f>IFERROR(VLOOKUP(M3990,#REF!,3,0),0)</f>
        <v>0</v>
      </c>
      <c r="R3990" s="1394">
        <f t="shared" si="1003"/>
        <v>0</v>
      </c>
      <c r="S3990" s="1394">
        <f>IFERROR(VLOOKUP(M3990,#REF!,6,0),0)</f>
        <v>0</v>
      </c>
      <c r="T3990" s="1394">
        <f t="shared" si="1006"/>
        <v>0</v>
      </c>
      <c r="U3990" s="1394">
        <f>IFERROR(VLOOKUP(M3990,#REF!,5,0),0)</f>
        <v>0</v>
      </c>
      <c r="V3990" s="1394">
        <f t="shared" si="1007"/>
        <v>0</v>
      </c>
      <c r="W3990" s="1394"/>
    </row>
    <row r="3991" spans="2:23" ht="30" customHeight="1">
      <c r="B3991" s="1472"/>
      <c r="C3991" s="1415" t="str">
        <f t="shared" si="1009"/>
        <v>ENTRANCE LOBBY</v>
      </c>
      <c r="D3991" s="1409">
        <f t="shared" si="1009"/>
        <v>0</v>
      </c>
      <c r="E3991" s="1409">
        <f t="shared" si="1009"/>
        <v>0</v>
      </c>
      <c r="F3991" s="1410">
        <f t="shared" si="1009"/>
        <v>0</v>
      </c>
      <c r="G3991" s="1410">
        <f t="shared" si="1009"/>
        <v>0</v>
      </c>
      <c r="H3991" s="1411">
        <f t="shared" si="1009"/>
        <v>0</v>
      </c>
      <c r="I3991" s="1471"/>
      <c r="O3991" s="1395"/>
      <c r="Q3991" s="1394">
        <f>IFERROR(VLOOKUP(M3991,#REF!,3,0),0)</f>
        <v>0</v>
      </c>
      <c r="R3991" s="1394">
        <f t="shared" si="1003"/>
        <v>0</v>
      </c>
      <c r="S3991" s="1394">
        <f>IFERROR(VLOOKUP(M3991,#REF!,6,0),0)</f>
        <v>0</v>
      </c>
      <c r="T3991" s="1394">
        <f t="shared" si="1006"/>
        <v>0</v>
      </c>
      <c r="U3991" s="1394">
        <f>IFERROR(VLOOKUP(M3991,#REF!,5,0),0)</f>
        <v>0</v>
      </c>
      <c r="V3991" s="1394">
        <f t="shared" si="1007"/>
        <v>0</v>
      </c>
      <c r="W3991" s="1394"/>
    </row>
    <row r="3992" spans="2:23" ht="30" customHeight="1">
      <c r="B3992" s="1472"/>
      <c r="C3992" s="1408" t="str">
        <f t="shared" ref="C3992:C4015" si="1010">C623</f>
        <v>MD</v>
      </c>
      <c r="D3992" s="1409">
        <f t="shared" ref="D3992:D4014" si="1011">D623*2</f>
        <v>2</v>
      </c>
      <c r="E3992" s="1409">
        <f t="shared" ref="E3992:F4015" si="1012">E623</f>
        <v>1</v>
      </c>
      <c r="F3992" s="1410">
        <f t="shared" si="1012"/>
        <v>2.2600000000000002</v>
      </c>
      <c r="G3992" s="1410"/>
      <c r="H3992" s="1411">
        <f t="shared" ref="H3992:H4015" si="1013">H623</f>
        <v>0.05</v>
      </c>
      <c r="I3992" s="1406">
        <f>PRODUCT(D3992:H3992)</f>
        <v>0.22600000000000003</v>
      </c>
      <c r="O3992" s="1395"/>
      <c r="Q3992" s="1394">
        <f>IFERROR(VLOOKUP(M3992,#REF!,3,0),0)</f>
        <v>0</v>
      </c>
      <c r="R3992" s="1394">
        <f t="shared" si="1003"/>
        <v>0</v>
      </c>
      <c r="S3992" s="1394">
        <f>IFERROR(VLOOKUP(M3992,#REF!,6,0),0)</f>
        <v>0</v>
      </c>
      <c r="T3992" s="1394">
        <f t="shared" si="1006"/>
        <v>0</v>
      </c>
      <c r="U3992" s="1394">
        <f>IFERROR(VLOOKUP(M3992,#REF!,5,0),0)</f>
        <v>0</v>
      </c>
      <c r="V3992" s="1394">
        <f t="shared" si="1007"/>
        <v>0</v>
      </c>
      <c r="W3992" s="1394"/>
    </row>
    <row r="3993" spans="2:23" ht="30" customHeight="1">
      <c r="B3993" s="1472"/>
      <c r="C3993" s="1408" t="str">
        <f t="shared" si="1010"/>
        <v>MD-1</v>
      </c>
      <c r="D3993" s="1409">
        <f t="shared" si="1011"/>
        <v>2</v>
      </c>
      <c r="E3993" s="1409">
        <f t="shared" si="1012"/>
        <v>1</v>
      </c>
      <c r="F3993" s="1410">
        <f t="shared" si="1012"/>
        <v>2.2600000000000002</v>
      </c>
      <c r="G3993" s="1410"/>
      <c r="H3993" s="1411">
        <f t="shared" si="1013"/>
        <v>0.05</v>
      </c>
      <c r="I3993" s="1406">
        <f t="shared" ref="I3993:I4002" si="1014">PRODUCT(D3993:H3993)</f>
        <v>0.22600000000000003</v>
      </c>
      <c r="O3993" s="1395"/>
      <c r="Q3993" s="1394">
        <f>IFERROR(VLOOKUP(M3993,#REF!,3,0),0)</f>
        <v>0</v>
      </c>
      <c r="R3993" s="1394">
        <f t="shared" si="1003"/>
        <v>0</v>
      </c>
      <c r="S3993" s="1394">
        <f>IFERROR(VLOOKUP(M3993,#REF!,6,0),0)</f>
        <v>0</v>
      </c>
      <c r="T3993" s="1394">
        <f t="shared" si="1006"/>
        <v>0</v>
      </c>
      <c r="U3993" s="1394">
        <f>IFERROR(VLOOKUP(M3993,#REF!,5,0),0)</f>
        <v>0</v>
      </c>
      <c r="V3993" s="1394">
        <f t="shared" si="1007"/>
        <v>0</v>
      </c>
      <c r="W3993" s="1394"/>
    </row>
    <row r="3994" spans="2:23" ht="30" customHeight="1">
      <c r="B3994" s="1472"/>
      <c r="C3994" s="1408" t="str">
        <f t="shared" si="1010"/>
        <v>LD</v>
      </c>
      <c r="D3994" s="1409">
        <f t="shared" si="1011"/>
        <v>2</v>
      </c>
      <c r="E3994" s="1409">
        <f t="shared" si="1012"/>
        <v>1</v>
      </c>
      <c r="F3994" s="1410">
        <f t="shared" si="1012"/>
        <v>1.66</v>
      </c>
      <c r="G3994" s="1410"/>
      <c r="H3994" s="1411">
        <f t="shared" si="1013"/>
        <v>0.05</v>
      </c>
      <c r="I3994" s="1406">
        <f t="shared" si="1014"/>
        <v>0.16600000000000001</v>
      </c>
      <c r="O3994" s="1395"/>
      <c r="Q3994" s="1394">
        <f>IFERROR(VLOOKUP(M3994,#REF!,3,0),0)</f>
        <v>0</v>
      </c>
      <c r="R3994" s="1394">
        <f t="shared" si="1003"/>
        <v>0</v>
      </c>
      <c r="S3994" s="1394">
        <f>IFERROR(VLOOKUP(M3994,#REF!,6,0),0)</f>
        <v>0</v>
      </c>
      <c r="T3994" s="1394">
        <f t="shared" si="1006"/>
        <v>0</v>
      </c>
      <c r="U3994" s="1394">
        <f>IFERROR(VLOOKUP(M3994,#REF!,5,0),0)</f>
        <v>0</v>
      </c>
      <c r="V3994" s="1394">
        <f t="shared" si="1007"/>
        <v>0</v>
      </c>
      <c r="W3994" s="1394"/>
    </row>
    <row r="3995" spans="2:23" ht="30" customHeight="1">
      <c r="B3995" s="1472"/>
      <c r="C3995" s="1408" t="str">
        <f t="shared" si="1010"/>
        <v>SLD</v>
      </c>
      <c r="D3995" s="1409">
        <f t="shared" si="1011"/>
        <v>2</v>
      </c>
      <c r="E3995" s="1409">
        <f t="shared" si="1012"/>
        <v>1</v>
      </c>
      <c r="F3995" s="1410">
        <f t="shared" si="1012"/>
        <v>1.46</v>
      </c>
      <c r="G3995" s="1410"/>
      <c r="H3995" s="1411">
        <f t="shared" si="1013"/>
        <v>0.05</v>
      </c>
      <c r="I3995" s="1406">
        <f t="shared" si="1014"/>
        <v>0.14599999999999999</v>
      </c>
      <c r="O3995" s="1395"/>
      <c r="Q3995" s="1394">
        <f>IFERROR(VLOOKUP(M3995,#REF!,3,0),0)</f>
        <v>0</v>
      </c>
      <c r="R3995" s="1394">
        <f t="shared" si="1003"/>
        <v>0</v>
      </c>
      <c r="S3995" s="1394">
        <f>IFERROR(VLOOKUP(M3995,#REF!,6,0),0)</f>
        <v>0</v>
      </c>
      <c r="T3995" s="1394">
        <f t="shared" si="1006"/>
        <v>0</v>
      </c>
      <c r="U3995" s="1394">
        <f>IFERROR(VLOOKUP(M3995,#REF!,5,0),0)</f>
        <v>0</v>
      </c>
      <c r="V3995" s="1394">
        <f t="shared" si="1007"/>
        <v>0</v>
      </c>
      <c r="W3995" s="1394"/>
    </row>
    <row r="3996" spans="2:23" ht="30" customHeight="1">
      <c r="B3996" s="1472"/>
      <c r="C3996" s="1408" t="str">
        <f t="shared" si="1010"/>
        <v>TD</v>
      </c>
      <c r="D3996" s="1409">
        <f t="shared" si="1011"/>
        <v>2</v>
      </c>
      <c r="E3996" s="1409">
        <f t="shared" si="1012"/>
        <v>1</v>
      </c>
      <c r="F3996" s="1410">
        <f t="shared" si="1012"/>
        <v>1.21</v>
      </c>
      <c r="G3996" s="1410"/>
      <c r="H3996" s="1411">
        <f t="shared" si="1013"/>
        <v>0.05</v>
      </c>
      <c r="I3996" s="1406">
        <f t="shared" si="1014"/>
        <v>0.121</v>
      </c>
      <c r="O3996" s="1395"/>
      <c r="Q3996" s="1394">
        <f>IFERROR(VLOOKUP(M3996,#REF!,3,0),0)</f>
        <v>0</v>
      </c>
      <c r="R3996" s="1394">
        <f t="shared" si="1003"/>
        <v>0</v>
      </c>
      <c r="S3996" s="1394">
        <f>IFERROR(VLOOKUP(M3996,#REF!,6,0),0)</f>
        <v>0</v>
      </c>
      <c r="T3996" s="1394">
        <f t="shared" si="1006"/>
        <v>0</v>
      </c>
      <c r="U3996" s="1394">
        <f>IFERROR(VLOOKUP(M3996,#REF!,5,0),0)</f>
        <v>0</v>
      </c>
      <c r="V3996" s="1394">
        <f t="shared" si="1007"/>
        <v>0</v>
      </c>
      <c r="W3996" s="1394"/>
    </row>
    <row r="3997" spans="2:23" ht="30" customHeight="1">
      <c r="B3997" s="1472"/>
      <c r="C3997" s="1415" t="str">
        <f t="shared" si="1010"/>
        <v>SFW</v>
      </c>
      <c r="D3997" s="1409">
        <f t="shared" si="1011"/>
        <v>2</v>
      </c>
      <c r="E3997" s="1409">
        <f t="shared" si="1012"/>
        <v>1</v>
      </c>
      <c r="F3997" s="1410">
        <f t="shared" si="1012"/>
        <v>2.2600000000000002</v>
      </c>
      <c r="G3997" s="1410"/>
      <c r="H3997" s="1411">
        <f t="shared" si="1013"/>
        <v>0.05</v>
      </c>
      <c r="I3997" s="1406">
        <f t="shared" si="1014"/>
        <v>0.22600000000000003</v>
      </c>
      <c r="O3997" s="1469"/>
      <c r="Q3997" s="1394">
        <f>IFERROR(VLOOKUP(M3997,#REF!,3,0),0)</f>
        <v>0</v>
      </c>
      <c r="R3997" s="1394">
        <f t="shared" si="1003"/>
        <v>0</v>
      </c>
      <c r="S3997" s="1394">
        <f>IFERROR(VLOOKUP(M3997,#REF!,6,0),0)</f>
        <v>0</v>
      </c>
      <c r="T3997" s="1394">
        <f t="shared" si="1006"/>
        <v>0</v>
      </c>
      <c r="U3997" s="1394">
        <f>IFERROR(VLOOKUP(M3997,#REF!,5,0),0)</f>
        <v>0</v>
      </c>
      <c r="V3997" s="1394">
        <f t="shared" si="1007"/>
        <v>0</v>
      </c>
      <c r="W3997" s="1394"/>
    </row>
    <row r="3998" spans="2:23" ht="30" customHeight="1">
      <c r="B3998" s="1472"/>
      <c r="C3998" s="1408" t="str">
        <f t="shared" si="1010"/>
        <v>FW-1</v>
      </c>
      <c r="D3998" s="1409">
        <f t="shared" si="1011"/>
        <v>2</v>
      </c>
      <c r="E3998" s="1409">
        <f t="shared" si="1012"/>
        <v>2</v>
      </c>
      <c r="F3998" s="1410">
        <f t="shared" si="1012"/>
        <v>2.2600000000000002</v>
      </c>
      <c r="G3998" s="1410"/>
      <c r="H3998" s="1411">
        <f t="shared" si="1013"/>
        <v>0.05</v>
      </c>
      <c r="I3998" s="1406">
        <f t="shared" si="1014"/>
        <v>0.45200000000000007</v>
      </c>
      <c r="O3998" s="1469"/>
      <c r="Q3998" s="1394">
        <f>IFERROR(VLOOKUP(M3998,#REF!,3,0),0)</f>
        <v>0</v>
      </c>
      <c r="R3998" s="1394">
        <f t="shared" si="1003"/>
        <v>0</v>
      </c>
      <c r="S3998" s="1394">
        <f>IFERROR(VLOOKUP(M3998,#REF!,6,0),0)</f>
        <v>0</v>
      </c>
      <c r="T3998" s="1394">
        <f t="shared" si="1006"/>
        <v>0</v>
      </c>
      <c r="U3998" s="1394">
        <f>IFERROR(VLOOKUP(M3998,#REF!,5,0),0)</f>
        <v>0</v>
      </c>
      <c r="V3998" s="1394">
        <f t="shared" si="1007"/>
        <v>0</v>
      </c>
      <c r="W3998" s="1394"/>
    </row>
    <row r="3999" spans="2:23" ht="30" customHeight="1">
      <c r="B3999" s="1472"/>
      <c r="C3999" s="1408" t="str">
        <f t="shared" si="1010"/>
        <v>FW-2</v>
      </c>
      <c r="D3999" s="1409">
        <f t="shared" si="1011"/>
        <v>2</v>
      </c>
      <c r="E3999" s="1409">
        <f t="shared" si="1012"/>
        <v>1</v>
      </c>
      <c r="F3999" s="1410">
        <f t="shared" si="1012"/>
        <v>1.96</v>
      </c>
      <c r="G3999" s="1410"/>
      <c r="H3999" s="1411">
        <f t="shared" si="1013"/>
        <v>0.05</v>
      </c>
      <c r="I3999" s="1406">
        <f t="shared" si="1014"/>
        <v>0.19600000000000001</v>
      </c>
      <c r="O3999" s="1395"/>
      <c r="Q3999" s="1394">
        <f>IFERROR(VLOOKUP(M3999,#REF!,3,0),0)</f>
        <v>0</v>
      </c>
      <c r="R3999" s="1394">
        <f t="shared" si="1003"/>
        <v>0</v>
      </c>
      <c r="S3999" s="1394">
        <f>IFERROR(VLOOKUP(M3999,#REF!,6,0),0)</f>
        <v>0</v>
      </c>
      <c r="T3999" s="1394">
        <f t="shared" si="1006"/>
        <v>0</v>
      </c>
      <c r="U3999" s="1394">
        <f>IFERROR(VLOOKUP(M3999,#REF!,5,0),0)</f>
        <v>0</v>
      </c>
      <c r="V3999" s="1394">
        <f t="shared" si="1007"/>
        <v>0</v>
      </c>
      <c r="W3999" s="1394"/>
    </row>
    <row r="4000" spans="2:23" ht="30" customHeight="1">
      <c r="B4000" s="1472"/>
      <c r="C4000" s="1408" t="str">
        <f t="shared" si="1010"/>
        <v>W1A</v>
      </c>
      <c r="D4000" s="1409">
        <f t="shared" si="1011"/>
        <v>2</v>
      </c>
      <c r="E4000" s="1409">
        <f t="shared" si="1012"/>
        <v>1</v>
      </c>
      <c r="F4000" s="1410">
        <f t="shared" si="1012"/>
        <v>1.96</v>
      </c>
      <c r="G4000" s="1410"/>
      <c r="H4000" s="1411">
        <f t="shared" si="1013"/>
        <v>0.05</v>
      </c>
      <c r="I4000" s="1406">
        <f t="shared" si="1014"/>
        <v>0.19600000000000001</v>
      </c>
      <c r="O4000" s="1395"/>
      <c r="Q4000" s="1394">
        <f>IFERROR(VLOOKUP(M4000,#REF!,3,0),0)</f>
        <v>0</v>
      </c>
      <c r="R4000" s="1394">
        <f t="shared" si="1003"/>
        <v>0</v>
      </c>
      <c r="S4000" s="1394">
        <f>IFERROR(VLOOKUP(M4000,#REF!,6,0),0)</f>
        <v>0</v>
      </c>
      <c r="T4000" s="1394">
        <f t="shared" si="1006"/>
        <v>0</v>
      </c>
      <c r="U4000" s="1394">
        <f>IFERROR(VLOOKUP(M4000,#REF!,5,0),0)</f>
        <v>0</v>
      </c>
      <c r="V4000" s="1394">
        <f t="shared" si="1007"/>
        <v>0</v>
      </c>
      <c r="W4000" s="1394"/>
    </row>
    <row r="4001" spans="2:23" ht="30" customHeight="1">
      <c r="B4001" s="1472"/>
      <c r="C4001" s="1408" t="str">
        <f t="shared" si="1010"/>
        <v>W3</v>
      </c>
      <c r="D4001" s="1409">
        <f t="shared" si="1011"/>
        <v>2</v>
      </c>
      <c r="E4001" s="1409">
        <f t="shared" si="1012"/>
        <v>1</v>
      </c>
      <c r="F4001" s="1410">
        <f t="shared" si="1012"/>
        <v>1.46</v>
      </c>
      <c r="G4001" s="1410"/>
      <c r="H4001" s="1411">
        <f t="shared" si="1013"/>
        <v>0.05</v>
      </c>
      <c r="I4001" s="1406">
        <f t="shared" si="1014"/>
        <v>0.14599999999999999</v>
      </c>
      <c r="O4001" s="1395"/>
      <c r="Q4001" s="1394">
        <f>IFERROR(VLOOKUP(M4001,#REF!,3,0),0)</f>
        <v>0</v>
      </c>
      <c r="R4001" s="1394">
        <f t="shared" si="1003"/>
        <v>0</v>
      </c>
      <c r="S4001" s="1394">
        <f>IFERROR(VLOOKUP(M4001,#REF!,6,0),0)</f>
        <v>0</v>
      </c>
      <c r="T4001" s="1394">
        <f t="shared" si="1006"/>
        <v>0</v>
      </c>
      <c r="U4001" s="1394">
        <f>IFERROR(VLOOKUP(M4001,#REF!,5,0),0)</f>
        <v>0</v>
      </c>
      <c r="V4001" s="1394">
        <f t="shared" si="1007"/>
        <v>0</v>
      </c>
      <c r="W4001" s="1394"/>
    </row>
    <row r="4002" spans="2:23" ht="30" customHeight="1">
      <c r="B4002" s="1472"/>
      <c r="C4002" s="1408" t="str">
        <f t="shared" si="1010"/>
        <v>V3</v>
      </c>
      <c r="D4002" s="1409">
        <f t="shared" si="1011"/>
        <v>2</v>
      </c>
      <c r="E4002" s="1409">
        <f t="shared" si="1012"/>
        <v>3</v>
      </c>
      <c r="F4002" s="1410">
        <f t="shared" si="1012"/>
        <v>1.36</v>
      </c>
      <c r="G4002" s="1410"/>
      <c r="H4002" s="1411">
        <f t="shared" si="1013"/>
        <v>0.05</v>
      </c>
      <c r="I4002" s="1406">
        <f t="shared" si="1014"/>
        <v>0.40800000000000003</v>
      </c>
      <c r="O4002" s="1395"/>
      <c r="Q4002" s="1394">
        <f>IFERROR(VLOOKUP(M4002,#REF!,3,0),0)</f>
        <v>0</v>
      </c>
      <c r="R4002" s="1394">
        <f t="shared" si="1003"/>
        <v>0</v>
      </c>
      <c r="S4002" s="1394">
        <f>IFERROR(VLOOKUP(M4002,#REF!,6,0),0)</f>
        <v>0</v>
      </c>
      <c r="T4002" s="1394">
        <f t="shared" si="1006"/>
        <v>0</v>
      </c>
      <c r="U4002" s="1394">
        <f>IFERROR(VLOOKUP(M4002,#REF!,5,0),0)</f>
        <v>0</v>
      </c>
      <c r="V4002" s="1394">
        <f t="shared" si="1007"/>
        <v>0</v>
      </c>
      <c r="W4002" s="1394"/>
    </row>
    <row r="4003" spans="2:23" ht="30" customHeight="1">
      <c r="B4003" s="1472"/>
      <c r="C4003" s="1415" t="str">
        <f t="shared" si="1010"/>
        <v>Main wall all alround in stilt floor</v>
      </c>
      <c r="D4003" s="1409">
        <f t="shared" si="1011"/>
        <v>2</v>
      </c>
      <c r="E4003" s="1409">
        <f t="shared" si="1012"/>
        <v>1</v>
      </c>
      <c r="F4003" s="1410">
        <f t="shared" si="1012"/>
        <v>38.875</v>
      </c>
      <c r="G4003" s="1410"/>
      <c r="H4003" s="1411">
        <f t="shared" si="1013"/>
        <v>0.1</v>
      </c>
      <c r="I4003" s="1406">
        <f t="shared" ref="I4003:I4014" si="1015">PRODUCT(D4003:H4003)</f>
        <v>7.7750000000000004</v>
      </c>
      <c r="O4003" s="1395"/>
      <c r="Q4003" s="1394">
        <f>IFERROR(VLOOKUP(M4003,#REF!,3,0),0)</f>
        <v>0</v>
      </c>
      <c r="R4003" s="1394">
        <f t="shared" si="1003"/>
        <v>0</v>
      </c>
      <c r="S4003" s="1394">
        <f>IFERROR(VLOOKUP(M4003,#REF!,6,0),0)</f>
        <v>0</v>
      </c>
      <c r="T4003" s="1394">
        <f t="shared" si="1006"/>
        <v>0</v>
      </c>
      <c r="U4003" s="1394">
        <f>IFERROR(VLOOKUP(M4003,#REF!,5,0),0)</f>
        <v>0</v>
      </c>
      <c r="V4003" s="1394">
        <f t="shared" si="1007"/>
        <v>0</v>
      </c>
      <c r="W4003" s="1394"/>
    </row>
    <row r="4004" spans="2:23" ht="30" customHeight="1">
      <c r="B4004" s="1472"/>
      <c r="C4004" s="1408" t="str">
        <f t="shared" si="1010"/>
        <v>Lift</v>
      </c>
      <c r="D4004" s="1409">
        <f t="shared" si="1011"/>
        <v>0</v>
      </c>
      <c r="E4004" s="1409">
        <f t="shared" si="1012"/>
        <v>0</v>
      </c>
      <c r="F4004" s="1410">
        <f t="shared" si="1012"/>
        <v>0</v>
      </c>
      <c r="G4004" s="1410"/>
      <c r="H4004" s="1411">
        <f t="shared" si="1013"/>
        <v>0</v>
      </c>
      <c r="I4004" s="1406">
        <f t="shared" si="1015"/>
        <v>0</v>
      </c>
      <c r="Q4004" s="1394">
        <f>IFERROR(VLOOKUP(M4004,#REF!,3,0),0)</f>
        <v>0</v>
      </c>
      <c r="R4004" s="1394">
        <f t="shared" si="1003"/>
        <v>0</v>
      </c>
      <c r="S4004" s="1394">
        <f>IFERROR(VLOOKUP(M4004,#REF!,6,0),0)</f>
        <v>0</v>
      </c>
      <c r="T4004" s="1394">
        <f t="shared" si="1006"/>
        <v>0</v>
      </c>
      <c r="U4004" s="1394">
        <f>IFERROR(VLOOKUP(M4004,#REF!,5,0),0)</f>
        <v>0</v>
      </c>
      <c r="V4004" s="1394">
        <f t="shared" si="1007"/>
        <v>0</v>
      </c>
      <c r="W4004" s="1394"/>
    </row>
    <row r="4005" spans="2:23" ht="30" customHeight="1">
      <c r="B4005" s="1472"/>
      <c r="C4005" s="1408" t="str">
        <f t="shared" si="1010"/>
        <v>Cross wall between Toilet and Lift</v>
      </c>
      <c r="D4005" s="1409">
        <f t="shared" si="1011"/>
        <v>2</v>
      </c>
      <c r="E4005" s="1409">
        <f t="shared" si="1012"/>
        <v>1</v>
      </c>
      <c r="F4005" s="1410">
        <f t="shared" si="1012"/>
        <v>3.125</v>
      </c>
      <c r="G4005" s="1410"/>
      <c r="H4005" s="1411">
        <f t="shared" si="1013"/>
        <v>0.1</v>
      </c>
      <c r="I4005" s="1406">
        <f t="shared" si="1015"/>
        <v>0.625</v>
      </c>
      <c r="Q4005" s="1394">
        <f>IFERROR(VLOOKUP(M4005,#REF!,3,0),0)</f>
        <v>0</v>
      </c>
      <c r="R4005" s="1394">
        <f t="shared" si="1003"/>
        <v>0</v>
      </c>
      <c r="S4005" s="1394">
        <f>IFERROR(VLOOKUP(M4005,#REF!,6,0),0)</f>
        <v>0</v>
      </c>
      <c r="T4005" s="1394">
        <f t="shared" si="1006"/>
        <v>0</v>
      </c>
      <c r="U4005" s="1394">
        <f>IFERROR(VLOOKUP(M4005,#REF!,5,0),0)</f>
        <v>0</v>
      </c>
      <c r="V4005" s="1394">
        <f t="shared" si="1007"/>
        <v>0</v>
      </c>
      <c r="W4005" s="1394"/>
    </row>
    <row r="4006" spans="2:23" ht="30" customHeight="1">
      <c r="B4006" s="1472"/>
      <c r="C4006" s="1408" t="str">
        <f t="shared" si="1010"/>
        <v>Lift Front Wall</v>
      </c>
      <c r="D4006" s="1409">
        <f t="shared" si="1011"/>
        <v>2</v>
      </c>
      <c r="E4006" s="1409">
        <f t="shared" si="1012"/>
        <v>1</v>
      </c>
      <c r="F4006" s="1410">
        <f t="shared" si="1012"/>
        <v>2.76</v>
      </c>
      <c r="G4006" s="1410"/>
      <c r="H4006" s="1411">
        <f t="shared" si="1013"/>
        <v>0.1</v>
      </c>
      <c r="I4006" s="1406">
        <f t="shared" si="1015"/>
        <v>0.55199999999999994</v>
      </c>
      <c r="Q4006" s="1394">
        <f>IFERROR(VLOOKUP(M4006,#REF!,3,0),0)</f>
        <v>0</v>
      </c>
      <c r="R4006" s="1394">
        <f t="shared" si="1003"/>
        <v>0</v>
      </c>
      <c r="S4006" s="1394">
        <f>IFERROR(VLOOKUP(M4006,#REF!,6,0),0)</f>
        <v>0</v>
      </c>
      <c r="T4006" s="1394">
        <f t="shared" si="1006"/>
        <v>0</v>
      </c>
      <c r="U4006" s="1394">
        <f>IFERROR(VLOOKUP(M4006,#REF!,5,0),0)</f>
        <v>0</v>
      </c>
      <c r="V4006" s="1394">
        <f t="shared" si="1007"/>
        <v>0</v>
      </c>
      <c r="W4006" s="1394"/>
    </row>
    <row r="4007" spans="2:23" ht="30" customHeight="1">
      <c r="B4007" s="1472"/>
      <c r="C4007" s="1408" t="str">
        <f t="shared" si="1010"/>
        <v>Lift Side Wall</v>
      </c>
      <c r="D4007" s="1409">
        <f t="shared" si="1011"/>
        <v>2</v>
      </c>
      <c r="E4007" s="1409">
        <f t="shared" si="1012"/>
        <v>1</v>
      </c>
      <c r="F4007" s="1410">
        <f t="shared" si="1012"/>
        <v>2.33</v>
      </c>
      <c r="G4007" s="1410"/>
      <c r="H4007" s="1411">
        <f t="shared" si="1013"/>
        <v>0.1</v>
      </c>
      <c r="I4007" s="1406">
        <f t="shared" si="1015"/>
        <v>0.46600000000000003</v>
      </c>
      <c r="Q4007" s="1394">
        <f>IFERROR(VLOOKUP(M4007,#REF!,3,0),0)</f>
        <v>0</v>
      </c>
      <c r="R4007" s="1394">
        <f t="shared" si="1003"/>
        <v>0</v>
      </c>
      <c r="S4007" s="1394">
        <f>IFERROR(VLOOKUP(M4007,#REF!,6,0),0)</f>
        <v>0</v>
      </c>
      <c r="T4007" s="1394">
        <f t="shared" si="1006"/>
        <v>0</v>
      </c>
      <c r="U4007" s="1394">
        <f>IFERROR(VLOOKUP(M4007,#REF!,5,0),0)</f>
        <v>0</v>
      </c>
      <c r="V4007" s="1394">
        <f t="shared" si="1007"/>
        <v>0</v>
      </c>
      <c r="W4007" s="1394"/>
    </row>
    <row r="4008" spans="2:23" ht="30" customHeight="1">
      <c r="B4008" s="1472"/>
      <c r="C4008" s="1408" t="str">
        <f t="shared" si="1010"/>
        <v>Front Entrance Verandah Side Wall</v>
      </c>
      <c r="D4008" s="1409">
        <f t="shared" si="1011"/>
        <v>2</v>
      </c>
      <c r="E4008" s="1409">
        <f t="shared" si="1012"/>
        <v>1</v>
      </c>
      <c r="F4008" s="1410">
        <f t="shared" si="1012"/>
        <v>1.5</v>
      </c>
      <c r="G4008" s="1410"/>
      <c r="H4008" s="1411">
        <f t="shared" si="1013"/>
        <v>0.1</v>
      </c>
      <c r="I4008" s="1406">
        <f t="shared" si="1015"/>
        <v>0.30000000000000004</v>
      </c>
      <c r="Q4008" s="1394">
        <f>IFERROR(VLOOKUP(M4008,#REF!,3,0),0)</f>
        <v>0</v>
      </c>
      <c r="R4008" s="1394">
        <f t="shared" si="1003"/>
        <v>0</v>
      </c>
      <c r="S4008" s="1394">
        <f>IFERROR(VLOOKUP(M4008,#REF!,6,0),0)</f>
        <v>0</v>
      </c>
      <c r="T4008" s="1394">
        <f t="shared" si="1006"/>
        <v>0</v>
      </c>
      <c r="U4008" s="1394">
        <f>IFERROR(VLOOKUP(M4008,#REF!,5,0),0)</f>
        <v>0</v>
      </c>
      <c r="V4008" s="1394">
        <f t="shared" si="1007"/>
        <v>0</v>
      </c>
      <c r="W4008" s="1394"/>
    </row>
    <row r="4009" spans="2:23" ht="30" customHeight="1">
      <c r="B4009" s="1472"/>
      <c r="C4009" s="1408" t="str">
        <f t="shared" si="1010"/>
        <v>Elevation Piller</v>
      </c>
      <c r="D4009" s="1409">
        <f t="shared" si="1011"/>
        <v>2</v>
      </c>
      <c r="E4009" s="1409">
        <f t="shared" si="1012"/>
        <v>4</v>
      </c>
      <c r="F4009" s="1410">
        <f t="shared" si="1012"/>
        <v>0.6</v>
      </c>
      <c r="G4009" s="1410"/>
      <c r="H4009" s="1411">
        <f t="shared" si="1013"/>
        <v>0.1</v>
      </c>
      <c r="I4009" s="1406">
        <f t="shared" si="1015"/>
        <v>0.48</v>
      </c>
      <c r="Q4009" s="1394">
        <f>IFERROR(VLOOKUP(M4009,#REF!,3,0),0)</f>
        <v>0</v>
      </c>
      <c r="R4009" s="1394">
        <f t="shared" si="1003"/>
        <v>0</v>
      </c>
      <c r="S4009" s="1394">
        <f>IFERROR(VLOOKUP(M4009,#REF!,6,0),0)</f>
        <v>0</v>
      </c>
      <c r="T4009" s="1394">
        <f t="shared" si="1006"/>
        <v>0</v>
      </c>
      <c r="U4009" s="1394">
        <f>IFERROR(VLOOKUP(M4009,#REF!,5,0),0)</f>
        <v>0</v>
      </c>
      <c r="V4009" s="1394">
        <f t="shared" si="1007"/>
        <v>0</v>
      </c>
      <c r="W4009" s="1394"/>
    </row>
    <row r="4010" spans="2:23" ht="30" customHeight="1">
      <c r="B4010" s="1472"/>
      <c r="C4010" s="1408" t="str">
        <f t="shared" si="1010"/>
        <v>Deduction for Partition wall Lintel</v>
      </c>
      <c r="D4010" s="1409">
        <f t="shared" si="1011"/>
        <v>0</v>
      </c>
      <c r="E4010" s="1409">
        <f t="shared" si="1012"/>
        <v>0</v>
      </c>
      <c r="F4010" s="1410">
        <f t="shared" si="1012"/>
        <v>0</v>
      </c>
      <c r="G4010" s="1410"/>
      <c r="H4010" s="1411">
        <f t="shared" si="1013"/>
        <v>0</v>
      </c>
      <c r="I4010" s="1406">
        <f t="shared" si="1015"/>
        <v>0</v>
      </c>
      <c r="Q4010" s="1394">
        <f>IFERROR(VLOOKUP(M4010,#REF!,3,0),0)</f>
        <v>0</v>
      </c>
      <c r="R4010" s="1394">
        <f t="shared" si="1003"/>
        <v>0</v>
      </c>
      <c r="S4010" s="1394">
        <f>IFERROR(VLOOKUP(M4010,#REF!,6,0),0)</f>
        <v>0</v>
      </c>
      <c r="T4010" s="1394">
        <f t="shared" si="1006"/>
        <v>0</v>
      </c>
      <c r="U4010" s="1394">
        <f>IFERROR(VLOOKUP(M4010,#REF!,5,0),0)</f>
        <v>0</v>
      </c>
      <c r="V4010" s="1394">
        <f t="shared" si="1007"/>
        <v>0</v>
      </c>
      <c r="W4010" s="1394"/>
    </row>
    <row r="4011" spans="2:23" ht="30" customHeight="1">
      <c r="B4011" s="1407"/>
      <c r="C4011" s="1412" t="str">
        <f t="shared" si="1010"/>
        <v>Cross wall between Toilet / Ph Toilet</v>
      </c>
      <c r="D4011" s="1409">
        <f t="shared" si="1011"/>
        <v>2</v>
      </c>
      <c r="E4011" s="103">
        <f t="shared" si="1012"/>
        <v>1</v>
      </c>
      <c r="F4011" s="1413">
        <f t="shared" si="1012"/>
        <v>1.615</v>
      </c>
      <c r="G4011" s="1413"/>
      <c r="H4011" s="1414">
        <f t="shared" si="1013"/>
        <v>0.1</v>
      </c>
      <c r="I4011" s="1406">
        <f t="shared" si="1015"/>
        <v>0.32300000000000001</v>
      </c>
      <c r="Q4011" s="1394">
        <f>IFERROR(VLOOKUP(M4011,#REF!,3,0),0)</f>
        <v>0</v>
      </c>
      <c r="R4011" s="1394">
        <f t="shared" si="1003"/>
        <v>0</v>
      </c>
      <c r="S4011" s="1394">
        <f>IFERROR(VLOOKUP(M4011,#REF!,6,0),0)</f>
        <v>0</v>
      </c>
      <c r="T4011" s="1394">
        <f t="shared" si="1006"/>
        <v>0</v>
      </c>
      <c r="U4011" s="1394">
        <f>IFERROR(VLOOKUP(M4011,#REF!,5,0),0)</f>
        <v>0</v>
      </c>
      <c r="V4011" s="1394">
        <f t="shared" si="1007"/>
        <v>0</v>
      </c>
      <c r="W4011" s="1394"/>
    </row>
    <row r="4012" spans="2:23" ht="30" customHeight="1">
      <c r="B4012" s="1407"/>
      <c r="C4012" s="1455" t="str">
        <f t="shared" si="1010"/>
        <v>Cross wall between Passage/ Ph Toilet</v>
      </c>
      <c r="D4012" s="1409">
        <f t="shared" si="1011"/>
        <v>2</v>
      </c>
      <c r="E4012" s="103">
        <f t="shared" si="1012"/>
        <v>1</v>
      </c>
      <c r="F4012" s="1413">
        <f t="shared" si="1012"/>
        <v>2.2149999999999999</v>
      </c>
      <c r="G4012" s="1413"/>
      <c r="H4012" s="1414">
        <f t="shared" si="1013"/>
        <v>0.1</v>
      </c>
      <c r="I4012" s="1406">
        <f t="shared" si="1015"/>
        <v>0.443</v>
      </c>
      <c r="Q4012" s="1394">
        <f>IFERROR(VLOOKUP(M4012,#REF!,3,0),0)</f>
        <v>0</v>
      </c>
      <c r="R4012" s="1394">
        <f t="shared" si="1003"/>
        <v>0</v>
      </c>
      <c r="S4012" s="1394">
        <f>IFERROR(VLOOKUP(M4012,#REF!,6,0),0)</f>
        <v>0</v>
      </c>
      <c r="T4012" s="1394">
        <f t="shared" si="1006"/>
        <v>0</v>
      </c>
      <c r="U4012" s="1394">
        <f>IFERROR(VLOOKUP(M4012,#REF!,5,0),0)</f>
        <v>0</v>
      </c>
      <c r="V4012" s="1394">
        <f t="shared" si="1007"/>
        <v>0</v>
      </c>
      <c r="W4012" s="1394"/>
    </row>
    <row r="4013" spans="2:23" ht="30" customHeight="1">
      <c r="B4013" s="1407"/>
      <c r="C4013" s="1455" t="str">
        <f t="shared" si="1010"/>
        <v>Cross wall between Passage/  Toilet</v>
      </c>
      <c r="D4013" s="1409">
        <f t="shared" si="1011"/>
        <v>2</v>
      </c>
      <c r="E4013" s="103">
        <f t="shared" si="1012"/>
        <v>1</v>
      </c>
      <c r="F4013" s="1413">
        <f t="shared" si="1012"/>
        <v>1.35</v>
      </c>
      <c r="G4013" s="1413"/>
      <c r="H4013" s="1414">
        <f t="shared" si="1013"/>
        <v>0.1</v>
      </c>
      <c r="I4013" s="1406">
        <f t="shared" si="1015"/>
        <v>0.27</v>
      </c>
      <c r="Q4013" s="1394">
        <f>IFERROR(VLOOKUP(M4013,#REF!,3,0),0)</f>
        <v>0</v>
      </c>
      <c r="R4013" s="1394">
        <f t="shared" si="1003"/>
        <v>0</v>
      </c>
      <c r="S4013" s="1394">
        <f>IFERROR(VLOOKUP(M4013,#REF!,6,0),0)</f>
        <v>0</v>
      </c>
      <c r="T4013" s="1394">
        <f t="shared" si="1006"/>
        <v>0</v>
      </c>
      <c r="U4013" s="1394">
        <f>IFERROR(VLOOKUP(M4013,#REF!,5,0),0)</f>
        <v>0</v>
      </c>
      <c r="V4013" s="1394">
        <f t="shared" si="1007"/>
        <v>0</v>
      </c>
      <c r="W4013" s="1394"/>
    </row>
    <row r="4014" spans="2:23" ht="30" customHeight="1">
      <c r="B4014" s="1407"/>
      <c r="C4014" s="1455" t="str">
        <f t="shared" si="1010"/>
        <v>Wash basin wall</v>
      </c>
      <c r="D4014" s="1409">
        <f t="shared" si="1011"/>
        <v>2</v>
      </c>
      <c r="E4014" s="103">
        <f t="shared" si="1012"/>
        <v>1</v>
      </c>
      <c r="F4014" s="1413">
        <f t="shared" si="1012"/>
        <v>1.2</v>
      </c>
      <c r="G4014" s="1413"/>
      <c r="H4014" s="1414">
        <f t="shared" si="1013"/>
        <v>0.1</v>
      </c>
      <c r="I4014" s="1406">
        <f t="shared" si="1015"/>
        <v>0.24</v>
      </c>
      <c r="Q4014" s="1394">
        <f>IFERROR(VLOOKUP(M4014,#REF!,3,0),0)</f>
        <v>0</v>
      </c>
      <c r="R4014" s="1394">
        <f t="shared" ref="R4014:R4077" si="1016">ROUND(O4014,2)*ROUND(Q4014,2)</f>
        <v>0</v>
      </c>
      <c r="S4014" s="1394">
        <f>IFERROR(VLOOKUP(M4014,#REF!,6,0),0)</f>
        <v>0</v>
      </c>
      <c r="T4014" s="1394">
        <f t="shared" si="1006"/>
        <v>0</v>
      </c>
      <c r="U4014" s="1394">
        <f>IFERROR(VLOOKUP(M4014,#REF!,5,0),0)</f>
        <v>0</v>
      </c>
      <c r="V4014" s="1394">
        <f t="shared" si="1007"/>
        <v>0</v>
      </c>
      <c r="W4014" s="1394"/>
    </row>
    <row r="4015" spans="2:23" ht="30" customHeight="1">
      <c r="B4015" s="1407"/>
      <c r="C4015" s="1455">
        <f t="shared" si="1010"/>
        <v>0</v>
      </c>
      <c r="D4015" s="103">
        <f>D646</f>
        <v>0</v>
      </c>
      <c r="E4015" s="103">
        <f t="shared" si="1012"/>
        <v>0</v>
      </c>
      <c r="F4015" s="1413">
        <f t="shared" si="1012"/>
        <v>0</v>
      </c>
      <c r="G4015" s="1413">
        <f>G646</f>
        <v>0</v>
      </c>
      <c r="H4015" s="1414">
        <f t="shared" si="1013"/>
        <v>0</v>
      </c>
      <c r="I4015" s="1471"/>
      <c r="Q4015" s="1394">
        <f>IFERROR(VLOOKUP(M4015,#REF!,3,0),0)</f>
        <v>0</v>
      </c>
      <c r="R4015" s="1394">
        <f t="shared" si="1016"/>
        <v>0</v>
      </c>
      <c r="S4015" s="1394">
        <f>IFERROR(VLOOKUP(M4015,#REF!,6,0),0)</f>
        <v>0</v>
      </c>
      <c r="T4015" s="1394">
        <f t="shared" si="1006"/>
        <v>0</v>
      </c>
      <c r="U4015" s="1394">
        <f>IFERROR(VLOOKUP(M4015,#REF!,5,0),0)</f>
        <v>0</v>
      </c>
      <c r="V4015" s="1394">
        <f t="shared" si="1007"/>
        <v>0</v>
      </c>
      <c r="W4015" s="1394"/>
    </row>
    <row r="4016" spans="2:23" ht="30" customHeight="1">
      <c r="B4016" s="1405"/>
      <c r="C4016" s="1455" t="s">
        <v>541</v>
      </c>
      <c r="D4016" s="103">
        <f t="shared" ref="D4016:H4017" si="1017">D664</f>
        <v>0</v>
      </c>
      <c r="E4016" s="103">
        <f t="shared" si="1017"/>
        <v>0</v>
      </c>
      <c r="F4016" s="1413">
        <f t="shared" si="1017"/>
        <v>0</v>
      </c>
      <c r="G4016" s="1413">
        <f t="shared" si="1017"/>
        <v>0</v>
      </c>
      <c r="H4016" s="1414">
        <f t="shared" si="1017"/>
        <v>0</v>
      </c>
      <c r="I4016" s="1471"/>
      <c r="Q4016" s="1394">
        <f>IFERROR(VLOOKUP(M4016,#REF!,3,0),0)</f>
        <v>0</v>
      </c>
      <c r="R4016" s="1394">
        <f t="shared" si="1016"/>
        <v>0</v>
      </c>
      <c r="S4016" s="1394">
        <f>IFERROR(VLOOKUP(M4016,#REF!,6,0),0)</f>
        <v>0</v>
      </c>
      <c r="T4016" s="1394">
        <f t="shared" si="1006"/>
        <v>0</v>
      </c>
      <c r="U4016" s="1394">
        <f>IFERROR(VLOOKUP(M4016,#REF!,5,0),0)</f>
        <v>0</v>
      </c>
      <c r="V4016" s="1394">
        <f t="shared" si="1007"/>
        <v>0</v>
      </c>
      <c r="W4016" s="1394"/>
    </row>
    <row r="4017" spans="1:23" ht="30" customHeight="1">
      <c r="B4017" s="1405"/>
      <c r="C4017" s="1415" t="str">
        <f t="shared" ref="C4017:C4045" si="1018">C665</f>
        <v>Horizontal beam</v>
      </c>
      <c r="D4017" s="1409">
        <f t="shared" si="1017"/>
        <v>0</v>
      </c>
      <c r="E4017" s="1409">
        <f t="shared" si="1017"/>
        <v>0</v>
      </c>
      <c r="F4017" s="1410">
        <f t="shared" si="1017"/>
        <v>0</v>
      </c>
      <c r="G4017" s="1410">
        <f t="shared" si="1017"/>
        <v>0</v>
      </c>
      <c r="H4017" s="1411">
        <f t="shared" si="1017"/>
        <v>0</v>
      </c>
      <c r="I4017" s="1471"/>
      <c r="Q4017" s="1394">
        <f>IFERROR(VLOOKUP(M4017,#REF!,3,0),0)</f>
        <v>0</v>
      </c>
      <c r="R4017" s="1394">
        <f t="shared" si="1016"/>
        <v>0</v>
      </c>
      <c r="S4017" s="1394">
        <f>IFERROR(VLOOKUP(M4017,#REF!,6,0),0)</f>
        <v>0</v>
      </c>
      <c r="T4017" s="1394">
        <f t="shared" si="1006"/>
        <v>0</v>
      </c>
      <c r="U4017" s="1394">
        <f>IFERROR(VLOOKUP(M4017,#REF!,5,0),0)</f>
        <v>0</v>
      </c>
      <c r="V4017" s="1394">
        <f t="shared" si="1007"/>
        <v>0</v>
      </c>
      <c r="W4017" s="1394"/>
    </row>
    <row r="4018" spans="1:23" ht="30" customHeight="1">
      <c r="B4018" s="1405"/>
      <c r="C4018" s="1415" t="str">
        <f t="shared" si="1018"/>
        <v>D1 to F1 &amp; D2 to F2</v>
      </c>
      <c r="D4018" s="1409">
        <f t="shared" ref="D4018:D4044" si="1019">D666*2</f>
        <v>2</v>
      </c>
      <c r="E4018" s="1409">
        <f t="shared" ref="E4018:F4047" si="1020">E666</f>
        <v>2</v>
      </c>
      <c r="F4018" s="1410">
        <f t="shared" si="1020"/>
        <v>3.6549999999999998</v>
      </c>
      <c r="G4018" s="1410"/>
      <c r="H4018" s="1410">
        <f t="shared" ref="H4018:H4044" si="1021">H666-0.125</f>
        <v>0.255</v>
      </c>
      <c r="I4018" s="1406">
        <f t="shared" ref="I4018:I4044" si="1022">PRODUCT(D4018:H4018)</f>
        <v>3.7281</v>
      </c>
      <c r="Q4018" s="1394">
        <f>IFERROR(VLOOKUP(M4018,#REF!,3,0),0)</f>
        <v>0</v>
      </c>
      <c r="R4018" s="1394">
        <f t="shared" si="1016"/>
        <v>0</v>
      </c>
      <c r="S4018" s="1394">
        <f>IFERROR(VLOOKUP(M4018,#REF!,6,0),0)</f>
        <v>0</v>
      </c>
      <c r="T4018" s="1394">
        <f t="shared" si="1006"/>
        <v>0</v>
      </c>
      <c r="U4018" s="1394">
        <f>IFERROR(VLOOKUP(M4018,#REF!,5,0),0)</f>
        <v>0</v>
      </c>
      <c r="V4018" s="1394">
        <f t="shared" si="1007"/>
        <v>0</v>
      </c>
      <c r="W4018" s="1394"/>
    </row>
    <row r="4019" spans="1:23" ht="30" customHeight="1">
      <c r="A4019" s="1396"/>
      <c r="B4019" s="1405"/>
      <c r="C4019" s="1408" t="str">
        <f t="shared" si="1018"/>
        <v>A1 to B1 , A5 to B5 , A6 to B6 &amp; A7 to B7</v>
      </c>
      <c r="D4019" s="1409">
        <f t="shared" si="1019"/>
        <v>2</v>
      </c>
      <c r="E4019" s="1409">
        <f t="shared" si="1020"/>
        <v>4</v>
      </c>
      <c r="F4019" s="1410">
        <f t="shared" si="1020"/>
        <v>4.2300000000000004</v>
      </c>
      <c r="G4019" s="1410"/>
      <c r="H4019" s="1410">
        <f t="shared" si="1021"/>
        <v>0.255</v>
      </c>
      <c r="I4019" s="1406">
        <f t="shared" si="1022"/>
        <v>8.6292000000000009</v>
      </c>
      <c r="L4019" s="1413"/>
      <c r="M4019" s="1474"/>
      <c r="Q4019" s="1394">
        <f>IFERROR(VLOOKUP(M4019,#REF!,3,0),0)</f>
        <v>0</v>
      </c>
      <c r="R4019" s="1394">
        <f t="shared" si="1016"/>
        <v>0</v>
      </c>
      <c r="S4019" s="1394">
        <f>IFERROR(VLOOKUP(M4019,#REF!,6,0),0)</f>
        <v>0</v>
      </c>
      <c r="T4019" s="1394">
        <f t="shared" si="1006"/>
        <v>0</v>
      </c>
      <c r="U4019" s="1394">
        <f>IFERROR(VLOOKUP(M4019,#REF!,5,0),0)</f>
        <v>0</v>
      </c>
      <c r="V4019" s="1394">
        <f t="shared" si="1007"/>
        <v>0</v>
      </c>
      <c r="W4019" s="1394"/>
    </row>
    <row r="4020" spans="1:23" ht="30" customHeight="1">
      <c r="A4020" s="1396"/>
      <c r="B4020" s="1405"/>
      <c r="C4020" s="1408" t="str">
        <f t="shared" si="1018"/>
        <v>A8 to H8</v>
      </c>
      <c r="D4020" s="1409">
        <f t="shared" si="1019"/>
        <v>2</v>
      </c>
      <c r="E4020" s="1409">
        <f t="shared" si="1020"/>
        <v>1</v>
      </c>
      <c r="F4020" s="1410">
        <f t="shared" si="1020"/>
        <v>18.575000000000003</v>
      </c>
      <c r="G4020" s="1410"/>
      <c r="H4020" s="1410">
        <f t="shared" si="1021"/>
        <v>0.255</v>
      </c>
      <c r="I4020" s="1406">
        <f t="shared" si="1022"/>
        <v>9.4732500000000019</v>
      </c>
      <c r="L4020" s="1413"/>
      <c r="M4020" s="1474"/>
      <c r="Q4020" s="1394">
        <f>IFERROR(VLOOKUP(M4020,#REF!,3,0),0)</f>
        <v>0</v>
      </c>
      <c r="R4020" s="1394">
        <f t="shared" si="1016"/>
        <v>0</v>
      </c>
      <c r="S4020" s="1394">
        <f>IFERROR(VLOOKUP(M4020,#REF!,6,0),0)</f>
        <v>0</v>
      </c>
      <c r="T4020" s="1394">
        <f t="shared" si="1006"/>
        <v>0</v>
      </c>
      <c r="U4020" s="1394">
        <f>IFERROR(VLOOKUP(M4020,#REF!,5,0),0)</f>
        <v>0</v>
      </c>
      <c r="V4020" s="1394">
        <f t="shared" si="1007"/>
        <v>0</v>
      </c>
      <c r="W4020" s="1394"/>
    </row>
    <row r="4021" spans="1:23" ht="30" customHeight="1">
      <c r="A4021" s="1396"/>
      <c r="B4021" s="1405"/>
      <c r="C4021" s="1408" t="str">
        <f t="shared" si="1018"/>
        <v>B5 to G5</v>
      </c>
      <c r="D4021" s="1409">
        <f t="shared" si="1019"/>
        <v>2</v>
      </c>
      <c r="E4021" s="1409">
        <f t="shared" si="1020"/>
        <v>1</v>
      </c>
      <c r="F4021" s="1410">
        <f t="shared" si="1020"/>
        <v>10.35</v>
      </c>
      <c r="G4021" s="1410"/>
      <c r="H4021" s="1410">
        <f t="shared" si="1021"/>
        <v>0.255</v>
      </c>
      <c r="I4021" s="1406">
        <f t="shared" si="1022"/>
        <v>5.2785000000000002</v>
      </c>
      <c r="L4021" s="1413"/>
      <c r="M4021" s="1474"/>
      <c r="Q4021" s="1394">
        <f>IFERROR(VLOOKUP(M4021,#REF!,3,0),0)</f>
        <v>0</v>
      </c>
      <c r="R4021" s="1394">
        <f t="shared" si="1016"/>
        <v>0</v>
      </c>
      <c r="S4021" s="1394">
        <f>IFERROR(VLOOKUP(M4021,#REF!,6,0),0)</f>
        <v>0</v>
      </c>
      <c r="T4021" s="1394">
        <f t="shared" si="1006"/>
        <v>0</v>
      </c>
      <c r="U4021" s="1394">
        <f>IFERROR(VLOOKUP(M4021,#REF!,5,0),0)</f>
        <v>0</v>
      </c>
      <c r="V4021" s="1394">
        <f t="shared" si="1007"/>
        <v>0</v>
      </c>
      <c r="W4021" s="1394"/>
    </row>
    <row r="4022" spans="1:23" ht="30" customHeight="1">
      <c r="A4022" s="1396"/>
      <c r="B4022" s="1405"/>
      <c r="C4022" s="1408" t="str">
        <f t="shared" si="1018"/>
        <v>B3 to G3</v>
      </c>
      <c r="D4022" s="1409">
        <f t="shared" si="1019"/>
        <v>2</v>
      </c>
      <c r="E4022" s="1409">
        <f t="shared" si="1020"/>
        <v>1</v>
      </c>
      <c r="F4022" s="1410">
        <f t="shared" si="1020"/>
        <v>10.35</v>
      </c>
      <c r="G4022" s="1410"/>
      <c r="H4022" s="1410">
        <f t="shared" si="1021"/>
        <v>0.32500000000000001</v>
      </c>
      <c r="I4022" s="1406">
        <f t="shared" si="1022"/>
        <v>6.7275</v>
      </c>
      <c r="L4022" s="1413"/>
      <c r="M4022" s="1474"/>
      <c r="Q4022" s="1394">
        <f>IFERROR(VLOOKUP(M4022,#REF!,3,0),0)</f>
        <v>0</v>
      </c>
      <c r="R4022" s="1394">
        <f t="shared" si="1016"/>
        <v>0</v>
      </c>
      <c r="S4022" s="1394">
        <f>IFERROR(VLOOKUP(M4022,#REF!,6,0),0)</f>
        <v>0</v>
      </c>
      <c r="T4022" s="1394">
        <f t="shared" si="1006"/>
        <v>0</v>
      </c>
      <c r="U4022" s="1394">
        <f>IFERROR(VLOOKUP(M4022,#REF!,5,0),0)</f>
        <v>0</v>
      </c>
      <c r="V4022" s="1394">
        <f t="shared" si="1007"/>
        <v>0</v>
      </c>
      <c r="W4022" s="1394"/>
    </row>
    <row r="4023" spans="1:23" ht="30" customHeight="1">
      <c r="A4023" s="1396"/>
      <c r="B4023" s="1405"/>
      <c r="C4023" s="1408" t="str">
        <f t="shared" si="1018"/>
        <v>B7 to G7</v>
      </c>
      <c r="D4023" s="1409">
        <f t="shared" si="1019"/>
        <v>2</v>
      </c>
      <c r="E4023" s="1409">
        <f t="shared" si="1020"/>
        <v>1</v>
      </c>
      <c r="F4023" s="1410">
        <f t="shared" si="1020"/>
        <v>10.35</v>
      </c>
      <c r="G4023" s="1410"/>
      <c r="H4023" s="1410">
        <f t="shared" si="1021"/>
        <v>0.47499999999999998</v>
      </c>
      <c r="I4023" s="1406">
        <f t="shared" si="1022"/>
        <v>9.8324999999999996</v>
      </c>
      <c r="L4023" s="1413"/>
      <c r="M4023" s="1474"/>
      <c r="Q4023" s="1394">
        <f>IFERROR(VLOOKUP(M4023,#REF!,3,0),0)</f>
        <v>0</v>
      </c>
      <c r="R4023" s="1394">
        <f t="shared" si="1016"/>
        <v>0</v>
      </c>
      <c r="S4023" s="1394">
        <f>IFERROR(VLOOKUP(M4023,#REF!,6,0),0)</f>
        <v>0</v>
      </c>
      <c r="T4023" s="1394">
        <f t="shared" si="1006"/>
        <v>0</v>
      </c>
      <c r="U4023" s="1394">
        <f>IFERROR(VLOOKUP(M4023,#REF!,5,0),0)</f>
        <v>0</v>
      </c>
      <c r="V4023" s="1394">
        <f t="shared" si="1007"/>
        <v>0</v>
      </c>
      <c r="W4023" s="1394"/>
    </row>
    <row r="4024" spans="1:23" ht="30" customHeight="1">
      <c r="A4024" s="1396"/>
      <c r="B4024" s="1405"/>
      <c r="C4024" s="1408" t="str">
        <f t="shared" si="1018"/>
        <v>B4 to F4</v>
      </c>
      <c r="D4024" s="1409">
        <f t="shared" si="1019"/>
        <v>2</v>
      </c>
      <c r="E4024" s="1409">
        <f t="shared" si="1020"/>
        <v>1</v>
      </c>
      <c r="F4024" s="1410">
        <f t="shared" si="1020"/>
        <v>6.8849999999999998</v>
      </c>
      <c r="G4024" s="1410"/>
      <c r="H4024" s="1410">
        <f t="shared" si="1021"/>
        <v>0.255</v>
      </c>
      <c r="I4024" s="1406">
        <f t="shared" si="1022"/>
        <v>3.5113499999999997</v>
      </c>
      <c r="L4024" s="1413"/>
      <c r="M4024" s="1474"/>
      <c r="Q4024" s="1394">
        <f>IFERROR(VLOOKUP(M4024,#REF!,3,0),0)</f>
        <v>0</v>
      </c>
      <c r="R4024" s="1394">
        <f t="shared" si="1016"/>
        <v>0</v>
      </c>
      <c r="S4024" s="1394">
        <f>IFERROR(VLOOKUP(M4024,#REF!,6,0),0)</f>
        <v>0</v>
      </c>
      <c r="T4024" s="1394">
        <f t="shared" si="1006"/>
        <v>0</v>
      </c>
      <c r="U4024" s="1394">
        <f>IFERROR(VLOOKUP(M4024,#REF!,5,0),0)</f>
        <v>0</v>
      </c>
      <c r="V4024" s="1394">
        <f t="shared" si="1007"/>
        <v>0</v>
      </c>
      <c r="W4024" s="1394"/>
    </row>
    <row r="4025" spans="1:23" ht="30" customHeight="1">
      <c r="A4025" s="1396"/>
      <c r="B4025" s="1405"/>
      <c r="C4025" s="1408" t="str">
        <f t="shared" si="1018"/>
        <v>OTS Cross Beam</v>
      </c>
      <c r="D4025" s="1409">
        <f t="shared" si="1019"/>
        <v>2</v>
      </c>
      <c r="E4025" s="1409">
        <f t="shared" si="1020"/>
        <v>1</v>
      </c>
      <c r="F4025" s="1410">
        <f t="shared" si="1020"/>
        <v>4.2300000000000004</v>
      </c>
      <c r="G4025" s="1410"/>
      <c r="H4025" s="1410">
        <f t="shared" si="1021"/>
        <v>0.255</v>
      </c>
      <c r="I4025" s="1406">
        <f t="shared" si="1022"/>
        <v>2.1573000000000002</v>
      </c>
      <c r="L4025" s="1413"/>
      <c r="M4025" s="1474"/>
      <c r="Q4025" s="1394">
        <f>IFERROR(VLOOKUP(M4025,#REF!,3,0),0)</f>
        <v>0</v>
      </c>
      <c r="R4025" s="1394">
        <f t="shared" si="1016"/>
        <v>0</v>
      </c>
      <c r="S4025" s="1394">
        <f>IFERROR(VLOOKUP(M4025,#REF!,6,0),0)</f>
        <v>0</v>
      </c>
      <c r="T4025" s="1394">
        <f t="shared" si="1006"/>
        <v>0</v>
      </c>
      <c r="U4025" s="1394">
        <f>IFERROR(VLOOKUP(M4025,#REF!,5,0),0)</f>
        <v>0</v>
      </c>
      <c r="V4025" s="1394">
        <f t="shared" si="1007"/>
        <v>0</v>
      </c>
      <c r="W4025" s="1394"/>
    </row>
    <row r="4026" spans="1:23" ht="30" customHeight="1">
      <c r="A4026" s="1396"/>
      <c r="B4026" s="1405"/>
      <c r="C4026" s="1408" t="str">
        <f t="shared" si="1018"/>
        <v>OTS Cross Beam</v>
      </c>
      <c r="D4026" s="1409">
        <f t="shared" si="1019"/>
        <v>2</v>
      </c>
      <c r="E4026" s="1409">
        <f t="shared" si="1020"/>
        <v>1</v>
      </c>
      <c r="F4026" s="1410">
        <f t="shared" si="1020"/>
        <v>3.9950000000000001</v>
      </c>
      <c r="G4026" s="1410"/>
      <c r="H4026" s="1410">
        <f t="shared" si="1021"/>
        <v>0.255</v>
      </c>
      <c r="I4026" s="1406">
        <f t="shared" si="1022"/>
        <v>2.0374500000000002</v>
      </c>
      <c r="L4026" s="1413"/>
      <c r="M4026" s="1474"/>
      <c r="Q4026" s="1394">
        <f>IFERROR(VLOOKUP(M4026,#REF!,3,0),0)</f>
        <v>0</v>
      </c>
      <c r="R4026" s="1394">
        <f t="shared" si="1016"/>
        <v>0</v>
      </c>
      <c r="S4026" s="1394">
        <f>IFERROR(VLOOKUP(M4026,#REF!,6,0),0)</f>
        <v>0</v>
      </c>
      <c r="T4026" s="1394">
        <f t="shared" si="1006"/>
        <v>0</v>
      </c>
      <c r="U4026" s="1394">
        <f>IFERROR(VLOOKUP(M4026,#REF!,5,0),0)</f>
        <v>0</v>
      </c>
      <c r="V4026" s="1394">
        <f t="shared" si="1007"/>
        <v>0</v>
      </c>
      <c r="W4026" s="1394"/>
    </row>
    <row r="4027" spans="1:23" ht="30" customHeight="1">
      <c r="A4027" s="1396"/>
      <c r="B4027" s="1405"/>
      <c r="C4027" s="1408" t="str">
        <f t="shared" si="1018"/>
        <v>G3 to H3 , G5 to H5 , G6 to H6 &amp; G7 to H7</v>
      </c>
      <c r="D4027" s="1409">
        <f t="shared" si="1019"/>
        <v>2</v>
      </c>
      <c r="E4027" s="1409">
        <f t="shared" si="1020"/>
        <v>4</v>
      </c>
      <c r="F4027" s="1410">
        <f t="shared" si="1020"/>
        <v>3.9950000000000001</v>
      </c>
      <c r="G4027" s="1410"/>
      <c r="H4027" s="1410">
        <f t="shared" si="1021"/>
        <v>0.255</v>
      </c>
      <c r="I4027" s="1406">
        <f t="shared" si="1022"/>
        <v>8.1498000000000008</v>
      </c>
      <c r="L4027" s="1413"/>
      <c r="M4027" s="1474"/>
      <c r="Q4027" s="1394">
        <f>IFERROR(VLOOKUP(M4027,#REF!,3,0),0)</f>
        <v>0</v>
      </c>
      <c r="R4027" s="1394">
        <f t="shared" si="1016"/>
        <v>0</v>
      </c>
      <c r="S4027" s="1394">
        <f>IFERROR(VLOOKUP(M4027,#REF!,6,0),0)</f>
        <v>0</v>
      </c>
      <c r="T4027" s="1394">
        <f t="shared" si="1006"/>
        <v>0</v>
      </c>
      <c r="U4027" s="1394">
        <f>IFERROR(VLOOKUP(M4027,#REF!,5,0),0)</f>
        <v>0</v>
      </c>
      <c r="V4027" s="1394">
        <f t="shared" si="1007"/>
        <v>0</v>
      </c>
      <c r="W4027" s="1394"/>
    </row>
    <row r="4028" spans="1:23" ht="30" customHeight="1">
      <c r="A4028" s="1396"/>
      <c r="B4028" s="1405"/>
      <c r="C4028" s="1408" t="str">
        <f t="shared" si="1018"/>
        <v>Cross beams</v>
      </c>
      <c r="D4028" s="1409">
        <f t="shared" si="1019"/>
        <v>2</v>
      </c>
      <c r="E4028" s="1409">
        <f t="shared" si="1020"/>
        <v>1</v>
      </c>
      <c r="F4028" s="1410">
        <f t="shared" si="1020"/>
        <v>1.7350000000000001</v>
      </c>
      <c r="G4028" s="1410"/>
      <c r="H4028" s="1410">
        <f t="shared" si="1021"/>
        <v>0.255</v>
      </c>
      <c r="I4028" s="1406">
        <f t="shared" si="1022"/>
        <v>0.88485000000000003</v>
      </c>
      <c r="L4028" s="1413"/>
      <c r="M4028" s="1474"/>
      <c r="Q4028" s="1394">
        <f>IFERROR(VLOOKUP(M4028,#REF!,3,0),0)</f>
        <v>0</v>
      </c>
      <c r="R4028" s="1394">
        <f t="shared" si="1016"/>
        <v>0</v>
      </c>
      <c r="S4028" s="1394">
        <f>IFERROR(VLOOKUP(M4028,#REF!,6,0),0)</f>
        <v>0</v>
      </c>
      <c r="T4028" s="1394">
        <f t="shared" si="1006"/>
        <v>0</v>
      </c>
      <c r="U4028" s="1394">
        <f>IFERROR(VLOOKUP(M4028,#REF!,5,0),0)</f>
        <v>0</v>
      </c>
      <c r="V4028" s="1394">
        <f t="shared" si="1007"/>
        <v>0</v>
      </c>
      <c r="W4028" s="1394"/>
    </row>
    <row r="4029" spans="1:23" ht="30" customHeight="1">
      <c r="A4029" s="1396"/>
      <c r="B4029" s="1405"/>
      <c r="C4029" s="1408" t="str">
        <f t="shared" si="1018"/>
        <v>Cross beams</v>
      </c>
      <c r="D4029" s="1409">
        <f t="shared" si="1019"/>
        <v>2</v>
      </c>
      <c r="E4029" s="1409">
        <f t="shared" si="1020"/>
        <v>1</v>
      </c>
      <c r="F4029" s="1410">
        <f t="shared" si="1020"/>
        <v>3.7650000000000001</v>
      </c>
      <c r="G4029" s="1410"/>
      <c r="H4029" s="1410">
        <f t="shared" si="1021"/>
        <v>0.255</v>
      </c>
      <c r="I4029" s="1406">
        <f t="shared" si="1022"/>
        <v>1.92015</v>
      </c>
      <c r="L4029" s="1413"/>
      <c r="M4029" s="1474"/>
      <c r="Q4029" s="1394">
        <f>IFERROR(VLOOKUP(M4029,#REF!,3,0),0)</f>
        <v>0</v>
      </c>
      <c r="R4029" s="1394">
        <f t="shared" si="1016"/>
        <v>0</v>
      </c>
      <c r="S4029" s="1394">
        <f>IFERROR(VLOOKUP(M4029,#REF!,6,0),0)</f>
        <v>0</v>
      </c>
      <c r="T4029" s="1394">
        <f t="shared" si="1006"/>
        <v>0</v>
      </c>
      <c r="U4029" s="1394">
        <f>IFERROR(VLOOKUP(M4029,#REF!,5,0),0)</f>
        <v>0</v>
      </c>
      <c r="V4029" s="1394">
        <f t="shared" si="1007"/>
        <v>0</v>
      </c>
      <c r="W4029" s="1394"/>
    </row>
    <row r="4030" spans="1:23" ht="30" customHeight="1">
      <c r="A4030" s="1396"/>
      <c r="B4030" s="1405"/>
      <c r="C4030" s="1408" t="str">
        <f t="shared" si="1018"/>
        <v>Vertical beam</v>
      </c>
      <c r="D4030" s="1409">
        <f t="shared" si="1019"/>
        <v>0</v>
      </c>
      <c r="E4030" s="1409">
        <f t="shared" si="1020"/>
        <v>0</v>
      </c>
      <c r="F4030" s="1410">
        <f t="shared" si="1020"/>
        <v>0</v>
      </c>
      <c r="G4030" s="1410"/>
      <c r="H4030" s="1410">
        <f t="shared" si="1021"/>
        <v>-0.125</v>
      </c>
      <c r="I4030" s="1406">
        <f t="shared" si="1022"/>
        <v>0</v>
      </c>
      <c r="L4030" s="1413"/>
      <c r="M4030" s="1474"/>
      <c r="Q4030" s="1394">
        <f>IFERROR(VLOOKUP(M4030,#REF!,3,0),0)</f>
        <v>0</v>
      </c>
      <c r="R4030" s="1394">
        <f t="shared" si="1016"/>
        <v>0</v>
      </c>
      <c r="S4030" s="1394">
        <f>IFERROR(VLOOKUP(M4030,#REF!,6,0),0)</f>
        <v>0</v>
      </c>
      <c r="T4030" s="1394">
        <f t="shared" si="1006"/>
        <v>0</v>
      </c>
      <c r="U4030" s="1394">
        <f>IFERROR(VLOOKUP(M4030,#REF!,5,0),0)</f>
        <v>0</v>
      </c>
      <c r="V4030" s="1394">
        <f t="shared" si="1007"/>
        <v>0</v>
      </c>
      <c r="W4030" s="1394"/>
    </row>
    <row r="4031" spans="1:23" ht="30" customHeight="1">
      <c r="A4031" s="1396"/>
      <c r="B4031" s="1405"/>
      <c r="C4031" s="1415" t="str">
        <f t="shared" si="1018"/>
        <v>A3 To A5</v>
      </c>
      <c r="D4031" s="1409">
        <f t="shared" si="1019"/>
        <v>2</v>
      </c>
      <c r="E4031" s="1409">
        <f t="shared" si="1020"/>
        <v>1</v>
      </c>
      <c r="F4031" s="1410">
        <f t="shared" si="1020"/>
        <v>5.5299999999999994</v>
      </c>
      <c r="G4031" s="1410"/>
      <c r="H4031" s="1410">
        <f t="shared" si="1021"/>
        <v>0.32500000000000001</v>
      </c>
      <c r="I4031" s="1406">
        <f t="shared" si="1022"/>
        <v>3.5944999999999996</v>
      </c>
      <c r="L4031" s="1413"/>
      <c r="M4031" s="1474"/>
      <c r="Q4031" s="1394">
        <f>IFERROR(VLOOKUP(M4031,#REF!,3,0),0)</f>
        <v>0</v>
      </c>
      <c r="R4031" s="1394">
        <f t="shared" si="1016"/>
        <v>0</v>
      </c>
      <c r="S4031" s="1394">
        <f>IFERROR(VLOOKUP(M4031,#REF!,6,0),0)</f>
        <v>0</v>
      </c>
      <c r="T4031" s="1394">
        <f t="shared" si="1006"/>
        <v>0</v>
      </c>
      <c r="U4031" s="1394">
        <f>IFERROR(VLOOKUP(M4031,#REF!,5,0),0)</f>
        <v>0</v>
      </c>
      <c r="V4031" s="1394">
        <f t="shared" si="1007"/>
        <v>0</v>
      </c>
      <c r="W4031" s="1394"/>
    </row>
    <row r="4032" spans="1:23" ht="30" customHeight="1">
      <c r="A4032" s="1396"/>
      <c r="B4032" s="1405"/>
      <c r="C4032" s="1408" t="str">
        <f t="shared" si="1018"/>
        <v>A5 To A8</v>
      </c>
      <c r="D4032" s="1409">
        <f t="shared" si="1019"/>
        <v>2</v>
      </c>
      <c r="E4032" s="1409">
        <f t="shared" si="1020"/>
        <v>1</v>
      </c>
      <c r="F4032" s="1410">
        <f t="shared" si="1020"/>
        <v>10.120000000000001</v>
      </c>
      <c r="G4032" s="1410"/>
      <c r="H4032" s="1410">
        <f t="shared" si="1021"/>
        <v>0.255</v>
      </c>
      <c r="I4032" s="1406">
        <f t="shared" si="1022"/>
        <v>5.1612000000000009</v>
      </c>
      <c r="L4032" s="1413"/>
      <c r="M4032" s="1474"/>
      <c r="Q4032" s="1394">
        <f>IFERROR(VLOOKUP(M4032,#REF!,3,0),0)</f>
        <v>0</v>
      </c>
      <c r="R4032" s="1394">
        <f t="shared" si="1016"/>
        <v>0</v>
      </c>
      <c r="S4032" s="1394">
        <f>IFERROR(VLOOKUP(M4032,#REF!,6,0),0)</f>
        <v>0</v>
      </c>
      <c r="T4032" s="1394">
        <f t="shared" si="1006"/>
        <v>0</v>
      </c>
      <c r="U4032" s="1394">
        <f>IFERROR(VLOOKUP(M4032,#REF!,5,0),0)</f>
        <v>0</v>
      </c>
      <c r="V4032" s="1394">
        <f t="shared" si="1007"/>
        <v>0</v>
      </c>
      <c r="W4032" s="1394"/>
    </row>
    <row r="4033" spans="1:23" ht="30" customHeight="1">
      <c r="A4033" s="1396"/>
      <c r="B4033" s="1405"/>
      <c r="C4033" s="1408" t="str">
        <f t="shared" si="1018"/>
        <v>B3 To B8</v>
      </c>
      <c r="D4033" s="1409">
        <f t="shared" si="1019"/>
        <v>2</v>
      </c>
      <c r="E4033" s="1409">
        <f t="shared" si="1020"/>
        <v>1</v>
      </c>
      <c r="F4033" s="1410">
        <f t="shared" si="1020"/>
        <v>15.649999999999999</v>
      </c>
      <c r="G4033" s="1410"/>
      <c r="H4033" s="1410">
        <f t="shared" si="1021"/>
        <v>0.255</v>
      </c>
      <c r="I4033" s="1406">
        <f t="shared" si="1022"/>
        <v>7.9814999999999996</v>
      </c>
      <c r="L4033" s="1413"/>
      <c r="M4033" s="1474"/>
      <c r="Q4033" s="1394">
        <f>IFERROR(VLOOKUP(M4033,#REF!,3,0),0)</f>
        <v>0</v>
      </c>
      <c r="R4033" s="1394">
        <f t="shared" si="1016"/>
        <v>0</v>
      </c>
      <c r="S4033" s="1394">
        <f>IFERROR(VLOOKUP(M4033,#REF!,6,0),0)</f>
        <v>0</v>
      </c>
      <c r="T4033" s="1394">
        <f t="shared" si="1006"/>
        <v>0</v>
      </c>
      <c r="U4033" s="1394">
        <f>IFERROR(VLOOKUP(M4033,#REF!,5,0),0)</f>
        <v>0</v>
      </c>
      <c r="V4033" s="1394">
        <f t="shared" si="1007"/>
        <v>0</v>
      </c>
      <c r="W4033" s="1394"/>
    </row>
    <row r="4034" spans="1:23" ht="30" customHeight="1">
      <c r="A4034" s="1396"/>
      <c r="B4034" s="1405"/>
      <c r="C4034" s="1408" t="str">
        <f t="shared" si="1018"/>
        <v>Cross beams</v>
      </c>
      <c r="D4034" s="1409">
        <f t="shared" si="1019"/>
        <v>2</v>
      </c>
      <c r="E4034" s="1409">
        <f t="shared" si="1020"/>
        <v>1</v>
      </c>
      <c r="F4034" s="1410">
        <f t="shared" si="1020"/>
        <v>4.13</v>
      </c>
      <c r="G4034" s="1410"/>
      <c r="H4034" s="1410">
        <f t="shared" si="1021"/>
        <v>0.255</v>
      </c>
      <c r="I4034" s="1406">
        <f t="shared" si="1022"/>
        <v>2.1063000000000001</v>
      </c>
      <c r="L4034" s="1413"/>
      <c r="M4034" s="1474"/>
      <c r="Q4034" s="1394">
        <f>IFERROR(VLOOKUP(M4034,#REF!,3,0),0)</f>
        <v>0</v>
      </c>
      <c r="R4034" s="1394">
        <f t="shared" si="1016"/>
        <v>0</v>
      </c>
      <c r="S4034" s="1394">
        <f>IFERROR(VLOOKUP(M4034,#REF!,6,0),0)</f>
        <v>0</v>
      </c>
      <c r="T4034" s="1394">
        <f t="shared" si="1006"/>
        <v>0</v>
      </c>
      <c r="U4034" s="1394">
        <f>IFERROR(VLOOKUP(M4034,#REF!,5,0),0)</f>
        <v>0</v>
      </c>
      <c r="V4034" s="1394">
        <f t="shared" si="1007"/>
        <v>0</v>
      </c>
      <c r="W4034" s="1394"/>
    </row>
    <row r="4035" spans="1:23" ht="30" customHeight="1">
      <c r="A4035" s="1396"/>
      <c r="B4035" s="1405"/>
      <c r="C4035" s="1408" t="str">
        <f t="shared" si="1018"/>
        <v>Cross beams</v>
      </c>
      <c r="D4035" s="1409">
        <f t="shared" si="1019"/>
        <v>2</v>
      </c>
      <c r="E4035" s="1409">
        <f t="shared" si="1020"/>
        <v>1</v>
      </c>
      <c r="F4035" s="1410">
        <f t="shared" si="1020"/>
        <v>4.13</v>
      </c>
      <c r="G4035" s="1410"/>
      <c r="H4035" s="1410">
        <f t="shared" si="1021"/>
        <v>0.32500000000000001</v>
      </c>
      <c r="I4035" s="1406">
        <f t="shared" si="1022"/>
        <v>2.6844999999999999</v>
      </c>
      <c r="L4035" s="1413"/>
      <c r="M4035" s="1474"/>
      <c r="Q4035" s="1394">
        <f>IFERROR(VLOOKUP(M4035,#REF!,3,0),0)</f>
        <v>0</v>
      </c>
      <c r="R4035" s="1394">
        <f t="shared" si="1016"/>
        <v>0</v>
      </c>
      <c r="S4035" s="1394">
        <f>IFERROR(VLOOKUP(M4035,#REF!,6,0),0)</f>
        <v>0</v>
      </c>
      <c r="T4035" s="1394">
        <f t="shared" ref="T4035:T4098" si="1023">R4035-S4035</f>
        <v>0</v>
      </c>
      <c r="U4035" s="1394">
        <f>IFERROR(VLOOKUP(M4035,#REF!,5,0),0)</f>
        <v>0</v>
      </c>
      <c r="V4035" s="1394">
        <f t="shared" ref="V4035:V4098" si="1024">O4035-U4035</f>
        <v>0</v>
      </c>
      <c r="W4035" s="1394"/>
    </row>
    <row r="4036" spans="1:23" ht="30" customHeight="1">
      <c r="A4036" s="1396"/>
      <c r="B4036" s="1405"/>
      <c r="C4036" s="1408" t="str">
        <f t="shared" si="1018"/>
        <v>C4 to C5</v>
      </c>
      <c r="D4036" s="1409">
        <f t="shared" si="1019"/>
        <v>2</v>
      </c>
      <c r="E4036" s="1409">
        <f t="shared" si="1020"/>
        <v>1</v>
      </c>
      <c r="F4036" s="1410">
        <f t="shared" si="1020"/>
        <v>2.5299999999999998</v>
      </c>
      <c r="G4036" s="1410"/>
      <c r="H4036" s="1410">
        <f t="shared" si="1021"/>
        <v>0.32500000000000001</v>
      </c>
      <c r="I4036" s="1406">
        <f t="shared" si="1022"/>
        <v>1.6444999999999999</v>
      </c>
      <c r="L4036" s="1413"/>
      <c r="M4036" s="1474"/>
      <c r="Q4036" s="1394">
        <f>IFERROR(VLOOKUP(M4036,#REF!,3,0),0)</f>
        <v>0</v>
      </c>
      <c r="R4036" s="1394">
        <f t="shared" si="1016"/>
        <v>0</v>
      </c>
      <c r="S4036" s="1394">
        <f>IFERROR(VLOOKUP(M4036,#REF!,6,0),0)</f>
        <v>0</v>
      </c>
      <c r="T4036" s="1394">
        <f t="shared" si="1023"/>
        <v>0</v>
      </c>
      <c r="U4036" s="1394">
        <f>IFERROR(VLOOKUP(M4036,#REF!,5,0),0)</f>
        <v>0</v>
      </c>
      <c r="V4036" s="1394">
        <f t="shared" si="1024"/>
        <v>0</v>
      </c>
      <c r="W4036" s="1394"/>
    </row>
    <row r="4037" spans="1:23" ht="30" customHeight="1">
      <c r="A4037" s="1396"/>
      <c r="B4037" s="1405"/>
      <c r="C4037" s="1408" t="str">
        <f t="shared" si="1018"/>
        <v xml:space="preserve">C5 to C7 &amp; F5 to F7 </v>
      </c>
      <c r="D4037" s="1409">
        <f t="shared" si="1019"/>
        <v>2</v>
      </c>
      <c r="E4037" s="1409">
        <f t="shared" si="1020"/>
        <v>2</v>
      </c>
      <c r="F4037" s="1410">
        <f t="shared" si="1020"/>
        <v>5.99</v>
      </c>
      <c r="G4037" s="1410"/>
      <c r="H4037" s="1410">
        <f t="shared" si="1021"/>
        <v>0.47499999999999998</v>
      </c>
      <c r="I4037" s="1406">
        <f t="shared" si="1022"/>
        <v>11.381</v>
      </c>
      <c r="L4037" s="1413"/>
      <c r="M4037" s="1474"/>
      <c r="Q4037" s="1394">
        <f>IFERROR(VLOOKUP(M4037,#REF!,3,0),0)</f>
        <v>0</v>
      </c>
      <c r="R4037" s="1394">
        <f t="shared" si="1016"/>
        <v>0</v>
      </c>
      <c r="S4037" s="1394">
        <f>IFERROR(VLOOKUP(M4037,#REF!,6,0),0)</f>
        <v>0</v>
      </c>
      <c r="T4037" s="1394">
        <f t="shared" si="1023"/>
        <v>0</v>
      </c>
      <c r="U4037" s="1394">
        <f>IFERROR(VLOOKUP(M4037,#REF!,5,0),0)</f>
        <v>0</v>
      </c>
      <c r="V4037" s="1394">
        <f t="shared" si="1024"/>
        <v>0</v>
      </c>
      <c r="W4037" s="1394"/>
    </row>
    <row r="4038" spans="1:23" ht="30" customHeight="1">
      <c r="A4038" s="1396"/>
      <c r="B4038" s="1405"/>
      <c r="C4038" s="1408" t="str">
        <f t="shared" si="1018"/>
        <v>F3 to F5</v>
      </c>
      <c r="D4038" s="1409">
        <f t="shared" si="1019"/>
        <v>2</v>
      </c>
      <c r="E4038" s="1409">
        <f t="shared" si="1020"/>
        <v>1</v>
      </c>
      <c r="F4038" s="1410">
        <f t="shared" si="1020"/>
        <v>5.5299999999999994</v>
      </c>
      <c r="G4038" s="1410"/>
      <c r="H4038" s="1410">
        <f t="shared" si="1021"/>
        <v>0.32500000000000001</v>
      </c>
      <c r="I4038" s="1406">
        <f t="shared" si="1022"/>
        <v>3.5944999999999996</v>
      </c>
      <c r="L4038" s="1413"/>
      <c r="M4038" s="1474"/>
      <c r="Q4038" s="1394">
        <f>IFERROR(VLOOKUP(M4038,#REF!,3,0),0)</f>
        <v>0</v>
      </c>
      <c r="R4038" s="1394">
        <f t="shared" si="1016"/>
        <v>0</v>
      </c>
      <c r="S4038" s="1394">
        <f>IFERROR(VLOOKUP(M4038,#REF!,6,0),0)</f>
        <v>0</v>
      </c>
      <c r="T4038" s="1394">
        <f t="shared" si="1023"/>
        <v>0</v>
      </c>
      <c r="U4038" s="1394">
        <f>IFERROR(VLOOKUP(M4038,#REF!,5,0),0)</f>
        <v>0</v>
      </c>
      <c r="V4038" s="1394">
        <f t="shared" si="1024"/>
        <v>0</v>
      </c>
      <c r="W4038" s="1394"/>
    </row>
    <row r="4039" spans="1:23" ht="30" customHeight="1">
      <c r="A4039" s="1396"/>
      <c r="B4039" s="1405"/>
      <c r="C4039" s="1408" t="str">
        <f t="shared" si="1018"/>
        <v>E7 to E8</v>
      </c>
      <c r="D4039" s="1409">
        <f t="shared" si="1019"/>
        <v>2</v>
      </c>
      <c r="E4039" s="1409">
        <f t="shared" si="1020"/>
        <v>1</v>
      </c>
      <c r="F4039" s="1410">
        <f t="shared" si="1020"/>
        <v>4.13</v>
      </c>
      <c r="G4039" s="1410"/>
      <c r="H4039" s="1410">
        <f t="shared" si="1021"/>
        <v>0.255</v>
      </c>
      <c r="I4039" s="1406">
        <f t="shared" si="1022"/>
        <v>2.1063000000000001</v>
      </c>
      <c r="L4039" s="1413"/>
      <c r="M4039" s="1474"/>
      <c r="Q4039" s="1394">
        <f>IFERROR(VLOOKUP(M4039,#REF!,3,0),0)</f>
        <v>0</v>
      </c>
      <c r="R4039" s="1394">
        <f t="shared" si="1016"/>
        <v>0</v>
      </c>
      <c r="S4039" s="1394">
        <f>IFERROR(VLOOKUP(M4039,#REF!,6,0),0)</f>
        <v>0</v>
      </c>
      <c r="T4039" s="1394">
        <f t="shared" si="1023"/>
        <v>0</v>
      </c>
      <c r="U4039" s="1394">
        <f>IFERROR(VLOOKUP(M4039,#REF!,5,0),0)</f>
        <v>0</v>
      </c>
      <c r="V4039" s="1394">
        <f t="shared" si="1024"/>
        <v>0</v>
      </c>
      <c r="W4039" s="1394"/>
    </row>
    <row r="4040" spans="1:23" ht="30" customHeight="1">
      <c r="A4040" s="1396"/>
      <c r="B4040" s="1405"/>
      <c r="C4040" s="1408" t="str">
        <f t="shared" si="1018"/>
        <v>G3 to G7</v>
      </c>
      <c r="D4040" s="1409">
        <f t="shared" si="1019"/>
        <v>2</v>
      </c>
      <c r="E4040" s="1409">
        <f t="shared" si="1020"/>
        <v>1</v>
      </c>
      <c r="F4040" s="1410">
        <f t="shared" si="1020"/>
        <v>11.52</v>
      </c>
      <c r="G4040" s="1410"/>
      <c r="H4040" s="1410">
        <f t="shared" si="1021"/>
        <v>0.32500000000000001</v>
      </c>
      <c r="I4040" s="1406">
        <f t="shared" si="1022"/>
        <v>7.4879999999999995</v>
      </c>
      <c r="L4040" s="1413"/>
      <c r="M4040" s="1474"/>
      <c r="Q4040" s="1394">
        <f>IFERROR(VLOOKUP(M4040,#REF!,3,0),0)</f>
        <v>0</v>
      </c>
      <c r="R4040" s="1394">
        <f t="shared" si="1016"/>
        <v>0</v>
      </c>
      <c r="S4040" s="1394">
        <f>IFERROR(VLOOKUP(M4040,#REF!,6,0),0)</f>
        <v>0</v>
      </c>
      <c r="T4040" s="1394">
        <f t="shared" si="1023"/>
        <v>0</v>
      </c>
      <c r="U4040" s="1394">
        <f>IFERROR(VLOOKUP(M4040,#REF!,5,0),0)</f>
        <v>0</v>
      </c>
      <c r="V4040" s="1394">
        <f t="shared" si="1024"/>
        <v>0</v>
      </c>
      <c r="W4040" s="1394"/>
    </row>
    <row r="4041" spans="1:23" ht="30" customHeight="1">
      <c r="A4041" s="1396"/>
      <c r="B4041" s="1405"/>
      <c r="C4041" s="1408" t="str">
        <f t="shared" si="1018"/>
        <v>G7 to G8</v>
      </c>
      <c r="D4041" s="1409">
        <f t="shared" si="1019"/>
        <v>2</v>
      </c>
      <c r="E4041" s="1409">
        <f t="shared" si="1020"/>
        <v>1</v>
      </c>
      <c r="F4041" s="1410">
        <f t="shared" si="1020"/>
        <v>4.13</v>
      </c>
      <c r="G4041" s="1410"/>
      <c r="H4041" s="1410">
        <f t="shared" si="1021"/>
        <v>0.32500000000000001</v>
      </c>
      <c r="I4041" s="1406">
        <f t="shared" si="1022"/>
        <v>2.6844999999999999</v>
      </c>
      <c r="L4041" s="1413"/>
      <c r="M4041" s="1474"/>
      <c r="Q4041" s="1394">
        <f>IFERROR(VLOOKUP(M4041,#REF!,3,0),0)</f>
        <v>0</v>
      </c>
      <c r="R4041" s="1394">
        <f t="shared" si="1016"/>
        <v>0</v>
      </c>
      <c r="S4041" s="1394">
        <f>IFERROR(VLOOKUP(M4041,#REF!,6,0),0)</f>
        <v>0</v>
      </c>
      <c r="T4041" s="1394">
        <f t="shared" si="1023"/>
        <v>0</v>
      </c>
      <c r="U4041" s="1394">
        <f>IFERROR(VLOOKUP(M4041,#REF!,5,0),0)</f>
        <v>0</v>
      </c>
      <c r="V4041" s="1394">
        <f t="shared" si="1024"/>
        <v>0</v>
      </c>
      <c r="W4041" s="1394"/>
    </row>
    <row r="4042" spans="1:23" ht="30" customHeight="1">
      <c r="A4042" s="1396"/>
      <c r="B4042" s="1405"/>
      <c r="C4042" s="1408" t="str">
        <f t="shared" si="1018"/>
        <v>H3 To H8</v>
      </c>
      <c r="D4042" s="1409">
        <f t="shared" si="1019"/>
        <v>2</v>
      </c>
      <c r="E4042" s="1409">
        <f t="shared" si="1020"/>
        <v>1</v>
      </c>
      <c r="F4042" s="1410">
        <f t="shared" si="1020"/>
        <v>15.649999999999999</v>
      </c>
      <c r="G4042" s="1410"/>
      <c r="H4042" s="1410">
        <f t="shared" si="1021"/>
        <v>0.32500000000000001</v>
      </c>
      <c r="I4042" s="1406">
        <f t="shared" si="1022"/>
        <v>10.172499999999999</v>
      </c>
      <c r="L4042" s="1413"/>
      <c r="M4042" s="1474"/>
      <c r="Q4042" s="1394">
        <f>IFERROR(VLOOKUP(M4042,#REF!,3,0),0)</f>
        <v>0</v>
      </c>
      <c r="R4042" s="1394">
        <f t="shared" si="1016"/>
        <v>0</v>
      </c>
      <c r="S4042" s="1394">
        <f>IFERROR(VLOOKUP(M4042,#REF!,6,0),0)</f>
        <v>0</v>
      </c>
      <c r="T4042" s="1394">
        <f t="shared" si="1023"/>
        <v>0</v>
      </c>
      <c r="U4042" s="1394">
        <f>IFERROR(VLOOKUP(M4042,#REF!,5,0),0)</f>
        <v>0</v>
      </c>
      <c r="V4042" s="1394">
        <f t="shared" si="1024"/>
        <v>0</v>
      </c>
      <c r="W4042" s="1394"/>
    </row>
    <row r="4043" spans="1:23" ht="30" customHeight="1">
      <c r="A4043" s="1396"/>
      <c r="B4043" s="1405"/>
      <c r="C4043" s="1408" t="str">
        <f t="shared" si="1018"/>
        <v>D1 to D3 , F1 to F3</v>
      </c>
      <c r="D4043" s="1409">
        <f t="shared" si="1019"/>
        <v>2</v>
      </c>
      <c r="E4043" s="1409">
        <f t="shared" si="1020"/>
        <v>2</v>
      </c>
      <c r="F4043" s="1410">
        <f t="shared" si="1020"/>
        <v>4.6899999999999995</v>
      </c>
      <c r="G4043" s="1410"/>
      <c r="H4043" s="1410">
        <f t="shared" si="1021"/>
        <v>0.255</v>
      </c>
      <c r="I4043" s="1406">
        <f t="shared" si="1022"/>
        <v>4.7837999999999994</v>
      </c>
      <c r="L4043" s="1413"/>
      <c r="M4043" s="1474"/>
      <c r="Q4043" s="1394">
        <f>IFERROR(VLOOKUP(M4043,#REF!,3,0),0)</f>
        <v>0</v>
      </c>
      <c r="R4043" s="1394">
        <f t="shared" si="1016"/>
        <v>0</v>
      </c>
      <c r="S4043" s="1394">
        <f>IFERROR(VLOOKUP(M4043,#REF!,6,0),0)</f>
        <v>0</v>
      </c>
      <c r="T4043" s="1394">
        <f t="shared" si="1023"/>
        <v>0</v>
      </c>
      <c r="U4043" s="1394">
        <f>IFERROR(VLOOKUP(M4043,#REF!,5,0),0)</f>
        <v>0</v>
      </c>
      <c r="V4043" s="1394">
        <f t="shared" si="1024"/>
        <v>0</v>
      </c>
      <c r="W4043" s="1394"/>
    </row>
    <row r="4044" spans="1:23" ht="30" customHeight="1">
      <c r="A4044" s="1396"/>
      <c r="B4044" s="1405"/>
      <c r="C4044" s="1408" t="str">
        <f t="shared" si="1018"/>
        <v>Cross beams</v>
      </c>
      <c r="D4044" s="1409">
        <f t="shared" si="1019"/>
        <v>2</v>
      </c>
      <c r="E4044" s="1409">
        <f t="shared" si="1020"/>
        <v>1</v>
      </c>
      <c r="F4044" s="1410">
        <f t="shared" si="1020"/>
        <v>2.77</v>
      </c>
      <c r="G4044" s="1410"/>
      <c r="H4044" s="1410">
        <f t="shared" si="1021"/>
        <v>0.255</v>
      </c>
      <c r="I4044" s="1406">
        <f t="shared" si="1022"/>
        <v>1.4127000000000001</v>
      </c>
      <c r="L4044" s="1413"/>
      <c r="M4044" s="1474"/>
      <c r="Q4044" s="1394">
        <f>IFERROR(VLOOKUP(M4044,#REF!,3,0),0)</f>
        <v>0</v>
      </c>
      <c r="R4044" s="1394">
        <f t="shared" si="1016"/>
        <v>0</v>
      </c>
      <c r="S4044" s="1394">
        <f>IFERROR(VLOOKUP(M4044,#REF!,6,0),0)</f>
        <v>0</v>
      </c>
      <c r="T4044" s="1394">
        <f t="shared" si="1023"/>
        <v>0</v>
      </c>
      <c r="U4044" s="1394">
        <f>IFERROR(VLOOKUP(M4044,#REF!,5,0),0)</f>
        <v>0</v>
      </c>
      <c r="V4044" s="1394">
        <f t="shared" si="1024"/>
        <v>0</v>
      </c>
      <c r="W4044" s="1394"/>
    </row>
    <row r="4045" spans="1:23" ht="30" customHeight="1">
      <c r="A4045" s="1396"/>
      <c r="B4045" s="1405"/>
      <c r="C4045" s="1408">
        <f t="shared" si="1018"/>
        <v>0</v>
      </c>
      <c r="D4045" s="1409">
        <f>D693</f>
        <v>0</v>
      </c>
      <c r="E4045" s="1409">
        <f t="shared" si="1020"/>
        <v>0</v>
      </c>
      <c r="F4045" s="1410">
        <f t="shared" si="1020"/>
        <v>0</v>
      </c>
      <c r="G4045" s="1410">
        <f t="shared" ref="G4045:H4047" si="1025">G693</f>
        <v>0</v>
      </c>
      <c r="H4045" s="1411">
        <f t="shared" si="1025"/>
        <v>0</v>
      </c>
      <c r="I4045" s="1471"/>
      <c r="L4045" s="1413"/>
      <c r="M4045" s="1474"/>
      <c r="Q4045" s="1394">
        <f>IFERROR(VLOOKUP(M4045,#REF!,3,0),0)</f>
        <v>0</v>
      </c>
      <c r="R4045" s="1394">
        <f t="shared" si="1016"/>
        <v>0</v>
      </c>
      <c r="S4045" s="1394">
        <f>IFERROR(VLOOKUP(M4045,#REF!,6,0),0)</f>
        <v>0</v>
      </c>
      <c r="T4045" s="1394">
        <f t="shared" si="1023"/>
        <v>0</v>
      </c>
      <c r="U4045" s="1394">
        <f>IFERROR(VLOOKUP(M4045,#REF!,5,0),0)</f>
        <v>0</v>
      </c>
      <c r="V4045" s="1394">
        <f t="shared" si="1024"/>
        <v>0</v>
      </c>
      <c r="W4045" s="1394"/>
    </row>
    <row r="4046" spans="1:23" ht="30" customHeight="1">
      <c r="B4046" s="1405"/>
      <c r="C4046" s="1412" t="s">
        <v>540</v>
      </c>
      <c r="D4046" s="103">
        <f>D694</f>
        <v>0</v>
      </c>
      <c r="E4046" s="103">
        <f t="shared" si="1020"/>
        <v>0</v>
      </c>
      <c r="F4046" s="1413">
        <f t="shared" si="1020"/>
        <v>0</v>
      </c>
      <c r="G4046" s="1413">
        <f t="shared" si="1025"/>
        <v>0</v>
      </c>
      <c r="H4046" s="1414">
        <f t="shared" si="1025"/>
        <v>0</v>
      </c>
      <c r="I4046" s="1471"/>
      <c r="Q4046" s="1394">
        <f>IFERROR(VLOOKUP(M4046,#REF!,3,0),0)</f>
        <v>0</v>
      </c>
      <c r="R4046" s="1394">
        <f t="shared" si="1016"/>
        <v>0</v>
      </c>
      <c r="S4046" s="1394">
        <f>IFERROR(VLOOKUP(M4046,#REF!,6,0),0)</f>
        <v>0</v>
      </c>
      <c r="T4046" s="1394">
        <f t="shared" si="1023"/>
        <v>0</v>
      </c>
      <c r="U4046" s="1394">
        <f>IFERROR(VLOOKUP(M4046,#REF!,5,0),0)</f>
        <v>0</v>
      </c>
      <c r="V4046" s="1394">
        <f t="shared" si="1024"/>
        <v>0</v>
      </c>
      <c r="W4046" s="1394"/>
    </row>
    <row r="4047" spans="1:23" ht="30" customHeight="1">
      <c r="B4047" s="1405"/>
      <c r="C4047" s="1415" t="str">
        <f t="shared" ref="C4047:C4074" si="1026">C665</f>
        <v>Horizontal beam</v>
      </c>
      <c r="D4047" s="1409">
        <f>D695</f>
        <v>0</v>
      </c>
      <c r="E4047" s="1409">
        <f t="shared" si="1020"/>
        <v>0</v>
      </c>
      <c r="F4047" s="1410">
        <f t="shared" si="1020"/>
        <v>0</v>
      </c>
      <c r="G4047" s="1410">
        <f t="shared" si="1025"/>
        <v>0</v>
      </c>
      <c r="H4047" s="1411">
        <f t="shared" si="1025"/>
        <v>0</v>
      </c>
      <c r="I4047" s="1471"/>
      <c r="Q4047" s="1394">
        <f>IFERROR(VLOOKUP(M4047,#REF!,3,0),0)</f>
        <v>0</v>
      </c>
      <c r="R4047" s="1394">
        <f t="shared" si="1016"/>
        <v>0</v>
      </c>
      <c r="S4047" s="1394">
        <f>IFERROR(VLOOKUP(M4047,#REF!,6,0),0)</f>
        <v>0</v>
      </c>
      <c r="T4047" s="1394">
        <f t="shared" si="1023"/>
        <v>0</v>
      </c>
      <c r="U4047" s="1394">
        <f>IFERROR(VLOOKUP(M4047,#REF!,5,0),0)</f>
        <v>0</v>
      </c>
      <c r="V4047" s="1394">
        <f t="shared" si="1024"/>
        <v>0</v>
      </c>
      <c r="W4047" s="1394"/>
    </row>
    <row r="4048" spans="1:23" ht="30" customHeight="1">
      <c r="B4048" s="1405"/>
      <c r="C4048" s="1408" t="str">
        <f t="shared" si="1026"/>
        <v>D1 to F1 &amp; D2 to F2</v>
      </c>
      <c r="D4048" s="1409">
        <f t="shared" ref="D4048:G4074" si="1027">D666</f>
        <v>1</v>
      </c>
      <c r="E4048" s="1409">
        <f t="shared" si="1027"/>
        <v>2</v>
      </c>
      <c r="F4048" s="1410">
        <f t="shared" si="1027"/>
        <v>3.6549999999999998</v>
      </c>
      <c r="G4048" s="1410">
        <f t="shared" si="1027"/>
        <v>0.23</v>
      </c>
      <c r="H4048" s="1411"/>
      <c r="I4048" s="1406">
        <f t="shared" ref="I4048" si="1028">PRODUCT(D4048:H4048)</f>
        <v>1.6813</v>
      </c>
      <c r="Q4048" s="1394">
        <f>IFERROR(VLOOKUP(M4048,#REF!,3,0),0)</f>
        <v>0</v>
      </c>
      <c r="R4048" s="1394">
        <f t="shared" si="1016"/>
        <v>0</v>
      </c>
      <c r="S4048" s="1394">
        <f>IFERROR(VLOOKUP(M4048,#REF!,6,0),0)</f>
        <v>0</v>
      </c>
      <c r="T4048" s="1394">
        <f t="shared" si="1023"/>
        <v>0</v>
      </c>
      <c r="U4048" s="1394">
        <f>IFERROR(VLOOKUP(M4048,#REF!,5,0),0)</f>
        <v>0</v>
      </c>
      <c r="V4048" s="1394">
        <f t="shared" si="1024"/>
        <v>0</v>
      </c>
      <c r="W4048" s="1394"/>
    </row>
    <row r="4049" spans="1:23" ht="30" customHeight="1">
      <c r="A4049" s="1396"/>
      <c r="B4049" s="1405"/>
      <c r="C4049" s="1408" t="str">
        <f t="shared" si="1026"/>
        <v>A1 to B1 , A5 to B5 , A6 to B6 &amp; A7 to B7</v>
      </c>
      <c r="D4049" s="1409">
        <f t="shared" si="1027"/>
        <v>1</v>
      </c>
      <c r="E4049" s="1409">
        <f t="shared" si="1027"/>
        <v>4</v>
      </c>
      <c r="F4049" s="1410">
        <f t="shared" si="1027"/>
        <v>4.2300000000000004</v>
      </c>
      <c r="G4049" s="1410">
        <f t="shared" si="1027"/>
        <v>0.23</v>
      </c>
      <c r="H4049" s="1411"/>
      <c r="I4049" s="1406">
        <f t="shared" ref="I4049:I4112" si="1029">PRODUCT(D4049:H4049)</f>
        <v>3.8916000000000004</v>
      </c>
      <c r="L4049" s="1413"/>
      <c r="M4049" s="1474"/>
      <c r="Q4049" s="1394">
        <f>IFERROR(VLOOKUP(M4049,#REF!,3,0),0)</f>
        <v>0</v>
      </c>
      <c r="R4049" s="1394">
        <f t="shared" si="1016"/>
        <v>0</v>
      </c>
      <c r="S4049" s="1394">
        <f>IFERROR(VLOOKUP(M4049,#REF!,6,0),0)</f>
        <v>0</v>
      </c>
      <c r="T4049" s="1394">
        <f t="shared" si="1023"/>
        <v>0</v>
      </c>
      <c r="U4049" s="1394">
        <f>IFERROR(VLOOKUP(M4049,#REF!,5,0),0)</f>
        <v>0</v>
      </c>
      <c r="V4049" s="1394">
        <f t="shared" si="1024"/>
        <v>0</v>
      </c>
      <c r="W4049" s="1394"/>
    </row>
    <row r="4050" spans="1:23" ht="30" customHeight="1">
      <c r="A4050" s="1396"/>
      <c r="B4050" s="1405"/>
      <c r="C4050" s="1408" t="str">
        <f t="shared" si="1026"/>
        <v>A8 to H8</v>
      </c>
      <c r="D4050" s="1409">
        <f t="shared" si="1027"/>
        <v>1</v>
      </c>
      <c r="E4050" s="1409">
        <f t="shared" si="1027"/>
        <v>1</v>
      </c>
      <c r="F4050" s="1410">
        <f t="shared" si="1027"/>
        <v>18.575000000000003</v>
      </c>
      <c r="G4050" s="1410">
        <f t="shared" si="1027"/>
        <v>0.23</v>
      </c>
      <c r="H4050" s="1411"/>
      <c r="I4050" s="1406">
        <f t="shared" si="1029"/>
        <v>4.2722500000000005</v>
      </c>
      <c r="L4050" s="1413"/>
      <c r="M4050" s="1474"/>
      <c r="Q4050" s="1394">
        <f>IFERROR(VLOOKUP(M4050,#REF!,3,0),0)</f>
        <v>0</v>
      </c>
      <c r="R4050" s="1394">
        <f t="shared" si="1016"/>
        <v>0</v>
      </c>
      <c r="S4050" s="1394">
        <f>IFERROR(VLOOKUP(M4050,#REF!,6,0),0)</f>
        <v>0</v>
      </c>
      <c r="T4050" s="1394">
        <f t="shared" si="1023"/>
        <v>0</v>
      </c>
      <c r="U4050" s="1394">
        <f>IFERROR(VLOOKUP(M4050,#REF!,5,0),0)</f>
        <v>0</v>
      </c>
      <c r="V4050" s="1394">
        <f t="shared" si="1024"/>
        <v>0</v>
      </c>
      <c r="W4050" s="1394"/>
    </row>
    <row r="4051" spans="1:23" ht="30" customHeight="1">
      <c r="A4051" s="1396"/>
      <c r="B4051" s="1405"/>
      <c r="C4051" s="1408" t="str">
        <f t="shared" si="1026"/>
        <v>B5 to G5</v>
      </c>
      <c r="D4051" s="1409">
        <f t="shared" si="1027"/>
        <v>1</v>
      </c>
      <c r="E4051" s="1409">
        <f t="shared" si="1027"/>
        <v>1</v>
      </c>
      <c r="F4051" s="1410">
        <f t="shared" si="1027"/>
        <v>10.35</v>
      </c>
      <c r="G4051" s="1410">
        <f t="shared" si="1027"/>
        <v>0.23</v>
      </c>
      <c r="H4051" s="1411"/>
      <c r="I4051" s="1406">
        <f t="shared" si="1029"/>
        <v>2.3805000000000001</v>
      </c>
      <c r="L4051" s="1413"/>
      <c r="M4051" s="1474"/>
      <c r="Q4051" s="1394">
        <f>IFERROR(VLOOKUP(M4051,#REF!,3,0),0)</f>
        <v>0</v>
      </c>
      <c r="R4051" s="1394">
        <f t="shared" si="1016"/>
        <v>0</v>
      </c>
      <c r="S4051" s="1394">
        <f>IFERROR(VLOOKUP(M4051,#REF!,6,0),0)</f>
        <v>0</v>
      </c>
      <c r="T4051" s="1394">
        <f t="shared" si="1023"/>
        <v>0</v>
      </c>
      <c r="U4051" s="1394">
        <f>IFERROR(VLOOKUP(M4051,#REF!,5,0),0)</f>
        <v>0</v>
      </c>
      <c r="V4051" s="1394">
        <f t="shared" si="1024"/>
        <v>0</v>
      </c>
      <c r="W4051" s="1394"/>
    </row>
    <row r="4052" spans="1:23" ht="30" customHeight="1">
      <c r="A4052" s="1396"/>
      <c r="B4052" s="1405"/>
      <c r="C4052" s="1408" t="str">
        <f t="shared" si="1026"/>
        <v>B3 to G3</v>
      </c>
      <c r="D4052" s="1409">
        <f t="shared" si="1027"/>
        <v>1</v>
      </c>
      <c r="E4052" s="1409">
        <f t="shared" si="1027"/>
        <v>1</v>
      </c>
      <c r="F4052" s="1410">
        <f t="shared" si="1027"/>
        <v>10.35</v>
      </c>
      <c r="G4052" s="1410">
        <f t="shared" si="1027"/>
        <v>0.23</v>
      </c>
      <c r="H4052" s="1411"/>
      <c r="I4052" s="1406">
        <f t="shared" si="1029"/>
        <v>2.3805000000000001</v>
      </c>
      <c r="L4052" s="1413"/>
      <c r="M4052" s="1474"/>
      <c r="Q4052" s="1394">
        <f>IFERROR(VLOOKUP(M4052,#REF!,3,0),0)</f>
        <v>0</v>
      </c>
      <c r="R4052" s="1394">
        <f t="shared" si="1016"/>
        <v>0</v>
      </c>
      <c r="S4052" s="1394">
        <f>IFERROR(VLOOKUP(M4052,#REF!,6,0),0)</f>
        <v>0</v>
      </c>
      <c r="T4052" s="1394">
        <f t="shared" si="1023"/>
        <v>0</v>
      </c>
      <c r="U4052" s="1394">
        <f>IFERROR(VLOOKUP(M4052,#REF!,5,0),0)</f>
        <v>0</v>
      </c>
      <c r="V4052" s="1394">
        <f t="shared" si="1024"/>
        <v>0</v>
      </c>
      <c r="W4052" s="1394"/>
    </row>
    <row r="4053" spans="1:23" ht="30" customHeight="1">
      <c r="A4053" s="1396"/>
      <c r="B4053" s="1405"/>
      <c r="C4053" s="1408" t="str">
        <f t="shared" si="1026"/>
        <v>B7 to G7</v>
      </c>
      <c r="D4053" s="1409">
        <f t="shared" si="1027"/>
        <v>1</v>
      </c>
      <c r="E4053" s="1409">
        <f t="shared" si="1027"/>
        <v>1</v>
      </c>
      <c r="F4053" s="1410">
        <f t="shared" si="1027"/>
        <v>10.35</v>
      </c>
      <c r="G4053" s="1410">
        <f t="shared" si="1027"/>
        <v>0.23</v>
      </c>
      <c r="H4053" s="1411"/>
      <c r="I4053" s="1406">
        <f t="shared" si="1029"/>
        <v>2.3805000000000001</v>
      </c>
      <c r="L4053" s="1413"/>
      <c r="M4053" s="1474"/>
      <c r="Q4053" s="1394">
        <f>IFERROR(VLOOKUP(M4053,#REF!,3,0),0)</f>
        <v>0</v>
      </c>
      <c r="R4053" s="1394">
        <f t="shared" si="1016"/>
        <v>0</v>
      </c>
      <c r="S4053" s="1394">
        <f>IFERROR(VLOOKUP(M4053,#REF!,6,0),0)</f>
        <v>0</v>
      </c>
      <c r="T4053" s="1394">
        <f t="shared" si="1023"/>
        <v>0</v>
      </c>
      <c r="U4053" s="1394">
        <f>IFERROR(VLOOKUP(M4053,#REF!,5,0),0)</f>
        <v>0</v>
      </c>
      <c r="V4053" s="1394">
        <f t="shared" si="1024"/>
        <v>0</v>
      </c>
      <c r="W4053" s="1394"/>
    </row>
    <row r="4054" spans="1:23" ht="30" customHeight="1">
      <c r="A4054" s="1396"/>
      <c r="B4054" s="1405"/>
      <c r="C4054" s="1408" t="str">
        <f t="shared" si="1026"/>
        <v>B4 to F4</v>
      </c>
      <c r="D4054" s="1409">
        <f t="shared" si="1027"/>
        <v>1</v>
      </c>
      <c r="E4054" s="1409">
        <f t="shared" si="1027"/>
        <v>1</v>
      </c>
      <c r="F4054" s="1410">
        <f t="shared" si="1027"/>
        <v>6.8849999999999998</v>
      </c>
      <c r="G4054" s="1410">
        <f t="shared" si="1027"/>
        <v>0.23</v>
      </c>
      <c r="H4054" s="1411"/>
      <c r="I4054" s="1406">
        <f t="shared" si="1029"/>
        <v>1.58355</v>
      </c>
      <c r="L4054" s="1413"/>
      <c r="M4054" s="1474"/>
      <c r="Q4054" s="1394">
        <f>IFERROR(VLOOKUP(M4054,#REF!,3,0),0)</f>
        <v>0</v>
      </c>
      <c r="R4054" s="1394">
        <f t="shared" si="1016"/>
        <v>0</v>
      </c>
      <c r="S4054" s="1394">
        <f>IFERROR(VLOOKUP(M4054,#REF!,6,0),0)</f>
        <v>0</v>
      </c>
      <c r="T4054" s="1394">
        <f t="shared" si="1023"/>
        <v>0</v>
      </c>
      <c r="U4054" s="1394">
        <f>IFERROR(VLOOKUP(M4054,#REF!,5,0),0)</f>
        <v>0</v>
      </c>
      <c r="V4054" s="1394">
        <f t="shared" si="1024"/>
        <v>0</v>
      </c>
      <c r="W4054" s="1394"/>
    </row>
    <row r="4055" spans="1:23" ht="30" customHeight="1">
      <c r="A4055" s="1396"/>
      <c r="B4055" s="1405"/>
      <c r="C4055" s="1408" t="str">
        <f t="shared" si="1026"/>
        <v>OTS Cross Beam</v>
      </c>
      <c r="D4055" s="1409">
        <f t="shared" si="1027"/>
        <v>1</v>
      </c>
      <c r="E4055" s="1409">
        <f t="shared" si="1027"/>
        <v>1</v>
      </c>
      <c r="F4055" s="1410">
        <f t="shared" si="1027"/>
        <v>4.2300000000000004</v>
      </c>
      <c r="G4055" s="1410">
        <f t="shared" si="1027"/>
        <v>0.23</v>
      </c>
      <c r="H4055" s="1411"/>
      <c r="I4055" s="1406">
        <f t="shared" si="1029"/>
        <v>0.9729000000000001</v>
      </c>
      <c r="L4055" s="1413"/>
      <c r="M4055" s="1474"/>
      <c r="Q4055" s="1394">
        <f>IFERROR(VLOOKUP(M4055,#REF!,3,0),0)</f>
        <v>0</v>
      </c>
      <c r="R4055" s="1394">
        <f t="shared" si="1016"/>
        <v>0</v>
      </c>
      <c r="S4055" s="1394">
        <f>IFERROR(VLOOKUP(M4055,#REF!,6,0),0)</f>
        <v>0</v>
      </c>
      <c r="T4055" s="1394">
        <f t="shared" si="1023"/>
        <v>0</v>
      </c>
      <c r="U4055" s="1394">
        <f>IFERROR(VLOOKUP(M4055,#REF!,5,0),0)</f>
        <v>0</v>
      </c>
      <c r="V4055" s="1394">
        <f t="shared" si="1024"/>
        <v>0</v>
      </c>
      <c r="W4055" s="1394"/>
    </row>
    <row r="4056" spans="1:23" ht="30" customHeight="1">
      <c r="A4056" s="1396"/>
      <c r="B4056" s="1405"/>
      <c r="C4056" s="1408" t="str">
        <f t="shared" si="1026"/>
        <v>OTS Cross Beam</v>
      </c>
      <c r="D4056" s="1409">
        <f t="shared" si="1027"/>
        <v>1</v>
      </c>
      <c r="E4056" s="1409">
        <f t="shared" si="1027"/>
        <v>1</v>
      </c>
      <c r="F4056" s="1410">
        <f t="shared" si="1027"/>
        <v>3.9950000000000001</v>
      </c>
      <c r="G4056" s="1410">
        <f t="shared" si="1027"/>
        <v>0.23</v>
      </c>
      <c r="H4056" s="1411"/>
      <c r="I4056" s="1406">
        <f t="shared" si="1029"/>
        <v>0.91885000000000006</v>
      </c>
      <c r="L4056" s="1413"/>
      <c r="M4056" s="1474"/>
      <c r="Q4056" s="1394">
        <f>IFERROR(VLOOKUP(M4056,#REF!,3,0),0)</f>
        <v>0</v>
      </c>
      <c r="R4056" s="1394">
        <f t="shared" si="1016"/>
        <v>0</v>
      </c>
      <c r="S4056" s="1394">
        <f>IFERROR(VLOOKUP(M4056,#REF!,6,0),0)</f>
        <v>0</v>
      </c>
      <c r="T4056" s="1394">
        <f t="shared" si="1023"/>
        <v>0</v>
      </c>
      <c r="U4056" s="1394">
        <f>IFERROR(VLOOKUP(M4056,#REF!,5,0),0)</f>
        <v>0</v>
      </c>
      <c r="V4056" s="1394">
        <f t="shared" si="1024"/>
        <v>0</v>
      </c>
      <c r="W4056" s="1394"/>
    </row>
    <row r="4057" spans="1:23" ht="30" customHeight="1">
      <c r="A4057" s="1396"/>
      <c r="B4057" s="1405"/>
      <c r="C4057" s="1408" t="str">
        <f t="shared" si="1026"/>
        <v>G3 to H3 , G5 to H5 , G6 to H6 &amp; G7 to H7</v>
      </c>
      <c r="D4057" s="1409">
        <f t="shared" si="1027"/>
        <v>1</v>
      </c>
      <c r="E4057" s="1409">
        <f t="shared" si="1027"/>
        <v>4</v>
      </c>
      <c r="F4057" s="1410">
        <f t="shared" si="1027"/>
        <v>3.9950000000000001</v>
      </c>
      <c r="G4057" s="1410">
        <f t="shared" si="1027"/>
        <v>0.23</v>
      </c>
      <c r="H4057" s="1411"/>
      <c r="I4057" s="1406">
        <f t="shared" si="1029"/>
        <v>3.6754000000000002</v>
      </c>
      <c r="L4057" s="1413"/>
      <c r="M4057" s="1474"/>
      <c r="Q4057" s="1394">
        <f>IFERROR(VLOOKUP(M4057,#REF!,3,0),0)</f>
        <v>0</v>
      </c>
      <c r="R4057" s="1394">
        <f t="shared" si="1016"/>
        <v>0</v>
      </c>
      <c r="S4057" s="1394">
        <f>IFERROR(VLOOKUP(M4057,#REF!,6,0),0)</f>
        <v>0</v>
      </c>
      <c r="T4057" s="1394">
        <f t="shared" si="1023"/>
        <v>0</v>
      </c>
      <c r="U4057" s="1394">
        <f>IFERROR(VLOOKUP(M4057,#REF!,5,0),0)</f>
        <v>0</v>
      </c>
      <c r="V4057" s="1394">
        <f t="shared" si="1024"/>
        <v>0</v>
      </c>
      <c r="W4057" s="1394"/>
    </row>
    <row r="4058" spans="1:23" ht="30" customHeight="1">
      <c r="A4058" s="1396"/>
      <c r="B4058" s="1405"/>
      <c r="C4058" s="1408" t="str">
        <f t="shared" si="1026"/>
        <v>Cross beams</v>
      </c>
      <c r="D4058" s="1409">
        <f t="shared" si="1027"/>
        <v>1</v>
      </c>
      <c r="E4058" s="1409">
        <f t="shared" si="1027"/>
        <v>1</v>
      </c>
      <c r="F4058" s="1410">
        <f t="shared" si="1027"/>
        <v>1.7350000000000001</v>
      </c>
      <c r="G4058" s="1410">
        <f t="shared" si="1027"/>
        <v>0.23</v>
      </c>
      <c r="H4058" s="1411"/>
      <c r="I4058" s="1406">
        <f t="shared" si="1029"/>
        <v>0.39905000000000002</v>
      </c>
      <c r="L4058" s="1413"/>
      <c r="M4058" s="1474"/>
      <c r="Q4058" s="1394">
        <f>IFERROR(VLOOKUP(M4058,#REF!,3,0),0)</f>
        <v>0</v>
      </c>
      <c r="R4058" s="1394">
        <f t="shared" si="1016"/>
        <v>0</v>
      </c>
      <c r="S4058" s="1394">
        <f>IFERROR(VLOOKUP(M4058,#REF!,6,0),0)</f>
        <v>0</v>
      </c>
      <c r="T4058" s="1394">
        <f t="shared" si="1023"/>
        <v>0</v>
      </c>
      <c r="U4058" s="1394">
        <f>IFERROR(VLOOKUP(M4058,#REF!,5,0),0)</f>
        <v>0</v>
      </c>
      <c r="V4058" s="1394">
        <f t="shared" si="1024"/>
        <v>0</v>
      </c>
      <c r="W4058" s="1394"/>
    </row>
    <row r="4059" spans="1:23" ht="30" customHeight="1">
      <c r="A4059" s="1396"/>
      <c r="B4059" s="1405"/>
      <c r="C4059" s="1408" t="str">
        <f t="shared" si="1026"/>
        <v>Cross beams</v>
      </c>
      <c r="D4059" s="1409">
        <f t="shared" si="1027"/>
        <v>1</v>
      </c>
      <c r="E4059" s="1409">
        <f t="shared" si="1027"/>
        <v>1</v>
      </c>
      <c r="F4059" s="1410">
        <f t="shared" si="1027"/>
        <v>3.7650000000000001</v>
      </c>
      <c r="G4059" s="1410">
        <f t="shared" si="1027"/>
        <v>0.23</v>
      </c>
      <c r="H4059" s="1411"/>
      <c r="I4059" s="1406">
        <f t="shared" si="1029"/>
        <v>0.86595000000000011</v>
      </c>
      <c r="L4059" s="1413"/>
      <c r="M4059" s="1474"/>
      <c r="Q4059" s="1394">
        <f>IFERROR(VLOOKUP(M4059,#REF!,3,0),0)</f>
        <v>0</v>
      </c>
      <c r="R4059" s="1394">
        <f t="shared" si="1016"/>
        <v>0</v>
      </c>
      <c r="S4059" s="1394">
        <f>IFERROR(VLOOKUP(M4059,#REF!,6,0),0)</f>
        <v>0</v>
      </c>
      <c r="T4059" s="1394">
        <f t="shared" si="1023"/>
        <v>0</v>
      </c>
      <c r="U4059" s="1394">
        <f>IFERROR(VLOOKUP(M4059,#REF!,5,0),0)</f>
        <v>0</v>
      </c>
      <c r="V4059" s="1394">
        <f t="shared" si="1024"/>
        <v>0</v>
      </c>
      <c r="W4059" s="1394"/>
    </row>
    <row r="4060" spans="1:23" ht="30" customHeight="1">
      <c r="A4060" s="1396"/>
      <c r="B4060" s="1405"/>
      <c r="C4060" s="1408" t="str">
        <f t="shared" si="1026"/>
        <v>Vertical beam</v>
      </c>
      <c r="D4060" s="1409">
        <f t="shared" si="1027"/>
        <v>0</v>
      </c>
      <c r="E4060" s="1409">
        <f t="shared" si="1027"/>
        <v>0</v>
      </c>
      <c r="F4060" s="1410">
        <f t="shared" si="1027"/>
        <v>0</v>
      </c>
      <c r="G4060" s="1410">
        <f t="shared" si="1027"/>
        <v>0</v>
      </c>
      <c r="H4060" s="1411"/>
      <c r="I4060" s="1406">
        <f t="shared" si="1029"/>
        <v>0</v>
      </c>
      <c r="L4060" s="1413"/>
      <c r="M4060" s="1474"/>
      <c r="Q4060" s="1394">
        <f>IFERROR(VLOOKUP(M4060,#REF!,3,0),0)</f>
        <v>0</v>
      </c>
      <c r="R4060" s="1394">
        <f t="shared" si="1016"/>
        <v>0</v>
      </c>
      <c r="S4060" s="1394">
        <f>IFERROR(VLOOKUP(M4060,#REF!,6,0),0)</f>
        <v>0</v>
      </c>
      <c r="T4060" s="1394">
        <f t="shared" si="1023"/>
        <v>0</v>
      </c>
      <c r="U4060" s="1394">
        <f>IFERROR(VLOOKUP(M4060,#REF!,5,0),0)</f>
        <v>0</v>
      </c>
      <c r="V4060" s="1394">
        <f t="shared" si="1024"/>
        <v>0</v>
      </c>
      <c r="W4060" s="1394"/>
    </row>
    <row r="4061" spans="1:23" ht="30" customHeight="1">
      <c r="A4061" s="1396"/>
      <c r="B4061" s="1405"/>
      <c r="C4061" s="1408" t="str">
        <f t="shared" si="1026"/>
        <v>A3 To A5</v>
      </c>
      <c r="D4061" s="1409">
        <f t="shared" si="1027"/>
        <v>1</v>
      </c>
      <c r="E4061" s="1409">
        <f t="shared" si="1027"/>
        <v>1</v>
      </c>
      <c r="F4061" s="1410">
        <f t="shared" si="1027"/>
        <v>5.5299999999999994</v>
      </c>
      <c r="G4061" s="1410">
        <f t="shared" si="1027"/>
        <v>0.23</v>
      </c>
      <c r="H4061" s="1411"/>
      <c r="I4061" s="1406">
        <f t="shared" si="1029"/>
        <v>1.2718999999999998</v>
      </c>
      <c r="L4061" s="1413"/>
      <c r="M4061" s="1474"/>
      <c r="Q4061" s="1394">
        <f>IFERROR(VLOOKUP(M4061,#REF!,3,0),0)</f>
        <v>0</v>
      </c>
      <c r="R4061" s="1394">
        <f t="shared" si="1016"/>
        <v>0</v>
      </c>
      <c r="S4061" s="1394">
        <f>IFERROR(VLOOKUP(M4061,#REF!,6,0),0)</f>
        <v>0</v>
      </c>
      <c r="T4061" s="1394">
        <f t="shared" si="1023"/>
        <v>0</v>
      </c>
      <c r="U4061" s="1394">
        <f>IFERROR(VLOOKUP(M4061,#REF!,5,0),0)</f>
        <v>0</v>
      </c>
      <c r="V4061" s="1394">
        <f t="shared" si="1024"/>
        <v>0</v>
      </c>
      <c r="W4061" s="1394"/>
    </row>
    <row r="4062" spans="1:23" ht="30" customHeight="1">
      <c r="A4062" s="1396"/>
      <c r="B4062" s="1405"/>
      <c r="C4062" s="1408" t="str">
        <f t="shared" si="1026"/>
        <v>A5 To A8</v>
      </c>
      <c r="D4062" s="1409">
        <f t="shared" si="1027"/>
        <v>1</v>
      </c>
      <c r="E4062" s="1409">
        <f t="shared" si="1027"/>
        <v>1</v>
      </c>
      <c r="F4062" s="1410">
        <f t="shared" si="1027"/>
        <v>10.120000000000001</v>
      </c>
      <c r="G4062" s="1410">
        <f t="shared" si="1027"/>
        <v>0.23</v>
      </c>
      <c r="H4062" s="1411"/>
      <c r="I4062" s="1406">
        <f t="shared" si="1029"/>
        <v>2.3276000000000003</v>
      </c>
      <c r="L4062" s="1413"/>
      <c r="M4062" s="1474"/>
      <c r="Q4062" s="1394">
        <f>IFERROR(VLOOKUP(M4062,#REF!,3,0),0)</f>
        <v>0</v>
      </c>
      <c r="R4062" s="1394">
        <f t="shared" si="1016"/>
        <v>0</v>
      </c>
      <c r="S4062" s="1394">
        <f>IFERROR(VLOOKUP(M4062,#REF!,6,0),0)</f>
        <v>0</v>
      </c>
      <c r="T4062" s="1394">
        <f t="shared" si="1023"/>
        <v>0</v>
      </c>
      <c r="U4062" s="1394">
        <f>IFERROR(VLOOKUP(M4062,#REF!,5,0),0)</f>
        <v>0</v>
      </c>
      <c r="V4062" s="1394">
        <f t="shared" si="1024"/>
        <v>0</v>
      </c>
      <c r="W4062" s="1394"/>
    </row>
    <row r="4063" spans="1:23" ht="30" customHeight="1">
      <c r="A4063" s="1396"/>
      <c r="B4063" s="1405"/>
      <c r="C4063" s="1408" t="str">
        <f t="shared" si="1026"/>
        <v>B3 To B8</v>
      </c>
      <c r="D4063" s="1409">
        <f t="shared" si="1027"/>
        <v>1</v>
      </c>
      <c r="E4063" s="1409">
        <f t="shared" si="1027"/>
        <v>1</v>
      </c>
      <c r="F4063" s="1410">
        <f t="shared" si="1027"/>
        <v>15.649999999999999</v>
      </c>
      <c r="G4063" s="1410">
        <f t="shared" si="1027"/>
        <v>0.23</v>
      </c>
      <c r="H4063" s="1411"/>
      <c r="I4063" s="1406">
        <f t="shared" si="1029"/>
        <v>3.5994999999999999</v>
      </c>
      <c r="L4063" s="1413"/>
      <c r="M4063" s="1474"/>
      <c r="Q4063" s="1394">
        <f>IFERROR(VLOOKUP(M4063,#REF!,3,0),0)</f>
        <v>0</v>
      </c>
      <c r="R4063" s="1394">
        <f t="shared" si="1016"/>
        <v>0</v>
      </c>
      <c r="S4063" s="1394">
        <f>IFERROR(VLOOKUP(M4063,#REF!,6,0),0)</f>
        <v>0</v>
      </c>
      <c r="T4063" s="1394">
        <f t="shared" si="1023"/>
        <v>0</v>
      </c>
      <c r="U4063" s="1394">
        <f>IFERROR(VLOOKUP(M4063,#REF!,5,0),0)</f>
        <v>0</v>
      </c>
      <c r="V4063" s="1394">
        <f t="shared" si="1024"/>
        <v>0</v>
      </c>
      <c r="W4063" s="1394"/>
    </row>
    <row r="4064" spans="1:23" ht="30" customHeight="1">
      <c r="A4064" s="1396"/>
      <c r="B4064" s="1405"/>
      <c r="C4064" s="1408" t="str">
        <f t="shared" si="1026"/>
        <v>Cross beams</v>
      </c>
      <c r="D4064" s="1409">
        <f t="shared" si="1027"/>
        <v>1</v>
      </c>
      <c r="E4064" s="1409">
        <f t="shared" si="1027"/>
        <v>1</v>
      </c>
      <c r="F4064" s="1410">
        <f t="shared" si="1027"/>
        <v>4.13</v>
      </c>
      <c r="G4064" s="1410">
        <f t="shared" si="1027"/>
        <v>0.23</v>
      </c>
      <c r="H4064" s="1411"/>
      <c r="I4064" s="1406">
        <f t="shared" si="1029"/>
        <v>0.94989999999999997</v>
      </c>
      <c r="L4064" s="1413"/>
      <c r="M4064" s="1474"/>
      <c r="Q4064" s="1394">
        <f>IFERROR(VLOOKUP(M4064,#REF!,3,0),0)</f>
        <v>0</v>
      </c>
      <c r="R4064" s="1394">
        <f t="shared" si="1016"/>
        <v>0</v>
      </c>
      <c r="S4064" s="1394">
        <f>IFERROR(VLOOKUP(M4064,#REF!,6,0),0)</f>
        <v>0</v>
      </c>
      <c r="T4064" s="1394">
        <f t="shared" si="1023"/>
        <v>0</v>
      </c>
      <c r="U4064" s="1394">
        <f>IFERROR(VLOOKUP(M4064,#REF!,5,0),0)</f>
        <v>0</v>
      </c>
      <c r="V4064" s="1394">
        <f t="shared" si="1024"/>
        <v>0</v>
      </c>
      <c r="W4064" s="1394"/>
    </row>
    <row r="4065" spans="1:23" ht="30" customHeight="1">
      <c r="A4065" s="1396"/>
      <c r="B4065" s="1405"/>
      <c r="C4065" s="1408" t="str">
        <f t="shared" si="1026"/>
        <v>Cross beams</v>
      </c>
      <c r="D4065" s="1409">
        <f t="shared" si="1027"/>
        <v>1</v>
      </c>
      <c r="E4065" s="1409">
        <f t="shared" si="1027"/>
        <v>1</v>
      </c>
      <c r="F4065" s="1410">
        <f t="shared" si="1027"/>
        <v>4.13</v>
      </c>
      <c r="G4065" s="1410">
        <f t="shared" si="1027"/>
        <v>0.23</v>
      </c>
      <c r="H4065" s="1411"/>
      <c r="I4065" s="1406">
        <f t="shared" si="1029"/>
        <v>0.94989999999999997</v>
      </c>
      <c r="L4065" s="1413"/>
      <c r="M4065" s="1474"/>
      <c r="Q4065" s="1394">
        <f>IFERROR(VLOOKUP(M4065,#REF!,3,0),0)</f>
        <v>0</v>
      </c>
      <c r="R4065" s="1394">
        <f t="shared" si="1016"/>
        <v>0</v>
      </c>
      <c r="S4065" s="1394">
        <f>IFERROR(VLOOKUP(M4065,#REF!,6,0),0)</f>
        <v>0</v>
      </c>
      <c r="T4065" s="1394">
        <f t="shared" si="1023"/>
        <v>0</v>
      </c>
      <c r="U4065" s="1394">
        <f>IFERROR(VLOOKUP(M4065,#REF!,5,0),0)</f>
        <v>0</v>
      </c>
      <c r="V4065" s="1394">
        <f t="shared" si="1024"/>
        <v>0</v>
      </c>
      <c r="W4065" s="1394"/>
    </row>
    <row r="4066" spans="1:23" ht="30" customHeight="1">
      <c r="A4066" s="1396"/>
      <c r="B4066" s="1405"/>
      <c r="C4066" s="1408" t="str">
        <f t="shared" si="1026"/>
        <v>C4 to C5</v>
      </c>
      <c r="D4066" s="1409">
        <f t="shared" si="1027"/>
        <v>1</v>
      </c>
      <c r="E4066" s="1409">
        <f t="shared" si="1027"/>
        <v>1</v>
      </c>
      <c r="F4066" s="1410">
        <f t="shared" si="1027"/>
        <v>2.5299999999999998</v>
      </c>
      <c r="G4066" s="1410">
        <f t="shared" si="1027"/>
        <v>0.23</v>
      </c>
      <c r="H4066" s="1411"/>
      <c r="I4066" s="1406">
        <f t="shared" si="1029"/>
        <v>0.58189999999999997</v>
      </c>
      <c r="L4066" s="1413"/>
      <c r="M4066" s="1474"/>
      <c r="Q4066" s="1394">
        <f>IFERROR(VLOOKUP(M4066,#REF!,3,0),0)</f>
        <v>0</v>
      </c>
      <c r="R4066" s="1394">
        <f t="shared" si="1016"/>
        <v>0</v>
      </c>
      <c r="S4066" s="1394">
        <f>IFERROR(VLOOKUP(M4066,#REF!,6,0),0)</f>
        <v>0</v>
      </c>
      <c r="T4066" s="1394">
        <f t="shared" si="1023"/>
        <v>0</v>
      </c>
      <c r="U4066" s="1394">
        <f>IFERROR(VLOOKUP(M4066,#REF!,5,0),0)</f>
        <v>0</v>
      </c>
      <c r="V4066" s="1394">
        <f t="shared" si="1024"/>
        <v>0</v>
      </c>
      <c r="W4066" s="1394"/>
    </row>
    <row r="4067" spans="1:23" ht="30" customHeight="1">
      <c r="A4067" s="1396"/>
      <c r="B4067" s="1405"/>
      <c r="C4067" s="1408" t="str">
        <f t="shared" si="1026"/>
        <v xml:space="preserve">C5 to C7 &amp; F5 to F7 </v>
      </c>
      <c r="D4067" s="1409">
        <f t="shared" si="1027"/>
        <v>1</v>
      </c>
      <c r="E4067" s="1409">
        <f t="shared" si="1027"/>
        <v>2</v>
      </c>
      <c r="F4067" s="1410">
        <f t="shared" si="1027"/>
        <v>5.99</v>
      </c>
      <c r="G4067" s="1410">
        <f t="shared" si="1027"/>
        <v>0.23</v>
      </c>
      <c r="H4067" s="1411"/>
      <c r="I4067" s="1406">
        <f t="shared" si="1029"/>
        <v>2.7554000000000003</v>
      </c>
      <c r="L4067" s="1413"/>
      <c r="M4067" s="1474"/>
      <c r="Q4067" s="1394">
        <f>IFERROR(VLOOKUP(M4067,#REF!,3,0),0)</f>
        <v>0</v>
      </c>
      <c r="R4067" s="1394">
        <f t="shared" si="1016"/>
        <v>0</v>
      </c>
      <c r="S4067" s="1394">
        <f>IFERROR(VLOOKUP(M4067,#REF!,6,0),0)</f>
        <v>0</v>
      </c>
      <c r="T4067" s="1394">
        <f t="shared" si="1023"/>
        <v>0</v>
      </c>
      <c r="U4067" s="1394">
        <f>IFERROR(VLOOKUP(M4067,#REF!,5,0),0)</f>
        <v>0</v>
      </c>
      <c r="V4067" s="1394">
        <f t="shared" si="1024"/>
        <v>0</v>
      </c>
      <c r="W4067" s="1394"/>
    </row>
    <row r="4068" spans="1:23" ht="30" customHeight="1">
      <c r="A4068" s="1396"/>
      <c r="B4068" s="1405"/>
      <c r="C4068" s="1408" t="str">
        <f t="shared" si="1026"/>
        <v>F3 to F5</v>
      </c>
      <c r="D4068" s="1409">
        <f t="shared" si="1027"/>
        <v>1</v>
      </c>
      <c r="E4068" s="1409">
        <f t="shared" si="1027"/>
        <v>1</v>
      </c>
      <c r="F4068" s="1410">
        <f t="shared" si="1027"/>
        <v>5.5299999999999994</v>
      </c>
      <c r="G4068" s="1410">
        <f t="shared" si="1027"/>
        <v>0.23</v>
      </c>
      <c r="H4068" s="1411"/>
      <c r="I4068" s="1406">
        <f t="shared" si="1029"/>
        <v>1.2718999999999998</v>
      </c>
      <c r="L4068" s="1413"/>
      <c r="M4068" s="1474"/>
      <c r="Q4068" s="1394">
        <f>IFERROR(VLOOKUP(M4068,#REF!,3,0),0)</f>
        <v>0</v>
      </c>
      <c r="R4068" s="1394">
        <f t="shared" si="1016"/>
        <v>0</v>
      </c>
      <c r="S4068" s="1394">
        <f>IFERROR(VLOOKUP(M4068,#REF!,6,0),0)</f>
        <v>0</v>
      </c>
      <c r="T4068" s="1394">
        <f t="shared" si="1023"/>
        <v>0</v>
      </c>
      <c r="U4068" s="1394">
        <f>IFERROR(VLOOKUP(M4068,#REF!,5,0),0)</f>
        <v>0</v>
      </c>
      <c r="V4068" s="1394">
        <f t="shared" si="1024"/>
        <v>0</v>
      </c>
      <c r="W4068" s="1394"/>
    </row>
    <row r="4069" spans="1:23" ht="30" customHeight="1">
      <c r="A4069" s="1396"/>
      <c r="B4069" s="1405"/>
      <c r="C4069" s="1408" t="str">
        <f t="shared" si="1026"/>
        <v>E7 to E8</v>
      </c>
      <c r="D4069" s="1409">
        <f t="shared" si="1027"/>
        <v>1</v>
      </c>
      <c r="E4069" s="1409">
        <f t="shared" si="1027"/>
        <v>1</v>
      </c>
      <c r="F4069" s="1410">
        <f t="shared" si="1027"/>
        <v>4.13</v>
      </c>
      <c r="G4069" s="1410">
        <f t="shared" si="1027"/>
        <v>0.23</v>
      </c>
      <c r="H4069" s="1411"/>
      <c r="I4069" s="1406">
        <f t="shared" si="1029"/>
        <v>0.94989999999999997</v>
      </c>
      <c r="L4069" s="1413"/>
      <c r="M4069" s="1474"/>
      <c r="Q4069" s="1394">
        <f>IFERROR(VLOOKUP(M4069,#REF!,3,0),0)</f>
        <v>0</v>
      </c>
      <c r="R4069" s="1394">
        <f t="shared" si="1016"/>
        <v>0</v>
      </c>
      <c r="S4069" s="1394">
        <f>IFERROR(VLOOKUP(M4069,#REF!,6,0),0)</f>
        <v>0</v>
      </c>
      <c r="T4069" s="1394">
        <f t="shared" si="1023"/>
        <v>0</v>
      </c>
      <c r="U4069" s="1394">
        <f>IFERROR(VLOOKUP(M4069,#REF!,5,0),0)</f>
        <v>0</v>
      </c>
      <c r="V4069" s="1394">
        <f t="shared" si="1024"/>
        <v>0</v>
      </c>
      <c r="W4069" s="1394"/>
    </row>
    <row r="4070" spans="1:23" ht="30" customHeight="1">
      <c r="A4070" s="1396"/>
      <c r="B4070" s="1405"/>
      <c r="C4070" s="1408" t="str">
        <f t="shared" si="1026"/>
        <v>G3 to G7</v>
      </c>
      <c r="D4070" s="1409">
        <f t="shared" si="1027"/>
        <v>1</v>
      </c>
      <c r="E4070" s="1409">
        <f t="shared" si="1027"/>
        <v>1</v>
      </c>
      <c r="F4070" s="1410">
        <f t="shared" si="1027"/>
        <v>11.52</v>
      </c>
      <c r="G4070" s="1410">
        <f t="shared" si="1027"/>
        <v>0.23</v>
      </c>
      <c r="H4070" s="1411"/>
      <c r="I4070" s="1406">
        <f t="shared" si="1029"/>
        <v>2.6496</v>
      </c>
      <c r="L4070" s="1413"/>
      <c r="M4070" s="1474"/>
      <c r="Q4070" s="1394">
        <f>IFERROR(VLOOKUP(M4070,#REF!,3,0),0)</f>
        <v>0</v>
      </c>
      <c r="R4070" s="1394">
        <f t="shared" si="1016"/>
        <v>0</v>
      </c>
      <c r="S4070" s="1394">
        <f>IFERROR(VLOOKUP(M4070,#REF!,6,0),0)</f>
        <v>0</v>
      </c>
      <c r="T4070" s="1394">
        <f t="shared" si="1023"/>
        <v>0</v>
      </c>
      <c r="U4070" s="1394">
        <f>IFERROR(VLOOKUP(M4070,#REF!,5,0),0)</f>
        <v>0</v>
      </c>
      <c r="V4070" s="1394">
        <f t="shared" si="1024"/>
        <v>0</v>
      </c>
      <c r="W4070" s="1394"/>
    </row>
    <row r="4071" spans="1:23" ht="30" customHeight="1">
      <c r="A4071" s="1396"/>
      <c r="B4071" s="1405"/>
      <c r="C4071" s="1408" t="str">
        <f t="shared" si="1026"/>
        <v>G7 to G8</v>
      </c>
      <c r="D4071" s="1409">
        <f t="shared" si="1027"/>
        <v>1</v>
      </c>
      <c r="E4071" s="1409">
        <f t="shared" si="1027"/>
        <v>1</v>
      </c>
      <c r="F4071" s="1410">
        <f t="shared" si="1027"/>
        <v>4.13</v>
      </c>
      <c r="G4071" s="1410">
        <f t="shared" si="1027"/>
        <v>0.23</v>
      </c>
      <c r="H4071" s="1411"/>
      <c r="I4071" s="1406">
        <f t="shared" si="1029"/>
        <v>0.94989999999999997</v>
      </c>
      <c r="L4071" s="1413"/>
      <c r="M4071" s="1474"/>
      <c r="Q4071" s="1394">
        <f>IFERROR(VLOOKUP(M4071,#REF!,3,0),0)</f>
        <v>0</v>
      </c>
      <c r="R4071" s="1394">
        <f t="shared" si="1016"/>
        <v>0</v>
      </c>
      <c r="S4071" s="1394">
        <f>IFERROR(VLOOKUP(M4071,#REF!,6,0),0)</f>
        <v>0</v>
      </c>
      <c r="T4071" s="1394">
        <f t="shared" si="1023"/>
        <v>0</v>
      </c>
      <c r="U4071" s="1394">
        <f>IFERROR(VLOOKUP(M4071,#REF!,5,0),0)</f>
        <v>0</v>
      </c>
      <c r="V4071" s="1394">
        <f t="shared" si="1024"/>
        <v>0</v>
      </c>
      <c r="W4071" s="1394"/>
    </row>
    <row r="4072" spans="1:23" ht="30" customHeight="1">
      <c r="A4072" s="1396"/>
      <c r="B4072" s="1405"/>
      <c r="C4072" s="1408" t="str">
        <f t="shared" si="1026"/>
        <v>H3 To H8</v>
      </c>
      <c r="D4072" s="1409">
        <f t="shared" si="1027"/>
        <v>1</v>
      </c>
      <c r="E4072" s="1409">
        <f t="shared" si="1027"/>
        <v>1</v>
      </c>
      <c r="F4072" s="1410">
        <f t="shared" si="1027"/>
        <v>15.649999999999999</v>
      </c>
      <c r="G4072" s="1410">
        <f t="shared" si="1027"/>
        <v>0.23</v>
      </c>
      <c r="H4072" s="1411"/>
      <c r="I4072" s="1406">
        <f t="shared" si="1029"/>
        <v>3.5994999999999999</v>
      </c>
      <c r="L4072" s="1413"/>
      <c r="M4072" s="1474"/>
      <c r="Q4072" s="1394">
        <f>IFERROR(VLOOKUP(M4072,#REF!,3,0),0)</f>
        <v>0</v>
      </c>
      <c r="R4072" s="1394">
        <f t="shared" si="1016"/>
        <v>0</v>
      </c>
      <c r="S4072" s="1394">
        <f>IFERROR(VLOOKUP(M4072,#REF!,6,0),0)</f>
        <v>0</v>
      </c>
      <c r="T4072" s="1394">
        <f t="shared" si="1023"/>
        <v>0</v>
      </c>
      <c r="U4072" s="1394">
        <f>IFERROR(VLOOKUP(M4072,#REF!,5,0),0)</f>
        <v>0</v>
      </c>
      <c r="V4072" s="1394">
        <f t="shared" si="1024"/>
        <v>0</v>
      </c>
      <c r="W4072" s="1394"/>
    </row>
    <row r="4073" spans="1:23" ht="30" customHeight="1">
      <c r="A4073" s="1396"/>
      <c r="B4073" s="1405"/>
      <c r="C4073" s="1408" t="str">
        <f t="shared" si="1026"/>
        <v>D1 to D3 , F1 to F3</v>
      </c>
      <c r="D4073" s="1409">
        <f t="shared" si="1027"/>
        <v>1</v>
      </c>
      <c r="E4073" s="1409">
        <f t="shared" si="1027"/>
        <v>2</v>
      </c>
      <c r="F4073" s="1410">
        <f t="shared" si="1027"/>
        <v>4.6899999999999995</v>
      </c>
      <c r="G4073" s="1410">
        <f t="shared" si="1027"/>
        <v>0.23</v>
      </c>
      <c r="H4073" s="1411"/>
      <c r="I4073" s="1406">
        <f t="shared" si="1029"/>
        <v>2.1574</v>
      </c>
      <c r="L4073" s="1413"/>
      <c r="M4073" s="1474"/>
      <c r="Q4073" s="1394">
        <f>IFERROR(VLOOKUP(M4073,#REF!,3,0),0)</f>
        <v>0</v>
      </c>
      <c r="R4073" s="1394">
        <f t="shared" si="1016"/>
        <v>0</v>
      </c>
      <c r="S4073" s="1394">
        <f>IFERROR(VLOOKUP(M4073,#REF!,6,0),0)</f>
        <v>0</v>
      </c>
      <c r="T4073" s="1394">
        <f t="shared" si="1023"/>
        <v>0</v>
      </c>
      <c r="U4073" s="1394">
        <f>IFERROR(VLOOKUP(M4073,#REF!,5,0),0)</f>
        <v>0</v>
      </c>
      <c r="V4073" s="1394">
        <f t="shared" si="1024"/>
        <v>0</v>
      </c>
      <c r="W4073" s="1394"/>
    </row>
    <row r="4074" spans="1:23" ht="30" customHeight="1">
      <c r="A4074" s="1396"/>
      <c r="B4074" s="1405"/>
      <c r="C4074" s="1408" t="str">
        <f t="shared" si="1026"/>
        <v>Cross beams</v>
      </c>
      <c r="D4074" s="1409">
        <f t="shared" si="1027"/>
        <v>1</v>
      </c>
      <c r="E4074" s="1409">
        <f t="shared" si="1027"/>
        <v>1</v>
      </c>
      <c r="F4074" s="1410">
        <f t="shared" si="1027"/>
        <v>2.77</v>
      </c>
      <c r="G4074" s="1410">
        <f t="shared" si="1027"/>
        <v>0.23</v>
      </c>
      <c r="H4074" s="1411"/>
      <c r="I4074" s="1406">
        <f t="shared" si="1029"/>
        <v>0.6371</v>
      </c>
      <c r="L4074" s="1413"/>
      <c r="M4074" s="1474"/>
      <c r="Q4074" s="1394">
        <f>IFERROR(VLOOKUP(M4074,#REF!,3,0),0)</f>
        <v>0</v>
      </c>
      <c r="R4074" s="1394">
        <f t="shared" si="1016"/>
        <v>0</v>
      </c>
      <c r="S4074" s="1394">
        <f>IFERROR(VLOOKUP(M4074,#REF!,6,0),0)</f>
        <v>0</v>
      </c>
      <c r="T4074" s="1394">
        <f t="shared" si="1023"/>
        <v>0</v>
      </c>
      <c r="U4074" s="1394">
        <f>IFERROR(VLOOKUP(M4074,#REF!,5,0),0)</f>
        <v>0</v>
      </c>
      <c r="V4074" s="1394">
        <f t="shared" si="1024"/>
        <v>0</v>
      </c>
      <c r="W4074" s="1394"/>
    </row>
    <row r="4075" spans="1:23" ht="30" customHeight="1">
      <c r="A4075" s="1396"/>
      <c r="B4075" s="1405"/>
      <c r="C4075" s="1408">
        <f t="shared" ref="C4075:H4077" si="1030">C694</f>
        <v>0</v>
      </c>
      <c r="D4075" s="1409">
        <f t="shared" si="1030"/>
        <v>0</v>
      </c>
      <c r="E4075" s="1409">
        <f t="shared" si="1030"/>
        <v>0</v>
      </c>
      <c r="F4075" s="1410">
        <f t="shared" si="1030"/>
        <v>0</v>
      </c>
      <c r="G4075" s="1410">
        <f t="shared" si="1030"/>
        <v>0</v>
      </c>
      <c r="H4075" s="1411">
        <f t="shared" si="1030"/>
        <v>0</v>
      </c>
      <c r="I4075" s="1406">
        <f t="shared" si="1029"/>
        <v>0</v>
      </c>
      <c r="L4075" s="1413"/>
      <c r="M4075" s="1474"/>
      <c r="Q4075" s="1394">
        <f>IFERROR(VLOOKUP(M4075,#REF!,3,0),0)</f>
        <v>0</v>
      </c>
      <c r="R4075" s="1394">
        <f t="shared" si="1016"/>
        <v>0</v>
      </c>
      <c r="S4075" s="1394">
        <f>IFERROR(VLOOKUP(M4075,#REF!,6,0),0)</f>
        <v>0</v>
      </c>
      <c r="T4075" s="1394">
        <f t="shared" si="1023"/>
        <v>0</v>
      </c>
      <c r="U4075" s="1394">
        <f>IFERROR(VLOOKUP(M4075,#REF!,5,0),0)</f>
        <v>0</v>
      </c>
      <c r="V4075" s="1394">
        <f t="shared" si="1024"/>
        <v>0</v>
      </c>
      <c r="W4075" s="1394"/>
    </row>
    <row r="4076" spans="1:23" ht="30" customHeight="1">
      <c r="A4076" s="1396"/>
      <c r="B4076" s="1405"/>
      <c r="C4076" s="1408">
        <f t="shared" si="1030"/>
        <v>0</v>
      </c>
      <c r="D4076" s="1409">
        <f t="shared" si="1030"/>
        <v>0</v>
      </c>
      <c r="E4076" s="1409">
        <f t="shared" si="1030"/>
        <v>0</v>
      </c>
      <c r="F4076" s="1410">
        <f t="shared" si="1030"/>
        <v>0</v>
      </c>
      <c r="G4076" s="1410">
        <f t="shared" si="1030"/>
        <v>0</v>
      </c>
      <c r="H4076" s="1411">
        <f t="shared" si="1030"/>
        <v>0</v>
      </c>
      <c r="I4076" s="1406">
        <f t="shared" si="1029"/>
        <v>0</v>
      </c>
      <c r="J4076" s="1397"/>
      <c r="K4076" s="1397"/>
      <c r="L4076" s="1413"/>
      <c r="M4076" s="1474"/>
      <c r="Q4076" s="1394">
        <f>IFERROR(VLOOKUP(M4076,#REF!,3,0),0)</f>
        <v>0</v>
      </c>
      <c r="R4076" s="1394">
        <f t="shared" si="1016"/>
        <v>0</v>
      </c>
      <c r="S4076" s="1394">
        <f>IFERROR(VLOOKUP(M4076,#REF!,6,0),0)</f>
        <v>0</v>
      </c>
      <c r="T4076" s="1394">
        <f t="shared" si="1023"/>
        <v>0</v>
      </c>
      <c r="U4076" s="1394">
        <f>IFERROR(VLOOKUP(M4076,#REF!,5,0),0)</f>
        <v>0</v>
      </c>
      <c r="V4076" s="1394">
        <f t="shared" si="1024"/>
        <v>0</v>
      </c>
      <c r="W4076" s="1394"/>
    </row>
    <row r="4077" spans="1:23" ht="30" customHeight="1">
      <c r="A4077" s="1396"/>
      <c r="B4077" s="1405"/>
      <c r="C4077" s="1408" t="str">
        <f t="shared" si="1030"/>
        <v>Roof Slab</v>
      </c>
      <c r="D4077" s="1409">
        <f t="shared" si="1030"/>
        <v>0</v>
      </c>
      <c r="E4077" s="1409">
        <f t="shared" si="1030"/>
        <v>0</v>
      </c>
      <c r="F4077" s="1410">
        <f t="shared" si="1030"/>
        <v>0</v>
      </c>
      <c r="G4077" s="1410">
        <f t="shared" si="1030"/>
        <v>0</v>
      </c>
      <c r="H4077" s="1411">
        <f t="shared" si="1030"/>
        <v>0</v>
      </c>
      <c r="I4077" s="1406">
        <f t="shared" si="1029"/>
        <v>0</v>
      </c>
      <c r="J4077" s="1397"/>
      <c r="K4077" s="1397"/>
      <c r="L4077" s="1413"/>
      <c r="M4077" s="1474"/>
      <c r="Q4077" s="1394">
        <f>IFERROR(VLOOKUP(M4077,#REF!,3,0),0)</f>
        <v>0</v>
      </c>
      <c r="R4077" s="1394">
        <f t="shared" si="1016"/>
        <v>0</v>
      </c>
      <c r="S4077" s="1394">
        <f>IFERROR(VLOOKUP(M4077,#REF!,6,0),0)</f>
        <v>0</v>
      </c>
      <c r="T4077" s="1394">
        <f t="shared" si="1023"/>
        <v>0</v>
      </c>
      <c r="U4077" s="1394">
        <f>IFERROR(VLOOKUP(M4077,#REF!,5,0),0)</f>
        <v>0</v>
      </c>
      <c r="V4077" s="1394">
        <f t="shared" si="1024"/>
        <v>0</v>
      </c>
      <c r="W4077" s="1394"/>
    </row>
    <row r="4078" spans="1:23" ht="30" customHeight="1">
      <c r="B4078" s="1405"/>
      <c r="C4078" s="1415" t="str">
        <f t="shared" ref="C4078:G4087" si="1031">C697</f>
        <v>SI Room Below Roof</v>
      </c>
      <c r="D4078" s="1409">
        <f t="shared" si="1031"/>
        <v>1</v>
      </c>
      <c r="E4078" s="1409">
        <f t="shared" si="1031"/>
        <v>1</v>
      </c>
      <c r="F4078" s="1410">
        <f t="shared" si="1031"/>
        <v>4</v>
      </c>
      <c r="G4078" s="1410">
        <f t="shared" si="1031"/>
        <v>5.0999999999999996</v>
      </c>
      <c r="H4078" s="1411"/>
      <c r="I4078" s="1406">
        <f t="shared" si="1029"/>
        <v>20.399999999999999</v>
      </c>
      <c r="Q4078" s="1394">
        <f>IFERROR(VLOOKUP(M4078,#REF!,3,0),0)</f>
        <v>0</v>
      </c>
      <c r="R4078" s="1394">
        <f t="shared" ref="R4078:R4141" si="1032">ROUND(O4078,2)*ROUND(Q4078,2)</f>
        <v>0</v>
      </c>
      <c r="S4078" s="1394">
        <f>IFERROR(VLOOKUP(M4078,#REF!,6,0),0)</f>
        <v>0</v>
      </c>
      <c r="T4078" s="1394">
        <f t="shared" si="1023"/>
        <v>0</v>
      </c>
      <c r="U4078" s="1394">
        <f>IFERROR(VLOOKUP(M4078,#REF!,5,0),0)</f>
        <v>0</v>
      </c>
      <c r="V4078" s="1394">
        <f t="shared" si="1024"/>
        <v>0</v>
      </c>
      <c r="W4078" s="1394"/>
    </row>
    <row r="4079" spans="1:23" ht="30" customHeight="1">
      <c r="B4079" s="1405"/>
      <c r="C4079" s="1408" t="str">
        <f t="shared" si="1031"/>
        <v>SI Room Toilet Below Roof</v>
      </c>
      <c r="D4079" s="1409">
        <f t="shared" si="1031"/>
        <v>1</v>
      </c>
      <c r="E4079" s="1409">
        <f t="shared" si="1031"/>
        <v>1</v>
      </c>
      <c r="F4079" s="1410">
        <f t="shared" si="1031"/>
        <v>4</v>
      </c>
      <c r="G4079" s="1410">
        <f t="shared" si="1031"/>
        <v>1.5</v>
      </c>
      <c r="H4079" s="1410"/>
      <c r="I4079" s="1406">
        <f t="shared" si="1029"/>
        <v>6</v>
      </c>
      <c r="Q4079" s="1394">
        <f>IFERROR(VLOOKUP(M4079,#REF!,3,0),0)</f>
        <v>0</v>
      </c>
      <c r="R4079" s="1394">
        <f t="shared" si="1032"/>
        <v>0</v>
      </c>
      <c r="S4079" s="1394">
        <f>IFERROR(VLOOKUP(M4079,#REF!,6,0),0)</f>
        <v>0</v>
      </c>
      <c r="T4079" s="1394">
        <f t="shared" si="1023"/>
        <v>0</v>
      </c>
      <c r="U4079" s="1394">
        <f>IFERROR(VLOOKUP(M4079,#REF!,5,0),0)</f>
        <v>0</v>
      </c>
      <c r="V4079" s="1394">
        <f t="shared" si="1024"/>
        <v>0</v>
      </c>
      <c r="W4079" s="1394"/>
    </row>
    <row r="4080" spans="1:23" ht="30" customHeight="1">
      <c r="B4080" s="1405"/>
      <c r="C4080" s="1408" t="str">
        <f t="shared" si="1031"/>
        <v>Lock up Women Below Roof</v>
      </c>
      <c r="D4080" s="1409">
        <f t="shared" si="1031"/>
        <v>1</v>
      </c>
      <c r="E4080" s="1409">
        <f t="shared" si="1031"/>
        <v>1</v>
      </c>
      <c r="F4080" s="1410">
        <f t="shared" si="1031"/>
        <v>4</v>
      </c>
      <c r="G4080" s="1410">
        <f t="shared" si="1031"/>
        <v>2.5</v>
      </c>
      <c r="H4080" s="1410"/>
      <c r="I4080" s="1406">
        <f t="shared" si="1029"/>
        <v>10</v>
      </c>
      <c r="Q4080" s="1394">
        <f>IFERROR(VLOOKUP(M4080,#REF!,3,0),0)</f>
        <v>0</v>
      </c>
      <c r="R4080" s="1394">
        <f t="shared" si="1032"/>
        <v>0</v>
      </c>
      <c r="S4080" s="1394">
        <f>IFERROR(VLOOKUP(M4080,#REF!,6,0),0)</f>
        <v>0</v>
      </c>
      <c r="T4080" s="1394">
        <f t="shared" si="1023"/>
        <v>0</v>
      </c>
      <c r="U4080" s="1394">
        <f>IFERROR(VLOOKUP(M4080,#REF!,5,0),0)</f>
        <v>0</v>
      </c>
      <c r="V4080" s="1394">
        <f t="shared" si="1024"/>
        <v>0</v>
      </c>
      <c r="W4080" s="1394"/>
    </row>
    <row r="4081" spans="2:23" ht="30" customHeight="1">
      <c r="B4081" s="1405"/>
      <c r="C4081" s="1408" t="str">
        <f t="shared" si="1031"/>
        <v>CD Files/Store Below Roof</v>
      </c>
      <c r="D4081" s="1409">
        <f t="shared" si="1031"/>
        <v>1</v>
      </c>
      <c r="E4081" s="1409">
        <f t="shared" si="1031"/>
        <v>1</v>
      </c>
      <c r="F4081" s="1410">
        <f t="shared" si="1031"/>
        <v>4</v>
      </c>
      <c r="G4081" s="1410">
        <f t="shared" si="1031"/>
        <v>3.9</v>
      </c>
      <c r="H4081" s="1410"/>
      <c r="I4081" s="1406">
        <f t="shared" si="1029"/>
        <v>15.6</v>
      </c>
      <c r="Q4081" s="1394">
        <f>IFERROR(VLOOKUP(M4081,#REF!,3,0),0)</f>
        <v>0</v>
      </c>
      <c r="R4081" s="1394">
        <f t="shared" si="1032"/>
        <v>0</v>
      </c>
      <c r="S4081" s="1394">
        <f>IFERROR(VLOOKUP(M4081,#REF!,6,0),0)</f>
        <v>0</v>
      </c>
      <c r="T4081" s="1394">
        <f t="shared" si="1023"/>
        <v>0</v>
      </c>
      <c r="U4081" s="1394">
        <f>IFERROR(VLOOKUP(M4081,#REF!,5,0),0)</f>
        <v>0</v>
      </c>
      <c r="V4081" s="1394">
        <f t="shared" si="1024"/>
        <v>0</v>
      </c>
      <c r="W4081" s="1394"/>
    </row>
    <row r="4082" spans="2:23" ht="30" customHeight="1">
      <c r="B4082" s="1405"/>
      <c r="C4082" s="1408" t="str">
        <f t="shared" si="1031"/>
        <v>Toilet Below Roof</v>
      </c>
      <c r="D4082" s="1409">
        <f t="shared" si="1031"/>
        <v>1</v>
      </c>
      <c r="E4082" s="1409">
        <f t="shared" si="1031"/>
        <v>1</v>
      </c>
      <c r="F4082" s="1410">
        <f t="shared" si="1031"/>
        <v>1.5</v>
      </c>
      <c r="G4082" s="1410">
        <f t="shared" si="1031"/>
        <v>3.9</v>
      </c>
      <c r="H4082" s="1410"/>
      <c r="I4082" s="1406">
        <f t="shared" si="1029"/>
        <v>5.85</v>
      </c>
      <c r="Q4082" s="1394">
        <f>IFERROR(VLOOKUP(M4082,#REF!,3,0),0)</f>
        <v>0</v>
      </c>
      <c r="R4082" s="1394">
        <f t="shared" si="1032"/>
        <v>0</v>
      </c>
      <c r="S4082" s="1394">
        <f>IFERROR(VLOOKUP(M4082,#REF!,6,0),0)</f>
        <v>0</v>
      </c>
      <c r="T4082" s="1394">
        <f t="shared" si="1023"/>
        <v>0</v>
      </c>
      <c r="U4082" s="1394">
        <f>IFERROR(VLOOKUP(M4082,#REF!,5,0),0)</f>
        <v>0</v>
      </c>
      <c r="V4082" s="1394">
        <f t="shared" si="1024"/>
        <v>0</v>
      </c>
      <c r="W4082" s="1394"/>
    </row>
    <row r="4083" spans="2:23" ht="30" customHeight="1">
      <c r="B4083" s="1405"/>
      <c r="C4083" s="1408" t="str">
        <f t="shared" si="1031"/>
        <v>Computer / CCTNS Below Roof</v>
      </c>
      <c r="D4083" s="1409">
        <f t="shared" si="1031"/>
        <v>1</v>
      </c>
      <c r="E4083" s="1409">
        <f t="shared" si="1031"/>
        <v>1</v>
      </c>
      <c r="F4083" s="1410">
        <f t="shared" si="1031"/>
        <v>3.6949999999999998</v>
      </c>
      <c r="G4083" s="1410">
        <f t="shared" si="1031"/>
        <v>3.9</v>
      </c>
      <c r="H4083" s="1410"/>
      <c r="I4083" s="1406">
        <f t="shared" si="1029"/>
        <v>14.410499999999999</v>
      </c>
      <c r="Q4083" s="1394">
        <f>IFERROR(VLOOKUP(M4083,#REF!,3,0),0)</f>
        <v>0</v>
      </c>
      <c r="R4083" s="1394">
        <f t="shared" si="1032"/>
        <v>0</v>
      </c>
      <c r="S4083" s="1394">
        <f>IFERROR(VLOOKUP(M4083,#REF!,6,0),0)</f>
        <v>0</v>
      </c>
      <c r="T4083" s="1394">
        <f t="shared" si="1023"/>
        <v>0</v>
      </c>
      <c r="U4083" s="1394">
        <f>IFERROR(VLOOKUP(M4083,#REF!,5,0),0)</f>
        <v>0</v>
      </c>
      <c r="V4083" s="1394">
        <f t="shared" si="1024"/>
        <v>0</v>
      </c>
      <c r="W4083" s="1394"/>
    </row>
    <row r="4084" spans="2:23" ht="30" customHeight="1">
      <c r="B4084" s="1405"/>
      <c r="C4084" s="1408" t="str">
        <f t="shared" si="1031"/>
        <v>Station Writer Below Roof</v>
      </c>
      <c r="D4084" s="1409">
        <f t="shared" si="1031"/>
        <v>1</v>
      </c>
      <c r="E4084" s="1409">
        <f t="shared" si="1031"/>
        <v>1</v>
      </c>
      <c r="F4084" s="1410">
        <f t="shared" si="1031"/>
        <v>2.5</v>
      </c>
      <c r="G4084" s="1410">
        <f t="shared" si="1031"/>
        <v>3.9</v>
      </c>
      <c r="H4084" s="1410"/>
      <c r="I4084" s="1406">
        <f t="shared" si="1029"/>
        <v>9.75</v>
      </c>
      <c r="Q4084" s="1394">
        <f>IFERROR(VLOOKUP(M4084,#REF!,3,0),0)</f>
        <v>0</v>
      </c>
      <c r="R4084" s="1394">
        <f t="shared" si="1032"/>
        <v>0</v>
      </c>
      <c r="S4084" s="1394">
        <f>IFERROR(VLOOKUP(M4084,#REF!,6,0),0)</f>
        <v>0</v>
      </c>
      <c r="T4084" s="1394">
        <f t="shared" si="1023"/>
        <v>0</v>
      </c>
      <c r="U4084" s="1394">
        <f>IFERROR(VLOOKUP(M4084,#REF!,5,0),0)</f>
        <v>0</v>
      </c>
      <c r="V4084" s="1394">
        <f t="shared" si="1024"/>
        <v>0</v>
      </c>
      <c r="W4084" s="1394"/>
    </row>
    <row r="4085" spans="2:23" ht="30" customHeight="1">
      <c r="B4085" s="1405"/>
      <c r="C4085" s="1408" t="str">
        <f t="shared" si="1031"/>
        <v>Arms Ammunication Below Roof</v>
      </c>
      <c r="D4085" s="1409">
        <f t="shared" si="1031"/>
        <v>1</v>
      </c>
      <c r="E4085" s="1409">
        <f t="shared" si="1031"/>
        <v>1</v>
      </c>
      <c r="F4085" s="1410">
        <f t="shared" si="1031"/>
        <v>1.7350000000000001</v>
      </c>
      <c r="G4085" s="1410">
        <f t="shared" si="1031"/>
        <v>2.3199999999999998</v>
      </c>
      <c r="H4085" s="1410"/>
      <c r="I4085" s="1406">
        <f t="shared" si="1029"/>
        <v>4.0251999999999999</v>
      </c>
      <c r="M4085" s="110"/>
      <c r="Q4085" s="1394">
        <f>IFERROR(VLOOKUP(M4085,#REF!,3,0),0)</f>
        <v>0</v>
      </c>
      <c r="R4085" s="1394">
        <f t="shared" si="1032"/>
        <v>0</v>
      </c>
      <c r="S4085" s="1394">
        <f>IFERROR(VLOOKUP(M4085,#REF!,6,0),0)</f>
        <v>0</v>
      </c>
      <c r="T4085" s="1394">
        <f t="shared" si="1023"/>
        <v>0</v>
      </c>
      <c r="U4085" s="1394">
        <f>IFERROR(VLOOKUP(M4085,#REF!,5,0),0)</f>
        <v>0</v>
      </c>
      <c r="V4085" s="1394">
        <f t="shared" si="1024"/>
        <v>0</v>
      </c>
      <c r="W4085" s="1394"/>
    </row>
    <row r="4086" spans="2:23" ht="30" customHeight="1">
      <c r="B4086" s="1405"/>
      <c r="C4086" s="1408" t="str">
        <f t="shared" si="1031"/>
        <v>Arms Ammunication Below Roof</v>
      </c>
      <c r="D4086" s="1409">
        <f t="shared" si="1031"/>
        <v>1</v>
      </c>
      <c r="E4086" s="1409">
        <f t="shared" si="1031"/>
        <v>1</v>
      </c>
      <c r="F4086" s="1410">
        <f t="shared" si="1031"/>
        <v>1.7350000000000001</v>
      </c>
      <c r="G4086" s="1410">
        <f t="shared" si="1031"/>
        <v>1.35</v>
      </c>
      <c r="H4086" s="1410"/>
      <c r="I4086" s="1406">
        <f t="shared" si="1029"/>
        <v>2.3422500000000004</v>
      </c>
      <c r="M4086" s="110"/>
      <c r="Q4086" s="1394">
        <f>IFERROR(VLOOKUP(M4086,#REF!,3,0),0)</f>
        <v>0</v>
      </c>
      <c r="R4086" s="1394">
        <f t="shared" si="1032"/>
        <v>0</v>
      </c>
      <c r="S4086" s="1394">
        <f>IFERROR(VLOOKUP(M4086,#REF!,6,0),0)</f>
        <v>0</v>
      </c>
      <c r="T4086" s="1394">
        <f t="shared" si="1023"/>
        <v>0</v>
      </c>
      <c r="U4086" s="1394">
        <f>IFERROR(VLOOKUP(M4086,#REF!,5,0),0)</f>
        <v>0</v>
      </c>
      <c r="V4086" s="1394">
        <f t="shared" si="1024"/>
        <v>0</v>
      </c>
      <c r="W4086" s="1394"/>
    </row>
    <row r="4087" spans="2:23" ht="30" customHeight="1">
      <c r="B4087" s="1405"/>
      <c r="C4087" s="1408" t="str">
        <f t="shared" si="1031"/>
        <v>Property Record Below Roof</v>
      </c>
      <c r="D4087" s="1409">
        <f t="shared" si="1031"/>
        <v>1</v>
      </c>
      <c r="E4087" s="1409">
        <f t="shared" si="1031"/>
        <v>1</v>
      </c>
      <c r="F4087" s="1410">
        <f t="shared" si="1031"/>
        <v>3.7650000000000001</v>
      </c>
      <c r="G4087" s="1410">
        <f t="shared" si="1031"/>
        <v>2.4350000000000001</v>
      </c>
      <c r="H4087" s="1410"/>
      <c r="I4087" s="1406">
        <f t="shared" si="1029"/>
        <v>9.1677750000000007</v>
      </c>
      <c r="M4087" s="110"/>
      <c r="Q4087" s="1394">
        <f>IFERROR(VLOOKUP(M4087,#REF!,3,0),0)</f>
        <v>0</v>
      </c>
      <c r="R4087" s="1394">
        <f t="shared" si="1032"/>
        <v>0</v>
      </c>
      <c r="S4087" s="1394">
        <f>IFERROR(VLOOKUP(M4087,#REF!,6,0),0)</f>
        <v>0</v>
      </c>
      <c r="T4087" s="1394">
        <f t="shared" si="1023"/>
        <v>0</v>
      </c>
      <c r="U4087" s="1394">
        <f>IFERROR(VLOOKUP(M4087,#REF!,5,0),0)</f>
        <v>0</v>
      </c>
      <c r="V4087" s="1394">
        <f t="shared" si="1024"/>
        <v>0</v>
      </c>
      <c r="W4087" s="1394"/>
    </row>
    <row r="4088" spans="2:23" ht="30" customHeight="1">
      <c r="B4088" s="1405"/>
      <c r="C4088" s="1408" t="str">
        <f t="shared" ref="C4088:G4097" si="1033">C707</f>
        <v>Toilet Below Roof</v>
      </c>
      <c r="D4088" s="1409">
        <f t="shared" si="1033"/>
        <v>1</v>
      </c>
      <c r="E4088" s="1409">
        <f t="shared" si="1033"/>
        <v>1</v>
      </c>
      <c r="F4088" s="1410">
        <f t="shared" si="1033"/>
        <v>3.7650000000000001</v>
      </c>
      <c r="G4088" s="1410">
        <f t="shared" si="1033"/>
        <v>1.2350000000000001</v>
      </c>
      <c r="H4088" s="1410"/>
      <c r="I4088" s="1406">
        <f t="shared" si="1029"/>
        <v>4.6497750000000009</v>
      </c>
      <c r="M4088" s="110"/>
      <c r="Q4088" s="1394">
        <f>IFERROR(VLOOKUP(M4088,#REF!,3,0),0)</f>
        <v>0</v>
      </c>
      <c r="R4088" s="1394">
        <f t="shared" si="1032"/>
        <v>0</v>
      </c>
      <c r="S4088" s="1394">
        <f>IFERROR(VLOOKUP(M4088,#REF!,6,0),0)</f>
        <v>0</v>
      </c>
      <c r="T4088" s="1394">
        <f t="shared" si="1023"/>
        <v>0</v>
      </c>
      <c r="U4088" s="1394">
        <f>IFERROR(VLOOKUP(M4088,#REF!,5,0),0)</f>
        <v>0</v>
      </c>
      <c r="V4088" s="1394">
        <f t="shared" si="1024"/>
        <v>0</v>
      </c>
      <c r="W4088" s="1394"/>
    </row>
    <row r="4089" spans="2:23" ht="30" customHeight="1">
      <c r="B4089" s="1405"/>
      <c r="C4089" s="1408" t="str">
        <f t="shared" si="1033"/>
        <v>Lock up Men Below Roof</v>
      </c>
      <c r="D4089" s="1409">
        <f t="shared" si="1033"/>
        <v>1</v>
      </c>
      <c r="E4089" s="1409">
        <f t="shared" si="1033"/>
        <v>1</v>
      </c>
      <c r="F4089" s="1410">
        <f t="shared" si="1033"/>
        <v>4</v>
      </c>
      <c r="G4089" s="1410">
        <f t="shared" si="1033"/>
        <v>2.5499999999999998</v>
      </c>
      <c r="H4089" s="1410"/>
      <c r="I4089" s="1406">
        <f t="shared" si="1029"/>
        <v>10.199999999999999</v>
      </c>
      <c r="M4089" s="110"/>
      <c r="Q4089" s="1394">
        <f>IFERROR(VLOOKUP(M4089,#REF!,3,0),0)</f>
        <v>0</v>
      </c>
      <c r="R4089" s="1394">
        <f t="shared" si="1032"/>
        <v>0</v>
      </c>
      <c r="S4089" s="1394">
        <f>IFERROR(VLOOKUP(M4089,#REF!,6,0),0)</f>
        <v>0</v>
      </c>
      <c r="T4089" s="1394">
        <f t="shared" si="1023"/>
        <v>0</v>
      </c>
      <c r="U4089" s="1394">
        <f>IFERROR(VLOOKUP(M4089,#REF!,5,0),0)</f>
        <v>0</v>
      </c>
      <c r="V4089" s="1394">
        <f t="shared" si="1024"/>
        <v>0</v>
      </c>
      <c r="W4089" s="1394"/>
    </row>
    <row r="4090" spans="2:23" ht="30" customHeight="1">
      <c r="B4090" s="1405"/>
      <c r="C4090" s="1408" t="str">
        <f t="shared" si="1033"/>
        <v>INS Room Below Roof</v>
      </c>
      <c r="D4090" s="1409">
        <f t="shared" si="1033"/>
        <v>1</v>
      </c>
      <c r="E4090" s="1409">
        <f t="shared" si="1033"/>
        <v>1</v>
      </c>
      <c r="F4090" s="1410">
        <f t="shared" si="1033"/>
        <v>4</v>
      </c>
      <c r="G4090" s="1410">
        <f t="shared" si="1033"/>
        <v>5.0999999999999996</v>
      </c>
      <c r="H4090" s="1410"/>
      <c r="I4090" s="1406">
        <f t="shared" si="1029"/>
        <v>20.399999999999999</v>
      </c>
      <c r="M4090" s="110"/>
      <c r="Q4090" s="1394">
        <f>IFERROR(VLOOKUP(M4090,#REF!,3,0),0)</f>
        <v>0</v>
      </c>
      <c r="R4090" s="1394">
        <f t="shared" si="1032"/>
        <v>0</v>
      </c>
      <c r="S4090" s="1394">
        <f>IFERROR(VLOOKUP(M4090,#REF!,6,0),0)</f>
        <v>0</v>
      </c>
      <c r="T4090" s="1394">
        <f t="shared" si="1023"/>
        <v>0</v>
      </c>
      <c r="U4090" s="1394">
        <f>IFERROR(VLOOKUP(M4090,#REF!,5,0),0)</f>
        <v>0</v>
      </c>
      <c r="V4090" s="1394">
        <f t="shared" si="1024"/>
        <v>0</v>
      </c>
      <c r="W4090" s="1394"/>
    </row>
    <row r="4091" spans="2:23" ht="30" customHeight="1">
      <c r="B4091" s="1405"/>
      <c r="C4091" s="1408" t="str">
        <f t="shared" si="1033"/>
        <v>INS Room Toilet Below Roof</v>
      </c>
      <c r="D4091" s="1409">
        <f t="shared" si="1033"/>
        <v>1</v>
      </c>
      <c r="E4091" s="1409">
        <f t="shared" si="1033"/>
        <v>1</v>
      </c>
      <c r="F4091" s="1410">
        <f t="shared" si="1033"/>
        <v>4</v>
      </c>
      <c r="G4091" s="1410">
        <f t="shared" si="1033"/>
        <v>1.5</v>
      </c>
      <c r="H4091" s="1410"/>
      <c r="I4091" s="1406">
        <f t="shared" si="1029"/>
        <v>6</v>
      </c>
      <c r="M4091" s="110"/>
      <c r="Q4091" s="1394">
        <f>IFERROR(VLOOKUP(M4091,#REF!,3,0),0)</f>
        <v>0</v>
      </c>
      <c r="R4091" s="1394">
        <f t="shared" si="1032"/>
        <v>0</v>
      </c>
      <c r="S4091" s="1394">
        <f>IFERROR(VLOOKUP(M4091,#REF!,6,0),0)</f>
        <v>0</v>
      </c>
      <c r="T4091" s="1394">
        <f t="shared" si="1023"/>
        <v>0</v>
      </c>
      <c r="U4091" s="1394">
        <f>IFERROR(VLOOKUP(M4091,#REF!,5,0),0)</f>
        <v>0</v>
      </c>
      <c r="V4091" s="1394">
        <f t="shared" si="1024"/>
        <v>0</v>
      </c>
      <c r="W4091" s="1394"/>
    </row>
    <row r="4092" spans="2:23" ht="30" customHeight="1">
      <c r="B4092" s="1405"/>
      <c r="C4092" s="1408" t="str">
        <f t="shared" si="1033"/>
        <v>Writer Below Roof</v>
      </c>
      <c r="D4092" s="1409">
        <f t="shared" si="1033"/>
        <v>1</v>
      </c>
      <c r="E4092" s="1409">
        <f t="shared" si="1033"/>
        <v>1</v>
      </c>
      <c r="F4092" s="1410">
        <f t="shared" si="1033"/>
        <v>3</v>
      </c>
      <c r="G4092" s="1410">
        <f t="shared" si="1033"/>
        <v>5.3</v>
      </c>
      <c r="H4092" s="1410"/>
      <c r="I4092" s="1406">
        <f t="shared" si="1029"/>
        <v>15.899999999999999</v>
      </c>
      <c r="M4092" s="110"/>
      <c r="Q4092" s="1394">
        <f>IFERROR(VLOOKUP(M4092,#REF!,3,0),0)</f>
        <v>0</v>
      </c>
      <c r="R4092" s="1394">
        <f t="shared" si="1032"/>
        <v>0</v>
      </c>
      <c r="S4092" s="1394">
        <f>IFERROR(VLOOKUP(M4092,#REF!,6,0),0)</f>
        <v>0</v>
      </c>
      <c r="T4092" s="1394">
        <f t="shared" si="1023"/>
        <v>0</v>
      </c>
      <c r="U4092" s="1394">
        <f>IFERROR(VLOOKUP(M4092,#REF!,5,0),0)</f>
        <v>0</v>
      </c>
      <c r="V4092" s="1394">
        <f t="shared" si="1024"/>
        <v>0</v>
      </c>
      <c r="W4092" s="1394"/>
    </row>
    <row r="4093" spans="2:23" ht="30" customHeight="1">
      <c r="B4093" s="1405"/>
      <c r="C4093" s="1408" t="str">
        <f t="shared" si="1033"/>
        <v>Stair Case Lobby-1 Below Roof</v>
      </c>
      <c r="D4093" s="1409">
        <f t="shared" si="1033"/>
        <v>1</v>
      </c>
      <c r="E4093" s="1409">
        <f t="shared" si="1033"/>
        <v>1</v>
      </c>
      <c r="F4093" s="1410">
        <f t="shared" si="1033"/>
        <v>2.5249999999999999</v>
      </c>
      <c r="G4093" s="1410">
        <f t="shared" si="1033"/>
        <v>2.77</v>
      </c>
      <c r="H4093" s="1410"/>
      <c r="I4093" s="1406">
        <f t="shared" si="1029"/>
        <v>6.9942500000000001</v>
      </c>
      <c r="M4093" s="110"/>
      <c r="Q4093" s="1394">
        <f>IFERROR(VLOOKUP(M4093,#REF!,3,0),0)</f>
        <v>0</v>
      </c>
      <c r="R4093" s="1394">
        <f t="shared" si="1032"/>
        <v>0</v>
      </c>
      <c r="S4093" s="1394">
        <f>IFERROR(VLOOKUP(M4093,#REF!,6,0),0)</f>
        <v>0</v>
      </c>
      <c r="T4093" s="1394">
        <f t="shared" si="1023"/>
        <v>0</v>
      </c>
      <c r="U4093" s="1394">
        <f>IFERROR(VLOOKUP(M4093,#REF!,5,0),0)</f>
        <v>0</v>
      </c>
      <c r="V4093" s="1394">
        <f t="shared" si="1024"/>
        <v>0</v>
      </c>
      <c r="W4093" s="1394"/>
    </row>
    <row r="4094" spans="2:23" ht="30" customHeight="1">
      <c r="B4094" s="1405"/>
      <c r="C4094" s="1408" t="str">
        <f t="shared" si="1033"/>
        <v>Stair Case Lobby-1 Below Roof</v>
      </c>
      <c r="D4094" s="1409">
        <f t="shared" si="1033"/>
        <v>1</v>
      </c>
      <c r="E4094" s="1409">
        <f t="shared" si="1033"/>
        <v>1</v>
      </c>
      <c r="F4094" s="1410">
        <f t="shared" si="1033"/>
        <v>4.3250000000000002</v>
      </c>
      <c r="G4094" s="1410">
        <f t="shared" si="1033"/>
        <v>2.2999999999999998</v>
      </c>
      <c r="H4094" s="1410"/>
      <c r="I4094" s="1406">
        <f t="shared" si="1029"/>
        <v>9.9474999999999998</v>
      </c>
      <c r="M4094" s="110"/>
      <c r="Q4094" s="1394">
        <f>IFERROR(VLOOKUP(M4094,#REF!,3,0),0)</f>
        <v>0</v>
      </c>
      <c r="R4094" s="1394">
        <f t="shared" si="1032"/>
        <v>0</v>
      </c>
      <c r="S4094" s="1394">
        <f>IFERROR(VLOOKUP(M4094,#REF!,6,0),0)</f>
        <v>0</v>
      </c>
      <c r="T4094" s="1394">
        <f t="shared" si="1023"/>
        <v>0</v>
      </c>
      <c r="U4094" s="1394">
        <f>IFERROR(VLOOKUP(M4094,#REF!,5,0),0)</f>
        <v>0</v>
      </c>
      <c r="V4094" s="1394">
        <f t="shared" si="1024"/>
        <v>0</v>
      </c>
      <c r="W4094" s="1394"/>
    </row>
    <row r="4095" spans="2:23" ht="30" customHeight="1">
      <c r="B4095" s="1405"/>
      <c r="C4095" s="1408" t="str">
        <f t="shared" si="1033"/>
        <v>Hall Below Roof</v>
      </c>
      <c r="D4095" s="1409">
        <f t="shared" si="1033"/>
        <v>1</v>
      </c>
      <c r="E4095" s="1409">
        <f t="shared" si="1033"/>
        <v>1</v>
      </c>
      <c r="F4095" s="1410">
        <f t="shared" si="1033"/>
        <v>2.1</v>
      </c>
      <c r="G4095" s="1410">
        <f t="shared" si="1033"/>
        <v>5.76</v>
      </c>
      <c r="H4095" s="1410"/>
      <c r="I4095" s="1406">
        <f t="shared" si="1029"/>
        <v>12.096</v>
      </c>
      <c r="M4095" s="110"/>
      <c r="Q4095" s="1394">
        <f>IFERROR(VLOOKUP(M4095,#REF!,3,0),0)</f>
        <v>0</v>
      </c>
      <c r="R4095" s="1394">
        <f t="shared" si="1032"/>
        <v>0</v>
      </c>
      <c r="S4095" s="1394">
        <f>IFERROR(VLOOKUP(M4095,#REF!,6,0),0)</f>
        <v>0</v>
      </c>
      <c r="T4095" s="1394">
        <f t="shared" si="1023"/>
        <v>0</v>
      </c>
      <c r="U4095" s="1394">
        <f>IFERROR(VLOOKUP(M4095,#REF!,5,0),0)</f>
        <v>0</v>
      </c>
      <c r="V4095" s="1394">
        <f t="shared" si="1024"/>
        <v>0</v>
      </c>
      <c r="W4095" s="1394"/>
    </row>
    <row r="4096" spans="2:23" ht="30" customHeight="1">
      <c r="B4096" s="1405"/>
      <c r="C4096" s="1408" t="str">
        <f t="shared" si="1033"/>
        <v>Hall Below Roof</v>
      </c>
      <c r="D4096" s="1409">
        <f t="shared" si="1033"/>
        <v>1</v>
      </c>
      <c r="E4096" s="1409">
        <f t="shared" si="1033"/>
        <v>1</v>
      </c>
      <c r="F4096" s="1410">
        <f t="shared" si="1033"/>
        <v>4.3250000000000002</v>
      </c>
      <c r="G4096" s="1410">
        <f t="shared" si="1033"/>
        <v>5.76</v>
      </c>
      <c r="H4096" s="1410"/>
      <c r="I4096" s="1406">
        <f t="shared" si="1029"/>
        <v>24.911999999999999</v>
      </c>
      <c r="K4096" s="1408"/>
      <c r="M4096" s="110"/>
      <c r="Q4096" s="1394">
        <f>IFERROR(VLOOKUP(M4096,#REF!,3,0),0)</f>
        <v>0</v>
      </c>
      <c r="R4096" s="1394">
        <f t="shared" si="1032"/>
        <v>0</v>
      </c>
      <c r="S4096" s="1394">
        <f>IFERROR(VLOOKUP(M4096,#REF!,6,0),0)</f>
        <v>0</v>
      </c>
      <c r="T4096" s="1394">
        <f t="shared" si="1023"/>
        <v>0</v>
      </c>
      <c r="U4096" s="1394">
        <f>IFERROR(VLOOKUP(M4096,#REF!,5,0),0)</f>
        <v>0</v>
      </c>
      <c r="V4096" s="1394">
        <f t="shared" si="1024"/>
        <v>0</v>
      </c>
      <c r="W4096" s="1394"/>
    </row>
    <row r="4097" spans="2:23" ht="30" customHeight="1">
      <c r="B4097" s="1405"/>
      <c r="C4097" s="1408" t="str">
        <f t="shared" si="1033"/>
        <v>Hall Below Roof</v>
      </c>
      <c r="D4097" s="1409">
        <f t="shared" si="1033"/>
        <v>1</v>
      </c>
      <c r="E4097" s="1409">
        <f t="shared" si="1033"/>
        <v>1</v>
      </c>
      <c r="F4097" s="1410">
        <f t="shared" si="1033"/>
        <v>3</v>
      </c>
      <c r="G4097" s="1410">
        <f t="shared" si="1033"/>
        <v>5.76</v>
      </c>
      <c r="H4097" s="1410"/>
      <c r="I4097" s="1406">
        <f t="shared" si="1029"/>
        <v>17.28</v>
      </c>
      <c r="K4097" s="1408"/>
      <c r="M4097" s="110"/>
      <c r="Q4097" s="1394">
        <f>IFERROR(VLOOKUP(M4097,#REF!,3,0),0)</f>
        <v>0</v>
      </c>
      <c r="R4097" s="1394">
        <f t="shared" si="1032"/>
        <v>0</v>
      </c>
      <c r="S4097" s="1394">
        <f>IFERROR(VLOOKUP(M4097,#REF!,6,0),0)</f>
        <v>0</v>
      </c>
      <c r="T4097" s="1394">
        <f t="shared" si="1023"/>
        <v>0</v>
      </c>
      <c r="U4097" s="1394">
        <f>IFERROR(VLOOKUP(M4097,#REF!,5,0),0)</f>
        <v>0</v>
      </c>
      <c r="V4097" s="1394">
        <f t="shared" si="1024"/>
        <v>0</v>
      </c>
      <c r="W4097" s="1394"/>
    </row>
    <row r="4098" spans="2:23" ht="30" customHeight="1">
      <c r="B4098" s="1405"/>
      <c r="C4098" s="1408" t="str">
        <f t="shared" ref="C4098:G4104" si="1034">C717</f>
        <v>Portico</v>
      </c>
      <c r="D4098" s="1409">
        <f t="shared" si="1034"/>
        <v>1</v>
      </c>
      <c r="E4098" s="1409">
        <f t="shared" si="1034"/>
        <v>1</v>
      </c>
      <c r="F4098" s="1410">
        <f t="shared" si="1034"/>
        <v>3.4249999999999998</v>
      </c>
      <c r="G4098" s="1410">
        <f t="shared" si="1034"/>
        <v>3.6349999999999998</v>
      </c>
      <c r="H4098" s="1410"/>
      <c r="I4098" s="1406">
        <f t="shared" si="1029"/>
        <v>12.449874999999999</v>
      </c>
      <c r="K4098" s="1408"/>
      <c r="M4098" s="110"/>
      <c r="Q4098" s="1394">
        <f>IFERROR(VLOOKUP(M4098,#REF!,3,0),0)</f>
        <v>0</v>
      </c>
      <c r="R4098" s="1394">
        <f t="shared" si="1032"/>
        <v>0</v>
      </c>
      <c r="S4098" s="1394">
        <f>IFERROR(VLOOKUP(M4098,#REF!,6,0),0)</f>
        <v>0</v>
      </c>
      <c r="T4098" s="1394">
        <f t="shared" si="1023"/>
        <v>0</v>
      </c>
      <c r="U4098" s="1394">
        <f>IFERROR(VLOOKUP(M4098,#REF!,5,0),0)</f>
        <v>0</v>
      </c>
      <c r="V4098" s="1394">
        <f t="shared" si="1024"/>
        <v>0</v>
      </c>
      <c r="W4098" s="1394"/>
    </row>
    <row r="4099" spans="2:23" ht="30" customHeight="1">
      <c r="B4099" s="1405"/>
      <c r="C4099" s="1408" t="str">
        <f t="shared" si="1034"/>
        <v>Portico</v>
      </c>
      <c r="D4099" s="1409">
        <f t="shared" si="1034"/>
        <v>1</v>
      </c>
      <c r="E4099" s="1409">
        <f t="shared" si="1034"/>
        <v>1</v>
      </c>
      <c r="F4099" s="1410">
        <f t="shared" si="1034"/>
        <v>3.4249999999999998</v>
      </c>
      <c r="G4099" s="1410">
        <f t="shared" si="1034"/>
        <v>0.71</v>
      </c>
      <c r="H4099" s="1410"/>
      <c r="I4099" s="1406">
        <f t="shared" si="1029"/>
        <v>2.4317499999999996</v>
      </c>
      <c r="K4099" s="1476"/>
      <c r="M4099" s="110"/>
      <c r="Q4099" s="1394">
        <f>IFERROR(VLOOKUP(M4099,#REF!,3,0),0)</f>
        <v>0</v>
      </c>
      <c r="R4099" s="1394">
        <f t="shared" si="1032"/>
        <v>0</v>
      </c>
      <c r="S4099" s="1394">
        <f>IFERROR(VLOOKUP(M4099,#REF!,6,0),0)</f>
        <v>0</v>
      </c>
      <c r="T4099" s="1394">
        <f t="shared" ref="T4099:T4162" si="1035">R4099-S4099</f>
        <v>0</v>
      </c>
      <c r="U4099" s="1394">
        <f>IFERROR(VLOOKUP(M4099,#REF!,5,0),0)</f>
        <v>0</v>
      </c>
      <c r="V4099" s="1394">
        <f t="shared" ref="V4099:V4162" si="1036">O4099-U4099</f>
        <v>0</v>
      </c>
      <c r="W4099" s="1394"/>
    </row>
    <row r="4100" spans="2:23" ht="30" customHeight="1">
      <c r="B4100" s="1405"/>
      <c r="C4100" s="1408" t="str">
        <f t="shared" si="1034"/>
        <v>Staircase</v>
      </c>
      <c r="D4100" s="1409">
        <f t="shared" si="1034"/>
        <v>0</v>
      </c>
      <c r="E4100" s="1409">
        <f t="shared" si="1034"/>
        <v>0</v>
      </c>
      <c r="F4100" s="1410">
        <f t="shared" si="1034"/>
        <v>0</v>
      </c>
      <c r="G4100" s="1410">
        <f t="shared" si="1034"/>
        <v>0</v>
      </c>
      <c r="H4100" s="1410">
        <f>H719</f>
        <v>0</v>
      </c>
      <c r="I4100" s="1406">
        <f t="shared" si="1029"/>
        <v>0</v>
      </c>
      <c r="K4100" s="1476"/>
      <c r="M4100" s="110"/>
      <c r="Q4100" s="1394">
        <f>IFERROR(VLOOKUP(M4100,#REF!,3,0),0)</f>
        <v>0</v>
      </c>
      <c r="R4100" s="1394">
        <f t="shared" si="1032"/>
        <v>0</v>
      </c>
      <c r="S4100" s="1394">
        <f>IFERROR(VLOOKUP(M4100,#REF!,6,0),0)</f>
        <v>0</v>
      </c>
      <c r="T4100" s="1394">
        <f t="shared" si="1035"/>
        <v>0</v>
      </c>
      <c r="U4100" s="1394">
        <f>IFERROR(VLOOKUP(M4100,#REF!,5,0),0)</f>
        <v>0</v>
      </c>
      <c r="V4100" s="1394">
        <f t="shared" si="1036"/>
        <v>0</v>
      </c>
      <c r="W4100" s="1394"/>
    </row>
    <row r="4101" spans="2:23" ht="30" customHeight="1">
      <c r="B4101" s="1405"/>
      <c r="C4101" s="1415" t="str">
        <f t="shared" si="1034"/>
        <v>Waist slab-1</v>
      </c>
      <c r="D4101" s="1409">
        <f t="shared" si="1034"/>
        <v>1</v>
      </c>
      <c r="E4101" s="1409">
        <f t="shared" si="1034"/>
        <v>1</v>
      </c>
      <c r="F4101" s="1410">
        <f t="shared" si="1034"/>
        <v>3.6</v>
      </c>
      <c r="G4101" s="1410">
        <f t="shared" si="1034"/>
        <v>1.2</v>
      </c>
      <c r="H4101" s="1410"/>
      <c r="I4101" s="1406">
        <f t="shared" si="1029"/>
        <v>4.32</v>
      </c>
      <c r="Q4101" s="1394">
        <f>IFERROR(VLOOKUP(M4101,#REF!,3,0),0)</f>
        <v>0</v>
      </c>
      <c r="R4101" s="1394">
        <f t="shared" si="1032"/>
        <v>0</v>
      </c>
      <c r="S4101" s="1394">
        <f>IFERROR(VLOOKUP(M4101,#REF!,6,0),0)</f>
        <v>0</v>
      </c>
      <c r="T4101" s="1394">
        <f t="shared" si="1035"/>
        <v>0</v>
      </c>
      <c r="U4101" s="1394">
        <f>IFERROR(VLOOKUP(M4101,#REF!,5,0),0)</f>
        <v>0</v>
      </c>
      <c r="V4101" s="1394">
        <f t="shared" si="1036"/>
        <v>0</v>
      </c>
      <c r="W4101" s="1394"/>
    </row>
    <row r="4102" spans="2:23" ht="30" customHeight="1">
      <c r="B4102" s="1405"/>
      <c r="C4102" s="1408" t="str">
        <f t="shared" si="1034"/>
        <v>Landing slab</v>
      </c>
      <c r="D4102" s="1409">
        <f t="shared" si="1034"/>
        <v>1</v>
      </c>
      <c r="E4102" s="1409">
        <f t="shared" si="1034"/>
        <v>1</v>
      </c>
      <c r="F4102" s="1410">
        <f t="shared" si="1034"/>
        <v>3.23</v>
      </c>
      <c r="G4102" s="1410">
        <f t="shared" si="1034"/>
        <v>1.2</v>
      </c>
      <c r="H4102" s="1410"/>
      <c r="I4102" s="1406">
        <f t="shared" si="1029"/>
        <v>3.8759999999999999</v>
      </c>
      <c r="Q4102" s="1394">
        <f>IFERROR(VLOOKUP(M4102,#REF!,3,0),0)</f>
        <v>0</v>
      </c>
      <c r="R4102" s="1394">
        <f t="shared" si="1032"/>
        <v>0</v>
      </c>
      <c r="S4102" s="1394">
        <f>IFERROR(VLOOKUP(M4102,#REF!,6,0),0)</f>
        <v>0</v>
      </c>
      <c r="T4102" s="1394">
        <f t="shared" si="1035"/>
        <v>0</v>
      </c>
      <c r="U4102" s="1394">
        <f>IFERROR(VLOOKUP(M4102,#REF!,5,0),0)</f>
        <v>0</v>
      </c>
      <c r="V4102" s="1394">
        <f t="shared" si="1036"/>
        <v>0</v>
      </c>
      <c r="W4102" s="1394"/>
    </row>
    <row r="4103" spans="2:23" ht="30" customHeight="1">
      <c r="B4103" s="1405"/>
      <c r="C4103" s="1408" t="str">
        <f t="shared" si="1034"/>
        <v>Waist slab-2</v>
      </c>
      <c r="D4103" s="1409">
        <f t="shared" si="1034"/>
        <v>1</v>
      </c>
      <c r="E4103" s="1409">
        <f t="shared" si="1034"/>
        <v>1</v>
      </c>
      <c r="F4103" s="1410">
        <f t="shared" si="1034"/>
        <v>3.4</v>
      </c>
      <c r="G4103" s="1410">
        <f t="shared" si="1034"/>
        <v>1.2</v>
      </c>
      <c r="H4103" s="1410"/>
      <c r="I4103" s="1406">
        <f t="shared" si="1029"/>
        <v>4.08</v>
      </c>
      <c r="Q4103" s="1394">
        <f>IFERROR(VLOOKUP(M4103,#REF!,3,0),0)</f>
        <v>0</v>
      </c>
      <c r="R4103" s="1394">
        <f t="shared" si="1032"/>
        <v>0</v>
      </c>
      <c r="S4103" s="1394">
        <f>IFERROR(VLOOKUP(M4103,#REF!,6,0),0)</f>
        <v>0</v>
      </c>
      <c r="T4103" s="1394">
        <f t="shared" si="1035"/>
        <v>0</v>
      </c>
      <c r="U4103" s="1394">
        <f>IFERROR(VLOOKUP(M4103,#REF!,5,0),0)</f>
        <v>0</v>
      </c>
      <c r="V4103" s="1394">
        <f t="shared" si="1036"/>
        <v>0</v>
      </c>
      <c r="W4103" s="1394"/>
    </row>
    <row r="4104" spans="2:23" ht="30" customHeight="1">
      <c r="B4104" s="1405"/>
      <c r="C4104" s="1408" t="str">
        <f t="shared" si="1034"/>
        <v>Staircase steps</v>
      </c>
      <c r="D4104" s="1409">
        <f t="shared" si="1034"/>
        <v>0.5</v>
      </c>
      <c r="E4104" s="1409">
        <f t="shared" si="1034"/>
        <v>21</v>
      </c>
      <c r="F4104" s="1410">
        <f t="shared" si="1034"/>
        <v>1.2</v>
      </c>
      <c r="G4104" s="1410">
        <f t="shared" si="1034"/>
        <v>0.3</v>
      </c>
      <c r="H4104" s="1410"/>
      <c r="I4104" s="1406">
        <f t="shared" si="1029"/>
        <v>3.78</v>
      </c>
      <c r="Q4104" s="1394">
        <f>IFERROR(VLOOKUP(M4104,#REF!,3,0),0)</f>
        <v>0</v>
      </c>
      <c r="R4104" s="1394">
        <f t="shared" si="1032"/>
        <v>0</v>
      </c>
      <c r="S4104" s="1394">
        <f>IFERROR(VLOOKUP(M4104,#REF!,6,0),0)</f>
        <v>0</v>
      </c>
      <c r="T4104" s="1394">
        <f t="shared" si="1035"/>
        <v>0</v>
      </c>
      <c r="U4104" s="1394">
        <f>IFERROR(VLOOKUP(M4104,#REF!,5,0),0)</f>
        <v>0</v>
      </c>
      <c r="V4104" s="1394">
        <f t="shared" si="1036"/>
        <v>0</v>
      </c>
      <c r="W4104" s="1394"/>
    </row>
    <row r="4105" spans="2:23" ht="30" customHeight="1">
      <c r="B4105" s="1405"/>
      <c r="C4105" s="1408">
        <f t="shared" ref="C4105:H4106" si="1037">C735</f>
        <v>0</v>
      </c>
      <c r="D4105" s="1409">
        <f t="shared" si="1037"/>
        <v>0</v>
      </c>
      <c r="E4105" s="1409">
        <f t="shared" si="1037"/>
        <v>0</v>
      </c>
      <c r="F4105" s="1410">
        <f t="shared" si="1037"/>
        <v>0</v>
      </c>
      <c r="G4105" s="1410">
        <f t="shared" si="1037"/>
        <v>0</v>
      </c>
      <c r="H4105" s="1411">
        <f t="shared" si="1037"/>
        <v>0</v>
      </c>
      <c r="I4105" s="1406">
        <f t="shared" si="1029"/>
        <v>0</v>
      </c>
      <c r="Q4105" s="1394">
        <f>IFERROR(VLOOKUP(M4105,#REF!,3,0),0)</f>
        <v>0</v>
      </c>
      <c r="R4105" s="1394">
        <f t="shared" si="1032"/>
        <v>0</v>
      </c>
      <c r="S4105" s="1394">
        <f>IFERROR(VLOOKUP(M4105,#REF!,6,0),0)</f>
        <v>0</v>
      </c>
      <c r="T4105" s="1394">
        <f t="shared" si="1035"/>
        <v>0</v>
      </c>
      <c r="U4105" s="1394">
        <f>IFERROR(VLOOKUP(M4105,#REF!,5,0),0)</f>
        <v>0</v>
      </c>
      <c r="V4105" s="1394">
        <f t="shared" si="1036"/>
        <v>0</v>
      </c>
      <c r="W4105" s="1394"/>
    </row>
    <row r="4106" spans="2:23" ht="30" customHeight="1">
      <c r="B4106" s="1405"/>
      <c r="C4106" s="1415" t="str">
        <f t="shared" si="1037"/>
        <v xml:space="preserve">Sill slab  Window </v>
      </c>
      <c r="D4106" s="1409">
        <f t="shared" si="1037"/>
        <v>0</v>
      </c>
      <c r="E4106" s="1409">
        <f t="shared" si="1037"/>
        <v>0</v>
      </c>
      <c r="F4106" s="1410">
        <f t="shared" si="1037"/>
        <v>0</v>
      </c>
      <c r="G4106" s="1410">
        <f t="shared" si="1037"/>
        <v>0</v>
      </c>
      <c r="H4106" s="1409">
        <f t="shared" si="1037"/>
        <v>0</v>
      </c>
      <c r="I4106" s="1406">
        <f t="shared" si="1029"/>
        <v>0</v>
      </c>
      <c r="Q4106" s="1394">
        <f>IFERROR(VLOOKUP(M4106,#REF!,3,0),0)</f>
        <v>0</v>
      </c>
      <c r="R4106" s="1394">
        <f t="shared" si="1032"/>
        <v>0</v>
      </c>
      <c r="S4106" s="1394">
        <f>IFERROR(VLOOKUP(M4106,#REF!,6,0),0)</f>
        <v>0</v>
      </c>
      <c r="T4106" s="1394">
        <f t="shared" si="1035"/>
        <v>0</v>
      </c>
      <c r="U4106" s="1394">
        <f>IFERROR(VLOOKUP(M4106,#REF!,5,0),0)</f>
        <v>0</v>
      </c>
      <c r="V4106" s="1394">
        <f t="shared" si="1036"/>
        <v>0</v>
      </c>
      <c r="W4106" s="1394"/>
    </row>
    <row r="4107" spans="2:23" ht="30" customHeight="1">
      <c r="B4107" s="1405"/>
      <c r="C4107" s="1408" t="str">
        <f t="shared" ref="C4107:C4135" si="1038">C737</f>
        <v>FW</v>
      </c>
      <c r="D4107" s="1409">
        <f t="shared" ref="D4107:D4117" si="1039">D737*2</f>
        <v>2</v>
      </c>
      <c r="E4107" s="1409">
        <f t="shared" ref="E4107:F4135" si="1040">E737</f>
        <v>2</v>
      </c>
      <c r="F4107" s="1410">
        <f t="shared" si="1040"/>
        <v>1.2729999999999999</v>
      </c>
      <c r="G4107" s="1410"/>
      <c r="H4107" s="1409">
        <f t="shared" ref="H4107:H4126" si="1041">H737</f>
        <v>0.05</v>
      </c>
      <c r="I4107" s="1406">
        <f t="shared" si="1029"/>
        <v>0.25459999999999999</v>
      </c>
      <c r="O4107" s="1469"/>
      <c r="Q4107" s="1394">
        <f>IFERROR(VLOOKUP(M4107,#REF!,3,0),0)</f>
        <v>0</v>
      </c>
      <c r="R4107" s="1394">
        <f t="shared" si="1032"/>
        <v>0</v>
      </c>
      <c r="S4107" s="1394">
        <f>IFERROR(VLOOKUP(M4107,#REF!,6,0),0)</f>
        <v>0</v>
      </c>
      <c r="T4107" s="1394">
        <f t="shared" si="1035"/>
        <v>0</v>
      </c>
      <c r="U4107" s="1394">
        <f>IFERROR(VLOOKUP(M4107,#REF!,5,0),0)</f>
        <v>0</v>
      </c>
      <c r="V4107" s="1394">
        <f t="shared" si="1036"/>
        <v>0</v>
      </c>
      <c r="W4107" s="1394"/>
    </row>
    <row r="4108" spans="2:23" ht="30" customHeight="1">
      <c r="B4108" s="1405"/>
      <c r="C4108" s="1415" t="str">
        <f t="shared" si="1038"/>
        <v>FW-3</v>
      </c>
      <c r="D4108" s="1409">
        <f t="shared" si="1039"/>
        <v>2</v>
      </c>
      <c r="E4108" s="1409">
        <f t="shared" si="1040"/>
        <v>1</v>
      </c>
      <c r="F4108" s="1410">
        <f t="shared" si="1040"/>
        <v>2.46</v>
      </c>
      <c r="G4108" s="1410"/>
      <c r="H4108" s="1410">
        <f t="shared" si="1041"/>
        <v>0.05</v>
      </c>
      <c r="I4108" s="1406">
        <f t="shared" si="1029"/>
        <v>0.246</v>
      </c>
      <c r="O4108" s="1395"/>
      <c r="Q4108" s="1394">
        <f>IFERROR(VLOOKUP(M4108,#REF!,3,0),0)</f>
        <v>0</v>
      </c>
      <c r="R4108" s="1394">
        <f t="shared" si="1032"/>
        <v>0</v>
      </c>
      <c r="S4108" s="1394">
        <f>IFERROR(VLOOKUP(M4108,#REF!,6,0),0)</f>
        <v>0</v>
      </c>
      <c r="T4108" s="1394">
        <f t="shared" si="1035"/>
        <v>0</v>
      </c>
      <c r="U4108" s="1394">
        <f>IFERROR(VLOOKUP(M4108,#REF!,5,0),0)</f>
        <v>0</v>
      </c>
      <c r="V4108" s="1394">
        <f t="shared" si="1036"/>
        <v>0</v>
      </c>
      <c r="W4108" s="1394"/>
    </row>
    <row r="4109" spans="2:23" ht="30" customHeight="1">
      <c r="B4109" s="1405"/>
      <c r="C4109" s="1408" t="str">
        <f t="shared" si="1038"/>
        <v>FW-4</v>
      </c>
      <c r="D4109" s="1409">
        <f t="shared" si="1039"/>
        <v>2</v>
      </c>
      <c r="E4109" s="1409">
        <f t="shared" si="1040"/>
        <v>2</v>
      </c>
      <c r="F4109" s="1410">
        <f t="shared" si="1040"/>
        <v>1.66</v>
      </c>
      <c r="G4109" s="1410"/>
      <c r="H4109" s="1410">
        <f t="shared" si="1041"/>
        <v>0.05</v>
      </c>
      <c r="I4109" s="1406">
        <f t="shared" si="1029"/>
        <v>0.33200000000000002</v>
      </c>
      <c r="O4109" s="1469"/>
      <c r="Q4109" s="1394">
        <f>IFERROR(VLOOKUP(M4109,#REF!,3,0),0)</f>
        <v>0</v>
      </c>
      <c r="R4109" s="1394">
        <f t="shared" si="1032"/>
        <v>0</v>
      </c>
      <c r="S4109" s="1394">
        <f>IFERROR(VLOOKUP(M4109,#REF!,6,0),0)</f>
        <v>0</v>
      </c>
      <c r="T4109" s="1394">
        <f t="shared" si="1035"/>
        <v>0</v>
      </c>
      <c r="U4109" s="1394">
        <f>IFERROR(VLOOKUP(M4109,#REF!,5,0),0)</f>
        <v>0</v>
      </c>
      <c r="V4109" s="1394">
        <f t="shared" si="1036"/>
        <v>0</v>
      </c>
      <c r="W4109" s="1394"/>
    </row>
    <row r="4110" spans="2:23" ht="30" customHeight="1">
      <c r="B4110" s="1405"/>
      <c r="C4110" s="1415" t="str">
        <f t="shared" si="1038"/>
        <v>SW</v>
      </c>
      <c r="D4110" s="1409">
        <f t="shared" si="1039"/>
        <v>2</v>
      </c>
      <c r="E4110" s="1409">
        <f t="shared" si="1040"/>
        <v>1</v>
      </c>
      <c r="F4110" s="1410">
        <f t="shared" si="1040"/>
        <v>2.2600000000000002</v>
      </c>
      <c r="G4110" s="1410"/>
      <c r="H4110" s="1410">
        <f t="shared" si="1041"/>
        <v>0.05</v>
      </c>
      <c r="I4110" s="1406">
        <f t="shared" si="1029"/>
        <v>0.22600000000000003</v>
      </c>
      <c r="O4110" s="1395"/>
      <c r="Q4110" s="1394">
        <f>IFERROR(VLOOKUP(M4110,#REF!,3,0),0)</f>
        <v>0</v>
      </c>
      <c r="R4110" s="1394">
        <f t="shared" si="1032"/>
        <v>0</v>
      </c>
      <c r="S4110" s="1394">
        <f>IFERROR(VLOOKUP(M4110,#REF!,6,0),0)</f>
        <v>0</v>
      </c>
      <c r="T4110" s="1394">
        <f t="shared" si="1035"/>
        <v>0</v>
      </c>
      <c r="U4110" s="1394">
        <f>IFERROR(VLOOKUP(M4110,#REF!,5,0),0)</f>
        <v>0</v>
      </c>
      <c r="V4110" s="1394">
        <f t="shared" si="1036"/>
        <v>0</v>
      </c>
      <c r="W4110" s="1394"/>
    </row>
    <row r="4111" spans="2:23" ht="30" customHeight="1">
      <c r="B4111" s="1405"/>
      <c r="C4111" s="1408" t="str">
        <f t="shared" si="1038"/>
        <v>W</v>
      </c>
      <c r="D4111" s="1409">
        <f t="shared" si="1039"/>
        <v>2</v>
      </c>
      <c r="E4111" s="1409">
        <f t="shared" si="1040"/>
        <v>1</v>
      </c>
      <c r="F4111" s="1410">
        <f t="shared" si="1040"/>
        <v>2.2600000000000002</v>
      </c>
      <c r="G4111" s="1410"/>
      <c r="H4111" s="1410">
        <f t="shared" si="1041"/>
        <v>0.05</v>
      </c>
      <c r="I4111" s="1406">
        <f t="shared" si="1029"/>
        <v>0.22600000000000003</v>
      </c>
      <c r="O4111" s="1395"/>
      <c r="Q4111" s="1394">
        <f>IFERROR(VLOOKUP(M4111,#REF!,3,0),0)</f>
        <v>0</v>
      </c>
      <c r="R4111" s="1394">
        <f t="shared" si="1032"/>
        <v>0</v>
      </c>
      <c r="S4111" s="1394">
        <f>IFERROR(VLOOKUP(M4111,#REF!,6,0),0)</f>
        <v>0</v>
      </c>
      <c r="T4111" s="1394">
        <f t="shared" si="1035"/>
        <v>0</v>
      </c>
      <c r="U4111" s="1394">
        <f>IFERROR(VLOOKUP(M4111,#REF!,5,0),0)</f>
        <v>0</v>
      </c>
      <c r="V4111" s="1394">
        <f t="shared" si="1036"/>
        <v>0</v>
      </c>
      <c r="W4111" s="1394"/>
    </row>
    <row r="4112" spans="2:23" ht="30" customHeight="1">
      <c r="B4112" s="1405"/>
      <c r="C4112" s="1415" t="str">
        <f t="shared" si="1038"/>
        <v>W1</v>
      </c>
      <c r="D4112" s="1409">
        <f t="shared" si="1039"/>
        <v>2</v>
      </c>
      <c r="E4112" s="1409">
        <f t="shared" si="1040"/>
        <v>1</v>
      </c>
      <c r="F4112" s="1410">
        <f t="shared" si="1040"/>
        <v>1.96</v>
      </c>
      <c r="G4112" s="1410"/>
      <c r="H4112" s="1410">
        <f t="shared" si="1041"/>
        <v>0.05</v>
      </c>
      <c r="I4112" s="1406">
        <f t="shared" si="1029"/>
        <v>0.19600000000000001</v>
      </c>
      <c r="O4112" s="1469"/>
      <c r="Q4112" s="1394">
        <f>IFERROR(VLOOKUP(M4112,#REF!,3,0),0)</f>
        <v>0</v>
      </c>
      <c r="R4112" s="1394">
        <f t="shared" si="1032"/>
        <v>0</v>
      </c>
      <c r="S4112" s="1394">
        <f>IFERROR(VLOOKUP(M4112,#REF!,6,0),0)</f>
        <v>0</v>
      </c>
      <c r="T4112" s="1394">
        <f t="shared" si="1035"/>
        <v>0</v>
      </c>
      <c r="U4112" s="1394">
        <f>IFERROR(VLOOKUP(M4112,#REF!,5,0),0)</f>
        <v>0</v>
      </c>
      <c r="V4112" s="1394">
        <f t="shared" si="1036"/>
        <v>0</v>
      </c>
      <c r="W4112" s="1394"/>
    </row>
    <row r="4113" spans="2:23" ht="30" customHeight="1">
      <c r="B4113" s="1405"/>
      <c r="C4113" s="1408" t="str">
        <f t="shared" si="1038"/>
        <v>W2</v>
      </c>
      <c r="D4113" s="1409">
        <f t="shared" si="1039"/>
        <v>2</v>
      </c>
      <c r="E4113" s="1409">
        <f t="shared" si="1040"/>
        <v>10</v>
      </c>
      <c r="F4113" s="1410">
        <f t="shared" si="1040"/>
        <v>1.66</v>
      </c>
      <c r="G4113" s="1410"/>
      <c r="H4113" s="1410">
        <f t="shared" si="1041"/>
        <v>0.05</v>
      </c>
      <c r="I4113" s="1406">
        <f t="shared" ref="I4113:I4173" si="1042">PRODUCT(D4113:H4113)</f>
        <v>1.66</v>
      </c>
      <c r="O4113" s="1395"/>
      <c r="Q4113" s="1394">
        <f>IFERROR(VLOOKUP(M4113,#REF!,3,0),0)</f>
        <v>0</v>
      </c>
      <c r="R4113" s="1394">
        <f t="shared" si="1032"/>
        <v>0</v>
      </c>
      <c r="S4113" s="1394">
        <f>IFERROR(VLOOKUP(M4113,#REF!,6,0),0)</f>
        <v>0</v>
      </c>
      <c r="T4113" s="1394">
        <f t="shared" si="1035"/>
        <v>0</v>
      </c>
      <c r="U4113" s="1394">
        <f>IFERROR(VLOOKUP(M4113,#REF!,5,0),0)</f>
        <v>0</v>
      </c>
      <c r="V4113" s="1394">
        <f t="shared" si="1036"/>
        <v>0</v>
      </c>
      <c r="W4113" s="1394"/>
    </row>
    <row r="4114" spans="2:23" ht="30" customHeight="1">
      <c r="B4114" s="1405"/>
      <c r="C4114" s="1408" t="str">
        <f t="shared" si="1038"/>
        <v>W3</v>
      </c>
      <c r="D4114" s="1409">
        <f t="shared" si="1039"/>
        <v>2</v>
      </c>
      <c r="E4114" s="1409">
        <f t="shared" si="1040"/>
        <v>4</v>
      </c>
      <c r="F4114" s="1410">
        <f t="shared" si="1040"/>
        <v>1.46</v>
      </c>
      <c r="G4114" s="1410"/>
      <c r="H4114" s="1410">
        <f t="shared" si="1041"/>
        <v>0.05</v>
      </c>
      <c r="I4114" s="1406">
        <f t="shared" si="1042"/>
        <v>0.58399999999999996</v>
      </c>
      <c r="O4114" s="1395"/>
      <c r="Q4114" s="1394">
        <f>IFERROR(VLOOKUP(M4114,#REF!,3,0),0)</f>
        <v>0</v>
      </c>
      <c r="R4114" s="1394">
        <f t="shared" si="1032"/>
        <v>0</v>
      </c>
      <c r="S4114" s="1394">
        <f>IFERROR(VLOOKUP(M4114,#REF!,6,0),0)</f>
        <v>0</v>
      </c>
      <c r="T4114" s="1394">
        <f t="shared" si="1035"/>
        <v>0</v>
      </c>
      <c r="U4114" s="1394">
        <f>IFERROR(VLOOKUP(M4114,#REF!,5,0),0)</f>
        <v>0</v>
      </c>
      <c r="V4114" s="1394">
        <f t="shared" si="1036"/>
        <v>0</v>
      </c>
      <c r="W4114" s="1394"/>
    </row>
    <row r="4115" spans="2:23" ht="30" customHeight="1">
      <c r="B4115" s="1405"/>
      <c r="C4115" s="1415" t="str">
        <f t="shared" si="1038"/>
        <v>V</v>
      </c>
      <c r="D4115" s="1409">
        <f t="shared" si="1039"/>
        <v>2</v>
      </c>
      <c r="E4115" s="1409">
        <f t="shared" si="1040"/>
        <v>2</v>
      </c>
      <c r="F4115" s="1410">
        <f t="shared" si="1040"/>
        <v>1.46</v>
      </c>
      <c r="G4115" s="1410"/>
      <c r="H4115" s="1410">
        <f t="shared" si="1041"/>
        <v>0.05</v>
      </c>
      <c r="I4115" s="1406">
        <f t="shared" si="1042"/>
        <v>0.29199999999999998</v>
      </c>
      <c r="O4115" s="1395"/>
      <c r="Q4115" s="1394">
        <f>IFERROR(VLOOKUP(M4115,#REF!,3,0),0)</f>
        <v>0</v>
      </c>
      <c r="R4115" s="1394">
        <f t="shared" si="1032"/>
        <v>0</v>
      </c>
      <c r="S4115" s="1394">
        <f>IFERROR(VLOOKUP(M4115,#REF!,6,0),0)</f>
        <v>0</v>
      </c>
      <c r="T4115" s="1394">
        <f t="shared" si="1035"/>
        <v>0</v>
      </c>
      <c r="U4115" s="1394">
        <f>IFERROR(VLOOKUP(M4115,#REF!,5,0),0)</f>
        <v>0</v>
      </c>
      <c r="V4115" s="1394">
        <f t="shared" si="1036"/>
        <v>0</v>
      </c>
      <c r="W4115" s="1394"/>
    </row>
    <row r="4116" spans="2:23" ht="30" customHeight="1">
      <c r="B4116" s="1405"/>
      <c r="C4116" s="1408" t="str">
        <f t="shared" si="1038"/>
        <v>V1</v>
      </c>
      <c r="D4116" s="1409">
        <f t="shared" si="1039"/>
        <v>2</v>
      </c>
      <c r="E4116" s="1409">
        <f t="shared" si="1040"/>
        <v>2</v>
      </c>
      <c r="F4116" s="1410">
        <f t="shared" si="1040"/>
        <v>1.06</v>
      </c>
      <c r="G4116" s="1410"/>
      <c r="H4116" s="1410">
        <f t="shared" si="1041"/>
        <v>0.05</v>
      </c>
      <c r="I4116" s="1406">
        <f t="shared" si="1042"/>
        <v>0.21200000000000002</v>
      </c>
      <c r="O4116" s="1395"/>
      <c r="Q4116" s="1394">
        <f>IFERROR(VLOOKUP(M4116,#REF!,3,0),0)</f>
        <v>0</v>
      </c>
      <c r="R4116" s="1394">
        <f t="shared" si="1032"/>
        <v>0</v>
      </c>
      <c r="S4116" s="1394">
        <f>IFERROR(VLOOKUP(M4116,#REF!,6,0),0)</f>
        <v>0</v>
      </c>
      <c r="T4116" s="1394">
        <f t="shared" si="1035"/>
        <v>0</v>
      </c>
      <c r="U4116" s="1394">
        <f>IFERROR(VLOOKUP(M4116,#REF!,5,0),0)</f>
        <v>0</v>
      </c>
      <c r="V4116" s="1394">
        <f t="shared" si="1036"/>
        <v>0</v>
      </c>
      <c r="W4116" s="1394"/>
    </row>
    <row r="4117" spans="2:23" ht="30" customHeight="1">
      <c r="B4117" s="1405"/>
      <c r="C4117" s="1415" t="str">
        <f t="shared" si="1038"/>
        <v>V3</v>
      </c>
      <c r="D4117" s="1409">
        <f t="shared" si="1039"/>
        <v>2</v>
      </c>
      <c r="E4117" s="1409">
        <f t="shared" si="1040"/>
        <v>4</v>
      </c>
      <c r="F4117" s="1410">
        <f t="shared" si="1040"/>
        <v>1.36</v>
      </c>
      <c r="G4117" s="1410"/>
      <c r="H4117" s="1410">
        <f t="shared" si="1041"/>
        <v>0.05</v>
      </c>
      <c r="I4117" s="1406">
        <f t="shared" si="1042"/>
        <v>0.54400000000000004</v>
      </c>
      <c r="O4117" s="1395"/>
      <c r="Q4117" s="1394">
        <f>IFERROR(VLOOKUP(M4117,#REF!,3,0),0)</f>
        <v>0</v>
      </c>
      <c r="R4117" s="1394">
        <f t="shared" si="1032"/>
        <v>0</v>
      </c>
      <c r="S4117" s="1394">
        <f>IFERROR(VLOOKUP(M4117,#REF!,6,0),0)</f>
        <v>0</v>
      </c>
      <c r="T4117" s="1394">
        <f t="shared" si="1035"/>
        <v>0</v>
      </c>
      <c r="U4117" s="1394">
        <f>IFERROR(VLOOKUP(M4117,#REF!,5,0),0)</f>
        <v>0</v>
      </c>
      <c r="V4117" s="1394">
        <f t="shared" si="1036"/>
        <v>0</v>
      </c>
      <c r="W4117" s="1394"/>
    </row>
    <row r="4118" spans="2:23" ht="30" customHeight="1">
      <c r="B4118" s="1405"/>
      <c r="C4118" s="1408">
        <f t="shared" si="1038"/>
        <v>0</v>
      </c>
      <c r="D4118" s="1409">
        <f>D748</f>
        <v>0</v>
      </c>
      <c r="E4118" s="1409">
        <f t="shared" si="1040"/>
        <v>0</v>
      </c>
      <c r="F4118" s="1410">
        <f t="shared" si="1040"/>
        <v>0</v>
      </c>
      <c r="G4118" s="1410">
        <f>G748</f>
        <v>0</v>
      </c>
      <c r="H4118" s="1410">
        <f t="shared" si="1041"/>
        <v>0</v>
      </c>
      <c r="I4118" s="1406">
        <f t="shared" si="1042"/>
        <v>0</v>
      </c>
      <c r="O4118" s="1469"/>
      <c r="Q4118" s="1394">
        <f>IFERROR(VLOOKUP(M4118,#REF!,3,0),0)</f>
        <v>0</v>
      </c>
      <c r="R4118" s="1394">
        <f t="shared" si="1032"/>
        <v>0</v>
      </c>
      <c r="S4118" s="1394">
        <f>IFERROR(VLOOKUP(M4118,#REF!,6,0),0)</f>
        <v>0</v>
      </c>
      <c r="T4118" s="1394">
        <f t="shared" si="1035"/>
        <v>0</v>
      </c>
      <c r="U4118" s="1394">
        <f>IFERROR(VLOOKUP(M4118,#REF!,5,0),0)</f>
        <v>0</v>
      </c>
      <c r="V4118" s="1394">
        <f t="shared" si="1036"/>
        <v>0</v>
      </c>
      <c r="W4118" s="1394"/>
    </row>
    <row r="4119" spans="2:23" ht="30" customHeight="1">
      <c r="B4119" s="1405"/>
      <c r="C4119" s="1415">
        <f t="shared" si="1038"/>
        <v>0</v>
      </c>
      <c r="D4119" s="1409">
        <f>D749</f>
        <v>0</v>
      </c>
      <c r="E4119" s="1409">
        <f t="shared" si="1040"/>
        <v>0</v>
      </c>
      <c r="F4119" s="1410">
        <f t="shared" si="1040"/>
        <v>0</v>
      </c>
      <c r="G4119" s="1410">
        <f>G749</f>
        <v>0</v>
      </c>
      <c r="H4119" s="1411">
        <f t="shared" si="1041"/>
        <v>0</v>
      </c>
      <c r="I4119" s="1406">
        <f t="shared" si="1042"/>
        <v>0</v>
      </c>
      <c r="Q4119" s="1394">
        <f>IFERROR(VLOOKUP(M4119,#REF!,3,0),0)</f>
        <v>0</v>
      </c>
      <c r="R4119" s="1394">
        <f t="shared" si="1032"/>
        <v>0</v>
      </c>
      <c r="S4119" s="1394">
        <f>IFERROR(VLOOKUP(M4119,#REF!,6,0),0)</f>
        <v>0</v>
      </c>
      <c r="T4119" s="1394">
        <f t="shared" si="1035"/>
        <v>0</v>
      </c>
      <c r="U4119" s="1394">
        <f>IFERROR(VLOOKUP(M4119,#REF!,5,0),0)</f>
        <v>0</v>
      </c>
      <c r="V4119" s="1394">
        <f t="shared" si="1036"/>
        <v>0</v>
      </c>
      <c r="W4119" s="1394"/>
    </row>
    <row r="4120" spans="2:23" ht="30" customHeight="1">
      <c r="B4120" s="1405"/>
      <c r="C4120" s="1408" t="str">
        <f t="shared" si="1038"/>
        <v>Lintel Concrete</v>
      </c>
      <c r="D4120" s="1409">
        <f>D750</f>
        <v>0</v>
      </c>
      <c r="E4120" s="1409">
        <f t="shared" si="1040"/>
        <v>0</v>
      </c>
      <c r="F4120" s="1410">
        <f t="shared" si="1040"/>
        <v>0</v>
      </c>
      <c r="G4120" s="1410">
        <f>G750</f>
        <v>0</v>
      </c>
      <c r="H4120" s="1411">
        <f t="shared" si="1041"/>
        <v>0</v>
      </c>
      <c r="I4120" s="1406">
        <f t="shared" si="1042"/>
        <v>0</v>
      </c>
      <c r="Q4120" s="1394">
        <f>IFERROR(VLOOKUP(M4120,#REF!,3,0),0)</f>
        <v>0</v>
      </c>
      <c r="R4120" s="1394">
        <f t="shared" si="1032"/>
        <v>0</v>
      </c>
      <c r="S4120" s="1394">
        <f>IFERROR(VLOOKUP(M4120,#REF!,6,0),0)</f>
        <v>0</v>
      </c>
      <c r="T4120" s="1394">
        <f t="shared" si="1035"/>
        <v>0</v>
      </c>
      <c r="U4120" s="1394">
        <f>IFERROR(VLOOKUP(M4120,#REF!,5,0),0)</f>
        <v>0</v>
      </c>
      <c r="V4120" s="1394">
        <f t="shared" si="1036"/>
        <v>0</v>
      </c>
      <c r="W4120" s="1394"/>
    </row>
    <row r="4121" spans="2:23" ht="30" customHeight="1">
      <c r="B4121" s="1405"/>
      <c r="C4121" s="1415" t="str">
        <f t="shared" si="1038"/>
        <v>Main wall all alround</v>
      </c>
      <c r="D4121" s="1409">
        <f t="shared" ref="D4121:D4126" si="1043">D751*2</f>
        <v>2</v>
      </c>
      <c r="E4121" s="1409">
        <f t="shared" si="1040"/>
        <v>1</v>
      </c>
      <c r="F4121" s="1410">
        <f t="shared" si="1040"/>
        <v>86.29</v>
      </c>
      <c r="G4121" s="1410"/>
      <c r="H4121" s="1411">
        <f t="shared" si="1041"/>
        <v>0.1</v>
      </c>
      <c r="I4121" s="1406">
        <f t="shared" si="1042"/>
        <v>17.258000000000003</v>
      </c>
      <c r="Q4121" s="1394">
        <f>IFERROR(VLOOKUP(M4121,#REF!,3,0),0)</f>
        <v>0</v>
      </c>
      <c r="R4121" s="1394">
        <f t="shared" si="1032"/>
        <v>0</v>
      </c>
      <c r="S4121" s="1394">
        <f>IFERROR(VLOOKUP(M4121,#REF!,6,0),0)</f>
        <v>0</v>
      </c>
      <c r="T4121" s="1394">
        <f t="shared" si="1035"/>
        <v>0</v>
      </c>
      <c r="U4121" s="1394">
        <f>IFERROR(VLOOKUP(M4121,#REF!,5,0),0)</f>
        <v>0</v>
      </c>
      <c r="V4121" s="1394">
        <f t="shared" si="1036"/>
        <v>0</v>
      </c>
      <c r="W4121" s="1394"/>
    </row>
    <row r="4122" spans="2:23" ht="30" customHeight="1">
      <c r="B4122" s="1405"/>
      <c r="C4122" s="1408" t="str">
        <f t="shared" si="1038"/>
        <v>Lift Front Wall</v>
      </c>
      <c r="D4122" s="1409">
        <f t="shared" si="1043"/>
        <v>2</v>
      </c>
      <c r="E4122" s="1409">
        <f t="shared" si="1040"/>
        <v>1</v>
      </c>
      <c r="F4122" s="1410">
        <f t="shared" si="1040"/>
        <v>2.5350000000000001</v>
      </c>
      <c r="G4122" s="1410"/>
      <c r="H4122" s="1410">
        <f t="shared" si="1041"/>
        <v>0.1</v>
      </c>
      <c r="I4122" s="1406">
        <f t="shared" si="1042"/>
        <v>0.50700000000000001</v>
      </c>
      <c r="Q4122" s="1394">
        <f>IFERROR(VLOOKUP(M4122,#REF!,3,0),0)</f>
        <v>0</v>
      </c>
      <c r="R4122" s="1394">
        <f t="shared" si="1032"/>
        <v>0</v>
      </c>
      <c r="S4122" s="1394">
        <f>IFERROR(VLOOKUP(M4122,#REF!,6,0),0)</f>
        <v>0</v>
      </c>
      <c r="T4122" s="1394">
        <f t="shared" si="1035"/>
        <v>0</v>
      </c>
      <c r="U4122" s="1394">
        <f>IFERROR(VLOOKUP(M4122,#REF!,5,0),0)</f>
        <v>0</v>
      </c>
      <c r="V4122" s="1394">
        <f t="shared" si="1036"/>
        <v>0</v>
      </c>
      <c r="W4122" s="1394"/>
    </row>
    <row r="4123" spans="2:23" ht="30" customHeight="1">
      <c r="B4123" s="1405"/>
      <c r="C4123" s="1408" t="str">
        <f t="shared" si="1038"/>
        <v>Lift Side Wall</v>
      </c>
      <c r="D4123" s="1409">
        <f t="shared" si="1043"/>
        <v>2</v>
      </c>
      <c r="E4123" s="1409">
        <f t="shared" si="1040"/>
        <v>1</v>
      </c>
      <c r="F4123" s="1410">
        <f t="shared" si="1040"/>
        <v>2.33</v>
      </c>
      <c r="G4123" s="1410"/>
      <c r="H4123" s="1410">
        <f t="shared" si="1041"/>
        <v>0.1</v>
      </c>
      <c r="I4123" s="1406">
        <f t="shared" si="1042"/>
        <v>0.46600000000000003</v>
      </c>
      <c r="Q4123" s="1394">
        <f>IFERROR(VLOOKUP(M4123,#REF!,3,0),0)</f>
        <v>0</v>
      </c>
      <c r="R4123" s="1394">
        <f t="shared" si="1032"/>
        <v>0</v>
      </c>
      <c r="S4123" s="1394">
        <f>IFERROR(VLOOKUP(M4123,#REF!,6,0),0)</f>
        <v>0</v>
      </c>
      <c r="T4123" s="1394">
        <f t="shared" si="1035"/>
        <v>0</v>
      </c>
      <c r="U4123" s="1394">
        <f>IFERROR(VLOOKUP(M4123,#REF!,5,0),0)</f>
        <v>0</v>
      </c>
      <c r="V4123" s="1394">
        <f t="shared" si="1036"/>
        <v>0</v>
      </c>
      <c r="W4123" s="1394"/>
    </row>
    <row r="4124" spans="2:23" ht="30" customHeight="1">
      <c r="B4124" s="1405"/>
      <c r="C4124" s="1408" t="str">
        <f t="shared" si="1038"/>
        <v>Cross wall between Stair case lobby / Hall</v>
      </c>
      <c r="D4124" s="1409">
        <f t="shared" si="1043"/>
        <v>2</v>
      </c>
      <c r="E4124" s="1409">
        <f t="shared" si="1040"/>
        <v>1</v>
      </c>
      <c r="F4124" s="1410">
        <f t="shared" si="1040"/>
        <v>7.1150000000000002</v>
      </c>
      <c r="G4124" s="1410"/>
      <c r="H4124" s="1410">
        <f t="shared" si="1041"/>
        <v>0.1</v>
      </c>
      <c r="I4124" s="1406">
        <f t="shared" si="1042"/>
        <v>1.423</v>
      </c>
      <c r="Q4124" s="1394">
        <f>IFERROR(VLOOKUP(M4124,#REF!,3,0),0)</f>
        <v>0</v>
      </c>
      <c r="R4124" s="1394">
        <f t="shared" si="1032"/>
        <v>0</v>
      </c>
      <c r="S4124" s="1394">
        <f>IFERROR(VLOOKUP(M4124,#REF!,6,0),0)</f>
        <v>0</v>
      </c>
      <c r="T4124" s="1394">
        <f t="shared" si="1035"/>
        <v>0</v>
      </c>
      <c r="U4124" s="1394">
        <f>IFERROR(VLOOKUP(M4124,#REF!,5,0),0)</f>
        <v>0</v>
      </c>
      <c r="V4124" s="1394">
        <f t="shared" si="1036"/>
        <v>0</v>
      </c>
      <c r="W4124" s="1394"/>
    </row>
    <row r="4125" spans="2:23" ht="30" customHeight="1">
      <c r="B4125" s="1405"/>
      <c r="C4125" s="1408" t="str">
        <f t="shared" si="1038"/>
        <v>SI Room</v>
      </c>
      <c r="D4125" s="1409">
        <f t="shared" si="1043"/>
        <v>0</v>
      </c>
      <c r="E4125" s="1409">
        <f t="shared" si="1040"/>
        <v>0</v>
      </c>
      <c r="F4125" s="1410">
        <f t="shared" si="1040"/>
        <v>0</v>
      </c>
      <c r="G4125" s="1410"/>
      <c r="H4125" s="1410">
        <f t="shared" si="1041"/>
        <v>0</v>
      </c>
      <c r="I4125" s="1406">
        <f t="shared" si="1042"/>
        <v>0</v>
      </c>
      <c r="Q4125" s="1394">
        <f>IFERROR(VLOOKUP(M4125,#REF!,3,0),0)</f>
        <v>0</v>
      </c>
      <c r="R4125" s="1394">
        <f t="shared" si="1032"/>
        <v>0</v>
      </c>
      <c r="S4125" s="1394">
        <f>IFERROR(VLOOKUP(M4125,#REF!,6,0),0)</f>
        <v>0</v>
      </c>
      <c r="T4125" s="1394">
        <f t="shared" si="1035"/>
        <v>0</v>
      </c>
      <c r="U4125" s="1394">
        <f>IFERROR(VLOOKUP(M4125,#REF!,5,0),0)</f>
        <v>0</v>
      </c>
      <c r="V4125" s="1394">
        <f t="shared" si="1036"/>
        <v>0</v>
      </c>
      <c r="W4125" s="1394"/>
    </row>
    <row r="4126" spans="2:23" ht="30" customHeight="1">
      <c r="B4126" s="1405"/>
      <c r="C4126" s="1408" t="str">
        <f t="shared" si="1038"/>
        <v>Cross wall between SI Room  / Toilet /Hall</v>
      </c>
      <c r="D4126" s="1409">
        <f t="shared" si="1043"/>
        <v>2</v>
      </c>
      <c r="E4126" s="1409">
        <f t="shared" si="1040"/>
        <v>1</v>
      </c>
      <c r="F4126" s="1410">
        <f t="shared" si="1040"/>
        <v>4</v>
      </c>
      <c r="G4126" s="1410"/>
      <c r="H4126" s="1410">
        <f t="shared" si="1041"/>
        <v>0.1</v>
      </c>
      <c r="I4126" s="1406">
        <f t="shared" si="1042"/>
        <v>0.8</v>
      </c>
      <c r="Q4126" s="1394">
        <f>IFERROR(VLOOKUP(M4126,#REF!,3,0),0)</f>
        <v>0</v>
      </c>
      <c r="R4126" s="1394">
        <f t="shared" si="1032"/>
        <v>0</v>
      </c>
      <c r="S4126" s="1394">
        <f>IFERROR(VLOOKUP(M4126,#REF!,6,0),0)</f>
        <v>0</v>
      </c>
      <c r="T4126" s="1394">
        <f t="shared" si="1035"/>
        <v>0</v>
      </c>
      <c r="U4126" s="1394">
        <f>IFERROR(VLOOKUP(M4126,#REF!,5,0),0)</f>
        <v>0</v>
      </c>
      <c r="V4126" s="1394">
        <f t="shared" si="1036"/>
        <v>0</v>
      </c>
      <c r="W4126" s="1394"/>
    </row>
    <row r="4127" spans="2:23" ht="30" customHeight="1">
      <c r="B4127" s="1405"/>
      <c r="C4127" s="1408" t="str">
        <f t="shared" si="1038"/>
        <v>D/F Toilet Open</v>
      </c>
      <c r="D4127" s="1409">
        <v>1</v>
      </c>
      <c r="E4127" s="1409">
        <f t="shared" si="1040"/>
        <v>1</v>
      </c>
      <c r="F4127" s="1410">
        <f t="shared" si="1040"/>
        <v>1</v>
      </c>
      <c r="G4127" s="1410">
        <f>G757</f>
        <v>0.23</v>
      </c>
      <c r="H4127" s="1410"/>
      <c r="I4127" s="1406">
        <f t="shared" si="1042"/>
        <v>0.23</v>
      </c>
      <c r="Q4127" s="1394">
        <f>IFERROR(VLOOKUP(M4127,#REF!,3,0),0)</f>
        <v>0</v>
      </c>
      <c r="R4127" s="1394">
        <f t="shared" si="1032"/>
        <v>0</v>
      </c>
      <c r="S4127" s="1394">
        <f>IFERROR(VLOOKUP(M4127,#REF!,6,0),0)</f>
        <v>0</v>
      </c>
      <c r="T4127" s="1394">
        <f t="shared" si="1035"/>
        <v>0</v>
      </c>
      <c r="U4127" s="1394">
        <f>IFERROR(VLOOKUP(M4127,#REF!,5,0),0)</f>
        <v>0</v>
      </c>
      <c r="V4127" s="1394">
        <f t="shared" si="1036"/>
        <v>0</v>
      </c>
      <c r="W4127" s="1394"/>
    </row>
    <row r="4128" spans="2:23" ht="30" customHeight="1">
      <c r="B4128" s="1405"/>
      <c r="C4128" s="1408" t="str">
        <f t="shared" si="1038"/>
        <v>Piller</v>
      </c>
      <c r="D4128" s="1409">
        <f t="shared" ref="D4128:D4135" si="1044">D758*2</f>
        <v>2</v>
      </c>
      <c r="E4128" s="1409">
        <f t="shared" si="1040"/>
        <v>1</v>
      </c>
      <c r="F4128" s="1410">
        <f t="shared" si="1040"/>
        <v>0.23</v>
      </c>
      <c r="G4128" s="1410"/>
      <c r="H4128" s="1410">
        <f t="shared" ref="H4128:H4135" si="1045">H758</f>
        <v>0.1</v>
      </c>
      <c r="I4128" s="1406">
        <f t="shared" si="1042"/>
        <v>4.6000000000000006E-2</v>
      </c>
      <c r="Q4128" s="1394">
        <f>IFERROR(VLOOKUP(M4128,#REF!,3,0),0)</f>
        <v>0</v>
      </c>
      <c r="R4128" s="1394">
        <f t="shared" si="1032"/>
        <v>0</v>
      </c>
      <c r="S4128" s="1394">
        <f>IFERROR(VLOOKUP(M4128,#REF!,6,0),0)</f>
        <v>0</v>
      </c>
      <c r="T4128" s="1394">
        <f t="shared" si="1035"/>
        <v>0</v>
      </c>
      <c r="U4128" s="1394">
        <f>IFERROR(VLOOKUP(M4128,#REF!,5,0),0)</f>
        <v>0</v>
      </c>
      <c r="V4128" s="1394">
        <f t="shared" si="1036"/>
        <v>0</v>
      </c>
      <c r="W4128" s="1394"/>
    </row>
    <row r="4129" spans="2:23" ht="30" customHeight="1">
      <c r="B4129" s="1405"/>
      <c r="C4129" s="1408" t="str">
        <f t="shared" si="1038"/>
        <v>Cross wall between SI Room  / Lift Stair</v>
      </c>
      <c r="D4129" s="1409">
        <f t="shared" si="1044"/>
        <v>2</v>
      </c>
      <c r="E4129" s="1409">
        <f t="shared" si="1040"/>
        <v>1</v>
      </c>
      <c r="F4129" s="1410">
        <f t="shared" si="1040"/>
        <v>5.53</v>
      </c>
      <c r="G4129" s="1410"/>
      <c r="H4129" s="1410">
        <f t="shared" si="1045"/>
        <v>0.1</v>
      </c>
      <c r="I4129" s="1406">
        <f t="shared" si="1042"/>
        <v>1.1060000000000001</v>
      </c>
      <c r="Q4129" s="1394">
        <f>IFERROR(VLOOKUP(M4129,#REF!,3,0),0)</f>
        <v>0</v>
      </c>
      <c r="R4129" s="1394">
        <f t="shared" si="1032"/>
        <v>0</v>
      </c>
      <c r="S4129" s="1394">
        <f>IFERROR(VLOOKUP(M4129,#REF!,6,0),0)</f>
        <v>0</v>
      </c>
      <c r="T4129" s="1394">
        <f t="shared" si="1035"/>
        <v>0</v>
      </c>
      <c r="U4129" s="1394">
        <f>IFERROR(VLOOKUP(M4129,#REF!,5,0),0)</f>
        <v>0</v>
      </c>
      <c r="V4129" s="1394">
        <f t="shared" si="1036"/>
        <v>0</v>
      </c>
      <c r="W4129" s="1394"/>
    </row>
    <row r="4130" spans="2:23" ht="30" customHeight="1">
      <c r="B4130" s="1405"/>
      <c r="C4130" s="1408" t="str">
        <f t="shared" si="1038"/>
        <v>Writer</v>
      </c>
      <c r="D4130" s="1409">
        <f t="shared" si="1044"/>
        <v>0</v>
      </c>
      <c r="E4130" s="1409">
        <f t="shared" si="1040"/>
        <v>0</v>
      </c>
      <c r="F4130" s="1410">
        <f t="shared" si="1040"/>
        <v>0</v>
      </c>
      <c r="G4130" s="1410"/>
      <c r="H4130" s="1410">
        <f t="shared" si="1045"/>
        <v>0</v>
      </c>
      <c r="I4130" s="1406">
        <f t="shared" si="1042"/>
        <v>0</v>
      </c>
      <c r="Q4130" s="1394">
        <f>IFERROR(VLOOKUP(M4130,#REF!,3,0),0)</f>
        <v>0</v>
      </c>
      <c r="R4130" s="1394">
        <f t="shared" si="1032"/>
        <v>0</v>
      </c>
      <c r="S4130" s="1394">
        <f>IFERROR(VLOOKUP(M4130,#REF!,6,0),0)</f>
        <v>0</v>
      </c>
      <c r="T4130" s="1394">
        <f t="shared" si="1035"/>
        <v>0</v>
      </c>
      <c r="U4130" s="1394">
        <f>IFERROR(VLOOKUP(M4130,#REF!,5,0),0)</f>
        <v>0</v>
      </c>
      <c r="V4130" s="1394">
        <f t="shared" si="1036"/>
        <v>0</v>
      </c>
      <c r="W4130" s="1394"/>
    </row>
    <row r="4131" spans="2:23" ht="30" customHeight="1">
      <c r="B4131" s="1405"/>
      <c r="C4131" s="1408" t="str">
        <f t="shared" si="1038"/>
        <v>Cross wall between  Writer / Stair case lobby</v>
      </c>
      <c r="D4131" s="1409">
        <f t="shared" si="1044"/>
        <v>2</v>
      </c>
      <c r="E4131" s="1409">
        <f t="shared" si="1040"/>
        <v>1</v>
      </c>
      <c r="F4131" s="1410">
        <f t="shared" si="1040"/>
        <v>5.53</v>
      </c>
      <c r="G4131" s="1410"/>
      <c r="H4131" s="1410">
        <f t="shared" si="1045"/>
        <v>0.1</v>
      </c>
      <c r="I4131" s="1406">
        <f t="shared" si="1042"/>
        <v>1.1060000000000001</v>
      </c>
      <c r="Q4131" s="1394">
        <f>IFERROR(VLOOKUP(M4131,#REF!,3,0),0)</f>
        <v>0</v>
      </c>
      <c r="R4131" s="1394">
        <f t="shared" si="1032"/>
        <v>0</v>
      </c>
      <c r="S4131" s="1394">
        <f>IFERROR(VLOOKUP(M4131,#REF!,6,0),0)</f>
        <v>0</v>
      </c>
      <c r="T4131" s="1394">
        <f t="shared" si="1035"/>
        <v>0</v>
      </c>
      <c r="U4131" s="1394">
        <f>IFERROR(VLOOKUP(M4131,#REF!,5,0),0)</f>
        <v>0</v>
      </c>
      <c r="V4131" s="1394">
        <f t="shared" si="1036"/>
        <v>0</v>
      </c>
      <c r="W4131" s="1394"/>
    </row>
    <row r="4132" spans="2:23" ht="30" customHeight="1">
      <c r="B4132" s="1405"/>
      <c r="C4132" s="1408" t="str">
        <f t="shared" si="1038"/>
        <v>Cross wall between  Writer / Hall</v>
      </c>
      <c r="D4132" s="1409">
        <f t="shared" si="1044"/>
        <v>2</v>
      </c>
      <c r="E4132" s="1409">
        <f t="shared" si="1040"/>
        <v>1</v>
      </c>
      <c r="F4132" s="1410">
        <f t="shared" si="1040"/>
        <v>3.4550000000000001</v>
      </c>
      <c r="G4132" s="1410"/>
      <c r="H4132" s="1410">
        <f t="shared" si="1045"/>
        <v>0.1</v>
      </c>
      <c r="I4132" s="1406">
        <f t="shared" si="1042"/>
        <v>0.69100000000000006</v>
      </c>
      <c r="Q4132" s="1394">
        <f>IFERROR(VLOOKUP(M4132,#REF!,3,0),0)</f>
        <v>0</v>
      </c>
      <c r="R4132" s="1394">
        <f t="shared" si="1032"/>
        <v>0</v>
      </c>
      <c r="S4132" s="1394">
        <f>IFERROR(VLOOKUP(M4132,#REF!,6,0),0)</f>
        <v>0</v>
      </c>
      <c r="T4132" s="1394">
        <f t="shared" si="1035"/>
        <v>0</v>
      </c>
      <c r="U4132" s="1394">
        <f>IFERROR(VLOOKUP(M4132,#REF!,5,0),0)</f>
        <v>0</v>
      </c>
      <c r="V4132" s="1394">
        <f t="shared" si="1036"/>
        <v>0</v>
      </c>
      <c r="W4132" s="1394"/>
    </row>
    <row r="4133" spans="2:23" ht="30" customHeight="1">
      <c r="B4133" s="1405"/>
      <c r="C4133" s="1408" t="str">
        <f t="shared" si="1038"/>
        <v>C/B Piller</v>
      </c>
      <c r="D4133" s="1409">
        <f t="shared" si="1044"/>
        <v>2</v>
      </c>
      <c r="E4133" s="1409">
        <f t="shared" si="1040"/>
        <v>1</v>
      </c>
      <c r="F4133" s="1410">
        <f t="shared" si="1040"/>
        <v>0.71499999999999997</v>
      </c>
      <c r="G4133" s="1410"/>
      <c r="H4133" s="1410">
        <f t="shared" si="1045"/>
        <v>0.1</v>
      </c>
      <c r="I4133" s="1406">
        <f t="shared" si="1042"/>
        <v>0.14299999999999999</v>
      </c>
      <c r="M4133" s="110"/>
      <c r="Q4133" s="1394">
        <f>IFERROR(VLOOKUP(M4133,#REF!,3,0),0)</f>
        <v>0</v>
      </c>
      <c r="R4133" s="1394">
        <f t="shared" si="1032"/>
        <v>0</v>
      </c>
      <c r="S4133" s="1394">
        <f>IFERROR(VLOOKUP(M4133,#REF!,6,0),0)</f>
        <v>0</v>
      </c>
      <c r="T4133" s="1394">
        <f t="shared" si="1035"/>
        <v>0</v>
      </c>
      <c r="U4133" s="1394">
        <f>IFERROR(VLOOKUP(M4133,#REF!,5,0),0)</f>
        <v>0</v>
      </c>
      <c r="V4133" s="1394">
        <f t="shared" si="1036"/>
        <v>0</v>
      </c>
      <c r="W4133" s="1394"/>
    </row>
    <row r="4134" spans="2:23" ht="30" customHeight="1">
      <c r="B4134" s="1405"/>
      <c r="C4134" s="1408" t="str">
        <f t="shared" si="1038"/>
        <v>Ins L&amp;O</v>
      </c>
      <c r="D4134" s="1409">
        <f t="shared" si="1044"/>
        <v>0</v>
      </c>
      <c r="E4134" s="1409">
        <f t="shared" si="1040"/>
        <v>0</v>
      </c>
      <c r="F4134" s="1410">
        <f t="shared" si="1040"/>
        <v>0</v>
      </c>
      <c r="G4134" s="1410">
        <f>G764</f>
        <v>0</v>
      </c>
      <c r="H4134" s="1410">
        <f t="shared" si="1045"/>
        <v>0</v>
      </c>
      <c r="I4134" s="1406">
        <f t="shared" si="1042"/>
        <v>0</v>
      </c>
      <c r="M4134" s="110"/>
      <c r="Q4134" s="1394">
        <f>IFERROR(VLOOKUP(M4134,#REF!,3,0),0)</f>
        <v>0</v>
      </c>
      <c r="R4134" s="1394">
        <f t="shared" si="1032"/>
        <v>0</v>
      </c>
      <c r="S4134" s="1394">
        <f>IFERROR(VLOOKUP(M4134,#REF!,6,0),0)</f>
        <v>0</v>
      </c>
      <c r="T4134" s="1394">
        <f t="shared" si="1035"/>
        <v>0</v>
      </c>
      <c r="U4134" s="1394">
        <f>IFERROR(VLOOKUP(M4134,#REF!,5,0),0)</f>
        <v>0</v>
      </c>
      <c r="V4134" s="1394">
        <f t="shared" si="1036"/>
        <v>0</v>
      </c>
      <c r="W4134" s="1394"/>
    </row>
    <row r="4135" spans="2:23" ht="30" customHeight="1">
      <c r="B4135" s="1405"/>
      <c r="C4135" s="1408" t="str">
        <f t="shared" si="1038"/>
        <v>Cross wall between  Ins L&amp;O / Hall , Toilet</v>
      </c>
      <c r="D4135" s="1409">
        <f t="shared" si="1044"/>
        <v>2</v>
      </c>
      <c r="E4135" s="1409">
        <f t="shared" si="1040"/>
        <v>1</v>
      </c>
      <c r="F4135" s="1410">
        <f t="shared" si="1040"/>
        <v>4</v>
      </c>
      <c r="G4135" s="1410"/>
      <c r="H4135" s="1410">
        <f t="shared" si="1045"/>
        <v>0.1</v>
      </c>
      <c r="I4135" s="1406">
        <f t="shared" si="1042"/>
        <v>0.8</v>
      </c>
      <c r="M4135" s="110"/>
      <c r="Q4135" s="1394">
        <f>IFERROR(VLOOKUP(M4135,#REF!,3,0),0)</f>
        <v>0</v>
      </c>
      <c r="R4135" s="1394">
        <f t="shared" si="1032"/>
        <v>0</v>
      </c>
      <c r="S4135" s="1394">
        <f>IFERROR(VLOOKUP(M4135,#REF!,6,0),0)</f>
        <v>0</v>
      </c>
      <c r="T4135" s="1394">
        <f t="shared" si="1035"/>
        <v>0</v>
      </c>
      <c r="U4135" s="1394">
        <f>IFERROR(VLOOKUP(M4135,#REF!,5,0),0)</f>
        <v>0</v>
      </c>
      <c r="V4135" s="1394">
        <f t="shared" si="1036"/>
        <v>0</v>
      </c>
      <c r="W4135" s="1394"/>
    </row>
    <row r="4136" spans="2:23" ht="30" customHeight="1">
      <c r="B4136" s="1405"/>
      <c r="C4136" s="1408" t="str">
        <f>C767</f>
        <v>Cross wall between  Ins L&amp;O / Hall , Toilet Piller</v>
      </c>
      <c r="D4136" s="1409">
        <f>D767*2</f>
        <v>2</v>
      </c>
      <c r="E4136" s="1409">
        <f t="shared" ref="E4136:F4139" si="1046">E767</f>
        <v>1</v>
      </c>
      <c r="F4136" s="1410">
        <f t="shared" si="1046"/>
        <v>0.43</v>
      </c>
      <c r="G4136" s="1410"/>
      <c r="H4136" s="1410">
        <f>H767</f>
        <v>0.1</v>
      </c>
      <c r="I4136" s="1406">
        <f t="shared" si="1042"/>
        <v>8.6000000000000007E-2</v>
      </c>
      <c r="M4136" s="110"/>
      <c r="Q4136" s="1394">
        <f>IFERROR(VLOOKUP(M4136,#REF!,3,0),0)</f>
        <v>0</v>
      </c>
      <c r="R4136" s="1394">
        <f t="shared" si="1032"/>
        <v>0</v>
      </c>
      <c r="S4136" s="1394">
        <f>IFERROR(VLOOKUP(M4136,#REF!,6,0),0)</f>
        <v>0</v>
      </c>
      <c r="T4136" s="1394">
        <f t="shared" si="1035"/>
        <v>0</v>
      </c>
      <c r="U4136" s="1394">
        <f>IFERROR(VLOOKUP(M4136,#REF!,5,0),0)</f>
        <v>0</v>
      </c>
      <c r="V4136" s="1394">
        <f t="shared" si="1036"/>
        <v>0</v>
      </c>
      <c r="W4136" s="1394"/>
    </row>
    <row r="4137" spans="2:23" ht="30" customHeight="1">
      <c r="B4137" s="1405"/>
      <c r="C4137" s="1408" t="str">
        <f>C768</f>
        <v>Lock up women</v>
      </c>
      <c r="D4137" s="1409">
        <f>D768*2</f>
        <v>0</v>
      </c>
      <c r="E4137" s="1409">
        <f t="shared" si="1046"/>
        <v>0</v>
      </c>
      <c r="F4137" s="1410">
        <f t="shared" si="1046"/>
        <v>0</v>
      </c>
      <c r="G4137" s="1410">
        <f>G768</f>
        <v>0</v>
      </c>
      <c r="H4137" s="1410">
        <f>H768</f>
        <v>0</v>
      </c>
      <c r="I4137" s="1406">
        <f t="shared" si="1042"/>
        <v>0</v>
      </c>
      <c r="M4137" s="110"/>
      <c r="Q4137" s="1394">
        <f>IFERROR(VLOOKUP(M4137,#REF!,3,0),0)</f>
        <v>0</v>
      </c>
      <c r="R4137" s="1394">
        <f t="shared" si="1032"/>
        <v>0</v>
      </c>
      <c r="S4137" s="1394">
        <f>IFERROR(VLOOKUP(M4137,#REF!,6,0),0)</f>
        <v>0</v>
      </c>
      <c r="T4137" s="1394">
        <f t="shared" si="1035"/>
        <v>0</v>
      </c>
      <c r="U4137" s="1394">
        <f>IFERROR(VLOOKUP(M4137,#REF!,5,0),0)</f>
        <v>0</v>
      </c>
      <c r="V4137" s="1394">
        <f t="shared" si="1036"/>
        <v>0</v>
      </c>
      <c r="W4137" s="1394"/>
    </row>
    <row r="4138" spans="2:23" ht="30" customHeight="1">
      <c r="B4138" s="1405"/>
      <c r="C4138" s="1408" t="str">
        <f>C769</f>
        <v>Cross wall between Lock up women / Hall</v>
      </c>
      <c r="D4138" s="1409">
        <f>D769*2</f>
        <v>2</v>
      </c>
      <c r="E4138" s="1409">
        <f t="shared" si="1046"/>
        <v>1</v>
      </c>
      <c r="F4138" s="1410">
        <f t="shared" si="1046"/>
        <v>2.73</v>
      </c>
      <c r="G4138" s="1410"/>
      <c r="H4138" s="1410">
        <f>H769</f>
        <v>0.1</v>
      </c>
      <c r="I4138" s="1406">
        <f t="shared" si="1042"/>
        <v>0.54600000000000004</v>
      </c>
      <c r="M4138" s="110"/>
      <c r="Q4138" s="1394">
        <f>IFERROR(VLOOKUP(M4138,#REF!,3,0),0)</f>
        <v>0</v>
      </c>
      <c r="R4138" s="1394">
        <f t="shared" si="1032"/>
        <v>0</v>
      </c>
      <c r="S4138" s="1394">
        <f>IFERROR(VLOOKUP(M4138,#REF!,6,0),0)</f>
        <v>0</v>
      </c>
      <c r="T4138" s="1394">
        <f t="shared" si="1035"/>
        <v>0</v>
      </c>
      <c r="U4138" s="1394">
        <f>IFERROR(VLOOKUP(M4138,#REF!,5,0),0)</f>
        <v>0</v>
      </c>
      <c r="V4138" s="1394">
        <f t="shared" si="1036"/>
        <v>0</v>
      </c>
      <c r="W4138" s="1394"/>
    </row>
    <row r="4139" spans="2:23" ht="30" customHeight="1">
      <c r="B4139" s="1405"/>
      <c r="C4139" s="1408" t="str">
        <f>C770</f>
        <v>Cross wall between Lock up women / CD File / Store</v>
      </c>
      <c r="D4139" s="1409">
        <f>D770*2</f>
        <v>2</v>
      </c>
      <c r="E4139" s="1409">
        <f t="shared" si="1046"/>
        <v>1</v>
      </c>
      <c r="F4139" s="1410">
        <f t="shared" si="1046"/>
        <v>5.8449999999999998</v>
      </c>
      <c r="G4139" s="1410"/>
      <c r="H4139" s="1410">
        <f>H770</f>
        <v>0.1</v>
      </c>
      <c r="I4139" s="1406">
        <f t="shared" si="1042"/>
        <v>1.169</v>
      </c>
      <c r="M4139" s="110"/>
      <c r="Q4139" s="1394">
        <f>IFERROR(VLOOKUP(M4139,#REF!,3,0),0)</f>
        <v>0</v>
      </c>
      <c r="R4139" s="1394">
        <f t="shared" si="1032"/>
        <v>0</v>
      </c>
      <c r="S4139" s="1394">
        <f>IFERROR(VLOOKUP(M4139,#REF!,6,0),0)</f>
        <v>0</v>
      </c>
      <c r="T4139" s="1394">
        <f t="shared" si="1035"/>
        <v>0</v>
      </c>
      <c r="U4139" s="1394">
        <f>IFERROR(VLOOKUP(M4139,#REF!,5,0),0)</f>
        <v>0</v>
      </c>
      <c r="V4139" s="1394">
        <f t="shared" si="1036"/>
        <v>0</v>
      </c>
      <c r="W4139" s="1394"/>
    </row>
    <row r="4140" spans="2:23" ht="30" customHeight="1">
      <c r="B4140" s="1405"/>
      <c r="C4140" s="1408" t="str">
        <f>C772</f>
        <v>Lock up men</v>
      </c>
      <c r="D4140" s="1409">
        <f>D772*2</f>
        <v>0</v>
      </c>
      <c r="E4140" s="1409">
        <f>E772</f>
        <v>0</v>
      </c>
      <c r="F4140" s="1410">
        <f>F772</f>
        <v>0</v>
      </c>
      <c r="G4140" s="1410">
        <f>G772</f>
        <v>0</v>
      </c>
      <c r="H4140" s="1410">
        <f>H772</f>
        <v>0.1</v>
      </c>
      <c r="I4140" s="1406">
        <f t="shared" si="1042"/>
        <v>0</v>
      </c>
      <c r="M4140" s="110"/>
      <c r="Q4140" s="1394">
        <f>IFERROR(VLOOKUP(M4140,#REF!,3,0),0)</f>
        <v>0</v>
      </c>
      <c r="R4140" s="1394">
        <f t="shared" si="1032"/>
        <v>0</v>
      </c>
      <c r="S4140" s="1394">
        <f>IFERROR(VLOOKUP(M4140,#REF!,6,0),0)</f>
        <v>0</v>
      </c>
      <c r="T4140" s="1394">
        <f t="shared" si="1035"/>
        <v>0</v>
      </c>
      <c r="U4140" s="1394">
        <f>IFERROR(VLOOKUP(M4140,#REF!,5,0),0)</f>
        <v>0</v>
      </c>
      <c r="V4140" s="1394">
        <f t="shared" si="1036"/>
        <v>0</v>
      </c>
      <c r="W4140" s="1394"/>
    </row>
    <row r="4141" spans="2:23" ht="30" customHeight="1">
      <c r="B4141" s="1405"/>
      <c r="C4141" s="1408" t="str">
        <f>C773</f>
        <v>Cross wall between Lock up men / Hall</v>
      </c>
      <c r="D4141" s="1409">
        <f>D773*2</f>
        <v>2</v>
      </c>
      <c r="E4141" s="1409">
        <f>E773</f>
        <v>1</v>
      </c>
      <c r="F4141" s="1410">
        <f>F773</f>
        <v>2.96</v>
      </c>
      <c r="G4141" s="1410"/>
      <c r="H4141" s="1410">
        <f>H773</f>
        <v>0.1</v>
      </c>
      <c r="I4141" s="1406">
        <f t="shared" si="1042"/>
        <v>0.59199999999999997</v>
      </c>
      <c r="M4141" s="110"/>
      <c r="Q4141" s="1394">
        <f>IFERROR(VLOOKUP(M4141,#REF!,3,0),0)</f>
        <v>0</v>
      </c>
      <c r="R4141" s="1394">
        <f t="shared" si="1032"/>
        <v>0</v>
      </c>
      <c r="S4141" s="1394">
        <f>IFERROR(VLOOKUP(M4141,#REF!,6,0),0)</f>
        <v>0</v>
      </c>
      <c r="T4141" s="1394">
        <f t="shared" si="1035"/>
        <v>0</v>
      </c>
      <c r="U4141" s="1394">
        <f>IFERROR(VLOOKUP(M4141,#REF!,5,0),0)</f>
        <v>0</v>
      </c>
      <c r="V4141" s="1394">
        <f t="shared" si="1036"/>
        <v>0</v>
      </c>
      <c r="W4141" s="1394"/>
    </row>
    <row r="4142" spans="2:23" ht="30" customHeight="1">
      <c r="B4142" s="1405"/>
      <c r="C4142" s="1408" t="str">
        <f>C774</f>
        <v>Cross wall between Lock up men / Toilet</v>
      </c>
      <c r="D4142" s="1409">
        <f>D774*2</f>
        <v>2</v>
      </c>
      <c r="E4142" s="1409">
        <f>E774</f>
        <v>1</v>
      </c>
      <c r="F4142" s="1410">
        <f>F774</f>
        <v>5.8449999999999998</v>
      </c>
      <c r="G4142" s="1410"/>
      <c r="H4142" s="1410">
        <f>H774</f>
        <v>0.1</v>
      </c>
      <c r="I4142" s="1406">
        <f t="shared" si="1042"/>
        <v>1.169</v>
      </c>
      <c r="M4142" s="110"/>
      <c r="Q4142" s="1394">
        <f>IFERROR(VLOOKUP(M4142,#REF!,3,0),0)</f>
        <v>0</v>
      </c>
      <c r="R4142" s="1394">
        <f t="shared" ref="R4142:R4205" si="1047">ROUND(O4142,2)*ROUND(Q4142,2)</f>
        <v>0</v>
      </c>
      <c r="S4142" s="1394">
        <f>IFERROR(VLOOKUP(M4142,#REF!,6,0),0)</f>
        <v>0</v>
      </c>
      <c r="T4142" s="1394">
        <f t="shared" si="1035"/>
        <v>0</v>
      </c>
      <c r="U4142" s="1394">
        <f>IFERROR(VLOOKUP(M4142,#REF!,5,0),0)</f>
        <v>0</v>
      </c>
      <c r="V4142" s="1394">
        <f t="shared" si="1036"/>
        <v>0</v>
      </c>
      <c r="W4142" s="1394"/>
    </row>
    <row r="4143" spans="2:23" ht="30" customHeight="1">
      <c r="B4143" s="1405"/>
      <c r="C4143" s="1408" t="str">
        <f t="shared" ref="C4143:C4186" si="1048">C776</f>
        <v>CD File / Store</v>
      </c>
      <c r="D4143" s="1409">
        <f t="shared" ref="D4143:D4174" si="1049">D776*2</f>
        <v>0</v>
      </c>
      <c r="E4143" s="1409">
        <f>E776</f>
        <v>0</v>
      </c>
      <c r="F4143" s="1410">
        <f>F776</f>
        <v>0</v>
      </c>
      <c r="G4143" s="1410">
        <f>G776</f>
        <v>0</v>
      </c>
      <c r="H4143" s="1410">
        <f>H776</f>
        <v>0</v>
      </c>
      <c r="I4143" s="1406">
        <f t="shared" si="1042"/>
        <v>0</v>
      </c>
      <c r="M4143" s="110"/>
      <c r="Q4143" s="1394">
        <f>IFERROR(VLOOKUP(M4143,#REF!,3,0),0)</f>
        <v>0</v>
      </c>
      <c r="R4143" s="1394">
        <f t="shared" si="1047"/>
        <v>0</v>
      </c>
      <c r="S4143" s="1394">
        <f>IFERROR(VLOOKUP(M4143,#REF!,6,0),0)</f>
        <v>0</v>
      </c>
      <c r="T4143" s="1394">
        <f t="shared" si="1035"/>
        <v>0</v>
      </c>
      <c r="U4143" s="1394">
        <f>IFERROR(VLOOKUP(M4143,#REF!,5,0),0)</f>
        <v>0</v>
      </c>
      <c r="V4143" s="1394">
        <f t="shared" si="1036"/>
        <v>0</v>
      </c>
      <c r="W4143" s="1394"/>
    </row>
    <row r="4144" spans="2:23" ht="30" customHeight="1">
      <c r="B4144" s="1405"/>
      <c r="C4144" s="1408" t="str">
        <f t="shared" si="1048"/>
        <v>Cross wall between CD File / Store and Toilet</v>
      </c>
      <c r="D4144" s="1409">
        <f t="shared" si="1049"/>
        <v>2</v>
      </c>
      <c r="E4144" s="1409">
        <f t="shared" ref="E4144:F4163" si="1050">E777</f>
        <v>1</v>
      </c>
      <c r="F4144" s="1410">
        <f t="shared" si="1050"/>
        <v>1.6850000000000001</v>
      </c>
      <c r="G4144" s="1410"/>
      <c r="H4144" s="1410">
        <f t="shared" ref="H4144:H4186" si="1051">H777</f>
        <v>0.1</v>
      </c>
      <c r="I4144" s="1406">
        <f t="shared" si="1042"/>
        <v>0.33700000000000002</v>
      </c>
      <c r="M4144" s="110"/>
      <c r="Q4144" s="1394">
        <f>IFERROR(VLOOKUP(M4144,#REF!,3,0),0)</f>
        <v>0</v>
      </c>
      <c r="R4144" s="1394">
        <f t="shared" si="1047"/>
        <v>0</v>
      </c>
      <c r="S4144" s="1394">
        <f>IFERROR(VLOOKUP(M4144,#REF!,6,0),0)</f>
        <v>0</v>
      </c>
      <c r="T4144" s="1394">
        <f t="shared" si="1035"/>
        <v>0</v>
      </c>
      <c r="U4144" s="1394">
        <f>IFERROR(VLOOKUP(M4144,#REF!,5,0),0)</f>
        <v>0</v>
      </c>
      <c r="V4144" s="1394">
        <f t="shared" si="1036"/>
        <v>0</v>
      </c>
      <c r="W4144" s="1394"/>
    </row>
    <row r="4145" spans="2:23" ht="30" customHeight="1">
      <c r="B4145" s="1405"/>
      <c r="C4145" s="1408" t="str">
        <f t="shared" si="1048"/>
        <v>Cross wall between CD File / CCTN</v>
      </c>
      <c r="D4145" s="1409">
        <f t="shared" si="1049"/>
        <v>2</v>
      </c>
      <c r="E4145" s="1409">
        <f t="shared" si="1050"/>
        <v>1</v>
      </c>
      <c r="F4145" s="1410">
        <f t="shared" si="1050"/>
        <v>1.2</v>
      </c>
      <c r="G4145" s="1410"/>
      <c r="H4145" s="1410">
        <f t="shared" si="1051"/>
        <v>0.1</v>
      </c>
      <c r="I4145" s="1406">
        <f t="shared" si="1042"/>
        <v>0.24</v>
      </c>
      <c r="M4145" s="110"/>
      <c r="Q4145" s="1394">
        <f>IFERROR(VLOOKUP(M4145,#REF!,3,0),0)</f>
        <v>0</v>
      </c>
      <c r="R4145" s="1394">
        <f t="shared" si="1047"/>
        <v>0</v>
      </c>
      <c r="S4145" s="1394">
        <f>IFERROR(VLOOKUP(M4145,#REF!,6,0),0)</f>
        <v>0</v>
      </c>
      <c r="T4145" s="1394">
        <f t="shared" si="1035"/>
        <v>0</v>
      </c>
      <c r="U4145" s="1394">
        <f>IFERROR(VLOOKUP(M4145,#REF!,5,0),0)</f>
        <v>0</v>
      </c>
      <c r="V4145" s="1394">
        <f t="shared" si="1036"/>
        <v>0</v>
      </c>
      <c r="W4145" s="1394"/>
    </row>
    <row r="4146" spans="2:23" ht="30" customHeight="1">
      <c r="B4146" s="1405"/>
      <c r="C4146" s="1408" t="str">
        <f t="shared" si="1048"/>
        <v>Computer CCTN</v>
      </c>
      <c r="D4146" s="1409">
        <f t="shared" si="1049"/>
        <v>0</v>
      </c>
      <c r="E4146" s="1409">
        <f t="shared" si="1050"/>
        <v>0</v>
      </c>
      <c r="F4146" s="1410">
        <f t="shared" si="1050"/>
        <v>0</v>
      </c>
      <c r="G4146" s="1410"/>
      <c r="H4146" s="1410">
        <f t="shared" si="1051"/>
        <v>0</v>
      </c>
      <c r="I4146" s="1406">
        <f t="shared" si="1042"/>
        <v>0</v>
      </c>
      <c r="M4146" s="110"/>
      <c r="Q4146" s="1394">
        <f>IFERROR(VLOOKUP(M4146,#REF!,3,0),0)</f>
        <v>0</v>
      </c>
      <c r="R4146" s="1394">
        <f t="shared" si="1047"/>
        <v>0</v>
      </c>
      <c r="S4146" s="1394">
        <f>IFERROR(VLOOKUP(M4146,#REF!,6,0),0)</f>
        <v>0</v>
      </c>
      <c r="T4146" s="1394">
        <f t="shared" si="1035"/>
        <v>0</v>
      </c>
      <c r="U4146" s="1394">
        <f>IFERROR(VLOOKUP(M4146,#REF!,5,0),0)</f>
        <v>0</v>
      </c>
      <c r="V4146" s="1394">
        <f t="shared" si="1036"/>
        <v>0</v>
      </c>
      <c r="W4146" s="1394"/>
    </row>
    <row r="4147" spans="2:23" ht="30" customHeight="1">
      <c r="B4147" s="1405"/>
      <c r="C4147" s="1408" t="str">
        <f t="shared" si="1048"/>
        <v>Cross wall between Computer CCTN /Hall</v>
      </c>
      <c r="D4147" s="1409">
        <f t="shared" si="1049"/>
        <v>2</v>
      </c>
      <c r="E4147" s="1409">
        <f t="shared" si="1050"/>
        <v>1</v>
      </c>
      <c r="F4147" s="1410">
        <f t="shared" si="1050"/>
        <v>3.9249999999999998</v>
      </c>
      <c r="G4147" s="1410"/>
      <c r="H4147" s="1410">
        <f t="shared" si="1051"/>
        <v>0.1</v>
      </c>
      <c r="I4147" s="1406">
        <f t="shared" si="1042"/>
        <v>0.78500000000000003</v>
      </c>
      <c r="M4147" s="110"/>
      <c r="Q4147" s="1394">
        <f>IFERROR(VLOOKUP(M4147,#REF!,3,0),0)</f>
        <v>0</v>
      </c>
      <c r="R4147" s="1394">
        <f t="shared" si="1047"/>
        <v>0</v>
      </c>
      <c r="S4147" s="1394">
        <f>IFERROR(VLOOKUP(M4147,#REF!,6,0),0)</f>
        <v>0</v>
      </c>
      <c r="T4147" s="1394">
        <f t="shared" si="1035"/>
        <v>0</v>
      </c>
      <c r="U4147" s="1394">
        <f>IFERROR(VLOOKUP(M4147,#REF!,5,0),0)</f>
        <v>0</v>
      </c>
      <c r="V4147" s="1394">
        <f t="shared" si="1036"/>
        <v>0</v>
      </c>
      <c r="W4147" s="1394"/>
    </row>
    <row r="4148" spans="2:23" ht="30" customHeight="1">
      <c r="B4148" s="1405"/>
      <c r="C4148" s="1408" t="str">
        <f t="shared" si="1048"/>
        <v>Station Writer</v>
      </c>
      <c r="D4148" s="1409">
        <f t="shared" si="1049"/>
        <v>0</v>
      </c>
      <c r="E4148" s="1409">
        <f t="shared" si="1050"/>
        <v>0</v>
      </c>
      <c r="F4148" s="1410">
        <f t="shared" si="1050"/>
        <v>0</v>
      </c>
      <c r="G4148" s="1410"/>
      <c r="H4148" s="1410">
        <f t="shared" si="1051"/>
        <v>0</v>
      </c>
      <c r="I4148" s="1406">
        <f t="shared" si="1042"/>
        <v>0</v>
      </c>
      <c r="M4148" s="110"/>
      <c r="Q4148" s="1394">
        <f>IFERROR(VLOOKUP(M4148,#REF!,3,0),0)</f>
        <v>0</v>
      </c>
      <c r="R4148" s="1394">
        <f t="shared" si="1047"/>
        <v>0</v>
      </c>
      <c r="S4148" s="1394">
        <f>IFERROR(VLOOKUP(M4148,#REF!,6,0),0)</f>
        <v>0</v>
      </c>
      <c r="T4148" s="1394">
        <f t="shared" si="1035"/>
        <v>0</v>
      </c>
      <c r="U4148" s="1394">
        <f>IFERROR(VLOOKUP(M4148,#REF!,5,0),0)</f>
        <v>0</v>
      </c>
      <c r="V4148" s="1394">
        <f t="shared" si="1036"/>
        <v>0</v>
      </c>
      <c r="W4148" s="1394"/>
    </row>
    <row r="4149" spans="2:23" ht="30" customHeight="1">
      <c r="B4149" s="1405"/>
      <c r="C4149" s="1408" t="str">
        <f t="shared" si="1048"/>
        <v xml:space="preserve">Cross wall between Station Writer / Arm </v>
      </c>
      <c r="D4149" s="1409">
        <f t="shared" si="1049"/>
        <v>2</v>
      </c>
      <c r="E4149" s="1409">
        <f t="shared" si="1050"/>
        <v>1</v>
      </c>
      <c r="F4149" s="1410">
        <f t="shared" si="1050"/>
        <v>4.13</v>
      </c>
      <c r="G4149" s="1410"/>
      <c r="H4149" s="1410">
        <f t="shared" si="1051"/>
        <v>0.1</v>
      </c>
      <c r="I4149" s="1406">
        <f t="shared" si="1042"/>
        <v>0.82600000000000007</v>
      </c>
      <c r="M4149" s="110"/>
      <c r="Q4149" s="1394">
        <f>IFERROR(VLOOKUP(M4149,#REF!,3,0),0)</f>
        <v>0</v>
      </c>
      <c r="R4149" s="1394">
        <f t="shared" si="1047"/>
        <v>0</v>
      </c>
      <c r="S4149" s="1394">
        <f>IFERROR(VLOOKUP(M4149,#REF!,6,0),0)</f>
        <v>0</v>
      </c>
      <c r="T4149" s="1394">
        <f t="shared" si="1035"/>
        <v>0</v>
      </c>
      <c r="U4149" s="1394">
        <f>IFERROR(VLOOKUP(M4149,#REF!,5,0),0)</f>
        <v>0</v>
      </c>
      <c r="V4149" s="1394">
        <f t="shared" si="1036"/>
        <v>0</v>
      </c>
      <c r="W4149" s="1394"/>
    </row>
    <row r="4150" spans="2:23" ht="30" customHeight="1">
      <c r="B4150" s="1405"/>
      <c r="C4150" s="1408" t="str">
        <f t="shared" si="1048"/>
        <v>Cross wall between Station Writer / Hall</v>
      </c>
      <c r="D4150" s="1409">
        <f t="shared" si="1049"/>
        <v>2</v>
      </c>
      <c r="E4150" s="1409">
        <f t="shared" si="1050"/>
        <v>1</v>
      </c>
      <c r="F4150" s="1410">
        <f t="shared" si="1050"/>
        <v>2.5499999999999998</v>
      </c>
      <c r="G4150" s="1410"/>
      <c r="H4150" s="1410">
        <f t="shared" si="1051"/>
        <v>0.1</v>
      </c>
      <c r="I4150" s="1406">
        <f t="shared" si="1042"/>
        <v>0.51</v>
      </c>
      <c r="M4150" s="110"/>
      <c r="Q4150" s="1394">
        <f>IFERROR(VLOOKUP(M4150,#REF!,3,0),0)</f>
        <v>0</v>
      </c>
      <c r="R4150" s="1394">
        <f t="shared" si="1047"/>
        <v>0</v>
      </c>
      <c r="S4150" s="1394">
        <f>IFERROR(VLOOKUP(M4150,#REF!,6,0),0)</f>
        <v>0</v>
      </c>
      <c r="T4150" s="1394">
        <f t="shared" si="1035"/>
        <v>0</v>
      </c>
      <c r="U4150" s="1394">
        <f>IFERROR(VLOOKUP(M4150,#REF!,5,0),0)</f>
        <v>0</v>
      </c>
      <c r="V4150" s="1394">
        <f t="shared" si="1036"/>
        <v>0</v>
      </c>
      <c r="W4150" s="1394"/>
    </row>
    <row r="4151" spans="2:23" ht="30" customHeight="1">
      <c r="B4151" s="1405"/>
      <c r="C4151" s="1408" t="str">
        <f t="shared" si="1048"/>
        <v>Cross wall between Station Writer / Hall Loft above</v>
      </c>
      <c r="D4151" s="1409">
        <f t="shared" si="1049"/>
        <v>2</v>
      </c>
      <c r="E4151" s="1409">
        <f t="shared" si="1050"/>
        <v>1</v>
      </c>
      <c r="F4151" s="1410">
        <f t="shared" si="1050"/>
        <v>2.5499999999999998</v>
      </c>
      <c r="G4151" s="1410"/>
      <c r="H4151" s="1410">
        <f t="shared" si="1051"/>
        <v>0.1</v>
      </c>
      <c r="I4151" s="1406">
        <f t="shared" si="1042"/>
        <v>0.51</v>
      </c>
      <c r="M4151" s="110"/>
      <c r="Q4151" s="1394">
        <f>IFERROR(VLOOKUP(M4151,#REF!,3,0),0)</f>
        <v>0</v>
      </c>
      <c r="R4151" s="1394">
        <f t="shared" si="1047"/>
        <v>0</v>
      </c>
      <c r="S4151" s="1394">
        <f>IFERROR(VLOOKUP(M4151,#REF!,6,0),0)</f>
        <v>0</v>
      </c>
      <c r="T4151" s="1394">
        <f t="shared" si="1035"/>
        <v>0</v>
      </c>
      <c r="U4151" s="1394">
        <f>IFERROR(VLOOKUP(M4151,#REF!,5,0),0)</f>
        <v>0</v>
      </c>
      <c r="V4151" s="1394">
        <f t="shared" si="1036"/>
        <v>0</v>
      </c>
      <c r="W4151" s="1394"/>
    </row>
    <row r="4152" spans="2:23" ht="30" customHeight="1">
      <c r="B4152" s="1407"/>
      <c r="C4152" s="1408" t="str">
        <f t="shared" si="1048"/>
        <v>Arm Ammunition</v>
      </c>
      <c r="D4152" s="1409">
        <f t="shared" si="1049"/>
        <v>0</v>
      </c>
      <c r="E4152" s="1409">
        <f t="shared" si="1050"/>
        <v>0</v>
      </c>
      <c r="F4152" s="1410">
        <f t="shared" si="1050"/>
        <v>0</v>
      </c>
      <c r="G4152" s="1410"/>
      <c r="H4152" s="1410">
        <f t="shared" si="1051"/>
        <v>0</v>
      </c>
      <c r="I4152" s="1406">
        <f t="shared" si="1042"/>
        <v>0</v>
      </c>
      <c r="M4152" s="110"/>
      <c r="Q4152" s="1394">
        <f>IFERROR(VLOOKUP(M4152,#REF!,3,0),0)</f>
        <v>0</v>
      </c>
      <c r="R4152" s="1394">
        <f t="shared" si="1047"/>
        <v>0</v>
      </c>
      <c r="S4152" s="1394">
        <f>IFERROR(VLOOKUP(M4152,#REF!,6,0),0)</f>
        <v>0</v>
      </c>
      <c r="T4152" s="1394">
        <f t="shared" si="1035"/>
        <v>0</v>
      </c>
      <c r="U4152" s="1394">
        <f>IFERROR(VLOOKUP(M4152,#REF!,5,0),0)</f>
        <v>0</v>
      </c>
      <c r="V4152" s="1394">
        <f t="shared" si="1036"/>
        <v>0</v>
      </c>
      <c r="W4152" s="1394"/>
    </row>
    <row r="4153" spans="2:23" ht="30" customHeight="1">
      <c r="B4153" s="1407"/>
      <c r="C4153" s="1408" t="str">
        <f t="shared" si="1048"/>
        <v xml:space="preserve">Cross wall between Hall/ Arm </v>
      </c>
      <c r="D4153" s="1409">
        <f t="shared" si="1049"/>
        <v>2</v>
      </c>
      <c r="E4153" s="1409">
        <f t="shared" si="1050"/>
        <v>1</v>
      </c>
      <c r="F4153" s="1410">
        <f t="shared" si="1050"/>
        <v>1.9650000000000001</v>
      </c>
      <c r="G4153" s="1410"/>
      <c r="H4153" s="1410">
        <f t="shared" si="1051"/>
        <v>0.1</v>
      </c>
      <c r="I4153" s="1406">
        <f t="shared" si="1042"/>
        <v>0.39300000000000002</v>
      </c>
      <c r="M4153" s="110"/>
      <c r="Q4153" s="1394">
        <f>IFERROR(VLOOKUP(M4153,#REF!,3,0),0)</f>
        <v>0</v>
      </c>
      <c r="R4153" s="1394">
        <f t="shared" si="1047"/>
        <v>0</v>
      </c>
      <c r="S4153" s="1394">
        <f>IFERROR(VLOOKUP(M4153,#REF!,6,0),0)</f>
        <v>0</v>
      </c>
      <c r="T4153" s="1394">
        <f t="shared" si="1035"/>
        <v>0</v>
      </c>
      <c r="U4153" s="1394">
        <f>IFERROR(VLOOKUP(M4153,#REF!,5,0),0)</f>
        <v>0</v>
      </c>
      <c r="V4153" s="1394">
        <f t="shared" si="1036"/>
        <v>0</v>
      </c>
      <c r="W4153" s="1394"/>
    </row>
    <row r="4154" spans="2:23" ht="30" customHeight="1">
      <c r="B4154" s="1407"/>
      <c r="C4154" s="1408" t="str">
        <f t="shared" si="1048"/>
        <v xml:space="preserve">Cross wall between Record / Arm </v>
      </c>
      <c r="D4154" s="1409">
        <f t="shared" si="1049"/>
        <v>2</v>
      </c>
      <c r="E4154" s="1409">
        <f t="shared" si="1050"/>
        <v>1</v>
      </c>
      <c r="F4154" s="1410">
        <f t="shared" si="1050"/>
        <v>2.5499999999999998</v>
      </c>
      <c r="G4154" s="1410"/>
      <c r="H4154" s="1410">
        <f t="shared" si="1051"/>
        <v>0.1</v>
      </c>
      <c r="I4154" s="1406">
        <f t="shared" si="1042"/>
        <v>0.51</v>
      </c>
      <c r="M4154" s="110"/>
      <c r="Q4154" s="1394">
        <f>IFERROR(VLOOKUP(M4154,#REF!,3,0),0)</f>
        <v>0</v>
      </c>
      <c r="R4154" s="1394">
        <f t="shared" si="1047"/>
        <v>0</v>
      </c>
      <c r="S4154" s="1394">
        <f>IFERROR(VLOOKUP(M4154,#REF!,6,0),0)</f>
        <v>0</v>
      </c>
      <c r="T4154" s="1394">
        <f t="shared" si="1035"/>
        <v>0</v>
      </c>
      <c r="U4154" s="1394">
        <f>IFERROR(VLOOKUP(M4154,#REF!,5,0),0)</f>
        <v>0</v>
      </c>
      <c r="V4154" s="1394">
        <f t="shared" si="1036"/>
        <v>0</v>
      </c>
      <c r="W4154" s="1394"/>
    </row>
    <row r="4155" spans="2:23" ht="30" customHeight="1">
      <c r="B4155" s="1407"/>
      <c r="C4155" s="1408" t="str">
        <f t="shared" si="1048"/>
        <v>Record</v>
      </c>
      <c r="D4155" s="1409">
        <f t="shared" si="1049"/>
        <v>0</v>
      </c>
      <c r="E4155" s="1409">
        <f t="shared" si="1050"/>
        <v>0</v>
      </c>
      <c r="F4155" s="1410">
        <f t="shared" si="1050"/>
        <v>0</v>
      </c>
      <c r="G4155" s="1410"/>
      <c r="H4155" s="1410">
        <f t="shared" si="1051"/>
        <v>0.1</v>
      </c>
      <c r="I4155" s="1406">
        <f t="shared" si="1042"/>
        <v>0</v>
      </c>
      <c r="M4155" s="110"/>
      <c r="Q4155" s="1394">
        <f>IFERROR(VLOOKUP(M4155,#REF!,3,0),0)</f>
        <v>0</v>
      </c>
      <c r="R4155" s="1394">
        <f t="shared" si="1047"/>
        <v>0</v>
      </c>
      <c r="S4155" s="1394">
        <f>IFERROR(VLOOKUP(M4155,#REF!,6,0),0)</f>
        <v>0</v>
      </c>
      <c r="T4155" s="1394">
        <f t="shared" si="1035"/>
        <v>0</v>
      </c>
      <c r="U4155" s="1394">
        <f>IFERROR(VLOOKUP(M4155,#REF!,5,0),0)</f>
        <v>0</v>
      </c>
      <c r="V4155" s="1394">
        <f t="shared" si="1036"/>
        <v>0</v>
      </c>
      <c r="W4155" s="1394"/>
    </row>
    <row r="4156" spans="2:23" ht="30" customHeight="1">
      <c r="B4156" s="1407"/>
      <c r="C4156" s="1408" t="str">
        <f t="shared" si="1048"/>
        <v>Cross wall between  Record / Toilet</v>
      </c>
      <c r="D4156" s="1409">
        <f t="shared" si="1049"/>
        <v>2</v>
      </c>
      <c r="E4156" s="1409">
        <f t="shared" si="1050"/>
        <v>1</v>
      </c>
      <c r="F4156" s="1410">
        <f t="shared" si="1050"/>
        <v>3.88</v>
      </c>
      <c r="G4156" s="1410"/>
      <c r="H4156" s="1410">
        <f t="shared" si="1051"/>
        <v>0.1</v>
      </c>
      <c r="I4156" s="1406">
        <f t="shared" si="1042"/>
        <v>0.77600000000000002</v>
      </c>
      <c r="M4156" s="110"/>
      <c r="Q4156" s="1394">
        <f>IFERROR(VLOOKUP(M4156,#REF!,3,0),0)</f>
        <v>0</v>
      </c>
      <c r="R4156" s="1394">
        <f t="shared" si="1047"/>
        <v>0</v>
      </c>
      <c r="S4156" s="1394">
        <f>IFERROR(VLOOKUP(M4156,#REF!,6,0),0)</f>
        <v>0</v>
      </c>
      <c r="T4156" s="1394">
        <f t="shared" si="1035"/>
        <v>0</v>
      </c>
      <c r="U4156" s="1394">
        <f>IFERROR(VLOOKUP(M4156,#REF!,5,0),0)</f>
        <v>0</v>
      </c>
      <c r="V4156" s="1394">
        <f t="shared" si="1036"/>
        <v>0</v>
      </c>
      <c r="W4156" s="1394"/>
    </row>
    <row r="4157" spans="2:23" ht="30" customHeight="1">
      <c r="B4157" s="1407"/>
      <c r="C4157" s="1408" t="str">
        <f t="shared" si="1048"/>
        <v>Elevation Piller</v>
      </c>
      <c r="D4157" s="1409">
        <f t="shared" si="1049"/>
        <v>2</v>
      </c>
      <c r="E4157" s="1409">
        <f t="shared" si="1050"/>
        <v>4</v>
      </c>
      <c r="F4157" s="1410">
        <f t="shared" si="1050"/>
        <v>0.6</v>
      </c>
      <c r="G4157" s="1410"/>
      <c r="H4157" s="1410">
        <f t="shared" si="1051"/>
        <v>0.1</v>
      </c>
      <c r="I4157" s="1406">
        <f t="shared" si="1042"/>
        <v>0.48</v>
      </c>
      <c r="M4157" s="110"/>
      <c r="Q4157" s="1394">
        <f>IFERROR(VLOOKUP(M4157,#REF!,3,0),0)</f>
        <v>0</v>
      </c>
      <c r="R4157" s="1394">
        <f t="shared" si="1047"/>
        <v>0</v>
      </c>
      <c r="S4157" s="1394">
        <f>IFERROR(VLOOKUP(M4157,#REF!,6,0),0)</f>
        <v>0</v>
      </c>
      <c r="T4157" s="1394">
        <f t="shared" si="1035"/>
        <v>0</v>
      </c>
      <c r="U4157" s="1394">
        <f>IFERROR(VLOOKUP(M4157,#REF!,5,0),0)</f>
        <v>0</v>
      </c>
      <c r="V4157" s="1394">
        <f t="shared" si="1036"/>
        <v>0</v>
      </c>
      <c r="W4157" s="1394"/>
    </row>
    <row r="4158" spans="2:23" ht="30" customHeight="1">
      <c r="B4158" s="1407"/>
      <c r="C4158" s="1408" t="str">
        <f t="shared" si="1048"/>
        <v>Partition wall Lintel</v>
      </c>
      <c r="D4158" s="1409">
        <f t="shared" si="1049"/>
        <v>0</v>
      </c>
      <c r="E4158" s="1409">
        <f t="shared" si="1050"/>
        <v>0</v>
      </c>
      <c r="F4158" s="1410">
        <f t="shared" si="1050"/>
        <v>0</v>
      </c>
      <c r="G4158" s="1410">
        <f>G791</f>
        <v>0</v>
      </c>
      <c r="H4158" s="1410">
        <f t="shared" si="1051"/>
        <v>0</v>
      </c>
      <c r="I4158" s="1406">
        <f t="shared" si="1042"/>
        <v>0</v>
      </c>
      <c r="M4158" s="110"/>
      <c r="Q4158" s="1394">
        <f>IFERROR(VLOOKUP(M4158,#REF!,3,0),0)</f>
        <v>0</v>
      </c>
      <c r="R4158" s="1394">
        <f t="shared" si="1047"/>
        <v>0</v>
      </c>
      <c r="S4158" s="1394">
        <f>IFERROR(VLOOKUP(M4158,#REF!,6,0),0)</f>
        <v>0</v>
      </c>
      <c r="T4158" s="1394">
        <f t="shared" si="1035"/>
        <v>0</v>
      </c>
      <c r="U4158" s="1394">
        <f>IFERROR(VLOOKUP(M4158,#REF!,5,0),0)</f>
        <v>0</v>
      </c>
      <c r="V4158" s="1394">
        <f t="shared" si="1036"/>
        <v>0</v>
      </c>
      <c r="W4158" s="1394"/>
    </row>
    <row r="4159" spans="2:23" ht="30" customHeight="1">
      <c r="B4159" s="1407"/>
      <c r="C4159" s="1412" t="str">
        <f t="shared" si="1048"/>
        <v>SI Room</v>
      </c>
      <c r="D4159" s="1409">
        <f t="shared" si="1049"/>
        <v>0</v>
      </c>
      <c r="E4159" s="103">
        <f t="shared" si="1050"/>
        <v>0</v>
      </c>
      <c r="F4159" s="1413">
        <f t="shared" si="1050"/>
        <v>0</v>
      </c>
      <c r="G4159" s="1413">
        <f>G792</f>
        <v>0</v>
      </c>
      <c r="H4159" s="1414">
        <f t="shared" si="1051"/>
        <v>0</v>
      </c>
      <c r="I4159" s="1406">
        <f t="shared" si="1042"/>
        <v>0</v>
      </c>
      <c r="M4159" s="110"/>
      <c r="Q4159" s="1394">
        <f>IFERROR(VLOOKUP(M4159,#REF!,3,0),0)</f>
        <v>0</v>
      </c>
      <c r="R4159" s="1394">
        <f t="shared" si="1047"/>
        <v>0</v>
      </c>
      <c r="S4159" s="1394">
        <f>IFERROR(VLOOKUP(M4159,#REF!,6,0),0)</f>
        <v>0</v>
      </c>
      <c r="T4159" s="1394">
        <f t="shared" si="1035"/>
        <v>0</v>
      </c>
      <c r="U4159" s="1394">
        <f>IFERROR(VLOOKUP(M4159,#REF!,5,0),0)</f>
        <v>0</v>
      </c>
      <c r="V4159" s="1394">
        <f t="shared" si="1036"/>
        <v>0</v>
      </c>
      <c r="W4159" s="1394"/>
    </row>
    <row r="4160" spans="2:23" ht="30" customHeight="1">
      <c r="B4160" s="1407"/>
      <c r="C4160" s="1412" t="str">
        <f t="shared" si="1048"/>
        <v>C/B Wall</v>
      </c>
      <c r="D4160" s="1409">
        <f t="shared" si="1049"/>
        <v>2</v>
      </c>
      <c r="E4160" s="103">
        <f t="shared" si="1050"/>
        <v>1</v>
      </c>
      <c r="F4160" s="1413">
        <f t="shared" si="1050"/>
        <v>0.6</v>
      </c>
      <c r="G4160" s="1413"/>
      <c r="H4160" s="1414">
        <f t="shared" si="1051"/>
        <v>0.1</v>
      </c>
      <c r="I4160" s="1406">
        <f t="shared" si="1042"/>
        <v>0.12</v>
      </c>
      <c r="M4160" s="110"/>
      <c r="Q4160" s="1394">
        <f>IFERROR(VLOOKUP(M4160,#REF!,3,0),0)</f>
        <v>0</v>
      </c>
      <c r="R4160" s="1394">
        <f t="shared" si="1047"/>
        <v>0</v>
      </c>
      <c r="S4160" s="1394">
        <f>IFERROR(VLOOKUP(M4160,#REF!,6,0),0)</f>
        <v>0</v>
      </c>
      <c r="T4160" s="1394">
        <f t="shared" si="1035"/>
        <v>0</v>
      </c>
      <c r="U4160" s="1394">
        <f>IFERROR(VLOOKUP(M4160,#REF!,5,0),0)</f>
        <v>0</v>
      </c>
      <c r="V4160" s="1394">
        <f t="shared" si="1036"/>
        <v>0</v>
      </c>
      <c r="W4160" s="1394"/>
    </row>
    <row r="4161" spans="2:23" ht="30" customHeight="1">
      <c r="B4161" s="1407"/>
      <c r="C4161" s="1455" t="str">
        <f t="shared" si="1048"/>
        <v>Cross wall between Toilet / Passage</v>
      </c>
      <c r="D4161" s="1409">
        <f t="shared" si="1049"/>
        <v>2</v>
      </c>
      <c r="E4161" s="103">
        <f t="shared" si="1050"/>
        <v>1</v>
      </c>
      <c r="F4161" s="1413">
        <f t="shared" si="1050"/>
        <v>1.5</v>
      </c>
      <c r="G4161" s="1413"/>
      <c r="H4161" s="1414">
        <f t="shared" si="1051"/>
        <v>0.1</v>
      </c>
      <c r="I4161" s="1406">
        <f t="shared" si="1042"/>
        <v>0.30000000000000004</v>
      </c>
      <c r="M4161" s="110"/>
      <c r="Q4161" s="1394">
        <f>IFERROR(VLOOKUP(M4161,#REF!,3,0),0)</f>
        <v>0</v>
      </c>
      <c r="R4161" s="1394">
        <f t="shared" si="1047"/>
        <v>0</v>
      </c>
      <c r="S4161" s="1394">
        <f>IFERROR(VLOOKUP(M4161,#REF!,6,0),0)</f>
        <v>0</v>
      </c>
      <c r="T4161" s="1394">
        <f t="shared" si="1035"/>
        <v>0</v>
      </c>
      <c r="U4161" s="1394">
        <f>IFERROR(VLOOKUP(M4161,#REF!,5,0),0)</f>
        <v>0</v>
      </c>
      <c r="V4161" s="1394">
        <f t="shared" si="1036"/>
        <v>0</v>
      </c>
      <c r="W4161" s="1394"/>
    </row>
    <row r="4162" spans="2:23" ht="30" customHeight="1">
      <c r="B4162" s="1407"/>
      <c r="C4162" s="1455" t="str">
        <f t="shared" si="1048"/>
        <v>Cross wall between Hall  / Passage</v>
      </c>
      <c r="D4162" s="1409">
        <f t="shared" si="1049"/>
        <v>2</v>
      </c>
      <c r="E4162" s="103">
        <f t="shared" si="1050"/>
        <v>1</v>
      </c>
      <c r="F4162" s="1413">
        <f t="shared" si="1050"/>
        <v>1.5</v>
      </c>
      <c r="G4162" s="1413"/>
      <c r="H4162" s="1414">
        <f t="shared" si="1051"/>
        <v>0.1</v>
      </c>
      <c r="I4162" s="1406">
        <f t="shared" si="1042"/>
        <v>0.30000000000000004</v>
      </c>
      <c r="M4162" s="110"/>
      <c r="Q4162" s="1394">
        <f>IFERROR(VLOOKUP(M4162,#REF!,3,0),0)</f>
        <v>0</v>
      </c>
      <c r="R4162" s="1394">
        <f t="shared" si="1047"/>
        <v>0</v>
      </c>
      <c r="S4162" s="1394">
        <f>IFERROR(VLOOKUP(M4162,#REF!,6,0),0)</f>
        <v>0</v>
      </c>
      <c r="T4162" s="1394">
        <f t="shared" si="1035"/>
        <v>0</v>
      </c>
      <c r="U4162" s="1394">
        <f>IFERROR(VLOOKUP(M4162,#REF!,5,0),0)</f>
        <v>0</v>
      </c>
      <c r="V4162" s="1394">
        <f t="shared" si="1036"/>
        <v>0</v>
      </c>
      <c r="W4162" s="1394"/>
    </row>
    <row r="4163" spans="2:23" ht="30" customHeight="1">
      <c r="B4163" s="1407"/>
      <c r="C4163" s="1455" t="str">
        <f t="shared" si="1048"/>
        <v>Writer</v>
      </c>
      <c r="D4163" s="1409">
        <f t="shared" si="1049"/>
        <v>0</v>
      </c>
      <c r="E4163" s="103">
        <f t="shared" si="1050"/>
        <v>0</v>
      </c>
      <c r="F4163" s="1413">
        <f t="shared" si="1050"/>
        <v>0</v>
      </c>
      <c r="G4163" s="1413"/>
      <c r="H4163" s="1414">
        <f t="shared" si="1051"/>
        <v>0</v>
      </c>
      <c r="I4163" s="1406">
        <f t="shared" si="1042"/>
        <v>0</v>
      </c>
      <c r="M4163" s="110"/>
      <c r="Q4163" s="1394">
        <f>IFERROR(VLOOKUP(M4163,#REF!,3,0),0)</f>
        <v>0</v>
      </c>
      <c r="R4163" s="1394">
        <f t="shared" si="1047"/>
        <v>0</v>
      </c>
      <c r="S4163" s="1394">
        <f>IFERROR(VLOOKUP(M4163,#REF!,6,0),0)</f>
        <v>0</v>
      </c>
      <c r="T4163" s="1394">
        <f t="shared" ref="T4163:T4226" si="1052">R4163-S4163</f>
        <v>0</v>
      </c>
      <c r="U4163" s="1394">
        <f>IFERROR(VLOOKUP(M4163,#REF!,5,0),0)</f>
        <v>0</v>
      </c>
      <c r="V4163" s="1394">
        <f t="shared" ref="V4163:V4226" si="1053">O4163-U4163</f>
        <v>0</v>
      </c>
      <c r="W4163" s="1394"/>
    </row>
    <row r="4164" spans="2:23" ht="30" customHeight="1">
      <c r="B4164" s="1407"/>
      <c r="C4164" s="1412" t="str">
        <f t="shared" si="1048"/>
        <v>C/B Wall</v>
      </c>
      <c r="D4164" s="1409">
        <f t="shared" si="1049"/>
        <v>2</v>
      </c>
      <c r="E4164" s="103">
        <f t="shared" ref="E4164:F4183" si="1054">E797</f>
        <v>1</v>
      </c>
      <c r="F4164" s="1413">
        <f t="shared" si="1054"/>
        <v>0.6</v>
      </c>
      <c r="G4164" s="1413"/>
      <c r="H4164" s="1414">
        <f t="shared" si="1051"/>
        <v>0.1</v>
      </c>
      <c r="I4164" s="1406">
        <f t="shared" si="1042"/>
        <v>0.12</v>
      </c>
      <c r="M4164" s="110"/>
      <c r="Q4164" s="1394">
        <f>IFERROR(VLOOKUP(M4164,#REF!,3,0),0)</f>
        <v>0</v>
      </c>
      <c r="R4164" s="1394">
        <f t="shared" si="1047"/>
        <v>0</v>
      </c>
      <c r="S4164" s="1394">
        <f>IFERROR(VLOOKUP(M4164,#REF!,6,0),0)</f>
        <v>0</v>
      </c>
      <c r="T4164" s="1394">
        <f t="shared" si="1052"/>
        <v>0</v>
      </c>
      <c r="U4164" s="1394">
        <f>IFERROR(VLOOKUP(M4164,#REF!,5,0),0)</f>
        <v>0</v>
      </c>
      <c r="V4164" s="1394">
        <f t="shared" si="1053"/>
        <v>0</v>
      </c>
      <c r="W4164" s="1394"/>
    </row>
    <row r="4165" spans="2:23" ht="30" customHeight="1">
      <c r="B4165" s="1407"/>
      <c r="C4165" s="1455" t="str">
        <f t="shared" si="1048"/>
        <v>Cross wall between Writer / Ins L &amp;O</v>
      </c>
      <c r="D4165" s="1409">
        <f t="shared" si="1049"/>
        <v>2</v>
      </c>
      <c r="E4165" s="103">
        <f t="shared" si="1054"/>
        <v>1</v>
      </c>
      <c r="F4165" s="1413">
        <f t="shared" si="1054"/>
        <v>1.8</v>
      </c>
      <c r="G4165" s="1413"/>
      <c r="H4165" s="1414">
        <f t="shared" si="1051"/>
        <v>0.1</v>
      </c>
      <c r="I4165" s="1406">
        <f t="shared" si="1042"/>
        <v>0.36000000000000004</v>
      </c>
      <c r="M4165" s="110"/>
      <c r="Q4165" s="1394">
        <f>IFERROR(VLOOKUP(M4165,#REF!,3,0),0)</f>
        <v>0</v>
      </c>
      <c r="R4165" s="1394">
        <f t="shared" si="1047"/>
        <v>0</v>
      </c>
      <c r="S4165" s="1394">
        <f>IFERROR(VLOOKUP(M4165,#REF!,6,0),0)</f>
        <v>0</v>
      </c>
      <c r="T4165" s="1394">
        <f t="shared" si="1052"/>
        <v>0</v>
      </c>
      <c r="U4165" s="1394">
        <f>IFERROR(VLOOKUP(M4165,#REF!,5,0),0)</f>
        <v>0</v>
      </c>
      <c r="V4165" s="1394">
        <f t="shared" si="1053"/>
        <v>0</v>
      </c>
      <c r="W4165" s="1394"/>
    </row>
    <row r="4166" spans="2:23" ht="30" customHeight="1">
      <c r="B4166" s="1407"/>
      <c r="C4166" s="1455" t="str">
        <f t="shared" si="1048"/>
        <v>Cross wall between Writer / Ins L &amp;O</v>
      </c>
      <c r="D4166" s="1409">
        <f t="shared" si="1049"/>
        <v>2</v>
      </c>
      <c r="E4166" s="103">
        <f t="shared" si="1054"/>
        <v>1</v>
      </c>
      <c r="F4166" s="1413">
        <f t="shared" si="1054"/>
        <v>3.2759999999999998</v>
      </c>
      <c r="G4166" s="1413"/>
      <c r="H4166" s="1414">
        <f t="shared" si="1051"/>
        <v>0.1</v>
      </c>
      <c r="I4166" s="1406">
        <f t="shared" si="1042"/>
        <v>0.6552</v>
      </c>
      <c r="M4166" s="110"/>
      <c r="Q4166" s="1394">
        <f>IFERROR(VLOOKUP(M4166,#REF!,3,0),0)</f>
        <v>0</v>
      </c>
      <c r="R4166" s="1394">
        <f t="shared" si="1047"/>
        <v>0</v>
      </c>
      <c r="S4166" s="1394">
        <f>IFERROR(VLOOKUP(M4166,#REF!,6,0),0)</f>
        <v>0</v>
      </c>
      <c r="T4166" s="1394">
        <f t="shared" si="1052"/>
        <v>0</v>
      </c>
      <c r="U4166" s="1394">
        <f>IFERROR(VLOOKUP(M4166,#REF!,5,0),0)</f>
        <v>0</v>
      </c>
      <c r="V4166" s="1394">
        <f t="shared" si="1053"/>
        <v>0</v>
      </c>
      <c r="W4166" s="1394"/>
    </row>
    <row r="4167" spans="2:23" ht="30" customHeight="1">
      <c r="B4167" s="1407"/>
      <c r="C4167" s="1455" t="str">
        <f t="shared" si="1048"/>
        <v>Ins L &amp; O</v>
      </c>
      <c r="D4167" s="1409">
        <f t="shared" si="1049"/>
        <v>0</v>
      </c>
      <c r="E4167" s="103">
        <f t="shared" si="1054"/>
        <v>0</v>
      </c>
      <c r="F4167" s="1413">
        <f t="shared" si="1054"/>
        <v>0</v>
      </c>
      <c r="G4167" s="1413"/>
      <c r="H4167" s="1414">
        <f t="shared" si="1051"/>
        <v>0</v>
      </c>
      <c r="I4167" s="1406">
        <f t="shared" si="1042"/>
        <v>0</v>
      </c>
      <c r="M4167" s="110"/>
      <c r="Q4167" s="1394">
        <f>IFERROR(VLOOKUP(M4167,#REF!,3,0),0)</f>
        <v>0</v>
      </c>
      <c r="R4167" s="1394">
        <f t="shared" si="1047"/>
        <v>0</v>
      </c>
      <c r="S4167" s="1394">
        <f>IFERROR(VLOOKUP(M4167,#REF!,6,0),0)</f>
        <v>0</v>
      </c>
      <c r="T4167" s="1394">
        <f t="shared" si="1052"/>
        <v>0</v>
      </c>
      <c r="U4167" s="1394">
        <f>IFERROR(VLOOKUP(M4167,#REF!,5,0),0)</f>
        <v>0</v>
      </c>
      <c r="V4167" s="1394">
        <f t="shared" si="1053"/>
        <v>0</v>
      </c>
      <c r="W4167" s="1394"/>
    </row>
    <row r="4168" spans="2:23" ht="30" customHeight="1">
      <c r="B4168" s="1407"/>
      <c r="C4168" s="1412" t="str">
        <f t="shared" si="1048"/>
        <v xml:space="preserve">C/B Wall </v>
      </c>
      <c r="D4168" s="1409">
        <f t="shared" si="1049"/>
        <v>2</v>
      </c>
      <c r="E4168" s="103">
        <f t="shared" si="1054"/>
        <v>1</v>
      </c>
      <c r="F4168" s="1413">
        <f t="shared" si="1054"/>
        <v>0.6</v>
      </c>
      <c r="G4168" s="1413"/>
      <c r="H4168" s="1414">
        <f t="shared" si="1051"/>
        <v>0.1</v>
      </c>
      <c r="I4168" s="1406">
        <f t="shared" si="1042"/>
        <v>0.12</v>
      </c>
      <c r="M4168" s="110"/>
      <c r="Q4168" s="1394">
        <f>IFERROR(VLOOKUP(M4168,#REF!,3,0),0)</f>
        <v>0</v>
      </c>
      <c r="R4168" s="1394">
        <f t="shared" si="1047"/>
        <v>0</v>
      </c>
      <c r="S4168" s="1394">
        <f>IFERROR(VLOOKUP(M4168,#REF!,6,0),0)</f>
        <v>0</v>
      </c>
      <c r="T4168" s="1394">
        <f t="shared" si="1052"/>
        <v>0</v>
      </c>
      <c r="U4168" s="1394">
        <f>IFERROR(VLOOKUP(M4168,#REF!,5,0),0)</f>
        <v>0</v>
      </c>
      <c r="V4168" s="1394">
        <f t="shared" si="1053"/>
        <v>0</v>
      </c>
      <c r="W4168" s="1394"/>
    </row>
    <row r="4169" spans="2:23" ht="30" customHeight="1">
      <c r="B4169" s="1407"/>
      <c r="C4169" s="1455" t="str">
        <f t="shared" si="1048"/>
        <v xml:space="preserve">Cross wall between Toilet / Passage </v>
      </c>
      <c r="D4169" s="1409">
        <f t="shared" si="1049"/>
        <v>2</v>
      </c>
      <c r="E4169" s="103">
        <f t="shared" si="1054"/>
        <v>1</v>
      </c>
      <c r="F4169" s="1413">
        <f t="shared" si="1054"/>
        <v>1.5</v>
      </c>
      <c r="G4169" s="1413"/>
      <c r="H4169" s="1414">
        <f t="shared" si="1051"/>
        <v>0.1</v>
      </c>
      <c r="I4169" s="1406">
        <f t="shared" si="1042"/>
        <v>0.30000000000000004</v>
      </c>
      <c r="M4169" s="110"/>
      <c r="Q4169" s="1394">
        <f>IFERROR(VLOOKUP(M4169,#REF!,3,0),0)</f>
        <v>0</v>
      </c>
      <c r="R4169" s="1394">
        <f t="shared" si="1047"/>
        <v>0</v>
      </c>
      <c r="S4169" s="1394">
        <f>IFERROR(VLOOKUP(M4169,#REF!,6,0),0)</f>
        <v>0</v>
      </c>
      <c r="T4169" s="1394">
        <f t="shared" si="1052"/>
        <v>0</v>
      </c>
      <c r="U4169" s="1394">
        <f>IFERROR(VLOOKUP(M4169,#REF!,5,0),0)</f>
        <v>0</v>
      </c>
      <c r="V4169" s="1394">
        <f t="shared" si="1053"/>
        <v>0</v>
      </c>
      <c r="W4169" s="1394"/>
    </row>
    <row r="4170" spans="2:23" ht="30" customHeight="1">
      <c r="B4170" s="1407"/>
      <c r="C4170" s="1455" t="str">
        <f t="shared" si="1048"/>
        <v xml:space="preserve">Cross wall between Hall  / Passage </v>
      </c>
      <c r="D4170" s="1409">
        <f t="shared" si="1049"/>
        <v>2</v>
      </c>
      <c r="E4170" s="103">
        <f t="shared" si="1054"/>
        <v>1</v>
      </c>
      <c r="F4170" s="1413">
        <f t="shared" si="1054"/>
        <v>1.5</v>
      </c>
      <c r="G4170" s="1413"/>
      <c r="H4170" s="1414">
        <f t="shared" si="1051"/>
        <v>0.1</v>
      </c>
      <c r="I4170" s="1406">
        <f t="shared" si="1042"/>
        <v>0.30000000000000004</v>
      </c>
      <c r="M4170" s="110"/>
      <c r="Q4170" s="1394">
        <f>IFERROR(VLOOKUP(M4170,#REF!,3,0),0)</f>
        <v>0</v>
      </c>
      <c r="R4170" s="1394">
        <f t="shared" si="1047"/>
        <v>0</v>
      </c>
      <c r="S4170" s="1394">
        <f>IFERROR(VLOOKUP(M4170,#REF!,6,0),0)</f>
        <v>0</v>
      </c>
      <c r="T4170" s="1394">
        <f t="shared" si="1052"/>
        <v>0</v>
      </c>
      <c r="U4170" s="1394">
        <f>IFERROR(VLOOKUP(M4170,#REF!,5,0),0)</f>
        <v>0</v>
      </c>
      <c r="V4170" s="1394">
        <f t="shared" si="1053"/>
        <v>0</v>
      </c>
      <c r="W4170" s="1394"/>
    </row>
    <row r="4171" spans="2:23" ht="30" customHeight="1">
      <c r="B4171" s="1407"/>
      <c r="C4171" s="1455" t="str">
        <f t="shared" si="1048"/>
        <v>CD File / Store</v>
      </c>
      <c r="D4171" s="1409">
        <f t="shared" si="1049"/>
        <v>0</v>
      </c>
      <c r="E4171" s="103">
        <f t="shared" si="1054"/>
        <v>0</v>
      </c>
      <c r="F4171" s="1413">
        <f t="shared" si="1054"/>
        <v>0</v>
      </c>
      <c r="G4171" s="1413"/>
      <c r="H4171" s="1414">
        <f t="shared" si="1051"/>
        <v>0</v>
      </c>
      <c r="I4171" s="1406">
        <f t="shared" si="1042"/>
        <v>0</v>
      </c>
      <c r="M4171" s="110"/>
      <c r="Q4171" s="1394">
        <f>IFERROR(VLOOKUP(M4171,#REF!,3,0),0)</f>
        <v>0</v>
      </c>
      <c r="R4171" s="1394">
        <f t="shared" si="1047"/>
        <v>0</v>
      </c>
      <c r="S4171" s="1394">
        <f>IFERROR(VLOOKUP(M4171,#REF!,6,0),0)</f>
        <v>0</v>
      </c>
      <c r="T4171" s="1394">
        <f t="shared" si="1052"/>
        <v>0</v>
      </c>
      <c r="U4171" s="1394">
        <f>IFERROR(VLOOKUP(M4171,#REF!,5,0),0)</f>
        <v>0</v>
      </c>
      <c r="V4171" s="1394">
        <f t="shared" si="1053"/>
        <v>0</v>
      </c>
      <c r="W4171" s="1394"/>
    </row>
    <row r="4172" spans="2:23" ht="30" customHeight="1">
      <c r="B4172" s="1407"/>
      <c r="C4172" s="1412" t="str">
        <f t="shared" si="1048"/>
        <v xml:space="preserve">C/B Wall </v>
      </c>
      <c r="D4172" s="1409">
        <f t="shared" si="1049"/>
        <v>2</v>
      </c>
      <c r="E4172" s="103">
        <f t="shared" si="1054"/>
        <v>1</v>
      </c>
      <c r="F4172" s="1413">
        <f t="shared" si="1054"/>
        <v>0.6</v>
      </c>
      <c r="G4172" s="1413"/>
      <c r="H4172" s="1414">
        <f t="shared" si="1051"/>
        <v>0.1</v>
      </c>
      <c r="I4172" s="1406">
        <f t="shared" si="1042"/>
        <v>0.12</v>
      </c>
      <c r="M4172" s="110"/>
      <c r="Q4172" s="1394">
        <f>IFERROR(VLOOKUP(M4172,#REF!,3,0),0)</f>
        <v>0</v>
      </c>
      <c r="R4172" s="1394">
        <f t="shared" si="1047"/>
        <v>0</v>
      </c>
      <c r="S4172" s="1394">
        <f>IFERROR(VLOOKUP(M4172,#REF!,6,0),0)</f>
        <v>0</v>
      </c>
      <c r="T4172" s="1394">
        <f t="shared" si="1052"/>
        <v>0</v>
      </c>
      <c r="U4172" s="1394">
        <f>IFERROR(VLOOKUP(M4172,#REF!,5,0),0)</f>
        <v>0</v>
      </c>
      <c r="V4172" s="1394">
        <f t="shared" si="1053"/>
        <v>0</v>
      </c>
      <c r="W4172" s="1394"/>
    </row>
    <row r="4173" spans="2:23" ht="30" customHeight="1">
      <c r="B4173" s="1407"/>
      <c r="C4173" s="1455" t="str">
        <f t="shared" si="1048"/>
        <v>Cross wall between Toilet / CD File / Store</v>
      </c>
      <c r="D4173" s="1409">
        <f t="shared" si="1049"/>
        <v>2</v>
      </c>
      <c r="E4173" s="103">
        <f t="shared" si="1054"/>
        <v>1</v>
      </c>
      <c r="F4173" s="1413">
        <f t="shared" si="1054"/>
        <v>1.1000000000000001</v>
      </c>
      <c r="G4173" s="1413"/>
      <c r="H4173" s="1414">
        <f t="shared" si="1051"/>
        <v>0.1</v>
      </c>
      <c r="I4173" s="1406">
        <f t="shared" si="1042"/>
        <v>0.22000000000000003</v>
      </c>
      <c r="M4173" s="110"/>
      <c r="Q4173" s="1394">
        <f>IFERROR(VLOOKUP(M4173,#REF!,3,0),0)</f>
        <v>0</v>
      </c>
      <c r="R4173" s="1394">
        <f t="shared" si="1047"/>
        <v>0</v>
      </c>
      <c r="S4173" s="1394">
        <f>IFERROR(VLOOKUP(M4173,#REF!,6,0),0)</f>
        <v>0</v>
      </c>
      <c r="T4173" s="1394">
        <f t="shared" si="1052"/>
        <v>0</v>
      </c>
      <c r="U4173" s="1394">
        <f>IFERROR(VLOOKUP(M4173,#REF!,5,0),0)</f>
        <v>0</v>
      </c>
      <c r="V4173" s="1394">
        <f t="shared" si="1053"/>
        <v>0</v>
      </c>
      <c r="W4173" s="1394"/>
    </row>
    <row r="4174" spans="2:23" ht="30" customHeight="1">
      <c r="B4174" s="1407"/>
      <c r="C4174" s="1455" t="str">
        <f t="shared" si="1048"/>
        <v xml:space="preserve">Cross wall between Toilet / Passage </v>
      </c>
      <c r="D4174" s="1409">
        <f t="shared" si="1049"/>
        <v>2</v>
      </c>
      <c r="E4174" s="103">
        <f t="shared" si="1054"/>
        <v>1</v>
      </c>
      <c r="F4174" s="1413">
        <f t="shared" si="1054"/>
        <v>1.5</v>
      </c>
      <c r="G4174" s="1413"/>
      <c r="H4174" s="1414">
        <f t="shared" si="1051"/>
        <v>0.1</v>
      </c>
      <c r="I4174" s="1406">
        <f t="shared" ref="I4174:I4237" si="1055">PRODUCT(D4174:H4174)</f>
        <v>0.30000000000000004</v>
      </c>
      <c r="M4174" s="110"/>
      <c r="Q4174" s="1394">
        <f>IFERROR(VLOOKUP(M4174,#REF!,3,0),0)</f>
        <v>0</v>
      </c>
      <c r="R4174" s="1394">
        <f t="shared" si="1047"/>
        <v>0</v>
      </c>
      <c r="S4174" s="1394">
        <f>IFERROR(VLOOKUP(M4174,#REF!,6,0),0)</f>
        <v>0</v>
      </c>
      <c r="T4174" s="1394">
        <f t="shared" si="1052"/>
        <v>0</v>
      </c>
      <c r="U4174" s="1394">
        <f>IFERROR(VLOOKUP(M4174,#REF!,5,0),0)</f>
        <v>0</v>
      </c>
      <c r="V4174" s="1394">
        <f t="shared" si="1053"/>
        <v>0</v>
      </c>
      <c r="W4174" s="1394"/>
    </row>
    <row r="4175" spans="2:23" ht="30" customHeight="1">
      <c r="B4175" s="1407"/>
      <c r="C4175" s="1455" t="str">
        <f t="shared" si="1048"/>
        <v xml:space="preserve">Cross wall between Halll / Passage </v>
      </c>
      <c r="D4175" s="1409">
        <f t="shared" ref="D4175:D4191" si="1056">D808*2</f>
        <v>2</v>
      </c>
      <c r="E4175" s="103">
        <f t="shared" si="1054"/>
        <v>1</v>
      </c>
      <c r="F4175" s="1413">
        <f t="shared" si="1054"/>
        <v>0.6</v>
      </c>
      <c r="G4175" s="1413"/>
      <c r="H4175" s="1414">
        <f t="shared" si="1051"/>
        <v>0.1</v>
      </c>
      <c r="I4175" s="1406">
        <f t="shared" si="1055"/>
        <v>0.12</v>
      </c>
      <c r="M4175" s="110"/>
      <c r="Q4175" s="1394">
        <f>IFERROR(VLOOKUP(M4175,#REF!,3,0),0)</f>
        <v>0</v>
      </c>
      <c r="R4175" s="1394">
        <f t="shared" si="1047"/>
        <v>0</v>
      </c>
      <c r="S4175" s="1394">
        <f>IFERROR(VLOOKUP(M4175,#REF!,6,0),0)</f>
        <v>0</v>
      </c>
      <c r="T4175" s="1394">
        <f t="shared" si="1052"/>
        <v>0</v>
      </c>
      <c r="U4175" s="1394">
        <f>IFERROR(VLOOKUP(M4175,#REF!,5,0),0)</f>
        <v>0</v>
      </c>
      <c r="V4175" s="1394">
        <f t="shared" si="1053"/>
        <v>0</v>
      </c>
      <c r="W4175" s="1394"/>
    </row>
    <row r="4176" spans="2:23" ht="30" customHeight="1">
      <c r="B4176" s="1407"/>
      <c r="C4176" s="1455" t="str">
        <f t="shared" si="1048"/>
        <v>Computer CCTNS</v>
      </c>
      <c r="D4176" s="1409">
        <f t="shared" si="1056"/>
        <v>0</v>
      </c>
      <c r="E4176" s="103">
        <f t="shared" si="1054"/>
        <v>0</v>
      </c>
      <c r="F4176" s="1413">
        <f t="shared" si="1054"/>
        <v>0</v>
      </c>
      <c r="G4176" s="1413"/>
      <c r="H4176" s="1414">
        <f t="shared" si="1051"/>
        <v>0</v>
      </c>
      <c r="I4176" s="1406">
        <f t="shared" si="1055"/>
        <v>0</v>
      </c>
      <c r="M4176" s="110"/>
      <c r="Q4176" s="1394">
        <f>IFERROR(VLOOKUP(M4176,#REF!,3,0),0)</f>
        <v>0</v>
      </c>
      <c r="R4176" s="1394">
        <f t="shared" si="1047"/>
        <v>0</v>
      </c>
      <c r="S4176" s="1394">
        <f>IFERROR(VLOOKUP(M4176,#REF!,6,0),0)</f>
        <v>0</v>
      </c>
      <c r="T4176" s="1394">
        <f t="shared" si="1052"/>
        <v>0</v>
      </c>
      <c r="U4176" s="1394">
        <f>IFERROR(VLOOKUP(M4176,#REF!,5,0),0)</f>
        <v>0</v>
      </c>
      <c r="V4176" s="1394">
        <f t="shared" si="1053"/>
        <v>0</v>
      </c>
      <c r="W4176" s="1394"/>
    </row>
    <row r="4177" spans="2:23" ht="30" customHeight="1">
      <c r="B4177" s="1407"/>
      <c r="C4177" s="1412" t="str">
        <f t="shared" si="1048"/>
        <v xml:space="preserve">C/B Wall </v>
      </c>
      <c r="D4177" s="1409">
        <f t="shared" si="1056"/>
        <v>2</v>
      </c>
      <c r="E4177" s="103">
        <f t="shared" si="1054"/>
        <v>1</v>
      </c>
      <c r="F4177" s="1413">
        <f t="shared" si="1054"/>
        <v>0.6</v>
      </c>
      <c r="G4177" s="1413"/>
      <c r="H4177" s="1414">
        <f t="shared" si="1051"/>
        <v>0.1</v>
      </c>
      <c r="I4177" s="1406">
        <f t="shared" si="1055"/>
        <v>0.12</v>
      </c>
      <c r="M4177" s="110"/>
      <c r="Q4177" s="1394">
        <f>IFERROR(VLOOKUP(M4177,#REF!,3,0),0)</f>
        <v>0</v>
      </c>
      <c r="R4177" s="1394">
        <f t="shared" si="1047"/>
        <v>0</v>
      </c>
      <c r="S4177" s="1394">
        <f>IFERROR(VLOOKUP(M4177,#REF!,6,0),0)</f>
        <v>0</v>
      </c>
      <c r="T4177" s="1394">
        <f t="shared" si="1052"/>
        <v>0</v>
      </c>
      <c r="U4177" s="1394">
        <f>IFERROR(VLOOKUP(M4177,#REF!,5,0),0)</f>
        <v>0</v>
      </c>
      <c r="V4177" s="1394">
        <f t="shared" si="1053"/>
        <v>0</v>
      </c>
      <c r="W4177" s="1394"/>
    </row>
    <row r="4178" spans="2:23" ht="30" customHeight="1">
      <c r="B4178" s="1407"/>
      <c r="C4178" s="1455" t="str">
        <f t="shared" si="1048"/>
        <v>Cross wall between Toilet / Computer CCTNS</v>
      </c>
      <c r="D4178" s="1409">
        <f t="shared" si="1056"/>
        <v>2</v>
      </c>
      <c r="E4178" s="103">
        <f t="shared" si="1054"/>
        <v>1</v>
      </c>
      <c r="F4178" s="1413">
        <f t="shared" si="1054"/>
        <v>2.93</v>
      </c>
      <c r="G4178" s="1413"/>
      <c r="H4178" s="1414">
        <f t="shared" si="1051"/>
        <v>0.1</v>
      </c>
      <c r="I4178" s="1406">
        <f t="shared" si="1055"/>
        <v>0.58600000000000008</v>
      </c>
      <c r="M4178" s="110"/>
      <c r="Q4178" s="1394">
        <f>IFERROR(VLOOKUP(M4178,#REF!,3,0),0)</f>
        <v>0</v>
      </c>
      <c r="R4178" s="1394">
        <f t="shared" si="1047"/>
        <v>0</v>
      </c>
      <c r="S4178" s="1394">
        <f>IFERROR(VLOOKUP(M4178,#REF!,6,0),0)</f>
        <v>0</v>
      </c>
      <c r="T4178" s="1394">
        <f t="shared" si="1052"/>
        <v>0</v>
      </c>
      <c r="U4178" s="1394">
        <f>IFERROR(VLOOKUP(M4178,#REF!,5,0),0)</f>
        <v>0</v>
      </c>
      <c r="V4178" s="1394">
        <f t="shared" si="1053"/>
        <v>0</v>
      </c>
      <c r="W4178" s="1394"/>
    </row>
    <row r="4179" spans="2:23" ht="30" customHeight="1">
      <c r="B4179" s="1407"/>
      <c r="C4179" s="1455" t="str">
        <f t="shared" si="1048"/>
        <v>Cross wall between Toilet / Passage</v>
      </c>
      <c r="D4179" s="1409">
        <f t="shared" si="1056"/>
        <v>2</v>
      </c>
      <c r="E4179" s="103">
        <f t="shared" si="1054"/>
        <v>1</v>
      </c>
      <c r="F4179" s="1413">
        <f t="shared" si="1054"/>
        <v>3.9</v>
      </c>
      <c r="G4179" s="1413"/>
      <c r="H4179" s="1414">
        <f t="shared" si="1051"/>
        <v>0.1</v>
      </c>
      <c r="I4179" s="1406">
        <f t="shared" si="1055"/>
        <v>0.78</v>
      </c>
      <c r="M4179" s="110"/>
      <c r="Q4179" s="1394">
        <f>IFERROR(VLOOKUP(M4179,#REF!,3,0),0)</f>
        <v>0</v>
      </c>
      <c r="R4179" s="1394">
        <f t="shared" si="1047"/>
        <v>0</v>
      </c>
      <c r="S4179" s="1394">
        <f>IFERROR(VLOOKUP(M4179,#REF!,6,0),0)</f>
        <v>0</v>
      </c>
      <c r="T4179" s="1394">
        <f t="shared" si="1052"/>
        <v>0</v>
      </c>
      <c r="U4179" s="1394">
        <f>IFERROR(VLOOKUP(M4179,#REF!,5,0),0)</f>
        <v>0</v>
      </c>
      <c r="V4179" s="1394">
        <f t="shared" si="1053"/>
        <v>0</v>
      </c>
      <c r="W4179" s="1394"/>
    </row>
    <row r="4180" spans="2:23" ht="30" customHeight="1">
      <c r="B4180" s="1407"/>
      <c r="C4180" s="1455" t="str">
        <f t="shared" si="1048"/>
        <v>Station Writer</v>
      </c>
      <c r="D4180" s="1409">
        <f t="shared" si="1056"/>
        <v>0</v>
      </c>
      <c r="E4180" s="103">
        <f t="shared" si="1054"/>
        <v>0</v>
      </c>
      <c r="F4180" s="1413">
        <f t="shared" si="1054"/>
        <v>0</v>
      </c>
      <c r="G4180" s="1413"/>
      <c r="H4180" s="1414">
        <f t="shared" si="1051"/>
        <v>0</v>
      </c>
      <c r="I4180" s="1406">
        <f t="shared" si="1055"/>
        <v>0</v>
      </c>
      <c r="M4180" s="110"/>
      <c r="Q4180" s="1394">
        <f>IFERROR(VLOOKUP(M4180,#REF!,3,0),0)</f>
        <v>0</v>
      </c>
      <c r="R4180" s="1394">
        <f t="shared" si="1047"/>
        <v>0</v>
      </c>
      <c r="S4180" s="1394">
        <f>IFERROR(VLOOKUP(M4180,#REF!,6,0),0)</f>
        <v>0</v>
      </c>
      <c r="T4180" s="1394">
        <f t="shared" si="1052"/>
        <v>0</v>
      </c>
      <c r="U4180" s="1394">
        <f>IFERROR(VLOOKUP(M4180,#REF!,5,0),0)</f>
        <v>0</v>
      </c>
      <c r="V4180" s="1394">
        <f t="shared" si="1053"/>
        <v>0</v>
      </c>
      <c r="W4180" s="1394"/>
    </row>
    <row r="4181" spans="2:23" ht="30" customHeight="1">
      <c r="B4181" s="1407"/>
      <c r="C4181" s="1412" t="str">
        <f t="shared" si="1048"/>
        <v>Cross wall between Station Writer / Hall</v>
      </c>
      <c r="D4181" s="1409">
        <f t="shared" si="1056"/>
        <v>2</v>
      </c>
      <c r="E4181" s="103">
        <f t="shared" si="1054"/>
        <v>1</v>
      </c>
      <c r="F4181" s="1413">
        <f t="shared" si="1054"/>
        <v>2.5</v>
      </c>
      <c r="G4181" s="1413"/>
      <c r="H4181" s="1414">
        <f t="shared" si="1051"/>
        <v>0.1</v>
      </c>
      <c r="I4181" s="1406">
        <f t="shared" si="1055"/>
        <v>0.5</v>
      </c>
      <c r="Q4181" s="1394">
        <f>IFERROR(VLOOKUP(M4181,#REF!,3,0),0)</f>
        <v>0</v>
      </c>
      <c r="R4181" s="1394">
        <f t="shared" si="1047"/>
        <v>0</v>
      </c>
      <c r="S4181" s="1394">
        <f>IFERROR(VLOOKUP(M4181,#REF!,6,0),0)</f>
        <v>0</v>
      </c>
      <c r="T4181" s="1394">
        <f t="shared" si="1052"/>
        <v>0</v>
      </c>
      <c r="U4181" s="1394">
        <f>IFERROR(VLOOKUP(M4181,#REF!,5,0),0)</f>
        <v>0</v>
      </c>
      <c r="V4181" s="1394">
        <f t="shared" si="1053"/>
        <v>0</v>
      </c>
      <c r="W4181" s="1394"/>
    </row>
    <row r="4182" spans="2:23" ht="30" customHeight="1">
      <c r="B4182" s="1407"/>
      <c r="C4182" s="1455" t="str">
        <f t="shared" si="1048"/>
        <v>Cross wall between Toilet / Passage</v>
      </c>
      <c r="D4182" s="1409">
        <f t="shared" si="1056"/>
        <v>2</v>
      </c>
      <c r="E4182" s="103">
        <f t="shared" si="1054"/>
        <v>1</v>
      </c>
      <c r="F4182" s="1413">
        <f t="shared" si="1054"/>
        <v>3.9</v>
      </c>
      <c r="G4182" s="1413"/>
      <c r="H4182" s="1414">
        <f t="shared" si="1051"/>
        <v>0.1</v>
      </c>
      <c r="I4182" s="1406">
        <f t="shared" si="1055"/>
        <v>0.78</v>
      </c>
      <c r="Q4182" s="1394">
        <f>IFERROR(VLOOKUP(M4182,#REF!,3,0),0)</f>
        <v>0</v>
      </c>
      <c r="R4182" s="1394">
        <f t="shared" si="1047"/>
        <v>0</v>
      </c>
      <c r="S4182" s="1394">
        <f>IFERROR(VLOOKUP(M4182,#REF!,6,0),0)</f>
        <v>0</v>
      </c>
      <c r="T4182" s="1394">
        <f t="shared" si="1052"/>
        <v>0</v>
      </c>
      <c r="U4182" s="1394">
        <f>IFERROR(VLOOKUP(M4182,#REF!,5,0),0)</f>
        <v>0</v>
      </c>
      <c r="V4182" s="1394">
        <f t="shared" si="1053"/>
        <v>0</v>
      </c>
      <c r="W4182" s="1394"/>
    </row>
    <row r="4183" spans="2:23" ht="30" customHeight="1">
      <c r="B4183" s="1407"/>
      <c r="C4183" s="1455" t="str">
        <f t="shared" si="1048"/>
        <v>Property / Record</v>
      </c>
      <c r="D4183" s="1409">
        <f t="shared" si="1056"/>
        <v>0</v>
      </c>
      <c r="E4183" s="103">
        <f t="shared" si="1054"/>
        <v>0</v>
      </c>
      <c r="F4183" s="1413">
        <f t="shared" si="1054"/>
        <v>0</v>
      </c>
      <c r="G4183" s="1413"/>
      <c r="H4183" s="1414">
        <f t="shared" si="1051"/>
        <v>0</v>
      </c>
      <c r="I4183" s="1406">
        <f t="shared" si="1055"/>
        <v>0</v>
      </c>
      <c r="Q4183" s="1394">
        <f>IFERROR(VLOOKUP(M4183,#REF!,3,0),0)</f>
        <v>0</v>
      </c>
      <c r="R4183" s="1394">
        <f t="shared" si="1047"/>
        <v>0</v>
      </c>
      <c r="S4183" s="1394">
        <f>IFERROR(VLOOKUP(M4183,#REF!,6,0),0)</f>
        <v>0</v>
      </c>
      <c r="T4183" s="1394">
        <f t="shared" si="1052"/>
        <v>0</v>
      </c>
      <c r="U4183" s="1394">
        <f>IFERROR(VLOOKUP(M4183,#REF!,5,0),0)</f>
        <v>0</v>
      </c>
      <c r="V4183" s="1394">
        <f t="shared" si="1053"/>
        <v>0</v>
      </c>
      <c r="W4183" s="1394"/>
    </row>
    <row r="4184" spans="2:23" ht="30" customHeight="1">
      <c r="B4184" s="1407"/>
      <c r="C4184" s="1412" t="str">
        <f t="shared" si="1048"/>
        <v>Cross wall between SProperty  Record / Hall</v>
      </c>
      <c r="D4184" s="1409">
        <f t="shared" si="1056"/>
        <v>2</v>
      </c>
      <c r="E4184" s="103">
        <f t="shared" ref="E4184:F4186" si="1057">E817</f>
        <v>1</v>
      </c>
      <c r="F4184" s="1413">
        <f t="shared" si="1057"/>
        <v>1</v>
      </c>
      <c r="G4184" s="1413"/>
      <c r="H4184" s="1414">
        <f t="shared" si="1051"/>
        <v>0.1</v>
      </c>
      <c r="I4184" s="1406">
        <f t="shared" si="1055"/>
        <v>0.2</v>
      </c>
      <c r="Q4184" s="1394">
        <f>IFERROR(VLOOKUP(M4184,#REF!,3,0),0)</f>
        <v>0</v>
      </c>
      <c r="R4184" s="1394">
        <f t="shared" si="1047"/>
        <v>0</v>
      </c>
      <c r="S4184" s="1394">
        <f>IFERROR(VLOOKUP(M4184,#REF!,6,0),0)</f>
        <v>0</v>
      </c>
      <c r="T4184" s="1394">
        <f t="shared" si="1052"/>
        <v>0</v>
      </c>
      <c r="U4184" s="1394">
        <f>IFERROR(VLOOKUP(M4184,#REF!,5,0),0)</f>
        <v>0</v>
      </c>
      <c r="V4184" s="1394">
        <f t="shared" si="1053"/>
        <v>0</v>
      </c>
      <c r="W4184" s="1394"/>
    </row>
    <row r="4185" spans="2:23" ht="30" customHeight="1">
      <c r="B4185" s="1407"/>
      <c r="C4185" s="1455" t="str">
        <f t="shared" si="1048"/>
        <v>C/B Wall</v>
      </c>
      <c r="D4185" s="1409">
        <f t="shared" si="1056"/>
        <v>2</v>
      </c>
      <c r="E4185" s="103">
        <f t="shared" si="1057"/>
        <v>1</v>
      </c>
      <c r="F4185" s="1413">
        <f t="shared" si="1057"/>
        <v>0.6</v>
      </c>
      <c r="G4185" s="1413"/>
      <c r="H4185" s="1414">
        <f t="shared" si="1051"/>
        <v>0.1</v>
      </c>
      <c r="I4185" s="1406">
        <f t="shared" si="1055"/>
        <v>0.12</v>
      </c>
      <c r="Q4185" s="1394">
        <f>IFERROR(VLOOKUP(M4185,#REF!,3,0),0)</f>
        <v>0</v>
      </c>
      <c r="R4185" s="1394">
        <f t="shared" si="1047"/>
        <v>0</v>
      </c>
      <c r="S4185" s="1394">
        <f>IFERROR(VLOOKUP(M4185,#REF!,6,0),0)</f>
        <v>0</v>
      </c>
      <c r="T4185" s="1394">
        <f t="shared" si="1052"/>
        <v>0</v>
      </c>
      <c r="U4185" s="1394">
        <f>IFERROR(VLOOKUP(M4185,#REF!,5,0),0)</f>
        <v>0</v>
      </c>
      <c r="V4185" s="1394">
        <f t="shared" si="1053"/>
        <v>0</v>
      </c>
      <c r="W4185" s="1394"/>
    </row>
    <row r="4186" spans="2:23" ht="30" customHeight="1">
      <c r="B4186" s="1407"/>
      <c r="C4186" s="1455" t="str">
        <f t="shared" si="1048"/>
        <v>Toilet wall</v>
      </c>
      <c r="D4186" s="1409">
        <f t="shared" si="1056"/>
        <v>2</v>
      </c>
      <c r="E4186" s="103">
        <f t="shared" si="1057"/>
        <v>1</v>
      </c>
      <c r="F4186" s="1413">
        <f t="shared" si="1057"/>
        <v>1.2350000000000001</v>
      </c>
      <c r="G4186" s="1413"/>
      <c r="H4186" s="1414">
        <f t="shared" si="1051"/>
        <v>0.1</v>
      </c>
      <c r="I4186" s="1406">
        <f t="shared" si="1055"/>
        <v>0.24700000000000003</v>
      </c>
      <c r="Q4186" s="1394">
        <f>IFERROR(VLOOKUP(M4186,#REF!,3,0),0)</f>
        <v>0</v>
      </c>
      <c r="R4186" s="1394">
        <f t="shared" si="1047"/>
        <v>0</v>
      </c>
      <c r="S4186" s="1394">
        <f>IFERROR(VLOOKUP(M4186,#REF!,6,0),0)</f>
        <v>0</v>
      </c>
      <c r="T4186" s="1394">
        <f t="shared" si="1052"/>
        <v>0</v>
      </c>
      <c r="U4186" s="1394">
        <f>IFERROR(VLOOKUP(M4186,#REF!,5,0),0)</f>
        <v>0</v>
      </c>
      <c r="V4186" s="1394">
        <f t="shared" si="1053"/>
        <v>0</v>
      </c>
      <c r="W4186" s="1394"/>
    </row>
    <row r="4187" spans="2:23" ht="30" customHeight="1">
      <c r="B4187" s="1405"/>
      <c r="C4187" s="1408" t="str">
        <f t="shared" ref="C4187:C4192" si="1058">C832</f>
        <v>Staircase</v>
      </c>
      <c r="D4187" s="1409">
        <f t="shared" si="1056"/>
        <v>0</v>
      </c>
      <c r="E4187" s="1409">
        <f>E832</f>
        <v>0</v>
      </c>
      <c r="F4187" s="1410">
        <f>F832</f>
        <v>0</v>
      </c>
      <c r="G4187" s="1410">
        <f>G832</f>
        <v>0</v>
      </c>
      <c r="H4187" s="1473">
        <f>H832</f>
        <v>0</v>
      </c>
      <c r="I4187" s="1406">
        <f t="shared" si="1055"/>
        <v>0</v>
      </c>
      <c r="O4187" s="1469"/>
      <c r="Q4187" s="1394">
        <f>IFERROR(VLOOKUP(M4187,#REF!,3,0),0)</f>
        <v>0</v>
      </c>
      <c r="R4187" s="1394">
        <f t="shared" si="1047"/>
        <v>0</v>
      </c>
      <c r="S4187" s="1394">
        <f>IFERROR(VLOOKUP(M4187,#REF!,6,0),0)</f>
        <v>0</v>
      </c>
      <c r="T4187" s="1394">
        <f t="shared" si="1052"/>
        <v>0</v>
      </c>
      <c r="U4187" s="1394">
        <f>IFERROR(VLOOKUP(M4187,#REF!,5,0),0)</f>
        <v>0</v>
      </c>
      <c r="V4187" s="1394">
        <f t="shared" si="1053"/>
        <v>0</v>
      </c>
      <c r="W4187" s="1394"/>
    </row>
    <row r="4188" spans="2:23" ht="30" customHeight="1">
      <c r="B4188" s="1405"/>
      <c r="C4188" s="1415" t="str">
        <f t="shared" si="1058"/>
        <v>Waist slab-3</v>
      </c>
      <c r="D4188" s="1409">
        <f t="shared" si="1056"/>
        <v>2</v>
      </c>
      <c r="E4188" s="1409">
        <f t="shared" ref="E4188:G4194" si="1059">E833</f>
        <v>1</v>
      </c>
      <c r="F4188" s="1410">
        <f t="shared" si="1059"/>
        <v>3.75</v>
      </c>
      <c r="G4188" s="1410">
        <f t="shared" si="1059"/>
        <v>1.2</v>
      </c>
      <c r="H4188" s="1410"/>
      <c r="I4188" s="1406">
        <f t="shared" si="1055"/>
        <v>9</v>
      </c>
      <c r="O4188" s="1469"/>
      <c r="Q4188" s="1394">
        <f>IFERROR(VLOOKUP(M4188,#REF!,3,0),0)</f>
        <v>0</v>
      </c>
      <c r="R4188" s="1394">
        <f t="shared" si="1047"/>
        <v>0</v>
      </c>
      <c r="S4188" s="1394">
        <f>IFERROR(VLOOKUP(M4188,#REF!,6,0),0)</f>
        <v>0</v>
      </c>
      <c r="T4188" s="1394">
        <f t="shared" si="1052"/>
        <v>0</v>
      </c>
      <c r="U4188" s="1394">
        <f>IFERROR(VLOOKUP(M4188,#REF!,5,0),0)</f>
        <v>0</v>
      </c>
      <c r="V4188" s="1394">
        <f t="shared" si="1053"/>
        <v>0</v>
      </c>
      <c r="W4188" s="1394"/>
    </row>
    <row r="4189" spans="2:23" ht="30" customHeight="1">
      <c r="B4189" s="1405"/>
      <c r="C4189" s="1408" t="str">
        <f t="shared" si="1058"/>
        <v>Landing slab</v>
      </c>
      <c r="D4189" s="1409">
        <f t="shared" si="1056"/>
        <v>2</v>
      </c>
      <c r="E4189" s="1409">
        <f t="shared" si="1059"/>
        <v>1</v>
      </c>
      <c r="F4189" s="1410">
        <f t="shared" si="1059"/>
        <v>3.23</v>
      </c>
      <c r="G4189" s="1410">
        <f t="shared" si="1059"/>
        <v>1.2</v>
      </c>
      <c r="H4189" s="1410"/>
      <c r="I4189" s="1406">
        <f t="shared" si="1055"/>
        <v>7.7519999999999998</v>
      </c>
      <c r="O4189" s="1395"/>
      <c r="Q4189" s="1394">
        <f>IFERROR(VLOOKUP(M4189,#REF!,3,0),0)</f>
        <v>0</v>
      </c>
      <c r="R4189" s="1394">
        <f t="shared" si="1047"/>
        <v>0</v>
      </c>
      <c r="S4189" s="1394">
        <f>IFERROR(VLOOKUP(M4189,#REF!,6,0),0)</f>
        <v>0</v>
      </c>
      <c r="T4189" s="1394">
        <f t="shared" si="1052"/>
        <v>0</v>
      </c>
      <c r="U4189" s="1394">
        <f>IFERROR(VLOOKUP(M4189,#REF!,5,0),0)</f>
        <v>0</v>
      </c>
      <c r="V4189" s="1394">
        <f t="shared" si="1053"/>
        <v>0</v>
      </c>
      <c r="W4189" s="1394"/>
    </row>
    <row r="4190" spans="2:23" ht="30" customHeight="1">
      <c r="B4190" s="1405"/>
      <c r="C4190" s="1408" t="str">
        <f t="shared" si="1058"/>
        <v>Waist slab-4</v>
      </c>
      <c r="D4190" s="1409">
        <f t="shared" si="1056"/>
        <v>2</v>
      </c>
      <c r="E4190" s="1409">
        <f t="shared" si="1059"/>
        <v>1</v>
      </c>
      <c r="F4190" s="1410">
        <f t="shared" si="1059"/>
        <v>3.4</v>
      </c>
      <c r="G4190" s="1410">
        <f t="shared" si="1059"/>
        <v>1.2</v>
      </c>
      <c r="H4190" s="1410"/>
      <c r="I4190" s="1406">
        <f t="shared" si="1055"/>
        <v>8.16</v>
      </c>
      <c r="O4190" s="1395"/>
      <c r="Q4190" s="1394">
        <f>IFERROR(VLOOKUP(M4190,#REF!,3,0),0)</f>
        <v>0</v>
      </c>
      <c r="R4190" s="1394">
        <f t="shared" si="1047"/>
        <v>0</v>
      </c>
      <c r="S4190" s="1394">
        <f>IFERROR(VLOOKUP(M4190,#REF!,6,0),0)</f>
        <v>0</v>
      </c>
      <c r="T4190" s="1394">
        <f t="shared" si="1052"/>
        <v>0</v>
      </c>
      <c r="U4190" s="1394">
        <f>IFERROR(VLOOKUP(M4190,#REF!,5,0),0)</f>
        <v>0</v>
      </c>
      <c r="V4190" s="1394">
        <f t="shared" si="1053"/>
        <v>0</v>
      </c>
      <c r="W4190" s="1394"/>
    </row>
    <row r="4191" spans="2:23" ht="30" customHeight="1">
      <c r="B4191" s="1405"/>
      <c r="C4191" s="1408" t="str">
        <f t="shared" si="1058"/>
        <v>Staircase steps</v>
      </c>
      <c r="D4191" s="1409">
        <f t="shared" si="1056"/>
        <v>2</v>
      </c>
      <c r="E4191" s="1409">
        <f t="shared" si="1059"/>
        <v>21</v>
      </c>
      <c r="F4191" s="1410">
        <f t="shared" si="1059"/>
        <v>1.2</v>
      </c>
      <c r="G4191" s="1410">
        <f t="shared" si="1059"/>
        <v>0.3</v>
      </c>
      <c r="H4191" s="1410"/>
      <c r="I4191" s="1406">
        <f t="shared" si="1055"/>
        <v>15.12</v>
      </c>
      <c r="O4191" s="1395"/>
      <c r="Q4191" s="1394">
        <f>IFERROR(VLOOKUP(M4191,#REF!,3,0),0)</f>
        <v>0</v>
      </c>
      <c r="R4191" s="1394">
        <f t="shared" si="1047"/>
        <v>0</v>
      </c>
      <c r="S4191" s="1394">
        <f>IFERROR(VLOOKUP(M4191,#REF!,6,0),0)</f>
        <v>0</v>
      </c>
      <c r="T4191" s="1394">
        <f t="shared" si="1052"/>
        <v>0</v>
      </c>
      <c r="U4191" s="1394">
        <f>IFERROR(VLOOKUP(M4191,#REF!,5,0),0)</f>
        <v>0</v>
      </c>
      <c r="V4191" s="1394">
        <f t="shared" si="1053"/>
        <v>0</v>
      </c>
      <c r="W4191" s="1394"/>
    </row>
    <row r="4192" spans="2:23" ht="30" customHeight="1">
      <c r="B4192" s="1405"/>
      <c r="C4192" s="1408">
        <f t="shared" si="1058"/>
        <v>0</v>
      </c>
      <c r="D4192" s="1409">
        <f>D837</f>
        <v>0</v>
      </c>
      <c r="E4192" s="1409">
        <f t="shared" si="1059"/>
        <v>0</v>
      </c>
      <c r="F4192" s="1410">
        <f t="shared" si="1059"/>
        <v>0</v>
      </c>
      <c r="G4192" s="1410">
        <f t="shared" si="1059"/>
        <v>0</v>
      </c>
      <c r="H4192" s="1410">
        <f>H837</f>
        <v>0</v>
      </c>
      <c r="I4192" s="1406">
        <f t="shared" si="1055"/>
        <v>0</v>
      </c>
      <c r="O4192" s="1395"/>
      <c r="Q4192" s="1394">
        <f>IFERROR(VLOOKUP(M4192,#REF!,3,0),0)</f>
        <v>0</v>
      </c>
      <c r="R4192" s="1394">
        <f t="shared" si="1047"/>
        <v>0</v>
      </c>
      <c r="S4192" s="1394">
        <f>IFERROR(VLOOKUP(M4192,#REF!,6,0),0)</f>
        <v>0</v>
      </c>
      <c r="T4192" s="1394">
        <f t="shared" si="1052"/>
        <v>0</v>
      </c>
      <c r="U4192" s="1394">
        <f>IFERROR(VLOOKUP(M4192,#REF!,5,0),0)</f>
        <v>0</v>
      </c>
      <c r="V4192" s="1394">
        <f t="shared" si="1053"/>
        <v>0</v>
      </c>
      <c r="W4192" s="1394"/>
    </row>
    <row r="4193" spans="2:23" ht="30" customHeight="1">
      <c r="B4193" s="1405"/>
      <c r="C4193" s="1480" t="s">
        <v>541</v>
      </c>
      <c r="D4193" s="1409">
        <f>D838</f>
        <v>0</v>
      </c>
      <c r="E4193" s="1409">
        <f t="shared" si="1059"/>
        <v>0</v>
      </c>
      <c r="F4193" s="1410">
        <f t="shared" si="1059"/>
        <v>0</v>
      </c>
      <c r="G4193" s="1410">
        <f t="shared" si="1059"/>
        <v>0</v>
      </c>
      <c r="H4193" s="1411">
        <f>H838</f>
        <v>0</v>
      </c>
      <c r="I4193" s="1406">
        <f t="shared" si="1055"/>
        <v>0</v>
      </c>
      <c r="O4193" s="1395"/>
      <c r="Q4193" s="1394">
        <f>IFERROR(VLOOKUP(M4193,#REF!,3,0),0)</f>
        <v>0</v>
      </c>
      <c r="R4193" s="1394">
        <f t="shared" si="1047"/>
        <v>0</v>
      </c>
      <c r="S4193" s="1394">
        <f>IFERROR(VLOOKUP(M4193,#REF!,6,0),0)</f>
        <v>0</v>
      </c>
      <c r="T4193" s="1394">
        <f t="shared" si="1052"/>
        <v>0</v>
      </c>
      <c r="U4193" s="1394">
        <f>IFERROR(VLOOKUP(M4193,#REF!,5,0),0)</f>
        <v>0</v>
      </c>
      <c r="V4193" s="1394">
        <f t="shared" si="1053"/>
        <v>0</v>
      </c>
      <c r="W4193" s="1394"/>
    </row>
    <row r="4194" spans="2:23" ht="30" customHeight="1">
      <c r="B4194" s="1405"/>
      <c r="C4194" s="1415" t="str">
        <f t="shared" ref="C4194:C4219" si="1060">C839</f>
        <v>Horizontal beam</v>
      </c>
      <c r="D4194" s="1409">
        <f>D839</f>
        <v>0</v>
      </c>
      <c r="E4194" s="1409">
        <f t="shared" si="1059"/>
        <v>0</v>
      </c>
      <c r="F4194" s="1410">
        <f t="shared" si="1059"/>
        <v>0</v>
      </c>
      <c r="G4194" s="1410">
        <f t="shared" si="1059"/>
        <v>0</v>
      </c>
      <c r="H4194" s="1411">
        <f>H839</f>
        <v>0</v>
      </c>
      <c r="I4194" s="1406">
        <f t="shared" si="1055"/>
        <v>0</v>
      </c>
      <c r="O4194" s="1395"/>
      <c r="Q4194" s="1394">
        <f>IFERROR(VLOOKUP(M4194,#REF!,3,0),0)</f>
        <v>0</v>
      </c>
      <c r="R4194" s="1394">
        <f t="shared" si="1047"/>
        <v>0</v>
      </c>
      <c r="S4194" s="1394">
        <f>IFERROR(VLOOKUP(M4194,#REF!,6,0),0)</f>
        <v>0</v>
      </c>
      <c r="T4194" s="1394">
        <f t="shared" si="1052"/>
        <v>0</v>
      </c>
      <c r="U4194" s="1394">
        <f>IFERROR(VLOOKUP(M4194,#REF!,5,0),0)</f>
        <v>0</v>
      </c>
      <c r="V4194" s="1394">
        <f t="shared" si="1053"/>
        <v>0</v>
      </c>
      <c r="W4194" s="1394"/>
    </row>
    <row r="4195" spans="2:23" ht="30" customHeight="1">
      <c r="B4195" s="1405"/>
      <c r="C4195" s="1415" t="str">
        <f t="shared" si="1060"/>
        <v>A1 to B1 , A5 to B5 , A6 to B6 &amp; A7 to B7</v>
      </c>
      <c r="D4195" s="1409">
        <f t="shared" ref="D4195:D4219" si="1061">D840*2</f>
        <v>2</v>
      </c>
      <c r="E4195" s="1409">
        <f t="shared" ref="E4195:F4220" si="1062">E840</f>
        <v>4</v>
      </c>
      <c r="F4195" s="1410">
        <f t="shared" si="1062"/>
        <v>4.2300000000000004</v>
      </c>
      <c r="G4195" s="1410"/>
      <c r="H4195" s="1410">
        <f t="shared" ref="H4195:H4219" si="1063">H840-0.125</f>
        <v>0.255</v>
      </c>
      <c r="I4195" s="1406">
        <f t="shared" si="1055"/>
        <v>8.6292000000000009</v>
      </c>
      <c r="O4195" s="1395"/>
      <c r="Q4195" s="1394">
        <f>IFERROR(VLOOKUP(M4195,#REF!,3,0),0)</f>
        <v>0</v>
      </c>
      <c r="R4195" s="1394">
        <f t="shared" si="1047"/>
        <v>0</v>
      </c>
      <c r="S4195" s="1394">
        <f>IFERROR(VLOOKUP(M4195,#REF!,6,0),0)</f>
        <v>0</v>
      </c>
      <c r="T4195" s="1394">
        <f t="shared" si="1052"/>
        <v>0</v>
      </c>
      <c r="U4195" s="1394">
        <f>IFERROR(VLOOKUP(M4195,#REF!,5,0),0)</f>
        <v>0</v>
      </c>
      <c r="V4195" s="1394">
        <f t="shared" si="1053"/>
        <v>0</v>
      </c>
      <c r="W4195" s="1394"/>
    </row>
    <row r="4196" spans="2:23" ht="30" customHeight="1">
      <c r="B4196" s="1405"/>
      <c r="C4196" s="1408" t="str">
        <f t="shared" si="1060"/>
        <v>A8 to H8</v>
      </c>
      <c r="D4196" s="1409">
        <f t="shared" si="1061"/>
        <v>2</v>
      </c>
      <c r="E4196" s="1409">
        <f t="shared" si="1062"/>
        <v>1</v>
      </c>
      <c r="F4196" s="1410">
        <f t="shared" si="1062"/>
        <v>18.575000000000003</v>
      </c>
      <c r="G4196" s="1410"/>
      <c r="H4196" s="1410">
        <f t="shared" si="1063"/>
        <v>0.255</v>
      </c>
      <c r="I4196" s="1406">
        <f t="shared" si="1055"/>
        <v>9.4732500000000019</v>
      </c>
      <c r="L4196" s="1413"/>
      <c r="O4196" s="1395"/>
      <c r="Q4196" s="1394">
        <f>IFERROR(VLOOKUP(M4196,#REF!,3,0),0)</f>
        <v>0</v>
      </c>
      <c r="R4196" s="1394">
        <f t="shared" si="1047"/>
        <v>0</v>
      </c>
      <c r="S4196" s="1394">
        <f>IFERROR(VLOOKUP(M4196,#REF!,6,0),0)</f>
        <v>0</v>
      </c>
      <c r="T4196" s="1394">
        <f t="shared" si="1052"/>
        <v>0</v>
      </c>
      <c r="U4196" s="1394">
        <f>IFERROR(VLOOKUP(M4196,#REF!,5,0),0)</f>
        <v>0</v>
      </c>
      <c r="V4196" s="1394">
        <f t="shared" si="1053"/>
        <v>0</v>
      </c>
      <c r="W4196" s="1394"/>
    </row>
    <row r="4197" spans="2:23" ht="30" customHeight="1">
      <c r="B4197" s="1405"/>
      <c r="C4197" s="1408" t="str">
        <f t="shared" si="1060"/>
        <v>B5 to G5</v>
      </c>
      <c r="D4197" s="1409">
        <f t="shared" si="1061"/>
        <v>2</v>
      </c>
      <c r="E4197" s="1409">
        <f t="shared" si="1062"/>
        <v>1</v>
      </c>
      <c r="F4197" s="1410">
        <f t="shared" si="1062"/>
        <v>10.35</v>
      </c>
      <c r="G4197" s="1410"/>
      <c r="H4197" s="1410">
        <f t="shared" si="1063"/>
        <v>0.255</v>
      </c>
      <c r="I4197" s="1406">
        <f t="shared" si="1055"/>
        <v>5.2785000000000002</v>
      </c>
      <c r="L4197" s="1413"/>
      <c r="O4197" s="1395"/>
      <c r="Q4197" s="1394">
        <f>IFERROR(VLOOKUP(M4197,#REF!,3,0),0)</f>
        <v>0</v>
      </c>
      <c r="R4197" s="1394">
        <f t="shared" si="1047"/>
        <v>0</v>
      </c>
      <c r="S4197" s="1394">
        <f>IFERROR(VLOOKUP(M4197,#REF!,6,0),0)</f>
        <v>0</v>
      </c>
      <c r="T4197" s="1394">
        <f t="shared" si="1052"/>
        <v>0</v>
      </c>
      <c r="U4197" s="1394">
        <f>IFERROR(VLOOKUP(M4197,#REF!,5,0),0)</f>
        <v>0</v>
      </c>
      <c r="V4197" s="1394">
        <f t="shared" si="1053"/>
        <v>0</v>
      </c>
      <c r="W4197" s="1394"/>
    </row>
    <row r="4198" spans="2:23" ht="30" customHeight="1">
      <c r="B4198" s="1405"/>
      <c r="C4198" s="1408" t="str">
        <f t="shared" si="1060"/>
        <v>B3 to G3</v>
      </c>
      <c r="D4198" s="1409">
        <f t="shared" si="1061"/>
        <v>2</v>
      </c>
      <c r="E4198" s="1409">
        <f t="shared" si="1062"/>
        <v>1</v>
      </c>
      <c r="F4198" s="1410">
        <f t="shared" si="1062"/>
        <v>10.35</v>
      </c>
      <c r="G4198" s="1410"/>
      <c r="H4198" s="1410">
        <f t="shared" si="1063"/>
        <v>0.32500000000000001</v>
      </c>
      <c r="I4198" s="1406">
        <f t="shared" si="1055"/>
        <v>6.7275</v>
      </c>
      <c r="L4198" s="1413"/>
      <c r="O4198" s="1395"/>
      <c r="Q4198" s="1394">
        <f>IFERROR(VLOOKUP(M4198,#REF!,3,0),0)</f>
        <v>0</v>
      </c>
      <c r="R4198" s="1394">
        <f t="shared" si="1047"/>
        <v>0</v>
      </c>
      <c r="S4198" s="1394">
        <f>IFERROR(VLOOKUP(M4198,#REF!,6,0),0)</f>
        <v>0</v>
      </c>
      <c r="T4198" s="1394">
        <f t="shared" si="1052"/>
        <v>0</v>
      </c>
      <c r="U4198" s="1394">
        <f>IFERROR(VLOOKUP(M4198,#REF!,5,0),0)</f>
        <v>0</v>
      </c>
      <c r="V4198" s="1394">
        <f t="shared" si="1053"/>
        <v>0</v>
      </c>
      <c r="W4198" s="1394"/>
    </row>
    <row r="4199" spans="2:23" ht="30" customHeight="1">
      <c r="B4199" s="1405"/>
      <c r="C4199" s="1408" t="str">
        <f t="shared" si="1060"/>
        <v>B7 to G7</v>
      </c>
      <c r="D4199" s="1409">
        <f t="shared" si="1061"/>
        <v>2</v>
      </c>
      <c r="E4199" s="1409">
        <f t="shared" si="1062"/>
        <v>1</v>
      </c>
      <c r="F4199" s="1410">
        <f t="shared" si="1062"/>
        <v>10.35</v>
      </c>
      <c r="G4199" s="1410"/>
      <c r="H4199" s="1410">
        <f t="shared" si="1063"/>
        <v>0.47499999999999998</v>
      </c>
      <c r="I4199" s="1406">
        <f t="shared" si="1055"/>
        <v>9.8324999999999996</v>
      </c>
      <c r="L4199" s="1413"/>
      <c r="O4199" s="1395"/>
      <c r="Q4199" s="1394">
        <f>IFERROR(VLOOKUP(M4199,#REF!,3,0),0)</f>
        <v>0</v>
      </c>
      <c r="R4199" s="1394">
        <f t="shared" si="1047"/>
        <v>0</v>
      </c>
      <c r="S4199" s="1394">
        <f>IFERROR(VLOOKUP(M4199,#REF!,6,0),0)</f>
        <v>0</v>
      </c>
      <c r="T4199" s="1394">
        <f t="shared" si="1052"/>
        <v>0</v>
      </c>
      <c r="U4199" s="1394">
        <f>IFERROR(VLOOKUP(M4199,#REF!,5,0),0)</f>
        <v>0</v>
      </c>
      <c r="V4199" s="1394">
        <f t="shared" si="1053"/>
        <v>0</v>
      </c>
      <c r="W4199" s="1394"/>
    </row>
    <row r="4200" spans="2:23" ht="30" customHeight="1">
      <c r="B4200" s="1405"/>
      <c r="C4200" s="1408" t="str">
        <f t="shared" si="1060"/>
        <v>B4 to F4</v>
      </c>
      <c r="D4200" s="1409">
        <f t="shared" si="1061"/>
        <v>2</v>
      </c>
      <c r="E4200" s="1409">
        <f t="shared" si="1062"/>
        <v>1</v>
      </c>
      <c r="F4200" s="1410">
        <f t="shared" si="1062"/>
        <v>6.8849999999999998</v>
      </c>
      <c r="G4200" s="1410"/>
      <c r="H4200" s="1410">
        <f t="shared" si="1063"/>
        <v>0.255</v>
      </c>
      <c r="I4200" s="1406">
        <f t="shared" si="1055"/>
        <v>3.5113499999999997</v>
      </c>
      <c r="L4200" s="1413"/>
      <c r="O4200" s="1395"/>
      <c r="Q4200" s="1394">
        <f>IFERROR(VLOOKUP(M4200,#REF!,3,0),0)</f>
        <v>0</v>
      </c>
      <c r="R4200" s="1394">
        <f t="shared" si="1047"/>
        <v>0</v>
      </c>
      <c r="S4200" s="1394">
        <f>IFERROR(VLOOKUP(M4200,#REF!,6,0),0)</f>
        <v>0</v>
      </c>
      <c r="T4200" s="1394">
        <f t="shared" si="1052"/>
        <v>0</v>
      </c>
      <c r="U4200" s="1394">
        <f>IFERROR(VLOOKUP(M4200,#REF!,5,0),0)</f>
        <v>0</v>
      </c>
      <c r="V4200" s="1394">
        <f t="shared" si="1053"/>
        <v>0</v>
      </c>
      <c r="W4200" s="1394"/>
    </row>
    <row r="4201" spans="2:23" ht="30" customHeight="1">
      <c r="B4201" s="1405"/>
      <c r="C4201" s="1408" t="str">
        <f t="shared" si="1060"/>
        <v>OTS Cross Beam</v>
      </c>
      <c r="D4201" s="1409">
        <f t="shared" si="1061"/>
        <v>2</v>
      </c>
      <c r="E4201" s="1409">
        <f t="shared" si="1062"/>
        <v>1</v>
      </c>
      <c r="F4201" s="1410">
        <f t="shared" si="1062"/>
        <v>4.2300000000000004</v>
      </c>
      <c r="G4201" s="1410"/>
      <c r="H4201" s="1410">
        <f t="shared" si="1063"/>
        <v>0.255</v>
      </c>
      <c r="I4201" s="1406">
        <f t="shared" si="1055"/>
        <v>2.1573000000000002</v>
      </c>
      <c r="L4201" s="1413"/>
      <c r="O4201" s="1395"/>
      <c r="Q4201" s="1394">
        <f>IFERROR(VLOOKUP(M4201,#REF!,3,0),0)</f>
        <v>0</v>
      </c>
      <c r="R4201" s="1394">
        <f t="shared" si="1047"/>
        <v>0</v>
      </c>
      <c r="S4201" s="1394">
        <f>IFERROR(VLOOKUP(M4201,#REF!,6,0),0)</f>
        <v>0</v>
      </c>
      <c r="T4201" s="1394">
        <f t="shared" si="1052"/>
        <v>0</v>
      </c>
      <c r="U4201" s="1394">
        <f>IFERROR(VLOOKUP(M4201,#REF!,5,0),0)</f>
        <v>0</v>
      </c>
      <c r="V4201" s="1394">
        <f t="shared" si="1053"/>
        <v>0</v>
      </c>
      <c r="W4201" s="1394"/>
    </row>
    <row r="4202" spans="2:23" ht="30" customHeight="1">
      <c r="B4202" s="1405"/>
      <c r="C4202" s="1408" t="str">
        <f t="shared" si="1060"/>
        <v>OTS Cross Beam</v>
      </c>
      <c r="D4202" s="1409">
        <f t="shared" si="1061"/>
        <v>2</v>
      </c>
      <c r="E4202" s="1409">
        <f t="shared" si="1062"/>
        <v>1</v>
      </c>
      <c r="F4202" s="1410">
        <f t="shared" si="1062"/>
        <v>3.9950000000000001</v>
      </c>
      <c r="G4202" s="1410"/>
      <c r="H4202" s="1410">
        <f t="shared" si="1063"/>
        <v>0.255</v>
      </c>
      <c r="I4202" s="1406">
        <f t="shared" si="1055"/>
        <v>2.0374500000000002</v>
      </c>
      <c r="L4202" s="1413"/>
      <c r="O4202" s="1395"/>
      <c r="Q4202" s="1394">
        <f>IFERROR(VLOOKUP(M4202,#REF!,3,0),0)</f>
        <v>0</v>
      </c>
      <c r="R4202" s="1394">
        <f t="shared" si="1047"/>
        <v>0</v>
      </c>
      <c r="S4202" s="1394">
        <f>IFERROR(VLOOKUP(M4202,#REF!,6,0),0)</f>
        <v>0</v>
      </c>
      <c r="T4202" s="1394">
        <f t="shared" si="1052"/>
        <v>0</v>
      </c>
      <c r="U4202" s="1394">
        <f>IFERROR(VLOOKUP(M4202,#REF!,5,0),0)</f>
        <v>0</v>
      </c>
      <c r="V4202" s="1394">
        <f t="shared" si="1053"/>
        <v>0</v>
      </c>
      <c r="W4202" s="1394"/>
    </row>
    <row r="4203" spans="2:23" ht="30" customHeight="1">
      <c r="B4203" s="1405"/>
      <c r="C4203" s="1408" t="str">
        <f t="shared" si="1060"/>
        <v>G3 to H3 , G5 to H5 , G6 to H6 &amp; G7 to H7</v>
      </c>
      <c r="D4203" s="1409">
        <f t="shared" si="1061"/>
        <v>2</v>
      </c>
      <c r="E4203" s="1409">
        <f t="shared" si="1062"/>
        <v>4</v>
      </c>
      <c r="F4203" s="1410">
        <f t="shared" si="1062"/>
        <v>3.9950000000000001</v>
      </c>
      <c r="G4203" s="1410"/>
      <c r="H4203" s="1410">
        <f t="shared" si="1063"/>
        <v>0.255</v>
      </c>
      <c r="I4203" s="1406">
        <f t="shared" si="1055"/>
        <v>8.1498000000000008</v>
      </c>
      <c r="L4203" s="1413"/>
      <c r="O4203" s="1395"/>
      <c r="Q4203" s="1394">
        <f>IFERROR(VLOOKUP(M4203,#REF!,3,0),0)</f>
        <v>0</v>
      </c>
      <c r="R4203" s="1394">
        <f t="shared" si="1047"/>
        <v>0</v>
      </c>
      <c r="S4203" s="1394">
        <f>IFERROR(VLOOKUP(M4203,#REF!,6,0),0)</f>
        <v>0</v>
      </c>
      <c r="T4203" s="1394">
        <f t="shared" si="1052"/>
        <v>0</v>
      </c>
      <c r="U4203" s="1394">
        <f>IFERROR(VLOOKUP(M4203,#REF!,5,0),0)</f>
        <v>0</v>
      </c>
      <c r="V4203" s="1394">
        <f t="shared" si="1053"/>
        <v>0</v>
      </c>
      <c r="W4203" s="1394"/>
    </row>
    <row r="4204" spans="2:23" ht="30" customHeight="1">
      <c r="B4204" s="1405"/>
      <c r="C4204" s="1408" t="str">
        <f t="shared" si="1060"/>
        <v>Cross beams</v>
      </c>
      <c r="D4204" s="1409">
        <f t="shared" si="1061"/>
        <v>2</v>
      </c>
      <c r="E4204" s="1409">
        <f t="shared" si="1062"/>
        <v>1</v>
      </c>
      <c r="F4204" s="1410">
        <f t="shared" si="1062"/>
        <v>1.7350000000000001</v>
      </c>
      <c r="G4204" s="1410"/>
      <c r="H4204" s="1410">
        <f t="shared" si="1063"/>
        <v>0.255</v>
      </c>
      <c r="I4204" s="1406">
        <f t="shared" si="1055"/>
        <v>0.88485000000000003</v>
      </c>
      <c r="L4204" s="1413"/>
      <c r="O4204" s="1395"/>
      <c r="Q4204" s="1394">
        <f>IFERROR(VLOOKUP(M4204,#REF!,3,0),0)</f>
        <v>0</v>
      </c>
      <c r="R4204" s="1394">
        <f t="shared" si="1047"/>
        <v>0</v>
      </c>
      <c r="S4204" s="1394">
        <f>IFERROR(VLOOKUP(M4204,#REF!,6,0),0)</f>
        <v>0</v>
      </c>
      <c r="T4204" s="1394">
        <f t="shared" si="1052"/>
        <v>0</v>
      </c>
      <c r="U4204" s="1394">
        <f>IFERROR(VLOOKUP(M4204,#REF!,5,0),0)</f>
        <v>0</v>
      </c>
      <c r="V4204" s="1394">
        <f t="shared" si="1053"/>
        <v>0</v>
      </c>
      <c r="W4204" s="1394"/>
    </row>
    <row r="4205" spans="2:23" ht="30" customHeight="1">
      <c r="B4205" s="1405"/>
      <c r="C4205" s="1408" t="str">
        <f t="shared" si="1060"/>
        <v>Cross beams</v>
      </c>
      <c r="D4205" s="1409">
        <f t="shared" si="1061"/>
        <v>2</v>
      </c>
      <c r="E4205" s="1409">
        <f t="shared" si="1062"/>
        <v>1</v>
      </c>
      <c r="F4205" s="1410">
        <f t="shared" si="1062"/>
        <v>3.7650000000000001</v>
      </c>
      <c r="G4205" s="1410"/>
      <c r="H4205" s="1410">
        <f t="shared" si="1063"/>
        <v>0.255</v>
      </c>
      <c r="I4205" s="1406">
        <f t="shared" si="1055"/>
        <v>1.92015</v>
      </c>
      <c r="L4205" s="1413"/>
      <c r="O4205" s="1395"/>
      <c r="Q4205" s="1394">
        <f>IFERROR(VLOOKUP(M4205,#REF!,3,0),0)</f>
        <v>0</v>
      </c>
      <c r="R4205" s="1394">
        <f t="shared" si="1047"/>
        <v>0</v>
      </c>
      <c r="S4205" s="1394">
        <f>IFERROR(VLOOKUP(M4205,#REF!,6,0),0)</f>
        <v>0</v>
      </c>
      <c r="T4205" s="1394">
        <f t="shared" si="1052"/>
        <v>0</v>
      </c>
      <c r="U4205" s="1394">
        <f>IFERROR(VLOOKUP(M4205,#REF!,5,0),0)</f>
        <v>0</v>
      </c>
      <c r="V4205" s="1394">
        <f t="shared" si="1053"/>
        <v>0</v>
      </c>
      <c r="W4205" s="1394"/>
    </row>
    <row r="4206" spans="2:23" ht="30" customHeight="1">
      <c r="B4206" s="1405"/>
      <c r="C4206" s="1408" t="str">
        <f t="shared" si="1060"/>
        <v>Vertical beam</v>
      </c>
      <c r="D4206" s="1409">
        <f t="shared" si="1061"/>
        <v>0</v>
      </c>
      <c r="E4206" s="1409">
        <f t="shared" si="1062"/>
        <v>0</v>
      </c>
      <c r="F4206" s="1410">
        <f t="shared" si="1062"/>
        <v>0</v>
      </c>
      <c r="G4206" s="1410"/>
      <c r="H4206" s="1410">
        <f t="shared" si="1063"/>
        <v>-0.125</v>
      </c>
      <c r="I4206" s="1406">
        <f t="shared" si="1055"/>
        <v>0</v>
      </c>
      <c r="L4206" s="1413"/>
      <c r="O4206" s="1395"/>
      <c r="Q4206" s="1394">
        <f>IFERROR(VLOOKUP(M4206,#REF!,3,0),0)</f>
        <v>0</v>
      </c>
      <c r="R4206" s="1394">
        <f t="shared" ref="R4206:R4269" si="1064">ROUND(O4206,2)*ROUND(Q4206,2)</f>
        <v>0</v>
      </c>
      <c r="S4206" s="1394">
        <f>IFERROR(VLOOKUP(M4206,#REF!,6,0),0)</f>
        <v>0</v>
      </c>
      <c r="T4206" s="1394">
        <f t="shared" si="1052"/>
        <v>0</v>
      </c>
      <c r="U4206" s="1394">
        <f>IFERROR(VLOOKUP(M4206,#REF!,5,0),0)</f>
        <v>0</v>
      </c>
      <c r="V4206" s="1394">
        <f t="shared" si="1053"/>
        <v>0</v>
      </c>
      <c r="W4206" s="1394"/>
    </row>
    <row r="4207" spans="2:23" ht="30" customHeight="1">
      <c r="B4207" s="1405"/>
      <c r="C4207" s="1415" t="str">
        <f t="shared" si="1060"/>
        <v>A3 To A5</v>
      </c>
      <c r="D4207" s="1409">
        <f t="shared" si="1061"/>
        <v>2</v>
      </c>
      <c r="E4207" s="1409">
        <f t="shared" si="1062"/>
        <v>1</v>
      </c>
      <c r="F4207" s="1410">
        <f t="shared" si="1062"/>
        <v>5.5299999999999994</v>
      </c>
      <c r="G4207" s="1410"/>
      <c r="H4207" s="1410">
        <f t="shared" si="1063"/>
        <v>0.32500000000000001</v>
      </c>
      <c r="I4207" s="1406">
        <f t="shared" si="1055"/>
        <v>3.5944999999999996</v>
      </c>
      <c r="L4207" s="1413"/>
      <c r="O4207" s="1395"/>
      <c r="Q4207" s="1394">
        <f>IFERROR(VLOOKUP(M4207,#REF!,3,0),0)</f>
        <v>0</v>
      </c>
      <c r="R4207" s="1394">
        <f t="shared" si="1064"/>
        <v>0</v>
      </c>
      <c r="S4207" s="1394">
        <f>IFERROR(VLOOKUP(M4207,#REF!,6,0),0)</f>
        <v>0</v>
      </c>
      <c r="T4207" s="1394">
        <f t="shared" si="1052"/>
        <v>0</v>
      </c>
      <c r="U4207" s="1394">
        <f>IFERROR(VLOOKUP(M4207,#REF!,5,0),0)</f>
        <v>0</v>
      </c>
      <c r="V4207" s="1394">
        <f t="shared" si="1053"/>
        <v>0</v>
      </c>
      <c r="W4207" s="1394"/>
    </row>
    <row r="4208" spans="2:23" ht="30" customHeight="1">
      <c r="B4208" s="1405"/>
      <c r="C4208" s="1408" t="str">
        <f t="shared" si="1060"/>
        <v>A5 To A8</v>
      </c>
      <c r="D4208" s="1409">
        <f t="shared" si="1061"/>
        <v>2</v>
      </c>
      <c r="E4208" s="1409">
        <f t="shared" si="1062"/>
        <v>1</v>
      </c>
      <c r="F4208" s="1410">
        <f t="shared" si="1062"/>
        <v>10.120000000000001</v>
      </c>
      <c r="G4208" s="1410"/>
      <c r="H4208" s="1410">
        <f t="shared" si="1063"/>
        <v>0.255</v>
      </c>
      <c r="I4208" s="1406">
        <f t="shared" si="1055"/>
        <v>5.1612000000000009</v>
      </c>
      <c r="L4208" s="1413"/>
      <c r="O4208" s="1395"/>
      <c r="Q4208" s="1394">
        <f>IFERROR(VLOOKUP(M4208,#REF!,3,0),0)</f>
        <v>0</v>
      </c>
      <c r="R4208" s="1394">
        <f t="shared" si="1064"/>
        <v>0</v>
      </c>
      <c r="S4208" s="1394">
        <f>IFERROR(VLOOKUP(M4208,#REF!,6,0),0)</f>
        <v>0</v>
      </c>
      <c r="T4208" s="1394">
        <f t="shared" si="1052"/>
        <v>0</v>
      </c>
      <c r="U4208" s="1394">
        <f>IFERROR(VLOOKUP(M4208,#REF!,5,0),0)</f>
        <v>0</v>
      </c>
      <c r="V4208" s="1394">
        <f t="shared" si="1053"/>
        <v>0</v>
      </c>
      <c r="W4208" s="1394"/>
    </row>
    <row r="4209" spans="2:23" ht="30" customHeight="1">
      <c r="B4209" s="1405"/>
      <c r="C4209" s="1408" t="str">
        <f t="shared" si="1060"/>
        <v>B3 To B8</v>
      </c>
      <c r="D4209" s="1409">
        <f t="shared" si="1061"/>
        <v>2</v>
      </c>
      <c r="E4209" s="1409">
        <f t="shared" si="1062"/>
        <v>1</v>
      </c>
      <c r="F4209" s="1410">
        <f t="shared" si="1062"/>
        <v>15.649999999999999</v>
      </c>
      <c r="G4209" s="1410"/>
      <c r="H4209" s="1410">
        <f t="shared" si="1063"/>
        <v>0.255</v>
      </c>
      <c r="I4209" s="1406">
        <f t="shared" si="1055"/>
        <v>7.9814999999999996</v>
      </c>
      <c r="L4209" s="1413"/>
      <c r="O4209" s="1395"/>
      <c r="Q4209" s="1394">
        <f>IFERROR(VLOOKUP(M4209,#REF!,3,0),0)</f>
        <v>0</v>
      </c>
      <c r="R4209" s="1394">
        <f t="shared" si="1064"/>
        <v>0</v>
      </c>
      <c r="S4209" s="1394">
        <f>IFERROR(VLOOKUP(M4209,#REF!,6,0),0)</f>
        <v>0</v>
      </c>
      <c r="T4209" s="1394">
        <f t="shared" si="1052"/>
        <v>0</v>
      </c>
      <c r="U4209" s="1394">
        <f>IFERROR(VLOOKUP(M4209,#REF!,5,0),0)</f>
        <v>0</v>
      </c>
      <c r="V4209" s="1394">
        <f t="shared" si="1053"/>
        <v>0</v>
      </c>
      <c r="W4209" s="1394"/>
    </row>
    <row r="4210" spans="2:23" ht="30" customHeight="1">
      <c r="B4210" s="1405"/>
      <c r="C4210" s="1408" t="str">
        <f t="shared" si="1060"/>
        <v>Cross beams</v>
      </c>
      <c r="D4210" s="1409">
        <f t="shared" si="1061"/>
        <v>2</v>
      </c>
      <c r="E4210" s="1409">
        <f t="shared" si="1062"/>
        <v>1</v>
      </c>
      <c r="F4210" s="1410">
        <f t="shared" si="1062"/>
        <v>4.13</v>
      </c>
      <c r="G4210" s="1410"/>
      <c r="H4210" s="1410">
        <f t="shared" si="1063"/>
        <v>0.255</v>
      </c>
      <c r="I4210" s="1406">
        <f t="shared" si="1055"/>
        <v>2.1063000000000001</v>
      </c>
      <c r="L4210" s="1413"/>
      <c r="O4210" s="1395"/>
      <c r="Q4210" s="1394">
        <f>IFERROR(VLOOKUP(M4210,#REF!,3,0),0)</f>
        <v>0</v>
      </c>
      <c r="R4210" s="1394">
        <f t="shared" si="1064"/>
        <v>0</v>
      </c>
      <c r="S4210" s="1394">
        <f>IFERROR(VLOOKUP(M4210,#REF!,6,0),0)</f>
        <v>0</v>
      </c>
      <c r="T4210" s="1394">
        <f t="shared" si="1052"/>
        <v>0</v>
      </c>
      <c r="U4210" s="1394">
        <f>IFERROR(VLOOKUP(M4210,#REF!,5,0),0)</f>
        <v>0</v>
      </c>
      <c r="V4210" s="1394">
        <f t="shared" si="1053"/>
        <v>0</v>
      </c>
      <c r="W4210" s="1394"/>
    </row>
    <row r="4211" spans="2:23" ht="30" customHeight="1">
      <c r="B4211" s="1405"/>
      <c r="C4211" s="1408" t="str">
        <f t="shared" si="1060"/>
        <v>Cross beams</v>
      </c>
      <c r="D4211" s="1409">
        <f t="shared" si="1061"/>
        <v>2</v>
      </c>
      <c r="E4211" s="1409">
        <f t="shared" si="1062"/>
        <v>1</v>
      </c>
      <c r="F4211" s="1410">
        <f t="shared" si="1062"/>
        <v>4.13</v>
      </c>
      <c r="G4211" s="1410"/>
      <c r="H4211" s="1410">
        <f t="shared" si="1063"/>
        <v>0.32500000000000001</v>
      </c>
      <c r="I4211" s="1406">
        <f t="shared" si="1055"/>
        <v>2.6844999999999999</v>
      </c>
      <c r="L4211" s="1413"/>
      <c r="O4211" s="1395"/>
      <c r="Q4211" s="1394">
        <f>IFERROR(VLOOKUP(M4211,#REF!,3,0),0)</f>
        <v>0</v>
      </c>
      <c r="R4211" s="1394">
        <f t="shared" si="1064"/>
        <v>0</v>
      </c>
      <c r="S4211" s="1394">
        <f>IFERROR(VLOOKUP(M4211,#REF!,6,0),0)</f>
        <v>0</v>
      </c>
      <c r="T4211" s="1394">
        <f t="shared" si="1052"/>
        <v>0</v>
      </c>
      <c r="U4211" s="1394">
        <f>IFERROR(VLOOKUP(M4211,#REF!,5,0),0)</f>
        <v>0</v>
      </c>
      <c r="V4211" s="1394">
        <f t="shared" si="1053"/>
        <v>0</v>
      </c>
      <c r="W4211" s="1394"/>
    </row>
    <row r="4212" spans="2:23" ht="30" customHeight="1">
      <c r="B4212" s="1405"/>
      <c r="C4212" s="1408" t="str">
        <f t="shared" si="1060"/>
        <v>C4 to C5</v>
      </c>
      <c r="D4212" s="1409">
        <f t="shared" si="1061"/>
        <v>2</v>
      </c>
      <c r="E4212" s="1409">
        <f t="shared" si="1062"/>
        <v>1</v>
      </c>
      <c r="F4212" s="1410">
        <f t="shared" si="1062"/>
        <v>2.5299999999999998</v>
      </c>
      <c r="G4212" s="1410"/>
      <c r="H4212" s="1410">
        <f t="shared" si="1063"/>
        <v>0.32500000000000001</v>
      </c>
      <c r="I4212" s="1406">
        <f t="shared" si="1055"/>
        <v>1.6444999999999999</v>
      </c>
      <c r="L4212" s="1413"/>
      <c r="O4212" s="1395"/>
      <c r="Q4212" s="1394">
        <f>IFERROR(VLOOKUP(M4212,#REF!,3,0),0)</f>
        <v>0</v>
      </c>
      <c r="R4212" s="1394">
        <f t="shared" si="1064"/>
        <v>0</v>
      </c>
      <c r="S4212" s="1394">
        <f>IFERROR(VLOOKUP(M4212,#REF!,6,0),0)</f>
        <v>0</v>
      </c>
      <c r="T4212" s="1394">
        <f t="shared" si="1052"/>
        <v>0</v>
      </c>
      <c r="U4212" s="1394">
        <f>IFERROR(VLOOKUP(M4212,#REF!,5,0),0)</f>
        <v>0</v>
      </c>
      <c r="V4212" s="1394">
        <f t="shared" si="1053"/>
        <v>0</v>
      </c>
      <c r="W4212" s="1394"/>
    </row>
    <row r="4213" spans="2:23" ht="30" customHeight="1">
      <c r="B4213" s="1405"/>
      <c r="C4213" s="1408" t="str">
        <f t="shared" si="1060"/>
        <v xml:space="preserve">C5 to C7 &amp; F5 to F7 </v>
      </c>
      <c r="D4213" s="1409">
        <f t="shared" si="1061"/>
        <v>2</v>
      </c>
      <c r="E4213" s="1409">
        <f t="shared" si="1062"/>
        <v>2</v>
      </c>
      <c r="F4213" s="1410">
        <f t="shared" si="1062"/>
        <v>5.99</v>
      </c>
      <c r="G4213" s="1410"/>
      <c r="H4213" s="1410">
        <f t="shared" si="1063"/>
        <v>0.47499999999999998</v>
      </c>
      <c r="I4213" s="1406">
        <f t="shared" si="1055"/>
        <v>11.381</v>
      </c>
      <c r="L4213" s="1413"/>
      <c r="O4213" s="1395"/>
      <c r="Q4213" s="1394">
        <f>IFERROR(VLOOKUP(M4213,#REF!,3,0),0)</f>
        <v>0</v>
      </c>
      <c r="R4213" s="1394">
        <f t="shared" si="1064"/>
        <v>0</v>
      </c>
      <c r="S4213" s="1394">
        <f>IFERROR(VLOOKUP(M4213,#REF!,6,0),0)</f>
        <v>0</v>
      </c>
      <c r="T4213" s="1394">
        <f t="shared" si="1052"/>
        <v>0</v>
      </c>
      <c r="U4213" s="1394">
        <f>IFERROR(VLOOKUP(M4213,#REF!,5,0),0)</f>
        <v>0</v>
      </c>
      <c r="V4213" s="1394">
        <f t="shared" si="1053"/>
        <v>0</v>
      </c>
      <c r="W4213" s="1394"/>
    </row>
    <row r="4214" spans="2:23" ht="30" customHeight="1">
      <c r="B4214" s="1405"/>
      <c r="C4214" s="1408" t="str">
        <f t="shared" si="1060"/>
        <v>F3 to F5</v>
      </c>
      <c r="D4214" s="1409">
        <f t="shared" si="1061"/>
        <v>2</v>
      </c>
      <c r="E4214" s="1409">
        <f t="shared" si="1062"/>
        <v>1</v>
      </c>
      <c r="F4214" s="1410">
        <f t="shared" si="1062"/>
        <v>5.5299999999999994</v>
      </c>
      <c r="G4214" s="1410"/>
      <c r="H4214" s="1410">
        <f t="shared" si="1063"/>
        <v>0.32500000000000001</v>
      </c>
      <c r="I4214" s="1406">
        <f t="shared" si="1055"/>
        <v>3.5944999999999996</v>
      </c>
      <c r="L4214" s="1413"/>
      <c r="O4214" s="1395"/>
      <c r="Q4214" s="1394">
        <f>IFERROR(VLOOKUP(M4214,#REF!,3,0),0)</f>
        <v>0</v>
      </c>
      <c r="R4214" s="1394">
        <f t="shared" si="1064"/>
        <v>0</v>
      </c>
      <c r="S4214" s="1394">
        <f>IFERROR(VLOOKUP(M4214,#REF!,6,0),0)</f>
        <v>0</v>
      </c>
      <c r="T4214" s="1394">
        <f t="shared" si="1052"/>
        <v>0</v>
      </c>
      <c r="U4214" s="1394">
        <f>IFERROR(VLOOKUP(M4214,#REF!,5,0),0)</f>
        <v>0</v>
      </c>
      <c r="V4214" s="1394">
        <f t="shared" si="1053"/>
        <v>0</v>
      </c>
      <c r="W4214" s="1394"/>
    </row>
    <row r="4215" spans="2:23" ht="30" customHeight="1">
      <c r="B4215" s="1405"/>
      <c r="C4215" s="1408" t="str">
        <f t="shared" si="1060"/>
        <v>E7 to E8</v>
      </c>
      <c r="D4215" s="1409">
        <f t="shared" si="1061"/>
        <v>2</v>
      </c>
      <c r="E4215" s="1409">
        <f t="shared" si="1062"/>
        <v>1</v>
      </c>
      <c r="F4215" s="1410">
        <f t="shared" si="1062"/>
        <v>4.13</v>
      </c>
      <c r="G4215" s="1410"/>
      <c r="H4215" s="1410">
        <f t="shared" si="1063"/>
        <v>0.255</v>
      </c>
      <c r="I4215" s="1406">
        <f t="shared" si="1055"/>
        <v>2.1063000000000001</v>
      </c>
      <c r="L4215" s="1413"/>
      <c r="O4215" s="1395"/>
      <c r="Q4215" s="1394">
        <f>IFERROR(VLOOKUP(M4215,#REF!,3,0),0)</f>
        <v>0</v>
      </c>
      <c r="R4215" s="1394">
        <f t="shared" si="1064"/>
        <v>0</v>
      </c>
      <c r="S4215" s="1394">
        <f>IFERROR(VLOOKUP(M4215,#REF!,6,0),0)</f>
        <v>0</v>
      </c>
      <c r="T4215" s="1394">
        <f t="shared" si="1052"/>
        <v>0</v>
      </c>
      <c r="U4215" s="1394">
        <f>IFERROR(VLOOKUP(M4215,#REF!,5,0),0)</f>
        <v>0</v>
      </c>
      <c r="V4215" s="1394">
        <f t="shared" si="1053"/>
        <v>0</v>
      </c>
      <c r="W4215" s="1394"/>
    </row>
    <row r="4216" spans="2:23" ht="30" customHeight="1">
      <c r="B4216" s="1405"/>
      <c r="C4216" s="1408" t="str">
        <f t="shared" si="1060"/>
        <v>G3 to G7</v>
      </c>
      <c r="D4216" s="1409">
        <f t="shared" si="1061"/>
        <v>2</v>
      </c>
      <c r="E4216" s="1409">
        <f t="shared" si="1062"/>
        <v>1</v>
      </c>
      <c r="F4216" s="1410">
        <f t="shared" si="1062"/>
        <v>11.52</v>
      </c>
      <c r="G4216" s="1410"/>
      <c r="H4216" s="1410">
        <f t="shared" si="1063"/>
        <v>0.32500000000000001</v>
      </c>
      <c r="I4216" s="1406">
        <f t="shared" si="1055"/>
        <v>7.4879999999999995</v>
      </c>
      <c r="L4216" s="1413"/>
      <c r="O4216" s="1395"/>
      <c r="Q4216" s="1394">
        <f>IFERROR(VLOOKUP(M4216,#REF!,3,0),0)</f>
        <v>0</v>
      </c>
      <c r="R4216" s="1394">
        <f t="shared" si="1064"/>
        <v>0</v>
      </c>
      <c r="S4216" s="1394">
        <f>IFERROR(VLOOKUP(M4216,#REF!,6,0),0)</f>
        <v>0</v>
      </c>
      <c r="T4216" s="1394">
        <f t="shared" si="1052"/>
        <v>0</v>
      </c>
      <c r="U4216" s="1394">
        <f>IFERROR(VLOOKUP(M4216,#REF!,5,0),0)</f>
        <v>0</v>
      </c>
      <c r="V4216" s="1394">
        <f t="shared" si="1053"/>
        <v>0</v>
      </c>
      <c r="W4216" s="1394"/>
    </row>
    <row r="4217" spans="2:23" ht="30" customHeight="1">
      <c r="B4217" s="1405"/>
      <c r="C4217" s="1408" t="str">
        <f t="shared" si="1060"/>
        <v>G7 to G8</v>
      </c>
      <c r="D4217" s="1409">
        <f t="shared" si="1061"/>
        <v>2</v>
      </c>
      <c r="E4217" s="1409">
        <f t="shared" si="1062"/>
        <v>1</v>
      </c>
      <c r="F4217" s="1410">
        <f t="shared" si="1062"/>
        <v>4.13</v>
      </c>
      <c r="G4217" s="1410"/>
      <c r="H4217" s="1410">
        <f t="shared" si="1063"/>
        <v>0.32500000000000001</v>
      </c>
      <c r="I4217" s="1406">
        <f t="shared" si="1055"/>
        <v>2.6844999999999999</v>
      </c>
      <c r="L4217" s="1413"/>
      <c r="O4217" s="1395"/>
      <c r="Q4217" s="1394">
        <f>IFERROR(VLOOKUP(M4217,#REF!,3,0),0)</f>
        <v>0</v>
      </c>
      <c r="R4217" s="1394">
        <f t="shared" si="1064"/>
        <v>0</v>
      </c>
      <c r="S4217" s="1394">
        <f>IFERROR(VLOOKUP(M4217,#REF!,6,0),0)</f>
        <v>0</v>
      </c>
      <c r="T4217" s="1394">
        <f t="shared" si="1052"/>
        <v>0</v>
      </c>
      <c r="U4217" s="1394">
        <f>IFERROR(VLOOKUP(M4217,#REF!,5,0),0)</f>
        <v>0</v>
      </c>
      <c r="V4217" s="1394">
        <f t="shared" si="1053"/>
        <v>0</v>
      </c>
      <c r="W4217" s="1394"/>
    </row>
    <row r="4218" spans="2:23" ht="30" customHeight="1">
      <c r="B4218" s="1405"/>
      <c r="C4218" s="1408" t="str">
        <f t="shared" si="1060"/>
        <v>H3 To H8</v>
      </c>
      <c r="D4218" s="1409">
        <f t="shared" si="1061"/>
        <v>2</v>
      </c>
      <c r="E4218" s="1409">
        <f t="shared" si="1062"/>
        <v>1</v>
      </c>
      <c r="F4218" s="1410">
        <f t="shared" si="1062"/>
        <v>15.649999999999999</v>
      </c>
      <c r="G4218" s="1410"/>
      <c r="H4218" s="1410">
        <f t="shared" si="1063"/>
        <v>0.32500000000000001</v>
      </c>
      <c r="I4218" s="1406">
        <f t="shared" si="1055"/>
        <v>10.172499999999999</v>
      </c>
      <c r="L4218" s="1413"/>
      <c r="O4218" s="1395"/>
      <c r="Q4218" s="1394">
        <f>IFERROR(VLOOKUP(M4218,#REF!,3,0),0)</f>
        <v>0</v>
      </c>
      <c r="R4218" s="1394">
        <f t="shared" si="1064"/>
        <v>0</v>
      </c>
      <c r="S4218" s="1394">
        <f>IFERROR(VLOOKUP(M4218,#REF!,6,0),0)</f>
        <v>0</v>
      </c>
      <c r="T4218" s="1394">
        <f t="shared" si="1052"/>
        <v>0</v>
      </c>
      <c r="U4218" s="1394">
        <f>IFERROR(VLOOKUP(M4218,#REF!,5,0),0)</f>
        <v>0</v>
      </c>
      <c r="V4218" s="1394">
        <f t="shared" si="1053"/>
        <v>0</v>
      </c>
      <c r="W4218" s="1394"/>
    </row>
    <row r="4219" spans="2:23" ht="30" customHeight="1">
      <c r="B4219" s="1405"/>
      <c r="C4219" s="1408" t="str">
        <f t="shared" si="1060"/>
        <v>Cross beams</v>
      </c>
      <c r="D4219" s="1409">
        <f t="shared" si="1061"/>
        <v>2</v>
      </c>
      <c r="E4219" s="1409">
        <f t="shared" si="1062"/>
        <v>1</v>
      </c>
      <c r="F4219" s="1410">
        <f t="shared" si="1062"/>
        <v>2.77</v>
      </c>
      <c r="G4219" s="1410"/>
      <c r="H4219" s="1410">
        <f t="shared" si="1063"/>
        <v>0.255</v>
      </c>
      <c r="I4219" s="1406">
        <f t="shared" si="1055"/>
        <v>1.4127000000000001</v>
      </c>
      <c r="L4219" s="1413"/>
      <c r="O4219" s="1395"/>
      <c r="Q4219" s="1394">
        <f>IFERROR(VLOOKUP(M4219,#REF!,3,0),0)</f>
        <v>0</v>
      </c>
      <c r="R4219" s="1394">
        <f t="shared" si="1064"/>
        <v>0</v>
      </c>
      <c r="S4219" s="1394">
        <f>IFERROR(VLOOKUP(M4219,#REF!,6,0),0)</f>
        <v>0</v>
      </c>
      <c r="T4219" s="1394">
        <f t="shared" si="1052"/>
        <v>0</v>
      </c>
      <c r="U4219" s="1394">
        <f>IFERROR(VLOOKUP(M4219,#REF!,5,0),0)</f>
        <v>0</v>
      </c>
      <c r="V4219" s="1394">
        <f t="shared" si="1053"/>
        <v>0</v>
      </c>
      <c r="W4219" s="1394"/>
    </row>
    <row r="4220" spans="2:23" ht="30" customHeight="1">
      <c r="B4220" s="1405"/>
      <c r="C4220" s="1480" t="s">
        <v>540</v>
      </c>
      <c r="D4220" s="1409">
        <f>D865</f>
        <v>0</v>
      </c>
      <c r="E4220" s="1409">
        <f t="shared" si="1062"/>
        <v>0</v>
      </c>
      <c r="F4220" s="1410">
        <f t="shared" si="1062"/>
        <v>0</v>
      </c>
      <c r="G4220" s="1410">
        <f>G865</f>
        <v>0</v>
      </c>
      <c r="H4220" s="1411">
        <f>H865</f>
        <v>0</v>
      </c>
      <c r="I4220" s="1406">
        <f t="shared" si="1055"/>
        <v>0</v>
      </c>
      <c r="L4220" s="1413"/>
      <c r="O4220" s="1395"/>
      <c r="Q4220" s="1394">
        <f>IFERROR(VLOOKUP(M4220,#REF!,3,0),0)</f>
        <v>0</v>
      </c>
      <c r="R4220" s="1394">
        <f t="shared" si="1064"/>
        <v>0</v>
      </c>
      <c r="S4220" s="1394">
        <f>IFERROR(VLOOKUP(M4220,#REF!,6,0),0)</f>
        <v>0</v>
      </c>
      <c r="T4220" s="1394">
        <f t="shared" si="1052"/>
        <v>0</v>
      </c>
      <c r="U4220" s="1394">
        <f>IFERROR(VLOOKUP(M4220,#REF!,5,0),0)</f>
        <v>0</v>
      </c>
      <c r="V4220" s="1394">
        <f t="shared" si="1053"/>
        <v>0</v>
      </c>
      <c r="W4220" s="1394"/>
    </row>
    <row r="4221" spans="2:23" ht="30" customHeight="1">
      <c r="B4221" s="1405"/>
      <c r="C4221" s="1408" t="str">
        <f t="shared" ref="C4221:H4221" si="1065">C839</f>
        <v>Horizontal beam</v>
      </c>
      <c r="D4221" s="1409">
        <f t="shared" si="1065"/>
        <v>0</v>
      </c>
      <c r="E4221" s="1409">
        <f t="shared" si="1065"/>
        <v>0</v>
      </c>
      <c r="F4221" s="1410">
        <f t="shared" si="1065"/>
        <v>0</v>
      </c>
      <c r="G4221" s="1410">
        <f t="shared" si="1065"/>
        <v>0</v>
      </c>
      <c r="H4221" s="1411">
        <f t="shared" si="1065"/>
        <v>0</v>
      </c>
      <c r="I4221" s="1406">
        <f t="shared" si="1055"/>
        <v>0</v>
      </c>
      <c r="O4221" s="1395"/>
      <c r="Q4221" s="1394">
        <f>IFERROR(VLOOKUP(M4221,#REF!,3,0),0)</f>
        <v>0</v>
      </c>
      <c r="R4221" s="1394">
        <f t="shared" si="1064"/>
        <v>0</v>
      </c>
      <c r="S4221" s="1394">
        <f>IFERROR(VLOOKUP(M4221,#REF!,6,0),0)</f>
        <v>0</v>
      </c>
      <c r="T4221" s="1394">
        <f t="shared" si="1052"/>
        <v>0</v>
      </c>
      <c r="U4221" s="1394">
        <f>IFERROR(VLOOKUP(M4221,#REF!,5,0),0)</f>
        <v>0</v>
      </c>
      <c r="V4221" s="1394">
        <f t="shared" si="1053"/>
        <v>0</v>
      </c>
      <c r="W4221" s="1394"/>
    </row>
    <row r="4222" spans="2:23" ht="30" customHeight="1">
      <c r="B4222" s="1405"/>
      <c r="C4222" s="1408" t="str">
        <f t="shared" ref="C4222:G4231" si="1066">C840</f>
        <v>A1 to B1 , A5 to B5 , A6 to B6 &amp; A7 to B7</v>
      </c>
      <c r="D4222" s="1409">
        <f t="shared" si="1066"/>
        <v>1</v>
      </c>
      <c r="E4222" s="1409">
        <f t="shared" si="1066"/>
        <v>4</v>
      </c>
      <c r="F4222" s="1410">
        <f t="shared" si="1066"/>
        <v>4.2300000000000004</v>
      </c>
      <c r="G4222" s="1410">
        <f t="shared" si="1066"/>
        <v>0.23</v>
      </c>
      <c r="H4222" s="1411"/>
      <c r="I4222" s="1406">
        <f t="shared" si="1055"/>
        <v>3.8916000000000004</v>
      </c>
      <c r="O4222" s="1395"/>
      <c r="Q4222" s="1394">
        <f>IFERROR(VLOOKUP(M4222,#REF!,3,0),0)</f>
        <v>0</v>
      </c>
      <c r="R4222" s="1394">
        <f t="shared" si="1064"/>
        <v>0</v>
      </c>
      <c r="S4222" s="1394">
        <f>IFERROR(VLOOKUP(M4222,#REF!,6,0),0)</f>
        <v>0</v>
      </c>
      <c r="T4222" s="1394">
        <f t="shared" si="1052"/>
        <v>0</v>
      </c>
      <c r="U4222" s="1394">
        <f>IFERROR(VLOOKUP(M4222,#REF!,5,0),0)</f>
        <v>0</v>
      </c>
      <c r="V4222" s="1394">
        <f t="shared" si="1053"/>
        <v>0</v>
      </c>
      <c r="W4222" s="1394"/>
    </row>
    <row r="4223" spans="2:23" ht="30" customHeight="1">
      <c r="B4223" s="1405"/>
      <c r="C4223" s="1408" t="str">
        <f t="shared" si="1066"/>
        <v>A8 to H8</v>
      </c>
      <c r="D4223" s="1409">
        <f t="shared" si="1066"/>
        <v>1</v>
      </c>
      <c r="E4223" s="1409">
        <f t="shared" si="1066"/>
        <v>1</v>
      </c>
      <c r="F4223" s="1410">
        <f t="shared" si="1066"/>
        <v>18.575000000000003</v>
      </c>
      <c r="G4223" s="1410">
        <f t="shared" si="1066"/>
        <v>0.23</v>
      </c>
      <c r="H4223" s="1411"/>
      <c r="I4223" s="1406">
        <f t="shared" si="1055"/>
        <v>4.2722500000000005</v>
      </c>
      <c r="O4223" s="1395"/>
      <c r="Q4223" s="1394">
        <f>IFERROR(VLOOKUP(M4223,#REF!,3,0),0)</f>
        <v>0</v>
      </c>
      <c r="R4223" s="1394">
        <f t="shared" si="1064"/>
        <v>0</v>
      </c>
      <c r="S4223" s="1394">
        <f>IFERROR(VLOOKUP(M4223,#REF!,6,0),0)</f>
        <v>0</v>
      </c>
      <c r="T4223" s="1394">
        <f t="shared" si="1052"/>
        <v>0</v>
      </c>
      <c r="U4223" s="1394">
        <f>IFERROR(VLOOKUP(M4223,#REF!,5,0),0)</f>
        <v>0</v>
      </c>
      <c r="V4223" s="1394">
        <f t="shared" si="1053"/>
        <v>0</v>
      </c>
      <c r="W4223" s="1394"/>
    </row>
    <row r="4224" spans="2:23" ht="30" customHeight="1">
      <c r="B4224" s="1405"/>
      <c r="C4224" s="1408" t="str">
        <f t="shared" si="1066"/>
        <v>B5 to G5</v>
      </c>
      <c r="D4224" s="1409">
        <f t="shared" si="1066"/>
        <v>1</v>
      </c>
      <c r="E4224" s="1409">
        <f t="shared" si="1066"/>
        <v>1</v>
      </c>
      <c r="F4224" s="1410">
        <f t="shared" si="1066"/>
        <v>10.35</v>
      </c>
      <c r="G4224" s="1410">
        <f t="shared" si="1066"/>
        <v>0.23</v>
      </c>
      <c r="H4224" s="1411"/>
      <c r="I4224" s="1406">
        <f t="shared" si="1055"/>
        <v>2.3805000000000001</v>
      </c>
      <c r="L4224" s="1413"/>
      <c r="O4224" s="1395"/>
      <c r="Q4224" s="1394">
        <f>IFERROR(VLOOKUP(M4224,#REF!,3,0),0)</f>
        <v>0</v>
      </c>
      <c r="R4224" s="1394">
        <f t="shared" si="1064"/>
        <v>0</v>
      </c>
      <c r="S4224" s="1394">
        <f>IFERROR(VLOOKUP(M4224,#REF!,6,0),0)</f>
        <v>0</v>
      </c>
      <c r="T4224" s="1394">
        <f t="shared" si="1052"/>
        <v>0</v>
      </c>
      <c r="U4224" s="1394">
        <f>IFERROR(VLOOKUP(M4224,#REF!,5,0),0)</f>
        <v>0</v>
      </c>
      <c r="V4224" s="1394">
        <f t="shared" si="1053"/>
        <v>0</v>
      </c>
      <c r="W4224" s="1394"/>
    </row>
    <row r="4225" spans="2:23" ht="30" customHeight="1">
      <c r="B4225" s="1405"/>
      <c r="C4225" s="1408" t="str">
        <f t="shared" si="1066"/>
        <v>B3 to G3</v>
      </c>
      <c r="D4225" s="1409">
        <f t="shared" si="1066"/>
        <v>1</v>
      </c>
      <c r="E4225" s="1409">
        <f t="shared" si="1066"/>
        <v>1</v>
      </c>
      <c r="F4225" s="1410">
        <f t="shared" si="1066"/>
        <v>10.35</v>
      </c>
      <c r="G4225" s="1410">
        <f t="shared" si="1066"/>
        <v>0.23</v>
      </c>
      <c r="H4225" s="1411"/>
      <c r="I4225" s="1406">
        <f t="shared" si="1055"/>
        <v>2.3805000000000001</v>
      </c>
      <c r="L4225" s="1413"/>
      <c r="O4225" s="1395"/>
      <c r="Q4225" s="1394">
        <f>IFERROR(VLOOKUP(M4225,#REF!,3,0),0)</f>
        <v>0</v>
      </c>
      <c r="R4225" s="1394">
        <f t="shared" si="1064"/>
        <v>0</v>
      </c>
      <c r="S4225" s="1394">
        <f>IFERROR(VLOOKUP(M4225,#REF!,6,0),0)</f>
        <v>0</v>
      </c>
      <c r="T4225" s="1394">
        <f t="shared" si="1052"/>
        <v>0</v>
      </c>
      <c r="U4225" s="1394">
        <f>IFERROR(VLOOKUP(M4225,#REF!,5,0),0)</f>
        <v>0</v>
      </c>
      <c r="V4225" s="1394">
        <f t="shared" si="1053"/>
        <v>0</v>
      </c>
      <c r="W4225" s="1394"/>
    </row>
    <row r="4226" spans="2:23" ht="30" customHeight="1">
      <c r="B4226" s="1405"/>
      <c r="C4226" s="1408" t="str">
        <f t="shared" si="1066"/>
        <v>B7 to G7</v>
      </c>
      <c r="D4226" s="1409">
        <f t="shared" si="1066"/>
        <v>1</v>
      </c>
      <c r="E4226" s="1409">
        <f t="shared" si="1066"/>
        <v>1</v>
      </c>
      <c r="F4226" s="1410">
        <f t="shared" si="1066"/>
        <v>10.35</v>
      </c>
      <c r="G4226" s="1410">
        <f t="shared" si="1066"/>
        <v>0.23</v>
      </c>
      <c r="H4226" s="1411"/>
      <c r="I4226" s="1406">
        <f t="shared" si="1055"/>
        <v>2.3805000000000001</v>
      </c>
      <c r="L4226" s="1413"/>
      <c r="O4226" s="1395"/>
      <c r="Q4226" s="1394">
        <f>IFERROR(VLOOKUP(M4226,#REF!,3,0),0)</f>
        <v>0</v>
      </c>
      <c r="R4226" s="1394">
        <f t="shared" si="1064"/>
        <v>0</v>
      </c>
      <c r="S4226" s="1394">
        <f>IFERROR(VLOOKUP(M4226,#REF!,6,0),0)</f>
        <v>0</v>
      </c>
      <c r="T4226" s="1394">
        <f t="shared" si="1052"/>
        <v>0</v>
      </c>
      <c r="U4226" s="1394">
        <f>IFERROR(VLOOKUP(M4226,#REF!,5,0),0)</f>
        <v>0</v>
      </c>
      <c r="V4226" s="1394">
        <f t="shared" si="1053"/>
        <v>0</v>
      </c>
      <c r="W4226" s="1394"/>
    </row>
    <row r="4227" spans="2:23" ht="30" customHeight="1">
      <c r="B4227" s="1405"/>
      <c r="C4227" s="1408" t="str">
        <f t="shared" si="1066"/>
        <v>B4 to F4</v>
      </c>
      <c r="D4227" s="1409">
        <f t="shared" si="1066"/>
        <v>1</v>
      </c>
      <c r="E4227" s="1409">
        <f t="shared" si="1066"/>
        <v>1</v>
      </c>
      <c r="F4227" s="1410">
        <f t="shared" si="1066"/>
        <v>6.8849999999999998</v>
      </c>
      <c r="G4227" s="1410">
        <f t="shared" si="1066"/>
        <v>0.23</v>
      </c>
      <c r="H4227" s="1411"/>
      <c r="I4227" s="1406">
        <f t="shared" si="1055"/>
        <v>1.58355</v>
      </c>
      <c r="L4227" s="1413"/>
      <c r="O4227" s="1395"/>
      <c r="Q4227" s="1394">
        <f>IFERROR(VLOOKUP(M4227,#REF!,3,0),0)</f>
        <v>0</v>
      </c>
      <c r="R4227" s="1394">
        <f t="shared" si="1064"/>
        <v>0</v>
      </c>
      <c r="S4227" s="1394">
        <f>IFERROR(VLOOKUP(M4227,#REF!,6,0),0)</f>
        <v>0</v>
      </c>
      <c r="T4227" s="1394">
        <f t="shared" ref="T4227:T4290" si="1067">R4227-S4227</f>
        <v>0</v>
      </c>
      <c r="U4227" s="1394">
        <f>IFERROR(VLOOKUP(M4227,#REF!,5,0),0)</f>
        <v>0</v>
      </c>
      <c r="V4227" s="1394">
        <f t="shared" ref="V4227:V4290" si="1068">O4227-U4227</f>
        <v>0</v>
      </c>
      <c r="W4227" s="1394"/>
    </row>
    <row r="4228" spans="2:23" ht="30" customHeight="1">
      <c r="B4228" s="1405"/>
      <c r="C4228" s="1408" t="str">
        <f t="shared" si="1066"/>
        <v>OTS Cross Beam</v>
      </c>
      <c r="D4228" s="1409">
        <f t="shared" si="1066"/>
        <v>1</v>
      </c>
      <c r="E4228" s="1409">
        <f t="shared" si="1066"/>
        <v>1</v>
      </c>
      <c r="F4228" s="1410">
        <f t="shared" si="1066"/>
        <v>4.2300000000000004</v>
      </c>
      <c r="G4228" s="1410">
        <f t="shared" si="1066"/>
        <v>0.23</v>
      </c>
      <c r="H4228" s="1411"/>
      <c r="I4228" s="1406">
        <f t="shared" si="1055"/>
        <v>0.9729000000000001</v>
      </c>
      <c r="L4228" s="1413"/>
      <c r="O4228" s="1395"/>
      <c r="Q4228" s="1394">
        <f>IFERROR(VLOOKUP(M4228,#REF!,3,0),0)</f>
        <v>0</v>
      </c>
      <c r="R4228" s="1394">
        <f t="shared" si="1064"/>
        <v>0</v>
      </c>
      <c r="S4228" s="1394">
        <f>IFERROR(VLOOKUP(M4228,#REF!,6,0),0)</f>
        <v>0</v>
      </c>
      <c r="T4228" s="1394">
        <f t="shared" si="1067"/>
        <v>0</v>
      </c>
      <c r="U4228" s="1394">
        <f>IFERROR(VLOOKUP(M4228,#REF!,5,0),0)</f>
        <v>0</v>
      </c>
      <c r="V4228" s="1394">
        <f t="shared" si="1068"/>
        <v>0</v>
      </c>
      <c r="W4228" s="1394"/>
    </row>
    <row r="4229" spans="2:23" ht="30" customHeight="1">
      <c r="B4229" s="1405"/>
      <c r="C4229" s="1408" t="str">
        <f t="shared" si="1066"/>
        <v>OTS Cross Beam</v>
      </c>
      <c r="D4229" s="1409">
        <f t="shared" si="1066"/>
        <v>1</v>
      </c>
      <c r="E4229" s="1409">
        <f t="shared" si="1066"/>
        <v>1</v>
      </c>
      <c r="F4229" s="1410">
        <f t="shared" si="1066"/>
        <v>3.9950000000000001</v>
      </c>
      <c r="G4229" s="1410">
        <f t="shared" si="1066"/>
        <v>0.23</v>
      </c>
      <c r="H4229" s="1411"/>
      <c r="I4229" s="1406">
        <f t="shared" si="1055"/>
        <v>0.91885000000000006</v>
      </c>
      <c r="L4229" s="1413"/>
      <c r="O4229" s="1395"/>
      <c r="Q4229" s="1394">
        <f>IFERROR(VLOOKUP(M4229,#REF!,3,0),0)</f>
        <v>0</v>
      </c>
      <c r="R4229" s="1394">
        <f t="shared" si="1064"/>
        <v>0</v>
      </c>
      <c r="S4229" s="1394">
        <f>IFERROR(VLOOKUP(M4229,#REF!,6,0),0)</f>
        <v>0</v>
      </c>
      <c r="T4229" s="1394">
        <f t="shared" si="1067"/>
        <v>0</v>
      </c>
      <c r="U4229" s="1394">
        <f>IFERROR(VLOOKUP(M4229,#REF!,5,0),0)</f>
        <v>0</v>
      </c>
      <c r="V4229" s="1394">
        <f t="shared" si="1068"/>
        <v>0</v>
      </c>
      <c r="W4229" s="1394"/>
    </row>
    <row r="4230" spans="2:23" ht="30" customHeight="1">
      <c r="B4230" s="1405"/>
      <c r="C4230" s="1408" t="str">
        <f t="shared" si="1066"/>
        <v>G3 to H3 , G5 to H5 , G6 to H6 &amp; G7 to H7</v>
      </c>
      <c r="D4230" s="1409">
        <f t="shared" si="1066"/>
        <v>1</v>
      </c>
      <c r="E4230" s="1409">
        <f t="shared" si="1066"/>
        <v>4</v>
      </c>
      <c r="F4230" s="1410">
        <f t="shared" si="1066"/>
        <v>3.9950000000000001</v>
      </c>
      <c r="G4230" s="1410">
        <f t="shared" si="1066"/>
        <v>0.23</v>
      </c>
      <c r="H4230" s="1411"/>
      <c r="I4230" s="1406">
        <f t="shared" si="1055"/>
        <v>3.6754000000000002</v>
      </c>
      <c r="L4230" s="1413"/>
      <c r="O4230" s="1395"/>
      <c r="Q4230" s="1394">
        <f>IFERROR(VLOOKUP(M4230,#REF!,3,0),0)</f>
        <v>0</v>
      </c>
      <c r="R4230" s="1394">
        <f t="shared" si="1064"/>
        <v>0</v>
      </c>
      <c r="S4230" s="1394">
        <f>IFERROR(VLOOKUP(M4230,#REF!,6,0),0)</f>
        <v>0</v>
      </c>
      <c r="T4230" s="1394">
        <f t="shared" si="1067"/>
        <v>0</v>
      </c>
      <c r="U4230" s="1394">
        <f>IFERROR(VLOOKUP(M4230,#REF!,5,0),0)</f>
        <v>0</v>
      </c>
      <c r="V4230" s="1394">
        <f t="shared" si="1068"/>
        <v>0</v>
      </c>
      <c r="W4230" s="1394"/>
    </row>
    <row r="4231" spans="2:23" ht="30" customHeight="1">
      <c r="B4231" s="1405"/>
      <c r="C4231" s="1408" t="str">
        <f t="shared" si="1066"/>
        <v>Cross beams</v>
      </c>
      <c r="D4231" s="1409">
        <f t="shared" si="1066"/>
        <v>1</v>
      </c>
      <c r="E4231" s="1409">
        <f t="shared" si="1066"/>
        <v>1</v>
      </c>
      <c r="F4231" s="1410">
        <f t="shared" si="1066"/>
        <v>1.7350000000000001</v>
      </c>
      <c r="G4231" s="1410">
        <f t="shared" si="1066"/>
        <v>0.23</v>
      </c>
      <c r="H4231" s="1411"/>
      <c r="I4231" s="1406">
        <f t="shared" si="1055"/>
        <v>0.39905000000000002</v>
      </c>
      <c r="L4231" s="1413"/>
      <c r="O4231" s="1395"/>
      <c r="Q4231" s="1394">
        <f>IFERROR(VLOOKUP(M4231,#REF!,3,0),0)</f>
        <v>0</v>
      </c>
      <c r="R4231" s="1394">
        <f t="shared" si="1064"/>
        <v>0</v>
      </c>
      <c r="S4231" s="1394">
        <f>IFERROR(VLOOKUP(M4231,#REF!,6,0),0)</f>
        <v>0</v>
      </c>
      <c r="T4231" s="1394">
        <f t="shared" si="1067"/>
        <v>0</v>
      </c>
      <c r="U4231" s="1394">
        <f>IFERROR(VLOOKUP(M4231,#REF!,5,0),0)</f>
        <v>0</v>
      </c>
      <c r="V4231" s="1394">
        <f t="shared" si="1068"/>
        <v>0</v>
      </c>
      <c r="W4231" s="1394"/>
    </row>
    <row r="4232" spans="2:23" ht="30" customHeight="1">
      <c r="B4232" s="1405"/>
      <c r="C4232" s="1408" t="str">
        <f t="shared" ref="C4232:G4241" si="1069">C850</f>
        <v>Cross beams</v>
      </c>
      <c r="D4232" s="1409">
        <f t="shared" si="1069"/>
        <v>1</v>
      </c>
      <c r="E4232" s="1409">
        <f t="shared" si="1069"/>
        <v>1</v>
      </c>
      <c r="F4232" s="1410">
        <f t="shared" si="1069"/>
        <v>3.7650000000000001</v>
      </c>
      <c r="G4232" s="1410">
        <f t="shared" si="1069"/>
        <v>0.23</v>
      </c>
      <c r="H4232" s="1411"/>
      <c r="I4232" s="1406">
        <f t="shared" si="1055"/>
        <v>0.86595000000000011</v>
      </c>
      <c r="L4232" s="1413"/>
      <c r="O4232" s="1395"/>
      <c r="Q4232" s="1394">
        <f>IFERROR(VLOOKUP(M4232,#REF!,3,0),0)</f>
        <v>0</v>
      </c>
      <c r="R4232" s="1394">
        <f t="shared" si="1064"/>
        <v>0</v>
      </c>
      <c r="S4232" s="1394">
        <f>IFERROR(VLOOKUP(M4232,#REF!,6,0),0)</f>
        <v>0</v>
      </c>
      <c r="T4232" s="1394">
        <f t="shared" si="1067"/>
        <v>0</v>
      </c>
      <c r="U4232" s="1394">
        <f>IFERROR(VLOOKUP(M4232,#REF!,5,0),0)</f>
        <v>0</v>
      </c>
      <c r="V4232" s="1394">
        <f t="shared" si="1068"/>
        <v>0</v>
      </c>
      <c r="W4232" s="1394"/>
    </row>
    <row r="4233" spans="2:23" ht="30" customHeight="1">
      <c r="B4233" s="1405"/>
      <c r="C4233" s="1408" t="str">
        <f t="shared" si="1069"/>
        <v>Vertical beam</v>
      </c>
      <c r="D4233" s="1409">
        <f t="shared" si="1069"/>
        <v>0</v>
      </c>
      <c r="E4233" s="1409">
        <f t="shared" si="1069"/>
        <v>0</v>
      </c>
      <c r="F4233" s="1410">
        <f t="shared" si="1069"/>
        <v>0</v>
      </c>
      <c r="G4233" s="1410">
        <f t="shared" si="1069"/>
        <v>0</v>
      </c>
      <c r="H4233" s="1411"/>
      <c r="I4233" s="1406">
        <f t="shared" si="1055"/>
        <v>0</v>
      </c>
      <c r="L4233" s="1413"/>
      <c r="O4233" s="1395"/>
      <c r="Q4233" s="1394">
        <f>IFERROR(VLOOKUP(M4233,#REF!,3,0),0)</f>
        <v>0</v>
      </c>
      <c r="R4233" s="1394">
        <f t="shared" si="1064"/>
        <v>0</v>
      </c>
      <c r="S4233" s="1394">
        <f>IFERROR(VLOOKUP(M4233,#REF!,6,0),0)</f>
        <v>0</v>
      </c>
      <c r="T4233" s="1394">
        <f t="shared" si="1067"/>
        <v>0</v>
      </c>
      <c r="U4233" s="1394">
        <f>IFERROR(VLOOKUP(M4233,#REF!,5,0),0)</f>
        <v>0</v>
      </c>
      <c r="V4233" s="1394">
        <f t="shared" si="1068"/>
        <v>0</v>
      </c>
      <c r="W4233" s="1394"/>
    </row>
    <row r="4234" spans="2:23" ht="30" customHeight="1">
      <c r="B4234" s="1405"/>
      <c r="C4234" s="1408" t="str">
        <f t="shared" si="1069"/>
        <v>A3 To A5</v>
      </c>
      <c r="D4234" s="1409">
        <f t="shared" si="1069"/>
        <v>1</v>
      </c>
      <c r="E4234" s="1409">
        <f t="shared" si="1069"/>
        <v>1</v>
      </c>
      <c r="F4234" s="1410">
        <f t="shared" si="1069"/>
        <v>5.5299999999999994</v>
      </c>
      <c r="G4234" s="1410">
        <f t="shared" si="1069"/>
        <v>0.23</v>
      </c>
      <c r="H4234" s="1411"/>
      <c r="I4234" s="1406">
        <f t="shared" si="1055"/>
        <v>1.2718999999999998</v>
      </c>
      <c r="L4234" s="1413"/>
      <c r="O4234" s="1395"/>
      <c r="Q4234" s="1394">
        <f>IFERROR(VLOOKUP(M4234,#REF!,3,0),0)</f>
        <v>0</v>
      </c>
      <c r="R4234" s="1394">
        <f t="shared" si="1064"/>
        <v>0</v>
      </c>
      <c r="S4234" s="1394">
        <f>IFERROR(VLOOKUP(M4234,#REF!,6,0),0)</f>
        <v>0</v>
      </c>
      <c r="T4234" s="1394">
        <f t="shared" si="1067"/>
        <v>0</v>
      </c>
      <c r="U4234" s="1394">
        <f>IFERROR(VLOOKUP(M4234,#REF!,5,0),0)</f>
        <v>0</v>
      </c>
      <c r="V4234" s="1394">
        <f t="shared" si="1068"/>
        <v>0</v>
      </c>
      <c r="W4234" s="1394"/>
    </row>
    <row r="4235" spans="2:23" ht="30" customHeight="1">
      <c r="B4235" s="1405"/>
      <c r="C4235" s="1408" t="str">
        <f t="shared" si="1069"/>
        <v>A5 To A8</v>
      </c>
      <c r="D4235" s="1409">
        <f t="shared" si="1069"/>
        <v>1</v>
      </c>
      <c r="E4235" s="1409">
        <f t="shared" si="1069"/>
        <v>1</v>
      </c>
      <c r="F4235" s="1410">
        <f t="shared" si="1069"/>
        <v>10.120000000000001</v>
      </c>
      <c r="G4235" s="1410">
        <f t="shared" si="1069"/>
        <v>0.23</v>
      </c>
      <c r="H4235" s="1411"/>
      <c r="I4235" s="1406">
        <f t="shared" si="1055"/>
        <v>2.3276000000000003</v>
      </c>
      <c r="L4235" s="1413"/>
      <c r="O4235" s="1395"/>
      <c r="Q4235" s="1394">
        <f>IFERROR(VLOOKUP(M4235,#REF!,3,0),0)</f>
        <v>0</v>
      </c>
      <c r="R4235" s="1394">
        <f t="shared" si="1064"/>
        <v>0</v>
      </c>
      <c r="S4235" s="1394">
        <f>IFERROR(VLOOKUP(M4235,#REF!,6,0),0)</f>
        <v>0</v>
      </c>
      <c r="T4235" s="1394">
        <f t="shared" si="1067"/>
        <v>0</v>
      </c>
      <c r="U4235" s="1394">
        <f>IFERROR(VLOOKUP(M4235,#REF!,5,0),0)</f>
        <v>0</v>
      </c>
      <c r="V4235" s="1394">
        <f t="shared" si="1068"/>
        <v>0</v>
      </c>
      <c r="W4235" s="1394"/>
    </row>
    <row r="4236" spans="2:23" ht="30" customHeight="1">
      <c r="B4236" s="1405"/>
      <c r="C4236" s="1408" t="str">
        <f t="shared" si="1069"/>
        <v>B3 To B8</v>
      </c>
      <c r="D4236" s="1409">
        <f t="shared" si="1069"/>
        <v>1</v>
      </c>
      <c r="E4236" s="1409">
        <f t="shared" si="1069"/>
        <v>1</v>
      </c>
      <c r="F4236" s="1410">
        <f t="shared" si="1069"/>
        <v>15.649999999999999</v>
      </c>
      <c r="G4236" s="1410">
        <f t="shared" si="1069"/>
        <v>0.23</v>
      </c>
      <c r="H4236" s="1411"/>
      <c r="I4236" s="1406">
        <f t="shared" si="1055"/>
        <v>3.5994999999999999</v>
      </c>
      <c r="L4236" s="1413"/>
      <c r="O4236" s="1395"/>
      <c r="Q4236" s="1394">
        <f>IFERROR(VLOOKUP(M4236,#REF!,3,0),0)</f>
        <v>0</v>
      </c>
      <c r="R4236" s="1394">
        <f t="shared" si="1064"/>
        <v>0</v>
      </c>
      <c r="S4236" s="1394">
        <f>IFERROR(VLOOKUP(M4236,#REF!,6,0),0)</f>
        <v>0</v>
      </c>
      <c r="T4236" s="1394">
        <f t="shared" si="1067"/>
        <v>0</v>
      </c>
      <c r="U4236" s="1394">
        <f>IFERROR(VLOOKUP(M4236,#REF!,5,0),0)</f>
        <v>0</v>
      </c>
      <c r="V4236" s="1394">
        <f t="shared" si="1068"/>
        <v>0</v>
      </c>
      <c r="W4236" s="1394"/>
    </row>
    <row r="4237" spans="2:23" ht="30" customHeight="1">
      <c r="B4237" s="1405"/>
      <c r="C4237" s="1408" t="str">
        <f t="shared" si="1069"/>
        <v>Cross beams</v>
      </c>
      <c r="D4237" s="1409">
        <f t="shared" si="1069"/>
        <v>1</v>
      </c>
      <c r="E4237" s="1409">
        <f t="shared" si="1069"/>
        <v>1</v>
      </c>
      <c r="F4237" s="1410">
        <f t="shared" si="1069"/>
        <v>4.13</v>
      </c>
      <c r="G4237" s="1410">
        <f t="shared" si="1069"/>
        <v>0.23</v>
      </c>
      <c r="H4237" s="1411"/>
      <c r="I4237" s="1406">
        <f t="shared" si="1055"/>
        <v>0.94989999999999997</v>
      </c>
      <c r="L4237" s="1413"/>
      <c r="O4237" s="1395"/>
      <c r="Q4237" s="1394">
        <f>IFERROR(VLOOKUP(M4237,#REF!,3,0),0)</f>
        <v>0</v>
      </c>
      <c r="R4237" s="1394">
        <f t="shared" si="1064"/>
        <v>0</v>
      </c>
      <c r="S4237" s="1394">
        <f>IFERROR(VLOOKUP(M4237,#REF!,6,0),0)</f>
        <v>0</v>
      </c>
      <c r="T4237" s="1394">
        <f t="shared" si="1067"/>
        <v>0</v>
      </c>
      <c r="U4237" s="1394">
        <f>IFERROR(VLOOKUP(M4237,#REF!,5,0),0)</f>
        <v>0</v>
      </c>
      <c r="V4237" s="1394">
        <f t="shared" si="1068"/>
        <v>0</v>
      </c>
      <c r="W4237" s="1394"/>
    </row>
    <row r="4238" spans="2:23" ht="30" customHeight="1">
      <c r="B4238" s="1405"/>
      <c r="C4238" s="1408" t="str">
        <f t="shared" si="1069"/>
        <v>Cross beams</v>
      </c>
      <c r="D4238" s="1409">
        <f t="shared" si="1069"/>
        <v>1</v>
      </c>
      <c r="E4238" s="1409">
        <f t="shared" si="1069"/>
        <v>1</v>
      </c>
      <c r="F4238" s="1410">
        <f t="shared" si="1069"/>
        <v>4.13</v>
      </c>
      <c r="G4238" s="1410">
        <f t="shared" si="1069"/>
        <v>0.23</v>
      </c>
      <c r="H4238" s="1411"/>
      <c r="I4238" s="1406">
        <f t="shared" ref="I4238:I4294" si="1070">PRODUCT(D4238:H4238)</f>
        <v>0.94989999999999997</v>
      </c>
      <c r="L4238" s="1413"/>
      <c r="O4238" s="1395"/>
      <c r="Q4238" s="1394">
        <f>IFERROR(VLOOKUP(M4238,#REF!,3,0),0)</f>
        <v>0</v>
      </c>
      <c r="R4238" s="1394">
        <f t="shared" si="1064"/>
        <v>0</v>
      </c>
      <c r="S4238" s="1394">
        <f>IFERROR(VLOOKUP(M4238,#REF!,6,0),0)</f>
        <v>0</v>
      </c>
      <c r="T4238" s="1394">
        <f t="shared" si="1067"/>
        <v>0</v>
      </c>
      <c r="U4238" s="1394">
        <f>IFERROR(VLOOKUP(M4238,#REF!,5,0),0)</f>
        <v>0</v>
      </c>
      <c r="V4238" s="1394">
        <f t="shared" si="1068"/>
        <v>0</v>
      </c>
      <c r="W4238" s="1394"/>
    </row>
    <row r="4239" spans="2:23" ht="30" customHeight="1">
      <c r="B4239" s="1405"/>
      <c r="C4239" s="1408" t="str">
        <f t="shared" si="1069"/>
        <v>C4 to C5</v>
      </c>
      <c r="D4239" s="1409">
        <f t="shared" si="1069"/>
        <v>1</v>
      </c>
      <c r="E4239" s="1409">
        <f t="shared" si="1069"/>
        <v>1</v>
      </c>
      <c r="F4239" s="1410">
        <f t="shared" si="1069"/>
        <v>2.5299999999999998</v>
      </c>
      <c r="G4239" s="1410">
        <f t="shared" si="1069"/>
        <v>0.23</v>
      </c>
      <c r="H4239" s="1411"/>
      <c r="I4239" s="1406">
        <f t="shared" si="1070"/>
        <v>0.58189999999999997</v>
      </c>
      <c r="L4239" s="1413"/>
      <c r="O4239" s="1395"/>
      <c r="Q4239" s="1394">
        <f>IFERROR(VLOOKUP(M4239,#REF!,3,0),0)</f>
        <v>0</v>
      </c>
      <c r="R4239" s="1394">
        <f t="shared" si="1064"/>
        <v>0</v>
      </c>
      <c r="S4239" s="1394">
        <f>IFERROR(VLOOKUP(M4239,#REF!,6,0),0)</f>
        <v>0</v>
      </c>
      <c r="T4239" s="1394">
        <f t="shared" si="1067"/>
        <v>0</v>
      </c>
      <c r="U4239" s="1394">
        <f>IFERROR(VLOOKUP(M4239,#REF!,5,0),0)</f>
        <v>0</v>
      </c>
      <c r="V4239" s="1394">
        <f t="shared" si="1068"/>
        <v>0</v>
      </c>
      <c r="W4239" s="1394"/>
    </row>
    <row r="4240" spans="2:23" ht="30" customHeight="1">
      <c r="B4240" s="1405"/>
      <c r="C4240" s="1408" t="str">
        <f t="shared" si="1069"/>
        <v xml:space="preserve">C5 to C7 &amp; F5 to F7 </v>
      </c>
      <c r="D4240" s="1409">
        <f t="shared" si="1069"/>
        <v>1</v>
      </c>
      <c r="E4240" s="1409">
        <f t="shared" si="1069"/>
        <v>2</v>
      </c>
      <c r="F4240" s="1410">
        <f t="shared" si="1069"/>
        <v>5.99</v>
      </c>
      <c r="G4240" s="1410">
        <f t="shared" si="1069"/>
        <v>0.23</v>
      </c>
      <c r="H4240" s="1411"/>
      <c r="I4240" s="1406">
        <f t="shared" si="1070"/>
        <v>2.7554000000000003</v>
      </c>
      <c r="L4240" s="1413"/>
      <c r="O4240" s="1395"/>
      <c r="Q4240" s="1394">
        <f>IFERROR(VLOOKUP(M4240,#REF!,3,0),0)</f>
        <v>0</v>
      </c>
      <c r="R4240" s="1394">
        <f t="shared" si="1064"/>
        <v>0</v>
      </c>
      <c r="S4240" s="1394">
        <f>IFERROR(VLOOKUP(M4240,#REF!,6,0),0)</f>
        <v>0</v>
      </c>
      <c r="T4240" s="1394">
        <f t="shared" si="1067"/>
        <v>0</v>
      </c>
      <c r="U4240" s="1394">
        <f>IFERROR(VLOOKUP(M4240,#REF!,5,0),0)</f>
        <v>0</v>
      </c>
      <c r="V4240" s="1394">
        <f t="shared" si="1068"/>
        <v>0</v>
      </c>
      <c r="W4240" s="1394"/>
    </row>
    <row r="4241" spans="2:23" ht="30" customHeight="1">
      <c r="B4241" s="1405"/>
      <c r="C4241" s="1408" t="str">
        <f t="shared" si="1069"/>
        <v>F3 to F5</v>
      </c>
      <c r="D4241" s="1409">
        <f t="shared" si="1069"/>
        <v>1</v>
      </c>
      <c r="E4241" s="1409">
        <f t="shared" si="1069"/>
        <v>1</v>
      </c>
      <c r="F4241" s="1410">
        <f t="shared" si="1069"/>
        <v>5.5299999999999994</v>
      </c>
      <c r="G4241" s="1410">
        <f t="shared" si="1069"/>
        <v>0.23</v>
      </c>
      <c r="H4241" s="1411"/>
      <c r="I4241" s="1406">
        <f t="shared" si="1070"/>
        <v>1.2718999999999998</v>
      </c>
      <c r="L4241" s="1413"/>
      <c r="O4241" s="1395"/>
      <c r="Q4241" s="1394">
        <f>IFERROR(VLOOKUP(M4241,#REF!,3,0),0)</f>
        <v>0</v>
      </c>
      <c r="R4241" s="1394">
        <f t="shared" si="1064"/>
        <v>0</v>
      </c>
      <c r="S4241" s="1394">
        <f>IFERROR(VLOOKUP(M4241,#REF!,6,0),0)</f>
        <v>0</v>
      </c>
      <c r="T4241" s="1394">
        <f t="shared" si="1067"/>
        <v>0</v>
      </c>
      <c r="U4241" s="1394">
        <f>IFERROR(VLOOKUP(M4241,#REF!,5,0),0)</f>
        <v>0</v>
      </c>
      <c r="V4241" s="1394">
        <f t="shared" si="1068"/>
        <v>0</v>
      </c>
      <c r="W4241" s="1394"/>
    </row>
    <row r="4242" spans="2:23" ht="30" customHeight="1">
      <c r="B4242" s="1405"/>
      <c r="C4242" s="1408" t="str">
        <f t="shared" ref="C4242:G4246" si="1071">C860</f>
        <v>E7 to E8</v>
      </c>
      <c r="D4242" s="1409">
        <f t="shared" si="1071"/>
        <v>1</v>
      </c>
      <c r="E4242" s="1409">
        <f t="shared" si="1071"/>
        <v>1</v>
      </c>
      <c r="F4242" s="1410">
        <f t="shared" si="1071"/>
        <v>4.13</v>
      </c>
      <c r="G4242" s="1410">
        <f t="shared" si="1071"/>
        <v>0.23</v>
      </c>
      <c r="H4242" s="1411"/>
      <c r="I4242" s="1406">
        <f t="shared" si="1070"/>
        <v>0.94989999999999997</v>
      </c>
      <c r="L4242" s="1413"/>
      <c r="O4242" s="1395"/>
      <c r="Q4242" s="1394">
        <f>IFERROR(VLOOKUP(M4242,#REF!,3,0),0)</f>
        <v>0</v>
      </c>
      <c r="R4242" s="1394">
        <f t="shared" si="1064"/>
        <v>0</v>
      </c>
      <c r="S4242" s="1394">
        <f>IFERROR(VLOOKUP(M4242,#REF!,6,0),0)</f>
        <v>0</v>
      </c>
      <c r="T4242" s="1394">
        <f t="shared" si="1067"/>
        <v>0</v>
      </c>
      <c r="U4242" s="1394">
        <f>IFERROR(VLOOKUP(M4242,#REF!,5,0),0)</f>
        <v>0</v>
      </c>
      <c r="V4242" s="1394">
        <f t="shared" si="1068"/>
        <v>0</v>
      </c>
      <c r="W4242" s="1394"/>
    </row>
    <row r="4243" spans="2:23" ht="30" customHeight="1">
      <c r="B4243" s="1405"/>
      <c r="C4243" s="1408" t="str">
        <f t="shared" si="1071"/>
        <v>G3 to G7</v>
      </c>
      <c r="D4243" s="1409">
        <f t="shared" si="1071"/>
        <v>1</v>
      </c>
      <c r="E4243" s="1409">
        <f t="shared" si="1071"/>
        <v>1</v>
      </c>
      <c r="F4243" s="1410">
        <f t="shared" si="1071"/>
        <v>11.52</v>
      </c>
      <c r="G4243" s="1410">
        <f t="shared" si="1071"/>
        <v>0.23</v>
      </c>
      <c r="H4243" s="1411"/>
      <c r="I4243" s="1406">
        <f t="shared" si="1070"/>
        <v>2.6496</v>
      </c>
      <c r="L4243" s="1413"/>
      <c r="O4243" s="1395"/>
      <c r="Q4243" s="1394">
        <f>IFERROR(VLOOKUP(M4243,#REF!,3,0),0)</f>
        <v>0</v>
      </c>
      <c r="R4243" s="1394">
        <f t="shared" si="1064"/>
        <v>0</v>
      </c>
      <c r="S4243" s="1394">
        <f>IFERROR(VLOOKUP(M4243,#REF!,6,0),0)</f>
        <v>0</v>
      </c>
      <c r="T4243" s="1394">
        <f t="shared" si="1067"/>
        <v>0</v>
      </c>
      <c r="U4243" s="1394">
        <f>IFERROR(VLOOKUP(M4243,#REF!,5,0),0)</f>
        <v>0</v>
      </c>
      <c r="V4243" s="1394">
        <f t="shared" si="1068"/>
        <v>0</v>
      </c>
      <c r="W4243" s="1394"/>
    </row>
    <row r="4244" spans="2:23" ht="30" customHeight="1">
      <c r="B4244" s="1405"/>
      <c r="C4244" s="1408" t="str">
        <f t="shared" si="1071"/>
        <v>G7 to G8</v>
      </c>
      <c r="D4244" s="1409">
        <f t="shared" si="1071"/>
        <v>1</v>
      </c>
      <c r="E4244" s="1409">
        <f t="shared" si="1071"/>
        <v>1</v>
      </c>
      <c r="F4244" s="1410">
        <f t="shared" si="1071"/>
        <v>4.13</v>
      </c>
      <c r="G4244" s="1410">
        <f t="shared" si="1071"/>
        <v>0.23</v>
      </c>
      <c r="H4244" s="1411"/>
      <c r="I4244" s="1406">
        <f t="shared" si="1070"/>
        <v>0.94989999999999997</v>
      </c>
      <c r="L4244" s="1413"/>
      <c r="O4244" s="1395"/>
      <c r="Q4244" s="1394">
        <f>IFERROR(VLOOKUP(M4244,#REF!,3,0),0)</f>
        <v>0</v>
      </c>
      <c r="R4244" s="1394">
        <f t="shared" si="1064"/>
        <v>0</v>
      </c>
      <c r="S4244" s="1394">
        <f>IFERROR(VLOOKUP(M4244,#REF!,6,0),0)</f>
        <v>0</v>
      </c>
      <c r="T4244" s="1394">
        <f t="shared" si="1067"/>
        <v>0</v>
      </c>
      <c r="U4244" s="1394">
        <f>IFERROR(VLOOKUP(M4244,#REF!,5,0),0)</f>
        <v>0</v>
      </c>
      <c r="V4244" s="1394">
        <f t="shared" si="1068"/>
        <v>0</v>
      </c>
      <c r="W4244" s="1394"/>
    </row>
    <row r="4245" spans="2:23" ht="30" customHeight="1">
      <c r="B4245" s="1405"/>
      <c r="C4245" s="1408" t="str">
        <f t="shared" si="1071"/>
        <v>H3 To H8</v>
      </c>
      <c r="D4245" s="1409">
        <f t="shared" si="1071"/>
        <v>1</v>
      </c>
      <c r="E4245" s="1409">
        <f t="shared" si="1071"/>
        <v>1</v>
      </c>
      <c r="F4245" s="1410">
        <f t="shared" si="1071"/>
        <v>15.649999999999999</v>
      </c>
      <c r="G4245" s="1410">
        <f t="shared" si="1071"/>
        <v>0.23</v>
      </c>
      <c r="H4245" s="1411"/>
      <c r="I4245" s="1406">
        <f t="shared" si="1070"/>
        <v>3.5994999999999999</v>
      </c>
      <c r="L4245" s="1413"/>
      <c r="O4245" s="1395"/>
      <c r="Q4245" s="1394">
        <f>IFERROR(VLOOKUP(M4245,#REF!,3,0),0)</f>
        <v>0</v>
      </c>
      <c r="R4245" s="1394">
        <f t="shared" si="1064"/>
        <v>0</v>
      </c>
      <c r="S4245" s="1394">
        <f>IFERROR(VLOOKUP(M4245,#REF!,6,0),0)</f>
        <v>0</v>
      </c>
      <c r="T4245" s="1394">
        <f t="shared" si="1067"/>
        <v>0</v>
      </c>
      <c r="U4245" s="1394">
        <f>IFERROR(VLOOKUP(M4245,#REF!,5,0),0)</f>
        <v>0</v>
      </c>
      <c r="V4245" s="1394">
        <f t="shared" si="1068"/>
        <v>0</v>
      </c>
      <c r="W4245" s="1394"/>
    </row>
    <row r="4246" spans="2:23" ht="30" customHeight="1">
      <c r="B4246" s="1405"/>
      <c r="C4246" s="1408" t="str">
        <f t="shared" si="1071"/>
        <v>Cross beams</v>
      </c>
      <c r="D4246" s="1409">
        <f t="shared" si="1071"/>
        <v>1</v>
      </c>
      <c r="E4246" s="1409">
        <f t="shared" si="1071"/>
        <v>1</v>
      </c>
      <c r="F4246" s="1410">
        <f t="shared" si="1071"/>
        <v>2.77</v>
      </c>
      <c r="G4246" s="1410">
        <f t="shared" si="1071"/>
        <v>0.23</v>
      </c>
      <c r="H4246" s="1411"/>
      <c r="I4246" s="1406">
        <f t="shared" si="1070"/>
        <v>0.6371</v>
      </c>
      <c r="L4246" s="1413"/>
      <c r="O4246" s="1395"/>
      <c r="Q4246" s="1394">
        <f>IFERROR(VLOOKUP(M4246,#REF!,3,0),0)</f>
        <v>0</v>
      </c>
      <c r="R4246" s="1394">
        <f t="shared" si="1064"/>
        <v>0</v>
      </c>
      <c r="S4246" s="1394">
        <f>IFERROR(VLOOKUP(M4246,#REF!,6,0),0)</f>
        <v>0</v>
      </c>
      <c r="T4246" s="1394">
        <f t="shared" si="1067"/>
        <v>0</v>
      </c>
      <c r="U4246" s="1394">
        <f>IFERROR(VLOOKUP(M4246,#REF!,5,0),0)</f>
        <v>0</v>
      </c>
      <c r="V4246" s="1394">
        <f t="shared" si="1068"/>
        <v>0</v>
      </c>
      <c r="W4246" s="1394"/>
    </row>
    <row r="4247" spans="2:23" ht="30" hidden="1" customHeight="1">
      <c r="B4247" s="1405"/>
      <c r="C4247" s="1408"/>
      <c r="D4247" s="1409"/>
      <c r="E4247" s="1409"/>
      <c r="F4247" s="1410"/>
      <c r="G4247" s="1410"/>
      <c r="H4247" s="1411"/>
      <c r="I4247" s="1406">
        <f t="shared" si="1070"/>
        <v>0</v>
      </c>
      <c r="L4247" s="1413"/>
      <c r="O4247" s="1395"/>
      <c r="Q4247" s="1394">
        <f>IFERROR(VLOOKUP(M4247,#REF!,3,0),0)</f>
        <v>0</v>
      </c>
      <c r="R4247" s="1394">
        <f t="shared" si="1064"/>
        <v>0</v>
      </c>
      <c r="S4247" s="1394">
        <f>IFERROR(VLOOKUP(M4247,#REF!,6,0),0)</f>
        <v>0</v>
      </c>
      <c r="T4247" s="1394">
        <f t="shared" si="1067"/>
        <v>0</v>
      </c>
      <c r="U4247" s="1394">
        <f>IFERROR(VLOOKUP(M4247,#REF!,5,0),0)</f>
        <v>0</v>
      </c>
      <c r="V4247" s="1394">
        <f t="shared" si="1068"/>
        <v>0</v>
      </c>
      <c r="W4247" s="1394"/>
    </row>
    <row r="4248" spans="2:23" ht="30" hidden="1" customHeight="1">
      <c r="B4248" s="1405"/>
      <c r="C4248" s="1408"/>
      <c r="D4248" s="1409"/>
      <c r="E4248" s="1409"/>
      <c r="F4248" s="1410"/>
      <c r="G4248" s="1410"/>
      <c r="H4248" s="1411"/>
      <c r="I4248" s="1406">
        <f t="shared" si="1070"/>
        <v>0</v>
      </c>
      <c r="L4248" s="1413"/>
      <c r="O4248" s="1395"/>
      <c r="Q4248" s="1394">
        <f>IFERROR(VLOOKUP(M4248,#REF!,3,0),0)</f>
        <v>0</v>
      </c>
      <c r="R4248" s="1394">
        <f t="shared" si="1064"/>
        <v>0</v>
      </c>
      <c r="S4248" s="1394">
        <f>IFERROR(VLOOKUP(M4248,#REF!,6,0),0)</f>
        <v>0</v>
      </c>
      <c r="T4248" s="1394">
        <f t="shared" si="1067"/>
        <v>0</v>
      </c>
      <c r="U4248" s="1394">
        <f>IFERROR(VLOOKUP(M4248,#REF!,5,0),0)</f>
        <v>0</v>
      </c>
      <c r="V4248" s="1394">
        <f t="shared" si="1068"/>
        <v>0</v>
      </c>
      <c r="W4248" s="1394"/>
    </row>
    <row r="4249" spans="2:23" ht="30" hidden="1" customHeight="1">
      <c r="B4249" s="1405"/>
      <c r="C4249" s="1408"/>
      <c r="D4249" s="1409"/>
      <c r="E4249" s="1409"/>
      <c r="F4249" s="1410"/>
      <c r="G4249" s="1410"/>
      <c r="H4249" s="1411"/>
      <c r="I4249" s="1406">
        <f t="shared" si="1070"/>
        <v>0</v>
      </c>
      <c r="L4249" s="1413"/>
      <c r="O4249" s="1395"/>
      <c r="Q4249" s="1394">
        <f>IFERROR(VLOOKUP(M4249,#REF!,3,0),0)</f>
        <v>0</v>
      </c>
      <c r="R4249" s="1394">
        <f t="shared" si="1064"/>
        <v>0</v>
      </c>
      <c r="S4249" s="1394">
        <f>IFERROR(VLOOKUP(M4249,#REF!,6,0),0)</f>
        <v>0</v>
      </c>
      <c r="T4249" s="1394">
        <f t="shared" si="1067"/>
        <v>0</v>
      </c>
      <c r="U4249" s="1394">
        <f>IFERROR(VLOOKUP(M4249,#REF!,5,0),0)</f>
        <v>0</v>
      </c>
      <c r="V4249" s="1394">
        <f t="shared" si="1068"/>
        <v>0</v>
      </c>
      <c r="W4249" s="1394"/>
    </row>
    <row r="4250" spans="2:23" ht="30" hidden="1" customHeight="1">
      <c r="B4250" s="1405"/>
      <c r="C4250" s="1408"/>
      <c r="D4250" s="1409"/>
      <c r="E4250" s="1409"/>
      <c r="F4250" s="1410"/>
      <c r="G4250" s="1410"/>
      <c r="H4250" s="1411"/>
      <c r="I4250" s="1406">
        <f t="shared" si="1070"/>
        <v>0</v>
      </c>
      <c r="L4250" s="1413"/>
      <c r="O4250" s="1395"/>
      <c r="Q4250" s="1394">
        <f>IFERROR(VLOOKUP(M4250,#REF!,3,0),0)</f>
        <v>0</v>
      </c>
      <c r="R4250" s="1394">
        <f t="shared" si="1064"/>
        <v>0</v>
      </c>
      <c r="S4250" s="1394">
        <f>IFERROR(VLOOKUP(M4250,#REF!,6,0),0)</f>
        <v>0</v>
      </c>
      <c r="T4250" s="1394">
        <f t="shared" si="1067"/>
        <v>0</v>
      </c>
      <c r="U4250" s="1394">
        <f>IFERROR(VLOOKUP(M4250,#REF!,5,0),0)</f>
        <v>0</v>
      </c>
      <c r="V4250" s="1394">
        <f t="shared" si="1068"/>
        <v>0</v>
      </c>
      <c r="W4250" s="1394"/>
    </row>
    <row r="4251" spans="2:23" ht="30" hidden="1" customHeight="1">
      <c r="B4251" s="1405"/>
      <c r="C4251" s="1408"/>
      <c r="D4251" s="1409"/>
      <c r="E4251" s="1409"/>
      <c r="F4251" s="1410"/>
      <c r="G4251" s="1410"/>
      <c r="H4251" s="1411"/>
      <c r="I4251" s="1406">
        <f t="shared" si="1070"/>
        <v>0</v>
      </c>
      <c r="L4251" s="1413"/>
      <c r="O4251" s="1395"/>
      <c r="Q4251" s="1394">
        <f>IFERROR(VLOOKUP(M4251,#REF!,3,0),0)</f>
        <v>0</v>
      </c>
      <c r="R4251" s="1394">
        <f t="shared" si="1064"/>
        <v>0</v>
      </c>
      <c r="S4251" s="1394">
        <f>IFERROR(VLOOKUP(M4251,#REF!,6,0),0)</f>
        <v>0</v>
      </c>
      <c r="T4251" s="1394">
        <f t="shared" si="1067"/>
        <v>0</v>
      </c>
      <c r="U4251" s="1394">
        <f>IFERROR(VLOOKUP(M4251,#REF!,5,0),0)</f>
        <v>0</v>
      </c>
      <c r="V4251" s="1394">
        <f t="shared" si="1068"/>
        <v>0</v>
      </c>
      <c r="W4251" s="1394"/>
    </row>
    <row r="4252" spans="2:23" ht="30" customHeight="1">
      <c r="B4252" s="1405"/>
      <c r="C4252" s="1408">
        <f t="shared" ref="C4252:H4253" si="1072">C866</f>
        <v>0</v>
      </c>
      <c r="D4252" s="1409">
        <f t="shared" si="1072"/>
        <v>0</v>
      </c>
      <c r="E4252" s="1409">
        <f t="shared" si="1072"/>
        <v>0</v>
      </c>
      <c r="F4252" s="1410">
        <f t="shared" si="1072"/>
        <v>0</v>
      </c>
      <c r="G4252" s="1410">
        <f t="shared" si="1072"/>
        <v>0</v>
      </c>
      <c r="H4252" s="1411">
        <f t="shared" si="1072"/>
        <v>0</v>
      </c>
      <c r="I4252" s="1406">
        <f t="shared" si="1070"/>
        <v>0</v>
      </c>
      <c r="J4252" s="1397"/>
      <c r="K4252" s="1397"/>
      <c r="L4252" s="1413"/>
      <c r="O4252" s="1395"/>
      <c r="Q4252" s="1394">
        <f>IFERROR(VLOOKUP(M4252,#REF!,3,0),0)</f>
        <v>0</v>
      </c>
      <c r="R4252" s="1394">
        <f t="shared" si="1064"/>
        <v>0</v>
      </c>
      <c r="S4252" s="1394">
        <f>IFERROR(VLOOKUP(M4252,#REF!,6,0),0)</f>
        <v>0</v>
      </c>
      <c r="T4252" s="1394">
        <f t="shared" si="1067"/>
        <v>0</v>
      </c>
      <c r="U4252" s="1394">
        <f>IFERROR(VLOOKUP(M4252,#REF!,5,0),0)</f>
        <v>0</v>
      </c>
      <c r="V4252" s="1394">
        <f t="shared" si="1068"/>
        <v>0</v>
      </c>
      <c r="W4252" s="1394"/>
    </row>
    <row r="4253" spans="2:23" ht="30" customHeight="1">
      <c r="B4253" s="1405"/>
      <c r="C4253" s="1408" t="str">
        <f t="shared" si="1072"/>
        <v>Roof Slab</v>
      </c>
      <c r="D4253" s="1409">
        <f t="shared" si="1072"/>
        <v>0</v>
      </c>
      <c r="E4253" s="1409">
        <f t="shared" si="1072"/>
        <v>0</v>
      </c>
      <c r="F4253" s="1410">
        <f t="shared" si="1072"/>
        <v>0</v>
      </c>
      <c r="G4253" s="1410">
        <f t="shared" si="1072"/>
        <v>0</v>
      </c>
      <c r="H4253" s="1411">
        <f t="shared" si="1072"/>
        <v>0</v>
      </c>
      <c r="I4253" s="1406">
        <f t="shared" si="1070"/>
        <v>0</v>
      </c>
      <c r="J4253" s="1397"/>
      <c r="K4253" s="1397"/>
      <c r="L4253" s="1413"/>
      <c r="O4253" s="1395"/>
      <c r="Q4253" s="1394">
        <f>IFERROR(VLOOKUP(M4253,#REF!,3,0),0)</f>
        <v>0</v>
      </c>
      <c r="R4253" s="1394">
        <f t="shared" si="1064"/>
        <v>0</v>
      </c>
      <c r="S4253" s="1394">
        <f>IFERROR(VLOOKUP(M4253,#REF!,6,0),0)</f>
        <v>0</v>
      </c>
      <c r="T4253" s="1394">
        <f t="shared" si="1067"/>
        <v>0</v>
      </c>
      <c r="U4253" s="1394">
        <f>IFERROR(VLOOKUP(M4253,#REF!,5,0),0)</f>
        <v>0</v>
      </c>
      <c r="V4253" s="1394">
        <f t="shared" si="1068"/>
        <v>0</v>
      </c>
      <c r="W4253" s="1394"/>
    </row>
    <row r="4254" spans="2:23" ht="30" customHeight="1">
      <c r="B4254" s="1405"/>
      <c r="C4254" s="1415" t="str">
        <f t="shared" ref="C4254:G4263" si="1073">C868</f>
        <v>SI Room Below Roof</v>
      </c>
      <c r="D4254" s="1409">
        <f t="shared" si="1073"/>
        <v>1</v>
      </c>
      <c r="E4254" s="1409">
        <f t="shared" si="1073"/>
        <v>1</v>
      </c>
      <c r="F4254" s="1410">
        <f t="shared" si="1073"/>
        <v>4</v>
      </c>
      <c r="G4254" s="1410">
        <f t="shared" si="1073"/>
        <v>5.0999999999999996</v>
      </c>
      <c r="H4254" s="1411"/>
      <c r="I4254" s="1406">
        <f t="shared" si="1070"/>
        <v>20.399999999999999</v>
      </c>
      <c r="O4254" s="1395"/>
      <c r="Q4254" s="1394">
        <f>IFERROR(VLOOKUP(M4254,#REF!,3,0),0)</f>
        <v>0</v>
      </c>
      <c r="R4254" s="1394">
        <f t="shared" si="1064"/>
        <v>0</v>
      </c>
      <c r="S4254" s="1394">
        <f>IFERROR(VLOOKUP(M4254,#REF!,6,0),0)</f>
        <v>0</v>
      </c>
      <c r="T4254" s="1394">
        <f t="shared" si="1067"/>
        <v>0</v>
      </c>
      <c r="U4254" s="1394">
        <f>IFERROR(VLOOKUP(M4254,#REF!,5,0),0)</f>
        <v>0</v>
      </c>
      <c r="V4254" s="1394">
        <f t="shared" si="1068"/>
        <v>0</v>
      </c>
      <c r="W4254" s="1394"/>
    </row>
    <row r="4255" spans="2:23" ht="30" customHeight="1">
      <c r="B4255" s="1405"/>
      <c r="C4255" s="1408" t="str">
        <f t="shared" si="1073"/>
        <v>SI Room Toilet Below Roof</v>
      </c>
      <c r="D4255" s="1409">
        <f t="shared" si="1073"/>
        <v>1</v>
      </c>
      <c r="E4255" s="1409">
        <f t="shared" si="1073"/>
        <v>1</v>
      </c>
      <c r="F4255" s="1410">
        <f t="shared" si="1073"/>
        <v>4</v>
      </c>
      <c r="G4255" s="1410">
        <f t="shared" si="1073"/>
        <v>1.5</v>
      </c>
      <c r="H4255" s="1410"/>
      <c r="I4255" s="1406">
        <f t="shared" si="1070"/>
        <v>6</v>
      </c>
      <c r="O4255" s="1395"/>
      <c r="Q4255" s="1394">
        <f>IFERROR(VLOOKUP(M4255,#REF!,3,0),0)</f>
        <v>0</v>
      </c>
      <c r="R4255" s="1394">
        <f t="shared" si="1064"/>
        <v>0</v>
      </c>
      <c r="S4255" s="1394">
        <f>IFERROR(VLOOKUP(M4255,#REF!,6,0),0)</f>
        <v>0</v>
      </c>
      <c r="T4255" s="1394">
        <f t="shared" si="1067"/>
        <v>0</v>
      </c>
      <c r="U4255" s="1394">
        <f>IFERROR(VLOOKUP(M4255,#REF!,5,0),0)</f>
        <v>0</v>
      </c>
      <c r="V4255" s="1394">
        <f t="shared" si="1068"/>
        <v>0</v>
      </c>
      <c r="W4255" s="1394"/>
    </row>
    <row r="4256" spans="2:23" ht="30" customHeight="1">
      <c r="B4256" s="1405"/>
      <c r="C4256" s="1408" t="str">
        <f t="shared" si="1073"/>
        <v>Lock up Women Below Roof</v>
      </c>
      <c r="D4256" s="1409">
        <f t="shared" si="1073"/>
        <v>1</v>
      </c>
      <c r="E4256" s="1409">
        <f t="shared" si="1073"/>
        <v>1</v>
      </c>
      <c r="F4256" s="1410">
        <f t="shared" si="1073"/>
        <v>4</v>
      </c>
      <c r="G4256" s="1410">
        <f t="shared" si="1073"/>
        <v>2.5</v>
      </c>
      <c r="H4256" s="1410"/>
      <c r="I4256" s="1406">
        <f t="shared" si="1070"/>
        <v>10</v>
      </c>
      <c r="O4256" s="1395"/>
      <c r="Q4256" s="1394">
        <f>IFERROR(VLOOKUP(M4256,#REF!,3,0),0)</f>
        <v>0</v>
      </c>
      <c r="R4256" s="1394">
        <f t="shared" si="1064"/>
        <v>0</v>
      </c>
      <c r="S4256" s="1394">
        <f>IFERROR(VLOOKUP(M4256,#REF!,6,0),0)</f>
        <v>0</v>
      </c>
      <c r="T4256" s="1394">
        <f t="shared" si="1067"/>
        <v>0</v>
      </c>
      <c r="U4256" s="1394">
        <f>IFERROR(VLOOKUP(M4256,#REF!,5,0),0)</f>
        <v>0</v>
      </c>
      <c r="V4256" s="1394">
        <f t="shared" si="1068"/>
        <v>0</v>
      </c>
      <c r="W4256" s="1394"/>
    </row>
    <row r="4257" spans="2:23" ht="30" customHeight="1">
      <c r="B4257" s="1405"/>
      <c r="C4257" s="1408" t="str">
        <f t="shared" si="1073"/>
        <v>CD Files/Store Below Roof</v>
      </c>
      <c r="D4257" s="1409">
        <f t="shared" si="1073"/>
        <v>1</v>
      </c>
      <c r="E4257" s="1409">
        <f t="shared" si="1073"/>
        <v>1</v>
      </c>
      <c r="F4257" s="1410">
        <f t="shared" si="1073"/>
        <v>4</v>
      </c>
      <c r="G4257" s="1410">
        <f t="shared" si="1073"/>
        <v>3.9</v>
      </c>
      <c r="H4257" s="1410"/>
      <c r="I4257" s="1406">
        <f t="shared" si="1070"/>
        <v>15.6</v>
      </c>
      <c r="O4257" s="1395"/>
      <c r="Q4257" s="1394">
        <f>IFERROR(VLOOKUP(M4257,#REF!,3,0),0)</f>
        <v>0</v>
      </c>
      <c r="R4257" s="1394">
        <f t="shared" si="1064"/>
        <v>0</v>
      </c>
      <c r="S4257" s="1394">
        <f>IFERROR(VLOOKUP(M4257,#REF!,6,0),0)</f>
        <v>0</v>
      </c>
      <c r="T4257" s="1394">
        <f t="shared" si="1067"/>
        <v>0</v>
      </c>
      <c r="U4257" s="1394">
        <f>IFERROR(VLOOKUP(M4257,#REF!,5,0),0)</f>
        <v>0</v>
      </c>
      <c r="V4257" s="1394">
        <f t="shared" si="1068"/>
        <v>0</v>
      </c>
      <c r="W4257" s="1394"/>
    </row>
    <row r="4258" spans="2:23" ht="30" customHeight="1">
      <c r="B4258" s="1405"/>
      <c r="C4258" s="1408" t="str">
        <f t="shared" si="1073"/>
        <v>Toilet Below Roof</v>
      </c>
      <c r="D4258" s="1409">
        <f t="shared" si="1073"/>
        <v>1</v>
      </c>
      <c r="E4258" s="1409">
        <f t="shared" si="1073"/>
        <v>1</v>
      </c>
      <c r="F4258" s="1410">
        <f t="shared" si="1073"/>
        <v>1.5</v>
      </c>
      <c r="G4258" s="1410">
        <f t="shared" si="1073"/>
        <v>3.9</v>
      </c>
      <c r="H4258" s="1410"/>
      <c r="I4258" s="1406">
        <f t="shared" si="1070"/>
        <v>5.85</v>
      </c>
      <c r="O4258" s="1395"/>
      <c r="Q4258" s="1394">
        <f>IFERROR(VLOOKUP(M4258,#REF!,3,0),0)</f>
        <v>0</v>
      </c>
      <c r="R4258" s="1394">
        <f t="shared" si="1064"/>
        <v>0</v>
      </c>
      <c r="S4258" s="1394">
        <f>IFERROR(VLOOKUP(M4258,#REF!,6,0),0)</f>
        <v>0</v>
      </c>
      <c r="T4258" s="1394">
        <f t="shared" si="1067"/>
        <v>0</v>
      </c>
      <c r="U4258" s="1394">
        <f>IFERROR(VLOOKUP(M4258,#REF!,5,0),0)</f>
        <v>0</v>
      </c>
      <c r="V4258" s="1394">
        <f t="shared" si="1068"/>
        <v>0</v>
      </c>
      <c r="W4258" s="1394"/>
    </row>
    <row r="4259" spans="2:23" ht="30" customHeight="1">
      <c r="B4259" s="1405"/>
      <c r="C4259" s="1408" t="str">
        <f t="shared" si="1073"/>
        <v>Computer / CCTNS Below Roof</v>
      </c>
      <c r="D4259" s="1409">
        <f t="shared" si="1073"/>
        <v>1</v>
      </c>
      <c r="E4259" s="1409">
        <f t="shared" si="1073"/>
        <v>1</v>
      </c>
      <c r="F4259" s="1410">
        <f t="shared" si="1073"/>
        <v>3.6949999999999998</v>
      </c>
      <c r="G4259" s="1410">
        <f t="shared" si="1073"/>
        <v>3.9</v>
      </c>
      <c r="H4259" s="1410"/>
      <c r="I4259" s="1406">
        <f t="shared" si="1070"/>
        <v>14.410499999999999</v>
      </c>
      <c r="O4259" s="1395"/>
      <c r="Q4259" s="1394">
        <f>IFERROR(VLOOKUP(M4259,#REF!,3,0),0)</f>
        <v>0</v>
      </c>
      <c r="R4259" s="1394">
        <f t="shared" si="1064"/>
        <v>0</v>
      </c>
      <c r="S4259" s="1394">
        <f>IFERROR(VLOOKUP(M4259,#REF!,6,0),0)</f>
        <v>0</v>
      </c>
      <c r="T4259" s="1394">
        <f t="shared" si="1067"/>
        <v>0</v>
      </c>
      <c r="U4259" s="1394">
        <f>IFERROR(VLOOKUP(M4259,#REF!,5,0),0)</f>
        <v>0</v>
      </c>
      <c r="V4259" s="1394">
        <f t="shared" si="1068"/>
        <v>0</v>
      </c>
      <c r="W4259" s="1394"/>
    </row>
    <row r="4260" spans="2:23" ht="30" customHeight="1">
      <c r="B4260" s="1405"/>
      <c r="C4260" s="1408" t="str">
        <f t="shared" si="1073"/>
        <v>Station Writer Below Roof</v>
      </c>
      <c r="D4260" s="1409">
        <f t="shared" si="1073"/>
        <v>1</v>
      </c>
      <c r="E4260" s="1409">
        <f t="shared" si="1073"/>
        <v>1</v>
      </c>
      <c r="F4260" s="1410">
        <f t="shared" si="1073"/>
        <v>2.5</v>
      </c>
      <c r="G4260" s="1410">
        <f t="shared" si="1073"/>
        <v>3.9</v>
      </c>
      <c r="H4260" s="1410"/>
      <c r="I4260" s="1406">
        <f t="shared" si="1070"/>
        <v>9.75</v>
      </c>
      <c r="O4260" s="1395"/>
      <c r="Q4260" s="1394">
        <f>IFERROR(VLOOKUP(M4260,#REF!,3,0),0)</f>
        <v>0</v>
      </c>
      <c r="R4260" s="1394">
        <f t="shared" si="1064"/>
        <v>0</v>
      </c>
      <c r="S4260" s="1394">
        <f>IFERROR(VLOOKUP(M4260,#REF!,6,0),0)</f>
        <v>0</v>
      </c>
      <c r="T4260" s="1394">
        <f t="shared" si="1067"/>
        <v>0</v>
      </c>
      <c r="U4260" s="1394">
        <f>IFERROR(VLOOKUP(M4260,#REF!,5,0),0)</f>
        <v>0</v>
      </c>
      <c r="V4260" s="1394">
        <f t="shared" si="1068"/>
        <v>0</v>
      </c>
      <c r="W4260" s="1394"/>
    </row>
    <row r="4261" spans="2:23" ht="30" customHeight="1">
      <c r="B4261" s="1405"/>
      <c r="C4261" s="1408" t="str">
        <f t="shared" si="1073"/>
        <v>Arms Ammunication Below Roof</v>
      </c>
      <c r="D4261" s="1409">
        <f t="shared" si="1073"/>
        <v>1</v>
      </c>
      <c r="E4261" s="1409">
        <f t="shared" si="1073"/>
        <v>1</v>
      </c>
      <c r="F4261" s="1410">
        <f t="shared" si="1073"/>
        <v>1.7350000000000001</v>
      </c>
      <c r="G4261" s="1410">
        <f t="shared" si="1073"/>
        <v>2.3199999999999998</v>
      </c>
      <c r="H4261" s="1410"/>
      <c r="I4261" s="1406">
        <f t="shared" si="1070"/>
        <v>4.0251999999999999</v>
      </c>
      <c r="O4261" s="1395"/>
      <c r="Q4261" s="1394">
        <f>IFERROR(VLOOKUP(M4261,#REF!,3,0),0)</f>
        <v>0</v>
      </c>
      <c r="R4261" s="1394">
        <f t="shared" si="1064"/>
        <v>0</v>
      </c>
      <c r="S4261" s="1394">
        <f>IFERROR(VLOOKUP(M4261,#REF!,6,0),0)</f>
        <v>0</v>
      </c>
      <c r="T4261" s="1394">
        <f t="shared" si="1067"/>
        <v>0</v>
      </c>
      <c r="U4261" s="1394">
        <f>IFERROR(VLOOKUP(M4261,#REF!,5,0),0)</f>
        <v>0</v>
      </c>
      <c r="V4261" s="1394">
        <f t="shared" si="1068"/>
        <v>0</v>
      </c>
      <c r="W4261" s="1394"/>
    </row>
    <row r="4262" spans="2:23" ht="30" customHeight="1">
      <c r="B4262" s="1405"/>
      <c r="C4262" s="1408" t="str">
        <f t="shared" si="1073"/>
        <v>Arms Ammunication Below Roof</v>
      </c>
      <c r="D4262" s="1409">
        <f t="shared" si="1073"/>
        <v>1</v>
      </c>
      <c r="E4262" s="1409">
        <f t="shared" si="1073"/>
        <v>1</v>
      </c>
      <c r="F4262" s="1410">
        <f t="shared" si="1073"/>
        <v>1.7350000000000001</v>
      </c>
      <c r="G4262" s="1410">
        <f t="shared" si="1073"/>
        <v>1.35</v>
      </c>
      <c r="H4262" s="1410"/>
      <c r="I4262" s="1406">
        <f t="shared" si="1070"/>
        <v>2.3422500000000004</v>
      </c>
      <c r="O4262" s="1395"/>
      <c r="Q4262" s="1394">
        <f>IFERROR(VLOOKUP(M4262,#REF!,3,0),0)</f>
        <v>0</v>
      </c>
      <c r="R4262" s="1394">
        <f t="shared" si="1064"/>
        <v>0</v>
      </c>
      <c r="S4262" s="1394">
        <f>IFERROR(VLOOKUP(M4262,#REF!,6,0),0)</f>
        <v>0</v>
      </c>
      <c r="T4262" s="1394">
        <f t="shared" si="1067"/>
        <v>0</v>
      </c>
      <c r="U4262" s="1394">
        <f>IFERROR(VLOOKUP(M4262,#REF!,5,0),0)</f>
        <v>0</v>
      </c>
      <c r="V4262" s="1394">
        <f t="shared" si="1068"/>
        <v>0</v>
      </c>
      <c r="W4262" s="1394"/>
    </row>
    <row r="4263" spans="2:23" ht="30" customHeight="1">
      <c r="B4263" s="1405"/>
      <c r="C4263" s="1408" t="str">
        <f t="shared" si="1073"/>
        <v>Property Record Below Roof</v>
      </c>
      <c r="D4263" s="1409">
        <f t="shared" si="1073"/>
        <v>1</v>
      </c>
      <c r="E4263" s="1409">
        <f t="shared" si="1073"/>
        <v>1</v>
      </c>
      <c r="F4263" s="1410">
        <f t="shared" si="1073"/>
        <v>3.7650000000000001</v>
      </c>
      <c r="G4263" s="1410">
        <f t="shared" si="1073"/>
        <v>2.4350000000000001</v>
      </c>
      <c r="H4263" s="1410"/>
      <c r="I4263" s="1406">
        <f t="shared" si="1070"/>
        <v>9.1677750000000007</v>
      </c>
      <c r="O4263" s="1395"/>
      <c r="Q4263" s="1394">
        <f>IFERROR(VLOOKUP(M4263,#REF!,3,0),0)</f>
        <v>0</v>
      </c>
      <c r="R4263" s="1394">
        <f t="shared" si="1064"/>
        <v>0</v>
      </c>
      <c r="S4263" s="1394">
        <f>IFERROR(VLOOKUP(M4263,#REF!,6,0),0)</f>
        <v>0</v>
      </c>
      <c r="T4263" s="1394">
        <f t="shared" si="1067"/>
        <v>0</v>
      </c>
      <c r="U4263" s="1394">
        <f>IFERROR(VLOOKUP(M4263,#REF!,5,0),0)</f>
        <v>0</v>
      </c>
      <c r="V4263" s="1394">
        <f t="shared" si="1068"/>
        <v>0</v>
      </c>
      <c r="W4263" s="1394"/>
    </row>
    <row r="4264" spans="2:23" ht="30" customHeight="1">
      <c r="B4264" s="1405"/>
      <c r="C4264" s="1408" t="str">
        <f t="shared" ref="C4264:G4273" si="1074">C878</f>
        <v>Toilet Below Roof</v>
      </c>
      <c r="D4264" s="1409">
        <f t="shared" si="1074"/>
        <v>1</v>
      </c>
      <c r="E4264" s="1409">
        <f t="shared" si="1074"/>
        <v>1</v>
      </c>
      <c r="F4264" s="1410">
        <f t="shared" si="1074"/>
        <v>3.7650000000000001</v>
      </c>
      <c r="G4264" s="1410">
        <f t="shared" si="1074"/>
        <v>1.2350000000000001</v>
      </c>
      <c r="H4264" s="1410"/>
      <c r="I4264" s="1406">
        <f t="shared" si="1070"/>
        <v>4.6497750000000009</v>
      </c>
      <c r="O4264" s="1395"/>
      <c r="Q4264" s="1394">
        <f>IFERROR(VLOOKUP(M4264,#REF!,3,0),0)</f>
        <v>0</v>
      </c>
      <c r="R4264" s="1394">
        <f t="shared" si="1064"/>
        <v>0</v>
      </c>
      <c r="S4264" s="1394">
        <f>IFERROR(VLOOKUP(M4264,#REF!,6,0),0)</f>
        <v>0</v>
      </c>
      <c r="T4264" s="1394">
        <f t="shared" si="1067"/>
        <v>0</v>
      </c>
      <c r="U4264" s="1394">
        <f>IFERROR(VLOOKUP(M4264,#REF!,5,0),0)</f>
        <v>0</v>
      </c>
      <c r="V4264" s="1394">
        <f t="shared" si="1068"/>
        <v>0</v>
      </c>
      <c r="W4264" s="1394"/>
    </row>
    <row r="4265" spans="2:23" ht="30" customHeight="1">
      <c r="B4265" s="1405"/>
      <c r="C4265" s="1408" t="str">
        <f t="shared" si="1074"/>
        <v>Lock up Men Below Roof</v>
      </c>
      <c r="D4265" s="1409">
        <f t="shared" si="1074"/>
        <v>1</v>
      </c>
      <c r="E4265" s="1409">
        <f t="shared" si="1074"/>
        <v>1</v>
      </c>
      <c r="F4265" s="1410">
        <f t="shared" si="1074"/>
        <v>4</v>
      </c>
      <c r="G4265" s="1410">
        <f t="shared" si="1074"/>
        <v>2.5499999999999998</v>
      </c>
      <c r="H4265" s="1410"/>
      <c r="I4265" s="1406">
        <f t="shared" si="1070"/>
        <v>10.199999999999999</v>
      </c>
      <c r="O4265" s="1395"/>
      <c r="Q4265" s="1394">
        <f>IFERROR(VLOOKUP(M4265,#REF!,3,0),0)</f>
        <v>0</v>
      </c>
      <c r="R4265" s="1394">
        <f t="shared" si="1064"/>
        <v>0</v>
      </c>
      <c r="S4265" s="1394">
        <f>IFERROR(VLOOKUP(M4265,#REF!,6,0),0)</f>
        <v>0</v>
      </c>
      <c r="T4265" s="1394">
        <f t="shared" si="1067"/>
        <v>0</v>
      </c>
      <c r="U4265" s="1394">
        <f>IFERROR(VLOOKUP(M4265,#REF!,5,0),0)</f>
        <v>0</v>
      </c>
      <c r="V4265" s="1394">
        <f t="shared" si="1068"/>
        <v>0</v>
      </c>
      <c r="W4265" s="1394"/>
    </row>
    <row r="4266" spans="2:23" ht="30" customHeight="1">
      <c r="B4266" s="1405"/>
      <c r="C4266" s="1408" t="str">
        <f t="shared" si="1074"/>
        <v>INS Room Below Roof</v>
      </c>
      <c r="D4266" s="1409">
        <f t="shared" si="1074"/>
        <v>1</v>
      </c>
      <c r="E4266" s="1409">
        <f t="shared" si="1074"/>
        <v>1</v>
      </c>
      <c r="F4266" s="1410">
        <f t="shared" si="1074"/>
        <v>4</v>
      </c>
      <c r="G4266" s="1410">
        <f t="shared" si="1074"/>
        <v>5.0999999999999996</v>
      </c>
      <c r="H4266" s="1410"/>
      <c r="I4266" s="1406">
        <f t="shared" si="1070"/>
        <v>20.399999999999999</v>
      </c>
      <c r="O4266" s="1395"/>
      <c r="Q4266" s="1394">
        <f>IFERROR(VLOOKUP(M4266,#REF!,3,0),0)</f>
        <v>0</v>
      </c>
      <c r="R4266" s="1394">
        <f t="shared" si="1064"/>
        <v>0</v>
      </c>
      <c r="S4266" s="1394">
        <f>IFERROR(VLOOKUP(M4266,#REF!,6,0),0)</f>
        <v>0</v>
      </c>
      <c r="T4266" s="1394">
        <f t="shared" si="1067"/>
        <v>0</v>
      </c>
      <c r="U4266" s="1394">
        <f>IFERROR(VLOOKUP(M4266,#REF!,5,0),0)</f>
        <v>0</v>
      </c>
      <c r="V4266" s="1394">
        <f t="shared" si="1068"/>
        <v>0</v>
      </c>
      <c r="W4266" s="1394"/>
    </row>
    <row r="4267" spans="2:23" ht="30" customHeight="1">
      <c r="B4267" s="1405"/>
      <c r="C4267" s="1408" t="str">
        <f t="shared" si="1074"/>
        <v>INS Room Toilet Below Roof</v>
      </c>
      <c r="D4267" s="1409">
        <f t="shared" si="1074"/>
        <v>1</v>
      </c>
      <c r="E4267" s="1409">
        <f t="shared" si="1074"/>
        <v>1</v>
      </c>
      <c r="F4267" s="1410">
        <f t="shared" si="1074"/>
        <v>4</v>
      </c>
      <c r="G4267" s="1410">
        <f t="shared" si="1074"/>
        <v>1.5</v>
      </c>
      <c r="H4267" s="1410"/>
      <c r="I4267" s="1406">
        <f t="shared" si="1070"/>
        <v>6</v>
      </c>
      <c r="O4267" s="1395"/>
      <c r="Q4267" s="1394">
        <f>IFERROR(VLOOKUP(M4267,#REF!,3,0),0)</f>
        <v>0</v>
      </c>
      <c r="R4267" s="1394">
        <f t="shared" si="1064"/>
        <v>0</v>
      </c>
      <c r="S4267" s="1394">
        <f>IFERROR(VLOOKUP(M4267,#REF!,6,0),0)</f>
        <v>0</v>
      </c>
      <c r="T4267" s="1394">
        <f t="shared" si="1067"/>
        <v>0</v>
      </c>
      <c r="U4267" s="1394">
        <f>IFERROR(VLOOKUP(M4267,#REF!,5,0),0)</f>
        <v>0</v>
      </c>
      <c r="V4267" s="1394">
        <f t="shared" si="1068"/>
        <v>0</v>
      </c>
      <c r="W4267" s="1394"/>
    </row>
    <row r="4268" spans="2:23" ht="30" customHeight="1">
      <c r="B4268" s="1405"/>
      <c r="C4268" s="1408" t="str">
        <f t="shared" si="1074"/>
        <v>Writer Below Roof</v>
      </c>
      <c r="D4268" s="1409">
        <f t="shared" si="1074"/>
        <v>1</v>
      </c>
      <c r="E4268" s="1409">
        <f t="shared" si="1074"/>
        <v>1</v>
      </c>
      <c r="F4268" s="1410">
        <f t="shared" si="1074"/>
        <v>3</v>
      </c>
      <c r="G4268" s="1410">
        <f t="shared" si="1074"/>
        <v>5.3</v>
      </c>
      <c r="H4268" s="1410"/>
      <c r="I4268" s="1406">
        <f t="shared" si="1070"/>
        <v>15.899999999999999</v>
      </c>
      <c r="O4268" s="1395"/>
      <c r="Q4268" s="1394">
        <f>IFERROR(VLOOKUP(M4268,#REF!,3,0),0)</f>
        <v>0</v>
      </c>
      <c r="R4268" s="1394">
        <f t="shared" si="1064"/>
        <v>0</v>
      </c>
      <c r="S4268" s="1394">
        <f>IFERROR(VLOOKUP(M4268,#REF!,6,0),0)</f>
        <v>0</v>
      </c>
      <c r="T4268" s="1394">
        <f t="shared" si="1067"/>
        <v>0</v>
      </c>
      <c r="U4268" s="1394">
        <f>IFERROR(VLOOKUP(M4268,#REF!,5,0),0)</f>
        <v>0</v>
      </c>
      <c r="V4268" s="1394">
        <f t="shared" si="1068"/>
        <v>0</v>
      </c>
      <c r="W4268" s="1394"/>
    </row>
    <row r="4269" spans="2:23" ht="30" customHeight="1">
      <c r="B4269" s="1405"/>
      <c r="C4269" s="1408" t="str">
        <f t="shared" si="1074"/>
        <v>Stair Case Lobby-1 Below Roof</v>
      </c>
      <c r="D4269" s="1409">
        <f t="shared" si="1074"/>
        <v>1</v>
      </c>
      <c r="E4269" s="1409">
        <f t="shared" si="1074"/>
        <v>1</v>
      </c>
      <c r="F4269" s="1410">
        <f t="shared" si="1074"/>
        <v>2.5249999999999999</v>
      </c>
      <c r="G4269" s="1410">
        <f t="shared" si="1074"/>
        <v>2.77</v>
      </c>
      <c r="H4269" s="1410"/>
      <c r="I4269" s="1406">
        <f t="shared" si="1070"/>
        <v>6.9942500000000001</v>
      </c>
      <c r="O4269" s="1395"/>
      <c r="Q4269" s="1394">
        <f>IFERROR(VLOOKUP(M4269,#REF!,3,0),0)</f>
        <v>0</v>
      </c>
      <c r="R4269" s="1394">
        <f t="shared" si="1064"/>
        <v>0</v>
      </c>
      <c r="S4269" s="1394">
        <f>IFERROR(VLOOKUP(M4269,#REF!,6,0),0)</f>
        <v>0</v>
      </c>
      <c r="T4269" s="1394">
        <f t="shared" si="1067"/>
        <v>0</v>
      </c>
      <c r="U4269" s="1394">
        <f>IFERROR(VLOOKUP(M4269,#REF!,5,0),0)</f>
        <v>0</v>
      </c>
      <c r="V4269" s="1394">
        <f t="shared" si="1068"/>
        <v>0</v>
      </c>
      <c r="W4269" s="1394"/>
    </row>
    <row r="4270" spans="2:23" ht="30" customHeight="1">
      <c r="B4270" s="1405"/>
      <c r="C4270" s="1408" t="str">
        <f t="shared" si="1074"/>
        <v>Stair Case Lobby-1 Below Roof</v>
      </c>
      <c r="D4270" s="1409">
        <f t="shared" si="1074"/>
        <v>1</v>
      </c>
      <c r="E4270" s="1409">
        <f t="shared" si="1074"/>
        <v>1</v>
      </c>
      <c r="F4270" s="1410">
        <f t="shared" si="1074"/>
        <v>4.3250000000000002</v>
      </c>
      <c r="G4270" s="1410">
        <f t="shared" si="1074"/>
        <v>2.2999999999999998</v>
      </c>
      <c r="H4270" s="1410"/>
      <c r="I4270" s="1406">
        <f t="shared" si="1070"/>
        <v>9.9474999999999998</v>
      </c>
      <c r="O4270" s="1395"/>
      <c r="Q4270" s="1394">
        <f>IFERROR(VLOOKUP(M4270,#REF!,3,0),0)</f>
        <v>0</v>
      </c>
      <c r="R4270" s="1394">
        <f t="shared" ref="R4270:R4333" si="1075">ROUND(O4270,2)*ROUND(Q4270,2)</f>
        <v>0</v>
      </c>
      <c r="S4270" s="1394">
        <f>IFERROR(VLOOKUP(M4270,#REF!,6,0),0)</f>
        <v>0</v>
      </c>
      <c r="T4270" s="1394">
        <f t="shared" si="1067"/>
        <v>0</v>
      </c>
      <c r="U4270" s="1394">
        <f>IFERROR(VLOOKUP(M4270,#REF!,5,0),0)</f>
        <v>0</v>
      </c>
      <c r="V4270" s="1394">
        <f t="shared" si="1068"/>
        <v>0</v>
      </c>
      <c r="W4270" s="1394"/>
    </row>
    <row r="4271" spans="2:23" ht="30" customHeight="1">
      <c r="B4271" s="1405"/>
      <c r="C4271" s="1408" t="str">
        <f t="shared" si="1074"/>
        <v>Hall</v>
      </c>
      <c r="D4271" s="1409">
        <f t="shared" si="1074"/>
        <v>1</v>
      </c>
      <c r="E4271" s="1409">
        <f t="shared" si="1074"/>
        <v>1</v>
      </c>
      <c r="F4271" s="1410">
        <f t="shared" si="1074"/>
        <v>2.1</v>
      </c>
      <c r="G4271" s="1410">
        <f t="shared" si="1074"/>
        <v>5.76</v>
      </c>
      <c r="H4271" s="1410"/>
      <c r="I4271" s="1406">
        <f t="shared" si="1070"/>
        <v>12.096</v>
      </c>
      <c r="O4271" s="1395"/>
      <c r="Q4271" s="1394">
        <f>IFERROR(VLOOKUP(M4271,#REF!,3,0),0)</f>
        <v>0</v>
      </c>
      <c r="R4271" s="1394">
        <f t="shared" si="1075"/>
        <v>0</v>
      </c>
      <c r="S4271" s="1394">
        <f>IFERROR(VLOOKUP(M4271,#REF!,6,0),0)</f>
        <v>0</v>
      </c>
      <c r="T4271" s="1394">
        <f t="shared" si="1067"/>
        <v>0</v>
      </c>
      <c r="U4271" s="1394">
        <f>IFERROR(VLOOKUP(M4271,#REF!,5,0),0)</f>
        <v>0</v>
      </c>
      <c r="V4271" s="1394">
        <f t="shared" si="1068"/>
        <v>0</v>
      </c>
      <c r="W4271" s="1394"/>
    </row>
    <row r="4272" spans="2:23" ht="30" customHeight="1">
      <c r="B4272" s="1405"/>
      <c r="C4272" s="1408" t="str">
        <f t="shared" si="1074"/>
        <v>Hall</v>
      </c>
      <c r="D4272" s="1409">
        <f t="shared" si="1074"/>
        <v>1</v>
      </c>
      <c r="E4272" s="1409">
        <f t="shared" si="1074"/>
        <v>1</v>
      </c>
      <c r="F4272" s="1410">
        <f t="shared" si="1074"/>
        <v>4.3250000000000002</v>
      </c>
      <c r="G4272" s="1410">
        <f t="shared" si="1074"/>
        <v>5.76</v>
      </c>
      <c r="H4272" s="1410"/>
      <c r="I4272" s="1406">
        <f t="shared" si="1070"/>
        <v>24.911999999999999</v>
      </c>
      <c r="O4272" s="1395"/>
      <c r="Q4272" s="1394">
        <f>IFERROR(VLOOKUP(M4272,#REF!,3,0),0)</f>
        <v>0</v>
      </c>
      <c r="R4272" s="1394">
        <f t="shared" si="1075"/>
        <v>0</v>
      </c>
      <c r="S4272" s="1394">
        <f>IFERROR(VLOOKUP(M4272,#REF!,6,0),0)</f>
        <v>0</v>
      </c>
      <c r="T4272" s="1394">
        <f t="shared" si="1067"/>
        <v>0</v>
      </c>
      <c r="U4272" s="1394">
        <f>IFERROR(VLOOKUP(M4272,#REF!,5,0),0)</f>
        <v>0</v>
      </c>
      <c r="V4272" s="1394">
        <f t="shared" si="1068"/>
        <v>0</v>
      </c>
      <c r="W4272" s="1394"/>
    </row>
    <row r="4273" spans="2:23" ht="30" customHeight="1">
      <c r="B4273" s="1405"/>
      <c r="C4273" s="1408" t="str">
        <f t="shared" si="1074"/>
        <v>Hall</v>
      </c>
      <c r="D4273" s="1409">
        <f t="shared" si="1074"/>
        <v>1</v>
      </c>
      <c r="E4273" s="1409">
        <f t="shared" si="1074"/>
        <v>1</v>
      </c>
      <c r="F4273" s="1410">
        <f t="shared" si="1074"/>
        <v>3</v>
      </c>
      <c r="G4273" s="1410">
        <f t="shared" si="1074"/>
        <v>5.76</v>
      </c>
      <c r="H4273" s="1410"/>
      <c r="I4273" s="1406">
        <f t="shared" si="1070"/>
        <v>17.28</v>
      </c>
      <c r="O4273" s="1395"/>
      <c r="Q4273" s="1394">
        <f>IFERROR(VLOOKUP(M4273,#REF!,3,0),0)</f>
        <v>0</v>
      </c>
      <c r="R4273" s="1394">
        <f t="shared" si="1075"/>
        <v>0</v>
      </c>
      <c r="S4273" s="1394">
        <f>IFERROR(VLOOKUP(M4273,#REF!,6,0),0)</f>
        <v>0</v>
      </c>
      <c r="T4273" s="1394">
        <f t="shared" si="1067"/>
        <v>0</v>
      </c>
      <c r="U4273" s="1394">
        <f>IFERROR(VLOOKUP(M4273,#REF!,5,0),0)</f>
        <v>0</v>
      </c>
      <c r="V4273" s="1394">
        <f t="shared" si="1068"/>
        <v>0</v>
      </c>
      <c r="W4273" s="1394"/>
    </row>
    <row r="4274" spans="2:23" s="1394" customFormat="1" ht="30" customHeight="1">
      <c r="B4274" s="1421"/>
      <c r="C4274" s="1422" t="e">
        <f t="shared" ref="C4274:H4274" si="1076">C892</f>
        <v>#REF!</v>
      </c>
      <c r="D4274" s="1389">
        <f t="shared" si="1076"/>
        <v>0</v>
      </c>
      <c r="E4274" s="1389">
        <f t="shared" si="1076"/>
        <v>0</v>
      </c>
      <c r="F4274" s="1423">
        <f t="shared" si="1076"/>
        <v>0</v>
      </c>
      <c r="G4274" s="1428">
        <f t="shared" si="1076"/>
        <v>0</v>
      </c>
      <c r="H4274" s="1429">
        <f t="shared" si="1076"/>
        <v>0</v>
      </c>
      <c r="I4274" s="1406">
        <f t="shared" si="1070"/>
        <v>0</v>
      </c>
      <c r="M4274" s="1426"/>
      <c r="Q4274" s="1394">
        <f>IFERROR(VLOOKUP(M4274,#REF!,3,0),0)</f>
        <v>0</v>
      </c>
      <c r="R4274" s="1394">
        <f t="shared" si="1075"/>
        <v>0</v>
      </c>
      <c r="S4274" s="1394">
        <f>IFERROR(VLOOKUP(M4274,#REF!,6,0),0)</f>
        <v>0</v>
      </c>
      <c r="T4274" s="1394">
        <f t="shared" si="1067"/>
        <v>0</v>
      </c>
      <c r="U4274" s="1394">
        <f>IFERROR(VLOOKUP(M4274,#REF!,5,0),0)</f>
        <v>0</v>
      </c>
      <c r="V4274" s="1394">
        <f t="shared" si="1068"/>
        <v>0</v>
      </c>
    </row>
    <row r="4275" spans="2:23" ht="30" customHeight="1">
      <c r="B4275" s="1405"/>
      <c r="C4275" s="1408">
        <f t="shared" ref="C4275:H4276" si="1077">C901</f>
        <v>0</v>
      </c>
      <c r="D4275" s="1409">
        <f t="shared" si="1077"/>
        <v>0</v>
      </c>
      <c r="E4275" s="1409">
        <f t="shared" si="1077"/>
        <v>0</v>
      </c>
      <c r="F4275" s="1410">
        <f t="shared" si="1077"/>
        <v>0</v>
      </c>
      <c r="G4275" s="1410">
        <f t="shared" si="1077"/>
        <v>0</v>
      </c>
      <c r="H4275" s="1411">
        <f t="shared" si="1077"/>
        <v>0</v>
      </c>
      <c r="I4275" s="1406">
        <f t="shared" si="1070"/>
        <v>0</v>
      </c>
      <c r="Q4275" s="1394">
        <f>IFERROR(VLOOKUP(M4275,#REF!,3,0),0)</f>
        <v>0</v>
      </c>
      <c r="R4275" s="1394">
        <f t="shared" si="1075"/>
        <v>0</v>
      </c>
      <c r="S4275" s="1394">
        <f>IFERROR(VLOOKUP(M4275,#REF!,6,0),0)</f>
        <v>0</v>
      </c>
      <c r="T4275" s="1394">
        <f t="shared" si="1067"/>
        <v>0</v>
      </c>
      <c r="U4275" s="1394">
        <f>IFERROR(VLOOKUP(M4275,#REF!,5,0),0)</f>
        <v>0</v>
      </c>
      <c r="V4275" s="1394">
        <f t="shared" si="1068"/>
        <v>0</v>
      </c>
      <c r="W4275" s="1394"/>
    </row>
    <row r="4276" spans="2:23" ht="30" customHeight="1">
      <c r="B4276" s="1407"/>
      <c r="C4276" s="1408" t="str">
        <f t="shared" si="1077"/>
        <v xml:space="preserve">Sill slab  Window </v>
      </c>
      <c r="D4276" s="1409">
        <f t="shared" si="1077"/>
        <v>0</v>
      </c>
      <c r="E4276" s="1409">
        <f t="shared" si="1077"/>
        <v>0</v>
      </c>
      <c r="F4276" s="1410">
        <f t="shared" si="1077"/>
        <v>0</v>
      </c>
      <c r="G4276" s="1410">
        <f t="shared" si="1077"/>
        <v>0</v>
      </c>
      <c r="H4276" s="1411">
        <f t="shared" si="1077"/>
        <v>0</v>
      </c>
      <c r="I4276" s="1406">
        <f t="shared" si="1070"/>
        <v>0</v>
      </c>
      <c r="Q4276" s="1394">
        <f>IFERROR(VLOOKUP(M4276,#REF!,3,0),0)</f>
        <v>0</v>
      </c>
      <c r="R4276" s="1394">
        <f t="shared" si="1075"/>
        <v>0</v>
      </c>
      <c r="S4276" s="1394">
        <f>IFERROR(VLOOKUP(M4276,#REF!,6,0),0)</f>
        <v>0</v>
      </c>
      <c r="T4276" s="1394">
        <f t="shared" si="1067"/>
        <v>0</v>
      </c>
      <c r="U4276" s="1394">
        <f>IFERROR(VLOOKUP(M4276,#REF!,5,0),0)</f>
        <v>0</v>
      </c>
      <c r="V4276" s="1394">
        <f t="shared" si="1068"/>
        <v>0</v>
      </c>
      <c r="W4276" s="1394"/>
    </row>
    <row r="4277" spans="2:23" ht="30" customHeight="1">
      <c r="B4277" s="1407"/>
      <c r="C4277" s="1408" t="str">
        <f t="shared" ref="C4277:C4308" si="1078">C903</f>
        <v>FW</v>
      </c>
      <c r="D4277" s="1409">
        <f t="shared" ref="D4277:D4289" si="1079">D903*2</f>
        <v>2</v>
      </c>
      <c r="E4277" s="1409">
        <f t="shared" ref="E4277:F4296" si="1080">E903</f>
        <v>2</v>
      </c>
      <c r="F4277" s="1410">
        <f t="shared" si="1080"/>
        <v>1.2729999999999999</v>
      </c>
      <c r="G4277" s="1410"/>
      <c r="H4277" s="1411">
        <f t="shared" ref="H4277:H4308" si="1081">H903</f>
        <v>0.05</v>
      </c>
      <c r="I4277" s="1406">
        <f t="shared" si="1070"/>
        <v>0.25459999999999999</v>
      </c>
      <c r="M4277" s="110"/>
      <c r="Q4277" s="1394">
        <f>IFERROR(VLOOKUP(M4277,#REF!,3,0),0)</f>
        <v>0</v>
      </c>
      <c r="R4277" s="1394">
        <f t="shared" si="1075"/>
        <v>0</v>
      </c>
      <c r="S4277" s="1394">
        <f>IFERROR(VLOOKUP(M4277,#REF!,6,0),0)</f>
        <v>0</v>
      </c>
      <c r="T4277" s="1394">
        <f t="shared" si="1067"/>
        <v>0</v>
      </c>
      <c r="U4277" s="1394">
        <f>IFERROR(VLOOKUP(M4277,#REF!,5,0),0)</f>
        <v>0</v>
      </c>
      <c r="V4277" s="1394">
        <f t="shared" si="1068"/>
        <v>0</v>
      </c>
      <c r="W4277" s="1394"/>
    </row>
    <row r="4278" spans="2:23" ht="30" customHeight="1">
      <c r="B4278" s="1407"/>
      <c r="C4278" s="1408" t="str">
        <f t="shared" si="1078"/>
        <v>FW-3</v>
      </c>
      <c r="D4278" s="1409">
        <f t="shared" si="1079"/>
        <v>2</v>
      </c>
      <c r="E4278" s="1409">
        <f t="shared" si="1080"/>
        <v>1</v>
      </c>
      <c r="F4278" s="1410">
        <f t="shared" si="1080"/>
        <v>2.46</v>
      </c>
      <c r="G4278" s="1410"/>
      <c r="H4278" s="1410">
        <f t="shared" si="1081"/>
        <v>0.05</v>
      </c>
      <c r="I4278" s="1406">
        <f t="shared" si="1070"/>
        <v>0.246</v>
      </c>
      <c r="M4278" s="110"/>
      <c r="Q4278" s="1394">
        <f>IFERROR(VLOOKUP(M4278,#REF!,3,0),0)</f>
        <v>0</v>
      </c>
      <c r="R4278" s="1394">
        <f t="shared" si="1075"/>
        <v>0</v>
      </c>
      <c r="S4278" s="1394">
        <f>IFERROR(VLOOKUP(M4278,#REF!,6,0),0)</f>
        <v>0</v>
      </c>
      <c r="T4278" s="1394">
        <f t="shared" si="1067"/>
        <v>0</v>
      </c>
      <c r="U4278" s="1394">
        <f>IFERROR(VLOOKUP(M4278,#REF!,5,0),0)</f>
        <v>0</v>
      </c>
      <c r="V4278" s="1394">
        <f t="shared" si="1068"/>
        <v>0</v>
      </c>
      <c r="W4278" s="1394"/>
    </row>
    <row r="4279" spans="2:23" ht="30" customHeight="1">
      <c r="B4279" s="1407"/>
      <c r="C4279" s="1408" t="str">
        <f t="shared" si="1078"/>
        <v>FW-4</v>
      </c>
      <c r="D4279" s="1409">
        <f t="shared" si="1079"/>
        <v>2</v>
      </c>
      <c r="E4279" s="1409">
        <f t="shared" si="1080"/>
        <v>2</v>
      </c>
      <c r="F4279" s="1410">
        <f t="shared" si="1080"/>
        <v>1.66</v>
      </c>
      <c r="G4279" s="1410"/>
      <c r="H4279" s="1410">
        <f t="shared" si="1081"/>
        <v>0.05</v>
      </c>
      <c r="I4279" s="1406">
        <f t="shared" si="1070"/>
        <v>0.33200000000000002</v>
      </c>
      <c r="M4279" s="110"/>
      <c r="Q4279" s="1394">
        <f>IFERROR(VLOOKUP(M4279,#REF!,3,0),0)</f>
        <v>0</v>
      </c>
      <c r="R4279" s="1394">
        <f t="shared" si="1075"/>
        <v>0</v>
      </c>
      <c r="S4279" s="1394">
        <f>IFERROR(VLOOKUP(M4279,#REF!,6,0),0)</f>
        <v>0</v>
      </c>
      <c r="T4279" s="1394">
        <f t="shared" si="1067"/>
        <v>0</v>
      </c>
      <c r="U4279" s="1394">
        <f>IFERROR(VLOOKUP(M4279,#REF!,5,0),0)</f>
        <v>0</v>
      </c>
      <c r="V4279" s="1394">
        <f t="shared" si="1068"/>
        <v>0</v>
      </c>
      <c r="W4279" s="1394"/>
    </row>
    <row r="4280" spans="2:23" ht="30" customHeight="1">
      <c r="B4280" s="1407"/>
      <c r="C4280" s="1408" t="str">
        <f t="shared" si="1078"/>
        <v>SW</v>
      </c>
      <c r="D4280" s="1409">
        <f t="shared" si="1079"/>
        <v>2</v>
      </c>
      <c r="E4280" s="1409">
        <f t="shared" si="1080"/>
        <v>1</v>
      </c>
      <c r="F4280" s="1410">
        <f t="shared" si="1080"/>
        <v>2.2600000000000002</v>
      </c>
      <c r="G4280" s="1410"/>
      <c r="H4280" s="1410">
        <f t="shared" si="1081"/>
        <v>0.05</v>
      </c>
      <c r="I4280" s="1406">
        <f t="shared" si="1070"/>
        <v>0.22600000000000003</v>
      </c>
      <c r="M4280" s="110"/>
      <c r="Q4280" s="1394">
        <f>IFERROR(VLOOKUP(M4280,#REF!,3,0),0)</f>
        <v>0</v>
      </c>
      <c r="R4280" s="1394">
        <f t="shared" si="1075"/>
        <v>0</v>
      </c>
      <c r="S4280" s="1394">
        <f>IFERROR(VLOOKUP(M4280,#REF!,6,0),0)</f>
        <v>0</v>
      </c>
      <c r="T4280" s="1394">
        <f t="shared" si="1067"/>
        <v>0</v>
      </c>
      <c r="U4280" s="1394">
        <f>IFERROR(VLOOKUP(M4280,#REF!,5,0),0)</f>
        <v>0</v>
      </c>
      <c r="V4280" s="1394">
        <f t="shared" si="1068"/>
        <v>0</v>
      </c>
      <c r="W4280" s="1394"/>
    </row>
    <row r="4281" spans="2:23" ht="30" customHeight="1">
      <c r="B4281" s="1407"/>
      <c r="C4281" s="1408" t="str">
        <f t="shared" si="1078"/>
        <v>W</v>
      </c>
      <c r="D4281" s="1409">
        <f t="shared" si="1079"/>
        <v>2</v>
      </c>
      <c r="E4281" s="1409">
        <f t="shared" si="1080"/>
        <v>1</v>
      </c>
      <c r="F4281" s="1410">
        <f t="shared" si="1080"/>
        <v>2.2600000000000002</v>
      </c>
      <c r="G4281" s="1410"/>
      <c r="H4281" s="1410">
        <f t="shared" si="1081"/>
        <v>0.05</v>
      </c>
      <c r="I4281" s="1406">
        <f t="shared" si="1070"/>
        <v>0.22600000000000003</v>
      </c>
      <c r="M4281" s="110"/>
      <c r="Q4281" s="1394">
        <f>IFERROR(VLOOKUP(M4281,#REF!,3,0),0)</f>
        <v>0</v>
      </c>
      <c r="R4281" s="1394">
        <f t="shared" si="1075"/>
        <v>0</v>
      </c>
      <c r="S4281" s="1394">
        <f>IFERROR(VLOOKUP(M4281,#REF!,6,0),0)</f>
        <v>0</v>
      </c>
      <c r="T4281" s="1394">
        <f t="shared" si="1067"/>
        <v>0</v>
      </c>
      <c r="U4281" s="1394">
        <f>IFERROR(VLOOKUP(M4281,#REF!,5,0),0)</f>
        <v>0</v>
      </c>
      <c r="V4281" s="1394">
        <f t="shared" si="1068"/>
        <v>0</v>
      </c>
      <c r="W4281" s="1394"/>
    </row>
    <row r="4282" spans="2:23" ht="30" customHeight="1">
      <c r="B4282" s="1407"/>
      <c r="C4282" s="1408" t="str">
        <f t="shared" si="1078"/>
        <v>W2</v>
      </c>
      <c r="D4282" s="1409">
        <f t="shared" si="1079"/>
        <v>2</v>
      </c>
      <c r="E4282" s="1409">
        <f t="shared" si="1080"/>
        <v>13</v>
      </c>
      <c r="F4282" s="1410">
        <f t="shared" si="1080"/>
        <v>1.66</v>
      </c>
      <c r="G4282" s="1410"/>
      <c r="H4282" s="1410">
        <f t="shared" si="1081"/>
        <v>0.05</v>
      </c>
      <c r="I4282" s="1406">
        <f t="shared" si="1070"/>
        <v>2.1579999999999999</v>
      </c>
      <c r="M4282" s="110"/>
      <c r="Q4282" s="1394">
        <f>IFERROR(VLOOKUP(M4282,#REF!,3,0),0)</f>
        <v>0</v>
      </c>
      <c r="R4282" s="1394">
        <f t="shared" si="1075"/>
        <v>0</v>
      </c>
      <c r="S4282" s="1394">
        <f>IFERROR(VLOOKUP(M4282,#REF!,6,0),0)</f>
        <v>0</v>
      </c>
      <c r="T4282" s="1394">
        <f t="shared" si="1067"/>
        <v>0</v>
      </c>
      <c r="U4282" s="1394">
        <f>IFERROR(VLOOKUP(M4282,#REF!,5,0),0)</f>
        <v>0</v>
      </c>
      <c r="V4282" s="1394">
        <f t="shared" si="1068"/>
        <v>0</v>
      </c>
      <c r="W4282" s="1394"/>
    </row>
    <row r="4283" spans="2:23" ht="30" customHeight="1">
      <c r="B4283" s="1407"/>
      <c r="C4283" s="1408" t="str">
        <f t="shared" si="1078"/>
        <v>W3</v>
      </c>
      <c r="D4283" s="1409">
        <f t="shared" si="1079"/>
        <v>2</v>
      </c>
      <c r="E4283" s="1409">
        <f t="shared" si="1080"/>
        <v>4</v>
      </c>
      <c r="F4283" s="1410">
        <f t="shared" si="1080"/>
        <v>1.46</v>
      </c>
      <c r="G4283" s="1410"/>
      <c r="H4283" s="1410">
        <f t="shared" si="1081"/>
        <v>0.05</v>
      </c>
      <c r="I4283" s="1406">
        <f t="shared" si="1070"/>
        <v>0.58399999999999996</v>
      </c>
      <c r="M4283" s="110"/>
      <c r="Q4283" s="1394">
        <f>IFERROR(VLOOKUP(M4283,#REF!,3,0),0)</f>
        <v>0</v>
      </c>
      <c r="R4283" s="1394">
        <f t="shared" si="1075"/>
        <v>0</v>
      </c>
      <c r="S4283" s="1394">
        <f>IFERROR(VLOOKUP(M4283,#REF!,6,0),0)</f>
        <v>0</v>
      </c>
      <c r="T4283" s="1394">
        <f t="shared" si="1067"/>
        <v>0</v>
      </c>
      <c r="U4283" s="1394">
        <f>IFERROR(VLOOKUP(M4283,#REF!,5,0),0)</f>
        <v>0</v>
      </c>
      <c r="V4283" s="1394">
        <f t="shared" si="1068"/>
        <v>0</v>
      </c>
      <c r="W4283" s="1394"/>
    </row>
    <row r="4284" spans="2:23" ht="30" customHeight="1">
      <c r="B4284" s="1407"/>
      <c r="C4284" s="1408" t="str">
        <f t="shared" si="1078"/>
        <v>SLW</v>
      </c>
      <c r="D4284" s="1409">
        <f t="shared" si="1079"/>
        <v>2</v>
      </c>
      <c r="E4284" s="1409">
        <f t="shared" si="1080"/>
        <v>2</v>
      </c>
      <c r="F4284" s="1410">
        <f t="shared" si="1080"/>
        <v>2.56</v>
      </c>
      <c r="G4284" s="1410"/>
      <c r="H4284" s="1410">
        <f t="shared" si="1081"/>
        <v>0.05</v>
      </c>
      <c r="I4284" s="1406">
        <f t="shared" si="1070"/>
        <v>0.51200000000000001</v>
      </c>
      <c r="M4284" s="110"/>
      <c r="Q4284" s="1394">
        <f>IFERROR(VLOOKUP(M4284,#REF!,3,0),0)</f>
        <v>0</v>
      </c>
      <c r="R4284" s="1394">
        <f t="shared" si="1075"/>
        <v>0</v>
      </c>
      <c r="S4284" s="1394">
        <f>IFERROR(VLOOKUP(M4284,#REF!,6,0),0)</f>
        <v>0</v>
      </c>
      <c r="T4284" s="1394">
        <f t="shared" si="1067"/>
        <v>0</v>
      </c>
      <c r="U4284" s="1394">
        <f>IFERROR(VLOOKUP(M4284,#REF!,5,0),0)</f>
        <v>0</v>
      </c>
      <c r="V4284" s="1394">
        <f t="shared" si="1068"/>
        <v>0</v>
      </c>
      <c r="W4284" s="1394"/>
    </row>
    <row r="4285" spans="2:23" ht="30" customHeight="1">
      <c r="B4285" s="1407"/>
      <c r="C4285" s="1408" t="str">
        <f t="shared" si="1078"/>
        <v>RV</v>
      </c>
      <c r="D4285" s="1409">
        <f t="shared" si="1079"/>
        <v>2</v>
      </c>
      <c r="E4285" s="1409">
        <f t="shared" si="1080"/>
        <v>2</v>
      </c>
      <c r="F4285" s="1410">
        <f t="shared" si="1080"/>
        <v>1.81</v>
      </c>
      <c r="G4285" s="1410"/>
      <c r="H4285" s="1410">
        <f t="shared" si="1081"/>
        <v>0.05</v>
      </c>
      <c r="I4285" s="1406">
        <f t="shared" si="1070"/>
        <v>0.36200000000000004</v>
      </c>
      <c r="M4285" s="110"/>
      <c r="Q4285" s="1394">
        <f>IFERROR(VLOOKUP(M4285,#REF!,3,0),0)</f>
        <v>0</v>
      </c>
      <c r="R4285" s="1394">
        <f t="shared" si="1075"/>
        <v>0</v>
      </c>
      <c r="S4285" s="1394">
        <f>IFERROR(VLOOKUP(M4285,#REF!,6,0),0)</f>
        <v>0</v>
      </c>
      <c r="T4285" s="1394">
        <f t="shared" si="1067"/>
        <v>0</v>
      </c>
      <c r="U4285" s="1394">
        <f>IFERROR(VLOOKUP(M4285,#REF!,5,0),0)</f>
        <v>0</v>
      </c>
      <c r="V4285" s="1394">
        <f t="shared" si="1068"/>
        <v>0</v>
      </c>
      <c r="W4285" s="1394"/>
    </row>
    <row r="4286" spans="2:23" ht="30" customHeight="1">
      <c r="B4286" s="1407"/>
      <c r="C4286" s="1415" t="str">
        <f t="shared" si="1078"/>
        <v>RV1</v>
      </c>
      <c r="D4286" s="1409">
        <f t="shared" si="1079"/>
        <v>2</v>
      </c>
      <c r="E4286" s="1409">
        <f t="shared" si="1080"/>
        <v>1</v>
      </c>
      <c r="F4286" s="1410">
        <f t="shared" si="1080"/>
        <v>1.36</v>
      </c>
      <c r="G4286" s="1410"/>
      <c r="H4286" s="1410">
        <f t="shared" si="1081"/>
        <v>0.05</v>
      </c>
      <c r="I4286" s="1406">
        <f t="shared" si="1070"/>
        <v>0.13600000000000001</v>
      </c>
      <c r="M4286" s="110"/>
      <c r="Q4286" s="1394">
        <f>IFERROR(VLOOKUP(M4286,#REF!,3,0),0)</f>
        <v>0</v>
      </c>
      <c r="R4286" s="1394">
        <f t="shared" si="1075"/>
        <v>0</v>
      </c>
      <c r="S4286" s="1394">
        <f>IFERROR(VLOOKUP(M4286,#REF!,6,0),0)</f>
        <v>0</v>
      </c>
      <c r="T4286" s="1394">
        <f t="shared" si="1067"/>
        <v>0</v>
      </c>
      <c r="U4286" s="1394">
        <f>IFERROR(VLOOKUP(M4286,#REF!,5,0),0)</f>
        <v>0</v>
      </c>
      <c r="V4286" s="1394">
        <f t="shared" si="1068"/>
        <v>0</v>
      </c>
      <c r="W4286" s="1394"/>
    </row>
    <row r="4287" spans="2:23" ht="30" customHeight="1">
      <c r="B4287" s="1407"/>
      <c r="C4287" s="1408" t="str">
        <f t="shared" si="1078"/>
        <v>V</v>
      </c>
      <c r="D4287" s="1409">
        <f t="shared" si="1079"/>
        <v>2</v>
      </c>
      <c r="E4287" s="1409">
        <f t="shared" si="1080"/>
        <v>2</v>
      </c>
      <c r="F4287" s="1410">
        <f t="shared" si="1080"/>
        <v>1.46</v>
      </c>
      <c r="G4287" s="1410"/>
      <c r="H4287" s="1410">
        <f t="shared" si="1081"/>
        <v>0.05</v>
      </c>
      <c r="I4287" s="1406">
        <f t="shared" si="1070"/>
        <v>0.29199999999999998</v>
      </c>
      <c r="M4287" s="110"/>
      <c r="Q4287" s="1394">
        <f>IFERROR(VLOOKUP(M4287,#REF!,3,0),0)</f>
        <v>0</v>
      </c>
      <c r="R4287" s="1394">
        <f t="shared" si="1075"/>
        <v>0</v>
      </c>
      <c r="S4287" s="1394">
        <f>IFERROR(VLOOKUP(M4287,#REF!,6,0),0)</f>
        <v>0</v>
      </c>
      <c r="T4287" s="1394">
        <f t="shared" si="1067"/>
        <v>0</v>
      </c>
      <c r="U4287" s="1394">
        <f>IFERROR(VLOOKUP(M4287,#REF!,5,0),0)</f>
        <v>0</v>
      </c>
      <c r="V4287" s="1394">
        <f t="shared" si="1068"/>
        <v>0</v>
      </c>
      <c r="W4287" s="1394"/>
    </row>
    <row r="4288" spans="2:23" ht="30" customHeight="1">
      <c r="B4288" s="1407"/>
      <c r="C4288" s="1408" t="str">
        <f t="shared" si="1078"/>
        <v>V1</v>
      </c>
      <c r="D4288" s="1409">
        <f t="shared" si="1079"/>
        <v>2</v>
      </c>
      <c r="E4288" s="1409">
        <f t="shared" si="1080"/>
        <v>2</v>
      </c>
      <c r="F4288" s="1410">
        <f t="shared" si="1080"/>
        <v>1.06</v>
      </c>
      <c r="G4288" s="1410"/>
      <c r="H4288" s="1410">
        <f t="shared" si="1081"/>
        <v>0.05</v>
      </c>
      <c r="I4288" s="1406">
        <f t="shared" si="1070"/>
        <v>0.21200000000000002</v>
      </c>
      <c r="M4288" s="110"/>
      <c r="Q4288" s="1394">
        <f>IFERROR(VLOOKUP(M4288,#REF!,3,0),0)</f>
        <v>0</v>
      </c>
      <c r="R4288" s="1394">
        <f t="shared" si="1075"/>
        <v>0</v>
      </c>
      <c r="S4288" s="1394">
        <f>IFERROR(VLOOKUP(M4288,#REF!,6,0),0)</f>
        <v>0</v>
      </c>
      <c r="T4288" s="1394">
        <f t="shared" si="1067"/>
        <v>0</v>
      </c>
      <c r="U4288" s="1394">
        <f>IFERROR(VLOOKUP(M4288,#REF!,5,0),0)</f>
        <v>0</v>
      </c>
      <c r="V4288" s="1394">
        <f t="shared" si="1068"/>
        <v>0</v>
      </c>
      <c r="W4288" s="1394"/>
    </row>
    <row r="4289" spans="2:23" ht="30" customHeight="1">
      <c r="B4289" s="1407"/>
      <c r="C4289" s="1408" t="str">
        <f t="shared" si="1078"/>
        <v>V3</v>
      </c>
      <c r="D4289" s="1409">
        <f t="shared" si="1079"/>
        <v>2</v>
      </c>
      <c r="E4289" s="1409">
        <f t="shared" si="1080"/>
        <v>4</v>
      </c>
      <c r="F4289" s="1410">
        <f t="shared" si="1080"/>
        <v>1.36</v>
      </c>
      <c r="G4289" s="1410"/>
      <c r="H4289" s="1410">
        <f t="shared" si="1081"/>
        <v>0.05</v>
      </c>
      <c r="I4289" s="1406">
        <f t="shared" si="1070"/>
        <v>0.54400000000000004</v>
      </c>
      <c r="M4289" s="110"/>
      <c r="Q4289" s="1394">
        <f>IFERROR(VLOOKUP(M4289,#REF!,3,0),0)</f>
        <v>0</v>
      </c>
      <c r="R4289" s="1394">
        <f t="shared" si="1075"/>
        <v>0</v>
      </c>
      <c r="S4289" s="1394">
        <f>IFERROR(VLOOKUP(M4289,#REF!,6,0),0)</f>
        <v>0</v>
      </c>
      <c r="T4289" s="1394">
        <f t="shared" si="1067"/>
        <v>0</v>
      </c>
      <c r="U4289" s="1394">
        <f>IFERROR(VLOOKUP(M4289,#REF!,5,0),0)</f>
        <v>0</v>
      </c>
      <c r="V4289" s="1394">
        <f t="shared" si="1068"/>
        <v>0</v>
      </c>
      <c r="W4289" s="1394"/>
    </row>
    <row r="4290" spans="2:23" ht="30" customHeight="1">
      <c r="B4290" s="1407"/>
      <c r="C4290" s="1415">
        <f t="shared" si="1078"/>
        <v>0</v>
      </c>
      <c r="D4290" s="1409">
        <f>D916</f>
        <v>0</v>
      </c>
      <c r="E4290" s="1409">
        <f t="shared" si="1080"/>
        <v>0</v>
      </c>
      <c r="F4290" s="1410">
        <f t="shared" si="1080"/>
        <v>0</v>
      </c>
      <c r="G4290" s="1410">
        <f>G916</f>
        <v>0</v>
      </c>
      <c r="H4290" s="1410">
        <f t="shared" si="1081"/>
        <v>0</v>
      </c>
      <c r="I4290" s="1406">
        <f t="shared" si="1070"/>
        <v>0</v>
      </c>
      <c r="M4290" s="110"/>
      <c r="Q4290" s="1394">
        <f>IFERROR(VLOOKUP(M4290,#REF!,3,0),0)</f>
        <v>0</v>
      </c>
      <c r="R4290" s="1394">
        <f t="shared" si="1075"/>
        <v>0</v>
      </c>
      <c r="S4290" s="1394">
        <f>IFERROR(VLOOKUP(M4290,#REF!,6,0),0)</f>
        <v>0</v>
      </c>
      <c r="T4290" s="1394">
        <f t="shared" si="1067"/>
        <v>0</v>
      </c>
      <c r="U4290" s="1394">
        <f>IFERROR(VLOOKUP(M4290,#REF!,5,0),0)</f>
        <v>0</v>
      </c>
      <c r="V4290" s="1394">
        <f t="shared" si="1068"/>
        <v>0</v>
      </c>
      <c r="W4290" s="1394"/>
    </row>
    <row r="4291" spans="2:23" ht="30" customHeight="1">
      <c r="B4291" s="1407"/>
      <c r="C4291" s="1408" t="str">
        <f t="shared" si="1078"/>
        <v>Lintel Concrete</v>
      </c>
      <c r="D4291" s="1409">
        <f>D917</f>
        <v>0</v>
      </c>
      <c r="E4291" s="1409">
        <f t="shared" si="1080"/>
        <v>0</v>
      </c>
      <c r="F4291" s="1410">
        <f t="shared" si="1080"/>
        <v>0</v>
      </c>
      <c r="G4291" s="1410">
        <f>G917</f>
        <v>0</v>
      </c>
      <c r="H4291" s="1411">
        <f t="shared" si="1081"/>
        <v>0</v>
      </c>
      <c r="I4291" s="1406">
        <f t="shared" si="1070"/>
        <v>0</v>
      </c>
      <c r="M4291" s="110"/>
      <c r="Q4291" s="1394">
        <f>IFERROR(VLOOKUP(M4291,#REF!,3,0),0)</f>
        <v>0</v>
      </c>
      <c r="R4291" s="1394">
        <f t="shared" si="1075"/>
        <v>0</v>
      </c>
      <c r="S4291" s="1394">
        <f>IFERROR(VLOOKUP(M4291,#REF!,6,0),0)</f>
        <v>0</v>
      </c>
      <c r="T4291" s="1394">
        <f t="shared" ref="T4291:T4354" si="1082">R4291-S4291</f>
        <v>0</v>
      </c>
      <c r="U4291" s="1394">
        <f>IFERROR(VLOOKUP(M4291,#REF!,5,0),0)</f>
        <v>0</v>
      </c>
      <c r="V4291" s="1394">
        <f t="shared" ref="V4291:V4354" si="1083">O4291-U4291</f>
        <v>0</v>
      </c>
      <c r="W4291" s="1394"/>
    </row>
    <row r="4292" spans="2:23" ht="30" customHeight="1">
      <c r="B4292" s="1407"/>
      <c r="C4292" s="1415" t="str">
        <f t="shared" si="1078"/>
        <v>Main wall all alround</v>
      </c>
      <c r="D4292" s="1409">
        <f t="shared" ref="D4292:D4321" si="1084">D918*2</f>
        <v>2</v>
      </c>
      <c r="E4292" s="1409">
        <f t="shared" si="1080"/>
        <v>1</v>
      </c>
      <c r="F4292" s="1410">
        <f t="shared" si="1080"/>
        <v>86.29</v>
      </c>
      <c r="G4292" s="1410"/>
      <c r="H4292" s="1411">
        <f t="shared" si="1081"/>
        <v>0.15</v>
      </c>
      <c r="I4292" s="1406">
        <f t="shared" si="1070"/>
        <v>25.887</v>
      </c>
      <c r="M4292" s="110"/>
      <c r="Q4292" s="1394">
        <f>IFERROR(VLOOKUP(M4292,#REF!,3,0),0)</f>
        <v>0</v>
      </c>
      <c r="R4292" s="1394">
        <f t="shared" si="1075"/>
        <v>0</v>
      </c>
      <c r="S4292" s="1394">
        <f>IFERROR(VLOOKUP(M4292,#REF!,6,0),0)</f>
        <v>0</v>
      </c>
      <c r="T4292" s="1394">
        <f t="shared" si="1082"/>
        <v>0</v>
      </c>
      <c r="U4292" s="1394">
        <f>IFERROR(VLOOKUP(M4292,#REF!,5,0),0)</f>
        <v>0</v>
      </c>
      <c r="V4292" s="1394">
        <f t="shared" si="1083"/>
        <v>0</v>
      </c>
      <c r="W4292" s="1394"/>
    </row>
    <row r="4293" spans="2:23" ht="30" customHeight="1">
      <c r="B4293" s="1405"/>
      <c r="C4293" s="1408" t="str">
        <f t="shared" si="1078"/>
        <v>Lift Front Wall</v>
      </c>
      <c r="D4293" s="1409">
        <f t="shared" si="1084"/>
        <v>2</v>
      </c>
      <c r="E4293" s="1409">
        <f t="shared" si="1080"/>
        <v>1</v>
      </c>
      <c r="F4293" s="1410">
        <f t="shared" si="1080"/>
        <v>2.5350000000000001</v>
      </c>
      <c r="G4293" s="1410"/>
      <c r="H4293" s="1411">
        <f t="shared" si="1081"/>
        <v>0.15</v>
      </c>
      <c r="I4293" s="1406">
        <f t="shared" si="1070"/>
        <v>0.76050000000000006</v>
      </c>
      <c r="M4293" s="110"/>
      <c r="Q4293" s="1394">
        <f>IFERROR(VLOOKUP(M4293,#REF!,3,0),0)</f>
        <v>0</v>
      </c>
      <c r="R4293" s="1394">
        <f t="shared" si="1075"/>
        <v>0</v>
      </c>
      <c r="S4293" s="1394">
        <f>IFERROR(VLOOKUP(M4293,#REF!,6,0),0)</f>
        <v>0</v>
      </c>
      <c r="T4293" s="1394">
        <f t="shared" si="1082"/>
        <v>0</v>
      </c>
      <c r="U4293" s="1394">
        <f>IFERROR(VLOOKUP(M4293,#REF!,5,0),0)</f>
        <v>0</v>
      </c>
      <c r="V4293" s="1394">
        <f t="shared" si="1083"/>
        <v>0</v>
      </c>
      <c r="W4293" s="1394"/>
    </row>
    <row r="4294" spans="2:23" ht="30" customHeight="1">
      <c r="B4294" s="1407"/>
      <c r="C4294" s="1408" t="str">
        <f t="shared" si="1078"/>
        <v>Lift Side Wall</v>
      </c>
      <c r="D4294" s="1409">
        <f t="shared" si="1084"/>
        <v>2</v>
      </c>
      <c r="E4294" s="1409">
        <f t="shared" si="1080"/>
        <v>1</v>
      </c>
      <c r="F4294" s="1410">
        <f t="shared" si="1080"/>
        <v>2.33</v>
      </c>
      <c r="G4294" s="1410"/>
      <c r="H4294" s="1411">
        <f t="shared" si="1081"/>
        <v>0.15</v>
      </c>
      <c r="I4294" s="1406">
        <f t="shared" si="1070"/>
        <v>0.69899999999999995</v>
      </c>
      <c r="M4294" s="110"/>
      <c r="Q4294" s="1394">
        <f>IFERROR(VLOOKUP(M4294,#REF!,3,0),0)</f>
        <v>0</v>
      </c>
      <c r="R4294" s="1394">
        <f t="shared" si="1075"/>
        <v>0</v>
      </c>
      <c r="S4294" s="1394">
        <f>IFERROR(VLOOKUP(M4294,#REF!,6,0),0)</f>
        <v>0</v>
      </c>
      <c r="T4294" s="1394">
        <f t="shared" si="1082"/>
        <v>0</v>
      </c>
      <c r="U4294" s="1394">
        <f>IFERROR(VLOOKUP(M4294,#REF!,5,0),0)</f>
        <v>0</v>
      </c>
      <c r="V4294" s="1394">
        <f t="shared" si="1083"/>
        <v>0</v>
      </c>
      <c r="W4294" s="1394"/>
    </row>
    <row r="4295" spans="2:23" ht="30" customHeight="1">
      <c r="B4295" s="1407"/>
      <c r="C4295" s="1408" t="str">
        <f t="shared" si="1078"/>
        <v>Cross wall between Stair case lobby / Hall</v>
      </c>
      <c r="D4295" s="1409">
        <f t="shared" si="1084"/>
        <v>2</v>
      </c>
      <c r="E4295" s="1409">
        <f t="shared" si="1080"/>
        <v>1</v>
      </c>
      <c r="F4295" s="1410">
        <f t="shared" si="1080"/>
        <v>7.1150000000000002</v>
      </c>
      <c r="G4295" s="1410"/>
      <c r="H4295" s="1411">
        <f t="shared" si="1081"/>
        <v>0.15</v>
      </c>
      <c r="I4295" s="1406">
        <f t="shared" ref="I4295:I4358" si="1085">PRODUCT(D4295:H4295)</f>
        <v>2.1345000000000001</v>
      </c>
      <c r="M4295" s="110"/>
      <c r="Q4295" s="1394">
        <f>IFERROR(VLOOKUP(M4295,#REF!,3,0),0)</f>
        <v>0</v>
      </c>
      <c r="R4295" s="1394">
        <f t="shared" si="1075"/>
        <v>0</v>
      </c>
      <c r="S4295" s="1394">
        <f>IFERROR(VLOOKUP(M4295,#REF!,6,0),0)</f>
        <v>0</v>
      </c>
      <c r="T4295" s="1394">
        <f t="shared" si="1082"/>
        <v>0</v>
      </c>
      <c r="U4295" s="1394">
        <f>IFERROR(VLOOKUP(M4295,#REF!,5,0),0)</f>
        <v>0</v>
      </c>
      <c r="V4295" s="1394">
        <f t="shared" si="1083"/>
        <v>0</v>
      </c>
      <c r="W4295" s="1394"/>
    </row>
    <row r="4296" spans="2:23" ht="30" customHeight="1">
      <c r="B4296" s="1407"/>
      <c r="C4296" s="1408" t="str">
        <f t="shared" si="1078"/>
        <v>Women Rest Room</v>
      </c>
      <c r="D4296" s="1409">
        <f t="shared" si="1084"/>
        <v>0</v>
      </c>
      <c r="E4296" s="1409">
        <f t="shared" si="1080"/>
        <v>0</v>
      </c>
      <c r="F4296" s="1410">
        <f t="shared" si="1080"/>
        <v>0</v>
      </c>
      <c r="G4296" s="1410"/>
      <c r="H4296" s="1411">
        <f t="shared" si="1081"/>
        <v>0</v>
      </c>
      <c r="I4296" s="1406">
        <f t="shared" si="1085"/>
        <v>0</v>
      </c>
      <c r="M4296" s="110"/>
      <c r="Q4296" s="1394">
        <f>IFERROR(VLOOKUP(M4296,#REF!,3,0),0)</f>
        <v>0</v>
      </c>
      <c r="R4296" s="1394">
        <f t="shared" si="1075"/>
        <v>0</v>
      </c>
      <c r="S4296" s="1394">
        <f>IFERROR(VLOOKUP(M4296,#REF!,6,0),0)</f>
        <v>0</v>
      </c>
      <c r="T4296" s="1394">
        <f t="shared" si="1082"/>
        <v>0</v>
      </c>
      <c r="U4296" s="1394">
        <f>IFERROR(VLOOKUP(M4296,#REF!,5,0),0)</f>
        <v>0</v>
      </c>
      <c r="V4296" s="1394">
        <f t="shared" si="1083"/>
        <v>0</v>
      </c>
      <c r="W4296" s="1394"/>
    </row>
    <row r="4297" spans="2:23" ht="30" customHeight="1">
      <c r="B4297" s="1407"/>
      <c r="C4297" s="1408" t="str">
        <f t="shared" si="1078"/>
        <v>Cross wall between Women Rest Room  / Toilet /Hall</v>
      </c>
      <c r="D4297" s="1409">
        <f t="shared" si="1084"/>
        <v>2</v>
      </c>
      <c r="E4297" s="1409">
        <f t="shared" ref="E4297:F4316" si="1086">E923</f>
        <v>1</v>
      </c>
      <c r="F4297" s="1410">
        <f t="shared" si="1086"/>
        <v>4</v>
      </c>
      <c r="G4297" s="1410"/>
      <c r="H4297" s="1411">
        <f t="shared" si="1081"/>
        <v>0.15</v>
      </c>
      <c r="I4297" s="1406">
        <f t="shared" si="1085"/>
        <v>1.2</v>
      </c>
      <c r="M4297" s="110"/>
      <c r="Q4297" s="1394">
        <f>IFERROR(VLOOKUP(M4297,#REF!,3,0),0)</f>
        <v>0</v>
      </c>
      <c r="R4297" s="1394">
        <f t="shared" si="1075"/>
        <v>0</v>
      </c>
      <c r="S4297" s="1394">
        <f>IFERROR(VLOOKUP(M4297,#REF!,6,0),0)</f>
        <v>0</v>
      </c>
      <c r="T4297" s="1394">
        <f t="shared" si="1082"/>
        <v>0</v>
      </c>
      <c r="U4297" s="1394">
        <f>IFERROR(VLOOKUP(M4297,#REF!,5,0),0)</f>
        <v>0</v>
      </c>
      <c r="V4297" s="1394">
        <f t="shared" si="1083"/>
        <v>0</v>
      </c>
      <c r="W4297" s="1394"/>
    </row>
    <row r="4298" spans="2:23" ht="30" customHeight="1">
      <c r="B4298" s="1407"/>
      <c r="C4298" s="1408" t="str">
        <f t="shared" si="1078"/>
        <v>Piller</v>
      </c>
      <c r="D4298" s="1409">
        <f t="shared" si="1084"/>
        <v>2</v>
      </c>
      <c r="E4298" s="1409">
        <f t="shared" si="1086"/>
        <v>1</v>
      </c>
      <c r="F4298" s="1410">
        <f t="shared" si="1086"/>
        <v>0.23</v>
      </c>
      <c r="G4298" s="1410"/>
      <c r="H4298" s="1411">
        <f t="shared" si="1081"/>
        <v>0.15</v>
      </c>
      <c r="I4298" s="1406">
        <f t="shared" si="1085"/>
        <v>6.9000000000000006E-2</v>
      </c>
      <c r="M4298" s="110"/>
      <c r="Q4298" s="1394">
        <f>IFERROR(VLOOKUP(M4298,#REF!,3,0),0)</f>
        <v>0</v>
      </c>
      <c r="R4298" s="1394">
        <f t="shared" si="1075"/>
        <v>0</v>
      </c>
      <c r="S4298" s="1394">
        <f>IFERROR(VLOOKUP(M4298,#REF!,6,0),0)</f>
        <v>0</v>
      </c>
      <c r="T4298" s="1394">
        <f t="shared" si="1082"/>
        <v>0</v>
      </c>
      <c r="U4298" s="1394">
        <f>IFERROR(VLOOKUP(M4298,#REF!,5,0),0)</f>
        <v>0</v>
      </c>
      <c r="V4298" s="1394">
        <f t="shared" si="1083"/>
        <v>0</v>
      </c>
      <c r="W4298" s="1394"/>
    </row>
    <row r="4299" spans="2:23" ht="30" customHeight="1">
      <c r="B4299" s="1407"/>
      <c r="C4299" s="1408" t="str">
        <f t="shared" si="1078"/>
        <v>Cross wall between Women Rest Room  / Lift Stair</v>
      </c>
      <c r="D4299" s="1409">
        <f t="shared" si="1084"/>
        <v>2</v>
      </c>
      <c r="E4299" s="1409">
        <f t="shared" si="1086"/>
        <v>1</v>
      </c>
      <c r="F4299" s="1410">
        <f t="shared" si="1086"/>
        <v>5.53</v>
      </c>
      <c r="G4299" s="1410"/>
      <c r="H4299" s="1411">
        <f t="shared" si="1081"/>
        <v>0.15</v>
      </c>
      <c r="I4299" s="1406">
        <f t="shared" si="1085"/>
        <v>1.659</v>
      </c>
      <c r="M4299" s="110"/>
      <c r="Q4299" s="1394">
        <f>IFERROR(VLOOKUP(M4299,#REF!,3,0),0)</f>
        <v>0</v>
      </c>
      <c r="R4299" s="1394">
        <f t="shared" si="1075"/>
        <v>0</v>
      </c>
      <c r="S4299" s="1394">
        <f>IFERROR(VLOOKUP(M4299,#REF!,6,0),0)</f>
        <v>0</v>
      </c>
      <c r="T4299" s="1394">
        <f t="shared" si="1082"/>
        <v>0</v>
      </c>
      <c r="U4299" s="1394">
        <f>IFERROR(VLOOKUP(M4299,#REF!,5,0),0)</f>
        <v>0</v>
      </c>
      <c r="V4299" s="1394">
        <f t="shared" si="1083"/>
        <v>0</v>
      </c>
      <c r="W4299" s="1394"/>
    </row>
    <row r="4300" spans="2:23" ht="30" customHeight="1">
      <c r="B4300" s="1407"/>
      <c r="C4300" s="1408" t="str">
        <f t="shared" si="1078"/>
        <v>Writer</v>
      </c>
      <c r="D4300" s="1409">
        <f t="shared" si="1084"/>
        <v>0</v>
      </c>
      <c r="E4300" s="1409">
        <f t="shared" si="1086"/>
        <v>0</v>
      </c>
      <c r="F4300" s="1410">
        <f t="shared" si="1086"/>
        <v>0</v>
      </c>
      <c r="G4300" s="1410"/>
      <c r="H4300" s="1411">
        <f t="shared" si="1081"/>
        <v>0</v>
      </c>
      <c r="I4300" s="1406">
        <f t="shared" si="1085"/>
        <v>0</v>
      </c>
      <c r="M4300" s="110"/>
      <c r="Q4300" s="1394">
        <f>IFERROR(VLOOKUP(M4300,#REF!,3,0),0)</f>
        <v>0</v>
      </c>
      <c r="R4300" s="1394">
        <f t="shared" si="1075"/>
        <v>0</v>
      </c>
      <c r="S4300" s="1394">
        <f>IFERROR(VLOOKUP(M4300,#REF!,6,0),0)</f>
        <v>0</v>
      </c>
      <c r="T4300" s="1394">
        <f t="shared" si="1082"/>
        <v>0</v>
      </c>
      <c r="U4300" s="1394">
        <f>IFERROR(VLOOKUP(M4300,#REF!,5,0),0)</f>
        <v>0</v>
      </c>
      <c r="V4300" s="1394">
        <f t="shared" si="1083"/>
        <v>0</v>
      </c>
      <c r="W4300" s="1394"/>
    </row>
    <row r="4301" spans="2:23" ht="30" customHeight="1">
      <c r="B4301" s="1407"/>
      <c r="C4301" s="1408" t="str">
        <f t="shared" si="1078"/>
        <v>Cross wall between  Writer / Stair case lobby</v>
      </c>
      <c r="D4301" s="1409">
        <f t="shared" si="1084"/>
        <v>2</v>
      </c>
      <c r="E4301" s="1409">
        <f t="shared" si="1086"/>
        <v>1</v>
      </c>
      <c r="F4301" s="1410">
        <f t="shared" si="1086"/>
        <v>5.53</v>
      </c>
      <c r="G4301" s="1410"/>
      <c r="H4301" s="1411">
        <f t="shared" si="1081"/>
        <v>0.15</v>
      </c>
      <c r="I4301" s="1406">
        <f t="shared" si="1085"/>
        <v>1.659</v>
      </c>
      <c r="M4301" s="110"/>
      <c r="Q4301" s="1394">
        <f>IFERROR(VLOOKUP(M4301,#REF!,3,0),0)</f>
        <v>0</v>
      </c>
      <c r="R4301" s="1394">
        <f t="shared" si="1075"/>
        <v>0</v>
      </c>
      <c r="S4301" s="1394">
        <f>IFERROR(VLOOKUP(M4301,#REF!,6,0),0)</f>
        <v>0</v>
      </c>
      <c r="T4301" s="1394">
        <f t="shared" si="1082"/>
        <v>0</v>
      </c>
      <c r="U4301" s="1394">
        <f>IFERROR(VLOOKUP(M4301,#REF!,5,0),0)</f>
        <v>0</v>
      </c>
      <c r="V4301" s="1394">
        <f t="shared" si="1083"/>
        <v>0</v>
      </c>
      <c r="W4301" s="1394"/>
    </row>
    <row r="4302" spans="2:23" ht="30" customHeight="1">
      <c r="B4302" s="1407"/>
      <c r="C4302" s="1408" t="str">
        <f t="shared" si="1078"/>
        <v>Cross wall between  Writer / Hall</v>
      </c>
      <c r="D4302" s="1409">
        <f t="shared" si="1084"/>
        <v>2</v>
      </c>
      <c r="E4302" s="1409">
        <f t="shared" si="1086"/>
        <v>1</v>
      </c>
      <c r="F4302" s="1410">
        <f t="shared" si="1086"/>
        <v>3.4550000000000001</v>
      </c>
      <c r="G4302" s="1410"/>
      <c r="H4302" s="1411">
        <f t="shared" si="1081"/>
        <v>0.15</v>
      </c>
      <c r="I4302" s="1406">
        <f t="shared" si="1085"/>
        <v>1.0365</v>
      </c>
      <c r="M4302" s="110"/>
      <c r="Q4302" s="1394">
        <f>IFERROR(VLOOKUP(M4302,#REF!,3,0),0)</f>
        <v>0</v>
      </c>
      <c r="R4302" s="1394">
        <f t="shared" si="1075"/>
        <v>0</v>
      </c>
      <c r="S4302" s="1394">
        <f>IFERROR(VLOOKUP(M4302,#REF!,6,0),0)</f>
        <v>0</v>
      </c>
      <c r="T4302" s="1394">
        <f t="shared" si="1082"/>
        <v>0</v>
      </c>
      <c r="U4302" s="1394">
        <f>IFERROR(VLOOKUP(M4302,#REF!,5,0),0)</f>
        <v>0</v>
      </c>
      <c r="V4302" s="1394">
        <f t="shared" si="1083"/>
        <v>0</v>
      </c>
      <c r="W4302" s="1394"/>
    </row>
    <row r="4303" spans="2:23" ht="30" customHeight="1">
      <c r="B4303" s="1407"/>
      <c r="C4303" s="1408" t="str">
        <f t="shared" si="1078"/>
        <v>C/B Piller</v>
      </c>
      <c r="D4303" s="1409">
        <f t="shared" si="1084"/>
        <v>2</v>
      </c>
      <c r="E4303" s="1409">
        <f t="shared" si="1086"/>
        <v>1</v>
      </c>
      <c r="F4303" s="1410">
        <f t="shared" si="1086"/>
        <v>0.71499999999999997</v>
      </c>
      <c r="G4303" s="1410"/>
      <c r="H4303" s="1411">
        <f t="shared" si="1081"/>
        <v>0.15</v>
      </c>
      <c r="I4303" s="1406">
        <f t="shared" si="1085"/>
        <v>0.2145</v>
      </c>
      <c r="M4303" s="110"/>
      <c r="Q4303" s="1394">
        <f>IFERROR(VLOOKUP(M4303,#REF!,3,0),0)</f>
        <v>0</v>
      </c>
      <c r="R4303" s="1394">
        <f t="shared" si="1075"/>
        <v>0</v>
      </c>
      <c r="S4303" s="1394">
        <f>IFERROR(VLOOKUP(M4303,#REF!,6,0),0)</f>
        <v>0</v>
      </c>
      <c r="T4303" s="1394">
        <f t="shared" si="1082"/>
        <v>0</v>
      </c>
      <c r="U4303" s="1394">
        <f>IFERROR(VLOOKUP(M4303,#REF!,5,0),0)</f>
        <v>0</v>
      </c>
      <c r="V4303" s="1394">
        <f t="shared" si="1083"/>
        <v>0</v>
      </c>
      <c r="W4303" s="1394"/>
    </row>
    <row r="4304" spans="2:23" ht="30" customHeight="1">
      <c r="B4304" s="1407"/>
      <c r="C4304" s="1408" t="str">
        <f t="shared" si="1078"/>
        <v>Ins crime</v>
      </c>
      <c r="D4304" s="1409">
        <f t="shared" si="1084"/>
        <v>0</v>
      </c>
      <c r="E4304" s="1409">
        <f t="shared" si="1086"/>
        <v>0</v>
      </c>
      <c r="F4304" s="1410">
        <f t="shared" si="1086"/>
        <v>0</v>
      </c>
      <c r="G4304" s="1410"/>
      <c r="H4304" s="1411">
        <f t="shared" si="1081"/>
        <v>0</v>
      </c>
      <c r="I4304" s="1406">
        <f t="shared" si="1085"/>
        <v>0</v>
      </c>
      <c r="M4304" s="110"/>
      <c r="Q4304" s="1394">
        <f>IFERROR(VLOOKUP(M4304,#REF!,3,0),0)</f>
        <v>0</v>
      </c>
      <c r="R4304" s="1394">
        <f t="shared" si="1075"/>
        <v>0</v>
      </c>
      <c r="S4304" s="1394">
        <f>IFERROR(VLOOKUP(M4304,#REF!,6,0),0)</f>
        <v>0</v>
      </c>
      <c r="T4304" s="1394">
        <f t="shared" si="1082"/>
        <v>0</v>
      </c>
      <c r="U4304" s="1394">
        <f>IFERROR(VLOOKUP(M4304,#REF!,5,0),0)</f>
        <v>0</v>
      </c>
      <c r="V4304" s="1394">
        <f t="shared" si="1083"/>
        <v>0</v>
      </c>
      <c r="W4304" s="1394"/>
    </row>
    <row r="4305" spans="2:23" ht="30" customHeight="1">
      <c r="B4305" s="1407"/>
      <c r="C4305" s="1408" t="str">
        <f t="shared" si="1078"/>
        <v>Cross wall between  Ins crime / Hall , Toilet</v>
      </c>
      <c r="D4305" s="1409">
        <f t="shared" si="1084"/>
        <v>2</v>
      </c>
      <c r="E4305" s="1409">
        <f t="shared" si="1086"/>
        <v>1</v>
      </c>
      <c r="F4305" s="1410">
        <f t="shared" si="1086"/>
        <v>4</v>
      </c>
      <c r="G4305" s="1410"/>
      <c r="H4305" s="1411">
        <f t="shared" si="1081"/>
        <v>0.15</v>
      </c>
      <c r="I4305" s="1406">
        <f t="shared" si="1085"/>
        <v>1.2</v>
      </c>
      <c r="M4305" s="110"/>
      <c r="Q4305" s="1394">
        <f>IFERROR(VLOOKUP(M4305,#REF!,3,0),0)</f>
        <v>0</v>
      </c>
      <c r="R4305" s="1394">
        <f t="shared" si="1075"/>
        <v>0</v>
      </c>
      <c r="S4305" s="1394">
        <f>IFERROR(VLOOKUP(M4305,#REF!,6,0),0)</f>
        <v>0</v>
      </c>
      <c r="T4305" s="1394">
        <f t="shared" si="1082"/>
        <v>0</v>
      </c>
      <c r="U4305" s="1394">
        <f>IFERROR(VLOOKUP(M4305,#REF!,5,0),0)</f>
        <v>0</v>
      </c>
      <c r="V4305" s="1394">
        <f t="shared" si="1083"/>
        <v>0</v>
      </c>
      <c r="W4305" s="1394"/>
    </row>
    <row r="4306" spans="2:23" ht="30" customHeight="1">
      <c r="B4306" s="1407"/>
      <c r="C4306" s="1408" t="str">
        <f t="shared" si="1078"/>
        <v>Cross wall between  Ins crime  / Hall , Toilet Piller</v>
      </c>
      <c r="D4306" s="1409">
        <f t="shared" si="1084"/>
        <v>2</v>
      </c>
      <c r="E4306" s="1409">
        <f t="shared" si="1086"/>
        <v>1</v>
      </c>
      <c r="F4306" s="1410">
        <f t="shared" si="1086"/>
        <v>0.43</v>
      </c>
      <c r="G4306" s="1410"/>
      <c r="H4306" s="1411">
        <f t="shared" si="1081"/>
        <v>0.15</v>
      </c>
      <c r="I4306" s="1406">
        <f t="shared" si="1085"/>
        <v>0.129</v>
      </c>
      <c r="M4306" s="110"/>
      <c r="Q4306" s="1394">
        <f>IFERROR(VLOOKUP(M4306,#REF!,3,0),0)</f>
        <v>0</v>
      </c>
      <c r="R4306" s="1394">
        <f t="shared" si="1075"/>
        <v>0</v>
      </c>
      <c r="S4306" s="1394">
        <f>IFERROR(VLOOKUP(M4306,#REF!,6,0),0)</f>
        <v>0</v>
      </c>
      <c r="T4306" s="1394">
        <f t="shared" si="1082"/>
        <v>0</v>
      </c>
      <c r="U4306" s="1394">
        <f>IFERROR(VLOOKUP(M4306,#REF!,5,0),0)</f>
        <v>0</v>
      </c>
      <c r="V4306" s="1394">
        <f t="shared" si="1083"/>
        <v>0</v>
      </c>
      <c r="W4306" s="1394"/>
    </row>
    <row r="4307" spans="2:23" ht="30" customHeight="1">
      <c r="B4307" s="1407"/>
      <c r="C4307" s="1408" t="str">
        <f t="shared" si="1078"/>
        <v>Lock up women</v>
      </c>
      <c r="D4307" s="1409">
        <f t="shared" si="1084"/>
        <v>0</v>
      </c>
      <c r="E4307" s="1409">
        <f t="shared" si="1086"/>
        <v>0</v>
      </c>
      <c r="F4307" s="1410">
        <f t="shared" si="1086"/>
        <v>0</v>
      </c>
      <c r="G4307" s="1410"/>
      <c r="H4307" s="1411">
        <f t="shared" si="1081"/>
        <v>0</v>
      </c>
      <c r="I4307" s="1406">
        <f t="shared" si="1085"/>
        <v>0</v>
      </c>
      <c r="M4307" s="110"/>
      <c r="Q4307" s="1394">
        <f>IFERROR(VLOOKUP(M4307,#REF!,3,0),0)</f>
        <v>0</v>
      </c>
      <c r="R4307" s="1394">
        <f t="shared" si="1075"/>
        <v>0</v>
      </c>
      <c r="S4307" s="1394">
        <f>IFERROR(VLOOKUP(M4307,#REF!,6,0),0)</f>
        <v>0</v>
      </c>
      <c r="T4307" s="1394">
        <f t="shared" si="1082"/>
        <v>0</v>
      </c>
      <c r="U4307" s="1394">
        <f>IFERROR(VLOOKUP(M4307,#REF!,5,0),0)</f>
        <v>0</v>
      </c>
      <c r="V4307" s="1394">
        <f t="shared" si="1083"/>
        <v>0</v>
      </c>
      <c r="W4307" s="1394"/>
    </row>
    <row r="4308" spans="2:23" ht="30" customHeight="1">
      <c r="B4308" s="1407"/>
      <c r="C4308" s="1408" t="str">
        <f t="shared" si="1078"/>
        <v>Cross wall between Lock up women / Hall</v>
      </c>
      <c r="D4308" s="1409">
        <f t="shared" si="1084"/>
        <v>2</v>
      </c>
      <c r="E4308" s="1409">
        <f t="shared" si="1086"/>
        <v>1</v>
      </c>
      <c r="F4308" s="1410">
        <f t="shared" si="1086"/>
        <v>2.73</v>
      </c>
      <c r="G4308" s="1410"/>
      <c r="H4308" s="1411">
        <f t="shared" si="1081"/>
        <v>0.15</v>
      </c>
      <c r="I4308" s="1406">
        <f t="shared" si="1085"/>
        <v>0.81899999999999995</v>
      </c>
      <c r="M4308" s="110"/>
      <c r="Q4308" s="1394">
        <f>IFERROR(VLOOKUP(M4308,#REF!,3,0),0)</f>
        <v>0</v>
      </c>
      <c r="R4308" s="1394">
        <f t="shared" si="1075"/>
        <v>0</v>
      </c>
      <c r="S4308" s="1394">
        <f>IFERROR(VLOOKUP(M4308,#REF!,6,0),0)</f>
        <v>0</v>
      </c>
      <c r="T4308" s="1394">
        <f t="shared" si="1082"/>
        <v>0</v>
      </c>
      <c r="U4308" s="1394">
        <f>IFERROR(VLOOKUP(M4308,#REF!,5,0),0)</f>
        <v>0</v>
      </c>
      <c r="V4308" s="1394">
        <f t="shared" si="1083"/>
        <v>0</v>
      </c>
      <c r="W4308" s="1394"/>
    </row>
    <row r="4309" spans="2:23" ht="30" customHeight="1">
      <c r="B4309" s="1407"/>
      <c r="C4309" s="1408" t="str">
        <f t="shared" ref="C4309:C4340" si="1087">C935</f>
        <v>Cross wall between Lock up women / Compute room</v>
      </c>
      <c r="D4309" s="1409">
        <f t="shared" si="1084"/>
        <v>2</v>
      </c>
      <c r="E4309" s="1409">
        <f t="shared" si="1086"/>
        <v>1</v>
      </c>
      <c r="F4309" s="1410">
        <f t="shared" si="1086"/>
        <v>5.8449999999999998</v>
      </c>
      <c r="G4309" s="1410"/>
      <c r="H4309" s="1411">
        <f t="shared" ref="H4309:H4340" si="1088">H935</f>
        <v>0.15</v>
      </c>
      <c r="I4309" s="1406">
        <f t="shared" si="1085"/>
        <v>1.7534999999999998</v>
      </c>
      <c r="M4309" s="110"/>
      <c r="Q4309" s="1394">
        <f>IFERROR(VLOOKUP(M4309,#REF!,3,0),0)</f>
        <v>0</v>
      </c>
      <c r="R4309" s="1394">
        <f t="shared" si="1075"/>
        <v>0</v>
      </c>
      <c r="S4309" s="1394">
        <f>IFERROR(VLOOKUP(M4309,#REF!,6,0),0)</f>
        <v>0</v>
      </c>
      <c r="T4309" s="1394">
        <f t="shared" si="1082"/>
        <v>0</v>
      </c>
      <c r="U4309" s="1394">
        <f>IFERROR(VLOOKUP(M4309,#REF!,5,0),0)</f>
        <v>0</v>
      </c>
      <c r="V4309" s="1394">
        <f t="shared" si="1083"/>
        <v>0</v>
      </c>
      <c r="W4309" s="1394"/>
    </row>
    <row r="4310" spans="2:23" ht="30" customHeight="1">
      <c r="B4310" s="1407"/>
      <c r="C4310" s="1408" t="str">
        <f t="shared" si="1087"/>
        <v>Lock up men</v>
      </c>
      <c r="D4310" s="1409">
        <f t="shared" si="1084"/>
        <v>0</v>
      </c>
      <c r="E4310" s="1409">
        <f t="shared" si="1086"/>
        <v>0</v>
      </c>
      <c r="F4310" s="1410">
        <f t="shared" si="1086"/>
        <v>0</v>
      </c>
      <c r="G4310" s="1410"/>
      <c r="H4310" s="1411">
        <f t="shared" si="1088"/>
        <v>0</v>
      </c>
      <c r="I4310" s="1406">
        <f t="shared" si="1085"/>
        <v>0</v>
      </c>
      <c r="M4310" s="110"/>
      <c r="Q4310" s="1394">
        <f>IFERROR(VLOOKUP(M4310,#REF!,3,0),0)</f>
        <v>0</v>
      </c>
      <c r="R4310" s="1394">
        <f t="shared" si="1075"/>
        <v>0</v>
      </c>
      <c r="S4310" s="1394">
        <f>IFERROR(VLOOKUP(M4310,#REF!,6,0),0)</f>
        <v>0</v>
      </c>
      <c r="T4310" s="1394">
        <f t="shared" si="1082"/>
        <v>0</v>
      </c>
      <c r="U4310" s="1394">
        <f>IFERROR(VLOOKUP(M4310,#REF!,5,0),0)</f>
        <v>0</v>
      </c>
      <c r="V4310" s="1394">
        <f t="shared" si="1083"/>
        <v>0</v>
      </c>
      <c r="W4310" s="1394"/>
    </row>
    <row r="4311" spans="2:23" ht="30" customHeight="1">
      <c r="B4311" s="1407"/>
      <c r="C4311" s="1408" t="str">
        <f t="shared" si="1087"/>
        <v>Cross wall between Lock up men / Hall</v>
      </c>
      <c r="D4311" s="1409">
        <f t="shared" si="1084"/>
        <v>2</v>
      </c>
      <c r="E4311" s="1409">
        <f t="shared" si="1086"/>
        <v>1</v>
      </c>
      <c r="F4311" s="1410">
        <f t="shared" si="1086"/>
        <v>2.96</v>
      </c>
      <c r="G4311" s="1410"/>
      <c r="H4311" s="1411">
        <f t="shared" si="1088"/>
        <v>0.15</v>
      </c>
      <c r="I4311" s="1406">
        <f t="shared" si="1085"/>
        <v>0.88800000000000001</v>
      </c>
      <c r="M4311" s="110"/>
      <c r="Q4311" s="1394">
        <f>IFERROR(VLOOKUP(M4311,#REF!,3,0),0)</f>
        <v>0</v>
      </c>
      <c r="R4311" s="1394">
        <f t="shared" si="1075"/>
        <v>0</v>
      </c>
      <c r="S4311" s="1394">
        <f>IFERROR(VLOOKUP(M4311,#REF!,6,0),0)</f>
        <v>0</v>
      </c>
      <c r="T4311" s="1394">
        <f t="shared" si="1082"/>
        <v>0</v>
      </c>
      <c r="U4311" s="1394">
        <f>IFERROR(VLOOKUP(M4311,#REF!,5,0),0)</f>
        <v>0</v>
      </c>
      <c r="V4311" s="1394">
        <f t="shared" si="1083"/>
        <v>0</v>
      </c>
      <c r="W4311" s="1394"/>
    </row>
    <row r="4312" spans="2:23" ht="30" customHeight="1">
      <c r="B4312" s="1407"/>
      <c r="C4312" s="1408" t="str">
        <f t="shared" si="1087"/>
        <v>Cross wall between Lock up men / Toilet</v>
      </c>
      <c r="D4312" s="1409">
        <f t="shared" si="1084"/>
        <v>2</v>
      </c>
      <c r="E4312" s="1409">
        <f t="shared" si="1086"/>
        <v>1</v>
      </c>
      <c r="F4312" s="1410">
        <f t="shared" si="1086"/>
        <v>5.8449999999999998</v>
      </c>
      <c r="G4312" s="1410"/>
      <c r="H4312" s="1411">
        <f t="shared" si="1088"/>
        <v>0.15</v>
      </c>
      <c r="I4312" s="1406">
        <f t="shared" si="1085"/>
        <v>1.7534999999999998</v>
      </c>
      <c r="M4312" s="110"/>
      <c r="Q4312" s="1394">
        <f>IFERROR(VLOOKUP(M4312,#REF!,3,0),0)</f>
        <v>0</v>
      </c>
      <c r="R4312" s="1394">
        <f t="shared" si="1075"/>
        <v>0</v>
      </c>
      <c r="S4312" s="1394">
        <f>IFERROR(VLOOKUP(M4312,#REF!,6,0),0)</f>
        <v>0</v>
      </c>
      <c r="T4312" s="1394">
        <f t="shared" si="1082"/>
        <v>0</v>
      </c>
      <c r="U4312" s="1394">
        <f>IFERROR(VLOOKUP(M4312,#REF!,5,0),0)</f>
        <v>0</v>
      </c>
      <c r="V4312" s="1394">
        <f t="shared" si="1083"/>
        <v>0</v>
      </c>
      <c r="W4312" s="1394"/>
    </row>
    <row r="4313" spans="2:23" ht="30" customHeight="1">
      <c r="B4313" s="1407"/>
      <c r="C4313" s="1408" t="str">
        <f t="shared" si="1087"/>
        <v>Compute room</v>
      </c>
      <c r="D4313" s="1409">
        <f t="shared" si="1084"/>
        <v>0</v>
      </c>
      <c r="E4313" s="1409">
        <f t="shared" si="1086"/>
        <v>0</v>
      </c>
      <c r="F4313" s="1410">
        <f t="shared" si="1086"/>
        <v>0</v>
      </c>
      <c r="G4313" s="1410"/>
      <c r="H4313" s="1411">
        <f t="shared" si="1088"/>
        <v>0</v>
      </c>
      <c r="I4313" s="1406">
        <f t="shared" si="1085"/>
        <v>0</v>
      </c>
      <c r="M4313" s="110"/>
      <c r="Q4313" s="1394">
        <f>IFERROR(VLOOKUP(M4313,#REF!,3,0),0)</f>
        <v>0</v>
      </c>
      <c r="R4313" s="1394">
        <f t="shared" si="1075"/>
        <v>0</v>
      </c>
      <c r="S4313" s="1394">
        <f>IFERROR(VLOOKUP(M4313,#REF!,6,0),0)</f>
        <v>0</v>
      </c>
      <c r="T4313" s="1394">
        <f t="shared" si="1082"/>
        <v>0</v>
      </c>
      <c r="U4313" s="1394">
        <f>IFERROR(VLOOKUP(M4313,#REF!,5,0),0)</f>
        <v>0</v>
      </c>
      <c r="V4313" s="1394">
        <f t="shared" si="1083"/>
        <v>0</v>
      </c>
      <c r="W4313" s="1394"/>
    </row>
    <row r="4314" spans="2:23" ht="30" customHeight="1">
      <c r="B4314" s="1407"/>
      <c r="C4314" s="1408" t="str">
        <f t="shared" si="1087"/>
        <v>Cross wall between Compute room  and Toilet</v>
      </c>
      <c r="D4314" s="1409">
        <f t="shared" si="1084"/>
        <v>2</v>
      </c>
      <c r="E4314" s="1409">
        <f t="shared" si="1086"/>
        <v>1</v>
      </c>
      <c r="F4314" s="1410">
        <f t="shared" si="1086"/>
        <v>1.6850000000000001</v>
      </c>
      <c r="G4314" s="1410"/>
      <c r="H4314" s="1411">
        <f t="shared" si="1088"/>
        <v>0.15</v>
      </c>
      <c r="I4314" s="1406">
        <f t="shared" si="1085"/>
        <v>0.50549999999999995</v>
      </c>
      <c r="M4314" s="110"/>
      <c r="Q4314" s="1394">
        <f>IFERROR(VLOOKUP(M4314,#REF!,3,0),0)</f>
        <v>0</v>
      </c>
      <c r="R4314" s="1394">
        <f t="shared" si="1075"/>
        <v>0</v>
      </c>
      <c r="S4314" s="1394">
        <f>IFERROR(VLOOKUP(M4314,#REF!,6,0),0)</f>
        <v>0</v>
      </c>
      <c r="T4314" s="1394">
        <f t="shared" si="1082"/>
        <v>0</v>
      </c>
      <c r="U4314" s="1394">
        <f>IFERROR(VLOOKUP(M4314,#REF!,5,0),0)</f>
        <v>0</v>
      </c>
      <c r="V4314" s="1394">
        <f t="shared" si="1083"/>
        <v>0</v>
      </c>
      <c r="W4314" s="1394"/>
    </row>
    <row r="4315" spans="2:23" ht="30" customHeight="1">
      <c r="B4315" s="1407"/>
      <c r="C4315" s="1408" t="str">
        <f t="shared" si="1087"/>
        <v>Cross wall between Compute room / SI</v>
      </c>
      <c r="D4315" s="1409">
        <f t="shared" si="1084"/>
        <v>2</v>
      </c>
      <c r="E4315" s="1409">
        <f t="shared" si="1086"/>
        <v>1</v>
      </c>
      <c r="F4315" s="1410">
        <f t="shared" si="1086"/>
        <v>1.2</v>
      </c>
      <c r="G4315" s="1410"/>
      <c r="H4315" s="1411">
        <f t="shared" si="1088"/>
        <v>0.15</v>
      </c>
      <c r="I4315" s="1406">
        <f t="shared" si="1085"/>
        <v>0.36</v>
      </c>
      <c r="M4315" s="110"/>
      <c r="Q4315" s="1394">
        <f>IFERROR(VLOOKUP(M4315,#REF!,3,0),0)</f>
        <v>0</v>
      </c>
      <c r="R4315" s="1394">
        <f t="shared" si="1075"/>
        <v>0</v>
      </c>
      <c r="S4315" s="1394">
        <f>IFERROR(VLOOKUP(M4315,#REF!,6,0),0)</f>
        <v>0</v>
      </c>
      <c r="T4315" s="1394">
        <f t="shared" si="1082"/>
        <v>0</v>
      </c>
      <c r="U4315" s="1394">
        <f>IFERROR(VLOOKUP(M4315,#REF!,5,0),0)</f>
        <v>0</v>
      </c>
      <c r="V4315" s="1394">
        <f t="shared" si="1083"/>
        <v>0</v>
      </c>
      <c r="W4315" s="1394"/>
    </row>
    <row r="4316" spans="2:23" ht="30" customHeight="1">
      <c r="B4316" s="1407"/>
      <c r="C4316" s="1408" t="str">
        <f t="shared" si="1087"/>
        <v>SI Room</v>
      </c>
      <c r="D4316" s="1409">
        <f t="shared" si="1084"/>
        <v>0</v>
      </c>
      <c r="E4316" s="1409">
        <f t="shared" si="1086"/>
        <v>0</v>
      </c>
      <c r="F4316" s="1410">
        <f t="shared" si="1086"/>
        <v>0</v>
      </c>
      <c r="G4316" s="1410"/>
      <c r="H4316" s="1411">
        <f t="shared" si="1088"/>
        <v>0</v>
      </c>
      <c r="I4316" s="1406">
        <f t="shared" si="1085"/>
        <v>0</v>
      </c>
      <c r="M4316" s="110"/>
      <c r="Q4316" s="1394">
        <f>IFERROR(VLOOKUP(M4316,#REF!,3,0),0)</f>
        <v>0</v>
      </c>
      <c r="R4316" s="1394">
        <f t="shared" si="1075"/>
        <v>0</v>
      </c>
      <c r="S4316" s="1394">
        <f>IFERROR(VLOOKUP(M4316,#REF!,6,0),0)</f>
        <v>0</v>
      </c>
      <c r="T4316" s="1394">
        <f t="shared" si="1082"/>
        <v>0</v>
      </c>
      <c r="U4316" s="1394">
        <f>IFERROR(VLOOKUP(M4316,#REF!,5,0),0)</f>
        <v>0</v>
      </c>
      <c r="V4316" s="1394">
        <f t="shared" si="1083"/>
        <v>0</v>
      </c>
      <c r="W4316" s="1394"/>
    </row>
    <row r="4317" spans="2:23" ht="30" customHeight="1">
      <c r="B4317" s="1407"/>
      <c r="C4317" s="1408" t="str">
        <f t="shared" si="1087"/>
        <v>Cross wall between SI Room  /Hall</v>
      </c>
      <c r="D4317" s="1409">
        <f t="shared" si="1084"/>
        <v>2</v>
      </c>
      <c r="E4317" s="1409">
        <f t="shared" ref="E4317:F4336" si="1089">E943</f>
        <v>1</v>
      </c>
      <c r="F4317" s="1410">
        <f t="shared" si="1089"/>
        <v>6.6550000000000002</v>
      </c>
      <c r="G4317" s="1410"/>
      <c r="H4317" s="1411">
        <f t="shared" si="1088"/>
        <v>0.15</v>
      </c>
      <c r="I4317" s="1406">
        <f t="shared" si="1085"/>
        <v>1.9964999999999999</v>
      </c>
      <c r="M4317" s="110"/>
      <c r="Q4317" s="1394">
        <f>IFERROR(VLOOKUP(M4317,#REF!,3,0),0)</f>
        <v>0</v>
      </c>
      <c r="R4317" s="1394">
        <f t="shared" si="1075"/>
        <v>0</v>
      </c>
      <c r="S4317" s="1394">
        <f>IFERROR(VLOOKUP(M4317,#REF!,6,0),0)</f>
        <v>0</v>
      </c>
      <c r="T4317" s="1394">
        <f t="shared" si="1082"/>
        <v>0</v>
      </c>
      <c r="U4317" s="1394">
        <f>IFERROR(VLOOKUP(M4317,#REF!,5,0),0)</f>
        <v>0</v>
      </c>
      <c r="V4317" s="1394">
        <f t="shared" si="1083"/>
        <v>0</v>
      </c>
      <c r="W4317" s="1394"/>
    </row>
    <row r="4318" spans="2:23" ht="30" customHeight="1">
      <c r="B4318" s="1407"/>
      <c r="C4318" s="1408" t="str">
        <f t="shared" si="1087"/>
        <v>Cross wall between SI Room / Record</v>
      </c>
      <c r="D4318" s="1409">
        <f t="shared" si="1084"/>
        <v>2</v>
      </c>
      <c r="E4318" s="1409">
        <f t="shared" si="1089"/>
        <v>1</v>
      </c>
      <c r="F4318" s="1410">
        <f t="shared" si="1089"/>
        <v>4.13</v>
      </c>
      <c r="G4318" s="1410"/>
      <c r="H4318" s="1411">
        <f t="shared" si="1088"/>
        <v>0.15</v>
      </c>
      <c r="I4318" s="1406">
        <f t="shared" si="1085"/>
        <v>1.2389999999999999</v>
      </c>
      <c r="M4318" s="110"/>
      <c r="Q4318" s="1394">
        <f>IFERROR(VLOOKUP(M4318,#REF!,3,0),0)</f>
        <v>0</v>
      </c>
      <c r="R4318" s="1394">
        <f t="shared" si="1075"/>
        <v>0</v>
      </c>
      <c r="S4318" s="1394">
        <f>IFERROR(VLOOKUP(M4318,#REF!,6,0),0)</f>
        <v>0</v>
      </c>
      <c r="T4318" s="1394">
        <f t="shared" si="1082"/>
        <v>0</v>
      </c>
      <c r="U4318" s="1394">
        <f>IFERROR(VLOOKUP(M4318,#REF!,5,0),0)</f>
        <v>0</v>
      </c>
      <c r="V4318" s="1394">
        <f t="shared" si="1083"/>
        <v>0</v>
      </c>
      <c r="W4318" s="1394"/>
    </row>
    <row r="4319" spans="2:23" ht="30" customHeight="1">
      <c r="B4319" s="1407"/>
      <c r="C4319" s="1408" t="str">
        <f t="shared" si="1087"/>
        <v>Interrogationn Room</v>
      </c>
      <c r="D4319" s="1409">
        <f t="shared" si="1084"/>
        <v>0</v>
      </c>
      <c r="E4319" s="1409">
        <f t="shared" si="1089"/>
        <v>0</v>
      </c>
      <c r="F4319" s="1410">
        <f t="shared" si="1089"/>
        <v>0</v>
      </c>
      <c r="G4319" s="1410"/>
      <c r="H4319" s="1411">
        <f t="shared" si="1088"/>
        <v>0</v>
      </c>
      <c r="I4319" s="1406">
        <f t="shared" si="1085"/>
        <v>0</v>
      </c>
      <c r="M4319" s="110"/>
      <c r="Q4319" s="1394">
        <f>IFERROR(VLOOKUP(M4319,#REF!,3,0),0)</f>
        <v>0</v>
      </c>
      <c r="R4319" s="1394">
        <f t="shared" si="1075"/>
        <v>0</v>
      </c>
      <c r="S4319" s="1394">
        <f>IFERROR(VLOOKUP(M4319,#REF!,6,0),0)</f>
        <v>0</v>
      </c>
      <c r="T4319" s="1394">
        <f t="shared" si="1082"/>
        <v>0</v>
      </c>
      <c r="U4319" s="1394">
        <f>IFERROR(VLOOKUP(M4319,#REF!,5,0),0)</f>
        <v>0</v>
      </c>
      <c r="V4319" s="1394">
        <f t="shared" si="1083"/>
        <v>0</v>
      </c>
      <c r="W4319" s="1394"/>
    </row>
    <row r="4320" spans="2:23" ht="30" customHeight="1">
      <c r="B4320" s="1407"/>
      <c r="C4320" s="1408" t="str">
        <f t="shared" si="1087"/>
        <v>Cross wall between  Interrogationn Room / Toilet</v>
      </c>
      <c r="D4320" s="1409">
        <f t="shared" si="1084"/>
        <v>2</v>
      </c>
      <c r="E4320" s="1409">
        <f t="shared" si="1089"/>
        <v>1</v>
      </c>
      <c r="F4320" s="1410">
        <f t="shared" si="1089"/>
        <v>3.88</v>
      </c>
      <c r="G4320" s="1410"/>
      <c r="H4320" s="1411">
        <f t="shared" si="1088"/>
        <v>0.15</v>
      </c>
      <c r="I4320" s="1406">
        <f t="shared" si="1085"/>
        <v>1.1639999999999999</v>
      </c>
      <c r="M4320" s="110"/>
      <c r="Q4320" s="1394">
        <f>IFERROR(VLOOKUP(M4320,#REF!,3,0),0)</f>
        <v>0</v>
      </c>
      <c r="R4320" s="1394">
        <f t="shared" si="1075"/>
        <v>0</v>
      </c>
      <c r="S4320" s="1394">
        <f>IFERROR(VLOOKUP(M4320,#REF!,6,0),0)</f>
        <v>0</v>
      </c>
      <c r="T4320" s="1394">
        <f t="shared" si="1082"/>
        <v>0</v>
      </c>
      <c r="U4320" s="1394">
        <f>IFERROR(VLOOKUP(M4320,#REF!,5,0),0)</f>
        <v>0</v>
      </c>
      <c r="V4320" s="1394">
        <f t="shared" si="1083"/>
        <v>0</v>
      </c>
      <c r="W4320" s="1394"/>
    </row>
    <row r="4321" spans="2:23" ht="30" customHeight="1">
      <c r="B4321" s="1407"/>
      <c r="C4321" s="1408" t="str">
        <f t="shared" si="1087"/>
        <v>Elevation Piller</v>
      </c>
      <c r="D4321" s="1409">
        <f t="shared" si="1084"/>
        <v>2</v>
      </c>
      <c r="E4321" s="1409">
        <f t="shared" si="1089"/>
        <v>4</v>
      </c>
      <c r="F4321" s="1410">
        <f t="shared" si="1089"/>
        <v>0.6</v>
      </c>
      <c r="G4321" s="1410"/>
      <c r="H4321" s="1411">
        <f t="shared" si="1088"/>
        <v>0.15</v>
      </c>
      <c r="I4321" s="1406">
        <f t="shared" si="1085"/>
        <v>0.72</v>
      </c>
      <c r="M4321" s="110"/>
      <c r="Q4321" s="1394">
        <f>IFERROR(VLOOKUP(M4321,#REF!,3,0),0)</f>
        <v>0</v>
      </c>
      <c r="R4321" s="1394">
        <f t="shared" si="1075"/>
        <v>0</v>
      </c>
      <c r="S4321" s="1394">
        <f>IFERROR(VLOOKUP(M4321,#REF!,6,0),0)</f>
        <v>0</v>
      </c>
      <c r="T4321" s="1394">
        <f t="shared" si="1082"/>
        <v>0</v>
      </c>
      <c r="U4321" s="1394">
        <f>IFERROR(VLOOKUP(M4321,#REF!,5,0),0)</f>
        <v>0</v>
      </c>
      <c r="V4321" s="1394">
        <f t="shared" si="1083"/>
        <v>0</v>
      </c>
      <c r="W4321" s="1394"/>
    </row>
    <row r="4322" spans="2:23" ht="30" customHeight="1">
      <c r="B4322" s="1407"/>
      <c r="C4322" s="1408" t="str">
        <f t="shared" si="1087"/>
        <v>Partition wall Lintel</v>
      </c>
      <c r="D4322" s="1409">
        <f>D948</f>
        <v>0</v>
      </c>
      <c r="E4322" s="1409">
        <f t="shared" si="1089"/>
        <v>0</v>
      </c>
      <c r="F4322" s="1410">
        <f t="shared" si="1089"/>
        <v>0</v>
      </c>
      <c r="G4322" s="1410">
        <f>G948</f>
        <v>0</v>
      </c>
      <c r="H4322" s="1411">
        <f t="shared" si="1088"/>
        <v>0</v>
      </c>
      <c r="I4322" s="1406">
        <f t="shared" si="1085"/>
        <v>0</v>
      </c>
      <c r="M4322" s="110"/>
      <c r="Q4322" s="1394">
        <f>IFERROR(VLOOKUP(M4322,#REF!,3,0),0)</f>
        <v>0</v>
      </c>
      <c r="R4322" s="1394">
        <f t="shared" si="1075"/>
        <v>0</v>
      </c>
      <c r="S4322" s="1394">
        <f>IFERROR(VLOOKUP(M4322,#REF!,6,0),0)</f>
        <v>0</v>
      </c>
      <c r="T4322" s="1394">
        <f t="shared" si="1082"/>
        <v>0</v>
      </c>
      <c r="U4322" s="1394">
        <f>IFERROR(VLOOKUP(M4322,#REF!,5,0),0)</f>
        <v>0</v>
      </c>
      <c r="V4322" s="1394">
        <f t="shared" si="1083"/>
        <v>0</v>
      </c>
      <c r="W4322" s="1394"/>
    </row>
    <row r="4323" spans="2:23" ht="30" customHeight="1">
      <c r="B4323" s="1407"/>
      <c r="C4323" s="1412" t="str">
        <f t="shared" si="1087"/>
        <v>Women Rest Room</v>
      </c>
      <c r="D4323" s="103">
        <f>D949</f>
        <v>0</v>
      </c>
      <c r="E4323" s="103">
        <f t="shared" si="1089"/>
        <v>0</v>
      </c>
      <c r="F4323" s="1413">
        <f t="shared" si="1089"/>
        <v>0</v>
      </c>
      <c r="G4323" s="1413">
        <f>G949</f>
        <v>0</v>
      </c>
      <c r="H4323" s="1414">
        <f t="shared" si="1088"/>
        <v>0</v>
      </c>
      <c r="I4323" s="1406">
        <f t="shared" si="1085"/>
        <v>0</v>
      </c>
      <c r="M4323" s="110"/>
      <c r="Q4323" s="1394">
        <f>IFERROR(VLOOKUP(M4323,#REF!,3,0),0)</f>
        <v>0</v>
      </c>
      <c r="R4323" s="1394">
        <f t="shared" si="1075"/>
        <v>0</v>
      </c>
      <c r="S4323" s="1394">
        <f>IFERROR(VLOOKUP(M4323,#REF!,6,0),0)</f>
        <v>0</v>
      </c>
      <c r="T4323" s="1394">
        <f t="shared" si="1082"/>
        <v>0</v>
      </c>
      <c r="U4323" s="1394">
        <f>IFERROR(VLOOKUP(M4323,#REF!,5,0),0)</f>
        <v>0</v>
      </c>
      <c r="V4323" s="1394">
        <f t="shared" si="1083"/>
        <v>0</v>
      </c>
      <c r="W4323" s="1394"/>
    </row>
    <row r="4324" spans="2:23" ht="30" customHeight="1">
      <c r="B4324" s="1407"/>
      <c r="C4324" s="1412" t="str">
        <f t="shared" si="1087"/>
        <v>C/B Wall</v>
      </c>
      <c r="D4324" s="103">
        <f t="shared" ref="D4324:D4351" si="1090">D950*2</f>
        <v>2</v>
      </c>
      <c r="E4324" s="103">
        <f t="shared" si="1089"/>
        <v>1</v>
      </c>
      <c r="F4324" s="1413">
        <f t="shared" si="1089"/>
        <v>0.6</v>
      </c>
      <c r="G4324" s="1413"/>
      <c r="H4324" s="1414">
        <f t="shared" si="1088"/>
        <v>0.1</v>
      </c>
      <c r="I4324" s="1406">
        <f t="shared" si="1085"/>
        <v>0.12</v>
      </c>
      <c r="M4324" s="110"/>
      <c r="Q4324" s="1394">
        <f>IFERROR(VLOOKUP(M4324,#REF!,3,0),0)</f>
        <v>0</v>
      </c>
      <c r="R4324" s="1394">
        <f t="shared" si="1075"/>
        <v>0</v>
      </c>
      <c r="S4324" s="1394">
        <f>IFERROR(VLOOKUP(M4324,#REF!,6,0),0)</f>
        <v>0</v>
      </c>
      <c r="T4324" s="1394">
        <f t="shared" si="1082"/>
        <v>0</v>
      </c>
      <c r="U4324" s="1394">
        <f>IFERROR(VLOOKUP(M4324,#REF!,5,0),0)</f>
        <v>0</v>
      </c>
      <c r="V4324" s="1394">
        <f t="shared" si="1083"/>
        <v>0</v>
      </c>
      <c r="W4324" s="1394"/>
    </row>
    <row r="4325" spans="2:23" ht="30" customHeight="1">
      <c r="B4325" s="1407"/>
      <c r="C4325" s="1455" t="str">
        <f t="shared" si="1087"/>
        <v>Cross wall between Toilet / Passage</v>
      </c>
      <c r="D4325" s="103">
        <f t="shared" si="1090"/>
        <v>2</v>
      </c>
      <c r="E4325" s="103">
        <f t="shared" si="1089"/>
        <v>1</v>
      </c>
      <c r="F4325" s="1413">
        <f t="shared" si="1089"/>
        <v>1.5</v>
      </c>
      <c r="G4325" s="1413"/>
      <c r="H4325" s="1414">
        <f t="shared" si="1088"/>
        <v>0.1</v>
      </c>
      <c r="I4325" s="1406">
        <f t="shared" si="1085"/>
        <v>0.30000000000000004</v>
      </c>
      <c r="M4325" s="110"/>
      <c r="Q4325" s="1394">
        <f>IFERROR(VLOOKUP(M4325,#REF!,3,0),0)</f>
        <v>0</v>
      </c>
      <c r="R4325" s="1394">
        <f t="shared" si="1075"/>
        <v>0</v>
      </c>
      <c r="S4325" s="1394">
        <f>IFERROR(VLOOKUP(M4325,#REF!,6,0),0)</f>
        <v>0</v>
      </c>
      <c r="T4325" s="1394">
        <f t="shared" si="1082"/>
        <v>0</v>
      </c>
      <c r="U4325" s="1394">
        <f>IFERROR(VLOOKUP(M4325,#REF!,5,0),0)</f>
        <v>0</v>
      </c>
      <c r="V4325" s="1394">
        <f t="shared" si="1083"/>
        <v>0</v>
      </c>
      <c r="W4325" s="1394"/>
    </row>
    <row r="4326" spans="2:23" ht="30" customHeight="1">
      <c r="B4326" s="1407"/>
      <c r="C4326" s="1455" t="str">
        <f t="shared" si="1087"/>
        <v>Cross wall between Hall  / Passage</v>
      </c>
      <c r="D4326" s="103">
        <f t="shared" si="1090"/>
        <v>2</v>
      </c>
      <c r="E4326" s="103">
        <f t="shared" si="1089"/>
        <v>1</v>
      </c>
      <c r="F4326" s="1413">
        <f t="shared" si="1089"/>
        <v>1.5</v>
      </c>
      <c r="G4326" s="1413"/>
      <c r="H4326" s="1414">
        <f t="shared" si="1088"/>
        <v>0.1</v>
      </c>
      <c r="I4326" s="1406">
        <f t="shared" si="1085"/>
        <v>0.30000000000000004</v>
      </c>
      <c r="M4326" s="110"/>
      <c r="Q4326" s="1394">
        <f>IFERROR(VLOOKUP(M4326,#REF!,3,0),0)</f>
        <v>0</v>
      </c>
      <c r="R4326" s="1394">
        <f t="shared" si="1075"/>
        <v>0</v>
      </c>
      <c r="S4326" s="1394">
        <f>IFERROR(VLOOKUP(M4326,#REF!,6,0),0)</f>
        <v>0</v>
      </c>
      <c r="T4326" s="1394">
        <f t="shared" si="1082"/>
        <v>0</v>
      </c>
      <c r="U4326" s="1394">
        <f>IFERROR(VLOOKUP(M4326,#REF!,5,0),0)</f>
        <v>0</v>
      </c>
      <c r="V4326" s="1394">
        <f t="shared" si="1083"/>
        <v>0</v>
      </c>
      <c r="W4326" s="1394"/>
    </row>
    <row r="4327" spans="2:23" ht="30" customHeight="1">
      <c r="B4327" s="1407"/>
      <c r="C4327" s="1455" t="str">
        <f t="shared" si="1087"/>
        <v>Writer</v>
      </c>
      <c r="D4327" s="103">
        <f t="shared" si="1090"/>
        <v>0</v>
      </c>
      <c r="E4327" s="103">
        <f t="shared" si="1089"/>
        <v>0</v>
      </c>
      <c r="F4327" s="1413">
        <f t="shared" si="1089"/>
        <v>0</v>
      </c>
      <c r="G4327" s="1413"/>
      <c r="H4327" s="1414">
        <f t="shared" si="1088"/>
        <v>0</v>
      </c>
      <c r="I4327" s="1406">
        <f t="shared" si="1085"/>
        <v>0</v>
      </c>
      <c r="M4327" s="110"/>
      <c r="Q4327" s="1394">
        <f>IFERROR(VLOOKUP(M4327,#REF!,3,0),0)</f>
        <v>0</v>
      </c>
      <c r="R4327" s="1394">
        <f t="shared" si="1075"/>
        <v>0</v>
      </c>
      <c r="S4327" s="1394">
        <f>IFERROR(VLOOKUP(M4327,#REF!,6,0),0)</f>
        <v>0</v>
      </c>
      <c r="T4327" s="1394">
        <f t="shared" si="1082"/>
        <v>0</v>
      </c>
      <c r="U4327" s="1394">
        <f>IFERROR(VLOOKUP(M4327,#REF!,5,0),0)</f>
        <v>0</v>
      </c>
      <c r="V4327" s="1394">
        <f t="shared" si="1083"/>
        <v>0</v>
      </c>
      <c r="W4327" s="1394"/>
    </row>
    <row r="4328" spans="2:23" ht="30" customHeight="1">
      <c r="B4328" s="1407"/>
      <c r="C4328" s="1412" t="str">
        <f t="shared" si="1087"/>
        <v>C/B Wall</v>
      </c>
      <c r="D4328" s="103">
        <f t="shared" si="1090"/>
        <v>2</v>
      </c>
      <c r="E4328" s="103">
        <f t="shared" si="1089"/>
        <v>1</v>
      </c>
      <c r="F4328" s="1413">
        <f t="shared" si="1089"/>
        <v>0.6</v>
      </c>
      <c r="G4328" s="1413"/>
      <c r="H4328" s="1414">
        <f t="shared" si="1088"/>
        <v>0.1</v>
      </c>
      <c r="I4328" s="1406">
        <f t="shared" si="1085"/>
        <v>0.12</v>
      </c>
      <c r="M4328" s="110"/>
      <c r="Q4328" s="1394">
        <f>IFERROR(VLOOKUP(M4328,#REF!,3,0),0)</f>
        <v>0</v>
      </c>
      <c r="R4328" s="1394">
        <f t="shared" si="1075"/>
        <v>0</v>
      </c>
      <c r="S4328" s="1394">
        <f>IFERROR(VLOOKUP(M4328,#REF!,6,0),0)</f>
        <v>0</v>
      </c>
      <c r="T4328" s="1394">
        <f t="shared" si="1082"/>
        <v>0</v>
      </c>
      <c r="U4328" s="1394">
        <f>IFERROR(VLOOKUP(M4328,#REF!,5,0),0)</f>
        <v>0</v>
      </c>
      <c r="V4328" s="1394">
        <f t="shared" si="1083"/>
        <v>0</v>
      </c>
      <c r="W4328" s="1394"/>
    </row>
    <row r="4329" spans="2:23" ht="30" customHeight="1">
      <c r="B4329" s="1407"/>
      <c r="C4329" s="1455" t="str">
        <f t="shared" si="1087"/>
        <v>Cross wall between Writer / Ins L &amp;O</v>
      </c>
      <c r="D4329" s="103">
        <f t="shared" si="1090"/>
        <v>2</v>
      </c>
      <c r="E4329" s="103">
        <f t="shared" si="1089"/>
        <v>1</v>
      </c>
      <c r="F4329" s="1413">
        <f t="shared" si="1089"/>
        <v>1.8</v>
      </c>
      <c r="G4329" s="1413"/>
      <c r="H4329" s="1414">
        <f t="shared" si="1088"/>
        <v>0.1</v>
      </c>
      <c r="I4329" s="1406">
        <f t="shared" si="1085"/>
        <v>0.36000000000000004</v>
      </c>
      <c r="M4329" s="110"/>
      <c r="Q4329" s="1394">
        <f>IFERROR(VLOOKUP(M4329,#REF!,3,0),0)</f>
        <v>0</v>
      </c>
      <c r="R4329" s="1394">
        <f t="shared" si="1075"/>
        <v>0</v>
      </c>
      <c r="S4329" s="1394">
        <f>IFERROR(VLOOKUP(M4329,#REF!,6,0),0)</f>
        <v>0</v>
      </c>
      <c r="T4329" s="1394">
        <f t="shared" si="1082"/>
        <v>0</v>
      </c>
      <c r="U4329" s="1394">
        <f>IFERROR(VLOOKUP(M4329,#REF!,5,0),0)</f>
        <v>0</v>
      </c>
      <c r="V4329" s="1394">
        <f t="shared" si="1083"/>
        <v>0</v>
      </c>
      <c r="W4329" s="1394"/>
    </row>
    <row r="4330" spans="2:23" ht="30" customHeight="1">
      <c r="B4330" s="1407"/>
      <c r="C4330" s="1455" t="str">
        <f t="shared" si="1087"/>
        <v>Cross wall between Writer / Ins L &amp;O</v>
      </c>
      <c r="D4330" s="103">
        <f t="shared" si="1090"/>
        <v>2</v>
      </c>
      <c r="E4330" s="103">
        <f t="shared" si="1089"/>
        <v>1</v>
      </c>
      <c r="F4330" s="1413">
        <f t="shared" si="1089"/>
        <v>3.2759999999999998</v>
      </c>
      <c r="G4330" s="1413"/>
      <c r="H4330" s="1414">
        <f t="shared" si="1088"/>
        <v>0.1</v>
      </c>
      <c r="I4330" s="1406">
        <f t="shared" si="1085"/>
        <v>0.6552</v>
      </c>
      <c r="M4330" s="110"/>
      <c r="Q4330" s="1394">
        <f>IFERROR(VLOOKUP(M4330,#REF!,3,0),0)</f>
        <v>0</v>
      </c>
      <c r="R4330" s="1394">
        <f t="shared" si="1075"/>
        <v>0</v>
      </c>
      <c r="S4330" s="1394">
        <f>IFERROR(VLOOKUP(M4330,#REF!,6,0),0)</f>
        <v>0</v>
      </c>
      <c r="T4330" s="1394">
        <f t="shared" si="1082"/>
        <v>0</v>
      </c>
      <c r="U4330" s="1394">
        <f>IFERROR(VLOOKUP(M4330,#REF!,5,0),0)</f>
        <v>0</v>
      </c>
      <c r="V4330" s="1394">
        <f t="shared" si="1083"/>
        <v>0</v>
      </c>
      <c r="W4330" s="1394"/>
    </row>
    <row r="4331" spans="2:23" ht="30" customHeight="1">
      <c r="B4331" s="1407"/>
      <c r="C4331" s="1455" t="str">
        <f t="shared" si="1087"/>
        <v>Ins Crime</v>
      </c>
      <c r="D4331" s="103">
        <f t="shared" si="1090"/>
        <v>0</v>
      </c>
      <c r="E4331" s="103">
        <f t="shared" si="1089"/>
        <v>0</v>
      </c>
      <c r="F4331" s="1413">
        <f t="shared" si="1089"/>
        <v>0</v>
      </c>
      <c r="G4331" s="1413"/>
      <c r="H4331" s="1414">
        <f t="shared" si="1088"/>
        <v>0</v>
      </c>
      <c r="I4331" s="1406">
        <f t="shared" si="1085"/>
        <v>0</v>
      </c>
      <c r="M4331" s="110"/>
      <c r="Q4331" s="1394">
        <f>IFERROR(VLOOKUP(M4331,#REF!,3,0),0)</f>
        <v>0</v>
      </c>
      <c r="R4331" s="1394">
        <f t="shared" si="1075"/>
        <v>0</v>
      </c>
      <c r="S4331" s="1394">
        <f>IFERROR(VLOOKUP(M4331,#REF!,6,0),0)</f>
        <v>0</v>
      </c>
      <c r="T4331" s="1394">
        <f t="shared" si="1082"/>
        <v>0</v>
      </c>
      <c r="U4331" s="1394">
        <f>IFERROR(VLOOKUP(M4331,#REF!,5,0),0)</f>
        <v>0</v>
      </c>
      <c r="V4331" s="1394">
        <f t="shared" si="1083"/>
        <v>0</v>
      </c>
      <c r="W4331" s="1394"/>
    </row>
    <row r="4332" spans="2:23" ht="30" customHeight="1">
      <c r="B4332" s="1407"/>
      <c r="C4332" s="1412" t="str">
        <f t="shared" si="1087"/>
        <v xml:space="preserve">C/B Wall </v>
      </c>
      <c r="D4332" s="103">
        <f t="shared" si="1090"/>
        <v>2</v>
      </c>
      <c r="E4332" s="103">
        <f t="shared" si="1089"/>
        <v>1</v>
      </c>
      <c r="F4332" s="1413">
        <f t="shared" si="1089"/>
        <v>0.6</v>
      </c>
      <c r="G4332" s="1413"/>
      <c r="H4332" s="1414">
        <f t="shared" si="1088"/>
        <v>0.1</v>
      </c>
      <c r="I4332" s="1406">
        <f t="shared" si="1085"/>
        <v>0.12</v>
      </c>
      <c r="M4332" s="110"/>
      <c r="Q4332" s="1394">
        <f>IFERROR(VLOOKUP(M4332,#REF!,3,0),0)</f>
        <v>0</v>
      </c>
      <c r="R4332" s="1394">
        <f t="shared" si="1075"/>
        <v>0</v>
      </c>
      <c r="S4332" s="1394">
        <f>IFERROR(VLOOKUP(M4332,#REF!,6,0),0)</f>
        <v>0</v>
      </c>
      <c r="T4332" s="1394">
        <f t="shared" si="1082"/>
        <v>0</v>
      </c>
      <c r="U4332" s="1394">
        <f>IFERROR(VLOOKUP(M4332,#REF!,5,0),0)</f>
        <v>0</v>
      </c>
      <c r="V4332" s="1394">
        <f t="shared" si="1083"/>
        <v>0</v>
      </c>
      <c r="W4332" s="1394"/>
    </row>
    <row r="4333" spans="2:23" ht="30" customHeight="1">
      <c r="B4333" s="1407"/>
      <c r="C4333" s="1455" t="str">
        <f t="shared" si="1087"/>
        <v xml:space="preserve">Cross wall between Toilet / Passage </v>
      </c>
      <c r="D4333" s="103">
        <f t="shared" si="1090"/>
        <v>2</v>
      </c>
      <c r="E4333" s="103">
        <f t="shared" si="1089"/>
        <v>1</v>
      </c>
      <c r="F4333" s="1413">
        <f t="shared" si="1089"/>
        <v>1.5</v>
      </c>
      <c r="G4333" s="1413"/>
      <c r="H4333" s="1414">
        <f t="shared" si="1088"/>
        <v>0.1</v>
      </c>
      <c r="I4333" s="1406">
        <f t="shared" si="1085"/>
        <v>0.30000000000000004</v>
      </c>
      <c r="M4333" s="110"/>
      <c r="Q4333" s="1394">
        <f>IFERROR(VLOOKUP(M4333,#REF!,3,0),0)</f>
        <v>0</v>
      </c>
      <c r="R4333" s="1394">
        <f t="shared" si="1075"/>
        <v>0</v>
      </c>
      <c r="S4333" s="1394">
        <f>IFERROR(VLOOKUP(M4333,#REF!,6,0),0)</f>
        <v>0</v>
      </c>
      <c r="T4333" s="1394">
        <f t="shared" si="1082"/>
        <v>0</v>
      </c>
      <c r="U4333" s="1394">
        <f>IFERROR(VLOOKUP(M4333,#REF!,5,0),0)</f>
        <v>0</v>
      </c>
      <c r="V4333" s="1394">
        <f t="shared" si="1083"/>
        <v>0</v>
      </c>
      <c r="W4333" s="1394"/>
    </row>
    <row r="4334" spans="2:23" ht="30" customHeight="1">
      <c r="B4334" s="1407"/>
      <c r="C4334" s="1455" t="str">
        <f t="shared" si="1087"/>
        <v xml:space="preserve">Cross wall between Hall  / Passage </v>
      </c>
      <c r="D4334" s="103">
        <f t="shared" si="1090"/>
        <v>2</v>
      </c>
      <c r="E4334" s="103">
        <f t="shared" si="1089"/>
        <v>1</v>
      </c>
      <c r="F4334" s="1413">
        <f t="shared" si="1089"/>
        <v>1.5</v>
      </c>
      <c r="G4334" s="1413"/>
      <c r="H4334" s="1414">
        <f t="shared" si="1088"/>
        <v>0.1</v>
      </c>
      <c r="I4334" s="1406">
        <f t="shared" si="1085"/>
        <v>0.30000000000000004</v>
      </c>
      <c r="M4334" s="110"/>
      <c r="Q4334" s="1394">
        <f>IFERROR(VLOOKUP(M4334,#REF!,3,0),0)</f>
        <v>0</v>
      </c>
      <c r="R4334" s="1394">
        <f t="shared" ref="R4334:R4397" si="1091">ROUND(O4334,2)*ROUND(Q4334,2)</f>
        <v>0</v>
      </c>
      <c r="S4334" s="1394">
        <f>IFERROR(VLOOKUP(M4334,#REF!,6,0),0)</f>
        <v>0</v>
      </c>
      <c r="T4334" s="1394">
        <f t="shared" si="1082"/>
        <v>0</v>
      </c>
      <c r="U4334" s="1394">
        <f>IFERROR(VLOOKUP(M4334,#REF!,5,0),0)</f>
        <v>0</v>
      </c>
      <c r="V4334" s="1394">
        <f t="shared" si="1083"/>
        <v>0</v>
      </c>
      <c r="W4334" s="1394"/>
    </row>
    <row r="4335" spans="2:23" ht="30" customHeight="1">
      <c r="B4335" s="1407"/>
      <c r="C4335" s="1455" t="str">
        <f t="shared" si="1087"/>
        <v>Computer Room</v>
      </c>
      <c r="D4335" s="103">
        <f t="shared" si="1090"/>
        <v>0</v>
      </c>
      <c r="E4335" s="103">
        <f t="shared" si="1089"/>
        <v>0</v>
      </c>
      <c r="F4335" s="1413">
        <f t="shared" si="1089"/>
        <v>0</v>
      </c>
      <c r="G4335" s="1413"/>
      <c r="H4335" s="1414">
        <f t="shared" si="1088"/>
        <v>0</v>
      </c>
      <c r="I4335" s="1406">
        <f t="shared" si="1085"/>
        <v>0</v>
      </c>
      <c r="M4335" s="110"/>
      <c r="Q4335" s="1394">
        <f>IFERROR(VLOOKUP(M4335,#REF!,3,0),0)</f>
        <v>0</v>
      </c>
      <c r="R4335" s="1394">
        <f t="shared" si="1091"/>
        <v>0</v>
      </c>
      <c r="S4335" s="1394">
        <f>IFERROR(VLOOKUP(M4335,#REF!,6,0),0)</f>
        <v>0</v>
      </c>
      <c r="T4335" s="1394">
        <f t="shared" si="1082"/>
        <v>0</v>
      </c>
      <c r="U4335" s="1394">
        <f>IFERROR(VLOOKUP(M4335,#REF!,5,0),0)</f>
        <v>0</v>
      </c>
      <c r="V4335" s="1394">
        <f t="shared" si="1083"/>
        <v>0</v>
      </c>
      <c r="W4335" s="1394"/>
    </row>
    <row r="4336" spans="2:23" ht="30" customHeight="1">
      <c r="B4336" s="1407"/>
      <c r="C4336" s="1412" t="str">
        <f t="shared" si="1087"/>
        <v xml:space="preserve">C/B Wall </v>
      </c>
      <c r="D4336" s="103">
        <f t="shared" si="1090"/>
        <v>2</v>
      </c>
      <c r="E4336" s="103">
        <f t="shared" si="1089"/>
        <v>1</v>
      </c>
      <c r="F4336" s="1413">
        <f t="shared" si="1089"/>
        <v>0.6</v>
      </c>
      <c r="G4336" s="1413"/>
      <c r="H4336" s="103">
        <f t="shared" si="1088"/>
        <v>0.1</v>
      </c>
      <c r="I4336" s="1406">
        <f t="shared" si="1085"/>
        <v>0.12</v>
      </c>
      <c r="M4336" s="110"/>
      <c r="Q4336" s="1394">
        <f>IFERROR(VLOOKUP(M4336,#REF!,3,0),0)</f>
        <v>0</v>
      </c>
      <c r="R4336" s="1394">
        <f t="shared" si="1091"/>
        <v>0</v>
      </c>
      <c r="S4336" s="1394">
        <f>IFERROR(VLOOKUP(M4336,#REF!,6,0),0)</f>
        <v>0</v>
      </c>
      <c r="T4336" s="1394">
        <f t="shared" si="1082"/>
        <v>0</v>
      </c>
      <c r="U4336" s="1394">
        <f>IFERROR(VLOOKUP(M4336,#REF!,5,0),0)</f>
        <v>0</v>
      </c>
      <c r="V4336" s="1394">
        <f t="shared" si="1083"/>
        <v>0</v>
      </c>
      <c r="W4336" s="1394"/>
    </row>
    <row r="4337" spans="2:23" ht="30" customHeight="1">
      <c r="B4337" s="1407"/>
      <c r="C4337" s="1455" t="str">
        <f t="shared" si="1087"/>
        <v>Cross wall between Toilet / CD File / Store</v>
      </c>
      <c r="D4337" s="103">
        <f t="shared" si="1090"/>
        <v>2</v>
      </c>
      <c r="E4337" s="103">
        <f t="shared" ref="E4337:F4352" si="1092">E963</f>
        <v>1</v>
      </c>
      <c r="F4337" s="1413">
        <f t="shared" si="1092"/>
        <v>1.1000000000000001</v>
      </c>
      <c r="G4337" s="1413"/>
      <c r="H4337" s="1414">
        <f t="shared" si="1088"/>
        <v>0.1</v>
      </c>
      <c r="I4337" s="1406">
        <f t="shared" si="1085"/>
        <v>0.22000000000000003</v>
      </c>
      <c r="M4337" s="110"/>
      <c r="Q4337" s="1394">
        <f>IFERROR(VLOOKUP(M4337,#REF!,3,0),0)</f>
        <v>0</v>
      </c>
      <c r="R4337" s="1394">
        <f t="shared" si="1091"/>
        <v>0</v>
      </c>
      <c r="S4337" s="1394">
        <f>IFERROR(VLOOKUP(M4337,#REF!,6,0),0)</f>
        <v>0</v>
      </c>
      <c r="T4337" s="1394">
        <f t="shared" si="1082"/>
        <v>0</v>
      </c>
      <c r="U4337" s="1394">
        <f>IFERROR(VLOOKUP(M4337,#REF!,5,0),0)</f>
        <v>0</v>
      </c>
      <c r="V4337" s="1394">
        <f t="shared" si="1083"/>
        <v>0</v>
      </c>
      <c r="W4337" s="1394"/>
    </row>
    <row r="4338" spans="2:23" ht="30" customHeight="1">
      <c r="B4338" s="1407"/>
      <c r="C4338" s="1455" t="str">
        <f t="shared" si="1087"/>
        <v xml:space="preserve">Cross wall between Toilet / Passage </v>
      </c>
      <c r="D4338" s="103">
        <f t="shared" si="1090"/>
        <v>2</v>
      </c>
      <c r="E4338" s="103">
        <f t="shared" si="1092"/>
        <v>1</v>
      </c>
      <c r="F4338" s="1413">
        <f t="shared" si="1092"/>
        <v>1.5</v>
      </c>
      <c r="G4338" s="1413"/>
      <c r="H4338" s="1414">
        <f t="shared" si="1088"/>
        <v>0.1</v>
      </c>
      <c r="I4338" s="1406">
        <f t="shared" si="1085"/>
        <v>0.30000000000000004</v>
      </c>
      <c r="M4338" s="110"/>
      <c r="Q4338" s="1394">
        <f>IFERROR(VLOOKUP(M4338,#REF!,3,0),0)</f>
        <v>0</v>
      </c>
      <c r="R4338" s="1394">
        <f t="shared" si="1091"/>
        <v>0</v>
      </c>
      <c r="S4338" s="1394">
        <f>IFERROR(VLOOKUP(M4338,#REF!,6,0),0)</f>
        <v>0</v>
      </c>
      <c r="T4338" s="1394">
        <f t="shared" si="1082"/>
        <v>0</v>
      </c>
      <c r="U4338" s="1394">
        <f>IFERROR(VLOOKUP(M4338,#REF!,5,0),0)</f>
        <v>0</v>
      </c>
      <c r="V4338" s="1394">
        <f t="shared" si="1083"/>
        <v>0</v>
      </c>
      <c r="W4338" s="1394"/>
    </row>
    <row r="4339" spans="2:23" ht="30" customHeight="1">
      <c r="B4339" s="1407"/>
      <c r="C4339" s="1455" t="str">
        <f t="shared" si="1087"/>
        <v xml:space="preserve">Cross wall between Halll / Passage </v>
      </c>
      <c r="D4339" s="103">
        <f t="shared" si="1090"/>
        <v>2</v>
      </c>
      <c r="E4339" s="103">
        <f t="shared" si="1092"/>
        <v>1</v>
      </c>
      <c r="F4339" s="1413">
        <f t="shared" si="1092"/>
        <v>0.6</v>
      </c>
      <c r="G4339" s="1413"/>
      <c r="H4339" s="1414">
        <f t="shared" si="1088"/>
        <v>0.1</v>
      </c>
      <c r="I4339" s="1406">
        <f t="shared" si="1085"/>
        <v>0.12</v>
      </c>
      <c r="M4339" s="110"/>
      <c r="Q4339" s="1394">
        <f>IFERROR(VLOOKUP(M4339,#REF!,3,0),0)</f>
        <v>0</v>
      </c>
      <c r="R4339" s="1394">
        <f t="shared" si="1091"/>
        <v>0</v>
      </c>
      <c r="S4339" s="1394">
        <f>IFERROR(VLOOKUP(M4339,#REF!,6,0),0)</f>
        <v>0</v>
      </c>
      <c r="T4339" s="1394">
        <f t="shared" si="1082"/>
        <v>0</v>
      </c>
      <c r="U4339" s="1394">
        <f>IFERROR(VLOOKUP(M4339,#REF!,5,0),0)</f>
        <v>0</v>
      </c>
      <c r="V4339" s="1394">
        <f t="shared" si="1083"/>
        <v>0</v>
      </c>
      <c r="W4339" s="1394"/>
    </row>
    <row r="4340" spans="2:23" ht="30" customHeight="1">
      <c r="B4340" s="1407"/>
      <c r="C4340" s="1455" t="str">
        <f t="shared" si="1087"/>
        <v>SI Room</v>
      </c>
      <c r="D4340" s="103">
        <f t="shared" si="1090"/>
        <v>0</v>
      </c>
      <c r="E4340" s="103">
        <f t="shared" si="1092"/>
        <v>0</v>
      </c>
      <c r="F4340" s="1413">
        <f t="shared" si="1092"/>
        <v>0</v>
      </c>
      <c r="G4340" s="1413"/>
      <c r="H4340" s="1414">
        <f t="shared" si="1088"/>
        <v>0</v>
      </c>
      <c r="I4340" s="1406">
        <f t="shared" si="1085"/>
        <v>0</v>
      </c>
      <c r="M4340" s="110"/>
      <c r="Q4340" s="1394">
        <f>IFERROR(VLOOKUP(M4340,#REF!,3,0),0)</f>
        <v>0</v>
      </c>
      <c r="R4340" s="1394">
        <f t="shared" si="1091"/>
        <v>0</v>
      </c>
      <c r="S4340" s="1394">
        <f>IFERROR(VLOOKUP(M4340,#REF!,6,0),0)</f>
        <v>0</v>
      </c>
      <c r="T4340" s="1394">
        <f t="shared" si="1082"/>
        <v>0</v>
      </c>
      <c r="U4340" s="1394">
        <f>IFERROR(VLOOKUP(M4340,#REF!,5,0),0)</f>
        <v>0</v>
      </c>
      <c r="V4340" s="1394">
        <f t="shared" si="1083"/>
        <v>0</v>
      </c>
      <c r="W4340" s="1394"/>
    </row>
    <row r="4341" spans="2:23" ht="30" customHeight="1">
      <c r="B4341" s="1407"/>
      <c r="C4341" s="1412" t="str">
        <f t="shared" ref="C4341:C4352" si="1093">C967</f>
        <v xml:space="preserve">C/B Wall </v>
      </c>
      <c r="D4341" s="103">
        <f t="shared" si="1090"/>
        <v>2</v>
      </c>
      <c r="E4341" s="103">
        <f t="shared" si="1092"/>
        <v>1</v>
      </c>
      <c r="F4341" s="1413">
        <f t="shared" si="1092"/>
        <v>0.6</v>
      </c>
      <c r="G4341" s="1413"/>
      <c r="H4341" s="1414">
        <f t="shared" ref="H4341:H4352" si="1094">H967</f>
        <v>0.1</v>
      </c>
      <c r="I4341" s="1406">
        <f t="shared" si="1085"/>
        <v>0.12</v>
      </c>
      <c r="Q4341" s="1394">
        <f>IFERROR(VLOOKUP(M4341,#REF!,3,0),0)</f>
        <v>0</v>
      </c>
      <c r="R4341" s="1394">
        <f t="shared" si="1091"/>
        <v>0</v>
      </c>
      <c r="S4341" s="1394">
        <f>IFERROR(VLOOKUP(M4341,#REF!,6,0),0)</f>
        <v>0</v>
      </c>
      <c r="T4341" s="1394">
        <f t="shared" si="1082"/>
        <v>0</v>
      </c>
      <c r="U4341" s="1394">
        <f>IFERROR(VLOOKUP(M4341,#REF!,5,0),0)</f>
        <v>0</v>
      </c>
      <c r="V4341" s="1394">
        <f t="shared" si="1083"/>
        <v>0</v>
      </c>
      <c r="W4341" s="1394"/>
    </row>
    <row r="4342" spans="2:23" ht="30" customHeight="1">
      <c r="B4342" s="1407"/>
      <c r="C4342" s="1455" t="str">
        <f t="shared" si="1093"/>
        <v>Cross wall between Toilet / SI Room</v>
      </c>
      <c r="D4342" s="103">
        <f t="shared" si="1090"/>
        <v>2</v>
      </c>
      <c r="E4342" s="103">
        <f t="shared" si="1092"/>
        <v>1</v>
      </c>
      <c r="F4342" s="1413">
        <f t="shared" si="1092"/>
        <v>2.7450000000000001</v>
      </c>
      <c r="G4342" s="1413"/>
      <c r="H4342" s="1414">
        <f t="shared" si="1094"/>
        <v>0.1</v>
      </c>
      <c r="I4342" s="1406">
        <f t="shared" si="1085"/>
        <v>0.54900000000000004</v>
      </c>
      <c r="Q4342" s="1394">
        <f>IFERROR(VLOOKUP(M4342,#REF!,3,0),0)</f>
        <v>0</v>
      </c>
      <c r="R4342" s="1394">
        <f t="shared" si="1091"/>
        <v>0</v>
      </c>
      <c r="S4342" s="1394">
        <f>IFERROR(VLOOKUP(M4342,#REF!,6,0),0)</f>
        <v>0</v>
      </c>
      <c r="T4342" s="1394">
        <f t="shared" si="1082"/>
        <v>0</v>
      </c>
      <c r="U4342" s="1394">
        <f>IFERROR(VLOOKUP(M4342,#REF!,5,0),0)</f>
        <v>0</v>
      </c>
      <c r="V4342" s="1394">
        <f t="shared" si="1083"/>
        <v>0</v>
      </c>
      <c r="W4342" s="1394"/>
    </row>
    <row r="4343" spans="2:23" ht="30" customHeight="1">
      <c r="B4343" s="1407"/>
      <c r="C4343" s="1455" t="str">
        <f t="shared" si="1093"/>
        <v>Cross wall between Record / SI Room</v>
      </c>
      <c r="D4343" s="103">
        <f t="shared" si="1090"/>
        <v>2</v>
      </c>
      <c r="E4343" s="103">
        <f t="shared" si="1092"/>
        <v>1</v>
      </c>
      <c r="F4343" s="1413">
        <f t="shared" si="1092"/>
        <v>2.4350000000000001</v>
      </c>
      <c r="G4343" s="1413"/>
      <c r="H4343" s="1414">
        <f t="shared" si="1094"/>
        <v>0.1</v>
      </c>
      <c r="I4343" s="1406">
        <f t="shared" si="1085"/>
        <v>0.48700000000000004</v>
      </c>
      <c r="Q4343" s="1394">
        <f>IFERROR(VLOOKUP(M4343,#REF!,3,0),0)</f>
        <v>0</v>
      </c>
      <c r="R4343" s="1394">
        <f t="shared" si="1091"/>
        <v>0</v>
      </c>
      <c r="S4343" s="1394">
        <f>IFERROR(VLOOKUP(M4343,#REF!,6,0),0)</f>
        <v>0</v>
      </c>
      <c r="T4343" s="1394">
        <f t="shared" si="1082"/>
        <v>0</v>
      </c>
      <c r="U4343" s="1394">
        <f>IFERROR(VLOOKUP(M4343,#REF!,5,0),0)</f>
        <v>0</v>
      </c>
      <c r="V4343" s="1394">
        <f t="shared" si="1083"/>
        <v>0</v>
      </c>
      <c r="W4343" s="1394"/>
    </row>
    <row r="4344" spans="2:23" ht="30" customHeight="1">
      <c r="B4344" s="1407"/>
      <c r="C4344" s="1455" t="str">
        <f t="shared" si="1093"/>
        <v>Record Room</v>
      </c>
      <c r="D4344" s="103">
        <f t="shared" si="1090"/>
        <v>0</v>
      </c>
      <c r="E4344" s="103">
        <f t="shared" si="1092"/>
        <v>0</v>
      </c>
      <c r="F4344" s="1413">
        <f t="shared" si="1092"/>
        <v>0</v>
      </c>
      <c r="G4344" s="1413"/>
      <c r="H4344" s="1414">
        <f t="shared" si="1094"/>
        <v>0</v>
      </c>
      <c r="I4344" s="1406">
        <f t="shared" si="1085"/>
        <v>0</v>
      </c>
      <c r="Q4344" s="1394">
        <f>IFERROR(VLOOKUP(M4344,#REF!,3,0),0)</f>
        <v>0</v>
      </c>
      <c r="R4344" s="1394">
        <f t="shared" si="1091"/>
        <v>0</v>
      </c>
      <c r="S4344" s="1394">
        <f>IFERROR(VLOOKUP(M4344,#REF!,6,0),0)</f>
        <v>0</v>
      </c>
      <c r="T4344" s="1394">
        <f t="shared" si="1082"/>
        <v>0</v>
      </c>
      <c r="U4344" s="1394">
        <f>IFERROR(VLOOKUP(M4344,#REF!,5,0),0)</f>
        <v>0</v>
      </c>
      <c r="V4344" s="1394">
        <f t="shared" si="1083"/>
        <v>0</v>
      </c>
      <c r="W4344" s="1394"/>
    </row>
    <row r="4345" spans="2:23" ht="30" customHeight="1">
      <c r="B4345" s="1407"/>
      <c r="C4345" s="1412" t="str">
        <f t="shared" si="1093"/>
        <v>Cross wall between Record Room / Hall</v>
      </c>
      <c r="D4345" s="103">
        <f t="shared" si="1090"/>
        <v>2</v>
      </c>
      <c r="E4345" s="103">
        <f t="shared" si="1092"/>
        <v>1</v>
      </c>
      <c r="F4345" s="1413">
        <f t="shared" si="1092"/>
        <v>1.85</v>
      </c>
      <c r="G4345" s="1413"/>
      <c r="H4345" s="1414">
        <f t="shared" si="1094"/>
        <v>0.1</v>
      </c>
      <c r="I4345" s="1406">
        <f t="shared" si="1085"/>
        <v>0.37000000000000005</v>
      </c>
      <c r="Q4345" s="1394">
        <f>IFERROR(VLOOKUP(M4345,#REF!,3,0),0)</f>
        <v>0</v>
      </c>
      <c r="R4345" s="1394">
        <f t="shared" si="1091"/>
        <v>0</v>
      </c>
      <c r="S4345" s="1394">
        <f>IFERROR(VLOOKUP(M4345,#REF!,6,0),0)</f>
        <v>0</v>
      </c>
      <c r="T4345" s="1394">
        <f t="shared" si="1082"/>
        <v>0</v>
      </c>
      <c r="U4345" s="1394">
        <f>IFERROR(VLOOKUP(M4345,#REF!,5,0),0)</f>
        <v>0</v>
      </c>
      <c r="V4345" s="1394">
        <f t="shared" si="1083"/>
        <v>0</v>
      </c>
      <c r="W4345" s="1394"/>
    </row>
    <row r="4346" spans="2:23" ht="30" customHeight="1">
      <c r="B4346" s="1407"/>
      <c r="C4346" s="1455" t="str">
        <f t="shared" si="1093"/>
        <v>Cross wall between Record Room / Interrogation</v>
      </c>
      <c r="D4346" s="103">
        <f t="shared" si="1090"/>
        <v>2</v>
      </c>
      <c r="E4346" s="103">
        <f t="shared" si="1092"/>
        <v>1</v>
      </c>
      <c r="F4346" s="1413">
        <f t="shared" si="1092"/>
        <v>2</v>
      </c>
      <c r="G4346" s="1413"/>
      <c r="H4346" s="1414">
        <f t="shared" si="1094"/>
        <v>0.1</v>
      </c>
      <c r="I4346" s="1406">
        <f t="shared" si="1085"/>
        <v>0.4</v>
      </c>
      <c r="Q4346" s="1394">
        <f>IFERROR(VLOOKUP(M4346,#REF!,3,0),0)</f>
        <v>0</v>
      </c>
      <c r="R4346" s="1394">
        <f t="shared" si="1091"/>
        <v>0</v>
      </c>
      <c r="S4346" s="1394">
        <f>IFERROR(VLOOKUP(M4346,#REF!,6,0),0)</f>
        <v>0</v>
      </c>
      <c r="T4346" s="1394">
        <f t="shared" si="1082"/>
        <v>0</v>
      </c>
      <c r="U4346" s="1394">
        <f>IFERROR(VLOOKUP(M4346,#REF!,5,0),0)</f>
        <v>0</v>
      </c>
      <c r="V4346" s="1394">
        <f t="shared" si="1083"/>
        <v>0</v>
      </c>
      <c r="W4346" s="1394"/>
    </row>
    <row r="4347" spans="2:23" ht="30" customHeight="1">
      <c r="B4347" s="1407"/>
      <c r="C4347" s="1455" t="str">
        <f t="shared" si="1093"/>
        <v xml:space="preserve">C/B Wall </v>
      </c>
      <c r="D4347" s="103">
        <f t="shared" si="1090"/>
        <v>2</v>
      </c>
      <c r="E4347" s="103">
        <f t="shared" si="1092"/>
        <v>1</v>
      </c>
      <c r="F4347" s="1413">
        <f t="shared" si="1092"/>
        <v>0.6</v>
      </c>
      <c r="G4347" s="1413"/>
      <c r="H4347" s="1414">
        <f t="shared" si="1094"/>
        <v>0.1</v>
      </c>
      <c r="I4347" s="1406">
        <f t="shared" si="1085"/>
        <v>0.12</v>
      </c>
      <c r="Q4347" s="1394">
        <f>IFERROR(VLOOKUP(M4347,#REF!,3,0),0)</f>
        <v>0</v>
      </c>
      <c r="R4347" s="1394">
        <f t="shared" si="1091"/>
        <v>0</v>
      </c>
      <c r="S4347" s="1394">
        <f>IFERROR(VLOOKUP(M4347,#REF!,6,0),0)</f>
        <v>0</v>
      </c>
      <c r="T4347" s="1394">
        <f t="shared" si="1082"/>
        <v>0</v>
      </c>
      <c r="U4347" s="1394">
        <f>IFERROR(VLOOKUP(M4347,#REF!,5,0),0)</f>
        <v>0</v>
      </c>
      <c r="V4347" s="1394">
        <f t="shared" si="1083"/>
        <v>0</v>
      </c>
      <c r="W4347" s="1394"/>
    </row>
    <row r="4348" spans="2:23" ht="30" customHeight="1">
      <c r="B4348" s="1407"/>
      <c r="C4348" s="1455" t="str">
        <f t="shared" si="1093"/>
        <v>Introgation Room</v>
      </c>
      <c r="D4348" s="103">
        <f t="shared" si="1090"/>
        <v>0</v>
      </c>
      <c r="E4348" s="103">
        <f t="shared" si="1092"/>
        <v>0</v>
      </c>
      <c r="F4348" s="1413">
        <f t="shared" si="1092"/>
        <v>0</v>
      </c>
      <c r="G4348" s="1413"/>
      <c r="H4348" s="1414">
        <f t="shared" si="1094"/>
        <v>0</v>
      </c>
      <c r="I4348" s="1406">
        <f t="shared" si="1085"/>
        <v>0</v>
      </c>
      <c r="Q4348" s="1394">
        <f>IFERROR(VLOOKUP(M4348,#REF!,3,0),0)</f>
        <v>0</v>
      </c>
      <c r="R4348" s="1394">
        <f t="shared" si="1091"/>
        <v>0</v>
      </c>
      <c r="S4348" s="1394">
        <f>IFERROR(VLOOKUP(M4348,#REF!,6,0),0)</f>
        <v>0</v>
      </c>
      <c r="T4348" s="1394">
        <f t="shared" si="1082"/>
        <v>0</v>
      </c>
      <c r="U4348" s="1394">
        <f>IFERROR(VLOOKUP(M4348,#REF!,5,0),0)</f>
        <v>0</v>
      </c>
      <c r="V4348" s="1394">
        <f t="shared" si="1083"/>
        <v>0</v>
      </c>
      <c r="W4348" s="1394"/>
    </row>
    <row r="4349" spans="2:23" ht="30" customHeight="1">
      <c r="B4349" s="1407"/>
      <c r="C4349" s="1412" t="str">
        <f t="shared" si="1093"/>
        <v>Cross wall between  Introgation Room / Hall</v>
      </c>
      <c r="D4349" s="103">
        <f t="shared" si="1090"/>
        <v>2</v>
      </c>
      <c r="E4349" s="103">
        <f t="shared" si="1092"/>
        <v>1</v>
      </c>
      <c r="F4349" s="1413">
        <f t="shared" si="1092"/>
        <v>1</v>
      </c>
      <c r="G4349" s="1413"/>
      <c r="H4349" s="1414">
        <f t="shared" si="1094"/>
        <v>0.1</v>
      </c>
      <c r="I4349" s="1406">
        <f t="shared" si="1085"/>
        <v>0.2</v>
      </c>
      <c r="Q4349" s="1394">
        <f>IFERROR(VLOOKUP(M4349,#REF!,3,0),0)</f>
        <v>0</v>
      </c>
      <c r="R4349" s="1394">
        <f t="shared" si="1091"/>
        <v>0</v>
      </c>
      <c r="S4349" s="1394">
        <f>IFERROR(VLOOKUP(M4349,#REF!,6,0),0)</f>
        <v>0</v>
      </c>
      <c r="T4349" s="1394">
        <f t="shared" si="1082"/>
        <v>0</v>
      </c>
      <c r="U4349" s="1394">
        <f>IFERROR(VLOOKUP(M4349,#REF!,5,0),0)</f>
        <v>0</v>
      </c>
      <c r="V4349" s="1394">
        <f t="shared" si="1083"/>
        <v>0</v>
      </c>
      <c r="W4349" s="1394"/>
    </row>
    <row r="4350" spans="2:23" ht="30" customHeight="1">
      <c r="B4350" s="1407"/>
      <c r="C4350" s="1455" t="str">
        <f t="shared" si="1093"/>
        <v xml:space="preserve">C/B Wall </v>
      </c>
      <c r="D4350" s="103">
        <f t="shared" si="1090"/>
        <v>2</v>
      </c>
      <c r="E4350" s="103">
        <f t="shared" si="1092"/>
        <v>1</v>
      </c>
      <c r="F4350" s="1413">
        <f t="shared" si="1092"/>
        <v>0.6</v>
      </c>
      <c r="G4350" s="1413"/>
      <c r="H4350" s="1414">
        <f t="shared" si="1094"/>
        <v>0.1</v>
      </c>
      <c r="I4350" s="1406">
        <f t="shared" si="1085"/>
        <v>0.12</v>
      </c>
      <c r="Q4350" s="1394">
        <f>IFERROR(VLOOKUP(M4350,#REF!,3,0),0)</f>
        <v>0</v>
      </c>
      <c r="R4350" s="1394">
        <f t="shared" si="1091"/>
        <v>0</v>
      </c>
      <c r="S4350" s="1394">
        <f>IFERROR(VLOOKUP(M4350,#REF!,6,0),0)</f>
        <v>0</v>
      </c>
      <c r="T4350" s="1394">
        <f t="shared" si="1082"/>
        <v>0</v>
      </c>
      <c r="U4350" s="1394">
        <f>IFERROR(VLOOKUP(M4350,#REF!,5,0),0)</f>
        <v>0</v>
      </c>
      <c r="V4350" s="1394">
        <f t="shared" si="1083"/>
        <v>0</v>
      </c>
      <c r="W4350" s="1394"/>
    </row>
    <row r="4351" spans="2:23" ht="30" customHeight="1">
      <c r="B4351" s="1407"/>
      <c r="C4351" s="1455" t="str">
        <f t="shared" si="1093"/>
        <v>Toilet wall</v>
      </c>
      <c r="D4351" s="103">
        <f t="shared" si="1090"/>
        <v>2</v>
      </c>
      <c r="E4351" s="103">
        <f t="shared" si="1092"/>
        <v>1</v>
      </c>
      <c r="F4351" s="1413">
        <f t="shared" si="1092"/>
        <v>1.2350000000000001</v>
      </c>
      <c r="G4351" s="1413"/>
      <c r="H4351" s="1414">
        <f t="shared" si="1094"/>
        <v>0.1</v>
      </c>
      <c r="I4351" s="1406">
        <f t="shared" si="1085"/>
        <v>0.24700000000000003</v>
      </c>
      <c r="Q4351" s="1394">
        <f>IFERROR(VLOOKUP(M4351,#REF!,3,0),0)</f>
        <v>0</v>
      </c>
      <c r="R4351" s="1394">
        <f t="shared" si="1091"/>
        <v>0</v>
      </c>
      <c r="S4351" s="1394">
        <f>IFERROR(VLOOKUP(M4351,#REF!,6,0),0)</f>
        <v>0</v>
      </c>
      <c r="T4351" s="1394">
        <f t="shared" si="1082"/>
        <v>0</v>
      </c>
      <c r="U4351" s="1394">
        <f>IFERROR(VLOOKUP(M4351,#REF!,5,0),0)</f>
        <v>0</v>
      </c>
      <c r="V4351" s="1394">
        <f t="shared" si="1083"/>
        <v>0</v>
      </c>
      <c r="W4351" s="1394"/>
    </row>
    <row r="4352" spans="2:23" ht="30" customHeight="1">
      <c r="B4352" s="1407"/>
      <c r="C4352" s="1455">
        <f t="shared" si="1093"/>
        <v>0</v>
      </c>
      <c r="D4352" s="103">
        <f>D978</f>
        <v>0</v>
      </c>
      <c r="E4352" s="103">
        <f t="shared" si="1092"/>
        <v>0</v>
      </c>
      <c r="F4352" s="1413">
        <f t="shared" si="1092"/>
        <v>0</v>
      </c>
      <c r="G4352" s="1413">
        <f>G978</f>
        <v>0</v>
      </c>
      <c r="H4352" s="1414">
        <f t="shared" si="1094"/>
        <v>0</v>
      </c>
      <c r="I4352" s="1406">
        <f t="shared" si="1085"/>
        <v>0</v>
      </c>
      <c r="Q4352" s="1394">
        <f>IFERROR(VLOOKUP(M4352,#REF!,3,0),0)</f>
        <v>0</v>
      </c>
      <c r="R4352" s="1394">
        <f t="shared" si="1091"/>
        <v>0</v>
      </c>
      <c r="S4352" s="1394">
        <f>IFERROR(VLOOKUP(M4352,#REF!,6,0),0)</f>
        <v>0</v>
      </c>
      <c r="T4352" s="1394">
        <f t="shared" si="1082"/>
        <v>0</v>
      </c>
      <c r="U4352" s="1394">
        <f>IFERROR(VLOOKUP(M4352,#REF!,5,0),0)</f>
        <v>0</v>
      </c>
      <c r="V4352" s="1394">
        <f t="shared" si="1083"/>
        <v>0</v>
      </c>
      <c r="W4352" s="1394"/>
    </row>
    <row r="4353" spans="2:23" ht="30" customHeight="1">
      <c r="B4353" s="1405"/>
      <c r="C4353" s="1408" t="str">
        <f t="shared" ref="C4353:G4357" si="1095">C993</f>
        <v>Waist slab-5</v>
      </c>
      <c r="D4353" s="1409">
        <f t="shared" si="1095"/>
        <v>1</v>
      </c>
      <c r="E4353" s="1409">
        <f t="shared" si="1095"/>
        <v>1</v>
      </c>
      <c r="F4353" s="1410">
        <f t="shared" si="1095"/>
        <v>3.75</v>
      </c>
      <c r="G4353" s="1410">
        <f t="shared" si="1095"/>
        <v>1.2</v>
      </c>
      <c r="H4353" s="1473"/>
      <c r="I4353" s="1406">
        <f t="shared" si="1085"/>
        <v>4.5</v>
      </c>
      <c r="O4353" s="1469"/>
      <c r="Q4353" s="1394">
        <f>IFERROR(VLOOKUP(M4353,#REF!,3,0),0)</f>
        <v>0</v>
      </c>
      <c r="R4353" s="1394">
        <f t="shared" si="1091"/>
        <v>0</v>
      </c>
      <c r="S4353" s="1394">
        <f>IFERROR(VLOOKUP(M4353,#REF!,6,0),0)</f>
        <v>0</v>
      </c>
      <c r="T4353" s="1394">
        <f t="shared" si="1082"/>
        <v>0</v>
      </c>
      <c r="U4353" s="1394">
        <f>IFERROR(VLOOKUP(M4353,#REF!,5,0),0)</f>
        <v>0</v>
      </c>
      <c r="V4353" s="1394">
        <f t="shared" si="1083"/>
        <v>0</v>
      </c>
      <c r="W4353" s="1394"/>
    </row>
    <row r="4354" spans="2:23" ht="30" customHeight="1">
      <c r="B4354" s="1405"/>
      <c r="C4354" s="1408" t="str">
        <f t="shared" si="1095"/>
        <v>Landing slab</v>
      </c>
      <c r="D4354" s="1409">
        <f t="shared" si="1095"/>
        <v>1</v>
      </c>
      <c r="E4354" s="1409">
        <f t="shared" si="1095"/>
        <v>1</v>
      </c>
      <c r="F4354" s="1410">
        <f t="shared" si="1095"/>
        <v>3.16</v>
      </c>
      <c r="G4354" s="1410">
        <f t="shared" si="1095"/>
        <v>1.2</v>
      </c>
      <c r="H4354" s="1410"/>
      <c r="I4354" s="1406">
        <f t="shared" si="1085"/>
        <v>3.7919999999999998</v>
      </c>
      <c r="O4354" s="1395"/>
      <c r="Q4354" s="1394">
        <f>IFERROR(VLOOKUP(M4354,#REF!,3,0),0)</f>
        <v>0</v>
      </c>
      <c r="R4354" s="1394">
        <f t="shared" si="1091"/>
        <v>0</v>
      </c>
      <c r="S4354" s="1394">
        <f>IFERROR(VLOOKUP(M4354,#REF!,6,0),0)</f>
        <v>0</v>
      </c>
      <c r="T4354" s="1394">
        <f t="shared" si="1082"/>
        <v>0</v>
      </c>
      <c r="U4354" s="1394">
        <f>IFERROR(VLOOKUP(M4354,#REF!,5,0),0)</f>
        <v>0</v>
      </c>
      <c r="V4354" s="1394">
        <f t="shared" si="1083"/>
        <v>0</v>
      </c>
      <c r="W4354" s="1394"/>
    </row>
    <row r="4355" spans="2:23" ht="30" customHeight="1">
      <c r="B4355" s="1405"/>
      <c r="C4355" s="1408" t="str">
        <f t="shared" si="1095"/>
        <v>Waist slab-6</v>
      </c>
      <c r="D4355" s="1409">
        <f t="shared" si="1095"/>
        <v>1</v>
      </c>
      <c r="E4355" s="1409">
        <f t="shared" si="1095"/>
        <v>1</v>
      </c>
      <c r="F4355" s="1410">
        <f t="shared" si="1095"/>
        <v>3.4</v>
      </c>
      <c r="G4355" s="1410">
        <f t="shared" si="1095"/>
        <v>1.2</v>
      </c>
      <c r="H4355" s="1410"/>
      <c r="I4355" s="1406">
        <f t="shared" si="1085"/>
        <v>4.08</v>
      </c>
      <c r="O4355" s="1395"/>
      <c r="Q4355" s="1394">
        <f>IFERROR(VLOOKUP(M4355,#REF!,3,0),0)</f>
        <v>0</v>
      </c>
      <c r="R4355" s="1394">
        <f t="shared" si="1091"/>
        <v>0</v>
      </c>
      <c r="S4355" s="1394">
        <f>IFERROR(VLOOKUP(M4355,#REF!,6,0),0)</f>
        <v>0</v>
      </c>
      <c r="T4355" s="1394">
        <f t="shared" ref="T4355:T4418" si="1096">R4355-S4355</f>
        <v>0</v>
      </c>
      <c r="U4355" s="1394">
        <f>IFERROR(VLOOKUP(M4355,#REF!,5,0),0)</f>
        <v>0</v>
      </c>
      <c r="V4355" s="1394">
        <f t="shared" ref="V4355:V4418" si="1097">O4355-U4355</f>
        <v>0</v>
      </c>
      <c r="W4355" s="1394"/>
    </row>
    <row r="4356" spans="2:23" ht="30" customHeight="1">
      <c r="B4356" s="1407"/>
      <c r="C4356" s="1480" t="str">
        <f t="shared" si="1095"/>
        <v>Staircase steps</v>
      </c>
      <c r="D4356" s="1409">
        <f t="shared" si="1095"/>
        <v>0.5</v>
      </c>
      <c r="E4356" s="1409">
        <f t="shared" si="1095"/>
        <v>21</v>
      </c>
      <c r="F4356" s="1410">
        <f t="shared" si="1095"/>
        <v>1.2</v>
      </c>
      <c r="G4356" s="1410">
        <f t="shared" si="1095"/>
        <v>0.3</v>
      </c>
      <c r="H4356" s="1410"/>
      <c r="I4356" s="1406">
        <f t="shared" si="1085"/>
        <v>3.78</v>
      </c>
      <c r="Q4356" s="1394">
        <f>IFERROR(VLOOKUP(M4356,#REF!,3,0),0)</f>
        <v>0</v>
      </c>
      <c r="R4356" s="1394">
        <f t="shared" si="1091"/>
        <v>0</v>
      </c>
      <c r="S4356" s="1394">
        <f>IFERROR(VLOOKUP(M4356,#REF!,6,0),0)</f>
        <v>0</v>
      </c>
      <c r="T4356" s="1394">
        <f t="shared" si="1096"/>
        <v>0</v>
      </c>
      <c r="U4356" s="1394">
        <f>IFERROR(VLOOKUP(M4356,#REF!,5,0),0)</f>
        <v>0</v>
      </c>
      <c r="V4356" s="1394">
        <f t="shared" si="1097"/>
        <v>0</v>
      </c>
      <c r="W4356" s="1394"/>
    </row>
    <row r="4357" spans="2:23" ht="30" customHeight="1">
      <c r="B4357" s="1405"/>
      <c r="C4357" s="1408">
        <f t="shared" si="1095"/>
        <v>0</v>
      </c>
      <c r="D4357" s="1409">
        <f t="shared" si="1095"/>
        <v>0</v>
      </c>
      <c r="E4357" s="1409">
        <f t="shared" si="1095"/>
        <v>0</v>
      </c>
      <c r="F4357" s="1410">
        <f t="shared" si="1095"/>
        <v>0</v>
      </c>
      <c r="G4357" s="1410">
        <f t="shared" si="1095"/>
        <v>0</v>
      </c>
      <c r="H4357" s="1410">
        <f>H997</f>
        <v>0</v>
      </c>
      <c r="I4357" s="1406">
        <f t="shared" si="1085"/>
        <v>0</v>
      </c>
      <c r="O4357" s="1395"/>
      <c r="Q4357" s="1394">
        <f>IFERROR(VLOOKUP(M4357,#REF!,3,0),0)</f>
        <v>0</v>
      </c>
      <c r="R4357" s="1394">
        <f t="shared" si="1091"/>
        <v>0</v>
      </c>
      <c r="S4357" s="1394">
        <f>IFERROR(VLOOKUP(M4357,#REF!,6,0),0)</f>
        <v>0</v>
      </c>
      <c r="T4357" s="1394">
        <f t="shared" si="1096"/>
        <v>0</v>
      </c>
      <c r="U4357" s="1394">
        <f>IFERROR(VLOOKUP(M4357,#REF!,5,0),0)</f>
        <v>0</v>
      </c>
      <c r="V4357" s="1394">
        <f t="shared" si="1097"/>
        <v>0</v>
      </c>
      <c r="W4357" s="1394"/>
    </row>
    <row r="4358" spans="2:23" ht="30" customHeight="1">
      <c r="B4358" s="1405"/>
      <c r="C4358" s="1408" t="s">
        <v>541</v>
      </c>
      <c r="D4358" s="1409">
        <f t="shared" ref="D4358:G4359" si="1098">D998</f>
        <v>0</v>
      </c>
      <c r="E4358" s="1409">
        <f t="shared" si="1098"/>
        <v>0</v>
      </c>
      <c r="F4358" s="1410">
        <f t="shared" si="1098"/>
        <v>0</v>
      </c>
      <c r="G4358" s="1410">
        <f t="shared" si="1098"/>
        <v>0</v>
      </c>
      <c r="H4358" s="1411">
        <f>H998</f>
        <v>0</v>
      </c>
      <c r="I4358" s="1406">
        <f t="shared" si="1085"/>
        <v>0</v>
      </c>
      <c r="O4358" s="1395"/>
      <c r="Q4358" s="1394">
        <f>IFERROR(VLOOKUP(M4358,#REF!,3,0),0)</f>
        <v>0</v>
      </c>
      <c r="R4358" s="1394">
        <f t="shared" si="1091"/>
        <v>0</v>
      </c>
      <c r="S4358" s="1394">
        <f>IFERROR(VLOOKUP(M4358,#REF!,6,0),0)</f>
        <v>0</v>
      </c>
      <c r="T4358" s="1394">
        <f t="shared" si="1096"/>
        <v>0</v>
      </c>
      <c r="U4358" s="1394">
        <f>IFERROR(VLOOKUP(M4358,#REF!,5,0),0)</f>
        <v>0</v>
      </c>
      <c r="V4358" s="1394">
        <f t="shared" si="1097"/>
        <v>0</v>
      </c>
      <c r="W4358" s="1394"/>
    </row>
    <row r="4359" spans="2:23" ht="30" customHeight="1">
      <c r="B4359" s="1405"/>
      <c r="C4359" s="1415" t="str">
        <f t="shared" ref="C4359:C4385" si="1099">C999</f>
        <v>Horizontal beam</v>
      </c>
      <c r="D4359" s="1409">
        <f t="shared" si="1098"/>
        <v>0</v>
      </c>
      <c r="E4359" s="1409">
        <f t="shared" si="1098"/>
        <v>0</v>
      </c>
      <c r="F4359" s="1410">
        <f t="shared" si="1098"/>
        <v>0</v>
      </c>
      <c r="G4359" s="1410">
        <f t="shared" si="1098"/>
        <v>0</v>
      </c>
      <c r="H4359" s="1411">
        <f>H999</f>
        <v>0</v>
      </c>
      <c r="I4359" s="1406">
        <f t="shared" ref="I4359:I4442" si="1100">PRODUCT(D4359:H4359)</f>
        <v>0</v>
      </c>
      <c r="O4359" s="1395"/>
      <c r="Q4359" s="1394">
        <f>IFERROR(VLOOKUP(M4359,#REF!,3,0),0)</f>
        <v>0</v>
      </c>
      <c r="R4359" s="1394">
        <f t="shared" si="1091"/>
        <v>0</v>
      </c>
      <c r="S4359" s="1394">
        <f>IFERROR(VLOOKUP(M4359,#REF!,6,0),0)</f>
        <v>0</v>
      </c>
      <c r="T4359" s="1394">
        <f t="shared" si="1096"/>
        <v>0</v>
      </c>
      <c r="U4359" s="1394">
        <f>IFERROR(VLOOKUP(M4359,#REF!,5,0),0)</f>
        <v>0</v>
      </c>
      <c r="V4359" s="1394">
        <f t="shared" si="1097"/>
        <v>0</v>
      </c>
      <c r="W4359" s="1394"/>
    </row>
    <row r="4360" spans="2:23" ht="30" customHeight="1">
      <c r="B4360" s="1405"/>
      <c r="C4360" s="1415" t="str">
        <f t="shared" si="1099"/>
        <v>A1 to B1 , A5 to B5 , A6 to B6 &amp; A7 to B7</v>
      </c>
      <c r="D4360" s="1409">
        <f t="shared" ref="D4360:D4384" si="1101">D1000*2</f>
        <v>2</v>
      </c>
      <c r="E4360" s="1409">
        <f t="shared" ref="E4360:F4385" si="1102">E1000</f>
        <v>4</v>
      </c>
      <c r="F4360" s="1410">
        <f t="shared" si="1102"/>
        <v>4.2300000000000004</v>
      </c>
      <c r="G4360" s="1410"/>
      <c r="H4360" s="1410">
        <f t="shared" ref="H4360:H4384" si="1103">H1000-0.125</f>
        <v>0.255</v>
      </c>
      <c r="I4360" s="1406">
        <f t="shared" si="1100"/>
        <v>8.6292000000000009</v>
      </c>
      <c r="O4360" s="1395"/>
      <c r="Q4360" s="1394">
        <f>IFERROR(VLOOKUP(M4360,#REF!,3,0),0)</f>
        <v>0</v>
      </c>
      <c r="R4360" s="1394">
        <f t="shared" si="1091"/>
        <v>0</v>
      </c>
      <c r="S4360" s="1394">
        <f>IFERROR(VLOOKUP(M4360,#REF!,6,0),0)</f>
        <v>0</v>
      </c>
      <c r="T4360" s="1394">
        <f t="shared" si="1096"/>
        <v>0</v>
      </c>
      <c r="U4360" s="1394">
        <f>IFERROR(VLOOKUP(M4360,#REF!,5,0),0)</f>
        <v>0</v>
      </c>
      <c r="V4360" s="1394">
        <f t="shared" si="1097"/>
        <v>0</v>
      </c>
      <c r="W4360" s="1394"/>
    </row>
    <row r="4361" spans="2:23" ht="30" customHeight="1">
      <c r="B4361" s="1405"/>
      <c r="C4361" s="1408" t="str">
        <f t="shared" si="1099"/>
        <v>A8 to H8</v>
      </c>
      <c r="D4361" s="1409">
        <f t="shared" si="1101"/>
        <v>2</v>
      </c>
      <c r="E4361" s="1409">
        <f t="shared" si="1102"/>
        <v>1</v>
      </c>
      <c r="F4361" s="1410">
        <f t="shared" si="1102"/>
        <v>18.575000000000003</v>
      </c>
      <c r="G4361" s="1410"/>
      <c r="H4361" s="1410">
        <f t="shared" si="1103"/>
        <v>0.255</v>
      </c>
      <c r="I4361" s="1406">
        <f t="shared" ref="I4361:I4384" si="1104">PRODUCT(D4361:H4361)</f>
        <v>9.4732500000000019</v>
      </c>
      <c r="Q4361" s="1394">
        <f>IFERROR(VLOOKUP(M4361,#REF!,3,0),0)</f>
        <v>0</v>
      </c>
      <c r="R4361" s="1394">
        <f t="shared" si="1091"/>
        <v>0</v>
      </c>
      <c r="S4361" s="1394">
        <f>IFERROR(VLOOKUP(M4361,#REF!,6,0),0)</f>
        <v>0</v>
      </c>
      <c r="T4361" s="1394">
        <f t="shared" si="1096"/>
        <v>0</v>
      </c>
      <c r="U4361" s="1394">
        <f>IFERROR(VLOOKUP(M4361,#REF!,5,0),0)</f>
        <v>0</v>
      </c>
      <c r="V4361" s="1394">
        <f t="shared" si="1097"/>
        <v>0</v>
      </c>
      <c r="W4361" s="1394"/>
    </row>
    <row r="4362" spans="2:23" ht="30" customHeight="1">
      <c r="B4362" s="1405"/>
      <c r="C4362" s="1408" t="str">
        <f t="shared" si="1099"/>
        <v>B5 to G5</v>
      </c>
      <c r="D4362" s="1409">
        <f t="shared" si="1101"/>
        <v>2</v>
      </c>
      <c r="E4362" s="1409">
        <f t="shared" si="1102"/>
        <v>1</v>
      </c>
      <c r="F4362" s="1410">
        <f t="shared" si="1102"/>
        <v>10.35</v>
      </c>
      <c r="G4362" s="1410"/>
      <c r="H4362" s="1410">
        <f t="shared" si="1103"/>
        <v>0.255</v>
      </c>
      <c r="I4362" s="1406">
        <f t="shared" si="1104"/>
        <v>5.2785000000000002</v>
      </c>
      <c r="J4362" s="1397"/>
      <c r="K4362" s="1397"/>
      <c r="Q4362" s="1394">
        <f>IFERROR(VLOOKUP(M4362,#REF!,3,0),0)</f>
        <v>0</v>
      </c>
      <c r="R4362" s="1394">
        <f t="shared" si="1091"/>
        <v>0</v>
      </c>
      <c r="S4362" s="1394">
        <f>IFERROR(VLOOKUP(M4362,#REF!,6,0),0)</f>
        <v>0</v>
      </c>
      <c r="T4362" s="1394">
        <f t="shared" si="1096"/>
        <v>0</v>
      </c>
      <c r="U4362" s="1394">
        <f>IFERROR(VLOOKUP(M4362,#REF!,5,0),0)</f>
        <v>0</v>
      </c>
      <c r="V4362" s="1394">
        <f t="shared" si="1097"/>
        <v>0</v>
      </c>
      <c r="W4362" s="1394"/>
    </row>
    <row r="4363" spans="2:23" ht="30" customHeight="1">
      <c r="B4363" s="1405"/>
      <c r="C4363" s="1408" t="str">
        <f t="shared" si="1099"/>
        <v>B3 to G3</v>
      </c>
      <c r="D4363" s="1409">
        <f t="shared" si="1101"/>
        <v>2</v>
      </c>
      <c r="E4363" s="1409">
        <f t="shared" si="1102"/>
        <v>1</v>
      </c>
      <c r="F4363" s="1410">
        <f t="shared" si="1102"/>
        <v>10.35</v>
      </c>
      <c r="G4363" s="1410"/>
      <c r="H4363" s="1410">
        <f t="shared" si="1103"/>
        <v>0.32500000000000001</v>
      </c>
      <c r="I4363" s="1406">
        <f t="shared" si="1104"/>
        <v>6.7275</v>
      </c>
      <c r="J4363" s="1397"/>
      <c r="K4363" s="1397"/>
      <c r="Q4363" s="1394">
        <f>IFERROR(VLOOKUP(M4363,#REF!,3,0),0)</f>
        <v>0</v>
      </c>
      <c r="R4363" s="1394">
        <f t="shared" si="1091"/>
        <v>0</v>
      </c>
      <c r="S4363" s="1394">
        <f>IFERROR(VLOOKUP(M4363,#REF!,6,0),0)</f>
        <v>0</v>
      </c>
      <c r="T4363" s="1394">
        <f t="shared" si="1096"/>
        <v>0</v>
      </c>
      <c r="U4363" s="1394">
        <f>IFERROR(VLOOKUP(M4363,#REF!,5,0),0)</f>
        <v>0</v>
      </c>
      <c r="V4363" s="1394">
        <f t="shared" si="1097"/>
        <v>0</v>
      </c>
      <c r="W4363" s="1394"/>
    </row>
    <row r="4364" spans="2:23" ht="30" customHeight="1">
      <c r="B4364" s="1405"/>
      <c r="C4364" s="1408" t="str">
        <f t="shared" si="1099"/>
        <v>B7 to G7</v>
      </c>
      <c r="D4364" s="1409">
        <f t="shared" si="1101"/>
        <v>2</v>
      </c>
      <c r="E4364" s="1409">
        <f t="shared" si="1102"/>
        <v>1</v>
      </c>
      <c r="F4364" s="1410">
        <f t="shared" si="1102"/>
        <v>10.35</v>
      </c>
      <c r="G4364" s="1410"/>
      <c r="H4364" s="1410">
        <f t="shared" si="1103"/>
        <v>0.47499999999999998</v>
      </c>
      <c r="I4364" s="1406">
        <f t="shared" si="1104"/>
        <v>9.8324999999999996</v>
      </c>
      <c r="Q4364" s="1394">
        <f>IFERROR(VLOOKUP(M4364,#REF!,3,0),0)</f>
        <v>0</v>
      </c>
      <c r="R4364" s="1394">
        <f t="shared" si="1091"/>
        <v>0</v>
      </c>
      <c r="S4364" s="1394">
        <f>IFERROR(VLOOKUP(M4364,#REF!,6,0),0)</f>
        <v>0</v>
      </c>
      <c r="T4364" s="1394">
        <f t="shared" si="1096"/>
        <v>0</v>
      </c>
      <c r="U4364" s="1394">
        <f>IFERROR(VLOOKUP(M4364,#REF!,5,0),0)</f>
        <v>0</v>
      </c>
      <c r="V4364" s="1394">
        <f t="shared" si="1097"/>
        <v>0</v>
      </c>
      <c r="W4364" s="1394"/>
    </row>
    <row r="4365" spans="2:23" ht="30" customHeight="1">
      <c r="B4365" s="1405"/>
      <c r="C4365" s="1408" t="str">
        <f t="shared" si="1099"/>
        <v>B4 to F4</v>
      </c>
      <c r="D4365" s="1409">
        <f t="shared" si="1101"/>
        <v>2</v>
      </c>
      <c r="E4365" s="1409">
        <f t="shared" si="1102"/>
        <v>1</v>
      </c>
      <c r="F4365" s="1410">
        <f t="shared" si="1102"/>
        <v>6.8849999999999998</v>
      </c>
      <c r="G4365" s="1410"/>
      <c r="H4365" s="1410">
        <f t="shared" si="1103"/>
        <v>0.255</v>
      </c>
      <c r="I4365" s="1406">
        <f t="shared" si="1104"/>
        <v>3.5113499999999997</v>
      </c>
      <c r="Q4365" s="1394">
        <f>IFERROR(VLOOKUP(M4365,#REF!,3,0),0)</f>
        <v>0</v>
      </c>
      <c r="R4365" s="1394">
        <f t="shared" si="1091"/>
        <v>0</v>
      </c>
      <c r="S4365" s="1394">
        <f>IFERROR(VLOOKUP(M4365,#REF!,6,0),0)</f>
        <v>0</v>
      </c>
      <c r="T4365" s="1394">
        <f t="shared" si="1096"/>
        <v>0</v>
      </c>
      <c r="U4365" s="1394">
        <f>IFERROR(VLOOKUP(M4365,#REF!,5,0),0)</f>
        <v>0</v>
      </c>
      <c r="V4365" s="1394">
        <f t="shared" si="1097"/>
        <v>0</v>
      </c>
      <c r="W4365" s="1394"/>
    </row>
    <row r="4366" spans="2:23" ht="30" customHeight="1">
      <c r="B4366" s="1405"/>
      <c r="C4366" s="1408" t="str">
        <f t="shared" si="1099"/>
        <v>OTS Cross Beam</v>
      </c>
      <c r="D4366" s="1409">
        <f t="shared" si="1101"/>
        <v>2</v>
      </c>
      <c r="E4366" s="1409">
        <f t="shared" si="1102"/>
        <v>1</v>
      </c>
      <c r="F4366" s="1410">
        <f t="shared" si="1102"/>
        <v>4.2300000000000004</v>
      </c>
      <c r="G4366" s="1410"/>
      <c r="H4366" s="1410">
        <f t="shared" si="1103"/>
        <v>0.255</v>
      </c>
      <c r="I4366" s="1406">
        <f t="shared" si="1104"/>
        <v>2.1573000000000002</v>
      </c>
      <c r="Q4366" s="1394">
        <f>IFERROR(VLOOKUP(M4366,#REF!,3,0),0)</f>
        <v>0</v>
      </c>
      <c r="R4366" s="1394">
        <f t="shared" si="1091"/>
        <v>0</v>
      </c>
      <c r="S4366" s="1394">
        <f>IFERROR(VLOOKUP(M4366,#REF!,6,0),0)</f>
        <v>0</v>
      </c>
      <c r="T4366" s="1394">
        <f t="shared" si="1096"/>
        <v>0</v>
      </c>
      <c r="U4366" s="1394">
        <f>IFERROR(VLOOKUP(M4366,#REF!,5,0),0)</f>
        <v>0</v>
      </c>
      <c r="V4366" s="1394">
        <f t="shared" si="1097"/>
        <v>0</v>
      </c>
      <c r="W4366" s="1394"/>
    </row>
    <row r="4367" spans="2:23" ht="30" customHeight="1">
      <c r="B4367" s="1405"/>
      <c r="C4367" s="1408" t="str">
        <f t="shared" si="1099"/>
        <v>OTS Cross Beam</v>
      </c>
      <c r="D4367" s="1409">
        <f t="shared" si="1101"/>
        <v>2</v>
      </c>
      <c r="E4367" s="1409">
        <f t="shared" si="1102"/>
        <v>1</v>
      </c>
      <c r="F4367" s="1410">
        <f t="shared" si="1102"/>
        <v>3.9950000000000001</v>
      </c>
      <c r="G4367" s="1410"/>
      <c r="H4367" s="1410">
        <f t="shared" si="1103"/>
        <v>0.255</v>
      </c>
      <c r="I4367" s="1406">
        <f t="shared" si="1104"/>
        <v>2.0374500000000002</v>
      </c>
      <c r="J4367" s="1396"/>
      <c r="K4367" s="1396"/>
      <c r="Q4367" s="1394">
        <f>IFERROR(VLOOKUP(M4367,#REF!,3,0),0)</f>
        <v>0</v>
      </c>
      <c r="R4367" s="1394">
        <f t="shared" si="1091"/>
        <v>0</v>
      </c>
      <c r="S4367" s="1394">
        <f>IFERROR(VLOOKUP(M4367,#REF!,6,0),0)</f>
        <v>0</v>
      </c>
      <c r="T4367" s="1394">
        <f t="shared" si="1096"/>
        <v>0</v>
      </c>
      <c r="U4367" s="1394">
        <f>IFERROR(VLOOKUP(M4367,#REF!,5,0),0)</f>
        <v>0</v>
      </c>
      <c r="V4367" s="1394">
        <f t="shared" si="1097"/>
        <v>0</v>
      </c>
      <c r="W4367" s="1394"/>
    </row>
    <row r="4368" spans="2:23" ht="30" customHeight="1">
      <c r="B4368" s="1405"/>
      <c r="C4368" s="1408" t="str">
        <f t="shared" si="1099"/>
        <v>G3 to H3 , G5 to H5 , G6 to H6 &amp; G7 to H7</v>
      </c>
      <c r="D4368" s="1409">
        <f t="shared" si="1101"/>
        <v>2</v>
      </c>
      <c r="E4368" s="1409">
        <f t="shared" si="1102"/>
        <v>4</v>
      </c>
      <c r="F4368" s="1410">
        <f t="shared" si="1102"/>
        <v>3.9950000000000001</v>
      </c>
      <c r="G4368" s="1410"/>
      <c r="H4368" s="1410">
        <f t="shared" si="1103"/>
        <v>0.255</v>
      </c>
      <c r="I4368" s="1406">
        <f t="shared" si="1104"/>
        <v>8.1498000000000008</v>
      </c>
      <c r="Q4368" s="1394">
        <f>IFERROR(VLOOKUP(M4368,#REF!,3,0),0)</f>
        <v>0</v>
      </c>
      <c r="R4368" s="1394">
        <f t="shared" si="1091"/>
        <v>0</v>
      </c>
      <c r="S4368" s="1394">
        <f>IFERROR(VLOOKUP(M4368,#REF!,6,0),0)</f>
        <v>0</v>
      </c>
      <c r="T4368" s="1394">
        <f t="shared" si="1096"/>
        <v>0</v>
      </c>
      <c r="U4368" s="1394">
        <f>IFERROR(VLOOKUP(M4368,#REF!,5,0),0)</f>
        <v>0</v>
      </c>
      <c r="V4368" s="1394">
        <f t="shared" si="1097"/>
        <v>0</v>
      </c>
      <c r="W4368" s="1394"/>
    </row>
    <row r="4369" spans="2:23" ht="30" customHeight="1">
      <c r="B4369" s="1405"/>
      <c r="C4369" s="1408" t="str">
        <f t="shared" si="1099"/>
        <v>Cross beams</v>
      </c>
      <c r="D4369" s="1409">
        <f t="shared" si="1101"/>
        <v>2</v>
      </c>
      <c r="E4369" s="1409">
        <f t="shared" si="1102"/>
        <v>1</v>
      </c>
      <c r="F4369" s="1410">
        <f t="shared" si="1102"/>
        <v>1.7350000000000001</v>
      </c>
      <c r="G4369" s="1410"/>
      <c r="H4369" s="1410">
        <f t="shared" si="1103"/>
        <v>0.255</v>
      </c>
      <c r="I4369" s="1406">
        <f t="shared" si="1104"/>
        <v>0.88485000000000003</v>
      </c>
      <c r="Q4369" s="1394">
        <f>IFERROR(VLOOKUP(M4369,#REF!,3,0),0)</f>
        <v>0</v>
      </c>
      <c r="R4369" s="1394">
        <f t="shared" si="1091"/>
        <v>0</v>
      </c>
      <c r="S4369" s="1394">
        <f>IFERROR(VLOOKUP(M4369,#REF!,6,0),0)</f>
        <v>0</v>
      </c>
      <c r="T4369" s="1394">
        <f t="shared" si="1096"/>
        <v>0</v>
      </c>
      <c r="U4369" s="1394">
        <f>IFERROR(VLOOKUP(M4369,#REF!,5,0),0)</f>
        <v>0</v>
      </c>
      <c r="V4369" s="1394">
        <f t="shared" si="1097"/>
        <v>0</v>
      </c>
      <c r="W4369" s="1394"/>
    </row>
    <row r="4370" spans="2:23" ht="30" customHeight="1">
      <c r="B4370" s="1405"/>
      <c r="C4370" s="1408" t="str">
        <f t="shared" si="1099"/>
        <v>Cross beams</v>
      </c>
      <c r="D4370" s="1409">
        <f t="shared" si="1101"/>
        <v>2</v>
      </c>
      <c r="E4370" s="1409">
        <f t="shared" si="1102"/>
        <v>1</v>
      </c>
      <c r="F4370" s="1410">
        <f t="shared" si="1102"/>
        <v>3.7650000000000001</v>
      </c>
      <c r="G4370" s="1410"/>
      <c r="H4370" s="1410">
        <f t="shared" si="1103"/>
        <v>0.255</v>
      </c>
      <c r="I4370" s="1406">
        <f t="shared" si="1104"/>
        <v>1.92015</v>
      </c>
      <c r="Q4370" s="1394">
        <f>IFERROR(VLOOKUP(M4370,#REF!,3,0),0)</f>
        <v>0</v>
      </c>
      <c r="R4370" s="1394">
        <f t="shared" si="1091"/>
        <v>0</v>
      </c>
      <c r="S4370" s="1394">
        <f>IFERROR(VLOOKUP(M4370,#REF!,6,0),0)</f>
        <v>0</v>
      </c>
      <c r="T4370" s="1394">
        <f t="shared" si="1096"/>
        <v>0</v>
      </c>
      <c r="U4370" s="1394">
        <f>IFERROR(VLOOKUP(M4370,#REF!,5,0),0)</f>
        <v>0</v>
      </c>
      <c r="V4370" s="1394">
        <f t="shared" si="1097"/>
        <v>0</v>
      </c>
      <c r="W4370" s="1394"/>
    </row>
    <row r="4371" spans="2:23" ht="30" customHeight="1">
      <c r="B4371" s="1405"/>
      <c r="C4371" s="1408" t="str">
        <f t="shared" si="1099"/>
        <v>Vertical beam</v>
      </c>
      <c r="D4371" s="1409">
        <f t="shared" si="1101"/>
        <v>0</v>
      </c>
      <c r="E4371" s="1409">
        <f t="shared" si="1102"/>
        <v>0</v>
      </c>
      <c r="F4371" s="1410">
        <f t="shared" si="1102"/>
        <v>0</v>
      </c>
      <c r="G4371" s="1410"/>
      <c r="H4371" s="1410">
        <f t="shared" si="1103"/>
        <v>-0.125</v>
      </c>
      <c r="I4371" s="1406">
        <f t="shared" si="1104"/>
        <v>0</v>
      </c>
      <c r="Q4371" s="1394">
        <f>IFERROR(VLOOKUP(M4371,#REF!,3,0),0)</f>
        <v>0</v>
      </c>
      <c r="R4371" s="1394">
        <f t="shared" si="1091"/>
        <v>0</v>
      </c>
      <c r="S4371" s="1394">
        <f>IFERROR(VLOOKUP(M4371,#REF!,6,0),0)</f>
        <v>0</v>
      </c>
      <c r="T4371" s="1394">
        <f t="shared" si="1096"/>
        <v>0</v>
      </c>
      <c r="U4371" s="1394">
        <f>IFERROR(VLOOKUP(M4371,#REF!,5,0),0)</f>
        <v>0</v>
      </c>
      <c r="V4371" s="1394">
        <f t="shared" si="1097"/>
        <v>0</v>
      </c>
      <c r="W4371" s="1394"/>
    </row>
    <row r="4372" spans="2:23" ht="30" customHeight="1">
      <c r="B4372" s="1405"/>
      <c r="C4372" s="1415" t="str">
        <f t="shared" si="1099"/>
        <v>A3 To A5</v>
      </c>
      <c r="D4372" s="1409">
        <f t="shared" si="1101"/>
        <v>2</v>
      </c>
      <c r="E4372" s="1409">
        <f t="shared" si="1102"/>
        <v>1</v>
      </c>
      <c r="F4372" s="1410">
        <f t="shared" si="1102"/>
        <v>5.5299999999999994</v>
      </c>
      <c r="G4372" s="1410"/>
      <c r="H4372" s="1410">
        <f t="shared" si="1103"/>
        <v>0.32500000000000001</v>
      </c>
      <c r="I4372" s="1406">
        <f t="shared" si="1104"/>
        <v>3.5944999999999996</v>
      </c>
      <c r="Q4372" s="1394">
        <f>IFERROR(VLOOKUP(M4372,#REF!,3,0),0)</f>
        <v>0</v>
      </c>
      <c r="R4372" s="1394">
        <f t="shared" si="1091"/>
        <v>0</v>
      </c>
      <c r="S4372" s="1394">
        <f>IFERROR(VLOOKUP(M4372,#REF!,6,0),0)</f>
        <v>0</v>
      </c>
      <c r="T4372" s="1394">
        <f t="shared" si="1096"/>
        <v>0</v>
      </c>
      <c r="U4372" s="1394">
        <f>IFERROR(VLOOKUP(M4372,#REF!,5,0),0)</f>
        <v>0</v>
      </c>
      <c r="V4372" s="1394">
        <f t="shared" si="1097"/>
        <v>0</v>
      </c>
      <c r="W4372" s="1394"/>
    </row>
    <row r="4373" spans="2:23" ht="30" customHeight="1">
      <c r="B4373" s="1405"/>
      <c r="C4373" s="1408" t="str">
        <f t="shared" si="1099"/>
        <v>A5 To A8</v>
      </c>
      <c r="D4373" s="1409">
        <f t="shared" si="1101"/>
        <v>2</v>
      </c>
      <c r="E4373" s="1409">
        <f t="shared" si="1102"/>
        <v>1</v>
      </c>
      <c r="F4373" s="1410">
        <f t="shared" si="1102"/>
        <v>10.120000000000001</v>
      </c>
      <c r="G4373" s="1410"/>
      <c r="H4373" s="1410">
        <f t="shared" si="1103"/>
        <v>0.255</v>
      </c>
      <c r="I4373" s="1406">
        <f t="shared" si="1104"/>
        <v>5.1612000000000009</v>
      </c>
      <c r="Q4373" s="1394">
        <f>IFERROR(VLOOKUP(M4373,#REF!,3,0),0)</f>
        <v>0</v>
      </c>
      <c r="R4373" s="1394">
        <f t="shared" si="1091"/>
        <v>0</v>
      </c>
      <c r="S4373" s="1394">
        <f>IFERROR(VLOOKUP(M4373,#REF!,6,0),0)</f>
        <v>0</v>
      </c>
      <c r="T4373" s="1394">
        <f t="shared" si="1096"/>
        <v>0</v>
      </c>
      <c r="U4373" s="1394">
        <f>IFERROR(VLOOKUP(M4373,#REF!,5,0),0)</f>
        <v>0</v>
      </c>
      <c r="V4373" s="1394">
        <f t="shared" si="1097"/>
        <v>0</v>
      </c>
      <c r="W4373" s="1394"/>
    </row>
    <row r="4374" spans="2:23" ht="30" customHeight="1">
      <c r="B4374" s="1405"/>
      <c r="C4374" s="1408" t="str">
        <f t="shared" si="1099"/>
        <v>B3 To B8</v>
      </c>
      <c r="D4374" s="1409">
        <f t="shared" si="1101"/>
        <v>2</v>
      </c>
      <c r="E4374" s="1409">
        <f t="shared" si="1102"/>
        <v>1</v>
      </c>
      <c r="F4374" s="1410">
        <f t="shared" si="1102"/>
        <v>15.649999999999999</v>
      </c>
      <c r="G4374" s="1410"/>
      <c r="H4374" s="1410">
        <f t="shared" si="1103"/>
        <v>0.255</v>
      </c>
      <c r="I4374" s="1406">
        <f t="shared" si="1104"/>
        <v>7.9814999999999996</v>
      </c>
      <c r="Q4374" s="1394">
        <f>IFERROR(VLOOKUP(M4374,#REF!,3,0),0)</f>
        <v>0</v>
      </c>
      <c r="R4374" s="1394">
        <f t="shared" si="1091"/>
        <v>0</v>
      </c>
      <c r="S4374" s="1394">
        <f>IFERROR(VLOOKUP(M4374,#REF!,6,0),0)</f>
        <v>0</v>
      </c>
      <c r="T4374" s="1394">
        <f t="shared" si="1096"/>
        <v>0</v>
      </c>
      <c r="U4374" s="1394">
        <f>IFERROR(VLOOKUP(M4374,#REF!,5,0),0)</f>
        <v>0</v>
      </c>
      <c r="V4374" s="1394">
        <f t="shared" si="1097"/>
        <v>0</v>
      </c>
      <c r="W4374" s="1394"/>
    </row>
    <row r="4375" spans="2:23" ht="30" customHeight="1">
      <c r="B4375" s="1405"/>
      <c r="C4375" s="1408" t="str">
        <f t="shared" si="1099"/>
        <v>Cross beams</v>
      </c>
      <c r="D4375" s="1409">
        <f t="shared" si="1101"/>
        <v>2</v>
      </c>
      <c r="E4375" s="1409">
        <f t="shared" si="1102"/>
        <v>1</v>
      </c>
      <c r="F4375" s="1410">
        <f t="shared" si="1102"/>
        <v>4.13</v>
      </c>
      <c r="G4375" s="1410"/>
      <c r="H4375" s="1410">
        <f t="shared" si="1103"/>
        <v>0.255</v>
      </c>
      <c r="I4375" s="1406">
        <f t="shared" si="1104"/>
        <v>2.1063000000000001</v>
      </c>
      <c r="Q4375" s="1394">
        <f>IFERROR(VLOOKUP(M4375,#REF!,3,0),0)</f>
        <v>0</v>
      </c>
      <c r="R4375" s="1394">
        <f t="shared" si="1091"/>
        <v>0</v>
      </c>
      <c r="S4375" s="1394">
        <f>IFERROR(VLOOKUP(M4375,#REF!,6,0),0)</f>
        <v>0</v>
      </c>
      <c r="T4375" s="1394">
        <f t="shared" si="1096"/>
        <v>0</v>
      </c>
      <c r="U4375" s="1394">
        <f>IFERROR(VLOOKUP(M4375,#REF!,5,0),0)</f>
        <v>0</v>
      </c>
      <c r="V4375" s="1394">
        <f t="shared" si="1097"/>
        <v>0</v>
      </c>
      <c r="W4375" s="1394"/>
    </row>
    <row r="4376" spans="2:23" ht="30" customHeight="1">
      <c r="B4376" s="1405"/>
      <c r="C4376" s="1408" t="str">
        <f t="shared" si="1099"/>
        <v>Cross beams</v>
      </c>
      <c r="D4376" s="1409">
        <f t="shared" si="1101"/>
        <v>2</v>
      </c>
      <c r="E4376" s="1409">
        <f t="shared" si="1102"/>
        <v>1</v>
      </c>
      <c r="F4376" s="1410">
        <f t="shared" si="1102"/>
        <v>4.13</v>
      </c>
      <c r="G4376" s="1410"/>
      <c r="H4376" s="1410">
        <f t="shared" si="1103"/>
        <v>0.32500000000000001</v>
      </c>
      <c r="I4376" s="1406">
        <f t="shared" si="1104"/>
        <v>2.6844999999999999</v>
      </c>
      <c r="Q4376" s="1394">
        <f>IFERROR(VLOOKUP(M4376,#REF!,3,0),0)</f>
        <v>0</v>
      </c>
      <c r="R4376" s="1394">
        <f t="shared" si="1091"/>
        <v>0</v>
      </c>
      <c r="S4376" s="1394">
        <f>IFERROR(VLOOKUP(M4376,#REF!,6,0),0)</f>
        <v>0</v>
      </c>
      <c r="T4376" s="1394">
        <f t="shared" si="1096"/>
        <v>0</v>
      </c>
      <c r="U4376" s="1394">
        <f>IFERROR(VLOOKUP(M4376,#REF!,5,0),0)</f>
        <v>0</v>
      </c>
      <c r="V4376" s="1394">
        <f t="shared" si="1097"/>
        <v>0</v>
      </c>
      <c r="W4376" s="1394"/>
    </row>
    <row r="4377" spans="2:23" ht="30" customHeight="1">
      <c r="B4377" s="1405"/>
      <c r="C4377" s="1408" t="str">
        <f t="shared" si="1099"/>
        <v>C4 to C5</v>
      </c>
      <c r="D4377" s="1409">
        <f t="shared" si="1101"/>
        <v>2</v>
      </c>
      <c r="E4377" s="1409">
        <f t="shared" si="1102"/>
        <v>1</v>
      </c>
      <c r="F4377" s="1410">
        <f t="shared" si="1102"/>
        <v>2.5299999999999998</v>
      </c>
      <c r="G4377" s="1410"/>
      <c r="H4377" s="1410">
        <f t="shared" si="1103"/>
        <v>0.32500000000000001</v>
      </c>
      <c r="I4377" s="1406">
        <f t="shared" si="1104"/>
        <v>1.6444999999999999</v>
      </c>
      <c r="Q4377" s="1394">
        <f>IFERROR(VLOOKUP(M4377,#REF!,3,0),0)</f>
        <v>0</v>
      </c>
      <c r="R4377" s="1394">
        <f t="shared" si="1091"/>
        <v>0</v>
      </c>
      <c r="S4377" s="1394">
        <f>IFERROR(VLOOKUP(M4377,#REF!,6,0),0)</f>
        <v>0</v>
      </c>
      <c r="T4377" s="1394">
        <f t="shared" si="1096"/>
        <v>0</v>
      </c>
      <c r="U4377" s="1394">
        <f>IFERROR(VLOOKUP(M4377,#REF!,5,0),0)</f>
        <v>0</v>
      </c>
      <c r="V4377" s="1394">
        <f t="shared" si="1097"/>
        <v>0</v>
      </c>
      <c r="W4377" s="1394"/>
    </row>
    <row r="4378" spans="2:23" ht="30" customHeight="1">
      <c r="B4378" s="1405"/>
      <c r="C4378" s="1408" t="str">
        <f t="shared" si="1099"/>
        <v xml:space="preserve">C5 to C7 &amp; F5 to F7 </v>
      </c>
      <c r="D4378" s="1409">
        <f t="shared" si="1101"/>
        <v>2</v>
      </c>
      <c r="E4378" s="1409">
        <f t="shared" si="1102"/>
        <v>2</v>
      </c>
      <c r="F4378" s="1410">
        <f t="shared" si="1102"/>
        <v>5.99</v>
      </c>
      <c r="G4378" s="1410"/>
      <c r="H4378" s="1410">
        <f t="shared" si="1103"/>
        <v>0.47499999999999998</v>
      </c>
      <c r="I4378" s="1406">
        <f t="shared" si="1104"/>
        <v>11.381</v>
      </c>
      <c r="Q4378" s="1394">
        <f>IFERROR(VLOOKUP(M4378,#REF!,3,0),0)</f>
        <v>0</v>
      </c>
      <c r="R4378" s="1394">
        <f t="shared" si="1091"/>
        <v>0</v>
      </c>
      <c r="S4378" s="1394">
        <f>IFERROR(VLOOKUP(M4378,#REF!,6,0),0)</f>
        <v>0</v>
      </c>
      <c r="T4378" s="1394">
        <f t="shared" si="1096"/>
        <v>0</v>
      </c>
      <c r="U4378" s="1394">
        <f>IFERROR(VLOOKUP(M4378,#REF!,5,0),0)</f>
        <v>0</v>
      </c>
      <c r="V4378" s="1394">
        <f t="shared" si="1097"/>
        <v>0</v>
      </c>
      <c r="W4378" s="1394"/>
    </row>
    <row r="4379" spans="2:23" ht="30" customHeight="1">
      <c r="B4379" s="1405"/>
      <c r="C4379" s="1408" t="str">
        <f t="shared" si="1099"/>
        <v>F3 to F5</v>
      </c>
      <c r="D4379" s="1409">
        <f t="shared" si="1101"/>
        <v>2</v>
      </c>
      <c r="E4379" s="1409">
        <f t="shared" si="1102"/>
        <v>1</v>
      </c>
      <c r="F4379" s="1410">
        <f t="shared" si="1102"/>
        <v>5.5299999999999994</v>
      </c>
      <c r="G4379" s="1410"/>
      <c r="H4379" s="1410">
        <f t="shared" si="1103"/>
        <v>0.32500000000000001</v>
      </c>
      <c r="I4379" s="1406">
        <f t="shared" si="1104"/>
        <v>3.5944999999999996</v>
      </c>
      <c r="Q4379" s="1394">
        <f>IFERROR(VLOOKUP(M4379,#REF!,3,0),0)</f>
        <v>0</v>
      </c>
      <c r="R4379" s="1394">
        <f t="shared" si="1091"/>
        <v>0</v>
      </c>
      <c r="S4379" s="1394">
        <f>IFERROR(VLOOKUP(M4379,#REF!,6,0),0)</f>
        <v>0</v>
      </c>
      <c r="T4379" s="1394">
        <f t="shared" si="1096"/>
        <v>0</v>
      </c>
      <c r="U4379" s="1394">
        <f>IFERROR(VLOOKUP(M4379,#REF!,5,0),0)</f>
        <v>0</v>
      </c>
      <c r="V4379" s="1394">
        <f t="shared" si="1097"/>
        <v>0</v>
      </c>
      <c r="W4379" s="1394"/>
    </row>
    <row r="4380" spans="2:23" ht="30" customHeight="1">
      <c r="B4380" s="1405"/>
      <c r="C4380" s="1408" t="str">
        <f t="shared" si="1099"/>
        <v>E7 to E8</v>
      </c>
      <c r="D4380" s="1409">
        <f t="shared" si="1101"/>
        <v>2</v>
      </c>
      <c r="E4380" s="1409">
        <f t="shared" si="1102"/>
        <v>1</v>
      </c>
      <c r="F4380" s="1410">
        <f t="shared" si="1102"/>
        <v>4.13</v>
      </c>
      <c r="G4380" s="1410"/>
      <c r="H4380" s="1410">
        <f t="shared" si="1103"/>
        <v>0.255</v>
      </c>
      <c r="I4380" s="1406">
        <f t="shared" si="1104"/>
        <v>2.1063000000000001</v>
      </c>
      <c r="Q4380" s="1394">
        <f>IFERROR(VLOOKUP(M4380,#REF!,3,0),0)</f>
        <v>0</v>
      </c>
      <c r="R4380" s="1394">
        <f t="shared" si="1091"/>
        <v>0</v>
      </c>
      <c r="S4380" s="1394">
        <f>IFERROR(VLOOKUP(M4380,#REF!,6,0),0)</f>
        <v>0</v>
      </c>
      <c r="T4380" s="1394">
        <f t="shared" si="1096"/>
        <v>0</v>
      </c>
      <c r="U4380" s="1394">
        <f>IFERROR(VLOOKUP(M4380,#REF!,5,0),0)</f>
        <v>0</v>
      </c>
      <c r="V4380" s="1394">
        <f t="shared" si="1097"/>
        <v>0</v>
      </c>
      <c r="W4380" s="1394"/>
    </row>
    <row r="4381" spans="2:23" ht="30" customHeight="1">
      <c r="B4381" s="1405"/>
      <c r="C4381" s="1408" t="str">
        <f t="shared" si="1099"/>
        <v>G3 to G7</v>
      </c>
      <c r="D4381" s="1409">
        <f t="shared" si="1101"/>
        <v>2</v>
      </c>
      <c r="E4381" s="1409">
        <f t="shared" si="1102"/>
        <v>1</v>
      </c>
      <c r="F4381" s="1410">
        <f t="shared" si="1102"/>
        <v>11.52</v>
      </c>
      <c r="G4381" s="1410"/>
      <c r="H4381" s="1410">
        <f t="shared" si="1103"/>
        <v>0.32500000000000001</v>
      </c>
      <c r="I4381" s="1406">
        <f t="shared" si="1104"/>
        <v>7.4879999999999995</v>
      </c>
      <c r="Q4381" s="1394">
        <f>IFERROR(VLOOKUP(M4381,#REF!,3,0),0)</f>
        <v>0</v>
      </c>
      <c r="R4381" s="1394">
        <f t="shared" si="1091"/>
        <v>0</v>
      </c>
      <c r="S4381" s="1394">
        <f>IFERROR(VLOOKUP(M4381,#REF!,6,0),0)</f>
        <v>0</v>
      </c>
      <c r="T4381" s="1394">
        <f t="shared" si="1096"/>
        <v>0</v>
      </c>
      <c r="U4381" s="1394">
        <f>IFERROR(VLOOKUP(M4381,#REF!,5,0),0)</f>
        <v>0</v>
      </c>
      <c r="V4381" s="1394">
        <f t="shared" si="1097"/>
        <v>0</v>
      </c>
      <c r="W4381" s="1394"/>
    </row>
    <row r="4382" spans="2:23" ht="30" customHeight="1">
      <c r="B4382" s="1405"/>
      <c r="C4382" s="1408" t="str">
        <f t="shared" si="1099"/>
        <v>G7 to G8</v>
      </c>
      <c r="D4382" s="1409">
        <f t="shared" si="1101"/>
        <v>2</v>
      </c>
      <c r="E4382" s="1409">
        <f t="shared" si="1102"/>
        <v>1</v>
      </c>
      <c r="F4382" s="1410">
        <f t="shared" si="1102"/>
        <v>4.13</v>
      </c>
      <c r="G4382" s="1410"/>
      <c r="H4382" s="1410">
        <f t="shared" si="1103"/>
        <v>0.32500000000000001</v>
      </c>
      <c r="I4382" s="1406">
        <f t="shared" si="1104"/>
        <v>2.6844999999999999</v>
      </c>
      <c r="L4382" s="1413"/>
      <c r="O4382" s="1395"/>
      <c r="Q4382" s="1394">
        <f>IFERROR(VLOOKUP(M4382,#REF!,3,0),0)</f>
        <v>0</v>
      </c>
      <c r="R4382" s="1394">
        <f t="shared" si="1091"/>
        <v>0</v>
      </c>
      <c r="S4382" s="1394">
        <f>IFERROR(VLOOKUP(M4382,#REF!,6,0),0)</f>
        <v>0</v>
      </c>
      <c r="T4382" s="1394">
        <f t="shared" si="1096"/>
        <v>0</v>
      </c>
      <c r="U4382" s="1394">
        <f>IFERROR(VLOOKUP(M4382,#REF!,5,0),0)</f>
        <v>0</v>
      </c>
      <c r="V4382" s="1394">
        <f t="shared" si="1097"/>
        <v>0</v>
      </c>
      <c r="W4382" s="1394"/>
    </row>
    <row r="4383" spans="2:23" ht="30" customHeight="1">
      <c r="B4383" s="1405"/>
      <c r="C4383" s="1408" t="str">
        <f t="shared" si="1099"/>
        <v>H3 To H8</v>
      </c>
      <c r="D4383" s="1409">
        <f t="shared" si="1101"/>
        <v>2</v>
      </c>
      <c r="E4383" s="1409">
        <f t="shared" si="1102"/>
        <v>1</v>
      </c>
      <c r="F4383" s="1410">
        <f t="shared" si="1102"/>
        <v>15.649999999999999</v>
      </c>
      <c r="G4383" s="1410"/>
      <c r="H4383" s="1410">
        <f t="shared" si="1103"/>
        <v>0.32500000000000001</v>
      </c>
      <c r="I4383" s="1406">
        <f t="shared" si="1104"/>
        <v>10.172499999999999</v>
      </c>
      <c r="L4383" s="1413"/>
      <c r="O4383" s="1395"/>
      <c r="Q4383" s="1394">
        <f>IFERROR(VLOOKUP(M4383,#REF!,3,0),0)</f>
        <v>0</v>
      </c>
      <c r="R4383" s="1394">
        <f t="shared" si="1091"/>
        <v>0</v>
      </c>
      <c r="S4383" s="1394">
        <f>IFERROR(VLOOKUP(M4383,#REF!,6,0),0)</f>
        <v>0</v>
      </c>
      <c r="T4383" s="1394">
        <f t="shared" si="1096"/>
        <v>0</v>
      </c>
      <c r="U4383" s="1394">
        <f>IFERROR(VLOOKUP(M4383,#REF!,5,0),0)</f>
        <v>0</v>
      </c>
      <c r="V4383" s="1394">
        <f t="shared" si="1097"/>
        <v>0</v>
      </c>
      <c r="W4383" s="1394"/>
    </row>
    <row r="4384" spans="2:23" ht="30" customHeight="1">
      <c r="B4384" s="1405"/>
      <c r="C4384" s="1408" t="str">
        <f t="shared" si="1099"/>
        <v>Cross beams</v>
      </c>
      <c r="D4384" s="1409">
        <f t="shared" si="1101"/>
        <v>2</v>
      </c>
      <c r="E4384" s="1409">
        <f t="shared" si="1102"/>
        <v>1</v>
      </c>
      <c r="F4384" s="1410">
        <f t="shared" si="1102"/>
        <v>2.77</v>
      </c>
      <c r="G4384" s="1410"/>
      <c r="H4384" s="1410">
        <f t="shared" si="1103"/>
        <v>0.255</v>
      </c>
      <c r="I4384" s="1406">
        <f t="shared" si="1104"/>
        <v>1.4127000000000001</v>
      </c>
      <c r="L4384" s="1413"/>
      <c r="O4384" s="1395"/>
      <c r="Q4384" s="1394">
        <f>IFERROR(VLOOKUP(M4384,#REF!,3,0),0)</f>
        <v>0</v>
      </c>
      <c r="R4384" s="1394">
        <f t="shared" si="1091"/>
        <v>0</v>
      </c>
      <c r="S4384" s="1394">
        <f>IFERROR(VLOOKUP(M4384,#REF!,6,0),0)</f>
        <v>0</v>
      </c>
      <c r="T4384" s="1394">
        <f t="shared" si="1096"/>
        <v>0</v>
      </c>
      <c r="U4384" s="1394">
        <f>IFERROR(VLOOKUP(M4384,#REF!,5,0),0)</f>
        <v>0</v>
      </c>
      <c r="V4384" s="1394">
        <f t="shared" si="1097"/>
        <v>0</v>
      </c>
      <c r="W4384" s="1394"/>
    </row>
    <row r="4385" spans="2:23" ht="30" customHeight="1">
      <c r="B4385" s="1405"/>
      <c r="C4385" s="1408">
        <f t="shared" si="1099"/>
        <v>0</v>
      </c>
      <c r="D4385" s="1409">
        <f>D1025</f>
        <v>0</v>
      </c>
      <c r="E4385" s="1409">
        <f t="shared" si="1102"/>
        <v>0</v>
      </c>
      <c r="F4385" s="1410">
        <f t="shared" si="1102"/>
        <v>0</v>
      </c>
      <c r="G4385" s="1410">
        <f>G1025</f>
        <v>0</v>
      </c>
      <c r="H4385" s="1411">
        <f>H1025</f>
        <v>0</v>
      </c>
      <c r="I4385" s="1406">
        <f t="shared" si="1100"/>
        <v>0</v>
      </c>
      <c r="L4385" s="1413"/>
      <c r="O4385" s="1395"/>
      <c r="Q4385" s="1394">
        <f>IFERROR(VLOOKUP(M4385,#REF!,3,0),0)</f>
        <v>0</v>
      </c>
      <c r="R4385" s="1394">
        <f t="shared" si="1091"/>
        <v>0</v>
      </c>
      <c r="S4385" s="1394">
        <f>IFERROR(VLOOKUP(M4385,#REF!,6,0),0)</f>
        <v>0</v>
      </c>
      <c r="T4385" s="1394">
        <f t="shared" si="1096"/>
        <v>0</v>
      </c>
      <c r="U4385" s="1394">
        <f>IFERROR(VLOOKUP(M4385,#REF!,5,0),0)</f>
        <v>0</v>
      </c>
      <c r="V4385" s="1394">
        <f t="shared" si="1097"/>
        <v>0</v>
      </c>
      <c r="W4385" s="1394"/>
    </row>
    <row r="4386" spans="2:23" ht="30" customHeight="1">
      <c r="B4386" s="1405"/>
      <c r="C4386" s="1415" t="s">
        <v>540</v>
      </c>
      <c r="D4386" s="1409">
        <f t="shared" ref="D4386:H4387" si="1105">D998</f>
        <v>0</v>
      </c>
      <c r="E4386" s="1409">
        <f t="shared" si="1105"/>
        <v>0</v>
      </c>
      <c r="F4386" s="1410">
        <f t="shared" si="1105"/>
        <v>0</v>
      </c>
      <c r="G4386" s="1410">
        <f t="shared" si="1105"/>
        <v>0</v>
      </c>
      <c r="H4386" s="1411">
        <f t="shared" si="1105"/>
        <v>0</v>
      </c>
      <c r="I4386" s="1406">
        <f t="shared" si="1100"/>
        <v>0</v>
      </c>
      <c r="O4386" s="1395"/>
      <c r="Q4386" s="1394">
        <f>IFERROR(VLOOKUP(M4386,#REF!,3,0),0)</f>
        <v>0</v>
      </c>
      <c r="R4386" s="1394">
        <f t="shared" si="1091"/>
        <v>0</v>
      </c>
      <c r="S4386" s="1394">
        <f>IFERROR(VLOOKUP(M4386,#REF!,6,0),0)</f>
        <v>0</v>
      </c>
      <c r="T4386" s="1394">
        <f t="shared" si="1096"/>
        <v>0</v>
      </c>
      <c r="U4386" s="1394">
        <f>IFERROR(VLOOKUP(M4386,#REF!,5,0),0)</f>
        <v>0</v>
      </c>
      <c r="V4386" s="1394">
        <f t="shared" si="1097"/>
        <v>0</v>
      </c>
      <c r="W4386" s="1394"/>
    </row>
    <row r="4387" spans="2:23" ht="30" customHeight="1">
      <c r="B4387" s="1405"/>
      <c r="C4387" s="1408" t="str">
        <f t="shared" ref="C4387:C4418" si="1106">C999</f>
        <v>Horizontal beam</v>
      </c>
      <c r="D4387" s="1409">
        <f t="shared" si="1105"/>
        <v>0</v>
      </c>
      <c r="E4387" s="1409">
        <f t="shared" si="1105"/>
        <v>0</v>
      </c>
      <c r="F4387" s="1410">
        <f t="shared" si="1105"/>
        <v>0</v>
      </c>
      <c r="G4387" s="1410">
        <f t="shared" si="1105"/>
        <v>0</v>
      </c>
      <c r="H4387" s="1411">
        <f t="shared" si="1105"/>
        <v>0</v>
      </c>
      <c r="I4387" s="1406">
        <f t="shared" ref="I4387:I4388" si="1107">PRODUCT(D4387:H4387)</f>
        <v>0</v>
      </c>
      <c r="O4387" s="1395"/>
      <c r="Q4387" s="1394">
        <f>IFERROR(VLOOKUP(M4387,#REF!,3,0),0)</f>
        <v>0</v>
      </c>
      <c r="R4387" s="1394">
        <f t="shared" si="1091"/>
        <v>0</v>
      </c>
      <c r="S4387" s="1394">
        <f>IFERROR(VLOOKUP(M4387,#REF!,6,0),0)</f>
        <v>0</v>
      </c>
      <c r="T4387" s="1394">
        <f t="shared" si="1096"/>
        <v>0</v>
      </c>
      <c r="U4387" s="1394">
        <f>IFERROR(VLOOKUP(M4387,#REF!,5,0),0)</f>
        <v>0</v>
      </c>
      <c r="V4387" s="1394">
        <f t="shared" si="1097"/>
        <v>0</v>
      </c>
      <c r="W4387" s="1394"/>
    </row>
    <row r="4388" spans="2:23" ht="30" customHeight="1">
      <c r="B4388" s="1405"/>
      <c r="C4388" s="1408" t="str">
        <f t="shared" si="1106"/>
        <v>A1 to B1 , A5 to B5 , A6 to B6 &amp; A7 to B7</v>
      </c>
      <c r="D4388" s="1409">
        <f t="shared" ref="D4388:G4407" si="1108">D1000</f>
        <v>1</v>
      </c>
      <c r="E4388" s="1409">
        <f t="shared" si="1108"/>
        <v>4</v>
      </c>
      <c r="F4388" s="1410">
        <f t="shared" si="1108"/>
        <v>4.2300000000000004</v>
      </c>
      <c r="G4388" s="1410">
        <f t="shared" si="1108"/>
        <v>0.23</v>
      </c>
      <c r="H4388" s="1411"/>
      <c r="I4388" s="1406">
        <f t="shared" si="1107"/>
        <v>3.8916000000000004</v>
      </c>
      <c r="O4388" s="1395"/>
      <c r="Q4388" s="1394">
        <f>IFERROR(VLOOKUP(M4388,#REF!,3,0),0)</f>
        <v>0</v>
      </c>
      <c r="R4388" s="1394">
        <f t="shared" si="1091"/>
        <v>0</v>
      </c>
      <c r="S4388" s="1394">
        <f>IFERROR(VLOOKUP(M4388,#REF!,6,0),0)</f>
        <v>0</v>
      </c>
      <c r="T4388" s="1394">
        <f t="shared" si="1096"/>
        <v>0</v>
      </c>
      <c r="U4388" s="1394">
        <f>IFERROR(VLOOKUP(M4388,#REF!,5,0),0)</f>
        <v>0</v>
      </c>
      <c r="V4388" s="1394">
        <f t="shared" si="1097"/>
        <v>0</v>
      </c>
      <c r="W4388" s="1394"/>
    </row>
    <row r="4389" spans="2:23" ht="30" customHeight="1">
      <c r="B4389" s="1405"/>
      <c r="C4389" s="1408" t="str">
        <f t="shared" si="1106"/>
        <v>A8 to H8</v>
      </c>
      <c r="D4389" s="1409">
        <f t="shared" si="1108"/>
        <v>1</v>
      </c>
      <c r="E4389" s="1409">
        <f t="shared" si="1108"/>
        <v>1</v>
      </c>
      <c r="F4389" s="1410">
        <f t="shared" si="1108"/>
        <v>18.575000000000003</v>
      </c>
      <c r="G4389" s="1410">
        <f t="shared" si="1108"/>
        <v>0.23</v>
      </c>
      <c r="H4389" s="1411"/>
      <c r="I4389" s="1406">
        <f t="shared" ref="I4389:I4413" si="1109">PRODUCT(D4389:H4389)</f>
        <v>4.2722500000000005</v>
      </c>
      <c r="M4389" s="110"/>
      <c r="Q4389" s="1394">
        <f>IFERROR(VLOOKUP(M4389,#REF!,3,0),0)</f>
        <v>0</v>
      </c>
      <c r="R4389" s="1394">
        <f t="shared" si="1091"/>
        <v>0</v>
      </c>
      <c r="S4389" s="1394">
        <f>IFERROR(VLOOKUP(M4389,#REF!,6,0),0)</f>
        <v>0</v>
      </c>
      <c r="T4389" s="1394">
        <f t="shared" si="1096"/>
        <v>0</v>
      </c>
      <c r="U4389" s="1394">
        <f>IFERROR(VLOOKUP(M4389,#REF!,5,0),0)</f>
        <v>0</v>
      </c>
      <c r="V4389" s="1394">
        <f t="shared" si="1097"/>
        <v>0</v>
      </c>
      <c r="W4389" s="1394"/>
    </row>
    <row r="4390" spans="2:23" ht="30" customHeight="1">
      <c r="B4390" s="1405"/>
      <c r="C4390" s="1408" t="str">
        <f t="shared" si="1106"/>
        <v>B5 to G5</v>
      </c>
      <c r="D4390" s="1409">
        <f t="shared" si="1108"/>
        <v>1</v>
      </c>
      <c r="E4390" s="1409">
        <f t="shared" si="1108"/>
        <v>1</v>
      </c>
      <c r="F4390" s="1410">
        <f t="shared" si="1108"/>
        <v>10.35</v>
      </c>
      <c r="G4390" s="1410">
        <f t="shared" si="1108"/>
        <v>0.23</v>
      </c>
      <c r="H4390" s="1411"/>
      <c r="I4390" s="1406">
        <f t="shared" si="1109"/>
        <v>2.3805000000000001</v>
      </c>
      <c r="J4390" s="1397"/>
      <c r="K4390" s="1397"/>
      <c r="M4390" s="110"/>
      <c r="Q4390" s="1394">
        <f>IFERROR(VLOOKUP(M4390,#REF!,3,0),0)</f>
        <v>0</v>
      </c>
      <c r="R4390" s="1394">
        <f t="shared" si="1091"/>
        <v>0</v>
      </c>
      <c r="S4390" s="1394">
        <f>IFERROR(VLOOKUP(M4390,#REF!,6,0),0)</f>
        <v>0</v>
      </c>
      <c r="T4390" s="1394">
        <f t="shared" si="1096"/>
        <v>0</v>
      </c>
      <c r="U4390" s="1394">
        <f>IFERROR(VLOOKUP(M4390,#REF!,5,0),0)</f>
        <v>0</v>
      </c>
      <c r="V4390" s="1394">
        <f t="shared" si="1097"/>
        <v>0</v>
      </c>
      <c r="W4390" s="1394"/>
    </row>
    <row r="4391" spans="2:23" ht="30" customHeight="1">
      <c r="B4391" s="1405"/>
      <c r="C4391" s="1408" t="str">
        <f t="shared" si="1106"/>
        <v>B3 to G3</v>
      </c>
      <c r="D4391" s="1409">
        <f t="shared" si="1108"/>
        <v>1</v>
      </c>
      <c r="E4391" s="1409">
        <f t="shared" si="1108"/>
        <v>1</v>
      </c>
      <c r="F4391" s="1410">
        <f t="shared" si="1108"/>
        <v>10.35</v>
      </c>
      <c r="G4391" s="1410">
        <f t="shared" si="1108"/>
        <v>0.23</v>
      </c>
      <c r="H4391" s="1411"/>
      <c r="I4391" s="1406">
        <f t="shared" si="1109"/>
        <v>2.3805000000000001</v>
      </c>
      <c r="J4391" s="1397"/>
      <c r="K4391" s="1397"/>
      <c r="M4391" s="110"/>
      <c r="Q4391" s="1394">
        <f>IFERROR(VLOOKUP(M4391,#REF!,3,0),0)</f>
        <v>0</v>
      </c>
      <c r="R4391" s="1394">
        <f t="shared" si="1091"/>
        <v>0</v>
      </c>
      <c r="S4391" s="1394">
        <f>IFERROR(VLOOKUP(M4391,#REF!,6,0),0)</f>
        <v>0</v>
      </c>
      <c r="T4391" s="1394">
        <f t="shared" si="1096"/>
        <v>0</v>
      </c>
      <c r="U4391" s="1394">
        <f>IFERROR(VLOOKUP(M4391,#REF!,5,0),0)</f>
        <v>0</v>
      </c>
      <c r="V4391" s="1394">
        <f t="shared" si="1097"/>
        <v>0</v>
      </c>
      <c r="W4391" s="1394"/>
    </row>
    <row r="4392" spans="2:23" ht="30" customHeight="1">
      <c r="B4392" s="1405"/>
      <c r="C4392" s="1408" t="str">
        <f t="shared" si="1106"/>
        <v>B7 to G7</v>
      </c>
      <c r="D4392" s="1409">
        <f t="shared" si="1108"/>
        <v>1</v>
      </c>
      <c r="E4392" s="1409">
        <f t="shared" si="1108"/>
        <v>1</v>
      </c>
      <c r="F4392" s="1410">
        <f t="shared" si="1108"/>
        <v>10.35</v>
      </c>
      <c r="G4392" s="1410">
        <f t="shared" si="1108"/>
        <v>0.23</v>
      </c>
      <c r="H4392" s="1411"/>
      <c r="I4392" s="1406">
        <f t="shared" si="1109"/>
        <v>2.3805000000000001</v>
      </c>
      <c r="M4392" s="110"/>
      <c r="Q4392" s="1394">
        <f>IFERROR(VLOOKUP(M4392,#REF!,3,0),0)</f>
        <v>0</v>
      </c>
      <c r="R4392" s="1394">
        <f t="shared" si="1091"/>
        <v>0</v>
      </c>
      <c r="S4392" s="1394">
        <f>IFERROR(VLOOKUP(M4392,#REF!,6,0),0)</f>
        <v>0</v>
      </c>
      <c r="T4392" s="1394">
        <f t="shared" si="1096"/>
        <v>0</v>
      </c>
      <c r="U4392" s="1394">
        <f>IFERROR(VLOOKUP(M4392,#REF!,5,0),0)</f>
        <v>0</v>
      </c>
      <c r="V4392" s="1394">
        <f t="shared" si="1097"/>
        <v>0</v>
      </c>
      <c r="W4392" s="1394"/>
    </row>
    <row r="4393" spans="2:23" ht="30" customHeight="1">
      <c r="B4393" s="1405"/>
      <c r="C4393" s="1408" t="str">
        <f t="shared" si="1106"/>
        <v>B4 to F4</v>
      </c>
      <c r="D4393" s="1409">
        <f t="shared" si="1108"/>
        <v>1</v>
      </c>
      <c r="E4393" s="1409">
        <f t="shared" si="1108"/>
        <v>1</v>
      </c>
      <c r="F4393" s="1410">
        <f t="shared" si="1108"/>
        <v>6.8849999999999998</v>
      </c>
      <c r="G4393" s="1410">
        <f t="shared" si="1108"/>
        <v>0.23</v>
      </c>
      <c r="H4393" s="1411"/>
      <c r="I4393" s="1406">
        <f t="shared" si="1109"/>
        <v>1.58355</v>
      </c>
      <c r="M4393" s="110"/>
      <c r="Q4393" s="1394">
        <f>IFERROR(VLOOKUP(M4393,#REF!,3,0),0)</f>
        <v>0</v>
      </c>
      <c r="R4393" s="1394">
        <f t="shared" si="1091"/>
        <v>0</v>
      </c>
      <c r="S4393" s="1394">
        <f>IFERROR(VLOOKUP(M4393,#REF!,6,0),0)</f>
        <v>0</v>
      </c>
      <c r="T4393" s="1394">
        <f t="shared" si="1096"/>
        <v>0</v>
      </c>
      <c r="U4393" s="1394">
        <f>IFERROR(VLOOKUP(M4393,#REF!,5,0),0)</f>
        <v>0</v>
      </c>
      <c r="V4393" s="1394">
        <f t="shared" si="1097"/>
        <v>0</v>
      </c>
      <c r="W4393" s="1394"/>
    </row>
    <row r="4394" spans="2:23" ht="30" customHeight="1">
      <c r="B4394" s="1405"/>
      <c r="C4394" s="1408" t="str">
        <f t="shared" si="1106"/>
        <v>OTS Cross Beam</v>
      </c>
      <c r="D4394" s="1409">
        <f t="shared" si="1108"/>
        <v>1</v>
      </c>
      <c r="E4394" s="1409">
        <f t="shared" si="1108"/>
        <v>1</v>
      </c>
      <c r="F4394" s="1410">
        <f t="shared" si="1108"/>
        <v>4.2300000000000004</v>
      </c>
      <c r="G4394" s="1410">
        <f t="shared" si="1108"/>
        <v>0.23</v>
      </c>
      <c r="H4394" s="1411"/>
      <c r="I4394" s="1406">
        <f t="shared" si="1109"/>
        <v>0.9729000000000001</v>
      </c>
      <c r="M4394" s="110"/>
      <c r="Q4394" s="1394">
        <f>IFERROR(VLOOKUP(M4394,#REF!,3,0),0)</f>
        <v>0</v>
      </c>
      <c r="R4394" s="1394">
        <f t="shared" si="1091"/>
        <v>0</v>
      </c>
      <c r="S4394" s="1394">
        <f>IFERROR(VLOOKUP(M4394,#REF!,6,0),0)</f>
        <v>0</v>
      </c>
      <c r="T4394" s="1394">
        <f t="shared" si="1096"/>
        <v>0</v>
      </c>
      <c r="U4394" s="1394">
        <f>IFERROR(VLOOKUP(M4394,#REF!,5,0),0)</f>
        <v>0</v>
      </c>
      <c r="V4394" s="1394">
        <f t="shared" si="1097"/>
        <v>0</v>
      </c>
      <c r="W4394" s="1394"/>
    </row>
    <row r="4395" spans="2:23" ht="30" customHeight="1">
      <c r="B4395" s="1405"/>
      <c r="C4395" s="1408" t="str">
        <f t="shared" si="1106"/>
        <v>OTS Cross Beam</v>
      </c>
      <c r="D4395" s="1409">
        <f t="shared" si="1108"/>
        <v>1</v>
      </c>
      <c r="E4395" s="1409">
        <f t="shared" si="1108"/>
        <v>1</v>
      </c>
      <c r="F4395" s="1410">
        <f t="shared" si="1108"/>
        <v>3.9950000000000001</v>
      </c>
      <c r="G4395" s="1410">
        <f t="shared" si="1108"/>
        <v>0.23</v>
      </c>
      <c r="H4395" s="1411"/>
      <c r="I4395" s="1406">
        <f t="shared" si="1109"/>
        <v>0.91885000000000006</v>
      </c>
      <c r="J4395" s="1396"/>
      <c r="K4395" s="1396"/>
      <c r="M4395" s="110"/>
      <c r="Q4395" s="1394">
        <f>IFERROR(VLOOKUP(M4395,#REF!,3,0),0)</f>
        <v>0</v>
      </c>
      <c r="R4395" s="1394">
        <f t="shared" si="1091"/>
        <v>0</v>
      </c>
      <c r="S4395" s="1394">
        <f>IFERROR(VLOOKUP(M4395,#REF!,6,0),0)</f>
        <v>0</v>
      </c>
      <c r="T4395" s="1394">
        <f t="shared" si="1096"/>
        <v>0</v>
      </c>
      <c r="U4395" s="1394">
        <f>IFERROR(VLOOKUP(M4395,#REF!,5,0),0)</f>
        <v>0</v>
      </c>
      <c r="V4395" s="1394">
        <f t="shared" si="1097"/>
        <v>0</v>
      </c>
      <c r="W4395" s="1394"/>
    </row>
    <row r="4396" spans="2:23" ht="30" customHeight="1">
      <c r="B4396" s="1405"/>
      <c r="C4396" s="1408" t="str">
        <f t="shared" si="1106"/>
        <v>G3 to H3 , G5 to H5 , G6 to H6 &amp; G7 to H7</v>
      </c>
      <c r="D4396" s="1409">
        <f t="shared" si="1108"/>
        <v>1</v>
      </c>
      <c r="E4396" s="1409">
        <f t="shared" si="1108"/>
        <v>4</v>
      </c>
      <c r="F4396" s="1410">
        <f t="shared" si="1108"/>
        <v>3.9950000000000001</v>
      </c>
      <c r="G4396" s="1410">
        <f t="shared" si="1108"/>
        <v>0.23</v>
      </c>
      <c r="H4396" s="1411"/>
      <c r="I4396" s="1406">
        <f t="shared" si="1109"/>
        <v>3.6754000000000002</v>
      </c>
      <c r="M4396" s="110"/>
      <c r="Q4396" s="1394">
        <f>IFERROR(VLOOKUP(M4396,#REF!,3,0),0)</f>
        <v>0</v>
      </c>
      <c r="R4396" s="1394">
        <f t="shared" si="1091"/>
        <v>0</v>
      </c>
      <c r="S4396" s="1394">
        <f>IFERROR(VLOOKUP(M4396,#REF!,6,0),0)</f>
        <v>0</v>
      </c>
      <c r="T4396" s="1394">
        <f t="shared" si="1096"/>
        <v>0</v>
      </c>
      <c r="U4396" s="1394">
        <f>IFERROR(VLOOKUP(M4396,#REF!,5,0),0)</f>
        <v>0</v>
      </c>
      <c r="V4396" s="1394">
        <f t="shared" si="1097"/>
        <v>0</v>
      </c>
      <c r="W4396" s="1394"/>
    </row>
    <row r="4397" spans="2:23" ht="30" customHeight="1">
      <c r="B4397" s="1405"/>
      <c r="C4397" s="1408" t="str">
        <f t="shared" si="1106"/>
        <v>Cross beams</v>
      </c>
      <c r="D4397" s="1409">
        <f t="shared" si="1108"/>
        <v>1</v>
      </c>
      <c r="E4397" s="1409">
        <f t="shared" si="1108"/>
        <v>1</v>
      </c>
      <c r="F4397" s="1410">
        <f t="shared" si="1108"/>
        <v>1.7350000000000001</v>
      </c>
      <c r="G4397" s="1410">
        <f t="shared" si="1108"/>
        <v>0.23</v>
      </c>
      <c r="H4397" s="1411"/>
      <c r="I4397" s="1406">
        <f t="shared" si="1109"/>
        <v>0.39905000000000002</v>
      </c>
      <c r="M4397" s="110"/>
      <c r="Q4397" s="1394">
        <f>IFERROR(VLOOKUP(M4397,#REF!,3,0),0)</f>
        <v>0</v>
      </c>
      <c r="R4397" s="1394">
        <f t="shared" si="1091"/>
        <v>0</v>
      </c>
      <c r="S4397" s="1394">
        <f>IFERROR(VLOOKUP(M4397,#REF!,6,0),0)</f>
        <v>0</v>
      </c>
      <c r="T4397" s="1394">
        <f t="shared" si="1096"/>
        <v>0</v>
      </c>
      <c r="U4397" s="1394">
        <f>IFERROR(VLOOKUP(M4397,#REF!,5,0),0)</f>
        <v>0</v>
      </c>
      <c r="V4397" s="1394">
        <f t="shared" si="1097"/>
        <v>0</v>
      </c>
      <c r="W4397" s="1394"/>
    </row>
    <row r="4398" spans="2:23" ht="30" customHeight="1">
      <c r="B4398" s="1405"/>
      <c r="C4398" s="1408" t="str">
        <f t="shared" si="1106"/>
        <v>Cross beams</v>
      </c>
      <c r="D4398" s="1409">
        <f t="shared" si="1108"/>
        <v>1</v>
      </c>
      <c r="E4398" s="1409">
        <f t="shared" si="1108"/>
        <v>1</v>
      </c>
      <c r="F4398" s="1410">
        <f t="shared" si="1108"/>
        <v>3.7650000000000001</v>
      </c>
      <c r="G4398" s="1410">
        <f t="shared" si="1108"/>
        <v>0.23</v>
      </c>
      <c r="H4398" s="1411"/>
      <c r="I4398" s="1406">
        <f t="shared" si="1109"/>
        <v>0.86595000000000011</v>
      </c>
      <c r="M4398" s="110"/>
      <c r="Q4398" s="1394">
        <f>IFERROR(VLOOKUP(M4398,#REF!,3,0),0)</f>
        <v>0</v>
      </c>
      <c r="R4398" s="1394">
        <f t="shared" ref="R4398:R4461" si="1110">ROUND(O4398,2)*ROUND(Q4398,2)</f>
        <v>0</v>
      </c>
      <c r="S4398" s="1394">
        <f>IFERROR(VLOOKUP(M4398,#REF!,6,0),0)</f>
        <v>0</v>
      </c>
      <c r="T4398" s="1394">
        <f t="shared" si="1096"/>
        <v>0</v>
      </c>
      <c r="U4398" s="1394">
        <f>IFERROR(VLOOKUP(M4398,#REF!,5,0),0)</f>
        <v>0</v>
      </c>
      <c r="V4398" s="1394">
        <f t="shared" si="1097"/>
        <v>0</v>
      </c>
      <c r="W4398" s="1394"/>
    </row>
    <row r="4399" spans="2:23" ht="30" customHeight="1">
      <c r="B4399" s="1405"/>
      <c r="C4399" s="1408" t="str">
        <f t="shared" si="1106"/>
        <v>Vertical beam</v>
      </c>
      <c r="D4399" s="1409">
        <f t="shared" si="1108"/>
        <v>0</v>
      </c>
      <c r="E4399" s="1409">
        <f t="shared" si="1108"/>
        <v>0</v>
      </c>
      <c r="F4399" s="1410">
        <f t="shared" si="1108"/>
        <v>0</v>
      </c>
      <c r="G4399" s="1410">
        <f t="shared" si="1108"/>
        <v>0</v>
      </c>
      <c r="H4399" s="1411"/>
      <c r="I4399" s="1406">
        <f t="shared" si="1109"/>
        <v>0</v>
      </c>
      <c r="M4399" s="110"/>
      <c r="Q4399" s="1394">
        <f>IFERROR(VLOOKUP(M4399,#REF!,3,0),0)</f>
        <v>0</v>
      </c>
      <c r="R4399" s="1394">
        <f t="shared" si="1110"/>
        <v>0</v>
      </c>
      <c r="S4399" s="1394">
        <f>IFERROR(VLOOKUP(M4399,#REF!,6,0),0)</f>
        <v>0</v>
      </c>
      <c r="T4399" s="1394">
        <f t="shared" si="1096"/>
        <v>0</v>
      </c>
      <c r="U4399" s="1394">
        <f>IFERROR(VLOOKUP(M4399,#REF!,5,0),0)</f>
        <v>0</v>
      </c>
      <c r="V4399" s="1394">
        <f t="shared" si="1097"/>
        <v>0</v>
      </c>
      <c r="W4399" s="1394"/>
    </row>
    <row r="4400" spans="2:23" ht="30" customHeight="1">
      <c r="B4400" s="1405"/>
      <c r="C4400" s="1408" t="str">
        <f t="shared" si="1106"/>
        <v>A3 To A5</v>
      </c>
      <c r="D4400" s="1409">
        <f t="shared" si="1108"/>
        <v>1</v>
      </c>
      <c r="E4400" s="1409">
        <f t="shared" si="1108"/>
        <v>1</v>
      </c>
      <c r="F4400" s="1410">
        <f t="shared" si="1108"/>
        <v>5.5299999999999994</v>
      </c>
      <c r="G4400" s="1410">
        <f t="shared" si="1108"/>
        <v>0.23</v>
      </c>
      <c r="H4400" s="1411"/>
      <c r="I4400" s="1406">
        <f t="shared" si="1109"/>
        <v>1.2718999999999998</v>
      </c>
      <c r="M4400" s="110"/>
      <c r="Q4400" s="1394">
        <f>IFERROR(VLOOKUP(M4400,#REF!,3,0),0)</f>
        <v>0</v>
      </c>
      <c r="R4400" s="1394">
        <f t="shared" si="1110"/>
        <v>0</v>
      </c>
      <c r="S4400" s="1394">
        <f>IFERROR(VLOOKUP(M4400,#REF!,6,0),0)</f>
        <v>0</v>
      </c>
      <c r="T4400" s="1394">
        <f t="shared" si="1096"/>
        <v>0</v>
      </c>
      <c r="U4400" s="1394">
        <f>IFERROR(VLOOKUP(M4400,#REF!,5,0),0)</f>
        <v>0</v>
      </c>
      <c r="V4400" s="1394">
        <f t="shared" si="1097"/>
        <v>0</v>
      </c>
      <c r="W4400" s="1394"/>
    </row>
    <row r="4401" spans="2:23" ht="30" customHeight="1">
      <c r="B4401" s="1405"/>
      <c r="C4401" s="1408" t="str">
        <f t="shared" si="1106"/>
        <v>A5 To A8</v>
      </c>
      <c r="D4401" s="1409">
        <f t="shared" si="1108"/>
        <v>1</v>
      </c>
      <c r="E4401" s="1409">
        <f t="shared" si="1108"/>
        <v>1</v>
      </c>
      <c r="F4401" s="1410">
        <f t="shared" si="1108"/>
        <v>10.120000000000001</v>
      </c>
      <c r="G4401" s="1410">
        <f t="shared" si="1108"/>
        <v>0.23</v>
      </c>
      <c r="H4401" s="1411"/>
      <c r="I4401" s="1406">
        <f t="shared" si="1109"/>
        <v>2.3276000000000003</v>
      </c>
      <c r="M4401" s="110"/>
      <c r="Q4401" s="1394">
        <f>IFERROR(VLOOKUP(M4401,#REF!,3,0),0)</f>
        <v>0</v>
      </c>
      <c r="R4401" s="1394">
        <f t="shared" si="1110"/>
        <v>0</v>
      </c>
      <c r="S4401" s="1394">
        <f>IFERROR(VLOOKUP(M4401,#REF!,6,0),0)</f>
        <v>0</v>
      </c>
      <c r="T4401" s="1394">
        <f t="shared" si="1096"/>
        <v>0</v>
      </c>
      <c r="U4401" s="1394">
        <f>IFERROR(VLOOKUP(M4401,#REF!,5,0),0)</f>
        <v>0</v>
      </c>
      <c r="V4401" s="1394">
        <f t="shared" si="1097"/>
        <v>0</v>
      </c>
      <c r="W4401" s="1394"/>
    </row>
    <row r="4402" spans="2:23" ht="30" customHeight="1">
      <c r="B4402" s="1405"/>
      <c r="C4402" s="1408" t="str">
        <f t="shared" si="1106"/>
        <v>B3 To B8</v>
      </c>
      <c r="D4402" s="1409">
        <f t="shared" si="1108"/>
        <v>1</v>
      </c>
      <c r="E4402" s="1409">
        <f t="shared" si="1108"/>
        <v>1</v>
      </c>
      <c r="F4402" s="1410">
        <f t="shared" si="1108"/>
        <v>15.649999999999999</v>
      </c>
      <c r="G4402" s="1410">
        <f t="shared" si="1108"/>
        <v>0.23</v>
      </c>
      <c r="H4402" s="1411"/>
      <c r="I4402" s="1406">
        <f t="shared" si="1109"/>
        <v>3.5994999999999999</v>
      </c>
      <c r="M4402" s="110"/>
      <c r="Q4402" s="1394">
        <f>IFERROR(VLOOKUP(M4402,#REF!,3,0),0)</f>
        <v>0</v>
      </c>
      <c r="R4402" s="1394">
        <f t="shared" si="1110"/>
        <v>0</v>
      </c>
      <c r="S4402" s="1394">
        <f>IFERROR(VLOOKUP(M4402,#REF!,6,0),0)</f>
        <v>0</v>
      </c>
      <c r="T4402" s="1394">
        <f t="shared" si="1096"/>
        <v>0</v>
      </c>
      <c r="U4402" s="1394">
        <f>IFERROR(VLOOKUP(M4402,#REF!,5,0),0)</f>
        <v>0</v>
      </c>
      <c r="V4402" s="1394">
        <f t="shared" si="1097"/>
        <v>0</v>
      </c>
      <c r="W4402" s="1394"/>
    </row>
    <row r="4403" spans="2:23" ht="30" customHeight="1">
      <c r="B4403" s="1405"/>
      <c r="C4403" s="1408" t="str">
        <f t="shared" si="1106"/>
        <v>Cross beams</v>
      </c>
      <c r="D4403" s="1409">
        <f t="shared" si="1108"/>
        <v>1</v>
      </c>
      <c r="E4403" s="1409">
        <f t="shared" si="1108"/>
        <v>1</v>
      </c>
      <c r="F4403" s="1410">
        <f t="shared" si="1108"/>
        <v>4.13</v>
      </c>
      <c r="G4403" s="1410">
        <f t="shared" si="1108"/>
        <v>0.23</v>
      </c>
      <c r="H4403" s="1411"/>
      <c r="I4403" s="1406">
        <f t="shared" si="1109"/>
        <v>0.94989999999999997</v>
      </c>
      <c r="M4403" s="110"/>
      <c r="Q4403" s="1394">
        <f>IFERROR(VLOOKUP(M4403,#REF!,3,0),0)</f>
        <v>0</v>
      </c>
      <c r="R4403" s="1394">
        <f t="shared" si="1110"/>
        <v>0</v>
      </c>
      <c r="S4403" s="1394">
        <f>IFERROR(VLOOKUP(M4403,#REF!,6,0),0)</f>
        <v>0</v>
      </c>
      <c r="T4403" s="1394">
        <f t="shared" si="1096"/>
        <v>0</v>
      </c>
      <c r="U4403" s="1394">
        <f>IFERROR(VLOOKUP(M4403,#REF!,5,0),0)</f>
        <v>0</v>
      </c>
      <c r="V4403" s="1394">
        <f t="shared" si="1097"/>
        <v>0</v>
      </c>
      <c r="W4403" s="1394"/>
    </row>
    <row r="4404" spans="2:23" ht="30" customHeight="1">
      <c r="B4404" s="1405"/>
      <c r="C4404" s="1408" t="str">
        <f t="shared" si="1106"/>
        <v>Cross beams</v>
      </c>
      <c r="D4404" s="1409">
        <f t="shared" si="1108"/>
        <v>1</v>
      </c>
      <c r="E4404" s="1409">
        <f t="shared" si="1108"/>
        <v>1</v>
      </c>
      <c r="F4404" s="1410">
        <f t="shared" si="1108"/>
        <v>4.13</v>
      </c>
      <c r="G4404" s="1410">
        <f t="shared" si="1108"/>
        <v>0.23</v>
      </c>
      <c r="H4404" s="1411"/>
      <c r="I4404" s="1406">
        <f t="shared" si="1109"/>
        <v>0.94989999999999997</v>
      </c>
      <c r="M4404" s="110"/>
      <c r="Q4404" s="1394">
        <f>IFERROR(VLOOKUP(M4404,#REF!,3,0),0)</f>
        <v>0</v>
      </c>
      <c r="R4404" s="1394">
        <f t="shared" si="1110"/>
        <v>0</v>
      </c>
      <c r="S4404" s="1394">
        <f>IFERROR(VLOOKUP(M4404,#REF!,6,0),0)</f>
        <v>0</v>
      </c>
      <c r="T4404" s="1394">
        <f t="shared" si="1096"/>
        <v>0</v>
      </c>
      <c r="U4404" s="1394">
        <f>IFERROR(VLOOKUP(M4404,#REF!,5,0),0)</f>
        <v>0</v>
      </c>
      <c r="V4404" s="1394">
        <f t="shared" si="1097"/>
        <v>0</v>
      </c>
      <c r="W4404" s="1394"/>
    </row>
    <row r="4405" spans="2:23" ht="30" customHeight="1">
      <c r="B4405" s="1405"/>
      <c r="C4405" s="1408" t="str">
        <f t="shared" si="1106"/>
        <v>C4 to C5</v>
      </c>
      <c r="D4405" s="1409">
        <f t="shared" si="1108"/>
        <v>1</v>
      </c>
      <c r="E4405" s="1409">
        <f t="shared" si="1108"/>
        <v>1</v>
      </c>
      <c r="F4405" s="1410">
        <f t="shared" si="1108"/>
        <v>2.5299999999999998</v>
      </c>
      <c r="G4405" s="1410">
        <f t="shared" si="1108"/>
        <v>0.23</v>
      </c>
      <c r="H4405" s="1411"/>
      <c r="I4405" s="1406">
        <f t="shared" si="1109"/>
        <v>0.58189999999999997</v>
      </c>
      <c r="Q4405" s="1394">
        <f>IFERROR(VLOOKUP(M4405,#REF!,3,0),0)</f>
        <v>0</v>
      </c>
      <c r="R4405" s="1394">
        <f t="shared" si="1110"/>
        <v>0</v>
      </c>
      <c r="S4405" s="1394">
        <f>IFERROR(VLOOKUP(M4405,#REF!,6,0),0)</f>
        <v>0</v>
      </c>
      <c r="T4405" s="1394">
        <f t="shared" si="1096"/>
        <v>0</v>
      </c>
      <c r="U4405" s="1394">
        <f>IFERROR(VLOOKUP(M4405,#REF!,5,0),0)</f>
        <v>0</v>
      </c>
      <c r="V4405" s="1394">
        <f t="shared" si="1097"/>
        <v>0</v>
      </c>
      <c r="W4405" s="1394"/>
    </row>
    <row r="4406" spans="2:23" ht="30" customHeight="1">
      <c r="B4406" s="1405"/>
      <c r="C4406" s="1408" t="str">
        <f t="shared" si="1106"/>
        <v xml:space="preserve">C5 to C7 &amp; F5 to F7 </v>
      </c>
      <c r="D4406" s="1409">
        <f t="shared" si="1108"/>
        <v>1</v>
      </c>
      <c r="E4406" s="1409">
        <f t="shared" si="1108"/>
        <v>2</v>
      </c>
      <c r="F4406" s="1410">
        <f t="shared" si="1108"/>
        <v>5.99</v>
      </c>
      <c r="G4406" s="1410">
        <f t="shared" si="1108"/>
        <v>0.23</v>
      </c>
      <c r="H4406" s="1411"/>
      <c r="I4406" s="1406">
        <f t="shared" si="1109"/>
        <v>2.7554000000000003</v>
      </c>
      <c r="Q4406" s="1394">
        <f>IFERROR(VLOOKUP(M4406,#REF!,3,0),0)</f>
        <v>0</v>
      </c>
      <c r="R4406" s="1394">
        <f t="shared" si="1110"/>
        <v>0</v>
      </c>
      <c r="S4406" s="1394">
        <f>IFERROR(VLOOKUP(M4406,#REF!,6,0),0)</f>
        <v>0</v>
      </c>
      <c r="T4406" s="1394">
        <f t="shared" si="1096"/>
        <v>0</v>
      </c>
      <c r="U4406" s="1394">
        <f>IFERROR(VLOOKUP(M4406,#REF!,5,0),0)</f>
        <v>0</v>
      </c>
      <c r="V4406" s="1394">
        <f t="shared" si="1097"/>
        <v>0</v>
      </c>
      <c r="W4406" s="1394"/>
    </row>
    <row r="4407" spans="2:23" ht="30" customHeight="1">
      <c r="B4407" s="1405"/>
      <c r="C4407" s="1408" t="str">
        <f t="shared" si="1106"/>
        <v>F3 to F5</v>
      </c>
      <c r="D4407" s="1409">
        <f t="shared" si="1108"/>
        <v>1</v>
      </c>
      <c r="E4407" s="1409">
        <f t="shared" si="1108"/>
        <v>1</v>
      </c>
      <c r="F4407" s="1410">
        <f t="shared" si="1108"/>
        <v>5.5299999999999994</v>
      </c>
      <c r="G4407" s="1410">
        <f t="shared" si="1108"/>
        <v>0.23</v>
      </c>
      <c r="H4407" s="1411"/>
      <c r="I4407" s="1406">
        <f t="shared" si="1109"/>
        <v>1.2718999999999998</v>
      </c>
      <c r="Q4407" s="1394">
        <f>IFERROR(VLOOKUP(M4407,#REF!,3,0),0)</f>
        <v>0</v>
      </c>
      <c r="R4407" s="1394">
        <f t="shared" si="1110"/>
        <v>0</v>
      </c>
      <c r="S4407" s="1394">
        <f>IFERROR(VLOOKUP(M4407,#REF!,6,0),0)</f>
        <v>0</v>
      </c>
      <c r="T4407" s="1394">
        <f t="shared" si="1096"/>
        <v>0</v>
      </c>
      <c r="U4407" s="1394">
        <f>IFERROR(VLOOKUP(M4407,#REF!,5,0),0)</f>
        <v>0</v>
      </c>
      <c r="V4407" s="1394">
        <f t="shared" si="1097"/>
        <v>0</v>
      </c>
      <c r="W4407" s="1394"/>
    </row>
    <row r="4408" spans="2:23" ht="30" customHeight="1">
      <c r="B4408" s="1405"/>
      <c r="C4408" s="1408" t="str">
        <f t="shared" si="1106"/>
        <v>E7 to E8</v>
      </c>
      <c r="D4408" s="1409">
        <f t="shared" ref="D4408:G4427" si="1111">D1020</f>
        <v>1</v>
      </c>
      <c r="E4408" s="1409">
        <f t="shared" si="1111"/>
        <v>1</v>
      </c>
      <c r="F4408" s="1410">
        <f t="shared" si="1111"/>
        <v>4.13</v>
      </c>
      <c r="G4408" s="1410">
        <f t="shared" si="1111"/>
        <v>0.23</v>
      </c>
      <c r="H4408" s="1411"/>
      <c r="I4408" s="1406">
        <f t="shared" si="1109"/>
        <v>0.94989999999999997</v>
      </c>
      <c r="Q4408" s="1394">
        <f>IFERROR(VLOOKUP(M4408,#REF!,3,0),0)</f>
        <v>0</v>
      </c>
      <c r="R4408" s="1394">
        <f t="shared" si="1110"/>
        <v>0</v>
      </c>
      <c r="S4408" s="1394">
        <f>IFERROR(VLOOKUP(M4408,#REF!,6,0),0)</f>
        <v>0</v>
      </c>
      <c r="T4408" s="1394">
        <f t="shared" si="1096"/>
        <v>0</v>
      </c>
      <c r="U4408" s="1394">
        <f>IFERROR(VLOOKUP(M4408,#REF!,5,0),0)</f>
        <v>0</v>
      </c>
      <c r="V4408" s="1394">
        <f t="shared" si="1097"/>
        <v>0</v>
      </c>
      <c r="W4408" s="1394"/>
    </row>
    <row r="4409" spans="2:23" ht="30" customHeight="1">
      <c r="B4409" s="1405"/>
      <c r="C4409" s="1408" t="str">
        <f t="shared" si="1106"/>
        <v>G3 to G7</v>
      </c>
      <c r="D4409" s="1409">
        <f t="shared" si="1111"/>
        <v>1</v>
      </c>
      <c r="E4409" s="1409">
        <f t="shared" si="1111"/>
        <v>1</v>
      </c>
      <c r="F4409" s="1410">
        <f t="shared" si="1111"/>
        <v>11.52</v>
      </c>
      <c r="G4409" s="1410">
        <f t="shared" si="1111"/>
        <v>0.23</v>
      </c>
      <c r="H4409" s="1411"/>
      <c r="I4409" s="1406">
        <f t="shared" si="1109"/>
        <v>2.6496</v>
      </c>
      <c r="Q4409" s="1394">
        <f>IFERROR(VLOOKUP(M4409,#REF!,3,0),0)</f>
        <v>0</v>
      </c>
      <c r="R4409" s="1394">
        <f t="shared" si="1110"/>
        <v>0</v>
      </c>
      <c r="S4409" s="1394">
        <f>IFERROR(VLOOKUP(M4409,#REF!,6,0),0)</f>
        <v>0</v>
      </c>
      <c r="T4409" s="1394">
        <f t="shared" si="1096"/>
        <v>0</v>
      </c>
      <c r="U4409" s="1394">
        <f>IFERROR(VLOOKUP(M4409,#REF!,5,0),0)</f>
        <v>0</v>
      </c>
      <c r="V4409" s="1394">
        <f t="shared" si="1097"/>
        <v>0</v>
      </c>
      <c r="W4409" s="1394"/>
    </row>
    <row r="4410" spans="2:23" ht="30" customHeight="1">
      <c r="B4410" s="1405"/>
      <c r="C4410" s="1408" t="str">
        <f t="shared" si="1106"/>
        <v>G7 to G8</v>
      </c>
      <c r="D4410" s="1409">
        <f t="shared" si="1111"/>
        <v>1</v>
      </c>
      <c r="E4410" s="1409">
        <f t="shared" si="1111"/>
        <v>1</v>
      </c>
      <c r="F4410" s="1410">
        <f t="shared" si="1111"/>
        <v>4.13</v>
      </c>
      <c r="G4410" s="1410">
        <f t="shared" si="1111"/>
        <v>0.23</v>
      </c>
      <c r="H4410" s="1411"/>
      <c r="I4410" s="1406">
        <f t="shared" si="1109"/>
        <v>0.94989999999999997</v>
      </c>
      <c r="L4410" s="1413"/>
      <c r="O4410" s="1395"/>
      <c r="Q4410" s="1394">
        <f>IFERROR(VLOOKUP(M4410,#REF!,3,0),0)</f>
        <v>0</v>
      </c>
      <c r="R4410" s="1394">
        <f t="shared" si="1110"/>
        <v>0</v>
      </c>
      <c r="S4410" s="1394">
        <f>IFERROR(VLOOKUP(M4410,#REF!,6,0),0)</f>
        <v>0</v>
      </c>
      <c r="T4410" s="1394">
        <f t="shared" si="1096"/>
        <v>0</v>
      </c>
      <c r="U4410" s="1394">
        <f>IFERROR(VLOOKUP(M4410,#REF!,5,0),0)</f>
        <v>0</v>
      </c>
      <c r="V4410" s="1394">
        <f t="shared" si="1097"/>
        <v>0</v>
      </c>
      <c r="W4410" s="1394"/>
    </row>
    <row r="4411" spans="2:23" ht="30" customHeight="1">
      <c r="B4411" s="1405"/>
      <c r="C4411" s="1408" t="str">
        <f t="shared" si="1106"/>
        <v>H3 To H8</v>
      </c>
      <c r="D4411" s="1409">
        <f t="shared" si="1111"/>
        <v>1</v>
      </c>
      <c r="E4411" s="1409">
        <f t="shared" si="1111"/>
        <v>1</v>
      </c>
      <c r="F4411" s="1410">
        <f t="shared" si="1111"/>
        <v>15.649999999999999</v>
      </c>
      <c r="G4411" s="1410">
        <f t="shared" si="1111"/>
        <v>0.23</v>
      </c>
      <c r="H4411" s="1411"/>
      <c r="I4411" s="1406">
        <f t="shared" si="1109"/>
        <v>3.5994999999999999</v>
      </c>
      <c r="L4411" s="1413"/>
      <c r="O4411" s="1395"/>
      <c r="Q4411" s="1394">
        <f>IFERROR(VLOOKUP(M4411,#REF!,3,0),0)</f>
        <v>0</v>
      </c>
      <c r="R4411" s="1394">
        <f t="shared" si="1110"/>
        <v>0</v>
      </c>
      <c r="S4411" s="1394">
        <f>IFERROR(VLOOKUP(M4411,#REF!,6,0),0)</f>
        <v>0</v>
      </c>
      <c r="T4411" s="1394">
        <f t="shared" si="1096"/>
        <v>0</v>
      </c>
      <c r="U4411" s="1394">
        <f>IFERROR(VLOOKUP(M4411,#REF!,5,0),0)</f>
        <v>0</v>
      </c>
      <c r="V4411" s="1394">
        <f t="shared" si="1097"/>
        <v>0</v>
      </c>
      <c r="W4411" s="1394"/>
    </row>
    <row r="4412" spans="2:23" ht="30" customHeight="1">
      <c r="B4412" s="1405"/>
      <c r="C4412" s="1408" t="str">
        <f t="shared" si="1106"/>
        <v>Cross beams</v>
      </c>
      <c r="D4412" s="1409">
        <f t="shared" si="1111"/>
        <v>1</v>
      </c>
      <c r="E4412" s="1409">
        <f t="shared" si="1111"/>
        <v>1</v>
      </c>
      <c r="F4412" s="1410">
        <f t="shared" si="1111"/>
        <v>2.77</v>
      </c>
      <c r="G4412" s="1410">
        <f t="shared" si="1111"/>
        <v>0.23</v>
      </c>
      <c r="H4412" s="1411"/>
      <c r="I4412" s="1406">
        <f t="shared" si="1109"/>
        <v>0.6371</v>
      </c>
      <c r="L4412" s="1413"/>
      <c r="O4412" s="1395"/>
      <c r="Q4412" s="1394">
        <f>IFERROR(VLOOKUP(M4412,#REF!,3,0),0)</f>
        <v>0</v>
      </c>
      <c r="R4412" s="1394">
        <f t="shared" si="1110"/>
        <v>0</v>
      </c>
      <c r="S4412" s="1394">
        <f>IFERROR(VLOOKUP(M4412,#REF!,6,0),0)</f>
        <v>0</v>
      </c>
      <c r="T4412" s="1394">
        <f t="shared" si="1096"/>
        <v>0</v>
      </c>
      <c r="U4412" s="1394">
        <f>IFERROR(VLOOKUP(M4412,#REF!,5,0),0)</f>
        <v>0</v>
      </c>
      <c r="V4412" s="1394">
        <f t="shared" si="1097"/>
        <v>0</v>
      </c>
      <c r="W4412" s="1394"/>
    </row>
    <row r="4413" spans="2:23" ht="30" customHeight="1">
      <c r="B4413" s="1405"/>
      <c r="C4413" s="1408">
        <f t="shared" si="1106"/>
        <v>0</v>
      </c>
      <c r="D4413" s="1409">
        <f t="shared" si="1111"/>
        <v>0</v>
      </c>
      <c r="E4413" s="1409">
        <f t="shared" si="1111"/>
        <v>0</v>
      </c>
      <c r="F4413" s="1410">
        <f t="shared" si="1111"/>
        <v>0</v>
      </c>
      <c r="G4413" s="1410">
        <f t="shared" si="1111"/>
        <v>0</v>
      </c>
      <c r="H4413" s="1411">
        <f>H1025</f>
        <v>0</v>
      </c>
      <c r="I4413" s="1406">
        <f t="shared" si="1109"/>
        <v>0</v>
      </c>
      <c r="L4413" s="1413"/>
      <c r="O4413" s="1395"/>
      <c r="Q4413" s="1394">
        <f>IFERROR(VLOOKUP(M4413,#REF!,3,0),0)</f>
        <v>0</v>
      </c>
      <c r="R4413" s="1394">
        <f t="shared" si="1110"/>
        <v>0</v>
      </c>
      <c r="S4413" s="1394">
        <f>IFERROR(VLOOKUP(M4413,#REF!,6,0),0)</f>
        <v>0</v>
      </c>
      <c r="T4413" s="1394">
        <f t="shared" si="1096"/>
        <v>0</v>
      </c>
      <c r="U4413" s="1394">
        <f>IFERROR(VLOOKUP(M4413,#REF!,5,0),0)</f>
        <v>0</v>
      </c>
      <c r="V4413" s="1394">
        <f t="shared" si="1097"/>
        <v>0</v>
      </c>
      <c r="W4413" s="1394"/>
    </row>
    <row r="4414" spans="2:23" ht="30" customHeight="1">
      <c r="B4414" s="1405"/>
      <c r="C4414" s="1408">
        <f t="shared" si="1106"/>
        <v>0</v>
      </c>
      <c r="D4414" s="1409">
        <f t="shared" si="1111"/>
        <v>0</v>
      </c>
      <c r="E4414" s="1409">
        <f t="shared" si="1111"/>
        <v>0</v>
      </c>
      <c r="F4414" s="1410">
        <f t="shared" si="1111"/>
        <v>0</v>
      </c>
      <c r="G4414" s="1410">
        <f t="shared" si="1111"/>
        <v>0</v>
      </c>
      <c r="H4414" s="1411">
        <f>H1026</f>
        <v>0</v>
      </c>
      <c r="I4414" s="1406">
        <f t="shared" ref="I4414" si="1112">PRODUCT(D4414:H4414)</f>
        <v>0</v>
      </c>
      <c r="Q4414" s="1394">
        <f>IFERROR(VLOOKUP(M4414,#REF!,3,0),0)</f>
        <v>0</v>
      </c>
      <c r="R4414" s="1394">
        <f t="shared" si="1110"/>
        <v>0</v>
      </c>
      <c r="S4414" s="1394">
        <f>IFERROR(VLOOKUP(M4414,#REF!,6,0),0)</f>
        <v>0</v>
      </c>
      <c r="T4414" s="1394">
        <f t="shared" si="1096"/>
        <v>0</v>
      </c>
      <c r="U4414" s="1394">
        <f>IFERROR(VLOOKUP(M4414,#REF!,5,0),0)</f>
        <v>0</v>
      </c>
      <c r="V4414" s="1394">
        <f t="shared" si="1097"/>
        <v>0</v>
      </c>
      <c r="W4414" s="1394"/>
    </row>
    <row r="4415" spans="2:23" ht="30" customHeight="1">
      <c r="B4415" s="1405"/>
      <c r="C4415" s="1408">
        <f t="shared" si="1106"/>
        <v>0</v>
      </c>
      <c r="D4415" s="1409">
        <f t="shared" si="1111"/>
        <v>0</v>
      </c>
      <c r="E4415" s="1409">
        <f t="shared" si="1111"/>
        <v>0</v>
      </c>
      <c r="F4415" s="1410">
        <f t="shared" si="1111"/>
        <v>0</v>
      </c>
      <c r="G4415" s="1410">
        <f t="shared" si="1111"/>
        <v>0</v>
      </c>
      <c r="H4415" s="1411">
        <f>H1027</f>
        <v>0</v>
      </c>
      <c r="I4415" s="1406">
        <f t="shared" si="1100"/>
        <v>0</v>
      </c>
      <c r="Q4415" s="1394">
        <f>IFERROR(VLOOKUP(M4415,#REF!,3,0),0)</f>
        <v>0</v>
      </c>
      <c r="R4415" s="1394">
        <f t="shared" si="1110"/>
        <v>0</v>
      </c>
      <c r="S4415" s="1394">
        <f>IFERROR(VLOOKUP(M4415,#REF!,6,0),0)</f>
        <v>0</v>
      </c>
      <c r="T4415" s="1394">
        <f t="shared" si="1096"/>
        <v>0</v>
      </c>
      <c r="U4415" s="1394">
        <f>IFERROR(VLOOKUP(M4415,#REF!,5,0),0)</f>
        <v>0</v>
      </c>
      <c r="V4415" s="1394">
        <f t="shared" si="1097"/>
        <v>0</v>
      </c>
      <c r="W4415" s="1394"/>
    </row>
    <row r="4416" spans="2:23" ht="30" customHeight="1">
      <c r="B4416" s="1405"/>
      <c r="C4416" s="1408" t="str">
        <f t="shared" si="1106"/>
        <v>Roof Slab</v>
      </c>
      <c r="D4416" s="1409">
        <f t="shared" si="1111"/>
        <v>0</v>
      </c>
      <c r="E4416" s="1409">
        <f t="shared" si="1111"/>
        <v>0</v>
      </c>
      <c r="F4416" s="1410">
        <f t="shared" si="1111"/>
        <v>0</v>
      </c>
      <c r="G4416" s="1410">
        <f t="shared" si="1111"/>
        <v>0</v>
      </c>
      <c r="H4416" s="1411">
        <f>H1028</f>
        <v>0</v>
      </c>
      <c r="I4416" s="1406">
        <f t="shared" si="1100"/>
        <v>0</v>
      </c>
      <c r="Q4416" s="1394">
        <f>IFERROR(VLOOKUP(M4416,#REF!,3,0),0)</f>
        <v>0</v>
      </c>
      <c r="R4416" s="1394">
        <f t="shared" si="1110"/>
        <v>0</v>
      </c>
      <c r="S4416" s="1394">
        <f>IFERROR(VLOOKUP(M4416,#REF!,6,0),0)</f>
        <v>0</v>
      </c>
      <c r="T4416" s="1394">
        <f t="shared" si="1096"/>
        <v>0</v>
      </c>
      <c r="U4416" s="1394">
        <f>IFERROR(VLOOKUP(M4416,#REF!,5,0),0)</f>
        <v>0</v>
      </c>
      <c r="V4416" s="1394">
        <f t="shared" si="1097"/>
        <v>0</v>
      </c>
      <c r="W4416" s="1394"/>
    </row>
    <row r="4417" spans="2:23" ht="30" customHeight="1">
      <c r="B4417" s="1405"/>
      <c r="C4417" s="1415" t="str">
        <f t="shared" si="1106"/>
        <v>Women Rest Room</v>
      </c>
      <c r="D4417" s="1409">
        <f t="shared" si="1111"/>
        <v>1</v>
      </c>
      <c r="E4417" s="1409">
        <f t="shared" si="1111"/>
        <v>1</v>
      </c>
      <c r="F4417" s="1410">
        <f t="shared" si="1111"/>
        <v>4</v>
      </c>
      <c r="G4417" s="1410">
        <f t="shared" si="1111"/>
        <v>5.0999999999999996</v>
      </c>
      <c r="H4417" s="1411"/>
      <c r="I4417" s="1406">
        <f t="shared" si="1100"/>
        <v>20.399999999999999</v>
      </c>
      <c r="Q4417" s="1394">
        <f>IFERROR(VLOOKUP(M4417,#REF!,3,0),0)</f>
        <v>0</v>
      </c>
      <c r="R4417" s="1394">
        <f t="shared" si="1110"/>
        <v>0</v>
      </c>
      <c r="S4417" s="1394">
        <f>IFERROR(VLOOKUP(M4417,#REF!,6,0),0)</f>
        <v>0</v>
      </c>
      <c r="T4417" s="1394">
        <f t="shared" si="1096"/>
        <v>0</v>
      </c>
      <c r="U4417" s="1394">
        <f>IFERROR(VLOOKUP(M4417,#REF!,5,0),0)</f>
        <v>0</v>
      </c>
      <c r="V4417" s="1394">
        <f t="shared" si="1097"/>
        <v>0</v>
      </c>
      <c r="W4417" s="1394"/>
    </row>
    <row r="4418" spans="2:23" ht="30" customHeight="1">
      <c r="B4418" s="1405"/>
      <c r="C4418" s="1482" t="str">
        <f t="shared" si="1106"/>
        <v>Women Rest Room Toilet</v>
      </c>
      <c r="D4418" s="1409">
        <f t="shared" si="1111"/>
        <v>1</v>
      </c>
      <c r="E4418" s="1409">
        <f t="shared" si="1111"/>
        <v>1</v>
      </c>
      <c r="F4418" s="1410">
        <f t="shared" si="1111"/>
        <v>4</v>
      </c>
      <c r="G4418" s="1410">
        <f t="shared" si="1111"/>
        <v>1.5</v>
      </c>
      <c r="H4418" s="1410"/>
      <c r="I4418" s="1406">
        <f t="shared" si="1100"/>
        <v>6</v>
      </c>
      <c r="Q4418" s="1394">
        <f>IFERROR(VLOOKUP(M4418,#REF!,3,0),0)</f>
        <v>0</v>
      </c>
      <c r="R4418" s="1394">
        <f t="shared" si="1110"/>
        <v>0</v>
      </c>
      <c r="S4418" s="1394">
        <f>IFERROR(VLOOKUP(M4418,#REF!,6,0),0)</f>
        <v>0</v>
      </c>
      <c r="T4418" s="1394">
        <f t="shared" si="1096"/>
        <v>0</v>
      </c>
      <c r="U4418" s="1394">
        <f>IFERROR(VLOOKUP(M4418,#REF!,5,0),0)</f>
        <v>0</v>
      </c>
      <c r="V4418" s="1394">
        <f t="shared" si="1097"/>
        <v>0</v>
      </c>
      <c r="W4418" s="1394"/>
    </row>
    <row r="4419" spans="2:23" ht="30" customHeight="1">
      <c r="B4419" s="1405"/>
      <c r="C4419" s="1482" t="str">
        <f t="shared" ref="C4419:C4436" si="1113">C1031</f>
        <v>Lock up Women</v>
      </c>
      <c r="D4419" s="1409">
        <f t="shared" si="1111"/>
        <v>1</v>
      </c>
      <c r="E4419" s="1409">
        <f t="shared" si="1111"/>
        <v>1</v>
      </c>
      <c r="F4419" s="1410">
        <f t="shared" si="1111"/>
        <v>4</v>
      </c>
      <c r="G4419" s="1410">
        <f t="shared" si="1111"/>
        <v>2.5</v>
      </c>
      <c r="H4419" s="1410"/>
      <c r="I4419" s="1406">
        <f t="shared" si="1100"/>
        <v>10</v>
      </c>
      <c r="Q4419" s="1394">
        <f>IFERROR(VLOOKUP(M4419,#REF!,3,0),0)</f>
        <v>0</v>
      </c>
      <c r="R4419" s="1394">
        <f t="shared" si="1110"/>
        <v>0</v>
      </c>
      <c r="S4419" s="1394">
        <f>IFERROR(VLOOKUP(M4419,#REF!,6,0),0)</f>
        <v>0</v>
      </c>
      <c r="T4419" s="1394">
        <f t="shared" ref="T4419:T4482" si="1114">R4419-S4419</f>
        <v>0</v>
      </c>
      <c r="U4419" s="1394">
        <f>IFERROR(VLOOKUP(M4419,#REF!,5,0),0)</f>
        <v>0</v>
      </c>
      <c r="V4419" s="1394">
        <f t="shared" ref="V4419:V4482" si="1115">O4419-U4419</f>
        <v>0</v>
      </c>
      <c r="W4419" s="1394"/>
    </row>
    <row r="4420" spans="2:23" ht="30" customHeight="1">
      <c r="B4420" s="1405"/>
      <c r="C4420" s="1482" t="str">
        <f t="shared" si="1113"/>
        <v>Computer Room</v>
      </c>
      <c r="D4420" s="1409">
        <f t="shared" si="1111"/>
        <v>1</v>
      </c>
      <c r="E4420" s="1409">
        <f t="shared" si="1111"/>
        <v>1</v>
      </c>
      <c r="F4420" s="1410">
        <f t="shared" si="1111"/>
        <v>4</v>
      </c>
      <c r="G4420" s="1410">
        <f t="shared" si="1111"/>
        <v>3.9</v>
      </c>
      <c r="H4420" s="1410"/>
      <c r="I4420" s="1406">
        <f t="shared" si="1100"/>
        <v>15.6</v>
      </c>
      <c r="Q4420" s="1394">
        <f>IFERROR(VLOOKUP(M4420,#REF!,3,0),0)</f>
        <v>0</v>
      </c>
      <c r="R4420" s="1394">
        <f t="shared" si="1110"/>
        <v>0</v>
      </c>
      <c r="S4420" s="1394">
        <f>IFERROR(VLOOKUP(M4420,#REF!,6,0),0)</f>
        <v>0</v>
      </c>
      <c r="T4420" s="1394">
        <f t="shared" si="1114"/>
        <v>0</v>
      </c>
      <c r="U4420" s="1394">
        <f>IFERROR(VLOOKUP(M4420,#REF!,5,0),0)</f>
        <v>0</v>
      </c>
      <c r="V4420" s="1394">
        <f t="shared" si="1115"/>
        <v>0</v>
      </c>
      <c r="W4420" s="1394"/>
    </row>
    <row r="4421" spans="2:23" ht="30" customHeight="1">
      <c r="B4421" s="1405"/>
      <c r="C4421" s="1482" t="str">
        <f t="shared" si="1113"/>
        <v>Toilet</v>
      </c>
      <c r="D4421" s="1409">
        <f t="shared" si="1111"/>
        <v>1</v>
      </c>
      <c r="E4421" s="1409">
        <f t="shared" si="1111"/>
        <v>1</v>
      </c>
      <c r="F4421" s="1410">
        <f t="shared" si="1111"/>
        <v>1.5</v>
      </c>
      <c r="G4421" s="1410">
        <f t="shared" si="1111"/>
        <v>3.9</v>
      </c>
      <c r="H4421" s="1410"/>
      <c r="I4421" s="1406">
        <f t="shared" si="1100"/>
        <v>5.85</v>
      </c>
      <c r="Q4421" s="1394">
        <f>IFERROR(VLOOKUP(M4421,#REF!,3,0),0)</f>
        <v>0</v>
      </c>
      <c r="R4421" s="1394">
        <f t="shared" si="1110"/>
        <v>0</v>
      </c>
      <c r="S4421" s="1394">
        <f>IFERROR(VLOOKUP(M4421,#REF!,6,0),0)</f>
        <v>0</v>
      </c>
      <c r="T4421" s="1394">
        <f t="shared" si="1114"/>
        <v>0</v>
      </c>
      <c r="U4421" s="1394">
        <f>IFERROR(VLOOKUP(M4421,#REF!,5,0),0)</f>
        <v>0</v>
      </c>
      <c r="V4421" s="1394">
        <f t="shared" si="1115"/>
        <v>0</v>
      </c>
      <c r="W4421" s="1394"/>
    </row>
    <row r="4422" spans="2:23" ht="30" customHeight="1">
      <c r="B4422" s="1405"/>
      <c r="C4422" s="1482" t="str">
        <f t="shared" si="1113"/>
        <v>SI Room</v>
      </c>
      <c r="D4422" s="1409">
        <f t="shared" si="1111"/>
        <v>1</v>
      </c>
      <c r="E4422" s="1409">
        <f t="shared" si="1111"/>
        <v>1</v>
      </c>
      <c r="F4422" s="1410">
        <f t="shared" si="1111"/>
        <v>3.6949999999999998</v>
      </c>
      <c r="G4422" s="1410">
        <f t="shared" si="1111"/>
        <v>3.9</v>
      </c>
      <c r="H4422" s="1410"/>
      <c r="I4422" s="1406">
        <f t="shared" si="1100"/>
        <v>14.410499999999999</v>
      </c>
      <c r="Q4422" s="1394">
        <f>IFERROR(VLOOKUP(M4422,#REF!,3,0),0)</f>
        <v>0</v>
      </c>
      <c r="R4422" s="1394">
        <f t="shared" si="1110"/>
        <v>0</v>
      </c>
      <c r="S4422" s="1394">
        <f>IFERROR(VLOOKUP(M4422,#REF!,6,0),0)</f>
        <v>0</v>
      </c>
      <c r="T4422" s="1394">
        <f t="shared" si="1114"/>
        <v>0</v>
      </c>
      <c r="U4422" s="1394">
        <f>IFERROR(VLOOKUP(M4422,#REF!,5,0),0)</f>
        <v>0</v>
      </c>
      <c r="V4422" s="1394">
        <f t="shared" si="1115"/>
        <v>0</v>
      </c>
      <c r="W4422" s="1394"/>
    </row>
    <row r="4423" spans="2:23" ht="30" customHeight="1">
      <c r="B4423" s="1405"/>
      <c r="C4423" s="1482" t="str">
        <f t="shared" si="1113"/>
        <v>SI Room</v>
      </c>
      <c r="D4423" s="1409">
        <f t="shared" si="1111"/>
        <v>1</v>
      </c>
      <c r="E4423" s="1409">
        <f t="shared" si="1111"/>
        <v>1</v>
      </c>
      <c r="F4423" s="1410">
        <f t="shared" si="1111"/>
        <v>2.5</v>
      </c>
      <c r="G4423" s="1410">
        <f t="shared" si="1111"/>
        <v>3.9</v>
      </c>
      <c r="H4423" s="1410"/>
      <c r="I4423" s="1406">
        <f t="shared" si="1100"/>
        <v>9.75</v>
      </c>
      <c r="Q4423" s="1394">
        <f>IFERROR(VLOOKUP(M4423,#REF!,3,0),0)</f>
        <v>0</v>
      </c>
      <c r="R4423" s="1394">
        <f t="shared" si="1110"/>
        <v>0</v>
      </c>
      <c r="S4423" s="1394">
        <f>IFERROR(VLOOKUP(M4423,#REF!,6,0),0)</f>
        <v>0</v>
      </c>
      <c r="T4423" s="1394">
        <f t="shared" si="1114"/>
        <v>0</v>
      </c>
      <c r="U4423" s="1394">
        <f>IFERROR(VLOOKUP(M4423,#REF!,5,0),0)</f>
        <v>0</v>
      </c>
      <c r="V4423" s="1394">
        <f t="shared" si="1115"/>
        <v>0</v>
      </c>
      <c r="W4423" s="1394"/>
    </row>
    <row r="4424" spans="2:23" ht="30" customHeight="1">
      <c r="B4424" s="1405"/>
      <c r="C4424" s="1482" t="str">
        <f t="shared" si="1113"/>
        <v>Record Room</v>
      </c>
      <c r="D4424" s="1409">
        <f t="shared" si="1111"/>
        <v>1</v>
      </c>
      <c r="E4424" s="1409">
        <f t="shared" si="1111"/>
        <v>1</v>
      </c>
      <c r="F4424" s="1410">
        <f t="shared" si="1111"/>
        <v>1.7350000000000001</v>
      </c>
      <c r="G4424" s="1410">
        <f t="shared" si="1111"/>
        <v>2.3199999999999998</v>
      </c>
      <c r="H4424" s="1410"/>
      <c r="I4424" s="1406">
        <f t="shared" si="1100"/>
        <v>4.0251999999999999</v>
      </c>
      <c r="Q4424" s="1394">
        <f>IFERROR(VLOOKUP(M4424,#REF!,3,0),0)</f>
        <v>0</v>
      </c>
      <c r="R4424" s="1394">
        <f t="shared" si="1110"/>
        <v>0</v>
      </c>
      <c r="S4424" s="1394">
        <f>IFERROR(VLOOKUP(M4424,#REF!,6,0),0)</f>
        <v>0</v>
      </c>
      <c r="T4424" s="1394">
        <f t="shared" si="1114"/>
        <v>0</v>
      </c>
      <c r="U4424" s="1394">
        <f>IFERROR(VLOOKUP(M4424,#REF!,5,0),0)</f>
        <v>0</v>
      </c>
      <c r="V4424" s="1394">
        <f t="shared" si="1115"/>
        <v>0</v>
      </c>
      <c r="W4424" s="1394"/>
    </row>
    <row r="4425" spans="2:23" ht="30" customHeight="1">
      <c r="B4425" s="1405"/>
      <c r="C4425" s="1482" t="str">
        <f t="shared" si="1113"/>
        <v>Record Room</v>
      </c>
      <c r="D4425" s="1409">
        <f t="shared" si="1111"/>
        <v>1</v>
      </c>
      <c r="E4425" s="1409">
        <f t="shared" si="1111"/>
        <v>1</v>
      </c>
      <c r="F4425" s="1410">
        <f t="shared" si="1111"/>
        <v>1.7350000000000001</v>
      </c>
      <c r="G4425" s="1410">
        <f t="shared" si="1111"/>
        <v>1.35</v>
      </c>
      <c r="H4425" s="1410"/>
      <c r="I4425" s="1406">
        <f t="shared" si="1100"/>
        <v>2.3422500000000004</v>
      </c>
      <c r="Q4425" s="1394">
        <f>IFERROR(VLOOKUP(M4425,#REF!,3,0),0)</f>
        <v>0</v>
      </c>
      <c r="R4425" s="1394">
        <f t="shared" si="1110"/>
        <v>0</v>
      </c>
      <c r="S4425" s="1394">
        <f>IFERROR(VLOOKUP(M4425,#REF!,6,0),0)</f>
        <v>0</v>
      </c>
      <c r="T4425" s="1394">
        <f t="shared" si="1114"/>
        <v>0</v>
      </c>
      <c r="U4425" s="1394">
        <f>IFERROR(VLOOKUP(M4425,#REF!,5,0),0)</f>
        <v>0</v>
      </c>
      <c r="V4425" s="1394">
        <f t="shared" si="1115"/>
        <v>0</v>
      </c>
      <c r="W4425" s="1394"/>
    </row>
    <row r="4426" spans="2:23" ht="30" customHeight="1">
      <c r="B4426" s="1405"/>
      <c r="C4426" s="1482" t="str">
        <f t="shared" si="1113"/>
        <v>Introgation</v>
      </c>
      <c r="D4426" s="1409">
        <f t="shared" si="1111"/>
        <v>1</v>
      </c>
      <c r="E4426" s="1409">
        <f t="shared" si="1111"/>
        <v>1</v>
      </c>
      <c r="F4426" s="1410">
        <f t="shared" si="1111"/>
        <v>3.7650000000000001</v>
      </c>
      <c r="G4426" s="1410">
        <f t="shared" si="1111"/>
        <v>2.4350000000000001</v>
      </c>
      <c r="H4426" s="1410"/>
      <c r="I4426" s="1406">
        <f t="shared" si="1100"/>
        <v>9.1677750000000007</v>
      </c>
      <c r="Q4426" s="1394">
        <f>IFERROR(VLOOKUP(M4426,#REF!,3,0),0)</f>
        <v>0</v>
      </c>
      <c r="R4426" s="1394">
        <f t="shared" si="1110"/>
        <v>0</v>
      </c>
      <c r="S4426" s="1394">
        <f>IFERROR(VLOOKUP(M4426,#REF!,6,0),0)</f>
        <v>0</v>
      </c>
      <c r="T4426" s="1394">
        <f t="shared" si="1114"/>
        <v>0</v>
      </c>
      <c r="U4426" s="1394">
        <f>IFERROR(VLOOKUP(M4426,#REF!,5,0),0)</f>
        <v>0</v>
      </c>
      <c r="V4426" s="1394">
        <f t="shared" si="1115"/>
        <v>0</v>
      </c>
      <c r="W4426" s="1394"/>
    </row>
    <row r="4427" spans="2:23" ht="30" customHeight="1">
      <c r="B4427" s="1405"/>
      <c r="C4427" s="1482" t="str">
        <f t="shared" si="1113"/>
        <v>Toilet</v>
      </c>
      <c r="D4427" s="1409">
        <f t="shared" si="1111"/>
        <v>1</v>
      </c>
      <c r="E4427" s="1409">
        <f t="shared" si="1111"/>
        <v>1</v>
      </c>
      <c r="F4427" s="1410">
        <f t="shared" si="1111"/>
        <v>3.7650000000000001</v>
      </c>
      <c r="G4427" s="1410">
        <f t="shared" si="1111"/>
        <v>1.2350000000000001</v>
      </c>
      <c r="H4427" s="1410"/>
      <c r="I4427" s="1406">
        <f t="shared" si="1100"/>
        <v>4.6497750000000009</v>
      </c>
      <c r="Q4427" s="1394">
        <f>IFERROR(VLOOKUP(M4427,#REF!,3,0),0)</f>
        <v>0</v>
      </c>
      <c r="R4427" s="1394">
        <f t="shared" si="1110"/>
        <v>0</v>
      </c>
      <c r="S4427" s="1394">
        <f>IFERROR(VLOOKUP(M4427,#REF!,6,0),0)</f>
        <v>0</v>
      </c>
      <c r="T4427" s="1394">
        <f t="shared" si="1114"/>
        <v>0</v>
      </c>
      <c r="U4427" s="1394">
        <f>IFERROR(VLOOKUP(M4427,#REF!,5,0),0)</f>
        <v>0</v>
      </c>
      <c r="V4427" s="1394">
        <f t="shared" si="1115"/>
        <v>0</v>
      </c>
      <c r="W4427" s="1394"/>
    </row>
    <row r="4428" spans="2:23" ht="30" customHeight="1">
      <c r="B4428" s="1405"/>
      <c r="C4428" s="1482" t="str">
        <f t="shared" si="1113"/>
        <v>Lock up Men</v>
      </c>
      <c r="D4428" s="1409">
        <f t="shared" ref="D4428:G4436" si="1116">D1040</f>
        <v>1</v>
      </c>
      <c r="E4428" s="1409">
        <f t="shared" si="1116"/>
        <v>1</v>
      </c>
      <c r="F4428" s="1410">
        <f t="shared" si="1116"/>
        <v>4</v>
      </c>
      <c r="G4428" s="1410">
        <f t="shared" si="1116"/>
        <v>2.5499999999999998</v>
      </c>
      <c r="H4428" s="1410"/>
      <c r="I4428" s="1406">
        <f t="shared" si="1100"/>
        <v>10.199999999999999</v>
      </c>
      <c r="Q4428" s="1394">
        <f>IFERROR(VLOOKUP(M4428,#REF!,3,0),0)</f>
        <v>0</v>
      </c>
      <c r="R4428" s="1394">
        <f t="shared" si="1110"/>
        <v>0</v>
      </c>
      <c r="S4428" s="1394">
        <f>IFERROR(VLOOKUP(M4428,#REF!,6,0),0)</f>
        <v>0</v>
      </c>
      <c r="T4428" s="1394">
        <f t="shared" si="1114"/>
        <v>0</v>
      </c>
      <c r="U4428" s="1394">
        <f>IFERROR(VLOOKUP(M4428,#REF!,5,0),0)</f>
        <v>0</v>
      </c>
      <c r="V4428" s="1394">
        <f t="shared" si="1115"/>
        <v>0</v>
      </c>
      <c r="W4428" s="1394"/>
    </row>
    <row r="4429" spans="2:23" ht="30" customHeight="1">
      <c r="B4429" s="1405"/>
      <c r="C4429" s="1482" t="str">
        <f t="shared" si="1113"/>
        <v>INS Room</v>
      </c>
      <c r="D4429" s="1409">
        <f t="shared" si="1116"/>
        <v>1</v>
      </c>
      <c r="E4429" s="1409">
        <f t="shared" si="1116"/>
        <v>1</v>
      </c>
      <c r="F4429" s="1410">
        <f t="shared" si="1116"/>
        <v>4</v>
      </c>
      <c r="G4429" s="1410">
        <f t="shared" si="1116"/>
        <v>5.0999999999999996</v>
      </c>
      <c r="H4429" s="1410"/>
      <c r="I4429" s="1406">
        <f t="shared" si="1100"/>
        <v>20.399999999999999</v>
      </c>
      <c r="Q4429" s="1394">
        <f>IFERROR(VLOOKUP(M4429,#REF!,3,0),0)</f>
        <v>0</v>
      </c>
      <c r="R4429" s="1394">
        <f t="shared" si="1110"/>
        <v>0</v>
      </c>
      <c r="S4429" s="1394">
        <f>IFERROR(VLOOKUP(M4429,#REF!,6,0),0)</f>
        <v>0</v>
      </c>
      <c r="T4429" s="1394">
        <f t="shared" si="1114"/>
        <v>0</v>
      </c>
      <c r="U4429" s="1394">
        <f>IFERROR(VLOOKUP(M4429,#REF!,5,0),0)</f>
        <v>0</v>
      </c>
      <c r="V4429" s="1394">
        <f t="shared" si="1115"/>
        <v>0</v>
      </c>
      <c r="W4429" s="1394"/>
    </row>
    <row r="4430" spans="2:23" ht="30" customHeight="1">
      <c r="B4430" s="1405"/>
      <c r="C4430" s="1482" t="str">
        <f t="shared" si="1113"/>
        <v>INS Room Toilet</v>
      </c>
      <c r="D4430" s="1409">
        <f t="shared" si="1116"/>
        <v>1</v>
      </c>
      <c r="E4430" s="1409">
        <f t="shared" si="1116"/>
        <v>1</v>
      </c>
      <c r="F4430" s="1410">
        <f t="shared" si="1116"/>
        <v>4</v>
      </c>
      <c r="G4430" s="1410">
        <f t="shared" si="1116"/>
        <v>1.5</v>
      </c>
      <c r="H4430" s="1410"/>
      <c r="I4430" s="1406">
        <f t="shared" si="1100"/>
        <v>6</v>
      </c>
      <c r="Q4430" s="1394">
        <f>IFERROR(VLOOKUP(M4430,#REF!,3,0),0)</f>
        <v>0</v>
      </c>
      <c r="R4430" s="1394">
        <f t="shared" si="1110"/>
        <v>0</v>
      </c>
      <c r="S4430" s="1394">
        <f>IFERROR(VLOOKUP(M4430,#REF!,6,0),0)</f>
        <v>0</v>
      </c>
      <c r="T4430" s="1394">
        <f t="shared" si="1114"/>
        <v>0</v>
      </c>
      <c r="U4430" s="1394">
        <f>IFERROR(VLOOKUP(M4430,#REF!,5,0),0)</f>
        <v>0</v>
      </c>
      <c r="V4430" s="1394">
        <f t="shared" si="1115"/>
        <v>0</v>
      </c>
      <c r="W4430" s="1394"/>
    </row>
    <row r="4431" spans="2:23" ht="30" customHeight="1">
      <c r="B4431" s="1405"/>
      <c r="C4431" s="1482" t="str">
        <f t="shared" si="1113"/>
        <v>Writer</v>
      </c>
      <c r="D4431" s="1409">
        <f t="shared" si="1116"/>
        <v>1</v>
      </c>
      <c r="E4431" s="1409">
        <f t="shared" si="1116"/>
        <v>1</v>
      </c>
      <c r="F4431" s="1410">
        <f t="shared" si="1116"/>
        <v>3</v>
      </c>
      <c r="G4431" s="1410">
        <f t="shared" si="1116"/>
        <v>5.3</v>
      </c>
      <c r="H4431" s="1410"/>
      <c r="I4431" s="1406">
        <f t="shared" si="1100"/>
        <v>15.899999999999999</v>
      </c>
      <c r="Q4431" s="1394">
        <f>IFERROR(VLOOKUP(M4431,#REF!,3,0),0)</f>
        <v>0</v>
      </c>
      <c r="R4431" s="1394">
        <f t="shared" si="1110"/>
        <v>0</v>
      </c>
      <c r="S4431" s="1394">
        <f>IFERROR(VLOOKUP(M4431,#REF!,6,0),0)</f>
        <v>0</v>
      </c>
      <c r="T4431" s="1394">
        <f t="shared" si="1114"/>
        <v>0</v>
      </c>
      <c r="U4431" s="1394">
        <f>IFERROR(VLOOKUP(M4431,#REF!,5,0),0)</f>
        <v>0</v>
      </c>
      <c r="V4431" s="1394">
        <f t="shared" si="1115"/>
        <v>0</v>
      </c>
      <c r="W4431" s="1394"/>
    </row>
    <row r="4432" spans="2:23" ht="30" customHeight="1">
      <c r="B4432" s="1405"/>
      <c r="C4432" s="1482" t="str">
        <f t="shared" si="1113"/>
        <v>Stair Case Lobby-1</v>
      </c>
      <c r="D4432" s="1409">
        <f t="shared" si="1116"/>
        <v>1</v>
      </c>
      <c r="E4432" s="1409">
        <f t="shared" si="1116"/>
        <v>1</v>
      </c>
      <c r="F4432" s="1410">
        <f t="shared" si="1116"/>
        <v>2.5249999999999999</v>
      </c>
      <c r="G4432" s="1410">
        <f t="shared" si="1116"/>
        <v>2.77</v>
      </c>
      <c r="H4432" s="1410"/>
      <c r="I4432" s="1406">
        <f t="shared" si="1100"/>
        <v>6.9942500000000001</v>
      </c>
      <c r="Q4432" s="1394">
        <f>IFERROR(VLOOKUP(M4432,#REF!,3,0),0)</f>
        <v>0</v>
      </c>
      <c r="R4432" s="1394">
        <f t="shared" si="1110"/>
        <v>0</v>
      </c>
      <c r="S4432" s="1394">
        <f>IFERROR(VLOOKUP(M4432,#REF!,6,0),0)</f>
        <v>0</v>
      </c>
      <c r="T4432" s="1394">
        <f t="shared" si="1114"/>
        <v>0</v>
      </c>
      <c r="U4432" s="1394">
        <f>IFERROR(VLOOKUP(M4432,#REF!,5,0),0)</f>
        <v>0</v>
      </c>
      <c r="V4432" s="1394">
        <f t="shared" si="1115"/>
        <v>0</v>
      </c>
      <c r="W4432" s="1394"/>
    </row>
    <row r="4433" spans="2:26" ht="30" customHeight="1">
      <c r="B4433" s="1405"/>
      <c r="C4433" s="1482" t="str">
        <f t="shared" si="1113"/>
        <v>Stair Case Lobby-1</v>
      </c>
      <c r="D4433" s="1409">
        <f t="shared" si="1116"/>
        <v>1</v>
      </c>
      <c r="E4433" s="1409">
        <f t="shared" si="1116"/>
        <v>1</v>
      </c>
      <c r="F4433" s="1410">
        <f t="shared" si="1116"/>
        <v>4.3250000000000002</v>
      </c>
      <c r="G4433" s="1410">
        <f t="shared" si="1116"/>
        <v>2.2999999999999998</v>
      </c>
      <c r="H4433" s="1410"/>
      <c r="I4433" s="1406">
        <f t="shared" si="1100"/>
        <v>9.9474999999999998</v>
      </c>
      <c r="Q4433" s="1394">
        <f>IFERROR(VLOOKUP(M4433,#REF!,3,0),0)</f>
        <v>0</v>
      </c>
      <c r="R4433" s="1394">
        <f t="shared" si="1110"/>
        <v>0</v>
      </c>
      <c r="S4433" s="1394">
        <f>IFERROR(VLOOKUP(M4433,#REF!,6,0),0)</f>
        <v>0</v>
      </c>
      <c r="T4433" s="1394">
        <f t="shared" si="1114"/>
        <v>0</v>
      </c>
      <c r="U4433" s="1394">
        <f>IFERROR(VLOOKUP(M4433,#REF!,5,0),0)</f>
        <v>0</v>
      </c>
      <c r="V4433" s="1394">
        <f t="shared" si="1115"/>
        <v>0</v>
      </c>
      <c r="W4433" s="1394"/>
    </row>
    <row r="4434" spans="2:26" ht="30" customHeight="1">
      <c r="B4434" s="1405"/>
      <c r="C4434" s="1482" t="str">
        <f t="shared" si="1113"/>
        <v>Hall</v>
      </c>
      <c r="D4434" s="1409">
        <f t="shared" si="1116"/>
        <v>1</v>
      </c>
      <c r="E4434" s="1409">
        <f t="shared" si="1116"/>
        <v>1</v>
      </c>
      <c r="F4434" s="1410">
        <f t="shared" si="1116"/>
        <v>2.1</v>
      </c>
      <c r="G4434" s="1410">
        <f t="shared" si="1116"/>
        <v>5.76</v>
      </c>
      <c r="H4434" s="1410"/>
      <c r="I4434" s="1406">
        <f t="shared" si="1100"/>
        <v>12.096</v>
      </c>
      <c r="Q4434" s="1394">
        <f>IFERROR(VLOOKUP(M4434,#REF!,3,0),0)</f>
        <v>0</v>
      </c>
      <c r="R4434" s="1394">
        <f t="shared" si="1110"/>
        <v>0</v>
      </c>
      <c r="S4434" s="1394">
        <f>IFERROR(VLOOKUP(M4434,#REF!,6,0),0)</f>
        <v>0</v>
      </c>
      <c r="T4434" s="1394">
        <f t="shared" si="1114"/>
        <v>0</v>
      </c>
      <c r="U4434" s="1394">
        <f>IFERROR(VLOOKUP(M4434,#REF!,5,0),0)</f>
        <v>0</v>
      </c>
      <c r="V4434" s="1394">
        <f t="shared" si="1115"/>
        <v>0</v>
      </c>
      <c r="W4434" s="1394"/>
    </row>
    <row r="4435" spans="2:26" ht="30" customHeight="1">
      <c r="B4435" s="1405"/>
      <c r="C4435" s="1408" t="str">
        <f t="shared" si="1113"/>
        <v>Hall</v>
      </c>
      <c r="D4435" s="1409">
        <f t="shared" si="1116"/>
        <v>1</v>
      </c>
      <c r="E4435" s="1409">
        <f t="shared" si="1116"/>
        <v>1</v>
      </c>
      <c r="F4435" s="1410">
        <f t="shared" si="1116"/>
        <v>4.3250000000000002</v>
      </c>
      <c r="G4435" s="1410">
        <f t="shared" si="1116"/>
        <v>5.76</v>
      </c>
      <c r="H4435" s="1410"/>
      <c r="I4435" s="1406">
        <f t="shared" si="1100"/>
        <v>24.911999999999999</v>
      </c>
      <c r="O4435" s="1395"/>
      <c r="Q4435" s="1394">
        <f>IFERROR(VLOOKUP(M4435,#REF!,3,0),0)</f>
        <v>0</v>
      </c>
      <c r="R4435" s="1394">
        <f t="shared" si="1110"/>
        <v>0</v>
      </c>
      <c r="S4435" s="1394">
        <f>IFERROR(VLOOKUP(M4435,#REF!,6,0),0)</f>
        <v>0</v>
      </c>
      <c r="T4435" s="1394">
        <f t="shared" si="1114"/>
        <v>0</v>
      </c>
      <c r="U4435" s="1394">
        <f>IFERROR(VLOOKUP(M4435,#REF!,5,0),0)</f>
        <v>0</v>
      </c>
      <c r="V4435" s="1394">
        <f t="shared" si="1115"/>
        <v>0</v>
      </c>
      <c r="W4435" s="1394"/>
    </row>
    <row r="4436" spans="2:26" ht="30" customHeight="1">
      <c r="B4436" s="1405"/>
      <c r="C4436" s="1408" t="str">
        <f t="shared" si="1113"/>
        <v>Hall</v>
      </c>
      <c r="D4436" s="1409">
        <f t="shared" si="1116"/>
        <v>1</v>
      </c>
      <c r="E4436" s="1409">
        <f t="shared" si="1116"/>
        <v>1</v>
      </c>
      <c r="F4436" s="1410">
        <f t="shared" si="1116"/>
        <v>3</v>
      </c>
      <c r="G4436" s="1410">
        <f t="shared" si="1116"/>
        <v>5.76</v>
      </c>
      <c r="H4436" s="1410"/>
      <c r="I4436" s="1406">
        <f t="shared" si="1100"/>
        <v>17.28</v>
      </c>
      <c r="O4436" s="1395"/>
      <c r="Q4436" s="1394">
        <f>IFERROR(VLOOKUP(M4436,#REF!,3,0),0)</f>
        <v>0</v>
      </c>
      <c r="R4436" s="1394">
        <f t="shared" si="1110"/>
        <v>0</v>
      </c>
      <c r="S4436" s="1394">
        <f>IFERROR(VLOOKUP(M4436,#REF!,6,0),0)</f>
        <v>0</v>
      </c>
      <c r="T4436" s="1394">
        <f t="shared" si="1114"/>
        <v>0</v>
      </c>
      <c r="U4436" s="1394">
        <f>IFERROR(VLOOKUP(M4436,#REF!,5,0),0)</f>
        <v>0</v>
      </c>
      <c r="V4436" s="1394">
        <f t="shared" si="1115"/>
        <v>0</v>
      </c>
      <c r="W4436" s="1394"/>
    </row>
    <row r="4437" spans="2:26" ht="30" customHeight="1">
      <c r="B4437" s="1407"/>
      <c r="C4437" s="1455">
        <f t="shared" ref="C4437:H4438" si="1117">C1053</f>
        <v>0</v>
      </c>
      <c r="D4437" s="103">
        <f t="shared" si="1117"/>
        <v>0</v>
      </c>
      <c r="E4437" s="103">
        <f t="shared" si="1117"/>
        <v>0</v>
      </c>
      <c r="F4437" s="1413">
        <f t="shared" si="1117"/>
        <v>0</v>
      </c>
      <c r="G4437" s="1483">
        <f t="shared" si="1117"/>
        <v>0</v>
      </c>
      <c r="H4437" s="1478">
        <f t="shared" si="1117"/>
        <v>0</v>
      </c>
      <c r="I4437" s="1406">
        <f t="shared" si="1100"/>
        <v>0</v>
      </c>
      <c r="M4437" s="1426"/>
      <c r="N4437" s="1394"/>
      <c r="O4437" s="1394"/>
      <c r="P4437" s="1394"/>
      <c r="Q4437" s="1394">
        <f>IFERROR(VLOOKUP(M4437,#REF!,3,0),0)</f>
        <v>0</v>
      </c>
      <c r="R4437" s="1394">
        <f t="shared" si="1110"/>
        <v>0</v>
      </c>
      <c r="S4437" s="1394">
        <f>IFERROR(VLOOKUP(M4437,#REF!,6,0),0)</f>
        <v>0</v>
      </c>
      <c r="T4437" s="1394">
        <f t="shared" si="1114"/>
        <v>0</v>
      </c>
      <c r="U4437" s="1394">
        <f>IFERROR(VLOOKUP(M4437,#REF!,5,0),0)</f>
        <v>0</v>
      </c>
      <c r="V4437" s="1394">
        <f t="shared" si="1115"/>
        <v>0</v>
      </c>
      <c r="W4437" s="1394"/>
      <c r="Z4437" s="1394"/>
    </row>
    <row r="4438" spans="2:26" s="1394" customFormat="1" ht="30" customHeight="1">
      <c r="B4438" s="1421"/>
      <c r="C4438" s="1422" t="e">
        <f t="shared" si="1117"/>
        <v>#REF!</v>
      </c>
      <c r="D4438" s="1389">
        <f t="shared" si="1117"/>
        <v>0</v>
      </c>
      <c r="E4438" s="1389">
        <f t="shared" si="1117"/>
        <v>0</v>
      </c>
      <c r="F4438" s="1423">
        <f t="shared" si="1117"/>
        <v>0</v>
      </c>
      <c r="G4438" s="1428">
        <f t="shared" si="1117"/>
        <v>0</v>
      </c>
      <c r="H4438" s="1429">
        <f t="shared" si="1117"/>
        <v>0</v>
      </c>
      <c r="I4438" s="1406">
        <f t="shared" si="1100"/>
        <v>0</v>
      </c>
      <c r="M4438" s="1426"/>
      <c r="Q4438" s="1394">
        <f>IFERROR(VLOOKUP(M4438,#REF!,3,0),0)</f>
        <v>0</v>
      </c>
      <c r="R4438" s="1394">
        <f t="shared" si="1110"/>
        <v>0</v>
      </c>
      <c r="S4438" s="1394">
        <f>IFERROR(VLOOKUP(M4438,#REF!,6,0),0)</f>
        <v>0</v>
      </c>
      <c r="T4438" s="1394">
        <f t="shared" si="1114"/>
        <v>0</v>
      </c>
      <c r="U4438" s="1394">
        <f>IFERROR(VLOOKUP(M4438,#REF!,5,0),0)</f>
        <v>0</v>
      </c>
      <c r="V4438" s="1394">
        <f t="shared" si="1115"/>
        <v>0</v>
      </c>
    </row>
    <row r="4439" spans="2:26" ht="30" customHeight="1">
      <c r="B4439" s="1407"/>
      <c r="C4439" s="1415" t="str">
        <f t="shared" ref="C4439:H4439" si="1118">C1064</f>
        <v xml:space="preserve">Sill slab  Window </v>
      </c>
      <c r="D4439" s="1409">
        <f t="shared" si="1118"/>
        <v>0</v>
      </c>
      <c r="E4439" s="1409">
        <f t="shared" si="1118"/>
        <v>0</v>
      </c>
      <c r="F4439" s="1410">
        <f t="shared" si="1118"/>
        <v>0</v>
      </c>
      <c r="G4439" s="1410">
        <f t="shared" si="1118"/>
        <v>0</v>
      </c>
      <c r="H4439" s="1411">
        <f t="shared" si="1118"/>
        <v>0</v>
      </c>
      <c r="I4439" s="1406">
        <f t="shared" si="1100"/>
        <v>0</v>
      </c>
      <c r="Q4439" s="1394">
        <f>IFERROR(VLOOKUP(M4439,#REF!,3,0),0)</f>
        <v>0</v>
      </c>
      <c r="R4439" s="1394">
        <f t="shared" si="1110"/>
        <v>0</v>
      </c>
      <c r="S4439" s="1394">
        <f>IFERROR(VLOOKUP(M4439,#REF!,6,0),0)</f>
        <v>0</v>
      </c>
      <c r="T4439" s="1394">
        <f t="shared" si="1114"/>
        <v>0</v>
      </c>
      <c r="U4439" s="1394">
        <f>IFERROR(VLOOKUP(M4439,#REF!,5,0),0)</f>
        <v>0</v>
      </c>
      <c r="V4439" s="1394">
        <f t="shared" si="1115"/>
        <v>0</v>
      </c>
      <c r="W4439" s="1394"/>
    </row>
    <row r="4440" spans="2:26" ht="30" customHeight="1">
      <c r="B4440" s="1407"/>
      <c r="C4440" s="1415" t="str">
        <f t="shared" ref="C4440:C4471" si="1119">C1065</f>
        <v>FW</v>
      </c>
      <c r="D4440" s="1409">
        <f t="shared" ref="D4440:D4450" si="1120">D1065*2</f>
        <v>2</v>
      </c>
      <c r="E4440" s="1409">
        <f t="shared" ref="E4440:F4459" si="1121">E1065</f>
        <v>2</v>
      </c>
      <c r="F4440" s="1410">
        <f t="shared" si="1121"/>
        <v>1.2729999999999999</v>
      </c>
      <c r="G4440" s="1410"/>
      <c r="H4440" s="1411">
        <f t="shared" ref="H4440:H4471" si="1122">H1065</f>
        <v>0.05</v>
      </c>
      <c r="I4440" s="1406">
        <f t="shared" si="1100"/>
        <v>0.25459999999999999</v>
      </c>
      <c r="Q4440" s="1394">
        <f>IFERROR(VLOOKUP(M4440,#REF!,3,0),0)</f>
        <v>0</v>
      </c>
      <c r="R4440" s="1394">
        <f t="shared" si="1110"/>
        <v>0</v>
      </c>
      <c r="S4440" s="1394">
        <f>IFERROR(VLOOKUP(M4440,#REF!,6,0),0)</f>
        <v>0</v>
      </c>
      <c r="T4440" s="1394">
        <f t="shared" si="1114"/>
        <v>0</v>
      </c>
      <c r="U4440" s="1394">
        <f>IFERROR(VLOOKUP(M4440,#REF!,5,0),0)</f>
        <v>0</v>
      </c>
      <c r="V4440" s="1394">
        <f t="shared" si="1115"/>
        <v>0</v>
      </c>
      <c r="W4440" s="1394"/>
    </row>
    <row r="4441" spans="2:26" ht="30" customHeight="1">
      <c r="B4441" s="1407"/>
      <c r="C4441" s="1408" t="str">
        <f t="shared" si="1119"/>
        <v>FW-3</v>
      </c>
      <c r="D4441" s="1409">
        <f t="shared" si="1120"/>
        <v>2</v>
      </c>
      <c r="E4441" s="1409">
        <f t="shared" si="1121"/>
        <v>1</v>
      </c>
      <c r="F4441" s="1410">
        <f t="shared" si="1121"/>
        <v>2.46</v>
      </c>
      <c r="G4441" s="1410"/>
      <c r="H4441" s="1410">
        <f t="shared" si="1122"/>
        <v>0.05</v>
      </c>
      <c r="I4441" s="1406">
        <f t="shared" si="1100"/>
        <v>0.246</v>
      </c>
      <c r="Q4441" s="1394">
        <f>IFERROR(VLOOKUP(M4441,#REF!,3,0),0)</f>
        <v>0</v>
      </c>
      <c r="R4441" s="1394">
        <f t="shared" si="1110"/>
        <v>0</v>
      </c>
      <c r="S4441" s="1394">
        <f>IFERROR(VLOOKUP(M4441,#REF!,6,0),0)</f>
        <v>0</v>
      </c>
      <c r="T4441" s="1394">
        <f t="shared" si="1114"/>
        <v>0</v>
      </c>
      <c r="U4441" s="1394">
        <f>IFERROR(VLOOKUP(M4441,#REF!,5,0),0)</f>
        <v>0</v>
      </c>
      <c r="V4441" s="1394">
        <f t="shared" si="1115"/>
        <v>0</v>
      </c>
      <c r="W4441" s="1394"/>
    </row>
    <row r="4442" spans="2:26" ht="30" customHeight="1">
      <c r="B4442" s="1407"/>
      <c r="C4442" s="1408" t="str">
        <f t="shared" si="1119"/>
        <v>FW-4</v>
      </c>
      <c r="D4442" s="1409">
        <f t="shared" si="1120"/>
        <v>2</v>
      </c>
      <c r="E4442" s="1409">
        <f t="shared" si="1121"/>
        <v>2</v>
      </c>
      <c r="F4442" s="1410">
        <f t="shared" si="1121"/>
        <v>1.66</v>
      </c>
      <c r="G4442" s="1410"/>
      <c r="H4442" s="1410">
        <f t="shared" si="1122"/>
        <v>0.05</v>
      </c>
      <c r="I4442" s="1406">
        <f t="shared" si="1100"/>
        <v>0.33200000000000002</v>
      </c>
      <c r="Q4442" s="1394">
        <f>IFERROR(VLOOKUP(M4442,#REF!,3,0),0)</f>
        <v>0</v>
      </c>
      <c r="R4442" s="1394">
        <f t="shared" si="1110"/>
        <v>0</v>
      </c>
      <c r="S4442" s="1394">
        <f>IFERROR(VLOOKUP(M4442,#REF!,6,0),0)</f>
        <v>0</v>
      </c>
      <c r="T4442" s="1394">
        <f t="shared" si="1114"/>
        <v>0</v>
      </c>
      <c r="U4442" s="1394">
        <f>IFERROR(VLOOKUP(M4442,#REF!,5,0),0)</f>
        <v>0</v>
      </c>
      <c r="V4442" s="1394">
        <f t="shared" si="1115"/>
        <v>0</v>
      </c>
      <c r="W4442" s="1394"/>
    </row>
    <row r="4443" spans="2:26" ht="30" customHeight="1">
      <c r="B4443" s="1407"/>
      <c r="C4443" s="1415" t="str">
        <f t="shared" si="1119"/>
        <v>SW</v>
      </c>
      <c r="D4443" s="1409">
        <f t="shared" si="1120"/>
        <v>2</v>
      </c>
      <c r="E4443" s="1409">
        <f t="shared" si="1121"/>
        <v>1</v>
      </c>
      <c r="F4443" s="1410">
        <f t="shared" si="1121"/>
        <v>2.2600000000000002</v>
      </c>
      <c r="G4443" s="1410"/>
      <c r="H4443" s="1410">
        <f t="shared" si="1122"/>
        <v>0.05</v>
      </c>
      <c r="I4443" s="1406">
        <f t="shared" ref="I4443:I4506" si="1123">PRODUCT(D4443:H4443)</f>
        <v>0.22600000000000003</v>
      </c>
      <c r="Q4443" s="1394">
        <f>IFERROR(VLOOKUP(M4443,#REF!,3,0),0)</f>
        <v>0</v>
      </c>
      <c r="R4443" s="1394">
        <f t="shared" si="1110"/>
        <v>0</v>
      </c>
      <c r="S4443" s="1394">
        <f>IFERROR(VLOOKUP(M4443,#REF!,6,0),0)</f>
        <v>0</v>
      </c>
      <c r="T4443" s="1394">
        <f t="shared" si="1114"/>
        <v>0</v>
      </c>
      <c r="U4443" s="1394">
        <f>IFERROR(VLOOKUP(M4443,#REF!,5,0),0)</f>
        <v>0</v>
      </c>
      <c r="V4443" s="1394">
        <f t="shared" si="1115"/>
        <v>0</v>
      </c>
      <c r="W4443" s="1394"/>
    </row>
    <row r="4444" spans="2:26" ht="30" customHeight="1">
      <c r="B4444" s="1407"/>
      <c r="C4444" s="1408" t="str">
        <f t="shared" si="1119"/>
        <v>W</v>
      </c>
      <c r="D4444" s="1409">
        <f t="shared" si="1120"/>
        <v>2</v>
      </c>
      <c r="E4444" s="1409">
        <f t="shared" si="1121"/>
        <v>1</v>
      </c>
      <c r="F4444" s="1410">
        <f t="shared" si="1121"/>
        <v>2.2600000000000002</v>
      </c>
      <c r="G4444" s="1410"/>
      <c r="H4444" s="1410">
        <f t="shared" si="1122"/>
        <v>0.05</v>
      </c>
      <c r="I4444" s="1406">
        <f t="shared" si="1123"/>
        <v>0.22600000000000003</v>
      </c>
      <c r="Q4444" s="1394">
        <f>IFERROR(VLOOKUP(M4444,#REF!,3,0),0)</f>
        <v>0</v>
      </c>
      <c r="R4444" s="1394">
        <f t="shared" si="1110"/>
        <v>0</v>
      </c>
      <c r="S4444" s="1394">
        <f>IFERROR(VLOOKUP(M4444,#REF!,6,0),0)</f>
        <v>0</v>
      </c>
      <c r="T4444" s="1394">
        <f t="shared" si="1114"/>
        <v>0</v>
      </c>
      <c r="U4444" s="1394">
        <f>IFERROR(VLOOKUP(M4444,#REF!,5,0),0)</f>
        <v>0</v>
      </c>
      <c r="V4444" s="1394">
        <f t="shared" si="1115"/>
        <v>0</v>
      </c>
      <c r="W4444" s="1394"/>
    </row>
    <row r="4445" spans="2:26" ht="30" customHeight="1">
      <c r="B4445" s="1407"/>
      <c r="C4445" s="1408" t="str">
        <f t="shared" si="1119"/>
        <v>W2</v>
      </c>
      <c r="D4445" s="1409">
        <f t="shared" si="1120"/>
        <v>2</v>
      </c>
      <c r="E4445" s="1409">
        <f t="shared" si="1121"/>
        <v>13</v>
      </c>
      <c r="F4445" s="1410">
        <f t="shared" si="1121"/>
        <v>1.66</v>
      </c>
      <c r="G4445" s="1410"/>
      <c r="H4445" s="1410">
        <f t="shared" si="1122"/>
        <v>0.05</v>
      </c>
      <c r="I4445" s="1406">
        <f t="shared" si="1123"/>
        <v>2.1579999999999999</v>
      </c>
      <c r="Q4445" s="1394">
        <f>IFERROR(VLOOKUP(M4445,#REF!,3,0),0)</f>
        <v>0</v>
      </c>
      <c r="R4445" s="1394">
        <f t="shared" si="1110"/>
        <v>0</v>
      </c>
      <c r="S4445" s="1394">
        <f>IFERROR(VLOOKUP(M4445,#REF!,6,0),0)</f>
        <v>0</v>
      </c>
      <c r="T4445" s="1394">
        <f t="shared" si="1114"/>
        <v>0</v>
      </c>
      <c r="U4445" s="1394">
        <f>IFERROR(VLOOKUP(M4445,#REF!,5,0),0)</f>
        <v>0</v>
      </c>
      <c r="V4445" s="1394">
        <f t="shared" si="1115"/>
        <v>0</v>
      </c>
      <c r="W4445" s="1394"/>
    </row>
    <row r="4446" spans="2:26" ht="30" customHeight="1">
      <c r="B4446" s="1407"/>
      <c r="C4446" s="1415" t="str">
        <f t="shared" si="1119"/>
        <v>W3</v>
      </c>
      <c r="D4446" s="1409">
        <f t="shared" si="1120"/>
        <v>2</v>
      </c>
      <c r="E4446" s="1409">
        <f t="shared" si="1121"/>
        <v>5</v>
      </c>
      <c r="F4446" s="1410">
        <f t="shared" si="1121"/>
        <v>1.46</v>
      </c>
      <c r="G4446" s="1410"/>
      <c r="H4446" s="1410">
        <f t="shared" si="1122"/>
        <v>0.05</v>
      </c>
      <c r="I4446" s="1406">
        <f t="shared" si="1123"/>
        <v>0.73</v>
      </c>
      <c r="Q4446" s="1394">
        <f>IFERROR(VLOOKUP(M4446,#REF!,3,0),0)</f>
        <v>0</v>
      </c>
      <c r="R4446" s="1394">
        <f t="shared" si="1110"/>
        <v>0</v>
      </c>
      <c r="S4446" s="1394">
        <f>IFERROR(VLOOKUP(M4446,#REF!,6,0),0)</f>
        <v>0</v>
      </c>
      <c r="T4446" s="1394">
        <f t="shared" si="1114"/>
        <v>0</v>
      </c>
      <c r="U4446" s="1394">
        <f>IFERROR(VLOOKUP(M4446,#REF!,5,0),0)</f>
        <v>0</v>
      </c>
      <c r="V4446" s="1394">
        <f t="shared" si="1115"/>
        <v>0</v>
      </c>
      <c r="W4446" s="1394"/>
    </row>
    <row r="4447" spans="2:26" ht="30" customHeight="1">
      <c r="B4447" s="1407"/>
      <c r="C4447" s="1408" t="str">
        <f t="shared" si="1119"/>
        <v>SLW</v>
      </c>
      <c r="D4447" s="1409">
        <f t="shared" si="1120"/>
        <v>2</v>
      </c>
      <c r="E4447" s="1409">
        <f t="shared" si="1121"/>
        <v>2</v>
      </c>
      <c r="F4447" s="1410">
        <f t="shared" si="1121"/>
        <v>2.56</v>
      </c>
      <c r="G4447" s="1410"/>
      <c r="H4447" s="1410">
        <f t="shared" si="1122"/>
        <v>0.05</v>
      </c>
      <c r="I4447" s="1406">
        <f t="shared" si="1123"/>
        <v>0.51200000000000001</v>
      </c>
      <c r="Q4447" s="1394">
        <f>IFERROR(VLOOKUP(M4447,#REF!,3,0),0)</f>
        <v>0</v>
      </c>
      <c r="R4447" s="1394">
        <f t="shared" si="1110"/>
        <v>0</v>
      </c>
      <c r="S4447" s="1394">
        <f>IFERROR(VLOOKUP(M4447,#REF!,6,0),0)</f>
        <v>0</v>
      </c>
      <c r="T4447" s="1394">
        <f t="shared" si="1114"/>
        <v>0</v>
      </c>
      <c r="U4447" s="1394">
        <f>IFERROR(VLOOKUP(M4447,#REF!,5,0),0)</f>
        <v>0</v>
      </c>
      <c r="V4447" s="1394">
        <f t="shared" si="1115"/>
        <v>0</v>
      </c>
      <c r="W4447" s="1394"/>
    </row>
    <row r="4448" spans="2:26" ht="30" customHeight="1">
      <c r="B4448" s="1407"/>
      <c r="C4448" s="1415" t="str">
        <f t="shared" si="1119"/>
        <v>RV</v>
      </c>
      <c r="D4448" s="1409">
        <f t="shared" si="1120"/>
        <v>2</v>
      </c>
      <c r="E4448" s="1409">
        <f t="shared" si="1121"/>
        <v>3</v>
      </c>
      <c r="F4448" s="1410">
        <f t="shared" si="1121"/>
        <v>1.81</v>
      </c>
      <c r="G4448" s="1410"/>
      <c r="H4448" s="1410">
        <f t="shared" si="1122"/>
        <v>0.05</v>
      </c>
      <c r="I4448" s="1406">
        <f t="shared" si="1123"/>
        <v>0.54300000000000004</v>
      </c>
      <c r="Q4448" s="1394">
        <f>IFERROR(VLOOKUP(M4448,#REF!,3,0),0)</f>
        <v>0</v>
      </c>
      <c r="R4448" s="1394">
        <f t="shared" si="1110"/>
        <v>0</v>
      </c>
      <c r="S4448" s="1394">
        <f>IFERROR(VLOOKUP(M4448,#REF!,6,0),0)</f>
        <v>0</v>
      </c>
      <c r="T4448" s="1394">
        <f t="shared" si="1114"/>
        <v>0</v>
      </c>
      <c r="U4448" s="1394">
        <f>IFERROR(VLOOKUP(M4448,#REF!,5,0),0)</f>
        <v>0</v>
      </c>
      <c r="V4448" s="1394">
        <f t="shared" si="1115"/>
        <v>0</v>
      </c>
      <c r="W4448" s="1394"/>
    </row>
    <row r="4449" spans="2:23" ht="30" customHeight="1">
      <c r="B4449" s="1407"/>
      <c r="C4449" s="1408" t="str">
        <f t="shared" si="1119"/>
        <v>V3</v>
      </c>
      <c r="D4449" s="1409">
        <f t="shared" si="1120"/>
        <v>2</v>
      </c>
      <c r="E4449" s="1409">
        <f t="shared" si="1121"/>
        <v>5</v>
      </c>
      <c r="F4449" s="1410">
        <f t="shared" si="1121"/>
        <v>1.36</v>
      </c>
      <c r="G4449" s="1410"/>
      <c r="H4449" s="1410">
        <f t="shared" si="1122"/>
        <v>0.05</v>
      </c>
      <c r="I4449" s="1406">
        <f t="shared" si="1123"/>
        <v>0.68000000000000016</v>
      </c>
      <c r="Q4449" s="1394">
        <f>IFERROR(VLOOKUP(M4449,#REF!,3,0),0)</f>
        <v>0</v>
      </c>
      <c r="R4449" s="1394">
        <f t="shared" si="1110"/>
        <v>0</v>
      </c>
      <c r="S4449" s="1394">
        <f>IFERROR(VLOOKUP(M4449,#REF!,6,0),0)</f>
        <v>0</v>
      </c>
      <c r="T4449" s="1394">
        <f t="shared" si="1114"/>
        <v>0</v>
      </c>
      <c r="U4449" s="1394">
        <f>IFERROR(VLOOKUP(M4449,#REF!,5,0),0)</f>
        <v>0</v>
      </c>
      <c r="V4449" s="1394">
        <f t="shared" si="1115"/>
        <v>0</v>
      </c>
      <c r="W4449" s="1394"/>
    </row>
    <row r="4450" spans="2:23" ht="30" customHeight="1">
      <c r="B4450" s="1407"/>
      <c r="C4450" s="1408" t="str">
        <f t="shared" si="1119"/>
        <v>RVT</v>
      </c>
      <c r="D4450" s="1409">
        <f t="shared" si="1120"/>
        <v>2</v>
      </c>
      <c r="E4450" s="1409">
        <f t="shared" si="1121"/>
        <v>2</v>
      </c>
      <c r="F4450" s="1410">
        <f t="shared" si="1121"/>
        <v>1.36</v>
      </c>
      <c r="G4450" s="1410"/>
      <c r="H4450" s="1410">
        <f t="shared" si="1122"/>
        <v>0.05</v>
      </c>
      <c r="I4450" s="1406">
        <f t="shared" si="1123"/>
        <v>0.27200000000000002</v>
      </c>
      <c r="Q4450" s="1394">
        <f>IFERROR(VLOOKUP(M4450,#REF!,3,0),0)</f>
        <v>0</v>
      </c>
      <c r="R4450" s="1394">
        <f t="shared" si="1110"/>
        <v>0</v>
      </c>
      <c r="S4450" s="1394">
        <f>IFERROR(VLOOKUP(M4450,#REF!,6,0),0)</f>
        <v>0</v>
      </c>
      <c r="T4450" s="1394">
        <f t="shared" si="1114"/>
        <v>0</v>
      </c>
      <c r="U4450" s="1394">
        <f>IFERROR(VLOOKUP(M4450,#REF!,5,0),0)</f>
        <v>0</v>
      </c>
      <c r="V4450" s="1394">
        <f t="shared" si="1115"/>
        <v>0</v>
      </c>
      <c r="W4450" s="1394"/>
    </row>
    <row r="4451" spans="2:23" ht="30" customHeight="1">
      <c r="B4451" s="1407"/>
      <c r="C4451" s="1408">
        <f t="shared" si="1119"/>
        <v>0</v>
      </c>
      <c r="D4451" s="1409">
        <f>D1076</f>
        <v>0</v>
      </c>
      <c r="E4451" s="1409">
        <f t="shared" si="1121"/>
        <v>0</v>
      </c>
      <c r="F4451" s="1410">
        <f t="shared" si="1121"/>
        <v>0</v>
      </c>
      <c r="G4451" s="1410">
        <f>G1076</f>
        <v>0</v>
      </c>
      <c r="H4451" s="1410">
        <f t="shared" si="1122"/>
        <v>0</v>
      </c>
      <c r="I4451" s="1406">
        <f t="shared" si="1123"/>
        <v>0</v>
      </c>
      <c r="Q4451" s="1394">
        <f>IFERROR(VLOOKUP(M4451,#REF!,3,0),0)</f>
        <v>0</v>
      </c>
      <c r="R4451" s="1394">
        <f t="shared" si="1110"/>
        <v>0</v>
      </c>
      <c r="S4451" s="1394">
        <f>IFERROR(VLOOKUP(M4451,#REF!,6,0),0)</f>
        <v>0</v>
      </c>
      <c r="T4451" s="1394">
        <f t="shared" si="1114"/>
        <v>0</v>
      </c>
      <c r="U4451" s="1394">
        <f>IFERROR(VLOOKUP(M4451,#REF!,5,0),0)</f>
        <v>0</v>
      </c>
      <c r="V4451" s="1394">
        <f t="shared" si="1115"/>
        <v>0</v>
      </c>
      <c r="W4451" s="1394"/>
    </row>
    <row r="4452" spans="2:23" ht="30" customHeight="1">
      <c r="B4452" s="1407"/>
      <c r="C4452" s="1408" t="str">
        <f t="shared" si="1119"/>
        <v>Lintel Concrete</v>
      </c>
      <c r="D4452" s="1409">
        <f>D1077</f>
        <v>0</v>
      </c>
      <c r="E4452" s="1409">
        <f t="shared" si="1121"/>
        <v>0</v>
      </c>
      <c r="F4452" s="1410">
        <f t="shared" si="1121"/>
        <v>0</v>
      </c>
      <c r="G4452" s="1410">
        <f>G1077</f>
        <v>0</v>
      </c>
      <c r="H4452" s="1411">
        <f t="shared" si="1122"/>
        <v>0</v>
      </c>
      <c r="I4452" s="1406">
        <f t="shared" si="1123"/>
        <v>0</v>
      </c>
      <c r="Q4452" s="1394">
        <f>IFERROR(VLOOKUP(M4452,#REF!,3,0),0)</f>
        <v>0</v>
      </c>
      <c r="R4452" s="1394">
        <f t="shared" si="1110"/>
        <v>0</v>
      </c>
      <c r="S4452" s="1394">
        <f>IFERROR(VLOOKUP(M4452,#REF!,6,0),0)</f>
        <v>0</v>
      </c>
      <c r="T4452" s="1394">
        <f t="shared" si="1114"/>
        <v>0</v>
      </c>
      <c r="U4452" s="1394">
        <f>IFERROR(VLOOKUP(M4452,#REF!,5,0),0)</f>
        <v>0</v>
      </c>
      <c r="V4452" s="1394">
        <f t="shared" si="1115"/>
        <v>0</v>
      </c>
      <c r="W4452" s="1394"/>
    </row>
    <row r="4453" spans="2:23" ht="30" customHeight="1">
      <c r="B4453" s="1407"/>
      <c r="C4453" s="1415" t="str">
        <f t="shared" si="1119"/>
        <v>Main wall all alround</v>
      </c>
      <c r="D4453" s="1409">
        <f t="shared" ref="D4453:D4484" si="1124">D1078*2</f>
        <v>2</v>
      </c>
      <c r="E4453" s="1409">
        <f t="shared" si="1121"/>
        <v>1</v>
      </c>
      <c r="F4453" s="1410">
        <f t="shared" si="1121"/>
        <v>86.29</v>
      </c>
      <c r="G4453" s="1410"/>
      <c r="H4453" s="1411">
        <f t="shared" si="1122"/>
        <v>0.1</v>
      </c>
      <c r="I4453" s="1406">
        <f t="shared" si="1123"/>
        <v>17.258000000000003</v>
      </c>
      <c r="M4453" s="110"/>
      <c r="Q4453" s="1394">
        <f>IFERROR(VLOOKUP(M4453,#REF!,3,0),0)</f>
        <v>0</v>
      </c>
      <c r="R4453" s="1394">
        <f t="shared" si="1110"/>
        <v>0</v>
      </c>
      <c r="S4453" s="1394">
        <f>IFERROR(VLOOKUP(M4453,#REF!,6,0),0)</f>
        <v>0</v>
      </c>
      <c r="T4453" s="1394">
        <f t="shared" si="1114"/>
        <v>0</v>
      </c>
      <c r="U4453" s="1394">
        <f>IFERROR(VLOOKUP(M4453,#REF!,5,0),0)</f>
        <v>0</v>
      </c>
      <c r="V4453" s="1394">
        <f t="shared" si="1115"/>
        <v>0</v>
      </c>
      <c r="W4453" s="1394"/>
    </row>
    <row r="4454" spans="2:23" ht="30" customHeight="1">
      <c r="B4454" s="1405"/>
      <c r="C4454" s="1408" t="str">
        <f t="shared" si="1119"/>
        <v>Lift Front Wall</v>
      </c>
      <c r="D4454" s="1409">
        <f t="shared" si="1124"/>
        <v>2</v>
      </c>
      <c r="E4454" s="1409">
        <f t="shared" si="1121"/>
        <v>1</v>
      </c>
      <c r="F4454" s="1410">
        <f t="shared" si="1121"/>
        <v>2.5350000000000001</v>
      </c>
      <c r="G4454" s="1410"/>
      <c r="H4454" s="1411">
        <f t="shared" si="1122"/>
        <v>0.1</v>
      </c>
      <c r="I4454" s="1406">
        <f t="shared" si="1123"/>
        <v>0.50700000000000001</v>
      </c>
      <c r="M4454" s="110"/>
      <c r="Q4454" s="1394">
        <f>IFERROR(VLOOKUP(M4454,#REF!,3,0),0)</f>
        <v>0</v>
      </c>
      <c r="R4454" s="1394">
        <f t="shared" si="1110"/>
        <v>0</v>
      </c>
      <c r="S4454" s="1394">
        <f>IFERROR(VLOOKUP(M4454,#REF!,6,0),0)</f>
        <v>0</v>
      </c>
      <c r="T4454" s="1394">
        <f t="shared" si="1114"/>
        <v>0</v>
      </c>
      <c r="U4454" s="1394">
        <f>IFERROR(VLOOKUP(M4454,#REF!,5,0),0)</f>
        <v>0</v>
      </c>
      <c r="V4454" s="1394">
        <f t="shared" si="1115"/>
        <v>0</v>
      </c>
      <c r="W4454" s="1394"/>
    </row>
    <row r="4455" spans="2:23" ht="30" customHeight="1">
      <c r="B4455" s="1407"/>
      <c r="C4455" s="1408" t="str">
        <f t="shared" si="1119"/>
        <v>Lift Side Wall</v>
      </c>
      <c r="D4455" s="1409">
        <f t="shared" si="1124"/>
        <v>2</v>
      </c>
      <c r="E4455" s="1409">
        <f t="shared" si="1121"/>
        <v>1</v>
      </c>
      <c r="F4455" s="1410">
        <f t="shared" si="1121"/>
        <v>2.33</v>
      </c>
      <c r="G4455" s="1410"/>
      <c r="H4455" s="1411">
        <f t="shared" si="1122"/>
        <v>0.1</v>
      </c>
      <c r="I4455" s="1406">
        <f t="shared" si="1123"/>
        <v>0.46600000000000003</v>
      </c>
      <c r="M4455" s="110"/>
      <c r="Q4455" s="1394">
        <f>IFERROR(VLOOKUP(M4455,#REF!,3,0),0)</f>
        <v>0</v>
      </c>
      <c r="R4455" s="1394">
        <f t="shared" si="1110"/>
        <v>0</v>
      </c>
      <c r="S4455" s="1394">
        <f>IFERROR(VLOOKUP(M4455,#REF!,6,0),0)</f>
        <v>0</v>
      </c>
      <c r="T4455" s="1394">
        <f t="shared" si="1114"/>
        <v>0</v>
      </c>
      <c r="U4455" s="1394">
        <f>IFERROR(VLOOKUP(M4455,#REF!,5,0),0)</f>
        <v>0</v>
      </c>
      <c r="V4455" s="1394">
        <f t="shared" si="1115"/>
        <v>0</v>
      </c>
      <c r="W4455" s="1394"/>
    </row>
    <row r="4456" spans="2:23" ht="30" customHeight="1">
      <c r="B4456" s="1407"/>
      <c r="C4456" s="1408" t="str">
        <f t="shared" si="1119"/>
        <v>Cross wall between Stair case lobby / Hall</v>
      </c>
      <c r="D4456" s="1409">
        <f t="shared" si="1124"/>
        <v>2</v>
      </c>
      <c r="E4456" s="1409">
        <f t="shared" si="1121"/>
        <v>1</v>
      </c>
      <c r="F4456" s="1410">
        <f t="shared" si="1121"/>
        <v>7.1150000000000002</v>
      </c>
      <c r="G4456" s="1410"/>
      <c r="H4456" s="1411">
        <f t="shared" si="1122"/>
        <v>0.1</v>
      </c>
      <c r="I4456" s="1406">
        <f t="shared" si="1123"/>
        <v>1.423</v>
      </c>
      <c r="M4456" s="110"/>
      <c r="Q4456" s="1394">
        <f>IFERROR(VLOOKUP(M4456,#REF!,3,0),0)</f>
        <v>0</v>
      </c>
      <c r="R4456" s="1394">
        <f t="shared" si="1110"/>
        <v>0</v>
      </c>
      <c r="S4456" s="1394">
        <f>IFERROR(VLOOKUP(M4456,#REF!,6,0),0)</f>
        <v>0</v>
      </c>
      <c r="T4456" s="1394">
        <f t="shared" si="1114"/>
        <v>0</v>
      </c>
      <c r="U4456" s="1394">
        <f>IFERROR(VLOOKUP(M4456,#REF!,5,0),0)</f>
        <v>0</v>
      </c>
      <c r="V4456" s="1394">
        <f t="shared" si="1115"/>
        <v>0</v>
      </c>
      <c r="W4456" s="1394"/>
    </row>
    <row r="4457" spans="2:23" ht="30" customHeight="1">
      <c r="B4457" s="1407"/>
      <c r="C4457" s="1408" t="str">
        <f t="shared" si="1119"/>
        <v>Men Rest Room</v>
      </c>
      <c r="D4457" s="1409">
        <f t="shared" si="1124"/>
        <v>0</v>
      </c>
      <c r="E4457" s="1409">
        <f t="shared" si="1121"/>
        <v>0</v>
      </c>
      <c r="F4457" s="1410">
        <f t="shared" si="1121"/>
        <v>0</v>
      </c>
      <c r="G4457" s="1410"/>
      <c r="H4457" s="1411">
        <f t="shared" si="1122"/>
        <v>0</v>
      </c>
      <c r="I4457" s="1406">
        <f t="shared" si="1123"/>
        <v>0</v>
      </c>
      <c r="M4457" s="110"/>
      <c r="Q4457" s="1394">
        <f>IFERROR(VLOOKUP(M4457,#REF!,3,0),0)</f>
        <v>0</v>
      </c>
      <c r="R4457" s="1394">
        <f t="shared" si="1110"/>
        <v>0</v>
      </c>
      <c r="S4457" s="1394">
        <f>IFERROR(VLOOKUP(M4457,#REF!,6,0),0)</f>
        <v>0</v>
      </c>
      <c r="T4457" s="1394">
        <f t="shared" si="1114"/>
        <v>0</v>
      </c>
      <c r="U4457" s="1394">
        <f>IFERROR(VLOOKUP(M4457,#REF!,5,0),0)</f>
        <v>0</v>
      </c>
      <c r="V4457" s="1394">
        <f t="shared" si="1115"/>
        <v>0</v>
      </c>
      <c r="W4457" s="1394"/>
    </row>
    <row r="4458" spans="2:23" ht="30" customHeight="1">
      <c r="B4458" s="1407"/>
      <c r="C4458" s="1408" t="str">
        <f t="shared" si="1119"/>
        <v>Cross wall between Men Rest Room  / Toilet /Hall</v>
      </c>
      <c r="D4458" s="1409">
        <f t="shared" si="1124"/>
        <v>2</v>
      </c>
      <c r="E4458" s="1409">
        <f t="shared" si="1121"/>
        <v>1</v>
      </c>
      <c r="F4458" s="1410">
        <f t="shared" si="1121"/>
        <v>4</v>
      </c>
      <c r="G4458" s="1410"/>
      <c r="H4458" s="1411">
        <f t="shared" si="1122"/>
        <v>0.1</v>
      </c>
      <c r="I4458" s="1406">
        <f t="shared" si="1123"/>
        <v>0.8</v>
      </c>
      <c r="M4458" s="110"/>
      <c r="Q4458" s="1394">
        <f>IFERROR(VLOOKUP(M4458,#REF!,3,0),0)</f>
        <v>0</v>
      </c>
      <c r="R4458" s="1394">
        <f t="shared" si="1110"/>
        <v>0</v>
      </c>
      <c r="S4458" s="1394">
        <f>IFERROR(VLOOKUP(M4458,#REF!,6,0),0)</f>
        <v>0</v>
      </c>
      <c r="T4458" s="1394">
        <f t="shared" si="1114"/>
        <v>0</v>
      </c>
      <c r="U4458" s="1394">
        <f>IFERROR(VLOOKUP(M4458,#REF!,5,0),0)</f>
        <v>0</v>
      </c>
      <c r="V4458" s="1394">
        <f t="shared" si="1115"/>
        <v>0</v>
      </c>
      <c r="W4458" s="1394"/>
    </row>
    <row r="4459" spans="2:23" ht="30" customHeight="1">
      <c r="B4459" s="1407"/>
      <c r="C4459" s="1408" t="str">
        <f t="shared" si="1119"/>
        <v>D/F Toilet Open</v>
      </c>
      <c r="D4459" s="1409">
        <f t="shared" si="1124"/>
        <v>-2</v>
      </c>
      <c r="E4459" s="1409">
        <f t="shared" si="1121"/>
        <v>1</v>
      </c>
      <c r="F4459" s="1410">
        <f t="shared" si="1121"/>
        <v>1</v>
      </c>
      <c r="G4459" s="1410"/>
      <c r="H4459" s="1411">
        <f t="shared" si="1122"/>
        <v>0.1</v>
      </c>
      <c r="I4459" s="1406">
        <f t="shared" si="1123"/>
        <v>-0.2</v>
      </c>
      <c r="M4459" s="110"/>
      <c r="Q4459" s="1394">
        <f>IFERROR(VLOOKUP(M4459,#REF!,3,0),0)</f>
        <v>0</v>
      </c>
      <c r="R4459" s="1394">
        <f t="shared" si="1110"/>
        <v>0</v>
      </c>
      <c r="S4459" s="1394">
        <f>IFERROR(VLOOKUP(M4459,#REF!,6,0),0)</f>
        <v>0</v>
      </c>
      <c r="T4459" s="1394">
        <f t="shared" si="1114"/>
        <v>0</v>
      </c>
      <c r="U4459" s="1394">
        <f>IFERROR(VLOOKUP(M4459,#REF!,5,0),0)</f>
        <v>0</v>
      </c>
      <c r="V4459" s="1394">
        <f t="shared" si="1115"/>
        <v>0</v>
      </c>
      <c r="W4459" s="1394"/>
    </row>
    <row r="4460" spans="2:23" ht="30" customHeight="1">
      <c r="B4460" s="1407"/>
      <c r="C4460" s="1408" t="str">
        <f t="shared" si="1119"/>
        <v>Piller</v>
      </c>
      <c r="D4460" s="1409">
        <f t="shared" si="1124"/>
        <v>2</v>
      </c>
      <c r="E4460" s="1409">
        <f t="shared" ref="E4460:F4479" si="1125">E1085</f>
        <v>1</v>
      </c>
      <c r="F4460" s="1410">
        <f t="shared" si="1125"/>
        <v>0.23</v>
      </c>
      <c r="G4460" s="1410"/>
      <c r="H4460" s="1411">
        <f t="shared" si="1122"/>
        <v>0.1</v>
      </c>
      <c r="I4460" s="1406">
        <f t="shared" si="1123"/>
        <v>4.6000000000000006E-2</v>
      </c>
      <c r="M4460" s="110"/>
      <c r="Q4460" s="1394">
        <f>IFERROR(VLOOKUP(M4460,#REF!,3,0),0)</f>
        <v>0</v>
      </c>
      <c r="R4460" s="1394">
        <f t="shared" si="1110"/>
        <v>0</v>
      </c>
      <c r="S4460" s="1394">
        <f>IFERROR(VLOOKUP(M4460,#REF!,6,0),0)</f>
        <v>0</v>
      </c>
      <c r="T4460" s="1394">
        <f t="shared" si="1114"/>
        <v>0</v>
      </c>
      <c r="U4460" s="1394">
        <f>IFERROR(VLOOKUP(M4460,#REF!,5,0),0)</f>
        <v>0</v>
      </c>
      <c r="V4460" s="1394">
        <f t="shared" si="1115"/>
        <v>0</v>
      </c>
      <c r="W4460" s="1394"/>
    </row>
    <row r="4461" spans="2:23" ht="30" customHeight="1">
      <c r="B4461" s="1407"/>
      <c r="C4461" s="1408" t="str">
        <f t="shared" si="1119"/>
        <v>Cross wall between Men Rest Room  / Lift Stair</v>
      </c>
      <c r="D4461" s="1409">
        <f t="shared" si="1124"/>
        <v>2</v>
      </c>
      <c r="E4461" s="1409">
        <f t="shared" si="1125"/>
        <v>1</v>
      </c>
      <c r="F4461" s="1410">
        <f t="shared" si="1125"/>
        <v>5.53</v>
      </c>
      <c r="G4461" s="1410"/>
      <c r="H4461" s="1411">
        <f t="shared" si="1122"/>
        <v>0.1</v>
      </c>
      <c r="I4461" s="1406">
        <f t="shared" si="1123"/>
        <v>1.1060000000000001</v>
      </c>
      <c r="M4461" s="110"/>
      <c r="Q4461" s="1394">
        <f>IFERROR(VLOOKUP(M4461,#REF!,3,0),0)</f>
        <v>0</v>
      </c>
      <c r="R4461" s="1394">
        <f t="shared" si="1110"/>
        <v>0</v>
      </c>
      <c r="S4461" s="1394">
        <f>IFERROR(VLOOKUP(M4461,#REF!,6,0),0)</f>
        <v>0</v>
      </c>
      <c r="T4461" s="1394">
        <f t="shared" si="1114"/>
        <v>0</v>
      </c>
      <c r="U4461" s="1394">
        <f>IFERROR(VLOOKUP(M4461,#REF!,5,0),0)</f>
        <v>0</v>
      </c>
      <c r="V4461" s="1394">
        <f t="shared" si="1115"/>
        <v>0</v>
      </c>
      <c r="W4461" s="1394"/>
    </row>
    <row r="4462" spans="2:23" ht="30" customHeight="1">
      <c r="B4462" s="1407"/>
      <c r="C4462" s="1408" t="str">
        <f t="shared" si="1119"/>
        <v>Writer</v>
      </c>
      <c r="D4462" s="1409">
        <f t="shared" si="1124"/>
        <v>0</v>
      </c>
      <c r="E4462" s="1409">
        <f t="shared" si="1125"/>
        <v>0</v>
      </c>
      <c r="F4462" s="1410">
        <f t="shared" si="1125"/>
        <v>0</v>
      </c>
      <c r="G4462" s="1410"/>
      <c r="H4462" s="1411">
        <f t="shared" si="1122"/>
        <v>0</v>
      </c>
      <c r="I4462" s="1406">
        <f t="shared" si="1123"/>
        <v>0</v>
      </c>
      <c r="M4462" s="110"/>
      <c r="Q4462" s="1394">
        <f>IFERROR(VLOOKUP(M4462,#REF!,3,0),0)</f>
        <v>0</v>
      </c>
      <c r="R4462" s="1394">
        <f t="shared" ref="R4462:R4525" si="1126">ROUND(O4462,2)*ROUND(Q4462,2)</f>
        <v>0</v>
      </c>
      <c r="S4462" s="1394">
        <f>IFERROR(VLOOKUP(M4462,#REF!,6,0),0)</f>
        <v>0</v>
      </c>
      <c r="T4462" s="1394">
        <f t="shared" si="1114"/>
        <v>0</v>
      </c>
      <c r="U4462" s="1394">
        <f>IFERROR(VLOOKUP(M4462,#REF!,5,0),0)</f>
        <v>0</v>
      </c>
      <c r="V4462" s="1394">
        <f t="shared" si="1115"/>
        <v>0</v>
      </c>
      <c r="W4462" s="1394"/>
    </row>
    <row r="4463" spans="2:23" ht="30" customHeight="1">
      <c r="B4463" s="1407"/>
      <c r="C4463" s="1408" t="str">
        <f t="shared" si="1119"/>
        <v>Cross wall between  Writer / Stair case lobby</v>
      </c>
      <c r="D4463" s="1409">
        <f t="shared" si="1124"/>
        <v>2</v>
      </c>
      <c r="E4463" s="1409">
        <f t="shared" si="1125"/>
        <v>1</v>
      </c>
      <c r="F4463" s="1410">
        <f t="shared" si="1125"/>
        <v>5.53</v>
      </c>
      <c r="G4463" s="1410"/>
      <c r="H4463" s="1411">
        <f t="shared" si="1122"/>
        <v>0.1</v>
      </c>
      <c r="I4463" s="1406">
        <f t="shared" si="1123"/>
        <v>1.1060000000000001</v>
      </c>
      <c r="M4463" s="110"/>
      <c r="Q4463" s="1394">
        <f>IFERROR(VLOOKUP(M4463,#REF!,3,0),0)</f>
        <v>0</v>
      </c>
      <c r="R4463" s="1394">
        <f t="shared" si="1126"/>
        <v>0</v>
      </c>
      <c r="S4463" s="1394">
        <f>IFERROR(VLOOKUP(M4463,#REF!,6,0),0)</f>
        <v>0</v>
      </c>
      <c r="T4463" s="1394">
        <f t="shared" si="1114"/>
        <v>0</v>
      </c>
      <c r="U4463" s="1394">
        <f>IFERROR(VLOOKUP(M4463,#REF!,5,0),0)</f>
        <v>0</v>
      </c>
      <c r="V4463" s="1394">
        <f t="shared" si="1115"/>
        <v>0</v>
      </c>
      <c r="W4463" s="1394"/>
    </row>
    <row r="4464" spans="2:23" ht="30" customHeight="1">
      <c r="B4464" s="1407"/>
      <c r="C4464" s="1408" t="str">
        <f t="shared" si="1119"/>
        <v>Cross wall between  Writer / Hall</v>
      </c>
      <c r="D4464" s="1409">
        <f t="shared" si="1124"/>
        <v>2</v>
      </c>
      <c r="E4464" s="1409">
        <f t="shared" si="1125"/>
        <v>1</v>
      </c>
      <c r="F4464" s="1410">
        <f t="shared" si="1125"/>
        <v>3.4550000000000001</v>
      </c>
      <c r="G4464" s="1410"/>
      <c r="H4464" s="1411">
        <f t="shared" si="1122"/>
        <v>0.1</v>
      </c>
      <c r="I4464" s="1406">
        <f t="shared" si="1123"/>
        <v>0.69100000000000006</v>
      </c>
      <c r="M4464" s="110"/>
      <c r="Q4464" s="1394">
        <f>IFERROR(VLOOKUP(M4464,#REF!,3,0),0)</f>
        <v>0</v>
      </c>
      <c r="R4464" s="1394">
        <f t="shared" si="1126"/>
        <v>0</v>
      </c>
      <c r="S4464" s="1394">
        <f>IFERROR(VLOOKUP(M4464,#REF!,6,0),0)</f>
        <v>0</v>
      </c>
      <c r="T4464" s="1394">
        <f t="shared" si="1114"/>
        <v>0</v>
      </c>
      <c r="U4464" s="1394">
        <f>IFERROR(VLOOKUP(M4464,#REF!,5,0),0)</f>
        <v>0</v>
      </c>
      <c r="V4464" s="1394">
        <f t="shared" si="1115"/>
        <v>0</v>
      </c>
      <c r="W4464" s="1394"/>
    </row>
    <row r="4465" spans="2:23" ht="30" customHeight="1">
      <c r="B4465" s="1407"/>
      <c r="C4465" s="1408" t="str">
        <f t="shared" si="1119"/>
        <v>C/B Piller</v>
      </c>
      <c r="D4465" s="1409">
        <f t="shared" si="1124"/>
        <v>2</v>
      </c>
      <c r="E4465" s="1409">
        <f t="shared" si="1125"/>
        <v>1</v>
      </c>
      <c r="F4465" s="1410">
        <f t="shared" si="1125"/>
        <v>0.71499999999999997</v>
      </c>
      <c r="G4465" s="1410"/>
      <c r="H4465" s="1411">
        <f t="shared" si="1122"/>
        <v>0.1</v>
      </c>
      <c r="I4465" s="1406">
        <f t="shared" si="1123"/>
        <v>0.14299999999999999</v>
      </c>
      <c r="M4465" s="110"/>
      <c r="Q4465" s="1394">
        <f>IFERROR(VLOOKUP(M4465,#REF!,3,0),0)</f>
        <v>0</v>
      </c>
      <c r="R4465" s="1394">
        <f t="shared" si="1126"/>
        <v>0</v>
      </c>
      <c r="S4465" s="1394">
        <f>IFERROR(VLOOKUP(M4465,#REF!,6,0),0)</f>
        <v>0</v>
      </c>
      <c r="T4465" s="1394">
        <f t="shared" si="1114"/>
        <v>0</v>
      </c>
      <c r="U4465" s="1394">
        <f>IFERROR(VLOOKUP(M4465,#REF!,5,0),0)</f>
        <v>0</v>
      </c>
      <c r="V4465" s="1394">
        <f t="shared" si="1115"/>
        <v>0</v>
      </c>
      <c r="W4465" s="1394"/>
    </row>
    <row r="4466" spans="2:23" ht="30" customHeight="1">
      <c r="B4466" s="1407"/>
      <c r="C4466" s="1408" t="str">
        <f t="shared" si="1119"/>
        <v xml:space="preserve">Ins Trafic </v>
      </c>
      <c r="D4466" s="1409">
        <f t="shared" si="1124"/>
        <v>0</v>
      </c>
      <c r="E4466" s="1409">
        <f t="shared" si="1125"/>
        <v>0</v>
      </c>
      <c r="F4466" s="1410">
        <f t="shared" si="1125"/>
        <v>0</v>
      </c>
      <c r="G4466" s="1410"/>
      <c r="H4466" s="1411">
        <f t="shared" si="1122"/>
        <v>0</v>
      </c>
      <c r="I4466" s="1406">
        <f t="shared" si="1123"/>
        <v>0</v>
      </c>
      <c r="M4466" s="110"/>
      <c r="Q4466" s="1394">
        <f>IFERROR(VLOOKUP(M4466,#REF!,3,0),0)</f>
        <v>0</v>
      </c>
      <c r="R4466" s="1394">
        <f t="shared" si="1126"/>
        <v>0</v>
      </c>
      <c r="S4466" s="1394">
        <f>IFERROR(VLOOKUP(M4466,#REF!,6,0),0)</f>
        <v>0</v>
      </c>
      <c r="T4466" s="1394">
        <f t="shared" si="1114"/>
        <v>0</v>
      </c>
      <c r="U4466" s="1394">
        <f>IFERROR(VLOOKUP(M4466,#REF!,5,0),0)</f>
        <v>0</v>
      </c>
      <c r="V4466" s="1394">
        <f t="shared" si="1115"/>
        <v>0</v>
      </c>
      <c r="W4466" s="1394"/>
    </row>
    <row r="4467" spans="2:23" ht="30" customHeight="1">
      <c r="B4467" s="1407"/>
      <c r="C4467" s="1408" t="str">
        <f t="shared" si="1119"/>
        <v>Cross wall between  Ins Trafic  / Hall , Toilet</v>
      </c>
      <c r="D4467" s="1409">
        <f t="shared" si="1124"/>
        <v>2</v>
      </c>
      <c r="E4467" s="1409">
        <f t="shared" si="1125"/>
        <v>1</v>
      </c>
      <c r="F4467" s="1410">
        <f t="shared" si="1125"/>
        <v>4</v>
      </c>
      <c r="G4467" s="1410"/>
      <c r="H4467" s="1411">
        <f t="shared" si="1122"/>
        <v>0.1</v>
      </c>
      <c r="I4467" s="1406">
        <f t="shared" si="1123"/>
        <v>0.8</v>
      </c>
      <c r="M4467" s="110"/>
      <c r="Q4467" s="1394">
        <f>IFERROR(VLOOKUP(M4467,#REF!,3,0),0)</f>
        <v>0</v>
      </c>
      <c r="R4467" s="1394">
        <f t="shared" si="1126"/>
        <v>0</v>
      </c>
      <c r="S4467" s="1394">
        <f>IFERROR(VLOOKUP(M4467,#REF!,6,0),0)</f>
        <v>0</v>
      </c>
      <c r="T4467" s="1394">
        <f t="shared" si="1114"/>
        <v>0</v>
      </c>
      <c r="U4467" s="1394">
        <f>IFERROR(VLOOKUP(M4467,#REF!,5,0),0)</f>
        <v>0</v>
      </c>
      <c r="V4467" s="1394">
        <f t="shared" si="1115"/>
        <v>0</v>
      </c>
      <c r="W4467" s="1394"/>
    </row>
    <row r="4468" spans="2:23" ht="30" customHeight="1">
      <c r="B4468" s="1407"/>
      <c r="C4468" s="1408" t="str">
        <f t="shared" si="1119"/>
        <v>D/F Toilet Open</v>
      </c>
      <c r="D4468" s="1409">
        <f t="shared" si="1124"/>
        <v>-2</v>
      </c>
      <c r="E4468" s="1409">
        <f t="shared" si="1125"/>
        <v>1</v>
      </c>
      <c r="F4468" s="1410">
        <f t="shared" si="1125"/>
        <v>1</v>
      </c>
      <c r="G4468" s="1410"/>
      <c r="H4468" s="1411">
        <f t="shared" si="1122"/>
        <v>0.1</v>
      </c>
      <c r="I4468" s="1406">
        <f t="shared" si="1123"/>
        <v>-0.2</v>
      </c>
      <c r="M4468" s="110"/>
      <c r="Q4468" s="1394">
        <f>IFERROR(VLOOKUP(M4468,#REF!,3,0),0)</f>
        <v>0</v>
      </c>
      <c r="R4468" s="1394">
        <f t="shared" si="1126"/>
        <v>0</v>
      </c>
      <c r="S4468" s="1394">
        <f>IFERROR(VLOOKUP(M4468,#REF!,6,0),0)</f>
        <v>0</v>
      </c>
      <c r="T4468" s="1394">
        <f t="shared" si="1114"/>
        <v>0</v>
      </c>
      <c r="U4468" s="1394">
        <f>IFERROR(VLOOKUP(M4468,#REF!,5,0),0)</f>
        <v>0</v>
      </c>
      <c r="V4468" s="1394">
        <f t="shared" si="1115"/>
        <v>0</v>
      </c>
      <c r="W4468" s="1394"/>
    </row>
    <row r="4469" spans="2:23" ht="30" customHeight="1">
      <c r="B4469" s="1407"/>
      <c r="C4469" s="1408" t="str">
        <f t="shared" si="1119"/>
        <v>Cross wall between  Ins Trafic  / Hall , Toilet Piller</v>
      </c>
      <c r="D4469" s="1409">
        <f t="shared" si="1124"/>
        <v>2</v>
      </c>
      <c r="E4469" s="1409">
        <f t="shared" si="1125"/>
        <v>1</v>
      </c>
      <c r="F4469" s="1410">
        <f t="shared" si="1125"/>
        <v>0.43</v>
      </c>
      <c r="G4469" s="1410"/>
      <c r="H4469" s="1411">
        <f t="shared" si="1122"/>
        <v>0.1</v>
      </c>
      <c r="I4469" s="1406">
        <f t="shared" si="1123"/>
        <v>8.6000000000000007E-2</v>
      </c>
      <c r="M4469" s="110"/>
      <c r="Q4469" s="1394">
        <f>IFERROR(VLOOKUP(M4469,#REF!,3,0),0)</f>
        <v>0</v>
      </c>
      <c r="R4469" s="1394">
        <f t="shared" si="1126"/>
        <v>0</v>
      </c>
      <c r="S4469" s="1394">
        <f>IFERROR(VLOOKUP(M4469,#REF!,6,0),0)</f>
        <v>0</v>
      </c>
      <c r="T4469" s="1394">
        <f t="shared" si="1114"/>
        <v>0</v>
      </c>
      <c r="U4469" s="1394">
        <f>IFERROR(VLOOKUP(M4469,#REF!,5,0),0)</f>
        <v>0</v>
      </c>
      <c r="V4469" s="1394">
        <f t="shared" si="1115"/>
        <v>0</v>
      </c>
      <c r="W4469" s="1394"/>
    </row>
    <row r="4470" spans="2:23" ht="30" customHeight="1">
      <c r="B4470" s="1407"/>
      <c r="C4470" s="1408" t="str">
        <f t="shared" si="1119"/>
        <v>Store</v>
      </c>
      <c r="D4470" s="1409">
        <f t="shared" si="1124"/>
        <v>0</v>
      </c>
      <c r="E4470" s="1409">
        <f t="shared" si="1125"/>
        <v>0</v>
      </c>
      <c r="F4470" s="1410">
        <f t="shared" si="1125"/>
        <v>0</v>
      </c>
      <c r="G4470" s="1410"/>
      <c r="H4470" s="1411">
        <f t="shared" si="1122"/>
        <v>0</v>
      </c>
      <c r="I4470" s="1406">
        <f t="shared" si="1123"/>
        <v>0</v>
      </c>
      <c r="M4470" s="110"/>
      <c r="Q4470" s="1394">
        <f>IFERROR(VLOOKUP(M4470,#REF!,3,0),0)</f>
        <v>0</v>
      </c>
      <c r="R4470" s="1394">
        <f t="shared" si="1126"/>
        <v>0</v>
      </c>
      <c r="S4470" s="1394">
        <f>IFERROR(VLOOKUP(M4470,#REF!,6,0),0)</f>
        <v>0</v>
      </c>
      <c r="T4470" s="1394">
        <f t="shared" si="1114"/>
        <v>0</v>
      </c>
      <c r="U4470" s="1394">
        <f>IFERROR(VLOOKUP(M4470,#REF!,5,0),0)</f>
        <v>0</v>
      </c>
      <c r="V4470" s="1394">
        <f t="shared" si="1115"/>
        <v>0</v>
      </c>
      <c r="W4470" s="1394"/>
    </row>
    <row r="4471" spans="2:23" ht="30" customHeight="1">
      <c r="B4471" s="1407"/>
      <c r="C4471" s="1408" t="str">
        <f t="shared" si="1119"/>
        <v>Cross wall between Store / Hall</v>
      </c>
      <c r="D4471" s="1409">
        <f t="shared" si="1124"/>
        <v>2</v>
      </c>
      <c r="E4471" s="1409">
        <f t="shared" si="1125"/>
        <v>1</v>
      </c>
      <c r="F4471" s="1410">
        <f t="shared" si="1125"/>
        <v>2.73</v>
      </c>
      <c r="G4471" s="1410"/>
      <c r="H4471" s="1411">
        <f t="shared" si="1122"/>
        <v>0.1</v>
      </c>
      <c r="I4471" s="1406">
        <f t="shared" si="1123"/>
        <v>0.54600000000000004</v>
      </c>
      <c r="M4471" s="110"/>
      <c r="Q4471" s="1394">
        <f>IFERROR(VLOOKUP(M4471,#REF!,3,0),0)</f>
        <v>0</v>
      </c>
      <c r="R4471" s="1394">
        <f t="shared" si="1126"/>
        <v>0</v>
      </c>
      <c r="S4471" s="1394">
        <f>IFERROR(VLOOKUP(M4471,#REF!,6,0),0)</f>
        <v>0</v>
      </c>
      <c r="T4471" s="1394">
        <f t="shared" si="1114"/>
        <v>0</v>
      </c>
      <c r="U4471" s="1394">
        <f>IFERROR(VLOOKUP(M4471,#REF!,5,0),0)</f>
        <v>0</v>
      </c>
      <c r="V4471" s="1394">
        <f t="shared" si="1115"/>
        <v>0</v>
      </c>
      <c r="W4471" s="1394"/>
    </row>
    <row r="4472" spans="2:23" ht="30" customHeight="1">
      <c r="B4472" s="1407"/>
      <c r="C4472" s="1408" t="str">
        <f t="shared" ref="C4472:C4501" si="1127">C1097</f>
        <v>Cross wall between Store / Men Rest Room</v>
      </c>
      <c r="D4472" s="1409">
        <f t="shared" si="1124"/>
        <v>2</v>
      </c>
      <c r="E4472" s="1409">
        <f t="shared" si="1125"/>
        <v>1</v>
      </c>
      <c r="F4472" s="1410">
        <f t="shared" si="1125"/>
        <v>9.77</v>
      </c>
      <c r="G4472" s="1410"/>
      <c r="H4472" s="1411">
        <f t="shared" ref="H4472:H4501" si="1128">H1097</f>
        <v>0.1</v>
      </c>
      <c r="I4472" s="1406">
        <f t="shared" si="1123"/>
        <v>1.954</v>
      </c>
      <c r="M4472" s="110"/>
      <c r="Q4472" s="1394">
        <f>IFERROR(VLOOKUP(M4472,#REF!,3,0),0)</f>
        <v>0</v>
      </c>
      <c r="R4472" s="1394">
        <f t="shared" si="1126"/>
        <v>0</v>
      </c>
      <c r="S4472" s="1394">
        <f>IFERROR(VLOOKUP(M4472,#REF!,6,0),0)</f>
        <v>0</v>
      </c>
      <c r="T4472" s="1394">
        <f t="shared" si="1114"/>
        <v>0</v>
      </c>
      <c r="U4472" s="1394">
        <f>IFERROR(VLOOKUP(M4472,#REF!,5,0),0)</f>
        <v>0</v>
      </c>
      <c r="V4472" s="1394">
        <f t="shared" si="1115"/>
        <v>0</v>
      </c>
      <c r="W4472" s="1394"/>
    </row>
    <row r="4473" spans="2:23" ht="30" customHeight="1">
      <c r="B4473" s="1407"/>
      <c r="C4473" s="1408" t="str">
        <f t="shared" si="1127"/>
        <v>Men Rest Room</v>
      </c>
      <c r="D4473" s="1409">
        <f t="shared" si="1124"/>
        <v>0</v>
      </c>
      <c r="E4473" s="1409">
        <f t="shared" si="1125"/>
        <v>0</v>
      </c>
      <c r="F4473" s="1410">
        <f t="shared" si="1125"/>
        <v>0</v>
      </c>
      <c r="G4473" s="1410"/>
      <c r="H4473" s="1411">
        <f t="shared" si="1128"/>
        <v>0</v>
      </c>
      <c r="I4473" s="1406">
        <f t="shared" si="1123"/>
        <v>0</v>
      </c>
      <c r="M4473" s="110"/>
      <c r="Q4473" s="1394">
        <f>IFERROR(VLOOKUP(M4473,#REF!,3,0),0)</f>
        <v>0</v>
      </c>
      <c r="R4473" s="1394">
        <f t="shared" si="1126"/>
        <v>0</v>
      </c>
      <c r="S4473" s="1394">
        <f>IFERROR(VLOOKUP(M4473,#REF!,6,0),0)</f>
        <v>0</v>
      </c>
      <c r="T4473" s="1394">
        <f t="shared" si="1114"/>
        <v>0</v>
      </c>
      <c r="U4473" s="1394">
        <f>IFERROR(VLOOKUP(M4473,#REF!,5,0),0)</f>
        <v>0</v>
      </c>
      <c r="V4473" s="1394">
        <f t="shared" si="1115"/>
        <v>0</v>
      </c>
      <c r="W4473" s="1394"/>
    </row>
    <row r="4474" spans="2:23" ht="30" customHeight="1">
      <c r="B4474" s="1407"/>
      <c r="C4474" s="1408" t="str">
        <f t="shared" si="1127"/>
        <v>Cross wall between Men Rest Room / Hall</v>
      </c>
      <c r="D4474" s="1409">
        <f t="shared" si="1124"/>
        <v>2</v>
      </c>
      <c r="E4474" s="1409">
        <f t="shared" si="1125"/>
        <v>1</v>
      </c>
      <c r="F4474" s="1410">
        <f t="shared" si="1125"/>
        <v>5.9349999999999996</v>
      </c>
      <c r="G4474" s="1410"/>
      <c r="H4474" s="1409">
        <f t="shared" si="1128"/>
        <v>0.1</v>
      </c>
      <c r="I4474" s="1406">
        <f t="shared" si="1123"/>
        <v>1.1870000000000001</v>
      </c>
      <c r="M4474" s="110"/>
      <c r="Q4474" s="1394">
        <f>IFERROR(VLOOKUP(M4474,#REF!,3,0),0)</f>
        <v>0</v>
      </c>
      <c r="R4474" s="1394">
        <f t="shared" si="1126"/>
        <v>0</v>
      </c>
      <c r="S4474" s="1394">
        <f>IFERROR(VLOOKUP(M4474,#REF!,6,0),0)</f>
        <v>0</v>
      </c>
      <c r="T4474" s="1394">
        <f t="shared" si="1114"/>
        <v>0</v>
      </c>
      <c r="U4474" s="1394">
        <f>IFERROR(VLOOKUP(M4474,#REF!,5,0),0)</f>
        <v>0</v>
      </c>
      <c r="V4474" s="1394">
        <f t="shared" si="1115"/>
        <v>0</v>
      </c>
      <c r="W4474" s="1394"/>
    </row>
    <row r="4475" spans="2:23" ht="30" customHeight="1">
      <c r="B4475" s="1407"/>
      <c r="C4475" s="1408" t="str">
        <f t="shared" si="1127"/>
        <v>Partition wall Lintel</v>
      </c>
      <c r="D4475" s="1409">
        <f t="shared" si="1124"/>
        <v>0</v>
      </c>
      <c r="E4475" s="1409">
        <f t="shared" si="1125"/>
        <v>0</v>
      </c>
      <c r="F4475" s="1410">
        <f t="shared" si="1125"/>
        <v>0</v>
      </c>
      <c r="G4475" s="1410"/>
      <c r="H4475" s="1411">
        <f t="shared" si="1128"/>
        <v>0</v>
      </c>
      <c r="I4475" s="1406">
        <f t="shared" si="1123"/>
        <v>0</v>
      </c>
      <c r="M4475" s="110"/>
      <c r="Q4475" s="1394">
        <f>IFERROR(VLOOKUP(M4475,#REF!,3,0),0)</f>
        <v>0</v>
      </c>
      <c r="R4475" s="1394">
        <f t="shared" si="1126"/>
        <v>0</v>
      </c>
      <c r="S4475" s="1394">
        <f>IFERROR(VLOOKUP(M4475,#REF!,6,0),0)</f>
        <v>0</v>
      </c>
      <c r="T4475" s="1394">
        <f t="shared" si="1114"/>
        <v>0</v>
      </c>
      <c r="U4475" s="1394">
        <f>IFERROR(VLOOKUP(M4475,#REF!,5,0),0)</f>
        <v>0</v>
      </c>
      <c r="V4475" s="1394">
        <f t="shared" si="1115"/>
        <v>0</v>
      </c>
      <c r="W4475" s="1394"/>
    </row>
    <row r="4476" spans="2:23" ht="30" customHeight="1">
      <c r="B4476" s="1407"/>
      <c r="C4476" s="1412" t="str">
        <f t="shared" si="1127"/>
        <v>Men Rest Room</v>
      </c>
      <c r="D4476" s="1409">
        <f t="shared" si="1124"/>
        <v>0</v>
      </c>
      <c r="E4476" s="1409">
        <f t="shared" si="1125"/>
        <v>0</v>
      </c>
      <c r="F4476" s="1410">
        <f t="shared" si="1125"/>
        <v>0</v>
      </c>
      <c r="G4476" s="1410"/>
      <c r="H4476" s="1411">
        <f t="shared" si="1128"/>
        <v>0</v>
      </c>
      <c r="I4476" s="1406">
        <f t="shared" si="1123"/>
        <v>0</v>
      </c>
      <c r="M4476" s="110"/>
      <c r="Q4476" s="1394">
        <f>IFERROR(VLOOKUP(M4476,#REF!,3,0),0)</f>
        <v>0</v>
      </c>
      <c r="R4476" s="1394">
        <f t="shared" si="1126"/>
        <v>0</v>
      </c>
      <c r="S4476" s="1394">
        <f>IFERROR(VLOOKUP(M4476,#REF!,6,0),0)</f>
        <v>0</v>
      </c>
      <c r="T4476" s="1394">
        <f t="shared" si="1114"/>
        <v>0</v>
      </c>
      <c r="U4476" s="1394">
        <f>IFERROR(VLOOKUP(M4476,#REF!,5,0),0)</f>
        <v>0</v>
      </c>
      <c r="V4476" s="1394">
        <f t="shared" si="1115"/>
        <v>0</v>
      </c>
      <c r="W4476" s="1394"/>
    </row>
    <row r="4477" spans="2:23" ht="30" customHeight="1">
      <c r="B4477" s="1407"/>
      <c r="C4477" s="1412" t="str">
        <f t="shared" si="1127"/>
        <v>C/B Wall</v>
      </c>
      <c r="D4477" s="1409">
        <f t="shared" si="1124"/>
        <v>2</v>
      </c>
      <c r="E4477" s="103">
        <f t="shared" si="1125"/>
        <v>1</v>
      </c>
      <c r="F4477" s="1413">
        <f t="shared" si="1125"/>
        <v>0.6</v>
      </c>
      <c r="G4477" s="1413"/>
      <c r="H4477" s="1414">
        <f t="shared" si="1128"/>
        <v>0.1</v>
      </c>
      <c r="I4477" s="1406">
        <f t="shared" si="1123"/>
        <v>0.12</v>
      </c>
      <c r="M4477" s="110"/>
      <c r="Q4477" s="1394">
        <f>IFERROR(VLOOKUP(M4477,#REF!,3,0),0)</f>
        <v>0</v>
      </c>
      <c r="R4477" s="1394">
        <f t="shared" si="1126"/>
        <v>0</v>
      </c>
      <c r="S4477" s="1394">
        <f>IFERROR(VLOOKUP(M4477,#REF!,6,0),0)</f>
        <v>0</v>
      </c>
      <c r="T4477" s="1394">
        <f t="shared" si="1114"/>
        <v>0</v>
      </c>
      <c r="U4477" s="1394">
        <f>IFERROR(VLOOKUP(M4477,#REF!,5,0),0)</f>
        <v>0</v>
      </c>
      <c r="V4477" s="1394">
        <f t="shared" si="1115"/>
        <v>0</v>
      </c>
      <c r="W4477" s="1394"/>
    </row>
    <row r="4478" spans="2:23" ht="30" customHeight="1">
      <c r="B4478" s="1407"/>
      <c r="C4478" s="1455" t="str">
        <f t="shared" si="1127"/>
        <v>Cross wall between Toilet / Passage</v>
      </c>
      <c r="D4478" s="1409">
        <f t="shared" si="1124"/>
        <v>2</v>
      </c>
      <c r="E4478" s="103">
        <f t="shared" si="1125"/>
        <v>1</v>
      </c>
      <c r="F4478" s="1413">
        <f t="shared" si="1125"/>
        <v>1.5</v>
      </c>
      <c r="G4478" s="1413"/>
      <c r="H4478" s="1414">
        <f t="shared" si="1128"/>
        <v>0.1</v>
      </c>
      <c r="I4478" s="1406">
        <f t="shared" si="1123"/>
        <v>0.30000000000000004</v>
      </c>
      <c r="M4478" s="110"/>
      <c r="Q4478" s="1394">
        <f>IFERROR(VLOOKUP(M4478,#REF!,3,0),0)</f>
        <v>0</v>
      </c>
      <c r="R4478" s="1394">
        <f t="shared" si="1126"/>
        <v>0</v>
      </c>
      <c r="S4478" s="1394">
        <f>IFERROR(VLOOKUP(M4478,#REF!,6,0),0)</f>
        <v>0</v>
      </c>
      <c r="T4478" s="1394">
        <f t="shared" si="1114"/>
        <v>0</v>
      </c>
      <c r="U4478" s="1394">
        <f>IFERROR(VLOOKUP(M4478,#REF!,5,0),0)</f>
        <v>0</v>
      </c>
      <c r="V4478" s="1394">
        <f t="shared" si="1115"/>
        <v>0</v>
      </c>
      <c r="W4478" s="1394"/>
    </row>
    <row r="4479" spans="2:23" ht="30" customHeight="1">
      <c r="B4479" s="1407"/>
      <c r="C4479" s="1455" t="str">
        <f t="shared" si="1127"/>
        <v>Cross wall between Hall  / Passage</v>
      </c>
      <c r="D4479" s="1409">
        <f t="shared" si="1124"/>
        <v>2</v>
      </c>
      <c r="E4479" s="103">
        <f t="shared" si="1125"/>
        <v>1</v>
      </c>
      <c r="F4479" s="1413">
        <f t="shared" si="1125"/>
        <v>1.5</v>
      </c>
      <c r="G4479" s="1413"/>
      <c r="H4479" s="1414">
        <f t="shared" si="1128"/>
        <v>0.1</v>
      </c>
      <c r="I4479" s="1406">
        <f t="shared" si="1123"/>
        <v>0.30000000000000004</v>
      </c>
      <c r="M4479" s="110"/>
      <c r="Q4479" s="1394">
        <f>IFERROR(VLOOKUP(M4479,#REF!,3,0),0)</f>
        <v>0</v>
      </c>
      <c r="R4479" s="1394">
        <f t="shared" si="1126"/>
        <v>0</v>
      </c>
      <c r="S4479" s="1394">
        <f>IFERROR(VLOOKUP(M4479,#REF!,6,0),0)</f>
        <v>0</v>
      </c>
      <c r="T4479" s="1394">
        <f t="shared" si="1114"/>
        <v>0</v>
      </c>
      <c r="U4479" s="1394">
        <f>IFERROR(VLOOKUP(M4479,#REF!,5,0),0)</f>
        <v>0</v>
      </c>
      <c r="V4479" s="1394">
        <f t="shared" si="1115"/>
        <v>0</v>
      </c>
      <c r="W4479" s="1394"/>
    </row>
    <row r="4480" spans="2:23" ht="30" customHeight="1">
      <c r="B4480" s="1407"/>
      <c r="C4480" s="1455" t="str">
        <f t="shared" si="1127"/>
        <v>Writer</v>
      </c>
      <c r="D4480" s="1409">
        <f t="shared" si="1124"/>
        <v>0</v>
      </c>
      <c r="E4480" s="103">
        <f t="shared" ref="E4480:F4499" si="1129">E1105</f>
        <v>0</v>
      </c>
      <c r="F4480" s="1413">
        <f t="shared" si="1129"/>
        <v>0</v>
      </c>
      <c r="G4480" s="1413"/>
      <c r="H4480" s="1414">
        <f t="shared" si="1128"/>
        <v>0</v>
      </c>
      <c r="I4480" s="1406">
        <f t="shared" si="1123"/>
        <v>0</v>
      </c>
      <c r="M4480" s="110"/>
      <c r="Q4480" s="1394">
        <f>IFERROR(VLOOKUP(M4480,#REF!,3,0),0)</f>
        <v>0</v>
      </c>
      <c r="R4480" s="1394">
        <f t="shared" si="1126"/>
        <v>0</v>
      </c>
      <c r="S4480" s="1394">
        <f>IFERROR(VLOOKUP(M4480,#REF!,6,0),0)</f>
        <v>0</v>
      </c>
      <c r="T4480" s="1394">
        <f t="shared" si="1114"/>
        <v>0</v>
      </c>
      <c r="U4480" s="1394">
        <f>IFERROR(VLOOKUP(M4480,#REF!,5,0),0)</f>
        <v>0</v>
      </c>
      <c r="V4480" s="1394">
        <f t="shared" si="1115"/>
        <v>0</v>
      </c>
      <c r="W4480" s="1394"/>
    </row>
    <row r="4481" spans="2:23" ht="30" customHeight="1">
      <c r="B4481" s="1407"/>
      <c r="C4481" s="1412" t="str">
        <f t="shared" si="1127"/>
        <v>C/B Wall</v>
      </c>
      <c r="D4481" s="1409">
        <f t="shared" si="1124"/>
        <v>2</v>
      </c>
      <c r="E4481" s="103">
        <f t="shared" si="1129"/>
        <v>1</v>
      </c>
      <c r="F4481" s="1413">
        <f t="shared" si="1129"/>
        <v>0.6</v>
      </c>
      <c r="G4481" s="1413"/>
      <c r="H4481" s="1414">
        <f t="shared" si="1128"/>
        <v>0.1</v>
      </c>
      <c r="I4481" s="1406">
        <f t="shared" si="1123"/>
        <v>0.12</v>
      </c>
      <c r="M4481" s="110"/>
      <c r="Q4481" s="1394">
        <f>IFERROR(VLOOKUP(M4481,#REF!,3,0),0)</f>
        <v>0</v>
      </c>
      <c r="R4481" s="1394">
        <f t="shared" si="1126"/>
        <v>0</v>
      </c>
      <c r="S4481" s="1394">
        <f>IFERROR(VLOOKUP(M4481,#REF!,6,0),0)</f>
        <v>0</v>
      </c>
      <c r="T4481" s="1394">
        <f t="shared" si="1114"/>
        <v>0</v>
      </c>
      <c r="U4481" s="1394">
        <f>IFERROR(VLOOKUP(M4481,#REF!,5,0),0)</f>
        <v>0</v>
      </c>
      <c r="V4481" s="1394">
        <f t="shared" si="1115"/>
        <v>0</v>
      </c>
      <c r="W4481" s="1394"/>
    </row>
    <row r="4482" spans="2:23" ht="30" customHeight="1">
      <c r="B4482" s="1407"/>
      <c r="C4482" s="1455" t="str">
        <f t="shared" si="1127"/>
        <v>Cross wall between Writer / Ins Traffic</v>
      </c>
      <c r="D4482" s="1409">
        <f t="shared" si="1124"/>
        <v>2</v>
      </c>
      <c r="E4482" s="103">
        <f t="shared" si="1129"/>
        <v>1</v>
      </c>
      <c r="F4482" s="1413">
        <f t="shared" si="1129"/>
        <v>1.8</v>
      </c>
      <c r="G4482" s="1413"/>
      <c r="H4482" s="1414">
        <f t="shared" si="1128"/>
        <v>0.1</v>
      </c>
      <c r="I4482" s="1406">
        <f t="shared" si="1123"/>
        <v>0.36000000000000004</v>
      </c>
      <c r="M4482" s="110"/>
      <c r="Q4482" s="1394">
        <f>IFERROR(VLOOKUP(M4482,#REF!,3,0),0)</f>
        <v>0</v>
      </c>
      <c r="R4482" s="1394">
        <f t="shared" si="1126"/>
        <v>0</v>
      </c>
      <c r="S4482" s="1394">
        <f>IFERROR(VLOOKUP(M4482,#REF!,6,0),0)</f>
        <v>0</v>
      </c>
      <c r="T4482" s="1394">
        <f t="shared" si="1114"/>
        <v>0</v>
      </c>
      <c r="U4482" s="1394">
        <f>IFERROR(VLOOKUP(M4482,#REF!,5,0),0)</f>
        <v>0</v>
      </c>
      <c r="V4482" s="1394">
        <f t="shared" si="1115"/>
        <v>0</v>
      </c>
      <c r="W4482" s="1394"/>
    </row>
    <row r="4483" spans="2:23" ht="30" customHeight="1">
      <c r="B4483" s="1407"/>
      <c r="C4483" s="1455" t="str">
        <f t="shared" si="1127"/>
        <v>Cross wall between Writer / Ins Traffic</v>
      </c>
      <c r="D4483" s="1409">
        <f t="shared" si="1124"/>
        <v>2</v>
      </c>
      <c r="E4483" s="103">
        <f t="shared" si="1129"/>
        <v>1</v>
      </c>
      <c r="F4483" s="1413">
        <f t="shared" si="1129"/>
        <v>3.2759999999999998</v>
      </c>
      <c r="G4483" s="1413"/>
      <c r="H4483" s="1414">
        <f t="shared" si="1128"/>
        <v>0.1</v>
      </c>
      <c r="I4483" s="1406">
        <f t="shared" si="1123"/>
        <v>0.6552</v>
      </c>
      <c r="M4483" s="110"/>
      <c r="Q4483" s="1394">
        <f>IFERROR(VLOOKUP(M4483,#REF!,3,0),0)</f>
        <v>0</v>
      </c>
      <c r="R4483" s="1394">
        <f t="shared" si="1126"/>
        <v>0</v>
      </c>
      <c r="S4483" s="1394">
        <f>IFERROR(VLOOKUP(M4483,#REF!,6,0),0)</f>
        <v>0</v>
      </c>
      <c r="T4483" s="1394">
        <f t="shared" ref="T4483:T4546" si="1130">R4483-S4483</f>
        <v>0</v>
      </c>
      <c r="U4483" s="1394">
        <f>IFERROR(VLOOKUP(M4483,#REF!,5,0),0)</f>
        <v>0</v>
      </c>
      <c r="V4483" s="1394">
        <f t="shared" ref="V4483:V4546" si="1131">O4483-U4483</f>
        <v>0</v>
      </c>
      <c r="W4483" s="1394"/>
    </row>
    <row r="4484" spans="2:23" ht="30" customHeight="1">
      <c r="B4484" s="1407"/>
      <c r="C4484" s="1455" t="str">
        <f t="shared" si="1127"/>
        <v>Ins Traffic</v>
      </c>
      <c r="D4484" s="1409">
        <f t="shared" si="1124"/>
        <v>0</v>
      </c>
      <c r="E4484" s="103">
        <f t="shared" si="1129"/>
        <v>0</v>
      </c>
      <c r="F4484" s="1413">
        <f t="shared" si="1129"/>
        <v>0</v>
      </c>
      <c r="G4484" s="1413"/>
      <c r="H4484" s="1414">
        <f t="shared" si="1128"/>
        <v>0</v>
      </c>
      <c r="I4484" s="1406">
        <f t="shared" si="1123"/>
        <v>0</v>
      </c>
      <c r="M4484" s="110"/>
      <c r="Q4484" s="1394">
        <f>IFERROR(VLOOKUP(M4484,#REF!,3,0),0)</f>
        <v>0</v>
      </c>
      <c r="R4484" s="1394">
        <f t="shared" si="1126"/>
        <v>0</v>
      </c>
      <c r="S4484" s="1394">
        <f>IFERROR(VLOOKUP(M4484,#REF!,6,0),0)</f>
        <v>0</v>
      </c>
      <c r="T4484" s="1394">
        <f t="shared" si="1130"/>
        <v>0</v>
      </c>
      <c r="U4484" s="1394">
        <f>IFERROR(VLOOKUP(M4484,#REF!,5,0),0)</f>
        <v>0</v>
      </c>
      <c r="V4484" s="1394">
        <f t="shared" si="1131"/>
        <v>0</v>
      </c>
      <c r="W4484" s="1394"/>
    </row>
    <row r="4485" spans="2:23" ht="30" customHeight="1">
      <c r="B4485" s="1407"/>
      <c r="C4485" s="1412" t="str">
        <f t="shared" si="1127"/>
        <v xml:space="preserve">C/B Wall </v>
      </c>
      <c r="D4485" s="1409">
        <f t="shared" ref="D4485:D4501" si="1132">D1110*2</f>
        <v>2</v>
      </c>
      <c r="E4485" s="103">
        <f t="shared" si="1129"/>
        <v>1</v>
      </c>
      <c r="F4485" s="1413">
        <f t="shared" si="1129"/>
        <v>0.6</v>
      </c>
      <c r="G4485" s="1413"/>
      <c r="H4485" s="1414">
        <f t="shared" si="1128"/>
        <v>0.1</v>
      </c>
      <c r="I4485" s="1406">
        <f t="shared" si="1123"/>
        <v>0.12</v>
      </c>
      <c r="M4485" s="110"/>
      <c r="Q4485" s="1394">
        <f>IFERROR(VLOOKUP(M4485,#REF!,3,0),0)</f>
        <v>0</v>
      </c>
      <c r="R4485" s="1394">
        <f t="shared" si="1126"/>
        <v>0</v>
      </c>
      <c r="S4485" s="1394">
        <f>IFERROR(VLOOKUP(M4485,#REF!,6,0),0)</f>
        <v>0</v>
      </c>
      <c r="T4485" s="1394">
        <f t="shared" si="1130"/>
        <v>0</v>
      </c>
      <c r="U4485" s="1394">
        <f>IFERROR(VLOOKUP(M4485,#REF!,5,0),0)</f>
        <v>0</v>
      </c>
      <c r="V4485" s="1394">
        <f t="shared" si="1131"/>
        <v>0</v>
      </c>
      <c r="W4485" s="1394"/>
    </row>
    <row r="4486" spans="2:23" ht="30" customHeight="1">
      <c r="B4486" s="1407"/>
      <c r="C4486" s="1455" t="str">
        <f t="shared" si="1127"/>
        <v xml:space="preserve">Cross wall between Toilet / Passage </v>
      </c>
      <c r="D4486" s="1409">
        <f t="shared" si="1132"/>
        <v>2</v>
      </c>
      <c r="E4486" s="103">
        <f t="shared" si="1129"/>
        <v>1</v>
      </c>
      <c r="F4486" s="1413">
        <f t="shared" si="1129"/>
        <v>1.5</v>
      </c>
      <c r="G4486" s="1413"/>
      <c r="H4486" s="1414">
        <f t="shared" si="1128"/>
        <v>0.1</v>
      </c>
      <c r="I4486" s="1406">
        <f t="shared" si="1123"/>
        <v>0.30000000000000004</v>
      </c>
      <c r="M4486" s="110"/>
      <c r="Q4486" s="1394">
        <f>IFERROR(VLOOKUP(M4486,#REF!,3,0),0)</f>
        <v>0</v>
      </c>
      <c r="R4486" s="1394">
        <f t="shared" si="1126"/>
        <v>0</v>
      </c>
      <c r="S4486" s="1394">
        <f>IFERROR(VLOOKUP(M4486,#REF!,6,0),0)</f>
        <v>0</v>
      </c>
      <c r="T4486" s="1394">
        <f t="shared" si="1130"/>
        <v>0</v>
      </c>
      <c r="U4486" s="1394">
        <f>IFERROR(VLOOKUP(M4486,#REF!,5,0),0)</f>
        <v>0</v>
      </c>
      <c r="V4486" s="1394">
        <f t="shared" si="1131"/>
        <v>0</v>
      </c>
      <c r="W4486" s="1394"/>
    </row>
    <row r="4487" spans="2:23" ht="30" customHeight="1">
      <c r="B4487" s="1407"/>
      <c r="C4487" s="1455" t="str">
        <f t="shared" si="1127"/>
        <v xml:space="preserve">Cross wall between Hall  / Passage </v>
      </c>
      <c r="D4487" s="1409">
        <f t="shared" si="1132"/>
        <v>2</v>
      </c>
      <c r="E4487" s="103">
        <f t="shared" si="1129"/>
        <v>1</v>
      </c>
      <c r="F4487" s="1413">
        <f t="shared" si="1129"/>
        <v>1.5</v>
      </c>
      <c r="G4487" s="1413"/>
      <c r="H4487" s="1414">
        <f t="shared" si="1128"/>
        <v>0.1</v>
      </c>
      <c r="I4487" s="1406">
        <f t="shared" si="1123"/>
        <v>0.30000000000000004</v>
      </c>
      <c r="M4487" s="110"/>
      <c r="Q4487" s="1394">
        <f>IFERROR(VLOOKUP(M4487,#REF!,3,0),0)</f>
        <v>0</v>
      </c>
      <c r="R4487" s="1394">
        <f t="shared" si="1126"/>
        <v>0</v>
      </c>
      <c r="S4487" s="1394">
        <f>IFERROR(VLOOKUP(M4487,#REF!,6,0),0)</f>
        <v>0</v>
      </c>
      <c r="T4487" s="1394">
        <f t="shared" si="1130"/>
        <v>0</v>
      </c>
      <c r="U4487" s="1394">
        <f>IFERROR(VLOOKUP(M4487,#REF!,5,0),0)</f>
        <v>0</v>
      </c>
      <c r="V4487" s="1394">
        <f t="shared" si="1131"/>
        <v>0</v>
      </c>
      <c r="W4487" s="1394"/>
    </row>
    <row r="4488" spans="2:23" ht="30" customHeight="1">
      <c r="B4488" s="1407"/>
      <c r="C4488" s="1455" t="str">
        <f t="shared" si="1127"/>
        <v>Meeting Hall</v>
      </c>
      <c r="D4488" s="1409">
        <f t="shared" si="1132"/>
        <v>0</v>
      </c>
      <c r="E4488" s="103">
        <f t="shared" si="1129"/>
        <v>0</v>
      </c>
      <c r="F4488" s="1413">
        <f t="shared" si="1129"/>
        <v>0</v>
      </c>
      <c r="G4488" s="1413"/>
      <c r="H4488" s="1414">
        <f t="shared" si="1128"/>
        <v>0</v>
      </c>
      <c r="I4488" s="1406">
        <f t="shared" si="1123"/>
        <v>0</v>
      </c>
      <c r="M4488" s="110"/>
      <c r="Q4488" s="1394">
        <f>IFERROR(VLOOKUP(M4488,#REF!,3,0),0)</f>
        <v>0</v>
      </c>
      <c r="R4488" s="1394">
        <f t="shared" si="1126"/>
        <v>0</v>
      </c>
      <c r="S4488" s="1394">
        <f>IFERROR(VLOOKUP(M4488,#REF!,6,0),0)</f>
        <v>0</v>
      </c>
      <c r="T4488" s="1394">
        <f t="shared" si="1130"/>
        <v>0</v>
      </c>
      <c r="U4488" s="1394">
        <f>IFERROR(VLOOKUP(M4488,#REF!,5,0),0)</f>
        <v>0</v>
      </c>
      <c r="V4488" s="1394">
        <f t="shared" si="1131"/>
        <v>0</v>
      </c>
      <c r="W4488" s="1394"/>
    </row>
    <row r="4489" spans="2:23" ht="30" customHeight="1">
      <c r="B4489" s="1407"/>
      <c r="C4489" s="1412" t="str">
        <f t="shared" si="1127"/>
        <v xml:space="preserve">C/B Wall </v>
      </c>
      <c r="D4489" s="1409">
        <f t="shared" si="1132"/>
        <v>2</v>
      </c>
      <c r="E4489" s="103">
        <f t="shared" si="1129"/>
        <v>1</v>
      </c>
      <c r="F4489" s="1413">
        <f t="shared" si="1129"/>
        <v>0.6</v>
      </c>
      <c r="G4489" s="1413"/>
      <c r="H4489" s="1414">
        <f t="shared" si="1128"/>
        <v>0.1</v>
      </c>
      <c r="I4489" s="1406">
        <f t="shared" si="1123"/>
        <v>0.12</v>
      </c>
      <c r="M4489" s="110"/>
      <c r="Q4489" s="1394">
        <f>IFERROR(VLOOKUP(M4489,#REF!,3,0),0)</f>
        <v>0</v>
      </c>
      <c r="R4489" s="1394">
        <f t="shared" si="1126"/>
        <v>0</v>
      </c>
      <c r="S4489" s="1394">
        <f>IFERROR(VLOOKUP(M4489,#REF!,6,0),0)</f>
        <v>0</v>
      </c>
      <c r="T4489" s="1394">
        <f t="shared" si="1130"/>
        <v>0</v>
      </c>
      <c r="U4489" s="1394">
        <f>IFERROR(VLOOKUP(M4489,#REF!,5,0),0)</f>
        <v>0</v>
      </c>
      <c r="V4489" s="1394">
        <f t="shared" si="1131"/>
        <v>0</v>
      </c>
      <c r="W4489" s="1394"/>
    </row>
    <row r="4490" spans="2:23" ht="30" customHeight="1">
      <c r="B4490" s="1407"/>
      <c r="C4490" s="1455" t="str">
        <f t="shared" si="1127"/>
        <v>Cross wall between Meeting Hall / Men Rest Room</v>
      </c>
      <c r="D4490" s="1409">
        <f t="shared" si="1132"/>
        <v>2</v>
      </c>
      <c r="E4490" s="103">
        <f t="shared" si="1129"/>
        <v>1</v>
      </c>
      <c r="F4490" s="1413">
        <f t="shared" si="1129"/>
        <v>1.1000000000000001</v>
      </c>
      <c r="G4490" s="1413"/>
      <c r="H4490" s="1414">
        <f t="shared" si="1128"/>
        <v>0.1</v>
      </c>
      <c r="I4490" s="1406">
        <f t="shared" si="1123"/>
        <v>0.22000000000000003</v>
      </c>
      <c r="M4490" s="110"/>
      <c r="Q4490" s="1394">
        <f>IFERROR(VLOOKUP(M4490,#REF!,3,0),0)</f>
        <v>0</v>
      </c>
      <c r="R4490" s="1394">
        <f t="shared" si="1126"/>
        <v>0</v>
      </c>
      <c r="S4490" s="1394">
        <f>IFERROR(VLOOKUP(M4490,#REF!,6,0),0)</f>
        <v>0</v>
      </c>
      <c r="T4490" s="1394">
        <f t="shared" si="1130"/>
        <v>0</v>
      </c>
      <c r="U4490" s="1394">
        <f>IFERROR(VLOOKUP(M4490,#REF!,5,0),0)</f>
        <v>0</v>
      </c>
      <c r="V4490" s="1394">
        <f t="shared" si="1131"/>
        <v>0</v>
      </c>
      <c r="W4490" s="1394"/>
    </row>
    <row r="4491" spans="2:23" ht="30" customHeight="1">
      <c r="B4491" s="1407"/>
      <c r="C4491" s="1455" t="str">
        <f t="shared" si="1127"/>
        <v>Men Rest Room</v>
      </c>
      <c r="D4491" s="1409">
        <f t="shared" si="1132"/>
        <v>0</v>
      </c>
      <c r="E4491" s="103">
        <f t="shared" si="1129"/>
        <v>0</v>
      </c>
      <c r="F4491" s="1413">
        <f t="shared" si="1129"/>
        <v>0</v>
      </c>
      <c r="G4491" s="1413"/>
      <c r="H4491" s="1414">
        <f t="shared" si="1128"/>
        <v>0</v>
      </c>
      <c r="I4491" s="1406">
        <f t="shared" si="1123"/>
        <v>0</v>
      </c>
      <c r="M4491" s="110"/>
      <c r="Q4491" s="1394">
        <f>IFERROR(VLOOKUP(M4491,#REF!,3,0),0)</f>
        <v>0</v>
      </c>
      <c r="R4491" s="1394">
        <f t="shared" si="1126"/>
        <v>0</v>
      </c>
      <c r="S4491" s="1394">
        <f>IFERROR(VLOOKUP(M4491,#REF!,6,0),0)</f>
        <v>0</v>
      </c>
      <c r="T4491" s="1394">
        <f t="shared" si="1130"/>
        <v>0</v>
      </c>
      <c r="U4491" s="1394">
        <f>IFERROR(VLOOKUP(M4491,#REF!,5,0),0)</f>
        <v>0</v>
      </c>
      <c r="V4491" s="1394">
        <f t="shared" si="1131"/>
        <v>0</v>
      </c>
      <c r="W4491" s="1394"/>
    </row>
    <row r="4492" spans="2:23" ht="30" customHeight="1">
      <c r="B4492" s="1407"/>
      <c r="C4492" s="1412" t="str">
        <f t="shared" si="1127"/>
        <v xml:space="preserve">C/B Wall </v>
      </c>
      <c r="D4492" s="1409">
        <f t="shared" si="1132"/>
        <v>2</v>
      </c>
      <c r="E4492" s="103">
        <f t="shared" si="1129"/>
        <v>1</v>
      </c>
      <c r="F4492" s="1413">
        <f t="shared" si="1129"/>
        <v>0.6</v>
      </c>
      <c r="G4492" s="1413"/>
      <c r="H4492" s="1414">
        <f t="shared" si="1128"/>
        <v>0.1</v>
      </c>
      <c r="I4492" s="1406">
        <f t="shared" si="1123"/>
        <v>0.12</v>
      </c>
      <c r="M4492" s="110"/>
      <c r="Q4492" s="1394">
        <f>IFERROR(VLOOKUP(M4492,#REF!,3,0),0)</f>
        <v>0</v>
      </c>
      <c r="R4492" s="1394">
        <f t="shared" si="1126"/>
        <v>0</v>
      </c>
      <c r="S4492" s="1394">
        <f>IFERROR(VLOOKUP(M4492,#REF!,6,0),0)</f>
        <v>0</v>
      </c>
      <c r="T4492" s="1394">
        <f t="shared" si="1130"/>
        <v>0</v>
      </c>
      <c r="U4492" s="1394">
        <f>IFERROR(VLOOKUP(M4492,#REF!,5,0),0)</f>
        <v>0</v>
      </c>
      <c r="V4492" s="1394">
        <f t="shared" si="1131"/>
        <v>0</v>
      </c>
      <c r="W4492" s="1394"/>
    </row>
    <row r="4493" spans="2:23" ht="30" customHeight="1">
      <c r="B4493" s="1407"/>
      <c r="C4493" s="1455" t="str">
        <f t="shared" si="1127"/>
        <v>Cross wall between Toilet / SI Room</v>
      </c>
      <c r="D4493" s="1409">
        <f t="shared" si="1132"/>
        <v>2</v>
      </c>
      <c r="E4493" s="103">
        <f t="shared" si="1129"/>
        <v>1</v>
      </c>
      <c r="F4493" s="1413">
        <f t="shared" si="1129"/>
        <v>2.7450000000000001</v>
      </c>
      <c r="G4493" s="1413"/>
      <c r="H4493" s="1414">
        <f t="shared" si="1128"/>
        <v>0.1</v>
      </c>
      <c r="I4493" s="1406">
        <f t="shared" si="1123"/>
        <v>0.54900000000000004</v>
      </c>
      <c r="M4493" s="110"/>
      <c r="Q4493" s="1394">
        <f>IFERROR(VLOOKUP(M4493,#REF!,3,0),0)</f>
        <v>0</v>
      </c>
      <c r="R4493" s="1394">
        <f t="shared" si="1126"/>
        <v>0</v>
      </c>
      <c r="S4493" s="1394">
        <f>IFERROR(VLOOKUP(M4493,#REF!,6,0),0)</f>
        <v>0</v>
      </c>
      <c r="T4493" s="1394">
        <f t="shared" si="1130"/>
        <v>0</v>
      </c>
      <c r="U4493" s="1394">
        <f>IFERROR(VLOOKUP(M4493,#REF!,5,0),0)</f>
        <v>0</v>
      </c>
      <c r="V4493" s="1394">
        <f t="shared" si="1131"/>
        <v>0</v>
      </c>
      <c r="W4493" s="1394"/>
    </row>
    <row r="4494" spans="2:23" ht="30" customHeight="1">
      <c r="B4494" s="1407"/>
      <c r="C4494" s="1455" t="str">
        <f t="shared" si="1127"/>
        <v>Cross wall between Record / SI Room</v>
      </c>
      <c r="D4494" s="1409">
        <f t="shared" si="1132"/>
        <v>2</v>
      </c>
      <c r="E4494" s="103">
        <f t="shared" si="1129"/>
        <v>1</v>
      </c>
      <c r="F4494" s="1413">
        <f t="shared" si="1129"/>
        <v>2.4350000000000001</v>
      </c>
      <c r="G4494" s="1413"/>
      <c r="H4494" s="1414">
        <f t="shared" si="1128"/>
        <v>0.1</v>
      </c>
      <c r="I4494" s="1406">
        <f t="shared" si="1123"/>
        <v>0.48700000000000004</v>
      </c>
      <c r="M4494" s="110"/>
      <c r="Q4494" s="1394">
        <f>IFERROR(VLOOKUP(M4494,#REF!,3,0),0)</f>
        <v>0</v>
      </c>
      <c r="R4494" s="1394">
        <f t="shared" si="1126"/>
        <v>0</v>
      </c>
      <c r="S4494" s="1394">
        <f>IFERROR(VLOOKUP(M4494,#REF!,6,0),0)</f>
        <v>0</v>
      </c>
      <c r="T4494" s="1394">
        <f t="shared" si="1130"/>
        <v>0</v>
      </c>
      <c r="U4494" s="1394">
        <f>IFERROR(VLOOKUP(M4494,#REF!,5,0),0)</f>
        <v>0</v>
      </c>
      <c r="V4494" s="1394">
        <f t="shared" si="1131"/>
        <v>0</v>
      </c>
      <c r="W4494" s="1394"/>
    </row>
    <row r="4495" spans="2:23" ht="30" customHeight="1">
      <c r="B4495" s="1407"/>
      <c r="C4495" s="1455" t="str">
        <f t="shared" si="1127"/>
        <v>Men Rest Room Toilet</v>
      </c>
      <c r="D4495" s="1409">
        <f t="shared" si="1132"/>
        <v>0</v>
      </c>
      <c r="E4495" s="103">
        <f t="shared" si="1129"/>
        <v>0</v>
      </c>
      <c r="F4495" s="1413">
        <f t="shared" si="1129"/>
        <v>0</v>
      </c>
      <c r="G4495" s="1413"/>
      <c r="H4495" s="1414">
        <f t="shared" si="1128"/>
        <v>0</v>
      </c>
      <c r="I4495" s="1406">
        <f t="shared" si="1123"/>
        <v>0</v>
      </c>
      <c r="M4495" s="110"/>
      <c r="Q4495" s="1394">
        <f>IFERROR(VLOOKUP(M4495,#REF!,3,0),0)</f>
        <v>0</v>
      </c>
      <c r="R4495" s="1394">
        <f t="shared" si="1126"/>
        <v>0</v>
      </c>
      <c r="S4495" s="1394">
        <f>IFERROR(VLOOKUP(M4495,#REF!,6,0),0)</f>
        <v>0</v>
      </c>
      <c r="T4495" s="1394">
        <f t="shared" si="1130"/>
        <v>0</v>
      </c>
      <c r="U4495" s="1394">
        <f>IFERROR(VLOOKUP(M4495,#REF!,5,0),0)</f>
        <v>0</v>
      </c>
      <c r="V4495" s="1394">
        <f t="shared" si="1131"/>
        <v>0</v>
      </c>
      <c r="W4495" s="1394"/>
    </row>
    <row r="4496" spans="2:23" ht="30" customHeight="1">
      <c r="B4496" s="1407"/>
      <c r="C4496" s="1412" t="str">
        <f t="shared" si="1127"/>
        <v>Cross wall between Toilet</v>
      </c>
      <c r="D4496" s="1409">
        <f t="shared" si="1132"/>
        <v>2</v>
      </c>
      <c r="E4496" s="103">
        <f t="shared" si="1129"/>
        <v>2</v>
      </c>
      <c r="F4496" s="1413">
        <f t="shared" si="1129"/>
        <v>1.615</v>
      </c>
      <c r="G4496" s="1413"/>
      <c r="H4496" s="1414">
        <f t="shared" si="1128"/>
        <v>0.1</v>
      </c>
      <c r="I4496" s="1406">
        <f t="shared" si="1123"/>
        <v>0.64600000000000002</v>
      </c>
      <c r="M4496" s="110"/>
      <c r="Q4496" s="1394">
        <f>IFERROR(VLOOKUP(M4496,#REF!,3,0),0)</f>
        <v>0</v>
      </c>
      <c r="R4496" s="1394">
        <f t="shared" si="1126"/>
        <v>0</v>
      </c>
      <c r="S4496" s="1394">
        <f>IFERROR(VLOOKUP(M4496,#REF!,6,0),0)</f>
        <v>0</v>
      </c>
      <c r="T4496" s="1394">
        <f t="shared" si="1130"/>
        <v>0</v>
      </c>
      <c r="U4496" s="1394">
        <f>IFERROR(VLOOKUP(M4496,#REF!,5,0),0)</f>
        <v>0</v>
      </c>
      <c r="V4496" s="1394">
        <f t="shared" si="1131"/>
        <v>0</v>
      </c>
      <c r="W4496" s="1394"/>
    </row>
    <row r="4497" spans="2:23" ht="30" customHeight="1">
      <c r="B4497" s="1407"/>
      <c r="C4497" s="1455" t="str">
        <f t="shared" si="1127"/>
        <v>Cross wall betweenToilet / Common Toilet</v>
      </c>
      <c r="D4497" s="1409">
        <f t="shared" si="1132"/>
        <v>2</v>
      </c>
      <c r="E4497" s="103">
        <f t="shared" si="1129"/>
        <v>1</v>
      </c>
      <c r="F4497" s="1413">
        <f t="shared" si="1129"/>
        <v>2.87</v>
      </c>
      <c r="G4497" s="1413"/>
      <c r="H4497" s="1414">
        <f t="shared" si="1128"/>
        <v>0.1</v>
      </c>
      <c r="I4497" s="1406">
        <f t="shared" si="1123"/>
        <v>0.57400000000000007</v>
      </c>
      <c r="M4497" s="110"/>
      <c r="Q4497" s="1394">
        <f>IFERROR(VLOOKUP(M4497,#REF!,3,0),0)</f>
        <v>0</v>
      </c>
      <c r="R4497" s="1394">
        <f t="shared" si="1126"/>
        <v>0</v>
      </c>
      <c r="S4497" s="1394">
        <f>IFERROR(VLOOKUP(M4497,#REF!,6,0),0)</f>
        <v>0</v>
      </c>
      <c r="T4497" s="1394">
        <f t="shared" si="1130"/>
        <v>0</v>
      </c>
      <c r="U4497" s="1394">
        <f>IFERROR(VLOOKUP(M4497,#REF!,5,0),0)</f>
        <v>0</v>
      </c>
      <c r="V4497" s="1394">
        <f t="shared" si="1131"/>
        <v>0</v>
      </c>
      <c r="W4497" s="1394"/>
    </row>
    <row r="4498" spans="2:23" ht="30" customHeight="1">
      <c r="B4498" s="1407"/>
      <c r="C4498" s="1455" t="str">
        <f t="shared" si="1127"/>
        <v>Cross wall for Toilet Front wall</v>
      </c>
      <c r="D4498" s="1409">
        <f t="shared" si="1132"/>
        <v>2</v>
      </c>
      <c r="E4498" s="103">
        <f t="shared" si="1129"/>
        <v>1</v>
      </c>
      <c r="F4498" s="1413">
        <f t="shared" si="1129"/>
        <v>3.9</v>
      </c>
      <c r="G4498" s="1413"/>
      <c r="H4498" s="1414">
        <f t="shared" si="1128"/>
        <v>0.1</v>
      </c>
      <c r="I4498" s="1406">
        <f t="shared" si="1123"/>
        <v>0.78</v>
      </c>
      <c r="M4498" s="110"/>
      <c r="Q4498" s="1394">
        <f>IFERROR(VLOOKUP(M4498,#REF!,3,0),0)</f>
        <v>0</v>
      </c>
      <c r="R4498" s="1394">
        <f t="shared" si="1126"/>
        <v>0</v>
      </c>
      <c r="S4498" s="1394">
        <f>IFERROR(VLOOKUP(M4498,#REF!,6,0),0)</f>
        <v>0</v>
      </c>
      <c r="T4498" s="1394">
        <f t="shared" si="1130"/>
        <v>0</v>
      </c>
      <c r="U4498" s="1394">
        <f>IFERROR(VLOOKUP(M4498,#REF!,5,0),0)</f>
        <v>0</v>
      </c>
      <c r="V4498" s="1394">
        <f t="shared" si="1131"/>
        <v>0</v>
      </c>
      <c r="W4498" s="1394"/>
    </row>
    <row r="4499" spans="2:23" ht="30" customHeight="1">
      <c r="B4499" s="1407"/>
      <c r="C4499" s="1455" t="str">
        <f t="shared" si="1127"/>
        <v>Cross wall betweenToilet / Men Rest Room</v>
      </c>
      <c r="D4499" s="1409">
        <f t="shared" si="1132"/>
        <v>2</v>
      </c>
      <c r="E4499" s="103">
        <f t="shared" si="1129"/>
        <v>1</v>
      </c>
      <c r="F4499" s="1413">
        <f t="shared" si="1129"/>
        <v>3.9</v>
      </c>
      <c r="G4499" s="1413"/>
      <c r="H4499" s="1414">
        <f t="shared" si="1128"/>
        <v>0.1</v>
      </c>
      <c r="I4499" s="1406">
        <f t="shared" si="1123"/>
        <v>0.78</v>
      </c>
      <c r="M4499" s="110"/>
      <c r="Q4499" s="1394">
        <f>IFERROR(VLOOKUP(M4499,#REF!,3,0),0)</f>
        <v>0</v>
      </c>
      <c r="R4499" s="1394">
        <f t="shared" si="1126"/>
        <v>0</v>
      </c>
      <c r="S4499" s="1394">
        <f>IFERROR(VLOOKUP(M4499,#REF!,6,0),0)</f>
        <v>0</v>
      </c>
      <c r="T4499" s="1394">
        <f t="shared" si="1130"/>
        <v>0</v>
      </c>
      <c r="U4499" s="1394">
        <f>IFERROR(VLOOKUP(M4499,#REF!,5,0),0)</f>
        <v>0</v>
      </c>
      <c r="V4499" s="1394">
        <f t="shared" si="1131"/>
        <v>0</v>
      </c>
      <c r="W4499" s="1394"/>
    </row>
    <row r="4500" spans="2:23" ht="30" customHeight="1">
      <c r="B4500" s="1407"/>
      <c r="C4500" s="1455" t="str">
        <f t="shared" si="1127"/>
        <v xml:space="preserve">C/B Wall </v>
      </c>
      <c r="D4500" s="1409">
        <f t="shared" si="1132"/>
        <v>2</v>
      </c>
      <c r="E4500" s="103">
        <f t="shared" ref="E4500:F4501" si="1133">E1125</f>
        <v>1</v>
      </c>
      <c r="F4500" s="1413">
        <f t="shared" si="1133"/>
        <v>0.6</v>
      </c>
      <c r="G4500" s="1413"/>
      <c r="H4500" s="1414">
        <f t="shared" si="1128"/>
        <v>0.1</v>
      </c>
      <c r="I4500" s="1406">
        <f t="shared" si="1123"/>
        <v>0.12</v>
      </c>
      <c r="M4500" s="110"/>
      <c r="Q4500" s="1394">
        <f>IFERROR(VLOOKUP(M4500,#REF!,3,0),0)</f>
        <v>0</v>
      </c>
      <c r="R4500" s="1394">
        <f t="shared" si="1126"/>
        <v>0</v>
      </c>
      <c r="S4500" s="1394">
        <f>IFERROR(VLOOKUP(M4500,#REF!,6,0),0)</f>
        <v>0</v>
      </c>
      <c r="T4500" s="1394">
        <f t="shared" si="1130"/>
        <v>0</v>
      </c>
      <c r="U4500" s="1394">
        <f>IFERROR(VLOOKUP(M4500,#REF!,5,0),0)</f>
        <v>0</v>
      </c>
      <c r="V4500" s="1394">
        <f t="shared" si="1131"/>
        <v>0</v>
      </c>
      <c r="W4500" s="1394"/>
    </row>
    <row r="4501" spans="2:23" ht="30" customHeight="1">
      <c r="B4501" s="1407"/>
      <c r="C4501" s="1455">
        <f t="shared" si="1127"/>
        <v>0</v>
      </c>
      <c r="D4501" s="1409">
        <f t="shared" si="1132"/>
        <v>0</v>
      </c>
      <c r="E4501" s="103">
        <f t="shared" si="1133"/>
        <v>0</v>
      </c>
      <c r="F4501" s="1413">
        <f t="shared" si="1133"/>
        <v>0</v>
      </c>
      <c r="G4501" s="1413">
        <f>G1126</f>
        <v>0</v>
      </c>
      <c r="H4501" s="1414">
        <f t="shared" si="1128"/>
        <v>0</v>
      </c>
      <c r="I4501" s="1406">
        <f t="shared" si="1123"/>
        <v>0</v>
      </c>
      <c r="Q4501" s="1394">
        <f>IFERROR(VLOOKUP(M4501,#REF!,3,0),0)</f>
        <v>0</v>
      </c>
      <c r="R4501" s="1394">
        <f t="shared" si="1126"/>
        <v>0</v>
      </c>
      <c r="S4501" s="1394">
        <f>IFERROR(VLOOKUP(M4501,#REF!,6,0),0)</f>
        <v>0</v>
      </c>
      <c r="T4501" s="1394">
        <f t="shared" si="1130"/>
        <v>0</v>
      </c>
      <c r="U4501" s="1394">
        <f>IFERROR(VLOOKUP(M4501,#REF!,5,0),0)</f>
        <v>0</v>
      </c>
      <c r="V4501" s="1394">
        <f t="shared" si="1131"/>
        <v>0</v>
      </c>
      <c r="W4501" s="1394"/>
    </row>
    <row r="4502" spans="2:23" ht="30" customHeight="1">
      <c r="B4502" s="1407"/>
      <c r="C4502" s="1408">
        <f t="shared" ref="C4502:H4502" si="1134">C1141</f>
        <v>0</v>
      </c>
      <c r="D4502" s="1409">
        <f t="shared" si="1134"/>
        <v>0</v>
      </c>
      <c r="E4502" s="1409">
        <f t="shared" si="1134"/>
        <v>0</v>
      </c>
      <c r="F4502" s="1410">
        <f t="shared" si="1134"/>
        <v>0</v>
      </c>
      <c r="G4502" s="1410">
        <f t="shared" si="1134"/>
        <v>0</v>
      </c>
      <c r="H4502" s="1473">
        <f t="shared" si="1134"/>
        <v>0</v>
      </c>
      <c r="I4502" s="1406">
        <f t="shared" si="1123"/>
        <v>0</v>
      </c>
      <c r="Q4502" s="1394">
        <f>IFERROR(VLOOKUP(M4502,#REF!,3,0),0)</f>
        <v>0</v>
      </c>
      <c r="R4502" s="1394">
        <f t="shared" si="1126"/>
        <v>0</v>
      </c>
      <c r="S4502" s="1394">
        <f>IFERROR(VLOOKUP(M4502,#REF!,6,0),0)</f>
        <v>0</v>
      </c>
      <c r="T4502" s="1394">
        <f t="shared" si="1130"/>
        <v>0</v>
      </c>
      <c r="U4502" s="1394">
        <f>IFERROR(VLOOKUP(M4502,#REF!,5,0),0)</f>
        <v>0</v>
      </c>
      <c r="V4502" s="1394">
        <f t="shared" si="1131"/>
        <v>0</v>
      </c>
      <c r="W4502" s="1394"/>
    </row>
    <row r="4503" spans="2:23" ht="30" customHeight="1">
      <c r="B4503" s="1407"/>
      <c r="C4503" s="1408" t="str">
        <f t="shared" ref="C4503:G4507" si="1135">C1142</f>
        <v>Waist slab-7</v>
      </c>
      <c r="D4503" s="1409">
        <f t="shared" si="1135"/>
        <v>1</v>
      </c>
      <c r="E4503" s="1409">
        <f t="shared" si="1135"/>
        <v>1</v>
      </c>
      <c r="F4503" s="1410">
        <f t="shared" si="1135"/>
        <v>3.75</v>
      </c>
      <c r="G4503" s="1410">
        <f t="shared" si="1135"/>
        <v>1.2</v>
      </c>
      <c r="H4503" s="1473"/>
      <c r="I4503" s="1406">
        <f t="shared" si="1123"/>
        <v>4.5</v>
      </c>
      <c r="Q4503" s="1394">
        <f>IFERROR(VLOOKUP(M4503,#REF!,3,0),0)</f>
        <v>0</v>
      </c>
      <c r="R4503" s="1394">
        <f t="shared" si="1126"/>
        <v>0</v>
      </c>
      <c r="S4503" s="1394">
        <f>IFERROR(VLOOKUP(M4503,#REF!,6,0),0)</f>
        <v>0</v>
      </c>
      <c r="T4503" s="1394">
        <f t="shared" si="1130"/>
        <v>0</v>
      </c>
      <c r="U4503" s="1394">
        <f>IFERROR(VLOOKUP(M4503,#REF!,5,0),0)</f>
        <v>0</v>
      </c>
      <c r="V4503" s="1394">
        <f t="shared" si="1131"/>
        <v>0</v>
      </c>
      <c r="W4503" s="1394"/>
    </row>
    <row r="4504" spans="2:23" ht="30" customHeight="1">
      <c r="B4504" s="1405"/>
      <c r="C4504" s="1408" t="str">
        <f t="shared" si="1135"/>
        <v>Landing slab</v>
      </c>
      <c r="D4504" s="1409">
        <f t="shared" si="1135"/>
        <v>1</v>
      </c>
      <c r="E4504" s="1409">
        <f t="shared" si="1135"/>
        <v>1</v>
      </c>
      <c r="F4504" s="1410">
        <f t="shared" si="1135"/>
        <v>3.23</v>
      </c>
      <c r="G4504" s="1410">
        <f t="shared" si="1135"/>
        <v>1.2</v>
      </c>
      <c r="H4504" s="1410"/>
      <c r="I4504" s="1406">
        <f t="shared" si="1123"/>
        <v>3.8759999999999999</v>
      </c>
      <c r="O4504" s="1469"/>
      <c r="Q4504" s="1394">
        <f>IFERROR(VLOOKUP(M4504,#REF!,3,0),0)</f>
        <v>0</v>
      </c>
      <c r="R4504" s="1394">
        <f t="shared" si="1126"/>
        <v>0</v>
      </c>
      <c r="S4504" s="1394">
        <f>IFERROR(VLOOKUP(M4504,#REF!,6,0),0)</f>
        <v>0</v>
      </c>
      <c r="T4504" s="1394">
        <f t="shared" si="1130"/>
        <v>0</v>
      </c>
      <c r="U4504" s="1394">
        <f>IFERROR(VLOOKUP(M4504,#REF!,5,0),0)</f>
        <v>0</v>
      </c>
      <c r="V4504" s="1394">
        <f t="shared" si="1131"/>
        <v>0</v>
      </c>
      <c r="W4504" s="1394"/>
    </row>
    <row r="4505" spans="2:23" ht="30" customHeight="1">
      <c r="B4505" s="1405"/>
      <c r="C4505" s="1408" t="str">
        <f t="shared" si="1135"/>
        <v>Waist slab-8</v>
      </c>
      <c r="D4505" s="1409">
        <f t="shared" si="1135"/>
        <v>1</v>
      </c>
      <c r="E4505" s="1409">
        <f t="shared" si="1135"/>
        <v>1</v>
      </c>
      <c r="F4505" s="1410">
        <f t="shared" si="1135"/>
        <v>3.7</v>
      </c>
      <c r="G4505" s="1410">
        <f t="shared" si="1135"/>
        <v>1.2</v>
      </c>
      <c r="H4505" s="1410"/>
      <c r="I4505" s="1406">
        <f t="shared" si="1123"/>
        <v>4.4400000000000004</v>
      </c>
      <c r="O4505" s="1395"/>
      <c r="Q4505" s="1394">
        <f>IFERROR(VLOOKUP(M4505,#REF!,3,0),0)</f>
        <v>0</v>
      </c>
      <c r="R4505" s="1394">
        <f t="shared" si="1126"/>
        <v>0</v>
      </c>
      <c r="S4505" s="1394">
        <f>IFERROR(VLOOKUP(M4505,#REF!,6,0),0)</f>
        <v>0</v>
      </c>
      <c r="T4505" s="1394">
        <f t="shared" si="1130"/>
        <v>0</v>
      </c>
      <c r="U4505" s="1394">
        <f>IFERROR(VLOOKUP(M4505,#REF!,5,0),0)</f>
        <v>0</v>
      </c>
      <c r="V4505" s="1394">
        <f t="shared" si="1131"/>
        <v>0</v>
      </c>
      <c r="W4505" s="1394"/>
    </row>
    <row r="4506" spans="2:23" ht="30" customHeight="1">
      <c r="B4506" s="1405"/>
      <c r="C4506" s="1408" t="str">
        <f t="shared" si="1135"/>
        <v>Staircase steps</v>
      </c>
      <c r="D4506" s="1409">
        <f t="shared" si="1135"/>
        <v>0.5</v>
      </c>
      <c r="E4506" s="1409">
        <f t="shared" si="1135"/>
        <v>19</v>
      </c>
      <c r="F4506" s="1410">
        <f t="shared" si="1135"/>
        <v>1.2</v>
      </c>
      <c r="G4506" s="1410">
        <f t="shared" si="1135"/>
        <v>0.3</v>
      </c>
      <c r="H4506" s="1410"/>
      <c r="I4506" s="1406">
        <f t="shared" si="1123"/>
        <v>3.42</v>
      </c>
      <c r="O4506" s="1395"/>
      <c r="Q4506" s="1394">
        <f>IFERROR(VLOOKUP(M4506,#REF!,3,0),0)</f>
        <v>0</v>
      </c>
      <c r="R4506" s="1394">
        <f t="shared" si="1126"/>
        <v>0</v>
      </c>
      <c r="S4506" s="1394">
        <f>IFERROR(VLOOKUP(M4506,#REF!,6,0),0)</f>
        <v>0</v>
      </c>
      <c r="T4506" s="1394">
        <f t="shared" si="1130"/>
        <v>0</v>
      </c>
      <c r="U4506" s="1394">
        <f>IFERROR(VLOOKUP(M4506,#REF!,5,0),0)</f>
        <v>0</v>
      </c>
      <c r="V4506" s="1394">
        <f t="shared" si="1131"/>
        <v>0</v>
      </c>
      <c r="W4506" s="1394"/>
    </row>
    <row r="4507" spans="2:23" ht="30" customHeight="1">
      <c r="B4507" s="1405"/>
      <c r="C4507" s="1408">
        <f t="shared" si="1135"/>
        <v>0</v>
      </c>
      <c r="D4507" s="1409">
        <f t="shared" si="1135"/>
        <v>0</v>
      </c>
      <c r="E4507" s="1409">
        <f t="shared" si="1135"/>
        <v>0</v>
      </c>
      <c r="F4507" s="1410">
        <f t="shared" si="1135"/>
        <v>0</v>
      </c>
      <c r="G4507" s="1410">
        <f t="shared" si="1135"/>
        <v>0</v>
      </c>
      <c r="H4507" s="1410">
        <f>H1146</f>
        <v>0</v>
      </c>
      <c r="I4507" s="1406">
        <f t="shared" ref="I4507:I4597" si="1136">PRODUCT(D4507:H4507)</f>
        <v>0</v>
      </c>
      <c r="O4507" s="1395"/>
      <c r="Q4507" s="1394">
        <f>IFERROR(VLOOKUP(M4507,#REF!,3,0),0)</f>
        <v>0</v>
      </c>
      <c r="R4507" s="1394">
        <f t="shared" si="1126"/>
        <v>0</v>
      </c>
      <c r="S4507" s="1394">
        <f>IFERROR(VLOOKUP(M4507,#REF!,6,0),0)</f>
        <v>0</v>
      </c>
      <c r="T4507" s="1394">
        <f t="shared" si="1130"/>
        <v>0</v>
      </c>
      <c r="U4507" s="1394">
        <f>IFERROR(VLOOKUP(M4507,#REF!,5,0),0)</f>
        <v>0</v>
      </c>
      <c r="V4507" s="1394">
        <f t="shared" si="1131"/>
        <v>0</v>
      </c>
      <c r="W4507" s="1394"/>
    </row>
    <row r="4508" spans="2:23" ht="30" customHeight="1">
      <c r="B4508" s="1407"/>
      <c r="C4508" s="1408" t="s">
        <v>541</v>
      </c>
      <c r="D4508" s="1409">
        <f t="shared" ref="D4508:G4509" si="1137">D1147</f>
        <v>0</v>
      </c>
      <c r="E4508" s="1409">
        <f t="shared" si="1137"/>
        <v>0</v>
      </c>
      <c r="F4508" s="1410">
        <f t="shared" si="1137"/>
        <v>0</v>
      </c>
      <c r="G4508" s="1410">
        <f t="shared" si="1137"/>
        <v>0</v>
      </c>
      <c r="H4508" s="1473">
        <f>H1147</f>
        <v>0</v>
      </c>
      <c r="I4508" s="1406">
        <f t="shared" si="1136"/>
        <v>0</v>
      </c>
      <c r="Q4508" s="1394">
        <f>IFERROR(VLOOKUP(M4508,#REF!,3,0),0)</f>
        <v>0</v>
      </c>
      <c r="R4508" s="1394">
        <f t="shared" si="1126"/>
        <v>0</v>
      </c>
      <c r="S4508" s="1394">
        <f>IFERROR(VLOOKUP(M4508,#REF!,6,0),0)</f>
        <v>0</v>
      </c>
      <c r="T4508" s="1394">
        <f t="shared" si="1130"/>
        <v>0</v>
      </c>
      <c r="U4508" s="1394">
        <f>IFERROR(VLOOKUP(M4508,#REF!,5,0),0)</f>
        <v>0</v>
      </c>
      <c r="V4508" s="1394">
        <f t="shared" si="1131"/>
        <v>0</v>
      </c>
      <c r="W4508" s="1394"/>
    </row>
    <row r="4509" spans="2:23" ht="30" customHeight="1">
      <c r="B4509" s="1405"/>
      <c r="C4509" s="1415" t="str">
        <f t="shared" ref="C4509:C4535" si="1138">C1148</f>
        <v>Horizontal beam</v>
      </c>
      <c r="D4509" s="1409">
        <f t="shared" si="1137"/>
        <v>0</v>
      </c>
      <c r="E4509" s="1409">
        <f t="shared" si="1137"/>
        <v>0</v>
      </c>
      <c r="F4509" s="1410">
        <f t="shared" si="1137"/>
        <v>0</v>
      </c>
      <c r="G4509" s="1410">
        <f t="shared" si="1137"/>
        <v>0</v>
      </c>
      <c r="H4509" s="1411">
        <f>H1148</f>
        <v>0</v>
      </c>
      <c r="I4509" s="1406">
        <f t="shared" si="1136"/>
        <v>0</v>
      </c>
      <c r="O4509" s="1395"/>
      <c r="Q4509" s="1394">
        <f>IFERROR(VLOOKUP(M4509,#REF!,3,0),0)</f>
        <v>0</v>
      </c>
      <c r="R4509" s="1394">
        <f t="shared" si="1126"/>
        <v>0</v>
      </c>
      <c r="S4509" s="1394">
        <f>IFERROR(VLOOKUP(M4509,#REF!,6,0),0)</f>
        <v>0</v>
      </c>
      <c r="T4509" s="1394">
        <f t="shared" si="1130"/>
        <v>0</v>
      </c>
      <c r="U4509" s="1394">
        <f>IFERROR(VLOOKUP(M4509,#REF!,5,0),0)</f>
        <v>0</v>
      </c>
      <c r="V4509" s="1394">
        <f t="shared" si="1131"/>
        <v>0</v>
      </c>
      <c r="W4509" s="1394"/>
    </row>
    <row r="4510" spans="2:23" ht="30" customHeight="1">
      <c r="B4510" s="1405"/>
      <c r="C4510" s="1415" t="str">
        <f t="shared" si="1138"/>
        <v>A1 to B1 , A5 to B5 , A6 to B6 &amp; A7 to B7</v>
      </c>
      <c r="D4510" s="1409">
        <f t="shared" ref="D4510:D4520" si="1139">D1149*2</f>
        <v>2</v>
      </c>
      <c r="E4510" s="1409">
        <f t="shared" ref="E4510:F4520" si="1140">E1149</f>
        <v>4</v>
      </c>
      <c r="F4510" s="1410">
        <f t="shared" si="1140"/>
        <v>4.2300000000000004</v>
      </c>
      <c r="G4510" s="1410"/>
      <c r="H4510" s="1410">
        <f t="shared" ref="H4510:H4520" si="1141">H1149-0.125</f>
        <v>0.255</v>
      </c>
      <c r="I4510" s="1406">
        <f t="shared" si="1136"/>
        <v>8.6292000000000009</v>
      </c>
      <c r="O4510" s="1395"/>
      <c r="Q4510" s="1394">
        <f>IFERROR(VLOOKUP(M4510,#REF!,3,0),0)</f>
        <v>0</v>
      </c>
      <c r="R4510" s="1394">
        <f t="shared" si="1126"/>
        <v>0</v>
      </c>
      <c r="S4510" s="1394">
        <f>IFERROR(VLOOKUP(M4510,#REF!,6,0),0)</f>
        <v>0</v>
      </c>
      <c r="T4510" s="1394">
        <f t="shared" si="1130"/>
        <v>0</v>
      </c>
      <c r="U4510" s="1394">
        <f>IFERROR(VLOOKUP(M4510,#REF!,5,0),0)</f>
        <v>0</v>
      </c>
      <c r="V4510" s="1394">
        <f t="shared" si="1131"/>
        <v>0</v>
      </c>
      <c r="W4510" s="1394"/>
    </row>
    <row r="4511" spans="2:23" ht="30" customHeight="1">
      <c r="B4511" s="1405"/>
      <c r="C4511" s="1408" t="str">
        <f t="shared" si="1138"/>
        <v>A8 to H8</v>
      </c>
      <c r="D4511" s="1409">
        <f t="shared" si="1139"/>
        <v>2</v>
      </c>
      <c r="E4511" s="1409">
        <f t="shared" si="1140"/>
        <v>1</v>
      </c>
      <c r="F4511" s="1410">
        <f t="shared" si="1140"/>
        <v>18.575000000000003</v>
      </c>
      <c r="G4511" s="1410"/>
      <c r="H4511" s="1410">
        <f t="shared" si="1141"/>
        <v>0.255</v>
      </c>
      <c r="I4511" s="1406">
        <f t="shared" ref="I4511:I4534" si="1142">PRODUCT(D4511:H4511)</f>
        <v>9.4732500000000019</v>
      </c>
      <c r="O4511" s="1395"/>
      <c r="Q4511" s="1394">
        <f>IFERROR(VLOOKUP(M4511,#REF!,3,0),0)</f>
        <v>0</v>
      </c>
      <c r="R4511" s="1394">
        <f t="shared" si="1126"/>
        <v>0</v>
      </c>
      <c r="S4511" s="1394">
        <f>IFERROR(VLOOKUP(M4511,#REF!,6,0),0)</f>
        <v>0</v>
      </c>
      <c r="T4511" s="1394">
        <f t="shared" si="1130"/>
        <v>0</v>
      </c>
      <c r="U4511" s="1394">
        <f>IFERROR(VLOOKUP(M4511,#REF!,5,0),0)</f>
        <v>0</v>
      </c>
      <c r="V4511" s="1394">
        <f t="shared" si="1131"/>
        <v>0</v>
      </c>
      <c r="W4511" s="1394"/>
    </row>
    <row r="4512" spans="2:23" ht="30" customHeight="1">
      <c r="B4512" s="1405"/>
      <c r="C4512" s="1408" t="str">
        <f t="shared" si="1138"/>
        <v>B5 to G5</v>
      </c>
      <c r="D4512" s="1409">
        <f t="shared" si="1139"/>
        <v>2</v>
      </c>
      <c r="E4512" s="1409">
        <f t="shared" si="1140"/>
        <v>1</v>
      </c>
      <c r="F4512" s="1410">
        <f t="shared" si="1140"/>
        <v>10.35</v>
      </c>
      <c r="G4512" s="1410"/>
      <c r="H4512" s="1410">
        <f t="shared" si="1141"/>
        <v>0.255</v>
      </c>
      <c r="I4512" s="1406">
        <f t="shared" si="1142"/>
        <v>5.2785000000000002</v>
      </c>
      <c r="Q4512" s="1394">
        <f>IFERROR(VLOOKUP(M4512,#REF!,3,0),0)</f>
        <v>0</v>
      </c>
      <c r="R4512" s="1394">
        <f t="shared" si="1126"/>
        <v>0</v>
      </c>
      <c r="S4512" s="1394">
        <f>IFERROR(VLOOKUP(M4512,#REF!,6,0),0)</f>
        <v>0</v>
      </c>
      <c r="T4512" s="1394">
        <f t="shared" si="1130"/>
        <v>0</v>
      </c>
      <c r="U4512" s="1394">
        <f>IFERROR(VLOOKUP(M4512,#REF!,5,0),0)</f>
        <v>0</v>
      </c>
      <c r="V4512" s="1394">
        <f t="shared" si="1131"/>
        <v>0</v>
      </c>
      <c r="W4512" s="1394"/>
    </row>
    <row r="4513" spans="2:23" ht="30" customHeight="1">
      <c r="B4513" s="1405"/>
      <c r="C4513" s="1408" t="str">
        <f t="shared" si="1138"/>
        <v>B3 to G3</v>
      </c>
      <c r="D4513" s="1409">
        <f t="shared" si="1139"/>
        <v>2</v>
      </c>
      <c r="E4513" s="1409">
        <f t="shared" si="1140"/>
        <v>1</v>
      </c>
      <c r="F4513" s="1410">
        <f t="shared" si="1140"/>
        <v>10.35</v>
      </c>
      <c r="G4513" s="1410"/>
      <c r="H4513" s="1410">
        <f t="shared" si="1141"/>
        <v>0.32500000000000001</v>
      </c>
      <c r="I4513" s="1406">
        <f t="shared" si="1142"/>
        <v>6.7275</v>
      </c>
      <c r="Q4513" s="1394">
        <f>IFERROR(VLOOKUP(M4513,#REF!,3,0),0)</f>
        <v>0</v>
      </c>
      <c r="R4513" s="1394">
        <f t="shared" si="1126"/>
        <v>0</v>
      </c>
      <c r="S4513" s="1394">
        <f>IFERROR(VLOOKUP(M4513,#REF!,6,0),0)</f>
        <v>0</v>
      </c>
      <c r="T4513" s="1394">
        <f t="shared" si="1130"/>
        <v>0</v>
      </c>
      <c r="U4513" s="1394">
        <f>IFERROR(VLOOKUP(M4513,#REF!,5,0),0)</f>
        <v>0</v>
      </c>
      <c r="V4513" s="1394">
        <f t="shared" si="1131"/>
        <v>0</v>
      </c>
      <c r="W4513" s="1394"/>
    </row>
    <row r="4514" spans="2:23" ht="30" customHeight="1">
      <c r="B4514" s="1405"/>
      <c r="C4514" s="1408" t="str">
        <f t="shared" si="1138"/>
        <v>B7 to G7</v>
      </c>
      <c r="D4514" s="1409">
        <f t="shared" si="1139"/>
        <v>2</v>
      </c>
      <c r="E4514" s="1409">
        <f t="shared" si="1140"/>
        <v>1</v>
      </c>
      <c r="F4514" s="1410">
        <f t="shared" si="1140"/>
        <v>10.35</v>
      </c>
      <c r="G4514" s="1410"/>
      <c r="H4514" s="1410">
        <f t="shared" si="1141"/>
        <v>0.47499999999999998</v>
      </c>
      <c r="I4514" s="1406">
        <f t="shared" si="1142"/>
        <v>9.8324999999999996</v>
      </c>
      <c r="J4514" s="1397"/>
      <c r="K4514" s="1397"/>
      <c r="Q4514" s="1394">
        <f>IFERROR(VLOOKUP(M4514,#REF!,3,0),0)</f>
        <v>0</v>
      </c>
      <c r="R4514" s="1394">
        <f t="shared" si="1126"/>
        <v>0</v>
      </c>
      <c r="S4514" s="1394">
        <f>IFERROR(VLOOKUP(M4514,#REF!,6,0),0)</f>
        <v>0</v>
      </c>
      <c r="T4514" s="1394">
        <f t="shared" si="1130"/>
        <v>0</v>
      </c>
      <c r="U4514" s="1394">
        <f>IFERROR(VLOOKUP(M4514,#REF!,5,0),0)</f>
        <v>0</v>
      </c>
      <c r="V4514" s="1394">
        <f t="shared" si="1131"/>
        <v>0</v>
      </c>
      <c r="W4514" s="1394"/>
    </row>
    <row r="4515" spans="2:23" ht="30" customHeight="1">
      <c r="B4515" s="1405"/>
      <c r="C4515" s="1408" t="str">
        <f t="shared" si="1138"/>
        <v>B4 to F4</v>
      </c>
      <c r="D4515" s="1409">
        <f t="shared" si="1139"/>
        <v>2</v>
      </c>
      <c r="E4515" s="1409">
        <f t="shared" si="1140"/>
        <v>1</v>
      </c>
      <c r="F4515" s="1410">
        <f t="shared" si="1140"/>
        <v>6.8849999999999998</v>
      </c>
      <c r="G4515" s="1410"/>
      <c r="H4515" s="1410">
        <f t="shared" si="1141"/>
        <v>0.255</v>
      </c>
      <c r="I4515" s="1406">
        <f t="shared" si="1142"/>
        <v>3.5113499999999997</v>
      </c>
      <c r="J4515" s="1397"/>
      <c r="K4515" s="1397"/>
      <c r="Q4515" s="1394">
        <f>IFERROR(VLOOKUP(M4515,#REF!,3,0),0)</f>
        <v>0</v>
      </c>
      <c r="R4515" s="1394">
        <f t="shared" si="1126"/>
        <v>0</v>
      </c>
      <c r="S4515" s="1394">
        <f>IFERROR(VLOOKUP(M4515,#REF!,6,0),0)</f>
        <v>0</v>
      </c>
      <c r="T4515" s="1394">
        <f t="shared" si="1130"/>
        <v>0</v>
      </c>
      <c r="U4515" s="1394">
        <f>IFERROR(VLOOKUP(M4515,#REF!,5,0),0)</f>
        <v>0</v>
      </c>
      <c r="V4515" s="1394">
        <f t="shared" si="1131"/>
        <v>0</v>
      </c>
      <c r="W4515" s="1394"/>
    </row>
    <row r="4516" spans="2:23" ht="30" customHeight="1">
      <c r="B4516" s="1405"/>
      <c r="C4516" s="1408" t="str">
        <f t="shared" si="1138"/>
        <v>OTS Cross Beam</v>
      </c>
      <c r="D4516" s="1409">
        <f t="shared" si="1139"/>
        <v>2</v>
      </c>
      <c r="E4516" s="1409">
        <f t="shared" si="1140"/>
        <v>1</v>
      </c>
      <c r="F4516" s="1410">
        <f t="shared" si="1140"/>
        <v>4.2300000000000004</v>
      </c>
      <c r="G4516" s="1410"/>
      <c r="H4516" s="1410">
        <f t="shared" si="1141"/>
        <v>0.255</v>
      </c>
      <c r="I4516" s="1406">
        <f t="shared" si="1142"/>
        <v>2.1573000000000002</v>
      </c>
      <c r="Q4516" s="1394">
        <f>IFERROR(VLOOKUP(M4516,#REF!,3,0),0)</f>
        <v>0</v>
      </c>
      <c r="R4516" s="1394">
        <f t="shared" si="1126"/>
        <v>0</v>
      </c>
      <c r="S4516" s="1394">
        <f>IFERROR(VLOOKUP(M4516,#REF!,6,0),0)</f>
        <v>0</v>
      </c>
      <c r="T4516" s="1394">
        <f t="shared" si="1130"/>
        <v>0</v>
      </c>
      <c r="U4516" s="1394">
        <f>IFERROR(VLOOKUP(M4516,#REF!,5,0),0)</f>
        <v>0</v>
      </c>
      <c r="V4516" s="1394">
        <f t="shared" si="1131"/>
        <v>0</v>
      </c>
      <c r="W4516" s="1394"/>
    </row>
    <row r="4517" spans="2:23" ht="30" customHeight="1">
      <c r="B4517" s="1405"/>
      <c r="C4517" s="1408" t="str">
        <f t="shared" si="1138"/>
        <v>OTS Cross Beam</v>
      </c>
      <c r="D4517" s="1409">
        <f t="shared" si="1139"/>
        <v>2</v>
      </c>
      <c r="E4517" s="1409">
        <f t="shared" si="1140"/>
        <v>1</v>
      </c>
      <c r="F4517" s="1410">
        <f t="shared" si="1140"/>
        <v>3.9950000000000001</v>
      </c>
      <c r="G4517" s="1410"/>
      <c r="H4517" s="1410">
        <f t="shared" si="1141"/>
        <v>0.255</v>
      </c>
      <c r="I4517" s="1406">
        <f t="shared" si="1142"/>
        <v>2.0374500000000002</v>
      </c>
      <c r="Q4517" s="1394">
        <f>IFERROR(VLOOKUP(M4517,#REF!,3,0),0)</f>
        <v>0</v>
      </c>
      <c r="R4517" s="1394">
        <f t="shared" si="1126"/>
        <v>0</v>
      </c>
      <c r="S4517" s="1394">
        <f>IFERROR(VLOOKUP(M4517,#REF!,6,0),0)</f>
        <v>0</v>
      </c>
      <c r="T4517" s="1394">
        <f t="shared" si="1130"/>
        <v>0</v>
      </c>
      <c r="U4517" s="1394">
        <f>IFERROR(VLOOKUP(M4517,#REF!,5,0),0)</f>
        <v>0</v>
      </c>
      <c r="V4517" s="1394">
        <f t="shared" si="1131"/>
        <v>0</v>
      </c>
      <c r="W4517" s="1394"/>
    </row>
    <row r="4518" spans="2:23" ht="30" customHeight="1">
      <c r="B4518" s="1405"/>
      <c r="C4518" s="1408" t="str">
        <f t="shared" si="1138"/>
        <v>G3 to H3 , G5 to H5 , G6 to H6 &amp; G7 to H7</v>
      </c>
      <c r="D4518" s="1409">
        <f t="shared" si="1139"/>
        <v>2</v>
      </c>
      <c r="E4518" s="1409">
        <f t="shared" si="1140"/>
        <v>4</v>
      </c>
      <c r="F4518" s="1410">
        <f t="shared" si="1140"/>
        <v>3.9950000000000001</v>
      </c>
      <c r="G4518" s="1410"/>
      <c r="H4518" s="1410">
        <f t="shared" si="1141"/>
        <v>0.255</v>
      </c>
      <c r="I4518" s="1406">
        <f t="shared" si="1142"/>
        <v>8.1498000000000008</v>
      </c>
      <c r="Q4518" s="1394">
        <f>IFERROR(VLOOKUP(M4518,#REF!,3,0),0)</f>
        <v>0</v>
      </c>
      <c r="R4518" s="1394">
        <f t="shared" si="1126"/>
        <v>0</v>
      </c>
      <c r="S4518" s="1394">
        <f>IFERROR(VLOOKUP(M4518,#REF!,6,0),0)</f>
        <v>0</v>
      </c>
      <c r="T4518" s="1394">
        <f t="shared" si="1130"/>
        <v>0</v>
      </c>
      <c r="U4518" s="1394">
        <f>IFERROR(VLOOKUP(M4518,#REF!,5,0),0)</f>
        <v>0</v>
      </c>
      <c r="V4518" s="1394">
        <f t="shared" si="1131"/>
        <v>0</v>
      </c>
      <c r="W4518" s="1394"/>
    </row>
    <row r="4519" spans="2:23" ht="30" customHeight="1">
      <c r="B4519" s="1405"/>
      <c r="C4519" s="1408" t="str">
        <f t="shared" si="1138"/>
        <v>Cross beams</v>
      </c>
      <c r="D4519" s="1409">
        <f t="shared" si="1139"/>
        <v>2</v>
      </c>
      <c r="E4519" s="1409">
        <f t="shared" si="1140"/>
        <v>1</v>
      </c>
      <c r="F4519" s="1410">
        <f t="shared" si="1140"/>
        <v>1.7350000000000001</v>
      </c>
      <c r="G4519" s="1410"/>
      <c r="H4519" s="1410">
        <f t="shared" si="1141"/>
        <v>0.255</v>
      </c>
      <c r="I4519" s="1406">
        <f t="shared" si="1142"/>
        <v>0.88485000000000003</v>
      </c>
      <c r="Q4519" s="1394">
        <f>IFERROR(VLOOKUP(M4519,#REF!,3,0),0)</f>
        <v>0</v>
      </c>
      <c r="R4519" s="1394">
        <f t="shared" si="1126"/>
        <v>0</v>
      </c>
      <c r="S4519" s="1394">
        <f>IFERROR(VLOOKUP(M4519,#REF!,6,0),0)</f>
        <v>0</v>
      </c>
      <c r="T4519" s="1394">
        <f t="shared" si="1130"/>
        <v>0</v>
      </c>
      <c r="U4519" s="1394">
        <f>IFERROR(VLOOKUP(M4519,#REF!,5,0),0)</f>
        <v>0</v>
      </c>
      <c r="V4519" s="1394">
        <f t="shared" si="1131"/>
        <v>0</v>
      </c>
      <c r="W4519" s="1394"/>
    </row>
    <row r="4520" spans="2:23" ht="30" customHeight="1">
      <c r="B4520" s="1405"/>
      <c r="C4520" s="1408" t="str">
        <f t="shared" si="1138"/>
        <v>Cross beams</v>
      </c>
      <c r="D4520" s="1409">
        <f t="shared" si="1139"/>
        <v>2</v>
      </c>
      <c r="E4520" s="1409">
        <f t="shared" si="1140"/>
        <v>1</v>
      </c>
      <c r="F4520" s="1410">
        <f t="shared" si="1140"/>
        <v>3.7650000000000001</v>
      </c>
      <c r="G4520" s="1410"/>
      <c r="H4520" s="1410">
        <f t="shared" si="1141"/>
        <v>0.255</v>
      </c>
      <c r="I4520" s="1406">
        <f t="shared" si="1142"/>
        <v>1.92015</v>
      </c>
      <c r="Q4520" s="1394">
        <f>IFERROR(VLOOKUP(M4520,#REF!,3,0),0)</f>
        <v>0</v>
      </c>
      <c r="R4520" s="1394">
        <f t="shared" si="1126"/>
        <v>0</v>
      </c>
      <c r="S4520" s="1394">
        <f>IFERROR(VLOOKUP(M4520,#REF!,6,0),0)</f>
        <v>0</v>
      </c>
      <c r="T4520" s="1394">
        <f t="shared" si="1130"/>
        <v>0</v>
      </c>
      <c r="U4520" s="1394">
        <f>IFERROR(VLOOKUP(M4520,#REF!,5,0),0)</f>
        <v>0</v>
      </c>
      <c r="V4520" s="1394">
        <f t="shared" si="1131"/>
        <v>0</v>
      </c>
      <c r="W4520" s="1394"/>
    </row>
    <row r="4521" spans="2:23" ht="30" customHeight="1">
      <c r="B4521" s="1405"/>
      <c r="C4521" s="1408" t="str">
        <f t="shared" si="1138"/>
        <v>Vertical beam</v>
      </c>
      <c r="D4521" s="1409"/>
      <c r="E4521" s="1409"/>
      <c r="F4521" s="1410"/>
      <c r="G4521" s="1410"/>
      <c r="H4521" s="1410"/>
      <c r="I4521" s="1406"/>
      <c r="J4521" s="1396"/>
      <c r="K4521" s="1396"/>
      <c r="Q4521" s="1394">
        <f>IFERROR(VLOOKUP(M4521,#REF!,3,0),0)</f>
        <v>0</v>
      </c>
      <c r="R4521" s="1394">
        <f t="shared" si="1126"/>
        <v>0</v>
      </c>
      <c r="S4521" s="1394">
        <f>IFERROR(VLOOKUP(M4521,#REF!,6,0),0)</f>
        <v>0</v>
      </c>
      <c r="T4521" s="1394">
        <f t="shared" si="1130"/>
        <v>0</v>
      </c>
      <c r="U4521" s="1394">
        <f>IFERROR(VLOOKUP(M4521,#REF!,5,0),0)</f>
        <v>0</v>
      </c>
      <c r="V4521" s="1394">
        <f t="shared" si="1131"/>
        <v>0</v>
      </c>
      <c r="W4521" s="1394"/>
    </row>
    <row r="4522" spans="2:23" ht="30" customHeight="1">
      <c r="B4522" s="1405"/>
      <c r="C4522" s="1415" t="str">
        <f t="shared" si="1138"/>
        <v>A3 To A5</v>
      </c>
      <c r="D4522" s="1409">
        <f t="shared" ref="D4522:D4534" si="1143">D1161*2</f>
        <v>2</v>
      </c>
      <c r="E4522" s="1409">
        <f t="shared" ref="E4522:F4535" si="1144">E1161</f>
        <v>1</v>
      </c>
      <c r="F4522" s="1410">
        <f t="shared" si="1144"/>
        <v>5.5299999999999994</v>
      </c>
      <c r="G4522" s="1410"/>
      <c r="H4522" s="1410">
        <f t="shared" ref="H4522:H4534" si="1145">H1161-0.125</f>
        <v>0.32500000000000001</v>
      </c>
      <c r="I4522" s="1406">
        <f t="shared" si="1142"/>
        <v>3.5944999999999996</v>
      </c>
      <c r="Q4522" s="1394">
        <f>IFERROR(VLOOKUP(M4522,#REF!,3,0),0)</f>
        <v>0</v>
      </c>
      <c r="R4522" s="1394">
        <f t="shared" si="1126"/>
        <v>0</v>
      </c>
      <c r="S4522" s="1394">
        <f>IFERROR(VLOOKUP(M4522,#REF!,6,0),0)</f>
        <v>0</v>
      </c>
      <c r="T4522" s="1394">
        <f t="shared" si="1130"/>
        <v>0</v>
      </c>
      <c r="U4522" s="1394">
        <f>IFERROR(VLOOKUP(M4522,#REF!,5,0),0)</f>
        <v>0</v>
      </c>
      <c r="V4522" s="1394">
        <f t="shared" si="1131"/>
        <v>0</v>
      </c>
      <c r="W4522" s="1394"/>
    </row>
    <row r="4523" spans="2:23" ht="30" customHeight="1">
      <c r="B4523" s="1405"/>
      <c r="C4523" s="1408" t="str">
        <f t="shared" si="1138"/>
        <v>A5 To A8</v>
      </c>
      <c r="D4523" s="1409">
        <f t="shared" si="1143"/>
        <v>2</v>
      </c>
      <c r="E4523" s="1409">
        <f t="shared" si="1144"/>
        <v>1</v>
      </c>
      <c r="F4523" s="1410">
        <f t="shared" si="1144"/>
        <v>10.120000000000001</v>
      </c>
      <c r="G4523" s="1410"/>
      <c r="H4523" s="1410">
        <f t="shared" si="1145"/>
        <v>0.255</v>
      </c>
      <c r="I4523" s="1406">
        <f t="shared" si="1142"/>
        <v>5.1612000000000009</v>
      </c>
      <c r="Q4523" s="1394">
        <f>IFERROR(VLOOKUP(M4523,#REF!,3,0),0)</f>
        <v>0</v>
      </c>
      <c r="R4523" s="1394">
        <f t="shared" si="1126"/>
        <v>0</v>
      </c>
      <c r="S4523" s="1394">
        <f>IFERROR(VLOOKUP(M4523,#REF!,6,0),0)</f>
        <v>0</v>
      </c>
      <c r="T4523" s="1394">
        <f t="shared" si="1130"/>
        <v>0</v>
      </c>
      <c r="U4523" s="1394">
        <f>IFERROR(VLOOKUP(M4523,#REF!,5,0),0)</f>
        <v>0</v>
      </c>
      <c r="V4523" s="1394">
        <f t="shared" si="1131"/>
        <v>0</v>
      </c>
      <c r="W4523" s="1394"/>
    </row>
    <row r="4524" spans="2:23" ht="30" customHeight="1">
      <c r="B4524" s="1405"/>
      <c r="C4524" s="1408" t="str">
        <f t="shared" si="1138"/>
        <v>B3 To B8</v>
      </c>
      <c r="D4524" s="1409">
        <f t="shared" si="1143"/>
        <v>2</v>
      </c>
      <c r="E4524" s="1409">
        <f t="shared" si="1144"/>
        <v>1</v>
      </c>
      <c r="F4524" s="1410">
        <f t="shared" si="1144"/>
        <v>15.649999999999999</v>
      </c>
      <c r="G4524" s="1410"/>
      <c r="H4524" s="1410">
        <f t="shared" si="1145"/>
        <v>0.255</v>
      </c>
      <c r="I4524" s="1406">
        <f t="shared" si="1142"/>
        <v>7.9814999999999996</v>
      </c>
      <c r="Q4524" s="1394">
        <f>IFERROR(VLOOKUP(M4524,#REF!,3,0),0)</f>
        <v>0</v>
      </c>
      <c r="R4524" s="1394">
        <f t="shared" si="1126"/>
        <v>0</v>
      </c>
      <c r="S4524" s="1394">
        <f>IFERROR(VLOOKUP(M4524,#REF!,6,0),0)</f>
        <v>0</v>
      </c>
      <c r="T4524" s="1394">
        <f t="shared" si="1130"/>
        <v>0</v>
      </c>
      <c r="U4524" s="1394">
        <f>IFERROR(VLOOKUP(M4524,#REF!,5,0),0)</f>
        <v>0</v>
      </c>
      <c r="V4524" s="1394">
        <f t="shared" si="1131"/>
        <v>0</v>
      </c>
      <c r="W4524" s="1394"/>
    </row>
    <row r="4525" spans="2:23" ht="30" customHeight="1">
      <c r="B4525" s="1405"/>
      <c r="C4525" s="1408" t="str">
        <f t="shared" si="1138"/>
        <v>Cross beams</v>
      </c>
      <c r="D4525" s="1409">
        <f t="shared" si="1143"/>
        <v>2</v>
      </c>
      <c r="E4525" s="1409">
        <f t="shared" si="1144"/>
        <v>1</v>
      </c>
      <c r="F4525" s="1410">
        <f t="shared" si="1144"/>
        <v>4.13</v>
      </c>
      <c r="G4525" s="1410"/>
      <c r="H4525" s="1410">
        <f t="shared" si="1145"/>
        <v>0.255</v>
      </c>
      <c r="I4525" s="1406">
        <f t="shared" si="1142"/>
        <v>2.1063000000000001</v>
      </c>
      <c r="Q4525" s="1394">
        <f>IFERROR(VLOOKUP(M4525,#REF!,3,0),0)</f>
        <v>0</v>
      </c>
      <c r="R4525" s="1394">
        <f t="shared" si="1126"/>
        <v>0</v>
      </c>
      <c r="S4525" s="1394">
        <f>IFERROR(VLOOKUP(M4525,#REF!,6,0),0)</f>
        <v>0</v>
      </c>
      <c r="T4525" s="1394">
        <f t="shared" si="1130"/>
        <v>0</v>
      </c>
      <c r="U4525" s="1394">
        <f>IFERROR(VLOOKUP(M4525,#REF!,5,0),0)</f>
        <v>0</v>
      </c>
      <c r="V4525" s="1394">
        <f t="shared" si="1131"/>
        <v>0</v>
      </c>
      <c r="W4525" s="1394"/>
    </row>
    <row r="4526" spans="2:23" ht="30" customHeight="1">
      <c r="B4526" s="1405"/>
      <c r="C4526" s="1408" t="str">
        <f t="shared" si="1138"/>
        <v>Cross beams</v>
      </c>
      <c r="D4526" s="1409">
        <f t="shared" si="1143"/>
        <v>2</v>
      </c>
      <c r="E4526" s="1409">
        <f t="shared" si="1144"/>
        <v>1</v>
      </c>
      <c r="F4526" s="1410">
        <f t="shared" si="1144"/>
        <v>4.13</v>
      </c>
      <c r="G4526" s="1410"/>
      <c r="H4526" s="1410">
        <f t="shared" si="1145"/>
        <v>0.32500000000000001</v>
      </c>
      <c r="I4526" s="1406">
        <f t="shared" si="1142"/>
        <v>2.6844999999999999</v>
      </c>
      <c r="Q4526" s="1394">
        <f>IFERROR(VLOOKUP(M4526,#REF!,3,0),0)</f>
        <v>0</v>
      </c>
      <c r="R4526" s="1394">
        <f t="shared" ref="R4526:R4589" si="1146">ROUND(O4526,2)*ROUND(Q4526,2)</f>
        <v>0</v>
      </c>
      <c r="S4526" s="1394">
        <f>IFERROR(VLOOKUP(M4526,#REF!,6,0),0)</f>
        <v>0</v>
      </c>
      <c r="T4526" s="1394">
        <f t="shared" si="1130"/>
        <v>0</v>
      </c>
      <c r="U4526" s="1394">
        <f>IFERROR(VLOOKUP(M4526,#REF!,5,0),0)</f>
        <v>0</v>
      </c>
      <c r="V4526" s="1394">
        <f t="shared" si="1131"/>
        <v>0</v>
      </c>
      <c r="W4526" s="1394"/>
    </row>
    <row r="4527" spans="2:23" ht="30" customHeight="1">
      <c r="B4527" s="1405"/>
      <c r="C4527" s="1408" t="str">
        <f t="shared" si="1138"/>
        <v>C4 to C5</v>
      </c>
      <c r="D4527" s="1409">
        <f t="shared" si="1143"/>
        <v>2</v>
      </c>
      <c r="E4527" s="1409">
        <f t="shared" si="1144"/>
        <v>1</v>
      </c>
      <c r="F4527" s="1410">
        <f t="shared" si="1144"/>
        <v>2.5299999999999998</v>
      </c>
      <c r="G4527" s="1410"/>
      <c r="H4527" s="1410">
        <f t="shared" si="1145"/>
        <v>0.32500000000000001</v>
      </c>
      <c r="I4527" s="1406">
        <f t="shared" si="1142"/>
        <v>1.6444999999999999</v>
      </c>
      <c r="Q4527" s="1394">
        <f>IFERROR(VLOOKUP(M4527,#REF!,3,0),0)</f>
        <v>0</v>
      </c>
      <c r="R4527" s="1394">
        <f t="shared" si="1146"/>
        <v>0</v>
      </c>
      <c r="S4527" s="1394">
        <f>IFERROR(VLOOKUP(M4527,#REF!,6,0),0)</f>
        <v>0</v>
      </c>
      <c r="T4527" s="1394">
        <f t="shared" si="1130"/>
        <v>0</v>
      </c>
      <c r="U4527" s="1394">
        <f>IFERROR(VLOOKUP(M4527,#REF!,5,0),0)</f>
        <v>0</v>
      </c>
      <c r="V4527" s="1394">
        <f t="shared" si="1131"/>
        <v>0</v>
      </c>
      <c r="W4527" s="1394"/>
    </row>
    <row r="4528" spans="2:23" ht="30" customHeight="1">
      <c r="B4528" s="1405"/>
      <c r="C4528" s="1408" t="str">
        <f t="shared" si="1138"/>
        <v xml:space="preserve">C5 to C7 &amp; F5 to F7 </v>
      </c>
      <c r="D4528" s="1409">
        <f t="shared" si="1143"/>
        <v>2</v>
      </c>
      <c r="E4528" s="1409">
        <f t="shared" si="1144"/>
        <v>2</v>
      </c>
      <c r="F4528" s="1410">
        <f t="shared" si="1144"/>
        <v>5.99</v>
      </c>
      <c r="G4528" s="1410"/>
      <c r="H4528" s="1410">
        <f t="shared" si="1145"/>
        <v>0.47499999999999998</v>
      </c>
      <c r="I4528" s="1406">
        <f t="shared" si="1142"/>
        <v>11.381</v>
      </c>
      <c r="Q4528" s="1394">
        <f>IFERROR(VLOOKUP(M4528,#REF!,3,0),0)</f>
        <v>0</v>
      </c>
      <c r="R4528" s="1394">
        <f t="shared" si="1146"/>
        <v>0</v>
      </c>
      <c r="S4528" s="1394">
        <f>IFERROR(VLOOKUP(M4528,#REF!,6,0),0)</f>
        <v>0</v>
      </c>
      <c r="T4528" s="1394">
        <f t="shared" si="1130"/>
        <v>0</v>
      </c>
      <c r="U4528" s="1394">
        <f>IFERROR(VLOOKUP(M4528,#REF!,5,0),0)</f>
        <v>0</v>
      </c>
      <c r="V4528" s="1394">
        <f t="shared" si="1131"/>
        <v>0</v>
      </c>
      <c r="W4528" s="1394"/>
    </row>
    <row r="4529" spans="2:23" ht="30" customHeight="1">
      <c r="B4529" s="1405"/>
      <c r="C4529" s="1408" t="str">
        <f t="shared" si="1138"/>
        <v>F3 to F5</v>
      </c>
      <c r="D4529" s="1409">
        <f t="shared" si="1143"/>
        <v>2</v>
      </c>
      <c r="E4529" s="1409">
        <f t="shared" si="1144"/>
        <v>1</v>
      </c>
      <c r="F4529" s="1410">
        <f t="shared" si="1144"/>
        <v>5.5299999999999994</v>
      </c>
      <c r="G4529" s="1410"/>
      <c r="H4529" s="1410">
        <f t="shared" si="1145"/>
        <v>0.32500000000000001</v>
      </c>
      <c r="I4529" s="1406">
        <f t="shared" si="1142"/>
        <v>3.5944999999999996</v>
      </c>
      <c r="Q4529" s="1394">
        <f>IFERROR(VLOOKUP(M4529,#REF!,3,0),0)</f>
        <v>0</v>
      </c>
      <c r="R4529" s="1394">
        <f t="shared" si="1146"/>
        <v>0</v>
      </c>
      <c r="S4529" s="1394">
        <f>IFERROR(VLOOKUP(M4529,#REF!,6,0),0)</f>
        <v>0</v>
      </c>
      <c r="T4529" s="1394">
        <f t="shared" si="1130"/>
        <v>0</v>
      </c>
      <c r="U4529" s="1394">
        <f>IFERROR(VLOOKUP(M4529,#REF!,5,0),0)</f>
        <v>0</v>
      </c>
      <c r="V4529" s="1394">
        <f t="shared" si="1131"/>
        <v>0</v>
      </c>
      <c r="W4529" s="1394"/>
    </row>
    <row r="4530" spans="2:23" ht="30" customHeight="1">
      <c r="B4530" s="1405"/>
      <c r="C4530" s="1408" t="str">
        <f t="shared" si="1138"/>
        <v>E7 to E8</v>
      </c>
      <c r="D4530" s="1409">
        <f t="shared" si="1143"/>
        <v>2</v>
      </c>
      <c r="E4530" s="1409">
        <f t="shared" si="1144"/>
        <v>1</v>
      </c>
      <c r="F4530" s="1410">
        <f t="shared" si="1144"/>
        <v>4.13</v>
      </c>
      <c r="G4530" s="1410"/>
      <c r="H4530" s="1410">
        <f t="shared" si="1145"/>
        <v>0.255</v>
      </c>
      <c r="I4530" s="1406">
        <f t="shared" si="1142"/>
        <v>2.1063000000000001</v>
      </c>
      <c r="Q4530" s="1394">
        <f>IFERROR(VLOOKUP(M4530,#REF!,3,0),0)</f>
        <v>0</v>
      </c>
      <c r="R4530" s="1394">
        <f t="shared" si="1146"/>
        <v>0</v>
      </c>
      <c r="S4530" s="1394">
        <f>IFERROR(VLOOKUP(M4530,#REF!,6,0),0)</f>
        <v>0</v>
      </c>
      <c r="T4530" s="1394">
        <f t="shared" si="1130"/>
        <v>0</v>
      </c>
      <c r="U4530" s="1394">
        <f>IFERROR(VLOOKUP(M4530,#REF!,5,0),0)</f>
        <v>0</v>
      </c>
      <c r="V4530" s="1394">
        <f t="shared" si="1131"/>
        <v>0</v>
      </c>
      <c r="W4530" s="1394"/>
    </row>
    <row r="4531" spans="2:23" ht="30" customHeight="1">
      <c r="B4531" s="1405"/>
      <c r="C4531" s="1408" t="str">
        <f t="shared" si="1138"/>
        <v>G3 to G7</v>
      </c>
      <c r="D4531" s="1409">
        <f t="shared" si="1143"/>
        <v>2</v>
      </c>
      <c r="E4531" s="1409">
        <f t="shared" si="1144"/>
        <v>1</v>
      </c>
      <c r="F4531" s="1410">
        <f t="shared" si="1144"/>
        <v>11.52</v>
      </c>
      <c r="G4531" s="1410"/>
      <c r="H4531" s="1410">
        <f t="shared" si="1145"/>
        <v>0.32500000000000001</v>
      </c>
      <c r="I4531" s="1406">
        <f t="shared" si="1142"/>
        <v>7.4879999999999995</v>
      </c>
      <c r="Q4531" s="1394">
        <f>IFERROR(VLOOKUP(M4531,#REF!,3,0),0)</f>
        <v>0</v>
      </c>
      <c r="R4531" s="1394">
        <f t="shared" si="1146"/>
        <v>0</v>
      </c>
      <c r="S4531" s="1394">
        <f>IFERROR(VLOOKUP(M4531,#REF!,6,0),0)</f>
        <v>0</v>
      </c>
      <c r="T4531" s="1394">
        <f t="shared" si="1130"/>
        <v>0</v>
      </c>
      <c r="U4531" s="1394">
        <f>IFERROR(VLOOKUP(M4531,#REF!,5,0),0)</f>
        <v>0</v>
      </c>
      <c r="V4531" s="1394">
        <f t="shared" si="1131"/>
        <v>0</v>
      </c>
      <c r="W4531" s="1394"/>
    </row>
    <row r="4532" spans="2:23" ht="30" customHeight="1">
      <c r="B4532" s="1405"/>
      <c r="C4532" s="1408" t="str">
        <f t="shared" si="1138"/>
        <v>G7 to G8</v>
      </c>
      <c r="D4532" s="1409">
        <f t="shared" si="1143"/>
        <v>2</v>
      </c>
      <c r="E4532" s="1409">
        <f t="shared" si="1144"/>
        <v>1</v>
      </c>
      <c r="F4532" s="1410">
        <f t="shared" si="1144"/>
        <v>4.13</v>
      </c>
      <c r="G4532" s="1410"/>
      <c r="H4532" s="1410">
        <f t="shared" si="1145"/>
        <v>0.32500000000000001</v>
      </c>
      <c r="I4532" s="1406">
        <f t="shared" si="1142"/>
        <v>2.6844999999999999</v>
      </c>
      <c r="L4532" s="1413"/>
      <c r="O4532" s="1395"/>
      <c r="Q4532" s="1394">
        <f>IFERROR(VLOOKUP(M4532,#REF!,3,0),0)</f>
        <v>0</v>
      </c>
      <c r="R4532" s="1394">
        <f t="shared" si="1146"/>
        <v>0</v>
      </c>
      <c r="S4532" s="1394">
        <f>IFERROR(VLOOKUP(M4532,#REF!,6,0),0)</f>
        <v>0</v>
      </c>
      <c r="T4532" s="1394">
        <f t="shared" si="1130"/>
        <v>0</v>
      </c>
      <c r="U4532" s="1394">
        <f>IFERROR(VLOOKUP(M4532,#REF!,5,0),0)</f>
        <v>0</v>
      </c>
      <c r="V4532" s="1394">
        <f t="shared" si="1131"/>
        <v>0</v>
      </c>
      <c r="W4532" s="1394"/>
    </row>
    <row r="4533" spans="2:23" ht="30" customHeight="1">
      <c r="B4533" s="1405"/>
      <c r="C4533" s="1408" t="str">
        <f t="shared" si="1138"/>
        <v>H3 To H8</v>
      </c>
      <c r="D4533" s="1409">
        <f t="shared" si="1143"/>
        <v>2</v>
      </c>
      <c r="E4533" s="1409">
        <f t="shared" si="1144"/>
        <v>1</v>
      </c>
      <c r="F4533" s="1410">
        <f t="shared" si="1144"/>
        <v>15.649999999999999</v>
      </c>
      <c r="G4533" s="1410"/>
      <c r="H4533" s="1410">
        <f t="shared" si="1145"/>
        <v>0.32500000000000001</v>
      </c>
      <c r="I4533" s="1406">
        <f t="shared" si="1142"/>
        <v>10.172499999999999</v>
      </c>
      <c r="L4533" s="1413"/>
      <c r="O4533" s="1395"/>
      <c r="Q4533" s="1394">
        <f>IFERROR(VLOOKUP(M4533,#REF!,3,0),0)</f>
        <v>0</v>
      </c>
      <c r="R4533" s="1394">
        <f t="shared" si="1146"/>
        <v>0</v>
      </c>
      <c r="S4533" s="1394">
        <f>IFERROR(VLOOKUP(M4533,#REF!,6,0),0)</f>
        <v>0</v>
      </c>
      <c r="T4533" s="1394">
        <f t="shared" si="1130"/>
        <v>0</v>
      </c>
      <c r="U4533" s="1394">
        <f>IFERROR(VLOOKUP(M4533,#REF!,5,0),0)</f>
        <v>0</v>
      </c>
      <c r="V4533" s="1394">
        <f t="shared" si="1131"/>
        <v>0</v>
      </c>
      <c r="W4533" s="1394"/>
    </row>
    <row r="4534" spans="2:23" ht="30" customHeight="1">
      <c r="B4534" s="1405"/>
      <c r="C4534" s="1408" t="str">
        <f t="shared" si="1138"/>
        <v>Cross beams</v>
      </c>
      <c r="D4534" s="1409">
        <f t="shared" si="1143"/>
        <v>2</v>
      </c>
      <c r="E4534" s="1409">
        <f t="shared" si="1144"/>
        <v>1</v>
      </c>
      <c r="F4534" s="1410">
        <f t="shared" si="1144"/>
        <v>2.77</v>
      </c>
      <c r="G4534" s="1410"/>
      <c r="H4534" s="1410">
        <f t="shared" si="1145"/>
        <v>0.255</v>
      </c>
      <c r="I4534" s="1406">
        <f t="shared" si="1142"/>
        <v>1.4127000000000001</v>
      </c>
      <c r="L4534" s="1413"/>
      <c r="O4534" s="1395"/>
      <c r="Q4534" s="1394">
        <f>IFERROR(VLOOKUP(M4534,#REF!,3,0),0)</f>
        <v>0</v>
      </c>
      <c r="R4534" s="1394">
        <f t="shared" si="1146"/>
        <v>0</v>
      </c>
      <c r="S4534" s="1394">
        <f>IFERROR(VLOOKUP(M4534,#REF!,6,0),0)</f>
        <v>0</v>
      </c>
      <c r="T4534" s="1394">
        <f t="shared" si="1130"/>
        <v>0</v>
      </c>
      <c r="U4534" s="1394">
        <f>IFERROR(VLOOKUP(M4534,#REF!,5,0),0)</f>
        <v>0</v>
      </c>
      <c r="V4534" s="1394">
        <f t="shared" si="1131"/>
        <v>0</v>
      </c>
      <c r="W4534" s="1394"/>
    </row>
    <row r="4535" spans="2:23" ht="30" customHeight="1">
      <c r="B4535" s="1405"/>
      <c r="C4535" s="1408">
        <f t="shared" si="1138"/>
        <v>0</v>
      </c>
      <c r="D4535" s="1409">
        <f>D1174</f>
        <v>0</v>
      </c>
      <c r="E4535" s="1409">
        <f t="shared" si="1144"/>
        <v>0</v>
      </c>
      <c r="F4535" s="1410">
        <f t="shared" si="1144"/>
        <v>0</v>
      </c>
      <c r="G4535" s="1410">
        <f>G1174</f>
        <v>0</v>
      </c>
      <c r="H4535" s="1411">
        <f>H1174</f>
        <v>0</v>
      </c>
      <c r="I4535" s="1406">
        <f t="shared" si="1136"/>
        <v>0</v>
      </c>
      <c r="L4535" s="1413"/>
      <c r="O4535" s="1395"/>
      <c r="Q4535" s="1394">
        <f>IFERROR(VLOOKUP(M4535,#REF!,3,0),0)</f>
        <v>0</v>
      </c>
      <c r="R4535" s="1394">
        <f t="shared" si="1146"/>
        <v>0</v>
      </c>
      <c r="S4535" s="1394">
        <f>IFERROR(VLOOKUP(M4535,#REF!,6,0),0)</f>
        <v>0</v>
      </c>
      <c r="T4535" s="1394">
        <f t="shared" si="1130"/>
        <v>0</v>
      </c>
      <c r="U4535" s="1394">
        <f>IFERROR(VLOOKUP(M4535,#REF!,5,0),0)</f>
        <v>0</v>
      </c>
      <c r="V4535" s="1394">
        <f t="shared" si="1131"/>
        <v>0</v>
      </c>
      <c r="W4535" s="1394"/>
    </row>
    <row r="4536" spans="2:23" ht="30" customHeight="1">
      <c r="B4536" s="1407"/>
      <c r="C4536" s="1415" t="s">
        <v>540</v>
      </c>
      <c r="D4536" s="1409">
        <f t="shared" ref="D4536:H4537" si="1147">D1147</f>
        <v>0</v>
      </c>
      <c r="E4536" s="1409">
        <f t="shared" si="1147"/>
        <v>0</v>
      </c>
      <c r="F4536" s="1410">
        <f t="shared" si="1147"/>
        <v>0</v>
      </c>
      <c r="G4536" s="1410">
        <f t="shared" si="1147"/>
        <v>0</v>
      </c>
      <c r="H4536" s="1411">
        <f t="shared" si="1147"/>
        <v>0</v>
      </c>
      <c r="I4536" s="1406">
        <f t="shared" ref="I4536" si="1148">PRODUCT(D4536:H4536)</f>
        <v>0</v>
      </c>
      <c r="Q4536" s="1394">
        <f>IFERROR(VLOOKUP(M4536,#REF!,3,0),0)</f>
        <v>0</v>
      </c>
      <c r="R4536" s="1394">
        <f t="shared" si="1146"/>
        <v>0</v>
      </c>
      <c r="S4536" s="1394">
        <f>IFERROR(VLOOKUP(M4536,#REF!,6,0),0)</f>
        <v>0</v>
      </c>
      <c r="T4536" s="1394">
        <f t="shared" si="1130"/>
        <v>0</v>
      </c>
      <c r="U4536" s="1394">
        <f>IFERROR(VLOOKUP(M4536,#REF!,5,0),0)</f>
        <v>0</v>
      </c>
      <c r="V4536" s="1394">
        <f t="shared" si="1131"/>
        <v>0</v>
      </c>
      <c r="W4536" s="1394"/>
    </row>
    <row r="4537" spans="2:23" ht="30" customHeight="1">
      <c r="B4537" s="1405"/>
      <c r="C4537" s="1408" t="str">
        <f t="shared" ref="C4537:C4562" si="1149">C1148</f>
        <v>Horizontal beam</v>
      </c>
      <c r="D4537" s="1409">
        <f t="shared" si="1147"/>
        <v>0</v>
      </c>
      <c r="E4537" s="1409">
        <f t="shared" si="1147"/>
        <v>0</v>
      </c>
      <c r="F4537" s="1410">
        <f t="shared" si="1147"/>
        <v>0</v>
      </c>
      <c r="G4537" s="1410">
        <f t="shared" si="1147"/>
        <v>0</v>
      </c>
      <c r="H4537" s="1411">
        <f t="shared" si="1147"/>
        <v>0</v>
      </c>
      <c r="I4537" s="1406">
        <f t="shared" ref="I4537:I4538" si="1150">PRODUCT(D4537:H4537)</f>
        <v>0</v>
      </c>
      <c r="O4537" s="1395"/>
      <c r="Q4537" s="1394">
        <f>IFERROR(VLOOKUP(M4537,#REF!,3,0),0)</f>
        <v>0</v>
      </c>
      <c r="R4537" s="1394">
        <f t="shared" si="1146"/>
        <v>0</v>
      </c>
      <c r="S4537" s="1394">
        <f>IFERROR(VLOOKUP(M4537,#REF!,6,0),0)</f>
        <v>0</v>
      </c>
      <c r="T4537" s="1394">
        <f t="shared" si="1130"/>
        <v>0</v>
      </c>
      <c r="U4537" s="1394">
        <f>IFERROR(VLOOKUP(M4537,#REF!,5,0),0)</f>
        <v>0</v>
      </c>
      <c r="V4537" s="1394">
        <f t="shared" si="1131"/>
        <v>0</v>
      </c>
      <c r="W4537" s="1394"/>
    </row>
    <row r="4538" spans="2:23" ht="30" customHeight="1">
      <c r="B4538" s="1405"/>
      <c r="C4538" s="1408" t="str">
        <f t="shared" si="1149"/>
        <v>A1 to B1 , A5 to B5 , A6 to B6 &amp; A7 to B7</v>
      </c>
      <c r="D4538" s="1409">
        <f t="shared" ref="D4538:G4562" si="1151">D1149</f>
        <v>1</v>
      </c>
      <c r="E4538" s="1409">
        <f t="shared" si="1151"/>
        <v>4</v>
      </c>
      <c r="F4538" s="1410">
        <f t="shared" si="1151"/>
        <v>4.2300000000000004</v>
      </c>
      <c r="G4538" s="1410">
        <f t="shared" si="1151"/>
        <v>0.23</v>
      </c>
      <c r="H4538" s="1411"/>
      <c r="I4538" s="1406">
        <f t="shared" si="1150"/>
        <v>3.8916000000000004</v>
      </c>
      <c r="O4538" s="1395"/>
      <c r="Q4538" s="1394">
        <f>IFERROR(VLOOKUP(M4538,#REF!,3,0),0)</f>
        <v>0</v>
      </c>
      <c r="R4538" s="1394">
        <f t="shared" si="1146"/>
        <v>0</v>
      </c>
      <c r="S4538" s="1394">
        <f>IFERROR(VLOOKUP(M4538,#REF!,6,0),0)</f>
        <v>0</v>
      </c>
      <c r="T4538" s="1394">
        <f t="shared" si="1130"/>
        <v>0</v>
      </c>
      <c r="U4538" s="1394">
        <f>IFERROR(VLOOKUP(M4538,#REF!,5,0),0)</f>
        <v>0</v>
      </c>
      <c r="V4538" s="1394">
        <f t="shared" si="1131"/>
        <v>0</v>
      </c>
      <c r="W4538" s="1394"/>
    </row>
    <row r="4539" spans="2:23" ht="30" customHeight="1">
      <c r="B4539" s="1405"/>
      <c r="C4539" s="1408" t="str">
        <f t="shared" si="1149"/>
        <v>A8 to H8</v>
      </c>
      <c r="D4539" s="1409">
        <f t="shared" si="1151"/>
        <v>1</v>
      </c>
      <c r="E4539" s="1409">
        <f t="shared" si="1151"/>
        <v>1</v>
      </c>
      <c r="F4539" s="1410">
        <f t="shared" si="1151"/>
        <v>18.575000000000003</v>
      </c>
      <c r="G4539" s="1410">
        <f t="shared" si="1151"/>
        <v>0.23</v>
      </c>
      <c r="H4539" s="1411"/>
      <c r="I4539" s="1406">
        <f t="shared" ref="I4539:I4561" si="1152">PRODUCT(D4539:H4539)</f>
        <v>4.2722500000000005</v>
      </c>
      <c r="O4539" s="1395"/>
      <c r="Q4539" s="1394">
        <f>IFERROR(VLOOKUP(M4539,#REF!,3,0),0)</f>
        <v>0</v>
      </c>
      <c r="R4539" s="1394">
        <f t="shared" si="1146"/>
        <v>0</v>
      </c>
      <c r="S4539" s="1394">
        <f>IFERROR(VLOOKUP(M4539,#REF!,6,0),0)</f>
        <v>0</v>
      </c>
      <c r="T4539" s="1394">
        <f t="shared" si="1130"/>
        <v>0</v>
      </c>
      <c r="U4539" s="1394">
        <f>IFERROR(VLOOKUP(M4539,#REF!,5,0),0)</f>
        <v>0</v>
      </c>
      <c r="V4539" s="1394">
        <f t="shared" si="1131"/>
        <v>0</v>
      </c>
      <c r="W4539" s="1394"/>
    </row>
    <row r="4540" spans="2:23" ht="30" customHeight="1">
      <c r="B4540" s="1405"/>
      <c r="C4540" s="1408" t="str">
        <f t="shared" si="1149"/>
        <v>B5 to G5</v>
      </c>
      <c r="D4540" s="1409">
        <f t="shared" si="1151"/>
        <v>1</v>
      </c>
      <c r="E4540" s="1409">
        <f t="shared" si="1151"/>
        <v>1</v>
      </c>
      <c r="F4540" s="1410">
        <f t="shared" si="1151"/>
        <v>10.35</v>
      </c>
      <c r="G4540" s="1410">
        <f t="shared" si="1151"/>
        <v>0.23</v>
      </c>
      <c r="H4540" s="1411"/>
      <c r="I4540" s="1406">
        <f t="shared" si="1152"/>
        <v>2.3805000000000001</v>
      </c>
      <c r="Q4540" s="1394">
        <f>IFERROR(VLOOKUP(M4540,#REF!,3,0),0)</f>
        <v>0</v>
      </c>
      <c r="R4540" s="1394">
        <f t="shared" si="1146"/>
        <v>0</v>
      </c>
      <c r="S4540" s="1394">
        <f>IFERROR(VLOOKUP(M4540,#REF!,6,0),0)</f>
        <v>0</v>
      </c>
      <c r="T4540" s="1394">
        <f t="shared" si="1130"/>
        <v>0</v>
      </c>
      <c r="U4540" s="1394">
        <f>IFERROR(VLOOKUP(M4540,#REF!,5,0),0)</f>
        <v>0</v>
      </c>
      <c r="V4540" s="1394">
        <f t="shared" si="1131"/>
        <v>0</v>
      </c>
      <c r="W4540" s="1394"/>
    </row>
    <row r="4541" spans="2:23" ht="30" customHeight="1">
      <c r="B4541" s="1405"/>
      <c r="C4541" s="1408" t="str">
        <f t="shared" si="1149"/>
        <v>B3 to G3</v>
      </c>
      <c r="D4541" s="1409">
        <f t="shared" si="1151"/>
        <v>1</v>
      </c>
      <c r="E4541" s="1409">
        <f t="shared" si="1151"/>
        <v>1</v>
      </c>
      <c r="F4541" s="1410">
        <f t="shared" si="1151"/>
        <v>10.35</v>
      </c>
      <c r="G4541" s="1410">
        <f t="shared" si="1151"/>
        <v>0.23</v>
      </c>
      <c r="H4541" s="1411"/>
      <c r="I4541" s="1406">
        <f t="shared" si="1152"/>
        <v>2.3805000000000001</v>
      </c>
      <c r="Q4541" s="1394">
        <f>IFERROR(VLOOKUP(M4541,#REF!,3,0),0)</f>
        <v>0</v>
      </c>
      <c r="R4541" s="1394">
        <f t="shared" si="1146"/>
        <v>0</v>
      </c>
      <c r="S4541" s="1394">
        <f>IFERROR(VLOOKUP(M4541,#REF!,6,0),0)</f>
        <v>0</v>
      </c>
      <c r="T4541" s="1394">
        <f t="shared" si="1130"/>
        <v>0</v>
      </c>
      <c r="U4541" s="1394">
        <f>IFERROR(VLOOKUP(M4541,#REF!,5,0),0)</f>
        <v>0</v>
      </c>
      <c r="V4541" s="1394">
        <f t="shared" si="1131"/>
        <v>0</v>
      </c>
      <c r="W4541" s="1394"/>
    </row>
    <row r="4542" spans="2:23" ht="30" customHeight="1">
      <c r="B4542" s="1405"/>
      <c r="C4542" s="1408" t="str">
        <f t="shared" si="1149"/>
        <v>B7 to G7</v>
      </c>
      <c r="D4542" s="1409">
        <f t="shared" si="1151"/>
        <v>1</v>
      </c>
      <c r="E4542" s="1409">
        <f t="shared" si="1151"/>
        <v>1</v>
      </c>
      <c r="F4542" s="1410">
        <f t="shared" si="1151"/>
        <v>10.35</v>
      </c>
      <c r="G4542" s="1410">
        <f t="shared" si="1151"/>
        <v>0.23</v>
      </c>
      <c r="H4542" s="1411"/>
      <c r="I4542" s="1406">
        <f t="shared" si="1152"/>
        <v>2.3805000000000001</v>
      </c>
      <c r="J4542" s="1397"/>
      <c r="K4542" s="1397"/>
      <c r="Q4542" s="1394">
        <f>IFERROR(VLOOKUP(M4542,#REF!,3,0),0)</f>
        <v>0</v>
      </c>
      <c r="R4542" s="1394">
        <f t="shared" si="1146"/>
        <v>0</v>
      </c>
      <c r="S4542" s="1394">
        <f>IFERROR(VLOOKUP(M4542,#REF!,6,0),0)</f>
        <v>0</v>
      </c>
      <c r="T4542" s="1394">
        <f t="shared" si="1130"/>
        <v>0</v>
      </c>
      <c r="U4542" s="1394">
        <f>IFERROR(VLOOKUP(M4542,#REF!,5,0),0)</f>
        <v>0</v>
      </c>
      <c r="V4542" s="1394">
        <f t="shared" si="1131"/>
        <v>0</v>
      </c>
      <c r="W4542" s="1394"/>
    </row>
    <row r="4543" spans="2:23" ht="30" customHeight="1">
      <c r="B4543" s="1405"/>
      <c r="C4543" s="1408" t="str">
        <f t="shared" si="1149"/>
        <v>B4 to F4</v>
      </c>
      <c r="D4543" s="1409">
        <f t="shared" si="1151"/>
        <v>1</v>
      </c>
      <c r="E4543" s="1409">
        <f t="shared" si="1151"/>
        <v>1</v>
      </c>
      <c r="F4543" s="1410">
        <f t="shared" si="1151"/>
        <v>6.8849999999999998</v>
      </c>
      <c r="G4543" s="1410">
        <f t="shared" si="1151"/>
        <v>0.23</v>
      </c>
      <c r="H4543" s="1411"/>
      <c r="I4543" s="1406">
        <f t="shared" si="1152"/>
        <v>1.58355</v>
      </c>
      <c r="J4543" s="1397"/>
      <c r="K4543" s="1397"/>
      <c r="Q4543" s="1394">
        <f>IFERROR(VLOOKUP(M4543,#REF!,3,0),0)</f>
        <v>0</v>
      </c>
      <c r="R4543" s="1394">
        <f t="shared" si="1146"/>
        <v>0</v>
      </c>
      <c r="S4543" s="1394">
        <f>IFERROR(VLOOKUP(M4543,#REF!,6,0),0)</f>
        <v>0</v>
      </c>
      <c r="T4543" s="1394">
        <f t="shared" si="1130"/>
        <v>0</v>
      </c>
      <c r="U4543" s="1394">
        <f>IFERROR(VLOOKUP(M4543,#REF!,5,0),0)</f>
        <v>0</v>
      </c>
      <c r="V4543" s="1394">
        <f t="shared" si="1131"/>
        <v>0</v>
      </c>
      <c r="W4543" s="1394"/>
    </row>
    <row r="4544" spans="2:23" ht="30" customHeight="1">
      <c r="B4544" s="1405"/>
      <c r="C4544" s="1408" t="str">
        <f t="shared" si="1149"/>
        <v>OTS Cross Beam</v>
      </c>
      <c r="D4544" s="1409">
        <f t="shared" si="1151"/>
        <v>1</v>
      </c>
      <c r="E4544" s="1409">
        <f t="shared" si="1151"/>
        <v>1</v>
      </c>
      <c r="F4544" s="1410">
        <f t="shared" si="1151"/>
        <v>4.2300000000000004</v>
      </c>
      <c r="G4544" s="1410">
        <f t="shared" si="1151"/>
        <v>0.23</v>
      </c>
      <c r="H4544" s="1411"/>
      <c r="I4544" s="1406">
        <f t="shared" si="1152"/>
        <v>0.9729000000000001</v>
      </c>
      <c r="Q4544" s="1394">
        <f>IFERROR(VLOOKUP(M4544,#REF!,3,0),0)</f>
        <v>0</v>
      </c>
      <c r="R4544" s="1394">
        <f t="shared" si="1146"/>
        <v>0</v>
      </c>
      <c r="S4544" s="1394">
        <f>IFERROR(VLOOKUP(M4544,#REF!,6,0),0)</f>
        <v>0</v>
      </c>
      <c r="T4544" s="1394">
        <f t="shared" si="1130"/>
        <v>0</v>
      </c>
      <c r="U4544" s="1394">
        <f>IFERROR(VLOOKUP(M4544,#REF!,5,0),0)</f>
        <v>0</v>
      </c>
      <c r="V4544" s="1394">
        <f t="shared" si="1131"/>
        <v>0</v>
      </c>
      <c r="W4544" s="1394"/>
    </row>
    <row r="4545" spans="2:23" ht="30" customHeight="1">
      <c r="B4545" s="1405"/>
      <c r="C4545" s="1408" t="str">
        <f t="shared" si="1149"/>
        <v>OTS Cross Beam</v>
      </c>
      <c r="D4545" s="1409">
        <f t="shared" si="1151"/>
        <v>1</v>
      </c>
      <c r="E4545" s="1409">
        <f t="shared" si="1151"/>
        <v>1</v>
      </c>
      <c r="F4545" s="1410">
        <f t="shared" si="1151"/>
        <v>3.9950000000000001</v>
      </c>
      <c r="G4545" s="1410">
        <f t="shared" si="1151"/>
        <v>0.23</v>
      </c>
      <c r="H4545" s="1411"/>
      <c r="I4545" s="1406">
        <f t="shared" si="1152"/>
        <v>0.91885000000000006</v>
      </c>
      <c r="Q4545" s="1394">
        <f>IFERROR(VLOOKUP(M4545,#REF!,3,0),0)</f>
        <v>0</v>
      </c>
      <c r="R4545" s="1394">
        <f t="shared" si="1146"/>
        <v>0</v>
      </c>
      <c r="S4545" s="1394">
        <f>IFERROR(VLOOKUP(M4545,#REF!,6,0),0)</f>
        <v>0</v>
      </c>
      <c r="T4545" s="1394">
        <f t="shared" si="1130"/>
        <v>0</v>
      </c>
      <c r="U4545" s="1394">
        <f>IFERROR(VLOOKUP(M4545,#REF!,5,0),0)</f>
        <v>0</v>
      </c>
      <c r="V4545" s="1394">
        <f t="shared" si="1131"/>
        <v>0</v>
      </c>
      <c r="W4545" s="1394"/>
    </row>
    <row r="4546" spans="2:23" ht="30" customHeight="1">
      <c r="B4546" s="1405"/>
      <c r="C4546" s="1408" t="str">
        <f t="shared" si="1149"/>
        <v>G3 to H3 , G5 to H5 , G6 to H6 &amp; G7 to H7</v>
      </c>
      <c r="D4546" s="1409">
        <f t="shared" si="1151"/>
        <v>1</v>
      </c>
      <c r="E4546" s="1409">
        <f t="shared" si="1151"/>
        <v>4</v>
      </c>
      <c r="F4546" s="1410">
        <f t="shared" si="1151"/>
        <v>3.9950000000000001</v>
      </c>
      <c r="G4546" s="1410">
        <f t="shared" si="1151"/>
        <v>0.23</v>
      </c>
      <c r="H4546" s="1411"/>
      <c r="I4546" s="1406">
        <f t="shared" si="1152"/>
        <v>3.6754000000000002</v>
      </c>
      <c r="Q4546" s="1394">
        <f>IFERROR(VLOOKUP(M4546,#REF!,3,0),0)</f>
        <v>0</v>
      </c>
      <c r="R4546" s="1394">
        <f t="shared" si="1146"/>
        <v>0</v>
      </c>
      <c r="S4546" s="1394">
        <f>IFERROR(VLOOKUP(M4546,#REF!,6,0),0)</f>
        <v>0</v>
      </c>
      <c r="T4546" s="1394">
        <f t="shared" si="1130"/>
        <v>0</v>
      </c>
      <c r="U4546" s="1394">
        <f>IFERROR(VLOOKUP(M4546,#REF!,5,0),0)</f>
        <v>0</v>
      </c>
      <c r="V4546" s="1394">
        <f t="shared" si="1131"/>
        <v>0</v>
      </c>
      <c r="W4546" s="1394"/>
    </row>
    <row r="4547" spans="2:23" ht="30" customHeight="1">
      <c r="B4547" s="1405"/>
      <c r="C4547" s="1408" t="str">
        <f t="shared" si="1149"/>
        <v>Cross beams</v>
      </c>
      <c r="D4547" s="1409">
        <f t="shared" si="1151"/>
        <v>1</v>
      </c>
      <c r="E4547" s="1409">
        <f t="shared" si="1151"/>
        <v>1</v>
      </c>
      <c r="F4547" s="1410">
        <f t="shared" si="1151"/>
        <v>1.7350000000000001</v>
      </c>
      <c r="G4547" s="1410">
        <f t="shared" si="1151"/>
        <v>0.23</v>
      </c>
      <c r="H4547" s="1411"/>
      <c r="I4547" s="1406">
        <f t="shared" si="1152"/>
        <v>0.39905000000000002</v>
      </c>
      <c r="Q4547" s="1394">
        <f>IFERROR(VLOOKUP(M4547,#REF!,3,0),0)</f>
        <v>0</v>
      </c>
      <c r="R4547" s="1394">
        <f t="shared" si="1146"/>
        <v>0</v>
      </c>
      <c r="S4547" s="1394">
        <f>IFERROR(VLOOKUP(M4547,#REF!,6,0),0)</f>
        <v>0</v>
      </c>
      <c r="T4547" s="1394">
        <f t="shared" ref="T4547:T4610" si="1153">R4547-S4547</f>
        <v>0</v>
      </c>
      <c r="U4547" s="1394">
        <f>IFERROR(VLOOKUP(M4547,#REF!,5,0),0)</f>
        <v>0</v>
      </c>
      <c r="V4547" s="1394">
        <f t="shared" ref="V4547:V4610" si="1154">O4547-U4547</f>
        <v>0</v>
      </c>
      <c r="W4547" s="1394"/>
    </row>
    <row r="4548" spans="2:23" ht="30" customHeight="1">
      <c r="B4548" s="1405"/>
      <c r="C4548" s="1408" t="str">
        <f t="shared" si="1149"/>
        <v>Cross beams</v>
      </c>
      <c r="D4548" s="1409">
        <f t="shared" si="1151"/>
        <v>1</v>
      </c>
      <c r="E4548" s="1409">
        <f t="shared" si="1151"/>
        <v>1</v>
      </c>
      <c r="F4548" s="1410">
        <f t="shared" si="1151"/>
        <v>3.7650000000000001</v>
      </c>
      <c r="G4548" s="1410">
        <f t="shared" si="1151"/>
        <v>0.23</v>
      </c>
      <c r="H4548" s="1411"/>
      <c r="I4548" s="1406">
        <f t="shared" si="1152"/>
        <v>0.86595000000000011</v>
      </c>
      <c r="Q4548" s="1394">
        <f>IFERROR(VLOOKUP(M4548,#REF!,3,0),0)</f>
        <v>0</v>
      </c>
      <c r="R4548" s="1394">
        <f t="shared" si="1146"/>
        <v>0</v>
      </c>
      <c r="S4548" s="1394">
        <f>IFERROR(VLOOKUP(M4548,#REF!,6,0),0)</f>
        <v>0</v>
      </c>
      <c r="T4548" s="1394">
        <f t="shared" si="1153"/>
        <v>0</v>
      </c>
      <c r="U4548" s="1394">
        <f>IFERROR(VLOOKUP(M4548,#REF!,5,0),0)</f>
        <v>0</v>
      </c>
      <c r="V4548" s="1394">
        <f t="shared" si="1154"/>
        <v>0</v>
      </c>
      <c r="W4548" s="1394"/>
    </row>
    <row r="4549" spans="2:23" ht="30" customHeight="1">
      <c r="B4549" s="1405"/>
      <c r="C4549" s="1408" t="str">
        <f t="shared" si="1149"/>
        <v>Vertical beam</v>
      </c>
      <c r="D4549" s="1409">
        <f t="shared" si="1151"/>
        <v>0</v>
      </c>
      <c r="E4549" s="1409">
        <f t="shared" si="1151"/>
        <v>0</v>
      </c>
      <c r="F4549" s="1410">
        <f t="shared" si="1151"/>
        <v>0</v>
      </c>
      <c r="G4549" s="1410">
        <f t="shared" si="1151"/>
        <v>0</v>
      </c>
      <c r="H4549" s="1411"/>
      <c r="I4549" s="1406">
        <f t="shared" si="1152"/>
        <v>0</v>
      </c>
      <c r="J4549" s="1396"/>
      <c r="K4549" s="1396"/>
      <c r="Q4549" s="1394">
        <f>IFERROR(VLOOKUP(M4549,#REF!,3,0),0)</f>
        <v>0</v>
      </c>
      <c r="R4549" s="1394">
        <f t="shared" si="1146"/>
        <v>0</v>
      </c>
      <c r="S4549" s="1394">
        <f>IFERROR(VLOOKUP(M4549,#REF!,6,0),0)</f>
        <v>0</v>
      </c>
      <c r="T4549" s="1394">
        <f t="shared" si="1153"/>
        <v>0</v>
      </c>
      <c r="U4549" s="1394">
        <f>IFERROR(VLOOKUP(M4549,#REF!,5,0),0)</f>
        <v>0</v>
      </c>
      <c r="V4549" s="1394">
        <f t="shared" si="1154"/>
        <v>0</v>
      </c>
      <c r="W4549" s="1394"/>
    </row>
    <row r="4550" spans="2:23" ht="30" customHeight="1">
      <c r="B4550" s="1405"/>
      <c r="C4550" s="1408" t="str">
        <f t="shared" si="1149"/>
        <v>A3 To A5</v>
      </c>
      <c r="D4550" s="1409">
        <f t="shared" si="1151"/>
        <v>1</v>
      </c>
      <c r="E4550" s="1409">
        <f t="shared" si="1151"/>
        <v>1</v>
      </c>
      <c r="F4550" s="1410">
        <f t="shared" si="1151"/>
        <v>5.5299999999999994</v>
      </c>
      <c r="G4550" s="1410">
        <f t="shared" si="1151"/>
        <v>0.23</v>
      </c>
      <c r="H4550" s="1411"/>
      <c r="I4550" s="1406">
        <f t="shared" si="1152"/>
        <v>1.2718999999999998</v>
      </c>
      <c r="Q4550" s="1394">
        <f>IFERROR(VLOOKUP(M4550,#REF!,3,0),0)</f>
        <v>0</v>
      </c>
      <c r="R4550" s="1394">
        <f t="shared" si="1146"/>
        <v>0</v>
      </c>
      <c r="S4550" s="1394">
        <f>IFERROR(VLOOKUP(M4550,#REF!,6,0),0)</f>
        <v>0</v>
      </c>
      <c r="T4550" s="1394">
        <f t="shared" si="1153"/>
        <v>0</v>
      </c>
      <c r="U4550" s="1394">
        <f>IFERROR(VLOOKUP(M4550,#REF!,5,0),0)</f>
        <v>0</v>
      </c>
      <c r="V4550" s="1394">
        <f t="shared" si="1154"/>
        <v>0</v>
      </c>
      <c r="W4550" s="1394"/>
    </row>
    <row r="4551" spans="2:23" ht="30" customHeight="1">
      <c r="B4551" s="1405"/>
      <c r="C4551" s="1408" t="str">
        <f t="shared" si="1149"/>
        <v>A5 To A8</v>
      </c>
      <c r="D4551" s="1409">
        <f t="shared" si="1151"/>
        <v>1</v>
      </c>
      <c r="E4551" s="1409">
        <f t="shared" si="1151"/>
        <v>1</v>
      </c>
      <c r="F4551" s="1410">
        <f t="shared" si="1151"/>
        <v>10.120000000000001</v>
      </c>
      <c r="G4551" s="1410">
        <f t="shared" si="1151"/>
        <v>0.23</v>
      </c>
      <c r="H4551" s="1411"/>
      <c r="I4551" s="1406">
        <f t="shared" si="1152"/>
        <v>2.3276000000000003</v>
      </c>
      <c r="Q4551" s="1394">
        <f>IFERROR(VLOOKUP(M4551,#REF!,3,0),0)</f>
        <v>0</v>
      </c>
      <c r="R4551" s="1394">
        <f t="shared" si="1146"/>
        <v>0</v>
      </c>
      <c r="S4551" s="1394">
        <f>IFERROR(VLOOKUP(M4551,#REF!,6,0),0)</f>
        <v>0</v>
      </c>
      <c r="T4551" s="1394">
        <f t="shared" si="1153"/>
        <v>0</v>
      </c>
      <c r="U4551" s="1394">
        <f>IFERROR(VLOOKUP(M4551,#REF!,5,0),0)</f>
        <v>0</v>
      </c>
      <c r="V4551" s="1394">
        <f t="shared" si="1154"/>
        <v>0</v>
      </c>
      <c r="W4551" s="1394"/>
    </row>
    <row r="4552" spans="2:23" ht="30" customHeight="1">
      <c r="B4552" s="1405"/>
      <c r="C4552" s="1408" t="str">
        <f t="shared" si="1149"/>
        <v>B3 To B8</v>
      </c>
      <c r="D4552" s="1409">
        <f t="shared" si="1151"/>
        <v>1</v>
      </c>
      <c r="E4552" s="1409">
        <f t="shared" si="1151"/>
        <v>1</v>
      </c>
      <c r="F4552" s="1410">
        <f t="shared" si="1151"/>
        <v>15.649999999999999</v>
      </c>
      <c r="G4552" s="1410">
        <f t="shared" si="1151"/>
        <v>0.23</v>
      </c>
      <c r="H4552" s="1411"/>
      <c r="I4552" s="1406">
        <f t="shared" si="1152"/>
        <v>3.5994999999999999</v>
      </c>
      <c r="Q4552" s="1394">
        <f>IFERROR(VLOOKUP(M4552,#REF!,3,0),0)</f>
        <v>0</v>
      </c>
      <c r="R4552" s="1394">
        <f t="shared" si="1146"/>
        <v>0</v>
      </c>
      <c r="S4552" s="1394">
        <f>IFERROR(VLOOKUP(M4552,#REF!,6,0),0)</f>
        <v>0</v>
      </c>
      <c r="T4552" s="1394">
        <f t="shared" si="1153"/>
        <v>0</v>
      </c>
      <c r="U4552" s="1394">
        <f>IFERROR(VLOOKUP(M4552,#REF!,5,0),0)</f>
        <v>0</v>
      </c>
      <c r="V4552" s="1394">
        <f t="shared" si="1154"/>
        <v>0</v>
      </c>
      <c r="W4552" s="1394"/>
    </row>
    <row r="4553" spans="2:23" ht="30" customHeight="1">
      <c r="B4553" s="1405"/>
      <c r="C4553" s="1408" t="str">
        <f t="shared" si="1149"/>
        <v>Cross beams</v>
      </c>
      <c r="D4553" s="1409">
        <f t="shared" si="1151"/>
        <v>1</v>
      </c>
      <c r="E4553" s="1409">
        <f t="shared" si="1151"/>
        <v>1</v>
      </c>
      <c r="F4553" s="1410">
        <f t="shared" si="1151"/>
        <v>4.13</v>
      </c>
      <c r="G4553" s="1410">
        <f t="shared" si="1151"/>
        <v>0.23</v>
      </c>
      <c r="H4553" s="1411"/>
      <c r="I4553" s="1406">
        <f t="shared" si="1152"/>
        <v>0.94989999999999997</v>
      </c>
      <c r="Q4553" s="1394">
        <f>IFERROR(VLOOKUP(M4553,#REF!,3,0),0)</f>
        <v>0</v>
      </c>
      <c r="R4553" s="1394">
        <f t="shared" si="1146"/>
        <v>0</v>
      </c>
      <c r="S4553" s="1394">
        <f>IFERROR(VLOOKUP(M4553,#REF!,6,0),0)</f>
        <v>0</v>
      </c>
      <c r="T4553" s="1394">
        <f t="shared" si="1153"/>
        <v>0</v>
      </c>
      <c r="U4553" s="1394">
        <f>IFERROR(VLOOKUP(M4553,#REF!,5,0),0)</f>
        <v>0</v>
      </c>
      <c r="V4553" s="1394">
        <f t="shared" si="1154"/>
        <v>0</v>
      </c>
      <c r="W4553" s="1394"/>
    </row>
    <row r="4554" spans="2:23" ht="30" customHeight="1">
      <c r="B4554" s="1405"/>
      <c r="C4554" s="1408" t="str">
        <f t="shared" si="1149"/>
        <v>Cross beams</v>
      </c>
      <c r="D4554" s="1409">
        <f t="shared" si="1151"/>
        <v>1</v>
      </c>
      <c r="E4554" s="1409">
        <f t="shared" si="1151"/>
        <v>1</v>
      </c>
      <c r="F4554" s="1410">
        <f t="shared" si="1151"/>
        <v>4.13</v>
      </c>
      <c r="G4554" s="1410">
        <f t="shared" si="1151"/>
        <v>0.23</v>
      </c>
      <c r="H4554" s="1411"/>
      <c r="I4554" s="1406">
        <f t="shared" si="1152"/>
        <v>0.94989999999999997</v>
      </c>
      <c r="Q4554" s="1394">
        <f>IFERROR(VLOOKUP(M4554,#REF!,3,0),0)</f>
        <v>0</v>
      </c>
      <c r="R4554" s="1394">
        <f t="shared" si="1146"/>
        <v>0</v>
      </c>
      <c r="S4554" s="1394">
        <f>IFERROR(VLOOKUP(M4554,#REF!,6,0),0)</f>
        <v>0</v>
      </c>
      <c r="T4554" s="1394">
        <f t="shared" si="1153"/>
        <v>0</v>
      </c>
      <c r="U4554" s="1394">
        <f>IFERROR(VLOOKUP(M4554,#REF!,5,0),0)</f>
        <v>0</v>
      </c>
      <c r="V4554" s="1394">
        <f t="shared" si="1154"/>
        <v>0</v>
      </c>
      <c r="W4554" s="1394"/>
    </row>
    <row r="4555" spans="2:23" ht="30" customHeight="1">
      <c r="B4555" s="1405"/>
      <c r="C4555" s="1408" t="str">
        <f t="shared" si="1149"/>
        <v>C4 to C5</v>
      </c>
      <c r="D4555" s="1409">
        <f t="shared" si="1151"/>
        <v>1</v>
      </c>
      <c r="E4555" s="1409">
        <f t="shared" si="1151"/>
        <v>1</v>
      </c>
      <c r="F4555" s="1410">
        <f t="shared" si="1151"/>
        <v>2.5299999999999998</v>
      </c>
      <c r="G4555" s="1410">
        <f t="shared" si="1151"/>
        <v>0.23</v>
      </c>
      <c r="H4555" s="1411"/>
      <c r="I4555" s="1406">
        <f t="shared" si="1152"/>
        <v>0.58189999999999997</v>
      </c>
      <c r="Q4555" s="1394">
        <f>IFERROR(VLOOKUP(M4555,#REF!,3,0),0)</f>
        <v>0</v>
      </c>
      <c r="R4555" s="1394">
        <f t="shared" si="1146"/>
        <v>0</v>
      </c>
      <c r="S4555" s="1394">
        <f>IFERROR(VLOOKUP(M4555,#REF!,6,0),0)</f>
        <v>0</v>
      </c>
      <c r="T4555" s="1394">
        <f t="shared" si="1153"/>
        <v>0</v>
      </c>
      <c r="U4555" s="1394">
        <f>IFERROR(VLOOKUP(M4555,#REF!,5,0),0)</f>
        <v>0</v>
      </c>
      <c r="V4555" s="1394">
        <f t="shared" si="1154"/>
        <v>0</v>
      </c>
      <c r="W4555" s="1394"/>
    </row>
    <row r="4556" spans="2:23" ht="30" customHeight="1">
      <c r="B4556" s="1405"/>
      <c r="C4556" s="1408" t="str">
        <f t="shared" si="1149"/>
        <v xml:space="preserve">C5 to C7 &amp; F5 to F7 </v>
      </c>
      <c r="D4556" s="1409">
        <f t="shared" si="1151"/>
        <v>1</v>
      </c>
      <c r="E4556" s="1409">
        <f t="shared" si="1151"/>
        <v>2</v>
      </c>
      <c r="F4556" s="1410">
        <f t="shared" si="1151"/>
        <v>5.99</v>
      </c>
      <c r="G4556" s="1410">
        <f t="shared" si="1151"/>
        <v>0.23</v>
      </c>
      <c r="H4556" s="1411"/>
      <c r="I4556" s="1406">
        <f t="shared" si="1152"/>
        <v>2.7554000000000003</v>
      </c>
      <c r="Q4556" s="1394">
        <f>IFERROR(VLOOKUP(M4556,#REF!,3,0),0)</f>
        <v>0</v>
      </c>
      <c r="R4556" s="1394">
        <f t="shared" si="1146"/>
        <v>0</v>
      </c>
      <c r="S4556" s="1394">
        <f>IFERROR(VLOOKUP(M4556,#REF!,6,0),0)</f>
        <v>0</v>
      </c>
      <c r="T4556" s="1394">
        <f t="shared" si="1153"/>
        <v>0</v>
      </c>
      <c r="U4556" s="1394">
        <f>IFERROR(VLOOKUP(M4556,#REF!,5,0),0)</f>
        <v>0</v>
      </c>
      <c r="V4556" s="1394">
        <f t="shared" si="1154"/>
        <v>0</v>
      </c>
      <c r="W4556" s="1394"/>
    </row>
    <row r="4557" spans="2:23" ht="30" customHeight="1">
      <c r="B4557" s="1405"/>
      <c r="C4557" s="1408" t="str">
        <f t="shared" si="1149"/>
        <v>F3 to F5</v>
      </c>
      <c r="D4557" s="1409">
        <f t="shared" si="1151"/>
        <v>1</v>
      </c>
      <c r="E4557" s="1409">
        <f t="shared" si="1151"/>
        <v>1</v>
      </c>
      <c r="F4557" s="1410">
        <f t="shared" si="1151"/>
        <v>5.5299999999999994</v>
      </c>
      <c r="G4557" s="1410">
        <f t="shared" si="1151"/>
        <v>0.23</v>
      </c>
      <c r="H4557" s="1411"/>
      <c r="I4557" s="1406">
        <f t="shared" si="1152"/>
        <v>1.2718999999999998</v>
      </c>
      <c r="Q4557" s="1394">
        <f>IFERROR(VLOOKUP(M4557,#REF!,3,0),0)</f>
        <v>0</v>
      </c>
      <c r="R4557" s="1394">
        <f t="shared" si="1146"/>
        <v>0</v>
      </c>
      <c r="S4557" s="1394">
        <f>IFERROR(VLOOKUP(M4557,#REF!,6,0),0)</f>
        <v>0</v>
      </c>
      <c r="T4557" s="1394">
        <f t="shared" si="1153"/>
        <v>0</v>
      </c>
      <c r="U4557" s="1394">
        <f>IFERROR(VLOOKUP(M4557,#REF!,5,0),0)</f>
        <v>0</v>
      </c>
      <c r="V4557" s="1394">
        <f t="shared" si="1154"/>
        <v>0</v>
      </c>
      <c r="W4557" s="1394"/>
    </row>
    <row r="4558" spans="2:23" ht="30" customHeight="1">
      <c r="B4558" s="1405"/>
      <c r="C4558" s="1408" t="str">
        <f t="shared" si="1149"/>
        <v>E7 to E8</v>
      </c>
      <c r="D4558" s="1409">
        <f t="shared" si="1151"/>
        <v>1</v>
      </c>
      <c r="E4558" s="1409">
        <f t="shared" si="1151"/>
        <v>1</v>
      </c>
      <c r="F4558" s="1410">
        <f t="shared" si="1151"/>
        <v>4.13</v>
      </c>
      <c r="G4558" s="1410">
        <f t="shared" si="1151"/>
        <v>0.23</v>
      </c>
      <c r="H4558" s="1411"/>
      <c r="I4558" s="1406">
        <f t="shared" si="1152"/>
        <v>0.94989999999999997</v>
      </c>
      <c r="Q4558" s="1394">
        <f>IFERROR(VLOOKUP(M4558,#REF!,3,0),0)</f>
        <v>0</v>
      </c>
      <c r="R4558" s="1394">
        <f t="shared" si="1146"/>
        <v>0</v>
      </c>
      <c r="S4558" s="1394">
        <f>IFERROR(VLOOKUP(M4558,#REF!,6,0),0)</f>
        <v>0</v>
      </c>
      <c r="T4558" s="1394">
        <f t="shared" si="1153"/>
        <v>0</v>
      </c>
      <c r="U4558" s="1394">
        <f>IFERROR(VLOOKUP(M4558,#REF!,5,0),0)</f>
        <v>0</v>
      </c>
      <c r="V4558" s="1394">
        <f t="shared" si="1154"/>
        <v>0</v>
      </c>
      <c r="W4558" s="1394"/>
    </row>
    <row r="4559" spans="2:23" ht="30" customHeight="1">
      <c r="B4559" s="1405"/>
      <c r="C4559" s="1408" t="str">
        <f t="shared" si="1149"/>
        <v>G3 to G7</v>
      </c>
      <c r="D4559" s="1409">
        <f t="shared" si="1151"/>
        <v>1</v>
      </c>
      <c r="E4559" s="1409">
        <f t="shared" si="1151"/>
        <v>1</v>
      </c>
      <c r="F4559" s="1410">
        <f t="shared" si="1151"/>
        <v>11.52</v>
      </c>
      <c r="G4559" s="1410">
        <f t="shared" si="1151"/>
        <v>0.23</v>
      </c>
      <c r="H4559" s="1411"/>
      <c r="I4559" s="1406">
        <f t="shared" si="1152"/>
        <v>2.6496</v>
      </c>
      <c r="Q4559" s="1394">
        <f>IFERROR(VLOOKUP(M4559,#REF!,3,0),0)</f>
        <v>0</v>
      </c>
      <c r="R4559" s="1394">
        <f t="shared" si="1146"/>
        <v>0</v>
      </c>
      <c r="S4559" s="1394">
        <f>IFERROR(VLOOKUP(M4559,#REF!,6,0),0)</f>
        <v>0</v>
      </c>
      <c r="T4559" s="1394">
        <f t="shared" si="1153"/>
        <v>0</v>
      </c>
      <c r="U4559" s="1394">
        <f>IFERROR(VLOOKUP(M4559,#REF!,5,0),0)</f>
        <v>0</v>
      </c>
      <c r="V4559" s="1394">
        <f t="shared" si="1154"/>
        <v>0</v>
      </c>
      <c r="W4559" s="1394"/>
    </row>
    <row r="4560" spans="2:23" ht="30" customHeight="1">
      <c r="B4560" s="1405"/>
      <c r="C4560" s="1408" t="str">
        <f t="shared" si="1149"/>
        <v>G7 to G8</v>
      </c>
      <c r="D4560" s="1409">
        <f t="shared" si="1151"/>
        <v>1</v>
      </c>
      <c r="E4560" s="1409">
        <f t="shared" si="1151"/>
        <v>1</v>
      </c>
      <c r="F4560" s="1410">
        <f t="shared" si="1151"/>
        <v>4.13</v>
      </c>
      <c r="G4560" s="1410">
        <f t="shared" si="1151"/>
        <v>0.23</v>
      </c>
      <c r="H4560" s="1411"/>
      <c r="I4560" s="1406">
        <f t="shared" si="1152"/>
        <v>0.94989999999999997</v>
      </c>
      <c r="L4560" s="1413"/>
      <c r="O4560" s="1395"/>
      <c r="Q4560" s="1394">
        <f>IFERROR(VLOOKUP(M4560,#REF!,3,0),0)</f>
        <v>0</v>
      </c>
      <c r="R4560" s="1394">
        <f t="shared" si="1146"/>
        <v>0</v>
      </c>
      <c r="S4560" s="1394">
        <f>IFERROR(VLOOKUP(M4560,#REF!,6,0),0)</f>
        <v>0</v>
      </c>
      <c r="T4560" s="1394">
        <f t="shared" si="1153"/>
        <v>0</v>
      </c>
      <c r="U4560" s="1394">
        <f>IFERROR(VLOOKUP(M4560,#REF!,5,0),0)</f>
        <v>0</v>
      </c>
      <c r="V4560" s="1394">
        <f t="shared" si="1154"/>
        <v>0</v>
      </c>
      <c r="W4560" s="1394"/>
    </row>
    <row r="4561" spans="2:23" ht="30" customHeight="1">
      <c r="B4561" s="1405"/>
      <c r="C4561" s="1408" t="str">
        <f t="shared" si="1149"/>
        <v>H3 To H8</v>
      </c>
      <c r="D4561" s="1409">
        <f t="shared" si="1151"/>
        <v>1</v>
      </c>
      <c r="E4561" s="1409">
        <f t="shared" si="1151"/>
        <v>1</v>
      </c>
      <c r="F4561" s="1410">
        <f t="shared" si="1151"/>
        <v>15.649999999999999</v>
      </c>
      <c r="G4561" s="1410">
        <f t="shared" si="1151"/>
        <v>0.23</v>
      </c>
      <c r="H4561" s="1411"/>
      <c r="I4561" s="1406">
        <f t="shared" si="1152"/>
        <v>3.5994999999999999</v>
      </c>
      <c r="L4561" s="1413"/>
      <c r="O4561" s="1395"/>
      <c r="Q4561" s="1394">
        <f>IFERROR(VLOOKUP(M4561,#REF!,3,0),0)</f>
        <v>0</v>
      </c>
      <c r="R4561" s="1394">
        <f t="shared" si="1146"/>
        <v>0</v>
      </c>
      <c r="S4561" s="1394">
        <f>IFERROR(VLOOKUP(M4561,#REF!,6,0),0)</f>
        <v>0</v>
      </c>
      <c r="T4561" s="1394">
        <f t="shared" si="1153"/>
        <v>0</v>
      </c>
      <c r="U4561" s="1394">
        <f>IFERROR(VLOOKUP(M4561,#REF!,5,0),0)</f>
        <v>0</v>
      </c>
      <c r="V4561" s="1394">
        <f t="shared" si="1154"/>
        <v>0</v>
      </c>
      <c r="W4561" s="1394"/>
    </row>
    <row r="4562" spans="2:23" ht="30" customHeight="1">
      <c r="B4562" s="1405"/>
      <c r="C4562" s="1408" t="str">
        <f t="shared" si="1149"/>
        <v>Cross beams</v>
      </c>
      <c r="D4562" s="1409">
        <f t="shared" si="1151"/>
        <v>1</v>
      </c>
      <c r="E4562" s="1409">
        <f t="shared" si="1151"/>
        <v>1</v>
      </c>
      <c r="F4562" s="1410">
        <f t="shared" si="1151"/>
        <v>2.77</v>
      </c>
      <c r="G4562" s="1410">
        <f t="shared" si="1151"/>
        <v>0.23</v>
      </c>
      <c r="H4562" s="1411"/>
      <c r="I4562" s="1406">
        <f t="shared" ref="I4562" si="1155">PRODUCT(D4562:H4562)</f>
        <v>0.6371</v>
      </c>
      <c r="L4562" s="1413"/>
      <c r="O4562" s="1395"/>
      <c r="Q4562" s="1394">
        <f>IFERROR(VLOOKUP(M4562,#REF!,3,0),0)</f>
        <v>0</v>
      </c>
      <c r="R4562" s="1394">
        <f t="shared" si="1146"/>
        <v>0</v>
      </c>
      <c r="S4562" s="1394">
        <f>IFERROR(VLOOKUP(M4562,#REF!,6,0),0)</f>
        <v>0</v>
      </c>
      <c r="T4562" s="1394">
        <f t="shared" si="1153"/>
        <v>0</v>
      </c>
      <c r="U4562" s="1394">
        <f>IFERROR(VLOOKUP(M4562,#REF!,5,0),0)</f>
        <v>0</v>
      </c>
      <c r="V4562" s="1394">
        <f t="shared" si="1154"/>
        <v>0</v>
      </c>
      <c r="W4562" s="1394"/>
    </row>
    <row r="4563" spans="2:23" ht="30" customHeight="1">
      <c r="B4563" s="1405"/>
      <c r="C4563" s="1408"/>
      <c r="D4563" s="1409"/>
      <c r="E4563" s="1409"/>
      <c r="F4563" s="1410"/>
      <c r="G4563" s="1410"/>
      <c r="H4563" s="1411"/>
      <c r="I4563" s="1406"/>
      <c r="Q4563" s="1394">
        <f>IFERROR(VLOOKUP(M4563,#REF!,3,0),0)</f>
        <v>0</v>
      </c>
      <c r="R4563" s="1394">
        <f t="shared" si="1146"/>
        <v>0</v>
      </c>
      <c r="S4563" s="1394">
        <f>IFERROR(VLOOKUP(M4563,#REF!,6,0),0)</f>
        <v>0</v>
      </c>
      <c r="T4563" s="1394">
        <f t="shared" si="1153"/>
        <v>0</v>
      </c>
      <c r="U4563" s="1394">
        <f>IFERROR(VLOOKUP(M4563,#REF!,5,0),0)</f>
        <v>0</v>
      </c>
      <c r="V4563" s="1394">
        <f t="shared" si="1154"/>
        <v>0</v>
      </c>
      <c r="W4563" s="1394"/>
    </row>
    <row r="4564" spans="2:23" ht="30" customHeight="1">
      <c r="B4564" s="1405"/>
      <c r="C4564" s="1408"/>
      <c r="D4564" s="1409"/>
      <c r="E4564" s="1409"/>
      <c r="F4564" s="1410"/>
      <c r="G4564" s="1410"/>
      <c r="H4564" s="1411"/>
      <c r="I4564" s="1406"/>
      <c r="Q4564" s="1394">
        <f>IFERROR(VLOOKUP(M4564,#REF!,3,0),0)</f>
        <v>0</v>
      </c>
      <c r="R4564" s="1394">
        <f t="shared" si="1146"/>
        <v>0</v>
      </c>
      <c r="S4564" s="1394">
        <f>IFERROR(VLOOKUP(M4564,#REF!,6,0),0)</f>
        <v>0</v>
      </c>
      <c r="T4564" s="1394">
        <f t="shared" si="1153"/>
        <v>0</v>
      </c>
      <c r="U4564" s="1394">
        <f>IFERROR(VLOOKUP(M4564,#REF!,5,0),0)</f>
        <v>0</v>
      </c>
      <c r="V4564" s="1394">
        <f t="shared" si="1154"/>
        <v>0</v>
      </c>
      <c r="W4564" s="1394"/>
    </row>
    <row r="4565" spans="2:23" ht="30" customHeight="1">
      <c r="B4565" s="1405"/>
      <c r="C4565" s="1408" t="str">
        <f t="shared" ref="C4565:H4565" si="1156">C1177</f>
        <v>Roof Slab</v>
      </c>
      <c r="D4565" s="1409">
        <f t="shared" si="1156"/>
        <v>0</v>
      </c>
      <c r="E4565" s="1409">
        <f t="shared" si="1156"/>
        <v>0</v>
      </c>
      <c r="F4565" s="1410">
        <f t="shared" si="1156"/>
        <v>0</v>
      </c>
      <c r="G4565" s="1410">
        <f t="shared" si="1156"/>
        <v>0</v>
      </c>
      <c r="H4565" s="1411">
        <f t="shared" si="1156"/>
        <v>0</v>
      </c>
      <c r="I4565" s="1406">
        <f t="shared" si="1136"/>
        <v>0</v>
      </c>
      <c r="M4565" s="110"/>
      <c r="Q4565" s="1394">
        <f>IFERROR(VLOOKUP(M4565,#REF!,3,0),0)</f>
        <v>0</v>
      </c>
      <c r="R4565" s="1394">
        <f t="shared" si="1146"/>
        <v>0</v>
      </c>
      <c r="S4565" s="1394">
        <f>IFERROR(VLOOKUP(M4565,#REF!,6,0),0)</f>
        <v>0</v>
      </c>
      <c r="T4565" s="1394">
        <f t="shared" si="1153"/>
        <v>0</v>
      </c>
      <c r="U4565" s="1394">
        <f>IFERROR(VLOOKUP(M4565,#REF!,5,0),0)</f>
        <v>0</v>
      </c>
      <c r="V4565" s="1394">
        <f t="shared" si="1154"/>
        <v>0</v>
      </c>
      <c r="W4565" s="1394"/>
    </row>
    <row r="4566" spans="2:23" ht="30" customHeight="1">
      <c r="B4566" s="1405"/>
      <c r="C4566" s="1415" t="str">
        <f t="shared" ref="C4566:G4575" si="1157">C1178</f>
        <v>Men Rest Room</v>
      </c>
      <c r="D4566" s="1409">
        <f t="shared" si="1157"/>
        <v>1</v>
      </c>
      <c r="E4566" s="1409">
        <f t="shared" si="1157"/>
        <v>1</v>
      </c>
      <c r="F4566" s="1410">
        <f t="shared" si="1157"/>
        <v>4</v>
      </c>
      <c r="G4566" s="1410">
        <f t="shared" si="1157"/>
        <v>5.0999999999999996</v>
      </c>
      <c r="H4566" s="1411"/>
      <c r="I4566" s="1406">
        <f t="shared" si="1136"/>
        <v>20.399999999999999</v>
      </c>
      <c r="M4566" s="110"/>
      <c r="Q4566" s="1394">
        <f>IFERROR(VLOOKUP(M4566,#REF!,3,0),0)</f>
        <v>0</v>
      </c>
      <c r="R4566" s="1394">
        <f t="shared" si="1146"/>
        <v>0</v>
      </c>
      <c r="S4566" s="1394">
        <f>IFERROR(VLOOKUP(M4566,#REF!,6,0),0)</f>
        <v>0</v>
      </c>
      <c r="T4566" s="1394">
        <f t="shared" si="1153"/>
        <v>0</v>
      </c>
      <c r="U4566" s="1394">
        <f>IFERROR(VLOOKUP(M4566,#REF!,5,0),0)</f>
        <v>0</v>
      </c>
      <c r="V4566" s="1394">
        <f t="shared" si="1154"/>
        <v>0</v>
      </c>
      <c r="W4566" s="1394"/>
    </row>
    <row r="4567" spans="2:23" ht="30" customHeight="1">
      <c r="B4567" s="1405"/>
      <c r="C4567" s="1482" t="str">
        <f t="shared" si="1157"/>
        <v>Men Rest Room Toilet</v>
      </c>
      <c r="D4567" s="1409">
        <f t="shared" si="1157"/>
        <v>1</v>
      </c>
      <c r="E4567" s="1409">
        <f t="shared" si="1157"/>
        <v>1</v>
      </c>
      <c r="F4567" s="1410">
        <f t="shared" si="1157"/>
        <v>4</v>
      </c>
      <c r="G4567" s="1410">
        <f t="shared" si="1157"/>
        <v>1.5</v>
      </c>
      <c r="H4567" s="1410"/>
      <c r="I4567" s="1406">
        <f t="shared" si="1136"/>
        <v>6</v>
      </c>
      <c r="M4567" s="110"/>
      <c r="Q4567" s="1394">
        <f>IFERROR(VLOOKUP(M4567,#REF!,3,0),0)</f>
        <v>0</v>
      </c>
      <c r="R4567" s="1394">
        <f t="shared" si="1146"/>
        <v>0</v>
      </c>
      <c r="S4567" s="1394">
        <f>IFERROR(VLOOKUP(M4567,#REF!,6,0),0)</f>
        <v>0</v>
      </c>
      <c r="T4567" s="1394">
        <f t="shared" si="1153"/>
        <v>0</v>
      </c>
      <c r="U4567" s="1394">
        <f>IFERROR(VLOOKUP(M4567,#REF!,5,0),0)</f>
        <v>0</v>
      </c>
      <c r="V4567" s="1394">
        <f t="shared" si="1154"/>
        <v>0</v>
      </c>
      <c r="W4567" s="1394"/>
    </row>
    <row r="4568" spans="2:23" ht="30" customHeight="1">
      <c r="B4568" s="1405"/>
      <c r="C4568" s="1482" t="str">
        <f t="shared" si="1157"/>
        <v>Store</v>
      </c>
      <c r="D4568" s="1409">
        <f t="shared" si="1157"/>
        <v>1</v>
      </c>
      <c r="E4568" s="1409">
        <f t="shared" si="1157"/>
        <v>1</v>
      </c>
      <c r="F4568" s="1410">
        <f t="shared" si="1157"/>
        <v>4</v>
      </c>
      <c r="G4568" s="1410">
        <f t="shared" si="1157"/>
        <v>2.5</v>
      </c>
      <c r="H4568" s="1410"/>
      <c r="I4568" s="1406">
        <f t="shared" si="1136"/>
        <v>10</v>
      </c>
      <c r="M4568" s="110"/>
      <c r="Q4568" s="1394">
        <f>IFERROR(VLOOKUP(M4568,#REF!,3,0),0)</f>
        <v>0</v>
      </c>
      <c r="R4568" s="1394">
        <f t="shared" si="1146"/>
        <v>0</v>
      </c>
      <c r="S4568" s="1394">
        <f>IFERROR(VLOOKUP(M4568,#REF!,6,0),0)</f>
        <v>0</v>
      </c>
      <c r="T4568" s="1394">
        <f t="shared" si="1153"/>
        <v>0</v>
      </c>
      <c r="U4568" s="1394">
        <f>IFERROR(VLOOKUP(M4568,#REF!,5,0),0)</f>
        <v>0</v>
      </c>
      <c r="V4568" s="1394">
        <f t="shared" si="1154"/>
        <v>0</v>
      </c>
      <c r="W4568" s="1394"/>
    </row>
    <row r="4569" spans="2:23" ht="30" customHeight="1">
      <c r="B4569" s="1405"/>
      <c r="C4569" s="1482" t="str">
        <f t="shared" si="1157"/>
        <v>Meeting Hall</v>
      </c>
      <c r="D4569" s="1409">
        <f t="shared" si="1157"/>
        <v>1</v>
      </c>
      <c r="E4569" s="1409">
        <f t="shared" si="1157"/>
        <v>1</v>
      </c>
      <c r="F4569" s="1410">
        <f t="shared" si="1157"/>
        <v>4</v>
      </c>
      <c r="G4569" s="1410">
        <f t="shared" si="1157"/>
        <v>3.9</v>
      </c>
      <c r="H4569" s="1410"/>
      <c r="I4569" s="1406">
        <f t="shared" si="1136"/>
        <v>15.6</v>
      </c>
      <c r="M4569" s="110"/>
      <c r="Q4569" s="1394">
        <f>IFERROR(VLOOKUP(M4569,#REF!,3,0),0)</f>
        <v>0</v>
      </c>
      <c r="R4569" s="1394">
        <f t="shared" si="1146"/>
        <v>0</v>
      </c>
      <c r="S4569" s="1394">
        <f>IFERROR(VLOOKUP(M4569,#REF!,6,0),0)</f>
        <v>0</v>
      </c>
      <c r="T4569" s="1394">
        <f t="shared" si="1153"/>
        <v>0</v>
      </c>
      <c r="U4569" s="1394">
        <f>IFERROR(VLOOKUP(M4569,#REF!,5,0),0)</f>
        <v>0</v>
      </c>
      <c r="V4569" s="1394">
        <f t="shared" si="1154"/>
        <v>0</v>
      </c>
      <c r="W4569" s="1394"/>
    </row>
    <row r="4570" spans="2:23" ht="30" customHeight="1">
      <c r="B4570" s="1405"/>
      <c r="C4570" s="1482" t="str">
        <f t="shared" si="1157"/>
        <v>Meeting Hall</v>
      </c>
      <c r="D4570" s="1409">
        <f t="shared" si="1157"/>
        <v>1</v>
      </c>
      <c r="E4570" s="1409">
        <f t="shared" si="1157"/>
        <v>1</v>
      </c>
      <c r="F4570" s="1410">
        <f t="shared" si="1157"/>
        <v>1.5</v>
      </c>
      <c r="G4570" s="1410">
        <f t="shared" si="1157"/>
        <v>3.9</v>
      </c>
      <c r="H4570" s="1410"/>
      <c r="I4570" s="1406">
        <f t="shared" si="1136"/>
        <v>5.85</v>
      </c>
      <c r="M4570" s="110"/>
      <c r="Q4570" s="1394">
        <f>IFERROR(VLOOKUP(M4570,#REF!,3,0),0)</f>
        <v>0</v>
      </c>
      <c r="R4570" s="1394">
        <f t="shared" si="1146"/>
        <v>0</v>
      </c>
      <c r="S4570" s="1394">
        <f>IFERROR(VLOOKUP(M4570,#REF!,6,0),0)</f>
        <v>0</v>
      </c>
      <c r="T4570" s="1394">
        <f t="shared" si="1153"/>
        <v>0</v>
      </c>
      <c r="U4570" s="1394">
        <f>IFERROR(VLOOKUP(M4570,#REF!,5,0),0)</f>
        <v>0</v>
      </c>
      <c r="V4570" s="1394">
        <f t="shared" si="1154"/>
        <v>0</v>
      </c>
      <c r="W4570" s="1394"/>
    </row>
    <row r="4571" spans="2:23" ht="30" customHeight="1">
      <c r="B4571" s="1405"/>
      <c r="C4571" s="1482" t="str">
        <f t="shared" si="1157"/>
        <v>Meeting Hall</v>
      </c>
      <c r="D4571" s="1409">
        <f t="shared" si="1157"/>
        <v>1</v>
      </c>
      <c r="E4571" s="1409">
        <f t="shared" si="1157"/>
        <v>1</v>
      </c>
      <c r="F4571" s="1410">
        <f t="shared" si="1157"/>
        <v>3.6949999999999998</v>
      </c>
      <c r="G4571" s="1410">
        <f t="shared" si="1157"/>
        <v>3.9</v>
      </c>
      <c r="H4571" s="1410"/>
      <c r="I4571" s="1406">
        <f t="shared" si="1136"/>
        <v>14.410499999999999</v>
      </c>
      <c r="M4571" s="110"/>
      <c r="Q4571" s="1394">
        <f>IFERROR(VLOOKUP(M4571,#REF!,3,0),0)</f>
        <v>0</v>
      </c>
      <c r="R4571" s="1394">
        <f t="shared" si="1146"/>
        <v>0</v>
      </c>
      <c r="S4571" s="1394">
        <f>IFERROR(VLOOKUP(M4571,#REF!,6,0),0)</f>
        <v>0</v>
      </c>
      <c r="T4571" s="1394">
        <f t="shared" si="1153"/>
        <v>0</v>
      </c>
      <c r="U4571" s="1394">
        <f>IFERROR(VLOOKUP(M4571,#REF!,5,0),0)</f>
        <v>0</v>
      </c>
      <c r="V4571" s="1394">
        <f t="shared" si="1154"/>
        <v>0</v>
      </c>
      <c r="W4571" s="1394"/>
    </row>
    <row r="4572" spans="2:23" ht="30" customHeight="1">
      <c r="B4572" s="1405"/>
      <c r="C4572" s="1482" t="str">
        <f t="shared" si="1157"/>
        <v>Men Rest Room</v>
      </c>
      <c r="D4572" s="1409">
        <f t="shared" si="1157"/>
        <v>1</v>
      </c>
      <c r="E4572" s="1409">
        <f t="shared" si="1157"/>
        <v>1</v>
      </c>
      <c r="F4572" s="1410">
        <f t="shared" si="1157"/>
        <v>2.5</v>
      </c>
      <c r="G4572" s="1410">
        <f t="shared" si="1157"/>
        <v>3.9</v>
      </c>
      <c r="H4572" s="1410"/>
      <c r="I4572" s="1406">
        <f t="shared" si="1136"/>
        <v>9.75</v>
      </c>
      <c r="M4572" s="110"/>
      <c r="Q4572" s="1394">
        <f>IFERROR(VLOOKUP(M4572,#REF!,3,0),0)</f>
        <v>0</v>
      </c>
      <c r="R4572" s="1394">
        <f t="shared" si="1146"/>
        <v>0</v>
      </c>
      <c r="S4572" s="1394">
        <f>IFERROR(VLOOKUP(M4572,#REF!,6,0),0)</f>
        <v>0</v>
      </c>
      <c r="T4572" s="1394">
        <f t="shared" si="1153"/>
        <v>0</v>
      </c>
      <c r="U4572" s="1394">
        <f>IFERROR(VLOOKUP(M4572,#REF!,5,0),0)</f>
        <v>0</v>
      </c>
      <c r="V4572" s="1394">
        <f t="shared" si="1154"/>
        <v>0</v>
      </c>
      <c r="W4572" s="1394"/>
    </row>
    <row r="4573" spans="2:23" ht="30" customHeight="1">
      <c r="B4573" s="1405"/>
      <c r="C4573" s="1482" t="str">
        <f t="shared" si="1157"/>
        <v>Men Rest Room</v>
      </c>
      <c r="D4573" s="1409">
        <f t="shared" si="1157"/>
        <v>1</v>
      </c>
      <c r="E4573" s="1409">
        <f t="shared" si="1157"/>
        <v>1</v>
      </c>
      <c r="F4573" s="1410">
        <f t="shared" si="1157"/>
        <v>1.7350000000000001</v>
      </c>
      <c r="G4573" s="1410">
        <f t="shared" si="1157"/>
        <v>2.3199999999999998</v>
      </c>
      <c r="H4573" s="1410"/>
      <c r="I4573" s="1406">
        <f t="shared" si="1136"/>
        <v>4.0251999999999999</v>
      </c>
      <c r="M4573" s="110"/>
      <c r="Q4573" s="1394">
        <f>IFERROR(VLOOKUP(M4573,#REF!,3,0),0)</f>
        <v>0</v>
      </c>
      <c r="R4573" s="1394">
        <f t="shared" si="1146"/>
        <v>0</v>
      </c>
      <c r="S4573" s="1394">
        <f>IFERROR(VLOOKUP(M4573,#REF!,6,0),0)</f>
        <v>0</v>
      </c>
      <c r="T4573" s="1394">
        <f t="shared" si="1153"/>
        <v>0</v>
      </c>
      <c r="U4573" s="1394">
        <f>IFERROR(VLOOKUP(M4573,#REF!,5,0),0)</f>
        <v>0</v>
      </c>
      <c r="V4573" s="1394">
        <f t="shared" si="1154"/>
        <v>0</v>
      </c>
      <c r="W4573" s="1394"/>
    </row>
    <row r="4574" spans="2:23" ht="30" customHeight="1">
      <c r="B4574" s="1405"/>
      <c r="C4574" s="1482" t="str">
        <f t="shared" si="1157"/>
        <v>Men Rest Room Toilet</v>
      </c>
      <c r="D4574" s="1409">
        <f t="shared" si="1157"/>
        <v>1</v>
      </c>
      <c r="E4574" s="1409">
        <f t="shared" si="1157"/>
        <v>1</v>
      </c>
      <c r="F4574" s="1410">
        <f t="shared" si="1157"/>
        <v>1.7350000000000001</v>
      </c>
      <c r="G4574" s="1410">
        <f t="shared" si="1157"/>
        <v>1.35</v>
      </c>
      <c r="H4574" s="1410"/>
      <c r="I4574" s="1406">
        <f t="shared" si="1136"/>
        <v>2.3422500000000004</v>
      </c>
      <c r="M4574" s="110"/>
      <c r="Q4574" s="1394">
        <f>IFERROR(VLOOKUP(M4574,#REF!,3,0),0)</f>
        <v>0</v>
      </c>
      <c r="R4574" s="1394">
        <f t="shared" si="1146"/>
        <v>0</v>
      </c>
      <c r="S4574" s="1394">
        <f>IFERROR(VLOOKUP(M4574,#REF!,6,0),0)</f>
        <v>0</v>
      </c>
      <c r="T4574" s="1394">
        <f t="shared" si="1153"/>
        <v>0</v>
      </c>
      <c r="U4574" s="1394">
        <f>IFERROR(VLOOKUP(M4574,#REF!,5,0),0)</f>
        <v>0</v>
      </c>
      <c r="V4574" s="1394">
        <f t="shared" si="1154"/>
        <v>0</v>
      </c>
      <c r="W4574" s="1394"/>
    </row>
    <row r="4575" spans="2:23" ht="30" customHeight="1">
      <c r="B4575" s="1405"/>
      <c r="C4575" s="1482" t="str">
        <f t="shared" si="1157"/>
        <v>Men Rest Room Toilet</v>
      </c>
      <c r="D4575" s="1409">
        <f t="shared" si="1157"/>
        <v>1</v>
      </c>
      <c r="E4575" s="1409">
        <f t="shared" si="1157"/>
        <v>1</v>
      </c>
      <c r="F4575" s="1410">
        <f t="shared" si="1157"/>
        <v>3.7650000000000001</v>
      </c>
      <c r="G4575" s="1410">
        <f t="shared" si="1157"/>
        <v>2.4350000000000001</v>
      </c>
      <c r="H4575" s="1410"/>
      <c r="I4575" s="1406">
        <f t="shared" si="1136"/>
        <v>9.1677750000000007</v>
      </c>
      <c r="M4575" s="110"/>
      <c r="Q4575" s="1394">
        <f>IFERROR(VLOOKUP(M4575,#REF!,3,0),0)</f>
        <v>0</v>
      </c>
      <c r="R4575" s="1394">
        <f t="shared" si="1146"/>
        <v>0</v>
      </c>
      <c r="S4575" s="1394">
        <f>IFERROR(VLOOKUP(M4575,#REF!,6,0),0)</f>
        <v>0</v>
      </c>
      <c r="T4575" s="1394">
        <f t="shared" si="1153"/>
        <v>0</v>
      </c>
      <c r="U4575" s="1394">
        <f>IFERROR(VLOOKUP(M4575,#REF!,5,0),0)</f>
        <v>0</v>
      </c>
      <c r="V4575" s="1394">
        <f t="shared" si="1154"/>
        <v>0</v>
      </c>
      <c r="W4575" s="1394"/>
    </row>
    <row r="4576" spans="2:23" ht="30" customHeight="1">
      <c r="B4576" s="1405"/>
      <c r="C4576" s="1482" t="str">
        <f t="shared" ref="C4576:G4584" si="1158">C1188</f>
        <v>Hall</v>
      </c>
      <c r="D4576" s="1409">
        <f t="shared" si="1158"/>
        <v>1</v>
      </c>
      <c r="E4576" s="1409">
        <f t="shared" si="1158"/>
        <v>1</v>
      </c>
      <c r="F4576" s="1410">
        <f t="shared" si="1158"/>
        <v>1.1299999999999999</v>
      </c>
      <c r="G4576" s="1410">
        <f t="shared" si="1158"/>
        <v>2.5</v>
      </c>
      <c r="H4576" s="1410"/>
      <c r="I4576" s="1406">
        <f t="shared" si="1136"/>
        <v>2.8249999999999997</v>
      </c>
      <c r="M4576" s="110"/>
      <c r="Q4576" s="1394">
        <f>IFERROR(VLOOKUP(M4576,#REF!,3,0),0)</f>
        <v>0</v>
      </c>
      <c r="R4576" s="1394">
        <f t="shared" si="1146"/>
        <v>0</v>
      </c>
      <c r="S4576" s="1394">
        <f>IFERROR(VLOOKUP(M4576,#REF!,6,0),0)</f>
        <v>0</v>
      </c>
      <c r="T4576" s="1394">
        <f t="shared" si="1153"/>
        <v>0</v>
      </c>
      <c r="U4576" s="1394">
        <f>IFERROR(VLOOKUP(M4576,#REF!,5,0),0)</f>
        <v>0</v>
      </c>
      <c r="V4576" s="1394">
        <f t="shared" si="1154"/>
        <v>0</v>
      </c>
      <c r="W4576" s="1394"/>
    </row>
    <row r="4577" spans="2:23" ht="30" customHeight="1">
      <c r="B4577" s="1405"/>
      <c r="C4577" s="1482" t="str">
        <f t="shared" si="1158"/>
        <v>INS Room</v>
      </c>
      <c r="D4577" s="1409">
        <f t="shared" si="1158"/>
        <v>1</v>
      </c>
      <c r="E4577" s="1409">
        <f t="shared" si="1158"/>
        <v>1</v>
      </c>
      <c r="F4577" s="1410">
        <f t="shared" si="1158"/>
        <v>4</v>
      </c>
      <c r="G4577" s="1410">
        <f t="shared" si="1158"/>
        <v>5.0999999999999996</v>
      </c>
      <c r="H4577" s="1410"/>
      <c r="I4577" s="1406">
        <f t="shared" si="1136"/>
        <v>20.399999999999999</v>
      </c>
      <c r="M4577" s="110"/>
      <c r="Q4577" s="1394">
        <f>IFERROR(VLOOKUP(M4577,#REF!,3,0),0)</f>
        <v>0</v>
      </c>
      <c r="R4577" s="1394">
        <f t="shared" si="1146"/>
        <v>0</v>
      </c>
      <c r="S4577" s="1394">
        <f>IFERROR(VLOOKUP(M4577,#REF!,6,0),0)</f>
        <v>0</v>
      </c>
      <c r="T4577" s="1394">
        <f t="shared" si="1153"/>
        <v>0</v>
      </c>
      <c r="U4577" s="1394">
        <f>IFERROR(VLOOKUP(M4577,#REF!,5,0),0)</f>
        <v>0</v>
      </c>
      <c r="V4577" s="1394">
        <f t="shared" si="1154"/>
        <v>0</v>
      </c>
      <c r="W4577" s="1394"/>
    </row>
    <row r="4578" spans="2:23" ht="30" customHeight="1">
      <c r="B4578" s="1405"/>
      <c r="C4578" s="1482" t="str">
        <f t="shared" si="1158"/>
        <v>INS Room Toilet</v>
      </c>
      <c r="D4578" s="1409">
        <f t="shared" si="1158"/>
        <v>1</v>
      </c>
      <c r="E4578" s="1409">
        <f t="shared" si="1158"/>
        <v>1</v>
      </c>
      <c r="F4578" s="1410">
        <f t="shared" si="1158"/>
        <v>4</v>
      </c>
      <c r="G4578" s="1410">
        <f t="shared" si="1158"/>
        <v>1.5</v>
      </c>
      <c r="H4578" s="1410"/>
      <c r="I4578" s="1406">
        <f t="shared" si="1136"/>
        <v>6</v>
      </c>
      <c r="M4578" s="110"/>
      <c r="Q4578" s="1394">
        <f>IFERROR(VLOOKUP(M4578,#REF!,3,0),0)</f>
        <v>0</v>
      </c>
      <c r="R4578" s="1394">
        <f t="shared" si="1146"/>
        <v>0</v>
      </c>
      <c r="S4578" s="1394">
        <f>IFERROR(VLOOKUP(M4578,#REF!,6,0),0)</f>
        <v>0</v>
      </c>
      <c r="T4578" s="1394">
        <f t="shared" si="1153"/>
        <v>0</v>
      </c>
      <c r="U4578" s="1394">
        <f>IFERROR(VLOOKUP(M4578,#REF!,5,0),0)</f>
        <v>0</v>
      </c>
      <c r="V4578" s="1394">
        <f t="shared" si="1154"/>
        <v>0</v>
      </c>
      <c r="W4578" s="1394"/>
    </row>
    <row r="4579" spans="2:23" ht="30" customHeight="1">
      <c r="B4579" s="1405"/>
      <c r="C4579" s="1482" t="str">
        <f t="shared" si="1158"/>
        <v>Writer</v>
      </c>
      <c r="D4579" s="1409">
        <f t="shared" si="1158"/>
        <v>1</v>
      </c>
      <c r="E4579" s="1409">
        <f t="shared" si="1158"/>
        <v>1</v>
      </c>
      <c r="F4579" s="1410">
        <f t="shared" si="1158"/>
        <v>3</v>
      </c>
      <c r="G4579" s="1410">
        <f t="shared" si="1158"/>
        <v>5.3</v>
      </c>
      <c r="H4579" s="1410"/>
      <c r="I4579" s="1406">
        <f t="shared" si="1136"/>
        <v>15.899999999999999</v>
      </c>
      <c r="M4579" s="110"/>
      <c r="Q4579" s="1394">
        <f>IFERROR(VLOOKUP(M4579,#REF!,3,0),0)</f>
        <v>0</v>
      </c>
      <c r="R4579" s="1394">
        <f t="shared" si="1146"/>
        <v>0</v>
      </c>
      <c r="S4579" s="1394">
        <f>IFERROR(VLOOKUP(M4579,#REF!,6,0),0)</f>
        <v>0</v>
      </c>
      <c r="T4579" s="1394">
        <f t="shared" si="1153"/>
        <v>0</v>
      </c>
      <c r="U4579" s="1394">
        <f>IFERROR(VLOOKUP(M4579,#REF!,5,0),0)</f>
        <v>0</v>
      </c>
      <c r="V4579" s="1394">
        <f t="shared" si="1154"/>
        <v>0</v>
      </c>
      <c r="W4579" s="1394"/>
    </row>
    <row r="4580" spans="2:23" ht="30" customHeight="1">
      <c r="B4580" s="1405"/>
      <c r="C4580" s="1482" t="str">
        <f t="shared" si="1158"/>
        <v>Stair Case Lobby-1</v>
      </c>
      <c r="D4580" s="1409">
        <f t="shared" si="1158"/>
        <v>1</v>
      </c>
      <c r="E4580" s="1409">
        <f t="shared" si="1158"/>
        <v>1</v>
      </c>
      <c r="F4580" s="1410">
        <f t="shared" si="1158"/>
        <v>2.5249999999999999</v>
      </c>
      <c r="G4580" s="1410">
        <f t="shared" si="1158"/>
        <v>2.77</v>
      </c>
      <c r="H4580" s="1410"/>
      <c r="I4580" s="1406">
        <f t="shared" si="1136"/>
        <v>6.9942500000000001</v>
      </c>
      <c r="M4580" s="110"/>
      <c r="Q4580" s="1394">
        <f>IFERROR(VLOOKUP(M4580,#REF!,3,0),0)</f>
        <v>0</v>
      </c>
      <c r="R4580" s="1394">
        <f t="shared" si="1146"/>
        <v>0</v>
      </c>
      <c r="S4580" s="1394">
        <f>IFERROR(VLOOKUP(M4580,#REF!,6,0),0)</f>
        <v>0</v>
      </c>
      <c r="T4580" s="1394">
        <f t="shared" si="1153"/>
        <v>0</v>
      </c>
      <c r="U4580" s="1394">
        <f>IFERROR(VLOOKUP(M4580,#REF!,5,0),0)</f>
        <v>0</v>
      </c>
      <c r="V4580" s="1394">
        <f t="shared" si="1154"/>
        <v>0</v>
      </c>
      <c r="W4580" s="1394"/>
    </row>
    <row r="4581" spans="2:23" ht="30" customHeight="1">
      <c r="B4581" s="1405"/>
      <c r="C4581" s="1482" t="str">
        <f t="shared" si="1158"/>
        <v>Stair Case Lobby-1</v>
      </c>
      <c r="D4581" s="1409">
        <f t="shared" si="1158"/>
        <v>1</v>
      </c>
      <c r="E4581" s="1409">
        <f t="shared" si="1158"/>
        <v>1</v>
      </c>
      <c r="F4581" s="1410">
        <f t="shared" si="1158"/>
        <v>4.3250000000000002</v>
      </c>
      <c r="G4581" s="1410">
        <f t="shared" si="1158"/>
        <v>2.2999999999999998</v>
      </c>
      <c r="H4581" s="1410"/>
      <c r="I4581" s="1406">
        <f t="shared" si="1136"/>
        <v>9.9474999999999998</v>
      </c>
      <c r="Q4581" s="1394">
        <f>IFERROR(VLOOKUP(M4581,#REF!,3,0),0)</f>
        <v>0</v>
      </c>
      <c r="R4581" s="1394">
        <f t="shared" si="1146"/>
        <v>0</v>
      </c>
      <c r="S4581" s="1394">
        <f>IFERROR(VLOOKUP(M4581,#REF!,6,0),0)</f>
        <v>0</v>
      </c>
      <c r="T4581" s="1394">
        <f t="shared" si="1153"/>
        <v>0</v>
      </c>
      <c r="U4581" s="1394">
        <f>IFERROR(VLOOKUP(M4581,#REF!,5,0),0)</f>
        <v>0</v>
      </c>
      <c r="V4581" s="1394">
        <f t="shared" si="1154"/>
        <v>0</v>
      </c>
      <c r="W4581" s="1394"/>
    </row>
    <row r="4582" spans="2:23" ht="30" customHeight="1">
      <c r="B4582" s="1405"/>
      <c r="C4582" s="1482" t="str">
        <f t="shared" si="1158"/>
        <v>Hall</v>
      </c>
      <c r="D4582" s="1409">
        <f t="shared" si="1158"/>
        <v>1</v>
      </c>
      <c r="E4582" s="1409">
        <f t="shared" si="1158"/>
        <v>1</v>
      </c>
      <c r="F4582" s="1410">
        <f t="shared" si="1158"/>
        <v>2.1</v>
      </c>
      <c r="G4582" s="1410">
        <f t="shared" si="1158"/>
        <v>5.76</v>
      </c>
      <c r="H4582" s="1410"/>
      <c r="I4582" s="1406">
        <f t="shared" si="1136"/>
        <v>12.096</v>
      </c>
      <c r="Q4582" s="1394">
        <f>IFERROR(VLOOKUP(M4582,#REF!,3,0),0)</f>
        <v>0</v>
      </c>
      <c r="R4582" s="1394">
        <f t="shared" si="1146"/>
        <v>0</v>
      </c>
      <c r="S4582" s="1394">
        <f>IFERROR(VLOOKUP(M4582,#REF!,6,0),0)</f>
        <v>0</v>
      </c>
      <c r="T4582" s="1394">
        <f t="shared" si="1153"/>
        <v>0</v>
      </c>
      <c r="U4582" s="1394">
        <f>IFERROR(VLOOKUP(M4582,#REF!,5,0),0)</f>
        <v>0</v>
      </c>
      <c r="V4582" s="1394">
        <f t="shared" si="1154"/>
        <v>0</v>
      </c>
      <c r="W4582" s="1394"/>
    </row>
    <row r="4583" spans="2:23" ht="30" customHeight="1">
      <c r="B4583" s="1405"/>
      <c r="C4583" s="1408" t="str">
        <f t="shared" si="1158"/>
        <v>Hall</v>
      </c>
      <c r="D4583" s="1409">
        <f t="shared" si="1158"/>
        <v>1</v>
      </c>
      <c r="E4583" s="1409">
        <f t="shared" si="1158"/>
        <v>1</v>
      </c>
      <c r="F4583" s="1410">
        <f t="shared" si="1158"/>
        <v>4.3250000000000002</v>
      </c>
      <c r="G4583" s="1410">
        <f t="shared" si="1158"/>
        <v>5.76</v>
      </c>
      <c r="H4583" s="1410"/>
      <c r="I4583" s="1406">
        <f t="shared" si="1136"/>
        <v>24.911999999999999</v>
      </c>
      <c r="O4583" s="1395"/>
      <c r="Q4583" s="1394">
        <f>IFERROR(VLOOKUP(M4583,#REF!,3,0),0)</f>
        <v>0</v>
      </c>
      <c r="R4583" s="1394">
        <f t="shared" si="1146"/>
        <v>0</v>
      </c>
      <c r="S4583" s="1394">
        <f>IFERROR(VLOOKUP(M4583,#REF!,6,0),0)</f>
        <v>0</v>
      </c>
      <c r="T4583" s="1394">
        <f t="shared" si="1153"/>
        <v>0</v>
      </c>
      <c r="U4583" s="1394">
        <f>IFERROR(VLOOKUP(M4583,#REF!,5,0),0)</f>
        <v>0</v>
      </c>
      <c r="V4583" s="1394">
        <f t="shared" si="1154"/>
        <v>0</v>
      </c>
      <c r="W4583" s="1394"/>
    </row>
    <row r="4584" spans="2:23" ht="30" customHeight="1">
      <c r="B4584" s="1405"/>
      <c r="C4584" s="1408" t="str">
        <f t="shared" si="1158"/>
        <v>Hall</v>
      </c>
      <c r="D4584" s="1409">
        <f t="shared" si="1158"/>
        <v>1</v>
      </c>
      <c r="E4584" s="1409">
        <f t="shared" si="1158"/>
        <v>1</v>
      </c>
      <c r="F4584" s="1410">
        <f t="shared" si="1158"/>
        <v>3</v>
      </c>
      <c r="G4584" s="1410">
        <f t="shared" si="1158"/>
        <v>5.76</v>
      </c>
      <c r="H4584" s="1410"/>
      <c r="I4584" s="1406">
        <f t="shared" si="1136"/>
        <v>17.28</v>
      </c>
      <c r="O4584" s="1395"/>
      <c r="Q4584" s="1394">
        <f>IFERROR(VLOOKUP(M4584,#REF!,3,0),0)</f>
        <v>0</v>
      </c>
      <c r="R4584" s="1394">
        <f t="shared" si="1146"/>
        <v>0</v>
      </c>
      <c r="S4584" s="1394">
        <f>IFERROR(VLOOKUP(M4584,#REF!,6,0),0)</f>
        <v>0</v>
      </c>
      <c r="T4584" s="1394">
        <f t="shared" si="1153"/>
        <v>0</v>
      </c>
      <c r="U4584" s="1394">
        <f>IFERROR(VLOOKUP(M4584,#REF!,5,0),0)</f>
        <v>0</v>
      </c>
      <c r="V4584" s="1394">
        <f t="shared" si="1154"/>
        <v>0</v>
      </c>
      <c r="W4584" s="1394"/>
    </row>
    <row r="4585" spans="2:23" ht="30" customHeight="1">
      <c r="B4585" s="1405"/>
      <c r="C4585" s="1408"/>
      <c r="D4585" s="1409"/>
      <c r="E4585" s="1409"/>
      <c r="F4585" s="1410"/>
      <c r="G4585" s="1410"/>
      <c r="H4585" s="1410"/>
      <c r="I4585" s="1406"/>
      <c r="O4585" s="1395"/>
      <c r="Q4585" s="1394">
        <f>IFERROR(VLOOKUP(M4585,#REF!,3,0),0)</f>
        <v>0</v>
      </c>
      <c r="R4585" s="1394">
        <f t="shared" si="1146"/>
        <v>0</v>
      </c>
      <c r="S4585" s="1394">
        <f>IFERROR(VLOOKUP(M4585,#REF!,6,0),0)</f>
        <v>0</v>
      </c>
      <c r="T4585" s="1394">
        <f t="shared" si="1153"/>
        <v>0</v>
      </c>
      <c r="U4585" s="1394">
        <f>IFERROR(VLOOKUP(M4585,#REF!,5,0),0)</f>
        <v>0</v>
      </c>
      <c r="V4585" s="1394">
        <f t="shared" si="1154"/>
        <v>0</v>
      </c>
      <c r="W4585" s="1394"/>
    </row>
    <row r="4586" spans="2:23" ht="30" customHeight="1">
      <c r="B4586" s="1407"/>
      <c r="C4586" s="1455"/>
      <c r="D4586" s="103"/>
      <c r="E4586" s="103"/>
      <c r="F4586" s="1413"/>
      <c r="G4586" s="1413"/>
      <c r="H4586" s="1414"/>
      <c r="I4586" s="1406"/>
      <c r="J4586" s="1489"/>
      <c r="K4586" s="1397"/>
      <c r="Q4586" s="1394">
        <f>IFERROR(VLOOKUP(M4586,#REF!,3,0),0)</f>
        <v>0</v>
      </c>
      <c r="R4586" s="1394">
        <f t="shared" si="1146"/>
        <v>0</v>
      </c>
      <c r="S4586" s="1394">
        <f>IFERROR(VLOOKUP(M4586,#REF!,6,0),0)</f>
        <v>0</v>
      </c>
      <c r="T4586" s="1394">
        <f t="shared" si="1153"/>
        <v>0</v>
      </c>
      <c r="U4586" s="1394">
        <f>IFERROR(VLOOKUP(M4586,#REF!,5,0),0)</f>
        <v>0</v>
      </c>
      <c r="V4586" s="1394">
        <f t="shared" si="1154"/>
        <v>0</v>
      </c>
      <c r="W4586" s="1394"/>
    </row>
    <row r="4587" spans="2:23" ht="30" customHeight="1">
      <c r="B4587" s="1407"/>
      <c r="C4587" s="1455"/>
      <c r="D4587" s="103"/>
      <c r="E4587" s="103"/>
      <c r="F4587" s="1413"/>
      <c r="G4587" s="1413"/>
      <c r="H4587" s="1414"/>
      <c r="I4587" s="1406"/>
      <c r="J4587" s="1394"/>
      <c r="K4587" s="1394"/>
      <c r="Q4587" s="1394">
        <f>IFERROR(VLOOKUP(M4587,#REF!,3,0),0)</f>
        <v>0</v>
      </c>
      <c r="R4587" s="1394">
        <f t="shared" si="1146"/>
        <v>0</v>
      </c>
      <c r="S4587" s="1394">
        <f>IFERROR(VLOOKUP(M4587,#REF!,6,0),0)</f>
        <v>0</v>
      </c>
      <c r="T4587" s="1394">
        <f t="shared" si="1153"/>
        <v>0</v>
      </c>
      <c r="U4587" s="1394">
        <f>IFERROR(VLOOKUP(M4587,#REF!,5,0),0)</f>
        <v>0</v>
      </c>
      <c r="V4587" s="1394">
        <f t="shared" si="1154"/>
        <v>0</v>
      </c>
      <c r="W4587" s="1394"/>
    </row>
    <row r="4588" spans="2:23" ht="30" customHeight="1">
      <c r="B4588" s="1405"/>
      <c r="C4588" s="1408" t="e">
        <f>C1200</f>
        <v>#REF!</v>
      </c>
      <c r="D4588" s="1409">
        <f t="shared" ref="D4588:H4589" si="1159">D1213</f>
        <v>0</v>
      </c>
      <c r="E4588" s="1409">
        <f t="shared" si="1159"/>
        <v>0</v>
      </c>
      <c r="F4588" s="1410">
        <f t="shared" si="1159"/>
        <v>0</v>
      </c>
      <c r="G4588" s="1410">
        <f t="shared" si="1159"/>
        <v>0</v>
      </c>
      <c r="H4588" s="1411">
        <f t="shared" si="1159"/>
        <v>0</v>
      </c>
      <c r="I4588" s="1406">
        <f t="shared" si="1136"/>
        <v>0</v>
      </c>
      <c r="Q4588" s="1394">
        <f>IFERROR(VLOOKUP(M4588,#REF!,3,0),0)</f>
        <v>0</v>
      </c>
      <c r="R4588" s="1394">
        <f t="shared" si="1146"/>
        <v>0</v>
      </c>
      <c r="S4588" s="1394">
        <f>IFERROR(VLOOKUP(M4588,#REF!,6,0),0)</f>
        <v>0</v>
      </c>
      <c r="T4588" s="1394">
        <f t="shared" si="1153"/>
        <v>0</v>
      </c>
      <c r="U4588" s="1394">
        <f>IFERROR(VLOOKUP(M4588,#REF!,5,0),0)</f>
        <v>0</v>
      </c>
      <c r="V4588" s="1394">
        <f t="shared" si="1154"/>
        <v>0</v>
      </c>
      <c r="W4588" s="1394"/>
    </row>
    <row r="4589" spans="2:23" ht="30" customHeight="1">
      <c r="B4589" s="1405"/>
      <c r="C4589" s="1408" t="str">
        <f>C1214</f>
        <v xml:space="preserve">Sill slab  Window </v>
      </c>
      <c r="D4589" s="1409">
        <f t="shared" si="1159"/>
        <v>0</v>
      </c>
      <c r="E4589" s="1409">
        <f t="shared" si="1159"/>
        <v>0</v>
      </c>
      <c r="F4589" s="1410">
        <f t="shared" si="1159"/>
        <v>0</v>
      </c>
      <c r="G4589" s="1410">
        <f t="shared" si="1159"/>
        <v>0</v>
      </c>
      <c r="H4589" s="1411">
        <f t="shared" si="1159"/>
        <v>0</v>
      </c>
      <c r="I4589" s="1406">
        <f t="shared" si="1136"/>
        <v>0</v>
      </c>
      <c r="Q4589" s="1394">
        <f>IFERROR(VLOOKUP(M4589,#REF!,3,0),0)</f>
        <v>0</v>
      </c>
      <c r="R4589" s="1394">
        <f t="shared" si="1146"/>
        <v>0</v>
      </c>
      <c r="S4589" s="1394">
        <f>IFERROR(VLOOKUP(M4589,#REF!,6,0),0)</f>
        <v>0</v>
      </c>
      <c r="T4589" s="1394">
        <f t="shared" si="1153"/>
        <v>0</v>
      </c>
      <c r="U4589" s="1394">
        <f>IFERROR(VLOOKUP(M4589,#REF!,5,0),0)</f>
        <v>0</v>
      </c>
      <c r="V4589" s="1394">
        <f t="shared" si="1154"/>
        <v>0</v>
      </c>
      <c r="W4589" s="1394"/>
    </row>
    <row r="4590" spans="2:23" ht="30" customHeight="1">
      <c r="B4590" s="1407"/>
      <c r="C4590" s="1415" t="str">
        <f>C1215</f>
        <v>SW</v>
      </c>
      <c r="D4590" s="1409">
        <f>D1215*2</f>
        <v>2</v>
      </c>
      <c r="E4590" s="1409">
        <f t="shared" ref="E4590:F4593" si="1160">E1215</f>
        <v>1</v>
      </c>
      <c r="F4590" s="1410">
        <f t="shared" si="1160"/>
        <v>2.2600000000000002</v>
      </c>
      <c r="G4590" s="1410"/>
      <c r="H4590" s="1411">
        <f>H1215</f>
        <v>0.05</v>
      </c>
      <c r="I4590" s="1406">
        <f t="shared" si="1136"/>
        <v>0.22600000000000003</v>
      </c>
      <c r="Q4590" s="1394">
        <f>IFERROR(VLOOKUP(M4590,#REF!,3,0),0)</f>
        <v>0</v>
      </c>
      <c r="R4590" s="1394">
        <f t="shared" ref="R4590:R4653" si="1161">ROUND(O4590,2)*ROUND(Q4590,2)</f>
        <v>0</v>
      </c>
      <c r="S4590" s="1394">
        <f>IFERROR(VLOOKUP(M4590,#REF!,6,0),0)</f>
        <v>0</v>
      </c>
      <c r="T4590" s="1394">
        <f t="shared" si="1153"/>
        <v>0</v>
      </c>
      <c r="U4590" s="1394">
        <f>IFERROR(VLOOKUP(M4590,#REF!,5,0),0)</f>
        <v>0</v>
      </c>
      <c r="V4590" s="1394">
        <f t="shared" si="1154"/>
        <v>0</v>
      </c>
      <c r="W4590" s="1394"/>
    </row>
    <row r="4591" spans="2:23" ht="30" customHeight="1">
      <c r="B4591" s="1407"/>
      <c r="C4591" s="1408" t="str">
        <f>C1216</f>
        <v>W1</v>
      </c>
      <c r="D4591" s="1409">
        <f>D1216*2</f>
        <v>2</v>
      </c>
      <c r="E4591" s="1409">
        <f t="shared" si="1160"/>
        <v>1</v>
      </c>
      <c r="F4591" s="1410">
        <f t="shared" si="1160"/>
        <v>1.96</v>
      </c>
      <c r="G4591" s="1410"/>
      <c r="H4591" s="1411">
        <f>H1216</f>
        <v>0.05</v>
      </c>
      <c r="I4591" s="1406">
        <f t="shared" si="1136"/>
        <v>0.19600000000000001</v>
      </c>
      <c r="Q4591" s="1394">
        <f>IFERROR(VLOOKUP(M4591,#REF!,3,0),0)</f>
        <v>0</v>
      </c>
      <c r="R4591" s="1394">
        <f t="shared" si="1161"/>
        <v>0</v>
      </c>
      <c r="S4591" s="1394">
        <f>IFERROR(VLOOKUP(M4591,#REF!,6,0),0)</f>
        <v>0</v>
      </c>
      <c r="T4591" s="1394">
        <f t="shared" si="1153"/>
        <v>0</v>
      </c>
      <c r="U4591" s="1394">
        <f>IFERROR(VLOOKUP(M4591,#REF!,5,0),0)</f>
        <v>0</v>
      </c>
      <c r="V4591" s="1394">
        <f t="shared" si="1154"/>
        <v>0</v>
      </c>
      <c r="W4591" s="1394"/>
    </row>
    <row r="4592" spans="2:23" ht="30" customHeight="1">
      <c r="B4592" s="1407"/>
      <c r="C4592" s="1408" t="str">
        <f>C1217</f>
        <v>W2</v>
      </c>
      <c r="D4592" s="1409">
        <f>D1217*2</f>
        <v>2</v>
      </c>
      <c r="E4592" s="1409">
        <f t="shared" si="1160"/>
        <v>1</v>
      </c>
      <c r="F4592" s="1410">
        <f t="shared" si="1160"/>
        <v>1.66</v>
      </c>
      <c r="G4592" s="1410"/>
      <c r="H4592" s="1411">
        <f>H1217</f>
        <v>0.05</v>
      </c>
      <c r="I4592" s="1406">
        <f t="shared" si="1136"/>
        <v>0.16600000000000001</v>
      </c>
      <c r="Q4592" s="1394">
        <f>IFERROR(VLOOKUP(M4592,#REF!,3,0),0)</f>
        <v>0</v>
      </c>
      <c r="R4592" s="1394">
        <f t="shared" si="1161"/>
        <v>0</v>
      </c>
      <c r="S4592" s="1394">
        <f>IFERROR(VLOOKUP(M4592,#REF!,6,0),0)</f>
        <v>0</v>
      </c>
      <c r="T4592" s="1394">
        <f t="shared" si="1153"/>
        <v>0</v>
      </c>
      <c r="U4592" s="1394">
        <f>IFERROR(VLOOKUP(M4592,#REF!,5,0),0)</f>
        <v>0</v>
      </c>
      <c r="V4592" s="1394">
        <f t="shared" si="1154"/>
        <v>0</v>
      </c>
      <c r="W4592" s="1394"/>
    </row>
    <row r="4593" spans="2:23" ht="30" customHeight="1">
      <c r="B4593" s="1407"/>
      <c r="C4593" s="1408" t="str">
        <f>C1218</f>
        <v>W3</v>
      </c>
      <c r="D4593" s="1409">
        <f>D1218*2</f>
        <v>2</v>
      </c>
      <c r="E4593" s="1409">
        <f t="shared" si="1160"/>
        <v>1</v>
      </c>
      <c r="F4593" s="1410">
        <f t="shared" si="1160"/>
        <v>1.46</v>
      </c>
      <c r="G4593" s="1410"/>
      <c r="H4593" s="1411">
        <f>H1218</f>
        <v>0.05</v>
      </c>
      <c r="I4593" s="1406">
        <f t="shared" si="1136"/>
        <v>0.14599999999999999</v>
      </c>
      <c r="Q4593" s="1394">
        <f>IFERROR(VLOOKUP(M4593,#REF!,3,0),0)</f>
        <v>0</v>
      </c>
      <c r="R4593" s="1394">
        <f t="shared" si="1161"/>
        <v>0</v>
      </c>
      <c r="S4593" s="1394">
        <f>IFERROR(VLOOKUP(M4593,#REF!,6,0),0)</f>
        <v>0</v>
      </c>
      <c r="T4593" s="1394">
        <f t="shared" si="1153"/>
        <v>0</v>
      </c>
      <c r="U4593" s="1394">
        <f>IFERROR(VLOOKUP(M4593,#REF!,5,0),0)</f>
        <v>0</v>
      </c>
      <c r="V4593" s="1394">
        <f t="shared" si="1154"/>
        <v>0</v>
      </c>
      <c r="W4593" s="1394"/>
    </row>
    <row r="4594" spans="2:23" ht="30" customHeight="1">
      <c r="B4594" s="1407"/>
      <c r="C4594" s="1408"/>
      <c r="D4594" s="1409"/>
      <c r="E4594" s="1409"/>
      <c r="F4594" s="1410"/>
      <c r="G4594" s="1410"/>
      <c r="H4594" s="1411"/>
      <c r="I4594" s="1406"/>
      <c r="Q4594" s="1394">
        <f>IFERROR(VLOOKUP(M4594,#REF!,3,0),0)</f>
        <v>0</v>
      </c>
      <c r="R4594" s="1394">
        <f t="shared" si="1161"/>
        <v>0</v>
      </c>
      <c r="S4594" s="1394">
        <f>IFERROR(VLOOKUP(M4594,#REF!,6,0),0)</f>
        <v>0</v>
      </c>
      <c r="T4594" s="1394">
        <f t="shared" si="1153"/>
        <v>0</v>
      </c>
      <c r="U4594" s="1394">
        <f>IFERROR(VLOOKUP(M4594,#REF!,5,0),0)</f>
        <v>0</v>
      </c>
      <c r="V4594" s="1394">
        <f t="shared" si="1154"/>
        <v>0</v>
      </c>
      <c r="W4594" s="1394"/>
    </row>
    <row r="4595" spans="2:23" ht="30" customHeight="1">
      <c r="B4595" s="1407"/>
      <c r="C4595" s="1408">
        <f t="shared" ref="C4595:H4596" si="1162">C1219</f>
        <v>0</v>
      </c>
      <c r="D4595" s="1409">
        <f t="shared" si="1162"/>
        <v>0</v>
      </c>
      <c r="E4595" s="1409">
        <f t="shared" si="1162"/>
        <v>0</v>
      </c>
      <c r="F4595" s="1410">
        <f t="shared" si="1162"/>
        <v>0</v>
      </c>
      <c r="G4595" s="1410">
        <f t="shared" si="1162"/>
        <v>0</v>
      </c>
      <c r="H4595" s="1411">
        <f t="shared" si="1162"/>
        <v>0</v>
      </c>
      <c r="I4595" s="1406">
        <f t="shared" si="1136"/>
        <v>0</v>
      </c>
      <c r="Q4595" s="1394">
        <f>IFERROR(VLOOKUP(M4595,#REF!,3,0),0)</f>
        <v>0</v>
      </c>
      <c r="R4595" s="1394">
        <f t="shared" si="1161"/>
        <v>0</v>
      </c>
      <c r="S4595" s="1394">
        <f>IFERROR(VLOOKUP(M4595,#REF!,6,0),0)</f>
        <v>0</v>
      </c>
      <c r="T4595" s="1394">
        <f t="shared" si="1153"/>
        <v>0</v>
      </c>
      <c r="U4595" s="1394">
        <f>IFERROR(VLOOKUP(M4595,#REF!,5,0),0)</f>
        <v>0</v>
      </c>
      <c r="V4595" s="1394">
        <f t="shared" si="1154"/>
        <v>0</v>
      </c>
      <c r="W4595" s="1394"/>
    </row>
    <row r="4596" spans="2:23" ht="30" customHeight="1">
      <c r="B4596" s="1407"/>
      <c r="C4596" s="1408" t="str">
        <f t="shared" si="1162"/>
        <v>Lintel Concrete</v>
      </c>
      <c r="D4596" s="1409">
        <f t="shared" si="1162"/>
        <v>0</v>
      </c>
      <c r="E4596" s="1409">
        <f t="shared" si="1162"/>
        <v>0</v>
      </c>
      <c r="F4596" s="1410">
        <f t="shared" si="1162"/>
        <v>0</v>
      </c>
      <c r="G4596" s="1410">
        <f t="shared" si="1162"/>
        <v>0</v>
      </c>
      <c r="H4596" s="1411">
        <f t="shared" si="1162"/>
        <v>0</v>
      </c>
      <c r="I4596" s="1406">
        <f t="shared" si="1136"/>
        <v>0</v>
      </c>
      <c r="Q4596" s="1394">
        <f>IFERROR(VLOOKUP(M4596,#REF!,3,0),0)</f>
        <v>0</v>
      </c>
      <c r="R4596" s="1394">
        <f t="shared" si="1161"/>
        <v>0</v>
      </c>
      <c r="S4596" s="1394">
        <f>IFERROR(VLOOKUP(M4596,#REF!,6,0),0)</f>
        <v>0</v>
      </c>
      <c r="T4596" s="1394">
        <f t="shared" si="1153"/>
        <v>0</v>
      </c>
      <c r="U4596" s="1394">
        <f>IFERROR(VLOOKUP(M4596,#REF!,5,0),0)</f>
        <v>0</v>
      </c>
      <c r="V4596" s="1394">
        <f t="shared" si="1154"/>
        <v>0</v>
      </c>
      <c r="W4596" s="1394"/>
    </row>
    <row r="4597" spans="2:23" ht="30" customHeight="1">
      <c r="B4597" s="1407"/>
      <c r="C4597" s="1415" t="str">
        <f>C1221</f>
        <v>Main wall all alround Head Room</v>
      </c>
      <c r="D4597" s="1409">
        <f>D1221*2</f>
        <v>2</v>
      </c>
      <c r="E4597" s="1409">
        <f t="shared" ref="E4597:H4599" si="1163">E1221</f>
        <v>1</v>
      </c>
      <c r="F4597" s="1410">
        <f t="shared" si="1163"/>
        <v>20.69</v>
      </c>
      <c r="G4597" s="1410">
        <f t="shared" si="1163"/>
        <v>0.23</v>
      </c>
      <c r="H4597" s="1411">
        <f t="shared" si="1163"/>
        <v>0.1</v>
      </c>
      <c r="I4597" s="1406">
        <f t="shared" si="1136"/>
        <v>0.95174000000000003</v>
      </c>
      <c r="Q4597" s="1394">
        <f>IFERROR(VLOOKUP(M4597,#REF!,3,0),0)</f>
        <v>0</v>
      </c>
      <c r="R4597" s="1394">
        <f t="shared" si="1161"/>
        <v>0</v>
      </c>
      <c r="S4597" s="1394">
        <f>IFERROR(VLOOKUP(M4597,#REF!,6,0),0)</f>
        <v>0</v>
      </c>
      <c r="T4597" s="1394">
        <f t="shared" si="1153"/>
        <v>0</v>
      </c>
      <c r="U4597" s="1394">
        <f>IFERROR(VLOOKUP(M4597,#REF!,5,0),0)</f>
        <v>0</v>
      </c>
      <c r="V4597" s="1394">
        <f t="shared" si="1154"/>
        <v>0</v>
      </c>
      <c r="W4597" s="1394"/>
    </row>
    <row r="4598" spans="2:23" ht="30" customHeight="1">
      <c r="B4598" s="1405"/>
      <c r="C4598" s="1408" t="str">
        <f>C1222</f>
        <v>Main wall all alround Lift Machine Room</v>
      </c>
      <c r="D4598" s="1409">
        <f>D1222*2</f>
        <v>2</v>
      </c>
      <c r="E4598" s="1409">
        <f t="shared" si="1163"/>
        <v>1</v>
      </c>
      <c r="F4598" s="1410">
        <f t="shared" si="1163"/>
        <v>12.175000000000001</v>
      </c>
      <c r="G4598" s="1410">
        <f t="shared" si="1163"/>
        <v>0.23</v>
      </c>
      <c r="H4598" s="1411">
        <f t="shared" si="1163"/>
        <v>0.1</v>
      </c>
      <c r="I4598" s="1406">
        <f t="shared" ref="I4598:I4637" si="1164">PRODUCT(D4598:H4598)</f>
        <v>0.56005000000000005</v>
      </c>
      <c r="Q4598" s="1394">
        <f>IFERROR(VLOOKUP(M4598,#REF!,3,0),0)</f>
        <v>0</v>
      </c>
      <c r="R4598" s="1394">
        <f t="shared" si="1161"/>
        <v>0</v>
      </c>
      <c r="S4598" s="1394">
        <f>IFERROR(VLOOKUP(M4598,#REF!,6,0),0)</f>
        <v>0</v>
      </c>
      <c r="T4598" s="1394">
        <f t="shared" si="1153"/>
        <v>0</v>
      </c>
      <c r="U4598" s="1394">
        <f>IFERROR(VLOOKUP(M4598,#REF!,5,0),0)</f>
        <v>0</v>
      </c>
      <c r="V4598" s="1394">
        <f t="shared" si="1154"/>
        <v>0</v>
      </c>
      <c r="W4598" s="1394"/>
    </row>
    <row r="4599" spans="2:23" ht="30" customHeight="1">
      <c r="B4599" s="1407"/>
      <c r="C4599" s="1408">
        <f>C1223</f>
        <v>0</v>
      </c>
      <c r="D4599" s="1409">
        <f>D1223</f>
        <v>0</v>
      </c>
      <c r="E4599" s="1409">
        <f t="shared" si="1163"/>
        <v>0</v>
      </c>
      <c r="F4599" s="1410">
        <f t="shared" si="1163"/>
        <v>0</v>
      </c>
      <c r="G4599" s="1410">
        <f t="shared" si="1163"/>
        <v>0</v>
      </c>
      <c r="H4599" s="1411">
        <f t="shared" si="1163"/>
        <v>0</v>
      </c>
      <c r="I4599" s="1406">
        <f t="shared" si="1164"/>
        <v>0</v>
      </c>
      <c r="Q4599" s="1394">
        <f>IFERROR(VLOOKUP(M4599,#REF!,3,0),0)</f>
        <v>0</v>
      </c>
      <c r="R4599" s="1394">
        <f t="shared" si="1161"/>
        <v>0</v>
      </c>
      <c r="S4599" s="1394">
        <f>IFERROR(VLOOKUP(M4599,#REF!,6,0),0)</f>
        <v>0</v>
      </c>
      <c r="T4599" s="1394">
        <f t="shared" si="1153"/>
        <v>0</v>
      </c>
      <c r="U4599" s="1394">
        <f>IFERROR(VLOOKUP(M4599,#REF!,5,0),0)</f>
        <v>0</v>
      </c>
      <c r="V4599" s="1394">
        <f t="shared" si="1154"/>
        <v>0</v>
      </c>
      <c r="W4599" s="1394"/>
    </row>
    <row r="4600" spans="2:23" ht="30" customHeight="1">
      <c r="B4600" s="1407"/>
      <c r="C4600" s="1415" t="s">
        <v>5926</v>
      </c>
      <c r="D4600" s="1409">
        <f t="shared" ref="D4600:H4601" si="1165">D1231</f>
        <v>0</v>
      </c>
      <c r="E4600" s="1409">
        <f t="shared" si="1165"/>
        <v>0</v>
      </c>
      <c r="F4600" s="1410">
        <f t="shared" si="1165"/>
        <v>0</v>
      </c>
      <c r="G4600" s="1410">
        <f t="shared" si="1165"/>
        <v>0</v>
      </c>
      <c r="H4600" s="1473">
        <f t="shared" si="1165"/>
        <v>0</v>
      </c>
      <c r="I4600" s="1406">
        <f t="shared" si="1164"/>
        <v>0</v>
      </c>
      <c r="O4600" s="1395"/>
      <c r="Q4600" s="1394">
        <f>IFERROR(VLOOKUP(M4600,#REF!,3,0),0)</f>
        <v>0</v>
      </c>
      <c r="R4600" s="1394">
        <f t="shared" si="1161"/>
        <v>0</v>
      </c>
      <c r="S4600" s="1394">
        <f>IFERROR(VLOOKUP(M4600,#REF!,6,0),0)</f>
        <v>0</v>
      </c>
      <c r="T4600" s="1394">
        <f t="shared" si="1153"/>
        <v>0</v>
      </c>
      <c r="U4600" s="1394">
        <f>IFERROR(VLOOKUP(M4600,#REF!,5,0),0)</f>
        <v>0</v>
      </c>
      <c r="V4600" s="1394">
        <f t="shared" si="1154"/>
        <v>0</v>
      </c>
      <c r="W4600" s="1394"/>
    </row>
    <row r="4601" spans="2:23" ht="30" customHeight="1">
      <c r="B4601" s="1405"/>
      <c r="C4601" s="1408" t="str">
        <f t="shared" ref="C4601:C4611" si="1166">C1232</f>
        <v>Horizontal beam</v>
      </c>
      <c r="D4601" s="1409">
        <f t="shared" si="1165"/>
        <v>0</v>
      </c>
      <c r="E4601" s="1409">
        <f t="shared" si="1165"/>
        <v>0</v>
      </c>
      <c r="F4601" s="1410">
        <f t="shared" si="1165"/>
        <v>0</v>
      </c>
      <c r="G4601" s="1410">
        <f t="shared" si="1165"/>
        <v>0</v>
      </c>
      <c r="H4601" s="1411">
        <f t="shared" si="1165"/>
        <v>0</v>
      </c>
      <c r="I4601" s="1406">
        <f t="shared" si="1164"/>
        <v>0</v>
      </c>
      <c r="O4601" s="1395"/>
      <c r="Q4601" s="1394">
        <f>IFERROR(VLOOKUP(M4601,#REF!,3,0),0)</f>
        <v>0</v>
      </c>
      <c r="R4601" s="1394">
        <f t="shared" si="1161"/>
        <v>0</v>
      </c>
      <c r="S4601" s="1394">
        <f>IFERROR(VLOOKUP(M4601,#REF!,6,0),0)</f>
        <v>0</v>
      </c>
      <c r="T4601" s="1394">
        <f t="shared" si="1153"/>
        <v>0</v>
      </c>
      <c r="U4601" s="1394">
        <f>IFERROR(VLOOKUP(M4601,#REF!,5,0),0)</f>
        <v>0</v>
      </c>
      <c r="V4601" s="1394">
        <f t="shared" si="1154"/>
        <v>0</v>
      </c>
      <c r="W4601" s="1394"/>
    </row>
    <row r="4602" spans="2:23" ht="30" customHeight="1">
      <c r="B4602" s="1405"/>
      <c r="C4602" s="1408" t="str">
        <f t="shared" si="1166"/>
        <v>B3 to F3</v>
      </c>
      <c r="D4602" s="1409">
        <f t="shared" ref="D4602:D4610" si="1167">D1233*2</f>
        <v>2</v>
      </c>
      <c r="E4602" s="1409">
        <f t="shared" ref="E4602:F4611" si="1168">E1233</f>
        <v>1</v>
      </c>
      <c r="F4602" s="1410">
        <f t="shared" si="1168"/>
        <v>6.8849999999999998</v>
      </c>
      <c r="G4602" s="1410"/>
      <c r="H4602" s="1410">
        <f>H1233-0.125</f>
        <v>0.32500000000000001</v>
      </c>
      <c r="I4602" s="1406">
        <f t="shared" si="1164"/>
        <v>4.47525</v>
      </c>
      <c r="O4602" s="1395"/>
      <c r="Q4602" s="1394">
        <f>IFERROR(VLOOKUP(M4602,#REF!,3,0),0)</f>
        <v>0</v>
      </c>
      <c r="R4602" s="1394">
        <f t="shared" si="1161"/>
        <v>0</v>
      </c>
      <c r="S4602" s="1394">
        <f>IFERROR(VLOOKUP(M4602,#REF!,6,0),0)</f>
        <v>0</v>
      </c>
      <c r="T4602" s="1394">
        <f t="shared" si="1153"/>
        <v>0</v>
      </c>
      <c r="U4602" s="1394">
        <f>IFERROR(VLOOKUP(M4602,#REF!,5,0),0)</f>
        <v>0</v>
      </c>
      <c r="V4602" s="1394">
        <f t="shared" si="1154"/>
        <v>0</v>
      </c>
      <c r="W4602" s="1394"/>
    </row>
    <row r="4603" spans="2:23" ht="30" customHeight="1">
      <c r="B4603" s="1405"/>
      <c r="C4603" s="1408" t="str">
        <f t="shared" si="1166"/>
        <v>B4 to F4</v>
      </c>
      <c r="D4603" s="1409">
        <f t="shared" si="1167"/>
        <v>2</v>
      </c>
      <c r="E4603" s="1409">
        <f t="shared" si="1168"/>
        <v>1</v>
      </c>
      <c r="F4603" s="1410">
        <f t="shared" si="1168"/>
        <v>6.8849999999999998</v>
      </c>
      <c r="G4603" s="1410"/>
      <c r="H4603" s="1410">
        <f>H1234-0.125</f>
        <v>0.255</v>
      </c>
      <c r="I4603" s="1406">
        <f t="shared" si="1164"/>
        <v>3.5113499999999997</v>
      </c>
      <c r="O4603" s="1395"/>
      <c r="Q4603" s="1394">
        <f>IFERROR(VLOOKUP(M4603,#REF!,3,0),0)</f>
        <v>0</v>
      </c>
      <c r="R4603" s="1394">
        <f t="shared" si="1161"/>
        <v>0</v>
      </c>
      <c r="S4603" s="1394">
        <f>IFERROR(VLOOKUP(M4603,#REF!,6,0),0)</f>
        <v>0</v>
      </c>
      <c r="T4603" s="1394">
        <f t="shared" si="1153"/>
        <v>0</v>
      </c>
      <c r="U4603" s="1394">
        <f>IFERROR(VLOOKUP(M4603,#REF!,5,0),0)</f>
        <v>0</v>
      </c>
      <c r="V4603" s="1394">
        <f t="shared" si="1154"/>
        <v>0</v>
      </c>
      <c r="W4603" s="1394"/>
    </row>
    <row r="4604" spans="2:23" ht="30" customHeight="1">
      <c r="B4604" s="1405"/>
      <c r="C4604" s="1408" t="str">
        <f t="shared" si="1166"/>
        <v>B5 to F5</v>
      </c>
      <c r="D4604" s="1409">
        <f t="shared" si="1167"/>
        <v>2</v>
      </c>
      <c r="E4604" s="1409">
        <f t="shared" si="1168"/>
        <v>1</v>
      </c>
      <c r="F4604" s="1410">
        <f t="shared" si="1168"/>
        <v>6.8849999999999998</v>
      </c>
      <c r="G4604" s="1410"/>
      <c r="H4604" s="1410">
        <f>H1235-0.125</f>
        <v>0.255</v>
      </c>
      <c r="I4604" s="1406">
        <f t="shared" si="1164"/>
        <v>3.5113499999999997</v>
      </c>
      <c r="O4604" s="1395"/>
      <c r="Q4604" s="1394">
        <f>IFERROR(VLOOKUP(M4604,#REF!,3,0),0)</f>
        <v>0</v>
      </c>
      <c r="R4604" s="1394">
        <f t="shared" si="1161"/>
        <v>0</v>
      </c>
      <c r="S4604" s="1394">
        <f>IFERROR(VLOOKUP(M4604,#REF!,6,0),0)</f>
        <v>0</v>
      </c>
      <c r="T4604" s="1394">
        <f t="shared" si="1153"/>
        <v>0</v>
      </c>
      <c r="U4604" s="1394">
        <f>IFERROR(VLOOKUP(M4604,#REF!,5,0),0)</f>
        <v>0</v>
      </c>
      <c r="V4604" s="1394">
        <f t="shared" si="1154"/>
        <v>0</v>
      </c>
      <c r="W4604" s="1394"/>
    </row>
    <row r="4605" spans="2:23" ht="30" customHeight="1">
      <c r="B4605" s="1405"/>
      <c r="C4605" s="1408">
        <f t="shared" si="1166"/>
        <v>0</v>
      </c>
      <c r="D4605" s="1409">
        <f t="shared" si="1167"/>
        <v>0</v>
      </c>
      <c r="E4605" s="1409">
        <f t="shared" si="1168"/>
        <v>0</v>
      </c>
      <c r="F4605" s="1410">
        <f t="shared" si="1168"/>
        <v>0</v>
      </c>
      <c r="G4605" s="1410"/>
      <c r="H4605" s="1410"/>
      <c r="I4605" s="1406">
        <f t="shared" si="1164"/>
        <v>0</v>
      </c>
      <c r="O4605" s="1395"/>
      <c r="Q4605" s="1394">
        <f>IFERROR(VLOOKUP(M4605,#REF!,3,0),0)</f>
        <v>0</v>
      </c>
      <c r="R4605" s="1394">
        <f t="shared" si="1161"/>
        <v>0</v>
      </c>
      <c r="S4605" s="1394">
        <f>IFERROR(VLOOKUP(M4605,#REF!,6,0),0)</f>
        <v>0</v>
      </c>
      <c r="T4605" s="1394">
        <f t="shared" si="1153"/>
        <v>0</v>
      </c>
      <c r="U4605" s="1394">
        <f>IFERROR(VLOOKUP(M4605,#REF!,5,0),0)</f>
        <v>0</v>
      </c>
      <c r="V4605" s="1394">
        <f t="shared" si="1154"/>
        <v>0</v>
      </c>
      <c r="W4605" s="1394"/>
    </row>
    <row r="4606" spans="2:23" ht="30" customHeight="1">
      <c r="B4606" s="1405"/>
      <c r="C4606" s="1408" t="str">
        <f t="shared" si="1166"/>
        <v>Vertical beam</v>
      </c>
      <c r="D4606" s="1409">
        <f t="shared" si="1167"/>
        <v>0</v>
      </c>
      <c r="E4606" s="1409">
        <f t="shared" si="1168"/>
        <v>0</v>
      </c>
      <c r="F4606" s="1410">
        <f t="shared" si="1168"/>
        <v>0</v>
      </c>
      <c r="G4606" s="1410"/>
      <c r="H4606" s="1410"/>
      <c r="I4606" s="1406">
        <f t="shared" si="1164"/>
        <v>0</v>
      </c>
      <c r="O4606" s="1395"/>
      <c r="Q4606" s="1394">
        <f>IFERROR(VLOOKUP(M4606,#REF!,3,0),0)</f>
        <v>0</v>
      </c>
      <c r="R4606" s="1394">
        <f t="shared" si="1161"/>
        <v>0</v>
      </c>
      <c r="S4606" s="1394">
        <f>IFERROR(VLOOKUP(M4606,#REF!,6,0),0)</f>
        <v>0</v>
      </c>
      <c r="T4606" s="1394">
        <f t="shared" si="1153"/>
        <v>0</v>
      </c>
      <c r="U4606" s="1394">
        <f>IFERROR(VLOOKUP(M4606,#REF!,5,0),0)</f>
        <v>0</v>
      </c>
      <c r="V4606" s="1394">
        <f t="shared" si="1154"/>
        <v>0</v>
      </c>
      <c r="W4606" s="1394"/>
    </row>
    <row r="4607" spans="2:23" ht="30" customHeight="1">
      <c r="B4607" s="1405"/>
      <c r="C4607" s="1408" t="str">
        <f t="shared" si="1166"/>
        <v>B3 to B5</v>
      </c>
      <c r="D4607" s="1409">
        <f t="shared" si="1167"/>
        <v>2</v>
      </c>
      <c r="E4607" s="1409">
        <f t="shared" si="1168"/>
        <v>1</v>
      </c>
      <c r="F4607" s="1410">
        <f t="shared" si="1168"/>
        <v>5.5299999999999994</v>
      </c>
      <c r="G4607" s="1410"/>
      <c r="H4607" s="1410">
        <f>H1238-0.125</f>
        <v>0.255</v>
      </c>
      <c r="I4607" s="1406">
        <f t="shared" si="1164"/>
        <v>2.8202999999999996</v>
      </c>
      <c r="J4607" s="1396"/>
      <c r="K4607" s="1396"/>
      <c r="O4607" s="1395"/>
      <c r="Q4607" s="1394">
        <f>IFERROR(VLOOKUP(M4607,#REF!,3,0),0)</f>
        <v>0</v>
      </c>
      <c r="R4607" s="1394">
        <f t="shared" si="1161"/>
        <v>0</v>
      </c>
      <c r="S4607" s="1394">
        <f>IFERROR(VLOOKUP(M4607,#REF!,6,0),0)</f>
        <v>0</v>
      </c>
      <c r="T4607" s="1394">
        <f t="shared" si="1153"/>
        <v>0</v>
      </c>
      <c r="U4607" s="1394">
        <f>IFERROR(VLOOKUP(M4607,#REF!,5,0),0)</f>
        <v>0</v>
      </c>
      <c r="V4607" s="1394">
        <f t="shared" si="1154"/>
        <v>0</v>
      </c>
      <c r="W4607" s="1394"/>
    </row>
    <row r="4608" spans="2:23" ht="30" customHeight="1">
      <c r="B4608" s="1405"/>
      <c r="C4608" s="1408" t="str">
        <f t="shared" si="1166"/>
        <v>C4 to C5</v>
      </c>
      <c r="D4608" s="1409">
        <f t="shared" si="1167"/>
        <v>2</v>
      </c>
      <c r="E4608" s="1409">
        <f t="shared" si="1168"/>
        <v>1</v>
      </c>
      <c r="F4608" s="1409">
        <f t="shared" si="1168"/>
        <v>2.5299999999999998</v>
      </c>
      <c r="G4608" s="1410"/>
      <c r="H4608" s="1410">
        <f>H1239-0.125</f>
        <v>0.32500000000000001</v>
      </c>
      <c r="I4608" s="1406">
        <f t="shared" si="1164"/>
        <v>1.6444999999999999</v>
      </c>
      <c r="O4608" s="1395"/>
      <c r="Q4608" s="1394">
        <f>IFERROR(VLOOKUP(M4608,#REF!,3,0),0)</f>
        <v>0</v>
      </c>
      <c r="R4608" s="1394">
        <f t="shared" si="1161"/>
        <v>0</v>
      </c>
      <c r="S4608" s="1394">
        <f>IFERROR(VLOOKUP(M4608,#REF!,6,0),0)</f>
        <v>0</v>
      </c>
      <c r="T4608" s="1394">
        <f t="shared" si="1153"/>
        <v>0</v>
      </c>
      <c r="U4608" s="1394">
        <f>IFERROR(VLOOKUP(M4608,#REF!,5,0),0)</f>
        <v>0</v>
      </c>
      <c r="V4608" s="1394">
        <f t="shared" si="1154"/>
        <v>0</v>
      </c>
      <c r="W4608" s="1394"/>
    </row>
    <row r="4609" spans="2:23" ht="30" customHeight="1">
      <c r="B4609" s="1405"/>
      <c r="C4609" s="1408" t="str">
        <f t="shared" si="1166"/>
        <v>Cross Beam</v>
      </c>
      <c r="D4609" s="1409">
        <f t="shared" si="1167"/>
        <v>2</v>
      </c>
      <c r="E4609" s="1409">
        <f t="shared" si="1168"/>
        <v>1</v>
      </c>
      <c r="F4609" s="1410">
        <f t="shared" si="1168"/>
        <v>3</v>
      </c>
      <c r="G4609" s="1410"/>
      <c r="H4609" s="1410">
        <f>H1240-0.125</f>
        <v>0.255</v>
      </c>
      <c r="I4609" s="1406">
        <f t="shared" si="1164"/>
        <v>1.53</v>
      </c>
      <c r="O4609" s="1395"/>
      <c r="Q4609" s="1394">
        <f>IFERROR(VLOOKUP(M4609,#REF!,3,0),0)</f>
        <v>0</v>
      </c>
      <c r="R4609" s="1394">
        <f t="shared" si="1161"/>
        <v>0</v>
      </c>
      <c r="S4609" s="1394">
        <f>IFERROR(VLOOKUP(M4609,#REF!,6,0),0)</f>
        <v>0</v>
      </c>
      <c r="T4609" s="1394">
        <f t="shared" si="1153"/>
        <v>0</v>
      </c>
      <c r="U4609" s="1394">
        <f>IFERROR(VLOOKUP(M4609,#REF!,5,0),0)</f>
        <v>0</v>
      </c>
      <c r="V4609" s="1394">
        <f t="shared" si="1154"/>
        <v>0</v>
      </c>
      <c r="W4609" s="1394"/>
    </row>
    <row r="4610" spans="2:23" ht="30" customHeight="1">
      <c r="B4610" s="1405"/>
      <c r="C4610" s="1408" t="str">
        <f t="shared" si="1166"/>
        <v>F3 to F5</v>
      </c>
      <c r="D4610" s="1409">
        <f t="shared" si="1167"/>
        <v>2</v>
      </c>
      <c r="E4610" s="1409">
        <f t="shared" si="1168"/>
        <v>1</v>
      </c>
      <c r="F4610" s="1410">
        <f t="shared" si="1168"/>
        <v>5.5299999999999994</v>
      </c>
      <c r="G4610" s="1410"/>
      <c r="H4610" s="1410">
        <f>H1241-0.125</f>
        <v>0.32500000000000001</v>
      </c>
      <c r="I4610" s="1406">
        <f t="shared" si="1164"/>
        <v>3.5944999999999996</v>
      </c>
      <c r="Q4610" s="1394">
        <f>IFERROR(VLOOKUP(M4610,#REF!,3,0),0)</f>
        <v>0</v>
      </c>
      <c r="R4610" s="1394">
        <f t="shared" si="1161"/>
        <v>0</v>
      </c>
      <c r="S4610" s="1394">
        <f>IFERROR(VLOOKUP(M4610,#REF!,6,0),0)</f>
        <v>0</v>
      </c>
      <c r="T4610" s="1394">
        <f t="shared" si="1153"/>
        <v>0</v>
      </c>
      <c r="U4610" s="1394">
        <f>IFERROR(VLOOKUP(M4610,#REF!,5,0),0)</f>
        <v>0</v>
      </c>
      <c r="V4610" s="1394">
        <f t="shared" si="1154"/>
        <v>0</v>
      </c>
      <c r="W4610" s="1394"/>
    </row>
    <row r="4611" spans="2:23" ht="30" customHeight="1">
      <c r="B4611" s="1405"/>
      <c r="C4611" s="1408">
        <f t="shared" si="1166"/>
        <v>0</v>
      </c>
      <c r="D4611" s="1409">
        <f>D1242</f>
        <v>0</v>
      </c>
      <c r="E4611" s="1409">
        <f t="shared" si="1168"/>
        <v>0</v>
      </c>
      <c r="F4611" s="1409">
        <f t="shared" si="1168"/>
        <v>0</v>
      </c>
      <c r="G4611" s="1410">
        <f>G1242</f>
        <v>0</v>
      </c>
      <c r="H4611" s="1411">
        <f>H1242</f>
        <v>0</v>
      </c>
      <c r="I4611" s="1406">
        <f t="shared" si="1164"/>
        <v>0</v>
      </c>
      <c r="Q4611" s="1394">
        <f>IFERROR(VLOOKUP(M4611,#REF!,3,0),0)</f>
        <v>0</v>
      </c>
      <c r="R4611" s="1394">
        <f t="shared" si="1161"/>
        <v>0</v>
      </c>
      <c r="S4611" s="1394">
        <f>IFERROR(VLOOKUP(M4611,#REF!,6,0),0)</f>
        <v>0</v>
      </c>
      <c r="T4611" s="1394">
        <f t="shared" ref="T4611:T4674" si="1169">R4611-S4611</f>
        <v>0</v>
      </c>
      <c r="U4611" s="1394">
        <f>IFERROR(VLOOKUP(M4611,#REF!,5,0),0)</f>
        <v>0</v>
      </c>
      <c r="V4611" s="1394">
        <f t="shared" ref="V4611:V4674" si="1170">O4611-U4611</f>
        <v>0</v>
      </c>
      <c r="W4611" s="1394"/>
    </row>
    <row r="4612" spans="2:23" ht="30" customHeight="1">
      <c r="B4612" s="1407"/>
      <c r="C4612" s="1415" t="s">
        <v>5927</v>
      </c>
      <c r="D4612" s="1409">
        <f t="shared" ref="D4612:H4613" si="1171">D1231</f>
        <v>0</v>
      </c>
      <c r="E4612" s="1409">
        <f t="shared" si="1171"/>
        <v>0</v>
      </c>
      <c r="F4612" s="1410">
        <f t="shared" si="1171"/>
        <v>0</v>
      </c>
      <c r="G4612" s="1410">
        <f t="shared" si="1171"/>
        <v>0</v>
      </c>
      <c r="H4612" s="1411">
        <f t="shared" si="1171"/>
        <v>0</v>
      </c>
      <c r="I4612" s="1406">
        <f t="shared" si="1164"/>
        <v>0</v>
      </c>
      <c r="O4612" s="1395"/>
      <c r="Q4612" s="1394">
        <f>IFERROR(VLOOKUP(M4612,#REF!,3,0),0)</f>
        <v>0</v>
      </c>
      <c r="R4612" s="1394">
        <f t="shared" si="1161"/>
        <v>0</v>
      </c>
      <c r="S4612" s="1394">
        <f>IFERROR(VLOOKUP(M4612,#REF!,6,0),0)</f>
        <v>0</v>
      </c>
      <c r="T4612" s="1394">
        <f t="shared" si="1169"/>
        <v>0</v>
      </c>
      <c r="U4612" s="1394">
        <f>IFERROR(VLOOKUP(M4612,#REF!,5,0),0)</f>
        <v>0</v>
      </c>
      <c r="V4612" s="1394">
        <f t="shared" si="1170"/>
        <v>0</v>
      </c>
      <c r="W4612" s="1394"/>
    </row>
    <row r="4613" spans="2:23" ht="30" customHeight="1">
      <c r="B4613" s="1405"/>
      <c r="C4613" s="1408" t="str">
        <f t="shared" ref="C4613:C4637" si="1172">C1232</f>
        <v>Horizontal beam</v>
      </c>
      <c r="D4613" s="1409">
        <f t="shared" si="1171"/>
        <v>0</v>
      </c>
      <c r="E4613" s="1409">
        <f t="shared" si="1171"/>
        <v>0</v>
      </c>
      <c r="F4613" s="1410">
        <f t="shared" si="1171"/>
        <v>0</v>
      </c>
      <c r="G4613" s="1410">
        <f t="shared" si="1171"/>
        <v>0</v>
      </c>
      <c r="H4613" s="1411">
        <f t="shared" si="1171"/>
        <v>0</v>
      </c>
      <c r="I4613" s="1406">
        <f t="shared" ref="I4613:I4623" si="1173">PRODUCT(D4613:H4613)</f>
        <v>0</v>
      </c>
      <c r="O4613" s="1395"/>
      <c r="Q4613" s="1394">
        <f>IFERROR(VLOOKUP(M4613,#REF!,3,0),0)</f>
        <v>0</v>
      </c>
      <c r="R4613" s="1394">
        <f t="shared" si="1161"/>
        <v>0</v>
      </c>
      <c r="S4613" s="1394">
        <f>IFERROR(VLOOKUP(M4613,#REF!,6,0),0)</f>
        <v>0</v>
      </c>
      <c r="T4613" s="1394">
        <f t="shared" si="1169"/>
        <v>0</v>
      </c>
      <c r="U4613" s="1394">
        <f>IFERROR(VLOOKUP(M4613,#REF!,5,0),0)</f>
        <v>0</v>
      </c>
      <c r="V4613" s="1394">
        <f t="shared" si="1170"/>
        <v>0</v>
      </c>
      <c r="W4613" s="1394"/>
    </row>
    <row r="4614" spans="2:23" ht="30" customHeight="1">
      <c r="B4614" s="1405"/>
      <c r="C4614" s="1408" t="str">
        <f t="shared" si="1172"/>
        <v>B3 to F3</v>
      </c>
      <c r="D4614" s="1409">
        <f t="shared" ref="D4614:G4630" si="1174">D1233</f>
        <v>1</v>
      </c>
      <c r="E4614" s="1409">
        <f t="shared" si="1174"/>
        <v>1</v>
      </c>
      <c r="F4614" s="1410">
        <f t="shared" si="1174"/>
        <v>6.8849999999999998</v>
      </c>
      <c r="G4614" s="1410">
        <f t="shared" si="1174"/>
        <v>0.23</v>
      </c>
      <c r="H4614" s="1411"/>
      <c r="I4614" s="1406">
        <f t="shared" si="1173"/>
        <v>1.58355</v>
      </c>
      <c r="O4614" s="1395"/>
      <c r="Q4614" s="1394">
        <f>IFERROR(VLOOKUP(M4614,#REF!,3,0),0)</f>
        <v>0</v>
      </c>
      <c r="R4614" s="1394">
        <f t="shared" si="1161"/>
        <v>0</v>
      </c>
      <c r="S4614" s="1394">
        <f>IFERROR(VLOOKUP(M4614,#REF!,6,0),0)</f>
        <v>0</v>
      </c>
      <c r="T4614" s="1394">
        <f t="shared" si="1169"/>
        <v>0</v>
      </c>
      <c r="U4614" s="1394">
        <f>IFERROR(VLOOKUP(M4614,#REF!,5,0),0)</f>
        <v>0</v>
      </c>
      <c r="V4614" s="1394">
        <f t="shared" si="1170"/>
        <v>0</v>
      </c>
      <c r="W4614" s="1394"/>
    </row>
    <row r="4615" spans="2:23" ht="30" customHeight="1">
      <c r="B4615" s="1405"/>
      <c r="C4615" s="1408" t="str">
        <f t="shared" si="1172"/>
        <v>B4 to F4</v>
      </c>
      <c r="D4615" s="1409">
        <f t="shared" si="1174"/>
        <v>1</v>
      </c>
      <c r="E4615" s="1409">
        <f t="shared" si="1174"/>
        <v>1</v>
      </c>
      <c r="F4615" s="1410">
        <f t="shared" si="1174"/>
        <v>6.8849999999999998</v>
      </c>
      <c r="G4615" s="1410">
        <f t="shared" si="1174"/>
        <v>0.23</v>
      </c>
      <c r="H4615" s="1411"/>
      <c r="I4615" s="1406">
        <f t="shared" si="1173"/>
        <v>1.58355</v>
      </c>
      <c r="O4615" s="1395"/>
      <c r="Q4615" s="1394">
        <f>IFERROR(VLOOKUP(M4615,#REF!,3,0),0)</f>
        <v>0</v>
      </c>
      <c r="R4615" s="1394">
        <f t="shared" si="1161"/>
        <v>0</v>
      </c>
      <c r="S4615" s="1394">
        <f>IFERROR(VLOOKUP(M4615,#REF!,6,0),0)</f>
        <v>0</v>
      </c>
      <c r="T4615" s="1394">
        <f t="shared" si="1169"/>
        <v>0</v>
      </c>
      <c r="U4615" s="1394">
        <f>IFERROR(VLOOKUP(M4615,#REF!,5,0),0)</f>
        <v>0</v>
      </c>
      <c r="V4615" s="1394">
        <f t="shared" si="1170"/>
        <v>0</v>
      </c>
      <c r="W4615" s="1394"/>
    </row>
    <row r="4616" spans="2:23" ht="30" customHeight="1">
      <c r="B4616" s="1405"/>
      <c r="C4616" s="1408" t="str">
        <f t="shared" si="1172"/>
        <v>B5 to F5</v>
      </c>
      <c r="D4616" s="1409">
        <f t="shared" si="1174"/>
        <v>1</v>
      </c>
      <c r="E4616" s="1409">
        <f t="shared" si="1174"/>
        <v>1</v>
      </c>
      <c r="F4616" s="1410">
        <f t="shared" si="1174"/>
        <v>6.8849999999999998</v>
      </c>
      <c r="G4616" s="1410">
        <f t="shared" si="1174"/>
        <v>0.23</v>
      </c>
      <c r="H4616" s="1411"/>
      <c r="I4616" s="1406">
        <f t="shared" si="1173"/>
        <v>1.58355</v>
      </c>
      <c r="O4616" s="1395"/>
      <c r="Q4616" s="1394">
        <f>IFERROR(VLOOKUP(M4616,#REF!,3,0),0)</f>
        <v>0</v>
      </c>
      <c r="R4616" s="1394">
        <f t="shared" si="1161"/>
        <v>0</v>
      </c>
      <c r="S4616" s="1394">
        <f>IFERROR(VLOOKUP(M4616,#REF!,6,0),0)</f>
        <v>0</v>
      </c>
      <c r="T4616" s="1394">
        <f t="shared" si="1169"/>
        <v>0</v>
      </c>
      <c r="U4616" s="1394">
        <f>IFERROR(VLOOKUP(M4616,#REF!,5,0),0)</f>
        <v>0</v>
      </c>
      <c r="V4616" s="1394">
        <f t="shared" si="1170"/>
        <v>0</v>
      </c>
      <c r="W4616" s="1394"/>
    </row>
    <row r="4617" spans="2:23" ht="30" customHeight="1">
      <c r="B4617" s="1405"/>
      <c r="C4617" s="1408">
        <f t="shared" si="1172"/>
        <v>0</v>
      </c>
      <c r="D4617" s="1409">
        <f t="shared" si="1174"/>
        <v>0</v>
      </c>
      <c r="E4617" s="1409">
        <f t="shared" si="1174"/>
        <v>0</v>
      </c>
      <c r="F4617" s="1410">
        <f t="shared" si="1174"/>
        <v>0</v>
      </c>
      <c r="G4617" s="1410">
        <f t="shared" si="1174"/>
        <v>0</v>
      </c>
      <c r="H4617" s="1411"/>
      <c r="I4617" s="1406">
        <f t="shared" si="1173"/>
        <v>0</v>
      </c>
      <c r="O4617" s="1395"/>
      <c r="Q4617" s="1394">
        <f>IFERROR(VLOOKUP(M4617,#REF!,3,0),0)</f>
        <v>0</v>
      </c>
      <c r="R4617" s="1394">
        <f t="shared" si="1161"/>
        <v>0</v>
      </c>
      <c r="S4617" s="1394">
        <f>IFERROR(VLOOKUP(M4617,#REF!,6,0),0)</f>
        <v>0</v>
      </c>
      <c r="T4617" s="1394">
        <f t="shared" si="1169"/>
        <v>0</v>
      </c>
      <c r="U4617" s="1394">
        <f>IFERROR(VLOOKUP(M4617,#REF!,5,0),0)</f>
        <v>0</v>
      </c>
      <c r="V4617" s="1394">
        <f t="shared" si="1170"/>
        <v>0</v>
      </c>
      <c r="W4617" s="1394"/>
    </row>
    <row r="4618" spans="2:23" ht="30" customHeight="1">
      <c r="B4618" s="1405"/>
      <c r="C4618" s="1408" t="str">
        <f t="shared" si="1172"/>
        <v>Vertical beam</v>
      </c>
      <c r="D4618" s="1409">
        <f t="shared" si="1174"/>
        <v>0</v>
      </c>
      <c r="E4618" s="1409">
        <f t="shared" si="1174"/>
        <v>0</v>
      </c>
      <c r="F4618" s="1410">
        <f t="shared" si="1174"/>
        <v>0</v>
      </c>
      <c r="G4618" s="1410">
        <f t="shared" si="1174"/>
        <v>0</v>
      </c>
      <c r="H4618" s="1411"/>
      <c r="I4618" s="1406">
        <f t="shared" si="1173"/>
        <v>0</v>
      </c>
      <c r="O4618" s="1395"/>
      <c r="Q4618" s="1394">
        <f>IFERROR(VLOOKUP(M4618,#REF!,3,0),0)</f>
        <v>0</v>
      </c>
      <c r="R4618" s="1394">
        <f t="shared" si="1161"/>
        <v>0</v>
      </c>
      <c r="S4618" s="1394">
        <f>IFERROR(VLOOKUP(M4618,#REF!,6,0),0)</f>
        <v>0</v>
      </c>
      <c r="T4618" s="1394">
        <f t="shared" si="1169"/>
        <v>0</v>
      </c>
      <c r="U4618" s="1394">
        <f>IFERROR(VLOOKUP(M4618,#REF!,5,0),0)</f>
        <v>0</v>
      </c>
      <c r="V4618" s="1394">
        <f t="shared" si="1170"/>
        <v>0</v>
      </c>
      <c r="W4618" s="1394"/>
    </row>
    <row r="4619" spans="2:23" ht="30" customHeight="1">
      <c r="B4619" s="1405"/>
      <c r="C4619" s="1408" t="str">
        <f t="shared" si="1172"/>
        <v>B3 to B5</v>
      </c>
      <c r="D4619" s="1409">
        <f t="shared" si="1174"/>
        <v>1</v>
      </c>
      <c r="E4619" s="1409">
        <f t="shared" si="1174"/>
        <v>1</v>
      </c>
      <c r="F4619" s="1410">
        <f t="shared" si="1174"/>
        <v>5.5299999999999994</v>
      </c>
      <c r="G4619" s="1410">
        <f t="shared" si="1174"/>
        <v>0.23</v>
      </c>
      <c r="H4619" s="1411"/>
      <c r="I4619" s="1406">
        <f t="shared" si="1173"/>
        <v>1.2718999999999998</v>
      </c>
      <c r="J4619" s="1396"/>
      <c r="K4619" s="1396"/>
      <c r="O4619" s="1395"/>
      <c r="Q4619" s="1394">
        <f>IFERROR(VLOOKUP(M4619,#REF!,3,0),0)</f>
        <v>0</v>
      </c>
      <c r="R4619" s="1394">
        <f t="shared" si="1161"/>
        <v>0</v>
      </c>
      <c r="S4619" s="1394">
        <f>IFERROR(VLOOKUP(M4619,#REF!,6,0),0)</f>
        <v>0</v>
      </c>
      <c r="T4619" s="1394">
        <f t="shared" si="1169"/>
        <v>0</v>
      </c>
      <c r="U4619" s="1394">
        <f>IFERROR(VLOOKUP(M4619,#REF!,5,0),0)</f>
        <v>0</v>
      </c>
      <c r="V4619" s="1394">
        <f t="shared" si="1170"/>
        <v>0</v>
      </c>
      <c r="W4619" s="1394"/>
    </row>
    <row r="4620" spans="2:23" ht="30" customHeight="1">
      <c r="B4620" s="1405"/>
      <c r="C4620" s="1408" t="str">
        <f t="shared" si="1172"/>
        <v>C4 to C5</v>
      </c>
      <c r="D4620" s="1409">
        <f t="shared" si="1174"/>
        <v>1</v>
      </c>
      <c r="E4620" s="1409">
        <f t="shared" si="1174"/>
        <v>1</v>
      </c>
      <c r="F4620" s="1410">
        <f t="shared" si="1174"/>
        <v>2.5299999999999998</v>
      </c>
      <c r="G4620" s="1410">
        <f t="shared" si="1174"/>
        <v>0.23</v>
      </c>
      <c r="H4620" s="1411"/>
      <c r="I4620" s="1406">
        <f t="shared" si="1173"/>
        <v>0.58189999999999997</v>
      </c>
      <c r="O4620" s="1395"/>
      <c r="Q4620" s="1394">
        <f>IFERROR(VLOOKUP(M4620,#REF!,3,0),0)</f>
        <v>0</v>
      </c>
      <c r="R4620" s="1394">
        <f t="shared" si="1161"/>
        <v>0</v>
      </c>
      <c r="S4620" s="1394">
        <f>IFERROR(VLOOKUP(M4620,#REF!,6,0),0)</f>
        <v>0</v>
      </c>
      <c r="T4620" s="1394">
        <f t="shared" si="1169"/>
        <v>0</v>
      </c>
      <c r="U4620" s="1394">
        <f>IFERROR(VLOOKUP(M4620,#REF!,5,0),0)</f>
        <v>0</v>
      </c>
      <c r="V4620" s="1394">
        <f t="shared" si="1170"/>
        <v>0</v>
      </c>
      <c r="W4620" s="1394"/>
    </row>
    <row r="4621" spans="2:23" ht="30" customHeight="1">
      <c r="B4621" s="1405"/>
      <c r="C4621" s="1408" t="str">
        <f t="shared" si="1172"/>
        <v>Cross Beam</v>
      </c>
      <c r="D4621" s="1409">
        <f t="shared" si="1174"/>
        <v>1</v>
      </c>
      <c r="E4621" s="1409">
        <f t="shared" si="1174"/>
        <v>1</v>
      </c>
      <c r="F4621" s="1410">
        <f t="shared" si="1174"/>
        <v>3</v>
      </c>
      <c r="G4621" s="1410">
        <f t="shared" si="1174"/>
        <v>0.23</v>
      </c>
      <c r="H4621" s="1411"/>
      <c r="I4621" s="1406">
        <f t="shared" si="1173"/>
        <v>0.69000000000000006</v>
      </c>
      <c r="O4621" s="1395"/>
      <c r="Q4621" s="1394">
        <f>IFERROR(VLOOKUP(M4621,#REF!,3,0),0)</f>
        <v>0</v>
      </c>
      <c r="R4621" s="1394">
        <f t="shared" si="1161"/>
        <v>0</v>
      </c>
      <c r="S4621" s="1394">
        <f>IFERROR(VLOOKUP(M4621,#REF!,6,0),0)</f>
        <v>0</v>
      </c>
      <c r="T4621" s="1394">
        <f t="shared" si="1169"/>
        <v>0</v>
      </c>
      <c r="U4621" s="1394">
        <f>IFERROR(VLOOKUP(M4621,#REF!,5,0),0)</f>
        <v>0</v>
      </c>
      <c r="V4621" s="1394">
        <f t="shared" si="1170"/>
        <v>0</v>
      </c>
      <c r="W4621" s="1394"/>
    </row>
    <row r="4622" spans="2:23" ht="30" customHeight="1">
      <c r="B4622" s="1405"/>
      <c r="C4622" s="1408" t="str">
        <f t="shared" si="1172"/>
        <v>F3 to F5</v>
      </c>
      <c r="D4622" s="1409">
        <f t="shared" si="1174"/>
        <v>1</v>
      </c>
      <c r="E4622" s="1409">
        <f t="shared" si="1174"/>
        <v>1</v>
      </c>
      <c r="F4622" s="1410">
        <f t="shared" si="1174"/>
        <v>5.5299999999999994</v>
      </c>
      <c r="G4622" s="1410">
        <f t="shared" si="1174"/>
        <v>0.23</v>
      </c>
      <c r="H4622" s="1411"/>
      <c r="I4622" s="1406">
        <f t="shared" si="1173"/>
        <v>1.2718999999999998</v>
      </c>
      <c r="Q4622" s="1394">
        <f>IFERROR(VLOOKUP(M4622,#REF!,3,0),0)</f>
        <v>0</v>
      </c>
      <c r="R4622" s="1394">
        <f t="shared" si="1161"/>
        <v>0</v>
      </c>
      <c r="S4622" s="1394">
        <f>IFERROR(VLOOKUP(M4622,#REF!,6,0),0)</f>
        <v>0</v>
      </c>
      <c r="T4622" s="1394">
        <f t="shared" si="1169"/>
        <v>0</v>
      </c>
      <c r="U4622" s="1394">
        <f>IFERROR(VLOOKUP(M4622,#REF!,5,0),0)</f>
        <v>0</v>
      </c>
      <c r="V4622" s="1394">
        <f t="shared" si="1170"/>
        <v>0</v>
      </c>
      <c r="W4622" s="1394"/>
    </row>
    <row r="4623" spans="2:23" ht="30" customHeight="1">
      <c r="B4623" s="1405"/>
      <c r="C4623" s="1408">
        <f t="shared" si="1172"/>
        <v>0</v>
      </c>
      <c r="D4623" s="1409">
        <f t="shared" si="1174"/>
        <v>0</v>
      </c>
      <c r="E4623" s="1409">
        <f t="shared" si="1174"/>
        <v>0</v>
      </c>
      <c r="F4623" s="1410">
        <f t="shared" si="1174"/>
        <v>0</v>
      </c>
      <c r="G4623" s="1410">
        <f t="shared" si="1174"/>
        <v>0</v>
      </c>
      <c r="H4623" s="1411">
        <f>H1242</f>
        <v>0</v>
      </c>
      <c r="I4623" s="1406">
        <f t="shared" si="1173"/>
        <v>0</v>
      </c>
      <c r="Q4623" s="1394">
        <f>IFERROR(VLOOKUP(M4623,#REF!,3,0),0)</f>
        <v>0</v>
      </c>
      <c r="R4623" s="1394">
        <f t="shared" si="1161"/>
        <v>0</v>
      </c>
      <c r="S4623" s="1394">
        <f>IFERROR(VLOOKUP(M4623,#REF!,6,0),0)</f>
        <v>0</v>
      </c>
      <c r="T4623" s="1394">
        <f t="shared" si="1169"/>
        <v>0</v>
      </c>
      <c r="U4623" s="1394">
        <f>IFERROR(VLOOKUP(M4623,#REF!,5,0),0)</f>
        <v>0</v>
      </c>
      <c r="V4623" s="1394">
        <f t="shared" si="1170"/>
        <v>0</v>
      </c>
      <c r="W4623" s="1394"/>
    </row>
    <row r="4624" spans="2:23" ht="30" customHeight="1">
      <c r="B4624" s="1405"/>
      <c r="C4624" s="1408" t="str">
        <f t="shared" si="1172"/>
        <v>Roof slab</v>
      </c>
      <c r="D4624" s="1409">
        <f t="shared" si="1174"/>
        <v>0</v>
      </c>
      <c r="E4624" s="1409">
        <f t="shared" si="1174"/>
        <v>0</v>
      </c>
      <c r="F4624" s="1410">
        <f t="shared" si="1174"/>
        <v>0</v>
      </c>
      <c r="G4624" s="1410">
        <f t="shared" si="1174"/>
        <v>0</v>
      </c>
      <c r="H4624" s="1410">
        <f>H1243</f>
        <v>0</v>
      </c>
      <c r="I4624" s="1406">
        <f t="shared" si="1164"/>
        <v>0</v>
      </c>
      <c r="Q4624" s="1394">
        <f>IFERROR(VLOOKUP(M4624,#REF!,3,0),0)</f>
        <v>0</v>
      </c>
      <c r="R4624" s="1394">
        <f t="shared" si="1161"/>
        <v>0</v>
      </c>
      <c r="S4624" s="1394">
        <f>IFERROR(VLOOKUP(M4624,#REF!,6,0),0)</f>
        <v>0</v>
      </c>
      <c r="T4624" s="1394">
        <f t="shared" si="1169"/>
        <v>0</v>
      </c>
      <c r="U4624" s="1394">
        <f>IFERROR(VLOOKUP(M4624,#REF!,5,0),0)</f>
        <v>0</v>
      </c>
      <c r="V4624" s="1394">
        <f t="shared" si="1170"/>
        <v>0</v>
      </c>
      <c r="W4624" s="1394"/>
    </row>
    <row r="4625" spans="2:23" ht="30" customHeight="1">
      <c r="B4625" s="1405"/>
      <c r="C4625" s="1415" t="str">
        <f t="shared" si="1172"/>
        <v xml:space="preserve">Head Room </v>
      </c>
      <c r="D4625" s="1409">
        <f t="shared" si="1174"/>
        <v>1</v>
      </c>
      <c r="E4625" s="1409">
        <f t="shared" si="1174"/>
        <v>1</v>
      </c>
      <c r="F4625" s="1410">
        <f t="shared" si="1174"/>
        <v>3.9</v>
      </c>
      <c r="G4625" s="1410">
        <f t="shared" si="1174"/>
        <v>2.77</v>
      </c>
      <c r="H4625" s="1411"/>
      <c r="I4625" s="1406">
        <f t="shared" si="1164"/>
        <v>10.802999999999999</v>
      </c>
      <c r="Q4625" s="1394">
        <f>IFERROR(VLOOKUP(M4625,#REF!,3,0),0)</f>
        <v>0</v>
      </c>
      <c r="R4625" s="1394">
        <f t="shared" si="1161"/>
        <v>0</v>
      </c>
      <c r="S4625" s="1394">
        <f>IFERROR(VLOOKUP(M4625,#REF!,6,0),0)</f>
        <v>0</v>
      </c>
      <c r="T4625" s="1394">
        <f t="shared" si="1169"/>
        <v>0</v>
      </c>
      <c r="U4625" s="1394">
        <f>IFERROR(VLOOKUP(M4625,#REF!,5,0),0)</f>
        <v>0</v>
      </c>
      <c r="V4625" s="1394">
        <f t="shared" si="1170"/>
        <v>0</v>
      </c>
      <c r="W4625" s="1394"/>
    </row>
    <row r="4626" spans="2:23" ht="30" customHeight="1">
      <c r="B4626" s="1405"/>
      <c r="C4626" s="1408" t="str">
        <f t="shared" si="1172"/>
        <v>Lobby</v>
      </c>
      <c r="D4626" s="1409">
        <f t="shared" si="1174"/>
        <v>1</v>
      </c>
      <c r="E4626" s="1409">
        <f t="shared" si="1174"/>
        <v>1</v>
      </c>
      <c r="F4626" s="1410">
        <f t="shared" si="1174"/>
        <v>2.5249999999999999</v>
      </c>
      <c r="G4626" s="1410">
        <f t="shared" si="1174"/>
        <v>2.77</v>
      </c>
      <c r="H4626" s="1410"/>
      <c r="I4626" s="1406">
        <f t="shared" si="1164"/>
        <v>6.9942500000000001</v>
      </c>
      <c r="Q4626" s="1394">
        <f>IFERROR(VLOOKUP(M4626,#REF!,3,0),0)</f>
        <v>0</v>
      </c>
      <c r="R4626" s="1394">
        <f t="shared" si="1161"/>
        <v>0</v>
      </c>
      <c r="S4626" s="1394">
        <f>IFERROR(VLOOKUP(M4626,#REF!,6,0),0)</f>
        <v>0</v>
      </c>
      <c r="T4626" s="1394">
        <f t="shared" si="1169"/>
        <v>0</v>
      </c>
      <c r="U4626" s="1394">
        <f>IFERROR(VLOOKUP(M4626,#REF!,5,0),0)</f>
        <v>0</v>
      </c>
      <c r="V4626" s="1394">
        <f t="shared" si="1170"/>
        <v>0</v>
      </c>
      <c r="W4626" s="1394"/>
    </row>
    <row r="4627" spans="2:23" ht="30" customHeight="1">
      <c r="B4627" s="1405"/>
      <c r="C4627" s="1408" t="str">
        <f t="shared" si="1172"/>
        <v>Lift Room</v>
      </c>
      <c r="D4627" s="1409">
        <f t="shared" si="1174"/>
        <v>1</v>
      </c>
      <c r="E4627" s="1409">
        <f t="shared" si="1174"/>
        <v>1</v>
      </c>
      <c r="F4627" s="1410">
        <f t="shared" si="1174"/>
        <v>2.1</v>
      </c>
      <c r="G4627" s="1410">
        <f t="shared" si="1174"/>
        <v>2.2999999999999998</v>
      </c>
      <c r="H4627" s="1410"/>
      <c r="I4627" s="1406">
        <f t="shared" si="1164"/>
        <v>4.83</v>
      </c>
      <c r="Q4627" s="1394">
        <f>IFERROR(VLOOKUP(M4627,#REF!,3,0),0)</f>
        <v>0</v>
      </c>
      <c r="R4627" s="1394">
        <f t="shared" si="1161"/>
        <v>0</v>
      </c>
      <c r="S4627" s="1394">
        <f>IFERROR(VLOOKUP(M4627,#REF!,6,0),0)</f>
        <v>0</v>
      </c>
      <c r="T4627" s="1394">
        <f t="shared" si="1169"/>
        <v>0</v>
      </c>
      <c r="U4627" s="1394">
        <f>IFERROR(VLOOKUP(M4627,#REF!,5,0),0)</f>
        <v>0</v>
      </c>
      <c r="V4627" s="1394">
        <f t="shared" si="1170"/>
        <v>0</v>
      </c>
      <c r="W4627" s="1394"/>
    </row>
    <row r="4628" spans="2:23" ht="30" customHeight="1">
      <c r="B4628" s="1405"/>
      <c r="C4628" s="1408" t="str">
        <f t="shared" si="1172"/>
        <v>Lift Machine Room</v>
      </c>
      <c r="D4628" s="1409">
        <f t="shared" si="1174"/>
        <v>1</v>
      </c>
      <c r="E4628" s="1409">
        <f t="shared" si="1174"/>
        <v>1</v>
      </c>
      <c r="F4628" s="1410">
        <f t="shared" si="1174"/>
        <v>4.3250000000000002</v>
      </c>
      <c r="G4628" s="1410">
        <f t="shared" si="1174"/>
        <v>2.2999999999999998</v>
      </c>
      <c r="H4628" s="1410"/>
      <c r="I4628" s="1406">
        <f t="shared" si="1164"/>
        <v>9.9474999999999998</v>
      </c>
      <c r="Q4628" s="1394">
        <f>IFERROR(VLOOKUP(M4628,#REF!,3,0),0)</f>
        <v>0</v>
      </c>
      <c r="R4628" s="1394">
        <f t="shared" si="1161"/>
        <v>0</v>
      </c>
      <c r="S4628" s="1394">
        <f>IFERROR(VLOOKUP(M4628,#REF!,6,0),0)</f>
        <v>0</v>
      </c>
      <c r="T4628" s="1394">
        <f t="shared" si="1169"/>
        <v>0</v>
      </c>
      <c r="U4628" s="1394">
        <f>IFERROR(VLOOKUP(M4628,#REF!,5,0),0)</f>
        <v>0</v>
      </c>
      <c r="V4628" s="1394">
        <f t="shared" si="1170"/>
        <v>0</v>
      </c>
      <c r="W4628" s="1394"/>
    </row>
    <row r="4629" spans="2:23" ht="30" customHeight="1">
      <c r="B4629" s="1405"/>
      <c r="C4629" s="1408">
        <f t="shared" si="1172"/>
        <v>0</v>
      </c>
      <c r="D4629" s="1409">
        <f t="shared" si="1174"/>
        <v>0</v>
      </c>
      <c r="E4629" s="1409">
        <f t="shared" si="1174"/>
        <v>0</v>
      </c>
      <c r="F4629" s="1410">
        <f t="shared" si="1174"/>
        <v>0</v>
      </c>
      <c r="G4629" s="1410">
        <f t="shared" si="1174"/>
        <v>0</v>
      </c>
      <c r="H4629" s="1410">
        <f>H1248</f>
        <v>0</v>
      </c>
      <c r="I4629" s="1406">
        <f t="shared" si="1164"/>
        <v>0</v>
      </c>
      <c r="Q4629" s="1394">
        <f>IFERROR(VLOOKUP(M4629,#REF!,3,0),0)</f>
        <v>0</v>
      </c>
      <c r="R4629" s="1394">
        <f t="shared" si="1161"/>
        <v>0</v>
      </c>
      <c r="S4629" s="1394">
        <f>IFERROR(VLOOKUP(M4629,#REF!,6,0),0)</f>
        <v>0</v>
      </c>
      <c r="T4629" s="1394">
        <f t="shared" si="1169"/>
        <v>0</v>
      </c>
      <c r="U4629" s="1394">
        <f>IFERROR(VLOOKUP(M4629,#REF!,5,0),0)</f>
        <v>0</v>
      </c>
      <c r="V4629" s="1394">
        <f t="shared" si="1170"/>
        <v>0</v>
      </c>
      <c r="W4629" s="1394"/>
    </row>
    <row r="4630" spans="2:23" ht="30" customHeight="1">
      <c r="B4630" s="1405"/>
      <c r="C4630" s="1408" t="str">
        <f t="shared" si="1172"/>
        <v>Water Tank</v>
      </c>
      <c r="D4630" s="1409">
        <f t="shared" si="1174"/>
        <v>0</v>
      </c>
      <c r="E4630" s="1409">
        <f t="shared" si="1174"/>
        <v>0</v>
      </c>
      <c r="F4630" s="1410">
        <f t="shared" si="1174"/>
        <v>0</v>
      </c>
      <c r="G4630" s="1410">
        <f t="shared" si="1174"/>
        <v>0</v>
      </c>
      <c r="H4630" s="1410">
        <f>H1249</f>
        <v>0</v>
      </c>
      <c r="I4630" s="1406">
        <f t="shared" si="1164"/>
        <v>0</v>
      </c>
      <c r="Q4630" s="1394">
        <f>IFERROR(VLOOKUP(M4630,#REF!,3,0),0)</f>
        <v>0</v>
      </c>
      <c r="R4630" s="1394">
        <f t="shared" si="1161"/>
        <v>0</v>
      </c>
      <c r="S4630" s="1394">
        <f>IFERROR(VLOOKUP(M4630,#REF!,6,0),0)</f>
        <v>0</v>
      </c>
      <c r="T4630" s="1394">
        <f t="shared" si="1169"/>
        <v>0</v>
      </c>
      <c r="U4630" s="1394">
        <f>IFERROR(VLOOKUP(M4630,#REF!,5,0),0)</f>
        <v>0</v>
      </c>
      <c r="V4630" s="1394">
        <f t="shared" si="1170"/>
        <v>0</v>
      </c>
      <c r="W4630" s="1394"/>
    </row>
    <row r="4631" spans="2:23" ht="30" customHeight="1">
      <c r="B4631" s="1405"/>
      <c r="C4631" s="1415" t="str">
        <f t="shared" si="1172"/>
        <v>Horizontal beam</v>
      </c>
      <c r="D4631" s="1409">
        <v>2</v>
      </c>
      <c r="E4631" s="1409">
        <f t="shared" ref="E4631:F4637" si="1175">E1250</f>
        <v>2</v>
      </c>
      <c r="F4631" s="1410">
        <f t="shared" si="1175"/>
        <v>4.2300000000000004</v>
      </c>
      <c r="G4631" s="1410"/>
      <c r="H4631" s="1411">
        <f>H1250</f>
        <v>0.45</v>
      </c>
      <c r="I4631" s="1406">
        <f t="shared" si="1164"/>
        <v>7.6140000000000008</v>
      </c>
      <c r="Q4631" s="1394">
        <f>IFERROR(VLOOKUP(M4631,#REF!,3,0),0)</f>
        <v>0</v>
      </c>
      <c r="R4631" s="1394">
        <f t="shared" si="1161"/>
        <v>0</v>
      </c>
      <c r="S4631" s="1394">
        <f>IFERROR(VLOOKUP(M4631,#REF!,6,0),0)</f>
        <v>0</v>
      </c>
      <c r="T4631" s="1394">
        <f t="shared" si="1169"/>
        <v>0</v>
      </c>
      <c r="U4631" s="1394">
        <f>IFERROR(VLOOKUP(M4631,#REF!,5,0),0)</f>
        <v>0</v>
      </c>
      <c r="V4631" s="1394">
        <f t="shared" si="1170"/>
        <v>0</v>
      </c>
      <c r="W4631" s="1394"/>
    </row>
    <row r="4632" spans="2:23" ht="30" customHeight="1">
      <c r="B4632" s="1405"/>
      <c r="C4632" s="1408" t="str">
        <f t="shared" si="1172"/>
        <v>Vertical beam</v>
      </c>
      <c r="D4632" s="1409">
        <v>2</v>
      </c>
      <c r="E4632" s="1409">
        <f t="shared" si="1175"/>
        <v>2</v>
      </c>
      <c r="F4632" s="1410">
        <f t="shared" si="1175"/>
        <v>3</v>
      </c>
      <c r="G4632" s="1410"/>
      <c r="H4632" s="1411">
        <f>H1251</f>
        <v>0.45</v>
      </c>
      <c r="I4632" s="1406">
        <f t="shared" si="1164"/>
        <v>5.4</v>
      </c>
      <c r="Q4632" s="1394">
        <f>IFERROR(VLOOKUP(M4632,#REF!,3,0),0)</f>
        <v>0</v>
      </c>
      <c r="R4632" s="1394">
        <f t="shared" si="1161"/>
        <v>0</v>
      </c>
      <c r="S4632" s="1394">
        <f>IFERROR(VLOOKUP(M4632,#REF!,6,0),0)</f>
        <v>0</v>
      </c>
      <c r="T4632" s="1394">
        <f t="shared" si="1169"/>
        <v>0</v>
      </c>
      <c r="U4632" s="1394">
        <f>IFERROR(VLOOKUP(M4632,#REF!,5,0),0)</f>
        <v>0</v>
      </c>
      <c r="V4632" s="1394">
        <f t="shared" si="1170"/>
        <v>0</v>
      </c>
      <c r="W4632" s="1394"/>
    </row>
    <row r="4633" spans="2:23" ht="30" customHeight="1">
      <c r="B4633" s="1405"/>
      <c r="C4633" s="1408" t="str">
        <f t="shared" si="1172"/>
        <v>Vertical beam</v>
      </c>
      <c r="D4633" s="1409">
        <v>2</v>
      </c>
      <c r="E4633" s="1409">
        <f t="shared" si="1175"/>
        <v>1</v>
      </c>
      <c r="F4633" s="1410">
        <f t="shared" si="1175"/>
        <v>3</v>
      </c>
      <c r="G4633" s="1410"/>
      <c r="H4633" s="1411">
        <f>H1252</f>
        <v>0.38</v>
      </c>
      <c r="I4633" s="1406">
        <f t="shared" si="1164"/>
        <v>2.2800000000000002</v>
      </c>
      <c r="Q4633" s="1394">
        <f>IFERROR(VLOOKUP(M4633,#REF!,3,0),0)</f>
        <v>0</v>
      </c>
      <c r="R4633" s="1394">
        <f t="shared" si="1161"/>
        <v>0</v>
      </c>
      <c r="S4633" s="1394">
        <f>IFERROR(VLOOKUP(M4633,#REF!,6,0),0)</f>
        <v>0</v>
      </c>
      <c r="T4633" s="1394">
        <f t="shared" si="1169"/>
        <v>0</v>
      </c>
      <c r="U4633" s="1394">
        <f>IFERROR(VLOOKUP(M4633,#REF!,5,0),0)</f>
        <v>0</v>
      </c>
      <c r="V4633" s="1394">
        <f t="shared" si="1170"/>
        <v>0</v>
      </c>
      <c r="W4633" s="1394"/>
    </row>
    <row r="4634" spans="2:23" ht="30" customHeight="1">
      <c r="B4634" s="1405"/>
      <c r="C4634" s="1408" t="str">
        <f t="shared" si="1172"/>
        <v>Roof Slab</v>
      </c>
      <c r="D4634" s="1409">
        <f>D1253</f>
        <v>1</v>
      </c>
      <c r="E4634" s="1409">
        <f t="shared" si="1175"/>
        <v>2</v>
      </c>
      <c r="F4634" s="1410">
        <f t="shared" si="1175"/>
        <v>1.885</v>
      </c>
      <c r="G4634" s="1410">
        <f>G1253</f>
        <v>2.77</v>
      </c>
      <c r="H4634" s="1411"/>
      <c r="I4634" s="1406">
        <f t="shared" si="1164"/>
        <v>10.4429</v>
      </c>
      <c r="Q4634" s="1394">
        <f>IFERROR(VLOOKUP(M4634,#REF!,3,0),0)</f>
        <v>0</v>
      </c>
      <c r="R4634" s="1394">
        <f t="shared" si="1161"/>
        <v>0</v>
      </c>
      <c r="S4634" s="1394">
        <f>IFERROR(VLOOKUP(M4634,#REF!,6,0),0)</f>
        <v>0</v>
      </c>
      <c r="T4634" s="1394">
        <f t="shared" si="1169"/>
        <v>0</v>
      </c>
      <c r="U4634" s="1394">
        <f>IFERROR(VLOOKUP(M4634,#REF!,5,0),0)</f>
        <v>0</v>
      </c>
      <c r="V4634" s="1394">
        <f t="shared" si="1170"/>
        <v>0</v>
      </c>
      <c r="W4634" s="1394"/>
    </row>
    <row r="4635" spans="2:23" ht="30" customHeight="1">
      <c r="B4635" s="1405"/>
      <c r="C4635" s="1408" t="str">
        <f t="shared" si="1172"/>
        <v>Water Tank wall Concrete</v>
      </c>
      <c r="D4635" s="1409">
        <f>D1254*2</f>
        <v>2</v>
      </c>
      <c r="E4635" s="1409">
        <f t="shared" si="1175"/>
        <v>1</v>
      </c>
      <c r="F4635" s="1410">
        <f t="shared" si="1175"/>
        <v>14.46</v>
      </c>
      <c r="G4635" s="1410"/>
      <c r="H4635" s="1410">
        <f>H1254</f>
        <v>1</v>
      </c>
      <c r="I4635" s="1406">
        <f t="shared" si="1164"/>
        <v>28.92</v>
      </c>
      <c r="Q4635" s="1394">
        <f>IFERROR(VLOOKUP(M4635,#REF!,3,0),0)</f>
        <v>0</v>
      </c>
      <c r="R4635" s="1394">
        <f t="shared" si="1161"/>
        <v>0</v>
      </c>
      <c r="S4635" s="1394">
        <f>IFERROR(VLOOKUP(M4635,#REF!,6,0),0)</f>
        <v>0</v>
      </c>
      <c r="T4635" s="1394">
        <f t="shared" si="1169"/>
        <v>0</v>
      </c>
      <c r="U4635" s="1394">
        <f>IFERROR(VLOOKUP(M4635,#REF!,5,0),0)</f>
        <v>0</v>
      </c>
      <c r="V4635" s="1394">
        <f t="shared" si="1170"/>
        <v>0</v>
      </c>
      <c r="W4635" s="1394"/>
    </row>
    <row r="4636" spans="2:23" ht="30" customHeight="1">
      <c r="B4636" s="1405"/>
      <c r="C4636" s="1408" t="str">
        <f t="shared" si="1172"/>
        <v>Water Tank Center wall Concrete</v>
      </c>
      <c r="D4636" s="1409">
        <f>D1255*2</f>
        <v>2</v>
      </c>
      <c r="E4636" s="1409">
        <f t="shared" si="1175"/>
        <v>1</v>
      </c>
      <c r="F4636" s="1410">
        <f t="shared" si="1175"/>
        <v>3</v>
      </c>
      <c r="G4636" s="1410"/>
      <c r="H4636" s="1411">
        <f>H1255</f>
        <v>1</v>
      </c>
      <c r="I4636" s="1406">
        <f t="shared" si="1164"/>
        <v>6</v>
      </c>
      <c r="Q4636" s="1394">
        <f>IFERROR(VLOOKUP(M4636,#REF!,3,0),0)</f>
        <v>0</v>
      </c>
      <c r="R4636" s="1394">
        <f t="shared" si="1161"/>
        <v>0</v>
      </c>
      <c r="S4636" s="1394">
        <f>IFERROR(VLOOKUP(M4636,#REF!,6,0),0)</f>
        <v>0</v>
      </c>
      <c r="T4636" s="1394">
        <f t="shared" si="1169"/>
        <v>0</v>
      </c>
      <c r="U4636" s="1394">
        <f>IFERROR(VLOOKUP(M4636,#REF!,5,0),0)</f>
        <v>0</v>
      </c>
      <c r="V4636" s="1394">
        <f t="shared" si="1170"/>
        <v>0</v>
      </c>
      <c r="W4636" s="1394"/>
    </row>
    <row r="4637" spans="2:23" ht="30" customHeight="1">
      <c r="B4637" s="1405"/>
      <c r="C4637" s="1408" t="str">
        <f t="shared" si="1172"/>
        <v>Water Tank Cover Slab</v>
      </c>
      <c r="D4637" s="1409">
        <f>D1256</f>
        <v>1</v>
      </c>
      <c r="E4637" s="1409">
        <f t="shared" si="1175"/>
        <v>2</v>
      </c>
      <c r="F4637" s="1410">
        <f t="shared" si="1175"/>
        <v>1.925</v>
      </c>
      <c r="G4637" s="1410">
        <f>G1256</f>
        <v>2.77</v>
      </c>
      <c r="H4637" s="1411"/>
      <c r="I4637" s="1406">
        <f t="shared" si="1164"/>
        <v>10.6645</v>
      </c>
      <c r="Q4637" s="1394">
        <f>IFERROR(VLOOKUP(M4637,#REF!,3,0),0)</f>
        <v>0</v>
      </c>
      <c r="R4637" s="1394">
        <f t="shared" si="1161"/>
        <v>0</v>
      </c>
      <c r="S4637" s="1394">
        <f>IFERROR(VLOOKUP(M4637,#REF!,6,0),0)</f>
        <v>0</v>
      </c>
      <c r="T4637" s="1394">
        <f t="shared" si="1169"/>
        <v>0</v>
      </c>
      <c r="U4637" s="1394">
        <f>IFERROR(VLOOKUP(M4637,#REF!,5,0),0)</f>
        <v>0</v>
      </c>
      <c r="V4637" s="1394">
        <f t="shared" si="1170"/>
        <v>0</v>
      </c>
      <c r="W4637" s="1394"/>
    </row>
    <row r="4638" spans="2:23" s="1394" customFormat="1" ht="30" customHeight="1">
      <c r="B4638" s="1421"/>
      <c r="C4638" s="1422"/>
      <c r="D4638" s="1389"/>
      <c r="E4638" s="1389"/>
      <c r="F4638" s="1423"/>
      <c r="G4638" s="1423"/>
      <c r="H4638" s="1424"/>
      <c r="I4638" s="1425"/>
      <c r="M4638" s="1426"/>
      <c r="Q4638" s="1394">
        <f>IFERROR(VLOOKUP(M4638,#REF!,3,0),0)</f>
        <v>0</v>
      </c>
      <c r="R4638" s="1394">
        <f t="shared" si="1161"/>
        <v>0</v>
      </c>
      <c r="S4638" s="1394">
        <f>IFERROR(VLOOKUP(M4638,#REF!,6,0),0)</f>
        <v>0</v>
      </c>
      <c r="T4638" s="1394">
        <f t="shared" si="1169"/>
        <v>0</v>
      </c>
      <c r="U4638" s="1394">
        <f>IFERROR(VLOOKUP(M4638,#REF!,5,0),0)</f>
        <v>0</v>
      </c>
      <c r="V4638" s="1394">
        <f t="shared" si="1170"/>
        <v>0</v>
      </c>
    </row>
    <row r="4639" spans="2:23" s="1394" customFormat="1" ht="30" customHeight="1">
      <c r="B4639" s="1421"/>
      <c r="C4639" s="1422"/>
      <c r="D4639" s="1389"/>
      <c r="E4639" s="1389"/>
      <c r="F4639" s="1423"/>
      <c r="G4639" s="1423"/>
      <c r="H4639" s="1424"/>
      <c r="I4639" s="1425"/>
      <c r="M4639" s="1426"/>
      <c r="Q4639" s="1394">
        <f>IFERROR(VLOOKUP(M4639,#REF!,3,0),0)</f>
        <v>0</v>
      </c>
      <c r="R4639" s="1394">
        <f t="shared" si="1161"/>
        <v>0</v>
      </c>
      <c r="S4639" s="1394">
        <f>IFERROR(VLOOKUP(M4639,#REF!,6,0),0)</f>
        <v>0</v>
      </c>
      <c r="T4639" s="1394">
        <f t="shared" si="1169"/>
        <v>0</v>
      </c>
      <c r="U4639" s="1394">
        <f>IFERROR(VLOOKUP(M4639,#REF!,5,0),0)</f>
        <v>0</v>
      </c>
      <c r="V4639" s="1394">
        <f t="shared" si="1170"/>
        <v>0</v>
      </c>
    </row>
    <row r="4640" spans="2:23" s="1394" customFormat="1" ht="30" customHeight="1">
      <c r="B4640" s="1421"/>
      <c r="C4640" s="1422"/>
      <c r="D4640" s="1389"/>
      <c r="E4640" s="1389"/>
      <c r="F4640" s="1423"/>
      <c r="G4640" s="1423"/>
      <c r="H4640" s="1424"/>
      <c r="I4640" s="1471">
        <f>J4641-J4640</f>
        <v>0.82601000000090608</v>
      </c>
      <c r="J4640" s="1456">
        <f>SUM(I3984:I4639)</f>
        <v>1970.1739899999991</v>
      </c>
      <c r="M4640" s="1426"/>
      <c r="Q4640" s="1394">
        <f>IFERROR(VLOOKUP(M4640,#REF!,3,0),0)</f>
        <v>0</v>
      </c>
      <c r="R4640" s="1394">
        <f t="shared" si="1161"/>
        <v>0</v>
      </c>
      <c r="S4640" s="1394">
        <f>IFERROR(VLOOKUP(M4640,#REF!,6,0),0)</f>
        <v>0</v>
      </c>
      <c r="T4640" s="1394">
        <f t="shared" si="1169"/>
        <v>0</v>
      </c>
      <c r="U4640" s="1394">
        <f>IFERROR(VLOOKUP(M4640,#REF!,5,0),0)</f>
        <v>0</v>
      </c>
      <c r="V4640" s="1394">
        <f t="shared" si="1170"/>
        <v>0</v>
      </c>
    </row>
    <row r="4641" spans="1:24" s="1394" customFormat="1" ht="30" customHeight="1">
      <c r="B4641" s="1421"/>
      <c r="C4641" s="1457"/>
      <c r="D4641" s="1389"/>
      <c r="E4641" s="1389"/>
      <c r="F4641" s="1423"/>
      <c r="G4641" s="1423"/>
      <c r="H4641" s="1424"/>
      <c r="I4641" s="1487">
        <f>+J4641</f>
        <v>1971</v>
      </c>
      <c r="J4641" s="1456">
        <f>ROUNDUP(J4640,0)</f>
        <v>1971</v>
      </c>
      <c r="M4641" s="1426"/>
      <c r="Q4641" s="1394">
        <f>IFERROR(VLOOKUP(M4641,#REF!,3,0),0)</f>
        <v>0</v>
      </c>
      <c r="R4641" s="1394">
        <f t="shared" si="1161"/>
        <v>0</v>
      </c>
      <c r="S4641" s="1394">
        <f>IFERROR(VLOOKUP(M4641,#REF!,6,0),0)</f>
        <v>0</v>
      </c>
      <c r="T4641" s="1394">
        <f t="shared" si="1169"/>
        <v>0</v>
      </c>
      <c r="U4641" s="1394">
        <f>IFERROR(VLOOKUP(M4641,#REF!,5,0),0)</f>
        <v>0</v>
      </c>
      <c r="V4641" s="1394">
        <f t="shared" si="1170"/>
        <v>0</v>
      </c>
    </row>
    <row r="4642" spans="1:24" s="1394" customFormat="1" ht="30" customHeight="1">
      <c r="B4642" s="1421"/>
      <c r="C4642" s="1422"/>
      <c r="D4642" s="1389"/>
      <c r="E4642" s="1389"/>
      <c r="F4642" s="1423"/>
      <c r="G4642" s="1428" t="s">
        <v>11</v>
      </c>
      <c r="H4642" s="1429">
        <f>I4641</f>
        <v>1971</v>
      </c>
      <c r="I4642" s="1427" t="s">
        <v>26</v>
      </c>
      <c r="M4642" s="1394" t="str">
        <f>A3983</f>
        <v>b.Plain surfaces such as Roof slab,floorslab,Beams,lintels,lofts,sill slab,staircase,portico slab and other similar works</v>
      </c>
      <c r="N4642" s="1394">
        <f>B3978</f>
        <v>0</v>
      </c>
      <c r="O4642" s="1394">
        <f>H4642</f>
        <v>1971</v>
      </c>
      <c r="P4642" s="1394" t="str">
        <f>I4642</f>
        <v>Sqm</v>
      </c>
      <c r="Q4642" s="1394">
        <f>IFERROR(VLOOKUP(M4642,#REF!,3,0),0)</f>
        <v>0</v>
      </c>
      <c r="R4642" s="1394">
        <f t="shared" si="1161"/>
        <v>0</v>
      </c>
      <c r="S4642" s="1394">
        <f>IFERROR(VLOOKUP(M4642,#REF!,6,0),0)</f>
        <v>0</v>
      </c>
      <c r="T4642" s="1394">
        <f t="shared" si="1169"/>
        <v>0</v>
      </c>
      <c r="U4642" s="1394">
        <f>IFERROR(VLOOKUP(M4642,#REF!,5,0),0)</f>
        <v>0</v>
      </c>
      <c r="V4642" s="1394">
        <f t="shared" si="1170"/>
        <v>1971</v>
      </c>
    </row>
    <row r="4643" spans="1:24" ht="60" customHeight="1">
      <c r="A4643" s="110" t="s">
        <v>159</v>
      </c>
      <c r="B4643" s="1407"/>
      <c r="C4643" s="1678" t="e">
        <f>VLOOKUP(A4643,#REF!,2,0)</f>
        <v>#REF!</v>
      </c>
      <c r="D4643" s="1678"/>
      <c r="E4643" s="1678"/>
      <c r="F4643" s="1678"/>
      <c r="G4643" s="1678"/>
      <c r="H4643" s="1678"/>
      <c r="I4643" s="1406"/>
      <c r="Q4643" s="1394">
        <f>IFERROR(VLOOKUP(M4643,#REF!,3,0),0)</f>
        <v>0</v>
      </c>
      <c r="R4643" s="1394">
        <f t="shared" si="1161"/>
        <v>0</v>
      </c>
      <c r="S4643" s="1394">
        <f>IFERROR(VLOOKUP(M4643,#REF!,6,0),0)</f>
        <v>0</v>
      </c>
      <c r="T4643" s="1394">
        <f t="shared" si="1169"/>
        <v>0</v>
      </c>
      <c r="U4643" s="1394">
        <f>IFERROR(VLOOKUP(M4643,#REF!,5,0),0)</f>
        <v>0</v>
      </c>
      <c r="V4643" s="1394">
        <f t="shared" si="1170"/>
        <v>0</v>
      </c>
      <c r="W4643" s="1394"/>
      <c r="X4643" s="1397"/>
    </row>
    <row r="4644" spans="1:24" ht="30" customHeight="1">
      <c r="B4644" s="1407"/>
      <c r="C4644" s="1415" t="s">
        <v>538</v>
      </c>
      <c r="D4644" s="1409"/>
      <c r="E4644" s="1409"/>
      <c r="F4644" s="1410"/>
      <c r="G4644" s="1410"/>
      <c r="H4644" s="1411"/>
      <c r="I4644" s="1487">
        <f>H597</f>
        <v>148.5</v>
      </c>
      <c r="Q4644" s="1394">
        <f>IFERROR(VLOOKUP(M4644,#REF!,3,0),0)</f>
        <v>0</v>
      </c>
      <c r="R4644" s="1394">
        <f t="shared" si="1161"/>
        <v>0</v>
      </c>
      <c r="S4644" s="1394">
        <f>IFERROR(VLOOKUP(M4644,#REF!,6,0),0)</f>
        <v>0</v>
      </c>
      <c r="T4644" s="1394">
        <f t="shared" si="1169"/>
        <v>0</v>
      </c>
      <c r="U4644" s="1394">
        <f>IFERROR(VLOOKUP(M4644,#REF!,5,0),0)</f>
        <v>0</v>
      </c>
      <c r="V4644" s="1394">
        <f t="shared" si="1170"/>
        <v>0</v>
      </c>
      <c r="W4644" s="1394"/>
    </row>
    <row r="4645" spans="1:24" ht="30" customHeight="1">
      <c r="B4645" s="1407"/>
      <c r="C4645" s="1415"/>
      <c r="D4645" s="1409"/>
      <c r="E4645" s="1409"/>
      <c r="F4645" s="1410"/>
      <c r="G4645" s="1410"/>
      <c r="H4645" s="1411"/>
      <c r="I4645" s="1471"/>
      <c r="Q4645" s="1394">
        <f>IFERROR(VLOOKUP(M4645,#REF!,3,0),0)</f>
        <v>0</v>
      </c>
      <c r="R4645" s="1394">
        <f t="shared" si="1161"/>
        <v>0</v>
      </c>
      <c r="S4645" s="1394">
        <f>IFERROR(VLOOKUP(M4645,#REF!,6,0),0)</f>
        <v>0</v>
      </c>
      <c r="T4645" s="1394">
        <f t="shared" si="1169"/>
        <v>0</v>
      </c>
      <c r="U4645" s="1394">
        <f>IFERROR(VLOOKUP(M4645,#REF!,5,0),0)</f>
        <v>0</v>
      </c>
      <c r="V4645" s="1394">
        <f t="shared" si="1170"/>
        <v>0</v>
      </c>
      <c r="W4645" s="1394"/>
    </row>
    <row r="4646" spans="1:24" ht="30" customHeight="1">
      <c r="B4646" s="1407"/>
      <c r="C4646" s="1553"/>
      <c r="D4646" s="1409"/>
      <c r="E4646" s="1409"/>
      <c r="F4646" s="1410"/>
      <c r="G4646" s="1410"/>
      <c r="H4646" s="1409"/>
      <c r="I4646" s="1471"/>
      <c r="Q4646" s="1394">
        <f>IFERROR(VLOOKUP(M4646,#REF!,3,0),0)</f>
        <v>0</v>
      </c>
      <c r="R4646" s="1394">
        <f t="shared" si="1161"/>
        <v>0</v>
      </c>
      <c r="S4646" s="1394">
        <f>IFERROR(VLOOKUP(M4646,#REF!,6,0),0)</f>
        <v>0</v>
      </c>
      <c r="T4646" s="1394">
        <f t="shared" si="1169"/>
        <v>0</v>
      </c>
      <c r="U4646" s="1394">
        <f>IFERROR(VLOOKUP(M4646,#REF!,5,0),0)</f>
        <v>0</v>
      </c>
      <c r="V4646" s="1394">
        <f t="shared" si="1170"/>
        <v>0</v>
      </c>
      <c r="W4646" s="1394"/>
    </row>
    <row r="4647" spans="1:24" ht="30" customHeight="1">
      <c r="B4647" s="1472"/>
      <c r="C4647" s="1415" t="str">
        <f>C652</f>
        <v>Ground Floor</v>
      </c>
      <c r="D4647" s="1409">
        <f>D648</f>
        <v>0</v>
      </c>
      <c r="E4647" s="1409">
        <f>E648</f>
        <v>0</v>
      </c>
      <c r="F4647" s="1410">
        <f>F648</f>
        <v>0</v>
      </c>
      <c r="G4647" s="1410">
        <f>G648</f>
        <v>0</v>
      </c>
      <c r="H4647" s="1411">
        <f>H648</f>
        <v>0</v>
      </c>
      <c r="I4647" s="1471"/>
      <c r="Q4647" s="1394">
        <f>IFERROR(VLOOKUP(M4647,#REF!,3,0),0)</f>
        <v>0</v>
      </c>
      <c r="R4647" s="1394">
        <f t="shared" si="1161"/>
        <v>0</v>
      </c>
      <c r="S4647" s="1394">
        <f>IFERROR(VLOOKUP(M4647,#REF!,6,0),0)</f>
        <v>0</v>
      </c>
      <c r="T4647" s="1394">
        <f t="shared" si="1169"/>
        <v>0</v>
      </c>
      <c r="U4647" s="1394">
        <f>IFERROR(VLOOKUP(M4647,#REF!,5,0),0)</f>
        <v>0</v>
      </c>
      <c r="V4647" s="1394">
        <f t="shared" si="1170"/>
        <v>0</v>
      </c>
      <c r="W4647" s="1394"/>
    </row>
    <row r="4648" spans="1:24" ht="30" customHeight="1">
      <c r="A4648" s="1390"/>
      <c r="B4648" s="1407"/>
      <c r="C4648" s="1678" t="str">
        <f>C612</f>
        <v>Column Raising upto roof beam bottom</v>
      </c>
      <c r="D4648" s="1678"/>
      <c r="E4648" s="1678"/>
      <c r="F4648" s="1678"/>
      <c r="G4648" s="1678"/>
      <c r="H4648" s="1678"/>
      <c r="I4648" s="1406">
        <f t="shared" ref="I4648:I4669" si="1176">PRODUCT(D4648:H4648)</f>
        <v>0</v>
      </c>
      <c r="O4648" s="1395"/>
      <c r="Q4648" s="1394">
        <f>IFERROR(VLOOKUP(M4648,#REF!,3,0),0)</f>
        <v>0</v>
      </c>
      <c r="R4648" s="1394">
        <f t="shared" si="1161"/>
        <v>0</v>
      </c>
      <c r="S4648" s="1394">
        <f>IFERROR(VLOOKUP(M4648,#REF!,6,0),0)</f>
        <v>0</v>
      </c>
      <c r="T4648" s="1394">
        <f t="shared" si="1169"/>
        <v>0</v>
      </c>
      <c r="U4648" s="1394">
        <f>IFERROR(VLOOKUP(M4648,#REF!,5,0),0)</f>
        <v>0</v>
      </c>
      <c r="V4648" s="1394">
        <f t="shared" si="1170"/>
        <v>0</v>
      </c>
      <c r="W4648" s="1394"/>
      <c r="X4648" s="1397"/>
    </row>
    <row r="4649" spans="1:24" ht="30" customHeight="1">
      <c r="B4649" s="1470"/>
      <c r="C4649" s="1415" t="str">
        <f>C613</f>
        <v xml:space="preserve">For C1 Round Column Dia 0.3 Radius = 0.15 </v>
      </c>
      <c r="D4649" s="1409">
        <f t="shared" ref="D4649:E4652" si="1177">D613</f>
        <v>4</v>
      </c>
      <c r="E4649" s="1409">
        <f t="shared" si="1177"/>
        <v>3.14</v>
      </c>
      <c r="F4649" s="1410">
        <v>0.3</v>
      </c>
      <c r="G4649" s="1410"/>
      <c r="H4649" s="1411">
        <f>H613</f>
        <v>2.92</v>
      </c>
      <c r="I4649" s="1406">
        <f t="shared" si="1176"/>
        <v>11.002559999999999</v>
      </c>
      <c r="O4649" s="1395"/>
      <c r="Q4649" s="1394">
        <f>IFERROR(VLOOKUP(M4649,#REF!,3,0),0)</f>
        <v>0</v>
      </c>
      <c r="R4649" s="1394">
        <f t="shared" si="1161"/>
        <v>0</v>
      </c>
      <c r="S4649" s="1394">
        <f>IFERROR(VLOOKUP(M4649,#REF!,6,0),0)</f>
        <v>0</v>
      </c>
      <c r="T4649" s="1394">
        <f t="shared" si="1169"/>
        <v>0</v>
      </c>
      <c r="U4649" s="1394">
        <f>IFERROR(VLOOKUP(M4649,#REF!,5,0),0)</f>
        <v>0</v>
      </c>
      <c r="V4649" s="1394">
        <f t="shared" si="1170"/>
        <v>0</v>
      </c>
      <c r="W4649" s="1394"/>
    </row>
    <row r="4650" spans="1:24" ht="30" customHeight="1">
      <c r="B4650" s="1472"/>
      <c r="C4650" s="1408" t="str">
        <f>C614</f>
        <v>For C2</v>
      </c>
      <c r="D4650" s="1409">
        <f t="shared" si="1177"/>
        <v>11</v>
      </c>
      <c r="E4650" s="1409">
        <f t="shared" si="1177"/>
        <v>1</v>
      </c>
      <c r="F4650" s="1410">
        <f>(F614+G614)*2</f>
        <v>1.22</v>
      </c>
      <c r="G4650" s="1410"/>
      <c r="H4650" s="1411">
        <f>H614</f>
        <v>2.92</v>
      </c>
      <c r="I4650" s="1406">
        <f t="shared" si="1176"/>
        <v>39.186399999999999</v>
      </c>
      <c r="O4650" s="1395"/>
      <c r="Q4650" s="1394">
        <f>IFERROR(VLOOKUP(M4650,#REF!,3,0),0)</f>
        <v>0</v>
      </c>
      <c r="R4650" s="1394">
        <f t="shared" si="1161"/>
        <v>0</v>
      </c>
      <c r="S4650" s="1394">
        <f>IFERROR(VLOOKUP(M4650,#REF!,6,0),0)</f>
        <v>0</v>
      </c>
      <c r="T4650" s="1394">
        <f t="shared" si="1169"/>
        <v>0</v>
      </c>
      <c r="U4650" s="1394">
        <f>IFERROR(VLOOKUP(M4650,#REF!,5,0),0)</f>
        <v>0</v>
      </c>
      <c r="V4650" s="1394">
        <f t="shared" si="1170"/>
        <v>0</v>
      </c>
      <c r="W4650" s="1394"/>
    </row>
    <row r="4651" spans="1:24" ht="30" customHeight="1">
      <c r="B4651" s="1472"/>
      <c r="C4651" s="1408" t="str">
        <f>C615</f>
        <v>For C3</v>
      </c>
      <c r="D4651" s="1409">
        <f t="shared" si="1177"/>
        <v>10</v>
      </c>
      <c r="E4651" s="1409">
        <f t="shared" si="1177"/>
        <v>1</v>
      </c>
      <c r="F4651" s="1410">
        <f>(F615+G615)*2</f>
        <v>1.36</v>
      </c>
      <c r="G4651" s="1410"/>
      <c r="H4651" s="1411">
        <f>H615</f>
        <v>2.92</v>
      </c>
      <c r="I4651" s="1406">
        <f t="shared" si="1176"/>
        <v>39.712000000000003</v>
      </c>
      <c r="O4651" s="1469"/>
      <c r="Q4651" s="1394">
        <f>IFERROR(VLOOKUP(M4651,#REF!,3,0),0)</f>
        <v>0</v>
      </c>
      <c r="R4651" s="1394">
        <f t="shared" si="1161"/>
        <v>0</v>
      </c>
      <c r="S4651" s="1394">
        <f>IFERROR(VLOOKUP(M4651,#REF!,6,0),0)</f>
        <v>0</v>
      </c>
      <c r="T4651" s="1394">
        <f t="shared" si="1169"/>
        <v>0</v>
      </c>
      <c r="U4651" s="1394">
        <f>IFERROR(VLOOKUP(M4651,#REF!,5,0),0)</f>
        <v>0</v>
      </c>
      <c r="V4651" s="1394">
        <f t="shared" si="1170"/>
        <v>0</v>
      </c>
      <c r="W4651" s="1394"/>
    </row>
    <row r="4652" spans="1:24" ht="30" customHeight="1">
      <c r="B4652" s="1472"/>
      <c r="C4652" s="1408" t="str">
        <f>C616</f>
        <v>For C4</v>
      </c>
      <c r="D4652" s="1409">
        <f t="shared" si="1177"/>
        <v>7</v>
      </c>
      <c r="E4652" s="1409">
        <f t="shared" si="1177"/>
        <v>1</v>
      </c>
      <c r="F4652" s="1410">
        <f>(F616+G616)*2</f>
        <v>1.5</v>
      </c>
      <c r="G4652" s="1410"/>
      <c r="H4652" s="1411">
        <f>H616</f>
        <v>2.92</v>
      </c>
      <c r="I4652" s="1406">
        <f t="shared" si="1176"/>
        <v>30.66</v>
      </c>
      <c r="O4652" s="1395"/>
      <c r="Q4652" s="1394">
        <f>IFERROR(VLOOKUP(M4652,#REF!,3,0),0)</f>
        <v>0</v>
      </c>
      <c r="R4652" s="1394">
        <f t="shared" si="1161"/>
        <v>0</v>
      </c>
      <c r="S4652" s="1394">
        <f>IFERROR(VLOOKUP(M4652,#REF!,6,0),0)</f>
        <v>0</v>
      </c>
      <c r="T4652" s="1394">
        <f t="shared" si="1169"/>
        <v>0</v>
      </c>
      <c r="U4652" s="1394">
        <f>IFERROR(VLOOKUP(M4652,#REF!,5,0),0)</f>
        <v>0</v>
      </c>
      <c r="V4652" s="1394">
        <f t="shared" si="1170"/>
        <v>0</v>
      </c>
      <c r="W4652" s="1394"/>
    </row>
    <row r="4653" spans="1:24" ht="30" customHeight="1">
      <c r="B4653" s="1472"/>
      <c r="C4653" s="1408">
        <f t="shared" ref="C4653:H4654" si="1178">C649</f>
        <v>0</v>
      </c>
      <c r="D4653" s="1416">
        <f t="shared" si="1178"/>
        <v>0</v>
      </c>
      <c r="E4653" s="1416">
        <f t="shared" si="1178"/>
        <v>0</v>
      </c>
      <c r="F4653" s="1410">
        <f t="shared" si="1178"/>
        <v>0</v>
      </c>
      <c r="G4653" s="1410">
        <f t="shared" si="1178"/>
        <v>0</v>
      </c>
      <c r="H4653" s="1411">
        <f t="shared" si="1178"/>
        <v>0</v>
      </c>
      <c r="I4653" s="1406">
        <f t="shared" si="1176"/>
        <v>0</v>
      </c>
      <c r="Q4653" s="1394">
        <f>IFERROR(VLOOKUP(M4653,#REF!,3,0),0)</f>
        <v>0</v>
      </c>
      <c r="R4653" s="1394">
        <f t="shared" si="1161"/>
        <v>0</v>
      </c>
      <c r="S4653" s="1394">
        <f>IFERROR(VLOOKUP(M4653,#REF!,6,0),0)</f>
        <v>0</v>
      </c>
      <c r="T4653" s="1394">
        <f t="shared" si="1169"/>
        <v>0</v>
      </c>
      <c r="U4653" s="1394">
        <f>IFERROR(VLOOKUP(M4653,#REF!,5,0),0)</f>
        <v>0</v>
      </c>
      <c r="V4653" s="1394">
        <f t="shared" si="1170"/>
        <v>0</v>
      </c>
      <c r="W4653" s="1394"/>
    </row>
    <row r="4654" spans="1:24" ht="30" customHeight="1">
      <c r="B4654" s="1472"/>
      <c r="C4654" s="1408">
        <f t="shared" si="1178"/>
        <v>0</v>
      </c>
      <c r="D4654" s="1416">
        <f t="shared" si="1178"/>
        <v>0</v>
      </c>
      <c r="E4654" s="1416">
        <f t="shared" si="1178"/>
        <v>0</v>
      </c>
      <c r="F4654" s="1410">
        <f t="shared" si="1178"/>
        <v>0</v>
      </c>
      <c r="G4654" s="1410">
        <f t="shared" si="1178"/>
        <v>0</v>
      </c>
      <c r="H4654" s="1411">
        <f t="shared" si="1178"/>
        <v>0</v>
      </c>
      <c r="I4654" s="1406">
        <f t="shared" si="1176"/>
        <v>0</v>
      </c>
      <c r="Q4654" s="1394">
        <f>IFERROR(VLOOKUP(M4654,#REF!,3,0),0)</f>
        <v>0</v>
      </c>
      <c r="R4654" s="1394">
        <f t="shared" ref="R4654:R4717" si="1179">ROUND(O4654,2)*ROUND(Q4654,2)</f>
        <v>0</v>
      </c>
      <c r="S4654" s="1394">
        <f>IFERROR(VLOOKUP(M4654,#REF!,6,0),0)</f>
        <v>0</v>
      </c>
      <c r="T4654" s="1394">
        <f t="shared" si="1169"/>
        <v>0</v>
      </c>
      <c r="U4654" s="1394">
        <f>IFERROR(VLOOKUP(M4654,#REF!,5,0),0)</f>
        <v>0</v>
      </c>
      <c r="V4654" s="1394">
        <f t="shared" si="1170"/>
        <v>0</v>
      </c>
      <c r="W4654" s="1394"/>
    </row>
    <row r="4655" spans="1:24" ht="30" customHeight="1">
      <c r="B4655" s="1472"/>
      <c r="C4655" s="1408" t="s">
        <v>5924</v>
      </c>
      <c r="D4655" s="1416">
        <f t="shared" ref="D4655:H4656" si="1180">D651</f>
        <v>0</v>
      </c>
      <c r="E4655" s="1416">
        <f t="shared" si="1180"/>
        <v>0</v>
      </c>
      <c r="F4655" s="1410">
        <f t="shared" si="1180"/>
        <v>0</v>
      </c>
      <c r="G4655" s="1410">
        <f t="shared" si="1180"/>
        <v>0</v>
      </c>
      <c r="H4655" s="1411">
        <f t="shared" si="1180"/>
        <v>0</v>
      </c>
      <c r="I4655" s="1406">
        <f t="shared" si="1176"/>
        <v>0</v>
      </c>
      <c r="Q4655" s="1394">
        <f>IFERROR(VLOOKUP(M4655,#REF!,3,0),0)</f>
        <v>0</v>
      </c>
      <c r="R4655" s="1394">
        <f t="shared" si="1179"/>
        <v>0</v>
      </c>
      <c r="S4655" s="1394">
        <f>IFERROR(VLOOKUP(M4655,#REF!,6,0),0)</f>
        <v>0</v>
      </c>
      <c r="T4655" s="1394">
        <f t="shared" si="1169"/>
        <v>0</v>
      </c>
      <c r="U4655" s="1394">
        <f>IFERROR(VLOOKUP(M4655,#REF!,5,0),0)</f>
        <v>0</v>
      </c>
      <c r="V4655" s="1394">
        <f t="shared" si="1170"/>
        <v>0</v>
      </c>
      <c r="W4655" s="1394"/>
    </row>
    <row r="4656" spans="1:24" ht="30" customHeight="1">
      <c r="B4656" s="1472"/>
      <c r="C4656" s="1415" t="str">
        <f t="shared" ref="C4656:C4665" si="1181">C652</f>
        <v>Ground Floor</v>
      </c>
      <c r="D4656" s="1409">
        <f t="shared" si="1180"/>
        <v>0</v>
      </c>
      <c r="E4656" s="1409">
        <f t="shared" si="1180"/>
        <v>0</v>
      </c>
      <c r="F4656" s="1410">
        <f t="shared" si="1180"/>
        <v>0</v>
      </c>
      <c r="G4656" s="1410">
        <f t="shared" si="1180"/>
        <v>0</v>
      </c>
      <c r="H4656" s="1411">
        <f t="shared" si="1180"/>
        <v>0</v>
      </c>
      <c r="I4656" s="1406">
        <f t="shared" si="1176"/>
        <v>0</v>
      </c>
      <c r="Q4656" s="1394">
        <f>IFERROR(VLOOKUP(M4656,#REF!,3,0),0)</f>
        <v>0</v>
      </c>
      <c r="R4656" s="1394">
        <f t="shared" si="1179"/>
        <v>0</v>
      </c>
      <c r="S4656" s="1394">
        <f>IFERROR(VLOOKUP(M4656,#REF!,6,0),0)</f>
        <v>0</v>
      </c>
      <c r="T4656" s="1394">
        <f t="shared" si="1169"/>
        <v>0</v>
      </c>
      <c r="U4656" s="1394">
        <f>IFERROR(VLOOKUP(M4656,#REF!,5,0),0)</f>
        <v>0</v>
      </c>
      <c r="V4656" s="1394">
        <f t="shared" si="1170"/>
        <v>0</v>
      </c>
      <c r="W4656" s="1394"/>
    </row>
    <row r="4657" spans="2:23" ht="30" customHeight="1">
      <c r="B4657" s="1472"/>
      <c r="C4657" s="1415" t="str">
        <f t="shared" si="1181"/>
        <v>ENTRANCE LOBBY</v>
      </c>
      <c r="D4657" s="1409">
        <f t="shared" ref="D4657:E4665" si="1182">D653</f>
        <v>0</v>
      </c>
      <c r="E4657" s="1409">
        <f t="shared" si="1182"/>
        <v>0</v>
      </c>
      <c r="F4657" s="1410"/>
      <c r="G4657" s="1410"/>
      <c r="H4657" s="1411"/>
      <c r="I4657" s="1406">
        <f t="shared" si="1176"/>
        <v>0</v>
      </c>
      <c r="Q4657" s="1394">
        <f>IFERROR(VLOOKUP(M4657,#REF!,3,0),0)</f>
        <v>0</v>
      </c>
      <c r="R4657" s="1394">
        <f t="shared" si="1179"/>
        <v>0</v>
      </c>
      <c r="S4657" s="1394">
        <f>IFERROR(VLOOKUP(M4657,#REF!,6,0),0)</f>
        <v>0</v>
      </c>
      <c r="T4657" s="1394">
        <f t="shared" si="1169"/>
        <v>0</v>
      </c>
      <c r="U4657" s="1394">
        <f>IFERROR(VLOOKUP(M4657,#REF!,5,0),0)</f>
        <v>0</v>
      </c>
      <c r="V4657" s="1394">
        <f t="shared" si="1170"/>
        <v>0</v>
      </c>
      <c r="W4657" s="1394"/>
    </row>
    <row r="4658" spans="2:23" ht="30" customHeight="1">
      <c r="B4658" s="1472"/>
      <c r="C4658" s="1408" t="str">
        <f t="shared" si="1181"/>
        <v>MD</v>
      </c>
      <c r="D4658" s="1409">
        <f t="shared" si="1182"/>
        <v>1</v>
      </c>
      <c r="E4658" s="1409">
        <f t="shared" si="1182"/>
        <v>1</v>
      </c>
      <c r="F4658" s="1410">
        <f t="shared" ref="F4658:G4665" si="1183">J4658</f>
        <v>2.72</v>
      </c>
      <c r="G4658" s="1410">
        <f t="shared" si="1183"/>
        <v>0.6</v>
      </c>
      <c r="H4658" s="1411"/>
      <c r="I4658" s="1406">
        <f t="shared" si="1176"/>
        <v>1.6320000000000001</v>
      </c>
      <c r="J4658" s="1410">
        <f>F654+0.46</f>
        <v>2.72</v>
      </c>
      <c r="K4658" s="1411">
        <f t="shared" ref="K4658:L4665" si="1184">G654</f>
        <v>0.6</v>
      </c>
      <c r="L4658" s="1411">
        <f t="shared" si="1184"/>
        <v>6.25E-2</v>
      </c>
      <c r="Q4658" s="1394">
        <f>IFERROR(VLOOKUP(L4658,#REF!,3,0),0)</f>
        <v>0</v>
      </c>
      <c r="R4658" s="1394">
        <f t="shared" si="1179"/>
        <v>0</v>
      </c>
      <c r="S4658" s="1394">
        <f>IFERROR(VLOOKUP(M4658,#REF!,6,0),0)</f>
        <v>0</v>
      </c>
      <c r="T4658" s="1394">
        <f t="shared" si="1169"/>
        <v>0</v>
      </c>
      <c r="U4658" s="1394">
        <f>IFERROR(VLOOKUP(L4658,#REF!,5,0),0)</f>
        <v>0</v>
      </c>
      <c r="V4658" s="1394">
        <f t="shared" si="1170"/>
        <v>0</v>
      </c>
      <c r="W4658" s="1394"/>
    </row>
    <row r="4659" spans="2:23" ht="30" customHeight="1">
      <c r="B4659" s="1472"/>
      <c r="C4659" s="1408" t="str">
        <f t="shared" si="1181"/>
        <v>MD-1</v>
      </c>
      <c r="D4659" s="1409">
        <f t="shared" si="1182"/>
        <v>1</v>
      </c>
      <c r="E4659" s="1409">
        <f t="shared" si="1182"/>
        <v>1</v>
      </c>
      <c r="F4659" s="1410">
        <f t="shared" si="1183"/>
        <v>2.72</v>
      </c>
      <c r="G4659" s="1410">
        <f t="shared" si="1183"/>
        <v>0.6</v>
      </c>
      <c r="H4659" s="1411"/>
      <c r="I4659" s="1406">
        <f t="shared" si="1176"/>
        <v>1.6320000000000001</v>
      </c>
      <c r="J4659" s="1410">
        <f>F655+0.46</f>
        <v>2.72</v>
      </c>
      <c r="K4659" s="1409">
        <f t="shared" si="1184"/>
        <v>0.6</v>
      </c>
      <c r="L4659" s="1473">
        <f t="shared" si="1184"/>
        <v>6.25E-2</v>
      </c>
      <c r="Q4659" s="1394">
        <f>IFERROR(VLOOKUP(L4659,#REF!,3,0),0)</f>
        <v>0</v>
      </c>
      <c r="R4659" s="1394">
        <f t="shared" si="1179"/>
        <v>0</v>
      </c>
      <c r="S4659" s="1394">
        <f>IFERROR(VLOOKUP(M4659,#REF!,6,0),0)</f>
        <v>0</v>
      </c>
      <c r="T4659" s="1394">
        <f t="shared" si="1169"/>
        <v>0</v>
      </c>
      <c r="U4659" s="1394">
        <f>IFERROR(VLOOKUP(L4659,#REF!,5,0),0)</f>
        <v>0</v>
      </c>
      <c r="V4659" s="1394">
        <f t="shared" si="1170"/>
        <v>0</v>
      </c>
      <c r="W4659" s="1394"/>
    </row>
    <row r="4660" spans="2:23" ht="30" customHeight="1">
      <c r="B4660" s="1472"/>
      <c r="C4660" s="1408" t="str">
        <f t="shared" si="1181"/>
        <v>LD</v>
      </c>
      <c r="D4660" s="1409">
        <f t="shared" si="1182"/>
        <v>1</v>
      </c>
      <c r="E4660" s="1409">
        <f t="shared" si="1182"/>
        <v>1</v>
      </c>
      <c r="F4660" s="1410">
        <f t="shared" si="1183"/>
        <v>2.12</v>
      </c>
      <c r="G4660" s="1410">
        <f t="shared" si="1183"/>
        <v>0.6</v>
      </c>
      <c r="H4660" s="1411"/>
      <c r="I4660" s="1406">
        <f t="shared" si="1176"/>
        <v>1.272</v>
      </c>
      <c r="J4660" s="1410">
        <f>F656+0.46</f>
        <v>2.12</v>
      </c>
      <c r="K4660" s="1409">
        <f t="shared" si="1184"/>
        <v>0.6</v>
      </c>
      <c r="L4660" s="1473">
        <f t="shared" si="1184"/>
        <v>6.25E-2</v>
      </c>
      <c r="Q4660" s="1394">
        <f>IFERROR(VLOOKUP(L4660,#REF!,3,0),0)</f>
        <v>0</v>
      </c>
      <c r="R4660" s="1394">
        <f t="shared" si="1179"/>
        <v>0</v>
      </c>
      <c r="S4660" s="1394">
        <f>IFERROR(VLOOKUP(M4660,#REF!,6,0),0)</f>
        <v>0</v>
      </c>
      <c r="T4660" s="1394">
        <f t="shared" si="1169"/>
        <v>0</v>
      </c>
      <c r="U4660" s="1394">
        <f>IFERROR(VLOOKUP(L4660,#REF!,5,0),0)</f>
        <v>0</v>
      </c>
      <c r="V4660" s="1394">
        <f t="shared" si="1170"/>
        <v>0</v>
      </c>
      <c r="W4660" s="1394"/>
    </row>
    <row r="4661" spans="2:23" ht="30" customHeight="1">
      <c r="B4661" s="1472"/>
      <c r="C4661" s="1408" t="str">
        <f t="shared" si="1181"/>
        <v>SLD</v>
      </c>
      <c r="D4661" s="1409">
        <f t="shared" si="1182"/>
        <v>1</v>
      </c>
      <c r="E4661" s="1409">
        <f t="shared" si="1182"/>
        <v>1</v>
      </c>
      <c r="F4661" s="1410">
        <f t="shared" si="1183"/>
        <v>1.92</v>
      </c>
      <c r="G4661" s="1410">
        <f t="shared" si="1183"/>
        <v>0.6</v>
      </c>
      <c r="H4661" s="1411"/>
      <c r="I4661" s="1406">
        <f t="shared" si="1176"/>
        <v>1.1519999999999999</v>
      </c>
      <c r="J4661" s="1410">
        <f>F657+0.46</f>
        <v>1.92</v>
      </c>
      <c r="K4661" s="1409">
        <f t="shared" si="1184"/>
        <v>0.6</v>
      </c>
      <c r="L4661" s="1473">
        <f t="shared" si="1184"/>
        <v>6.25E-2</v>
      </c>
      <c r="Q4661" s="1394">
        <f>IFERROR(VLOOKUP(L4661,#REF!,3,0),0)</f>
        <v>0</v>
      </c>
      <c r="R4661" s="1394">
        <f t="shared" si="1179"/>
        <v>0</v>
      </c>
      <c r="S4661" s="1394">
        <f>IFERROR(VLOOKUP(M4661,#REF!,6,0),0)</f>
        <v>0</v>
      </c>
      <c r="T4661" s="1394">
        <f t="shared" si="1169"/>
        <v>0</v>
      </c>
      <c r="U4661" s="1394">
        <f>IFERROR(VLOOKUP(L4661,#REF!,5,0),0)</f>
        <v>0</v>
      </c>
      <c r="V4661" s="1394">
        <f t="shared" si="1170"/>
        <v>0</v>
      </c>
      <c r="W4661" s="1394"/>
    </row>
    <row r="4662" spans="2:23" ht="30" customHeight="1">
      <c r="B4662" s="1472"/>
      <c r="C4662" s="1408" t="str">
        <f t="shared" si="1181"/>
        <v>TD</v>
      </c>
      <c r="D4662" s="1409">
        <f t="shared" si="1182"/>
        <v>1</v>
      </c>
      <c r="E4662" s="1409">
        <f t="shared" si="1182"/>
        <v>1</v>
      </c>
      <c r="F4662" s="1410">
        <f t="shared" si="1183"/>
        <v>0</v>
      </c>
      <c r="G4662" s="1410">
        <f t="shared" si="1183"/>
        <v>0.6</v>
      </c>
      <c r="H4662" s="1411"/>
      <c r="I4662" s="1406">
        <f t="shared" si="1176"/>
        <v>0</v>
      </c>
      <c r="J4662" s="1410"/>
      <c r="K4662" s="1409">
        <f t="shared" si="1184"/>
        <v>0.6</v>
      </c>
      <c r="L4662" s="1473">
        <f t="shared" si="1184"/>
        <v>6.25E-2</v>
      </c>
      <c r="Q4662" s="1394">
        <f>IFERROR(VLOOKUP(L4662,#REF!,3,0),0)</f>
        <v>0</v>
      </c>
      <c r="R4662" s="1394">
        <f t="shared" si="1179"/>
        <v>0</v>
      </c>
      <c r="S4662" s="1394">
        <f>IFERROR(VLOOKUP(M4662,#REF!,6,0),0)</f>
        <v>0</v>
      </c>
      <c r="T4662" s="1394">
        <f t="shared" si="1169"/>
        <v>0</v>
      </c>
      <c r="U4662" s="1394">
        <f>IFERROR(VLOOKUP(L4662,#REF!,5,0),0)</f>
        <v>0</v>
      </c>
      <c r="V4662" s="1394">
        <f t="shared" si="1170"/>
        <v>0</v>
      </c>
      <c r="W4662" s="1394"/>
    </row>
    <row r="4663" spans="2:23" ht="30" customHeight="1">
      <c r="B4663" s="1472"/>
      <c r="C4663" s="1408" t="str">
        <f t="shared" si="1181"/>
        <v>SFW</v>
      </c>
      <c r="D4663" s="1409">
        <f t="shared" si="1182"/>
        <v>1</v>
      </c>
      <c r="E4663" s="1409">
        <f t="shared" si="1182"/>
        <v>1</v>
      </c>
      <c r="F4663" s="1410">
        <f t="shared" si="1183"/>
        <v>2.72</v>
      </c>
      <c r="G4663" s="1410">
        <f t="shared" si="1183"/>
        <v>0.6</v>
      </c>
      <c r="H4663" s="1411"/>
      <c r="I4663" s="1406">
        <f t="shared" si="1176"/>
        <v>1.6320000000000001</v>
      </c>
      <c r="J4663" s="1410">
        <f>F659+0.46</f>
        <v>2.72</v>
      </c>
      <c r="K4663" s="1411">
        <f t="shared" si="1184"/>
        <v>0.6</v>
      </c>
      <c r="L4663" s="1411">
        <f t="shared" si="1184"/>
        <v>6.25E-2</v>
      </c>
      <c r="Q4663" s="1394">
        <f>IFERROR(VLOOKUP(L4663,#REF!,3,0),0)</f>
        <v>0</v>
      </c>
      <c r="R4663" s="1394">
        <f t="shared" si="1179"/>
        <v>0</v>
      </c>
      <c r="S4663" s="1394">
        <f>IFERROR(VLOOKUP(M4663,#REF!,6,0),0)</f>
        <v>0</v>
      </c>
      <c r="T4663" s="1394">
        <f t="shared" si="1169"/>
        <v>0</v>
      </c>
      <c r="U4663" s="1394">
        <f>IFERROR(VLOOKUP(L4663,#REF!,5,0),0)</f>
        <v>0</v>
      </c>
      <c r="V4663" s="1394">
        <f t="shared" si="1170"/>
        <v>0</v>
      </c>
      <c r="W4663" s="1394"/>
    </row>
    <row r="4664" spans="2:23" ht="30" customHeight="1">
      <c r="B4664" s="1472"/>
      <c r="C4664" s="1408" t="str">
        <f t="shared" si="1181"/>
        <v>FW-1</v>
      </c>
      <c r="D4664" s="1409">
        <f t="shared" si="1182"/>
        <v>1</v>
      </c>
      <c r="E4664" s="1409">
        <f t="shared" si="1182"/>
        <v>2</v>
      </c>
      <c r="F4664" s="1410">
        <f t="shared" si="1183"/>
        <v>0</v>
      </c>
      <c r="G4664" s="1410">
        <f t="shared" si="1183"/>
        <v>0.6</v>
      </c>
      <c r="H4664" s="1411"/>
      <c r="I4664" s="1406">
        <f t="shared" si="1176"/>
        <v>0</v>
      </c>
      <c r="J4664" s="1410"/>
      <c r="K4664" s="1409">
        <f t="shared" si="1184"/>
        <v>0.6</v>
      </c>
      <c r="L4664" s="1473">
        <f t="shared" si="1184"/>
        <v>6.25E-2</v>
      </c>
      <c r="Q4664" s="1394">
        <f>IFERROR(VLOOKUP(L4664,#REF!,3,0),0)</f>
        <v>0</v>
      </c>
      <c r="R4664" s="1394">
        <f t="shared" si="1179"/>
        <v>0</v>
      </c>
      <c r="S4664" s="1394">
        <f>IFERROR(VLOOKUP(M4664,#REF!,6,0),0)</f>
        <v>0</v>
      </c>
      <c r="T4664" s="1394">
        <f t="shared" si="1169"/>
        <v>0</v>
      </c>
      <c r="U4664" s="1394">
        <f>IFERROR(VLOOKUP(L4664,#REF!,5,0),0)</f>
        <v>0</v>
      </c>
      <c r="V4664" s="1394">
        <f t="shared" si="1170"/>
        <v>0</v>
      </c>
      <c r="W4664" s="1394"/>
    </row>
    <row r="4665" spans="2:23" ht="30" customHeight="1">
      <c r="B4665" s="1472"/>
      <c r="C4665" s="1408" t="str">
        <f t="shared" si="1181"/>
        <v>FW-2</v>
      </c>
      <c r="D4665" s="1409">
        <f t="shared" si="1182"/>
        <v>1</v>
      </c>
      <c r="E4665" s="1409">
        <f t="shared" si="1182"/>
        <v>1</v>
      </c>
      <c r="F4665" s="1410">
        <f t="shared" si="1183"/>
        <v>2.42</v>
      </c>
      <c r="G4665" s="1410">
        <f t="shared" si="1183"/>
        <v>0.6</v>
      </c>
      <c r="H4665" s="1411"/>
      <c r="I4665" s="1406">
        <f t="shared" si="1176"/>
        <v>1.452</v>
      </c>
      <c r="J4665" s="1410">
        <f>F661+0.46</f>
        <v>2.42</v>
      </c>
      <c r="K4665" s="1411">
        <f t="shared" si="1184"/>
        <v>0.6</v>
      </c>
      <c r="L4665" s="1411">
        <f t="shared" si="1184"/>
        <v>6.25E-2</v>
      </c>
      <c r="Q4665" s="1394">
        <f>IFERROR(VLOOKUP(L4665,#REF!,3,0),0)</f>
        <v>0</v>
      </c>
      <c r="R4665" s="1394">
        <f t="shared" si="1179"/>
        <v>0</v>
      </c>
      <c r="S4665" s="1394">
        <f>IFERROR(VLOOKUP(M4665,#REF!,6,0),0)</f>
        <v>0</v>
      </c>
      <c r="T4665" s="1394">
        <f t="shared" si="1169"/>
        <v>0</v>
      </c>
      <c r="U4665" s="1394">
        <f>IFERROR(VLOOKUP(L4665,#REF!,5,0),0)</f>
        <v>0</v>
      </c>
      <c r="V4665" s="1394">
        <f t="shared" si="1170"/>
        <v>0</v>
      </c>
      <c r="W4665" s="1394"/>
    </row>
    <row r="4666" spans="2:23" ht="30" customHeight="1">
      <c r="B4666" s="1472"/>
      <c r="C4666" s="1408"/>
      <c r="D4666" s="1409"/>
      <c r="E4666" s="1409"/>
      <c r="F4666" s="1410"/>
      <c r="G4666" s="1410"/>
      <c r="H4666" s="1411"/>
      <c r="I4666" s="1406">
        <f t="shared" si="1176"/>
        <v>0</v>
      </c>
      <c r="J4666" s="1410"/>
      <c r="K4666" s="1411"/>
      <c r="L4666" s="1411"/>
      <c r="Q4666" s="1394">
        <f>IFERROR(VLOOKUP(L4666,#REF!,3,0),0)</f>
        <v>0</v>
      </c>
      <c r="R4666" s="1394">
        <f t="shared" si="1179"/>
        <v>0</v>
      </c>
      <c r="S4666" s="1394">
        <f>IFERROR(VLOOKUP(M4666,#REF!,6,0),0)</f>
        <v>0</v>
      </c>
      <c r="T4666" s="1394">
        <f t="shared" si="1169"/>
        <v>0</v>
      </c>
      <c r="U4666" s="1394">
        <f>IFERROR(VLOOKUP(L4666,#REF!,5,0),0)</f>
        <v>0</v>
      </c>
      <c r="V4666" s="1394">
        <f t="shared" si="1170"/>
        <v>0</v>
      </c>
      <c r="W4666" s="1394"/>
    </row>
    <row r="4667" spans="2:23" ht="30" customHeight="1">
      <c r="B4667" s="1472"/>
      <c r="C4667" s="1408" t="s">
        <v>5925</v>
      </c>
      <c r="D4667" s="1409">
        <f>D663</f>
        <v>0</v>
      </c>
      <c r="E4667" s="1409">
        <f>E663</f>
        <v>0</v>
      </c>
      <c r="F4667" s="1410"/>
      <c r="G4667" s="1410"/>
      <c r="H4667" s="1411"/>
      <c r="I4667" s="1406">
        <f t="shared" si="1176"/>
        <v>0</v>
      </c>
      <c r="J4667" s="1410">
        <f>F663</f>
        <v>0</v>
      </c>
      <c r="K4667" s="1411">
        <f>G663</f>
        <v>0</v>
      </c>
      <c r="L4667" s="1411">
        <f>H663</f>
        <v>0</v>
      </c>
      <c r="Q4667" s="1394">
        <f>IFERROR(VLOOKUP(L4667,#REF!,3,0),0)</f>
        <v>0</v>
      </c>
      <c r="R4667" s="1394">
        <f t="shared" si="1179"/>
        <v>0</v>
      </c>
      <c r="S4667" s="1394">
        <f>IFERROR(VLOOKUP(M4667,#REF!,6,0),0)</f>
        <v>0</v>
      </c>
      <c r="T4667" s="1394">
        <f t="shared" si="1169"/>
        <v>0</v>
      </c>
      <c r="U4667" s="1394">
        <f>IFERROR(VLOOKUP(L4667,#REF!,5,0),0)</f>
        <v>0</v>
      </c>
      <c r="V4667" s="1394">
        <f t="shared" si="1170"/>
        <v>0</v>
      </c>
      <c r="W4667" s="1394"/>
    </row>
    <row r="4668" spans="2:23" ht="30" customHeight="1">
      <c r="B4668" s="1472"/>
      <c r="C4668" s="1408" t="str">
        <f t="shared" ref="C4668:E4676" si="1185">C653</f>
        <v>ENTRANCE LOBBY</v>
      </c>
      <c r="D4668" s="1408">
        <f t="shared" si="1185"/>
        <v>0</v>
      </c>
      <c r="E4668" s="1408">
        <f t="shared" si="1185"/>
        <v>0</v>
      </c>
      <c r="F4668" s="1410"/>
      <c r="G4668" s="1410"/>
      <c r="H4668" s="1411"/>
      <c r="I4668" s="1406">
        <f t="shared" si="1176"/>
        <v>0</v>
      </c>
      <c r="J4668" s="1408">
        <f>F653</f>
        <v>0</v>
      </c>
      <c r="K4668" s="1408">
        <f>G653</f>
        <v>0</v>
      </c>
      <c r="L4668" s="1408">
        <f>H653</f>
        <v>0</v>
      </c>
      <c r="Q4668" s="1394">
        <f>IFERROR(VLOOKUP(L4668,#REF!,3,0),0)</f>
        <v>0</v>
      </c>
      <c r="R4668" s="1394">
        <f t="shared" si="1179"/>
        <v>0</v>
      </c>
      <c r="S4668" s="1394">
        <f>IFERROR(VLOOKUP(M4668,#REF!,6,0),0)</f>
        <v>0</v>
      </c>
      <c r="T4668" s="1394">
        <f t="shared" si="1169"/>
        <v>0</v>
      </c>
      <c r="U4668" s="1394">
        <f>IFERROR(VLOOKUP(L4668,#REF!,5,0),0)</f>
        <v>0</v>
      </c>
      <c r="V4668" s="1394">
        <f t="shared" si="1170"/>
        <v>0</v>
      </c>
      <c r="W4668" s="1394"/>
    </row>
    <row r="4669" spans="2:23" ht="30" customHeight="1">
      <c r="B4669" s="1472"/>
      <c r="C4669" s="1408" t="str">
        <f t="shared" si="1185"/>
        <v>MD</v>
      </c>
      <c r="D4669" s="1409">
        <f t="shared" si="1185"/>
        <v>1</v>
      </c>
      <c r="E4669" s="1409">
        <f t="shared" si="1185"/>
        <v>1</v>
      </c>
      <c r="F4669" s="1410">
        <f t="shared" ref="F4669:F4677" si="1186">J4669+K4669+K4669</f>
        <v>3.9200000000000004</v>
      </c>
      <c r="G4669" s="1410"/>
      <c r="H4669" s="1473">
        <f t="shared" ref="H4669:H4677" si="1187">L4669</f>
        <v>6.25E-2</v>
      </c>
      <c r="I4669" s="1406">
        <f t="shared" si="1176"/>
        <v>0.24500000000000002</v>
      </c>
      <c r="J4669" s="1410">
        <f>F654+0.46</f>
        <v>2.72</v>
      </c>
      <c r="K4669" s="1409">
        <f t="shared" ref="K4669:L4676" si="1188">G654</f>
        <v>0.6</v>
      </c>
      <c r="L4669" s="1473">
        <f t="shared" si="1188"/>
        <v>6.25E-2</v>
      </c>
      <c r="Q4669" s="1394">
        <f>IFERROR(VLOOKUP(L4669,#REF!,3,0),0)</f>
        <v>0</v>
      </c>
      <c r="R4669" s="1394">
        <f t="shared" si="1179"/>
        <v>0</v>
      </c>
      <c r="S4669" s="1394">
        <f>IFERROR(VLOOKUP(M4669,#REF!,6,0),0)</f>
        <v>0</v>
      </c>
      <c r="T4669" s="1394">
        <f t="shared" si="1169"/>
        <v>0</v>
      </c>
      <c r="U4669" s="1394">
        <f>IFERROR(VLOOKUP(L4669,#REF!,5,0),0)</f>
        <v>0</v>
      </c>
      <c r="V4669" s="1394">
        <f t="shared" si="1170"/>
        <v>0</v>
      </c>
      <c r="W4669" s="1394"/>
    </row>
    <row r="4670" spans="2:23" ht="30" customHeight="1">
      <c r="B4670" s="1472"/>
      <c r="C4670" s="1408" t="str">
        <f t="shared" si="1185"/>
        <v>MD-1</v>
      </c>
      <c r="D4670" s="1409">
        <f t="shared" si="1185"/>
        <v>1</v>
      </c>
      <c r="E4670" s="1409">
        <f t="shared" si="1185"/>
        <v>1</v>
      </c>
      <c r="F4670" s="1410">
        <f t="shared" si="1186"/>
        <v>3.9200000000000004</v>
      </c>
      <c r="G4670" s="1410"/>
      <c r="H4670" s="1473">
        <f t="shared" si="1187"/>
        <v>6.25E-2</v>
      </c>
      <c r="I4670" s="1406">
        <f t="shared" ref="I4670:I4675" si="1189">PRODUCT(D4670:H4670)</f>
        <v>0.24500000000000002</v>
      </c>
      <c r="J4670" s="1410">
        <f>F655+0.46</f>
        <v>2.72</v>
      </c>
      <c r="K4670" s="1409">
        <f t="shared" si="1188"/>
        <v>0.6</v>
      </c>
      <c r="L4670" s="1473">
        <f t="shared" si="1188"/>
        <v>6.25E-2</v>
      </c>
      <c r="Q4670" s="1394">
        <f>IFERROR(VLOOKUP(L4670,#REF!,3,0),0)</f>
        <v>0</v>
      </c>
      <c r="R4670" s="1394">
        <f t="shared" si="1179"/>
        <v>0</v>
      </c>
      <c r="S4670" s="1394">
        <f>IFERROR(VLOOKUP(M4670,#REF!,6,0),0)</f>
        <v>0</v>
      </c>
      <c r="T4670" s="1394">
        <f t="shared" si="1169"/>
        <v>0</v>
      </c>
      <c r="U4670" s="1394">
        <f>IFERROR(VLOOKUP(L4670,#REF!,5,0),0)</f>
        <v>0</v>
      </c>
      <c r="V4670" s="1394">
        <f t="shared" si="1170"/>
        <v>0</v>
      </c>
      <c r="W4670" s="1394"/>
    </row>
    <row r="4671" spans="2:23" ht="30" customHeight="1">
      <c r="B4671" s="1472"/>
      <c r="C4671" s="1408" t="str">
        <f t="shared" si="1185"/>
        <v>LD</v>
      </c>
      <c r="D4671" s="1409">
        <f t="shared" si="1185"/>
        <v>1</v>
      </c>
      <c r="E4671" s="1409">
        <f t="shared" si="1185"/>
        <v>1</v>
      </c>
      <c r="F4671" s="1410">
        <f t="shared" si="1186"/>
        <v>3.3200000000000003</v>
      </c>
      <c r="G4671" s="1410"/>
      <c r="H4671" s="1473">
        <f t="shared" si="1187"/>
        <v>6.25E-2</v>
      </c>
      <c r="I4671" s="1406">
        <f t="shared" si="1189"/>
        <v>0.20750000000000002</v>
      </c>
      <c r="J4671" s="1410">
        <f>F656+0.46</f>
        <v>2.12</v>
      </c>
      <c r="K4671" s="1409">
        <f t="shared" si="1188"/>
        <v>0.6</v>
      </c>
      <c r="L4671" s="1473">
        <f t="shared" si="1188"/>
        <v>6.25E-2</v>
      </c>
      <c r="Q4671" s="1394">
        <f>IFERROR(VLOOKUP(L4671,#REF!,3,0),0)</f>
        <v>0</v>
      </c>
      <c r="R4671" s="1394">
        <f t="shared" si="1179"/>
        <v>0</v>
      </c>
      <c r="S4671" s="1394">
        <f>IFERROR(VLOOKUP(M4671,#REF!,6,0),0)</f>
        <v>0</v>
      </c>
      <c r="T4671" s="1394">
        <f t="shared" si="1169"/>
        <v>0</v>
      </c>
      <c r="U4671" s="1394">
        <f>IFERROR(VLOOKUP(L4671,#REF!,5,0),0)</f>
        <v>0</v>
      </c>
      <c r="V4671" s="1394">
        <f t="shared" si="1170"/>
        <v>0</v>
      </c>
      <c r="W4671" s="1394"/>
    </row>
    <row r="4672" spans="2:23" ht="30" customHeight="1">
      <c r="B4672" s="1472"/>
      <c r="C4672" s="1408" t="str">
        <f t="shared" si="1185"/>
        <v>SLD</v>
      </c>
      <c r="D4672" s="1409">
        <f t="shared" si="1185"/>
        <v>1</v>
      </c>
      <c r="E4672" s="1409">
        <f t="shared" si="1185"/>
        <v>1</v>
      </c>
      <c r="F4672" s="1410">
        <f t="shared" si="1186"/>
        <v>3.12</v>
      </c>
      <c r="G4672" s="1410"/>
      <c r="H4672" s="1473">
        <f t="shared" si="1187"/>
        <v>6.25E-2</v>
      </c>
      <c r="I4672" s="1406">
        <f t="shared" si="1189"/>
        <v>0.19500000000000001</v>
      </c>
      <c r="J4672" s="1410">
        <f>F657+0.46</f>
        <v>1.92</v>
      </c>
      <c r="K4672" s="1409">
        <f t="shared" si="1188"/>
        <v>0.6</v>
      </c>
      <c r="L4672" s="1473">
        <f t="shared" si="1188"/>
        <v>6.25E-2</v>
      </c>
      <c r="Q4672" s="1394">
        <f>IFERROR(VLOOKUP(L4672,#REF!,3,0),0)</f>
        <v>0</v>
      </c>
      <c r="R4672" s="1394">
        <f t="shared" si="1179"/>
        <v>0</v>
      </c>
      <c r="S4672" s="1394">
        <f>IFERROR(VLOOKUP(M4672,#REF!,6,0),0)</f>
        <v>0</v>
      </c>
      <c r="T4672" s="1394">
        <f t="shared" si="1169"/>
        <v>0</v>
      </c>
      <c r="U4672" s="1394">
        <f>IFERROR(VLOOKUP(L4672,#REF!,5,0),0)</f>
        <v>0</v>
      </c>
      <c r="V4672" s="1394">
        <f t="shared" si="1170"/>
        <v>0</v>
      </c>
      <c r="W4672" s="1394"/>
    </row>
    <row r="4673" spans="2:23" ht="30" customHeight="1">
      <c r="B4673" s="1472"/>
      <c r="C4673" s="1408" t="str">
        <f t="shared" si="1185"/>
        <v>TD</v>
      </c>
      <c r="D4673" s="1409">
        <f t="shared" si="1185"/>
        <v>1</v>
      </c>
      <c r="E4673" s="1409">
        <f t="shared" si="1185"/>
        <v>1</v>
      </c>
      <c r="F4673" s="1410">
        <f t="shared" si="1186"/>
        <v>2.41</v>
      </c>
      <c r="G4673" s="1410"/>
      <c r="H4673" s="1473">
        <f t="shared" si="1187"/>
        <v>6.25E-2</v>
      </c>
      <c r="I4673" s="1406">
        <f t="shared" si="1189"/>
        <v>0.15062500000000001</v>
      </c>
      <c r="J4673" s="1410">
        <f>F658</f>
        <v>1.21</v>
      </c>
      <c r="K4673" s="1409">
        <f t="shared" si="1188"/>
        <v>0.6</v>
      </c>
      <c r="L4673" s="1473">
        <f t="shared" si="1188"/>
        <v>6.25E-2</v>
      </c>
      <c r="Q4673" s="1394">
        <f>IFERROR(VLOOKUP(L4673,#REF!,3,0),0)</f>
        <v>0</v>
      </c>
      <c r="R4673" s="1394">
        <f t="shared" si="1179"/>
        <v>0</v>
      </c>
      <c r="S4673" s="1394">
        <f>IFERROR(VLOOKUP(M4673,#REF!,6,0),0)</f>
        <v>0</v>
      </c>
      <c r="T4673" s="1394">
        <f t="shared" si="1169"/>
        <v>0</v>
      </c>
      <c r="U4673" s="1394">
        <f>IFERROR(VLOOKUP(L4673,#REF!,5,0),0)</f>
        <v>0</v>
      </c>
      <c r="V4673" s="1394">
        <f t="shared" si="1170"/>
        <v>0</v>
      </c>
      <c r="W4673" s="1394"/>
    </row>
    <row r="4674" spans="2:23" ht="30" customHeight="1">
      <c r="B4674" s="1472"/>
      <c r="C4674" s="1408" t="str">
        <f t="shared" si="1185"/>
        <v>SFW</v>
      </c>
      <c r="D4674" s="1409">
        <f t="shared" si="1185"/>
        <v>1</v>
      </c>
      <c r="E4674" s="1409">
        <f t="shared" si="1185"/>
        <v>1</v>
      </c>
      <c r="F4674" s="1410">
        <f t="shared" si="1186"/>
        <v>3.9200000000000004</v>
      </c>
      <c r="G4674" s="1410"/>
      <c r="H4674" s="1473">
        <f t="shared" si="1187"/>
        <v>6.25E-2</v>
      </c>
      <c r="I4674" s="1406">
        <f t="shared" si="1189"/>
        <v>0.24500000000000002</v>
      </c>
      <c r="J4674" s="1410">
        <f>F659+0.46</f>
        <v>2.72</v>
      </c>
      <c r="K4674" s="1409">
        <f t="shared" si="1188"/>
        <v>0.6</v>
      </c>
      <c r="L4674" s="1473">
        <f t="shared" si="1188"/>
        <v>6.25E-2</v>
      </c>
      <c r="Q4674" s="1394">
        <f>IFERROR(VLOOKUP(L4674,#REF!,3,0),0)</f>
        <v>0</v>
      </c>
      <c r="R4674" s="1394">
        <f t="shared" si="1179"/>
        <v>0</v>
      </c>
      <c r="S4674" s="1394">
        <f>IFERROR(VLOOKUP(M4674,#REF!,6,0),0)</f>
        <v>0</v>
      </c>
      <c r="T4674" s="1394">
        <f t="shared" si="1169"/>
        <v>0</v>
      </c>
      <c r="U4674" s="1394">
        <f>IFERROR(VLOOKUP(L4674,#REF!,5,0),0)</f>
        <v>0</v>
      </c>
      <c r="V4674" s="1394">
        <f t="shared" si="1170"/>
        <v>0</v>
      </c>
      <c r="W4674" s="1394"/>
    </row>
    <row r="4675" spans="2:23" ht="30" customHeight="1">
      <c r="B4675" s="1472"/>
      <c r="C4675" s="1408" t="str">
        <f t="shared" si="1185"/>
        <v>FW-1</v>
      </c>
      <c r="D4675" s="1409">
        <f t="shared" si="1185"/>
        <v>1</v>
      </c>
      <c r="E4675" s="1409">
        <f t="shared" si="1185"/>
        <v>2</v>
      </c>
      <c r="F4675" s="1410">
        <f t="shared" si="1186"/>
        <v>3.4600000000000004</v>
      </c>
      <c r="G4675" s="1410"/>
      <c r="H4675" s="1473">
        <f t="shared" si="1187"/>
        <v>6.25E-2</v>
      </c>
      <c r="I4675" s="1406">
        <f t="shared" si="1189"/>
        <v>0.43250000000000005</v>
      </c>
      <c r="J4675" s="1410">
        <f>F660</f>
        <v>2.2600000000000002</v>
      </c>
      <c r="K4675" s="1409">
        <f t="shared" si="1188"/>
        <v>0.6</v>
      </c>
      <c r="L4675" s="1473">
        <f t="shared" si="1188"/>
        <v>6.25E-2</v>
      </c>
      <c r="Q4675" s="1394">
        <f>IFERROR(VLOOKUP(L4675,#REF!,3,0),0)</f>
        <v>0</v>
      </c>
      <c r="R4675" s="1394">
        <f t="shared" si="1179"/>
        <v>0</v>
      </c>
      <c r="S4675" s="1394">
        <f>IFERROR(VLOOKUP(M4675,#REF!,6,0),0)</f>
        <v>0</v>
      </c>
      <c r="T4675" s="1394">
        <f t="shared" ref="T4675:T4738" si="1190">R4675-S4675</f>
        <v>0</v>
      </c>
      <c r="U4675" s="1394">
        <f>IFERROR(VLOOKUP(L4675,#REF!,5,0),0)</f>
        <v>0</v>
      </c>
      <c r="V4675" s="1394">
        <f t="shared" ref="V4675:V4738" si="1191">O4675-U4675</f>
        <v>0</v>
      </c>
      <c r="W4675" s="1394"/>
    </row>
    <row r="4676" spans="2:23" ht="30" customHeight="1">
      <c r="B4676" s="1472"/>
      <c r="C4676" s="1408" t="str">
        <f t="shared" si="1185"/>
        <v>FW-2</v>
      </c>
      <c r="D4676" s="1409">
        <f t="shared" si="1185"/>
        <v>1</v>
      </c>
      <c r="E4676" s="1409">
        <f t="shared" si="1185"/>
        <v>1</v>
      </c>
      <c r="F4676" s="1410">
        <f t="shared" si="1186"/>
        <v>3.62</v>
      </c>
      <c r="G4676" s="1410"/>
      <c r="H4676" s="1473">
        <f t="shared" si="1187"/>
        <v>6.25E-2</v>
      </c>
      <c r="I4676" s="1406">
        <f t="shared" ref="I4676:I4677" si="1192">PRODUCT(D4676:H4676)</f>
        <v>0.22625000000000001</v>
      </c>
      <c r="J4676" s="1410">
        <f>F661+0.46</f>
        <v>2.42</v>
      </c>
      <c r="K4676" s="1409">
        <f t="shared" si="1188"/>
        <v>0.6</v>
      </c>
      <c r="L4676" s="1473">
        <f t="shared" si="1188"/>
        <v>6.25E-2</v>
      </c>
      <c r="Q4676" s="1394">
        <f>IFERROR(VLOOKUP(L4676,#REF!,3,0),0)</f>
        <v>0</v>
      </c>
      <c r="R4676" s="1394">
        <f t="shared" si="1179"/>
        <v>0</v>
      </c>
      <c r="S4676" s="1394">
        <f>IFERROR(VLOOKUP(M4676,#REF!,6,0),0)</f>
        <v>0</v>
      </c>
      <c r="T4676" s="1394">
        <f t="shared" si="1190"/>
        <v>0</v>
      </c>
      <c r="U4676" s="1394">
        <f>IFERROR(VLOOKUP(L4676,#REF!,5,0),0)</f>
        <v>0</v>
      </c>
      <c r="V4676" s="1394">
        <f t="shared" si="1191"/>
        <v>0</v>
      </c>
      <c r="W4676" s="1394"/>
    </row>
    <row r="4677" spans="2:23" ht="30" customHeight="1">
      <c r="B4677" s="1472"/>
      <c r="C4677" s="1408"/>
      <c r="D4677" s="1409"/>
      <c r="E4677" s="1409"/>
      <c r="F4677" s="1410">
        <f t="shared" si="1186"/>
        <v>0</v>
      </c>
      <c r="G4677" s="1410"/>
      <c r="H4677" s="1473">
        <f t="shared" si="1187"/>
        <v>0</v>
      </c>
      <c r="I4677" s="1406">
        <f t="shared" si="1192"/>
        <v>0</v>
      </c>
      <c r="L4677" s="1399"/>
      <c r="Q4677" s="1394">
        <f>IFERROR(VLOOKUP(L4677,#REF!,3,0),0)</f>
        <v>0</v>
      </c>
      <c r="R4677" s="1394">
        <f t="shared" si="1179"/>
        <v>0</v>
      </c>
      <c r="S4677" s="1394">
        <f>IFERROR(VLOOKUP(M4677,#REF!,6,0),0)</f>
        <v>0</v>
      </c>
      <c r="T4677" s="1394">
        <f t="shared" si="1190"/>
        <v>0</v>
      </c>
      <c r="U4677" s="1394">
        <f>IFERROR(VLOOKUP(L4677,#REF!,5,0),0)</f>
        <v>0</v>
      </c>
      <c r="V4677" s="1394">
        <f t="shared" si="1191"/>
        <v>0</v>
      </c>
      <c r="W4677" s="1394"/>
    </row>
    <row r="4678" spans="2:23" ht="30" customHeight="1">
      <c r="B4678" s="1472"/>
      <c r="C4678" s="1408"/>
      <c r="D4678" s="1409"/>
      <c r="E4678" s="1409"/>
      <c r="F4678" s="1410"/>
      <c r="G4678" s="1410"/>
      <c r="H4678" s="1411"/>
      <c r="I4678" s="1406">
        <f t="shared" ref="I4678:I4782" si="1193">PRODUCT(D4678:H4678)</f>
        <v>0</v>
      </c>
      <c r="L4678" s="1399"/>
      <c r="Q4678" s="1394">
        <f>IFERROR(VLOOKUP(L4678,#REF!,3,0),0)</f>
        <v>0</v>
      </c>
      <c r="R4678" s="1394">
        <f t="shared" si="1179"/>
        <v>0</v>
      </c>
      <c r="S4678" s="1394">
        <f>IFERROR(VLOOKUP(M4678,#REF!,6,0),0)</f>
        <v>0</v>
      </c>
      <c r="T4678" s="1394">
        <f t="shared" si="1190"/>
        <v>0</v>
      </c>
      <c r="U4678" s="1394">
        <f>IFERROR(VLOOKUP(L4678,#REF!,5,0),0)</f>
        <v>0</v>
      </c>
      <c r="V4678" s="1394">
        <f t="shared" si="1191"/>
        <v>0</v>
      </c>
      <c r="W4678" s="1394"/>
    </row>
    <row r="4679" spans="2:23" ht="30" customHeight="1">
      <c r="B4679" s="1472"/>
      <c r="C4679" s="1408"/>
      <c r="D4679" s="1409"/>
      <c r="E4679" s="1409"/>
      <c r="F4679" s="1410"/>
      <c r="G4679" s="1410"/>
      <c r="H4679" s="1411"/>
      <c r="I4679" s="1406">
        <f t="shared" si="1193"/>
        <v>0</v>
      </c>
      <c r="L4679" s="1399"/>
      <c r="Q4679" s="1394">
        <f>IFERROR(VLOOKUP(L4679,#REF!,3,0),0)</f>
        <v>0</v>
      </c>
      <c r="R4679" s="1394">
        <f t="shared" si="1179"/>
        <v>0</v>
      </c>
      <c r="S4679" s="1394">
        <f>IFERROR(VLOOKUP(M4679,#REF!,6,0),0)</f>
        <v>0</v>
      </c>
      <c r="T4679" s="1394">
        <f t="shared" si="1190"/>
        <v>0</v>
      </c>
      <c r="U4679" s="1394">
        <f>IFERROR(VLOOKUP(L4679,#REF!,5,0),0)</f>
        <v>0</v>
      </c>
      <c r="V4679" s="1394">
        <f t="shared" si="1191"/>
        <v>0</v>
      </c>
      <c r="W4679" s="1394"/>
    </row>
    <row r="4680" spans="2:23" ht="30" customHeight="1">
      <c r="B4680" s="1472"/>
      <c r="C4680" s="1415" t="s">
        <v>366</v>
      </c>
      <c r="D4680" s="1409"/>
      <c r="E4680" s="1409"/>
      <c r="F4680" s="1410"/>
      <c r="G4680" s="1410"/>
      <c r="H4680" s="1411"/>
      <c r="I4680" s="1406">
        <f t="shared" si="1193"/>
        <v>0</v>
      </c>
      <c r="L4680" s="1399"/>
      <c r="Q4680" s="1394">
        <f>IFERROR(VLOOKUP(L4680,#REF!,3,0),0)</f>
        <v>0</v>
      </c>
      <c r="R4680" s="1394">
        <f t="shared" si="1179"/>
        <v>0</v>
      </c>
      <c r="S4680" s="1394">
        <f>IFERROR(VLOOKUP(M4680,#REF!,6,0),0)</f>
        <v>0</v>
      </c>
      <c r="T4680" s="1394">
        <f t="shared" si="1190"/>
        <v>0</v>
      </c>
      <c r="U4680" s="1394">
        <f>IFERROR(VLOOKUP(L4680,#REF!,5,0),0)</f>
        <v>0</v>
      </c>
      <c r="V4680" s="1394">
        <f t="shared" si="1191"/>
        <v>0</v>
      </c>
      <c r="W4680" s="1394"/>
    </row>
    <row r="4681" spans="2:23" ht="30" customHeight="1">
      <c r="B4681" s="1407"/>
      <c r="C4681" s="1455" t="str">
        <f t="shared" ref="C4681:E4686" si="1194">C729</f>
        <v>Column Raising upto roof beam bottom</v>
      </c>
      <c r="D4681" s="103">
        <f t="shared" si="1194"/>
        <v>0</v>
      </c>
      <c r="E4681" s="103">
        <f t="shared" si="1194"/>
        <v>0</v>
      </c>
      <c r="F4681" s="1410"/>
      <c r="G4681" s="1410"/>
      <c r="H4681" s="1411"/>
      <c r="I4681" s="1406">
        <f t="shared" si="1193"/>
        <v>0</v>
      </c>
      <c r="L4681" s="1399"/>
      <c r="Q4681" s="1394">
        <f>IFERROR(VLOOKUP(L4681,#REF!,3,0),0)</f>
        <v>0</v>
      </c>
      <c r="R4681" s="1394">
        <f t="shared" si="1179"/>
        <v>0</v>
      </c>
      <c r="S4681" s="1394">
        <f>IFERROR(VLOOKUP(M4681,#REF!,6,0),0)</f>
        <v>0</v>
      </c>
      <c r="T4681" s="1394">
        <f t="shared" si="1190"/>
        <v>0</v>
      </c>
      <c r="U4681" s="1394">
        <f>IFERROR(VLOOKUP(L4681,#REF!,5,0),0)</f>
        <v>0</v>
      </c>
      <c r="V4681" s="1394">
        <f t="shared" si="1191"/>
        <v>0</v>
      </c>
      <c r="W4681" s="1394"/>
    </row>
    <row r="4682" spans="2:23" ht="30" customHeight="1">
      <c r="B4682" s="1407"/>
      <c r="C4682" s="1415" t="str">
        <f t="shared" si="1194"/>
        <v xml:space="preserve">For C1 Round Column Dia 0.3 Radius = 0.15 </v>
      </c>
      <c r="D4682" s="1409">
        <f t="shared" si="1194"/>
        <v>4</v>
      </c>
      <c r="E4682" s="1409">
        <f t="shared" si="1194"/>
        <v>3.14</v>
      </c>
      <c r="F4682" s="1410">
        <f>K4682*2</f>
        <v>0.3</v>
      </c>
      <c r="G4682" s="1410"/>
      <c r="H4682" s="1411">
        <f>L4682</f>
        <v>1.2</v>
      </c>
      <c r="I4682" s="1406">
        <f t="shared" si="1193"/>
        <v>4.5215999999999994</v>
      </c>
      <c r="J4682" s="1410">
        <f t="shared" ref="J4682:L4686" si="1195">F730</f>
        <v>0.15</v>
      </c>
      <c r="K4682" s="1409">
        <f t="shared" si="1195"/>
        <v>0.15</v>
      </c>
      <c r="L4682" s="1409">
        <f t="shared" si="1195"/>
        <v>1.2</v>
      </c>
      <c r="Q4682" s="1394">
        <f>IFERROR(VLOOKUP(L4682,#REF!,3,0),0)</f>
        <v>0</v>
      </c>
      <c r="R4682" s="1394">
        <f t="shared" si="1179"/>
        <v>0</v>
      </c>
      <c r="S4682" s="1394">
        <f>IFERROR(VLOOKUP(M4682,#REF!,6,0),0)</f>
        <v>0</v>
      </c>
      <c r="T4682" s="1394">
        <f t="shared" si="1190"/>
        <v>0</v>
      </c>
      <c r="U4682" s="1394">
        <f>IFERROR(VLOOKUP(L4682,#REF!,5,0),0)</f>
        <v>0</v>
      </c>
      <c r="V4682" s="1394">
        <f t="shared" si="1191"/>
        <v>0</v>
      </c>
      <c r="W4682" s="1394"/>
    </row>
    <row r="4683" spans="2:23" ht="30" customHeight="1">
      <c r="B4683" s="1405"/>
      <c r="C4683" s="1408" t="str">
        <f t="shared" si="1194"/>
        <v>For C2</v>
      </c>
      <c r="D4683" s="1409">
        <f t="shared" si="1194"/>
        <v>11</v>
      </c>
      <c r="E4683" s="1409">
        <f t="shared" si="1194"/>
        <v>1</v>
      </c>
      <c r="F4683" s="1410">
        <f>2*(J4683+K4683)</f>
        <v>1.22</v>
      </c>
      <c r="G4683" s="1410"/>
      <c r="H4683" s="1411">
        <f>L4683</f>
        <v>2.92</v>
      </c>
      <c r="I4683" s="1406">
        <f t="shared" si="1193"/>
        <v>39.186399999999999</v>
      </c>
      <c r="J4683" s="1410">
        <f t="shared" si="1195"/>
        <v>0.23</v>
      </c>
      <c r="K4683" s="1411">
        <f t="shared" si="1195"/>
        <v>0.38</v>
      </c>
      <c r="L4683" s="1411">
        <f t="shared" si="1195"/>
        <v>2.92</v>
      </c>
      <c r="Q4683" s="1394">
        <f>IFERROR(VLOOKUP(L4683,#REF!,3,0),0)</f>
        <v>0</v>
      </c>
      <c r="R4683" s="1394">
        <f t="shared" si="1179"/>
        <v>0</v>
      </c>
      <c r="S4683" s="1394">
        <f>IFERROR(VLOOKUP(M4683,#REF!,6,0),0)</f>
        <v>0</v>
      </c>
      <c r="T4683" s="1394">
        <f t="shared" si="1190"/>
        <v>0</v>
      </c>
      <c r="U4683" s="1394">
        <f>IFERROR(VLOOKUP(L4683,#REF!,5,0),0)</f>
        <v>0</v>
      </c>
      <c r="V4683" s="1394">
        <f t="shared" si="1191"/>
        <v>0</v>
      </c>
      <c r="W4683" s="1394"/>
    </row>
    <row r="4684" spans="2:23" ht="30" customHeight="1">
      <c r="B4684" s="1405"/>
      <c r="C4684" s="1408" t="str">
        <f t="shared" si="1194"/>
        <v>For C3</v>
      </c>
      <c r="D4684" s="1409">
        <f t="shared" si="1194"/>
        <v>10</v>
      </c>
      <c r="E4684" s="1409">
        <f t="shared" si="1194"/>
        <v>1</v>
      </c>
      <c r="F4684" s="1410">
        <f>2*(J4684+K4684)</f>
        <v>1.36</v>
      </c>
      <c r="G4684" s="1410"/>
      <c r="H4684" s="1411">
        <f>L4684</f>
        <v>2.92</v>
      </c>
      <c r="I4684" s="1406">
        <f t="shared" si="1193"/>
        <v>39.712000000000003</v>
      </c>
      <c r="J4684" s="1410">
        <f t="shared" si="1195"/>
        <v>0.23</v>
      </c>
      <c r="K4684" s="1411">
        <f t="shared" si="1195"/>
        <v>0.45</v>
      </c>
      <c r="L4684" s="1411">
        <f t="shared" si="1195"/>
        <v>2.92</v>
      </c>
      <c r="Q4684" s="1394">
        <f>IFERROR(VLOOKUP(L4684,#REF!,3,0),0)</f>
        <v>0</v>
      </c>
      <c r="R4684" s="1394">
        <f t="shared" si="1179"/>
        <v>0</v>
      </c>
      <c r="S4684" s="1394">
        <f>IFERROR(VLOOKUP(M4684,#REF!,6,0),0)</f>
        <v>0</v>
      </c>
      <c r="T4684" s="1394">
        <f t="shared" si="1190"/>
        <v>0</v>
      </c>
      <c r="U4684" s="1394">
        <f>IFERROR(VLOOKUP(L4684,#REF!,5,0),0)</f>
        <v>0</v>
      </c>
      <c r="V4684" s="1394">
        <f t="shared" si="1191"/>
        <v>0</v>
      </c>
      <c r="W4684" s="1394"/>
    </row>
    <row r="4685" spans="2:23" ht="30" customHeight="1">
      <c r="B4685" s="1405"/>
      <c r="C4685" s="1408" t="str">
        <f t="shared" si="1194"/>
        <v>For C4</v>
      </c>
      <c r="D4685" s="1409">
        <f t="shared" si="1194"/>
        <v>7</v>
      </c>
      <c r="E4685" s="1409">
        <f t="shared" si="1194"/>
        <v>1</v>
      </c>
      <c r="F4685" s="1410">
        <f>2*(J4685+K4685)</f>
        <v>1.5</v>
      </c>
      <c r="G4685" s="1410"/>
      <c r="H4685" s="1411">
        <f>L4685</f>
        <v>2.92</v>
      </c>
      <c r="I4685" s="1406">
        <f t="shared" si="1193"/>
        <v>30.66</v>
      </c>
      <c r="J4685" s="1410">
        <f t="shared" si="1195"/>
        <v>0.3</v>
      </c>
      <c r="K4685" s="1411">
        <f t="shared" si="1195"/>
        <v>0.45</v>
      </c>
      <c r="L4685" s="1411">
        <f t="shared" si="1195"/>
        <v>2.92</v>
      </c>
      <c r="Q4685" s="1394">
        <f>IFERROR(VLOOKUP(L4685,#REF!,3,0),0)</f>
        <v>0</v>
      </c>
      <c r="R4685" s="1394">
        <f t="shared" si="1179"/>
        <v>0</v>
      </c>
      <c r="S4685" s="1394">
        <f>IFERROR(VLOOKUP(M4685,#REF!,6,0),0)</f>
        <v>0</v>
      </c>
      <c r="T4685" s="1394">
        <f t="shared" si="1190"/>
        <v>0</v>
      </c>
      <c r="U4685" s="1394">
        <f>IFERROR(VLOOKUP(L4685,#REF!,5,0),0)</f>
        <v>0</v>
      </c>
      <c r="V4685" s="1394">
        <f t="shared" si="1191"/>
        <v>0</v>
      </c>
      <c r="W4685" s="1394"/>
    </row>
    <row r="4686" spans="2:23" ht="30" customHeight="1">
      <c r="B4686" s="1405"/>
      <c r="C4686" s="1415">
        <f t="shared" si="1194"/>
        <v>0</v>
      </c>
      <c r="D4686" s="1409">
        <f t="shared" si="1194"/>
        <v>0</v>
      </c>
      <c r="E4686" s="1409">
        <f t="shared" si="1194"/>
        <v>0</v>
      </c>
      <c r="F4686" s="1410"/>
      <c r="G4686" s="1410"/>
      <c r="H4686" s="1411"/>
      <c r="I4686" s="1406">
        <f t="shared" si="1193"/>
        <v>0</v>
      </c>
      <c r="J4686" s="1410">
        <f t="shared" si="1195"/>
        <v>0</v>
      </c>
      <c r="K4686" s="1411">
        <f t="shared" si="1195"/>
        <v>0</v>
      </c>
      <c r="L4686" s="1411">
        <f t="shared" si="1195"/>
        <v>0</v>
      </c>
      <c r="Q4686" s="1394">
        <f>IFERROR(VLOOKUP(L4686,#REF!,3,0),0)</f>
        <v>0</v>
      </c>
      <c r="R4686" s="1394">
        <f t="shared" si="1179"/>
        <v>0</v>
      </c>
      <c r="S4686" s="1394">
        <f>IFERROR(VLOOKUP(M4686,#REF!,6,0),0)</f>
        <v>0</v>
      </c>
      <c r="T4686" s="1394">
        <f t="shared" si="1190"/>
        <v>0</v>
      </c>
      <c r="U4686" s="1394">
        <f>IFERROR(VLOOKUP(L4686,#REF!,5,0),0)</f>
        <v>0</v>
      </c>
      <c r="V4686" s="1394">
        <f t="shared" si="1191"/>
        <v>0</v>
      </c>
      <c r="W4686" s="1394"/>
    </row>
    <row r="4687" spans="2:23" ht="30" customHeight="1">
      <c r="B4687" s="1407"/>
      <c r="C4687" s="1408" t="s">
        <v>5924</v>
      </c>
      <c r="D4687" s="103">
        <f t="shared" ref="D4687:E4698" si="1196">D820</f>
        <v>0</v>
      </c>
      <c r="E4687" s="103">
        <f t="shared" si="1196"/>
        <v>0</v>
      </c>
      <c r="F4687" s="1410"/>
      <c r="G4687" s="1410"/>
      <c r="H4687" s="1411"/>
      <c r="I4687" s="1406">
        <f t="shared" si="1193"/>
        <v>0</v>
      </c>
      <c r="J4687" s="1413">
        <f>F820</f>
        <v>0</v>
      </c>
      <c r="K4687" s="103">
        <f>G820</f>
        <v>0</v>
      </c>
      <c r="L4687" s="1414">
        <f>H820</f>
        <v>0</v>
      </c>
      <c r="Q4687" s="1394">
        <f>IFERROR(VLOOKUP(L4687,#REF!,3,0),0)</f>
        <v>0</v>
      </c>
      <c r="R4687" s="1394">
        <f t="shared" si="1179"/>
        <v>0</v>
      </c>
      <c r="S4687" s="1394">
        <f>IFERROR(VLOOKUP(M4687,#REF!,6,0),0)</f>
        <v>0</v>
      </c>
      <c r="T4687" s="1394">
        <f t="shared" si="1190"/>
        <v>0</v>
      </c>
      <c r="U4687" s="1394">
        <f>IFERROR(VLOOKUP(L4687,#REF!,5,0),0)</f>
        <v>0</v>
      </c>
      <c r="V4687" s="1394">
        <f t="shared" si="1191"/>
        <v>0</v>
      </c>
      <c r="W4687" s="1394"/>
    </row>
    <row r="4688" spans="2:23" ht="30" customHeight="1">
      <c r="B4688" s="1405"/>
      <c r="C4688" s="1415" t="str">
        <f t="shared" ref="C4688:C4698" si="1197">C821</f>
        <v>FW</v>
      </c>
      <c r="D4688" s="1409">
        <f t="shared" si="1196"/>
        <v>1</v>
      </c>
      <c r="E4688" s="1409">
        <f t="shared" si="1196"/>
        <v>2</v>
      </c>
      <c r="F4688" s="1410">
        <f t="shared" ref="F4688:F4698" si="1198">J4688</f>
        <v>1.7329999999999999</v>
      </c>
      <c r="G4688" s="1410">
        <f t="shared" ref="G4688:G4698" si="1199">K4688</f>
        <v>0.6</v>
      </c>
      <c r="H4688" s="1411"/>
      <c r="I4688" s="1406">
        <f t="shared" si="1193"/>
        <v>2.0795999999999997</v>
      </c>
      <c r="J4688" s="1410">
        <f t="shared" ref="J4688:J4698" si="1200">F821+0.46</f>
        <v>1.7329999999999999</v>
      </c>
      <c r="K4688" s="1409">
        <f t="shared" ref="K4688:K4698" si="1201">G821</f>
        <v>0.6</v>
      </c>
      <c r="L4688" s="1473">
        <f t="shared" ref="L4688:L4698" si="1202">H821</f>
        <v>6.25E-2</v>
      </c>
      <c r="O4688" s="1395"/>
      <c r="Q4688" s="1394">
        <f>IFERROR(VLOOKUP(L4688,#REF!,3,0),0)</f>
        <v>0</v>
      </c>
      <c r="R4688" s="1394">
        <f t="shared" si="1179"/>
        <v>0</v>
      </c>
      <c r="S4688" s="1394">
        <f>IFERROR(VLOOKUP(M4688,#REF!,6,0),0)</f>
        <v>0</v>
      </c>
      <c r="T4688" s="1394">
        <f t="shared" si="1190"/>
        <v>0</v>
      </c>
      <c r="U4688" s="1394">
        <f>IFERROR(VLOOKUP(L4688,#REF!,5,0),0)</f>
        <v>0</v>
      </c>
      <c r="V4688" s="1394">
        <f t="shared" si="1191"/>
        <v>0</v>
      </c>
      <c r="W4688" s="1394"/>
    </row>
    <row r="4689" spans="2:23" ht="30" customHeight="1">
      <c r="B4689" s="1405"/>
      <c r="C4689" s="1408" t="str">
        <f t="shared" si="1197"/>
        <v>FW-3</v>
      </c>
      <c r="D4689" s="1409">
        <f t="shared" si="1196"/>
        <v>1</v>
      </c>
      <c r="E4689" s="1409">
        <f t="shared" si="1196"/>
        <v>1</v>
      </c>
      <c r="F4689" s="1410">
        <f t="shared" si="1198"/>
        <v>2.92</v>
      </c>
      <c r="G4689" s="1410">
        <f t="shared" si="1199"/>
        <v>0.6</v>
      </c>
      <c r="H4689" s="1411"/>
      <c r="I4689" s="1406">
        <f t="shared" si="1193"/>
        <v>1.752</v>
      </c>
      <c r="J4689" s="1410">
        <f t="shared" si="1200"/>
        <v>2.92</v>
      </c>
      <c r="K4689" s="1411">
        <f t="shared" si="1201"/>
        <v>0.6</v>
      </c>
      <c r="L4689" s="1473">
        <f t="shared" si="1202"/>
        <v>6.25E-2</v>
      </c>
      <c r="O4689" s="1395"/>
      <c r="Q4689" s="1394">
        <f>IFERROR(VLOOKUP(L4689,#REF!,3,0),0)</f>
        <v>0</v>
      </c>
      <c r="R4689" s="1394">
        <f t="shared" si="1179"/>
        <v>0</v>
      </c>
      <c r="S4689" s="1394">
        <f>IFERROR(VLOOKUP(M4689,#REF!,6,0),0)</f>
        <v>0</v>
      </c>
      <c r="T4689" s="1394">
        <f t="shared" si="1190"/>
        <v>0</v>
      </c>
      <c r="U4689" s="1394">
        <f>IFERROR(VLOOKUP(L4689,#REF!,5,0),0)</f>
        <v>0</v>
      </c>
      <c r="V4689" s="1394">
        <f t="shared" si="1191"/>
        <v>0</v>
      </c>
      <c r="W4689" s="1394"/>
    </row>
    <row r="4690" spans="2:23" ht="30" customHeight="1">
      <c r="B4690" s="1405"/>
      <c r="C4690" s="1408" t="str">
        <f t="shared" si="1197"/>
        <v>FW-4</v>
      </c>
      <c r="D4690" s="1409">
        <f t="shared" si="1196"/>
        <v>1</v>
      </c>
      <c r="E4690" s="1409">
        <f t="shared" si="1196"/>
        <v>2</v>
      </c>
      <c r="F4690" s="1410">
        <f t="shared" si="1198"/>
        <v>2.12</v>
      </c>
      <c r="G4690" s="1410">
        <f t="shared" si="1199"/>
        <v>0.6</v>
      </c>
      <c r="H4690" s="1411"/>
      <c r="I4690" s="1406">
        <f t="shared" si="1193"/>
        <v>2.544</v>
      </c>
      <c r="J4690" s="1410">
        <f t="shared" si="1200"/>
        <v>2.12</v>
      </c>
      <c r="K4690" s="1411">
        <f t="shared" si="1201"/>
        <v>0.6</v>
      </c>
      <c r="L4690" s="1473">
        <f t="shared" si="1202"/>
        <v>6.25E-2</v>
      </c>
      <c r="O4690" s="1395"/>
      <c r="Q4690" s="1394">
        <f>IFERROR(VLOOKUP(L4690,#REF!,3,0),0)</f>
        <v>0</v>
      </c>
      <c r="R4690" s="1394">
        <f t="shared" si="1179"/>
        <v>0</v>
      </c>
      <c r="S4690" s="1394">
        <f>IFERROR(VLOOKUP(M4690,#REF!,6,0),0)</f>
        <v>0</v>
      </c>
      <c r="T4690" s="1394">
        <f t="shared" si="1190"/>
        <v>0</v>
      </c>
      <c r="U4690" s="1394">
        <f>IFERROR(VLOOKUP(L4690,#REF!,5,0),0)</f>
        <v>0</v>
      </c>
      <c r="V4690" s="1394">
        <f t="shared" si="1191"/>
        <v>0</v>
      </c>
      <c r="W4690" s="1394"/>
    </row>
    <row r="4691" spans="2:23" ht="30" customHeight="1">
      <c r="B4691" s="1405"/>
      <c r="C4691" s="1408" t="str">
        <f t="shared" si="1197"/>
        <v>SW</v>
      </c>
      <c r="D4691" s="1409">
        <f t="shared" si="1196"/>
        <v>1</v>
      </c>
      <c r="E4691" s="1409">
        <f t="shared" si="1196"/>
        <v>1</v>
      </c>
      <c r="F4691" s="1410">
        <f t="shared" si="1198"/>
        <v>2.72</v>
      </c>
      <c r="G4691" s="1410">
        <f t="shared" si="1199"/>
        <v>0.6</v>
      </c>
      <c r="H4691" s="1411"/>
      <c r="I4691" s="1406">
        <f t="shared" si="1193"/>
        <v>1.6320000000000001</v>
      </c>
      <c r="J4691" s="1410">
        <f t="shared" si="1200"/>
        <v>2.72</v>
      </c>
      <c r="K4691" s="1411">
        <f t="shared" si="1201"/>
        <v>0.6</v>
      </c>
      <c r="L4691" s="1473">
        <f t="shared" si="1202"/>
        <v>6.25E-2</v>
      </c>
      <c r="O4691" s="1395"/>
      <c r="Q4691" s="1394">
        <f>IFERROR(VLOOKUP(L4691,#REF!,3,0),0)</f>
        <v>0</v>
      </c>
      <c r="R4691" s="1394">
        <f t="shared" si="1179"/>
        <v>0</v>
      </c>
      <c r="S4691" s="1394">
        <f>IFERROR(VLOOKUP(M4691,#REF!,6,0),0)</f>
        <v>0</v>
      </c>
      <c r="T4691" s="1394">
        <f t="shared" si="1190"/>
        <v>0</v>
      </c>
      <c r="U4691" s="1394">
        <f>IFERROR(VLOOKUP(L4691,#REF!,5,0),0)</f>
        <v>0</v>
      </c>
      <c r="V4691" s="1394">
        <f t="shared" si="1191"/>
        <v>0</v>
      </c>
      <c r="W4691" s="1394"/>
    </row>
    <row r="4692" spans="2:23" ht="30" customHeight="1">
      <c r="B4692" s="1405"/>
      <c r="C4692" s="1408" t="str">
        <f t="shared" si="1197"/>
        <v>W</v>
      </c>
      <c r="D4692" s="1409">
        <f t="shared" si="1196"/>
        <v>1</v>
      </c>
      <c r="E4692" s="1409">
        <f t="shared" si="1196"/>
        <v>1</v>
      </c>
      <c r="F4692" s="1410">
        <f t="shared" si="1198"/>
        <v>2.72</v>
      </c>
      <c r="G4692" s="1410">
        <f t="shared" si="1199"/>
        <v>0.6</v>
      </c>
      <c r="H4692" s="1411"/>
      <c r="I4692" s="1406">
        <f t="shared" si="1193"/>
        <v>1.6320000000000001</v>
      </c>
      <c r="J4692" s="1410">
        <f t="shared" si="1200"/>
        <v>2.72</v>
      </c>
      <c r="K4692" s="1411">
        <f t="shared" si="1201"/>
        <v>0.6</v>
      </c>
      <c r="L4692" s="1473">
        <f t="shared" si="1202"/>
        <v>6.25E-2</v>
      </c>
      <c r="O4692" s="1469"/>
      <c r="Q4692" s="1394">
        <f>IFERROR(VLOOKUP(L4692,#REF!,3,0),0)</f>
        <v>0</v>
      </c>
      <c r="R4692" s="1394">
        <f t="shared" si="1179"/>
        <v>0</v>
      </c>
      <c r="S4692" s="1394">
        <f>IFERROR(VLOOKUP(M4692,#REF!,6,0),0)</f>
        <v>0</v>
      </c>
      <c r="T4692" s="1394">
        <f t="shared" si="1190"/>
        <v>0</v>
      </c>
      <c r="U4692" s="1394">
        <f>IFERROR(VLOOKUP(L4692,#REF!,5,0),0)</f>
        <v>0</v>
      </c>
      <c r="V4692" s="1394">
        <f t="shared" si="1191"/>
        <v>0</v>
      </c>
      <c r="W4692" s="1394"/>
    </row>
    <row r="4693" spans="2:23" ht="30" customHeight="1">
      <c r="B4693" s="1405"/>
      <c r="C4693" s="1415" t="str">
        <f t="shared" si="1197"/>
        <v>W1</v>
      </c>
      <c r="D4693" s="1409">
        <f t="shared" si="1196"/>
        <v>1</v>
      </c>
      <c r="E4693" s="1409">
        <f t="shared" si="1196"/>
        <v>1</v>
      </c>
      <c r="F4693" s="1410">
        <f t="shared" si="1198"/>
        <v>2.42</v>
      </c>
      <c r="G4693" s="1410">
        <f t="shared" si="1199"/>
        <v>0.6</v>
      </c>
      <c r="H4693" s="1411"/>
      <c r="I4693" s="1406">
        <f t="shared" si="1193"/>
        <v>1.452</v>
      </c>
      <c r="J4693" s="1410">
        <f t="shared" si="1200"/>
        <v>2.42</v>
      </c>
      <c r="K4693" s="1411">
        <f t="shared" si="1201"/>
        <v>0.6</v>
      </c>
      <c r="L4693" s="1473">
        <f t="shared" si="1202"/>
        <v>6.25E-2</v>
      </c>
      <c r="O4693" s="1469"/>
      <c r="Q4693" s="1394">
        <f>IFERROR(VLOOKUP(L4693,#REF!,3,0),0)</f>
        <v>0</v>
      </c>
      <c r="R4693" s="1394">
        <f t="shared" si="1179"/>
        <v>0</v>
      </c>
      <c r="S4693" s="1394">
        <f>IFERROR(VLOOKUP(M4693,#REF!,6,0),0)</f>
        <v>0</v>
      </c>
      <c r="T4693" s="1394">
        <f t="shared" si="1190"/>
        <v>0</v>
      </c>
      <c r="U4693" s="1394">
        <f>IFERROR(VLOOKUP(L4693,#REF!,5,0),0)</f>
        <v>0</v>
      </c>
      <c r="V4693" s="1394">
        <f t="shared" si="1191"/>
        <v>0</v>
      </c>
      <c r="W4693" s="1394"/>
    </row>
    <row r="4694" spans="2:23" ht="30" customHeight="1">
      <c r="B4694" s="1405"/>
      <c r="C4694" s="1415" t="str">
        <f t="shared" si="1197"/>
        <v>W2</v>
      </c>
      <c r="D4694" s="1409">
        <f t="shared" si="1196"/>
        <v>1</v>
      </c>
      <c r="E4694" s="1409">
        <f t="shared" si="1196"/>
        <v>10</v>
      </c>
      <c r="F4694" s="1410">
        <f t="shared" si="1198"/>
        <v>2.12</v>
      </c>
      <c r="G4694" s="1410">
        <f t="shared" si="1199"/>
        <v>0.6</v>
      </c>
      <c r="H4694" s="1411"/>
      <c r="I4694" s="1406">
        <f t="shared" si="1193"/>
        <v>12.72</v>
      </c>
      <c r="J4694" s="1410">
        <f t="shared" si="1200"/>
        <v>2.12</v>
      </c>
      <c r="K4694" s="1411">
        <f t="shared" si="1201"/>
        <v>0.6</v>
      </c>
      <c r="L4694" s="1473">
        <f t="shared" si="1202"/>
        <v>6.25E-2</v>
      </c>
      <c r="O4694" s="1469"/>
      <c r="Q4694" s="1394">
        <f>IFERROR(VLOOKUP(L4694,#REF!,3,0),0)</f>
        <v>0</v>
      </c>
      <c r="R4694" s="1394">
        <f t="shared" si="1179"/>
        <v>0</v>
      </c>
      <c r="S4694" s="1394">
        <f>IFERROR(VLOOKUP(M4694,#REF!,6,0),0)</f>
        <v>0</v>
      </c>
      <c r="T4694" s="1394">
        <f t="shared" si="1190"/>
        <v>0</v>
      </c>
      <c r="U4694" s="1394">
        <f>IFERROR(VLOOKUP(L4694,#REF!,5,0),0)</f>
        <v>0</v>
      </c>
      <c r="V4694" s="1394">
        <f t="shared" si="1191"/>
        <v>0</v>
      </c>
      <c r="W4694" s="1394"/>
    </row>
    <row r="4695" spans="2:23" ht="30" customHeight="1">
      <c r="B4695" s="1405"/>
      <c r="C4695" s="1415" t="str">
        <f t="shared" si="1197"/>
        <v>W3</v>
      </c>
      <c r="D4695" s="1409">
        <f t="shared" si="1196"/>
        <v>1</v>
      </c>
      <c r="E4695" s="1409">
        <f t="shared" si="1196"/>
        <v>4</v>
      </c>
      <c r="F4695" s="1410">
        <f t="shared" si="1198"/>
        <v>1.92</v>
      </c>
      <c r="G4695" s="1410">
        <f t="shared" si="1199"/>
        <v>0.6</v>
      </c>
      <c r="H4695" s="1411"/>
      <c r="I4695" s="1406">
        <f t="shared" si="1193"/>
        <v>4.6079999999999997</v>
      </c>
      <c r="J4695" s="1410">
        <f t="shared" si="1200"/>
        <v>1.92</v>
      </c>
      <c r="K4695" s="1411">
        <f t="shared" si="1201"/>
        <v>0.6</v>
      </c>
      <c r="L4695" s="1473">
        <f t="shared" si="1202"/>
        <v>6.25E-2</v>
      </c>
      <c r="O4695" s="1469"/>
      <c r="Q4695" s="1394">
        <f>IFERROR(VLOOKUP(L4695,#REF!,3,0),0)</f>
        <v>0</v>
      </c>
      <c r="R4695" s="1394">
        <f t="shared" si="1179"/>
        <v>0</v>
      </c>
      <c r="S4695" s="1394">
        <f>IFERROR(VLOOKUP(M4695,#REF!,6,0),0)</f>
        <v>0</v>
      </c>
      <c r="T4695" s="1394">
        <f t="shared" si="1190"/>
        <v>0</v>
      </c>
      <c r="U4695" s="1394">
        <f>IFERROR(VLOOKUP(L4695,#REF!,5,0),0)</f>
        <v>0</v>
      </c>
      <c r="V4695" s="1394">
        <f t="shared" si="1191"/>
        <v>0</v>
      </c>
      <c r="W4695" s="1394"/>
    </row>
    <row r="4696" spans="2:23" ht="30" customHeight="1">
      <c r="B4696" s="1405"/>
      <c r="C4696" s="1408" t="str">
        <f t="shared" si="1197"/>
        <v>V</v>
      </c>
      <c r="D4696" s="1409">
        <f t="shared" si="1196"/>
        <v>1</v>
      </c>
      <c r="E4696" s="1409">
        <f t="shared" si="1196"/>
        <v>2</v>
      </c>
      <c r="F4696" s="1410">
        <f t="shared" si="1198"/>
        <v>1.92</v>
      </c>
      <c r="G4696" s="1410">
        <f t="shared" si="1199"/>
        <v>0.6</v>
      </c>
      <c r="H4696" s="1411"/>
      <c r="I4696" s="1406">
        <f t="shared" si="1193"/>
        <v>2.3039999999999998</v>
      </c>
      <c r="J4696" s="1410">
        <f t="shared" si="1200"/>
        <v>1.92</v>
      </c>
      <c r="K4696" s="1411">
        <f t="shared" si="1201"/>
        <v>0.6</v>
      </c>
      <c r="L4696" s="1473">
        <f t="shared" si="1202"/>
        <v>6.25E-2</v>
      </c>
      <c r="O4696" s="1469"/>
      <c r="Q4696" s="1394">
        <f>IFERROR(VLOOKUP(L4696,#REF!,3,0),0)</f>
        <v>0</v>
      </c>
      <c r="R4696" s="1394">
        <f t="shared" si="1179"/>
        <v>0</v>
      </c>
      <c r="S4696" s="1394">
        <f>IFERROR(VLOOKUP(M4696,#REF!,6,0),0)</f>
        <v>0</v>
      </c>
      <c r="T4696" s="1394">
        <f t="shared" si="1190"/>
        <v>0</v>
      </c>
      <c r="U4696" s="1394">
        <f>IFERROR(VLOOKUP(L4696,#REF!,5,0),0)</f>
        <v>0</v>
      </c>
      <c r="V4696" s="1394">
        <f t="shared" si="1191"/>
        <v>0</v>
      </c>
      <c r="W4696" s="1394"/>
    </row>
    <row r="4697" spans="2:23" ht="30" customHeight="1">
      <c r="B4697" s="1405"/>
      <c r="C4697" s="1408" t="str">
        <f t="shared" si="1197"/>
        <v>V1</v>
      </c>
      <c r="D4697" s="1409">
        <f t="shared" si="1196"/>
        <v>1</v>
      </c>
      <c r="E4697" s="1409">
        <f t="shared" si="1196"/>
        <v>2</v>
      </c>
      <c r="F4697" s="1410">
        <f t="shared" si="1198"/>
        <v>1.52</v>
      </c>
      <c r="G4697" s="1410">
        <f t="shared" si="1199"/>
        <v>0.6</v>
      </c>
      <c r="H4697" s="1411"/>
      <c r="I4697" s="1406">
        <f t="shared" si="1193"/>
        <v>1.8239999999999998</v>
      </c>
      <c r="J4697" s="1410">
        <f t="shared" si="1200"/>
        <v>1.52</v>
      </c>
      <c r="K4697" s="1411">
        <f t="shared" si="1201"/>
        <v>0.6</v>
      </c>
      <c r="L4697" s="1473">
        <f t="shared" si="1202"/>
        <v>6.25E-2</v>
      </c>
      <c r="O4697" s="1469"/>
      <c r="Q4697" s="1394">
        <f>IFERROR(VLOOKUP(L4697,#REF!,3,0),0)</f>
        <v>0</v>
      </c>
      <c r="R4697" s="1394">
        <f t="shared" si="1179"/>
        <v>0</v>
      </c>
      <c r="S4697" s="1394">
        <f>IFERROR(VLOOKUP(M4697,#REF!,6,0),0)</f>
        <v>0</v>
      </c>
      <c r="T4697" s="1394">
        <f t="shared" si="1190"/>
        <v>0</v>
      </c>
      <c r="U4697" s="1394">
        <f>IFERROR(VLOOKUP(L4697,#REF!,5,0),0)</f>
        <v>0</v>
      </c>
      <c r="V4697" s="1394">
        <f t="shared" si="1191"/>
        <v>0</v>
      </c>
      <c r="W4697" s="1394"/>
    </row>
    <row r="4698" spans="2:23" ht="30" customHeight="1">
      <c r="B4698" s="1405"/>
      <c r="C4698" s="1408" t="str">
        <f t="shared" si="1197"/>
        <v>V3</v>
      </c>
      <c r="D4698" s="1409">
        <f t="shared" si="1196"/>
        <v>1</v>
      </c>
      <c r="E4698" s="1409">
        <f t="shared" si="1196"/>
        <v>4</v>
      </c>
      <c r="F4698" s="1410">
        <f t="shared" si="1198"/>
        <v>1.82</v>
      </c>
      <c r="G4698" s="1410">
        <f t="shared" si="1199"/>
        <v>0.6</v>
      </c>
      <c r="H4698" s="1411"/>
      <c r="I4698" s="1406">
        <f t="shared" si="1193"/>
        <v>4.3680000000000003</v>
      </c>
      <c r="J4698" s="1410">
        <f t="shared" si="1200"/>
        <v>1.82</v>
      </c>
      <c r="K4698" s="1411">
        <f t="shared" si="1201"/>
        <v>0.6</v>
      </c>
      <c r="L4698" s="1473">
        <f t="shared" si="1202"/>
        <v>6.25E-2</v>
      </c>
      <c r="O4698" s="1469"/>
      <c r="Q4698" s="1394">
        <f>IFERROR(VLOOKUP(L4698,#REF!,3,0),0)</f>
        <v>0</v>
      </c>
      <c r="R4698" s="1394">
        <f t="shared" si="1179"/>
        <v>0</v>
      </c>
      <c r="S4698" s="1394">
        <f>IFERROR(VLOOKUP(M4698,#REF!,6,0),0)</f>
        <v>0</v>
      </c>
      <c r="T4698" s="1394">
        <f t="shared" si="1190"/>
        <v>0</v>
      </c>
      <c r="U4698" s="1394">
        <f>IFERROR(VLOOKUP(L4698,#REF!,5,0),0)</f>
        <v>0</v>
      </c>
      <c r="V4698" s="1394">
        <f t="shared" si="1191"/>
        <v>0</v>
      </c>
      <c r="W4698" s="1394"/>
    </row>
    <row r="4699" spans="2:23" ht="30" customHeight="1">
      <c r="B4699" s="1405"/>
      <c r="C4699" s="1408"/>
      <c r="D4699" s="1409"/>
      <c r="E4699" s="1409"/>
      <c r="F4699" s="1410"/>
      <c r="G4699" s="1410"/>
      <c r="H4699" s="1411"/>
      <c r="I4699" s="1406">
        <f t="shared" si="1193"/>
        <v>0</v>
      </c>
      <c r="J4699" s="1410"/>
      <c r="K4699" s="1411"/>
      <c r="L4699" s="1473"/>
      <c r="O4699" s="1469"/>
      <c r="Q4699" s="1394">
        <f>IFERROR(VLOOKUP(L4699,#REF!,3,0),0)</f>
        <v>0</v>
      </c>
      <c r="R4699" s="1394">
        <f t="shared" si="1179"/>
        <v>0</v>
      </c>
      <c r="S4699" s="1394">
        <f>IFERROR(VLOOKUP(M4699,#REF!,6,0),0)</f>
        <v>0</v>
      </c>
      <c r="T4699" s="1394">
        <f t="shared" si="1190"/>
        <v>0</v>
      </c>
      <c r="U4699" s="1394">
        <f>IFERROR(VLOOKUP(L4699,#REF!,5,0),0)</f>
        <v>0</v>
      </c>
      <c r="V4699" s="1394">
        <f t="shared" si="1191"/>
        <v>0</v>
      </c>
      <c r="W4699" s="1394"/>
    </row>
    <row r="4700" spans="2:23" ht="30" customHeight="1">
      <c r="B4700" s="1407"/>
      <c r="C4700" s="1408" t="s">
        <v>5925</v>
      </c>
      <c r="D4700" s="1409"/>
      <c r="E4700" s="1409"/>
      <c r="F4700" s="1410"/>
      <c r="G4700" s="1410"/>
      <c r="H4700" s="1411"/>
      <c r="I4700" s="1406">
        <f t="shared" si="1193"/>
        <v>0</v>
      </c>
      <c r="J4700" s="1413">
        <f>F832</f>
        <v>0</v>
      </c>
      <c r="K4700" s="103">
        <f>G832</f>
        <v>0</v>
      </c>
      <c r="L4700" s="1414">
        <f>H832</f>
        <v>0</v>
      </c>
      <c r="Q4700" s="1394">
        <f>IFERROR(VLOOKUP(L4700,#REF!,3,0),0)</f>
        <v>0</v>
      </c>
      <c r="R4700" s="1394">
        <f t="shared" si="1179"/>
        <v>0</v>
      </c>
      <c r="S4700" s="1394">
        <f>IFERROR(VLOOKUP(M4700,#REF!,6,0),0)</f>
        <v>0</v>
      </c>
      <c r="T4700" s="1394">
        <f t="shared" si="1190"/>
        <v>0</v>
      </c>
      <c r="U4700" s="1394">
        <f>IFERROR(VLOOKUP(L4700,#REF!,5,0),0)</f>
        <v>0</v>
      </c>
      <c r="V4700" s="1394">
        <f t="shared" si="1191"/>
        <v>0</v>
      </c>
      <c r="W4700" s="1394"/>
    </row>
    <row r="4701" spans="2:23" ht="30" customHeight="1">
      <c r="B4701" s="1405"/>
      <c r="C4701" s="1482" t="str">
        <f t="shared" ref="C4701:E4711" si="1203">C821</f>
        <v>FW</v>
      </c>
      <c r="D4701" s="1409">
        <f t="shared" si="1203"/>
        <v>1</v>
      </c>
      <c r="E4701" s="1409">
        <f t="shared" si="1203"/>
        <v>2</v>
      </c>
      <c r="F4701" s="1410">
        <f t="shared" ref="F4701:F4711" si="1204">J4701+K4701+K4701</f>
        <v>2.9329999999999998</v>
      </c>
      <c r="G4701" s="1410"/>
      <c r="H4701" s="1473">
        <f t="shared" ref="H4701:H4711" si="1205">L4701</f>
        <v>6.25E-2</v>
      </c>
      <c r="I4701" s="1406">
        <f t="shared" si="1193"/>
        <v>0.36662499999999998</v>
      </c>
      <c r="J4701" s="1410">
        <f t="shared" ref="J4701:J4711" si="1206">F821+0.46</f>
        <v>1.7329999999999999</v>
      </c>
      <c r="K4701" s="1410">
        <f t="shared" ref="K4701:K4711" si="1207">G821</f>
        <v>0.6</v>
      </c>
      <c r="L4701" s="1473">
        <f t="shared" ref="L4701:L4711" si="1208">H821</f>
        <v>6.25E-2</v>
      </c>
      <c r="O4701" s="1395"/>
      <c r="Q4701" s="1394">
        <f>IFERROR(VLOOKUP(L4701,#REF!,3,0),0)</f>
        <v>0</v>
      </c>
      <c r="R4701" s="1394">
        <f t="shared" si="1179"/>
        <v>0</v>
      </c>
      <c r="S4701" s="1394">
        <f>IFERROR(VLOOKUP(M4701,#REF!,6,0),0)</f>
        <v>0</v>
      </c>
      <c r="T4701" s="1394">
        <f t="shared" si="1190"/>
        <v>0</v>
      </c>
      <c r="U4701" s="1394">
        <f>IFERROR(VLOOKUP(L4701,#REF!,5,0),0)</f>
        <v>0</v>
      </c>
      <c r="V4701" s="1394">
        <f t="shared" si="1191"/>
        <v>0</v>
      </c>
      <c r="W4701" s="1394"/>
    </row>
    <row r="4702" spans="2:23" ht="30" customHeight="1">
      <c r="B4702" s="1405"/>
      <c r="C4702" s="1482" t="str">
        <f t="shared" si="1203"/>
        <v>FW-3</v>
      </c>
      <c r="D4702" s="1409">
        <f t="shared" si="1203"/>
        <v>1</v>
      </c>
      <c r="E4702" s="1409">
        <f t="shared" si="1203"/>
        <v>1</v>
      </c>
      <c r="F4702" s="1410">
        <f t="shared" si="1204"/>
        <v>4.12</v>
      </c>
      <c r="G4702" s="1410"/>
      <c r="H4702" s="1473">
        <f t="shared" si="1205"/>
        <v>6.25E-2</v>
      </c>
      <c r="I4702" s="1406">
        <f t="shared" si="1193"/>
        <v>0.25750000000000001</v>
      </c>
      <c r="J4702" s="1410">
        <f t="shared" si="1206"/>
        <v>2.92</v>
      </c>
      <c r="K4702" s="1410">
        <f t="shared" si="1207"/>
        <v>0.6</v>
      </c>
      <c r="L4702" s="1473">
        <f t="shared" si="1208"/>
        <v>6.25E-2</v>
      </c>
      <c r="O4702" s="1395"/>
      <c r="Q4702" s="1394">
        <f>IFERROR(VLOOKUP(L4702,#REF!,3,0),0)</f>
        <v>0</v>
      </c>
      <c r="R4702" s="1394">
        <f t="shared" si="1179"/>
        <v>0</v>
      </c>
      <c r="S4702" s="1394">
        <f>IFERROR(VLOOKUP(M4702,#REF!,6,0),0)</f>
        <v>0</v>
      </c>
      <c r="T4702" s="1394">
        <f t="shared" si="1190"/>
        <v>0</v>
      </c>
      <c r="U4702" s="1394">
        <f>IFERROR(VLOOKUP(L4702,#REF!,5,0),0)</f>
        <v>0</v>
      </c>
      <c r="V4702" s="1394">
        <f t="shared" si="1191"/>
        <v>0</v>
      </c>
      <c r="W4702" s="1394"/>
    </row>
    <row r="4703" spans="2:23" ht="30" customHeight="1">
      <c r="B4703" s="1405"/>
      <c r="C4703" s="1482" t="str">
        <f t="shared" si="1203"/>
        <v>FW-4</v>
      </c>
      <c r="D4703" s="1409">
        <f t="shared" si="1203"/>
        <v>1</v>
      </c>
      <c r="E4703" s="1409">
        <f t="shared" si="1203"/>
        <v>2</v>
      </c>
      <c r="F4703" s="1410">
        <f t="shared" si="1204"/>
        <v>3.3200000000000003</v>
      </c>
      <c r="G4703" s="1410"/>
      <c r="H4703" s="1473">
        <f t="shared" si="1205"/>
        <v>6.25E-2</v>
      </c>
      <c r="I4703" s="1406">
        <f t="shared" si="1193"/>
        <v>0.41500000000000004</v>
      </c>
      <c r="J4703" s="1410">
        <f t="shared" si="1206"/>
        <v>2.12</v>
      </c>
      <c r="K4703" s="1410">
        <f t="shared" si="1207"/>
        <v>0.6</v>
      </c>
      <c r="L4703" s="1473">
        <f t="shared" si="1208"/>
        <v>6.25E-2</v>
      </c>
      <c r="O4703" s="1395"/>
      <c r="Q4703" s="1394">
        <f>IFERROR(VLOOKUP(L4703,#REF!,3,0),0)</f>
        <v>0</v>
      </c>
      <c r="R4703" s="1394">
        <f t="shared" si="1179"/>
        <v>0</v>
      </c>
      <c r="S4703" s="1394">
        <f>IFERROR(VLOOKUP(M4703,#REF!,6,0),0)</f>
        <v>0</v>
      </c>
      <c r="T4703" s="1394">
        <f t="shared" si="1190"/>
        <v>0</v>
      </c>
      <c r="U4703" s="1394">
        <f>IFERROR(VLOOKUP(L4703,#REF!,5,0),0)</f>
        <v>0</v>
      </c>
      <c r="V4703" s="1394">
        <f t="shared" si="1191"/>
        <v>0</v>
      </c>
      <c r="W4703" s="1394"/>
    </row>
    <row r="4704" spans="2:23" ht="30" customHeight="1">
      <c r="B4704" s="1405"/>
      <c r="C4704" s="1482" t="str">
        <f t="shared" si="1203"/>
        <v>SW</v>
      </c>
      <c r="D4704" s="1409">
        <f t="shared" si="1203"/>
        <v>1</v>
      </c>
      <c r="E4704" s="1409">
        <f t="shared" si="1203"/>
        <v>1</v>
      </c>
      <c r="F4704" s="1410">
        <f t="shared" si="1204"/>
        <v>3.9200000000000004</v>
      </c>
      <c r="G4704" s="1410"/>
      <c r="H4704" s="1473">
        <f t="shared" si="1205"/>
        <v>6.25E-2</v>
      </c>
      <c r="I4704" s="1406">
        <f t="shared" si="1193"/>
        <v>0.24500000000000002</v>
      </c>
      <c r="J4704" s="1410">
        <f t="shared" si="1206"/>
        <v>2.72</v>
      </c>
      <c r="K4704" s="1410">
        <f t="shared" si="1207"/>
        <v>0.6</v>
      </c>
      <c r="L4704" s="1473">
        <f t="shared" si="1208"/>
        <v>6.25E-2</v>
      </c>
      <c r="O4704" s="1395"/>
      <c r="Q4704" s="1394">
        <f>IFERROR(VLOOKUP(L4704,#REF!,3,0),0)</f>
        <v>0</v>
      </c>
      <c r="R4704" s="1394">
        <f t="shared" si="1179"/>
        <v>0</v>
      </c>
      <c r="S4704" s="1394">
        <f>IFERROR(VLOOKUP(M4704,#REF!,6,0),0)</f>
        <v>0</v>
      </c>
      <c r="T4704" s="1394">
        <f t="shared" si="1190"/>
        <v>0</v>
      </c>
      <c r="U4704" s="1394">
        <f>IFERROR(VLOOKUP(L4704,#REF!,5,0),0)</f>
        <v>0</v>
      </c>
      <c r="V4704" s="1394">
        <f t="shared" si="1191"/>
        <v>0</v>
      </c>
      <c r="W4704" s="1394"/>
    </row>
    <row r="4705" spans="1:24" ht="30" customHeight="1">
      <c r="B4705" s="1405"/>
      <c r="C4705" s="1482" t="str">
        <f t="shared" si="1203"/>
        <v>W</v>
      </c>
      <c r="D4705" s="1409">
        <f t="shared" si="1203"/>
        <v>1</v>
      </c>
      <c r="E4705" s="1409">
        <f t="shared" si="1203"/>
        <v>1</v>
      </c>
      <c r="F4705" s="1410">
        <f t="shared" si="1204"/>
        <v>3.9200000000000004</v>
      </c>
      <c r="G4705" s="1410"/>
      <c r="H4705" s="1473">
        <f t="shared" si="1205"/>
        <v>6.25E-2</v>
      </c>
      <c r="I4705" s="1406">
        <f t="shared" si="1193"/>
        <v>0.24500000000000002</v>
      </c>
      <c r="J4705" s="1410">
        <f t="shared" si="1206"/>
        <v>2.72</v>
      </c>
      <c r="K4705" s="1410">
        <f t="shared" si="1207"/>
        <v>0.6</v>
      </c>
      <c r="L4705" s="1473">
        <f t="shared" si="1208"/>
        <v>6.25E-2</v>
      </c>
      <c r="O4705" s="1469"/>
      <c r="Q4705" s="1394">
        <f>IFERROR(VLOOKUP(L4705,#REF!,3,0),0)</f>
        <v>0</v>
      </c>
      <c r="R4705" s="1394">
        <f t="shared" si="1179"/>
        <v>0</v>
      </c>
      <c r="S4705" s="1394">
        <f>IFERROR(VLOOKUP(M4705,#REF!,6,0),0)</f>
        <v>0</v>
      </c>
      <c r="T4705" s="1394">
        <f t="shared" si="1190"/>
        <v>0</v>
      </c>
      <c r="U4705" s="1394">
        <f>IFERROR(VLOOKUP(L4705,#REF!,5,0),0)</f>
        <v>0</v>
      </c>
      <c r="V4705" s="1394">
        <f t="shared" si="1191"/>
        <v>0</v>
      </c>
      <c r="W4705" s="1394"/>
    </row>
    <row r="4706" spans="1:24" ht="30" customHeight="1">
      <c r="B4706" s="1405"/>
      <c r="C4706" s="1482" t="str">
        <f t="shared" si="1203"/>
        <v>W1</v>
      </c>
      <c r="D4706" s="1409">
        <f t="shared" si="1203"/>
        <v>1</v>
      </c>
      <c r="E4706" s="1409">
        <f t="shared" si="1203"/>
        <v>1</v>
      </c>
      <c r="F4706" s="1410">
        <f t="shared" si="1204"/>
        <v>3.62</v>
      </c>
      <c r="G4706" s="1410"/>
      <c r="H4706" s="1473">
        <f t="shared" si="1205"/>
        <v>6.25E-2</v>
      </c>
      <c r="I4706" s="1406">
        <f t="shared" si="1193"/>
        <v>0.22625000000000001</v>
      </c>
      <c r="J4706" s="1410">
        <f t="shared" si="1206"/>
        <v>2.42</v>
      </c>
      <c r="K4706" s="1410">
        <f t="shared" si="1207"/>
        <v>0.6</v>
      </c>
      <c r="L4706" s="1473">
        <f t="shared" si="1208"/>
        <v>6.25E-2</v>
      </c>
      <c r="O4706" s="1469"/>
      <c r="Q4706" s="1394">
        <f>IFERROR(VLOOKUP(L4706,#REF!,3,0),0)</f>
        <v>0</v>
      </c>
      <c r="R4706" s="1394">
        <f t="shared" si="1179"/>
        <v>0</v>
      </c>
      <c r="S4706" s="1394">
        <f>IFERROR(VLOOKUP(M4706,#REF!,6,0),0)</f>
        <v>0</v>
      </c>
      <c r="T4706" s="1394">
        <f t="shared" si="1190"/>
        <v>0</v>
      </c>
      <c r="U4706" s="1394">
        <f>IFERROR(VLOOKUP(L4706,#REF!,5,0),0)</f>
        <v>0</v>
      </c>
      <c r="V4706" s="1394">
        <f t="shared" si="1191"/>
        <v>0</v>
      </c>
      <c r="W4706" s="1394"/>
    </row>
    <row r="4707" spans="1:24" ht="30" customHeight="1">
      <c r="B4707" s="1405"/>
      <c r="C4707" s="1482" t="str">
        <f t="shared" si="1203"/>
        <v>W2</v>
      </c>
      <c r="D4707" s="1409">
        <f t="shared" si="1203"/>
        <v>1</v>
      </c>
      <c r="E4707" s="1409">
        <f t="shared" si="1203"/>
        <v>10</v>
      </c>
      <c r="F4707" s="1410">
        <f t="shared" si="1204"/>
        <v>3.3200000000000003</v>
      </c>
      <c r="G4707" s="1410"/>
      <c r="H4707" s="1473">
        <f t="shared" si="1205"/>
        <v>6.25E-2</v>
      </c>
      <c r="I4707" s="1406">
        <f t="shared" si="1193"/>
        <v>2.0750000000000002</v>
      </c>
      <c r="J4707" s="1410">
        <f t="shared" si="1206"/>
        <v>2.12</v>
      </c>
      <c r="K4707" s="1410">
        <f t="shared" si="1207"/>
        <v>0.6</v>
      </c>
      <c r="L4707" s="1473">
        <f t="shared" si="1208"/>
        <v>6.25E-2</v>
      </c>
      <c r="O4707" s="1469"/>
      <c r="Q4707" s="1394">
        <f>IFERROR(VLOOKUP(L4707,#REF!,3,0),0)</f>
        <v>0</v>
      </c>
      <c r="R4707" s="1394">
        <f t="shared" si="1179"/>
        <v>0</v>
      </c>
      <c r="S4707" s="1394">
        <f>IFERROR(VLOOKUP(M4707,#REF!,6,0),0)</f>
        <v>0</v>
      </c>
      <c r="T4707" s="1394">
        <f t="shared" si="1190"/>
        <v>0</v>
      </c>
      <c r="U4707" s="1394">
        <f>IFERROR(VLOOKUP(L4707,#REF!,5,0),0)</f>
        <v>0</v>
      </c>
      <c r="V4707" s="1394">
        <f t="shared" si="1191"/>
        <v>0</v>
      </c>
      <c r="W4707" s="1394"/>
    </row>
    <row r="4708" spans="1:24" ht="30" customHeight="1">
      <c r="B4708" s="1405"/>
      <c r="C4708" s="1482" t="str">
        <f t="shared" si="1203"/>
        <v>W3</v>
      </c>
      <c r="D4708" s="1409">
        <f t="shared" si="1203"/>
        <v>1</v>
      </c>
      <c r="E4708" s="1409">
        <f t="shared" si="1203"/>
        <v>4</v>
      </c>
      <c r="F4708" s="1410">
        <f t="shared" si="1204"/>
        <v>3.12</v>
      </c>
      <c r="G4708" s="1410"/>
      <c r="H4708" s="1473">
        <f t="shared" si="1205"/>
        <v>6.25E-2</v>
      </c>
      <c r="I4708" s="1406">
        <f t="shared" si="1193"/>
        <v>0.78</v>
      </c>
      <c r="J4708" s="1410">
        <f t="shared" si="1206"/>
        <v>1.92</v>
      </c>
      <c r="K4708" s="1410">
        <f t="shared" si="1207"/>
        <v>0.6</v>
      </c>
      <c r="L4708" s="1473">
        <f t="shared" si="1208"/>
        <v>6.25E-2</v>
      </c>
      <c r="O4708" s="1469"/>
      <c r="Q4708" s="1394">
        <f>IFERROR(VLOOKUP(L4708,#REF!,3,0),0)</f>
        <v>0</v>
      </c>
      <c r="R4708" s="1394">
        <f t="shared" si="1179"/>
        <v>0</v>
      </c>
      <c r="S4708" s="1394">
        <f>IFERROR(VLOOKUP(M4708,#REF!,6,0),0)</f>
        <v>0</v>
      </c>
      <c r="T4708" s="1394">
        <f t="shared" si="1190"/>
        <v>0</v>
      </c>
      <c r="U4708" s="1394">
        <f>IFERROR(VLOOKUP(L4708,#REF!,5,0),0)</f>
        <v>0</v>
      </c>
      <c r="V4708" s="1394">
        <f t="shared" si="1191"/>
        <v>0</v>
      </c>
      <c r="W4708" s="1394"/>
    </row>
    <row r="4709" spans="1:24" ht="30" customHeight="1">
      <c r="B4709" s="1405"/>
      <c r="C4709" s="1482" t="str">
        <f t="shared" si="1203"/>
        <v>V</v>
      </c>
      <c r="D4709" s="1409">
        <f t="shared" si="1203"/>
        <v>1</v>
      </c>
      <c r="E4709" s="1409">
        <f t="shared" si="1203"/>
        <v>2</v>
      </c>
      <c r="F4709" s="1410">
        <f t="shared" si="1204"/>
        <v>3.12</v>
      </c>
      <c r="G4709" s="1410"/>
      <c r="H4709" s="1473">
        <f t="shared" si="1205"/>
        <v>6.25E-2</v>
      </c>
      <c r="I4709" s="1406">
        <f t="shared" si="1193"/>
        <v>0.39</v>
      </c>
      <c r="J4709" s="1410">
        <f t="shared" si="1206"/>
        <v>1.92</v>
      </c>
      <c r="K4709" s="1410">
        <f t="shared" si="1207"/>
        <v>0.6</v>
      </c>
      <c r="L4709" s="1473">
        <f t="shared" si="1208"/>
        <v>6.25E-2</v>
      </c>
      <c r="O4709" s="1469"/>
      <c r="Q4709" s="1394">
        <f>IFERROR(VLOOKUP(L4709,#REF!,3,0),0)</f>
        <v>0</v>
      </c>
      <c r="R4709" s="1394">
        <f t="shared" si="1179"/>
        <v>0</v>
      </c>
      <c r="S4709" s="1394">
        <f>IFERROR(VLOOKUP(M4709,#REF!,6,0),0)</f>
        <v>0</v>
      </c>
      <c r="T4709" s="1394">
        <f t="shared" si="1190"/>
        <v>0</v>
      </c>
      <c r="U4709" s="1394">
        <f>IFERROR(VLOOKUP(L4709,#REF!,5,0),0)</f>
        <v>0</v>
      </c>
      <c r="V4709" s="1394">
        <f t="shared" si="1191"/>
        <v>0</v>
      </c>
      <c r="W4709" s="1394"/>
    </row>
    <row r="4710" spans="1:24" ht="30" customHeight="1">
      <c r="B4710" s="1405"/>
      <c r="C4710" s="1482" t="str">
        <f t="shared" si="1203"/>
        <v>V1</v>
      </c>
      <c r="D4710" s="1409">
        <f t="shared" si="1203"/>
        <v>1</v>
      </c>
      <c r="E4710" s="1409">
        <f t="shared" si="1203"/>
        <v>2</v>
      </c>
      <c r="F4710" s="1410">
        <f t="shared" si="1204"/>
        <v>2.72</v>
      </c>
      <c r="G4710" s="1410"/>
      <c r="H4710" s="1473">
        <f t="shared" si="1205"/>
        <v>6.25E-2</v>
      </c>
      <c r="I4710" s="1406">
        <f t="shared" si="1193"/>
        <v>0.34</v>
      </c>
      <c r="J4710" s="1410">
        <f t="shared" si="1206"/>
        <v>1.52</v>
      </c>
      <c r="K4710" s="1410">
        <f t="shared" si="1207"/>
        <v>0.6</v>
      </c>
      <c r="L4710" s="1473">
        <f t="shared" si="1208"/>
        <v>6.25E-2</v>
      </c>
      <c r="O4710" s="1469"/>
      <c r="Q4710" s="1394">
        <f>IFERROR(VLOOKUP(L4710,#REF!,3,0),0)</f>
        <v>0</v>
      </c>
      <c r="R4710" s="1394">
        <f t="shared" si="1179"/>
        <v>0</v>
      </c>
      <c r="S4710" s="1394">
        <f>IFERROR(VLOOKUP(M4710,#REF!,6,0),0)</f>
        <v>0</v>
      </c>
      <c r="T4710" s="1394">
        <f t="shared" si="1190"/>
        <v>0</v>
      </c>
      <c r="U4710" s="1394">
        <f>IFERROR(VLOOKUP(L4710,#REF!,5,0),0)</f>
        <v>0</v>
      </c>
      <c r="V4710" s="1394">
        <f t="shared" si="1191"/>
        <v>0</v>
      </c>
      <c r="W4710" s="1394"/>
    </row>
    <row r="4711" spans="1:24" ht="30" customHeight="1">
      <c r="B4711" s="1405"/>
      <c r="C4711" s="1482" t="str">
        <f t="shared" si="1203"/>
        <v>V3</v>
      </c>
      <c r="D4711" s="1409">
        <f t="shared" si="1203"/>
        <v>1</v>
      </c>
      <c r="E4711" s="1409">
        <f t="shared" si="1203"/>
        <v>4</v>
      </c>
      <c r="F4711" s="1410">
        <f t="shared" si="1204"/>
        <v>3.02</v>
      </c>
      <c r="G4711" s="1410"/>
      <c r="H4711" s="1473">
        <f t="shared" si="1205"/>
        <v>6.25E-2</v>
      </c>
      <c r="I4711" s="1406">
        <f t="shared" si="1193"/>
        <v>0.755</v>
      </c>
      <c r="J4711" s="1410">
        <f t="shared" si="1206"/>
        <v>1.82</v>
      </c>
      <c r="K4711" s="1410">
        <f t="shared" si="1207"/>
        <v>0.6</v>
      </c>
      <c r="L4711" s="1473">
        <f t="shared" si="1208"/>
        <v>6.25E-2</v>
      </c>
      <c r="O4711" s="1469"/>
      <c r="Q4711" s="1394">
        <f>IFERROR(VLOOKUP(L4711,#REF!,3,0),0)</f>
        <v>0</v>
      </c>
      <c r="R4711" s="1394">
        <f t="shared" si="1179"/>
        <v>0</v>
      </c>
      <c r="S4711" s="1394">
        <f>IFERROR(VLOOKUP(M4711,#REF!,6,0),0)</f>
        <v>0</v>
      </c>
      <c r="T4711" s="1394">
        <f t="shared" si="1190"/>
        <v>0</v>
      </c>
      <c r="U4711" s="1394">
        <f>IFERROR(VLOOKUP(L4711,#REF!,5,0),0)</f>
        <v>0</v>
      </c>
      <c r="V4711" s="1394">
        <f t="shared" si="1191"/>
        <v>0</v>
      </c>
      <c r="W4711" s="1394"/>
    </row>
    <row r="4712" spans="1:24" ht="30" customHeight="1">
      <c r="B4712" s="1405"/>
      <c r="C4712" s="1408"/>
      <c r="D4712" s="1409"/>
      <c r="E4712" s="1409"/>
      <c r="F4712" s="1410"/>
      <c r="G4712" s="1410"/>
      <c r="H4712" s="1411"/>
      <c r="I4712" s="1406">
        <f t="shared" si="1193"/>
        <v>0</v>
      </c>
      <c r="J4712" s="1410"/>
      <c r="K4712" s="1411"/>
      <c r="L4712" s="1473"/>
      <c r="O4712" s="1469"/>
      <c r="Q4712" s="1394">
        <f>IFERROR(VLOOKUP(L4712,#REF!,3,0),0)</f>
        <v>0</v>
      </c>
      <c r="R4712" s="1394">
        <f t="shared" si="1179"/>
        <v>0</v>
      </c>
      <c r="S4712" s="1394">
        <f>IFERROR(VLOOKUP(M4712,#REF!,6,0),0)</f>
        <v>0</v>
      </c>
      <c r="T4712" s="1394">
        <f t="shared" si="1190"/>
        <v>0</v>
      </c>
      <c r="U4712" s="1394">
        <f>IFERROR(VLOOKUP(L4712,#REF!,5,0),0)</f>
        <v>0</v>
      </c>
      <c r="V4712" s="1394">
        <f t="shared" si="1191"/>
        <v>0</v>
      </c>
      <c r="W4712" s="1394"/>
    </row>
    <row r="4713" spans="1:24" ht="30" customHeight="1">
      <c r="B4713" s="1405"/>
      <c r="C4713" s="1408" t="e">
        <f>C892</f>
        <v>#REF!</v>
      </c>
      <c r="D4713" s="1409"/>
      <c r="E4713" s="1409"/>
      <c r="F4713" s="1410"/>
      <c r="G4713" s="1410"/>
      <c r="H4713" s="1411"/>
      <c r="I4713" s="1406">
        <f t="shared" si="1193"/>
        <v>0</v>
      </c>
      <c r="J4713" s="1410"/>
      <c r="K4713" s="1411"/>
      <c r="L4713" s="1473"/>
      <c r="O4713" s="1469"/>
      <c r="Q4713" s="1394">
        <f>IFERROR(VLOOKUP(L4713,#REF!,3,0),0)</f>
        <v>0</v>
      </c>
      <c r="R4713" s="1394">
        <f t="shared" si="1179"/>
        <v>0</v>
      </c>
      <c r="S4713" s="1394">
        <f>IFERROR(VLOOKUP(M4713,#REF!,6,0),0)</f>
        <v>0</v>
      </c>
      <c r="T4713" s="1394">
        <f t="shared" si="1190"/>
        <v>0</v>
      </c>
      <c r="U4713" s="1394">
        <f>IFERROR(VLOOKUP(L4713,#REF!,5,0),0)</f>
        <v>0</v>
      </c>
      <c r="V4713" s="1394">
        <f t="shared" si="1191"/>
        <v>0</v>
      </c>
      <c r="W4713" s="1394"/>
    </row>
    <row r="4714" spans="1:24" ht="30" customHeight="1">
      <c r="A4714" s="1481"/>
      <c r="B4714" s="1407"/>
      <c r="C4714" s="1412" t="str">
        <f>C893</f>
        <v>Column raising up to Roof in SF</v>
      </c>
      <c r="D4714" s="1412"/>
      <c r="E4714" s="1412"/>
      <c r="F4714" s="1410"/>
      <c r="G4714" s="1410"/>
      <c r="H4714" s="1411"/>
      <c r="I4714" s="1406">
        <f t="shared" si="1193"/>
        <v>0</v>
      </c>
      <c r="J4714" s="1554"/>
      <c r="K4714" s="1554"/>
      <c r="L4714" s="1555"/>
      <c r="Q4714" s="1394">
        <f>IFERROR(VLOOKUP(L4714,#REF!,3,0),0)</f>
        <v>0</v>
      </c>
      <c r="R4714" s="1394">
        <f t="shared" si="1179"/>
        <v>0</v>
      </c>
      <c r="S4714" s="1394">
        <f>IFERROR(VLOOKUP(M4714,#REF!,6,0),0)</f>
        <v>0</v>
      </c>
      <c r="T4714" s="1394">
        <f t="shared" si="1190"/>
        <v>0</v>
      </c>
      <c r="U4714" s="1394">
        <f>IFERROR(VLOOKUP(L4714,#REF!,5,0),0)</f>
        <v>0</v>
      </c>
      <c r="V4714" s="1394">
        <f t="shared" si="1191"/>
        <v>0</v>
      </c>
      <c r="W4714" s="1394"/>
      <c r="X4714" s="1397"/>
    </row>
    <row r="4715" spans="1:24" ht="30" customHeight="1">
      <c r="B4715" s="1405"/>
      <c r="C4715" s="1408" t="str">
        <f t="shared" ref="C4715:E4718" si="1209">C895</f>
        <v>For C2</v>
      </c>
      <c r="D4715" s="1409">
        <f t="shared" si="1209"/>
        <v>11</v>
      </c>
      <c r="E4715" s="1409">
        <f t="shared" si="1209"/>
        <v>1</v>
      </c>
      <c r="F4715" s="1410">
        <f>2*(J4715+K4715)</f>
        <v>1.22</v>
      </c>
      <c r="G4715" s="1410"/>
      <c r="H4715" s="1411">
        <f>L4715</f>
        <v>2.92</v>
      </c>
      <c r="I4715" s="1406">
        <f t="shared" si="1193"/>
        <v>39.186399999999999</v>
      </c>
      <c r="J4715" s="1410">
        <f t="shared" ref="J4715:L4718" si="1210">F895</f>
        <v>0.23</v>
      </c>
      <c r="K4715" s="1411">
        <f t="shared" si="1210"/>
        <v>0.38</v>
      </c>
      <c r="L4715" s="1411">
        <f t="shared" si="1210"/>
        <v>2.92</v>
      </c>
      <c r="Q4715" s="1394">
        <f>IFERROR(VLOOKUP(L4715,#REF!,3,0),0)</f>
        <v>0</v>
      </c>
      <c r="R4715" s="1394">
        <f t="shared" si="1179"/>
        <v>0</v>
      </c>
      <c r="S4715" s="1394">
        <f>IFERROR(VLOOKUP(M4715,#REF!,6,0),0)</f>
        <v>0</v>
      </c>
      <c r="T4715" s="1394">
        <f t="shared" si="1190"/>
        <v>0</v>
      </c>
      <c r="U4715" s="1394">
        <f>IFERROR(VLOOKUP(L4715,#REF!,5,0),0)</f>
        <v>0</v>
      </c>
      <c r="V4715" s="1394">
        <f t="shared" si="1191"/>
        <v>0</v>
      </c>
      <c r="W4715" s="1394"/>
    </row>
    <row r="4716" spans="1:24" ht="30" customHeight="1">
      <c r="B4716" s="1405"/>
      <c r="C4716" s="1408" t="str">
        <f t="shared" si="1209"/>
        <v>For C3</v>
      </c>
      <c r="D4716" s="1409">
        <f t="shared" si="1209"/>
        <v>10</v>
      </c>
      <c r="E4716" s="1416">
        <f t="shared" si="1209"/>
        <v>1</v>
      </c>
      <c r="F4716" s="1410">
        <f>2*(J4716+K4716)</f>
        <v>1.36</v>
      </c>
      <c r="G4716" s="1410"/>
      <c r="H4716" s="1411">
        <f>L4716</f>
        <v>2.92</v>
      </c>
      <c r="I4716" s="1406">
        <f t="shared" si="1193"/>
        <v>39.712000000000003</v>
      </c>
      <c r="J4716" s="1410">
        <f t="shared" si="1210"/>
        <v>0.23</v>
      </c>
      <c r="K4716" s="1411">
        <f t="shared" si="1210"/>
        <v>0.45</v>
      </c>
      <c r="L4716" s="1411">
        <f t="shared" si="1210"/>
        <v>2.92</v>
      </c>
      <c r="Q4716" s="1394">
        <f>IFERROR(VLOOKUP(L4716,#REF!,3,0),0)</f>
        <v>0</v>
      </c>
      <c r="R4716" s="1394">
        <f t="shared" si="1179"/>
        <v>0</v>
      </c>
      <c r="S4716" s="1394">
        <f>IFERROR(VLOOKUP(M4716,#REF!,6,0),0)</f>
        <v>0</v>
      </c>
      <c r="T4716" s="1394">
        <f t="shared" si="1190"/>
        <v>0</v>
      </c>
      <c r="U4716" s="1394">
        <f>IFERROR(VLOOKUP(L4716,#REF!,5,0),0)</f>
        <v>0</v>
      </c>
      <c r="V4716" s="1394">
        <f t="shared" si="1191"/>
        <v>0</v>
      </c>
      <c r="W4716" s="1394"/>
    </row>
    <row r="4717" spans="1:24" ht="30" customHeight="1">
      <c r="B4717" s="1405"/>
      <c r="C4717" s="1415" t="str">
        <f t="shared" si="1209"/>
        <v>For C4</v>
      </c>
      <c r="D4717" s="1409">
        <f t="shared" si="1209"/>
        <v>7</v>
      </c>
      <c r="E4717" s="1409">
        <f t="shared" si="1209"/>
        <v>1</v>
      </c>
      <c r="F4717" s="1410">
        <f>2*(J4717+K4717)</f>
        <v>1.5</v>
      </c>
      <c r="G4717" s="1410"/>
      <c r="H4717" s="1411">
        <f>L4717</f>
        <v>2.92</v>
      </c>
      <c r="I4717" s="1406">
        <f t="shared" si="1193"/>
        <v>30.66</v>
      </c>
      <c r="J4717" s="1410">
        <f t="shared" si="1210"/>
        <v>0.3</v>
      </c>
      <c r="K4717" s="1411">
        <f t="shared" si="1210"/>
        <v>0.45</v>
      </c>
      <c r="L4717" s="1411">
        <f t="shared" si="1210"/>
        <v>2.92</v>
      </c>
      <c r="Q4717" s="1394">
        <f>IFERROR(VLOOKUP(L4717,#REF!,3,0),0)</f>
        <v>0</v>
      </c>
      <c r="R4717" s="1394">
        <f t="shared" si="1179"/>
        <v>0</v>
      </c>
      <c r="S4717" s="1394">
        <f>IFERROR(VLOOKUP(M4717,#REF!,6,0),0)</f>
        <v>0</v>
      </c>
      <c r="T4717" s="1394">
        <f t="shared" si="1190"/>
        <v>0</v>
      </c>
      <c r="U4717" s="1394">
        <f>IFERROR(VLOOKUP(L4717,#REF!,5,0),0)</f>
        <v>0</v>
      </c>
      <c r="V4717" s="1394">
        <f t="shared" si="1191"/>
        <v>0</v>
      </c>
      <c r="W4717" s="1394"/>
    </row>
    <row r="4718" spans="1:24" ht="30" customHeight="1">
      <c r="B4718" s="1405"/>
      <c r="C4718" s="1408">
        <f t="shared" si="1209"/>
        <v>0</v>
      </c>
      <c r="D4718" s="1409">
        <f t="shared" si="1209"/>
        <v>0</v>
      </c>
      <c r="E4718" s="1409">
        <f t="shared" si="1209"/>
        <v>0</v>
      </c>
      <c r="F4718" s="1410"/>
      <c r="G4718" s="1410"/>
      <c r="H4718" s="1411"/>
      <c r="I4718" s="1406">
        <f t="shared" si="1193"/>
        <v>0</v>
      </c>
      <c r="J4718" s="1410">
        <f t="shared" si="1210"/>
        <v>0</v>
      </c>
      <c r="K4718" s="1411">
        <f t="shared" si="1210"/>
        <v>0</v>
      </c>
      <c r="L4718" s="1411">
        <f t="shared" si="1210"/>
        <v>0</v>
      </c>
      <c r="Q4718" s="1394">
        <f>IFERROR(VLOOKUP(L4718,#REF!,3,0),0)</f>
        <v>0</v>
      </c>
      <c r="R4718" s="1394">
        <f t="shared" ref="R4718:R4781" si="1211">ROUND(O4718,2)*ROUND(Q4718,2)</f>
        <v>0</v>
      </c>
      <c r="S4718" s="1394">
        <f>IFERROR(VLOOKUP(M4718,#REF!,6,0),0)</f>
        <v>0</v>
      </c>
      <c r="T4718" s="1394">
        <f t="shared" si="1190"/>
        <v>0</v>
      </c>
      <c r="U4718" s="1394">
        <f>IFERROR(VLOOKUP(L4718,#REF!,5,0),0)</f>
        <v>0</v>
      </c>
      <c r="V4718" s="1394">
        <f t="shared" si="1191"/>
        <v>0</v>
      </c>
      <c r="W4718" s="1394"/>
    </row>
    <row r="4719" spans="1:24" ht="30" customHeight="1">
      <c r="B4719" s="1407"/>
      <c r="C4719" s="1408" t="s">
        <v>5924</v>
      </c>
      <c r="D4719" s="1409">
        <f t="shared" ref="D4719:E4732" si="1212">D979</f>
        <v>0</v>
      </c>
      <c r="E4719" s="1409">
        <f t="shared" si="1212"/>
        <v>0</v>
      </c>
      <c r="F4719" s="1410"/>
      <c r="G4719" s="1410"/>
      <c r="H4719" s="1411"/>
      <c r="I4719" s="1406">
        <f t="shared" si="1193"/>
        <v>0</v>
      </c>
      <c r="J4719" s="1410">
        <f>F979</f>
        <v>0</v>
      </c>
      <c r="K4719" s="1411">
        <f>G979</f>
        <v>0</v>
      </c>
      <c r="L4719" s="1411">
        <f>H979</f>
        <v>0</v>
      </c>
      <c r="Q4719" s="1394">
        <f>IFERROR(VLOOKUP(L4719,#REF!,3,0),0)</f>
        <v>0</v>
      </c>
      <c r="R4719" s="1394">
        <f t="shared" si="1211"/>
        <v>0</v>
      </c>
      <c r="S4719" s="1394">
        <f>IFERROR(VLOOKUP(M4719,#REF!,6,0),0)</f>
        <v>0</v>
      </c>
      <c r="T4719" s="1394">
        <f t="shared" si="1190"/>
        <v>0</v>
      </c>
      <c r="U4719" s="1394">
        <f>IFERROR(VLOOKUP(L4719,#REF!,5,0),0)</f>
        <v>0</v>
      </c>
      <c r="V4719" s="1394">
        <f t="shared" si="1191"/>
        <v>0</v>
      </c>
      <c r="W4719" s="1394"/>
    </row>
    <row r="4720" spans="1:24" ht="30" customHeight="1">
      <c r="B4720" s="1407"/>
      <c r="C4720" s="1415" t="str">
        <f t="shared" ref="C4720:C4732" si="1213">C980</f>
        <v>FW</v>
      </c>
      <c r="D4720" s="1409">
        <f t="shared" si="1212"/>
        <v>1</v>
      </c>
      <c r="E4720" s="1409">
        <f t="shared" si="1212"/>
        <v>2</v>
      </c>
      <c r="F4720" s="1410">
        <f t="shared" ref="F4720:F4732" si="1214">J4720</f>
        <v>1.7329999999999999</v>
      </c>
      <c r="G4720" s="1410">
        <f t="shared" ref="G4720:G4732" si="1215">K4720</f>
        <v>0.6</v>
      </c>
      <c r="H4720" s="1411"/>
      <c r="I4720" s="1406">
        <f t="shared" ref="I4720" si="1216">PRODUCT(D4720:H4720)</f>
        <v>2.0795999999999997</v>
      </c>
      <c r="J4720" s="1410">
        <f t="shared" ref="J4720:J4732" si="1217">F980+0.46</f>
        <v>1.7329999999999999</v>
      </c>
      <c r="K4720" s="1411">
        <f t="shared" ref="K4720:K4732" si="1218">G980</f>
        <v>0.6</v>
      </c>
      <c r="L4720" s="1411">
        <f t="shared" ref="L4720:L4732" si="1219">H980</f>
        <v>6.25E-2</v>
      </c>
      <c r="Q4720" s="1394">
        <f>IFERROR(VLOOKUP(L4720,#REF!,3,0),0)</f>
        <v>0</v>
      </c>
      <c r="R4720" s="1394">
        <f t="shared" si="1211"/>
        <v>0</v>
      </c>
      <c r="S4720" s="1394">
        <f>IFERROR(VLOOKUP(M4720,#REF!,6,0),0)</f>
        <v>0</v>
      </c>
      <c r="T4720" s="1394">
        <f t="shared" si="1190"/>
        <v>0</v>
      </c>
      <c r="U4720" s="1394">
        <f>IFERROR(VLOOKUP(L4720,#REF!,5,0),0)</f>
        <v>0</v>
      </c>
      <c r="V4720" s="1394">
        <f t="shared" si="1191"/>
        <v>0</v>
      </c>
      <c r="W4720" s="1394"/>
    </row>
    <row r="4721" spans="2:23" ht="30" customHeight="1">
      <c r="B4721" s="1407"/>
      <c r="C4721" s="1408" t="str">
        <f t="shared" si="1213"/>
        <v>FW-3</v>
      </c>
      <c r="D4721" s="1409">
        <f t="shared" si="1212"/>
        <v>1</v>
      </c>
      <c r="E4721" s="1409">
        <f t="shared" si="1212"/>
        <v>1</v>
      </c>
      <c r="F4721" s="1410">
        <f t="shared" si="1214"/>
        <v>2.92</v>
      </c>
      <c r="G4721" s="1410">
        <f t="shared" si="1215"/>
        <v>0.6</v>
      </c>
      <c r="H4721" s="1411"/>
      <c r="I4721" s="1406">
        <f t="shared" ref="I4721:I4732" si="1220">PRODUCT(D4721:H4721)</f>
        <v>1.752</v>
      </c>
      <c r="J4721" s="1410">
        <f t="shared" si="1217"/>
        <v>2.92</v>
      </c>
      <c r="K4721" s="1411">
        <f t="shared" si="1218"/>
        <v>0.6</v>
      </c>
      <c r="L4721" s="1473">
        <f t="shared" si="1219"/>
        <v>6.25E-2</v>
      </c>
      <c r="Q4721" s="1394">
        <f>IFERROR(VLOOKUP(L4721,#REF!,3,0),0)</f>
        <v>0</v>
      </c>
      <c r="R4721" s="1394">
        <f t="shared" si="1211"/>
        <v>0</v>
      </c>
      <c r="S4721" s="1394">
        <f>IFERROR(VLOOKUP(M4721,#REF!,6,0),0)</f>
        <v>0</v>
      </c>
      <c r="T4721" s="1394">
        <f t="shared" si="1190"/>
        <v>0</v>
      </c>
      <c r="U4721" s="1394">
        <f>IFERROR(VLOOKUP(L4721,#REF!,5,0),0)</f>
        <v>0</v>
      </c>
      <c r="V4721" s="1394">
        <f t="shared" si="1191"/>
        <v>0</v>
      </c>
      <c r="W4721" s="1394"/>
    </row>
    <row r="4722" spans="2:23" ht="30" customHeight="1">
      <c r="B4722" s="1407"/>
      <c r="C4722" s="1408" t="str">
        <f t="shared" si="1213"/>
        <v>FW-4</v>
      </c>
      <c r="D4722" s="1409">
        <f t="shared" si="1212"/>
        <v>1</v>
      </c>
      <c r="E4722" s="1409">
        <f t="shared" si="1212"/>
        <v>2</v>
      </c>
      <c r="F4722" s="1410">
        <f t="shared" si="1214"/>
        <v>2.12</v>
      </c>
      <c r="G4722" s="1410">
        <f t="shared" si="1215"/>
        <v>0.6</v>
      </c>
      <c r="H4722" s="1411"/>
      <c r="I4722" s="1406">
        <f t="shared" si="1220"/>
        <v>2.544</v>
      </c>
      <c r="J4722" s="1410">
        <f t="shared" si="1217"/>
        <v>2.12</v>
      </c>
      <c r="K4722" s="1411">
        <f t="shared" si="1218"/>
        <v>0.6</v>
      </c>
      <c r="L4722" s="1473">
        <f t="shared" si="1219"/>
        <v>6.25E-2</v>
      </c>
      <c r="Q4722" s="1394">
        <f>IFERROR(VLOOKUP(L4722,#REF!,3,0),0)</f>
        <v>0</v>
      </c>
      <c r="R4722" s="1394">
        <f t="shared" si="1211"/>
        <v>0</v>
      </c>
      <c r="S4722" s="1394">
        <f>IFERROR(VLOOKUP(M4722,#REF!,6,0),0)</f>
        <v>0</v>
      </c>
      <c r="T4722" s="1394">
        <f t="shared" si="1190"/>
        <v>0</v>
      </c>
      <c r="U4722" s="1394">
        <f>IFERROR(VLOOKUP(L4722,#REF!,5,0),0)</f>
        <v>0</v>
      </c>
      <c r="V4722" s="1394">
        <f t="shared" si="1191"/>
        <v>0</v>
      </c>
      <c r="W4722" s="1394"/>
    </row>
    <row r="4723" spans="2:23" ht="30" customHeight="1">
      <c r="B4723" s="1407"/>
      <c r="C4723" s="1408" t="str">
        <f t="shared" si="1213"/>
        <v>SW</v>
      </c>
      <c r="D4723" s="1409">
        <f t="shared" si="1212"/>
        <v>1</v>
      </c>
      <c r="E4723" s="1409">
        <f t="shared" si="1212"/>
        <v>1</v>
      </c>
      <c r="F4723" s="1410">
        <f t="shared" si="1214"/>
        <v>2.72</v>
      </c>
      <c r="G4723" s="1410">
        <f t="shared" si="1215"/>
        <v>0.6</v>
      </c>
      <c r="H4723" s="1411"/>
      <c r="I4723" s="1406">
        <f t="shared" si="1220"/>
        <v>1.6320000000000001</v>
      </c>
      <c r="J4723" s="1410">
        <f t="shared" si="1217"/>
        <v>2.72</v>
      </c>
      <c r="K4723" s="1411">
        <f t="shared" si="1218"/>
        <v>0.6</v>
      </c>
      <c r="L4723" s="1473">
        <f t="shared" si="1219"/>
        <v>6.25E-2</v>
      </c>
      <c r="Q4723" s="1394">
        <f>IFERROR(VLOOKUP(L4723,#REF!,3,0),0)</f>
        <v>0</v>
      </c>
      <c r="R4723" s="1394">
        <f t="shared" si="1211"/>
        <v>0</v>
      </c>
      <c r="S4723" s="1394">
        <f>IFERROR(VLOOKUP(M4723,#REF!,6,0),0)</f>
        <v>0</v>
      </c>
      <c r="T4723" s="1394">
        <f t="shared" si="1190"/>
        <v>0</v>
      </c>
      <c r="U4723" s="1394">
        <f>IFERROR(VLOOKUP(L4723,#REF!,5,0),0)</f>
        <v>0</v>
      </c>
      <c r="V4723" s="1394">
        <f t="shared" si="1191"/>
        <v>0</v>
      </c>
      <c r="W4723" s="1394"/>
    </row>
    <row r="4724" spans="2:23" ht="30" customHeight="1">
      <c r="B4724" s="1407"/>
      <c r="C4724" s="1408" t="str">
        <f t="shared" si="1213"/>
        <v>W</v>
      </c>
      <c r="D4724" s="1409">
        <f t="shared" si="1212"/>
        <v>1</v>
      </c>
      <c r="E4724" s="1409">
        <f t="shared" si="1212"/>
        <v>1</v>
      </c>
      <c r="F4724" s="1410">
        <f t="shared" si="1214"/>
        <v>2.72</v>
      </c>
      <c r="G4724" s="1410">
        <f t="shared" si="1215"/>
        <v>0.6</v>
      </c>
      <c r="H4724" s="1411"/>
      <c r="I4724" s="1406">
        <f t="shared" si="1220"/>
        <v>1.6320000000000001</v>
      </c>
      <c r="J4724" s="1410">
        <f t="shared" si="1217"/>
        <v>2.72</v>
      </c>
      <c r="K4724" s="1411">
        <f t="shared" si="1218"/>
        <v>0.6</v>
      </c>
      <c r="L4724" s="1473">
        <f t="shared" si="1219"/>
        <v>6.25E-2</v>
      </c>
      <c r="Q4724" s="1394">
        <f>IFERROR(VLOOKUP(L4724,#REF!,3,0),0)</f>
        <v>0</v>
      </c>
      <c r="R4724" s="1394">
        <f t="shared" si="1211"/>
        <v>0</v>
      </c>
      <c r="S4724" s="1394">
        <f>IFERROR(VLOOKUP(M4724,#REF!,6,0),0)</f>
        <v>0</v>
      </c>
      <c r="T4724" s="1394">
        <f t="shared" si="1190"/>
        <v>0</v>
      </c>
      <c r="U4724" s="1394">
        <f>IFERROR(VLOOKUP(L4724,#REF!,5,0),0)</f>
        <v>0</v>
      </c>
      <c r="V4724" s="1394">
        <f t="shared" si="1191"/>
        <v>0</v>
      </c>
      <c r="W4724" s="1394"/>
    </row>
    <row r="4725" spans="2:23" ht="30" customHeight="1">
      <c r="B4725" s="1407"/>
      <c r="C4725" s="1408" t="str">
        <f t="shared" si="1213"/>
        <v>W2</v>
      </c>
      <c r="D4725" s="1409">
        <f t="shared" si="1212"/>
        <v>1</v>
      </c>
      <c r="E4725" s="1409">
        <f t="shared" si="1212"/>
        <v>13</v>
      </c>
      <c r="F4725" s="1410">
        <f t="shared" si="1214"/>
        <v>2.12</v>
      </c>
      <c r="G4725" s="1410">
        <f t="shared" si="1215"/>
        <v>0.6</v>
      </c>
      <c r="H4725" s="1411"/>
      <c r="I4725" s="1406">
        <f t="shared" si="1220"/>
        <v>16.536000000000001</v>
      </c>
      <c r="J4725" s="1410">
        <f t="shared" si="1217"/>
        <v>2.12</v>
      </c>
      <c r="K4725" s="1411">
        <f t="shared" si="1218"/>
        <v>0.6</v>
      </c>
      <c r="L4725" s="1473">
        <f t="shared" si="1219"/>
        <v>6.25E-2</v>
      </c>
      <c r="Q4725" s="1394">
        <f>IFERROR(VLOOKUP(L4725,#REF!,3,0),0)</f>
        <v>0</v>
      </c>
      <c r="R4725" s="1394">
        <f t="shared" si="1211"/>
        <v>0</v>
      </c>
      <c r="S4725" s="1394">
        <f>IFERROR(VLOOKUP(M4725,#REF!,6,0),0)</f>
        <v>0</v>
      </c>
      <c r="T4725" s="1394">
        <f t="shared" si="1190"/>
        <v>0</v>
      </c>
      <c r="U4725" s="1394">
        <f>IFERROR(VLOOKUP(L4725,#REF!,5,0),0)</f>
        <v>0</v>
      </c>
      <c r="V4725" s="1394">
        <f t="shared" si="1191"/>
        <v>0</v>
      </c>
      <c r="W4725" s="1394"/>
    </row>
    <row r="4726" spans="2:23" ht="30" customHeight="1">
      <c r="B4726" s="1407"/>
      <c r="C4726" s="1408" t="str">
        <f t="shared" si="1213"/>
        <v>W3</v>
      </c>
      <c r="D4726" s="1409">
        <f t="shared" si="1212"/>
        <v>1</v>
      </c>
      <c r="E4726" s="1409">
        <f t="shared" si="1212"/>
        <v>4</v>
      </c>
      <c r="F4726" s="1410">
        <f t="shared" si="1214"/>
        <v>1.92</v>
      </c>
      <c r="G4726" s="1410">
        <f t="shared" si="1215"/>
        <v>0.6</v>
      </c>
      <c r="H4726" s="1411"/>
      <c r="I4726" s="1406">
        <f t="shared" si="1220"/>
        <v>4.6079999999999997</v>
      </c>
      <c r="J4726" s="1410">
        <f t="shared" si="1217"/>
        <v>1.92</v>
      </c>
      <c r="K4726" s="1411">
        <f t="shared" si="1218"/>
        <v>0.6</v>
      </c>
      <c r="L4726" s="1473">
        <f t="shared" si="1219"/>
        <v>6.25E-2</v>
      </c>
      <c r="Q4726" s="1394">
        <f>IFERROR(VLOOKUP(L4726,#REF!,3,0),0)</f>
        <v>0</v>
      </c>
      <c r="R4726" s="1394">
        <f t="shared" si="1211"/>
        <v>0</v>
      </c>
      <c r="S4726" s="1394">
        <f>IFERROR(VLOOKUP(M4726,#REF!,6,0),0)</f>
        <v>0</v>
      </c>
      <c r="T4726" s="1394">
        <f t="shared" si="1190"/>
        <v>0</v>
      </c>
      <c r="U4726" s="1394">
        <f>IFERROR(VLOOKUP(L4726,#REF!,5,0),0)</f>
        <v>0</v>
      </c>
      <c r="V4726" s="1394">
        <f t="shared" si="1191"/>
        <v>0</v>
      </c>
      <c r="W4726" s="1394"/>
    </row>
    <row r="4727" spans="2:23" ht="30" customHeight="1">
      <c r="B4727" s="1407"/>
      <c r="C4727" s="1408" t="str">
        <f t="shared" si="1213"/>
        <v>SLW</v>
      </c>
      <c r="D4727" s="1409">
        <f t="shared" si="1212"/>
        <v>1</v>
      </c>
      <c r="E4727" s="1409">
        <f t="shared" si="1212"/>
        <v>2</v>
      </c>
      <c r="F4727" s="1410">
        <f t="shared" si="1214"/>
        <v>3.02</v>
      </c>
      <c r="G4727" s="1410">
        <f t="shared" si="1215"/>
        <v>0.6</v>
      </c>
      <c r="H4727" s="1411"/>
      <c r="I4727" s="1406">
        <f t="shared" si="1220"/>
        <v>3.6239999999999997</v>
      </c>
      <c r="J4727" s="1410">
        <f t="shared" si="1217"/>
        <v>3.02</v>
      </c>
      <c r="K4727" s="1411">
        <f t="shared" si="1218"/>
        <v>0.6</v>
      </c>
      <c r="L4727" s="1473">
        <f t="shared" si="1219"/>
        <v>6.25E-2</v>
      </c>
      <c r="Q4727" s="1394">
        <f>IFERROR(VLOOKUP(L4727,#REF!,3,0),0)</f>
        <v>0</v>
      </c>
      <c r="R4727" s="1394">
        <f t="shared" si="1211"/>
        <v>0</v>
      </c>
      <c r="S4727" s="1394">
        <f>IFERROR(VLOOKUP(M4727,#REF!,6,0),0)</f>
        <v>0</v>
      </c>
      <c r="T4727" s="1394">
        <f t="shared" si="1190"/>
        <v>0</v>
      </c>
      <c r="U4727" s="1394">
        <f>IFERROR(VLOOKUP(L4727,#REF!,5,0),0)</f>
        <v>0</v>
      </c>
      <c r="V4727" s="1394">
        <f t="shared" si="1191"/>
        <v>0</v>
      </c>
      <c r="W4727" s="1394"/>
    </row>
    <row r="4728" spans="2:23" ht="30" customHeight="1">
      <c r="B4728" s="1407"/>
      <c r="C4728" s="1408" t="str">
        <f t="shared" si="1213"/>
        <v>RV</v>
      </c>
      <c r="D4728" s="1409">
        <f t="shared" si="1212"/>
        <v>1</v>
      </c>
      <c r="E4728" s="1409">
        <f t="shared" si="1212"/>
        <v>2</v>
      </c>
      <c r="F4728" s="1410">
        <f t="shared" si="1214"/>
        <v>2.27</v>
      </c>
      <c r="G4728" s="1410">
        <f t="shared" si="1215"/>
        <v>0.6</v>
      </c>
      <c r="H4728" s="1411"/>
      <c r="I4728" s="1406">
        <f t="shared" si="1220"/>
        <v>2.7239999999999998</v>
      </c>
      <c r="J4728" s="1410">
        <f t="shared" si="1217"/>
        <v>2.27</v>
      </c>
      <c r="K4728" s="1411">
        <f t="shared" si="1218"/>
        <v>0.6</v>
      </c>
      <c r="L4728" s="1473">
        <f t="shared" si="1219"/>
        <v>6.25E-2</v>
      </c>
      <c r="Q4728" s="1394">
        <f>IFERROR(VLOOKUP(L4728,#REF!,3,0),0)</f>
        <v>0</v>
      </c>
      <c r="R4728" s="1394">
        <f t="shared" si="1211"/>
        <v>0</v>
      </c>
      <c r="S4728" s="1394">
        <f>IFERROR(VLOOKUP(M4728,#REF!,6,0),0)</f>
        <v>0</v>
      </c>
      <c r="T4728" s="1394">
        <f t="shared" si="1190"/>
        <v>0</v>
      </c>
      <c r="U4728" s="1394">
        <f>IFERROR(VLOOKUP(L4728,#REF!,5,0),0)</f>
        <v>0</v>
      </c>
      <c r="V4728" s="1394">
        <f t="shared" si="1191"/>
        <v>0</v>
      </c>
      <c r="W4728" s="1394"/>
    </row>
    <row r="4729" spans="2:23" ht="30" customHeight="1">
      <c r="B4729" s="1407"/>
      <c r="C4729" s="1408" t="str">
        <f t="shared" si="1213"/>
        <v>RV1</v>
      </c>
      <c r="D4729" s="1409">
        <f t="shared" si="1212"/>
        <v>1</v>
      </c>
      <c r="E4729" s="1409">
        <f t="shared" si="1212"/>
        <v>1</v>
      </c>
      <c r="F4729" s="1410">
        <f t="shared" si="1214"/>
        <v>1.82</v>
      </c>
      <c r="G4729" s="1410">
        <f t="shared" si="1215"/>
        <v>0.6</v>
      </c>
      <c r="H4729" s="1411"/>
      <c r="I4729" s="1406">
        <f t="shared" si="1220"/>
        <v>1.0920000000000001</v>
      </c>
      <c r="J4729" s="1410">
        <f t="shared" si="1217"/>
        <v>1.82</v>
      </c>
      <c r="K4729" s="1411">
        <f t="shared" si="1218"/>
        <v>0.6</v>
      </c>
      <c r="L4729" s="1473">
        <f t="shared" si="1219"/>
        <v>6.25E-2</v>
      </c>
      <c r="Q4729" s="1394">
        <f>IFERROR(VLOOKUP(L4729,#REF!,3,0),0)</f>
        <v>0</v>
      </c>
      <c r="R4729" s="1394">
        <f t="shared" si="1211"/>
        <v>0</v>
      </c>
      <c r="S4729" s="1394">
        <f>IFERROR(VLOOKUP(M4729,#REF!,6,0),0)</f>
        <v>0</v>
      </c>
      <c r="T4729" s="1394">
        <f t="shared" si="1190"/>
        <v>0</v>
      </c>
      <c r="U4729" s="1394">
        <f>IFERROR(VLOOKUP(L4729,#REF!,5,0),0)</f>
        <v>0</v>
      </c>
      <c r="V4729" s="1394">
        <f t="shared" si="1191"/>
        <v>0</v>
      </c>
      <c r="W4729" s="1394"/>
    </row>
    <row r="4730" spans="2:23" ht="30" customHeight="1">
      <c r="B4730" s="1407"/>
      <c r="C4730" s="1408" t="str">
        <f t="shared" si="1213"/>
        <v>V</v>
      </c>
      <c r="D4730" s="1409">
        <f t="shared" si="1212"/>
        <v>1</v>
      </c>
      <c r="E4730" s="1409">
        <f t="shared" si="1212"/>
        <v>2</v>
      </c>
      <c r="F4730" s="1410">
        <f t="shared" si="1214"/>
        <v>1.92</v>
      </c>
      <c r="G4730" s="1410">
        <f t="shared" si="1215"/>
        <v>0.6</v>
      </c>
      <c r="H4730" s="1411"/>
      <c r="I4730" s="1406">
        <f t="shared" si="1220"/>
        <v>2.3039999999999998</v>
      </c>
      <c r="J4730" s="1410">
        <f t="shared" si="1217"/>
        <v>1.92</v>
      </c>
      <c r="K4730" s="1411">
        <f t="shared" si="1218"/>
        <v>0.6</v>
      </c>
      <c r="L4730" s="1473">
        <f t="shared" si="1219"/>
        <v>6.25E-2</v>
      </c>
      <c r="Q4730" s="1394">
        <f>IFERROR(VLOOKUP(L4730,#REF!,3,0),0)</f>
        <v>0</v>
      </c>
      <c r="R4730" s="1394">
        <f t="shared" si="1211"/>
        <v>0</v>
      </c>
      <c r="S4730" s="1394">
        <f>IFERROR(VLOOKUP(M4730,#REF!,6,0),0)</f>
        <v>0</v>
      </c>
      <c r="T4730" s="1394">
        <f t="shared" si="1190"/>
        <v>0</v>
      </c>
      <c r="U4730" s="1394">
        <f>IFERROR(VLOOKUP(L4730,#REF!,5,0),0)</f>
        <v>0</v>
      </c>
      <c r="V4730" s="1394">
        <f t="shared" si="1191"/>
        <v>0</v>
      </c>
      <c r="W4730" s="1394"/>
    </row>
    <row r="4731" spans="2:23" ht="30" customHeight="1">
      <c r="B4731" s="1407"/>
      <c r="C4731" s="1408" t="str">
        <f t="shared" si="1213"/>
        <v>V1</v>
      </c>
      <c r="D4731" s="1409">
        <f t="shared" si="1212"/>
        <v>1</v>
      </c>
      <c r="E4731" s="1409">
        <f t="shared" si="1212"/>
        <v>2</v>
      </c>
      <c r="F4731" s="1410">
        <f t="shared" si="1214"/>
        <v>1.52</v>
      </c>
      <c r="G4731" s="1410">
        <f t="shared" si="1215"/>
        <v>0.6</v>
      </c>
      <c r="H4731" s="1411"/>
      <c r="I4731" s="1406">
        <f t="shared" si="1220"/>
        <v>1.8239999999999998</v>
      </c>
      <c r="J4731" s="1410">
        <f t="shared" si="1217"/>
        <v>1.52</v>
      </c>
      <c r="K4731" s="1411">
        <f t="shared" si="1218"/>
        <v>0.6</v>
      </c>
      <c r="L4731" s="1473">
        <f t="shared" si="1219"/>
        <v>6.25E-2</v>
      </c>
      <c r="Q4731" s="1394">
        <f>IFERROR(VLOOKUP(L4731,#REF!,3,0),0)</f>
        <v>0</v>
      </c>
      <c r="R4731" s="1394">
        <f t="shared" si="1211"/>
        <v>0</v>
      </c>
      <c r="S4731" s="1394">
        <f>IFERROR(VLOOKUP(M4731,#REF!,6,0),0)</f>
        <v>0</v>
      </c>
      <c r="T4731" s="1394">
        <f t="shared" si="1190"/>
        <v>0</v>
      </c>
      <c r="U4731" s="1394">
        <f>IFERROR(VLOOKUP(L4731,#REF!,5,0),0)</f>
        <v>0</v>
      </c>
      <c r="V4731" s="1394">
        <f t="shared" si="1191"/>
        <v>0</v>
      </c>
      <c r="W4731" s="1394"/>
    </row>
    <row r="4732" spans="2:23" ht="30" customHeight="1">
      <c r="B4732" s="1407"/>
      <c r="C4732" s="1408" t="str">
        <f t="shared" si="1213"/>
        <v>V3</v>
      </c>
      <c r="D4732" s="1409">
        <f t="shared" si="1212"/>
        <v>1</v>
      </c>
      <c r="E4732" s="1409">
        <f t="shared" si="1212"/>
        <v>4</v>
      </c>
      <c r="F4732" s="1410">
        <f t="shared" si="1214"/>
        <v>1.82</v>
      </c>
      <c r="G4732" s="1410">
        <f t="shared" si="1215"/>
        <v>0.6</v>
      </c>
      <c r="H4732" s="1411"/>
      <c r="I4732" s="1406">
        <f t="shared" si="1220"/>
        <v>4.3680000000000003</v>
      </c>
      <c r="J4732" s="1410">
        <f t="shared" si="1217"/>
        <v>1.82</v>
      </c>
      <c r="K4732" s="1411">
        <f t="shared" si="1218"/>
        <v>0.6</v>
      </c>
      <c r="L4732" s="1473">
        <f t="shared" si="1219"/>
        <v>6.25E-2</v>
      </c>
      <c r="Q4732" s="1394">
        <f>IFERROR(VLOOKUP(L4732,#REF!,3,0),0)</f>
        <v>0</v>
      </c>
      <c r="R4732" s="1394">
        <f t="shared" si="1211"/>
        <v>0</v>
      </c>
      <c r="S4732" s="1394">
        <f>IFERROR(VLOOKUP(M4732,#REF!,6,0),0)</f>
        <v>0</v>
      </c>
      <c r="T4732" s="1394">
        <f t="shared" si="1190"/>
        <v>0</v>
      </c>
      <c r="U4732" s="1394">
        <f>IFERROR(VLOOKUP(L4732,#REF!,5,0),0)</f>
        <v>0</v>
      </c>
      <c r="V4732" s="1394">
        <f t="shared" si="1191"/>
        <v>0</v>
      </c>
      <c r="W4732" s="1394"/>
    </row>
    <row r="4733" spans="2:23" ht="30" customHeight="1">
      <c r="B4733" s="1407"/>
      <c r="C4733" s="1408" t="s">
        <v>5925</v>
      </c>
      <c r="D4733" s="1409"/>
      <c r="E4733" s="1409"/>
      <c r="F4733" s="1410"/>
      <c r="G4733" s="1410"/>
      <c r="H4733" s="1411"/>
      <c r="I4733" s="1406"/>
      <c r="J4733" s="1410"/>
      <c r="K4733" s="1411"/>
      <c r="L4733" s="1473"/>
      <c r="Q4733" s="1394">
        <f>IFERROR(VLOOKUP(L4733,#REF!,3,0),0)</f>
        <v>0</v>
      </c>
      <c r="R4733" s="1394">
        <f t="shared" si="1211"/>
        <v>0</v>
      </c>
      <c r="S4733" s="1394">
        <f>IFERROR(VLOOKUP(M4733,#REF!,6,0),0)</f>
        <v>0</v>
      </c>
      <c r="T4733" s="1394">
        <f t="shared" si="1190"/>
        <v>0</v>
      </c>
      <c r="U4733" s="1394">
        <f>IFERROR(VLOOKUP(L4733,#REF!,5,0),0)</f>
        <v>0</v>
      </c>
      <c r="V4733" s="1394">
        <f t="shared" si="1191"/>
        <v>0</v>
      </c>
      <c r="W4733" s="1394"/>
    </row>
    <row r="4734" spans="2:23" ht="30" customHeight="1">
      <c r="B4734" s="1407"/>
      <c r="C4734" s="1408" t="str">
        <f t="shared" ref="C4734:E4746" si="1221">C980</f>
        <v>FW</v>
      </c>
      <c r="D4734" s="1409">
        <f t="shared" si="1221"/>
        <v>1</v>
      </c>
      <c r="E4734" s="1409">
        <f t="shared" si="1221"/>
        <v>2</v>
      </c>
      <c r="F4734" s="1410">
        <f t="shared" ref="F4734:F4746" si="1222">J4734+K4734+K4734</f>
        <v>2.9329999999999998</v>
      </c>
      <c r="G4734" s="1410"/>
      <c r="H4734" s="1473">
        <f t="shared" ref="H4734:H4746" si="1223">L4734</f>
        <v>6.25E-2</v>
      </c>
      <c r="I4734" s="1406">
        <f t="shared" ref="I4734" si="1224">PRODUCT(D4734:H4734)</f>
        <v>0.36662499999999998</v>
      </c>
      <c r="J4734" s="1410">
        <f t="shared" ref="J4734:J4746" si="1225">F980+0.46</f>
        <v>1.7329999999999999</v>
      </c>
      <c r="K4734" s="1411">
        <f t="shared" ref="K4734:K4746" si="1226">G980</f>
        <v>0.6</v>
      </c>
      <c r="L4734" s="1473">
        <f t="shared" ref="L4734:L4746" si="1227">H980</f>
        <v>6.25E-2</v>
      </c>
      <c r="Q4734" s="1394">
        <f>IFERROR(VLOOKUP(L4734,#REF!,3,0),0)</f>
        <v>0</v>
      </c>
      <c r="R4734" s="1394">
        <f t="shared" si="1211"/>
        <v>0</v>
      </c>
      <c r="S4734" s="1394">
        <f>IFERROR(VLOOKUP(M4734,#REF!,6,0),0)</f>
        <v>0</v>
      </c>
      <c r="T4734" s="1394">
        <f t="shared" si="1190"/>
        <v>0</v>
      </c>
      <c r="U4734" s="1394">
        <f>IFERROR(VLOOKUP(L4734,#REF!,5,0),0)</f>
        <v>0</v>
      </c>
      <c r="V4734" s="1394">
        <f t="shared" si="1191"/>
        <v>0</v>
      </c>
      <c r="W4734" s="1394"/>
    </row>
    <row r="4735" spans="2:23" ht="30" customHeight="1">
      <c r="B4735" s="1407"/>
      <c r="C4735" s="1408" t="str">
        <f t="shared" si="1221"/>
        <v>FW-3</v>
      </c>
      <c r="D4735" s="1409">
        <f t="shared" si="1221"/>
        <v>1</v>
      </c>
      <c r="E4735" s="1409">
        <f t="shared" si="1221"/>
        <v>1</v>
      </c>
      <c r="F4735" s="1410">
        <f t="shared" si="1222"/>
        <v>4.12</v>
      </c>
      <c r="G4735" s="1410"/>
      <c r="H4735" s="1473">
        <f t="shared" si="1223"/>
        <v>6.25E-2</v>
      </c>
      <c r="I4735" s="1406">
        <f t="shared" ref="I4735:I4746" si="1228">PRODUCT(D4735:H4735)</f>
        <v>0.25750000000000001</v>
      </c>
      <c r="J4735" s="1410">
        <f t="shared" si="1225"/>
        <v>2.92</v>
      </c>
      <c r="K4735" s="1411">
        <f t="shared" si="1226"/>
        <v>0.6</v>
      </c>
      <c r="L4735" s="1473">
        <f t="shared" si="1227"/>
        <v>6.25E-2</v>
      </c>
      <c r="Q4735" s="1394">
        <f>IFERROR(VLOOKUP(L4735,#REF!,3,0),0)</f>
        <v>0</v>
      </c>
      <c r="R4735" s="1394">
        <f t="shared" si="1211"/>
        <v>0</v>
      </c>
      <c r="S4735" s="1394">
        <f>IFERROR(VLOOKUP(M4735,#REF!,6,0),0)</f>
        <v>0</v>
      </c>
      <c r="T4735" s="1394">
        <f t="shared" si="1190"/>
        <v>0</v>
      </c>
      <c r="U4735" s="1394">
        <f>IFERROR(VLOOKUP(L4735,#REF!,5,0),0)</f>
        <v>0</v>
      </c>
      <c r="V4735" s="1394">
        <f t="shared" si="1191"/>
        <v>0</v>
      </c>
      <c r="W4735" s="1394"/>
    </row>
    <row r="4736" spans="2:23" ht="30" customHeight="1">
      <c r="B4736" s="1407"/>
      <c r="C4736" s="1408" t="str">
        <f t="shared" si="1221"/>
        <v>FW-4</v>
      </c>
      <c r="D4736" s="1409">
        <f t="shared" si="1221"/>
        <v>1</v>
      </c>
      <c r="E4736" s="1409">
        <f t="shared" si="1221"/>
        <v>2</v>
      </c>
      <c r="F4736" s="1410">
        <f t="shared" si="1222"/>
        <v>3.3200000000000003</v>
      </c>
      <c r="G4736" s="1410"/>
      <c r="H4736" s="1473">
        <f t="shared" si="1223"/>
        <v>6.25E-2</v>
      </c>
      <c r="I4736" s="1406">
        <f t="shared" si="1228"/>
        <v>0.41500000000000004</v>
      </c>
      <c r="J4736" s="1410">
        <f t="shared" si="1225"/>
        <v>2.12</v>
      </c>
      <c r="K4736" s="1411">
        <f t="shared" si="1226"/>
        <v>0.6</v>
      </c>
      <c r="L4736" s="1473">
        <f t="shared" si="1227"/>
        <v>6.25E-2</v>
      </c>
      <c r="Q4736" s="1394">
        <f>IFERROR(VLOOKUP(L4736,#REF!,3,0),0)</f>
        <v>0</v>
      </c>
      <c r="R4736" s="1394">
        <f t="shared" si="1211"/>
        <v>0</v>
      </c>
      <c r="S4736" s="1394">
        <f>IFERROR(VLOOKUP(M4736,#REF!,6,0),0)</f>
        <v>0</v>
      </c>
      <c r="T4736" s="1394">
        <f t="shared" si="1190"/>
        <v>0</v>
      </c>
      <c r="U4736" s="1394">
        <f>IFERROR(VLOOKUP(L4736,#REF!,5,0),0)</f>
        <v>0</v>
      </c>
      <c r="V4736" s="1394">
        <f t="shared" si="1191"/>
        <v>0</v>
      </c>
      <c r="W4736" s="1394"/>
    </row>
    <row r="4737" spans="1:24" ht="30" customHeight="1">
      <c r="B4737" s="1407"/>
      <c r="C4737" s="1408" t="str">
        <f t="shared" si="1221"/>
        <v>SW</v>
      </c>
      <c r="D4737" s="1409">
        <f t="shared" si="1221"/>
        <v>1</v>
      </c>
      <c r="E4737" s="1409">
        <f t="shared" si="1221"/>
        <v>1</v>
      </c>
      <c r="F4737" s="1410">
        <f t="shared" si="1222"/>
        <v>3.9200000000000004</v>
      </c>
      <c r="G4737" s="1410"/>
      <c r="H4737" s="1473">
        <f t="shared" si="1223"/>
        <v>6.25E-2</v>
      </c>
      <c r="I4737" s="1406">
        <f t="shared" si="1228"/>
        <v>0.24500000000000002</v>
      </c>
      <c r="J4737" s="1410">
        <f t="shared" si="1225"/>
        <v>2.72</v>
      </c>
      <c r="K4737" s="1411">
        <f t="shared" si="1226"/>
        <v>0.6</v>
      </c>
      <c r="L4737" s="1473">
        <f t="shared" si="1227"/>
        <v>6.25E-2</v>
      </c>
      <c r="Q4737" s="1394">
        <f>IFERROR(VLOOKUP(L4737,#REF!,3,0),0)</f>
        <v>0</v>
      </c>
      <c r="R4737" s="1394">
        <f t="shared" si="1211"/>
        <v>0</v>
      </c>
      <c r="S4737" s="1394">
        <f>IFERROR(VLOOKUP(M4737,#REF!,6,0),0)</f>
        <v>0</v>
      </c>
      <c r="T4737" s="1394">
        <f t="shared" si="1190"/>
        <v>0</v>
      </c>
      <c r="U4737" s="1394">
        <f>IFERROR(VLOOKUP(L4737,#REF!,5,0),0)</f>
        <v>0</v>
      </c>
      <c r="V4737" s="1394">
        <f t="shared" si="1191"/>
        <v>0</v>
      </c>
      <c r="W4737" s="1394"/>
    </row>
    <row r="4738" spans="1:24" ht="30" customHeight="1">
      <c r="B4738" s="1407"/>
      <c r="C4738" s="1408" t="str">
        <f t="shared" si="1221"/>
        <v>W</v>
      </c>
      <c r="D4738" s="1409">
        <f t="shared" si="1221"/>
        <v>1</v>
      </c>
      <c r="E4738" s="1409">
        <f t="shared" si="1221"/>
        <v>1</v>
      </c>
      <c r="F4738" s="1410">
        <f t="shared" si="1222"/>
        <v>3.9200000000000004</v>
      </c>
      <c r="G4738" s="1410"/>
      <c r="H4738" s="1473">
        <f t="shared" si="1223"/>
        <v>6.25E-2</v>
      </c>
      <c r="I4738" s="1406">
        <f t="shared" si="1228"/>
        <v>0.24500000000000002</v>
      </c>
      <c r="J4738" s="1410">
        <f t="shared" si="1225"/>
        <v>2.72</v>
      </c>
      <c r="K4738" s="1411">
        <f t="shared" si="1226"/>
        <v>0.6</v>
      </c>
      <c r="L4738" s="1473">
        <f t="shared" si="1227"/>
        <v>6.25E-2</v>
      </c>
      <c r="Q4738" s="1394">
        <f>IFERROR(VLOOKUP(L4738,#REF!,3,0),0)</f>
        <v>0</v>
      </c>
      <c r="R4738" s="1394">
        <f t="shared" si="1211"/>
        <v>0</v>
      </c>
      <c r="S4738" s="1394">
        <f>IFERROR(VLOOKUP(M4738,#REF!,6,0),0)</f>
        <v>0</v>
      </c>
      <c r="T4738" s="1394">
        <f t="shared" si="1190"/>
        <v>0</v>
      </c>
      <c r="U4738" s="1394">
        <f>IFERROR(VLOOKUP(L4738,#REF!,5,0),0)</f>
        <v>0</v>
      </c>
      <c r="V4738" s="1394">
        <f t="shared" si="1191"/>
        <v>0</v>
      </c>
      <c r="W4738" s="1394"/>
    </row>
    <row r="4739" spans="1:24" ht="30" customHeight="1">
      <c r="B4739" s="1407"/>
      <c r="C4739" s="1408" t="str">
        <f t="shared" si="1221"/>
        <v>W2</v>
      </c>
      <c r="D4739" s="1409">
        <f t="shared" si="1221"/>
        <v>1</v>
      </c>
      <c r="E4739" s="1409">
        <f t="shared" si="1221"/>
        <v>13</v>
      </c>
      <c r="F4739" s="1410">
        <f t="shared" si="1222"/>
        <v>3.3200000000000003</v>
      </c>
      <c r="G4739" s="1410"/>
      <c r="H4739" s="1473">
        <f t="shared" si="1223"/>
        <v>6.25E-2</v>
      </c>
      <c r="I4739" s="1406">
        <f t="shared" si="1228"/>
        <v>2.6975000000000002</v>
      </c>
      <c r="J4739" s="1410">
        <f t="shared" si="1225"/>
        <v>2.12</v>
      </c>
      <c r="K4739" s="1411">
        <f t="shared" si="1226"/>
        <v>0.6</v>
      </c>
      <c r="L4739" s="1473">
        <f t="shared" si="1227"/>
        <v>6.25E-2</v>
      </c>
      <c r="Q4739" s="1394">
        <f>IFERROR(VLOOKUP(L4739,#REF!,3,0),0)</f>
        <v>0</v>
      </c>
      <c r="R4739" s="1394">
        <f t="shared" si="1211"/>
        <v>0</v>
      </c>
      <c r="S4739" s="1394">
        <f>IFERROR(VLOOKUP(M4739,#REF!,6,0),0)</f>
        <v>0</v>
      </c>
      <c r="T4739" s="1394">
        <f t="shared" ref="T4739:T4802" si="1229">R4739-S4739</f>
        <v>0</v>
      </c>
      <c r="U4739" s="1394">
        <f>IFERROR(VLOOKUP(L4739,#REF!,5,0),0)</f>
        <v>0</v>
      </c>
      <c r="V4739" s="1394">
        <f t="shared" ref="V4739:V4802" si="1230">O4739-U4739</f>
        <v>0</v>
      </c>
      <c r="W4739" s="1394"/>
    </row>
    <row r="4740" spans="1:24" ht="30" customHeight="1">
      <c r="B4740" s="1407"/>
      <c r="C4740" s="1408" t="str">
        <f t="shared" si="1221"/>
        <v>W3</v>
      </c>
      <c r="D4740" s="1409">
        <f t="shared" si="1221"/>
        <v>1</v>
      </c>
      <c r="E4740" s="1409">
        <f t="shared" si="1221"/>
        <v>4</v>
      </c>
      <c r="F4740" s="1410">
        <f t="shared" si="1222"/>
        <v>3.12</v>
      </c>
      <c r="G4740" s="1410"/>
      <c r="H4740" s="1473">
        <f t="shared" si="1223"/>
        <v>6.25E-2</v>
      </c>
      <c r="I4740" s="1406">
        <f t="shared" si="1228"/>
        <v>0.78</v>
      </c>
      <c r="J4740" s="1410">
        <f t="shared" si="1225"/>
        <v>1.92</v>
      </c>
      <c r="K4740" s="1411">
        <f t="shared" si="1226"/>
        <v>0.6</v>
      </c>
      <c r="L4740" s="1473">
        <f t="shared" si="1227"/>
        <v>6.25E-2</v>
      </c>
      <c r="Q4740" s="1394">
        <f>IFERROR(VLOOKUP(L4740,#REF!,3,0),0)</f>
        <v>0</v>
      </c>
      <c r="R4740" s="1394">
        <f t="shared" si="1211"/>
        <v>0</v>
      </c>
      <c r="S4740" s="1394">
        <f>IFERROR(VLOOKUP(M4740,#REF!,6,0),0)</f>
        <v>0</v>
      </c>
      <c r="T4740" s="1394">
        <f t="shared" si="1229"/>
        <v>0</v>
      </c>
      <c r="U4740" s="1394">
        <f>IFERROR(VLOOKUP(L4740,#REF!,5,0),0)</f>
        <v>0</v>
      </c>
      <c r="V4740" s="1394">
        <f t="shared" si="1230"/>
        <v>0</v>
      </c>
      <c r="W4740" s="1394"/>
    </row>
    <row r="4741" spans="1:24" ht="30" customHeight="1">
      <c r="B4741" s="1407"/>
      <c r="C4741" s="1408" t="str">
        <f t="shared" si="1221"/>
        <v>SLW</v>
      </c>
      <c r="D4741" s="1409">
        <f t="shared" si="1221"/>
        <v>1</v>
      </c>
      <c r="E4741" s="1409">
        <f t="shared" si="1221"/>
        <v>2</v>
      </c>
      <c r="F4741" s="1410">
        <f t="shared" si="1222"/>
        <v>4.22</v>
      </c>
      <c r="G4741" s="1410"/>
      <c r="H4741" s="1473">
        <f t="shared" si="1223"/>
        <v>6.25E-2</v>
      </c>
      <c r="I4741" s="1406">
        <f t="shared" si="1228"/>
        <v>0.52749999999999997</v>
      </c>
      <c r="J4741" s="1410">
        <f t="shared" si="1225"/>
        <v>3.02</v>
      </c>
      <c r="K4741" s="1411">
        <f t="shared" si="1226"/>
        <v>0.6</v>
      </c>
      <c r="L4741" s="1473">
        <f t="shared" si="1227"/>
        <v>6.25E-2</v>
      </c>
      <c r="Q4741" s="1394">
        <f>IFERROR(VLOOKUP(L4741,#REF!,3,0),0)</f>
        <v>0</v>
      </c>
      <c r="R4741" s="1394">
        <f t="shared" si="1211"/>
        <v>0</v>
      </c>
      <c r="S4741" s="1394">
        <f>IFERROR(VLOOKUP(M4741,#REF!,6,0),0)</f>
        <v>0</v>
      </c>
      <c r="T4741" s="1394">
        <f t="shared" si="1229"/>
        <v>0</v>
      </c>
      <c r="U4741" s="1394">
        <f>IFERROR(VLOOKUP(L4741,#REF!,5,0),0)</f>
        <v>0</v>
      </c>
      <c r="V4741" s="1394">
        <f t="shared" si="1230"/>
        <v>0</v>
      </c>
      <c r="W4741" s="1394"/>
    </row>
    <row r="4742" spans="1:24" ht="30" customHeight="1">
      <c r="B4742" s="1407"/>
      <c r="C4742" s="1408" t="str">
        <f t="shared" si="1221"/>
        <v>RV</v>
      </c>
      <c r="D4742" s="1409">
        <f t="shared" si="1221"/>
        <v>1</v>
      </c>
      <c r="E4742" s="1409">
        <f t="shared" si="1221"/>
        <v>2</v>
      </c>
      <c r="F4742" s="1410">
        <f t="shared" si="1222"/>
        <v>3.47</v>
      </c>
      <c r="G4742" s="1410"/>
      <c r="H4742" s="1473">
        <f t="shared" si="1223"/>
        <v>6.25E-2</v>
      </c>
      <c r="I4742" s="1406">
        <f t="shared" si="1228"/>
        <v>0.43375000000000002</v>
      </c>
      <c r="J4742" s="1410">
        <f t="shared" si="1225"/>
        <v>2.27</v>
      </c>
      <c r="K4742" s="1411">
        <f t="shared" si="1226"/>
        <v>0.6</v>
      </c>
      <c r="L4742" s="1473">
        <f t="shared" si="1227"/>
        <v>6.25E-2</v>
      </c>
      <c r="Q4742" s="1394">
        <f>IFERROR(VLOOKUP(L4742,#REF!,3,0),0)</f>
        <v>0</v>
      </c>
      <c r="R4742" s="1394">
        <f t="shared" si="1211"/>
        <v>0</v>
      </c>
      <c r="S4742" s="1394">
        <f>IFERROR(VLOOKUP(M4742,#REF!,6,0),0)</f>
        <v>0</v>
      </c>
      <c r="T4742" s="1394">
        <f t="shared" si="1229"/>
        <v>0</v>
      </c>
      <c r="U4742" s="1394">
        <f>IFERROR(VLOOKUP(L4742,#REF!,5,0),0)</f>
        <v>0</v>
      </c>
      <c r="V4742" s="1394">
        <f t="shared" si="1230"/>
        <v>0</v>
      </c>
      <c r="W4742" s="1394"/>
    </row>
    <row r="4743" spans="1:24" ht="30" customHeight="1">
      <c r="B4743" s="1407"/>
      <c r="C4743" s="1408" t="str">
        <f t="shared" si="1221"/>
        <v>RV1</v>
      </c>
      <c r="D4743" s="1409">
        <f t="shared" si="1221"/>
        <v>1</v>
      </c>
      <c r="E4743" s="1409">
        <f t="shared" si="1221"/>
        <v>1</v>
      </c>
      <c r="F4743" s="1410">
        <f t="shared" si="1222"/>
        <v>3.02</v>
      </c>
      <c r="G4743" s="1410"/>
      <c r="H4743" s="1473">
        <f t="shared" si="1223"/>
        <v>6.25E-2</v>
      </c>
      <c r="I4743" s="1406">
        <f t="shared" si="1228"/>
        <v>0.18875</v>
      </c>
      <c r="J4743" s="1410">
        <f t="shared" si="1225"/>
        <v>1.82</v>
      </c>
      <c r="K4743" s="1411">
        <f t="shared" si="1226"/>
        <v>0.6</v>
      </c>
      <c r="L4743" s="1473">
        <f t="shared" si="1227"/>
        <v>6.25E-2</v>
      </c>
      <c r="Q4743" s="1394">
        <f>IFERROR(VLOOKUP(L4743,#REF!,3,0),0)</f>
        <v>0</v>
      </c>
      <c r="R4743" s="1394">
        <f t="shared" si="1211"/>
        <v>0</v>
      </c>
      <c r="S4743" s="1394">
        <f>IFERROR(VLOOKUP(M4743,#REF!,6,0),0)</f>
        <v>0</v>
      </c>
      <c r="T4743" s="1394">
        <f t="shared" si="1229"/>
        <v>0</v>
      </c>
      <c r="U4743" s="1394">
        <f>IFERROR(VLOOKUP(L4743,#REF!,5,0),0)</f>
        <v>0</v>
      </c>
      <c r="V4743" s="1394">
        <f t="shared" si="1230"/>
        <v>0</v>
      </c>
      <c r="W4743" s="1394"/>
    </row>
    <row r="4744" spans="1:24" ht="30" customHeight="1">
      <c r="B4744" s="1407"/>
      <c r="C4744" s="1408" t="str">
        <f t="shared" si="1221"/>
        <v>V</v>
      </c>
      <c r="D4744" s="1409">
        <f t="shared" si="1221"/>
        <v>1</v>
      </c>
      <c r="E4744" s="1409">
        <f t="shared" si="1221"/>
        <v>2</v>
      </c>
      <c r="F4744" s="1410">
        <f t="shared" si="1222"/>
        <v>3.12</v>
      </c>
      <c r="G4744" s="1410"/>
      <c r="H4744" s="1473">
        <f t="shared" si="1223"/>
        <v>6.25E-2</v>
      </c>
      <c r="I4744" s="1406">
        <f t="shared" si="1228"/>
        <v>0.39</v>
      </c>
      <c r="J4744" s="1410">
        <f t="shared" si="1225"/>
        <v>1.92</v>
      </c>
      <c r="K4744" s="1411">
        <f t="shared" si="1226"/>
        <v>0.6</v>
      </c>
      <c r="L4744" s="1473">
        <f t="shared" si="1227"/>
        <v>6.25E-2</v>
      </c>
      <c r="Q4744" s="1394">
        <f>IFERROR(VLOOKUP(L4744,#REF!,3,0),0)</f>
        <v>0</v>
      </c>
      <c r="R4744" s="1394">
        <f t="shared" si="1211"/>
        <v>0</v>
      </c>
      <c r="S4744" s="1394">
        <f>IFERROR(VLOOKUP(M4744,#REF!,6,0),0)</f>
        <v>0</v>
      </c>
      <c r="T4744" s="1394">
        <f t="shared" si="1229"/>
        <v>0</v>
      </c>
      <c r="U4744" s="1394">
        <f>IFERROR(VLOOKUP(L4744,#REF!,5,0),0)</f>
        <v>0</v>
      </c>
      <c r="V4744" s="1394">
        <f t="shared" si="1230"/>
        <v>0</v>
      </c>
      <c r="W4744" s="1394"/>
    </row>
    <row r="4745" spans="1:24" ht="30" customHeight="1">
      <c r="B4745" s="1407"/>
      <c r="C4745" s="1408" t="str">
        <f t="shared" si="1221"/>
        <v>V1</v>
      </c>
      <c r="D4745" s="1409">
        <f t="shared" si="1221"/>
        <v>1</v>
      </c>
      <c r="E4745" s="1409">
        <f t="shared" si="1221"/>
        <v>2</v>
      </c>
      <c r="F4745" s="1410">
        <f t="shared" si="1222"/>
        <v>2.72</v>
      </c>
      <c r="G4745" s="1410"/>
      <c r="H4745" s="1473">
        <f t="shared" si="1223"/>
        <v>6.25E-2</v>
      </c>
      <c r="I4745" s="1406">
        <f t="shared" si="1228"/>
        <v>0.34</v>
      </c>
      <c r="J4745" s="1410">
        <f t="shared" si="1225"/>
        <v>1.52</v>
      </c>
      <c r="K4745" s="1411">
        <f t="shared" si="1226"/>
        <v>0.6</v>
      </c>
      <c r="L4745" s="1473">
        <f t="shared" si="1227"/>
        <v>6.25E-2</v>
      </c>
      <c r="Q4745" s="1394">
        <f>IFERROR(VLOOKUP(L4745,#REF!,3,0),0)</f>
        <v>0</v>
      </c>
      <c r="R4745" s="1394">
        <f t="shared" si="1211"/>
        <v>0</v>
      </c>
      <c r="S4745" s="1394">
        <f>IFERROR(VLOOKUP(M4745,#REF!,6,0),0)</f>
        <v>0</v>
      </c>
      <c r="T4745" s="1394">
        <f t="shared" si="1229"/>
        <v>0</v>
      </c>
      <c r="U4745" s="1394">
        <f>IFERROR(VLOOKUP(L4745,#REF!,5,0),0)</f>
        <v>0</v>
      </c>
      <c r="V4745" s="1394">
        <f t="shared" si="1230"/>
        <v>0</v>
      </c>
      <c r="W4745" s="1394"/>
    </row>
    <row r="4746" spans="1:24" ht="30" customHeight="1">
      <c r="B4746" s="1407"/>
      <c r="C4746" s="1408" t="str">
        <f t="shared" si="1221"/>
        <v>V3</v>
      </c>
      <c r="D4746" s="1409">
        <f t="shared" si="1221"/>
        <v>1</v>
      </c>
      <c r="E4746" s="1409">
        <f t="shared" si="1221"/>
        <v>4</v>
      </c>
      <c r="F4746" s="1410">
        <f t="shared" si="1222"/>
        <v>3.02</v>
      </c>
      <c r="G4746" s="1410"/>
      <c r="H4746" s="1473">
        <f t="shared" si="1223"/>
        <v>6.25E-2</v>
      </c>
      <c r="I4746" s="1406">
        <f t="shared" si="1228"/>
        <v>0.755</v>
      </c>
      <c r="J4746" s="1410">
        <f t="shared" si="1225"/>
        <v>1.82</v>
      </c>
      <c r="K4746" s="1411">
        <f t="shared" si="1226"/>
        <v>0.6</v>
      </c>
      <c r="L4746" s="1473">
        <f t="shared" si="1227"/>
        <v>6.25E-2</v>
      </c>
      <c r="Q4746" s="1394">
        <f>IFERROR(VLOOKUP(L4746,#REF!,3,0),0)</f>
        <v>0</v>
      </c>
      <c r="R4746" s="1394">
        <f t="shared" si="1211"/>
        <v>0</v>
      </c>
      <c r="S4746" s="1394">
        <f>IFERROR(VLOOKUP(M4746,#REF!,6,0),0)</f>
        <v>0</v>
      </c>
      <c r="T4746" s="1394">
        <f t="shared" si="1229"/>
        <v>0</v>
      </c>
      <c r="U4746" s="1394">
        <f>IFERROR(VLOOKUP(L4746,#REF!,5,0),0)</f>
        <v>0</v>
      </c>
      <c r="V4746" s="1394">
        <f t="shared" si="1230"/>
        <v>0</v>
      </c>
      <c r="W4746" s="1394"/>
    </row>
    <row r="4747" spans="1:24" ht="30" customHeight="1">
      <c r="B4747" s="1407"/>
      <c r="C4747" s="1408"/>
      <c r="D4747" s="1409"/>
      <c r="E4747" s="1409"/>
      <c r="F4747" s="1410"/>
      <c r="G4747" s="1410"/>
      <c r="H4747" s="1473"/>
      <c r="I4747" s="1406"/>
      <c r="J4747" s="1410"/>
      <c r="K4747" s="1411"/>
      <c r="L4747" s="1473"/>
      <c r="Q4747" s="1394">
        <f>IFERROR(VLOOKUP(L4747,#REF!,3,0),0)</f>
        <v>0</v>
      </c>
      <c r="R4747" s="1394">
        <f t="shared" si="1211"/>
        <v>0</v>
      </c>
      <c r="S4747" s="1394">
        <f>IFERROR(VLOOKUP(M4747,#REF!,6,0),0)</f>
        <v>0</v>
      </c>
      <c r="T4747" s="1394">
        <f t="shared" si="1229"/>
        <v>0</v>
      </c>
      <c r="U4747" s="1394">
        <f>IFERROR(VLOOKUP(L4747,#REF!,5,0),0)</f>
        <v>0</v>
      </c>
      <c r="V4747" s="1394">
        <f t="shared" si="1230"/>
        <v>0</v>
      </c>
      <c r="W4747" s="1394"/>
    </row>
    <row r="4748" spans="1:24" ht="30" customHeight="1">
      <c r="B4748" s="1407"/>
      <c r="C4748" s="1408" t="e">
        <f t="shared" ref="C4748:C4753" si="1231">C1054</f>
        <v>#REF!</v>
      </c>
      <c r="D4748" s="1409"/>
      <c r="E4748" s="1409"/>
      <c r="F4748" s="1410"/>
      <c r="G4748" s="1410"/>
      <c r="H4748" s="1411"/>
      <c r="I4748" s="1406">
        <f t="shared" si="1193"/>
        <v>0</v>
      </c>
      <c r="J4748" s="1410"/>
      <c r="K4748" s="1411"/>
      <c r="L4748" s="1473"/>
      <c r="Q4748" s="1394">
        <f>IFERROR(VLOOKUP(L4748,#REF!,3,0),0)</f>
        <v>0</v>
      </c>
      <c r="R4748" s="1394">
        <f t="shared" si="1211"/>
        <v>0</v>
      </c>
      <c r="S4748" s="1394">
        <f>IFERROR(VLOOKUP(M4748,#REF!,6,0),0)</f>
        <v>0</v>
      </c>
      <c r="T4748" s="1394">
        <f t="shared" si="1229"/>
        <v>0</v>
      </c>
      <c r="U4748" s="1394">
        <f>IFERROR(VLOOKUP(L4748,#REF!,5,0),0)</f>
        <v>0</v>
      </c>
      <c r="V4748" s="1394">
        <f t="shared" si="1230"/>
        <v>0</v>
      </c>
      <c r="W4748" s="1394"/>
    </row>
    <row r="4749" spans="1:24" ht="30" customHeight="1">
      <c r="A4749" s="1481"/>
      <c r="B4749" s="1407"/>
      <c r="C4749" s="1412" t="str">
        <f t="shared" si="1231"/>
        <v>Column raising up to Roof in TF</v>
      </c>
      <c r="D4749" s="1412"/>
      <c r="E4749" s="1412"/>
      <c r="F4749" s="1410"/>
      <c r="G4749" s="1410"/>
      <c r="H4749" s="1411"/>
      <c r="I4749" s="1406">
        <f t="shared" si="1193"/>
        <v>0</v>
      </c>
      <c r="J4749" s="1412"/>
      <c r="K4749" s="1412"/>
      <c r="L4749" s="1412"/>
      <c r="Q4749" s="1394">
        <f>IFERROR(VLOOKUP(L4749,#REF!,3,0),0)</f>
        <v>0</v>
      </c>
      <c r="R4749" s="1394">
        <f t="shared" si="1211"/>
        <v>0</v>
      </c>
      <c r="S4749" s="1394">
        <f>IFERROR(VLOOKUP(M4749,#REF!,6,0),0)</f>
        <v>0</v>
      </c>
      <c r="T4749" s="1394">
        <f t="shared" si="1229"/>
        <v>0</v>
      </c>
      <c r="U4749" s="1394">
        <f>IFERROR(VLOOKUP(L4749,#REF!,5,0),0)</f>
        <v>0</v>
      </c>
      <c r="V4749" s="1394">
        <f t="shared" si="1230"/>
        <v>0</v>
      </c>
      <c r="W4749" s="1394"/>
      <c r="X4749" s="1397"/>
    </row>
    <row r="4750" spans="1:24" ht="30" customHeight="1">
      <c r="B4750" s="1407"/>
      <c r="C4750" s="1415">
        <f t="shared" si="1231"/>
        <v>0</v>
      </c>
      <c r="D4750" s="1409">
        <f t="shared" ref="D4750:E4753" si="1232">D1056</f>
        <v>0</v>
      </c>
      <c r="E4750" s="1409">
        <f t="shared" si="1232"/>
        <v>0</v>
      </c>
      <c r="F4750" s="1410"/>
      <c r="G4750" s="1410"/>
      <c r="H4750" s="1411"/>
      <c r="I4750" s="1406">
        <f t="shared" si="1193"/>
        <v>0</v>
      </c>
      <c r="J4750" s="1410">
        <f t="shared" ref="J4750:L4753" si="1233">F1056</f>
        <v>0</v>
      </c>
      <c r="K4750" s="1409">
        <f t="shared" si="1233"/>
        <v>0</v>
      </c>
      <c r="L4750" s="1411">
        <f t="shared" si="1233"/>
        <v>0</v>
      </c>
      <c r="Q4750" s="1394">
        <f>IFERROR(VLOOKUP(L4750,#REF!,3,0),0)</f>
        <v>0</v>
      </c>
      <c r="R4750" s="1394">
        <f t="shared" si="1211"/>
        <v>0</v>
      </c>
      <c r="S4750" s="1394">
        <f>IFERROR(VLOOKUP(M4750,#REF!,6,0),0)</f>
        <v>0</v>
      </c>
      <c r="T4750" s="1394">
        <f t="shared" si="1229"/>
        <v>0</v>
      </c>
      <c r="U4750" s="1394">
        <f>IFERROR(VLOOKUP(L4750,#REF!,5,0),0)</f>
        <v>0</v>
      </c>
      <c r="V4750" s="1394">
        <f t="shared" si="1230"/>
        <v>0</v>
      </c>
      <c r="W4750" s="1394"/>
    </row>
    <row r="4751" spans="1:24" ht="30" customHeight="1">
      <c r="B4751" s="1405"/>
      <c r="C4751" s="1408" t="str">
        <f t="shared" si="1231"/>
        <v>For C2</v>
      </c>
      <c r="D4751" s="1409">
        <f t="shared" si="1232"/>
        <v>11</v>
      </c>
      <c r="E4751" s="1409">
        <f t="shared" si="1232"/>
        <v>1</v>
      </c>
      <c r="F4751" s="1410">
        <f>2*(J4751+K4751)</f>
        <v>1.22</v>
      </c>
      <c r="G4751" s="1410"/>
      <c r="H4751" s="1411">
        <f>L4751</f>
        <v>2.92</v>
      </c>
      <c r="I4751" s="1406">
        <f t="shared" si="1193"/>
        <v>39.186399999999999</v>
      </c>
      <c r="J4751" s="1410">
        <f t="shared" si="1233"/>
        <v>0.23</v>
      </c>
      <c r="K4751" s="1411">
        <f t="shared" si="1233"/>
        <v>0.38</v>
      </c>
      <c r="L4751" s="1411">
        <f t="shared" si="1233"/>
        <v>2.92</v>
      </c>
      <c r="Q4751" s="1394">
        <f>IFERROR(VLOOKUP(L4751,#REF!,3,0),0)</f>
        <v>0</v>
      </c>
      <c r="R4751" s="1394">
        <f t="shared" si="1211"/>
        <v>0</v>
      </c>
      <c r="S4751" s="1394">
        <f>IFERROR(VLOOKUP(M4751,#REF!,6,0),0)</f>
        <v>0</v>
      </c>
      <c r="T4751" s="1394">
        <f t="shared" si="1229"/>
        <v>0</v>
      </c>
      <c r="U4751" s="1394">
        <f>IFERROR(VLOOKUP(L4751,#REF!,5,0),0)</f>
        <v>0</v>
      </c>
      <c r="V4751" s="1394">
        <f t="shared" si="1230"/>
        <v>0</v>
      </c>
      <c r="W4751" s="1394"/>
    </row>
    <row r="4752" spans="1:24" ht="30" customHeight="1">
      <c r="B4752" s="1405"/>
      <c r="C4752" s="1408" t="str">
        <f t="shared" si="1231"/>
        <v>For C3</v>
      </c>
      <c r="D4752" s="1409">
        <f t="shared" si="1232"/>
        <v>10</v>
      </c>
      <c r="E4752" s="1409">
        <f t="shared" si="1232"/>
        <v>1</v>
      </c>
      <c r="F4752" s="1410">
        <f>2*(J4752+K4752)</f>
        <v>1.36</v>
      </c>
      <c r="G4752" s="1410"/>
      <c r="H4752" s="1411">
        <f>L4752</f>
        <v>2.92</v>
      </c>
      <c r="I4752" s="1406">
        <f t="shared" si="1193"/>
        <v>39.712000000000003</v>
      </c>
      <c r="J4752" s="1410">
        <f t="shared" si="1233"/>
        <v>0.23</v>
      </c>
      <c r="K4752" s="1411">
        <f t="shared" si="1233"/>
        <v>0.45</v>
      </c>
      <c r="L4752" s="1411">
        <f t="shared" si="1233"/>
        <v>2.92</v>
      </c>
      <c r="Q4752" s="1394">
        <f>IFERROR(VLOOKUP(L4752,#REF!,3,0),0)</f>
        <v>0</v>
      </c>
      <c r="R4752" s="1394">
        <f t="shared" si="1211"/>
        <v>0</v>
      </c>
      <c r="S4752" s="1394">
        <f>IFERROR(VLOOKUP(M4752,#REF!,6,0),0)</f>
        <v>0</v>
      </c>
      <c r="T4752" s="1394">
        <f t="shared" si="1229"/>
        <v>0</v>
      </c>
      <c r="U4752" s="1394">
        <f>IFERROR(VLOOKUP(L4752,#REF!,5,0),0)</f>
        <v>0</v>
      </c>
      <c r="V4752" s="1394">
        <f t="shared" si="1230"/>
        <v>0</v>
      </c>
      <c r="W4752" s="1394"/>
    </row>
    <row r="4753" spans="2:23" ht="30" customHeight="1">
      <c r="B4753" s="1405"/>
      <c r="C4753" s="1408" t="str">
        <f t="shared" si="1231"/>
        <v>For C4</v>
      </c>
      <c r="D4753" s="1409">
        <f t="shared" si="1232"/>
        <v>7</v>
      </c>
      <c r="E4753" s="1409">
        <f t="shared" si="1232"/>
        <v>1</v>
      </c>
      <c r="F4753" s="1410">
        <f>2*(J4753+K4753)</f>
        <v>1.5</v>
      </c>
      <c r="G4753" s="1410"/>
      <c r="H4753" s="1411">
        <f>L4753</f>
        <v>2.92</v>
      </c>
      <c r="I4753" s="1406">
        <f t="shared" si="1193"/>
        <v>30.66</v>
      </c>
      <c r="J4753" s="1410">
        <f t="shared" si="1233"/>
        <v>0.3</v>
      </c>
      <c r="K4753" s="1411">
        <f t="shared" si="1233"/>
        <v>0.45</v>
      </c>
      <c r="L4753" s="1411">
        <f t="shared" si="1233"/>
        <v>2.92</v>
      </c>
      <c r="Q4753" s="1394">
        <f>IFERROR(VLOOKUP(L4753,#REF!,3,0),0)</f>
        <v>0</v>
      </c>
      <c r="R4753" s="1394">
        <f t="shared" si="1211"/>
        <v>0</v>
      </c>
      <c r="S4753" s="1394">
        <f>IFERROR(VLOOKUP(M4753,#REF!,6,0),0)</f>
        <v>0</v>
      </c>
      <c r="T4753" s="1394">
        <f t="shared" si="1229"/>
        <v>0</v>
      </c>
      <c r="U4753" s="1394">
        <f>IFERROR(VLOOKUP(L4753,#REF!,5,0),0)</f>
        <v>0</v>
      </c>
      <c r="V4753" s="1394">
        <f t="shared" si="1230"/>
        <v>0</v>
      </c>
      <c r="W4753" s="1394"/>
    </row>
    <row r="4754" spans="2:23" ht="30" customHeight="1">
      <c r="B4754" s="1407"/>
      <c r="C4754" s="1408" t="s">
        <v>5924</v>
      </c>
      <c r="D4754" s="1409">
        <f t="shared" ref="D4754:E4767" si="1234">D1127</f>
        <v>0</v>
      </c>
      <c r="E4754" s="1409">
        <f t="shared" si="1234"/>
        <v>0</v>
      </c>
      <c r="F4754" s="1410"/>
      <c r="G4754" s="1410"/>
      <c r="H4754" s="1411"/>
      <c r="I4754" s="1406">
        <f t="shared" si="1193"/>
        <v>0</v>
      </c>
      <c r="J4754" s="1410">
        <f t="shared" ref="J4754:L4755" si="1235">F1127</f>
        <v>0</v>
      </c>
      <c r="K4754" s="1409">
        <f t="shared" si="1235"/>
        <v>0</v>
      </c>
      <c r="L4754" s="1411">
        <f t="shared" si="1235"/>
        <v>0</v>
      </c>
      <c r="Q4754" s="1394">
        <f>IFERROR(VLOOKUP(L4754,#REF!,3,0),0)</f>
        <v>0</v>
      </c>
      <c r="R4754" s="1394">
        <f t="shared" si="1211"/>
        <v>0</v>
      </c>
      <c r="S4754" s="1394">
        <f>IFERROR(VLOOKUP(M4754,#REF!,6,0),0)</f>
        <v>0</v>
      </c>
      <c r="T4754" s="1394">
        <f t="shared" si="1229"/>
        <v>0</v>
      </c>
      <c r="U4754" s="1394">
        <f>IFERROR(VLOOKUP(L4754,#REF!,5,0),0)</f>
        <v>0</v>
      </c>
      <c r="V4754" s="1394">
        <f t="shared" si="1230"/>
        <v>0</v>
      </c>
      <c r="W4754" s="1394"/>
    </row>
    <row r="4755" spans="2:23" ht="30" customHeight="1">
      <c r="B4755" s="1407"/>
      <c r="C4755" s="1415">
        <f t="shared" ref="C4755:C4767" si="1236">C1128</f>
        <v>0</v>
      </c>
      <c r="D4755" s="1409">
        <f t="shared" si="1234"/>
        <v>0</v>
      </c>
      <c r="E4755" s="1409">
        <f t="shared" si="1234"/>
        <v>0</v>
      </c>
      <c r="F4755" s="1410"/>
      <c r="G4755" s="1410"/>
      <c r="H4755" s="1411"/>
      <c r="I4755" s="1406">
        <f t="shared" si="1193"/>
        <v>0</v>
      </c>
      <c r="J4755" s="1410">
        <f t="shared" si="1235"/>
        <v>0</v>
      </c>
      <c r="K4755" s="1409">
        <f t="shared" si="1235"/>
        <v>0</v>
      </c>
      <c r="L4755" s="1409">
        <f t="shared" si="1235"/>
        <v>0</v>
      </c>
      <c r="Q4755" s="1394">
        <f>IFERROR(VLOOKUP(L4755,#REF!,3,0),0)</f>
        <v>0</v>
      </c>
      <c r="R4755" s="1394">
        <f t="shared" si="1211"/>
        <v>0</v>
      </c>
      <c r="S4755" s="1394">
        <f>IFERROR(VLOOKUP(M4755,#REF!,6,0),0)</f>
        <v>0</v>
      </c>
      <c r="T4755" s="1394">
        <f t="shared" si="1229"/>
        <v>0</v>
      </c>
      <c r="U4755" s="1394">
        <f>IFERROR(VLOOKUP(L4755,#REF!,5,0),0)</f>
        <v>0</v>
      </c>
      <c r="V4755" s="1394">
        <f t="shared" si="1230"/>
        <v>0</v>
      </c>
      <c r="W4755" s="1394"/>
    </row>
    <row r="4756" spans="2:23" ht="30" customHeight="1">
      <c r="B4756" s="1407"/>
      <c r="C4756" s="1415" t="str">
        <f t="shared" si="1236"/>
        <v>FW</v>
      </c>
      <c r="D4756" s="1409">
        <f t="shared" si="1234"/>
        <v>1</v>
      </c>
      <c r="E4756" s="1409">
        <f t="shared" si="1234"/>
        <v>2</v>
      </c>
      <c r="F4756" s="1410">
        <f t="shared" ref="F4756:F4766" si="1237">J4756</f>
        <v>1.7329999999999999</v>
      </c>
      <c r="G4756" s="1410">
        <f t="shared" ref="G4756:G4766" si="1238">K4756</f>
        <v>0.6</v>
      </c>
      <c r="H4756" s="1411"/>
      <c r="I4756" s="1406">
        <f t="shared" si="1193"/>
        <v>2.0795999999999997</v>
      </c>
      <c r="J4756" s="1410">
        <f t="shared" ref="J4756:J4766" si="1239">F1129+0.46</f>
        <v>1.7329999999999999</v>
      </c>
      <c r="K4756" s="1409">
        <f t="shared" ref="K4756:K4767" si="1240">G1129</f>
        <v>0.6</v>
      </c>
      <c r="L4756" s="1409">
        <f t="shared" ref="L4756:L4767" si="1241">H1129</f>
        <v>6.25E-2</v>
      </c>
      <c r="Q4756" s="1394">
        <f>IFERROR(VLOOKUP(L4756,#REF!,3,0),0)</f>
        <v>0</v>
      </c>
      <c r="R4756" s="1394">
        <f t="shared" si="1211"/>
        <v>0</v>
      </c>
      <c r="S4756" s="1394">
        <f>IFERROR(VLOOKUP(M4756,#REF!,6,0),0)</f>
        <v>0</v>
      </c>
      <c r="T4756" s="1394">
        <f t="shared" si="1229"/>
        <v>0</v>
      </c>
      <c r="U4756" s="1394">
        <f>IFERROR(VLOOKUP(L4756,#REF!,5,0),0)</f>
        <v>0</v>
      </c>
      <c r="V4756" s="1394">
        <f t="shared" si="1230"/>
        <v>0</v>
      </c>
      <c r="W4756" s="1394"/>
    </row>
    <row r="4757" spans="2:23" ht="30" customHeight="1">
      <c r="B4757" s="1407"/>
      <c r="C4757" s="1408" t="str">
        <f t="shared" si="1236"/>
        <v>FW-3</v>
      </c>
      <c r="D4757" s="1409">
        <f t="shared" si="1234"/>
        <v>1</v>
      </c>
      <c r="E4757" s="1409">
        <f t="shared" si="1234"/>
        <v>1</v>
      </c>
      <c r="F4757" s="1410">
        <f t="shared" si="1237"/>
        <v>2.92</v>
      </c>
      <c r="G4757" s="1410">
        <f t="shared" si="1238"/>
        <v>0.6</v>
      </c>
      <c r="H4757" s="1411"/>
      <c r="I4757" s="1406">
        <f t="shared" ref="I4757:I4766" si="1242">PRODUCT(D4757:H4757)</f>
        <v>1.752</v>
      </c>
      <c r="J4757" s="1410">
        <f t="shared" si="1239"/>
        <v>2.92</v>
      </c>
      <c r="K4757" s="1409">
        <f t="shared" si="1240"/>
        <v>0.6</v>
      </c>
      <c r="L4757" s="1473">
        <f t="shared" si="1241"/>
        <v>6.25E-2</v>
      </c>
      <c r="Q4757" s="1394">
        <f>IFERROR(VLOOKUP(L4757,#REF!,3,0),0)</f>
        <v>0</v>
      </c>
      <c r="R4757" s="1394">
        <f t="shared" si="1211"/>
        <v>0</v>
      </c>
      <c r="S4757" s="1394">
        <f>IFERROR(VLOOKUP(M4757,#REF!,6,0),0)</f>
        <v>0</v>
      </c>
      <c r="T4757" s="1394">
        <f t="shared" si="1229"/>
        <v>0</v>
      </c>
      <c r="U4757" s="1394">
        <f>IFERROR(VLOOKUP(L4757,#REF!,5,0),0)</f>
        <v>0</v>
      </c>
      <c r="V4757" s="1394">
        <f t="shared" si="1230"/>
        <v>0</v>
      </c>
      <c r="W4757" s="1394"/>
    </row>
    <row r="4758" spans="2:23" ht="30" customHeight="1">
      <c r="B4758" s="1407"/>
      <c r="C4758" s="1408" t="str">
        <f t="shared" si="1236"/>
        <v>FW-4</v>
      </c>
      <c r="D4758" s="1409">
        <f t="shared" si="1234"/>
        <v>1</v>
      </c>
      <c r="E4758" s="1409">
        <f t="shared" si="1234"/>
        <v>2</v>
      </c>
      <c r="F4758" s="1410">
        <f t="shared" si="1237"/>
        <v>2.12</v>
      </c>
      <c r="G4758" s="1410">
        <f t="shared" si="1238"/>
        <v>0.6</v>
      </c>
      <c r="H4758" s="1411"/>
      <c r="I4758" s="1406">
        <f t="shared" si="1242"/>
        <v>2.544</v>
      </c>
      <c r="J4758" s="1410">
        <f t="shared" si="1239"/>
        <v>2.12</v>
      </c>
      <c r="K4758" s="1409">
        <f t="shared" si="1240"/>
        <v>0.6</v>
      </c>
      <c r="L4758" s="1473">
        <f t="shared" si="1241"/>
        <v>6.25E-2</v>
      </c>
      <c r="Q4758" s="1394">
        <f>IFERROR(VLOOKUP(L4758,#REF!,3,0),0)</f>
        <v>0</v>
      </c>
      <c r="R4758" s="1394">
        <f t="shared" si="1211"/>
        <v>0</v>
      </c>
      <c r="S4758" s="1394">
        <f>IFERROR(VLOOKUP(M4758,#REF!,6,0),0)</f>
        <v>0</v>
      </c>
      <c r="T4758" s="1394">
        <f t="shared" si="1229"/>
        <v>0</v>
      </c>
      <c r="U4758" s="1394">
        <f>IFERROR(VLOOKUP(L4758,#REF!,5,0),0)</f>
        <v>0</v>
      </c>
      <c r="V4758" s="1394">
        <f t="shared" si="1230"/>
        <v>0</v>
      </c>
      <c r="W4758" s="1394"/>
    </row>
    <row r="4759" spans="2:23" ht="30" customHeight="1">
      <c r="B4759" s="1407"/>
      <c r="C4759" s="1408" t="str">
        <f t="shared" si="1236"/>
        <v>SW</v>
      </c>
      <c r="D4759" s="1409">
        <f t="shared" si="1234"/>
        <v>1</v>
      </c>
      <c r="E4759" s="1409">
        <f t="shared" si="1234"/>
        <v>1</v>
      </c>
      <c r="F4759" s="1410">
        <f t="shared" si="1237"/>
        <v>2.72</v>
      </c>
      <c r="G4759" s="1410">
        <f t="shared" si="1238"/>
        <v>0.6</v>
      </c>
      <c r="H4759" s="1411"/>
      <c r="I4759" s="1406">
        <f t="shared" si="1242"/>
        <v>1.6320000000000001</v>
      </c>
      <c r="J4759" s="1410">
        <f t="shared" si="1239"/>
        <v>2.72</v>
      </c>
      <c r="K4759" s="1409">
        <f t="shared" si="1240"/>
        <v>0.6</v>
      </c>
      <c r="L4759" s="1473">
        <f t="shared" si="1241"/>
        <v>6.25E-2</v>
      </c>
      <c r="Q4759" s="1394">
        <f>IFERROR(VLOOKUP(L4759,#REF!,3,0),0)</f>
        <v>0</v>
      </c>
      <c r="R4759" s="1394">
        <f t="shared" si="1211"/>
        <v>0</v>
      </c>
      <c r="S4759" s="1394">
        <f>IFERROR(VLOOKUP(M4759,#REF!,6,0),0)</f>
        <v>0</v>
      </c>
      <c r="T4759" s="1394">
        <f t="shared" si="1229"/>
        <v>0</v>
      </c>
      <c r="U4759" s="1394">
        <f>IFERROR(VLOOKUP(L4759,#REF!,5,0),0)</f>
        <v>0</v>
      </c>
      <c r="V4759" s="1394">
        <f t="shared" si="1230"/>
        <v>0</v>
      </c>
      <c r="W4759" s="1394"/>
    </row>
    <row r="4760" spans="2:23" ht="30" customHeight="1">
      <c r="B4760" s="1407"/>
      <c r="C4760" s="1408" t="str">
        <f t="shared" si="1236"/>
        <v>W</v>
      </c>
      <c r="D4760" s="1409">
        <f t="shared" si="1234"/>
        <v>1</v>
      </c>
      <c r="E4760" s="1409">
        <f t="shared" si="1234"/>
        <v>1</v>
      </c>
      <c r="F4760" s="1410">
        <f t="shared" si="1237"/>
        <v>2.72</v>
      </c>
      <c r="G4760" s="1410">
        <f t="shared" si="1238"/>
        <v>0.6</v>
      </c>
      <c r="H4760" s="1411"/>
      <c r="I4760" s="1406">
        <f t="shared" si="1242"/>
        <v>1.6320000000000001</v>
      </c>
      <c r="J4760" s="1410">
        <f t="shared" si="1239"/>
        <v>2.72</v>
      </c>
      <c r="K4760" s="1409">
        <f t="shared" si="1240"/>
        <v>0.6</v>
      </c>
      <c r="L4760" s="1473">
        <f t="shared" si="1241"/>
        <v>6.25E-2</v>
      </c>
      <c r="Q4760" s="1394">
        <f>IFERROR(VLOOKUP(L4760,#REF!,3,0),0)</f>
        <v>0</v>
      </c>
      <c r="R4760" s="1394">
        <f t="shared" si="1211"/>
        <v>0</v>
      </c>
      <c r="S4760" s="1394">
        <f>IFERROR(VLOOKUP(M4760,#REF!,6,0),0)</f>
        <v>0</v>
      </c>
      <c r="T4760" s="1394">
        <f t="shared" si="1229"/>
        <v>0</v>
      </c>
      <c r="U4760" s="1394">
        <f>IFERROR(VLOOKUP(L4760,#REF!,5,0),0)</f>
        <v>0</v>
      </c>
      <c r="V4760" s="1394">
        <f t="shared" si="1230"/>
        <v>0</v>
      </c>
      <c r="W4760" s="1394"/>
    </row>
    <row r="4761" spans="2:23" ht="30" customHeight="1">
      <c r="B4761" s="1407"/>
      <c r="C4761" s="1408" t="str">
        <f t="shared" si="1236"/>
        <v>W2</v>
      </c>
      <c r="D4761" s="1409">
        <f t="shared" si="1234"/>
        <v>1</v>
      </c>
      <c r="E4761" s="1409">
        <f t="shared" si="1234"/>
        <v>13</v>
      </c>
      <c r="F4761" s="1410">
        <f t="shared" si="1237"/>
        <v>2.12</v>
      </c>
      <c r="G4761" s="1410">
        <f t="shared" si="1238"/>
        <v>0.6</v>
      </c>
      <c r="H4761" s="1411"/>
      <c r="I4761" s="1406">
        <f t="shared" si="1242"/>
        <v>16.536000000000001</v>
      </c>
      <c r="J4761" s="1410">
        <f t="shared" si="1239"/>
        <v>2.12</v>
      </c>
      <c r="K4761" s="1409">
        <f t="shared" si="1240"/>
        <v>0.6</v>
      </c>
      <c r="L4761" s="1473">
        <f t="shared" si="1241"/>
        <v>6.25E-2</v>
      </c>
      <c r="Q4761" s="1394">
        <f>IFERROR(VLOOKUP(L4761,#REF!,3,0),0)</f>
        <v>0</v>
      </c>
      <c r="R4761" s="1394">
        <f t="shared" si="1211"/>
        <v>0</v>
      </c>
      <c r="S4761" s="1394">
        <f>IFERROR(VLOOKUP(M4761,#REF!,6,0),0)</f>
        <v>0</v>
      </c>
      <c r="T4761" s="1394">
        <f t="shared" si="1229"/>
        <v>0</v>
      </c>
      <c r="U4761" s="1394">
        <f>IFERROR(VLOOKUP(L4761,#REF!,5,0),0)</f>
        <v>0</v>
      </c>
      <c r="V4761" s="1394">
        <f t="shared" si="1230"/>
        <v>0</v>
      </c>
      <c r="W4761" s="1394"/>
    </row>
    <row r="4762" spans="2:23" ht="30" customHeight="1">
      <c r="B4762" s="1407"/>
      <c r="C4762" s="1408" t="str">
        <f t="shared" si="1236"/>
        <v>W3</v>
      </c>
      <c r="D4762" s="1409">
        <f t="shared" si="1234"/>
        <v>1</v>
      </c>
      <c r="E4762" s="1409">
        <f t="shared" si="1234"/>
        <v>5</v>
      </c>
      <c r="F4762" s="1410">
        <f t="shared" si="1237"/>
        <v>1.92</v>
      </c>
      <c r="G4762" s="1410">
        <f t="shared" si="1238"/>
        <v>0.6</v>
      </c>
      <c r="H4762" s="1411"/>
      <c r="I4762" s="1406">
        <f t="shared" si="1242"/>
        <v>5.76</v>
      </c>
      <c r="J4762" s="1410">
        <f t="shared" si="1239"/>
        <v>1.92</v>
      </c>
      <c r="K4762" s="1409">
        <f t="shared" si="1240"/>
        <v>0.6</v>
      </c>
      <c r="L4762" s="1473">
        <f t="shared" si="1241"/>
        <v>6.25E-2</v>
      </c>
      <c r="Q4762" s="1394">
        <f>IFERROR(VLOOKUP(L4762,#REF!,3,0),0)</f>
        <v>0</v>
      </c>
      <c r="R4762" s="1394">
        <f t="shared" si="1211"/>
        <v>0</v>
      </c>
      <c r="S4762" s="1394">
        <f>IFERROR(VLOOKUP(M4762,#REF!,6,0),0)</f>
        <v>0</v>
      </c>
      <c r="T4762" s="1394">
        <f t="shared" si="1229"/>
        <v>0</v>
      </c>
      <c r="U4762" s="1394">
        <f>IFERROR(VLOOKUP(L4762,#REF!,5,0),0)</f>
        <v>0</v>
      </c>
      <c r="V4762" s="1394">
        <f t="shared" si="1230"/>
        <v>0</v>
      </c>
      <c r="W4762" s="1394"/>
    </row>
    <row r="4763" spans="2:23" ht="30" customHeight="1">
      <c r="B4763" s="1407"/>
      <c r="C4763" s="1408" t="str">
        <f t="shared" si="1236"/>
        <v>SLW</v>
      </c>
      <c r="D4763" s="1409">
        <f t="shared" si="1234"/>
        <v>1</v>
      </c>
      <c r="E4763" s="1409">
        <f t="shared" si="1234"/>
        <v>2</v>
      </c>
      <c r="F4763" s="1410">
        <f t="shared" si="1237"/>
        <v>3.02</v>
      </c>
      <c r="G4763" s="1410">
        <f t="shared" si="1238"/>
        <v>0.6</v>
      </c>
      <c r="H4763" s="1411"/>
      <c r="I4763" s="1406">
        <f t="shared" si="1242"/>
        <v>3.6239999999999997</v>
      </c>
      <c r="J4763" s="1410">
        <f t="shared" si="1239"/>
        <v>3.02</v>
      </c>
      <c r="K4763" s="1409">
        <f t="shared" si="1240"/>
        <v>0.6</v>
      </c>
      <c r="L4763" s="1473">
        <f t="shared" si="1241"/>
        <v>6.25E-2</v>
      </c>
      <c r="Q4763" s="1394">
        <f>IFERROR(VLOOKUP(L4763,#REF!,3,0),0)</f>
        <v>0</v>
      </c>
      <c r="R4763" s="1394">
        <f t="shared" si="1211"/>
        <v>0</v>
      </c>
      <c r="S4763" s="1394">
        <f>IFERROR(VLOOKUP(M4763,#REF!,6,0),0)</f>
        <v>0</v>
      </c>
      <c r="T4763" s="1394">
        <f t="shared" si="1229"/>
        <v>0</v>
      </c>
      <c r="U4763" s="1394">
        <f>IFERROR(VLOOKUP(L4763,#REF!,5,0),0)</f>
        <v>0</v>
      </c>
      <c r="V4763" s="1394">
        <f t="shared" si="1230"/>
        <v>0</v>
      </c>
      <c r="W4763" s="1394"/>
    </row>
    <row r="4764" spans="2:23" ht="30" customHeight="1">
      <c r="B4764" s="1407"/>
      <c r="C4764" s="1408" t="str">
        <f t="shared" si="1236"/>
        <v>RV</v>
      </c>
      <c r="D4764" s="1409">
        <f t="shared" si="1234"/>
        <v>1</v>
      </c>
      <c r="E4764" s="1409">
        <f t="shared" si="1234"/>
        <v>3</v>
      </c>
      <c r="F4764" s="1410">
        <f t="shared" si="1237"/>
        <v>2.27</v>
      </c>
      <c r="G4764" s="1410">
        <f t="shared" si="1238"/>
        <v>0.6</v>
      </c>
      <c r="H4764" s="1411"/>
      <c r="I4764" s="1406">
        <f t="shared" si="1242"/>
        <v>4.0860000000000003</v>
      </c>
      <c r="J4764" s="1410">
        <f t="shared" si="1239"/>
        <v>2.27</v>
      </c>
      <c r="K4764" s="1409">
        <f t="shared" si="1240"/>
        <v>0.6</v>
      </c>
      <c r="L4764" s="1473">
        <f t="shared" si="1241"/>
        <v>6.25E-2</v>
      </c>
      <c r="Q4764" s="1394">
        <f>IFERROR(VLOOKUP(L4764,#REF!,3,0),0)</f>
        <v>0</v>
      </c>
      <c r="R4764" s="1394">
        <f t="shared" si="1211"/>
        <v>0</v>
      </c>
      <c r="S4764" s="1394">
        <f>IFERROR(VLOOKUP(M4764,#REF!,6,0),0)</f>
        <v>0</v>
      </c>
      <c r="T4764" s="1394">
        <f t="shared" si="1229"/>
        <v>0</v>
      </c>
      <c r="U4764" s="1394">
        <f>IFERROR(VLOOKUP(L4764,#REF!,5,0),0)</f>
        <v>0</v>
      </c>
      <c r="V4764" s="1394">
        <f t="shared" si="1230"/>
        <v>0</v>
      </c>
      <c r="W4764" s="1394"/>
    </row>
    <row r="4765" spans="2:23" ht="30" customHeight="1">
      <c r="B4765" s="1407"/>
      <c r="C4765" s="1408" t="str">
        <f t="shared" si="1236"/>
        <v>V3</v>
      </c>
      <c r="D4765" s="1409">
        <f t="shared" si="1234"/>
        <v>1</v>
      </c>
      <c r="E4765" s="1409">
        <f t="shared" si="1234"/>
        <v>5</v>
      </c>
      <c r="F4765" s="1410">
        <f t="shared" si="1237"/>
        <v>1.82</v>
      </c>
      <c r="G4765" s="1410">
        <f t="shared" si="1238"/>
        <v>0.6</v>
      </c>
      <c r="H4765" s="1411"/>
      <c r="I4765" s="1406">
        <f t="shared" si="1242"/>
        <v>5.46</v>
      </c>
      <c r="J4765" s="1410">
        <f t="shared" si="1239"/>
        <v>1.82</v>
      </c>
      <c r="K4765" s="1409">
        <f t="shared" si="1240"/>
        <v>0.6</v>
      </c>
      <c r="L4765" s="1473">
        <f t="shared" si="1241"/>
        <v>6.25E-2</v>
      </c>
      <c r="Q4765" s="1394">
        <f>IFERROR(VLOOKUP(L4765,#REF!,3,0),0)</f>
        <v>0</v>
      </c>
      <c r="R4765" s="1394">
        <f t="shared" si="1211"/>
        <v>0</v>
      </c>
      <c r="S4765" s="1394">
        <f>IFERROR(VLOOKUP(M4765,#REF!,6,0),0)</f>
        <v>0</v>
      </c>
      <c r="T4765" s="1394">
        <f t="shared" si="1229"/>
        <v>0</v>
      </c>
      <c r="U4765" s="1394">
        <f>IFERROR(VLOOKUP(L4765,#REF!,5,0),0)</f>
        <v>0</v>
      </c>
      <c r="V4765" s="1394">
        <f t="shared" si="1230"/>
        <v>0</v>
      </c>
      <c r="W4765" s="1394"/>
    </row>
    <row r="4766" spans="2:23" ht="30" customHeight="1">
      <c r="B4766" s="1407"/>
      <c r="C4766" s="1408" t="str">
        <f t="shared" si="1236"/>
        <v>RVT</v>
      </c>
      <c r="D4766" s="1409">
        <f t="shared" si="1234"/>
        <v>1</v>
      </c>
      <c r="E4766" s="1409">
        <f t="shared" si="1234"/>
        <v>2</v>
      </c>
      <c r="F4766" s="1410">
        <f t="shared" si="1237"/>
        <v>1.82</v>
      </c>
      <c r="G4766" s="1410">
        <f t="shared" si="1238"/>
        <v>0.6</v>
      </c>
      <c r="H4766" s="1411"/>
      <c r="I4766" s="1406">
        <f t="shared" si="1242"/>
        <v>2.1840000000000002</v>
      </c>
      <c r="J4766" s="1410">
        <f t="shared" si="1239"/>
        <v>1.82</v>
      </c>
      <c r="K4766" s="1409">
        <f t="shared" si="1240"/>
        <v>0.6</v>
      </c>
      <c r="L4766" s="1473">
        <f t="shared" si="1241"/>
        <v>6.25E-2</v>
      </c>
      <c r="Q4766" s="1394">
        <f>IFERROR(VLOOKUP(L4766,#REF!,3,0),0)</f>
        <v>0</v>
      </c>
      <c r="R4766" s="1394">
        <f t="shared" si="1211"/>
        <v>0</v>
      </c>
      <c r="S4766" s="1394">
        <f>IFERROR(VLOOKUP(M4766,#REF!,6,0),0)</f>
        <v>0</v>
      </c>
      <c r="T4766" s="1394">
        <f t="shared" si="1229"/>
        <v>0</v>
      </c>
      <c r="U4766" s="1394">
        <f>IFERROR(VLOOKUP(L4766,#REF!,5,0),0)</f>
        <v>0</v>
      </c>
      <c r="V4766" s="1394">
        <f t="shared" si="1230"/>
        <v>0</v>
      </c>
      <c r="W4766" s="1394"/>
    </row>
    <row r="4767" spans="2:23" ht="30" customHeight="1">
      <c r="B4767" s="1407"/>
      <c r="C4767" s="1408">
        <f t="shared" si="1236"/>
        <v>0</v>
      </c>
      <c r="D4767" s="1409">
        <f t="shared" si="1234"/>
        <v>0</v>
      </c>
      <c r="E4767" s="1409">
        <f t="shared" si="1234"/>
        <v>0</v>
      </c>
      <c r="F4767" s="1410"/>
      <c r="G4767" s="1410"/>
      <c r="H4767" s="1411"/>
      <c r="I4767" s="1406">
        <f t="shared" si="1193"/>
        <v>0</v>
      </c>
      <c r="J4767" s="1410">
        <f>F1140</f>
        <v>0</v>
      </c>
      <c r="K4767" s="1409">
        <f t="shared" si="1240"/>
        <v>0</v>
      </c>
      <c r="L4767" s="1473">
        <f t="shared" si="1241"/>
        <v>0</v>
      </c>
      <c r="Q4767" s="1394">
        <f>IFERROR(VLOOKUP(L4767,#REF!,3,0),0)</f>
        <v>0</v>
      </c>
      <c r="R4767" s="1394">
        <f t="shared" si="1211"/>
        <v>0</v>
      </c>
      <c r="S4767" s="1394">
        <f>IFERROR(VLOOKUP(M4767,#REF!,6,0),0)</f>
        <v>0</v>
      </c>
      <c r="T4767" s="1394">
        <f t="shared" si="1229"/>
        <v>0</v>
      </c>
      <c r="U4767" s="1394">
        <f>IFERROR(VLOOKUP(L4767,#REF!,5,0),0)</f>
        <v>0</v>
      </c>
      <c r="V4767" s="1394">
        <f t="shared" si="1230"/>
        <v>0</v>
      </c>
      <c r="W4767" s="1394"/>
    </row>
    <row r="4768" spans="2:23" ht="30" customHeight="1">
      <c r="B4768" s="1407"/>
      <c r="C4768" s="1408" t="s">
        <v>5925</v>
      </c>
      <c r="D4768" s="1409"/>
      <c r="E4768" s="1409"/>
      <c r="F4768" s="1410"/>
      <c r="G4768" s="1410"/>
      <c r="H4768" s="1411"/>
      <c r="I4768" s="1406"/>
      <c r="J4768" s="1410"/>
      <c r="K4768" s="1409"/>
      <c r="L4768" s="1411"/>
      <c r="Q4768" s="1394">
        <f>IFERROR(VLOOKUP(L4768,#REF!,3,0),0)</f>
        <v>0</v>
      </c>
      <c r="R4768" s="1394">
        <f t="shared" si="1211"/>
        <v>0</v>
      </c>
      <c r="S4768" s="1394">
        <f>IFERROR(VLOOKUP(M4768,#REF!,6,0),0)</f>
        <v>0</v>
      </c>
      <c r="T4768" s="1394">
        <f t="shared" si="1229"/>
        <v>0</v>
      </c>
      <c r="U4768" s="1394">
        <f>IFERROR(VLOOKUP(L4768,#REF!,5,0),0)</f>
        <v>0</v>
      </c>
      <c r="V4768" s="1394">
        <f t="shared" si="1230"/>
        <v>0</v>
      </c>
      <c r="W4768" s="1394"/>
    </row>
    <row r="4769" spans="1:26" ht="30" customHeight="1">
      <c r="B4769" s="1407"/>
      <c r="C4769" s="1408" t="str">
        <f t="shared" ref="C4769:E4779" si="1243">C1129</f>
        <v>FW</v>
      </c>
      <c r="D4769" s="1409">
        <f t="shared" si="1243"/>
        <v>1</v>
      </c>
      <c r="E4769" s="1409">
        <f t="shared" si="1243"/>
        <v>2</v>
      </c>
      <c r="F4769" s="1410">
        <f t="shared" ref="F4769:F4779" si="1244">J4769+K4769+K4769</f>
        <v>2.9329999999999998</v>
      </c>
      <c r="G4769" s="1410"/>
      <c r="H4769" s="1473">
        <f t="shared" ref="H4769:H4779" si="1245">L4769</f>
        <v>6.25E-2</v>
      </c>
      <c r="I4769" s="1406">
        <f t="shared" ref="I4769" si="1246">PRODUCT(D4769:H4769)</f>
        <v>0.36662499999999998</v>
      </c>
      <c r="J4769" s="1410">
        <f t="shared" ref="J4769:J4779" si="1247">F1129+0.46</f>
        <v>1.7329999999999999</v>
      </c>
      <c r="K4769" s="1409">
        <f t="shared" ref="K4769:K4779" si="1248">G1129</f>
        <v>0.6</v>
      </c>
      <c r="L4769" s="1473">
        <f t="shared" ref="L4769:L4779" si="1249">H1129</f>
        <v>6.25E-2</v>
      </c>
      <c r="Q4769" s="1394">
        <f>IFERROR(VLOOKUP(L4769,#REF!,3,0),0)</f>
        <v>0</v>
      </c>
      <c r="R4769" s="1394">
        <f t="shared" si="1211"/>
        <v>0</v>
      </c>
      <c r="S4769" s="1394">
        <f>IFERROR(VLOOKUP(M4769,#REF!,6,0),0)</f>
        <v>0</v>
      </c>
      <c r="T4769" s="1394">
        <f t="shared" si="1229"/>
        <v>0</v>
      </c>
      <c r="U4769" s="1394">
        <f>IFERROR(VLOOKUP(L4769,#REF!,5,0),0)</f>
        <v>0</v>
      </c>
      <c r="V4769" s="1394">
        <f t="shared" si="1230"/>
        <v>0</v>
      </c>
      <c r="W4769" s="1394"/>
    </row>
    <row r="4770" spans="1:26" ht="30" customHeight="1">
      <c r="B4770" s="1407"/>
      <c r="C4770" s="1408" t="str">
        <f t="shared" si="1243"/>
        <v>FW-3</v>
      </c>
      <c r="D4770" s="1409">
        <f t="shared" si="1243"/>
        <v>1</v>
      </c>
      <c r="E4770" s="1409">
        <f t="shared" si="1243"/>
        <v>1</v>
      </c>
      <c r="F4770" s="1410">
        <f t="shared" si="1244"/>
        <v>4.12</v>
      </c>
      <c r="G4770" s="1410"/>
      <c r="H4770" s="1473">
        <f t="shared" si="1245"/>
        <v>6.25E-2</v>
      </c>
      <c r="I4770" s="1406">
        <f t="shared" ref="I4770:I4779" si="1250">PRODUCT(D4770:H4770)</f>
        <v>0.25750000000000001</v>
      </c>
      <c r="J4770" s="1410">
        <f t="shared" si="1247"/>
        <v>2.92</v>
      </c>
      <c r="K4770" s="1409">
        <f t="shared" si="1248"/>
        <v>0.6</v>
      </c>
      <c r="L4770" s="1473">
        <f t="shared" si="1249"/>
        <v>6.25E-2</v>
      </c>
      <c r="Q4770" s="1394">
        <f>IFERROR(VLOOKUP(L4770,#REF!,3,0),0)</f>
        <v>0</v>
      </c>
      <c r="R4770" s="1394">
        <f t="shared" si="1211"/>
        <v>0</v>
      </c>
      <c r="S4770" s="1394">
        <f>IFERROR(VLOOKUP(M4770,#REF!,6,0),0)</f>
        <v>0</v>
      </c>
      <c r="T4770" s="1394">
        <f t="shared" si="1229"/>
        <v>0</v>
      </c>
      <c r="U4770" s="1394">
        <f>IFERROR(VLOOKUP(L4770,#REF!,5,0),0)</f>
        <v>0</v>
      </c>
      <c r="V4770" s="1394">
        <f t="shared" si="1230"/>
        <v>0</v>
      </c>
      <c r="W4770" s="1394"/>
    </row>
    <row r="4771" spans="1:26" ht="30" customHeight="1">
      <c r="B4771" s="1407"/>
      <c r="C4771" s="1408" t="str">
        <f t="shared" si="1243"/>
        <v>FW-4</v>
      </c>
      <c r="D4771" s="1409">
        <f t="shared" si="1243"/>
        <v>1</v>
      </c>
      <c r="E4771" s="1409">
        <f t="shared" si="1243"/>
        <v>2</v>
      </c>
      <c r="F4771" s="1410">
        <f t="shared" si="1244"/>
        <v>3.3200000000000003</v>
      </c>
      <c r="G4771" s="1410"/>
      <c r="H4771" s="1473">
        <f t="shared" si="1245"/>
        <v>6.25E-2</v>
      </c>
      <c r="I4771" s="1406">
        <f t="shared" si="1250"/>
        <v>0.41500000000000004</v>
      </c>
      <c r="J4771" s="1410">
        <f t="shared" si="1247"/>
        <v>2.12</v>
      </c>
      <c r="K4771" s="1409">
        <f t="shared" si="1248"/>
        <v>0.6</v>
      </c>
      <c r="L4771" s="1473">
        <f t="shared" si="1249"/>
        <v>6.25E-2</v>
      </c>
      <c r="Q4771" s="1394">
        <f>IFERROR(VLOOKUP(L4771,#REF!,3,0),0)</f>
        <v>0</v>
      </c>
      <c r="R4771" s="1394">
        <f t="shared" si="1211"/>
        <v>0</v>
      </c>
      <c r="S4771" s="1394">
        <f>IFERROR(VLOOKUP(M4771,#REF!,6,0),0)</f>
        <v>0</v>
      </c>
      <c r="T4771" s="1394">
        <f t="shared" si="1229"/>
        <v>0</v>
      </c>
      <c r="U4771" s="1394">
        <f>IFERROR(VLOOKUP(L4771,#REF!,5,0),0)</f>
        <v>0</v>
      </c>
      <c r="V4771" s="1394">
        <f t="shared" si="1230"/>
        <v>0</v>
      </c>
      <c r="W4771" s="1394"/>
    </row>
    <row r="4772" spans="1:26" ht="30" customHeight="1">
      <c r="B4772" s="1407"/>
      <c r="C4772" s="1408" t="str">
        <f t="shared" si="1243"/>
        <v>SW</v>
      </c>
      <c r="D4772" s="1409">
        <f t="shared" si="1243"/>
        <v>1</v>
      </c>
      <c r="E4772" s="1409">
        <f t="shared" si="1243"/>
        <v>1</v>
      </c>
      <c r="F4772" s="1410">
        <f t="shared" si="1244"/>
        <v>3.9200000000000004</v>
      </c>
      <c r="G4772" s="1410"/>
      <c r="H4772" s="1473">
        <f t="shared" si="1245"/>
        <v>6.25E-2</v>
      </c>
      <c r="I4772" s="1406">
        <f t="shared" si="1250"/>
        <v>0.24500000000000002</v>
      </c>
      <c r="J4772" s="1410">
        <f t="shared" si="1247"/>
        <v>2.72</v>
      </c>
      <c r="K4772" s="1409">
        <f t="shared" si="1248"/>
        <v>0.6</v>
      </c>
      <c r="L4772" s="1473">
        <f t="shared" si="1249"/>
        <v>6.25E-2</v>
      </c>
      <c r="Q4772" s="1394">
        <f>IFERROR(VLOOKUP(L4772,#REF!,3,0),0)</f>
        <v>0</v>
      </c>
      <c r="R4772" s="1394">
        <f t="shared" si="1211"/>
        <v>0</v>
      </c>
      <c r="S4772" s="1394">
        <f>IFERROR(VLOOKUP(M4772,#REF!,6,0),0)</f>
        <v>0</v>
      </c>
      <c r="T4772" s="1394">
        <f t="shared" si="1229"/>
        <v>0</v>
      </c>
      <c r="U4772" s="1394">
        <f>IFERROR(VLOOKUP(L4772,#REF!,5,0),0)</f>
        <v>0</v>
      </c>
      <c r="V4772" s="1394">
        <f t="shared" si="1230"/>
        <v>0</v>
      </c>
      <c r="W4772" s="1394"/>
    </row>
    <row r="4773" spans="1:26" ht="30" customHeight="1">
      <c r="B4773" s="1407"/>
      <c r="C4773" s="1408" t="str">
        <f t="shared" si="1243"/>
        <v>W</v>
      </c>
      <c r="D4773" s="1409">
        <f t="shared" si="1243"/>
        <v>1</v>
      </c>
      <c r="E4773" s="1409">
        <f t="shared" si="1243"/>
        <v>1</v>
      </c>
      <c r="F4773" s="1410">
        <f t="shared" si="1244"/>
        <v>3.9200000000000004</v>
      </c>
      <c r="G4773" s="1410"/>
      <c r="H4773" s="1473">
        <f t="shared" si="1245"/>
        <v>6.25E-2</v>
      </c>
      <c r="I4773" s="1406">
        <f t="shared" si="1250"/>
        <v>0.24500000000000002</v>
      </c>
      <c r="J4773" s="1410">
        <f t="shared" si="1247"/>
        <v>2.72</v>
      </c>
      <c r="K4773" s="1409">
        <f t="shared" si="1248"/>
        <v>0.6</v>
      </c>
      <c r="L4773" s="1473">
        <f t="shared" si="1249"/>
        <v>6.25E-2</v>
      </c>
      <c r="Q4773" s="1394">
        <f>IFERROR(VLOOKUP(L4773,#REF!,3,0),0)</f>
        <v>0</v>
      </c>
      <c r="R4773" s="1394">
        <f t="shared" si="1211"/>
        <v>0</v>
      </c>
      <c r="S4773" s="1394">
        <f>IFERROR(VLOOKUP(M4773,#REF!,6,0),0)</f>
        <v>0</v>
      </c>
      <c r="T4773" s="1394">
        <f t="shared" si="1229"/>
        <v>0</v>
      </c>
      <c r="U4773" s="1394">
        <f>IFERROR(VLOOKUP(L4773,#REF!,5,0),0)</f>
        <v>0</v>
      </c>
      <c r="V4773" s="1394">
        <f t="shared" si="1230"/>
        <v>0</v>
      </c>
      <c r="W4773" s="1394"/>
    </row>
    <row r="4774" spans="1:26" ht="30" customHeight="1">
      <c r="B4774" s="1407"/>
      <c r="C4774" s="1408" t="str">
        <f t="shared" si="1243"/>
        <v>W2</v>
      </c>
      <c r="D4774" s="1409">
        <f t="shared" si="1243"/>
        <v>1</v>
      </c>
      <c r="E4774" s="1409">
        <f t="shared" si="1243"/>
        <v>13</v>
      </c>
      <c r="F4774" s="1410">
        <f t="shared" si="1244"/>
        <v>3.3200000000000003</v>
      </c>
      <c r="G4774" s="1410"/>
      <c r="H4774" s="1473">
        <f t="shared" si="1245"/>
        <v>6.25E-2</v>
      </c>
      <c r="I4774" s="1406">
        <f t="shared" si="1250"/>
        <v>2.6975000000000002</v>
      </c>
      <c r="J4774" s="1410">
        <f t="shared" si="1247"/>
        <v>2.12</v>
      </c>
      <c r="K4774" s="1409">
        <f t="shared" si="1248"/>
        <v>0.6</v>
      </c>
      <c r="L4774" s="1473">
        <f t="shared" si="1249"/>
        <v>6.25E-2</v>
      </c>
      <c r="Q4774" s="1394">
        <f>IFERROR(VLOOKUP(L4774,#REF!,3,0),0)</f>
        <v>0</v>
      </c>
      <c r="R4774" s="1394">
        <f t="shared" si="1211"/>
        <v>0</v>
      </c>
      <c r="S4774" s="1394">
        <f>IFERROR(VLOOKUP(M4774,#REF!,6,0),0)</f>
        <v>0</v>
      </c>
      <c r="T4774" s="1394">
        <f t="shared" si="1229"/>
        <v>0</v>
      </c>
      <c r="U4774" s="1394">
        <f>IFERROR(VLOOKUP(L4774,#REF!,5,0),0)</f>
        <v>0</v>
      </c>
      <c r="V4774" s="1394">
        <f t="shared" si="1230"/>
        <v>0</v>
      </c>
      <c r="W4774" s="1394"/>
    </row>
    <row r="4775" spans="1:26" ht="30" customHeight="1">
      <c r="B4775" s="1407"/>
      <c r="C4775" s="1408" t="str">
        <f t="shared" si="1243"/>
        <v>W3</v>
      </c>
      <c r="D4775" s="1409">
        <f t="shared" si="1243"/>
        <v>1</v>
      </c>
      <c r="E4775" s="1409">
        <f t="shared" si="1243"/>
        <v>5</v>
      </c>
      <c r="F4775" s="1410">
        <f t="shared" si="1244"/>
        <v>3.12</v>
      </c>
      <c r="G4775" s="1410"/>
      <c r="H4775" s="1473">
        <f t="shared" si="1245"/>
        <v>6.25E-2</v>
      </c>
      <c r="I4775" s="1406">
        <f t="shared" si="1250"/>
        <v>0.97500000000000009</v>
      </c>
      <c r="J4775" s="1410">
        <f t="shared" si="1247"/>
        <v>1.92</v>
      </c>
      <c r="K4775" s="1409">
        <f t="shared" si="1248"/>
        <v>0.6</v>
      </c>
      <c r="L4775" s="1473">
        <f t="shared" si="1249"/>
        <v>6.25E-2</v>
      </c>
      <c r="Q4775" s="1394">
        <f>IFERROR(VLOOKUP(L4775,#REF!,3,0),0)</f>
        <v>0</v>
      </c>
      <c r="R4775" s="1394">
        <f t="shared" si="1211"/>
        <v>0</v>
      </c>
      <c r="S4775" s="1394">
        <f>IFERROR(VLOOKUP(M4775,#REF!,6,0),0)</f>
        <v>0</v>
      </c>
      <c r="T4775" s="1394">
        <f t="shared" si="1229"/>
        <v>0</v>
      </c>
      <c r="U4775" s="1394">
        <f>IFERROR(VLOOKUP(L4775,#REF!,5,0),0)</f>
        <v>0</v>
      </c>
      <c r="V4775" s="1394">
        <f t="shared" si="1230"/>
        <v>0</v>
      </c>
      <c r="W4775" s="1394"/>
    </row>
    <row r="4776" spans="1:26" ht="30" customHeight="1">
      <c r="B4776" s="1407"/>
      <c r="C4776" s="1408" t="str">
        <f t="shared" si="1243"/>
        <v>SLW</v>
      </c>
      <c r="D4776" s="1409">
        <f t="shared" si="1243"/>
        <v>1</v>
      </c>
      <c r="E4776" s="1409">
        <f t="shared" si="1243"/>
        <v>2</v>
      </c>
      <c r="F4776" s="1410">
        <f t="shared" si="1244"/>
        <v>4.22</v>
      </c>
      <c r="G4776" s="1410"/>
      <c r="H4776" s="1473">
        <f t="shared" si="1245"/>
        <v>6.25E-2</v>
      </c>
      <c r="I4776" s="1406">
        <f t="shared" si="1250"/>
        <v>0.52749999999999997</v>
      </c>
      <c r="J4776" s="1410">
        <f t="shared" si="1247"/>
        <v>3.02</v>
      </c>
      <c r="K4776" s="1409">
        <f t="shared" si="1248"/>
        <v>0.6</v>
      </c>
      <c r="L4776" s="1473">
        <f t="shared" si="1249"/>
        <v>6.25E-2</v>
      </c>
      <c r="Q4776" s="1394">
        <f>IFERROR(VLOOKUP(L4776,#REF!,3,0),0)</f>
        <v>0</v>
      </c>
      <c r="R4776" s="1394">
        <f t="shared" si="1211"/>
        <v>0</v>
      </c>
      <c r="S4776" s="1394">
        <f>IFERROR(VLOOKUP(M4776,#REF!,6,0),0)</f>
        <v>0</v>
      </c>
      <c r="T4776" s="1394">
        <f t="shared" si="1229"/>
        <v>0</v>
      </c>
      <c r="U4776" s="1394">
        <f>IFERROR(VLOOKUP(L4776,#REF!,5,0),0)</f>
        <v>0</v>
      </c>
      <c r="V4776" s="1394">
        <f t="shared" si="1230"/>
        <v>0</v>
      </c>
      <c r="W4776" s="1394"/>
    </row>
    <row r="4777" spans="1:26" ht="30" customHeight="1">
      <c r="B4777" s="1407"/>
      <c r="C4777" s="1408" t="str">
        <f t="shared" si="1243"/>
        <v>RV</v>
      </c>
      <c r="D4777" s="1409">
        <f t="shared" si="1243"/>
        <v>1</v>
      </c>
      <c r="E4777" s="1409">
        <f t="shared" si="1243"/>
        <v>3</v>
      </c>
      <c r="F4777" s="1410">
        <f t="shared" si="1244"/>
        <v>3.47</v>
      </c>
      <c r="G4777" s="1410"/>
      <c r="H4777" s="1473">
        <f t="shared" si="1245"/>
        <v>6.25E-2</v>
      </c>
      <c r="I4777" s="1406">
        <f t="shared" si="1250"/>
        <v>0.65062500000000001</v>
      </c>
      <c r="J4777" s="1410">
        <f t="shared" si="1247"/>
        <v>2.27</v>
      </c>
      <c r="K4777" s="1409">
        <f t="shared" si="1248"/>
        <v>0.6</v>
      </c>
      <c r="L4777" s="1473">
        <f t="shared" si="1249"/>
        <v>6.25E-2</v>
      </c>
      <c r="Q4777" s="1394">
        <f>IFERROR(VLOOKUP(L4777,#REF!,3,0),0)</f>
        <v>0</v>
      </c>
      <c r="R4777" s="1394">
        <f t="shared" si="1211"/>
        <v>0</v>
      </c>
      <c r="S4777" s="1394">
        <f>IFERROR(VLOOKUP(M4777,#REF!,6,0),0)</f>
        <v>0</v>
      </c>
      <c r="T4777" s="1394">
        <f t="shared" si="1229"/>
        <v>0</v>
      </c>
      <c r="U4777" s="1394">
        <f>IFERROR(VLOOKUP(L4777,#REF!,5,0),0)</f>
        <v>0</v>
      </c>
      <c r="V4777" s="1394">
        <f t="shared" si="1230"/>
        <v>0</v>
      </c>
      <c r="W4777" s="1394"/>
    </row>
    <row r="4778" spans="1:26" ht="30" customHeight="1">
      <c r="B4778" s="1407"/>
      <c r="C4778" s="1408" t="str">
        <f t="shared" si="1243"/>
        <v>V3</v>
      </c>
      <c r="D4778" s="1409">
        <f t="shared" si="1243"/>
        <v>1</v>
      </c>
      <c r="E4778" s="1409">
        <f t="shared" si="1243"/>
        <v>5</v>
      </c>
      <c r="F4778" s="1410">
        <f t="shared" si="1244"/>
        <v>3.02</v>
      </c>
      <c r="G4778" s="1410"/>
      <c r="H4778" s="1473">
        <f t="shared" si="1245"/>
        <v>6.25E-2</v>
      </c>
      <c r="I4778" s="1406">
        <f t="shared" si="1250"/>
        <v>0.94374999999999998</v>
      </c>
      <c r="J4778" s="1410">
        <f t="shared" si="1247"/>
        <v>1.82</v>
      </c>
      <c r="K4778" s="1409">
        <f t="shared" si="1248"/>
        <v>0.6</v>
      </c>
      <c r="L4778" s="1473">
        <f t="shared" si="1249"/>
        <v>6.25E-2</v>
      </c>
      <c r="Q4778" s="1394">
        <f>IFERROR(VLOOKUP(L4778,#REF!,3,0),0)</f>
        <v>0</v>
      </c>
      <c r="R4778" s="1394">
        <f t="shared" si="1211"/>
        <v>0</v>
      </c>
      <c r="S4778" s="1394">
        <f>IFERROR(VLOOKUP(M4778,#REF!,6,0),0)</f>
        <v>0</v>
      </c>
      <c r="T4778" s="1394">
        <f t="shared" si="1229"/>
        <v>0</v>
      </c>
      <c r="U4778" s="1394">
        <f>IFERROR(VLOOKUP(L4778,#REF!,5,0),0)</f>
        <v>0</v>
      </c>
      <c r="V4778" s="1394">
        <f t="shared" si="1230"/>
        <v>0</v>
      </c>
      <c r="W4778" s="1394"/>
    </row>
    <row r="4779" spans="1:26" ht="30" customHeight="1">
      <c r="B4779" s="1407"/>
      <c r="C4779" s="1408" t="str">
        <f t="shared" si="1243"/>
        <v>RVT</v>
      </c>
      <c r="D4779" s="1409">
        <f t="shared" si="1243"/>
        <v>1</v>
      </c>
      <c r="E4779" s="1409">
        <f t="shared" si="1243"/>
        <v>2</v>
      </c>
      <c r="F4779" s="1410">
        <f t="shared" si="1244"/>
        <v>3.02</v>
      </c>
      <c r="G4779" s="1410"/>
      <c r="H4779" s="1473">
        <f t="shared" si="1245"/>
        <v>6.25E-2</v>
      </c>
      <c r="I4779" s="1406">
        <f t="shared" si="1250"/>
        <v>0.3775</v>
      </c>
      <c r="J4779" s="1410">
        <f t="shared" si="1247"/>
        <v>1.82</v>
      </c>
      <c r="K4779" s="1409">
        <f t="shared" si="1248"/>
        <v>0.6</v>
      </c>
      <c r="L4779" s="1473">
        <f t="shared" si="1249"/>
        <v>6.25E-2</v>
      </c>
      <c r="Q4779" s="1394">
        <f>IFERROR(VLOOKUP(L4779,#REF!,3,0),0)</f>
        <v>0</v>
      </c>
      <c r="R4779" s="1394">
        <f t="shared" si="1211"/>
        <v>0</v>
      </c>
      <c r="S4779" s="1394">
        <f>IFERROR(VLOOKUP(M4779,#REF!,6,0),0)</f>
        <v>0</v>
      </c>
      <c r="T4779" s="1394">
        <f t="shared" si="1229"/>
        <v>0</v>
      </c>
      <c r="U4779" s="1394">
        <f>IFERROR(VLOOKUP(L4779,#REF!,5,0),0)</f>
        <v>0</v>
      </c>
      <c r="V4779" s="1394">
        <f t="shared" si="1230"/>
        <v>0</v>
      </c>
      <c r="W4779" s="1394"/>
    </row>
    <row r="4780" spans="1:26" ht="30" customHeight="1">
      <c r="B4780" s="1407"/>
      <c r="C4780" s="1408"/>
      <c r="D4780" s="1409"/>
      <c r="E4780" s="1409"/>
      <c r="F4780" s="1410"/>
      <c r="G4780" s="1410"/>
      <c r="H4780" s="1473"/>
      <c r="I4780" s="1406"/>
      <c r="J4780" s="1410"/>
      <c r="K4780" s="1409"/>
      <c r="L4780" s="1473"/>
      <c r="Q4780" s="1394">
        <f>IFERROR(VLOOKUP(L4780,#REF!,3,0),0)</f>
        <v>0</v>
      </c>
      <c r="R4780" s="1394">
        <f t="shared" si="1211"/>
        <v>0</v>
      </c>
      <c r="S4780" s="1394">
        <f>IFERROR(VLOOKUP(M4780,#REF!,6,0),0)</f>
        <v>0</v>
      </c>
      <c r="T4780" s="1394">
        <f t="shared" si="1229"/>
        <v>0</v>
      </c>
      <c r="U4780" s="1394">
        <f>IFERROR(VLOOKUP(L4780,#REF!,5,0),0)</f>
        <v>0</v>
      </c>
      <c r="V4780" s="1394">
        <f t="shared" si="1230"/>
        <v>0</v>
      </c>
      <c r="W4780" s="1394"/>
    </row>
    <row r="4781" spans="1:26" ht="30" customHeight="1">
      <c r="B4781" s="1407"/>
      <c r="C4781" s="1408"/>
      <c r="D4781" s="1409"/>
      <c r="E4781" s="1409"/>
      <c r="F4781" s="1410"/>
      <c r="G4781" s="1410"/>
      <c r="H4781" s="1473"/>
      <c r="I4781" s="1406"/>
      <c r="J4781" s="1410"/>
      <c r="K4781" s="1409"/>
      <c r="L4781" s="1473"/>
      <c r="Q4781" s="1394">
        <f>IFERROR(VLOOKUP(L4781,#REF!,3,0),0)</f>
        <v>0</v>
      </c>
      <c r="R4781" s="1394">
        <f t="shared" si="1211"/>
        <v>0</v>
      </c>
      <c r="S4781" s="1394">
        <f>IFERROR(VLOOKUP(M4781,#REF!,6,0),0)</f>
        <v>0</v>
      </c>
      <c r="T4781" s="1394">
        <f t="shared" si="1229"/>
        <v>0</v>
      </c>
      <c r="U4781" s="1394">
        <f>IFERROR(VLOOKUP(L4781,#REF!,5,0),0)</f>
        <v>0</v>
      </c>
      <c r="V4781" s="1394">
        <f t="shared" si="1230"/>
        <v>0</v>
      </c>
      <c r="W4781" s="1394"/>
    </row>
    <row r="4782" spans="1:26" ht="30" customHeight="1">
      <c r="B4782" s="1407"/>
      <c r="C4782" s="1455" t="e">
        <f>C1200</f>
        <v>#REF!</v>
      </c>
      <c r="D4782" s="103">
        <f>D1200</f>
        <v>0</v>
      </c>
      <c r="E4782" s="103">
        <f>E1200</f>
        <v>0</v>
      </c>
      <c r="F4782" s="1410"/>
      <c r="G4782" s="1410"/>
      <c r="H4782" s="1411"/>
      <c r="I4782" s="1406">
        <f t="shared" si="1193"/>
        <v>0</v>
      </c>
      <c r="J4782" s="1413">
        <f>F1200</f>
        <v>0</v>
      </c>
      <c r="K4782" s="1556">
        <f>G1200</f>
        <v>0</v>
      </c>
      <c r="L4782" s="1478">
        <f>H1200</f>
        <v>0</v>
      </c>
      <c r="N4782" s="1394"/>
      <c r="O4782" s="1394"/>
      <c r="P4782" s="1394"/>
      <c r="Q4782" s="1394">
        <f>IFERROR(VLOOKUP(L4782,#REF!,3,0),0)</f>
        <v>0</v>
      </c>
      <c r="R4782" s="1394">
        <f t="shared" ref="R4782:R4845" si="1251">ROUND(O4782,2)*ROUND(Q4782,2)</f>
        <v>0</v>
      </c>
      <c r="S4782" s="1394">
        <f>IFERROR(VLOOKUP(M4782,#REF!,6,0),0)</f>
        <v>0</v>
      </c>
      <c r="T4782" s="1394">
        <f t="shared" si="1229"/>
        <v>0</v>
      </c>
      <c r="U4782" s="1394">
        <f>IFERROR(VLOOKUP(L4782,#REF!,5,0),0)</f>
        <v>0</v>
      </c>
      <c r="V4782" s="1394">
        <f t="shared" si="1230"/>
        <v>0</v>
      </c>
      <c r="W4782" s="1394"/>
      <c r="Z4782" s="1394"/>
    </row>
    <row r="4783" spans="1:26" ht="30" customHeight="1">
      <c r="A4783" s="1481"/>
      <c r="B4783" s="1407"/>
      <c r="C4783" s="1412" t="str">
        <f t="shared" ref="C4783:C4794" si="1252">C1201</f>
        <v>Column raising up to Roof in 4th Floor</v>
      </c>
      <c r="D4783" s="1412"/>
      <c r="E4783" s="1412"/>
      <c r="F4783" s="1410"/>
      <c r="G4783" s="1410"/>
      <c r="H4783" s="1411"/>
      <c r="I4783" s="1406">
        <f t="shared" ref="I4783:I4798" si="1253">PRODUCT(D4783:H4783)</f>
        <v>0</v>
      </c>
      <c r="J4783" s="1412"/>
      <c r="K4783" s="1412"/>
      <c r="L4783" s="1412"/>
      <c r="Q4783" s="1394">
        <f>IFERROR(VLOOKUP(L4783,#REF!,3,0),0)</f>
        <v>0</v>
      </c>
      <c r="R4783" s="1394">
        <f t="shared" si="1251"/>
        <v>0</v>
      </c>
      <c r="S4783" s="1394">
        <f>IFERROR(VLOOKUP(M4783,#REF!,6,0),0)</f>
        <v>0</v>
      </c>
      <c r="T4783" s="1394">
        <f t="shared" si="1229"/>
        <v>0</v>
      </c>
      <c r="U4783" s="1394">
        <f>IFERROR(VLOOKUP(L4783,#REF!,5,0),0)</f>
        <v>0</v>
      </c>
      <c r="V4783" s="1394">
        <f t="shared" si="1230"/>
        <v>0</v>
      </c>
      <c r="W4783" s="1394"/>
      <c r="X4783" s="1397"/>
    </row>
    <row r="4784" spans="1:26" ht="30" customHeight="1">
      <c r="B4784" s="1407"/>
      <c r="C4784" s="1415" t="str">
        <f t="shared" si="1252"/>
        <v>For C2</v>
      </c>
      <c r="D4784" s="1409">
        <f t="shared" ref="D4784:E4794" si="1254">D1202</f>
        <v>2</v>
      </c>
      <c r="E4784" s="1409">
        <f t="shared" si="1254"/>
        <v>1</v>
      </c>
      <c r="F4784" s="1410">
        <f>2*(J4784+K4784)</f>
        <v>1.22</v>
      </c>
      <c r="G4784" s="1410"/>
      <c r="H4784" s="1411">
        <f>L4784</f>
        <v>2.37</v>
      </c>
      <c r="I4784" s="1406">
        <f t="shared" si="1253"/>
        <v>5.7827999999999999</v>
      </c>
      <c r="J4784" s="1410">
        <f t="shared" ref="J4784:J4794" si="1255">F1202</f>
        <v>0.23</v>
      </c>
      <c r="K4784" s="1409">
        <f t="shared" ref="K4784:K4794" si="1256">G1202</f>
        <v>0.38</v>
      </c>
      <c r="L4784" s="1411">
        <f t="shared" ref="L4784:L4794" si="1257">H1202</f>
        <v>2.37</v>
      </c>
      <c r="Q4784" s="1394">
        <f>IFERROR(VLOOKUP(L4784,#REF!,3,0),0)</f>
        <v>0</v>
      </c>
      <c r="R4784" s="1394">
        <f t="shared" si="1251"/>
        <v>0</v>
      </c>
      <c r="S4784" s="1394">
        <f>IFERROR(VLOOKUP(M4784,#REF!,6,0),0)</f>
        <v>0</v>
      </c>
      <c r="T4784" s="1394">
        <f t="shared" si="1229"/>
        <v>0</v>
      </c>
      <c r="U4784" s="1394">
        <f>IFERROR(VLOOKUP(L4784,#REF!,5,0),0)</f>
        <v>0</v>
      </c>
      <c r="V4784" s="1394">
        <f t="shared" si="1230"/>
        <v>0</v>
      </c>
      <c r="W4784" s="1394"/>
    </row>
    <row r="4785" spans="2:23" ht="30" customHeight="1">
      <c r="B4785" s="1405"/>
      <c r="C4785" s="1408" t="str">
        <f t="shared" si="1252"/>
        <v>For C3</v>
      </c>
      <c r="D4785" s="1409">
        <f t="shared" si="1254"/>
        <v>3</v>
      </c>
      <c r="E4785" s="1409">
        <f t="shared" si="1254"/>
        <v>1</v>
      </c>
      <c r="F4785" s="1410">
        <f>2*(J4785+K4785)</f>
        <v>1.36</v>
      </c>
      <c r="G4785" s="1410"/>
      <c r="H4785" s="1411">
        <f>L4785</f>
        <v>2.37</v>
      </c>
      <c r="I4785" s="1406">
        <f t="shared" si="1253"/>
        <v>9.6696000000000009</v>
      </c>
      <c r="J4785" s="1410">
        <f t="shared" si="1255"/>
        <v>0.23</v>
      </c>
      <c r="K4785" s="1411">
        <f t="shared" si="1256"/>
        <v>0.45</v>
      </c>
      <c r="L4785" s="1411">
        <f t="shared" si="1257"/>
        <v>2.37</v>
      </c>
      <c r="Q4785" s="1394">
        <f>IFERROR(VLOOKUP(L4785,#REF!,3,0),0)</f>
        <v>0</v>
      </c>
      <c r="R4785" s="1394">
        <f t="shared" si="1251"/>
        <v>0</v>
      </c>
      <c r="S4785" s="1394">
        <f>IFERROR(VLOOKUP(M4785,#REF!,6,0),0)</f>
        <v>0</v>
      </c>
      <c r="T4785" s="1394">
        <f t="shared" si="1229"/>
        <v>0</v>
      </c>
      <c r="U4785" s="1394">
        <f>IFERROR(VLOOKUP(L4785,#REF!,5,0),0)</f>
        <v>0</v>
      </c>
      <c r="V4785" s="1394">
        <f t="shared" si="1230"/>
        <v>0</v>
      </c>
      <c r="W4785" s="1394"/>
    </row>
    <row r="4786" spans="2:23" ht="30" customHeight="1">
      <c r="B4786" s="1405"/>
      <c r="C4786" s="1408" t="str">
        <f t="shared" si="1252"/>
        <v>For C4</v>
      </c>
      <c r="D4786" s="1409">
        <f t="shared" si="1254"/>
        <v>3</v>
      </c>
      <c r="E4786" s="1409">
        <f t="shared" si="1254"/>
        <v>1</v>
      </c>
      <c r="F4786" s="1410">
        <f>2*(J4786+K4786)</f>
        <v>1.5</v>
      </c>
      <c r="G4786" s="1410"/>
      <c r="H4786" s="1411">
        <f>L4786</f>
        <v>2.37</v>
      </c>
      <c r="I4786" s="1406">
        <f t="shared" si="1253"/>
        <v>10.665000000000001</v>
      </c>
      <c r="J4786" s="1410">
        <f t="shared" si="1255"/>
        <v>0.3</v>
      </c>
      <c r="K4786" s="1411">
        <f t="shared" si="1256"/>
        <v>0.45</v>
      </c>
      <c r="L4786" s="1411">
        <f t="shared" si="1257"/>
        <v>2.37</v>
      </c>
      <c r="Q4786" s="1394">
        <f>IFERROR(VLOOKUP(L4786,#REF!,3,0),0)</f>
        <v>0</v>
      </c>
      <c r="R4786" s="1394">
        <f t="shared" si="1251"/>
        <v>0</v>
      </c>
      <c r="S4786" s="1394">
        <f>IFERROR(VLOOKUP(M4786,#REF!,6,0),0)</f>
        <v>0</v>
      </c>
      <c r="T4786" s="1394">
        <f t="shared" si="1229"/>
        <v>0</v>
      </c>
      <c r="U4786" s="1394">
        <f>IFERROR(VLOOKUP(L4786,#REF!,5,0),0)</f>
        <v>0</v>
      </c>
      <c r="V4786" s="1394">
        <f t="shared" si="1230"/>
        <v>0</v>
      </c>
      <c r="W4786" s="1394"/>
    </row>
    <row r="4787" spans="2:23" ht="30" customHeight="1">
      <c r="B4787" s="1405"/>
      <c r="C4787" s="1408" t="str">
        <f t="shared" si="1252"/>
        <v>Parapet Column</v>
      </c>
      <c r="D4787" s="1409">
        <f t="shared" si="1254"/>
        <v>0</v>
      </c>
      <c r="E4787" s="1409">
        <f t="shared" si="1254"/>
        <v>0</v>
      </c>
      <c r="F4787" s="1410"/>
      <c r="G4787" s="1410"/>
      <c r="H4787" s="1411"/>
      <c r="I4787" s="1406">
        <f t="shared" si="1253"/>
        <v>0</v>
      </c>
      <c r="J4787" s="1410">
        <f t="shared" si="1255"/>
        <v>0</v>
      </c>
      <c r="K4787" s="1411">
        <f t="shared" si="1256"/>
        <v>0</v>
      </c>
      <c r="L4787" s="1411">
        <f t="shared" si="1257"/>
        <v>0</v>
      </c>
      <c r="Q4787" s="1394">
        <f>IFERROR(VLOOKUP(L4787,#REF!,3,0),0)</f>
        <v>0</v>
      </c>
      <c r="R4787" s="1394">
        <f t="shared" si="1251"/>
        <v>0</v>
      </c>
      <c r="S4787" s="1394">
        <f>IFERROR(VLOOKUP(M4787,#REF!,6,0),0)</f>
        <v>0</v>
      </c>
      <c r="T4787" s="1394">
        <f t="shared" si="1229"/>
        <v>0</v>
      </c>
      <c r="U4787" s="1394">
        <f>IFERROR(VLOOKUP(L4787,#REF!,5,0),0)</f>
        <v>0</v>
      </c>
      <c r="V4787" s="1394">
        <f t="shared" si="1230"/>
        <v>0</v>
      </c>
      <c r="W4787" s="1394"/>
    </row>
    <row r="4788" spans="2:23" ht="30" customHeight="1">
      <c r="B4788" s="1407"/>
      <c r="C4788" s="1415" t="str">
        <f t="shared" si="1252"/>
        <v>For C2</v>
      </c>
      <c r="D4788" s="1409">
        <f t="shared" si="1254"/>
        <v>9</v>
      </c>
      <c r="E4788" s="1409">
        <f t="shared" si="1254"/>
        <v>1</v>
      </c>
      <c r="F4788" s="1410">
        <f>2*(J4788+K4788)</f>
        <v>1.22</v>
      </c>
      <c r="G4788" s="1410"/>
      <c r="H4788" s="1411">
        <f>L4788</f>
        <v>1.2</v>
      </c>
      <c r="I4788" s="1406">
        <f t="shared" si="1253"/>
        <v>13.176</v>
      </c>
      <c r="J4788" s="1410">
        <f t="shared" si="1255"/>
        <v>0.23</v>
      </c>
      <c r="K4788" s="1411">
        <f t="shared" si="1256"/>
        <v>0.38</v>
      </c>
      <c r="L4788" s="1411">
        <f t="shared" si="1257"/>
        <v>1.2</v>
      </c>
      <c r="Q4788" s="1394">
        <f>IFERROR(VLOOKUP(L4788,#REF!,3,0),0)</f>
        <v>0</v>
      </c>
      <c r="R4788" s="1394">
        <f t="shared" si="1251"/>
        <v>0</v>
      </c>
      <c r="S4788" s="1394">
        <f>IFERROR(VLOOKUP(M4788,#REF!,6,0),0)</f>
        <v>0</v>
      </c>
      <c r="T4788" s="1394">
        <f t="shared" si="1229"/>
        <v>0</v>
      </c>
      <c r="U4788" s="1394">
        <f>IFERROR(VLOOKUP(L4788,#REF!,5,0),0)</f>
        <v>0</v>
      </c>
      <c r="V4788" s="1394">
        <f t="shared" si="1230"/>
        <v>0</v>
      </c>
      <c r="W4788" s="1394"/>
    </row>
    <row r="4789" spans="2:23" ht="30" customHeight="1">
      <c r="B4789" s="1405"/>
      <c r="C4789" s="1408" t="str">
        <f t="shared" si="1252"/>
        <v>For C3</v>
      </c>
      <c r="D4789" s="1409">
        <f t="shared" si="1254"/>
        <v>7</v>
      </c>
      <c r="E4789" s="1409">
        <f t="shared" si="1254"/>
        <v>1</v>
      </c>
      <c r="F4789" s="1410">
        <f>2*(J4789+K4789)</f>
        <v>1.36</v>
      </c>
      <c r="G4789" s="1410"/>
      <c r="H4789" s="1411">
        <f>L4789</f>
        <v>1.2</v>
      </c>
      <c r="I4789" s="1406">
        <f t="shared" si="1253"/>
        <v>11.424000000000001</v>
      </c>
      <c r="J4789" s="1410">
        <f t="shared" si="1255"/>
        <v>0.23</v>
      </c>
      <c r="K4789" s="1411">
        <f t="shared" si="1256"/>
        <v>0.45</v>
      </c>
      <c r="L4789" s="1411">
        <f t="shared" si="1257"/>
        <v>1.2</v>
      </c>
      <c r="Q4789" s="1394">
        <f>IFERROR(VLOOKUP(L4789,#REF!,3,0),0)</f>
        <v>0</v>
      </c>
      <c r="R4789" s="1394">
        <f t="shared" si="1251"/>
        <v>0</v>
      </c>
      <c r="S4789" s="1394">
        <f>IFERROR(VLOOKUP(M4789,#REF!,6,0),0)</f>
        <v>0</v>
      </c>
      <c r="T4789" s="1394">
        <f t="shared" si="1229"/>
        <v>0</v>
      </c>
      <c r="U4789" s="1394">
        <f>IFERROR(VLOOKUP(L4789,#REF!,5,0),0)</f>
        <v>0</v>
      </c>
      <c r="V4789" s="1394">
        <f t="shared" si="1230"/>
        <v>0</v>
      </c>
      <c r="W4789" s="1394"/>
    </row>
    <row r="4790" spans="2:23" ht="30" customHeight="1">
      <c r="B4790" s="1405"/>
      <c r="C4790" s="1408" t="str">
        <f t="shared" si="1252"/>
        <v>For C4</v>
      </c>
      <c r="D4790" s="1409">
        <f t="shared" si="1254"/>
        <v>4</v>
      </c>
      <c r="E4790" s="1409">
        <f t="shared" si="1254"/>
        <v>1</v>
      </c>
      <c r="F4790" s="1410">
        <f>2*(J4790+K4790)</f>
        <v>1.5</v>
      </c>
      <c r="G4790" s="1410"/>
      <c r="H4790" s="1411">
        <f>L4790</f>
        <v>1.2</v>
      </c>
      <c r="I4790" s="1406">
        <f t="shared" si="1253"/>
        <v>7.1999999999999993</v>
      </c>
      <c r="J4790" s="1410">
        <f t="shared" si="1255"/>
        <v>0.3</v>
      </c>
      <c r="K4790" s="1411">
        <f t="shared" si="1256"/>
        <v>0.45</v>
      </c>
      <c r="L4790" s="1411">
        <f t="shared" si="1257"/>
        <v>1.2</v>
      </c>
      <c r="Q4790" s="1394">
        <f>IFERROR(VLOOKUP(L4790,#REF!,3,0),0)</f>
        <v>0</v>
      </c>
      <c r="R4790" s="1394">
        <f t="shared" si="1251"/>
        <v>0</v>
      </c>
      <c r="S4790" s="1394">
        <f>IFERROR(VLOOKUP(M4790,#REF!,6,0),0)</f>
        <v>0</v>
      </c>
      <c r="T4790" s="1394">
        <f t="shared" si="1229"/>
        <v>0</v>
      </c>
      <c r="U4790" s="1394">
        <f>IFERROR(VLOOKUP(L4790,#REF!,5,0),0)</f>
        <v>0</v>
      </c>
      <c r="V4790" s="1394">
        <f t="shared" si="1230"/>
        <v>0</v>
      </c>
      <c r="W4790" s="1394"/>
    </row>
    <row r="4791" spans="2:23" ht="30" customHeight="1">
      <c r="B4791" s="1405"/>
      <c r="C4791" s="1408" t="str">
        <f t="shared" si="1252"/>
        <v>Head Room Parapet</v>
      </c>
      <c r="D4791" s="1409">
        <f t="shared" si="1254"/>
        <v>0</v>
      </c>
      <c r="E4791" s="1409">
        <f t="shared" si="1254"/>
        <v>0</v>
      </c>
      <c r="F4791" s="1410"/>
      <c r="G4791" s="1410"/>
      <c r="H4791" s="1411"/>
      <c r="I4791" s="1406">
        <f t="shared" si="1253"/>
        <v>0</v>
      </c>
      <c r="J4791" s="1410">
        <f t="shared" si="1255"/>
        <v>0</v>
      </c>
      <c r="K4791" s="1411">
        <f t="shared" si="1256"/>
        <v>0</v>
      </c>
      <c r="L4791" s="1411">
        <f t="shared" si="1257"/>
        <v>0</v>
      </c>
      <c r="Q4791" s="1394">
        <f>IFERROR(VLOOKUP(L4791,#REF!,3,0),0)</f>
        <v>0</v>
      </c>
      <c r="R4791" s="1394">
        <f t="shared" si="1251"/>
        <v>0</v>
      </c>
      <c r="S4791" s="1394">
        <f>IFERROR(VLOOKUP(M4791,#REF!,6,0),0)</f>
        <v>0</v>
      </c>
      <c r="T4791" s="1394">
        <f t="shared" si="1229"/>
        <v>0</v>
      </c>
      <c r="U4791" s="1394">
        <f>IFERROR(VLOOKUP(L4791,#REF!,5,0),0)</f>
        <v>0</v>
      </c>
      <c r="V4791" s="1394">
        <f t="shared" si="1230"/>
        <v>0</v>
      </c>
      <c r="W4791" s="1394"/>
    </row>
    <row r="4792" spans="2:23" ht="30" customHeight="1">
      <c r="B4792" s="1407"/>
      <c r="C4792" s="1415" t="str">
        <f t="shared" si="1252"/>
        <v>For C2</v>
      </c>
      <c r="D4792" s="1409">
        <f t="shared" si="1254"/>
        <v>2</v>
      </c>
      <c r="E4792" s="1409">
        <f t="shared" si="1254"/>
        <v>1</v>
      </c>
      <c r="F4792" s="1410">
        <f>2*(J4792+K4792)</f>
        <v>1.22</v>
      </c>
      <c r="G4792" s="1410"/>
      <c r="H4792" s="1411">
        <f>L4792</f>
        <v>0.45</v>
      </c>
      <c r="I4792" s="1406">
        <f t="shared" si="1253"/>
        <v>1.0980000000000001</v>
      </c>
      <c r="J4792" s="1410">
        <f t="shared" si="1255"/>
        <v>0.23</v>
      </c>
      <c r="K4792" s="1411">
        <f t="shared" si="1256"/>
        <v>0.38</v>
      </c>
      <c r="L4792" s="1411">
        <f t="shared" si="1257"/>
        <v>0.45</v>
      </c>
      <c r="Q4792" s="1394">
        <f>IFERROR(VLOOKUP(L4792,#REF!,3,0),0)</f>
        <v>0</v>
      </c>
      <c r="R4792" s="1394">
        <f t="shared" si="1251"/>
        <v>0</v>
      </c>
      <c r="S4792" s="1394">
        <f>IFERROR(VLOOKUP(M4792,#REF!,6,0),0)</f>
        <v>0</v>
      </c>
      <c r="T4792" s="1394">
        <f t="shared" si="1229"/>
        <v>0</v>
      </c>
      <c r="U4792" s="1394">
        <f>IFERROR(VLOOKUP(L4792,#REF!,5,0),0)</f>
        <v>0</v>
      </c>
      <c r="V4792" s="1394">
        <f t="shared" si="1230"/>
        <v>0</v>
      </c>
      <c r="W4792" s="1394"/>
    </row>
    <row r="4793" spans="2:23" ht="30" customHeight="1">
      <c r="B4793" s="1405"/>
      <c r="C4793" s="1408" t="str">
        <f t="shared" si="1252"/>
        <v>For C3</v>
      </c>
      <c r="D4793" s="1409">
        <f t="shared" si="1254"/>
        <v>3</v>
      </c>
      <c r="E4793" s="1409">
        <f t="shared" si="1254"/>
        <v>1</v>
      </c>
      <c r="F4793" s="1410">
        <f>2*(J4793+K4793)</f>
        <v>1.36</v>
      </c>
      <c r="G4793" s="1410"/>
      <c r="H4793" s="1411">
        <f>L4793</f>
        <v>0.45</v>
      </c>
      <c r="I4793" s="1406">
        <f t="shared" si="1253"/>
        <v>1.8360000000000001</v>
      </c>
      <c r="J4793" s="1410">
        <f t="shared" si="1255"/>
        <v>0.23</v>
      </c>
      <c r="K4793" s="1411">
        <f t="shared" si="1256"/>
        <v>0.45</v>
      </c>
      <c r="L4793" s="1411">
        <f t="shared" si="1257"/>
        <v>0.45</v>
      </c>
      <c r="Q4793" s="1394">
        <f>IFERROR(VLOOKUP(L4793,#REF!,3,0),0)</f>
        <v>0</v>
      </c>
      <c r="R4793" s="1394">
        <f t="shared" si="1251"/>
        <v>0</v>
      </c>
      <c r="S4793" s="1394">
        <f>IFERROR(VLOOKUP(M4793,#REF!,6,0),0)</f>
        <v>0</v>
      </c>
      <c r="T4793" s="1394">
        <f t="shared" si="1229"/>
        <v>0</v>
      </c>
      <c r="U4793" s="1394">
        <f>IFERROR(VLOOKUP(L4793,#REF!,5,0),0)</f>
        <v>0</v>
      </c>
      <c r="V4793" s="1394">
        <f t="shared" si="1230"/>
        <v>0</v>
      </c>
      <c r="W4793" s="1394"/>
    </row>
    <row r="4794" spans="2:23" ht="30" customHeight="1">
      <c r="B4794" s="1405"/>
      <c r="C4794" s="1408" t="str">
        <f t="shared" si="1252"/>
        <v>For C4</v>
      </c>
      <c r="D4794" s="1409">
        <f t="shared" si="1254"/>
        <v>3</v>
      </c>
      <c r="E4794" s="1409">
        <f t="shared" si="1254"/>
        <v>1</v>
      </c>
      <c r="F4794" s="1410">
        <f>2*(J4794+K4794)</f>
        <v>1.5</v>
      </c>
      <c r="G4794" s="1410"/>
      <c r="H4794" s="1411">
        <f>L4794</f>
        <v>0.45</v>
      </c>
      <c r="I4794" s="1406">
        <f t="shared" si="1253"/>
        <v>2.0249999999999999</v>
      </c>
      <c r="J4794" s="1410">
        <f t="shared" si="1255"/>
        <v>0.3</v>
      </c>
      <c r="K4794" s="1411">
        <f t="shared" si="1256"/>
        <v>0.45</v>
      </c>
      <c r="L4794" s="1411">
        <f t="shared" si="1257"/>
        <v>0.45</v>
      </c>
      <c r="Q4794" s="1394">
        <f>IFERROR(VLOOKUP(L4794,#REF!,3,0),0)</f>
        <v>0</v>
      </c>
      <c r="R4794" s="1394">
        <f t="shared" si="1251"/>
        <v>0</v>
      </c>
      <c r="S4794" s="1394">
        <f>IFERROR(VLOOKUP(M4794,#REF!,6,0),0)</f>
        <v>0</v>
      </c>
      <c r="T4794" s="1394">
        <f t="shared" si="1229"/>
        <v>0</v>
      </c>
      <c r="U4794" s="1394">
        <f>IFERROR(VLOOKUP(L4794,#REF!,5,0),0)</f>
        <v>0</v>
      </c>
      <c r="V4794" s="1394">
        <f t="shared" si="1230"/>
        <v>0</v>
      </c>
      <c r="W4794" s="1394"/>
    </row>
    <row r="4795" spans="2:23" ht="30" customHeight="1">
      <c r="B4795" s="1405"/>
      <c r="C4795" s="1408"/>
      <c r="D4795" s="1409"/>
      <c r="E4795" s="1409"/>
      <c r="F4795" s="1410"/>
      <c r="G4795" s="1410"/>
      <c r="H4795" s="1411"/>
      <c r="I4795" s="1406"/>
      <c r="J4795" s="1410"/>
      <c r="K4795" s="1411"/>
      <c r="L4795" s="1411"/>
      <c r="Q4795" s="1394">
        <f>IFERROR(VLOOKUP(L4795,#REF!,3,0),0)</f>
        <v>0</v>
      </c>
      <c r="R4795" s="1394">
        <f t="shared" si="1251"/>
        <v>0</v>
      </c>
      <c r="S4795" s="1394">
        <f>IFERROR(VLOOKUP(M4795,#REF!,6,0),0)</f>
        <v>0</v>
      </c>
      <c r="T4795" s="1394">
        <f t="shared" si="1229"/>
        <v>0</v>
      </c>
      <c r="U4795" s="1394">
        <f>IFERROR(VLOOKUP(L4795,#REF!,5,0),0)</f>
        <v>0</v>
      </c>
      <c r="V4795" s="1394">
        <f t="shared" si="1230"/>
        <v>0</v>
      </c>
      <c r="W4795" s="1394"/>
    </row>
    <row r="4796" spans="2:23" ht="30" customHeight="1">
      <c r="B4796" s="1407"/>
      <c r="C4796" s="1408" t="s">
        <v>5924</v>
      </c>
      <c r="D4796" s="1409">
        <f t="shared" ref="D4796:E4801" si="1258">D1224</f>
        <v>0</v>
      </c>
      <c r="E4796" s="1409">
        <f t="shared" si="1258"/>
        <v>0</v>
      </c>
      <c r="F4796" s="1410"/>
      <c r="G4796" s="1410"/>
      <c r="H4796" s="1411"/>
      <c r="I4796" s="1406">
        <f t="shared" si="1253"/>
        <v>0</v>
      </c>
      <c r="J4796" s="1410">
        <f t="shared" ref="J4796:L4797" si="1259">F1224</f>
        <v>0</v>
      </c>
      <c r="K4796" s="1409">
        <f t="shared" si="1259"/>
        <v>0</v>
      </c>
      <c r="L4796" s="1411">
        <f t="shared" si="1259"/>
        <v>0</v>
      </c>
      <c r="Q4796" s="1394">
        <f>IFERROR(VLOOKUP(L4796,#REF!,3,0),0)</f>
        <v>0</v>
      </c>
      <c r="R4796" s="1394">
        <f t="shared" si="1251"/>
        <v>0</v>
      </c>
      <c r="S4796" s="1394">
        <f>IFERROR(VLOOKUP(M4796,#REF!,6,0),0)</f>
        <v>0</v>
      </c>
      <c r="T4796" s="1394">
        <f t="shared" si="1229"/>
        <v>0</v>
      </c>
      <c r="U4796" s="1394">
        <f>IFERROR(VLOOKUP(L4796,#REF!,5,0),0)</f>
        <v>0</v>
      </c>
      <c r="V4796" s="1394">
        <f t="shared" si="1230"/>
        <v>0</v>
      </c>
      <c r="W4796" s="1394"/>
    </row>
    <row r="4797" spans="2:23" ht="30" customHeight="1">
      <c r="B4797" s="1407"/>
      <c r="C4797" s="1415">
        <f>C1225</f>
        <v>0</v>
      </c>
      <c r="D4797" s="1409">
        <f t="shared" si="1258"/>
        <v>0</v>
      </c>
      <c r="E4797" s="1409">
        <f t="shared" si="1258"/>
        <v>0</v>
      </c>
      <c r="F4797" s="1410"/>
      <c r="G4797" s="1410"/>
      <c r="H4797" s="1411"/>
      <c r="I4797" s="1406">
        <f t="shared" si="1253"/>
        <v>0</v>
      </c>
      <c r="J4797" s="1410">
        <f t="shared" si="1259"/>
        <v>0</v>
      </c>
      <c r="K4797" s="1409">
        <f t="shared" si="1259"/>
        <v>0</v>
      </c>
      <c r="L4797" s="1409">
        <f t="shared" si="1259"/>
        <v>0</v>
      </c>
      <c r="Q4797" s="1394">
        <f>IFERROR(VLOOKUP(L4797,#REF!,3,0),0)</f>
        <v>0</v>
      </c>
      <c r="R4797" s="1394">
        <f t="shared" si="1251"/>
        <v>0</v>
      </c>
      <c r="S4797" s="1394">
        <f>IFERROR(VLOOKUP(M4797,#REF!,6,0),0)</f>
        <v>0</v>
      </c>
      <c r="T4797" s="1394">
        <f t="shared" si="1229"/>
        <v>0</v>
      </c>
      <c r="U4797" s="1394">
        <f>IFERROR(VLOOKUP(L4797,#REF!,5,0),0)</f>
        <v>0</v>
      </c>
      <c r="V4797" s="1394">
        <f t="shared" si="1230"/>
        <v>0</v>
      </c>
      <c r="W4797" s="1394"/>
    </row>
    <row r="4798" spans="2:23" ht="30" customHeight="1">
      <c r="B4798" s="1407"/>
      <c r="C4798" s="1408" t="str">
        <f>C1226</f>
        <v>SW</v>
      </c>
      <c r="D4798" s="1409">
        <f t="shared" si="1258"/>
        <v>1</v>
      </c>
      <c r="E4798" s="1409">
        <f t="shared" si="1258"/>
        <v>1</v>
      </c>
      <c r="F4798" s="1410">
        <f t="shared" ref="F4798:G4801" si="1260">J4798</f>
        <v>2.72</v>
      </c>
      <c r="G4798" s="1410">
        <f t="shared" si="1260"/>
        <v>0.6</v>
      </c>
      <c r="H4798" s="1411"/>
      <c r="I4798" s="1406">
        <f t="shared" si="1253"/>
        <v>1.6320000000000001</v>
      </c>
      <c r="J4798" s="1410">
        <f>F1226+0.46</f>
        <v>2.72</v>
      </c>
      <c r="K4798" s="1409">
        <f t="shared" ref="K4798:L4801" si="1261">G1226</f>
        <v>0.6</v>
      </c>
      <c r="L4798" s="1409">
        <f t="shared" si="1261"/>
        <v>6.25E-2</v>
      </c>
      <c r="Q4798" s="1394">
        <f>IFERROR(VLOOKUP(L4798,#REF!,3,0),0)</f>
        <v>0</v>
      </c>
      <c r="R4798" s="1394">
        <f t="shared" si="1251"/>
        <v>0</v>
      </c>
      <c r="S4798" s="1394">
        <f>IFERROR(VLOOKUP(M4798,#REF!,6,0),0)</f>
        <v>0</v>
      </c>
      <c r="T4798" s="1394">
        <f t="shared" si="1229"/>
        <v>0</v>
      </c>
      <c r="U4798" s="1394">
        <f>IFERROR(VLOOKUP(L4798,#REF!,5,0),0)</f>
        <v>0</v>
      </c>
      <c r="V4798" s="1394">
        <f t="shared" si="1230"/>
        <v>0</v>
      </c>
      <c r="W4798" s="1394"/>
    </row>
    <row r="4799" spans="2:23" ht="30" customHeight="1">
      <c r="B4799" s="1407"/>
      <c r="C4799" s="1408" t="str">
        <f>C1227</f>
        <v>W1</v>
      </c>
      <c r="D4799" s="1409">
        <f t="shared" si="1258"/>
        <v>1</v>
      </c>
      <c r="E4799" s="1409">
        <f t="shared" si="1258"/>
        <v>1</v>
      </c>
      <c r="F4799" s="1410">
        <f t="shared" si="1260"/>
        <v>2.42</v>
      </c>
      <c r="G4799" s="1410">
        <f t="shared" si="1260"/>
        <v>0.6</v>
      </c>
      <c r="H4799" s="1411"/>
      <c r="I4799" s="1406">
        <f t="shared" ref="I4799:I4801" si="1262">PRODUCT(D4799:H4799)</f>
        <v>1.452</v>
      </c>
      <c r="J4799" s="1410">
        <f>F1227+0.46</f>
        <v>2.42</v>
      </c>
      <c r="K4799" s="1409">
        <f t="shared" si="1261"/>
        <v>0.6</v>
      </c>
      <c r="L4799" s="1473">
        <f t="shared" si="1261"/>
        <v>6.25E-2</v>
      </c>
      <c r="Q4799" s="1394">
        <f>IFERROR(VLOOKUP(L4799,#REF!,3,0),0)</f>
        <v>0</v>
      </c>
      <c r="R4799" s="1394">
        <f t="shared" si="1251"/>
        <v>0</v>
      </c>
      <c r="S4799" s="1394">
        <f>IFERROR(VLOOKUP(M4799,#REF!,6,0),0)</f>
        <v>0</v>
      </c>
      <c r="T4799" s="1394">
        <f t="shared" si="1229"/>
        <v>0</v>
      </c>
      <c r="U4799" s="1394">
        <f>IFERROR(VLOOKUP(L4799,#REF!,5,0),0)</f>
        <v>0</v>
      </c>
      <c r="V4799" s="1394">
        <f t="shared" si="1230"/>
        <v>0</v>
      </c>
      <c r="W4799" s="1394"/>
    </row>
    <row r="4800" spans="2:23" ht="30" customHeight="1">
      <c r="B4800" s="1407"/>
      <c r="C4800" s="1408" t="str">
        <f>C1228</f>
        <v>W2</v>
      </c>
      <c r="D4800" s="1409">
        <f t="shared" si="1258"/>
        <v>1</v>
      </c>
      <c r="E4800" s="1409">
        <f t="shared" si="1258"/>
        <v>1</v>
      </c>
      <c r="F4800" s="1410">
        <f t="shared" si="1260"/>
        <v>2.12</v>
      </c>
      <c r="G4800" s="1410">
        <f t="shared" si="1260"/>
        <v>0.6</v>
      </c>
      <c r="H4800" s="1411"/>
      <c r="I4800" s="1406">
        <f t="shared" si="1262"/>
        <v>1.272</v>
      </c>
      <c r="J4800" s="1410">
        <f>F1228+0.46</f>
        <v>2.12</v>
      </c>
      <c r="K4800" s="1409">
        <f t="shared" si="1261"/>
        <v>0.6</v>
      </c>
      <c r="L4800" s="1473">
        <f t="shared" si="1261"/>
        <v>6.25E-2</v>
      </c>
      <c r="Q4800" s="1394">
        <f>IFERROR(VLOOKUP(L4800,#REF!,3,0),0)</f>
        <v>0</v>
      </c>
      <c r="R4800" s="1394">
        <f t="shared" si="1251"/>
        <v>0</v>
      </c>
      <c r="S4800" s="1394">
        <f>IFERROR(VLOOKUP(M4800,#REF!,6,0),0)</f>
        <v>0</v>
      </c>
      <c r="T4800" s="1394">
        <f t="shared" si="1229"/>
        <v>0</v>
      </c>
      <c r="U4800" s="1394">
        <f>IFERROR(VLOOKUP(L4800,#REF!,5,0),0)</f>
        <v>0</v>
      </c>
      <c r="V4800" s="1394">
        <f t="shared" si="1230"/>
        <v>0</v>
      </c>
      <c r="W4800" s="1394"/>
    </row>
    <row r="4801" spans="1:24" ht="30" customHeight="1">
      <c r="B4801" s="1407"/>
      <c r="C4801" s="1408" t="str">
        <f>C1229</f>
        <v>W3</v>
      </c>
      <c r="D4801" s="1409">
        <f t="shared" si="1258"/>
        <v>1</v>
      </c>
      <c r="E4801" s="1409">
        <f t="shared" si="1258"/>
        <v>1</v>
      </c>
      <c r="F4801" s="1410">
        <f t="shared" si="1260"/>
        <v>1.92</v>
      </c>
      <c r="G4801" s="1410">
        <f t="shared" si="1260"/>
        <v>0.6</v>
      </c>
      <c r="H4801" s="1411"/>
      <c r="I4801" s="1406">
        <f t="shared" si="1262"/>
        <v>1.1519999999999999</v>
      </c>
      <c r="J4801" s="1410">
        <f>F1229+0.46</f>
        <v>1.92</v>
      </c>
      <c r="K4801" s="1409">
        <f t="shared" si="1261"/>
        <v>0.6</v>
      </c>
      <c r="L4801" s="1473">
        <f t="shared" si="1261"/>
        <v>6.25E-2</v>
      </c>
      <c r="Q4801" s="1394">
        <f>IFERROR(VLOOKUP(L4801,#REF!,3,0),0)</f>
        <v>0</v>
      </c>
      <c r="R4801" s="1394">
        <f t="shared" si="1251"/>
        <v>0</v>
      </c>
      <c r="S4801" s="1394">
        <f>IFERROR(VLOOKUP(M4801,#REF!,6,0),0)</f>
        <v>0</v>
      </c>
      <c r="T4801" s="1394">
        <f t="shared" si="1229"/>
        <v>0</v>
      </c>
      <c r="U4801" s="1394">
        <f>IFERROR(VLOOKUP(L4801,#REF!,5,0),0)</f>
        <v>0</v>
      </c>
      <c r="V4801" s="1394">
        <f t="shared" si="1230"/>
        <v>0</v>
      </c>
      <c r="W4801" s="1394"/>
    </row>
    <row r="4802" spans="1:24" ht="30" customHeight="1">
      <c r="B4802" s="1407"/>
      <c r="C4802" s="1408"/>
      <c r="D4802" s="1409"/>
      <c r="E4802" s="1409"/>
      <c r="F4802" s="1410"/>
      <c r="G4802" s="1410"/>
      <c r="H4802" s="1473"/>
      <c r="I4802" s="1406"/>
      <c r="L4802" s="1399"/>
      <c r="Q4802" s="1394">
        <f>IFERROR(VLOOKUP(L4802,#REF!,3,0),0)</f>
        <v>0</v>
      </c>
      <c r="R4802" s="1394">
        <f t="shared" si="1251"/>
        <v>0</v>
      </c>
      <c r="S4802" s="1394">
        <f>IFERROR(VLOOKUP(M4802,#REF!,6,0),0)</f>
        <v>0</v>
      </c>
      <c r="T4802" s="1394">
        <f t="shared" si="1229"/>
        <v>0</v>
      </c>
      <c r="U4802" s="1394">
        <f>IFERROR(VLOOKUP(L4802,#REF!,5,0),0)</f>
        <v>0</v>
      </c>
      <c r="V4802" s="1394">
        <f t="shared" si="1230"/>
        <v>0</v>
      </c>
      <c r="W4802" s="1394"/>
    </row>
    <row r="4803" spans="1:24" ht="30" customHeight="1">
      <c r="B4803" s="1407"/>
      <c r="C4803" s="1408" t="str">
        <f>C1231</f>
        <v>Roof beam</v>
      </c>
      <c r="D4803" s="1409">
        <f>D1231</f>
        <v>0</v>
      </c>
      <c r="E4803" s="1409">
        <f>E1231</f>
        <v>0</v>
      </c>
      <c r="F4803" s="1410"/>
      <c r="G4803" s="1410"/>
      <c r="H4803" s="1411"/>
      <c r="I4803" s="1406">
        <f t="shared" ref="I4803:I4808" si="1263">PRODUCT(D4803:H4803)</f>
        <v>0</v>
      </c>
      <c r="J4803" s="1410">
        <f>F1231</f>
        <v>0</v>
      </c>
      <c r="K4803" s="1409">
        <f>G1231</f>
        <v>0</v>
      </c>
      <c r="L4803" s="1411">
        <f>H1231</f>
        <v>0</v>
      </c>
      <c r="Q4803" s="1394">
        <f>IFERROR(VLOOKUP(L4803,#REF!,3,0),0)</f>
        <v>0</v>
      </c>
      <c r="R4803" s="1394">
        <f t="shared" si="1251"/>
        <v>0</v>
      </c>
      <c r="S4803" s="1394">
        <f>IFERROR(VLOOKUP(M4803,#REF!,6,0),0)</f>
        <v>0</v>
      </c>
      <c r="T4803" s="1394">
        <f t="shared" ref="T4803:T4850" si="1264">R4803-S4803</f>
        <v>0</v>
      </c>
      <c r="U4803" s="1394">
        <f>IFERROR(VLOOKUP(L4803,#REF!,5,0),0)</f>
        <v>0</v>
      </c>
      <c r="V4803" s="1394">
        <f t="shared" ref="V4803:V4850" si="1265">O4803-U4803</f>
        <v>0</v>
      </c>
      <c r="W4803" s="1394"/>
    </row>
    <row r="4804" spans="1:24" ht="30" customHeight="1">
      <c r="B4804" s="1407"/>
      <c r="C4804" s="1408" t="str">
        <f t="shared" ref="C4804:E4807" si="1266">C1226</f>
        <v>SW</v>
      </c>
      <c r="D4804" s="1409">
        <f t="shared" si="1266"/>
        <v>1</v>
      </c>
      <c r="E4804" s="1409">
        <f t="shared" si="1266"/>
        <v>1</v>
      </c>
      <c r="F4804" s="1410">
        <f>J4804+K4804+K4804</f>
        <v>3.9200000000000004</v>
      </c>
      <c r="G4804" s="1410"/>
      <c r="H4804" s="1473">
        <f>L4804</f>
        <v>6.25E-2</v>
      </c>
      <c r="I4804" s="1406">
        <f t="shared" si="1263"/>
        <v>0.24500000000000002</v>
      </c>
      <c r="J4804" s="1410">
        <f>F1226+0.46</f>
        <v>2.72</v>
      </c>
      <c r="K4804" s="1409">
        <f t="shared" ref="K4804:L4807" si="1267">G1226</f>
        <v>0.6</v>
      </c>
      <c r="L4804" s="1409">
        <f t="shared" si="1267"/>
        <v>6.25E-2</v>
      </c>
      <c r="Q4804" s="1394">
        <f>IFERROR(VLOOKUP(L4804,#REF!,3,0),0)</f>
        <v>0</v>
      </c>
      <c r="R4804" s="1394">
        <f t="shared" si="1251"/>
        <v>0</v>
      </c>
      <c r="S4804" s="1394">
        <f>IFERROR(VLOOKUP(M4804,#REF!,6,0),0)</f>
        <v>0</v>
      </c>
      <c r="T4804" s="1394">
        <f t="shared" si="1264"/>
        <v>0</v>
      </c>
      <c r="U4804" s="1394">
        <f>IFERROR(VLOOKUP(L4804,#REF!,5,0),0)</f>
        <v>0</v>
      </c>
      <c r="V4804" s="1394">
        <f t="shared" si="1265"/>
        <v>0</v>
      </c>
      <c r="W4804" s="1394"/>
    </row>
    <row r="4805" spans="1:24" ht="30" customHeight="1">
      <c r="B4805" s="1407"/>
      <c r="C4805" s="1408" t="str">
        <f t="shared" si="1266"/>
        <v>W1</v>
      </c>
      <c r="D4805" s="1409">
        <f t="shared" si="1266"/>
        <v>1</v>
      </c>
      <c r="E4805" s="1409">
        <f t="shared" si="1266"/>
        <v>1</v>
      </c>
      <c r="F4805" s="1410">
        <f>J4805+K4805+K4805</f>
        <v>3.62</v>
      </c>
      <c r="G4805" s="1410"/>
      <c r="H4805" s="1473">
        <f>L4805</f>
        <v>6.25E-2</v>
      </c>
      <c r="I4805" s="1406">
        <f t="shared" ref="I4805:I4807" si="1268">PRODUCT(D4805:H4805)</f>
        <v>0.22625000000000001</v>
      </c>
      <c r="J4805" s="1410">
        <f>F1227+0.46</f>
        <v>2.42</v>
      </c>
      <c r="K4805" s="1409">
        <f t="shared" si="1267"/>
        <v>0.6</v>
      </c>
      <c r="L4805" s="1409">
        <f t="shared" si="1267"/>
        <v>6.25E-2</v>
      </c>
      <c r="Q4805" s="1394">
        <f>IFERROR(VLOOKUP(L4805,#REF!,3,0),0)</f>
        <v>0</v>
      </c>
      <c r="R4805" s="1394">
        <f t="shared" si="1251"/>
        <v>0</v>
      </c>
      <c r="S4805" s="1394">
        <f>IFERROR(VLOOKUP(M4805,#REF!,6,0),0)</f>
        <v>0</v>
      </c>
      <c r="T4805" s="1394">
        <f t="shared" si="1264"/>
        <v>0</v>
      </c>
      <c r="U4805" s="1394">
        <f>IFERROR(VLOOKUP(L4805,#REF!,5,0),0)</f>
        <v>0</v>
      </c>
      <c r="V4805" s="1394">
        <f t="shared" si="1265"/>
        <v>0</v>
      </c>
      <c r="W4805" s="1394"/>
    </row>
    <row r="4806" spans="1:24" ht="30" customHeight="1">
      <c r="B4806" s="1407"/>
      <c r="C4806" s="1408" t="str">
        <f t="shared" si="1266"/>
        <v>W2</v>
      </c>
      <c r="D4806" s="1409">
        <f t="shared" si="1266"/>
        <v>1</v>
      </c>
      <c r="E4806" s="1409">
        <f t="shared" si="1266"/>
        <v>1</v>
      </c>
      <c r="F4806" s="1410">
        <f>J4806+K4806+K4806</f>
        <v>3.3200000000000003</v>
      </c>
      <c r="G4806" s="1410"/>
      <c r="H4806" s="1473">
        <f>L4806</f>
        <v>6.25E-2</v>
      </c>
      <c r="I4806" s="1406">
        <f t="shared" si="1268"/>
        <v>0.20750000000000002</v>
      </c>
      <c r="J4806" s="1410">
        <f>F1228+0.46</f>
        <v>2.12</v>
      </c>
      <c r="K4806" s="1409">
        <f t="shared" si="1267"/>
        <v>0.6</v>
      </c>
      <c r="L4806" s="1409">
        <f t="shared" si="1267"/>
        <v>6.25E-2</v>
      </c>
      <c r="Q4806" s="1394">
        <f>IFERROR(VLOOKUP(L4806,#REF!,3,0),0)</f>
        <v>0</v>
      </c>
      <c r="R4806" s="1394">
        <f t="shared" si="1251"/>
        <v>0</v>
      </c>
      <c r="S4806" s="1394">
        <f>IFERROR(VLOOKUP(M4806,#REF!,6,0),0)</f>
        <v>0</v>
      </c>
      <c r="T4806" s="1394">
        <f t="shared" si="1264"/>
        <v>0</v>
      </c>
      <c r="U4806" s="1394">
        <f>IFERROR(VLOOKUP(L4806,#REF!,5,0),0)</f>
        <v>0</v>
      </c>
      <c r="V4806" s="1394">
        <f t="shared" si="1265"/>
        <v>0</v>
      </c>
      <c r="W4806" s="1394"/>
    </row>
    <row r="4807" spans="1:24" ht="30" customHeight="1">
      <c r="B4807" s="1407"/>
      <c r="C4807" s="1408" t="str">
        <f t="shared" si="1266"/>
        <v>W3</v>
      </c>
      <c r="D4807" s="1409">
        <f t="shared" si="1266"/>
        <v>1</v>
      </c>
      <c r="E4807" s="1409">
        <f t="shared" si="1266"/>
        <v>1</v>
      </c>
      <c r="F4807" s="1410">
        <f>J4807+K4807+K4807</f>
        <v>3.12</v>
      </c>
      <c r="G4807" s="1410"/>
      <c r="H4807" s="1473">
        <f>L4807</f>
        <v>6.25E-2</v>
      </c>
      <c r="I4807" s="1406">
        <f t="shared" si="1268"/>
        <v>0.19500000000000001</v>
      </c>
      <c r="J4807" s="1410">
        <f>F1229+0.46</f>
        <v>1.92</v>
      </c>
      <c r="K4807" s="1409">
        <f t="shared" si="1267"/>
        <v>0.6</v>
      </c>
      <c r="L4807" s="1409">
        <f t="shared" si="1267"/>
        <v>6.25E-2</v>
      </c>
      <c r="Q4807" s="1394">
        <f>IFERROR(VLOOKUP(L4807,#REF!,3,0),0)</f>
        <v>0</v>
      </c>
      <c r="R4807" s="1394">
        <f t="shared" si="1251"/>
        <v>0</v>
      </c>
      <c r="S4807" s="1394">
        <f>IFERROR(VLOOKUP(M4807,#REF!,6,0),0)</f>
        <v>0</v>
      </c>
      <c r="T4807" s="1394">
        <f t="shared" si="1264"/>
        <v>0</v>
      </c>
      <c r="U4807" s="1394">
        <f>IFERROR(VLOOKUP(L4807,#REF!,5,0),0)</f>
        <v>0</v>
      </c>
      <c r="V4807" s="1394">
        <f t="shared" si="1265"/>
        <v>0</v>
      </c>
      <c r="W4807" s="1394"/>
    </row>
    <row r="4808" spans="1:24" ht="30" customHeight="1">
      <c r="B4808" s="1407"/>
      <c r="C4808" s="1408">
        <f>C1236</f>
        <v>0</v>
      </c>
      <c r="D4808" s="1409">
        <f>D1236</f>
        <v>0</v>
      </c>
      <c r="E4808" s="1409">
        <f>E1236</f>
        <v>0</v>
      </c>
      <c r="F4808" s="1410"/>
      <c r="G4808" s="1410"/>
      <c r="H4808" s="1411"/>
      <c r="I4808" s="1406">
        <f t="shared" si="1263"/>
        <v>0</v>
      </c>
      <c r="J4808" s="1410">
        <f>F1236</f>
        <v>0</v>
      </c>
      <c r="K4808" s="1409">
        <f>G1236</f>
        <v>0</v>
      </c>
      <c r="L4808" s="1473">
        <f>H1236</f>
        <v>0</v>
      </c>
      <c r="Q4808" s="1394">
        <f>IFERROR(VLOOKUP(L4808,#REF!,3,0),0)</f>
        <v>0</v>
      </c>
      <c r="R4808" s="1394">
        <f t="shared" si="1251"/>
        <v>0</v>
      </c>
      <c r="S4808" s="1394">
        <f>IFERROR(VLOOKUP(M4808,#REF!,6,0),0)</f>
        <v>0</v>
      </c>
      <c r="T4808" s="1394">
        <f t="shared" si="1264"/>
        <v>0</v>
      </c>
      <c r="U4808" s="1394">
        <f>IFERROR(VLOOKUP(L4808,#REF!,5,0),0)</f>
        <v>0</v>
      </c>
      <c r="V4808" s="1394">
        <f t="shared" si="1265"/>
        <v>0</v>
      </c>
      <c r="W4808" s="1394"/>
    </row>
    <row r="4809" spans="1:24" ht="30" customHeight="1">
      <c r="B4809" s="1407"/>
      <c r="C4809" s="1408"/>
      <c r="D4809" s="1409"/>
      <c r="E4809" s="1409"/>
      <c r="F4809" s="1410"/>
      <c r="G4809" s="1410"/>
      <c r="H4809" s="1411"/>
      <c r="I4809" s="1406">
        <f t="shared" ref="I4809" si="1269">PRODUCT(D4809:H4809)</f>
        <v>0</v>
      </c>
      <c r="Q4809" s="1394">
        <f>IFERROR(VLOOKUP(M4809,#REF!,3,0),0)</f>
        <v>0</v>
      </c>
      <c r="R4809" s="1394">
        <f t="shared" si="1251"/>
        <v>0</v>
      </c>
      <c r="S4809" s="1394">
        <f>IFERROR(VLOOKUP(M4809,#REF!,6,0),0)</f>
        <v>0</v>
      </c>
      <c r="T4809" s="1394">
        <f t="shared" si="1264"/>
        <v>0</v>
      </c>
      <c r="U4809" s="1394">
        <f>IFERROR(VLOOKUP(M4809,#REF!,5,0),0)</f>
        <v>0</v>
      </c>
      <c r="V4809" s="1394">
        <f t="shared" si="1265"/>
        <v>0</v>
      </c>
      <c r="W4809" s="1394"/>
    </row>
    <row r="4810" spans="1:24" ht="30" customHeight="1">
      <c r="B4810" s="1407"/>
      <c r="C4810" s="1408"/>
      <c r="D4810" s="1409"/>
      <c r="E4810" s="1409"/>
      <c r="F4810" s="1410"/>
      <c r="G4810" s="1410"/>
      <c r="H4810" s="1411"/>
      <c r="I4810" s="1471"/>
      <c r="Q4810" s="1394">
        <f>IFERROR(VLOOKUP(M4810,#REF!,3,0),0)</f>
        <v>0</v>
      </c>
      <c r="R4810" s="1394">
        <f t="shared" si="1251"/>
        <v>0</v>
      </c>
      <c r="S4810" s="1394">
        <f>IFERROR(VLOOKUP(M4810,#REF!,6,0),0)</f>
        <v>0</v>
      </c>
      <c r="T4810" s="1394">
        <f t="shared" si="1264"/>
        <v>0</v>
      </c>
      <c r="U4810" s="1394">
        <f>IFERROR(VLOOKUP(M4810,#REF!,5,0),0)</f>
        <v>0</v>
      </c>
      <c r="V4810" s="1394">
        <f t="shared" si="1265"/>
        <v>0</v>
      </c>
      <c r="W4810" s="1394"/>
    </row>
    <row r="4811" spans="1:24" s="1394" customFormat="1" ht="30" customHeight="1">
      <c r="B4811" s="1421"/>
      <c r="C4811" s="1422" t="s">
        <v>270</v>
      </c>
      <c r="D4811" s="1389"/>
      <c r="E4811" s="1389"/>
      <c r="F4811" s="1423"/>
      <c r="G4811" s="1423"/>
      <c r="H4811" s="1424"/>
      <c r="I4811" s="1425">
        <f>J4812-J4811</f>
        <v>0.40241500000001906</v>
      </c>
      <c r="J4811" s="1394">
        <f>SUM(I4644:I4809)</f>
        <v>834.59758499999998</v>
      </c>
      <c r="M4811" s="1426"/>
      <c r="Q4811" s="1394">
        <f>IFERROR(VLOOKUP(M4811,#REF!,3,0),0)</f>
        <v>0</v>
      </c>
      <c r="R4811" s="1394">
        <f t="shared" si="1251"/>
        <v>0</v>
      </c>
      <c r="S4811" s="1394">
        <f>IFERROR(VLOOKUP(M4811,#REF!,6,0),0)</f>
        <v>0</v>
      </c>
      <c r="T4811" s="1394">
        <f t="shared" si="1264"/>
        <v>0</v>
      </c>
      <c r="U4811" s="1394">
        <f>IFERROR(VLOOKUP(M4811,#REF!,5,0),0)</f>
        <v>0</v>
      </c>
      <c r="V4811" s="1394">
        <f t="shared" si="1265"/>
        <v>0</v>
      </c>
    </row>
    <row r="4812" spans="1:24" s="1394" customFormat="1" ht="30" customHeight="1">
      <c r="B4812" s="1421"/>
      <c r="C4812" s="1457"/>
      <c r="D4812" s="1389"/>
      <c r="E4812" s="1389"/>
      <c r="F4812" s="1423"/>
      <c r="G4812" s="1423"/>
      <c r="H4812" s="1424"/>
      <c r="I4812" s="1427">
        <f>+J4812</f>
        <v>835</v>
      </c>
      <c r="J4812" s="1394">
        <f>ROUNDUP(J4811,0)</f>
        <v>835</v>
      </c>
      <c r="M4812" s="1426"/>
      <c r="Q4812" s="1394">
        <f>IFERROR(VLOOKUP(M4812,#REF!,3,0),0)</f>
        <v>0</v>
      </c>
      <c r="R4812" s="1394">
        <f t="shared" si="1251"/>
        <v>0</v>
      </c>
      <c r="S4812" s="1394">
        <f>IFERROR(VLOOKUP(M4812,#REF!,6,0),0)</f>
        <v>0</v>
      </c>
      <c r="T4812" s="1394">
        <f t="shared" si="1264"/>
        <v>0</v>
      </c>
      <c r="U4812" s="1394">
        <f>IFERROR(VLOOKUP(M4812,#REF!,5,0),0)</f>
        <v>0</v>
      </c>
      <c r="V4812" s="1394">
        <f t="shared" si="1265"/>
        <v>0</v>
      </c>
    </row>
    <row r="4813" spans="1:24" s="1394" customFormat="1" ht="30" customHeight="1">
      <c r="B4813" s="1421"/>
      <c r="C4813" s="1422"/>
      <c r="D4813" s="1389"/>
      <c r="E4813" s="1389"/>
      <c r="F4813" s="1423"/>
      <c r="G4813" s="1428" t="s">
        <v>11</v>
      </c>
      <c r="H4813" s="1429">
        <f>I4812</f>
        <v>835</v>
      </c>
      <c r="I4813" s="1427" t="s">
        <v>26</v>
      </c>
      <c r="M4813" s="1394" t="str">
        <f>A4643</f>
        <v>c.For Square and rectangular columns and small quantities</v>
      </c>
      <c r="N4813" s="1394">
        <f>B4643</f>
        <v>0</v>
      </c>
      <c r="O4813" s="1394">
        <f>H4813</f>
        <v>835</v>
      </c>
      <c r="P4813" s="1394" t="str">
        <f>I4813</f>
        <v>Sqm</v>
      </c>
      <c r="Q4813" s="1394">
        <f>IFERROR(VLOOKUP(M4813,#REF!,3,0),0)</f>
        <v>0</v>
      </c>
      <c r="R4813" s="1394">
        <f t="shared" si="1251"/>
        <v>0</v>
      </c>
      <c r="S4813" s="1394">
        <f>IFERROR(VLOOKUP(M4813,#REF!,6,0),0)</f>
        <v>0</v>
      </c>
      <c r="T4813" s="1394">
        <f t="shared" si="1264"/>
        <v>0</v>
      </c>
      <c r="U4813" s="1394">
        <f>IFERROR(VLOOKUP(M4813,#REF!,5,0),0)</f>
        <v>0</v>
      </c>
      <c r="V4813" s="1394">
        <f t="shared" si="1265"/>
        <v>835</v>
      </c>
    </row>
    <row r="4814" spans="1:24" ht="36.75" customHeight="1">
      <c r="A4814" s="1390" t="s">
        <v>299</v>
      </c>
      <c r="B4814" s="1405"/>
      <c r="C4814" s="1678" t="e">
        <f>VLOOKUP(A4814,#REF!,2,0)</f>
        <v>#REF!</v>
      </c>
      <c r="D4814" s="1678"/>
      <c r="E4814" s="1678"/>
      <c r="F4814" s="1678"/>
      <c r="G4814" s="1678"/>
      <c r="H4814" s="1678"/>
      <c r="I4814" s="1406"/>
      <c r="P4814" s="1557"/>
      <c r="Q4814" s="1394">
        <f>IFERROR(VLOOKUP(M4814,#REF!,3,0),0)</f>
        <v>0</v>
      </c>
      <c r="R4814" s="1394">
        <f t="shared" si="1251"/>
        <v>0</v>
      </c>
      <c r="S4814" s="1394">
        <f>IFERROR(VLOOKUP(M4814,#REF!,6,0),0)</f>
        <v>0</v>
      </c>
      <c r="T4814" s="1394">
        <f t="shared" si="1264"/>
        <v>0</v>
      </c>
      <c r="U4814" s="1394">
        <f>IFERROR(VLOOKUP(M4814,#REF!,5,0),0)</f>
        <v>0</v>
      </c>
      <c r="V4814" s="1394">
        <f t="shared" si="1265"/>
        <v>0</v>
      </c>
      <c r="W4814" s="1394"/>
      <c r="X4814" s="1397"/>
    </row>
    <row r="4815" spans="1:24" ht="30" customHeight="1">
      <c r="B4815" s="1405"/>
      <c r="C4815" s="1494" t="s">
        <v>5928</v>
      </c>
      <c r="D4815" s="68"/>
      <c r="E4815" s="68"/>
      <c r="F4815" s="1413"/>
      <c r="G4815" s="1413"/>
      <c r="H4815" s="1414"/>
      <c r="I4815" s="1406">
        <f>H603</f>
        <v>35.012000000000008</v>
      </c>
      <c r="P4815" s="1557"/>
      <c r="Q4815" s="1394">
        <f>IFERROR(VLOOKUP(M4815,#REF!,3,0),0)</f>
        <v>0</v>
      </c>
      <c r="R4815" s="1394">
        <f t="shared" si="1251"/>
        <v>0</v>
      </c>
      <c r="S4815" s="1394">
        <f>IFERROR(VLOOKUP(M4815,#REF!,6,0),0)</f>
        <v>0</v>
      </c>
      <c r="T4815" s="1394">
        <f t="shared" si="1264"/>
        <v>0</v>
      </c>
      <c r="U4815" s="1394">
        <f>IFERROR(VLOOKUP(M4815,#REF!,5,0),0)</f>
        <v>0</v>
      </c>
      <c r="V4815" s="1394">
        <f t="shared" si="1265"/>
        <v>0</v>
      </c>
      <c r="W4815" s="1394"/>
    </row>
    <row r="4816" spans="1:24" ht="30" customHeight="1">
      <c r="B4816" s="1405"/>
      <c r="C4816" s="1408" t="str">
        <f t="shared" ref="C4816:H4817" si="1270">C1257</f>
        <v>Lift wall Concrete</v>
      </c>
      <c r="D4816" s="1409">
        <f t="shared" si="1270"/>
        <v>0</v>
      </c>
      <c r="E4816" s="1409">
        <f t="shared" si="1270"/>
        <v>0</v>
      </c>
      <c r="F4816" s="1410">
        <f t="shared" si="1270"/>
        <v>0</v>
      </c>
      <c r="G4816" s="1410">
        <f t="shared" si="1270"/>
        <v>0</v>
      </c>
      <c r="H4816" s="1410">
        <f t="shared" si="1270"/>
        <v>0</v>
      </c>
      <c r="I4816" s="1406">
        <f>PRODUCT(D4816:H4816)</f>
        <v>0</v>
      </c>
      <c r="Q4816" s="1394">
        <f>IFERROR(VLOOKUP(M4816,#REF!,3,0),0)</f>
        <v>0</v>
      </c>
      <c r="R4816" s="1394">
        <f t="shared" si="1251"/>
        <v>0</v>
      </c>
      <c r="S4816" s="1394">
        <f>IFERROR(VLOOKUP(M4816,#REF!,6,0),0)</f>
        <v>0</v>
      </c>
      <c r="T4816" s="1394">
        <f t="shared" si="1264"/>
        <v>0</v>
      </c>
      <c r="U4816" s="1394">
        <f>IFERROR(VLOOKUP(M4816,#REF!,5,0),0)</f>
        <v>0</v>
      </c>
      <c r="V4816" s="1394">
        <f t="shared" si="1265"/>
        <v>0</v>
      </c>
      <c r="W4816" s="1394"/>
    </row>
    <row r="4817" spans="1:26" ht="30" customHeight="1">
      <c r="B4817" s="1407"/>
      <c r="C4817" s="1415" t="str">
        <f t="shared" si="1270"/>
        <v>Lift Room</v>
      </c>
      <c r="D4817" s="1409">
        <f t="shared" si="1270"/>
        <v>0</v>
      </c>
      <c r="E4817" s="1409">
        <f t="shared" si="1270"/>
        <v>0</v>
      </c>
      <c r="F4817" s="1410">
        <f t="shared" si="1270"/>
        <v>0</v>
      </c>
      <c r="G4817" s="1410">
        <f t="shared" si="1270"/>
        <v>0</v>
      </c>
      <c r="H4817" s="1409">
        <f t="shared" si="1270"/>
        <v>0</v>
      </c>
      <c r="I4817" s="1406">
        <f>PRODUCT(D4817:H4817)</f>
        <v>0</v>
      </c>
      <c r="Q4817" s="1394">
        <f>IFERROR(VLOOKUP(M4817,#REF!,3,0),0)</f>
        <v>0</v>
      </c>
      <c r="R4817" s="1394">
        <f t="shared" si="1251"/>
        <v>0</v>
      </c>
      <c r="S4817" s="1394">
        <f>IFERROR(VLOOKUP(M4817,#REF!,6,0),0)</f>
        <v>0</v>
      </c>
      <c r="T4817" s="1394">
        <f t="shared" si="1264"/>
        <v>0</v>
      </c>
      <c r="U4817" s="1394">
        <f>IFERROR(VLOOKUP(M4817,#REF!,5,0),0)</f>
        <v>0</v>
      </c>
      <c r="V4817" s="1394">
        <f t="shared" si="1265"/>
        <v>0</v>
      </c>
      <c r="W4817" s="1394"/>
    </row>
    <row r="4818" spans="1:26" ht="30" customHeight="1">
      <c r="B4818" s="1407"/>
      <c r="C4818" s="1415" t="str">
        <f>C1259</f>
        <v>Lift Room alround</v>
      </c>
      <c r="D4818" s="1409">
        <v>2</v>
      </c>
      <c r="E4818" s="1409">
        <f>E1259</f>
        <v>1</v>
      </c>
      <c r="F4818" s="1410">
        <f>F1259</f>
        <v>9.7199999999999989</v>
      </c>
      <c r="G4818" s="1410"/>
      <c r="H4818" s="1411">
        <f>H1259</f>
        <v>1.2</v>
      </c>
      <c r="I4818" s="1406">
        <f>PRODUCT(D4818:H4818)</f>
        <v>23.327999999999996</v>
      </c>
      <c r="Q4818" s="1394">
        <f>IFERROR(VLOOKUP(M4818,#REF!,3,0),0)</f>
        <v>0</v>
      </c>
      <c r="R4818" s="1394">
        <f t="shared" si="1251"/>
        <v>0</v>
      </c>
      <c r="S4818" s="1394">
        <f>IFERROR(VLOOKUP(M4818,#REF!,6,0),0)</f>
        <v>0</v>
      </c>
      <c r="T4818" s="1394">
        <f t="shared" si="1264"/>
        <v>0</v>
      </c>
      <c r="U4818" s="1394">
        <f>IFERROR(VLOOKUP(M4818,#REF!,5,0),0)</f>
        <v>0</v>
      </c>
      <c r="V4818" s="1394">
        <f t="shared" si="1265"/>
        <v>0</v>
      </c>
      <c r="W4818" s="1394"/>
    </row>
    <row r="4819" spans="1:26" ht="30" customHeight="1">
      <c r="B4819" s="1405"/>
      <c r="C4819" s="73"/>
      <c r="D4819" s="1523"/>
      <c r="E4819" s="1523"/>
      <c r="F4819" s="1413"/>
      <c r="G4819" s="1413"/>
      <c r="H4819" s="1414"/>
      <c r="I4819" s="1406"/>
      <c r="P4819" s="1557"/>
      <c r="Q4819" s="1394">
        <f>IFERROR(VLOOKUP(M4819,#REF!,3,0),0)</f>
        <v>0</v>
      </c>
      <c r="R4819" s="1394">
        <f t="shared" si="1251"/>
        <v>0</v>
      </c>
      <c r="S4819" s="1394">
        <f>IFERROR(VLOOKUP(M4819,#REF!,6,0),0)</f>
        <v>0</v>
      </c>
      <c r="T4819" s="1394">
        <f t="shared" si="1264"/>
        <v>0</v>
      </c>
      <c r="U4819" s="1394">
        <f>IFERROR(VLOOKUP(M4819,#REF!,5,0),0)</f>
        <v>0</v>
      </c>
      <c r="V4819" s="1394">
        <f t="shared" si="1265"/>
        <v>0</v>
      </c>
      <c r="W4819" s="1394"/>
    </row>
    <row r="4820" spans="1:26" ht="30" customHeight="1">
      <c r="B4820" s="1405"/>
      <c r="C4820" s="73"/>
      <c r="D4820" s="1523"/>
      <c r="E4820" s="1523"/>
      <c r="F4820" s="1413"/>
      <c r="G4820" s="1413"/>
      <c r="H4820" s="1414"/>
      <c r="I4820" s="1406"/>
      <c r="P4820" s="1557"/>
      <c r="Q4820" s="1394">
        <f>IFERROR(VLOOKUP(M4820,#REF!,3,0),0)</f>
        <v>0</v>
      </c>
      <c r="R4820" s="1394">
        <f t="shared" si="1251"/>
        <v>0</v>
      </c>
      <c r="S4820" s="1394">
        <f>IFERROR(VLOOKUP(M4820,#REF!,6,0),0)</f>
        <v>0</v>
      </c>
      <c r="T4820" s="1394">
        <f t="shared" si="1264"/>
        <v>0</v>
      </c>
      <c r="U4820" s="1394">
        <f>IFERROR(VLOOKUP(M4820,#REF!,5,0),0)</f>
        <v>0</v>
      </c>
      <c r="V4820" s="1394">
        <f t="shared" si="1265"/>
        <v>0</v>
      </c>
      <c r="W4820" s="1394"/>
    </row>
    <row r="4821" spans="1:26" ht="30" customHeight="1">
      <c r="B4821" s="1405"/>
      <c r="C4821" s="1455"/>
      <c r="D4821" s="103"/>
      <c r="E4821" s="103"/>
      <c r="F4821" s="1413"/>
      <c r="G4821" s="1413"/>
      <c r="H4821" s="1414"/>
      <c r="I4821" s="1479">
        <f>SUM(I4815:I4820)</f>
        <v>58.34</v>
      </c>
      <c r="P4821" s="1557"/>
      <c r="Q4821" s="1394">
        <f>IFERROR(VLOOKUP(M4821,#REF!,3,0),0)</f>
        <v>0</v>
      </c>
      <c r="R4821" s="1394">
        <f t="shared" si="1251"/>
        <v>0</v>
      </c>
      <c r="S4821" s="1394">
        <f>IFERROR(VLOOKUP(M4821,#REF!,6,0),0)</f>
        <v>0</v>
      </c>
      <c r="T4821" s="1394">
        <f t="shared" si="1264"/>
        <v>0</v>
      </c>
      <c r="U4821" s="1394">
        <f>IFERROR(VLOOKUP(M4821,#REF!,5,0),0)</f>
        <v>0</v>
      </c>
      <c r="V4821" s="1394">
        <f t="shared" si="1265"/>
        <v>0</v>
      </c>
      <c r="W4821" s="1394"/>
    </row>
    <row r="4822" spans="1:26" ht="30" customHeight="1">
      <c r="B4822" s="1405"/>
      <c r="C4822" s="1455"/>
      <c r="D4822" s="103"/>
      <c r="E4822" s="103"/>
      <c r="F4822" s="1413"/>
      <c r="G4822" s="1483" t="s">
        <v>11</v>
      </c>
      <c r="H4822" s="1478">
        <f>I4821</f>
        <v>58.34</v>
      </c>
      <c r="I4822" s="1479" t="s">
        <v>26</v>
      </c>
      <c r="M4822" s="1394" t="str">
        <f>A4814</f>
        <v>d.Vertical wall</v>
      </c>
      <c r="N4822" s="1394">
        <f>B4814</f>
        <v>0</v>
      </c>
      <c r="O4822" s="1394">
        <f>H4822</f>
        <v>58.34</v>
      </c>
      <c r="P4822" s="1394" t="str">
        <f>I4822</f>
        <v>Sqm</v>
      </c>
      <c r="Q4822" s="1394">
        <f>IFERROR(VLOOKUP(M4822,#REF!,3,0),0)</f>
        <v>0</v>
      </c>
      <c r="R4822" s="1394">
        <f t="shared" si="1251"/>
        <v>0</v>
      </c>
      <c r="S4822" s="1394">
        <f>IFERROR(VLOOKUP(M4822,#REF!,6,0),0)</f>
        <v>0</v>
      </c>
      <c r="T4822" s="1394">
        <f t="shared" si="1264"/>
        <v>0</v>
      </c>
      <c r="U4822" s="1394">
        <f>IFERROR(VLOOKUP(M4822,#REF!,5,0),0)</f>
        <v>0</v>
      </c>
      <c r="V4822" s="1394">
        <f t="shared" si="1265"/>
        <v>58.34</v>
      </c>
      <c r="W4822" s="1394"/>
      <c r="Z4822" s="1394"/>
    </row>
    <row r="4823" spans="1:26" ht="209.25" customHeight="1">
      <c r="A4823" s="110" t="s">
        <v>542</v>
      </c>
      <c r="B4823" s="1405">
        <v>21.5</v>
      </c>
      <c r="C4823" s="1678" t="e">
        <f>VLOOKUP(A4823,#REF!,2,0)</f>
        <v>#REF!</v>
      </c>
      <c r="D4823" s="1678"/>
      <c r="E4823" s="1678"/>
      <c r="F4823" s="1678"/>
      <c r="G4823" s="1678"/>
      <c r="H4823" s="1678"/>
      <c r="I4823" s="1479"/>
      <c r="Q4823" s="1394">
        <f>IFERROR(VLOOKUP(M4823,#REF!,3,0),0)</f>
        <v>0</v>
      </c>
      <c r="R4823" s="1394">
        <f t="shared" si="1251"/>
        <v>0</v>
      </c>
      <c r="S4823" s="1394">
        <f>IFERROR(VLOOKUP(M4823,#REF!,6,0),0)</f>
        <v>0</v>
      </c>
      <c r="T4823" s="1394">
        <f t="shared" si="1264"/>
        <v>0</v>
      </c>
      <c r="U4823" s="1394">
        <f>IFERROR(VLOOKUP(M4823,#REF!,5,0),0)</f>
        <v>0</v>
      </c>
      <c r="V4823" s="1394">
        <f t="shared" si="1265"/>
        <v>0</v>
      </c>
      <c r="W4823" s="1394"/>
      <c r="X4823" s="1397"/>
    </row>
    <row r="4824" spans="1:26" ht="30" customHeight="1">
      <c r="B4824" s="1407"/>
      <c r="C4824" s="1497" t="s">
        <v>252</v>
      </c>
      <c r="D4824" s="68">
        <v>1</v>
      </c>
      <c r="E4824" s="68">
        <f>VLOOKUP(C4824,Sheet1!$I$7:$R$39,10,0)</f>
        <v>4</v>
      </c>
      <c r="F4824" s="1495">
        <f>VLOOKUP(C4824,Sheet1!$I$7:$R$39,2,0)</f>
        <v>1.8</v>
      </c>
      <c r="G4824" s="1423"/>
      <c r="H4824" s="69">
        <f>VLOOKUP(C4824,Sheet1!$I$7:$R$39,3,0)</f>
        <v>1.35</v>
      </c>
      <c r="I4824" s="1406">
        <f t="shared" ref="I4824" si="1271">PRODUCT(D4824:H4824)</f>
        <v>9.7200000000000006</v>
      </c>
      <c r="J4824" s="1397"/>
      <c r="K4824" s="1397"/>
      <c r="M4824" s="110"/>
      <c r="Q4824" s="1394">
        <f>IFERROR(VLOOKUP(M4824,#REF!,3,0),0)</f>
        <v>0</v>
      </c>
      <c r="R4824" s="1394">
        <f t="shared" si="1251"/>
        <v>0</v>
      </c>
      <c r="S4824" s="1394">
        <f>IFERROR(VLOOKUP(M4824,#REF!,6,0),0)</f>
        <v>0</v>
      </c>
      <c r="T4824" s="1394">
        <f t="shared" si="1264"/>
        <v>0</v>
      </c>
      <c r="U4824" s="1394">
        <f>IFERROR(VLOOKUP(M4824,#REF!,5,0),0)</f>
        <v>0</v>
      </c>
      <c r="V4824" s="1394">
        <f t="shared" si="1265"/>
        <v>0</v>
      </c>
      <c r="W4824" s="1394"/>
    </row>
    <row r="4825" spans="1:26" s="1394" customFormat="1" ht="30" customHeight="1">
      <c r="B4825" s="1421"/>
      <c r="C4825" s="1422" t="s">
        <v>270</v>
      </c>
      <c r="D4825" s="1389"/>
      <c r="E4825" s="1389"/>
      <c r="F4825" s="1423"/>
      <c r="G4825" s="1423"/>
      <c r="H4825" s="1424"/>
      <c r="I4825" s="1425">
        <f>J4826-J4825</f>
        <v>0.27999999999999936</v>
      </c>
      <c r="J4825" s="1394">
        <f>SUM(I4824:I4824)</f>
        <v>9.7200000000000006</v>
      </c>
      <c r="M4825" s="1426"/>
      <c r="Q4825" s="1394">
        <f>IFERROR(VLOOKUP(M4825,#REF!,3,0),0)</f>
        <v>0</v>
      </c>
      <c r="R4825" s="1394">
        <f t="shared" si="1251"/>
        <v>0</v>
      </c>
      <c r="S4825" s="1394">
        <f>IFERROR(VLOOKUP(M4825,#REF!,6,0),0)</f>
        <v>0</v>
      </c>
      <c r="T4825" s="1394">
        <f t="shared" si="1264"/>
        <v>0</v>
      </c>
      <c r="U4825" s="1394">
        <f>IFERROR(VLOOKUP(M4825,#REF!,5,0),0)</f>
        <v>0</v>
      </c>
      <c r="V4825" s="1394">
        <f t="shared" si="1265"/>
        <v>0</v>
      </c>
    </row>
    <row r="4826" spans="1:26" s="1394" customFormat="1" ht="30" customHeight="1">
      <c r="B4826" s="1421"/>
      <c r="C4826" s="1457"/>
      <c r="D4826" s="1389"/>
      <c r="E4826" s="1389"/>
      <c r="F4826" s="1423"/>
      <c r="G4826" s="1423"/>
      <c r="H4826" s="1424"/>
      <c r="I4826" s="1427">
        <f>+J4826</f>
        <v>10</v>
      </c>
      <c r="J4826" s="1558">
        <f>ROUNDUP(J4825,0)</f>
        <v>10</v>
      </c>
      <c r="K4826" s="1558"/>
      <c r="M4826" s="1426"/>
      <c r="Q4826" s="1394">
        <f>IFERROR(VLOOKUP(M4826,#REF!,3,0),0)</f>
        <v>0</v>
      </c>
      <c r="R4826" s="1394">
        <f t="shared" si="1251"/>
        <v>0</v>
      </c>
      <c r="S4826" s="1394">
        <f>IFERROR(VLOOKUP(M4826,#REF!,6,0),0)</f>
        <v>0</v>
      </c>
      <c r="T4826" s="1394">
        <f t="shared" si="1264"/>
        <v>0</v>
      </c>
      <c r="U4826" s="1394">
        <f>IFERROR(VLOOKUP(M4826,#REF!,5,0),0)</f>
        <v>0</v>
      </c>
      <c r="V4826" s="1394">
        <f t="shared" si="1265"/>
        <v>0</v>
      </c>
    </row>
    <row r="4827" spans="1:26" s="1394" customFormat="1" ht="30" customHeight="1">
      <c r="B4827" s="1421"/>
      <c r="C4827" s="1422"/>
      <c r="D4827" s="1389"/>
      <c r="E4827" s="1389"/>
      <c r="F4827" s="1423"/>
      <c r="G4827" s="1428" t="s">
        <v>11</v>
      </c>
      <c r="H4827" s="1429">
        <f>I4826</f>
        <v>10</v>
      </c>
      <c r="I4827" s="1427" t="s">
        <v>26</v>
      </c>
      <c r="J4827" s="1558"/>
      <c r="K4827" s="1558"/>
      <c r="M4827" s="1394" t="str">
        <f>A4823</f>
        <v>S&amp;F OF UPVC  Windows ( Non  Schedule item )</v>
      </c>
      <c r="N4827" s="1394">
        <f>B4823</f>
        <v>21.5</v>
      </c>
      <c r="O4827" s="1394">
        <f>H4827</f>
        <v>10</v>
      </c>
      <c r="P4827" s="1394" t="str">
        <f>I4827</f>
        <v>Sqm</v>
      </c>
      <c r="Q4827" s="1394">
        <f>IFERROR(VLOOKUP(M4827,#REF!,3,0),0)</f>
        <v>0</v>
      </c>
      <c r="R4827" s="1394">
        <f t="shared" si="1251"/>
        <v>0</v>
      </c>
      <c r="S4827" s="1394">
        <f>IFERROR(VLOOKUP(M4827,#REF!,6,0),0)</f>
        <v>0</v>
      </c>
      <c r="T4827" s="1394">
        <f t="shared" si="1264"/>
        <v>0</v>
      </c>
      <c r="U4827" s="1394">
        <f>IFERROR(VLOOKUP(M4827,#REF!,5,0),0)</f>
        <v>0</v>
      </c>
      <c r="V4827" s="1394">
        <f t="shared" si="1265"/>
        <v>10</v>
      </c>
    </row>
    <row r="4828" spans="1:26" ht="153.75" customHeight="1">
      <c r="A4828" s="110" t="s">
        <v>543</v>
      </c>
      <c r="B4828" s="1405">
        <v>21.5</v>
      </c>
      <c r="C4828" s="1678" t="e">
        <f>VLOOKUP(A4828,#REF!,2,0)</f>
        <v>#REF!</v>
      </c>
      <c r="D4828" s="1678"/>
      <c r="E4828" s="1678"/>
      <c r="F4828" s="1678"/>
      <c r="G4828" s="1678"/>
      <c r="H4828" s="1678"/>
      <c r="I4828" s="1479"/>
      <c r="Q4828" s="1394">
        <f>IFERROR(VLOOKUP(M4828,#REF!,3,0),0)</f>
        <v>0</v>
      </c>
      <c r="R4828" s="1394">
        <f t="shared" si="1251"/>
        <v>0</v>
      </c>
      <c r="S4828" s="1394">
        <f>IFERROR(VLOOKUP(M4828,#REF!,6,0),0)</f>
        <v>0</v>
      </c>
      <c r="T4828" s="1394">
        <f t="shared" si="1264"/>
        <v>0</v>
      </c>
      <c r="U4828" s="1394">
        <f>IFERROR(VLOOKUP(M4828,#REF!,5,0),0)</f>
        <v>0</v>
      </c>
      <c r="V4828" s="1394">
        <f t="shared" si="1265"/>
        <v>0</v>
      </c>
      <c r="W4828" s="1394"/>
      <c r="X4828" s="1397"/>
    </row>
    <row r="4829" spans="1:26" ht="30" customHeight="1">
      <c r="B4829" s="1407"/>
      <c r="C4829" s="1494"/>
      <c r="D4829" s="68"/>
      <c r="E4829" s="68"/>
      <c r="F4829" s="1499"/>
      <c r="G4829" s="1499"/>
      <c r="H4829" s="1500"/>
      <c r="I4829" s="1425"/>
      <c r="J4829" s="1394"/>
      <c r="K4829" s="1394"/>
      <c r="Q4829" s="1394">
        <f>IFERROR(VLOOKUP(M4829,#REF!,3,0),0)</f>
        <v>0</v>
      </c>
      <c r="R4829" s="1394">
        <f t="shared" si="1251"/>
        <v>0</v>
      </c>
      <c r="S4829" s="1394">
        <f>IFERROR(VLOOKUP(M4829,#REF!,6,0),0)</f>
        <v>0</v>
      </c>
      <c r="T4829" s="1394">
        <f t="shared" si="1264"/>
        <v>0</v>
      </c>
      <c r="U4829" s="1394">
        <f>IFERROR(VLOOKUP(M4829,#REF!,5,0),0)</f>
        <v>0</v>
      </c>
      <c r="V4829" s="1394">
        <f t="shared" si="1265"/>
        <v>0</v>
      </c>
      <c r="W4829" s="1394"/>
    </row>
    <row r="4830" spans="1:26" ht="30" customHeight="1">
      <c r="B4830" s="1407"/>
      <c r="C4830" s="1497" t="s">
        <v>255</v>
      </c>
      <c r="D4830" s="68">
        <v>1</v>
      </c>
      <c r="E4830" s="68">
        <f>VLOOKUP(C4830,Sheet1!$I$7:$R$39,10,0)</f>
        <v>5</v>
      </c>
      <c r="F4830" s="1495">
        <f>VLOOKUP(C4830,Sheet1!$I$7:$R$39,2,0)</f>
        <v>1.35</v>
      </c>
      <c r="G4830" s="1499"/>
      <c r="H4830" s="69">
        <f>VLOOKUP(C4830,Sheet1!$I$7:$R$39,3,0)</f>
        <v>0.6</v>
      </c>
      <c r="I4830" s="1406">
        <f t="shared" ref="I4830:I4831" si="1272">PRODUCT(D4830:H4830)</f>
        <v>4.05</v>
      </c>
      <c r="Q4830" s="1394">
        <f>IFERROR(VLOOKUP(M4830,#REF!,3,0),0)</f>
        <v>0</v>
      </c>
      <c r="R4830" s="1394">
        <f t="shared" si="1251"/>
        <v>0</v>
      </c>
      <c r="S4830" s="1394">
        <f>IFERROR(VLOOKUP(M4830,#REF!,6,0),0)</f>
        <v>0</v>
      </c>
      <c r="T4830" s="1394">
        <f t="shared" si="1264"/>
        <v>0</v>
      </c>
      <c r="U4830" s="1394">
        <f>IFERROR(VLOOKUP(M4830,#REF!,5,0),0)</f>
        <v>0</v>
      </c>
      <c r="V4830" s="1394">
        <f t="shared" si="1265"/>
        <v>0</v>
      </c>
      <c r="W4830" s="1394"/>
    </row>
    <row r="4831" spans="1:26" ht="30" customHeight="1">
      <c r="B4831" s="1407"/>
      <c r="C4831" s="1497" t="s">
        <v>254</v>
      </c>
      <c r="D4831" s="68">
        <v>1</v>
      </c>
      <c r="E4831" s="68">
        <f>VLOOKUP(C4831,Sheet1!$I$7:$R$39,10,0)</f>
        <v>1</v>
      </c>
      <c r="F4831" s="1495">
        <f>VLOOKUP(C4831,Sheet1!$I$7:$R$39,2,0)</f>
        <v>0.9</v>
      </c>
      <c r="G4831" s="1499"/>
      <c r="H4831" s="69">
        <f>VLOOKUP(C4831,Sheet1!$I$7:$R$39,3,0)</f>
        <v>0.6</v>
      </c>
      <c r="I4831" s="1406">
        <f t="shared" si="1272"/>
        <v>0.54</v>
      </c>
      <c r="J4831" s="1397"/>
      <c r="K4831" s="1397"/>
      <c r="Q4831" s="1394">
        <f>IFERROR(VLOOKUP(M4831,#REF!,3,0),0)</f>
        <v>0</v>
      </c>
      <c r="R4831" s="1394">
        <f t="shared" si="1251"/>
        <v>0</v>
      </c>
      <c r="S4831" s="1394">
        <f>IFERROR(VLOOKUP(M4831,#REF!,6,0),0)</f>
        <v>0</v>
      </c>
      <c r="T4831" s="1394">
        <f t="shared" si="1264"/>
        <v>0</v>
      </c>
      <c r="U4831" s="1394">
        <f>IFERROR(VLOOKUP(M4831,#REF!,5,0),0)</f>
        <v>0</v>
      </c>
      <c r="V4831" s="1394">
        <f t="shared" si="1265"/>
        <v>0</v>
      </c>
      <c r="W4831" s="1394"/>
    </row>
    <row r="4832" spans="1:26" ht="30" customHeight="1">
      <c r="B4832" s="1407"/>
      <c r="C4832" s="1497"/>
      <c r="D4832" s="68"/>
      <c r="E4832" s="68"/>
      <c r="F4832" s="1495"/>
      <c r="G4832" s="1495"/>
      <c r="H4832" s="1501"/>
      <c r="I4832" s="1406">
        <f t="shared" ref="I4832" si="1273">PRODUCT(D4832:H4832)</f>
        <v>0</v>
      </c>
      <c r="J4832" s="1397"/>
      <c r="K4832" s="1397"/>
      <c r="Q4832" s="1394">
        <f>IFERROR(VLOOKUP(M4832,#REF!,3,0),0)</f>
        <v>0</v>
      </c>
      <c r="R4832" s="1394">
        <f t="shared" si="1251"/>
        <v>0</v>
      </c>
      <c r="S4832" s="1394">
        <f>IFERROR(VLOOKUP(M4832,#REF!,6,0),0)</f>
        <v>0</v>
      </c>
      <c r="T4832" s="1394">
        <f t="shared" si="1264"/>
        <v>0</v>
      </c>
      <c r="U4832" s="1394">
        <f>IFERROR(VLOOKUP(M4832,#REF!,5,0),0)</f>
        <v>0</v>
      </c>
      <c r="V4832" s="1394">
        <f t="shared" si="1265"/>
        <v>0</v>
      </c>
      <c r="W4832" s="1394"/>
    </row>
    <row r="4833" spans="1:26" s="1394" customFormat="1" ht="30" customHeight="1">
      <c r="B4833" s="1421"/>
      <c r="C4833" s="1422" t="s">
        <v>270</v>
      </c>
      <c r="D4833" s="1389"/>
      <c r="E4833" s="1389"/>
      <c r="F4833" s="1423"/>
      <c r="G4833" s="1423"/>
      <c r="H4833" s="1424"/>
      <c r="I4833" s="1425">
        <f>J4834-J4833</f>
        <v>0.41000000000000014</v>
      </c>
      <c r="J4833" s="1394">
        <f>SUM(I4829:I4832)</f>
        <v>4.59</v>
      </c>
      <c r="M4833" s="1426"/>
      <c r="Q4833" s="1394">
        <f>IFERROR(VLOOKUP(M4833,#REF!,3,0),0)</f>
        <v>0</v>
      </c>
      <c r="R4833" s="1394">
        <f t="shared" si="1251"/>
        <v>0</v>
      </c>
      <c r="S4833" s="1394">
        <f>IFERROR(VLOOKUP(M4833,#REF!,6,0),0)</f>
        <v>0</v>
      </c>
      <c r="T4833" s="1394">
        <f t="shared" si="1264"/>
        <v>0</v>
      </c>
      <c r="U4833" s="1394">
        <f>IFERROR(VLOOKUP(M4833,#REF!,5,0),0)</f>
        <v>0</v>
      </c>
      <c r="V4833" s="1394">
        <f t="shared" si="1265"/>
        <v>0</v>
      </c>
    </row>
    <row r="4834" spans="1:26" s="1394" customFormat="1" ht="30" customHeight="1">
      <c r="B4834" s="1421"/>
      <c r="C4834" s="1457"/>
      <c r="D4834" s="1389"/>
      <c r="E4834" s="1389"/>
      <c r="F4834" s="1423"/>
      <c r="G4834" s="1423"/>
      <c r="H4834" s="1424"/>
      <c r="I4834" s="1427">
        <f>+J4834</f>
        <v>5</v>
      </c>
      <c r="J4834" s="1558">
        <f>ROUNDUP(J4833,0)</f>
        <v>5</v>
      </c>
      <c r="K4834" s="1558"/>
      <c r="M4834" s="1426"/>
      <c r="Q4834" s="1394">
        <f>IFERROR(VLOOKUP(M4834,#REF!,3,0),0)</f>
        <v>0</v>
      </c>
      <c r="R4834" s="1394">
        <f t="shared" si="1251"/>
        <v>0</v>
      </c>
      <c r="S4834" s="1394">
        <f>IFERROR(VLOOKUP(M4834,#REF!,6,0),0)</f>
        <v>0</v>
      </c>
      <c r="T4834" s="1394">
        <f t="shared" si="1264"/>
        <v>0</v>
      </c>
      <c r="U4834" s="1394">
        <f>IFERROR(VLOOKUP(M4834,#REF!,5,0),0)</f>
        <v>0</v>
      </c>
      <c r="V4834" s="1394">
        <f t="shared" si="1265"/>
        <v>0</v>
      </c>
    </row>
    <row r="4835" spans="1:26" s="1394" customFormat="1" ht="23.25" customHeight="1">
      <c r="B4835" s="1421"/>
      <c r="C4835" s="1422"/>
      <c r="D4835" s="1389"/>
      <c r="E4835" s="1389"/>
      <c r="F4835" s="1423"/>
      <c r="G4835" s="1428" t="s">
        <v>11</v>
      </c>
      <c r="H4835" s="1429">
        <f>I4834</f>
        <v>5</v>
      </c>
      <c r="I4835" s="1427" t="s">
        <v>26</v>
      </c>
      <c r="J4835" s="1558"/>
      <c r="K4835" s="1558"/>
      <c r="M4835" s="1394" t="str">
        <f>A4828</f>
        <v xml:space="preserve">Supplying and fixing in position of UPVC Ventilator louvered ventilator  type for all sizes </v>
      </c>
      <c r="N4835" s="1394">
        <f>B4828</f>
        <v>21.5</v>
      </c>
      <c r="O4835" s="1394">
        <f>H4835</f>
        <v>5</v>
      </c>
      <c r="P4835" s="1394" t="str">
        <f>I4835</f>
        <v>Sqm</v>
      </c>
      <c r="Q4835" s="1394">
        <f>IFERROR(VLOOKUP(M4835,#REF!,3,0),0)</f>
        <v>0</v>
      </c>
      <c r="R4835" s="1394">
        <f t="shared" si="1251"/>
        <v>0</v>
      </c>
      <c r="S4835" s="1394">
        <f>IFERROR(VLOOKUP(M4835,#REF!,6,0),0)</f>
        <v>0</v>
      </c>
      <c r="T4835" s="1394">
        <f t="shared" si="1264"/>
        <v>0</v>
      </c>
      <c r="U4835" s="1394">
        <f>IFERROR(VLOOKUP(M4835,#REF!,5,0),0)</f>
        <v>0</v>
      </c>
      <c r="V4835" s="1394">
        <f t="shared" si="1265"/>
        <v>5</v>
      </c>
    </row>
    <row r="4836" spans="1:26" ht="162.75" customHeight="1">
      <c r="A4836" s="110" t="s">
        <v>1117</v>
      </c>
      <c r="B4836" s="1405">
        <v>58.4</v>
      </c>
      <c r="C4836" s="1678" t="e">
        <f>VLOOKUP(A4836,#REF!,2,0)</f>
        <v>#REF!</v>
      </c>
      <c r="D4836" s="1678"/>
      <c r="E4836" s="1678"/>
      <c r="F4836" s="1678"/>
      <c r="G4836" s="1678"/>
      <c r="H4836" s="1678"/>
      <c r="I4836" s="1406"/>
      <c r="Q4836" s="1394">
        <f>IFERROR(VLOOKUP(M4836,#REF!,3,0),0)</f>
        <v>0</v>
      </c>
      <c r="R4836" s="1394">
        <f t="shared" si="1251"/>
        <v>0</v>
      </c>
      <c r="S4836" s="1394">
        <f>IFERROR(VLOOKUP(M4836,#REF!,6,0),0)</f>
        <v>0</v>
      </c>
      <c r="T4836" s="1394">
        <f t="shared" si="1264"/>
        <v>0</v>
      </c>
      <c r="U4836" s="1394">
        <f>IFERROR(VLOOKUP(M4836,#REF!,5,0),0)</f>
        <v>0</v>
      </c>
      <c r="V4836" s="1394">
        <f t="shared" si="1265"/>
        <v>0</v>
      </c>
      <c r="W4836" s="1394"/>
      <c r="X4836" s="1397"/>
    </row>
    <row r="4837" spans="1:26" ht="30" customHeight="1">
      <c r="B4837" s="1407"/>
      <c r="C4837" s="1532" t="s">
        <v>365</v>
      </c>
      <c r="D4837" s="1523"/>
      <c r="E4837" s="1523"/>
      <c r="F4837" s="1524"/>
      <c r="G4837" s="1413"/>
      <c r="H4837" s="1414"/>
      <c r="I4837" s="1406">
        <f t="shared" ref="I4837:I4844" si="1274">PRODUCT(D4837:H4837)</f>
        <v>0</v>
      </c>
      <c r="M4837" s="110"/>
      <c r="Q4837" s="1394">
        <f>IFERROR(VLOOKUP(M4837,#REF!,3,0),0)</f>
        <v>0</v>
      </c>
      <c r="R4837" s="1394">
        <f t="shared" si="1251"/>
        <v>0</v>
      </c>
      <c r="S4837" s="1394">
        <f>IFERROR(VLOOKUP(M4837,#REF!,6,0),0)</f>
        <v>0</v>
      </c>
      <c r="T4837" s="1394">
        <f t="shared" si="1264"/>
        <v>0</v>
      </c>
      <c r="U4837" s="1394">
        <f>IFERROR(VLOOKUP(M4837,#REF!,5,0),0)</f>
        <v>0</v>
      </c>
      <c r="V4837" s="1394">
        <f t="shared" si="1265"/>
        <v>0</v>
      </c>
      <c r="W4837" s="1394"/>
    </row>
    <row r="4838" spans="1:26" ht="30" customHeight="1">
      <c r="B4838" s="1407"/>
      <c r="C4838" s="1522" t="s">
        <v>544</v>
      </c>
      <c r="D4838" s="1523">
        <v>1</v>
      </c>
      <c r="E4838" s="1523">
        <v>2</v>
      </c>
      <c r="F4838" s="1524">
        <v>2</v>
      </c>
      <c r="G4838" s="1413"/>
      <c r="H4838" s="1414"/>
      <c r="I4838" s="1406">
        <f t="shared" si="1274"/>
        <v>4</v>
      </c>
      <c r="M4838" s="110"/>
      <c r="Q4838" s="1394">
        <f>IFERROR(VLOOKUP(M4838,#REF!,3,0),0)</f>
        <v>0</v>
      </c>
      <c r="R4838" s="1394">
        <f t="shared" si="1251"/>
        <v>0</v>
      </c>
      <c r="S4838" s="1394">
        <f>IFERROR(VLOOKUP(M4838,#REF!,6,0),0)</f>
        <v>0</v>
      </c>
      <c r="T4838" s="1394">
        <f t="shared" si="1264"/>
        <v>0</v>
      </c>
      <c r="U4838" s="1394">
        <f>IFERROR(VLOOKUP(M4838,#REF!,5,0),0)</f>
        <v>0</v>
      </c>
      <c r="V4838" s="1394">
        <f t="shared" si="1265"/>
        <v>0</v>
      </c>
      <c r="W4838" s="1394"/>
    </row>
    <row r="4839" spans="1:26" ht="30" customHeight="1">
      <c r="B4839" s="1407"/>
      <c r="C4839" s="1532" t="s">
        <v>259</v>
      </c>
      <c r="D4839" s="1523"/>
      <c r="E4839" s="1523"/>
      <c r="F4839" s="1524"/>
      <c r="G4839" s="1413"/>
      <c r="H4839" s="1414"/>
      <c r="I4839" s="1406">
        <f t="shared" si="1274"/>
        <v>0</v>
      </c>
      <c r="M4839" s="110"/>
      <c r="Q4839" s="1394">
        <f>IFERROR(VLOOKUP(M4839,#REF!,3,0),0)</f>
        <v>0</v>
      </c>
      <c r="R4839" s="1394">
        <f t="shared" si="1251"/>
        <v>0</v>
      </c>
      <c r="S4839" s="1394">
        <f>IFERROR(VLOOKUP(M4839,#REF!,6,0),0)</f>
        <v>0</v>
      </c>
      <c r="T4839" s="1394">
        <f t="shared" si="1264"/>
        <v>0</v>
      </c>
      <c r="U4839" s="1394">
        <f>IFERROR(VLOOKUP(M4839,#REF!,5,0),0)</f>
        <v>0</v>
      </c>
      <c r="V4839" s="1394">
        <f t="shared" si="1265"/>
        <v>0</v>
      </c>
      <c r="W4839" s="1394"/>
    </row>
    <row r="4840" spans="1:26" ht="30" customHeight="1">
      <c r="B4840" s="1407"/>
      <c r="C4840" s="1522" t="s">
        <v>544</v>
      </c>
      <c r="D4840" s="1523">
        <v>1</v>
      </c>
      <c r="E4840" s="1523">
        <v>4</v>
      </c>
      <c r="F4840" s="1524">
        <v>2</v>
      </c>
      <c r="G4840" s="1413"/>
      <c r="H4840" s="1414"/>
      <c r="I4840" s="1406">
        <f t="shared" si="1274"/>
        <v>8</v>
      </c>
      <c r="M4840" s="110"/>
      <c r="Q4840" s="1394">
        <f>IFERROR(VLOOKUP(M4840,#REF!,3,0),0)</f>
        <v>0</v>
      </c>
      <c r="R4840" s="1394">
        <f t="shared" si="1251"/>
        <v>0</v>
      </c>
      <c r="S4840" s="1394">
        <f>IFERROR(VLOOKUP(M4840,#REF!,6,0),0)</f>
        <v>0</v>
      </c>
      <c r="T4840" s="1394">
        <f t="shared" si="1264"/>
        <v>0</v>
      </c>
      <c r="U4840" s="1394">
        <f>IFERROR(VLOOKUP(M4840,#REF!,5,0),0)</f>
        <v>0</v>
      </c>
      <c r="V4840" s="1394">
        <f t="shared" si="1265"/>
        <v>0</v>
      </c>
      <c r="W4840" s="1394"/>
    </row>
    <row r="4841" spans="1:26" ht="30" customHeight="1">
      <c r="B4841" s="1407"/>
      <c r="C4841" s="1532" t="s">
        <v>5938</v>
      </c>
      <c r="D4841" s="1523"/>
      <c r="E4841" s="1523"/>
      <c r="F4841" s="1524"/>
      <c r="G4841" s="1413"/>
      <c r="H4841" s="1414"/>
      <c r="I4841" s="1406">
        <f t="shared" si="1274"/>
        <v>0</v>
      </c>
      <c r="Q4841" s="1394">
        <f>IFERROR(VLOOKUP(M4841,#REF!,3,0),0)</f>
        <v>0</v>
      </c>
      <c r="R4841" s="1394">
        <f t="shared" si="1251"/>
        <v>0</v>
      </c>
      <c r="S4841" s="1394">
        <f>IFERROR(VLOOKUP(M4841,#REF!,6,0),0)</f>
        <v>0</v>
      </c>
      <c r="T4841" s="1394">
        <f t="shared" si="1264"/>
        <v>0</v>
      </c>
      <c r="U4841" s="1394">
        <f>IFERROR(VLOOKUP(M4841,#REF!,5,0),0)</f>
        <v>0</v>
      </c>
      <c r="V4841" s="1394">
        <f t="shared" si="1265"/>
        <v>0</v>
      </c>
      <c r="W4841" s="1394"/>
    </row>
    <row r="4842" spans="1:26" ht="30" customHeight="1">
      <c r="B4842" s="1407"/>
      <c r="C4842" s="1522" t="s">
        <v>544</v>
      </c>
      <c r="D4842" s="1523">
        <v>1</v>
      </c>
      <c r="E4842" s="1523">
        <v>4</v>
      </c>
      <c r="F4842" s="1524">
        <v>2</v>
      </c>
      <c r="G4842" s="1413"/>
      <c r="H4842" s="1414"/>
      <c r="I4842" s="1406">
        <f t="shared" si="1274"/>
        <v>8</v>
      </c>
      <c r="Q4842" s="1394">
        <f>IFERROR(VLOOKUP(M4842,#REF!,3,0),0)</f>
        <v>0</v>
      </c>
      <c r="R4842" s="1394">
        <f t="shared" si="1251"/>
        <v>0</v>
      </c>
      <c r="S4842" s="1394">
        <f>IFERROR(VLOOKUP(M4842,#REF!,6,0),0)</f>
        <v>0</v>
      </c>
      <c r="T4842" s="1394">
        <f t="shared" si="1264"/>
        <v>0</v>
      </c>
      <c r="U4842" s="1394">
        <f>IFERROR(VLOOKUP(M4842,#REF!,5,0),0)</f>
        <v>0</v>
      </c>
      <c r="V4842" s="1394">
        <f t="shared" si="1265"/>
        <v>0</v>
      </c>
      <c r="W4842" s="1394"/>
    </row>
    <row r="4843" spans="1:26" ht="30" customHeight="1">
      <c r="B4843" s="1407"/>
      <c r="C4843" s="1532" t="s">
        <v>367</v>
      </c>
      <c r="D4843" s="1523"/>
      <c r="E4843" s="1523"/>
      <c r="F4843" s="1524"/>
      <c r="G4843" s="1413"/>
      <c r="H4843" s="1414"/>
      <c r="I4843" s="1406">
        <f t="shared" si="1274"/>
        <v>0</v>
      </c>
      <c r="Q4843" s="1394">
        <f>IFERROR(VLOOKUP(M4843,#REF!,3,0),0)</f>
        <v>0</v>
      </c>
      <c r="R4843" s="1394">
        <f t="shared" si="1251"/>
        <v>0</v>
      </c>
      <c r="S4843" s="1394">
        <f>IFERROR(VLOOKUP(M4843,#REF!,6,0),0)</f>
        <v>0</v>
      </c>
      <c r="T4843" s="1394">
        <f t="shared" si="1264"/>
        <v>0</v>
      </c>
      <c r="U4843" s="1394">
        <f>IFERROR(VLOOKUP(M4843,#REF!,5,0),0)</f>
        <v>0</v>
      </c>
      <c r="V4843" s="1394">
        <f t="shared" si="1265"/>
        <v>0</v>
      </c>
      <c r="W4843" s="1394"/>
    </row>
    <row r="4844" spans="1:26" ht="30" customHeight="1">
      <c r="B4844" s="1407"/>
      <c r="C4844" s="1522" t="s">
        <v>544</v>
      </c>
      <c r="D4844" s="1523">
        <v>1</v>
      </c>
      <c r="E4844" s="1523">
        <v>4</v>
      </c>
      <c r="F4844" s="1524">
        <v>2</v>
      </c>
      <c r="G4844" s="1413"/>
      <c r="H4844" s="1414"/>
      <c r="I4844" s="1406">
        <f t="shared" si="1274"/>
        <v>8</v>
      </c>
      <c r="Q4844" s="1394">
        <f>IFERROR(VLOOKUP(M4844,#REF!,3,0),0)</f>
        <v>0</v>
      </c>
      <c r="R4844" s="1394">
        <f t="shared" si="1251"/>
        <v>0</v>
      </c>
      <c r="S4844" s="1394">
        <f>IFERROR(VLOOKUP(M4844,#REF!,6,0),0)</f>
        <v>0</v>
      </c>
      <c r="T4844" s="1394">
        <f t="shared" si="1264"/>
        <v>0</v>
      </c>
      <c r="U4844" s="1394">
        <f>IFERROR(VLOOKUP(M4844,#REF!,5,0),0)</f>
        <v>0</v>
      </c>
      <c r="V4844" s="1394">
        <f t="shared" si="1265"/>
        <v>0</v>
      </c>
      <c r="W4844" s="1394"/>
    </row>
    <row r="4845" spans="1:26" ht="30" customHeight="1">
      <c r="B4845" s="1407"/>
      <c r="C4845" s="1522"/>
      <c r="D4845" s="1523"/>
      <c r="E4845" s="1523"/>
      <c r="F4845" s="1524"/>
      <c r="G4845" s="1413"/>
      <c r="H4845" s="1414"/>
      <c r="I4845" s="1406">
        <f>J4846-J4845</f>
        <v>0</v>
      </c>
      <c r="J4845" s="1397">
        <f>SUM(I4837:I4844)</f>
        <v>28</v>
      </c>
      <c r="K4845" s="1397"/>
      <c r="Q4845" s="1394">
        <f>IFERROR(VLOOKUP(M4845,#REF!,3,0),0)</f>
        <v>0</v>
      </c>
      <c r="R4845" s="1394">
        <f t="shared" si="1251"/>
        <v>0</v>
      </c>
      <c r="S4845" s="1394">
        <f>IFERROR(VLOOKUP(M4845,#REF!,6,0),0)</f>
        <v>0</v>
      </c>
      <c r="T4845" s="1394">
        <f t="shared" si="1264"/>
        <v>0</v>
      </c>
      <c r="U4845" s="1394">
        <f>IFERROR(VLOOKUP(M4845,#REF!,5,0),0)</f>
        <v>0</v>
      </c>
      <c r="V4845" s="1394">
        <f t="shared" si="1265"/>
        <v>0</v>
      </c>
      <c r="W4845" s="1394"/>
    </row>
    <row r="4846" spans="1:26" ht="30" customHeight="1">
      <c r="B4846" s="1407"/>
      <c r="C4846" s="1455"/>
      <c r="D4846" s="103"/>
      <c r="E4846" s="103"/>
      <c r="F4846" s="1413"/>
      <c r="G4846" s="1413"/>
      <c r="H4846" s="1414"/>
      <c r="I4846" s="1479">
        <f>SUM(I4837:I4845)</f>
        <v>28</v>
      </c>
      <c r="J4846" s="1397">
        <f>ROUNDUP(J4845,0)</f>
        <v>28</v>
      </c>
      <c r="K4846" s="1397"/>
      <c r="Q4846" s="1394">
        <f>IFERROR(VLOOKUP(M4846,#REF!,3,0),0)</f>
        <v>0</v>
      </c>
      <c r="R4846" s="1394">
        <f t="shared" ref="R4846:R4909" si="1275">ROUND(O4846,2)*ROUND(Q4846,2)</f>
        <v>0</v>
      </c>
      <c r="S4846" s="1394">
        <f>IFERROR(VLOOKUP(M4846,#REF!,6,0),0)</f>
        <v>0</v>
      </c>
      <c r="T4846" s="1394">
        <f t="shared" si="1264"/>
        <v>0</v>
      </c>
      <c r="U4846" s="1394">
        <f>IFERROR(VLOOKUP(M4846,#REF!,5,0),0)</f>
        <v>0</v>
      </c>
      <c r="V4846" s="1394">
        <f t="shared" si="1265"/>
        <v>0</v>
      </c>
      <c r="W4846" s="1394"/>
    </row>
    <row r="4847" spans="1:26" ht="30" customHeight="1">
      <c r="B4847" s="1407"/>
      <c r="C4847" s="1455"/>
      <c r="D4847" s="103"/>
      <c r="E4847" s="103"/>
      <c r="F4847" s="1413"/>
      <c r="G4847" s="1483" t="s">
        <v>11</v>
      </c>
      <c r="H4847" s="1478">
        <f>ROUNDUP(I4846,1)</f>
        <v>28</v>
      </c>
      <c r="I4847" s="1479" t="s">
        <v>12</v>
      </c>
      <c r="M4847" s="1394" t="str">
        <f>A4836</f>
        <v>20mm dia PVC water supply ASTM pipe (fully consealed in walls)</v>
      </c>
      <c r="N4847" s="1394">
        <f>B4836</f>
        <v>58.4</v>
      </c>
      <c r="O4847" s="1394">
        <f>H4847</f>
        <v>28</v>
      </c>
      <c r="P4847" s="1394" t="str">
        <f>I4847</f>
        <v>Rmt</v>
      </c>
      <c r="Q4847" s="1394">
        <f>IFERROR(VLOOKUP(M4847,#REF!,3,0),0)</f>
        <v>0</v>
      </c>
      <c r="R4847" s="1394">
        <f t="shared" si="1275"/>
        <v>0</v>
      </c>
      <c r="S4847" s="1394">
        <f>IFERROR(VLOOKUP(M4847,#REF!,6,0),0)</f>
        <v>0</v>
      </c>
      <c r="T4847" s="1394">
        <f t="shared" si="1264"/>
        <v>0</v>
      </c>
      <c r="U4847" s="1394">
        <f>IFERROR(VLOOKUP(M4847,#REF!,5,0),0)</f>
        <v>0</v>
      </c>
      <c r="V4847" s="1394">
        <f t="shared" si="1265"/>
        <v>28</v>
      </c>
      <c r="W4847" s="1394"/>
      <c r="Z4847" s="1394"/>
    </row>
    <row r="4848" spans="1:26" ht="30" customHeight="1">
      <c r="B4848" s="1405"/>
      <c r="C4848" s="1455"/>
      <c r="D4848" s="103"/>
      <c r="E4848" s="103"/>
      <c r="F4848" s="1413"/>
      <c r="G4848" s="1413"/>
      <c r="H4848" s="1414"/>
      <c r="I4848" s="1479"/>
      <c r="Q4848" s="1394">
        <f>IFERROR(VLOOKUP(M4848,#REF!,3,0),0)</f>
        <v>0</v>
      </c>
      <c r="R4848" s="1394">
        <f t="shared" si="1275"/>
        <v>0</v>
      </c>
      <c r="S4848" s="1394">
        <f>IFERROR(VLOOKUP(M4848,#REF!,6,0),0)</f>
        <v>0</v>
      </c>
      <c r="T4848" s="1394">
        <f t="shared" si="1264"/>
        <v>0</v>
      </c>
      <c r="U4848" s="1394">
        <f>IFERROR(VLOOKUP(M4848,#REF!,5,0),0)</f>
        <v>0</v>
      </c>
      <c r="V4848" s="1394">
        <f t="shared" si="1265"/>
        <v>0</v>
      </c>
      <c r="W4848" s="1394"/>
    </row>
    <row r="4849" spans="1:24" ht="127.5" customHeight="1">
      <c r="A4849" s="110" t="s">
        <v>545</v>
      </c>
      <c r="B4849" s="1405">
        <v>112.1</v>
      </c>
      <c r="C4849" s="1678" t="e">
        <f>VLOOKUP(A4849,#REF!,2,0)</f>
        <v>#REF!</v>
      </c>
      <c r="D4849" s="1678"/>
      <c r="E4849" s="1678"/>
      <c r="F4849" s="1678"/>
      <c r="G4849" s="1678"/>
      <c r="H4849" s="1678"/>
      <c r="I4849" s="1479"/>
      <c r="Q4849" s="1394">
        <f>IFERROR(VLOOKUP(M4849,#REF!,3,0),0)</f>
        <v>0</v>
      </c>
      <c r="R4849" s="1394">
        <f t="shared" si="1275"/>
        <v>0</v>
      </c>
      <c r="S4849" s="1394">
        <f>IFERROR(VLOOKUP(M4849,#REF!,6,0),0)</f>
        <v>0</v>
      </c>
      <c r="T4849" s="1394">
        <f t="shared" si="1264"/>
        <v>0</v>
      </c>
      <c r="U4849" s="1394">
        <f>IFERROR(VLOOKUP(M4849,#REF!,5,0),0)</f>
        <v>0</v>
      </c>
      <c r="V4849" s="1394">
        <f t="shared" si="1265"/>
        <v>0</v>
      </c>
      <c r="W4849" s="1394"/>
      <c r="X4849" s="1397"/>
    </row>
    <row r="4850" spans="1:24" ht="30" customHeight="1">
      <c r="B4850" s="1405"/>
      <c r="C4850" s="1538" t="s">
        <v>5874</v>
      </c>
      <c r="D4850" s="103"/>
      <c r="E4850" s="103" t="s">
        <v>575</v>
      </c>
      <c r="F4850" s="1413"/>
      <c r="G4850" s="1413"/>
      <c r="H4850" s="1414"/>
      <c r="I4850" s="1406">
        <f>PRODUCT(D4850:H4850)</f>
        <v>0</v>
      </c>
      <c r="Q4850" s="1394">
        <f>IFERROR(VLOOKUP(M4850,#REF!,3,0),0)</f>
        <v>0</v>
      </c>
      <c r="R4850" s="1394">
        <f t="shared" si="1275"/>
        <v>0</v>
      </c>
      <c r="S4850" s="1394">
        <f>IFERROR(VLOOKUP(M4850,#REF!,6,0),0)</f>
        <v>0</v>
      </c>
      <c r="T4850" s="1394">
        <f t="shared" si="1264"/>
        <v>0</v>
      </c>
      <c r="U4850" s="1394">
        <f>IFERROR(VLOOKUP(M4850,#REF!,5,0),0)</f>
        <v>0</v>
      </c>
      <c r="V4850" s="1394">
        <f t="shared" si="1265"/>
        <v>0</v>
      </c>
      <c r="W4850" s="1394"/>
    </row>
    <row r="4851" spans="1:24" ht="30" customHeight="1">
      <c r="B4851" s="1405"/>
      <c r="C4851" s="1540" t="s">
        <v>5877</v>
      </c>
      <c r="D4851" s="103">
        <v>1</v>
      </c>
      <c r="E4851" s="103">
        <v>1</v>
      </c>
      <c r="F4851" s="1413"/>
      <c r="G4851" s="1413"/>
      <c r="H4851" s="1414"/>
      <c r="I4851" s="1406">
        <f t="shared" ref="I4851:I4871" si="1276">PRODUCT(D4851:H4851)</f>
        <v>1</v>
      </c>
      <c r="Q4851" s="1394">
        <f>IFERROR(VLOOKUP(M4851,#REF!,3,0),0)</f>
        <v>0</v>
      </c>
      <c r="R4851" s="1394">
        <f t="shared" si="1275"/>
        <v>0</v>
      </c>
      <c r="S4851" s="1394">
        <f>IFERROR(VLOOKUP(M4851,#REF!,6,0),0)</f>
        <v>0</v>
      </c>
      <c r="T4851" s="1394">
        <f t="shared" ref="T4851:T4914" si="1277">R4851-S4851</f>
        <v>0</v>
      </c>
      <c r="U4851" s="1394">
        <f>IFERROR(VLOOKUP(M4851,#REF!,5,0),0)</f>
        <v>0</v>
      </c>
      <c r="V4851" s="1394">
        <f t="shared" ref="V4851:V4914" si="1278">O4851-U4851</f>
        <v>0</v>
      </c>
      <c r="W4851" s="1394"/>
    </row>
    <row r="4852" spans="1:24" ht="30" customHeight="1">
      <c r="B4852" s="1405"/>
      <c r="C4852" s="1540" t="s">
        <v>5879</v>
      </c>
      <c r="D4852" s="103">
        <v>1</v>
      </c>
      <c r="E4852" s="103">
        <v>1</v>
      </c>
      <c r="F4852" s="1413"/>
      <c r="G4852" s="1413"/>
      <c r="H4852" s="1414"/>
      <c r="I4852" s="1406">
        <f t="shared" si="1276"/>
        <v>1</v>
      </c>
      <c r="Q4852" s="1394">
        <f>IFERROR(VLOOKUP(M4852,#REF!,3,0),0)</f>
        <v>0</v>
      </c>
      <c r="R4852" s="1394">
        <f t="shared" si="1275"/>
        <v>0</v>
      </c>
      <c r="S4852" s="1394">
        <f>IFERROR(VLOOKUP(M4852,#REF!,6,0),0)</f>
        <v>0</v>
      </c>
      <c r="T4852" s="1394">
        <f t="shared" si="1277"/>
        <v>0</v>
      </c>
      <c r="U4852" s="1394">
        <f>IFERROR(VLOOKUP(M4852,#REF!,5,0),0)</f>
        <v>0</v>
      </c>
      <c r="V4852" s="1394">
        <f t="shared" si="1278"/>
        <v>0</v>
      </c>
      <c r="W4852" s="1394"/>
    </row>
    <row r="4853" spans="1:24" ht="30" customHeight="1">
      <c r="B4853" s="1405"/>
      <c r="C4853" s="1540" t="s">
        <v>5876</v>
      </c>
      <c r="D4853" s="103">
        <v>1</v>
      </c>
      <c r="E4853" s="103">
        <v>1</v>
      </c>
      <c r="F4853" s="1413"/>
      <c r="G4853" s="1413"/>
      <c r="H4853" s="1414"/>
      <c r="I4853" s="1406">
        <f t="shared" si="1276"/>
        <v>1</v>
      </c>
      <c r="Q4853" s="1394">
        <f>IFERROR(VLOOKUP(M4853,#REF!,3,0),0)</f>
        <v>0</v>
      </c>
      <c r="R4853" s="1394">
        <f t="shared" si="1275"/>
        <v>0</v>
      </c>
      <c r="S4853" s="1394">
        <f>IFERROR(VLOOKUP(M4853,#REF!,6,0),0)</f>
        <v>0</v>
      </c>
      <c r="T4853" s="1394">
        <f t="shared" si="1277"/>
        <v>0</v>
      </c>
      <c r="U4853" s="1394">
        <f>IFERROR(VLOOKUP(M4853,#REF!,5,0),0)</f>
        <v>0</v>
      </c>
      <c r="V4853" s="1394">
        <f t="shared" si="1278"/>
        <v>0</v>
      </c>
      <c r="W4853" s="1394"/>
    </row>
    <row r="4854" spans="1:24" ht="30" customHeight="1">
      <c r="B4854" s="1405"/>
      <c r="C4854" s="1540" t="s">
        <v>5545</v>
      </c>
      <c r="D4854" s="103">
        <v>1</v>
      </c>
      <c r="E4854" s="103">
        <v>1</v>
      </c>
      <c r="F4854" s="1413"/>
      <c r="G4854" s="1413"/>
      <c r="H4854" s="1414"/>
      <c r="I4854" s="1406">
        <f t="shared" si="1276"/>
        <v>1</v>
      </c>
      <c r="Q4854" s="1394">
        <f>IFERROR(VLOOKUP(M4854,#REF!,3,0),0)</f>
        <v>0</v>
      </c>
      <c r="R4854" s="1394">
        <f t="shared" si="1275"/>
        <v>0</v>
      </c>
      <c r="S4854" s="1394">
        <f>IFERROR(VLOOKUP(M4854,#REF!,6,0),0)</f>
        <v>0</v>
      </c>
      <c r="T4854" s="1394">
        <f t="shared" si="1277"/>
        <v>0</v>
      </c>
      <c r="U4854" s="1394">
        <f>IFERROR(VLOOKUP(M4854,#REF!,5,0),0)</f>
        <v>0</v>
      </c>
      <c r="V4854" s="1394">
        <f t="shared" si="1278"/>
        <v>0</v>
      </c>
      <c r="W4854" s="1394"/>
    </row>
    <row r="4855" spans="1:24" ht="30" customHeight="1">
      <c r="B4855" s="1405"/>
      <c r="C4855" s="1538" t="s">
        <v>5503</v>
      </c>
      <c r="D4855" s="103"/>
      <c r="E4855" s="103"/>
      <c r="F4855" s="1413"/>
      <c r="G4855" s="1413"/>
      <c r="H4855" s="1414"/>
      <c r="I4855" s="1406"/>
      <c r="Q4855" s="1394">
        <f>IFERROR(VLOOKUP(M4855,#REF!,3,0),0)</f>
        <v>0</v>
      </c>
      <c r="R4855" s="1394">
        <f t="shared" si="1275"/>
        <v>0</v>
      </c>
      <c r="S4855" s="1394">
        <f>IFERROR(VLOOKUP(M4855,#REF!,6,0),0)</f>
        <v>0</v>
      </c>
      <c r="T4855" s="1394">
        <f t="shared" si="1277"/>
        <v>0</v>
      </c>
      <c r="U4855" s="1394">
        <f>IFERROR(VLOOKUP(M4855,#REF!,5,0),0)</f>
        <v>0</v>
      </c>
      <c r="V4855" s="1394">
        <f t="shared" si="1278"/>
        <v>0</v>
      </c>
      <c r="W4855" s="1394"/>
    </row>
    <row r="4856" spans="1:24" ht="30" customHeight="1">
      <c r="B4856" s="1405"/>
      <c r="C4856" s="1540" t="s">
        <v>5551</v>
      </c>
      <c r="D4856" s="103">
        <v>1</v>
      </c>
      <c r="E4856" s="103">
        <v>1</v>
      </c>
      <c r="F4856" s="1413"/>
      <c r="G4856" s="1413"/>
      <c r="H4856" s="1414"/>
      <c r="I4856" s="1406">
        <f t="shared" si="1276"/>
        <v>1</v>
      </c>
      <c r="Q4856" s="1394">
        <f>IFERROR(VLOOKUP(M4856,#REF!,3,0),0)</f>
        <v>0</v>
      </c>
      <c r="R4856" s="1394">
        <f t="shared" si="1275"/>
        <v>0</v>
      </c>
      <c r="S4856" s="1394">
        <f>IFERROR(VLOOKUP(M4856,#REF!,6,0),0)</f>
        <v>0</v>
      </c>
      <c r="T4856" s="1394">
        <f t="shared" si="1277"/>
        <v>0</v>
      </c>
      <c r="U4856" s="1394">
        <f>IFERROR(VLOOKUP(M4856,#REF!,5,0),0)</f>
        <v>0</v>
      </c>
      <c r="V4856" s="1394">
        <f t="shared" si="1278"/>
        <v>0</v>
      </c>
      <c r="W4856" s="1394"/>
    </row>
    <row r="4857" spans="1:24" ht="30" customHeight="1">
      <c r="B4857" s="1405"/>
      <c r="C4857" s="1540" t="s">
        <v>5553</v>
      </c>
      <c r="D4857" s="103">
        <v>1</v>
      </c>
      <c r="E4857" s="103">
        <v>1</v>
      </c>
      <c r="F4857" s="1413"/>
      <c r="G4857" s="1413"/>
      <c r="H4857" s="1414"/>
      <c r="I4857" s="1406">
        <f t="shared" si="1276"/>
        <v>1</v>
      </c>
      <c r="Q4857" s="1394">
        <f>IFERROR(VLOOKUP(M4857,#REF!,3,0),0)</f>
        <v>0</v>
      </c>
      <c r="R4857" s="1394">
        <f t="shared" si="1275"/>
        <v>0</v>
      </c>
      <c r="S4857" s="1394">
        <f>IFERROR(VLOOKUP(M4857,#REF!,6,0),0)</f>
        <v>0</v>
      </c>
      <c r="T4857" s="1394">
        <f t="shared" si="1277"/>
        <v>0</v>
      </c>
      <c r="U4857" s="1394">
        <f>IFERROR(VLOOKUP(M4857,#REF!,5,0),0)</f>
        <v>0</v>
      </c>
      <c r="V4857" s="1394">
        <f t="shared" si="1278"/>
        <v>0</v>
      </c>
      <c r="W4857" s="1394"/>
    </row>
    <row r="4858" spans="1:24" ht="30" customHeight="1">
      <c r="B4858" s="1405"/>
      <c r="C4858" s="1540" t="s">
        <v>560</v>
      </c>
      <c r="D4858" s="103">
        <v>1</v>
      </c>
      <c r="E4858" s="103">
        <v>1</v>
      </c>
      <c r="F4858" s="1413"/>
      <c r="G4858" s="1413"/>
      <c r="H4858" s="1414"/>
      <c r="I4858" s="1406">
        <f t="shared" si="1276"/>
        <v>1</v>
      </c>
      <c r="Q4858" s="1394">
        <f>IFERROR(VLOOKUP(M4858,#REF!,3,0),0)</f>
        <v>0</v>
      </c>
      <c r="R4858" s="1394">
        <f t="shared" si="1275"/>
        <v>0</v>
      </c>
      <c r="S4858" s="1394">
        <f>IFERROR(VLOOKUP(M4858,#REF!,6,0),0)</f>
        <v>0</v>
      </c>
      <c r="T4858" s="1394">
        <f t="shared" si="1277"/>
        <v>0</v>
      </c>
      <c r="U4858" s="1394">
        <f>IFERROR(VLOOKUP(M4858,#REF!,5,0),0)</f>
        <v>0</v>
      </c>
      <c r="V4858" s="1394">
        <f t="shared" si="1278"/>
        <v>0</v>
      </c>
      <c r="W4858" s="1394"/>
    </row>
    <row r="4859" spans="1:24" ht="30" customHeight="1">
      <c r="B4859" s="1405"/>
      <c r="C4859" s="1540" t="s">
        <v>560</v>
      </c>
      <c r="D4859" s="103">
        <v>1</v>
      </c>
      <c r="E4859" s="103">
        <v>1</v>
      </c>
      <c r="F4859" s="1413"/>
      <c r="G4859" s="1413"/>
      <c r="H4859" s="1414"/>
      <c r="I4859" s="1406">
        <f t="shared" si="1276"/>
        <v>1</v>
      </c>
      <c r="Q4859" s="1394">
        <f>IFERROR(VLOOKUP(M4859,#REF!,3,0),0)</f>
        <v>0</v>
      </c>
      <c r="R4859" s="1394">
        <f t="shared" si="1275"/>
        <v>0</v>
      </c>
      <c r="S4859" s="1394">
        <f>IFERROR(VLOOKUP(M4859,#REF!,6,0),0)</f>
        <v>0</v>
      </c>
      <c r="T4859" s="1394">
        <f t="shared" si="1277"/>
        <v>0</v>
      </c>
      <c r="U4859" s="1394">
        <f>IFERROR(VLOOKUP(M4859,#REF!,5,0),0)</f>
        <v>0</v>
      </c>
      <c r="V4859" s="1394">
        <f t="shared" si="1278"/>
        <v>0</v>
      </c>
      <c r="W4859" s="1394"/>
    </row>
    <row r="4860" spans="1:24" ht="30" customHeight="1">
      <c r="B4860" s="1405"/>
      <c r="C4860" s="1538" t="s">
        <v>5504</v>
      </c>
      <c r="D4860" s="103"/>
      <c r="E4860" s="103"/>
      <c r="F4860" s="1413"/>
      <c r="G4860" s="1413"/>
      <c r="H4860" s="1414"/>
      <c r="I4860" s="1406"/>
      <c r="Q4860" s="1394">
        <f>IFERROR(VLOOKUP(M4860,#REF!,3,0),0)</f>
        <v>0</v>
      </c>
      <c r="R4860" s="1394">
        <f t="shared" si="1275"/>
        <v>0</v>
      </c>
      <c r="S4860" s="1394">
        <f>IFERROR(VLOOKUP(M4860,#REF!,6,0),0)</f>
        <v>0</v>
      </c>
      <c r="T4860" s="1394">
        <f t="shared" si="1277"/>
        <v>0</v>
      </c>
      <c r="U4860" s="1394">
        <f>IFERROR(VLOOKUP(M4860,#REF!,5,0),0)</f>
        <v>0</v>
      </c>
      <c r="V4860" s="1394">
        <f t="shared" si="1278"/>
        <v>0</v>
      </c>
      <c r="W4860" s="1394"/>
    </row>
    <row r="4861" spans="1:24" ht="30" customHeight="1">
      <c r="B4861" s="1405"/>
      <c r="C4861" s="1540" t="s">
        <v>5563</v>
      </c>
      <c r="D4861" s="103">
        <v>1</v>
      </c>
      <c r="E4861" s="103">
        <v>1</v>
      </c>
      <c r="F4861" s="1413"/>
      <c r="G4861" s="1413"/>
      <c r="H4861" s="1414"/>
      <c r="I4861" s="1406">
        <f t="shared" si="1276"/>
        <v>1</v>
      </c>
      <c r="Q4861" s="1394">
        <f>IFERROR(VLOOKUP(M4861,#REF!,3,0),0)</f>
        <v>0</v>
      </c>
      <c r="R4861" s="1394">
        <f t="shared" si="1275"/>
        <v>0</v>
      </c>
      <c r="S4861" s="1394">
        <f>IFERROR(VLOOKUP(M4861,#REF!,6,0),0)</f>
        <v>0</v>
      </c>
      <c r="T4861" s="1394">
        <f t="shared" si="1277"/>
        <v>0</v>
      </c>
      <c r="U4861" s="1394">
        <f>IFERROR(VLOOKUP(M4861,#REF!,5,0),0)</f>
        <v>0</v>
      </c>
      <c r="V4861" s="1394">
        <f t="shared" si="1278"/>
        <v>0</v>
      </c>
      <c r="W4861" s="1394"/>
    </row>
    <row r="4862" spans="1:24" ht="30" customHeight="1">
      <c r="B4862" s="1405"/>
      <c r="C4862" s="1540" t="s">
        <v>5565</v>
      </c>
      <c r="D4862" s="103">
        <v>1</v>
      </c>
      <c r="E4862" s="103">
        <v>1</v>
      </c>
      <c r="F4862" s="1413"/>
      <c r="G4862" s="1413"/>
      <c r="H4862" s="1414"/>
      <c r="I4862" s="1406">
        <f t="shared" si="1276"/>
        <v>1</v>
      </c>
      <c r="Q4862" s="1394">
        <f>IFERROR(VLOOKUP(M4862,#REF!,3,0),0)</f>
        <v>0</v>
      </c>
      <c r="R4862" s="1394">
        <f t="shared" si="1275"/>
        <v>0</v>
      </c>
      <c r="S4862" s="1394">
        <f>IFERROR(VLOOKUP(M4862,#REF!,6,0),0)</f>
        <v>0</v>
      </c>
      <c r="T4862" s="1394">
        <f t="shared" si="1277"/>
        <v>0</v>
      </c>
      <c r="U4862" s="1394">
        <f>IFERROR(VLOOKUP(M4862,#REF!,5,0),0)</f>
        <v>0</v>
      </c>
      <c r="V4862" s="1394">
        <f t="shared" si="1278"/>
        <v>0</v>
      </c>
      <c r="W4862" s="1394"/>
    </row>
    <row r="4863" spans="1:24" ht="30" customHeight="1">
      <c r="B4863" s="1405"/>
      <c r="C4863" s="1540" t="s">
        <v>560</v>
      </c>
      <c r="D4863" s="103">
        <v>1</v>
      </c>
      <c r="E4863" s="103">
        <v>1</v>
      </c>
      <c r="F4863" s="1413"/>
      <c r="G4863" s="1413"/>
      <c r="H4863" s="1414"/>
      <c r="I4863" s="1406">
        <f t="shared" si="1276"/>
        <v>1</v>
      </c>
      <c r="Q4863" s="1394">
        <f>IFERROR(VLOOKUP(M4863,#REF!,3,0),0)</f>
        <v>0</v>
      </c>
      <c r="R4863" s="1394">
        <f t="shared" si="1275"/>
        <v>0</v>
      </c>
      <c r="S4863" s="1394">
        <f>IFERROR(VLOOKUP(M4863,#REF!,6,0),0)</f>
        <v>0</v>
      </c>
      <c r="T4863" s="1394">
        <f t="shared" si="1277"/>
        <v>0</v>
      </c>
      <c r="U4863" s="1394">
        <f>IFERROR(VLOOKUP(M4863,#REF!,5,0),0)</f>
        <v>0</v>
      </c>
      <c r="V4863" s="1394">
        <f t="shared" si="1278"/>
        <v>0</v>
      </c>
      <c r="W4863" s="1394"/>
    </row>
    <row r="4864" spans="1:24" ht="30" customHeight="1">
      <c r="B4864" s="1405"/>
      <c r="C4864" s="1540" t="s">
        <v>560</v>
      </c>
      <c r="D4864" s="103">
        <v>1</v>
      </c>
      <c r="E4864" s="103">
        <v>1</v>
      </c>
      <c r="F4864" s="1413"/>
      <c r="G4864" s="1413"/>
      <c r="H4864" s="1414"/>
      <c r="I4864" s="1406">
        <f t="shared" si="1276"/>
        <v>1</v>
      </c>
      <c r="Q4864" s="1394">
        <f>IFERROR(VLOOKUP(M4864,#REF!,3,0),0)</f>
        <v>0</v>
      </c>
      <c r="R4864" s="1394">
        <f t="shared" si="1275"/>
        <v>0</v>
      </c>
      <c r="S4864" s="1394">
        <f>IFERROR(VLOOKUP(M4864,#REF!,6,0),0)</f>
        <v>0</v>
      </c>
      <c r="T4864" s="1394">
        <f t="shared" si="1277"/>
        <v>0</v>
      </c>
      <c r="U4864" s="1394">
        <f>IFERROR(VLOOKUP(M4864,#REF!,5,0),0)</f>
        <v>0</v>
      </c>
      <c r="V4864" s="1394">
        <f t="shared" si="1278"/>
        <v>0</v>
      </c>
      <c r="W4864" s="1394"/>
    </row>
    <row r="4865" spans="1:26" ht="30" customHeight="1">
      <c r="B4865" s="1405"/>
      <c r="C4865" s="1538" t="s">
        <v>5505</v>
      </c>
      <c r="D4865" s="103"/>
      <c r="E4865" s="103"/>
      <c r="F4865" s="1413"/>
      <c r="G4865" s="1413"/>
      <c r="H4865" s="1414"/>
      <c r="I4865" s="1406"/>
      <c r="Q4865" s="1394">
        <f>IFERROR(VLOOKUP(M4865,#REF!,3,0),0)</f>
        <v>0</v>
      </c>
      <c r="R4865" s="1394">
        <f t="shared" si="1275"/>
        <v>0</v>
      </c>
      <c r="S4865" s="1394">
        <f>IFERROR(VLOOKUP(M4865,#REF!,6,0),0)</f>
        <v>0</v>
      </c>
      <c r="T4865" s="1394">
        <f t="shared" si="1277"/>
        <v>0</v>
      </c>
      <c r="U4865" s="1394">
        <f>IFERROR(VLOOKUP(M4865,#REF!,5,0),0)</f>
        <v>0</v>
      </c>
      <c r="V4865" s="1394">
        <f t="shared" si="1278"/>
        <v>0</v>
      </c>
      <c r="W4865" s="1394"/>
    </row>
    <row r="4866" spans="1:26" ht="30" customHeight="1">
      <c r="B4866" s="1405"/>
      <c r="C4866" s="1540" t="s">
        <v>5571</v>
      </c>
      <c r="D4866" s="103">
        <v>1</v>
      </c>
      <c r="E4866" s="103">
        <v>1</v>
      </c>
      <c r="F4866" s="1413"/>
      <c r="G4866" s="1413"/>
      <c r="H4866" s="1414"/>
      <c r="I4866" s="1406">
        <f t="shared" si="1276"/>
        <v>1</v>
      </c>
      <c r="Q4866" s="1394">
        <f>IFERROR(VLOOKUP(M4866,#REF!,3,0),0)</f>
        <v>0</v>
      </c>
      <c r="R4866" s="1394">
        <f t="shared" si="1275"/>
        <v>0</v>
      </c>
      <c r="S4866" s="1394">
        <f>IFERROR(VLOOKUP(M4866,#REF!,6,0),0)</f>
        <v>0</v>
      </c>
      <c r="T4866" s="1394">
        <f t="shared" si="1277"/>
        <v>0</v>
      </c>
      <c r="U4866" s="1394">
        <f>IFERROR(VLOOKUP(M4866,#REF!,5,0),0)</f>
        <v>0</v>
      </c>
      <c r="V4866" s="1394">
        <f t="shared" si="1278"/>
        <v>0</v>
      </c>
      <c r="W4866" s="1394"/>
    </row>
    <row r="4867" spans="1:26" ht="30" customHeight="1">
      <c r="B4867" s="1405"/>
      <c r="C4867" s="1540" t="s">
        <v>5573</v>
      </c>
      <c r="D4867" s="103">
        <v>1</v>
      </c>
      <c r="E4867" s="103">
        <v>1</v>
      </c>
      <c r="F4867" s="1413"/>
      <c r="G4867" s="1413"/>
      <c r="H4867" s="1414"/>
      <c r="I4867" s="1406">
        <f t="shared" si="1276"/>
        <v>1</v>
      </c>
      <c r="Q4867" s="1394">
        <f>IFERROR(VLOOKUP(M4867,#REF!,3,0),0)</f>
        <v>0</v>
      </c>
      <c r="R4867" s="1394">
        <f t="shared" si="1275"/>
        <v>0</v>
      </c>
      <c r="S4867" s="1394">
        <f>IFERROR(VLOOKUP(M4867,#REF!,6,0),0)</f>
        <v>0</v>
      </c>
      <c r="T4867" s="1394">
        <f t="shared" si="1277"/>
        <v>0</v>
      </c>
      <c r="U4867" s="1394">
        <f>IFERROR(VLOOKUP(M4867,#REF!,5,0),0)</f>
        <v>0</v>
      </c>
      <c r="V4867" s="1394">
        <f t="shared" si="1278"/>
        <v>0</v>
      </c>
      <c r="W4867" s="1394"/>
    </row>
    <row r="4868" spans="1:26" ht="30" customHeight="1">
      <c r="B4868" s="1405"/>
      <c r="C4868" s="1540" t="s">
        <v>5571</v>
      </c>
      <c r="D4868" s="103">
        <v>1</v>
      </c>
      <c r="E4868" s="103">
        <v>1</v>
      </c>
      <c r="F4868" s="1413"/>
      <c r="G4868" s="1413"/>
      <c r="H4868" s="1414"/>
      <c r="I4868" s="1406">
        <f t="shared" si="1276"/>
        <v>1</v>
      </c>
      <c r="Q4868" s="1394">
        <f>IFERROR(VLOOKUP(M4868,#REF!,3,0),0)</f>
        <v>0</v>
      </c>
      <c r="R4868" s="1394">
        <f t="shared" si="1275"/>
        <v>0</v>
      </c>
      <c r="S4868" s="1394">
        <f>IFERROR(VLOOKUP(M4868,#REF!,6,0),0)</f>
        <v>0</v>
      </c>
      <c r="T4868" s="1394">
        <f t="shared" si="1277"/>
        <v>0</v>
      </c>
      <c r="U4868" s="1394">
        <f>IFERROR(VLOOKUP(M4868,#REF!,5,0),0)</f>
        <v>0</v>
      </c>
      <c r="V4868" s="1394">
        <f t="shared" si="1278"/>
        <v>0</v>
      </c>
      <c r="W4868" s="1394"/>
    </row>
    <row r="4869" spans="1:26" ht="30" customHeight="1">
      <c r="B4869" s="1405"/>
      <c r="C4869" s="1540" t="s">
        <v>5887</v>
      </c>
      <c r="D4869" s="103">
        <v>1</v>
      </c>
      <c r="E4869" s="103">
        <v>1</v>
      </c>
      <c r="F4869" s="1413"/>
      <c r="G4869" s="1413"/>
      <c r="H4869" s="1414"/>
      <c r="I4869" s="1406">
        <f t="shared" si="1276"/>
        <v>1</v>
      </c>
      <c r="Q4869" s="1394">
        <f>IFERROR(VLOOKUP(M4869,#REF!,3,0),0)</f>
        <v>0</v>
      </c>
      <c r="R4869" s="1394">
        <f t="shared" si="1275"/>
        <v>0</v>
      </c>
      <c r="S4869" s="1394">
        <f>IFERROR(VLOOKUP(M4869,#REF!,6,0),0)</f>
        <v>0</v>
      </c>
      <c r="T4869" s="1394">
        <f t="shared" si="1277"/>
        <v>0</v>
      </c>
      <c r="U4869" s="1394">
        <f>IFERROR(VLOOKUP(M4869,#REF!,5,0),0)</f>
        <v>0</v>
      </c>
      <c r="V4869" s="1394">
        <f t="shared" si="1278"/>
        <v>0</v>
      </c>
      <c r="W4869" s="1394"/>
    </row>
    <row r="4870" spans="1:26" ht="30" customHeight="1">
      <c r="B4870" s="1405"/>
      <c r="C4870" s="1540" t="s">
        <v>5888</v>
      </c>
      <c r="D4870" s="103">
        <v>1</v>
      </c>
      <c r="E4870" s="103">
        <v>1</v>
      </c>
      <c r="F4870" s="1413"/>
      <c r="G4870" s="1413"/>
      <c r="H4870" s="1414"/>
      <c r="I4870" s="1406">
        <f t="shared" si="1276"/>
        <v>1</v>
      </c>
      <c r="Q4870" s="1394">
        <f>IFERROR(VLOOKUP(M4870,#REF!,3,0),0)</f>
        <v>0</v>
      </c>
      <c r="R4870" s="1394">
        <f t="shared" si="1275"/>
        <v>0</v>
      </c>
      <c r="S4870" s="1394">
        <f>IFERROR(VLOOKUP(M4870,#REF!,6,0),0)</f>
        <v>0</v>
      </c>
      <c r="T4870" s="1394">
        <f t="shared" si="1277"/>
        <v>0</v>
      </c>
      <c r="U4870" s="1394">
        <f>IFERROR(VLOOKUP(M4870,#REF!,5,0),0)</f>
        <v>0</v>
      </c>
      <c r="V4870" s="1394">
        <f t="shared" si="1278"/>
        <v>0</v>
      </c>
      <c r="W4870" s="1394"/>
    </row>
    <row r="4871" spans="1:26" ht="30" customHeight="1">
      <c r="B4871" s="1405"/>
      <c r="C4871" s="1540" t="s">
        <v>560</v>
      </c>
      <c r="D4871" s="103">
        <v>1</v>
      </c>
      <c r="E4871" s="103">
        <v>1</v>
      </c>
      <c r="F4871" s="1413"/>
      <c r="G4871" s="1413"/>
      <c r="H4871" s="1414"/>
      <c r="I4871" s="1406">
        <f t="shared" si="1276"/>
        <v>1</v>
      </c>
      <c r="Q4871" s="1394">
        <f>IFERROR(VLOOKUP(M4871,#REF!,3,0),0)</f>
        <v>0</v>
      </c>
      <c r="R4871" s="1394">
        <f t="shared" si="1275"/>
        <v>0</v>
      </c>
      <c r="S4871" s="1394">
        <f>IFERROR(VLOOKUP(M4871,#REF!,6,0),0)</f>
        <v>0</v>
      </c>
      <c r="T4871" s="1394">
        <f t="shared" si="1277"/>
        <v>0</v>
      </c>
      <c r="U4871" s="1394">
        <f>IFERROR(VLOOKUP(M4871,#REF!,5,0),0)</f>
        <v>0</v>
      </c>
      <c r="V4871" s="1394">
        <f t="shared" si="1278"/>
        <v>0</v>
      </c>
      <c r="W4871" s="1394"/>
    </row>
    <row r="4872" spans="1:26" ht="30" customHeight="1">
      <c r="B4872" s="1405"/>
      <c r="C4872" s="1491"/>
      <c r="D4872" s="103"/>
      <c r="E4872" s="103"/>
      <c r="F4872" s="1413"/>
      <c r="G4872" s="1413"/>
      <c r="H4872" s="1414"/>
      <c r="I4872" s="1406"/>
      <c r="Q4872" s="1394">
        <f>IFERROR(VLOOKUP(M4872,#REF!,3,0),0)</f>
        <v>0</v>
      </c>
      <c r="R4872" s="1394">
        <f t="shared" si="1275"/>
        <v>0</v>
      </c>
      <c r="S4872" s="1394">
        <f>IFERROR(VLOOKUP(M4872,#REF!,6,0),0)</f>
        <v>0</v>
      </c>
      <c r="T4872" s="1394">
        <f t="shared" si="1277"/>
        <v>0</v>
      </c>
      <c r="U4872" s="1394">
        <f>IFERROR(VLOOKUP(M4872,#REF!,5,0),0)</f>
        <v>0</v>
      </c>
      <c r="V4872" s="1394">
        <f t="shared" si="1278"/>
        <v>0</v>
      </c>
      <c r="W4872" s="1394"/>
    </row>
    <row r="4873" spans="1:26" ht="30" customHeight="1">
      <c r="B4873" s="1405"/>
      <c r="C4873" s="1455"/>
      <c r="D4873" s="103"/>
      <c r="E4873" s="103"/>
      <c r="F4873" s="1413"/>
      <c r="G4873" s="1413"/>
      <c r="H4873" s="1414"/>
      <c r="I4873" s="1479">
        <f>SUM(I4850:I4872)</f>
        <v>18</v>
      </c>
      <c r="P4873" s="1557"/>
      <c r="Q4873" s="1394">
        <f>IFERROR(VLOOKUP(M4873,#REF!,3,0),0)</f>
        <v>0</v>
      </c>
      <c r="R4873" s="1394">
        <f t="shared" si="1275"/>
        <v>0</v>
      </c>
      <c r="S4873" s="1394">
        <f>IFERROR(VLOOKUP(M4873,#REF!,6,0),0)</f>
        <v>0</v>
      </c>
      <c r="T4873" s="1394">
        <f t="shared" si="1277"/>
        <v>0</v>
      </c>
      <c r="U4873" s="1394">
        <f>IFERROR(VLOOKUP(M4873,#REF!,5,0),0)</f>
        <v>0</v>
      </c>
      <c r="V4873" s="1394">
        <f t="shared" si="1278"/>
        <v>0</v>
      </c>
      <c r="W4873" s="1394"/>
    </row>
    <row r="4874" spans="1:26" ht="30" customHeight="1">
      <c r="B4874" s="1405"/>
      <c r="C4874" s="1455"/>
      <c r="D4874" s="103"/>
      <c r="E4874" s="103"/>
      <c r="F4874" s="1413"/>
      <c r="G4874" s="1483" t="s">
        <v>11</v>
      </c>
      <c r="H4874" s="1478">
        <f>I4873</f>
        <v>18</v>
      </c>
      <c r="I4874" s="1479" t="s">
        <v>13</v>
      </c>
      <c r="M4874" s="1394" t="str">
        <f>A4849</f>
        <v>S &amp; F of Exsaust Fan 300 mm dia</v>
      </c>
      <c r="N4874" s="1394">
        <f>B4849</f>
        <v>112.1</v>
      </c>
      <c r="O4874" s="1394">
        <f>H4874</f>
        <v>18</v>
      </c>
      <c r="P4874" s="1394" t="str">
        <f>I4874</f>
        <v>Nos</v>
      </c>
      <c r="Q4874" s="1394">
        <f>IFERROR(VLOOKUP(M4874,#REF!,3,0),0)</f>
        <v>0</v>
      </c>
      <c r="R4874" s="1394">
        <f t="shared" si="1275"/>
        <v>0</v>
      </c>
      <c r="S4874" s="1394">
        <f>IFERROR(VLOOKUP(M4874,#REF!,6,0),0)</f>
        <v>0</v>
      </c>
      <c r="T4874" s="1394">
        <f t="shared" si="1277"/>
        <v>0</v>
      </c>
      <c r="U4874" s="1394">
        <f>IFERROR(VLOOKUP(M4874,#REF!,5,0),0)</f>
        <v>0</v>
      </c>
      <c r="V4874" s="1394">
        <f t="shared" si="1278"/>
        <v>18</v>
      </c>
      <c r="W4874" s="1394"/>
      <c r="Z4874" s="1394"/>
    </row>
    <row r="4875" spans="1:26" ht="82.5" customHeight="1">
      <c r="A4875" s="110" t="s">
        <v>546</v>
      </c>
      <c r="B4875" s="1405">
        <v>344.2</v>
      </c>
      <c r="C4875" s="1678" t="e">
        <f>VLOOKUP(A4875,#REF!,2,0)</f>
        <v>#REF!</v>
      </c>
      <c r="D4875" s="1678"/>
      <c r="E4875" s="1678"/>
      <c r="F4875" s="1678"/>
      <c r="G4875" s="1678"/>
      <c r="H4875" s="1678"/>
      <c r="I4875" s="1406"/>
      <c r="P4875" s="1557"/>
      <c r="Q4875" s="1394">
        <f>IFERROR(VLOOKUP(M4875,#REF!,3,0),0)</f>
        <v>0</v>
      </c>
      <c r="R4875" s="1394">
        <f t="shared" si="1275"/>
        <v>0</v>
      </c>
      <c r="S4875" s="1394">
        <f>IFERROR(VLOOKUP(M4875,#REF!,6,0),0)</f>
        <v>0</v>
      </c>
      <c r="T4875" s="1394">
        <f t="shared" si="1277"/>
        <v>0</v>
      </c>
      <c r="U4875" s="1394">
        <f>IFERROR(VLOOKUP(M4875,#REF!,5,0),0)</f>
        <v>0</v>
      </c>
      <c r="V4875" s="1394">
        <f t="shared" si="1278"/>
        <v>0</v>
      </c>
      <c r="W4875" s="1394"/>
      <c r="X4875" s="1397"/>
    </row>
    <row r="4876" spans="1:26" ht="30" customHeight="1">
      <c r="B4876" s="1405"/>
      <c r="C4876" s="1532" t="s">
        <v>458</v>
      </c>
      <c r="D4876" s="1523"/>
      <c r="E4876" s="1523"/>
      <c r="F4876" s="1413"/>
      <c r="G4876" s="1413"/>
      <c r="H4876" s="1414"/>
      <c r="I4876" s="1406">
        <f t="shared" ref="I4876:I4883" si="1279">PRODUCT(D4876:H4876)</f>
        <v>0</v>
      </c>
      <c r="P4876" s="1557"/>
      <c r="Q4876" s="1394">
        <f>IFERROR(VLOOKUP(M4876,#REF!,3,0),0)</f>
        <v>0</v>
      </c>
      <c r="R4876" s="1394">
        <f t="shared" si="1275"/>
        <v>0</v>
      </c>
      <c r="S4876" s="1394">
        <f>IFERROR(VLOOKUP(M4876,#REF!,6,0),0)</f>
        <v>0</v>
      </c>
      <c r="T4876" s="1394">
        <f t="shared" si="1277"/>
        <v>0</v>
      </c>
      <c r="U4876" s="1394">
        <f>IFERROR(VLOOKUP(M4876,#REF!,5,0),0)</f>
        <v>0</v>
      </c>
      <c r="V4876" s="1394">
        <f t="shared" si="1278"/>
        <v>0</v>
      </c>
      <c r="W4876" s="1394"/>
    </row>
    <row r="4877" spans="1:26" ht="30" customHeight="1">
      <c r="B4877" s="1405"/>
      <c r="C4877" s="1522" t="s">
        <v>459</v>
      </c>
      <c r="D4877" s="1523">
        <v>1</v>
      </c>
      <c r="E4877" s="1523">
        <v>1</v>
      </c>
      <c r="F4877" s="1413"/>
      <c r="G4877" s="1413"/>
      <c r="H4877" s="1414"/>
      <c r="I4877" s="1406">
        <f t="shared" si="1279"/>
        <v>1</v>
      </c>
      <c r="P4877" s="1557"/>
      <c r="Q4877" s="1394">
        <f>IFERROR(VLOOKUP(M4877,#REF!,3,0),0)</f>
        <v>0</v>
      </c>
      <c r="R4877" s="1394">
        <f t="shared" si="1275"/>
        <v>0</v>
      </c>
      <c r="S4877" s="1394">
        <f>IFERROR(VLOOKUP(M4877,#REF!,6,0),0)</f>
        <v>0</v>
      </c>
      <c r="T4877" s="1394">
        <f t="shared" si="1277"/>
        <v>0</v>
      </c>
      <c r="U4877" s="1394">
        <f>IFERROR(VLOOKUP(M4877,#REF!,5,0),0)</f>
        <v>0</v>
      </c>
      <c r="V4877" s="1394">
        <f t="shared" si="1278"/>
        <v>0</v>
      </c>
      <c r="W4877" s="1394"/>
    </row>
    <row r="4878" spans="1:26" ht="30" customHeight="1">
      <c r="B4878" s="1405"/>
      <c r="C4878" s="1532" t="s">
        <v>259</v>
      </c>
      <c r="D4878" s="1523"/>
      <c r="E4878" s="1523"/>
      <c r="F4878" s="1413"/>
      <c r="G4878" s="1413"/>
      <c r="H4878" s="1414"/>
      <c r="I4878" s="1406">
        <f t="shared" si="1279"/>
        <v>0</v>
      </c>
      <c r="P4878" s="1557"/>
      <c r="Q4878" s="1394">
        <f>IFERROR(VLOOKUP(M4878,#REF!,3,0),0)</f>
        <v>0</v>
      </c>
      <c r="R4878" s="1394">
        <f t="shared" si="1275"/>
        <v>0</v>
      </c>
      <c r="S4878" s="1394">
        <f>IFERROR(VLOOKUP(M4878,#REF!,6,0),0)</f>
        <v>0</v>
      </c>
      <c r="T4878" s="1394">
        <f t="shared" si="1277"/>
        <v>0</v>
      </c>
      <c r="U4878" s="1394">
        <f>IFERROR(VLOOKUP(M4878,#REF!,5,0),0)</f>
        <v>0</v>
      </c>
      <c r="V4878" s="1394">
        <f t="shared" si="1278"/>
        <v>0</v>
      </c>
      <c r="W4878" s="1394"/>
    </row>
    <row r="4879" spans="1:26" ht="30" customHeight="1">
      <c r="B4879" s="1405"/>
      <c r="C4879" s="1522" t="s">
        <v>322</v>
      </c>
      <c r="D4879" s="1523">
        <v>1</v>
      </c>
      <c r="E4879" s="1523">
        <v>4</v>
      </c>
      <c r="F4879" s="1413"/>
      <c r="G4879" s="1413"/>
      <c r="H4879" s="1414"/>
      <c r="I4879" s="1406">
        <f t="shared" si="1279"/>
        <v>4</v>
      </c>
      <c r="P4879" s="1557"/>
      <c r="Q4879" s="1394">
        <f>IFERROR(VLOOKUP(M4879,#REF!,3,0),0)</f>
        <v>0</v>
      </c>
      <c r="R4879" s="1394">
        <f t="shared" si="1275"/>
        <v>0</v>
      </c>
      <c r="S4879" s="1394">
        <f>IFERROR(VLOOKUP(M4879,#REF!,6,0),0)</f>
        <v>0</v>
      </c>
      <c r="T4879" s="1394">
        <f t="shared" si="1277"/>
        <v>0</v>
      </c>
      <c r="U4879" s="1394">
        <f>IFERROR(VLOOKUP(M4879,#REF!,5,0),0)</f>
        <v>0</v>
      </c>
      <c r="V4879" s="1394">
        <f t="shared" si="1278"/>
        <v>0</v>
      </c>
      <c r="W4879" s="1394"/>
    </row>
    <row r="4880" spans="1:26" ht="30" customHeight="1">
      <c r="B4880" s="1405"/>
      <c r="C4880" s="1532" t="s">
        <v>260</v>
      </c>
      <c r="D4880" s="1523"/>
      <c r="E4880" s="1523"/>
      <c r="F4880" s="1413"/>
      <c r="G4880" s="1413"/>
      <c r="H4880" s="1414"/>
      <c r="I4880" s="1406">
        <f t="shared" si="1279"/>
        <v>0</v>
      </c>
      <c r="P4880" s="1557"/>
      <c r="Q4880" s="1394">
        <f>IFERROR(VLOOKUP(M4880,#REF!,3,0),0)</f>
        <v>0</v>
      </c>
      <c r="R4880" s="1394">
        <f t="shared" si="1275"/>
        <v>0</v>
      </c>
      <c r="S4880" s="1394">
        <f>IFERROR(VLOOKUP(M4880,#REF!,6,0),0)</f>
        <v>0</v>
      </c>
      <c r="T4880" s="1394">
        <f t="shared" si="1277"/>
        <v>0</v>
      </c>
      <c r="U4880" s="1394">
        <f>IFERROR(VLOOKUP(M4880,#REF!,5,0),0)</f>
        <v>0</v>
      </c>
      <c r="V4880" s="1394">
        <f t="shared" si="1278"/>
        <v>0</v>
      </c>
      <c r="W4880" s="1394"/>
    </row>
    <row r="4881" spans="1:26" ht="30" customHeight="1">
      <c r="B4881" s="1405"/>
      <c r="C4881" s="1522" t="s">
        <v>322</v>
      </c>
      <c r="D4881" s="1523">
        <v>1</v>
      </c>
      <c r="E4881" s="1523">
        <v>4</v>
      </c>
      <c r="F4881" s="1413"/>
      <c r="G4881" s="1413"/>
      <c r="H4881" s="1414"/>
      <c r="I4881" s="1406">
        <f t="shared" si="1279"/>
        <v>4</v>
      </c>
      <c r="P4881" s="1557"/>
      <c r="Q4881" s="1394">
        <f>IFERROR(VLOOKUP(M4881,#REF!,3,0),0)</f>
        <v>0</v>
      </c>
      <c r="R4881" s="1394">
        <f t="shared" si="1275"/>
        <v>0</v>
      </c>
      <c r="S4881" s="1394">
        <f>IFERROR(VLOOKUP(M4881,#REF!,6,0),0)</f>
        <v>0</v>
      </c>
      <c r="T4881" s="1394">
        <f t="shared" si="1277"/>
        <v>0</v>
      </c>
      <c r="U4881" s="1394">
        <f>IFERROR(VLOOKUP(M4881,#REF!,5,0),0)</f>
        <v>0</v>
      </c>
      <c r="V4881" s="1394">
        <f t="shared" si="1278"/>
        <v>0</v>
      </c>
      <c r="W4881" s="1394"/>
    </row>
    <row r="4882" spans="1:26" ht="30" customHeight="1">
      <c r="B4882" s="1405"/>
      <c r="C4882" s="1532" t="s">
        <v>261</v>
      </c>
      <c r="D4882" s="1523"/>
      <c r="E4882" s="1523"/>
      <c r="F4882" s="1413"/>
      <c r="G4882" s="1413"/>
      <c r="H4882" s="1414"/>
      <c r="I4882" s="1406">
        <f t="shared" si="1279"/>
        <v>0</v>
      </c>
      <c r="P4882" s="1557"/>
      <c r="Q4882" s="1394">
        <f>IFERROR(VLOOKUP(M4882,#REF!,3,0),0)</f>
        <v>0</v>
      </c>
      <c r="R4882" s="1394">
        <f t="shared" si="1275"/>
        <v>0</v>
      </c>
      <c r="S4882" s="1394">
        <f>IFERROR(VLOOKUP(M4882,#REF!,6,0),0)</f>
        <v>0</v>
      </c>
      <c r="T4882" s="1394">
        <f t="shared" si="1277"/>
        <v>0</v>
      </c>
      <c r="U4882" s="1394">
        <f>IFERROR(VLOOKUP(M4882,#REF!,5,0),0)</f>
        <v>0</v>
      </c>
      <c r="V4882" s="1394">
        <f t="shared" si="1278"/>
        <v>0</v>
      </c>
      <c r="W4882" s="1394"/>
    </row>
    <row r="4883" spans="1:26" ht="30" customHeight="1">
      <c r="B4883" s="1405"/>
      <c r="C4883" s="1522" t="s">
        <v>322</v>
      </c>
      <c r="D4883" s="1523">
        <v>1</v>
      </c>
      <c r="E4883" s="1523">
        <v>4</v>
      </c>
      <c r="F4883" s="1413"/>
      <c r="G4883" s="1413"/>
      <c r="H4883" s="1414"/>
      <c r="I4883" s="1406">
        <f t="shared" si="1279"/>
        <v>4</v>
      </c>
      <c r="P4883" s="1557"/>
      <c r="Q4883" s="1394">
        <f>IFERROR(VLOOKUP(M4883,#REF!,3,0),0)</f>
        <v>0</v>
      </c>
      <c r="R4883" s="1394">
        <f t="shared" si="1275"/>
        <v>0</v>
      </c>
      <c r="S4883" s="1394">
        <f>IFERROR(VLOOKUP(M4883,#REF!,6,0),0)</f>
        <v>0</v>
      </c>
      <c r="T4883" s="1394">
        <f t="shared" si="1277"/>
        <v>0</v>
      </c>
      <c r="U4883" s="1394">
        <f>IFERROR(VLOOKUP(M4883,#REF!,5,0),0)</f>
        <v>0</v>
      </c>
      <c r="V4883" s="1394">
        <f t="shared" si="1278"/>
        <v>0</v>
      </c>
      <c r="W4883" s="1394"/>
    </row>
    <row r="4884" spans="1:26" ht="30" customHeight="1">
      <c r="B4884" s="1405"/>
      <c r="C4884" s="1455"/>
      <c r="D4884" s="103"/>
      <c r="E4884" s="103"/>
      <c r="F4884" s="1413"/>
      <c r="G4884" s="1413"/>
      <c r="H4884" s="1414"/>
      <c r="I4884" s="1479"/>
      <c r="P4884" s="1557"/>
      <c r="Q4884" s="1394">
        <f>IFERROR(VLOOKUP(M4884,#REF!,3,0),0)</f>
        <v>0</v>
      </c>
      <c r="R4884" s="1394">
        <f t="shared" si="1275"/>
        <v>0</v>
      </c>
      <c r="S4884" s="1394">
        <f>IFERROR(VLOOKUP(M4884,#REF!,6,0),0)</f>
        <v>0</v>
      </c>
      <c r="T4884" s="1394">
        <f t="shared" si="1277"/>
        <v>0</v>
      </c>
      <c r="U4884" s="1394">
        <f>IFERROR(VLOOKUP(M4884,#REF!,5,0),0)</f>
        <v>0</v>
      </c>
      <c r="V4884" s="1394">
        <f t="shared" si="1278"/>
        <v>0</v>
      </c>
      <c r="W4884" s="1394"/>
    </row>
    <row r="4885" spans="1:26" ht="30" customHeight="1">
      <c r="B4885" s="1405"/>
      <c r="C4885" s="1455"/>
      <c r="D4885" s="103"/>
      <c r="E4885" s="103"/>
      <c r="F4885" s="1413"/>
      <c r="G4885" s="1413"/>
      <c r="H4885" s="1414"/>
      <c r="I4885" s="1479"/>
      <c r="P4885" s="1557"/>
      <c r="Q4885" s="1394">
        <f>IFERROR(VLOOKUP(M4885,#REF!,3,0),0)</f>
        <v>0</v>
      </c>
      <c r="R4885" s="1394">
        <f t="shared" si="1275"/>
        <v>0</v>
      </c>
      <c r="S4885" s="1394">
        <f>IFERROR(VLOOKUP(M4885,#REF!,6,0),0)</f>
        <v>0</v>
      </c>
      <c r="T4885" s="1394">
        <f t="shared" si="1277"/>
        <v>0</v>
      </c>
      <c r="U4885" s="1394">
        <f>IFERROR(VLOOKUP(M4885,#REF!,5,0),0)</f>
        <v>0</v>
      </c>
      <c r="V4885" s="1394">
        <f t="shared" si="1278"/>
        <v>0</v>
      </c>
      <c r="W4885" s="1394"/>
    </row>
    <row r="4886" spans="1:26" ht="30" customHeight="1">
      <c r="B4886" s="1405"/>
      <c r="C4886" s="1455"/>
      <c r="D4886" s="103"/>
      <c r="E4886" s="103"/>
      <c r="F4886" s="1413"/>
      <c r="G4886" s="1413"/>
      <c r="H4886" s="1414"/>
      <c r="I4886" s="1479">
        <f>SUM(I4876:I4885)</f>
        <v>13</v>
      </c>
      <c r="P4886" s="1557"/>
      <c r="Q4886" s="1394">
        <f>IFERROR(VLOOKUP(M4886,#REF!,3,0),0)</f>
        <v>0</v>
      </c>
      <c r="R4886" s="1394">
        <f t="shared" si="1275"/>
        <v>0</v>
      </c>
      <c r="S4886" s="1394">
        <f>IFERROR(VLOOKUP(M4886,#REF!,6,0),0)</f>
        <v>0</v>
      </c>
      <c r="T4886" s="1394">
        <f t="shared" si="1277"/>
        <v>0</v>
      </c>
      <c r="U4886" s="1394">
        <f>IFERROR(VLOOKUP(M4886,#REF!,5,0),0)</f>
        <v>0</v>
      </c>
      <c r="V4886" s="1394">
        <f t="shared" si="1278"/>
        <v>0</v>
      </c>
      <c r="W4886" s="1394"/>
    </row>
    <row r="4887" spans="1:26" ht="30" customHeight="1">
      <c r="B4887" s="1405"/>
      <c r="C4887" s="1455"/>
      <c r="D4887" s="103"/>
      <c r="E4887" s="103"/>
      <c r="F4887" s="1413"/>
      <c r="G4887" s="1483" t="s">
        <v>11</v>
      </c>
      <c r="H4887" s="1478">
        <f>I4886</f>
        <v>13</v>
      </c>
      <c r="I4887" s="1479" t="s">
        <v>13</v>
      </c>
      <c r="M4887" s="1394" t="str">
        <f>A4875</f>
        <v>S&amp;F of Bevelled edge mirror 500 x 400 x 5.5mm</v>
      </c>
      <c r="N4887" s="1394">
        <f>B4875</f>
        <v>344.2</v>
      </c>
      <c r="O4887" s="1394">
        <f>H4887</f>
        <v>13</v>
      </c>
      <c r="P4887" s="1394" t="str">
        <f>I4887</f>
        <v>Nos</v>
      </c>
      <c r="Q4887" s="1394">
        <f>IFERROR(VLOOKUP(M4887,#REF!,3,0),0)</f>
        <v>0</v>
      </c>
      <c r="R4887" s="1394">
        <f t="shared" si="1275"/>
        <v>0</v>
      </c>
      <c r="S4887" s="1394">
        <f>IFERROR(VLOOKUP(M4887,#REF!,6,0),0)</f>
        <v>0</v>
      </c>
      <c r="T4887" s="1394">
        <f t="shared" si="1277"/>
        <v>0</v>
      </c>
      <c r="U4887" s="1394">
        <f>IFERROR(VLOOKUP(M4887,#REF!,5,0),0)</f>
        <v>0</v>
      </c>
      <c r="V4887" s="1394">
        <f t="shared" si="1278"/>
        <v>13</v>
      </c>
      <c r="W4887" s="1394"/>
      <c r="Z4887" s="1394"/>
    </row>
    <row r="4888" spans="1:26" ht="116.25" customHeight="1">
      <c r="A4888" s="110" t="s">
        <v>1162</v>
      </c>
      <c r="B4888" s="1405"/>
      <c r="C4888" s="1678" t="e">
        <f>VLOOKUP(A4888,#REF!,2,0)</f>
        <v>#REF!</v>
      </c>
      <c r="D4888" s="1678"/>
      <c r="E4888" s="1678"/>
      <c r="F4888" s="1678"/>
      <c r="G4888" s="1678"/>
      <c r="H4888" s="1678"/>
      <c r="I4888" s="1406"/>
      <c r="P4888" s="1557"/>
      <c r="Q4888" s="1394">
        <f>IFERROR(VLOOKUP(M4888,#REF!,3,0),0)</f>
        <v>0</v>
      </c>
      <c r="R4888" s="1394">
        <f t="shared" si="1275"/>
        <v>0</v>
      </c>
      <c r="S4888" s="1394">
        <f>IFERROR(VLOOKUP(M4888,#REF!,6,0),0)</f>
        <v>0</v>
      </c>
      <c r="T4888" s="1394">
        <f t="shared" si="1277"/>
        <v>0</v>
      </c>
      <c r="U4888" s="1394">
        <f>IFERROR(VLOOKUP(M4888,#REF!,5,0),0)</f>
        <v>0</v>
      </c>
      <c r="V4888" s="1394">
        <f t="shared" si="1278"/>
        <v>0</v>
      </c>
      <c r="W4888" s="1394"/>
      <c r="X4888" s="1397"/>
    </row>
    <row r="4889" spans="1:26" ht="30" customHeight="1">
      <c r="B4889" s="1405"/>
      <c r="C4889" s="1532" t="s">
        <v>258</v>
      </c>
      <c r="D4889" s="1523"/>
      <c r="E4889" s="1523"/>
      <c r="F4889" s="1413"/>
      <c r="G4889" s="1413"/>
      <c r="H4889" s="1414"/>
      <c r="I4889" s="1406">
        <f t="shared" ref="I4889:I4896" si="1280">PRODUCT(D4889:H4889)</f>
        <v>0</v>
      </c>
      <c r="P4889" s="1557"/>
      <c r="Q4889" s="1394">
        <f>IFERROR(VLOOKUP(M4889,#REF!,3,0),0)</f>
        <v>0</v>
      </c>
      <c r="R4889" s="1394">
        <f t="shared" si="1275"/>
        <v>0</v>
      </c>
      <c r="S4889" s="1394">
        <f>IFERROR(VLOOKUP(M4889,#REF!,6,0),0)</f>
        <v>0</v>
      </c>
      <c r="T4889" s="1394">
        <f t="shared" si="1277"/>
        <v>0</v>
      </c>
      <c r="U4889" s="1394">
        <f>IFERROR(VLOOKUP(M4889,#REF!,5,0),0)</f>
        <v>0</v>
      </c>
      <c r="V4889" s="1394">
        <f t="shared" si="1278"/>
        <v>0</v>
      </c>
      <c r="W4889" s="1394"/>
    </row>
    <row r="4890" spans="1:26" ht="30" customHeight="1">
      <c r="B4890" s="1405"/>
      <c r="C4890" s="1522" t="s">
        <v>547</v>
      </c>
      <c r="D4890" s="1523">
        <v>1</v>
      </c>
      <c r="E4890" s="1523">
        <v>1</v>
      </c>
      <c r="F4890" s="1413"/>
      <c r="G4890" s="1413"/>
      <c r="H4890" s="1414"/>
      <c r="I4890" s="1406">
        <f t="shared" si="1280"/>
        <v>1</v>
      </c>
      <c r="P4890" s="1557"/>
      <c r="Q4890" s="1394">
        <f>IFERROR(VLOOKUP(M4890,#REF!,3,0),0)</f>
        <v>0</v>
      </c>
      <c r="R4890" s="1394">
        <f t="shared" si="1275"/>
        <v>0</v>
      </c>
      <c r="S4890" s="1394">
        <f>IFERROR(VLOOKUP(M4890,#REF!,6,0),0)</f>
        <v>0</v>
      </c>
      <c r="T4890" s="1394">
        <f t="shared" si="1277"/>
        <v>0</v>
      </c>
      <c r="U4890" s="1394">
        <f>IFERROR(VLOOKUP(M4890,#REF!,5,0),0)</f>
        <v>0</v>
      </c>
      <c r="V4890" s="1394">
        <f t="shared" si="1278"/>
        <v>0</v>
      </c>
      <c r="W4890" s="1394"/>
    </row>
    <row r="4891" spans="1:26" ht="30" customHeight="1">
      <c r="B4891" s="1405"/>
      <c r="C4891" s="1532" t="s">
        <v>259</v>
      </c>
      <c r="D4891" s="1523"/>
      <c r="E4891" s="1523"/>
      <c r="F4891" s="1413"/>
      <c r="G4891" s="1413"/>
      <c r="H4891" s="1414"/>
      <c r="I4891" s="1406">
        <f t="shared" si="1280"/>
        <v>0</v>
      </c>
      <c r="P4891" s="1557"/>
      <c r="Q4891" s="1394">
        <f>IFERROR(VLOOKUP(M4891,#REF!,3,0),0)</f>
        <v>0</v>
      </c>
      <c r="R4891" s="1394">
        <f t="shared" si="1275"/>
        <v>0</v>
      </c>
      <c r="S4891" s="1394">
        <f>IFERROR(VLOOKUP(M4891,#REF!,6,0),0)</f>
        <v>0</v>
      </c>
      <c r="T4891" s="1394">
        <f t="shared" si="1277"/>
        <v>0</v>
      </c>
      <c r="U4891" s="1394">
        <f>IFERROR(VLOOKUP(M4891,#REF!,5,0),0)</f>
        <v>0</v>
      </c>
      <c r="V4891" s="1394">
        <f t="shared" si="1278"/>
        <v>0</v>
      </c>
      <c r="W4891" s="1394"/>
    </row>
    <row r="4892" spans="1:26" ht="30" customHeight="1">
      <c r="B4892" s="1405"/>
      <c r="C4892" s="1522" t="s">
        <v>547</v>
      </c>
      <c r="D4892" s="1523">
        <v>1</v>
      </c>
      <c r="E4892" s="1523">
        <v>1</v>
      </c>
      <c r="F4892" s="1413"/>
      <c r="G4892" s="1413"/>
      <c r="H4892" s="1414"/>
      <c r="I4892" s="1406">
        <f t="shared" si="1280"/>
        <v>1</v>
      </c>
      <c r="P4892" s="1557"/>
      <c r="Q4892" s="1394">
        <f>IFERROR(VLOOKUP(M4892,#REF!,3,0),0)</f>
        <v>0</v>
      </c>
      <c r="R4892" s="1394">
        <f t="shared" si="1275"/>
        <v>0</v>
      </c>
      <c r="S4892" s="1394">
        <f>IFERROR(VLOOKUP(M4892,#REF!,6,0),0)</f>
        <v>0</v>
      </c>
      <c r="T4892" s="1394">
        <f t="shared" si="1277"/>
        <v>0</v>
      </c>
      <c r="U4892" s="1394">
        <f>IFERROR(VLOOKUP(M4892,#REF!,5,0),0)</f>
        <v>0</v>
      </c>
      <c r="V4892" s="1394">
        <f t="shared" si="1278"/>
        <v>0</v>
      </c>
      <c r="W4892" s="1394"/>
    </row>
    <row r="4893" spans="1:26" ht="30" customHeight="1">
      <c r="B4893" s="1405"/>
      <c r="C4893" s="1532" t="s">
        <v>260</v>
      </c>
      <c r="D4893" s="1523"/>
      <c r="E4893" s="1523"/>
      <c r="F4893" s="1413"/>
      <c r="G4893" s="1413"/>
      <c r="H4893" s="1414"/>
      <c r="I4893" s="1406">
        <f t="shared" si="1280"/>
        <v>0</v>
      </c>
      <c r="P4893" s="1557"/>
      <c r="Q4893" s="1394">
        <f>IFERROR(VLOOKUP(M4893,#REF!,3,0),0)</f>
        <v>0</v>
      </c>
      <c r="R4893" s="1394">
        <f t="shared" si="1275"/>
        <v>0</v>
      </c>
      <c r="S4893" s="1394">
        <f>IFERROR(VLOOKUP(M4893,#REF!,6,0),0)</f>
        <v>0</v>
      </c>
      <c r="T4893" s="1394">
        <f t="shared" si="1277"/>
        <v>0</v>
      </c>
      <c r="U4893" s="1394">
        <f>IFERROR(VLOOKUP(M4893,#REF!,5,0),0)</f>
        <v>0</v>
      </c>
      <c r="V4893" s="1394">
        <f t="shared" si="1278"/>
        <v>0</v>
      </c>
      <c r="W4893" s="1394"/>
    </row>
    <row r="4894" spans="1:26" ht="30" customHeight="1">
      <c r="B4894" s="1405"/>
      <c r="C4894" s="1522" t="s">
        <v>547</v>
      </c>
      <c r="D4894" s="1523">
        <v>1</v>
      </c>
      <c r="E4894" s="1523">
        <v>1</v>
      </c>
      <c r="F4894" s="1413"/>
      <c r="G4894" s="1413"/>
      <c r="H4894" s="1414"/>
      <c r="I4894" s="1406">
        <f t="shared" si="1280"/>
        <v>1</v>
      </c>
      <c r="P4894" s="1557"/>
      <c r="Q4894" s="1394">
        <f>IFERROR(VLOOKUP(M4894,#REF!,3,0),0)</f>
        <v>0</v>
      </c>
      <c r="R4894" s="1394">
        <f t="shared" si="1275"/>
        <v>0</v>
      </c>
      <c r="S4894" s="1394">
        <f>IFERROR(VLOOKUP(M4894,#REF!,6,0),0)</f>
        <v>0</v>
      </c>
      <c r="T4894" s="1394">
        <f t="shared" si="1277"/>
        <v>0</v>
      </c>
      <c r="U4894" s="1394">
        <f>IFERROR(VLOOKUP(M4894,#REF!,5,0),0)</f>
        <v>0</v>
      </c>
      <c r="V4894" s="1394">
        <f t="shared" si="1278"/>
        <v>0</v>
      </c>
      <c r="W4894" s="1394"/>
    </row>
    <row r="4895" spans="1:26" ht="30" customHeight="1">
      <c r="B4895" s="1405"/>
      <c r="C4895" s="1532" t="s">
        <v>261</v>
      </c>
      <c r="D4895" s="1523"/>
      <c r="E4895" s="1523"/>
      <c r="F4895" s="1413"/>
      <c r="G4895" s="1413"/>
      <c r="H4895" s="1414"/>
      <c r="I4895" s="1406">
        <f t="shared" si="1280"/>
        <v>0</v>
      </c>
      <c r="P4895" s="1557"/>
      <c r="Q4895" s="1394">
        <f>IFERROR(VLOOKUP(M4895,#REF!,3,0),0)</f>
        <v>0</v>
      </c>
      <c r="R4895" s="1394">
        <f t="shared" si="1275"/>
        <v>0</v>
      </c>
      <c r="S4895" s="1394">
        <f>IFERROR(VLOOKUP(M4895,#REF!,6,0),0)</f>
        <v>0</v>
      </c>
      <c r="T4895" s="1394">
        <f t="shared" si="1277"/>
        <v>0</v>
      </c>
      <c r="U4895" s="1394">
        <f>IFERROR(VLOOKUP(M4895,#REF!,5,0),0)</f>
        <v>0</v>
      </c>
      <c r="V4895" s="1394">
        <f t="shared" si="1278"/>
        <v>0</v>
      </c>
      <c r="W4895" s="1394"/>
    </row>
    <row r="4896" spans="1:26" ht="30" customHeight="1">
      <c r="B4896" s="1405"/>
      <c r="C4896" s="1522" t="s">
        <v>547</v>
      </c>
      <c r="D4896" s="1523">
        <v>1</v>
      </c>
      <c r="E4896" s="1523">
        <v>1</v>
      </c>
      <c r="F4896" s="1413"/>
      <c r="G4896" s="1413"/>
      <c r="H4896" s="1414"/>
      <c r="I4896" s="1406">
        <f t="shared" si="1280"/>
        <v>1</v>
      </c>
      <c r="P4896" s="1557"/>
      <c r="Q4896" s="1394">
        <f>IFERROR(VLOOKUP(M4896,#REF!,3,0),0)</f>
        <v>0</v>
      </c>
      <c r="R4896" s="1394">
        <f t="shared" si="1275"/>
        <v>0</v>
      </c>
      <c r="S4896" s="1394">
        <f>IFERROR(VLOOKUP(M4896,#REF!,6,0),0)</f>
        <v>0</v>
      </c>
      <c r="T4896" s="1394">
        <f t="shared" si="1277"/>
        <v>0</v>
      </c>
      <c r="U4896" s="1394">
        <f>IFERROR(VLOOKUP(M4896,#REF!,5,0),0)</f>
        <v>0</v>
      </c>
      <c r="V4896" s="1394">
        <f t="shared" si="1278"/>
        <v>0</v>
      </c>
      <c r="W4896" s="1394"/>
    </row>
    <row r="4897" spans="1:26" ht="30" customHeight="1">
      <c r="B4897" s="1405"/>
      <c r="C4897" s="1455"/>
      <c r="D4897" s="103"/>
      <c r="E4897" s="103"/>
      <c r="F4897" s="1413"/>
      <c r="G4897" s="1413"/>
      <c r="H4897" s="1414"/>
      <c r="I4897" s="1479">
        <f>SUM(I4889:I4896)</f>
        <v>4</v>
      </c>
      <c r="P4897" s="1557"/>
      <c r="Q4897" s="1394">
        <f>IFERROR(VLOOKUP(M4897,#REF!,3,0),0)</f>
        <v>0</v>
      </c>
      <c r="R4897" s="1394">
        <f t="shared" si="1275"/>
        <v>0</v>
      </c>
      <c r="S4897" s="1394">
        <f>IFERROR(VLOOKUP(M4897,#REF!,6,0),0)</f>
        <v>0</v>
      </c>
      <c r="T4897" s="1394">
        <f t="shared" si="1277"/>
        <v>0</v>
      </c>
      <c r="U4897" s="1394">
        <f>IFERROR(VLOOKUP(M4897,#REF!,5,0),0)</f>
        <v>0</v>
      </c>
      <c r="V4897" s="1394">
        <f t="shared" si="1278"/>
        <v>0</v>
      </c>
      <c r="W4897" s="1394"/>
    </row>
    <row r="4898" spans="1:26" ht="30" customHeight="1">
      <c r="B4898" s="1405"/>
      <c r="C4898" s="1455"/>
      <c r="D4898" s="103"/>
      <c r="E4898" s="103"/>
      <c r="F4898" s="1413"/>
      <c r="G4898" s="1483" t="s">
        <v>11</v>
      </c>
      <c r="H4898" s="1478">
        <f>I4897</f>
        <v>4</v>
      </c>
      <c r="I4898" s="1479" t="s">
        <v>13</v>
      </c>
      <c r="M4898" s="1394" t="str">
        <f>A4888</f>
        <v>S&amp;F of PVC flushing cistern</v>
      </c>
      <c r="N4898" s="1394">
        <f>B4888</f>
        <v>0</v>
      </c>
      <c r="O4898" s="1394">
        <f>H4898</f>
        <v>4</v>
      </c>
      <c r="P4898" s="1394" t="str">
        <f>I4898</f>
        <v>Nos</v>
      </c>
      <c r="Q4898" s="1394">
        <f>IFERROR(VLOOKUP(M4898,#REF!,3,0),0)</f>
        <v>0</v>
      </c>
      <c r="R4898" s="1394">
        <f t="shared" si="1275"/>
        <v>0</v>
      </c>
      <c r="S4898" s="1394">
        <f>IFERROR(VLOOKUP(M4898,#REF!,6,0),0)</f>
        <v>0</v>
      </c>
      <c r="T4898" s="1394">
        <f t="shared" si="1277"/>
        <v>0</v>
      </c>
      <c r="U4898" s="1394">
        <f>IFERROR(VLOOKUP(M4898,#REF!,5,0),0)</f>
        <v>0</v>
      </c>
      <c r="V4898" s="1394">
        <f t="shared" si="1278"/>
        <v>4</v>
      </c>
      <c r="W4898" s="1394"/>
      <c r="Z4898" s="1394"/>
    </row>
    <row r="4899" spans="1:26" ht="116.25" customHeight="1">
      <c r="A4899" s="110" t="s">
        <v>548</v>
      </c>
      <c r="B4899" s="1405">
        <v>383.2</v>
      </c>
      <c r="C4899" s="1678" t="e">
        <f>VLOOKUP(A4899,#REF!,2,0)</f>
        <v>#REF!</v>
      </c>
      <c r="D4899" s="1678"/>
      <c r="E4899" s="1678"/>
      <c r="F4899" s="1678"/>
      <c r="G4899" s="1678"/>
      <c r="H4899" s="1678"/>
      <c r="I4899" s="1406"/>
      <c r="P4899" s="1557"/>
      <c r="Q4899" s="1394">
        <f>IFERROR(VLOOKUP(M4899,#REF!,3,0),0)</f>
        <v>0</v>
      </c>
      <c r="R4899" s="1394">
        <f t="shared" si="1275"/>
        <v>0</v>
      </c>
      <c r="S4899" s="1394">
        <f>IFERROR(VLOOKUP(M4899,#REF!,6,0),0)</f>
        <v>0</v>
      </c>
      <c r="T4899" s="1394">
        <f t="shared" si="1277"/>
        <v>0</v>
      </c>
      <c r="U4899" s="1394">
        <f>IFERROR(VLOOKUP(M4899,#REF!,5,0),0)</f>
        <v>0</v>
      </c>
      <c r="V4899" s="1394">
        <f t="shared" si="1278"/>
        <v>0</v>
      </c>
      <c r="W4899" s="1394"/>
      <c r="X4899" s="1397"/>
    </row>
    <row r="4900" spans="1:26" ht="30" customHeight="1">
      <c r="B4900" s="1405"/>
      <c r="C4900" s="1532" t="s">
        <v>259</v>
      </c>
      <c r="D4900" s="1523"/>
      <c r="E4900" s="1523"/>
      <c r="F4900" s="1413"/>
      <c r="G4900" s="1413"/>
      <c r="H4900" s="1414"/>
      <c r="I4900" s="1406">
        <f t="shared" ref="I4900:I4907" si="1281">PRODUCT(D4900:H4900)</f>
        <v>0</v>
      </c>
      <c r="P4900" s="1557"/>
      <c r="Q4900" s="1394">
        <f>IFERROR(VLOOKUP(M4900,#REF!,3,0),0)</f>
        <v>0</v>
      </c>
      <c r="R4900" s="1394">
        <f t="shared" si="1275"/>
        <v>0</v>
      </c>
      <c r="S4900" s="1394">
        <f>IFERROR(VLOOKUP(M4900,#REF!,6,0),0)</f>
        <v>0</v>
      </c>
      <c r="T4900" s="1394">
        <f t="shared" si="1277"/>
        <v>0</v>
      </c>
      <c r="U4900" s="1394">
        <f>IFERROR(VLOOKUP(M4900,#REF!,5,0),0)</f>
        <v>0</v>
      </c>
      <c r="V4900" s="1394">
        <f t="shared" si="1278"/>
        <v>0</v>
      </c>
      <c r="W4900" s="1394"/>
    </row>
    <row r="4901" spans="1:26" ht="30" customHeight="1">
      <c r="B4901" s="1405"/>
      <c r="C4901" s="1522" t="s">
        <v>322</v>
      </c>
      <c r="D4901" s="1523">
        <v>1</v>
      </c>
      <c r="E4901" s="1523">
        <v>5</v>
      </c>
      <c r="F4901" s="1413"/>
      <c r="G4901" s="1413"/>
      <c r="H4901" s="1414"/>
      <c r="I4901" s="1406">
        <f t="shared" si="1281"/>
        <v>5</v>
      </c>
      <c r="P4901" s="1557"/>
      <c r="Q4901" s="1394">
        <f>IFERROR(VLOOKUP(M4901,#REF!,3,0),0)</f>
        <v>0</v>
      </c>
      <c r="R4901" s="1394">
        <f t="shared" si="1275"/>
        <v>0</v>
      </c>
      <c r="S4901" s="1394">
        <f>IFERROR(VLOOKUP(M4901,#REF!,6,0),0)</f>
        <v>0</v>
      </c>
      <c r="T4901" s="1394">
        <f t="shared" si="1277"/>
        <v>0</v>
      </c>
      <c r="U4901" s="1394">
        <f>IFERROR(VLOOKUP(M4901,#REF!,5,0),0)</f>
        <v>0</v>
      </c>
      <c r="V4901" s="1394">
        <f t="shared" si="1278"/>
        <v>0</v>
      </c>
      <c r="W4901" s="1394"/>
    </row>
    <row r="4902" spans="1:26" ht="30" customHeight="1">
      <c r="B4902" s="1405"/>
      <c r="C4902" s="1532" t="s">
        <v>260</v>
      </c>
      <c r="D4902" s="1523"/>
      <c r="E4902" s="1523"/>
      <c r="F4902" s="1413"/>
      <c r="G4902" s="1413"/>
      <c r="H4902" s="1414"/>
      <c r="I4902" s="1406">
        <f t="shared" si="1281"/>
        <v>0</v>
      </c>
      <c r="P4902" s="1557"/>
      <c r="Q4902" s="1394">
        <f>IFERROR(VLOOKUP(M4902,#REF!,3,0),0)</f>
        <v>0</v>
      </c>
      <c r="R4902" s="1394">
        <f t="shared" si="1275"/>
        <v>0</v>
      </c>
      <c r="S4902" s="1394">
        <f>IFERROR(VLOOKUP(M4902,#REF!,6,0),0)</f>
        <v>0</v>
      </c>
      <c r="T4902" s="1394">
        <f t="shared" si="1277"/>
        <v>0</v>
      </c>
      <c r="U4902" s="1394">
        <f>IFERROR(VLOOKUP(M4902,#REF!,5,0),0)</f>
        <v>0</v>
      </c>
      <c r="V4902" s="1394">
        <f t="shared" si="1278"/>
        <v>0</v>
      </c>
      <c r="W4902" s="1394"/>
    </row>
    <row r="4903" spans="1:26" ht="30" customHeight="1">
      <c r="B4903" s="1405"/>
      <c r="C4903" s="1522" t="s">
        <v>322</v>
      </c>
      <c r="D4903" s="1523">
        <v>1</v>
      </c>
      <c r="E4903" s="1523">
        <v>5</v>
      </c>
      <c r="F4903" s="1413"/>
      <c r="G4903" s="1413"/>
      <c r="H4903" s="1414"/>
      <c r="I4903" s="1406">
        <f t="shared" si="1281"/>
        <v>5</v>
      </c>
      <c r="P4903" s="1557"/>
      <c r="Q4903" s="1394">
        <f>IFERROR(VLOOKUP(M4903,#REF!,3,0),0)</f>
        <v>0</v>
      </c>
      <c r="R4903" s="1394">
        <f t="shared" si="1275"/>
        <v>0</v>
      </c>
      <c r="S4903" s="1394">
        <f>IFERROR(VLOOKUP(M4903,#REF!,6,0),0)</f>
        <v>0</v>
      </c>
      <c r="T4903" s="1394">
        <f t="shared" si="1277"/>
        <v>0</v>
      </c>
      <c r="U4903" s="1394">
        <f>IFERROR(VLOOKUP(M4903,#REF!,5,0),0)</f>
        <v>0</v>
      </c>
      <c r="V4903" s="1394">
        <f t="shared" si="1278"/>
        <v>0</v>
      </c>
      <c r="W4903" s="1394"/>
    </row>
    <row r="4904" spans="1:26" ht="30" customHeight="1">
      <c r="B4904" s="1405"/>
      <c r="C4904" s="1532" t="s">
        <v>261</v>
      </c>
      <c r="D4904" s="1523"/>
      <c r="E4904" s="1523"/>
      <c r="F4904" s="1413"/>
      <c r="G4904" s="1413"/>
      <c r="H4904" s="1414"/>
      <c r="I4904" s="1406">
        <f t="shared" si="1281"/>
        <v>0</v>
      </c>
      <c r="P4904" s="1557"/>
      <c r="Q4904" s="1394">
        <f>IFERROR(VLOOKUP(M4904,#REF!,3,0),0)</f>
        <v>0</v>
      </c>
      <c r="R4904" s="1394">
        <f t="shared" si="1275"/>
        <v>0</v>
      </c>
      <c r="S4904" s="1394">
        <f>IFERROR(VLOOKUP(M4904,#REF!,6,0),0)</f>
        <v>0</v>
      </c>
      <c r="T4904" s="1394">
        <f t="shared" si="1277"/>
        <v>0</v>
      </c>
      <c r="U4904" s="1394">
        <f>IFERROR(VLOOKUP(M4904,#REF!,5,0),0)</f>
        <v>0</v>
      </c>
      <c r="V4904" s="1394">
        <f t="shared" si="1278"/>
        <v>0</v>
      </c>
      <c r="W4904" s="1394"/>
    </row>
    <row r="4905" spans="1:26" ht="30" customHeight="1">
      <c r="B4905" s="1405"/>
      <c r="C4905" s="1522" t="s">
        <v>322</v>
      </c>
      <c r="D4905" s="1523">
        <v>1</v>
      </c>
      <c r="E4905" s="1523">
        <v>5</v>
      </c>
      <c r="F4905" s="1413"/>
      <c r="G4905" s="1413"/>
      <c r="H4905" s="1414"/>
      <c r="I4905" s="1406">
        <f t="shared" si="1281"/>
        <v>5</v>
      </c>
      <c r="P4905" s="1557"/>
      <c r="Q4905" s="1394">
        <f>IFERROR(VLOOKUP(M4905,#REF!,3,0),0)</f>
        <v>0</v>
      </c>
      <c r="R4905" s="1394">
        <f t="shared" si="1275"/>
        <v>0</v>
      </c>
      <c r="S4905" s="1394">
        <f>IFERROR(VLOOKUP(M4905,#REF!,6,0),0)</f>
        <v>0</v>
      </c>
      <c r="T4905" s="1394">
        <f t="shared" si="1277"/>
        <v>0</v>
      </c>
      <c r="U4905" s="1394">
        <f>IFERROR(VLOOKUP(M4905,#REF!,5,0),0)</f>
        <v>0</v>
      </c>
      <c r="V4905" s="1394">
        <f t="shared" si="1278"/>
        <v>0</v>
      </c>
      <c r="W4905" s="1394"/>
    </row>
    <row r="4906" spans="1:26" ht="30" customHeight="1">
      <c r="B4906" s="1405"/>
      <c r="C4906" s="1532" t="s">
        <v>262</v>
      </c>
      <c r="D4906" s="1523"/>
      <c r="E4906" s="1523"/>
      <c r="F4906" s="1413"/>
      <c r="G4906" s="1413"/>
      <c r="H4906" s="1414"/>
      <c r="I4906" s="1406">
        <f t="shared" si="1281"/>
        <v>0</v>
      </c>
      <c r="P4906" s="1557"/>
      <c r="Q4906" s="1394">
        <f>IFERROR(VLOOKUP(M4906,#REF!,3,0),0)</f>
        <v>0</v>
      </c>
      <c r="R4906" s="1394">
        <f t="shared" si="1275"/>
        <v>0</v>
      </c>
      <c r="S4906" s="1394">
        <f>IFERROR(VLOOKUP(M4906,#REF!,6,0),0)</f>
        <v>0</v>
      </c>
      <c r="T4906" s="1394">
        <f t="shared" si="1277"/>
        <v>0</v>
      </c>
      <c r="U4906" s="1394">
        <f>IFERROR(VLOOKUP(M4906,#REF!,5,0),0)</f>
        <v>0</v>
      </c>
      <c r="V4906" s="1394">
        <f t="shared" si="1278"/>
        <v>0</v>
      </c>
      <c r="W4906" s="1394"/>
    </row>
    <row r="4907" spans="1:26" ht="30" customHeight="1">
      <c r="B4907" s="1405"/>
      <c r="C4907" s="1522" t="s">
        <v>444</v>
      </c>
      <c r="D4907" s="1523">
        <v>1</v>
      </c>
      <c r="E4907" s="1523">
        <v>11</v>
      </c>
      <c r="F4907" s="1413"/>
      <c r="G4907" s="1413"/>
      <c r="H4907" s="1414"/>
      <c r="I4907" s="1406">
        <f t="shared" si="1281"/>
        <v>11</v>
      </c>
      <c r="P4907" s="1557"/>
      <c r="Q4907" s="1394">
        <f>IFERROR(VLOOKUP(M4907,#REF!,3,0),0)</f>
        <v>0</v>
      </c>
      <c r="R4907" s="1394">
        <f t="shared" si="1275"/>
        <v>0</v>
      </c>
      <c r="S4907" s="1394">
        <f>IFERROR(VLOOKUP(M4907,#REF!,6,0),0)</f>
        <v>0</v>
      </c>
      <c r="T4907" s="1394">
        <f t="shared" si="1277"/>
        <v>0</v>
      </c>
      <c r="U4907" s="1394">
        <f>IFERROR(VLOOKUP(M4907,#REF!,5,0),0)</f>
        <v>0</v>
      </c>
      <c r="V4907" s="1394">
        <f t="shared" si="1278"/>
        <v>0</v>
      </c>
      <c r="W4907" s="1394"/>
    </row>
    <row r="4908" spans="1:26" ht="30" customHeight="1">
      <c r="B4908" s="1405"/>
      <c r="C4908" s="1455"/>
      <c r="D4908" s="103"/>
      <c r="E4908" s="103"/>
      <c r="F4908" s="1413"/>
      <c r="G4908" s="1413"/>
      <c r="H4908" s="1414"/>
      <c r="I4908" s="1406">
        <f>SUM(I4900:I4907)</f>
        <v>26</v>
      </c>
      <c r="P4908" s="1557"/>
      <c r="Q4908" s="1394">
        <f>IFERROR(VLOOKUP(M4908,#REF!,3,0),0)</f>
        <v>0</v>
      </c>
      <c r="R4908" s="1394">
        <f t="shared" si="1275"/>
        <v>0</v>
      </c>
      <c r="S4908" s="1394">
        <f>IFERROR(VLOOKUP(M4908,#REF!,6,0),0)</f>
        <v>0</v>
      </c>
      <c r="T4908" s="1394">
        <f t="shared" si="1277"/>
        <v>0</v>
      </c>
      <c r="U4908" s="1394">
        <f>IFERROR(VLOOKUP(M4908,#REF!,5,0),0)</f>
        <v>0</v>
      </c>
      <c r="V4908" s="1394">
        <f t="shared" si="1278"/>
        <v>0</v>
      </c>
      <c r="W4908" s="1394"/>
    </row>
    <row r="4909" spans="1:26" ht="30" customHeight="1">
      <c r="B4909" s="1405"/>
      <c r="C4909" s="1412"/>
      <c r="D4909" s="103"/>
      <c r="E4909" s="103"/>
      <c r="F4909" s="1413"/>
      <c r="G4909" s="1483" t="s">
        <v>11</v>
      </c>
      <c r="H4909" s="1478">
        <f>I4908</f>
        <v>26</v>
      </c>
      <c r="I4909" s="1479" t="s">
        <v>13</v>
      </c>
      <c r="Q4909" s="1394">
        <f>IFERROR(VLOOKUP(M4909,#REF!,3,0),0)</f>
        <v>0</v>
      </c>
      <c r="R4909" s="1394">
        <f t="shared" si="1275"/>
        <v>0</v>
      </c>
      <c r="S4909" s="1394">
        <f>IFERROR(VLOOKUP(M4909,#REF!,6,0),0)</f>
        <v>0</v>
      </c>
      <c r="T4909" s="1394">
        <f t="shared" si="1277"/>
        <v>0</v>
      </c>
      <c r="U4909" s="1394">
        <f>IFERROR(VLOOKUP(M4909,#REF!,5,0),0)</f>
        <v>0</v>
      </c>
      <c r="V4909" s="1394">
        <f t="shared" si="1278"/>
        <v>0</v>
      </c>
      <c r="W4909" s="1394"/>
      <c r="Z4909" s="1394"/>
    </row>
    <row r="4910" spans="1:26" ht="30" customHeight="1">
      <c r="A4910" s="110" t="s">
        <v>549</v>
      </c>
      <c r="B4910" s="1405"/>
      <c r="C4910" s="1678" t="e">
        <f>VLOOKUP(A4910,#REF!,2,0)</f>
        <v>#REF!</v>
      </c>
      <c r="D4910" s="1678"/>
      <c r="E4910" s="1678"/>
      <c r="F4910" s="1678"/>
      <c r="G4910" s="1678"/>
      <c r="H4910" s="1678"/>
      <c r="I4910" s="1479"/>
      <c r="Q4910" s="1394">
        <f>IFERROR(VLOOKUP(M4910,#REF!,3,0),0)</f>
        <v>0</v>
      </c>
      <c r="R4910" s="1394">
        <f t="shared" ref="R4910:R4973" si="1282">ROUND(O4910,2)*ROUND(Q4910,2)</f>
        <v>0</v>
      </c>
      <c r="S4910" s="1394">
        <f>IFERROR(VLOOKUP(M4910,#REF!,6,0),0)</f>
        <v>0</v>
      </c>
      <c r="T4910" s="1394">
        <f t="shared" si="1277"/>
        <v>0</v>
      </c>
      <c r="U4910" s="1394">
        <f>IFERROR(VLOOKUP(M4910,#REF!,5,0),0)</f>
        <v>0</v>
      </c>
      <c r="V4910" s="1394">
        <f t="shared" si="1278"/>
        <v>0</v>
      </c>
      <c r="W4910" s="1394"/>
      <c r="X4910" s="1397"/>
    </row>
    <row r="4911" spans="1:26" ht="132" customHeight="1">
      <c r="A4911" s="110" t="s">
        <v>551</v>
      </c>
      <c r="B4911" s="1405" t="s">
        <v>550</v>
      </c>
      <c r="C4911" s="1678" t="e">
        <f>VLOOKUP(A4911,#REF!,2,0)</f>
        <v>#REF!</v>
      </c>
      <c r="D4911" s="1678"/>
      <c r="E4911" s="1678"/>
      <c r="F4911" s="1678"/>
      <c r="G4911" s="1678"/>
      <c r="H4911" s="1678"/>
      <c r="I4911" s="1406"/>
      <c r="Q4911" s="1394">
        <f>IFERROR(VLOOKUP(M4911,#REF!,3,0),0)</f>
        <v>0</v>
      </c>
      <c r="R4911" s="1394">
        <f t="shared" si="1282"/>
        <v>0</v>
      </c>
      <c r="S4911" s="1394">
        <f>IFERROR(VLOOKUP(M4911,#REF!,6,0),0)</f>
        <v>0</v>
      </c>
      <c r="T4911" s="1394">
        <f t="shared" si="1277"/>
        <v>0</v>
      </c>
      <c r="U4911" s="1394">
        <f>IFERROR(VLOOKUP(M4911,#REF!,5,0),0)</f>
        <v>0</v>
      </c>
      <c r="V4911" s="1394">
        <f t="shared" si="1278"/>
        <v>0</v>
      </c>
      <c r="W4911" s="1394"/>
      <c r="X4911" s="1397"/>
    </row>
    <row r="4912" spans="1:26" ht="30" customHeight="1">
      <c r="B4912" s="1405"/>
      <c r="C4912" s="1412" t="s">
        <v>498</v>
      </c>
      <c r="D4912" s="103">
        <v>1</v>
      </c>
      <c r="E4912" s="103">
        <v>4</v>
      </c>
      <c r="F4912" s="1413"/>
      <c r="G4912" s="1413"/>
      <c r="H4912" s="1414"/>
      <c r="I4912" s="1406">
        <f>PRODUCT(D4912:H4912)</f>
        <v>4</v>
      </c>
      <c r="Q4912" s="1394">
        <f>IFERROR(VLOOKUP(M4912,#REF!,3,0),0)</f>
        <v>0</v>
      </c>
      <c r="R4912" s="1394">
        <f t="shared" si="1282"/>
        <v>0</v>
      </c>
      <c r="S4912" s="1394">
        <f>IFERROR(VLOOKUP(M4912,#REF!,6,0),0)</f>
        <v>0</v>
      </c>
      <c r="T4912" s="1394">
        <f t="shared" si="1277"/>
        <v>0</v>
      </c>
      <c r="U4912" s="1394">
        <f>IFERROR(VLOOKUP(M4912,#REF!,5,0),0)</f>
        <v>0</v>
      </c>
      <c r="V4912" s="1394">
        <f t="shared" si="1278"/>
        <v>0</v>
      </c>
      <c r="W4912" s="1394"/>
      <c r="X4912" s="1397"/>
    </row>
    <row r="4913" spans="1:26" ht="30" customHeight="1">
      <c r="B4913" s="1405"/>
      <c r="C4913" s="1412"/>
      <c r="D4913" s="103"/>
      <c r="E4913" s="103"/>
      <c r="F4913" s="1413"/>
      <c r="G4913" s="1483" t="s">
        <v>11</v>
      </c>
      <c r="H4913" s="1478">
        <f>ROUNDUP(I4912,1)</f>
        <v>4</v>
      </c>
      <c r="I4913" s="1479" t="s">
        <v>13</v>
      </c>
      <c r="M4913" s="1394" t="str">
        <f>A4911</f>
        <v>a). Providing pit Rain water harvesting using defunct borewell and providing perforated cover slab</v>
      </c>
      <c r="N4913" s="1394">
        <f>B4907</f>
        <v>0</v>
      </c>
      <c r="O4913" s="1394">
        <f>H4913</f>
        <v>4</v>
      </c>
      <c r="P4913" s="1394" t="str">
        <f>I4913</f>
        <v>Nos</v>
      </c>
      <c r="Q4913" s="1394">
        <f>IFERROR(VLOOKUP(M4913,#REF!,3,0),0)</f>
        <v>0</v>
      </c>
      <c r="R4913" s="1394">
        <f t="shared" si="1282"/>
        <v>0</v>
      </c>
      <c r="S4913" s="1394">
        <f>IFERROR(VLOOKUP(M4913,#REF!,6,0),0)</f>
        <v>0</v>
      </c>
      <c r="T4913" s="1394">
        <f t="shared" si="1277"/>
        <v>0</v>
      </c>
      <c r="U4913" s="1394">
        <f>IFERROR(VLOOKUP(M4913,#REF!,5,0),0)</f>
        <v>0</v>
      </c>
      <c r="V4913" s="1394">
        <f t="shared" si="1278"/>
        <v>4</v>
      </c>
      <c r="W4913" s="1394"/>
      <c r="Z4913" s="1394"/>
    </row>
    <row r="4914" spans="1:26" ht="114.75" customHeight="1">
      <c r="A4914" s="110" t="s">
        <v>553</v>
      </c>
      <c r="B4914" s="1405" t="s">
        <v>552</v>
      </c>
      <c r="C4914" s="1678" t="e">
        <f>VLOOKUP(A4914,#REF!,2,0)</f>
        <v>#REF!</v>
      </c>
      <c r="D4914" s="1678"/>
      <c r="E4914" s="1678"/>
      <c r="F4914" s="1678"/>
      <c r="G4914" s="1678"/>
      <c r="H4914" s="1678"/>
      <c r="I4914" s="1406"/>
      <c r="Q4914" s="1394">
        <f>IFERROR(VLOOKUP(M4914,#REF!,3,0),0)</f>
        <v>0</v>
      </c>
      <c r="R4914" s="1394">
        <f t="shared" si="1282"/>
        <v>0</v>
      </c>
      <c r="S4914" s="1394">
        <f>IFERROR(VLOOKUP(M4914,#REF!,6,0),0)</f>
        <v>0</v>
      </c>
      <c r="T4914" s="1394">
        <f t="shared" si="1277"/>
        <v>0</v>
      </c>
      <c r="U4914" s="1394">
        <f>IFERROR(VLOOKUP(M4914,#REF!,5,0),0)</f>
        <v>0</v>
      </c>
      <c r="V4914" s="1394">
        <f t="shared" si="1278"/>
        <v>0</v>
      </c>
      <c r="W4914" s="1394"/>
      <c r="X4914" s="1397"/>
    </row>
    <row r="4915" spans="1:26" ht="30" customHeight="1">
      <c r="B4915" s="1405"/>
      <c r="C4915" s="1412" t="s">
        <v>498</v>
      </c>
      <c r="D4915" s="103">
        <v>1</v>
      </c>
      <c r="E4915" s="103">
        <v>4</v>
      </c>
      <c r="F4915" s="1413">
        <v>4</v>
      </c>
      <c r="G4915" s="1413"/>
      <c r="H4915" s="1414"/>
      <c r="I4915" s="1406">
        <f>PRODUCT(D4915:H4915)</f>
        <v>16</v>
      </c>
      <c r="Q4915" s="1394">
        <f>IFERROR(VLOOKUP(M4915,#REF!,3,0),0)</f>
        <v>0</v>
      </c>
      <c r="R4915" s="1394">
        <f t="shared" si="1282"/>
        <v>0</v>
      </c>
      <c r="S4915" s="1394">
        <f>IFERROR(VLOOKUP(M4915,#REF!,6,0),0)</f>
        <v>0</v>
      </c>
      <c r="T4915" s="1394">
        <f t="shared" ref="T4915:T4978" si="1283">R4915-S4915</f>
        <v>0</v>
      </c>
      <c r="U4915" s="1394">
        <f>IFERROR(VLOOKUP(M4915,#REF!,5,0),0)</f>
        <v>0</v>
      </c>
      <c r="V4915" s="1394">
        <f t="shared" ref="V4915:V4978" si="1284">O4915-U4915</f>
        <v>0</v>
      </c>
      <c r="W4915" s="1394"/>
      <c r="X4915" s="1397"/>
    </row>
    <row r="4916" spans="1:26" ht="30" customHeight="1">
      <c r="B4916" s="1407"/>
      <c r="C4916" s="1455"/>
      <c r="D4916" s="103"/>
      <c r="E4916" s="103"/>
      <c r="F4916" s="1413"/>
      <c r="G4916" s="1483" t="s">
        <v>11</v>
      </c>
      <c r="H4916" s="1478">
        <f>ROUNDUP(I4915,1)</f>
        <v>16</v>
      </c>
      <c r="I4916" s="1479" t="s">
        <v>12</v>
      </c>
      <c r="M4916" s="1394" t="str">
        <f>A4914</f>
        <v>b) Augering 30cm dia Rain water harvesting using defunct borewell and providing perforated cover slab</v>
      </c>
      <c r="N4916" s="1394">
        <f>B4910</f>
        <v>0</v>
      </c>
      <c r="O4916" s="1394">
        <f>H4916</f>
        <v>16</v>
      </c>
      <c r="P4916" s="1394" t="str">
        <f>I4916</f>
        <v>Rmt</v>
      </c>
      <c r="Q4916" s="1394">
        <f>IFERROR(VLOOKUP(M4916,#REF!,3,0),0)</f>
        <v>0</v>
      </c>
      <c r="R4916" s="1394">
        <f t="shared" si="1282"/>
        <v>0</v>
      </c>
      <c r="S4916" s="1394">
        <f>IFERROR(VLOOKUP(M4916,#REF!,6,0),0)</f>
        <v>0</v>
      </c>
      <c r="T4916" s="1394">
        <f t="shared" si="1283"/>
        <v>0</v>
      </c>
      <c r="U4916" s="1394">
        <f>IFERROR(VLOOKUP(M4916,#REF!,5,0),0)</f>
        <v>0</v>
      </c>
      <c r="V4916" s="1394">
        <f t="shared" si="1284"/>
        <v>16</v>
      </c>
      <c r="W4916" s="1394"/>
      <c r="Z4916" s="1394"/>
    </row>
    <row r="4917" spans="1:26" ht="30" customHeight="1">
      <c r="B4917" s="1407"/>
      <c r="C4917" s="1455"/>
      <c r="D4917" s="103"/>
      <c r="E4917" s="103"/>
      <c r="F4917" s="1413"/>
      <c r="G4917" s="1413"/>
      <c r="H4917" s="1414"/>
      <c r="I4917" s="1406"/>
      <c r="Q4917" s="1394">
        <f>IFERROR(VLOOKUP(M4917,#REF!,3,0),0)</f>
        <v>0</v>
      </c>
      <c r="R4917" s="1394">
        <f t="shared" si="1282"/>
        <v>0</v>
      </c>
      <c r="S4917" s="1394">
        <f>IFERROR(VLOOKUP(M4917,#REF!,6,0),0)</f>
        <v>0</v>
      </c>
      <c r="T4917" s="1394">
        <f t="shared" si="1283"/>
        <v>0</v>
      </c>
      <c r="U4917" s="1394">
        <f>IFERROR(VLOOKUP(M4917,#REF!,5,0),0)</f>
        <v>0</v>
      </c>
      <c r="V4917" s="1394">
        <f t="shared" si="1284"/>
        <v>0</v>
      </c>
      <c r="W4917" s="1394"/>
    </row>
    <row r="4918" spans="1:26" s="111" customFormat="1" ht="69.75" customHeight="1">
      <c r="A4918" s="111" t="s">
        <v>74</v>
      </c>
      <c r="B4918" s="1559">
        <v>53.4</v>
      </c>
      <c r="C4918" s="1681" t="e">
        <f>VLOOKUP(A4918,#REF!,2,0)</f>
        <v>#REF!</v>
      </c>
      <c r="D4918" s="1681"/>
      <c r="E4918" s="1681"/>
      <c r="F4918" s="1681"/>
      <c r="G4918" s="1681"/>
      <c r="H4918" s="1681"/>
      <c r="I4918" s="1560" t="s">
        <v>30</v>
      </c>
      <c r="J4918" s="1561"/>
      <c r="K4918" s="1561"/>
      <c r="M4918" s="1562"/>
      <c r="Q4918" s="1394">
        <f>IFERROR(VLOOKUP(M4918,#REF!,3,0),0)</f>
        <v>0</v>
      </c>
      <c r="R4918" s="1394">
        <f t="shared" si="1282"/>
        <v>0</v>
      </c>
      <c r="S4918" s="1394">
        <f>IFERROR(VLOOKUP(M4918,#REF!,6,0),0)</f>
        <v>0</v>
      </c>
      <c r="T4918" s="1394">
        <f t="shared" si="1283"/>
        <v>0</v>
      </c>
      <c r="U4918" s="1394">
        <f>IFERROR(VLOOKUP(M4918,#REF!,5,0),0)</f>
        <v>0</v>
      </c>
      <c r="V4918" s="1394">
        <f t="shared" si="1284"/>
        <v>0</v>
      </c>
      <c r="W4918" s="1394"/>
    </row>
    <row r="4919" spans="1:26" s="1394" customFormat="1" ht="30" customHeight="1">
      <c r="B4919" s="1421"/>
      <c r="C4919" s="1522" t="s">
        <v>329</v>
      </c>
      <c r="D4919" s="1523">
        <v>2</v>
      </c>
      <c r="E4919" s="1523">
        <v>4</v>
      </c>
      <c r="F4919" s="1423"/>
      <c r="G4919" s="1423"/>
      <c r="H4919" s="1424"/>
      <c r="I4919" s="1406">
        <f>ROUND(PRODUCT(D4919:H4919),2)</f>
        <v>8</v>
      </c>
      <c r="M4919" s="1426"/>
      <c r="Q4919" s="1394">
        <f>IFERROR(VLOOKUP(M4919,#REF!,3,0),0)</f>
        <v>0</v>
      </c>
      <c r="R4919" s="1394">
        <f t="shared" si="1282"/>
        <v>0</v>
      </c>
      <c r="S4919" s="1394">
        <f>IFERROR(VLOOKUP(M4919,#REF!,6,0),0)</f>
        <v>0</v>
      </c>
      <c r="T4919" s="1394">
        <f t="shared" si="1283"/>
        <v>0</v>
      </c>
      <c r="U4919" s="1394">
        <f>IFERROR(VLOOKUP(M4919,#REF!,5,0),0)</f>
        <v>0</v>
      </c>
      <c r="V4919" s="1394">
        <f t="shared" si="1284"/>
        <v>0</v>
      </c>
    </row>
    <row r="4920" spans="1:26" s="1394" customFormat="1" ht="30" customHeight="1">
      <c r="B4920" s="1421"/>
      <c r="C4920" s="1522" t="s">
        <v>554</v>
      </c>
      <c r="D4920" s="1523">
        <v>1</v>
      </c>
      <c r="E4920" s="1523">
        <v>4</v>
      </c>
      <c r="F4920" s="1423"/>
      <c r="G4920" s="1423"/>
      <c r="H4920" s="1424"/>
      <c r="I4920" s="1406">
        <f>ROUND(PRODUCT(D4920:H4920),2)</f>
        <v>4</v>
      </c>
      <c r="M4920" s="1426"/>
      <c r="Q4920" s="1394">
        <f>IFERROR(VLOOKUP(M4920,#REF!,3,0),0)</f>
        <v>0</v>
      </c>
      <c r="R4920" s="1394">
        <f t="shared" si="1282"/>
        <v>0</v>
      </c>
      <c r="S4920" s="1394">
        <f>IFERROR(VLOOKUP(M4920,#REF!,6,0),0)</f>
        <v>0</v>
      </c>
      <c r="T4920" s="1394">
        <f t="shared" si="1283"/>
        <v>0</v>
      </c>
      <c r="U4920" s="1394">
        <f>IFERROR(VLOOKUP(M4920,#REF!,5,0),0)</f>
        <v>0</v>
      </c>
      <c r="V4920" s="1394">
        <f t="shared" si="1284"/>
        <v>0</v>
      </c>
    </row>
    <row r="4921" spans="1:26" s="1394" customFormat="1" ht="30" customHeight="1">
      <c r="B4921" s="1421"/>
      <c r="C4921" s="1563"/>
      <c r="D4921" s="1389"/>
      <c r="E4921" s="1389"/>
      <c r="F4921" s="1423"/>
      <c r="G4921" s="1423"/>
      <c r="H4921" s="1424"/>
      <c r="I4921" s="1406"/>
      <c r="M4921" s="1426"/>
      <c r="Q4921" s="1394">
        <f>IFERROR(VLOOKUP(M4921,#REF!,3,0),0)</f>
        <v>0</v>
      </c>
      <c r="R4921" s="1394">
        <f t="shared" si="1282"/>
        <v>0</v>
      </c>
      <c r="S4921" s="1394">
        <f>IFERROR(VLOOKUP(M4921,#REF!,6,0),0)</f>
        <v>0</v>
      </c>
      <c r="T4921" s="1394">
        <f t="shared" si="1283"/>
        <v>0</v>
      </c>
      <c r="U4921" s="1394">
        <f>IFERROR(VLOOKUP(M4921,#REF!,5,0),0)</f>
        <v>0</v>
      </c>
      <c r="V4921" s="1394">
        <f t="shared" si="1284"/>
        <v>0</v>
      </c>
    </row>
    <row r="4922" spans="1:26" s="1394" customFormat="1" ht="30" customHeight="1">
      <c r="B4922" s="1421"/>
      <c r="C4922" s="1422"/>
      <c r="D4922" s="1389"/>
      <c r="E4922" s="1389"/>
      <c r="F4922" s="1423"/>
      <c r="G4922" s="1423"/>
      <c r="H4922" s="1424"/>
      <c r="I4922" s="1406">
        <f>SUM(I4919:I4921)</f>
        <v>12</v>
      </c>
      <c r="M4922" s="1426"/>
      <c r="Q4922" s="1394">
        <f>IFERROR(VLOOKUP(M4922,#REF!,3,0),0)</f>
        <v>0</v>
      </c>
      <c r="R4922" s="1394">
        <f t="shared" si="1282"/>
        <v>0</v>
      </c>
      <c r="S4922" s="1394">
        <f>IFERROR(VLOOKUP(M4922,#REF!,6,0),0)</f>
        <v>0</v>
      </c>
      <c r="T4922" s="1394">
        <f t="shared" si="1283"/>
        <v>0</v>
      </c>
      <c r="U4922" s="1394">
        <f>IFERROR(VLOOKUP(M4922,#REF!,5,0),0)</f>
        <v>0</v>
      </c>
      <c r="V4922" s="1394">
        <f t="shared" si="1284"/>
        <v>0</v>
      </c>
    </row>
    <row r="4923" spans="1:26" s="111" customFormat="1" ht="30" customHeight="1">
      <c r="B4923" s="1559"/>
      <c r="C4923" s="1564"/>
      <c r="D4923" s="1565"/>
      <c r="E4923" s="1565"/>
      <c r="F4923" s="1566"/>
      <c r="G4923" s="1428" t="s">
        <v>11</v>
      </c>
      <c r="H4923" s="1429">
        <f>I4922</f>
        <v>12</v>
      </c>
      <c r="I4923" s="1427" t="s">
        <v>13</v>
      </c>
      <c r="J4923" s="1561"/>
      <c r="K4923" s="1561"/>
      <c r="M4923" s="1394" t="str">
        <f>A4918</f>
        <v xml:space="preserve">S&amp;F of C.I Manhole cover 60 x 60 cm (50kg weight ) </v>
      </c>
      <c r="N4923" s="1394">
        <f>B4918</f>
        <v>53.4</v>
      </c>
      <c r="O4923" s="1394">
        <f>H4923</f>
        <v>12</v>
      </c>
      <c r="P4923" s="1394" t="str">
        <f>I4923</f>
        <v>Nos</v>
      </c>
      <c r="Q4923" s="1394">
        <f>IFERROR(VLOOKUP(M4923,#REF!,3,0),0)</f>
        <v>0</v>
      </c>
      <c r="R4923" s="1394">
        <f t="shared" si="1282"/>
        <v>0</v>
      </c>
      <c r="S4923" s="1394">
        <f>IFERROR(VLOOKUP(M4923,#REF!,6,0),0)</f>
        <v>0</v>
      </c>
      <c r="T4923" s="1394">
        <f t="shared" si="1283"/>
        <v>0</v>
      </c>
      <c r="U4923" s="1394">
        <f>IFERROR(VLOOKUP(M4923,#REF!,5,0),0)</f>
        <v>0</v>
      </c>
      <c r="V4923" s="1394">
        <f t="shared" si="1284"/>
        <v>12</v>
      </c>
      <c r="W4923" s="1394"/>
      <c r="Z4923" s="1394"/>
    </row>
    <row r="4924" spans="1:26" ht="30" customHeight="1">
      <c r="A4924" s="1397" t="e">
        <f>#REF!</f>
        <v>#REF!</v>
      </c>
      <c r="B4924" s="1567"/>
      <c r="C4924" s="1678" t="e">
        <f>VLOOKUP(A4924,#REF!,2,0)</f>
        <v>#REF!</v>
      </c>
      <c r="D4924" s="1678"/>
      <c r="E4924" s="1678"/>
      <c r="F4924" s="1678"/>
      <c r="G4924" s="1678"/>
      <c r="H4924" s="1678"/>
      <c r="I4924" s="1568"/>
      <c r="Q4924" s="1394">
        <f>IFERROR(VLOOKUP(M4924,#REF!,3,0),0)</f>
        <v>0</v>
      </c>
      <c r="R4924" s="1394">
        <f t="shared" si="1282"/>
        <v>0</v>
      </c>
      <c r="S4924" s="1394">
        <f>IFERROR(VLOOKUP(M4924,#REF!,6,0),0)</f>
        <v>0</v>
      </c>
      <c r="T4924" s="1394">
        <f t="shared" si="1283"/>
        <v>0</v>
      </c>
      <c r="U4924" s="1394">
        <f>IFERROR(VLOOKUP(M4924,#REF!,5,0),0)</f>
        <v>0</v>
      </c>
      <c r="V4924" s="1394">
        <f t="shared" si="1284"/>
        <v>0</v>
      </c>
      <c r="W4924" s="1394"/>
      <c r="X4924" s="1397"/>
    </row>
    <row r="4925" spans="1:26" ht="30" customHeight="1">
      <c r="B4925" s="1405"/>
      <c r="C4925" s="1455" t="s">
        <v>5850</v>
      </c>
      <c r="D4925" s="103">
        <v>1</v>
      </c>
      <c r="E4925" s="103">
        <v>2</v>
      </c>
      <c r="F4925" s="1413"/>
      <c r="G4925" s="1413"/>
      <c r="H4925" s="1414"/>
      <c r="I4925" s="1406">
        <f t="shared" ref="I4925:I4927" si="1285">PRODUCT(D4925:H4925)</f>
        <v>2</v>
      </c>
      <c r="Q4925" s="1394">
        <f>IFERROR(VLOOKUP(M4925,#REF!,3,0),0)</f>
        <v>0</v>
      </c>
      <c r="R4925" s="1394">
        <f t="shared" si="1282"/>
        <v>0</v>
      </c>
      <c r="S4925" s="1394">
        <f>IFERROR(VLOOKUP(M4925,#REF!,6,0),0)</f>
        <v>0</v>
      </c>
      <c r="T4925" s="1394">
        <f t="shared" si="1283"/>
        <v>0</v>
      </c>
      <c r="U4925" s="1394">
        <f>IFERROR(VLOOKUP(M4925,#REF!,5,0),0)</f>
        <v>0</v>
      </c>
      <c r="V4925" s="1394">
        <f t="shared" si="1284"/>
        <v>0</v>
      </c>
      <c r="W4925" s="1394"/>
    </row>
    <row r="4926" spans="1:26" ht="30" customHeight="1">
      <c r="B4926" s="1405"/>
      <c r="C4926" s="1455" t="s">
        <v>5850</v>
      </c>
      <c r="D4926" s="103">
        <v>1</v>
      </c>
      <c r="E4926" s="103">
        <v>2</v>
      </c>
      <c r="F4926" s="1413"/>
      <c r="G4926" s="1413"/>
      <c r="H4926" s="1414"/>
      <c r="I4926" s="1406">
        <f t="shared" si="1285"/>
        <v>2</v>
      </c>
      <c r="Q4926" s="1394">
        <f>IFERROR(VLOOKUP(M4926,#REF!,3,0),0)</f>
        <v>0</v>
      </c>
      <c r="R4926" s="1394">
        <f t="shared" si="1282"/>
        <v>0</v>
      </c>
      <c r="S4926" s="1394">
        <f>IFERROR(VLOOKUP(M4926,#REF!,6,0),0)</f>
        <v>0</v>
      </c>
      <c r="T4926" s="1394">
        <f t="shared" si="1283"/>
        <v>0</v>
      </c>
      <c r="U4926" s="1394">
        <f>IFERROR(VLOOKUP(M4926,#REF!,5,0),0)</f>
        <v>0</v>
      </c>
      <c r="V4926" s="1394">
        <f t="shared" si="1284"/>
        <v>0</v>
      </c>
      <c r="W4926" s="1394"/>
    </row>
    <row r="4927" spans="1:26" ht="30" customHeight="1">
      <c r="B4927" s="1405"/>
      <c r="C4927" s="1455"/>
      <c r="D4927" s="103"/>
      <c r="E4927" s="103"/>
      <c r="F4927" s="1413"/>
      <c r="G4927" s="1413"/>
      <c r="H4927" s="1414"/>
      <c r="I4927" s="1406">
        <f t="shared" si="1285"/>
        <v>0</v>
      </c>
      <c r="Q4927" s="1394">
        <f>IFERROR(VLOOKUP(M4927,#REF!,3,0),0)</f>
        <v>0</v>
      </c>
      <c r="R4927" s="1394">
        <f t="shared" si="1282"/>
        <v>0</v>
      </c>
      <c r="S4927" s="1394">
        <f>IFERROR(VLOOKUP(M4927,#REF!,6,0),0)</f>
        <v>0</v>
      </c>
      <c r="T4927" s="1394">
        <f t="shared" si="1283"/>
        <v>0</v>
      </c>
      <c r="U4927" s="1394">
        <f>IFERROR(VLOOKUP(M4927,#REF!,5,0),0)</f>
        <v>0</v>
      </c>
      <c r="V4927" s="1394">
        <f t="shared" si="1284"/>
        <v>0</v>
      </c>
      <c r="W4927" s="1394"/>
    </row>
    <row r="4928" spans="1:26" ht="30" customHeight="1">
      <c r="B4928" s="1567"/>
      <c r="C4928" s="73"/>
      <c r="D4928" s="99"/>
      <c r="E4928" s="99"/>
      <c r="F4928" s="1495"/>
      <c r="G4928" s="1511"/>
      <c r="H4928" s="97"/>
      <c r="I4928" s="1569">
        <f>SUM(I4925:I4927)</f>
        <v>4</v>
      </c>
      <c r="Q4928" s="1394">
        <f>IFERROR(VLOOKUP(M4928,#REF!,3,0),0)</f>
        <v>0</v>
      </c>
      <c r="R4928" s="1394">
        <f t="shared" si="1282"/>
        <v>0</v>
      </c>
      <c r="S4928" s="1394">
        <f>IFERROR(VLOOKUP(M4928,#REF!,6,0),0)</f>
        <v>0</v>
      </c>
      <c r="T4928" s="1394">
        <f t="shared" si="1283"/>
        <v>0</v>
      </c>
      <c r="U4928" s="1394">
        <f>IFERROR(VLOOKUP(M4928,#REF!,5,0),0)</f>
        <v>0</v>
      </c>
      <c r="V4928" s="1394">
        <f t="shared" si="1284"/>
        <v>0</v>
      </c>
      <c r="W4928" s="1394"/>
    </row>
    <row r="4929" spans="1:26" ht="30" customHeight="1">
      <c r="B4929" s="1567"/>
      <c r="C4929" s="73"/>
      <c r="D4929" s="99"/>
      <c r="E4929" s="99"/>
      <c r="F4929" s="1495"/>
      <c r="G4929" s="1483" t="s">
        <v>11</v>
      </c>
      <c r="H4929" s="1393">
        <f>+I4928</f>
        <v>4</v>
      </c>
      <c r="I4929" s="1479" t="s">
        <v>556</v>
      </c>
      <c r="M4929" s="1394" t="e">
        <f>A4924</f>
        <v>#REF!</v>
      </c>
      <c r="N4929" s="1394">
        <f>B4924</f>
        <v>0</v>
      </c>
      <c r="O4929" s="1394">
        <f>H4929</f>
        <v>4</v>
      </c>
      <c r="P4929" s="1394" t="str">
        <f>I4929</f>
        <v>Each</v>
      </c>
      <c r="Q4929" s="1394">
        <f>IFERROR(VLOOKUP(M4929,#REF!,3,0),0)</f>
        <v>0</v>
      </c>
      <c r="R4929" s="1394">
        <f t="shared" si="1282"/>
        <v>0</v>
      </c>
      <c r="S4929" s="1394">
        <f>IFERROR(VLOOKUP(M4929,#REF!,6,0),0)</f>
        <v>0</v>
      </c>
      <c r="T4929" s="1394">
        <f t="shared" si="1283"/>
        <v>0</v>
      </c>
      <c r="U4929" s="1394">
        <f>IFERROR(VLOOKUP(M4929,#REF!,5,0),0)</f>
        <v>0</v>
      </c>
      <c r="V4929" s="1394">
        <f t="shared" si="1284"/>
        <v>4</v>
      </c>
      <c r="W4929" s="1394"/>
      <c r="Z4929" s="1394"/>
    </row>
    <row r="4930" spans="1:26" ht="30" customHeight="1">
      <c r="A4930" s="1397" t="s">
        <v>5939</v>
      </c>
      <c r="B4930" s="1567"/>
      <c r="C4930" s="1678" t="e">
        <f>VLOOKUP(A4930,#REF!,2,0)</f>
        <v>#REF!</v>
      </c>
      <c r="D4930" s="1678"/>
      <c r="E4930" s="1678"/>
      <c r="F4930" s="1678"/>
      <c r="G4930" s="1678"/>
      <c r="H4930" s="1678"/>
      <c r="I4930" s="1568"/>
      <c r="Q4930" s="1394">
        <f>IFERROR(VLOOKUP(M4930,#REF!,3,0),0)</f>
        <v>0</v>
      </c>
      <c r="R4930" s="1394">
        <f t="shared" si="1282"/>
        <v>0</v>
      </c>
      <c r="S4930" s="1394">
        <f>IFERROR(VLOOKUP(M4930,#REF!,6,0),0)</f>
        <v>0</v>
      </c>
      <c r="T4930" s="1394">
        <f t="shared" si="1283"/>
        <v>0</v>
      </c>
      <c r="U4930" s="1394">
        <f>IFERROR(VLOOKUP(M4930,#REF!,5,0),0)</f>
        <v>0</v>
      </c>
      <c r="V4930" s="1394">
        <f t="shared" si="1284"/>
        <v>0</v>
      </c>
      <c r="W4930" s="1394"/>
      <c r="X4930" s="1397"/>
    </row>
    <row r="4931" spans="1:26" ht="30" customHeight="1">
      <c r="B4931" s="1405"/>
      <c r="C4931" s="1455" t="s">
        <v>5850</v>
      </c>
      <c r="D4931" s="103">
        <v>1</v>
      </c>
      <c r="E4931" s="103">
        <v>2</v>
      </c>
      <c r="F4931" s="1413"/>
      <c r="G4931" s="1413"/>
      <c r="H4931" s="1414"/>
      <c r="I4931" s="1406">
        <f t="shared" ref="I4931:I4933" si="1286">PRODUCT(D4931:H4931)</f>
        <v>2</v>
      </c>
      <c r="Q4931" s="1394">
        <f>IFERROR(VLOOKUP(M4931,#REF!,3,0),0)</f>
        <v>0</v>
      </c>
      <c r="R4931" s="1394">
        <f t="shared" si="1282"/>
        <v>0</v>
      </c>
      <c r="S4931" s="1394">
        <f>IFERROR(VLOOKUP(M4931,#REF!,6,0),0)</f>
        <v>0</v>
      </c>
      <c r="T4931" s="1394">
        <f t="shared" si="1283"/>
        <v>0</v>
      </c>
      <c r="U4931" s="1394">
        <f>IFERROR(VLOOKUP(M4931,#REF!,5,0),0)</f>
        <v>0</v>
      </c>
      <c r="V4931" s="1394">
        <f t="shared" si="1284"/>
        <v>0</v>
      </c>
      <c r="W4931" s="1394"/>
    </row>
    <row r="4932" spans="1:26" ht="30" customHeight="1">
      <c r="B4932" s="1405"/>
      <c r="C4932" s="1455" t="s">
        <v>5850</v>
      </c>
      <c r="D4932" s="103">
        <v>1</v>
      </c>
      <c r="E4932" s="103">
        <v>2</v>
      </c>
      <c r="F4932" s="1413"/>
      <c r="G4932" s="1413"/>
      <c r="H4932" s="1414"/>
      <c r="I4932" s="1406">
        <f t="shared" si="1286"/>
        <v>2</v>
      </c>
      <c r="Q4932" s="1394">
        <f>IFERROR(VLOOKUP(M4932,#REF!,3,0),0)</f>
        <v>0</v>
      </c>
      <c r="R4932" s="1394">
        <f t="shared" si="1282"/>
        <v>0</v>
      </c>
      <c r="S4932" s="1394">
        <f>IFERROR(VLOOKUP(M4932,#REF!,6,0),0)</f>
        <v>0</v>
      </c>
      <c r="T4932" s="1394">
        <f t="shared" si="1283"/>
        <v>0</v>
      </c>
      <c r="U4932" s="1394">
        <f>IFERROR(VLOOKUP(M4932,#REF!,5,0),0)</f>
        <v>0</v>
      </c>
      <c r="V4932" s="1394">
        <f t="shared" si="1284"/>
        <v>0</v>
      </c>
      <c r="W4932" s="1394"/>
    </row>
    <row r="4933" spans="1:26" ht="30" customHeight="1">
      <c r="B4933" s="1405"/>
      <c r="C4933" s="1455"/>
      <c r="D4933" s="103"/>
      <c r="E4933" s="103"/>
      <c r="F4933" s="1413"/>
      <c r="G4933" s="1413"/>
      <c r="H4933" s="1414"/>
      <c r="I4933" s="1406">
        <f t="shared" si="1286"/>
        <v>0</v>
      </c>
      <c r="Q4933" s="1394">
        <f>IFERROR(VLOOKUP(M4933,#REF!,3,0),0)</f>
        <v>0</v>
      </c>
      <c r="R4933" s="1394">
        <f t="shared" si="1282"/>
        <v>0</v>
      </c>
      <c r="S4933" s="1394">
        <f>IFERROR(VLOOKUP(M4933,#REF!,6,0),0)</f>
        <v>0</v>
      </c>
      <c r="T4933" s="1394">
        <f t="shared" si="1283"/>
        <v>0</v>
      </c>
      <c r="U4933" s="1394">
        <f>IFERROR(VLOOKUP(M4933,#REF!,5,0),0)</f>
        <v>0</v>
      </c>
      <c r="V4933" s="1394">
        <f t="shared" si="1284"/>
        <v>0</v>
      </c>
      <c r="W4933" s="1394"/>
    </row>
    <row r="4934" spans="1:26" ht="30" customHeight="1">
      <c r="B4934" s="1567"/>
      <c r="C4934" s="73"/>
      <c r="D4934" s="99"/>
      <c r="E4934" s="99"/>
      <c r="F4934" s="1495"/>
      <c r="G4934" s="1511"/>
      <c r="H4934" s="97"/>
      <c r="I4934" s="1569">
        <f>SUM(I4931:I4933)</f>
        <v>4</v>
      </c>
      <c r="Q4934" s="1394">
        <f>IFERROR(VLOOKUP(M4934,#REF!,3,0),0)</f>
        <v>0</v>
      </c>
      <c r="R4934" s="1394">
        <f t="shared" si="1282"/>
        <v>0</v>
      </c>
      <c r="S4934" s="1394">
        <f>IFERROR(VLOOKUP(M4934,#REF!,6,0),0)</f>
        <v>0</v>
      </c>
      <c r="T4934" s="1394">
        <f t="shared" si="1283"/>
        <v>0</v>
      </c>
      <c r="U4934" s="1394">
        <f>IFERROR(VLOOKUP(M4934,#REF!,5,0),0)</f>
        <v>0</v>
      </c>
      <c r="V4934" s="1394">
        <f t="shared" si="1284"/>
        <v>0</v>
      </c>
      <c r="W4934" s="1394"/>
    </row>
    <row r="4935" spans="1:26" ht="30" customHeight="1">
      <c r="B4935" s="1567"/>
      <c r="C4935" s="73"/>
      <c r="D4935" s="99"/>
      <c r="E4935" s="99"/>
      <c r="F4935" s="1495"/>
      <c r="G4935" s="1483" t="s">
        <v>11</v>
      </c>
      <c r="H4935" s="1393">
        <f>+I4934</f>
        <v>4</v>
      </c>
      <c r="I4935" s="1479" t="s">
        <v>556</v>
      </c>
      <c r="M4935" s="1426" t="str">
        <f>A4930</f>
        <v xml:space="preserve"> MS ventilator of size  1000 x 600 mm</v>
      </c>
      <c r="N4935" s="1394">
        <f>B4930</f>
        <v>0</v>
      </c>
      <c r="O4935" s="1394">
        <f>H4935</f>
        <v>4</v>
      </c>
      <c r="P4935" s="1394" t="str">
        <f>I4935</f>
        <v>Each</v>
      </c>
      <c r="Q4935" s="1394">
        <f>IFERROR(VLOOKUP(M4935,#REF!,3,0),0)</f>
        <v>0</v>
      </c>
      <c r="R4935" s="1394">
        <f t="shared" si="1282"/>
        <v>0</v>
      </c>
      <c r="S4935" s="1394">
        <f>IFERROR(VLOOKUP(M4935,#REF!,6,0),0)</f>
        <v>0</v>
      </c>
      <c r="T4935" s="1394">
        <f t="shared" si="1283"/>
        <v>0</v>
      </c>
      <c r="U4935" s="1394">
        <f>IFERROR(VLOOKUP(M4935,#REF!,5,0),0)</f>
        <v>0</v>
      </c>
      <c r="V4935" s="1394">
        <f t="shared" si="1284"/>
        <v>4</v>
      </c>
      <c r="W4935" s="1394"/>
      <c r="Z4935" s="1394"/>
    </row>
    <row r="4936" spans="1:26" ht="62.25" customHeight="1">
      <c r="A4936" s="110" t="s">
        <v>1291</v>
      </c>
      <c r="B4936" s="1567"/>
      <c r="C4936" s="1678" t="e">
        <f>VLOOKUP(A4936,#REF!,2,0)</f>
        <v>#REF!</v>
      </c>
      <c r="D4936" s="1678"/>
      <c r="E4936" s="1678"/>
      <c r="F4936" s="1678"/>
      <c r="G4936" s="1678"/>
      <c r="H4936" s="1678"/>
      <c r="I4936" s="1568"/>
      <c r="Q4936" s="1394">
        <f>IFERROR(VLOOKUP(M4936,#REF!,3,0),0)</f>
        <v>0</v>
      </c>
      <c r="R4936" s="1394">
        <f t="shared" si="1282"/>
        <v>0</v>
      </c>
      <c r="S4936" s="1394">
        <f>IFERROR(VLOOKUP(M4936,#REF!,6,0),0)</f>
        <v>0</v>
      </c>
      <c r="T4936" s="1394">
        <f t="shared" si="1283"/>
        <v>0</v>
      </c>
      <c r="U4936" s="1394">
        <f>IFERROR(VLOOKUP(M4936,#REF!,5,0),0)</f>
        <v>0</v>
      </c>
      <c r="V4936" s="1394">
        <f t="shared" si="1284"/>
        <v>0</v>
      </c>
      <c r="W4936" s="1394"/>
      <c r="X4936" s="1397"/>
    </row>
    <row r="4937" spans="1:26" ht="30" customHeight="1">
      <c r="B4937" s="1567"/>
      <c r="C4937" s="1455" t="s">
        <v>5917</v>
      </c>
      <c r="D4937" s="103">
        <v>2</v>
      </c>
      <c r="E4937" s="103">
        <v>2</v>
      </c>
      <c r="F4937" s="1495"/>
      <c r="G4937" s="1495"/>
      <c r="H4937" s="69"/>
      <c r="I4937" s="1406">
        <f>PRODUCT(D4937:H4937)</f>
        <v>4</v>
      </c>
      <c r="Q4937" s="1394">
        <f>IFERROR(VLOOKUP(M4937,#REF!,3,0),0)</f>
        <v>0</v>
      </c>
      <c r="R4937" s="1394">
        <f t="shared" si="1282"/>
        <v>0</v>
      </c>
      <c r="S4937" s="1394">
        <f>IFERROR(VLOOKUP(M4937,#REF!,6,0),0)</f>
        <v>0</v>
      </c>
      <c r="T4937" s="1394">
        <f t="shared" si="1283"/>
        <v>0</v>
      </c>
      <c r="U4937" s="1394">
        <f>IFERROR(VLOOKUP(M4937,#REF!,5,0),0)</f>
        <v>0</v>
      </c>
      <c r="V4937" s="1394">
        <f t="shared" si="1284"/>
        <v>0</v>
      </c>
      <c r="W4937" s="1394"/>
    </row>
    <row r="4938" spans="1:26" ht="30" customHeight="1">
      <c r="B4938" s="1567"/>
      <c r="C4938" s="1455"/>
      <c r="D4938" s="99"/>
      <c r="E4938" s="99"/>
      <c r="F4938" s="1495"/>
      <c r="G4938" s="1495"/>
      <c r="H4938" s="69"/>
      <c r="I4938" s="1406">
        <f>J4939-J4938</f>
        <v>0</v>
      </c>
      <c r="J4938" s="1398">
        <f>SUM(I4937:I4937)</f>
        <v>4</v>
      </c>
      <c r="K4938" s="1398"/>
      <c r="Q4938" s="1394">
        <f>IFERROR(VLOOKUP(M4938,#REF!,3,0),0)</f>
        <v>0</v>
      </c>
      <c r="R4938" s="1394">
        <f t="shared" si="1282"/>
        <v>0</v>
      </c>
      <c r="S4938" s="1394">
        <f>IFERROR(VLOOKUP(M4938,#REF!,6,0),0)</f>
        <v>0</v>
      </c>
      <c r="T4938" s="1394">
        <f t="shared" si="1283"/>
        <v>0</v>
      </c>
      <c r="U4938" s="1394">
        <f>IFERROR(VLOOKUP(M4938,#REF!,5,0),0)</f>
        <v>0</v>
      </c>
      <c r="V4938" s="1394">
        <f t="shared" si="1284"/>
        <v>0</v>
      </c>
      <c r="W4938" s="1394"/>
    </row>
    <row r="4939" spans="1:26" ht="30" customHeight="1">
      <c r="B4939" s="1567"/>
      <c r="C4939" s="73"/>
      <c r="D4939" s="99"/>
      <c r="E4939" s="99"/>
      <c r="F4939" s="1495"/>
      <c r="G4939" s="1511"/>
      <c r="H4939" s="97"/>
      <c r="I4939" s="1569">
        <f>SUM(I4937:I4938)</f>
        <v>4</v>
      </c>
      <c r="J4939" s="1398">
        <f>ROUNDUP(J4938,0)</f>
        <v>4</v>
      </c>
      <c r="K4939" s="1398"/>
      <c r="Q4939" s="1394">
        <f>IFERROR(VLOOKUP(M4939,#REF!,3,0),0)</f>
        <v>0</v>
      </c>
      <c r="R4939" s="1394">
        <f t="shared" si="1282"/>
        <v>0</v>
      </c>
      <c r="S4939" s="1394">
        <f>IFERROR(VLOOKUP(M4939,#REF!,6,0),0)</f>
        <v>0</v>
      </c>
      <c r="T4939" s="1394">
        <f t="shared" si="1283"/>
        <v>0</v>
      </c>
      <c r="U4939" s="1394">
        <f>IFERROR(VLOOKUP(M4939,#REF!,5,0),0)</f>
        <v>0</v>
      </c>
      <c r="V4939" s="1394">
        <f t="shared" si="1284"/>
        <v>0</v>
      </c>
      <c r="W4939" s="1394"/>
    </row>
    <row r="4940" spans="1:26" ht="30" customHeight="1">
      <c r="B4940" s="1567"/>
      <c r="C4940" s="73"/>
      <c r="D4940" s="99"/>
      <c r="E4940" s="99"/>
      <c r="F4940" s="1495"/>
      <c r="G4940" s="1483" t="s">
        <v>11</v>
      </c>
      <c r="H4940" s="1393">
        <f>+I4939</f>
        <v>4</v>
      </c>
      <c r="I4940" s="1479" t="s">
        <v>5495</v>
      </c>
      <c r="M4940" s="1394" t="str">
        <f>A4936</f>
        <v>MS door of Size 1000 x 2100mm</v>
      </c>
      <c r="N4940" s="1394">
        <f>B4936</f>
        <v>0</v>
      </c>
      <c r="O4940" s="1394">
        <f>H4940</f>
        <v>4</v>
      </c>
      <c r="P4940" s="1394" t="str">
        <f>I4940</f>
        <v xml:space="preserve">Nos </v>
      </c>
      <c r="Q4940" s="1394">
        <f>IFERROR(VLOOKUP(M4940,#REF!,3,0),0)</f>
        <v>0</v>
      </c>
      <c r="R4940" s="1394">
        <f t="shared" si="1282"/>
        <v>0</v>
      </c>
      <c r="S4940" s="1394">
        <f>IFERROR(VLOOKUP(M4940,#REF!,6,0),0)</f>
        <v>0</v>
      </c>
      <c r="T4940" s="1394">
        <f t="shared" si="1283"/>
        <v>0</v>
      </c>
      <c r="U4940" s="1394">
        <f>IFERROR(VLOOKUP(M4940,#REF!,5,0),0)</f>
        <v>0</v>
      </c>
      <c r="V4940" s="1394">
        <f t="shared" si="1284"/>
        <v>4</v>
      </c>
      <c r="W4940" s="1394"/>
      <c r="Z4940" s="1394"/>
    </row>
    <row r="4941" spans="1:26" ht="186" customHeight="1">
      <c r="A4941" s="110" t="s">
        <v>1049</v>
      </c>
      <c r="B4941" s="1567"/>
      <c r="C4941" s="1678" t="e">
        <f>VLOOKUP(A4941,#REF!,2,0)</f>
        <v>#REF!</v>
      </c>
      <c r="D4941" s="1678"/>
      <c r="E4941" s="1678"/>
      <c r="F4941" s="1678"/>
      <c r="G4941" s="1678"/>
      <c r="H4941" s="1678"/>
      <c r="I4941" s="1568"/>
      <c r="Q4941" s="1394">
        <f>IFERROR(VLOOKUP(M4941,#REF!,3,0),0)</f>
        <v>0</v>
      </c>
      <c r="R4941" s="1394">
        <f t="shared" si="1282"/>
        <v>0</v>
      </c>
      <c r="S4941" s="1394">
        <f>IFERROR(VLOOKUP(M4941,#REF!,6,0),0)</f>
        <v>0</v>
      </c>
      <c r="T4941" s="1394">
        <f t="shared" si="1283"/>
        <v>0</v>
      </c>
      <c r="U4941" s="1394">
        <f>IFERROR(VLOOKUP(M4941,#REF!,5,0),0)</f>
        <v>0</v>
      </c>
      <c r="V4941" s="1394">
        <f t="shared" si="1284"/>
        <v>0</v>
      </c>
      <c r="W4941" s="1394"/>
      <c r="X4941" s="1397"/>
    </row>
    <row r="4942" spans="1:26" ht="30" customHeight="1">
      <c r="A4942" s="110" t="s">
        <v>1051</v>
      </c>
      <c r="B4942" s="1567"/>
      <c r="C4942" s="1678" t="e">
        <f>VLOOKUP(A4942,#REF!,2,0)</f>
        <v>#REF!</v>
      </c>
      <c r="D4942" s="1678"/>
      <c r="E4942" s="1678"/>
      <c r="F4942" s="1678"/>
      <c r="G4942" s="1678"/>
      <c r="H4942" s="1678"/>
      <c r="I4942" s="1406">
        <f t="shared" ref="I4942:I4943" si="1287">PRODUCT(D4942:H4942)</f>
        <v>0</v>
      </c>
      <c r="Q4942" s="1394">
        <f>IFERROR(VLOOKUP(M4942,#REF!,3,0),0)</f>
        <v>0</v>
      </c>
      <c r="R4942" s="1394">
        <f t="shared" si="1282"/>
        <v>0</v>
      </c>
      <c r="S4942" s="1394">
        <f>IFERROR(VLOOKUP(M4942,#REF!,6,0),0)</f>
        <v>0</v>
      </c>
      <c r="T4942" s="1394">
        <f t="shared" si="1283"/>
        <v>0</v>
      </c>
      <c r="U4942" s="1394">
        <f>IFERROR(VLOOKUP(M4942,#REF!,5,0),0)</f>
        <v>0</v>
      </c>
      <c r="V4942" s="1394">
        <f t="shared" si="1284"/>
        <v>0</v>
      </c>
      <c r="W4942" s="1394"/>
    </row>
    <row r="4943" spans="1:26" ht="30" customHeight="1">
      <c r="B4943" s="1567"/>
      <c r="C4943" s="1570" t="s">
        <v>5920</v>
      </c>
      <c r="D4943" s="99">
        <v>1</v>
      </c>
      <c r="E4943" s="99">
        <v>1</v>
      </c>
      <c r="F4943" s="1495"/>
      <c r="G4943" s="1495"/>
      <c r="H4943" s="69"/>
      <c r="I4943" s="1406">
        <f t="shared" si="1287"/>
        <v>1</v>
      </c>
      <c r="Q4943" s="1394">
        <f>IFERROR(VLOOKUP(M4943,#REF!,3,0),0)</f>
        <v>0</v>
      </c>
      <c r="R4943" s="1394">
        <f t="shared" si="1282"/>
        <v>0</v>
      </c>
      <c r="S4943" s="1394">
        <f>IFERROR(VLOOKUP(M4943,#REF!,6,0),0)</f>
        <v>0</v>
      </c>
      <c r="T4943" s="1394">
        <f t="shared" si="1283"/>
        <v>0</v>
      </c>
      <c r="U4943" s="1394">
        <f>IFERROR(VLOOKUP(M4943,#REF!,5,0),0)</f>
        <v>0</v>
      </c>
      <c r="V4943" s="1394">
        <f t="shared" si="1284"/>
        <v>0</v>
      </c>
      <c r="W4943" s="1394"/>
    </row>
    <row r="4944" spans="1:26" ht="30" customHeight="1">
      <c r="B4944" s="1567"/>
      <c r="C4944" s="73"/>
      <c r="D4944" s="99"/>
      <c r="E4944" s="99"/>
      <c r="F4944" s="1495"/>
      <c r="G4944" s="1495"/>
      <c r="H4944" s="69"/>
      <c r="I4944" s="1568"/>
      <c r="Q4944" s="1394">
        <f>IFERROR(VLOOKUP(M4944,#REF!,3,0),0)</f>
        <v>0</v>
      </c>
      <c r="R4944" s="1394">
        <f t="shared" si="1282"/>
        <v>0</v>
      </c>
      <c r="S4944" s="1394">
        <f>IFERROR(VLOOKUP(M4944,#REF!,6,0),0)</f>
        <v>0</v>
      </c>
      <c r="T4944" s="1394">
        <f t="shared" si="1283"/>
        <v>0</v>
      </c>
      <c r="U4944" s="1394">
        <f>IFERROR(VLOOKUP(M4944,#REF!,5,0),0)</f>
        <v>0</v>
      </c>
      <c r="V4944" s="1394">
        <f t="shared" si="1284"/>
        <v>0</v>
      </c>
      <c r="W4944" s="1394"/>
    </row>
    <row r="4945" spans="1:26" ht="30" customHeight="1">
      <c r="B4945" s="1567"/>
      <c r="C4945" s="73"/>
      <c r="D4945" s="99"/>
      <c r="E4945" s="99"/>
      <c r="F4945" s="1495"/>
      <c r="G4945" s="1511"/>
      <c r="H4945" s="97"/>
      <c r="I4945" s="1569">
        <f>SUM(I4942:I4944)</f>
        <v>1</v>
      </c>
      <c r="Q4945" s="1394">
        <f>IFERROR(VLOOKUP(M4945,#REF!,3,0),0)</f>
        <v>0</v>
      </c>
      <c r="R4945" s="1394">
        <f t="shared" si="1282"/>
        <v>0</v>
      </c>
      <c r="S4945" s="1394">
        <f>IFERROR(VLOOKUP(M4945,#REF!,6,0),0)</f>
        <v>0</v>
      </c>
      <c r="T4945" s="1394">
        <f t="shared" si="1283"/>
        <v>0</v>
      </c>
      <c r="U4945" s="1394">
        <f>IFERROR(VLOOKUP(M4945,#REF!,5,0),0)</f>
        <v>0</v>
      </c>
      <c r="V4945" s="1394">
        <f t="shared" si="1284"/>
        <v>0</v>
      </c>
      <c r="W4945" s="1394"/>
    </row>
    <row r="4946" spans="1:26" ht="30" customHeight="1">
      <c r="B4946" s="1567"/>
      <c r="C4946" s="73"/>
      <c r="D4946" s="99"/>
      <c r="E4946" s="99"/>
      <c r="F4946" s="1495"/>
      <c r="G4946" s="1483" t="s">
        <v>11</v>
      </c>
      <c r="H4946" s="1393">
        <f>+I4945</f>
        <v>1</v>
      </c>
      <c r="I4946" s="1479" t="s">
        <v>556</v>
      </c>
      <c r="M4946" s="1394" t="str">
        <f>A4942</f>
        <v>a. 900 x 2100 mm R.C.C.Door frames of size 100 x 75mm with one edge grooves size 't' x 20 mm using M20 grade ( with out vibrating charges)</v>
      </c>
      <c r="N4946" s="1394">
        <f>B4941</f>
        <v>0</v>
      </c>
      <c r="O4946" s="1394">
        <f>H4946</f>
        <v>1</v>
      </c>
      <c r="P4946" s="1394" t="str">
        <f>I4946</f>
        <v>Each</v>
      </c>
      <c r="Q4946" s="1394">
        <f>IFERROR(VLOOKUP(M4946,#REF!,3,0),0)</f>
        <v>0</v>
      </c>
      <c r="R4946" s="1394">
        <f t="shared" si="1282"/>
        <v>0</v>
      </c>
      <c r="S4946" s="1394">
        <f>IFERROR(VLOOKUP(M4946,#REF!,6,0),0)</f>
        <v>0</v>
      </c>
      <c r="T4946" s="1394">
        <f t="shared" si="1283"/>
        <v>0</v>
      </c>
      <c r="U4946" s="1394">
        <f>IFERROR(VLOOKUP(M4946,#REF!,5,0),0)</f>
        <v>0</v>
      </c>
      <c r="V4946" s="1394">
        <f t="shared" si="1284"/>
        <v>1</v>
      </c>
      <c r="W4946" s="1394"/>
      <c r="Z4946" s="1394"/>
    </row>
    <row r="4947" spans="1:26" ht="168.75" customHeight="1">
      <c r="A4947" s="1397" t="e">
        <f>#REF!</f>
        <v>#REF!</v>
      </c>
      <c r="B4947" s="1519">
        <v>28.2</v>
      </c>
      <c r="C4947" s="1678" t="e">
        <f>VLOOKUP(A4947,#REF!,2,0)</f>
        <v>#REF!</v>
      </c>
      <c r="D4947" s="1678"/>
      <c r="E4947" s="1678"/>
      <c r="F4947" s="1678"/>
      <c r="G4947" s="1678"/>
      <c r="H4947" s="1678"/>
      <c r="I4947" s="1406"/>
      <c r="Q4947" s="1394">
        <f>IFERROR(VLOOKUP(M4947,#REF!,3,0),0)</f>
        <v>0</v>
      </c>
      <c r="R4947" s="1394">
        <f t="shared" si="1282"/>
        <v>0</v>
      </c>
      <c r="S4947" s="1394">
        <f>IFERROR(VLOOKUP(M4947,#REF!,6,0),0)</f>
        <v>0</v>
      </c>
      <c r="T4947" s="1394">
        <f t="shared" si="1283"/>
        <v>0</v>
      </c>
      <c r="U4947" s="1394">
        <f>IFERROR(VLOOKUP(M4947,#REF!,5,0),0)</f>
        <v>0</v>
      </c>
      <c r="V4947" s="1394">
        <f t="shared" si="1284"/>
        <v>0</v>
      </c>
      <c r="W4947" s="1394"/>
      <c r="X4947" s="1397"/>
    </row>
    <row r="4948" spans="1:26" ht="30" customHeight="1">
      <c r="A4948" s="1397" t="e">
        <f>#REF!</f>
        <v>#REF!</v>
      </c>
      <c r="B4948" s="1571"/>
      <c r="C4948" s="1678" t="e">
        <f>VLOOKUP(A4948,#REF!,2,0)</f>
        <v>#REF!</v>
      </c>
      <c r="D4948" s="1678"/>
      <c r="E4948" s="1678"/>
      <c r="F4948" s="1678"/>
      <c r="G4948" s="1678"/>
      <c r="H4948" s="1678"/>
      <c r="I4948" s="1568"/>
      <c r="Q4948" s="1394">
        <f>IFERROR(VLOOKUP(M4948,#REF!,3,0),0)</f>
        <v>0</v>
      </c>
      <c r="R4948" s="1394">
        <f t="shared" si="1282"/>
        <v>0</v>
      </c>
      <c r="S4948" s="1394">
        <f>IFERROR(VLOOKUP(M4948,#REF!,6,0),0)</f>
        <v>0</v>
      </c>
      <c r="T4948" s="1394">
        <f t="shared" si="1283"/>
        <v>0</v>
      </c>
      <c r="U4948" s="1394">
        <f>IFERROR(VLOOKUP(M4948,#REF!,5,0),0)</f>
        <v>0</v>
      </c>
      <c r="V4948" s="1394">
        <f t="shared" si="1284"/>
        <v>0</v>
      </c>
      <c r="W4948" s="1394"/>
    </row>
    <row r="4949" spans="1:26" ht="30" customHeight="1">
      <c r="B4949" s="1519"/>
      <c r="C4949" s="1572" t="s">
        <v>259</v>
      </c>
      <c r="D4949" s="103"/>
      <c r="E4949" s="103"/>
      <c r="F4949" s="1413"/>
      <c r="G4949" s="1413"/>
      <c r="H4949" s="1414"/>
      <c r="I4949" s="1406"/>
      <c r="Q4949" s="1394">
        <f>IFERROR(VLOOKUP(M4949,#REF!,3,0),0)</f>
        <v>0</v>
      </c>
      <c r="R4949" s="1394">
        <f t="shared" si="1282"/>
        <v>0</v>
      </c>
      <c r="S4949" s="1394">
        <f>IFERROR(VLOOKUP(M4949,#REF!,6,0),0)</f>
        <v>0</v>
      </c>
      <c r="T4949" s="1394">
        <f t="shared" si="1283"/>
        <v>0</v>
      </c>
      <c r="U4949" s="1394">
        <f>IFERROR(VLOOKUP(M4949,#REF!,5,0),0)</f>
        <v>0</v>
      </c>
      <c r="V4949" s="1394">
        <f t="shared" si="1284"/>
        <v>0</v>
      </c>
      <c r="W4949" s="1394"/>
    </row>
    <row r="4950" spans="1:26" ht="30" customHeight="1">
      <c r="B4950" s="1519"/>
      <c r="C4950" s="1502" t="s">
        <v>5918</v>
      </c>
      <c r="D4950" s="103"/>
      <c r="E4950" s="103"/>
      <c r="F4950" s="1413"/>
      <c r="G4950" s="1413"/>
      <c r="H4950" s="1413"/>
      <c r="I4950" s="1406"/>
      <c r="Q4950" s="1394">
        <f>IFERROR(VLOOKUP(M4950,#REF!,3,0),0)</f>
        <v>0</v>
      </c>
      <c r="R4950" s="1394">
        <f t="shared" si="1282"/>
        <v>0</v>
      </c>
      <c r="S4950" s="1394">
        <f>IFERROR(VLOOKUP(M4950,#REF!,6,0),0)</f>
        <v>0</v>
      </c>
      <c r="T4950" s="1394">
        <f t="shared" si="1283"/>
        <v>0</v>
      </c>
      <c r="U4950" s="1394">
        <f>IFERROR(VLOOKUP(M4950,#REF!,5,0),0)</f>
        <v>0</v>
      </c>
      <c r="V4950" s="1394">
        <f t="shared" si="1284"/>
        <v>0</v>
      </c>
      <c r="W4950" s="1394"/>
    </row>
    <row r="4951" spans="1:26" ht="30" customHeight="1">
      <c r="B4951" s="1519"/>
      <c r="C4951" s="1502" t="s">
        <v>5919</v>
      </c>
      <c r="D4951" s="103"/>
      <c r="E4951" s="103"/>
      <c r="F4951" s="1413"/>
      <c r="G4951" s="1413"/>
      <c r="H4951" s="1413"/>
      <c r="I4951" s="1406">
        <f>PRODUCT(D4951:H4951)</f>
        <v>0</v>
      </c>
      <c r="J4951" s="1397">
        <f>SUM(I4951)</f>
        <v>0</v>
      </c>
      <c r="K4951" s="1397"/>
      <c r="L4951" s="110">
        <f>D4951*E4951</f>
        <v>0</v>
      </c>
      <c r="Q4951" s="1394">
        <f>IFERROR(VLOOKUP(M4951,#REF!,3,0),0)</f>
        <v>0</v>
      </c>
      <c r="R4951" s="1394">
        <f t="shared" si="1282"/>
        <v>0</v>
      </c>
      <c r="S4951" s="1394">
        <f>IFERROR(VLOOKUP(M4951,#REF!,6,0),0)</f>
        <v>0</v>
      </c>
      <c r="T4951" s="1394">
        <f t="shared" si="1283"/>
        <v>0</v>
      </c>
      <c r="U4951" s="1394">
        <f>IFERROR(VLOOKUP(M4951,#REF!,5,0),0)</f>
        <v>0</v>
      </c>
      <c r="V4951" s="1394">
        <f t="shared" si="1284"/>
        <v>0</v>
      </c>
      <c r="W4951" s="1394"/>
    </row>
    <row r="4952" spans="1:26" ht="30" customHeight="1">
      <c r="B4952" s="1519"/>
      <c r="C4952" s="1502" t="s">
        <v>259</v>
      </c>
      <c r="D4952" s="103"/>
      <c r="E4952" s="103" t="s">
        <v>575</v>
      </c>
      <c r="F4952" s="1413"/>
      <c r="G4952" s="1413"/>
      <c r="H4952" s="1413"/>
      <c r="I4952" s="1406">
        <f>PRODUCT(D4952:H4952)</f>
        <v>0</v>
      </c>
      <c r="J4952" s="1397"/>
      <c r="K4952" s="1397"/>
      <c r="L4952" s="110" t="e">
        <f t="shared" ref="L4952:L4970" si="1288">D4952*E4952</f>
        <v>#VALUE!</v>
      </c>
      <c r="Q4952" s="1394">
        <f>IFERROR(VLOOKUP(M4952,#REF!,3,0),0)</f>
        <v>0</v>
      </c>
      <c r="R4952" s="1394">
        <f t="shared" si="1282"/>
        <v>0</v>
      </c>
      <c r="S4952" s="1394">
        <f>IFERROR(VLOOKUP(M4952,#REF!,6,0),0)</f>
        <v>0</v>
      </c>
      <c r="T4952" s="1394">
        <f t="shared" si="1283"/>
        <v>0</v>
      </c>
      <c r="U4952" s="1394">
        <f>IFERROR(VLOOKUP(M4952,#REF!,5,0),0)</f>
        <v>0</v>
      </c>
      <c r="V4952" s="1394">
        <f t="shared" si="1284"/>
        <v>0</v>
      </c>
      <c r="W4952" s="1394"/>
    </row>
    <row r="4953" spans="1:26" ht="30" customHeight="1">
      <c r="B4953" s="1519"/>
      <c r="C4953" s="1502" t="s">
        <v>5550</v>
      </c>
      <c r="D4953" s="103">
        <v>1</v>
      </c>
      <c r="E4953" s="103">
        <v>1</v>
      </c>
      <c r="F4953" s="1413">
        <v>0.9</v>
      </c>
      <c r="G4953" s="1413"/>
      <c r="H4953" s="1413">
        <f>2.1-0.075</f>
        <v>2.0249999999999999</v>
      </c>
      <c r="I4953" s="1406">
        <f>PRODUCT(D4953:H4953)</f>
        <v>1.8225</v>
      </c>
      <c r="J4953" s="1397">
        <f>SUM(I4953)</f>
        <v>1.8225</v>
      </c>
      <c r="K4953" s="1397"/>
      <c r="L4953" s="110">
        <f t="shared" si="1288"/>
        <v>1</v>
      </c>
      <c r="Q4953" s="1394">
        <f>IFERROR(VLOOKUP(M4953,#REF!,3,0),0)</f>
        <v>0</v>
      </c>
      <c r="R4953" s="1394">
        <f t="shared" si="1282"/>
        <v>0</v>
      </c>
      <c r="S4953" s="1394">
        <f>IFERROR(VLOOKUP(M4953,#REF!,6,0),0)</f>
        <v>0</v>
      </c>
      <c r="T4953" s="1394">
        <f t="shared" si="1283"/>
        <v>0</v>
      </c>
      <c r="U4953" s="1394">
        <f>IFERROR(VLOOKUP(M4953,#REF!,5,0),0)</f>
        <v>0</v>
      </c>
      <c r="V4953" s="1394">
        <f t="shared" si="1284"/>
        <v>0</v>
      </c>
      <c r="W4953" s="1394"/>
    </row>
    <row r="4954" spans="1:26" ht="30" customHeight="1">
      <c r="B4954" s="1519"/>
      <c r="C4954" s="1502" t="s">
        <v>5552</v>
      </c>
      <c r="D4954" s="103">
        <v>1</v>
      </c>
      <c r="E4954" s="103">
        <v>1</v>
      </c>
      <c r="F4954" s="1413">
        <v>0.9</v>
      </c>
      <c r="G4954" s="1413"/>
      <c r="H4954" s="1413">
        <f t="shared" ref="H4954:H4957" si="1289">2.1-0.075</f>
        <v>2.0249999999999999</v>
      </c>
      <c r="I4954" s="1406">
        <f t="shared" ref="I4954:I4970" si="1290">PRODUCT(D4954:H4954)</f>
        <v>1.8225</v>
      </c>
      <c r="J4954" s="1397"/>
      <c r="K4954" s="1397"/>
      <c r="L4954" s="110">
        <f t="shared" si="1288"/>
        <v>1</v>
      </c>
      <c r="Q4954" s="1394">
        <f>IFERROR(VLOOKUP(M4954,#REF!,3,0),0)</f>
        <v>0</v>
      </c>
      <c r="R4954" s="1394">
        <f t="shared" si="1282"/>
        <v>0</v>
      </c>
      <c r="S4954" s="1394">
        <f>IFERROR(VLOOKUP(M4954,#REF!,6,0),0)</f>
        <v>0</v>
      </c>
      <c r="T4954" s="1394">
        <f t="shared" si="1283"/>
        <v>0</v>
      </c>
      <c r="U4954" s="1394">
        <f>IFERROR(VLOOKUP(M4954,#REF!,5,0),0)</f>
        <v>0</v>
      </c>
      <c r="V4954" s="1394">
        <f t="shared" si="1284"/>
        <v>0</v>
      </c>
      <c r="W4954" s="1394"/>
    </row>
    <row r="4955" spans="1:26" ht="30" customHeight="1">
      <c r="B4955" s="1519"/>
      <c r="C4955" s="1502" t="s">
        <v>5557</v>
      </c>
      <c r="D4955" s="103">
        <v>1</v>
      </c>
      <c r="E4955" s="103">
        <v>1</v>
      </c>
      <c r="F4955" s="1413">
        <v>0.9</v>
      </c>
      <c r="G4955" s="1413"/>
      <c r="H4955" s="1413">
        <f t="shared" si="1289"/>
        <v>2.0249999999999999</v>
      </c>
      <c r="I4955" s="1406">
        <f t="shared" si="1290"/>
        <v>1.8225</v>
      </c>
      <c r="J4955" s="1397"/>
      <c r="K4955" s="1397"/>
      <c r="L4955" s="110">
        <f t="shared" si="1288"/>
        <v>1</v>
      </c>
      <c r="Q4955" s="1394">
        <f>IFERROR(VLOOKUP(M4955,#REF!,3,0),0)</f>
        <v>0</v>
      </c>
      <c r="R4955" s="1394">
        <f t="shared" si="1282"/>
        <v>0</v>
      </c>
      <c r="S4955" s="1394">
        <f>IFERROR(VLOOKUP(M4955,#REF!,6,0),0)</f>
        <v>0</v>
      </c>
      <c r="T4955" s="1394">
        <f t="shared" si="1283"/>
        <v>0</v>
      </c>
      <c r="U4955" s="1394">
        <f>IFERROR(VLOOKUP(M4955,#REF!,5,0),0)</f>
        <v>0</v>
      </c>
      <c r="V4955" s="1394">
        <f t="shared" si="1284"/>
        <v>0</v>
      </c>
      <c r="W4955" s="1394"/>
    </row>
    <row r="4956" spans="1:26" ht="30" customHeight="1">
      <c r="B4956" s="1519"/>
      <c r="C4956" s="1502" t="s">
        <v>5558</v>
      </c>
      <c r="D4956" s="103">
        <v>1</v>
      </c>
      <c r="E4956" s="103">
        <v>1</v>
      </c>
      <c r="F4956" s="1413">
        <v>0.9</v>
      </c>
      <c r="G4956" s="1413"/>
      <c r="H4956" s="1413">
        <f t="shared" si="1289"/>
        <v>2.0249999999999999</v>
      </c>
      <c r="I4956" s="1406">
        <f t="shared" si="1290"/>
        <v>1.8225</v>
      </c>
      <c r="J4956" s="1397"/>
      <c r="K4956" s="1397"/>
      <c r="L4956" s="110">
        <f t="shared" si="1288"/>
        <v>1</v>
      </c>
      <c r="Q4956" s="1394">
        <f>IFERROR(VLOOKUP(M4956,#REF!,3,0),0)</f>
        <v>0</v>
      </c>
      <c r="R4956" s="1394">
        <f t="shared" si="1282"/>
        <v>0</v>
      </c>
      <c r="S4956" s="1394">
        <f>IFERROR(VLOOKUP(M4956,#REF!,6,0),0)</f>
        <v>0</v>
      </c>
      <c r="T4956" s="1394">
        <f t="shared" si="1283"/>
        <v>0</v>
      </c>
      <c r="U4956" s="1394">
        <f>IFERROR(VLOOKUP(M4956,#REF!,5,0),0)</f>
        <v>0</v>
      </c>
      <c r="V4956" s="1394">
        <f t="shared" si="1284"/>
        <v>0</v>
      </c>
      <c r="W4956" s="1394"/>
    </row>
    <row r="4957" spans="1:26" ht="30" customHeight="1">
      <c r="B4957" s="1519"/>
      <c r="C4957" s="1502" t="s">
        <v>5560</v>
      </c>
      <c r="D4957" s="103">
        <v>1</v>
      </c>
      <c r="E4957" s="103">
        <v>1</v>
      </c>
      <c r="F4957" s="1413">
        <v>0.9</v>
      </c>
      <c r="G4957" s="1413"/>
      <c r="H4957" s="1413">
        <f t="shared" si="1289"/>
        <v>2.0249999999999999</v>
      </c>
      <c r="I4957" s="1406">
        <f t="shared" si="1290"/>
        <v>1.8225</v>
      </c>
      <c r="J4957" s="1397"/>
      <c r="K4957" s="1397"/>
      <c r="L4957" s="110">
        <f t="shared" si="1288"/>
        <v>1</v>
      </c>
      <c r="Q4957" s="1394">
        <f>IFERROR(VLOOKUP(M4957,#REF!,3,0),0)</f>
        <v>0</v>
      </c>
      <c r="R4957" s="1394">
        <f t="shared" si="1282"/>
        <v>0</v>
      </c>
      <c r="S4957" s="1394">
        <f>IFERROR(VLOOKUP(M4957,#REF!,6,0),0)</f>
        <v>0</v>
      </c>
      <c r="T4957" s="1394">
        <f t="shared" si="1283"/>
        <v>0</v>
      </c>
      <c r="U4957" s="1394">
        <f>IFERROR(VLOOKUP(M4957,#REF!,5,0),0)</f>
        <v>0</v>
      </c>
      <c r="V4957" s="1394">
        <f t="shared" si="1284"/>
        <v>0</v>
      </c>
      <c r="W4957" s="1394"/>
    </row>
    <row r="4958" spans="1:26" ht="30" customHeight="1">
      <c r="B4958" s="1519"/>
      <c r="C4958" s="1502" t="s">
        <v>260</v>
      </c>
      <c r="D4958" s="103"/>
      <c r="E4958" s="103" t="s">
        <v>575</v>
      </c>
      <c r="F4958" s="1413"/>
      <c r="G4958" s="1413"/>
      <c r="H4958" s="1413"/>
      <c r="I4958" s="1406">
        <f t="shared" si="1290"/>
        <v>0</v>
      </c>
      <c r="J4958" s="1397"/>
      <c r="K4958" s="1397"/>
      <c r="L4958" s="110" t="e">
        <f t="shared" si="1288"/>
        <v>#VALUE!</v>
      </c>
      <c r="Q4958" s="1394">
        <f>IFERROR(VLOOKUP(M4958,#REF!,3,0),0)</f>
        <v>0</v>
      </c>
      <c r="R4958" s="1394">
        <f t="shared" si="1282"/>
        <v>0</v>
      </c>
      <c r="S4958" s="1394">
        <f>IFERROR(VLOOKUP(M4958,#REF!,6,0),0)</f>
        <v>0</v>
      </c>
      <c r="T4958" s="1394">
        <f t="shared" si="1283"/>
        <v>0</v>
      </c>
      <c r="U4958" s="1394">
        <f>IFERROR(VLOOKUP(M4958,#REF!,5,0),0)</f>
        <v>0</v>
      </c>
      <c r="V4958" s="1394">
        <f t="shared" si="1284"/>
        <v>0</v>
      </c>
      <c r="W4958" s="1394"/>
    </row>
    <row r="4959" spans="1:26" ht="30" customHeight="1">
      <c r="B4959" s="1519"/>
      <c r="C4959" s="1502" t="s">
        <v>5562</v>
      </c>
      <c r="D4959" s="103">
        <v>1</v>
      </c>
      <c r="E4959" s="103">
        <v>1</v>
      </c>
      <c r="F4959" s="1413">
        <v>0.9</v>
      </c>
      <c r="G4959" s="1413"/>
      <c r="H4959" s="1413">
        <f t="shared" ref="H4959:H4964" si="1291">2.1-0.075</f>
        <v>2.0249999999999999</v>
      </c>
      <c r="I4959" s="1406">
        <f t="shared" si="1290"/>
        <v>1.8225</v>
      </c>
      <c r="J4959" s="1397"/>
      <c r="K4959" s="1397"/>
      <c r="L4959" s="110">
        <f t="shared" si="1288"/>
        <v>1</v>
      </c>
      <c r="Q4959" s="1394">
        <f>IFERROR(VLOOKUP(M4959,#REF!,3,0),0)</f>
        <v>0</v>
      </c>
      <c r="R4959" s="1394">
        <f t="shared" si="1282"/>
        <v>0</v>
      </c>
      <c r="S4959" s="1394">
        <f>IFERROR(VLOOKUP(M4959,#REF!,6,0),0)</f>
        <v>0</v>
      </c>
      <c r="T4959" s="1394">
        <f t="shared" si="1283"/>
        <v>0</v>
      </c>
      <c r="U4959" s="1394">
        <f>IFERROR(VLOOKUP(M4959,#REF!,5,0),0)</f>
        <v>0</v>
      </c>
      <c r="V4959" s="1394">
        <f t="shared" si="1284"/>
        <v>0</v>
      </c>
      <c r="W4959" s="1394"/>
    </row>
    <row r="4960" spans="1:26" ht="30" customHeight="1">
      <c r="B4960" s="1519"/>
      <c r="C4960" s="1502" t="s">
        <v>5564</v>
      </c>
      <c r="D4960" s="103">
        <v>1</v>
      </c>
      <c r="E4960" s="103">
        <v>1</v>
      </c>
      <c r="F4960" s="1413">
        <v>0.9</v>
      </c>
      <c r="G4960" s="1413"/>
      <c r="H4960" s="1413">
        <f t="shared" si="1291"/>
        <v>2.0249999999999999</v>
      </c>
      <c r="I4960" s="1406">
        <f t="shared" si="1290"/>
        <v>1.8225</v>
      </c>
      <c r="J4960" s="1397"/>
      <c r="K4960" s="1397"/>
      <c r="L4960" s="110">
        <f t="shared" si="1288"/>
        <v>1</v>
      </c>
      <c r="Q4960" s="1394">
        <f>IFERROR(VLOOKUP(M4960,#REF!,3,0),0)</f>
        <v>0</v>
      </c>
      <c r="R4960" s="1394">
        <f t="shared" si="1282"/>
        <v>0</v>
      </c>
      <c r="S4960" s="1394">
        <f>IFERROR(VLOOKUP(M4960,#REF!,6,0),0)</f>
        <v>0</v>
      </c>
      <c r="T4960" s="1394">
        <f t="shared" si="1283"/>
        <v>0</v>
      </c>
      <c r="U4960" s="1394">
        <f>IFERROR(VLOOKUP(M4960,#REF!,5,0),0)</f>
        <v>0</v>
      </c>
      <c r="V4960" s="1394">
        <f t="shared" si="1284"/>
        <v>0</v>
      </c>
      <c r="W4960" s="1394"/>
    </row>
    <row r="4961" spans="2:24" ht="30" customHeight="1">
      <c r="B4961" s="1519"/>
      <c r="C4961" s="1502" t="s">
        <v>5566</v>
      </c>
      <c r="D4961" s="103">
        <v>1</v>
      </c>
      <c r="E4961" s="103">
        <v>1</v>
      </c>
      <c r="F4961" s="1413">
        <v>0.9</v>
      </c>
      <c r="G4961" s="1413"/>
      <c r="H4961" s="1413">
        <f t="shared" si="1291"/>
        <v>2.0249999999999999</v>
      </c>
      <c r="I4961" s="1406">
        <f t="shared" si="1290"/>
        <v>1.8225</v>
      </c>
      <c r="J4961" s="1397"/>
      <c r="K4961" s="1397"/>
      <c r="L4961" s="110">
        <f t="shared" si="1288"/>
        <v>1</v>
      </c>
      <c r="Q4961" s="1394">
        <f>IFERROR(VLOOKUP(M4961,#REF!,3,0),0)</f>
        <v>0</v>
      </c>
      <c r="R4961" s="1394">
        <f t="shared" si="1282"/>
        <v>0</v>
      </c>
      <c r="S4961" s="1394">
        <f>IFERROR(VLOOKUP(M4961,#REF!,6,0),0)</f>
        <v>0</v>
      </c>
      <c r="T4961" s="1394">
        <f t="shared" si="1283"/>
        <v>0</v>
      </c>
      <c r="U4961" s="1394">
        <f>IFERROR(VLOOKUP(M4961,#REF!,5,0),0)</f>
        <v>0</v>
      </c>
      <c r="V4961" s="1394">
        <f t="shared" si="1284"/>
        <v>0</v>
      </c>
      <c r="W4961" s="1394"/>
    </row>
    <row r="4962" spans="2:24" ht="30" customHeight="1">
      <c r="B4962" s="1519"/>
      <c r="C4962" s="1502" t="s">
        <v>5550</v>
      </c>
      <c r="D4962" s="103">
        <v>1</v>
      </c>
      <c r="E4962" s="103">
        <v>1</v>
      </c>
      <c r="F4962" s="1413">
        <v>0.9</v>
      </c>
      <c r="G4962" s="1413"/>
      <c r="H4962" s="1413">
        <f t="shared" si="1291"/>
        <v>2.0249999999999999</v>
      </c>
      <c r="I4962" s="1406">
        <f t="shared" si="1290"/>
        <v>1.8225</v>
      </c>
      <c r="J4962" s="1397"/>
      <c r="K4962" s="1397"/>
      <c r="L4962" s="110">
        <f t="shared" si="1288"/>
        <v>1</v>
      </c>
      <c r="Q4962" s="1394">
        <f>IFERROR(VLOOKUP(M4962,#REF!,3,0),0)</f>
        <v>0</v>
      </c>
      <c r="R4962" s="1394">
        <f t="shared" si="1282"/>
        <v>0</v>
      </c>
      <c r="S4962" s="1394">
        <f>IFERROR(VLOOKUP(M4962,#REF!,6,0),0)</f>
        <v>0</v>
      </c>
      <c r="T4962" s="1394">
        <f t="shared" si="1283"/>
        <v>0</v>
      </c>
      <c r="U4962" s="1394">
        <f>IFERROR(VLOOKUP(M4962,#REF!,5,0),0)</f>
        <v>0</v>
      </c>
      <c r="V4962" s="1394">
        <f t="shared" si="1284"/>
        <v>0</v>
      </c>
      <c r="W4962" s="1394"/>
    </row>
    <row r="4963" spans="2:24" ht="30" customHeight="1">
      <c r="B4963" s="1519"/>
      <c r="C4963" s="1502" t="s">
        <v>5567</v>
      </c>
      <c r="D4963" s="103">
        <v>1</v>
      </c>
      <c r="E4963" s="103">
        <v>1</v>
      </c>
      <c r="F4963" s="1413">
        <v>0.9</v>
      </c>
      <c r="G4963" s="1413"/>
      <c r="H4963" s="1413">
        <f t="shared" si="1291"/>
        <v>2.0249999999999999</v>
      </c>
      <c r="I4963" s="1406">
        <f t="shared" si="1290"/>
        <v>1.8225</v>
      </c>
      <c r="J4963" s="1397"/>
      <c r="K4963" s="1397"/>
      <c r="L4963" s="110">
        <f t="shared" si="1288"/>
        <v>1</v>
      </c>
      <c r="Q4963" s="1394">
        <f>IFERROR(VLOOKUP(M4963,#REF!,3,0),0)</f>
        <v>0</v>
      </c>
      <c r="R4963" s="1394">
        <f t="shared" si="1282"/>
        <v>0</v>
      </c>
      <c r="S4963" s="1394">
        <f>IFERROR(VLOOKUP(M4963,#REF!,6,0),0)</f>
        <v>0</v>
      </c>
      <c r="T4963" s="1394">
        <f t="shared" si="1283"/>
        <v>0</v>
      </c>
      <c r="U4963" s="1394">
        <f>IFERROR(VLOOKUP(M4963,#REF!,5,0),0)</f>
        <v>0</v>
      </c>
      <c r="V4963" s="1394">
        <f t="shared" si="1284"/>
        <v>0</v>
      </c>
      <c r="W4963" s="1394"/>
    </row>
    <row r="4964" spans="2:24" ht="30" customHeight="1">
      <c r="B4964" s="1519"/>
      <c r="C4964" s="1502" t="s">
        <v>5568</v>
      </c>
      <c r="D4964" s="103">
        <v>1</v>
      </c>
      <c r="E4964" s="103">
        <v>1</v>
      </c>
      <c r="F4964" s="1413">
        <v>0.9</v>
      </c>
      <c r="G4964" s="1413"/>
      <c r="H4964" s="1413">
        <f t="shared" si="1291"/>
        <v>2.0249999999999999</v>
      </c>
      <c r="I4964" s="1406">
        <f t="shared" si="1290"/>
        <v>1.8225</v>
      </c>
      <c r="J4964" s="1397"/>
      <c r="K4964" s="1397"/>
      <c r="L4964" s="110">
        <f t="shared" si="1288"/>
        <v>1</v>
      </c>
      <c r="Q4964" s="1394">
        <f>IFERROR(VLOOKUP(M4964,#REF!,3,0),0)</f>
        <v>0</v>
      </c>
      <c r="R4964" s="1394">
        <f t="shared" si="1282"/>
        <v>0</v>
      </c>
      <c r="S4964" s="1394">
        <f>IFERROR(VLOOKUP(M4964,#REF!,6,0),0)</f>
        <v>0</v>
      </c>
      <c r="T4964" s="1394">
        <f t="shared" si="1283"/>
        <v>0</v>
      </c>
      <c r="U4964" s="1394">
        <f>IFERROR(VLOOKUP(M4964,#REF!,5,0),0)</f>
        <v>0</v>
      </c>
      <c r="V4964" s="1394">
        <f t="shared" si="1284"/>
        <v>0</v>
      </c>
      <c r="W4964" s="1394"/>
    </row>
    <row r="4965" spans="2:24" ht="30" customHeight="1">
      <c r="B4965" s="1519"/>
      <c r="C4965" s="1502" t="s">
        <v>261</v>
      </c>
      <c r="D4965" s="103"/>
      <c r="E4965" s="103" t="s">
        <v>575</v>
      </c>
      <c r="F4965" s="1413"/>
      <c r="G4965" s="1413"/>
      <c r="H4965" s="1413"/>
      <c r="I4965" s="1406">
        <f t="shared" si="1290"/>
        <v>0</v>
      </c>
      <c r="J4965" s="1397"/>
      <c r="K4965" s="1397"/>
      <c r="L4965" s="110" t="e">
        <f t="shared" si="1288"/>
        <v>#VALUE!</v>
      </c>
      <c r="Q4965" s="1394">
        <f>IFERROR(VLOOKUP(M4965,#REF!,3,0),0)</f>
        <v>0</v>
      </c>
      <c r="R4965" s="1394">
        <f t="shared" si="1282"/>
        <v>0</v>
      </c>
      <c r="S4965" s="1394">
        <f>IFERROR(VLOOKUP(M4965,#REF!,6,0),0)</f>
        <v>0</v>
      </c>
      <c r="T4965" s="1394">
        <f t="shared" si="1283"/>
        <v>0</v>
      </c>
      <c r="U4965" s="1394">
        <f>IFERROR(VLOOKUP(M4965,#REF!,5,0),0)</f>
        <v>0</v>
      </c>
      <c r="V4965" s="1394">
        <f t="shared" si="1284"/>
        <v>0</v>
      </c>
      <c r="W4965" s="1394"/>
    </row>
    <row r="4966" spans="2:24" ht="30" customHeight="1">
      <c r="B4966" s="1519"/>
      <c r="C4966" s="1502" t="s">
        <v>5570</v>
      </c>
      <c r="D4966" s="103">
        <v>1</v>
      </c>
      <c r="E4966" s="103">
        <v>1</v>
      </c>
      <c r="F4966" s="1413">
        <v>0.9</v>
      </c>
      <c r="G4966" s="1413"/>
      <c r="H4966" s="1413">
        <f t="shared" ref="H4966:H4972" si="1292">2.1-0.075</f>
        <v>2.0249999999999999</v>
      </c>
      <c r="I4966" s="1406">
        <f t="shared" si="1290"/>
        <v>1.8225</v>
      </c>
      <c r="J4966" s="1397"/>
      <c r="K4966" s="1397"/>
      <c r="L4966" s="110">
        <f t="shared" si="1288"/>
        <v>1</v>
      </c>
      <c r="Q4966" s="1394">
        <f>IFERROR(VLOOKUP(M4966,#REF!,3,0),0)</f>
        <v>0</v>
      </c>
      <c r="R4966" s="1394">
        <f t="shared" si="1282"/>
        <v>0</v>
      </c>
      <c r="S4966" s="1394">
        <f>IFERROR(VLOOKUP(M4966,#REF!,6,0),0)</f>
        <v>0</v>
      </c>
      <c r="T4966" s="1394">
        <f t="shared" si="1283"/>
        <v>0</v>
      </c>
      <c r="U4966" s="1394">
        <f>IFERROR(VLOOKUP(M4966,#REF!,5,0),0)</f>
        <v>0</v>
      </c>
      <c r="V4966" s="1394">
        <f t="shared" si="1284"/>
        <v>0</v>
      </c>
      <c r="W4966" s="1394"/>
    </row>
    <row r="4967" spans="2:24" ht="30" customHeight="1">
      <c r="B4967" s="1519"/>
      <c r="C4967" s="1502" t="s">
        <v>5572</v>
      </c>
      <c r="D4967" s="103">
        <v>1</v>
      </c>
      <c r="E4967" s="103">
        <v>1</v>
      </c>
      <c r="F4967" s="1413">
        <v>0.9</v>
      </c>
      <c r="G4967" s="1413"/>
      <c r="H4967" s="1413">
        <f t="shared" si="1292"/>
        <v>2.0249999999999999</v>
      </c>
      <c r="I4967" s="1406">
        <f t="shared" si="1290"/>
        <v>1.8225</v>
      </c>
      <c r="J4967" s="1397"/>
      <c r="K4967" s="1397"/>
      <c r="L4967" s="110">
        <f t="shared" si="1288"/>
        <v>1</v>
      </c>
      <c r="Q4967" s="1394">
        <f>IFERROR(VLOOKUP(M4967,#REF!,3,0),0)</f>
        <v>0</v>
      </c>
      <c r="R4967" s="1394">
        <f t="shared" si="1282"/>
        <v>0</v>
      </c>
      <c r="S4967" s="1394">
        <f>IFERROR(VLOOKUP(M4967,#REF!,6,0),0)</f>
        <v>0</v>
      </c>
      <c r="T4967" s="1394">
        <f t="shared" si="1283"/>
        <v>0</v>
      </c>
      <c r="U4967" s="1394">
        <f>IFERROR(VLOOKUP(M4967,#REF!,5,0),0)</f>
        <v>0</v>
      </c>
      <c r="V4967" s="1394">
        <f t="shared" si="1284"/>
        <v>0</v>
      </c>
      <c r="W4967" s="1394"/>
    </row>
    <row r="4968" spans="2:24" ht="30" customHeight="1">
      <c r="B4968" s="1519"/>
      <c r="C4968" s="1502" t="s">
        <v>5574</v>
      </c>
      <c r="D4968" s="103">
        <v>1</v>
      </c>
      <c r="E4968" s="103">
        <v>1</v>
      </c>
      <c r="F4968" s="1413">
        <v>0.9</v>
      </c>
      <c r="G4968" s="1413"/>
      <c r="H4968" s="1413">
        <f t="shared" si="1292"/>
        <v>2.0249999999999999</v>
      </c>
      <c r="I4968" s="1406">
        <f t="shared" si="1290"/>
        <v>1.8225</v>
      </c>
      <c r="J4968" s="1397"/>
      <c r="K4968" s="1397"/>
      <c r="L4968" s="110">
        <f t="shared" si="1288"/>
        <v>1</v>
      </c>
      <c r="Q4968" s="1394">
        <f>IFERROR(VLOOKUP(M4968,#REF!,3,0),0)</f>
        <v>0</v>
      </c>
      <c r="R4968" s="1394">
        <f t="shared" si="1282"/>
        <v>0</v>
      </c>
      <c r="S4968" s="1394">
        <f>IFERROR(VLOOKUP(M4968,#REF!,6,0),0)</f>
        <v>0</v>
      </c>
      <c r="T4968" s="1394">
        <f t="shared" si="1283"/>
        <v>0</v>
      </c>
      <c r="U4968" s="1394">
        <f>IFERROR(VLOOKUP(M4968,#REF!,5,0),0)</f>
        <v>0</v>
      </c>
      <c r="V4968" s="1394">
        <f t="shared" si="1284"/>
        <v>0</v>
      </c>
      <c r="W4968" s="1394"/>
    </row>
    <row r="4969" spans="2:24" ht="30" customHeight="1">
      <c r="B4969" s="1519"/>
      <c r="C4969" s="1502" t="s">
        <v>5570</v>
      </c>
      <c r="D4969" s="103">
        <v>1</v>
      </c>
      <c r="E4969" s="103">
        <v>1</v>
      </c>
      <c r="F4969" s="1413">
        <v>0.9</v>
      </c>
      <c r="G4969" s="1413"/>
      <c r="H4969" s="1413">
        <f t="shared" si="1292"/>
        <v>2.0249999999999999</v>
      </c>
      <c r="I4969" s="1406">
        <f t="shared" si="1290"/>
        <v>1.8225</v>
      </c>
      <c r="J4969" s="1397"/>
      <c r="K4969" s="1397"/>
      <c r="L4969" s="110">
        <f t="shared" si="1288"/>
        <v>1</v>
      </c>
      <c r="Q4969" s="1394">
        <f>IFERROR(VLOOKUP(M4969,#REF!,3,0),0)</f>
        <v>0</v>
      </c>
      <c r="R4969" s="1394">
        <f t="shared" si="1282"/>
        <v>0</v>
      </c>
      <c r="S4969" s="1394">
        <f>IFERROR(VLOOKUP(M4969,#REF!,6,0),0)</f>
        <v>0</v>
      </c>
      <c r="T4969" s="1394">
        <f t="shared" si="1283"/>
        <v>0</v>
      </c>
      <c r="U4969" s="1394">
        <f>IFERROR(VLOOKUP(M4969,#REF!,5,0),0)</f>
        <v>0</v>
      </c>
      <c r="V4969" s="1394">
        <f t="shared" si="1284"/>
        <v>0</v>
      </c>
      <c r="W4969" s="1394"/>
    </row>
    <row r="4970" spans="2:24" ht="30" customHeight="1">
      <c r="B4970" s="1519"/>
      <c r="C4970" s="1502" t="s">
        <v>560</v>
      </c>
      <c r="D4970" s="103">
        <v>1</v>
      </c>
      <c r="E4970" s="103">
        <v>1</v>
      </c>
      <c r="F4970" s="1413">
        <v>0.9</v>
      </c>
      <c r="G4970" s="1413"/>
      <c r="H4970" s="1413">
        <f t="shared" si="1292"/>
        <v>2.0249999999999999</v>
      </c>
      <c r="I4970" s="1406">
        <f t="shared" si="1290"/>
        <v>1.8225</v>
      </c>
      <c r="J4970" s="1397"/>
      <c r="K4970" s="1397"/>
      <c r="L4970" s="110">
        <f t="shared" si="1288"/>
        <v>1</v>
      </c>
      <c r="Q4970" s="1394">
        <f>IFERROR(VLOOKUP(M4970,#REF!,3,0),0)</f>
        <v>0</v>
      </c>
      <c r="R4970" s="1394">
        <f t="shared" si="1282"/>
        <v>0</v>
      </c>
      <c r="S4970" s="1394">
        <f>IFERROR(VLOOKUP(M4970,#REF!,6,0),0)</f>
        <v>0</v>
      </c>
      <c r="T4970" s="1394">
        <f t="shared" si="1283"/>
        <v>0</v>
      </c>
      <c r="U4970" s="1394">
        <f>IFERROR(VLOOKUP(M4970,#REF!,5,0),0)</f>
        <v>0</v>
      </c>
      <c r="V4970" s="1394">
        <f t="shared" si="1284"/>
        <v>0</v>
      </c>
      <c r="W4970" s="1394"/>
    </row>
    <row r="4971" spans="2:24" ht="30" customHeight="1">
      <c r="B4971" s="1519"/>
      <c r="C4971" s="1572" t="s">
        <v>261</v>
      </c>
      <c r="D4971" s="103"/>
      <c r="E4971" s="103"/>
      <c r="F4971" s="1413"/>
      <c r="G4971" s="1413"/>
      <c r="H4971" s="1413"/>
      <c r="I4971" s="1406"/>
      <c r="J4971" s="1397"/>
      <c r="K4971" s="1397"/>
      <c r="Q4971" s="1394">
        <f>IFERROR(VLOOKUP(M4971,#REF!,3,0),0)</f>
        <v>0</v>
      </c>
      <c r="R4971" s="1394">
        <f t="shared" si="1282"/>
        <v>0</v>
      </c>
      <c r="S4971" s="1394">
        <f>IFERROR(VLOOKUP(M4971,#REF!,6,0),0)</f>
        <v>0</v>
      </c>
      <c r="T4971" s="1394">
        <f t="shared" si="1283"/>
        <v>0</v>
      </c>
      <c r="U4971" s="1394">
        <f>IFERROR(VLOOKUP(M4971,#REF!,5,0),0)</f>
        <v>0</v>
      </c>
      <c r="V4971" s="1394">
        <f t="shared" si="1284"/>
        <v>0</v>
      </c>
      <c r="W4971" s="1394"/>
    </row>
    <row r="4972" spans="2:24" ht="30" customHeight="1">
      <c r="B4972" s="1519"/>
      <c r="C4972" s="1502" t="s">
        <v>5576</v>
      </c>
      <c r="D4972" s="103">
        <v>1</v>
      </c>
      <c r="E4972" s="103">
        <v>1</v>
      </c>
      <c r="F4972" s="1413">
        <v>0.9</v>
      </c>
      <c r="G4972" s="1413"/>
      <c r="H4972" s="1413">
        <f t="shared" si="1292"/>
        <v>2.0249999999999999</v>
      </c>
      <c r="I4972" s="1406">
        <f t="shared" ref="I4972" si="1293">PRODUCT(D4972:H4972)</f>
        <v>1.8225</v>
      </c>
      <c r="J4972" s="1397"/>
      <c r="K4972" s="1397"/>
      <c r="Q4972" s="1394">
        <f>IFERROR(VLOOKUP(M4972,#REF!,3,0),0)</f>
        <v>0</v>
      </c>
      <c r="R4972" s="1394">
        <f t="shared" si="1282"/>
        <v>0</v>
      </c>
      <c r="S4972" s="1394">
        <f>IFERROR(VLOOKUP(M4972,#REF!,6,0),0)</f>
        <v>0</v>
      </c>
      <c r="T4972" s="1394">
        <f t="shared" si="1283"/>
        <v>0</v>
      </c>
      <c r="U4972" s="1394">
        <f>IFERROR(VLOOKUP(M4972,#REF!,5,0),0)</f>
        <v>0</v>
      </c>
      <c r="V4972" s="1394">
        <f t="shared" si="1284"/>
        <v>0</v>
      </c>
      <c r="W4972" s="1394"/>
    </row>
    <row r="4973" spans="2:24" ht="30" customHeight="1">
      <c r="B4973" s="1519"/>
      <c r="C4973" s="1502"/>
      <c r="D4973" s="103"/>
      <c r="E4973" s="103"/>
      <c r="F4973" s="1413"/>
      <c r="G4973" s="1413"/>
      <c r="H4973" s="1413"/>
      <c r="I4973" s="1406"/>
      <c r="J4973" s="1397"/>
      <c r="K4973" s="1397"/>
      <c r="Q4973" s="1394">
        <f>IFERROR(VLOOKUP(M4973,#REF!,3,0),0)</f>
        <v>0</v>
      </c>
      <c r="R4973" s="1394">
        <f t="shared" si="1282"/>
        <v>0</v>
      </c>
      <c r="S4973" s="1394">
        <f>IFERROR(VLOOKUP(M4973,#REF!,6,0),0)</f>
        <v>0</v>
      </c>
      <c r="T4973" s="1394">
        <f t="shared" si="1283"/>
        <v>0</v>
      </c>
      <c r="U4973" s="1394">
        <f>IFERROR(VLOOKUP(M4973,#REF!,5,0),0)</f>
        <v>0</v>
      </c>
      <c r="V4973" s="1394">
        <f t="shared" si="1284"/>
        <v>0</v>
      </c>
      <c r="W4973" s="1394"/>
    </row>
    <row r="4974" spans="2:24" ht="30" customHeight="1">
      <c r="B4974" s="1519"/>
      <c r="C4974" s="1502"/>
      <c r="D4974" s="103"/>
      <c r="E4974" s="103"/>
      <c r="F4974" s="1413"/>
      <c r="G4974" s="1413"/>
      <c r="H4974" s="1414"/>
      <c r="I4974" s="1406">
        <v>0.04</v>
      </c>
      <c r="J4974" s="1397">
        <f>SUM(I4951:I4973)</f>
        <v>30.982500000000012</v>
      </c>
      <c r="K4974" s="1397"/>
      <c r="Q4974" s="1394">
        <f>IFERROR(VLOOKUP(M4974,#REF!,3,0),0)</f>
        <v>0</v>
      </c>
      <c r="R4974" s="1394">
        <f t="shared" ref="R4974:R5037" si="1294">ROUND(O4974,2)*ROUND(Q4974,2)</f>
        <v>0</v>
      </c>
      <c r="S4974" s="1394">
        <f>IFERROR(VLOOKUP(M4974,#REF!,6,0),0)</f>
        <v>0</v>
      </c>
      <c r="T4974" s="1394">
        <f t="shared" si="1283"/>
        <v>0</v>
      </c>
      <c r="U4974" s="1394">
        <f>IFERROR(VLOOKUP(M4974,#REF!,5,0),0)</f>
        <v>0</v>
      </c>
      <c r="V4974" s="1394">
        <f t="shared" si="1284"/>
        <v>0</v>
      </c>
      <c r="W4974" s="1394"/>
    </row>
    <row r="4975" spans="2:24" ht="30" customHeight="1">
      <c r="B4975" s="1519"/>
      <c r="C4975" s="1502"/>
      <c r="D4975" s="103"/>
      <c r="E4975" s="103"/>
      <c r="F4975" s="1413"/>
      <c r="G4975" s="1413"/>
      <c r="H4975" s="1414"/>
      <c r="I4975" s="1479">
        <f>SUM(I4951:I4974)</f>
        <v>31.022500000000012</v>
      </c>
      <c r="Q4975" s="1394">
        <f>IFERROR(VLOOKUP(M4975,#REF!,3,0),0)</f>
        <v>0</v>
      </c>
      <c r="R4975" s="1394">
        <f t="shared" si="1294"/>
        <v>0</v>
      </c>
      <c r="S4975" s="1394">
        <f>IFERROR(VLOOKUP(M4975,#REF!,6,0),0)</f>
        <v>0</v>
      </c>
      <c r="T4975" s="1394">
        <f t="shared" si="1283"/>
        <v>0</v>
      </c>
      <c r="U4975" s="1394">
        <f>IFERROR(VLOOKUP(M4975,#REF!,5,0),0)</f>
        <v>0</v>
      </c>
      <c r="V4975" s="1394">
        <f t="shared" si="1284"/>
        <v>0</v>
      </c>
      <c r="W4975" s="1394"/>
    </row>
    <row r="4976" spans="2:24" ht="30" customHeight="1">
      <c r="B4976" s="1519"/>
      <c r="C4976" s="1502"/>
      <c r="D4976" s="103"/>
      <c r="E4976" s="103"/>
      <c r="F4976" s="1413"/>
      <c r="G4976" s="1483" t="s">
        <v>11</v>
      </c>
      <c r="H4976" s="1478">
        <f>I4975</f>
        <v>31.022500000000012</v>
      </c>
      <c r="I4976" s="1479" t="s">
        <v>26</v>
      </c>
      <c r="M4976" s="1394" t="e">
        <f>A4948</f>
        <v>#REF!</v>
      </c>
      <c r="N4976" s="1394">
        <f>B4948</f>
        <v>0</v>
      </c>
      <c r="O4976" s="1394">
        <f>H4976</f>
        <v>31.022500000000012</v>
      </c>
      <c r="P4976" s="1394" t="str">
        <f>I4976</f>
        <v>Sqm</v>
      </c>
      <c r="Q4976" s="1394">
        <f>IFERROR(VLOOKUP(M4976,#REF!,3,0),0)</f>
        <v>0</v>
      </c>
      <c r="R4976" s="1394">
        <f t="shared" si="1294"/>
        <v>0</v>
      </c>
      <c r="S4976" s="1394">
        <f>IFERROR(VLOOKUP(M4976,#REF!,6,0),0)</f>
        <v>0</v>
      </c>
      <c r="T4976" s="1394">
        <f t="shared" si="1283"/>
        <v>0</v>
      </c>
      <c r="U4976" s="1394">
        <f>IFERROR(VLOOKUP(M4976,#REF!,5,0),0)</f>
        <v>0</v>
      </c>
      <c r="V4976" s="1394">
        <f t="shared" si="1284"/>
        <v>31.022500000000012</v>
      </c>
      <c r="W4976" s="1394"/>
      <c r="X4976" s="1394"/>
    </row>
    <row r="4977" spans="1:24" ht="30" customHeight="1">
      <c r="A4977" s="1397" t="e">
        <f>#REF!</f>
        <v>#REF!</v>
      </c>
      <c r="B4977" s="1519"/>
      <c r="C4977" s="1678" t="e">
        <f>VLOOKUP(A4977,#REF!,2,0)</f>
        <v>#REF!</v>
      </c>
      <c r="D4977" s="1678"/>
      <c r="E4977" s="1678"/>
      <c r="F4977" s="1678"/>
      <c r="G4977" s="1678"/>
      <c r="H4977" s="1678"/>
      <c r="I4977" s="1406"/>
      <c r="Q4977" s="1394">
        <f>IFERROR(VLOOKUP(M4977,#REF!,3,0),0)</f>
        <v>0</v>
      </c>
      <c r="R4977" s="1394">
        <f t="shared" si="1294"/>
        <v>0</v>
      </c>
      <c r="S4977" s="1394">
        <f>IFERROR(VLOOKUP(M4977,#REF!,6,0),0)</f>
        <v>0</v>
      </c>
      <c r="T4977" s="1394">
        <f t="shared" si="1283"/>
        <v>0</v>
      </c>
      <c r="U4977" s="1394">
        <f>IFERROR(VLOOKUP(M4977,#REF!,5,0),0)</f>
        <v>0</v>
      </c>
      <c r="V4977" s="1394">
        <f t="shared" si="1284"/>
        <v>0</v>
      </c>
      <c r="W4977" s="1394"/>
    </row>
    <row r="4978" spans="1:24" ht="30" customHeight="1">
      <c r="B4978" s="1519"/>
      <c r="C4978" s="1502" t="s">
        <v>5921</v>
      </c>
      <c r="D4978" s="103">
        <v>1</v>
      </c>
      <c r="E4978" s="103">
        <v>2</v>
      </c>
      <c r="F4978" s="1413">
        <f>0.75-0.1</f>
        <v>0.65</v>
      </c>
      <c r="G4978" s="1413"/>
      <c r="H4978" s="1413">
        <f>2.1-0.075</f>
        <v>2.0249999999999999</v>
      </c>
      <c r="I4978" s="1406">
        <f>PRODUCT(D4978:H4978)</f>
        <v>2.6324999999999998</v>
      </c>
      <c r="K4978" s="1397"/>
      <c r="L4978" s="1396">
        <f>H4978+0.3</f>
        <v>2.3249999999999997</v>
      </c>
      <c r="Q4978" s="1394">
        <f>IFERROR(VLOOKUP(M4978,#REF!,3,0),0)</f>
        <v>0</v>
      </c>
      <c r="R4978" s="1394">
        <f t="shared" si="1294"/>
        <v>0</v>
      </c>
      <c r="S4978" s="1394">
        <f>IFERROR(VLOOKUP(M4978,#REF!,6,0),0)</f>
        <v>0</v>
      </c>
      <c r="T4978" s="1394">
        <f t="shared" si="1283"/>
        <v>0</v>
      </c>
      <c r="U4978" s="1394">
        <f>IFERROR(VLOOKUP(M4978,#REF!,5,0),0)</f>
        <v>0</v>
      </c>
      <c r="V4978" s="1394">
        <f t="shared" si="1284"/>
        <v>0</v>
      </c>
      <c r="W4978" s="1394"/>
    </row>
    <row r="4979" spans="1:24" ht="30" customHeight="1">
      <c r="B4979" s="1519"/>
      <c r="C4979" s="1502"/>
      <c r="D4979" s="103"/>
      <c r="E4979" s="103"/>
      <c r="F4979" s="1413"/>
      <c r="G4979" s="1413"/>
      <c r="H4979" s="1414"/>
      <c r="I4979" s="1406">
        <v>0.08</v>
      </c>
      <c r="J4979" s="1397" t="e">
        <f>ROUNDUP(#REF!,0)</f>
        <v>#REF!</v>
      </c>
      <c r="K4979" s="1397"/>
      <c r="Q4979" s="1394">
        <f>IFERROR(VLOOKUP(M4979,#REF!,3,0),0)</f>
        <v>0</v>
      </c>
      <c r="R4979" s="1394">
        <f t="shared" si="1294"/>
        <v>0</v>
      </c>
      <c r="S4979" s="1394">
        <f>IFERROR(VLOOKUP(M4979,#REF!,6,0),0)</f>
        <v>0</v>
      </c>
      <c r="T4979" s="1394">
        <f t="shared" ref="T4979:T5040" si="1295">R4979-S4979</f>
        <v>0</v>
      </c>
      <c r="U4979" s="1394">
        <f>IFERROR(VLOOKUP(M4979,#REF!,5,0),0)</f>
        <v>0</v>
      </c>
      <c r="V4979" s="1394">
        <f t="shared" ref="V4979:V5040" si="1296">O4979-U4979</f>
        <v>0</v>
      </c>
      <c r="W4979" s="1394"/>
    </row>
    <row r="4980" spans="1:24" ht="30" customHeight="1">
      <c r="B4980" s="1519"/>
      <c r="C4980" s="1502"/>
      <c r="D4980" s="103"/>
      <c r="E4980" s="103"/>
      <c r="F4980" s="1413"/>
      <c r="G4980" s="1413"/>
      <c r="H4980" s="1414"/>
      <c r="I4980" s="1479">
        <f>SUM(I4978:I4979)</f>
        <v>2.7124999999999999</v>
      </c>
      <c r="Q4980" s="1394">
        <f>IFERROR(VLOOKUP(M4980,#REF!,3,0),0)</f>
        <v>0</v>
      </c>
      <c r="R4980" s="1394">
        <f t="shared" si="1294"/>
        <v>0</v>
      </c>
      <c r="S4980" s="1394">
        <f>IFERROR(VLOOKUP(M4980,#REF!,6,0),0)</f>
        <v>0</v>
      </c>
      <c r="T4980" s="1394">
        <f t="shared" si="1295"/>
        <v>0</v>
      </c>
      <c r="U4980" s="1394">
        <f>IFERROR(VLOOKUP(M4980,#REF!,5,0),0)</f>
        <v>0</v>
      </c>
      <c r="V4980" s="1394">
        <f t="shared" si="1296"/>
        <v>0</v>
      </c>
      <c r="W4980" s="1394"/>
    </row>
    <row r="4981" spans="1:24" ht="30" customHeight="1">
      <c r="B4981" s="1519"/>
      <c r="C4981" s="1502"/>
      <c r="D4981" s="103"/>
      <c r="E4981" s="103"/>
      <c r="F4981" s="1413"/>
      <c r="G4981" s="1483" t="s">
        <v>11</v>
      </c>
      <c r="H4981" s="1478">
        <f>I4980</f>
        <v>2.7124999999999999</v>
      </c>
      <c r="I4981" s="1479" t="s">
        <v>26</v>
      </c>
      <c r="M4981" s="1394" t="e">
        <f>A4977</f>
        <v>#REF!</v>
      </c>
      <c r="N4981" s="1394">
        <f>B4977</f>
        <v>0</v>
      </c>
      <c r="O4981" s="1394">
        <f>H4981</f>
        <v>2.7124999999999999</v>
      </c>
      <c r="P4981" s="1394" t="str">
        <f>I4981</f>
        <v>Sqm</v>
      </c>
      <c r="Q4981" s="1394">
        <f>IFERROR(VLOOKUP(M4981,#REF!,3,0),0)</f>
        <v>0</v>
      </c>
      <c r="R4981" s="1394">
        <f t="shared" si="1294"/>
        <v>0</v>
      </c>
      <c r="S4981" s="1394">
        <f>IFERROR(VLOOKUP(M4981,#REF!,6,0),0)</f>
        <v>0</v>
      </c>
      <c r="T4981" s="1394">
        <f t="shared" si="1295"/>
        <v>0</v>
      </c>
      <c r="U4981" s="1394">
        <f>IFERROR(VLOOKUP(M4981,#REF!,5,0),0)</f>
        <v>0</v>
      </c>
      <c r="V4981" s="1394">
        <f t="shared" si="1296"/>
        <v>2.7124999999999999</v>
      </c>
      <c r="W4981" s="1394"/>
      <c r="X4981" s="1394"/>
    </row>
    <row r="4982" spans="1:24" ht="30" customHeight="1">
      <c r="A4982" s="1397" t="e">
        <f>#REF!</f>
        <v>#REF!</v>
      </c>
      <c r="B4982" s="1519"/>
      <c r="C4982" s="1678" t="e">
        <f>VLOOKUP(A4982,#REF!,2,0)</f>
        <v>#REF!</v>
      </c>
      <c r="D4982" s="1678"/>
      <c r="E4982" s="1678"/>
      <c r="F4982" s="1678"/>
      <c r="G4982" s="1678"/>
      <c r="H4982" s="1678"/>
      <c r="I4982" s="1406"/>
      <c r="Q4982" s="1394">
        <f>IFERROR(VLOOKUP(M4982,#REF!,3,0),0)</f>
        <v>0</v>
      </c>
      <c r="R4982" s="1394">
        <f t="shared" si="1294"/>
        <v>0</v>
      </c>
      <c r="S4982" s="1394">
        <f>IFERROR(VLOOKUP(M4982,#REF!,6,0),0)</f>
        <v>0</v>
      </c>
      <c r="T4982" s="1394">
        <f t="shared" si="1295"/>
        <v>0</v>
      </c>
      <c r="U4982" s="1394">
        <f>IFERROR(VLOOKUP(M4982,#REF!,5,0),0)</f>
        <v>0</v>
      </c>
      <c r="V4982" s="1394">
        <f t="shared" si="1296"/>
        <v>0</v>
      </c>
      <c r="W4982" s="1394"/>
    </row>
    <row r="4983" spans="1:24" ht="30" customHeight="1">
      <c r="B4983" s="1519"/>
      <c r="C4983" s="1502" t="s">
        <v>5577</v>
      </c>
      <c r="D4983" s="103"/>
      <c r="E4983" s="103"/>
      <c r="F4983" s="1413"/>
      <c r="G4983" s="1413"/>
      <c r="H4983" s="1413"/>
      <c r="I4983" s="1406"/>
      <c r="Q4983" s="1394">
        <f>IFERROR(VLOOKUP(M4983,#REF!,3,0),0)</f>
        <v>0</v>
      </c>
      <c r="R4983" s="1394">
        <f t="shared" si="1294"/>
        <v>0</v>
      </c>
      <c r="S4983" s="1394">
        <f>IFERROR(VLOOKUP(M4983,#REF!,6,0),0)</f>
        <v>0</v>
      </c>
      <c r="T4983" s="1394">
        <f t="shared" si="1295"/>
        <v>0</v>
      </c>
      <c r="U4983" s="1394">
        <f>IFERROR(VLOOKUP(M4983,#REF!,5,0),0)</f>
        <v>0</v>
      </c>
      <c r="V4983" s="1394">
        <f t="shared" si="1296"/>
        <v>0</v>
      </c>
      <c r="W4983" s="1394"/>
    </row>
    <row r="4984" spans="1:24" ht="30" customHeight="1">
      <c r="B4984" s="1519"/>
      <c r="C4984" s="1502" t="s">
        <v>5751</v>
      </c>
      <c r="D4984" s="103">
        <v>1</v>
      </c>
      <c r="E4984" s="103">
        <v>1</v>
      </c>
      <c r="F4984" s="1413">
        <f>0.8</f>
        <v>0.8</v>
      </c>
      <c r="G4984" s="1413"/>
      <c r="H4984" s="1413">
        <f>2.1-0.075</f>
        <v>2.0249999999999999</v>
      </c>
      <c r="I4984" s="1406">
        <f>PRODUCT(D4984:H4984)</f>
        <v>1.62</v>
      </c>
      <c r="J4984" s="1397">
        <f>SUM(I4984)</f>
        <v>1.62</v>
      </c>
      <c r="K4984" s="1397"/>
      <c r="Q4984" s="1394">
        <f>IFERROR(VLOOKUP(M4984,#REF!,3,0),0)</f>
        <v>0</v>
      </c>
      <c r="R4984" s="1394">
        <f t="shared" si="1294"/>
        <v>0</v>
      </c>
      <c r="S4984" s="1394">
        <f>IFERROR(VLOOKUP(M4984,#REF!,6,0),0)</f>
        <v>0</v>
      </c>
      <c r="T4984" s="1394">
        <f t="shared" si="1295"/>
        <v>0</v>
      </c>
      <c r="U4984" s="1394">
        <f>IFERROR(VLOOKUP(M4984,#REF!,5,0),0)</f>
        <v>0</v>
      </c>
      <c r="V4984" s="1394">
        <f t="shared" si="1296"/>
        <v>0</v>
      </c>
      <c r="W4984" s="1394"/>
    </row>
    <row r="4985" spans="1:24" ht="30" customHeight="1">
      <c r="B4985" s="1519"/>
      <c r="C4985" s="1502"/>
      <c r="D4985" s="103"/>
      <c r="E4985" s="103"/>
      <c r="F4985" s="1413"/>
      <c r="G4985" s="1413"/>
      <c r="H4985" s="1414"/>
      <c r="I4985" s="1406">
        <v>0.03</v>
      </c>
      <c r="J4985" s="1397">
        <f>ROUNDUP(J4984,0)</f>
        <v>2</v>
      </c>
      <c r="K4985" s="1397"/>
      <c r="Q4985" s="1394">
        <f>IFERROR(VLOOKUP(M4985,#REF!,3,0),0)</f>
        <v>0</v>
      </c>
      <c r="R4985" s="1394">
        <f t="shared" si="1294"/>
        <v>0</v>
      </c>
      <c r="S4985" s="1394">
        <f>IFERROR(VLOOKUP(M4985,#REF!,6,0),0)</f>
        <v>0</v>
      </c>
      <c r="T4985" s="1394">
        <f t="shared" si="1295"/>
        <v>0</v>
      </c>
      <c r="U4985" s="1394">
        <f>IFERROR(VLOOKUP(M4985,#REF!,5,0),0)</f>
        <v>0</v>
      </c>
      <c r="V4985" s="1394">
        <f t="shared" si="1296"/>
        <v>0</v>
      </c>
      <c r="W4985" s="1394"/>
    </row>
    <row r="4986" spans="1:24" ht="30" customHeight="1">
      <c r="B4986" s="1519"/>
      <c r="C4986" s="1502"/>
      <c r="D4986" s="103"/>
      <c r="E4986" s="103"/>
      <c r="F4986" s="1413"/>
      <c r="G4986" s="1413"/>
      <c r="H4986" s="1414"/>
      <c r="I4986" s="1479">
        <f>SUM(I4984:I4985)</f>
        <v>1.6500000000000001</v>
      </c>
      <c r="Q4986" s="1394">
        <f>IFERROR(VLOOKUP(M4986,#REF!,3,0),0)</f>
        <v>0</v>
      </c>
      <c r="R4986" s="1394">
        <f t="shared" si="1294"/>
        <v>0</v>
      </c>
      <c r="S4986" s="1394">
        <f>IFERROR(VLOOKUP(M4986,#REF!,6,0),0)</f>
        <v>0</v>
      </c>
      <c r="T4986" s="1394">
        <f t="shared" si="1295"/>
        <v>0</v>
      </c>
      <c r="U4986" s="1394">
        <f>IFERROR(VLOOKUP(M4986,#REF!,5,0),0)</f>
        <v>0</v>
      </c>
      <c r="V4986" s="1394">
        <f t="shared" si="1296"/>
        <v>0</v>
      </c>
      <c r="W4986" s="1394"/>
    </row>
    <row r="4987" spans="1:24" ht="30" customHeight="1">
      <c r="B4987" s="1519"/>
      <c r="C4987" s="1502"/>
      <c r="D4987" s="103"/>
      <c r="E4987" s="103"/>
      <c r="F4987" s="1413"/>
      <c r="G4987" s="1483" t="s">
        <v>11</v>
      </c>
      <c r="H4987" s="1478">
        <f>I4986</f>
        <v>1.6500000000000001</v>
      </c>
      <c r="I4987" s="1479" t="s">
        <v>26</v>
      </c>
      <c r="M4987" s="1394" t="e">
        <f>A4982</f>
        <v>#REF!</v>
      </c>
      <c r="N4987" s="1394">
        <f>B4982</f>
        <v>0</v>
      </c>
      <c r="O4987" s="1394">
        <f>H4987</f>
        <v>1.6500000000000001</v>
      </c>
      <c r="P4987" s="1394" t="str">
        <f>I4987</f>
        <v>Sqm</v>
      </c>
      <c r="Q4987" s="1394">
        <f>IFERROR(VLOOKUP(M4987,#REF!,3,0),0)</f>
        <v>0</v>
      </c>
      <c r="R4987" s="1394">
        <f t="shared" si="1294"/>
        <v>0</v>
      </c>
      <c r="S4987" s="1394">
        <f>IFERROR(VLOOKUP(M4987,#REF!,6,0),0)</f>
        <v>0</v>
      </c>
      <c r="T4987" s="1394">
        <f t="shared" si="1295"/>
        <v>0</v>
      </c>
      <c r="U4987" s="1394">
        <f>IFERROR(VLOOKUP(M4987,#REF!,5,0),0)</f>
        <v>0</v>
      </c>
      <c r="V4987" s="1394">
        <f t="shared" si="1296"/>
        <v>1.6500000000000001</v>
      </c>
      <c r="W4987" s="1394"/>
      <c r="X4987" s="1394"/>
    </row>
    <row r="4988" spans="1:24" ht="30" customHeight="1">
      <c r="A4988" s="1397" t="e">
        <f>#REF!</f>
        <v>#REF!</v>
      </c>
      <c r="B4988" s="1519"/>
      <c r="C4988" s="1679" t="e">
        <f>VLOOKUP(A4988,#REF!,2,0)</f>
        <v>#REF!</v>
      </c>
      <c r="D4988" s="1679"/>
      <c r="E4988" s="1679"/>
      <c r="F4988" s="1679"/>
      <c r="G4988" s="1679"/>
      <c r="H4988" s="1679"/>
      <c r="I4988" s="1406"/>
      <c r="Q4988" s="1394">
        <f>IFERROR(VLOOKUP(M4988,#REF!,3,0),0)</f>
        <v>0</v>
      </c>
      <c r="R4988" s="1394">
        <f t="shared" si="1294"/>
        <v>0</v>
      </c>
      <c r="S4988" s="1394">
        <f>IFERROR(VLOOKUP(M4988,#REF!,6,0),0)</f>
        <v>0</v>
      </c>
      <c r="T4988" s="1394">
        <f t="shared" si="1295"/>
        <v>0</v>
      </c>
      <c r="U4988" s="1394">
        <f>IFERROR(VLOOKUP(M4988,#REF!,5,0),0)</f>
        <v>0</v>
      </c>
      <c r="V4988" s="1394">
        <f t="shared" si="1296"/>
        <v>0</v>
      </c>
      <c r="W4988" s="1394"/>
    </row>
    <row r="4989" spans="1:24" ht="30" customHeight="1">
      <c r="B4989" s="1519"/>
      <c r="C4989" s="1502" t="s">
        <v>189</v>
      </c>
      <c r="D4989" s="103">
        <v>1</v>
      </c>
      <c r="E4989" s="103">
        <v>1</v>
      </c>
      <c r="F4989" s="1413">
        <f>2*0.85</f>
        <v>1.7</v>
      </c>
      <c r="G4989" s="1413"/>
      <c r="H4989" s="1413">
        <v>2.3250000000000002</v>
      </c>
      <c r="I4989" s="1406">
        <f>PRODUCT(D4989:H4989)</f>
        <v>3.9525000000000001</v>
      </c>
      <c r="Q4989" s="1394">
        <f>IFERROR(VLOOKUP(M4989,#REF!,3,0),0)</f>
        <v>0</v>
      </c>
      <c r="R4989" s="1394">
        <f t="shared" si="1294"/>
        <v>0</v>
      </c>
      <c r="S4989" s="1394">
        <f>IFERROR(VLOOKUP(M4989,#REF!,6,0),0)</f>
        <v>0</v>
      </c>
      <c r="T4989" s="1394">
        <f t="shared" si="1295"/>
        <v>0</v>
      </c>
      <c r="U4989" s="1394">
        <f>IFERROR(VLOOKUP(M4989,#REF!,5,0),0)</f>
        <v>0</v>
      </c>
      <c r="V4989" s="1394">
        <f t="shared" si="1296"/>
        <v>0</v>
      </c>
      <c r="W4989" s="1394"/>
    </row>
    <row r="4990" spans="1:24" ht="30" customHeight="1">
      <c r="B4990" s="1519"/>
      <c r="C4990" s="1502"/>
      <c r="D4990" s="103"/>
      <c r="E4990" s="103"/>
      <c r="F4990" s="1413"/>
      <c r="G4990" s="1413"/>
      <c r="H4990" s="1414"/>
      <c r="I4990" s="1406"/>
      <c r="J4990" s="1397">
        <f>SUM(I4989)</f>
        <v>3.9525000000000001</v>
      </c>
      <c r="K4990" s="1397"/>
      <c r="Q4990" s="1394">
        <f>IFERROR(VLOOKUP(M4990,#REF!,3,0),0)</f>
        <v>0</v>
      </c>
      <c r="R4990" s="1394">
        <f t="shared" si="1294"/>
        <v>0</v>
      </c>
      <c r="S4990" s="1394">
        <f>IFERROR(VLOOKUP(M4990,#REF!,6,0),0)</f>
        <v>0</v>
      </c>
      <c r="T4990" s="1394">
        <f t="shared" si="1295"/>
        <v>0</v>
      </c>
      <c r="U4990" s="1394">
        <f>IFERROR(VLOOKUP(M4990,#REF!,5,0),0)</f>
        <v>0</v>
      </c>
      <c r="V4990" s="1394">
        <f t="shared" si="1296"/>
        <v>0</v>
      </c>
      <c r="W4990" s="1394"/>
    </row>
    <row r="4991" spans="1:24" ht="30" customHeight="1">
      <c r="B4991" s="1519"/>
      <c r="C4991" s="1502"/>
      <c r="D4991" s="103"/>
      <c r="E4991" s="103"/>
      <c r="F4991" s="1413"/>
      <c r="G4991" s="1413"/>
      <c r="H4991" s="1414"/>
      <c r="I4991" s="1406">
        <f>J4991-J4990</f>
        <v>4.7499999999999876E-2</v>
      </c>
      <c r="J4991" s="1397">
        <f>ROUNDUP(J4990,0)</f>
        <v>4</v>
      </c>
      <c r="K4991" s="1397"/>
      <c r="Q4991" s="1394">
        <f>IFERROR(VLOOKUP(M4991,#REF!,3,0),0)</f>
        <v>0</v>
      </c>
      <c r="R4991" s="1394">
        <f t="shared" si="1294"/>
        <v>0</v>
      </c>
      <c r="S4991" s="1394">
        <f>IFERROR(VLOOKUP(M4991,#REF!,6,0),0)</f>
        <v>0</v>
      </c>
      <c r="T4991" s="1394">
        <f t="shared" si="1295"/>
        <v>0</v>
      </c>
      <c r="U4991" s="1394">
        <f>IFERROR(VLOOKUP(M4991,#REF!,5,0),0)</f>
        <v>0</v>
      </c>
      <c r="V4991" s="1394">
        <f t="shared" si="1296"/>
        <v>0</v>
      </c>
      <c r="W4991" s="1394"/>
    </row>
    <row r="4992" spans="1:24" ht="30" customHeight="1">
      <c r="B4992" s="1519"/>
      <c r="C4992" s="1502"/>
      <c r="D4992" s="103"/>
      <c r="E4992" s="103"/>
      <c r="F4992" s="1413"/>
      <c r="G4992" s="1413"/>
      <c r="H4992" s="1414"/>
      <c r="I4992" s="1479">
        <f>SUM(I4989:I4991)</f>
        <v>4</v>
      </c>
      <c r="Q4992" s="1394">
        <f>IFERROR(VLOOKUP(M4992,#REF!,3,0),0)</f>
        <v>0</v>
      </c>
      <c r="R4992" s="1394">
        <f t="shared" si="1294"/>
        <v>0</v>
      </c>
      <c r="S4992" s="1394">
        <f>IFERROR(VLOOKUP(M4992,#REF!,6,0),0)</f>
        <v>0</v>
      </c>
      <c r="T4992" s="1394">
        <f t="shared" si="1295"/>
        <v>0</v>
      </c>
      <c r="U4992" s="1394">
        <f>IFERROR(VLOOKUP(M4992,#REF!,5,0),0)</f>
        <v>0</v>
      </c>
      <c r="V4992" s="1394">
        <f t="shared" si="1296"/>
        <v>0</v>
      </c>
      <c r="W4992" s="1394"/>
    </row>
    <row r="4993" spans="1:24" ht="30" customHeight="1">
      <c r="B4993" s="1519"/>
      <c r="C4993" s="1502"/>
      <c r="D4993" s="103"/>
      <c r="E4993" s="103"/>
      <c r="F4993" s="1413"/>
      <c r="G4993" s="1483" t="s">
        <v>11</v>
      </c>
      <c r="H4993" s="1478">
        <f>I4992</f>
        <v>4</v>
      </c>
      <c r="I4993" s="1479" t="s">
        <v>26</v>
      </c>
      <c r="M4993" s="1394" t="e">
        <f>A4988</f>
        <v>#REF!</v>
      </c>
      <c r="N4993" s="1394">
        <f>B4988</f>
        <v>0</v>
      </c>
      <c r="O4993" s="1394">
        <f>H4993</f>
        <v>4</v>
      </c>
      <c r="P4993" s="1394" t="str">
        <f>I4993</f>
        <v>Sqm</v>
      </c>
      <c r="Q4993" s="1394">
        <f>IFERROR(VLOOKUP(M4993,#REF!,3,0),0)</f>
        <v>0</v>
      </c>
      <c r="R4993" s="1394">
        <f t="shared" si="1294"/>
        <v>0</v>
      </c>
      <c r="S4993" s="1394">
        <f>IFERROR(VLOOKUP(M4993,#REF!,6,0),0)</f>
        <v>0</v>
      </c>
      <c r="T4993" s="1394">
        <f t="shared" si="1295"/>
        <v>0</v>
      </c>
      <c r="U4993" s="1394">
        <f>IFERROR(VLOOKUP(M4993,#REF!,5,0),0)</f>
        <v>0</v>
      </c>
      <c r="V4993" s="1394">
        <f t="shared" si="1296"/>
        <v>4</v>
      </c>
      <c r="W4993" s="1394"/>
      <c r="X4993" s="1394"/>
    </row>
    <row r="4994" spans="1:24" ht="52.5" customHeight="1">
      <c r="A4994" s="1397" t="e">
        <f>#REF!</f>
        <v>#REF!</v>
      </c>
      <c r="B4994" s="1519"/>
      <c r="C4994" s="1679" t="e">
        <f>VLOOKUP(A4994,#REF!,2,0)</f>
        <v>#REF!</v>
      </c>
      <c r="D4994" s="1679"/>
      <c r="E4994" s="1679"/>
      <c r="F4994" s="1679"/>
      <c r="G4994" s="1679"/>
      <c r="H4994" s="1679"/>
      <c r="I4994" s="1406"/>
      <c r="Q4994" s="1394">
        <f>IFERROR(VLOOKUP(M4994,#REF!,3,0),0)</f>
        <v>0</v>
      </c>
      <c r="R4994" s="1394">
        <f t="shared" si="1294"/>
        <v>0</v>
      </c>
      <c r="S4994" s="1394">
        <f>IFERROR(VLOOKUP(M4994,#REF!,6,0),0)</f>
        <v>0</v>
      </c>
      <c r="T4994" s="1394">
        <f t="shared" si="1295"/>
        <v>0</v>
      </c>
      <c r="U4994" s="1394">
        <f>IFERROR(VLOOKUP(M4994,#REF!,5,0),0)</f>
        <v>0</v>
      </c>
      <c r="V4994" s="1394">
        <f t="shared" si="1296"/>
        <v>0</v>
      </c>
      <c r="W4994" s="1394"/>
    </row>
    <row r="4995" spans="1:24" ht="27.75" customHeight="1">
      <c r="B4995" s="1519"/>
      <c r="C4995" s="1502" t="s">
        <v>5507</v>
      </c>
      <c r="D4995" s="103">
        <v>1</v>
      </c>
      <c r="E4995" s="103">
        <v>4</v>
      </c>
      <c r="F4995" s="1413">
        <f>0.85*2</f>
        <v>1.7</v>
      </c>
      <c r="G4995" s="1413"/>
      <c r="H4995" s="1413">
        <f>2.1-0.075</f>
        <v>2.0249999999999999</v>
      </c>
      <c r="I4995" s="1406">
        <f>PRODUCT(D4995:H4995)</f>
        <v>13.77</v>
      </c>
      <c r="J4995" s="1397">
        <f>SUM(I4995)</f>
        <v>13.77</v>
      </c>
      <c r="Q4995" s="1394">
        <f>IFERROR(VLOOKUP(M4995,#REF!,3,0),0)</f>
        <v>0</v>
      </c>
      <c r="R4995" s="1394">
        <f t="shared" si="1294"/>
        <v>0</v>
      </c>
      <c r="S4995" s="1394">
        <f>IFERROR(VLOOKUP(M4995,#REF!,6,0),0)</f>
        <v>0</v>
      </c>
      <c r="T4995" s="1394">
        <f t="shared" si="1295"/>
        <v>0</v>
      </c>
      <c r="U4995" s="1394">
        <f>IFERROR(VLOOKUP(M4995,#REF!,5,0),0)</f>
        <v>0</v>
      </c>
      <c r="V4995" s="1394">
        <f t="shared" si="1296"/>
        <v>0</v>
      </c>
      <c r="W4995" s="1394"/>
    </row>
    <row r="4996" spans="1:24" ht="30" customHeight="1">
      <c r="B4996" s="1519"/>
      <c r="C4996" s="1502"/>
      <c r="D4996" s="103"/>
      <c r="E4996" s="103"/>
      <c r="F4996" s="1413"/>
      <c r="G4996" s="1413"/>
      <c r="H4996" s="1414"/>
      <c r="I4996" s="1406">
        <f>J4996-J4995</f>
        <v>0.23000000000000043</v>
      </c>
      <c r="J4996" s="1397">
        <f>ROUNDUP(J4995,0)</f>
        <v>14</v>
      </c>
      <c r="K4996" s="1397"/>
      <c r="Q4996" s="1394">
        <f>IFERROR(VLOOKUP(M4996,#REF!,3,0),0)</f>
        <v>0</v>
      </c>
      <c r="R4996" s="1394">
        <f t="shared" si="1294"/>
        <v>0</v>
      </c>
      <c r="S4996" s="1394">
        <f>IFERROR(VLOOKUP(M4996,#REF!,6,0),0)</f>
        <v>0</v>
      </c>
      <c r="T4996" s="1394">
        <f t="shared" si="1295"/>
        <v>0</v>
      </c>
      <c r="U4996" s="1394">
        <f>IFERROR(VLOOKUP(M4996,#REF!,5,0),0)</f>
        <v>0</v>
      </c>
      <c r="V4996" s="1394">
        <f t="shared" si="1296"/>
        <v>0</v>
      </c>
      <c r="W4996" s="1394"/>
    </row>
    <row r="4997" spans="1:24" ht="30" customHeight="1">
      <c r="B4997" s="1519"/>
      <c r="C4997" s="1502"/>
      <c r="D4997" s="103"/>
      <c r="E4997" s="103"/>
      <c r="F4997" s="1413"/>
      <c r="G4997" s="1413"/>
      <c r="H4997" s="1414"/>
      <c r="I4997" s="1479">
        <f>SUM(I4995:I4996)</f>
        <v>14</v>
      </c>
      <c r="Q4997" s="1394">
        <f>IFERROR(VLOOKUP(M4997,#REF!,3,0),0)</f>
        <v>0</v>
      </c>
      <c r="R4997" s="1394">
        <f t="shared" si="1294"/>
        <v>0</v>
      </c>
      <c r="S4997" s="1394">
        <f>IFERROR(VLOOKUP(M4997,#REF!,6,0),0)</f>
        <v>0</v>
      </c>
      <c r="T4997" s="1394">
        <f t="shared" si="1295"/>
        <v>0</v>
      </c>
      <c r="U4997" s="1394">
        <f>IFERROR(VLOOKUP(M4997,#REF!,5,0),0)</f>
        <v>0</v>
      </c>
      <c r="V4997" s="1394">
        <f t="shared" si="1296"/>
        <v>0</v>
      </c>
      <c r="W4997" s="1394"/>
    </row>
    <row r="4998" spans="1:24" ht="30" customHeight="1">
      <c r="B4998" s="1519"/>
      <c r="C4998" s="1502"/>
      <c r="D4998" s="103"/>
      <c r="E4998" s="103"/>
      <c r="F4998" s="1413"/>
      <c r="G4998" s="1483" t="s">
        <v>11</v>
      </c>
      <c r="H4998" s="1478">
        <f>I4997</f>
        <v>14</v>
      </c>
      <c r="I4998" s="1479" t="s">
        <v>26</v>
      </c>
      <c r="M4998" s="1394" t="e">
        <f>A4994</f>
        <v>#REF!</v>
      </c>
      <c r="N4998" s="1394">
        <f>B4994</f>
        <v>0</v>
      </c>
      <c r="O4998" s="1394">
        <f>H4998</f>
        <v>14</v>
      </c>
      <c r="P4998" s="1394" t="str">
        <f>I4998</f>
        <v>Sqm</v>
      </c>
      <c r="Q4998" s="1394">
        <f>IFERROR(VLOOKUP(M4998,#REF!,3,0),0)</f>
        <v>0</v>
      </c>
      <c r="R4998" s="1394">
        <f t="shared" si="1294"/>
        <v>0</v>
      </c>
      <c r="S4998" s="1394">
        <f>IFERROR(VLOOKUP(M4998,#REF!,6,0),0)</f>
        <v>0</v>
      </c>
      <c r="T4998" s="1394">
        <f t="shared" si="1295"/>
        <v>0</v>
      </c>
      <c r="U4998" s="1394">
        <f>IFERROR(VLOOKUP(M4998,#REF!,5,0),0)</f>
        <v>0</v>
      </c>
      <c r="V4998" s="1394">
        <f t="shared" si="1296"/>
        <v>14</v>
      </c>
      <c r="W4998" s="1394"/>
      <c r="X4998" s="1394"/>
    </row>
    <row r="4999" spans="1:24" ht="333" customHeight="1">
      <c r="A4999" s="1397" t="e">
        <f>#REF!</f>
        <v>#REF!</v>
      </c>
      <c r="B4999" s="1519"/>
      <c r="C4999" s="1679" t="e">
        <f>VLOOKUP(A4999,#REF!,2,0)</f>
        <v>#REF!</v>
      </c>
      <c r="D4999" s="1679"/>
      <c r="E4999" s="1679"/>
      <c r="F4999" s="1679"/>
      <c r="G4999" s="1679"/>
      <c r="H4999" s="1679"/>
      <c r="I4999" s="1406"/>
      <c r="Q4999" s="1394">
        <f>IFERROR(VLOOKUP(M4999,#REF!,3,0),0)</f>
        <v>0</v>
      </c>
      <c r="R4999" s="1394">
        <f t="shared" si="1294"/>
        <v>0</v>
      </c>
      <c r="S4999" s="1394">
        <f>IFERROR(VLOOKUP(M4999,#REF!,6,0),0)</f>
        <v>0</v>
      </c>
      <c r="T4999" s="1394">
        <f t="shared" si="1295"/>
        <v>0</v>
      </c>
      <c r="U4999" s="1394">
        <f>IFERROR(VLOOKUP(M4999,#REF!,5,0),0)</f>
        <v>0</v>
      </c>
      <c r="V4999" s="1394">
        <f t="shared" si="1296"/>
        <v>0</v>
      </c>
      <c r="W4999" s="1394"/>
    </row>
    <row r="5000" spans="1:24" ht="30" customHeight="1">
      <c r="B5000" s="1519"/>
      <c r="C5000" s="1502"/>
      <c r="D5000" s="103"/>
      <c r="E5000" s="103"/>
      <c r="F5000" s="1413"/>
      <c r="G5000" s="1413"/>
      <c r="H5000" s="1414"/>
      <c r="I5000" s="1406">
        <f>PRODUCT(D5000:H5000)</f>
        <v>0</v>
      </c>
      <c r="J5000" s="1397">
        <f>SUM(I5000)</f>
        <v>0</v>
      </c>
      <c r="K5000" s="1397"/>
      <c r="L5000" s="1396">
        <f>H5000+0.3</f>
        <v>0.3</v>
      </c>
      <c r="Q5000" s="1394">
        <f>IFERROR(VLOOKUP(M5000,#REF!,3,0),0)</f>
        <v>0</v>
      </c>
      <c r="R5000" s="1394">
        <f t="shared" si="1294"/>
        <v>0</v>
      </c>
      <c r="S5000" s="1394">
        <f>IFERROR(VLOOKUP(M5000,#REF!,6,0),0)</f>
        <v>0</v>
      </c>
      <c r="T5000" s="1394">
        <f t="shared" si="1295"/>
        <v>0</v>
      </c>
      <c r="U5000" s="1394">
        <f>IFERROR(VLOOKUP(M5000,#REF!,5,0),0)</f>
        <v>0</v>
      </c>
      <c r="V5000" s="1394">
        <f t="shared" si="1296"/>
        <v>0</v>
      </c>
      <c r="W5000" s="1394"/>
    </row>
    <row r="5001" spans="1:24" ht="30" customHeight="1">
      <c r="B5001" s="1519"/>
      <c r="C5001" s="1572" t="s">
        <v>258</v>
      </c>
      <c r="D5001" s="103"/>
      <c r="E5001" s="1573"/>
      <c r="F5001" s="1413"/>
      <c r="G5001" s="1413"/>
      <c r="H5001" s="1414"/>
      <c r="I5001" s="1406"/>
      <c r="J5001" s="1397"/>
      <c r="K5001" s="1397"/>
      <c r="L5001" s="1396"/>
      <c r="Q5001" s="1394">
        <f>IFERROR(VLOOKUP(M5001,#REF!,3,0),0)</f>
        <v>0</v>
      </c>
      <c r="R5001" s="1394">
        <f t="shared" si="1294"/>
        <v>0</v>
      </c>
      <c r="S5001" s="1394">
        <f>IFERROR(VLOOKUP(M5001,#REF!,6,0),0)</f>
        <v>0</v>
      </c>
      <c r="T5001" s="1394">
        <f t="shared" si="1295"/>
        <v>0</v>
      </c>
      <c r="U5001" s="1394">
        <f>IFERROR(VLOOKUP(M5001,#REF!,5,0),0)</f>
        <v>0</v>
      </c>
      <c r="V5001" s="1394">
        <f t="shared" si="1296"/>
        <v>0</v>
      </c>
      <c r="W5001" s="1394"/>
    </row>
    <row r="5002" spans="1:24" ht="30" customHeight="1">
      <c r="B5002" s="1519"/>
      <c r="C5002" s="1502" t="s">
        <v>5545</v>
      </c>
      <c r="D5002" s="103">
        <v>1</v>
      </c>
      <c r="E5002" s="1574">
        <v>1</v>
      </c>
      <c r="F5002" s="1413">
        <v>0.75</v>
      </c>
      <c r="G5002" s="1413"/>
      <c r="H5002" s="1414">
        <v>2.1</v>
      </c>
      <c r="I5002" s="1406">
        <f>PRODUCT(D5002:H5002)</f>
        <v>1.5750000000000002</v>
      </c>
      <c r="J5002" s="1397"/>
      <c r="K5002" s="1397"/>
      <c r="L5002" s="1396"/>
      <c r="Q5002" s="1394">
        <f>IFERROR(VLOOKUP(M5002,#REF!,3,0),0)</f>
        <v>0</v>
      </c>
      <c r="R5002" s="1394">
        <f t="shared" si="1294"/>
        <v>0</v>
      </c>
      <c r="S5002" s="1394">
        <f>IFERROR(VLOOKUP(M5002,#REF!,6,0),0)</f>
        <v>0</v>
      </c>
      <c r="T5002" s="1394">
        <f t="shared" si="1295"/>
        <v>0</v>
      </c>
      <c r="U5002" s="1394">
        <f>IFERROR(VLOOKUP(M5002,#REF!,5,0),0)</f>
        <v>0</v>
      </c>
      <c r="V5002" s="1394">
        <f t="shared" si="1296"/>
        <v>0</v>
      </c>
      <c r="W5002" s="1394"/>
    </row>
    <row r="5003" spans="1:24" ht="30" customHeight="1">
      <c r="B5003" s="1519"/>
      <c r="C5003" s="1572" t="s">
        <v>259</v>
      </c>
      <c r="D5003" s="103"/>
      <c r="E5003" s="1573" t="s">
        <v>575</v>
      </c>
      <c r="F5003" s="1413"/>
      <c r="G5003" s="1413"/>
      <c r="H5003" s="1414"/>
      <c r="I5003" s="1406"/>
      <c r="J5003" s="1397"/>
      <c r="K5003" s="1397"/>
      <c r="L5003" s="1396"/>
      <c r="Q5003" s="1394">
        <f>IFERROR(VLOOKUP(M5003,#REF!,3,0),0)</f>
        <v>0</v>
      </c>
      <c r="R5003" s="1394">
        <f t="shared" si="1294"/>
        <v>0</v>
      </c>
      <c r="S5003" s="1394">
        <f>IFERROR(VLOOKUP(M5003,#REF!,6,0),0)</f>
        <v>0</v>
      </c>
      <c r="T5003" s="1394">
        <f t="shared" si="1295"/>
        <v>0</v>
      </c>
      <c r="U5003" s="1394">
        <f>IFERROR(VLOOKUP(M5003,#REF!,5,0),0)</f>
        <v>0</v>
      </c>
      <c r="V5003" s="1394">
        <f t="shared" si="1296"/>
        <v>0</v>
      </c>
      <c r="W5003" s="1394"/>
    </row>
    <row r="5004" spans="1:24" ht="30" customHeight="1">
      <c r="B5004" s="1519"/>
      <c r="C5004" s="1502" t="s">
        <v>5551</v>
      </c>
      <c r="D5004" s="103">
        <v>1</v>
      </c>
      <c r="E5004" s="1574">
        <v>1</v>
      </c>
      <c r="F5004" s="1413">
        <v>0.75</v>
      </c>
      <c r="G5004" s="1413"/>
      <c r="H5004" s="1414">
        <v>2.1</v>
      </c>
      <c r="I5004" s="1406">
        <f t="shared" ref="I5004:I5008" si="1297">PRODUCT(D5004:H5004)</f>
        <v>1.5750000000000002</v>
      </c>
      <c r="J5004" s="1397"/>
      <c r="K5004" s="1397"/>
      <c r="L5004" s="1396"/>
      <c r="Q5004" s="1394">
        <f>IFERROR(VLOOKUP(M5004,#REF!,3,0),0)</f>
        <v>0</v>
      </c>
      <c r="R5004" s="1394">
        <f t="shared" si="1294"/>
        <v>0</v>
      </c>
      <c r="S5004" s="1394">
        <f>IFERROR(VLOOKUP(M5004,#REF!,6,0),0)</f>
        <v>0</v>
      </c>
      <c r="T5004" s="1394">
        <f t="shared" si="1295"/>
        <v>0</v>
      </c>
      <c r="U5004" s="1394">
        <f>IFERROR(VLOOKUP(M5004,#REF!,5,0),0)</f>
        <v>0</v>
      </c>
      <c r="V5004" s="1394">
        <f t="shared" si="1296"/>
        <v>0</v>
      </c>
      <c r="W5004" s="1394"/>
    </row>
    <row r="5005" spans="1:24" ht="30" customHeight="1">
      <c r="B5005" s="1519"/>
      <c r="C5005" s="1502" t="s">
        <v>5553</v>
      </c>
      <c r="D5005" s="103">
        <v>1</v>
      </c>
      <c r="E5005" s="1574">
        <v>1</v>
      </c>
      <c r="F5005" s="1413">
        <v>0.75</v>
      </c>
      <c r="G5005" s="1413"/>
      <c r="H5005" s="1414">
        <v>2.1</v>
      </c>
      <c r="I5005" s="1406">
        <f t="shared" si="1297"/>
        <v>1.5750000000000002</v>
      </c>
      <c r="J5005" s="1397"/>
      <c r="K5005" s="1397"/>
      <c r="L5005" s="1396"/>
      <c r="Q5005" s="1394">
        <f>IFERROR(VLOOKUP(M5005,#REF!,3,0),0)</f>
        <v>0</v>
      </c>
      <c r="R5005" s="1394">
        <f t="shared" si="1294"/>
        <v>0</v>
      </c>
      <c r="S5005" s="1394">
        <f>IFERROR(VLOOKUP(M5005,#REF!,6,0),0)</f>
        <v>0</v>
      </c>
      <c r="T5005" s="1394">
        <f t="shared" si="1295"/>
        <v>0</v>
      </c>
      <c r="U5005" s="1394">
        <f>IFERROR(VLOOKUP(M5005,#REF!,5,0),0)</f>
        <v>0</v>
      </c>
      <c r="V5005" s="1394">
        <f t="shared" si="1296"/>
        <v>0</v>
      </c>
      <c r="W5005" s="1394"/>
    </row>
    <row r="5006" spans="1:24" ht="30" customHeight="1">
      <c r="B5006" s="1519"/>
      <c r="C5006" s="1502" t="s">
        <v>5923</v>
      </c>
      <c r="D5006" s="103">
        <v>1</v>
      </c>
      <c r="E5006" s="1574">
        <v>2</v>
      </c>
      <c r="F5006" s="1413">
        <v>0.75</v>
      </c>
      <c r="G5006" s="1413"/>
      <c r="H5006" s="1414">
        <v>1.35</v>
      </c>
      <c r="I5006" s="1406">
        <f t="shared" ref="I5006" si="1298">PRODUCT(D5006:H5006)</f>
        <v>2.0250000000000004</v>
      </c>
      <c r="J5006" s="1397"/>
      <c r="K5006" s="1397"/>
      <c r="L5006" s="1396"/>
      <c r="Q5006" s="1394">
        <f>IFERROR(VLOOKUP(M5006,#REF!,3,0),0)</f>
        <v>0</v>
      </c>
      <c r="R5006" s="1394">
        <f t="shared" si="1294"/>
        <v>0</v>
      </c>
      <c r="S5006" s="1394">
        <f>IFERROR(VLOOKUP(M5006,#REF!,6,0),0)</f>
        <v>0</v>
      </c>
      <c r="T5006" s="1394">
        <f t="shared" si="1295"/>
        <v>0</v>
      </c>
      <c r="U5006" s="1394">
        <f>IFERROR(VLOOKUP(M5006,#REF!,5,0),0)</f>
        <v>0</v>
      </c>
      <c r="V5006" s="1394">
        <f t="shared" si="1296"/>
        <v>0</v>
      </c>
      <c r="W5006" s="1394"/>
    </row>
    <row r="5007" spans="1:24" ht="30" customHeight="1">
      <c r="B5007" s="1519"/>
      <c r="C5007" s="1502" t="s">
        <v>560</v>
      </c>
      <c r="D5007" s="103">
        <v>1</v>
      </c>
      <c r="E5007" s="1574">
        <v>1</v>
      </c>
      <c r="F5007" s="1413">
        <v>0.75</v>
      </c>
      <c r="G5007" s="1413"/>
      <c r="H5007" s="1414">
        <v>2.1</v>
      </c>
      <c r="I5007" s="1406">
        <f t="shared" si="1297"/>
        <v>1.5750000000000002</v>
      </c>
      <c r="J5007" s="1397"/>
      <c r="K5007" s="1397"/>
      <c r="L5007" s="1396"/>
      <c r="Q5007" s="1394">
        <f>IFERROR(VLOOKUP(M5007,#REF!,3,0),0)</f>
        <v>0</v>
      </c>
      <c r="R5007" s="1394">
        <f t="shared" si="1294"/>
        <v>0</v>
      </c>
      <c r="S5007" s="1394">
        <f>IFERROR(VLOOKUP(M5007,#REF!,6,0),0)</f>
        <v>0</v>
      </c>
      <c r="T5007" s="1394">
        <f t="shared" si="1295"/>
        <v>0</v>
      </c>
      <c r="U5007" s="1394">
        <f>IFERROR(VLOOKUP(M5007,#REF!,5,0),0)</f>
        <v>0</v>
      </c>
      <c r="V5007" s="1394">
        <f t="shared" si="1296"/>
        <v>0</v>
      </c>
      <c r="W5007" s="1394"/>
    </row>
    <row r="5008" spans="1:24" ht="30" customHeight="1">
      <c r="B5008" s="1519"/>
      <c r="C5008" s="1502" t="s">
        <v>560</v>
      </c>
      <c r="D5008" s="103">
        <v>1</v>
      </c>
      <c r="E5008" s="1574">
        <v>1</v>
      </c>
      <c r="F5008" s="1413">
        <v>0.75</v>
      </c>
      <c r="G5008" s="1413"/>
      <c r="H5008" s="1414">
        <v>2.1</v>
      </c>
      <c r="I5008" s="1406">
        <f t="shared" si="1297"/>
        <v>1.5750000000000002</v>
      </c>
      <c r="J5008" s="1397"/>
      <c r="K5008" s="1397"/>
      <c r="L5008" s="1396"/>
      <c r="Q5008" s="1394">
        <f>IFERROR(VLOOKUP(M5008,#REF!,3,0),0)</f>
        <v>0</v>
      </c>
      <c r="R5008" s="1394">
        <f t="shared" si="1294"/>
        <v>0</v>
      </c>
      <c r="S5008" s="1394">
        <f>IFERROR(VLOOKUP(M5008,#REF!,6,0),0)</f>
        <v>0</v>
      </c>
      <c r="T5008" s="1394">
        <f t="shared" si="1295"/>
        <v>0</v>
      </c>
      <c r="U5008" s="1394">
        <f>IFERROR(VLOOKUP(M5008,#REF!,5,0),0)</f>
        <v>0</v>
      </c>
      <c r="V5008" s="1394">
        <f t="shared" si="1296"/>
        <v>0</v>
      </c>
      <c r="W5008" s="1394"/>
    </row>
    <row r="5009" spans="1:24" ht="30" customHeight="1">
      <c r="B5009" s="1519"/>
      <c r="C5009" s="1572" t="s">
        <v>260</v>
      </c>
      <c r="D5009" s="103"/>
      <c r="E5009" s="1573" t="s">
        <v>575</v>
      </c>
      <c r="F5009" s="1413"/>
      <c r="G5009" s="1413"/>
      <c r="H5009" s="1414"/>
      <c r="I5009" s="1406"/>
      <c r="J5009" s="1397"/>
      <c r="K5009" s="1397"/>
      <c r="L5009" s="1396"/>
      <c r="Q5009" s="1394">
        <f>IFERROR(VLOOKUP(M5009,#REF!,3,0),0)</f>
        <v>0</v>
      </c>
      <c r="R5009" s="1394">
        <f t="shared" si="1294"/>
        <v>0</v>
      </c>
      <c r="S5009" s="1394">
        <f>IFERROR(VLOOKUP(M5009,#REF!,6,0),0)</f>
        <v>0</v>
      </c>
      <c r="T5009" s="1394">
        <f t="shared" si="1295"/>
        <v>0</v>
      </c>
      <c r="U5009" s="1394">
        <f>IFERROR(VLOOKUP(M5009,#REF!,5,0),0)</f>
        <v>0</v>
      </c>
      <c r="V5009" s="1394">
        <f t="shared" si="1296"/>
        <v>0</v>
      </c>
      <c r="W5009" s="1394"/>
    </row>
    <row r="5010" spans="1:24" ht="30" customHeight="1">
      <c r="B5010" s="1519"/>
      <c r="C5010" s="1502" t="s">
        <v>5563</v>
      </c>
      <c r="D5010" s="103">
        <v>1</v>
      </c>
      <c r="E5010" s="1574">
        <v>1</v>
      </c>
      <c r="F5010" s="1413">
        <v>0.75</v>
      </c>
      <c r="G5010" s="1413"/>
      <c r="H5010" s="1414">
        <v>2.1</v>
      </c>
      <c r="I5010" s="1406">
        <f t="shared" ref="I5010:I5014" si="1299">PRODUCT(D5010:H5010)</f>
        <v>1.5750000000000002</v>
      </c>
      <c r="J5010" s="1397"/>
      <c r="K5010" s="1397"/>
      <c r="L5010" s="1396"/>
      <c r="Q5010" s="1394">
        <f>IFERROR(VLOOKUP(M5010,#REF!,3,0),0)</f>
        <v>0</v>
      </c>
      <c r="R5010" s="1394">
        <f t="shared" si="1294"/>
        <v>0</v>
      </c>
      <c r="S5010" s="1394">
        <f>IFERROR(VLOOKUP(M5010,#REF!,6,0),0)</f>
        <v>0</v>
      </c>
      <c r="T5010" s="1394">
        <f t="shared" si="1295"/>
        <v>0</v>
      </c>
      <c r="U5010" s="1394">
        <f>IFERROR(VLOOKUP(M5010,#REF!,5,0),0)</f>
        <v>0</v>
      </c>
      <c r="V5010" s="1394">
        <f t="shared" si="1296"/>
        <v>0</v>
      </c>
      <c r="W5010" s="1394"/>
    </row>
    <row r="5011" spans="1:24" ht="30" customHeight="1">
      <c r="B5011" s="1519"/>
      <c r="C5011" s="1502" t="s">
        <v>5565</v>
      </c>
      <c r="D5011" s="103">
        <v>1</v>
      </c>
      <c r="E5011" s="1574">
        <v>1</v>
      </c>
      <c r="F5011" s="1413">
        <v>0.75</v>
      </c>
      <c r="G5011" s="1413"/>
      <c r="H5011" s="1414">
        <v>2.1</v>
      </c>
      <c r="I5011" s="1406">
        <f t="shared" si="1299"/>
        <v>1.5750000000000002</v>
      </c>
      <c r="J5011" s="1397"/>
      <c r="K5011" s="1397"/>
      <c r="L5011" s="1396"/>
      <c r="Q5011" s="1394">
        <f>IFERROR(VLOOKUP(M5011,#REF!,3,0),0)</f>
        <v>0</v>
      </c>
      <c r="R5011" s="1394">
        <f t="shared" si="1294"/>
        <v>0</v>
      </c>
      <c r="S5011" s="1394">
        <f>IFERROR(VLOOKUP(M5011,#REF!,6,0),0)</f>
        <v>0</v>
      </c>
      <c r="T5011" s="1394">
        <f t="shared" si="1295"/>
        <v>0</v>
      </c>
      <c r="U5011" s="1394">
        <f>IFERROR(VLOOKUP(M5011,#REF!,5,0),0)</f>
        <v>0</v>
      </c>
      <c r="V5011" s="1394">
        <f t="shared" si="1296"/>
        <v>0</v>
      </c>
      <c r="W5011" s="1394"/>
    </row>
    <row r="5012" spans="1:24" ht="30" customHeight="1">
      <c r="B5012" s="1519"/>
      <c r="C5012" s="1502" t="s">
        <v>5923</v>
      </c>
      <c r="D5012" s="103">
        <v>1</v>
      </c>
      <c r="E5012" s="1574">
        <v>2</v>
      </c>
      <c r="F5012" s="1413">
        <v>0.75</v>
      </c>
      <c r="G5012" s="1413"/>
      <c r="H5012" s="1414">
        <v>1.35</v>
      </c>
      <c r="I5012" s="1406">
        <f t="shared" si="1299"/>
        <v>2.0250000000000004</v>
      </c>
      <c r="J5012" s="1397"/>
      <c r="K5012" s="1397"/>
      <c r="L5012" s="1396"/>
      <c r="Q5012" s="1394">
        <f>IFERROR(VLOOKUP(M5012,#REF!,3,0),0)</f>
        <v>0</v>
      </c>
      <c r="R5012" s="1394">
        <f t="shared" si="1294"/>
        <v>0</v>
      </c>
      <c r="S5012" s="1394">
        <f>IFERROR(VLOOKUP(M5012,#REF!,6,0),0)</f>
        <v>0</v>
      </c>
      <c r="T5012" s="1394">
        <f t="shared" si="1295"/>
        <v>0</v>
      </c>
      <c r="U5012" s="1394">
        <f>IFERROR(VLOOKUP(M5012,#REF!,5,0),0)</f>
        <v>0</v>
      </c>
      <c r="V5012" s="1394">
        <f t="shared" si="1296"/>
        <v>0</v>
      </c>
      <c r="W5012" s="1394"/>
    </row>
    <row r="5013" spans="1:24" ht="30" customHeight="1">
      <c r="B5013" s="1519"/>
      <c r="C5013" s="1502" t="s">
        <v>560</v>
      </c>
      <c r="D5013" s="103">
        <v>1</v>
      </c>
      <c r="E5013" s="1574">
        <v>1</v>
      </c>
      <c r="F5013" s="1413">
        <v>0.75</v>
      </c>
      <c r="G5013" s="1413"/>
      <c r="H5013" s="1414">
        <v>2.1</v>
      </c>
      <c r="I5013" s="1406">
        <f t="shared" si="1299"/>
        <v>1.5750000000000002</v>
      </c>
      <c r="J5013" s="1397"/>
      <c r="K5013" s="1397"/>
      <c r="L5013" s="1396"/>
      <c r="Q5013" s="1394">
        <f>IFERROR(VLOOKUP(M5013,#REF!,3,0),0)</f>
        <v>0</v>
      </c>
      <c r="R5013" s="1394">
        <f t="shared" si="1294"/>
        <v>0</v>
      </c>
      <c r="S5013" s="1394">
        <f>IFERROR(VLOOKUP(M5013,#REF!,6,0),0)</f>
        <v>0</v>
      </c>
      <c r="T5013" s="1394">
        <f t="shared" si="1295"/>
        <v>0</v>
      </c>
      <c r="U5013" s="1394">
        <f>IFERROR(VLOOKUP(M5013,#REF!,5,0),0)</f>
        <v>0</v>
      </c>
      <c r="V5013" s="1394">
        <f t="shared" si="1296"/>
        <v>0</v>
      </c>
      <c r="W5013" s="1394"/>
    </row>
    <row r="5014" spans="1:24" ht="30" customHeight="1">
      <c r="B5014" s="1519"/>
      <c r="C5014" s="1502" t="s">
        <v>5569</v>
      </c>
      <c r="D5014" s="103">
        <v>1</v>
      </c>
      <c r="E5014" s="1574">
        <v>1</v>
      </c>
      <c r="F5014" s="1413">
        <v>0.75</v>
      </c>
      <c r="G5014" s="1413"/>
      <c r="H5014" s="1414">
        <v>2.1</v>
      </c>
      <c r="I5014" s="1406">
        <f t="shared" si="1299"/>
        <v>1.5750000000000002</v>
      </c>
      <c r="J5014" s="1397"/>
      <c r="K5014" s="1397"/>
      <c r="L5014" s="1396"/>
      <c r="Q5014" s="1394">
        <f>IFERROR(VLOOKUP(M5014,#REF!,3,0),0)</f>
        <v>0</v>
      </c>
      <c r="R5014" s="1394">
        <f t="shared" si="1294"/>
        <v>0</v>
      </c>
      <c r="S5014" s="1394">
        <f>IFERROR(VLOOKUP(M5014,#REF!,6,0),0)</f>
        <v>0</v>
      </c>
      <c r="T5014" s="1394">
        <f t="shared" si="1295"/>
        <v>0</v>
      </c>
      <c r="U5014" s="1394">
        <f>IFERROR(VLOOKUP(M5014,#REF!,5,0),0)</f>
        <v>0</v>
      </c>
      <c r="V5014" s="1394">
        <f t="shared" si="1296"/>
        <v>0</v>
      </c>
      <c r="W5014" s="1394"/>
    </row>
    <row r="5015" spans="1:24" ht="30" customHeight="1">
      <c r="B5015" s="1519"/>
      <c r="C5015" s="1572" t="s">
        <v>261</v>
      </c>
      <c r="D5015" s="103"/>
      <c r="E5015" s="1573" t="s">
        <v>575</v>
      </c>
      <c r="F5015" s="1413"/>
      <c r="G5015" s="1413"/>
      <c r="H5015" s="1414"/>
      <c r="I5015" s="1406"/>
      <c r="J5015" s="1397"/>
      <c r="K5015" s="1397"/>
      <c r="L5015" s="1396"/>
      <c r="Q5015" s="1394">
        <f>IFERROR(VLOOKUP(M5015,#REF!,3,0),0)</f>
        <v>0</v>
      </c>
      <c r="R5015" s="1394">
        <f t="shared" si="1294"/>
        <v>0</v>
      </c>
      <c r="S5015" s="1394">
        <f>IFERROR(VLOOKUP(M5015,#REF!,6,0),0)</f>
        <v>0</v>
      </c>
      <c r="T5015" s="1394">
        <f t="shared" si="1295"/>
        <v>0</v>
      </c>
      <c r="U5015" s="1394">
        <f>IFERROR(VLOOKUP(M5015,#REF!,5,0),0)</f>
        <v>0</v>
      </c>
      <c r="V5015" s="1394">
        <f t="shared" si="1296"/>
        <v>0</v>
      </c>
      <c r="W5015" s="1394"/>
    </row>
    <row r="5016" spans="1:24" ht="30" customHeight="1">
      <c r="B5016" s="1519"/>
      <c r="C5016" s="1502" t="s">
        <v>5571</v>
      </c>
      <c r="D5016" s="103">
        <v>1</v>
      </c>
      <c r="E5016" s="1574">
        <v>1</v>
      </c>
      <c r="F5016" s="1413">
        <v>0.75</v>
      </c>
      <c r="G5016" s="1413"/>
      <c r="H5016" s="1414">
        <v>2.1</v>
      </c>
      <c r="I5016" s="1406">
        <f t="shared" ref="I5016:I5018" si="1300">PRODUCT(D5016:H5016)</f>
        <v>1.5750000000000002</v>
      </c>
      <c r="J5016" s="1397"/>
      <c r="K5016" s="1397"/>
      <c r="L5016" s="1396"/>
      <c r="Q5016" s="1394">
        <f>IFERROR(VLOOKUP(M5016,#REF!,3,0),0)</f>
        <v>0</v>
      </c>
      <c r="R5016" s="1394">
        <f t="shared" si="1294"/>
        <v>0</v>
      </c>
      <c r="S5016" s="1394">
        <f>IFERROR(VLOOKUP(M5016,#REF!,6,0),0)</f>
        <v>0</v>
      </c>
      <c r="T5016" s="1394">
        <f t="shared" si="1295"/>
        <v>0</v>
      </c>
      <c r="U5016" s="1394">
        <f>IFERROR(VLOOKUP(M5016,#REF!,5,0),0)</f>
        <v>0</v>
      </c>
      <c r="V5016" s="1394">
        <f t="shared" si="1296"/>
        <v>0</v>
      </c>
      <c r="W5016" s="1394"/>
    </row>
    <row r="5017" spans="1:24" ht="30" customHeight="1">
      <c r="B5017" s="1519"/>
      <c r="C5017" s="1502" t="s">
        <v>5573</v>
      </c>
      <c r="D5017" s="103">
        <v>1</v>
      </c>
      <c r="E5017" s="1574">
        <v>1</v>
      </c>
      <c r="F5017" s="1413">
        <v>0.75</v>
      </c>
      <c r="G5017" s="1413"/>
      <c r="H5017" s="1414">
        <v>2.1</v>
      </c>
      <c r="I5017" s="1406">
        <f t="shared" si="1300"/>
        <v>1.5750000000000002</v>
      </c>
      <c r="J5017" s="1397"/>
      <c r="K5017" s="1397"/>
      <c r="L5017" s="1396"/>
      <c r="Q5017" s="1394">
        <f>IFERROR(VLOOKUP(M5017,#REF!,3,0),0)</f>
        <v>0</v>
      </c>
      <c r="R5017" s="1394">
        <f t="shared" si="1294"/>
        <v>0</v>
      </c>
      <c r="S5017" s="1394">
        <f>IFERROR(VLOOKUP(M5017,#REF!,6,0),0)</f>
        <v>0</v>
      </c>
      <c r="T5017" s="1394">
        <f t="shared" si="1295"/>
        <v>0</v>
      </c>
      <c r="U5017" s="1394">
        <f>IFERROR(VLOOKUP(M5017,#REF!,5,0),0)</f>
        <v>0</v>
      </c>
      <c r="V5017" s="1394">
        <f t="shared" si="1296"/>
        <v>0</v>
      </c>
      <c r="W5017" s="1394"/>
    </row>
    <row r="5018" spans="1:24" ht="30" customHeight="1">
      <c r="B5018" s="1519"/>
      <c r="C5018" s="1502" t="s">
        <v>5571</v>
      </c>
      <c r="D5018" s="103">
        <v>1</v>
      </c>
      <c r="E5018" s="1574">
        <v>2</v>
      </c>
      <c r="F5018" s="1413">
        <v>0.75</v>
      </c>
      <c r="G5018" s="1413"/>
      <c r="H5018" s="1414">
        <v>2.1</v>
      </c>
      <c r="I5018" s="1406">
        <f t="shared" si="1300"/>
        <v>3.1500000000000004</v>
      </c>
      <c r="J5018" s="1397"/>
      <c r="K5018" s="1397"/>
      <c r="L5018" s="1396"/>
      <c r="Q5018" s="1394">
        <f>IFERROR(VLOOKUP(M5018,#REF!,3,0),0)</f>
        <v>0</v>
      </c>
      <c r="R5018" s="1394">
        <f t="shared" si="1294"/>
        <v>0</v>
      </c>
      <c r="S5018" s="1394">
        <f>IFERROR(VLOOKUP(M5018,#REF!,6,0),0)</f>
        <v>0</v>
      </c>
      <c r="T5018" s="1394">
        <f t="shared" si="1295"/>
        <v>0</v>
      </c>
      <c r="U5018" s="1394">
        <f>IFERROR(VLOOKUP(M5018,#REF!,5,0),0)</f>
        <v>0</v>
      </c>
      <c r="V5018" s="1394">
        <f t="shared" si="1296"/>
        <v>0</v>
      </c>
      <c r="W5018" s="1394"/>
    </row>
    <row r="5019" spans="1:24" ht="30" customHeight="1">
      <c r="B5019" s="1519"/>
      <c r="C5019" s="1502" t="s">
        <v>560</v>
      </c>
      <c r="D5019" s="103">
        <v>1</v>
      </c>
      <c r="E5019" s="1574">
        <v>1</v>
      </c>
      <c r="F5019" s="1413">
        <v>0.75</v>
      </c>
      <c r="G5019" s="1413"/>
      <c r="H5019" s="1414">
        <v>2.1</v>
      </c>
      <c r="I5019" s="1406">
        <f>PRODUCT(D5019:H5019)</f>
        <v>1.5750000000000002</v>
      </c>
      <c r="J5019" s="1397">
        <f>SUM(I5002:I5019)</f>
        <v>26.099999999999998</v>
      </c>
      <c r="K5019" s="1397"/>
      <c r="L5019" s="1396"/>
      <c r="Q5019" s="1394">
        <f>IFERROR(VLOOKUP(M5019,#REF!,3,0),0)</f>
        <v>0</v>
      </c>
      <c r="R5019" s="1394">
        <f t="shared" si="1294"/>
        <v>0</v>
      </c>
      <c r="S5019" s="1394">
        <f>IFERROR(VLOOKUP(M5019,#REF!,6,0),0)</f>
        <v>0</v>
      </c>
      <c r="T5019" s="1394">
        <f t="shared" si="1295"/>
        <v>0</v>
      </c>
      <c r="U5019" s="1394">
        <f>IFERROR(VLOOKUP(M5019,#REF!,5,0),0)</f>
        <v>0</v>
      </c>
      <c r="V5019" s="1394">
        <f t="shared" si="1296"/>
        <v>0</v>
      </c>
      <c r="W5019" s="1394"/>
    </row>
    <row r="5020" spans="1:24" ht="30" customHeight="1">
      <c r="B5020" s="1519"/>
      <c r="C5020" s="1502"/>
      <c r="D5020" s="103"/>
      <c r="E5020" s="1574"/>
      <c r="F5020" s="1413"/>
      <c r="G5020" s="1413"/>
      <c r="H5020" s="1414"/>
      <c r="I5020" s="1406">
        <f>J5020-J5019</f>
        <v>0.90000000000000213</v>
      </c>
      <c r="J5020" s="1397">
        <f>ROUNDUP(J5019,0)</f>
        <v>27</v>
      </c>
      <c r="K5020" s="1397"/>
      <c r="L5020" s="1396"/>
      <c r="Q5020" s="1394">
        <f>IFERROR(VLOOKUP(M5020,#REF!,3,0),0)</f>
        <v>0</v>
      </c>
      <c r="R5020" s="1394">
        <f t="shared" si="1294"/>
        <v>0</v>
      </c>
      <c r="S5020" s="1394">
        <f>IFERROR(VLOOKUP(M5020,#REF!,6,0),0)</f>
        <v>0</v>
      </c>
      <c r="T5020" s="1394">
        <f t="shared" si="1295"/>
        <v>0</v>
      </c>
      <c r="U5020" s="1394">
        <f>IFERROR(VLOOKUP(M5020,#REF!,5,0),0)</f>
        <v>0</v>
      </c>
      <c r="V5020" s="1394">
        <f t="shared" si="1296"/>
        <v>0</v>
      </c>
      <c r="W5020" s="1394"/>
    </row>
    <row r="5021" spans="1:24" ht="30" customHeight="1">
      <c r="B5021" s="1519"/>
      <c r="C5021" s="1502"/>
      <c r="D5021" s="103"/>
      <c r="E5021" s="1575" t="s">
        <v>575</v>
      </c>
      <c r="F5021" s="1413"/>
      <c r="G5021" s="1413"/>
      <c r="H5021" s="1414"/>
      <c r="I5021" s="1479">
        <f>SUM(I5000:I5020)</f>
        <v>27</v>
      </c>
      <c r="Q5021" s="1394">
        <f>IFERROR(VLOOKUP(M5021,#REF!,3,0),0)</f>
        <v>0</v>
      </c>
      <c r="R5021" s="1394">
        <f t="shared" si="1294"/>
        <v>0</v>
      </c>
      <c r="S5021" s="1394">
        <f>IFERROR(VLOOKUP(M5021,#REF!,6,0),0)</f>
        <v>0</v>
      </c>
      <c r="T5021" s="1394">
        <f t="shared" si="1295"/>
        <v>0</v>
      </c>
      <c r="U5021" s="1394">
        <f>IFERROR(VLOOKUP(M5021,#REF!,5,0),0)</f>
        <v>0</v>
      </c>
      <c r="V5021" s="1394">
        <f t="shared" si="1296"/>
        <v>0</v>
      </c>
      <c r="W5021" s="1394"/>
    </row>
    <row r="5022" spans="1:24" ht="30" customHeight="1">
      <c r="B5022" s="1519"/>
      <c r="C5022" s="1502"/>
      <c r="D5022" s="103"/>
      <c r="E5022" s="103"/>
      <c r="F5022" s="1413"/>
      <c r="G5022" s="1483" t="s">
        <v>11</v>
      </c>
      <c r="H5022" s="1478">
        <f>I5021</f>
        <v>27</v>
      </c>
      <c r="I5022" s="1479" t="s">
        <v>26</v>
      </c>
      <c r="M5022" s="1394" t="e">
        <f>A4999</f>
        <v>#REF!</v>
      </c>
      <c r="N5022" s="1394">
        <f>B4999</f>
        <v>0</v>
      </c>
      <c r="O5022" s="1394">
        <f>H5022</f>
        <v>27</v>
      </c>
      <c r="P5022" s="1394" t="str">
        <f>I5022</f>
        <v>Sqm</v>
      </c>
      <c r="Q5022" s="1394">
        <f>IFERROR(VLOOKUP(M5022,#REF!,3,0),0)</f>
        <v>0</v>
      </c>
      <c r="R5022" s="1394">
        <f t="shared" si="1294"/>
        <v>0</v>
      </c>
      <c r="S5022" s="1394">
        <f>IFERROR(VLOOKUP(M5022,#REF!,6,0),0)</f>
        <v>0</v>
      </c>
      <c r="T5022" s="1394">
        <f t="shared" si="1295"/>
        <v>0</v>
      </c>
      <c r="U5022" s="1394">
        <f>IFERROR(VLOOKUP(M5022,#REF!,5,0),0)</f>
        <v>0</v>
      </c>
      <c r="V5022" s="1394">
        <f t="shared" si="1296"/>
        <v>27</v>
      </c>
      <c r="W5022" s="1394"/>
      <c r="X5022" s="1394"/>
    </row>
    <row r="5023" spans="1:24" ht="30" hidden="1" customHeight="1">
      <c r="B5023" s="1567"/>
      <c r="C5023" s="1680"/>
      <c r="D5023" s="1680"/>
      <c r="E5023" s="1680"/>
      <c r="F5023" s="1680"/>
      <c r="G5023" s="1680"/>
      <c r="H5023" s="1680"/>
      <c r="I5023" s="1568"/>
      <c r="Q5023" s="1394">
        <f>IFERROR(VLOOKUP(M5023,#REF!,3,0),0)</f>
        <v>0</v>
      </c>
      <c r="R5023" s="1394">
        <f t="shared" si="1294"/>
        <v>0</v>
      </c>
      <c r="S5023" s="1394">
        <f>IFERROR(VLOOKUP(M5023,#REF!,6,0),0)</f>
        <v>0</v>
      </c>
      <c r="T5023" s="1394">
        <f t="shared" si="1295"/>
        <v>0</v>
      </c>
      <c r="U5023" s="1394">
        <f>IFERROR(VLOOKUP(M5023,#REF!,5,0),0)</f>
        <v>0</v>
      </c>
      <c r="V5023" s="1394">
        <f t="shared" si="1296"/>
        <v>0</v>
      </c>
      <c r="W5023" s="1394"/>
    </row>
    <row r="5024" spans="1:24" ht="30" hidden="1" customHeight="1">
      <c r="A5024" s="1397"/>
      <c r="B5024" s="1519"/>
      <c r="C5024" s="1679"/>
      <c r="D5024" s="1679"/>
      <c r="E5024" s="1679"/>
      <c r="F5024" s="1679"/>
      <c r="G5024" s="1679"/>
      <c r="H5024" s="1679"/>
      <c r="I5024" s="1406"/>
      <c r="Q5024" s="1394">
        <f>IFERROR(VLOOKUP(M5024,#REF!,3,0),0)</f>
        <v>0</v>
      </c>
      <c r="R5024" s="1394">
        <f t="shared" si="1294"/>
        <v>0</v>
      </c>
      <c r="S5024" s="1394">
        <f>IFERROR(VLOOKUP(M5024,#REF!,6,0),0)</f>
        <v>0</v>
      </c>
      <c r="T5024" s="1394">
        <f t="shared" si="1295"/>
        <v>0</v>
      </c>
      <c r="U5024" s="1394">
        <f>IFERROR(VLOOKUP(M5024,#REF!,5,0),0)</f>
        <v>0</v>
      </c>
      <c r="V5024" s="1394">
        <f t="shared" si="1296"/>
        <v>0</v>
      </c>
      <c r="W5024" s="1394"/>
    </row>
    <row r="5025" spans="1:24" ht="30" hidden="1" customHeight="1">
      <c r="B5025" s="1519"/>
      <c r="C5025" s="1502"/>
      <c r="D5025" s="103"/>
      <c r="E5025" s="103"/>
      <c r="F5025" s="1413"/>
      <c r="G5025" s="1413"/>
      <c r="H5025" s="1414"/>
      <c r="I5025" s="1406"/>
      <c r="J5025" s="1397"/>
      <c r="K5025" s="1397"/>
      <c r="Q5025" s="1394">
        <f>IFERROR(VLOOKUP(M5025,#REF!,3,0),0)</f>
        <v>0</v>
      </c>
      <c r="R5025" s="1394">
        <f t="shared" si="1294"/>
        <v>0</v>
      </c>
      <c r="S5025" s="1394">
        <f>IFERROR(VLOOKUP(M5025,#REF!,6,0),0)</f>
        <v>0</v>
      </c>
      <c r="T5025" s="1394">
        <f t="shared" si="1295"/>
        <v>0</v>
      </c>
      <c r="U5025" s="1394">
        <f>IFERROR(VLOOKUP(M5025,#REF!,5,0),0)</f>
        <v>0</v>
      </c>
      <c r="V5025" s="1394">
        <f t="shared" si="1296"/>
        <v>0</v>
      </c>
      <c r="W5025" s="1394"/>
    </row>
    <row r="5026" spans="1:24" ht="30" hidden="1" customHeight="1">
      <c r="B5026" s="1519"/>
      <c r="C5026" s="1502"/>
      <c r="D5026" s="103"/>
      <c r="E5026" s="103"/>
      <c r="F5026" s="1413"/>
      <c r="G5026" s="1413"/>
      <c r="H5026" s="1414"/>
      <c r="I5026" s="1406"/>
      <c r="J5026" s="1397"/>
      <c r="K5026" s="1397"/>
      <c r="Q5026" s="1394">
        <f>IFERROR(VLOOKUP(M5026,#REF!,3,0),0)</f>
        <v>0</v>
      </c>
      <c r="R5026" s="1394">
        <f t="shared" si="1294"/>
        <v>0</v>
      </c>
      <c r="S5026" s="1394">
        <f>IFERROR(VLOOKUP(M5026,#REF!,6,0),0)</f>
        <v>0</v>
      </c>
      <c r="T5026" s="1394">
        <f t="shared" si="1295"/>
        <v>0</v>
      </c>
      <c r="U5026" s="1394">
        <f>IFERROR(VLOOKUP(M5026,#REF!,5,0),0)</f>
        <v>0</v>
      </c>
      <c r="V5026" s="1394">
        <f t="shared" si="1296"/>
        <v>0</v>
      </c>
      <c r="W5026" s="1394"/>
    </row>
    <row r="5027" spans="1:24" ht="30" hidden="1" customHeight="1">
      <c r="B5027" s="1519"/>
      <c r="C5027" s="1502"/>
      <c r="D5027" s="103"/>
      <c r="E5027" s="103"/>
      <c r="F5027" s="1413"/>
      <c r="G5027" s="1413"/>
      <c r="H5027" s="1414"/>
      <c r="I5027" s="1479"/>
      <c r="Q5027" s="1394">
        <f>IFERROR(VLOOKUP(M5027,#REF!,3,0),0)</f>
        <v>0</v>
      </c>
      <c r="R5027" s="1394">
        <f t="shared" si="1294"/>
        <v>0</v>
      </c>
      <c r="S5027" s="1394">
        <f>IFERROR(VLOOKUP(M5027,#REF!,6,0),0)</f>
        <v>0</v>
      </c>
      <c r="T5027" s="1394">
        <f t="shared" si="1295"/>
        <v>0</v>
      </c>
      <c r="U5027" s="1394">
        <f>IFERROR(VLOOKUP(M5027,#REF!,5,0),0)</f>
        <v>0</v>
      </c>
      <c r="V5027" s="1394">
        <f t="shared" si="1296"/>
        <v>0</v>
      </c>
      <c r="W5027" s="1394"/>
    </row>
    <row r="5028" spans="1:24" ht="30" hidden="1" customHeight="1">
      <c r="B5028" s="1519"/>
      <c r="C5028" s="1502"/>
      <c r="D5028" s="103"/>
      <c r="E5028" s="103"/>
      <c r="F5028" s="1413"/>
      <c r="G5028" s="1483"/>
      <c r="H5028" s="1478"/>
      <c r="I5028" s="1479"/>
      <c r="M5028" s="1394"/>
      <c r="N5028" s="1394"/>
      <c r="O5028" s="1394"/>
      <c r="P5028" s="1394"/>
      <c r="Q5028" s="1394">
        <f>IFERROR(VLOOKUP(M5028,#REF!,3,0),0)</f>
        <v>0</v>
      </c>
      <c r="R5028" s="1394">
        <f t="shared" si="1294"/>
        <v>0</v>
      </c>
      <c r="S5028" s="1394">
        <f>IFERROR(VLOOKUP(M5028,#REF!,6,0),0)</f>
        <v>0</v>
      </c>
      <c r="T5028" s="1394">
        <f t="shared" si="1295"/>
        <v>0</v>
      </c>
      <c r="U5028" s="1394">
        <f>IFERROR(VLOOKUP(M5028,#REF!,5,0),0)</f>
        <v>0</v>
      </c>
      <c r="V5028" s="1394">
        <f t="shared" si="1296"/>
        <v>0</v>
      </c>
      <c r="W5028" s="1394"/>
      <c r="X5028" s="1394"/>
    </row>
    <row r="5029" spans="1:24" ht="30" customHeight="1">
      <c r="A5029" s="1397" t="e">
        <f>#REF!</f>
        <v>#REF!</v>
      </c>
      <c r="B5029" s="1571">
        <v>22.2</v>
      </c>
      <c r="C5029" s="1679" t="e">
        <f>VLOOKUP(A5029,#REF!,2,0)</f>
        <v>#REF!</v>
      </c>
      <c r="D5029" s="1679"/>
      <c r="E5029" s="1679"/>
      <c r="F5029" s="1679"/>
      <c r="G5029" s="1679"/>
      <c r="H5029" s="1679"/>
      <c r="I5029" s="1568"/>
      <c r="Q5029" s="1394">
        <f>IFERROR(VLOOKUP(M5029,#REF!,3,0),0)</f>
        <v>0</v>
      </c>
      <c r="R5029" s="1394">
        <f t="shared" si="1294"/>
        <v>0</v>
      </c>
      <c r="S5029" s="1394">
        <f>IFERROR(VLOOKUP(M5029,#REF!,6,0),0)</f>
        <v>0</v>
      </c>
      <c r="T5029" s="1394">
        <f t="shared" si="1295"/>
        <v>0</v>
      </c>
      <c r="U5029" s="1394">
        <f>IFERROR(VLOOKUP(M5029,#REF!,5,0),0)</f>
        <v>0</v>
      </c>
      <c r="V5029" s="1394">
        <f t="shared" si="1296"/>
        <v>0</v>
      </c>
      <c r="W5029" s="1394"/>
    </row>
    <row r="5030" spans="1:24" ht="30" customHeight="1">
      <c r="B5030" s="1519"/>
      <c r="C5030" s="1502" t="s">
        <v>259</v>
      </c>
      <c r="D5030" s="103"/>
      <c r="E5030" s="103"/>
      <c r="F5030" s="1413"/>
      <c r="G5030" s="1413"/>
      <c r="H5030" s="1414"/>
      <c r="I5030" s="1406">
        <f t="shared" ref="I5030:I5035" si="1301">PRODUCT(D5030:H5030)</f>
        <v>0</v>
      </c>
      <c r="Q5030" s="1394">
        <f>IFERROR(VLOOKUP(M5030,#REF!,3,0),0)</f>
        <v>0</v>
      </c>
      <c r="R5030" s="1394">
        <f t="shared" si="1294"/>
        <v>0</v>
      </c>
      <c r="S5030" s="1394">
        <f>IFERROR(VLOOKUP(M5030,#REF!,6,0),0)</f>
        <v>0</v>
      </c>
      <c r="T5030" s="1394">
        <f t="shared" si="1295"/>
        <v>0</v>
      </c>
      <c r="U5030" s="1394">
        <f>IFERROR(VLOOKUP(M5030,#REF!,5,0),0)</f>
        <v>0</v>
      </c>
      <c r="V5030" s="1394">
        <f t="shared" si="1296"/>
        <v>0</v>
      </c>
      <c r="W5030" s="1394"/>
    </row>
    <row r="5031" spans="1:24" ht="30" customHeight="1">
      <c r="B5031" s="1519"/>
      <c r="C5031" s="1502" t="s">
        <v>5548</v>
      </c>
      <c r="D5031" s="103">
        <v>1</v>
      </c>
      <c r="E5031" s="103">
        <v>1</v>
      </c>
      <c r="F5031" s="1413">
        <f>2-0.1</f>
        <v>1.9</v>
      </c>
      <c r="G5031" s="1413"/>
      <c r="H5031" s="1413">
        <f>1.8-0.1</f>
        <v>1.7</v>
      </c>
      <c r="I5031" s="1406">
        <f t="shared" si="1301"/>
        <v>3.23</v>
      </c>
      <c r="J5031" s="1397"/>
      <c r="K5031" s="1397"/>
      <c r="Q5031" s="1394">
        <f>IFERROR(VLOOKUP(M5031,#REF!,3,0),0)</f>
        <v>0</v>
      </c>
      <c r="R5031" s="1394">
        <f t="shared" si="1294"/>
        <v>0</v>
      </c>
      <c r="S5031" s="1394">
        <f>IFERROR(VLOOKUP(M5031,#REF!,6,0),0)</f>
        <v>0</v>
      </c>
      <c r="T5031" s="1394">
        <f t="shared" si="1295"/>
        <v>0</v>
      </c>
      <c r="U5031" s="1394">
        <f>IFERROR(VLOOKUP(M5031,#REF!,5,0),0)</f>
        <v>0</v>
      </c>
      <c r="V5031" s="1394">
        <f t="shared" si="1296"/>
        <v>0</v>
      </c>
      <c r="W5031" s="1394"/>
    </row>
    <row r="5032" spans="1:24" ht="30" customHeight="1">
      <c r="B5032" s="1519"/>
      <c r="C5032" s="1502" t="s">
        <v>260</v>
      </c>
      <c r="D5032" s="103"/>
      <c r="E5032" s="103"/>
      <c r="F5032" s="1413"/>
      <c r="G5032" s="1413"/>
      <c r="H5032" s="1413"/>
      <c r="I5032" s="1406">
        <f t="shared" si="1301"/>
        <v>0</v>
      </c>
      <c r="J5032" s="1397"/>
      <c r="K5032" s="1397"/>
      <c r="Q5032" s="1394">
        <f>IFERROR(VLOOKUP(M5032,#REF!,3,0),0)</f>
        <v>0</v>
      </c>
      <c r="R5032" s="1394">
        <f t="shared" si="1294"/>
        <v>0</v>
      </c>
      <c r="S5032" s="1394">
        <f>IFERROR(VLOOKUP(M5032,#REF!,6,0),0)</f>
        <v>0</v>
      </c>
      <c r="T5032" s="1394">
        <f t="shared" si="1295"/>
        <v>0</v>
      </c>
      <c r="U5032" s="1394">
        <f>IFERROR(VLOOKUP(M5032,#REF!,5,0),0)</f>
        <v>0</v>
      </c>
      <c r="V5032" s="1394">
        <f t="shared" si="1296"/>
        <v>0</v>
      </c>
      <c r="W5032" s="1394"/>
    </row>
    <row r="5033" spans="1:24" ht="30" customHeight="1">
      <c r="B5033" s="1519"/>
      <c r="C5033" s="1502" t="s">
        <v>5546</v>
      </c>
      <c r="D5033" s="103">
        <v>1</v>
      </c>
      <c r="E5033" s="103">
        <v>1</v>
      </c>
      <c r="F5033" s="1413">
        <f>2-0.1</f>
        <v>1.9</v>
      </c>
      <c r="G5033" s="1413"/>
      <c r="H5033" s="1413">
        <f>1.8-0.1</f>
        <v>1.7</v>
      </c>
      <c r="I5033" s="1406">
        <f t="shared" si="1301"/>
        <v>3.23</v>
      </c>
      <c r="J5033" s="1397"/>
      <c r="K5033" s="1397"/>
      <c r="Q5033" s="1394">
        <f>IFERROR(VLOOKUP(M5033,#REF!,3,0),0)</f>
        <v>0</v>
      </c>
      <c r="R5033" s="1394">
        <f t="shared" si="1294"/>
        <v>0</v>
      </c>
      <c r="S5033" s="1394">
        <f>IFERROR(VLOOKUP(M5033,#REF!,6,0),0)</f>
        <v>0</v>
      </c>
      <c r="T5033" s="1394">
        <f t="shared" si="1295"/>
        <v>0</v>
      </c>
      <c r="U5033" s="1394">
        <f>IFERROR(VLOOKUP(M5033,#REF!,5,0),0)</f>
        <v>0</v>
      </c>
      <c r="V5033" s="1394">
        <f t="shared" si="1296"/>
        <v>0</v>
      </c>
      <c r="W5033" s="1394"/>
    </row>
    <row r="5034" spans="1:24" ht="30" customHeight="1">
      <c r="B5034" s="1519"/>
      <c r="C5034" s="1502" t="s">
        <v>261</v>
      </c>
      <c r="D5034" s="103"/>
      <c r="E5034" s="103"/>
      <c r="F5034" s="1413"/>
      <c r="G5034" s="1413"/>
      <c r="H5034" s="1413"/>
      <c r="I5034" s="1406">
        <f t="shared" si="1301"/>
        <v>0</v>
      </c>
      <c r="J5034" s="1397"/>
      <c r="K5034" s="1397"/>
      <c r="Q5034" s="1394">
        <f>IFERROR(VLOOKUP(M5034,#REF!,3,0),0)</f>
        <v>0</v>
      </c>
      <c r="R5034" s="1394">
        <f t="shared" si="1294"/>
        <v>0</v>
      </c>
      <c r="S5034" s="1394">
        <f>IFERROR(VLOOKUP(M5034,#REF!,6,0),0)</f>
        <v>0</v>
      </c>
      <c r="T5034" s="1394">
        <f t="shared" si="1295"/>
        <v>0</v>
      </c>
      <c r="U5034" s="1394">
        <f>IFERROR(VLOOKUP(M5034,#REF!,5,0),0)</f>
        <v>0</v>
      </c>
      <c r="V5034" s="1394">
        <f t="shared" si="1296"/>
        <v>0</v>
      </c>
      <c r="W5034" s="1394"/>
    </row>
    <row r="5035" spans="1:24" ht="30" customHeight="1">
      <c r="B5035" s="1519"/>
      <c r="C5035" s="1502" t="s">
        <v>5546</v>
      </c>
      <c r="D5035" s="103">
        <v>1</v>
      </c>
      <c r="E5035" s="103">
        <v>1</v>
      </c>
      <c r="F5035" s="1413">
        <f>2-0.1</f>
        <v>1.9</v>
      </c>
      <c r="G5035" s="1413"/>
      <c r="H5035" s="1413">
        <f>1.8-0.1</f>
        <v>1.7</v>
      </c>
      <c r="I5035" s="1406">
        <f t="shared" si="1301"/>
        <v>3.23</v>
      </c>
      <c r="K5035" s="1397"/>
      <c r="Q5035" s="1394">
        <f>IFERROR(VLOOKUP(M5035,#REF!,3,0),0)</f>
        <v>0</v>
      </c>
      <c r="R5035" s="1394">
        <f t="shared" si="1294"/>
        <v>0</v>
      </c>
      <c r="S5035" s="1394">
        <f>IFERROR(VLOOKUP(M5035,#REF!,6,0),0)</f>
        <v>0</v>
      </c>
      <c r="T5035" s="1394">
        <f t="shared" si="1295"/>
        <v>0</v>
      </c>
      <c r="U5035" s="1394">
        <f>IFERROR(VLOOKUP(M5035,#REF!,5,0),0)</f>
        <v>0</v>
      </c>
      <c r="V5035" s="1394">
        <f t="shared" si="1296"/>
        <v>0</v>
      </c>
      <c r="W5035" s="1394"/>
    </row>
    <row r="5036" spans="1:24" ht="30" customHeight="1">
      <c r="B5036" s="1519"/>
      <c r="C5036" s="1502"/>
      <c r="D5036" s="103"/>
      <c r="E5036" s="103"/>
      <c r="F5036" s="1413"/>
      <c r="G5036" s="1413"/>
      <c r="H5036" s="1413"/>
      <c r="I5036" s="1406">
        <f>J5037-J5036</f>
        <v>0.3100000000000005</v>
      </c>
      <c r="J5036" s="1397">
        <f>SUM(I5031:I5035)</f>
        <v>9.69</v>
      </c>
      <c r="K5036" s="1397"/>
      <c r="Q5036" s="1394">
        <f>IFERROR(VLOOKUP(M5036,#REF!,3,0),0)</f>
        <v>0</v>
      </c>
      <c r="R5036" s="1394">
        <f t="shared" si="1294"/>
        <v>0</v>
      </c>
      <c r="S5036" s="1394">
        <f>IFERROR(VLOOKUP(M5036,#REF!,6,0),0)</f>
        <v>0</v>
      </c>
      <c r="T5036" s="1394"/>
      <c r="U5036" s="1394"/>
      <c r="V5036" s="1394"/>
      <c r="W5036" s="1394"/>
    </row>
    <row r="5037" spans="1:24" ht="30" customHeight="1">
      <c r="B5037" s="1519"/>
      <c r="C5037" s="1502"/>
      <c r="D5037" s="103"/>
      <c r="E5037" s="103"/>
      <c r="F5037" s="1413"/>
      <c r="G5037" s="1413"/>
      <c r="H5037" s="1414"/>
      <c r="I5037" s="1479">
        <f>SUM(I5031:I5036)</f>
        <v>10</v>
      </c>
      <c r="J5037" s="1397">
        <f>ROUNDUP(J5036,0)</f>
        <v>10</v>
      </c>
      <c r="Q5037" s="1394">
        <f>IFERROR(VLOOKUP(M5037,#REF!,3,0),0)</f>
        <v>0</v>
      </c>
      <c r="R5037" s="1394">
        <f t="shared" si="1294"/>
        <v>0</v>
      </c>
      <c r="S5037" s="1394">
        <f>IFERROR(VLOOKUP(M5037,#REF!,6,0),0)</f>
        <v>0</v>
      </c>
      <c r="T5037" s="1394">
        <f t="shared" si="1295"/>
        <v>0</v>
      </c>
      <c r="U5037" s="1394">
        <f>IFERROR(VLOOKUP(M5037,#REF!,5,0),0)</f>
        <v>0</v>
      </c>
      <c r="V5037" s="1394">
        <f t="shared" si="1296"/>
        <v>0</v>
      </c>
      <c r="W5037" s="1394"/>
    </row>
    <row r="5038" spans="1:24" ht="30" customHeight="1">
      <c r="B5038" s="1519"/>
      <c r="C5038" s="1502"/>
      <c r="D5038" s="103"/>
      <c r="E5038" s="103"/>
      <c r="F5038" s="1413"/>
      <c r="G5038" s="1483" t="s">
        <v>11</v>
      </c>
      <c r="H5038" s="1478">
        <f>I5037</f>
        <v>10</v>
      </c>
      <c r="I5038" s="1479" t="s">
        <v>26</v>
      </c>
      <c r="M5038" s="1394" t="e">
        <f>A5029</f>
        <v>#REF!</v>
      </c>
      <c r="N5038" s="1394">
        <f>B5029</f>
        <v>22.2</v>
      </c>
      <c r="O5038" s="1394">
        <f>H5038</f>
        <v>10</v>
      </c>
      <c r="P5038" s="1394" t="str">
        <f>I5038</f>
        <v>Sqm</v>
      </c>
      <c r="Q5038" s="1394">
        <f>IFERROR(VLOOKUP(M5038,#REF!,3,0),0)</f>
        <v>0</v>
      </c>
      <c r="R5038" s="1394">
        <f t="shared" ref="R5038:R5101" si="1302">ROUND(O5038,2)*ROUND(Q5038,2)</f>
        <v>0</v>
      </c>
      <c r="S5038" s="1394">
        <f>IFERROR(VLOOKUP(M5038,#REF!,6,0),0)</f>
        <v>0</v>
      </c>
      <c r="T5038" s="1394">
        <f t="shared" si="1295"/>
        <v>0</v>
      </c>
      <c r="U5038" s="1394">
        <f>IFERROR(VLOOKUP(M5038,#REF!,5,0),0)</f>
        <v>0</v>
      </c>
      <c r="V5038" s="1394">
        <f t="shared" si="1296"/>
        <v>10</v>
      </c>
      <c r="W5038" s="1394"/>
      <c r="X5038" s="1394"/>
    </row>
    <row r="5039" spans="1:24" ht="30" customHeight="1">
      <c r="A5039" s="1397" t="e">
        <f>#REF!</f>
        <v>#REF!</v>
      </c>
      <c r="B5039" s="1519"/>
      <c r="C5039" s="1679" t="e">
        <f>VLOOKUP(A5039,#REF!,2,0)</f>
        <v>#REF!</v>
      </c>
      <c r="D5039" s="1679"/>
      <c r="E5039" s="1679"/>
      <c r="F5039" s="1679"/>
      <c r="G5039" s="1679"/>
      <c r="H5039" s="1679"/>
      <c r="I5039" s="1406"/>
      <c r="Q5039" s="1394">
        <f>IFERROR(VLOOKUP(M5039,#REF!,3,0),0)</f>
        <v>0</v>
      </c>
      <c r="R5039" s="1394">
        <f t="shared" si="1302"/>
        <v>0</v>
      </c>
      <c r="S5039" s="1394">
        <f>IFERROR(VLOOKUP(M5039,#REF!,6,0),0)</f>
        <v>0</v>
      </c>
      <c r="T5039" s="1394">
        <f t="shared" si="1295"/>
        <v>0</v>
      </c>
      <c r="U5039" s="1394">
        <f>IFERROR(VLOOKUP(M5039,#REF!,5,0),0)</f>
        <v>0</v>
      </c>
      <c r="V5039" s="1394">
        <f t="shared" si="1296"/>
        <v>0</v>
      </c>
      <c r="W5039" s="1394"/>
    </row>
    <row r="5040" spans="1:24" ht="30" customHeight="1">
      <c r="B5040" s="1519"/>
      <c r="C5040" s="1502" t="s">
        <v>5521</v>
      </c>
      <c r="D5040" s="103">
        <v>1</v>
      </c>
      <c r="E5040" s="103">
        <v>2</v>
      </c>
      <c r="F5040" s="1413">
        <f>1.8-0.1</f>
        <v>1.7</v>
      </c>
      <c r="G5040" s="1413"/>
      <c r="H5040" s="1413">
        <f>1.8-0.1</f>
        <v>1.7</v>
      </c>
      <c r="I5040" s="1406">
        <f t="shared" ref="I5040" si="1303">PRODUCT(D5040:H5040)</f>
        <v>5.7799999999999994</v>
      </c>
      <c r="Q5040" s="1394">
        <f>IFERROR(VLOOKUP(M5040,#REF!,3,0),0)</f>
        <v>0</v>
      </c>
      <c r="R5040" s="1394">
        <f t="shared" si="1302"/>
        <v>0</v>
      </c>
      <c r="S5040" s="1394">
        <f>IFERROR(VLOOKUP(M5040,#REF!,6,0),0)</f>
        <v>0</v>
      </c>
      <c r="T5040" s="1394">
        <f t="shared" si="1295"/>
        <v>0</v>
      </c>
      <c r="U5040" s="1394">
        <f>IFERROR(VLOOKUP(M5040,#REF!,5,0),0)</f>
        <v>0</v>
      </c>
      <c r="V5040" s="1394">
        <f t="shared" si="1296"/>
        <v>0</v>
      </c>
      <c r="W5040" s="1394"/>
    </row>
    <row r="5041" spans="1:26" ht="30" customHeight="1">
      <c r="B5041" s="1519"/>
      <c r="C5041" s="1502" t="s">
        <v>258</v>
      </c>
      <c r="D5041" s="103"/>
      <c r="E5041" s="103"/>
      <c r="F5041" s="1413"/>
      <c r="G5041" s="1413"/>
      <c r="H5041" s="1413"/>
      <c r="I5041" s="1406"/>
      <c r="Q5041" s="1394">
        <f>IFERROR(VLOOKUP(M5041,#REF!,3,0),0)</f>
        <v>0</v>
      </c>
      <c r="R5041" s="1394">
        <f t="shared" si="1302"/>
        <v>0</v>
      </c>
      <c r="S5041" s="1394">
        <f>IFERROR(VLOOKUP(M5041,#REF!,6,0),0)</f>
        <v>0</v>
      </c>
      <c r="T5041" s="1394"/>
      <c r="U5041" s="1394"/>
      <c r="V5041" s="1394"/>
      <c r="W5041" s="1394"/>
    </row>
    <row r="5042" spans="1:26" ht="30" customHeight="1">
      <c r="B5042" s="1519"/>
      <c r="C5042" s="1502" t="s">
        <v>5546</v>
      </c>
      <c r="D5042" s="103">
        <v>1</v>
      </c>
      <c r="E5042" s="103">
        <v>1</v>
      </c>
      <c r="F5042" s="1413">
        <f>1.8-0.1</f>
        <v>1.7</v>
      </c>
      <c r="G5042" s="1413"/>
      <c r="H5042" s="1413">
        <f>1.8-0.1</f>
        <v>1.7</v>
      </c>
      <c r="I5042" s="1406">
        <f t="shared" ref="I5042" si="1304">PRODUCT(D5042:H5042)</f>
        <v>2.8899999999999997</v>
      </c>
      <c r="Q5042" s="1394">
        <f>IFERROR(VLOOKUP(M5042,#REF!,3,0),0)</f>
        <v>0</v>
      </c>
      <c r="R5042" s="1394">
        <f t="shared" si="1302"/>
        <v>0</v>
      </c>
      <c r="S5042" s="1394">
        <f>IFERROR(VLOOKUP(M5042,#REF!,6,0),0)</f>
        <v>0</v>
      </c>
      <c r="T5042" s="1394"/>
      <c r="U5042" s="1394"/>
      <c r="V5042" s="1394"/>
      <c r="W5042" s="1394"/>
    </row>
    <row r="5043" spans="1:26" ht="30" customHeight="1">
      <c r="B5043" s="1519"/>
      <c r="C5043" s="1502"/>
      <c r="D5043" s="103"/>
      <c r="E5043" s="103"/>
      <c r="F5043" s="1413"/>
      <c r="G5043" s="1413"/>
      <c r="H5043" s="1413"/>
      <c r="I5043" s="1406"/>
      <c r="Q5043" s="1394">
        <f>IFERROR(VLOOKUP(M5043,#REF!,3,0),0)</f>
        <v>0</v>
      </c>
      <c r="R5043" s="1394">
        <f t="shared" si="1302"/>
        <v>0</v>
      </c>
      <c r="S5043" s="1394">
        <f>IFERROR(VLOOKUP(M5043,#REF!,6,0),0)</f>
        <v>0</v>
      </c>
      <c r="T5043" s="1394"/>
      <c r="U5043" s="1394"/>
      <c r="V5043" s="1394"/>
      <c r="W5043" s="1394"/>
    </row>
    <row r="5044" spans="1:26" ht="30" customHeight="1">
      <c r="B5044" s="1519"/>
      <c r="C5044" s="1502"/>
      <c r="D5044" s="103"/>
      <c r="E5044" s="103"/>
      <c r="F5044" s="1413"/>
      <c r="G5044" s="1413"/>
      <c r="H5044" s="1414"/>
      <c r="I5044" s="1406"/>
      <c r="J5044" s="1397"/>
      <c r="K5044" s="1397"/>
      <c r="M5044" s="110"/>
      <c r="Q5044" s="1394">
        <f>IFERROR(VLOOKUP(M5044,#REF!,3,0),0)</f>
        <v>0</v>
      </c>
      <c r="R5044" s="1394">
        <f t="shared" si="1302"/>
        <v>0</v>
      </c>
      <c r="S5044" s="1394">
        <f>IFERROR(VLOOKUP(M5044,#REF!,6,0),0)</f>
        <v>0</v>
      </c>
      <c r="T5044" s="1394">
        <f t="shared" ref="T5044:T5073" si="1305">R5044-S5044</f>
        <v>0</v>
      </c>
      <c r="U5044" s="1394">
        <f>IFERROR(VLOOKUP(M5044,#REF!,5,0),0)</f>
        <v>0</v>
      </c>
      <c r="V5044" s="1394">
        <f t="shared" ref="V5044:V5073" si="1306">O5044-U5044</f>
        <v>0</v>
      </c>
      <c r="W5044" s="1394"/>
    </row>
    <row r="5045" spans="1:26" ht="30" customHeight="1">
      <c r="B5045" s="1519"/>
      <c r="C5045" s="1502"/>
      <c r="D5045" s="103"/>
      <c r="E5045" s="103"/>
      <c r="F5045" s="1413"/>
      <c r="G5045" s="1413"/>
      <c r="H5045" s="1414"/>
      <c r="I5045" s="1406">
        <f>J5046-J5045</f>
        <v>0.33000000000000185</v>
      </c>
      <c r="J5045" s="1397">
        <f>SUM(I5040:I5044)</f>
        <v>8.6699999999999982</v>
      </c>
      <c r="K5045" s="1397"/>
      <c r="M5045" s="110"/>
      <c r="Q5045" s="1394">
        <f>IFERROR(VLOOKUP(M5045,#REF!,3,0),0)</f>
        <v>0</v>
      </c>
      <c r="R5045" s="1394">
        <f t="shared" si="1302"/>
        <v>0</v>
      </c>
      <c r="S5045" s="1394">
        <f>IFERROR(VLOOKUP(M5045,#REF!,6,0),0)</f>
        <v>0</v>
      </c>
      <c r="T5045" s="1394">
        <f t="shared" si="1305"/>
        <v>0</v>
      </c>
      <c r="U5045" s="1394">
        <f>IFERROR(VLOOKUP(M5045,#REF!,5,0),0)</f>
        <v>0</v>
      </c>
      <c r="V5045" s="1394">
        <f t="shared" si="1306"/>
        <v>0</v>
      </c>
      <c r="W5045" s="1394"/>
    </row>
    <row r="5046" spans="1:26" ht="30" customHeight="1">
      <c r="B5046" s="1519"/>
      <c r="C5046" s="1502"/>
      <c r="D5046" s="103"/>
      <c r="E5046" s="103"/>
      <c r="F5046" s="1413"/>
      <c r="G5046" s="1413"/>
      <c r="H5046" s="1414"/>
      <c r="I5046" s="1479">
        <f>SUM(I5040:I5045)</f>
        <v>9</v>
      </c>
      <c r="J5046" s="1397">
        <f>ROUNDUP(J5045,0)</f>
        <v>9</v>
      </c>
      <c r="M5046" s="110"/>
      <c r="Q5046" s="1394">
        <f>IFERROR(VLOOKUP(M5046,#REF!,3,0),0)</f>
        <v>0</v>
      </c>
      <c r="R5046" s="1394">
        <f t="shared" si="1302"/>
        <v>0</v>
      </c>
      <c r="S5046" s="1394">
        <f>IFERROR(VLOOKUP(M5046,#REF!,6,0),0)</f>
        <v>0</v>
      </c>
      <c r="T5046" s="1394">
        <f t="shared" si="1305"/>
        <v>0</v>
      </c>
      <c r="U5046" s="1394">
        <f>IFERROR(VLOOKUP(M5046,#REF!,5,0),0)</f>
        <v>0</v>
      </c>
      <c r="V5046" s="1394">
        <f t="shared" si="1306"/>
        <v>0</v>
      </c>
      <c r="W5046" s="1394"/>
    </row>
    <row r="5047" spans="1:26" ht="30" customHeight="1">
      <c r="B5047" s="1519"/>
      <c r="C5047" s="1502"/>
      <c r="D5047" s="103"/>
      <c r="E5047" s="103"/>
      <c r="F5047" s="1413"/>
      <c r="G5047" s="1483" t="s">
        <v>11</v>
      </c>
      <c r="H5047" s="1478">
        <f>I5046</f>
        <v>9</v>
      </c>
      <c r="I5047" s="1479" t="s">
        <v>26</v>
      </c>
      <c r="M5047" s="1394" t="e">
        <f>A5039</f>
        <v>#REF!</v>
      </c>
      <c r="N5047" s="1394">
        <f>B5039</f>
        <v>0</v>
      </c>
      <c r="O5047" s="1394">
        <f>H5047</f>
        <v>9</v>
      </c>
      <c r="P5047" s="1394" t="str">
        <f>I5047</f>
        <v>Sqm</v>
      </c>
      <c r="Q5047" s="1394">
        <f>IFERROR(VLOOKUP(M5047,#REF!,3,0),0)</f>
        <v>0</v>
      </c>
      <c r="R5047" s="1394">
        <f t="shared" si="1302"/>
        <v>0</v>
      </c>
      <c r="S5047" s="1394">
        <f>IFERROR(VLOOKUP(M5047,#REF!,6,0),0)</f>
        <v>0</v>
      </c>
      <c r="T5047" s="1394">
        <f t="shared" si="1305"/>
        <v>0</v>
      </c>
      <c r="U5047" s="1394">
        <f>IFERROR(VLOOKUP(M5047,#REF!,5,0),0)</f>
        <v>0</v>
      </c>
      <c r="V5047" s="1394">
        <f t="shared" si="1306"/>
        <v>9</v>
      </c>
      <c r="W5047" s="1394"/>
      <c r="X5047" s="1394"/>
    </row>
    <row r="5048" spans="1:26" ht="51.75" customHeight="1">
      <c r="A5048" s="1397" t="e">
        <f>#REF!</f>
        <v>#REF!</v>
      </c>
      <c r="B5048" s="1567"/>
      <c r="C5048" s="1678" t="e">
        <f>VLOOKUP(A5048,#REF!,2,0)</f>
        <v>#REF!</v>
      </c>
      <c r="D5048" s="1678"/>
      <c r="E5048" s="1678"/>
      <c r="F5048" s="1678"/>
      <c r="G5048" s="1678"/>
      <c r="H5048" s="1678"/>
      <c r="I5048" s="1568"/>
      <c r="Q5048" s="1394">
        <f>IFERROR(VLOOKUP(M5048,#REF!,3,0),0)</f>
        <v>0</v>
      </c>
      <c r="R5048" s="1394">
        <f t="shared" si="1302"/>
        <v>0</v>
      </c>
      <c r="S5048" s="1394">
        <f>IFERROR(VLOOKUP(M5048,#REF!,6,0),0)</f>
        <v>0</v>
      </c>
      <c r="T5048" s="1394">
        <f t="shared" si="1305"/>
        <v>0</v>
      </c>
      <c r="U5048" s="1394">
        <f>IFERROR(VLOOKUP(M5048,#REF!,5,0),0)</f>
        <v>0</v>
      </c>
      <c r="V5048" s="1394">
        <f t="shared" si="1306"/>
        <v>0</v>
      </c>
      <c r="W5048" s="1394"/>
      <c r="X5048" s="1397"/>
    </row>
    <row r="5049" spans="1:26" ht="30" customHeight="1">
      <c r="A5049" s="1397"/>
      <c r="B5049" s="1513"/>
      <c r="C5049" s="1412"/>
      <c r="D5049" s="103"/>
      <c r="E5049" s="103"/>
      <c r="F5049" s="1413"/>
      <c r="G5049" s="1413"/>
      <c r="H5049" s="1414"/>
      <c r="I5049" s="1406">
        <f t="shared" ref="I5049:I5051" si="1307">PRODUCT(D5049:H5049)</f>
        <v>0</v>
      </c>
      <c r="L5049" s="1397"/>
      <c r="Q5049" s="1394">
        <f>IFERROR(VLOOKUP(M5049,#REF!,3,0),0)</f>
        <v>0</v>
      </c>
      <c r="R5049" s="1394">
        <f t="shared" si="1302"/>
        <v>0</v>
      </c>
      <c r="S5049" s="1394">
        <f>IFERROR(VLOOKUP(M5049,#REF!,6,0),0)</f>
        <v>0</v>
      </c>
      <c r="T5049" s="1394">
        <f t="shared" si="1305"/>
        <v>0</v>
      </c>
      <c r="U5049" s="1394">
        <f>IFERROR(VLOOKUP(M5049,#REF!,5,0),0)</f>
        <v>0</v>
      </c>
      <c r="V5049" s="1394">
        <f t="shared" si="1306"/>
        <v>0</v>
      </c>
      <c r="W5049" s="1394"/>
    </row>
    <row r="5050" spans="1:26" ht="30" customHeight="1">
      <c r="B5050" s="1567"/>
      <c r="C5050" s="1570" t="s">
        <v>258</v>
      </c>
      <c r="D5050" s="99"/>
      <c r="E5050" s="99"/>
      <c r="F5050" s="1495"/>
      <c r="G5050" s="1495"/>
      <c r="H5050" s="1414"/>
      <c r="I5050" s="1406">
        <f t="shared" si="1307"/>
        <v>0</v>
      </c>
      <c r="Q5050" s="1394">
        <f>IFERROR(VLOOKUP(M5050,#REF!,3,0),0)</f>
        <v>0</v>
      </c>
      <c r="R5050" s="1394">
        <f t="shared" si="1302"/>
        <v>0</v>
      </c>
      <c r="S5050" s="1394">
        <f>IFERROR(VLOOKUP(M5050,#REF!,6,0),0)</f>
        <v>0</v>
      </c>
      <c r="T5050" s="1394">
        <f t="shared" si="1305"/>
        <v>0</v>
      </c>
      <c r="U5050" s="1394">
        <f>IFERROR(VLOOKUP(M5050,#REF!,5,0),0)</f>
        <v>0</v>
      </c>
      <c r="V5050" s="1394">
        <f t="shared" si="1306"/>
        <v>0</v>
      </c>
      <c r="W5050" s="1394"/>
    </row>
    <row r="5051" spans="1:26" ht="30" customHeight="1">
      <c r="B5051" s="1567"/>
      <c r="C5051" s="1570" t="s">
        <v>5521</v>
      </c>
      <c r="D5051" s="103">
        <v>1</v>
      </c>
      <c r="E5051" s="103">
        <v>2</v>
      </c>
      <c r="F5051" s="1413">
        <f>1.5-0.1</f>
        <v>1.4</v>
      </c>
      <c r="G5051" s="1413"/>
      <c r="H5051" s="1413">
        <f>1.8-0.1</f>
        <v>1.7</v>
      </c>
      <c r="I5051" s="1406">
        <f t="shared" si="1307"/>
        <v>4.76</v>
      </c>
      <c r="Q5051" s="1394">
        <f>IFERROR(VLOOKUP(M5051,#REF!,3,0),0)</f>
        <v>0</v>
      </c>
      <c r="R5051" s="1394">
        <f t="shared" si="1302"/>
        <v>0</v>
      </c>
      <c r="S5051" s="1394">
        <f>IFERROR(VLOOKUP(M5051,#REF!,6,0),0)</f>
        <v>0</v>
      </c>
      <c r="T5051" s="1394">
        <f t="shared" si="1305"/>
        <v>0</v>
      </c>
      <c r="U5051" s="1394">
        <f>IFERROR(VLOOKUP(M5051,#REF!,5,0),0)</f>
        <v>0</v>
      </c>
      <c r="V5051" s="1394">
        <f t="shared" si="1306"/>
        <v>0</v>
      </c>
      <c r="W5051" s="1394"/>
    </row>
    <row r="5052" spans="1:26" ht="30" customHeight="1">
      <c r="A5052" s="1397"/>
      <c r="B5052" s="1513"/>
      <c r="C5052" s="1455"/>
      <c r="D5052" s="103"/>
      <c r="E5052" s="103"/>
      <c r="F5052" s="1413"/>
      <c r="G5052" s="1413"/>
      <c r="H5052" s="1414"/>
      <c r="I5052" s="1406"/>
      <c r="J5052" s="1397">
        <f>SUM(I5049:I5052)</f>
        <v>4.76</v>
      </c>
      <c r="K5052" s="1397"/>
      <c r="L5052" s="1397"/>
      <c r="Q5052" s="1394">
        <f>IFERROR(VLOOKUP(M5052,#REF!,3,0),0)</f>
        <v>0</v>
      </c>
      <c r="R5052" s="1394">
        <f t="shared" si="1302"/>
        <v>0</v>
      </c>
      <c r="S5052" s="1394">
        <f>IFERROR(VLOOKUP(M5052,#REF!,6,0),0)</f>
        <v>0</v>
      </c>
      <c r="T5052" s="1394">
        <f t="shared" si="1305"/>
        <v>0</v>
      </c>
      <c r="U5052" s="1394">
        <f>IFERROR(VLOOKUP(M5052,#REF!,5,0),0)</f>
        <v>0</v>
      </c>
      <c r="V5052" s="1394">
        <f t="shared" si="1306"/>
        <v>0</v>
      </c>
      <c r="W5052" s="1394"/>
    </row>
    <row r="5053" spans="1:26" ht="30" customHeight="1">
      <c r="B5053" s="1567"/>
      <c r="C5053" s="73"/>
      <c r="D5053" s="99"/>
      <c r="E5053" s="99"/>
      <c r="F5053" s="1495"/>
      <c r="G5053" s="1495"/>
      <c r="H5053" s="69"/>
      <c r="I5053" s="1568">
        <f>J5053-J5052</f>
        <v>0.24000000000000021</v>
      </c>
      <c r="J5053" s="1397">
        <f>ROUNDUP(J5052,0)</f>
        <v>5</v>
      </c>
      <c r="K5053" s="1397"/>
      <c r="Q5053" s="1394">
        <f>IFERROR(VLOOKUP(M5053,#REF!,3,0),0)</f>
        <v>0</v>
      </c>
      <c r="R5053" s="1394">
        <f t="shared" si="1302"/>
        <v>0</v>
      </c>
      <c r="S5053" s="1394">
        <f>IFERROR(VLOOKUP(M5053,#REF!,6,0),0)</f>
        <v>0</v>
      </c>
      <c r="T5053" s="1394">
        <f t="shared" si="1305"/>
        <v>0</v>
      </c>
      <c r="U5053" s="1394">
        <f>IFERROR(VLOOKUP(M5053,#REF!,5,0),0)</f>
        <v>0</v>
      </c>
      <c r="V5053" s="1394">
        <f t="shared" si="1306"/>
        <v>0</v>
      </c>
      <c r="W5053" s="1394"/>
    </row>
    <row r="5054" spans="1:26" ht="30" customHeight="1">
      <c r="B5054" s="1567"/>
      <c r="C5054" s="73"/>
      <c r="D5054" s="99"/>
      <c r="E5054" s="99"/>
      <c r="F5054" s="1495"/>
      <c r="G5054" s="1511"/>
      <c r="H5054" s="97"/>
      <c r="I5054" s="1569">
        <f>SUM(I5049:I5053)</f>
        <v>5</v>
      </c>
      <c r="Q5054" s="1394">
        <f>IFERROR(VLOOKUP(M5054,#REF!,3,0),0)</f>
        <v>0</v>
      </c>
      <c r="R5054" s="1394">
        <f t="shared" si="1302"/>
        <v>0</v>
      </c>
      <c r="S5054" s="1394">
        <f>IFERROR(VLOOKUP(M5054,#REF!,6,0),0)</f>
        <v>0</v>
      </c>
      <c r="T5054" s="1394">
        <f t="shared" si="1305"/>
        <v>0</v>
      </c>
      <c r="U5054" s="1394">
        <f>IFERROR(VLOOKUP(M5054,#REF!,5,0),0)</f>
        <v>0</v>
      </c>
      <c r="V5054" s="1394">
        <f t="shared" si="1306"/>
        <v>0</v>
      </c>
      <c r="W5054" s="1394"/>
    </row>
    <row r="5055" spans="1:26" ht="30" customHeight="1">
      <c r="B5055" s="1567"/>
      <c r="C5055" s="73"/>
      <c r="D5055" s="99"/>
      <c r="E5055" s="99"/>
      <c r="F5055" s="1495"/>
      <c r="G5055" s="1483" t="s">
        <v>11</v>
      </c>
      <c r="H5055" s="1393">
        <f>+I5054</f>
        <v>5</v>
      </c>
      <c r="I5055" s="1479" t="s">
        <v>26</v>
      </c>
      <c r="M5055" s="1394" t="e">
        <f>A5048</f>
        <v>#REF!</v>
      </c>
      <c r="N5055" s="1394">
        <f>B5048</f>
        <v>0</v>
      </c>
      <c r="O5055" s="1394">
        <f>H5055</f>
        <v>5</v>
      </c>
      <c r="P5055" s="1394" t="str">
        <f>I5055</f>
        <v>Sqm</v>
      </c>
      <c r="Q5055" s="1394">
        <f>IFERROR(VLOOKUP(M5055,#REF!,3,0),0)</f>
        <v>0</v>
      </c>
      <c r="R5055" s="1394">
        <f t="shared" si="1302"/>
        <v>0</v>
      </c>
      <c r="S5055" s="1394">
        <f>IFERROR(VLOOKUP(M5055,#REF!,6,0),0)</f>
        <v>0</v>
      </c>
      <c r="T5055" s="1394">
        <f t="shared" si="1305"/>
        <v>0</v>
      </c>
      <c r="U5055" s="1394">
        <f>IFERROR(VLOOKUP(M5055,#REF!,5,0),0)</f>
        <v>0</v>
      </c>
      <c r="V5055" s="1394">
        <f t="shared" si="1306"/>
        <v>5</v>
      </c>
      <c r="W5055" s="1394"/>
      <c r="Z5055" s="1394"/>
    </row>
    <row r="5056" spans="1:26" ht="30" customHeight="1">
      <c r="B5056" s="1407"/>
      <c r="C5056" s="1455"/>
      <c r="D5056" s="103"/>
      <c r="E5056" s="103"/>
      <c r="F5056" s="1413"/>
      <c r="G5056" s="1413"/>
      <c r="H5056" s="1414"/>
      <c r="I5056" s="1406"/>
      <c r="Q5056" s="1394">
        <f>IFERROR(VLOOKUP(M5056,#REF!,3,0),0)</f>
        <v>0</v>
      </c>
      <c r="R5056" s="1394">
        <f t="shared" si="1302"/>
        <v>0</v>
      </c>
      <c r="S5056" s="1394">
        <f>IFERROR(VLOOKUP(M5056,#REF!,6,0),0)</f>
        <v>0</v>
      </c>
      <c r="T5056" s="1394">
        <f t="shared" si="1305"/>
        <v>0</v>
      </c>
      <c r="U5056" s="1394">
        <f>IFERROR(VLOOKUP(M5056,#REF!,5,0),0)</f>
        <v>0</v>
      </c>
      <c r="V5056" s="1394">
        <f t="shared" si="1306"/>
        <v>0</v>
      </c>
      <c r="W5056" s="1394"/>
    </row>
    <row r="5057" spans="1:26" ht="39.75" customHeight="1">
      <c r="A5057" s="1397" t="e">
        <f>#REF!</f>
        <v>#REF!</v>
      </c>
      <c r="B5057" s="1567"/>
      <c r="C5057" s="1678" t="e">
        <f>VLOOKUP(A5057,#REF!,2,0)</f>
        <v>#REF!</v>
      </c>
      <c r="D5057" s="1678"/>
      <c r="E5057" s="1678"/>
      <c r="F5057" s="1678"/>
      <c r="G5057" s="1678"/>
      <c r="H5057" s="1678"/>
      <c r="I5057" s="1568"/>
      <c r="Q5057" s="1394">
        <f>IFERROR(VLOOKUP(M5057,#REF!,3,0),0)</f>
        <v>0</v>
      </c>
      <c r="R5057" s="1394">
        <f t="shared" si="1302"/>
        <v>0</v>
      </c>
      <c r="S5057" s="1394">
        <f>IFERROR(VLOOKUP(M5057,#REF!,6,0),0)</f>
        <v>0</v>
      </c>
      <c r="T5057" s="1394">
        <f t="shared" si="1305"/>
        <v>0</v>
      </c>
      <c r="U5057" s="1394">
        <f>IFERROR(VLOOKUP(M5057,#REF!,5,0),0)</f>
        <v>0</v>
      </c>
      <c r="V5057" s="1394">
        <f t="shared" si="1306"/>
        <v>0</v>
      </c>
      <c r="W5057" s="1394"/>
      <c r="X5057" s="1397"/>
    </row>
    <row r="5058" spans="1:26" ht="30" customHeight="1">
      <c r="A5058" s="1397"/>
      <c r="B5058" s="1513"/>
      <c r="C5058" s="1412" t="s">
        <v>259</v>
      </c>
      <c r="D5058" s="103"/>
      <c r="E5058" s="103"/>
      <c r="F5058" s="1413"/>
      <c r="G5058" s="1413"/>
      <c r="H5058" s="1414"/>
      <c r="I5058" s="1406"/>
      <c r="L5058" s="1397"/>
      <c r="Q5058" s="1394">
        <f>IFERROR(VLOOKUP(M5058,#REF!,3,0),0)</f>
        <v>0</v>
      </c>
      <c r="R5058" s="1394">
        <f t="shared" si="1302"/>
        <v>0</v>
      </c>
      <c r="S5058" s="1394">
        <f>IFERROR(VLOOKUP(M5058,#REF!,6,0),0)</f>
        <v>0</v>
      </c>
      <c r="T5058" s="1394">
        <f t="shared" si="1305"/>
        <v>0</v>
      </c>
      <c r="U5058" s="1394">
        <f>IFERROR(VLOOKUP(M5058,#REF!,5,0),0)</f>
        <v>0</v>
      </c>
      <c r="V5058" s="1394">
        <f t="shared" si="1306"/>
        <v>0</v>
      </c>
      <c r="W5058" s="1394"/>
    </row>
    <row r="5059" spans="1:26" ht="30" customHeight="1">
      <c r="A5059" s="1397"/>
      <c r="B5059" s="1513"/>
      <c r="C5059" s="1455" t="s">
        <v>5554</v>
      </c>
      <c r="D5059" s="103">
        <v>1</v>
      </c>
      <c r="E5059" s="103">
        <v>2</v>
      </c>
      <c r="F5059" s="1413">
        <f>1.2-0.1</f>
        <v>1.0999999999999999</v>
      </c>
      <c r="G5059" s="1413"/>
      <c r="H5059" s="1413">
        <f>1.8-0.1</f>
        <v>1.7</v>
      </c>
      <c r="I5059" s="1406">
        <f t="shared" ref="I5059" si="1308">PRODUCT(D5059:H5059)</f>
        <v>3.7399999999999993</v>
      </c>
      <c r="L5059" s="1397"/>
      <c r="Q5059" s="1394">
        <f>IFERROR(VLOOKUP(M5059,#REF!,3,0),0)</f>
        <v>0</v>
      </c>
      <c r="R5059" s="1394">
        <f t="shared" si="1302"/>
        <v>0</v>
      </c>
      <c r="S5059" s="1394">
        <f>IFERROR(VLOOKUP(M5059,#REF!,6,0),0)</f>
        <v>0</v>
      </c>
      <c r="T5059" s="1394">
        <f t="shared" si="1305"/>
        <v>0</v>
      </c>
      <c r="U5059" s="1394">
        <f>IFERROR(VLOOKUP(M5059,#REF!,5,0),0)</f>
        <v>0</v>
      </c>
      <c r="V5059" s="1394">
        <f t="shared" si="1306"/>
        <v>0</v>
      </c>
      <c r="W5059" s="1394"/>
    </row>
    <row r="5060" spans="1:26" ht="30" customHeight="1">
      <c r="B5060" s="1567"/>
      <c r="C5060" s="1576" t="s">
        <v>260</v>
      </c>
      <c r="D5060" s="99"/>
      <c r="E5060" s="99"/>
      <c r="F5060" s="1495"/>
      <c r="G5060" s="1495"/>
      <c r="H5060" s="1414"/>
      <c r="I5060" s="1406">
        <f t="shared" ref="I5060:I5064" si="1309">PRODUCT(D5060:H5060)</f>
        <v>0</v>
      </c>
      <c r="M5060" s="110"/>
      <c r="Q5060" s="1394">
        <f>IFERROR(VLOOKUP(M5060,#REF!,3,0),0)</f>
        <v>0</v>
      </c>
      <c r="R5060" s="1394">
        <f t="shared" si="1302"/>
        <v>0</v>
      </c>
      <c r="S5060" s="1394">
        <f>IFERROR(VLOOKUP(M5060,#REF!,6,0),0)</f>
        <v>0</v>
      </c>
      <c r="T5060" s="1394">
        <f t="shared" si="1305"/>
        <v>0</v>
      </c>
      <c r="U5060" s="1394">
        <f>IFERROR(VLOOKUP(M5060,#REF!,5,0),0)</f>
        <v>0</v>
      </c>
      <c r="V5060" s="1394">
        <f t="shared" si="1306"/>
        <v>0</v>
      </c>
      <c r="W5060" s="1394"/>
    </row>
    <row r="5061" spans="1:26" ht="30" customHeight="1">
      <c r="B5061" s="1567"/>
      <c r="C5061" s="1570" t="s">
        <v>5547</v>
      </c>
      <c r="D5061" s="99">
        <v>1</v>
      </c>
      <c r="E5061" s="99">
        <v>2</v>
      </c>
      <c r="F5061" s="1413">
        <f>1.2-0.1</f>
        <v>1.0999999999999999</v>
      </c>
      <c r="G5061" s="1413"/>
      <c r="H5061" s="1413">
        <f>1.8-0.1</f>
        <v>1.7</v>
      </c>
      <c r="I5061" s="1406">
        <f t="shared" si="1309"/>
        <v>3.7399999999999993</v>
      </c>
      <c r="M5061" s="110"/>
      <c r="Q5061" s="1394">
        <f>IFERROR(VLOOKUP(M5061,#REF!,3,0),0)</f>
        <v>0</v>
      </c>
      <c r="R5061" s="1394">
        <f t="shared" si="1302"/>
        <v>0</v>
      </c>
      <c r="S5061" s="1394">
        <f>IFERROR(VLOOKUP(M5061,#REF!,6,0),0)</f>
        <v>0</v>
      </c>
      <c r="T5061" s="1394">
        <f t="shared" si="1305"/>
        <v>0</v>
      </c>
      <c r="U5061" s="1394">
        <f>IFERROR(VLOOKUP(M5061,#REF!,5,0),0)</f>
        <v>0</v>
      </c>
      <c r="V5061" s="1394">
        <f t="shared" si="1306"/>
        <v>0</v>
      </c>
      <c r="W5061" s="1394"/>
    </row>
    <row r="5062" spans="1:26" ht="30" customHeight="1">
      <c r="B5062" s="1567"/>
      <c r="C5062" s="1576" t="s">
        <v>261</v>
      </c>
      <c r="D5062" s="99"/>
      <c r="E5062" s="99"/>
      <c r="F5062" s="1495"/>
      <c r="G5062" s="1495"/>
      <c r="H5062" s="1414"/>
      <c r="I5062" s="1406">
        <f t="shared" si="1309"/>
        <v>0</v>
      </c>
      <c r="M5062" s="110"/>
      <c r="Q5062" s="1394">
        <f>IFERROR(VLOOKUP(M5062,#REF!,3,0),0)</f>
        <v>0</v>
      </c>
      <c r="R5062" s="1394">
        <f t="shared" si="1302"/>
        <v>0</v>
      </c>
      <c r="S5062" s="1394">
        <f>IFERROR(VLOOKUP(M5062,#REF!,6,0),0)</f>
        <v>0</v>
      </c>
      <c r="T5062" s="1394">
        <f t="shared" si="1305"/>
        <v>0</v>
      </c>
      <c r="U5062" s="1394">
        <f>IFERROR(VLOOKUP(M5062,#REF!,5,0),0)</f>
        <v>0</v>
      </c>
      <c r="V5062" s="1394">
        <f t="shared" si="1306"/>
        <v>0</v>
      </c>
      <c r="W5062" s="1394"/>
    </row>
    <row r="5063" spans="1:26" ht="30" customHeight="1">
      <c r="B5063" s="1567"/>
      <c r="C5063" s="1570" t="s">
        <v>5547</v>
      </c>
      <c r="D5063" s="99">
        <v>1</v>
      </c>
      <c r="E5063" s="99">
        <v>2</v>
      </c>
      <c r="F5063" s="1413">
        <f>1.2-0.1</f>
        <v>1.0999999999999999</v>
      </c>
      <c r="G5063" s="1413"/>
      <c r="H5063" s="1413">
        <f>1.8-0.1</f>
        <v>1.7</v>
      </c>
      <c r="I5063" s="1406">
        <f t="shared" si="1309"/>
        <v>3.7399999999999993</v>
      </c>
      <c r="M5063" s="110"/>
      <c r="Q5063" s="1394">
        <f>IFERROR(VLOOKUP(M5063,#REF!,3,0),0)</f>
        <v>0</v>
      </c>
      <c r="R5063" s="1394">
        <f t="shared" si="1302"/>
        <v>0</v>
      </c>
      <c r="S5063" s="1394">
        <f>IFERROR(VLOOKUP(M5063,#REF!,6,0),0)</f>
        <v>0</v>
      </c>
      <c r="T5063" s="1394">
        <f t="shared" si="1305"/>
        <v>0</v>
      </c>
      <c r="U5063" s="1394">
        <f>IFERROR(VLOOKUP(M5063,#REF!,5,0),0)</f>
        <v>0</v>
      </c>
      <c r="V5063" s="1394">
        <f t="shared" si="1306"/>
        <v>0</v>
      </c>
      <c r="W5063" s="1394"/>
    </row>
    <row r="5064" spans="1:26" ht="30" customHeight="1">
      <c r="B5064" s="1567"/>
      <c r="C5064" s="1570"/>
      <c r="D5064" s="99"/>
      <c r="E5064" s="99"/>
      <c r="F5064" s="1495"/>
      <c r="G5064" s="1495"/>
      <c r="H5064" s="1414"/>
      <c r="I5064" s="1406">
        <f t="shared" si="1309"/>
        <v>0</v>
      </c>
      <c r="M5064" s="110"/>
      <c r="Q5064" s="1394">
        <f>IFERROR(VLOOKUP(M5064,#REF!,3,0),0)</f>
        <v>0</v>
      </c>
      <c r="R5064" s="1394">
        <f t="shared" si="1302"/>
        <v>0</v>
      </c>
      <c r="S5064" s="1394">
        <f>IFERROR(VLOOKUP(M5064,#REF!,6,0),0)</f>
        <v>0</v>
      </c>
      <c r="T5064" s="1394">
        <f t="shared" si="1305"/>
        <v>0</v>
      </c>
      <c r="U5064" s="1394">
        <f>IFERROR(VLOOKUP(M5064,#REF!,5,0),0)</f>
        <v>0</v>
      </c>
      <c r="V5064" s="1394">
        <f t="shared" si="1306"/>
        <v>0</v>
      </c>
      <c r="W5064" s="1394"/>
    </row>
    <row r="5065" spans="1:26" ht="30" customHeight="1">
      <c r="A5065" s="1397"/>
      <c r="B5065" s="1513"/>
      <c r="C5065" s="1455"/>
      <c r="D5065" s="103"/>
      <c r="E5065" s="103"/>
      <c r="F5065" s="1413"/>
      <c r="G5065" s="1413"/>
      <c r="H5065" s="1414"/>
      <c r="I5065" s="1406"/>
      <c r="J5065" s="1397">
        <f>SUM(I5059:I5065)</f>
        <v>11.219999999999999</v>
      </c>
      <c r="K5065" s="1397"/>
      <c r="L5065" s="1397"/>
      <c r="Q5065" s="1394">
        <f>IFERROR(VLOOKUP(M5065,#REF!,3,0),0)</f>
        <v>0</v>
      </c>
      <c r="R5065" s="1394">
        <f t="shared" si="1302"/>
        <v>0</v>
      </c>
      <c r="S5065" s="1394">
        <f>IFERROR(VLOOKUP(M5065,#REF!,6,0),0)</f>
        <v>0</v>
      </c>
      <c r="T5065" s="1394">
        <f t="shared" si="1305"/>
        <v>0</v>
      </c>
      <c r="U5065" s="1394">
        <f>IFERROR(VLOOKUP(M5065,#REF!,5,0),0)</f>
        <v>0</v>
      </c>
      <c r="V5065" s="1394">
        <f t="shared" si="1306"/>
        <v>0</v>
      </c>
      <c r="W5065" s="1394"/>
    </row>
    <row r="5066" spans="1:26" ht="30" customHeight="1">
      <c r="B5066" s="1567"/>
      <c r="C5066" s="73"/>
      <c r="D5066" s="99"/>
      <c r="E5066" s="99"/>
      <c r="F5066" s="1495"/>
      <c r="G5066" s="1495"/>
      <c r="H5066" s="69"/>
      <c r="I5066" s="1568">
        <f>J5066-J5065</f>
        <v>0.78000000000000114</v>
      </c>
      <c r="J5066" s="1397">
        <f>ROUNDUP(J5065,0)</f>
        <v>12</v>
      </c>
      <c r="K5066" s="1397"/>
      <c r="Q5066" s="1394">
        <f>IFERROR(VLOOKUP(M5066,#REF!,3,0),0)</f>
        <v>0</v>
      </c>
      <c r="R5066" s="1394">
        <f t="shared" si="1302"/>
        <v>0</v>
      </c>
      <c r="S5066" s="1394">
        <f>IFERROR(VLOOKUP(M5066,#REF!,6,0),0)</f>
        <v>0</v>
      </c>
      <c r="T5066" s="1394">
        <f t="shared" si="1305"/>
        <v>0</v>
      </c>
      <c r="U5066" s="1394">
        <f>IFERROR(VLOOKUP(M5066,#REF!,5,0),0)</f>
        <v>0</v>
      </c>
      <c r="V5066" s="1394">
        <f t="shared" si="1306"/>
        <v>0</v>
      </c>
      <c r="W5066" s="1394"/>
    </row>
    <row r="5067" spans="1:26" ht="30" customHeight="1">
      <c r="B5067" s="1567"/>
      <c r="C5067" s="73"/>
      <c r="D5067" s="99"/>
      <c r="E5067" s="99"/>
      <c r="F5067" s="1495"/>
      <c r="G5067" s="1511"/>
      <c r="H5067" s="97"/>
      <c r="I5067" s="1569">
        <f>SUM(I5058:I5066)</f>
        <v>12</v>
      </c>
      <c r="Q5067" s="1394">
        <f>IFERROR(VLOOKUP(M5067,#REF!,3,0),0)</f>
        <v>0</v>
      </c>
      <c r="R5067" s="1394">
        <f t="shared" si="1302"/>
        <v>0</v>
      </c>
      <c r="S5067" s="1394">
        <f>IFERROR(VLOOKUP(M5067,#REF!,6,0),0)</f>
        <v>0</v>
      </c>
      <c r="T5067" s="1394">
        <f t="shared" si="1305"/>
        <v>0</v>
      </c>
      <c r="U5067" s="1394">
        <f>IFERROR(VLOOKUP(M5067,#REF!,5,0),0)</f>
        <v>0</v>
      </c>
      <c r="V5067" s="1394">
        <f t="shared" si="1306"/>
        <v>0</v>
      </c>
      <c r="W5067" s="1394"/>
    </row>
    <row r="5068" spans="1:26" ht="30" customHeight="1">
      <c r="B5068" s="1567"/>
      <c r="C5068" s="73"/>
      <c r="D5068" s="99"/>
      <c r="E5068" s="99"/>
      <c r="F5068" s="1495"/>
      <c r="G5068" s="1483" t="s">
        <v>11</v>
      </c>
      <c r="H5068" s="1393">
        <f>+I5067</f>
        <v>12</v>
      </c>
      <c r="I5068" s="1479" t="s">
        <v>26</v>
      </c>
      <c r="M5068" s="1394" t="e">
        <f>A5057</f>
        <v>#REF!</v>
      </c>
      <c r="N5068" s="1394">
        <f>B5057</f>
        <v>0</v>
      </c>
      <c r="O5068" s="1394">
        <f>H5068</f>
        <v>12</v>
      </c>
      <c r="P5068" s="1394" t="str">
        <f>I5068</f>
        <v>Sqm</v>
      </c>
      <c r="Q5068" s="1394">
        <f>IFERROR(VLOOKUP(M5068,#REF!,3,0),0)</f>
        <v>0</v>
      </c>
      <c r="R5068" s="1394">
        <f t="shared" si="1302"/>
        <v>0</v>
      </c>
      <c r="S5068" s="1394">
        <f>IFERROR(VLOOKUP(M5068,#REF!,6,0),0)</f>
        <v>0</v>
      </c>
      <c r="T5068" s="1394">
        <f t="shared" si="1305"/>
        <v>0</v>
      </c>
      <c r="U5068" s="1394">
        <f>IFERROR(VLOOKUP(M5068,#REF!,5,0),0)</f>
        <v>0</v>
      </c>
      <c r="V5068" s="1394">
        <f t="shared" si="1306"/>
        <v>12</v>
      </c>
      <c r="W5068" s="1394"/>
      <c r="Z5068" s="1394"/>
    </row>
    <row r="5069" spans="1:26" ht="41.25" customHeight="1">
      <c r="A5069" s="1397" t="e">
        <f>#REF!</f>
        <v>#REF!</v>
      </c>
      <c r="B5069" s="1567"/>
      <c r="C5069" s="1678" t="e">
        <f>VLOOKUP(A5069,#REF!,2,0)</f>
        <v>#REF!</v>
      </c>
      <c r="D5069" s="1678"/>
      <c r="E5069" s="1678"/>
      <c r="F5069" s="1678"/>
      <c r="G5069" s="1678"/>
      <c r="H5069" s="1678"/>
      <c r="I5069" s="1568"/>
      <c r="Q5069" s="1394">
        <f>IFERROR(VLOOKUP(M5069,#REF!,3,0),0)</f>
        <v>0</v>
      </c>
      <c r="R5069" s="1394">
        <f t="shared" si="1302"/>
        <v>0</v>
      </c>
      <c r="S5069" s="1394">
        <f>IFERROR(VLOOKUP(M5069,#REF!,6,0),0)</f>
        <v>0</v>
      </c>
      <c r="T5069" s="1394">
        <f t="shared" si="1305"/>
        <v>0</v>
      </c>
      <c r="U5069" s="1394">
        <f>IFERROR(VLOOKUP(M5069,#REF!,5,0),0)</f>
        <v>0</v>
      </c>
      <c r="V5069" s="1394">
        <f t="shared" si="1306"/>
        <v>0</v>
      </c>
      <c r="W5069" s="1394"/>
    </row>
    <row r="5070" spans="1:26" ht="30" customHeight="1">
      <c r="B5070" s="1513"/>
      <c r="C5070" s="1455" t="s">
        <v>259</v>
      </c>
      <c r="D5070" s="103"/>
      <c r="E5070" s="103"/>
      <c r="F5070" s="1413"/>
      <c r="G5070" s="1413"/>
      <c r="H5070" s="1414"/>
      <c r="I5070" s="1406"/>
      <c r="L5070" s="1397"/>
      <c r="Q5070" s="1394">
        <f>IFERROR(VLOOKUP(M5070,#REF!,3,0),0)</f>
        <v>0</v>
      </c>
      <c r="R5070" s="1394">
        <f t="shared" si="1302"/>
        <v>0</v>
      </c>
      <c r="S5070" s="1394">
        <f>IFERROR(VLOOKUP(M5070,#REF!,6,0),0)</f>
        <v>0</v>
      </c>
      <c r="T5070" s="1394">
        <f t="shared" si="1305"/>
        <v>0</v>
      </c>
      <c r="U5070" s="1394">
        <f>IFERROR(VLOOKUP(M5070,#REF!,5,0),0)</f>
        <v>0</v>
      </c>
      <c r="V5070" s="1394">
        <f t="shared" si="1306"/>
        <v>0</v>
      </c>
      <c r="W5070" s="1394"/>
    </row>
    <row r="5071" spans="1:26" ht="30" customHeight="1">
      <c r="B5071" s="1513"/>
      <c r="C5071" s="1455" t="s">
        <v>5547</v>
      </c>
      <c r="D5071" s="103">
        <v>1</v>
      </c>
      <c r="E5071" s="103">
        <v>2</v>
      </c>
      <c r="F5071" s="1413">
        <f>0.813-0.1</f>
        <v>0.71299999999999997</v>
      </c>
      <c r="G5071" s="1413"/>
      <c r="H5071" s="1413">
        <f>1.8-0.1</f>
        <v>1.7</v>
      </c>
      <c r="I5071" s="1406">
        <f t="shared" ref="I5071" si="1310">PRODUCT(D5071:H5071)</f>
        <v>2.4241999999999999</v>
      </c>
      <c r="L5071" s="1397"/>
      <c r="Q5071" s="1394">
        <f>IFERROR(VLOOKUP(M5071,#REF!,3,0),0)</f>
        <v>0</v>
      </c>
      <c r="R5071" s="1394">
        <f t="shared" si="1302"/>
        <v>0</v>
      </c>
      <c r="S5071" s="1394">
        <f>IFERROR(VLOOKUP(M5071,#REF!,6,0),0)</f>
        <v>0</v>
      </c>
      <c r="T5071" s="1394">
        <f t="shared" si="1305"/>
        <v>0</v>
      </c>
      <c r="U5071" s="1394">
        <f>IFERROR(VLOOKUP(M5071,#REF!,5,0),0)</f>
        <v>0</v>
      </c>
      <c r="V5071" s="1394">
        <f t="shared" si="1306"/>
        <v>0</v>
      </c>
      <c r="W5071" s="1394"/>
    </row>
    <row r="5072" spans="1:26" ht="30" customHeight="1">
      <c r="B5072" s="1567"/>
      <c r="C5072" s="1570" t="s">
        <v>260</v>
      </c>
      <c r="D5072" s="99"/>
      <c r="E5072" s="99"/>
      <c r="F5072" s="1495"/>
      <c r="G5072" s="1495"/>
      <c r="H5072" s="1414"/>
      <c r="I5072" s="1406">
        <f t="shared" ref="I5072:I5076" si="1311">PRODUCT(D5072:H5072)</f>
        <v>0</v>
      </c>
      <c r="M5072" s="110"/>
      <c r="Q5072" s="1394">
        <f>IFERROR(VLOOKUP(M5072,#REF!,3,0),0)</f>
        <v>0</v>
      </c>
      <c r="R5072" s="1394">
        <f t="shared" si="1302"/>
        <v>0</v>
      </c>
      <c r="S5072" s="1394">
        <f>IFERROR(VLOOKUP(M5072,#REF!,6,0),0)</f>
        <v>0</v>
      </c>
      <c r="T5072" s="1394">
        <f t="shared" si="1305"/>
        <v>0</v>
      </c>
      <c r="U5072" s="1394">
        <f>IFERROR(VLOOKUP(M5072,#REF!,5,0),0)</f>
        <v>0</v>
      </c>
      <c r="V5072" s="1394">
        <f t="shared" si="1306"/>
        <v>0</v>
      </c>
      <c r="W5072" s="1394"/>
    </row>
    <row r="5073" spans="1:24" ht="30" customHeight="1">
      <c r="B5073" s="1567"/>
      <c r="C5073" s="1570" t="s">
        <v>5547</v>
      </c>
      <c r="D5073" s="99">
        <v>1</v>
      </c>
      <c r="E5073" s="99">
        <v>2</v>
      </c>
      <c r="F5073" s="1413">
        <f>0.813-0.1</f>
        <v>0.71299999999999997</v>
      </c>
      <c r="G5073" s="1413"/>
      <c r="H5073" s="1413">
        <f>1.8-0.1</f>
        <v>1.7</v>
      </c>
      <c r="I5073" s="1406">
        <f t="shared" si="1311"/>
        <v>2.4241999999999999</v>
      </c>
      <c r="M5073" s="110"/>
      <c r="Q5073" s="1394">
        <f>IFERROR(VLOOKUP(M5073,#REF!,3,0),0)</f>
        <v>0</v>
      </c>
      <c r="R5073" s="1394">
        <f t="shared" si="1302"/>
        <v>0</v>
      </c>
      <c r="S5073" s="1394">
        <f>IFERROR(VLOOKUP(M5073,#REF!,6,0),0)</f>
        <v>0</v>
      </c>
      <c r="T5073" s="1394">
        <f t="shared" si="1305"/>
        <v>0</v>
      </c>
      <c r="U5073" s="1394">
        <f>IFERROR(VLOOKUP(M5073,#REF!,5,0),0)</f>
        <v>0</v>
      </c>
      <c r="V5073" s="1394">
        <f t="shared" si="1306"/>
        <v>0</v>
      </c>
      <c r="W5073" s="1394"/>
    </row>
    <row r="5074" spans="1:24" ht="30" customHeight="1">
      <c r="B5074" s="1567"/>
      <c r="C5074" s="1570" t="s">
        <v>261</v>
      </c>
      <c r="D5074" s="99"/>
      <c r="E5074" s="99"/>
      <c r="F5074" s="1495"/>
      <c r="G5074" s="1495"/>
      <c r="H5074" s="1414"/>
      <c r="I5074" s="1406">
        <f t="shared" si="1311"/>
        <v>0</v>
      </c>
      <c r="M5074" s="110"/>
      <c r="Q5074" s="1394">
        <f>IFERROR(VLOOKUP(M5074,#REF!,3,0),0)</f>
        <v>0</v>
      </c>
      <c r="R5074" s="1394">
        <f t="shared" si="1302"/>
        <v>0</v>
      </c>
      <c r="S5074" s="1394">
        <f>IFERROR(VLOOKUP(M5074,#REF!,6,0),0)</f>
        <v>0</v>
      </c>
      <c r="T5074" s="1394">
        <f t="shared" ref="T5074:T5101" si="1312">R5074-S5074</f>
        <v>0</v>
      </c>
      <c r="U5074" s="1394">
        <f>IFERROR(VLOOKUP(M5074,#REF!,5,0),0)</f>
        <v>0</v>
      </c>
      <c r="V5074" s="1394">
        <f t="shared" ref="V5074:V5101" si="1313">O5074-U5074</f>
        <v>0</v>
      </c>
      <c r="W5074" s="1394"/>
    </row>
    <row r="5075" spans="1:24" ht="30" customHeight="1">
      <c r="B5075" s="1567"/>
      <c r="C5075" s="1570" t="s">
        <v>5547</v>
      </c>
      <c r="D5075" s="99">
        <v>1</v>
      </c>
      <c r="E5075" s="99">
        <v>2</v>
      </c>
      <c r="F5075" s="1413">
        <f>0.813-0.1</f>
        <v>0.71299999999999997</v>
      </c>
      <c r="G5075" s="1413"/>
      <c r="H5075" s="1413">
        <f>1.8-0.1</f>
        <v>1.7</v>
      </c>
      <c r="I5075" s="1406">
        <f t="shared" si="1311"/>
        <v>2.4241999999999999</v>
      </c>
      <c r="M5075" s="110"/>
      <c r="Q5075" s="1394">
        <f>IFERROR(VLOOKUP(M5075,#REF!,3,0),0)</f>
        <v>0</v>
      </c>
      <c r="R5075" s="1394">
        <f t="shared" si="1302"/>
        <v>0</v>
      </c>
      <c r="S5075" s="1394">
        <f>IFERROR(VLOOKUP(M5075,#REF!,6,0),0)</f>
        <v>0</v>
      </c>
      <c r="T5075" s="1394">
        <f t="shared" si="1312"/>
        <v>0</v>
      </c>
      <c r="U5075" s="1394">
        <f>IFERROR(VLOOKUP(M5075,#REF!,5,0),0)</f>
        <v>0</v>
      </c>
      <c r="V5075" s="1394">
        <f t="shared" si="1313"/>
        <v>0</v>
      </c>
      <c r="W5075" s="1394"/>
    </row>
    <row r="5076" spans="1:24" ht="30" customHeight="1">
      <c r="B5076" s="1513"/>
      <c r="C5076" s="1497"/>
      <c r="D5076" s="99"/>
      <c r="E5076" s="99"/>
      <c r="F5076" s="1495"/>
      <c r="G5076" s="1413"/>
      <c r="H5076" s="1414"/>
      <c r="I5076" s="1406">
        <f t="shared" si="1311"/>
        <v>0</v>
      </c>
      <c r="J5076" s="1397">
        <f>SUM(I5071:I5076)</f>
        <v>7.2725999999999997</v>
      </c>
      <c r="K5076" s="1397"/>
      <c r="L5076" s="1397"/>
      <c r="Q5076" s="1394">
        <f>IFERROR(VLOOKUP(M5076,#REF!,3,0),0)</f>
        <v>0</v>
      </c>
      <c r="R5076" s="1394">
        <f t="shared" si="1302"/>
        <v>0</v>
      </c>
      <c r="S5076" s="1394">
        <f>IFERROR(VLOOKUP(M5076,#REF!,6,0),0)</f>
        <v>0</v>
      </c>
      <c r="T5076" s="1394">
        <f t="shared" si="1312"/>
        <v>0</v>
      </c>
      <c r="U5076" s="1394">
        <f>IFERROR(VLOOKUP(M5076,#REF!,5,0),0)</f>
        <v>0</v>
      </c>
      <c r="V5076" s="1394">
        <f t="shared" si="1313"/>
        <v>0</v>
      </c>
      <c r="W5076" s="1394"/>
    </row>
    <row r="5077" spans="1:24" ht="30" customHeight="1">
      <c r="B5077" s="1567"/>
      <c r="C5077" s="73"/>
      <c r="D5077" s="99"/>
      <c r="E5077" s="99"/>
      <c r="F5077" s="1495"/>
      <c r="G5077" s="1495"/>
      <c r="H5077" s="69"/>
      <c r="I5077" s="1568">
        <f>J5077-J5076</f>
        <v>0.72740000000000027</v>
      </c>
      <c r="J5077" s="1397">
        <f>ROUNDUP(J5076,0)</f>
        <v>8</v>
      </c>
      <c r="K5077" s="1397"/>
      <c r="Q5077" s="1394">
        <f>IFERROR(VLOOKUP(M5077,#REF!,3,0),0)</f>
        <v>0</v>
      </c>
      <c r="R5077" s="1394">
        <f t="shared" si="1302"/>
        <v>0</v>
      </c>
      <c r="S5077" s="1394">
        <f>IFERROR(VLOOKUP(M5077,#REF!,6,0),0)</f>
        <v>0</v>
      </c>
      <c r="T5077" s="1394">
        <f t="shared" si="1312"/>
        <v>0</v>
      </c>
      <c r="U5077" s="1394">
        <f>IFERROR(VLOOKUP(M5077,#REF!,5,0),0)</f>
        <v>0</v>
      </c>
      <c r="V5077" s="1394">
        <f t="shared" si="1313"/>
        <v>0</v>
      </c>
      <c r="W5077" s="1394"/>
    </row>
    <row r="5078" spans="1:24" ht="30" customHeight="1">
      <c r="B5078" s="1567"/>
      <c r="C5078" s="73"/>
      <c r="D5078" s="99"/>
      <c r="E5078" s="99"/>
      <c r="F5078" s="1495"/>
      <c r="G5078" s="1511"/>
      <c r="H5078" s="97"/>
      <c r="I5078" s="1569">
        <f>SUM(I5070:I5077)</f>
        <v>8</v>
      </c>
      <c r="Q5078" s="1394">
        <f>IFERROR(VLOOKUP(M5078,#REF!,3,0),0)</f>
        <v>0</v>
      </c>
      <c r="R5078" s="1394">
        <f t="shared" si="1302"/>
        <v>0</v>
      </c>
      <c r="S5078" s="1394">
        <f>IFERROR(VLOOKUP(M5078,#REF!,6,0),0)</f>
        <v>0</v>
      </c>
      <c r="T5078" s="1394">
        <f t="shared" si="1312"/>
        <v>0</v>
      </c>
      <c r="U5078" s="1394">
        <f>IFERROR(VLOOKUP(M5078,#REF!,5,0),0)</f>
        <v>0</v>
      </c>
      <c r="V5078" s="1394">
        <f t="shared" si="1313"/>
        <v>0</v>
      </c>
      <c r="W5078" s="1394"/>
    </row>
    <row r="5079" spans="1:24" ht="30" customHeight="1">
      <c r="B5079" s="1567"/>
      <c r="C5079" s="73"/>
      <c r="D5079" s="99"/>
      <c r="E5079" s="99"/>
      <c r="F5079" s="1495"/>
      <c r="G5079" s="1483" t="s">
        <v>11</v>
      </c>
      <c r="H5079" s="1393">
        <f>+I5078</f>
        <v>8</v>
      </c>
      <c r="I5079" s="1479" t="s">
        <v>2205</v>
      </c>
      <c r="M5079" s="1394" t="e">
        <f>A5069</f>
        <v>#REF!</v>
      </c>
      <c r="N5079" s="1394">
        <f>B5069</f>
        <v>0</v>
      </c>
      <c r="O5079" s="1394">
        <f>H5079</f>
        <v>8</v>
      </c>
      <c r="P5079" s="1394" t="str">
        <f>I5079</f>
        <v>RMT</v>
      </c>
      <c r="Q5079" s="1394">
        <f>IFERROR(VLOOKUP(M5079,#REF!,3,0),0)</f>
        <v>0</v>
      </c>
      <c r="R5079" s="1394">
        <f t="shared" si="1302"/>
        <v>0</v>
      </c>
      <c r="S5079" s="1394">
        <f>IFERROR(VLOOKUP(M5079,#REF!,6,0),0)</f>
        <v>0</v>
      </c>
      <c r="T5079" s="1394">
        <f t="shared" si="1312"/>
        <v>0</v>
      </c>
      <c r="U5079" s="1394">
        <f>IFERROR(VLOOKUP(M5079,#REF!,5,0),0)</f>
        <v>0</v>
      </c>
      <c r="V5079" s="1394">
        <f t="shared" si="1313"/>
        <v>8</v>
      </c>
      <c r="W5079" s="1394"/>
      <c r="X5079" s="1394"/>
    </row>
    <row r="5080" spans="1:24" s="111" customFormat="1" ht="195" customHeight="1">
      <c r="A5080" s="111" t="s">
        <v>5916</v>
      </c>
      <c r="B5080" s="1559"/>
      <c r="C5080" s="1678" t="e">
        <f>VLOOKUP(A5080,#REF!,2,0)</f>
        <v>#REF!</v>
      </c>
      <c r="D5080" s="1678"/>
      <c r="E5080" s="1678"/>
      <c r="F5080" s="1678"/>
      <c r="G5080" s="1678"/>
      <c r="H5080" s="1678"/>
      <c r="I5080" s="1560" t="s">
        <v>30</v>
      </c>
      <c r="J5080" s="1561"/>
      <c r="K5080" s="1561"/>
      <c r="M5080" s="1562"/>
      <c r="Q5080" s="1394">
        <f>IFERROR(VLOOKUP(M5080,#REF!,3,0),0)</f>
        <v>0</v>
      </c>
      <c r="R5080" s="1394">
        <f t="shared" si="1302"/>
        <v>0</v>
      </c>
      <c r="S5080" s="1394">
        <f>IFERROR(VLOOKUP(M5080,#REF!,6,0),0)</f>
        <v>0</v>
      </c>
      <c r="T5080" s="1394">
        <f t="shared" si="1312"/>
        <v>0</v>
      </c>
      <c r="U5080" s="1394">
        <f>IFERROR(VLOOKUP(M5080,#REF!,5,0),0)</f>
        <v>0</v>
      </c>
      <c r="V5080" s="1394">
        <f t="shared" si="1313"/>
        <v>0</v>
      </c>
      <c r="W5080" s="1394"/>
    </row>
    <row r="5081" spans="1:24" ht="24.95" customHeight="1">
      <c r="B5081" s="1421"/>
      <c r="C5081" s="1494" t="s">
        <v>259</v>
      </c>
      <c r="D5081" s="1523"/>
      <c r="E5081" s="1577"/>
      <c r="F5081" s="1423"/>
      <c r="G5081" s="1423"/>
      <c r="H5081" s="1424"/>
      <c r="I5081" s="1406">
        <f>ROUND(PRODUCT(D5081:H5081),2)</f>
        <v>0</v>
      </c>
      <c r="L5081" s="1399"/>
      <c r="M5081" s="110"/>
      <c r="Q5081" s="1394">
        <f>IFERROR(VLOOKUP(M5081,#REF!,3,0),0)</f>
        <v>0</v>
      </c>
      <c r="R5081" s="1394">
        <f t="shared" si="1302"/>
        <v>0</v>
      </c>
      <c r="S5081" s="1394">
        <f>IFERROR(VLOOKUP(M5081,#REF!,6,0),0)</f>
        <v>0</v>
      </c>
      <c r="T5081" s="1394">
        <f t="shared" si="1312"/>
        <v>0</v>
      </c>
      <c r="U5081" s="1394">
        <f>IFERROR(VLOOKUP(M5081,#REF!,5,0),0)</f>
        <v>0</v>
      </c>
      <c r="V5081" s="1394">
        <f t="shared" si="1313"/>
        <v>0</v>
      </c>
      <c r="W5081" s="1394"/>
    </row>
    <row r="5082" spans="1:24" ht="24.95" customHeight="1">
      <c r="B5082" s="1421"/>
      <c r="C5082" s="1578" t="s">
        <v>5597</v>
      </c>
      <c r="D5082" s="1523">
        <v>1</v>
      </c>
      <c r="E5082" s="1523">
        <v>1</v>
      </c>
      <c r="F5082" s="1423">
        <v>1.2</v>
      </c>
      <c r="G5082" s="1423"/>
      <c r="H5082" s="1424">
        <v>2.1</v>
      </c>
      <c r="I5082" s="1406">
        <f>ROUND(PRODUCT(D5082:H5082),2)</f>
        <v>2.52</v>
      </c>
      <c r="K5082" s="1563">
        <v>1.5</v>
      </c>
      <c r="L5082" s="1399">
        <f>K5082/0.6</f>
        <v>2.5</v>
      </c>
      <c r="M5082" s="110"/>
      <c r="Q5082" s="1394">
        <f>IFERROR(VLOOKUP(M5082,#REF!,3,0),0)</f>
        <v>0</v>
      </c>
      <c r="R5082" s="1394">
        <f t="shared" si="1302"/>
        <v>0</v>
      </c>
      <c r="S5082" s="1394">
        <f>IFERROR(VLOOKUP(M5082,#REF!,6,0),0)</f>
        <v>0</v>
      </c>
      <c r="T5082" s="1394">
        <f t="shared" si="1312"/>
        <v>0</v>
      </c>
      <c r="U5082" s="1394">
        <f>IFERROR(VLOOKUP(M5082,#REF!,5,0),0)</f>
        <v>0</v>
      </c>
      <c r="V5082" s="1394">
        <f t="shared" si="1313"/>
        <v>0</v>
      </c>
      <c r="W5082" s="1394"/>
    </row>
    <row r="5083" spans="1:24" ht="24.95" customHeight="1">
      <c r="B5083" s="1421"/>
      <c r="C5083" s="1578" t="s">
        <v>5814</v>
      </c>
      <c r="D5083" s="1523">
        <v>1</v>
      </c>
      <c r="E5083" s="1523">
        <v>1</v>
      </c>
      <c r="F5083" s="1423">
        <v>1.2</v>
      </c>
      <c r="G5083" s="1423"/>
      <c r="H5083" s="1424">
        <v>2.1</v>
      </c>
      <c r="I5083" s="1406">
        <f t="shared" ref="I5083:I5088" si="1314">ROUND(PRODUCT(D5083:H5083),2)</f>
        <v>2.52</v>
      </c>
      <c r="K5083" s="1563">
        <v>1.5</v>
      </c>
      <c r="L5083" s="1399">
        <f t="shared" ref="L5083:L5088" si="1315">K5083/0.6</f>
        <v>2.5</v>
      </c>
      <c r="M5083" s="110"/>
      <c r="Q5083" s="1394">
        <f>IFERROR(VLOOKUP(M5083,#REF!,3,0),0)</f>
        <v>0</v>
      </c>
      <c r="R5083" s="1394">
        <f t="shared" si="1302"/>
        <v>0</v>
      </c>
      <c r="S5083" s="1394">
        <f>IFERROR(VLOOKUP(M5083,#REF!,6,0),0)</f>
        <v>0</v>
      </c>
      <c r="T5083" s="1394">
        <f t="shared" si="1312"/>
        <v>0</v>
      </c>
      <c r="U5083" s="1394">
        <f>IFERROR(VLOOKUP(M5083,#REF!,5,0),0)</f>
        <v>0</v>
      </c>
      <c r="V5083" s="1394">
        <f t="shared" si="1313"/>
        <v>0</v>
      </c>
      <c r="W5083" s="1394"/>
    </row>
    <row r="5084" spans="1:24" ht="24.95" customHeight="1">
      <c r="B5084" s="1421"/>
      <c r="C5084" s="1578" t="s">
        <v>5804</v>
      </c>
      <c r="D5084" s="1523">
        <v>1</v>
      </c>
      <c r="E5084" s="1523">
        <v>1</v>
      </c>
      <c r="F5084" s="1423">
        <v>1.2</v>
      </c>
      <c r="G5084" s="1423"/>
      <c r="H5084" s="1424">
        <v>2.1</v>
      </c>
      <c r="I5084" s="1406">
        <f t="shared" si="1314"/>
        <v>2.52</v>
      </c>
      <c r="K5084" s="1563">
        <v>1.99</v>
      </c>
      <c r="L5084" s="1399">
        <f t="shared" si="1315"/>
        <v>3.3166666666666669</v>
      </c>
      <c r="M5084" s="110"/>
      <c r="Q5084" s="1394">
        <f>IFERROR(VLOOKUP(M5084,#REF!,3,0),0)</f>
        <v>0</v>
      </c>
      <c r="R5084" s="1394">
        <f t="shared" si="1302"/>
        <v>0</v>
      </c>
      <c r="S5084" s="1394">
        <f>IFERROR(VLOOKUP(M5084,#REF!,6,0),0)</f>
        <v>0</v>
      </c>
      <c r="T5084" s="1394">
        <f t="shared" si="1312"/>
        <v>0</v>
      </c>
      <c r="U5084" s="1394">
        <f>IFERROR(VLOOKUP(M5084,#REF!,5,0),0)</f>
        <v>0</v>
      </c>
      <c r="V5084" s="1394">
        <f t="shared" si="1313"/>
        <v>0</v>
      </c>
      <c r="W5084" s="1394"/>
    </row>
    <row r="5085" spans="1:24" ht="24.95" customHeight="1">
      <c r="B5085" s="1421"/>
      <c r="C5085" s="1578" t="s">
        <v>5674</v>
      </c>
      <c r="D5085" s="1523">
        <v>1</v>
      </c>
      <c r="E5085" s="1523">
        <v>1</v>
      </c>
      <c r="F5085" s="1423">
        <v>1.2</v>
      </c>
      <c r="G5085" s="1423"/>
      <c r="H5085" s="1424">
        <v>2.1</v>
      </c>
      <c r="I5085" s="1406">
        <f t="shared" si="1314"/>
        <v>2.52</v>
      </c>
      <c r="K5085" s="1563">
        <v>1.99</v>
      </c>
      <c r="L5085" s="1399">
        <f t="shared" si="1315"/>
        <v>3.3166666666666669</v>
      </c>
      <c r="M5085" s="110"/>
      <c r="Q5085" s="1394">
        <f>IFERROR(VLOOKUP(M5085,#REF!,3,0),0)</f>
        <v>0</v>
      </c>
      <c r="R5085" s="1394">
        <f t="shared" si="1302"/>
        <v>0</v>
      </c>
      <c r="S5085" s="1394">
        <f>IFERROR(VLOOKUP(M5085,#REF!,6,0),0)</f>
        <v>0</v>
      </c>
      <c r="T5085" s="1394">
        <f t="shared" si="1312"/>
        <v>0</v>
      </c>
      <c r="U5085" s="1394">
        <f>IFERROR(VLOOKUP(M5085,#REF!,5,0),0)</f>
        <v>0</v>
      </c>
      <c r="V5085" s="1394">
        <f t="shared" si="1313"/>
        <v>0</v>
      </c>
      <c r="W5085" s="1394"/>
    </row>
    <row r="5086" spans="1:24" ht="24.95" customHeight="1">
      <c r="B5086" s="1421"/>
      <c r="C5086" s="1578" t="s">
        <v>5611</v>
      </c>
      <c r="D5086" s="1523">
        <v>1</v>
      </c>
      <c r="E5086" s="1523">
        <v>1</v>
      </c>
      <c r="F5086" s="1423">
        <v>1.2</v>
      </c>
      <c r="G5086" s="1423"/>
      <c r="H5086" s="1424">
        <v>2.1</v>
      </c>
      <c r="I5086" s="1406">
        <f t="shared" si="1314"/>
        <v>2.52</v>
      </c>
      <c r="K5086" s="1563">
        <v>3.3</v>
      </c>
      <c r="L5086" s="1399">
        <f t="shared" si="1315"/>
        <v>5.5</v>
      </c>
      <c r="M5086" s="110"/>
      <c r="Q5086" s="1394">
        <f>IFERROR(VLOOKUP(M5086,#REF!,3,0),0)</f>
        <v>0</v>
      </c>
      <c r="R5086" s="1394">
        <f t="shared" si="1302"/>
        <v>0</v>
      </c>
      <c r="S5086" s="1394">
        <f>IFERROR(VLOOKUP(M5086,#REF!,6,0),0)</f>
        <v>0</v>
      </c>
      <c r="T5086" s="1394">
        <f t="shared" si="1312"/>
        <v>0</v>
      </c>
      <c r="U5086" s="1394">
        <f>IFERROR(VLOOKUP(M5086,#REF!,5,0),0)</f>
        <v>0</v>
      </c>
      <c r="V5086" s="1394">
        <f t="shared" si="1313"/>
        <v>0</v>
      </c>
      <c r="W5086" s="1394"/>
    </row>
    <row r="5087" spans="1:24" ht="24.95" customHeight="1">
      <c r="B5087" s="1421"/>
      <c r="C5087" s="1578" t="s">
        <v>5593</v>
      </c>
      <c r="D5087" s="1523">
        <v>1</v>
      </c>
      <c r="E5087" s="1523">
        <v>1</v>
      </c>
      <c r="F5087" s="1423">
        <v>1.2</v>
      </c>
      <c r="G5087" s="1423"/>
      <c r="H5087" s="1424">
        <v>2.1</v>
      </c>
      <c r="I5087" s="1406">
        <f t="shared" si="1314"/>
        <v>2.52</v>
      </c>
      <c r="K5087" s="1563">
        <v>1.7</v>
      </c>
      <c r="L5087" s="1399">
        <f t="shared" si="1315"/>
        <v>2.8333333333333335</v>
      </c>
      <c r="M5087" s="110"/>
      <c r="Q5087" s="1394">
        <f>IFERROR(VLOOKUP(M5087,#REF!,3,0),0)</f>
        <v>0</v>
      </c>
      <c r="R5087" s="1394">
        <f t="shared" si="1302"/>
        <v>0</v>
      </c>
      <c r="S5087" s="1394">
        <f>IFERROR(VLOOKUP(M5087,#REF!,6,0),0)</f>
        <v>0</v>
      </c>
      <c r="T5087" s="1394">
        <f t="shared" si="1312"/>
        <v>0</v>
      </c>
      <c r="U5087" s="1394">
        <f>IFERROR(VLOOKUP(M5087,#REF!,5,0),0)</f>
        <v>0</v>
      </c>
      <c r="V5087" s="1394">
        <f t="shared" si="1313"/>
        <v>0</v>
      </c>
      <c r="W5087" s="1394"/>
    </row>
    <row r="5088" spans="1:24" ht="24.95" customHeight="1">
      <c r="B5088" s="1421"/>
      <c r="C5088" s="1578" t="s">
        <v>5915</v>
      </c>
      <c r="D5088" s="1523">
        <v>1</v>
      </c>
      <c r="E5088" s="1523">
        <v>5</v>
      </c>
      <c r="F5088" s="1423">
        <v>0.6</v>
      </c>
      <c r="G5088" s="1423"/>
      <c r="H5088" s="1424">
        <v>2.1</v>
      </c>
      <c r="I5088" s="1406">
        <f t="shared" si="1314"/>
        <v>6.3</v>
      </c>
      <c r="K5088" s="1563">
        <v>4.6900000000000004</v>
      </c>
      <c r="L5088" s="1399">
        <f t="shared" si="1315"/>
        <v>7.8166666666666673</v>
      </c>
      <c r="M5088" s="110"/>
      <c r="Q5088" s="1394">
        <f>IFERROR(VLOOKUP(M5088,#REF!,3,0),0)</f>
        <v>0</v>
      </c>
      <c r="R5088" s="1394">
        <f t="shared" si="1302"/>
        <v>0</v>
      </c>
      <c r="S5088" s="1394">
        <f>IFERROR(VLOOKUP(M5088,#REF!,6,0),0)</f>
        <v>0</v>
      </c>
      <c r="T5088" s="1394">
        <f t="shared" si="1312"/>
        <v>0</v>
      </c>
      <c r="U5088" s="1394">
        <f>IFERROR(VLOOKUP(M5088,#REF!,5,0),0)</f>
        <v>0</v>
      </c>
      <c r="V5088" s="1394">
        <f t="shared" si="1313"/>
        <v>0</v>
      </c>
      <c r="W5088" s="1394"/>
    </row>
    <row r="5089" spans="2:26" ht="24.95" customHeight="1">
      <c r="B5089" s="1421"/>
      <c r="C5089" s="1494" t="s">
        <v>260</v>
      </c>
      <c r="D5089" s="1523"/>
      <c r="E5089" s="1577"/>
      <c r="F5089" s="1423"/>
      <c r="G5089" s="1423"/>
      <c r="H5089" s="1424"/>
      <c r="I5089" s="1406">
        <f>ROUND(PRODUCT(D5089:H5089),2)</f>
        <v>0</v>
      </c>
      <c r="L5089" s="1399"/>
      <c r="M5089" s="110"/>
      <c r="Q5089" s="1394">
        <f>IFERROR(VLOOKUP(M5089,#REF!,3,0),0)</f>
        <v>0</v>
      </c>
      <c r="R5089" s="1394">
        <f t="shared" si="1302"/>
        <v>0</v>
      </c>
      <c r="S5089" s="1394">
        <f>IFERROR(VLOOKUP(M5089,#REF!,6,0),0)</f>
        <v>0</v>
      </c>
      <c r="T5089" s="1394">
        <f t="shared" si="1312"/>
        <v>0</v>
      </c>
      <c r="U5089" s="1394">
        <f>IFERROR(VLOOKUP(M5089,#REF!,5,0),0)</f>
        <v>0</v>
      </c>
      <c r="V5089" s="1394">
        <f t="shared" si="1313"/>
        <v>0</v>
      </c>
      <c r="W5089" s="1394"/>
    </row>
    <row r="5090" spans="2:26" ht="24.95" customHeight="1">
      <c r="B5090" s="1421"/>
      <c r="C5090" s="1578" t="s">
        <v>5673</v>
      </c>
      <c r="D5090" s="1523">
        <v>1</v>
      </c>
      <c r="E5090" s="1523">
        <v>1</v>
      </c>
      <c r="F5090" s="1423">
        <v>1.2</v>
      </c>
      <c r="G5090" s="1423"/>
      <c r="H5090" s="1424">
        <v>2.1</v>
      </c>
      <c r="I5090" s="1406">
        <f>ROUND(PRODUCT(D5090:H5090),2)</f>
        <v>2.52</v>
      </c>
      <c r="K5090" s="1563">
        <v>1.5</v>
      </c>
      <c r="L5090" s="1399">
        <f>K5090/0.6</f>
        <v>2.5</v>
      </c>
      <c r="M5090" s="110"/>
      <c r="Q5090" s="1394">
        <f>IFERROR(VLOOKUP(M5090,#REF!,3,0),0)</f>
        <v>0</v>
      </c>
      <c r="R5090" s="1394">
        <f t="shared" si="1302"/>
        <v>0</v>
      </c>
      <c r="S5090" s="1394">
        <f>IFERROR(VLOOKUP(M5090,#REF!,6,0),0)</f>
        <v>0</v>
      </c>
      <c r="T5090" s="1394">
        <f t="shared" si="1312"/>
        <v>0</v>
      </c>
      <c r="U5090" s="1394">
        <f>IFERROR(VLOOKUP(M5090,#REF!,5,0),0)</f>
        <v>0</v>
      </c>
      <c r="V5090" s="1394">
        <f t="shared" si="1313"/>
        <v>0</v>
      </c>
      <c r="W5090" s="1394"/>
    </row>
    <row r="5091" spans="2:26" ht="24.95" customHeight="1">
      <c r="B5091" s="1421"/>
      <c r="C5091" s="1578" t="s">
        <v>5814</v>
      </c>
      <c r="D5091" s="1523">
        <v>1</v>
      </c>
      <c r="E5091" s="1523">
        <v>1</v>
      </c>
      <c r="F5091" s="1423">
        <v>1.2</v>
      </c>
      <c r="G5091" s="1423"/>
      <c r="H5091" s="1424">
        <v>2.1</v>
      </c>
      <c r="I5091" s="1406">
        <f t="shared" ref="I5091:I5094" si="1316">ROUND(PRODUCT(D5091:H5091),2)</f>
        <v>2.52</v>
      </c>
      <c r="K5091" s="1563">
        <v>1.5</v>
      </c>
      <c r="L5091" s="1399">
        <f t="shared" ref="L5091:L5094" si="1317">K5091/0.6</f>
        <v>2.5</v>
      </c>
      <c r="M5091" s="110"/>
      <c r="Q5091" s="1394">
        <f>IFERROR(VLOOKUP(M5091,#REF!,3,0),0)</f>
        <v>0</v>
      </c>
      <c r="R5091" s="1394">
        <f t="shared" si="1302"/>
        <v>0</v>
      </c>
      <c r="S5091" s="1394">
        <f>IFERROR(VLOOKUP(M5091,#REF!,6,0),0)</f>
        <v>0</v>
      </c>
      <c r="T5091" s="1394">
        <f t="shared" si="1312"/>
        <v>0</v>
      </c>
      <c r="U5091" s="1394">
        <f>IFERROR(VLOOKUP(M5091,#REF!,5,0),0)</f>
        <v>0</v>
      </c>
      <c r="V5091" s="1394">
        <f t="shared" si="1313"/>
        <v>0</v>
      </c>
      <c r="W5091" s="1394"/>
    </row>
    <row r="5092" spans="2:26" ht="24.95" customHeight="1">
      <c r="B5092" s="1421"/>
      <c r="C5092" s="1578" t="s">
        <v>5628</v>
      </c>
      <c r="D5092" s="1523">
        <v>1</v>
      </c>
      <c r="E5092" s="1523">
        <v>1</v>
      </c>
      <c r="F5092" s="1423">
        <v>1.2</v>
      </c>
      <c r="G5092" s="1423"/>
      <c r="H5092" s="1424">
        <v>2.1</v>
      </c>
      <c r="I5092" s="1406">
        <f t="shared" si="1316"/>
        <v>2.52</v>
      </c>
      <c r="K5092" s="1563">
        <v>1.99</v>
      </c>
      <c r="L5092" s="1399">
        <f t="shared" si="1317"/>
        <v>3.3166666666666669</v>
      </c>
      <c r="M5092" s="110"/>
      <c r="Q5092" s="1394">
        <f>IFERROR(VLOOKUP(M5092,#REF!,3,0),0)</f>
        <v>0</v>
      </c>
      <c r="R5092" s="1394">
        <f t="shared" si="1302"/>
        <v>0</v>
      </c>
      <c r="S5092" s="1394">
        <f>IFERROR(VLOOKUP(M5092,#REF!,6,0),0)</f>
        <v>0</v>
      </c>
      <c r="T5092" s="1394">
        <f t="shared" si="1312"/>
        <v>0</v>
      </c>
      <c r="U5092" s="1394">
        <f>IFERROR(VLOOKUP(M5092,#REF!,5,0),0)</f>
        <v>0</v>
      </c>
      <c r="V5092" s="1394">
        <f t="shared" si="1313"/>
        <v>0</v>
      </c>
      <c r="W5092" s="1394"/>
    </row>
    <row r="5093" spans="2:26" ht="24.95" customHeight="1">
      <c r="B5093" s="1421"/>
      <c r="C5093" s="1578" t="s">
        <v>5674</v>
      </c>
      <c r="D5093" s="1523">
        <v>1</v>
      </c>
      <c r="E5093" s="1523">
        <v>1</v>
      </c>
      <c r="F5093" s="1423">
        <v>1.2</v>
      </c>
      <c r="G5093" s="1423"/>
      <c r="H5093" s="1424">
        <v>2.1</v>
      </c>
      <c r="I5093" s="1406">
        <f t="shared" si="1316"/>
        <v>2.52</v>
      </c>
      <c r="K5093" s="1563">
        <v>1.99</v>
      </c>
      <c r="L5093" s="1399">
        <f t="shared" si="1317"/>
        <v>3.3166666666666669</v>
      </c>
      <c r="M5093" s="110"/>
      <c r="Q5093" s="1394">
        <f>IFERROR(VLOOKUP(M5093,#REF!,3,0),0)</f>
        <v>0</v>
      </c>
      <c r="R5093" s="1394">
        <f t="shared" si="1302"/>
        <v>0</v>
      </c>
      <c r="S5093" s="1394">
        <f>IFERROR(VLOOKUP(M5093,#REF!,6,0),0)</f>
        <v>0</v>
      </c>
      <c r="T5093" s="1394">
        <f t="shared" si="1312"/>
        <v>0</v>
      </c>
      <c r="U5093" s="1394">
        <f>IFERROR(VLOOKUP(M5093,#REF!,5,0),0)</f>
        <v>0</v>
      </c>
      <c r="V5093" s="1394">
        <f t="shared" si="1313"/>
        <v>0</v>
      </c>
      <c r="W5093" s="1394"/>
    </row>
    <row r="5094" spans="2:26" ht="24.95" customHeight="1">
      <c r="B5094" s="1421"/>
      <c r="C5094" s="1578" t="s">
        <v>5611</v>
      </c>
      <c r="D5094" s="1523">
        <v>1</v>
      </c>
      <c r="E5094" s="1523">
        <v>1</v>
      </c>
      <c r="F5094" s="1423">
        <v>1.2</v>
      </c>
      <c r="G5094" s="1423"/>
      <c r="H5094" s="1424">
        <v>2.1</v>
      </c>
      <c r="I5094" s="1406">
        <f t="shared" si="1316"/>
        <v>2.52</v>
      </c>
      <c r="K5094" s="1563">
        <v>3.3</v>
      </c>
      <c r="L5094" s="1399">
        <f t="shared" si="1317"/>
        <v>5.5</v>
      </c>
      <c r="M5094" s="110"/>
      <c r="Q5094" s="1394">
        <f>IFERROR(VLOOKUP(M5094,#REF!,3,0),0)</f>
        <v>0</v>
      </c>
      <c r="R5094" s="1394">
        <f t="shared" si="1302"/>
        <v>0</v>
      </c>
      <c r="S5094" s="1394">
        <f>IFERROR(VLOOKUP(M5094,#REF!,6,0),0)</f>
        <v>0</v>
      </c>
      <c r="T5094" s="1394">
        <f t="shared" si="1312"/>
        <v>0</v>
      </c>
      <c r="U5094" s="1394">
        <f>IFERROR(VLOOKUP(M5094,#REF!,5,0),0)</f>
        <v>0</v>
      </c>
      <c r="V5094" s="1394">
        <f t="shared" si="1313"/>
        <v>0</v>
      </c>
      <c r="W5094" s="1394"/>
    </row>
    <row r="5095" spans="2:26" ht="24.95" customHeight="1">
      <c r="B5095" s="1421"/>
      <c r="C5095" s="1494" t="s">
        <v>260</v>
      </c>
      <c r="D5095" s="1523"/>
      <c r="E5095" s="1577"/>
      <c r="F5095" s="1423"/>
      <c r="G5095" s="1423"/>
      <c r="H5095" s="1424"/>
      <c r="I5095" s="1406">
        <f>ROUND(PRODUCT(D5095:H5095),2)</f>
        <v>0</v>
      </c>
      <c r="L5095" s="1399"/>
      <c r="M5095" s="110"/>
      <c r="Q5095" s="1394">
        <f>IFERROR(VLOOKUP(M5095,#REF!,3,0),0)</f>
        <v>0</v>
      </c>
      <c r="R5095" s="1394">
        <f t="shared" si="1302"/>
        <v>0</v>
      </c>
      <c r="S5095" s="1394">
        <f>IFERROR(VLOOKUP(M5095,#REF!,6,0),0)</f>
        <v>0</v>
      </c>
      <c r="T5095" s="1394">
        <f t="shared" si="1312"/>
        <v>0</v>
      </c>
      <c r="U5095" s="1394">
        <f>IFERROR(VLOOKUP(M5095,#REF!,5,0),0)</f>
        <v>0</v>
      </c>
      <c r="V5095" s="1394">
        <f t="shared" si="1313"/>
        <v>0</v>
      </c>
      <c r="W5095" s="1394"/>
    </row>
    <row r="5096" spans="2:26" ht="24.95" customHeight="1">
      <c r="B5096" s="1421"/>
      <c r="C5096" s="1578" t="s">
        <v>5765</v>
      </c>
      <c r="D5096" s="1523">
        <v>1</v>
      </c>
      <c r="E5096" s="1523">
        <v>1</v>
      </c>
      <c r="F5096" s="1423">
        <v>1.2</v>
      </c>
      <c r="G5096" s="1423"/>
      <c r="H5096" s="1424">
        <v>2.1</v>
      </c>
      <c r="I5096" s="1406">
        <f>ROUND(PRODUCT(D5096:H5096),2)</f>
        <v>2.52</v>
      </c>
      <c r="K5096" s="1563">
        <v>1.5</v>
      </c>
      <c r="L5096" s="1399">
        <f>K5096/0.6</f>
        <v>2.5</v>
      </c>
      <c r="M5096" s="110"/>
      <c r="Q5096" s="1394">
        <f>IFERROR(VLOOKUP(M5096,#REF!,3,0),0)</f>
        <v>0</v>
      </c>
      <c r="R5096" s="1394">
        <f t="shared" si="1302"/>
        <v>0</v>
      </c>
      <c r="S5096" s="1394">
        <f>IFERROR(VLOOKUP(M5096,#REF!,6,0),0)</f>
        <v>0</v>
      </c>
      <c r="T5096" s="1394">
        <f t="shared" si="1312"/>
        <v>0</v>
      </c>
      <c r="U5096" s="1394">
        <f>IFERROR(VLOOKUP(M5096,#REF!,5,0),0)</f>
        <v>0</v>
      </c>
      <c r="V5096" s="1394">
        <f t="shared" si="1313"/>
        <v>0</v>
      </c>
      <c r="W5096" s="1394"/>
    </row>
    <row r="5097" spans="2:26" ht="24.95" customHeight="1">
      <c r="B5097" s="1421"/>
      <c r="C5097" s="1578" t="s">
        <v>5643</v>
      </c>
      <c r="D5097" s="1523">
        <v>1</v>
      </c>
      <c r="E5097" s="1523">
        <v>1</v>
      </c>
      <c r="F5097" s="1423">
        <v>1.2</v>
      </c>
      <c r="G5097" s="1423"/>
      <c r="H5097" s="1424">
        <v>2.1</v>
      </c>
      <c r="I5097" s="1406">
        <f t="shared" ref="I5097:I5099" si="1318">ROUND(PRODUCT(D5097:H5097),2)</f>
        <v>2.52</v>
      </c>
      <c r="K5097" s="1563">
        <v>1.5</v>
      </c>
      <c r="L5097" s="1399">
        <f t="shared" ref="L5097:L5099" si="1319">K5097/0.6</f>
        <v>2.5</v>
      </c>
      <c r="M5097" s="110"/>
      <c r="Q5097" s="1394">
        <f>IFERROR(VLOOKUP(M5097,#REF!,3,0),0)</f>
        <v>0</v>
      </c>
      <c r="R5097" s="1394">
        <f t="shared" si="1302"/>
        <v>0</v>
      </c>
      <c r="S5097" s="1394">
        <f>IFERROR(VLOOKUP(M5097,#REF!,6,0),0)</f>
        <v>0</v>
      </c>
      <c r="T5097" s="1394">
        <f t="shared" si="1312"/>
        <v>0</v>
      </c>
      <c r="U5097" s="1394">
        <f>IFERROR(VLOOKUP(M5097,#REF!,5,0),0)</f>
        <v>0</v>
      </c>
      <c r="V5097" s="1394">
        <f t="shared" si="1313"/>
        <v>0</v>
      </c>
      <c r="W5097" s="1394"/>
    </row>
    <row r="5098" spans="2:26" ht="24.95" customHeight="1">
      <c r="B5098" s="1421"/>
      <c r="C5098" s="1578" t="s">
        <v>5643</v>
      </c>
      <c r="D5098" s="1523">
        <v>1</v>
      </c>
      <c r="E5098" s="1523">
        <v>1</v>
      </c>
      <c r="F5098" s="1423">
        <v>1.2</v>
      </c>
      <c r="G5098" s="1423"/>
      <c r="H5098" s="1424">
        <v>2.1</v>
      </c>
      <c r="I5098" s="1406">
        <f t="shared" si="1318"/>
        <v>2.52</v>
      </c>
      <c r="K5098" s="1563">
        <v>1.99</v>
      </c>
      <c r="L5098" s="1399">
        <f t="shared" si="1319"/>
        <v>3.3166666666666669</v>
      </c>
      <c r="M5098" s="110"/>
      <c r="Q5098" s="1394">
        <f>IFERROR(VLOOKUP(M5098,#REF!,3,0),0)</f>
        <v>0</v>
      </c>
      <c r="R5098" s="1394">
        <f t="shared" si="1302"/>
        <v>0</v>
      </c>
      <c r="S5098" s="1394">
        <f>IFERROR(VLOOKUP(M5098,#REF!,6,0),0)</f>
        <v>0</v>
      </c>
      <c r="T5098" s="1394">
        <f t="shared" si="1312"/>
        <v>0</v>
      </c>
      <c r="U5098" s="1394">
        <f>IFERROR(VLOOKUP(M5098,#REF!,5,0),0)</f>
        <v>0</v>
      </c>
      <c r="V5098" s="1394">
        <f t="shared" si="1313"/>
        <v>0</v>
      </c>
      <c r="W5098" s="1394"/>
    </row>
    <row r="5099" spans="2:26" ht="24.95" customHeight="1">
      <c r="B5099" s="1421"/>
      <c r="C5099" s="1578" t="s">
        <v>5574</v>
      </c>
      <c r="D5099" s="1523">
        <v>1</v>
      </c>
      <c r="E5099" s="1523">
        <v>1</v>
      </c>
      <c r="F5099" s="1423">
        <v>1.2</v>
      </c>
      <c r="G5099" s="1423"/>
      <c r="H5099" s="1424">
        <v>2.1</v>
      </c>
      <c r="I5099" s="1406">
        <f t="shared" si="1318"/>
        <v>2.52</v>
      </c>
      <c r="K5099" s="1563">
        <v>1.99</v>
      </c>
      <c r="L5099" s="1399">
        <f t="shared" si="1319"/>
        <v>3.3166666666666669</v>
      </c>
      <c r="M5099" s="110"/>
      <c r="Q5099" s="1394">
        <f>IFERROR(VLOOKUP(M5099,#REF!,3,0),0)</f>
        <v>0</v>
      </c>
      <c r="R5099" s="1394">
        <f t="shared" si="1302"/>
        <v>0</v>
      </c>
      <c r="S5099" s="1394">
        <f>IFERROR(VLOOKUP(M5099,#REF!,6,0),0)</f>
        <v>0</v>
      </c>
      <c r="T5099" s="1394">
        <f t="shared" si="1312"/>
        <v>0</v>
      </c>
      <c r="U5099" s="1394">
        <f>IFERROR(VLOOKUP(M5099,#REF!,5,0),0)</f>
        <v>0</v>
      </c>
      <c r="V5099" s="1394">
        <f t="shared" si="1313"/>
        <v>0</v>
      </c>
      <c r="W5099" s="1394"/>
    </row>
    <row r="5100" spans="2:26" ht="24.95" hidden="1" customHeight="1">
      <c r="B5100" s="1421"/>
      <c r="C5100" s="1578"/>
      <c r="D5100" s="1523"/>
      <c r="E5100" s="1523"/>
      <c r="F5100" s="1423"/>
      <c r="G5100" s="1423"/>
      <c r="H5100" s="1424"/>
      <c r="I5100" s="1406"/>
      <c r="K5100" s="1563"/>
      <c r="L5100" s="1399"/>
      <c r="M5100" s="110"/>
      <c r="Q5100" s="1394">
        <f>IFERROR(VLOOKUP(M5100,#REF!,3,0),0)</f>
        <v>0</v>
      </c>
      <c r="R5100" s="1394">
        <f t="shared" si="1302"/>
        <v>0</v>
      </c>
      <c r="S5100" s="1394">
        <f>IFERROR(VLOOKUP(M5100,#REF!,6,0),0)</f>
        <v>0</v>
      </c>
      <c r="T5100" s="1394">
        <f t="shared" si="1312"/>
        <v>0</v>
      </c>
      <c r="U5100" s="1394">
        <f>IFERROR(VLOOKUP(M5100,#REF!,5,0),0)</f>
        <v>0</v>
      </c>
      <c r="V5100" s="1394">
        <f t="shared" si="1313"/>
        <v>0</v>
      </c>
      <c r="W5100" s="1394"/>
    </row>
    <row r="5101" spans="2:26" ht="24.95" customHeight="1">
      <c r="B5101" s="1421"/>
      <c r="C5101" s="1578"/>
      <c r="D5101" s="1523"/>
      <c r="E5101" s="1523"/>
      <c r="F5101" s="1423"/>
      <c r="G5101" s="1423"/>
      <c r="H5101" s="1424"/>
      <c r="I5101" s="1406">
        <f>J5102-J5101</f>
        <v>0.89999999999999147</v>
      </c>
      <c r="J5101" s="1397">
        <f>SUM(I5082:I5100)</f>
        <v>44.100000000000009</v>
      </c>
      <c r="K5101" s="1394"/>
      <c r="L5101" s="1399"/>
      <c r="M5101" s="110"/>
      <c r="Q5101" s="1394">
        <f>IFERROR(VLOOKUP(M5101,#REF!,3,0),0)</f>
        <v>0</v>
      </c>
      <c r="R5101" s="1394">
        <f t="shared" si="1302"/>
        <v>0</v>
      </c>
      <c r="S5101" s="1394">
        <f>IFERROR(VLOOKUP(M5101,#REF!,6,0),0)</f>
        <v>0</v>
      </c>
      <c r="T5101" s="1394">
        <f t="shared" si="1312"/>
        <v>0</v>
      </c>
      <c r="U5101" s="1394">
        <f>IFERROR(VLOOKUP(M5101,#REF!,5,0),0)</f>
        <v>0</v>
      </c>
      <c r="V5101" s="1394">
        <f t="shared" si="1313"/>
        <v>0</v>
      </c>
      <c r="W5101" s="1394"/>
    </row>
    <row r="5102" spans="2:26" s="1394" customFormat="1" ht="30" customHeight="1">
      <c r="B5102" s="1421"/>
      <c r="C5102" s="1422"/>
      <c r="D5102" s="1389"/>
      <c r="E5102" s="1389"/>
      <c r="F5102" s="1423"/>
      <c r="G5102" s="1423"/>
      <c r="H5102" s="1424"/>
      <c r="I5102" s="1406">
        <f>SUM(I5081:I5101)</f>
        <v>45</v>
      </c>
      <c r="J5102" s="1394">
        <f>ROUNDUP(J5101,0)</f>
        <v>45</v>
      </c>
      <c r="M5102" s="1426"/>
      <c r="Q5102" s="1394">
        <f>IFERROR(VLOOKUP(M5102,#REF!,3,0),0)</f>
        <v>0</v>
      </c>
      <c r="R5102" s="1394">
        <f t="shared" ref="R5102:R5103" si="1320">ROUND(O5102,2)*ROUND(Q5102,2)</f>
        <v>0</v>
      </c>
      <c r="S5102" s="1394">
        <f>IFERROR(VLOOKUP(M5102,#REF!,6,0),0)</f>
        <v>0</v>
      </c>
      <c r="T5102" s="1394">
        <f t="shared" ref="T5102:T5103" si="1321">R5102-S5102</f>
        <v>0</v>
      </c>
      <c r="U5102" s="1394">
        <f>IFERROR(VLOOKUP(M5102,#REF!,5,0),0)</f>
        <v>0</v>
      </c>
      <c r="V5102" s="1394">
        <f t="shared" ref="V5102:V5103" si="1322">O5102-U5102</f>
        <v>0</v>
      </c>
    </row>
    <row r="5103" spans="2:26" s="111" customFormat="1" ht="30" customHeight="1" thickBot="1">
      <c r="B5103" s="1586"/>
      <c r="C5103" s="1587"/>
      <c r="D5103" s="1588"/>
      <c r="E5103" s="1588"/>
      <c r="F5103" s="1589"/>
      <c r="G5103" s="1460" t="s">
        <v>11</v>
      </c>
      <c r="H5103" s="1461">
        <f>I5102</f>
        <v>45</v>
      </c>
      <c r="I5103" s="1462" t="s">
        <v>26</v>
      </c>
      <c r="J5103" s="1561"/>
      <c r="K5103" s="1561"/>
      <c r="M5103" s="1394" t="str">
        <f>A5080</f>
        <v xml:space="preserve">Providing MDF  Double leafshutter with TW alround frame for ward robe / cup boardThe all round frame made up of </v>
      </c>
      <c r="N5103" s="1394">
        <f>B5080</f>
        <v>0</v>
      </c>
      <c r="O5103" s="1394">
        <f>H5103</f>
        <v>45</v>
      </c>
      <c r="P5103" s="1394" t="str">
        <f>I5103</f>
        <v>Sqm</v>
      </c>
      <c r="Q5103" s="1394">
        <f>IFERROR(VLOOKUP(M5103,#REF!,3,0),0)</f>
        <v>0</v>
      </c>
      <c r="R5103" s="1394">
        <f t="shared" si="1320"/>
        <v>0</v>
      </c>
      <c r="S5103" s="1394">
        <f>IFERROR(VLOOKUP(M5103,#REF!,6,0),0)</f>
        <v>0</v>
      </c>
      <c r="T5103" s="1394">
        <f t="shared" si="1321"/>
        <v>0</v>
      </c>
      <c r="U5103" s="1394">
        <f>IFERROR(VLOOKUP(M5103,#REF!,5,0),0)</f>
        <v>0</v>
      </c>
      <c r="V5103" s="1394">
        <f t="shared" si="1322"/>
        <v>45</v>
      </c>
      <c r="W5103" s="1394"/>
      <c r="Z5103" s="1394"/>
    </row>
    <row r="5104" spans="2:26" ht="30" customHeight="1" thickTop="1">
      <c r="R5104" s="1398" t="e">
        <f>SUM(R45:R5103)</f>
        <v>#REF!</v>
      </c>
      <c r="S5104" s="1398">
        <f>SUM(S45:S5103)</f>
        <v>0</v>
      </c>
      <c r="T5104" s="1398" t="e">
        <f t="shared" ref="T5104:W5104" si="1323">SUM(T45:T5103)</f>
        <v>#REF!</v>
      </c>
      <c r="U5104" s="1398">
        <f t="shared" si="1323"/>
        <v>0</v>
      </c>
      <c r="V5104" s="1398" t="e">
        <f t="shared" si="1323"/>
        <v>#REF!</v>
      </c>
      <c r="W5104" s="1398">
        <f t="shared" si="1323"/>
        <v>0</v>
      </c>
      <c r="X5104" s="1579"/>
    </row>
    <row r="5107" spans="26:26" ht="30" customHeight="1">
      <c r="Z5107" s="1394"/>
    </row>
  </sheetData>
  <autoFilter ref="A1:X5106"/>
  <mergeCells count="205">
    <mergeCell ref="C577:H577"/>
    <mergeCell ref="C5080:H5080"/>
    <mergeCell ref="B607:I607"/>
    <mergeCell ref="F446:H446"/>
    <mergeCell ref="C452:H452"/>
    <mergeCell ref="C46:H46"/>
    <mergeCell ref="C99:H99"/>
    <mergeCell ref="C201:H201"/>
    <mergeCell ref="C209:H209"/>
    <mergeCell ref="C233:H233"/>
    <mergeCell ref="C315:H315"/>
    <mergeCell ref="C1600:H1600"/>
    <mergeCell ref="C1668:H1668"/>
    <mergeCell ref="C304:H304"/>
    <mergeCell ref="B608:I608"/>
    <mergeCell ref="D609:E609"/>
    <mergeCell ref="C1798:H1798"/>
    <mergeCell ref="C1799:H1799"/>
    <mergeCell ref="C1804:H1804"/>
    <mergeCell ref="C1817:H1817"/>
    <mergeCell ref="C1830:H1830"/>
    <mergeCell ref="C1850:H1850"/>
    <mergeCell ref="C1844:H1844"/>
    <mergeCell ref="C611:H611"/>
    <mergeCell ref="C727:H727"/>
    <mergeCell ref="B3:I3"/>
    <mergeCell ref="B4:I4"/>
    <mergeCell ref="B5:I5"/>
    <mergeCell ref="B6:I6"/>
    <mergeCell ref="D7:E7"/>
    <mergeCell ref="C9:H9"/>
    <mergeCell ref="C316:H316"/>
    <mergeCell ref="C1739:H1739"/>
    <mergeCell ref="C1054:H1054"/>
    <mergeCell ref="C1200:H1200"/>
    <mergeCell ref="C1265:H1265"/>
    <mergeCell ref="C1266:H1266"/>
    <mergeCell ref="C1299:H1299"/>
    <mergeCell ref="C1404:H1404"/>
    <mergeCell ref="C1496:H1496"/>
    <mergeCell ref="C1567:H1567"/>
    <mergeCell ref="C1585:H1585"/>
    <mergeCell ref="C367:H367"/>
    <mergeCell ref="F413:H413"/>
    <mergeCell ref="B606:I606"/>
    <mergeCell ref="C598:H598"/>
    <mergeCell ref="C10:H10"/>
    <mergeCell ref="C1586:H1586"/>
    <mergeCell ref="C610:H610"/>
    <mergeCell ref="C2126:H2126"/>
    <mergeCell ref="C1920:H1920"/>
    <mergeCell ref="C1872:H1872"/>
    <mergeCell ref="C1865:H1865"/>
    <mergeCell ref="C1851:H1851"/>
    <mergeCell ref="C1858:H1858"/>
    <mergeCell ref="C1933:H1933"/>
    <mergeCell ref="C1938:H1938"/>
    <mergeCell ref="C2026:H2026"/>
    <mergeCell ref="C1939:H1939"/>
    <mergeCell ref="C1955:H1955"/>
    <mergeCell ref="C1993:H1993"/>
    <mergeCell ref="C2008:H2008"/>
    <mergeCell ref="C2097:H2097"/>
    <mergeCell ref="C2115:H2115"/>
    <mergeCell ref="C2067:H2067"/>
    <mergeCell ref="C2091:H2091"/>
    <mergeCell ref="C892:H892"/>
    <mergeCell ref="C1908:H1908"/>
    <mergeCell ref="C1891:H1891"/>
    <mergeCell ref="C1879:H1879"/>
    <mergeCell ref="C1884:H1884"/>
    <mergeCell ref="C1885:H1885"/>
    <mergeCell ref="C1890:H1890"/>
    <mergeCell ref="C1896:H1896"/>
    <mergeCell ref="C2044:H2044"/>
    <mergeCell ref="C1980:H1980"/>
    <mergeCell ref="C3535:H3535"/>
    <mergeCell ref="C2523:H2523"/>
    <mergeCell ref="C2537:H2537"/>
    <mergeCell ref="C2771:H2771"/>
    <mergeCell ref="C2777:H2777"/>
    <mergeCell ref="C3187:H3187"/>
    <mergeCell ref="C3219:H3219"/>
    <mergeCell ref="C3397:H3397"/>
    <mergeCell ref="C3275:H3275"/>
    <mergeCell ref="C3287:H3287"/>
    <mergeCell ref="C3297:H3297"/>
    <mergeCell ref="C3322:H3322"/>
    <mergeCell ref="C3348:H3348"/>
    <mergeCell ref="C3374:H3374"/>
    <mergeCell ref="C3390:H3390"/>
    <mergeCell ref="C3432:H3432"/>
    <mergeCell ref="C2871:H2871"/>
    <mergeCell ref="C3214:H3214"/>
    <mergeCell ref="C3193:H3193"/>
    <mergeCell ref="C3228:H3228"/>
    <mergeCell ref="C2155:H2155"/>
    <mergeCell ref="C5048:H5048"/>
    <mergeCell ref="C4918:H4918"/>
    <mergeCell ref="C4924:H4924"/>
    <mergeCell ref="C4941:H4941"/>
    <mergeCell ref="C4936:H4936"/>
    <mergeCell ref="C4947:H4947"/>
    <mergeCell ref="C2510:H2510"/>
    <mergeCell ref="C3122:H3122"/>
    <mergeCell ref="C2200:H2200"/>
    <mergeCell ref="C4910:H4910"/>
    <mergeCell ref="C3585:H3585"/>
    <mergeCell ref="C3555:H3555"/>
    <mergeCell ref="C3558:H3558"/>
    <mergeCell ref="C3559:H3559"/>
    <mergeCell ref="C3719:H3719"/>
    <mergeCell ref="C3750:H3750"/>
    <mergeCell ref="C3757:H3757"/>
    <mergeCell ref="C4643:H4643"/>
    <mergeCell ref="C4942:H4942"/>
    <mergeCell ref="C5039:H5039"/>
    <mergeCell ref="C5029:H5029"/>
    <mergeCell ref="C4930:H4930"/>
    <mergeCell ref="C3234:H3234"/>
    <mergeCell ref="C2307:H2307"/>
    <mergeCell ref="C5057:H5057"/>
    <mergeCell ref="C5069:H5069"/>
    <mergeCell ref="C4982:H4982"/>
    <mergeCell ref="C4988:H4988"/>
    <mergeCell ref="C4994:H4994"/>
    <mergeCell ref="C4999:H4999"/>
    <mergeCell ref="C5023:H5023"/>
    <mergeCell ref="C5024:H5024"/>
    <mergeCell ref="C4948:H4948"/>
    <mergeCell ref="C4977:H4977"/>
    <mergeCell ref="C2378:H2378"/>
    <mergeCell ref="C2451:H2451"/>
    <mergeCell ref="C4888:H4888"/>
    <mergeCell ref="C3443:H3443"/>
    <mergeCell ref="C3456:H3456"/>
    <mergeCell ref="C3396:H3396"/>
    <mergeCell ref="C2955:H2955"/>
    <mergeCell ref="C3039:H3039"/>
    <mergeCell ref="C3469:H3469"/>
    <mergeCell ref="C3393:H3393"/>
    <mergeCell ref="C3480:H3480"/>
    <mergeCell ref="C3485:H3485"/>
    <mergeCell ref="C3495:H3495"/>
    <mergeCell ref="C3188:H3188"/>
    <mergeCell ref="C3408:H3408"/>
    <mergeCell ref="C3416:H3416"/>
    <mergeCell ref="C3424:H3424"/>
    <mergeCell ref="C3960:H3960"/>
    <mergeCell ref="C3968:H3968"/>
    <mergeCell ref="C3764:H3764"/>
    <mergeCell ref="C3245:H3245"/>
    <mergeCell ref="C3496:H3496"/>
    <mergeCell ref="C3508:H3508"/>
    <mergeCell ref="C3519:H3519"/>
    <mergeCell ref="C3531:H3531"/>
    <mergeCell ref="C3539:H3539"/>
    <mergeCell ref="C3550:H3550"/>
    <mergeCell ref="C3551:H3551"/>
    <mergeCell ref="C3566:H3566"/>
    <mergeCell ref="C3567:H3567"/>
    <mergeCell ref="C3571:H3571"/>
    <mergeCell ref="C3575:H3575"/>
    <mergeCell ref="C4911:H4911"/>
    <mergeCell ref="C4914:H4914"/>
    <mergeCell ref="C3589:H3589"/>
    <mergeCell ref="C3598:H3598"/>
    <mergeCell ref="C3638:H3638"/>
    <mergeCell ref="C3576:H3576"/>
    <mergeCell ref="C3563:H3563"/>
    <mergeCell ref="C3683:H3683"/>
    <mergeCell ref="C3713:H3713"/>
    <mergeCell ref="C4899:H4899"/>
    <mergeCell ref="C4849:H4849"/>
    <mergeCell ref="C4875:H4875"/>
    <mergeCell ref="C4648:H4648"/>
    <mergeCell ref="C4828:H4828"/>
    <mergeCell ref="C4814:H4814"/>
    <mergeCell ref="C3641:H3641"/>
    <mergeCell ref="C4836:H4836"/>
    <mergeCell ref="C3983:H3983"/>
    <mergeCell ref="C87:H87"/>
    <mergeCell ref="C4823:H4823"/>
    <mergeCell ref="C3811:H3811"/>
    <mergeCell ref="C3868:H3868"/>
    <mergeCell ref="C3872:H3872"/>
    <mergeCell ref="C3875:H3875"/>
    <mergeCell ref="C3880:H3880"/>
    <mergeCell ref="C3884:H3884"/>
    <mergeCell ref="C3891:H3891"/>
    <mergeCell ref="C3907:H3907"/>
    <mergeCell ref="C3913:H3913"/>
    <mergeCell ref="C3920:H3920"/>
    <mergeCell ref="C3956:H3956"/>
    <mergeCell ref="C3936:H3936"/>
    <mergeCell ref="C3951:H3951"/>
    <mergeCell ref="C3977:H3977"/>
    <mergeCell ref="C3978:H3978"/>
    <mergeCell ref="C3223:H3223"/>
    <mergeCell ref="C2176:H2176"/>
    <mergeCell ref="C3198:H3198"/>
    <mergeCell ref="C3203:H3203"/>
    <mergeCell ref="C3209:H3209"/>
    <mergeCell ref="C2502:H2502"/>
    <mergeCell ref="C2778:H2778"/>
  </mergeCells>
  <phoneticPr fontId="151" type="noConversion"/>
  <printOptions horizontalCentered="1"/>
  <pageMargins left="0.5" right="0.5" top="0.75" bottom="0.7" header="0.31496062992126" footer="0.31496062992126"/>
  <pageSetup paperSize="9" scale="75" orientation="portrait" r:id="rId1"/>
  <headerFooter>
    <oddHeader>Page &amp;P</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26</vt:i4>
      </vt:variant>
    </vt:vector>
  </HeadingPairs>
  <TitlesOfParts>
    <vt:vector size="45" baseType="lpstr">
      <vt:lpstr>pile data ( M20 grade)</vt:lpstr>
      <vt:lpstr>Elec.abs</vt:lpstr>
      <vt:lpstr>Water supply Data</vt:lpstr>
      <vt:lpstr>Sheet2</vt:lpstr>
      <vt:lpstr>Data water</vt:lpstr>
      <vt:lpstr>Data water (2)</vt:lpstr>
      <vt:lpstr>cub data</vt:lpstr>
      <vt:lpstr>Sliding and french window</vt:lpstr>
      <vt:lpstr>  Coastal  Elec.Data </vt:lpstr>
      <vt:lpstr>pile data ( M30 grade) (2)</vt:lpstr>
      <vt:lpstr>electrical</vt:lpstr>
      <vt:lpstr>Sullage Drain</vt:lpstr>
      <vt:lpstr>Design of septic tank</vt:lpstr>
      <vt:lpstr>Septic tank</vt:lpstr>
      <vt:lpstr>det -detail</vt:lpstr>
      <vt:lpstr>Sheet1</vt:lpstr>
      <vt:lpstr>1 (2)</vt:lpstr>
      <vt:lpstr>doors</vt:lpstr>
      <vt:lpstr>Main Building Details</vt:lpstr>
      <vt:lpstr>'  Coastal  Elec.Data '!Print_Area</vt:lpstr>
      <vt:lpstr>'1 (2)'!Print_Area</vt:lpstr>
      <vt:lpstr>'cub data'!Print_Area</vt:lpstr>
      <vt:lpstr>'Data water'!Print_Area</vt:lpstr>
      <vt:lpstr>'Data water (2)'!Print_Area</vt:lpstr>
      <vt:lpstr>'Design of septic tank'!Print_Area</vt:lpstr>
      <vt:lpstr>'det -detail'!Print_Area</vt:lpstr>
      <vt:lpstr>doors!Print_Area</vt:lpstr>
      <vt:lpstr>Elec.abs!Print_Area</vt:lpstr>
      <vt:lpstr>electrical!Print_Area</vt:lpstr>
      <vt:lpstr>'Main Building Details'!Print_Area</vt:lpstr>
      <vt:lpstr>'pile data ( M20 grade)'!Print_Area</vt:lpstr>
      <vt:lpstr>'pile data ( M30 grade) (2)'!Print_Area</vt:lpstr>
      <vt:lpstr>'Septic tank'!Print_Area</vt:lpstr>
      <vt:lpstr>'Sliding and french window'!Print_Area</vt:lpstr>
      <vt:lpstr>'Sullage Drain'!Print_Area</vt:lpstr>
      <vt:lpstr>'Water supply Data'!Print_Area</vt:lpstr>
      <vt:lpstr>'  Coastal  Elec.Data '!Print_Area_MI</vt:lpstr>
      <vt:lpstr>Elec.abs!Print_Area_MI</vt:lpstr>
      <vt:lpstr>'Water supply Data'!Print_Area_MI</vt:lpstr>
      <vt:lpstr>doors!Print_Titles</vt:lpstr>
      <vt:lpstr>electrical!Print_Titles</vt:lpstr>
      <vt:lpstr>'Main Building Details'!Print_Titles</vt:lpstr>
      <vt:lpstr>'  Coastal  Elec.Data '!PRINT_TITLES_MI</vt:lpstr>
      <vt:lpstr>Elec.abs!PRINT_TITLES_MI</vt:lpstr>
      <vt:lpstr>'Water supply 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Tnphc-Sub-1</dc:creator>
  <cp:lastModifiedBy>Admin</cp:lastModifiedBy>
  <cp:lastPrinted>2023-04-18T08:30:22Z</cp:lastPrinted>
  <dcterms:created xsi:type="dcterms:W3CDTF">2020-10-26T09:45:26Z</dcterms:created>
  <dcterms:modified xsi:type="dcterms:W3CDTF">2023-04-18T08:36:32Z</dcterms:modified>
</cp:coreProperties>
</file>